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DeTrabalho"/>
  <bookViews>
    <workbookView xWindow="-120" yWindow="-120" windowWidth="20730" windowHeight="11760" activeTab="1"/>
  </bookViews>
  <sheets>
    <sheet name="Delivery" sheetId="1" r:id="rId1"/>
    <sheet name="Allocation" sheetId="2" r:id="rId2"/>
    <sheet name="Shipments" sheetId="4" r:id="rId3"/>
    <sheet name="References" sheetId="3" r:id="rId4"/>
    <sheet name="Check" sheetId="5" r:id="rId5"/>
  </sheets>
  <calcPr calcId="145621" concurrentCalc="0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2" i="1" l="1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R2625" i="2"/>
  <c r="R2626" i="2"/>
  <c r="R2627" i="2"/>
  <c r="R2628" i="2"/>
  <c r="R2629" i="2"/>
  <c r="R2630" i="2"/>
  <c r="R2631" i="2"/>
  <c r="R2632" i="2"/>
  <c r="R2633" i="2"/>
  <c r="R2634" i="2"/>
  <c r="R2635" i="2"/>
  <c r="R2636" i="2"/>
  <c r="R2637" i="2"/>
  <c r="R2638" i="2"/>
  <c r="R2639" i="2"/>
  <c r="R2640" i="2"/>
  <c r="R2641" i="2"/>
  <c r="R2642" i="2"/>
  <c r="R2643" i="2"/>
  <c r="R2644" i="2"/>
  <c r="R2645" i="2"/>
  <c r="R2646" i="2"/>
  <c r="R2647" i="2"/>
  <c r="R2648" i="2"/>
  <c r="R2649" i="2"/>
  <c r="R2650" i="2"/>
  <c r="R2651" i="2"/>
  <c r="R2652" i="2"/>
  <c r="R2653" i="2"/>
  <c r="R2654" i="2"/>
  <c r="R2655" i="2"/>
  <c r="R2656" i="2"/>
  <c r="R2657" i="2"/>
  <c r="R2658" i="2"/>
  <c r="R2659" i="2"/>
  <c r="R2660" i="2"/>
  <c r="R2661" i="2"/>
  <c r="R2662" i="2"/>
  <c r="R2663" i="2"/>
  <c r="R2664" i="2"/>
  <c r="R2665" i="2"/>
  <c r="R2666" i="2"/>
  <c r="R2667" i="2"/>
  <c r="R2668" i="2"/>
  <c r="R2669" i="2"/>
  <c r="R2670" i="2"/>
  <c r="R2671" i="2"/>
  <c r="R2672" i="2"/>
  <c r="R2673" i="2"/>
  <c r="R2674" i="2"/>
  <c r="R2675" i="2"/>
  <c r="R2676" i="2"/>
  <c r="R2677" i="2"/>
  <c r="R2678" i="2"/>
  <c r="R2679" i="2"/>
  <c r="R2680" i="2"/>
  <c r="R2681" i="2"/>
  <c r="R2682" i="2"/>
  <c r="R2683" i="2"/>
  <c r="R2684" i="2"/>
  <c r="R2685" i="2"/>
  <c r="R2686" i="2"/>
  <c r="R2687" i="2"/>
  <c r="R2688" i="2"/>
  <c r="R2689" i="2"/>
  <c r="R2690" i="2"/>
  <c r="R2691" i="2"/>
  <c r="R2692" i="2"/>
  <c r="R2693" i="2"/>
  <c r="R2694" i="2"/>
  <c r="R2695" i="2"/>
  <c r="R2696" i="2"/>
  <c r="R2697" i="2"/>
  <c r="R2698" i="2"/>
  <c r="R2699" i="2"/>
  <c r="R2700" i="2"/>
  <c r="R2701" i="2"/>
  <c r="R2702" i="2"/>
  <c r="R2703" i="2"/>
  <c r="R2704" i="2"/>
  <c r="R2705" i="2"/>
  <c r="R2706" i="2"/>
  <c r="R2707" i="2"/>
  <c r="R2708" i="2"/>
  <c r="R2709" i="2"/>
  <c r="R2710" i="2"/>
  <c r="R2711" i="2"/>
  <c r="R2712" i="2"/>
  <c r="R2713" i="2"/>
  <c r="R2714" i="2"/>
  <c r="R2715" i="2"/>
  <c r="R2716" i="2"/>
  <c r="R2717" i="2"/>
  <c r="R2718" i="2"/>
  <c r="R2719" i="2"/>
  <c r="R2720" i="2"/>
  <c r="R2721" i="2"/>
  <c r="R2722" i="2"/>
  <c r="R2723" i="2"/>
  <c r="R2724" i="2"/>
  <c r="R2725" i="2"/>
  <c r="R2726" i="2"/>
  <c r="R2727" i="2"/>
  <c r="R2728" i="2"/>
  <c r="R2729" i="2"/>
  <c r="R2730" i="2"/>
  <c r="R2731" i="2"/>
  <c r="R2732" i="2"/>
  <c r="R2733" i="2"/>
  <c r="R2734" i="2"/>
  <c r="R2735" i="2"/>
  <c r="R2736" i="2"/>
  <c r="R2737" i="2"/>
  <c r="R2738" i="2"/>
  <c r="R2739" i="2"/>
  <c r="R2740" i="2"/>
  <c r="R2741" i="2"/>
  <c r="R2742" i="2"/>
  <c r="R2743" i="2"/>
  <c r="R2744" i="2"/>
  <c r="R2745" i="2"/>
  <c r="R2746" i="2"/>
  <c r="R2747" i="2"/>
  <c r="R2748" i="2"/>
  <c r="R2749" i="2"/>
  <c r="R2750" i="2"/>
  <c r="R2751" i="2"/>
  <c r="R2752" i="2"/>
  <c r="R2753" i="2"/>
  <c r="R2754" i="2"/>
  <c r="R2755" i="2"/>
  <c r="R2756" i="2"/>
  <c r="R2757" i="2"/>
  <c r="R2758" i="2"/>
  <c r="R2759" i="2"/>
  <c r="R2760" i="2"/>
  <c r="R2761" i="2"/>
  <c r="R2762" i="2"/>
  <c r="R2763" i="2"/>
  <c r="R2764" i="2"/>
  <c r="R2765" i="2"/>
  <c r="R2766" i="2"/>
  <c r="R2767" i="2"/>
  <c r="R2768" i="2"/>
  <c r="R2769" i="2"/>
  <c r="R2770" i="2"/>
  <c r="R2771" i="2"/>
  <c r="R2772" i="2"/>
  <c r="R2773" i="2"/>
  <c r="R2774" i="2"/>
  <c r="R2775" i="2"/>
  <c r="R2776" i="2"/>
  <c r="R2777" i="2"/>
  <c r="R2778" i="2"/>
  <c r="R2779" i="2"/>
  <c r="R2780" i="2"/>
  <c r="R2781" i="2"/>
  <c r="R2782" i="2"/>
  <c r="R2783" i="2"/>
  <c r="R2784" i="2"/>
  <c r="R2785" i="2"/>
  <c r="R2786" i="2"/>
  <c r="R2787" i="2"/>
  <c r="R2788" i="2"/>
  <c r="R2789" i="2"/>
  <c r="R2790" i="2"/>
  <c r="R2791" i="2"/>
  <c r="R2792" i="2"/>
  <c r="R2793" i="2"/>
  <c r="R2794" i="2"/>
  <c r="R2795" i="2"/>
  <c r="R2796" i="2"/>
  <c r="R2797" i="2"/>
  <c r="R2798" i="2"/>
  <c r="R2799" i="2"/>
  <c r="R2800" i="2"/>
  <c r="R2801" i="2"/>
  <c r="R2802" i="2"/>
  <c r="R2803" i="2"/>
  <c r="R2804" i="2"/>
  <c r="R2805" i="2"/>
  <c r="R2806" i="2"/>
  <c r="R2807" i="2"/>
  <c r="R2808" i="2"/>
  <c r="R2809" i="2"/>
  <c r="R2810" i="2"/>
  <c r="R2811" i="2"/>
  <c r="R2812" i="2"/>
  <c r="R2813" i="2"/>
  <c r="R2814" i="2"/>
  <c r="R2815" i="2"/>
  <c r="R2816" i="2"/>
  <c r="R2817" i="2"/>
  <c r="R2818" i="2"/>
  <c r="R2819" i="2"/>
  <c r="R2820" i="2"/>
  <c r="R2821" i="2"/>
  <c r="R2822" i="2"/>
  <c r="R2823" i="2"/>
  <c r="R2824" i="2"/>
  <c r="R2825" i="2"/>
  <c r="R2826" i="2"/>
  <c r="R2827" i="2"/>
  <c r="R2828" i="2"/>
  <c r="R2829" i="2"/>
  <c r="R2830" i="2"/>
  <c r="R2831" i="2"/>
  <c r="R2832" i="2"/>
  <c r="R2833" i="2"/>
  <c r="R2834" i="2"/>
  <c r="R2835" i="2"/>
  <c r="R2836" i="2"/>
  <c r="R2837" i="2"/>
  <c r="R2838" i="2"/>
  <c r="R2839" i="2"/>
  <c r="R2840" i="2"/>
  <c r="R2841" i="2"/>
  <c r="R2842" i="2"/>
  <c r="R2843" i="2"/>
  <c r="R2844" i="2"/>
  <c r="R2845" i="2"/>
  <c r="R2846" i="2"/>
  <c r="R2847" i="2"/>
  <c r="R2848" i="2"/>
  <c r="R2849" i="2"/>
  <c r="R2850" i="2"/>
  <c r="R2851" i="2"/>
  <c r="R2852" i="2"/>
  <c r="R2853" i="2"/>
  <c r="R2854" i="2"/>
  <c r="R2855" i="2"/>
  <c r="R2856" i="2"/>
  <c r="R2857" i="2"/>
  <c r="R2858" i="2"/>
  <c r="R2859" i="2"/>
  <c r="R2860" i="2"/>
  <c r="S2625" i="2"/>
  <c r="S2626" i="2"/>
  <c r="S2627" i="2"/>
  <c r="S2628" i="2"/>
  <c r="S2629" i="2"/>
  <c r="S2630" i="2"/>
  <c r="S2631" i="2"/>
  <c r="S2632" i="2"/>
  <c r="S2633" i="2"/>
  <c r="S2634" i="2"/>
  <c r="S2635" i="2"/>
  <c r="S2636" i="2"/>
  <c r="S2637" i="2"/>
  <c r="S2638" i="2"/>
  <c r="S2639" i="2"/>
  <c r="S2640" i="2"/>
  <c r="S2641" i="2"/>
  <c r="S2642" i="2"/>
  <c r="S2643" i="2"/>
  <c r="S2644" i="2"/>
  <c r="S2645" i="2"/>
  <c r="S2646" i="2"/>
  <c r="S2647" i="2"/>
  <c r="S2648" i="2"/>
  <c r="S2649" i="2"/>
  <c r="S2650" i="2"/>
  <c r="S2651" i="2"/>
  <c r="S2652" i="2"/>
  <c r="S2653" i="2"/>
  <c r="S2654" i="2"/>
  <c r="S2655" i="2"/>
  <c r="S2656" i="2"/>
  <c r="S2657" i="2"/>
  <c r="S2658" i="2"/>
  <c r="S2659" i="2"/>
  <c r="S2660" i="2"/>
  <c r="S2661" i="2"/>
  <c r="S2662" i="2"/>
  <c r="S2663" i="2"/>
  <c r="S2664" i="2"/>
  <c r="S2665" i="2"/>
  <c r="S2666" i="2"/>
  <c r="S2667" i="2"/>
  <c r="S2668" i="2"/>
  <c r="S2669" i="2"/>
  <c r="S2670" i="2"/>
  <c r="S2671" i="2"/>
  <c r="S2672" i="2"/>
  <c r="S2673" i="2"/>
  <c r="S2674" i="2"/>
  <c r="S2675" i="2"/>
  <c r="S2676" i="2"/>
  <c r="S2677" i="2"/>
  <c r="S2678" i="2"/>
  <c r="S2679" i="2"/>
  <c r="S2680" i="2"/>
  <c r="S2681" i="2"/>
  <c r="S2682" i="2"/>
  <c r="S2683" i="2"/>
  <c r="S2684" i="2"/>
  <c r="S2685" i="2"/>
  <c r="S2686" i="2"/>
  <c r="S2687" i="2"/>
  <c r="S2688" i="2"/>
  <c r="S2689" i="2"/>
  <c r="S2690" i="2"/>
  <c r="S2691" i="2"/>
  <c r="S2692" i="2"/>
  <c r="S2693" i="2"/>
  <c r="S2694" i="2"/>
  <c r="S2695" i="2"/>
  <c r="S2696" i="2"/>
  <c r="S2697" i="2"/>
  <c r="S2698" i="2"/>
  <c r="S2699" i="2"/>
  <c r="S2700" i="2"/>
  <c r="S2701" i="2"/>
  <c r="S2702" i="2"/>
  <c r="S2703" i="2"/>
  <c r="S2704" i="2"/>
  <c r="S2705" i="2"/>
  <c r="S2706" i="2"/>
  <c r="S2707" i="2"/>
  <c r="S2708" i="2"/>
  <c r="S2709" i="2"/>
  <c r="S2710" i="2"/>
  <c r="S2711" i="2"/>
  <c r="S2712" i="2"/>
  <c r="S2713" i="2"/>
  <c r="S2714" i="2"/>
  <c r="S2715" i="2"/>
  <c r="S2716" i="2"/>
  <c r="S2717" i="2"/>
  <c r="S2718" i="2"/>
  <c r="S2719" i="2"/>
  <c r="S2720" i="2"/>
  <c r="S2721" i="2"/>
  <c r="S2722" i="2"/>
  <c r="S2723" i="2"/>
  <c r="S2724" i="2"/>
  <c r="S2725" i="2"/>
  <c r="S2726" i="2"/>
  <c r="S2727" i="2"/>
  <c r="S2728" i="2"/>
  <c r="S2729" i="2"/>
  <c r="S2730" i="2"/>
  <c r="S2731" i="2"/>
  <c r="S2732" i="2"/>
  <c r="S2733" i="2"/>
  <c r="S2734" i="2"/>
  <c r="S2735" i="2"/>
  <c r="S2736" i="2"/>
  <c r="S2737" i="2"/>
  <c r="S2738" i="2"/>
  <c r="S2739" i="2"/>
  <c r="S2740" i="2"/>
  <c r="S2741" i="2"/>
  <c r="S2742" i="2"/>
  <c r="S2743" i="2"/>
  <c r="S2744" i="2"/>
  <c r="S2745" i="2"/>
  <c r="S2746" i="2"/>
  <c r="S2747" i="2"/>
  <c r="S2748" i="2"/>
  <c r="S2749" i="2"/>
  <c r="S2750" i="2"/>
  <c r="S2751" i="2"/>
  <c r="S2752" i="2"/>
  <c r="S2753" i="2"/>
  <c r="S2754" i="2"/>
  <c r="S2755" i="2"/>
  <c r="S2756" i="2"/>
  <c r="S2757" i="2"/>
  <c r="S2758" i="2"/>
  <c r="S2759" i="2"/>
  <c r="S2760" i="2"/>
  <c r="S2761" i="2"/>
  <c r="S2762" i="2"/>
  <c r="S2763" i="2"/>
  <c r="S2764" i="2"/>
  <c r="S2765" i="2"/>
  <c r="S2766" i="2"/>
  <c r="S2767" i="2"/>
  <c r="S2768" i="2"/>
  <c r="S2769" i="2"/>
  <c r="S2770" i="2"/>
  <c r="S2771" i="2"/>
  <c r="S2772" i="2"/>
  <c r="S2773" i="2"/>
  <c r="S2774" i="2"/>
  <c r="S2775" i="2"/>
  <c r="S2776" i="2"/>
  <c r="S2777" i="2"/>
  <c r="S2778" i="2"/>
  <c r="S2779" i="2"/>
  <c r="S2780" i="2"/>
  <c r="S2781" i="2"/>
  <c r="S2782" i="2"/>
  <c r="S2783" i="2"/>
  <c r="S2784" i="2"/>
  <c r="S2785" i="2"/>
  <c r="S2786" i="2"/>
  <c r="S2787" i="2"/>
  <c r="S2788" i="2"/>
  <c r="S2789" i="2"/>
  <c r="S2790" i="2"/>
  <c r="S2791" i="2"/>
  <c r="S2792" i="2"/>
  <c r="S2793" i="2"/>
  <c r="S2794" i="2"/>
  <c r="S2795" i="2"/>
  <c r="S2796" i="2"/>
  <c r="S2797" i="2"/>
  <c r="S2798" i="2"/>
  <c r="S2799" i="2"/>
  <c r="S2800" i="2"/>
  <c r="S2801" i="2"/>
  <c r="S2802" i="2"/>
  <c r="S2803" i="2"/>
  <c r="S2804" i="2"/>
  <c r="S2805" i="2"/>
  <c r="S2806" i="2"/>
  <c r="S2807" i="2"/>
  <c r="S2808" i="2"/>
  <c r="S2809" i="2"/>
  <c r="S2810" i="2"/>
  <c r="S2811" i="2"/>
  <c r="S2812" i="2"/>
  <c r="S2813" i="2"/>
  <c r="S2814" i="2"/>
  <c r="S2815" i="2"/>
  <c r="S2816" i="2"/>
  <c r="S2817" i="2"/>
  <c r="S2818" i="2"/>
  <c r="S2819" i="2"/>
  <c r="S2820" i="2"/>
  <c r="S2821" i="2"/>
  <c r="S2822" i="2"/>
  <c r="S2823" i="2"/>
  <c r="S2824" i="2"/>
  <c r="S2825" i="2"/>
  <c r="S2826" i="2"/>
  <c r="S2827" i="2"/>
  <c r="S2828" i="2"/>
  <c r="S2829" i="2"/>
  <c r="S2830" i="2"/>
  <c r="S2831" i="2"/>
  <c r="S2832" i="2"/>
  <c r="S2833" i="2"/>
  <c r="S2834" i="2"/>
  <c r="S2835" i="2"/>
  <c r="S2836" i="2"/>
  <c r="S2837" i="2"/>
  <c r="S2838" i="2"/>
  <c r="S2839" i="2"/>
  <c r="S2840" i="2"/>
  <c r="S2841" i="2"/>
  <c r="S2842" i="2"/>
  <c r="S2843" i="2"/>
  <c r="S2844" i="2"/>
  <c r="S2845" i="2"/>
  <c r="S2846" i="2"/>
  <c r="S2847" i="2"/>
  <c r="S2848" i="2"/>
  <c r="S2849" i="2"/>
  <c r="S2850" i="2"/>
  <c r="S2851" i="2"/>
  <c r="S2852" i="2"/>
  <c r="S2853" i="2"/>
  <c r="S2854" i="2"/>
  <c r="S2855" i="2"/>
  <c r="S2856" i="2"/>
  <c r="S2857" i="2"/>
  <c r="S2858" i="2"/>
  <c r="S2859" i="2"/>
  <c r="S2860" i="2"/>
  <c r="T2625" i="2"/>
  <c r="T2626" i="2"/>
  <c r="T2627" i="2"/>
  <c r="T2628" i="2"/>
  <c r="T2629" i="2"/>
  <c r="T2630" i="2"/>
  <c r="T2631" i="2"/>
  <c r="T2633" i="2"/>
  <c r="T2634" i="2"/>
  <c r="T2635" i="2"/>
  <c r="T2636" i="2"/>
  <c r="T2637" i="2"/>
  <c r="T2638" i="2"/>
  <c r="T2639" i="2"/>
  <c r="T2640" i="2"/>
  <c r="T2641" i="2"/>
  <c r="T2642" i="2"/>
  <c r="T2643" i="2"/>
  <c r="T2644" i="2"/>
  <c r="T2645" i="2"/>
  <c r="T2646" i="2"/>
  <c r="T2647" i="2"/>
  <c r="T2648" i="2"/>
  <c r="T2649" i="2"/>
  <c r="T2650" i="2"/>
  <c r="T2651" i="2"/>
  <c r="T2652" i="2"/>
  <c r="T2653" i="2"/>
  <c r="T2654" i="2"/>
  <c r="T2658" i="2"/>
  <c r="T2659" i="2"/>
  <c r="T2660" i="2"/>
  <c r="T2661" i="2"/>
  <c r="T2679" i="2"/>
  <c r="T2685" i="2"/>
  <c r="T2686" i="2"/>
  <c r="T2687" i="2"/>
  <c r="T2688" i="2"/>
  <c r="T2689" i="2"/>
  <c r="T2690" i="2"/>
  <c r="T2691" i="2"/>
  <c r="T2692" i="2"/>
  <c r="T2693" i="2"/>
  <c r="T2694" i="2"/>
  <c r="T2695" i="2"/>
  <c r="T2696" i="2"/>
  <c r="T2698" i="2"/>
  <c r="T2699" i="2"/>
  <c r="T2700" i="2"/>
  <c r="T2701" i="2"/>
  <c r="T2702" i="2"/>
  <c r="T2703" i="2"/>
  <c r="T2704" i="2"/>
  <c r="T2705" i="2"/>
  <c r="T2706" i="2"/>
  <c r="T2707" i="2"/>
  <c r="T2708" i="2"/>
  <c r="T2709" i="2"/>
  <c r="T2710" i="2"/>
  <c r="T2711" i="2"/>
  <c r="T2712" i="2"/>
  <c r="T2713" i="2"/>
  <c r="T2714" i="2"/>
  <c r="T2715" i="2"/>
  <c r="T2716" i="2"/>
  <c r="T2717" i="2"/>
  <c r="T2718" i="2"/>
  <c r="T2719" i="2"/>
  <c r="T2720" i="2"/>
  <c r="T2721" i="2"/>
  <c r="T2722" i="2"/>
  <c r="T2723" i="2"/>
  <c r="T2724" i="2"/>
  <c r="T2725" i="2"/>
  <c r="T2726" i="2"/>
  <c r="T2727" i="2"/>
  <c r="T2728" i="2"/>
  <c r="T2729" i="2"/>
  <c r="T2730" i="2"/>
  <c r="T2731" i="2"/>
  <c r="T2732" i="2"/>
  <c r="T2736" i="2"/>
  <c r="T2737" i="2"/>
  <c r="T2764" i="2"/>
  <c r="T2765" i="2"/>
  <c r="T2766" i="2"/>
  <c r="T2767" i="2"/>
  <c r="T2768" i="2"/>
  <c r="T2769" i="2"/>
  <c r="T2770" i="2"/>
  <c r="T2771" i="2"/>
  <c r="T2772" i="2"/>
  <c r="T2773" i="2"/>
  <c r="T2774" i="2"/>
  <c r="T2775" i="2"/>
  <c r="T2776" i="2"/>
  <c r="T2777" i="2"/>
  <c r="T2778" i="2"/>
  <c r="T2779" i="2"/>
  <c r="T2780" i="2"/>
  <c r="T2781" i="2"/>
  <c r="T2782" i="2"/>
  <c r="T2783" i="2"/>
  <c r="T2784" i="2"/>
  <c r="T2789" i="2"/>
  <c r="T2790" i="2"/>
  <c r="T2791" i="2"/>
  <c r="T2805" i="2"/>
  <c r="T2806" i="2"/>
  <c r="T2807" i="2"/>
  <c r="T2808" i="2"/>
  <c r="T2814" i="2"/>
  <c r="T2815" i="2"/>
  <c r="T2816" i="2"/>
  <c r="T2817" i="2"/>
  <c r="T2818" i="2"/>
  <c r="T2819" i="2"/>
  <c r="T2820" i="2"/>
  <c r="T2821" i="2"/>
  <c r="T2822" i="2"/>
  <c r="T2823" i="2"/>
  <c r="T2828" i="2"/>
  <c r="T2832" i="2"/>
  <c r="T2833" i="2"/>
  <c r="T2843" i="2"/>
  <c r="T2844" i="2"/>
  <c r="T2845" i="2"/>
  <c r="T2849" i="2"/>
  <c r="T2850" i="2"/>
  <c r="T2851" i="2"/>
  <c r="T2852" i="2"/>
  <c r="T2853" i="2"/>
  <c r="T2854" i="2"/>
  <c r="T2855" i="2"/>
  <c r="T2856" i="2"/>
  <c r="T2857" i="2"/>
  <c r="T2858" i="2"/>
  <c r="T2859" i="2"/>
  <c r="T2860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V2625" i="2"/>
  <c r="V2626" i="2"/>
  <c r="V2627" i="2"/>
  <c r="V2628" i="2"/>
  <c r="V2629" i="2"/>
  <c r="V2630" i="2"/>
  <c r="V2631" i="2"/>
  <c r="V2632" i="2"/>
  <c r="V2633" i="2"/>
  <c r="V2634" i="2"/>
  <c r="V2635" i="2"/>
  <c r="V2636" i="2"/>
  <c r="V2637" i="2"/>
  <c r="V2638" i="2"/>
  <c r="V2639" i="2"/>
  <c r="V2640" i="2"/>
  <c r="V2641" i="2"/>
  <c r="V2642" i="2"/>
  <c r="V2643" i="2"/>
  <c r="V2644" i="2"/>
  <c r="V2645" i="2"/>
  <c r="V2646" i="2"/>
  <c r="V2647" i="2"/>
  <c r="V2648" i="2"/>
  <c r="V2649" i="2"/>
  <c r="V2650" i="2"/>
  <c r="V2651" i="2"/>
  <c r="V2652" i="2"/>
  <c r="V2653" i="2"/>
  <c r="V2654" i="2"/>
  <c r="V2655" i="2"/>
  <c r="V2656" i="2"/>
  <c r="V2657" i="2"/>
  <c r="V2658" i="2"/>
  <c r="V2659" i="2"/>
  <c r="V2660" i="2"/>
  <c r="V2661" i="2"/>
  <c r="V2662" i="2"/>
  <c r="V2663" i="2"/>
  <c r="V2664" i="2"/>
  <c r="V2665" i="2"/>
  <c r="V2666" i="2"/>
  <c r="V2667" i="2"/>
  <c r="V2668" i="2"/>
  <c r="V2669" i="2"/>
  <c r="V2670" i="2"/>
  <c r="V2671" i="2"/>
  <c r="V2672" i="2"/>
  <c r="V2673" i="2"/>
  <c r="V2674" i="2"/>
  <c r="V2675" i="2"/>
  <c r="V2676" i="2"/>
  <c r="V2677" i="2"/>
  <c r="V2678" i="2"/>
  <c r="V2679" i="2"/>
  <c r="V2680" i="2"/>
  <c r="V2681" i="2"/>
  <c r="V2682" i="2"/>
  <c r="V2683" i="2"/>
  <c r="V2684" i="2"/>
  <c r="V2685" i="2"/>
  <c r="V2686" i="2"/>
  <c r="V2687" i="2"/>
  <c r="V2688" i="2"/>
  <c r="V2689" i="2"/>
  <c r="V2690" i="2"/>
  <c r="V2691" i="2"/>
  <c r="V2692" i="2"/>
  <c r="V2693" i="2"/>
  <c r="V2694" i="2"/>
  <c r="V2695" i="2"/>
  <c r="V2696" i="2"/>
  <c r="V2697" i="2"/>
  <c r="V2698" i="2"/>
  <c r="V2699" i="2"/>
  <c r="V2700" i="2"/>
  <c r="V2701" i="2"/>
  <c r="V2702" i="2"/>
  <c r="V2703" i="2"/>
  <c r="V2704" i="2"/>
  <c r="V2705" i="2"/>
  <c r="V2706" i="2"/>
  <c r="V2707" i="2"/>
  <c r="V2708" i="2"/>
  <c r="V2709" i="2"/>
  <c r="V2710" i="2"/>
  <c r="V2711" i="2"/>
  <c r="V2712" i="2"/>
  <c r="V2713" i="2"/>
  <c r="V2714" i="2"/>
  <c r="V2715" i="2"/>
  <c r="V2716" i="2"/>
  <c r="V2717" i="2"/>
  <c r="V2718" i="2"/>
  <c r="V2719" i="2"/>
  <c r="V2720" i="2"/>
  <c r="V2721" i="2"/>
  <c r="V2722" i="2"/>
  <c r="V2723" i="2"/>
  <c r="V2724" i="2"/>
  <c r="V2725" i="2"/>
  <c r="V2726" i="2"/>
  <c r="V2727" i="2"/>
  <c r="V2728" i="2"/>
  <c r="V2729" i="2"/>
  <c r="V2730" i="2"/>
  <c r="V2731" i="2"/>
  <c r="V2732" i="2"/>
  <c r="V2733" i="2"/>
  <c r="V2734" i="2"/>
  <c r="V2735" i="2"/>
  <c r="V2736" i="2"/>
  <c r="V2737" i="2"/>
  <c r="V2738" i="2"/>
  <c r="V2739" i="2"/>
  <c r="V2740" i="2"/>
  <c r="V2741" i="2"/>
  <c r="V2742" i="2"/>
  <c r="V2743" i="2"/>
  <c r="V2744" i="2"/>
  <c r="V2745" i="2"/>
  <c r="V2746" i="2"/>
  <c r="V2747" i="2"/>
  <c r="V2748" i="2"/>
  <c r="V2749" i="2"/>
  <c r="V2750" i="2"/>
  <c r="V2751" i="2"/>
  <c r="V2752" i="2"/>
  <c r="V2753" i="2"/>
  <c r="V2754" i="2"/>
  <c r="V2755" i="2"/>
  <c r="V2756" i="2"/>
  <c r="V2757" i="2"/>
  <c r="V2758" i="2"/>
  <c r="V2759" i="2"/>
  <c r="V2760" i="2"/>
  <c r="V2761" i="2"/>
  <c r="V2762" i="2"/>
  <c r="V2763" i="2"/>
  <c r="V2764" i="2"/>
  <c r="V2765" i="2"/>
  <c r="V2766" i="2"/>
  <c r="V2767" i="2"/>
  <c r="V2768" i="2"/>
  <c r="V2769" i="2"/>
  <c r="V2770" i="2"/>
  <c r="V2771" i="2"/>
  <c r="V2772" i="2"/>
  <c r="V2773" i="2"/>
  <c r="V2774" i="2"/>
  <c r="V2775" i="2"/>
  <c r="V2776" i="2"/>
  <c r="V2777" i="2"/>
  <c r="V2778" i="2"/>
  <c r="V2779" i="2"/>
  <c r="V2780" i="2"/>
  <c r="V2781" i="2"/>
  <c r="V2782" i="2"/>
  <c r="V2783" i="2"/>
  <c r="V2784" i="2"/>
  <c r="V2785" i="2"/>
  <c r="V2786" i="2"/>
  <c r="V2787" i="2"/>
  <c r="V2788" i="2"/>
  <c r="V2789" i="2"/>
  <c r="V2790" i="2"/>
  <c r="V2791" i="2"/>
  <c r="V2792" i="2"/>
  <c r="V2793" i="2"/>
  <c r="V2794" i="2"/>
  <c r="V2795" i="2"/>
  <c r="V2796" i="2"/>
  <c r="V2797" i="2"/>
  <c r="V2798" i="2"/>
  <c r="V2799" i="2"/>
  <c r="V2800" i="2"/>
  <c r="V2801" i="2"/>
  <c r="V2802" i="2"/>
  <c r="V2803" i="2"/>
  <c r="V2804" i="2"/>
  <c r="V2805" i="2"/>
  <c r="V2806" i="2"/>
  <c r="V2807" i="2"/>
  <c r="V2808" i="2"/>
  <c r="V2809" i="2"/>
  <c r="V2810" i="2"/>
  <c r="V2811" i="2"/>
  <c r="V2812" i="2"/>
  <c r="V2813" i="2"/>
  <c r="V2814" i="2"/>
  <c r="V2815" i="2"/>
  <c r="V2816" i="2"/>
  <c r="V2817" i="2"/>
  <c r="V2818" i="2"/>
  <c r="V2819" i="2"/>
  <c r="V2820" i="2"/>
  <c r="V2821" i="2"/>
  <c r="V2822" i="2"/>
  <c r="V2823" i="2"/>
  <c r="V2824" i="2"/>
  <c r="V2825" i="2"/>
  <c r="V2826" i="2"/>
  <c r="V2827" i="2"/>
  <c r="V2828" i="2"/>
  <c r="V2829" i="2"/>
  <c r="V2830" i="2"/>
  <c r="V2831" i="2"/>
  <c r="V2832" i="2"/>
  <c r="V2833" i="2"/>
  <c r="V2834" i="2"/>
  <c r="V2835" i="2"/>
  <c r="V2836" i="2"/>
  <c r="V2837" i="2"/>
  <c r="V2838" i="2"/>
  <c r="V2839" i="2"/>
  <c r="V2840" i="2"/>
  <c r="V2841" i="2"/>
  <c r="V2842" i="2"/>
  <c r="V2843" i="2"/>
  <c r="V2844" i="2"/>
  <c r="V2845" i="2"/>
  <c r="V2846" i="2"/>
  <c r="V2847" i="2"/>
  <c r="V2848" i="2"/>
  <c r="V2849" i="2"/>
  <c r="V2850" i="2"/>
  <c r="V2851" i="2"/>
  <c r="V2852" i="2"/>
  <c r="V2853" i="2"/>
  <c r="V2854" i="2"/>
  <c r="V2855" i="2"/>
  <c r="V2856" i="2"/>
  <c r="V2857" i="2"/>
  <c r="V2858" i="2"/>
  <c r="V2859" i="2"/>
  <c r="V2860" i="2"/>
  <c r="W2625" i="2"/>
  <c r="W2626" i="2"/>
  <c r="W2627" i="2"/>
  <c r="W2628" i="2"/>
  <c r="W2629" i="2"/>
  <c r="W2630" i="2"/>
  <c r="W2631" i="2"/>
  <c r="W2632" i="2"/>
  <c r="W2633" i="2"/>
  <c r="W2634" i="2"/>
  <c r="W2635" i="2"/>
  <c r="W2636" i="2"/>
  <c r="W2637" i="2"/>
  <c r="W2638" i="2"/>
  <c r="W2639" i="2"/>
  <c r="W2640" i="2"/>
  <c r="W2641" i="2"/>
  <c r="W2642" i="2"/>
  <c r="W2643" i="2"/>
  <c r="W2644" i="2"/>
  <c r="W2645" i="2"/>
  <c r="W2646" i="2"/>
  <c r="W2647" i="2"/>
  <c r="W2648" i="2"/>
  <c r="W2649" i="2"/>
  <c r="W2650" i="2"/>
  <c r="W2651" i="2"/>
  <c r="W2652" i="2"/>
  <c r="W2653" i="2"/>
  <c r="W2654" i="2"/>
  <c r="W2655" i="2"/>
  <c r="W2656" i="2"/>
  <c r="W2657" i="2"/>
  <c r="W2658" i="2"/>
  <c r="W2659" i="2"/>
  <c r="W2660" i="2"/>
  <c r="W2661" i="2"/>
  <c r="W2662" i="2"/>
  <c r="W2663" i="2"/>
  <c r="W2664" i="2"/>
  <c r="W2665" i="2"/>
  <c r="W2666" i="2"/>
  <c r="W2667" i="2"/>
  <c r="W2668" i="2"/>
  <c r="W2669" i="2"/>
  <c r="W2670" i="2"/>
  <c r="W2671" i="2"/>
  <c r="W2672" i="2"/>
  <c r="W2673" i="2"/>
  <c r="W2674" i="2"/>
  <c r="W2675" i="2"/>
  <c r="W2676" i="2"/>
  <c r="W2677" i="2"/>
  <c r="W2678" i="2"/>
  <c r="W2679" i="2"/>
  <c r="W2680" i="2"/>
  <c r="W2681" i="2"/>
  <c r="W2682" i="2"/>
  <c r="W2683" i="2"/>
  <c r="W2684" i="2"/>
  <c r="W2685" i="2"/>
  <c r="W2686" i="2"/>
  <c r="W2687" i="2"/>
  <c r="W2688" i="2"/>
  <c r="W2689" i="2"/>
  <c r="W2690" i="2"/>
  <c r="W2691" i="2"/>
  <c r="W2692" i="2"/>
  <c r="W2693" i="2"/>
  <c r="W2694" i="2"/>
  <c r="W2695" i="2"/>
  <c r="W2696" i="2"/>
  <c r="W2697" i="2"/>
  <c r="W2698" i="2"/>
  <c r="W2699" i="2"/>
  <c r="W2700" i="2"/>
  <c r="W2701" i="2"/>
  <c r="W2702" i="2"/>
  <c r="W2703" i="2"/>
  <c r="W2704" i="2"/>
  <c r="W2705" i="2"/>
  <c r="W2706" i="2"/>
  <c r="W2707" i="2"/>
  <c r="W2708" i="2"/>
  <c r="W2709" i="2"/>
  <c r="W2710" i="2"/>
  <c r="W2711" i="2"/>
  <c r="W2712" i="2"/>
  <c r="W2713" i="2"/>
  <c r="W2714" i="2"/>
  <c r="W2715" i="2"/>
  <c r="W2716" i="2"/>
  <c r="W2717" i="2"/>
  <c r="W2718" i="2"/>
  <c r="W2719" i="2"/>
  <c r="W2720" i="2"/>
  <c r="W2721" i="2"/>
  <c r="W2722" i="2"/>
  <c r="W2723" i="2"/>
  <c r="W2724" i="2"/>
  <c r="W2725" i="2"/>
  <c r="W2726" i="2"/>
  <c r="W2727" i="2"/>
  <c r="W2728" i="2"/>
  <c r="W2729" i="2"/>
  <c r="W2730" i="2"/>
  <c r="W2731" i="2"/>
  <c r="W2732" i="2"/>
  <c r="W2733" i="2"/>
  <c r="W2734" i="2"/>
  <c r="W2735" i="2"/>
  <c r="W2736" i="2"/>
  <c r="W2737" i="2"/>
  <c r="W2738" i="2"/>
  <c r="W2739" i="2"/>
  <c r="W2740" i="2"/>
  <c r="W2741" i="2"/>
  <c r="W2742" i="2"/>
  <c r="W2743" i="2"/>
  <c r="W2744" i="2"/>
  <c r="W2745" i="2"/>
  <c r="W2746" i="2"/>
  <c r="W2747" i="2"/>
  <c r="W2748" i="2"/>
  <c r="W2749" i="2"/>
  <c r="W2750" i="2"/>
  <c r="W2751" i="2"/>
  <c r="W2752" i="2"/>
  <c r="W2753" i="2"/>
  <c r="W2754" i="2"/>
  <c r="W2755" i="2"/>
  <c r="W2756" i="2"/>
  <c r="W2757" i="2"/>
  <c r="W2758" i="2"/>
  <c r="W2759" i="2"/>
  <c r="W2760" i="2"/>
  <c r="W2761" i="2"/>
  <c r="W2762" i="2"/>
  <c r="W2763" i="2"/>
  <c r="W2764" i="2"/>
  <c r="W2765" i="2"/>
  <c r="W2766" i="2"/>
  <c r="W2767" i="2"/>
  <c r="W2768" i="2"/>
  <c r="W2769" i="2"/>
  <c r="W2770" i="2"/>
  <c r="W2771" i="2"/>
  <c r="W2772" i="2"/>
  <c r="W2773" i="2"/>
  <c r="W2774" i="2"/>
  <c r="W2775" i="2"/>
  <c r="W2776" i="2"/>
  <c r="W2777" i="2"/>
  <c r="W2778" i="2"/>
  <c r="W2779" i="2"/>
  <c r="W2780" i="2"/>
  <c r="W2781" i="2"/>
  <c r="W2782" i="2"/>
  <c r="W2783" i="2"/>
  <c r="W2784" i="2"/>
  <c r="W2785" i="2"/>
  <c r="W2786" i="2"/>
  <c r="W2787" i="2"/>
  <c r="W2788" i="2"/>
  <c r="W2789" i="2"/>
  <c r="W2790" i="2"/>
  <c r="W2791" i="2"/>
  <c r="W2792" i="2"/>
  <c r="W2793" i="2"/>
  <c r="W2794" i="2"/>
  <c r="W2795" i="2"/>
  <c r="W2796" i="2"/>
  <c r="W2797" i="2"/>
  <c r="W2798" i="2"/>
  <c r="W2799" i="2"/>
  <c r="W2800" i="2"/>
  <c r="W2801" i="2"/>
  <c r="W2802" i="2"/>
  <c r="W2803" i="2"/>
  <c r="W2804" i="2"/>
  <c r="W2805" i="2"/>
  <c r="W2806" i="2"/>
  <c r="W2807" i="2"/>
  <c r="W2808" i="2"/>
  <c r="W2809" i="2"/>
  <c r="W2810" i="2"/>
  <c r="W2811" i="2"/>
  <c r="W2812" i="2"/>
  <c r="W2813" i="2"/>
  <c r="W2814" i="2"/>
  <c r="W2815" i="2"/>
  <c r="W2816" i="2"/>
  <c r="W2817" i="2"/>
  <c r="W2818" i="2"/>
  <c r="W2819" i="2"/>
  <c r="W2820" i="2"/>
  <c r="W2821" i="2"/>
  <c r="W2822" i="2"/>
  <c r="W2823" i="2"/>
  <c r="W2824" i="2"/>
  <c r="W2825" i="2"/>
  <c r="W2826" i="2"/>
  <c r="W2827" i="2"/>
  <c r="W2828" i="2"/>
  <c r="W2829" i="2"/>
  <c r="W2830" i="2"/>
  <c r="W2831" i="2"/>
  <c r="W2832" i="2"/>
  <c r="W2833" i="2"/>
  <c r="W2834" i="2"/>
  <c r="W2835" i="2"/>
  <c r="W2836" i="2"/>
  <c r="W2837" i="2"/>
  <c r="W2838" i="2"/>
  <c r="W2839" i="2"/>
  <c r="W2840" i="2"/>
  <c r="W2841" i="2"/>
  <c r="W2842" i="2"/>
  <c r="W2843" i="2"/>
  <c r="W2844" i="2"/>
  <c r="W2845" i="2"/>
  <c r="W2846" i="2"/>
  <c r="W2847" i="2"/>
  <c r="W2848" i="2"/>
  <c r="W2849" i="2"/>
  <c r="W2850" i="2"/>
  <c r="W2851" i="2"/>
  <c r="W2852" i="2"/>
  <c r="W2853" i="2"/>
  <c r="W2854" i="2"/>
  <c r="W2855" i="2"/>
  <c r="W2856" i="2"/>
  <c r="W2857" i="2"/>
  <c r="W2858" i="2"/>
  <c r="W2859" i="2"/>
  <c r="W2860" i="2"/>
  <c r="X2625" i="2"/>
  <c r="X2626" i="2"/>
  <c r="X2627" i="2"/>
  <c r="X2628" i="2"/>
  <c r="X2629" i="2"/>
  <c r="X2630" i="2"/>
  <c r="X2631" i="2"/>
  <c r="X2632" i="2"/>
  <c r="X2633" i="2"/>
  <c r="X2634" i="2"/>
  <c r="X2635" i="2"/>
  <c r="X2636" i="2"/>
  <c r="X2637" i="2"/>
  <c r="X2638" i="2"/>
  <c r="X2639" i="2"/>
  <c r="X2640" i="2"/>
  <c r="X2641" i="2"/>
  <c r="X2642" i="2"/>
  <c r="X2643" i="2"/>
  <c r="X2644" i="2"/>
  <c r="X2645" i="2"/>
  <c r="X2646" i="2"/>
  <c r="X2647" i="2"/>
  <c r="X2648" i="2"/>
  <c r="X2649" i="2"/>
  <c r="X2650" i="2"/>
  <c r="X2651" i="2"/>
  <c r="X2652" i="2"/>
  <c r="X2653" i="2"/>
  <c r="X2654" i="2"/>
  <c r="X2655" i="2"/>
  <c r="X2656" i="2"/>
  <c r="X2657" i="2"/>
  <c r="X2658" i="2"/>
  <c r="X2659" i="2"/>
  <c r="X2660" i="2"/>
  <c r="X2661" i="2"/>
  <c r="X2662" i="2"/>
  <c r="X2663" i="2"/>
  <c r="X2664" i="2"/>
  <c r="X2665" i="2"/>
  <c r="X2666" i="2"/>
  <c r="X2667" i="2"/>
  <c r="X2668" i="2"/>
  <c r="X2669" i="2"/>
  <c r="X2670" i="2"/>
  <c r="X2671" i="2"/>
  <c r="X2672" i="2"/>
  <c r="X2673" i="2"/>
  <c r="X2674" i="2"/>
  <c r="X2675" i="2"/>
  <c r="X2676" i="2"/>
  <c r="X2677" i="2"/>
  <c r="X2678" i="2"/>
  <c r="X2679" i="2"/>
  <c r="X2680" i="2"/>
  <c r="X2681" i="2"/>
  <c r="X2682" i="2"/>
  <c r="X2683" i="2"/>
  <c r="X2684" i="2"/>
  <c r="X2685" i="2"/>
  <c r="X2686" i="2"/>
  <c r="X2687" i="2"/>
  <c r="X2688" i="2"/>
  <c r="X2689" i="2"/>
  <c r="X2690" i="2"/>
  <c r="X2691" i="2"/>
  <c r="X2692" i="2"/>
  <c r="X2693" i="2"/>
  <c r="X2694" i="2"/>
  <c r="X2695" i="2"/>
  <c r="X2696" i="2"/>
  <c r="X2697" i="2"/>
  <c r="X2698" i="2"/>
  <c r="X2699" i="2"/>
  <c r="X2700" i="2"/>
  <c r="X2701" i="2"/>
  <c r="X2702" i="2"/>
  <c r="X2703" i="2"/>
  <c r="X2704" i="2"/>
  <c r="X2705" i="2"/>
  <c r="X2706" i="2"/>
  <c r="X2707" i="2"/>
  <c r="X2708" i="2"/>
  <c r="X2709" i="2"/>
  <c r="X2710" i="2"/>
  <c r="X2711" i="2"/>
  <c r="X2712" i="2"/>
  <c r="X2713" i="2"/>
  <c r="X2714" i="2"/>
  <c r="X2715" i="2"/>
  <c r="X2716" i="2"/>
  <c r="X2717" i="2"/>
  <c r="X2718" i="2"/>
  <c r="X2719" i="2"/>
  <c r="X2720" i="2"/>
  <c r="X2721" i="2"/>
  <c r="X2722" i="2"/>
  <c r="X2723" i="2"/>
  <c r="X2724" i="2"/>
  <c r="X2725" i="2"/>
  <c r="X2726" i="2"/>
  <c r="X2727" i="2"/>
  <c r="X2728" i="2"/>
  <c r="X2729" i="2"/>
  <c r="X2730" i="2"/>
  <c r="X2731" i="2"/>
  <c r="X2732" i="2"/>
  <c r="X2733" i="2"/>
  <c r="X2734" i="2"/>
  <c r="X2735" i="2"/>
  <c r="X2736" i="2"/>
  <c r="X2737" i="2"/>
  <c r="X2738" i="2"/>
  <c r="X2739" i="2"/>
  <c r="X2740" i="2"/>
  <c r="X2741" i="2"/>
  <c r="X2742" i="2"/>
  <c r="X2743" i="2"/>
  <c r="X2744" i="2"/>
  <c r="X2745" i="2"/>
  <c r="X2746" i="2"/>
  <c r="X2747" i="2"/>
  <c r="X2748" i="2"/>
  <c r="X2749" i="2"/>
  <c r="X2750" i="2"/>
  <c r="X2751" i="2"/>
  <c r="X2752" i="2"/>
  <c r="X2753" i="2"/>
  <c r="X2754" i="2"/>
  <c r="X2755" i="2"/>
  <c r="X2756" i="2"/>
  <c r="X2757" i="2"/>
  <c r="X2758" i="2"/>
  <c r="X2759" i="2"/>
  <c r="X2760" i="2"/>
  <c r="X2761" i="2"/>
  <c r="X2762" i="2"/>
  <c r="X2763" i="2"/>
  <c r="X2764" i="2"/>
  <c r="X2765" i="2"/>
  <c r="X2766" i="2"/>
  <c r="X2767" i="2"/>
  <c r="X2768" i="2"/>
  <c r="X2769" i="2"/>
  <c r="X2770" i="2"/>
  <c r="X2771" i="2"/>
  <c r="X2772" i="2"/>
  <c r="X2773" i="2"/>
  <c r="X2774" i="2"/>
  <c r="X2775" i="2"/>
  <c r="X2776" i="2"/>
  <c r="X2777" i="2"/>
  <c r="X2778" i="2"/>
  <c r="X2779" i="2"/>
  <c r="X2780" i="2"/>
  <c r="X2781" i="2"/>
  <c r="X2782" i="2"/>
  <c r="X2783" i="2"/>
  <c r="X2784" i="2"/>
  <c r="X2785" i="2"/>
  <c r="X2786" i="2"/>
  <c r="X2787" i="2"/>
  <c r="X2788" i="2"/>
  <c r="X2789" i="2"/>
  <c r="X2790" i="2"/>
  <c r="X2791" i="2"/>
  <c r="X2792" i="2"/>
  <c r="X2793" i="2"/>
  <c r="X2794" i="2"/>
  <c r="X2795" i="2"/>
  <c r="X2796" i="2"/>
  <c r="X2797" i="2"/>
  <c r="X2798" i="2"/>
  <c r="X2799" i="2"/>
  <c r="X2800" i="2"/>
  <c r="X2801" i="2"/>
  <c r="X2802" i="2"/>
  <c r="X2803" i="2"/>
  <c r="X2804" i="2"/>
  <c r="X2805" i="2"/>
  <c r="X2806" i="2"/>
  <c r="X2807" i="2"/>
  <c r="X2808" i="2"/>
  <c r="X2809" i="2"/>
  <c r="X2810" i="2"/>
  <c r="X2811" i="2"/>
  <c r="X2812" i="2"/>
  <c r="X2813" i="2"/>
  <c r="X2814" i="2"/>
  <c r="X2815" i="2"/>
  <c r="X2816" i="2"/>
  <c r="X2817" i="2"/>
  <c r="X2818" i="2"/>
  <c r="X2819" i="2"/>
  <c r="X2820" i="2"/>
  <c r="X2821" i="2"/>
  <c r="X2822" i="2"/>
  <c r="X2823" i="2"/>
  <c r="X2824" i="2"/>
  <c r="X2825" i="2"/>
  <c r="X2826" i="2"/>
  <c r="X2827" i="2"/>
  <c r="X2828" i="2"/>
  <c r="X2829" i="2"/>
  <c r="X2830" i="2"/>
  <c r="X2831" i="2"/>
  <c r="X2832" i="2"/>
  <c r="X2833" i="2"/>
  <c r="X2834" i="2"/>
  <c r="X2835" i="2"/>
  <c r="X2836" i="2"/>
  <c r="X2837" i="2"/>
  <c r="X2838" i="2"/>
  <c r="X2839" i="2"/>
  <c r="X2840" i="2"/>
  <c r="X2841" i="2"/>
  <c r="X2842" i="2"/>
  <c r="X2843" i="2"/>
  <c r="X2844" i="2"/>
  <c r="X2845" i="2"/>
  <c r="X2846" i="2"/>
  <c r="X2847" i="2"/>
  <c r="X2848" i="2"/>
  <c r="X2849" i="2"/>
  <c r="X2850" i="2"/>
  <c r="X2851" i="2"/>
  <c r="X2852" i="2"/>
  <c r="X2853" i="2"/>
  <c r="X2854" i="2"/>
  <c r="X2855" i="2"/>
  <c r="X2856" i="2"/>
  <c r="X2857" i="2"/>
  <c r="X2858" i="2"/>
  <c r="X2859" i="2"/>
  <c r="X2860" i="2"/>
  <c r="Y2625" i="2"/>
  <c r="Y2626" i="2"/>
  <c r="Y2627" i="2"/>
  <c r="Y2628" i="2"/>
  <c r="Y2629" i="2"/>
  <c r="Y2630" i="2"/>
  <c r="Y2631" i="2"/>
  <c r="Y2632" i="2"/>
  <c r="Y2633" i="2"/>
  <c r="Y2634" i="2"/>
  <c r="Y2635" i="2"/>
  <c r="Y2636" i="2"/>
  <c r="Y2637" i="2"/>
  <c r="Y2638" i="2"/>
  <c r="Y2639" i="2"/>
  <c r="Y2640" i="2"/>
  <c r="Y2641" i="2"/>
  <c r="Y2642" i="2"/>
  <c r="Y2643" i="2"/>
  <c r="Y2644" i="2"/>
  <c r="Y2645" i="2"/>
  <c r="Y2646" i="2"/>
  <c r="Y2647" i="2"/>
  <c r="Y2648" i="2"/>
  <c r="Y2649" i="2"/>
  <c r="Y2650" i="2"/>
  <c r="Y2651" i="2"/>
  <c r="Y2652" i="2"/>
  <c r="Y2653" i="2"/>
  <c r="Y2654" i="2"/>
  <c r="Y2655" i="2"/>
  <c r="Y2656" i="2"/>
  <c r="Y2657" i="2"/>
  <c r="Y2658" i="2"/>
  <c r="Y2659" i="2"/>
  <c r="Y2660" i="2"/>
  <c r="Y2661" i="2"/>
  <c r="Y2662" i="2"/>
  <c r="Y2663" i="2"/>
  <c r="Y2664" i="2"/>
  <c r="Y2665" i="2"/>
  <c r="Y2666" i="2"/>
  <c r="Y2667" i="2"/>
  <c r="Y2668" i="2"/>
  <c r="Y2669" i="2"/>
  <c r="Y2670" i="2"/>
  <c r="Y2671" i="2"/>
  <c r="Y2672" i="2"/>
  <c r="Y2673" i="2"/>
  <c r="Y2674" i="2"/>
  <c r="Y2675" i="2"/>
  <c r="Y2676" i="2"/>
  <c r="Y2677" i="2"/>
  <c r="Y2678" i="2"/>
  <c r="Y2679" i="2"/>
  <c r="Y2680" i="2"/>
  <c r="Y2681" i="2"/>
  <c r="Y2682" i="2"/>
  <c r="Y2683" i="2"/>
  <c r="Y2684" i="2"/>
  <c r="Y2685" i="2"/>
  <c r="Y2686" i="2"/>
  <c r="Y2687" i="2"/>
  <c r="Y2688" i="2"/>
  <c r="Y2689" i="2"/>
  <c r="Y2690" i="2"/>
  <c r="Y2691" i="2"/>
  <c r="Y2692" i="2"/>
  <c r="Y2693" i="2"/>
  <c r="Y2694" i="2"/>
  <c r="Y2695" i="2"/>
  <c r="Y2696" i="2"/>
  <c r="Y2697" i="2"/>
  <c r="Y2698" i="2"/>
  <c r="Y2699" i="2"/>
  <c r="Y2700" i="2"/>
  <c r="Y2701" i="2"/>
  <c r="Y2702" i="2"/>
  <c r="Y2703" i="2"/>
  <c r="Y2704" i="2"/>
  <c r="Y2705" i="2"/>
  <c r="Y2706" i="2"/>
  <c r="Y2707" i="2"/>
  <c r="Y2708" i="2"/>
  <c r="Y2709" i="2"/>
  <c r="Y2710" i="2"/>
  <c r="Y2711" i="2"/>
  <c r="Y2712" i="2"/>
  <c r="Y2713" i="2"/>
  <c r="Y2714" i="2"/>
  <c r="Y2715" i="2"/>
  <c r="Y2716" i="2"/>
  <c r="Y2717" i="2"/>
  <c r="Y2718" i="2"/>
  <c r="Y2719" i="2"/>
  <c r="Y2720" i="2"/>
  <c r="Y2721" i="2"/>
  <c r="Y2722" i="2"/>
  <c r="Y2723" i="2"/>
  <c r="Y2724" i="2"/>
  <c r="Y2725" i="2"/>
  <c r="Y2726" i="2"/>
  <c r="Y2727" i="2"/>
  <c r="Y2728" i="2"/>
  <c r="Y2729" i="2"/>
  <c r="Y2730" i="2"/>
  <c r="Y2731" i="2"/>
  <c r="Y2732" i="2"/>
  <c r="Y2733" i="2"/>
  <c r="Y2734" i="2"/>
  <c r="Y2735" i="2"/>
  <c r="Y2736" i="2"/>
  <c r="Y2737" i="2"/>
  <c r="Y2738" i="2"/>
  <c r="Y2739" i="2"/>
  <c r="Y2740" i="2"/>
  <c r="Y2741" i="2"/>
  <c r="Y2742" i="2"/>
  <c r="Y2743" i="2"/>
  <c r="Y2744" i="2"/>
  <c r="Y2745" i="2"/>
  <c r="Y2746" i="2"/>
  <c r="Y2747" i="2"/>
  <c r="Y2748" i="2"/>
  <c r="Y2749" i="2"/>
  <c r="Y2750" i="2"/>
  <c r="Y2751" i="2"/>
  <c r="Y2752" i="2"/>
  <c r="Y2753" i="2"/>
  <c r="Y2754" i="2"/>
  <c r="Y2755" i="2"/>
  <c r="Y2756" i="2"/>
  <c r="Y2757" i="2"/>
  <c r="Y2758" i="2"/>
  <c r="Y2759" i="2"/>
  <c r="Y2760" i="2"/>
  <c r="Y2761" i="2"/>
  <c r="Y2762" i="2"/>
  <c r="Y2763" i="2"/>
  <c r="Y2764" i="2"/>
  <c r="Y2765" i="2"/>
  <c r="Y2766" i="2"/>
  <c r="Y2767" i="2"/>
  <c r="Y2768" i="2"/>
  <c r="Y2769" i="2"/>
  <c r="Y2770" i="2"/>
  <c r="Y2771" i="2"/>
  <c r="Y2772" i="2"/>
  <c r="Y2773" i="2"/>
  <c r="Y2774" i="2"/>
  <c r="Y2775" i="2"/>
  <c r="Y2776" i="2"/>
  <c r="Y2777" i="2"/>
  <c r="Y2778" i="2"/>
  <c r="Y2779" i="2"/>
  <c r="Y2780" i="2"/>
  <c r="Y2781" i="2"/>
  <c r="Y2782" i="2"/>
  <c r="Y2783" i="2"/>
  <c r="Y2784" i="2"/>
  <c r="Y2785" i="2"/>
  <c r="Y2786" i="2"/>
  <c r="Y2787" i="2"/>
  <c r="Y2788" i="2"/>
  <c r="Y2789" i="2"/>
  <c r="Y2790" i="2"/>
  <c r="Y2791" i="2"/>
  <c r="Y2792" i="2"/>
  <c r="Y2793" i="2"/>
  <c r="Y2794" i="2"/>
  <c r="Y2795" i="2"/>
  <c r="Y2796" i="2"/>
  <c r="Y2797" i="2"/>
  <c r="Y2798" i="2"/>
  <c r="Y2799" i="2"/>
  <c r="Y2800" i="2"/>
  <c r="Y2801" i="2"/>
  <c r="Y2802" i="2"/>
  <c r="Y2803" i="2"/>
  <c r="Y2804" i="2"/>
  <c r="Y2805" i="2"/>
  <c r="Y2806" i="2"/>
  <c r="Y2807" i="2"/>
  <c r="Y2808" i="2"/>
  <c r="Y2809" i="2"/>
  <c r="Y2810" i="2"/>
  <c r="Y2811" i="2"/>
  <c r="Y2812" i="2"/>
  <c r="Y2813" i="2"/>
  <c r="Y2814" i="2"/>
  <c r="Y2815" i="2"/>
  <c r="Y2816" i="2"/>
  <c r="Y2817" i="2"/>
  <c r="Y2818" i="2"/>
  <c r="Y2819" i="2"/>
  <c r="Y2820" i="2"/>
  <c r="Y2821" i="2"/>
  <c r="Y2822" i="2"/>
  <c r="Y2823" i="2"/>
  <c r="Y2824" i="2"/>
  <c r="Y2825" i="2"/>
  <c r="Y2826" i="2"/>
  <c r="Y2827" i="2"/>
  <c r="Y2828" i="2"/>
  <c r="Y2829" i="2"/>
  <c r="Y2830" i="2"/>
  <c r="Y2831" i="2"/>
  <c r="Y2832" i="2"/>
  <c r="Y2833" i="2"/>
  <c r="Y2834" i="2"/>
  <c r="Y2835" i="2"/>
  <c r="Y2836" i="2"/>
  <c r="Y2837" i="2"/>
  <c r="Y2838" i="2"/>
  <c r="Y2839" i="2"/>
  <c r="Y2840" i="2"/>
  <c r="Y2841" i="2"/>
  <c r="Y2842" i="2"/>
  <c r="Y2843" i="2"/>
  <c r="Y2844" i="2"/>
  <c r="Y2845" i="2"/>
  <c r="Y2846" i="2"/>
  <c r="Y2847" i="2"/>
  <c r="Y2848" i="2"/>
  <c r="Y2849" i="2"/>
  <c r="Y2850" i="2"/>
  <c r="Y2851" i="2"/>
  <c r="Y2852" i="2"/>
  <c r="Y2853" i="2"/>
  <c r="Y2854" i="2"/>
  <c r="Y2855" i="2"/>
  <c r="Y2856" i="2"/>
  <c r="Y2857" i="2"/>
  <c r="Y2858" i="2"/>
  <c r="Y2859" i="2"/>
  <c r="Y2860" i="2"/>
  <c r="Z2625" i="2"/>
  <c r="Z2626" i="2"/>
  <c r="Z2627" i="2"/>
  <c r="Z2628" i="2"/>
  <c r="Z2629" i="2"/>
  <c r="Z2630" i="2"/>
  <c r="Z2631" i="2"/>
  <c r="Z2632" i="2"/>
  <c r="Z2633" i="2"/>
  <c r="Z2634" i="2"/>
  <c r="Z2635" i="2"/>
  <c r="Z2636" i="2"/>
  <c r="Z2637" i="2"/>
  <c r="Z2638" i="2"/>
  <c r="Z2639" i="2"/>
  <c r="Z2640" i="2"/>
  <c r="Z2641" i="2"/>
  <c r="Z2642" i="2"/>
  <c r="Z2643" i="2"/>
  <c r="Z2644" i="2"/>
  <c r="Z2645" i="2"/>
  <c r="Z2646" i="2"/>
  <c r="Z2647" i="2"/>
  <c r="Z2648" i="2"/>
  <c r="Z2649" i="2"/>
  <c r="Z2650" i="2"/>
  <c r="Z2651" i="2"/>
  <c r="Z2652" i="2"/>
  <c r="Z2653" i="2"/>
  <c r="Z2654" i="2"/>
  <c r="Z2655" i="2"/>
  <c r="Z2656" i="2"/>
  <c r="Z2657" i="2"/>
  <c r="Z2658" i="2"/>
  <c r="Z2659" i="2"/>
  <c r="Z2660" i="2"/>
  <c r="Z2661" i="2"/>
  <c r="Z2662" i="2"/>
  <c r="Z2663" i="2"/>
  <c r="Z2664" i="2"/>
  <c r="Z2665" i="2"/>
  <c r="Z2666" i="2"/>
  <c r="Z2667" i="2"/>
  <c r="Z2668" i="2"/>
  <c r="Z2669" i="2"/>
  <c r="Z2670" i="2"/>
  <c r="Z2671" i="2"/>
  <c r="Z2672" i="2"/>
  <c r="Z2673" i="2"/>
  <c r="Z2674" i="2"/>
  <c r="Z2675" i="2"/>
  <c r="Z2676" i="2"/>
  <c r="Z2677" i="2"/>
  <c r="Z2678" i="2"/>
  <c r="Z2679" i="2"/>
  <c r="Z2680" i="2"/>
  <c r="Z2681" i="2"/>
  <c r="Z2682" i="2"/>
  <c r="Z2683" i="2"/>
  <c r="Z2684" i="2"/>
  <c r="Z2685" i="2"/>
  <c r="Z2686" i="2"/>
  <c r="Z2687" i="2"/>
  <c r="Z2688" i="2"/>
  <c r="Z2689" i="2"/>
  <c r="Z2690" i="2"/>
  <c r="Z2691" i="2"/>
  <c r="Z2692" i="2"/>
  <c r="Z2693" i="2"/>
  <c r="Z2694" i="2"/>
  <c r="Z2695" i="2"/>
  <c r="Z2696" i="2"/>
  <c r="Z2697" i="2"/>
  <c r="Z2698" i="2"/>
  <c r="Z2699" i="2"/>
  <c r="Z2700" i="2"/>
  <c r="Z2701" i="2"/>
  <c r="Z2702" i="2"/>
  <c r="Z2703" i="2"/>
  <c r="Z2704" i="2"/>
  <c r="Z2705" i="2"/>
  <c r="Z2706" i="2"/>
  <c r="Z2707" i="2"/>
  <c r="Z2708" i="2"/>
  <c r="Z2709" i="2"/>
  <c r="Z2710" i="2"/>
  <c r="Z2711" i="2"/>
  <c r="Z2712" i="2"/>
  <c r="Z2713" i="2"/>
  <c r="Z2714" i="2"/>
  <c r="Z2715" i="2"/>
  <c r="Z2716" i="2"/>
  <c r="Z2717" i="2"/>
  <c r="Z2718" i="2"/>
  <c r="Z2719" i="2"/>
  <c r="Z2720" i="2"/>
  <c r="Z2721" i="2"/>
  <c r="Z2722" i="2"/>
  <c r="Z2723" i="2"/>
  <c r="Z2724" i="2"/>
  <c r="Z2725" i="2"/>
  <c r="Z2726" i="2"/>
  <c r="Z2727" i="2"/>
  <c r="Z2728" i="2"/>
  <c r="Z2729" i="2"/>
  <c r="Z2730" i="2"/>
  <c r="Z2731" i="2"/>
  <c r="Z2732" i="2"/>
  <c r="Z2733" i="2"/>
  <c r="Z2734" i="2"/>
  <c r="Z2735" i="2"/>
  <c r="Z2736" i="2"/>
  <c r="Z2737" i="2"/>
  <c r="Z2738" i="2"/>
  <c r="Z2739" i="2"/>
  <c r="Z2740" i="2"/>
  <c r="Z2741" i="2"/>
  <c r="Z2742" i="2"/>
  <c r="Z2743" i="2"/>
  <c r="Z2744" i="2"/>
  <c r="Z2745" i="2"/>
  <c r="Z2746" i="2"/>
  <c r="Z2747" i="2"/>
  <c r="Z2748" i="2"/>
  <c r="Z2749" i="2"/>
  <c r="Z2750" i="2"/>
  <c r="Z2751" i="2"/>
  <c r="Z2752" i="2"/>
  <c r="Z2753" i="2"/>
  <c r="Z2754" i="2"/>
  <c r="Z2755" i="2"/>
  <c r="Z2756" i="2"/>
  <c r="Z2757" i="2"/>
  <c r="Z2758" i="2"/>
  <c r="Z2759" i="2"/>
  <c r="Z2760" i="2"/>
  <c r="Z2761" i="2"/>
  <c r="Z2762" i="2"/>
  <c r="Z2763" i="2"/>
  <c r="Z2764" i="2"/>
  <c r="Z2765" i="2"/>
  <c r="Z2766" i="2"/>
  <c r="Z2767" i="2"/>
  <c r="Z2768" i="2"/>
  <c r="Z2769" i="2"/>
  <c r="Z2770" i="2"/>
  <c r="Z2771" i="2"/>
  <c r="Z2772" i="2"/>
  <c r="Z2773" i="2"/>
  <c r="Z2774" i="2"/>
  <c r="Z2775" i="2"/>
  <c r="Z2776" i="2"/>
  <c r="Z2777" i="2"/>
  <c r="Z2778" i="2"/>
  <c r="Z2779" i="2"/>
  <c r="Z2780" i="2"/>
  <c r="Z2781" i="2"/>
  <c r="Z2782" i="2"/>
  <c r="Z2783" i="2"/>
  <c r="Z2784" i="2"/>
  <c r="Z2785" i="2"/>
  <c r="Z2786" i="2"/>
  <c r="Z2787" i="2"/>
  <c r="Z2788" i="2"/>
  <c r="Z2789" i="2"/>
  <c r="Z2790" i="2"/>
  <c r="Z2791" i="2"/>
  <c r="Z2792" i="2"/>
  <c r="Z2793" i="2"/>
  <c r="Z2794" i="2"/>
  <c r="Z2795" i="2"/>
  <c r="Z2796" i="2"/>
  <c r="Z2797" i="2"/>
  <c r="Z2798" i="2"/>
  <c r="Z2799" i="2"/>
  <c r="Z2800" i="2"/>
  <c r="Z2801" i="2"/>
  <c r="Z2802" i="2"/>
  <c r="Z2803" i="2"/>
  <c r="Z2804" i="2"/>
  <c r="Z2805" i="2"/>
  <c r="Z2806" i="2"/>
  <c r="Z2807" i="2"/>
  <c r="Z2808" i="2"/>
  <c r="Z2809" i="2"/>
  <c r="Z2810" i="2"/>
  <c r="Z2811" i="2"/>
  <c r="Z2812" i="2"/>
  <c r="Z2813" i="2"/>
  <c r="Z2814" i="2"/>
  <c r="Z2815" i="2"/>
  <c r="Z2816" i="2"/>
  <c r="Z2817" i="2"/>
  <c r="Z2818" i="2"/>
  <c r="Z2819" i="2"/>
  <c r="Z2820" i="2"/>
  <c r="Z2821" i="2"/>
  <c r="Z2822" i="2"/>
  <c r="Z2823" i="2"/>
  <c r="Z2824" i="2"/>
  <c r="Z2825" i="2"/>
  <c r="Z2826" i="2"/>
  <c r="Z2827" i="2"/>
  <c r="Z2828" i="2"/>
  <c r="Z2829" i="2"/>
  <c r="Z2830" i="2"/>
  <c r="Z2831" i="2"/>
  <c r="Z2832" i="2"/>
  <c r="Z2833" i="2"/>
  <c r="Z2834" i="2"/>
  <c r="Z2835" i="2"/>
  <c r="Z2836" i="2"/>
  <c r="Z2837" i="2"/>
  <c r="Z2838" i="2"/>
  <c r="Z2839" i="2"/>
  <c r="Z2840" i="2"/>
  <c r="Z2841" i="2"/>
  <c r="Z2842" i="2"/>
  <c r="Z2843" i="2"/>
  <c r="Z2844" i="2"/>
  <c r="Z2845" i="2"/>
  <c r="Z2846" i="2"/>
  <c r="Z2847" i="2"/>
  <c r="Z2848" i="2"/>
  <c r="Z2849" i="2"/>
  <c r="Z2850" i="2"/>
  <c r="Z2851" i="2"/>
  <c r="Z2852" i="2"/>
  <c r="Z2853" i="2"/>
  <c r="Z2854" i="2"/>
  <c r="Z2855" i="2"/>
  <c r="Z2856" i="2"/>
  <c r="Z2857" i="2"/>
  <c r="Z2858" i="2"/>
  <c r="Z2859" i="2"/>
  <c r="Z2860" i="2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C1201" i="1"/>
  <c r="AD1201" i="1"/>
  <c r="AC1202" i="1"/>
  <c r="AD1202" i="1"/>
  <c r="AC1203" i="1"/>
  <c r="AD1203" i="1"/>
  <c r="AC1204" i="1"/>
  <c r="AC1205" i="1"/>
  <c r="AC1206" i="1"/>
  <c r="AD1206" i="1"/>
  <c r="AC1207" i="1"/>
  <c r="AD1207" i="1"/>
  <c r="AC1208" i="1"/>
  <c r="AD1208" i="1"/>
  <c r="AC1209" i="1"/>
  <c r="AD1209" i="1"/>
  <c r="AC1210" i="1"/>
  <c r="AD1210" i="1"/>
  <c r="AC1211" i="1"/>
  <c r="AD1211" i="1"/>
  <c r="AC1212" i="1"/>
  <c r="AC1213" i="1"/>
  <c r="AC1214" i="1"/>
  <c r="AD1214" i="1"/>
  <c r="AC1215" i="1"/>
  <c r="AD1215" i="1"/>
  <c r="AC1216" i="1"/>
  <c r="AD1216" i="1"/>
  <c r="AC1217" i="1"/>
  <c r="AD1217" i="1"/>
  <c r="AC1218" i="1"/>
  <c r="AD1218" i="1"/>
  <c r="AC1219" i="1"/>
  <c r="AD1219" i="1"/>
  <c r="AC1220" i="1"/>
  <c r="AC1221" i="1"/>
  <c r="AC1222" i="1"/>
  <c r="AD1222" i="1"/>
  <c r="AC1223" i="1"/>
  <c r="AD1223" i="1"/>
  <c r="AC1224" i="1"/>
  <c r="AD1224" i="1"/>
  <c r="AC1225" i="1"/>
  <c r="AD1225" i="1"/>
  <c r="AC1226" i="1"/>
  <c r="AD1226" i="1"/>
  <c r="AC1227" i="1"/>
  <c r="AD1227" i="1"/>
  <c r="AC1228" i="1"/>
  <c r="AC1229" i="1"/>
  <c r="AC1230" i="1"/>
  <c r="AD1230" i="1"/>
  <c r="AC1231" i="1"/>
  <c r="AD1231" i="1"/>
  <c r="AC1232" i="1"/>
  <c r="AD1232" i="1"/>
  <c r="AC1233" i="1"/>
  <c r="AD1233" i="1"/>
  <c r="AC1234" i="1"/>
  <c r="AD1234" i="1"/>
  <c r="AC1235" i="1"/>
  <c r="AD1235" i="1"/>
  <c r="AC1236" i="1"/>
  <c r="AC1237" i="1"/>
  <c r="AC1238" i="1"/>
  <c r="AD1238" i="1"/>
  <c r="AC1239" i="1"/>
  <c r="AD1239" i="1"/>
  <c r="AC1240" i="1"/>
  <c r="AD1240" i="1"/>
  <c r="AC1241" i="1"/>
  <c r="AD1241" i="1"/>
  <c r="AC1242" i="1"/>
  <c r="AD1242" i="1"/>
  <c r="AC1243" i="1"/>
  <c r="AD1243" i="1"/>
  <c r="AC1244" i="1"/>
  <c r="AC1245" i="1"/>
  <c r="AC1246" i="1"/>
  <c r="AD1246" i="1"/>
  <c r="AC1247" i="1"/>
  <c r="AD1247" i="1"/>
  <c r="AC1248" i="1"/>
  <c r="AD1248" i="1"/>
  <c r="AC1249" i="1"/>
  <c r="AD1249" i="1"/>
  <c r="AC1250" i="1"/>
  <c r="AD1250" i="1"/>
  <c r="AC1251" i="1"/>
  <c r="AD1251" i="1"/>
  <c r="AC1252" i="1"/>
  <c r="AC1253" i="1"/>
  <c r="AC1254" i="1"/>
  <c r="AD1254" i="1"/>
  <c r="AC1255" i="1"/>
  <c r="AD1255" i="1"/>
  <c r="AC1256" i="1"/>
  <c r="AD1256" i="1"/>
  <c r="AC1257" i="1"/>
  <c r="AD1257" i="1"/>
  <c r="AC1258" i="1"/>
  <c r="AD1258" i="1"/>
  <c r="AC1259" i="1"/>
  <c r="AD1259" i="1"/>
  <c r="AC1260" i="1"/>
  <c r="AC1261" i="1"/>
  <c r="AC1262" i="1"/>
  <c r="AD1262" i="1"/>
  <c r="AC1263" i="1"/>
  <c r="AD1263" i="1"/>
  <c r="AC1264" i="1"/>
  <c r="AD1264" i="1"/>
  <c r="AC1265" i="1"/>
  <c r="AD1265" i="1"/>
  <c r="AC1266" i="1"/>
  <c r="AD1266" i="1"/>
  <c r="AC1267" i="1"/>
  <c r="AD1267" i="1"/>
  <c r="AC1268" i="1"/>
  <c r="AC1269" i="1"/>
  <c r="AC1270" i="1"/>
  <c r="AD1270" i="1"/>
  <c r="AC1271" i="1"/>
  <c r="AD1271" i="1"/>
  <c r="AC1272" i="1"/>
  <c r="AD1272" i="1"/>
  <c r="AC1273" i="1"/>
  <c r="AD1273" i="1"/>
  <c r="AC1274" i="1"/>
  <c r="AD1274" i="1"/>
  <c r="AC1275" i="1"/>
  <c r="AD1275" i="1"/>
  <c r="AC1276" i="1"/>
  <c r="AC1277" i="1"/>
  <c r="AC1278" i="1"/>
  <c r="AD1278" i="1"/>
  <c r="AC1279" i="1"/>
  <c r="AD1279" i="1"/>
  <c r="AC1280" i="1"/>
  <c r="AD1280" i="1"/>
  <c r="AC1281" i="1"/>
  <c r="AD1281" i="1"/>
  <c r="AC1282" i="1"/>
  <c r="AD1282" i="1"/>
  <c r="AC1283" i="1"/>
  <c r="AD1283" i="1"/>
  <c r="AC1284" i="1"/>
  <c r="AC1285" i="1"/>
  <c r="AC1286" i="1"/>
  <c r="AD1286" i="1"/>
  <c r="AC1287" i="1"/>
  <c r="AD1287" i="1"/>
  <c r="AC1288" i="1"/>
  <c r="AD1288" i="1"/>
  <c r="AC1289" i="1"/>
  <c r="AD1289" i="1"/>
  <c r="AC1290" i="1"/>
  <c r="AD1290" i="1"/>
  <c r="AC1291" i="1"/>
  <c r="AD1291" i="1"/>
  <c r="AC1292" i="1"/>
  <c r="AC1293" i="1"/>
  <c r="AC1294" i="1"/>
  <c r="AD1294" i="1"/>
  <c r="AC1295" i="1"/>
  <c r="AD1295" i="1"/>
  <c r="AC1296" i="1"/>
  <c r="AD1296" i="1"/>
  <c r="AC1297" i="1"/>
  <c r="AD1297" i="1"/>
  <c r="AC1298" i="1"/>
  <c r="AD1298" i="1"/>
  <c r="AC1299" i="1"/>
  <c r="AD1299" i="1"/>
  <c r="AC1300" i="1"/>
  <c r="AC1301" i="1"/>
  <c r="AC1302" i="1"/>
  <c r="AD1302" i="1"/>
  <c r="AC1303" i="1"/>
  <c r="AD1303" i="1"/>
  <c r="AC1304" i="1"/>
  <c r="AD1304" i="1"/>
  <c r="AC1305" i="1"/>
  <c r="AD1305" i="1"/>
  <c r="AC1306" i="1"/>
  <c r="AD1306" i="1"/>
  <c r="AC1307" i="1"/>
  <c r="AD1307" i="1"/>
  <c r="AC1308" i="1"/>
  <c r="AC1309" i="1"/>
  <c r="AC1310" i="1"/>
  <c r="AD1310" i="1"/>
  <c r="AC1311" i="1"/>
  <c r="AD1311" i="1"/>
  <c r="AC1312" i="1"/>
  <c r="AD1312" i="1"/>
  <c r="AC1313" i="1"/>
  <c r="AD1313" i="1"/>
  <c r="AC1314" i="1"/>
  <c r="AD1314" i="1"/>
  <c r="AC1315" i="1"/>
  <c r="AD1315" i="1"/>
  <c r="AC1316" i="1"/>
  <c r="AC1317" i="1"/>
  <c r="AC1318" i="1"/>
  <c r="AD1318" i="1"/>
  <c r="AD1204" i="1"/>
  <c r="AD1205" i="1"/>
  <c r="AD1212" i="1"/>
  <c r="AD1213" i="1"/>
  <c r="AD1220" i="1"/>
  <c r="AD1221" i="1"/>
  <c r="AD1228" i="1"/>
  <c r="AD1229" i="1"/>
  <c r="AD1236" i="1"/>
  <c r="AD1237" i="1"/>
  <c r="AD1244" i="1"/>
  <c r="AD1245" i="1"/>
  <c r="AD1252" i="1"/>
  <c r="AD1253" i="1"/>
  <c r="AD1260" i="1"/>
  <c r="AD1261" i="1"/>
  <c r="AD1268" i="1"/>
  <c r="AD1269" i="1"/>
  <c r="AD1276" i="1"/>
  <c r="AD1277" i="1"/>
  <c r="AD1284" i="1"/>
  <c r="AD1285" i="1"/>
  <c r="AD1292" i="1"/>
  <c r="AD1293" i="1"/>
  <c r="AD1300" i="1"/>
  <c r="AD1301" i="1"/>
  <c r="AD1308" i="1"/>
  <c r="AD1309" i="1"/>
  <c r="AD1316" i="1"/>
  <c r="AD1317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I1201" i="1"/>
  <c r="AI1202" i="1"/>
  <c r="AI1203" i="1"/>
  <c r="AI1204" i="1"/>
  <c r="AI1205" i="1"/>
  <c r="AI1206" i="1"/>
  <c r="AI1207" i="1"/>
  <c r="AI1208" i="1"/>
  <c r="AI1209" i="1"/>
  <c r="AI1210" i="1"/>
  <c r="AI1211" i="1"/>
  <c r="AI1212" i="1"/>
  <c r="AI1213" i="1"/>
  <c r="AI1214" i="1"/>
  <c r="AI1215" i="1"/>
  <c r="AI1216" i="1"/>
  <c r="AI1217" i="1"/>
  <c r="AI1218" i="1"/>
  <c r="AI1219" i="1"/>
  <c r="AI1220" i="1"/>
  <c r="AI1221" i="1"/>
  <c r="AI1222" i="1"/>
  <c r="AI1223" i="1"/>
  <c r="AI1224" i="1"/>
  <c r="AI1225" i="1"/>
  <c r="AI1226" i="1"/>
  <c r="AI1227" i="1"/>
  <c r="AI1228" i="1"/>
  <c r="AI1229" i="1"/>
  <c r="AI1230" i="1"/>
  <c r="AI1231" i="1"/>
  <c r="AI1232" i="1"/>
  <c r="AJ1232" i="1"/>
  <c r="AK1232" i="1"/>
  <c r="AI1233" i="1"/>
  <c r="AI1234" i="1"/>
  <c r="AI1235" i="1"/>
  <c r="AI1236" i="1"/>
  <c r="AJ1236" i="1"/>
  <c r="AK1236" i="1"/>
  <c r="AI1237" i="1"/>
  <c r="AI1238" i="1"/>
  <c r="AI1239" i="1"/>
  <c r="AI1240" i="1"/>
  <c r="AJ1240" i="1"/>
  <c r="AK1240" i="1"/>
  <c r="AI1241" i="1"/>
  <c r="AI1242" i="1"/>
  <c r="AI1243" i="1"/>
  <c r="AI1244" i="1"/>
  <c r="AJ1244" i="1"/>
  <c r="AK1244" i="1"/>
  <c r="AI1245" i="1"/>
  <c r="AI1246" i="1"/>
  <c r="AI1247" i="1"/>
  <c r="AI1248" i="1"/>
  <c r="AJ1248" i="1"/>
  <c r="AK1248" i="1"/>
  <c r="AI1249" i="1"/>
  <c r="AI1250" i="1"/>
  <c r="AI1251" i="1"/>
  <c r="AI1252" i="1"/>
  <c r="AJ1252" i="1"/>
  <c r="AK1252" i="1"/>
  <c r="AI1253" i="1"/>
  <c r="AI1254" i="1"/>
  <c r="AI1255" i="1"/>
  <c r="AI1256" i="1"/>
  <c r="AJ1256" i="1"/>
  <c r="AK1256" i="1"/>
  <c r="AI1257" i="1"/>
  <c r="AI1258" i="1"/>
  <c r="AI1259" i="1"/>
  <c r="AI1260" i="1"/>
  <c r="AJ1260" i="1"/>
  <c r="AK1260" i="1"/>
  <c r="AI1261" i="1"/>
  <c r="AI1262" i="1"/>
  <c r="AI1263" i="1"/>
  <c r="AI1264" i="1"/>
  <c r="AJ1264" i="1"/>
  <c r="AK1264" i="1"/>
  <c r="AI1265" i="1"/>
  <c r="AI1266" i="1"/>
  <c r="AI1267" i="1"/>
  <c r="AI1268" i="1"/>
  <c r="AJ1268" i="1"/>
  <c r="AK1268" i="1"/>
  <c r="AI1269" i="1"/>
  <c r="AI1270" i="1"/>
  <c r="AI1271" i="1"/>
  <c r="AI1272" i="1"/>
  <c r="AJ1272" i="1"/>
  <c r="AK1272" i="1"/>
  <c r="AI1273" i="1"/>
  <c r="AI1274" i="1"/>
  <c r="AI1275" i="1"/>
  <c r="AI1276" i="1"/>
  <c r="AJ1276" i="1"/>
  <c r="AK1276" i="1"/>
  <c r="AI1277" i="1"/>
  <c r="AJ1277" i="1"/>
  <c r="AK1277" i="1"/>
  <c r="AI1278" i="1"/>
  <c r="AI1279" i="1"/>
  <c r="AI1280" i="1"/>
  <c r="AJ1280" i="1"/>
  <c r="AK1280" i="1"/>
  <c r="AI1281" i="1"/>
  <c r="AJ1281" i="1"/>
  <c r="AK1281" i="1"/>
  <c r="AI1282" i="1"/>
  <c r="AI1283" i="1"/>
  <c r="AI1284" i="1"/>
  <c r="AJ1284" i="1"/>
  <c r="AK1284" i="1"/>
  <c r="AI1285" i="1"/>
  <c r="AJ1285" i="1"/>
  <c r="AK1285" i="1"/>
  <c r="AI1286" i="1"/>
  <c r="AI1287" i="1"/>
  <c r="AI1288" i="1"/>
  <c r="AJ1288" i="1"/>
  <c r="AK1288" i="1"/>
  <c r="AI1289" i="1"/>
  <c r="AJ1289" i="1"/>
  <c r="AK1289" i="1"/>
  <c r="AI1290" i="1"/>
  <c r="AJ1290" i="1"/>
  <c r="AK1290" i="1"/>
  <c r="AI1291" i="1"/>
  <c r="AI1292" i="1"/>
  <c r="AJ1292" i="1"/>
  <c r="AK1292" i="1"/>
  <c r="AI1293" i="1"/>
  <c r="AJ1293" i="1"/>
  <c r="AK1293" i="1"/>
  <c r="AI1294" i="1"/>
  <c r="AJ1294" i="1"/>
  <c r="AK1294" i="1"/>
  <c r="AI1295" i="1"/>
  <c r="AI1296" i="1"/>
  <c r="AJ1296" i="1"/>
  <c r="AK1296" i="1"/>
  <c r="AI1297" i="1"/>
  <c r="AJ1297" i="1"/>
  <c r="AK1297" i="1"/>
  <c r="AI1298" i="1"/>
  <c r="AJ1298" i="1"/>
  <c r="AK1298" i="1"/>
  <c r="AI1299" i="1"/>
  <c r="AI1300" i="1"/>
  <c r="AJ1300" i="1"/>
  <c r="AK1300" i="1"/>
  <c r="AI1301" i="1"/>
  <c r="AJ1301" i="1"/>
  <c r="AK1301" i="1"/>
  <c r="AI1302" i="1"/>
  <c r="AJ1302" i="1"/>
  <c r="AK1302" i="1"/>
  <c r="AI1303" i="1"/>
  <c r="AI1304" i="1"/>
  <c r="AJ1304" i="1"/>
  <c r="AK1304" i="1"/>
  <c r="AI1305" i="1"/>
  <c r="AJ1305" i="1"/>
  <c r="AK1305" i="1"/>
  <c r="AI1306" i="1"/>
  <c r="AJ1306" i="1"/>
  <c r="AK1306" i="1"/>
  <c r="AI1307" i="1"/>
  <c r="AJ1307" i="1"/>
  <c r="AK1307" i="1"/>
  <c r="AI1308" i="1"/>
  <c r="AJ1308" i="1"/>
  <c r="AK1308" i="1"/>
  <c r="AI1309" i="1"/>
  <c r="AI1310" i="1"/>
  <c r="AJ1310" i="1"/>
  <c r="AK1310" i="1"/>
  <c r="AI1311" i="1"/>
  <c r="AJ1311" i="1"/>
  <c r="AK1311" i="1"/>
  <c r="AI1312" i="1"/>
  <c r="AJ1312" i="1"/>
  <c r="AK1312" i="1"/>
  <c r="AI1313" i="1"/>
  <c r="AI1314" i="1"/>
  <c r="AJ1314" i="1"/>
  <c r="AK1314" i="1"/>
  <c r="AI1315" i="1"/>
  <c r="AJ1315" i="1"/>
  <c r="AK1315" i="1"/>
  <c r="AI1316" i="1"/>
  <c r="AJ1316" i="1"/>
  <c r="AK1316" i="1"/>
  <c r="AI1317" i="1"/>
  <c r="AJ1317" i="1"/>
  <c r="AK1317" i="1"/>
  <c r="AI1318" i="1"/>
  <c r="AJ1318" i="1"/>
  <c r="AK1318" i="1"/>
  <c r="AJ1201" i="1"/>
  <c r="AK1201" i="1"/>
  <c r="AJ1202" i="1"/>
  <c r="AK1202" i="1"/>
  <c r="AJ1203" i="1"/>
  <c r="AJ1204" i="1"/>
  <c r="AK1204" i="1"/>
  <c r="AJ1205" i="1"/>
  <c r="AK1205" i="1"/>
  <c r="AJ1206" i="1"/>
  <c r="AK1206" i="1"/>
  <c r="AJ1207" i="1"/>
  <c r="AK1207" i="1"/>
  <c r="AJ1208" i="1"/>
  <c r="AK1208" i="1"/>
  <c r="AJ1209" i="1"/>
  <c r="AK1209" i="1"/>
  <c r="AJ1210" i="1"/>
  <c r="AK1210" i="1"/>
  <c r="AJ1211" i="1"/>
  <c r="AJ1212" i="1"/>
  <c r="AK1212" i="1"/>
  <c r="AJ1213" i="1"/>
  <c r="AK1213" i="1"/>
  <c r="AJ1214" i="1"/>
  <c r="AK1214" i="1"/>
  <c r="AJ1215" i="1"/>
  <c r="AK1215" i="1"/>
  <c r="AJ1216" i="1"/>
  <c r="AK1216" i="1"/>
  <c r="AJ1217" i="1"/>
  <c r="AK1217" i="1"/>
  <c r="AJ1218" i="1"/>
  <c r="AK1218" i="1"/>
  <c r="AJ1219" i="1"/>
  <c r="AJ1220" i="1"/>
  <c r="AK1220" i="1"/>
  <c r="AJ1221" i="1"/>
  <c r="AK1221" i="1"/>
  <c r="AJ1222" i="1"/>
  <c r="AK1222" i="1"/>
  <c r="AJ1223" i="1"/>
  <c r="AK1223" i="1"/>
  <c r="AJ1224" i="1"/>
  <c r="AK1224" i="1"/>
  <c r="AJ1225" i="1"/>
  <c r="AK1225" i="1"/>
  <c r="AJ1226" i="1"/>
  <c r="AK1226" i="1"/>
  <c r="AJ1227" i="1"/>
  <c r="AJ1228" i="1"/>
  <c r="AK1228" i="1"/>
  <c r="AJ1229" i="1"/>
  <c r="AK1229" i="1"/>
  <c r="AJ1230" i="1"/>
  <c r="AK1230" i="1"/>
  <c r="AJ1231" i="1"/>
  <c r="AK1231" i="1"/>
  <c r="AJ1233" i="1"/>
  <c r="AK1233" i="1"/>
  <c r="AJ1234" i="1"/>
  <c r="AK1234" i="1"/>
  <c r="AJ1235" i="1"/>
  <c r="AJ1237" i="1"/>
  <c r="AK1237" i="1"/>
  <c r="AJ1238" i="1"/>
  <c r="AK1238" i="1"/>
  <c r="AJ1239" i="1"/>
  <c r="AK1239" i="1"/>
  <c r="AJ1241" i="1"/>
  <c r="AK1241" i="1"/>
  <c r="AJ1242" i="1"/>
  <c r="AK1242" i="1"/>
  <c r="AJ1243" i="1"/>
  <c r="AJ1245" i="1"/>
  <c r="AK1245" i="1"/>
  <c r="AJ1246" i="1"/>
  <c r="AK1246" i="1"/>
  <c r="AJ1247" i="1"/>
  <c r="AK1247" i="1"/>
  <c r="AJ1249" i="1"/>
  <c r="AK1249" i="1"/>
  <c r="AJ1250" i="1"/>
  <c r="AK1250" i="1"/>
  <c r="AJ1251" i="1"/>
  <c r="AJ1253" i="1"/>
  <c r="AK1253" i="1"/>
  <c r="AJ1254" i="1"/>
  <c r="AK1254" i="1"/>
  <c r="AJ1255" i="1"/>
  <c r="AK1255" i="1"/>
  <c r="AJ1257" i="1"/>
  <c r="AK1257" i="1"/>
  <c r="AJ1258" i="1"/>
  <c r="AK1258" i="1"/>
  <c r="AJ1259" i="1"/>
  <c r="AJ1261" i="1"/>
  <c r="AK1261" i="1"/>
  <c r="AJ1262" i="1"/>
  <c r="AK1262" i="1"/>
  <c r="AJ1263" i="1"/>
  <c r="AK1263" i="1"/>
  <c r="AJ1265" i="1"/>
  <c r="AK1265" i="1"/>
  <c r="AJ1266" i="1"/>
  <c r="AK1266" i="1"/>
  <c r="AJ1267" i="1"/>
  <c r="AJ1269" i="1"/>
  <c r="AK1269" i="1"/>
  <c r="AJ1270" i="1"/>
  <c r="AK1270" i="1"/>
  <c r="AJ1271" i="1"/>
  <c r="AK1271" i="1"/>
  <c r="AJ1273" i="1"/>
  <c r="AK1273" i="1"/>
  <c r="AJ1274" i="1"/>
  <c r="AK1274" i="1"/>
  <c r="AJ1275" i="1"/>
  <c r="AJ1278" i="1"/>
  <c r="AK1278" i="1"/>
  <c r="AJ1279" i="1"/>
  <c r="AK1279" i="1"/>
  <c r="AJ1282" i="1"/>
  <c r="AK1282" i="1"/>
  <c r="AJ1283" i="1"/>
  <c r="AJ1286" i="1"/>
  <c r="AK1286" i="1"/>
  <c r="AJ1287" i="1"/>
  <c r="AK1287" i="1"/>
  <c r="AJ1291" i="1"/>
  <c r="AK1291" i="1"/>
  <c r="AJ1295" i="1"/>
  <c r="AK1295" i="1"/>
  <c r="AJ1299" i="1"/>
  <c r="AK1299" i="1"/>
  <c r="AJ1303" i="1"/>
  <c r="AK1303" i="1"/>
  <c r="AJ1309" i="1"/>
  <c r="AK1309" i="1"/>
  <c r="AJ1313" i="1"/>
  <c r="AK1313" i="1"/>
  <c r="AK1203" i="1"/>
  <c r="AK1211" i="1"/>
  <c r="AK1219" i="1"/>
  <c r="AK1227" i="1"/>
  <c r="AK1235" i="1"/>
  <c r="AK1243" i="1"/>
  <c r="AK1251" i="1"/>
  <c r="AK1259" i="1"/>
  <c r="AK1267" i="1"/>
  <c r="AK1275" i="1"/>
  <c r="AK1283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M1249" i="1"/>
  <c r="AN1249" i="1"/>
  <c r="AL1250" i="1"/>
  <c r="AL1251" i="1"/>
  <c r="AL1252" i="1"/>
  <c r="AL1253" i="1"/>
  <c r="AM1253" i="1"/>
  <c r="AN1253" i="1"/>
  <c r="AL1254" i="1"/>
  <c r="AL1255" i="1"/>
  <c r="AL1256" i="1"/>
  <c r="AL1257" i="1"/>
  <c r="AM1257" i="1"/>
  <c r="AN1257" i="1"/>
  <c r="AL1258" i="1"/>
  <c r="AL1259" i="1"/>
  <c r="AL1260" i="1"/>
  <c r="AL1261" i="1"/>
  <c r="AM1261" i="1"/>
  <c r="AN1261" i="1"/>
  <c r="AL1262" i="1"/>
  <c r="AL1263" i="1"/>
  <c r="AL1264" i="1"/>
  <c r="AL1265" i="1"/>
  <c r="AM1265" i="1"/>
  <c r="AN1265" i="1"/>
  <c r="AL1266" i="1"/>
  <c r="AL1267" i="1"/>
  <c r="AL1268" i="1"/>
  <c r="AL1269" i="1"/>
  <c r="AM1269" i="1"/>
  <c r="AN1269" i="1"/>
  <c r="AL1270" i="1"/>
  <c r="AM1270" i="1"/>
  <c r="AN1270" i="1"/>
  <c r="AL1271" i="1"/>
  <c r="AM1271" i="1"/>
  <c r="AL1272" i="1"/>
  <c r="AL1273" i="1"/>
  <c r="AL1274" i="1"/>
  <c r="AL1275" i="1"/>
  <c r="AM1275" i="1"/>
  <c r="AN1275" i="1"/>
  <c r="AL1276" i="1"/>
  <c r="AL1277" i="1"/>
  <c r="AM1277" i="1"/>
  <c r="AN1277" i="1"/>
  <c r="AL1278" i="1"/>
  <c r="AL1279" i="1"/>
  <c r="AM1279" i="1"/>
  <c r="AN1279" i="1"/>
  <c r="AL1280" i="1"/>
  <c r="AL1281" i="1"/>
  <c r="AM1281" i="1"/>
  <c r="AN1281" i="1"/>
  <c r="AL1282" i="1"/>
  <c r="AL1283" i="1"/>
  <c r="AM1283" i="1"/>
  <c r="AN1283" i="1"/>
  <c r="AL1284" i="1"/>
  <c r="AL1285" i="1"/>
  <c r="AM1285" i="1"/>
  <c r="AN1285" i="1"/>
  <c r="AL1286" i="1"/>
  <c r="AM1286" i="1"/>
  <c r="AN1286" i="1"/>
  <c r="AL1287" i="1"/>
  <c r="AM1287" i="1"/>
  <c r="AN1287" i="1"/>
  <c r="AL1288" i="1"/>
  <c r="AL1289" i="1"/>
  <c r="AM1289" i="1"/>
  <c r="AN1289" i="1"/>
  <c r="AL1290" i="1"/>
  <c r="AM1290" i="1"/>
  <c r="AN1290" i="1"/>
  <c r="AL1291" i="1"/>
  <c r="AM1291" i="1"/>
  <c r="AN1291" i="1"/>
  <c r="AL1292" i="1"/>
  <c r="AL1293" i="1"/>
  <c r="AM1293" i="1"/>
  <c r="AN1293" i="1"/>
  <c r="AL1294" i="1"/>
  <c r="AL1295" i="1"/>
  <c r="AM1295" i="1"/>
  <c r="AN1295" i="1"/>
  <c r="AL1296" i="1"/>
  <c r="AL1297" i="1"/>
  <c r="AM1297" i="1"/>
  <c r="AN1297" i="1"/>
  <c r="AL1298" i="1"/>
  <c r="AL1299" i="1"/>
  <c r="AM1299" i="1"/>
  <c r="AN1299" i="1"/>
  <c r="AL1300" i="1"/>
  <c r="AL1301" i="1"/>
  <c r="AM1301" i="1"/>
  <c r="AN1301" i="1"/>
  <c r="AL1302" i="1"/>
  <c r="AM1302" i="1"/>
  <c r="AN1302" i="1"/>
  <c r="AL1303" i="1"/>
  <c r="AM1303" i="1"/>
  <c r="AN1303" i="1"/>
  <c r="AL1304" i="1"/>
  <c r="AL1305" i="1"/>
  <c r="AM1305" i="1"/>
  <c r="AN1305" i="1"/>
  <c r="AL1306" i="1"/>
  <c r="AM1306" i="1"/>
  <c r="AN1306" i="1"/>
  <c r="AL1307" i="1"/>
  <c r="AM1307" i="1"/>
  <c r="AN1307" i="1"/>
  <c r="AL1308" i="1"/>
  <c r="AM1308" i="1"/>
  <c r="AL1309" i="1"/>
  <c r="AM1309" i="1"/>
  <c r="AN1309" i="1"/>
  <c r="AL1310" i="1"/>
  <c r="AL1311" i="1"/>
  <c r="AM1311" i="1"/>
  <c r="AN1311" i="1"/>
  <c r="AL1312" i="1"/>
  <c r="AM1312" i="1"/>
  <c r="AN1312" i="1"/>
  <c r="AL1313" i="1"/>
  <c r="AM1313" i="1"/>
  <c r="AN1313" i="1"/>
  <c r="AL1314" i="1"/>
  <c r="AM1314" i="1"/>
  <c r="AN1314" i="1"/>
  <c r="AL1315" i="1"/>
  <c r="AM1315" i="1"/>
  <c r="AN1315" i="1"/>
  <c r="AL1316" i="1"/>
  <c r="AM1316" i="1"/>
  <c r="AN1316" i="1"/>
  <c r="AL1317" i="1"/>
  <c r="AM1317" i="1"/>
  <c r="AN1317" i="1"/>
  <c r="AL1318" i="1"/>
  <c r="AM1201" i="1"/>
  <c r="AN1201" i="1"/>
  <c r="AM1202" i="1"/>
  <c r="AN1202" i="1"/>
  <c r="AM1203" i="1"/>
  <c r="AN1203" i="1"/>
  <c r="AM1204" i="1"/>
  <c r="AN1204" i="1"/>
  <c r="AM1205" i="1"/>
  <c r="AN1205" i="1"/>
  <c r="AM1206" i="1"/>
  <c r="AN1206" i="1"/>
  <c r="AM1207" i="1"/>
  <c r="AN1207" i="1"/>
  <c r="AM1208" i="1"/>
  <c r="AM1209" i="1"/>
  <c r="AN1209" i="1"/>
  <c r="AM1210" i="1"/>
  <c r="AN1210" i="1"/>
  <c r="AM1211" i="1"/>
  <c r="AN1211" i="1"/>
  <c r="AM1212" i="1"/>
  <c r="AN1212" i="1"/>
  <c r="AM1213" i="1"/>
  <c r="AN1213" i="1"/>
  <c r="AM1214" i="1"/>
  <c r="AN1214" i="1"/>
  <c r="AM1215" i="1"/>
  <c r="AN1215" i="1"/>
  <c r="AM1216" i="1"/>
  <c r="AM1217" i="1"/>
  <c r="AN1217" i="1"/>
  <c r="AM1218" i="1"/>
  <c r="AN1218" i="1"/>
  <c r="AM1219" i="1"/>
  <c r="AN1219" i="1"/>
  <c r="AM1220" i="1"/>
  <c r="AN1220" i="1"/>
  <c r="AM1221" i="1"/>
  <c r="AN1221" i="1"/>
  <c r="AM1222" i="1"/>
  <c r="AN1222" i="1"/>
  <c r="AM1223" i="1"/>
  <c r="AN1223" i="1"/>
  <c r="AM1224" i="1"/>
  <c r="AN1224" i="1"/>
  <c r="AM1225" i="1"/>
  <c r="AN1225" i="1"/>
  <c r="AM1226" i="1"/>
  <c r="AN1226" i="1"/>
  <c r="AM1227" i="1"/>
  <c r="AN1227" i="1"/>
  <c r="AM1228" i="1"/>
  <c r="AN1228" i="1"/>
  <c r="AM1229" i="1"/>
  <c r="AN1229" i="1"/>
  <c r="AM1230" i="1"/>
  <c r="AN1230" i="1"/>
  <c r="AM1231" i="1"/>
  <c r="AN1231" i="1"/>
  <c r="AM1232" i="1"/>
  <c r="AM1233" i="1"/>
  <c r="AN1233" i="1"/>
  <c r="AM1234" i="1"/>
  <c r="AN1234" i="1"/>
  <c r="AM1235" i="1"/>
  <c r="AN1235" i="1"/>
  <c r="AM1236" i="1"/>
  <c r="AN1236" i="1"/>
  <c r="AM1237" i="1"/>
  <c r="AN1237" i="1"/>
  <c r="AM1238" i="1"/>
  <c r="AN1238" i="1"/>
  <c r="AM1239" i="1"/>
  <c r="AN1239" i="1"/>
  <c r="AM1240" i="1"/>
  <c r="AM1241" i="1"/>
  <c r="AN1241" i="1"/>
  <c r="AM1242" i="1"/>
  <c r="AN1242" i="1"/>
  <c r="AM1243" i="1"/>
  <c r="AN1243" i="1"/>
  <c r="AM1244" i="1"/>
  <c r="AN1244" i="1"/>
  <c r="AM1245" i="1"/>
  <c r="AN1245" i="1"/>
  <c r="AM1246" i="1"/>
  <c r="AN1246" i="1"/>
  <c r="AM1247" i="1"/>
  <c r="AN1247" i="1"/>
  <c r="AM1248" i="1"/>
  <c r="AM1250" i="1"/>
  <c r="AN1250" i="1"/>
  <c r="AM1251" i="1"/>
  <c r="AN1251" i="1"/>
  <c r="AM1252" i="1"/>
  <c r="AN1252" i="1"/>
  <c r="AM1254" i="1"/>
  <c r="AN1254" i="1"/>
  <c r="AM1255" i="1"/>
  <c r="AN1255" i="1"/>
  <c r="AM1256" i="1"/>
  <c r="AN1256" i="1"/>
  <c r="AM1258" i="1"/>
  <c r="AN1258" i="1"/>
  <c r="AM1259" i="1"/>
  <c r="AN1259" i="1"/>
  <c r="AM1260" i="1"/>
  <c r="AN1260" i="1"/>
  <c r="AM1262" i="1"/>
  <c r="AN1262" i="1"/>
  <c r="AM1263" i="1"/>
  <c r="AN1263" i="1"/>
  <c r="AM1264" i="1"/>
  <c r="AM1266" i="1"/>
  <c r="AN1266" i="1"/>
  <c r="AM1267" i="1"/>
  <c r="AN1267" i="1"/>
  <c r="AM1268" i="1"/>
  <c r="AN1268" i="1"/>
  <c r="AM1272" i="1"/>
  <c r="AM1273" i="1"/>
  <c r="AN1273" i="1"/>
  <c r="AM1274" i="1"/>
  <c r="AN1274" i="1"/>
  <c r="AM1276" i="1"/>
  <c r="AN1276" i="1"/>
  <c r="AM1278" i="1"/>
  <c r="AN1278" i="1"/>
  <c r="AM1280" i="1"/>
  <c r="AN1280" i="1"/>
  <c r="AM1282" i="1"/>
  <c r="AN1282" i="1"/>
  <c r="AM1284" i="1"/>
  <c r="AN1284" i="1"/>
  <c r="AM1288" i="1"/>
  <c r="AN1288" i="1"/>
  <c r="AM1292" i="1"/>
  <c r="AN1292" i="1"/>
  <c r="AM1294" i="1"/>
  <c r="AN1294" i="1"/>
  <c r="AM1296" i="1"/>
  <c r="AM1298" i="1"/>
  <c r="AN1298" i="1"/>
  <c r="AM1300" i="1"/>
  <c r="AM1304" i="1"/>
  <c r="AN1304" i="1"/>
  <c r="AM1310" i="1"/>
  <c r="AN1310" i="1"/>
  <c r="AM1318" i="1"/>
  <c r="AN1318" i="1"/>
  <c r="AN1208" i="1"/>
  <c r="AN1216" i="1"/>
  <c r="AN1232" i="1"/>
  <c r="AN1240" i="1"/>
  <c r="AN1248" i="1"/>
  <c r="AN1264" i="1"/>
  <c r="AN1271" i="1"/>
  <c r="AN1272" i="1"/>
  <c r="AN1296" i="1"/>
  <c r="AN1300" i="1"/>
  <c r="AN1308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Q1294" i="1"/>
  <c r="AO1295" i="1"/>
  <c r="AO1296" i="1"/>
  <c r="AO1297" i="1"/>
  <c r="AO1298" i="1"/>
  <c r="AQ1298" i="1"/>
  <c r="AO1299" i="1"/>
  <c r="AO1300" i="1"/>
  <c r="AO1301" i="1"/>
  <c r="AO1302" i="1"/>
  <c r="AQ1302" i="1"/>
  <c r="AO1303" i="1"/>
  <c r="AO1304" i="1"/>
  <c r="AO1305" i="1"/>
  <c r="AO1306" i="1"/>
  <c r="AO1307" i="1"/>
  <c r="AO1308" i="1"/>
  <c r="AO1309" i="1"/>
  <c r="AO1310" i="1"/>
  <c r="AQ1310" i="1"/>
  <c r="AO1311" i="1"/>
  <c r="AO1312" i="1"/>
  <c r="AO1313" i="1"/>
  <c r="AQ1313" i="1"/>
  <c r="AO1314" i="1"/>
  <c r="AQ1314" i="1"/>
  <c r="AO1315" i="1"/>
  <c r="AO1316" i="1"/>
  <c r="AO1317" i="1"/>
  <c r="AQ1317" i="1"/>
  <c r="AO1318" i="1"/>
  <c r="AQ1318" i="1"/>
  <c r="AP1201" i="1"/>
  <c r="AP1202" i="1"/>
  <c r="AP1203" i="1"/>
  <c r="AQ1203" i="1"/>
  <c r="AP1204" i="1"/>
  <c r="AQ1204" i="1"/>
  <c r="AP1205" i="1"/>
  <c r="AP1206" i="1"/>
  <c r="AP1207" i="1"/>
  <c r="AQ1207" i="1"/>
  <c r="AP1208" i="1"/>
  <c r="AQ1208" i="1"/>
  <c r="AP1209" i="1"/>
  <c r="AP1210" i="1"/>
  <c r="AP1211" i="1"/>
  <c r="AQ1211" i="1"/>
  <c r="AP1212" i="1"/>
  <c r="AQ1212" i="1"/>
  <c r="AP1213" i="1"/>
  <c r="AP1214" i="1"/>
  <c r="AP1215" i="1"/>
  <c r="AQ1215" i="1"/>
  <c r="AP1216" i="1"/>
  <c r="AQ1216" i="1"/>
  <c r="AP1217" i="1"/>
  <c r="AP1218" i="1"/>
  <c r="AP1219" i="1"/>
  <c r="AQ1219" i="1"/>
  <c r="AP1220" i="1"/>
  <c r="AQ1220" i="1"/>
  <c r="AP1221" i="1"/>
  <c r="AP1222" i="1"/>
  <c r="AP1223" i="1"/>
  <c r="AQ1223" i="1"/>
  <c r="AP1224" i="1"/>
  <c r="AQ1224" i="1"/>
  <c r="AP1225" i="1"/>
  <c r="AP1226" i="1"/>
  <c r="AP1227" i="1"/>
  <c r="AQ1227" i="1"/>
  <c r="AP1228" i="1"/>
  <c r="AQ1228" i="1"/>
  <c r="AP1229" i="1"/>
  <c r="AP1230" i="1"/>
  <c r="AP1231" i="1"/>
  <c r="AP1232" i="1"/>
  <c r="AQ1232" i="1"/>
  <c r="AP1233" i="1"/>
  <c r="AP1234" i="1"/>
  <c r="AP1235" i="1"/>
  <c r="AP1236" i="1"/>
  <c r="AQ1236" i="1"/>
  <c r="AP1237" i="1"/>
  <c r="AP1238" i="1"/>
  <c r="AP1239" i="1"/>
  <c r="AP1240" i="1"/>
  <c r="AQ1240" i="1"/>
  <c r="AP1241" i="1"/>
  <c r="AP1242" i="1"/>
  <c r="AP1243" i="1"/>
  <c r="AP1244" i="1"/>
  <c r="AQ1244" i="1"/>
  <c r="AP1245" i="1"/>
  <c r="AP1246" i="1"/>
  <c r="AP1247" i="1"/>
  <c r="AP1248" i="1"/>
  <c r="AQ1248" i="1"/>
  <c r="AP1249" i="1"/>
  <c r="AP1250" i="1"/>
  <c r="AP1251" i="1"/>
  <c r="AP1252" i="1"/>
  <c r="AQ1252" i="1"/>
  <c r="AP1253" i="1"/>
  <c r="AP1254" i="1"/>
  <c r="AP1255" i="1"/>
  <c r="AP1256" i="1"/>
  <c r="AQ1256" i="1"/>
  <c r="AP1257" i="1"/>
  <c r="AP1258" i="1"/>
  <c r="AP1259" i="1"/>
  <c r="AP1260" i="1"/>
  <c r="AQ1260" i="1"/>
  <c r="AP1261" i="1"/>
  <c r="AP1262" i="1"/>
  <c r="AP1263" i="1"/>
  <c r="AP1264" i="1"/>
  <c r="AQ1264" i="1"/>
  <c r="AP1265" i="1"/>
  <c r="AP1266" i="1"/>
  <c r="AQ1266" i="1"/>
  <c r="AP1267" i="1"/>
  <c r="AP1268" i="1"/>
  <c r="AQ1268" i="1"/>
  <c r="AP1269" i="1"/>
  <c r="AP1270" i="1"/>
  <c r="AP1271" i="1"/>
  <c r="AP1272" i="1"/>
  <c r="AQ1272" i="1"/>
  <c r="AP1273" i="1"/>
  <c r="AP1274" i="1"/>
  <c r="AP1275" i="1"/>
  <c r="AP1276" i="1"/>
  <c r="AQ1276" i="1"/>
  <c r="AP1277" i="1"/>
  <c r="AP1278" i="1"/>
  <c r="AP1279" i="1"/>
  <c r="AP1280" i="1"/>
  <c r="AQ1280" i="1"/>
  <c r="AP1281" i="1"/>
  <c r="AP1282" i="1"/>
  <c r="AQ1282" i="1"/>
  <c r="AP1283" i="1"/>
  <c r="AP1284" i="1"/>
  <c r="AQ1284" i="1"/>
  <c r="AP1285" i="1"/>
  <c r="AP1286" i="1"/>
  <c r="AP1287" i="1"/>
  <c r="AP1288" i="1"/>
  <c r="AQ1288" i="1"/>
  <c r="AP1289" i="1"/>
  <c r="AP1290" i="1"/>
  <c r="AP1291" i="1"/>
  <c r="AP1292" i="1"/>
  <c r="AQ1292" i="1"/>
  <c r="AP1293" i="1"/>
  <c r="AP1294" i="1"/>
  <c r="AP1295" i="1"/>
  <c r="AP1296" i="1"/>
  <c r="AQ1296" i="1"/>
  <c r="AP1297" i="1"/>
  <c r="AP1298" i="1"/>
  <c r="AP1299" i="1"/>
  <c r="AP1300" i="1"/>
  <c r="AQ1300" i="1"/>
  <c r="AP1301" i="1"/>
  <c r="AP1302" i="1"/>
  <c r="AP1303" i="1"/>
  <c r="AP1304" i="1"/>
  <c r="AQ1304" i="1"/>
  <c r="AP1305" i="1"/>
  <c r="AP1306" i="1"/>
  <c r="AP1307" i="1"/>
  <c r="AP1308" i="1"/>
  <c r="AQ1308" i="1"/>
  <c r="AP1309" i="1"/>
  <c r="AP1310" i="1"/>
  <c r="AP1311" i="1"/>
  <c r="AP1312" i="1"/>
  <c r="AQ1312" i="1"/>
  <c r="AP1313" i="1"/>
  <c r="AP1314" i="1"/>
  <c r="AP1315" i="1"/>
  <c r="AP1316" i="1"/>
  <c r="AQ1316" i="1"/>
  <c r="AP1317" i="1"/>
  <c r="AP1318" i="1"/>
  <c r="AQ1201" i="1"/>
  <c r="AQ1202" i="1"/>
  <c r="AQ1205" i="1"/>
  <c r="AQ1206" i="1"/>
  <c r="AQ1209" i="1"/>
  <c r="AQ1210" i="1"/>
  <c r="AQ1213" i="1"/>
  <c r="AQ1214" i="1"/>
  <c r="AQ1217" i="1"/>
  <c r="AQ1218" i="1"/>
  <c r="AQ1221" i="1"/>
  <c r="AQ1222" i="1"/>
  <c r="AQ1225" i="1"/>
  <c r="AQ1226" i="1"/>
  <c r="AQ1229" i="1"/>
  <c r="AQ1230" i="1"/>
  <c r="AQ1233" i="1"/>
  <c r="AQ1234" i="1"/>
  <c r="AQ1237" i="1"/>
  <c r="AQ1238" i="1"/>
  <c r="AQ1241" i="1"/>
  <c r="AQ1242" i="1"/>
  <c r="AQ1245" i="1"/>
  <c r="AQ1246" i="1"/>
  <c r="AQ1249" i="1"/>
  <c r="AQ1250" i="1"/>
  <c r="AQ1253" i="1"/>
  <c r="AQ1254" i="1"/>
  <c r="AQ1257" i="1"/>
  <c r="AQ1258" i="1"/>
  <c r="AQ1261" i="1"/>
  <c r="AQ1265" i="1"/>
  <c r="AQ1269" i="1"/>
  <c r="AQ1273" i="1"/>
  <c r="AQ1274" i="1"/>
  <c r="AQ1277" i="1"/>
  <c r="AQ1281" i="1"/>
  <c r="AQ1285" i="1"/>
  <c r="AQ1289" i="1"/>
  <c r="AQ1290" i="1"/>
  <c r="AQ1293" i="1"/>
  <c r="AQ1297" i="1"/>
  <c r="AQ1305" i="1"/>
  <c r="AQ1306" i="1"/>
  <c r="AQ1315" i="1"/>
  <c r="AQ1311" i="1"/>
  <c r="AQ1307" i="1"/>
  <c r="AQ1303" i="1"/>
  <c r="AQ1299" i="1"/>
  <c r="AQ1295" i="1"/>
  <c r="AQ1291" i="1"/>
  <c r="AQ1287" i="1"/>
  <c r="AQ1283" i="1"/>
  <c r="AQ1279" i="1"/>
  <c r="AQ1275" i="1"/>
  <c r="AQ1271" i="1"/>
  <c r="AQ1267" i="1"/>
  <c r="AQ1263" i="1"/>
  <c r="AQ1259" i="1"/>
  <c r="AQ1255" i="1"/>
  <c r="AQ1251" i="1"/>
  <c r="AQ1247" i="1"/>
  <c r="AQ1243" i="1"/>
  <c r="AQ1239" i="1"/>
  <c r="AQ1235" i="1"/>
  <c r="AQ1231" i="1"/>
  <c r="AQ1309" i="1"/>
  <c r="AQ1301" i="1"/>
  <c r="AQ1286" i="1"/>
  <c r="AQ1278" i="1"/>
  <c r="AQ1270" i="1"/>
  <c r="AQ1262" i="1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R2442" i="2"/>
  <c r="R2443" i="2"/>
  <c r="R2444" i="2"/>
  <c r="R2445" i="2"/>
  <c r="R2446" i="2"/>
  <c r="R2447" i="2"/>
  <c r="R2448" i="2"/>
  <c r="R2449" i="2"/>
  <c r="R2450" i="2"/>
  <c r="R2451" i="2"/>
  <c r="R2452" i="2"/>
  <c r="R2453" i="2"/>
  <c r="R2454" i="2"/>
  <c r="R2455" i="2"/>
  <c r="R2456" i="2"/>
  <c r="R2457" i="2"/>
  <c r="R2458" i="2"/>
  <c r="R2459" i="2"/>
  <c r="R2460" i="2"/>
  <c r="R2461" i="2"/>
  <c r="R2462" i="2"/>
  <c r="R2463" i="2"/>
  <c r="R2464" i="2"/>
  <c r="R2465" i="2"/>
  <c r="R2466" i="2"/>
  <c r="R2467" i="2"/>
  <c r="R2468" i="2"/>
  <c r="R2469" i="2"/>
  <c r="R2470" i="2"/>
  <c r="R2471" i="2"/>
  <c r="R2472" i="2"/>
  <c r="R2473" i="2"/>
  <c r="R2474" i="2"/>
  <c r="R2475" i="2"/>
  <c r="R2476" i="2"/>
  <c r="R2477" i="2"/>
  <c r="R2478" i="2"/>
  <c r="R2479" i="2"/>
  <c r="R2480" i="2"/>
  <c r="R2481" i="2"/>
  <c r="R2482" i="2"/>
  <c r="R2483" i="2"/>
  <c r="R2484" i="2"/>
  <c r="R2485" i="2"/>
  <c r="R2486" i="2"/>
  <c r="R2487" i="2"/>
  <c r="R2488" i="2"/>
  <c r="R2489" i="2"/>
  <c r="R2490" i="2"/>
  <c r="R2491" i="2"/>
  <c r="R2492" i="2"/>
  <c r="R2493" i="2"/>
  <c r="R2494" i="2"/>
  <c r="R2495" i="2"/>
  <c r="R2496" i="2"/>
  <c r="R2497" i="2"/>
  <c r="R2498" i="2"/>
  <c r="R2499" i="2"/>
  <c r="R2500" i="2"/>
  <c r="R2501" i="2"/>
  <c r="R2502" i="2"/>
  <c r="R2503" i="2"/>
  <c r="R2504" i="2"/>
  <c r="R2505" i="2"/>
  <c r="R2506" i="2"/>
  <c r="R2507" i="2"/>
  <c r="R2508" i="2"/>
  <c r="R2509" i="2"/>
  <c r="R2510" i="2"/>
  <c r="R2511" i="2"/>
  <c r="R2512" i="2"/>
  <c r="R2513" i="2"/>
  <c r="R2514" i="2"/>
  <c r="R2515" i="2"/>
  <c r="R2516" i="2"/>
  <c r="R2517" i="2"/>
  <c r="R2518" i="2"/>
  <c r="R2519" i="2"/>
  <c r="R2520" i="2"/>
  <c r="R2521" i="2"/>
  <c r="R2522" i="2"/>
  <c r="R2523" i="2"/>
  <c r="R2524" i="2"/>
  <c r="R2525" i="2"/>
  <c r="R2526" i="2"/>
  <c r="R2527" i="2"/>
  <c r="R2528" i="2"/>
  <c r="R2529" i="2"/>
  <c r="R2530" i="2"/>
  <c r="R2531" i="2"/>
  <c r="R2532" i="2"/>
  <c r="R2533" i="2"/>
  <c r="R2534" i="2"/>
  <c r="R2535" i="2"/>
  <c r="R2536" i="2"/>
  <c r="R2537" i="2"/>
  <c r="R2538" i="2"/>
  <c r="R2539" i="2"/>
  <c r="R2540" i="2"/>
  <c r="R2541" i="2"/>
  <c r="R2542" i="2"/>
  <c r="R2543" i="2"/>
  <c r="R2544" i="2"/>
  <c r="R2545" i="2"/>
  <c r="R2546" i="2"/>
  <c r="R2547" i="2"/>
  <c r="R2548" i="2"/>
  <c r="R2549" i="2"/>
  <c r="R2550" i="2"/>
  <c r="R2551" i="2"/>
  <c r="R2552" i="2"/>
  <c r="R2553" i="2"/>
  <c r="R2554" i="2"/>
  <c r="R2555" i="2"/>
  <c r="R2556" i="2"/>
  <c r="R2557" i="2"/>
  <c r="R2558" i="2"/>
  <c r="R2559" i="2"/>
  <c r="R2560" i="2"/>
  <c r="R2561" i="2"/>
  <c r="R2562" i="2"/>
  <c r="R2563" i="2"/>
  <c r="R2564" i="2"/>
  <c r="R2565" i="2"/>
  <c r="R2566" i="2"/>
  <c r="R2567" i="2"/>
  <c r="R2568" i="2"/>
  <c r="R2569" i="2"/>
  <c r="R2570" i="2"/>
  <c r="R2571" i="2"/>
  <c r="R2572" i="2"/>
  <c r="R2573" i="2"/>
  <c r="R2574" i="2"/>
  <c r="R2575" i="2"/>
  <c r="R2576" i="2"/>
  <c r="R2577" i="2"/>
  <c r="R2578" i="2"/>
  <c r="R2579" i="2"/>
  <c r="R2580" i="2"/>
  <c r="R2581" i="2"/>
  <c r="R2582" i="2"/>
  <c r="R2583" i="2"/>
  <c r="R2584" i="2"/>
  <c r="R2585" i="2"/>
  <c r="R2586" i="2"/>
  <c r="R2587" i="2"/>
  <c r="R2588" i="2"/>
  <c r="R2589" i="2"/>
  <c r="R2590" i="2"/>
  <c r="R2591" i="2"/>
  <c r="R2592" i="2"/>
  <c r="R2593" i="2"/>
  <c r="R2594" i="2"/>
  <c r="R2595" i="2"/>
  <c r="R2596" i="2"/>
  <c r="R2597" i="2"/>
  <c r="R2598" i="2"/>
  <c r="R2599" i="2"/>
  <c r="R2600" i="2"/>
  <c r="R2601" i="2"/>
  <c r="R2602" i="2"/>
  <c r="R2603" i="2"/>
  <c r="R2604" i="2"/>
  <c r="R2605" i="2"/>
  <c r="R2606" i="2"/>
  <c r="R2607" i="2"/>
  <c r="R2608" i="2"/>
  <c r="R2609" i="2"/>
  <c r="R2610" i="2"/>
  <c r="R2611" i="2"/>
  <c r="R2612" i="2"/>
  <c r="R2613" i="2"/>
  <c r="R2614" i="2"/>
  <c r="R2615" i="2"/>
  <c r="R2616" i="2"/>
  <c r="R2617" i="2"/>
  <c r="R2618" i="2"/>
  <c r="R2619" i="2"/>
  <c r="R2620" i="2"/>
  <c r="R2621" i="2"/>
  <c r="R2622" i="2"/>
  <c r="R2623" i="2"/>
  <c r="R2624" i="2"/>
  <c r="S2442" i="2"/>
  <c r="S2443" i="2"/>
  <c r="T2443" i="2"/>
  <c r="S2444" i="2"/>
  <c r="S2445" i="2"/>
  <c r="S2446" i="2"/>
  <c r="T2632" i="2"/>
  <c r="S2447" i="2"/>
  <c r="S2448" i="2"/>
  <c r="S2449" i="2"/>
  <c r="S2450" i="2"/>
  <c r="S2451" i="2"/>
  <c r="S2452" i="2"/>
  <c r="S2453" i="2"/>
  <c r="S2454" i="2"/>
  <c r="S2455" i="2"/>
  <c r="S2456" i="2"/>
  <c r="S2457" i="2"/>
  <c r="S2458" i="2"/>
  <c r="T2655" i="2"/>
  <c r="S2459" i="2"/>
  <c r="T2656" i="2"/>
  <c r="S2460" i="2"/>
  <c r="T2657" i="2"/>
  <c r="S2461" i="2"/>
  <c r="S2462" i="2"/>
  <c r="S2463" i="2"/>
  <c r="S2464" i="2"/>
  <c r="S2465" i="2"/>
  <c r="S2466" i="2"/>
  <c r="T2662" i="2"/>
  <c r="S2467" i="2"/>
  <c r="T2663" i="2"/>
  <c r="S2468" i="2"/>
  <c r="S2469" i="2"/>
  <c r="T2664" i="2"/>
  <c r="S2470" i="2"/>
  <c r="S2471" i="2"/>
  <c r="T2665" i="2"/>
  <c r="S2472" i="2"/>
  <c r="T2666" i="2"/>
  <c r="S2473" i="2"/>
  <c r="S2474" i="2"/>
  <c r="S2475" i="2"/>
  <c r="S2476" i="2"/>
  <c r="S2477" i="2"/>
  <c r="T2669" i="2"/>
  <c r="S2478" i="2"/>
  <c r="T2670" i="2"/>
  <c r="S2479" i="2"/>
  <c r="S2480" i="2"/>
  <c r="S2481" i="2"/>
  <c r="S2482" i="2"/>
  <c r="S2483" i="2"/>
  <c r="S2484" i="2"/>
  <c r="S2485" i="2"/>
  <c r="S2486" i="2"/>
  <c r="S2487" i="2"/>
  <c r="S2488" i="2"/>
  <c r="S2489" i="2"/>
  <c r="S2490" i="2"/>
  <c r="S2491" i="2"/>
  <c r="S2492" i="2"/>
  <c r="S2493" i="2"/>
  <c r="S2494" i="2"/>
  <c r="S2495" i="2"/>
  <c r="S2496" i="2"/>
  <c r="S2497" i="2"/>
  <c r="S2498" i="2"/>
  <c r="S2499" i="2"/>
  <c r="S2500" i="2"/>
  <c r="S2501" i="2"/>
  <c r="S2502" i="2"/>
  <c r="S2503" i="2"/>
  <c r="S2504" i="2"/>
  <c r="S2505" i="2"/>
  <c r="S2506" i="2"/>
  <c r="S2507" i="2"/>
  <c r="S2508" i="2"/>
  <c r="S2509" i="2"/>
  <c r="S2510" i="2"/>
  <c r="S2511" i="2"/>
  <c r="S2512" i="2"/>
  <c r="S2513" i="2"/>
  <c r="S2514" i="2"/>
  <c r="S2515" i="2"/>
  <c r="S2516" i="2"/>
  <c r="S2517" i="2"/>
  <c r="S2518" i="2"/>
  <c r="S2519" i="2"/>
  <c r="S2520" i="2"/>
  <c r="S2521" i="2"/>
  <c r="S2522" i="2"/>
  <c r="S2523" i="2"/>
  <c r="S2524" i="2"/>
  <c r="S2525" i="2"/>
  <c r="S2526" i="2"/>
  <c r="S2527" i="2"/>
  <c r="S2528" i="2"/>
  <c r="S2529" i="2"/>
  <c r="S2530" i="2"/>
  <c r="S2531" i="2"/>
  <c r="S2532" i="2"/>
  <c r="S2533" i="2"/>
  <c r="S2534" i="2"/>
  <c r="S2535" i="2"/>
  <c r="S2536" i="2"/>
  <c r="S2537" i="2"/>
  <c r="S2538" i="2"/>
  <c r="S2539" i="2"/>
  <c r="S2540" i="2"/>
  <c r="S2541" i="2"/>
  <c r="S2542" i="2"/>
  <c r="S2543" i="2"/>
  <c r="S2544" i="2"/>
  <c r="S2545" i="2"/>
  <c r="S2546" i="2"/>
  <c r="S2547" i="2"/>
  <c r="S2548" i="2"/>
  <c r="S2549" i="2"/>
  <c r="S2550" i="2"/>
  <c r="T2697" i="2"/>
  <c r="S2551" i="2"/>
  <c r="S2552" i="2"/>
  <c r="S2553" i="2"/>
  <c r="S2554" i="2"/>
  <c r="S2555" i="2"/>
  <c r="S2556" i="2"/>
  <c r="S2557" i="2"/>
  <c r="S2558" i="2"/>
  <c r="S2559" i="2"/>
  <c r="T2733" i="2"/>
  <c r="S2560" i="2"/>
  <c r="T2734" i="2"/>
  <c r="S2561" i="2"/>
  <c r="T2735" i="2"/>
  <c r="S2562" i="2"/>
  <c r="S2563" i="2"/>
  <c r="S2564" i="2"/>
  <c r="T2762" i="2"/>
  <c r="S2565" i="2"/>
  <c r="S2566" i="2"/>
  <c r="S2567" i="2"/>
  <c r="T2763" i="2"/>
  <c r="S2568" i="2"/>
  <c r="T2761" i="2"/>
  <c r="S2569" i="2"/>
  <c r="S2570" i="2"/>
  <c r="S2571" i="2"/>
  <c r="S2572" i="2"/>
  <c r="S2573" i="2"/>
  <c r="S2574" i="2"/>
  <c r="T2747" i="2"/>
  <c r="S2575" i="2"/>
  <c r="T2753" i="2"/>
  <c r="S2576" i="2"/>
  <c r="T2751" i="2"/>
  <c r="S2577" i="2"/>
  <c r="S2578" i="2"/>
  <c r="T2748" i="2"/>
  <c r="S2579" i="2"/>
  <c r="S2580" i="2"/>
  <c r="T2752" i="2"/>
  <c r="S2581" i="2"/>
  <c r="T2746" i="2"/>
  <c r="S2582" i="2"/>
  <c r="T2745" i="2"/>
  <c r="S2583" i="2"/>
  <c r="T2759" i="2"/>
  <c r="S2584" i="2"/>
  <c r="T2760" i="2"/>
  <c r="S2585" i="2"/>
  <c r="S2586" i="2"/>
  <c r="S2587" i="2"/>
  <c r="T2812" i="2"/>
  <c r="S2588" i="2"/>
  <c r="T2741" i="2"/>
  <c r="S2589" i="2"/>
  <c r="T2742" i="2"/>
  <c r="S2590" i="2"/>
  <c r="T2749" i="2"/>
  <c r="S2591" i="2"/>
  <c r="S2592" i="2"/>
  <c r="T2813" i="2"/>
  <c r="S2593" i="2"/>
  <c r="T2744" i="2"/>
  <c r="S2594" i="2"/>
  <c r="S2595" i="2"/>
  <c r="S2596" i="2"/>
  <c r="S2597" i="2"/>
  <c r="T2754" i="2"/>
  <c r="S2598" i="2"/>
  <c r="S2599" i="2"/>
  <c r="T2757" i="2"/>
  <c r="S2600" i="2"/>
  <c r="T2750" i="2"/>
  <c r="S2601" i="2"/>
  <c r="S2602" i="2"/>
  <c r="S2603" i="2"/>
  <c r="T2758" i="2"/>
  <c r="S2604" i="2"/>
  <c r="S2605" i="2"/>
  <c r="T2739" i="2"/>
  <c r="S2606" i="2"/>
  <c r="S2607" i="2"/>
  <c r="S2608" i="2"/>
  <c r="T2738" i="2"/>
  <c r="S2609" i="2"/>
  <c r="S2610" i="2"/>
  <c r="S2611" i="2"/>
  <c r="S2612" i="2"/>
  <c r="S2613" i="2"/>
  <c r="S2614" i="2"/>
  <c r="S2615" i="2"/>
  <c r="S2616" i="2"/>
  <c r="S2617" i="2"/>
  <c r="S2618" i="2"/>
  <c r="S2619" i="2"/>
  <c r="S2620" i="2"/>
  <c r="S2621" i="2"/>
  <c r="S2622" i="2"/>
  <c r="S2623" i="2"/>
  <c r="S2624" i="2"/>
  <c r="T2442" i="2"/>
  <c r="T2446" i="2"/>
  <c r="T2458" i="2"/>
  <c r="T2459" i="2"/>
  <c r="T2460" i="2"/>
  <c r="T2461" i="2"/>
  <c r="T2462" i="2"/>
  <c r="T2463" i="2"/>
  <c r="T2464" i="2"/>
  <c r="T2465" i="2"/>
  <c r="T2466" i="2"/>
  <c r="T2467" i="2"/>
  <c r="T2469" i="2"/>
  <c r="T2471" i="2"/>
  <c r="T2472" i="2"/>
  <c r="T2474" i="2"/>
  <c r="T2475" i="2"/>
  <c r="T2477" i="2"/>
  <c r="T2478" i="2"/>
  <c r="T2516" i="2"/>
  <c r="T2517" i="2"/>
  <c r="T2518" i="2"/>
  <c r="T2519" i="2"/>
  <c r="T2520" i="2"/>
  <c r="T2521" i="2"/>
  <c r="T2522" i="2"/>
  <c r="T2523" i="2"/>
  <c r="T2524" i="2"/>
  <c r="T2525" i="2"/>
  <c r="T2526" i="2"/>
  <c r="T2527" i="2"/>
  <c r="T2528" i="2"/>
  <c r="T2529" i="2"/>
  <c r="T2530" i="2"/>
  <c r="T2531" i="2"/>
  <c r="T2532" i="2"/>
  <c r="T2533" i="2"/>
  <c r="T2534" i="2"/>
  <c r="T2535" i="2"/>
  <c r="T2536" i="2"/>
  <c r="T2537" i="2"/>
  <c r="T2538" i="2"/>
  <c r="T2539" i="2"/>
  <c r="T2540" i="2"/>
  <c r="T2541" i="2"/>
  <c r="T2542" i="2"/>
  <c r="T2543" i="2"/>
  <c r="T2544" i="2"/>
  <c r="T2545" i="2"/>
  <c r="T2546" i="2"/>
  <c r="T2547" i="2"/>
  <c r="T2548" i="2"/>
  <c r="T2549" i="2"/>
  <c r="T2550" i="2"/>
  <c r="T2551" i="2"/>
  <c r="T2552" i="2"/>
  <c r="T2553" i="2"/>
  <c r="T2554" i="2"/>
  <c r="T2555" i="2"/>
  <c r="T2556" i="2"/>
  <c r="T2557" i="2"/>
  <c r="T2558" i="2"/>
  <c r="T2559" i="2"/>
  <c r="T2560" i="2"/>
  <c r="T2561" i="2"/>
  <c r="T2562" i="2"/>
  <c r="T2563" i="2"/>
  <c r="T2564" i="2"/>
  <c r="T2565" i="2"/>
  <c r="T2566" i="2"/>
  <c r="T2567" i="2"/>
  <c r="T2568" i="2"/>
  <c r="T2569" i="2"/>
  <c r="T2570" i="2"/>
  <c r="T2571" i="2"/>
  <c r="T2572" i="2"/>
  <c r="T2574" i="2"/>
  <c r="T2575" i="2"/>
  <c r="T2576" i="2"/>
  <c r="T2577" i="2"/>
  <c r="T2578" i="2"/>
  <c r="T2580" i="2"/>
  <c r="T2581" i="2"/>
  <c r="T2582" i="2"/>
  <c r="T2583" i="2"/>
  <c r="T2584" i="2"/>
  <c r="T2587" i="2"/>
  <c r="T2588" i="2"/>
  <c r="T2589" i="2"/>
  <c r="T2590" i="2"/>
  <c r="T2591" i="2"/>
  <c r="T2592" i="2"/>
  <c r="T2593" i="2"/>
  <c r="T2594" i="2"/>
  <c r="T2595" i="2"/>
  <c r="T2597" i="2"/>
  <c r="T2598" i="2"/>
  <c r="T2599" i="2"/>
  <c r="T2600" i="2"/>
  <c r="T2601" i="2"/>
  <c r="T2602" i="2"/>
  <c r="T2603" i="2"/>
  <c r="T2604" i="2"/>
  <c r="T2605" i="2"/>
  <c r="T2606" i="2"/>
  <c r="T2607" i="2"/>
  <c r="T2608" i="2"/>
  <c r="T2609" i="2"/>
  <c r="T2610" i="2"/>
  <c r="T2611" i="2"/>
  <c r="T2612" i="2"/>
  <c r="T2613" i="2"/>
  <c r="T2614" i="2"/>
  <c r="T2615" i="2"/>
  <c r="T2616" i="2"/>
  <c r="T2617" i="2"/>
  <c r="T2618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V2442" i="2"/>
  <c r="V2443" i="2"/>
  <c r="V2444" i="2"/>
  <c r="V2445" i="2"/>
  <c r="V2446" i="2"/>
  <c r="V2447" i="2"/>
  <c r="V2448" i="2"/>
  <c r="V2449" i="2"/>
  <c r="V2450" i="2"/>
  <c r="V2451" i="2"/>
  <c r="V2452" i="2"/>
  <c r="V2453" i="2"/>
  <c r="V2454" i="2"/>
  <c r="V2455" i="2"/>
  <c r="V2456" i="2"/>
  <c r="V2457" i="2"/>
  <c r="V2458" i="2"/>
  <c r="V2459" i="2"/>
  <c r="V2460" i="2"/>
  <c r="V2461" i="2"/>
  <c r="V2462" i="2"/>
  <c r="V2463" i="2"/>
  <c r="V2464" i="2"/>
  <c r="V2465" i="2"/>
  <c r="V2466" i="2"/>
  <c r="V2467" i="2"/>
  <c r="V2468" i="2"/>
  <c r="V2469" i="2"/>
  <c r="V2470" i="2"/>
  <c r="V2471" i="2"/>
  <c r="V2472" i="2"/>
  <c r="V2473" i="2"/>
  <c r="V2474" i="2"/>
  <c r="V2475" i="2"/>
  <c r="V2476" i="2"/>
  <c r="V2477" i="2"/>
  <c r="V2478" i="2"/>
  <c r="V2479" i="2"/>
  <c r="V2480" i="2"/>
  <c r="V2481" i="2"/>
  <c r="V2482" i="2"/>
  <c r="V2483" i="2"/>
  <c r="V2484" i="2"/>
  <c r="V2485" i="2"/>
  <c r="V2486" i="2"/>
  <c r="V2487" i="2"/>
  <c r="V2488" i="2"/>
  <c r="V2489" i="2"/>
  <c r="V2490" i="2"/>
  <c r="V2491" i="2"/>
  <c r="V2492" i="2"/>
  <c r="V2493" i="2"/>
  <c r="V2494" i="2"/>
  <c r="V2495" i="2"/>
  <c r="V2496" i="2"/>
  <c r="V2497" i="2"/>
  <c r="V2498" i="2"/>
  <c r="V2499" i="2"/>
  <c r="V2500" i="2"/>
  <c r="V2501" i="2"/>
  <c r="V2502" i="2"/>
  <c r="V2503" i="2"/>
  <c r="V2504" i="2"/>
  <c r="V2505" i="2"/>
  <c r="V2506" i="2"/>
  <c r="V2507" i="2"/>
  <c r="V2508" i="2"/>
  <c r="V2509" i="2"/>
  <c r="V2510" i="2"/>
  <c r="V2511" i="2"/>
  <c r="V2512" i="2"/>
  <c r="V2513" i="2"/>
  <c r="V2514" i="2"/>
  <c r="V2515" i="2"/>
  <c r="V2516" i="2"/>
  <c r="V2517" i="2"/>
  <c r="V2518" i="2"/>
  <c r="V2519" i="2"/>
  <c r="V2520" i="2"/>
  <c r="V2521" i="2"/>
  <c r="V2522" i="2"/>
  <c r="V2523" i="2"/>
  <c r="V2524" i="2"/>
  <c r="V2525" i="2"/>
  <c r="V2526" i="2"/>
  <c r="V2527" i="2"/>
  <c r="V2528" i="2"/>
  <c r="V2529" i="2"/>
  <c r="V2530" i="2"/>
  <c r="V2531" i="2"/>
  <c r="V2532" i="2"/>
  <c r="V2533" i="2"/>
  <c r="V2534" i="2"/>
  <c r="V2535" i="2"/>
  <c r="V2536" i="2"/>
  <c r="V2537" i="2"/>
  <c r="V2538" i="2"/>
  <c r="V2539" i="2"/>
  <c r="V2540" i="2"/>
  <c r="V2541" i="2"/>
  <c r="V2542" i="2"/>
  <c r="V2543" i="2"/>
  <c r="V2544" i="2"/>
  <c r="V2545" i="2"/>
  <c r="V2546" i="2"/>
  <c r="V2547" i="2"/>
  <c r="V2548" i="2"/>
  <c r="V2549" i="2"/>
  <c r="V2550" i="2"/>
  <c r="V2551" i="2"/>
  <c r="V2552" i="2"/>
  <c r="V2553" i="2"/>
  <c r="V2554" i="2"/>
  <c r="V2555" i="2"/>
  <c r="V2556" i="2"/>
  <c r="V2557" i="2"/>
  <c r="V2558" i="2"/>
  <c r="V2559" i="2"/>
  <c r="V2560" i="2"/>
  <c r="V2561" i="2"/>
  <c r="V2562" i="2"/>
  <c r="V2563" i="2"/>
  <c r="V2564" i="2"/>
  <c r="V2565" i="2"/>
  <c r="V2566" i="2"/>
  <c r="V2567" i="2"/>
  <c r="V2568" i="2"/>
  <c r="V2569" i="2"/>
  <c r="V2570" i="2"/>
  <c r="V2571" i="2"/>
  <c r="V2572" i="2"/>
  <c r="V2573" i="2"/>
  <c r="V2574" i="2"/>
  <c r="V2575" i="2"/>
  <c r="V2576" i="2"/>
  <c r="V2577" i="2"/>
  <c r="V2578" i="2"/>
  <c r="V2579" i="2"/>
  <c r="V2580" i="2"/>
  <c r="V2581" i="2"/>
  <c r="V2582" i="2"/>
  <c r="V2583" i="2"/>
  <c r="V2584" i="2"/>
  <c r="V2585" i="2"/>
  <c r="V2586" i="2"/>
  <c r="V2587" i="2"/>
  <c r="V2588" i="2"/>
  <c r="V2589" i="2"/>
  <c r="V2590" i="2"/>
  <c r="V2591" i="2"/>
  <c r="V2592" i="2"/>
  <c r="V2593" i="2"/>
  <c r="V2594" i="2"/>
  <c r="V2595" i="2"/>
  <c r="V2596" i="2"/>
  <c r="V2597" i="2"/>
  <c r="V2598" i="2"/>
  <c r="V2599" i="2"/>
  <c r="V2600" i="2"/>
  <c r="V2601" i="2"/>
  <c r="V2602" i="2"/>
  <c r="V2603" i="2"/>
  <c r="V2604" i="2"/>
  <c r="V2605" i="2"/>
  <c r="V2606" i="2"/>
  <c r="V2607" i="2"/>
  <c r="V2608" i="2"/>
  <c r="V2609" i="2"/>
  <c r="V2610" i="2"/>
  <c r="V2611" i="2"/>
  <c r="V2612" i="2"/>
  <c r="V2613" i="2"/>
  <c r="V2614" i="2"/>
  <c r="V2615" i="2"/>
  <c r="V2616" i="2"/>
  <c r="V2617" i="2"/>
  <c r="V2618" i="2"/>
  <c r="V2619" i="2"/>
  <c r="V2620" i="2"/>
  <c r="V2621" i="2"/>
  <c r="V2622" i="2"/>
  <c r="V2623" i="2"/>
  <c r="V2624" i="2"/>
  <c r="W2442" i="2"/>
  <c r="W2443" i="2"/>
  <c r="W2444" i="2"/>
  <c r="W2445" i="2"/>
  <c r="W2446" i="2"/>
  <c r="W2447" i="2"/>
  <c r="W2448" i="2"/>
  <c r="W2449" i="2"/>
  <c r="W2450" i="2"/>
  <c r="W2451" i="2"/>
  <c r="W2452" i="2"/>
  <c r="W2453" i="2"/>
  <c r="W2454" i="2"/>
  <c r="W2455" i="2"/>
  <c r="W2456" i="2"/>
  <c r="W2457" i="2"/>
  <c r="W2458" i="2"/>
  <c r="W2459" i="2"/>
  <c r="W2460" i="2"/>
  <c r="W2461" i="2"/>
  <c r="W2462" i="2"/>
  <c r="W2463" i="2"/>
  <c r="W2464" i="2"/>
  <c r="W2465" i="2"/>
  <c r="W2466" i="2"/>
  <c r="W2467" i="2"/>
  <c r="W2468" i="2"/>
  <c r="W2469" i="2"/>
  <c r="W2470" i="2"/>
  <c r="W2471" i="2"/>
  <c r="W2472" i="2"/>
  <c r="W2473" i="2"/>
  <c r="W2474" i="2"/>
  <c r="W2475" i="2"/>
  <c r="W2476" i="2"/>
  <c r="W2477" i="2"/>
  <c r="W2478" i="2"/>
  <c r="W2479" i="2"/>
  <c r="W2480" i="2"/>
  <c r="W2481" i="2"/>
  <c r="W2482" i="2"/>
  <c r="W2483" i="2"/>
  <c r="W2484" i="2"/>
  <c r="W2485" i="2"/>
  <c r="W2486" i="2"/>
  <c r="W2487" i="2"/>
  <c r="W2488" i="2"/>
  <c r="W2489" i="2"/>
  <c r="W2490" i="2"/>
  <c r="W2491" i="2"/>
  <c r="W2492" i="2"/>
  <c r="W2493" i="2"/>
  <c r="W2494" i="2"/>
  <c r="W2495" i="2"/>
  <c r="W2496" i="2"/>
  <c r="W2497" i="2"/>
  <c r="W2498" i="2"/>
  <c r="W2499" i="2"/>
  <c r="W2500" i="2"/>
  <c r="W2501" i="2"/>
  <c r="W2502" i="2"/>
  <c r="W2503" i="2"/>
  <c r="W2504" i="2"/>
  <c r="W2505" i="2"/>
  <c r="W2506" i="2"/>
  <c r="W2507" i="2"/>
  <c r="W2508" i="2"/>
  <c r="W2509" i="2"/>
  <c r="W2510" i="2"/>
  <c r="W2511" i="2"/>
  <c r="W2512" i="2"/>
  <c r="W2513" i="2"/>
  <c r="W2514" i="2"/>
  <c r="W2515" i="2"/>
  <c r="W2516" i="2"/>
  <c r="W2517" i="2"/>
  <c r="W2518" i="2"/>
  <c r="W2519" i="2"/>
  <c r="W2520" i="2"/>
  <c r="W2521" i="2"/>
  <c r="W2522" i="2"/>
  <c r="W2523" i="2"/>
  <c r="W2524" i="2"/>
  <c r="W2525" i="2"/>
  <c r="W2526" i="2"/>
  <c r="W2527" i="2"/>
  <c r="W2528" i="2"/>
  <c r="W2529" i="2"/>
  <c r="W2530" i="2"/>
  <c r="W2531" i="2"/>
  <c r="W2532" i="2"/>
  <c r="W2533" i="2"/>
  <c r="W2534" i="2"/>
  <c r="W2535" i="2"/>
  <c r="W2536" i="2"/>
  <c r="W2537" i="2"/>
  <c r="W2538" i="2"/>
  <c r="W2539" i="2"/>
  <c r="W2540" i="2"/>
  <c r="W2541" i="2"/>
  <c r="W2542" i="2"/>
  <c r="W2543" i="2"/>
  <c r="W2544" i="2"/>
  <c r="W2545" i="2"/>
  <c r="W2546" i="2"/>
  <c r="W2547" i="2"/>
  <c r="W2548" i="2"/>
  <c r="W2549" i="2"/>
  <c r="W2550" i="2"/>
  <c r="W2551" i="2"/>
  <c r="W2552" i="2"/>
  <c r="W2553" i="2"/>
  <c r="W2554" i="2"/>
  <c r="W2555" i="2"/>
  <c r="W2556" i="2"/>
  <c r="W2557" i="2"/>
  <c r="W2558" i="2"/>
  <c r="W2559" i="2"/>
  <c r="W2560" i="2"/>
  <c r="W2561" i="2"/>
  <c r="W2562" i="2"/>
  <c r="W2563" i="2"/>
  <c r="W2564" i="2"/>
  <c r="W2565" i="2"/>
  <c r="W2566" i="2"/>
  <c r="W2567" i="2"/>
  <c r="W2568" i="2"/>
  <c r="W2569" i="2"/>
  <c r="W2570" i="2"/>
  <c r="W2571" i="2"/>
  <c r="W2572" i="2"/>
  <c r="W2573" i="2"/>
  <c r="W2574" i="2"/>
  <c r="W2575" i="2"/>
  <c r="W2576" i="2"/>
  <c r="W2577" i="2"/>
  <c r="W2578" i="2"/>
  <c r="W2579" i="2"/>
  <c r="W2580" i="2"/>
  <c r="W2581" i="2"/>
  <c r="W2582" i="2"/>
  <c r="W2583" i="2"/>
  <c r="W2584" i="2"/>
  <c r="W2585" i="2"/>
  <c r="W2586" i="2"/>
  <c r="W2587" i="2"/>
  <c r="W2588" i="2"/>
  <c r="W2589" i="2"/>
  <c r="W2590" i="2"/>
  <c r="W2591" i="2"/>
  <c r="W2592" i="2"/>
  <c r="W2593" i="2"/>
  <c r="W2594" i="2"/>
  <c r="W2595" i="2"/>
  <c r="W2596" i="2"/>
  <c r="W2597" i="2"/>
  <c r="W2598" i="2"/>
  <c r="W2599" i="2"/>
  <c r="W2600" i="2"/>
  <c r="W2601" i="2"/>
  <c r="W2602" i="2"/>
  <c r="W2603" i="2"/>
  <c r="W2604" i="2"/>
  <c r="W2605" i="2"/>
  <c r="W2606" i="2"/>
  <c r="W2607" i="2"/>
  <c r="W2608" i="2"/>
  <c r="W2609" i="2"/>
  <c r="W2610" i="2"/>
  <c r="W2611" i="2"/>
  <c r="W2612" i="2"/>
  <c r="W2613" i="2"/>
  <c r="W2614" i="2"/>
  <c r="W2615" i="2"/>
  <c r="W2616" i="2"/>
  <c r="W2617" i="2"/>
  <c r="W2618" i="2"/>
  <c r="W2619" i="2"/>
  <c r="W2620" i="2"/>
  <c r="W2621" i="2"/>
  <c r="W2622" i="2"/>
  <c r="W2623" i="2"/>
  <c r="W2624" i="2"/>
  <c r="X2442" i="2"/>
  <c r="X2443" i="2"/>
  <c r="X2444" i="2"/>
  <c r="X2445" i="2"/>
  <c r="X2446" i="2"/>
  <c r="X2447" i="2"/>
  <c r="X2448" i="2"/>
  <c r="X2449" i="2"/>
  <c r="X2450" i="2"/>
  <c r="X2451" i="2"/>
  <c r="X2452" i="2"/>
  <c r="X2453" i="2"/>
  <c r="X2454" i="2"/>
  <c r="X2455" i="2"/>
  <c r="X2456" i="2"/>
  <c r="X2457" i="2"/>
  <c r="X2458" i="2"/>
  <c r="X2459" i="2"/>
  <c r="X2460" i="2"/>
  <c r="X2461" i="2"/>
  <c r="X2462" i="2"/>
  <c r="X2463" i="2"/>
  <c r="X2464" i="2"/>
  <c r="X2465" i="2"/>
  <c r="X2466" i="2"/>
  <c r="X2467" i="2"/>
  <c r="X2468" i="2"/>
  <c r="X2469" i="2"/>
  <c r="X2470" i="2"/>
  <c r="X2471" i="2"/>
  <c r="X2472" i="2"/>
  <c r="X2473" i="2"/>
  <c r="X2474" i="2"/>
  <c r="X2475" i="2"/>
  <c r="X2476" i="2"/>
  <c r="X2477" i="2"/>
  <c r="X2478" i="2"/>
  <c r="X2479" i="2"/>
  <c r="X2480" i="2"/>
  <c r="X2481" i="2"/>
  <c r="X2482" i="2"/>
  <c r="X2483" i="2"/>
  <c r="X2484" i="2"/>
  <c r="X2485" i="2"/>
  <c r="X2486" i="2"/>
  <c r="X2487" i="2"/>
  <c r="X2488" i="2"/>
  <c r="X2489" i="2"/>
  <c r="X2490" i="2"/>
  <c r="X2491" i="2"/>
  <c r="X2492" i="2"/>
  <c r="X2493" i="2"/>
  <c r="X2494" i="2"/>
  <c r="X2495" i="2"/>
  <c r="X2496" i="2"/>
  <c r="X2497" i="2"/>
  <c r="X2498" i="2"/>
  <c r="X2499" i="2"/>
  <c r="X2500" i="2"/>
  <c r="X2501" i="2"/>
  <c r="X2502" i="2"/>
  <c r="X2503" i="2"/>
  <c r="X2504" i="2"/>
  <c r="X2505" i="2"/>
  <c r="X2506" i="2"/>
  <c r="X2507" i="2"/>
  <c r="X2508" i="2"/>
  <c r="X2509" i="2"/>
  <c r="X2510" i="2"/>
  <c r="X2511" i="2"/>
  <c r="X2512" i="2"/>
  <c r="X2513" i="2"/>
  <c r="X2514" i="2"/>
  <c r="X2515" i="2"/>
  <c r="X2516" i="2"/>
  <c r="X2517" i="2"/>
  <c r="X2518" i="2"/>
  <c r="X2519" i="2"/>
  <c r="X2520" i="2"/>
  <c r="X2521" i="2"/>
  <c r="X2522" i="2"/>
  <c r="X2523" i="2"/>
  <c r="X2524" i="2"/>
  <c r="X2525" i="2"/>
  <c r="X2526" i="2"/>
  <c r="X2527" i="2"/>
  <c r="X2528" i="2"/>
  <c r="X2529" i="2"/>
  <c r="X2530" i="2"/>
  <c r="X2531" i="2"/>
  <c r="X2532" i="2"/>
  <c r="X2533" i="2"/>
  <c r="X2534" i="2"/>
  <c r="X2535" i="2"/>
  <c r="X2536" i="2"/>
  <c r="X2537" i="2"/>
  <c r="X2538" i="2"/>
  <c r="X2539" i="2"/>
  <c r="X2540" i="2"/>
  <c r="X2541" i="2"/>
  <c r="X2542" i="2"/>
  <c r="X2543" i="2"/>
  <c r="X2544" i="2"/>
  <c r="X2545" i="2"/>
  <c r="X2546" i="2"/>
  <c r="X2547" i="2"/>
  <c r="X2548" i="2"/>
  <c r="X2549" i="2"/>
  <c r="X2550" i="2"/>
  <c r="X2551" i="2"/>
  <c r="X2552" i="2"/>
  <c r="X2553" i="2"/>
  <c r="X2554" i="2"/>
  <c r="X2555" i="2"/>
  <c r="X2556" i="2"/>
  <c r="X2557" i="2"/>
  <c r="X2558" i="2"/>
  <c r="X2559" i="2"/>
  <c r="X2560" i="2"/>
  <c r="X2561" i="2"/>
  <c r="X2562" i="2"/>
  <c r="X2563" i="2"/>
  <c r="X2564" i="2"/>
  <c r="X2565" i="2"/>
  <c r="X2566" i="2"/>
  <c r="X2567" i="2"/>
  <c r="X2568" i="2"/>
  <c r="X2569" i="2"/>
  <c r="X2570" i="2"/>
  <c r="X2571" i="2"/>
  <c r="X2572" i="2"/>
  <c r="X2573" i="2"/>
  <c r="X2574" i="2"/>
  <c r="X2575" i="2"/>
  <c r="X2576" i="2"/>
  <c r="X2577" i="2"/>
  <c r="X2578" i="2"/>
  <c r="X2579" i="2"/>
  <c r="X2580" i="2"/>
  <c r="X2581" i="2"/>
  <c r="X2582" i="2"/>
  <c r="X2583" i="2"/>
  <c r="X2584" i="2"/>
  <c r="X2585" i="2"/>
  <c r="X2586" i="2"/>
  <c r="X2587" i="2"/>
  <c r="X2588" i="2"/>
  <c r="X2589" i="2"/>
  <c r="X2590" i="2"/>
  <c r="X2591" i="2"/>
  <c r="X2592" i="2"/>
  <c r="X2593" i="2"/>
  <c r="X2594" i="2"/>
  <c r="X2595" i="2"/>
  <c r="X2596" i="2"/>
  <c r="X2597" i="2"/>
  <c r="X2598" i="2"/>
  <c r="X2599" i="2"/>
  <c r="X2600" i="2"/>
  <c r="X2601" i="2"/>
  <c r="X2602" i="2"/>
  <c r="X2603" i="2"/>
  <c r="X2604" i="2"/>
  <c r="X2605" i="2"/>
  <c r="X2606" i="2"/>
  <c r="X2607" i="2"/>
  <c r="X2608" i="2"/>
  <c r="X2609" i="2"/>
  <c r="X2610" i="2"/>
  <c r="X2611" i="2"/>
  <c r="X2612" i="2"/>
  <c r="X2613" i="2"/>
  <c r="X2614" i="2"/>
  <c r="X2615" i="2"/>
  <c r="X2616" i="2"/>
  <c r="X2617" i="2"/>
  <c r="X2618" i="2"/>
  <c r="X2619" i="2"/>
  <c r="X2620" i="2"/>
  <c r="X2621" i="2"/>
  <c r="X2622" i="2"/>
  <c r="X2623" i="2"/>
  <c r="X2624" i="2"/>
  <c r="Y2442" i="2"/>
  <c r="Y2443" i="2"/>
  <c r="Y2444" i="2"/>
  <c r="Y2445" i="2"/>
  <c r="Y2446" i="2"/>
  <c r="Y2447" i="2"/>
  <c r="Y2448" i="2"/>
  <c r="Y2449" i="2"/>
  <c r="Y2450" i="2"/>
  <c r="Y2451" i="2"/>
  <c r="Y2452" i="2"/>
  <c r="Y2453" i="2"/>
  <c r="Y2454" i="2"/>
  <c r="Y2455" i="2"/>
  <c r="Y2456" i="2"/>
  <c r="Y2457" i="2"/>
  <c r="Y2458" i="2"/>
  <c r="Y2459" i="2"/>
  <c r="Y2460" i="2"/>
  <c r="Y2461" i="2"/>
  <c r="Y2462" i="2"/>
  <c r="Y2463" i="2"/>
  <c r="Y2464" i="2"/>
  <c r="Y2465" i="2"/>
  <c r="Y2466" i="2"/>
  <c r="Y2467" i="2"/>
  <c r="Y2468" i="2"/>
  <c r="Y2469" i="2"/>
  <c r="Y2470" i="2"/>
  <c r="Y2471" i="2"/>
  <c r="Y2472" i="2"/>
  <c r="Y2473" i="2"/>
  <c r="Y2474" i="2"/>
  <c r="Y2475" i="2"/>
  <c r="Y2476" i="2"/>
  <c r="Y2477" i="2"/>
  <c r="Y2478" i="2"/>
  <c r="Y2479" i="2"/>
  <c r="Y2480" i="2"/>
  <c r="Y2481" i="2"/>
  <c r="Y2482" i="2"/>
  <c r="Y2483" i="2"/>
  <c r="Y2484" i="2"/>
  <c r="Y2485" i="2"/>
  <c r="Y2486" i="2"/>
  <c r="Y2487" i="2"/>
  <c r="Y2488" i="2"/>
  <c r="Y2489" i="2"/>
  <c r="Y2490" i="2"/>
  <c r="Y2491" i="2"/>
  <c r="Y2492" i="2"/>
  <c r="Y2493" i="2"/>
  <c r="Y2494" i="2"/>
  <c r="Y2495" i="2"/>
  <c r="Y2496" i="2"/>
  <c r="Y2497" i="2"/>
  <c r="Y2498" i="2"/>
  <c r="Y2499" i="2"/>
  <c r="Y2500" i="2"/>
  <c r="Y2501" i="2"/>
  <c r="Y2502" i="2"/>
  <c r="Y2503" i="2"/>
  <c r="Y2504" i="2"/>
  <c r="Y2505" i="2"/>
  <c r="Y2506" i="2"/>
  <c r="Y2507" i="2"/>
  <c r="Y2508" i="2"/>
  <c r="Y2509" i="2"/>
  <c r="Y2510" i="2"/>
  <c r="Y2511" i="2"/>
  <c r="Y2512" i="2"/>
  <c r="Y2513" i="2"/>
  <c r="Y2514" i="2"/>
  <c r="Y2515" i="2"/>
  <c r="Y2516" i="2"/>
  <c r="Y2517" i="2"/>
  <c r="Y2518" i="2"/>
  <c r="Y2519" i="2"/>
  <c r="Y2520" i="2"/>
  <c r="Y2521" i="2"/>
  <c r="Y2522" i="2"/>
  <c r="Y2523" i="2"/>
  <c r="Y2524" i="2"/>
  <c r="Y2525" i="2"/>
  <c r="Y2526" i="2"/>
  <c r="Y2527" i="2"/>
  <c r="Y2528" i="2"/>
  <c r="Y2529" i="2"/>
  <c r="Y2530" i="2"/>
  <c r="Y2531" i="2"/>
  <c r="Y2532" i="2"/>
  <c r="Y2533" i="2"/>
  <c r="Y2534" i="2"/>
  <c r="Y2535" i="2"/>
  <c r="Y2536" i="2"/>
  <c r="Y2537" i="2"/>
  <c r="Y2538" i="2"/>
  <c r="Y2539" i="2"/>
  <c r="Y2540" i="2"/>
  <c r="Y2541" i="2"/>
  <c r="Y2542" i="2"/>
  <c r="Y2543" i="2"/>
  <c r="Y2544" i="2"/>
  <c r="Y2545" i="2"/>
  <c r="Y2546" i="2"/>
  <c r="Y2547" i="2"/>
  <c r="Y2548" i="2"/>
  <c r="Y2549" i="2"/>
  <c r="Y2550" i="2"/>
  <c r="Y2551" i="2"/>
  <c r="Y2552" i="2"/>
  <c r="Y2553" i="2"/>
  <c r="Y2554" i="2"/>
  <c r="Y2555" i="2"/>
  <c r="Y2556" i="2"/>
  <c r="Y2557" i="2"/>
  <c r="Y2558" i="2"/>
  <c r="Y2559" i="2"/>
  <c r="Y2560" i="2"/>
  <c r="Y2561" i="2"/>
  <c r="Y2562" i="2"/>
  <c r="Y2563" i="2"/>
  <c r="Y2564" i="2"/>
  <c r="Y2565" i="2"/>
  <c r="Y2566" i="2"/>
  <c r="Y2567" i="2"/>
  <c r="Y2568" i="2"/>
  <c r="Y2569" i="2"/>
  <c r="Y2570" i="2"/>
  <c r="Y2571" i="2"/>
  <c r="Y2572" i="2"/>
  <c r="Y2573" i="2"/>
  <c r="Y2574" i="2"/>
  <c r="Y2575" i="2"/>
  <c r="Y2576" i="2"/>
  <c r="Y2577" i="2"/>
  <c r="Y2578" i="2"/>
  <c r="Y2579" i="2"/>
  <c r="Y2580" i="2"/>
  <c r="Y2581" i="2"/>
  <c r="Y2582" i="2"/>
  <c r="Y2583" i="2"/>
  <c r="Y2584" i="2"/>
  <c r="Y2585" i="2"/>
  <c r="Y2586" i="2"/>
  <c r="Y2587" i="2"/>
  <c r="Y2588" i="2"/>
  <c r="Y2589" i="2"/>
  <c r="Y2590" i="2"/>
  <c r="Y2591" i="2"/>
  <c r="Y2592" i="2"/>
  <c r="Y2593" i="2"/>
  <c r="Y2594" i="2"/>
  <c r="Y2595" i="2"/>
  <c r="Y2596" i="2"/>
  <c r="Y2597" i="2"/>
  <c r="Y2598" i="2"/>
  <c r="Y2599" i="2"/>
  <c r="Y2600" i="2"/>
  <c r="Y2601" i="2"/>
  <c r="Y2602" i="2"/>
  <c r="Y2603" i="2"/>
  <c r="Y2604" i="2"/>
  <c r="Y2605" i="2"/>
  <c r="Y2606" i="2"/>
  <c r="Y2607" i="2"/>
  <c r="Y2608" i="2"/>
  <c r="Y2609" i="2"/>
  <c r="Y2610" i="2"/>
  <c r="Y2611" i="2"/>
  <c r="Y2612" i="2"/>
  <c r="Y2613" i="2"/>
  <c r="Y2614" i="2"/>
  <c r="Y2615" i="2"/>
  <c r="Y2616" i="2"/>
  <c r="Y2617" i="2"/>
  <c r="Y2618" i="2"/>
  <c r="Y2619" i="2"/>
  <c r="Y2620" i="2"/>
  <c r="Y2621" i="2"/>
  <c r="Y2622" i="2"/>
  <c r="Y2623" i="2"/>
  <c r="Y2624" i="2"/>
  <c r="Z2442" i="2"/>
  <c r="Z2443" i="2"/>
  <c r="Z2444" i="2"/>
  <c r="Z2445" i="2"/>
  <c r="Z2446" i="2"/>
  <c r="Z2447" i="2"/>
  <c r="Z2448" i="2"/>
  <c r="Z2449" i="2"/>
  <c r="Z2450" i="2"/>
  <c r="Z2451" i="2"/>
  <c r="Z2452" i="2"/>
  <c r="Z2453" i="2"/>
  <c r="Z2454" i="2"/>
  <c r="Z2455" i="2"/>
  <c r="Z2456" i="2"/>
  <c r="Z2457" i="2"/>
  <c r="Z2458" i="2"/>
  <c r="Z2459" i="2"/>
  <c r="Z2460" i="2"/>
  <c r="Z2461" i="2"/>
  <c r="Z2462" i="2"/>
  <c r="Z2463" i="2"/>
  <c r="Z2464" i="2"/>
  <c r="Z2465" i="2"/>
  <c r="Z2466" i="2"/>
  <c r="Z2467" i="2"/>
  <c r="Z2468" i="2"/>
  <c r="Z2469" i="2"/>
  <c r="Z2470" i="2"/>
  <c r="Z2471" i="2"/>
  <c r="Z2472" i="2"/>
  <c r="Z2473" i="2"/>
  <c r="Z2474" i="2"/>
  <c r="Z2475" i="2"/>
  <c r="Z2476" i="2"/>
  <c r="Z2477" i="2"/>
  <c r="Z2478" i="2"/>
  <c r="Z2479" i="2"/>
  <c r="Z2480" i="2"/>
  <c r="Z2481" i="2"/>
  <c r="Z2482" i="2"/>
  <c r="Z2483" i="2"/>
  <c r="Z2484" i="2"/>
  <c r="Z2485" i="2"/>
  <c r="Z2486" i="2"/>
  <c r="Z2487" i="2"/>
  <c r="Z2488" i="2"/>
  <c r="Z2489" i="2"/>
  <c r="Z2490" i="2"/>
  <c r="Z2491" i="2"/>
  <c r="Z2492" i="2"/>
  <c r="Z2493" i="2"/>
  <c r="Z2494" i="2"/>
  <c r="Z2495" i="2"/>
  <c r="Z2496" i="2"/>
  <c r="Z2497" i="2"/>
  <c r="Z2498" i="2"/>
  <c r="Z2499" i="2"/>
  <c r="Z2500" i="2"/>
  <c r="Z2501" i="2"/>
  <c r="Z2502" i="2"/>
  <c r="Z2503" i="2"/>
  <c r="Z2504" i="2"/>
  <c r="Z2505" i="2"/>
  <c r="Z2506" i="2"/>
  <c r="Z2507" i="2"/>
  <c r="Z2508" i="2"/>
  <c r="Z2509" i="2"/>
  <c r="Z2510" i="2"/>
  <c r="Z2511" i="2"/>
  <c r="Z2512" i="2"/>
  <c r="Z2513" i="2"/>
  <c r="Z2514" i="2"/>
  <c r="Z2515" i="2"/>
  <c r="Z2516" i="2"/>
  <c r="Z2517" i="2"/>
  <c r="Z2518" i="2"/>
  <c r="Z2519" i="2"/>
  <c r="Z2520" i="2"/>
  <c r="Z2521" i="2"/>
  <c r="Z2522" i="2"/>
  <c r="Z2523" i="2"/>
  <c r="Z2524" i="2"/>
  <c r="Z2525" i="2"/>
  <c r="Z2526" i="2"/>
  <c r="Z2527" i="2"/>
  <c r="Z2528" i="2"/>
  <c r="Z2529" i="2"/>
  <c r="Z2530" i="2"/>
  <c r="Z2531" i="2"/>
  <c r="Z2532" i="2"/>
  <c r="Z2533" i="2"/>
  <c r="Z2534" i="2"/>
  <c r="Z2535" i="2"/>
  <c r="Z2536" i="2"/>
  <c r="Z2537" i="2"/>
  <c r="Z2538" i="2"/>
  <c r="Z2539" i="2"/>
  <c r="Z2540" i="2"/>
  <c r="Z2541" i="2"/>
  <c r="Z2542" i="2"/>
  <c r="Z2543" i="2"/>
  <c r="Z2544" i="2"/>
  <c r="Z2545" i="2"/>
  <c r="Z2546" i="2"/>
  <c r="Z2547" i="2"/>
  <c r="Z2548" i="2"/>
  <c r="Z2549" i="2"/>
  <c r="Z2550" i="2"/>
  <c r="Z2551" i="2"/>
  <c r="Z2552" i="2"/>
  <c r="Z2553" i="2"/>
  <c r="Z2554" i="2"/>
  <c r="Z2555" i="2"/>
  <c r="Z2556" i="2"/>
  <c r="Z2557" i="2"/>
  <c r="Z2558" i="2"/>
  <c r="Z2559" i="2"/>
  <c r="Z2560" i="2"/>
  <c r="Z2561" i="2"/>
  <c r="Z2562" i="2"/>
  <c r="Z2563" i="2"/>
  <c r="Z2564" i="2"/>
  <c r="Z2565" i="2"/>
  <c r="Z2566" i="2"/>
  <c r="Z2567" i="2"/>
  <c r="Z2568" i="2"/>
  <c r="Z2569" i="2"/>
  <c r="Z2570" i="2"/>
  <c r="Z2571" i="2"/>
  <c r="Z2572" i="2"/>
  <c r="Z2573" i="2"/>
  <c r="Z2574" i="2"/>
  <c r="Z2575" i="2"/>
  <c r="Z2576" i="2"/>
  <c r="Z2577" i="2"/>
  <c r="Z2578" i="2"/>
  <c r="Z2579" i="2"/>
  <c r="Z2580" i="2"/>
  <c r="Z2581" i="2"/>
  <c r="Z2582" i="2"/>
  <c r="Z2583" i="2"/>
  <c r="Z2584" i="2"/>
  <c r="Z2585" i="2"/>
  <c r="Z2586" i="2"/>
  <c r="Z2587" i="2"/>
  <c r="Z2588" i="2"/>
  <c r="Z2589" i="2"/>
  <c r="Z2590" i="2"/>
  <c r="Z2591" i="2"/>
  <c r="Z2592" i="2"/>
  <c r="Z2593" i="2"/>
  <c r="Z2594" i="2"/>
  <c r="Z2595" i="2"/>
  <c r="Z2596" i="2"/>
  <c r="Z2597" i="2"/>
  <c r="Z2598" i="2"/>
  <c r="Z2599" i="2"/>
  <c r="Z2600" i="2"/>
  <c r="Z2601" i="2"/>
  <c r="Z2602" i="2"/>
  <c r="Z2603" i="2"/>
  <c r="Z2604" i="2"/>
  <c r="Z2605" i="2"/>
  <c r="Z2606" i="2"/>
  <c r="Z2607" i="2"/>
  <c r="Z2608" i="2"/>
  <c r="Z2609" i="2"/>
  <c r="Z2610" i="2"/>
  <c r="Z2611" i="2"/>
  <c r="Z2612" i="2"/>
  <c r="Z2613" i="2"/>
  <c r="Z2614" i="2"/>
  <c r="Z2615" i="2"/>
  <c r="Z2616" i="2"/>
  <c r="Z2617" i="2"/>
  <c r="Z2618" i="2"/>
  <c r="Z2619" i="2"/>
  <c r="Z2620" i="2"/>
  <c r="Z2621" i="2"/>
  <c r="Z2622" i="2"/>
  <c r="Z2623" i="2"/>
  <c r="Z2624" i="2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I1101" i="1"/>
  <c r="AI1102" i="1"/>
  <c r="AI1103" i="1"/>
  <c r="AI1104" i="1"/>
  <c r="AI1105" i="1"/>
  <c r="AI1106" i="1"/>
  <c r="AI1107" i="1"/>
  <c r="AI1108" i="1"/>
  <c r="AI1109" i="1"/>
  <c r="AI1110" i="1"/>
  <c r="AI1111" i="1"/>
  <c r="AI1112" i="1"/>
  <c r="AI1113" i="1"/>
  <c r="AI1114" i="1"/>
  <c r="AI1115" i="1"/>
  <c r="AI1116" i="1"/>
  <c r="AI1117" i="1"/>
  <c r="AI1118" i="1"/>
  <c r="AI1119" i="1"/>
  <c r="AI1120" i="1"/>
  <c r="AI1121" i="1"/>
  <c r="AI1122" i="1"/>
  <c r="AI1123" i="1"/>
  <c r="AI1124" i="1"/>
  <c r="AI1125" i="1"/>
  <c r="AI1126" i="1"/>
  <c r="AI1127" i="1"/>
  <c r="AI1128" i="1"/>
  <c r="AI1129" i="1"/>
  <c r="AI1130" i="1"/>
  <c r="AI1131" i="1"/>
  <c r="AI1132" i="1"/>
  <c r="AI1133" i="1"/>
  <c r="AI1134" i="1"/>
  <c r="AI1135" i="1"/>
  <c r="AI1136" i="1"/>
  <c r="AI1137" i="1"/>
  <c r="AI1138" i="1"/>
  <c r="AI1139" i="1"/>
  <c r="AI1140" i="1"/>
  <c r="AI1141" i="1"/>
  <c r="AI1142" i="1"/>
  <c r="AI1143" i="1"/>
  <c r="AI1144" i="1"/>
  <c r="AI1145" i="1"/>
  <c r="AI1146" i="1"/>
  <c r="AI1147" i="1"/>
  <c r="AI1148" i="1"/>
  <c r="AI1149" i="1"/>
  <c r="AI1150" i="1"/>
  <c r="AI1151" i="1"/>
  <c r="AI1152" i="1"/>
  <c r="AI1153" i="1"/>
  <c r="AI1154" i="1"/>
  <c r="AI1155" i="1"/>
  <c r="AI1156" i="1"/>
  <c r="AI1157" i="1"/>
  <c r="AI1158" i="1"/>
  <c r="AI1159" i="1"/>
  <c r="AI1160" i="1"/>
  <c r="AI1161" i="1"/>
  <c r="AI1162" i="1"/>
  <c r="AI1163" i="1"/>
  <c r="AI1164" i="1"/>
  <c r="AI1165" i="1"/>
  <c r="AI1166" i="1"/>
  <c r="AI1167" i="1"/>
  <c r="AI1168" i="1"/>
  <c r="AI1169" i="1"/>
  <c r="AI1170" i="1"/>
  <c r="AI1171" i="1"/>
  <c r="AI1172" i="1"/>
  <c r="AI1173" i="1"/>
  <c r="AI1174" i="1"/>
  <c r="AI1175" i="1"/>
  <c r="AI1176" i="1"/>
  <c r="AI1177" i="1"/>
  <c r="AI1178" i="1"/>
  <c r="AI1179" i="1"/>
  <c r="AI1180" i="1"/>
  <c r="AI1181" i="1"/>
  <c r="AI1182" i="1"/>
  <c r="AI1183" i="1"/>
  <c r="AI1184" i="1"/>
  <c r="AI1185" i="1"/>
  <c r="AI1186" i="1"/>
  <c r="AI1187" i="1"/>
  <c r="AI1188" i="1"/>
  <c r="AI1189" i="1"/>
  <c r="AI1190" i="1"/>
  <c r="AI1191" i="1"/>
  <c r="AI1192" i="1"/>
  <c r="AI1193" i="1"/>
  <c r="AI1194" i="1"/>
  <c r="AI1195" i="1"/>
  <c r="AI1196" i="1"/>
  <c r="AI1197" i="1"/>
  <c r="AI1198" i="1"/>
  <c r="AI1199" i="1"/>
  <c r="AI12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M1200" i="1"/>
  <c r="AN12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Q12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Q1194" i="1"/>
  <c r="AP1195" i="1"/>
  <c r="AP1196" i="1"/>
  <c r="AP1197" i="1"/>
  <c r="AP1198" i="1"/>
  <c r="AP1199" i="1"/>
  <c r="AP12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98" i="1"/>
  <c r="AQ1190" i="1"/>
  <c r="AQ1199" i="1"/>
  <c r="AQ1195" i="1"/>
  <c r="T2810" i="2"/>
  <c r="T2811" i="2"/>
  <c r="AQ1192" i="1"/>
  <c r="T2743" i="2"/>
  <c r="T2667" i="2"/>
  <c r="T2668" i="2"/>
  <c r="T2755" i="2"/>
  <c r="T2756" i="2"/>
  <c r="AQ1196" i="1"/>
  <c r="AQ1191" i="1"/>
  <c r="AQ1197" i="1"/>
  <c r="AQ1193" i="1"/>
  <c r="AQ1189" i="1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2111" i="2"/>
  <c r="R2112" i="2"/>
  <c r="R2113" i="2"/>
  <c r="R2114" i="2"/>
  <c r="R2115" i="2"/>
  <c r="R2116" i="2"/>
  <c r="R2117" i="2"/>
  <c r="R2118" i="2"/>
  <c r="R2119" i="2"/>
  <c r="R2120" i="2"/>
  <c r="R2121" i="2"/>
  <c r="R2122" i="2"/>
  <c r="R2123" i="2"/>
  <c r="R2124" i="2"/>
  <c r="R2125" i="2"/>
  <c r="R2126" i="2"/>
  <c r="R2127" i="2"/>
  <c r="R2128" i="2"/>
  <c r="R2129" i="2"/>
  <c r="R2130" i="2"/>
  <c r="R2131" i="2"/>
  <c r="R2132" i="2"/>
  <c r="R2133" i="2"/>
  <c r="R2134" i="2"/>
  <c r="R2135" i="2"/>
  <c r="R2136" i="2"/>
  <c r="R2137" i="2"/>
  <c r="R2138" i="2"/>
  <c r="R2139" i="2"/>
  <c r="R2140" i="2"/>
  <c r="R2141" i="2"/>
  <c r="R2142" i="2"/>
  <c r="R2143" i="2"/>
  <c r="R2144" i="2"/>
  <c r="R2145" i="2"/>
  <c r="R2146" i="2"/>
  <c r="R2147" i="2"/>
  <c r="R2148" i="2"/>
  <c r="R2149" i="2"/>
  <c r="R2150" i="2"/>
  <c r="R2151" i="2"/>
  <c r="R2152" i="2"/>
  <c r="R2153" i="2"/>
  <c r="R2154" i="2"/>
  <c r="R2155" i="2"/>
  <c r="R2156" i="2"/>
  <c r="R2157" i="2"/>
  <c r="R2158" i="2"/>
  <c r="R2159" i="2"/>
  <c r="R2160" i="2"/>
  <c r="R2161" i="2"/>
  <c r="R2162" i="2"/>
  <c r="R2163" i="2"/>
  <c r="R2164" i="2"/>
  <c r="R2165" i="2"/>
  <c r="R2166" i="2"/>
  <c r="R2167" i="2"/>
  <c r="R2168" i="2"/>
  <c r="R2169" i="2"/>
  <c r="R2170" i="2"/>
  <c r="R2171" i="2"/>
  <c r="R2172" i="2"/>
  <c r="R2173" i="2"/>
  <c r="R2174" i="2"/>
  <c r="R2175" i="2"/>
  <c r="R2176" i="2"/>
  <c r="R2177" i="2"/>
  <c r="R2178" i="2"/>
  <c r="R2179" i="2"/>
  <c r="R2180" i="2"/>
  <c r="R2181" i="2"/>
  <c r="R2182" i="2"/>
  <c r="R2183" i="2"/>
  <c r="R2184" i="2"/>
  <c r="R2185" i="2"/>
  <c r="R2186" i="2"/>
  <c r="R2187" i="2"/>
  <c r="R2188" i="2"/>
  <c r="R2189" i="2"/>
  <c r="R2190" i="2"/>
  <c r="R2191" i="2"/>
  <c r="R2192" i="2"/>
  <c r="R2193" i="2"/>
  <c r="R2194" i="2"/>
  <c r="R2195" i="2"/>
  <c r="R2196" i="2"/>
  <c r="R2197" i="2"/>
  <c r="R2198" i="2"/>
  <c r="R2199" i="2"/>
  <c r="R2200" i="2"/>
  <c r="R2201" i="2"/>
  <c r="R2202" i="2"/>
  <c r="R2203" i="2"/>
  <c r="R2204" i="2"/>
  <c r="R2205" i="2"/>
  <c r="R2206" i="2"/>
  <c r="R2207" i="2"/>
  <c r="R2208" i="2"/>
  <c r="R2209" i="2"/>
  <c r="R2210" i="2"/>
  <c r="R2211" i="2"/>
  <c r="R2212" i="2"/>
  <c r="R2213" i="2"/>
  <c r="R2214" i="2"/>
  <c r="R2215" i="2"/>
  <c r="R2216" i="2"/>
  <c r="R2217" i="2"/>
  <c r="R2218" i="2"/>
  <c r="R2219" i="2"/>
  <c r="R2220" i="2"/>
  <c r="R2221" i="2"/>
  <c r="R2222" i="2"/>
  <c r="R2223" i="2"/>
  <c r="R2224" i="2"/>
  <c r="R2225" i="2"/>
  <c r="R2226" i="2"/>
  <c r="R2227" i="2"/>
  <c r="R2228" i="2"/>
  <c r="R2229" i="2"/>
  <c r="R2230" i="2"/>
  <c r="R2231" i="2"/>
  <c r="R2232" i="2"/>
  <c r="R2233" i="2"/>
  <c r="R2234" i="2"/>
  <c r="R2235" i="2"/>
  <c r="R2236" i="2"/>
  <c r="R2237" i="2"/>
  <c r="R2238" i="2"/>
  <c r="R2239" i="2"/>
  <c r="R2240" i="2"/>
  <c r="R2241" i="2"/>
  <c r="R2242" i="2"/>
  <c r="R2243" i="2"/>
  <c r="R2244" i="2"/>
  <c r="R2245" i="2"/>
  <c r="R2246" i="2"/>
  <c r="R2247" i="2"/>
  <c r="R2248" i="2"/>
  <c r="R2249" i="2"/>
  <c r="R2250" i="2"/>
  <c r="R2251" i="2"/>
  <c r="R2252" i="2"/>
  <c r="R2253" i="2"/>
  <c r="R2254" i="2"/>
  <c r="R2255" i="2"/>
  <c r="R2256" i="2"/>
  <c r="R2257" i="2"/>
  <c r="R2258" i="2"/>
  <c r="R2259" i="2"/>
  <c r="R2260" i="2"/>
  <c r="R2261" i="2"/>
  <c r="R2262" i="2"/>
  <c r="R2263" i="2"/>
  <c r="R2264" i="2"/>
  <c r="R2265" i="2"/>
  <c r="R2266" i="2"/>
  <c r="R2267" i="2"/>
  <c r="R2268" i="2"/>
  <c r="R2269" i="2"/>
  <c r="R2270" i="2"/>
  <c r="R2271" i="2"/>
  <c r="R2272" i="2"/>
  <c r="R2273" i="2"/>
  <c r="R2274" i="2"/>
  <c r="R2275" i="2"/>
  <c r="R2276" i="2"/>
  <c r="R2277" i="2"/>
  <c r="R2278" i="2"/>
  <c r="R2279" i="2"/>
  <c r="R2280" i="2"/>
  <c r="R2281" i="2"/>
  <c r="R2282" i="2"/>
  <c r="R2283" i="2"/>
  <c r="R2284" i="2"/>
  <c r="R2285" i="2"/>
  <c r="R2286" i="2"/>
  <c r="R2287" i="2"/>
  <c r="R2288" i="2"/>
  <c r="R2289" i="2"/>
  <c r="R2290" i="2"/>
  <c r="R2291" i="2"/>
  <c r="R2292" i="2"/>
  <c r="R2293" i="2"/>
  <c r="R2294" i="2"/>
  <c r="R2295" i="2"/>
  <c r="R2296" i="2"/>
  <c r="R2297" i="2"/>
  <c r="R2298" i="2"/>
  <c r="R2299" i="2"/>
  <c r="R2300" i="2"/>
  <c r="R2301" i="2"/>
  <c r="R2302" i="2"/>
  <c r="R2303" i="2"/>
  <c r="R2304" i="2"/>
  <c r="R2305" i="2"/>
  <c r="R2306" i="2"/>
  <c r="R2307" i="2"/>
  <c r="R2308" i="2"/>
  <c r="R2309" i="2"/>
  <c r="R2310" i="2"/>
  <c r="R2311" i="2"/>
  <c r="R2312" i="2"/>
  <c r="R2313" i="2"/>
  <c r="R2314" i="2"/>
  <c r="R2315" i="2"/>
  <c r="R2316" i="2"/>
  <c r="R2317" i="2"/>
  <c r="R2318" i="2"/>
  <c r="R2319" i="2"/>
  <c r="R2320" i="2"/>
  <c r="R2321" i="2"/>
  <c r="R2322" i="2"/>
  <c r="R2323" i="2"/>
  <c r="R2324" i="2"/>
  <c r="R2325" i="2"/>
  <c r="R2326" i="2"/>
  <c r="R2327" i="2"/>
  <c r="R2328" i="2"/>
  <c r="R2329" i="2"/>
  <c r="R2330" i="2"/>
  <c r="R2331" i="2"/>
  <c r="R2332" i="2"/>
  <c r="R2333" i="2"/>
  <c r="R2334" i="2"/>
  <c r="R2335" i="2"/>
  <c r="R2336" i="2"/>
  <c r="R2337" i="2"/>
  <c r="R2338" i="2"/>
  <c r="R2339" i="2"/>
  <c r="R2340" i="2"/>
  <c r="R2341" i="2"/>
  <c r="R2342" i="2"/>
  <c r="R2343" i="2"/>
  <c r="R2344" i="2"/>
  <c r="R2345" i="2"/>
  <c r="R2346" i="2"/>
  <c r="R2347" i="2"/>
  <c r="R2348" i="2"/>
  <c r="R2349" i="2"/>
  <c r="R2350" i="2"/>
  <c r="R2351" i="2"/>
  <c r="R2352" i="2"/>
  <c r="R2353" i="2"/>
  <c r="R2354" i="2"/>
  <c r="R2355" i="2"/>
  <c r="R2356" i="2"/>
  <c r="R2357" i="2"/>
  <c r="R2358" i="2"/>
  <c r="R2359" i="2"/>
  <c r="R2360" i="2"/>
  <c r="R2361" i="2"/>
  <c r="R2362" i="2"/>
  <c r="R2363" i="2"/>
  <c r="R2364" i="2"/>
  <c r="R2365" i="2"/>
  <c r="R2366" i="2"/>
  <c r="R2367" i="2"/>
  <c r="R2368" i="2"/>
  <c r="R2369" i="2"/>
  <c r="R2370" i="2"/>
  <c r="R2371" i="2"/>
  <c r="R2372" i="2"/>
  <c r="R2373" i="2"/>
  <c r="R2374" i="2"/>
  <c r="R2375" i="2"/>
  <c r="R2376" i="2"/>
  <c r="R2377" i="2"/>
  <c r="R2378" i="2"/>
  <c r="R2379" i="2"/>
  <c r="R2380" i="2"/>
  <c r="R2381" i="2"/>
  <c r="R2382" i="2"/>
  <c r="R2383" i="2"/>
  <c r="R2384" i="2"/>
  <c r="R2385" i="2"/>
  <c r="R2386" i="2"/>
  <c r="R2387" i="2"/>
  <c r="R2388" i="2"/>
  <c r="R2389" i="2"/>
  <c r="R2390" i="2"/>
  <c r="R2391" i="2"/>
  <c r="R2392" i="2"/>
  <c r="R2393" i="2"/>
  <c r="R2394" i="2"/>
  <c r="R2395" i="2"/>
  <c r="R2396" i="2"/>
  <c r="R2397" i="2"/>
  <c r="R2398" i="2"/>
  <c r="R2399" i="2"/>
  <c r="R2400" i="2"/>
  <c r="R2401" i="2"/>
  <c r="R2402" i="2"/>
  <c r="R2403" i="2"/>
  <c r="R2404" i="2"/>
  <c r="R2405" i="2"/>
  <c r="R2406" i="2"/>
  <c r="R2407" i="2"/>
  <c r="R2408" i="2"/>
  <c r="R2409" i="2"/>
  <c r="R2410" i="2"/>
  <c r="R2411" i="2"/>
  <c r="R2412" i="2"/>
  <c r="R2413" i="2"/>
  <c r="R2414" i="2"/>
  <c r="R2415" i="2"/>
  <c r="R2416" i="2"/>
  <c r="R2417" i="2"/>
  <c r="R2418" i="2"/>
  <c r="R2419" i="2"/>
  <c r="R2420" i="2"/>
  <c r="R2421" i="2"/>
  <c r="R2422" i="2"/>
  <c r="R2423" i="2"/>
  <c r="R2424" i="2"/>
  <c r="R2425" i="2"/>
  <c r="R2426" i="2"/>
  <c r="R2427" i="2"/>
  <c r="R2428" i="2"/>
  <c r="R2429" i="2"/>
  <c r="R2430" i="2"/>
  <c r="R2431" i="2"/>
  <c r="R2432" i="2"/>
  <c r="R2433" i="2"/>
  <c r="R2434" i="2"/>
  <c r="R2435" i="2"/>
  <c r="R2436" i="2"/>
  <c r="R2437" i="2"/>
  <c r="R2438" i="2"/>
  <c r="R2439" i="2"/>
  <c r="R2440" i="2"/>
  <c r="R244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T880" i="2"/>
  <c r="S881" i="2"/>
  <c r="S882" i="2"/>
  <c r="S883" i="2"/>
  <c r="S884" i="2"/>
  <c r="S885" i="2"/>
  <c r="S886" i="2"/>
  <c r="S887" i="2"/>
  <c r="T887" i="2"/>
  <c r="S888" i="2"/>
  <c r="S889" i="2"/>
  <c r="S890" i="2"/>
  <c r="S891" i="2"/>
  <c r="T891" i="2"/>
  <c r="S892" i="2"/>
  <c r="S893" i="2"/>
  <c r="S894" i="2"/>
  <c r="S895" i="2"/>
  <c r="T895" i="2"/>
  <c r="S896" i="2"/>
  <c r="S897" i="2"/>
  <c r="S898" i="2"/>
  <c r="S899" i="2"/>
  <c r="T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T2824" i="2"/>
  <c r="S1979" i="2"/>
  <c r="T2825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T2827" i="2"/>
  <c r="S2006" i="2"/>
  <c r="T2829" i="2"/>
  <c r="S2007" i="2"/>
  <c r="T2830" i="2"/>
  <c r="S2008" i="2"/>
  <c r="T2831" i="2"/>
  <c r="S2009" i="2"/>
  <c r="S2010" i="2"/>
  <c r="T2834" i="2"/>
  <c r="S2011" i="2"/>
  <c r="T2835" i="2"/>
  <c r="S2012" i="2"/>
  <c r="T2836" i="2"/>
  <c r="S2013" i="2"/>
  <c r="T2837" i="2"/>
  <c r="S2014" i="2"/>
  <c r="T2838" i="2"/>
  <c r="S2015" i="2"/>
  <c r="T2839" i="2"/>
  <c r="S2016" i="2"/>
  <c r="T2840" i="2"/>
  <c r="S2017" i="2"/>
  <c r="S2018" i="2"/>
  <c r="S2019" i="2"/>
  <c r="S2020" i="2"/>
  <c r="S2021" i="2"/>
  <c r="T2841" i="2"/>
  <c r="S2022" i="2"/>
  <c r="T2842" i="2"/>
  <c r="S2023" i="2"/>
  <c r="S2024" i="2"/>
  <c r="S2025" i="2"/>
  <c r="S2026" i="2"/>
  <c r="S2027" i="2"/>
  <c r="T2846" i="2"/>
  <c r="S2028" i="2"/>
  <c r="T2847" i="2"/>
  <c r="S2029" i="2"/>
  <c r="T2848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  <c r="S2050" i="2"/>
  <c r="S2051" i="2"/>
  <c r="S2052" i="2"/>
  <c r="S2053" i="2"/>
  <c r="S2054" i="2"/>
  <c r="S2055" i="2"/>
  <c r="S2056" i="2"/>
  <c r="S2057" i="2"/>
  <c r="S2058" i="2"/>
  <c r="S2059" i="2"/>
  <c r="S2060" i="2"/>
  <c r="S2061" i="2"/>
  <c r="S2062" i="2"/>
  <c r="S2063" i="2"/>
  <c r="S2064" i="2"/>
  <c r="S2065" i="2"/>
  <c r="S2066" i="2"/>
  <c r="S2067" i="2"/>
  <c r="S2068" i="2"/>
  <c r="S2069" i="2"/>
  <c r="S2070" i="2"/>
  <c r="S2071" i="2"/>
  <c r="S2072" i="2"/>
  <c r="S2073" i="2"/>
  <c r="S2074" i="2"/>
  <c r="S2075" i="2"/>
  <c r="S2076" i="2"/>
  <c r="S2077" i="2"/>
  <c r="S2078" i="2"/>
  <c r="S2079" i="2"/>
  <c r="S2080" i="2"/>
  <c r="S2081" i="2"/>
  <c r="S2082" i="2"/>
  <c r="S2083" i="2"/>
  <c r="S2084" i="2"/>
  <c r="S2085" i="2"/>
  <c r="S2086" i="2"/>
  <c r="S2087" i="2"/>
  <c r="S2088" i="2"/>
  <c r="S2089" i="2"/>
  <c r="S2090" i="2"/>
  <c r="S2091" i="2"/>
  <c r="S2092" i="2"/>
  <c r="S2093" i="2"/>
  <c r="S2094" i="2"/>
  <c r="S2095" i="2"/>
  <c r="S2096" i="2"/>
  <c r="S2097" i="2"/>
  <c r="S2098" i="2"/>
  <c r="S2099" i="2"/>
  <c r="S2100" i="2"/>
  <c r="S2101" i="2"/>
  <c r="S2102" i="2"/>
  <c r="S2103" i="2"/>
  <c r="S2104" i="2"/>
  <c r="S2105" i="2"/>
  <c r="T906" i="2"/>
  <c r="S2106" i="2"/>
  <c r="S2107" i="2"/>
  <c r="S2108" i="2"/>
  <c r="S2109" i="2"/>
  <c r="T911" i="2"/>
  <c r="S2110" i="2"/>
  <c r="S2111" i="2"/>
  <c r="S2112" i="2"/>
  <c r="S2113" i="2"/>
  <c r="S2114" i="2"/>
  <c r="S2115" i="2"/>
  <c r="S2116" i="2"/>
  <c r="S2117" i="2"/>
  <c r="S2118" i="2"/>
  <c r="S2119" i="2"/>
  <c r="S2120" i="2"/>
  <c r="S2121" i="2"/>
  <c r="S2122" i="2"/>
  <c r="S2123" i="2"/>
  <c r="S2124" i="2"/>
  <c r="S2125" i="2"/>
  <c r="S2126" i="2"/>
  <c r="S2127" i="2"/>
  <c r="T2792" i="2"/>
  <c r="S2128" i="2"/>
  <c r="S2129" i="2"/>
  <c r="T2795" i="2"/>
  <c r="S2130" i="2"/>
  <c r="T2796" i="2"/>
  <c r="S2131" i="2"/>
  <c r="T2797" i="2"/>
  <c r="S2132" i="2"/>
  <c r="T2798" i="2"/>
  <c r="S2133" i="2"/>
  <c r="T2799" i="2"/>
  <c r="S2134" i="2"/>
  <c r="S2135" i="2"/>
  <c r="T2800" i="2"/>
  <c r="S2136" i="2"/>
  <c r="S2137" i="2"/>
  <c r="S2138" i="2"/>
  <c r="S2139" i="2"/>
  <c r="T2804" i="2"/>
  <c r="S2140" i="2"/>
  <c r="S2141" i="2"/>
  <c r="S2142" i="2"/>
  <c r="S2143" i="2"/>
  <c r="S2144" i="2"/>
  <c r="S2145" i="2"/>
  <c r="S2146" i="2"/>
  <c r="S2147" i="2"/>
  <c r="S2148" i="2"/>
  <c r="S2149" i="2"/>
  <c r="S2150" i="2"/>
  <c r="S2151" i="2"/>
  <c r="S2152" i="2"/>
  <c r="S2153" i="2"/>
  <c r="S2154" i="2"/>
  <c r="S2155" i="2"/>
  <c r="S2156" i="2"/>
  <c r="S2157" i="2"/>
  <c r="S2158" i="2"/>
  <c r="S2159" i="2"/>
  <c r="S2160" i="2"/>
  <c r="S2161" i="2"/>
  <c r="S2162" i="2"/>
  <c r="S2163" i="2"/>
  <c r="T941" i="2"/>
  <c r="S2164" i="2"/>
  <c r="T942" i="2"/>
  <c r="S2165" i="2"/>
  <c r="S2166" i="2"/>
  <c r="S2167" i="2"/>
  <c r="S2168" i="2"/>
  <c r="S2169" i="2"/>
  <c r="S2170" i="2"/>
  <c r="S2171" i="2"/>
  <c r="S2172" i="2"/>
  <c r="S2173" i="2"/>
  <c r="S2174" i="2"/>
  <c r="S2175" i="2"/>
  <c r="S2176" i="2"/>
  <c r="S2177" i="2"/>
  <c r="S2178" i="2"/>
  <c r="S2179" i="2"/>
  <c r="S2180" i="2"/>
  <c r="T958" i="2"/>
  <c r="S2181" i="2"/>
  <c r="S2182" i="2"/>
  <c r="S2183" i="2"/>
  <c r="T961" i="2"/>
  <c r="S2184" i="2"/>
  <c r="T962" i="2"/>
  <c r="S2185" i="2"/>
  <c r="S2186" i="2"/>
  <c r="S2187" i="2"/>
  <c r="S2188" i="2"/>
  <c r="T964" i="2"/>
  <c r="S2189" i="2"/>
  <c r="S2190" i="2"/>
  <c r="S2191" i="2"/>
  <c r="T967" i="2"/>
  <c r="S2192" i="2"/>
  <c r="T968" i="2"/>
  <c r="S2193" i="2"/>
  <c r="S2194" i="2"/>
  <c r="S2195" i="2"/>
  <c r="S2196" i="2"/>
  <c r="T970" i="2"/>
  <c r="S2197" i="2"/>
  <c r="S2198" i="2"/>
  <c r="S2199" i="2"/>
  <c r="T973" i="2"/>
  <c r="S2200" i="2"/>
  <c r="S2201" i="2"/>
  <c r="S2202" i="2"/>
  <c r="S2203" i="2"/>
  <c r="S2204" i="2"/>
  <c r="S2205" i="2"/>
  <c r="S2206" i="2"/>
  <c r="S2207" i="2"/>
  <c r="T979" i="2"/>
  <c r="S2208" i="2"/>
  <c r="S2209" i="2"/>
  <c r="S2210" i="2"/>
  <c r="S2211" i="2"/>
  <c r="S2212" i="2"/>
  <c r="T988" i="2"/>
  <c r="S2213" i="2"/>
  <c r="S2214" i="2"/>
  <c r="S2215" i="2"/>
  <c r="S2216" i="2"/>
  <c r="S2217" i="2"/>
  <c r="S2218" i="2"/>
  <c r="S2219" i="2"/>
  <c r="S2220" i="2"/>
  <c r="S2221" i="2"/>
  <c r="S2222" i="2"/>
  <c r="S2223" i="2"/>
  <c r="S2224" i="2"/>
  <c r="S2225" i="2"/>
  <c r="S2226" i="2"/>
  <c r="S2227" i="2"/>
  <c r="S2228" i="2"/>
  <c r="S2229" i="2"/>
  <c r="S2230" i="2"/>
  <c r="S2231" i="2"/>
  <c r="S2232" i="2"/>
  <c r="S2233" i="2"/>
  <c r="S2234" i="2"/>
  <c r="S2235" i="2"/>
  <c r="S2236" i="2"/>
  <c r="S2237" i="2"/>
  <c r="S2238" i="2"/>
  <c r="S2239" i="2"/>
  <c r="S2240" i="2"/>
  <c r="S2241" i="2"/>
  <c r="S2242" i="2"/>
  <c r="S2243" i="2"/>
  <c r="S2244" i="2"/>
  <c r="S2245" i="2"/>
  <c r="S2246" i="2"/>
  <c r="S2247" i="2"/>
  <c r="S2248" i="2"/>
  <c r="S2249" i="2"/>
  <c r="S2250" i="2"/>
  <c r="S2251" i="2"/>
  <c r="S2252" i="2"/>
  <c r="S2253" i="2"/>
  <c r="S2254" i="2"/>
  <c r="S2255" i="2"/>
  <c r="S2256" i="2"/>
  <c r="S2257" i="2"/>
  <c r="S2258" i="2"/>
  <c r="S2259" i="2"/>
  <c r="S2260" i="2"/>
  <c r="S2261" i="2"/>
  <c r="S2262" i="2"/>
  <c r="S2263" i="2"/>
  <c r="S2264" i="2"/>
  <c r="S2265" i="2"/>
  <c r="S2266" i="2"/>
  <c r="S2267" i="2"/>
  <c r="S2268" i="2"/>
  <c r="S2269" i="2"/>
  <c r="S2270" i="2"/>
  <c r="S2271" i="2"/>
  <c r="S2272" i="2"/>
  <c r="S2273" i="2"/>
  <c r="S2274" i="2"/>
  <c r="S2275" i="2"/>
  <c r="S2276" i="2"/>
  <c r="S2277" i="2"/>
  <c r="S2278" i="2"/>
  <c r="S2279" i="2"/>
  <c r="S2280" i="2"/>
  <c r="S2281" i="2"/>
  <c r="S2282" i="2"/>
  <c r="S2283" i="2"/>
  <c r="S2284" i="2"/>
  <c r="S2285" i="2"/>
  <c r="S2286" i="2"/>
  <c r="S2287" i="2"/>
  <c r="S2288" i="2"/>
  <c r="S2289" i="2"/>
  <c r="S2290" i="2"/>
  <c r="S2291" i="2"/>
  <c r="S2292" i="2"/>
  <c r="S2293" i="2"/>
  <c r="S2294" i="2"/>
  <c r="S2295" i="2"/>
  <c r="S2296" i="2"/>
  <c r="S2297" i="2"/>
  <c r="S2298" i="2"/>
  <c r="S2299" i="2"/>
  <c r="S2300" i="2"/>
  <c r="S2301" i="2"/>
  <c r="S2302" i="2"/>
  <c r="S2303" i="2"/>
  <c r="S2304" i="2"/>
  <c r="S2305" i="2"/>
  <c r="S2306" i="2"/>
  <c r="S2307" i="2"/>
  <c r="S2308" i="2"/>
  <c r="S2309" i="2"/>
  <c r="S2310" i="2"/>
  <c r="S2311" i="2"/>
  <c r="S2312" i="2"/>
  <c r="S2313" i="2"/>
  <c r="S2314" i="2"/>
  <c r="S2315" i="2"/>
  <c r="S2316" i="2"/>
  <c r="S2317" i="2"/>
  <c r="S2318" i="2"/>
  <c r="S2319" i="2"/>
  <c r="S2320" i="2"/>
  <c r="S2321" i="2"/>
  <c r="S2322" i="2"/>
  <c r="S2323" i="2"/>
  <c r="S2324" i="2"/>
  <c r="S2325" i="2"/>
  <c r="S2326" i="2"/>
  <c r="S2327" i="2"/>
  <c r="S2328" i="2"/>
  <c r="S2329" i="2"/>
  <c r="S2330" i="2"/>
  <c r="S2331" i="2"/>
  <c r="S2332" i="2"/>
  <c r="S2333" i="2"/>
  <c r="S2334" i="2"/>
  <c r="S2335" i="2"/>
  <c r="S2336" i="2"/>
  <c r="S2337" i="2"/>
  <c r="S2338" i="2"/>
  <c r="S2339" i="2"/>
  <c r="S2340" i="2"/>
  <c r="S2341" i="2"/>
  <c r="S2342" i="2"/>
  <c r="S2343" i="2"/>
  <c r="S2344" i="2"/>
  <c r="S2345" i="2"/>
  <c r="S2346" i="2"/>
  <c r="S2347" i="2"/>
  <c r="S2348" i="2"/>
  <c r="S2349" i="2"/>
  <c r="S2350" i="2"/>
  <c r="S2351" i="2"/>
  <c r="S2352" i="2"/>
  <c r="S2353" i="2"/>
  <c r="S2354" i="2"/>
  <c r="S2355" i="2"/>
  <c r="S2356" i="2"/>
  <c r="S2357" i="2"/>
  <c r="S2358" i="2"/>
  <c r="S2359" i="2"/>
  <c r="S2360" i="2"/>
  <c r="S2361" i="2"/>
  <c r="S2362" i="2"/>
  <c r="S2363" i="2"/>
  <c r="S2364" i="2"/>
  <c r="S2365" i="2"/>
  <c r="S2366" i="2"/>
  <c r="S2367" i="2"/>
  <c r="S2368" i="2"/>
  <c r="S2369" i="2"/>
  <c r="S2370" i="2"/>
  <c r="S2371" i="2"/>
  <c r="S2372" i="2"/>
  <c r="S2373" i="2"/>
  <c r="S2374" i="2"/>
  <c r="S2375" i="2"/>
  <c r="S2376" i="2"/>
  <c r="S2377" i="2"/>
  <c r="S2378" i="2"/>
  <c r="S2379" i="2"/>
  <c r="S2380" i="2"/>
  <c r="S2381" i="2"/>
  <c r="S2382" i="2"/>
  <c r="S2383" i="2"/>
  <c r="S2384" i="2"/>
  <c r="S2385" i="2"/>
  <c r="S2386" i="2"/>
  <c r="S2387" i="2"/>
  <c r="S2388" i="2"/>
  <c r="S2389" i="2"/>
  <c r="S2390" i="2"/>
  <c r="S2391" i="2"/>
  <c r="S2392" i="2"/>
  <c r="S2393" i="2"/>
  <c r="S2394" i="2"/>
  <c r="S2395" i="2"/>
  <c r="S2396" i="2"/>
  <c r="S2397" i="2"/>
  <c r="S2398" i="2"/>
  <c r="S2399" i="2"/>
  <c r="S2400" i="2"/>
  <c r="S2401" i="2"/>
  <c r="S2402" i="2"/>
  <c r="S2403" i="2"/>
  <c r="S2404" i="2"/>
  <c r="S2405" i="2"/>
  <c r="S2406" i="2"/>
  <c r="S2407" i="2"/>
  <c r="S2408" i="2"/>
  <c r="S2409" i="2"/>
  <c r="S2410" i="2"/>
  <c r="S2411" i="2"/>
  <c r="S2412" i="2"/>
  <c r="S2413" i="2"/>
  <c r="S2414" i="2"/>
  <c r="S2415" i="2"/>
  <c r="S2416" i="2"/>
  <c r="S2417" i="2"/>
  <c r="S2418" i="2"/>
  <c r="S2419" i="2"/>
  <c r="S2420" i="2"/>
  <c r="S2421" i="2"/>
  <c r="S2422" i="2"/>
  <c r="S2423" i="2"/>
  <c r="S2424" i="2"/>
  <c r="S2425" i="2"/>
  <c r="S2426" i="2"/>
  <c r="S2427" i="2"/>
  <c r="S2428" i="2"/>
  <c r="S2429" i="2"/>
  <c r="S2430" i="2"/>
  <c r="S2431" i="2"/>
  <c r="S2432" i="2"/>
  <c r="S2433" i="2"/>
  <c r="S2434" i="2"/>
  <c r="S2435" i="2"/>
  <c r="S2436" i="2"/>
  <c r="S2437" i="2"/>
  <c r="S2438" i="2"/>
  <c r="S2439" i="2"/>
  <c r="S2440" i="2"/>
  <c r="S2441" i="2"/>
  <c r="T864" i="2"/>
  <c r="T869" i="2"/>
  <c r="T870" i="2"/>
  <c r="T871" i="2"/>
  <c r="T874" i="2"/>
  <c r="T876" i="2"/>
  <c r="T877" i="2"/>
  <c r="T879" i="2"/>
  <c r="T881" i="2"/>
  <c r="T883" i="2"/>
  <c r="T884" i="2"/>
  <c r="T886" i="2"/>
  <c r="T888" i="2"/>
  <c r="T889" i="2"/>
  <c r="T890" i="2"/>
  <c r="T892" i="2"/>
  <c r="T893" i="2"/>
  <c r="T894" i="2"/>
  <c r="T896" i="2"/>
  <c r="T897" i="2"/>
  <c r="T898" i="2"/>
  <c r="T900" i="2"/>
  <c r="T909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40" i="2"/>
  <c r="T943" i="2"/>
  <c r="T948" i="2"/>
  <c r="T951" i="2"/>
  <c r="T953" i="2"/>
  <c r="T954" i="2"/>
  <c r="T955" i="2"/>
  <c r="T956" i="2"/>
  <c r="T959" i="2"/>
  <c r="T960" i="2"/>
  <c r="T963" i="2"/>
  <c r="T965" i="2"/>
  <c r="T966" i="2"/>
  <c r="T969" i="2"/>
  <c r="T978" i="2"/>
  <c r="T985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10" i="2"/>
  <c r="T1012" i="2"/>
  <c r="T1013" i="2"/>
  <c r="T1025" i="2"/>
  <c r="T1026" i="2"/>
  <c r="T1027" i="2"/>
  <c r="T1028" i="2"/>
  <c r="T1029" i="2"/>
  <c r="T1030" i="2"/>
  <c r="T1031" i="2"/>
  <c r="T1032" i="2"/>
  <c r="T1033" i="2"/>
  <c r="T1034" i="2"/>
  <c r="T1035" i="2"/>
  <c r="T1037" i="2"/>
  <c r="T1041" i="2"/>
  <c r="T1045" i="2"/>
  <c r="T1046" i="2"/>
  <c r="T1049" i="2"/>
  <c r="T1050" i="2"/>
  <c r="T1054" i="2"/>
  <c r="T1063" i="2"/>
  <c r="T1064" i="2"/>
  <c r="T1065" i="2"/>
  <c r="T1066" i="2"/>
  <c r="T1067" i="2"/>
  <c r="T1084" i="2"/>
  <c r="T1087" i="2"/>
  <c r="T1091" i="2"/>
  <c r="T1092" i="2"/>
  <c r="T1093" i="2"/>
  <c r="T1099" i="2"/>
  <c r="T1100" i="2"/>
  <c r="T1105" i="2"/>
  <c r="T1106" i="2"/>
  <c r="T1107" i="2"/>
  <c r="T1108" i="2"/>
  <c r="T1109" i="2"/>
  <c r="T1110" i="2"/>
  <c r="T1111" i="2"/>
  <c r="T1116" i="2"/>
  <c r="T1118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50" i="2"/>
  <c r="T1151" i="2"/>
  <c r="T1152" i="2"/>
  <c r="T1153" i="2"/>
  <c r="T1158" i="2"/>
  <c r="T1161" i="2"/>
  <c r="T1163" i="2"/>
  <c r="T1164" i="2"/>
  <c r="T1165" i="2"/>
  <c r="T1166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3" i="2"/>
  <c r="T1188" i="2"/>
  <c r="T1189" i="2"/>
  <c r="T1190" i="2"/>
  <c r="T1191" i="2"/>
  <c r="T1195" i="2"/>
  <c r="T1198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20" i="2"/>
  <c r="T1222" i="2"/>
  <c r="T1223" i="2"/>
  <c r="T1235" i="2"/>
  <c r="T1236" i="2"/>
  <c r="T1237" i="2"/>
  <c r="T1238" i="2"/>
  <c r="T1239" i="2"/>
  <c r="T1240" i="2"/>
  <c r="T1241" i="2"/>
  <c r="T1242" i="2"/>
  <c r="T1243" i="2"/>
  <c r="T1244" i="2"/>
  <c r="T1245" i="2"/>
  <c r="T1247" i="2"/>
  <c r="T1252" i="2"/>
  <c r="T1255" i="2"/>
  <c r="T1256" i="2"/>
  <c r="T1259" i="2"/>
  <c r="T1260" i="2"/>
  <c r="T1261" i="2"/>
  <c r="T1274" i="2"/>
  <c r="T1275" i="2"/>
  <c r="T1276" i="2"/>
  <c r="T1277" i="2"/>
  <c r="T1278" i="2"/>
  <c r="T1291" i="2"/>
  <c r="T1293" i="2"/>
  <c r="T1297" i="2"/>
  <c r="T1298" i="2"/>
  <c r="T1299" i="2"/>
  <c r="T1305" i="2"/>
  <c r="T1306" i="2"/>
  <c r="T1307" i="2"/>
  <c r="T1310" i="2"/>
  <c r="T1311" i="2"/>
  <c r="T1312" i="2"/>
  <c r="T1313" i="2"/>
  <c r="T1314" i="2"/>
  <c r="T1315" i="2"/>
  <c r="T1316" i="2"/>
  <c r="T1321" i="2"/>
  <c r="T1323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8" i="2"/>
  <c r="T1360" i="2"/>
  <c r="T1363" i="2"/>
  <c r="T1364" i="2"/>
  <c r="T1366" i="2"/>
  <c r="T1368" i="2"/>
  <c r="T1369" i="2"/>
  <c r="T1373" i="2"/>
  <c r="T1376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15" i="2"/>
  <c r="T1439" i="2"/>
  <c r="T1483" i="2"/>
  <c r="T1484" i="2"/>
  <c r="T1485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70" i="2"/>
  <c r="T1571" i="2"/>
  <c r="T1572" i="2"/>
  <c r="T1573" i="2"/>
  <c r="T1574" i="2"/>
  <c r="T1575" i="2"/>
  <c r="T1576" i="2"/>
  <c r="T1577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5" i="2"/>
  <c r="T1616" i="2"/>
  <c r="T1617" i="2"/>
  <c r="T1618" i="2"/>
  <c r="T1619" i="2"/>
  <c r="T1620" i="2"/>
  <c r="T1621" i="2"/>
  <c r="T1622" i="2"/>
  <c r="T1623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6" i="2"/>
  <c r="T1647" i="2"/>
  <c r="T1648" i="2"/>
  <c r="T1649" i="2"/>
  <c r="T1654" i="2"/>
  <c r="T1657" i="2"/>
  <c r="T1659" i="2"/>
  <c r="T1660" i="2"/>
  <c r="T1661" i="2"/>
  <c r="T1662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9" i="2"/>
  <c r="T1684" i="2"/>
  <c r="T1685" i="2"/>
  <c r="T1686" i="2"/>
  <c r="T1691" i="2"/>
  <c r="T1693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15" i="2"/>
  <c r="T1717" i="2"/>
  <c r="T171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2" i="2"/>
  <c r="T1746" i="2"/>
  <c r="T1749" i="2"/>
  <c r="T1750" i="2"/>
  <c r="T1753" i="2"/>
  <c r="T1754" i="2"/>
  <c r="T1755" i="2"/>
  <c r="T1758" i="2"/>
  <c r="T1767" i="2"/>
  <c r="T1768" i="2"/>
  <c r="T1769" i="2"/>
  <c r="T1770" i="2"/>
  <c r="T1771" i="2"/>
  <c r="T1783" i="2"/>
  <c r="T1785" i="2"/>
  <c r="T1789" i="2"/>
  <c r="T1790" i="2"/>
  <c r="T1791" i="2"/>
  <c r="T1797" i="2"/>
  <c r="T1798" i="2"/>
  <c r="T1802" i="2"/>
  <c r="T1803" i="2"/>
  <c r="T1804" i="2"/>
  <c r="T1805" i="2"/>
  <c r="T1806" i="2"/>
  <c r="T1807" i="2"/>
  <c r="T1808" i="2"/>
  <c r="T1813" i="2"/>
  <c r="T1815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25" i="2"/>
  <c r="T2126" i="2"/>
  <c r="T2127" i="2"/>
  <c r="T2128" i="2"/>
  <c r="T2129" i="2"/>
  <c r="T2130" i="2"/>
  <c r="T2131" i="2"/>
  <c r="T2132" i="2"/>
  <c r="T2133" i="2"/>
  <c r="T2135" i="2"/>
  <c r="T2136" i="2"/>
  <c r="T2137" i="2"/>
  <c r="T2138" i="2"/>
  <c r="T2139" i="2"/>
  <c r="T2140" i="2"/>
  <c r="T2141" i="2"/>
  <c r="T2142" i="2"/>
  <c r="T2143" i="2"/>
  <c r="T2144" i="2"/>
  <c r="T2145" i="2"/>
  <c r="T2149" i="2"/>
  <c r="T2150" i="2"/>
  <c r="T2151" i="2"/>
  <c r="T2152" i="2"/>
  <c r="T2153" i="2"/>
  <c r="T2154" i="2"/>
  <c r="T2155" i="2"/>
  <c r="T2157" i="2"/>
  <c r="T2158" i="2"/>
  <c r="T2159" i="2"/>
  <c r="T2160" i="2"/>
  <c r="T2162" i="2"/>
  <c r="T2163" i="2"/>
  <c r="T2164" i="2"/>
  <c r="T2165" i="2"/>
  <c r="T2170" i="2"/>
  <c r="T2172" i="2"/>
  <c r="T2174" i="2"/>
  <c r="T2175" i="2"/>
  <c r="T2176" i="2"/>
  <c r="T2177" i="2"/>
  <c r="T2178" i="2"/>
  <c r="T2180" i="2"/>
  <c r="T2181" i="2"/>
  <c r="T2182" i="2"/>
  <c r="T2183" i="2"/>
  <c r="T2184" i="2"/>
  <c r="T2185" i="2"/>
  <c r="T2186" i="2"/>
  <c r="T2187" i="2"/>
  <c r="T2188" i="2"/>
  <c r="T2189" i="2"/>
  <c r="T2190" i="2"/>
  <c r="T2191" i="2"/>
  <c r="T2192" i="2"/>
  <c r="T2193" i="2"/>
  <c r="T2194" i="2"/>
  <c r="T2195" i="2"/>
  <c r="T2196" i="2"/>
  <c r="T2199" i="2"/>
  <c r="T2201" i="2"/>
  <c r="T2202" i="2"/>
  <c r="T2206" i="2"/>
  <c r="T2207" i="2"/>
  <c r="T2208" i="2"/>
  <c r="T2209" i="2"/>
  <c r="T2210" i="2"/>
  <c r="T2211" i="2"/>
  <c r="T2212" i="2"/>
  <c r="T2213" i="2"/>
  <c r="T2214" i="2"/>
  <c r="T2215" i="2"/>
  <c r="T2216" i="2"/>
  <c r="T2217" i="2"/>
  <c r="T2218" i="2"/>
  <c r="T2219" i="2"/>
  <c r="T2220" i="2"/>
  <c r="T2221" i="2"/>
  <c r="T2222" i="2"/>
  <c r="T2223" i="2"/>
  <c r="T2224" i="2"/>
  <c r="T2225" i="2"/>
  <c r="T2226" i="2"/>
  <c r="T2227" i="2"/>
  <c r="T2228" i="2"/>
  <c r="T2229" i="2"/>
  <c r="T2230" i="2"/>
  <c r="T2231" i="2"/>
  <c r="T2232" i="2"/>
  <c r="T2233" i="2"/>
  <c r="T2234" i="2"/>
  <c r="T2235" i="2"/>
  <c r="T2236" i="2"/>
  <c r="T2237" i="2"/>
  <c r="T2238" i="2"/>
  <c r="T2239" i="2"/>
  <c r="T2240" i="2"/>
  <c r="T2241" i="2"/>
  <c r="T2242" i="2"/>
  <c r="T2243" i="2"/>
  <c r="T2244" i="2"/>
  <c r="T2245" i="2"/>
  <c r="T2246" i="2"/>
  <c r="T2247" i="2"/>
  <c r="T2248" i="2"/>
  <c r="T2249" i="2"/>
  <c r="T2250" i="2"/>
  <c r="T2251" i="2"/>
  <c r="T2252" i="2"/>
  <c r="T2253" i="2"/>
  <c r="T2254" i="2"/>
  <c r="T2255" i="2"/>
  <c r="T2257" i="2"/>
  <c r="T2258" i="2"/>
  <c r="T2259" i="2"/>
  <c r="T2260" i="2"/>
  <c r="T2261" i="2"/>
  <c r="T2262" i="2"/>
  <c r="T2263" i="2"/>
  <c r="T2264" i="2"/>
  <c r="T2265" i="2"/>
  <c r="T2266" i="2"/>
  <c r="T2267" i="2"/>
  <c r="T2268" i="2"/>
  <c r="T2269" i="2"/>
  <c r="T2270" i="2"/>
  <c r="T2271" i="2"/>
  <c r="T2272" i="2"/>
  <c r="T2277" i="2"/>
  <c r="T2278" i="2"/>
  <c r="T2279" i="2"/>
  <c r="T2287" i="2"/>
  <c r="T2288" i="2"/>
  <c r="T2289" i="2"/>
  <c r="T2290" i="2"/>
  <c r="T2291" i="2"/>
  <c r="T2292" i="2"/>
  <c r="T2293" i="2"/>
  <c r="T2294" i="2"/>
  <c r="T2295" i="2"/>
  <c r="T2296" i="2"/>
  <c r="T2297" i="2"/>
  <c r="T2298" i="2"/>
  <c r="T2299" i="2"/>
  <c r="T2303" i="2"/>
  <c r="T2304" i="2"/>
  <c r="T2305" i="2"/>
  <c r="T2307" i="2"/>
  <c r="T2308" i="2"/>
  <c r="T2309" i="2"/>
  <c r="T2311" i="2"/>
  <c r="T2312" i="2"/>
  <c r="T2319" i="2"/>
  <c r="T2320" i="2"/>
  <c r="T2321" i="2"/>
  <c r="T2322" i="2"/>
  <c r="T2323" i="2"/>
  <c r="T2324" i="2"/>
  <c r="T2325" i="2"/>
  <c r="T2332" i="2"/>
  <c r="T2333" i="2"/>
  <c r="T2334" i="2"/>
  <c r="T2335" i="2"/>
  <c r="T2336" i="2"/>
  <c r="T2337" i="2"/>
  <c r="T2339" i="2"/>
  <c r="T2342" i="2"/>
  <c r="T2343" i="2"/>
  <c r="T2344" i="2"/>
  <c r="T2345" i="2"/>
  <c r="T2351" i="2"/>
  <c r="T2352" i="2"/>
  <c r="T2353" i="2"/>
  <c r="T2355" i="2"/>
  <c r="T2356" i="2"/>
  <c r="T2357" i="2"/>
  <c r="T2358" i="2"/>
  <c r="T2359" i="2"/>
  <c r="T2360" i="2"/>
  <c r="T2361" i="2"/>
  <c r="T2362" i="2"/>
  <c r="T2363" i="2"/>
  <c r="T2364" i="2"/>
  <c r="T2365" i="2"/>
  <c r="T2366" i="2"/>
  <c r="T2371" i="2"/>
  <c r="T2372" i="2"/>
  <c r="T2373" i="2"/>
  <c r="T2374" i="2"/>
  <c r="T2375" i="2"/>
  <c r="T2376" i="2"/>
  <c r="T2377" i="2"/>
  <c r="T2381" i="2"/>
  <c r="T2382" i="2"/>
  <c r="T2383" i="2"/>
  <c r="T2384" i="2"/>
  <c r="T2385" i="2"/>
  <c r="T2386" i="2"/>
  <c r="T2387" i="2"/>
  <c r="T2388" i="2"/>
  <c r="T2389" i="2"/>
  <c r="T2390" i="2"/>
  <c r="T2391" i="2"/>
  <c r="T2392" i="2"/>
  <c r="T2393" i="2"/>
  <c r="T2394" i="2"/>
  <c r="T2395" i="2"/>
  <c r="T2396" i="2"/>
  <c r="T2397" i="2"/>
  <c r="T2398" i="2"/>
  <c r="T2399" i="2"/>
  <c r="T2400" i="2"/>
  <c r="T2401" i="2"/>
  <c r="T2402" i="2"/>
  <c r="T2403" i="2"/>
  <c r="T2404" i="2"/>
  <c r="T2405" i="2"/>
  <c r="T2406" i="2"/>
  <c r="T2407" i="2"/>
  <c r="T2408" i="2"/>
  <c r="T2409" i="2"/>
  <c r="T2410" i="2"/>
  <c r="T2411" i="2"/>
  <c r="T2412" i="2"/>
  <c r="T2413" i="2"/>
  <c r="T2414" i="2"/>
  <c r="T2415" i="2"/>
  <c r="T2416" i="2"/>
  <c r="T2417" i="2"/>
  <c r="T2418" i="2"/>
  <c r="T2419" i="2"/>
  <c r="T2420" i="2"/>
  <c r="T2421" i="2"/>
  <c r="T2422" i="2"/>
  <c r="T2423" i="2"/>
  <c r="T2424" i="2"/>
  <c r="T2425" i="2"/>
  <c r="T2426" i="2"/>
  <c r="T2427" i="2"/>
  <c r="T2428" i="2"/>
  <c r="T2429" i="2"/>
  <c r="T2430" i="2"/>
  <c r="T2431" i="2"/>
  <c r="T2432" i="2"/>
  <c r="T2433" i="2"/>
  <c r="T2434" i="2"/>
  <c r="T2435" i="2"/>
  <c r="T2436" i="2"/>
  <c r="T2437" i="2"/>
  <c r="T2438" i="2"/>
  <c r="T2439" i="2"/>
  <c r="T2440" i="2"/>
  <c r="T244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2328" i="2"/>
  <c r="V2329" i="2"/>
  <c r="V2330" i="2"/>
  <c r="V2331" i="2"/>
  <c r="V2332" i="2"/>
  <c r="V2333" i="2"/>
  <c r="V2334" i="2"/>
  <c r="V2335" i="2"/>
  <c r="V2336" i="2"/>
  <c r="V2337" i="2"/>
  <c r="V2338" i="2"/>
  <c r="V2339" i="2"/>
  <c r="V2340" i="2"/>
  <c r="V2341" i="2"/>
  <c r="V2342" i="2"/>
  <c r="V2343" i="2"/>
  <c r="V2344" i="2"/>
  <c r="V2345" i="2"/>
  <c r="V2346" i="2"/>
  <c r="V2347" i="2"/>
  <c r="V2348" i="2"/>
  <c r="V2349" i="2"/>
  <c r="V2350" i="2"/>
  <c r="V2351" i="2"/>
  <c r="V2352" i="2"/>
  <c r="V2353" i="2"/>
  <c r="V2354" i="2"/>
  <c r="V2355" i="2"/>
  <c r="V2356" i="2"/>
  <c r="V2357" i="2"/>
  <c r="V2358" i="2"/>
  <c r="V2359" i="2"/>
  <c r="V2360" i="2"/>
  <c r="V2361" i="2"/>
  <c r="V2362" i="2"/>
  <c r="V2363" i="2"/>
  <c r="V2364" i="2"/>
  <c r="V2365" i="2"/>
  <c r="V2366" i="2"/>
  <c r="V2367" i="2"/>
  <c r="V2368" i="2"/>
  <c r="V2369" i="2"/>
  <c r="V2370" i="2"/>
  <c r="V2371" i="2"/>
  <c r="V2372" i="2"/>
  <c r="V2373" i="2"/>
  <c r="V2374" i="2"/>
  <c r="V2375" i="2"/>
  <c r="V2376" i="2"/>
  <c r="V2377" i="2"/>
  <c r="V2378" i="2"/>
  <c r="V2379" i="2"/>
  <c r="V2380" i="2"/>
  <c r="V2381" i="2"/>
  <c r="V2382" i="2"/>
  <c r="V2383" i="2"/>
  <c r="V2384" i="2"/>
  <c r="V2385" i="2"/>
  <c r="V2386" i="2"/>
  <c r="V2387" i="2"/>
  <c r="V2388" i="2"/>
  <c r="V2389" i="2"/>
  <c r="V2390" i="2"/>
  <c r="V2391" i="2"/>
  <c r="V2392" i="2"/>
  <c r="V2393" i="2"/>
  <c r="V2394" i="2"/>
  <c r="V2395" i="2"/>
  <c r="V2396" i="2"/>
  <c r="V2397" i="2"/>
  <c r="V2398" i="2"/>
  <c r="V2399" i="2"/>
  <c r="V2400" i="2"/>
  <c r="V2401" i="2"/>
  <c r="V2402" i="2"/>
  <c r="V2403" i="2"/>
  <c r="V2404" i="2"/>
  <c r="V2405" i="2"/>
  <c r="V2406" i="2"/>
  <c r="V2407" i="2"/>
  <c r="V2408" i="2"/>
  <c r="V2409" i="2"/>
  <c r="V2410" i="2"/>
  <c r="V2411" i="2"/>
  <c r="V2412" i="2"/>
  <c r="V2413" i="2"/>
  <c r="V2414" i="2"/>
  <c r="V2415" i="2"/>
  <c r="V2416" i="2"/>
  <c r="V2417" i="2"/>
  <c r="V2418" i="2"/>
  <c r="V2419" i="2"/>
  <c r="V2420" i="2"/>
  <c r="V2421" i="2"/>
  <c r="V2422" i="2"/>
  <c r="V2423" i="2"/>
  <c r="V2424" i="2"/>
  <c r="V2425" i="2"/>
  <c r="V2426" i="2"/>
  <c r="V2427" i="2"/>
  <c r="V2428" i="2"/>
  <c r="V2429" i="2"/>
  <c r="V2430" i="2"/>
  <c r="V2431" i="2"/>
  <c r="V2432" i="2"/>
  <c r="V2433" i="2"/>
  <c r="V2434" i="2"/>
  <c r="V2435" i="2"/>
  <c r="V2436" i="2"/>
  <c r="V2437" i="2"/>
  <c r="V2438" i="2"/>
  <c r="V2439" i="2"/>
  <c r="V2440" i="2"/>
  <c r="V244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W1040" i="2"/>
  <c r="W1041" i="2"/>
  <c r="W1042" i="2"/>
  <c r="W1043" i="2"/>
  <c r="W1044" i="2"/>
  <c r="W1045" i="2"/>
  <c r="W1046" i="2"/>
  <c r="W1047" i="2"/>
  <c r="W1048" i="2"/>
  <c r="W1049" i="2"/>
  <c r="W1050" i="2"/>
  <c r="W1051" i="2"/>
  <c r="W1052" i="2"/>
  <c r="W1053" i="2"/>
  <c r="W1054" i="2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W1100" i="2"/>
  <c r="W1101" i="2"/>
  <c r="W1102" i="2"/>
  <c r="W1103" i="2"/>
  <c r="W1104" i="2"/>
  <c r="W1105" i="2"/>
  <c r="W1106" i="2"/>
  <c r="W1107" i="2"/>
  <c r="W1108" i="2"/>
  <c r="W1109" i="2"/>
  <c r="W1110" i="2"/>
  <c r="W1111" i="2"/>
  <c r="W1112" i="2"/>
  <c r="W1113" i="2"/>
  <c r="W1114" i="2"/>
  <c r="W1115" i="2"/>
  <c r="W1116" i="2"/>
  <c r="W1117" i="2"/>
  <c r="W1118" i="2"/>
  <c r="W1119" i="2"/>
  <c r="W1120" i="2"/>
  <c r="W1121" i="2"/>
  <c r="W1122" i="2"/>
  <c r="W1123" i="2"/>
  <c r="W1124" i="2"/>
  <c r="W1125" i="2"/>
  <c r="W1126" i="2"/>
  <c r="W1127" i="2"/>
  <c r="W1128" i="2"/>
  <c r="W1129" i="2"/>
  <c r="W1130" i="2"/>
  <c r="W1131" i="2"/>
  <c r="W1132" i="2"/>
  <c r="W1133" i="2"/>
  <c r="W1134" i="2"/>
  <c r="W1135" i="2"/>
  <c r="W1136" i="2"/>
  <c r="W1137" i="2"/>
  <c r="W1138" i="2"/>
  <c r="W1139" i="2"/>
  <c r="W1140" i="2"/>
  <c r="W1141" i="2"/>
  <c r="W1142" i="2"/>
  <c r="W1143" i="2"/>
  <c r="W1144" i="2"/>
  <c r="W1145" i="2"/>
  <c r="W1146" i="2"/>
  <c r="W1147" i="2"/>
  <c r="W1148" i="2"/>
  <c r="W1149" i="2"/>
  <c r="W1150" i="2"/>
  <c r="W1151" i="2"/>
  <c r="W1152" i="2"/>
  <c r="W1153" i="2"/>
  <c r="W1154" i="2"/>
  <c r="W1155" i="2"/>
  <c r="W1156" i="2"/>
  <c r="W1157" i="2"/>
  <c r="W1158" i="2"/>
  <c r="W1159" i="2"/>
  <c r="W1160" i="2"/>
  <c r="W1161" i="2"/>
  <c r="W1162" i="2"/>
  <c r="W1163" i="2"/>
  <c r="W1164" i="2"/>
  <c r="W1165" i="2"/>
  <c r="W1166" i="2"/>
  <c r="W1167" i="2"/>
  <c r="W1168" i="2"/>
  <c r="W1169" i="2"/>
  <c r="W1170" i="2"/>
  <c r="W1171" i="2"/>
  <c r="W1172" i="2"/>
  <c r="W1173" i="2"/>
  <c r="W1174" i="2"/>
  <c r="W1175" i="2"/>
  <c r="W1176" i="2"/>
  <c r="W1177" i="2"/>
  <c r="W1178" i="2"/>
  <c r="W1179" i="2"/>
  <c r="W1180" i="2"/>
  <c r="W1181" i="2"/>
  <c r="W1182" i="2"/>
  <c r="W1183" i="2"/>
  <c r="W1184" i="2"/>
  <c r="W1185" i="2"/>
  <c r="W1186" i="2"/>
  <c r="W1187" i="2"/>
  <c r="W1188" i="2"/>
  <c r="W1189" i="2"/>
  <c r="W1190" i="2"/>
  <c r="W1191" i="2"/>
  <c r="W1192" i="2"/>
  <c r="W1193" i="2"/>
  <c r="W1194" i="2"/>
  <c r="W1195" i="2"/>
  <c r="W1196" i="2"/>
  <c r="W1197" i="2"/>
  <c r="W1198" i="2"/>
  <c r="W1199" i="2"/>
  <c r="W1200" i="2"/>
  <c r="W1201" i="2"/>
  <c r="W1202" i="2"/>
  <c r="W1203" i="2"/>
  <c r="W1204" i="2"/>
  <c r="W1205" i="2"/>
  <c r="W1206" i="2"/>
  <c r="W1207" i="2"/>
  <c r="W1208" i="2"/>
  <c r="W1209" i="2"/>
  <c r="W1210" i="2"/>
  <c r="W1211" i="2"/>
  <c r="W1212" i="2"/>
  <c r="W1213" i="2"/>
  <c r="W1214" i="2"/>
  <c r="W1215" i="2"/>
  <c r="W1216" i="2"/>
  <c r="W1217" i="2"/>
  <c r="W1218" i="2"/>
  <c r="W1219" i="2"/>
  <c r="W1220" i="2"/>
  <c r="W1221" i="2"/>
  <c r="W1222" i="2"/>
  <c r="W1223" i="2"/>
  <c r="W1224" i="2"/>
  <c r="W1225" i="2"/>
  <c r="W1226" i="2"/>
  <c r="W1227" i="2"/>
  <c r="W1228" i="2"/>
  <c r="W1229" i="2"/>
  <c r="W1230" i="2"/>
  <c r="W1231" i="2"/>
  <c r="W1232" i="2"/>
  <c r="W1233" i="2"/>
  <c r="W1234" i="2"/>
  <c r="W1235" i="2"/>
  <c r="W1236" i="2"/>
  <c r="W1237" i="2"/>
  <c r="W1238" i="2"/>
  <c r="W1239" i="2"/>
  <c r="W1240" i="2"/>
  <c r="W1241" i="2"/>
  <c r="W1242" i="2"/>
  <c r="W1243" i="2"/>
  <c r="W1244" i="2"/>
  <c r="W1245" i="2"/>
  <c r="W1246" i="2"/>
  <c r="W1247" i="2"/>
  <c r="W1248" i="2"/>
  <c r="W1249" i="2"/>
  <c r="W1250" i="2"/>
  <c r="W1251" i="2"/>
  <c r="W1252" i="2"/>
  <c r="W1253" i="2"/>
  <c r="W1254" i="2"/>
  <c r="W1255" i="2"/>
  <c r="W1256" i="2"/>
  <c r="W1257" i="2"/>
  <c r="W1258" i="2"/>
  <c r="W1259" i="2"/>
  <c r="W1260" i="2"/>
  <c r="W1261" i="2"/>
  <c r="W1262" i="2"/>
  <c r="W1263" i="2"/>
  <c r="W1264" i="2"/>
  <c r="W1265" i="2"/>
  <c r="W1266" i="2"/>
  <c r="W1267" i="2"/>
  <c r="W1268" i="2"/>
  <c r="W1269" i="2"/>
  <c r="W1270" i="2"/>
  <c r="W1271" i="2"/>
  <c r="W1272" i="2"/>
  <c r="W1273" i="2"/>
  <c r="W1274" i="2"/>
  <c r="W1275" i="2"/>
  <c r="W1276" i="2"/>
  <c r="W1277" i="2"/>
  <c r="W1278" i="2"/>
  <c r="W1279" i="2"/>
  <c r="W1280" i="2"/>
  <c r="W1281" i="2"/>
  <c r="W1282" i="2"/>
  <c r="W1283" i="2"/>
  <c r="W1284" i="2"/>
  <c r="W1285" i="2"/>
  <c r="W1286" i="2"/>
  <c r="W1287" i="2"/>
  <c r="W1288" i="2"/>
  <c r="W1289" i="2"/>
  <c r="W1290" i="2"/>
  <c r="W1291" i="2"/>
  <c r="W1292" i="2"/>
  <c r="W1293" i="2"/>
  <c r="W1294" i="2"/>
  <c r="W1295" i="2"/>
  <c r="W1296" i="2"/>
  <c r="W1297" i="2"/>
  <c r="W1298" i="2"/>
  <c r="W1299" i="2"/>
  <c r="W1300" i="2"/>
  <c r="W1301" i="2"/>
  <c r="W1302" i="2"/>
  <c r="W1303" i="2"/>
  <c r="W1304" i="2"/>
  <c r="W1305" i="2"/>
  <c r="W1306" i="2"/>
  <c r="W1307" i="2"/>
  <c r="W1308" i="2"/>
  <c r="W1309" i="2"/>
  <c r="W1310" i="2"/>
  <c r="W1311" i="2"/>
  <c r="W1312" i="2"/>
  <c r="W1313" i="2"/>
  <c r="W1314" i="2"/>
  <c r="W1315" i="2"/>
  <c r="W1316" i="2"/>
  <c r="W1317" i="2"/>
  <c r="W1318" i="2"/>
  <c r="W1319" i="2"/>
  <c r="W1320" i="2"/>
  <c r="W1321" i="2"/>
  <c r="W1322" i="2"/>
  <c r="W1323" i="2"/>
  <c r="W1324" i="2"/>
  <c r="W1325" i="2"/>
  <c r="W1326" i="2"/>
  <c r="W1327" i="2"/>
  <c r="W1328" i="2"/>
  <c r="W1329" i="2"/>
  <c r="W1330" i="2"/>
  <c r="W1331" i="2"/>
  <c r="W1332" i="2"/>
  <c r="W1333" i="2"/>
  <c r="W1334" i="2"/>
  <c r="W1335" i="2"/>
  <c r="W1336" i="2"/>
  <c r="W1337" i="2"/>
  <c r="W1338" i="2"/>
  <c r="W1339" i="2"/>
  <c r="W1340" i="2"/>
  <c r="W1341" i="2"/>
  <c r="W1342" i="2"/>
  <c r="W1343" i="2"/>
  <c r="W1344" i="2"/>
  <c r="W1345" i="2"/>
  <c r="W1346" i="2"/>
  <c r="W1347" i="2"/>
  <c r="W1348" i="2"/>
  <c r="W1349" i="2"/>
  <c r="W1350" i="2"/>
  <c r="W1351" i="2"/>
  <c r="W1352" i="2"/>
  <c r="W1353" i="2"/>
  <c r="W1354" i="2"/>
  <c r="W1355" i="2"/>
  <c r="W1356" i="2"/>
  <c r="W1357" i="2"/>
  <c r="W1358" i="2"/>
  <c r="W1359" i="2"/>
  <c r="W1360" i="2"/>
  <c r="W1361" i="2"/>
  <c r="W1362" i="2"/>
  <c r="W1363" i="2"/>
  <c r="W1364" i="2"/>
  <c r="W1365" i="2"/>
  <c r="W1366" i="2"/>
  <c r="W1367" i="2"/>
  <c r="W1368" i="2"/>
  <c r="W1369" i="2"/>
  <c r="W1370" i="2"/>
  <c r="W1371" i="2"/>
  <c r="W1372" i="2"/>
  <c r="W1373" i="2"/>
  <c r="W1374" i="2"/>
  <c r="W1375" i="2"/>
  <c r="W1376" i="2"/>
  <c r="W1377" i="2"/>
  <c r="W1378" i="2"/>
  <c r="W1379" i="2"/>
  <c r="W1380" i="2"/>
  <c r="W1381" i="2"/>
  <c r="W1382" i="2"/>
  <c r="W1383" i="2"/>
  <c r="W1384" i="2"/>
  <c r="W1385" i="2"/>
  <c r="W1386" i="2"/>
  <c r="W1387" i="2"/>
  <c r="W1388" i="2"/>
  <c r="W1389" i="2"/>
  <c r="W1390" i="2"/>
  <c r="W1391" i="2"/>
  <c r="W1392" i="2"/>
  <c r="W1393" i="2"/>
  <c r="W1394" i="2"/>
  <c r="W1395" i="2"/>
  <c r="W1396" i="2"/>
  <c r="W1397" i="2"/>
  <c r="W1398" i="2"/>
  <c r="W1399" i="2"/>
  <c r="W1400" i="2"/>
  <c r="W1401" i="2"/>
  <c r="W1402" i="2"/>
  <c r="W1403" i="2"/>
  <c r="W1404" i="2"/>
  <c r="W1405" i="2"/>
  <c r="W1406" i="2"/>
  <c r="W1407" i="2"/>
  <c r="W1408" i="2"/>
  <c r="W1409" i="2"/>
  <c r="W1410" i="2"/>
  <c r="W1411" i="2"/>
  <c r="W1412" i="2"/>
  <c r="W1413" i="2"/>
  <c r="W1414" i="2"/>
  <c r="W1415" i="2"/>
  <c r="W1416" i="2"/>
  <c r="W1417" i="2"/>
  <c r="W1418" i="2"/>
  <c r="W1419" i="2"/>
  <c r="W1420" i="2"/>
  <c r="W1421" i="2"/>
  <c r="W1422" i="2"/>
  <c r="W1423" i="2"/>
  <c r="W1424" i="2"/>
  <c r="W1425" i="2"/>
  <c r="W1426" i="2"/>
  <c r="W1427" i="2"/>
  <c r="W1428" i="2"/>
  <c r="W1429" i="2"/>
  <c r="W1430" i="2"/>
  <c r="W1431" i="2"/>
  <c r="W1432" i="2"/>
  <c r="W1433" i="2"/>
  <c r="W1434" i="2"/>
  <c r="W1435" i="2"/>
  <c r="W1436" i="2"/>
  <c r="W1437" i="2"/>
  <c r="W1438" i="2"/>
  <c r="W1439" i="2"/>
  <c r="W1440" i="2"/>
  <c r="W1441" i="2"/>
  <c r="W1442" i="2"/>
  <c r="W1443" i="2"/>
  <c r="W1444" i="2"/>
  <c r="W1445" i="2"/>
  <c r="W1446" i="2"/>
  <c r="W1447" i="2"/>
  <c r="W1448" i="2"/>
  <c r="W1449" i="2"/>
  <c r="W1450" i="2"/>
  <c r="W1451" i="2"/>
  <c r="W1452" i="2"/>
  <c r="W1453" i="2"/>
  <c r="W1454" i="2"/>
  <c r="W1455" i="2"/>
  <c r="W1456" i="2"/>
  <c r="W1457" i="2"/>
  <c r="W1458" i="2"/>
  <c r="W1459" i="2"/>
  <c r="W1460" i="2"/>
  <c r="W1461" i="2"/>
  <c r="W1462" i="2"/>
  <c r="W1463" i="2"/>
  <c r="W1464" i="2"/>
  <c r="W1465" i="2"/>
  <c r="W1466" i="2"/>
  <c r="W1467" i="2"/>
  <c r="W1468" i="2"/>
  <c r="W1469" i="2"/>
  <c r="W1470" i="2"/>
  <c r="W1471" i="2"/>
  <c r="W1472" i="2"/>
  <c r="W1473" i="2"/>
  <c r="W1474" i="2"/>
  <c r="W1475" i="2"/>
  <c r="W1476" i="2"/>
  <c r="W1477" i="2"/>
  <c r="W1478" i="2"/>
  <c r="W1479" i="2"/>
  <c r="W1480" i="2"/>
  <c r="W1481" i="2"/>
  <c r="W1482" i="2"/>
  <c r="W1483" i="2"/>
  <c r="W1484" i="2"/>
  <c r="W1485" i="2"/>
  <c r="W1486" i="2"/>
  <c r="W1487" i="2"/>
  <c r="W1488" i="2"/>
  <c r="W1489" i="2"/>
  <c r="W1490" i="2"/>
  <c r="W1491" i="2"/>
  <c r="W1492" i="2"/>
  <c r="W1493" i="2"/>
  <c r="W1494" i="2"/>
  <c r="W1495" i="2"/>
  <c r="W1496" i="2"/>
  <c r="W1497" i="2"/>
  <c r="W1498" i="2"/>
  <c r="W1499" i="2"/>
  <c r="W1500" i="2"/>
  <c r="W1501" i="2"/>
  <c r="W1502" i="2"/>
  <c r="W1503" i="2"/>
  <c r="W1504" i="2"/>
  <c r="W1505" i="2"/>
  <c r="W1506" i="2"/>
  <c r="W1507" i="2"/>
  <c r="W1508" i="2"/>
  <c r="W1509" i="2"/>
  <c r="W1510" i="2"/>
  <c r="W1511" i="2"/>
  <c r="W1512" i="2"/>
  <c r="W1513" i="2"/>
  <c r="W1514" i="2"/>
  <c r="W1515" i="2"/>
  <c r="W1516" i="2"/>
  <c r="W1517" i="2"/>
  <c r="W1518" i="2"/>
  <c r="W1519" i="2"/>
  <c r="W1520" i="2"/>
  <c r="W1521" i="2"/>
  <c r="W1522" i="2"/>
  <c r="W1523" i="2"/>
  <c r="W1524" i="2"/>
  <c r="W1525" i="2"/>
  <c r="W1526" i="2"/>
  <c r="W1527" i="2"/>
  <c r="W1528" i="2"/>
  <c r="W1529" i="2"/>
  <c r="W1530" i="2"/>
  <c r="W1531" i="2"/>
  <c r="W1532" i="2"/>
  <c r="W1533" i="2"/>
  <c r="W1534" i="2"/>
  <c r="W1535" i="2"/>
  <c r="W1536" i="2"/>
  <c r="W1537" i="2"/>
  <c r="W1538" i="2"/>
  <c r="W1539" i="2"/>
  <c r="W1540" i="2"/>
  <c r="W1541" i="2"/>
  <c r="W1542" i="2"/>
  <c r="W1543" i="2"/>
  <c r="W1544" i="2"/>
  <c r="W1545" i="2"/>
  <c r="W1546" i="2"/>
  <c r="W1547" i="2"/>
  <c r="W1548" i="2"/>
  <c r="W1549" i="2"/>
  <c r="W1550" i="2"/>
  <c r="W1551" i="2"/>
  <c r="W1552" i="2"/>
  <c r="W1553" i="2"/>
  <c r="W1554" i="2"/>
  <c r="W1555" i="2"/>
  <c r="W1556" i="2"/>
  <c r="W1557" i="2"/>
  <c r="W1558" i="2"/>
  <c r="W1559" i="2"/>
  <c r="W1560" i="2"/>
  <c r="W1561" i="2"/>
  <c r="W1562" i="2"/>
  <c r="W1563" i="2"/>
  <c r="W1564" i="2"/>
  <c r="W1565" i="2"/>
  <c r="W1566" i="2"/>
  <c r="W1567" i="2"/>
  <c r="W1568" i="2"/>
  <c r="W1569" i="2"/>
  <c r="W1570" i="2"/>
  <c r="W1571" i="2"/>
  <c r="W1572" i="2"/>
  <c r="W1573" i="2"/>
  <c r="W1574" i="2"/>
  <c r="W1575" i="2"/>
  <c r="W1576" i="2"/>
  <c r="W1577" i="2"/>
  <c r="W1578" i="2"/>
  <c r="W1579" i="2"/>
  <c r="W1580" i="2"/>
  <c r="W1581" i="2"/>
  <c r="W1582" i="2"/>
  <c r="W1583" i="2"/>
  <c r="W1584" i="2"/>
  <c r="W1585" i="2"/>
  <c r="W1586" i="2"/>
  <c r="W1587" i="2"/>
  <c r="W1588" i="2"/>
  <c r="W1589" i="2"/>
  <c r="W1590" i="2"/>
  <c r="W1591" i="2"/>
  <c r="W1592" i="2"/>
  <c r="W1593" i="2"/>
  <c r="W1594" i="2"/>
  <c r="W1595" i="2"/>
  <c r="W1596" i="2"/>
  <c r="W1597" i="2"/>
  <c r="W1598" i="2"/>
  <c r="W1599" i="2"/>
  <c r="W1600" i="2"/>
  <c r="W1601" i="2"/>
  <c r="W1602" i="2"/>
  <c r="W1603" i="2"/>
  <c r="W1604" i="2"/>
  <c r="W1605" i="2"/>
  <c r="W1606" i="2"/>
  <c r="W1607" i="2"/>
  <c r="W1608" i="2"/>
  <c r="W1609" i="2"/>
  <c r="W1610" i="2"/>
  <c r="W1611" i="2"/>
  <c r="W1612" i="2"/>
  <c r="W1613" i="2"/>
  <c r="W1614" i="2"/>
  <c r="W1615" i="2"/>
  <c r="W1616" i="2"/>
  <c r="W1617" i="2"/>
  <c r="W1618" i="2"/>
  <c r="W1619" i="2"/>
  <c r="W1620" i="2"/>
  <c r="W1621" i="2"/>
  <c r="W1622" i="2"/>
  <c r="W1623" i="2"/>
  <c r="W1624" i="2"/>
  <c r="W1625" i="2"/>
  <c r="W1626" i="2"/>
  <c r="W1627" i="2"/>
  <c r="W1628" i="2"/>
  <c r="W1629" i="2"/>
  <c r="W1630" i="2"/>
  <c r="W1631" i="2"/>
  <c r="W1632" i="2"/>
  <c r="W1633" i="2"/>
  <c r="W1634" i="2"/>
  <c r="W1635" i="2"/>
  <c r="W1636" i="2"/>
  <c r="W1637" i="2"/>
  <c r="W1638" i="2"/>
  <c r="W1639" i="2"/>
  <c r="W1640" i="2"/>
  <c r="W1641" i="2"/>
  <c r="W1642" i="2"/>
  <c r="W1643" i="2"/>
  <c r="W1644" i="2"/>
  <c r="W1645" i="2"/>
  <c r="W1646" i="2"/>
  <c r="W1647" i="2"/>
  <c r="W1648" i="2"/>
  <c r="W1649" i="2"/>
  <c r="W1650" i="2"/>
  <c r="W1651" i="2"/>
  <c r="W1652" i="2"/>
  <c r="W1653" i="2"/>
  <c r="W1654" i="2"/>
  <c r="W1655" i="2"/>
  <c r="W1656" i="2"/>
  <c r="W1657" i="2"/>
  <c r="W1658" i="2"/>
  <c r="W1659" i="2"/>
  <c r="W1660" i="2"/>
  <c r="W1661" i="2"/>
  <c r="W1662" i="2"/>
  <c r="W1663" i="2"/>
  <c r="W1664" i="2"/>
  <c r="W1665" i="2"/>
  <c r="W1666" i="2"/>
  <c r="W1667" i="2"/>
  <c r="W1668" i="2"/>
  <c r="W1669" i="2"/>
  <c r="W1670" i="2"/>
  <c r="W1671" i="2"/>
  <c r="W1672" i="2"/>
  <c r="W1673" i="2"/>
  <c r="W1674" i="2"/>
  <c r="W1675" i="2"/>
  <c r="W1676" i="2"/>
  <c r="W1677" i="2"/>
  <c r="W1678" i="2"/>
  <c r="W1679" i="2"/>
  <c r="W1680" i="2"/>
  <c r="W1681" i="2"/>
  <c r="W1682" i="2"/>
  <c r="W1683" i="2"/>
  <c r="W1684" i="2"/>
  <c r="W1685" i="2"/>
  <c r="W1686" i="2"/>
  <c r="W1687" i="2"/>
  <c r="W1688" i="2"/>
  <c r="W1689" i="2"/>
  <c r="W1690" i="2"/>
  <c r="W1691" i="2"/>
  <c r="W1692" i="2"/>
  <c r="W1693" i="2"/>
  <c r="W1694" i="2"/>
  <c r="W1695" i="2"/>
  <c r="W1696" i="2"/>
  <c r="W1697" i="2"/>
  <c r="W1698" i="2"/>
  <c r="W1699" i="2"/>
  <c r="W1700" i="2"/>
  <c r="W1701" i="2"/>
  <c r="W1702" i="2"/>
  <c r="W1703" i="2"/>
  <c r="W1704" i="2"/>
  <c r="W1705" i="2"/>
  <c r="W1706" i="2"/>
  <c r="W1707" i="2"/>
  <c r="W1708" i="2"/>
  <c r="W1709" i="2"/>
  <c r="W1710" i="2"/>
  <c r="W1711" i="2"/>
  <c r="W1712" i="2"/>
  <c r="W1713" i="2"/>
  <c r="W1714" i="2"/>
  <c r="W1715" i="2"/>
  <c r="W1716" i="2"/>
  <c r="W1717" i="2"/>
  <c r="W1718" i="2"/>
  <c r="W1719" i="2"/>
  <c r="W1720" i="2"/>
  <c r="W1721" i="2"/>
  <c r="W1722" i="2"/>
  <c r="W1723" i="2"/>
  <c r="W1724" i="2"/>
  <c r="W1725" i="2"/>
  <c r="W1726" i="2"/>
  <c r="W1727" i="2"/>
  <c r="W1728" i="2"/>
  <c r="W1729" i="2"/>
  <c r="W1730" i="2"/>
  <c r="W1731" i="2"/>
  <c r="W1732" i="2"/>
  <c r="W1733" i="2"/>
  <c r="W1734" i="2"/>
  <c r="W1735" i="2"/>
  <c r="W1736" i="2"/>
  <c r="W1737" i="2"/>
  <c r="W1738" i="2"/>
  <c r="W1739" i="2"/>
  <c r="W1740" i="2"/>
  <c r="W1741" i="2"/>
  <c r="W1742" i="2"/>
  <c r="W1743" i="2"/>
  <c r="W1744" i="2"/>
  <c r="W1745" i="2"/>
  <c r="W1746" i="2"/>
  <c r="W1747" i="2"/>
  <c r="W1748" i="2"/>
  <c r="W1749" i="2"/>
  <c r="W1750" i="2"/>
  <c r="W1751" i="2"/>
  <c r="W1752" i="2"/>
  <c r="W1753" i="2"/>
  <c r="W1754" i="2"/>
  <c r="W1755" i="2"/>
  <c r="W1756" i="2"/>
  <c r="W1757" i="2"/>
  <c r="W1758" i="2"/>
  <c r="W1759" i="2"/>
  <c r="W1760" i="2"/>
  <c r="W1761" i="2"/>
  <c r="W1762" i="2"/>
  <c r="W1763" i="2"/>
  <c r="W1764" i="2"/>
  <c r="W1765" i="2"/>
  <c r="W1766" i="2"/>
  <c r="W1767" i="2"/>
  <c r="W1768" i="2"/>
  <c r="W1769" i="2"/>
  <c r="W1770" i="2"/>
  <c r="W1771" i="2"/>
  <c r="W1772" i="2"/>
  <c r="W1773" i="2"/>
  <c r="W1774" i="2"/>
  <c r="W1775" i="2"/>
  <c r="W1776" i="2"/>
  <c r="W1777" i="2"/>
  <c r="W1778" i="2"/>
  <c r="W1779" i="2"/>
  <c r="W1780" i="2"/>
  <c r="W1781" i="2"/>
  <c r="W1782" i="2"/>
  <c r="W1783" i="2"/>
  <c r="W1784" i="2"/>
  <c r="W1785" i="2"/>
  <c r="W1786" i="2"/>
  <c r="W1787" i="2"/>
  <c r="W1788" i="2"/>
  <c r="W1789" i="2"/>
  <c r="W1790" i="2"/>
  <c r="W1791" i="2"/>
  <c r="W1792" i="2"/>
  <c r="W1793" i="2"/>
  <c r="W1794" i="2"/>
  <c r="W1795" i="2"/>
  <c r="W1796" i="2"/>
  <c r="W1797" i="2"/>
  <c r="W1798" i="2"/>
  <c r="W1799" i="2"/>
  <c r="W1800" i="2"/>
  <c r="W1801" i="2"/>
  <c r="W1802" i="2"/>
  <c r="W1803" i="2"/>
  <c r="W1804" i="2"/>
  <c r="W1805" i="2"/>
  <c r="W1806" i="2"/>
  <c r="W1807" i="2"/>
  <c r="W1808" i="2"/>
  <c r="W1809" i="2"/>
  <c r="W1810" i="2"/>
  <c r="W1811" i="2"/>
  <c r="W1812" i="2"/>
  <c r="W1813" i="2"/>
  <c r="W1814" i="2"/>
  <c r="W1815" i="2"/>
  <c r="W1816" i="2"/>
  <c r="W1817" i="2"/>
  <c r="W1818" i="2"/>
  <c r="W1819" i="2"/>
  <c r="W1820" i="2"/>
  <c r="W1821" i="2"/>
  <c r="W1822" i="2"/>
  <c r="W1823" i="2"/>
  <c r="W1824" i="2"/>
  <c r="W1825" i="2"/>
  <c r="W1826" i="2"/>
  <c r="W1827" i="2"/>
  <c r="W1828" i="2"/>
  <c r="W1829" i="2"/>
  <c r="W1830" i="2"/>
  <c r="W1831" i="2"/>
  <c r="W1832" i="2"/>
  <c r="W1833" i="2"/>
  <c r="W1834" i="2"/>
  <c r="W1835" i="2"/>
  <c r="W1836" i="2"/>
  <c r="W1837" i="2"/>
  <c r="W1838" i="2"/>
  <c r="W1839" i="2"/>
  <c r="W1840" i="2"/>
  <c r="W1841" i="2"/>
  <c r="W1842" i="2"/>
  <c r="W1843" i="2"/>
  <c r="W1844" i="2"/>
  <c r="W1845" i="2"/>
  <c r="W1846" i="2"/>
  <c r="W1847" i="2"/>
  <c r="W1848" i="2"/>
  <c r="W1849" i="2"/>
  <c r="W1850" i="2"/>
  <c r="W1851" i="2"/>
  <c r="W1852" i="2"/>
  <c r="W1853" i="2"/>
  <c r="W1854" i="2"/>
  <c r="W1855" i="2"/>
  <c r="W1856" i="2"/>
  <c r="W1857" i="2"/>
  <c r="W1858" i="2"/>
  <c r="W1859" i="2"/>
  <c r="W1860" i="2"/>
  <c r="W1861" i="2"/>
  <c r="W1862" i="2"/>
  <c r="W1863" i="2"/>
  <c r="W1864" i="2"/>
  <c r="W1865" i="2"/>
  <c r="W1866" i="2"/>
  <c r="W1867" i="2"/>
  <c r="W1868" i="2"/>
  <c r="W1869" i="2"/>
  <c r="W1870" i="2"/>
  <c r="W1871" i="2"/>
  <c r="W1872" i="2"/>
  <c r="W1873" i="2"/>
  <c r="W1874" i="2"/>
  <c r="W1875" i="2"/>
  <c r="W1876" i="2"/>
  <c r="W1877" i="2"/>
  <c r="W1878" i="2"/>
  <c r="W1879" i="2"/>
  <c r="W1880" i="2"/>
  <c r="W1881" i="2"/>
  <c r="W1882" i="2"/>
  <c r="W1883" i="2"/>
  <c r="W1884" i="2"/>
  <c r="W1885" i="2"/>
  <c r="W1886" i="2"/>
  <c r="W1887" i="2"/>
  <c r="W1888" i="2"/>
  <c r="W1889" i="2"/>
  <c r="W1890" i="2"/>
  <c r="W1891" i="2"/>
  <c r="W1892" i="2"/>
  <c r="W1893" i="2"/>
  <c r="W1894" i="2"/>
  <c r="W1895" i="2"/>
  <c r="W1896" i="2"/>
  <c r="W1897" i="2"/>
  <c r="W1898" i="2"/>
  <c r="W1899" i="2"/>
  <c r="W1900" i="2"/>
  <c r="W1901" i="2"/>
  <c r="W1902" i="2"/>
  <c r="W1903" i="2"/>
  <c r="W1904" i="2"/>
  <c r="W1905" i="2"/>
  <c r="W1906" i="2"/>
  <c r="W1907" i="2"/>
  <c r="W1908" i="2"/>
  <c r="W1909" i="2"/>
  <c r="W1910" i="2"/>
  <c r="W1911" i="2"/>
  <c r="W1912" i="2"/>
  <c r="W1913" i="2"/>
  <c r="W1914" i="2"/>
  <c r="W1915" i="2"/>
  <c r="W1916" i="2"/>
  <c r="W1917" i="2"/>
  <c r="W1918" i="2"/>
  <c r="W1919" i="2"/>
  <c r="W1920" i="2"/>
  <c r="W1921" i="2"/>
  <c r="W1922" i="2"/>
  <c r="W1923" i="2"/>
  <c r="W1924" i="2"/>
  <c r="W1925" i="2"/>
  <c r="W1926" i="2"/>
  <c r="W1927" i="2"/>
  <c r="W1928" i="2"/>
  <c r="W1929" i="2"/>
  <c r="W1930" i="2"/>
  <c r="W1931" i="2"/>
  <c r="W1932" i="2"/>
  <c r="W1933" i="2"/>
  <c r="W1934" i="2"/>
  <c r="W1935" i="2"/>
  <c r="W1936" i="2"/>
  <c r="W1937" i="2"/>
  <c r="W1938" i="2"/>
  <c r="W1939" i="2"/>
  <c r="W1940" i="2"/>
  <c r="W1941" i="2"/>
  <c r="W1942" i="2"/>
  <c r="W1943" i="2"/>
  <c r="W1944" i="2"/>
  <c r="W1945" i="2"/>
  <c r="W1946" i="2"/>
  <c r="W1947" i="2"/>
  <c r="W1948" i="2"/>
  <c r="W1949" i="2"/>
  <c r="W1950" i="2"/>
  <c r="W1951" i="2"/>
  <c r="W1952" i="2"/>
  <c r="W1953" i="2"/>
  <c r="W1954" i="2"/>
  <c r="W1955" i="2"/>
  <c r="W1956" i="2"/>
  <c r="W1957" i="2"/>
  <c r="W1958" i="2"/>
  <c r="W1959" i="2"/>
  <c r="W1960" i="2"/>
  <c r="W1961" i="2"/>
  <c r="W1962" i="2"/>
  <c r="W1963" i="2"/>
  <c r="W1964" i="2"/>
  <c r="W1965" i="2"/>
  <c r="W1966" i="2"/>
  <c r="W1967" i="2"/>
  <c r="W1968" i="2"/>
  <c r="W1969" i="2"/>
  <c r="W1970" i="2"/>
  <c r="W1971" i="2"/>
  <c r="W1972" i="2"/>
  <c r="W1973" i="2"/>
  <c r="W1974" i="2"/>
  <c r="W1975" i="2"/>
  <c r="W1976" i="2"/>
  <c r="W1977" i="2"/>
  <c r="W1978" i="2"/>
  <c r="W1979" i="2"/>
  <c r="W1980" i="2"/>
  <c r="W1981" i="2"/>
  <c r="W1982" i="2"/>
  <c r="W1983" i="2"/>
  <c r="W1984" i="2"/>
  <c r="W1985" i="2"/>
  <c r="W1986" i="2"/>
  <c r="W1987" i="2"/>
  <c r="W1988" i="2"/>
  <c r="W1989" i="2"/>
  <c r="W1990" i="2"/>
  <c r="W1991" i="2"/>
  <c r="W1992" i="2"/>
  <c r="W1993" i="2"/>
  <c r="W1994" i="2"/>
  <c r="W1995" i="2"/>
  <c r="W1996" i="2"/>
  <c r="W1997" i="2"/>
  <c r="W1998" i="2"/>
  <c r="W1999" i="2"/>
  <c r="W2000" i="2"/>
  <c r="W2001" i="2"/>
  <c r="W2002" i="2"/>
  <c r="W2003" i="2"/>
  <c r="W2004" i="2"/>
  <c r="W2005" i="2"/>
  <c r="W2006" i="2"/>
  <c r="W2007" i="2"/>
  <c r="W2008" i="2"/>
  <c r="W2009" i="2"/>
  <c r="W2010" i="2"/>
  <c r="W2011" i="2"/>
  <c r="W2012" i="2"/>
  <c r="W2013" i="2"/>
  <c r="W2014" i="2"/>
  <c r="W2015" i="2"/>
  <c r="W2016" i="2"/>
  <c r="W2017" i="2"/>
  <c r="W2018" i="2"/>
  <c r="W2019" i="2"/>
  <c r="W2020" i="2"/>
  <c r="W2021" i="2"/>
  <c r="W2022" i="2"/>
  <c r="W2023" i="2"/>
  <c r="W2024" i="2"/>
  <c r="W2025" i="2"/>
  <c r="W2026" i="2"/>
  <c r="W2027" i="2"/>
  <c r="W2028" i="2"/>
  <c r="W2029" i="2"/>
  <c r="W2030" i="2"/>
  <c r="W2031" i="2"/>
  <c r="W2032" i="2"/>
  <c r="W2033" i="2"/>
  <c r="W2034" i="2"/>
  <c r="W2035" i="2"/>
  <c r="W2036" i="2"/>
  <c r="W2037" i="2"/>
  <c r="W2038" i="2"/>
  <c r="W2039" i="2"/>
  <c r="W2040" i="2"/>
  <c r="W2041" i="2"/>
  <c r="W2042" i="2"/>
  <c r="W2043" i="2"/>
  <c r="W2044" i="2"/>
  <c r="W2045" i="2"/>
  <c r="W2046" i="2"/>
  <c r="W2047" i="2"/>
  <c r="W2048" i="2"/>
  <c r="W2049" i="2"/>
  <c r="W2050" i="2"/>
  <c r="W2051" i="2"/>
  <c r="W2052" i="2"/>
  <c r="W2053" i="2"/>
  <c r="W2054" i="2"/>
  <c r="W2055" i="2"/>
  <c r="W2056" i="2"/>
  <c r="W2057" i="2"/>
  <c r="W2058" i="2"/>
  <c r="W2059" i="2"/>
  <c r="W2060" i="2"/>
  <c r="W2061" i="2"/>
  <c r="W2062" i="2"/>
  <c r="W2063" i="2"/>
  <c r="W2064" i="2"/>
  <c r="W2065" i="2"/>
  <c r="W2066" i="2"/>
  <c r="W2067" i="2"/>
  <c r="W2068" i="2"/>
  <c r="W2069" i="2"/>
  <c r="W2070" i="2"/>
  <c r="W2071" i="2"/>
  <c r="W2072" i="2"/>
  <c r="W2073" i="2"/>
  <c r="W2074" i="2"/>
  <c r="W2075" i="2"/>
  <c r="W2076" i="2"/>
  <c r="W2077" i="2"/>
  <c r="W2078" i="2"/>
  <c r="W2079" i="2"/>
  <c r="W2080" i="2"/>
  <c r="W2081" i="2"/>
  <c r="W2082" i="2"/>
  <c r="W2083" i="2"/>
  <c r="W2084" i="2"/>
  <c r="W2085" i="2"/>
  <c r="W2086" i="2"/>
  <c r="W2087" i="2"/>
  <c r="W2088" i="2"/>
  <c r="W2089" i="2"/>
  <c r="W2090" i="2"/>
  <c r="W2091" i="2"/>
  <c r="W2092" i="2"/>
  <c r="W2093" i="2"/>
  <c r="W2094" i="2"/>
  <c r="W2095" i="2"/>
  <c r="W2096" i="2"/>
  <c r="W2097" i="2"/>
  <c r="W2098" i="2"/>
  <c r="W2099" i="2"/>
  <c r="W2100" i="2"/>
  <c r="W2101" i="2"/>
  <c r="W2102" i="2"/>
  <c r="W2103" i="2"/>
  <c r="W2104" i="2"/>
  <c r="W2105" i="2"/>
  <c r="W2106" i="2"/>
  <c r="W2107" i="2"/>
  <c r="W2108" i="2"/>
  <c r="W2109" i="2"/>
  <c r="W2110" i="2"/>
  <c r="W2111" i="2"/>
  <c r="W2112" i="2"/>
  <c r="W2113" i="2"/>
  <c r="W2114" i="2"/>
  <c r="W2115" i="2"/>
  <c r="W2116" i="2"/>
  <c r="W2117" i="2"/>
  <c r="W2118" i="2"/>
  <c r="W2119" i="2"/>
  <c r="W2120" i="2"/>
  <c r="W2121" i="2"/>
  <c r="W2122" i="2"/>
  <c r="W2123" i="2"/>
  <c r="W2124" i="2"/>
  <c r="W2125" i="2"/>
  <c r="W2126" i="2"/>
  <c r="W2127" i="2"/>
  <c r="W2128" i="2"/>
  <c r="W2129" i="2"/>
  <c r="W2130" i="2"/>
  <c r="W2131" i="2"/>
  <c r="W2132" i="2"/>
  <c r="W2133" i="2"/>
  <c r="W2134" i="2"/>
  <c r="W2135" i="2"/>
  <c r="W2136" i="2"/>
  <c r="W2137" i="2"/>
  <c r="W2138" i="2"/>
  <c r="W2139" i="2"/>
  <c r="W2140" i="2"/>
  <c r="W2141" i="2"/>
  <c r="W2142" i="2"/>
  <c r="W2143" i="2"/>
  <c r="W2144" i="2"/>
  <c r="W2145" i="2"/>
  <c r="W2146" i="2"/>
  <c r="W2147" i="2"/>
  <c r="W2148" i="2"/>
  <c r="W2149" i="2"/>
  <c r="W2150" i="2"/>
  <c r="W2151" i="2"/>
  <c r="W2152" i="2"/>
  <c r="W2153" i="2"/>
  <c r="W2154" i="2"/>
  <c r="W2155" i="2"/>
  <c r="W2156" i="2"/>
  <c r="W2157" i="2"/>
  <c r="W2158" i="2"/>
  <c r="W2159" i="2"/>
  <c r="W2160" i="2"/>
  <c r="W2161" i="2"/>
  <c r="W2162" i="2"/>
  <c r="W2163" i="2"/>
  <c r="W2164" i="2"/>
  <c r="W2165" i="2"/>
  <c r="W2166" i="2"/>
  <c r="W2167" i="2"/>
  <c r="W2168" i="2"/>
  <c r="W2169" i="2"/>
  <c r="W2170" i="2"/>
  <c r="W2171" i="2"/>
  <c r="W2172" i="2"/>
  <c r="W2173" i="2"/>
  <c r="W2174" i="2"/>
  <c r="W2175" i="2"/>
  <c r="W2176" i="2"/>
  <c r="W2177" i="2"/>
  <c r="W2178" i="2"/>
  <c r="W2179" i="2"/>
  <c r="W2180" i="2"/>
  <c r="W2181" i="2"/>
  <c r="W2182" i="2"/>
  <c r="W2183" i="2"/>
  <c r="W2184" i="2"/>
  <c r="W2185" i="2"/>
  <c r="W2186" i="2"/>
  <c r="W2187" i="2"/>
  <c r="W2188" i="2"/>
  <c r="W2189" i="2"/>
  <c r="W2190" i="2"/>
  <c r="W2191" i="2"/>
  <c r="W2192" i="2"/>
  <c r="W2193" i="2"/>
  <c r="W2194" i="2"/>
  <c r="W2195" i="2"/>
  <c r="W2196" i="2"/>
  <c r="W2197" i="2"/>
  <c r="W2198" i="2"/>
  <c r="W2199" i="2"/>
  <c r="W2200" i="2"/>
  <c r="W2201" i="2"/>
  <c r="W2202" i="2"/>
  <c r="W2203" i="2"/>
  <c r="W2204" i="2"/>
  <c r="W2205" i="2"/>
  <c r="W2206" i="2"/>
  <c r="W2207" i="2"/>
  <c r="W2208" i="2"/>
  <c r="W2209" i="2"/>
  <c r="W2210" i="2"/>
  <c r="W2211" i="2"/>
  <c r="W2212" i="2"/>
  <c r="W2213" i="2"/>
  <c r="W2214" i="2"/>
  <c r="W2215" i="2"/>
  <c r="W2216" i="2"/>
  <c r="W2217" i="2"/>
  <c r="W2218" i="2"/>
  <c r="W2219" i="2"/>
  <c r="W2220" i="2"/>
  <c r="W2221" i="2"/>
  <c r="W2222" i="2"/>
  <c r="W2223" i="2"/>
  <c r="W2224" i="2"/>
  <c r="W2225" i="2"/>
  <c r="W2226" i="2"/>
  <c r="W2227" i="2"/>
  <c r="W2228" i="2"/>
  <c r="W2229" i="2"/>
  <c r="W2230" i="2"/>
  <c r="W2231" i="2"/>
  <c r="W2232" i="2"/>
  <c r="W2233" i="2"/>
  <c r="W2234" i="2"/>
  <c r="W2235" i="2"/>
  <c r="W2236" i="2"/>
  <c r="W2237" i="2"/>
  <c r="W2238" i="2"/>
  <c r="W2239" i="2"/>
  <c r="W2240" i="2"/>
  <c r="W2241" i="2"/>
  <c r="W2242" i="2"/>
  <c r="W2243" i="2"/>
  <c r="W2244" i="2"/>
  <c r="W2245" i="2"/>
  <c r="W2246" i="2"/>
  <c r="W2247" i="2"/>
  <c r="W2248" i="2"/>
  <c r="W2249" i="2"/>
  <c r="W2250" i="2"/>
  <c r="W2251" i="2"/>
  <c r="W2252" i="2"/>
  <c r="W2253" i="2"/>
  <c r="W2254" i="2"/>
  <c r="W2255" i="2"/>
  <c r="W2256" i="2"/>
  <c r="W2257" i="2"/>
  <c r="W2258" i="2"/>
  <c r="W2259" i="2"/>
  <c r="W2260" i="2"/>
  <c r="W2261" i="2"/>
  <c r="W2262" i="2"/>
  <c r="W2263" i="2"/>
  <c r="W2264" i="2"/>
  <c r="W2265" i="2"/>
  <c r="W2266" i="2"/>
  <c r="W2267" i="2"/>
  <c r="W2268" i="2"/>
  <c r="W2269" i="2"/>
  <c r="W2270" i="2"/>
  <c r="W2271" i="2"/>
  <c r="W2272" i="2"/>
  <c r="W2273" i="2"/>
  <c r="W2274" i="2"/>
  <c r="W2275" i="2"/>
  <c r="W2276" i="2"/>
  <c r="W2277" i="2"/>
  <c r="W2278" i="2"/>
  <c r="W2279" i="2"/>
  <c r="W2280" i="2"/>
  <c r="W2281" i="2"/>
  <c r="W2282" i="2"/>
  <c r="W2283" i="2"/>
  <c r="W2284" i="2"/>
  <c r="W2285" i="2"/>
  <c r="W2286" i="2"/>
  <c r="W2287" i="2"/>
  <c r="W2288" i="2"/>
  <c r="W2289" i="2"/>
  <c r="W2290" i="2"/>
  <c r="W2291" i="2"/>
  <c r="W2292" i="2"/>
  <c r="W2293" i="2"/>
  <c r="W2294" i="2"/>
  <c r="W2295" i="2"/>
  <c r="W2296" i="2"/>
  <c r="W2297" i="2"/>
  <c r="W2298" i="2"/>
  <c r="W2299" i="2"/>
  <c r="W2300" i="2"/>
  <c r="W2301" i="2"/>
  <c r="W2302" i="2"/>
  <c r="W2303" i="2"/>
  <c r="W2304" i="2"/>
  <c r="W2305" i="2"/>
  <c r="W2306" i="2"/>
  <c r="W2307" i="2"/>
  <c r="W2308" i="2"/>
  <c r="W2309" i="2"/>
  <c r="W2310" i="2"/>
  <c r="W2311" i="2"/>
  <c r="W2312" i="2"/>
  <c r="W2313" i="2"/>
  <c r="W2314" i="2"/>
  <c r="W2315" i="2"/>
  <c r="W2316" i="2"/>
  <c r="W2317" i="2"/>
  <c r="W2318" i="2"/>
  <c r="W2319" i="2"/>
  <c r="W2320" i="2"/>
  <c r="W2321" i="2"/>
  <c r="W2322" i="2"/>
  <c r="W2323" i="2"/>
  <c r="W2324" i="2"/>
  <c r="W2325" i="2"/>
  <c r="W2326" i="2"/>
  <c r="W2327" i="2"/>
  <c r="W2328" i="2"/>
  <c r="W2329" i="2"/>
  <c r="W2330" i="2"/>
  <c r="W2331" i="2"/>
  <c r="W2332" i="2"/>
  <c r="W2333" i="2"/>
  <c r="W2334" i="2"/>
  <c r="W2335" i="2"/>
  <c r="W2336" i="2"/>
  <c r="W2337" i="2"/>
  <c r="W2338" i="2"/>
  <c r="W2339" i="2"/>
  <c r="W2340" i="2"/>
  <c r="W2341" i="2"/>
  <c r="W2342" i="2"/>
  <c r="W2343" i="2"/>
  <c r="W2344" i="2"/>
  <c r="W2345" i="2"/>
  <c r="W2346" i="2"/>
  <c r="W2347" i="2"/>
  <c r="W2348" i="2"/>
  <c r="W2349" i="2"/>
  <c r="W2350" i="2"/>
  <c r="W2351" i="2"/>
  <c r="W2352" i="2"/>
  <c r="W2353" i="2"/>
  <c r="W2354" i="2"/>
  <c r="W2355" i="2"/>
  <c r="W2356" i="2"/>
  <c r="W2357" i="2"/>
  <c r="W2358" i="2"/>
  <c r="W2359" i="2"/>
  <c r="W2360" i="2"/>
  <c r="W2361" i="2"/>
  <c r="W2362" i="2"/>
  <c r="W2363" i="2"/>
  <c r="W2364" i="2"/>
  <c r="W2365" i="2"/>
  <c r="W2366" i="2"/>
  <c r="W2367" i="2"/>
  <c r="W2368" i="2"/>
  <c r="W2369" i="2"/>
  <c r="W2370" i="2"/>
  <c r="W2371" i="2"/>
  <c r="W2372" i="2"/>
  <c r="W2373" i="2"/>
  <c r="W2374" i="2"/>
  <c r="W2375" i="2"/>
  <c r="W2376" i="2"/>
  <c r="W2377" i="2"/>
  <c r="W2378" i="2"/>
  <c r="W2379" i="2"/>
  <c r="W2380" i="2"/>
  <c r="W2381" i="2"/>
  <c r="W2382" i="2"/>
  <c r="W2383" i="2"/>
  <c r="W2384" i="2"/>
  <c r="W2385" i="2"/>
  <c r="W2386" i="2"/>
  <c r="W2387" i="2"/>
  <c r="W2388" i="2"/>
  <c r="W2389" i="2"/>
  <c r="W2390" i="2"/>
  <c r="W2391" i="2"/>
  <c r="W2392" i="2"/>
  <c r="W2393" i="2"/>
  <c r="W2394" i="2"/>
  <c r="W2395" i="2"/>
  <c r="W2396" i="2"/>
  <c r="W2397" i="2"/>
  <c r="W2398" i="2"/>
  <c r="W2399" i="2"/>
  <c r="W2400" i="2"/>
  <c r="W2401" i="2"/>
  <c r="W2402" i="2"/>
  <c r="W2403" i="2"/>
  <c r="W2404" i="2"/>
  <c r="W2405" i="2"/>
  <c r="W2406" i="2"/>
  <c r="W2407" i="2"/>
  <c r="W2408" i="2"/>
  <c r="W2409" i="2"/>
  <c r="W2410" i="2"/>
  <c r="W2411" i="2"/>
  <c r="W2412" i="2"/>
  <c r="W2413" i="2"/>
  <c r="W2414" i="2"/>
  <c r="W2415" i="2"/>
  <c r="W2416" i="2"/>
  <c r="W2417" i="2"/>
  <c r="W2418" i="2"/>
  <c r="W2419" i="2"/>
  <c r="W2420" i="2"/>
  <c r="W2421" i="2"/>
  <c r="W2422" i="2"/>
  <c r="W2423" i="2"/>
  <c r="W2424" i="2"/>
  <c r="W2425" i="2"/>
  <c r="W2426" i="2"/>
  <c r="W2427" i="2"/>
  <c r="W2428" i="2"/>
  <c r="W2429" i="2"/>
  <c r="W2430" i="2"/>
  <c r="W2431" i="2"/>
  <c r="W2432" i="2"/>
  <c r="W2433" i="2"/>
  <c r="W2434" i="2"/>
  <c r="W2435" i="2"/>
  <c r="W2436" i="2"/>
  <c r="W2437" i="2"/>
  <c r="W2438" i="2"/>
  <c r="W2439" i="2"/>
  <c r="W2440" i="2"/>
  <c r="W244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X1394" i="2"/>
  <c r="X1395" i="2"/>
  <c r="X1396" i="2"/>
  <c r="X1397" i="2"/>
  <c r="X1398" i="2"/>
  <c r="X1399" i="2"/>
  <c r="X1400" i="2"/>
  <c r="X1401" i="2"/>
  <c r="X1402" i="2"/>
  <c r="X1403" i="2"/>
  <c r="X1404" i="2"/>
  <c r="X1405" i="2"/>
  <c r="X1406" i="2"/>
  <c r="X1407" i="2"/>
  <c r="X1408" i="2"/>
  <c r="X1409" i="2"/>
  <c r="X1410" i="2"/>
  <c r="X1411" i="2"/>
  <c r="X1412" i="2"/>
  <c r="X1413" i="2"/>
  <c r="X1414" i="2"/>
  <c r="X1415" i="2"/>
  <c r="X1416" i="2"/>
  <c r="X1417" i="2"/>
  <c r="X1418" i="2"/>
  <c r="X1419" i="2"/>
  <c r="X1420" i="2"/>
  <c r="X1421" i="2"/>
  <c r="X1422" i="2"/>
  <c r="X1423" i="2"/>
  <c r="X1424" i="2"/>
  <c r="X1425" i="2"/>
  <c r="X1426" i="2"/>
  <c r="X1427" i="2"/>
  <c r="X1428" i="2"/>
  <c r="X1429" i="2"/>
  <c r="X1430" i="2"/>
  <c r="X1431" i="2"/>
  <c r="X1432" i="2"/>
  <c r="X1433" i="2"/>
  <c r="X1434" i="2"/>
  <c r="X1435" i="2"/>
  <c r="X1436" i="2"/>
  <c r="X1437" i="2"/>
  <c r="X1438" i="2"/>
  <c r="X1439" i="2"/>
  <c r="X1440" i="2"/>
  <c r="X1441" i="2"/>
  <c r="X1442" i="2"/>
  <c r="X1443" i="2"/>
  <c r="X1444" i="2"/>
  <c r="X1445" i="2"/>
  <c r="X1446" i="2"/>
  <c r="X1447" i="2"/>
  <c r="X1448" i="2"/>
  <c r="X1449" i="2"/>
  <c r="X1450" i="2"/>
  <c r="X1451" i="2"/>
  <c r="X1452" i="2"/>
  <c r="X1453" i="2"/>
  <c r="X1454" i="2"/>
  <c r="X1455" i="2"/>
  <c r="X1456" i="2"/>
  <c r="X1457" i="2"/>
  <c r="X1458" i="2"/>
  <c r="X1459" i="2"/>
  <c r="X1460" i="2"/>
  <c r="X1461" i="2"/>
  <c r="X1462" i="2"/>
  <c r="X1463" i="2"/>
  <c r="X1464" i="2"/>
  <c r="X1465" i="2"/>
  <c r="X1466" i="2"/>
  <c r="X1467" i="2"/>
  <c r="X1468" i="2"/>
  <c r="X1469" i="2"/>
  <c r="X1470" i="2"/>
  <c r="X1471" i="2"/>
  <c r="X1472" i="2"/>
  <c r="X1473" i="2"/>
  <c r="X1474" i="2"/>
  <c r="X1475" i="2"/>
  <c r="X1476" i="2"/>
  <c r="X1477" i="2"/>
  <c r="X1478" i="2"/>
  <c r="X1479" i="2"/>
  <c r="X1480" i="2"/>
  <c r="X1481" i="2"/>
  <c r="X1482" i="2"/>
  <c r="X1483" i="2"/>
  <c r="X1484" i="2"/>
  <c r="X1485" i="2"/>
  <c r="X1486" i="2"/>
  <c r="X1487" i="2"/>
  <c r="X1488" i="2"/>
  <c r="X1489" i="2"/>
  <c r="X1490" i="2"/>
  <c r="X1491" i="2"/>
  <c r="X1492" i="2"/>
  <c r="X1493" i="2"/>
  <c r="X1494" i="2"/>
  <c r="X1495" i="2"/>
  <c r="X1496" i="2"/>
  <c r="X1497" i="2"/>
  <c r="X1498" i="2"/>
  <c r="X1499" i="2"/>
  <c r="X1500" i="2"/>
  <c r="X1501" i="2"/>
  <c r="X1502" i="2"/>
  <c r="X1503" i="2"/>
  <c r="X1504" i="2"/>
  <c r="X1505" i="2"/>
  <c r="X1506" i="2"/>
  <c r="X1507" i="2"/>
  <c r="X1508" i="2"/>
  <c r="X1509" i="2"/>
  <c r="X1510" i="2"/>
  <c r="X1511" i="2"/>
  <c r="X1512" i="2"/>
  <c r="X1513" i="2"/>
  <c r="X1514" i="2"/>
  <c r="X1515" i="2"/>
  <c r="X1516" i="2"/>
  <c r="X1517" i="2"/>
  <c r="X1518" i="2"/>
  <c r="X1519" i="2"/>
  <c r="X1520" i="2"/>
  <c r="X1521" i="2"/>
  <c r="X1522" i="2"/>
  <c r="X1523" i="2"/>
  <c r="X1524" i="2"/>
  <c r="X1525" i="2"/>
  <c r="X1526" i="2"/>
  <c r="X1527" i="2"/>
  <c r="X1528" i="2"/>
  <c r="X1529" i="2"/>
  <c r="X1530" i="2"/>
  <c r="X1531" i="2"/>
  <c r="X1532" i="2"/>
  <c r="X1533" i="2"/>
  <c r="X1534" i="2"/>
  <c r="X1535" i="2"/>
  <c r="X1536" i="2"/>
  <c r="X1537" i="2"/>
  <c r="X1538" i="2"/>
  <c r="X1539" i="2"/>
  <c r="X1540" i="2"/>
  <c r="X1541" i="2"/>
  <c r="X1542" i="2"/>
  <c r="X1543" i="2"/>
  <c r="X1544" i="2"/>
  <c r="X1545" i="2"/>
  <c r="X1546" i="2"/>
  <c r="X1547" i="2"/>
  <c r="X1548" i="2"/>
  <c r="X1549" i="2"/>
  <c r="X1550" i="2"/>
  <c r="X1551" i="2"/>
  <c r="X1552" i="2"/>
  <c r="X1553" i="2"/>
  <c r="X1554" i="2"/>
  <c r="X1555" i="2"/>
  <c r="X1556" i="2"/>
  <c r="X1557" i="2"/>
  <c r="X1558" i="2"/>
  <c r="X1559" i="2"/>
  <c r="X1560" i="2"/>
  <c r="X1561" i="2"/>
  <c r="X1562" i="2"/>
  <c r="X1563" i="2"/>
  <c r="X1564" i="2"/>
  <c r="X1565" i="2"/>
  <c r="X1566" i="2"/>
  <c r="X1567" i="2"/>
  <c r="X1568" i="2"/>
  <c r="X1569" i="2"/>
  <c r="X1570" i="2"/>
  <c r="X1571" i="2"/>
  <c r="X1572" i="2"/>
  <c r="X1573" i="2"/>
  <c r="X1574" i="2"/>
  <c r="X1575" i="2"/>
  <c r="X1576" i="2"/>
  <c r="X1577" i="2"/>
  <c r="X1578" i="2"/>
  <c r="X1579" i="2"/>
  <c r="X1580" i="2"/>
  <c r="X1581" i="2"/>
  <c r="X1582" i="2"/>
  <c r="X1583" i="2"/>
  <c r="X1584" i="2"/>
  <c r="X1585" i="2"/>
  <c r="X1586" i="2"/>
  <c r="X1587" i="2"/>
  <c r="X1588" i="2"/>
  <c r="X1589" i="2"/>
  <c r="X1590" i="2"/>
  <c r="X1591" i="2"/>
  <c r="X1592" i="2"/>
  <c r="X1593" i="2"/>
  <c r="X1594" i="2"/>
  <c r="X1595" i="2"/>
  <c r="X1596" i="2"/>
  <c r="X1597" i="2"/>
  <c r="X1598" i="2"/>
  <c r="X1599" i="2"/>
  <c r="X1600" i="2"/>
  <c r="X1601" i="2"/>
  <c r="X1602" i="2"/>
  <c r="X1603" i="2"/>
  <c r="X1604" i="2"/>
  <c r="X1605" i="2"/>
  <c r="X1606" i="2"/>
  <c r="X1607" i="2"/>
  <c r="X1608" i="2"/>
  <c r="X1609" i="2"/>
  <c r="X1610" i="2"/>
  <c r="X1611" i="2"/>
  <c r="X1612" i="2"/>
  <c r="X1613" i="2"/>
  <c r="X1614" i="2"/>
  <c r="X1615" i="2"/>
  <c r="X1616" i="2"/>
  <c r="X1617" i="2"/>
  <c r="X1618" i="2"/>
  <c r="X1619" i="2"/>
  <c r="X1620" i="2"/>
  <c r="X1621" i="2"/>
  <c r="X1622" i="2"/>
  <c r="X1623" i="2"/>
  <c r="X1624" i="2"/>
  <c r="X1625" i="2"/>
  <c r="X1626" i="2"/>
  <c r="X1627" i="2"/>
  <c r="X1628" i="2"/>
  <c r="X1629" i="2"/>
  <c r="X1630" i="2"/>
  <c r="X1631" i="2"/>
  <c r="X1632" i="2"/>
  <c r="X1633" i="2"/>
  <c r="X1634" i="2"/>
  <c r="X1635" i="2"/>
  <c r="X1636" i="2"/>
  <c r="X1637" i="2"/>
  <c r="X1638" i="2"/>
  <c r="X1639" i="2"/>
  <c r="X1640" i="2"/>
  <c r="X1641" i="2"/>
  <c r="X1642" i="2"/>
  <c r="X1643" i="2"/>
  <c r="X1644" i="2"/>
  <c r="X1645" i="2"/>
  <c r="X1646" i="2"/>
  <c r="X1647" i="2"/>
  <c r="X1648" i="2"/>
  <c r="X1649" i="2"/>
  <c r="X1650" i="2"/>
  <c r="X1651" i="2"/>
  <c r="X1652" i="2"/>
  <c r="X1653" i="2"/>
  <c r="X1654" i="2"/>
  <c r="X1655" i="2"/>
  <c r="X1656" i="2"/>
  <c r="X1657" i="2"/>
  <c r="X1658" i="2"/>
  <c r="X1659" i="2"/>
  <c r="X1660" i="2"/>
  <c r="X1661" i="2"/>
  <c r="X1662" i="2"/>
  <c r="X1663" i="2"/>
  <c r="X1664" i="2"/>
  <c r="X1665" i="2"/>
  <c r="X1666" i="2"/>
  <c r="X1667" i="2"/>
  <c r="X1668" i="2"/>
  <c r="X1669" i="2"/>
  <c r="X1670" i="2"/>
  <c r="X1671" i="2"/>
  <c r="X1672" i="2"/>
  <c r="X1673" i="2"/>
  <c r="X1674" i="2"/>
  <c r="X1675" i="2"/>
  <c r="X1676" i="2"/>
  <c r="X1677" i="2"/>
  <c r="X1678" i="2"/>
  <c r="X1679" i="2"/>
  <c r="X1680" i="2"/>
  <c r="X1681" i="2"/>
  <c r="X1682" i="2"/>
  <c r="X1683" i="2"/>
  <c r="X1684" i="2"/>
  <c r="X1685" i="2"/>
  <c r="X1686" i="2"/>
  <c r="X1687" i="2"/>
  <c r="X1688" i="2"/>
  <c r="X1689" i="2"/>
  <c r="X1690" i="2"/>
  <c r="X1691" i="2"/>
  <c r="X1692" i="2"/>
  <c r="X1693" i="2"/>
  <c r="X1694" i="2"/>
  <c r="X1695" i="2"/>
  <c r="X1696" i="2"/>
  <c r="X1697" i="2"/>
  <c r="X1698" i="2"/>
  <c r="X1699" i="2"/>
  <c r="X1700" i="2"/>
  <c r="X1701" i="2"/>
  <c r="X1702" i="2"/>
  <c r="X1703" i="2"/>
  <c r="X1704" i="2"/>
  <c r="X1705" i="2"/>
  <c r="X1706" i="2"/>
  <c r="X1707" i="2"/>
  <c r="X1708" i="2"/>
  <c r="X1709" i="2"/>
  <c r="X1710" i="2"/>
  <c r="X1711" i="2"/>
  <c r="X1712" i="2"/>
  <c r="X1713" i="2"/>
  <c r="X1714" i="2"/>
  <c r="X1715" i="2"/>
  <c r="X1716" i="2"/>
  <c r="X1717" i="2"/>
  <c r="X1718" i="2"/>
  <c r="X1719" i="2"/>
  <c r="X1720" i="2"/>
  <c r="X1721" i="2"/>
  <c r="X1722" i="2"/>
  <c r="X1723" i="2"/>
  <c r="X1724" i="2"/>
  <c r="X1725" i="2"/>
  <c r="X1726" i="2"/>
  <c r="X1727" i="2"/>
  <c r="X1728" i="2"/>
  <c r="X1729" i="2"/>
  <c r="X1730" i="2"/>
  <c r="X1731" i="2"/>
  <c r="X1732" i="2"/>
  <c r="X1733" i="2"/>
  <c r="X1734" i="2"/>
  <c r="X1735" i="2"/>
  <c r="X1736" i="2"/>
  <c r="X1737" i="2"/>
  <c r="X1738" i="2"/>
  <c r="X1739" i="2"/>
  <c r="X1740" i="2"/>
  <c r="X1741" i="2"/>
  <c r="X1742" i="2"/>
  <c r="X1743" i="2"/>
  <c r="X1744" i="2"/>
  <c r="X1745" i="2"/>
  <c r="X1746" i="2"/>
  <c r="X1747" i="2"/>
  <c r="X1748" i="2"/>
  <c r="X1749" i="2"/>
  <c r="X1750" i="2"/>
  <c r="X1751" i="2"/>
  <c r="X1752" i="2"/>
  <c r="X1753" i="2"/>
  <c r="X1754" i="2"/>
  <c r="X1755" i="2"/>
  <c r="X1756" i="2"/>
  <c r="X1757" i="2"/>
  <c r="X1758" i="2"/>
  <c r="X1759" i="2"/>
  <c r="X1760" i="2"/>
  <c r="X1761" i="2"/>
  <c r="X1762" i="2"/>
  <c r="X1763" i="2"/>
  <c r="X1764" i="2"/>
  <c r="X1765" i="2"/>
  <c r="X1766" i="2"/>
  <c r="X1767" i="2"/>
  <c r="X1768" i="2"/>
  <c r="X1769" i="2"/>
  <c r="X1770" i="2"/>
  <c r="X1771" i="2"/>
  <c r="X1772" i="2"/>
  <c r="X1773" i="2"/>
  <c r="X1774" i="2"/>
  <c r="X1775" i="2"/>
  <c r="X1776" i="2"/>
  <c r="X1777" i="2"/>
  <c r="X1778" i="2"/>
  <c r="X1779" i="2"/>
  <c r="X1780" i="2"/>
  <c r="X1781" i="2"/>
  <c r="X1782" i="2"/>
  <c r="X1783" i="2"/>
  <c r="X1784" i="2"/>
  <c r="X1785" i="2"/>
  <c r="X1786" i="2"/>
  <c r="X1787" i="2"/>
  <c r="X1788" i="2"/>
  <c r="X1789" i="2"/>
  <c r="X1790" i="2"/>
  <c r="X1791" i="2"/>
  <c r="X1792" i="2"/>
  <c r="X1793" i="2"/>
  <c r="X1794" i="2"/>
  <c r="X1795" i="2"/>
  <c r="X1796" i="2"/>
  <c r="X1797" i="2"/>
  <c r="X1798" i="2"/>
  <c r="X1799" i="2"/>
  <c r="X1800" i="2"/>
  <c r="X1801" i="2"/>
  <c r="X1802" i="2"/>
  <c r="X1803" i="2"/>
  <c r="X1804" i="2"/>
  <c r="X1805" i="2"/>
  <c r="X1806" i="2"/>
  <c r="X1807" i="2"/>
  <c r="X1808" i="2"/>
  <c r="X1809" i="2"/>
  <c r="X1810" i="2"/>
  <c r="X1811" i="2"/>
  <c r="X1812" i="2"/>
  <c r="X1813" i="2"/>
  <c r="X1814" i="2"/>
  <c r="X1815" i="2"/>
  <c r="X1816" i="2"/>
  <c r="X1817" i="2"/>
  <c r="X1818" i="2"/>
  <c r="X1819" i="2"/>
  <c r="X1820" i="2"/>
  <c r="X1821" i="2"/>
  <c r="X1822" i="2"/>
  <c r="X1823" i="2"/>
  <c r="X1824" i="2"/>
  <c r="X1825" i="2"/>
  <c r="X1826" i="2"/>
  <c r="X1827" i="2"/>
  <c r="X1828" i="2"/>
  <c r="X1829" i="2"/>
  <c r="X1830" i="2"/>
  <c r="X1831" i="2"/>
  <c r="X1832" i="2"/>
  <c r="X1833" i="2"/>
  <c r="X1834" i="2"/>
  <c r="X1835" i="2"/>
  <c r="X1836" i="2"/>
  <c r="X1837" i="2"/>
  <c r="X1838" i="2"/>
  <c r="X1839" i="2"/>
  <c r="X1840" i="2"/>
  <c r="X1841" i="2"/>
  <c r="X1842" i="2"/>
  <c r="X1843" i="2"/>
  <c r="X1844" i="2"/>
  <c r="X1845" i="2"/>
  <c r="X1846" i="2"/>
  <c r="X1847" i="2"/>
  <c r="X1848" i="2"/>
  <c r="X1849" i="2"/>
  <c r="X1850" i="2"/>
  <c r="X1851" i="2"/>
  <c r="X1852" i="2"/>
  <c r="X1853" i="2"/>
  <c r="X1854" i="2"/>
  <c r="X1855" i="2"/>
  <c r="X1856" i="2"/>
  <c r="X1857" i="2"/>
  <c r="X1858" i="2"/>
  <c r="X1859" i="2"/>
  <c r="X1860" i="2"/>
  <c r="X1861" i="2"/>
  <c r="X1862" i="2"/>
  <c r="X1863" i="2"/>
  <c r="X1864" i="2"/>
  <c r="X1865" i="2"/>
  <c r="X1866" i="2"/>
  <c r="X1867" i="2"/>
  <c r="X1868" i="2"/>
  <c r="X1869" i="2"/>
  <c r="X1870" i="2"/>
  <c r="X1871" i="2"/>
  <c r="X1872" i="2"/>
  <c r="X1873" i="2"/>
  <c r="X1874" i="2"/>
  <c r="X1875" i="2"/>
  <c r="X1876" i="2"/>
  <c r="X1877" i="2"/>
  <c r="X1878" i="2"/>
  <c r="X1879" i="2"/>
  <c r="X1880" i="2"/>
  <c r="X1881" i="2"/>
  <c r="X1882" i="2"/>
  <c r="X1883" i="2"/>
  <c r="X1884" i="2"/>
  <c r="X1885" i="2"/>
  <c r="X1886" i="2"/>
  <c r="X1887" i="2"/>
  <c r="X1888" i="2"/>
  <c r="X1889" i="2"/>
  <c r="X1890" i="2"/>
  <c r="X1891" i="2"/>
  <c r="X1892" i="2"/>
  <c r="X1893" i="2"/>
  <c r="X1894" i="2"/>
  <c r="X1895" i="2"/>
  <c r="X1896" i="2"/>
  <c r="X1897" i="2"/>
  <c r="X1898" i="2"/>
  <c r="X1899" i="2"/>
  <c r="X1900" i="2"/>
  <c r="X1901" i="2"/>
  <c r="X1902" i="2"/>
  <c r="X1903" i="2"/>
  <c r="X1904" i="2"/>
  <c r="X1905" i="2"/>
  <c r="X1906" i="2"/>
  <c r="X1907" i="2"/>
  <c r="X1908" i="2"/>
  <c r="X1909" i="2"/>
  <c r="X1910" i="2"/>
  <c r="X1911" i="2"/>
  <c r="X1912" i="2"/>
  <c r="X1913" i="2"/>
  <c r="X1914" i="2"/>
  <c r="X1915" i="2"/>
  <c r="X1916" i="2"/>
  <c r="X1917" i="2"/>
  <c r="X1918" i="2"/>
  <c r="X1919" i="2"/>
  <c r="X1920" i="2"/>
  <c r="X1921" i="2"/>
  <c r="X1922" i="2"/>
  <c r="X1923" i="2"/>
  <c r="X1924" i="2"/>
  <c r="X1925" i="2"/>
  <c r="X1926" i="2"/>
  <c r="X1927" i="2"/>
  <c r="X1928" i="2"/>
  <c r="X1929" i="2"/>
  <c r="X1930" i="2"/>
  <c r="X1931" i="2"/>
  <c r="X1932" i="2"/>
  <c r="X1933" i="2"/>
  <c r="X1934" i="2"/>
  <c r="X1935" i="2"/>
  <c r="X1936" i="2"/>
  <c r="X1937" i="2"/>
  <c r="X1938" i="2"/>
  <c r="X1939" i="2"/>
  <c r="X1940" i="2"/>
  <c r="X1941" i="2"/>
  <c r="X1942" i="2"/>
  <c r="X1943" i="2"/>
  <c r="X1944" i="2"/>
  <c r="X1945" i="2"/>
  <c r="X1946" i="2"/>
  <c r="X1947" i="2"/>
  <c r="X1948" i="2"/>
  <c r="X1949" i="2"/>
  <c r="X1950" i="2"/>
  <c r="X1951" i="2"/>
  <c r="X1952" i="2"/>
  <c r="X1953" i="2"/>
  <c r="X1954" i="2"/>
  <c r="X1955" i="2"/>
  <c r="X1956" i="2"/>
  <c r="X1957" i="2"/>
  <c r="X1958" i="2"/>
  <c r="X1959" i="2"/>
  <c r="X1960" i="2"/>
  <c r="X1961" i="2"/>
  <c r="X1962" i="2"/>
  <c r="X1963" i="2"/>
  <c r="X1964" i="2"/>
  <c r="X1965" i="2"/>
  <c r="X1966" i="2"/>
  <c r="X1967" i="2"/>
  <c r="X1968" i="2"/>
  <c r="X1969" i="2"/>
  <c r="X1970" i="2"/>
  <c r="X1971" i="2"/>
  <c r="X1972" i="2"/>
  <c r="X1973" i="2"/>
  <c r="X1974" i="2"/>
  <c r="X1975" i="2"/>
  <c r="X1976" i="2"/>
  <c r="X1977" i="2"/>
  <c r="X1978" i="2"/>
  <c r="X1979" i="2"/>
  <c r="X1980" i="2"/>
  <c r="X1981" i="2"/>
  <c r="X1982" i="2"/>
  <c r="X1983" i="2"/>
  <c r="X1984" i="2"/>
  <c r="X1985" i="2"/>
  <c r="X1986" i="2"/>
  <c r="X1987" i="2"/>
  <c r="X1988" i="2"/>
  <c r="X1989" i="2"/>
  <c r="X1990" i="2"/>
  <c r="X1991" i="2"/>
  <c r="X1992" i="2"/>
  <c r="X1993" i="2"/>
  <c r="X1994" i="2"/>
  <c r="X1995" i="2"/>
  <c r="X1996" i="2"/>
  <c r="X1997" i="2"/>
  <c r="X1998" i="2"/>
  <c r="X1999" i="2"/>
  <c r="X2000" i="2"/>
  <c r="X2001" i="2"/>
  <c r="X2002" i="2"/>
  <c r="X2003" i="2"/>
  <c r="X2004" i="2"/>
  <c r="X2005" i="2"/>
  <c r="X2006" i="2"/>
  <c r="X2007" i="2"/>
  <c r="X2008" i="2"/>
  <c r="X2009" i="2"/>
  <c r="X2010" i="2"/>
  <c r="X2011" i="2"/>
  <c r="X2012" i="2"/>
  <c r="X2013" i="2"/>
  <c r="X2014" i="2"/>
  <c r="X2015" i="2"/>
  <c r="X2016" i="2"/>
  <c r="X2017" i="2"/>
  <c r="X2018" i="2"/>
  <c r="X2019" i="2"/>
  <c r="X2020" i="2"/>
  <c r="X2021" i="2"/>
  <c r="X2022" i="2"/>
  <c r="X2023" i="2"/>
  <c r="X2024" i="2"/>
  <c r="X2025" i="2"/>
  <c r="X2026" i="2"/>
  <c r="X2027" i="2"/>
  <c r="X2028" i="2"/>
  <c r="X2029" i="2"/>
  <c r="X2030" i="2"/>
  <c r="X2031" i="2"/>
  <c r="X2032" i="2"/>
  <c r="X2033" i="2"/>
  <c r="X2034" i="2"/>
  <c r="X2035" i="2"/>
  <c r="X2036" i="2"/>
  <c r="X2037" i="2"/>
  <c r="X2038" i="2"/>
  <c r="X2039" i="2"/>
  <c r="X2040" i="2"/>
  <c r="X2041" i="2"/>
  <c r="X2042" i="2"/>
  <c r="X2043" i="2"/>
  <c r="X2044" i="2"/>
  <c r="X2045" i="2"/>
  <c r="X2046" i="2"/>
  <c r="X2047" i="2"/>
  <c r="X2048" i="2"/>
  <c r="X2049" i="2"/>
  <c r="X2050" i="2"/>
  <c r="X2051" i="2"/>
  <c r="X2052" i="2"/>
  <c r="X2053" i="2"/>
  <c r="X2054" i="2"/>
  <c r="X2055" i="2"/>
  <c r="X2056" i="2"/>
  <c r="X2057" i="2"/>
  <c r="X2058" i="2"/>
  <c r="X2059" i="2"/>
  <c r="X2060" i="2"/>
  <c r="X2061" i="2"/>
  <c r="X2062" i="2"/>
  <c r="X2063" i="2"/>
  <c r="X2064" i="2"/>
  <c r="X2065" i="2"/>
  <c r="X2066" i="2"/>
  <c r="X2067" i="2"/>
  <c r="X2068" i="2"/>
  <c r="X2069" i="2"/>
  <c r="X2070" i="2"/>
  <c r="X2071" i="2"/>
  <c r="X2072" i="2"/>
  <c r="X2073" i="2"/>
  <c r="X2074" i="2"/>
  <c r="X2075" i="2"/>
  <c r="X2076" i="2"/>
  <c r="X2077" i="2"/>
  <c r="X2078" i="2"/>
  <c r="X2079" i="2"/>
  <c r="X2080" i="2"/>
  <c r="X2081" i="2"/>
  <c r="X2082" i="2"/>
  <c r="X2083" i="2"/>
  <c r="X2084" i="2"/>
  <c r="X2085" i="2"/>
  <c r="X2086" i="2"/>
  <c r="X2087" i="2"/>
  <c r="X2088" i="2"/>
  <c r="X2089" i="2"/>
  <c r="X2090" i="2"/>
  <c r="X2091" i="2"/>
  <c r="X2092" i="2"/>
  <c r="X2093" i="2"/>
  <c r="X2094" i="2"/>
  <c r="X2095" i="2"/>
  <c r="X2096" i="2"/>
  <c r="X2097" i="2"/>
  <c r="X2098" i="2"/>
  <c r="X2099" i="2"/>
  <c r="X2100" i="2"/>
  <c r="X2101" i="2"/>
  <c r="X2102" i="2"/>
  <c r="X2103" i="2"/>
  <c r="X2104" i="2"/>
  <c r="X2105" i="2"/>
  <c r="X2106" i="2"/>
  <c r="X2107" i="2"/>
  <c r="X2108" i="2"/>
  <c r="X2109" i="2"/>
  <c r="X2110" i="2"/>
  <c r="X2111" i="2"/>
  <c r="X2112" i="2"/>
  <c r="X2113" i="2"/>
  <c r="X2114" i="2"/>
  <c r="X2115" i="2"/>
  <c r="X2116" i="2"/>
  <c r="X2117" i="2"/>
  <c r="X2118" i="2"/>
  <c r="X2119" i="2"/>
  <c r="X2120" i="2"/>
  <c r="X2121" i="2"/>
  <c r="X2122" i="2"/>
  <c r="X2123" i="2"/>
  <c r="X2124" i="2"/>
  <c r="X2125" i="2"/>
  <c r="X2126" i="2"/>
  <c r="X2127" i="2"/>
  <c r="X2128" i="2"/>
  <c r="X2129" i="2"/>
  <c r="X2130" i="2"/>
  <c r="X2131" i="2"/>
  <c r="X2132" i="2"/>
  <c r="X2133" i="2"/>
  <c r="X2134" i="2"/>
  <c r="X2135" i="2"/>
  <c r="X2136" i="2"/>
  <c r="X2137" i="2"/>
  <c r="X2138" i="2"/>
  <c r="X2139" i="2"/>
  <c r="X2140" i="2"/>
  <c r="X2141" i="2"/>
  <c r="X2142" i="2"/>
  <c r="X2143" i="2"/>
  <c r="X2144" i="2"/>
  <c r="X2145" i="2"/>
  <c r="X2146" i="2"/>
  <c r="X2147" i="2"/>
  <c r="X2148" i="2"/>
  <c r="X2149" i="2"/>
  <c r="X2150" i="2"/>
  <c r="X2151" i="2"/>
  <c r="X2152" i="2"/>
  <c r="X2153" i="2"/>
  <c r="X2154" i="2"/>
  <c r="X2155" i="2"/>
  <c r="X2156" i="2"/>
  <c r="X2157" i="2"/>
  <c r="X2158" i="2"/>
  <c r="X2159" i="2"/>
  <c r="X2160" i="2"/>
  <c r="X2161" i="2"/>
  <c r="X2162" i="2"/>
  <c r="X2163" i="2"/>
  <c r="X2164" i="2"/>
  <c r="X2165" i="2"/>
  <c r="X2166" i="2"/>
  <c r="X2167" i="2"/>
  <c r="X2168" i="2"/>
  <c r="X2169" i="2"/>
  <c r="X2170" i="2"/>
  <c r="X2171" i="2"/>
  <c r="X2172" i="2"/>
  <c r="X2173" i="2"/>
  <c r="X2174" i="2"/>
  <c r="X2175" i="2"/>
  <c r="X2176" i="2"/>
  <c r="X2177" i="2"/>
  <c r="X2178" i="2"/>
  <c r="X2179" i="2"/>
  <c r="X2180" i="2"/>
  <c r="X2181" i="2"/>
  <c r="X2182" i="2"/>
  <c r="X2183" i="2"/>
  <c r="X2184" i="2"/>
  <c r="X2185" i="2"/>
  <c r="X2186" i="2"/>
  <c r="X2187" i="2"/>
  <c r="X2188" i="2"/>
  <c r="X2189" i="2"/>
  <c r="X2190" i="2"/>
  <c r="X2191" i="2"/>
  <c r="X2192" i="2"/>
  <c r="X2193" i="2"/>
  <c r="X2194" i="2"/>
  <c r="X2195" i="2"/>
  <c r="X2196" i="2"/>
  <c r="X2197" i="2"/>
  <c r="X2198" i="2"/>
  <c r="X2199" i="2"/>
  <c r="X2200" i="2"/>
  <c r="X2201" i="2"/>
  <c r="X2202" i="2"/>
  <c r="X2203" i="2"/>
  <c r="X2204" i="2"/>
  <c r="X2205" i="2"/>
  <c r="X2206" i="2"/>
  <c r="X2207" i="2"/>
  <c r="X2208" i="2"/>
  <c r="X2209" i="2"/>
  <c r="X2210" i="2"/>
  <c r="X2211" i="2"/>
  <c r="X2212" i="2"/>
  <c r="X2213" i="2"/>
  <c r="X2214" i="2"/>
  <c r="X2215" i="2"/>
  <c r="X2216" i="2"/>
  <c r="X2217" i="2"/>
  <c r="X2218" i="2"/>
  <c r="X2219" i="2"/>
  <c r="X2220" i="2"/>
  <c r="X2221" i="2"/>
  <c r="X2222" i="2"/>
  <c r="X2223" i="2"/>
  <c r="X2224" i="2"/>
  <c r="X2225" i="2"/>
  <c r="X2226" i="2"/>
  <c r="X2227" i="2"/>
  <c r="X2228" i="2"/>
  <c r="X2229" i="2"/>
  <c r="X2230" i="2"/>
  <c r="X2231" i="2"/>
  <c r="X2232" i="2"/>
  <c r="X2233" i="2"/>
  <c r="X2234" i="2"/>
  <c r="X2235" i="2"/>
  <c r="X2236" i="2"/>
  <c r="X2237" i="2"/>
  <c r="X2238" i="2"/>
  <c r="X2239" i="2"/>
  <c r="X2240" i="2"/>
  <c r="X2241" i="2"/>
  <c r="X2242" i="2"/>
  <c r="X2243" i="2"/>
  <c r="X2244" i="2"/>
  <c r="X2245" i="2"/>
  <c r="X2246" i="2"/>
  <c r="X2247" i="2"/>
  <c r="X2248" i="2"/>
  <c r="X2249" i="2"/>
  <c r="X2250" i="2"/>
  <c r="X2251" i="2"/>
  <c r="X2252" i="2"/>
  <c r="X2253" i="2"/>
  <c r="X2254" i="2"/>
  <c r="X2255" i="2"/>
  <c r="X2256" i="2"/>
  <c r="X2257" i="2"/>
  <c r="X2258" i="2"/>
  <c r="X2259" i="2"/>
  <c r="X2260" i="2"/>
  <c r="X2261" i="2"/>
  <c r="X2262" i="2"/>
  <c r="X2263" i="2"/>
  <c r="X2264" i="2"/>
  <c r="X2265" i="2"/>
  <c r="X2266" i="2"/>
  <c r="X2267" i="2"/>
  <c r="X2268" i="2"/>
  <c r="X2269" i="2"/>
  <c r="X2270" i="2"/>
  <c r="X2271" i="2"/>
  <c r="X2272" i="2"/>
  <c r="X2273" i="2"/>
  <c r="X2274" i="2"/>
  <c r="X2275" i="2"/>
  <c r="X2276" i="2"/>
  <c r="X2277" i="2"/>
  <c r="X2278" i="2"/>
  <c r="X2279" i="2"/>
  <c r="X2280" i="2"/>
  <c r="X2281" i="2"/>
  <c r="X2282" i="2"/>
  <c r="X2283" i="2"/>
  <c r="X2284" i="2"/>
  <c r="X2285" i="2"/>
  <c r="X2286" i="2"/>
  <c r="X2287" i="2"/>
  <c r="X2288" i="2"/>
  <c r="X2289" i="2"/>
  <c r="X2290" i="2"/>
  <c r="X2291" i="2"/>
  <c r="X2292" i="2"/>
  <c r="X2293" i="2"/>
  <c r="X2294" i="2"/>
  <c r="X2295" i="2"/>
  <c r="X2296" i="2"/>
  <c r="X2297" i="2"/>
  <c r="X2298" i="2"/>
  <c r="X2299" i="2"/>
  <c r="X2300" i="2"/>
  <c r="X2301" i="2"/>
  <c r="X2302" i="2"/>
  <c r="X2303" i="2"/>
  <c r="X2304" i="2"/>
  <c r="X2305" i="2"/>
  <c r="X2306" i="2"/>
  <c r="X2307" i="2"/>
  <c r="X2308" i="2"/>
  <c r="X2309" i="2"/>
  <c r="X2310" i="2"/>
  <c r="X2311" i="2"/>
  <c r="X2312" i="2"/>
  <c r="X2313" i="2"/>
  <c r="X2314" i="2"/>
  <c r="X2315" i="2"/>
  <c r="X2316" i="2"/>
  <c r="X2317" i="2"/>
  <c r="X2318" i="2"/>
  <c r="X2319" i="2"/>
  <c r="X2320" i="2"/>
  <c r="X2321" i="2"/>
  <c r="X2322" i="2"/>
  <c r="X2323" i="2"/>
  <c r="X2324" i="2"/>
  <c r="X2325" i="2"/>
  <c r="X2326" i="2"/>
  <c r="X2327" i="2"/>
  <c r="X2328" i="2"/>
  <c r="X2329" i="2"/>
  <c r="X2330" i="2"/>
  <c r="X2331" i="2"/>
  <c r="X2332" i="2"/>
  <c r="X2333" i="2"/>
  <c r="X2334" i="2"/>
  <c r="X2335" i="2"/>
  <c r="X2336" i="2"/>
  <c r="X2337" i="2"/>
  <c r="X2338" i="2"/>
  <c r="X2339" i="2"/>
  <c r="X2340" i="2"/>
  <c r="X2341" i="2"/>
  <c r="X2342" i="2"/>
  <c r="X2343" i="2"/>
  <c r="X2344" i="2"/>
  <c r="X2345" i="2"/>
  <c r="X2346" i="2"/>
  <c r="X2347" i="2"/>
  <c r="X2348" i="2"/>
  <c r="X2349" i="2"/>
  <c r="X2350" i="2"/>
  <c r="X2351" i="2"/>
  <c r="X2352" i="2"/>
  <c r="X2353" i="2"/>
  <c r="X2354" i="2"/>
  <c r="X2355" i="2"/>
  <c r="X2356" i="2"/>
  <c r="X2357" i="2"/>
  <c r="X2358" i="2"/>
  <c r="X2359" i="2"/>
  <c r="X2360" i="2"/>
  <c r="X2361" i="2"/>
  <c r="X2362" i="2"/>
  <c r="X2363" i="2"/>
  <c r="X2364" i="2"/>
  <c r="X2365" i="2"/>
  <c r="X2366" i="2"/>
  <c r="X2367" i="2"/>
  <c r="X2368" i="2"/>
  <c r="X2369" i="2"/>
  <c r="X2370" i="2"/>
  <c r="X2371" i="2"/>
  <c r="X2372" i="2"/>
  <c r="X2373" i="2"/>
  <c r="X2374" i="2"/>
  <c r="X2375" i="2"/>
  <c r="X2376" i="2"/>
  <c r="X2377" i="2"/>
  <c r="X2378" i="2"/>
  <c r="X2379" i="2"/>
  <c r="X2380" i="2"/>
  <c r="X2381" i="2"/>
  <c r="X2382" i="2"/>
  <c r="X2383" i="2"/>
  <c r="X2384" i="2"/>
  <c r="X2385" i="2"/>
  <c r="X2386" i="2"/>
  <c r="X2387" i="2"/>
  <c r="X2388" i="2"/>
  <c r="X2389" i="2"/>
  <c r="X2390" i="2"/>
  <c r="X2391" i="2"/>
  <c r="X2392" i="2"/>
  <c r="X2393" i="2"/>
  <c r="X2394" i="2"/>
  <c r="X2395" i="2"/>
  <c r="X2396" i="2"/>
  <c r="X2397" i="2"/>
  <c r="X2398" i="2"/>
  <c r="X2399" i="2"/>
  <c r="X2400" i="2"/>
  <c r="X2401" i="2"/>
  <c r="X2402" i="2"/>
  <c r="X2403" i="2"/>
  <c r="X2404" i="2"/>
  <c r="X2405" i="2"/>
  <c r="X2406" i="2"/>
  <c r="X2407" i="2"/>
  <c r="X2408" i="2"/>
  <c r="X2409" i="2"/>
  <c r="X2410" i="2"/>
  <c r="X2411" i="2"/>
  <c r="X2412" i="2"/>
  <c r="X2413" i="2"/>
  <c r="X2414" i="2"/>
  <c r="X2415" i="2"/>
  <c r="X2416" i="2"/>
  <c r="X2417" i="2"/>
  <c r="X2418" i="2"/>
  <c r="X2419" i="2"/>
  <c r="X2420" i="2"/>
  <c r="X2421" i="2"/>
  <c r="X2422" i="2"/>
  <c r="X2423" i="2"/>
  <c r="X2424" i="2"/>
  <c r="X2425" i="2"/>
  <c r="X2426" i="2"/>
  <c r="X2427" i="2"/>
  <c r="X2428" i="2"/>
  <c r="X2429" i="2"/>
  <c r="X2430" i="2"/>
  <c r="X2431" i="2"/>
  <c r="X2432" i="2"/>
  <c r="X2433" i="2"/>
  <c r="X2434" i="2"/>
  <c r="X2435" i="2"/>
  <c r="X2436" i="2"/>
  <c r="X2437" i="2"/>
  <c r="X2438" i="2"/>
  <c r="X2439" i="2"/>
  <c r="X2440" i="2"/>
  <c r="X244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1004" i="2"/>
  <c r="Y1005" i="2"/>
  <c r="Y1006" i="2"/>
  <c r="Y1007" i="2"/>
  <c r="Y1008" i="2"/>
  <c r="Y1009" i="2"/>
  <c r="Y1010" i="2"/>
  <c r="Y1011" i="2"/>
  <c r="Y1012" i="2"/>
  <c r="Y1013" i="2"/>
  <c r="Y1014" i="2"/>
  <c r="Y1015" i="2"/>
  <c r="Y1016" i="2"/>
  <c r="Y1017" i="2"/>
  <c r="Y1018" i="2"/>
  <c r="Y1019" i="2"/>
  <c r="Y1020" i="2"/>
  <c r="Y1021" i="2"/>
  <c r="Y1022" i="2"/>
  <c r="Y1023" i="2"/>
  <c r="Y1024" i="2"/>
  <c r="Y1025" i="2"/>
  <c r="Y1026" i="2"/>
  <c r="Y1027" i="2"/>
  <c r="Y1028" i="2"/>
  <c r="Y1029" i="2"/>
  <c r="Y1030" i="2"/>
  <c r="Y1031" i="2"/>
  <c r="Y1032" i="2"/>
  <c r="Y1033" i="2"/>
  <c r="Y1034" i="2"/>
  <c r="Y1035" i="2"/>
  <c r="Y1036" i="2"/>
  <c r="Y1037" i="2"/>
  <c r="Y1038" i="2"/>
  <c r="Y1039" i="2"/>
  <c r="Y1040" i="2"/>
  <c r="Y1041" i="2"/>
  <c r="Y1042" i="2"/>
  <c r="Y1043" i="2"/>
  <c r="Y1044" i="2"/>
  <c r="Y1045" i="2"/>
  <c r="Y1046" i="2"/>
  <c r="Y1047" i="2"/>
  <c r="Y1048" i="2"/>
  <c r="Y1049" i="2"/>
  <c r="Y1050" i="2"/>
  <c r="Y1051" i="2"/>
  <c r="Y1052" i="2"/>
  <c r="Y1053" i="2"/>
  <c r="Y1054" i="2"/>
  <c r="Y1055" i="2"/>
  <c r="Y1056" i="2"/>
  <c r="Y1057" i="2"/>
  <c r="Y1058" i="2"/>
  <c r="Y1059" i="2"/>
  <c r="Y1060" i="2"/>
  <c r="Y1061" i="2"/>
  <c r="Y1062" i="2"/>
  <c r="Y1063" i="2"/>
  <c r="Y1064" i="2"/>
  <c r="Y1065" i="2"/>
  <c r="Y1066" i="2"/>
  <c r="Y1067" i="2"/>
  <c r="Y1068" i="2"/>
  <c r="Y1069" i="2"/>
  <c r="Y1070" i="2"/>
  <c r="Y1071" i="2"/>
  <c r="Y1072" i="2"/>
  <c r="Y1073" i="2"/>
  <c r="Y1074" i="2"/>
  <c r="Y1075" i="2"/>
  <c r="Y1076" i="2"/>
  <c r="Y1077" i="2"/>
  <c r="Y1078" i="2"/>
  <c r="Y1079" i="2"/>
  <c r="Y1080" i="2"/>
  <c r="Y1081" i="2"/>
  <c r="Y1082" i="2"/>
  <c r="Y1083" i="2"/>
  <c r="Y1084" i="2"/>
  <c r="Y1085" i="2"/>
  <c r="Y1086" i="2"/>
  <c r="Y1087" i="2"/>
  <c r="Y1088" i="2"/>
  <c r="Y1089" i="2"/>
  <c r="Y1090" i="2"/>
  <c r="Y1091" i="2"/>
  <c r="Y1092" i="2"/>
  <c r="Y1093" i="2"/>
  <c r="Y1094" i="2"/>
  <c r="Y1095" i="2"/>
  <c r="Y1096" i="2"/>
  <c r="Y1097" i="2"/>
  <c r="Y1098" i="2"/>
  <c r="Y1099" i="2"/>
  <c r="Y1100" i="2"/>
  <c r="Y1101" i="2"/>
  <c r="Y1102" i="2"/>
  <c r="Y1103" i="2"/>
  <c r="Y1104" i="2"/>
  <c r="Y1105" i="2"/>
  <c r="Y1106" i="2"/>
  <c r="Y1107" i="2"/>
  <c r="Y1108" i="2"/>
  <c r="Y1109" i="2"/>
  <c r="Y1110" i="2"/>
  <c r="Y1111" i="2"/>
  <c r="Y1112" i="2"/>
  <c r="Y1113" i="2"/>
  <c r="Y1114" i="2"/>
  <c r="Y1115" i="2"/>
  <c r="Y1116" i="2"/>
  <c r="Y1117" i="2"/>
  <c r="Y1118" i="2"/>
  <c r="Y1119" i="2"/>
  <c r="Y1120" i="2"/>
  <c r="Y1121" i="2"/>
  <c r="Y1122" i="2"/>
  <c r="Y1123" i="2"/>
  <c r="Y1124" i="2"/>
  <c r="Y1125" i="2"/>
  <c r="Y1126" i="2"/>
  <c r="Y1127" i="2"/>
  <c r="Y1128" i="2"/>
  <c r="Y1129" i="2"/>
  <c r="Y1130" i="2"/>
  <c r="Y1131" i="2"/>
  <c r="Y1132" i="2"/>
  <c r="Y1133" i="2"/>
  <c r="Y1134" i="2"/>
  <c r="Y1135" i="2"/>
  <c r="Y1136" i="2"/>
  <c r="Y1137" i="2"/>
  <c r="Y1138" i="2"/>
  <c r="Y1139" i="2"/>
  <c r="Y1140" i="2"/>
  <c r="Y1141" i="2"/>
  <c r="Y1142" i="2"/>
  <c r="Y1143" i="2"/>
  <c r="Y1144" i="2"/>
  <c r="Y1145" i="2"/>
  <c r="Y1146" i="2"/>
  <c r="Y1147" i="2"/>
  <c r="Y1148" i="2"/>
  <c r="Y1149" i="2"/>
  <c r="Y1150" i="2"/>
  <c r="Y1151" i="2"/>
  <c r="Y1152" i="2"/>
  <c r="Y1153" i="2"/>
  <c r="Y1154" i="2"/>
  <c r="Y1155" i="2"/>
  <c r="Y1156" i="2"/>
  <c r="Y1157" i="2"/>
  <c r="Y1158" i="2"/>
  <c r="Y1159" i="2"/>
  <c r="Y1160" i="2"/>
  <c r="Y1161" i="2"/>
  <c r="Y1162" i="2"/>
  <c r="Y1163" i="2"/>
  <c r="Y1164" i="2"/>
  <c r="Y1165" i="2"/>
  <c r="Y1166" i="2"/>
  <c r="Y1167" i="2"/>
  <c r="Y1168" i="2"/>
  <c r="Y1169" i="2"/>
  <c r="Y1170" i="2"/>
  <c r="Y1171" i="2"/>
  <c r="Y1172" i="2"/>
  <c r="Y1173" i="2"/>
  <c r="Y1174" i="2"/>
  <c r="Y1175" i="2"/>
  <c r="Y1176" i="2"/>
  <c r="Y1177" i="2"/>
  <c r="Y1178" i="2"/>
  <c r="Y1179" i="2"/>
  <c r="Y1180" i="2"/>
  <c r="Y1181" i="2"/>
  <c r="Y1182" i="2"/>
  <c r="Y1183" i="2"/>
  <c r="Y1184" i="2"/>
  <c r="Y1185" i="2"/>
  <c r="Y1186" i="2"/>
  <c r="Y1187" i="2"/>
  <c r="Y1188" i="2"/>
  <c r="Y1189" i="2"/>
  <c r="Y1190" i="2"/>
  <c r="Y1191" i="2"/>
  <c r="Y1192" i="2"/>
  <c r="Y1193" i="2"/>
  <c r="Y1194" i="2"/>
  <c r="Y1195" i="2"/>
  <c r="Y1196" i="2"/>
  <c r="Y1197" i="2"/>
  <c r="Y1198" i="2"/>
  <c r="Y1199" i="2"/>
  <c r="Y1200" i="2"/>
  <c r="Y1201" i="2"/>
  <c r="Y1202" i="2"/>
  <c r="Y1203" i="2"/>
  <c r="Y1204" i="2"/>
  <c r="Y1205" i="2"/>
  <c r="Y1206" i="2"/>
  <c r="Y1207" i="2"/>
  <c r="Y1208" i="2"/>
  <c r="Y1209" i="2"/>
  <c r="Y1210" i="2"/>
  <c r="Y1211" i="2"/>
  <c r="Y1212" i="2"/>
  <c r="Y1213" i="2"/>
  <c r="Y1214" i="2"/>
  <c r="Y1215" i="2"/>
  <c r="Y1216" i="2"/>
  <c r="Y1217" i="2"/>
  <c r="Y1218" i="2"/>
  <c r="Y1219" i="2"/>
  <c r="Y1220" i="2"/>
  <c r="Y1221" i="2"/>
  <c r="Y1222" i="2"/>
  <c r="Y1223" i="2"/>
  <c r="Y1224" i="2"/>
  <c r="Y1225" i="2"/>
  <c r="Y1226" i="2"/>
  <c r="Y1227" i="2"/>
  <c r="Y1228" i="2"/>
  <c r="Y1229" i="2"/>
  <c r="Y1230" i="2"/>
  <c r="Y1231" i="2"/>
  <c r="Y1232" i="2"/>
  <c r="Y1233" i="2"/>
  <c r="Y1234" i="2"/>
  <c r="Y1235" i="2"/>
  <c r="Y1236" i="2"/>
  <c r="Y1237" i="2"/>
  <c r="Y1238" i="2"/>
  <c r="Y1239" i="2"/>
  <c r="Y1240" i="2"/>
  <c r="Y1241" i="2"/>
  <c r="Y1242" i="2"/>
  <c r="Y1243" i="2"/>
  <c r="Y1244" i="2"/>
  <c r="Y1245" i="2"/>
  <c r="Y1246" i="2"/>
  <c r="Y1247" i="2"/>
  <c r="Y1248" i="2"/>
  <c r="Y1249" i="2"/>
  <c r="Y1250" i="2"/>
  <c r="Y1251" i="2"/>
  <c r="Y1252" i="2"/>
  <c r="Y1253" i="2"/>
  <c r="Y1254" i="2"/>
  <c r="Y1255" i="2"/>
  <c r="Y1256" i="2"/>
  <c r="Y1257" i="2"/>
  <c r="Y1258" i="2"/>
  <c r="Y1259" i="2"/>
  <c r="Y1260" i="2"/>
  <c r="Y1261" i="2"/>
  <c r="Y1262" i="2"/>
  <c r="Y1263" i="2"/>
  <c r="Y1264" i="2"/>
  <c r="Y1265" i="2"/>
  <c r="Y1266" i="2"/>
  <c r="Y1267" i="2"/>
  <c r="Y1268" i="2"/>
  <c r="Y1269" i="2"/>
  <c r="Y1270" i="2"/>
  <c r="Y1271" i="2"/>
  <c r="Y1272" i="2"/>
  <c r="Y1273" i="2"/>
  <c r="Y1274" i="2"/>
  <c r="Y1275" i="2"/>
  <c r="Y1276" i="2"/>
  <c r="Y1277" i="2"/>
  <c r="Y1278" i="2"/>
  <c r="Y1279" i="2"/>
  <c r="Y1280" i="2"/>
  <c r="Y1281" i="2"/>
  <c r="Y1282" i="2"/>
  <c r="Y1283" i="2"/>
  <c r="Y1284" i="2"/>
  <c r="Y1285" i="2"/>
  <c r="Y1286" i="2"/>
  <c r="Y1287" i="2"/>
  <c r="Y1288" i="2"/>
  <c r="Y1289" i="2"/>
  <c r="Y1290" i="2"/>
  <c r="Y1291" i="2"/>
  <c r="Y1292" i="2"/>
  <c r="Y1293" i="2"/>
  <c r="Y1294" i="2"/>
  <c r="Y1295" i="2"/>
  <c r="Y1296" i="2"/>
  <c r="Y1297" i="2"/>
  <c r="Y1298" i="2"/>
  <c r="Y1299" i="2"/>
  <c r="Y1300" i="2"/>
  <c r="Y1301" i="2"/>
  <c r="Y1302" i="2"/>
  <c r="Y1303" i="2"/>
  <c r="Y1304" i="2"/>
  <c r="Y1305" i="2"/>
  <c r="Y1306" i="2"/>
  <c r="Y1307" i="2"/>
  <c r="Y1308" i="2"/>
  <c r="Y1309" i="2"/>
  <c r="Y1310" i="2"/>
  <c r="Y1311" i="2"/>
  <c r="Y1312" i="2"/>
  <c r="Y1313" i="2"/>
  <c r="Y1314" i="2"/>
  <c r="Y1315" i="2"/>
  <c r="Y1316" i="2"/>
  <c r="Y1317" i="2"/>
  <c r="Y1318" i="2"/>
  <c r="Y1319" i="2"/>
  <c r="Y1320" i="2"/>
  <c r="Y1321" i="2"/>
  <c r="Y1322" i="2"/>
  <c r="Y1323" i="2"/>
  <c r="Y1324" i="2"/>
  <c r="Y1325" i="2"/>
  <c r="Y1326" i="2"/>
  <c r="Y1327" i="2"/>
  <c r="Y1328" i="2"/>
  <c r="Y1329" i="2"/>
  <c r="Y1330" i="2"/>
  <c r="Y1331" i="2"/>
  <c r="Y1332" i="2"/>
  <c r="Y1333" i="2"/>
  <c r="Y1334" i="2"/>
  <c r="Y1335" i="2"/>
  <c r="Y1336" i="2"/>
  <c r="Y1337" i="2"/>
  <c r="Y1338" i="2"/>
  <c r="Y1339" i="2"/>
  <c r="Y1340" i="2"/>
  <c r="Y1341" i="2"/>
  <c r="Y1342" i="2"/>
  <c r="Y1343" i="2"/>
  <c r="Y1344" i="2"/>
  <c r="Y1345" i="2"/>
  <c r="Y1346" i="2"/>
  <c r="Y1347" i="2"/>
  <c r="Y1348" i="2"/>
  <c r="Y1349" i="2"/>
  <c r="Y1350" i="2"/>
  <c r="Y1351" i="2"/>
  <c r="Y1352" i="2"/>
  <c r="Y1353" i="2"/>
  <c r="Y1354" i="2"/>
  <c r="Y1355" i="2"/>
  <c r="Y1356" i="2"/>
  <c r="Y1357" i="2"/>
  <c r="Y1358" i="2"/>
  <c r="Y1359" i="2"/>
  <c r="Y1360" i="2"/>
  <c r="Y1361" i="2"/>
  <c r="Y1362" i="2"/>
  <c r="Y1363" i="2"/>
  <c r="Y1364" i="2"/>
  <c r="Y1365" i="2"/>
  <c r="Y1366" i="2"/>
  <c r="Y1367" i="2"/>
  <c r="Y1368" i="2"/>
  <c r="Y1369" i="2"/>
  <c r="Y1370" i="2"/>
  <c r="Y1371" i="2"/>
  <c r="Y1372" i="2"/>
  <c r="Y1373" i="2"/>
  <c r="Y1374" i="2"/>
  <c r="Y1375" i="2"/>
  <c r="Y1376" i="2"/>
  <c r="Y1377" i="2"/>
  <c r="Y1378" i="2"/>
  <c r="Y1379" i="2"/>
  <c r="Y1380" i="2"/>
  <c r="Y1381" i="2"/>
  <c r="Y1382" i="2"/>
  <c r="Y1383" i="2"/>
  <c r="Y1384" i="2"/>
  <c r="Y1385" i="2"/>
  <c r="Y1386" i="2"/>
  <c r="Y1387" i="2"/>
  <c r="Y1388" i="2"/>
  <c r="Y1389" i="2"/>
  <c r="Y1390" i="2"/>
  <c r="Y1391" i="2"/>
  <c r="Y1392" i="2"/>
  <c r="Y1393" i="2"/>
  <c r="Y1394" i="2"/>
  <c r="Y1395" i="2"/>
  <c r="Y1396" i="2"/>
  <c r="Y1397" i="2"/>
  <c r="Y1398" i="2"/>
  <c r="Y1399" i="2"/>
  <c r="Y1400" i="2"/>
  <c r="Y1401" i="2"/>
  <c r="Y1402" i="2"/>
  <c r="Y1403" i="2"/>
  <c r="Y1404" i="2"/>
  <c r="Y1405" i="2"/>
  <c r="Y1406" i="2"/>
  <c r="Y1407" i="2"/>
  <c r="Y1408" i="2"/>
  <c r="Y1409" i="2"/>
  <c r="Y1410" i="2"/>
  <c r="Y1411" i="2"/>
  <c r="Y1412" i="2"/>
  <c r="Y1413" i="2"/>
  <c r="Y1414" i="2"/>
  <c r="Y1415" i="2"/>
  <c r="Y1416" i="2"/>
  <c r="Y1417" i="2"/>
  <c r="Y1418" i="2"/>
  <c r="Y1419" i="2"/>
  <c r="Y1420" i="2"/>
  <c r="Y1421" i="2"/>
  <c r="Y1422" i="2"/>
  <c r="Y1423" i="2"/>
  <c r="Y1424" i="2"/>
  <c r="Y1425" i="2"/>
  <c r="Y1426" i="2"/>
  <c r="Y1427" i="2"/>
  <c r="Y1428" i="2"/>
  <c r="Y1429" i="2"/>
  <c r="Y1430" i="2"/>
  <c r="Y1431" i="2"/>
  <c r="Y1432" i="2"/>
  <c r="Y1433" i="2"/>
  <c r="Y1434" i="2"/>
  <c r="Y1435" i="2"/>
  <c r="Y1436" i="2"/>
  <c r="Y1437" i="2"/>
  <c r="Y1438" i="2"/>
  <c r="Y1439" i="2"/>
  <c r="Y1440" i="2"/>
  <c r="Y1441" i="2"/>
  <c r="Y1442" i="2"/>
  <c r="Y1443" i="2"/>
  <c r="Y1444" i="2"/>
  <c r="Y1445" i="2"/>
  <c r="Y1446" i="2"/>
  <c r="Y1447" i="2"/>
  <c r="Y1448" i="2"/>
  <c r="Y1449" i="2"/>
  <c r="Y1450" i="2"/>
  <c r="Y1451" i="2"/>
  <c r="Y1452" i="2"/>
  <c r="Y1453" i="2"/>
  <c r="Y1454" i="2"/>
  <c r="Y1455" i="2"/>
  <c r="Y1456" i="2"/>
  <c r="Y1457" i="2"/>
  <c r="Y1458" i="2"/>
  <c r="Y1459" i="2"/>
  <c r="Y1460" i="2"/>
  <c r="Y1461" i="2"/>
  <c r="Y1462" i="2"/>
  <c r="Y1463" i="2"/>
  <c r="Y1464" i="2"/>
  <c r="Y1465" i="2"/>
  <c r="Y1466" i="2"/>
  <c r="Y1467" i="2"/>
  <c r="Y1468" i="2"/>
  <c r="Y1469" i="2"/>
  <c r="Y1470" i="2"/>
  <c r="Y1471" i="2"/>
  <c r="Y1472" i="2"/>
  <c r="Y1473" i="2"/>
  <c r="Y1474" i="2"/>
  <c r="Y1475" i="2"/>
  <c r="Y1476" i="2"/>
  <c r="Y1477" i="2"/>
  <c r="Y1478" i="2"/>
  <c r="Y1479" i="2"/>
  <c r="Y1480" i="2"/>
  <c r="Y1481" i="2"/>
  <c r="Y1482" i="2"/>
  <c r="Y1483" i="2"/>
  <c r="Y1484" i="2"/>
  <c r="Y1485" i="2"/>
  <c r="Y1486" i="2"/>
  <c r="Y1487" i="2"/>
  <c r="Y1488" i="2"/>
  <c r="Y1489" i="2"/>
  <c r="Y1490" i="2"/>
  <c r="Y1491" i="2"/>
  <c r="Y1492" i="2"/>
  <c r="Y1493" i="2"/>
  <c r="Y1494" i="2"/>
  <c r="Y1495" i="2"/>
  <c r="Y1496" i="2"/>
  <c r="Y1497" i="2"/>
  <c r="Y1498" i="2"/>
  <c r="Y1499" i="2"/>
  <c r="Y1500" i="2"/>
  <c r="Y1501" i="2"/>
  <c r="Y1502" i="2"/>
  <c r="Y1503" i="2"/>
  <c r="Y1504" i="2"/>
  <c r="Y1505" i="2"/>
  <c r="Y1506" i="2"/>
  <c r="Y1507" i="2"/>
  <c r="Y1508" i="2"/>
  <c r="Y1509" i="2"/>
  <c r="Y1510" i="2"/>
  <c r="Y1511" i="2"/>
  <c r="Y1512" i="2"/>
  <c r="Y1513" i="2"/>
  <c r="Y1514" i="2"/>
  <c r="Y1515" i="2"/>
  <c r="Y1516" i="2"/>
  <c r="Y1517" i="2"/>
  <c r="Y1518" i="2"/>
  <c r="Y1519" i="2"/>
  <c r="Y1520" i="2"/>
  <c r="Y1521" i="2"/>
  <c r="Y1522" i="2"/>
  <c r="Y1523" i="2"/>
  <c r="Y1524" i="2"/>
  <c r="Y1525" i="2"/>
  <c r="Y1526" i="2"/>
  <c r="Y1527" i="2"/>
  <c r="Y1528" i="2"/>
  <c r="Y1529" i="2"/>
  <c r="Y1530" i="2"/>
  <c r="Y1531" i="2"/>
  <c r="Y1532" i="2"/>
  <c r="Y1533" i="2"/>
  <c r="Y1534" i="2"/>
  <c r="Y1535" i="2"/>
  <c r="Y1536" i="2"/>
  <c r="Y1537" i="2"/>
  <c r="Y1538" i="2"/>
  <c r="Y1539" i="2"/>
  <c r="Y1540" i="2"/>
  <c r="Y1541" i="2"/>
  <c r="Y1542" i="2"/>
  <c r="Y1543" i="2"/>
  <c r="Y1544" i="2"/>
  <c r="Y1545" i="2"/>
  <c r="Y1546" i="2"/>
  <c r="Y1547" i="2"/>
  <c r="Y1548" i="2"/>
  <c r="Y1549" i="2"/>
  <c r="Y1550" i="2"/>
  <c r="Y1551" i="2"/>
  <c r="Y1552" i="2"/>
  <c r="Y1553" i="2"/>
  <c r="Y1554" i="2"/>
  <c r="Y1555" i="2"/>
  <c r="Y1556" i="2"/>
  <c r="Y1557" i="2"/>
  <c r="Y1558" i="2"/>
  <c r="Y1559" i="2"/>
  <c r="Y1560" i="2"/>
  <c r="Y1561" i="2"/>
  <c r="Y1562" i="2"/>
  <c r="Y1563" i="2"/>
  <c r="Y1564" i="2"/>
  <c r="Y1565" i="2"/>
  <c r="Y1566" i="2"/>
  <c r="Y1567" i="2"/>
  <c r="Y1568" i="2"/>
  <c r="Y1569" i="2"/>
  <c r="Y1570" i="2"/>
  <c r="Y1571" i="2"/>
  <c r="Y1572" i="2"/>
  <c r="Y1573" i="2"/>
  <c r="Y1574" i="2"/>
  <c r="Y1575" i="2"/>
  <c r="Y1576" i="2"/>
  <c r="Y1577" i="2"/>
  <c r="Y1578" i="2"/>
  <c r="Y1579" i="2"/>
  <c r="Y1580" i="2"/>
  <c r="Y1581" i="2"/>
  <c r="Y1582" i="2"/>
  <c r="Y1583" i="2"/>
  <c r="Y1584" i="2"/>
  <c r="Y1585" i="2"/>
  <c r="Y1586" i="2"/>
  <c r="Y1587" i="2"/>
  <c r="Y1588" i="2"/>
  <c r="Y1589" i="2"/>
  <c r="Y1590" i="2"/>
  <c r="Y1591" i="2"/>
  <c r="Y1592" i="2"/>
  <c r="Y1593" i="2"/>
  <c r="Y1594" i="2"/>
  <c r="Y1595" i="2"/>
  <c r="Y1596" i="2"/>
  <c r="Y1597" i="2"/>
  <c r="Y1598" i="2"/>
  <c r="Y1599" i="2"/>
  <c r="Y1600" i="2"/>
  <c r="Y1601" i="2"/>
  <c r="Y1602" i="2"/>
  <c r="Y1603" i="2"/>
  <c r="Y1604" i="2"/>
  <c r="Y1605" i="2"/>
  <c r="Y1606" i="2"/>
  <c r="Y1607" i="2"/>
  <c r="Y1608" i="2"/>
  <c r="Y1609" i="2"/>
  <c r="Y1610" i="2"/>
  <c r="Y1611" i="2"/>
  <c r="Y1612" i="2"/>
  <c r="Y1613" i="2"/>
  <c r="Y1614" i="2"/>
  <c r="Y1615" i="2"/>
  <c r="Y1616" i="2"/>
  <c r="Y1617" i="2"/>
  <c r="Y1618" i="2"/>
  <c r="Y1619" i="2"/>
  <c r="Y1620" i="2"/>
  <c r="Y1621" i="2"/>
  <c r="Y1622" i="2"/>
  <c r="Y1623" i="2"/>
  <c r="Y1624" i="2"/>
  <c r="Y1625" i="2"/>
  <c r="Y1626" i="2"/>
  <c r="Y1627" i="2"/>
  <c r="Y1628" i="2"/>
  <c r="Y1629" i="2"/>
  <c r="Y1630" i="2"/>
  <c r="Y1631" i="2"/>
  <c r="Y1632" i="2"/>
  <c r="Y1633" i="2"/>
  <c r="Y1634" i="2"/>
  <c r="Y1635" i="2"/>
  <c r="Y1636" i="2"/>
  <c r="Y1637" i="2"/>
  <c r="Y1638" i="2"/>
  <c r="Y1639" i="2"/>
  <c r="Y1640" i="2"/>
  <c r="Y1641" i="2"/>
  <c r="Y1642" i="2"/>
  <c r="Y1643" i="2"/>
  <c r="Y1644" i="2"/>
  <c r="Y1645" i="2"/>
  <c r="Y1646" i="2"/>
  <c r="Y1647" i="2"/>
  <c r="Y1648" i="2"/>
  <c r="Y1649" i="2"/>
  <c r="Y1650" i="2"/>
  <c r="Y1651" i="2"/>
  <c r="Y1652" i="2"/>
  <c r="Y1653" i="2"/>
  <c r="Y1654" i="2"/>
  <c r="Y1655" i="2"/>
  <c r="Y1656" i="2"/>
  <c r="Y1657" i="2"/>
  <c r="Y1658" i="2"/>
  <c r="Y1659" i="2"/>
  <c r="Y1660" i="2"/>
  <c r="Y1661" i="2"/>
  <c r="Y1662" i="2"/>
  <c r="Y1663" i="2"/>
  <c r="Y1664" i="2"/>
  <c r="Y1665" i="2"/>
  <c r="Y1666" i="2"/>
  <c r="Y1667" i="2"/>
  <c r="Y1668" i="2"/>
  <c r="Y1669" i="2"/>
  <c r="Y1670" i="2"/>
  <c r="Y1671" i="2"/>
  <c r="Y1672" i="2"/>
  <c r="Y1673" i="2"/>
  <c r="Y1674" i="2"/>
  <c r="Y1675" i="2"/>
  <c r="Y1676" i="2"/>
  <c r="Y1677" i="2"/>
  <c r="Y1678" i="2"/>
  <c r="Y1679" i="2"/>
  <c r="Y1680" i="2"/>
  <c r="Y1681" i="2"/>
  <c r="Y1682" i="2"/>
  <c r="Y1683" i="2"/>
  <c r="Y1684" i="2"/>
  <c r="Y1685" i="2"/>
  <c r="Y1686" i="2"/>
  <c r="Y1687" i="2"/>
  <c r="Y1688" i="2"/>
  <c r="Y1689" i="2"/>
  <c r="Y1690" i="2"/>
  <c r="Y1691" i="2"/>
  <c r="Y1692" i="2"/>
  <c r="Y1693" i="2"/>
  <c r="Y1694" i="2"/>
  <c r="Y1695" i="2"/>
  <c r="Y1696" i="2"/>
  <c r="Y1697" i="2"/>
  <c r="Y1698" i="2"/>
  <c r="Y1699" i="2"/>
  <c r="Y1700" i="2"/>
  <c r="Y1701" i="2"/>
  <c r="Y1702" i="2"/>
  <c r="Y1703" i="2"/>
  <c r="Y1704" i="2"/>
  <c r="Y1705" i="2"/>
  <c r="Y1706" i="2"/>
  <c r="Y1707" i="2"/>
  <c r="Y1708" i="2"/>
  <c r="Y1709" i="2"/>
  <c r="Y1710" i="2"/>
  <c r="Y1711" i="2"/>
  <c r="Y1712" i="2"/>
  <c r="Y1713" i="2"/>
  <c r="Y1714" i="2"/>
  <c r="Y1715" i="2"/>
  <c r="Y1716" i="2"/>
  <c r="Y1717" i="2"/>
  <c r="Y1718" i="2"/>
  <c r="Y1719" i="2"/>
  <c r="Y1720" i="2"/>
  <c r="Y1721" i="2"/>
  <c r="Y1722" i="2"/>
  <c r="Y1723" i="2"/>
  <c r="Y1724" i="2"/>
  <c r="Y1725" i="2"/>
  <c r="Y1726" i="2"/>
  <c r="Y1727" i="2"/>
  <c r="Y1728" i="2"/>
  <c r="Y1729" i="2"/>
  <c r="Y1730" i="2"/>
  <c r="Y1731" i="2"/>
  <c r="Y1732" i="2"/>
  <c r="Y1733" i="2"/>
  <c r="Y1734" i="2"/>
  <c r="Y1735" i="2"/>
  <c r="Y1736" i="2"/>
  <c r="Y1737" i="2"/>
  <c r="Y1738" i="2"/>
  <c r="Y1739" i="2"/>
  <c r="Y1740" i="2"/>
  <c r="Y1741" i="2"/>
  <c r="Y1742" i="2"/>
  <c r="Y1743" i="2"/>
  <c r="Y1744" i="2"/>
  <c r="Y1745" i="2"/>
  <c r="Y1746" i="2"/>
  <c r="Y1747" i="2"/>
  <c r="Y1748" i="2"/>
  <c r="Y1749" i="2"/>
  <c r="Y1750" i="2"/>
  <c r="Y1751" i="2"/>
  <c r="Y1752" i="2"/>
  <c r="Y1753" i="2"/>
  <c r="Y1754" i="2"/>
  <c r="Y1755" i="2"/>
  <c r="Y1756" i="2"/>
  <c r="Y1757" i="2"/>
  <c r="Y1758" i="2"/>
  <c r="Y1759" i="2"/>
  <c r="Y1760" i="2"/>
  <c r="Y1761" i="2"/>
  <c r="Y1762" i="2"/>
  <c r="Y1763" i="2"/>
  <c r="Y1764" i="2"/>
  <c r="Y1765" i="2"/>
  <c r="Y1766" i="2"/>
  <c r="Y1767" i="2"/>
  <c r="Y1768" i="2"/>
  <c r="Y1769" i="2"/>
  <c r="Y1770" i="2"/>
  <c r="Y1771" i="2"/>
  <c r="Y1772" i="2"/>
  <c r="Y1773" i="2"/>
  <c r="Y1774" i="2"/>
  <c r="Y1775" i="2"/>
  <c r="Y1776" i="2"/>
  <c r="Y1777" i="2"/>
  <c r="Y1778" i="2"/>
  <c r="Y1779" i="2"/>
  <c r="Y1780" i="2"/>
  <c r="Y1781" i="2"/>
  <c r="Y1782" i="2"/>
  <c r="Y1783" i="2"/>
  <c r="Y1784" i="2"/>
  <c r="Y1785" i="2"/>
  <c r="Y1786" i="2"/>
  <c r="Y1787" i="2"/>
  <c r="Y1788" i="2"/>
  <c r="Y1789" i="2"/>
  <c r="Y1790" i="2"/>
  <c r="Y1791" i="2"/>
  <c r="Y1792" i="2"/>
  <c r="Y1793" i="2"/>
  <c r="Y1794" i="2"/>
  <c r="Y1795" i="2"/>
  <c r="Y1796" i="2"/>
  <c r="Y1797" i="2"/>
  <c r="Y1798" i="2"/>
  <c r="Y1799" i="2"/>
  <c r="Y1800" i="2"/>
  <c r="Y1801" i="2"/>
  <c r="Y1802" i="2"/>
  <c r="Y1803" i="2"/>
  <c r="Y1804" i="2"/>
  <c r="Y1805" i="2"/>
  <c r="Y1806" i="2"/>
  <c r="Y1807" i="2"/>
  <c r="Y1808" i="2"/>
  <c r="Y1809" i="2"/>
  <c r="Y1810" i="2"/>
  <c r="Y1811" i="2"/>
  <c r="Y1812" i="2"/>
  <c r="Y1813" i="2"/>
  <c r="Y1814" i="2"/>
  <c r="Y1815" i="2"/>
  <c r="Y1816" i="2"/>
  <c r="Y1817" i="2"/>
  <c r="Y1818" i="2"/>
  <c r="Y1819" i="2"/>
  <c r="Y1820" i="2"/>
  <c r="Y1821" i="2"/>
  <c r="Y1822" i="2"/>
  <c r="Y1823" i="2"/>
  <c r="Y1824" i="2"/>
  <c r="Y1825" i="2"/>
  <c r="Y1826" i="2"/>
  <c r="Y1827" i="2"/>
  <c r="Y1828" i="2"/>
  <c r="Y1829" i="2"/>
  <c r="Y1830" i="2"/>
  <c r="Y1831" i="2"/>
  <c r="Y1832" i="2"/>
  <c r="Y1833" i="2"/>
  <c r="Y1834" i="2"/>
  <c r="Y1835" i="2"/>
  <c r="Y1836" i="2"/>
  <c r="Y1837" i="2"/>
  <c r="Y1838" i="2"/>
  <c r="Y1839" i="2"/>
  <c r="Y1840" i="2"/>
  <c r="Y1841" i="2"/>
  <c r="Y1842" i="2"/>
  <c r="Y1843" i="2"/>
  <c r="Y1844" i="2"/>
  <c r="Y1845" i="2"/>
  <c r="Y1846" i="2"/>
  <c r="Y1847" i="2"/>
  <c r="Y1848" i="2"/>
  <c r="Y1849" i="2"/>
  <c r="Y1850" i="2"/>
  <c r="Y1851" i="2"/>
  <c r="Y1852" i="2"/>
  <c r="Y1853" i="2"/>
  <c r="Y1854" i="2"/>
  <c r="Y1855" i="2"/>
  <c r="Y1856" i="2"/>
  <c r="Y1857" i="2"/>
  <c r="Y1858" i="2"/>
  <c r="Y1859" i="2"/>
  <c r="Y1860" i="2"/>
  <c r="Y1861" i="2"/>
  <c r="Y1862" i="2"/>
  <c r="Y1863" i="2"/>
  <c r="Y1864" i="2"/>
  <c r="Y1865" i="2"/>
  <c r="Y1866" i="2"/>
  <c r="Y1867" i="2"/>
  <c r="Y1868" i="2"/>
  <c r="Y1869" i="2"/>
  <c r="Y1870" i="2"/>
  <c r="Y1871" i="2"/>
  <c r="Y1872" i="2"/>
  <c r="Y1873" i="2"/>
  <c r="Y1874" i="2"/>
  <c r="Y1875" i="2"/>
  <c r="Y1876" i="2"/>
  <c r="Y1877" i="2"/>
  <c r="Y1878" i="2"/>
  <c r="Y1879" i="2"/>
  <c r="Y1880" i="2"/>
  <c r="Y1881" i="2"/>
  <c r="Y1882" i="2"/>
  <c r="Y1883" i="2"/>
  <c r="Y1884" i="2"/>
  <c r="Y1885" i="2"/>
  <c r="Y1886" i="2"/>
  <c r="Y1887" i="2"/>
  <c r="Y1888" i="2"/>
  <c r="Y1889" i="2"/>
  <c r="Y1890" i="2"/>
  <c r="Y1891" i="2"/>
  <c r="Y1892" i="2"/>
  <c r="Y1893" i="2"/>
  <c r="Y1894" i="2"/>
  <c r="Y1895" i="2"/>
  <c r="Y1896" i="2"/>
  <c r="Y1897" i="2"/>
  <c r="Y1898" i="2"/>
  <c r="Y1899" i="2"/>
  <c r="Y1900" i="2"/>
  <c r="Y1901" i="2"/>
  <c r="Y1902" i="2"/>
  <c r="Y1903" i="2"/>
  <c r="Y1904" i="2"/>
  <c r="Y1905" i="2"/>
  <c r="Y1906" i="2"/>
  <c r="Y1907" i="2"/>
  <c r="Y1908" i="2"/>
  <c r="Y1909" i="2"/>
  <c r="Y1910" i="2"/>
  <c r="Y1911" i="2"/>
  <c r="Y1912" i="2"/>
  <c r="Y1913" i="2"/>
  <c r="Y1914" i="2"/>
  <c r="Y1915" i="2"/>
  <c r="Y1916" i="2"/>
  <c r="Y1917" i="2"/>
  <c r="Y1918" i="2"/>
  <c r="Y1919" i="2"/>
  <c r="Y1920" i="2"/>
  <c r="Y1921" i="2"/>
  <c r="Y1922" i="2"/>
  <c r="Y1923" i="2"/>
  <c r="Y1924" i="2"/>
  <c r="Y1925" i="2"/>
  <c r="Y1926" i="2"/>
  <c r="Y1927" i="2"/>
  <c r="Y1928" i="2"/>
  <c r="Y1929" i="2"/>
  <c r="Y1930" i="2"/>
  <c r="Y1931" i="2"/>
  <c r="Y1932" i="2"/>
  <c r="Y1933" i="2"/>
  <c r="Y1934" i="2"/>
  <c r="Y1935" i="2"/>
  <c r="Y1936" i="2"/>
  <c r="Y1937" i="2"/>
  <c r="Y1938" i="2"/>
  <c r="Y1939" i="2"/>
  <c r="Y1940" i="2"/>
  <c r="Y1941" i="2"/>
  <c r="Y1942" i="2"/>
  <c r="Y1943" i="2"/>
  <c r="Y1944" i="2"/>
  <c r="Y1945" i="2"/>
  <c r="Y1946" i="2"/>
  <c r="Y1947" i="2"/>
  <c r="Y1948" i="2"/>
  <c r="Y1949" i="2"/>
  <c r="Y1950" i="2"/>
  <c r="Y1951" i="2"/>
  <c r="Y1952" i="2"/>
  <c r="Y1953" i="2"/>
  <c r="Y1954" i="2"/>
  <c r="Y1955" i="2"/>
  <c r="Y1956" i="2"/>
  <c r="Y1957" i="2"/>
  <c r="Y1958" i="2"/>
  <c r="Y1959" i="2"/>
  <c r="Y1960" i="2"/>
  <c r="Y1961" i="2"/>
  <c r="Y1962" i="2"/>
  <c r="Y1963" i="2"/>
  <c r="Y1964" i="2"/>
  <c r="Y1965" i="2"/>
  <c r="Y1966" i="2"/>
  <c r="Y1967" i="2"/>
  <c r="Y1968" i="2"/>
  <c r="Y1969" i="2"/>
  <c r="Y1970" i="2"/>
  <c r="Y1971" i="2"/>
  <c r="Y1972" i="2"/>
  <c r="Y1973" i="2"/>
  <c r="Y1974" i="2"/>
  <c r="Y1975" i="2"/>
  <c r="Y1976" i="2"/>
  <c r="Y1977" i="2"/>
  <c r="Y1978" i="2"/>
  <c r="Y1979" i="2"/>
  <c r="Y1980" i="2"/>
  <c r="Y1981" i="2"/>
  <c r="Y1982" i="2"/>
  <c r="Y1983" i="2"/>
  <c r="Y1984" i="2"/>
  <c r="Y1985" i="2"/>
  <c r="Y1986" i="2"/>
  <c r="Y1987" i="2"/>
  <c r="Y1988" i="2"/>
  <c r="Y1989" i="2"/>
  <c r="Y1990" i="2"/>
  <c r="Y1991" i="2"/>
  <c r="Y1992" i="2"/>
  <c r="Y1993" i="2"/>
  <c r="Y1994" i="2"/>
  <c r="Y1995" i="2"/>
  <c r="Y1996" i="2"/>
  <c r="Y1997" i="2"/>
  <c r="Y1998" i="2"/>
  <c r="Y1999" i="2"/>
  <c r="Y2000" i="2"/>
  <c r="Y2001" i="2"/>
  <c r="Y2002" i="2"/>
  <c r="Y2003" i="2"/>
  <c r="Y2004" i="2"/>
  <c r="Y2005" i="2"/>
  <c r="Y2006" i="2"/>
  <c r="Y2007" i="2"/>
  <c r="Y2008" i="2"/>
  <c r="Y2009" i="2"/>
  <c r="Y2010" i="2"/>
  <c r="Y2011" i="2"/>
  <c r="Y2012" i="2"/>
  <c r="Y2013" i="2"/>
  <c r="Y2014" i="2"/>
  <c r="Y2015" i="2"/>
  <c r="Y2016" i="2"/>
  <c r="Y2017" i="2"/>
  <c r="Y2018" i="2"/>
  <c r="Y2019" i="2"/>
  <c r="Y2020" i="2"/>
  <c r="Y2021" i="2"/>
  <c r="Y2022" i="2"/>
  <c r="Y2023" i="2"/>
  <c r="Y2024" i="2"/>
  <c r="Y2025" i="2"/>
  <c r="Y2026" i="2"/>
  <c r="Y2027" i="2"/>
  <c r="Y2028" i="2"/>
  <c r="Y2029" i="2"/>
  <c r="Y2030" i="2"/>
  <c r="Y2031" i="2"/>
  <c r="Y2032" i="2"/>
  <c r="Y2033" i="2"/>
  <c r="Y2034" i="2"/>
  <c r="Y2035" i="2"/>
  <c r="Y2036" i="2"/>
  <c r="Y2037" i="2"/>
  <c r="Y2038" i="2"/>
  <c r="Y2039" i="2"/>
  <c r="Y2040" i="2"/>
  <c r="Y2041" i="2"/>
  <c r="Y2042" i="2"/>
  <c r="Y2043" i="2"/>
  <c r="Y2044" i="2"/>
  <c r="Y2045" i="2"/>
  <c r="Y2046" i="2"/>
  <c r="Y2047" i="2"/>
  <c r="Y2048" i="2"/>
  <c r="Y2049" i="2"/>
  <c r="Y2050" i="2"/>
  <c r="Y2051" i="2"/>
  <c r="Y2052" i="2"/>
  <c r="Y2053" i="2"/>
  <c r="Y2054" i="2"/>
  <c r="Y2055" i="2"/>
  <c r="Y2056" i="2"/>
  <c r="Y2057" i="2"/>
  <c r="Y2058" i="2"/>
  <c r="Y2059" i="2"/>
  <c r="Y2060" i="2"/>
  <c r="Y2061" i="2"/>
  <c r="Y2062" i="2"/>
  <c r="Y2063" i="2"/>
  <c r="Y2064" i="2"/>
  <c r="Y2065" i="2"/>
  <c r="Y2066" i="2"/>
  <c r="Y2067" i="2"/>
  <c r="Y2068" i="2"/>
  <c r="Y2069" i="2"/>
  <c r="Y2070" i="2"/>
  <c r="Y2071" i="2"/>
  <c r="Y2072" i="2"/>
  <c r="Y2073" i="2"/>
  <c r="Y2074" i="2"/>
  <c r="Y2075" i="2"/>
  <c r="Y2076" i="2"/>
  <c r="Y2077" i="2"/>
  <c r="Y2078" i="2"/>
  <c r="Y2079" i="2"/>
  <c r="Y2080" i="2"/>
  <c r="Y2081" i="2"/>
  <c r="Y2082" i="2"/>
  <c r="Y2083" i="2"/>
  <c r="Y2084" i="2"/>
  <c r="Y2085" i="2"/>
  <c r="Y2086" i="2"/>
  <c r="Y2087" i="2"/>
  <c r="Y2088" i="2"/>
  <c r="Y2089" i="2"/>
  <c r="Y2090" i="2"/>
  <c r="Y2091" i="2"/>
  <c r="Y2092" i="2"/>
  <c r="Y2093" i="2"/>
  <c r="Y2094" i="2"/>
  <c r="Y2095" i="2"/>
  <c r="Y2096" i="2"/>
  <c r="Y2097" i="2"/>
  <c r="Y2098" i="2"/>
  <c r="Y2099" i="2"/>
  <c r="Y2100" i="2"/>
  <c r="Y2101" i="2"/>
  <c r="Y2102" i="2"/>
  <c r="Y2103" i="2"/>
  <c r="Y2104" i="2"/>
  <c r="Y2105" i="2"/>
  <c r="Y2106" i="2"/>
  <c r="Y2107" i="2"/>
  <c r="Y2108" i="2"/>
  <c r="Y2109" i="2"/>
  <c r="Y2110" i="2"/>
  <c r="Y2111" i="2"/>
  <c r="Y2112" i="2"/>
  <c r="Y2113" i="2"/>
  <c r="Y2114" i="2"/>
  <c r="Y2115" i="2"/>
  <c r="Y2116" i="2"/>
  <c r="Y2117" i="2"/>
  <c r="Y2118" i="2"/>
  <c r="Y2119" i="2"/>
  <c r="Y2120" i="2"/>
  <c r="Y2121" i="2"/>
  <c r="Y2122" i="2"/>
  <c r="Y2123" i="2"/>
  <c r="Y2124" i="2"/>
  <c r="Y2125" i="2"/>
  <c r="Y2126" i="2"/>
  <c r="Y2127" i="2"/>
  <c r="Y2128" i="2"/>
  <c r="Y2129" i="2"/>
  <c r="Y2130" i="2"/>
  <c r="Y2131" i="2"/>
  <c r="Y2132" i="2"/>
  <c r="Y2133" i="2"/>
  <c r="Y2134" i="2"/>
  <c r="Y2135" i="2"/>
  <c r="Y2136" i="2"/>
  <c r="Y2137" i="2"/>
  <c r="Y2138" i="2"/>
  <c r="Y2139" i="2"/>
  <c r="Y2140" i="2"/>
  <c r="Y2141" i="2"/>
  <c r="Y2142" i="2"/>
  <c r="Y2143" i="2"/>
  <c r="Y2144" i="2"/>
  <c r="Y2145" i="2"/>
  <c r="Y2146" i="2"/>
  <c r="Y2147" i="2"/>
  <c r="Y2148" i="2"/>
  <c r="Y2149" i="2"/>
  <c r="Y2150" i="2"/>
  <c r="Y2151" i="2"/>
  <c r="Y2152" i="2"/>
  <c r="Y2153" i="2"/>
  <c r="Y2154" i="2"/>
  <c r="Y2155" i="2"/>
  <c r="Y2156" i="2"/>
  <c r="Y2157" i="2"/>
  <c r="Y2158" i="2"/>
  <c r="Y2159" i="2"/>
  <c r="Y2160" i="2"/>
  <c r="Y2161" i="2"/>
  <c r="Y2162" i="2"/>
  <c r="Y2163" i="2"/>
  <c r="Y2164" i="2"/>
  <c r="Y2165" i="2"/>
  <c r="Y2166" i="2"/>
  <c r="Y2167" i="2"/>
  <c r="Y2168" i="2"/>
  <c r="Y2169" i="2"/>
  <c r="Y2170" i="2"/>
  <c r="Y2171" i="2"/>
  <c r="Y2172" i="2"/>
  <c r="Y2173" i="2"/>
  <c r="Y2174" i="2"/>
  <c r="Y2175" i="2"/>
  <c r="Y2176" i="2"/>
  <c r="Y2177" i="2"/>
  <c r="Y2178" i="2"/>
  <c r="Y2179" i="2"/>
  <c r="Y2180" i="2"/>
  <c r="Y2181" i="2"/>
  <c r="Y2182" i="2"/>
  <c r="Y2183" i="2"/>
  <c r="Y2184" i="2"/>
  <c r="Y2185" i="2"/>
  <c r="Y2186" i="2"/>
  <c r="Y2187" i="2"/>
  <c r="Y2188" i="2"/>
  <c r="Y2189" i="2"/>
  <c r="Y2190" i="2"/>
  <c r="Y2191" i="2"/>
  <c r="Y2192" i="2"/>
  <c r="Y2193" i="2"/>
  <c r="Y2194" i="2"/>
  <c r="Y2195" i="2"/>
  <c r="Y2196" i="2"/>
  <c r="Y2197" i="2"/>
  <c r="Y2198" i="2"/>
  <c r="Y2199" i="2"/>
  <c r="Y2200" i="2"/>
  <c r="Y2201" i="2"/>
  <c r="Y2202" i="2"/>
  <c r="Y2203" i="2"/>
  <c r="Y2204" i="2"/>
  <c r="Y2205" i="2"/>
  <c r="Y2206" i="2"/>
  <c r="Y2207" i="2"/>
  <c r="Y2208" i="2"/>
  <c r="Y2209" i="2"/>
  <c r="Y2210" i="2"/>
  <c r="Y2211" i="2"/>
  <c r="Y2212" i="2"/>
  <c r="Y2213" i="2"/>
  <c r="Y2214" i="2"/>
  <c r="Y2215" i="2"/>
  <c r="Y2216" i="2"/>
  <c r="Y2217" i="2"/>
  <c r="Y2218" i="2"/>
  <c r="Y2219" i="2"/>
  <c r="Y2220" i="2"/>
  <c r="Y2221" i="2"/>
  <c r="Y2222" i="2"/>
  <c r="Y2223" i="2"/>
  <c r="Y2224" i="2"/>
  <c r="Y2225" i="2"/>
  <c r="Y2226" i="2"/>
  <c r="Y2227" i="2"/>
  <c r="Y2228" i="2"/>
  <c r="Y2229" i="2"/>
  <c r="Y2230" i="2"/>
  <c r="Y2231" i="2"/>
  <c r="Y2232" i="2"/>
  <c r="Y2233" i="2"/>
  <c r="Y2234" i="2"/>
  <c r="Y2235" i="2"/>
  <c r="Y2236" i="2"/>
  <c r="Y2237" i="2"/>
  <c r="Y2238" i="2"/>
  <c r="Y2239" i="2"/>
  <c r="Y2240" i="2"/>
  <c r="Y2241" i="2"/>
  <c r="Y2242" i="2"/>
  <c r="Y2243" i="2"/>
  <c r="Y2244" i="2"/>
  <c r="Y2245" i="2"/>
  <c r="Y2246" i="2"/>
  <c r="Y2247" i="2"/>
  <c r="Y2248" i="2"/>
  <c r="Y2249" i="2"/>
  <c r="Y2250" i="2"/>
  <c r="Y2251" i="2"/>
  <c r="Y2252" i="2"/>
  <c r="Y2253" i="2"/>
  <c r="Y2254" i="2"/>
  <c r="Y2255" i="2"/>
  <c r="Y2256" i="2"/>
  <c r="Y2257" i="2"/>
  <c r="Y2258" i="2"/>
  <c r="Y2259" i="2"/>
  <c r="Y2260" i="2"/>
  <c r="Y2261" i="2"/>
  <c r="Y2262" i="2"/>
  <c r="Y2263" i="2"/>
  <c r="Y2264" i="2"/>
  <c r="Y2265" i="2"/>
  <c r="Y2266" i="2"/>
  <c r="Y2267" i="2"/>
  <c r="Y2268" i="2"/>
  <c r="Y2269" i="2"/>
  <c r="Y2270" i="2"/>
  <c r="Y2271" i="2"/>
  <c r="Y2272" i="2"/>
  <c r="Y2273" i="2"/>
  <c r="Y2274" i="2"/>
  <c r="Y2275" i="2"/>
  <c r="Y2276" i="2"/>
  <c r="Y2277" i="2"/>
  <c r="Y2278" i="2"/>
  <c r="Y2279" i="2"/>
  <c r="Y2280" i="2"/>
  <c r="Y2281" i="2"/>
  <c r="Y2282" i="2"/>
  <c r="Y2283" i="2"/>
  <c r="Y2284" i="2"/>
  <c r="Y2285" i="2"/>
  <c r="Y2286" i="2"/>
  <c r="Y2287" i="2"/>
  <c r="Y2288" i="2"/>
  <c r="Y2289" i="2"/>
  <c r="Y2290" i="2"/>
  <c r="Y2291" i="2"/>
  <c r="Y2292" i="2"/>
  <c r="Y2293" i="2"/>
  <c r="Y2294" i="2"/>
  <c r="Y2295" i="2"/>
  <c r="Y2296" i="2"/>
  <c r="Y2297" i="2"/>
  <c r="Y2298" i="2"/>
  <c r="Y2299" i="2"/>
  <c r="Y2300" i="2"/>
  <c r="Y2301" i="2"/>
  <c r="Y2302" i="2"/>
  <c r="Y2303" i="2"/>
  <c r="Y2304" i="2"/>
  <c r="Y2305" i="2"/>
  <c r="Y2306" i="2"/>
  <c r="Y2307" i="2"/>
  <c r="Y2308" i="2"/>
  <c r="Y2309" i="2"/>
  <c r="Y2310" i="2"/>
  <c r="Y2311" i="2"/>
  <c r="Y2312" i="2"/>
  <c r="Y2313" i="2"/>
  <c r="Y2314" i="2"/>
  <c r="Y2315" i="2"/>
  <c r="Y2316" i="2"/>
  <c r="Y2317" i="2"/>
  <c r="Y2318" i="2"/>
  <c r="Y2319" i="2"/>
  <c r="Y2320" i="2"/>
  <c r="Y2321" i="2"/>
  <c r="Y2322" i="2"/>
  <c r="Y2323" i="2"/>
  <c r="Y2324" i="2"/>
  <c r="Y2325" i="2"/>
  <c r="Y2326" i="2"/>
  <c r="Y2327" i="2"/>
  <c r="Y2328" i="2"/>
  <c r="Y2329" i="2"/>
  <c r="Y2330" i="2"/>
  <c r="Y2331" i="2"/>
  <c r="Y2332" i="2"/>
  <c r="Y2333" i="2"/>
  <c r="Y2334" i="2"/>
  <c r="Y2335" i="2"/>
  <c r="Y2336" i="2"/>
  <c r="Y2337" i="2"/>
  <c r="Y2338" i="2"/>
  <c r="Y2339" i="2"/>
  <c r="Y2340" i="2"/>
  <c r="Y2341" i="2"/>
  <c r="Y2342" i="2"/>
  <c r="Y2343" i="2"/>
  <c r="Y2344" i="2"/>
  <c r="Y2345" i="2"/>
  <c r="Y2346" i="2"/>
  <c r="Y2347" i="2"/>
  <c r="Y2348" i="2"/>
  <c r="Y2349" i="2"/>
  <c r="Y2350" i="2"/>
  <c r="Y2351" i="2"/>
  <c r="Y2352" i="2"/>
  <c r="Y2353" i="2"/>
  <c r="Y2354" i="2"/>
  <c r="Y2355" i="2"/>
  <c r="Y2356" i="2"/>
  <c r="Y2357" i="2"/>
  <c r="Y2358" i="2"/>
  <c r="Y2359" i="2"/>
  <c r="Y2360" i="2"/>
  <c r="Y2361" i="2"/>
  <c r="Y2362" i="2"/>
  <c r="Y2363" i="2"/>
  <c r="Y2364" i="2"/>
  <c r="Y2365" i="2"/>
  <c r="Y2366" i="2"/>
  <c r="Y2367" i="2"/>
  <c r="Y2368" i="2"/>
  <c r="Y2369" i="2"/>
  <c r="Y2370" i="2"/>
  <c r="Y2371" i="2"/>
  <c r="Y2372" i="2"/>
  <c r="Y2373" i="2"/>
  <c r="Y2374" i="2"/>
  <c r="Y2375" i="2"/>
  <c r="Y2376" i="2"/>
  <c r="Y2377" i="2"/>
  <c r="Y2378" i="2"/>
  <c r="Y2379" i="2"/>
  <c r="Y2380" i="2"/>
  <c r="Y2381" i="2"/>
  <c r="Y2382" i="2"/>
  <c r="Y2383" i="2"/>
  <c r="Y2384" i="2"/>
  <c r="Y2385" i="2"/>
  <c r="Y2386" i="2"/>
  <c r="Y2387" i="2"/>
  <c r="Y2388" i="2"/>
  <c r="Y2389" i="2"/>
  <c r="Y2390" i="2"/>
  <c r="Y2391" i="2"/>
  <c r="Y2392" i="2"/>
  <c r="Y2393" i="2"/>
  <c r="Y2394" i="2"/>
  <c r="Y2395" i="2"/>
  <c r="Y2396" i="2"/>
  <c r="Y2397" i="2"/>
  <c r="Y2398" i="2"/>
  <c r="Y2399" i="2"/>
  <c r="Y2400" i="2"/>
  <c r="Y2401" i="2"/>
  <c r="Y2402" i="2"/>
  <c r="Y2403" i="2"/>
  <c r="Y2404" i="2"/>
  <c r="Y2405" i="2"/>
  <c r="Y2406" i="2"/>
  <c r="Y2407" i="2"/>
  <c r="Y2408" i="2"/>
  <c r="Y2409" i="2"/>
  <c r="Y2410" i="2"/>
  <c r="Y2411" i="2"/>
  <c r="Y2412" i="2"/>
  <c r="Y2413" i="2"/>
  <c r="Y2414" i="2"/>
  <c r="Y2415" i="2"/>
  <c r="Y2416" i="2"/>
  <c r="Y2417" i="2"/>
  <c r="Y2418" i="2"/>
  <c r="Y2419" i="2"/>
  <c r="Y2420" i="2"/>
  <c r="Y2421" i="2"/>
  <c r="Y2422" i="2"/>
  <c r="Y2423" i="2"/>
  <c r="Y2424" i="2"/>
  <c r="Y2425" i="2"/>
  <c r="Y2426" i="2"/>
  <c r="Y2427" i="2"/>
  <c r="Y2428" i="2"/>
  <c r="Y2429" i="2"/>
  <c r="Y2430" i="2"/>
  <c r="Y2431" i="2"/>
  <c r="Y2432" i="2"/>
  <c r="Y2433" i="2"/>
  <c r="Y2434" i="2"/>
  <c r="Y2435" i="2"/>
  <c r="Y2436" i="2"/>
  <c r="Y2437" i="2"/>
  <c r="Y2438" i="2"/>
  <c r="Y2439" i="2"/>
  <c r="Y2440" i="2"/>
  <c r="Y244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Z1274" i="2"/>
  <c r="Z1275" i="2"/>
  <c r="Z1276" i="2"/>
  <c r="Z1277" i="2"/>
  <c r="Z1278" i="2"/>
  <c r="Z1279" i="2"/>
  <c r="Z1280" i="2"/>
  <c r="Z1281" i="2"/>
  <c r="Z1282" i="2"/>
  <c r="Z1283" i="2"/>
  <c r="Z1284" i="2"/>
  <c r="Z1285" i="2"/>
  <c r="Z1286" i="2"/>
  <c r="Z1287" i="2"/>
  <c r="Z1288" i="2"/>
  <c r="Z1289" i="2"/>
  <c r="Z1290" i="2"/>
  <c r="Z1291" i="2"/>
  <c r="Z1292" i="2"/>
  <c r="Z1293" i="2"/>
  <c r="Z1294" i="2"/>
  <c r="Z1295" i="2"/>
  <c r="Z1296" i="2"/>
  <c r="Z1297" i="2"/>
  <c r="Z1298" i="2"/>
  <c r="Z1299" i="2"/>
  <c r="Z1300" i="2"/>
  <c r="Z1301" i="2"/>
  <c r="Z1302" i="2"/>
  <c r="Z1303" i="2"/>
  <c r="Z1304" i="2"/>
  <c r="Z1305" i="2"/>
  <c r="Z1306" i="2"/>
  <c r="Z1307" i="2"/>
  <c r="Z1308" i="2"/>
  <c r="Z1309" i="2"/>
  <c r="Z1310" i="2"/>
  <c r="Z1311" i="2"/>
  <c r="Z1312" i="2"/>
  <c r="Z1313" i="2"/>
  <c r="Z1314" i="2"/>
  <c r="Z1315" i="2"/>
  <c r="Z1316" i="2"/>
  <c r="Z1317" i="2"/>
  <c r="Z1318" i="2"/>
  <c r="Z1319" i="2"/>
  <c r="Z1320" i="2"/>
  <c r="Z1321" i="2"/>
  <c r="Z1322" i="2"/>
  <c r="Z1323" i="2"/>
  <c r="Z1324" i="2"/>
  <c r="Z1325" i="2"/>
  <c r="Z1326" i="2"/>
  <c r="Z1327" i="2"/>
  <c r="Z1328" i="2"/>
  <c r="Z1329" i="2"/>
  <c r="Z1330" i="2"/>
  <c r="Z1331" i="2"/>
  <c r="Z1332" i="2"/>
  <c r="Z1333" i="2"/>
  <c r="Z1334" i="2"/>
  <c r="Z1335" i="2"/>
  <c r="Z1336" i="2"/>
  <c r="Z1337" i="2"/>
  <c r="Z1338" i="2"/>
  <c r="Z1339" i="2"/>
  <c r="Z1340" i="2"/>
  <c r="Z1341" i="2"/>
  <c r="Z1342" i="2"/>
  <c r="Z1343" i="2"/>
  <c r="Z1344" i="2"/>
  <c r="Z1345" i="2"/>
  <c r="Z1346" i="2"/>
  <c r="Z1347" i="2"/>
  <c r="Z1348" i="2"/>
  <c r="Z1349" i="2"/>
  <c r="Z1350" i="2"/>
  <c r="Z1351" i="2"/>
  <c r="Z1352" i="2"/>
  <c r="Z1353" i="2"/>
  <c r="Z1354" i="2"/>
  <c r="Z1355" i="2"/>
  <c r="Z1356" i="2"/>
  <c r="Z1357" i="2"/>
  <c r="Z1358" i="2"/>
  <c r="Z1359" i="2"/>
  <c r="Z1360" i="2"/>
  <c r="Z1361" i="2"/>
  <c r="Z1362" i="2"/>
  <c r="Z1363" i="2"/>
  <c r="Z1364" i="2"/>
  <c r="Z1365" i="2"/>
  <c r="Z1366" i="2"/>
  <c r="Z1367" i="2"/>
  <c r="Z1368" i="2"/>
  <c r="Z1369" i="2"/>
  <c r="Z1370" i="2"/>
  <c r="Z1371" i="2"/>
  <c r="Z1372" i="2"/>
  <c r="Z1373" i="2"/>
  <c r="Z1374" i="2"/>
  <c r="Z1375" i="2"/>
  <c r="Z1376" i="2"/>
  <c r="Z1377" i="2"/>
  <c r="Z1378" i="2"/>
  <c r="Z1379" i="2"/>
  <c r="Z1380" i="2"/>
  <c r="Z1381" i="2"/>
  <c r="Z1382" i="2"/>
  <c r="Z1383" i="2"/>
  <c r="Z1384" i="2"/>
  <c r="Z1385" i="2"/>
  <c r="Z1386" i="2"/>
  <c r="Z1387" i="2"/>
  <c r="Z1388" i="2"/>
  <c r="Z1389" i="2"/>
  <c r="Z1390" i="2"/>
  <c r="Z1391" i="2"/>
  <c r="Z1392" i="2"/>
  <c r="Z1393" i="2"/>
  <c r="Z1394" i="2"/>
  <c r="Z1395" i="2"/>
  <c r="Z1396" i="2"/>
  <c r="Z1397" i="2"/>
  <c r="Z1398" i="2"/>
  <c r="Z1399" i="2"/>
  <c r="Z1400" i="2"/>
  <c r="Z1401" i="2"/>
  <c r="Z1402" i="2"/>
  <c r="Z1403" i="2"/>
  <c r="Z1404" i="2"/>
  <c r="Z1405" i="2"/>
  <c r="Z1406" i="2"/>
  <c r="Z1407" i="2"/>
  <c r="Z1408" i="2"/>
  <c r="Z1409" i="2"/>
  <c r="Z1410" i="2"/>
  <c r="Z1411" i="2"/>
  <c r="Z1412" i="2"/>
  <c r="Z1413" i="2"/>
  <c r="Z1414" i="2"/>
  <c r="Z1415" i="2"/>
  <c r="Z1416" i="2"/>
  <c r="Z1417" i="2"/>
  <c r="Z1418" i="2"/>
  <c r="Z1419" i="2"/>
  <c r="Z1420" i="2"/>
  <c r="Z1421" i="2"/>
  <c r="Z1422" i="2"/>
  <c r="Z1423" i="2"/>
  <c r="Z1424" i="2"/>
  <c r="Z1425" i="2"/>
  <c r="Z1426" i="2"/>
  <c r="Z1427" i="2"/>
  <c r="Z1428" i="2"/>
  <c r="Z1429" i="2"/>
  <c r="Z1430" i="2"/>
  <c r="Z1431" i="2"/>
  <c r="Z1432" i="2"/>
  <c r="Z1433" i="2"/>
  <c r="Z1434" i="2"/>
  <c r="Z1435" i="2"/>
  <c r="Z1436" i="2"/>
  <c r="Z1437" i="2"/>
  <c r="Z1438" i="2"/>
  <c r="Z1439" i="2"/>
  <c r="Z1440" i="2"/>
  <c r="Z1441" i="2"/>
  <c r="Z1442" i="2"/>
  <c r="Z1443" i="2"/>
  <c r="Z1444" i="2"/>
  <c r="Z1445" i="2"/>
  <c r="Z1446" i="2"/>
  <c r="Z1447" i="2"/>
  <c r="Z1448" i="2"/>
  <c r="Z1449" i="2"/>
  <c r="Z1450" i="2"/>
  <c r="Z1451" i="2"/>
  <c r="Z1452" i="2"/>
  <c r="Z1453" i="2"/>
  <c r="Z1454" i="2"/>
  <c r="Z1455" i="2"/>
  <c r="Z1456" i="2"/>
  <c r="Z1457" i="2"/>
  <c r="Z1458" i="2"/>
  <c r="Z1459" i="2"/>
  <c r="Z1460" i="2"/>
  <c r="Z1461" i="2"/>
  <c r="Z1462" i="2"/>
  <c r="Z1463" i="2"/>
  <c r="Z1464" i="2"/>
  <c r="Z1465" i="2"/>
  <c r="Z1466" i="2"/>
  <c r="Z1467" i="2"/>
  <c r="Z1468" i="2"/>
  <c r="Z1469" i="2"/>
  <c r="Z1470" i="2"/>
  <c r="Z1471" i="2"/>
  <c r="Z1472" i="2"/>
  <c r="Z1473" i="2"/>
  <c r="Z1474" i="2"/>
  <c r="Z1475" i="2"/>
  <c r="Z1476" i="2"/>
  <c r="Z1477" i="2"/>
  <c r="Z1478" i="2"/>
  <c r="Z1479" i="2"/>
  <c r="Z1480" i="2"/>
  <c r="Z1481" i="2"/>
  <c r="Z1482" i="2"/>
  <c r="Z1483" i="2"/>
  <c r="Z1484" i="2"/>
  <c r="Z1485" i="2"/>
  <c r="Z1486" i="2"/>
  <c r="Z1487" i="2"/>
  <c r="Z1488" i="2"/>
  <c r="Z1489" i="2"/>
  <c r="Z1490" i="2"/>
  <c r="Z1491" i="2"/>
  <c r="Z1492" i="2"/>
  <c r="Z1493" i="2"/>
  <c r="Z1494" i="2"/>
  <c r="Z1495" i="2"/>
  <c r="Z1496" i="2"/>
  <c r="Z1497" i="2"/>
  <c r="Z1498" i="2"/>
  <c r="Z1499" i="2"/>
  <c r="Z1500" i="2"/>
  <c r="Z1501" i="2"/>
  <c r="Z1502" i="2"/>
  <c r="Z1503" i="2"/>
  <c r="Z1504" i="2"/>
  <c r="Z1505" i="2"/>
  <c r="Z1506" i="2"/>
  <c r="Z1507" i="2"/>
  <c r="Z1508" i="2"/>
  <c r="Z1509" i="2"/>
  <c r="Z1510" i="2"/>
  <c r="Z1511" i="2"/>
  <c r="Z1512" i="2"/>
  <c r="Z1513" i="2"/>
  <c r="Z1514" i="2"/>
  <c r="Z1515" i="2"/>
  <c r="Z1516" i="2"/>
  <c r="Z1517" i="2"/>
  <c r="Z1518" i="2"/>
  <c r="Z1519" i="2"/>
  <c r="Z1520" i="2"/>
  <c r="Z1521" i="2"/>
  <c r="Z1522" i="2"/>
  <c r="Z1523" i="2"/>
  <c r="Z1524" i="2"/>
  <c r="Z1525" i="2"/>
  <c r="Z1526" i="2"/>
  <c r="Z1527" i="2"/>
  <c r="Z1528" i="2"/>
  <c r="Z1529" i="2"/>
  <c r="Z1530" i="2"/>
  <c r="Z1531" i="2"/>
  <c r="Z1532" i="2"/>
  <c r="Z1533" i="2"/>
  <c r="Z1534" i="2"/>
  <c r="Z1535" i="2"/>
  <c r="Z1536" i="2"/>
  <c r="Z1537" i="2"/>
  <c r="Z1538" i="2"/>
  <c r="Z1539" i="2"/>
  <c r="Z1540" i="2"/>
  <c r="Z1541" i="2"/>
  <c r="Z1542" i="2"/>
  <c r="Z1543" i="2"/>
  <c r="Z1544" i="2"/>
  <c r="Z1545" i="2"/>
  <c r="Z1546" i="2"/>
  <c r="Z1547" i="2"/>
  <c r="Z1548" i="2"/>
  <c r="Z1549" i="2"/>
  <c r="Z1550" i="2"/>
  <c r="Z1551" i="2"/>
  <c r="Z1552" i="2"/>
  <c r="Z1553" i="2"/>
  <c r="Z1554" i="2"/>
  <c r="Z1555" i="2"/>
  <c r="Z1556" i="2"/>
  <c r="Z1557" i="2"/>
  <c r="Z1558" i="2"/>
  <c r="Z1559" i="2"/>
  <c r="Z1560" i="2"/>
  <c r="Z1561" i="2"/>
  <c r="Z1562" i="2"/>
  <c r="Z1563" i="2"/>
  <c r="Z1564" i="2"/>
  <c r="Z1565" i="2"/>
  <c r="Z1566" i="2"/>
  <c r="Z1567" i="2"/>
  <c r="Z1568" i="2"/>
  <c r="Z1569" i="2"/>
  <c r="Z1570" i="2"/>
  <c r="Z1571" i="2"/>
  <c r="Z1572" i="2"/>
  <c r="Z1573" i="2"/>
  <c r="Z1574" i="2"/>
  <c r="Z1575" i="2"/>
  <c r="Z1576" i="2"/>
  <c r="Z1577" i="2"/>
  <c r="Z1578" i="2"/>
  <c r="Z1579" i="2"/>
  <c r="Z1580" i="2"/>
  <c r="Z1581" i="2"/>
  <c r="Z1582" i="2"/>
  <c r="Z1583" i="2"/>
  <c r="Z1584" i="2"/>
  <c r="Z1585" i="2"/>
  <c r="Z1586" i="2"/>
  <c r="Z1587" i="2"/>
  <c r="Z1588" i="2"/>
  <c r="Z1589" i="2"/>
  <c r="Z1590" i="2"/>
  <c r="Z1591" i="2"/>
  <c r="Z1592" i="2"/>
  <c r="Z1593" i="2"/>
  <c r="Z1594" i="2"/>
  <c r="Z1595" i="2"/>
  <c r="Z1596" i="2"/>
  <c r="Z1597" i="2"/>
  <c r="Z1598" i="2"/>
  <c r="Z1599" i="2"/>
  <c r="Z1600" i="2"/>
  <c r="Z1601" i="2"/>
  <c r="Z1602" i="2"/>
  <c r="Z1603" i="2"/>
  <c r="Z1604" i="2"/>
  <c r="Z1605" i="2"/>
  <c r="Z1606" i="2"/>
  <c r="Z1607" i="2"/>
  <c r="Z1608" i="2"/>
  <c r="Z1609" i="2"/>
  <c r="Z1610" i="2"/>
  <c r="Z1611" i="2"/>
  <c r="Z1612" i="2"/>
  <c r="Z1613" i="2"/>
  <c r="Z1614" i="2"/>
  <c r="Z1615" i="2"/>
  <c r="Z1616" i="2"/>
  <c r="Z1617" i="2"/>
  <c r="Z1618" i="2"/>
  <c r="Z1619" i="2"/>
  <c r="Z1620" i="2"/>
  <c r="Z1621" i="2"/>
  <c r="Z1622" i="2"/>
  <c r="Z1623" i="2"/>
  <c r="Z1624" i="2"/>
  <c r="Z1625" i="2"/>
  <c r="Z1626" i="2"/>
  <c r="Z1627" i="2"/>
  <c r="Z1628" i="2"/>
  <c r="Z1629" i="2"/>
  <c r="Z1630" i="2"/>
  <c r="Z1631" i="2"/>
  <c r="Z1632" i="2"/>
  <c r="Z1633" i="2"/>
  <c r="Z1634" i="2"/>
  <c r="Z1635" i="2"/>
  <c r="Z1636" i="2"/>
  <c r="Z1637" i="2"/>
  <c r="Z1638" i="2"/>
  <c r="Z1639" i="2"/>
  <c r="Z1640" i="2"/>
  <c r="Z1641" i="2"/>
  <c r="Z1642" i="2"/>
  <c r="Z1643" i="2"/>
  <c r="Z1644" i="2"/>
  <c r="Z1645" i="2"/>
  <c r="Z1646" i="2"/>
  <c r="Z1647" i="2"/>
  <c r="Z1648" i="2"/>
  <c r="Z1649" i="2"/>
  <c r="Z1650" i="2"/>
  <c r="Z1651" i="2"/>
  <c r="Z1652" i="2"/>
  <c r="Z1653" i="2"/>
  <c r="Z1654" i="2"/>
  <c r="Z1655" i="2"/>
  <c r="Z1656" i="2"/>
  <c r="Z1657" i="2"/>
  <c r="Z1658" i="2"/>
  <c r="Z1659" i="2"/>
  <c r="Z1660" i="2"/>
  <c r="Z1661" i="2"/>
  <c r="Z1662" i="2"/>
  <c r="Z1663" i="2"/>
  <c r="Z1664" i="2"/>
  <c r="Z1665" i="2"/>
  <c r="Z1666" i="2"/>
  <c r="Z1667" i="2"/>
  <c r="Z1668" i="2"/>
  <c r="Z1669" i="2"/>
  <c r="Z1670" i="2"/>
  <c r="Z1671" i="2"/>
  <c r="Z1672" i="2"/>
  <c r="Z1673" i="2"/>
  <c r="Z1674" i="2"/>
  <c r="Z1675" i="2"/>
  <c r="Z1676" i="2"/>
  <c r="Z1677" i="2"/>
  <c r="Z1678" i="2"/>
  <c r="Z1679" i="2"/>
  <c r="Z1680" i="2"/>
  <c r="Z1681" i="2"/>
  <c r="Z1682" i="2"/>
  <c r="Z1683" i="2"/>
  <c r="Z1684" i="2"/>
  <c r="Z1685" i="2"/>
  <c r="Z1686" i="2"/>
  <c r="Z1687" i="2"/>
  <c r="Z1688" i="2"/>
  <c r="Z1689" i="2"/>
  <c r="Z1690" i="2"/>
  <c r="Z1691" i="2"/>
  <c r="Z1692" i="2"/>
  <c r="Z1693" i="2"/>
  <c r="Z1694" i="2"/>
  <c r="Z1695" i="2"/>
  <c r="Z1696" i="2"/>
  <c r="Z1697" i="2"/>
  <c r="Z1698" i="2"/>
  <c r="Z1699" i="2"/>
  <c r="Z1700" i="2"/>
  <c r="Z1701" i="2"/>
  <c r="Z1702" i="2"/>
  <c r="Z1703" i="2"/>
  <c r="Z1704" i="2"/>
  <c r="Z1705" i="2"/>
  <c r="Z1706" i="2"/>
  <c r="Z1707" i="2"/>
  <c r="Z1708" i="2"/>
  <c r="Z1709" i="2"/>
  <c r="Z1710" i="2"/>
  <c r="Z1711" i="2"/>
  <c r="Z1712" i="2"/>
  <c r="Z1713" i="2"/>
  <c r="Z1714" i="2"/>
  <c r="Z1715" i="2"/>
  <c r="Z1716" i="2"/>
  <c r="Z1717" i="2"/>
  <c r="Z1718" i="2"/>
  <c r="Z1719" i="2"/>
  <c r="Z1720" i="2"/>
  <c r="Z1721" i="2"/>
  <c r="Z1722" i="2"/>
  <c r="Z1723" i="2"/>
  <c r="Z1724" i="2"/>
  <c r="Z1725" i="2"/>
  <c r="Z1726" i="2"/>
  <c r="Z1727" i="2"/>
  <c r="Z1728" i="2"/>
  <c r="Z1729" i="2"/>
  <c r="Z1730" i="2"/>
  <c r="Z1731" i="2"/>
  <c r="Z1732" i="2"/>
  <c r="Z1733" i="2"/>
  <c r="Z1734" i="2"/>
  <c r="Z1735" i="2"/>
  <c r="Z1736" i="2"/>
  <c r="Z1737" i="2"/>
  <c r="Z1738" i="2"/>
  <c r="Z1739" i="2"/>
  <c r="Z1740" i="2"/>
  <c r="Z1741" i="2"/>
  <c r="Z1742" i="2"/>
  <c r="Z1743" i="2"/>
  <c r="Z1744" i="2"/>
  <c r="Z1745" i="2"/>
  <c r="Z1746" i="2"/>
  <c r="Z1747" i="2"/>
  <c r="Z1748" i="2"/>
  <c r="Z1749" i="2"/>
  <c r="Z1750" i="2"/>
  <c r="Z1751" i="2"/>
  <c r="Z1752" i="2"/>
  <c r="Z1753" i="2"/>
  <c r="Z1754" i="2"/>
  <c r="Z1755" i="2"/>
  <c r="Z1756" i="2"/>
  <c r="Z1757" i="2"/>
  <c r="Z1758" i="2"/>
  <c r="Z1759" i="2"/>
  <c r="Z1760" i="2"/>
  <c r="Z1761" i="2"/>
  <c r="Z1762" i="2"/>
  <c r="Z1763" i="2"/>
  <c r="Z1764" i="2"/>
  <c r="Z1765" i="2"/>
  <c r="Z1766" i="2"/>
  <c r="Z1767" i="2"/>
  <c r="Z1768" i="2"/>
  <c r="Z1769" i="2"/>
  <c r="Z1770" i="2"/>
  <c r="Z1771" i="2"/>
  <c r="Z1772" i="2"/>
  <c r="Z1773" i="2"/>
  <c r="Z1774" i="2"/>
  <c r="Z1775" i="2"/>
  <c r="Z1776" i="2"/>
  <c r="Z1777" i="2"/>
  <c r="Z1778" i="2"/>
  <c r="Z1779" i="2"/>
  <c r="Z1780" i="2"/>
  <c r="Z1781" i="2"/>
  <c r="Z1782" i="2"/>
  <c r="Z1783" i="2"/>
  <c r="Z1784" i="2"/>
  <c r="Z1785" i="2"/>
  <c r="Z1786" i="2"/>
  <c r="Z1787" i="2"/>
  <c r="Z1788" i="2"/>
  <c r="Z1789" i="2"/>
  <c r="Z1790" i="2"/>
  <c r="Z1791" i="2"/>
  <c r="Z1792" i="2"/>
  <c r="Z1793" i="2"/>
  <c r="Z1794" i="2"/>
  <c r="Z1795" i="2"/>
  <c r="Z1796" i="2"/>
  <c r="Z1797" i="2"/>
  <c r="Z1798" i="2"/>
  <c r="Z1799" i="2"/>
  <c r="Z1800" i="2"/>
  <c r="Z1801" i="2"/>
  <c r="Z1802" i="2"/>
  <c r="Z1803" i="2"/>
  <c r="Z1804" i="2"/>
  <c r="Z1805" i="2"/>
  <c r="Z1806" i="2"/>
  <c r="Z1807" i="2"/>
  <c r="Z1808" i="2"/>
  <c r="Z1809" i="2"/>
  <c r="Z1810" i="2"/>
  <c r="Z1811" i="2"/>
  <c r="Z1812" i="2"/>
  <c r="Z1813" i="2"/>
  <c r="Z1814" i="2"/>
  <c r="Z1815" i="2"/>
  <c r="Z1816" i="2"/>
  <c r="Z1817" i="2"/>
  <c r="Z1818" i="2"/>
  <c r="Z1819" i="2"/>
  <c r="Z1820" i="2"/>
  <c r="Z1821" i="2"/>
  <c r="Z1822" i="2"/>
  <c r="Z1823" i="2"/>
  <c r="Z1824" i="2"/>
  <c r="Z1825" i="2"/>
  <c r="Z1826" i="2"/>
  <c r="Z1827" i="2"/>
  <c r="Z1828" i="2"/>
  <c r="Z1829" i="2"/>
  <c r="Z1830" i="2"/>
  <c r="Z1831" i="2"/>
  <c r="Z1832" i="2"/>
  <c r="Z1833" i="2"/>
  <c r="Z1834" i="2"/>
  <c r="Z1835" i="2"/>
  <c r="Z1836" i="2"/>
  <c r="Z1837" i="2"/>
  <c r="Z1838" i="2"/>
  <c r="Z1839" i="2"/>
  <c r="Z1840" i="2"/>
  <c r="Z1841" i="2"/>
  <c r="Z1842" i="2"/>
  <c r="Z1843" i="2"/>
  <c r="Z1844" i="2"/>
  <c r="Z1845" i="2"/>
  <c r="Z1846" i="2"/>
  <c r="Z1847" i="2"/>
  <c r="Z1848" i="2"/>
  <c r="Z1849" i="2"/>
  <c r="Z1850" i="2"/>
  <c r="Z1851" i="2"/>
  <c r="Z1852" i="2"/>
  <c r="Z1853" i="2"/>
  <c r="Z1854" i="2"/>
  <c r="Z1855" i="2"/>
  <c r="Z1856" i="2"/>
  <c r="Z1857" i="2"/>
  <c r="Z1858" i="2"/>
  <c r="Z1859" i="2"/>
  <c r="Z1860" i="2"/>
  <c r="Z1861" i="2"/>
  <c r="Z1862" i="2"/>
  <c r="Z1863" i="2"/>
  <c r="Z1864" i="2"/>
  <c r="Z1865" i="2"/>
  <c r="Z1866" i="2"/>
  <c r="Z1867" i="2"/>
  <c r="Z1868" i="2"/>
  <c r="Z1869" i="2"/>
  <c r="Z1870" i="2"/>
  <c r="Z1871" i="2"/>
  <c r="Z1872" i="2"/>
  <c r="Z1873" i="2"/>
  <c r="Z1874" i="2"/>
  <c r="Z1875" i="2"/>
  <c r="Z1876" i="2"/>
  <c r="Z1877" i="2"/>
  <c r="Z1878" i="2"/>
  <c r="Z1879" i="2"/>
  <c r="Z1880" i="2"/>
  <c r="Z1881" i="2"/>
  <c r="Z1882" i="2"/>
  <c r="Z1883" i="2"/>
  <c r="Z1884" i="2"/>
  <c r="Z1885" i="2"/>
  <c r="Z1886" i="2"/>
  <c r="Z1887" i="2"/>
  <c r="Z1888" i="2"/>
  <c r="Z1889" i="2"/>
  <c r="Z1890" i="2"/>
  <c r="Z1891" i="2"/>
  <c r="Z1892" i="2"/>
  <c r="Z1893" i="2"/>
  <c r="Z1894" i="2"/>
  <c r="Z1895" i="2"/>
  <c r="Z1896" i="2"/>
  <c r="Z1897" i="2"/>
  <c r="Z1898" i="2"/>
  <c r="Z1899" i="2"/>
  <c r="Z1900" i="2"/>
  <c r="Z1901" i="2"/>
  <c r="Z1902" i="2"/>
  <c r="Z1903" i="2"/>
  <c r="Z1904" i="2"/>
  <c r="Z1905" i="2"/>
  <c r="Z1906" i="2"/>
  <c r="Z1907" i="2"/>
  <c r="Z1908" i="2"/>
  <c r="Z1909" i="2"/>
  <c r="Z1910" i="2"/>
  <c r="Z1911" i="2"/>
  <c r="Z1912" i="2"/>
  <c r="Z1913" i="2"/>
  <c r="Z1914" i="2"/>
  <c r="Z1915" i="2"/>
  <c r="Z1916" i="2"/>
  <c r="Z1917" i="2"/>
  <c r="Z1918" i="2"/>
  <c r="Z1919" i="2"/>
  <c r="Z1920" i="2"/>
  <c r="Z1921" i="2"/>
  <c r="Z1922" i="2"/>
  <c r="Z1923" i="2"/>
  <c r="Z1924" i="2"/>
  <c r="Z1925" i="2"/>
  <c r="Z1926" i="2"/>
  <c r="Z1927" i="2"/>
  <c r="Z1928" i="2"/>
  <c r="Z1929" i="2"/>
  <c r="Z1930" i="2"/>
  <c r="Z1931" i="2"/>
  <c r="Z1932" i="2"/>
  <c r="Z1933" i="2"/>
  <c r="Z1934" i="2"/>
  <c r="Z1935" i="2"/>
  <c r="Z1936" i="2"/>
  <c r="Z1937" i="2"/>
  <c r="Z1938" i="2"/>
  <c r="Z1939" i="2"/>
  <c r="Z1940" i="2"/>
  <c r="Z1941" i="2"/>
  <c r="Z1942" i="2"/>
  <c r="Z1943" i="2"/>
  <c r="Z1944" i="2"/>
  <c r="Z1945" i="2"/>
  <c r="Z1946" i="2"/>
  <c r="Z1947" i="2"/>
  <c r="Z1948" i="2"/>
  <c r="Z1949" i="2"/>
  <c r="Z1950" i="2"/>
  <c r="Z1951" i="2"/>
  <c r="Z1952" i="2"/>
  <c r="Z1953" i="2"/>
  <c r="Z1954" i="2"/>
  <c r="Z1955" i="2"/>
  <c r="Z1956" i="2"/>
  <c r="Z1957" i="2"/>
  <c r="Z1958" i="2"/>
  <c r="Z1959" i="2"/>
  <c r="Z1960" i="2"/>
  <c r="Z1961" i="2"/>
  <c r="Z1962" i="2"/>
  <c r="Z1963" i="2"/>
  <c r="Z1964" i="2"/>
  <c r="Z1965" i="2"/>
  <c r="Z1966" i="2"/>
  <c r="Z1967" i="2"/>
  <c r="Z1968" i="2"/>
  <c r="Z1969" i="2"/>
  <c r="Z1970" i="2"/>
  <c r="Z1971" i="2"/>
  <c r="Z1972" i="2"/>
  <c r="Z1973" i="2"/>
  <c r="Z1974" i="2"/>
  <c r="Z1975" i="2"/>
  <c r="Z1976" i="2"/>
  <c r="Z1977" i="2"/>
  <c r="Z1978" i="2"/>
  <c r="Z1979" i="2"/>
  <c r="Z1980" i="2"/>
  <c r="Z1981" i="2"/>
  <c r="Z1982" i="2"/>
  <c r="Z1983" i="2"/>
  <c r="Z1984" i="2"/>
  <c r="Z1985" i="2"/>
  <c r="Z1986" i="2"/>
  <c r="Z1987" i="2"/>
  <c r="Z1988" i="2"/>
  <c r="Z1989" i="2"/>
  <c r="Z1990" i="2"/>
  <c r="Z1991" i="2"/>
  <c r="Z1992" i="2"/>
  <c r="Z1993" i="2"/>
  <c r="Z1994" i="2"/>
  <c r="Z1995" i="2"/>
  <c r="Z1996" i="2"/>
  <c r="Z1997" i="2"/>
  <c r="Z1998" i="2"/>
  <c r="Z1999" i="2"/>
  <c r="Z2000" i="2"/>
  <c r="Z2001" i="2"/>
  <c r="Z2002" i="2"/>
  <c r="Z2003" i="2"/>
  <c r="Z2004" i="2"/>
  <c r="Z2005" i="2"/>
  <c r="Z2006" i="2"/>
  <c r="Z2007" i="2"/>
  <c r="Z2008" i="2"/>
  <c r="Z2009" i="2"/>
  <c r="Z2010" i="2"/>
  <c r="Z2011" i="2"/>
  <c r="Z2012" i="2"/>
  <c r="Z2013" i="2"/>
  <c r="Z2014" i="2"/>
  <c r="Z2015" i="2"/>
  <c r="Z2016" i="2"/>
  <c r="Z2017" i="2"/>
  <c r="Z2018" i="2"/>
  <c r="Z2019" i="2"/>
  <c r="Z2020" i="2"/>
  <c r="Z2021" i="2"/>
  <c r="Z2022" i="2"/>
  <c r="Z2023" i="2"/>
  <c r="Z2024" i="2"/>
  <c r="Z2025" i="2"/>
  <c r="Z2026" i="2"/>
  <c r="Z2027" i="2"/>
  <c r="Z2028" i="2"/>
  <c r="Z2029" i="2"/>
  <c r="Z2030" i="2"/>
  <c r="Z2031" i="2"/>
  <c r="Z2032" i="2"/>
  <c r="Z2033" i="2"/>
  <c r="Z2034" i="2"/>
  <c r="Z2035" i="2"/>
  <c r="Z2036" i="2"/>
  <c r="Z2037" i="2"/>
  <c r="Z2038" i="2"/>
  <c r="Z2039" i="2"/>
  <c r="Z2040" i="2"/>
  <c r="Z2041" i="2"/>
  <c r="Z2042" i="2"/>
  <c r="Z2043" i="2"/>
  <c r="Z2044" i="2"/>
  <c r="Z2045" i="2"/>
  <c r="Z2046" i="2"/>
  <c r="Z2047" i="2"/>
  <c r="Z2048" i="2"/>
  <c r="Z2049" i="2"/>
  <c r="Z2050" i="2"/>
  <c r="Z2051" i="2"/>
  <c r="Z2052" i="2"/>
  <c r="Z2053" i="2"/>
  <c r="Z2054" i="2"/>
  <c r="Z2055" i="2"/>
  <c r="Z2056" i="2"/>
  <c r="Z2057" i="2"/>
  <c r="Z2058" i="2"/>
  <c r="Z2059" i="2"/>
  <c r="Z2060" i="2"/>
  <c r="Z2061" i="2"/>
  <c r="Z2062" i="2"/>
  <c r="Z2063" i="2"/>
  <c r="Z2064" i="2"/>
  <c r="Z2065" i="2"/>
  <c r="Z2066" i="2"/>
  <c r="Z2067" i="2"/>
  <c r="Z2068" i="2"/>
  <c r="Z2069" i="2"/>
  <c r="Z2070" i="2"/>
  <c r="Z2071" i="2"/>
  <c r="Z2072" i="2"/>
  <c r="Z2073" i="2"/>
  <c r="Z2074" i="2"/>
  <c r="Z2075" i="2"/>
  <c r="Z2076" i="2"/>
  <c r="Z2077" i="2"/>
  <c r="Z2078" i="2"/>
  <c r="Z2079" i="2"/>
  <c r="Z2080" i="2"/>
  <c r="Z2081" i="2"/>
  <c r="Z2082" i="2"/>
  <c r="Z2083" i="2"/>
  <c r="Z2084" i="2"/>
  <c r="Z2085" i="2"/>
  <c r="Z2086" i="2"/>
  <c r="Z2087" i="2"/>
  <c r="Z2088" i="2"/>
  <c r="Z2089" i="2"/>
  <c r="Z2090" i="2"/>
  <c r="Z2091" i="2"/>
  <c r="Z2092" i="2"/>
  <c r="Z2093" i="2"/>
  <c r="Z2094" i="2"/>
  <c r="Z2095" i="2"/>
  <c r="Z2096" i="2"/>
  <c r="Z2097" i="2"/>
  <c r="Z2098" i="2"/>
  <c r="Z2099" i="2"/>
  <c r="Z2100" i="2"/>
  <c r="Z2101" i="2"/>
  <c r="Z2102" i="2"/>
  <c r="Z2103" i="2"/>
  <c r="Z2104" i="2"/>
  <c r="Z2105" i="2"/>
  <c r="Z2106" i="2"/>
  <c r="Z2107" i="2"/>
  <c r="Z2108" i="2"/>
  <c r="Z2109" i="2"/>
  <c r="Z2110" i="2"/>
  <c r="Z2111" i="2"/>
  <c r="Z2112" i="2"/>
  <c r="Z2113" i="2"/>
  <c r="Z2114" i="2"/>
  <c r="Z2115" i="2"/>
  <c r="Z2116" i="2"/>
  <c r="Z2117" i="2"/>
  <c r="Z2118" i="2"/>
  <c r="Z2119" i="2"/>
  <c r="Z2120" i="2"/>
  <c r="Z2121" i="2"/>
  <c r="Z2122" i="2"/>
  <c r="Z2123" i="2"/>
  <c r="Z2124" i="2"/>
  <c r="Z2125" i="2"/>
  <c r="Z2126" i="2"/>
  <c r="Z2127" i="2"/>
  <c r="Z2128" i="2"/>
  <c r="Z2129" i="2"/>
  <c r="Z2130" i="2"/>
  <c r="Z2131" i="2"/>
  <c r="Z2132" i="2"/>
  <c r="Z2133" i="2"/>
  <c r="Z2134" i="2"/>
  <c r="Z2135" i="2"/>
  <c r="Z2136" i="2"/>
  <c r="Z2137" i="2"/>
  <c r="Z2138" i="2"/>
  <c r="Z2139" i="2"/>
  <c r="Z2140" i="2"/>
  <c r="Z2141" i="2"/>
  <c r="Z2142" i="2"/>
  <c r="Z2143" i="2"/>
  <c r="Z2144" i="2"/>
  <c r="Z2145" i="2"/>
  <c r="Z2146" i="2"/>
  <c r="Z2147" i="2"/>
  <c r="Z2148" i="2"/>
  <c r="Z2149" i="2"/>
  <c r="Z2150" i="2"/>
  <c r="Z2151" i="2"/>
  <c r="Z2152" i="2"/>
  <c r="Z2153" i="2"/>
  <c r="Z2154" i="2"/>
  <c r="Z2155" i="2"/>
  <c r="Z2156" i="2"/>
  <c r="Z2157" i="2"/>
  <c r="Z2158" i="2"/>
  <c r="Z2159" i="2"/>
  <c r="Z2160" i="2"/>
  <c r="Z2161" i="2"/>
  <c r="Z2162" i="2"/>
  <c r="Z2163" i="2"/>
  <c r="Z2164" i="2"/>
  <c r="Z2165" i="2"/>
  <c r="Z2166" i="2"/>
  <c r="Z2167" i="2"/>
  <c r="Z2168" i="2"/>
  <c r="Z2169" i="2"/>
  <c r="Z2170" i="2"/>
  <c r="Z2171" i="2"/>
  <c r="Z2172" i="2"/>
  <c r="Z2173" i="2"/>
  <c r="Z2174" i="2"/>
  <c r="Z2175" i="2"/>
  <c r="Z2176" i="2"/>
  <c r="Z2177" i="2"/>
  <c r="Z2178" i="2"/>
  <c r="Z2179" i="2"/>
  <c r="Z2180" i="2"/>
  <c r="Z2181" i="2"/>
  <c r="Z2182" i="2"/>
  <c r="Z2183" i="2"/>
  <c r="Z2184" i="2"/>
  <c r="Z2185" i="2"/>
  <c r="Z2186" i="2"/>
  <c r="Z2187" i="2"/>
  <c r="Z2188" i="2"/>
  <c r="Z2189" i="2"/>
  <c r="Z2190" i="2"/>
  <c r="Z2191" i="2"/>
  <c r="Z2192" i="2"/>
  <c r="Z2193" i="2"/>
  <c r="Z2194" i="2"/>
  <c r="Z2195" i="2"/>
  <c r="Z2196" i="2"/>
  <c r="Z2197" i="2"/>
  <c r="Z2198" i="2"/>
  <c r="Z2199" i="2"/>
  <c r="Z2200" i="2"/>
  <c r="Z2201" i="2"/>
  <c r="Z2202" i="2"/>
  <c r="Z2203" i="2"/>
  <c r="Z2204" i="2"/>
  <c r="Z2205" i="2"/>
  <c r="Z2206" i="2"/>
  <c r="Z2207" i="2"/>
  <c r="Z2208" i="2"/>
  <c r="Z2209" i="2"/>
  <c r="Z2210" i="2"/>
  <c r="Z2211" i="2"/>
  <c r="Z2212" i="2"/>
  <c r="Z2213" i="2"/>
  <c r="Z2214" i="2"/>
  <c r="Z2215" i="2"/>
  <c r="Z2216" i="2"/>
  <c r="Z2217" i="2"/>
  <c r="Z2218" i="2"/>
  <c r="Z2219" i="2"/>
  <c r="Z2220" i="2"/>
  <c r="Z2221" i="2"/>
  <c r="Z2222" i="2"/>
  <c r="Z2223" i="2"/>
  <c r="Z2224" i="2"/>
  <c r="Z2225" i="2"/>
  <c r="Z2226" i="2"/>
  <c r="Z2227" i="2"/>
  <c r="Z2228" i="2"/>
  <c r="Z2229" i="2"/>
  <c r="Z2230" i="2"/>
  <c r="Z2231" i="2"/>
  <c r="Z2232" i="2"/>
  <c r="Z2233" i="2"/>
  <c r="Z2234" i="2"/>
  <c r="Z2235" i="2"/>
  <c r="Z2236" i="2"/>
  <c r="Z2237" i="2"/>
  <c r="Z2238" i="2"/>
  <c r="Z2239" i="2"/>
  <c r="Z2240" i="2"/>
  <c r="Z2241" i="2"/>
  <c r="Z2242" i="2"/>
  <c r="Z2243" i="2"/>
  <c r="Z2244" i="2"/>
  <c r="Z2245" i="2"/>
  <c r="Z2246" i="2"/>
  <c r="Z2247" i="2"/>
  <c r="Z2248" i="2"/>
  <c r="Z2249" i="2"/>
  <c r="Z2250" i="2"/>
  <c r="Z2251" i="2"/>
  <c r="Z2252" i="2"/>
  <c r="Z2253" i="2"/>
  <c r="Z2254" i="2"/>
  <c r="Z2255" i="2"/>
  <c r="Z2256" i="2"/>
  <c r="Z2257" i="2"/>
  <c r="Z2258" i="2"/>
  <c r="Z2259" i="2"/>
  <c r="Z2260" i="2"/>
  <c r="Z2261" i="2"/>
  <c r="Z2262" i="2"/>
  <c r="Z2263" i="2"/>
  <c r="Z2264" i="2"/>
  <c r="Z2265" i="2"/>
  <c r="Z2266" i="2"/>
  <c r="Z2267" i="2"/>
  <c r="Z2268" i="2"/>
  <c r="Z2269" i="2"/>
  <c r="Z2270" i="2"/>
  <c r="Z2271" i="2"/>
  <c r="Z2272" i="2"/>
  <c r="Z2273" i="2"/>
  <c r="Z2274" i="2"/>
  <c r="Z2275" i="2"/>
  <c r="Z2276" i="2"/>
  <c r="Z2277" i="2"/>
  <c r="Z2278" i="2"/>
  <c r="Z2279" i="2"/>
  <c r="Z2280" i="2"/>
  <c r="Z2281" i="2"/>
  <c r="Z2282" i="2"/>
  <c r="Z2283" i="2"/>
  <c r="Z2284" i="2"/>
  <c r="Z2285" i="2"/>
  <c r="Z2286" i="2"/>
  <c r="Z2287" i="2"/>
  <c r="Z2288" i="2"/>
  <c r="Z2289" i="2"/>
  <c r="Z2290" i="2"/>
  <c r="Z2291" i="2"/>
  <c r="Z2292" i="2"/>
  <c r="Z2293" i="2"/>
  <c r="Z2294" i="2"/>
  <c r="Z2295" i="2"/>
  <c r="Z2296" i="2"/>
  <c r="Z2297" i="2"/>
  <c r="Z2298" i="2"/>
  <c r="Z2299" i="2"/>
  <c r="Z2300" i="2"/>
  <c r="Z2301" i="2"/>
  <c r="Z2302" i="2"/>
  <c r="Z2303" i="2"/>
  <c r="Z2304" i="2"/>
  <c r="Z2305" i="2"/>
  <c r="Z2306" i="2"/>
  <c r="Z2307" i="2"/>
  <c r="Z2308" i="2"/>
  <c r="Z2309" i="2"/>
  <c r="Z2310" i="2"/>
  <c r="Z2311" i="2"/>
  <c r="Z2312" i="2"/>
  <c r="Z2313" i="2"/>
  <c r="Z2314" i="2"/>
  <c r="Z2315" i="2"/>
  <c r="Z2316" i="2"/>
  <c r="Z2317" i="2"/>
  <c r="Z2318" i="2"/>
  <c r="Z2319" i="2"/>
  <c r="Z2320" i="2"/>
  <c r="Z2321" i="2"/>
  <c r="Z2322" i="2"/>
  <c r="Z2323" i="2"/>
  <c r="Z2324" i="2"/>
  <c r="Z2325" i="2"/>
  <c r="Z2326" i="2"/>
  <c r="Z2327" i="2"/>
  <c r="Z2328" i="2"/>
  <c r="Z2329" i="2"/>
  <c r="Z2330" i="2"/>
  <c r="Z2331" i="2"/>
  <c r="Z2332" i="2"/>
  <c r="Z2333" i="2"/>
  <c r="Z2334" i="2"/>
  <c r="Z2335" i="2"/>
  <c r="Z2336" i="2"/>
  <c r="Z2337" i="2"/>
  <c r="Z2338" i="2"/>
  <c r="Z2339" i="2"/>
  <c r="Z2340" i="2"/>
  <c r="Z2341" i="2"/>
  <c r="Z2342" i="2"/>
  <c r="Z2343" i="2"/>
  <c r="Z2344" i="2"/>
  <c r="Z2345" i="2"/>
  <c r="Z2346" i="2"/>
  <c r="Z2347" i="2"/>
  <c r="Z2348" i="2"/>
  <c r="Z2349" i="2"/>
  <c r="Z2350" i="2"/>
  <c r="Z2351" i="2"/>
  <c r="Z2352" i="2"/>
  <c r="Z2353" i="2"/>
  <c r="Z2354" i="2"/>
  <c r="Z2355" i="2"/>
  <c r="Z2356" i="2"/>
  <c r="Z2357" i="2"/>
  <c r="Z2358" i="2"/>
  <c r="Z2359" i="2"/>
  <c r="Z2360" i="2"/>
  <c r="Z2361" i="2"/>
  <c r="Z2362" i="2"/>
  <c r="Z2363" i="2"/>
  <c r="Z2364" i="2"/>
  <c r="Z2365" i="2"/>
  <c r="Z2366" i="2"/>
  <c r="Z2367" i="2"/>
  <c r="Z2368" i="2"/>
  <c r="Z2369" i="2"/>
  <c r="Z2370" i="2"/>
  <c r="Z2371" i="2"/>
  <c r="Z2372" i="2"/>
  <c r="Z2373" i="2"/>
  <c r="Z2374" i="2"/>
  <c r="Z2375" i="2"/>
  <c r="Z2376" i="2"/>
  <c r="Z2377" i="2"/>
  <c r="Z2378" i="2"/>
  <c r="Z2379" i="2"/>
  <c r="Z2380" i="2"/>
  <c r="Z2381" i="2"/>
  <c r="Z2382" i="2"/>
  <c r="Z2383" i="2"/>
  <c r="Z2384" i="2"/>
  <c r="Z2385" i="2"/>
  <c r="Z2386" i="2"/>
  <c r="Z2387" i="2"/>
  <c r="Z2388" i="2"/>
  <c r="Z2389" i="2"/>
  <c r="Z2390" i="2"/>
  <c r="Z2391" i="2"/>
  <c r="Z2392" i="2"/>
  <c r="Z2393" i="2"/>
  <c r="Z2394" i="2"/>
  <c r="Z2395" i="2"/>
  <c r="Z2396" i="2"/>
  <c r="Z2397" i="2"/>
  <c r="Z2398" i="2"/>
  <c r="Z2399" i="2"/>
  <c r="Z2400" i="2"/>
  <c r="Z2401" i="2"/>
  <c r="Z2402" i="2"/>
  <c r="Z2403" i="2"/>
  <c r="Z2404" i="2"/>
  <c r="Z2405" i="2"/>
  <c r="Z2406" i="2"/>
  <c r="Z2407" i="2"/>
  <c r="Z2408" i="2"/>
  <c r="Z2409" i="2"/>
  <c r="Z2410" i="2"/>
  <c r="Z2411" i="2"/>
  <c r="Z2412" i="2"/>
  <c r="Z2413" i="2"/>
  <c r="Z2414" i="2"/>
  <c r="Z2415" i="2"/>
  <c r="Z2416" i="2"/>
  <c r="Z2417" i="2"/>
  <c r="Z2418" i="2"/>
  <c r="Z2419" i="2"/>
  <c r="Z2420" i="2"/>
  <c r="Z2421" i="2"/>
  <c r="Z2422" i="2"/>
  <c r="Z2423" i="2"/>
  <c r="Z2424" i="2"/>
  <c r="Z2425" i="2"/>
  <c r="Z2426" i="2"/>
  <c r="Z2427" i="2"/>
  <c r="Z2428" i="2"/>
  <c r="Z2429" i="2"/>
  <c r="Z2430" i="2"/>
  <c r="Z2431" i="2"/>
  <c r="Z2432" i="2"/>
  <c r="Z2433" i="2"/>
  <c r="Z2434" i="2"/>
  <c r="Z2435" i="2"/>
  <c r="Z2436" i="2"/>
  <c r="Z2437" i="2"/>
  <c r="Z2438" i="2"/>
  <c r="Z2439" i="2"/>
  <c r="Z2440" i="2"/>
  <c r="Z2441" i="2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AI1006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6" i="1"/>
  <c r="AI1027" i="1"/>
  <c r="AI1028" i="1"/>
  <c r="AI1029" i="1"/>
  <c r="AI1030" i="1"/>
  <c r="AI1031" i="1"/>
  <c r="AI1032" i="1"/>
  <c r="AI1033" i="1"/>
  <c r="AI1034" i="1"/>
  <c r="AI1035" i="1"/>
  <c r="AI1036" i="1"/>
  <c r="AI1037" i="1"/>
  <c r="AI1038" i="1"/>
  <c r="AI1039" i="1"/>
  <c r="AI1040" i="1"/>
  <c r="AI1041" i="1"/>
  <c r="AI1042" i="1"/>
  <c r="AI1043" i="1"/>
  <c r="AI1044" i="1"/>
  <c r="AI1045" i="1"/>
  <c r="AI1046" i="1"/>
  <c r="AI1047" i="1"/>
  <c r="AI1048" i="1"/>
  <c r="AI1049" i="1"/>
  <c r="AI1050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7" i="1"/>
  <c r="AI1078" i="1"/>
  <c r="AI1079" i="1"/>
  <c r="AI1080" i="1"/>
  <c r="AI1081" i="1"/>
  <c r="AI1082" i="1"/>
  <c r="AI1083" i="1"/>
  <c r="AI1084" i="1"/>
  <c r="AI1085" i="1"/>
  <c r="AI1086" i="1"/>
  <c r="AI1087" i="1"/>
  <c r="AI1088" i="1"/>
  <c r="AI1089" i="1"/>
  <c r="AI1090" i="1"/>
  <c r="AI1091" i="1"/>
  <c r="AI1092" i="1"/>
  <c r="AI1093" i="1"/>
  <c r="AI1094" i="1"/>
  <c r="AI1095" i="1"/>
  <c r="AI1096" i="1"/>
  <c r="AI1097" i="1"/>
  <c r="AI1098" i="1"/>
  <c r="AI1099" i="1"/>
  <c r="AI110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Q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Q1073" i="1"/>
  <c r="AO1074" i="1"/>
  <c r="AO1075" i="1"/>
  <c r="AO1076" i="1"/>
  <c r="AO1077" i="1"/>
  <c r="AQ1077" i="1"/>
  <c r="AO1078" i="1"/>
  <c r="AO1079" i="1"/>
  <c r="AO1080" i="1"/>
  <c r="AO1081" i="1"/>
  <c r="AO1082" i="1"/>
  <c r="AO1083" i="1"/>
  <c r="AO1084" i="1"/>
  <c r="AO1085" i="1"/>
  <c r="AQ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Q110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Q1046" i="1"/>
  <c r="AP1047" i="1"/>
  <c r="AQ1047" i="1"/>
  <c r="AP1048" i="1"/>
  <c r="AQ1048" i="1"/>
  <c r="AP1049" i="1"/>
  <c r="AP1050" i="1"/>
  <c r="AQ1050" i="1"/>
  <c r="AP1051" i="1"/>
  <c r="AQ1051" i="1"/>
  <c r="AP1052" i="1"/>
  <c r="AQ1052" i="1"/>
  <c r="AP1053" i="1"/>
  <c r="AP1054" i="1"/>
  <c r="AQ1054" i="1"/>
  <c r="AP1055" i="1"/>
  <c r="AQ1055" i="1"/>
  <c r="AP1056" i="1"/>
  <c r="AQ1056" i="1"/>
  <c r="AP1057" i="1"/>
  <c r="AP1058" i="1"/>
  <c r="AQ1058" i="1"/>
  <c r="AP1059" i="1"/>
  <c r="AQ1059" i="1"/>
  <c r="AP1060" i="1"/>
  <c r="AQ1060" i="1"/>
  <c r="AP1061" i="1"/>
  <c r="AP1062" i="1"/>
  <c r="AQ1062" i="1"/>
  <c r="AP1063" i="1"/>
  <c r="AQ1063" i="1"/>
  <c r="AP1064" i="1"/>
  <c r="AQ1064" i="1"/>
  <c r="AP1065" i="1"/>
  <c r="AP1066" i="1"/>
  <c r="AQ1066" i="1"/>
  <c r="AP1067" i="1"/>
  <c r="AQ1067" i="1"/>
  <c r="AP1068" i="1"/>
  <c r="AQ1068" i="1"/>
  <c r="AP1069" i="1"/>
  <c r="AP1070" i="1"/>
  <c r="AQ1070" i="1"/>
  <c r="AP1071" i="1"/>
  <c r="AQ1071" i="1"/>
  <c r="AP1072" i="1"/>
  <c r="AQ1072" i="1"/>
  <c r="AP1073" i="1"/>
  <c r="AP1074" i="1"/>
  <c r="AQ1074" i="1"/>
  <c r="AP1075" i="1"/>
  <c r="AQ1075" i="1"/>
  <c r="AP1076" i="1"/>
  <c r="AQ1076" i="1"/>
  <c r="AP1077" i="1"/>
  <c r="AP1078" i="1"/>
  <c r="AQ1078" i="1"/>
  <c r="AP1079" i="1"/>
  <c r="AQ1079" i="1"/>
  <c r="AP1080" i="1"/>
  <c r="AQ1080" i="1"/>
  <c r="AP1081" i="1"/>
  <c r="AP1082" i="1"/>
  <c r="AQ1082" i="1"/>
  <c r="AP1083" i="1"/>
  <c r="AQ1083" i="1"/>
  <c r="AP1084" i="1"/>
  <c r="AQ1084" i="1"/>
  <c r="AP1085" i="1"/>
  <c r="AP1086" i="1"/>
  <c r="AQ1086" i="1"/>
  <c r="AP1087" i="1"/>
  <c r="AQ1087" i="1"/>
  <c r="AP1088" i="1"/>
  <c r="AQ1088" i="1"/>
  <c r="AP1089" i="1"/>
  <c r="AP1090" i="1"/>
  <c r="AP1091" i="1"/>
  <c r="AQ1091" i="1"/>
  <c r="AP1092" i="1"/>
  <c r="AP1093" i="1"/>
  <c r="AP1094" i="1"/>
  <c r="AP1095" i="1"/>
  <c r="AP1096" i="1"/>
  <c r="AP1097" i="1"/>
  <c r="AP1098" i="1"/>
  <c r="AP1099" i="1"/>
  <c r="AP110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9" i="1"/>
  <c r="AQ1053" i="1"/>
  <c r="AQ1061" i="1"/>
  <c r="AQ1065" i="1"/>
  <c r="AQ1069" i="1"/>
  <c r="AQ1081" i="1"/>
  <c r="T980" i="2"/>
  <c r="T910" i="2"/>
  <c r="T908" i="2"/>
  <c r="T867" i="2"/>
  <c r="T863" i="2"/>
  <c r="T2683" i="2"/>
  <c r="T2452" i="2"/>
  <c r="T2496" i="2"/>
  <c r="T875" i="2"/>
  <c r="T873" i="2"/>
  <c r="T885" i="2"/>
  <c r="AQ1098" i="1"/>
  <c r="AQ1097" i="1"/>
  <c r="AQ1089" i="1"/>
  <c r="AQ1045" i="1"/>
  <c r="AQ1095" i="1"/>
  <c r="AQ1094" i="1"/>
  <c r="T2801" i="2"/>
  <c r="T2802" i="2"/>
  <c r="T2793" i="2"/>
  <c r="T2794" i="2"/>
  <c r="T907" i="2"/>
  <c r="T872" i="2"/>
  <c r="T2579" i="2"/>
  <c r="T2740" i="2"/>
  <c r="T2826" i="2"/>
  <c r="T868" i="2"/>
  <c r="T866" i="2"/>
  <c r="T862" i="2"/>
  <c r="T2682" i="2"/>
  <c r="T2451" i="2"/>
  <c r="T2497" i="2"/>
  <c r="T882" i="2"/>
  <c r="T878" i="2"/>
  <c r="T2684" i="2"/>
  <c r="T2681" i="2"/>
  <c r="T905" i="2"/>
  <c r="T2803" i="2"/>
  <c r="T2680" i="2"/>
  <c r="T2785" i="2"/>
  <c r="T2786" i="2"/>
  <c r="AQ1096" i="1"/>
  <c r="AQ1092" i="1"/>
  <c r="AQ1099" i="1"/>
  <c r="T2512" i="2"/>
  <c r="T2499" i="2"/>
  <c r="T2485" i="2"/>
  <c r="T2479" i="2"/>
  <c r="T2476" i="2"/>
  <c r="T2470" i="2"/>
  <c r="T2621" i="2"/>
  <c r="T2622" i="2"/>
  <c r="T2623" i="2"/>
  <c r="T2624" i="2"/>
  <c r="T865" i="2"/>
  <c r="T2498" i="2"/>
  <c r="T2484" i="2"/>
  <c r="T2473" i="2"/>
  <c r="T2457" i="2"/>
  <c r="T2515" i="2"/>
  <c r="T2511" i="2"/>
  <c r="T2487" i="2"/>
  <c r="T2483" i="2"/>
  <c r="T2456" i="2"/>
  <c r="T2450" i="2"/>
  <c r="T2448" i="2"/>
  <c r="T2445" i="2"/>
  <c r="T2513" i="2"/>
  <c r="T2514" i="2"/>
  <c r="T2486" i="2"/>
  <c r="T2468" i="2"/>
  <c r="T2455" i="2"/>
  <c r="T2449" i="2"/>
  <c r="T2447" i="2"/>
  <c r="T2444" i="2"/>
  <c r="T2619" i="2"/>
  <c r="T2620" i="2"/>
  <c r="AQ1090" i="1"/>
  <c r="AQ1093" i="1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S790" i="2"/>
  <c r="S791" i="2"/>
  <c r="S792" i="2"/>
  <c r="S793" i="2"/>
  <c r="S794" i="2"/>
  <c r="S795" i="2"/>
  <c r="S796" i="2"/>
  <c r="T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T826" i="2"/>
  <c r="S827" i="2"/>
  <c r="S828" i="2"/>
  <c r="S829" i="2"/>
  <c r="T828" i="2"/>
  <c r="S830" i="2"/>
  <c r="T2787" i="2"/>
  <c r="S831" i="2"/>
  <c r="T2788" i="2"/>
  <c r="S832" i="2"/>
  <c r="T212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T2134" i="2"/>
  <c r="S850" i="2"/>
  <c r="S851" i="2"/>
  <c r="S852" i="2"/>
  <c r="S853" i="2"/>
  <c r="S854" i="2"/>
  <c r="S855" i="2"/>
  <c r="S856" i="2"/>
  <c r="T2147" i="2"/>
  <c r="S857" i="2"/>
  <c r="S858" i="2"/>
  <c r="S859" i="2"/>
  <c r="S860" i="2"/>
  <c r="S861" i="2"/>
  <c r="T790" i="2"/>
  <c r="T791" i="2"/>
  <c r="T793" i="2"/>
  <c r="T794" i="2"/>
  <c r="T795" i="2"/>
  <c r="T797" i="2"/>
  <c r="T798" i="2"/>
  <c r="T799" i="2"/>
  <c r="T800" i="2"/>
  <c r="T801" i="2"/>
  <c r="T802" i="2"/>
  <c r="T803" i="2"/>
  <c r="T805" i="2"/>
  <c r="T806" i="2"/>
  <c r="T807" i="2"/>
  <c r="T808" i="2"/>
  <c r="T809" i="2"/>
  <c r="T811" i="2"/>
  <c r="T812" i="2"/>
  <c r="T813" i="2"/>
  <c r="T815" i="2"/>
  <c r="T816" i="2"/>
  <c r="T817" i="2"/>
  <c r="T818" i="2"/>
  <c r="T819" i="2"/>
  <c r="T820" i="2"/>
  <c r="T821" i="2"/>
  <c r="T822" i="2"/>
  <c r="T823" i="2"/>
  <c r="T824" i="2"/>
  <c r="T825" i="2"/>
  <c r="T827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8" i="2"/>
  <c r="T859" i="2"/>
  <c r="T860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M650" i="1"/>
  <c r="AN650" i="1"/>
  <c r="AL651" i="1"/>
  <c r="AM651" i="1"/>
  <c r="AN651" i="1"/>
  <c r="AL652" i="1"/>
  <c r="AM652" i="1"/>
  <c r="AN652" i="1"/>
  <c r="AL653" i="1"/>
  <c r="AM653" i="1"/>
  <c r="AN653" i="1"/>
  <c r="AL654" i="1"/>
  <c r="AM654" i="1"/>
  <c r="AN654" i="1"/>
  <c r="AL655" i="1"/>
  <c r="AM655" i="1"/>
  <c r="AN655" i="1"/>
  <c r="AL656" i="1"/>
  <c r="AM656" i="1"/>
  <c r="AN656" i="1"/>
  <c r="AL657" i="1"/>
  <c r="AM657" i="1"/>
  <c r="AN657" i="1"/>
  <c r="AL658" i="1"/>
  <c r="AM658" i="1"/>
  <c r="AN658" i="1"/>
  <c r="AL659" i="1"/>
  <c r="AM659" i="1"/>
  <c r="AN659" i="1"/>
  <c r="AL660" i="1"/>
  <c r="AM660" i="1"/>
  <c r="AN660" i="1"/>
  <c r="AM605" i="1"/>
  <c r="AN605" i="1"/>
  <c r="AM606" i="1"/>
  <c r="AN606" i="1"/>
  <c r="AM607" i="1"/>
  <c r="AN607" i="1"/>
  <c r="AM608" i="1"/>
  <c r="AN608" i="1"/>
  <c r="AM609" i="1"/>
  <c r="AN609" i="1"/>
  <c r="AM610" i="1"/>
  <c r="AN610" i="1"/>
  <c r="AM611" i="1"/>
  <c r="AN611" i="1"/>
  <c r="AM612" i="1"/>
  <c r="AN612" i="1"/>
  <c r="AM613" i="1"/>
  <c r="AN613" i="1"/>
  <c r="AM614" i="1"/>
  <c r="AM615" i="1"/>
  <c r="AN615" i="1"/>
  <c r="AM616" i="1"/>
  <c r="AN616" i="1"/>
  <c r="AM617" i="1"/>
  <c r="AN617" i="1"/>
  <c r="AM618" i="1"/>
  <c r="AN618" i="1"/>
  <c r="AM619" i="1"/>
  <c r="AN619" i="1"/>
  <c r="AM620" i="1"/>
  <c r="AN620" i="1"/>
  <c r="AM621" i="1"/>
  <c r="AN621" i="1"/>
  <c r="AM622" i="1"/>
  <c r="AN622" i="1"/>
  <c r="AM623" i="1"/>
  <c r="AN623" i="1"/>
  <c r="AM624" i="1"/>
  <c r="AN624" i="1"/>
  <c r="AM625" i="1"/>
  <c r="AN625" i="1"/>
  <c r="AM626" i="1"/>
  <c r="AN626" i="1"/>
  <c r="AM627" i="1"/>
  <c r="AN627" i="1"/>
  <c r="AM628" i="1"/>
  <c r="AN628" i="1"/>
  <c r="AM629" i="1"/>
  <c r="AN629" i="1"/>
  <c r="AM630" i="1"/>
  <c r="AN630" i="1"/>
  <c r="AM631" i="1"/>
  <c r="AN631" i="1"/>
  <c r="AM632" i="1"/>
  <c r="AM633" i="1"/>
  <c r="AN633" i="1"/>
  <c r="AM634" i="1"/>
  <c r="AN634" i="1"/>
  <c r="AM635" i="1"/>
  <c r="AN635" i="1"/>
  <c r="AM636" i="1"/>
  <c r="AN636" i="1"/>
  <c r="AM637" i="1"/>
  <c r="AN637" i="1"/>
  <c r="AM638" i="1"/>
  <c r="AN638" i="1"/>
  <c r="AM639" i="1"/>
  <c r="AN639" i="1"/>
  <c r="AM640" i="1"/>
  <c r="AN640" i="1"/>
  <c r="AM641" i="1"/>
  <c r="AN641" i="1"/>
  <c r="AM642" i="1"/>
  <c r="AN642" i="1"/>
  <c r="AM643" i="1"/>
  <c r="AN643" i="1"/>
  <c r="AM644" i="1"/>
  <c r="AN644" i="1"/>
  <c r="AM645" i="1"/>
  <c r="AN645" i="1"/>
  <c r="AM646" i="1"/>
  <c r="AN646" i="1"/>
  <c r="AM647" i="1"/>
  <c r="AN647" i="1"/>
  <c r="AM648" i="1"/>
  <c r="AN648" i="1"/>
  <c r="AM649" i="1"/>
  <c r="AN649" i="1"/>
  <c r="AN614" i="1"/>
  <c r="AN632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Q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Q652" i="1"/>
  <c r="AP653" i="1"/>
  <c r="AP654" i="1"/>
  <c r="AP655" i="1"/>
  <c r="AP656" i="1"/>
  <c r="AP657" i="1"/>
  <c r="AP658" i="1"/>
  <c r="AP659" i="1"/>
  <c r="AP660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7" i="1"/>
  <c r="AQ648" i="1"/>
  <c r="T814" i="2"/>
  <c r="T810" i="2"/>
  <c r="T804" i="2"/>
  <c r="T792" i="2"/>
  <c r="AQ649" i="1"/>
  <c r="T857" i="2"/>
  <c r="T2146" i="2"/>
  <c r="T2120" i="2"/>
  <c r="T2596" i="2"/>
  <c r="T2119" i="2"/>
  <c r="T2585" i="2"/>
  <c r="T2586" i="2"/>
  <c r="T2121" i="2"/>
  <c r="T2573" i="2"/>
  <c r="AQ650" i="1"/>
  <c r="T2148" i="2"/>
  <c r="T2123" i="2"/>
  <c r="T2124" i="2"/>
  <c r="AQ654" i="1"/>
  <c r="T1627" i="2"/>
  <c r="T1581" i="2"/>
  <c r="T1580" i="2"/>
  <c r="T1626" i="2"/>
  <c r="T1579" i="2"/>
  <c r="T1625" i="2"/>
  <c r="T1624" i="2"/>
  <c r="T1578" i="2"/>
  <c r="AQ657" i="1"/>
  <c r="AQ658" i="1"/>
  <c r="AQ651" i="1"/>
  <c r="AQ653" i="1"/>
  <c r="AQ660" i="1"/>
  <c r="AQ656" i="1"/>
  <c r="AQ659" i="1"/>
  <c r="AQ655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T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T677" i="2"/>
  <c r="S678" i="2"/>
  <c r="S679" i="2"/>
  <c r="S680" i="2"/>
  <c r="S681" i="2"/>
  <c r="T681" i="2"/>
  <c r="S682" i="2"/>
  <c r="S683" i="2"/>
  <c r="S684" i="2"/>
  <c r="S685" i="2"/>
  <c r="S686" i="2"/>
  <c r="S687" i="2"/>
  <c r="S688" i="2"/>
  <c r="S689" i="2"/>
  <c r="T689" i="2"/>
  <c r="S690" i="2"/>
  <c r="S691" i="2"/>
  <c r="S692" i="2"/>
  <c r="T692" i="2"/>
  <c r="S693" i="2"/>
  <c r="T693" i="2"/>
  <c r="S694" i="2"/>
  <c r="T694" i="2"/>
  <c r="S695" i="2"/>
  <c r="S696" i="2"/>
  <c r="T696" i="2"/>
  <c r="S697" i="2"/>
  <c r="T697" i="2"/>
  <c r="S698" i="2"/>
  <c r="S699" i="2"/>
  <c r="S700" i="2"/>
  <c r="T700" i="2"/>
  <c r="S701" i="2"/>
  <c r="T701" i="2"/>
  <c r="S702" i="2"/>
  <c r="S703" i="2"/>
  <c r="S704" i="2"/>
  <c r="S705" i="2"/>
  <c r="T705" i="2"/>
  <c r="S706" i="2"/>
  <c r="S707" i="2"/>
  <c r="S708" i="2"/>
  <c r="S709" i="2"/>
  <c r="T709" i="2"/>
  <c r="S710" i="2"/>
  <c r="S711" i="2"/>
  <c r="S712" i="2"/>
  <c r="T712" i="2"/>
  <c r="S713" i="2"/>
  <c r="T713" i="2"/>
  <c r="S714" i="2"/>
  <c r="S715" i="2"/>
  <c r="S716" i="2"/>
  <c r="S717" i="2"/>
  <c r="T717" i="2"/>
  <c r="S718" i="2"/>
  <c r="S719" i="2"/>
  <c r="S720" i="2"/>
  <c r="S721" i="2"/>
  <c r="T721" i="2"/>
  <c r="S722" i="2"/>
  <c r="S723" i="2"/>
  <c r="S724" i="2"/>
  <c r="S725" i="2"/>
  <c r="T725" i="2"/>
  <c r="S726" i="2"/>
  <c r="S727" i="2"/>
  <c r="S728" i="2"/>
  <c r="S729" i="2"/>
  <c r="T729" i="2"/>
  <c r="S730" i="2"/>
  <c r="S731" i="2"/>
  <c r="S732" i="2"/>
  <c r="S733" i="2"/>
  <c r="T733" i="2"/>
  <c r="S734" i="2"/>
  <c r="S735" i="2"/>
  <c r="S736" i="2"/>
  <c r="S737" i="2"/>
  <c r="T737" i="2"/>
  <c r="S738" i="2"/>
  <c r="S739" i="2"/>
  <c r="S740" i="2"/>
  <c r="S741" i="2"/>
  <c r="T741" i="2"/>
  <c r="S742" i="2"/>
  <c r="S743" i="2"/>
  <c r="S744" i="2"/>
  <c r="S745" i="2"/>
  <c r="T745" i="2"/>
  <c r="S746" i="2"/>
  <c r="S747" i="2"/>
  <c r="S748" i="2"/>
  <c r="S749" i="2"/>
  <c r="T749" i="2"/>
  <c r="S750" i="2"/>
  <c r="S751" i="2"/>
  <c r="S752" i="2"/>
  <c r="S753" i="2"/>
  <c r="T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T773" i="2"/>
  <c r="S774" i="2"/>
  <c r="S775" i="2"/>
  <c r="S776" i="2"/>
  <c r="S777" i="2"/>
  <c r="S778" i="2"/>
  <c r="T777" i="2"/>
  <c r="S779" i="2"/>
  <c r="S780" i="2"/>
  <c r="S781" i="2"/>
  <c r="S782" i="2"/>
  <c r="T781" i="2"/>
  <c r="S783" i="2"/>
  <c r="S784" i="2"/>
  <c r="S785" i="2"/>
  <c r="S786" i="2"/>
  <c r="T785" i="2"/>
  <c r="S787" i="2"/>
  <c r="S788" i="2"/>
  <c r="S789" i="2"/>
  <c r="T2809" i="2"/>
  <c r="T666" i="2"/>
  <c r="T671" i="2"/>
  <c r="T672" i="2"/>
  <c r="T674" i="2"/>
  <c r="T675" i="2"/>
  <c r="T679" i="2"/>
  <c r="T682" i="2"/>
  <c r="T690" i="2"/>
  <c r="T691" i="2"/>
  <c r="T695" i="2"/>
  <c r="T698" i="2"/>
  <c r="T699" i="2"/>
  <c r="T702" i="2"/>
  <c r="T703" i="2"/>
  <c r="T704" i="2"/>
  <c r="T706" i="2"/>
  <c r="T707" i="2"/>
  <c r="T708" i="2"/>
  <c r="T711" i="2"/>
  <c r="T714" i="2"/>
  <c r="T715" i="2"/>
  <c r="T716" i="2"/>
  <c r="T718" i="2"/>
  <c r="T719" i="2"/>
  <c r="T720" i="2"/>
  <c r="T722" i="2"/>
  <c r="T723" i="2"/>
  <c r="T724" i="2"/>
  <c r="T726" i="2"/>
  <c r="T727" i="2"/>
  <c r="T728" i="2"/>
  <c r="T730" i="2"/>
  <c r="T731" i="2"/>
  <c r="T732" i="2"/>
  <c r="T734" i="2"/>
  <c r="T735" i="2"/>
  <c r="T736" i="2"/>
  <c r="T738" i="2"/>
  <c r="T739" i="2"/>
  <c r="T740" i="2"/>
  <c r="T742" i="2"/>
  <c r="T743" i="2"/>
  <c r="T744" i="2"/>
  <c r="T746" i="2"/>
  <c r="T747" i="2"/>
  <c r="T748" i="2"/>
  <c r="T750" i="2"/>
  <c r="T751" i="2"/>
  <c r="T752" i="2"/>
  <c r="T754" i="2"/>
  <c r="T755" i="2"/>
  <c r="T774" i="2"/>
  <c r="T775" i="2"/>
  <c r="T776" i="2"/>
  <c r="T779" i="2"/>
  <c r="T780" i="2"/>
  <c r="T783" i="2"/>
  <c r="T784" i="2"/>
  <c r="T787" i="2"/>
  <c r="T788" i="2"/>
  <c r="T78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AB2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C538" i="1"/>
  <c r="AD538" i="1"/>
  <c r="AC539" i="1"/>
  <c r="AD539" i="1"/>
  <c r="AC540" i="1"/>
  <c r="AD540" i="1"/>
  <c r="AC541" i="1"/>
  <c r="AD541" i="1"/>
  <c r="AC542" i="1"/>
  <c r="AD542" i="1"/>
  <c r="AC543" i="1"/>
  <c r="AD543" i="1"/>
  <c r="AC544" i="1"/>
  <c r="AD544" i="1"/>
  <c r="AC545" i="1"/>
  <c r="AD545" i="1"/>
  <c r="AC546" i="1"/>
  <c r="AD546" i="1"/>
  <c r="AC547" i="1"/>
  <c r="AD547" i="1"/>
  <c r="AC548" i="1"/>
  <c r="AD548" i="1"/>
  <c r="AC549" i="1"/>
  <c r="AD549" i="1"/>
  <c r="AC550" i="1"/>
  <c r="AD550" i="1"/>
  <c r="AC551" i="1"/>
  <c r="AD551" i="1"/>
  <c r="AC552" i="1"/>
  <c r="AD552" i="1"/>
  <c r="AC553" i="1"/>
  <c r="AD553" i="1"/>
  <c r="AC554" i="1"/>
  <c r="AD554" i="1"/>
  <c r="AC555" i="1"/>
  <c r="AD555" i="1"/>
  <c r="AC556" i="1"/>
  <c r="AD556" i="1"/>
  <c r="AC557" i="1"/>
  <c r="AD557" i="1"/>
  <c r="AC558" i="1"/>
  <c r="AD558" i="1"/>
  <c r="AC559" i="1"/>
  <c r="AD559" i="1"/>
  <c r="AC560" i="1"/>
  <c r="AD560" i="1"/>
  <c r="AC561" i="1"/>
  <c r="AD561" i="1"/>
  <c r="AC562" i="1"/>
  <c r="AD562" i="1"/>
  <c r="AC563" i="1"/>
  <c r="AD563" i="1"/>
  <c r="AC564" i="1"/>
  <c r="AD564" i="1"/>
  <c r="AC565" i="1"/>
  <c r="AD565" i="1"/>
  <c r="AC566" i="1"/>
  <c r="AD566" i="1"/>
  <c r="AC567" i="1"/>
  <c r="AD567" i="1"/>
  <c r="AC568" i="1"/>
  <c r="AD568" i="1"/>
  <c r="AC569" i="1"/>
  <c r="AD569" i="1"/>
  <c r="AC570" i="1"/>
  <c r="AD570" i="1"/>
  <c r="AC571" i="1"/>
  <c r="AD571" i="1"/>
  <c r="AC572" i="1"/>
  <c r="AD572" i="1"/>
  <c r="AC573" i="1"/>
  <c r="AD573" i="1"/>
  <c r="AC574" i="1"/>
  <c r="AD574" i="1"/>
  <c r="AC575" i="1"/>
  <c r="AD575" i="1"/>
  <c r="AC576" i="1"/>
  <c r="AD576" i="1"/>
  <c r="AC577" i="1"/>
  <c r="AD577" i="1"/>
  <c r="AC578" i="1"/>
  <c r="AD578" i="1"/>
  <c r="AC579" i="1"/>
  <c r="AD579" i="1"/>
  <c r="AC580" i="1"/>
  <c r="AD580" i="1"/>
  <c r="AC581" i="1"/>
  <c r="AD581" i="1"/>
  <c r="AC582" i="1"/>
  <c r="AD582" i="1"/>
  <c r="AC583" i="1"/>
  <c r="AD583" i="1"/>
  <c r="AC584" i="1"/>
  <c r="AD584" i="1"/>
  <c r="AC585" i="1"/>
  <c r="AD585" i="1"/>
  <c r="AC586" i="1"/>
  <c r="AD586" i="1"/>
  <c r="AC587" i="1"/>
  <c r="AD587" i="1"/>
  <c r="AC588" i="1"/>
  <c r="AD588" i="1"/>
  <c r="AC589" i="1"/>
  <c r="AD589" i="1"/>
  <c r="AC590" i="1"/>
  <c r="AD590" i="1"/>
  <c r="AC591" i="1"/>
  <c r="AD591" i="1"/>
  <c r="AC592" i="1"/>
  <c r="AD592" i="1"/>
  <c r="AC593" i="1"/>
  <c r="AD593" i="1"/>
  <c r="AC594" i="1"/>
  <c r="AD594" i="1"/>
  <c r="AC595" i="1"/>
  <c r="AD595" i="1"/>
  <c r="AC596" i="1"/>
  <c r="AD596" i="1"/>
  <c r="AC597" i="1"/>
  <c r="AD597" i="1"/>
  <c r="AC598" i="1"/>
  <c r="AD598" i="1"/>
  <c r="AC599" i="1"/>
  <c r="AD599" i="1"/>
  <c r="AC600" i="1"/>
  <c r="AD600" i="1"/>
  <c r="AC601" i="1"/>
  <c r="AD601" i="1"/>
  <c r="AC602" i="1"/>
  <c r="AD602" i="1"/>
  <c r="AC603" i="1"/>
  <c r="AD603" i="1"/>
  <c r="AC604" i="1"/>
  <c r="AD604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I538" i="1"/>
  <c r="AJ538" i="1"/>
  <c r="AK538" i="1"/>
  <c r="AI539" i="1"/>
  <c r="AJ539" i="1"/>
  <c r="AK539" i="1"/>
  <c r="AI540" i="1"/>
  <c r="AJ540" i="1"/>
  <c r="AK540" i="1"/>
  <c r="AI541" i="1"/>
  <c r="AJ541" i="1"/>
  <c r="AK541" i="1"/>
  <c r="AI542" i="1"/>
  <c r="AJ542" i="1"/>
  <c r="AK542" i="1"/>
  <c r="AI543" i="1"/>
  <c r="AJ543" i="1"/>
  <c r="AK543" i="1"/>
  <c r="AI544" i="1"/>
  <c r="AJ544" i="1"/>
  <c r="AK544" i="1"/>
  <c r="AI545" i="1"/>
  <c r="AJ545" i="1"/>
  <c r="AK545" i="1"/>
  <c r="AI546" i="1"/>
  <c r="AJ546" i="1"/>
  <c r="AK546" i="1"/>
  <c r="AI547" i="1"/>
  <c r="AJ547" i="1"/>
  <c r="AK547" i="1"/>
  <c r="AI548" i="1"/>
  <c r="AJ548" i="1"/>
  <c r="AK548" i="1"/>
  <c r="AI549" i="1"/>
  <c r="AJ549" i="1"/>
  <c r="AK549" i="1"/>
  <c r="AI550" i="1"/>
  <c r="AJ550" i="1"/>
  <c r="AK550" i="1"/>
  <c r="AI551" i="1"/>
  <c r="AJ551" i="1"/>
  <c r="AK551" i="1"/>
  <c r="AI552" i="1"/>
  <c r="AJ552" i="1"/>
  <c r="AK552" i="1"/>
  <c r="AI553" i="1"/>
  <c r="AJ553" i="1"/>
  <c r="AK553" i="1"/>
  <c r="AI554" i="1"/>
  <c r="AJ554" i="1"/>
  <c r="AK554" i="1"/>
  <c r="AI555" i="1"/>
  <c r="AJ555" i="1"/>
  <c r="AK555" i="1"/>
  <c r="AI556" i="1"/>
  <c r="AJ556" i="1"/>
  <c r="AK556" i="1"/>
  <c r="AI557" i="1"/>
  <c r="AJ557" i="1"/>
  <c r="AK557" i="1"/>
  <c r="AI558" i="1"/>
  <c r="AJ558" i="1"/>
  <c r="AK558" i="1"/>
  <c r="AI559" i="1"/>
  <c r="AJ559" i="1"/>
  <c r="AK559" i="1"/>
  <c r="AI560" i="1"/>
  <c r="AJ560" i="1"/>
  <c r="AK560" i="1"/>
  <c r="AI561" i="1"/>
  <c r="AJ561" i="1"/>
  <c r="AK561" i="1"/>
  <c r="AI562" i="1"/>
  <c r="AJ562" i="1"/>
  <c r="AK562" i="1"/>
  <c r="AI563" i="1"/>
  <c r="AJ563" i="1"/>
  <c r="AK563" i="1"/>
  <c r="AI564" i="1"/>
  <c r="AJ564" i="1"/>
  <c r="AK564" i="1"/>
  <c r="AI565" i="1"/>
  <c r="AJ565" i="1"/>
  <c r="AK565" i="1"/>
  <c r="AI566" i="1"/>
  <c r="AJ566" i="1"/>
  <c r="AK566" i="1"/>
  <c r="AI567" i="1"/>
  <c r="AJ567" i="1"/>
  <c r="AK567" i="1"/>
  <c r="AI568" i="1"/>
  <c r="AJ568" i="1"/>
  <c r="AK568" i="1"/>
  <c r="AI569" i="1"/>
  <c r="AJ569" i="1"/>
  <c r="AK569" i="1"/>
  <c r="AI570" i="1"/>
  <c r="AJ570" i="1"/>
  <c r="AK570" i="1"/>
  <c r="AI571" i="1"/>
  <c r="AJ571" i="1"/>
  <c r="AK571" i="1"/>
  <c r="AI572" i="1"/>
  <c r="AJ572" i="1"/>
  <c r="AK572" i="1"/>
  <c r="AI573" i="1"/>
  <c r="AJ573" i="1"/>
  <c r="AK573" i="1"/>
  <c r="AI574" i="1"/>
  <c r="AJ574" i="1"/>
  <c r="AK574" i="1"/>
  <c r="AI575" i="1"/>
  <c r="AJ575" i="1"/>
  <c r="AK575" i="1"/>
  <c r="AI576" i="1"/>
  <c r="AJ576" i="1"/>
  <c r="AK576" i="1"/>
  <c r="AI577" i="1"/>
  <c r="AJ577" i="1"/>
  <c r="AK577" i="1"/>
  <c r="AI578" i="1"/>
  <c r="AJ578" i="1"/>
  <c r="AK578" i="1"/>
  <c r="AI579" i="1"/>
  <c r="AJ579" i="1"/>
  <c r="AK579" i="1"/>
  <c r="AI580" i="1"/>
  <c r="AJ580" i="1"/>
  <c r="AK580" i="1"/>
  <c r="AI581" i="1"/>
  <c r="AJ581" i="1"/>
  <c r="AK581" i="1"/>
  <c r="AI582" i="1"/>
  <c r="AJ582" i="1"/>
  <c r="AK582" i="1"/>
  <c r="AI583" i="1"/>
  <c r="AJ583" i="1"/>
  <c r="AK583" i="1"/>
  <c r="AI584" i="1"/>
  <c r="AJ584" i="1"/>
  <c r="AK584" i="1"/>
  <c r="AI585" i="1"/>
  <c r="AJ585" i="1"/>
  <c r="AK585" i="1"/>
  <c r="AI586" i="1"/>
  <c r="AJ586" i="1"/>
  <c r="AK586" i="1"/>
  <c r="AI587" i="1"/>
  <c r="AJ587" i="1"/>
  <c r="AK587" i="1"/>
  <c r="AI588" i="1"/>
  <c r="AJ588" i="1"/>
  <c r="AK588" i="1"/>
  <c r="AI589" i="1"/>
  <c r="AJ589" i="1"/>
  <c r="AK589" i="1"/>
  <c r="AI590" i="1"/>
  <c r="AJ590" i="1"/>
  <c r="AK590" i="1"/>
  <c r="AI591" i="1"/>
  <c r="AJ591" i="1"/>
  <c r="AK591" i="1"/>
  <c r="AI592" i="1"/>
  <c r="AJ592" i="1"/>
  <c r="AK592" i="1"/>
  <c r="AI593" i="1"/>
  <c r="AJ593" i="1"/>
  <c r="AK593" i="1"/>
  <c r="AI594" i="1"/>
  <c r="AJ594" i="1"/>
  <c r="AK594" i="1"/>
  <c r="AI595" i="1"/>
  <c r="AJ595" i="1"/>
  <c r="AK595" i="1"/>
  <c r="AI596" i="1"/>
  <c r="AJ596" i="1"/>
  <c r="AK596" i="1"/>
  <c r="AI597" i="1"/>
  <c r="AJ597" i="1"/>
  <c r="AK597" i="1"/>
  <c r="AI598" i="1"/>
  <c r="AJ598" i="1"/>
  <c r="AK598" i="1"/>
  <c r="AI599" i="1"/>
  <c r="AJ599" i="1"/>
  <c r="AK599" i="1"/>
  <c r="AI600" i="1"/>
  <c r="AJ600" i="1"/>
  <c r="AK600" i="1"/>
  <c r="AI601" i="1"/>
  <c r="AJ601" i="1"/>
  <c r="AK601" i="1"/>
  <c r="AI602" i="1"/>
  <c r="AJ602" i="1"/>
  <c r="AK602" i="1"/>
  <c r="AI603" i="1"/>
  <c r="AJ603" i="1"/>
  <c r="AK603" i="1"/>
  <c r="AI604" i="1"/>
  <c r="AJ604" i="1"/>
  <c r="AK604" i="1"/>
  <c r="AL538" i="1"/>
  <c r="AM538" i="1"/>
  <c r="AN538" i="1"/>
  <c r="AL539" i="1"/>
  <c r="AM539" i="1"/>
  <c r="AN539" i="1"/>
  <c r="AL540" i="1"/>
  <c r="AM540" i="1"/>
  <c r="AN540" i="1"/>
  <c r="AL541" i="1"/>
  <c r="AL542" i="1"/>
  <c r="AM542" i="1"/>
  <c r="AN542" i="1"/>
  <c r="AL543" i="1"/>
  <c r="AM543" i="1"/>
  <c r="AN543" i="1"/>
  <c r="AL544" i="1"/>
  <c r="AM544" i="1"/>
  <c r="AN544" i="1"/>
  <c r="AL545" i="1"/>
  <c r="AM545" i="1"/>
  <c r="AN545" i="1"/>
  <c r="AL546" i="1"/>
  <c r="AM546" i="1"/>
  <c r="AN546" i="1"/>
  <c r="AL547" i="1"/>
  <c r="AM547" i="1"/>
  <c r="AN547" i="1"/>
  <c r="AL548" i="1"/>
  <c r="AM548" i="1"/>
  <c r="AN548" i="1"/>
  <c r="AL549" i="1"/>
  <c r="AM549" i="1"/>
  <c r="AN549" i="1"/>
  <c r="AL550" i="1"/>
  <c r="AM550" i="1"/>
  <c r="AN550" i="1"/>
  <c r="AL551" i="1"/>
  <c r="AM551" i="1"/>
  <c r="AN551" i="1"/>
  <c r="AL552" i="1"/>
  <c r="AM552" i="1"/>
  <c r="AN552" i="1"/>
  <c r="AL553" i="1"/>
  <c r="AL554" i="1"/>
  <c r="AM554" i="1"/>
  <c r="AN554" i="1"/>
  <c r="AL555" i="1"/>
  <c r="AM555" i="1"/>
  <c r="AN555" i="1"/>
  <c r="AL556" i="1"/>
  <c r="AM556" i="1"/>
  <c r="AN556" i="1"/>
  <c r="AL557" i="1"/>
  <c r="AM557" i="1"/>
  <c r="AN557" i="1"/>
  <c r="AL558" i="1"/>
  <c r="AM558" i="1"/>
  <c r="AN558" i="1"/>
  <c r="AL559" i="1"/>
  <c r="AM559" i="1"/>
  <c r="AN559" i="1"/>
  <c r="AL560" i="1"/>
  <c r="AM560" i="1"/>
  <c r="AN560" i="1"/>
  <c r="AL561" i="1"/>
  <c r="AM561" i="1"/>
  <c r="AN561" i="1"/>
  <c r="AL562" i="1"/>
  <c r="AM562" i="1"/>
  <c r="AN562" i="1"/>
  <c r="AL563" i="1"/>
  <c r="AM563" i="1"/>
  <c r="AN563" i="1"/>
  <c r="AL564" i="1"/>
  <c r="AM564" i="1"/>
  <c r="AN564" i="1"/>
  <c r="AL565" i="1"/>
  <c r="AM565" i="1"/>
  <c r="AN565" i="1"/>
  <c r="AL566" i="1"/>
  <c r="AM566" i="1"/>
  <c r="AN566" i="1"/>
  <c r="AL567" i="1"/>
  <c r="AM567" i="1"/>
  <c r="AN567" i="1"/>
  <c r="AL568" i="1"/>
  <c r="AM568" i="1"/>
  <c r="AN568" i="1"/>
  <c r="AL569" i="1"/>
  <c r="AL570" i="1"/>
  <c r="AM570" i="1"/>
  <c r="AN570" i="1"/>
  <c r="AL571" i="1"/>
  <c r="AM571" i="1"/>
  <c r="AN571" i="1"/>
  <c r="AL572" i="1"/>
  <c r="AM572" i="1"/>
  <c r="AN572" i="1"/>
  <c r="AL573" i="1"/>
  <c r="AM573" i="1"/>
  <c r="AN573" i="1"/>
  <c r="AL574" i="1"/>
  <c r="AM574" i="1"/>
  <c r="AN574" i="1"/>
  <c r="AL575" i="1"/>
  <c r="AM575" i="1"/>
  <c r="AN575" i="1"/>
  <c r="AL576" i="1"/>
  <c r="AM576" i="1"/>
  <c r="AN576" i="1"/>
  <c r="AL577" i="1"/>
  <c r="AM577" i="1"/>
  <c r="AN577" i="1"/>
  <c r="AL578" i="1"/>
  <c r="AM578" i="1"/>
  <c r="AN578" i="1"/>
  <c r="AL579" i="1"/>
  <c r="AM579" i="1"/>
  <c r="AN579" i="1"/>
  <c r="AL580" i="1"/>
  <c r="AM580" i="1"/>
  <c r="AN580" i="1"/>
  <c r="AL581" i="1"/>
  <c r="AM581" i="1"/>
  <c r="AN581" i="1"/>
  <c r="AL582" i="1"/>
  <c r="AM582" i="1"/>
  <c r="AN582" i="1"/>
  <c r="AL583" i="1"/>
  <c r="AM583" i="1"/>
  <c r="AN583" i="1"/>
  <c r="AL584" i="1"/>
  <c r="AM584" i="1"/>
  <c r="AN584" i="1"/>
  <c r="AL585" i="1"/>
  <c r="AM585" i="1"/>
  <c r="AN585" i="1"/>
  <c r="AL586" i="1"/>
  <c r="AM586" i="1"/>
  <c r="AN586" i="1"/>
  <c r="AL587" i="1"/>
  <c r="AM587" i="1"/>
  <c r="AN587" i="1"/>
  <c r="AL588" i="1"/>
  <c r="AM588" i="1"/>
  <c r="AN588" i="1"/>
  <c r="AL589" i="1"/>
  <c r="AM589" i="1"/>
  <c r="AN589" i="1"/>
  <c r="AL590" i="1"/>
  <c r="AM590" i="1"/>
  <c r="AN590" i="1"/>
  <c r="AL591" i="1"/>
  <c r="AM591" i="1"/>
  <c r="AN591" i="1"/>
  <c r="AL592" i="1"/>
  <c r="AM592" i="1"/>
  <c r="AN592" i="1"/>
  <c r="AL593" i="1"/>
  <c r="AM593" i="1"/>
  <c r="AN593" i="1"/>
  <c r="AL594" i="1"/>
  <c r="AM594" i="1"/>
  <c r="AN594" i="1"/>
  <c r="AL595" i="1"/>
  <c r="AM595" i="1"/>
  <c r="AN595" i="1"/>
  <c r="AL596" i="1"/>
  <c r="AM596" i="1"/>
  <c r="AN596" i="1"/>
  <c r="AL597" i="1"/>
  <c r="AM597" i="1"/>
  <c r="AN597" i="1"/>
  <c r="AL598" i="1"/>
  <c r="AM598" i="1"/>
  <c r="AN598" i="1"/>
  <c r="AL599" i="1"/>
  <c r="AM599" i="1"/>
  <c r="AN599" i="1"/>
  <c r="AL600" i="1"/>
  <c r="AM600" i="1"/>
  <c r="AN600" i="1"/>
  <c r="AL601" i="1"/>
  <c r="AM601" i="1"/>
  <c r="AN601" i="1"/>
  <c r="AL602" i="1"/>
  <c r="AM602" i="1"/>
  <c r="AN602" i="1"/>
  <c r="AL603" i="1"/>
  <c r="AM603" i="1"/>
  <c r="AN603" i="1"/>
  <c r="AL604" i="1"/>
  <c r="AM604" i="1"/>
  <c r="AN604" i="1"/>
  <c r="AM541" i="1"/>
  <c r="AN541" i="1"/>
  <c r="AM553" i="1"/>
  <c r="AN553" i="1"/>
  <c r="AM569" i="1"/>
  <c r="AN569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T778" i="2"/>
  <c r="T782" i="2"/>
  <c r="T786" i="2"/>
  <c r="AQ590" i="1"/>
  <c r="AQ578" i="1"/>
  <c r="T861" i="2"/>
  <c r="T2156" i="2"/>
  <c r="AQ538" i="1"/>
  <c r="AQ546" i="1"/>
  <c r="AQ586" i="1"/>
  <c r="AQ570" i="1"/>
  <c r="AQ562" i="1"/>
  <c r="AQ554" i="1"/>
  <c r="AQ593" i="1"/>
  <c r="AQ589" i="1"/>
  <c r="AQ585" i="1"/>
  <c r="AQ581" i="1"/>
  <c r="AQ577" i="1"/>
  <c r="AQ573" i="1"/>
  <c r="AQ569" i="1"/>
  <c r="AQ565" i="1"/>
  <c r="AQ561" i="1"/>
  <c r="AQ557" i="1"/>
  <c r="AQ553" i="1"/>
  <c r="AQ549" i="1"/>
  <c r="AQ545" i="1"/>
  <c r="AQ541" i="1"/>
  <c r="AQ579" i="1"/>
  <c r="AQ575" i="1"/>
  <c r="AQ571" i="1"/>
  <c r="AQ567" i="1"/>
  <c r="AQ563" i="1"/>
  <c r="AQ559" i="1"/>
  <c r="AQ555" i="1"/>
  <c r="AQ551" i="1"/>
  <c r="AQ547" i="1"/>
  <c r="AQ543" i="1"/>
  <c r="AQ539" i="1"/>
  <c r="AQ552" i="1"/>
  <c r="AQ548" i="1"/>
  <c r="AQ544" i="1"/>
  <c r="AQ540" i="1"/>
  <c r="AQ601" i="1"/>
  <c r="AQ597" i="1"/>
  <c r="AQ603" i="1"/>
  <c r="AQ599" i="1"/>
  <c r="AQ595" i="1"/>
  <c r="AQ591" i="1"/>
  <c r="AQ587" i="1"/>
  <c r="AQ583" i="1"/>
  <c r="AQ602" i="1"/>
  <c r="AQ598" i="1"/>
  <c r="AQ594" i="1"/>
  <c r="AQ582" i="1"/>
  <c r="AQ574" i="1"/>
  <c r="AQ566" i="1"/>
  <c r="AQ558" i="1"/>
  <c r="AQ550" i="1"/>
  <c r="AQ542" i="1"/>
  <c r="AQ600" i="1"/>
  <c r="AQ596" i="1"/>
  <c r="AQ592" i="1"/>
  <c r="AQ588" i="1"/>
  <c r="AQ584" i="1"/>
  <c r="AQ580" i="1"/>
  <c r="AQ576" i="1"/>
  <c r="AQ572" i="1"/>
  <c r="AQ568" i="1"/>
  <c r="AQ564" i="1"/>
  <c r="AQ560" i="1"/>
  <c r="AQ556" i="1"/>
  <c r="AQ604" i="1"/>
  <c r="AO2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P2" i="1"/>
  <c r="AQ2" i="1"/>
  <c r="AP3" i="1"/>
  <c r="AQ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P25" i="1"/>
  <c r="AQ25" i="1"/>
  <c r="AP26" i="1"/>
  <c r="AQ26" i="1"/>
  <c r="AP27" i="1"/>
  <c r="AQ27" i="1"/>
  <c r="AP28" i="1"/>
  <c r="AQ28" i="1"/>
  <c r="AP29" i="1"/>
  <c r="AQ29" i="1"/>
  <c r="AP30" i="1"/>
  <c r="AQ30" i="1"/>
  <c r="AP31" i="1"/>
  <c r="AQ31" i="1"/>
  <c r="AP32" i="1"/>
  <c r="AQ32" i="1"/>
  <c r="AP33" i="1"/>
  <c r="AQ33" i="1"/>
  <c r="AP34" i="1"/>
  <c r="AQ34" i="1"/>
  <c r="AP35" i="1"/>
  <c r="AQ35" i="1"/>
  <c r="AP36" i="1"/>
  <c r="AQ36" i="1"/>
  <c r="AP37" i="1"/>
  <c r="AQ37" i="1"/>
  <c r="AP38" i="1"/>
  <c r="AQ38" i="1"/>
  <c r="AP39" i="1"/>
  <c r="AQ39" i="1"/>
  <c r="AP40" i="1"/>
  <c r="AQ40" i="1"/>
  <c r="AP41" i="1"/>
  <c r="AQ41" i="1"/>
  <c r="AP42" i="1"/>
  <c r="AQ42" i="1"/>
  <c r="AP43" i="1"/>
  <c r="AQ43" i="1"/>
  <c r="AP44" i="1"/>
  <c r="AQ44" i="1"/>
  <c r="AP45" i="1"/>
  <c r="AQ45" i="1"/>
  <c r="AP46" i="1"/>
  <c r="AQ46" i="1"/>
  <c r="AP47" i="1"/>
  <c r="AQ47" i="1"/>
  <c r="AP48" i="1"/>
  <c r="AQ48" i="1"/>
  <c r="AP49" i="1"/>
  <c r="AQ49" i="1"/>
  <c r="AP50" i="1"/>
  <c r="AQ50" i="1"/>
  <c r="AP51" i="1"/>
  <c r="AQ51" i="1"/>
  <c r="AP52" i="1"/>
  <c r="AQ52" i="1"/>
  <c r="AP53" i="1"/>
  <c r="AQ53" i="1"/>
  <c r="AP54" i="1"/>
  <c r="AQ54" i="1"/>
  <c r="AP55" i="1"/>
  <c r="AQ55" i="1"/>
  <c r="AP56" i="1"/>
  <c r="AQ56" i="1"/>
  <c r="AP57" i="1"/>
  <c r="AQ57" i="1"/>
  <c r="AP58" i="1"/>
  <c r="AQ58" i="1"/>
  <c r="AP59" i="1"/>
  <c r="AQ59" i="1"/>
  <c r="AP60" i="1"/>
  <c r="AQ60" i="1"/>
  <c r="AP61" i="1"/>
  <c r="AQ61" i="1"/>
  <c r="AP62" i="1"/>
  <c r="AQ62" i="1"/>
  <c r="AP63" i="1"/>
  <c r="AQ63" i="1"/>
  <c r="AP64" i="1"/>
  <c r="AQ64" i="1"/>
  <c r="AP65" i="1"/>
  <c r="AQ65" i="1"/>
  <c r="AP66" i="1"/>
  <c r="AQ66" i="1"/>
  <c r="AP67" i="1"/>
  <c r="AQ67" i="1"/>
  <c r="AP68" i="1"/>
  <c r="AQ68" i="1"/>
  <c r="AP69" i="1"/>
  <c r="AQ69" i="1"/>
  <c r="AP70" i="1"/>
  <c r="AQ70" i="1"/>
  <c r="AP71" i="1"/>
  <c r="AQ71" i="1"/>
  <c r="AP72" i="1"/>
  <c r="AQ72" i="1"/>
  <c r="AP73" i="1"/>
  <c r="AQ73" i="1"/>
  <c r="AP74" i="1"/>
  <c r="AQ74" i="1"/>
  <c r="AP75" i="1"/>
  <c r="AQ75" i="1"/>
  <c r="AP76" i="1"/>
  <c r="AQ76" i="1"/>
  <c r="AP77" i="1"/>
  <c r="AQ77" i="1"/>
  <c r="AP78" i="1"/>
  <c r="AQ78" i="1"/>
  <c r="AP79" i="1"/>
  <c r="AQ79" i="1"/>
  <c r="AP80" i="1"/>
  <c r="AQ80" i="1"/>
  <c r="AP81" i="1"/>
  <c r="AQ81" i="1"/>
  <c r="AP82" i="1"/>
  <c r="AQ82" i="1"/>
  <c r="AP83" i="1"/>
  <c r="AQ83" i="1"/>
  <c r="AP84" i="1"/>
  <c r="AQ84" i="1"/>
  <c r="AP85" i="1"/>
  <c r="AQ85" i="1"/>
  <c r="AP86" i="1"/>
  <c r="AQ86" i="1"/>
  <c r="AP87" i="1"/>
  <c r="AQ87" i="1"/>
  <c r="AP88" i="1"/>
  <c r="AQ88" i="1"/>
  <c r="AP89" i="1"/>
  <c r="AQ89" i="1"/>
  <c r="AP90" i="1"/>
  <c r="AQ90" i="1"/>
  <c r="AP91" i="1"/>
  <c r="AQ91" i="1"/>
  <c r="AP92" i="1"/>
  <c r="AQ92" i="1"/>
  <c r="AP93" i="1"/>
  <c r="AQ93" i="1"/>
  <c r="AP94" i="1"/>
  <c r="AQ94" i="1"/>
  <c r="AP95" i="1"/>
  <c r="AQ95" i="1"/>
  <c r="AP96" i="1"/>
  <c r="AQ96" i="1"/>
  <c r="AP97" i="1"/>
  <c r="AQ97" i="1"/>
  <c r="AP98" i="1"/>
  <c r="AQ98" i="1"/>
  <c r="AP99" i="1"/>
  <c r="AQ99" i="1"/>
  <c r="AP100" i="1"/>
  <c r="AQ100" i="1"/>
  <c r="AP101" i="1"/>
  <c r="AQ101" i="1"/>
  <c r="AP102" i="1"/>
  <c r="AQ102" i="1"/>
  <c r="AP103" i="1"/>
  <c r="AQ103" i="1"/>
  <c r="AP104" i="1"/>
  <c r="AQ104" i="1"/>
  <c r="AP105" i="1"/>
  <c r="AQ105" i="1"/>
  <c r="AP106" i="1"/>
  <c r="AQ106" i="1"/>
  <c r="AP107" i="1"/>
  <c r="AQ107" i="1"/>
  <c r="AP108" i="1"/>
  <c r="AQ108" i="1"/>
  <c r="AP109" i="1"/>
  <c r="AQ109" i="1"/>
  <c r="AP110" i="1"/>
  <c r="AQ110" i="1"/>
  <c r="AP111" i="1"/>
  <c r="AQ111" i="1"/>
  <c r="AP112" i="1"/>
  <c r="AQ112" i="1"/>
  <c r="AP113" i="1"/>
  <c r="AQ113" i="1"/>
  <c r="AP114" i="1"/>
  <c r="AQ114" i="1"/>
  <c r="AP115" i="1"/>
  <c r="AQ115" i="1"/>
  <c r="AP116" i="1"/>
  <c r="AQ116" i="1"/>
  <c r="AP117" i="1"/>
  <c r="AQ117" i="1"/>
  <c r="AP118" i="1"/>
  <c r="AQ118" i="1"/>
  <c r="AP119" i="1"/>
  <c r="AQ119" i="1"/>
  <c r="AP120" i="1"/>
  <c r="AQ120" i="1"/>
  <c r="AP121" i="1"/>
  <c r="AQ121" i="1"/>
  <c r="AP122" i="1"/>
  <c r="AQ122" i="1"/>
  <c r="AP123" i="1"/>
  <c r="AQ123" i="1"/>
  <c r="AP124" i="1"/>
  <c r="AQ124" i="1"/>
  <c r="AP125" i="1"/>
  <c r="AQ125" i="1"/>
  <c r="AP126" i="1"/>
  <c r="AQ126" i="1"/>
  <c r="AP127" i="1"/>
  <c r="AQ127" i="1"/>
  <c r="AP128" i="1"/>
  <c r="AQ128" i="1"/>
  <c r="AP129" i="1"/>
  <c r="AQ129" i="1"/>
  <c r="AP130" i="1"/>
  <c r="AQ130" i="1"/>
  <c r="AP131" i="1"/>
  <c r="AQ131" i="1"/>
  <c r="AP132" i="1"/>
  <c r="AQ132" i="1"/>
  <c r="AP133" i="1"/>
  <c r="AQ133" i="1"/>
  <c r="AP134" i="1"/>
  <c r="AQ134" i="1"/>
  <c r="AP135" i="1"/>
  <c r="AQ135" i="1"/>
  <c r="AP136" i="1"/>
  <c r="AQ136" i="1"/>
  <c r="AP137" i="1"/>
  <c r="AQ137" i="1"/>
  <c r="AP138" i="1"/>
  <c r="AQ138" i="1"/>
  <c r="AP139" i="1"/>
  <c r="AQ139" i="1"/>
  <c r="AP140" i="1"/>
  <c r="AQ140" i="1"/>
  <c r="AP141" i="1"/>
  <c r="AQ141" i="1"/>
  <c r="AP142" i="1"/>
  <c r="AQ142" i="1"/>
  <c r="AP143" i="1"/>
  <c r="AQ143" i="1"/>
  <c r="AP144" i="1"/>
  <c r="AQ144" i="1"/>
  <c r="AP145" i="1"/>
  <c r="AQ145" i="1"/>
  <c r="AP146" i="1"/>
  <c r="AQ146" i="1"/>
  <c r="AP147" i="1"/>
  <c r="AQ147" i="1"/>
  <c r="AP148" i="1"/>
  <c r="AQ148" i="1"/>
  <c r="AP149" i="1"/>
  <c r="AQ149" i="1"/>
  <c r="AP150" i="1"/>
  <c r="AQ150" i="1"/>
  <c r="AP151" i="1"/>
  <c r="AQ151" i="1"/>
  <c r="AP152" i="1"/>
  <c r="AQ152" i="1"/>
  <c r="AP153" i="1"/>
  <c r="AQ153" i="1"/>
  <c r="AP154" i="1"/>
  <c r="AQ154" i="1"/>
  <c r="AP155" i="1"/>
  <c r="AQ155" i="1"/>
  <c r="AP156" i="1"/>
  <c r="AQ156" i="1"/>
  <c r="AP157" i="1"/>
  <c r="AQ157" i="1"/>
  <c r="AP158" i="1"/>
  <c r="AQ158" i="1"/>
  <c r="AP159" i="1"/>
  <c r="AQ159" i="1"/>
  <c r="AP160" i="1"/>
  <c r="AQ160" i="1"/>
  <c r="AP161" i="1"/>
  <c r="AQ161" i="1"/>
  <c r="AP162" i="1"/>
  <c r="AQ162" i="1"/>
  <c r="AP163" i="1"/>
  <c r="AQ163" i="1"/>
  <c r="AP164" i="1"/>
  <c r="AQ164" i="1"/>
  <c r="AP165" i="1"/>
  <c r="AQ165" i="1"/>
  <c r="AP166" i="1"/>
  <c r="AQ166" i="1"/>
  <c r="AP167" i="1"/>
  <c r="AQ167" i="1"/>
  <c r="AP168" i="1"/>
  <c r="AQ168" i="1"/>
  <c r="AP169" i="1"/>
  <c r="AQ169" i="1"/>
  <c r="AP170" i="1"/>
  <c r="AQ170" i="1"/>
  <c r="AP171" i="1"/>
  <c r="AQ171" i="1"/>
  <c r="AP172" i="1"/>
  <c r="AQ172" i="1"/>
  <c r="AP173" i="1"/>
  <c r="AQ173" i="1"/>
  <c r="AP174" i="1"/>
  <c r="AQ174" i="1"/>
  <c r="AP175" i="1"/>
  <c r="AQ175" i="1"/>
  <c r="AP176" i="1"/>
  <c r="AQ176" i="1"/>
  <c r="AP177" i="1"/>
  <c r="AQ177" i="1"/>
  <c r="AP178" i="1"/>
  <c r="AQ178" i="1"/>
  <c r="AP179" i="1"/>
  <c r="AQ179" i="1"/>
  <c r="AP180" i="1"/>
  <c r="AQ180" i="1"/>
  <c r="AP181" i="1"/>
  <c r="AQ181" i="1"/>
  <c r="AP182" i="1"/>
  <c r="AQ182" i="1"/>
  <c r="AP183" i="1"/>
  <c r="AQ183" i="1"/>
  <c r="AP184" i="1"/>
  <c r="AQ184" i="1"/>
  <c r="AP185" i="1"/>
  <c r="AQ185" i="1"/>
  <c r="AP186" i="1"/>
  <c r="AQ186" i="1"/>
  <c r="AP187" i="1"/>
  <c r="AQ187" i="1"/>
  <c r="AP188" i="1"/>
  <c r="AQ188" i="1"/>
  <c r="AP189" i="1"/>
  <c r="AQ189" i="1"/>
  <c r="AP190" i="1"/>
  <c r="AQ190" i="1"/>
  <c r="AP191" i="1"/>
  <c r="AQ191" i="1"/>
  <c r="AP192" i="1"/>
  <c r="AQ192" i="1"/>
  <c r="AP193" i="1"/>
  <c r="AQ193" i="1"/>
  <c r="AP194" i="1"/>
  <c r="AQ194" i="1"/>
  <c r="AP195" i="1"/>
  <c r="AQ195" i="1"/>
  <c r="AP196" i="1"/>
  <c r="AQ196" i="1"/>
  <c r="AP197" i="1"/>
  <c r="AQ197" i="1"/>
  <c r="AP198" i="1"/>
  <c r="AQ198" i="1"/>
  <c r="AP199" i="1"/>
  <c r="AQ199" i="1"/>
  <c r="AP200" i="1"/>
  <c r="AQ200" i="1"/>
  <c r="AP201" i="1"/>
  <c r="AQ201" i="1"/>
  <c r="AP202" i="1"/>
  <c r="AQ202" i="1"/>
  <c r="AP203" i="1"/>
  <c r="AQ203" i="1"/>
  <c r="AP204" i="1"/>
  <c r="AQ204" i="1"/>
  <c r="AP205" i="1"/>
  <c r="AQ205" i="1"/>
  <c r="AP206" i="1"/>
  <c r="AQ206" i="1"/>
  <c r="AP207" i="1"/>
  <c r="AQ207" i="1"/>
  <c r="AP208" i="1"/>
  <c r="AQ208" i="1"/>
  <c r="AP209" i="1"/>
  <c r="AQ209" i="1"/>
  <c r="AP210" i="1"/>
  <c r="AQ210" i="1"/>
  <c r="AP211" i="1"/>
  <c r="AQ211" i="1"/>
  <c r="AP212" i="1"/>
  <c r="AQ212" i="1"/>
  <c r="AP213" i="1"/>
  <c r="AQ213" i="1"/>
  <c r="AP214" i="1"/>
  <c r="AQ214" i="1"/>
  <c r="AP215" i="1"/>
  <c r="AQ215" i="1"/>
  <c r="AP216" i="1"/>
  <c r="AQ216" i="1"/>
  <c r="AP217" i="1"/>
  <c r="AQ217" i="1"/>
  <c r="AP218" i="1"/>
  <c r="AQ218" i="1"/>
  <c r="AP219" i="1"/>
  <c r="AQ219" i="1"/>
  <c r="AP220" i="1"/>
  <c r="AQ220" i="1"/>
  <c r="AP221" i="1"/>
  <c r="AQ221" i="1"/>
  <c r="AP222" i="1"/>
  <c r="AQ222" i="1"/>
  <c r="AP223" i="1"/>
  <c r="AQ223" i="1"/>
  <c r="AP224" i="1"/>
  <c r="AQ224" i="1"/>
  <c r="AP225" i="1"/>
  <c r="AQ225" i="1"/>
  <c r="AP226" i="1"/>
  <c r="AQ226" i="1"/>
  <c r="AP227" i="1"/>
  <c r="AQ227" i="1"/>
  <c r="AP228" i="1"/>
  <c r="AQ228" i="1"/>
  <c r="AP229" i="1"/>
  <c r="AQ229" i="1"/>
  <c r="AP230" i="1"/>
  <c r="AQ230" i="1"/>
  <c r="AP231" i="1"/>
  <c r="AQ231" i="1"/>
  <c r="AP232" i="1"/>
  <c r="AQ232" i="1"/>
  <c r="AP233" i="1"/>
  <c r="AQ233" i="1"/>
  <c r="AP234" i="1"/>
  <c r="AQ234" i="1"/>
  <c r="AP235" i="1"/>
  <c r="AQ235" i="1"/>
  <c r="AP236" i="1"/>
  <c r="AQ236" i="1"/>
  <c r="AP237" i="1"/>
  <c r="AQ237" i="1"/>
  <c r="AP238" i="1"/>
  <c r="AQ238" i="1"/>
  <c r="AP239" i="1"/>
  <c r="AQ239" i="1"/>
  <c r="AP240" i="1"/>
  <c r="AQ240" i="1"/>
  <c r="AP241" i="1"/>
  <c r="AQ241" i="1"/>
  <c r="AP242" i="1"/>
  <c r="AQ242" i="1"/>
  <c r="AP243" i="1"/>
  <c r="AQ243" i="1"/>
  <c r="AP244" i="1"/>
  <c r="AQ244" i="1"/>
  <c r="AP245" i="1"/>
  <c r="AQ245" i="1"/>
  <c r="AP246" i="1"/>
  <c r="AQ246" i="1"/>
  <c r="AP247" i="1"/>
  <c r="AQ247" i="1"/>
  <c r="AP248" i="1"/>
  <c r="AQ248" i="1"/>
  <c r="AP249" i="1"/>
  <c r="AQ249" i="1"/>
  <c r="AP250" i="1"/>
  <c r="AQ250" i="1"/>
  <c r="AP251" i="1"/>
  <c r="AQ251" i="1"/>
  <c r="AP252" i="1"/>
  <c r="AQ252" i="1"/>
  <c r="AP253" i="1"/>
  <c r="AQ253" i="1"/>
  <c r="AP254" i="1"/>
  <c r="AQ254" i="1"/>
  <c r="AP255" i="1"/>
  <c r="AQ255" i="1"/>
  <c r="AP256" i="1"/>
  <c r="AQ256" i="1"/>
  <c r="AP257" i="1"/>
  <c r="AQ257" i="1"/>
  <c r="AP258" i="1"/>
  <c r="AQ258" i="1"/>
  <c r="AP259" i="1"/>
  <c r="AQ259" i="1"/>
  <c r="AP260" i="1"/>
  <c r="AQ260" i="1"/>
  <c r="AP261" i="1"/>
  <c r="AQ261" i="1"/>
  <c r="AP262" i="1"/>
  <c r="AQ262" i="1"/>
  <c r="AP263" i="1"/>
  <c r="AQ263" i="1"/>
  <c r="AP264" i="1"/>
  <c r="AQ264" i="1"/>
  <c r="AP265" i="1"/>
  <c r="AQ265" i="1"/>
  <c r="AP266" i="1"/>
  <c r="AQ266" i="1"/>
  <c r="AP267" i="1"/>
  <c r="AQ267" i="1"/>
  <c r="AP268" i="1"/>
  <c r="AQ268" i="1"/>
  <c r="AP269" i="1"/>
  <c r="AQ269" i="1"/>
  <c r="AP270" i="1"/>
  <c r="AQ270" i="1"/>
  <c r="AP271" i="1"/>
  <c r="AQ271" i="1"/>
  <c r="AP272" i="1"/>
  <c r="AQ272" i="1"/>
  <c r="AP273" i="1"/>
  <c r="AQ273" i="1"/>
  <c r="AP274" i="1"/>
  <c r="AQ274" i="1"/>
  <c r="AP275" i="1"/>
  <c r="AQ275" i="1"/>
  <c r="AP276" i="1"/>
  <c r="AQ276" i="1"/>
  <c r="AP277" i="1"/>
  <c r="AQ277" i="1"/>
  <c r="AP278" i="1"/>
  <c r="AQ278" i="1"/>
  <c r="AP279" i="1"/>
  <c r="AQ279" i="1"/>
  <c r="AP280" i="1"/>
  <c r="AQ280" i="1"/>
  <c r="AP281" i="1"/>
  <c r="AQ281" i="1"/>
  <c r="AP282" i="1"/>
  <c r="AQ282" i="1"/>
  <c r="AP283" i="1"/>
  <c r="AQ283" i="1"/>
  <c r="AP284" i="1"/>
  <c r="AQ284" i="1"/>
  <c r="AP285" i="1"/>
  <c r="AQ285" i="1"/>
  <c r="AP286" i="1"/>
  <c r="AQ286" i="1"/>
  <c r="AP287" i="1"/>
  <c r="AQ287" i="1"/>
  <c r="AP288" i="1"/>
  <c r="AQ288" i="1"/>
  <c r="AP289" i="1"/>
  <c r="AQ289" i="1"/>
  <c r="AP290" i="1"/>
  <c r="AQ290" i="1"/>
  <c r="AP291" i="1"/>
  <c r="AQ291" i="1"/>
  <c r="AP292" i="1"/>
  <c r="AQ292" i="1"/>
  <c r="AP293" i="1"/>
  <c r="AQ293" i="1"/>
  <c r="AP294" i="1"/>
  <c r="AQ294" i="1"/>
  <c r="AP295" i="1"/>
  <c r="AQ295" i="1"/>
  <c r="AP296" i="1"/>
  <c r="AQ296" i="1"/>
  <c r="AP297" i="1"/>
  <c r="AQ297" i="1"/>
  <c r="AP298" i="1"/>
  <c r="AQ298" i="1"/>
  <c r="AP299" i="1"/>
  <c r="AQ299" i="1"/>
  <c r="AP300" i="1"/>
  <c r="AQ300" i="1"/>
  <c r="AP301" i="1"/>
  <c r="AQ301" i="1"/>
  <c r="AP302" i="1"/>
  <c r="AQ302" i="1"/>
  <c r="AP303" i="1"/>
  <c r="AQ303" i="1"/>
  <c r="AP304" i="1"/>
  <c r="AQ304" i="1"/>
  <c r="AP305" i="1"/>
  <c r="AQ305" i="1"/>
  <c r="AP306" i="1"/>
  <c r="AQ306" i="1"/>
  <c r="AP307" i="1"/>
  <c r="AQ307" i="1"/>
  <c r="AP308" i="1"/>
  <c r="AQ308" i="1"/>
  <c r="AP309" i="1"/>
  <c r="AQ309" i="1"/>
  <c r="AP310" i="1"/>
  <c r="AQ310" i="1"/>
  <c r="AP311" i="1"/>
  <c r="AQ311" i="1"/>
  <c r="AP312" i="1"/>
  <c r="AQ312" i="1"/>
  <c r="AP313" i="1"/>
  <c r="AQ313" i="1"/>
  <c r="AP314" i="1"/>
  <c r="AQ314" i="1"/>
  <c r="AP315" i="1"/>
  <c r="AQ315" i="1"/>
  <c r="AP316" i="1"/>
  <c r="AQ316" i="1"/>
  <c r="AP317" i="1"/>
  <c r="AQ317" i="1"/>
  <c r="AP318" i="1"/>
  <c r="AQ318" i="1"/>
  <c r="AP319" i="1"/>
  <c r="AQ319" i="1"/>
  <c r="AP320" i="1"/>
  <c r="AQ320" i="1"/>
  <c r="AP321" i="1"/>
  <c r="AQ321" i="1"/>
  <c r="AP322" i="1"/>
  <c r="AQ322" i="1"/>
  <c r="AP323" i="1"/>
  <c r="AQ323" i="1"/>
  <c r="AP324" i="1"/>
  <c r="AQ324" i="1"/>
  <c r="AP325" i="1"/>
  <c r="AQ325" i="1"/>
  <c r="AP326" i="1"/>
  <c r="AQ326" i="1"/>
  <c r="AP327" i="1"/>
  <c r="AQ327" i="1"/>
  <c r="AP328" i="1"/>
  <c r="AQ328" i="1"/>
  <c r="AP329" i="1"/>
  <c r="AQ329" i="1"/>
  <c r="AP330" i="1"/>
  <c r="AQ330" i="1"/>
  <c r="AP331" i="1"/>
  <c r="AQ331" i="1"/>
  <c r="AP332" i="1"/>
  <c r="AQ332" i="1"/>
  <c r="AP333" i="1"/>
  <c r="AQ333" i="1"/>
  <c r="AP334" i="1"/>
  <c r="AQ334" i="1"/>
  <c r="AP335" i="1"/>
  <c r="AQ335" i="1"/>
  <c r="AP336" i="1"/>
  <c r="AQ336" i="1"/>
  <c r="AP337" i="1"/>
  <c r="AQ337" i="1"/>
  <c r="AP338" i="1"/>
  <c r="AQ338" i="1"/>
  <c r="AP339" i="1"/>
  <c r="AQ339" i="1"/>
  <c r="AP340" i="1"/>
  <c r="AQ340" i="1"/>
  <c r="AP341" i="1"/>
  <c r="AQ341" i="1"/>
  <c r="AP342" i="1"/>
  <c r="AQ342" i="1"/>
  <c r="AP343" i="1"/>
  <c r="AQ343" i="1"/>
  <c r="AP344" i="1"/>
  <c r="AQ344" i="1"/>
  <c r="AP345" i="1"/>
  <c r="AQ345" i="1"/>
  <c r="AP346" i="1"/>
  <c r="AQ346" i="1"/>
  <c r="AP347" i="1"/>
  <c r="AQ347" i="1"/>
  <c r="AP348" i="1"/>
  <c r="AQ348" i="1"/>
  <c r="AP349" i="1"/>
  <c r="AQ349" i="1"/>
  <c r="AP350" i="1"/>
  <c r="AQ350" i="1"/>
  <c r="AP351" i="1"/>
  <c r="AQ351" i="1"/>
  <c r="AP352" i="1"/>
  <c r="AQ352" i="1"/>
  <c r="AP353" i="1"/>
  <c r="AQ353" i="1"/>
  <c r="AP354" i="1"/>
  <c r="AQ354" i="1"/>
  <c r="AP355" i="1"/>
  <c r="AQ355" i="1"/>
  <c r="AP356" i="1"/>
  <c r="AQ356" i="1"/>
  <c r="AP357" i="1"/>
  <c r="AQ357" i="1"/>
  <c r="AP358" i="1"/>
  <c r="AQ358" i="1"/>
  <c r="AP359" i="1"/>
  <c r="AQ359" i="1"/>
  <c r="AP360" i="1"/>
  <c r="AQ360" i="1"/>
  <c r="AP361" i="1"/>
  <c r="AQ361" i="1"/>
  <c r="AP362" i="1"/>
  <c r="AQ362" i="1"/>
  <c r="AP363" i="1"/>
  <c r="AQ363" i="1"/>
  <c r="AP364" i="1"/>
  <c r="AQ364" i="1"/>
  <c r="AP365" i="1"/>
  <c r="AQ365" i="1"/>
  <c r="AP366" i="1"/>
  <c r="AQ366" i="1"/>
  <c r="AP367" i="1"/>
  <c r="AQ367" i="1"/>
  <c r="AP368" i="1"/>
  <c r="AQ368" i="1"/>
  <c r="AP369" i="1"/>
  <c r="AQ369" i="1"/>
  <c r="AP370" i="1"/>
  <c r="AQ370" i="1"/>
  <c r="AP371" i="1"/>
  <c r="AQ371" i="1"/>
  <c r="AP372" i="1"/>
  <c r="AQ372" i="1"/>
  <c r="AP373" i="1"/>
  <c r="AQ373" i="1"/>
  <c r="AP374" i="1"/>
  <c r="AQ374" i="1"/>
  <c r="AP375" i="1"/>
  <c r="AQ375" i="1"/>
  <c r="AP376" i="1"/>
  <c r="AQ376" i="1"/>
  <c r="AP377" i="1"/>
  <c r="AQ377" i="1"/>
  <c r="AP378" i="1"/>
  <c r="AQ378" i="1"/>
  <c r="AP379" i="1"/>
  <c r="AQ379" i="1"/>
  <c r="AP380" i="1"/>
  <c r="AQ380" i="1"/>
  <c r="AP381" i="1"/>
  <c r="AQ381" i="1"/>
  <c r="AP382" i="1"/>
  <c r="AQ382" i="1"/>
  <c r="AP383" i="1"/>
  <c r="AQ383" i="1"/>
  <c r="AP384" i="1"/>
  <c r="AQ384" i="1"/>
  <c r="AP385" i="1"/>
  <c r="AQ385" i="1"/>
  <c r="AP386" i="1"/>
  <c r="AQ386" i="1"/>
  <c r="AP387" i="1"/>
  <c r="AQ387" i="1"/>
  <c r="AP388" i="1"/>
  <c r="AQ388" i="1"/>
  <c r="AP389" i="1"/>
  <c r="AQ389" i="1"/>
  <c r="AP390" i="1"/>
  <c r="AQ390" i="1"/>
  <c r="AP391" i="1"/>
  <c r="AQ391" i="1"/>
  <c r="AP392" i="1"/>
  <c r="AQ392" i="1"/>
  <c r="AP393" i="1"/>
  <c r="AQ393" i="1"/>
  <c r="AP394" i="1"/>
  <c r="AQ394" i="1"/>
  <c r="AP395" i="1"/>
  <c r="AQ395" i="1"/>
  <c r="AP396" i="1"/>
  <c r="AQ396" i="1"/>
  <c r="AP397" i="1"/>
  <c r="AQ397" i="1"/>
  <c r="AP398" i="1"/>
  <c r="AQ398" i="1"/>
  <c r="AP399" i="1"/>
  <c r="AQ399" i="1"/>
  <c r="AP400" i="1"/>
  <c r="AQ400" i="1"/>
  <c r="AP401" i="1"/>
  <c r="AQ401" i="1"/>
  <c r="AP402" i="1"/>
  <c r="AQ402" i="1"/>
  <c r="AP403" i="1"/>
  <c r="AQ403" i="1"/>
  <c r="AP404" i="1"/>
  <c r="AQ404" i="1"/>
  <c r="AP405" i="1"/>
  <c r="AQ405" i="1"/>
  <c r="AP406" i="1"/>
  <c r="AQ406" i="1"/>
  <c r="AP407" i="1"/>
  <c r="AQ407" i="1"/>
  <c r="AP408" i="1"/>
  <c r="AQ408" i="1"/>
  <c r="AP409" i="1"/>
  <c r="AQ409" i="1"/>
  <c r="AP410" i="1"/>
  <c r="AQ410" i="1"/>
  <c r="AP411" i="1"/>
  <c r="AQ411" i="1"/>
  <c r="AP412" i="1"/>
  <c r="AQ412" i="1"/>
  <c r="AP413" i="1"/>
  <c r="AQ413" i="1"/>
  <c r="AP414" i="1"/>
  <c r="AQ414" i="1"/>
  <c r="AP415" i="1"/>
  <c r="AQ415" i="1"/>
  <c r="AP416" i="1"/>
  <c r="AQ416" i="1"/>
  <c r="AP417" i="1"/>
  <c r="AQ417" i="1"/>
  <c r="AP418" i="1"/>
  <c r="AQ418" i="1"/>
  <c r="AP419" i="1"/>
  <c r="AQ419" i="1"/>
  <c r="AP420" i="1"/>
  <c r="AQ420" i="1"/>
  <c r="AP421" i="1"/>
  <c r="AQ421" i="1"/>
  <c r="AP422" i="1"/>
  <c r="AQ422" i="1"/>
  <c r="AP423" i="1"/>
  <c r="AQ423" i="1"/>
  <c r="AP424" i="1"/>
  <c r="AQ424" i="1"/>
  <c r="AP425" i="1"/>
  <c r="AQ425" i="1"/>
  <c r="AP426" i="1"/>
  <c r="AQ426" i="1"/>
  <c r="AP427" i="1"/>
  <c r="AQ427" i="1"/>
  <c r="AP428" i="1"/>
  <c r="AP429" i="1"/>
  <c r="AQ429" i="1"/>
  <c r="AP430" i="1"/>
  <c r="AQ430" i="1"/>
  <c r="AP431" i="1"/>
  <c r="AQ431" i="1"/>
  <c r="AP432" i="1"/>
  <c r="AQ432" i="1"/>
  <c r="AP433" i="1"/>
  <c r="AQ433" i="1"/>
  <c r="AP434" i="1"/>
  <c r="AQ434" i="1"/>
  <c r="AP435" i="1"/>
  <c r="AQ435" i="1"/>
  <c r="AP436" i="1"/>
  <c r="AQ436" i="1"/>
  <c r="AP437" i="1"/>
  <c r="AQ437" i="1"/>
  <c r="AP438" i="1"/>
  <c r="AQ438" i="1"/>
  <c r="AP439" i="1"/>
  <c r="AQ439" i="1"/>
  <c r="AP440" i="1"/>
  <c r="AQ440" i="1"/>
  <c r="AP441" i="1"/>
  <c r="AQ441" i="1"/>
  <c r="AP442" i="1"/>
  <c r="AQ442" i="1"/>
  <c r="AP443" i="1"/>
  <c r="AQ443" i="1"/>
  <c r="AP444" i="1"/>
  <c r="AQ444" i="1"/>
  <c r="AP445" i="1"/>
  <c r="AQ445" i="1"/>
  <c r="AP446" i="1"/>
  <c r="AQ446" i="1"/>
  <c r="AP447" i="1"/>
  <c r="AQ447" i="1"/>
  <c r="AP448" i="1"/>
  <c r="AQ448" i="1"/>
  <c r="AP449" i="1"/>
  <c r="AQ449" i="1"/>
  <c r="AP450" i="1"/>
  <c r="AQ450" i="1"/>
  <c r="AP451" i="1"/>
  <c r="AQ451" i="1"/>
  <c r="AP452" i="1"/>
  <c r="AQ452" i="1"/>
  <c r="AP453" i="1"/>
  <c r="AQ453" i="1"/>
  <c r="AP454" i="1"/>
  <c r="AQ454" i="1"/>
  <c r="AP455" i="1"/>
  <c r="AQ455" i="1"/>
  <c r="AP456" i="1"/>
  <c r="AQ456" i="1"/>
  <c r="AP457" i="1"/>
  <c r="AQ457" i="1"/>
  <c r="AP458" i="1"/>
  <c r="AQ458" i="1"/>
  <c r="AP459" i="1"/>
  <c r="AQ459" i="1"/>
  <c r="AP460" i="1"/>
  <c r="AQ460" i="1"/>
  <c r="AP461" i="1"/>
  <c r="AQ461" i="1"/>
  <c r="AP462" i="1"/>
  <c r="AQ462" i="1"/>
  <c r="AP463" i="1"/>
  <c r="AQ463" i="1"/>
  <c r="AP464" i="1"/>
  <c r="AQ464" i="1"/>
  <c r="AP465" i="1"/>
  <c r="AQ465" i="1"/>
  <c r="AP466" i="1"/>
  <c r="AQ466" i="1"/>
  <c r="AP467" i="1"/>
  <c r="AQ467" i="1"/>
  <c r="AP468" i="1"/>
  <c r="AQ468" i="1"/>
  <c r="AP469" i="1"/>
  <c r="AQ469" i="1"/>
  <c r="AP470" i="1"/>
  <c r="AQ470" i="1"/>
  <c r="AP471" i="1"/>
  <c r="AQ471" i="1"/>
  <c r="AP472" i="1"/>
  <c r="AQ472" i="1"/>
  <c r="AP473" i="1"/>
  <c r="AQ473" i="1"/>
  <c r="AP474" i="1"/>
  <c r="AQ474" i="1"/>
  <c r="AP475" i="1"/>
  <c r="AQ475" i="1"/>
  <c r="AP476" i="1"/>
  <c r="AQ476" i="1"/>
  <c r="AP477" i="1"/>
  <c r="AQ477" i="1"/>
  <c r="AP478" i="1"/>
  <c r="AQ478" i="1"/>
  <c r="AP479" i="1"/>
  <c r="AQ479" i="1"/>
  <c r="AP480" i="1"/>
  <c r="AQ480" i="1"/>
  <c r="AP481" i="1"/>
  <c r="AQ481" i="1"/>
  <c r="AP482" i="1"/>
  <c r="AQ482" i="1"/>
  <c r="AP483" i="1"/>
  <c r="AQ483" i="1"/>
  <c r="AP484" i="1"/>
  <c r="AQ484" i="1"/>
  <c r="AP485" i="1"/>
  <c r="AQ485" i="1"/>
  <c r="AP486" i="1"/>
  <c r="AQ486" i="1"/>
  <c r="AP487" i="1"/>
  <c r="AQ487" i="1"/>
  <c r="AP488" i="1"/>
  <c r="AQ488" i="1"/>
  <c r="AP489" i="1"/>
  <c r="AQ489" i="1"/>
  <c r="AP490" i="1"/>
  <c r="AQ490" i="1"/>
  <c r="AP491" i="1"/>
  <c r="AQ491" i="1"/>
  <c r="AP492" i="1"/>
  <c r="AQ492" i="1"/>
  <c r="AP493" i="1"/>
  <c r="AQ493" i="1"/>
  <c r="AP494" i="1"/>
  <c r="AQ494" i="1"/>
  <c r="AP495" i="1"/>
  <c r="AQ495" i="1"/>
  <c r="AP496" i="1"/>
  <c r="AQ496" i="1"/>
  <c r="AP497" i="1"/>
  <c r="AQ497" i="1"/>
  <c r="AP498" i="1"/>
  <c r="AQ498" i="1"/>
  <c r="AP499" i="1"/>
  <c r="AQ499" i="1"/>
  <c r="AP500" i="1"/>
  <c r="AQ500" i="1"/>
  <c r="AP501" i="1"/>
  <c r="AQ501" i="1"/>
  <c r="AP502" i="1"/>
  <c r="AQ502" i="1"/>
  <c r="AP503" i="1"/>
  <c r="AQ503" i="1"/>
  <c r="AP504" i="1"/>
  <c r="AQ504" i="1"/>
  <c r="AP505" i="1"/>
  <c r="AQ505" i="1"/>
  <c r="AP506" i="1"/>
  <c r="AQ506" i="1"/>
  <c r="AP507" i="1"/>
  <c r="AQ507" i="1"/>
  <c r="AP508" i="1"/>
  <c r="AQ508" i="1"/>
  <c r="AP509" i="1"/>
  <c r="AQ509" i="1"/>
  <c r="AP510" i="1"/>
  <c r="AQ510" i="1"/>
  <c r="AP511" i="1"/>
  <c r="AQ511" i="1"/>
  <c r="AP512" i="1"/>
  <c r="AQ512" i="1"/>
  <c r="AP513" i="1"/>
  <c r="AQ513" i="1"/>
  <c r="AP514" i="1"/>
  <c r="AQ514" i="1"/>
  <c r="AP515" i="1"/>
  <c r="AQ515" i="1"/>
  <c r="AP516" i="1"/>
  <c r="AQ516" i="1"/>
  <c r="AP517" i="1"/>
  <c r="AQ517" i="1"/>
  <c r="AP518" i="1"/>
  <c r="AQ518" i="1"/>
  <c r="AP519" i="1"/>
  <c r="AQ519" i="1"/>
  <c r="AP520" i="1"/>
  <c r="AQ520" i="1"/>
  <c r="AP521" i="1"/>
  <c r="AQ521" i="1"/>
  <c r="AP522" i="1"/>
  <c r="AQ522" i="1"/>
  <c r="AP523" i="1"/>
  <c r="AP524" i="1"/>
  <c r="AQ524" i="1"/>
  <c r="AP525" i="1"/>
  <c r="AQ525" i="1"/>
  <c r="AP526" i="1"/>
  <c r="AQ526" i="1"/>
  <c r="AP527" i="1"/>
  <c r="AQ527" i="1"/>
  <c r="AP528" i="1"/>
  <c r="AQ528" i="1"/>
  <c r="AP529" i="1"/>
  <c r="AP530" i="1"/>
  <c r="AP531" i="1"/>
  <c r="AP532" i="1"/>
  <c r="AP533" i="1"/>
  <c r="AP534" i="1"/>
  <c r="AP535" i="1"/>
  <c r="AP536" i="1"/>
  <c r="AP537" i="1"/>
  <c r="AQ534" i="1"/>
  <c r="AQ537" i="1"/>
  <c r="AQ529" i="1"/>
  <c r="AQ532" i="1"/>
  <c r="AQ523" i="1"/>
  <c r="AQ536" i="1"/>
  <c r="AQ535" i="1"/>
  <c r="AQ531" i="1"/>
  <c r="AQ533" i="1"/>
  <c r="AQ428" i="1"/>
  <c r="AQ530" i="1"/>
  <c r="AA2" i="1"/>
  <c r="U8" i="3"/>
  <c r="U7" i="3"/>
  <c r="U6" i="3"/>
  <c r="U5" i="3"/>
  <c r="AL2" i="1"/>
  <c r="AL3" i="1"/>
  <c r="AM3" i="1"/>
  <c r="AN3" i="1"/>
  <c r="AL4" i="1"/>
  <c r="AM4" i="1"/>
  <c r="AN4" i="1"/>
  <c r="AL5" i="1"/>
  <c r="AM5" i="1"/>
  <c r="AN5" i="1"/>
  <c r="AL6" i="1"/>
  <c r="AM6" i="1"/>
  <c r="AN6" i="1"/>
  <c r="AL7" i="1"/>
  <c r="AM7" i="1"/>
  <c r="AN7" i="1"/>
  <c r="AL8" i="1"/>
  <c r="AM8" i="1"/>
  <c r="AN8" i="1"/>
  <c r="AL9" i="1"/>
  <c r="AM9" i="1"/>
  <c r="AN9" i="1"/>
  <c r="AL10" i="1"/>
  <c r="AM10" i="1"/>
  <c r="AN10" i="1"/>
  <c r="AL11" i="1"/>
  <c r="AM11" i="1"/>
  <c r="AN11" i="1"/>
  <c r="AL12" i="1"/>
  <c r="AM12" i="1"/>
  <c r="AN12" i="1"/>
  <c r="AL13" i="1"/>
  <c r="AM13" i="1"/>
  <c r="AN13" i="1"/>
  <c r="AL14" i="1"/>
  <c r="AM14" i="1"/>
  <c r="AN14" i="1"/>
  <c r="AL15" i="1"/>
  <c r="AM15" i="1"/>
  <c r="AN15" i="1"/>
  <c r="AL16" i="1"/>
  <c r="AM16" i="1"/>
  <c r="AN16" i="1"/>
  <c r="AL17" i="1"/>
  <c r="AM17" i="1"/>
  <c r="AN17" i="1"/>
  <c r="AL18" i="1"/>
  <c r="AM18" i="1"/>
  <c r="AN18" i="1"/>
  <c r="AL19" i="1"/>
  <c r="AM19" i="1"/>
  <c r="AN19" i="1"/>
  <c r="AL20" i="1"/>
  <c r="AM20" i="1"/>
  <c r="AN20" i="1"/>
  <c r="AL21" i="1"/>
  <c r="AM21" i="1"/>
  <c r="AN21" i="1"/>
  <c r="AL22" i="1"/>
  <c r="AM22" i="1"/>
  <c r="AN22" i="1"/>
  <c r="AL23" i="1"/>
  <c r="AM23" i="1"/>
  <c r="AN23" i="1"/>
  <c r="AL24" i="1"/>
  <c r="AM24" i="1"/>
  <c r="AN24" i="1"/>
  <c r="AL25" i="1"/>
  <c r="AM25" i="1"/>
  <c r="AN25" i="1"/>
  <c r="AL26" i="1"/>
  <c r="AM26" i="1"/>
  <c r="AN26" i="1"/>
  <c r="AL27" i="1"/>
  <c r="AM27" i="1"/>
  <c r="AN27" i="1"/>
  <c r="AL28" i="1"/>
  <c r="AM28" i="1"/>
  <c r="AN28" i="1"/>
  <c r="AL29" i="1"/>
  <c r="AM29" i="1"/>
  <c r="AN29" i="1"/>
  <c r="AL30" i="1"/>
  <c r="AM30" i="1"/>
  <c r="AN30" i="1"/>
  <c r="AL31" i="1"/>
  <c r="AM31" i="1"/>
  <c r="AN31" i="1"/>
  <c r="AL32" i="1"/>
  <c r="AM32" i="1"/>
  <c r="AN32" i="1"/>
  <c r="AL33" i="1"/>
  <c r="AM33" i="1"/>
  <c r="AN33" i="1"/>
  <c r="AL34" i="1"/>
  <c r="AM34" i="1"/>
  <c r="AN34" i="1"/>
  <c r="AL35" i="1"/>
  <c r="AM35" i="1"/>
  <c r="AN35" i="1"/>
  <c r="AL36" i="1"/>
  <c r="AM36" i="1"/>
  <c r="AN36" i="1"/>
  <c r="AL37" i="1"/>
  <c r="AM37" i="1"/>
  <c r="AN37" i="1"/>
  <c r="AL38" i="1"/>
  <c r="AM38" i="1"/>
  <c r="AN38" i="1"/>
  <c r="AL39" i="1"/>
  <c r="AM39" i="1"/>
  <c r="AN39" i="1"/>
  <c r="AL40" i="1"/>
  <c r="AM40" i="1"/>
  <c r="AN40" i="1"/>
  <c r="AL41" i="1"/>
  <c r="AM41" i="1"/>
  <c r="AN41" i="1"/>
  <c r="AL42" i="1"/>
  <c r="AM42" i="1"/>
  <c r="AN42" i="1"/>
  <c r="AL43" i="1"/>
  <c r="AM43" i="1"/>
  <c r="AN43" i="1"/>
  <c r="AL44" i="1"/>
  <c r="AM44" i="1"/>
  <c r="AN44" i="1"/>
  <c r="AL45" i="1"/>
  <c r="AM45" i="1"/>
  <c r="AN45" i="1"/>
  <c r="AL46" i="1"/>
  <c r="AM46" i="1"/>
  <c r="AN46" i="1"/>
  <c r="AL47" i="1"/>
  <c r="AM47" i="1"/>
  <c r="AN47" i="1"/>
  <c r="AL48" i="1"/>
  <c r="AM48" i="1"/>
  <c r="AN48" i="1"/>
  <c r="AL49" i="1"/>
  <c r="AM49" i="1"/>
  <c r="AN49" i="1"/>
  <c r="AL50" i="1"/>
  <c r="AM50" i="1"/>
  <c r="AN50" i="1"/>
  <c r="AL51" i="1"/>
  <c r="AM51" i="1"/>
  <c r="AN51" i="1"/>
  <c r="AL52" i="1"/>
  <c r="AM52" i="1"/>
  <c r="AN52" i="1"/>
  <c r="AL53" i="1"/>
  <c r="AM53" i="1"/>
  <c r="AN53" i="1"/>
  <c r="AL54" i="1"/>
  <c r="AM54" i="1"/>
  <c r="AN54" i="1"/>
  <c r="AL55" i="1"/>
  <c r="AM55" i="1"/>
  <c r="AN55" i="1"/>
  <c r="AL56" i="1"/>
  <c r="AM56" i="1"/>
  <c r="AN56" i="1"/>
  <c r="AL57" i="1"/>
  <c r="AM57" i="1"/>
  <c r="AN57" i="1"/>
  <c r="AL58" i="1"/>
  <c r="AM58" i="1"/>
  <c r="AN58" i="1"/>
  <c r="AL59" i="1"/>
  <c r="AM59" i="1"/>
  <c r="AN59" i="1"/>
  <c r="AL60" i="1"/>
  <c r="AM60" i="1"/>
  <c r="AN60" i="1"/>
  <c r="AL61" i="1"/>
  <c r="AM61" i="1"/>
  <c r="AN61" i="1"/>
  <c r="AL62" i="1"/>
  <c r="AM62" i="1"/>
  <c r="AN62" i="1"/>
  <c r="AL63" i="1"/>
  <c r="AM63" i="1"/>
  <c r="AN63" i="1"/>
  <c r="AL64" i="1"/>
  <c r="AM64" i="1"/>
  <c r="AN64" i="1"/>
  <c r="AL65" i="1"/>
  <c r="AM65" i="1"/>
  <c r="AN65" i="1"/>
  <c r="AL66" i="1"/>
  <c r="AM66" i="1"/>
  <c r="AN66" i="1"/>
  <c r="AL67" i="1"/>
  <c r="AM67" i="1"/>
  <c r="AN67" i="1"/>
  <c r="AL68" i="1"/>
  <c r="AM68" i="1"/>
  <c r="AN68" i="1"/>
  <c r="AL69" i="1"/>
  <c r="AM69" i="1"/>
  <c r="AN69" i="1"/>
  <c r="AL70" i="1"/>
  <c r="AM70" i="1"/>
  <c r="AN70" i="1"/>
  <c r="AL71" i="1"/>
  <c r="AM71" i="1"/>
  <c r="AN71" i="1"/>
  <c r="AL72" i="1"/>
  <c r="AM72" i="1"/>
  <c r="AN72" i="1"/>
  <c r="AL73" i="1"/>
  <c r="AM73" i="1"/>
  <c r="AN73" i="1"/>
  <c r="AL74" i="1"/>
  <c r="AM74" i="1"/>
  <c r="AN74" i="1"/>
  <c r="AL75" i="1"/>
  <c r="AM75" i="1"/>
  <c r="AN75" i="1"/>
  <c r="AL76" i="1"/>
  <c r="AM76" i="1"/>
  <c r="AN76" i="1"/>
  <c r="AL77" i="1"/>
  <c r="AM77" i="1"/>
  <c r="AN77" i="1"/>
  <c r="AL78" i="1"/>
  <c r="AM78" i="1"/>
  <c r="AN78" i="1"/>
  <c r="AL79" i="1"/>
  <c r="AM79" i="1"/>
  <c r="AN79" i="1"/>
  <c r="AL80" i="1"/>
  <c r="AM80" i="1"/>
  <c r="AN80" i="1"/>
  <c r="AL81" i="1"/>
  <c r="AM81" i="1"/>
  <c r="AN81" i="1"/>
  <c r="AL82" i="1"/>
  <c r="AM82" i="1"/>
  <c r="AN82" i="1"/>
  <c r="AL83" i="1"/>
  <c r="AM83" i="1"/>
  <c r="AN83" i="1"/>
  <c r="AL84" i="1"/>
  <c r="AM84" i="1"/>
  <c r="AN84" i="1"/>
  <c r="AL85" i="1"/>
  <c r="AM85" i="1"/>
  <c r="AN85" i="1"/>
  <c r="AL86" i="1"/>
  <c r="AM86" i="1"/>
  <c r="AN86" i="1"/>
  <c r="AL87" i="1"/>
  <c r="AM87" i="1"/>
  <c r="AN87" i="1"/>
  <c r="AL88" i="1"/>
  <c r="AM88" i="1"/>
  <c r="AN88" i="1"/>
  <c r="AL89" i="1"/>
  <c r="AM89" i="1"/>
  <c r="AN89" i="1"/>
  <c r="AL90" i="1"/>
  <c r="AM90" i="1"/>
  <c r="AN90" i="1"/>
  <c r="AL91" i="1"/>
  <c r="AM91" i="1"/>
  <c r="AN91" i="1"/>
  <c r="AL92" i="1"/>
  <c r="AM92" i="1"/>
  <c r="AN92" i="1"/>
  <c r="AL93" i="1"/>
  <c r="AM93" i="1"/>
  <c r="AN93" i="1"/>
  <c r="AL94" i="1"/>
  <c r="AM94" i="1"/>
  <c r="AN94" i="1"/>
  <c r="AL95" i="1"/>
  <c r="AM95" i="1"/>
  <c r="AN95" i="1"/>
  <c r="AL96" i="1"/>
  <c r="AM96" i="1"/>
  <c r="AN96" i="1"/>
  <c r="AL97" i="1"/>
  <c r="AM97" i="1"/>
  <c r="AN97" i="1"/>
  <c r="AL98" i="1"/>
  <c r="AM98" i="1"/>
  <c r="AN98" i="1"/>
  <c r="AL99" i="1"/>
  <c r="AM99" i="1"/>
  <c r="AN99" i="1"/>
  <c r="AL100" i="1"/>
  <c r="AM100" i="1"/>
  <c r="AN100" i="1"/>
  <c r="AL101" i="1"/>
  <c r="AM101" i="1"/>
  <c r="AN101" i="1"/>
  <c r="AL102" i="1"/>
  <c r="AM102" i="1"/>
  <c r="AN102" i="1"/>
  <c r="AL103" i="1"/>
  <c r="AM103" i="1"/>
  <c r="AN103" i="1"/>
  <c r="AL104" i="1"/>
  <c r="AM104" i="1"/>
  <c r="AN104" i="1"/>
  <c r="AL105" i="1"/>
  <c r="AM105" i="1"/>
  <c r="AN105" i="1"/>
  <c r="AL106" i="1"/>
  <c r="AM106" i="1"/>
  <c r="AN106" i="1"/>
  <c r="AL107" i="1"/>
  <c r="AM107" i="1"/>
  <c r="AN107" i="1"/>
  <c r="AL108" i="1"/>
  <c r="AM108" i="1"/>
  <c r="AN108" i="1"/>
  <c r="AL109" i="1"/>
  <c r="AM109" i="1"/>
  <c r="AN109" i="1"/>
  <c r="AL110" i="1"/>
  <c r="AM110" i="1"/>
  <c r="AN110" i="1"/>
  <c r="AL111" i="1"/>
  <c r="AM111" i="1"/>
  <c r="AN111" i="1"/>
  <c r="AL112" i="1"/>
  <c r="AM112" i="1"/>
  <c r="AN112" i="1"/>
  <c r="AL113" i="1"/>
  <c r="AM113" i="1"/>
  <c r="AN113" i="1"/>
  <c r="AL114" i="1"/>
  <c r="AM114" i="1"/>
  <c r="AN114" i="1"/>
  <c r="AL115" i="1"/>
  <c r="AM115" i="1"/>
  <c r="AN115" i="1"/>
  <c r="AL116" i="1"/>
  <c r="AM116" i="1"/>
  <c r="AN116" i="1"/>
  <c r="AL117" i="1"/>
  <c r="AM117" i="1"/>
  <c r="AN117" i="1"/>
  <c r="AL118" i="1"/>
  <c r="AM118" i="1"/>
  <c r="AN118" i="1"/>
  <c r="AL119" i="1"/>
  <c r="AM119" i="1"/>
  <c r="AN119" i="1"/>
  <c r="AL120" i="1"/>
  <c r="AM120" i="1"/>
  <c r="AN120" i="1"/>
  <c r="AL121" i="1"/>
  <c r="AM121" i="1"/>
  <c r="AN121" i="1"/>
  <c r="AL122" i="1"/>
  <c r="AM122" i="1"/>
  <c r="AN122" i="1"/>
  <c r="AL123" i="1"/>
  <c r="AM123" i="1"/>
  <c r="AN123" i="1"/>
  <c r="AL124" i="1"/>
  <c r="AM124" i="1"/>
  <c r="AN124" i="1"/>
  <c r="AL125" i="1"/>
  <c r="AM125" i="1"/>
  <c r="AN125" i="1"/>
  <c r="AL126" i="1"/>
  <c r="AM126" i="1"/>
  <c r="AN126" i="1"/>
  <c r="AL127" i="1"/>
  <c r="AM127" i="1"/>
  <c r="AN127" i="1"/>
  <c r="AL128" i="1"/>
  <c r="AM128" i="1"/>
  <c r="AN128" i="1"/>
  <c r="AL129" i="1"/>
  <c r="AM129" i="1"/>
  <c r="AN129" i="1"/>
  <c r="AL130" i="1"/>
  <c r="AM130" i="1"/>
  <c r="AN130" i="1"/>
  <c r="AL131" i="1"/>
  <c r="AM131" i="1"/>
  <c r="AN131" i="1"/>
  <c r="AL132" i="1"/>
  <c r="AM132" i="1"/>
  <c r="AN132" i="1"/>
  <c r="AL133" i="1"/>
  <c r="AM133" i="1"/>
  <c r="AN133" i="1"/>
  <c r="AL134" i="1"/>
  <c r="AM134" i="1"/>
  <c r="AN134" i="1"/>
  <c r="AL135" i="1"/>
  <c r="AM135" i="1"/>
  <c r="AN135" i="1"/>
  <c r="AL136" i="1"/>
  <c r="AM136" i="1"/>
  <c r="AN136" i="1"/>
  <c r="AL137" i="1"/>
  <c r="AM137" i="1"/>
  <c r="AN137" i="1"/>
  <c r="AL138" i="1"/>
  <c r="AM138" i="1"/>
  <c r="AN138" i="1"/>
  <c r="AL139" i="1"/>
  <c r="AM139" i="1"/>
  <c r="AN139" i="1"/>
  <c r="AL140" i="1"/>
  <c r="AM140" i="1"/>
  <c r="AN140" i="1"/>
  <c r="AL141" i="1"/>
  <c r="AM141" i="1"/>
  <c r="AN141" i="1"/>
  <c r="AL142" i="1"/>
  <c r="AM142" i="1"/>
  <c r="AN142" i="1"/>
  <c r="AL143" i="1"/>
  <c r="AM143" i="1"/>
  <c r="AN143" i="1"/>
  <c r="AL144" i="1"/>
  <c r="AM144" i="1"/>
  <c r="AN144" i="1"/>
  <c r="AL145" i="1"/>
  <c r="AM145" i="1"/>
  <c r="AN145" i="1"/>
  <c r="AL146" i="1"/>
  <c r="AM146" i="1"/>
  <c r="AN146" i="1"/>
  <c r="AL147" i="1"/>
  <c r="AM147" i="1"/>
  <c r="AN147" i="1"/>
  <c r="AL148" i="1"/>
  <c r="AM148" i="1"/>
  <c r="AN148" i="1"/>
  <c r="AL149" i="1"/>
  <c r="AM149" i="1"/>
  <c r="AN149" i="1"/>
  <c r="AL150" i="1"/>
  <c r="AM150" i="1"/>
  <c r="AN150" i="1"/>
  <c r="AL151" i="1"/>
  <c r="AM151" i="1"/>
  <c r="AN151" i="1"/>
  <c r="AL152" i="1"/>
  <c r="AM152" i="1"/>
  <c r="AN152" i="1"/>
  <c r="AL153" i="1"/>
  <c r="AM153" i="1"/>
  <c r="AN153" i="1"/>
  <c r="AL154" i="1"/>
  <c r="AM154" i="1"/>
  <c r="AN154" i="1"/>
  <c r="AL155" i="1"/>
  <c r="AM155" i="1"/>
  <c r="AN155" i="1"/>
  <c r="AL156" i="1"/>
  <c r="AM156" i="1"/>
  <c r="AN156" i="1"/>
  <c r="AL157" i="1"/>
  <c r="AM157" i="1"/>
  <c r="AN157" i="1"/>
  <c r="AL158" i="1"/>
  <c r="AM158" i="1"/>
  <c r="AN158" i="1"/>
  <c r="AL159" i="1"/>
  <c r="AM159" i="1"/>
  <c r="AN159" i="1"/>
  <c r="AL160" i="1"/>
  <c r="AM160" i="1"/>
  <c r="AN160" i="1"/>
  <c r="AL161" i="1"/>
  <c r="AM161" i="1"/>
  <c r="AN161" i="1"/>
  <c r="AL162" i="1"/>
  <c r="AM162" i="1"/>
  <c r="AN162" i="1"/>
  <c r="AL163" i="1"/>
  <c r="AM163" i="1"/>
  <c r="AN163" i="1"/>
  <c r="AL164" i="1"/>
  <c r="AM164" i="1"/>
  <c r="AN164" i="1"/>
  <c r="AL165" i="1"/>
  <c r="AM165" i="1"/>
  <c r="AN165" i="1"/>
  <c r="AL166" i="1"/>
  <c r="AM166" i="1"/>
  <c r="AN166" i="1"/>
  <c r="AL167" i="1"/>
  <c r="AM167" i="1"/>
  <c r="AN167" i="1"/>
  <c r="AL168" i="1"/>
  <c r="AM168" i="1"/>
  <c r="AN168" i="1"/>
  <c r="AL169" i="1"/>
  <c r="AM169" i="1"/>
  <c r="AN169" i="1"/>
  <c r="AL170" i="1"/>
  <c r="AM170" i="1"/>
  <c r="AN170" i="1"/>
  <c r="AL171" i="1"/>
  <c r="AM171" i="1"/>
  <c r="AN171" i="1"/>
  <c r="AL172" i="1"/>
  <c r="AM172" i="1"/>
  <c r="AN172" i="1"/>
  <c r="AL173" i="1"/>
  <c r="AM173" i="1"/>
  <c r="AN173" i="1"/>
  <c r="AL174" i="1"/>
  <c r="AM174" i="1"/>
  <c r="AN174" i="1"/>
  <c r="AL175" i="1"/>
  <c r="AM175" i="1"/>
  <c r="AN175" i="1"/>
  <c r="AL176" i="1"/>
  <c r="AM176" i="1"/>
  <c r="AN176" i="1"/>
  <c r="AL177" i="1"/>
  <c r="AM177" i="1"/>
  <c r="AN177" i="1"/>
  <c r="AL178" i="1"/>
  <c r="AM178" i="1"/>
  <c r="AN178" i="1"/>
  <c r="AL179" i="1"/>
  <c r="AM179" i="1"/>
  <c r="AN179" i="1"/>
  <c r="AL180" i="1"/>
  <c r="AM180" i="1"/>
  <c r="AN180" i="1"/>
  <c r="AL181" i="1"/>
  <c r="AM181" i="1"/>
  <c r="AN181" i="1"/>
  <c r="AL182" i="1"/>
  <c r="AM182" i="1"/>
  <c r="AN182" i="1"/>
  <c r="AL183" i="1"/>
  <c r="AM183" i="1"/>
  <c r="AN183" i="1"/>
  <c r="AL184" i="1"/>
  <c r="AM184" i="1"/>
  <c r="AN184" i="1"/>
  <c r="AL185" i="1"/>
  <c r="AM185" i="1"/>
  <c r="AN185" i="1"/>
  <c r="AL186" i="1"/>
  <c r="AM186" i="1"/>
  <c r="AN186" i="1"/>
  <c r="AL187" i="1"/>
  <c r="AM187" i="1"/>
  <c r="AN187" i="1"/>
  <c r="AL188" i="1"/>
  <c r="AM188" i="1"/>
  <c r="AN188" i="1"/>
  <c r="AL189" i="1"/>
  <c r="AM189" i="1"/>
  <c r="AN189" i="1"/>
  <c r="AL190" i="1"/>
  <c r="AM190" i="1"/>
  <c r="AN190" i="1"/>
  <c r="AL191" i="1"/>
  <c r="AM191" i="1"/>
  <c r="AN191" i="1"/>
  <c r="AL192" i="1"/>
  <c r="AM192" i="1"/>
  <c r="AN192" i="1"/>
  <c r="AL193" i="1"/>
  <c r="AM193" i="1"/>
  <c r="AN193" i="1"/>
  <c r="AL194" i="1"/>
  <c r="AM194" i="1"/>
  <c r="AN194" i="1"/>
  <c r="AL195" i="1"/>
  <c r="AM195" i="1"/>
  <c r="AN195" i="1"/>
  <c r="AL196" i="1"/>
  <c r="AM196" i="1"/>
  <c r="AN196" i="1"/>
  <c r="AL197" i="1"/>
  <c r="AM197" i="1"/>
  <c r="AN197" i="1"/>
  <c r="AL198" i="1"/>
  <c r="AM198" i="1"/>
  <c r="AN198" i="1"/>
  <c r="AL199" i="1"/>
  <c r="AM199" i="1"/>
  <c r="AN199" i="1"/>
  <c r="AL200" i="1"/>
  <c r="AM200" i="1"/>
  <c r="AN200" i="1"/>
  <c r="AL201" i="1"/>
  <c r="AM201" i="1"/>
  <c r="AN201" i="1"/>
  <c r="AL202" i="1"/>
  <c r="AM202" i="1"/>
  <c r="AN202" i="1"/>
  <c r="AL203" i="1"/>
  <c r="AM203" i="1"/>
  <c r="AN203" i="1"/>
  <c r="AL204" i="1"/>
  <c r="AM204" i="1"/>
  <c r="AN204" i="1"/>
  <c r="AL205" i="1"/>
  <c r="AM205" i="1"/>
  <c r="AN205" i="1"/>
  <c r="AL206" i="1"/>
  <c r="AM206" i="1"/>
  <c r="AN206" i="1"/>
  <c r="AL207" i="1"/>
  <c r="AM207" i="1"/>
  <c r="AN207" i="1"/>
  <c r="AL208" i="1"/>
  <c r="AM208" i="1"/>
  <c r="AN208" i="1"/>
  <c r="AL209" i="1"/>
  <c r="AM209" i="1"/>
  <c r="AN209" i="1"/>
  <c r="AL210" i="1"/>
  <c r="AM210" i="1"/>
  <c r="AN210" i="1"/>
  <c r="AL211" i="1"/>
  <c r="AM211" i="1"/>
  <c r="AN211" i="1"/>
  <c r="AL212" i="1"/>
  <c r="AM212" i="1"/>
  <c r="AN212" i="1"/>
  <c r="AL213" i="1"/>
  <c r="AM213" i="1"/>
  <c r="AN213" i="1"/>
  <c r="AL214" i="1"/>
  <c r="AM214" i="1"/>
  <c r="AN214" i="1"/>
  <c r="AL215" i="1"/>
  <c r="AM215" i="1"/>
  <c r="AN215" i="1"/>
  <c r="AL216" i="1"/>
  <c r="AM216" i="1"/>
  <c r="AN216" i="1"/>
  <c r="AL217" i="1"/>
  <c r="AM217" i="1"/>
  <c r="AN217" i="1"/>
  <c r="AL218" i="1"/>
  <c r="AM218" i="1"/>
  <c r="AN218" i="1"/>
  <c r="AL219" i="1"/>
  <c r="AM219" i="1"/>
  <c r="AN219" i="1"/>
  <c r="AL220" i="1"/>
  <c r="AM220" i="1"/>
  <c r="AN220" i="1"/>
  <c r="AL221" i="1"/>
  <c r="AM221" i="1"/>
  <c r="AN221" i="1"/>
  <c r="AL222" i="1"/>
  <c r="AM222" i="1"/>
  <c r="AN222" i="1"/>
  <c r="AL223" i="1"/>
  <c r="AM223" i="1"/>
  <c r="AN223" i="1"/>
  <c r="AL224" i="1"/>
  <c r="AM224" i="1"/>
  <c r="AN224" i="1"/>
  <c r="AL225" i="1"/>
  <c r="AM225" i="1"/>
  <c r="AN225" i="1"/>
  <c r="AL226" i="1"/>
  <c r="AM226" i="1"/>
  <c r="AN226" i="1"/>
  <c r="AL227" i="1"/>
  <c r="AM227" i="1"/>
  <c r="AN227" i="1"/>
  <c r="AL228" i="1"/>
  <c r="AM228" i="1"/>
  <c r="AN228" i="1"/>
  <c r="AL229" i="1"/>
  <c r="AM229" i="1"/>
  <c r="AN229" i="1"/>
  <c r="AL230" i="1"/>
  <c r="AM230" i="1"/>
  <c r="AN230" i="1"/>
  <c r="AL231" i="1"/>
  <c r="AM231" i="1"/>
  <c r="AN231" i="1"/>
  <c r="AL232" i="1"/>
  <c r="AM232" i="1"/>
  <c r="AN232" i="1"/>
  <c r="AL233" i="1"/>
  <c r="AM233" i="1"/>
  <c r="AN233" i="1"/>
  <c r="AL234" i="1"/>
  <c r="AM234" i="1"/>
  <c r="AN234" i="1"/>
  <c r="AL235" i="1"/>
  <c r="AM235" i="1"/>
  <c r="AN235" i="1"/>
  <c r="AL236" i="1"/>
  <c r="AM236" i="1"/>
  <c r="AN236" i="1"/>
  <c r="AL237" i="1"/>
  <c r="AM237" i="1"/>
  <c r="AN237" i="1"/>
  <c r="AL238" i="1"/>
  <c r="AM238" i="1"/>
  <c r="AN238" i="1"/>
  <c r="AL239" i="1"/>
  <c r="AM239" i="1"/>
  <c r="AN239" i="1"/>
  <c r="AL240" i="1"/>
  <c r="AM240" i="1"/>
  <c r="AN240" i="1"/>
  <c r="AL241" i="1"/>
  <c r="AM241" i="1"/>
  <c r="AN241" i="1"/>
  <c r="AL242" i="1"/>
  <c r="AM242" i="1"/>
  <c r="AN242" i="1"/>
  <c r="AL243" i="1"/>
  <c r="AM243" i="1"/>
  <c r="AN243" i="1"/>
  <c r="AL244" i="1"/>
  <c r="AM244" i="1"/>
  <c r="AN244" i="1"/>
  <c r="AL245" i="1"/>
  <c r="AM245" i="1"/>
  <c r="AN245" i="1"/>
  <c r="AL246" i="1"/>
  <c r="AM246" i="1"/>
  <c r="AN246" i="1"/>
  <c r="AL247" i="1"/>
  <c r="AM247" i="1"/>
  <c r="AN247" i="1"/>
  <c r="AL248" i="1"/>
  <c r="AM248" i="1"/>
  <c r="AN248" i="1"/>
  <c r="AL249" i="1"/>
  <c r="AM249" i="1"/>
  <c r="AN249" i="1"/>
  <c r="AL250" i="1"/>
  <c r="AM250" i="1"/>
  <c r="AN250" i="1"/>
  <c r="AL251" i="1"/>
  <c r="AM251" i="1"/>
  <c r="AN251" i="1"/>
  <c r="AL252" i="1"/>
  <c r="AM252" i="1"/>
  <c r="AN252" i="1"/>
  <c r="AL253" i="1"/>
  <c r="AM253" i="1"/>
  <c r="AN253" i="1"/>
  <c r="AL254" i="1"/>
  <c r="AM254" i="1"/>
  <c r="AN254" i="1"/>
  <c r="AL255" i="1"/>
  <c r="AM255" i="1"/>
  <c r="AN255" i="1"/>
  <c r="AL256" i="1"/>
  <c r="AM256" i="1"/>
  <c r="AN256" i="1"/>
  <c r="AL257" i="1"/>
  <c r="AM257" i="1"/>
  <c r="AN257" i="1"/>
  <c r="AL258" i="1"/>
  <c r="AM258" i="1"/>
  <c r="AN258" i="1"/>
  <c r="AL259" i="1"/>
  <c r="AM259" i="1"/>
  <c r="AN259" i="1"/>
  <c r="AL260" i="1"/>
  <c r="AM260" i="1"/>
  <c r="AN260" i="1"/>
  <c r="AL261" i="1"/>
  <c r="AM261" i="1"/>
  <c r="AN261" i="1"/>
  <c r="AL262" i="1"/>
  <c r="AM262" i="1"/>
  <c r="AN262" i="1"/>
  <c r="AL263" i="1"/>
  <c r="AM263" i="1"/>
  <c r="AN263" i="1"/>
  <c r="AL264" i="1"/>
  <c r="AM264" i="1"/>
  <c r="AN264" i="1"/>
  <c r="AL265" i="1"/>
  <c r="AM265" i="1"/>
  <c r="AN265" i="1"/>
  <c r="AL266" i="1"/>
  <c r="AM266" i="1"/>
  <c r="AN266" i="1"/>
  <c r="AL267" i="1"/>
  <c r="AM267" i="1"/>
  <c r="AN267" i="1"/>
  <c r="AL268" i="1"/>
  <c r="AM268" i="1"/>
  <c r="AN268" i="1"/>
  <c r="AL269" i="1"/>
  <c r="AM269" i="1"/>
  <c r="AN269" i="1"/>
  <c r="AL270" i="1"/>
  <c r="AM270" i="1"/>
  <c r="AN270" i="1"/>
  <c r="AL271" i="1"/>
  <c r="AM271" i="1"/>
  <c r="AN271" i="1"/>
  <c r="AL272" i="1"/>
  <c r="AM272" i="1"/>
  <c r="AN272" i="1"/>
  <c r="AL273" i="1"/>
  <c r="AM273" i="1"/>
  <c r="AN273" i="1"/>
  <c r="AL274" i="1"/>
  <c r="AM274" i="1"/>
  <c r="AN274" i="1"/>
  <c r="AL275" i="1"/>
  <c r="AM275" i="1"/>
  <c r="AN275" i="1"/>
  <c r="AL276" i="1"/>
  <c r="AM276" i="1"/>
  <c r="AN276" i="1"/>
  <c r="AL277" i="1"/>
  <c r="AM277" i="1"/>
  <c r="AN277" i="1"/>
  <c r="AL278" i="1"/>
  <c r="AM278" i="1"/>
  <c r="AN278" i="1"/>
  <c r="AL279" i="1"/>
  <c r="AM279" i="1"/>
  <c r="AN279" i="1"/>
  <c r="AL280" i="1"/>
  <c r="AM280" i="1"/>
  <c r="AN280" i="1"/>
  <c r="AL281" i="1"/>
  <c r="AM281" i="1"/>
  <c r="AN281" i="1"/>
  <c r="AL282" i="1"/>
  <c r="AM282" i="1"/>
  <c r="AN282" i="1"/>
  <c r="AL283" i="1"/>
  <c r="AM283" i="1"/>
  <c r="AN283" i="1"/>
  <c r="AL284" i="1"/>
  <c r="AM284" i="1"/>
  <c r="AN284" i="1"/>
  <c r="AL285" i="1"/>
  <c r="AM285" i="1"/>
  <c r="AN285" i="1"/>
  <c r="AL286" i="1"/>
  <c r="AM286" i="1"/>
  <c r="AN286" i="1"/>
  <c r="AL287" i="1"/>
  <c r="AM287" i="1"/>
  <c r="AN287" i="1"/>
  <c r="AL288" i="1"/>
  <c r="AM288" i="1"/>
  <c r="AN288" i="1"/>
  <c r="AL289" i="1"/>
  <c r="AM289" i="1"/>
  <c r="AN289" i="1"/>
  <c r="AL290" i="1"/>
  <c r="AM290" i="1"/>
  <c r="AN290" i="1"/>
  <c r="AL291" i="1"/>
  <c r="AM291" i="1"/>
  <c r="AN291" i="1"/>
  <c r="AL292" i="1"/>
  <c r="AM292" i="1"/>
  <c r="AN292" i="1"/>
  <c r="AL293" i="1"/>
  <c r="AM293" i="1"/>
  <c r="AN293" i="1"/>
  <c r="AL294" i="1"/>
  <c r="AM294" i="1"/>
  <c r="AN294" i="1"/>
  <c r="AL295" i="1"/>
  <c r="AM295" i="1"/>
  <c r="AN295" i="1"/>
  <c r="AL296" i="1"/>
  <c r="AM296" i="1"/>
  <c r="AN296" i="1"/>
  <c r="AL297" i="1"/>
  <c r="AM297" i="1"/>
  <c r="AN297" i="1"/>
  <c r="AL298" i="1"/>
  <c r="AM298" i="1"/>
  <c r="AN298" i="1"/>
  <c r="AL299" i="1"/>
  <c r="AM299" i="1"/>
  <c r="AN299" i="1"/>
  <c r="AL300" i="1"/>
  <c r="AM300" i="1"/>
  <c r="AN300" i="1"/>
  <c r="AL301" i="1"/>
  <c r="AM301" i="1"/>
  <c r="AN301" i="1"/>
  <c r="AL302" i="1"/>
  <c r="AM302" i="1"/>
  <c r="AN302" i="1"/>
  <c r="AL303" i="1"/>
  <c r="AM303" i="1"/>
  <c r="AN303" i="1"/>
  <c r="AL304" i="1"/>
  <c r="AM304" i="1"/>
  <c r="AN304" i="1"/>
  <c r="AL305" i="1"/>
  <c r="AM305" i="1"/>
  <c r="AN305" i="1"/>
  <c r="AL306" i="1"/>
  <c r="AM306" i="1"/>
  <c r="AN306" i="1"/>
  <c r="AL307" i="1"/>
  <c r="AM307" i="1"/>
  <c r="AN307" i="1"/>
  <c r="AL308" i="1"/>
  <c r="AM308" i="1"/>
  <c r="AN308" i="1"/>
  <c r="AL309" i="1"/>
  <c r="AM309" i="1"/>
  <c r="AN309" i="1"/>
  <c r="AL310" i="1"/>
  <c r="AM310" i="1"/>
  <c r="AN310" i="1"/>
  <c r="AL311" i="1"/>
  <c r="AM311" i="1"/>
  <c r="AN311" i="1"/>
  <c r="AL312" i="1"/>
  <c r="AM312" i="1"/>
  <c r="AN312" i="1"/>
  <c r="AL313" i="1"/>
  <c r="AM313" i="1"/>
  <c r="AN313" i="1"/>
  <c r="AL314" i="1"/>
  <c r="AM314" i="1"/>
  <c r="AN314" i="1"/>
  <c r="AL315" i="1"/>
  <c r="AM315" i="1"/>
  <c r="AN315" i="1"/>
  <c r="AL316" i="1"/>
  <c r="AM316" i="1"/>
  <c r="AN316" i="1"/>
  <c r="AL317" i="1"/>
  <c r="AM317" i="1"/>
  <c r="AN317" i="1"/>
  <c r="AL318" i="1"/>
  <c r="AM318" i="1"/>
  <c r="AN318" i="1"/>
  <c r="AL319" i="1"/>
  <c r="AM319" i="1"/>
  <c r="AN319" i="1"/>
  <c r="AL320" i="1"/>
  <c r="AM320" i="1"/>
  <c r="AN320" i="1"/>
  <c r="AL321" i="1"/>
  <c r="AM321" i="1"/>
  <c r="AN321" i="1"/>
  <c r="AL322" i="1"/>
  <c r="AM322" i="1"/>
  <c r="AN322" i="1"/>
  <c r="AL323" i="1"/>
  <c r="AM323" i="1"/>
  <c r="AN323" i="1"/>
  <c r="AL324" i="1"/>
  <c r="AM324" i="1"/>
  <c r="AN324" i="1"/>
  <c r="AL325" i="1"/>
  <c r="AM325" i="1"/>
  <c r="AN325" i="1"/>
  <c r="AL326" i="1"/>
  <c r="AM326" i="1"/>
  <c r="AN326" i="1"/>
  <c r="AL327" i="1"/>
  <c r="AM327" i="1"/>
  <c r="AN327" i="1"/>
  <c r="AL328" i="1"/>
  <c r="AM328" i="1"/>
  <c r="AN328" i="1"/>
  <c r="AL329" i="1"/>
  <c r="AM329" i="1"/>
  <c r="AN329" i="1"/>
  <c r="AL330" i="1"/>
  <c r="AM330" i="1"/>
  <c r="AN330" i="1"/>
  <c r="AL331" i="1"/>
  <c r="AM331" i="1"/>
  <c r="AN331" i="1"/>
  <c r="AL332" i="1"/>
  <c r="AM332" i="1"/>
  <c r="AN332" i="1"/>
  <c r="AL333" i="1"/>
  <c r="AM333" i="1"/>
  <c r="AN333" i="1"/>
  <c r="AL334" i="1"/>
  <c r="AM334" i="1"/>
  <c r="AN334" i="1"/>
  <c r="AL335" i="1"/>
  <c r="AM335" i="1"/>
  <c r="AN335" i="1"/>
  <c r="AL336" i="1"/>
  <c r="AM336" i="1"/>
  <c r="AN336" i="1"/>
  <c r="AL337" i="1"/>
  <c r="AM337" i="1"/>
  <c r="AN337" i="1"/>
  <c r="AL338" i="1"/>
  <c r="AM338" i="1"/>
  <c r="AN338" i="1"/>
  <c r="AL339" i="1"/>
  <c r="AM339" i="1"/>
  <c r="AN339" i="1"/>
  <c r="AL340" i="1"/>
  <c r="AM340" i="1"/>
  <c r="AN340" i="1"/>
  <c r="AL341" i="1"/>
  <c r="AM341" i="1"/>
  <c r="AN341" i="1"/>
  <c r="AL342" i="1"/>
  <c r="AM342" i="1"/>
  <c r="AN342" i="1"/>
  <c r="AL343" i="1"/>
  <c r="AM343" i="1"/>
  <c r="AN343" i="1"/>
  <c r="AL344" i="1"/>
  <c r="AM344" i="1"/>
  <c r="AN344" i="1"/>
  <c r="AL345" i="1"/>
  <c r="AM345" i="1"/>
  <c r="AN345" i="1"/>
  <c r="AL346" i="1"/>
  <c r="AM346" i="1"/>
  <c r="AN346" i="1"/>
  <c r="AL347" i="1"/>
  <c r="AM347" i="1"/>
  <c r="AN347" i="1"/>
  <c r="AL348" i="1"/>
  <c r="AM348" i="1"/>
  <c r="AN348" i="1"/>
  <c r="AL349" i="1"/>
  <c r="AM349" i="1"/>
  <c r="AN349" i="1"/>
  <c r="AL350" i="1"/>
  <c r="AM350" i="1"/>
  <c r="AN350" i="1"/>
  <c r="AL351" i="1"/>
  <c r="AM351" i="1"/>
  <c r="AN351" i="1"/>
  <c r="AL352" i="1"/>
  <c r="AM352" i="1"/>
  <c r="AN352" i="1"/>
  <c r="AL353" i="1"/>
  <c r="AM353" i="1"/>
  <c r="AN353" i="1"/>
  <c r="AL354" i="1"/>
  <c r="AM354" i="1"/>
  <c r="AN354" i="1"/>
  <c r="AL355" i="1"/>
  <c r="AM355" i="1"/>
  <c r="AN355" i="1"/>
  <c r="AL356" i="1"/>
  <c r="AM356" i="1"/>
  <c r="AN356" i="1"/>
  <c r="AL357" i="1"/>
  <c r="AM357" i="1"/>
  <c r="AN357" i="1"/>
  <c r="AL358" i="1"/>
  <c r="AM358" i="1"/>
  <c r="AN358" i="1"/>
  <c r="AL359" i="1"/>
  <c r="AM359" i="1"/>
  <c r="AN359" i="1"/>
  <c r="AL360" i="1"/>
  <c r="AM360" i="1"/>
  <c r="AN360" i="1"/>
  <c r="AL361" i="1"/>
  <c r="AM361" i="1"/>
  <c r="AN361" i="1"/>
  <c r="AL362" i="1"/>
  <c r="AM362" i="1"/>
  <c r="AN362" i="1"/>
  <c r="AL363" i="1"/>
  <c r="AM363" i="1"/>
  <c r="AN363" i="1"/>
  <c r="AL364" i="1"/>
  <c r="AM364" i="1"/>
  <c r="AN364" i="1"/>
  <c r="AL365" i="1"/>
  <c r="AM365" i="1"/>
  <c r="AN365" i="1"/>
  <c r="AL366" i="1"/>
  <c r="AM366" i="1"/>
  <c r="AN366" i="1"/>
  <c r="AL367" i="1"/>
  <c r="AM367" i="1"/>
  <c r="AN367" i="1"/>
  <c r="AL368" i="1"/>
  <c r="AM368" i="1"/>
  <c r="AN368" i="1"/>
  <c r="AL369" i="1"/>
  <c r="AM369" i="1"/>
  <c r="AN369" i="1"/>
  <c r="AL370" i="1"/>
  <c r="AM370" i="1"/>
  <c r="AN370" i="1"/>
  <c r="AL371" i="1"/>
  <c r="AM371" i="1"/>
  <c r="AN371" i="1"/>
  <c r="AL372" i="1"/>
  <c r="AM372" i="1"/>
  <c r="AN372" i="1"/>
  <c r="AL373" i="1"/>
  <c r="AM373" i="1"/>
  <c r="AN373" i="1"/>
  <c r="AL374" i="1"/>
  <c r="AM374" i="1"/>
  <c r="AN374" i="1"/>
  <c r="AL375" i="1"/>
  <c r="AM375" i="1"/>
  <c r="AN375" i="1"/>
  <c r="AL376" i="1"/>
  <c r="AM376" i="1"/>
  <c r="AN376" i="1"/>
  <c r="AL377" i="1"/>
  <c r="AM377" i="1"/>
  <c r="AN377" i="1"/>
  <c r="AL378" i="1"/>
  <c r="AM378" i="1"/>
  <c r="AN378" i="1"/>
  <c r="AL379" i="1"/>
  <c r="AM379" i="1"/>
  <c r="AN379" i="1"/>
  <c r="AL380" i="1"/>
  <c r="AM380" i="1"/>
  <c r="AN380" i="1"/>
  <c r="AL381" i="1"/>
  <c r="AM381" i="1"/>
  <c r="AN381" i="1"/>
  <c r="AL382" i="1"/>
  <c r="AM382" i="1"/>
  <c r="AN382" i="1"/>
  <c r="AL383" i="1"/>
  <c r="AM383" i="1"/>
  <c r="AN383" i="1"/>
  <c r="AL384" i="1"/>
  <c r="AM384" i="1"/>
  <c r="AN384" i="1"/>
  <c r="AL385" i="1"/>
  <c r="AM385" i="1"/>
  <c r="AN385" i="1"/>
  <c r="AL386" i="1"/>
  <c r="AM386" i="1"/>
  <c r="AN386" i="1"/>
  <c r="AL387" i="1"/>
  <c r="AM387" i="1"/>
  <c r="AN387" i="1"/>
  <c r="AL388" i="1"/>
  <c r="AM388" i="1"/>
  <c r="AN388" i="1"/>
  <c r="AL389" i="1"/>
  <c r="AM389" i="1"/>
  <c r="AN389" i="1"/>
  <c r="AL390" i="1"/>
  <c r="AM390" i="1"/>
  <c r="AN390" i="1"/>
  <c r="AL391" i="1"/>
  <c r="AM391" i="1"/>
  <c r="AN391" i="1"/>
  <c r="AL392" i="1"/>
  <c r="AM392" i="1"/>
  <c r="AN392" i="1"/>
  <c r="AL393" i="1"/>
  <c r="AM393" i="1"/>
  <c r="AN393" i="1"/>
  <c r="AL394" i="1"/>
  <c r="AM394" i="1"/>
  <c r="AN394" i="1"/>
  <c r="AL395" i="1"/>
  <c r="AM395" i="1"/>
  <c r="AN395" i="1"/>
  <c r="AL396" i="1"/>
  <c r="AM396" i="1"/>
  <c r="AN396" i="1"/>
  <c r="AL397" i="1"/>
  <c r="AM397" i="1"/>
  <c r="AN397" i="1"/>
  <c r="AL398" i="1"/>
  <c r="AM398" i="1"/>
  <c r="AN398" i="1"/>
  <c r="AL399" i="1"/>
  <c r="AM399" i="1"/>
  <c r="AN399" i="1"/>
  <c r="AL400" i="1"/>
  <c r="AM400" i="1"/>
  <c r="AN400" i="1"/>
  <c r="AL401" i="1"/>
  <c r="AM401" i="1"/>
  <c r="AN401" i="1"/>
  <c r="AL402" i="1"/>
  <c r="AM402" i="1"/>
  <c r="AN402" i="1"/>
  <c r="AL403" i="1"/>
  <c r="AM403" i="1"/>
  <c r="AN403" i="1"/>
  <c r="AL404" i="1"/>
  <c r="AM404" i="1"/>
  <c r="AN404" i="1"/>
  <c r="AL405" i="1"/>
  <c r="AM405" i="1"/>
  <c r="AN405" i="1"/>
  <c r="AL406" i="1"/>
  <c r="AM406" i="1"/>
  <c r="AN406" i="1"/>
  <c r="AL407" i="1"/>
  <c r="AM407" i="1"/>
  <c r="AN407" i="1"/>
  <c r="AL408" i="1"/>
  <c r="AM408" i="1"/>
  <c r="AN408" i="1"/>
  <c r="AL409" i="1"/>
  <c r="AM409" i="1"/>
  <c r="AN409" i="1"/>
  <c r="AL410" i="1"/>
  <c r="AM410" i="1"/>
  <c r="AN410" i="1"/>
  <c r="AL411" i="1"/>
  <c r="AM411" i="1"/>
  <c r="AN411" i="1"/>
  <c r="AL412" i="1"/>
  <c r="AM412" i="1"/>
  <c r="AN412" i="1"/>
  <c r="AL413" i="1"/>
  <c r="AM413" i="1"/>
  <c r="AN413" i="1"/>
  <c r="AL414" i="1"/>
  <c r="AM414" i="1"/>
  <c r="AN414" i="1"/>
  <c r="AL415" i="1"/>
  <c r="AM415" i="1"/>
  <c r="AN415" i="1"/>
  <c r="AL416" i="1"/>
  <c r="AM416" i="1"/>
  <c r="AN416" i="1"/>
  <c r="AL417" i="1"/>
  <c r="AM417" i="1"/>
  <c r="AN417" i="1"/>
  <c r="AL418" i="1"/>
  <c r="AM418" i="1"/>
  <c r="AN418" i="1"/>
  <c r="AL419" i="1"/>
  <c r="AM419" i="1"/>
  <c r="AN419" i="1"/>
  <c r="AL420" i="1"/>
  <c r="AM420" i="1"/>
  <c r="AN420" i="1"/>
  <c r="AL421" i="1"/>
  <c r="AM421" i="1"/>
  <c r="AN421" i="1"/>
  <c r="AL422" i="1"/>
  <c r="AM422" i="1"/>
  <c r="AN422" i="1"/>
  <c r="AL423" i="1"/>
  <c r="AM423" i="1"/>
  <c r="AN423" i="1"/>
  <c r="AL424" i="1"/>
  <c r="AM424" i="1"/>
  <c r="AN424" i="1"/>
  <c r="AL425" i="1"/>
  <c r="AM425" i="1"/>
  <c r="AN425" i="1"/>
  <c r="AL426" i="1"/>
  <c r="AM426" i="1"/>
  <c r="AN426" i="1"/>
  <c r="AL427" i="1"/>
  <c r="AM427" i="1"/>
  <c r="AN427" i="1"/>
  <c r="AL428" i="1"/>
  <c r="AM428" i="1"/>
  <c r="AN428" i="1"/>
  <c r="AL429" i="1"/>
  <c r="AM429" i="1"/>
  <c r="AN429" i="1"/>
  <c r="AL430" i="1"/>
  <c r="AM430" i="1"/>
  <c r="AN430" i="1"/>
  <c r="AL431" i="1"/>
  <c r="AM431" i="1"/>
  <c r="AN431" i="1"/>
  <c r="AL432" i="1"/>
  <c r="AM432" i="1"/>
  <c r="AN432" i="1"/>
  <c r="AL433" i="1"/>
  <c r="AM433" i="1"/>
  <c r="AN433" i="1"/>
  <c r="AL434" i="1"/>
  <c r="AM434" i="1"/>
  <c r="AN434" i="1"/>
  <c r="AL435" i="1"/>
  <c r="AM435" i="1"/>
  <c r="AN435" i="1"/>
  <c r="AL436" i="1"/>
  <c r="AM436" i="1"/>
  <c r="AN436" i="1"/>
  <c r="AL437" i="1"/>
  <c r="AM437" i="1"/>
  <c r="AN437" i="1"/>
  <c r="AL438" i="1"/>
  <c r="AM438" i="1"/>
  <c r="AN438" i="1"/>
  <c r="AL439" i="1"/>
  <c r="AM439" i="1"/>
  <c r="AN439" i="1"/>
  <c r="AL440" i="1"/>
  <c r="AM440" i="1"/>
  <c r="AN440" i="1"/>
  <c r="AL441" i="1"/>
  <c r="AM441" i="1"/>
  <c r="AN441" i="1"/>
  <c r="AL442" i="1"/>
  <c r="AM442" i="1"/>
  <c r="AN442" i="1"/>
  <c r="AL443" i="1"/>
  <c r="AM443" i="1"/>
  <c r="AN443" i="1"/>
  <c r="AL444" i="1"/>
  <c r="AM444" i="1"/>
  <c r="AN444" i="1"/>
  <c r="AL445" i="1"/>
  <c r="AM445" i="1"/>
  <c r="AN445" i="1"/>
  <c r="AL446" i="1"/>
  <c r="AM446" i="1"/>
  <c r="AN446" i="1"/>
  <c r="AL447" i="1"/>
  <c r="AM447" i="1"/>
  <c r="AN447" i="1"/>
  <c r="AL448" i="1"/>
  <c r="AM448" i="1"/>
  <c r="AN448" i="1"/>
  <c r="AL449" i="1"/>
  <c r="AM449" i="1"/>
  <c r="AN449" i="1"/>
  <c r="AL450" i="1"/>
  <c r="AM450" i="1"/>
  <c r="AN450" i="1"/>
  <c r="AL451" i="1"/>
  <c r="AM451" i="1"/>
  <c r="AN451" i="1"/>
  <c r="AL452" i="1"/>
  <c r="AM452" i="1"/>
  <c r="AN452" i="1"/>
  <c r="AL453" i="1"/>
  <c r="AM453" i="1"/>
  <c r="AN453" i="1"/>
  <c r="AL454" i="1"/>
  <c r="AM454" i="1"/>
  <c r="AN454" i="1"/>
  <c r="AL455" i="1"/>
  <c r="AM455" i="1"/>
  <c r="AN455" i="1"/>
  <c r="AL456" i="1"/>
  <c r="AM456" i="1"/>
  <c r="AN456" i="1"/>
  <c r="AL457" i="1"/>
  <c r="AM457" i="1"/>
  <c r="AN457" i="1"/>
  <c r="AL458" i="1"/>
  <c r="AM458" i="1"/>
  <c r="AN458" i="1"/>
  <c r="AL459" i="1"/>
  <c r="AM459" i="1"/>
  <c r="AN459" i="1"/>
  <c r="AL460" i="1"/>
  <c r="AM460" i="1"/>
  <c r="AN460" i="1"/>
  <c r="AL461" i="1"/>
  <c r="AM461" i="1"/>
  <c r="AN461" i="1"/>
  <c r="AL462" i="1"/>
  <c r="AM462" i="1"/>
  <c r="AN462" i="1"/>
  <c r="AL463" i="1"/>
  <c r="AM463" i="1"/>
  <c r="AN463" i="1"/>
  <c r="AL464" i="1"/>
  <c r="AM464" i="1"/>
  <c r="AN464" i="1"/>
  <c r="AL465" i="1"/>
  <c r="AM465" i="1"/>
  <c r="AN465" i="1"/>
  <c r="AL466" i="1"/>
  <c r="AM466" i="1"/>
  <c r="AN466" i="1"/>
  <c r="AL467" i="1"/>
  <c r="AM467" i="1"/>
  <c r="AN467" i="1"/>
  <c r="AL468" i="1"/>
  <c r="AM468" i="1"/>
  <c r="AN468" i="1"/>
  <c r="AL469" i="1"/>
  <c r="AM469" i="1"/>
  <c r="AN469" i="1"/>
  <c r="AL470" i="1"/>
  <c r="AM470" i="1"/>
  <c r="AN470" i="1"/>
  <c r="AL471" i="1"/>
  <c r="AM471" i="1"/>
  <c r="AN471" i="1"/>
  <c r="AL472" i="1"/>
  <c r="AM472" i="1"/>
  <c r="AN472" i="1"/>
  <c r="AL473" i="1"/>
  <c r="AM473" i="1"/>
  <c r="AN473" i="1"/>
  <c r="AL474" i="1"/>
  <c r="AM474" i="1"/>
  <c r="AN474" i="1"/>
  <c r="AL475" i="1"/>
  <c r="AM475" i="1"/>
  <c r="AN475" i="1"/>
  <c r="AL476" i="1"/>
  <c r="AM476" i="1"/>
  <c r="AN476" i="1"/>
  <c r="AL477" i="1"/>
  <c r="AM477" i="1"/>
  <c r="AN477" i="1"/>
  <c r="AL478" i="1"/>
  <c r="AM478" i="1"/>
  <c r="AN478" i="1"/>
  <c r="AL479" i="1"/>
  <c r="AM479" i="1"/>
  <c r="AN479" i="1"/>
  <c r="AL480" i="1"/>
  <c r="AM480" i="1"/>
  <c r="AN480" i="1"/>
  <c r="AL481" i="1"/>
  <c r="AM481" i="1"/>
  <c r="AN481" i="1"/>
  <c r="AL482" i="1"/>
  <c r="AM482" i="1"/>
  <c r="AN482" i="1"/>
  <c r="AL483" i="1"/>
  <c r="AM483" i="1"/>
  <c r="AN483" i="1"/>
  <c r="AL484" i="1"/>
  <c r="AM484" i="1"/>
  <c r="AN484" i="1"/>
  <c r="AL485" i="1"/>
  <c r="AM485" i="1"/>
  <c r="AN485" i="1"/>
  <c r="AL486" i="1"/>
  <c r="AM486" i="1"/>
  <c r="AN486" i="1"/>
  <c r="AL487" i="1"/>
  <c r="AM487" i="1"/>
  <c r="AN487" i="1"/>
  <c r="AL488" i="1"/>
  <c r="AM488" i="1"/>
  <c r="AN488" i="1"/>
  <c r="AL489" i="1"/>
  <c r="AM489" i="1"/>
  <c r="AN489" i="1"/>
  <c r="AL490" i="1"/>
  <c r="AM490" i="1"/>
  <c r="AN490" i="1"/>
  <c r="AL491" i="1"/>
  <c r="AM491" i="1"/>
  <c r="AN491" i="1"/>
  <c r="AL492" i="1"/>
  <c r="AM492" i="1"/>
  <c r="AN492" i="1"/>
  <c r="AL493" i="1"/>
  <c r="AM493" i="1"/>
  <c r="AN493" i="1"/>
  <c r="AL494" i="1"/>
  <c r="AM494" i="1"/>
  <c r="AN494" i="1"/>
  <c r="AL495" i="1"/>
  <c r="AM495" i="1"/>
  <c r="AN495" i="1"/>
  <c r="AL496" i="1"/>
  <c r="AM496" i="1"/>
  <c r="AN496" i="1"/>
  <c r="AL497" i="1"/>
  <c r="AM497" i="1"/>
  <c r="AN497" i="1"/>
  <c r="AL498" i="1"/>
  <c r="AM498" i="1"/>
  <c r="AN498" i="1"/>
  <c r="AL499" i="1"/>
  <c r="AM499" i="1"/>
  <c r="AN499" i="1"/>
  <c r="AL500" i="1"/>
  <c r="AM500" i="1"/>
  <c r="AN500" i="1"/>
  <c r="AL501" i="1"/>
  <c r="AM501" i="1"/>
  <c r="AN501" i="1"/>
  <c r="AL502" i="1"/>
  <c r="AM502" i="1"/>
  <c r="AN502" i="1"/>
  <c r="AL503" i="1"/>
  <c r="AM503" i="1"/>
  <c r="AN503" i="1"/>
  <c r="AL504" i="1"/>
  <c r="AM504" i="1"/>
  <c r="AN504" i="1"/>
  <c r="AL505" i="1"/>
  <c r="AM505" i="1"/>
  <c r="AN505" i="1"/>
  <c r="AL506" i="1"/>
  <c r="AM506" i="1"/>
  <c r="AN506" i="1"/>
  <c r="AL507" i="1"/>
  <c r="AM507" i="1"/>
  <c r="AN507" i="1"/>
  <c r="AL508" i="1"/>
  <c r="AM508" i="1"/>
  <c r="AN508" i="1"/>
  <c r="AL509" i="1"/>
  <c r="AM509" i="1"/>
  <c r="AN509" i="1"/>
  <c r="AL510" i="1"/>
  <c r="AM510" i="1"/>
  <c r="AN510" i="1"/>
  <c r="AL511" i="1"/>
  <c r="AM511" i="1"/>
  <c r="AN511" i="1"/>
  <c r="AL512" i="1"/>
  <c r="AM512" i="1"/>
  <c r="AN512" i="1"/>
  <c r="AL513" i="1"/>
  <c r="AM513" i="1"/>
  <c r="AN513" i="1"/>
  <c r="AL514" i="1"/>
  <c r="AM514" i="1"/>
  <c r="AN514" i="1"/>
  <c r="AL515" i="1"/>
  <c r="AM515" i="1"/>
  <c r="AN515" i="1"/>
  <c r="AL516" i="1"/>
  <c r="AM516" i="1"/>
  <c r="AN516" i="1"/>
  <c r="AL517" i="1"/>
  <c r="AM517" i="1"/>
  <c r="AN517" i="1"/>
  <c r="AL518" i="1"/>
  <c r="AM518" i="1"/>
  <c r="AN518" i="1"/>
  <c r="AL519" i="1"/>
  <c r="AM519" i="1"/>
  <c r="AN519" i="1"/>
  <c r="AL520" i="1"/>
  <c r="AM520" i="1"/>
  <c r="AN520" i="1"/>
  <c r="AL521" i="1"/>
  <c r="AM521" i="1"/>
  <c r="AN521" i="1"/>
  <c r="AL522" i="1"/>
  <c r="AM522" i="1"/>
  <c r="AN522" i="1"/>
  <c r="AL523" i="1"/>
  <c r="AM523" i="1"/>
  <c r="AN523" i="1"/>
  <c r="AL524" i="1"/>
  <c r="AM524" i="1"/>
  <c r="AN524" i="1"/>
  <c r="AL525" i="1"/>
  <c r="AM525" i="1"/>
  <c r="AN525" i="1"/>
  <c r="AL526" i="1"/>
  <c r="AM526" i="1"/>
  <c r="AN526" i="1"/>
  <c r="AL527" i="1"/>
  <c r="AM527" i="1"/>
  <c r="AN527" i="1"/>
  <c r="AL528" i="1"/>
  <c r="AM528" i="1"/>
  <c r="AN528" i="1"/>
  <c r="AL529" i="1"/>
  <c r="AM529" i="1"/>
  <c r="AN529" i="1"/>
  <c r="AL530" i="1"/>
  <c r="AM530" i="1"/>
  <c r="AN530" i="1"/>
  <c r="AL531" i="1"/>
  <c r="AM531" i="1"/>
  <c r="AN531" i="1"/>
  <c r="AL532" i="1"/>
  <c r="AM532" i="1"/>
  <c r="AN532" i="1"/>
  <c r="AL533" i="1"/>
  <c r="AM533" i="1"/>
  <c r="AN533" i="1"/>
  <c r="AL534" i="1"/>
  <c r="AM534" i="1"/>
  <c r="AN534" i="1"/>
  <c r="AL535" i="1"/>
  <c r="AM535" i="1"/>
  <c r="AN535" i="1"/>
  <c r="AL536" i="1"/>
  <c r="AM536" i="1"/>
  <c r="AN536" i="1"/>
  <c r="AL537" i="1"/>
  <c r="AM537" i="1"/>
  <c r="AN537" i="1"/>
  <c r="AI2" i="1"/>
  <c r="AI3" i="1"/>
  <c r="AJ3" i="1"/>
  <c r="AK3" i="1"/>
  <c r="AI4" i="1"/>
  <c r="AJ4" i="1"/>
  <c r="AK4" i="1"/>
  <c r="AI5" i="1"/>
  <c r="AJ5" i="1"/>
  <c r="AK5" i="1"/>
  <c r="AI6" i="1"/>
  <c r="AJ6" i="1"/>
  <c r="AK6" i="1"/>
  <c r="AI7" i="1"/>
  <c r="AJ7" i="1"/>
  <c r="AK7" i="1"/>
  <c r="AI8" i="1"/>
  <c r="AJ8" i="1"/>
  <c r="AK8" i="1"/>
  <c r="AI9" i="1"/>
  <c r="AJ9" i="1"/>
  <c r="AK9" i="1"/>
  <c r="AI10" i="1"/>
  <c r="AJ10" i="1"/>
  <c r="AK10" i="1"/>
  <c r="AI11" i="1"/>
  <c r="AJ11" i="1"/>
  <c r="AK11" i="1"/>
  <c r="AI12" i="1"/>
  <c r="AJ12" i="1"/>
  <c r="AK12" i="1"/>
  <c r="AI13" i="1"/>
  <c r="AJ13" i="1"/>
  <c r="AK13" i="1"/>
  <c r="AI14" i="1"/>
  <c r="AJ14" i="1"/>
  <c r="AK14" i="1"/>
  <c r="AI15" i="1"/>
  <c r="AJ15" i="1"/>
  <c r="AK15" i="1"/>
  <c r="AI16" i="1"/>
  <c r="AJ16" i="1"/>
  <c r="AK16" i="1"/>
  <c r="AI17" i="1"/>
  <c r="AJ17" i="1"/>
  <c r="AK17" i="1"/>
  <c r="AI18" i="1"/>
  <c r="AJ18" i="1"/>
  <c r="AK18" i="1"/>
  <c r="AI19" i="1"/>
  <c r="AJ19" i="1"/>
  <c r="AK19" i="1"/>
  <c r="AI20" i="1"/>
  <c r="AJ20" i="1"/>
  <c r="AK20" i="1"/>
  <c r="AI21" i="1"/>
  <c r="AJ21" i="1"/>
  <c r="AK21" i="1"/>
  <c r="AI22" i="1"/>
  <c r="AJ22" i="1"/>
  <c r="AK22" i="1"/>
  <c r="AI23" i="1"/>
  <c r="AJ23" i="1"/>
  <c r="AK23" i="1"/>
  <c r="AI24" i="1"/>
  <c r="AJ24" i="1"/>
  <c r="AK24" i="1"/>
  <c r="AI25" i="1"/>
  <c r="AJ25" i="1"/>
  <c r="AK25" i="1"/>
  <c r="AI26" i="1"/>
  <c r="AJ26" i="1"/>
  <c r="AK26" i="1"/>
  <c r="AI27" i="1"/>
  <c r="AJ27" i="1"/>
  <c r="AK27" i="1"/>
  <c r="AI28" i="1"/>
  <c r="AJ28" i="1"/>
  <c r="AK28" i="1"/>
  <c r="AI29" i="1"/>
  <c r="AJ29" i="1"/>
  <c r="AK29" i="1"/>
  <c r="AI30" i="1"/>
  <c r="AJ30" i="1"/>
  <c r="AK30" i="1"/>
  <c r="AI31" i="1"/>
  <c r="AJ31" i="1"/>
  <c r="AK31" i="1"/>
  <c r="AI32" i="1"/>
  <c r="AJ32" i="1"/>
  <c r="AK32" i="1"/>
  <c r="AI33" i="1"/>
  <c r="AJ33" i="1"/>
  <c r="AK33" i="1"/>
  <c r="AI34" i="1"/>
  <c r="AJ34" i="1"/>
  <c r="AK34" i="1"/>
  <c r="AI35" i="1"/>
  <c r="AJ35" i="1"/>
  <c r="AK35" i="1"/>
  <c r="AI36" i="1"/>
  <c r="AJ36" i="1"/>
  <c r="AK36" i="1"/>
  <c r="AI37" i="1"/>
  <c r="AJ37" i="1"/>
  <c r="AK37" i="1"/>
  <c r="AI38" i="1"/>
  <c r="AJ38" i="1"/>
  <c r="AK38" i="1"/>
  <c r="AI39" i="1"/>
  <c r="AJ39" i="1"/>
  <c r="AK39" i="1"/>
  <c r="AI40" i="1"/>
  <c r="AJ40" i="1"/>
  <c r="AK40" i="1"/>
  <c r="AI41" i="1"/>
  <c r="AJ41" i="1"/>
  <c r="AK41" i="1"/>
  <c r="AI42" i="1"/>
  <c r="AJ42" i="1"/>
  <c r="AK42" i="1"/>
  <c r="AI43" i="1"/>
  <c r="AJ43" i="1"/>
  <c r="AK43" i="1"/>
  <c r="AI44" i="1"/>
  <c r="AJ44" i="1"/>
  <c r="AK44" i="1"/>
  <c r="AI45" i="1"/>
  <c r="AJ45" i="1"/>
  <c r="AK45" i="1"/>
  <c r="AI46" i="1"/>
  <c r="AJ46" i="1"/>
  <c r="AK46" i="1"/>
  <c r="AI47" i="1"/>
  <c r="AJ47" i="1"/>
  <c r="AK47" i="1"/>
  <c r="AI48" i="1"/>
  <c r="AJ48" i="1"/>
  <c r="AK48" i="1"/>
  <c r="AI49" i="1"/>
  <c r="AJ49" i="1"/>
  <c r="AK49" i="1"/>
  <c r="AI50" i="1"/>
  <c r="AJ50" i="1"/>
  <c r="AK50" i="1"/>
  <c r="AI51" i="1"/>
  <c r="AJ51" i="1"/>
  <c r="AK51" i="1"/>
  <c r="AI52" i="1"/>
  <c r="AJ52" i="1"/>
  <c r="AK52" i="1"/>
  <c r="AI53" i="1"/>
  <c r="AJ53" i="1"/>
  <c r="AK53" i="1"/>
  <c r="AI54" i="1"/>
  <c r="AJ54" i="1"/>
  <c r="AK54" i="1"/>
  <c r="AI55" i="1"/>
  <c r="AJ55" i="1"/>
  <c r="AK55" i="1"/>
  <c r="AI56" i="1"/>
  <c r="AJ56" i="1"/>
  <c r="AK56" i="1"/>
  <c r="AI57" i="1"/>
  <c r="AJ57" i="1"/>
  <c r="AK57" i="1"/>
  <c r="AI58" i="1"/>
  <c r="AJ58" i="1"/>
  <c r="AK58" i="1"/>
  <c r="AI59" i="1"/>
  <c r="AJ59" i="1"/>
  <c r="AK59" i="1"/>
  <c r="AI60" i="1"/>
  <c r="AJ60" i="1"/>
  <c r="AK60" i="1"/>
  <c r="AI61" i="1"/>
  <c r="AJ61" i="1"/>
  <c r="AK61" i="1"/>
  <c r="AI62" i="1"/>
  <c r="AJ62" i="1"/>
  <c r="AK62" i="1"/>
  <c r="AI63" i="1"/>
  <c r="AJ63" i="1"/>
  <c r="AK63" i="1"/>
  <c r="AI64" i="1"/>
  <c r="AJ64" i="1"/>
  <c r="AK64" i="1"/>
  <c r="AI65" i="1"/>
  <c r="AJ65" i="1"/>
  <c r="AK65" i="1"/>
  <c r="AI66" i="1"/>
  <c r="AJ66" i="1"/>
  <c r="AK66" i="1"/>
  <c r="AI67" i="1"/>
  <c r="AJ67" i="1"/>
  <c r="AK67" i="1"/>
  <c r="AI68" i="1"/>
  <c r="AJ68" i="1"/>
  <c r="AK68" i="1"/>
  <c r="AI69" i="1"/>
  <c r="AJ69" i="1"/>
  <c r="AK69" i="1"/>
  <c r="AI70" i="1"/>
  <c r="AJ70" i="1"/>
  <c r="AK70" i="1"/>
  <c r="AI71" i="1"/>
  <c r="AJ71" i="1"/>
  <c r="AK71" i="1"/>
  <c r="AI72" i="1"/>
  <c r="AJ72" i="1"/>
  <c r="AK72" i="1"/>
  <c r="AI73" i="1"/>
  <c r="AJ73" i="1"/>
  <c r="AK73" i="1"/>
  <c r="AI74" i="1"/>
  <c r="AJ74" i="1"/>
  <c r="AK74" i="1"/>
  <c r="AI75" i="1"/>
  <c r="AJ75" i="1"/>
  <c r="AK75" i="1"/>
  <c r="AI76" i="1"/>
  <c r="AJ76" i="1"/>
  <c r="AK76" i="1"/>
  <c r="AI77" i="1"/>
  <c r="AJ77" i="1"/>
  <c r="AK77" i="1"/>
  <c r="AI78" i="1"/>
  <c r="AJ78" i="1"/>
  <c r="AK78" i="1"/>
  <c r="AI79" i="1"/>
  <c r="AJ79" i="1"/>
  <c r="AK79" i="1"/>
  <c r="AI80" i="1"/>
  <c r="AJ80" i="1"/>
  <c r="AK80" i="1"/>
  <c r="AI81" i="1"/>
  <c r="AJ81" i="1"/>
  <c r="AK81" i="1"/>
  <c r="AI82" i="1"/>
  <c r="AJ82" i="1"/>
  <c r="AK82" i="1"/>
  <c r="AI83" i="1"/>
  <c r="AJ83" i="1"/>
  <c r="AK83" i="1"/>
  <c r="AI84" i="1"/>
  <c r="AJ84" i="1"/>
  <c r="AK84" i="1"/>
  <c r="AI85" i="1"/>
  <c r="AJ85" i="1"/>
  <c r="AK85" i="1"/>
  <c r="AI86" i="1"/>
  <c r="AJ86" i="1"/>
  <c r="AK86" i="1"/>
  <c r="AI87" i="1"/>
  <c r="AJ87" i="1"/>
  <c r="AK87" i="1"/>
  <c r="AI88" i="1"/>
  <c r="AJ88" i="1"/>
  <c r="AK88" i="1"/>
  <c r="AI89" i="1"/>
  <c r="AJ89" i="1"/>
  <c r="AK89" i="1"/>
  <c r="AI90" i="1"/>
  <c r="AJ90" i="1"/>
  <c r="AK90" i="1"/>
  <c r="AI91" i="1"/>
  <c r="AJ91" i="1"/>
  <c r="AK91" i="1"/>
  <c r="AI92" i="1"/>
  <c r="AJ92" i="1"/>
  <c r="AK92" i="1"/>
  <c r="AI93" i="1"/>
  <c r="AJ93" i="1"/>
  <c r="AK93" i="1"/>
  <c r="AI94" i="1"/>
  <c r="AJ94" i="1"/>
  <c r="AK94" i="1"/>
  <c r="AI95" i="1"/>
  <c r="AJ95" i="1"/>
  <c r="AK95" i="1"/>
  <c r="AI96" i="1"/>
  <c r="AJ96" i="1"/>
  <c r="AK96" i="1"/>
  <c r="AI97" i="1"/>
  <c r="AJ97" i="1"/>
  <c r="AK97" i="1"/>
  <c r="AI98" i="1"/>
  <c r="AJ98" i="1"/>
  <c r="AK98" i="1"/>
  <c r="AI99" i="1"/>
  <c r="AJ99" i="1"/>
  <c r="AK99" i="1"/>
  <c r="AI100" i="1"/>
  <c r="AJ100" i="1"/>
  <c r="AK100" i="1"/>
  <c r="AI101" i="1"/>
  <c r="AJ101" i="1"/>
  <c r="AK101" i="1"/>
  <c r="AI102" i="1"/>
  <c r="AJ102" i="1"/>
  <c r="AK102" i="1"/>
  <c r="AI103" i="1"/>
  <c r="AJ103" i="1"/>
  <c r="AK103" i="1"/>
  <c r="AI104" i="1"/>
  <c r="AJ104" i="1"/>
  <c r="AK104" i="1"/>
  <c r="AI105" i="1"/>
  <c r="AJ105" i="1"/>
  <c r="AK105" i="1"/>
  <c r="AI106" i="1"/>
  <c r="AJ106" i="1"/>
  <c r="AK106" i="1"/>
  <c r="AI107" i="1"/>
  <c r="AJ107" i="1"/>
  <c r="AK107" i="1"/>
  <c r="AI108" i="1"/>
  <c r="AJ108" i="1"/>
  <c r="AK108" i="1"/>
  <c r="AI109" i="1"/>
  <c r="AJ109" i="1"/>
  <c r="AK109" i="1"/>
  <c r="AI110" i="1"/>
  <c r="AJ110" i="1"/>
  <c r="AK110" i="1"/>
  <c r="AI111" i="1"/>
  <c r="AJ111" i="1"/>
  <c r="AK111" i="1"/>
  <c r="AI112" i="1"/>
  <c r="AJ112" i="1"/>
  <c r="AK112" i="1"/>
  <c r="AI113" i="1"/>
  <c r="AJ113" i="1"/>
  <c r="AK113" i="1"/>
  <c r="AI114" i="1"/>
  <c r="AJ114" i="1"/>
  <c r="AK114" i="1"/>
  <c r="AI115" i="1"/>
  <c r="AJ115" i="1"/>
  <c r="AK115" i="1"/>
  <c r="AI116" i="1"/>
  <c r="AJ116" i="1"/>
  <c r="AK116" i="1"/>
  <c r="AI117" i="1"/>
  <c r="AJ117" i="1"/>
  <c r="AK117" i="1"/>
  <c r="AI118" i="1"/>
  <c r="AJ118" i="1"/>
  <c r="AK118" i="1"/>
  <c r="AI119" i="1"/>
  <c r="AJ119" i="1"/>
  <c r="AK119" i="1"/>
  <c r="AI120" i="1"/>
  <c r="AJ120" i="1"/>
  <c r="AK120" i="1"/>
  <c r="AI121" i="1"/>
  <c r="AJ121" i="1"/>
  <c r="AK121" i="1"/>
  <c r="AI122" i="1"/>
  <c r="AJ122" i="1"/>
  <c r="AK122" i="1"/>
  <c r="AI123" i="1"/>
  <c r="AJ123" i="1"/>
  <c r="AK123" i="1"/>
  <c r="AI124" i="1"/>
  <c r="AJ124" i="1"/>
  <c r="AK124" i="1"/>
  <c r="AI125" i="1"/>
  <c r="AJ125" i="1"/>
  <c r="AK125" i="1"/>
  <c r="AI126" i="1"/>
  <c r="AJ126" i="1"/>
  <c r="AK126" i="1"/>
  <c r="AI127" i="1"/>
  <c r="AJ127" i="1"/>
  <c r="AK127" i="1"/>
  <c r="AI128" i="1"/>
  <c r="AJ128" i="1"/>
  <c r="AK128" i="1"/>
  <c r="AI129" i="1"/>
  <c r="AJ129" i="1"/>
  <c r="AK129" i="1"/>
  <c r="AI130" i="1"/>
  <c r="AJ130" i="1"/>
  <c r="AK130" i="1"/>
  <c r="AI131" i="1"/>
  <c r="AJ131" i="1"/>
  <c r="AK131" i="1"/>
  <c r="AI132" i="1"/>
  <c r="AJ132" i="1"/>
  <c r="AK132" i="1"/>
  <c r="AI133" i="1"/>
  <c r="AJ133" i="1"/>
  <c r="AK133" i="1"/>
  <c r="AI134" i="1"/>
  <c r="AJ134" i="1"/>
  <c r="AK134" i="1"/>
  <c r="AI135" i="1"/>
  <c r="AJ135" i="1"/>
  <c r="AK135" i="1"/>
  <c r="AI136" i="1"/>
  <c r="AJ136" i="1"/>
  <c r="AK136" i="1"/>
  <c r="AI137" i="1"/>
  <c r="AJ137" i="1"/>
  <c r="AK137" i="1"/>
  <c r="AI138" i="1"/>
  <c r="AJ138" i="1"/>
  <c r="AK138" i="1"/>
  <c r="AI139" i="1"/>
  <c r="AJ139" i="1"/>
  <c r="AK139" i="1"/>
  <c r="AI140" i="1"/>
  <c r="AJ140" i="1"/>
  <c r="AK140" i="1"/>
  <c r="AI141" i="1"/>
  <c r="AJ141" i="1"/>
  <c r="AK141" i="1"/>
  <c r="AI142" i="1"/>
  <c r="AJ142" i="1"/>
  <c r="AK142" i="1"/>
  <c r="AI143" i="1"/>
  <c r="AJ143" i="1"/>
  <c r="AK143" i="1"/>
  <c r="AI144" i="1"/>
  <c r="AJ144" i="1"/>
  <c r="AK144" i="1"/>
  <c r="AI145" i="1"/>
  <c r="AJ145" i="1"/>
  <c r="AK145" i="1"/>
  <c r="AI146" i="1"/>
  <c r="AJ146" i="1"/>
  <c r="AK146" i="1"/>
  <c r="AI147" i="1"/>
  <c r="AJ147" i="1"/>
  <c r="AK147" i="1"/>
  <c r="AI148" i="1"/>
  <c r="AJ148" i="1"/>
  <c r="AK148" i="1"/>
  <c r="AI149" i="1"/>
  <c r="AJ149" i="1"/>
  <c r="AK149" i="1"/>
  <c r="AI150" i="1"/>
  <c r="AJ150" i="1"/>
  <c r="AK150" i="1"/>
  <c r="AI151" i="1"/>
  <c r="AJ151" i="1"/>
  <c r="AK151" i="1"/>
  <c r="AI152" i="1"/>
  <c r="AJ152" i="1"/>
  <c r="AK152" i="1"/>
  <c r="AI153" i="1"/>
  <c r="AJ153" i="1"/>
  <c r="AK153" i="1"/>
  <c r="AI154" i="1"/>
  <c r="AJ154" i="1"/>
  <c r="AK154" i="1"/>
  <c r="AI155" i="1"/>
  <c r="AJ155" i="1"/>
  <c r="AK155" i="1"/>
  <c r="AI156" i="1"/>
  <c r="AJ156" i="1"/>
  <c r="AK156" i="1"/>
  <c r="AI157" i="1"/>
  <c r="AJ157" i="1"/>
  <c r="AK157" i="1"/>
  <c r="AI158" i="1"/>
  <c r="AJ158" i="1"/>
  <c r="AK158" i="1"/>
  <c r="AI159" i="1"/>
  <c r="AJ159" i="1"/>
  <c r="AK159" i="1"/>
  <c r="AI160" i="1"/>
  <c r="AJ160" i="1"/>
  <c r="AK160" i="1"/>
  <c r="AI161" i="1"/>
  <c r="AJ161" i="1"/>
  <c r="AK161" i="1"/>
  <c r="AI162" i="1"/>
  <c r="AJ162" i="1"/>
  <c r="AK162" i="1"/>
  <c r="AI163" i="1"/>
  <c r="AJ163" i="1"/>
  <c r="AK163" i="1"/>
  <c r="AI164" i="1"/>
  <c r="AJ164" i="1"/>
  <c r="AK164" i="1"/>
  <c r="AI165" i="1"/>
  <c r="AJ165" i="1"/>
  <c r="AK165" i="1"/>
  <c r="AI166" i="1"/>
  <c r="AJ166" i="1"/>
  <c r="AK166" i="1"/>
  <c r="AI167" i="1"/>
  <c r="AJ167" i="1"/>
  <c r="AK167" i="1"/>
  <c r="AI168" i="1"/>
  <c r="AJ168" i="1"/>
  <c r="AK168" i="1"/>
  <c r="AI169" i="1"/>
  <c r="AJ169" i="1"/>
  <c r="AK169" i="1"/>
  <c r="AI170" i="1"/>
  <c r="AJ170" i="1"/>
  <c r="AK170" i="1"/>
  <c r="AI171" i="1"/>
  <c r="AJ171" i="1"/>
  <c r="AK171" i="1"/>
  <c r="AI172" i="1"/>
  <c r="AJ172" i="1"/>
  <c r="AK172" i="1"/>
  <c r="AI173" i="1"/>
  <c r="AJ173" i="1"/>
  <c r="AK173" i="1"/>
  <c r="AI174" i="1"/>
  <c r="AJ174" i="1"/>
  <c r="AK174" i="1"/>
  <c r="AI175" i="1"/>
  <c r="AJ175" i="1"/>
  <c r="AK175" i="1"/>
  <c r="AI176" i="1"/>
  <c r="AJ176" i="1"/>
  <c r="AK176" i="1"/>
  <c r="AI177" i="1"/>
  <c r="AJ177" i="1"/>
  <c r="AK177" i="1"/>
  <c r="AI178" i="1"/>
  <c r="AJ178" i="1"/>
  <c r="AK178" i="1"/>
  <c r="AI179" i="1"/>
  <c r="AJ179" i="1"/>
  <c r="AK179" i="1"/>
  <c r="AI180" i="1"/>
  <c r="AJ180" i="1"/>
  <c r="AK180" i="1"/>
  <c r="AI181" i="1"/>
  <c r="AJ181" i="1"/>
  <c r="AK181" i="1"/>
  <c r="AI182" i="1"/>
  <c r="AJ182" i="1"/>
  <c r="AK182" i="1"/>
  <c r="AI183" i="1"/>
  <c r="AJ183" i="1"/>
  <c r="AK183" i="1"/>
  <c r="AI184" i="1"/>
  <c r="AJ184" i="1"/>
  <c r="AK184" i="1"/>
  <c r="AI185" i="1"/>
  <c r="AJ185" i="1"/>
  <c r="AK185" i="1"/>
  <c r="AI186" i="1"/>
  <c r="AJ186" i="1"/>
  <c r="AK186" i="1"/>
  <c r="AI187" i="1"/>
  <c r="AJ187" i="1"/>
  <c r="AK187" i="1"/>
  <c r="AI188" i="1"/>
  <c r="AJ188" i="1"/>
  <c r="AK188" i="1"/>
  <c r="AI189" i="1"/>
  <c r="AJ189" i="1"/>
  <c r="AK189" i="1"/>
  <c r="AI190" i="1"/>
  <c r="AJ190" i="1"/>
  <c r="AK190" i="1"/>
  <c r="AI191" i="1"/>
  <c r="AJ191" i="1"/>
  <c r="AK191" i="1"/>
  <c r="AI192" i="1"/>
  <c r="AJ192" i="1"/>
  <c r="AK192" i="1"/>
  <c r="AI193" i="1"/>
  <c r="AJ193" i="1"/>
  <c r="AK193" i="1"/>
  <c r="AI194" i="1"/>
  <c r="AJ194" i="1"/>
  <c r="AK194" i="1"/>
  <c r="AI195" i="1"/>
  <c r="AJ195" i="1"/>
  <c r="AK195" i="1"/>
  <c r="AI196" i="1"/>
  <c r="AJ196" i="1"/>
  <c r="AK196" i="1"/>
  <c r="AI197" i="1"/>
  <c r="AJ197" i="1"/>
  <c r="AK197" i="1"/>
  <c r="AI198" i="1"/>
  <c r="AJ198" i="1"/>
  <c r="AK198" i="1"/>
  <c r="AI199" i="1"/>
  <c r="AJ199" i="1"/>
  <c r="AK199" i="1"/>
  <c r="AI200" i="1"/>
  <c r="AJ200" i="1"/>
  <c r="AK200" i="1"/>
  <c r="AI201" i="1"/>
  <c r="AJ201" i="1"/>
  <c r="AK201" i="1"/>
  <c r="AI202" i="1"/>
  <c r="AJ202" i="1"/>
  <c r="AK202" i="1"/>
  <c r="AI203" i="1"/>
  <c r="AJ203" i="1"/>
  <c r="AK203" i="1"/>
  <c r="AI204" i="1"/>
  <c r="AJ204" i="1"/>
  <c r="AK204" i="1"/>
  <c r="AI205" i="1"/>
  <c r="AJ205" i="1"/>
  <c r="AK205" i="1"/>
  <c r="AI206" i="1"/>
  <c r="AJ206" i="1"/>
  <c r="AK206" i="1"/>
  <c r="AI207" i="1"/>
  <c r="AJ207" i="1"/>
  <c r="AK207" i="1"/>
  <c r="AI208" i="1"/>
  <c r="AJ208" i="1"/>
  <c r="AK208" i="1"/>
  <c r="AI209" i="1"/>
  <c r="AJ209" i="1"/>
  <c r="AK209" i="1"/>
  <c r="AI210" i="1"/>
  <c r="AJ210" i="1"/>
  <c r="AK210" i="1"/>
  <c r="AI211" i="1"/>
  <c r="AJ211" i="1"/>
  <c r="AK211" i="1"/>
  <c r="AI212" i="1"/>
  <c r="AJ212" i="1"/>
  <c r="AK212" i="1"/>
  <c r="AI213" i="1"/>
  <c r="AJ213" i="1"/>
  <c r="AK213" i="1"/>
  <c r="AI214" i="1"/>
  <c r="AJ214" i="1"/>
  <c r="AK214" i="1"/>
  <c r="AI215" i="1"/>
  <c r="AJ215" i="1"/>
  <c r="AK215" i="1"/>
  <c r="AI216" i="1"/>
  <c r="AJ216" i="1"/>
  <c r="AK216" i="1"/>
  <c r="AI217" i="1"/>
  <c r="AJ217" i="1"/>
  <c r="AK217" i="1"/>
  <c r="AI218" i="1"/>
  <c r="AJ218" i="1"/>
  <c r="AK218" i="1"/>
  <c r="AI219" i="1"/>
  <c r="AJ219" i="1"/>
  <c r="AK219" i="1"/>
  <c r="AI220" i="1"/>
  <c r="AJ220" i="1"/>
  <c r="AK220" i="1"/>
  <c r="AI221" i="1"/>
  <c r="AJ221" i="1"/>
  <c r="AK221" i="1"/>
  <c r="AI222" i="1"/>
  <c r="AJ222" i="1"/>
  <c r="AK222" i="1"/>
  <c r="AI223" i="1"/>
  <c r="AJ223" i="1"/>
  <c r="AK223" i="1"/>
  <c r="AI224" i="1"/>
  <c r="AJ224" i="1"/>
  <c r="AK224" i="1"/>
  <c r="AI225" i="1"/>
  <c r="AJ225" i="1"/>
  <c r="AK225" i="1"/>
  <c r="AI226" i="1"/>
  <c r="AJ226" i="1"/>
  <c r="AK226" i="1"/>
  <c r="AI227" i="1"/>
  <c r="AJ227" i="1"/>
  <c r="AK227" i="1"/>
  <c r="AI228" i="1"/>
  <c r="AJ228" i="1"/>
  <c r="AK228" i="1"/>
  <c r="AI229" i="1"/>
  <c r="AJ229" i="1"/>
  <c r="AK229" i="1"/>
  <c r="AI230" i="1"/>
  <c r="AJ230" i="1"/>
  <c r="AK230" i="1"/>
  <c r="AI231" i="1"/>
  <c r="AJ231" i="1"/>
  <c r="AK231" i="1"/>
  <c r="AI232" i="1"/>
  <c r="AJ232" i="1"/>
  <c r="AK232" i="1"/>
  <c r="AI233" i="1"/>
  <c r="AJ233" i="1"/>
  <c r="AK233" i="1"/>
  <c r="AI234" i="1"/>
  <c r="AJ234" i="1"/>
  <c r="AK234" i="1"/>
  <c r="AI235" i="1"/>
  <c r="AJ235" i="1"/>
  <c r="AK235" i="1"/>
  <c r="AI236" i="1"/>
  <c r="AJ236" i="1"/>
  <c r="AK236" i="1"/>
  <c r="AI237" i="1"/>
  <c r="AJ237" i="1"/>
  <c r="AK237" i="1"/>
  <c r="AI238" i="1"/>
  <c r="AJ238" i="1"/>
  <c r="AK238" i="1"/>
  <c r="AI239" i="1"/>
  <c r="AJ239" i="1"/>
  <c r="AK239" i="1"/>
  <c r="AI240" i="1"/>
  <c r="AJ240" i="1"/>
  <c r="AK240" i="1"/>
  <c r="AI241" i="1"/>
  <c r="AJ241" i="1"/>
  <c r="AK241" i="1"/>
  <c r="AI242" i="1"/>
  <c r="AJ242" i="1"/>
  <c r="AK242" i="1"/>
  <c r="AI243" i="1"/>
  <c r="AJ243" i="1"/>
  <c r="AK243" i="1"/>
  <c r="AI244" i="1"/>
  <c r="AJ244" i="1"/>
  <c r="AK244" i="1"/>
  <c r="AI245" i="1"/>
  <c r="AJ245" i="1"/>
  <c r="AK245" i="1"/>
  <c r="AI246" i="1"/>
  <c r="AJ246" i="1"/>
  <c r="AK246" i="1"/>
  <c r="AI247" i="1"/>
  <c r="AJ247" i="1"/>
  <c r="AK247" i="1"/>
  <c r="AI248" i="1"/>
  <c r="AJ248" i="1"/>
  <c r="AK248" i="1"/>
  <c r="AI249" i="1"/>
  <c r="AJ249" i="1"/>
  <c r="AK249" i="1"/>
  <c r="AI250" i="1"/>
  <c r="AJ250" i="1"/>
  <c r="AK250" i="1"/>
  <c r="AI251" i="1"/>
  <c r="AJ251" i="1"/>
  <c r="AK251" i="1"/>
  <c r="AI252" i="1"/>
  <c r="AJ252" i="1"/>
  <c r="AK252" i="1"/>
  <c r="AI253" i="1"/>
  <c r="AJ253" i="1"/>
  <c r="AK253" i="1"/>
  <c r="AI254" i="1"/>
  <c r="AJ254" i="1"/>
  <c r="AK254" i="1"/>
  <c r="AI255" i="1"/>
  <c r="AJ255" i="1"/>
  <c r="AK255" i="1"/>
  <c r="AI256" i="1"/>
  <c r="AJ256" i="1"/>
  <c r="AK256" i="1"/>
  <c r="AI257" i="1"/>
  <c r="AJ257" i="1"/>
  <c r="AK257" i="1"/>
  <c r="AI258" i="1"/>
  <c r="AJ258" i="1"/>
  <c r="AK258" i="1"/>
  <c r="AI259" i="1"/>
  <c r="AJ259" i="1"/>
  <c r="AK259" i="1"/>
  <c r="AI260" i="1"/>
  <c r="AJ260" i="1"/>
  <c r="AK260" i="1"/>
  <c r="AI261" i="1"/>
  <c r="AJ261" i="1"/>
  <c r="AK261" i="1"/>
  <c r="AI262" i="1"/>
  <c r="AJ262" i="1"/>
  <c r="AK262" i="1"/>
  <c r="AI263" i="1"/>
  <c r="AJ263" i="1"/>
  <c r="AK263" i="1"/>
  <c r="AI264" i="1"/>
  <c r="AJ264" i="1"/>
  <c r="AK264" i="1"/>
  <c r="AI265" i="1"/>
  <c r="AJ265" i="1"/>
  <c r="AK265" i="1"/>
  <c r="AI266" i="1"/>
  <c r="AJ266" i="1"/>
  <c r="AK266" i="1"/>
  <c r="AI267" i="1"/>
  <c r="AJ267" i="1"/>
  <c r="AK267" i="1"/>
  <c r="AI268" i="1"/>
  <c r="AJ268" i="1"/>
  <c r="AK268" i="1"/>
  <c r="AI269" i="1"/>
  <c r="AJ269" i="1"/>
  <c r="AK269" i="1"/>
  <c r="AI270" i="1"/>
  <c r="AJ270" i="1"/>
  <c r="AK270" i="1"/>
  <c r="AI271" i="1"/>
  <c r="AJ271" i="1"/>
  <c r="AK271" i="1"/>
  <c r="AI272" i="1"/>
  <c r="AJ272" i="1"/>
  <c r="AK272" i="1"/>
  <c r="AI273" i="1"/>
  <c r="AJ273" i="1"/>
  <c r="AK273" i="1"/>
  <c r="AI274" i="1"/>
  <c r="AJ274" i="1"/>
  <c r="AK274" i="1"/>
  <c r="AI275" i="1"/>
  <c r="AJ275" i="1"/>
  <c r="AK275" i="1"/>
  <c r="AI276" i="1"/>
  <c r="AJ276" i="1"/>
  <c r="AK276" i="1"/>
  <c r="AI277" i="1"/>
  <c r="AJ277" i="1"/>
  <c r="AK277" i="1"/>
  <c r="AI278" i="1"/>
  <c r="AJ278" i="1"/>
  <c r="AK278" i="1"/>
  <c r="AI279" i="1"/>
  <c r="AJ279" i="1"/>
  <c r="AK279" i="1"/>
  <c r="AI280" i="1"/>
  <c r="AJ280" i="1"/>
  <c r="AK280" i="1"/>
  <c r="AI281" i="1"/>
  <c r="AJ281" i="1"/>
  <c r="AK281" i="1"/>
  <c r="AI282" i="1"/>
  <c r="AJ282" i="1"/>
  <c r="AK282" i="1"/>
  <c r="AI283" i="1"/>
  <c r="AJ283" i="1"/>
  <c r="AK283" i="1"/>
  <c r="AI284" i="1"/>
  <c r="AJ284" i="1"/>
  <c r="AK284" i="1"/>
  <c r="AI285" i="1"/>
  <c r="AJ285" i="1"/>
  <c r="AK285" i="1"/>
  <c r="AI286" i="1"/>
  <c r="AJ286" i="1"/>
  <c r="AK286" i="1"/>
  <c r="AI287" i="1"/>
  <c r="AJ287" i="1"/>
  <c r="AK287" i="1"/>
  <c r="AI288" i="1"/>
  <c r="AJ288" i="1"/>
  <c r="AK288" i="1"/>
  <c r="AI289" i="1"/>
  <c r="AJ289" i="1"/>
  <c r="AK289" i="1"/>
  <c r="AI290" i="1"/>
  <c r="AJ290" i="1"/>
  <c r="AK290" i="1"/>
  <c r="AI291" i="1"/>
  <c r="AJ291" i="1"/>
  <c r="AK291" i="1"/>
  <c r="AI292" i="1"/>
  <c r="AJ292" i="1"/>
  <c r="AK292" i="1"/>
  <c r="AI293" i="1"/>
  <c r="AJ293" i="1"/>
  <c r="AK293" i="1"/>
  <c r="AI294" i="1"/>
  <c r="AJ294" i="1"/>
  <c r="AK294" i="1"/>
  <c r="AI295" i="1"/>
  <c r="AJ295" i="1"/>
  <c r="AK295" i="1"/>
  <c r="AI296" i="1"/>
  <c r="AJ296" i="1"/>
  <c r="AK296" i="1"/>
  <c r="AI297" i="1"/>
  <c r="AJ297" i="1"/>
  <c r="AK297" i="1"/>
  <c r="AI298" i="1"/>
  <c r="AJ298" i="1"/>
  <c r="AK298" i="1"/>
  <c r="AI299" i="1"/>
  <c r="AJ299" i="1"/>
  <c r="AK299" i="1"/>
  <c r="AI300" i="1"/>
  <c r="AJ300" i="1"/>
  <c r="AK300" i="1"/>
  <c r="AI301" i="1"/>
  <c r="AJ301" i="1"/>
  <c r="AK301" i="1"/>
  <c r="AI302" i="1"/>
  <c r="AJ302" i="1"/>
  <c r="AK302" i="1"/>
  <c r="AI303" i="1"/>
  <c r="AJ303" i="1"/>
  <c r="AK303" i="1"/>
  <c r="AI304" i="1"/>
  <c r="AJ304" i="1"/>
  <c r="AK304" i="1"/>
  <c r="AI305" i="1"/>
  <c r="AJ305" i="1"/>
  <c r="AK305" i="1"/>
  <c r="AI306" i="1"/>
  <c r="AJ306" i="1"/>
  <c r="AK306" i="1"/>
  <c r="AI307" i="1"/>
  <c r="AJ307" i="1"/>
  <c r="AK307" i="1"/>
  <c r="AI308" i="1"/>
  <c r="AJ308" i="1"/>
  <c r="AK308" i="1"/>
  <c r="AI309" i="1"/>
  <c r="AJ309" i="1"/>
  <c r="AK309" i="1"/>
  <c r="AI310" i="1"/>
  <c r="AJ310" i="1"/>
  <c r="AK310" i="1"/>
  <c r="AI311" i="1"/>
  <c r="AJ311" i="1"/>
  <c r="AK311" i="1"/>
  <c r="AI312" i="1"/>
  <c r="AJ312" i="1"/>
  <c r="AK312" i="1"/>
  <c r="AI313" i="1"/>
  <c r="AJ313" i="1"/>
  <c r="AK313" i="1"/>
  <c r="AI314" i="1"/>
  <c r="AJ314" i="1"/>
  <c r="AK314" i="1"/>
  <c r="AI315" i="1"/>
  <c r="AJ315" i="1"/>
  <c r="AK315" i="1"/>
  <c r="AI316" i="1"/>
  <c r="AJ316" i="1"/>
  <c r="AK316" i="1"/>
  <c r="AI317" i="1"/>
  <c r="AJ317" i="1"/>
  <c r="AK317" i="1"/>
  <c r="AI318" i="1"/>
  <c r="AJ318" i="1"/>
  <c r="AK318" i="1"/>
  <c r="AI319" i="1"/>
  <c r="AJ319" i="1"/>
  <c r="AK319" i="1"/>
  <c r="AI320" i="1"/>
  <c r="AJ320" i="1"/>
  <c r="AK320" i="1"/>
  <c r="AI321" i="1"/>
  <c r="AJ321" i="1"/>
  <c r="AK321" i="1"/>
  <c r="AI322" i="1"/>
  <c r="AJ322" i="1"/>
  <c r="AK322" i="1"/>
  <c r="AI323" i="1"/>
  <c r="AJ323" i="1"/>
  <c r="AK323" i="1"/>
  <c r="AI324" i="1"/>
  <c r="AJ324" i="1"/>
  <c r="AK324" i="1"/>
  <c r="AI325" i="1"/>
  <c r="AJ325" i="1"/>
  <c r="AK325" i="1"/>
  <c r="AI326" i="1"/>
  <c r="AJ326" i="1"/>
  <c r="AK326" i="1"/>
  <c r="AI327" i="1"/>
  <c r="AJ327" i="1"/>
  <c r="AK327" i="1"/>
  <c r="AI328" i="1"/>
  <c r="AJ328" i="1"/>
  <c r="AK328" i="1"/>
  <c r="AI329" i="1"/>
  <c r="AJ329" i="1"/>
  <c r="AK329" i="1"/>
  <c r="AI330" i="1"/>
  <c r="AJ330" i="1"/>
  <c r="AK330" i="1"/>
  <c r="AI331" i="1"/>
  <c r="AJ331" i="1"/>
  <c r="AK331" i="1"/>
  <c r="AI332" i="1"/>
  <c r="AJ332" i="1"/>
  <c r="AK332" i="1"/>
  <c r="AI333" i="1"/>
  <c r="AJ333" i="1"/>
  <c r="AK333" i="1"/>
  <c r="AI334" i="1"/>
  <c r="AJ334" i="1"/>
  <c r="AK334" i="1"/>
  <c r="AI335" i="1"/>
  <c r="AJ335" i="1"/>
  <c r="AK335" i="1"/>
  <c r="AI336" i="1"/>
  <c r="AJ336" i="1"/>
  <c r="AK336" i="1"/>
  <c r="AI337" i="1"/>
  <c r="AJ337" i="1"/>
  <c r="AK337" i="1"/>
  <c r="AI338" i="1"/>
  <c r="AJ338" i="1"/>
  <c r="AK338" i="1"/>
  <c r="AI339" i="1"/>
  <c r="AJ339" i="1"/>
  <c r="AK339" i="1"/>
  <c r="AI340" i="1"/>
  <c r="AJ340" i="1"/>
  <c r="AK340" i="1"/>
  <c r="AI341" i="1"/>
  <c r="AJ341" i="1"/>
  <c r="AK341" i="1"/>
  <c r="AI342" i="1"/>
  <c r="AJ342" i="1"/>
  <c r="AK342" i="1"/>
  <c r="AI343" i="1"/>
  <c r="AJ343" i="1"/>
  <c r="AK343" i="1"/>
  <c r="AI344" i="1"/>
  <c r="AJ344" i="1"/>
  <c r="AK344" i="1"/>
  <c r="AI345" i="1"/>
  <c r="AJ345" i="1"/>
  <c r="AK345" i="1"/>
  <c r="AI346" i="1"/>
  <c r="AJ346" i="1"/>
  <c r="AK346" i="1"/>
  <c r="AI347" i="1"/>
  <c r="AJ347" i="1"/>
  <c r="AK347" i="1"/>
  <c r="AI348" i="1"/>
  <c r="AJ348" i="1"/>
  <c r="AK348" i="1"/>
  <c r="AI349" i="1"/>
  <c r="AJ349" i="1"/>
  <c r="AK349" i="1"/>
  <c r="AI350" i="1"/>
  <c r="AJ350" i="1"/>
  <c r="AK350" i="1"/>
  <c r="AI351" i="1"/>
  <c r="AJ351" i="1"/>
  <c r="AK351" i="1"/>
  <c r="AI352" i="1"/>
  <c r="AJ352" i="1"/>
  <c r="AK352" i="1"/>
  <c r="AI353" i="1"/>
  <c r="AJ353" i="1"/>
  <c r="AK353" i="1"/>
  <c r="AI354" i="1"/>
  <c r="AJ354" i="1"/>
  <c r="AK354" i="1"/>
  <c r="AI355" i="1"/>
  <c r="AJ355" i="1"/>
  <c r="AK355" i="1"/>
  <c r="AI356" i="1"/>
  <c r="AJ356" i="1"/>
  <c r="AK356" i="1"/>
  <c r="AI357" i="1"/>
  <c r="AJ357" i="1"/>
  <c r="AK357" i="1"/>
  <c r="AI358" i="1"/>
  <c r="AJ358" i="1"/>
  <c r="AK358" i="1"/>
  <c r="AI359" i="1"/>
  <c r="AJ359" i="1"/>
  <c r="AK359" i="1"/>
  <c r="AI360" i="1"/>
  <c r="AJ360" i="1"/>
  <c r="AK360" i="1"/>
  <c r="AI361" i="1"/>
  <c r="AJ361" i="1"/>
  <c r="AK361" i="1"/>
  <c r="AI362" i="1"/>
  <c r="AJ362" i="1"/>
  <c r="AK362" i="1"/>
  <c r="AI363" i="1"/>
  <c r="AJ363" i="1"/>
  <c r="AK363" i="1"/>
  <c r="AI364" i="1"/>
  <c r="AJ364" i="1"/>
  <c r="AK364" i="1"/>
  <c r="AI365" i="1"/>
  <c r="AJ365" i="1"/>
  <c r="AK365" i="1"/>
  <c r="AI366" i="1"/>
  <c r="AJ366" i="1"/>
  <c r="AK366" i="1"/>
  <c r="AI367" i="1"/>
  <c r="AJ367" i="1"/>
  <c r="AK367" i="1"/>
  <c r="AI368" i="1"/>
  <c r="AJ368" i="1"/>
  <c r="AK368" i="1"/>
  <c r="AI369" i="1"/>
  <c r="AJ369" i="1"/>
  <c r="AK369" i="1"/>
  <c r="AI370" i="1"/>
  <c r="AJ370" i="1"/>
  <c r="AK370" i="1"/>
  <c r="AI371" i="1"/>
  <c r="AJ371" i="1"/>
  <c r="AK371" i="1"/>
  <c r="AI372" i="1"/>
  <c r="AJ372" i="1"/>
  <c r="AK372" i="1"/>
  <c r="AI373" i="1"/>
  <c r="AJ373" i="1"/>
  <c r="AK373" i="1"/>
  <c r="AI374" i="1"/>
  <c r="AJ374" i="1"/>
  <c r="AK374" i="1"/>
  <c r="AI375" i="1"/>
  <c r="AJ375" i="1"/>
  <c r="AK375" i="1"/>
  <c r="AI376" i="1"/>
  <c r="AJ376" i="1"/>
  <c r="AK376" i="1"/>
  <c r="AI377" i="1"/>
  <c r="AJ377" i="1"/>
  <c r="AK377" i="1"/>
  <c r="AI378" i="1"/>
  <c r="AJ378" i="1"/>
  <c r="AK378" i="1"/>
  <c r="AI379" i="1"/>
  <c r="AJ379" i="1"/>
  <c r="AK379" i="1"/>
  <c r="AI380" i="1"/>
  <c r="AJ380" i="1"/>
  <c r="AK380" i="1"/>
  <c r="AI381" i="1"/>
  <c r="AJ381" i="1"/>
  <c r="AK381" i="1"/>
  <c r="AI382" i="1"/>
  <c r="AJ382" i="1"/>
  <c r="AK382" i="1"/>
  <c r="AI383" i="1"/>
  <c r="AJ383" i="1"/>
  <c r="AK383" i="1"/>
  <c r="AI384" i="1"/>
  <c r="AJ384" i="1"/>
  <c r="AK384" i="1"/>
  <c r="AI385" i="1"/>
  <c r="AJ385" i="1"/>
  <c r="AK385" i="1"/>
  <c r="AI386" i="1"/>
  <c r="AJ386" i="1"/>
  <c r="AK386" i="1"/>
  <c r="AI387" i="1"/>
  <c r="AJ387" i="1"/>
  <c r="AK387" i="1"/>
  <c r="AI388" i="1"/>
  <c r="AJ388" i="1"/>
  <c r="AK388" i="1"/>
  <c r="AI389" i="1"/>
  <c r="AJ389" i="1"/>
  <c r="AK389" i="1"/>
  <c r="AI390" i="1"/>
  <c r="AJ390" i="1"/>
  <c r="AK390" i="1"/>
  <c r="AI391" i="1"/>
  <c r="AJ391" i="1"/>
  <c r="AK391" i="1"/>
  <c r="AI392" i="1"/>
  <c r="AJ392" i="1"/>
  <c r="AK392" i="1"/>
  <c r="AI393" i="1"/>
  <c r="AJ393" i="1"/>
  <c r="AK393" i="1"/>
  <c r="AI394" i="1"/>
  <c r="AJ394" i="1"/>
  <c r="AK394" i="1"/>
  <c r="AI395" i="1"/>
  <c r="AJ395" i="1"/>
  <c r="AK395" i="1"/>
  <c r="AI396" i="1"/>
  <c r="AJ396" i="1"/>
  <c r="AK396" i="1"/>
  <c r="AI397" i="1"/>
  <c r="AJ397" i="1"/>
  <c r="AK397" i="1"/>
  <c r="AI398" i="1"/>
  <c r="AJ398" i="1"/>
  <c r="AK398" i="1"/>
  <c r="AI399" i="1"/>
  <c r="AJ399" i="1"/>
  <c r="AK399" i="1"/>
  <c r="AI400" i="1"/>
  <c r="AJ400" i="1"/>
  <c r="AK400" i="1"/>
  <c r="AI401" i="1"/>
  <c r="AJ401" i="1"/>
  <c r="AK401" i="1"/>
  <c r="AI402" i="1"/>
  <c r="AJ402" i="1"/>
  <c r="AK402" i="1"/>
  <c r="AI403" i="1"/>
  <c r="AJ403" i="1"/>
  <c r="AK403" i="1"/>
  <c r="AI404" i="1"/>
  <c r="AJ404" i="1"/>
  <c r="AK404" i="1"/>
  <c r="AI405" i="1"/>
  <c r="AJ405" i="1"/>
  <c r="AK405" i="1"/>
  <c r="AI406" i="1"/>
  <c r="AJ406" i="1"/>
  <c r="AK406" i="1"/>
  <c r="AI407" i="1"/>
  <c r="AJ407" i="1"/>
  <c r="AK407" i="1"/>
  <c r="AI408" i="1"/>
  <c r="AJ408" i="1"/>
  <c r="AK408" i="1"/>
  <c r="AI409" i="1"/>
  <c r="AJ409" i="1"/>
  <c r="AK409" i="1"/>
  <c r="AI410" i="1"/>
  <c r="AJ410" i="1"/>
  <c r="AK410" i="1"/>
  <c r="AI411" i="1"/>
  <c r="AJ411" i="1"/>
  <c r="AK411" i="1"/>
  <c r="AI412" i="1"/>
  <c r="AJ412" i="1"/>
  <c r="AK412" i="1"/>
  <c r="AI413" i="1"/>
  <c r="AJ413" i="1"/>
  <c r="AK413" i="1"/>
  <c r="AI414" i="1"/>
  <c r="AJ414" i="1"/>
  <c r="AK414" i="1"/>
  <c r="AI415" i="1"/>
  <c r="AJ415" i="1"/>
  <c r="AK415" i="1"/>
  <c r="AI416" i="1"/>
  <c r="AJ416" i="1"/>
  <c r="AK416" i="1"/>
  <c r="AI417" i="1"/>
  <c r="AJ417" i="1"/>
  <c r="AK417" i="1"/>
  <c r="AI418" i="1"/>
  <c r="AJ418" i="1"/>
  <c r="AK418" i="1"/>
  <c r="AI419" i="1"/>
  <c r="AJ419" i="1"/>
  <c r="AK419" i="1"/>
  <c r="AI420" i="1"/>
  <c r="AJ420" i="1"/>
  <c r="AK420" i="1"/>
  <c r="AI421" i="1"/>
  <c r="AJ421" i="1"/>
  <c r="AK421" i="1"/>
  <c r="AI422" i="1"/>
  <c r="AJ422" i="1"/>
  <c r="AK422" i="1"/>
  <c r="AI423" i="1"/>
  <c r="AJ423" i="1"/>
  <c r="AK423" i="1"/>
  <c r="AI424" i="1"/>
  <c r="AJ424" i="1"/>
  <c r="AK424" i="1"/>
  <c r="AI425" i="1"/>
  <c r="AJ425" i="1"/>
  <c r="AK425" i="1"/>
  <c r="AI426" i="1"/>
  <c r="AJ426" i="1"/>
  <c r="AK426" i="1"/>
  <c r="AI427" i="1"/>
  <c r="AJ427" i="1"/>
  <c r="AK427" i="1"/>
  <c r="AI428" i="1"/>
  <c r="AJ428" i="1"/>
  <c r="AK428" i="1"/>
  <c r="AI429" i="1"/>
  <c r="AJ429" i="1"/>
  <c r="AK429" i="1"/>
  <c r="AI430" i="1"/>
  <c r="AJ430" i="1"/>
  <c r="AK430" i="1"/>
  <c r="AI431" i="1"/>
  <c r="AJ431" i="1"/>
  <c r="AK431" i="1"/>
  <c r="AI432" i="1"/>
  <c r="AJ432" i="1"/>
  <c r="AK432" i="1"/>
  <c r="AI433" i="1"/>
  <c r="AJ433" i="1"/>
  <c r="AK433" i="1"/>
  <c r="AI434" i="1"/>
  <c r="AJ434" i="1"/>
  <c r="AK434" i="1"/>
  <c r="AI435" i="1"/>
  <c r="AJ435" i="1"/>
  <c r="AK435" i="1"/>
  <c r="AI436" i="1"/>
  <c r="AJ436" i="1"/>
  <c r="AK436" i="1"/>
  <c r="AI437" i="1"/>
  <c r="AJ437" i="1"/>
  <c r="AK437" i="1"/>
  <c r="AI438" i="1"/>
  <c r="AJ438" i="1"/>
  <c r="AK438" i="1"/>
  <c r="AI439" i="1"/>
  <c r="AJ439" i="1"/>
  <c r="AK439" i="1"/>
  <c r="AI440" i="1"/>
  <c r="AJ440" i="1"/>
  <c r="AK440" i="1"/>
  <c r="AI441" i="1"/>
  <c r="AJ441" i="1"/>
  <c r="AK441" i="1"/>
  <c r="AI442" i="1"/>
  <c r="AJ442" i="1"/>
  <c r="AK442" i="1"/>
  <c r="AI443" i="1"/>
  <c r="AJ443" i="1"/>
  <c r="AK443" i="1"/>
  <c r="AI444" i="1"/>
  <c r="AJ444" i="1"/>
  <c r="AK444" i="1"/>
  <c r="AI445" i="1"/>
  <c r="AJ445" i="1"/>
  <c r="AK445" i="1"/>
  <c r="AI446" i="1"/>
  <c r="AJ446" i="1"/>
  <c r="AK446" i="1"/>
  <c r="AI447" i="1"/>
  <c r="AJ447" i="1"/>
  <c r="AK447" i="1"/>
  <c r="AI448" i="1"/>
  <c r="AJ448" i="1"/>
  <c r="AK448" i="1"/>
  <c r="AI449" i="1"/>
  <c r="AJ449" i="1"/>
  <c r="AK449" i="1"/>
  <c r="AI450" i="1"/>
  <c r="AJ450" i="1"/>
  <c r="AK450" i="1"/>
  <c r="AI451" i="1"/>
  <c r="AJ451" i="1"/>
  <c r="AK451" i="1"/>
  <c r="AI452" i="1"/>
  <c r="AJ452" i="1"/>
  <c r="AK452" i="1"/>
  <c r="AI453" i="1"/>
  <c r="AJ453" i="1"/>
  <c r="AK453" i="1"/>
  <c r="AI454" i="1"/>
  <c r="AJ454" i="1"/>
  <c r="AK454" i="1"/>
  <c r="AI455" i="1"/>
  <c r="AJ455" i="1"/>
  <c r="AK455" i="1"/>
  <c r="AI456" i="1"/>
  <c r="AJ456" i="1"/>
  <c r="AK456" i="1"/>
  <c r="AI457" i="1"/>
  <c r="AJ457" i="1"/>
  <c r="AK457" i="1"/>
  <c r="AI458" i="1"/>
  <c r="AJ458" i="1"/>
  <c r="AK458" i="1"/>
  <c r="AI459" i="1"/>
  <c r="AJ459" i="1"/>
  <c r="AK459" i="1"/>
  <c r="AI460" i="1"/>
  <c r="AJ460" i="1"/>
  <c r="AK460" i="1"/>
  <c r="AI461" i="1"/>
  <c r="AJ461" i="1"/>
  <c r="AK461" i="1"/>
  <c r="AI462" i="1"/>
  <c r="AJ462" i="1"/>
  <c r="AK462" i="1"/>
  <c r="AI463" i="1"/>
  <c r="AJ463" i="1"/>
  <c r="AK463" i="1"/>
  <c r="AI464" i="1"/>
  <c r="AJ464" i="1"/>
  <c r="AK464" i="1"/>
  <c r="AI465" i="1"/>
  <c r="AJ465" i="1"/>
  <c r="AK465" i="1"/>
  <c r="AI466" i="1"/>
  <c r="AJ466" i="1"/>
  <c r="AK466" i="1"/>
  <c r="AI467" i="1"/>
  <c r="AJ467" i="1"/>
  <c r="AK467" i="1"/>
  <c r="AI468" i="1"/>
  <c r="AJ468" i="1"/>
  <c r="AK468" i="1"/>
  <c r="AI469" i="1"/>
  <c r="AJ469" i="1"/>
  <c r="AK469" i="1"/>
  <c r="AI470" i="1"/>
  <c r="AJ470" i="1"/>
  <c r="AK470" i="1"/>
  <c r="AI471" i="1"/>
  <c r="AJ471" i="1"/>
  <c r="AK471" i="1"/>
  <c r="AI472" i="1"/>
  <c r="AJ472" i="1"/>
  <c r="AK472" i="1"/>
  <c r="AI473" i="1"/>
  <c r="AJ473" i="1"/>
  <c r="AK473" i="1"/>
  <c r="AI474" i="1"/>
  <c r="AJ474" i="1"/>
  <c r="AK474" i="1"/>
  <c r="AI475" i="1"/>
  <c r="AJ475" i="1"/>
  <c r="AK475" i="1"/>
  <c r="AI476" i="1"/>
  <c r="AJ476" i="1"/>
  <c r="AK476" i="1"/>
  <c r="AI477" i="1"/>
  <c r="AJ477" i="1"/>
  <c r="AK477" i="1"/>
  <c r="AI478" i="1"/>
  <c r="AJ478" i="1"/>
  <c r="AK478" i="1"/>
  <c r="AI479" i="1"/>
  <c r="AJ479" i="1"/>
  <c r="AK479" i="1"/>
  <c r="AI480" i="1"/>
  <c r="AJ480" i="1"/>
  <c r="AK480" i="1"/>
  <c r="AI481" i="1"/>
  <c r="AJ481" i="1"/>
  <c r="AK481" i="1"/>
  <c r="AI482" i="1"/>
  <c r="AJ482" i="1"/>
  <c r="AK482" i="1"/>
  <c r="AI483" i="1"/>
  <c r="AJ483" i="1"/>
  <c r="AK483" i="1"/>
  <c r="AI484" i="1"/>
  <c r="AJ484" i="1"/>
  <c r="AK484" i="1"/>
  <c r="AI485" i="1"/>
  <c r="AJ485" i="1"/>
  <c r="AK485" i="1"/>
  <c r="AI486" i="1"/>
  <c r="AJ486" i="1"/>
  <c r="AK486" i="1"/>
  <c r="AI487" i="1"/>
  <c r="AJ487" i="1"/>
  <c r="AK487" i="1"/>
  <c r="AI488" i="1"/>
  <c r="AJ488" i="1"/>
  <c r="AK488" i="1"/>
  <c r="AI489" i="1"/>
  <c r="AJ489" i="1"/>
  <c r="AK489" i="1"/>
  <c r="AI490" i="1"/>
  <c r="AJ490" i="1"/>
  <c r="AK490" i="1"/>
  <c r="AI491" i="1"/>
  <c r="AJ491" i="1"/>
  <c r="AK491" i="1"/>
  <c r="AI492" i="1"/>
  <c r="AJ492" i="1"/>
  <c r="AK492" i="1"/>
  <c r="AI493" i="1"/>
  <c r="AJ493" i="1"/>
  <c r="AK493" i="1"/>
  <c r="AI494" i="1"/>
  <c r="AJ494" i="1"/>
  <c r="AK494" i="1"/>
  <c r="AI495" i="1"/>
  <c r="AJ495" i="1"/>
  <c r="AK495" i="1"/>
  <c r="AI496" i="1"/>
  <c r="AJ496" i="1"/>
  <c r="AK496" i="1"/>
  <c r="AI497" i="1"/>
  <c r="AJ497" i="1"/>
  <c r="AK497" i="1"/>
  <c r="AI498" i="1"/>
  <c r="AJ498" i="1"/>
  <c r="AK498" i="1"/>
  <c r="AI499" i="1"/>
  <c r="AJ499" i="1"/>
  <c r="AK499" i="1"/>
  <c r="AI500" i="1"/>
  <c r="AJ500" i="1"/>
  <c r="AK500" i="1"/>
  <c r="AI501" i="1"/>
  <c r="AJ501" i="1"/>
  <c r="AK501" i="1"/>
  <c r="AI502" i="1"/>
  <c r="AJ502" i="1"/>
  <c r="AK502" i="1"/>
  <c r="AI503" i="1"/>
  <c r="AJ503" i="1"/>
  <c r="AK503" i="1"/>
  <c r="AI504" i="1"/>
  <c r="AJ504" i="1"/>
  <c r="AK504" i="1"/>
  <c r="AI505" i="1"/>
  <c r="AJ505" i="1"/>
  <c r="AK505" i="1"/>
  <c r="AI506" i="1"/>
  <c r="AJ506" i="1"/>
  <c r="AK506" i="1"/>
  <c r="AI507" i="1"/>
  <c r="AJ507" i="1"/>
  <c r="AK507" i="1"/>
  <c r="AI508" i="1"/>
  <c r="AJ508" i="1"/>
  <c r="AK508" i="1"/>
  <c r="AI509" i="1"/>
  <c r="AJ509" i="1"/>
  <c r="AK509" i="1"/>
  <c r="AI510" i="1"/>
  <c r="AJ510" i="1"/>
  <c r="AK510" i="1"/>
  <c r="AI511" i="1"/>
  <c r="AJ511" i="1"/>
  <c r="AK511" i="1"/>
  <c r="AI512" i="1"/>
  <c r="AJ512" i="1"/>
  <c r="AK512" i="1"/>
  <c r="AI513" i="1"/>
  <c r="AJ513" i="1"/>
  <c r="AK513" i="1"/>
  <c r="AI514" i="1"/>
  <c r="AJ514" i="1"/>
  <c r="AK514" i="1"/>
  <c r="AI515" i="1"/>
  <c r="AJ515" i="1"/>
  <c r="AK515" i="1"/>
  <c r="AI516" i="1"/>
  <c r="AJ516" i="1"/>
  <c r="AK516" i="1"/>
  <c r="AI517" i="1"/>
  <c r="AJ517" i="1"/>
  <c r="AK517" i="1"/>
  <c r="AI518" i="1"/>
  <c r="AJ518" i="1"/>
  <c r="AK518" i="1"/>
  <c r="AI519" i="1"/>
  <c r="AJ519" i="1"/>
  <c r="AK519" i="1"/>
  <c r="AI520" i="1"/>
  <c r="AJ520" i="1"/>
  <c r="AK520" i="1"/>
  <c r="AI521" i="1"/>
  <c r="AJ521" i="1"/>
  <c r="AK521" i="1"/>
  <c r="AI522" i="1"/>
  <c r="AJ522" i="1"/>
  <c r="AK522" i="1"/>
  <c r="AI523" i="1"/>
  <c r="AJ523" i="1"/>
  <c r="AK523" i="1"/>
  <c r="AI524" i="1"/>
  <c r="AJ524" i="1"/>
  <c r="AK524" i="1"/>
  <c r="AI525" i="1"/>
  <c r="AJ525" i="1"/>
  <c r="AK525" i="1"/>
  <c r="AI526" i="1"/>
  <c r="AJ526" i="1"/>
  <c r="AK526" i="1"/>
  <c r="AI527" i="1"/>
  <c r="AJ527" i="1"/>
  <c r="AK527" i="1"/>
  <c r="AI528" i="1"/>
  <c r="AJ528" i="1"/>
  <c r="AK528" i="1"/>
  <c r="AI529" i="1"/>
  <c r="AJ529" i="1"/>
  <c r="AK529" i="1"/>
  <c r="AI530" i="1"/>
  <c r="AJ530" i="1"/>
  <c r="AK530" i="1"/>
  <c r="AI531" i="1"/>
  <c r="AJ531" i="1"/>
  <c r="AK531" i="1"/>
  <c r="AI532" i="1"/>
  <c r="AJ532" i="1"/>
  <c r="AK532" i="1"/>
  <c r="AI533" i="1"/>
  <c r="AJ533" i="1"/>
  <c r="AK533" i="1"/>
  <c r="AI534" i="1"/>
  <c r="AJ534" i="1"/>
  <c r="AK534" i="1"/>
  <c r="AI535" i="1"/>
  <c r="AJ535" i="1"/>
  <c r="AK535" i="1"/>
  <c r="AI536" i="1"/>
  <c r="AJ536" i="1"/>
  <c r="AK536" i="1"/>
  <c r="AI537" i="1"/>
  <c r="AJ537" i="1"/>
  <c r="AK537" i="1"/>
  <c r="AH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H4" i="5"/>
  <c r="AJ2" i="1"/>
  <c r="I4" i="5"/>
  <c r="AM2" i="1"/>
  <c r="L4" i="5"/>
  <c r="W666" i="5"/>
  <c r="W665" i="5"/>
  <c r="W664" i="5"/>
  <c r="W663" i="5"/>
  <c r="W662" i="5"/>
  <c r="W661" i="5"/>
  <c r="W660" i="5"/>
  <c r="W659" i="5"/>
  <c r="W658" i="5"/>
  <c r="W657" i="5"/>
  <c r="W656" i="5"/>
  <c r="W655" i="5"/>
  <c r="W654" i="5"/>
  <c r="W653" i="5"/>
  <c r="W652" i="5"/>
  <c r="W651" i="5"/>
  <c r="W650" i="5"/>
  <c r="W649" i="5"/>
  <c r="W648" i="5"/>
  <c r="W647" i="5"/>
  <c r="W646" i="5"/>
  <c r="W645" i="5"/>
  <c r="W644" i="5"/>
  <c r="W643" i="5"/>
  <c r="W642" i="5"/>
  <c r="W641" i="5"/>
  <c r="W640" i="5"/>
  <c r="W639" i="5"/>
  <c r="W638" i="5"/>
  <c r="W637" i="5"/>
  <c r="W636" i="5"/>
  <c r="W635" i="5"/>
  <c r="W634" i="5"/>
  <c r="W633" i="5"/>
  <c r="W632" i="5"/>
  <c r="W631" i="5"/>
  <c r="W630" i="5"/>
  <c r="W629" i="5"/>
  <c r="W628" i="5"/>
  <c r="W627" i="5"/>
  <c r="W626" i="5"/>
  <c r="W625" i="5"/>
  <c r="W624" i="5"/>
  <c r="W623" i="5"/>
  <c r="W622" i="5"/>
  <c r="W621" i="5"/>
  <c r="W620" i="5"/>
  <c r="W619" i="5"/>
  <c r="W618" i="5"/>
  <c r="W617" i="5"/>
  <c r="W616" i="5"/>
  <c r="W615" i="5"/>
  <c r="W614" i="5"/>
  <c r="W613" i="5"/>
  <c r="W612" i="5"/>
  <c r="W611" i="5"/>
  <c r="W610" i="5"/>
  <c r="W609" i="5"/>
  <c r="W608" i="5"/>
  <c r="W607" i="5"/>
  <c r="W606" i="5"/>
  <c r="W605" i="5"/>
  <c r="W604" i="5"/>
  <c r="W603" i="5"/>
  <c r="W602" i="5"/>
  <c r="W601" i="5"/>
  <c r="W600" i="5"/>
  <c r="W599" i="5"/>
  <c r="W598" i="5"/>
  <c r="W597" i="5"/>
  <c r="W596" i="5"/>
  <c r="W595" i="5"/>
  <c r="W594" i="5"/>
  <c r="W593" i="5"/>
  <c r="W592" i="5"/>
  <c r="W591" i="5"/>
  <c r="W590" i="5"/>
  <c r="W589" i="5"/>
  <c r="W588" i="5"/>
  <c r="W587" i="5"/>
  <c r="W586" i="5"/>
  <c r="W585" i="5"/>
  <c r="W584" i="5"/>
  <c r="W583" i="5"/>
  <c r="W582" i="5"/>
  <c r="W581" i="5"/>
  <c r="W580" i="5"/>
  <c r="W579" i="5"/>
  <c r="W578" i="5"/>
  <c r="W577" i="5"/>
  <c r="W576" i="5"/>
  <c r="W575" i="5"/>
  <c r="W574" i="5"/>
  <c r="W573" i="5"/>
  <c r="W572" i="5"/>
  <c r="W571" i="5"/>
  <c r="W570" i="5"/>
  <c r="W569" i="5"/>
  <c r="W568" i="5"/>
  <c r="W567" i="5"/>
  <c r="W566" i="5"/>
  <c r="W565" i="5"/>
  <c r="W564" i="5"/>
  <c r="W563" i="5"/>
  <c r="W562" i="5"/>
  <c r="W561" i="5"/>
  <c r="W560" i="5"/>
  <c r="W559" i="5"/>
  <c r="W558" i="5"/>
  <c r="W557" i="5"/>
  <c r="W556" i="5"/>
  <c r="W555" i="5"/>
  <c r="W554" i="5"/>
  <c r="W553" i="5"/>
  <c r="W552" i="5"/>
  <c r="W551" i="5"/>
  <c r="W550" i="5"/>
  <c r="W549" i="5"/>
  <c r="W548" i="5"/>
  <c r="W547" i="5"/>
  <c r="W546" i="5"/>
  <c r="W545" i="5"/>
  <c r="W544" i="5"/>
  <c r="W543" i="5"/>
  <c r="W542" i="5"/>
  <c r="W541" i="5"/>
  <c r="W540" i="5"/>
  <c r="W539" i="5"/>
  <c r="W538" i="5"/>
  <c r="W537" i="5"/>
  <c r="W536" i="5"/>
  <c r="W535" i="5"/>
  <c r="W534" i="5"/>
  <c r="W533" i="5"/>
  <c r="W532" i="5"/>
  <c r="W531" i="5"/>
  <c r="W530" i="5"/>
  <c r="W529" i="5"/>
  <c r="W528" i="5"/>
  <c r="W527" i="5"/>
  <c r="W526" i="5"/>
  <c r="W525" i="5"/>
  <c r="W524" i="5"/>
  <c r="W523" i="5"/>
  <c r="W522" i="5"/>
  <c r="W521" i="5"/>
  <c r="W520" i="5"/>
  <c r="W519" i="5"/>
  <c r="W518" i="5"/>
  <c r="W517" i="5"/>
  <c r="W516" i="5"/>
  <c r="W515" i="5"/>
  <c r="W514" i="5"/>
  <c r="W513" i="5"/>
  <c r="W512" i="5"/>
  <c r="W511" i="5"/>
  <c r="W510" i="5"/>
  <c r="W509" i="5"/>
  <c r="W508" i="5"/>
  <c r="W507" i="5"/>
  <c r="W506" i="5"/>
  <c r="W505" i="5"/>
  <c r="W504" i="5"/>
  <c r="W503" i="5"/>
  <c r="W502" i="5"/>
  <c r="W501" i="5"/>
  <c r="W500" i="5"/>
  <c r="W499" i="5"/>
  <c r="W498" i="5"/>
  <c r="W497" i="5"/>
  <c r="W496" i="5"/>
  <c r="W495" i="5"/>
  <c r="W494" i="5"/>
  <c r="W493" i="5"/>
  <c r="W492" i="5"/>
  <c r="W491" i="5"/>
  <c r="W490" i="5"/>
  <c r="W489" i="5"/>
  <c r="W488" i="5"/>
  <c r="W487" i="5"/>
  <c r="W486" i="5"/>
  <c r="W485" i="5"/>
  <c r="W484" i="5"/>
  <c r="W483" i="5"/>
  <c r="W482" i="5"/>
  <c r="W481" i="5"/>
  <c r="W480" i="5"/>
  <c r="W479" i="5"/>
  <c r="W478" i="5"/>
  <c r="W477" i="5"/>
  <c r="W476" i="5"/>
  <c r="W475" i="5"/>
  <c r="W474" i="5"/>
  <c r="W473" i="5"/>
  <c r="W472" i="5"/>
  <c r="W471" i="5"/>
  <c r="W470" i="5"/>
  <c r="W469" i="5"/>
  <c r="W468" i="5"/>
  <c r="W467" i="5"/>
  <c r="W466" i="5"/>
  <c r="W465" i="5"/>
  <c r="W464" i="5"/>
  <c r="W463" i="5"/>
  <c r="W462" i="5"/>
  <c r="W461" i="5"/>
  <c r="W460" i="5"/>
  <c r="W459" i="5"/>
  <c r="W458" i="5"/>
  <c r="W457" i="5"/>
  <c r="W456" i="5"/>
  <c r="W455" i="5"/>
  <c r="W454" i="5"/>
  <c r="W453" i="5"/>
  <c r="W452" i="5"/>
  <c r="W451" i="5"/>
  <c r="W450" i="5"/>
  <c r="W449" i="5"/>
  <c r="W448" i="5"/>
  <c r="W447" i="5"/>
  <c r="W446" i="5"/>
  <c r="W445" i="5"/>
  <c r="W444" i="5"/>
  <c r="W443" i="5"/>
  <c r="W442" i="5"/>
  <c r="W441" i="5"/>
  <c r="W440" i="5"/>
  <c r="W439" i="5"/>
  <c r="W438" i="5"/>
  <c r="W437" i="5"/>
  <c r="W436" i="5"/>
  <c r="W435" i="5"/>
  <c r="W434" i="5"/>
  <c r="W433" i="5"/>
  <c r="W432" i="5"/>
  <c r="W431" i="5"/>
  <c r="W430" i="5"/>
  <c r="W429" i="5"/>
  <c r="W428" i="5"/>
  <c r="W427" i="5"/>
  <c r="W426" i="5"/>
  <c r="W425" i="5"/>
  <c r="W424" i="5"/>
  <c r="W423" i="5"/>
  <c r="W422" i="5"/>
  <c r="W421" i="5"/>
  <c r="W420" i="5"/>
  <c r="W419" i="5"/>
  <c r="W418" i="5"/>
  <c r="W417" i="5"/>
  <c r="W416" i="5"/>
  <c r="W415" i="5"/>
  <c r="W414" i="5"/>
  <c r="W413" i="5"/>
  <c r="W412" i="5"/>
  <c r="W411" i="5"/>
  <c r="W410" i="5"/>
  <c r="W409" i="5"/>
  <c r="W408" i="5"/>
  <c r="W407" i="5"/>
  <c r="W406" i="5"/>
  <c r="W405" i="5"/>
  <c r="W404" i="5"/>
  <c r="W403" i="5"/>
  <c r="W402" i="5"/>
  <c r="W401" i="5"/>
  <c r="W400" i="5"/>
  <c r="W399" i="5"/>
  <c r="W398" i="5"/>
  <c r="W397" i="5"/>
  <c r="W396" i="5"/>
  <c r="W395" i="5"/>
  <c r="W394" i="5"/>
  <c r="W393" i="5"/>
  <c r="W392" i="5"/>
  <c r="W391" i="5"/>
  <c r="W390" i="5"/>
  <c r="W389" i="5"/>
  <c r="W388" i="5"/>
  <c r="W387" i="5"/>
  <c r="W386" i="5"/>
  <c r="W385" i="5"/>
  <c r="W384" i="5"/>
  <c r="W383" i="5"/>
  <c r="W382" i="5"/>
  <c r="W381" i="5"/>
  <c r="W380" i="5"/>
  <c r="W379" i="5"/>
  <c r="W378" i="5"/>
  <c r="W377" i="5"/>
  <c r="W376" i="5"/>
  <c r="W375" i="5"/>
  <c r="W374" i="5"/>
  <c r="W373" i="5"/>
  <c r="W372" i="5"/>
  <c r="W371" i="5"/>
  <c r="W370" i="5"/>
  <c r="W369" i="5"/>
  <c r="W368" i="5"/>
  <c r="W367" i="5"/>
  <c r="W366" i="5"/>
  <c r="W365" i="5"/>
  <c r="W364" i="5"/>
  <c r="W363" i="5"/>
  <c r="W362" i="5"/>
  <c r="W361" i="5"/>
  <c r="W360" i="5"/>
  <c r="W359" i="5"/>
  <c r="W358" i="5"/>
  <c r="W357" i="5"/>
  <c r="W356" i="5"/>
  <c r="W355" i="5"/>
  <c r="W354" i="5"/>
  <c r="W353" i="5"/>
  <c r="W352" i="5"/>
  <c r="W351" i="5"/>
  <c r="W350" i="5"/>
  <c r="W349" i="5"/>
  <c r="W348" i="5"/>
  <c r="W347" i="5"/>
  <c r="W346" i="5"/>
  <c r="W345" i="5"/>
  <c r="W344" i="5"/>
  <c r="W343" i="5"/>
  <c r="W342" i="5"/>
  <c r="W341" i="5"/>
  <c r="W340" i="5"/>
  <c r="W339" i="5"/>
  <c r="W338" i="5"/>
  <c r="W337" i="5"/>
  <c r="W336" i="5"/>
  <c r="W335" i="5"/>
  <c r="W334" i="5"/>
  <c r="W333" i="5"/>
  <c r="W332" i="5"/>
  <c r="W331" i="5"/>
  <c r="W330" i="5"/>
  <c r="W329" i="5"/>
  <c r="W328" i="5"/>
  <c r="W327" i="5"/>
  <c r="W326" i="5"/>
  <c r="W325" i="5"/>
  <c r="W324" i="5"/>
  <c r="W323" i="5"/>
  <c r="W322" i="5"/>
  <c r="W321" i="5"/>
  <c r="W320" i="5"/>
  <c r="W319" i="5"/>
  <c r="W318" i="5"/>
  <c r="W317" i="5"/>
  <c r="W316" i="5"/>
  <c r="W315" i="5"/>
  <c r="W314" i="5"/>
  <c r="W313" i="5"/>
  <c r="W312" i="5"/>
  <c r="W311" i="5"/>
  <c r="W310" i="5"/>
  <c r="W309" i="5"/>
  <c r="W308" i="5"/>
  <c r="W307" i="5"/>
  <c r="W306" i="5"/>
  <c r="W305" i="5"/>
  <c r="W304" i="5"/>
  <c r="W303" i="5"/>
  <c r="W302" i="5"/>
  <c r="W301" i="5"/>
  <c r="W300" i="5"/>
  <c r="W299" i="5"/>
  <c r="W298" i="5"/>
  <c r="W297" i="5"/>
  <c r="W296" i="5"/>
  <c r="W295" i="5"/>
  <c r="W294" i="5"/>
  <c r="W293" i="5"/>
  <c r="W292" i="5"/>
  <c r="W291" i="5"/>
  <c r="W290" i="5"/>
  <c r="W289" i="5"/>
  <c r="W288" i="5"/>
  <c r="W287" i="5"/>
  <c r="W286" i="5"/>
  <c r="W285" i="5"/>
  <c r="W284" i="5"/>
  <c r="W283" i="5"/>
  <c r="W282" i="5"/>
  <c r="W281" i="5"/>
  <c r="W280" i="5"/>
  <c r="W279" i="5"/>
  <c r="W278" i="5"/>
  <c r="W277" i="5"/>
  <c r="W276" i="5"/>
  <c r="W275" i="5"/>
  <c r="W274" i="5"/>
  <c r="W273" i="5"/>
  <c r="W272" i="5"/>
  <c r="W271" i="5"/>
  <c r="W270" i="5"/>
  <c r="W269" i="5"/>
  <c r="W268" i="5"/>
  <c r="W267" i="5"/>
  <c r="W266" i="5"/>
  <c r="W265" i="5"/>
  <c r="W264" i="5"/>
  <c r="W263" i="5"/>
  <c r="W262" i="5"/>
  <c r="W261" i="5"/>
  <c r="W260" i="5"/>
  <c r="W259" i="5"/>
  <c r="W258" i="5"/>
  <c r="W257" i="5"/>
  <c r="W256" i="5"/>
  <c r="W255" i="5"/>
  <c r="W254" i="5"/>
  <c r="W253" i="5"/>
  <c r="W252" i="5"/>
  <c r="W251" i="5"/>
  <c r="W250" i="5"/>
  <c r="W249" i="5"/>
  <c r="W248" i="5"/>
  <c r="W247" i="5"/>
  <c r="W246" i="5"/>
  <c r="W245" i="5"/>
  <c r="W244" i="5"/>
  <c r="W243" i="5"/>
  <c r="W242" i="5"/>
  <c r="W241" i="5"/>
  <c r="W240" i="5"/>
  <c r="W239" i="5"/>
  <c r="W238" i="5"/>
  <c r="W237" i="5"/>
  <c r="W236" i="5"/>
  <c r="W235" i="5"/>
  <c r="W234" i="5"/>
  <c r="W233" i="5"/>
  <c r="W232" i="5"/>
  <c r="W231" i="5"/>
  <c r="W230" i="5"/>
  <c r="W229" i="5"/>
  <c r="W228" i="5"/>
  <c r="W227" i="5"/>
  <c r="W226" i="5"/>
  <c r="W225" i="5"/>
  <c r="W224" i="5"/>
  <c r="W223" i="5"/>
  <c r="W222" i="5"/>
  <c r="W221" i="5"/>
  <c r="W220" i="5"/>
  <c r="W219" i="5"/>
  <c r="W218" i="5"/>
  <c r="W217" i="5"/>
  <c r="W216" i="5"/>
  <c r="W215" i="5"/>
  <c r="W214" i="5"/>
  <c r="W213" i="5"/>
  <c r="W212" i="5"/>
  <c r="W211" i="5"/>
  <c r="W210" i="5"/>
  <c r="W209" i="5"/>
  <c r="W208" i="5"/>
  <c r="W207" i="5"/>
  <c r="W206" i="5"/>
  <c r="W205" i="5"/>
  <c r="W204" i="5"/>
  <c r="W203" i="5"/>
  <c r="W202" i="5"/>
  <c r="W201" i="5"/>
  <c r="W200" i="5"/>
  <c r="W199" i="5"/>
  <c r="W198" i="5"/>
  <c r="W197" i="5"/>
  <c r="W196" i="5"/>
  <c r="W195" i="5"/>
  <c r="W194" i="5"/>
  <c r="W193" i="5"/>
  <c r="W192" i="5"/>
  <c r="W191" i="5"/>
  <c r="W190" i="5"/>
  <c r="W189" i="5"/>
  <c r="W188" i="5"/>
  <c r="W187" i="5"/>
  <c r="W186" i="5"/>
  <c r="W185" i="5"/>
  <c r="W184" i="5"/>
  <c r="W183" i="5"/>
  <c r="W182" i="5"/>
  <c r="W181" i="5"/>
  <c r="W180" i="5"/>
  <c r="W179" i="5"/>
  <c r="W178" i="5"/>
  <c r="W177" i="5"/>
  <c r="W176" i="5"/>
  <c r="W175" i="5"/>
  <c r="W174" i="5"/>
  <c r="W173" i="5"/>
  <c r="W172" i="5"/>
  <c r="W171" i="5"/>
  <c r="W170" i="5"/>
  <c r="W169" i="5"/>
  <c r="W168" i="5"/>
  <c r="W167" i="5"/>
  <c r="W166" i="5"/>
  <c r="W165" i="5"/>
  <c r="W164" i="5"/>
  <c r="W163" i="5"/>
  <c r="W162" i="5"/>
  <c r="W161" i="5"/>
  <c r="W160" i="5"/>
  <c r="W159" i="5"/>
  <c r="W158" i="5"/>
  <c r="W157" i="5"/>
  <c r="W156" i="5"/>
  <c r="W155" i="5"/>
  <c r="W154" i="5"/>
  <c r="W153" i="5"/>
  <c r="W152" i="5"/>
  <c r="W151" i="5"/>
  <c r="W150" i="5"/>
  <c r="W149" i="5"/>
  <c r="W148" i="5"/>
  <c r="W147" i="5"/>
  <c r="W146" i="5"/>
  <c r="W145" i="5"/>
  <c r="W144" i="5"/>
  <c r="W143" i="5"/>
  <c r="W142" i="5"/>
  <c r="W141" i="5"/>
  <c r="W140" i="5"/>
  <c r="W139" i="5"/>
  <c r="W138" i="5"/>
  <c r="W137" i="5"/>
  <c r="W136" i="5"/>
  <c r="W135" i="5"/>
  <c r="W134" i="5"/>
  <c r="W133" i="5"/>
  <c r="W132" i="5"/>
  <c r="W131" i="5"/>
  <c r="W130" i="5"/>
  <c r="W129" i="5"/>
  <c r="W128" i="5"/>
  <c r="W127" i="5"/>
  <c r="W126" i="5"/>
  <c r="W125" i="5"/>
  <c r="W124" i="5"/>
  <c r="W123" i="5"/>
  <c r="W122" i="5"/>
  <c r="W121" i="5"/>
  <c r="W120" i="5"/>
  <c r="W119" i="5"/>
  <c r="W118" i="5"/>
  <c r="W117" i="5"/>
  <c r="W116" i="5"/>
  <c r="W115" i="5"/>
  <c r="W114" i="5"/>
  <c r="W113" i="5"/>
  <c r="W112" i="5"/>
  <c r="W111" i="5"/>
  <c r="W110" i="5"/>
  <c r="W109" i="5"/>
  <c r="W108" i="5"/>
  <c r="W107" i="5"/>
  <c r="W106" i="5"/>
  <c r="W105" i="5"/>
  <c r="W104" i="5"/>
  <c r="W103" i="5"/>
  <c r="W102" i="5"/>
  <c r="W101" i="5"/>
  <c r="W100" i="5"/>
  <c r="W99" i="5"/>
  <c r="W98" i="5"/>
  <c r="W97" i="5"/>
  <c r="W96" i="5"/>
  <c r="W95" i="5"/>
  <c r="W94" i="5"/>
  <c r="W93" i="5"/>
  <c r="W92" i="5"/>
  <c r="W91" i="5"/>
  <c r="W90" i="5"/>
  <c r="W89" i="5"/>
  <c r="W88" i="5"/>
  <c r="W87" i="5"/>
  <c r="W86" i="5"/>
  <c r="W85" i="5"/>
  <c r="W84" i="5"/>
  <c r="W83" i="5"/>
  <c r="W82" i="5"/>
  <c r="W81" i="5"/>
  <c r="W80" i="5"/>
  <c r="W79" i="5"/>
  <c r="W78" i="5"/>
  <c r="W77" i="5"/>
  <c r="W76" i="5"/>
  <c r="W75" i="5"/>
  <c r="W74" i="5"/>
  <c r="W73" i="5"/>
  <c r="W72" i="5"/>
  <c r="W71" i="5"/>
  <c r="W70" i="5"/>
  <c r="W69" i="5"/>
  <c r="W68" i="5"/>
  <c r="W67" i="5"/>
  <c r="W66" i="5"/>
  <c r="W65" i="5"/>
  <c r="W64" i="5"/>
  <c r="W63" i="5"/>
  <c r="W62" i="5"/>
  <c r="W61" i="5"/>
  <c r="W60" i="5"/>
  <c r="W59" i="5"/>
  <c r="W58" i="5"/>
  <c r="W57" i="5"/>
  <c r="W56" i="5"/>
  <c r="W55" i="5"/>
  <c r="W54" i="5"/>
  <c r="W53" i="5"/>
  <c r="W52" i="5"/>
  <c r="W51" i="5"/>
  <c r="W50" i="5"/>
  <c r="W49" i="5"/>
  <c r="W48" i="5"/>
  <c r="W47" i="5"/>
  <c r="W46" i="5"/>
  <c r="W45" i="5"/>
  <c r="W44" i="5"/>
  <c r="W43" i="5"/>
  <c r="W42" i="5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Z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N2" i="1"/>
  <c r="N4" i="5"/>
  <c r="M4" i="5"/>
  <c r="AK2" i="1"/>
  <c r="K4" i="5"/>
  <c r="J4" i="5"/>
  <c r="G4" i="5"/>
  <c r="G5" i="5"/>
  <c r="K13" i="5"/>
  <c r="K12" i="5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W288" i="2"/>
  <c r="W287" i="2"/>
  <c r="W286" i="2"/>
  <c r="W285" i="2"/>
  <c r="W284" i="2"/>
  <c r="W283" i="2"/>
  <c r="W282" i="2"/>
  <c r="W281" i="2"/>
  <c r="W280" i="2"/>
  <c r="W279" i="2"/>
  <c r="W278" i="2"/>
  <c r="W277" i="2"/>
  <c r="W276" i="2"/>
  <c r="W275" i="2"/>
  <c r="W274" i="2"/>
  <c r="W273" i="2"/>
  <c r="W272" i="2"/>
  <c r="W271" i="2"/>
  <c r="W270" i="2"/>
  <c r="W269" i="2"/>
  <c r="W268" i="2"/>
  <c r="W267" i="2"/>
  <c r="W266" i="2"/>
  <c r="W265" i="2"/>
  <c r="W264" i="2"/>
  <c r="W263" i="2"/>
  <c r="W262" i="2"/>
  <c r="W261" i="2"/>
  <c r="W260" i="2"/>
  <c r="W259" i="2"/>
  <c r="W258" i="2"/>
  <c r="W257" i="2"/>
  <c r="W256" i="2"/>
  <c r="W255" i="2"/>
  <c r="W254" i="2"/>
  <c r="W253" i="2"/>
  <c r="W252" i="2"/>
  <c r="W251" i="2"/>
  <c r="W250" i="2"/>
  <c r="W249" i="2"/>
  <c r="W248" i="2"/>
  <c r="W247" i="2"/>
  <c r="W246" i="2"/>
  <c r="W245" i="2"/>
  <c r="W244" i="2"/>
  <c r="W243" i="2"/>
  <c r="W242" i="2"/>
  <c r="W241" i="2"/>
  <c r="W240" i="2"/>
  <c r="W239" i="2"/>
  <c r="W238" i="2"/>
  <c r="W237" i="2"/>
  <c r="W236" i="2"/>
  <c r="W235" i="2"/>
  <c r="W234" i="2"/>
  <c r="W233" i="2"/>
  <c r="W232" i="2"/>
  <c r="W231" i="2"/>
  <c r="W230" i="2"/>
  <c r="W229" i="2"/>
  <c r="W228" i="2"/>
  <c r="W227" i="2"/>
  <c r="W226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V2" i="2"/>
  <c r="AA3944" i="4"/>
  <c r="Z3944" i="4"/>
  <c r="AA3943" i="4"/>
  <c r="Z3943" i="4"/>
  <c r="AA3942" i="4"/>
  <c r="Z3942" i="4"/>
  <c r="AA3941" i="4"/>
  <c r="Z3941" i="4"/>
  <c r="AA3940" i="4"/>
  <c r="Z3940" i="4"/>
  <c r="AA3939" i="4"/>
  <c r="Z3939" i="4"/>
  <c r="AA3938" i="4"/>
  <c r="Z3938" i="4"/>
  <c r="AA3937" i="4"/>
  <c r="Z3937" i="4"/>
  <c r="AA3936" i="4"/>
  <c r="Z3936" i="4"/>
  <c r="AA3935" i="4"/>
  <c r="Z3935" i="4"/>
  <c r="AA3934" i="4"/>
  <c r="Z3934" i="4"/>
  <c r="AA3933" i="4"/>
  <c r="Z3933" i="4"/>
  <c r="AA3932" i="4"/>
  <c r="Z3932" i="4"/>
  <c r="AA3931" i="4"/>
  <c r="Z3931" i="4"/>
  <c r="AA3930" i="4"/>
  <c r="Z3930" i="4"/>
  <c r="AA3929" i="4"/>
  <c r="Z3929" i="4"/>
  <c r="AA3928" i="4"/>
  <c r="Z3928" i="4"/>
  <c r="AA3927" i="4"/>
  <c r="Z3927" i="4"/>
  <c r="AA3926" i="4"/>
  <c r="Z3926" i="4"/>
  <c r="AA3925" i="4"/>
  <c r="Z3925" i="4"/>
  <c r="AA3924" i="4"/>
  <c r="Z3924" i="4"/>
  <c r="AA3923" i="4"/>
  <c r="Z3923" i="4"/>
  <c r="AA3922" i="4"/>
  <c r="Z3922" i="4"/>
  <c r="AA3921" i="4"/>
  <c r="Z3921" i="4"/>
  <c r="AA3920" i="4"/>
  <c r="Z3920" i="4"/>
  <c r="AA3919" i="4"/>
  <c r="Z3919" i="4"/>
  <c r="AA3918" i="4"/>
  <c r="Z3918" i="4"/>
  <c r="AA3917" i="4"/>
  <c r="Z3917" i="4"/>
  <c r="AA3916" i="4"/>
  <c r="Z3916" i="4"/>
  <c r="AA3915" i="4"/>
  <c r="Z3915" i="4"/>
  <c r="AA3914" i="4"/>
  <c r="Z3914" i="4"/>
  <c r="AA3913" i="4"/>
  <c r="Z3913" i="4"/>
  <c r="AA3912" i="4"/>
  <c r="Z3912" i="4"/>
  <c r="AA3911" i="4"/>
  <c r="Z3911" i="4"/>
  <c r="AA3910" i="4"/>
  <c r="Z3910" i="4"/>
  <c r="AA3909" i="4"/>
  <c r="Z3909" i="4"/>
  <c r="AA3908" i="4"/>
  <c r="Z3908" i="4"/>
  <c r="AA3907" i="4"/>
  <c r="Z3907" i="4"/>
  <c r="AA3906" i="4"/>
  <c r="Z3906" i="4"/>
  <c r="AA3905" i="4"/>
  <c r="Z3905" i="4"/>
  <c r="AA3904" i="4"/>
  <c r="Z3904" i="4"/>
  <c r="AA3903" i="4"/>
  <c r="Z3903" i="4"/>
  <c r="AA3902" i="4"/>
  <c r="Z3902" i="4"/>
  <c r="AA3901" i="4"/>
  <c r="Z3901" i="4"/>
  <c r="AA3900" i="4"/>
  <c r="Z3900" i="4"/>
  <c r="AA3899" i="4"/>
  <c r="Z3899" i="4"/>
  <c r="AA3898" i="4"/>
  <c r="Z3898" i="4"/>
  <c r="AA3897" i="4"/>
  <c r="Z3897" i="4"/>
  <c r="AA3896" i="4"/>
  <c r="Z3896" i="4"/>
  <c r="AA3895" i="4"/>
  <c r="Z3895" i="4"/>
  <c r="AA3894" i="4"/>
  <c r="Z3894" i="4"/>
  <c r="AA3893" i="4"/>
  <c r="Z3893" i="4"/>
  <c r="AA3892" i="4"/>
  <c r="Z3892" i="4"/>
  <c r="AA3891" i="4"/>
  <c r="Z3891" i="4"/>
  <c r="AA3890" i="4"/>
  <c r="Z3890" i="4"/>
  <c r="AA3889" i="4"/>
  <c r="Z3889" i="4"/>
  <c r="AA3888" i="4"/>
  <c r="Z3888" i="4"/>
  <c r="AA3887" i="4"/>
  <c r="Z3887" i="4"/>
  <c r="AA3886" i="4"/>
  <c r="Z3886" i="4"/>
  <c r="AA3885" i="4"/>
  <c r="Z3885" i="4"/>
  <c r="AA3884" i="4"/>
  <c r="Z3884" i="4"/>
  <c r="AA3883" i="4"/>
  <c r="Z3883" i="4"/>
  <c r="AA3882" i="4"/>
  <c r="Z3882" i="4"/>
  <c r="AA3881" i="4"/>
  <c r="Z3881" i="4"/>
  <c r="AA3880" i="4"/>
  <c r="Z3880" i="4"/>
  <c r="AA3879" i="4"/>
  <c r="Z3879" i="4"/>
  <c r="AA3878" i="4"/>
  <c r="Z3878" i="4"/>
  <c r="AA3877" i="4"/>
  <c r="Z3877" i="4"/>
  <c r="AA3876" i="4"/>
  <c r="Z3876" i="4"/>
  <c r="AA3875" i="4"/>
  <c r="Z3875" i="4"/>
  <c r="AA3874" i="4"/>
  <c r="Z3874" i="4"/>
  <c r="AA3873" i="4"/>
  <c r="Z3873" i="4"/>
  <c r="AA3872" i="4"/>
  <c r="Z3872" i="4"/>
  <c r="AA3871" i="4"/>
  <c r="Z3871" i="4"/>
  <c r="AA3870" i="4"/>
  <c r="Z3870" i="4"/>
  <c r="AA3869" i="4"/>
  <c r="Z3869" i="4"/>
  <c r="AA3868" i="4"/>
  <c r="Z3868" i="4"/>
  <c r="AA3867" i="4"/>
  <c r="Z3867" i="4"/>
  <c r="AA3866" i="4"/>
  <c r="Z3866" i="4"/>
  <c r="AA3865" i="4"/>
  <c r="Z3865" i="4"/>
  <c r="AA3864" i="4"/>
  <c r="Z3864" i="4"/>
  <c r="AA3863" i="4"/>
  <c r="Z3863" i="4"/>
  <c r="AA3862" i="4"/>
  <c r="Z3862" i="4"/>
  <c r="AA3861" i="4"/>
  <c r="Z3861" i="4"/>
  <c r="AA3860" i="4"/>
  <c r="Z3860" i="4"/>
  <c r="AA3859" i="4"/>
  <c r="Z3859" i="4"/>
  <c r="AA3858" i="4"/>
  <c r="Z3858" i="4"/>
  <c r="AA3857" i="4"/>
  <c r="Z3857" i="4"/>
  <c r="AA3856" i="4"/>
  <c r="Z3856" i="4"/>
  <c r="AA3855" i="4"/>
  <c r="Z3855" i="4"/>
  <c r="AA3854" i="4"/>
  <c r="Z3854" i="4"/>
  <c r="AA3853" i="4"/>
  <c r="Z3853" i="4"/>
  <c r="AA3852" i="4"/>
  <c r="Z3852" i="4"/>
  <c r="AA3851" i="4"/>
  <c r="Z3851" i="4"/>
  <c r="AA3850" i="4"/>
  <c r="Z3850" i="4"/>
  <c r="AA3849" i="4"/>
  <c r="Z3849" i="4"/>
  <c r="AA3848" i="4"/>
  <c r="Z3848" i="4"/>
  <c r="AA3847" i="4"/>
  <c r="Z3847" i="4"/>
  <c r="AA3846" i="4"/>
  <c r="Z3846" i="4"/>
  <c r="AA3845" i="4"/>
  <c r="Z3845" i="4"/>
  <c r="AA3844" i="4"/>
  <c r="Z3844" i="4"/>
  <c r="AA3843" i="4"/>
  <c r="Z3843" i="4"/>
  <c r="AA3842" i="4"/>
  <c r="Z3842" i="4"/>
  <c r="AA3841" i="4"/>
  <c r="Z3841" i="4"/>
  <c r="AA3840" i="4"/>
  <c r="Z3840" i="4"/>
  <c r="AA3839" i="4"/>
  <c r="Z3839" i="4"/>
  <c r="AA3838" i="4"/>
  <c r="Z3838" i="4"/>
  <c r="AA3837" i="4"/>
  <c r="Z3837" i="4"/>
  <c r="AA3836" i="4"/>
  <c r="Z3836" i="4"/>
  <c r="AA3835" i="4"/>
  <c r="Z3835" i="4"/>
  <c r="AA3834" i="4"/>
  <c r="Z3834" i="4"/>
  <c r="AA3833" i="4"/>
  <c r="Z3833" i="4"/>
  <c r="AA3832" i="4"/>
  <c r="Z3832" i="4"/>
  <c r="AA3831" i="4"/>
  <c r="Z3831" i="4"/>
  <c r="AA3830" i="4"/>
  <c r="Z3830" i="4"/>
  <c r="AA3829" i="4"/>
  <c r="Z3829" i="4"/>
  <c r="AA3828" i="4"/>
  <c r="Z3828" i="4"/>
  <c r="AA3827" i="4"/>
  <c r="Z3827" i="4"/>
  <c r="AA3826" i="4"/>
  <c r="Z3826" i="4"/>
  <c r="AA3825" i="4"/>
  <c r="Z3825" i="4"/>
  <c r="AA3824" i="4"/>
  <c r="Z3824" i="4"/>
  <c r="AA3823" i="4"/>
  <c r="Z3823" i="4"/>
  <c r="AA3822" i="4"/>
  <c r="Z3822" i="4"/>
  <c r="AA3821" i="4"/>
  <c r="Z3821" i="4"/>
  <c r="AA3820" i="4"/>
  <c r="Z3820" i="4"/>
  <c r="AA3819" i="4"/>
  <c r="Z3819" i="4"/>
  <c r="AA3818" i="4"/>
  <c r="Z3818" i="4"/>
  <c r="AA3817" i="4"/>
  <c r="Z3817" i="4"/>
  <c r="AA3816" i="4"/>
  <c r="Z3816" i="4"/>
  <c r="AA3815" i="4"/>
  <c r="Z3815" i="4"/>
  <c r="AA3814" i="4"/>
  <c r="Z3814" i="4"/>
  <c r="AA3813" i="4"/>
  <c r="Z3813" i="4"/>
  <c r="AA3812" i="4"/>
  <c r="Z3812" i="4"/>
  <c r="AA3811" i="4"/>
  <c r="Z3811" i="4"/>
  <c r="AA3810" i="4"/>
  <c r="Z3810" i="4"/>
  <c r="AA3809" i="4"/>
  <c r="Z3809" i="4"/>
  <c r="AA3808" i="4"/>
  <c r="Z3808" i="4"/>
  <c r="AA3807" i="4"/>
  <c r="Z3807" i="4"/>
  <c r="AA3806" i="4"/>
  <c r="Z3806" i="4"/>
  <c r="AA3805" i="4"/>
  <c r="Z3805" i="4"/>
  <c r="AA3804" i="4"/>
  <c r="Z3804" i="4"/>
  <c r="AA3803" i="4"/>
  <c r="Z3803" i="4"/>
  <c r="AA3802" i="4"/>
  <c r="Z3802" i="4"/>
  <c r="AA3801" i="4"/>
  <c r="Z3801" i="4"/>
  <c r="AA3800" i="4"/>
  <c r="Z3800" i="4"/>
  <c r="AA3799" i="4"/>
  <c r="Z3799" i="4"/>
  <c r="AA3798" i="4"/>
  <c r="Z3798" i="4"/>
  <c r="AA3797" i="4"/>
  <c r="Z3797" i="4"/>
  <c r="AA3796" i="4"/>
  <c r="Z3796" i="4"/>
  <c r="AA3795" i="4"/>
  <c r="Z3795" i="4"/>
  <c r="AA3794" i="4"/>
  <c r="Z3794" i="4"/>
  <c r="AA3793" i="4"/>
  <c r="Z3793" i="4"/>
  <c r="AA3792" i="4"/>
  <c r="Z3792" i="4"/>
  <c r="AA3791" i="4"/>
  <c r="Z3791" i="4"/>
  <c r="AA3790" i="4"/>
  <c r="Z3790" i="4"/>
  <c r="AA3789" i="4"/>
  <c r="Z3789" i="4"/>
  <c r="AA3788" i="4"/>
  <c r="Z3788" i="4"/>
  <c r="AA3787" i="4"/>
  <c r="Z3787" i="4"/>
  <c r="AA3786" i="4"/>
  <c r="Z3786" i="4"/>
  <c r="AA3785" i="4"/>
  <c r="Z3785" i="4"/>
  <c r="AA3784" i="4"/>
  <c r="Z3784" i="4"/>
  <c r="AA3783" i="4"/>
  <c r="Z3783" i="4"/>
  <c r="AA3782" i="4"/>
  <c r="Z3782" i="4"/>
  <c r="AA3781" i="4"/>
  <c r="Z3781" i="4"/>
  <c r="AA3780" i="4"/>
  <c r="Z3780" i="4"/>
  <c r="AA3779" i="4"/>
  <c r="Z3779" i="4"/>
  <c r="AA3778" i="4"/>
  <c r="Z3778" i="4"/>
  <c r="AA3777" i="4"/>
  <c r="Z3777" i="4"/>
  <c r="AA3776" i="4"/>
  <c r="Z3776" i="4"/>
  <c r="AA3775" i="4"/>
  <c r="Z3775" i="4"/>
  <c r="AA3774" i="4"/>
  <c r="Z3774" i="4"/>
  <c r="AA3773" i="4"/>
  <c r="Z3773" i="4"/>
  <c r="AA3772" i="4"/>
  <c r="Z3772" i="4"/>
  <c r="AA3771" i="4"/>
  <c r="Z3771" i="4"/>
  <c r="AA3770" i="4"/>
  <c r="Z3770" i="4"/>
  <c r="AA3769" i="4"/>
  <c r="Z3769" i="4"/>
  <c r="AA3768" i="4"/>
  <c r="Z3768" i="4"/>
  <c r="AA3767" i="4"/>
  <c r="Z3767" i="4"/>
  <c r="AA3766" i="4"/>
  <c r="Z3766" i="4"/>
  <c r="AA3765" i="4"/>
  <c r="Z3765" i="4"/>
  <c r="AA3764" i="4"/>
  <c r="Z3764" i="4"/>
  <c r="AA3763" i="4"/>
  <c r="Z3763" i="4"/>
  <c r="AA3762" i="4"/>
  <c r="Z3762" i="4"/>
  <c r="AA3761" i="4"/>
  <c r="Z3761" i="4"/>
  <c r="AA3760" i="4"/>
  <c r="Z3760" i="4"/>
  <c r="AA3759" i="4"/>
  <c r="Z3759" i="4"/>
  <c r="AA3758" i="4"/>
  <c r="Z3758" i="4"/>
  <c r="AA3757" i="4"/>
  <c r="Z3757" i="4"/>
  <c r="AA3756" i="4"/>
  <c r="Z3756" i="4"/>
  <c r="AA3755" i="4"/>
  <c r="Z3755" i="4"/>
  <c r="AA3754" i="4"/>
  <c r="Z3754" i="4"/>
  <c r="AA3753" i="4"/>
  <c r="Z3753" i="4"/>
  <c r="AA3752" i="4"/>
  <c r="Z3752" i="4"/>
  <c r="AA3751" i="4"/>
  <c r="Z3751" i="4"/>
  <c r="AA3750" i="4"/>
  <c r="Z3750" i="4"/>
  <c r="AA3749" i="4"/>
  <c r="Z3749" i="4"/>
  <c r="AA3748" i="4"/>
  <c r="Z3748" i="4"/>
  <c r="AA3747" i="4"/>
  <c r="Z3747" i="4"/>
  <c r="AA3746" i="4"/>
  <c r="Z3746" i="4"/>
  <c r="AA3745" i="4"/>
  <c r="Z3745" i="4"/>
  <c r="AA3744" i="4"/>
  <c r="Z3744" i="4"/>
  <c r="AA3743" i="4"/>
  <c r="Z3743" i="4"/>
  <c r="AA3742" i="4"/>
  <c r="Z3742" i="4"/>
  <c r="AA3741" i="4"/>
  <c r="Z3741" i="4"/>
  <c r="AA3740" i="4"/>
  <c r="Z3740" i="4"/>
  <c r="AA3739" i="4"/>
  <c r="Z3739" i="4"/>
  <c r="AA3738" i="4"/>
  <c r="Z3738" i="4"/>
  <c r="AA3737" i="4"/>
  <c r="Z3737" i="4"/>
  <c r="AA3736" i="4"/>
  <c r="Z3736" i="4"/>
  <c r="AA3735" i="4"/>
  <c r="Z3735" i="4"/>
  <c r="AA3734" i="4"/>
  <c r="Z3734" i="4"/>
  <c r="AA3733" i="4"/>
  <c r="Z3733" i="4"/>
  <c r="AA3732" i="4"/>
  <c r="Z3732" i="4"/>
  <c r="AA3731" i="4"/>
  <c r="Z3731" i="4"/>
  <c r="AA3730" i="4"/>
  <c r="Z3730" i="4"/>
  <c r="AA3729" i="4"/>
  <c r="Z3729" i="4"/>
  <c r="AA3728" i="4"/>
  <c r="Z3728" i="4"/>
  <c r="AA3727" i="4"/>
  <c r="Z3727" i="4"/>
  <c r="AA3726" i="4"/>
  <c r="Z3726" i="4"/>
  <c r="AA3725" i="4"/>
  <c r="Z3725" i="4"/>
  <c r="AA3724" i="4"/>
  <c r="Z3724" i="4"/>
  <c r="AA3723" i="4"/>
  <c r="Z3723" i="4"/>
  <c r="AA3722" i="4"/>
  <c r="Z3722" i="4"/>
  <c r="AA3721" i="4"/>
  <c r="Z3721" i="4"/>
  <c r="AA3720" i="4"/>
  <c r="Z3720" i="4"/>
  <c r="AA3719" i="4"/>
  <c r="Z3719" i="4"/>
  <c r="AA3718" i="4"/>
  <c r="Z3718" i="4"/>
  <c r="AA3717" i="4"/>
  <c r="Z3717" i="4"/>
  <c r="AA3716" i="4"/>
  <c r="Z3716" i="4"/>
  <c r="AA3715" i="4"/>
  <c r="Z3715" i="4"/>
  <c r="AA3714" i="4"/>
  <c r="Z3714" i="4"/>
  <c r="AA3713" i="4"/>
  <c r="Z3713" i="4"/>
  <c r="AA3712" i="4"/>
  <c r="Z3712" i="4"/>
  <c r="AA3711" i="4"/>
  <c r="Z3711" i="4"/>
  <c r="AA3710" i="4"/>
  <c r="Z3710" i="4"/>
  <c r="AA3709" i="4"/>
  <c r="Z3709" i="4"/>
  <c r="AA3708" i="4"/>
  <c r="Z3708" i="4"/>
  <c r="AA3707" i="4"/>
  <c r="Z3707" i="4"/>
  <c r="AA3706" i="4"/>
  <c r="Z3706" i="4"/>
  <c r="AA3705" i="4"/>
  <c r="Z3705" i="4"/>
  <c r="AA3704" i="4"/>
  <c r="Z3704" i="4"/>
  <c r="AA3703" i="4"/>
  <c r="Z3703" i="4"/>
  <c r="AA3702" i="4"/>
  <c r="Z3702" i="4"/>
  <c r="AA3701" i="4"/>
  <c r="Z3701" i="4"/>
  <c r="AA3700" i="4"/>
  <c r="Z3700" i="4"/>
  <c r="AA3699" i="4"/>
  <c r="Z3699" i="4"/>
  <c r="AA3698" i="4"/>
  <c r="Z3698" i="4"/>
  <c r="AA3697" i="4"/>
  <c r="Z3697" i="4"/>
  <c r="AA3696" i="4"/>
  <c r="Z3696" i="4"/>
  <c r="AA3695" i="4"/>
  <c r="Z3695" i="4"/>
  <c r="AA3694" i="4"/>
  <c r="Z3694" i="4"/>
  <c r="AA3693" i="4"/>
  <c r="Z3693" i="4"/>
  <c r="AA3692" i="4"/>
  <c r="Z3692" i="4"/>
  <c r="AA3691" i="4"/>
  <c r="Z3691" i="4"/>
  <c r="AA3690" i="4"/>
  <c r="Z3690" i="4"/>
  <c r="AA3689" i="4"/>
  <c r="Z3689" i="4"/>
  <c r="AA3688" i="4"/>
  <c r="Z3688" i="4"/>
  <c r="AA3687" i="4"/>
  <c r="Z3687" i="4"/>
  <c r="AA3686" i="4"/>
  <c r="Z3686" i="4"/>
  <c r="AA3685" i="4"/>
  <c r="Z3685" i="4"/>
  <c r="AA3684" i="4"/>
  <c r="Z3684" i="4"/>
  <c r="AA3683" i="4"/>
  <c r="Z3683" i="4"/>
  <c r="AA3682" i="4"/>
  <c r="Z3682" i="4"/>
  <c r="AA3681" i="4"/>
  <c r="Z3681" i="4"/>
  <c r="AA3680" i="4"/>
  <c r="Z3680" i="4"/>
  <c r="AA3679" i="4"/>
  <c r="Z3679" i="4"/>
  <c r="AA3678" i="4"/>
  <c r="Z3678" i="4"/>
  <c r="AA3677" i="4"/>
  <c r="Z3677" i="4"/>
  <c r="AA3676" i="4"/>
  <c r="Z3676" i="4"/>
  <c r="AA3675" i="4"/>
  <c r="Z3675" i="4"/>
  <c r="AA3674" i="4"/>
  <c r="Z3674" i="4"/>
  <c r="AA3673" i="4"/>
  <c r="Z3673" i="4"/>
  <c r="AA3672" i="4"/>
  <c r="Z3672" i="4"/>
  <c r="AA3671" i="4"/>
  <c r="Z3671" i="4"/>
  <c r="AA3670" i="4"/>
  <c r="Z3670" i="4"/>
  <c r="AA3669" i="4"/>
  <c r="Z3669" i="4"/>
  <c r="AA3668" i="4"/>
  <c r="Z3668" i="4"/>
  <c r="AA3667" i="4"/>
  <c r="Z3667" i="4"/>
  <c r="AA3666" i="4"/>
  <c r="Z3666" i="4"/>
  <c r="AA3665" i="4"/>
  <c r="Z3665" i="4"/>
  <c r="AA3664" i="4"/>
  <c r="Z3664" i="4"/>
  <c r="AA3663" i="4"/>
  <c r="Z3663" i="4"/>
  <c r="AA3662" i="4"/>
  <c r="Z3662" i="4"/>
  <c r="AA3661" i="4"/>
  <c r="Z3661" i="4"/>
  <c r="AA3660" i="4"/>
  <c r="Z3660" i="4"/>
  <c r="AA3659" i="4"/>
  <c r="Z3659" i="4"/>
  <c r="AA3658" i="4"/>
  <c r="Z3658" i="4"/>
  <c r="AA3657" i="4"/>
  <c r="Z3657" i="4"/>
  <c r="AA3656" i="4"/>
  <c r="Z3656" i="4"/>
  <c r="AA3655" i="4"/>
  <c r="Z3655" i="4"/>
  <c r="AA3654" i="4"/>
  <c r="Z3654" i="4"/>
  <c r="AA3653" i="4"/>
  <c r="Z3653" i="4"/>
  <c r="AA3652" i="4"/>
  <c r="Z3652" i="4"/>
  <c r="AA3651" i="4"/>
  <c r="Z3651" i="4"/>
  <c r="AA3650" i="4"/>
  <c r="Z3650" i="4"/>
  <c r="AA3649" i="4"/>
  <c r="Z3649" i="4"/>
  <c r="AA3648" i="4"/>
  <c r="Z3648" i="4"/>
  <c r="AA3647" i="4"/>
  <c r="Z3647" i="4"/>
  <c r="AA3646" i="4"/>
  <c r="Z3646" i="4"/>
  <c r="AA3645" i="4"/>
  <c r="Z3645" i="4"/>
  <c r="AA3644" i="4"/>
  <c r="Z3644" i="4"/>
  <c r="AA3643" i="4"/>
  <c r="Z3643" i="4"/>
  <c r="AA3642" i="4"/>
  <c r="Z3642" i="4"/>
  <c r="AA3641" i="4"/>
  <c r="Z3641" i="4"/>
  <c r="AA3640" i="4"/>
  <c r="Z3640" i="4"/>
  <c r="AA3639" i="4"/>
  <c r="Z3639" i="4"/>
  <c r="AA3638" i="4"/>
  <c r="Z3638" i="4"/>
  <c r="AA3637" i="4"/>
  <c r="Z3637" i="4"/>
  <c r="AA3636" i="4"/>
  <c r="Z3636" i="4"/>
  <c r="AA3635" i="4"/>
  <c r="Z3635" i="4"/>
  <c r="AA3634" i="4"/>
  <c r="Z3634" i="4"/>
  <c r="AA3633" i="4"/>
  <c r="Z3633" i="4"/>
  <c r="AA3632" i="4"/>
  <c r="Z3632" i="4"/>
  <c r="AA3631" i="4"/>
  <c r="Z3631" i="4"/>
  <c r="AA3630" i="4"/>
  <c r="Z3630" i="4"/>
  <c r="AA3629" i="4"/>
  <c r="Z3629" i="4"/>
  <c r="AA3628" i="4"/>
  <c r="Z3628" i="4"/>
  <c r="AA3627" i="4"/>
  <c r="Z3627" i="4"/>
  <c r="AA3626" i="4"/>
  <c r="Z3626" i="4"/>
  <c r="AA3625" i="4"/>
  <c r="Z3625" i="4"/>
  <c r="AA3624" i="4"/>
  <c r="Z3624" i="4"/>
  <c r="AA3623" i="4"/>
  <c r="Z3623" i="4"/>
  <c r="AA3622" i="4"/>
  <c r="Z3622" i="4"/>
  <c r="AA3621" i="4"/>
  <c r="Z3621" i="4"/>
  <c r="AA3620" i="4"/>
  <c r="Z3620" i="4"/>
  <c r="AA3619" i="4"/>
  <c r="Z3619" i="4"/>
  <c r="AA3618" i="4"/>
  <c r="Z3618" i="4"/>
  <c r="AA3617" i="4"/>
  <c r="Z3617" i="4"/>
  <c r="AA3616" i="4"/>
  <c r="Z3616" i="4"/>
  <c r="AA3615" i="4"/>
  <c r="Z3615" i="4"/>
  <c r="AA3614" i="4"/>
  <c r="Z3614" i="4"/>
  <c r="AA3613" i="4"/>
  <c r="Z3613" i="4"/>
  <c r="AA3612" i="4"/>
  <c r="Z3612" i="4"/>
  <c r="AA3611" i="4"/>
  <c r="Z3611" i="4"/>
  <c r="AA3610" i="4"/>
  <c r="Z3610" i="4"/>
  <c r="AA3609" i="4"/>
  <c r="Z3609" i="4"/>
  <c r="AA3608" i="4"/>
  <c r="Z3608" i="4"/>
  <c r="AA3607" i="4"/>
  <c r="Z3607" i="4"/>
  <c r="AA3606" i="4"/>
  <c r="Z3606" i="4"/>
  <c r="AA3605" i="4"/>
  <c r="Z3605" i="4"/>
  <c r="AA3604" i="4"/>
  <c r="Z3604" i="4"/>
  <c r="AA3603" i="4"/>
  <c r="Z3603" i="4"/>
  <c r="AA3602" i="4"/>
  <c r="Z3602" i="4"/>
  <c r="AA3601" i="4"/>
  <c r="Z3601" i="4"/>
  <c r="AA3600" i="4"/>
  <c r="Z3600" i="4"/>
  <c r="AA3599" i="4"/>
  <c r="Z3599" i="4"/>
  <c r="AA3598" i="4"/>
  <c r="Z3598" i="4"/>
  <c r="AA3597" i="4"/>
  <c r="Z3597" i="4"/>
  <c r="AA3596" i="4"/>
  <c r="Z3596" i="4"/>
  <c r="AA3595" i="4"/>
  <c r="Z3595" i="4"/>
  <c r="AA3594" i="4"/>
  <c r="Z3594" i="4"/>
  <c r="AA3593" i="4"/>
  <c r="Z3593" i="4"/>
  <c r="AA3592" i="4"/>
  <c r="Z3592" i="4"/>
  <c r="AA3591" i="4"/>
  <c r="Z3591" i="4"/>
  <c r="AA3590" i="4"/>
  <c r="Z3590" i="4"/>
  <c r="AA3589" i="4"/>
  <c r="Z3589" i="4"/>
  <c r="AA3588" i="4"/>
  <c r="Z3588" i="4"/>
  <c r="AA3587" i="4"/>
  <c r="Z3587" i="4"/>
  <c r="AA3586" i="4"/>
  <c r="Z3586" i="4"/>
  <c r="AA3585" i="4"/>
  <c r="Z3585" i="4"/>
  <c r="AA3584" i="4"/>
  <c r="Z3584" i="4"/>
  <c r="AA3583" i="4"/>
  <c r="Z3583" i="4"/>
  <c r="AA3582" i="4"/>
  <c r="Z3582" i="4"/>
  <c r="AA3581" i="4"/>
  <c r="Z3581" i="4"/>
  <c r="AA3580" i="4"/>
  <c r="Z3580" i="4"/>
  <c r="AA3579" i="4"/>
  <c r="Z3579" i="4"/>
  <c r="AA3578" i="4"/>
  <c r="Z3578" i="4"/>
  <c r="AA3577" i="4"/>
  <c r="Z3577" i="4"/>
  <c r="AA3576" i="4"/>
  <c r="Z3576" i="4"/>
  <c r="AA3575" i="4"/>
  <c r="Z3575" i="4"/>
  <c r="AA3574" i="4"/>
  <c r="Z3574" i="4"/>
  <c r="AA3573" i="4"/>
  <c r="Z3573" i="4"/>
  <c r="AA3572" i="4"/>
  <c r="Z3572" i="4"/>
  <c r="AA3571" i="4"/>
  <c r="Z3571" i="4"/>
  <c r="AA3570" i="4"/>
  <c r="Z3570" i="4"/>
  <c r="AA3569" i="4"/>
  <c r="Z3569" i="4"/>
  <c r="AA3568" i="4"/>
  <c r="Z3568" i="4"/>
  <c r="AA3567" i="4"/>
  <c r="Z3567" i="4"/>
  <c r="AA3566" i="4"/>
  <c r="Z3566" i="4"/>
  <c r="AA3565" i="4"/>
  <c r="Z3565" i="4"/>
  <c r="AA3564" i="4"/>
  <c r="Z3564" i="4"/>
  <c r="AA3563" i="4"/>
  <c r="Z3563" i="4"/>
  <c r="AA3562" i="4"/>
  <c r="Z3562" i="4"/>
  <c r="AA3561" i="4"/>
  <c r="Z3561" i="4"/>
  <c r="AA3560" i="4"/>
  <c r="Z3560" i="4"/>
  <c r="AA3559" i="4"/>
  <c r="Z3559" i="4"/>
  <c r="AA3558" i="4"/>
  <c r="Z3558" i="4"/>
  <c r="AA3557" i="4"/>
  <c r="Z3557" i="4"/>
  <c r="AA3556" i="4"/>
  <c r="Z3556" i="4"/>
  <c r="AA3555" i="4"/>
  <c r="Z3555" i="4"/>
  <c r="AA3554" i="4"/>
  <c r="Z3554" i="4"/>
  <c r="AA3553" i="4"/>
  <c r="Z3553" i="4"/>
  <c r="AA3552" i="4"/>
  <c r="Z3552" i="4"/>
  <c r="AA3551" i="4"/>
  <c r="Z3551" i="4"/>
  <c r="AA3550" i="4"/>
  <c r="Z3550" i="4"/>
  <c r="AA3549" i="4"/>
  <c r="Z3549" i="4"/>
  <c r="AA3548" i="4"/>
  <c r="Z3548" i="4"/>
  <c r="AA3547" i="4"/>
  <c r="Z3547" i="4"/>
  <c r="AA3546" i="4"/>
  <c r="Z3546" i="4"/>
  <c r="AA3545" i="4"/>
  <c r="Z3545" i="4"/>
  <c r="AA3544" i="4"/>
  <c r="Z3544" i="4"/>
  <c r="AA3543" i="4"/>
  <c r="Z3543" i="4"/>
  <c r="AA3542" i="4"/>
  <c r="Z3542" i="4"/>
  <c r="AA3541" i="4"/>
  <c r="Z3541" i="4"/>
  <c r="AA3540" i="4"/>
  <c r="Z3540" i="4"/>
  <c r="AA3539" i="4"/>
  <c r="Z3539" i="4"/>
  <c r="AA3538" i="4"/>
  <c r="Z3538" i="4"/>
  <c r="AA3537" i="4"/>
  <c r="Z3537" i="4"/>
  <c r="AA3536" i="4"/>
  <c r="Z3536" i="4"/>
  <c r="AA3535" i="4"/>
  <c r="Z3535" i="4"/>
  <c r="AA3534" i="4"/>
  <c r="Z3534" i="4"/>
  <c r="AA3533" i="4"/>
  <c r="Z3533" i="4"/>
  <c r="AA3532" i="4"/>
  <c r="Z3532" i="4"/>
  <c r="AA3531" i="4"/>
  <c r="Z3531" i="4"/>
  <c r="AA3530" i="4"/>
  <c r="Z3530" i="4"/>
  <c r="AA3529" i="4"/>
  <c r="Z3529" i="4"/>
  <c r="AA3528" i="4"/>
  <c r="Z3528" i="4"/>
  <c r="AA3527" i="4"/>
  <c r="Z3527" i="4"/>
  <c r="AA3526" i="4"/>
  <c r="Z3526" i="4"/>
  <c r="AA3525" i="4"/>
  <c r="Z3525" i="4"/>
  <c r="AA3524" i="4"/>
  <c r="Z3524" i="4"/>
  <c r="AA3523" i="4"/>
  <c r="Z3523" i="4"/>
  <c r="AA3522" i="4"/>
  <c r="Z3522" i="4"/>
  <c r="AA3521" i="4"/>
  <c r="Z3521" i="4"/>
  <c r="AA3520" i="4"/>
  <c r="Z3520" i="4"/>
  <c r="AA3519" i="4"/>
  <c r="Z3519" i="4"/>
  <c r="AA3518" i="4"/>
  <c r="Z3518" i="4"/>
  <c r="AA3517" i="4"/>
  <c r="Z3517" i="4"/>
  <c r="AA3516" i="4"/>
  <c r="Z3516" i="4"/>
  <c r="AA3515" i="4"/>
  <c r="Z3515" i="4"/>
  <c r="AA3514" i="4"/>
  <c r="Z3514" i="4"/>
  <c r="AA3513" i="4"/>
  <c r="Z3513" i="4"/>
  <c r="AA3512" i="4"/>
  <c r="Z3512" i="4"/>
  <c r="AA3511" i="4"/>
  <c r="Z3511" i="4"/>
  <c r="AA3510" i="4"/>
  <c r="Z3510" i="4"/>
  <c r="AA3509" i="4"/>
  <c r="Z3509" i="4"/>
  <c r="AA3508" i="4"/>
  <c r="Z3508" i="4"/>
  <c r="AA3507" i="4"/>
  <c r="Z3507" i="4"/>
  <c r="AA3506" i="4"/>
  <c r="Z3506" i="4"/>
  <c r="AA3505" i="4"/>
  <c r="Z3505" i="4"/>
  <c r="AA3504" i="4"/>
  <c r="Z3504" i="4"/>
  <c r="AA3503" i="4"/>
  <c r="Z3503" i="4"/>
  <c r="AA3502" i="4"/>
  <c r="Z3502" i="4"/>
  <c r="AA3501" i="4"/>
  <c r="Z3501" i="4"/>
  <c r="AA3500" i="4"/>
  <c r="Z3500" i="4"/>
  <c r="AA3499" i="4"/>
  <c r="Z3499" i="4"/>
  <c r="AA3498" i="4"/>
  <c r="Z3498" i="4"/>
  <c r="AA3497" i="4"/>
  <c r="Z3497" i="4"/>
  <c r="AA3496" i="4"/>
  <c r="Z3496" i="4"/>
  <c r="AA3495" i="4"/>
  <c r="Z3495" i="4"/>
  <c r="AA3494" i="4"/>
  <c r="Z3494" i="4"/>
  <c r="AA3493" i="4"/>
  <c r="Z3493" i="4"/>
  <c r="AA3492" i="4"/>
  <c r="Z3492" i="4"/>
  <c r="AA3491" i="4"/>
  <c r="Z3491" i="4"/>
  <c r="AA3490" i="4"/>
  <c r="Z3490" i="4"/>
  <c r="AA3489" i="4"/>
  <c r="Z3489" i="4"/>
  <c r="AA3488" i="4"/>
  <c r="Z3488" i="4"/>
  <c r="AA3487" i="4"/>
  <c r="Z3487" i="4"/>
  <c r="AA3486" i="4"/>
  <c r="Z3486" i="4"/>
  <c r="AA3485" i="4"/>
  <c r="Z3485" i="4"/>
  <c r="AA3484" i="4"/>
  <c r="Z3484" i="4"/>
  <c r="AA3483" i="4"/>
  <c r="Z3483" i="4"/>
  <c r="AA3482" i="4"/>
  <c r="Z3482" i="4"/>
  <c r="AA3481" i="4"/>
  <c r="Z3481" i="4"/>
  <c r="AA3480" i="4"/>
  <c r="Z3480" i="4"/>
  <c r="AA3479" i="4"/>
  <c r="Z3479" i="4"/>
  <c r="AA3478" i="4"/>
  <c r="Z3478" i="4"/>
  <c r="AA3477" i="4"/>
  <c r="Z3477" i="4"/>
  <c r="AA3476" i="4"/>
  <c r="Z3476" i="4"/>
  <c r="AA3475" i="4"/>
  <c r="Z3475" i="4"/>
  <c r="AA3474" i="4"/>
  <c r="Z3474" i="4"/>
  <c r="AA3473" i="4"/>
  <c r="Z3473" i="4"/>
  <c r="AA3472" i="4"/>
  <c r="Z3472" i="4"/>
  <c r="AA3471" i="4"/>
  <c r="Z3471" i="4"/>
  <c r="AA3470" i="4"/>
  <c r="Z3470" i="4"/>
  <c r="AA3469" i="4"/>
  <c r="Z3469" i="4"/>
  <c r="AA3468" i="4"/>
  <c r="Z3468" i="4"/>
  <c r="AA3467" i="4"/>
  <c r="Z3467" i="4"/>
  <c r="AA3466" i="4"/>
  <c r="Z3466" i="4"/>
  <c r="AA3465" i="4"/>
  <c r="Z3465" i="4"/>
  <c r="AA3464" i="4"/>
  <c r="Z3464" i="4"/>
  <c r="AA3463" i="4"/>
  <c r="Z3463" i="4"/>
  <c r="AA3462" i="4"/>
  <c r="Z3462" i="4"/>
  <c r="AA3461" i="4"/>
  <c r="Z3461" i="4"/>
  <c r="AA3460" i="4"/>
  <c r="Z3460" i="4"/>
  <c r="AA3459" i="4"/>
  <c r="Z3459" i="4"/>
  <c r="AA3458" i="4"/>
  <c r="Z3458" i="4"/>
  <c r="AA3457" i="4"/>
  <c r="Z3457" i="4"/>
  <c r="AA3456" i="4"/>
  <c r="Z3456" i="4"/>
  <c r="AA3455" i="4"/>
  <c r="Z3455" i="4"/>
  <c r="AA3454" i="4"/>
  <c r="Z3454" i="4"/>
  <c r="AA3453" i="4"/>
  <c r="Z3453" i="4"/>
  <c r="AA3452" i="4"/>
  <c r="Z3452" i="4"/>
  <c r="AA3451" i="4"/>
  <c r="Z3451" i="4"/>
  <c r="AA3450" i="4"/>
  <c r="Z3450" i="4"/>
  <c r="AA3449" i="4"/>
  <c r="Z3449" i="4"/>
  <c r="AA3448" i="4"/>
  <c r="Z3448" i="4"/>
  <c r="AA3447" i="4"/>
  <c r="Z3447" i="4"/>
  <c r="AA3446" i="4"/>
  <c r="Z3446" i="4"/>
  <c r="AA3445" i="4"/>
  <c r="Z3445" i="4"/>
  <c r="AA3444" i="4"/>
  <c r="Z3444" i="4"/>
  <c r="AA3443" i="4"/>
  <c r="Z3443" i="4"/>
  <c r="AA3442" i="4"/>
  <c r="Z3442" i="4"/>
  <c r="AA3441" i="4"/>
  <c r="Z3441" i="4"/>
  <c r="AA3440" i="4"/>
  <c r="Z3440" i="4"/>
  <c r="AA3439" i="4"/>
  <c r="Z3439" i="4"/>
  <c r="AA3438" i="4"/>
  <c r="Z3438" i="4"/>
  <c r="AA3437" i="4"/>
  <c r="Z3437" i="4"/>
  <c r="AA3436" i="4"/>
  <c r="Z3436" i="4"/>
  <c r="AA3435" i="4"/>
  <c r="Z3435" i="4"/>
  <c r="AA3434" i="4"/>
  <c r="Z3434" i="4"/>
  <c r="AA3433" i="4"/>
  <c r="Z3433" i="4"/>
  <c r="AA3432" i="4"/>
  <c r="Z3432" i="4"/>
  <c r="AA3431" i="4"/>
  <c r="Z3431" i="4"/>
  <c r="AA3430" i="4"/>
  <c r="Z3430" i="4"/>
  <c r="AA3429" i="4"/>
  <c r="Z3429" i="4"/>
  <c r="AA3428" i="4"/>
  <c r="Z3428" i="4"/>
  <c r="AA3427" i="4"/>
  <c r="Z3427" i="4"/>
  <c r="AA3426" i="4"/>
  <c r="Z3426" i="4"/>
  <c r="AA3425" i="4"/>
  <c r="Z3425" i="4"/>
  <c r="AA3424" i="4"/>
  <c r="Z3424" i="4"/>
  <c r="AA3423" i="4"/>
  <c r="Z3423" i="4"/>
  <c r="AA3422" i="4"/>
  <c r="Z3422" i="4"/>
  <c r="AA3421" i="4"/>
  <c r="Z3421" i="4"/>
  <c r="AA3420" i="4"/>
  <c r="Z3420" i="4"/>
  <c r="AA3419" i="4"/>
  <c r="Z3419" i="4"/>
  <c r="AA3418" i="4"/>
  <c r="Z3418" i="4"/>
  <c r="AA3417" i="4"/>
  <c r="Z3417" i="4"/>
  <c r="AA3416" i="4"/>
  <c r="Z3416" i="4"/>
  <c r="AA3415" i="4"/>
  <c r="Z3415" i="4"/>
  <c r="AA3414" i="4"/>
  <c r="Z3414" i="4"/>
  <c r="AA3413" i="4"/>
  <c r="Z3413" i="4"/>
  <c r="AA3412" i="4"/>
  <c r="Z3412" i="4"/>
  <c r="AA3411" i="4"/>
  <c r="Z3411" i="4"/>
  <c r="AA3410" i="4"/>
  <c r="Z3410" i="4"/>
  <c r="AA3409" i="4"/>
  <c r="Z3409" i="4"/>
  <c r="AA3408" i="4"/>
  <c r="Z3408" i="4"/>
  <c r="AA3407" i="4"/>
  <c r="Z3407" i="4"/>
  <c r="AA3406" i="4"/>
  <c r="Z3406" i="4"/>
  <c r="AA3405" i="4"/>
  <c r="Z3405" i="4"/>
  <c r="AA3404" i="4"/>
  <c r="Z3404" i="4"/>
  <c r="AA3403" i="4"/>
  <c r="Z3403" i="4"/>
  <c r="AA3402" i="4"/>
  <c r="Z3402" i="4"/>
  <c r="AA3401" i="4"/>
  <c r="Z3401" i="4"/>
  <c r="AA3400" i="4"/>
  <c r="Z3400" i="4"/>
  <c r="AA3399" i="4"/>
  <c r="Z3399" i="4"/>
  <c r="AA3398" i="4"/>
  <c r="Z3398" i="4"/>
  <c r="AA3397" i="4"/>
  <c r="Z3397" i="4"/>
  <c r="AA3396" i="4"/>
  <c r="Z3396" i="4"/>
  <c r="AA3395" i="4"/>
  <c r="Z3395" i="4"/>
  <c r="AA3394" i="4"/>
  <c r="Z3394" i="4"/>
  <c r="AA3393" i="4"/>
  <c r="Z3393" i="4"/>
  <c r="AA3392" i="4"/>
  <c r="Z3392" i="4"/>
  <c r="AA3391" i="4"/>
  <c r="Z3391" i="4"/>
  <c r="AA3390" i="4"/>
  <c r="Z3390" i="4"/>
  <c r="AA3389" i="4"/>
  <c r="Z3389" i="4"/>
  <c r="AA3388" i="4"/>
  <c r="Z3388" i="4"/>
  <c r="AA3387" i="4"/>
  <c r="Z3387" i="4"/>
  <c r="AA3386" i="4"/>
  <c r="Z3386" i="4"/>
  <c r="AA3385" i="4"/>
  <c r="Z3385" i="4"/>
  <c r="AA3384" i="4"/>
  <c r="Z3384" i="4"/>
  <c r="AA3383" i="4"/>
  <c r="Z3383" i="4"/>
  <c r="AA3382" i="4"/>
  <c r="Z3382" i="4"/>
  <c r="AA3381" i="4"/>
  <c r="Z3381" i="4"/>
  <c r="AA3380" i="4"/>
  <c r="Z3380" i="4"/>
  <c r="AA3379" i="4"/>
  <c r="Z3379" i="4"/>
  <c r="AA3378" i="4"/>
  <c r="Z3378" i="4"/>
  <c r="AA3377" i="4"/>
  <c r="Z3377" i="4"/>
  <c r="AA3376" i="4"/>
  <c r="Z3376" i="4"/>
  <c r="AA3375" i="4"/>
  <c r="Z3375" i="4"/>
  <c r="AA3374" i="4"/>
  <c r="Z3374" i="4"/>
  <c r="AA3373" i="4"/>
  <c r="Z3373" i="4"/>
  <c r="AA3372" i="4"/>
  <c r="Z3372" i="4"/>
  <c r="AA3371" i="4"/>
  <c r="Z3371" i="4"/>
  <c r="AA3370" i="4"/>
  <c r="Z3370" i="4"/>
  <c r="AA3369" i="4"/>
  <c r="Z3369" i="4"/>
  <c r="AA3368" i="4"/>
  <c r="Z3368" i="4"/>
  <c r="AA3367" i="4"/>
  <c r="Z3367" i="4"/>
  <c r="AA3366" i="4"/>
  <c r="Z3366" i="4"/>
  <c r="AA3365" i="4"/>
  <c r="Z3365" i="4"/>
  <c r="AA3364" i="4"/>
  <c r="Z3364" i="4"/>
  <c r="AA3363" i="4"/>
  <c r="Z3363" i="4"/>
  <c r="AA3362" i="4"/>
  <c r="Z3362" i="4"/>
  <c r="AA3361" i="4"/>
  <c r="Z3361" i="4"/>
  <c r="AA3360" i="4"/>
  <c r="Z3360" i="4"/>
  <c r="AA3359" i="4"/>
  <c r="Z3359" i="4"/>
  <c r="AA3358" i="4"/>
  <c r="Z3358" i="4"/>
  <c r="AA3357" i="4"/>
  <c r="Z3357" i="4"/>
  <c r="AA3356" i="4"/>
  <c r="Z3356" i="4"/>
  <c r="AA3355" i="4"/>
  <c r="Z3355" i="4"/>
  <c r="AA3354" i="4"/>
  <c r="Z3354" i="4"/>
  <c r="AA3353" i="4"/>
  <c r="Z3353" i="4"/>
  <c r="AA3352" i="4"/>
  <c r="Z3352" i="4"/>
  <c r="AA3351" i="4"/>
  <c r="Z3351" i="4"/>
  <c r="AA3350" i="4"/>
  <c r="Z3350" i="4"/>
  <c r="AA3349" i="4"/>
  <c r="Z3349" i="4"/>
  <c r="AA3348" i="4"/>
  <c r="Z3348" i="4"/>
  <c r="AA3347" i="4"/>
  <c r="Z3347" i="4"/>
  <c r="AA3346" i="4"/>
  <c r="Z3346" i="4"/>
  <c r="AA3345" i="4"/>
  <c r="Z3345" i="4"/>
  <c r="AA3344" i="4"/>
  <c r="Z3344" i="4"/>
  <c r="AA3343" i="4"/>
  <c r="Z3343" i="4"/>
  <c r="AA3342" i="4"/>
  <c r="Z3342" i="4"/>
  <c r="AA3341" i="4"/>
  <c r="Z3341" i="4"/>
  <c r="AA3340" i="4"/>
  <c r="Z3340" i="4"/>
  <c r="AA3339" i="4"/>
  <c r="Z3339" i="4"/>
  <c r="AA3338" i="4"/>
  <c r="Z3338" i="4"/>
  <c r="AA3337" i="4"/>
  <c r="Z3337" i="4"/>
  <c r="AA3336" i="4"/>
  <c r="Z3336" i="4"/>
  <c r="AA3335" i="4"/>
  <c r="Z3335" i="4"/>
  <c r="AA3334" i="4"/>
  <c r="Z3334" i="4"/>
  <c r="AA3333" i="4"/>
  <c r="Z3333" i="4"/>
  <c r="AA3332" i="4"/>
  <c r="Z3332" i="4"/>
  <c r="AA3331" i="4"/>
  <c r="Z3331" i="4"/>
  <c r="AA3330" i="4"/>
  <c r="Z3330" i="4"/>
  <c r="AA3329" i="4"/>
  <c r="Z3329" i="4"/>
  <c r="AA3328" i="4"/>
  <c r="Z3328" i="4"/>
  <c r="AA3327" i="4"/>
  <c r="Z3327" i="4"/>
  <c r="AA3326" i="4"/>
  <c r="Z3326" i="4"/>
  <c r="AA3325" i="4"/>
  <c r="Z3325" i="4"/>
  <c r="AA3324" i="4"/>
  <c r="Z3324" i="4"/>
  <c r="AA3323" i="4"/>
  <c r="Z3323" i="4"/>
  <c r="AA3322" i="4"/>
  <c r="Z3322" i="4"/>
  <c r="AA3321" i="4"/>
  <c r="Z3321" i="4"/>
  <c r="AA3320" i="4"/>
  <c r="Z3320" i="4"/>
  <c r="AA3319" i="4"/>
  <c r="Z3319" i="4"/>
  <c r="AA3318" i="4"/>
  <c r="Z3318" i="4"/>
  <c r="AA3317" i="4"/>
  <c r="Z3317" i="4"/>
  <c r="AA3316" i="4"/>
  <c r="Z3316" i="4"/>
  <c r="AA3315" i="4"/>
  <c r="Z3315" i="4"/>
  <c r="AA3314" i="4"/>
  <c r="Z3314" i="4"/>
  <c r="AA3313" i="4"/>
  <c r="Z3313" i="4"/>
  <c r="AA3312" i="4"/>
  <c r="Z3312" i="4"/>
  <c r="AA3311" i="4"/>
  <c r="Z3311" i="4"/>
  <c r="AA3310" i="4"/>
  <c r="Z3310" i="4"/>
  <c r="AA3309" i="4"/>
  <c r="Z3309" i="4"/>
  <c r="AA3308" i="4"/>
  <c r="Z3308" i="4"/>
  <c r="AA3307" i="4"/>
  <c r="Z3307" i="4"/>
  <c r="AA3306" i="4"/>
  <c r="Z3306" i="4"/>
  <c r="AA3305" i="4"/>
  <c r="Z3305" i="4"/>
  <c r="AA3304" i="4"/>
  <c r="Z3304" i="4"/>
  <c r="AA3303" i="4"/>
  <c r="Z3303" i="4"/>
  <c r="AA3302" i="4"/>
  <c r="Z3302" i="4"/>
  <c r="AA3301" i="4"/>
  <c r="Z3301" i="4"/>
  <c r="AA3300" i="4"/>
  <c r="Z3300" i="4"/>
  <c r="AA3299" i="4"/>
  <c r="Z3299" i="4"/>
  <c r="AA3298" i="4"/>
  <c r="Z3298" i="4"/>
  <c r="AA3297" i="4"/>
  <c r="Z3297" i="4"/>
  <c r="AA3296" i="4"/>
  <c r="Z3296" i="4"/>
  <c r="AA3295" i="4"/>
  <c r="Z3295" i="4"/>
  <c r="AA3294" i="4"/>
  <c r="Z3294" i="4"/>
  <c r="AA3293" i="4"/>
  <c r="Z3293" i="4"/>
  <c r="AA3292" i="4"/>
  <c r="Z3292" i="4"/>
  <c r="AA3291" i="4"/>
  <c r="Z3291" i="4"/>
  <c r="AA3290" i="4"/>
  <c r="Z3290" i="4"/>
  <c r="AA3289" i="4"/>
  <c r="Z3289" i="4"/>
  <c r="AA3288" i="4"/>
  <c r="Z3288" i="4"/>
  <c r="AA3287" i="4"/>
  <c r="Z3287" i="4"/>
  <c r="AA3286" i="4"/>
  <c r="Z3286" i="4"/>
  <c r="AA3285" i="4"/>
  <c r="Z3285" i="4"/>
  <c r="AA3284" i="4"/>
  <c r="Z3284" i="4"/>
  <c r="AA3283" i="4"/>
  <c r="Z3283" i="4"/>
  <c r="W589" i="2"/>
  <c r="AA3282" i="4"/>
  <c r="Z3282" i="4"/>
  <c r="AA3281" i="4"/>
  <c r="Z3281" i="4"/>
  <c r="AA3280" i="4"/>
  <c r="Z3280" i="4"/>
  <c r="AA3279" i="4"/>
  <c r="Z3279" i="4"/>
  <c r="AA3278" i="4"/>
  <c r="Z3278" i="4"/>
  <c r="AA3277" i="4"/>
  <c r="Z3277" i="4"/>
  <c r="AA3276" i="4"/>
  <c r="Z3276" i="4"/>
  <c r="AA3275" i="4"/>
  <c r="Z3275" i="4"/>
  <c r="AA3274" i="4"/>
  <c r="Z3274" i="4"/>
  <c r="AA3273" i="4"/>
  <c r="Z3273" i="4"/>
  <c r="AA3272" i="4"/>
  <c r="Z3272" i="4"/>
  <c r="AA3271" i="4"/>
  <c r="Z3271" i="4"/>
  <c r="AA3270" i="4"/>
  <c r="Z3270" i="4"/>
  <c r="AA3269" i="4"/>
  <c r="Z3269" i="4"/>
  <c r="AA3268" i="4"/>
  <c r="Z3268" i="4"/>
  <c r="AA3267" i="4"/>
  <c r="Z3267" i="4"/>
  <c r="AA3266" i="4"/>
  <c r="Z3266" i="4"/>
  <c r="AA3265" i="4"/>
  <c r="Z3265" i="4"/>
  <c r="AA3264" i="4"/>
  <c r="Z3264" i="4"/>
  <c r="AA3263" i="4"/>
  <c r="Z3263" i="4"/>
  <c r="AA3262" i="4"/>
  <c r="Z3262" i="4"/>
  <c r="AA3261" i="4"/>
  <c r="Z3261" i="4"/>
  <c r="AA3260" i="4"/>
  <c r="Z3260" i="4"/>
  <c r="W550" i="2"/>
  <c r="AA3259" i="4"/>
  <c r="Z3259" i="4"/>
  <c r="AA3258" i="4"/>
  <c r="Z3258" i="4"/>
  <c r="AA3257" i="4"/>
  <c r="Z3257" i="4"/>
  <c r="AA3256" i="4"/>
  <c r="Z3256" i="4"/>
  <c r="AA3255" i="4"/>
  <c r="Z3255" i="4"/>
  <c r="AA3254" i="4"/>
  <c r="Z3254" i="4"/>
  <c r="AA3253" i="4"/>
  <c r="Z3253" i="4"/>
  <c r="AA3252" i="4"/>
  <c r="Z3252" i="4"/>
  <c r="AA3251" i="4"/>
  <c r="Z3251" i="4"/>
  <c r="AA3250" i="4"/>
  <c r="Z3250" i="4"/>
  <c r="AA3249" i="4"/>
  <c r="Z3249" i="4"/>
  <c r="AA3248" i="4"/>
  <c r="Z3248" i="4"/>
  <c r="AA3247" i="4"/>
  <c r="Z3247" i="4"/>
  <c r="AA3246" i="4"/>
  <c r="Z3246" i="4"/>
  <c r="AA3245" i="4"/>
  <c r="Z3245" i="4"/>
  <c r="AA3244" i="4"/>
  <c r="Z3244" i="4"/>
  <c r="AA3243" i="4"/>
  <c r="Z3243" i="4"/>
  <c r="AA3242" i="4"/>
  <c r="Z3242" i="4"/>
  <c r="AA3241" i="4"/>
  <c r="Z3241" i="4"/>
  <c r="AA3240" i="4"/>
  <c r="Z3240" i="4"/>
  <c r="W642" i="2"/>
  <c r="AA3239" i="4"/>
  <c r="Z3239" i="4"/>
  <c r="AA3238" i="4"/>
  <c r="Z3238" i="4"/>
  <c r="AA3237" i="4"/>
  <c r="Z3237" i="4"/>
  <c r="AA3236" i="4"/>
  <c r="Z3236" i="4"/>
  <c r="AA3235" i="4"/>
  <c r="Z3235" i="4"/>
  <c r="AA3234" i="4"/>
  <c r="Z3234" i="4"/>
  <c r="AA3233" i="4"/>
  <c r="Z3233" i="4"/>
  <c r="AA3232" i="4"/>
  <c r="Z3232" i="4"/>
  <c r="AA3231" i="4"/>
  <c r="Z3231" i="4"/>
  <c r="AA3230" i="4"/>
  <c r="Z3230" i="4"/>
  <c r="AA3229" i="4"/>
  <c r="Z3229" i="4"/>
  <c r="AA3228" i="4"/>
  <c r="Z3228" i="4"/>
  <c r="AA3227" i="4"/>
  <c r="Z3227" i="4"/>
  <c r="AA3226" i="4"/>
  <c r="Z3226" i="4"/>
  <c r="AA3225" i="4"/>
  <c r="Z3225" i="4"/>
  <c r="AA3224" i="4"/>
  <c r="Z3224" i="4"/>
  <c r="AA3223" i="4"/>
  <c r="Z3223" i="4"/>
  <c r="AA3222" i="4"/>
  <c r="Z3222" i="4"/>
  <c r="AA3221" i="4"/>
  <c r="Z3221" i="4"/>
  <c r="AA3220" i="4"/>
  <c r="Z3220" i="4"/>
  <c r="AA3219" i="4"/>
  <c r="Z3219" i="4"/>
  <c r="AA3218" i="4"/>
  <c r="Z3218" i="4"/>
  <c r="AA3217" i="4"/>
  <c r="Z3217" i="4"/>
  <c r="AA3216" i="4"/>
  <c r="Z3216" i="4"/>
  <c r="AA3215" i="4"/>
  <c r="Z3215" i="4"/>
  <c r="AA3214" i="4"/>
  <c r="Z3214" i="4"/>
  <c r="AA3213" i="4"/>
  <c r="Z3213" i="4"/>
  <c r="AA3212" i="4"/>
  <c r="Z3212" i="4"/>
  <c r="AA3211" i="4"/>
  <c r="Z3211" i="4"/>
  <c r="AA3210" i="4"/>
  <c r="Z3210" i="4"/>
  <c r="AA3209" i="4"/>
  <c r="Z3209" i="4"/>
  <c r="AA3208" i="4"/>
  <c r="Z3208" i="4"/>
  <c r="AA3207" i="4"/>
  <c r="Z3207" i="4"/>
  <c r="AA3206" i="4"/>
  <c r="Z3206" i="4"/>
  <c r="AA3205" i="4"/>
  <c r="Z3205" i="4"/>
  <c r="AA3204" i="4"/>
  <c r="Z3204" i="4"/>
  <c r="AA3203" i="4"/>
  <c r="Z3203" i="4"/>
  <c r="AA3202" i="4"/>
  <c r="Z3202" i="4"/>
  <c r="AA3201" i="4"/>
  <c r="Z3201" i="4"/>
  <c r="AA3200" i="4"/>
  <c r="Z3200" i="4"/>
  <c r="AA3199" i="4"/>
  <c r="Z3199" i="4"/>
  <c r="AA3198" i="4"/>
  <c r="Z3198" i="4"/>
  <c r="AA3197" i="4"/>
  <c r="Z3197" i="4"/>
  <c r="AA3196" i="4"/>
  <c r="Z3196" i="4"/>
  <c r="AA3195" i="4"/>
  <c r="Z3195" i="4"/>
  <c r="AA3194" i="4"/>
  <c r="Z3194" i="4"/>
  <c r="AA3193" i="4"/>
  <c r="Z3193" i="4"/>
  <c r="AA3192" i="4"/>
  <c r="Z3192" i="4"/>
  <c r="AA3191" i="4"/>
  <c r="Z3191" i="4"/>
  <c r="AA3190" i="4"/>
  <c r="Z3190" i="4"/>
  <c r="AA3189" i="4"/>
  <c r="Z3189" i="4"/>
  <c r="AA3188" i="4"/>
  <c r="Z3188" i="4"/>
  <c r="AA3187" i="4"/>
  <c r="Z3187" i="4"/>
  <c r="AA3186" i="4"/>
  <c r="Z3186" i="4"/>
  <c r="AA3185" i="4"/>
  <c r="Z3185" i="4"/>
  <c r="AA3184" i="4"/>
  <c r="Z3184" i="4"/>
  <c r="AA3183" i="4"/>
  <c r="Z3183" i="4"/>
  <c r="AA3182" i="4"/>
  <c r="Z3182" i="4"/>
  <c r="AA3181" i="4"/>
  <c r="Z3181" i="4"/>
  <c r="AA3180" i="4"/>
  <c r="Z3180" i="4"/>
  <c r="AA3179" i="4"/>
  <c r="Z3179" i="4"/>
  <c r="AA3178" i="4"/>
  <c r="Z3178" i="4"/>
  <c r="AA3177" i="4"/>
  <c r="Z3177" i="4"/>
  <c r="W313" i="2"/>
  <c r="AA3176" i="4"/>
  <c r="Z3176" i="4"/>
  <c r="AA3175" i="4"/>
  <c r="Z3175" i="4"/>
  <c r="AA3174" i="4"/>
  <c r="Z3174" i="4"/>
  <c r="AA3173" i="4"/>
  <c r="Z3173" i="4"/>
  <c r="AA3172" i="4"/>
  <c r="Z3172" i="4"/>
  <c r="AA3171" i="4"/>
  <c r="Z3171" i="4"/>
  <c r="AA3170" i="4"/>
  <c r="Z3170" i="4"/>
  <c r="AA3169" i="4"/>
  <c r="Z3169" i="4"/>
  <c r="AA3168" i="4"/>
  <c r="Z3168" i="4"/>
  <c r="AA3167" i="4"/>
  <c r="Z3167" i="4"/>
  <c r="AA3166" i="4"/>
  <c r="Z3166" i="4"/>
  <c r="AA3165" i="4"/>
  <c r="Z3165" i="4"/>
  <c r="AA3164" i="4"/>
  <c r="Z3164" i="4"/>
  <c r="AA3163" i="4"/>
  <c r="Z3163" i="4"/>
  <c r="AA3162" i="4"/>
  <c r="Z3162" i="4"/>
  <c r="AA3161" i="4"/>
  <c r="Z3161" i="4"/>
  <c r="AA3160" i="4"/>
  <c r="Z3160" i="4"/>
  <c r="AA3159" i="4"/>
  <c r="Z3159" i="4"/>
  <c r="AA3158" i="4"/>
  <c r="Z3158" i="4"/>
  <c r="AA3157" i="4"/>
  <c r="Z3157" i="4"/>
  <c r="AA3156" i="4"/>
  <c r="Z3156" i="4"/>
  <c r="AA3155" i="4"/>
  <c r="Z3155" i="4"/>
  <c r="AA3154" i="4"/>
  <c r="Z3154" i="4"/>
  <c r="W426" i="2"/>
  <c r="AA3153" i="4"/>
  <c r="Z3153" i="4"/>
  <c r="AA3152" i="4"/>
  <c r="Z3152" i="4"/>
  <c r="AA3151" i="4"/>
  <c r="Z3151" i="4"/>
  <c r="AA3150" i="4"/>
  <c r="Z3150" i="4"/>
  <c r="AA3149" i="4"/>
  <c r="Z3149" i="4"/>
  <c r="AA3148" i="4"/>
  <c r="Z3148" i="4"/>
  <c r="AA3147" i="4"/>
  <c r="Z3147" i="4"/>
  <c r="AA3146" i="4"/>
  <c r="Z3146" i="4"/>
  <c r="AA3145" i="4"/>
  <c r="Z3145" i="4"/>
  <c r="AA3144" i="4"/>
  <c r="Z3144" i="4"/>
  <c r="AA3143" i="4"/>
  <c r="Z3143" i="4"/>
  <c r="AA3142" i="4"/>
  <c r="Z3142" i="4"/>
  <c r="AA3141" i="4"/>
  <c r="Z3141" i="4"/>
  <c r="AA3140" i="4"/>
  <c r="Z3140" i="4"/>
  <c r="AA3139" i="4"/>
  <c r="Z3139" i="4"/>
  <c r="AA3138" i="4"/>
  <c r="Z3138" i="4"/>
  <c r="AA3137" i="4"/>
  <c r="Z3137" i="4"/>
  <c r="AA3136" i="4"/>
  <c r="Z3136" i="4"/>
  <c r="AA3135" i="4"/>
  <c r="Z3135" i="4"/>
  <c r="AA3134" i="4"/>
  <c r="Z3134" i="4"/>
  <c r="W156" i="2"/>
  <c r="AA3133" i="4"/>
  <c r="Z3133" i="4"/>
  <c r="AA3132" i="4"/>
  <c r="Z3132" i="4"/>
  <c r="AA3131" i="4"/>
  <c r="Z3131" i="4"/>
  <c r="AA3130" i="4"/>
  <c r="Z3130" i="4"/>
  <c r="AA3129" i="4"/>
  <c r="Z3129" i="4"/>
  <c r="AA3128" i="4"/>
  <c r="Z3128" i="4"/>
  <c r="AA3127" i="4"/>
  <c r="Z3127" i="4"/>
  <c r="AA3126" i="4"/>
  <c r="Z3126" i="4"/>
  <c r="AA3125" i="4"/>
  <c r="Z3125" i="4"/>
  <c r="AA3124" i="4"/>
  <c r="Z3124" i="4"/>
  <c r="AA3123" i="4"/>
  <c r="Z3123" i="4"/>
  <c r="AA3122" i="4"/>
  <c r="Z3122" i="4"/>
  <c r="AA3121" i="4"/>
  <c r="Z3121" i="4"/>
  <c r="AA3120" i="4"/>
  <c r="Z3120" i="4"/>
  <c r="AA3119" i="4"/>
  <c r="Z3119" i="4"/>
  <c r="AA3118" i="4"/>
  <c r="Z3118" i="4"/>
  <c r="AA3117" i="4"/>
  <c r="Z3117" i="4"/>
  <c r="AA3116" i="4"/>
  <c r="Z3116" i="4"/>
  <c r="AA3115" i="4"/>
  <c r="Z3115" i="4"/>
  <c r="AA3114" i="4"/>
  <c r="Z3114" i="4"/>
  <c r="AA3113" i="4"/>
  <c r="Z3113" i="4"/>
  <c r="AA3112" i="4"/>
  <c r="Z3112" i="4"/>
  <c r="AA3111" i="4"/>
  <c r="Z3111" i="4"/>
  <c r="AA3110" i="4"/>
  <c r="Z3110" i="4"/>
  <c r="AA3109" i="4"/>
  <c r="Z3109" i="4"/>
  <c r="AA3108" i="4"/>
  <c r="Z3108" i="4"/>
  <c r="AA3107" i="4"/>
  <c r="Z3107" i="4"/>
  <c r="AA3106" i="4"/>
  <c r="Z3106" i="4"/>
  <c r="AA3105" i="4"/>
  <c r="Z3105" i="4"/>
  <c r="AA3104" i="4"/>
  <c r="Z3104" i="4"/>
  <c r="AA3103" i="4"/>
  <c r="Z3103" i="4"/>
  <c r="AA3102" i="4"/>
  <c r="Z3102" i="4"/>
  <c r="AA3101" i="4"/>
  <c r="Z3101" i="4"/>
  <c r="AA3100" i="4"/>
  <c r="Z3100" i="4"/>
  <c r="AA3099" i="4"/>
  <c r="Z3099" i="4"/>
  <c r="AA3098" i="4"/>
  <c r="Z3098" i="4"/>
  <c r="AA3097" i="4"/>
  <c r="Z3097" i="4"/>
  <c r="AA3096" i="4"/>
  <c r="Z3096" i="4"/>
  <c r="AA3095" i="4"/>
  <c r="Z3095" i="4"/>
  <c r="AA3094" i="4"/>
  <c r="Z3094" i="4"/>
  <c r="AA3093" i="4"/>
  <c r="Z3093" i="4"/>
  <c r="AA3092" i="4"/>
  <c r="Z3092" i="4"/>
  <c r="AA3091" i="4"/>
  <c r="Z3091" i="4"/>
  <c r="AA3090" i="4"/>
  <c r="Z3090" i="4"/>
  <c r="AA3089" i="4"/>
  <c r="Z3089" i="4"/>
  <c r="AA3088" i="4"/>
  <c r="Z3088" i="4"/>
  <c r="AA3087" i="4"/>
  <c r="Z3087" i="4"/>
  <c r="AA3086" i="4"/>
  <c r="Z3086" i="4"/>
  <c r="AA3085" i="4"/>
  <c r="Z3085" i="4"/>
  <c r="AA3084" i="4"/>
  <c r="Z3084" i="4"/>
  <c r="AA3083" i="4"/>
  <c r="Z3083" i="4"/>
  <c r="AA3082" i="4"/>
  <c r="Z3082" i="4"/>
  <c r="AA3081" i="4"/>
  <c r="Z3081" i="4"/>
  <c r="AA3080" i="4"/>
  <c r="Z3080" i="4"/>
  <c r="AA3079" i="4"/>
  <c r="Z3079" i="4"/>
  <c r="AA3078" i="4"/>
  <c r="Z3078" i="4"/>
  <c r="AA3077" i="4"/>
  <c r="Z3077" i="4"/>
  <c r="AA3076" i="4"/>
  <c r="Z3076" i="4"/>
  <c r="AA3075" i="4"/>
  <c r="Z3075" i="4"/>
  <c r="AA3074" i="4"/>
  <c r="Z3074" i="4"/>
  <c r="AA3073" i="4"/>
  <c r="Z3073" i="4"/>
  <c r="AA3072" i="4"/>
  <c r="Z3072" i="4"/>
  <c r="AA3071" i="4"/>
  <c r="Z3071" i="4"/>
  <c r="AA3070" i="4"/>
  <c r="Z3070" i="4"/>
  <c r="AA3069" i="4"/>
  <c r="Z3069" i="4"/>
  <c r="AA3068" i="4"/>
  <c r="Z3068" i="4"/>
  <c r="AA3067" i="4"/>
  <c r="Z3067" i="4"/>
  <c r="AA3066" i="4"/>
  <c r="Z3066" i="4"/>
  <c r="AA3065" i="4"/>
  <c r="Z3065" i="4"/>
  <c r="AA3064" i="4"/>
  <c r="Z3064" i="4"/>
  <c r="AA3063" i="4"/>
  <c r="Z3063" i="4"/>
  <c r="AA3062" i="4"/>
  <c r="Z3062" i="4"/>
  <c r="AA3061" i="4"/>
  <c r="Z3061" i="4"/>
  <c r="AA3060" i="4"/>
  <c r="Z3060" i="4"/>
  <c r="AA3059" i="4"/>
  <c r="Z3059" i="4"/>
  <c r="AA3058" i="4"/>
  <c r="Z3058" i="4"/>
  <c r="AA3057" i="4"/>
  <c r="Z3057" i="4"/>
  <c r="AA3056" i="4"/>
  <c r="Z3056" i="4"/>
  <c r="AA3055" i="4"/>
  <c r="Z3055" i="4"/>
  <c r="AA3054" i="4"/>
  <c r="Z3054" i="4"/>
  <c r="AA3053" i="4"/>
  <c r="Z3053" i="4"/>
  <c r="AA3052" i="4"/>
  <c r="Z3052" i="4"/>
  <c r="AA3051" i="4"/>
  <c r="Z3051" i="4"/>
  <c r="AA3050" i="4"/>
  <c r="Z3050" i="4"/>
  <c r="AA3049" i="4"/>
  <c r="Z3049" i="4"/>
  <c r="AA3048" i="4"/>
  <c r="Z3048" i="4"/>
  <c r="AA3047" i="4"/>
  <c r="Z3047" i="4"/>
  <c r="AA3046" i="4"/>
  <c r="Z3046" i="4"/>
  <c r="AA3045" i="4"/>
  <c r="Z3045" i="4"/>
  <c r="AA3044" i="4"/>
  <c r="Z3044" i="4"/>
  <c r="AA3043" i="4"/>
  <c r="Z3043" i="4"/>
  <c r="AA3042" i="4"/>
  <c r="Z3042" i="4"/>
  <c r="AA3041" i="4"/>
  <c r="Z3041" i="4"/>
  <c r="AA3040" i="4"/>
  <c r="Z3040" i="4"/>
  <c r="AA3039" i="4"/>
  <c r="Z3039" i="4"/>
  <c r="AA3038" i="4"/>
  <c r="Z3038" i="4"/>
  <c r="AA3037" i="4"/>
  <c r="Z3037" i="4"/>
  <c r="AA3036" i="4"/>
  <c r="Z3036" i="4"/>
  <c r="AA3035" i="4"/>
  <c r="Z3035" i="4"/>
  <c r="AA3034" i="4"/>
  <c r="Z3034" i="4"/>
  <c r="AA3033" i="4"/>
  <c r="Z3033" i="4"/>
  <c r="AA3032" i="4"/>
  <c r="Z3032" i="4"/>
  <c r="AA3031" i="4"/>
  <c r="Z3031" i="4"/>
  <c r="AA3030" i="4"/>
  <c r="Z3030" i="4"/>
  <c r="AA3029" i="4"/>
  <c r="Z3029" i="4"/>
  <c r="AA3028" i="4"/>
  <c r="Z3028" i="4"/>
  <c r="AA3027" i="4"/>
  <c r="Z3027" i="4"/>
  <c r="AA3026" i="4"/>
  <c r="Z3026" i="4"/>
  <c r="AA3025" i="4"/>
  <c r="Z3025" i="4"/>
  <c r="AA3024" i="4"/>
  <c r="Z3024" i="4"/>
  <c r="AA3023" i="4"/>
  <c r="Z3023" i="4"/>
  <c r="AA3022" i="4"/>
  <c r="Z3022" i="4"/>
  <c r="AA3021" i="4"/>
  <c r="Z3021" i="4"/>
  <c r="AA3020" i="4"/>
  <c r="Z3020" i="4"/>
  <c r="AA3019" i="4"/>
  <c r="Z3019" i="4"/>
  <c r="AA3018" i="4"/>
  <c r="Z3018" i="4"/>
  <c r="AA3017" i="4"/>
  <c r="Z3017" i="4"/>
  <c r="AA3016" i="4"/>
  <c r="Z3016" i="4"/>
  <c r="AA3015" i="4"/>
  <c r="Z3015" i="4"/>
  <c r="AA3014" i="4"/>
  <c r="Z3014" i="4"/>
  <c r="AA3013" i="4"/>
  <c r="Z3013" i="4"/>
  <c r="AA3012" i="4"/>
  <c r="Z3012" i="4"/>
  <c r="AA3011" i="4"/>
  <c r="Z3011" i="4"/>
  <c r="AA3010" i="4"/>
  <c r="Z3010" i="4"/>
  <c r="AA3009" i="4"/>
  <c r="Z3009" i="4"/>
  <c r="AA3008" i="4"/>
  <c r="Z3008" i="4"/>
  <c r="AA3007" i="4"/>
  <c r="Z3007" i="4"/>
  <c r="AA3006" i="4"/>
  <c r="Z3006" i="4"/>
  <c r="AA3005" i="4"/>
  <c r="Z3005" i="4"/>
  <c r="AA3004" i="4"/>
  <c r="Z3004" i="4"/>
  <c r="AA3003" i="4"/>
  <c r="Z3003" i="4"/>
  <c r="AA3002" i="4"/>
  <c r="Z3002" i="4"/>
  <c r="AA3001" i="4"/>
  <c r="Z3001" i="4"/>
  <c r="AA3000" i="4"/>
  <c r="Z3000" i="4"/>
  <c r="AA2999" i="4"/>
  <c r="Z2999" i="4"/>
  <c r="AA2998" i="4"/>
  <c r="Z2998" i="4"/>
  <c r="AA2997" i="4"/>
  <c r="Z2997" i="4"/>
  <c r="AA2996" i="4"/>
  <c r="Z2996" i="4"/>
  <c r="AA2995" i="4"/>
  <c r="Z2995" i="4"/>
  <c r="AA2994" i="4"/>
  <c r="Z2994" i="4"/>
  <c r="AA2993" i="4"/>
  <c r="Z2993" i="4"/>
  <c r="AA2992" i="4"/>
  <c r="Z2992" i="4"/>
  <c r="AA2991" i="4"/>
  <c r="Z2991" i="4"/>
  <c r="AA2990" i="4"/>
  <c r="Z2990" i="4"/>
  <c r="AA2989" i="4"/>
  <c r="Z2989" i="4"/>
  <c r="AA2988" i="4"/>
  <c r="Z2988" i="4"/>
  <c r="AA2987" i="4"/>
  <c r="Z2987" i="4"/>
  <c r="AA2986" i="4"/>
  <c r="Z2986" i="4"/>
  <c r="AA2985" i="4"/>
  <c r="Z2985" i="4"/>
  <c r="AA2984" i="4"/>
  <c r="Z2984" i="4"/>
  <c r="AA2983" i="4"/>
  <c r="Z2983" i="4"/>
  <c r="AA2982" i="4"/>
  <c r="Z2982" i="4"/>
  <c r="AA2981" i="4"/>
  <c r="Z2981" i="4"/>
  <c r="AA2980" i="4"/>
  <c r="Z2980" i="4"/>
  <c r="AA2979" i="4"/>
  <c r="Z2979" i="4"/>
  <c r="AA2978" i="4"/>
  <c r="Z2978" i="4"/>
  <c r="AA2977" i="4"/>
  <c r="Z2977" i="4"/>
  <c r="AA2976" i="4"/>
  <c r="Z2976" i="4"/>
  <c r="AA2975" i="4"/>
  <c r="Z2975" i="4"/>
  <c r="AA2974" i="4"/>
  <c r="Z2974" i="4"/>
  <c r="AA2973" i="4"/>
  <c r="Z2973" i="4"/>
  <c r="AA2972" i="4"/>
  <c r="Z2972" i="4"/>
  <c r="AA2971" i="4"/>
  <c r="Z2971" i="4"/>
  <c r="AA2970" i="4"/>
  <c r="Z2970" i="4"/>
  <c r="AA2969" i="4"/>
  <c r="Z2969" i="4"/>
  <c r="AA2968" i="4"/>
  <c r="Z2968" i="4"/>
  <c r="AA2967" i="4"/>
  <c r="Z2967" i="4"/>
  <c r="AA2966" i="4"/>
  <c r="Z2966" i="4"/>
  <c r="AA2965" i="4"/>
  <c r="Z2965" i="4"/>
  <c r="AA2964" i="4"/>
  <c r="Z2964" i="4"/>
  <c r="AA2963" i="4"/>
  <c r="Z2963" i="4"/>
  <c r="AA2962" i="4"/>
  <c r="Z2962" i="4"/>
  <c r="AA2961" i="4"/>
  <c r="Z2961" i="4"/>
  <c r="AA2960" i="4"/>
  <c r="Z2960" i="4"/>
  <c r="AA2959" i="4"/>
  <c r="Z2959" i="4"/>
  <c r="AA2958" i="4"/>
  <c r="Z2958" i="4"/>
  <c r="AA2957" i="4"/>
  <c r="Z2957" i="4"/>
  <c r="AA2956" i="4"/>
  <c r="Z2956" i="4"/>
  <c r="AA2955" i="4"/>
  <c r="Z2955" i="4"/>
  <c r="AA2954" i="4"/>
  <c r="Z2954" i="4"/>
  <c r="AA2953" i="4"/>
  <c r="Z2953" i="4"/>
  <c r="AA2952" i="4"/>
  <c r="Z2952" i="4"/>
  <c r="AA2951" i="4"/>
  <c r="Z2951" i="4"/>
  <c r="AA2950" i="4"/>
  <c r="Z2950" i="4"/>
  <c r="AA2949" i="4"/>
  <c r="Z2949" i="4"/>
  <c r="AA2948" i="4"/>
  <c r="Z2948" i="4"/>
  <c r="AA2947" i="4"/>
  <c r="Z2947" i="4"/>
  <c r="AA2946" i="4"/>
  <c r="Z2946" i="4"/>
  <c r="AA2945" i="4"/>
  <c r="Z2945" i="4"/>
  <c r="AA2944" i="4"/>
  <c r="Z2944" i="4"/>
  <c r="AA2943" i="4"/>
  <c r="Z2943" i="4"/>
  <c r="AA2942" i="4"/>
  <c r="Z2942" i="4"/>
  <c r="AA2941" i="4"/>
  <c r="Z2941" i="4"/>
  <c r="AA2940" i="4"/>
  <c r="Z2940" i="4"/>
  <c r="AA2939" i="4"/>
  <c r="Z2939" i="4"/>
  <c r="AA2938" i="4"/>
  <c r="Z2938" i="4"/>
  <c r="AA2937" i="4"/>
  <c r="Z2937" i="4"/>
  <c r="AA2936" i="4"/>
  <c r="Z2936" i="4"/>
  <c r="AA2935" i="4"/>
  <c r="Z2935" i="4"/>
  <c r="AA2934" i="4"/>
  <c r="Z2934" i="4"/>
  <c r="AA2933" i="4"/>
  <c r="Z2933" i="4"/>
  <c r="AA2932" i="4"/>
  <c r="Z2932" i="4"/>
  <c r="AA2931" i="4"/>
  <c r="Z2931" i="4"/>
  <c r="AA2930" i="4"/>
  <c r="Z2930" i="4"/>
  <c r="AA2929" i="4"/>
  <c r="Z2929" i="4"/>
  <c r="AA2928" i="4"/>
  <c r="Z2928" i="4"/>
  <c r="AA2927" i="4"/>
  <c r="Z2927" i="4"/>
  <c r="AA2926" i="4"/>
  <c r="Z2926" i="4"/>
  <c r="AA2925" i="4"/>
  <c r="Z2925" i="4"/>
  <c r="AA2924" i="4"/>
  <c r="Z2924" i="4"/>
  <c r="AA2923" i="4"/>
  <c r="Z2923" i="4"/>
  <c r="AA2922" i="4"/>
  <c r="Z2922" i="4"/>
  <c r="AA2921" i="4"/>
  <c r="Z2921" i="4"/>
  <c r="AA2920" i="4"/>
  <c r="Z2920" i="4"/>
  <c r="AA2919" i="4"/>
  <c r="Z2919" i="4"/>
  <c r="AA2918" i="4"/>
  <c r="Z2918" i="4"/>
  <c r="AA2917" i="4"/>
  <c r="Z2917" i="4"/>
  <c r="AA2916" i="4"/>
  <c r="Z2916" i="4"/>
  <c r="AA2915" i="4"/>
  <c r="Z2915" i="4"/>
  <c r="AA2914" i="4"/>
  <c r="Z2914" i="4"/>
  <c r="AA2913" i="4"/>
  <c r="Z2913" i="4"/>
  <c r="AA2912" i="4"/>
  <c r="Z2912" i="4"/>
  <c r="AA2911" i="4"/>
  <c r="Z2911" i="4"/>
  <c r="AA2910" i="4"/>
  <c r="Z2910" i="4"/>
  <c r="AA2909" i="4"/>
  <c r="Z2909" i="4"/>
  <c r="AA2908" i="4"/>
  <c r="Z2908" i="4"/>
  <c r="AA2907" i="4"/>
  <c r="Z2907" i="4"/>
  <c r="AA2906" i="4"/>
  <c r="Z2906" i="4"/>
  <c r="AA2905" i="4"/>
  <c r="Z2905" i="4"/>
  <c r="AA2904" i="4"/>
  <c r="Z2904" i="4"/>
  <c r="AA2903" i="4"/>
  <c r="Z2903" i="4"/>
  <c r="AA2902" i="4"/>
  <c r="Z2902" i="4"/>
  <c r="AA2901" i="4"/>
  <c r="Z2901" i="4"/>
  <c r="AA2900" i="4"/>
  <c r="Z2900" i="4"/>
  <c r="AA2899" i="4"/>
  <c r="Z2899" i="4"/>
  <c r="AA2898" i="4"/>
  <c r="Z2898" i="4"/>
  <c r="AA2897" i="4"/>
  <c r="Z2897" i="4"/>
  <c r="AA2896" i="4"/>
  <c r="Z2896" i="4"/>
  <c r="AA2895" i="4"/>
  <c r="Z2895" i="4"/>
  <c r="AA2894" i="4"/>
  <c r="Z2894" i="4"/>
  <c r="AA2893" i="4"/>
  <c r="Z2893" i="4"/>
  <c r="AA2892" i="4"/>
  <c r="Z2892" i="4"/>
  <c r="AA2891" i="4"/>
  <c r="Z2891" i="4"/>
  <c r="AA2890" i="4"/>
  <c r="Z2890" i="4"/>
  <c r="AA2889" i="4"/>
  <c r="Z2889" i="4"/>
  <c r="AA2888" i="4"/>
  <c r="Z2888" i="4"/>
  <c r="AA2887" i="4"/>
  <c r="Z2887" i="4"/>
  <c r="AA2886" i="4"/>
  <c r="Z2886" i="4"/>
  <c r="AA2885" i="4"/>
  <c r="Z2885" i="4"/>
  <c r="AA2884" i="4"/>
  <c r="Z2884" i="4"/>
  <c r="AA2883" i="4"/>
  <c r="Z2883" i="4"/>
  <c r="AA2882" i="4"/>
  <c r="Z2882" i="4"/>
  <c r="AA2881" i="4"/>
  <c r="Z2881" i="4"/>
  <c r="AA2880" i="4"/>
  <c r="Z2880" i="4"/>
  <c r="AA2879" i="4"/>
  <c r="Z2879" i="4"/>
  <c r="AA2878" i="4"/>
  <c r="Z2878" i="4"/>
  <c r="AA2877" i="4"/>
  <c r="Z2877" i="4"/>
  <c r="AA2876" i="4"/>
  <c r="Z2876" i="4"/>
  <c r="AA2875" i="4"/>
  <c r="Z2875" i="4"/>
  <c r="AA2874" i="4"/>
  <c r="Z2874" i="4"/>
  <c r="AA2873" i="4"/>
  <c r="Z2873" i="4"/>
  <c r="AA2872" i="4"/>
  <c r="Z2872" i="4"/>
  <c r="AA2871" i="4"/>
  <c r="Z2871" i="4"/>
  <c r="AA2870" i="4"/>
  <c r="Z2870" i="4"/>
  <c r="AA2869" i="4"/>
  <c r="Z2869" i="4"/>
  <c r="AA2868" i="4"/>
  <c r="Z2868" i="4"/>
  <c r="AA2867" i="4"/>
  <c r="Z2867" i="4"/>
  <c r="AA2866" i="4"/>
  <c r="Z2866" i="4"/>
  <c r="AA2865" i="4"/>
  <c r="Z2865" i="4"/>
  <c r="AA2864" i="4"/>
  <c r="Z2864" i="4"/>
  <c r="AA2863" i="4"/>
  <c r="Z2863" i="4"/>
  <c r="AA2862" i="4"/>
  <c r="Z2862" i="4"/>
  <c r="AA2861" i="4"/>
  <c r="Z2861" i="4"/>
  <c r="AA2860" i="4"/>
  <c r="Z2860" i="4"/>
  <c r="AA2859" i="4"/>
  <c r="Z2859" i="4"/>
  <c r="AA2858" i="4"/>
  <c r="Z2858" i="4"/>
  <c r="AA2857" i="4"/>
  <c r="Z2857" i="4"/>
  <c r="AA2856" i="4"/>
  <c r="Z2856" i="4"/>
  <c r="AA2855" i="4"/>
  <c r="Z2855" i="4"/>
  <c r="AA2854" i="4"/>
  <c r="Z2854" i="4"/>
  <c r="AA2853" i="4"/>
  <c r="Z2853" i="4"/>
  <c r="AA2852" i="4"/>
  <c r="Z2852" i="4"/>
  <c r="AA2851" i="4"/>
  <c r="Z2851" i="4"/>
  <c r="AA2850" i="4"/>
  <c r="Z2850" i="4"/>
  <c r="AA2849" i="4"/>
  <c r="Z2849" i="4"/>
  <c r="AA2848" i="4"/>
  <c r="Z2848" i="4"/>
  <c r="AA2847" i="4"/>
  <c r="Z2847" i="4"/>
  <c r="AA2846" i="4"/>
  <c r="Z2846" i="4"/>
  <c r="AA2845" i="4"/>
  <c r="Z2845" i="4"/>
  <c r="AA2844" i="4"/>
  <c r="Z2844" i="4"/>
  <c r="AA2843" i="4"/>
  <c r="Z2843" i="4"/>
  <c r="AA2842" i="4"/>
  <c r="Z2842" i="4"/>
  <c r="AA2841" i="4"/>
  <c r="Z2841" i="4"/>
  <c r="AA2840" i="4"/>
  <c r="Z2840" i="4"/>
  <c r="AA2839" i="4"/>
  <c r="Z2839" i="4"/>
  <c r="AA2838" i="4"/>
  <c r="Z2838" i="4"/>
  <c r="AA2837" i="4"/>
  <c r="Z2837" i="4"/>
  <c r="AA2836" i="4"/>
  <c r="Z2836" i="4"/>
  <c r="AA2835" i="4"/>
  <c r="Z2835" i="4"/>
  <c r="AA2834" i="4"/>
  <c r="Z2834" i="4"/>
  <c r="AA2833" i="4"/>
  <c r="Z2833" i="4"/>
  <c r="AA2832" i="4"/>
  <c r="Z2832" i="4"/>
  <c r="AA2831" i="4"/>
  <c r="Z2831" i="4"/>
  <c r="AA2830" i="4"/>
  <c r="Z2830" i="4"/>
  <c r="AA2829" i="4"/>
  <c r="Z2829" i="4"/>
  <c r="AA2828" i="4"/>
  <c r="Z2828" i="4"/>
  <c r="AA2827" i="4"/>
  <c r="Z2827" i="4"/>
  <c r="AA2826" i="4"/>
  <c r="Z2826" i="4"/>
  <c r="AA2825" i="4"/>
  <c r="Z2825" i="4"/>
  <c r="AA2824" i="4"/>
  <c r="Z2824" i="4"/>
  <c r="AA2823" i="4"/>
  <c r="Z2823" i="4"/>
  <c r="AA2822" i="4"/>
  <c r="Z2822" i="4"/>
  <c r="AA2821" i="4"/>
  <c r="Z2821" i="4"/>
  <c r="AA2820" i="4"/>
  <c r="Z2820" i="4"/>
  <c r="AA2819" i="4"/>
  <c r="Z2819" i="4"/>
  <c r="AA2818" i="4"/>
  <c r="Z2818" i="4"/>
  <c r="AA2817" i="4"/>
  <c r="Z2817" i="4"/>
  <c r="AA2816" i="4"/>
  <c r="Z2816" i="4"/>
  <c r="AA2815" i="4"/>
  <c r="Z2815" i="4"/>
  <c r="AA2814" i="4"/>
  <c r="Z2814" i="4"/>
  <c r="AA2813" i="4"/>
  <c r="Z2813" i="4"/>
  <c r="AA2812" i="4"/>
  <c r="Z2812" i="4"/>
  <c r="AA2811" i="4"/>
  <c r="Z2811" i="4"/>
  <c r="AA2810" i="4"/>
  <c r="Z2810" i="4"/>
  <c r="AA2809" i="4"/>
  <c r="Z2809" i="4"/>
  <c r="AA2808" i="4"/>
  <c r="Z2808" i="4"/>
  <c r="AA2807" i="4"/>
  <c r="Z2807" i="4"/>
  <c r="AA2806" i="4"/>
  <c r="Z2806" i="4"/>
  <c r="AA2805" i="4"/>
  <c r="Z2805" i="4"/>
  <c r="AA2804" i="4"/>
  <c r="Z2804" i="4"/>
  <c r="AA2803" i="4"/>
  <c r="Z2803" i="4"/>
  <c r="AA2802" i="4"/>
  <c r="Z2802" i="4"/>
  <c r="AA2801" i="4"/>
  <c r="Z2801" i="4"/>
  <c r="AA2800" i="4"/>
  <c r="Z2800" i="4"/>
  <c r="AA2799" i="4"/>
  <c r="Z2799" i="4"/>
  <c r="AA2798" i="4"/>
  <c r="Z2798" i="4"/>
  <c r="AA2797" i="4"/>
  <c r="Z2797" i="4"/>
  <c r="AA2796" i="4"/>
  <c r="Z2796" i="4"/>
  <c r="AA2795" i="4"/>
  <c r="Z2795" i="4"/>
  <c r="AA2794" i="4"/>
  <c r="Z2794" i="4"/>
  <c r="AA2793" i="4"/>
  <c r="Z2793" i="4"/>
  <c r="AA2792" i="4"/>
  <c r="Z2792" i="4"/>
  <c r="AA2791" i="4"/>
  <c r="Z2791" i="4"/>
  <c r="AA2790" i="4"/>
  <c r="Z2790" i="4"/>
  <c r="AA2789" i="4"/>
  <c r="Z2789" i="4"/>
  <c r="AA2788" i="4"/>
  <c r="Z2788" i="4"/>
  <c r="AA2787" i="4"/>
  <c r="Z2787" i="4"/>
  <c r="AA2786" i="4"/>
  <c r="Z2786" i="4"/>
  <c r="AA2785" i="4"/>
  <c r="Z2785" i="4"/>
  <c r="AA2784" i="4"/>
  <c r="Z2784" i="4"/>
  <c r="AA2783" i="4"/>
  <c r="Z2783" i="4"/>
  <c r="AA2782" i="4"/>
  <c r="Z2782" i="4"/>
  <c r="AA2781" i="4"/>
  <c r="Z2781" i="4"/>
  <c r="AA2780" i="4"/>
  <c r="Z2780" i="4"/>
  <c r="AA2779" i="4"/>
  <c r="Z2779" i="4"/>
  <c r="AA2778" i="4"/>
  <c r="Z2778" i="4"/>
  <c r="AA2777" i="4"/>
  <c r="Z2777" i="4"/>
  <c r="AA2776" i="4"/>
  <c r="Z2776" i="4"/>
  <c r="AA2775" i="4"/>
  <c r="Z2775" i="4"/>
  <c r="AA2774" i="4"/>
  <c r="Z2774" i="4"/>
  <c r="AA2773" i="4"/>
  <c r="Z2773" i="4"/>
  <c r="AA2772" i="4"/>
  <c r="Z2772" i="4"/>
  <c r="AA2771" i="4"/>
  <c r="Z2771" i="4"/>
  <c r="AA2770" i="4"/>
  <c r="Z2770" i="4"/>
  <c r="AA2769" i="4"/>
  <c r="Z2769" i="4"/>
  <c r="AA2768" i="4"/>
  <c r="Z2768" i="4"/>
  <c r="AA2767" i="4"/>
  <c r="Z2767" i="4"/>
  <c r="AA2766" i="4"/>
  <c r="Z2766" i="4"/>
  <c r="AA2765" i="4"/>
  <c r="Z2765" i="4"/>
  <c r="AA2764" i="4"/>
  <c r="Z2764" i="4"/>
  <c r="AA2763" i="4"/>
  <c r="Z2763" i="4"/>
  <c r="AA2762" i="4"/>
  <c r="Z2762" i="4"/>
  <c r="AA2761" i="4"/>
  <c r="Z2761" i="4"/>
  <c r="AA2760" i="4"/>
  <c r="Z2760" i="4"/>
  <c r="AA2759" i="4"/>
  <c r="Z2759" i="4"/>
  <c r="AA2758" i="4"/>
  <c r="Z2758" i="4"/>
  <c r="AA2757" i="4"/>
  <c r="Z2757" i="4"/>
  <c r="AA2756" i="4"/>
  <c r="Z2756" i="4"/>
  <c r="AA2755" i="4"/>
  <c r="Z2755" i="4"/>
  <c r="AA2754" i="4"/>
  <c r="Z2754" i="4"/>
  <c r="AA2753" i="4"/>
  <c r="Z2753" i="4"/>
  <c r="AA2752" i="4"/>
  <c r="Z2752" i="4"/>
  <c r="AA2751" i="4"/>
  <c r="Z2751" i="4"/>
  <c r="AA2750" i="4"/>
  <c r="Z2750" i="4"/>
  <c r="AA2749" i="4"/>
  <c r="Z2749" i="4"/>
  <c r="AA2748" i="4"/>
  <c r="Z2748" i="4"/>
  <c r="AA2747" i="4"/>
  <c r="Z2747" i="4"/>
  <c r="AA2746" i="4"/>
  <c r="Z2746" i="4"/>
  <c r="AA2745" i="4"/>
  <c r="Z2745" i="4"/>
  <c r="AA2744" i="4"/>
  <c r="Z2744" i="4"/>
  <c r="AA2743" i="4"/>
  <c r="Z2743" i="4"/>
  <c r="AA2742" i="4"/>
  <c r="Z2742" i="4"/>
  <c r="AA2741" i="4"/>
  <c r="Z2741" i="4"/>
  <c r="AA2740" i="4"/>
  <c r="Z2740" i="4"/>
  <c r="AA2739" i="4"/>
  <c r="Z2739" i="4"/>
  <c r="AA2738" i="4"/>
  <c r="Z2738" i="4"/>
  <c r="AA2737" i="4"/>
  <c r="Z2737" i="4"/>
  <c r="AA2736" i="4"/>
  <c r="Z2736" i="4"/>
  <c r="AA2735" i="4"/>
  <c r="Z2735" i="4"/>
  <c r="AA2734" i="4"/>
  <c r="Z2734" i="4"/>
  <c r="AA2733" i="4"/>
  <c r="Z2733" i="4"/>
  <c r="AA2732" i="4"/>
  <c r="Z2732" i="4"/>
  <c r="AA2731" i="4"/>
  <c r="Z2731" i="4"/>
  <c r="AA2730" i="4"/>
  <c r="Z2730" i="4"/>
  <c r="AA2729" i="4"/>
  <c r="Z2729" i="4"/>
  <c r="AA2728" i="4"/>
  <c r="Z2728" i="4"/>
  <c r="AA2727" i="4"/>
  <c r="Z2727" i="4"/>
  <c r="AA2726" i="4"/>
  <c r="Z2726" i="4"/>
  <c r="AA2725" i="4"/>
  <c r="Z2725" i="4"/>
  <c r="AA2724" i="4"/>
  <c r="Z2724" i="4"/>
  <c r="AA2723" i="4"/>
  <c r="Z2723" i="4"/>
  <c r="AA2722" i="4"/>
  <c r="Z2722" i="4"/>
  <c r="AA2721" i="4"/>
  <c r="Z2721" i="4"/>
  <c r="AA2720" i="4"/>
  <c r="Z2720" i="4"/>
  <c r="AA2719" i="4"/>
  <c r="Z2719" i="4"/>
  <c r="AA2718" i="4"/>
  <c r="Z2718" i="4"/>
  <c r="AA2717" i="4"/>
  <c r="Z2717" i="4"/>
  <c r="AA2716" i="4"/>
  <c r="Z2716" i="4"/>
  <c r="AA2715" i="4"/>
  <c r="Z2715" i="4"/>
  <c r="AA2714" i="4"/>
  <c r="Z2714" i="4"/>
  <c r="AA2713" i="4"/>
  <c r="Z2713" i="4"/>
  <c r="AA2712" i="4"/>
  <c r="Z2712" i="4"/>
  <c r="AA2711" i="4"/>
  <c r="Z2711" i="4"/>
  <c r="AA2710" i="4"/>
  <c r="Z2710" i="4"/>
  <c r="AA2709" i="4"/>
  <c r="Z2709" i="4"/>
  <c r="AA2708" i="4"/>
  <c r="Z2708" i="4"/>
  <c r="AA2707" i="4"/>
  <c r="Z2707" i="4"/>
  <c r="AA2706" i="4"/>
  <c r="Z2706" i="4"/>
  <c r="AA2705" i="4"/>
  <c r="Z2705" i="4"/>
  <c r="AA2704" i="4"/>
  <c r="Z2704" i="4"/>
  <c r="AA2703" i="4"/>
  <c r="Z2703" i="4"/>
  <c r="AA2702" i="4"/>
  <c r="Z2702" i="4"/>
  <c r="AA2701" i="4"/>
  <c r="Z2701" i="4"/>
  <c r="AA2700" i="4"/>
  <c r="Z2700" i="4"/>
  <c r="AA2699" i="4"/>
  <c r="Z2699" i="4"/>
  <c r="AA2698" i="4"/>
  <c r="Z2698" i="4"/>
  <c r="AA2697" i="4"/>
  <c r="Z2697" i="4"/>
  <c r="AA2696" i="4"/>
  <c r="Z2696" i="4"/>
  <c r="AA2695" i="4"/>
  <c r="Z2695" i="4"/>
  <c r="AA2694" i="4"/>
  <c r="Z2694" i="4"/>
  <c r="AA2693" i="4"/>
  <c r="Z2693" i="4"/>
  <c r="AA2692" i="4"/>
  <c r="Z2692" i="4"/>
  <c r="AA2691" i="4"/>
  <c r="Z2691" i="4"/>
  <c r="AA2690" i="4"/>
  <c r="Z2690" i="4"/>
  <c r="AA2689" i="4"/>
  <c r="Z2689" i="4"/>
  <c r="AA2688" i="4"/>
  <c r="Z2688" i="4"/>
  <c r="AA2687" i="4"/>
  <c r="Z2687" i="4"/>
  <c r="AA2686" i="4"/>
  <c r="Z2686" i="4"/>
  <c r="AA2685" i="4"/>
  <c r="Z2685" i="4"/>
  <c r="AA2684" i="4"/>
  <c r="Z2684" i="4"/>
  <c r="AA2683" i="4"/>
  <c r="Z2683" i="4"/>
  <c r="AA2682" i="4"/>
  <c r="Z2682" i="4"/>
  <c r="AA2681" i="4"/>
  <c r="Z2681" i="4"/>
  <c r="AA2680" i="4"/>
  <c r="Z2680" i="4"/>
  <c r="AA2679" i="4"/>
  <c r="Z2679" i="4"/>
  <c r="AA2678" i="4"/>
  <c r="Z2678" i="4"/>
  <c r="AA2677" i="4"/>
  <c r="Z2677" i="4"/>
  <c r="AA2676" i="4"/>
  <c r="Z2676" i="4"/>
  <c r="AA2675" i="4"/>
  <c r="Z2675" i="4"/>
  <c r="AA2674" i="4"/>
  <c r="Z2674" i="4"/>
  <c r="AA2673" i="4"/>
  <c r="Z2673" i="4"/>
  <c r="AA2672" i="4"/>
  <c r="Z2672" i="4"/>
  <c r="AA2671" i="4"/>
  <c r="Z2671" i="4"/>
  <c r="AA2670" i="4"/>
  <c r="Z2670" i="4"/>
  <c r="AA2669" i="4"/>
  <c r="Z2669" i="4"/>
  <c r="AA2668" i="4"/>
  <c r="Z2668" i="4"/>
  <c r="AA2667" i="4"/>
  <c r="Z2667" i="4"/>
  <c r="AA2666" i="4"/>
  <c r="Z2666" i="4"/>
  <c r="AA2665" i="4"/>
  <c r="Z2665" i="4"/>
  <c r="AA2664" i="4"/>
  <c r="Z2664" i="4"/>
  <c r="AA2663" i="4"/>
  <c r="Z2663" i="4"/>
  <c r="AA2662" i="4"/>
  <c r="Z2662" i="4"/>
  <c r="AA2661" i="4"/>
  <c r="Z2661" i="4"/>
  <c r="AA2660" i="4"/>
  <c r="Z2660" i="4"/>
  <c r="AA2659" i="4"/>
  <c r="Z2659" i="4"/>
  <c r="AA2658" i="4"/>
  <c r="Z2658" i="4"/>
  <c r="AA2657" i="4"/>
  <c r="Z2657" i="4"/>
  <c r="AA2656" i="4"/>
  <c r="Z2656" i="4"/>
  <c r="AA2655" i="4"/>
  <c r="Z2655" i="4"/>
  <c r="AA2654" i="4"/>
  <c r="Z2654" i="4"/>
  <c r="AA2653" i="4"/>
  <c r="Z2653" i="4"/>
  <c r="AA2652" i="4"/>
  <c r="Z2652" i="4"/>
  <c r="AA2651" i="4"/>
  <c r="Z2651" i="4"/>
  <c r="AA2650" i="4"/>
  <c r="Z2650" i="4"/>
  <c r="AA2649" i="4"/>
  <c r="Z2649" i="4"/>
  <c r="AA2648" i="4"/>
  <c r="Z2648" i="4"/>
  <c r="AA2647" i="4"/>
  <c r="Z2647" i="4"/>
  <c r="AA2646" i="4"/>
  <c r="Z2646" i="4"/>
  <c r="AA2645" i="4"/>
  <c r="Z2645" i="4"/>
  <c r="AA2644" i="4"/>
  <c r="Z2644" i="4"/>
  <c r="AA2643" i="4"/>
  <c r="Z2643" i="4"/>
  <c r="AA2642" i="4"/>
  <c r="Z2642" i="4"/>
  <c r="AA2641" i="4"/>
  <c r="Z2641" i="4"/>
  <c r="AA2640" i="4"/>
  <c r="Z2640" i="4"/>
  <c r="AA2639" i="4"/>
  <c r="Z2639" i="4"/>
  <c r="AA2638" i="4"/>
  <c r="Z2638" i="4"/>
  <c r="AA2637" i="4"/>
  <c r="Z2637" i="4"/>
  <c r="AA2636" i="4"/>
  <c r="Z2636" i="4"/>
  <c r="AA2635" i="4"/>
  <c r="Z2635" i="4"/>
  <c r="AA2634" i="4"/>
  <c r="Z2634" i="4"/>
  <c r="AA2633" i="4"/>
  <c r="Z2633" i="4"/>
  <c r="AA2632" i="4"/>
  <c r="Z2632" i="4"/>
  <c r="AA2631" i="4"/>
  <c r="Z2631" i="4"/>
  <c r="AA2630" i="4"/>
  <c r="Z2630" i="4"/>
  <c r="AA2629" i="4"/>
  <c r="Z2629" i="4"/>
  <c r="AA2628" i="4"/>
  <c r="Z2628" i="4"/>
  <c r="AA2627" i="4"/>
  <c r="Z2627" i="4"/>
  <c r="AA2626" i="4"/>
  <c r="Z2626" i="4"/>
  <c r="AA2625" i="4"/>
  <c r="Z2625" i="4"/>
  <c r="AA2624" i="4"/>
  <c r="Z2624" i="4"/>
  <c r="AA2623" i="4"/>
  <c r="Z2623" i="4"/>
  <c r="AA2622" i="4"/>
  <c r="Z2622" i="4"/>
  <c r="AA2621" i="4"/>
  <c r="Z2621" i="4"/>
  <c r="AA2620" i="4"/>
  <c r="Z2620" i="4"/>
  <c r="AA2619" i="4"/>
  <c r="Z2619" i="4"/>
  <c r="AA2618" i="4"/>
  <c r="Z2618" i="4"/>
  <c r="AA2617" i="4"/>
  <c r="Z2617" i="4"/>
  <c r="AA2616" i="4"/>
  <c r="Z2616" i="4"/>
  <c r="AA2615" i="4"/>
  <c r="Z2615" i="4"/>
  <c r="AA2614" i="4"/>
  <c r="Z2614" i="4"/>
  <c r="AA2613" i="4"/>
  <c r="Z2613" i="4"/>
  <c r="AA2612" i="4"/>
  <c r="Z2612" i="4"/>
  <c r="AA2611" i="4"/>
  <c r="Z2611" i="4"/>
  <c r="AA2610" i="4"/>
  <c r="Z2610" i="4"/>
  <c r="AA2609" i="4"/>
  <c r="Z2609" i="4"/>
  <c r="AA2608" i="4"/>
  <c r="Z2608" i="4"/>
  <c r="AA2607" i="4"/>
  <c r="Z2607" i="4"/>
  <c r="AA2606" i="4"/>
  <c r="Z2606" i="4"/>
  <c r="AA2605" i="4"/>
  <c r="Z2605" i="4"/>
  <c r="AA2604" i="4"/>
  <c r="Z2604" i="4"/>
  <c r="AA2603" i="4"/>
  <c r="Z2603" i="4"/>
  <c r="AA2602" i="4"/>
  <c r="Z2602" i="4"/>
  <c r="AA2601" i="4"/>
  <c r="Z2601" i="4"/>
  <c r="AA2600" i="4"/>
  <c r="Z2600" i="4"/>
  <c r="AA2599" i="4"/>
  <c r="Z2599" i="4"/>
  <c r="AA2598" i="4"/>
  <c r="Z2598" i="4"/>
  <c r="AA2597" i="4"/>
  <c r="Z2597" i="4"/>
  <c r="AA2596" i="4"/>
  <c r="Z2596" i="4"/>
  <c r="AA2595" i="4"/>
  <c r="Z2595" i="4"/>
  <c r="AA2594" i="4"/>
  <c r="Z2594" i="4"/>
  <c r="AA2593" i="4"/>
  <c r="Z2593" i="4"/>
  <c r="AA2592" i="4"/>
  <c r="Z2592" i="4"/>
  <c r="AA2591" i="4"/>
  <c r="Z2591" i="4"/>
  <c r="AA2590" i="4"/>
  <c r="Z2590" i="4"/>
  <c r="AA2589" i="4"/>
  <c r="Z2589" i="4"/>
  <c r="AA2588" i="4"/>
  <c r="Z2588" i="4"/>
  <c r="AA2587" i="4"/>
  <c r="Z2587" i="4"/>
  <c r="AA2586" i="4"/>
  <c r="Z2586" i="4"/>
  <c r="AA2585" i="4"/>
  <c r="Z2585" i="4"/>
  <c r="AA2584" i="4"/>
  <c r="Z2584" i="4"/>
  <c r="AA2583" i="4"/>
  <c r="Z2583" i="4"/>
  <c r="AA2582" i="4"/>
  <c r="Z2582" i="4"/>
  <c r="AA2581" i="4"/>
  <c r="Z2581" i="4"/>
  <c r="AA2580" i="4"/>
  <c r="Z2580" i="4"/>
  <c r="AA2579" i="4"/>
  <c r="Z2579" i="4"/>
  <c r="AA2578" i="4"/>
  <c r="Z2578" i="4"/>
  <c r="AA2577" i="4"/>
  <c r="Z2577" i="4"/>
  <c r="AA2576" i="4"/>
  <c r="Z2576" i="4"/>
  <c r="AA2575" i="4"/>
  <c r="Z2575" i="4"/>
  <c r="AA2574" i="4"/>
  <c r="Z2574" i="4"/>
  <c r="AA2573" i="4"/>
  <c r="Z2573" i="4"/>
  <c r="AA2572" i="4"/>
  <c r="Z2572" i="4"/>
  <c r="AA2571" i="4"/>
  <c r="Z2571" i="4"/>
  <c r="AA2570" i="4"/>
  <c r="Z2570" i="4"/>
  <c r="AA2569" i="4"/>
  <c r="Z2569" i="4"/>
  <c r="AA2568" i="4"/>
  <c r="Z2568" i="4"/>
  <c r="AA2567" i="4"/>
  <c r="Z2567" i="4"/>
  <c r="AA2566" i="4"/>
  <c r="Z2566" i="4"/>
  <c r="AA2565" i="4"/>
  <c r="Z2565" i="4"/>
  <c r="AA2564" i="4"/>
  <c r="Z2564" i="4"/>
  <c r="AA2563" i="4"/>
  <c r="Z2563" i="4"/>
  <c r="AA2562" i="4"/>
  <c r="Z2562" i="4"/>
  <c r="AA2561" i="4"/>
  <c r="Z2561" i="4"/>
  <c r="AA2560" i="4"/>
  <c r="Z2560" i="4"/>
  <c r="AA2559" i="4"/>
  <c r="Z2559" i="4"/>
  <c r="AA2558" i="4"/>
  <c r="Z2558" i="4"/>
  <c r="AA2557" i="4"/>
  <c r="Z2557" i="4"/>
  <c r="AA2556" i="4"/>
  <c r="Z2556" i="4"/>
  <c r="AA2555" i="4"/>
  <c r="Z2555" i="4"/>
  <c r="AA2554" i="4"/>
  <c r="Z2554" i="4"/>
  <c r="AA2553" i="4"/>
  <c r="Z2553" i="4"/>
  <c r="AA2552" i="4"/>
  <c r="Z2552" i="4"/>
  <c r="AA2551" i="4"/>
  <c r="Z2551" i="4"/>
  <c r="AA2550" i="4"/>
  <c r="Z2550" i="4"/>
  <c r="AA2549" i="4"/>
  <c r="Z2549" i="4"/>
  <c r="AA2548" i="4"/>
  <c r="Z2548" i="4"/>
  <c r="AA2547" i="4"/>
  <c r="Z2547" i="4"/>
  <c r="AA2546" i="4"/>
  <c r="Z2546" i="4"/>
  <c r="AA2545" i="4"/>
  <c r="Z2545" i="4"/>
  <c r="AA2544" i="4"/>
  <c r="Z2544" i="4"/>
  <c r="AA2543" i="4"/>
  <c r="Z2543" i="4"/>
  <c r="AA2542" i="4"/>
  <c r="Z2542" i="4"/>
  <c r="AA2541" i="4"/>
  <c r="Z2541" i="4"/>
  <c r="AA2540" i="4"/>
  <c r="Z2540" i="4"/>
  <c r="AA2539" i="4"/>
  <c r="Z2539" i="4"/>
  <c r="AA2538" i="4"/>
  <c r="Z2538" i="4"/>
  <c r="AA2537" i="4"/>
  <c r="Z2537" i="4"/>
  <c r="AA2536" i="4"/>
  <c r="Z2536" i="4"/>
  <c r="AA2535" i="4"/>
  <c r="Z2535" i="4"/>
  <c r="AA2534" i="4"/>
  <c r="Z2534" i="4"/>
  <c r="AA2533" i="4"/>
  <c r="Z2533" i="4"/>
  <c r="AA2532" i="4"/>
  <c r="Z2532" i="4"/>
  <c r="AA2531" i="4"/>
  <c r="Z2531" i="4"/>
  <c r="AA2530" i="4"/>
  <c r="Z2530" i="4"/>
  <c r="AA2529" i="4"/>
  <c r="Z2529" i="4"/>
  <c r="AA2528" i="4"/>
  <c r="Z2528" i="4"/>
  <c r="AA2527" i="4"/>
  <c r="Z2527" i="4"/>
  <c r="AA2526" i="4"/>
  <c r="Z2526" i="4"/>
  <c r="AA2525" i="4"/>
  <c r="Z2525" i="4"/>
  <c r="AA2524" i="4"/>
  <c r="Z2524" i="4"/>
  <c r="AA2523" i="4"/>
  <c r="Z2523" i="4"/>
  <c r="AA2522" i="4"/>
  <c r="Z2522" i="4"/>
  <c r="AA2521" i="4"/>
  <c r="Z2521" i="4"/>
  <c r="AA2520" i="4"/>
  <c r="Z2520" i="4"/>
  <c r="AA2519" i="4"/>
  <c r="Z2519" i="4"/>
  <c r="AA2518" i="4"/>
  <c r="Z2518" i="4"/>
  <c r="AA2517" i="4"/>
  <c r="Z2517" i="4"/>
  <c r="AA2516" i="4"/>
  <c r="Z2516" i="4"/>
  <c r="AA2515" i="4"/>
  <c r="Z2515" i="4"/>
  <c r="AA2514" i="4"/>
  <c r="Z2514" i="4"/>
  <c r="AA2513" i="4"/>
  <c r="Z2513" i="4"/>
  <c r="AA2512" i="4"/>
  <c r="Z2512" i="4"/>
  <c r="AA2511" i="4"/>
  <c r="Z2511" i="4"/>
  <c r="AA2510" i="4"/>
  <c r="Z2510" i="4"/>
  <c r="AA2509" i="4"/>
  <c r="Z2509" i="4"/>
  <c r="AA2508" i="4"/>
  <c r="Z2508" i="4"/>
  <c r="AA2507" i="4"/>
  <c r="Z2507" i="4"/>
  <c r="AA2506" i="4"/>
  <c r="Z2506" i="4"/>
  <c r="AA2505" i="4"/>
  <c r="Z2505" i="4"/>
  <c r="AA2504" i="4"/>
  <c r="Z2504" i="4"/>
  <c r="AA2503" i="4"/>
  <c r="Z2503" i="4"/>
  <c r="AA2502" i="4"/>
  <c r="Z2502" i="4"/>
  <c r="AA2501" i="4"/>
  <c r="Z2501" i="4"/>
  <c r="AA2500" i="4"/>
  <c r="Z2500" i="4"/>
  <c r="AA2499" i="4"/>
  <c r="Z2499" i="4"/>
  <c r="AA2498" i="4"/>
  <c r="Z2498" i="4"/>
  <c r="AA2497" i="4"/>
  <c r="Z2497" i="4"/>
  <c r="AA2496" i="4"/>
  <c r="Z2496" i="4"/>
  <c r="AA2495" i="4"/>
  <c r="Z2495" i="4"/>
  <c r="AA2494" i="4"/>
  <c r="Z2494" i="4"/>
  <c r="AA2493" i="4"/>
  <c r="Z2493" i="4"/>
  <c r="AA2492" i="4"/>
  <c r="Z2492" i="4"/>
  <c r="AA2491" i="4"/>
  <c r="Z2491" i="4"/>
  <c r="AA2490" i="4"/>
  <c r="Z2490" i="4"/>
  <c r="AA2489" i="4"/>
  <c r="Z2489" i="4"/>
  <c r="AA2488" i="4"/>
  <c r="Z2488" i="4"/>
  <c r="AA2487" i="4"/>
  <c r="Z2487" i="4"/>
  <c r="AA2486" i="4"/>
  <c r="Z2486" i="4"/>
  <c r="AA2485" i="4"/>
  <c r="Z2485" i="4"/>
  <c r="AA2484" i="4"/>
  <c r="Z2484" i="4"/>
  <c r="AA2483" i="4"/>
  <c r="Z2483" i="4"/>
  <c r="AA2482" i="4"/>
  <c r="Z2482" i="4"/>
  <c r="AA2481" i="4"/>
  <c r="Z2481" i="4"/>
  <c r="AA2480" i="4"/>
  <c r="Z2480" i="4"/>
  <c r="AA2479" i="4"/>
  <c r="Z2479" i="4"/>
  <c r="AA2478" i="4"/>
  <c r="Z2478" i="4"/>
  <c r="AA2477" i="4"/>
  <c r="Z2477" i="4"/>
  <c r="AA2476" i="4"/>
  <c r="Z2476" i="4"/>
  <c r="AA2475" i="4"/>
  <c r="Z2475" i="4"/>
  <c r="AA2474" i="4"/>
  <c r="Z2474" i="4"/>
  <c r="AA2473" i="4"/>
  <c r="Z2473" i="4"/>
  <c r="AA2472" i="4"/>
  <c r="Z2472" i="4"/>
  <c r="AA2471" i="4"/>
  <c r="Z2471" i="4"/>
  <c r="AA2470" i="4"/>
  <c r="Z2470" i="4"/>
  <c r="AA2469" i="4"/>
  <c r="Z2469" i="4"/>
  <c r="AA2468" i="4"/>
  <c r="Z2468" i="4"/>
  <c r="AA2467" i="4"/>
  <c r="Z2467" i="4"/>
  <c r="AA2466" i="4"/>
  <c r="Z2466" i="4"/>
  <c r="AA2465" i="4"/>
  <c r="Z2465" i="4"/>
  <c r="AA2464" i="4"/>
  <c r="Z2464" i="4"/>
  <c r="AA2463" i="4"/>
  <c r="Z2463" i="4"/>
  <c r="AA2462" i="4"/>
  <c r="Z2462" i="4"/>
  <c r="AA2461" i="4"/>
  <c r="Z2461" i="4"/>
  <c r="AA2460" i="4"/>
  <c r="Z2460" i="4"/>
  <c r="AA2459" i="4"/>
  <c r="Z2459" i="4"/>
  <c r="AA2458" i="4"/>
  <c r="Z2458" i="4"/>
  <c r="AA2457" i="4"/>
  <c r="Z2457" i="4"/>
  <c r="AA2456" i="4"/>
  <c r="Z2456" i="4"/>
  <c r="AA2455" i="4"/>
  <c r="Z2455" i="4"/>
  <c r="AA2454" i="4"/>
  <c r="Z2454" i="4"/>
  <c r="AA2453" i="4"/>
  <c r="Z2453" i="4"/>
  <c r="AA2452" i="4"/>
  <c r="Z2452" i="4"/>
  <c r="AA2451" i="4"/>
  <c r="Z2451" i="4"/>
  <c r="AA2450" i="4"/>
  <c r="Z2450" i="4"/>
  <c r="AA2449" i="4"/>
  <c r="Z2449" i="4"/>
  <c r="AA2448" i="4"/>
  <c r="Z2448" i="4"/>
  <c r="AA2447" i="4"/>
  <c r="Z2447" i="4"/>
  <c r="AA2446" i="4"/>
  <c r="Z2446" i="4"/>
  <c r="AA2445" i="4"/>
  <c r="Z2445" i="4"/>
  <c r="AA2444" i="4"/>
  <c r="Z2444" i="4"/>
  <c r="AA2443" i="4"/>
  <c r="Z2443" i="4"/>
  <c r="AA2442" i="4"/>
  <c r="Z2442" i="4"/>
  <c r="AA2441" i="4"/>
  <c r="Z2441" i="4"/>
  <c r="AA2440" i="4"/>
  <c r="Z2440" i="4"/>
  <c r="AA2439" i="4"/>
  <c r="Z2439" i="4"/>
  <c r="AA2438" i="4"/>
  <c r="Z2438" i="4"/>
  <c r="AA2437" i="4"/>
  <c r="Z2437" i="4"/>
  <c r="AA2436" i="4"/>
  <c r="Z2436" i="4"/>
  <c r="AA2435" i="4"/>
  <c r="Z2435" i="4"/>
  <c r="AA2434" i="4"/>
  <c r="Z2434" i="4"/>
  <c r="AA2433" i="4"/>
  <c r="Z2433" i="4"/>
  <c r="AA2432" i="4"/>
  <c r="Z2432" i="4"/>
  <c r="AA2431" i="4"/>
  <c r="Z2431" i="4"/>
  <c r="AA2430" i="4"/>
  <c r="Z2430" i="4"/>
  <c r="AA2429" i="4"/>
  <c r="Z2429" i="4"/>
  <c r="AA2428" i="4"/>
  <c r="Z2428" i="4"/>
  <c r="AA2427" i="4"/>
  <c r="Z2427" i="4"/>
  <c r="AA2426" i="4"/>
  <c r="Z2426" i="4"/>
  <c r="AA2425" i="4"/>
  <c r="Z2425" i="4"/>
  <c r="AA2424" i="4"/>
  <c r="Z2424" i="4"/>
  <c r="AA2423" i="4"/>
  <c r="Z2423" i="4"/>
  <c r="AA2422" i="4"/>
  <c r="Z2422" i="4"/>
  <c r="AA2421" i="4"/>
  <c r="Z2421" i="4"/>
  <c r="AA2420" i="4"/>
  <c r="Z2420" i="4"/>
  <c r="AA2419" i="4"/>
  <c r="Z2419" i="4"/>
  <c r="AA2418" i="4"/>
  <c r="Z2418" i="4"/>
  <c r="AA2417" i="4"/>
  <c r="Z2417" i="4"/>
  <c r="AA2416" i="4"/>
  <c r="Z2416" i="4"/>
  <c r="AA2415" i="4"/>
  <c r="Z2415" i="4"/>
  <c r="AA2414" i="4"/>
  <c r="Z2414" i="4"/>
  <c r="AA2413" i="4"/>
  <c r="Z2413" i="4"/>
  <c r="AA2412" i="4"/>
  <c r="Z2412" i="4"/>
  <c r="AA2411" i="4"/>
  <c r="Z2411" i="4"/>
  <c r="AA2410" i="4"/>
  <c r="Z2410" i="4"/>
  <c r="AA2409" i="4"/>
  <c r="Z2409" i="4"/>
  <c r="AA2408" i="4"/>
  <c r="Z2408" i="4"/>
  <c r="AA2407" i="4"/>
  <c r="Z2407" i="4"/>
  <c r="AA2406" i="4"/>
  <c r="Z2406" i="4"/>
  <c r="AA2405" i="4"/>
  <c r="Z2405" i="4"/>
  <c r="AA2404" i="4"/>
  <c r="Z2404" i="4"/>
  <c r="AA2403" i="4"/>
  <c r="Z2403" i="4"/>
  <c r="AA2402" i="4"/>
  <c r="Z2402" i="4"/>
  <c r="AA2401" i="4"/>
  <c r="Z2401" i="4"/>
  <c r="AA2400" i="4"/>
  <c r="Z2400" i="4"/>
  <c r="AA2399" i="4"/>
  <c r="Z2399" i="4"/>
  <c r="AA2398" i="4"/>
  <c r="Z2398" i="4"/>
  <c r="AA2397" i="4"/>
  <c r="Z2397" i="4"/>
  <c r="AA2396" i="4"/>
  <c r="Z2396" i="4"/>
  <c r="AA2395" i="4"/>
  <c r="Z2395" i="4"/>
  <c r="AA2394" i="4"/>
  <c r="Z2394" i="4"/>
  <c r="AA2393" i="4"/>
  <c r="Z2393" i="4"/>
  <c r="AA2392" i="4"/>
  <c r="Z2392" i="4"/>
  <c r="AA2391" i="4"/>
  <c r="Z2391" i="4"/>
  <c r="AA2390" i="4"/>
  <c r="Z2390" i="4"/>
  <c r="AA2389" i="4"/>
  <c r="Z2389" i="4"/>
  <c r="AA2388" i="4"/>
  <c r="Z2388" i="4"/>
  <c r="AA2387" i="4"/>
  <c r="Z2387" i="4"/>
  <c r="AA2386" i="4"/>
  <c r="Z2386" i="4"/>
  <c r="AA2385" i="4"/>
  <c r="Z2385" i="4"/>
  <c r="AA2384" i="4"/>
  <c r="Z2384" i="4"/>
  <c r="AA2383" i="4"/>
  <c r="Z2383" i="4"/>
  <c r="AA2382" i="4"/>
  <c r="Z2382" i="4"/>
  <c r="AA2381" i="4"/>
  <c r="Z2381" i="4"/>
  <c r="AA2380" i="4"/>
  <c r="Z2380" i="4"/>
  <c r="AA2379" i="4"/>
  <c r="Z2379" i="4"/>
  <c r="AA2378" i="4"/>
  <c r="Z2378" i="4"/>
  <c r="AA2377" i="4"/>
  <c r="Z2377" i="4"/>
  <c r="AA2376" i="4"/>
  <c r="Z2376" i="4"/>
  <c r="AA2375" i="4"/>
  <c r="Z2375" i="4"/>
  <c r="AA2374" i="4"/>
  <c r="Z2374" i="4"/>
  <c r="AA2373" i="4"/>
  <c r="Z2373" i="4"/>
  <c r="AA2372" i="4"/>
  <c r="Z2372" i="4"/>
  <c r="AA2371" i="4"/>
  <c r="Z2371" i="4"/>
  <c r="AA2370" i="4"/>
  <c r="Z2370" i="4"/>
  <c r="AA2369" i="4"/>
  <c r="Z2369" i="4"/>
  <c r="AA2368" i="4"/>
  <c r="Z2368" i="4"/>
  <c r="AA2367" i="4"/>
  <c r="Z2367" i="4"/>
  <c r="AA2366" i="4"/>
  <c r="Z2366" i="4"/>
  <c r="AA2365" i="4"/>
  <c r="Z2365" i="4"/>
  <c r="AA2364" i="4"/>
  <c r="Z2364" i="4"/>
  <c r="AA2363" i="4"/>
  <c r="Z2363" i="4"/>
  <c r="AA2362" i="4"/>
  <c r="Z2362" i="4"/>
  <c r="AA2361" i="4"/>
  <c r="Z2361" i="4"/>
  <c r="AA2360" i="4"/>
  <c r="Z2360" i="4"/>
  <c r="AA2359" i="4"/>
  <c r="Z2359" i="4"/>
  <c r="AA2358" i="4"/>
  <c r="Z2358" i="4"/>
  <c r="AA2357" i="4"/>
  <c r="Z2357" i="4"/>
  <c r="AA2356" i="4"/>
  <c r="Z2356" i="4"/>
  <c r="AA2355" i="4"/>
  <c r="Z2355" i="4"/>
  <c r="AA2354" i="4"/>
  <c r="Z2354" i="4"/>
  <c r="AA2353" i="4"/>
  <c r="Z2353" i="4"/>
  <c r="AA2352" i="4"/>
  <c r="Z2352" i="4"/>
  <c r="AA2351" i="4"/>
  <c r="Z2351" i="4"/>
  <c r="AA2350" i="4"/>
  <c r="Z2350" i="4"/>
  <c r="AA2349" i="4"/>
  <c r="Z2349" i="4"/>
  <c r="AA2348" i="4"/>
  <c r="Z2348" i="4"/>
  <c r="AA2347" i="4"/>
  <c r="Z2347" i="4"/>
  <c r="AA2346" i="4"/>
  <c r="Z2346" i="4"/>
  <c r="AA2345" i="4"/>
  <c r="Z2345" i="4"/>
  <c r="AA2344" i="4"/>
  <c r="Z2344" i="4"/>
  <c r="AA2343" i="4"/>
  <c r="Z2343" i="4"/>
  <c r="AA2342" i="4"/>
  <c r="Z2342" i="4"/>
  <c r="AA2341" i="4"/>
  <c r="Z2341" i="4"/>
  <c r="AA2340" i="4"/>
  <c r="Z2340" i="4"/>
  <c r="AA2339" i="4"/>
  <c r="Z2339" i="4"/>
  <c r="AA2338" i="4"/>
  <c r="Z2338" i="4"/>
  <c r="AA2337" i="4"/>
  <c r="Z2337" i="4"/>
  <c r="AA2336" i="4"/>
  <c r="Z2336" i="4"/>
  <c r="AA2335" i="4"/>
  <c r="Z2335" i="4"/>
  <c r="AA2334" i="4"/>
  <c r="Z2334" i="4"/>
  <c r="AA2333" i="4"/>
  <c r="Z2333" i="4"/>
  <c r="AA2332" i="4"/>
  <c r="Z2332" i="4"/>
  <c r="AA2331" i="4"/>
  <c r="Z2331" i="4"/>
  <c r="AA2330" i="4"/>
  <c r="Z2330" i="4"/>
  <c r="AA2329" i="4"/>
  <c r="Z2329" i="4"/>
  <c r="AA2328" i="4"/>
  <c r="Z2328" i="4"/>
  <c r="AA2327" i="4"/>
  <c r="Z2327" i="4"/>
  <c r="AA2326" i="4"/>
  <c r="Z2326" i="4"/>
  <c r="AA2325" i="4"/>
  <c r="Z2325" i="4"/>
  <c r="AA2324" i="4"/>
  <c r="Z2324" i="4"/>
  <c r="AA2323" i="4"/>
  <c r="Z2323" i="4"/>
  <c r="AA2322" i="4"/>
  <c r="Z2322" i="4"/>
  <c r="AA2321" i="4"/>
  <c r="Z2321" i="4"/>
  <c r="AA2320" i="4"/>
  <c r="Z2320" i="4"/>
  <c r="AA2319" i="4"/>
  <c r="Z2319" i="4"/>
  <c r="AA2318" i="4"/>
  <c r="Z2318" i="4"/>
  <c r="AA2317" i="4"/>
  <c r="Z2317" i="4"/>
  <c r="AA2316" i="4"/>
  <c r="Z2316" i="4"/>
  <c r="AA2315" i="4"/>
  <c r="Z2315" i="4"/>
  <c r="AA2314" i="4"/>
  <c r="Z2314" i="4"/>
  <c r="AA2313" i="4"/>
  <c r="Z2313" i="4"/>
  <c r="AA2312" i="4"/>
  <c r="Z2312" i="4"/>
  <c r="AA2311" i="4"/>
  <c r="Z2311" i="4"/>
  <c r="AA2310" i="4"/>
  <c r="Z2310" i="4"/>
  <c r="AA2309" i="4"/>
  <c r="Z2309" i="4"/>
  <c r="AA2308" i="4"/>
  <c r="Z2308" i="4"/>
  <c r="AA2307" i="4"/>
  <c r="Z2307" i="4"/>
  <c r="AA2306" i="4"/>
  <c r="Z2306" i="4"/>
  <c r="AA2305" i="4"/>
  <c r="Z2305" i="4"/>
  <c r="AA2304" i="4"/>
  <c r="Z2304" i="4"/>
  <c r="AA2303" i="4"/>
  <c r="Z2303" i="4"/>
  <c r="AA2302" i="4"/>
  <c r="Z2302" i="4"/>
  <c r="AA2301" i="4"/>
  <c r="Z2301" i="4"/>
  <c r="AA2300" i="4"/>
  <c r="Z2300" i="4"/>
  <c r="AA2299" i="4"/>
  <c r="Z2299" i="4"/>
  <c r="AA2298" i="4"/>
  <c r="Z2298" i="4"/>
  <c r="AA2297" i="4"/>
  <c r="Z2297" i="4"/>
  <c r="AA2296" i="4"/>
  <c r="Z2296" i="4"/>
  <c r="AA2295" i="4"/>
  <c r="Z2295" i="4"/>
  <c r="AA2294" i="4"/>
  <c r="Z2294" i="4"/>
  <c r="AA2293" i="4"/>
  <c r="Z2293" i="4"/>
  <c r="AA2292" i="4"/>
  <c r="Z2292" i="4"/>
  <c r="AA2291" i="4"/>
  <c r="Z2291" i="4"/>
  <c r="AA2290" i="4"/>
  <c r="Z2290" i="4"/>
  <c r="AA2289" i="4"/>
  <c r="Z2289" i="4"/>
  <c r="AA2288" i="4"/>
  <c r="Z2288" i="4"/>
  <c r="AA2287" i="4"/>
  <c r="Z2287" i="4"/>
  <c r="AA2286" i="4"/>
  <c r="Z2286" i="4"/>
  <c r="AA2285" i="4"/>
  <c r="Z2285" i="4"/>
  <c r="AA2284" i="4"/>
  <c r="Z2284" i="4"/>
  <c r="AA2283" i="4"/>
  <c r="Z2283" i="4"/>
  <c r="AA2282" i="4"/>
  <c r="Z2282" i="4"/>
  <c r="AA2281" i="4"/>
  <c r="Z2281" i="4"/>
  <c r="AA2280" i="4"/>
  <c r="Z2280" i="4"/>
  <c r="AA2279" i="4"/>
  <c r="Z2279" i="4"/>
  <c r="AA2278" i="4"/>
  <c r="Z2278" i="4"/>
  <c r="AA2277" i="4"/>
  <c r="Z2277" i="4"/>
  <c r="AA2276" i="4"/>
  <c r="Z2276" i="4"/>
  <c r="AA2275" i="4"/>
  <c r="Z2275" i="4"/>
  <c r="AA2274" i="4"/>
  <c r="Z2274" i="4"/>
  <c r="AA2273" i="4"/>
  <c r="Z2273" i="4"/>
  <c r="AA2272" i="4"/>
  <c r="Z2272" i="4"/>
  <c r="AA2271" i="4"/>
  <c r="Z2271" i="4"/>
  <c r="AA2270" i="4"/>
  <c r="Z2270" i="4"/>
  <c r="AA2269" i="4"/>
  <c r="Z2269" i="4"/>
  <c r="AA2268" i="4"/>
  <c r="Z2268" i="4"/>
  <c r="AA2267" i="4"/>
  <c r="Z2267" i="4"/>
  <c r="AA2266" i="4"/>
  <c r="Z2266" i="4"/>
  <c r="AA2265" i="4"/>
  <c r="Z2265" i="4"/>
  <c r="AA2264" i="4"/>
  <c r="Z2264" i="4"/>
  <c r="AA2263" i="4"/>
  <c r="Z2263" i="4"/>
  <c r="AA2262" i="4"/>
  <c r="Z2262" i="4"/>
  <c r="AA2261" i="4"/>
  <c r="Z2261" i="4"/>
  <c r="AA2260" i="4"/>
  <c r="Z2260" i="4"/>
  <c r="AA2259" i="4"/>
  <c r="Z2259" i="4"/>
  <c r="AA2258" i="4"/>
  <c r="Z2258" i="4"/>
  <c r="AA2257" i="4"/>
  <c r="Z2257" i="4"/>
  <c r="AA2256" i="4"/>
  <c r="Z2256" i="4"/>
  <c r="AA2255" i="4"/>
  <c r="Z2255" i="4"/>
  <c r="AA2254" i="4"/>
  <c r="Z2254" i="4"/>
  <c r="AA2253" i="4"/>
  <c r="Z2253" i="4"/>
  <c r="AA2252" i="4"/>
  <c r="Z2252" i="4"/>
  <c r="AA2251" i="4"/>
  <c r="Z2251" i="4"/>
  <c r="AA2250" i="4"/>
  <c r="Z2250" i="4"/>
  <c r="AA2249" i="4"/>
  <c r="Z2249" i="4"/>
  <c r="AA2248" i="4"/>
  <c r="Z2248" i="4"/>
  <c r="AA2247" i="4"/>
  <c r="Z2247" i="4"/>
  <c r="AA2246" i="4"/>
  <c r="Z2246" i="4"/>
  <c r="AA2245" i="4"/>
  <c r="Z2245" i="4"/>
  <c r="AA2244" i="4"/>
  <c r="Z2244" i="4"/>
  <c r="AA2243" i="4"/>
  <c r="Z2243" i="4"/>
  <c r="AA2242" i="4"/>
  <c r="Z2242" i="4"/>
  <c r="AA2241" i="4"/>
  <c r="Z2241" i="4"/>
  <c r="AA2240" i="4"/>
  <c r="Z2240" i="4"/>
  <c r="AA2239" i="4"/>
  <c r="Z2239" i="4"/>
  <c r="AA2238" i="4"/>
  <c r="Z2238" i="4"/>
  <c r="AA2237" i="4"/>
  <c r="Z2237" i="4"/>
  <c r="AA2236" i="4"/>
  <c r="Z2236" i="4"/>
  <c r="AA2235" i="4"/>
  <c r="Z2235" i="4"/>
  <c r="AA2234" i="4"/>
  <c r="Z2234" i="4"/>
  <c r="AA2233" i="4"/>
  <c r="Z2233" i="4"/>
  <c r="AA2232" i="4"/>
  <c r="Z2232" i="4"/>
  <c r="AA2231" i="4"/>
  <c r="Z2231" i="4"/>
  <c r="AA2230" i="4"/>
  <c r="Z2230" i="4"/>
  <c r="AA2229" i="4"/>
  <c r="Z2229" i="4"/>
  <c r="AA2228" i="4"/>
  <c r="Z2228" i="4"/>
  <c r="AA2227" i="4"/>
  <c r="Z2227" i="4"/>
  <c r="AA2226" i="4"/>
  <c r="Z2226" i="4"/>
  <c r="AA2225" i="4"/>
  <c r="Z2225" i="4"/>
  <c r="AA2224" i="4"/>
  <c r="Z2224" i="4"/>
  <c r="AA2223" i="4"/>
  <c r="Z2223" i="4"/>
  <c r="AA2222" i="4"/>
  <c r="Z2222" i="4"/>
  <c r="AA2221" i="4"/>
  <c r="Z2221" i="4"/>
  <c r="AA2220" i="4"/>
  <c r="Z2220" i="4"/>
  <c r="AA2219" i="4"/>
  <c r="Z2219" i="4"/>
  <c r="AA2218" i="4"/>
  <c r="Z2218" i="4"/>
  <c r="AA2217" i="4"/>
  <c r="Z2217" i="4"/>
  <c r="AA2216" i="4"/>
  <c r="Z2216" i="4"/>
  <c r="AA2215" i="4"/>
  <c r="Z2215" i="4"/>
  <c r="AA2214" i="4"/>
  <c r="Z2214" i="4"/>
  <c r="AA2213" i="4"/>
  <c r="Z2213" i="4"/>
  <c r="AA2212" i="4"/>
  <c r="Z2212" i="4"/>
  <c r="AA2211" i="4"/>
  <c r="Z2211" i="4"/>
  <c r="AA2210" i="4"/>
  <c r="Z2210" i="4"/>
  <c r="AA2209" i="4"/>
  <c r="Z2209" i="4"/>
  <c r="AA2208" i="4"/>
  <c r="Z2208" i="4"/>
  <c r="AA2207" i="4"/>
  <c r="Z2207" i="4"/>
  <c r="AA2206" i="4"/>
  <c r="Z2206" i="4"/>
  <c r="AA2205" i="4"/>
  <c r="Z2205" i="4"/>
  <c r="AA2204" i="4"/>
  <c r="Z2204" i="4"/>
  <c r="AA2203" i="4"/>
  <c r="Z2203" i="4"/>
  <c r="AA2202" i="4"/>
  <c r="Z2202" i="4"/>
  <c r="AA2201" i="4"/>
  <c r="Z2201" i="4"/>
  <c r="AA2200" i="4"/>
  <c r="Z2200" i="4"/>
  <c r="AA2199" i="4"/>
  <c r="Z2199" i="4"/>
  <c r="AA2198" i="4"/>
  <c r="Z2198" i="4"/>
  <c r="AA2197" i="4"/>
  <c r="Z2197" i="4"/>
  <c r="AA2196" i="4"/>
  <c r="Z2196" i="4"/>
  <c r="AA2195" i="4"/>
  <c r="Z2195" i="4"/>
  <c r="AA2194" i="4"/>
  <c r="Z2194" i="4"/>
  <c r="AA2193" i="4"/>
  <c r="Z2193" i="4"/>
  <c r="AA2192" i="4"/>
  <c r="Z2192" i="4"/>
  <c r="AA2191" i="4"/>
  <c r="Z2191" i="4"/>
  <c r="AA2190" i="4"/>
  <c r="Z2190" i="4"/>
  <c r="AA2189" i="4"/>
  <c r="Z2189" i="4"/>
  <c r="AA2188" i="4"/>
  <c r="Z2188" i="4"/>
  <c r="AA2187" i="4"/>
  <c r="Z2187" i="4"/>
  <c r="AA2186" i="4"/>
  <c r="Z2186" i="4"/>
  <c r="AA2185" i="4"/>
  <c r="Z2185" i="4"/>
  <c r="AA2184" i="4"/>
  <c r="Z2184" i="4"/>
  <c r="AA2183" i="4"/>
  <c r="Z2183" i="4"/>
  <c r="AA2182" i="4"/>
  <c r="Z2182" i="4"/>
  <c r="AA2181" i="4"/>
  <c r="Z2181" i="4"/>
  <c r="AA2180" i="4"/>
  <c r="Z2180" i="4"/>
  <c r="AA2179" i="4"/>
  <c r="Z2179" i="4"/>
  <c r="AA2178" i="4"/>
  <c r="Z2178" i="4"/>
  <c r="AA2177" i="4"/>
  <c r="Z2177" i="4"/>
  <c r="AA2176" i="4"/>
  <c r="Z2176" i="4"/>
  <c r="AA2175" i="4"/>
  <c r="Z2175" i="4"/>
  <c r="AA2174" i="4"/>
  <c r="Z2174" i="4"/>
  <c r="AA2173" i="4"/>
  <c r="Z2173" i="4"/>
  <c r="AA2172" i="4"/>
  <c r="Z2172" i="4"/>
  <c r="AA2171" i="4"/>
  <c r="Z2171" i="4"/>
  <c r="AA2170" i="4"/>
  <c r="Z2170" i="4"/>
  <c r="AA2169" i="4"/>
  <c r="Z2169" i="4"/>
  <c r="AA2168" i="4"/>
  <c r="Z2168" i="4"/>
  <c r="AA2167" i="4"/>
  <c r="Z2167" i="4"/>
  <c r="AA2166" i="4"/>
  <c r="Z2166" i="4"/>
  <c r="AA2165" i="4"/>
  <c r="Z2165" i="4"/>
  <c r="AA2164" i="4"/>
  <c r="Z2164" i="4"/>
  <c r="AA2163" i="4"/>
  <c r="Z2163" i="4"/>
  <c r="AA2162" i="4"/>
  <c r="Z2162" i="4"/>
  <c r="AA2161" i="4"/>
  <c r="Z2161" i="4"/>
  <c r="AA2160" i="4"/>
  <c r="Z2160" i="4"/>
  <c r="AA2159" i="4"/>
  <c r="Z2159" i="4"/>
  <c r="AA2158" i="4"/>
  <c r="Z2158" i="4"/>
  <c r="AA2157" i="4"/>
  <c r="Z2157" i="4"/>
  <c r="AA2156" i="4"/>
  <c r="Z2156" i="4"/>
  <c r="AA2155" i="4"/>
  <c r="Z2155" i="4"/>
  <c r="AA2154" i="4"/>
  <c r="Z2154" i="4"/>
  <c r="AA2153" i="4"/>
  <c r="Z2153" i="4"/>
  <c r="AA2152" i="4"/>
  <c r="Z2152" i="4"/>
  <c r="AA2151" i="4"/>
  <c r="Z2151" i="4"/>
  <c r="AA2150" i="4"/>
  <c r="Z2150" i="4"/>
  <c r="AA2149" i="4"/>
  <c r="Z2149" i="4"/>
  <c r="AA2148" i="4"/>
  <c r="Z2148" i="4"/>
  <c r="AA2147" i="4"/>
  <c r="Z2147" i="4"/>
  <c r="AA2146" i="4"/>
  <c r="Z2146" i="4"/>
  <c r="AA2145" i="4"/>
  <c r="Z2145" i="4"/>
  <c r="AA2144" i="4"/>
  <c r="Z2144" i="4"/>
  <c r="AA2143" i="4"/>
  <c r="Z2143" i="4"/>
  <c r="AA2142" i="4"/>
  <c r="Z2142" i="4"/>
  <c r="AA2141" i="4"/>
  <c r="Z2141" i="4"/>
  <c r="AA2140" i="4"/>
  <c r="Z2140" i="4"/>
  <c r="AA2139" i="4"/>
  <c r="Z2139" i="4"/>
  <c r="AA2138" i="4"/>
  <c r="Z2138" i="4"/>
  <c r="AA2137" i="4"/>
  <c r="Z2137" i="4"/>
  <c r="AA2136" i="4"/>
  <c r="Z2136" i="4"/>
  <c r="AA2135" i="4"/>
  <c r="Z2135" i="4"/>
  <c r="AA2134" i="4"/>
  <c r="Z2134" i="4"/>
  <c r="AA2133" i="4"/>
  <c r="Z2133" i="4"/>
  <c r="AA2132" i="4"/>
  <c r="Z2132" i="4"/>
  <c r="AA2131" i="4"/>
  <c r="Z2131" i="4"/>
  <c r="AA2130" i="4"/>
  <c r="Z2130" i="4"/>
  <c r="AA2129" i="4"/>
  <c r="Z2129" i="4"/>
  <c r="AA2128" i="4"/>
  <c r="Z2128" i="4"/>
  <c r="AA2127" i="4"/>
  <c r="Z2127" i="4"/>
  <c r="AA2126" i="4"/>
  <c r="Z2126" i="4"/>
  <c r="AA2125" i="4"/>
  <c r="Z2125" i="4"/>
  <c r="AA2124" i="4"/>
  <c r="Z2124" i="4"/>
  <c r="AA2123" i="4"/>
  <c r="Z2123" i="4"/>
  <c r="AA2122" i="4"/>
  <c r="Z2122" i="4"/>
  <c r="AA2121" i="4"/>
  <c r="Z2121" i="4"/>
  <c r="AA2120" i="4"/>
  <c r="Z2120" i="4"/>
  <c r="AA2119" i="4"/>
  <c r="Z2119" i="4"/>
  <c r="AA2118" i="4"/>
  <c r="Z2118" i="4"/>
  <c r="AA2117" i="4"/>
  <c r="Z2117" i="4"/>
  <c r="AA2116" i="4"/>
  <c r="Z2116" i="4"/>
  <c r="AA2115" i="4"/>
  <c r="Z2115" i="4"/>
  <c r="AA2114" i="4"/>
  <c r="Z2114" i="4"/>
  <c r="AA2113" i="4"/>
  <c r="Z2113" i="4"/>
  <c r="AA2112" i="4"/>
  <c r="Z2112" i="4"/>
  <c r="AA2111" i="4"/>
  <c r="Z2111" i="4"/>
  <c r="AA2110" i="4"/>
  <c r="Z2110" i="4"/>
  <c r="AA2109" i="4"/>
  <c r="Z2109" i="4"/>
  <c r="AA2108" i="4"/>
  <c r="Z2108" i="4"/>
  <c r="AA2107" i="4"/>
  <c r="Z2107" i="4"/>
  <c r="AA2106" i="4"/>
  <c r="Z2106" i="4"/>
  <c r="AA2105" i="4"/>
  <c r="Z2105" i="4"/>
  <c r="AA2104" i="4"/>
  <c r="Z2104" i="4"/>
  <c r="AA2103" i="4"/>
  <c r="Z2103" i="4"/>
  <c r="AA2102" i="4"/>
  <c r="Z2102" i="4"/>
  <c r="AA2101" i="4"/>
  <c r="Z2101" i="4"/>
  <c r="AA2100" i="4"/>
  <c r="Z2100" i="4"/>
  <c r="AA2099" i="4"/>
  <c r="Z2099" i="4"/>
  <c r="AA2098" i="4"/>
  <c r="Z2098" i="4"/>
  <c r="AA2097" i="4"/>
  <c r="Z2097" i="4"/>
  <c r="AA2096" i="4"/>
  <c r="Z2096" i="4"/>
  <c r="AA2095" i="4"/>
  <c r="Z2095" i="4"/>
  <c r="AA2094" i="4"/>
  <c r="Z2094" i="4"/>
  <c r="AA2093" i="4"/>
  <c r="Z2093" i="4"/>
  <c r="AA2092" i="4"/>
  <c r="Z2092" i="4"/>
  <c r="AA2091" i="4"/>
  <c r="Z2091" i="4"/>
  <c r="AA2090" i="4"/>
  <c r="Z2090" i="4"/>
  <c r="AA2089" i="4"/>
  <c r="Z2089" i="4"/>
  <c r="AA2088" i="4"/>
  <c r="Z2088" i="4"/>
  <c r="AA2087" i="4"/>
  <c r="Z2087" i="4"/>
  <c r="AA2086" i="4"/>
  <c r="Z2086" i="4"/>
  <c r="AA2085" i="4"/>
  <c r="Z2085" i="4"/>
  <c r="AA2084" i="4"/>
  <c r="Z2084" i="4"/>
  <c r="AA2083" i="4"/>
  <c r="Z2083" i="4"/>
  <c r="AA2082" i="4"/>
  <c r="Z2082" i="4"/>
  <c r="AA2081" i="4"/>
  <c r="Z2081" i="4"/>
  <c r="AA2080" i="4"/>
  <c r="Z2080" i="4"/>
  <c r="AA2079" i="4"/>
  <c r="Z2079" i="4"/>
  <c r="AA2078" i="4"/>
  <c r="Z2078" i="4"/>
  <c r="AA2077" i="4"/>
  <c r="Z2077" i="4"/>
  <c r="AA2076" i="4"/>
  <c r="Z2076" i="4"/>
  <c r="AA2075" i="4"/>
  <c r="Z2075" i="4"/>
  <c r="AA2074" i="4"/>
  <c r="Z2074" i="4"/>
  <c r="AA2073" i="4"/>
  <c r="Z2073" i="4"/>
  <c r="AA2072" i="4"/>
  <c r="Z2072" i="4"/>
  <c r="AA2071" i="4"/>
  <c r="Z2071" i="4"/>
  <c r="AA2070" i="4"/>
  <c r="Z2070" i="4"/>
  <c r="AA2069" i="4"/>
  <c r="Z2069" i="4"/>
  <c r="AA2068" i="4"/>
  <c r="Z2068" i="4"/>
  <c r="AA2067" i="4"/>
  <c r="Z2067" i="4"/>
  <c r="AA2066" i="4"/>
  <c r="Z2066" i="4"/>
  <c r="AA2065" i="4"/>
  <c r="Z2065" i="4"/>
  <c r="AA2064" i="4"/>
  <c r="Z2064" i="4"/>
  <c r="AA2063" i="4"/>
  <c r="Z2063" i="4"/>
  <c r="AA2062" i="4"/>
  <c r="Z2062" i="4"/>
  <c r="AA2061" i="4"/>
  <c r="Z2061" i="4"/>
  <c r="AA2060" i="4"/>
  <c r="Z2060" i="4"/>
  <c r="AA2059" i="4"/>
  <c r="Z2059" i="4"/>
  <c r="AA2058" i="4"/>
  <c r="Z2058" i="4"/>
  <c r="AA2057" i="4"/>
  <c r="Z2057" i="4"/>
  <c r="AA2056" i="4"/>
  <c r="Z2056" i="4"/>
  <c r="AA2055" i="4"/>
  <c r="Z2055" i="4"/>
  <c r="AA2054" i="4"/>
  <c r="Z2054" i="4"/>
  <c r="AA2053" i="4"/>
  <c r="Z2053" i="4"/>
  <c r="AA2052" i="4"/>
  <c r="Z2052" i="4"/>
  <c r="AA2051" i="4"/>
  <c r="Z2051" i="4"/>
  <c r="AA2050" i="4"/>
  <c r="Z2050" i="4"/>
  <c r="AA2049" i="4"/>
  <c r="Z2049" i="4"/>
  <c r="AA2048" i="4"/>
  <c r="Z2048" i="4"/>
  <c r="AA2047" i="4"/>
  <c r="Z2047" i="4"/>
  <c r="AA2046" i="4"/>
  <c r="Z2046" i="4"/>
  <c r="AA2045" i="4"/>
  <c r="Z2045" i="4"/>
  <c r="AA2044" i="4"/>
  <c r="Z2044" i="4"/>
  <c r="AA2043" i="4"/>
  <c r="Z2043" i="4"/>
  <c r="AA2042" i="4"/>
  <c r="Z2042" i="4"/>
  <c r="AA2041" i="4"/>
  <c r="Z2041" i="4"/>
  <c r="AA2040" i="4"/>
  <c r="Z2040" i="4"/>
  <c r="AA2039" i="4"/>
  <c r="Z2039" i="4"/>
  <c r="AA2038" i="4"/>
  <c r="Z2038" i="4"/>
  <c r="AA2037" i="4"/>
  <c r="Z2037" i="4"/>
  <c r="AA2036" i="4"/>
  <c r="Z2036" i="4"/>
  <c r="AA2035" i="4"/>
  <c r="Z2035" i="4"/>
  <c r="AA2034" i="4"/>
  <c r="Z2034" i="4"/>
  <c r="AA2033" i="4"/>
  <c r="Z2033" i="4"/>
  <c r="AA2032" i="4"/>
  <c r="Z2032" i="4"/>
  <c r="AA2031" i="4"/>
  <c r="Z2031" i="4"/>
  <c r="AA2030" i="4"/>
  <c r="Z2030" i="4"/>
  <c r="AA2029" i="4"/>
  <c r="Z2029" i="4"/>
  <c r="AA2028" i="4"/>
  <c r="Z2028" i="4"/>
  <c r="AA2027" i="4"/>
  <c r="Z2027" i="4"/>
  <c r="AA2026" i="4"/>
  <c r="Z2026" i="4"/>
  <c r="AA2025" i="4"/>
  <c r="Z2025" i="4"/>
  <c r="AA2024" i="4"/>
  <c r="Z2024" i="4"/>
  <c r="AA2023" i="4"/>
  <c r="Z2023" i="4"/>
  <c r="AA2022" i="4"/>
  <c r="Z2022" i="4"/>
  <c r="AA2021" i="4"/>
  <c r="Z2021" i="4"/>
  <c r="AA2020" i="4"/>
  <c r="Z2020" i="4"/>
  <c r="AA2019" i="4"/>
  <c r="Z2019" i="4"/>
  <c r="AA2018" i="4"/>
  <c r="Z2018" i="4"/>
  <c r="AA2017" i="4"/>
  <c r="Z2017" i="4"/>
  <c r="AA2016" i="4"/>
  <c r="Z2016" i="4"/>
  <c r="AA2015" i="4"/>
  <c r="Z2015" i="4"/>
  <c r="AA2014" i="4"/>
  <c r="Z2014" i="4"/>
  <c r="AA2013" i="4"/>
  <c r="Z2013" i="4"/>
  <c r="AA2012" i="4"/>
  <c r="Z2012" i="4"/>
  <c r="AA2011" i="4"/>
  <c r="Z2011" i="4"/>
  <c r="AA2010" i="4"/>
  <c r="Z2010" i="4"/>
  <c r="AA2009" i="4"/>
  <c r="Z2009" i="4"/>
  <c r="AA2008" i="4"/>
  <c r="Z2008" i="4"/>
  <c r="AA2007" i="4"/>
  <c r="Z2007" i="4"/>
  <c r="AA2006" i="4"/>
  <c r="Z2006" i="4"/>
  <c r="AA2005" i="4"/>
  <c r="Z2005" i="4"/>
  <c r="AA2004" i="4"/>
  <c r="Z2004" i="4"/>
  <c r="AA2003" i="4"/>
  <c r="Z2003" i="4"/>
  <c r="AA2002" i="4"/>
  <c r="Z2002" i="4"/>
  <c r="AA2001" i="4"/>
  <c r="Z2001" i="4"/>
  <c r="AA2000" i="4"/>
  <c r="Z2000" i="4"/>
  <c r="AA1999" i="4"/>
  <c r="Z1999" i="4"/>
  <c r="AA1998" i="4"/>
  <c r="Z1998" i="4"/>
  <c r="AA1997" i="4"/>
  <c r="Z1997" i="4"/>
  <c r="AA1996" i="4"/>
  <c r="Z1996" i="4"/>
  <c r="AA1995" i="4"/>
  <c r="Z1995" i="4"/>
  <c r="AA1994" i="4"/>
  <c r="Z1994" i="4"/>
  <c r="AA1993" i="4"/>
  <c r="Z1993" i="4"/>
  <c r="AA1992" i="4"/>
  <c r="Z1992" i="4"/>
  <c r="AA1991" i="4"/>
  <c r="Z1991" i="4"/>
  <c r="AA1990" i="4"/>
  <c r="Z1990" i="4"/>
  <c r="AA1989" i="4"/>
  <c r="Z1989" i="4"/>
  <c r="AA1988" i="4"/>
  <c r="Z1988" i="4"/>
  <c r="AA1987" i="4"/>
  <c r="Z1987" i="4"/>
  <c r="AA1986" i="4"/>
  <c r="Z1986" i="4"/>
  <c r="AA1985" i="4"/>
  <c r="Z1985" i="4"/>
  <c r="AA1984" i="4"/>
  <c r="Z1984" i="4"/>
  <c r="AA1983" i="4"/>
  <c r="Z1983" i="4"/>
  <c r="AA1982" i="4"/>
  <c r="Z1982" i="4"/>
  <c r="AA1981" i="4"/>
  <c r="Z1981" i="4"/>
  <c r="AA1980" i="4"/>
  <c r="Z1980" i="4"/>
  <c r="AA1979" i="4"/>
  <c r="Z1979" i="4"/>
  <c r="AA1978" i="4"/>
  <c r="Z1978" i="4"/>
  <c r="AA1977" i="4"/>
  <c r="Z1977" i="4"/>
  <c r="AA1976" i="4"/>
  <c r="Z1976" i="4"/>
  <c r="AA1975" i="4"/>
  <c r="Z1975" i="4"/>
  <c r="AA1974" i="4"/>
  <c r="Z1974" i="4"/>
  <c r="AA1973" i="4"/>
  <c r="Z1973" i="4"/>
  <c r="AA1972" i="4"/>
  <c r="Z1972" i="4"/>
  <c r="AA1971" i="4"/>
  <c r="Z1971" i="4"/>
  <c r="AA1970" i="4"/>
  <c r="Z1970" i="4"/>
  <c r="AA1969" i="4"/>
  <c r="Z1969" i="4"/>
  <c r="AA1968" i="4"/>
  <c r="Z1968" i="4"/>
  <c r="AA1967" i="4"/>
  <c r="Z1967" i="4"/>
  <c r="AA1966" i="4"/>
  <c r="Z1966" i="4"/>
  <c r="AA1965" i="4"/>
  <c r="Z1965" i="4"/>
  <c r="AA1964" i="4"/>
  <c r="Z1964" i="4"/>
  <c r="AA1963" i="4"/>
  <c r="Z1963" i="4"/>
  <c r="AA1962" i="4"/>
  <c r="Z1962" i="4"/>
  <c r="AA1961" i="4"/>
  <c r="Z1961" i="4"/>
  <c r="AA1960" i="4"/>
  <c r="Z1960" i="4"/>
  <c r="AA1959" i="4"/>
  <c r="Z1959" i="4"/>
  <c r="AA1958" i="4"/>
  <c r="Z1958" i="4"/>
  <c r="AA1957" i="4"/>
  <c r="Z1957" i="4"/>
  <c r="AA1956" i="4"/>
  <c r="Z1956" i="4"/>
  <c r="AA1955" i="4"/>
  <c r="Z1955" i="4"/>
  <c r="AA1954" i="4"/>
  <c r="Z1954" i="4"/>
  <c r="AA1953" i="4"/>
  <c r="Z1953" i="4"/>
  <c r="AA1952" i="4"/>
  <c r="Z1952" i="4"/>
  <c r="AA1951" i="4"/>
  <c r="Z1951" i="4"/>
  <c r="AA1950" i="4"/>
  <c r="Z1950" i="4"/>
  <c r="AA1949" i="4"/>
  <c r="Z1949" i="4"/>
  <c r="AA1948" i="4"/>
  <c r="Z1948" i="4"/>
  <c r="AA1947" i="4"/>
  <c r="Z1947" i="4"/>
  <c r="AA1946" i="4"/>
  <c r="Z1946" i="4"/>
  <c r="AA1945" i="4"/>
  <c r="Z1945" i="4"/>
  <c r="AA1944" i="4"/>
  <c r="Z1944" i="4"/>
  <c r="AA1943" i="4"/>
  <c r="Z1943" i="4"/>
  <c r="AA1942" i="4"/>
  <c r="Z1942" i="4"/>
  <c r="AA1941" i="4"/>
  <c r="Z1941" i="4"/>
  <c r="AA1940" i="4"/>
  <c r="Z1940" i="4"/>
  <c r="AA1939" i="4"/>
  <c r="Z1939" i="4"/>
  <c r="AA1938" i="4"/>
  <c r="Z1938" i="4"/>
  <c r="AA1937" i="4"/>
  <c r="Z1937" i="4"/>
  <c r="AA1936" i="4"/>
  <c r="Z1936" i="4"/>
  <c r="AA1935" i="4"/>
  <c r="Z1935" i="4"/>
  <c r="AA1934" i="4"/>
  <c r="Z1934" i="4"/>
  <c r="AA1933" i="4"/>
  <c r="Z1933" i="4"/>
  <c r="AA1932" i="4"/>
  <c r="Z1932" i="4"/>
  <c r="AA1931" i="4"/>
  <c r="Z1931" i="4"/>
  <c r="AA1930" i="4"/>
  <c r="Z1930" i="4"/>
  <c r="AA1929" i="4"/>
  <c r="Z1929" i="4"/>
  <c r="AA1928" i="4"/>
  <c r="Z1928" i="4"/>
  <c r="AA1927" i="4"/>
  <c r="Z1927" i="4"/>
  <c r="AA1926" i="4"/>
  <c r="Z1926" i="4"/>
  <c r="AA1925" i="4"/>
  <c r="Z1925" i="4"/>
  <c r="AA1924" i="4"/>
  <c r="Z1924" i="4"/>
  <c r="AA1923" i="4"/>
  <c r="Z1923" i="4"/>
  <c r="AA1922" i="4"/>
  <c r="Z1922" i="4"/>
  <c r="AA1921" i="4"/>
  <c r="Z1921" i="4"/>
  <c r="AA1920" i="4"/>
  <c r="Z1920" i="4"/>
  <c r="AA1919" i="4"/>
  <c r="Z1919" i="4"/>
  <c r="AA1918" i="4"/>
  <c r="Z1918" i="4"/>
  <c r="AA1917" i="4"/>
  <c r="Z1917" i="4"/>
  <c r="AA1916" i="4"/>
  <c r="Z1916" i="4"/>
  <c r="AA1915" i="4"/>
  <c r="Z1915" i="4"/>
  <c r="AA1914" i="4"/>
  <c r="Z1914" i="4"/>
  <c r="AA1913" i="4"/>
  <c r="Z1913" i="4"/>
  <c r="AA1912" i="4"/>
  <c r="Z1912" i="4"/>
  <c r="AA1911" i="4"/>
  <c r="Z1911" i="4"/>
  <c r="AA1910" i="4"/>
  <c r="Z1910" i="4"/>
  <c r="AA1909" i="4"/>
  <c r="Z1909" i="4"/>
  <c r="AA1908" i="4"/>
  <c r="Z1908" i="4"/>
  <c r="AA1907" i="4"/>
  <c r="Z1907" i="4"/>
  <c r="AA1906" i="4"/>
  <c r="Z1906" i="4"/>
  <c r="AA1905" i="4"/>
  <c r="Z1905" i="4"/>
  <c r="AA1904" i="4"/>
  <c r="Z1904" i="4"/>
  <c r="AA1903" i="4"/>
  <c r="Z1903" i="4"/>
  <c r="AA1902" i="4"/>
  <c r="Z1902" i="4"/>
  <c r="AA1901" i="4"/>
  <c r="Z1901" i="4"/>
  <c r="AA1900" i="4"/>
  <c r="Z1900" i="4"/>
  <c r="AA1899" i="4"/>
  <c r="Z1899" i="4"/>
  <c r="AA1898" i="4"/>
  <c r="Z1898" i="4"/>
  <c r="AA1897" i="4"/>
  <c r="Z1897" i="4"/>
  <c r="AA1896" i="4"/>
  <c r="Z1896" i="4"/>
  <c r="AA1895" i="4"/>
  <c r="Z1895" i="4"/>
  <c r="AA1894" i="4"/>
  <c r="Z1894" i="4"/>
  <c r="AA1893" i="4"/>
  <c r="Z1893" i="4"/>
  <c r="AA1892" i="4"/>
  <c r="Z1892" i="4"/>
  <c r="AA1891" i="4"/>
  <c r="Z1891" i="4"/>
  <c r="AA1890" i="4"/>
  <c r="Z1890" i="4"/>
  <c r="AA1889" i="4"/>
  <c r="Z1889" i="4"/>
  <c r="AA1888" i="4"/>
  <c r="Z1888" i="4"/>
  <c r="AA1887" i="4"/>
  <c r="Z1887" i="4"/>
  <c r="AA1886" i="4"/>
  <c r="Z1886" i="4"/>
  <c r="AA1885" i="4"/>
  <c r="Z1885" i="4"/>
  <c r="AA1884" i="4"/>
  <c r="Z1884" i="4"/>
  <c r="AA1883" i="4"/>
  <c r="Z1883" i="4"/>
  <c r="AA1882" i="4"/>
  <c r="Z1882" i="4"/>
  <c r="AA1881" i="4"/>
  <c r="Z1881" i="4"/>
  <c r="AA1880" i="4"/>
  <c r="Z1880" i="4"/>
  <c r="AA1879" i="4"/>
  <c r="Z1879" i="4"/>
  <c r="AA1878" i="4"/>
  <c r="Z1878" i="4"/>
  <c r="AA1877" i="4"/>
  <c r="Z1877" i="4"/>
  <c r="AA1876" i="4"/>
  <c r="Z1876" i="4"/>
  <c r="AA1875" i="4"/>
  <c r="Z1875" i="4"/>
  <c r="AA1874" i="4"/>
  <c r="Z1874" i="4"/>
  <c r="AA1873" i="4"/>
  <c r="Z1873" i="4"/>
  <c r="AA1872" i="4"/>
  <c r="Z1872" i="4"/>
  <c r="AA1871" i="4"/>
  <c r="Z1871" i="4"/>
  <c r="AA1870" i="4"/>
  <c r="Z1870" i="4"/>
  <c r="AA1869" i="4"/>
  <c r="Z1869" i="4"/>
  <c r="AA1868" i="4"/>
  <c r="Z1868" i="4"/>
  <c r="AA1867" i="4"/>
  <c r="Z1867" i="4"/>
  <c r="AA1866" i="4"/>
  <c r="Z1866" i="4"/>
  <c r="AA1865" i="4"/>
  <c r="Z1865" i="4"/>
  <c r="AA1864" i="4"/>
  <c r="Z1864" i="4"/>
  <c r="AA1863" i="4"/>
  <c r="Z1863" i="4"/>
  <c r="AA1862" i="4"/>
  <c r="Z1862" i="4"/>
  <c r="AA1861" i="4"/>
  <c r="Z1861" i="4"/>
  <c r="AA1860" i="4"/>
  <c r="Z1860" i="4"/>
  <c r="AA1859" i="4"/>
  <c r="Z1859" i="4"/>
  <c r="AA1858" i="4"/>
  <c r="Z1858" i="4"/>
  <c r="AA1857" i="4"/>
  <c r="Z1857" i="4"/>
  <c r="AA1856" i="4"/>
  <c r="Z1856" i="4"/>
  <c r="AA1855" i="4"/>
  <c r="Z1855" i="4"/>
  <c r="AA1854" i="4"/>
  <c r="Z1854" i="4"/>
  <c r="AA1853" i="4"/>
  <c r="Z1853" i="4"/>
  <c r="AA1852" i="4"/>
  <c r="Z1852" i="4"/>
  <c r="AA1851" i="4"/>
  <c r="Z1851" i="4"/>
  <c r="AA1850" i="4"/>
  <c r="Z1850" i="4"/>
  <c r="AA1849" i="4"/>
  <c r="Z1849" i="4"/>
  <c r="AA1848" i="4"/>
  <c r="Z1848" i="4"/>
  <c r="AA1847" i="4"/>
  <c r="Z1847" i="4"/>
  <c r="AA1846" i="4"/>
  <c r="Z1846" i="4"/>
  <c r="AA1845" i="4"/>
  <c r="Z1845" i="4"/>
  <c r="AA1844" i="4"/>
  <c r="Z1844" i="4"/>
  <c r="AA1843" i="4"/>
  <c r="Z1843" i="4"/>
  <c r="AA1842" i="4"/>
  <c r="Z1842" i="4"/>
  <c r="AA1841" i="4"/>
  <c r="Z1841" i="4"/>
  <c r="AA1840" i="4"/>
  <c r="Z1840" i="4"/>
  <c r="AA1839" i="4"/>
  <c r="Z1839" i="4"/>
  <c r="AA1838" i="4"/>
  <c r="Z1838" i="4"/>
  <c r="AA1837" i="4"/>
  <c r="Z1837" i="4"/>
  <c r="AA1836" i="4"/>
  <c r="Z1836" i="4"/>
  <c r="AA1835" i="4"/>
  <c r="Z1835" i="4"/>
  <c r="AA1834" i="4"/>
  <c r="Z1834" i="4"/>
  <c r="AA1833" i="4"/>
  <c r="Z1833" i="4"/>
  <c r="AA1832" i="4"/>
  <c r="Z1832" i="4"/>
  <c r="AA1831" i="4"/>
  <c r="Z1831" i="4"/>
  <c r="AA1830" i="4"/>
  <c r="Z1830" i="4"/>
  <c r="AA1829" i="4"/>
  <c r="Z1829" i="4"/>
  <c r="AA1828" i="4"/>
  <c r="Z1828" i="4"/>
  <c r="AA1827" i="4"/>
  <c r="Z1827" i="4"/>
  <c r="AA1826" i="4"/>
  <c r="Z1826" i="4"/>
  <c r="AA1825" i="4"/>
  <c r="Z1825" i="4"/>
  <c r="AA1824" i="4"/>
  <c r="Z1824" i="4"/>
  <c r="AA1823" i="4"/>
  <c r="Z1823" i="4"/>
  <c r="AA1822" i="4"/>
  <c r="Z1822" i="4"/>
  <c r="AA1821" i="4"/>
  <c r="Z1821" i="4"/>
  <c r="AA1820" i="4"/>
  <c r="Z1820" i="4"/>
  <c r="AA1819" i="4"/>
  <c r="Z1819" i="4"/>
  <c r="AA1818" i="4"/>
  <c r="Z1818" i="4"/>
  <c r="AA1817" i="4"/>
  <c r="Z1817" i="4"/>
  <c r="AA1816" i="4"/>
  <c r="Z1816" i="4"/>
  <c r="AA1815" i="4"/>
  <c r="Z1815" i="4"/>
  <c r="AA1814" i="4"/>
  <c r="Z1814" i="4"/>
  <c r="AA1813" i="4"/>
  <c r="Z1813" i="4"/>
  <c r="AA1812" i="4"/>
  <c r="Z1812" i="4"/>
  <c r="AA1811" i="4"/>
  <c r="Z1811" i="4"/>
  <c r="AA1810" i="4"/>
  <c r="Z1810" i="4"/>
  <c r="AA1809" i="4"/>
  <c r="Z1809" i="4"/>
  <c r="AA1808" i="4"/>
  <c r="Z1808" i="4"/>
  <c r="AA1807" i="4"/>
  <c r="Z1807" i="4"/>
  <c r="AA1806" i="4"/>
  <c r="Z1806" i="4"/>
  <c r="AA1805" i="4"/>
  <c r="Z1805" i="4"/>
  <c r="AA1804" i="4"/>
  <c r="Z1804" i="4"/>
  <c r="AA1803" i="4"/>
  <c r="Z1803" i="4"/>
  <c r="AA1802" i="4"/>
  <c r="Z1802" i="4"/>
  <c r="AA1801" i="4"/>
  <c r="Z1801" i="4"/>
  <c r="AA1800" i="4"/>
  <c r="Z1800" i="4"/>
  <c r="AA1799" i="4"/>
  <c r="Z1799" i="4"/>
  <c r="AA1798" i="4"/>
  <c r="Z1798" i="4"/>
  <c r="AA1797" i="4"/>
  <c r="Z1797" i="4"/>
  <c r="AA1796" i="4"/>
  <c r="Z1796" i="4"/>
  <c r="AA1795" i="4"/>
  <c r="Z1795" i="4"/>
  <c r="AA1794" i="4"/>
  <c r="Z1794" i="4"/>
  <c r="AA1793" i="4"/>
  <c r="Z1793" i="4"/>
  <c r="AA1792" i="4"/>
  <c r="Z1792" i="4"/>
  <c r="AA1791" i="4"/>
  <c r="Z1791" i="4"/>
  <c r="AA1790" i="4"/>
  <c r="Z1790" i="4"/>
  <c r="AA1789" i="4"/>
  <c r="Z1789" i="4"/>
  <c r="AA1788" i="4"/>
  <c r="Z1788" i="4"/>
  <c r="AA1787" i="4"/>
  <c r="Z1787" i="4"/>
  <c r="AA1786" i="4"/>
  <c r="Z1786" i="4"/>
  <c r="AA1785" i="4"/>
  <c r="Z1785" i="4"/>
  <c r="AA1784" i="4"/>
  <c r="Z1784" i="4"/>
  <c r="AA1783" i="4"/>
  <c r="Z1783" i="4"/>
  <c r="AA1782" i="4"/>
  <c r="Z1782" i="4"/>
  <c r="AA1781" i="4"/>
  <c r="Z1781" i="4"/>
  <c r="AA1780" i="4"/>
  <c r="Z1780" i="4"/>
  <c r="AA1779" i="4"/>
  <c r="Z1779" i="4"/>
  <c r="AA1778" i="4"/>
  <c r="Z1778" i="4"/>
  <c r="AA1777" i="4"/>
  <c r="Z1777" i="4"/>
  <c r="AA1776" i="4"/>
  <c r="Z1776" i="4"/>
  <c r="AA1775" i="4"/>
  <c r="Z1775" i="4"/>
  <c r="AA1774" i="4"/>
  <c r="Z1774" i="4"/>
  <c r="AA1773" i="4"/>
  <c r="Z1773" i="4"/>
  <c r="AA1772" i="4"/>
  <c r="Z1772" i="4"/>
  <c r="AA1771" i="4"/>
  <c r="Z1771" i="4"/>
  <c r="AA1770" i="4"/>
  <c r="Z1770" i="4"/>
  <c r="AA1769" i="4"/>
  <c r="Z1769" i="4"/>
  <c r="AA1768" i="4"/>
  <c r="Z1768" i="4"/>
  <c r="AA1767" i="4"/>
  <c r="Z1767" i="4"/>
  <c r="AA1766" i="4"/>
  <c r="Z1766" i="4"/>
  <c r="AA1765" i="4"/>
  <c r="Z1765" i="4"/>
  <c r="AA1764" i="4"/>
  <c r="Z1764" i="4"/>
  <c r="AA1763" i="4"/>
  <c r="Z1763" i="4"/>
  <c r="AA1762" i="4"/>
  <c r="Z1762" i="4"/>
  <c r="AA1761" i="4"/>
  <c r="Z1761" i="4"/>
  <c r="AA1760" i="4"/>
  <c r="Z1760" i="4"/>
  <c r="AA1759" i="4"/>
  <c r="Z1759" i="4"/>
  <c r="AA1758" i="4"/>
  <c r="Z1758" i="4"/>
  <c r="AA1757" i="4"/>
  <c r="Z1757" i="4"/>
  <c r="AA1756" i="4"/>
  <c r="Z1756" i="4"/>
  <c r="AA1755" i="4"/>
  <c r="Z1755" i="4"/>
  <c r="AA1754" i="4"/>
  <c r="Z1754" i="4"/>
  <c r="AA1753" i="4"/>
  <c r="Z1753" i="4"/>
  <c r="AA1752" i="4"/>
  <c r="Z1752" i="4"/>
  <c r="AA1751" i="4"/>
  <c r="Z1751" i="4"/>
  <c r="AA1750" i="4"/>
  <c r="Z1750" i="4"/>
  <c r="AA1749" i="4"/>
  <c r="Z1749" i="4"/>
  <c r="AA1748" i="4"/>
  <c r="Z1748" i="4"/>
  <c r="AA1747" i="4"/>
  <c r="Z1747" i="4"/>
  <c r="AA1746" i="4"/>
  <c r="Z1746" i="4"/>
  <c r="AA1745" i="4"/>
  <c r="Z1745" i="4"/>
  <c r="AA1744" i="4"/>
  <c r="Z1744" i="4"/>
  <c r="AA1743" i="4"/>
  <c r="Z1743" i="4"/>
  <c r="AA1742" i="4"/>
  <c r="Z1742" i="4"/>
  <c r="AA1741" i="4"/>
  <c r="Z1741" i="4"/>
  <c r="AA1740" i="4"/>
  <c r="Z1740" i="4"/>
  <c r="AA1739" i="4"/>
  <c r="Z1739" i="4"/>
  <c r="AA1738" i="4"/>
  <c r="Z1738" i="4"/>
  <c r="AA1737" i="4"/>
  <c r="Z1737" i="4"/>
  <c r="AA1736" i="4"/>
  <c r="Z1736" i="4"/>
  <c r="AA1735" i="4"/>
  <c r="Z1735" i="4"/>
  <c r="AA1734" i="4"/>
  <c r="Z1734" i="4"/>
  <c r="AA1733" i="4"/>
  <c r="Z1733" i="4"/>
  <c r="AA1732" i="4"/>
  <c r="Z1732" i="4"/>
  <c r="AA1731" i="4"/>
  <c r="Z1731" i="4"/>
  <c r="AA1730" i="4"/>
  <c r="Z1730" i="4"/>
  <c r="AA1729" i="4"/>
  <c r="Z1729" i="4"/>
  <c r="AA1728" i="4"/>
  <c r="Z1728" i="4"/>
  <c r="AA1727" i="4"/>
  <c r="Z1727" i="4"/>
  <c r="AA1726" i="4"/>
  <c r="Z1726" i="4"/>
  <c r="AA1725" i="4"/>
  <c r="Z1725" i="4"/>
  <c r="AA1724" i="4"/>
  <c r="Z1724" i="4"/>
  <c r="AA1723" i="4"/>
  <c r="Z1723" i="4"/>
  <c r="AA1722" i="4"/>
  <c r="Z1722" i="4"/>
  <c r="AA1721" i="4"/>
  <c r="Z1721" i="4"/>
  <c r="AA1720" i="4"/>
  <c r="Z1720" i="4"/>
  <c r="AA1719" i="4"/>
  <c r="Z1719" i="4"/>
  <c r="AA1718" i="4"/>
  <c r="Z1718" i="4"/>
  <c r="AA1717" i="4"/>
  <c r="Z1717" i="4"/>
  <c r="AA1716" i="4"/>
  <c r="Z1716" i="4"/>
  <c r="AA1715" i="4"/>
  <c r="Z1715" i="4"/>
  <c r="AA1714" i="4"/>
  <c r="Z1714" i="4"/>
  <c r="AA1713" i="4"/>
  <c r="Z1713" i="4"/>
  <c r="AA1712" i="4"/>
  <c r="Z1712" i="4"/>
  <c r="AA1711" i="4"/>
  <c r="Z1711" i="4"/>
  <c r="AA1710" i="4"/>
  <c r="Z1710" i="4"/>
  <c r="AA1709" i="4"/>
  <c r="Z1709" i="4"/>
  <c r="AA1708" i="4"/>
  <c r="Z1708" i="4"/>
  <c r="AA1707" i="4"/>
  <c r="Z1707" i="4"/>
  <c r="AA1706" i="4"/>
  <c r="Z1706" i="4"/>
  <c r="AA1705" i="4"/>
  <c r="Z1705" i="4"/>
  <c r="AA1704" i="4"/>
  <c r="Z1704" i="4"/>
  <c r="AA1703" i="4"/>
  <c r="Z1703" i="4"/>
  <c r="AA1702" i="4"/>
  <c r="Z1702" i="4"/>
  <c r="AA1701" i="4"/>
  <c r="Z1701" i="4"/>
  <c r="AA1700" i="4"/>
  <c r="Z1700" i="4"/>
  <c r="AA1699" i="4"/>
  <c r="Z1699" i="4"/>
  <c r="AA1698" i="4"/>
  <c r="Z1698" i="4"/>
  <c r="AA1697" i="4"/>
  <c r="Z1697" i="4"/>
  <c r="AA1696" i="4"/>
  <c r="Z1696" i="4"/>
  <c r="AA1695" i="4"/>
  <c r="Z1695" i="4"/>
  <c r="AA1694" i="4"/>
  <c r="Z1694" i="4"/>
  <c r="AA1693" i="4"/>
  <c r="Z1693" i="4"/>
  <c r="AA1692" i="4"/>
  <c r="Z1692" i="4"/>
  <c r="AA1691" i="4"/>
  <c r="Z1691" i="4"/>
  <c r="AA1690" i="4"/>
  <c r="Z1690" i="4"/>
  <c r="AA1689" i="4"/>
  <c r="Z1689" i="4"/>
  <c r="AA1688" i="4"/>
  <c r="Z1688" i="4"/>
  <c r="AA1687" i="4"/>
  <c r="Z1687" i="4"/>
  <c r="AA1686" i="4"/>
  <c r="Z1686" i="4"/>
  <c r="AA1685" i="4"/>
  <c r="Z1685" i="4"/>
  <c r="AA1684" i="4"/>
  <c r="Z1684" i="4"/>
  <c r="AA1683" i="4"/>
  <c r="Z1683" i="4"/>
  <c r="AA1682" i="4"/>
  <c r="Z1682" i="4"/>
  <c r="AA1681" i="4"/>
  <c r="Z1681" i="4"/>
  <c r="AA1680" i="4"/>
  <c r="Z1680" i="4"/>
  <c r="AA1679" i="4"/>
  <c r="Z1679" i="4"/>
  <c r="AA1678" i="4"/>
  <c r="Z1678" i="4"/>
  <c r="AA1677" i="4"/>
  <c r="Z1677" i="4"/>
  <c r="AA1676" i="4"/>
  <c r="Z1676" i="4"/>
  <c r="AA1675" i="4"/>
  <c r="Z1675" i="4"/>
  <c r="AA1674" i="4"/>
  <c r="Z1674" i="4"/>
  <c r="AA1673" i="4"/>
  <c r="Z1673" i="4"/>
  <c r="AA1672" i="4"/>
  <c r="Z1672" i="4"/>
  <c r="AA1671" i="4"/>
  <c r="Z1671" i="4"/>
  <c r="AA1670" i="4"/>
  <c r="Z1670" i="4"/>
  <c r="AA1669" i="4"/>
  <c r="Z1669" i="4"/>
  <c r="AA1668" i="4"/>
  <c r="Z1668" i="4"/>
  <c r="AA1667" i="4"/>
  <c r="Z1667" i="4"/>
  <c r="AA1666" i="4"/>
  <c r="Z1666" i="4"/>
  <c r="AA1665" i="4"/>
  <c r="Z1665" i="4"/>
  <c r="AA1664" i="4"/>
  <c r="Z1664" i="4"/>
  <c r="AA1663" i="4"/>
  <c r="Z1663" i="4"/>
  <c r="AA1662" i="4"/>
  <c r="Z1662" i="4"/>
  <c r="AA1661" i="4"/>
  <c r="Z1661" i="4"/>
  <c r="AA1660" i="4"/>
  <c r="Z1660" i="4"/>
  <c r="AA1659" i="4"/>
  <c r="Z1659" i="4"/>
  <c r="AA1658" i="4"/>
  <c r="Z1658" i="4"/>
  <c r="AA1657" i="4"/>
  <c r="Z1657" i="4"/>
  <c r="AA1656" i="4"/>
  <c r="Z1656" i="4"/>
  <c r="AA1655" i="4"/>
  <c r="Z1655" i="4"/>
  <c r="AA1654" i="4"/>
  <c r="Z1654" i="4"/>
  <c r="AA1653" i="4"/>
  <c r="Z1653" i="4"/>
  <c r="AA1652" i="4"/>
  <c r="Z1652" i="4"/>
  <c r="AA1651" i="4"/>
  <c r="Z1651" i="4"/>
  <c r="AA1650" i="4"/>
  <c r="Z1650" i="4"/>
  <c r="AA1649" i="4"/>
  <c r="Z1649" i="4"/>
  <c r="AA1648" i="4"/>
  <c r="Z1648" i="4"/>
  <c r="AA1647" i="4"/>
  <c r="Z1647" i="4"/>
  <c r="AA1646" i="4"/>
  <c r="Z1646" i="4"/>
  <c r="AA1645" i="4"/>
  <c r="Z1645" i="4"/>
  <c r="AA1644" i="4"/>
  <c r="Z1644" i="4"/>
  <c r="AA1643" i="4"/>
  <c r="Z1643" i="4"/>
  <c r="AA1642" i="4"/>
  <c r="Z1642" i="4"/>
  <c r="AA1641" i="4"/>
  <c r="Z1641" i="4"/>
  <c r="AA1640" i="4"/>
  <c r="Z1640" i="4"/>
  <c r="AA1639" i="4"/>
  <c r="Z1639" i="4"/>
  <c r="AA1638" i="4"/>
  <c r="Z1638" i="4"/>
  <c r="AA1637" i="4"/>
  <c r="Z1637" i="4"/>
  <c r="AA1636" i="4"/>
  <c r="Z1636" i="4"/>
  <c r="AA1635" i="4"/>
  <c r="Z1635" i="4"/>
  <c r="AA1634" i="4"/>
  <c r="Z1634" i="4"/>
  <c r="AA1633" i="4"/>
  <c r="Z1633" i="4"/>
  <c r="AA1632" i="4"/>
  <c r="Z1632" i="4"/>
  <c r="AA1631" i="4"/>
  <c r="Z1631" i="4"/>
  <c r="AA1630" i="4"/>
  <c r="Z1630" i="4"/>
  <c r="AA1629" i="4"/>
  <c r="Z1629" i="4"/>
  <c r="AA1628" i="4"/>
  <c r="Z1628" i="4"/>
  <c r="AA1627" i="4"/>
  <c r="Z1627" i="4"/>
  <c r="AA1626" i="4"/>
  <c r="Z1626" i="4"/>
  <c r="AA1625" i="4"/>
  <c r="Z1625" i="4"/>
  <c r="AA1624" i="4"/>
  <c r="Z1624" i="4"/>
  <c r="AA1623" i="4"/>
  <c r="Z1623" i="4"/>
  <c r="AA1622" i="4"/>
  <c r="Z1622" i="4"/>
  <c r="AA1621" i="4"/>
  <c r="Z1621" i="4"/>
  <c r="AA1620" i="4"/>
  <c r="Z1620" i="4"/>
  <c r="AA1619" i="4"/>
  <c r="Z1619" i="4"/>
  <c r="AA1618" i="4"/>
  <c r="Z1618" i="4"/>
  <c r="AA1617" i="4"/>
  <c r="Z1617" i="4"/>
  <c r="AA1616" i="4"/>
  <c r="Z1616" i="4"/>
  <c r="AA1615" i="4"/>
  <c r="Z1615" i="4"/>
  <c r="AA1614" i="4"/>
  <c r="Z1614" i="4"/>
  <c r="AA1613" i="4"/>
  <c r="Z1613" i="4"/>
  <c r="AA1612" i="4"/>
  <c r="Z1612" i="4"/>
  <c r="AA1611" i="4"/>
  <c r="Z1611" i="4"/>
  <c r="AA1610" i="4"/>
  <c r="Z1610" i="4"/>
  <c r="AA1609" i="4"/>
  <c r="Z1609" i="4"/>
  <c r="AA1608" i="4"/>
  <c r="Z1608" i="4"/>
  <c r="AA1607" i="4"/>
  <c r="Z1607" i="4"/>
  <c r="AA1606" i="4"/>
  <c r="Z1606" i="4"/>
  <c r="AA1605" i="4"/>
  <c r="Z1605" i="4"/>
  <c r="AA1604" i="4"/>
  <c r="Z1604" i="4"/>
  <c r="AA1603" i="4"/>
  <c r="Z1603" i="4"/>
  <c r="AA1602" i="4"/>
  <c r="Z1602" i="4"/>
  <c r="AA1601" i="4"/>
  <c r="Z1601" i="4"/>
  <c r="AA1600" i="4"/>
  <c r="Z1600" i="4"/>
  <c r="AA1599" i="4"/>
  <c r="Z1599" i="4"/>
  <c r="AA1598" i="4"/>
  <c r="Z1598" i="4"/>
  <c r="AA1597" i="4"/>
  <c r="Z1597" i="4"/>
  <c r="AA1596" i="4"/>
  <c r="Z1596" i="4"/>
  <c r="AA1595" i="4"/>
  <c r="Z1595" i="4"/>
  <c r="AA1594" i="4"/>
  <c r="Z1594" i="4"/>
  <c r="AA1593" i="4"/>
  <c r="Z1593" i="4"/>
  <c r="AA1592" i="4"/>
  <c r="Z1592" i="4"/>
  <c r="AA1591" i="4"/>
  <c r="Z1591" i="4"/>
  <c r="AA1590" i="4"/>
  <c r="Z1590" i="4"/>
  <c r="AA1589" i="4"/>
  <c r="Z1589" i="4"/>
  <c r="AA1588" i="4"/>
  <c r="Z1588" i="4"/>
  <c r="AA1587" i="4"/>
  <c r="Z1587" i="4"/>
  <c r="AA1586" i="4"/>
  <c r="Z1586" i="4"/>
  <c r="AA1585" i="4"/>
  <c r="Z1585" i="4"/>
  <c r="AA1584" i="4"/>
  <c r="Z1584" i="4"/>
  <c r="AA1583" i="4"/>
  <c r="Z1583" i="4"/>
  <c r="AA1582" i="4"/>
  <c r="Z1582" i="4"/>
  <c r="AA1581" i="4"/>
  <c r="Z1581" i="4"/>
  <c r="AA1580" i="4"/>
  <c r="Z1580" i="4"/>
  <c r="AA1579" i="4"/>
  <c r="Z1579" i="4"/>
  <c r="AA1578" i="4"/>
  <c r="Z1578" i="4"/>
  <c r="AA1577" i="4"/>
  <c r="Z1577" i="4"/>
  <c r="AA1576" i="4"/>
  <c r="Z1576" i="4"/>
  <c r="AA1575" i="4"/>
  <c r="Z1575" i="4"/>
  <c r="AA1574" i="4"/>
  <c r="Z1574" i="4"/>
  <c r="AA1573" i="4"/>
  <c r="Z1573" i="4"/>
  <c r="AA1572" i="4"/>
  <c r="Z1572" i="4"/>
  <c r="AA1571" i="4"/>
  <c r="Z1571" i="4"/>
  <c r="AA1570" i="4"/>
  <c r="Z1570" i="4"/>
  <c r="AA1569" i="4"/>
  <c r="Z1569" i="4"/>
  <c r="AA1568" i="4"/>
  <c r="Z1568" i="4"/>
  <c r="AA1567" i="4"/>
  <c r="Z1567" i="4"/>
  <c r="AA1566" i="4"/>
  <c r="Z1566" i="4"/>
  <c r="AA1565" i="4"/>
  <c r="Z1565" i="4"/>
  <c r="AA1564" i="4"/>
  <c r="Z1564" i="4"/>
  <c r="AA1563" i="4"/>
  <c r="Z1563" i="4"/>
  <c r="AA1562" i="4"/>
  <c r="Z1562" i="4"/>
  <c r="AA1561" i="4"/>
  <c r="Z1561" i="4"/>
  <c r="AA1560" i="4"/>
  <c r="Z1560" i="4"/>
  <c r="AA1559" i="4"/>
  <c r="Z1559" i="4"/>
  <c r="AA1558" i="4"/>
  <c r="Z1558" i="4"/>
  <c r="AA1557" i="4"/>
  <c r="Z1557" i="4"/>
  <c r="AA1556" i="4"/>
  <c r="Z1556" i="4"/>
  <c r="AA1555" i="4"/>
  <c r="Z1555" i="4"/>
  <c r="AA1554" i="4"/>
  <c r="Z1554" i="4"/>
  <c r="AA1553" i="4"/>
  <c r="Z1553" i="4"/>
  <c r="AA1552" i="4"/>
  <c r="Z1552" i="4"/>
  <c r="AA1551" i="4"/>
  <c r="Z1551" i="4"/>
  <c r="AA1550" i="4"/>
  <c r="Z1550" i="4"/>
  <c r="AA1549" i="4"/>
  <c r="Z1549" i="4"/>
  <c r="AA1548" i="4"/>
  <c r="Z1548" i="4"/>
  <c r="AA1547" i="4"/>
  <c r="Z1547" i="4"/>
  <c r="AA1546" i="4"/>
  <c r="Z1546" i="4"/>
  <c r="AA1545" i="4"/>
  <c r="Z1545" i="4"/>
  <c r="AA1544" i="4"/>
  <c r="Z1544" i="4"/>
  <c r="AA1543" i="4"/>
  <c r="Z1543" i="4"/>
  <c r="AA1542" i="4"/>
  <c r="Z1542" i="4"/>
  <c r="AA1541" i="4"/>
  <c r="Z1541" i="4"/>
  <c r="AA1540" i="4"/>
  <c r="Z1540" i="4"/>
  <c r="AA1539" i="4"/>
  <c r="Z1539" i="4"/>
  <c r="AA1538" i="4"/>
  <c r="Z1538" i="4"/>
  <c r="AA1537" i="4"/>
  <c r="Z1537" i="4"/>
  <c r="AA1536" i="4"/>
  <c r="Z1536" i="4"/>
  <c r="AA1535" i="4"/>
  <c r="Z1535" i="4"/>
  <c r="AA1534" i="4"/>
  <c r="Z1534" i="4"/>
  <c r="AA1533" i="4"/>
  <c r="Z1533" i="4"/>
  <c r="AA1532" i="4"/>
  <c r="Z1532" i="4"/>
  <c r="AA1531" i="4"/>
  <c r="Z1531" i="4"/>
  <c r="AA1530" i="4"/>
  <c r="Z1530" i="4"/>
  <c r="AA1529" i="4"/>
  <c r="Z1529" i="4"/>
  <c r="AA1528" i="4"/>
  <c r="Z1528" i="4"/>
  <c r="AA1527" i="4"/>
  <c r="Z1527" i="4"/>
  <c r="AA1526" i="4"/>
  <c r="Z1526" i="4"/>
  <c r="AA1525" i="4"/>
  <c r="Z1525" i="4"/>
  <c r="AA1524" i="4"/>
  <c r="Z1524" i="4"/>
  <c r="AA1523" i="4"/>
  <c r="Z1523" i="4"/>
  <c r="AA1522" i="4"/>
  <c r="Z1522" i="4"/>
  <c r="AA1521" i="4"/>
  <c r="Z1521" i="4"/>
  <c r="AA1520" i="4"/>
  <c r="Z1520" i="4"/>
  <c r="AA1519" i="4"/>
  <c r="Z1519" i="4"/>
  <c r="AA1518" i="4"/>
  <c r="Z1518" i="4"/>
  <c r="AA1517" i="4"/>
  <c r="Z1517" i="4"/>
  <c r="AA1516" i="4"/>
  <c r="Z1516" i="4"/>
  <c r="AA1515" i="4"/>
  <c r="Z1515" i="4"/>
  <c r="AA1514" i="4"/>
  <c r="Z1514" i="4"/>
  <c r="AA1513" i="4"/>
  <c r="Z1513" i="4"/>
  <c r="AA1512" i="4"/>
  <c r="Z1512" i="4"/>
  <c r="AA1511" i="4"/>
  <c r="Z1511" i="4"/>
  <c r="AA1510" i="4"/>
  <c r="Z1510" i="4"/>
  <c r="AA1509" i="4"/>
  <c r="Z1509" i="4"/>
  <c r="AA1508" i="4"/>
  <c r="Z1508" i="4"/>
  <c r="AA1507" i="4"/>
  <c r="Z1507" i="4"/>
  <c r="AA1506" i="4"/>
  <c r="Z1506" i="4"/>
  <c r="AA1505" i="4"/>
  <c r="Z1505" i="4"/>
  <c r="AA1504" i="4"/>
  <c r="Z1504" i="4"/>
  <c r="AA1503" i="4"/>
  <c r="Z1503" i="4"/>
  <c r="AA1502" i="4"/>
  <c r="Z1502" i="4"/>
  <c r="AA1501" i="4"/>
  <c r="Z1501" i="4"/>
  <c r="AA1500" i="4"/>
  <c r="Z1500" i="4"/>
  <c r="AA1499" i="4"/>
  <c r="Z1499" i="4"/>
  <c r="AA1498" i="4"/>
  <c r="Z1498" i="4"/>
  <c r="AA1497" i="4"/>
  <c r="Z1497" i="4"/>
  <c r="AA1496" i="4"/>
  <c r="Z1496" i="4"/>
  <c r="AA1495" i="4"/>
  <c r="Z1495" i="4"/>
  <c r="AA1494" i="4"/>
  <c r="Z1494" i="4"/>
  <c r="AA1493" i="4"/>
  <c r="Z1493" i="4"/>
  <c r="AA1492" i="4"/>
  <c r="Z1492" i="4"/>
  <c r="AA1491" i="4"/>
  <c r="Z1491" i="4"/>
  <c r="AA1490" i="4"/>
  <c r="Z1490" i="4"/>
  <c r="AA1489" i="4"/>
  <c r="Z1489" i="4"/>
  <c r="AA1488" i="4"/>
  <c r="Z1488" i="4"/>
  <c r="AA1487" i="4"/>
  <c r="Z1487" i="4"/>
  <c r="AA1486" i="4"/>
  <c r="Z1486" i="4"/>
  <c r="AA1485" i="4"/>
  <c r="Z1485" i="4"/>
  <c r="AA1484" i="4"/>
  <c r="Z1484" i="4"/>
  <c r="AA1483" i="4"/>
  <c r="Z1483" i="4"/>
  <c r="AA1482" i="4"/>
  <c r="Z1482" i="4"/>
  <c r="AA1481" i="4"/>
  <c r="Z1481" i="4"/>
  <c r="AA1480" i="4"/>
  <c r="Z1480" i="4"/>
  <c r="AA1479" i="4"/>
  <c r="Z1479" i="4"/>
  <c r="AA1478" i="4"/>
  <c r="Z1478" i="4"/>
  <c r="AA1477" i="4"/>
  <c r="Z1477" i="4"/>
  <c r="AA1476" i="4"/>
  <c r="Z1476" i="4"/>
  <c r="AA1475" i="4"/>
  <c r="Z1475" i="4"/>
  <c r="AA1474" i="4"/>
  <c r="Z1474" i="4"/>
  <c r="AA1473" i="4"/>
  <c r="Z1473" i="4"/>
  <c r="AA1472" i="4"/>
  <c r="Z1472" i="4"/>
  <c r="AA1471" i="4"/>
  <c r="Z1471" i="4"/>
  <c r="AA1470" i="4"/>
  <c r="Z1470" i="4"/>
  <c r="AA1469" i="4"/>
  <c r="Z1469" i="4"/>
  <c r="AA1468" i="4"/>
  <c r="Z1468" i="4"/>
  <c r="AA1467" i="4"/>
  <c r="Z1467" i="4"/>
  <c r="AA1466" i="4"/>
  <c r="Z1466" i="4"/>
  <c r="AA1465" i="4"/>
  <c r="Z1465" i="4"/>
  <c r="AA1464" i="4"/>
  <c r="Z1464" i="4"/>
  <c r="AA1463" i="4"/>
  <c r="Z1463" i="4"/>
  <c r="AA1462" i="4"/>
  <c r="Z1462" i="4"/>
  <c r="AA1461" i="4"/>
  <c r="Z1461" i="4"/>
  <c r="AA1460" i="4"/>
  <c r="Z1460" i="4"/>
  <c r="AA1459" i="4"/>
  <c r="Z1459" i="4"/>
  <c r="AA1458" i="4"/>
  <c r="Z1458" i="4"/>
  <c r="AA1457" i="4"/>
  <c r="Z1457" i="4"/>
  <c r="AA1456" i="4"/>
  <c r="Z1456" i="4"/>
  <c r="AA1455" i="4"/>
  <c r="Z1455" i="4"/>
  <c r="AA1454" i="4"/>
  <c r="Z1454" i="4"/>
  <c r="AA1453" i="4"/>
  <c r="Z1453" i="4"/>
  <c r="AA1452" i="4"/>
  <c r="Z1452" i="4"/>
  <c r="AA1451" i="4"/>
  <c r="Z1451" i="4"/>
  <c r="AA1450" i="4"/>
  <c r="Z1450" i="4"/>
  <c r="AA1449" i="4"/>
  <c r="Z1449" i="4"/>
  <c r="AA1448" i="4"/>
  <c r="Z1448" i="4"/>
  <c r="AA1447" i="4"/>
  <c r="Z1447" i="4"/>
  <c r="AA1446" i="4"/>
  <c r="Z1446" i="4"/>
  <c r="AA1445" i="4"/>
  <c r="Z1445" i="4"/>
  <c r="AA1444" i="4"/>
  <c r="Z1444" i="4"/>
  <c r="AA1443" i="4"/>
  <c r="Z1443" i="4"/>
  <c r="AA1442" i="4"/>
  <c r="Z1442" i="4"/>
  <c r="AA1441" i="4"/>
  <c r="Z1441" i="4"/>
  <c r="AA1440" i="4"/>
  <c r="Z1440" i="4"/>
  <c r="AA1439" i="4"/>
  <c r="Z1439" i="4"/>
  <c r="AA1438" i="4"/>
  <c r="Z1438" i="4"/>
  <c r="AA1437" i="4"/>
  <c r="Z1437" i="4"/>
  <c r="AA1436" i="4"/>
  <c r="Z1436" i="4"/>
  <c r="AA1435" i="4"/>
  <c r="Z1435" i="4"/>
  <c r="AA1434" i="4"/>
  <c r="Z1434" i="4"/>
  <c r="AA1433" i="4"/>
  <c r="Z1433" i="4"/>
  <c r="AA1432" i="4"/>
  <c r="Z1432" i="4"/>
  <c r="AA1431" i="4"/>
  <c r="Z1431" i="4"/>
  <c r="AA1430" i="4"/>
  <c r="Z1430" i="4"/>
  <c r="AA1429" i="4"/>
  <c r="Z1429" i="4"/>
  <c r="AA1428" i="4"/>
  <c r="Z1428" i="4"/>
  <c r="AA1427" i="4"/>
  <c r="Z1427" i="4"/>
  <c r="AA1426" i="4"/>
  <c r="Z1426" i="4"/>
  <c r="AA1425" i="4"/>
  <c r="Z1425" i="4"/>
  <c r="AA1424" i="4"/>
  <c r="Z1424" i="4"/>
  <c r="AA1423" i="4"/>
  <c r="Z1423" i="4"/>
  <c r="AA1422" i="4"/>
  <c r="Z1422" i="4"/>
  <c r="AA1421" i="4"/>
  <c r="Z1421" i="4"/>
  <c r="AA1420" i="4"/>
  <c r="Z1420" i="4"/>
  <c r="AA1419" i="4"/>
  <c r="Z1419" i="4"/>
  <c r="AA1418" i="4"/>
  <c r="Z1418" i="4"/>
  <c r="AA1417" i="4"/>
  <c r="Z1417" i="4"/>
  <c r="AA1416" i="4"/>
  <c r="Z1416" i="4"/>
  <c r="AA1415" i="4"/>
  <c r="Z1415" i="4"/>
  <c r="AA1414" i="4"/>
  <c r="Z1414" i="4"/>
  <c r="AA1413" i="4"/>
  <c r="Z1413" i="4"/>
  <c r="AA1412" i="4"/>
  <c r="Z1412" i="4"/>
  <c r="AA1411" i="4"/>
  <c r="Z1411" i="4"/>
  <c r="AA1410" i="4"/>
  <c r="Z1410" i="4"/>
  <c r="AA1409" i="4"/>
  <c r="Z1409" i="4"/>
  <c r="AA1408" i="4"/>
  <c r="Z1408" i="4"/>
  <c r="AA1407" i="4"/>
  <c r="Z1407" i="4"/>
  <c r="AA1406" i="4"/>
  <c r="Z1406" i="4"/>
  <c r="AA1405" i="4"/>
  <c r="Z1405" i="4"/>
  <c r="AA1404" i="4"/>
  <c r="Z1404" i="4"/>
  <c r="AA1403" i="4"/>
  <c r="Z1403" i="4"/>
  <c r="AA1402" i="4"/>
  <c r="Z1402" i="4"/>
  <c r="AA1401" i="4"/>
  <c r="Z1401" i="4"/>
  <c r="AA1400" i="4"/>
  <c r="Z1400" i="4"/>
  <c r="AA1399" i="4"/>
  <c r="Z1399" i="4"/>
  <c r="AA1398" i="4"/>
  <c r="Z1398" i="4"/>
  <c r="AA1397" i="4"/>
  <c r="Z1397" i="4"/>
  <c r="AA1396" i="4"/>
  <c r="Z1396" i="4"/>
  <c r="AA1395" i="4"/>
  <c r="Z1395" i="4"/>
  <c r="AA1394" i="4"/>
  <c r="Z1394" i="4"/>
  <c r="AA1393" i="4"/>
  <c r="Z1393" i="4"/>
  <c r="AA1392" i="4"/>
  <c r="Z1392" i="4"/>
  <c r="AA1391" i="4"/>
  <c r="Z1391" i="4"/>
  <c r="AA1390" i="4"/>
  <c r="Z1390" i="4"/>
  <c r="AA1389" i="4"/>
  <c r="Z1389" i="4"/>
  <c r="AA1388" i="4"/>
  <c r="Z1388" i="4"/>
  <c r="AA1387" i="4"/>
  <c r="Z1387" i="4"/>
  <c r="AA1386" i="4"/>
  <c r="Z1386" i="4"/>
  <c r="AA1385" i="4"/>
  <c r="Z1385" i="4"/>
  <c r="AA1384" i="4"/>
  <c r="Z1384" i="4"/>
  <c r="AA1383" i="4"/>
  <c r="Z1383" i="4"/>
  <c r="AA1382" i="4"/>
  <c r="Z1382" i="4"/>
  <c r="AA1381" i="4"/>
  <c r="Z1381" i="4"/>
  <c r="AA1380" i="4"/>
  <c r="Z1380" i="4"/>
  <c r="AA1379" i="4"/>
  <c r="Z1379" i="4"/>
  <c r="AA1378" i="4"/>
  <c r="Z1378" i="4"/>
  <c r="AA1377" i="4"/>
  <c r="Z1377" i="4"/>
  <c r="AA1376" i="4"/>
  <c r="Z1376" i="4"/>
  <c r="AA1375" i="4"/>
  <c r="Z1375" i="4"/>
  <c r="AA1374" i="4"/>
  <c r="Z1374" i="4"/>
  <c r="AA1373" i="4"/>
  <c r="Z1373" i="4"/>
  <c r="AA1372" i="4"/>
  <c r="Z1372" i="4"/>
  <c r="AA1371" i="4"/>
  <c r="Z1371" i="4"/>
  <c r="AA1370" i="4"/>
  <c r="Z1370" i="4"/>
  <c r="AA1369" i="4"/>
  <c r="Z1369" i="4"/>
  <c r="AA1368" i="4"/>
  <c r="Z1368" i="4"/>
  <c r="AA1367" i="4"/>
  <c r="Z1367" i="4"/>
  <c r="AA1366" i="4"/>
  <c r="Z1366" i="4"/>
  <c r="AA1365" i="4"/>
  <c r="Z1365" i="4"/>
  <c r="AA1364" i="4"/>
  <c r="Z1364" i="4"/>
  <c r="AA1363" i="4"/>
  <c r="Z1363" i="4"/>
  <c r="AA1362" i="4"/>
  <c r="Z1362" i="4"/>
  <c r="AA1361" i="4"/>
  <c r="Z1361" i="4"/>
  <c r="AA1360" i="4"/>
  <c r="Z1360" i="4"/>
  <c r="AA1359" i="4"/>
  <c r="Z1359" i="4"/>
  <c r="AA1358" i="4"/>
  <c r="Z1358" i="4"/>
  <c r="AA1357" i="4"/>
  <c r="Z1357" i="4"/>
  <c r="AA1356" i="4"/>
  <c r="Z1356" i="4"/>
  <c r="AA1355" i="4"/>
  <c r="Z1355" i="4"/>
  <c r="AA1354" i="4"/>
  <c r="Z1354" i="4"/>
  <c r="AA1353" i="4"/>
  <c r="Z1353" i="4"/>
  <c r="AA1352" i="4"/>
  <c r="Z1352" i="4"/>
  <c r="AA1351" i="4"/>
  <c r="Z1351" i="4"/>
  <c r="AA1350" i="4"/>
  <c r="Z1350" i="4"/>
  <c r="AA1349" i="4"/>
  <c r="Z1349" i="4"/>
  <c r="AA1348" i="4"/>
  <c r="Z1348" i="4"/>
  <c r="AA1347" i="4"/>
  <c r="Z1347" i="4"/>
  <c r="AA1346" i="4"/>
  <c r="Z1346" i="4"/>
  <c r="AA1345" i="4"/>
  <c r="Z1345" i="4"/>
  <c r="AA1344" i="4"/>
  <c r="Z1344" i="4"/>
  <c r="AA1343" i="4"/>
  <c r="Z1343" i="4"/>
  <c r="AA1342" i="4"/>
  <c r="Z1342" i="4"/>
  <c r="AA1341" i="4"/>
  <c r="Z1341" i="4"/>
  <c r="AA1340" i="4"/>
  <c r="Z1340" i="4"/>
  <c r="AA1339" i="4"/>
  <c r="Z1339" i="4"/>
  <c r="AA1338" i="4"/>
  <c r="Z1338" i="4"/>
  <c r="AA1337" i="4"/>
  <c r="Z1337" i="4"/>
  <c r="AA1336" i="4"/>
  <c r="Z1336" i="4"/>
  <c r="AA1335" i="4"/>
  <c r="Z1335" i="4"/>
  <c r="AA1334" i="4"/>
  <c r="Z1334" i="4"/>
  <c r="AA1333" i="4"/>
  <c r="Z1333" i="4"/>
  <c r="AA1332" i="4"/>
  <c r="Z1332" i="4"/>
  <c r="AA1331" i="4"/>
  <c r="Z1331" i="4"/>
  <c r="AA1330" i="4"/>
  <c r="Z1330" i="4"/>
  <c r="AA1329" i="4"/>
  <c r="Z1329" i="4"/>
  <c r="AA1328" i="4"/>
  <c r="Z1328" i="4"/>
  <c r="AA1327" i="4"/>
  <c r="Z1327" i="4"/>
  <c r="AA1326" i="4"/>
  <c r="Z1326" i="4"/>
  <c r="AA1325" i="4"/>
  <c r="Z1325" i="4"/>
  <c r="AA1324" i="4"/>
  <c r="Z1324" i="4"/>
  <c r="AA1323" i="4"/>
  <c r="Z1323" i="4"/>
  <c r="AA1322" i="4"/>
  <c r="Z1322" i="4"/>
  <c r="AA1321" i="4"/>
  <c r="Z1321" i="4"/>
  <c r="AA1320" i="4"/>
  <c r="Z1320" i="4"/>
  <c r="AA1319" i="4"/>
  <c r="Z1319" i="4"/>
  <c r="AA1318" i="4"/>
  <c r="Z1318" i="4"/>
  <c r="AA1317" i="4"/>
  <c r="Z1317" i="4"/>
  <c r="AA1316" i="4"/>
  <c r="Z1316" i="4"/>
  <c r="AA1315" i="4"/>
  <c r="Z1315" i="4"/>
  <c r="AA1314" i="4"/>
  <c r="Z1314" i="4"/>
  <c r="AA1313" i="4"/>
  <c r="Z1313" i="4"/>
  <c r="AA1312" i="4"/>
  <c r="Z1312" i="4"/>
  <c r="AA1311" i="4"/>
  <c r="Z1311" i="4"/>
  <c r="AA1310" i="4"/>
  <c r="Z1310" i="4"/>
  <c r="AA1309" i="4"/>
  <c r="Z1309" i="4"/>
  <c r="AA1308" i="4"/>
  <c r="Z1308" i="4"/>
  <c r="AA1307" i="4"/>
  <c r="Z1307" i="4"/>
  <c r="AA1306" i="4"/>
  <c r="Z1306" i="4"/>
  <c r="AA1305" i="4"/>
  <c r="Z1305" i="4"/>
  <c r="AA1304" i="4"/>
  <c r="Z1304" i="4"/>
  <c r="AA1303" i="4"/>
  <c r="Z1303" i="4"/>
  <c r="AA1302" i="4"/>
  <c r="Z1302" i="4"/>
  <c r="AA1301" i="4"/>
  <c r="Z1301" i="4"/>
  <c r="AA1300" i="4"/>
  <c r="Z1300" i="4"/>
  <c r="AA1299" i="4"/>
  <c r="Z1299" i="4"/>
  <c r="AA1298" i="4"/>
  <c r="Z1298" i="4"/>
  <c r="AA1297" i="4"/>
  <c r="Z1297" i="4"/>
  <c r="AA1296" i="4"/>
  <c r="Z1296" i="4"/>
  <c r="AA1295" i="4"/>
  <c r="Z1295" i="4"/>
  <c r="AA1294" i="4"/>
  <c r="Z1294" i="4"/>
  <c r="AA1293" i="4"/>
  <c r="Z1293" i="4"/>
  <c r="AA1292" i="4"/>
  <c r="Z1292" i="4"/>
  <c r="AA1291" i="4"/>
  <c r="Z1291" i="4"/>
  <c r="AA1290" i="4"/>
  <c r="Z1290" i="4"/>
  <c r="AA1289" i="4"/>
  <c r="Z1289" i="4"/>
  <c r="AA1288" i="4"/>
  <c r="Z1288" i="4"/>
  <c r="AA1287" i="4"/>
  <c r="Z1287" i="4"/>
  <c r="AA1286" i="4"/>
  <c r="Z1286" i="4"/>
  <c r="AA1285" i="4"/>
  <c r="Z1285" i="4"/>
  <c r="AA1284" i="4"/>
  <c r="Z1284" i="4"/>
  <c r="AA1283" i="4"/>
  <c r="Z1283" i="4"/>
  <c r="AA1282" i="4"/>
  <c r="Z1282" i="4"/>
  <c r="AA1281" i="4"/>
  <c r="Z1281" i="4"/>
  <c r="AA1280" i="4"/>
  <c r="Z1280" i="4"/>
  <c r="AA1279" i="4"/>
  <c r="Z1279" i="4"/>
  <c r="AA1278" i="4"/>
  <c r="Z1278" i="4"/>
  <c r="AA1277" i="4"/>
  <c r="Z1277" i="4"/>
  <c r="AA1276" i="4"/>
  <c r="Z1276" i="4"/>
  <c r="AA1275" i="4"/>
  <c r="Z1275" i="4"/>
  <c r="AA1274" i="4"/>
  <c r="Z1274" i="4"/>
  <c r="AA1273" i="4"/>
  <c r="Z1273" i="4"/>
  <c r="AA1272" i="4"/>
  <c r="Z1272" i="4"/>
  <c r="AA1271" i="4"/>
  <c r="Z1271" i="4"/>
  <c r="AA1270" i="4"/>
  <c r="Z1270" i="4"/>
  <c r="AA1269" i="4"/>
  <c r="Z1269" i="4"/>
  <c r="AA1268" i="4"/>
  <c r="Z1268" i="4"/>
  <c r="AA1267" i="4"/>
  <c r="Z1267" i="4"/>
  <c r="AA1266" i="4"/>
  <c r="Z1266" i="4"/>
  <c r="AA1265" i="4"/>
  <c r="Z1265" i="4"/>
  <c r="AA1264" i="4"/>
  <c r="Z1264" i="4"/>
  <c r="AA1263" i="4"/>
  <c r="Z1263" i="4"/>
  <c r="AA1262" i="4"/>
  <c r="Z1262" i="4"/>
  <c r="AA1261" i="4"/>
  <c r="Z1261" i="4"/>
  <c r="AA1260" i="4"/>
  <c r="Z1260" i="4"/>
  <c r="AA1259" i="4"/>
  <c r="Z1259" i="4"/>
  <c r="AA1258" i="4"/>
  <c r="Z1258" i="4"/>
  <c r="AA1257" i="4"/>
  <c r="Z1257" i="4"/>
  <c r="AA1256" i="4"/>
  <c r="Z1256" i="4"/>
  <c r="AA1255" i="4"/>
  <c r="Z1255" i="4"/>
  <c r="AA1254" i="4"/>
  <c r="Z1254" i="4"/>
  <c r="AA1253" i="4"/>
  <c r="Z1253" i="4"/>
  <c r="AA1252" i="4"/>
  <c r="Z1252" i="4"/>
  <c r="AA1251" i="4"/>
  <c r="Z1251" i="4"/>
  <c r="AA1250" i="4"/>
  <c r="Z1250" i="4"/>
  <c r="AA1249" i="4"/>
  <c r="Z1249" i="4"/>
  <c r="AA1248" i="4"/>
  <c r="Z1248" i="4"/>
  <c r="AA1247" i="4"/>
  <c r="Z1247" i="4"/>
  <c r="AA1246" i="4"/>
  <c r="Z1246" i="4"/>
  <c r="AA1245" i="4"/>
  <c r="Z1245" i="4"/>
  <c r="AA1244" i="4"/>
  <c r="Z1244" i="4"/>
  <c r="AA1243" i="4"/>
  <c r="Z1243" i="4"/>
  <c r="AA1242" i="4"/>
  <c r="Z1242" i="4"/>
  <c r="AA1241" i="4"/>
  <c r="Z1241" i="4"/>
  <c r="AA1240" i="4"/>
  <c r="Z1240" i="4"/>
  <c r="AA1239" i="4"/>
  <c r="Z1239" i="4"/>
  <c r="AA1238" i="4"/>
  <c r="Z1238" i="4"/>
  <c r="AA1237" i="4"/>
  <c r="Z1237" i="4"/>
  <c r="AA1236" i="4"/>
  <c r="Z1236" i="4"/>
  <c r="AA1235" i="4"/>
  <c r="Z1235" i="4"/>
  <c r="AA1234" i="4"/>
  <c r="Z1234" i="4"/>
  <c r="AA1233" i="4"/>
  <c r="Z1233" i="4"/>
  <c r="AA1232" i="4"/>
  <c r="Z1232" i="4"/>
  <c r="AA1231" i="4"/>
  <c r="Z1231" i="4"/>
  <c r="AA1230" i="4"/>
  <c r="Z1230" i="4"/>
  <c r="AA1229" i="4"/>
  <c r="Z1229" i="4"/>
  <c r="AA1228" i="4"/>
  <c r="Z1228" i="4"/>
  <c r="AA1227" i="4"/>
  <c r="Z1227" i="4"/>
  <c r="AA1226" i="4"/>
  <c r="Z1226" i="4"/>
  <c r="AA1225" i="4"/>
  <c r="Z1225" i="4"/>
  <c r="AA1224" i="4"/>
  <c r="Z1224" i="4"/>
  <c r="AA1223" i="4"/>
  <c r="Z1223" i="4"/>
  <c r="AA1222" i="4"/>
  <c r="Z1222" i="4"/>
  <c r="AA1221" i="4"/>
  <c r="Z1221" i="4"/>
  <c r="AA1220" i="4"/>
  <c r="Z1220" i="4"/>
  <c r="AA1219" i="4"/>
  <c r="Z1219" i="4"/>
  <c r="AA1218" i="4"/>
  <c r="Z1218" i="4"/>
  <c r="AA1217" i="4"/>
  <c r="Z1217" i="4"/>
  <c r="AA1216" i="4"/>
  <c r="Z1216" i="4"/>
  <c r="AA1215" i="4"/>
  <c r="Z1215" i="4"/>
  <c r="AA1214" i="4"/>
  <c r="Z1214" i="4"/>
  <c r="AA1213" i="4"/>
  <c r="Z1213" i="4"/>
  <c r="AA1212" i="4"/>
  <c r="Z1212" i="4"/>
  <c r="AA1211" i="4"/>
  <c r="Z1211" i="4"/>
  <c r="AA1210" i="4"/>
  <c r="Z1210" i="4"/>
  <c r="AA1209" i="4"/>
  <c r="Z1209" i="4"/>
  <c r="AA1208" i="4"/>
  <c r="Z1208" i="4"/>
  <c r="AA1207" i="4"/>
  <c r="Z1207" i="4"/>
  <c r="AA1206" i="4"/>
  <c r="Z1206" i="4"/>
  <c r="AA1205" i="4"/>
  <c r="Z1205" i="4"/>
  <c r="AA1204" i="4"/>
  <c r="Z1204" i="4"/>
  <c r="AA1203" i="4"/>
  <c r="Z1203" i="4"/>
  <c r="AA1202" i="4"/>
  <c r="Z1202" i="4"/>
  <c r="AA1201" i="4"/>
  <c r="Z1201" i="4"/>
  <c r="AA1200" i="4"/>
  <c r="Z1200" i="4"/>
  <c r="AA1199" i="4"/>
  <c r="Z1199" i="4"/>
  <c r="AA1198" i="4"/>
  <c r="Z1198" i="4"/>
  <c r="AA1197" i="4"/>
  <c r="Z1197" i="4"/>
  <c r="AA1196" i="4"/>
  <c r="Z1196" i="4"/>
  <c r="AA1195" i="4"/>
  <c r="Z1195" i="4"/>
  <c r="AA1194" i="4"/>
  <c r="Z1194" i="4"/>
  <c r="AA1193" i="4"/>
  <c r="Z1193" i="4"/>
  <c r="AA1192" i="4"/>
  <c r="Z1192" i="4"/>
  <c r="AA1191" i="4"/>
  <c r="Z1191" i="4"/>
  <c r="AA1190" i="4"/>
  <c r="Z1190" i="4"/>
  <c r="AA1189" i="4"/>
  <c r="Z1189" i="4"/>
  <c r="AA1188" i="4"/>
  <c r="Z1188" i="4"/>
  <c r="AA1187" i="4"/>
  <c r="Z1187" i="4"/>
  <c r="AA1186" i="4"/>
  <c r="Z1186" i="4"/>
  <c r="AA1185" i="4"/>
  <c r="Z1185" i="4"/>
  <c r="AA1184" i="4"/>
  <c r="Z1184" i="4"/>
  <c r="AA1183" i="4"/>
  <c r="Z1183" i="4"/>
  <c r="AA1182" i="4"/>
  <c r="Z1182" i="4"/>
  <c r="AA1181" i="4"/>
  <c r="Z1181" i="4"/>
  <c r="AA1180" i="4"/>
  <c r="Z1180" i="4"/>
  <c r="AA1179" i="4"/>
  <c r="Z1179" i="4"/>
  <c r="AA1178" i="4"/>
  <c r="Z1178" i="4"/>
  <c r="AA1177" i="4"/>
  <c r="Z1177" i="4"/>
  <c r="AA1176" i="4"/>
  <c r="Z1176" i="4"/>
  <c r="AA1175" i="4"/>
  <c r="Z1175" i="4"/>
  <c r="AA1174" i="4"/>
  <c r="Z1174" i="4"/>
  <c r="AA1173" i="4"/>
  <c r="Z1173" i="4"/>
  <c r="AA1172" i="4"/>
  <c r="Z1172" i="4"/>
  <c r="AA1171" i="4"/>
  <c r="Z1171" i="4"/>
  <c r="AA1170" i="4"/>
  <c r="Z1170" i="4"/>
  <c r="AA1169" i="4"/>
  <c r="Z1169" i="4"/>
  <c r="AA1168" i="4"/>
  <c r="Z1168" i="4"/>
  <c r="AA1167" i="4"/>
  <c r="Z1167" i="4"/>
  <c r="AA1166" i="4"/>
  <c r="Z1166" i="4"/>
  <c r="AA1165" i="4"/>
  <c r="Z1165" i="4"/>
  <c r="AA1164" i="4"/>
  <c r="Z1164" i="4"/>
  <c r="AA1163" i="4"/>
  <c r="Z1163" i="4"/>
  <c r="AA1162" i="4"/>
  <c r="Z1162" i="4"/>
  <c r="AA1161" i="4"/>
  <c r="Z1161" i="4"/>
  <c r="AA1160" i="4"/>
  <c r="Z1160" i="4"/>
  <c r="AA1159" i="4"/>
  <c r="Z1159" i="4"/>
  <c r="AA1158" i="4"/>
  <c r="Z1158" i="4"/>
  <c r="AA1157" i="4"/>
  <c r="Z1157" i="4"/>
  <c r="AA1156" i="4"/>
  <c r="Z1156" i="4"/>
  <c r="AA1155" i="4"/>
  <c r="Z1155" i="4"/>
  <c r="AA1154" i="4"/>
  <c r="Z1154" i="4"/>
  <c r="AA1153" i="4"/>
  <c r="Z1153" i="4"/>
  <c r="AA1152" i="4"/>
  <c r="Z1152" i="4"/>
  <c r="AA1151" i="4"/>
  <c r="Z1151" i="4"/>
  <c r="AA1150" i="4"/>
  <c r="Z1150" i="4"/>
  <c r="AA1149" i="4"/>
  <c r="Z1149" i="4"/>
  <c r="AA1148" i="4"/>
  <c r="Z1148" i="4"/>
  <c r="AA1147" i="4"/>
  <c r="Z1147" i="4"/>
  <c r="AA1146" i="4"/>
  <c r="Z1146" i="4"/>
  <c r="AA1145" i="4"/>
  <c r="Z1145" i="4"/>
  <c r="AA1144" i="4"/>
  <c r="Z1144" i="4"/>
  <c r="AA1143" i="4"/>
  <c r="Z1143" i="4"/>
  <c r="AA1142" i="4"/>
  <c r="Z1142" i="4"/>
  <c r="AA1141" i="4"/>
  <c r="Z1141" i="4"/>
  <c r="AA1140" i="4"/>
  <c r="Z1140" i="4"/>
  <c r="AA1139" i="4"/>
  <c r="Z1139" i="4"/>
  <c r="AA1138" i="4"/>
  <c r="Z1138" i="4"/>
  <c r="AA1137" i="4"/>
  <c r="Z1137" i="4"/>
  <c r="AA1136" i="4"/>
  <c r="Z1136" i="4"/>
  <c r="AA1135" i="4"/>
  <c r="Z1135" i="4"/>
  <c r="AA1134" i="4"/>
  <c r="Z1134" i="4"/>
  <c r="AA1133" i="4"/>
  <c r="Z1133" i="4"/>
  <c r="AA1132" i="4"/>
  <c r="Z1132" i="4"/>
  <c r="AA1131" i="4"/>
  <c r="Z1131" i="4"/>
  <c r="AA1130" i="4"/>
  <c r="Z1130" i="4"/>
  <c r="AA1129" i="4"/>
  <c r="Z1129" i="4"/>
  <c r="AA1128" i="4"/>
  <c r="Z1128" i="4"/>
  <c r="AA1127" i="4"/>
  <c r="Z1127" i="4"/>
  <c r="AA1126" i="4"/>
  <c r="Z1126" i="4"/>
  <c r="AA1125" i="4"/>
  <c r="Z1125" i="4"/>
  <c r="AA1124" i="4"/>
  <c r="Z1124" i="4"/>
  <c r="AA1123" i="4"/>
  <c r="Z1123" i="4"/>
  <c r="AA1122" i="4"/>
  <c r="Z1122" i="4"/>
  <c r="AA1121" i="4"/>
  <c r="Z1121" i="4"/>
  <c r="AA1120" i="4"/>
  <c r="Z1120" i="4"/>
  <c r="AA1119" i="4"/>
  <c r="Z1119" i="4"/>
  <c r="AA1118" i="4"/>
  <c r="Z1118" i="4"/>
  <c r="AA1117" i="4"/>
  <c r="Z1117" i="4"/>
  <c r="AA1116" i="4"/>
  <c r="Z1116" i="4"/>
  <c r="AA1115" i="4"/>
  <c r="Z1115" i="4"/>
  <c r="AA1114" i="4"/>
  <c r="Z1114" i="4"/>
  <c r="AA1113" i="4"/>
  <c r="Z1113" i="4"/>
  <c r="AA1112" i="4"/>
  <c r="Z1112" i="4"/>
  <c r="AA1111" i="4"/>
  <c r="Z1111" i="4"/>
  <c r="AA1110" i="4"/>
  <c r="Z1110" i="4"/>
  <c r="AA1109" i="4"/>
  <c r="Z1109" i="4"/>
  <c r="AA1108" i="4"/>
  <c r="Z1108" i="4"/>
  <c r="AA1107" i="4"/>
  <c r="Z1107" i="4"/>
  <c r="AA1106" i="4"/>
  <c r="Z1106" i="4"/>
  <c r="AA1105" i="4"/>
  <c r="Z1105" i="4"/>
  <c r="AA1104" i="4"/>
  <c r="Z1104" i="4"/>
  <c r="AA1103" i="4"/>
  <c r="Z1103" i="4"/>
  <c r="AA1102" i="4"/>
  <c r="Z1102" i="4"/>
  <c r="AA1101" i="4"/>
  <c r="Z1101" i="4"/>
  <c r="AA1100" i="4"/>
  <c r="Z1100" i="4"/>
  <c r="AA1099" i="4"/>
  <c r="Z1099" i="4"/>
  <c r="AA1098" i="4"/>
  <c r="Z1098" i="4"/>
  <c r="AA1097" i="4"/>
  <c r="Z1097" i="4"/>
  <c r="AA1096" i="4"/>
  <c r="Z1096" i="4"/>
  <c r="AA1095" i="4"/>
  <c r="Z1095" i="4"/>
  <c r="AA1094" i="4"/>
  <c r="Z1094" i="4"/>
  <c r="AA1093" i="4"/>
  <c r="Z1093" i="4"/>
  <c r="AA1092" i="4"/>
  <c r="Z1092" i="4"/>
  <c r="AA1091" i="4"/>
  <c r="Z1091" i="4"/>
  <c r="AA1090" i="4"/>
  <c r="Z1090" i="4"/>
  <c r="AA1089" i="4"/>
  <c r="Z1089" i="4"/>
  <c r="AA1088" i="4"/>
  <c r="Z1088" i="4"/>
  <c r="AA1087" i="4"/>
  <c r="Z1087" i="4"/>
  <c r="AA1086" i="4"/>
  <c r="Z1086" i="4"/>
  <c r="AA1085" i="4"/>
  <c r="Z1085" i="4"/>
  <c r="AA1084" i="4"/>
  <c r="Z1084" i="4"/>
  <c r="AA1083" i="4"/>
  <c r="Z1083" i="4"/>
  <c r="AA1082" i="4"/>
  <c r="Z1082" i="4"/>
  <c r="AA1081" i="4"/>
  <c r="Z1081" i="4"/>
  <c r="AA1080" i="4"/>
  <c r="Z1080" i="4"/>
  <c r="AA1079" i="4"/>
  <c r="Z1079" i="4"/>
  <c r="AA1078" i="4"/>
  <c r="Z1078" i="4"/>
  <c r="AA1077" i="4"/>
  <c r="Z1077" i="4"/>
  <c r="AA1076" i="4"/>
  <c r="Z1076" i="4"/>
  <c r="AA1075" i="4"/>
  <c r="Z1075" i="4"/>
  <c r="AA1074" i="4"/>
  <c r="Z1074" i="4"/>
  <c r="AA1073" i="4"/>
  <c r="Z1073" i="4"/>
  <c r="AA1072" i="4"/>
  <c r="Z1072" i="4"/>
  <c r="AA1071" i="4"/>
  <c r="Z1071" i="4"/>
  <c r="AA1070" i="4"/>
  <c r="Z1070" i="4"/>
  <c r="AA1069" i="4"/>
  <c r="Z1069" i="4"/>
  <c r="AA1068" i="4"/>
  <c r="Z1068" i="4"/>
  <c r="AA1067" i="4"/>
  <c r="Z1067" i="4"/>
  <c r="AA1066" i="4"/>
  <c r="Z1066" i="4"/>
  <c r="AA1065" i="4"/>
  <c r="Z1065" i="4"/>
  <c r="AA1064" i="4"/>
  <c r="Z1064" i="4"/>
  <c r="AA1063" i="4"/>
  <c r="Z1063" i="4"/>
  <c r="AA1062" i="4"/>
  <c r="Z1062" i="4"/>
  <c r="AA1061" i="4"/>
  <c r="Z1061" i="4"/>
  <c r="AA1060" i="4"/>
  <c r="Z1060" i="4"/>
  <c r="AA1059" i="4"/>
  <c r="Z1059" i="4"/>
  <c r="AA1058" i="4"/>
  <c r="Z1058" i="4"/>
  <c r="AA1057" i="4"/>
  <c r="Z1057" i="4"/>
  <c r="AA1056" i="4"/>
  <c r="Z1056" i="4"/>
  <c r="AA1055" i="4"/>
  <c r="Z1055" i="4"/>
  <c r="AA1054" i="4"/>
  <c r="Z1054" i="4"/>
  <c r="AA1053" i="4"/>
  <c r="Z1053" i="4"/>
  <c r="AA1052" i="4"/>
  <c r="Z1052" i="4"/>
  <c r="AA1051" i="4"/>
  <c r="Z1051" i="4"/>
  <c r="AA1050" i="4"/>
  <c r="Z1050" i="4"/>
  <c r="AA1049" i="4"/>
  <c r="Z1049" i="4"/>
  <c r="AA1048" i="4"/>
  <c r="Z1048" i="4"/>
  <c r="AA1047" i="4"/>
  <c r="Z1047" i="4"/>
  <c r="AA1046" i="4"/>
  <c r="Z1046" i="4"/>
  <c r="AA1045" i="4"/>
  <c r="Z1045" i="4"/>
  <c r="AA1044" i="4"/>
  <c r="Z1044" i="4"/>
  <c r="AA1043" i="4"/>
  <c r="Z1043" i="4"/>
  <c r="AA1042" i="4"/>
  <c r="Z1042" i="4"/>
  <c r="AA1041" i="4"/>
  <c r="Z1041" i="4"/>
  <c r="AA1040" i="4"/>
  <c r="Z1040" i="4"/>
  <c r="AA1039" i="4"/>
  <c r="Z1039" i="4"/>
  <c r="AA1038" i="4"/>
  <c r="Z1038" i="4"/>
  <c r="AA1037" i="4"/>
  <c r="Z1037" i="4"/>
  <c r="AA1036" i="4"/>
  <c r="Z1036" i="4"/>
  <c r="AA1035" i="4"/>
  <c r="Z1035" i="4"/>
  <c r="AA1034" i="4"/>
  <c r="Z1034" i="4"/>
  <c r="AA1033" i="4"/>
  <c r="Z1033" i="4"/>
  <c r="AA1032" i="4"/>
  <c r="Z1032" i="4"/>
  <c r="AA1031" i="4"/>
  <c r="Z1031" i="4"/>
  <c r="AA1030" i="4"/>
  <c r="Z1030" i="4"/>
  <c r="AA1029" i="4"/>
  <c r="Z1029" i="4"/>
  <c r="AA1028" i="4"/>
  <c r="Z1028" i="4"/>
  <c r="AA1027" i="4"/>
  <c r="Z1027" i="4"/>
  <c r="AA1026" i="4"/>
  <c r="Z1026" i="4"/>
  <c r="AA1025" i="4"/>
  <c r="Z1025" i="4"/>
  <c r="AA1024" i="4"/>
  <c r="Z1024" i="4"/>
  <c r="AA1023" i="4"/>
  <c r="Z1023" i="4"/>
  <c r="AA1022" i="4"/>
  <c r="Z1022" i="4"/>
  <c r="AA1021" i="4"/>
  <c r="Z1021" i="4"/>
  <c r="AA1020" i="4"/>
  <c r="Z1020" i="4"/>
  <c r="AA1019" i="4"/>
  <c r="Z1019" i="4"/>
  <c r="AA1018" i="4"/>
  <c r="Z1018" i="4"/>
  <c r="AA1017" i="4"/>
  <c r="Z1017" i="4"/>
  <c r="AA1016" i="4"/>
  <c r="Z1016" i="4"/>
  <c r="AA1015" i="4"/>
  <c r="Z1015" i="4"/>
  <c r="AA1014" i="4"/>
  <c r="Z1014" i="4"/>
  <c r="AA1013" i="4"/>
  <c r="Z1013" i="4"/>
  <c r="AA1012" i="4"/>
  <c r="Z1012" i="4"/>
  <c r="AA1011" i="4"/>
  <c r="Z1011" i="4"/>
  <c r="AA1010" i="4"/>
  <c r="Z1010" i="4"/>
  <c r="AA1009" i="4"/>
  <c r="Z1009" i="4"/>
  <c r="AA1008" i="4"/>
  <c r="Z1008" i="4"/>
  <c r="AA1007" i="4"/>
  <c r="Z1007" i="4"/>
  <c r="AA1006" i="4"/>
  <c r="Z1006" i="4"/>
  <c r="AA1005" i="4"/>
  <c r="Z1005" i="4"/>
  <c r="AA1004" i="4"/>
  <c r="Z1004" i="4"/>
  <c r="AA1003" i="4"/>
  <c r="Z1003" i="4"/>
  <c r="AA1002" i="4"/>
  <c r="Z1002" i="4"/>
  <c r="AA1001" i="4"/>
  <c r="Z1001" i="4"/>
  <c r="AA1000" i="4"/>
  <c r="Z1000" i="4"/>
  <c r="AA999" i="4"/>
  <c r="Z999" i="4"/>
  <c r="AA998" i="4"/>
  <c r="Z998" i="4"/>
  <c r="AA997" i="4"/>
  <c r="Z997" i="4"/>
  <c r="AA996" i="4"/>
  <c r="Z996" i="4"/>
  <c r="AA995" i="4"/>
  <c r="Z995" i="4"/>
  <c r="AA994" i="4"/>
  <c r="Z994" i="4"/>
  <c r="AA993" i="4"/>
  <c r="Z993" i="4"/>
  <c r="AA992" i="4"/>
  <c r="Z992" i="4"/>
  <c r="AA991" i="4"/>
  <c r="Z991" i="4"/>
  <c r="AA990" i="4"/>
  <c r="Z990" i="4"/>
  <c r="AA989" i="4"/>
  <c r="Z989" i="4"/>
  <c r="AA988" i="4"/>
  <c r="Z988" i="4"/>
  <c r="AA987" i="4"/>
  <c r="Z987" i="4"/>
  <c r="AA986" i="4"/>
  <c r="Z986" i="4"/>
  <c r="AA985" i="4"/>
  <c r="Z985" i="4"/>
  <c r="AA984" i="4"/>
  <c r="Z984" i="4"/>
  <c r="AA983" i="4"/>
  <c r="Z983" i="4"/>
  <c r="AA982" i="4"/>
  <c r="Z982" i="4"/>
  <c r="AA981" i="4"/>
  <c r="Z981" i="4"/>
  <c r="AA980" i="4"/>
  <c r="Z980" i="4"/>
  <c r="AA979" i="4"/>
  <c r="Z979" i="4"/>
  <c r="AA978" i="4"/>
  <c r="Z978" i="4"/>
  <c r="AA977" i="4"/>
  <c r="Z977" i="4"/>
  <c r="AA976" i="4"/>
  <c r="Z976" i="4"/>
  <c r="AA975" i="4"/>
  <c r="Z975" i="4"/>
  <c r="AA974" i="4"/>
  <c r="Z974" i="4"/>
  <c r="AA973" i="4"/>
  <c r="Z973" i="4"/>
  <c r="AA972" i="4"/>
  <c r="Z972" i="4"/>
  <c r="AA971" i="4"/>
  <c r="Z971" i="4"/>
  <c r="AA970" i="4"/>
  <c r="Z970" i="4"/>
  <c r="AA969" i="4"/>
  <c r="Z969" i="4"/>
  <c r="AA968" i="4"/>
  <c r="Z968" i="4"/>
  <c r="AA967" i="4"/>
  <c r="Z967" i="4"/>
  <c r="AA966" i="4"/>
  <c r="Z966" i="4"/>
  <c r="AA965" i="4"/>
  <c r="Z965" i="4"/>
  <c r="AA964" i="4"/>
  <c r="Z964" i="4"/>
  <c r="AA963" i="4"/>
  <c r="Z963" i="4"/>
  <c r="AA962" i="4"/>
  <c r="Z962" i="4"/>
  <c r="AA961" i="4"/>
  <c r="Z961" i="4"/>
  <c r="AA960" i="4"/>
  <c r="Z960" i="4"/>
  <c r="AA959" i="4"/>
  <c r="Z959" i="4"/>
  <c r="AA958" i="4"/>
  <c r="Z958" i="4"/>
  <c r="AA957" i="4"/>
  <c r="Z957" i="4"/>
  <c r="AA956" i="4"/>
  <c r="Z956" i="4"/>
  <c r="AA955" i="4"/>
  <c r="Z955" i="4"/>
  <c r="AA954" i="4"/>
  <c r="Z954" i="4"/>
  <c r="AA953" i="4"/>
  <c r="Z953" i="4"/>
  <c r="AA952" i="4"/>
  <c r="Z952" i="4"/>
  <c r="AA951" i="4"/>
  <c r="Z951" i="4"/>
  <c r="AA950" i="4"/>
  <c r="Z950" i="4"/>
  <c r="AA949" i="4"/>
  <c r="Z949" i="4"/>
  <c r="AA948" i="4"/>
  <c r="Z948" i="4"/>
  <c r="AA947" i="4"/>
  <c r="Z947" i="4"/>
  <c r="AA946" i="4"/>
  <c r="Z946" i="4"/>
  <c r="AA945" i="4"/>
  <c r="Z945" i="4"/>
  <c r="AA944" i="4"/>
  <c r="Z944" i="4"/>
  <c r="AA943" i="4"/>
  <c r="Z943" i="4"/>
  <c r="AA942" i="4"/>
  <c r="Z942" i="4"/>
  <c r="AA941" i="4"/>
  <c r="Z941" i="4"/>
  <c r="AA940" i="4"/>
  <c r="Z940" i="4"/>
  <c r="AA939" i="4"/>
  <c r="Z939" i="4"/>
  <c r="AA938" i="4"/>
  <c r="Z938" i="4"/>
  <c r="AA937" i="4"/>
  <c r="Z937" i="4"/>
  <c r="AA936" i="4"/>
  <c r="Z936" i="4"/>
  <c r="AA935" i="4"/>
  <c r="Z935" i="4"/>
  <c r="AA934" i="4"/>
  <c r="Z934" i="4"/>
  <c r="AA933" i="4"/>
  <c r="Z933" i="4"/>
  <c r="AA932" i="4"/>
  <c r="Z932" i="4"/>
  <c r="AA931" i="4"/>
  <c r="Z931" i="4"/>
  <c r="AA930" i="4"/>
  <c r="Z930" i="4"/>
  <c r="AA929" i="4"/>
  <c r="Z929" i="4"/>
  <c r="AA928" i="4"/>
  <c r="Z928" i="4"/>
  <c r="AA927" i="4"/>
  <c r="Z927" i="4"/>
  <c r="AA926" i="4"/>
  <c r="Z926" i="4"/>
  <c r="AA925" i="4"/>
  <c r="Z925" i="4"/>
  <c r="AA924" i="4"/>
  <c r="Z924" i="4"/>
  <c r="AA923" i="4"/>
  <c r="Z923" i="4"/>
  <c r="AA922" i="4"/>
  <c r="Z922" i="4"/>
  <c r="AA921" i="4"/>
  <c r="Z921" i="4"/>
  <c r="AA920" i="4"/>
  <c r="Z920" i="4"/>
  <c r="AA919" i="4"/>
  <c r="Z919" i="4"/>
  <c r="AA918" i="4"/>
  <c r="Z918" i="4"/>
  <c r="AA917" i="4"/>
  <c r="Z917" i="4"/>
  <c r="AA916" i="4"/>
  <c r="Z916" i="4"/>
  <c r="AA915" i="4"/>
  <c r="Z915" i="4"/>
  <c r="AA914" i="4"/>
  <c r="Z914" i="4"/>
  <c r="AA913" i="4"/>
  <c r="Z913" i="4"/>
  <c r="AA912" i="4"/>
  <c r="Z912" i="4"/>
  <c r="AA911" i="4"/>
  <c r="Z911" i="4"/>
  <c r="AA910" i="4"/>
  <c r="Z910" i="4"/>
  <c r="AA909" i="4"/>
  <c r="Z909" i="4"/>
  <c r="AA908" i="4"/>
  <c r="Z908" i="4"/>
  <c r="AA907" i="4"/>
  <c r="Z907" i="4"/>
  <c r="AA906" i="4"/>
  <c r="Z906" i="4"/>
  <c r="AA905" i="4"/>
  <c r="Z905" i="4"/>
  <c r="AA904" i="4"/>
  <c r="Z904" i="4"/>
  <c r="AA903" i="4"/>
  <c r="Z903" i="4"/>
  <c r="AA902" i="4"/>
  <c r="Z902" i="4"/>
  <c r="AA901" i="4"/>
  <c r="Z901" i="4"/>
  <c r="AA900" i="4"/>
  <c r="Z900" i="4"/>
  <c r="AA899" i="4"/>
  <c r="Z899" i="4"/>
  <c r="AA898" i="4"/>
  <c r="Z898" i="4"/>
  <c r="AA897" i="4"/>
  <c r="Z897" i="4"/>
  <c r="AA896" i="4"/>
  <c r="Z896" i="4"/>
  <c r="AA895" i="4"/>
  <c r="Z895" i="4"/>
  <c r="AA894" i="4"/>
  <c r="Z894" i="4"/>
  <c r="AA893" i="4"/>
  <c r="Z893" i="4"/>
  <c r="AA892" i="4"/>
  <c r="Z892" i="4"/>
  <c r="AA891" i="4"/>
  <c r="Z891" i="4"/>
  <c r="AA890" i="4"/>
  <c r="Z890" i="4"/>
  <c r="AA889" i="4"/>
  <c r="Z889" i="4"/>
  <c r="AA888" i="4"/>
  <c r="Z888" i="4"/>
  <c r="AA887" i="4"/>
  <c r="Z887" i="4"/>
  <c r="AA886" i="4"/>
  <c r="Z886" i="4"/>
  <c r="AA885" i="4"/>
  <c r="Z885" i="4"/>
  <c r="AA884" i="4"/>
  <c r="Z884" i="4"/>
  <c r="AA883" i="4"/>
  <c r="Z883" i="4"/>
  <c r="AA882" i="4"/>
  <c r="Z882" i="4"/>
  <c r="AA881" i="4"/>
  <c r="Z881" i="4"/>
  <c r="AA880" i="4"/>
  <c r="Z880" i="4"/>
  <c r="AA879" i="4"/>
  <c r="Z879" i="4"/>
  <c r="AA878" i="4"/>
  <c r="Z878" i="4"/>
  <c r="AA877" i="4"/>
  <c r="Z877" i="4"/>
  <c r="AA876" i="4"/>
  <c r="Z876" i="4"/>
  <c r="AA875" i="4"/>
  <c r="Z875" i="4"/>
  <c r="AA874" i="4"/>
  <c r="Z874" i="4"/>
  <c r="AA873" i="4"/>
  <c r="Z873" i="4"/>
  <c r="AA872" i="4"/>
  <c r="Z872" i="4"/>
  <c r="AA871" i="4"/>
  <c r="Z871" i="4"/>
  <c r="AA870" i="4"/>
  <c r="Z870" i="4"/>
  <c r="AA869" i="4"/>
  <c r="Z869" i="4"/>
  <c r="AA868" i="4"/>
  <c r="Z868" i="4"/>
  <c r="AA867" i="4"/>
  <c r="Z867" i="4"/>
  <c r="AA866" i="4"/>
  <c r="Z866" i="4"/>
  <c r="AA865" i="4"/>
  <c r="Z865" i="4"/>
  <c r="AA864" i="4"/>
  <c r="Z864" i="4"/>
  <c r="AA863" i="4"/>
  <c r="Z863" i="4"/>
  <c r="AA862" i="4"/>
  <c r="Z862" i="4"/>
  <c r="AA861" i="4"/>
  <c r="Z861" i="4"/>
  <c r="AA860" i="4"/>
  <c r="Z860" i="4"/>
  <c r="AA859" i="4"/>
  <c r="Z859" i="4"/>
  <c r="AA858" i="4"/>
  <c r="Z858" i="4"/>
  <c r="AA857" i="4"/>
  <c r="Z857" i="4"/>
  <c r="AA856" i="4"/>
  <c r="Z856" i="4"/>
  <c r="AA855" i="4"/>
  <c r="Z855" i="4"/>
  <c r="AA854" i="4"/>
  <c r="Z854" i="4"/>
  <c r="AA853" i="4"/>
  <c r="Z853" i="4"/>
  <c r="AA852" i="4"/>
  <c r="Z852" i="4"/>
  <c r="AA851" i="4"/>
  <c r="Z851" i="4"/>
  <c r="AA850" i="4"/>
  <c r="Z850" i="4"/>
  <c r="AA849" i="4"/>
  <c r="Z849" i="4"/>
  <c r="AA848" i="4"/>
  <c r="Z848" i="4"/>
  <c r="AA847" i="4"/>
  <c r="Z847" i="4"/>
  <c r="AA846" i="4"/>
  <c r="Z846" i="4"/>
  <c r="AA845" i="4"/>
  <c r="Z845" i="4"/>
  <c r="AA844" i="4"/>
  <c r="Z844" i="4"/>
  <c r="AA843" i="4"/>
  <c r="Z843" i="4"/>
  <c r="AA842" i="4"/>
  <c r="Z842" i="4"/>
  <c r="AA841" i="4"/>
  <c r="Z841" i="4"/>
  <c r="AA840" i="4"/>
  <c r="Z840" i="4"/>
  <c r="AA839" i="4"/>
  <c r="Z839" i="4"/>
  <c r="AA838" i="4"/>
  <c r="Z838" i="4"/>
  <c r="AA837" i="4"/>
  <c r="Z837" i="4"/>
  <c r="AA836" i="4"/>
  <c r="Z836" i="4"/>
  <c r="AA835" i="4"/>
  <c r="Z835" i="4"/>
  <c r="AA834" i="4"/>
  <c r="Z834" i="4"/>
  <c r="AA833" i="4"/>
  <c r="Z833" i="4"/>
  <c r="AA832" i="4"/>
  <c r="Z832" i="4"/>
  <c r="AA831" i="4"/>
  <c r="Z831" i="4"/>
  <c r="AA830" i="4"/>
  <c r="Z830" i="4"/>
  <c r="AA829" i="4"/>
  <c r="Z829" i="4"/>
  <c r="AA828" i="4"/>
  <c r="Z828" i="4"/>
  <c r="AA827" i="4"/>
  <c r="Z827" i="4"/>
  <c r="AA826" i="4"/>
  <c r="Z826" i="4"/>
  <c r="AA825" i="4"/>
  <c r="Z825" i="4"/>
  <c r="AA824" i="4"/>
  <c r="Z824" i="4"/>
  <c r="AA823" i="4"/>
  <c r="Z823" i="4"/>
  <c r="AA822" i="4"/>
  <c r="Z822" i="4"/>
  <c r="AA821" i="4"/>
  <c r="Z821" i="4"/>
  <c r="AA820" i="4"/>
  <c r="Z820" i="4"/>
  <c r="AA819" i="4"/>
  <c r="Z819" i="4"/>
  <c r="AA818" i="4"/>
  <c r="Z818" i="4"/>
  <c r="AA817" i="4"/>
  <c r="Z817" i="4"/>
  <c r="AA816" i="4"/>
  <c r="Z816" i="4"/>
  <c r="AA815" i="4"/>
  <c r="Z815" i="4"/>
  <c r="AA814" i="4"/>
  <c r="Z814" i="4"/>
  <c r="AA813" i="4"/>
  <c r="Z813" i="4"/>
  <c r="AA812" i="4"/>
  <c r="Z812" i="4"/>
  <c r="AA811" i="4"/>
  <c r="Z811" i="4"/>
  <c r="AA810" i="4"/>
  <c r="Z810" i="4"/>
  <c r="AA809" i="4"/>
  <c r="Z809" i="4"/>
  <c r="AA808" i="4"/>
  <c r="Z808" i="4"/>
  <c r="AA807" i="4"/>
  <c r="Z807" i="4"/>
  <c r="AA806" i="4"/>
  <c r="Z806" i="4"/>
  <c r="AA805" i="4"/>
  <c r="Z805" i="4"/>
  <c r="AA804" i="4"/>
  <c r="Z804" i="4"/>
  <c r="AA803" i="4"/>
  <c r="Z803" i="4"/>
  <c r="AA802" i="4"/>
  <c r="Z802" i="4"/>
  <c r="AA801" i="4"/>
  <c r="Z801" i="4"/>
  <c r="AA800" i="4"/>
  <c r="Z800" i="4"/>
  <c r="AA799" i="4"/>
  <c r="Z799" i="4"/>
  <c r="AA798" i="4"/>
  <c r="Z798" i="4"/>
  <c r="AA797" i="4"/>
  <c r="Z797" i="4"/>
  <c r="AA796" i="4"/>
  <c r="Z796" i="4"/>
  <c r="AA795" i="4"/>
  <c r="Z795" i="4"/>
  <c r="AA794" i="4"/>
  <c r="Z794" i="4"/>
  <c r="AA793" i="4"/>
  <c r="Z793" i="4"/>
  <c r="AA792" i="4"/>
  <c r="Z792" i="4"/>
  <c r="AA791" i="4"/>
  <c r="Z791" i="4"/>
  <c r="AA790" i="4"/>
  <c r="Z790" i="4"/>
  <c r="AA789" i="4"/>
  <c r="Z789" i="4"/>
  <c r="AA788" i="4"/>
  <c r="Z788" i="4"/>
  <c r="AA787" i="4"/>
  <c r="Z787" i="4"/>
  <c r="AA786" i="4"/>
  <c r="Z786" i="4"/>
  <c r="AA785" i="4"/>
  <c r="Z785" i="4"/>
  <c r="AA784" i="4"/>
  <c r="Z784" i="4"/>
  <c r="AA783" i="4"/>
  <c r="Z783" i="4"/>
  <c r="AA782" i="4"/>
  <c r="Z782" i="4"/>
  <c r="AA781" i="4"/>
  <c r="Z781" i="4"/>
  <c r="AA780" i="4"/>
  <c r="Z780" i="4"/>
  <c r="AA779" i="4"/>
  <c r="Z779" i="4"/>
  <c r="AA778" i="4"/>
  <c r="Z778" i="4"/>
  <c r="AA777" i="4"/>
  <c r="Z777" i="4"/>
  <c r="AA776" i="4"/>
  <c r="Z776" i="4"/>
  <c r="AA775" i="4"/>
  <c r="Z775" i="4"/>
  <c r="AA774" i="4"/>
  <c r="Z774" i="4"/>
  <c r="AA773" i="4"/>
  <c r="Z773" i="4"/>
  <c r="AA772" i="4"/>
  <c r="Z772" i="4"/>
  <c r="AA771" i="4"/>
  <c r="Z771" i="4"/>
  <c r="AA770" i="4"/>
  <c r="Z770" i="4"/>
  <c r="AA769" i="4"/>
  <c r="Z769" i="4"/>
  <c r="AA768" i="4"/>
  <c r="Z768" i="4"/>
  <c r="AA767" i="4"/>
  <c r="Z767" i="4"/>
  <c r="AA766" i="4"/>
  <c r="Z766" i="4"/>
  <c r="AA765" i="4"/>
  <c r="Z765" i="4"/>
  <c r="AA764" i="4"/>
  <c r="Z764" i="4"/>
  <c r="AA763" i="4"/>
  <c r="Z763" i="4"/>
  <c r="AA762" i="4"/>
  <c r="Z762" i="4"/>
  <c r="AA761" i="4"/>
  <c r="Z761" i="4"/>
  <c r="AA760" i="4"/>
  <c r="Z760" i="4"/>
  <c r="AA759" i="4"/>
  <c r="Z759" i="4"/>
  <c r="AA758" i="4"/>
  <c r="Z758" i="4"/>
  <c r="AA757" i="4"/>
  <c r="Z757" i="4"/>
  <c r="AA756" i="4"/>
  <c r="Z756" i="4"/>
  <c r="AA755" i="4"/>
  <c r="Z755" i="4"/>
  <c r="AA754" i="4"/>
  <c r="Z754" i="4"/>
  <c r="AA753" i="4"/>
  <c r="Z753" i="4"/>
  <c r="AA752" i="4"/>
  <c r="Z752" i="4"/>
  <c r="AA751" i="4"/>
  <c r="Z751" i="4"/>
  <c r="AA750" i="4"/>
  <c r="Z750" i="4"/>
  <c r="AA749" i="4"/>
  <c r="Z749" i="4"/>
  <c r="AA748" i="4"/>
  <c r="Z748" i="4"/>
  <c r="AA747" i="4"/>
  <c r="Z747" i="4"/>
  <c r="AA746" i="4"/>
  <c r="Z746" i="4"/>
  <c r="AA745" i="4"/>
  <c r="Z745" i="4"/>
  <c r="AA744" i="4"/>
  <c r="Z744" i="4"/>
  <c r="AA743" i="4"/>
  <c r="Z743" i="4"/>
  <c r="AA742" i="4"/>
  <c r="Z742" i="4"/>
  <c r="AA741" i="4"/>
  <c r="Z741" i="4"/>
  <c r="AA740" i="4"/>
  <c r="Z740" i="4"/>
  <c r="AA739" i="4"/>
  <c r="Z739" i="4"/>
  <c r="AA738" i="4"/>
  <c r="Z738" i="4"/>
  <c r="AA737" i="4"/>
  <c r="Z737" i="4"/>
  <c r="AA736" i="4"/>
  <c r="Z736" i="4"/>
  <c r="AA735" i="4"/>
  <c r="Z735" i="4"/>
  <c r="AA734" i="4"/>
  <c r="Z734" i="4"/>
  <c r="AA733" i="4"/>
  <c r="Z733" i="4"/>
  <c r="AA732" i="4"/>
  <c r="Z732" i="4"/>
  <c r="AA731" i="4"/>
  <c r="Z731" i="4"/>
  <c r="AA730" i="4"/>
  <c r="Z730" i="4"/>
  <c r="AA729" i="4"/>
  <c r="Z729" i="4"/>
  <c r="AA728" i="4"/>
  <c r="Z728" i="4"/>
  <c r="AA727" i="4"/>
  <c r="Z727" i="4"/>
  <c r="AA726" i="4"/>
  <c r="Z726" i="4"/>
  <c r="AA725" i="4"/>
  <c r="Z725" i="4"/>
  <c r="AA724" i="4"/>
  <c r="Z724" i="4"/>
  <c r="AA723" i="4"/>
  <c r="Z723" i="4"/>
  <c r="AA722" i="4"/>
  <c r="Z722" i="4"/>
  <c r="AA721" i="4"/>
  <c r="Z721" i="4"/>
  <c r="AA720" i="4"/>
  <c r="Z720" i="4"/>
  <c r="AA719" i="4"/>
  <c r="Z719" i="4"/>
  <c r="AA718" i="4"/>
  <c r="Z718" i="4"/>
  <c r="AA717" i="4"/>
  <c r="Z717" i="4"/>
  <c r="AA716" i="4"/>
  <c r="Z716" i="4"/>
  <c r="AA715" i="4"/>
  <c r="Z715" i="4"/>
  <c r="AA714" i="4"/>
  <c r="Z714" i="4"/>
  <c r="AA713" i="4"/>
  <c r="Z713" i="4"/>
  <c r="AA712" i="4"/>
  <c r="Z712" i="4"/>
  <c r="AA711" i="4"/>
  <c r="Z711" i="4"/>
  <c r="AA710" i="4"/>
  <c r="Z710" i="4"/>
  <c r="AA709" i="4"/>
  <c r="Z709" i="4"/>
  <c r="AA708" i="4"/>
  <c r="Z708" i="4"/>
  <c r="AA707" i="4"/>
  <c r="Z707" i="4"/>
  <c r="AA706" i="4"/>
  <c r="Z706" i="4"/>
  <c r="AA705" i="4"/>
  <c r="Z705" i="4"/>
  <c r="AA704" i="4"/>
  <c r="Z704" i="4"/>
  <c r="AA703" i="4"/>
  <c r="Z703" i="4"/>
  <c r="AA702" i="4"/>
  <c r="Z702" i="4"/>
  <c r="AA701" i="4"/>
  <c r="Z701" i="4"/>
  <c r="AA700" i="4"/>
  <c r="Z700" i="4"/>
  <c r="AA699" i="4"/>
  <c r="Z699" i="4"/>
  <c r="AA698" i="4"/>
  <c r="Z698" i="4"/>
  <c r="AA697" i="4"/>
  <c r="Z697" i="4"/>
  <c r="AA696" i="4"/>
  <c r="Z696" i="4"/>
  <c r="AA695" i="4"/>
  <c r="Z695" i="4"/>
  <c r="AA694" i="4"/>
  <c r="Z694" i="4"/>
  <c r="AA693" i="4"/>
  <c r="Z693" i="4"/>
  <c r="AA692" i="4"/>
  <c r="Z692" i="4"/>
  <c r="AA691" i="4"/>
  <c r="Z691" i="4"/>
  <c r="AA690" i="4"/>
  <c r="Z690" i="4"/>
  <c r="AA689" i="4"/>
  <c r="Z689" i="4"/>
  <c r="AA688" i="4"/>
  <c r="Z688" i="4"/>
  <c r="AA687" i="4"/>
  <c r="Z687" i="4"/>
  <c r="AA686" i="4"/>
  <c r="Z686" i="4"/>
  <c r="AA685" i="4"/>
  <c r="Z685" i="4"/>
  <c r="AA684" i="4"/>
  <c r="Z684" i="4"/>
  <c r="AA683" i="4"/>
  <c r="Z683" i="4"/>
  <c r="AA682" i="4"/>
  <c r="Z682" i="4"/>
  <c r="AA681" i="4"/>
  <c r="Z681" i="4"/>
  <c r="AA680" i="4"/>
  <c r="Z680" i="4"/>
  <c r="AA679" i="4"/>
  <c r="Z679" i="4"/>
  <c r="AA678" i="4"/>
  <c r="Z678" i="4"/>
  <c r="AA677" i="4"/>
  <c r="Z677" i="4"/>
  <c r="AA676" i="4"/>
  <c r="Z676" i="4"/>
  <c r="AA675" i="4"/>
  <c r="Z675" i="4"/>
  <c r="AA674" i="4"/>
  <c r="Z674" i="4"/>
  <c r="AA673" i="4"/>
  <c r="Z673" i="4"/>
  <c r="AA672" i="4"/>
  <c r="Z672" i="4"/>
  <c r="AA671" i="4"/>
  <c r="Z671" i="4"/>
  <c r="AA670" i="4"/>
  <c r="Z670" i="4"/>
  <c r="AA669" i="4"/>
  <c r="Z669" i="4"/>
  <c r="AA668" i="4"/>
  <c r="Z668" i="4"/>
  <c r="AA667" i="4"/>
  <c r="Z667" i="4"/>
  <c r="AA666" i="4"/>
  <c r="Z666" i="4"/>
  <c r="AA665" i="4"/>
  <c r="Z665" i="4"/>
  <c r="AA664" i="4"/>
  <c r="Z664" i="4"/>
  <c r="AA663" i="4"/>
  <c r="Z663" i="4"/>
  <c r="AA662" i="4"/>
  <c r="Z662" i="4"/>
  <c r="AA661" i="4"/>
  <c r="Z661" i="4"/>
  <c r="AA660" i="4"/>
  <c r="Z660" i="4"/>
  <c r="AA659" i="4"/>
  <c r="Z659" i="4"/>
  <c r="AA658" i="4"/>
  <c r="Z658" i="4"/>
  <c r="AA657" i="4"/>
  <c r="Z657" i="4"/>
  <c r="AA656" i="4"/>
  <c r="Z656" i="4"/>
  <c r="AA655" i="4"/>
  <c r="Z655" i="4"/>
  <c r="AA654" i="4"/>
  <c r="Z654" i="4"/>
  <c r="AA653" i="4"/>
  <c r="Z653" i="4"/>
  <c r="AA652" i="4"/>
  <c r="Z652" i="4"/>
  <c r="AA651" i="4"/>
  <c r="Z651" i="4"/>
  <c r="AA650" i="4"/>
  <c r="Z650" i="4"/>
  <c r="AA649" i="4"/>
  <c r="Z649" i="4"/>
  <c r="AA648" i="4"/>
  <c r="Z648" i="4"/>
  <c r="AA647" i="4"/>
  <c r="Z647" i="4"/>
  <c r="AA646" i="4"/>
  <c r="Z646" i="4"/>
  <c r="AA645" i="4"/>
  <c r="Z645" i="4"/>
  <c r="AA644" i="4"/>
  <c r="Z644" i="4"/>
  <c r="AA643" i="4"/>
  <c r="Z643" i="4"/>
  <c r="AA642" i="4"/>
  <c r="Z642" i="4"/>
  <c r="AA641" i="4"/>
  <c r="Z641" i="4"/>
  <c r="AA640" i="4"/>
  <c r="Z640" i="4"/>
  <c r="AA639" i="4"/>
  <c r="Z639" i="4"/>
  <c r="AA638" i="4"/>
  <c r="Z638" i="4"/>
  <c r="AA637" i="4"/>
  <c r="Z637" i="4"/>
  <c r="AA636" i="4"/>
  <c r="Z636" i="4"/>
  <c r="AA635" i="4"/>
  <c r="Z635" i="4"/>
  <c r="AA634" i="4"/>
  <c r="Z634" i="4"/>
  <c r="AA633" i="4"/>
  <c r="Z633" i="4"/>
  <c r="AA632" i="4"/>
  <c r="Z632" i="4"/>
  <c r="AA631" i="4"/>
  <c r="Z631" i="4"/>
  <c r="AA630" i="4"/>
  <c r="Z630" i="4"/>
  <c r="AA629" i="4"/>
  <c r="Z629" i="4"/>
  <c r="AA628" i="4"/>
  <c r="Z628" i="4"/>
  <c r="AA627" i="4"/>
  <c r="Z627" i="4"/>
  <c r="AA626" i="4"/>
  <c r="Z626" i="4"/>
  <c r="AA625" i="4"/>
  <c r="Z625" i="4"/>
  <c r="AA624" i="4"/>
  <c r="Z624" i="4"/>
  <c r="AA623" i="4"/>
  <c r="Z623" i="4"/>
  <c r="AA622" i="4"/>
  <c r="Z622" i="4"/>
  <c r="AA621" i="4"/>
  <c r="Z621" i="4"/>
  <c r="AA620" i="4"/>
  <c r="Z620" i="4"/>
  <c r="AA619" i="4"/>
  <c r="Z619" i="4"/>
  <c r="AA618" i="4"/>
  <c r="Z618" i="4"/>
  <c r="AA617" i="4"/>
  <c r="Z617" i="4"/>
  <c r="AA616" i="4"/>
  <c r="Z616" i="4"/>
  <c r="AA615" i="4"/>
  <c r="Z615" i="4"/>
  <c r="AA614" i="4"/>
  <c r="Z614" i="4"/>
  <c r="AA613" i="4"/>
  <c r="Z613" i="4"/>
  <c r="AA612" i="4"/>
  <c r="Z612" i="4"/>
  <c r="AA611" i="4"/>
  <c r="Z611" i="4"/>
  <c r="AA610" i="4"/>
  <c r="Z610" i="4"/>
  <c r="AA609" i="4"/>
  <c r="Z609" i="4"/>
  <c r="AA608" i="4"/>
  <c r="Z608" i="4"/>
  <c r="AA607" i="4"/>
  <c r="Z607" i="4"/>
  <c r="AA606" i="4"/>
  <c r="Z606" i="4"/>
  <c r="AA605" i="4"/>
  <c r="Z605" i="4"/>
  <c r="AA604" i="4"/>
  <c r="Z604" i="4"/>
  <c r="AA603" i="4"/>
  <c r="Z603" i="4"/>
  <c r="AA602" i="4"/>
  <c r="Z602" i="4"/>
  <c r="AA601" i="4"/>
  <c r="Z601" i="4"/>
  <c r="AA600" i="4"/>
  <c r="Z600" i="4"/>
  <c r="AA599" i="4"/>
  <c r="Z599" i="4"/>
  <c r="AA598" i="4"/>
  <c r="Z598" i="4"/>
  <c r="AA597" i="4"/>
  <c r="Z597" i="4"/>
  <c r="AA596" i="4"/>
  <c r="Z596" i="4"/>
  <c r="AA595" i="4"/>
  <c r="Z595" i="4"/>
  <c r="AA594" i="4"/>
  <c r="Z594" i="4"/>
  <c r="AA593" i="4"/>
  <c r="Z593" i="4"/>
  <c r="AA592" i="4"/>
  <c r="Z592" i="4"/>
  <c r="AA591" i="4"/>
  <c r="Z591" i="4"/>
  <c r="AA590" i="4"/>
  <c r="Z590" i="4"/>
  <c r="AA589" i="4"/>
  <c r="Z589" i="4"/>
  <c r="AA588" i="4"/>
  <c r="Z588" i="4"/>
  <c r="AA587" i="4"/>
  <c r="Z587" i="4"/>
  <c r="AA586" i="4"/>
  <c r="Z586" i="4"/>
  <c r="AA585" i="4"/>
  <c r="Z585" i="4"/>
  <c r="AA584" i="4"/>
  <c r="Z584" i="4"/>
  <c r="AA583" i="4"/>
  <c r="Z583" i="4"/>
  <c r="AA582" i="4"/>
  <c r="Z582" i="4"/>
  <c r="AA581" i="4"/>
  <c r="Z581" i="4"/>
  <c r="AA580" i="4"/>
  <c r="Z580" i="4"/>
  <c r="AA579" i="4"/>
  <c r="Z579" i="4"/>
  <c r="AA578" i="4"/>
  <c r="Z578" i="4"/>
  <c r="AA577" i="4"/>
  <c r="Z577" i="4"/>
  <c r="AA576" i="4"/>
  <c r="Z576" i="4"/>
  <c r="AA575" i="4"/>
  <c r="Z575" i="4"/>
  <c r="AA574" i="4"/>
  <c r="Z574" i="4"/>
  <c r="AA573" i="4"/>
  <c r="Z573" i="4"/>
  <c r="AA572" i="4"/>
  <c r="Z572" i="4"/>
  <c r="AA571" i="4"/>
  <c r="Z571" i="4"/>
  <c r="AA570" i="4"/>
  <c r="Z570" i="4"/>
  <c r="AA569" i="4"/>
  <c r="Z569" i="4"/>
  <c r="AA568" i="4"/>
  <c r="Z568" i="4"/>
  <c r="AA567" i="4"/>
  <c r="Z567" i="4"/>
  <c r="AA566" i="4"/>
  <c r="Z566" i="4"/>
  <c r="AA565" i="4"/>
  <c r="Z565" i="4"/>
  <c r="AA564" i="4"/>
  <c r="Z564" i="4"/>
  <c r="AA563" i="4"/>
  <c r="Z563" i="4"/>
  <c r="AA562" i="4"/>
  <c r="Z562" i="4"/>
  <c r="AA561" i="4"/>
  <c r="Z561" i="4"/>
  <c r="AA560" i="4"/>
  <c r="Z560" i="4"/>
  <c r="AA559" i="4"/>
  <c r="Z559" i="4"/>
  <c r="AA558" i="4"/>
  <c r="Z558" i="4"/>
  <c r="AA557" i="4"/>
  <c r="Z557" i="4"/>
  <c r="AA556" i="4"/>
  <c r="Z556" i="4"/>
  <c r="AA555" i="4"/>
  <c r="Z555" i="4"/>
  <c r="AA554" i="4"/>
  <c r="Z554" i="4"/>
  <c r="AA553" i="4"/>
  <c r="Z553" i="4"/>
  <c r="AA552" i="4"/>
  <c r="Z552" i="4"/>
  <c r="AA551" i="4"/>
  <c r="Z551" i="4"/>
  <c r="AA550" i="4"/>
  <c r="Z550" i="4"/>
  <c r="AA549" i="4"/>
  <c r="Z549" i="4"/>
  <c r="AA548" i="4"/>
  <c r="Z548" i="4"/>
  <c r="AA547" i="4"/>
  <c r="Z547" i="4"/>
  <c r="AA546" i="4"/>
  <c r="Z546" i="4"/>
  <c r="AA545" i="4"/>
  <c r="Z545" i="4"/>
  <c r="AA544" i="4"/>
  <c r="Z544" i="4"/>
  <c r="AA543" i="4"/>
  <c r="Z543" i="4"/>
  <c r="AA542" i="4"/>
  <c r="Z542" i="4"/>
  <c r="AA541" i="4"/>
  <c r="Z541" i="4"/>
  <c r="AA540" i="4"/>
  <c r="Z540" i="4"/>
  <c r="AA539" i="4"/>
  <c r="Z539" i="4"/>
  <c r="AA538" i="4"/>
  <c r="Z538" i="4"/>
  <c r="AA537" i="4"/>
  <c r="Z537" i="4"/>
  <c r="AA536" i="4"/>
  <c r="Z536" i="4"/>
  <c r="AA535" i="4"/>
  <c r="Z535" i="4"/>
  <c r="AA534" i="4"/>
  <c r="Z534" i="4"/>
  <c r="AA533" i="4"/>
  <c r="Z533" i="4"/>
  <c r="AA532" i="4"/>
  <c r="Z532" i="4"/>
  <c r="AA531" i="4"/>
  <c r="Z531" i="4"/>
  <c r="AA530" i="4"/>
  <c r="Z530" i="4"/>
  <c r="AA529" i="4"/>
  <c r="Z529" i="4"/>
  <c r="AA528" i="4"/>
  <c r="Z528" i="4"/>
  <c r="AA527" i="4"/>
  <c r="Z527" i="4"/>
  <c r="AA526" i="4"/>
  <c r="Z526" i="4"/>
  <c r="AA525" i="4"/>
  <c r="Z525" i="4"/>
  <c r="AA524" i="4"/>
  <c r="Z524" i="4"/>
  <c r="AA523" i="4"/>
  <c r="Z523" i="4"/>
  <c r="AA522" i="4"/>
  <c r="Z522" i="4"/>
  <c r="AA521" i="4"/>
  <c r="Z521" i="4"/>
  <c r="AA520" i="4"/>
  <c r="Z520" i="4"/>
  <c r="AA519" i="4"/>
  <c r="Z519" i="4"/>
  <c r="AA518" i="4"/>
  <c r="Z518" i="4"/>
  <c r="AA517" i="4"/>
  <c r="Z517" i="4"/>
  <c r="AA516" i="4"/>
  <c r="Z516" i="4"/>
  <c r="AA515" i="4"/>
  <c r="Z515" i="4"/>
  <c r="AA514" i="4"/>
  <c r="Z514" i="4"/>
  <c r="AA513" i="4"/>
  <c r="Z513" i="4"/>
  <c r="AA512" i="4"/>
  <c r="Z512" i="4"/>
  <c r="AA511" i="4"/>
  <c r="Z511" i="4"/>
  <c r="AA510" i="4"/>
  <c r="Z510" i="4"/>
  <c r="AA509" i="4"/>
  <c r="Z509" i="4"/>
  <c r="AA508" i="4"/>
  <c r="Z508" i="4"/>
  <c r="AA507" i="4"/>
  <c r="Z507" i="4"/>
  <c r="AA506" i="4"/>
  <c r="Z506" i="4"/>
  <c r="AA505" i="4"/>
  <c r="Z505" i="4"/>
  <c r="AA504" i="4"/>
  <c r="Z504" i="4"/>
  <c r="AA503" i="4"/>
  <c r="Z503" i="4"/>
  <c r="AA502" i="4"/>
  <c r="Z502" i="4"/>
  <c r="AA501" i="4"/>
  <c r="Z501" i="4"/>
  <c r="AA500" i="4"/>
  <c r="Z500" i="4"/>
  <c r="AA499" i="4"/>
  <c r="Z499" i="4"/>
  <c r="AA498" i="4"/>
  <c r="Z498" i="4"/>
  <c r="AA497" i="4"/>
  <c r="Z497" i="4"/>
  <c r="AA496" i="4"/>
  <c r="Z496" i="4"/>
  <c r="AA495" i="4"/>
  <c r="Z495" i="4"/>
  <c r="AA494" i="4"/>
  <c r="Z494" i="4"/>
  <c r="AA493" i="4"/>
  <c r="Z493" i="4"/>
  <c r="AA492" i="4"/>
  <c r="Z492" i="4"/>
  <c r="AA491" i="4"/>
  <c r="Z491" i="4"/>
  <c r="AA490" i="4"/>
  <c r="Z490" i="4"/>
  <c r="AA489" i="4"/>
  <c r="Z489" i="4"/>
  <c r="AA488" i="4"/>
  <c r="Z488" i="4"/>
  <c r="AA487" i="4"/>
  <c r="Z487" i="4"/>
  <c r="AA486" i="4"/>
  <c r="Z486" i="4"/>
  <c r="AA485" i="4"/>
  <c r="Z485" i="4"/>
  <c r="AA484" i="4"/>
  <c r="Z484" i="4"/>
  <c r="AA483" i="4"/>
  <c r="Z483" i="4"/>
  <c r="AA482" i="4"/>
  <c r="Z482" i="4"/>
  <c r="AA481" i="4"/>
  <c r="Z481" i="4"/>
  <c r="AA480" i="4"/>
  <c r="Z480" i="4"/>
  <c r="AA479" i="4"/>
  <c r="Z479" i="4"/>
  <c r="AA478" i="4"/>
  <c r="Z478" i="4"/>
  <c r="AA477" i="4"/>
  <c r="Z477" i="4"/>
  <c r="AA476" i="4"/>
  <c r="Z476" i="4"/>
  <c r="AA475" i="4"/>
  <c r="Z475" i="4"/>
  <c r="AA474" i="4"/>
  <c r="Z474" i="4"/>
  <c r="AA473" i="4"/>
  <c r="Z473" i="4"/>
  <c r="AA472" i="4"/>
  <c r="Z472" i="4"/>
  <c r="AA471" i="4"/>
  <c r="Z471" i="4"/>
  <c r="AA470" i="4"/>
  <c r="Z470" i="4"/>
  <c r="AA469" i="4"/>
  <c r="Z469" i="4"/>
  <c r="AA468" i="4"/>
  <c r="Z468" i="4"/>
  <c r="AA467" i="4"/>
  <c r="Z467" i="4"/>
  <c r="AA466" i="4"/>
  <c r="Z466" i="4"/>
  <c r="AA465" i="4"/>
  <c r="Z465" i="4"/>
  <c r="AA464" i="4"/>
  <c r="Z464" i="4"/>
  <c r="AA463" i="4"/>
  <c r="Z463" i="4"/>
  <c r="AA462" i="4"/>
  <c r="Z462" i="4"/>
  <c r="AA461" i="4"/>
  <c r="Z461" i="4"/>
  <c r="AA460" i="4"/>
  <c r="Z460" i="4"/>
  <c r="AA459" i="4"/>
  <c r="Z459" i="4"/>
  <c r="AA458" i="4"/>
  <c r="Z458" i="4"/>
  <c r="AA457" i="4"/>
  <c r="Z457" i="4"/>
  <c r="AA456" i="4"/>
  <c r="Z456" i="4"/>
  <c r="AA455" i="4"/>
  <c r="Z455" i="4"/>
  <c r="AA454" i="4"/>
  <c r="Z454" i="4"/>
  <c r="AA453" i="4"/>
  <c r="Z453" i="4"/>
  <c r="AA452" i="4"/>
  <c r="Z452" i="4"/>
  <c r="AA451" i="4"/>
  <c r="Z451" i="4"/>
  <c r="AA450" i="4"/>
  <c r="Z450" i="4"/>
  <c r="AA449" i="4"/>
  <c r="Z449" i="4"/>
  <c r="AA448" i="4"/>
  <c r="Z448" i="4"/>
  <c r="AA447" i="4"/>
  <c r="Z447" i="4"/>
  <c r="AA446" i="4"/>
  <c r="Z446" i="4"/>
  <c r="AA445" i="4"/>
  <c r="Z445" i="4"/>
  <c r="AA444" i="4"/>
  <c r="Z444" i="4"/>
  <c r="AA443" i="4"/>
  <c r="Z443" i="4"/>
  <c r="AA442" i="4"/>
  <c r="Z442" i="4"/>
  <c r="AA441" i="4"/>
  <c r="Z441" i="4"/>
  <c r="AA440" i="4"/>
  <c r="Z440" i="4"/>
  <c r="AA439" i="4"/>
  <c r="Z439" i="4"/>
  <c r="AA438" i="4"/>
  <c r="Z438" i="4"/>
  <c r="AA437" i="4"/>
  <c r="Z437" i="4"/>
  <c r="AA436" i="4"/>
  <c r="Z436" i="4"/>
  <c r="AA435" i="4"/>
  <c r="Z435" i="4"/>
  <c r="AA434" i="4"/>
  <c r="Z434" i="4"/>
  <c r="AA433" i="4"/>
  <c r="Z433" i="4"/>
  <c r="AA432" i="4"/>
  <c r="Z432" i="4"/>
  <c r="AA431" i="4"/>
  <c r="Z431" i="4"/>
  <c r="AA430" i="4"/>
  <c r="Z430" i="4"/>
  <c r="AA429" i="4"/>
  <c r="Z429" i="4"/>
  <c r="AA428" i="4"/>
  <c r="Z428" i="4"/>
  <c r="AA427" i="4"/>
  <c r="Z427" i="4"/>
  <c r="AA426" i="4"/>
  <c r="Z426" i="4"/>
  <c r="AA425" i="4"/>
  <c r="Z425" i="4"/>
  <c r="AA424" i="4"/>
  <c r="Z424" i="4"/>
  <c r="AA423" i="4"/>
  <c r="Z423" i="4"/>
  <c r="AA422" i="4"/>
  <c r="Z422" i="4"/>
  <c r="AA421" i="4"/>
  <c r="Z421" i="4"/>
  <c r="AA420" i="4"/>
  <c r="Z420" i="4"/>
  <c r="AA419" i="4"/>
  <c r="Z419" i="4"/>
  <c r="AA418" i="4"/>
  <c r="Z418" i="4"/>
  <c r="AA417" i="4"/>
  <c r="Z417" i="4"/>
  <c r="AA416" i="4"/>
  <c r="Z416" i="4"/>
  <c r="AA415" i="4"/>
  <c r="Z415" i="4"/>
  <c r="AA414" i="4"/>
  <c r="Z414" i="4"/>
  <c r="AA413" i="4"/>
  <c r="Z413" i="4"/>
  <c r="AA412" i="4"/>
  <c r="Z412" i="4"/>
  <c r="AA411" i="4"/>
  <c r="Z411" i="4"/>
  <c r="AA410" i="4"/>
  <c r="Z410" i="4"/>
  <c r="AA409" i="4"/>
  <c r="Z409" i="4"/>
  <c r="AA408" i="4"/>
  <c r="Z408" i="4"/>
  <c r="AA407" i="4"/>
  <c r="Z407" i="4"/>
  <c r="AA406" i="4"/>
  <c r="Z406" i="4"/>
  <c r="AA405" i="4"/>
  <c r="Z405" i="4"/>
  <c r="AA404" i="4"/>
  <c r="Z404" i="4"/>
  <c r="AA403" i="4"/>
  <c r="Z403" i="4"/>
  <c r="AA402" i="4"/>
  <c r="Z402" i="4"/>
  <c r="AA401" i="4"/>
  <c r="Z401" i="4"/>
  <c r="AA400" i="4"/>
  <c r="Z400" i="4"/>
  <c r="AA399" i="4"/>
  <c r="Z399" i="4"/>
  <c r="AA398" i="4"/>
  <c r="Z398" i="4"/>
  <c r="AA397" i="4"/>
  <c r="Z397" i="4"/>
  <c r="AA396" i="4"/>
  <c r="Z396" i="4"/>
  <c r="AA395" i="4"/>
  <c r="Z395" i="4"/>
  <c r="AA394" i="4"/>
  <c r="Z394" i="4"/>
  <c r="AA393" i="4"/>
  <c r="Z393" i="4"/>
  <c r="AA392" i="4"/>
  <c r="Z392" i="4"/>
  <c r="AA391" i="4"/>
  <c r="Z391" i="4"/>
  <c r="AA390" i="4"/>
  <c r="Z390" i="4"/>
  <c r="AA389" i="4"/>
  <c r="Z389" i="4"/>
  <c r="AA388" i="4"/>
  <c r="Z388" i="4"/>
  <c r="AA387" i="4"/>
  <c r="Z387" i="4"/>
  <c r="AA386" i="4"/>
  <c r="Z386" i="4"/>
  <c r="AA385" i="4"/>
  <c r="Z385" i="4"/>
  <c r="AA384" i="4"/>
  <c r="Z384" i="4"/>
  <c r="AA383" i="4"/>
  <c r="Z383" i="4"/>
  <c r="AA382" i="4"/>
  <c r="Z382" i="4"/>
  <c r="AA381" i="4"/>
  <c r="Z381" i="4"/>
  <c r="AA380" i="4"/>
  <c r="Z380" i="4"/>
  <c r="AA379" i="4"/>
  <c r="Z379" i="4"/>
  <c r="AA378" i="4"/>
  <c r="Z378" i="4"/>
  <c r="AA377" i="4"/>
  <c r="Z377" i="4"/>
  <c r="AA376" i="4"/>
  <c r="Z376" i="4"/>
  <c r="AA375" i="4"/>
  <c r="Z375" i="4"/>
  <c r="AA374" i="4"/>
  <c r="Z374" i="4"/>
  <c r="AA373" i="4"/>
  <c r="Z373" i="4"/>
  <c r="AA372" i="4"/>
  <c r="Z372" i="4"/>
  <c r="AA371" i="4"/>
  <c r="Z371" i="4"/>
  <c r="AA370" i="4"/>
  <c r="Z370" i="4"/>
  <c r="AA369" i="4"/>
  <c r="Z369" i="4"/>
  <c r="AA368" i="4"/>
  <c r="Z368" i="4"/>
  <c r="AA367" i="4"/>
  <c r="Z367" i="4"/>
  <c r="AA366" i="4"/>
  <c r="Z366" i="4"/>
  <c r="AA365" i="4"/>
  <c r="Z365" i="4"/>
  <c r="AA364" i="4"/>
  <c r="Z364" i="4"/>
  <c r="AA363" i="4"/>
  <c r="Z363" i="4"/>
  <c r="AA362" i="4"/>
  <c r="Z362" i="4"/>
  <c r="AA361" i="4"/>
  <c r="Z361" i="4"/>
  <c r="AA360" i="4"/>
  <c r="Z360" i="4"/>
  <c r="AA359" i="4"/>
  <c r="Z359" i="4"/>
  <c r="AA358" i="4"/>
  <c r="Z358" i="4"/>
  <c r="AA357" i="4"/>
  <c r="Z357" i="4"/>
  <c r="AA356" i="4"/>
  <c r="Z356" i="4"/>
  <c r="AA355" i="4"/>
  <c r="Z355" i="4"/>
  <c r="AA354" i="4"/>
  <c r="Z354" i="4"/>
  <c r="AA353" i="4"/>
  <c r="Z353" i="4"/>
  <c r="AA352" i="4"/>
  <c r="Z352" i="4"/>
  <c r="AA351" i="4"/>
  <c r="Z351" i="4"/>
  <c r="AA350" i="4"/>
  <c r="Z350" i="4"/>
  <c r="AA349" i="4"/>
  <c r="Z349" i="4"/>
  <c r="AA348" i="4"/>
  <c r="Z348" i="4"/>
  <c r="AA347" i="4"/>
  <c r="Z347" i="4"/>
  <c r="AA346" i="4"/>
  <c r="Z346" i="4"/>
  <c r="AA345" i="4"/>
  <c r="Z345" i="4"/>
  <c r="AA344" i="4"/>
  <c r="Z344" i="4"/>
  <c r="AA343" i="4"/>
  <c r="Z343" i="4"/>
  <c r="AA342" i="4"/>
  <c r="Z342" i="4"/>
  <c r="AA341" i="4"/>
  <c r="Z341" i="4"/>
  <c r="AA340" i="4"/>
  <c r="Z340" i="4"/>
  <c r="AA339" i="4"/>
  <c r="Z339" i="4"/>
  <c r="AA338" i="4"/>
  <c r="Z338" i="4"/>
  <c r="AA337" i="4"/>
  <c r="Z337" i="4"/>
  <c r="AA336" i="4"/>
  <c r="Z336" i="4"/>
  <c r="AA335" i="4"/>
  <c r="Z335" i="4"/>
  <c r="AA334" i="4"/>
  <c r="Z334" i="4"/>
  <c r="AA333" i="4"/>
  <c r="Z333" i="4"/>
  <c r="AA332" i="4"/>
  <c r="Z332" i="4"/>
  <c r="AA331" i="4"/>
  <c r="Z331" i="4"/>
  <c r="AA330" i="4"/>
  <c r="Z330" i="4"/>
  <c r="AA329" i="4"/>
  <c r="Z329" i="4"/>
  <c r="AA328" i="4"/>
  <c r="Z328" i="4"/>
  <c r="AA327" i="4"/>
  <c r="Z327" i="4"/>
  <c r="AA326" i="4"/>
  <c r="Z326" i="4"/>
  <c r="AA325" i="4"/>
  <c r="Z325" i="4"/>
  <c r="AA324" i="4"/>
  <c r="Z324" i="4"/>
  <c r="AA323" i="4"/>
  <c r="Z323" i="4"/>
  <c r="AA322" i="4"/>
  <c r="Z322" i="4"/>
  <c r="AA321" i="4"/>
  <c r="Z321" i="4"/>
  <c r="AA320" i="4"/>
  <c r="Z320" i="4"/>
  <c r="AA319" i="4"/>
  <c r="Z319" i="4"/>
  <c r="AA318" i="4"/>
  <c r="Z318" i="4"/>
  <c r="AA317" i="4"/>
  <c r="Z317" i="4"/>
  <c r="AA316" i="4"/>
  <c r="Z316" i="4"/>
  <c r="AA315" i="4"/>
  <c r="Z315" i="4"/>
  <c r="AA314" i="4"/>
  <c r="Z314" i="4"/>
  <c r="AA313" i="4"/>
  <c r="Z313" i="4"/>
  <c r="AA312" i="4"/>
  <c r="Z312" i="4"/>
  <c r="AA311" i="4"/>
  <c r="Z311" i="4"/>
  <c r="AA310" i="4"/>
  <c r="Z310" i="4"/>
  <c r="AA309" i="4"/>
  <c r="Z309" i="4"/>
  <c r="AA308" i="4"/>
  <c r="Z308" i="4"/>
  <c r="AA307" i="4"/>
  <c r="Z307" i="4"/>
  <c r="AA306" i="4"/>
  <c r="Z306" i="4"/>
  <c r="AA305" i="4"/>
  <c r="Z305" i="4"/>
  <c r="AA304" i="4"/>
  <c r="Z304" i="4"/>
  <c r="AA303" i="4"/>
  <c r="Z303" i="4"/>
  <c r="AA302" i="4"/>
  <c r="Z302" i="4"/>
  <c r="AA301" i="4"/>
  <c r="Z301" i="4"/>
  <c r="AA300" i="4"/>
  <c r="Z300" i="4"/>
  <c r="AA299" i="4"/>
  <c r="Z299" i="4"/>
  <c r="AA298" i="4"/>
  <c r="Z298" i="4"/>
  <c r="AA297" i="4"/>
  <c r="Z297" i="4"/>
  <c r="AA296" i="4"/>
  <c r="Z296" i="4"/>
  <c r="AA295" i="4"/>
  <c r="Z295" i="4"/>
  <c r="AA294" i="4"/>
  <c r="Z294" i="4"/>
  <c r="AA293" i="4"/>
  <c r="Z293" i="4"/>
  <c r="AA292" i="4"/>
  <c r="Z292" i="4"/>
  <c r="AA291" i="4"/>
  <c r="Z291" i="4"/>
  <c r="AA290" i="4"/>
  <c r="Z290" i="4"/>
  <c r="AA289" i="4"/>
  <c r="Z289" i="4"/>
  <c r="AA288" i="4"/>
  <c r="Z288" i="4"/>
  <c r="AA287" i="4"/>
  <c r="Z287" i="4"/>
  <c r="AA286" i="4"/>
  <c r="Z286" i="4"/>
  <c r="AA285" i="4"/>
  <c r="Z285" i="4"/>
  <c r="AA284" i="4"/>
  <c r="Z284" i="4"/>
  <c r="AA283" i="4"/>
  <c r="Z283" i="4"/>
  <c r="AA282" i="4"/>
  <c r="Z282" i="4"/>
  <c r="AA281" i="4"/>
  <c r="Z281" i="4"/>
  <c r="AA280" i="4"/>
  <c r="Z280" i="4"/>
  <c r="AA279" i="4"/>
  <c r="Z279" i="4"/>
  <c r="AA278" i="4"/>
  <c r="Z278" i="4"/>
  <c r="AA277" i="4"/>
  <c r="Z277" i="4"/>
  <c r="AA276" i="4"/>
  <c r="Z276" i="4"/>
  <c r="AA275" i="4"/>
  <c r="Z275" i="4"/>
  <c r="AA274" i="4"/>
  <c r="Z274" i="4"/>
  <c r="AA273" i="4"/>
  <c r="Z273" i="4"/>
  <c r="AA272" i="4"/>
  <c r="Z272" i="4"/>
  <c r="AA271" i="4"/>
  <c r="Z271" i="4"/>
  <c r="AA270" i="4"/>
  <c r="Z270" i="4"/>
  <c r="AA269" i="4"/>
  <c r="Z269" i="4"/>
  <c r="AA268" i="4"/>
  <c r="Z268" i="4"/>
  <c r="AA267" i="4"/>
  <c r="Z267" i="4"/>
  <c r="AA266" i="4"/>
  <c r="Z266" i="4"/>
  <c r="AA265" i="4"/>
  <c r="Z265" i="4"/>
  <c r="AA264" i="4"/>
  <c r="Z264" i="4"/>
  <c r="AA263" i="4"/>
  <c r="Z263" i="4"/>
  <c r="AA262" i="4"/>
  <c r="Z262" i="4"/>
  <c r="AA261" i="4"/>
  <c r="Z261" i="4"/>
  <c r="AA260" i="4"/>
  <c r="Z260" i="4"/>
  <c r="AA259" i="4"/>
  <c r="Z259" i="4"/>
  <c r="AA258" i="4"/>
  <c r="Z258" i="4"/>
  <c r="AA257" i="4"/>
  <c r="Z257" i="4"/>
  <c r="AA256" i="4"/>
  <c r="Z256" i="4"/>
  <c r="AA255" i="4"/>
  <c r="Z255" i="4"/>
  <c r="AA254" i="4"/>
  <c r="Z254" i="4"/>
  <c r="AA253" i="4"/>
  <c r="Z253" i="4"/>
  <c r="AA252" i="4"/>
  <c r="Z252" i="4"/>
  <c r="AA251" i="4"/>
  <c r="Z251" i="4"/>
  <c r="AA250" i="4"/>
  <c r="Z250" i="4"/>
  <c r="AA249" i="4"/>
  <c r="Z249" i="4"/>
  <c r="AA248" i="4"/>
  <c r="Z248" i="4"/>
  <c r="AA247" i="4"/>
  <c r="Z247" i="4"/>
  <c r="AA246" i="4"/>
  <c r="Z246" i="4"/>
  <c r="AA245" i="4"/>
  <c r="Z245" i="4"/>
  <c r="AA244" i="4"/>
  <c r="Z244" i="4"/>
  <c r="AA243" i="4"/>
  <c r="Z243" i="4"/>
  <c r="AA242" i="4"/>
  <c r="Z242" i="4"/>
  <c r="AA241" i="4"/>
  <c r="Z241" i="4"/>
  <c r="AA240" i="4"/>
  <c r="Z240" i="4"/>
  <c r="AA239" i="4"/>
  <c r="Z239" i="4"/>
  <c r="AA238" i="4"/>
  <c r="Z238" i="4"/>
  <c r="AA237" i="4"/>
  <c r="Z237" i="4"/>
  <c r="AA236" i="4"/>
  <c r="Z236" i="4"/>
  <c r="AA235" i="4"/>
  <c r="Z235" i="4"/>
  <c r="AA234" i="4"/>
  <c r="Z234" i="4"/>
  <c r="AA233" i="4"/>
  <c r="Z233" i="4"/>
  <c r="AA232" i="4"/>
  <c r="Z232" i="4"/>
  <c r="AA231" i="4"/>
  <c r="Z231" i="4"/>
  <c r="AA230" i="4"/>
  <c r="Z230" i="4"/>
  <c r="AA229" i="4"/>
  <c r="Z229" i="4"/>
  <c r="AA228" i="4"/>
  <c r="Z228" i="4"/>
  <c r="AA227" i="4"/>
  <c r="Z227" i="4"/>
  <c r="AA226" i="4"/>
  <c r="Z226" i="4"/>
  <c r="AA225" i="4"/>
  <c r="Z225" i="4"/>
  <c r="AA224" i="4"/>
  <c r="Z224" i="4"/>
  <c r="AA223" i="4"/>
  <c r="Z223" i="4"/>
  <c r="AA222" i="4"/>
  <c r="Z222" i="4"/>
  <c r="AA221" i="4"/>
  <c r="Z221" i="4"/>
  <c r="AA220" i="4"/>
  <c r="Z220" i="4"/>
  <c r="AA219" i="4"/>
  <c r="Z219" i="4"/>
  <c r="AA218" i="4"/>
  <c r="Z218" i="4"/>
  <c r="AA217" i="4"/>
  <c r="Z217" i="4"/>
  <c r="AA216" i="4"/>
  <c r="Z216" i="4"/>
  <c r="AA215" i="4"/>
  <c r="Z215" i="4"/>
  <c r="AA214" i="4"/>
  <c r="Z214" i="4"/>
  <c r="AA213" i="4"/>
  <c r="Z213" i="4"/>
  <c r="AA212" i="4"/>
  <c r="Z212" i="4"/>
  <c r="AA211" i="4"/>
  <c r="Z211" i="4"/>
  <c r="AA210" i="4"/>
  <c r="Z210" i="4"/>
  <c r="AA209" i="4"/>
  <c r="Z209" i="4"/>
  <c r="AA208" i="4"/>
  <c r="Z208" i="4"/>
  <c r="AA207" i="4"/>
  <c r="Z207" i="4"/>
  <c r="AA206" i="4"/>
  <c r="Z206" i="4"/>
  <c r="AA205" i="4"/>
  <c r="Z205" i="4"/>
  <c r="AA204" i="4"/>
  <c r="Z204" i="4"/>
  <c r="AA203" i="4"/>
  <c r="Z203" i="4"/>
  <c r="AA202" i="4"/>
  <c r="Z202" i="4"/>
  <c r="AA201" i="4"/>
  <c r="Z201" i="4"/>
  <c r="AA200" i="4"/>
  <c r="Z200" i="4"/>
  <c r="AA199" i="4"/>
  <c r="Z199" i="4"/>
  <c r="AA198" i="4"/>
  <c r="Z198" i="4"/>
  <c r="AA197" i="4"/>
  <c r="Z197" i="4"/>
  <c r="AA196" i="4"/>
  <c r="Z196" i="4"/>
  <c r="AA195" i="4"/>
  <c r="Z195" i="4"/>
  <c r="AA194" i="4"/>
  <c r="Z194" i="4"/>
  <c r="AA193" i="4"/>
  <c r="Z193" i="4"/>
  <c r="AA192" i="4"/>
  <c r="Z192" i="4"/>
  <c r="AA191" i="4"/>
  <c r="Z191" i="4"/>
  <c r="AA190" i="4"/>
  <c r="Z190" i="4"/>
  <c r="AA189" i="4"/>
  <c r="Z189" i="4"/>
  <c r="AA188" i="4"/>
  <c r="Z188" i="4"/>
  <c r="AA187" i="4"/>
  <c r="Z187" i="4"/>
  <c r="AA186" i="4"/>
  <c r="Z186" i="4"/>
  <c r="AA185" i="4"/>
  <c r="Z185" i="4"/>
  <c r="AA184" i="4"/>
  <c r="Z184" i="4"/>
  <c r="AA183" i="4"/>
  <c r="Z183" i="4"/>
  <c r="AA182" i="4"/>
  <c r="Z182" i="4"/>
  <c r="AA181" i="4"/>
  <c r="Z181" i="4"/>
  <c r="AA180" i="4"/>
  <c r="Z180" i="4"/>
  <c r="AA179" i="4"/>
  <c r="Z179" i="4"/>
  <c r="AA178" i="4"/>
  <c r="Z178" i="4"/>
  <c r="AA177" i="4"/>
  <c r="Z177" i="4"/>
  <c r="AA176" i="4"/>
  <c r="Z176" i="4"/>
  <c r="AA175" i="4"/>
  <c r="Z175" i="4"/>
  <c r="AA174" i="4"/>
  <c r="Z174" i="4"/>
  <c r="AA173" i="4"/>
  <c r="Z173" i="4"/>
  <c r="AA172" i="4"/>
  <c r="Z172" i="4"/>
  <c r="AA171" i="4"/>
  <c r="Z171" i="4"/>
  <c r="AA170" i="4"/>
  <c r="Z170" i="4"/>
  <c r="AA169" i="4"/>
  <c r="Z169" i="4"/>
  <c r="AA168" i="4"/>
  <c r="Z168" i="4"/>
  <c r="AA167" i="4"/>
  <c r="Z167" i="4"/>
  <c r="AA166" i="4"/>
  <c r="Z166" i="4"/>
  <c r="AA165" i="4"/>
  <c r="Z165" i="4"/>
  <c r="AA164" i="4"/>
  <c r="Z164" i="4"/>
  <c r="AA163" i="4"/>
  <c r="Z163" i="4"/>
  <c r="AA162" i="4"/>
  <c r="Z162" i="4"/>
  <c r="AA161" i="4"/>
  <c r="Z161" i="4"/>
  <c r="AA160" i="4"/>
  <c r="Z160" i="4"/>
  <c r="AA159" i="4"/>
  <c r="Z159" i="4"/>
  <c r="AA158" i="4"/>
  <c r="Z158" i="4"/>
  <c r="AA157" i="4"/>
  <c r="Z157" i="4"/>
  <c r="AA156" i="4"/>
  <c r="Z156" i="4"/>
  <c r="AA155" i="4"/>
  <c r="Z155" i="4"/>
  <c r="AA154" i="4"/>
  <c r="Z154" i="4"/>
  <c r="AA153" i="4"/>
  <c r="Z153" i="4"/>
  <c r="AA152" i="4"/>
  <c r="Z152" i="4"/>
  <c r="AA151" i="4"/>
  <c r="Z151" i="4"/>
  <c r="AA150" i="4"/>
  <c r="Z150" i="4"/>
  <c r="AA149" i="4"/>
  <c r="Z149" i="4"/>
  <c r="AA148" i="4"/>
  <c r="Z148" i="4"/>
  <c r="AA147" i="4"/>
  <c r="Z147" i="4"/>
  <c r="AA146" i="4"/>
  <c r="Z146" i="4"/>
  <c r="AA145" i="4"/>
  <c r="Z145" i="4"/>
  <c r="AA144" i="4"/>
  <c r="Z144" i="4"/>
  <c r="AA143" i="4"/>
  <c r="Z143" i="4"/>
  <c r="AA142" i="4"/>
  <c r="Z142" i="4"/>
  <c r="AA141" i="4"/>
  <c r="Z141" i="4"/>
  <c r="AA140" i="4"/>
  <c r="Z140" i="4"/>
  <c r="AA139" i="4"/>
  <c r="Z139" i="4"/>
  <c r="AA138" i="4"/>
  <c r="Z138" i="4"/>
  <c r="AA137" i="4"/>
  <c r="Z137" i="4"/>
  <c r="AA136" i="4"/>
  <c r="Z136" i="4"/>
  <c r="AA135" i="4"/>
  <c r="Z135" i="4"/>
  <c r="AA134" i="4"/>
  <c r="Z134" i="4"/>
  <c r="AA133" i="4"/>
  <c r="Z133" i="4"/>
  <c r="AA132" i="4"/>
  <c r="Z132" i="4"/>
  <c r="AA131" i="4"/>
  <c r="Z131" i="4"/>
  <c r="AA130" i="4"/>
  <c r="Z130" i="4"/>
  <c r="AA129" i="4"/>
  <c r="Z129" i="4"/>
  <c r="AA128" i="4"/>
  <c r="Z128" i="4"/>
  <c r="AA127" i="4"/>
  <c r="Z127" i="4"/>
  <c r="AA126" i="4"/>
  <c r="Z126" i="4"/>
  <c r="AA125" i="4"/>
  <c r="Z125" i="4"/>
  <c r="AA124" i="4"/>
  <c r="Z124" i="4"/>
  <c r="AA123" i="4"/>
  <c r="Z123" i="4"/>
  <c r="AA122" i="4"/>
  <c r="Z122" i="4"/>
  <c r="AA121" i="4"/>
  <c r="Z121" i="4"/>
  <c r="AA120" i="4"/>
  <c r="Z120" i="4"/>
  <c r="AA119" i="4"/>
  <c r="Z119" i="4"/>
  <c r="AA118" i="4"/>
  <c r="Z118" i="4"/>
  <c r="AA117" i="4"/>
  <c r="Z117" i="4"/>
  <c r="AA116" i="4"/>
  <c r="Z116" i="4"/>
  <c r="AA115" i="4"/>
  <c r="Z115" i="4"/>
  <c r="AA114" i="4"/>
  <c r="Z114" i="4"/>
  <c r="AA113" i="4"/>
  <c r="Z113" i="4"/>
  <c r="AA112" i="4"/>
  <c r="Z112" i="4"/>
  <c r="AA111" i="4"/>
  <c r="Z111" i="4"/>
  <c r="AA110" i="4"/>
  <c r="Z110" i="4"/>
  <c r="AA109" i="4"/>
  <c r="Z109" i="4"/>
  <c r="AA108" i="4"/>
  <c r="Z108" i="4"/>
  <c r="AA107" i="4"/>
  <c r="Z107" i="4"/>
  <c r="AA106" i="4"/>
  <c r="Z106" i="4"/>
  <c r="AA105" i="4"/>
  <c r="Z105" i="4"/>
  <c r="AA104" i="4"/>
  <c r="Z104" i="4"/>
  <c r="AA103" i="4"/>
  <c r="Z103" i="4"/>
  <c r="AA102" i="4"/>
  <c r="Z102" i="4"/>
  <c r="AA101" i="4"/>
  <c r="Z101" i="4"/>
  <c r="AA100" i="4"/>
  <c r="Z100" i="4"/>
  <c r="AA99" i="4"/>
  <c r="Z99" i="4"/>
  <c r="AA98" i="4"/>
  <c r="Z98" i="4"/>
  <c r="AA97" i="4"/>
  <c r="Z97" i="4"/>
  <c r="AA96" i="4"/>
  <c r="Z96" i="4"/>
  <c r="AA95" i="4"/>
  <c r="Z95" i="4"/>
  <c r="AA94" i="4"/>
  <c r="Z94" i="4"/>
  <c r="AA93" i="4"/>
  <c r="Z93" i="4"/>
  <c r="AA92" i="4"/>
  <c r="Z92" i="4"/>
  <c r="AA91" i="4"/>
  <c r="Z91" i="4"/>
  <c r="AA90" i="4"/>
  <c r="Z90" i="4"/>
  <c r="AA89" i="4"/>
  <c r="Z89" i="4"/>
  <c r="AA88" i="4"/>
  <c r="Z88" i="4"/>
  <c r="AA87" i="4"/>
  <c r="Z87" i="4"/>
  <c r="AA86" i="4"/>
  <c r="Z86" i="4"/>
  <c r="AA85" i="4"/>
  <c r="Z85" i="4"/>
  <c r="AA84" i="4"/>
  <c r="Z84" i="4"/>
  <c r="AA83" i="4"/>
  <c r="Z83" i="4"/>
  <c r="AA82" i="4"/>
  <c r="Z82" i="4"/>
  <c r="AA81" i="4"/>
  <c r="Z81" i="4"/>
  <c r="AA80" i="4"/>
  <c r="Z80" i="4"/>
  <c r="AA79" i="4"/>
  <c r="Z79" i="4"/>
  <c r="AA78" i="4"/>
  <c r="Z78" i="4"/>
  <c r="AA77" i="4"/>
  <c r="Z77" i="4"/>
  <c r="AA76" i="4"/>
  <c r="Z76" i="4"/>
  <c r="AA75" i="4"/>
  <c r="Z75" i="4"/>
  <c r="AA74" i="4"/>
  <c r="Z74" i="4"/>
  <c r="AA73" i="4"/>
  <c r="Z73" i="4"/>
  <c r="AA72" i="4"/>
  <c r="Z72" i="4"/>
  <c r="AA71" i="4"/>
  <c r="Z71" i="4"/>
  <c r="AA70" i="4"/>
  <c r="Z70" i="4"/>
  <c r="AA69" i="4"/>
  <c r="Z69" i="4"/>
  <c r="AA68" i="4"/>
  <c r="Z68" i="4"/>
  <c r="AA67" i="4"/>
  <c r="Z67" i="4"/>
  <c r="AA66" i="4"/>
  <c r="Z66" i="4"/>
  <c r="AA65" i="4"/>
  <c r="Z65" i="4"/>
  <c r="AA64" i="4"/>
  <c r="Z64" i="4"/>
  <c r="AA63" i="4"/>
  <c r="Z63" i="4"/>
  <c r="AA62" i="4"/>
  <c r="Z62" i="4"/>
  <c r="AA61" i="4"/>
  <c r="Z61" i="4"/>
  <c r="AA60" i="4"/>
  <c r="Z60" i="4"/>
  <c r="AA59" i="4"/>
  <c r="Z59" i="4"/>
  <c r="AA58" i="4"/>
  <c r="Z58" i="4"/>
  <c r="AA57" i="4"/>
  <c r="Z57" i="4"/>
  <c r="AA56" i="4"/>
  <c r="Z56" i="4"/>
  <c r="AA55" i="4"/>
  <c r="Z55" i="4"/>
  <c r="AA54" i="4"/>
  <c r="Z54" i="4"/>
  <c r="AA53" i="4"/>
  <c r="Z53" i="4"/>
  <c r="AA52" i="4"/>
  <c r="Z52" i="4"/>
  <c r="AA51" i="4"/>
  <c r="Z51" i="4"/>
  <c r="AA50" i="4"/>
  <c r="Z50" i="4"/>
  <c r="AA49" i="4"/>
  <c r="Z49" i="4"/>
  <c r="AA48" i="4"/>
  <c r="Z48" i="4"/>
  <c r="AA47" i="4"/>
  <c r="Z47" i="4"/>
  <c r="AA46" i="4"/>
  <c r="Z46" i="4"/>
  <c r="AA45" i="4"/>
  <c r="Z45" i="4"/>
  <c r="AA44" i="4"/>
  <c r="Z44" i="4"/>
  <c r="AA43" i="4"/>
  <c r="Z43" i="4"/>
  <c r="AA42" i="4"/>
  <c r="Z42" i="4"/>
  <c r="AA41" i="4"/>
  <c r="Z41" i="4"/>
  <c r="AA40" i="4"/>
  <c r="Z40" i="4"/>
  <c r="AA39" i="4"/>
  <c r="Z39" i="4"/>
  <c r="AA38" i="4"/>
  <c r="Z38" i="4"/>
  <c r="AA37" i="4"/>
  <c r="Z37" i="4"/>
  <c r="AA36" i="4"/>
  <c r="Z36" i="4"/>
  <c r="AA35" i="4"/>
  <c r="Z35" i="4"/>
  <c r="AA34" i="4"/>
  <c r="Z34" i="4"/>
  <c r="AA33" i="4"/>
  <c r="Z33" i="4"/>
  <c r="AA32" i="4"/>
  <c r="Z32" i="4"/>
  <c r="AA31" i="4"/>
  <c r="Z31" i="4"/>
  <c r="AA30" i="4"/>
  <c r="Z30" i="4"/>
  <c r="AA29" i="4"/>
  <c r="Z29" i="4"/>
  <c r="AA28" i="4"/>
  <c r="Z28" i="4"/>
  <c r="AA27" i="4"/>
  <c r="Z27" i="4"/>
  <c r="AA26" i="4"/>
  <c r="Z26" i="4"/>
  <c r="AA25" i="4"/>
  <c r="Z25" i="4"/>
  <c r="AA24" i="4"/>
  <c r="Z24" i="4"/>
  <c r="AA23" i="4"/>
  <c r="Z23" i="4"/>
  <c r="AA22" i="4"/>
  <c r="Z22" i="4"/>
  <c r="AA21" i="4"/>
  <c r="Z21" i="4"/>
  <c r="AA20" i="4"/>
  <c r="Z20" i="4"/>
  <c r="AA19" i="4"/>
  <c r="Z19" i="4"/>
  <c r="AA18" i="4"/>
  <c r="Z18" i="4"/>
  <c r="AA17" i="4"/>
  <c r="Z17" i="4"/>
  <c r="AA16" i="4"/>
  <c r="Z16" i="4"/>
  <c r="AA15" i="4"/>
  <c r="Z15" i="4"/>
  <c r="AA14" i="4"/>
  <c r="Z14" i="4"/>
  <c r="AA13" i="4"/>
  <c r="Z13" i="4"/>
  <c r="AA12" i="4"/>
  <c r="Z12" i="4"/>
  <c r="AA11" i="4"/>
  <c r="Z11" i="4"/>
  <c r="AA10" i="4"/>
  <c r="Z10" i="4"/>
  <c r="AA9" i="4"/>
  <c r="Z9" i="4"/>
  <c r="AA8" i="4"/>
  <c r="Z8" i="4"/>
  <c r="AA7" i="4"/>
  <c r="Z7" i="4"/>
  <c r="AA6" i="4"/>
  <c r="Z6" i="4"/>
  <c r="AA5" i="4"/>
  <c r="Z5" i="4"/>
  <c r="AA4" i="4"/>
  <c r="Z4" i="4"/>
  <c r="AA3" i="4"/>
  <c r="Z3" i="4"/>
  <c r="AA2" i="4"/>
  <c r="Z2" i="4"/>
  <c r="S2" i="2"/>
  <c r="S3" i="2"/>
  <c r="S4" i="2"/>
  <c r="S5" i="2"/>
  <c r="S6" i="2"/>
  <c r="S7" i="2"/>
  <c r="S8" i="2"/>
  <c r="T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T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T35" i="2"/>
  <c r="S36" i="2"/>
  <c r="T36" i="2"/>
  <c r="S37" i="2"/>
  <c r="S90" i="2"/>
  <c r="T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T75" i="2"/>
  <c r="S76" i="2"/>
  <c r="S77" i="2"/>
  <c r="S78" i="2"/>
  <c r="T77" i="2"/>
  <c r="S79" i="2"/>
  <c r="S80" i="2"/>
  <c r="S81" i="2"/>
  <c r="S82" i="2"/>
  <c r="S83" i="2"/>
  <c r="S84" i="2"/>
  <c r="S85" i="2"/>
  <c r="S86" i="2"/>
  <c r="S87" i="2"/>
  <c r="S88" i="2"/>
  <c r="S89" i="2"/>
  <c r="S91" i="2"/>
  <c r="S92" i="2"/>
  <c r="S93" i="2"/>
  <c r="S94" i="2"/>
  <c r="S95" i="2"/>
  <c r="S96" i="2"/>
  <c r="T96" i="2"/>
  <c r="S97" i="2"/>
  <c r="T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T112" i="2"/>
  <c r="S113" i="2"/>
  <c r="S114" i="2"/>
  <c r="S115" i="2"/>
  <c r="T115" i="2"/>
  <c r="S116" i="2"/>
  <c r="T116" i="2"/>
  <c r="S117" i="2"/>
  <c r="S118" i="2"/>
  <c r="T117" i="2"/>
  <c r="S119" i="2"/>
  <c r="S120" i="2"/>
  <c r="S121" i="2"/>
  <c r="T121" i="2"/>
  <c r="S122" i="2"/>
  <c r="T122" i="2"/>
  <c r="S123" i="2"/>
  <c r="T123" i="2"/>
  <c r="S124" i="2"/>
  <c r="T124" i="2"/>
  <c r="S125" i="2"/>
  <c r="S126" i="2"/>
  <c r="S127" i="2"/>
  <c r="S128" i="2"/>
  <c r="S129" i="2"/>
  <c r="T129" i="2"/>
  <c r="S130" i="2"/>
  <c r="T130" i="2"/>
  <c r="S131" i="2"/>
  <c r="T131" i="2"/>
  <c r="S132" i="2"/>
  <c r="T132" i="2"/>
  <c r="S133" i="2"/>
  <c r="S134" i="2"/>
  <c r="S135" i="2"/>
  <c r="S136" i="2"/>
  <c r="S137" i="2"/>
  <c r="T137" i="2"/>
  <c r="S138" i="2"/>
  <c r="S139" i="2"/>
  <c r="T139" i="2"/>
  <c r="S140" i="2"/>
  <c r="T140" i="2"/>
  <c r="S141" i="2"/>
  <c r="T141" i="2"/>
  <c r="S142" i="2"/>
  <c r="S143" i="2"/>
  <c r="S144" i="2"/>
  <c r="S145" i="2"/>
  <c r="S146" i="2"/>
  <c r="S147" i="2"/>
  <c r="S148" i="2"/>
  <c r="S149" i="2"/>
  <c r="S150" i="2"/>
  <c r="S151" i="2"/>
  <c r="T151" i="2"/>
  <c r="S152" i="2"/>
  <c r="S153" i="2"/>
  <c r="S154" i="2"/>
  <c r="T154" i="2"/>
  <c r="S155" i="2"/>
  <c r="S156" i="2"/>
  <c r="S157" i="2"/>
  <c r="S158" i="2"/>
  <c r="S159" i="2"/>
  <c r="S160" i="2"/>
  <c r="S161" i="2"/>
  <c r="T161" i="2"/>
  <c r="S162" i="2"/>
  <c r="T162" i="2"/>
  <c r="S163" i="2"/>
  <c r="S164" i="2"/>
  <c r="S165" i="2"/>
  <c r="T165" i="2"/>
  <c r="S166" i="2"/>
  <c r="S167" i="2"/>
  <c r="S168" i="2"/>
  <c r="S169" i="2"/>
  <c r="S170" i="2"/>
  <c r="S171" i="2"/>
  <c r="T171" i="2"/>
  <c r="S172" i="2"/>
  <c r="S173" i="2"/>
  <c r="S174" i="2"/>
  <c r="S175" i="2"/>
  <c r="S176" i="2"/>
  <c r="S177" i="2"/>
  <c r="S178" i="2"/>
  <c r="T650" i="2"/>
  <c r="S179" i="2"/>
  <c r="T179" i="2"/>
  <c r="S180" i="2"/>
  <c r="T651" i="2"/>
  <c r="S181" i="2"/>
  <c r="T652" i="2"/>
  <c r="S182" i="2"/>
  <c r="S183" i="2"/>
  <c r="S184" i="2"/>
  <c r="S185" i="2"/>
  <c r="S186" i="2"/>
  <c r="T656" i="2"/>
  <c r="S187" i="2"/>
  <c r="S188" i="2"/>
  <c r="S189" i="2"/>
  <c r="S190" i="2"/>
  <c r="T190" i="2"/>
  <c r="S191" i="2"/>
  <c r="S192" i="2"/>
  <c r="S193" i="2"/>
  <c r="T193" i="2"/>
  <c r="S194" i="2"/>
  <c r="T194" i="2"/>
  <c r="S195" i="2"/>
  <c r="T660" i="2"/>
  <c r="S196" i="2"/>
  <c r="S197" i="2"/>
  <c r="T661" i="2"/>
  <c r="S198" i="2"/>
  <c r="T198" i="2"/>
  <c r="S199" i="2"/>
  <c r="T199" i="2"/>
  <c r="S200" i="2"/>
  <c r="T200" i="2"/>
  <c r="S201" i="2"/>
  <c r="T201" i="2"/>
  <c r="S202" i="2"/>
  <c r="S203" i="2"/>
  <c r="S204" i="2"/>
  <c r="S205" i="2"/>
  <c r="T205" i="2"/>
  <c r="S206" i="2"/>
  <c r="S207" i="2"/>
  <c r="S208" i="2"/>
  <c r="S209" i="2"/>
  <c r="S210" i="2"/>
  <c r="S211" i="2"/>
  <c r="S212" i="2"/>
  <c r="S213" i="2"/>
  <c r="T662" i="2"/>
  <c r="S214" i="2"/>
  <c r="S215" i="2"/>
  <c r="S216" i="2"/>
  <c r="S217" i="2"/>
  <c r="S218" i="2"/>
  <c r="S219" i="2"/>
  <c r="T219" i="2"/>
  <c r="S220" i="2"/>
  <c r="T665" i="2"/>
  <c r="S221" i="2"/>
  <c r="S222" i="2"/>
  <c r="S223" i="2"/>
  <c r="S224" i="2"/>
  <c r="S225" i="2"/>
  <c r="S226" i="2"/>
  <c r="S227" i="2"/>
  <c r="S228" i="2"/>
  <c r="T667" i="2"/>
  <c r="S229" i="2"/>
  <c r="S230" i="2"/>
  <c r="T230" i="2"/>
  <c r="S231" i="2"/>
  <c r="T668" i="2"/>
  <c r="S232" i="2"/>
  <c r="S233" i="2"/>
  <c r="T669" i="2"/>
  <c r="S234" i="2"/>
  <c r="S235" i="2"/>
  <c r="S236" i="2"/>
  <c r="S237" i="2"/>
  <c r="S238" i="2"/>
  <c r="S239" i="2"/>
  <c r="S240" i="2"/>
  <c r="S241" i="2"/>
  <c r="S242" i="2"/>
  <c r="S243" i="2"/>
  <c r="T243" i="2"/>
  <c r="S244" i="2"/>
  <c r="T244" i="2"/>
  <c r="S245" i="2"/>
  <c r="T245" i="2"/>
  <c r="S246" i="2"/>
  <c r="S247" i="2"/>
  <c r="T670" i="2"/>
  <c r="S248" i="2"/>
  <c r="S249" i="2"/>
  <c r="T249" i="2"/>
  <c r="S250" i="2"/>
  <c r="S251" i="2"/>
  <c r="S252" i="2"/>
  <c r="S253" i="2"/>
  <c r="T673" i="2"/>
  <c r="S254" i="2"/>
  <c r="T254" i="2"/>
  <c r="S255" i="2"/>
  <c r="T676" i="2"/>
  <c r="S256" i="2"/>
  <c r="T678" i="2"/>
  <c r="S257" i="2"/>
  <c r="T680" i="2"/>
  <c r="S258" i="2"/>
  <c r="T683" i="2"/>
  <c r="S259" i="2"/>
  <c r="T684" i="2"/>
  <c r="S260" i="2"/>
  <c r="T685" i="2"/>
  <c r="S261" i="2"/>
  <c r="T686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T687" i="2"/>
  <c r="S277" i="2"/>
  <c r="S278" i="2"/>
  <c r="T68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T309" i="2"/>
  <c r="S310" i="2"/>
  <c r="S311" i="2"/>
  <c r="S312" i="2"/>
  <c r="S313" i="2"/>
  <c r="T313" i="2"/>
  <c r="S314" i="2"/>
  <c r="T314" i="2"/>
  <c r="S315" i="2"/>
  <c r="S316" i="2"/>
  <c r="S317" i="2"/>
  <c r="S318" i="2"/>
  <c r="T318" i="2"/>
  <c r="S319" i="2"/>
  <c r="S320" i="2"/>
  <c r="S321" i="2"/>
  <c r="T321" i="2"/>
  <c r="S322" i="2"/>
  <c r="T322" i="2"/>
  <c r="S323" i="2"/>
  <c r="S324" i="2"/>
  <c r="S325" i="2"/>
  <c r="T325" i="2"/>
  <c r="S326" i="2"/>
  <c r="T326" i="2"/>
  <c r="S327" i="2"/>
  <c r="S328" i="2"/>
  <c r="S329" i="2"/>
  <c r="T329" i="2"/>
  <c r="S330" i="2"/>
  <c r="T330" i="2"/>
  <c r="S331" i="2"/>
  <c r="T331" i="2"/>
  <c r="S332" i="2"/>
  <c r="S333" i="2"/>
  <c r="S334" i="2"/>
  <c r="T334" i="2"/>
  <c r="S335" i="2"/>
  <c r="T710" i="2"/>
  <c r="S336" i="2"/>
  <c r="S337" i="2"/>
  <c r="T337" i="2"/>
  <c r="S338" i="2"/>
  <c r="T338" i="2"/>
  <c r="S339" i="2"/>
  <c r="S340" i="2"/>
  <c r="S341" i="2"/>
  <c r="T341" i="2"/>
  <c r="S342" i="2"/>
  <c r="T342" i="2"/>
  <c r="S343" i="2"/>
  <c r="S344" i="2"/>
  <c r="S345" i="2"/>
  <c r="T345" i="2"/>
  <c r="S346" i="2"/>
  <c r="T346" i="2"/>
  <c r="S347" i="2"/>
  <c r="S348" i="2"/>
  <c r="S349" i="2"/>
  <c r="T349" i="2"/>
  <c r="S350" i="2"/>
  <c r="T350" i="2"/>
  <c r="S351" i="2"/>
  <c r="S352" i="2"/>
  <c r="S353" i="2"/>
  <c r="S354" i="2"/>
  <c r="S355" i="2"/>
  <c r="S356" i="2"/>
  <c r="S357" i="2"/>
  <c r="S358" i="2"/>
  <c r="T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T387" i="2"/>
  <c r="S389" i="2"/>
  <c r="T389" i="2"/>
  <c r="S390" i="2"/>
  <c r="S391" i="2"/>
  <c r="T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T410" i="2"/>
  <c r="S412" i="2"/>
  <c r="S413" i="2"/>
  <c r="S414" i="2"/>
  <c r="T413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T2453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T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T2671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T490" i="2"/>
  <c r="S492" i="2"/>
  <c r="S493" i="2"/>
  <c r="S494" i="2"/>
  <c r="S495" i="2"/>
  <c r="T495" i="2"/>
  <c r="S496" i="2"/>
  <c r="S497" i="2"/>
  <c r="S498" i="2"/>
  <c r="S499" i="2"/>
  <c r="S500" i="2"/>
  <c r="S501" i="2"/>
  <c r="S502" i="2"/>
  <c r="T1073" i="2"/>
  <c r="S503" i="2"/>
  <c r="S504" i="2"/>
  <c r="S505" i="2"/>
  <c r="S506" i="2"/>
  <c r="T1076" i="2"/>
  <c r="S507" i="2"/>
  <c r="S508" i="2"/>
  <c r="T1078" i="2"/>
  <c r="S509" i="2"/>
  <c r="S510" i="2"/>
  <c r="S511" i="2"/>
  <c r="S512" i="2"/>
  <c r="T2672" i="2"/>
  <c r="S513" i="2"/>
  <c r="T2673" i="2"/>
  <c r="S514" i="2"/>
  <c r="S515" i="2"/>
  <c r="S516" i="2"/>
  <c r="S517" i="2"/>
  <c r="T2674" i="2"/>
  <c r="S518" i="2"/>
  <c r="S519" i="2"/>
  <c r="S520" i="2"/>
  <c r="S521" i="2"/>
  <c r="T2677" i="2"/>
  <c r="S522" i="2"/>
  <c r="S523" i="2"/>
  <c r="T2678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T1103" i="2"/>
  <c r="S536" i="2"/>
  <c r="S537" i="2"/>
  <c r="S538" i="2"/>
  <c r="S539" i="2"/>
  <c r="S540" i="2"/>
  <c r="T2501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T562" i="2"/>
  <c r="S563" i="2"/>
  <c r="T563" i="2"/>
  <c r="S564" i="2"/>
  <c r="S565" i="2"/>
  <c r="S566" i="2"/>
  <c r="S567" i="2"/>
  <c r="S568" i="2"/>
  <c r="S569" i="2"/>
  <c r="S570" i="2"/>
  <c r="S571" i="2"/>
  <c r="T571" i="2"/>
  <c r="S572" i="2"/>
  <c r="S573" i="2"/>
  <c r="S574" i="2"/>
  <c r="S575" i="2"/>
  <c r="S576" i="2"/>
  <c r="S577" i="2"/>
  <c r="S578" i="2"/>
  <c r="T578" i="2"/>
  <c r="S579" i="2"/>
  <c r="T579" i="2"/>
  <c r="S580" i="2"/>
  <c r="S581" i="2"/>
  <c r="S582" i="2"/>
  <c r="S583" i="2"/>
  <c r="S584" i="2"/>
  <c r="S585" i="2"/>
  <c r="S586" i="2"/>
  <c r="S587" i="2"/>
  <c r="T587" i="2"/>
  <c r="S588" i="2"/>
  <c r="T588" i="2"/>
  <c r="S589" i="2"/>
  <c r="T589" i="2"/>
  <c r="S590" i="2"/>
  <c r="S591" i="2"/>
  <c r="S592" i="2"/>
  <c r="S593" i="2"/>
  <c r="S594" i="2"/>
  <c r="T594" i="2"/>
  <c r="S595" i="2"/>
  <c r="T595" i="2"/>
  <c r="S596" i="2"/>
  <c r="S597" i="2"/>
  <c r="S598" i="2"/>
  <c r="S599" i="2"/>
  <c r="T599" i="2"/>
  <c r="S600" i="2"/>
  <c r="S601" i="2"/>
  <c r="S602" i="2"/>
  <c r="S603" i="2"/>
  <c r="S604" i="2"/>
  <c r="S605" i="2"/>
  <c r="T605" i="2"/>
  <c r="S606" i="2"/>
  <c r="S607" i="2"/>
  <c r="T606" i="2"/>
  <c r="S608" i="2"/>
  <c r="S609" i="2"/>
  <c r="S610" i="2"/>
  <c r="S611" i="2"/>
  <c r="S612" i="2"/>
  <c r="T611" i="2"/>
  <c r="S613" i="2"/>
  <c r="T613" i="2"/>
  <c r="S614" i="2"/>
  <c r="S615" i="2"/>
  <c r="T614" i="2"/>
  <c r="S616" i="2"/>
  <c r="S617" i="2"/>
  <c r="S618" i="2"/>
  <c r="S619" i="2"/>
  <c r="S620" i="2"/>
  <c r="S621" i="2"/>
  <c r="S622" i="2"/>
  <c r="S623" i="2"/>
  <c r="S624" i="2"/>
  <c r="S625" i="2"/>
  <c r="T756" i="2"/>
  <c r="S626" i="2"/>
  <c r="S627" i="2"/>
  <c r="S628" i="2"/>
  <c r="S629" i="2"/>
  <c r="S630" i="2"/>
  <c r="S631" i="2"/>
  <c r="T760" i="2"/>
  <c r="S632" i="2"/>
  <c r="S633" i="2"/>
  <c r="S634" i="2"/>
  <c r="S635" i="2"/>
  <c r="T914" i="2"/>
  <c r="S636" i="2"/>
  <c r="S637" i="2"/>
  <c r="T637" i="2"/>
  <c r="S638" i="2"/>
  <c r="S639" i="2"/>
  <c r="S640" i="2"/>
  <c r="S641" i="2"/>
  <c r="S642" i="2"/>
  <c r="S643" i="2"/>
  <c r="S644" i="2"/>
  <c r="S645" i="2"/>
  <c r="S646" i="2"/>
  <c r="T646" i="2"/>
  <c r="S647" i="2"/>
  <c r="S648" i="2"/>
  <c r="S649" i="2"/>
  <c r="Q15" i="2"/>
  <c r="U15" i="2"/>
  <c r="Q16" i="2"/>
  <c r="U16" i="2"/>
  <c r="Q17" i="2"/>
  <c r="U17" i="2"/>
  <c r="Q18" i="2"/>
  <c r="U18" i="2"/>
  <c r="Q19" i="2"/>
  <c r="U19" i="2"/>
  <c r="Q20" i="2"/>
  <c r="U20" i="2"/>
  <c r="Q21" i="2"/>
  <c r="U21" i="2"/>
  <c r="Q22" i="2"/>
  <c r="U22" i="2"/>
  <c r="Q23" i="2"/>
  <c r="U23" i="2"/>
  <c r="Q24" i="2"/>
  <c r="U24" i="2"/>
  <c r="Q25" i="2"/>
  <c r="U25" i="2"/>
  <c r="Q26" i="2"/>
  <c r="U26" i="2"/>
  <c r="Q27" i="2"/>
  <c r="U27" i="2"/>
  <c r="Q28" i="2"/>
  <c r="U28" i="2"/>
  <c r="Q29" i="2"/>
  <c r="U29" i="2"/>
  <c r="Q30" i="2"/>
  <c r="U30" i="2"/>
  <c r="Q31" i="2"/>
  <c r="U31" i="2"/>
  <c r="Q32" i="2"/>
  <c r="U32" i="2"/>
  <c r="Q33" i="2"/>
  <c r="U33" i="2"/>
  <c r="Q34" i="2"/>
  <c r="U34" i="2"/>
  <c r="Q35" i="2"/>
  <c r="U35" i="2"/>
  <c r="Q36" i="2"/>
  <c r="U36" i="2"/>
  <c r="Q37" i="2"/>
  <c r="U37" i="2"/>
  <c r="Q38" i="2"/>
  <c r="U38" i="2"/>
  <c r="Q39" i="2"/>
  <c r="U39" i="2"/>
  <c r="Q40" i="2"/>
  <c r="U40" i="2"/>
  <c r="Q41" i="2"/>
  <c r="U41" i="2"/>
  <c r="Q42" i="2"/>
  <c r="U42" i="2"/>
  <c r="Q43" i="2"/>
  <c r="U43" i="2"/>
  <c r="Q44" i="2"/>
  <c r="U44" i="2"/>
  <c r="Q45" i="2"/>
  <c r="U45" i="2"/>
  <c r="Q46" i="2"/>
  <c r="U46" i="2"/>
  <c r="Q47" i="2"/>
  <c r="U47" i="2"/>
  <c r="Q48" i="2"/>
  <c r="U48" i="2"/>
  <c r="Q49" i="2"/>
  <c r="U49" i="2"/>
  <c r="Q50" i="2"/>
  <c r="U50" i="2"/>
  <c r="Q51" i="2"/>
  <c r="U51" i="2"/>
  <c r="Q52" i="2"/>
  <c r="U52" i="2"/>
  <c r="Q53" i="2"/>
  <c r="U53" i="2"/>
  <c r="Q54" i="2"/>
  <c r="U54" i="2"/>
  <c r="Q55" i="2"/>
  <c r="U55" i="2"/>
  <c r="Q56" i="2"/>
  <c r="U56" i="2"/>
  <c r="Q57" i="2"/>
  <c r="U57" i="2"/>
  <c r="Q58" i="2"/>
  <c r="U58" i="2"/>
  <c r="Q59" i="2"/>
  <c r="U59" i="2"/>
  <c r="Q60" i="2"/>
  <c r="U60" i="2"/>
  <c r="Q61" i="2"/>
  <c r="U61" i="2"/>
  <c r="Q62" i="2"/>
  <c r="U62" i="2"/>
  <c r="Q63" i="2"/>
  <c r="U63" i="2"/>
  <c r="Q64" i="2"/>
  <c r="U64" i="2"/>
  <c r="Q65" i="2"/>
  <c r="U65" i="2"/>
  <c r="Q66" i="2"/>
  <c r="U66" i="2"/>
  <c r="Q67" i="2"/>
  <c r="U67" i="2"/>
  <c r="Q68" i="2"/>
  <c r="U68" i="2"/>
  <c r="Q69" i="2"/>
  <c r="U69" i="2"/>
  <c r="Q70" i="2"/>
  <c r="U70" i="2"/>
  <c r="Q71" i="2"/>
  <c r="U71" i="2"/>
  <c r="Q72" i="2"/>
  <c r="U72" i="2"/>
  <c r="Q73" i="2"/>
  <c r="U73" i="2"/>
  <c r="Q74" i="2"/>
  <c r="U74" i="2"/>
  <c r="Q75" i="2"/>
  <c r="U75" i="2"/>
  <c r="Q76" i="2"/>
  <c r="U76" i="2"/>
  <c r="Q77" i="2"/>
  <c r="U77" i="2"/>
  <c r="Q78" i="2"/>
  <c r="U78" i="2"/>
  <c r="Q79" i="2"/>
  <c r="U79" i="2"/>
  <c r="Q80" i="2"/>
  <c r="U80" i="2"/>
  <c r="Q81" i="2"/>
  <c r="U81" i="2"/>
  <c r="Q82" i="2"/>
  <c r="U82" i="2"/>
  <c r="Q83" i="2"/>
  <c r="U83" i="2"/>
  <c r="Q84" i="2"/>
  <c r="U84" i="2"/>
  <c r="Q85" i="2"/>
  <c r="U85" i="2"/>
  <c r="Q86" i="2"/>
  <c r="U86" i="2"/>
  <c r="Q87" i="2"/>
  <c r="U87" i="2"/>
  <c r="Q88" i="2"/>
  <c r="U88" i="2"/>
  <c r="Q89" i="2"/>
  <c r="U89" i="2"/>
  <c r="Q90" i="2"/>
  <c r="U90" i="2"/>
  <c r="Q91" i="2"/>
  <c r="U91" i="2"/>
  <c r="Q92" i="2"/>
  <c r="U92" i="2"/>
  <c r="Q93" i="2"/>
  <c r="U93" i="2"/>
  <c r="Q94" i="2"/>
  <c r="U94" i="2"/>
  <c r="Q95" i="2"/>
  <c r="U95" i="2"/>
  <c r="Q96" i="2"/>
  <c r="U96" i="2"/>
  <c r="Q97" i="2"/>
  <c r="U97" i="2"/>
  <c r="Q98" i="2"/>
  <c r="U98" i="2"/>
  <c r="Q99" i="2"/>
  <c r="U99" i="2"/>
  <c r="Q100" i="2"/>
  <c r="U100" i="2"/>
  <c r="Q101" i="2"/>
  <c r="U101" i="2"/>
  <c r="Q102" i="2"/>
  <c r="U102" i="2"/>
  <c r="Q103" i="2"/>
  <c r="U103" i="2"/>
  <c r="Q104" i="2"/>
  <c r="U104" i="2"/>
  <c r="Q105" i="2"/>
  <c r="U105" i="2"/>
  <c r="Q106" i="2"/>
  <c r="U106" i="2"/>
  <c r="Q107" i="2"/>
  <c r="U107" i="2"/>
  <c r="Q108" i="2"/>
  <c r="U108" i="2"/>
  <c r="Q109" i="2"/>
  <c r="U109" i="2"/>
  <c r="Q110" i="2"/>
  <c r="U110" i="2"/>
  <c r="Q111" i="2"/>
  <c r="U111" i="2"/>
  <c r="Q112" i="2"/>
  <c r="U112" i="2"/>
  <c r="Q113" i="2"/>
  <c r="U113" i="2"/>
  <c r="Q114" i="2"/>
  <c r="U114" i="2"/>
  <c r="Q115" i="2"/>
  <c r="U115" i="2"/>
  <c r="Q116" i="2"/>
  <c r="U116" i="2"/>
  <c r="Q117" i="2"/>
  <c r="U117" i="2"/>
  <c r="Q118" i="2"/>
  <c r="U118" i="2"/>
  <c r="Q119" i="2"/>
  <c r="U119" i="2"/>
  <c r="Q120" i="2"/>
  <c r="U120" i="2"/>
  <c r="Q121" i="2"/>
  <c r="U121" i="2"/>
  <c r="Q122" i="2"/>
  <c r="U122" i="2"/>
  <c r="Q123" i="2"/>
  <c r="U123" i="2"/>
  <c r="Q124" i="2"/>
  <c r="U124" i="2"/>
  <c r="Q125" i="2"/>
  <c r="U125" i="2"/>
  <c r="Q126" i="2"/>
  <c r="U126" i="2"/>
  <c r="Q127" i="2"/>
  <c r="U127" i="2"/>
  <c r="Q128" i="2"/>
  <c r="U128" i="2"/>
  <c r="Q129" i="2"/>
  <c r="U129" i="2"/>
  <c r="Q130" i="2"/>
  <c r="U130" i="2"/>
  <c r="Q131" i="2"/>
  <c r="U131" i="2"/>
  <c r="Q132" i="2"/>
  <c r="U132" i="2"/>
  <c r="Q133" i="2"/>
  <c r="U133" i="2"/>
  <c r="Q134" i="2"/>
  <c r="U134" i="2"/>
  <c r="Q135" i="2"/>
  <c r="U135" i="2"/>
  <c r="Q136" i="2"/>
  <c r="U136" i="2"/>
  <c r="Q137" i="2"/>
  <c r="U137" i="2"/>
  <c r="Q138" i="2"/>
  <c r="U138" i="2"/>
  <c r="Q139" i="2"/>
  <c r="U139" i="2"/>
  <c r="Q140" i="2"/>
  <c r="U140" i="2"/>
  <c r="Q141" i="2"/>
  <c r="U141" i="2"/>
  <c r="Q142" i="2"/>
  <c r="U142" i="2"/>
  <c r="Q143" i="2"/>
  <c r="U143" i="2"/>
  <c r="Q144" i="2"/>
  <c r="U144" i="2"/>
  <c r="Q145" i="2"/>
  <c r="U145" i="2"/>
  <c r="Q146" i="2"/>
  <c r="U146" i="2"/>
  <c r="Q147" i="2"/>
  <c r="U147" i="2"/>
  <c r="Q148" i="2"/>
  <c r="U148" i="2"/>
  <c r="Q149" i="2"/>
  <c r="U149" i="2"/>
  <c r="Q150" i="2"/>
  <c r="U150" i="2"/>
  <c r="Q151" i="2"/>
  <c r="U151" i="2"/>
  <c r="Q152" i="2"/>
  <c r="U152" i="2"/>
  <c r="Q153" i="2"/>
  <c r="U153" i="2"/>
  <c r="Q154" i="2"/>
  <c r="U154" i="2"/>
  <c r="Q155" i="2"/>
  <c r="U155" i="2"/>
  <c r="Q156" i="2"/>
  <c r="U156" i="2"/>
  <c r="Q157" i="2"/>
  <c r="U157" i="2"/>
  <c r="Q158" i="2"/>
  <c r="U158" i="2"/>
  <c r="Q159" i="2"/>
  <c r="U159" i="2"/>
  <c r="Q160" i="2"/>
  <c r="U160" i="2"/>
  <c r="Q161" i="2"/>
  <c r="U161" i="2"/>
  <c r="Q162" i="2"/>
  <c r="U162" i="2"/>
  <c r="Q163" i="2"/>
  <c r="U163" i="2"/>
  <c r="Q164" i="2"/>
  <c r="U164" i="2"/>
  <c r="Q165" i="2"/>
  <c r="U165" i="2"/>
  <c r="Q166" i="2"/>
  <c r="U166" i="2"/>
  <c r="Q167" i="2"/>
  <c r="U167" i="2"/>
  <c r="Q168" i="2"/>
  <c r="U168" i="2"/>
  <c r="Q169" i="2"/>
  <c r="U169" i="2"/>
  <c r="Q170" i="2"/>
  <c r="U170" i="2"/>
  <c r="Q171" i="2"/>
  <c r="U171" i="2"/>
  <c r="Q172" i="2"/>
  <c r="U172" i="2"/>
  <c r="Q173" i="2"/>
  <c r="U173" i="2"/>
  <c r="Q174" i="2"/>
  <c r="U174" i="2"/>
  <c r="Q175" i="2"/>
  <c r="U175" i="2"/>
  <c r="Q176" i="2"/>
  <c r="U176" i="2"/>
  <c r="Q177" i="2"/>
  <c r="U177" i="2"/>
  <c r="Q178" i="2"/>
  <c r="U178" i="2"/>
  <c r="Q179" i="2"/>
  <c r="U179" i="2"/>
  <c r="Q180" i="2"/>
  <c r="U180" i="2"/>
  <c r="Q181" i="2"/>
  <c r="U181" i="2"/>
  <c r="Q182" i="2"/>
  <c r="U182" i="2"/>
  <c r="Q183" i="2"/>
  <c r="U183" i="2"/>
  <c r="Q184" i="2"/>
  <c r="U184" i="2"/>
  <c r="Q185" i="2"/>
  <c r="U185" i="2"/>
  <c r="Q186" i="2"/>
  <c r="U186" i="2"/>
  <c r="Q187" i="2"/>
  <c r="U187" i="2"/>
  <c r="Q188" i="2"/>
  <c r="U188" i="2"/>
  <c r="Q189" i="2"/>
  <c r="U189" i="2"/>
  <c r="Q190" i="2"/>
  <c r="U190" i="2"/>
  <c r="Q191" i="2"/>
  <c r="U191" i="2"/>
  <c r="Q192" i="2"/>
  <c r="U192" i="2"/>
  <c r="Q193" i="2"/>
  <c r="U193" i="2"/>
  <c r="Q194" i="2"/>
  <c r="U194" i="2"/>
  <c r="Q195" i="2"/>
  <c r="U195" i="2"/>
  <c r="Q196" i="2"/>
  <c r="U196" i="2"/>
  <c r="Q197" i="2"/>
  <c r="U197" i="2"/>
  <c r="Q198" i="2"/>
  <c r="U198" i="2"/>
  <c r="Q199" i="2"/>
  <c r="U199" i="2"/>
  <c r="Q200" i="2"/>
  <c r="U200" i="2"/>
  <c r="Q201" i="2"/>
  <c r="U201" i="2"/>
  <c r="Q202" i="2"/>
  <c r="U202" i="2"/>
  <c r="Q203" i="2"/>
  <c r="U203" i="2"/>
  <c r="Q204" i="2"/>
  <c r="U204" i="2"/>
  <c r="Q205" i="2"/>
  <c r="U205" i="2"/>
  <c r="Q206" i="2"/>
  <c r="U206" i="2"/>
  <c r="Q207" i="2"/>
  <c r="U207" i="2"/>
  <c r="Q208" i="2"/>
  <c r="U208" i="2"/>
  <c r="Q209" i="2"/>
  <c r="U209" i="2"/>
  <c r="Q210" i="2"/>
  <c r="U210" i="2"/>
  <c r="Q211" i="2"/>
  <c r="U211" i="2"/>
  <c r="Q212" i="2"/>
  <c r="U212" i="2"/>
  <c r="Q213" i="2"/>
  <c r="U213" i="2"/>
  <c r="Q214" i="2"/>
  <c r="U214" i="2"/>
  <c r="Q215" i="2"/>
  <c r="U215" i="2"/>
  <c r="Q216" i="2"/>
  <c r="U216" i="2"/>
  <c r="Q217" i="2"/>
  <c r="U217" i="2"/>
  <c r="Q218" i="2"/>
  <c r="U218" i="2"/>
  <c r="Q219" i="2"/>
  <c r="U219" i="2"/>
  <c r="Q220" i="2"/>
  <c r="U220" i="2"/>
  <c r="Q221" i="2"/>
  <c r="U221" i="2"/>
  <c r="Q222" i="2"/>
  <c r="U222" i="2"/>
  <c r="Q223" i="2"/>
  <c r="U223" i="2"/>
  <c r="Q224" i="2"/>
  <c r="U224" i="2"/>
  <c r="Q225" i="2"/>
  <c r="U225" i="2"/>
  <c r="Q226" i="2"/>
  <c r="U226" i="2"/>
  <c r="Q227" i="2"/>
  <c r="U227" i="2"/>
  <c r="Q228" i="2"/>
  <c r="U228" i="2"/>
  <c r="Q229" i="2"/>
  <c r="U229" i="2"/>
  <c r="Q230" i="2"/>
  <c r="U230" i="2"/>
  <c r="Q231" i="2"/>
  <c r="U231" i="2"/>
  <c r="Q232" i="2"/>
  <c r="U232" i="2"/>
  <c r="Q233" i="2"/>
  <c r="U233" i="2"/>
  <c r="Q234" i="2"/>
  <c r="U234" i="2"/>
  <c r="Q235" i="2"/>
  <c r="U235" i="2"/>
  <c r="Q236" i="2"/>
  <c r="U236" i="2"/>
  <c r="Q237" i="2"/>
  <c r="U237" i="2"/>
  <c r="Q238" i="2"/>
  <c r="U238" i="2"/>
  <c r="Q239" i="2"/>
  <c r="U239" i="2"/>
  <c r="Q240" i="2"/>
  <c r="U240" i="2"/>
  <c r="Q241" i="2"/>
  <c r="U241" i="2"/>
  <c r="Q242" i="2"/>
  <c r="U242" i="2"/>
  <c r="Q243" i="2"/>
  <c r="U243" i="2"/>
  <c r="Q244" i="2"/>
  <c r="U244" i="2"/>
  <c r="Q245" i="2"/>
  <c r="U245" i="2"/>
  <c r="Q246" i="2"/>
  <c r="U246" i="2"/>
  <c r="Q247" i="2"/>
  <c r="U247" i="2"/>
  <c r="Q248" i="2"/>
  <c r="U248" i="2"/>
  <c r="Q249" i="2"/>
  <c r="U249" i="2"/>
  <c r="Q250" i="2"/>
  <c r="U250" i="2"/>
  <c r="Q251" i="2"/>
  <c r="U251" i="2"/>
  <c r="Q252" i="2"/>
  <c r="U252" i="2"/>
  <c r="Q253" i="2"/>
  <c r="U253" i="2"/>
  <c r="Q254" i="2"/>
  <c r="U254" i="2"/>
  <c r="Q255" i="2"/>
  <c r="U255" i="2"/>
  <c r="Q256" i="2"/>
  <c r="U256" i="2"/>
  <c r="Q257" i="2"/>
  <c r="U257" i="2"/>
  <c r="Q258" i="2"/>
  <c r="U258" i="2"/>
  <c r="Q259" i="2"/>
  <c r="U259" i="2"/>
  <c r="Q260" i="2"/>
  <c r="U260" i="2"/>
  <c r="Q261" i="2"/>
  <c r="U261" i="2"/>
  <c r="Q262" i="2"/>
  <c r="U262" i="2"/>
  <c r="Q263" i="2"/>
  <c r="U263" i="2"/>
  <c r="Q264" i="2"/>
  <c r="U264" i="2"/>
  <c r="Q265" i="2"/>
  <c r="U265" i="2"/>
  <c r="Q266" i="2"/>
  <c r="U266" i="2"/>
  <c r="Q267" i="2"/>
  <c r="U267" i="2"/>
  <c r="Q268" i="2"/>
  <c r="U268" i="2"/>
  <c r="Q269" i="2"/>
  <c r="U269" i="2"/>
  <c r="Q270" i="2"/>
  <c r="U270" i="2"/>
  <c r="Q271" i="2"/>
  <c r="U271" i="2"/>
  <c r="Q272" i="2"/>
  <c r="U272" i="2"/>
  <c r="Q273" i="2"/>
  <c r="U273" i="2"/>
  <c r="Q274" i="2"/>
  <c r="U274" i="2"/>
  <c r="Q275" i="2"/>
  <c r="U275" i="2"/>
  <c r="Q276" i="2"/>
  <c r="U276" i="2"/>
  <c r="Q277" i="2"/>
  <c r="U277" i="2"/>
  <c r="Q278" i="2"/>
  <c r="U278" i="2"/>
  <c r="Q279" i="2"/>
  <c r="U279" i="2"/>
  <c r="Q280" i="2"/>
  <c r="U280" i="2"/>
  <c r="Q281" i="2"/>
  <c r="U281" i="2"/>
  <c r="Q282" i="2"/>
  <c r="U282" i="2"/>
  <c r="Q283" i="2"/>
  <c r="U283" i="2"/>
  <c r="Q284" i="2"/>
  <c r="U284" i="2"/>
  <c r="Q285" i="2"/>
  <c r="U285" i="2"/>
  <c r="Q286" i="2"/>
  <c r="U286" i="2"/>
  <c r="Q287" i="2"/>
  <c r="U287" i="2"/>
  <c r="Q288" i="2"/>
  <c r="U288" i="2"/>
  <c r="Q289" i="2"/>
  <c r="U289" i="2"/>
  <c r="Q290" i="2"/>
  <c r="U290" i="2"/>
  <c r="Q291" i="2"/>
  <c r="U291" i="2"/>
  <c r="Q292" i="2"/>
  <c r="U292" i="2"/>
  <c r="Q293" i="2"/>
  <c r="U293" i="2"/>
  <c r="Q294" i="2"/>
  <c r="U294" i="2"/>
  <c r="Q295" i="2"/>
  <c r="U295" i="2"/>
  <c r="Q296" i="2"/>
  <c r="U296" i="2"/>
  <c r="Q297" i="2"/>
  <c r="U297" i="2"/>
  <c r="Q298" i="2"/>
  <c r="U298" i="2"/>
  <c r="Q299" i="2"/>
  <c r="U299" i="2"/>
  <c r="Q300" i="2"/>
  <c r="U300" i="2"/>
  <c r="Q301" i="2"/>
  <c r="U301" i="2"/>
  <c r="Q302" i="2"/>
  <c r="U302" i="2"/>
  <c r="Q303" i="2"/>
  <c r="U303" i="2"/>
  <c r="Q304" i="2"/>
  <c r="U304" i="2"/>
  <c r="Q305" i="2"/>
  <c r="U305" i="2"/>
  <c r="Q306" i="2"/>
  <c r="U306" i="2"/>
  <c r="Q307" i="2"/>
  <c r="U307" i="2"/>
  <c r="Q308" i="2"/>
  <c r="U308" i="2"/>
  <c r="Q309" i="2"/>
  <c r="U309" i="2"/>
  <c r="Q310" i="2"/>
  <c r="U310" i="2"/>
  <c r="Q311" i="2"/>
  <c r="U311" i="2"/>
  <c r="Q312" i="2"/>
  <c r="U312" i="2"/>
  <c r="Q313" i="2"/>
  <c r="U313" i="2"/>
  <c r="Q314" i="2"/>
  <c r="U314" i="2"/>
  <c r="Q315" i="2"/>
  <c r="U315" i="2"/>
  <c r="Q316" i="2"/>
  <c r="U316" i="2"/>
  <c r="Q317" i="2"/>
  <c r="U317" i="2"/>
  <c r="Q318" i="2"/>
  <c r="U318" i="2"/>
  <c r="Q319" i="2"/>
  <c r="U319" i="2"/>
  <c r="Q320" i="2"/>
  <c r="U320" i="2"/>
  <c r="Q321" i="2"/>
  <c r="U321" i="2"/>
  <c r="Q322" i="2"/>
  <c r="U322" i="2"/>
  <c r="Q323" i="2"/>
  <c r="U323" i="2"/>
  <c r="Q324" i="2"/>
  <c r="U324" i="2"/>
  <c r="Q325" i="2"/>
  <c r="U325" i="2"/>
  <c r="Q326" i="2"/>
  <c r="U326" i="2"/>
  <c r="Q327" i="2"/>
  <c r="U327" i="2"/>
  <c r="Q328" i="2"/>
  <c r="U328" i="2"/>
  <c r="Q329" i="2"/>
  <c r="U329" i="2"/>
  <c r="Q330" i="2"/>
  <c r="U330" i="2"/>
  <c r="Q331" i="2"/>
  <c r="U331" i="2"/>
  <c r="Q332" i="2"/>
  <c r="U332" i="2"/>
  <c r="Q333" i="2"/>
  <c r="U333" i="2"/>
  <c r="Q334" i="2"/>
  <c r="U334" i="2"/>
  <c r="Q335" i="2"/>
  <c r="U335" i="2"/>
  <c r="Q336" i="2"/>
  <c r="U336" i="2"/>
  <c r="Q337" i="2"/>
  <c r="U337" i="2"/>
  <c r="Q338" i="2"/>
  <c r="U338" i="2"/>
  <c r="Q339" i="2"/>
  <c r="U339" i="2"/>
  <c r="Q340" i="2"/>
  <c r="U340" i="2"/>
  <c r="Q341" i="2"/>
  <c r="U341" i="2"/>
  <c r="Q342" i="2"/>
  <c r="U342" i="2"/>
  <c r="Q343" i="2"/>
  <c r="U343" i="2"/>
  <c r="Q344" i="2"/>
  <c r="U344" i="2"/>
  <c r="Q345" i="2"/>
  <c r="U345" i="2"/>
  <c r="Q346" i="2"/>
  <c r="U346" i="2"/>
  <c r="Q347" i="2"/>
  <c r="U347" i="2"/>
  <c r="Q348" i="2"/>
  <c r="U348" i="2"/>
  <c r="Q349" i="2"/>
  <c r="U349" i="2"/>
  <c r="Q350" i="2"/>
  <c r="U350" i="2"/>
  <c r="Q351" i="2"/>
  <c r="U351" i="2"/>
  <c r="Q352" i="2"/>
  <c r="U352" i="2"/>
  <c r="Q353" i="2"/>
  <c r="U353" i="2"/>
  <c r="Q354" i="2"/>
  <c r="U354" i="2"/>
  <c r="Q355" i="2"/>
  <c r="U355" i="2"/>
  <c r="Q356" i="2"/>
  <c r="U356" i="2"/>
  <c r="Q357" i="2"/>
  <c r="U357" i="2"/>
  <c r="Q358" i="2"/>
  <c r="U358" i="2"/>
  <c r="Q359" i="2"/>
  <c r="U359" i="2"/>
  <c r="Q360" i="2"/>
  <c r="U360" i="2"/>
  <c r="Q361" i="2"/>
  <c r="U361" i="2"/>
  <c r="Q362" i="2"/>
  <c r="U362" i="2"/>
  <c r="Q363" i="2"/>
  <c r="U363" i="2"/>
  <c r="Q364" i="2"/>
  <c r="U364" i="2"/>
  <c r="Q365" i="2"/>
  <c r="U365" i="2"/>
  <c r="Q366" i="2"/>
  <c r="U366" i="2"/>
  <c r="Q367" i="2"/>
  <c r="U367" i="2"/>
  <c r="Q368" i="2"/>
  <c r="U368" i="2"/>
  <c r="Q369" i="2"/>
  <c r="U369" i="2"/>
  <c r="Q370" i="2"/>
  <c r="U370" i="2"/>
  <c r="Q371" i="2"/>
  <c r="U371" i="2"/>
  <c r="Q372" i="2"/>
  <c r="U372" i="2"/>
  <c r="Q373" i="2"/>
  <c r="U373" i="2"/>
  <c r="Q374" i="2"/>
  <c r="U374" i="2"/>
  <c r="Q375" i="2"/>
  <c r="U375" i="2"/>
  <c r="Q376" i="2"/>
  <c r="U376" i="2"/>
  <c r="Q377" i="2"/>
  <c r="U377" i="2"/>
  <c r="Q378" i="2"/>
  <c r="U378" i="2"/>
  <c r="Q379" i="2"/>
  <c r="U379" i="2"/>
  <c r="Q380" i="2"/>
  <c r="U380" i="2"/>
  <c r="Q381" i="2"/>
  <c r="U381" i="2"/>
  <c r="Q382" i="2"/>
  <c r="U382" i="2"/>
  <c r="Q383" i="2"/>
  <c r="U383" i="2"/>
  <c r="Q384" i="2"/>
  <c r="U384" i="2"/>
  <c r="Q385" i="2"/>
  <c r="U385" i="2"/>
  <c r="Q386" i="2"/>
  <c r="U386" i="2"/>
  <c r="Q387" i="2"/>
  <c r="U387" i="2"/>
  <c r="Q388" i="2"/>
  <c r="U388" i="2"/>
  <c r="Q389" i="2"/>
  <c r="U389" i="2"/>
  <c r="Q390" i="2"/>
  <c r="U390" i="2"/>
  <c r="Q391" i="2"/>
  <c r="U391" i="2"/>
  <c r="Q392" i="2"/>
  <c r="U392" i="2"/>
  <c r="Q393" i="2"/>
  <c r="U393" i="2"/>
  <c r="Q394" i="2"/>
  <c r="U394" i="2"/>
  <c r="Q395" i="2"/>
  <c r="U395" i="2"/>
  <c r="Q396" i="2"/>
  <c r="U396" i="2"/>
  <c r="Q397" i="2"/>
  <c r="U397" i="2"/>
  <c r="Q398" i="2"/>
  <c r="U398" i="2"/>
  <c r="Q399" i="2"/>
  <c r="U399" i="2"/>
  <c r="Q400" i="2"/>
  <c r="U400" i="2"/>
  <c r="Q401" i="2"/>
  <c r="U401" i="2"/>
  <c r="Q402" i="2"/>
  <c r="U402" i="2"/>
  <c r="Q403" i="2"/>
  <c r="U403" i="2"/>
  <c r="Q404" i="2"/>
  <c r="U404" i="2"/>
  <c r="Q405" i="2"/>
  <c r="U405" i="2"/>
  <c r="Q406" i="2"/>
  <c r="U406" i="2"/>
  <c r="Q407" i="2"/>
  <c r="U407" i="2"/>
  <c r="Q408" i="2"/>
  <c r="U408" i="2"/>
  <c r="Q409" i="2"/>
  <c r="U409" i="2"/>
  <c r="Q410" i="2"/>
  <c r="U410" i="2"/>
  <c r="Q411" i="2"/>
  <c r="U411" i="2"/>
  <c r="Q412" i="2"/>
  <c r="U412" i="2"/>
  <c r="Q413" i="2"/>
  <c r="U413" i="2"/>
  <c r="Q414" i="2"/>
  <c r="U414" i="2"/>
  <c r="Q415" i="2"/>
  <c r="U415" i="2"/>
  <c r="Q416" i="2"/>
  <c r="U416" i="2"/>
  <c r="Q417" i="2"/>
  <c r="U417" i="2"/>
  <c r="Q418" i="2"/>
  <c r="U418" i="2"/>
  <c r="Q419" i="2"/>
  <c r="U419" i="2"/>
  <c r="Q420" i="2"/>
  <c r="U420" i="2"/>
  <c r="Q421" i="2"/>
  <c r="U421" i="2"/>
  <c r="Q422" i="2"/>
  <c r="U422" i="2"/>
  <c r="Q423" i="2"/>
  <c r="U423" i="2"/>
  <c r="Q424" i="2"/>
  <c r="U424" i="2"/>
  <c r="Q425" i="2"/>
  <c r="U425" i="2"/>
  <c r="Q426" i="2"/>
  <c r="U426" i="2"/>
  <c r="Q427" i="2"/>
  <c r="U427" i="2"/>
  <c r="Q428" i="2"/>
  <c r="U428" i="2"/>
  <c r="Q429" i="2"/>
  <c r="U429" i="2"/>
  <c r="Q430" i="2"/>
  <c r="U430" i="2"/>
  <c r="Q431" i="2"/>
  <c r="U431" i="2"/>
  <c r="Q432" i="2"/>
  <c r="U432" i="2"/>
  <c r="Q433" i="2"/>
  <c r="U433" i="2"/>
  <c r="Q434" i="2"/>
  <c r="U434" i="2"/>
  <c r="Q435" i="2"/>
  <c r="U435" i="2"/>
  <c r="Q436" i="2"/>
  <c r="U436" i="2"/>
  <c r="Q437" i="2"/>
  <c r="U437" i="2"/>
  <c r="Q438" i="2"/>
  <c r="U438" i="2"/>
  <c r="Q439" i="2"/>
  <c r="U439" i="2"/>
  <c r="Q440" i="2"/>
  <c r="U440" i="2"/>
  <c r="Q441" i="2"/>
  <c r="U441" i="2"/>
  <c r="Q442" i="2"/>
  <c r="U442" i="2"/>
  <c r="Q443" i="2"/>
  <c r="U443" i="2"/>
  <c r="Q444" i="2"/>
  <c r="U444" i="2"/>
  <c r="Q445" i="2"/>
  <c r="U445" i="2"/>
  <c r="Q446" i="2"/>
  <c r="U446" i="2"/>
  <c r="Q447" i="2"/>
  <c r="U447" i="2"/>
  <c r="Q448" i="2"/>
  <c r="U448" i="2"/>
  <c r="Q449" i="2"/>
  <c r="U449" i="2"/>
  <c r="Q450" i="2"/>
  <c r="U450" i="2"/>
  <c r="Q451" i="2"/>
  <c r="U451" i="2"/>
  <c r="Q452" i="2"/>
  <c r="U452" i="2"/>
  <c r="Q453" i="2"/>
  <c r="U453" i="2"/>
  <c r="Q454" i="2"/>
  <c r="U454" i="2"/>
  <c r="Q455" i="2"/>
  <c r="U455" i="2"/>
  <c r="Q456" i="2"/>
  <c r="U456" i="2"/>
  <c r="Q457" i="2"/>
  <c r="U457" i="2"/>
  <c r="Q458" i="2"/>
  <c r="U458" i="2"/>
  <c r="Q459" i="2"/>
  <c r="U459" i="2"/>
  <c r="Q460" i="2"/>
  <c r="U460" i="2"/>
  <c r="Q461" i="2"/>
  <c r="U461" i="2"/>
  <c r="Q462" i="2"/>
  <c r="U462" i="2"/>
  <c r="Q463" i="2"/>
  <c r="U463" i="2"/>
  <c r="Q464" i="2"/>
  <c r="U464" i="2"/>
  <c r="Q465" i="2"/>
  <c r="U465" i="2"/>
  <c r="Q466" i="2"/>
  <c r="U466" i="2"/>
  <c r="Q467" i="2"/>
  <c r="U467" i="2"/>
  <c r="Q468" i="2"/>
  <c r="U468" i="2"/>
  <c r="Q469" i="2"/>
  <c r="U469" i="2"/>
  <c r="Q470" i="2"/>
  <c r="U470" i="2"/>
  <c r="Q471" i="2"/>
  <c r="U471" i="2"/>
  <c r="Q472" i="2"/>
  <c r="U472" i="2"/>
  <c r="Q473" i="2"/>
  <c r="U473" i="2"/>
  <c r="Q474" i="2"/>
  <c r="U474" i="2"/>
  <c r="Q475" i="2"/>
  <c r="U475" i="2"/>
  <c r="Q476" i="2"/>
  <c r="U476" i="2"/>
  <c r="Q477" i="2"/>
  <c r="U477" i="2"/>
  <c r="Q478" i="2"/>
  <c r="U478" i="2"/>
  <c r="Q479" i="2"/>
  <c r="U479" i="2"/>
  <c r="Q480" i="2"/>
  <c r="U480" i="2"/>
  <c r="Q481" i="2"/>
  <c r="U481" i="2"/>
  <c r="Q482" i="2"/>
  <c r="U482" i="2"/>
  <c r="Q483" i="2"/>
  <c r="U483" i="2"/>
  <c r="Q484" i="2"/>
  <c r="U484" i="2"/>
  <c r="Q485" i="2"/>
  <c r="U485" i="2"/>
  <c r="Q486" i="2"/>
  <c r="U486" i="2"/>
  <c r="Q487" i="2"/>
  <c r="U487" i="2"/>
  <c r="Q488" i="2"/>
  <c r="U488" i="2"/>
  <c r="Q489" i="2"/>
  <c r="U489" i="2"/>
  <c r="Q490" i="2"/>
  <c r="U490" i="2"/>
  <c r="Q491" i="2"/>
  <c r="U491" i="2"/>
  <c r="Q492" i="2"/>
  <c r="U492" i="2"/>
  <c r="Q493" i="2"/>
  <c r="U493" i="2"/>
  <c r="Q494" i="2"/>
  <c r="U494" i="2"/>
  <c r="Q495" i="2"/>
  <c r="U495" i="2"/>
  <c r="Q496" i="2"/>
  <c r="U496" i="2"/>
  <c r="Q497" i="2"/>
  <c r="U497" i="2"/>
  <c r="Q498" i="2"/>
  <c r="U498" i="2"/>
  <c r="Q499" i="2"/>
  <c r="U499" i="2"/>
  <c r="Q500" i="2"/>
  <c r="U500" i="2"/>
  <c r="Q501" i="2"/>
  <c r="U501" i="2"/>
  <c r="Q502" i="2"/>
  <c r="U502" i="2"/>
  <c r="Q503" i="2"/>
  <c r="U503" i="2"/>
  <c r="Q504" i="2"/>
  <c r="U504" i="2"/>
  <c r="Q505" i="2"/>
  <c r="U505" i="2"/>
  <c r="Q506" i="2"/>
  <c r="U506" i="2"/>
  <c r="Q507" i="2"/>
  <c r="U507" i="2"/>
  <c r="Q508" i="2"/>
  <c r="U508" i="2"/>
  <c r="Q509" i="2"/>
  <c r="U509" i="2"/>
  <c r="Q510" i="2"/>
  <c r="U510" i="2"/>
  <c r="Q511" i="2"/>
  <c r="U511" i="2"/>
  <c r="Q512" i="2"/>
  <c r="U512" i="2"/>
  <c r="Q513" i="2"/>
  <c r="U513" i="2"/>
  <c r="Q514" i="2"/>
  <c r="U514" i="2"/>
  <c r="Q515" i="2"/>
  <c r="U515" i="2"/>
  <c r="Q516" i="2"/>
  <c r="U516" i="2"/>
  <c r="Q517" i="2"/>
  <c r="U517" i="2"/>
  <c r="Q518" i="2"/>
  <c r="U518" i="2"/>
  <c r="Q519" i="2"/>
  <c r="U519" i="2"/>
  <c r="Q520" i="2"/>
  <c r="U520" i="2"/>
  <c r="Q521" i="2"/>
  <c r="U521" i="2"/>
  <c r="Q522" i="2"/>
  <c r="U522" i="2"/>
  <c r="Q523" i="2"/>
  <c r="U523" i="2"/>
  <c r="Q524" i="2"/>
  <c r="U524" i="2"/>
  <c r="Q525" i="2"/>
  <c r="U525" i="2"/>
  <c r="Q526" i="2"/>
  <c r="U526" i="2"/>
  <c r="Q527" i="2"/>
  <c r="U527" i="2"/>
  <c r="Q528" i="2"/>
  <c r="U528" i="2"/>
  <c r="Q529" i="2"/>
  <c r="U529" i="2"/>
  <c r="Q530" i="2"/>
  <c r="U530" i="2"/>
  <c r="Q531" i="2"/>
  <c r="U531" i="2"/>
  <c r="Q532" i="2"/>
  <c r="U532" i="2"/>
  <c r="Q533" i="2"/>
  <c r="U533" i="2"/>
  <c r="Q534" i="2"/>
  <c r="U534" i="2"/>
  <c r="Q535" i="2"/>
  <c r="U535" i="2"/>
  <c r="Q536" i="2"/>
  <c r="U536" i="2"/>
  <c r="Q537" i="2"/>
  <c r="U537" i="2"/>
  <c r="Q538" i="2"/>
  <c r="U538" i="2"/>
  <c r="Q539" i="2"/>
  <c r="U539" i="2"/>
  <c r="Q540" i="2"/>
  <c r="U540" i="2"/>
  <c r="Q541" i="2"/>
  <c r="U541" i="2"/>
  <c r="Q542" i="2"/>
  <c r="U542" i="2"/>
  <c r="Q543" i="2"/>
  <c r="U543" i="2"/>
  <c r="Q544" i="2"/>
  <c r="U544" i="2"/>
  <c r="Q545" i="2"/>
  <c r="U545" i="2"/>
  <c r="Q546" i="2"/>
  <c r="U546" i="2"/>
  <c r="Q547" i="2"/>
  <c r="U547" i="2"/>
  <c r="Q548" i="2"/>
  <c r="U548" i="2"/>
  <c r="Q549" i="2"/>
  <c r="U549" i="2"/>
  <c r="Q550" i="2"/>
  <c r="U550" i="2"/>
  <c r="Q551" i="2"/>
  <c r="U551" i="2"/>
  <c r="Q552" i="2"/>
  <c r="U552" i="2"/>
  <c r="Q553" i="2"/>
  <c r="U553" i="2"/>
  <c r="Q554" i="2"/>
  <c r="U554" i="2"/>
  <c r="Q555" i="2"/>
  <c r="U555" i="2"/>
  <c r="Q556" i="2"/>
  <c r="U556" i="2"/>
  <c r="Q557" i="2"/>
  <c r="U557" i="2"/>
  <c r="Q558" i="2"/>
  <c r="U558" i="2"/>
  <c r="Q559" i="2"/>
  <c r="U559" i="2"/>
  <c r="Q560" i="2"/>
  <c r="U560" i="2"/>
  <c r="Q561" i="2"/>
  <c r="U561" i="2"/>
  <c r="Q562" i="2"/>
  <c r="U562" i="2"/>
  <c r="Q563" i="2"/>
  <c r="U563" i="2"/>
  <c r="Q564" i="2"/>
  <c r="U564" i="2"/>
  <c r="Q565" i="2"/>
  <c r="U565" i="2"/>
  <c r="Q566" i="2"/>
  <c r="U566" i="2"/>
  <c r="Q567" i="2"/>
  <c r="U567" i="2"/>
  <c r="Q568" i="2"/>
  <c r="U568" i="2"/>
  <c r="Q569" i="2"/>
  <c r="U569" i="2"/>
  <c r="Q570" i="2"/>
  <c r="U570" i="2"/>
  <c r="Q571" i="2"/>
  <c r="U571" i="2"/>
  <c r="Q572" i="2"/>
  <c r="U572" i="2"/>
  <c r="Q573" i="2"/>
  <c r="U573" i="2"/>
  <c r="Q574" i="2"/>
  <c r="U574" i="2"/>
  <c r="Q575" i="2"/>
  <c r="U575" i="2"/>
  <c r="Q576" i="2"/>
  <c r="U576" i="2"/>
  <c r="Q577" i="2"/>
  <c r="U577" i="2"/>
  <c r="Q578" i="2"/>
  <c r="U578" i="2"/>
  <c r="Q579" i="2"/>
  <c r="U579" i="2"/>
  <c r="Q580" i="2"/>
  <c r="U580" i="2"/>
  <c r="Q581" i="2"/>
  <c r="U581" i="2"/>
  <c r="Q582" i="2"/>
  <c r="U582" i="2"/>
  <c r="Q583" i="2"/>
  <c r="U583" i="2"/>
  <c r="Q584" i="2"/>
  <c r="U584" i="2"/>
  <c r="Q585" i="2"/>
  <c r="U585" i="2"/>
  <c r="Q586" i="2"/>
  <c r="U586" i="2"/>
  <c r="Q587" i="2"/>
  <c r="U587" i="2"/>
  <c r="Q588" i="2"/>
  <c r="U588" i="2"/>
  <c r="Q589" i="2"/>
  <c r="U589" i="2"/>
  <c r="Q590" i="2"/>
  <c r="U590" i="2"/>
  <c r="Q591" i="2"/>
  <c r="U591" i="2"/>
  <c r="Q592" i="2"/>
  <c r="U592" i="2"/>
  <c r="Q593" i="2"/>
  <c r="U593" i="2"/>
  <c r="Q594" i="2"/>
  <c r="U594" i="2"/>
  <c r="Q595" i="2"/>
  <c r="U595" i="2"/>
  <c r="Q596" i="2"/>
  <c r="U596" i="2"/>
  <c r="Q597" i="2"/>
  <c r="U597" i="2"/>
  <c r="Q598" i="2"/>
  <c r="U598" i="2"/>
  <c r="Q599" i="2"/>
  <c r="U599" i="2"/>
  <c r="Q600" i="2"/>
  <c r="U600" i="2"/>
  <c r="Q601" i="2"/>
  <c r="U601" i="2"/>
  <c r="Q602" i="2"/>
  <c r="U602" i="2"/>
  <c r="Q603" i="2"/>
  <c r="U603" i="2"/>
  <c r="Q604" i="2"/>
  <c r="U604" i="2"/>
  <c r="Q605" i="2"/>
  <c r="U605" i="2"/>
  <c r="Q606" i="2"/>
  <c r="U606" i="2"/>
  <c r="Q607" i="2"/>
  <c r="U607" i="2"/>
  <c r="Q608" i="2"/>
  <c r="U608" i="2"/>
  <c r="Q609" i="2"/>
  <c r="U609" i="2"/>
  <c r="Q610" i="2"/>
  <c r="U610" i="2"/>
  <c r="Q611" i="2"/>
  <c r="U611" i="2"/>
  <c r="Q612" i="2"/>
  <c r="U612" i="2"/>
  <c r="Q613" i="2"/>
  <c r="U613" i="2"/>
  <c r="Q614" i="2"/>
  <c r="U614" i="2"/>
  <c r="Q615" i="2"/>
  <c r="U615" i="2"/>
  <c r="Q616" i="2"/>
  <c r="U616" i="2"/>
  <c r="Q617" i="2"/>
  <c r="U617" i="2"/>
  <c r="Q618" i="2"/>
  <c r="U618" i="2"/>
  <c r="Q619" i="2"/>
  <c r="U619" i="2"/>
  <c r="Q620" i="2"/>
  <c r="U620" i="2"/>
  <c r="Q621" i="2"/>
  <c r="U621" i="2"/>
  <c r="Q622" i="2"/>
  <c r="U622" i="2"/>
  <c r="Q623" i="2"/>
  <c r="U623" i="2"/>
  <c r="Q624" i="2"/>
  <c r="U624" i="2"/>
  <c r="Q625" i="2"/>
  <c r="U625" i="2"/>
  <c r="Q626" i="2"/>
  <c r="U626" i="2"/>
  <c r="Q627" i="2"/>
  <c r="U627" i="2"/>
  <c r="Q628" i="2"/>
  <c r="U628" i="2"/>
  <c r="Q629" i="2"/>
  <c r="U629" i="2"/>
  <c r="Q630" i="2"/>
  <c r="U630" i="2"/>
  <c r="Q631" i="2"/>
  <c r="U631" i="2"/>
  <c r="Q632" i="2"/>
  <c r="U632" i="2"/>
  <c r="Q633" i="2"/>
  <c r="U633" i="2"/>
  <c r="Q634" i="2"/>
  <c r="U634" i="2"/>
  <c r="Q635" i="2"/>
  <c r="U635" i="2"/>
  <c r="Q636" i="2"/>
  <c r="U636" i="2"/>
  <c r="Q637" i="2"/>
  <c r="U637" i="2"/>
  <c r="Q638" i="2"/>
  <c r="U638" i="2"/>
  <c r="Q639" i="2"/>
  <c r="U639" i="2"/>
  <c r="Q640" i="2"/>
  <c r="U640" i="2"/>
  <c r="Q641" i="2"/>
  <c r="U641" i="2"/>
  <c r="Q642" i="2"/>
  <c r="U642" i="2"/>
  <c r="Q643" i="2"/>
  <c r="U643" i="2"/>
  <c r="Q644" i="2"/>
  <c r="U644" i="2"/>
  <c r="Q645" i="2"/>
  <c r="U645" i="2"/>
  <c r="Q646" i="2"/>
  <c r="U646" i="2"/>
  <c r="Q647" i="2"/>
  <c r="U647" i="2"/>
  <c r="Q648" i="2"/>
  <c r="U648" i="2"/>
  <c r="Q649" i="2"/>
  <c r="U649" i="2"/>
  <c r="R16" i="2"/>
  <c r="R19" i="2"/>
  <c r="R20" i="2"/>
  <c r="R22" i="2"/>
  <c r="R27" i="2"/>
  <c r="R29" i="2"/>
  <c r="R30" i="2"/>
  <c r="R32" i="2"/>
  <c r="R35" i="2"/>
  <c r="R38" i="2"/>
  <c r="R43" i="2"/>
  <c r="R46" i="2"/>
  <c r="R51" i="2"/>
  <c r="R54" i="2"/>
  <c r="R58" i="2"/>
  <c r="R59" i="2"/>
  <c r="R60" i="2"/>
  <c r="R62" i="2"/>
  <c r="R67" i="2"/>
  <c r="R70" i="2"/>
  <c r="R75" i="2"/>
  <c r="R78" i="2"/>
  <c r="R83" i="2"/>
  <c r="R86" i="2"/>
  <c r="R90" i="2"/>
  <c r="R91" i="2"/>
  <c r="R93" i="2"/>
  <c r="R94" i="2"/>
  <c r="R99" i="2"/>
  <c r="R102" i="2"/>
  <c r="R107" i="2"/>
  <c r="R109" i="2"/>
  <c r="R110" i="2"/>
  <c r="R114" i="2"/>
  <c r="R115" i="2"/>
  <c r="R118" i="2"/>
  <c r="R123" i="2"/>
  <c r="R126" i="2"/>
  <c r="R131" i="2"/>
  <c r="R133" i="2"/>
  <c r="R134" i="2"/>
  <c r="R139" i="2"/>
  <c r="R141" i="2"/>
  <c r="R142" i="2"/>
  <c r="R146" i="2"/>
  <c r="R147" i="2"/>
  <c r="R150" i="2"/>
  <c r="R155" i="2"/>
  <c r="R158" i="2"/>
  <c r="R163" i="2"/>
  <c r="R165" i="2"/>
  <c r="R166" i="2"/>
  <c r="R171" i="2"/>
  <c r="R174" i="2"/>
  <c r="R179" i="2"/>
  <c r="R182" i="2"/>
  <c r="R187" i="2"/>
  <c r="R190" i="2"/>
  <c r="R194" i="2"/>
  <c r="R195" i="2"/>
  <c r="R198" i="2"/>
  <c r="R203" i="2"/>
  <c r="R206" i="2"/>
  <c r="R211" i="2"/>
  <c r="R214" i="2"/>
  <c r="R219" i="2"/>
  <c r="R222" i="2"/>
  <c r="R226" i="2"/>
  <c r="R227" i="2"/>
  <c r="R230" i="2"/>
  <c r="R235" i="2"/>
  <c r="R237" i="2"/>
  <c r="R238" i="2"/>
  <c r="R243" i="2"/>
  <c r="R246" i="2"/>
  <c r="R250" i="2"/>
  <c r="R251" i="2"/>
  <c r="R254" i="2"/>
  <c r="R259" i="2"/>
  <c r="R262" i="2"/>
  <c r="R267" i="2"/>
  <c r="R270" i="2"/>
  <c r="R275" i="2"/>
  <c r="R277" i="2"/>
  <c r="R278" i="2"/>
  <c r="R282" i="2"/>
  <c r="R286" i="2"/>
  <c r="R290" i="2"/>
  <c r="R291" i="2"/>
  <c r="R294" i="2"/>
  <c r="R299" i="2"/>
  <c r="R301" i="2"/>
  <c r="R302" i="2"/>
  <c r="R307" i="2"/>
  <c r="R310" i="2"/>
  <c r="R318" i="2"/>
  <c r="R323" i="2"/>
  <c r="R326" i="2"/>
  <c r="R331" i="2"/>
  <c r="R333" i="2"/>
  <c r="R334" i="2"/>
  <c r="R339" i="2"/>
  <c r="R342" i="2"/>
  <c r="R346" i="2"/>
  <c r="R347" i="2"/>
  <c r="R350" i="2"/>
  <c r="R355" i="2"/>
  <c r="R358" i="2"/>
  <c r="R363" i="2"/>
  <c r="R366" i="2"/>
  <c r="R373" i="2"/>
  <c r="R374" i="2"/>
  <c r="R378" i="2"/>
  <c r="R382" i="2"/>
  <c r="R390" i="2"/>
  <c r="R406" i="2"/>
  <c r="R413" i="2"/>
  <c r="R414" i="2"/>
  <c r="R446" i="2"/>
  <c r="R461" i="2"/>
  <c r="R470" i="2"/>
  <c r="R494" i="2"/>
  <c r="R526" i="2"/>
  <c r="U11" i="3"/>
  <c r="U9" i="3"/>
  <c r="U4" i="3"/>
  <c r="U3" i="3"/>
  <c r="U2" i="3"/>
  <c r="AC14" i="1"/>
  <c r="AD14" i="1"/>
  <c r="AC15" i="1"/>
  <c r="AD15" i="1"/>
  <c r="AC16" i="1"/>
  <c r="AD16" i="1"/>
  <c r="AC17" i="1"/>
  <c r="AD17" i="1"/>
  <c r="AC18" i="1"/>
  <c r="AD18" i="1"/>
  <c r="AC19" i="1"/>
  <c r="AD19" i="1"/>
  <c r="AC20" i="1"/>
  <c r="AD20" i="1"/>
  <c r="AC21" i="1"/>
  <c r="AD21" i="1"/>
  <c r="AC22" i="1"/>
  <c r="AD22" i="1"/>
  <c r="AC23" i="1"/>
  <c r="AD23" i="1"/>
  <c r="AC24" i="1"/>
  <c r="AD24" i="1"/>
  <c r="AC25" i="1"/>
  <c r="AD25" i="1"/>
  <c r="AC26" i="1"/>
  <c r="AD26" i="1"/>
  <c r="AC27" i="1"/>
  <c r="AD27" i="1"/>
  <c r="AC28" i="1"/>
  <c r="AD28" i="1"/>
  <c r="AC29" i="1"/>
  <c r="AD29" i="1"/>
  <c r="AC30" i="1"/>
  <c r="AD30" i="1"/>
  <c r="AC31" i="1"/>
  <c r="AD31" i="1"/>
  <c r="AC32" i="1"/>
  <c r="AD32" i="1"/>
  <c r="AC33" i="1"/>
  <c r="AD33" i="1"/>
  <c r="AC34" i="1"/>
  <c r="AD34" i="1"/>
  <c r="AC35" i="1"/>
  <c r="AD35" i="1"/>
  <c r="AC36" i="1"/>
  <c r="AD36" i="1"/>
  <c r="AC37" i="1"/>
  <c r="AD37" i="1"/>
  <c r="AC38" i="1"/>
  <c r="AD38" i="1"/>
  <c r="AC39" i="1"/>
  <c r="AD39" i="1"/>
  <c r="AC40" i="1"/>
  <c r="AD40" i="1"/>
  <c r="AC41" i="1"/>
  <c r="AD41" i="1"/>
  <c r="AC42" i="1"/>
  <c r="AD42" i="1"/>
  <c r="AC43" i="1"/>
  <c r="AD43" i="1"/>
  <c r="AC44" i="1"/>
  <c r="AD44" i="1"/>
  <c r="AC45" i="1"/>
  <c r="AD45" i="1"/>
  <c r="AC46" i="1"/>
  <c r="AD46" i="1"/>
  <c r="AC47" i="1"/>
  <c r="AD47" i="1"/>
  <c r="AC48" i="1"/>
  <c r="AD48" i="1"/>
  <c r="AC49" i="1"/>
  <c r="AD49" i="1"/>
  <c r="AC50" i="1"/>
  <c r="AD50" i="1"/>
  <c r="AC51" i="1"/>
  <c r="AD51" i="1"/>
  <c r="AC52" i="1"/>
  <c r="AD52" i="1"/>
  <c r="AC53" i="1"/>
  <c r="AD53" i="1"/>
  <c r="AC54" i="1"/>
  <c r="AD54" i="1"/>
  <c r="AC55" i="1"/>
  <c r="AD55" i="1"/>
  <c r="AC56" i="1"/>
  <c r="AD56" i="1"/>
  <c r="AC57" i="1"/>
  <c r="AD57" i="1"/>
  <c r="AC58" i="1"/>
  <c r="AD58" i="1"/>
  <c r="AC59" i="1"/>
  <c r="AD59" i="1"/>
  <c r="AC60" i="1"/>
  <c r="AD60" i="1"/>
  <c r="AC61" i="1"/>
  <c r="AD61" i="1"/>
  <c r="AC62" i="1"/>
  <c r="AD62" i="1"/>
  <c r="AC63" i="1"/>
  <c r="AD63" i="1"/>
  <c r="AC64" i="1"/>
  <c r="AD64" i="1"/>
  <c r="AC65" i="1"/>
  <c r="AD65" i="1"/>
  <c r="AC66" i="1"/>
  <c r="AD66" i="1"/>
  <c r="AC67" i="1"/>
  <c r="AD67" i="1"/>
  <c r="AC68" i="1"/>
  <c r="AD68" i="1"/>
  <c r="AC69" i="1"/>
  <c r="AD69" i="1"/>
  <c r="AC70" i="1"/>
  <c r="AD70" i="1"/>
  <c r="AC71" i="1"/>
  <c r="AD71" i="1"/>
  <c r="AC72" i="1"/>
  <c r="AD72" i="1"/>
  <c r="AC73" i="1"/>
  <c r="AD73" i="1"/>
  <c r="AC74" i="1"/>
  <c r="AD74" i="1"/>
  <c r="AC75" i="1"/>
  <c r="AD75" i="1"/>
  <c r="AC76" i="1"/>
  <c r="AD76" i="1"/>
  <c r="AC77" i="1"/>
  <c r="AD77" i="1"/>
  <c r="AC78" i="1"/>
  <c r="AD78" i="1"/>
  <c r="AC79" i="1"/>
  <c r="AD79" i="1"/>
  <c r="AC80" i="1"/>
  <c r="AD80" i="1"/>
  <c r="AC81" i="1"/>
  <c r="AD81" i="1"/>
  <c r="AC82" i="1"/>
  <c r="AD82" i="1"/>
  <c r="AC83" i="1"/>
  <c r="AD83" i="1"/>
  <c r="AC84" i="1"/>
  <c r="AD84" i="1"/>
  <c r="AC85" i="1"/>
  <c r="AD85" i="1"/>
  <c r="AC86" i="1"/>
  <c r="AD86" i="1"/>
  <c r="AC87" i="1"/>
  <c r="AD87" i="1"/>
  <c r="AC88" i="1"/>
  <c r="AD88" i="1"/>
  <c r="AC89" i="1"/>
  <c r="AD89" i="1"/>
  <c r="AC90" i="1"/>
  <c r="AD90" i="1"/>
  <c r="AC91" i="1"/>
  <c r="AD91" i="1"/>
  <c r="AC92" i="1"/>
  <c r="AD92" i="1"/>
  <c r="AC93" i="1"/>
  <c r="AD93" i="1"/>
  <c r="AC94" i="1"/>
  <c r="AD94" i="1"/>
  <c r="AC95" i="1"/>
  <c r="AD95" i="1"/>
  <c r="AC96" i="1"/>
  <c r="AD96" i="1"/>
  <c r="AC97" i="1"/>
  <c r="AD97" i="1"/>
  <c r="AC98" i="1"/>
  <c r="AD98" i="1"/>
  <c r="AC99" i="1"/>
  <c r="AD99" i="1"/>
  <c r="AC100" i="1"/>
  <c r="AD100" i="1"/>
  <c r="AC101" i="1"/>
  <c r="AD101" i="1"/>
  <c r="AC102" i="1"/>
  <c r="AD102" i="1"/>
  <c r="AC103" i="1"/>
  <c r="AD103" i="1"/>
  <c r="AC104" i="1"/>
  <c r="AD104" i="1"/>
  <c r="AC105" i="1"/>
  <c r="AD105" i="1"/>
  <c r="AC106" i="1"/>
  <c r="AD106" i="1"/>
  <c r="AC107" i="1"/>
  <c r="AD107" i="1"/>
  <c r="AC108" i="1"/>
  <c r="AD108" i="1"/>
  <c r="AC109" i="1"/>
  <c r="AD109" i="1"/>
  <c r="AC110" i="1"/>
  <c r="AD110" i="1"/>
  <c r="AC111" i="1"/>
  <c r="AD111" i="1"/>
  <c r="AC112" i="1"/>
  <c r="AD112" i="1"/>
  <c r="AC113" i="1"/>
  <c r="AD113" i="1"/>
  <c r="AC114" i="1"/>
  <c r="AD114" i="1"/>
  <c r="AC115" i="1"/>
  <c r="AD115" i="1"/>
  <c r="AC116" i="1"/>
  <c r="AD116" i="1"/>
  <c r="AC117" i="1"/>
  <c r="AD117" i="1"/>
  <c r="AC118" i="1"/>
  <c r="AD118" i="1"/>
  <c r="AC119" i="1"/>
  <c r="AD119" i="1"/>
  <c r="AC120" i="1"/>
  <c r="AD120" i="1"/>
  <c r="AC121" i="1"/>
  <c r="AD121" i="1"/>
  <c r="AC122" i="1"/>
  <c r="AD122" i="1"/>
  <c r="AC123" i="1"/>
  <c r="AD123" i="1"/>
  <c r="AC124" i="1"/>
  <c r="AD124" i="1"/>
  <c r="AC125" i="1"/>
  <c r="AD125" i="1"/>
  <c r="AC126" i="1"/>
  <c r="AD126" i="1"/>
  <c r="AC127" i="1"/>
  <c r="AD127" i="1"/>
  <c r="AC128" i="1"/>
  <c r="AD128" i="1"/>
  <c r="AC129" i="1"/>
  <c r="AD129" i="1"/>
  <c r="AC130" i="1"/>
  <c r="AD130" i="1"/>
  <c r="AC131" i="1"/>
  <c r="AD131" i="1"/>
  <c r="AC132" i="1"/>
  <c r="AD132" i="1"/>
  <c r="AC133" i="1"/>
  <c r="AD133" i="1"/>
  <c r="AC134" i="1"/>
  <c r="AD134" i="1"/>
  <c r="AC135" i="1"/>
  <c r="AD135" i="1"/>
  <c r="AC136" i="1"/>
  <c r="AD136" i="1"/>
  <c r="AC137" i="1"/>
  <c r="AD137" i="1"/>
  <c r="AC138" i="1"/>
  <c r="AD138" i="1"/>
  <c r="AC139" i="1"/>
  <c r="AD139" i="1"/>
  <c r="AC140" i="1"/>
  <c r="AD140" i="1"/>
  <c r="AC141" i="1"/>
  <c r="AD141" i="1"/>
  <c r="AC142" i="1"/>
  <c r="AD142" i="1"/>
  <c r="AC143" i="1"/>
  <c r="AD143" i="1"/>
  <c r="AC144" i="1"/>
  <c r="AD144" i="1"/>
  <c r="AC145" i="1"/>
  <c r="AD145" i="1"/>
  <c r="AC146" i="1"/>
  <c r="AD146" i="1"/>
  <c r="AC147" i="1"/>
  <c r="AD147" i="1"/>
  <c r="AC148" i="1"/>
  <c r="AD148" i="1"/>
  <c r="AC149" i="1"/>
  <c r="AD149" i="1"/>
  <c r="AC150" i="1"/>
  <c r="AD150" i="1"/>
  <c r="AC151" i="1"/>
  <c r="AD151" i="1"/>
  <c r="AC152" i="1"/>
  <c r="AD152" i="1"/>
  <c r="AC153" i="1"/>
  <c r="AD153" i="1"/>
  <c r="AC154" i="1"/>
  <c r="AD154" i="1"/>
  <c r="AC155" i="1"/>
  <c r="AD155" i="1"/>
  <c r="AC156" i="1"/>
  <c r="AD156" i="1"/>
  <c r="AC157" i="1"/>
  <c r="AD157" i="1"/>
  <c r="AC158" i="1"/>
  <c r="AD158" i="1"/>
  <c r="AC159" i="1"/>
  <c r="AD159" i="1"/>
  <c r="AC160" i="1"/>
  <c r="AD160" i="1"/>
  <c r="AC161" i="1"/>
  <c r="AD161" i="1"/>
  <c r="AC162" i="1"/>
  <c r="AD162" i="1"/>
  <c r="AC163" i="1"/>
  <c r="AD163" i="1"/>
  <c r="AC164" i="1"/>
  <c r="AD164" i="1"/>
  <c r="AC165" i="1"/>
  <c r="AD165" i="1"/>
  <c r="AC166" i="1"/>
  <c r="AD166" i="1"/>
  <c r="AC167" i="1"/>
  <c r="AD167" i="1"/>
  <c r="AC168" i="1"/>
  <c r="AD168" i="1"/>
  <c r="AC169" i="1"/>
  <c r="AD169" i="1"/>
  <c r="AC170" i="1"/>
  <c r="AD170" i="1"/>
  <c r="AC171" i="1"/>
  <c r="AD171" i="1"/>
  <c r="AC172" i="1"/>
  <c r="AD172" i="1"/>
  <c r="AC173" i="1"/>
  <c r="AD173" i="1"/>
  <c r="AC174" i="1"/>
  <c r="AD174" i="1"/>
  <c r="AC175" i="1"/>
  <c r="AD175" i="1"/>
  <c r="AC176" i="1"/>
  <c r="AD176" i="1"/>
  <c r="AC177" i="1"/>
  <c r="AD177" i="1"/>
  <c r="AC178" i="1"/>
  <c r="AD178" i="1"/>
  <c r="AC179" i="1"/>
  <c r="AD179" i="1"/>
  <c r="AC180" i="1"/>
  <c r="AD180" i="1"/>
  <c r="AC181" i="1"/>
  <c r="AD181" i="1"/>
  <c r="AC182" i="1"/>
  <c r="AD182" i="1"/>
  <c r="AC183" i="1"/>
  <c r="AD183" i="1"/>
  <c r="AC184" i="1"/>
  <c r="AD184" i="1"/>
  <c r="AC185" i="1"/>
  <c r="AD185" i="1"/>
  <c r="AC186" i="1"/>
  <c r="AD186" i="1"/>
  <c r="AC187" i="1"/>
  <c r="AD187" i="1"/>
  <c r="AC188" i="1"/>
  <c r="AD188" i="1"/>
  <c r="AC189" i="1"/>
  <c r="AD189" i="1"/>
  <c r="AC190" i="1"/>
  <c r="AD190" i="1"/>
  <c r="AC191" i="1"/>
  <c r="AD191" i="1"/>
  <c r="AC192" i="1"/>
  <c r="AD192" i="1"/>
  <c r="AC193" i="1"/>
  <c r="AD193" i="1"/>
  <c r="AC194" i="1"/>
  <c r="AD194" i="1"/>
  <c r="AC195" i="1"/>
  <c r="AD195" i="1"/>
  <c r="AC196" i="1"/>
  <c r="AD196" i="1"/>
  <c r="AC197" i="1"/>
  <c r="AD197" i="1"/>
  <c r="AC198" i="1"/>
  <c r="AD198" i="1"/>
  <c r="AC199" i="1"/>
  <c r="AD199" i="1"/>
  <c r="AC200" i="1"/>
  <c r="AD200" i="1"/>
  <c r="AC201" i="1"/>
  <c r="AD201" i="1"/>
  <c r="AC202" i="1"/>
  <c r="AD202" i="1"/>
  <c r="AC203" i="1"/>
  <c r="AD203" i="1"/>
  <c r="AC204" i="1"/>
  <c r="AD204" i="1"/>
  <c r="AC205" i="1"/>
  <c r="AD205" i="1"/>
  <c r="AC206" i="1"/>
  <c r="AD206" i="1"/>
  <c r="AC207" i="1"/>
  <c r="AD207" i="1"/>
  <c r="AC208" i="1"/>
  <c r="AD208" i="1"/>
  <c r="AC209" i="1"/>
  <c r="AD209" i="1"/>
  <c r="AC210" i="1"/>
  <c r="AD210" i="1"/>
  <c r="AC211" i="1"/>
  <c r="AD211" i="1"/>
  <c r="AC212" i="1"/>
  <c r="AD212" i="1"/>
  <c r="AC213" i="1"/>
  <c r="AD213" i="1"/>
  <c r="AC214" i="1"/>
  <c r="AD214" i="1"/>
  <c r="AC215" i="1"/>
  <c r="AD215" i="1"/>
  <c r="AC216" i="1"/>
  <c r="AD216" i="1"/>
  <c r="AC217" i="1"/>
  <c r="AD217" i="1"/>
  <c r="AC218" i="1"/>
  <c r="AD218" i="1"/>
  <c r="AC219" i="1"/>
  <c r="AD219" i="1"/>
  <c r="AC220" i="1"/>
  <c r="AD220" i="1"/>
  <c r="AC221" i="1"/>
  <c r="AD221" i="1"/>
  <c r="AC222" i="1"/>
  <c r="AD222" i="1"/>
  <c r="AC223" i="1"/>
  <c r="AD223" i="1"/>
  <c r="AC224" i="1"/>
  <c r="AD224" i="1"/>
  <c r="AC225" i="1"/>
  <c r="AD225" i="1"/>
  <c r="AC226" i="1"/>
  <c r="AD226" i="1"/>
  <c r="AC227" i="1"/>
  <c r="AD227" i="1"/>
  <c r="AC228" i="1"/>
  <c r="AD228" i="1"/>
  <c r="AC229" i="1"/>
  <c r="AD229" i="1"/>
  <c r="AC230" i="1"/>
  <c r="AD230" i="1"/>
  <c r="AC231" i="1"/>
  <c r="AD231" i="1"/>
  <c r="AC232" i="1"/>
  <c r="AD232" i="1"/>
  <c r="AC233" i="1"/>
  <c r="AD233" i="1"/>
  <c r="AC234" i="1"/>
  <c r="AD234" i="1"/>
  <c r="AC235" i="1"/>
  <c r="AD235" i="1"/>
  <c r="AC236" i="1"/>
  <c r="AD236" i="1"/>
  <c r="AC237" i="1"/>
  <c r="AD237" i="1"/>
  <c r="AC238" i="1"/>
  <c r="AD238" i="1"/>
  <c r="AC239" i="1"/>
  <c r="AD239" i="1"/>
  <c r="AC240" i="1"/>
  <c r="AD240" i="1"/>
  <c r="AC241" i="1"/>
  <c r="AD241" i="1"/>
  <c r="AC242" i="1"/>
  <c r="AD242" i="1"/>
  <c r="AC243" i="1"/>
  <c r="AD243" i="1"/>
  <c r="AC244" i="1"/>
  <c r="AD244" i="1"/>
  <c r="AC245" i="1"/>
  <c r="AD245" i="1"/>
  <c r="AC246" i="1"/>
  <c r="AD246" i="1"/>
  <c r="AC247" i="1"/>
  <c r="AD247" i="1"/>
  <c r="AC248" i="1"/>
  <c r="AD248" i="1"/>
  <c r="AC249" i="1"/>
  <c r="AD249" i="1"/>
  <c r="AC250" i="1"/>
  <c r="AD250" i="1"/>
  <c r="AC251" i="1"/>
  <c r="AD251" i="1"/>
  <c r="AC252" i="1"/>
  <c r="AD252" i="1"/>
  <c r="AC253" i="1"/>
  <c r="AD253" i="1"/>
  <c r="AC254" i="1"/>
  <c r="AD254" i="1"/>
  <c r="AC255" i="1"/>
  <c r="AD255" i="1"/>
  <c r="AC256" i="1"/>
  <c r="AD256" i="1"/>
  <c r="AC257" i="1"/>
  <c r="AD257" i="1"/>
  <c r="AC258" i="1"/>
  <c r="AD258" i="1"/>
  <c r="AC259" i="1"/>
  <c r="AD259" i="1"/>
  <c r="AC260" i="1"/>
  <c r="AD260" i="1"/>
  <c r="AC261" i="1"/>
  <c r="AD261" i="1"/>
  <c r="AC262" i="1"/>
  <c r="AD262" i="1"/>
  <c r="AC263" i="1"/>
  <c r="AD263" i="1"/>
  <c r="AC264" i="1"/>
  <c r="AD264" i="1"/>
  <c r="AC265" i="1"/>
  <c r="AD265" i="1"/>
  <c r="AC266" i="1"/>
  <c r="AD266" i="1"/>
  <c r="AC267" i="1"/>
  <c r="AD267" i="1"/>
  <c r="AC268" i="1"/>
  <c r="AD268" i="1"/>
  <c r="AC269" i="1"/>
  <c r="AD269" i="1"/>
  <c r="AC270" i="1"/>
  <c r="AD270" i="1"/>
  <c r="AC271" i="1"/>
  <c r="AD271" i="1"/>
  <c r="AC272" i="1"/>
  <c r="AD272" i="1"/>
  <c r="AC273" i="1"/>
  <c r="AD273" i="1"/>
  <c r="AC274" i="1"/>
  <c r="AD274" i="1"/>
  <c r="AC275" i="1"/>
  <c r="AD275" i="1"/>
  <c r="AC276" i="1"/>
  <c r="AD276" i="1"/>
  <c r="AC277" i="1"/>
  <c r="AD277" i="1"/>
  <c r="AC278" i="1"/>
  <c r="AD278" i="1"/>
  <c r="AC279" i="1"/>
  <c r="AD279" i="1"/>
  <c r="AC280" i="1"/>
  <c r="AD280" i="1"/>
  <c r="AC281" i="1"/>
  <c r="AD281" i="1"/>
  <c r="AC282" i="1"/>
  <c r="AD282" i="1"/>
  <c r="AC283" i="1"/>
  <c r="AD283" i="1"/>
  <c r="AC284" i="1"/>
  <c r="AD284" i="1"/>
  <c r="AC285" i="1"/>
  <c r="AD285" i="1"/>
  <c r="AC286" i="1"/>
  <c r="AD286" i="1"/>
  <c r="AC287" i="1"/>
  <c r="AD287" i="1"/>
  <c r="AC288" i="1"/>
  <c r="AD288" i="1"/>
  <c r="AC289" i="1"/>
  <c r="AD289" i="1"/>
  <c r="AC290" i="1"/>
  <c r="AD290" i="1"/>
  <c r="AC291" i="1"/>
  <c r="AD291" i="1"/>
  <c r="AC292" i="1"/>
  <c r="AD292" i="1"/>
  <c r="AC293" i="1"/>
  <c r="AD293" i="1"/>
  <c r="AC294" i="1"/>
  <c r="AD294" i="1"/>
  <c r="AC295" i="1"/>
  <c r="AD295" i="1"/>
  <c r="AC296" i="1"/>
  <c r="AD296" i="1"/>
  <c r="AC297" i="1"/>
  <c r="AD297" i="1"/>
  <c r="AC298" i="1"/>
  <c r="AD298" i="1"/>
  <c r="AC299" i="1"/>
  <c r="AD299" i="1"/>
  <c r="AC300" i="1"/>
  <c r="AD300" i="1"/>
  <c r="AC301" i="1"/>
  <c r="AD301" i="1"/>
  <c r="AC302" i="1"/>
  <c r="AD302" i="1"/>
  <c r="AC303" i="1"/>
  <c r="AD303" i="1"/>
  <c r="AC304" i="1"/>
  <c r="AD304" i="1"/>
  <c r="AC305" i="1"/>
  <c r="AD305" i="1"/>
  <c r="AC306" i="1"/>
  <c r="AD306" i="1"/>
  <c r="AC307" i="1"/>
  <c r="AD307" i="1"/>
  <c r="AC308" i="1"/>
  <c r="AD308" i="1"/>
  <c r="AC309" i="1"/>
  <c r="AD309" i="1"/>
  <c r="AC310" i="1"/>
  <c r="AD310" i="1"/>
  <c r="AC311" i="1"/>
  <c r="AD311" i="1"/>
  <c r="AC312" i="1"/>
  <c r="AD312" i="1"/>
  <c r="AC313" i="1"/>
  <c r="AD313" i="1"/>
  <c r="AC314" i="1"/>
  <c r="AD314" i="1"/>
  <c r="AC315" i="1"/>
  <c r="AD315" i="1"/>
  <c r="AC316" i="1"/>
  <c r="AD316" i="1"/>
  <c r="AC317" i="1"/>
  <c r="AD317" i="1"/>
  <c r="AC318" i="1"/>
  <c r="AD318" i="1"/>
  <c r="AC319" i="1"/>
  <c r="AD319" i="1"/>
  <c r="AC320" i="1"/>
  <c r="AD320" i="1"/>
  <c r="AC321" i="1"/>
  <c r="AD321" i="1"/>
  <c r="AC322" i="1"/>
  <c r="AD322" i="1"/>
  <c r="AC323" i="1"/>
  <c r="AD323" i="1"/>
  <c r="AC324" i="1"/>
  <c r="AD324" i="1"/>
  <c r="AC325" i="1"/>
  <c r="AD325" i="1"/>
  <c r="AC326" i="1"/>
  <c r="AD326" i="1"/>
  <c r="AC327" i="1"/>
  <c r="AD327" i="1"/>
  <c r="AC328" i="1"/>
  <c r="AD328" i="1"/>
  <c r="AC329" i="1"/>
  <c r="AD329" i="1"/>
  <c r="AC330" i="1"/>
  <c r="AD330" i="1"/>
  <c r="AC331" i="1"/>
  <c r="AD331" i="1"/>
  <c r="AC332" i="1"/>
  <c r="AD332" i="1"/>
  <c r="AC333" i="1"/>
  <c r="AD333" i="1"/>
  <c r="AC334" i="1"/>
  <c r="AD334" i="1"/>
  <c r="AC335" i="1"/>
  <c r="AD335" i="1"/>
  <c r="AC336" i="1"/>
  <c r="AD336" i="1"/>
  <c r="AC337" i="1"/>
  <c r="AD337" i="1"/>
  <c r="AC338" i="1"/>
  <c r="AD338" i="1"/>
  <c r="AC339" i="1"/>
  <c r="AD339" i="1"/>
  <c r="AC340" i="1"/>
  <c r="AD340" i="1"/>
  <c r="AC341" i="1"/>
  <c r="AD341" i="1"/>
  <c r="AC342" i="1"/>
  <c r="AD342" i="1"/>
  <c r="AC343" i="1"/>
  <c r="AD343" i="1"/>
  <c r="AC344" i="1"/>
  <c r="AD344" i="1"/>
  <c r="AC345" i="1"/>
  <c r="AD345" i="1"/>
  <c r="AC346" i="1"/>
  <c r="AD346" i="1"/>
  <c r="AC347" i="1"/>
  <c r="AD347" i="1"/>
  <c r="AC348" i="1"/>
  <c r="AD348" i="1"/>
  <c r="AC349" i="1"/>
  <c r="AD349" i="1"/>
  <c r="AC350" i="1"/>
  <c r="AD350" i="1"/>
  <c r="AC351" i="1"/>
  <c r="AD351" i="1"/>
  <c r="AC352" i="1"/>
  <c r="AD352" i="1"/>
  <c r="AC353" i="1"/>
  <c r="AD353" i="1"/>
  <c r="AC354" i="1"/>
  <c r="AD354" i="1"/>
  <c r="AC355" i="1"/>
  <c r="AD355" i="1"/>
  <c r="AC356" i="1"/>
  <c r="AD356" i="1"/>
  <c r="AC357" i="1"/>
  <c r="AD357" i="1"/>
  <c r="AC358" i="1"/>
  <c r="AD358" i="1"/>
  <c r="AC359" i="1"/>
  <c r="AD359" i="1"/>
  <c r="AC360" i="1"/>
  <c r="AD360" i="1"/>
  <c r="AC361" i="1"/>
  <c r="AD361" i="1"/>
  <c r="AC362" i="1"/>
  <c r="AD362" i="1"/>
  <c r="AC363" i="1"/>
  <c r="AD363" i="1"/>
  <c r="AC364" i="1"/>
  <c r="AD364" i="1"/>
  <c r="AC365" i="1"/>
  <c r="AD365" i="1"/>
  <c r="AC366" i="1"/>
  <c r="AD366" i="1"/>
  <c r="AC367" i="1"/>
  <c r="AD367" i="1"/>
  <c r="AC368" i="1"/>
  <c r="AD368" i="1"/>
  <c r="AC369" i="1"/>
  <c r="AD369" i="1"/>
  <c r="AC370" i="1"/>
  <c r="AD370" i="1"/>
  <c r="AC371" i="1"/>
  <c r="AD371" i="1"/>
  <c r="AC372" i="1"/>
  <c r="AD372" i="1"/>
  <c r="AC373" i="1"/>
  <c r="AD373" i="1"/>
  <c r="AC374" i="1"/>
  <c r="AD374" i="1"/>
  <c r="AC375" i="1"/>
  <c r="AD375" i="1"/>
  <c r="AC376" i="1"/>
  <c r="AD376" i="1"/>
  <c r="AC377" i="1"/>
  <c r="AD377" i="1"/>
  <c r="AC378" i="1"/>
  <c r="AD378" i="1"/>
  <c r="AC379" i="1"/>
  <c r="AD379" i="1"/>
  <c r="AC380" i="1"/>
  <c r="AD380" i="1"/>
  <c r="AC381" i="1"/>
  <c r="AD381" i="1"/>
  <c r="AC382" i="1"/>
  <c r="AD382" i="1"/>
  <c r="AC383" i="1"/>
  <c r="AD383" i="1"/>
  <c r="AC384" i="1"/>
  <c r="AD384" i="1"/>
  <c r="AC385" i="1"/>
  <c r="AD385" i="1"/>
  <c r="AC386" i="1"/>
  <c r="AD386" i="1"/>
  <c r="AC387" i="1"/>
  <c r="AD387" i="1"/>
  <c r="AC388" i="1"/>
  <c r="AD388" i="1"/>
  <c r="AC389" i="1"/>
  <c r="AD389" i="1"/>
  <c r="AC390" i="1"/>
  <c r="AD390" i="1"/>
  <c r="AC391" i="1"/>
  <c r="AD391" i="1"/>
  <c r="AC392" i="1"/>
  <c r="AD392" i="1"/>
  <c r="AC393" i="1"/>
  <c r="AD393" i="1"/>
  <c r="AC394" i="1"/>
  <c r="AD394" i="1"/>
  <c r="AC395" i="1"/>
  <c r="AD395" i="1"/>
  <c r="AC396" i="1"/>
  <c r="AD396" i="1"/>
  <c r="AC397" i="1"/>
  <c r="AD397" i="1"/>
  <c r="AC398" i="1"/>
  <c r="AD398" i="1"/>
  <c r="AC399" i="1"/>
  <c r="AD399" i="1"/>
  <c r="AC400" i="1"/>
  <c r="AD400" i="1"/>
  <c r="AC401" i="1"/>
  <c r="AD401" i="1"/>
  <c r="AC402" i="1"/>
  <c r="AD402" i="1"/>
  <c r="AC403" i="1"/>
  <c r="AD403" i="1"/>
  <c r="AC404" i="1"/>
  <c r="AD404" i="1"/>
  <c r="AC405" i="1"/>
  <c r="AD405" i="1"/>
  <c r="AC406" i="1"/>
  <c r="AD406" i="1"/>
  <c r="AC407" i="1"/>
  <c r="AD407" i="1"/>
  <c r="AC408" i="1"/>
  <c r="AD408" i="1"/>
  <c r="AC409" i="1"/>
  <c r="AD409" i="1"/>
  <c r="AC410" i="1"/>
  <c r="AD410" i="1"/>
  <c r="AC411" i="1"/>
  <c r="AD411" i="1"/>
  <c r="AC412" i="1"/>
  <c r="AD412" i="1"/>
  <c r="AC413" i="1"/>
  <c r="AD413" i="1"/>
  <c r="AC414" i="1"/>
  <c r="AD414" i="1"/>
  <c r="AC415" i="1"/>
  <c r="AD415" i="1"/>
  <c r="AC416" i="1"/>
  <c r="AD416" i="1"/>
  <c r="AC417" i="1"/>
  <c r="AD417" i="1"/>
  <c r="AC418" i="1"/>
  <c r="AD418" i="1"/>
  <c r="AC419" i="1"/>
  <c r="AD419" i="1"/>
  <c r="AC420" i="1"/>
  <c r="AD420" i="1"/>
  <c r="AC421" i="1"/>
  <c r="AD421" i="1"/>
  <c r="AC422" i="1"/>
  <c r="AD422" i="1"/>
  <c r="AC423" i="1"/>
  <c r="AD423" i="1"/>
  <c r="AC424" i="1"/>
  <c r="AD424" i="1"/>
  <c r="AC425" i="1"/>
  <c r="AD425" i="1"/>
  <c r="AC426" i="1"/>
  <c r="AD426" i="1"/>
  <c r="AC427" i="1"/>
  <c r="AD427" i="1"/>
  <c r="AC428" i="1"/>
  <c r="AD428" i="1"/>
  <c r="AC429" i="1"/>
  <c r="AD429" i="1"/>
  <c r="AC430" i="1"/>
  <c r="AD430" i="1"/>
  <c r="AC431" i="1"/>
  <c r="AD431" i="1"/>
  <c r="AC432" i="1"/>
  <c r="AD432" i="1"/>
  <c r="AC433" i="1"/>
  <c r="AD433" i="1"/>
  <c r="AC434" i="1"/>
  <c r="AD434" i="1"/>
  <c r="AC435" i="1"/>
  <c r="AD435" i="1"/>
  <c r="AC436" i="1"/>
  <c r="AD436" i="1"/>
  <c r="AC437" i="1"/>
  <c r="AD437" i="1"/>
  <c r="AC438" i="1"/>
  <c r="AD438" i="1"/>
  <c r="AC439" i="1"/>
  <c r="AD439" i="1"/>
  <c r="AC440" i="1"/>
  <c r="AD440" i="1"/>
  <c r="AC441" i="1"/>
  <c r="AD441" i="1"/>
  <c r="AC442" i="1"/>
  <c r="AD442" i="1"/>
  <c r="AC443" i="1"/>
  <c r="AD443" i="1"/>
  <c r="AC444" i="1"/>
  <c r="AD444" i="1"/>
  <c r="AC445" i="1"/>
  <c r="AD445" i="1"/>
  <c r="AC446" i="1"/>
  <c r="AD446" i="1"/>
  <c r="AC447" i="1"/>
  <c r="AD447" i="1"/>
  <c r="AC448" i="1"/>
  <c r="AD448" i="1"/>
  <c r="AC449" i="1"/>
  <c r="AD449" i="1"/>
  <c r="AC450" i="1"/>
  <c r="AD450" i="1"/>
  <c r="AC451" i="1"/>
  <c r="AD451" i="1"/>
  <c r="AC452" i="1"/>
  <c r="AD452" i="1"/>
  <c r="AC453" i="1"/>
  <c r="AD453" i="1"/>
  <c r="AC454" i="1"/>
  <c r="AD454" i="1"/>
  <c r="AC455" i="1"/>
  <c r="AD455" i="1"/>
  <c r="AC456" i="1"/>
  <c r="AD456" i="1"/>
  <c r="AC457" i="1"/>
  <c r="AD457" i="1"/>
  <c r="AC458" i="1"/>
  <c r="AD458" i="1"/>
  <c r="AC459" i="1"/>
  <c r="AD459" i="1"/>
  <c r="AC460" i="1"/>
  <c r="AD460" i="1"/>
  <c r="AC461" i="1"/>
  <c r="AD461" i="1"/>
  <c r="AC462" i="1"/>
  <c r="AD462" i="1"/>
  <c r="AC463" i="1"/>
  <c r="AD463" i="1"/>
  <c r="AC464" i="1"/>
  <c r="AD464" i="1"/>
  <c r="AC465" i="1"/>
  <c r="AD465" i="1"/>
  <c r="AC466" i="1"/>
  <c r="AD466" i="1"/>
  <c r="AC467" i="1"/>
  <c r="AD467" i="1"/>
  <c r="AC468" i="1"/>
  <c r="AD468" i="1"/>
  <c r="AC469" i="1"/>
  <c r="AD469" i="1"/>
  <c r="AC470" i="1"/>
  <c r="AD470" i="1"/>
  <c r="AC471" i="1"/>
  <c r="AD471" i="1"/>
  <c r="AC472" i="1"/>
  <c r="AD472" i="1"/>
  <c r="AC473" i="1"/>
  <c r="AD473" i="1"/>
  <c r="AC474" i="1"/>
  <c r="AD474" i="1"/>
  <c r="AC475" i="1"/>
  <c r="AD475" i="1"/>
  <c r="AC476" i="1"/>
  <c r="AD476" i="1"/>
  <c r="AC477" i="1"/>
  <c r="AD477" i="1"/>
  <c r="AC478" i="1"/>
  <c r="AD478" i="1"/>
  <c r="AC479" i="1"/>
  <c r="AD479" i="1"/>
  <c r="AC480" i="1"/>
  <c r="AD480" i="1"/>
  <c r="AC481" i="1"/>
  <c r="AD481" i="1"/>
  <c r="AC482" i="1"/>
  <c r="AD482" i="1"/>
  <c r="AC483" i="1"/>
  <c r="AD483" i="1"/>
  <c r="AC484" i="1"/>
  <c r="AD484" i="1"/>
  <c r="AC485" i="1"/>
  <c r="AD485" i="1"/>
  <c r="AC486" i="1"/>
  <c r="AD486" i="1"/>
  <c r="AC487" i="1"/>
  <c r="AD487" i="1"/>
  <c r="AC488" i="1"/>
  <c r="AD488" i="1"/>
  <c r="AC489" i="1"/>
  <c r="AD489" i="1"/>
  <c r="AC490" i="1"/>
  <c r="AD490" i="1"/>
  <c r="AC491" i="1"/>
  <c r="AD491" i="1"/>
  <c r="AC492" i="1"/>
  <c r="AD492" i="1"/>
  <c r="AC493" i="1"/>
  <c r="AD493" i="1"/>
  <c r="AC494" i="1"/>
  <c r="AD494" i="1"/>
  <c r="AC495" i="1"/>
  <c r="AD495" i="1"/>
  <c r="AC496" i="1"/>
  <c r="AD496" i="1"/>
  <c r="AC497" i="1"/>
  <c r="AD497" i="1"/>
  <c r="AC498" i="1"/>
  <c r="AD498" i="1"/>
  <c r="AC499" i="1"/>
  <c r="AD499" i="1"/>
  <c r="AC500" i="1"/>
  <c r="AD500" i="1"/>
  <c r="AC501" i="1"/>
  <c r="AD501" i="1"/>
  <c r="AC502" i="1"/>
  <c r="AD502" i="1"/>
  <c r="AC503" i="1"/>
  <c r="AD503" i="1"/>
  <c r="AC504" i="1"/>
  <c r="AD504" i="1"/>
  <c r="AC505" i="1"/>
  <c r="AD505" i="1"/>
  <c r="AC506" i="1"/>
  <c r="AD506" i="1"/>
  <c r="AC507" i="1"/>
  <c r="AD507" i="1"/>
  <c r="AC508" i="1"/>
  <c r="AD508" i="1"/>
  <c r="AC509" i="1"/>
  <c r="AD509" i="1"/>
  <c r="AC510" i="1"/>
  <c r="AD510" i="1"/>
  <c r="AC511" i="1"/>
  <c r="AD511" i="1"/>
  <c r="AC512" i="1"/>
  <c r="AD512" i="1"/>
  <c r="AC513" i="1"/>
  <c r="AD513" i="1"/>
  <c r="AC514" i="1"/>
  <c r="AD514" i="1"/>
  <c r="AC515" i="1"/>
  <c r="AD515" i="1"/>
  <c r="AC516" i="1"/>
  <c r="AD516" i="1"/>
  <c r="AC517" i="1"/>
  <c r="AD517" i="1"/>
  <c r="AC518" i="1"/>
  <c r="AD518" i="1"/>
  <c r="AC519" i="1"/>
  <c r="AD519" i="1"/>
  <c r="AC520" i="1"/>
  <c r="AD520" i="1"/>
  <c r="AC521" i="1"/>
  <c r="AD521" i="1"/>
  <c r="AC522" i="1"/>
  <c r="AD522" i="1"/>
  <c r="AC523" i="1"/>
  <c r="AD523" i="1"/>
  <c r="AC524" i="1"/>
  <c r="AD524" i="1"/>
  <c r="AC525" i="1"/>
  <c r="AD525" i="1"/>
  <c r="AC526" i="1"/>
  <c r="AD526" i="1"/>
  <c r="AC527" i="1"/>
  <c r="AD527" i="1"/>
  <c r="AC528" i="1"/>
  <c r="AD528" i="1"/>
  <c r="AC529" i="1"/>
  <c r="AD529" i="1"/>
  <c r="AC530" i="1"/>
  <c r="AD530" i="1"/>
  <c r="AC531" i="1"/>
  <c r="AD531" i="1"/>
  <c r="AC532" i="1"/>
  <c r="AD532" i="1"/>
  <c r="AC533" i="1"/>
  <c r="AD533" i="1"/>
  <c r="AC534" i="1"/>
  <c r="AD534" i="1"/>
  <c r="AC535" i="1"/>
  <c r="AD535" i="1"/>
  <c r="AC536" i="1"/>
  <c r="AD536" i="1"/>
  <c r="AC537" i="1"/>
  <c r="AD537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Q2" i="2"/>
  <c r="Q3" i="2"/>
  <c r="U3" i="2"/>
  <c r="Q4" i="2"/>
  <c r="Q5" i="2"/>
  <c r="U5" i="2"/>
  <c r="Q6" i="2"/>
  <c r="U6" i="2"/>
  <c r="Q7" i="2"/>
  <c r="Q8" i="2"/>
  <c r="U8" i="2"/>
  <c r="Q9" i="2"/>
  <c r="Q10" i="2"/>
  <c r="Q11" i="2"/>
  <c r="U11" i="2"/>
  <c r="Q12" i="2"/>
  <c r="U12" i="2"/>
  <c r="Q13" i="2"/>
  <c r="U13" i="2"/>
  <c r="Q14" i="2"/>
  <c r="AF2" i="1"/>
  <c r="AF3" i="1"/>
  <c r="AF4" i="1"/>
  <c r="AF5" i="1"/>
  <c r="AF6" i="1"/>
  <c r="AF7" i="1"/>
  <c r="AF8" i="1"/>
  <c r="AF9" i="1"/>
  <c r="AF10" i="1"/>
  <c r="AF11" i="1"/>
  <c r="AF12" i="1"/>
  <c r="AF13" i="1"/>
  <c r="AE2" i="1"/>
  <c r="AE3" i="1"/>
  <c r="AE4" i="1"/>
  <c r="AE5" i="1"/>
  <c r="AE6" i="1"/>
  <c r="AE7" i="1"/>
  <c r="AE8" i="1"/>
  <c r="AE9" i="1"/>
  <c r="AE10" i="1"/>
  <c r="AE11" i="1"/>
  <c r="AE12" i="1"/>
  <c r="AE13" i="1"/>
  <c r="AC2" i="1"/>
  <c r="AC3" i="1"/>
  <c r="AD3" i="1"/>
  <c r="AC4" i="1"/>
  <c r="AD4" i="1"/>
  <c r="AC5" i="1"/>
  <c r="AD5" i="1"/>
  <c r="AC6" i="1"/>
  <c r="AD6" i="1"/>
  <c r="AC7" i="1"/>
  <c r="AD7" i="1"/>
  <c r="AC8" i="1"/>
  <c r="AD8" i="1"/>
  <c r="AC9" i="1"/>
  <c r="AD9" i="1"/>
  <c r="AC10" i="1"/>
  <c r="AD10" i="1"/>
  <c r="AC11" i="1"/>
  <c r="AD11" i="1"/>
  <c r="AC12" i="1"/>
  <c r="AD12" i="1"/>
  <c r="AC13" i="1"/>
  <c r="AD13" i="1"/>
  <c r="T25" i="2"/>
  <c r="R486" i="2"/>
  <c r="R438" i="2"/>
  <c r="R398" i="2"/>
  <c r="T45" i="2"/>
  <c r="T2675" i="2"/>
  <c r="T2676" i="2"/>
  <c r="R534" i="2"/>
  <c r="T7" i="2"/>
  <c r="T1491" i="2"/>
  <c r="T2510" i="2"/>
  <c r="T1477" i="2"/>
  <c r="T2502" i="2"/>
  <c r="T1475" i="2"/>
  <c r="T2500" i="2"/>
  <c r="T2493" i="2"/>
  <c r="T2494" i="2"/>
  <c r="T1460" i="2"/>
  <c r="T2491" i="2"/>
  <c r="T1457" i="2"/>
  <c r="T2490" i="2"/>
  <c r="T1436" i="2"/>
  <c r="T2481" i="2"/>
  <c r="T1367" i="2"/>
  <c r="T2454" i="2"/>
  <c r="R502" i="2"/>
  <c r="R462" i="2"/>
  <c r="R430" i="2"/>
  <c r="T1490" i="2"/>
  <c r="T2509" i="2"/>
  <c r="T2505" i="2"/>
  <c r="T2506" i="2"/>
  <c r="T1461" i="2"/>
  <c r="T2492" i="2"/>
  <c r="T1489" i="2"/>
  <c r="T2508" i="2"/>
  <c r="T1478" i="2"/>
  <c r="T2503" i="2"/>
  <c r="T1456" i="2"/>
  <c r="T2489" i="2"/>
  <c r="T2488" i="2"/>
  <c r="T1434" i="2"/>
  <c r="T2480" i="2"/>
  <c r="T1488" i="2"/>
  <c r="T2507" i="2"/>
  <c r="T1486" i="2"/>
  <c r="T2504" i="2"/>
  <c r="T1463" i="2"/>
  <c r="T2495" i="2"/>
  <c r="T1437" i="2"/>
  <c r="T2482" i="2"/>
  <c r="T1122" i="2"/>
  <c r="T1494" i="2"/>
  <c r="T1327" i="2"/>
  <c r="T2380" i="2"/>
  <c r="T1818" i="2"/>
  <c r="T1119" i="2"/>
  <c r="T1324" i="2"/>
  <c r="T1318" i="2"/>
  <c r="T1112" i="2"/>
  <c r="T1317" i="2"/>
  <c r="T2367" i="2"/>
  <c r="T1479" i="2"/>
  <c r="T1809" i="2"/>
  <c r="T1098" i="2"/>
  <c r="T1304" i="2"/>
  <c r="T1472" i="2"/>
  <c r="T1796" i="2"/>
  <c r="T2350" i="2"/>
  <c r="T1095" i="2"/>
  <c r="T1301" i="2"/>
  <c r="T1469" i="2"/>
  <c r="T2347" i="2"/>
  <c r="T1793" i="2"/>
  <c r="T1294" i="2"/>
  <c r="T1088" i="2"/>
  <c r="T1465" i="2"/>
  <c r="T2340" i="2"/>
  <c r="T1786" i="2"/>
  <c r="T521" i="2"/>
  <c r="T1462" i="2"/>
  <c r="T1454" i="2"/>
  <c r="T1079" i="2"/>
  <c r="T1285" i="2"/>
  <c r="T2329" i="2"/>
  <c r="T1778" i="2"/>
  <c r="T1280" i="2"/>
  <c r="T1069" i="2"/>
  <c r="T1449" i="2"/>
  <c r="T2327" i="2"/>
  <c r="T1773" i="2"/>
  <c r="T1062" i="2"/>
  <c r="T1447" i="2"/>
  <c r="T1272" i="2"/>
  <c r="T1273" i="2"/>
  <c r="T1766" i="2"/>
  <c r="T485" i="2"/>
  <c r="T1058" i="2"/>
  <c r="T1443" i="2"/>
  <c r="T1268" i="2"/>
  <c r="T1762" i="2"/>
  <c r="T481" i="2"/>
  <c r="T1055" i="2"/>
  <c r="T1440" i="2"/>
  <c r="T1265" i="2"/>
  <c r="T1759" i="2"/>
  <c r="T2314" i="2"/>
  <c r="T1258" i="2"/>
  <c r="T1048" i="2"/>
  <c r="T1433" i="2"/>
  <c r="T1752" i="2"/>
  <c r="T1251" i="2"/>
  <c r="T1040" i="2"/>
  <c r="T1429" i="2"/>
  <c r="T1745" i="2"/>
  <c r="T2302" i="2"/>
  <c r="T1422" i="2"/>
  <c r="T1231" i="2"/>
  <c r="T1020" i="2"/>
  <c r="T2284" i="2"/>
  <c r="T1725" i="2"/>
  <c r="T1418" i="2"/>
  <c r="T1227" i="2"/>
  <c r="T1016" i="2"/>
  <c r="T1721" i="2"/>
  <c r="T1007" i="2"/>
  <c r="T1411" i="2"/>
  <c r="T1217" i="2"/>
  <c r="T1712" i="2"/>
  <c r="T1214" i="2"/>
  <c r="T1004" i="2"/>
  <c r="T1408" i="2"/>
  <c r="T1709" i="2"/>
  <c r="T2274" i="2"/>
  <c r="T986" i="2"/>
  <c r="T1196" i="2"/>
  <c r="T982" i="2"/>
  <c r="T1374" i="2"/>
  <c r="T1192" i="2"/>
  <c r="T981" i="2"/>
  <c r="T1687" i="2"/>
  <c r="T1159" i="2"/>
  <c r="T1355" i="2"/>
  <c r="T949" i="2"/>
  <c r="T1655" i="2"/>
  <c r="T1154" i="2"/>
  <c r="T1351" i="2"/>
  <c r="T944" i="2"/>
  <c r="T1650" i="2"/>
  <c r="T2166" i="2"/>
  <c r="T17" i="2"/>
  <c r="T13" i="2"/>
  <c r="T9" i="2"/>
  <c r="R518" i="2"/>
  <c r="R478" i="2"/>
  <c r="R454" i="2"/>
  <c r="R422" i="2"/>
  <c r="T917" i="2"/>
  <c r="T915" i="2"/>
  <c r="T757" i="2"/>
  <c r="T912" i="2"/>
  <c r="T1326" i="2"/>
  <c r="T1121" i="2"/>
  <c r="T2379" i="2"/>
  <c r="T1817" i="2"/>
  <c r="T1493" i="2"/>
  <c r="T1487" i="2"/>
  <c r="T1322" i="2"/>
  <c r="T1482" i="2"/>
  <c r="T1117" i="2"/>
  <c r="T1814" i="2"/>
  <c r="T2370" i="2"/>
  <c r="T1474" i="2"/>
  <c r="T1104" i="2"/>
  <c r="T1309" i="2"/>
  <c r="T1800" i="2"/>
  <c r="T1801" i="2"/>
  <c r="T2354" i="2"/>
  <c r="T1303" i="2"/>
  <c r="T1097" i="2"/>
  <c r="T1795" i="2"/>
  <c r="T1471" i="2"/>
  <c r="T2349" i="2"/>
  <c r="T1094" i="2"/>
  <c r="T1300" i="2"/>
  <c r="T1468" i="2"/>
  <c r="T1792" i="2"/>
  <c r="T2346" i="2"/>
  <c r="T1086" i="2"/>
  <c r="T1292" i="2"/>
  <c r="T1464" i="2"/>
  <c r="T1085" i="2"/>
  <c r="T1784" i="2"/>
  <c r="T2338" i="2"/>
  <c r="T1290" i="2"/>
  <c r="T1083" i="2"/>
  <c r="T1075" i="2"/>
  <c r="T1283" i="2"/>
  <c r="T1452" i="2"/>
  <c r="T1776" i="2"/>
  <c r="T2328" i="2"/>
  <c r="T500" i="2"/>
  <c r="T1072" i="2"/>
  <c r="T1279" i="2"/>
  <c r="T1068" i="2"/>
  <c r="T1448" i="2"/>
  <c r="T1772" i="2"/>
  <c r="T2326" i="2"/>
  <c r="T1446" i="2"/>
  <c r="T1271" i="2"/>
  <c r="T1061" i="2"/>
  <c r="T1765" i="2"/>
  <c r="T2318" i="2"/>
  <c r="T480" i="2"/>
  <c r="T1264" i="2"/>
  <c r="T1262" i="2"/>
  <c r="T1051" i="2"/>
  <c r="T1435" i="2"/>
  <c r="T1756" i="2"/>
  <c r="T1047" i="2"/>
  <c r="T1432" i="2"/>
  <c r="T1257" i="2"/>
  <c r="T1751" i="2"/>
  <c r="T2310" i="2"/>
  <c r="T1250" i="2"/>
  <c r="T1039" i="2"/>
  <c r="T1428" i="2"/>
  <c r="T1744" i="2"/>
  <c r="T2301" i="2"/>
  <c r="T1234" i="2"/>
  <c r="T1023" i="2"/>
  <c r="T1024" i="2"/>
  <c r="T1425" i="2"/>
  <c r="T1728" i="2"/>
  <c r="T1230" i="2"/>
  <c r="T1019" i="2"/>
  <c r="T1421" i="2"/>
  <c r="T2283" i="2"/>
  <c r="T1724" i="2"/>
  <c r="T1226" i="2"/>
  <c r="T1015" i="2"/>
  <c r="T1417" i="2"/>
  <c r="T1720" i="2"/>
  <c r="T2280" i="2"/>
  <c r="T1414" i="2"/>
  <c r="T1011" i="2"/>
  <c r="T1221" i="2"/>
  <c r="T1716" i="2"/>
  <c r="T1006" i="2"/>
  <c r="T1410" i="2"/>
  <c r="T1216" i="2"/>
  <c r="T1711" i="2"/>
  <c r="T2276" i="2"/>
  <c r="T1003" i="2"/>
  <c r="T1407" i="2"/>
  <c r="T1213" i="2"/>
  <c r="T1708" i="2"/>
  <c r="T2273" i="2"/>
  <c r="T1194" i="2"/>
  <c r="T984" i="2"/>
  <c r="T1377" i="2"/>
  <c r="T1690" i="2"/>
  <c r="T1187" i="2"/>
  <c r="T1372" i="2"/>
  <c r="T977" i="2"/>
  <c r="T1683" i="2"/>
  <c r="T2205" i="2"/>
  <c r="T974" i="2"/>
  <c r="T1184" i="2"/>
  <c r="T1365" i="2"/>
  <c r="T1680" i="2"/>
  <c r="T2200" i="2"/>
  <c r="T1167" i="2"/>
  <c r="T1359" i="2"/>
  <c r="T957" i="2"/>
  <c r="T1663" i="2"/>
  <c r="T2179" i="2"/>
  <c r="T1354" i="2"/>
  <c r="T947" i="2"/>
  <c r="T1157" i="2"/>
  <c r="T1653" i="2"/>
  <c r="T2169" i="2"/>
  <c r="T1350" i="2"/>
  <c r="T939" i="2"/>
  <c r="T1149" i="2"/>
  <c r="T1645" i="2"/>
  <c r="T2161" i="2"/>
  <c r="T901" i="2"/>
  <c r="R646" i="2"/>
  <c r="T1120" i="2"/>
  <c r="T1325" i="2"/>
  <c r="T1816" i="2"/>
  <c r="T1492" i="2"/>
  <c r="T2378" i="2"/>
  <c r="T1114" i="2"/>
  <c r="T1115" i="2"/>
  <c r="T1320" i="2"/>
  <c r="T1481" i="2"/>
  <c r="T1811" i="2"/>
  <c r="T1812" i="2"/>
  <c r="T2369" i="2"/>
  <c r="T539" i="2"/>
  <c r="T1476" i="2"/>
  <c r="T1090" i="2"/>
  <c r="T1296" i="2"/>
  <c r="T1467" i="2"/>
  <c r="T1788" i="2"/>
  <c r="T1082" i="2"/>
  <c r="T1459" i="2"/>
  <c r="T1288" i="2"/>
  <c r="T1289" i="2"/>
  <c r="T2331" i="2"/>
  <c r="T1781" i="2"/>
  <c r="T1782" i="2"/>
  <c r="T1284" i="2"/>
  <c r="T1077" i="2"/>
  <c r="T1453" i="2"/>
  <c r="T1777" i="2"/>
  <c r="T1074" i="2"/>
  <c r="T1282" i="2"/>
  <c r="T1451" i="2"/>
  <c r="T1775" i="2"/>
  <c r="T1270" i="2"/>
  <c r="T1060" i="2"/>
  <c r="T1445" i="2"/>
  <c r="T1764" i="2"/>
  <c r="T2316" i="2"/>
  <c r="T2317" i="2"/>
  <c r="T1442" i="2"/>
  <c r="T1267" i="2"/>
  <c r="T1057" i="2"/>
  <c r="T1761" i="2"/>
  <c r="T1438" i="2"/>
  <c r="T1263" i="2"/>
  <c r="T1052" i="2"/>
  <c r="T1053" i="2"/>
  <c r="T1757" i="2"/>
  <c r="T2313" i="2"/>
  <c r="T1254" i="2"/>
  <c r="T1431" i="2"/>
  <c r="T1044" i="2"/>
  <c r="T1748" i="2"/>
  <c r="T2306" i="2"/>
  <c r="T467" i="2"/>
  <c r="T1038" i="2"/>
  <c r="T1427" i="2"/>
  <c r="T1248" i="2"/>
  <c r="T1249" i="2"/>
  <c r="T1743" i="2"/>
  <c r="T2300" i="2"/>
  <c r="T1022" i="2"/>
  <c r="T1424" i="2"/>
  <c r="T1233" i="2"/>
  <c r="T1727" i="2"/>
  <c r="T2286" i="2"/>
  <c r="T1018" i="2"/>
  <c r="T1420" i="2"/>
  <c r="T1229" i="2"/>
  <c r="T1723" i="2"/>
  <c r="T2282" i="2"/>
  <c r="T1014" i="2"/>
  <c r="T1224" i="2"/>
  <c r="T1416" i="2"/>
  <c r="T1225" i="2"/>
  <c r="T1719" i="2"/>
  <c r="T1219" i="2"/>
  <c r="T1009" i="2"/>
  <c r="T1413" i="2"/>
  <c r="T1714" i="2"/>
  <c r="T1394" i="2"/>
  <c r="T1199" i="2"/>
  <c r="T989" i="2"/>
  <c r="T2256" i="2"/>
  <c r="T1694" i="2"/>
  <c r="T1186" i="2"/>
  <c r="T1371" i="2"/>
  <c r="T976" i="2"/>
  <c r="T2204" i="2"/>
  <c r="T1682" i="2"/>
  <c r="T1182" i="2"/>
  <c r="T1362" i="2"/>
  <c r="T972" i="2"/>
  <c r="T1678" i="2"/>
  <c r="T2198" i="2"/>
  <c r="T1162" i="2"/>
  <c r="T952" i="2"/>
  <c r="T1357" i="2"/>
  <c r="T2173" i="2"/>
  <c r="T1658" i="2"/>
  <c r="T946" i="2"/>
  <c r="T1156" i="2"/>
  <c r="T1353" i="2"/>
  <c r="T1652" i="2"/>
  <c r="T2168" i="2"/>
  <c r="T904" i="2"/>
  <c r="T918" i="2"/>
  <c r="T1569" i="2"/>
  <c r="T1614" i="2"/>
  <c r="T767" i="2"/>
  <c r="T916" i="2"/>
  <c r="T763" i="2"/>
  <c r="T913" i="2"/>
  <c r="T1319" i="2"/>
  <c r="T1113" i="2"/>
  <c r="T2368" i="2"/>
  <c r="T1480" i="2"/>
  <c r="T1810" i="2"/>
  <c r="T1102" i="2"/>
  <c r="T1308" i="2"/>
  <c r="T1101" i="2"/>
  <c r="T1473" i="2"/>
  <c r="T1799" i="2"/>
  <c r="T1302" i="2"/>
  <c r="T1470" i="2"/>
  <c r="T1096" i="2"/>
  <c r="T2348" i="2"/>
  <c r="T1794" i="2"/>
  <c r="T1466" i="2"/>
  <c r="T1295" i="2"/>
  <c r="T1089" i="2"/>
  <c r="T1787" i="2"/>
  <c r="T2341" i="2"/>
  <c r="T1458" i="2"/>
  <c r="T1287" i="2"/>
  <c r="T1081" i="2"/>
  <c r="T1780" i="2"/>
  <c r="T510" i="2"/>
  <c r="T1286" i="2"/>
  <c r="T1455" i="2"/>
  <c r="T1080" i="2"/>
  <c r="T1779" i="2"/>
  <c r="T2330" i="2"/>
  <c r="T1070" i="2"/>
  <c r="T1450" i="2"/>
  <c r="T1071" i="2"/>
  <c r="T1281" i="2"/>
  <c r="T1774" i="2"/>
  <c r="T1059" i="2"/>
  <c r="T1444" i="2"/>
  <c r="T1269" i="2"/>
  <c r="T1763" i="2"/>
  <c r="T1266" i="2"/>
  <c r="T1056" i="2"/>
  <c r="T1441" i="2"/>
  <c r="T2315" i="2"/>
  <c r="T1760" i="2"/>
  <c r="T1042" i="2"/>
  <c r="T1430" i="2"/>
  <c r="T1043" i="2"/>
  <c r="T1253" i="2"/>
  <c r="T1747" i="2"/>
  <c r="T466" i="2"/>
  <c r="T1246" i="2"/>
  <c r="T1426" i="2"/>
  <c r="T1036" i="2"/>
  <c r="T1741" i="2"/>
  <c r="T1423" i="2"/>
  <c r="T1232" i="2"/>
  <c r="T1021" i="2"/>
  <c r="T2285" i="2"/>
  <c r="T1726" i="2"/>
  <c r="T1419" i="2"/>
  <c r="T1228" i="2"/>
  <c r="T1017" i="2"/>
  <c r="T2281" i="2"/>
  <c r="T1722" i="2"/>
  <c r="T450" i="2"/>
  <c r="T1218" i="2"/>
  <c r="T1008" i="2"/>
  <c r="T1412" i="2"/>
  <c r="T1713" i="2"/>
  <c r="T446" i="2"/>
  <c r="T1215" i="2"/>
  <c r="T1005" i="2"/>
  <c r="T1409" i="2"/>
  <c r="T2275" i="2"/>
  <c r="T1710" i="2"/>
  <c r="T1378" i="2"/>
  <c r="T987" i="2"/>
  <c r="T1197" i="2"/>
  <c r="T1692" i="2"/>
  <c r="T438" i="2"/>
  <c r="T983" i="2"/>
  <c r="T1375" i="2"/>
  <c r="T1193" i="2"/>
  <c r="T1688" i="2"/>
  <c r="T1689" i="2"/>
  <c r="T1370" i="2"/>
  <c r="T975" i="2"/>
  <c r="T1185" i="2"/>
  <c r="T2203" i="2"/>
  <c r="T1681" i="2"/>
  <c r="T971" i="2"/>
  <c r="T1181" i="2"/>
  <c r="T1361" i="2"/>
  <c r="T1677" i="2"/>
  <c r="T2197" i="2"/>
  <c r="T950" i="2"/>
  <c r="T1160" i="2"/>
  <c r="T1356" i="2"/>
  <c r="T2171" i="2"/>
  <c r="T1656" i="2"/>
  <c r="T1155" i="2"/>
  <c r="T1352" i="2"/>
  <c r="T945" i="2"/>
  <c r="T1651" i="2"/>
  <c r="T2167" i="2"/>
  <c r="T903" i="2"/>
  <c r="T2118" i="2"/>
  <c r="T902" i="2"/>
  <c r="R550" i="2"/>
  <c r="R510" i="2"/>
  <c r="T144" i="2"/>
  <c r="T92" i="2"/>
  <c r="T146" i="2"/>
  <c r="T142" i="2"/>
  <c r="T6" i="2"/>
  <c r="T629" i="2"/>
  <c r="T758" i="2"/>
  <c r="T759" i="2"/>
  <c r="T189" i="2"/>
  <c r="T659" i="2"/>
  <c r="T69" i="2"/>
  <c r="T65" i="2"/>
  <c r="T57" i="2"/>
  <c r="T53" i="2"/>
  <c r="T5" i="2"/>
  <c r="T640" i="2"/>
  <c r="T770" i="2"/>
  <c r="T766" i="2"/>
  <c r="T762" i="2"/>
  <c r="T761" i="2"/>
  <c r="T612" i="2"/>
  <c r="T604" i="2"/>
  <c r="T552" i="2"/>
  <c r="T416" i="2"/>
  <c r="T188" i="2"/>
  <c r="T658" i="2"/>
  <c r="T184" i="2"/>
  <c r="T655" i="2"/>
  <c r="T128" i="2"/>
  <c r="T100" i="2"/>
  <c r="T76" i="2"/>
  <c r="T64" i="2"/>
  <c r="T60" i="2"/>
  <c r="T56" i="2"/>
  <c r="T52" i="2"/>
  <c r="T40" i="2"/>
  <c r="T28" i="2"/>
  <c r="T16" i="2"/>
  <c r="T12" i="2"/>
  <c r="T4" i="2"/>
  <c r="T639" i="2"/>
  <c r="T768" i="2"/>
  <c r="T769" i="2"/>
  <c r="T764" i="2"/>
  <c r="T765" i="2"/>
  <c r="T615" i="2"/>
  <c r="T607" i="2"/>
  <c r="T523" i="2"/>
  <c r="T447" i="2"/>
  <c r="T187" i="2"/>
  <c r="T657" i="2"/>
  <c r="T183" i="2"/>
  <c r="T654" i="2"/>
  <c r="T175" i="2"/>
  <c r="T143" i="2"/>
  <c r="T95" i="2"/>
  <c r="T91" i="2"/>
  <c r="T63" i="2"/>
  <c r="T55" i="2"/>
  <c r="T51" i="2"/>
  <c r="T47" i="2"/>
  <c r="T43" i="2"/>
  <c r="T31" i="2"/>
  <c r="T19" i="2"/>
  <c r="T3" i="2"/>
  <c r="T771" i="2"/>
  <c r="T772" i="2"/>
  <c r="T506" i="2"/>
  <c r="T502" i="2"/>
  <c r="T214" i="2"/>
  <c r="T664" i="2"/>
  <c r="T182" i="2"/>
  <c r="T653" i="2"/>
  <c r="T174" i="2"/>
  <c r="T138" i="2"/>
  <c r="T82" i="2"/>
  <c r="T78" i="2"/>
  <c r="T70" i="2"/>
  <c r="T66" i="2"/>
  <c r="T54" i="2"/>
  <c r="T50" i="2"/>
  <c r="T46" i="2"/>
  <c r="T18" i="2"/>
  <c r="R288" i="2"/>
  <c r="R525" i="2"/>
  <c r="R61" i="2"/>
  <c r="R40" i="2"/>
  <c r="R24" i="2"/>
  <c r="R293" i="2"/>
  <c r="R229" i="2"/>
  <c r="R37" i="2"/>
  <c r="R598" i="2"/>
  <c r="R405" i="2"/>
  <c r="R365" i="2"/>
  <c r="R341" i="2"/>
  <c r="R493" i="2"/>
  <c r="R445" i="2"/>
  <c r="R309" i="2"/>
  <c r="R269" i="2"/>
  <c r="R245" i="2"/>
  <c r="R197" i="2"/>
  <c r="R640" i="2"/>
  <c r="R167" i="2"/>
  <c r="R39" i="2"/>
  <c r="R622" i="2"/>
  <c r="R96" i="2"/>
  <c r="R606" i="2"/>
  <c r="R56" i="2"/>
  <c r="T2" i="2"/>
  <c r="R231" i="2"/>
  <c r="R574" i="2"/>
  <c r="R315" i="2"/>
  <c r="R64" i="2"/>
  <c r="R168" i="2"/>
  <c r="R112" i="2"/>
  <c r="R128" i="2"/>
  <c r="R72" i="2"/>
  <c r="R144" i="2"/>
  <c r="R208" i="2"/>
  <c r="R120" i="2"/>
  <c r="R104" i="2"/>
  <c r="R88" i="2"/>
  <c r="R48" i="2"/>
  <c r="R426" i="2"/>
  <c r="R240" i="2"/>
  <c r="R200" i="2"/>
  <c r="R424" i="2"/>
  <c r="R295" i="2"/>
  <c r="R256" i="2"/>
  <c r="R176" i="2"/>
  <c r="R386" i="2"/>
  <c r="R359" i="2"/>
  <c r="R314" i="2"/>
  <c r="R552" i="2"/>
  <c r="R496" i="2"/>
  <c r="R418" i="2"/>
  <c r="R152" i="2"/>
  <c r="R136" i="2"/>
  <c r="R103" i="2"/>
  <c r="R260" i="2"/>
  <c r="R228" i="2"/>
  <c r="R92" i="2"/>
  <c r="R28" i="2"/>
  <c r="R68" i="2"/>
  <c r="R164" i="2"/>
  <c r="R132" i="2"/>
  <c r="R100" i="2"/>
  <c r="R573" i="2"/>
  <c r="R512" i="2"/>
  <c r="R472" i="2"/>
  <c r="R368" i="2"/>
  <c r="R268" i="2"/>
  <c r="R196" i="2"/>
  <c r="R566" i="2"/>
  <c r="R156" i="2"/>
  <c r="R560" i="2"/>
  <c r="R488" i="2"/>
  <c r="R440" i="2"/>
  <c r="R416" i="2"/>
  <c r="R392" i="2"/>
  <c r="R344" i="2"/>
  <c r="R328" i="2"/>
  <c r="R312" i="2"/>
  <c r="R296" i="2"/>
  <c r="R592" i="2"/>
  <c r="R480" i="2"/>
  <c r="R456" i="2"/>
  <c r="R432" i="2"/>
  <c r="R356" i="2"/>
  <c r="R324" i="2"/>
  <c r="R280" i="2"/>
  <c r="R236" i="2"/>
  <c r="R586" i="2"/>
  <c r="R544" i="2"/>
  <c r="R504" i="2"/>
  <c r="R408" i="2"/>
  <c r="R384" i="2"/>
  <c r="R264" i="2"/>
  <c r="R248" i="2"/>
  <c r="R224" i="2"/>
  <c r="R204" i="2"/>
  <c r="R192" i="2"/>
  <c r="R172" i="2"/>
  <c r="R160" i="2"/>
  <c r="R536" i="2"/>
  <c r="R476" i="2"/>
  <c r="R448" i="2"/>
  <c r="R364" i="2"/>
  <c r="R352" i="2"/>
  <c r="R336" i="2"/>
  <c r="R320" i="2"/>
  <c r="R304" i="2"/>
  <c r="R292" i="2"/>
  <c r="R232" i="2"/>
  <c r="R624" i="2"/>
  <c r="R568" i="2"/>
  <c r="R400" i="2"/>
  <c r="R376" i="2"/>
  <c r="R362" i="2"/>
  <c r="R272" i="2"/>
  <c r="R216" i="2"/>
  <c r="R184" i="2"/>
  <c r="R124" i="2"/>
  <c r="R80" i="2"/>
  <c r="T81" i="2"/>
  <c r="R464" i="2"/>
  <c r="R444" i="2"/>
  <c r="R360" i="2"/>
  <c r="T72" i="2"/>
  <c r="R616" i="2"/>
  <c r="R582" i="2"/>
  <c r="R562" i="2"/>
  <c r="R542" i="2"/>
  <c r="R522" i="2"/>
  <c r="R484" i="2"/>
  <c r="R469" i="2"/>
  <c r="R452" i="2"/>
  <c r="R412" i="2"/>
  <c r="R397" i="2"/>
  <c r="R372" i="2"/>
  <c r="R340" i="2"/>
  <c r="R330" i="2"/>
  <c r="R308" i="2"/>
  <c r="R298" i="2"/>
  <c r="R276" i="2"/>
  <c r="R266" i="2"/>
  <c r="R244" i="2"/>
  <c r="R234" i="2"/>
  <c r="R213" i="2"/>
  <c r="R181" i="2"/>
  <c r="R162" i="2"/>
  <c r="R140" i="2"/>
  <c r="R130" i="2"/>
  <c r="R108" i="2"/>
  <c r="R77" i="2"/>
  <c r="R45" i="2"/>
  <c r="R36" i="2"/>
  <c r="R26" i="2"/>
  <c r="T71" i="2"/>
  <c r="R614" i="2"/>
  <c r="R578" i="2"/>
  <c r="R541" i="2"/>
  <c r="R498" i="2"/>
  <c r="R482" i="2"/>
  <c r="R466" i="2"/>
  <c r="R450" i="2"/>
  <c r="R437" i="2"/>
  <c r="R410" i="2"/>
  <c r="R396" i="2"/>
  <c r="R370" i="2"/>
  <c r="R349" i="2"/>
  <c r="R317" i="2"/>
  <c r="R253" i="2"/>
  <c r="R212" i="2"/>
  <c r="R202" i="2"/>
  <c r="R180" i="2"/>
  <c r="R170" i="2"/>
  <c r="R149" i="2"/>
  <c r="R117" i="2"/>
  <c r="R98" i="2"/>
  <c r="R76" i="2"/>
  <c r="R66" i="2"/>
  <c r="R44" i="2"/>
  <c r="R610" i="2"/>
  <c r="R576" i="2"/>
  <c r="R558" i="2"/>
  <c r="R538" i="2"/>
  <c r="R514" i="2"/>
  <c r="R434" i="2"/>
  <c r="R421" i="2"/>
  <c r="R394" i="2"/>
  <c r="R381" i="2"/>
  <c r="R348" i="2"/>
  <c r="R338" i="2"/>
  <c r="R316" i="2"/>
  <c r="R306" i="2"/>
  <c r="R285" i="2"/>
  <c r="R274" i="2"/>
  <c r="R252" i="2"/>
  <c r="R242" i="2"/>
  <c r="R221" i="2"/>
  <c r="R189" i="2"/>
  <c r="R148" i="2"/>
  <c r="R138" i="2"/>
  <c r="R116" i="2"/>
  <c r="R106" i="2"/>
  <c r="R85" i="2"/>
  <c r="R53" i="2"/>
  <c r="R34" i="2"/>
  <c r="R554" i="2"/>
  <c r="R420" i="2"/>
  <c r="R380" i="2"/>
  <c r="R357" i="2"/>
  <c r="R325" i="2"/>
  <c r="R284" i="2"/>
  <c r="R261" i="2"/>
  <c r="R220" i="2"/>
  <c r="R210" i="2"/>
  <c r="R188" i="2"/>
  <c r="R178" i="2"/>
  <c r="R157" i="2"/>
  <c r="R125" i="2"/>
  <c r="R84" i="2"/>
  <c r="R74" i="2"/>
  <c r="R52" i="2"/>
  <c r="R42" i="2"/>
  <c r="R21" i="2"/>
  <c r="R594" i="2"/>
  <c r="R570" i="2"/>
  <c r="R530" i="2"/>
  <c r="R509" i="2"/>
  <c r="R490" i="2"/>
  <c r="R474" i="2"/>
  <c r="R458" i="2"/>
  <c r="R429" i="2"/>
  <c r="R402" i="2"/>
  <c r="R389" i="2"/>
  <c r="R218" i="2"/>
  <c r="R186" i="2"/>
  <c r="R82" i="2"/>
  <c r="R50" i="2"/>
  <c r="R546" i="2"/>
  <c r="R506" i="2"/>
  <c r="R442" i="2"/>
  <c r="R428" i="2"/>
  <c r="R388" i="2"/>
  <c r="R354" i="2"/>
  <c r="R332" i="2"/>
  <c r="R322" i="2"/>
  <c r="R300" i="2"/>
  <c r="R258" i="2"/>
  <c r="R205" i="2"/>
  <c r="R173" i="2"/>
  <c r="R154" i="2"/>
  <c r="R122" i="2"/>
  <c r="R101" i="2"/>
  <c r="R69" i="2"/>
  <c r="R18" i="2"/>
  <c r="T507" i="2"/>
  <c r="R638" i="2"/>
  <c r="R618" i="2"/>
  <c r="R630" i="2"/>
  <c r="R602" i="2"/>
  <c r="R590" i="2"/>
  <c r="R648" i="2"/>
  <c r="R632" i="2"/>
  <c r="R608" i="2"/>
  <c r="R584" i="2"/>
  <c r="R557" i="2"/>
  <c r="R528" i="2"/>
  <c r="R520" i="2"/>
  <c r="R283" i="2"/>
  <c r="R626" i="2"/>
  <c r="R460" i="2"/>
  <c r="T356" i="2"/>
  <c r="R642" i="2"/>
  <c r="R600" i="2"/>
  <c r="R581" i="2"/>
  <c r="R565" i="2"/>
  <c r="R549" i="2"/>
  <c r="R533" i="2"/>
  <c r="R517" i="2"/>
  <c r="R468" i="2"/>
  <c r="R436" i="2"/>
  <c r="R404" i="2"/>
  <c r="R343" i="2"/>
  <c r="R279" i="2"/>
  <c r="R215" i="2"/>
  <c r="R151" i="2"/>
  <c r="R87" i="2"/>
  <c r="R23" i="2"/>
  <c r="R501" i="2"/>
  <c r="R487" i="2"/>
  <c r="R477" i="2"/>
  <c r="R455" i="2"/>
  <c r="R423" i="2"/>
  <c r="R391" i="2"/>
  <c r="R351" i="2"/>
  <c r="R287" i="2"/>
  <c r="R223" i="2"/>
  <c r="R159" i="2"/>
  <c r="R95" i="2"/>
  <c r="R31" i="2"/>
  <c r="R634" i="2"/>
  <c r="R485" i="2"/>
  <c r="R463" i="2"/>
  <c r="R453" i="2"/>
  <c r="R431" i="2"/>
  <c r="R399" i="2"/>
  <c r="R367" i="2"/>
  <c r="R303" i="2"/>
  <c r="R239" i="2"/>
  <c r="R175" i="2"/>
  <c r="R111" i="2"/>
  <c r="R47" i="2"/>
  <c r="R495" i="2"/>
  <c r="R311" i="2"/>
  <c r="R247" i="2"/>
  <c r="R183" i="2"/>
  <c r="R119" i="2"/>
  <c r="R55" i="2"/>
  <c r="R471" i="2"/>
  <c r="R439" i="2"/>
  <c r="R407" i="2"/>
  <c r="R375" i="2"/>
  <c r="R319" i="2"/>
  <c r="R255" i="2"/>
  <c r="R191" i="2"/>
  <c r="R127" i="2"/>
  <c r="R63" i="2"/>
  <c r="R327" i="2"/>
  <c r="R263" i="2"/>
  <c r="R199" i="2"/>
  <c r="R135" i="2"/>
  <c r="R71" i="2"/>
  <c r="R503" i="2"/>
  <c r="R479" i="2"/>
  <c r="R447" i="2"/>
  <c r="R415" i="2"/>
  <c r="R383" i="2"/>
  <c r="R335" i="2"/>
  <c r="R271" i="2"/>
  <c r="R207" i="2"/>
  <c r="R143" i="2"/>
  <c r="R79" i="2"/>
  <c r="R15" i="2"/>
  <c r="R645" i="2"/>
  <c r="R637" i="2"/>
  <c r="R629" i="2"/>
  <c r="R621" i="2"/>
  <c r="R613" i="2"/>
  <c r="R605" i="2"/>
  <c r="R597" i="2"/>
  <c r="R589" i="2"/>
  <c r="R644" i="2"/>
  <c r="R636" i="2"/>
  <c r="R628" i="2"/>
  <c r="R620" i="2"/>
  <c r="R612" i="2"/>
  <c r="R604" i="2"/>
  <c r="R596" i="2"/>
  <c r="R588" i="2"/>
  <c r="R580" i="2"/>
  <c r="R572" i="2"/>
  <c r="R564" i="2"/>
  <c r="R556" i="2"/>
  <c r="R548" i="2"/>
  <c r="R540" i="2"/>
  <c r="R532" i="2"/>
  <c r="R524" i="2"/>
  <c r="R516" i="2"/>
  <c r="R508" i="2"/>
  <c r="R500" i="2"/>
  <c r="R492" i="2"/>
  <c r="T253" i="2"/>
  <c r="T125" i="2"/>
  <c r="R643" i="2"/>
  <c r="R635" i="2"/>
  <c r="R627" i="2"/>
  <c r="R619" i="2"/>
  <c r="R611" i="2"/>
  <c r="R603" i="2"/>
  <c r="R595" i="2"/>
  <c r="R587" i="2"/>
  <c r="R579" i="2"/>
  <c r="R571" i="2"/>
  <c r="R563" i="2"/>
  <c r="R555" i="2"/>
  <c r="R547" i="2"/>
  <c r="R539" i="2"/>
  <c r="R531" i="2"/>
  <c r="R523" i="2"/>
  <c r="R515" i="2"/>
  <c r="R507" i="2"/>
  <c r="R499" i="2"/>
  <c r="R491" i="2"/>
  <c r="R483" i="2"/>
  <c r="R475" i="2"/>
  <c r="R467" i="2"/>
  <c r="R459" i="2"/>
  <c r="R451" i="2"/>
  <c r="R443" i="2"/>
  <c r="R435" i="2"/>
  <c r="R427" i="2"/>
  <c r="R419" i="2"/>
  <c r="R411" i="2"/>
  <c r="R403" i="2"/>
  <c r="R395" i="2"/>
  <c r="R387" i="2"/>
  <c r="R379" i="2"/>
  <c r="R371" i="2"/>
  <c r="T307" i="2"/>
  <c r="R649" i="2"/>
  <c r="R641" i="2"/>
  <c r="R633" i="2"/>
  <c r="R625" i="2"/>
  <c r="R617" i="2"/>
  <c r="R609" i="2"/>
  <c r="R601" i="2"/>
  <c r="R593" i="2"/>
  <c r="R585" i="2"/>
  <c r="R577" i="2"/>
  <c r="R569" i="2"/>
  <c r="R561" i="2"/>
  <c r="R553" i="2"/>
  <c r="R545" i="2"/>
  <c r="R537" i="2"/>
  <c r="R529" i="2"/>
  <c r="R521" i="2"/>
  <c r="R513" i="2"/>
  <c r="R505" i="2"/>
  <c r="R497" i="2"/>
  <c r="R489" i="2"/>
  <c r="R481" i="2"/>
  <c r="R473" i="2"/>
  <c r="R465" i="2"/>
  <c r="R457" i="2"/>
  <c r="R449" i="2"/>
  <c r="R441" i="2"/>
  <c r="R433" i="2"/>
  <c r="R425" i="2"/>
  <c r="R417" i="2"/>
  <c r="R409" i="2"/>
  <c r="R401" i="2"/>
  <c r="R393" i="2"/>
  <c r="R385" i="2"/>
  <c r="R377" i="2"/>
  <c r="R369" i="2"/>
  <c r="R361" i="2"/>
  <c r="R353" i="2"/>
  <c r="R345" i="2"/>
  <c r="R337" i="2"/>
  <c r="R329" i="2"/>
  <c r="R321" i="2"/>
  <c r="R313" i="2"/>
  <c r="R305" i="2"/>
  <c r="R297" i="2"/>
  <c r="R289" i="2"/>
  <c r="R281" i="2"/>
  <c r="R273" i="2"/>
  <c r="R265" i="2"/>
  <c r="R257" i="2"/>
  <c r="R249" i="2"/>
  <c r="R241" i="2"/>
  <c r="R233" i="2"/>
  <c r="R225" i="2"/>
  <c r="R217" i="2"/>
  <c r="R209" i="2"/>
  <c r="R201" i="2"/>
  <c r="R193" i="2"/>
  <c r="R185" i="2"/>
  <c r="R177" i="2"/>
  <c r="R169" i="2"/>
  <c r="R161" i="2"/>
  <c r="R153" i="2"/>
  <c r="R145" i="2"/>
  <c r="R137" i="2"/>
  <c r="R129" i="2"/>
  <c r="R121" i="2"/>
  <c r="R113" i="2"/>
  <c r="R105" i="2"/>
  <c r="R97" i="2"/>
  <c r="R89" i="2"/>
  <c r="R81" i="2"/>
  <c r="R73" i="2"/>
  <c r="R65" i="2"/>
  <c r="R57" i="2"/>
  <c r="R49" i="2"/>
  <c r="R41" i="2"/>
  <c r="R33" i="2"/>
  <c r="R25" i="2"/>
  <c r="R17" i="2"/>
  <c r="T145" i="2"/>
  <c r="R647" i="2"/>
  <c r="R639" i="2"/>
  <c r="R631" i="2"/>
  <c r="R623" i="2"/>
  <c r="R615" i="2"/>
  <c r="R607" i="2"/>
  <c r="R599" i="2"/>
  <c r="R591" i="2"/>
  <c r="R583" i="2"/>
  <c r="R575" i="2"/>
  <c r="R567" i="2"/>
  <c r="R559" i="2"/>
  <c r="R551" i="2"/>
  <c r="R543" i="2"/>
  <c r="R535" i="2"/>
  <c r="R527" i="2"/>
  <c r="R519" i="2"/>
  <c r="R511" i="2"/>
  <c r="T635" i="2"/>
  <c r="T195" i="2"/>
  <c r="T585" i="2"/>
  <c r="T537" i="2"/>
  <c r="T169" i="2"/>
  <c r="T159" i="2"/>
  <c r="T582" i="2"/>
  <c r="T61" i="2"/>
  <c r="T44" i="2"/>
  <c r="AA537" i="1"/>
  <c r="AA529" i="1"/>
  <c r="AA521" i="1"/>
  <c r="AA513" i="1"/>
  <c r="AA505" i="1"/>
  <c r="AA497" i="1"/>
  <c r="AA489" i="1"/>
  <c r="AA481" i="1"/>
  <c r="AA473" i="1"/>
  <c r="AA465" i="1"/>
  <c r="AA457" i="1"/>
  <c r="AA449" i="1"/>
  <c r="AA441" i="1"/>
  <c r="AA433" i="1"/>
  <c r="AA425" i="1"/>
  <c r="AA417" i="1"/>
  <c r="AA409" i="1"/>
  <c r="AA401" i="1"/>
  <c r="AA393" i="1"/>
  <c r="AA385" i="1"/>
  <c r="AA377" i="1"/>
  <c r="AA369" i="1"/>
  <c r="AA361" i="1"/>
  <c r="AA353" i="1"/>
  <c r="AA345" i="1"/>
  <c r="AA337" i="1"/>
  <c r="AA329" i="1"/>
  <c r="AA536" i="1"/>
  <c r="AA528" i="1"/>
  <c r="AA520" i="1"/>
  <c r="AA512" i="1"/>
  <c r="AA504" i="1"/>
  <c r="AA496" i="1"/>
  <c r="AA488" i="1"/>
  <c r="AA480" i="1"/>
  <c r="AA472" i="1"/>
  <c r="AA464" i="1"/>
  <c r="AA456" i="1"/>
  <c r="AA448" i="1"/>
  <c r="AA440" i="1"/>
  <c r="AA432" i="1"/>
  <c r="AA424" i="1"/>
  <c r="AA416" i="1"/>
  <c r="AA408" i="1"/>
  <c r="AA400" i="1"/>
  <c r="AA392" i="1"/>
  <c r="AA384" i="1"/>
  <c r="AA376" i="1"/>
  <c r="AA368" i="1"/>
  <c r="AA360" i="1"/>
  <c r="AA352" i="1"/>
  <c r="AA344" i="1"/>
  <c r="AA336" i="1"/>
  <c r="AA328" i="1"/>
  <c r="AA535" i="1"/>
  <c r="AA527" i="1"/>
  <c r="AA519" i="1"/>
  <c r="AA511" i="1"/>
  <c r="AA503" i="1"/>
  <c r="AA495" i="1"/>
  <c r="AA487" i="1"/>
  <c r="AA479" i="1"/>
  <c r="AA471" i="1"/>
  <c r="AA463" i="1"/>
  <c r="AA455" i="1"/>
  <c r="AA447" i="1"/>
  <c r="AA439" i="1"/>
  <c r="AA431" i="1"/>
  <c r="AA423" i="1"/>
  <c r="AA415" i="1"/>
  <c r="AA407" i="1"/>
  <c r="AA399" i="1"/>
  <c r="AA391" i="1"/>
  <c r="AA383" i="1"/>
  <c r="AA375" i="1"/>
  <c r="AA367" i="1"/>
  <c r="AA359" i="1"/>
  <c r="AA351" i="1"/>
  <c r="AA343" i="1"/>
  <c r="AA335" i="1"/>
  <c r="AA327" i="1"/>
  <c r="AA534" i="1"/>
  <c r="AA526" i="1"/>
  <c r="AA518" i="1"/>
  <c r="AA510" i="1"/>
  <c r="AA502" i="1"/>
  <c r="AA494" i="1"/>
  <c r="AA486" i="1"/>
  <c r="AA478" i="1"/>
  <c r="AA470" i="1"/>
  <c r="AA462" i="1"/>
  <c r="AA454" i="1"/>
  <c r="AA446" i="1"/>
  <c r="AA438" i="1"/>
  <c r="AA430" i="1"/>
  <c r="AA422" i="1"/>
  <c r="AA414" i="1"/>
  <c r="AA406" i="1"/>
  <c r="AA398" i="1"/>
  <c r="AA390" i="1"/>
  <c r="AA382" i="1"/>
  <c r="AA374" i="1"/>
  <c r="AA366" i="1"/>
  <c r="AA358" i="1"/>
  <c r="AA350" i="1"/>
  <c r="AA342" i="1"/>
  <c r="AA334" i="1"/>
  <c r="AA533" i="1"/>
  <c r="AA525" i="1"/>
  <c r="AA517" i="1"/>
  <c r="AA509" i="1"/>
  <c r="AA501" i="1"/>
  <c r="AA493" i="1"/>
  <c r="AA485" i="1"/>
  <c r="AA477" i="1"/>
  <c r="AA469" i="1"/>
  <c r="AA461" i="1"/>
  <c r="AA453" i="1"/>
  <c r="AA445" i="1"/>
  <c r="AA437" i="1"/>
  <c r="AA429" i="1"/>
  <c r="AA421" i="1"/>
  <c r="AA413" i="1"/>
  <c r="AA405" i="1"/>
  <c r="AA397" i="1"/>
  <c r="AA389" i="1"/>
  <c r="AA381" i="1"/>
  <c r="AA373" i="1"/>
  <c r="AA365" i="1"/>
  <c r="AA357" i="1"/>
  <c r="AA349" i="1"/>
  <c r="AA341" i="1"/>
  <c r="AA333" i="1"/>
  <c r="AA532" i="1"/>
  <c r="AA524" i="1"/>
  <c r="AA516" i="1"/>
  <c r="AA508" i="1"/>
  <c r="AA500" i="1"/>
  <c r="AA492" i="1"/>
  <c r="AA484" i="1"/>
  <c r="AA476" i="1"/>
  <c r="AA468" i="1"/>
  <c r="AA460" i="1"/>
  <c r="AA452" i="1"/>
  <c r="AA444" i="1"/>
  <c r="AA436" i="1"/>
  <c r="AA428" i="1"/>
  <c r="AA420" i="1"/>
  <c r="AA412" i="1"/>
  <c r="AA404" i="1"/>
  <c r="AA396" i="1"/>
  <c r="AA388" i="1"/>
  <c r="AA380" i="1"/>
  <c r="AA372" i="1"/>
  <c r="AA364" i="1"/>
  <c r="AA356" i="1"/>
  <c r="AA348" i="1"/>
  <c r="AA340" i="1"/>
  <c r="AA332" i="1"/>
  <c r="AA523" i="1"/>
  <c r="AA491" i="1"/>
  <c r="AA459" i="1"/>
  <c r="AA427" i="1"/>
  <c r="AA395" i="1"/>
  <c r="AA363" i="1"/>
  <c r="AA331" i="1"/>
  <c r="AA320" i="1"/>
  <c r="AA312" i="1"/>
  <c r="AA304" i="1"/>
  <c r="AA296" i="1"/>
  <c r="AA288" i="1"/>
  <c r="AA280" i="1"/>
  <c r="AA272" i="1"/>
  <c r="AA264" i="1"/>
  <c r="AA256" i="1"/>
  <c r="AA248" i="1"/>
  <c r="AA240" i="1"/>
  <c r="AA232" i="1"/>
  <c r="AA224" i="1"/>
  <c r="AA216" i="1"/>
  <c r="AA208" i="1"/>
  <c r="AA200" i="1"/>
  <c r="AA192" i="1"/>
  <c r="AA184" i="1"/>
  <c r="AA176" i="1"/>
  <c r="AA168" i="1"/>
  <c r="AA160" i="1"/>
  <c r="AA152" i="1"/>
  <c r="AA144" i="1"/>
  <c r="AA136" i="1"/>
  <c r="AA128" i="1"/>
  <c r="AA120" i="1"/>
  <c r="AA112" i="1"/>
  <c r="AA104" i="1"/>
  <c r="AA96" i="1"/>
  <c r="AA88" i="1"/>
  <c r="AA80" i="1"/>
  <c r="AA72" i="1"/>
  <c r="AA64" i="1"/>
  <c r="AA56" i="1"/>
  <c r="AA48" i="1"/>
  <c r="AA40" i="1"/>
  <c r="AA32" i="1"/>
  <c r="AA24" i="1"/>
  <c r="AA16" i="1"/>
  <c r="AA8" i="1"/>
  <c r="AA522" i="1"/>
  <c r="AA490" i="1"/>
  <c r="AA458" i="1"/>
  <c r="AA426" i="1"/>
  <c r="AA394" i="1"/>
  <c r="AA362" i="1"/>
  <c r="AA330" i="1"/>
  <c r="AA319" i="1"/>
  <c r="AA311" i="1"/>
  <c r="AA303" i="1"/>
  <c r="AA295" i="1"/>
  <c r="AA287" i="1"/>
  <c r="AA279" i="1"/>
  <c r="AA271" i="1"/>
  <c r="AA263" i="1"/>
  <c r="AA255" i="1"/>
  <c r="AA247" i="1"/>
  <c r="AA239" i="1"/>
  <c r="AA231" i="1"/>
  <c r="AA223" i="1"/>
  <c r="AA215" i="1"/>
  <c r="AA207" i="1"/>
  <c r="AA199" i="1"/>
  <c r="AA191" i="1"/>
  <c r="AA183" i="1"/>
  <c r="AA175" i="1"/>
  <c r="AA167" i="1"/>
  <c r="AA159" i="1"/>
  <c r="AA151" i="1"/>
  <c r="AA143" i="1"/>
  <c r="AA135" i="1"/>
  <c r="AA127" i="1"/>
  <c r="AA119" i="1"/>
  <c r="AA111" i="1"/>
  <c r="AA103" i="1"/>
  <c r="AA95" i="1"/>
  <c r="AA87" i="1"/>
  <c r="AA79" i="1"/>
  <c r="AA71" i="1"/>
  <c r="AA63" i="1"/>
  <c r="AA55" i="1"/>
  <c r="AA47" i="1"/>
  <c r="AA39" i="1"/>
  <c r="AA31" i="1"/>
  <c r="AA23" i="1"/>
  <c r="AA15" i="1"/>
  <c r="AA7" i="1"/>
  <c r="AA515" i="1"/>
  <c r="AA483" i="1"/>
  <c r="AA451" i="1"/>
  <c r="AA419" i="1"/>
  <c r="AA387" i="1"/>
  <c r="AA355" i="1"/>
  <c r="AA326" i="1"/>
  <c r="AA318" i="1"/>
  <c r="AA310" i="1"/>
  <c r="AA302" i="1"/>
  <c r="AA294" i="1"/>
  <c r="AA286" i="1"/>
  <c r="AA278" i="1"/>
  <c r="AA270" i="1"/>
  <c r="AA262" i="1"/>
  <c r="AA254" i="1"/>
  <c r="AA246" i="1"/>
  <c r="AA238" i="1"/>
  <c r="AA230" i="1"/>
  <c r="AA222" i="1"/>
  <c r="AA214" i="1"/>
  <c r="AA206" i="1"/>
  <c r="AA198" i="1"/>
  <c r="AA190" i="1"/>
  <c r="AA182" i="1"/>
  <c r="AA174" i="1"/>
  <c r="AA166" i="1"/>
  <c r="AA158" i="1"/>
  <c r="AA150" i="1"/>
  <c r="AA142" i="1"/>
  <c r="AA134" i="1"/>
  <c r="AA126" i="1"/>
  <c r="AA118" i="1"/>
  <c r="AA110" i="1"/>
  <c r="AA102" i="1"/>
  <c r="AA94" i="1"/>
  <c r="AA86" i="1"/>
  <c r="AA78" i="1"/>
  <c r="AA70" i="1"/>
  <c r="AA62" i="1"/>
  <c r="AA54" i="1"/>
  <c r="AA46" i="1"/>
  <c r="AA38" i="1"/>
  <c r="AA30" i="1"/>
  <c r="AA22" i="1"/>
  <c r="AA14" i="1"/>
  <c r="AA6" i="1"/>
  <c r="AA514" i="1"/>
  <c r="AA482" i="1"/>
  <c r="AA450" i="1"/>
  <c r="AA418" i="1"/>
  <c r="AA386" i="1"/>
  <c r="AA354" i="1"/>
  <c r="AA325" i="1"/>
  <c r="AA317" i="1"/>
  <c r="AA309" i="1"/>
  <c r="AA301" i="1"/>
  <c r="AA293" i="1"/>
  <c r="AA285" i="1"/>
  <c r="AA277" i="1"/>
  <c r="AA269" i="1"/>
  <c r="AA261" i="1"/>
  <c r="AA253" i="1"/>
  <c r="AA245" i="1"/>
  <c r="AA237" i="1"/>
  <c r="AA229" i="1"/>
  <c r="AA221" i="1"/>
  <c r="AA213" i="1"/>
  <c r="AA205" i="1"/>
  <c r="AA197" i="1"/>
  <c r="AA189" i="1"/>
  <c r="AA181" i="1"/>
  <c r="AA173" i="1"/>
  <c r="AA165" i="1"/>
  <c r="AA157" i="1"/>
  <c r="AA149" i="1"/>
  <c r="AA141" i="1"/>
  <c r="AA133" i="1"/>
  <c r="AA125" i="1"/>
  <c r="AA117" i="1"/>
  <c r="AA109" i="1"/>
  <c r="AA101" i="1"/>
  <c r="AA93" i="1"/>
  <c r="AA85" i="1"/>
  <c r="AA77" i="1"/>
  <c r="AA69" i="1"/>
  <c r="AA61" i="1"/>
  <c r="AA53" i="1"/>
  <c r="AA45" i="1"/>
  <c r="AA37" i="1"/>
  <c r="AA29" i="1"/>
  <c r="AA21" i="1"/>
  <c r="AA13" i="1"/>
  <c r="AA5" i="1"/>
  <c r="AA507" i="1"/>
  <c r="AA475" i="1"/>
  <c r="AA443" i="1"/>
  <c r="AA411" i="1"/>
  <c r="AA379" i="1"/>
  <c r="AA347" i="1"/>
  <c r="AA324" i="1"/>
  <c r="AA316" i="1"/>
  <c r="AA308" i="1"/>
  <c r="AA300" i="1"/>
  <c r="AA292" i="1"/>
  <c r="AA284" i="1"/>
  <c r="AA276" i="1"/>
  <c r="AA268" i="1"/>
  <c r="AA260" i="1"/>
  <c r="AA252" i="1"/>
  <c r="AA244" i="1"/>
  <c r="AA236" i="1"/>
  <c r="AA228" i="1"/>
  <c r="AA220" i="1"/>
  <c r="AA212" i="1"/>
  <c r="AA204" i="1"/>
  <c r="AA196" i="1"/>
  <c r="AA188" i="1"/>
  <c r="AA180" i="1"/>
  <c r="AA172" i="1"/>
  <c r="AA164" i="1"/>
  <c r="AA156" i="1"/>
  <c r="AA148" i="1"/>
  <c r="AA140" i="1"/>
  <c r="AA132" i="1"/>
  <c r="AA124" i="1"/>
  <c r="AA116" i="1"/>
  <c r="AA108" i="1"/>
  <c r="AA100" i="1"/>
  <c r="AA92" i="1"/>
  <c r="AA84" i="1"/>
  <c r="AA76" i="1"/>
  <c r="AA68" i="1"/>
  <c r="AA60" i="1"/>
  <c r="AA52" i="1"/>
  <c r="AA44" i="1"/>
  <c r="AA36" i="1"/>
  <c r="AA28" i="1"/>
  <c r="AA20" i="1"/>
  <c r="AA12" i="1"/>
  <c r="AA4" i="1"/>
  <c r="AA506" i="1"/>
  <c r="AA474" i="1"/>
  <c r="AA442" i="1"/>
  <c r="AA410" i="1"/>
  <c r="AA378" i="1"/>
  <c r="AA346" i="1"/>
  <c r="AA323" i="1"/>
  <c r="AA315" i="1"/>
  <c r="AA307" i="1"/>
  <c r="AA299" i="1"/>
  <c r="AA291" i="1"/>
  <c r="AA283" i="1"/>
  <c r="AA275" i="1"/>
  <c r="AA267" i="1"/>
  <c r="AA259" i="1"/>
  <c r="AA251" i="1"/>
  <c r="AA243" i="1"/>
  <c r="AA235" i="1"/>
  <c r="AA227" i="1"/>
  <c r="AA219" i="1"/>
  <c r="AA211" i="1"/>
  <c r="AA203" i="1"/>
  <c r="AA195" i="1"/>
  <c r="AA187" i="1"/>
  <c r="AA179" i="1"/>
  <c r="AA171" i="1"/>
  <c r="AA163" i="1"/>
  <c r="AA155" i="1"/>
  <c r="AA147" i="1"/>
  <c r="AA139" i="1"/>
  <c r="AA131" i="1"/>
  <c r="AA123" i="1"/>
  <c r="AA115" i="1"/>
  <c r="AA107" i="1"/>
  <c r="AA99" i="1"/>
  <c r="AA91" i="1"/>
  <c r="AA83" i="1"/>
  <c r="AA75" i="1"/>
  <c r="AA67" i="1"/>
  <c r="AA59" i="1"/>
  <c r="AA51" i="1"/>
  <c r="AA43" i="1"/>
  <c r="AA35" i="1"/>
  <c r="AA27" i="1"/>
  <c r="AA19" i="1"/>
  <c r="AA11" i="1"/>
  <c r="AA3" i="1"/>
  <c r="AA531" i="1"/>
  <c r="AA499" i="1"/>
  <c r="AA467" i="1"/>
  <c r="AA435" i="1"/>
  <c r="AA403" i="1"/>
  <c r="AA371" i="1"/>
  <c r="AA339" i="1"/>
  <c r="AA322" i="1"/>
  <c r="AA314" i="1"/>
  <c r="AA306" i="1"/>
  <c r="AA298" i="1"/>
  <c r="AA290" i="1"/>
  <c r="AA282" i="1"/>
  <c r="AA274" i="1"/>
  <c r="AA266" i="1"/>
  <c r="AA258" i="1"/>
  <c r="AA250" i="1"/>
  <c r="AA242" i="1"/>
  <c r="AA234" i="1"/>
  <c r="AA226" i="1"/>
  <c r="AA218" i="1"/>
  <c r="AA210" i="1"/>
  <c r="AA202" i="1"/>
  <c r="AA194" i="1"/>
  <c r="AA186" i="1"/>
  <c r="AA178" i="1"/>
  <c r="AA170" i="1"/>
  <c r="AA162" i="1"/>
  <c r="AA154" i="1"/>
  <c r="AA146" i="1"/>
  <c r="AA138" i="1"/>
  <c r="AA130" i="1"/>
  <c r="AA122" i="1"/>
  <c r="AA114" i="1"/>
  <c r="AA106" i="1"/>
  <c r="AA98" i="1"/>
  <c r="AA90" i="1"/>
  <c r="AA82" i="1"/>
  <c r="AA74" i="1"/>
  <c r="AA66" i="1"/>
  <c r="AA58" i="1"/>
  <c r="AA50" i="1"/>
  <c r="AA42" i="1"/>
  <c r="AA34" i="1"/>
  <c r="AA26" i="1"/>
  <c r="AA18" i="1"/>
  <c r="AA10" i="1"/>
  <c r="AA530" i="1"/>
  <c r="AA498" i="1"/>
  <c r="AA466" i="1"/>
  <c r="AA434" i="1"/>
  <c r="AA402" i="1"/>
  <c r="AA370" i="1"/>
  <c r="AA338" i="1"/>
  <c r="AA321" i="1"/>
  <c r="AA313" i="1"/>
  <c r="AA305" i="1"/>
  <c r="AA297" i="1"/>
  <c r="AA289" i="1"/>
  <c r="AA281" i="1"/>
  <c r="AA273" i="1"/>
  <c r="AA265" i="1"/>
  <c r="AA257" i="1"/>
  <c r="AA249" i="1"/>
  <c r="AA241" i="1"/>
  <c r="AA233" i="1"/>
  <c r="AA225" i="1"/>
  <c r="AA217" i="1"/>
  <c r="AA209" i="1"/>
  <c r="AA201" i="1"/>
  <c r="AA193" i="1"/>
  <c r="AA185" i="1"/>
  <c r="AA177" i="1"/>
  <c r="AA169" i="1"/>
  <c r="AA161" i="1"/>
  <c r="AA153" i="1"/>
  <c r="AA145" i="1"/>
  <c r="AA137" i="1"/>
  <c r="AA129" i="1"/>
  <c r="AA121" i="1"/>
  <c r="AA113" i="1"/>
  <c r="AA105" i="1"/>
  <c r="AA97" i="1"/>
  <c r="AA89" i="1"/>
  <c r="AA81" i="1"/>
  <c r="AA73" i="1"/>
  <c r="AA65" i="1"/>
  <c r="AA57" i="1"/>
  <c r="AA49" i="1"/>
  <c r="AA41" i="1"/>
  <c r="AA33" i="1"/>
  <c r="AA25" i="1"/>
  <c r="AA17" i="1"/>
  <c r="AA9" i="1"/>
  <c r="T517" i="2"/>
  <c r="T173" i="2"/>
  <c r="X4" i="2"/>
  <c r="X12" i="2"/>
  <c r="X20" i="2"/>
  <c r="X28" i="2"/>
  <c r="X36" i="2"/>
  <c r="X44" i="2"/>
  <c r="X52" i="2"/>
  <c r="X60" i="2"/>
  <c r="X68" i="2"/>
  <c r="X76" i="2"/>
  <c r="X164" i="2"/>
  <c r="X172" i="2"/>
  <c r="X180" i="2"/>
  <c r="X188" i="2"/>
  <c r="X196" i="2"/>
  <c r="X204" i="2"/>
  <c r="X212" i="2"/>
  <c r="X220" i="2"/>
  <c r="X5" i="2"/>
  <c r="X6" i="2"/>
  <c r="X14" i="2"/>
  <c r="X22" i="2"/>
  <c r="X30" i="2"/>
  <c r="X38" i="2"/>
  <c r="X46" i="2"/>
  <c r="X54" i="2"/>
  <c r="X62" i="2"/>
  <c r="X70" i="2"/>
  <c r="X78" i="2"/>
  <c r="X7" i="2"/>
  <c r="X15" i="2"/>
  <c r="X23" i="2"/>
  <c r="X31" i="2"/>
  <c r="X39" i="2"/>
  <c r="X47" i="2"/>
  <c r="X55" i="2"/>
  <c r="X63" i="2"/>
  <c r="X71" i="2"/>
  <c r="X79" i="2"/>
  <c r="X8" i="2"/>
  <c r="X16" i="2"/>
  <c r="X24" i="2"/>
  <c r="X32" i="2"/>
  <c r="X40" i="2"/>
  <c r="X48" i="2"/>
  <c r="X56" i="2"/>
  <c r="X64" i="2"/>
  <c r="X72" i="2"/>
  <c r="X80" i="2"/>
  <c r="X9" i="2"/>
  <c r="X17" i="2"/>
  <c r="X25" i="2"/>
  <c r="X33" i="2"/>
  <c r="X41" i="2"/>
  <c r="X49" i="2"/>
  <c r="X57" i="2"/>
  <c r="X65" i="2"/>
  <c r="X73" i="2"/>
  <c r="X161" i="2"/>
  <c r="X169" i="2"/>
  <c r="X177" i="2"/>
  <c r="X185" i="2"/>
  <c r="X2" i="2"/>
  <c r="X10" i="2"/>
  <c r="X18" i="2"/>
  <c r="X26" i="2"/>
  <c r="X34" i="2"/>
  <c r="X42" i="2"/>
  <c r="X50" i="2"/>
  <c r="X58" i="2"/>
  <c r="X66" i="2"/>
  <c r="X74" i="2"/>
  <c r="X3" i="2"/>
  <c r="X11" i="2"/>
  <c r="X19" i="2"/>
  <c r="X27" i="2"/>
  <c r="X35" i="2"/>
  <c r="X43" i="2"/>
  <c r="X51" i="2"/>
  <c r="X59" i="2"/>
  <c r="X67" i="2"/>
  <c r="X75" i="2"/>
  <c r="X37" i="2"/>
  <c r="X157" i="2"/>
  <c r="X167" i="2"/>
  <c r="X178" i="2"/>
  <c r="X189" i="2"/>
  <c r="X198" i="2"/>
  <c r="X207" i="2"/>
  <c r="X216" i="2"/>
  <c r="X225" i="2"/>
  <c r="X425" i="2"/>
  <c r="X45" i="2"/>
  <c r="X158" i="2"/>
  <c r="X168" i="2"/>
  <c r="X179" i="2"/>
  <c r="X190" i="2"/>
  <c r="X199" i="2"/>
  <c r="X208" i="2"/>
  <c r="X217" i="2"/>
  <c r="X426" i="2"/>
  <c r="X53" i="2"/>
  <c r="X159" i="2"/>
  <c r="X170" i="2"/>
  <c r="X181" i="2"/>
  <c r="X191" i="2"/>
  <c r="X200" i="2"/>
  <c r="X209" i="2"/>
  <c r="X218" i="2"/>
  <c r="X427" i="2"/>
  <c r="X61" i="2"/>
  <c r="X160" i="2"/>
  <c r="X171" i="2"/>
  <c r="X182" i="2"/>
  <c r="X192" i="2"/>
  <c r="X201" i="2"/>
  <c r="X210" i="2"/>
  <c r="X219" i="2"/>
  <c r="X420" i="2"/>
  <c r="X428" i="2"/>
  <c r="X69" i="2"/>
  <c r="X162" i="2"/>
  <c r="X173" i="2"/>
  <c r="X183" i="2"/>
  <c r="X193" i="2"/>
  <c r="X202" i="2"/>
  <c r="X211" i="2"/>
  <c r="X221" i="2"/>
  <c r="X421" i="2"/>
  <c r="X429" i="2"/>
  <c r="X13" i="2"/>
  <c r="X77" i="2"/>
  <c r="X163" i="2"/>
  <c r="X174" i="2"/>
  <c r="X184" i="2"/>
  <c r="X194" i="2"/>
  <c r="X203" i="2"/>
  <c r="X213" i="2"/>
  <c r="X222" i="2"/>
  <c r="X422" i="2"/>
  <c r="X430" i="2"/>
  <c r="X21" i="2"/>
  <c r="X165" i="2"/>
  <c r="X175" i="2"/>
  <c r="X186" i="2"/>
  <c r="X195" i="2"/>
  <c r="X205" i="2"/>
  <c r="X214" i="2"/>
  <c r="X223" i="2"/>
  <c r="X423" i="2"/>
  <c r="X431" i="2"/>
  <c r="X29" i="2"/>
  <c r="X166" i="2"/>
  <c r="X176" i="2"/>
  <c r="X187" i="2"/>
  <c r="X197" i="2"/>
  <c r="X206" i="2"/>
  <c r="X215" i="2"/>
  <c r="X224" i="2"/>
  <c r="X424" i="2"/>
  <c r="X432" i="2"/>
  <c r="W7" i="2"/>
  <c r="W17" i="2"/>
  <c r="W26" i="2"/>
  <c r="W35" i="2"/>
  <c r="W44" i="2"/>
  <c r="W53" i="2"/>
  <c r="W62" i="2"/>
  <c r="W71" i="2"/>
  <c r="W81" i="2"/>
  <c r="W90" i="2"/>
  <c r="W99" i="2"/>
  <c r="W108" i="2"/>
  <c r="W117" i="2"/>
  <c r="W126" i="2"/>
  <c r="W135" i="2"/>
  <c r="W145" i="2"/>
  <c r="W154" i="2"/>
  <c r="W163" i="2"/>
  <c r="W172" i="2"/>
  <c r="W181" i="2"/>
  <c r="W190" i="2"/>
  <c r="W199" i="2"/>
  <c r="W209" i="2"/>
  <c r="W218" i="2"/>
  <c r="W291" i="2"/>
  <c r="W300" i="2"/>
  <c r="W309" i="2"/>
  <c r="W318" i="2"/>
  <c r="W327" i="2"/>
  <c r="W337" i="2"/>
  <c r="W346" i="2"/>
  <c r="W355" i="2"/>
  <c r="W364" i="2"/>
  <c r="W373" i="2"/>
  <c r="W382" i="2"/>
  <c r="W391" i="2"/>
  <c r="W401" i="2"/>
  <c r="W410" i="2"/>
  <c r="W419" i="2"/>
  <c r="W428" i="2"/>
  <c r="W438" i="2"/>
  <c r="W450" i="2"/>
  <c r="W460" i="2"/>
  <c r="W470" i="2"/>
  <c r="W482" i="2"/>
  <c r="W492" i="2"/>
  <c r="W502" i="2"/>
  <c r="W514" i="2"/>
  <c r="W524" i="2"/>
  <c r="W534" i="2"/>
  <c r="W546" i="2"/>
  <c r="W556" i="2"/>
  <c r="W566" i="2"/>
  <c r="W578" i="2"/>
  <c r="W588" i="2"/>
  <c r="W598" i="2"/>
  <c r="W610" i="2"/>
  <c r="W620" i="2"/>
  <c r="W630" i="2"/>
  <c r="W648" i="2"/>
  <c r="W640" i="2"/>
  <c r="W632" i="2"/>
  <c r="W624" i="2"/>
  <c r="W616" i="2"/>
  <c r="W608" i="2"/>
  <c r="W600" i="2"/>
  <c r="W496" i="2"/>
  <c r="W488" i="2"/>
  <c r="W480" i="2"/>
  <c r="W472" i="2"/>
  <c r="W464" i="2"/>
  <c r="W456" i="2"/>
  <c r="W448" i="2"/>
  <c r="W440" i="2"/>
  <c r="W649" i="2"/>
  <c r="W641" i="2"/>
  <c r="W633" i="2"/>
  <c r="W625" i="2"/>
  <c r="W617" i="2"/>
  <c r="W609" i="2"/>
  <c r="W601" i="2"/>
  <c r="W593" i="2"/>
  <c r="W497" i="2"/>
  <c r="W489" i="2"/>
  <c r="W481" i="2"/>
  <c r="W473" i="2"/>
  <c r="W465" i="2"/>
  <c r="W457" i="2"/>
  <c r="W449" i="2"/>
  <c r="W441" i="2"/>
  <c r="W433" i="2"/>
  <c r="W9" i="2"/>
  <c r="W18" i="2"/>
  <c r="W27" i="2"/>
  <c r="W36" i="2"/>
  <c r="W45" i="2"/>
  <c r="W54" i="2"/>
  <c r="W63" i="2"/>
  <c r="W73" i="2"/>
  <c r="W82" i="2"/>
  <c r="W91" i="2"/>
  <c r="W100" i="2"/>
  <c r="W109" i="2"/>
  <c r="W118" i="2"/>
  <c r="W127" i="2"/>
  <c r="W137" i="2"/>
  <c r="W146" i="2"/>
  <c r="W155" i="2"/>
  <c r="W164" i="2"/>
  <c r="W173" i="2"/>
  <c r="W182" i="2"/>
  <c r="W191" i="2"/>
  <c r="W201" i="2"/>
  <c r="W210" i="2"/>
  <c r="W219" i="2"/>
  <c r="W292" i="2"/>
  <c r="W301" i="2"/>
  <c r="W310" i="2"/>
  <c r="W319" i="2"/>
  <c r="W329" i="2"/>
  <c r="W338" i="2"/>
  <c r="W347" i="2"/>
  <c r="W356" i="2"/>
  <c r="W365" i="2"/>
  <c r="W374" i="2"/>
  <c r="W383" i="2"/>
  <c r="W393" i="2"/>
  <c r="W402" i="2"/>
  <c r="W411" i="2"/>
  <c r="W420" i="2"/>
  <c r="W429" i="2"/>
  <c r="W439" i="2"/>
  <c r="W451" i="2"/>
  <c r="W461" i="2"/>
  <c r="W471" i="2"/>
  <c r="W483" i="2"/>
  <c r="W493" i="2"/>
  <c r="W503" i="2"/>
  <c r="W515" i="2"/>
  <c r="W525" i="2"/>
  <c r="W535" i="2"/>
  <c r="W547" i="2"/>
  <c r="W557" i="2"/>
  <c r="W567" i="2"/>
  <c r="W579" i="2"/>
  <c r="W599" i="2"/>
  <c r="W611" i="2"/>
  <c r="W621" i="2"/>
  <c r="W631" i="2"/>
  <c r="W643" i="2"/>
  <c r="T163" i="2"/>
  <c r="X433" i="2"/>
  <c r="X441" i="2"/>
  <c r="X449" i="2"/>
  <c r="X457" i="2"/>
  <c r="X465" i="2"/>
  <c r="X473" i="2"/>
  <c r="X481" i="2"/>
  <c r="X489" i="2"/>
  <c r="X497" i="2"/>
  <c r="X593" i="2"/>
  <c r="X601" i="2"/>
  <c r="X609" i="2"/>
  <c r="X617" i="2"/>
  <c r="X625" i="2"/>
  <c r="X633" i="2"/>
  <c r="X641" i="2"/>
  <c r="X649" i="2"/>
  <c r="X434" i="2"/>
  <c r="X442" i="2"/>
  <c r="X450" i="2"/>
  <c r="X458" i="2"/>
  <c r="X466" i="2"/>
  <c r="X474" i="2"/>
  <c r="X482" i="2"/>
  <c r="X490" i="2"/>
  <c r="X498" i="2"/>
  <c r="X594" i="2"/>
  <c r="X602" i="2"/>
  <c r="X610" i="2"/>
  <c r="X618" i="2"/>
  <c r="X626" i="2"/>
  <c r="X634" i="2"/>
  <c r="X642" i="2"/>
  <c r="X435" i="2"/>
  <c r="X443" i="2"/>
  <c r="X451" i="2"/>
  <c r="X459" i="2"/>
  <c r="X467" i="2"/>
  <c r="X475" i="2"/>
  <c r="X483" i="2"/>
  <c r="X491" i="2"/>
  <c r="X595" i="2"/>
  <c r="X603" i="2"/>
  <c r="X611" i="2"/>
  <c r="X619" i="2"/>
  <c r="X627" i="2"/>
  <c r="X635" i="2"/>
  <c r="X643" i="2"/>
  <c r="X436" i="2"/>
  <c r="X444" i="2"/>
  <c r="X452" i="2"/>
  <c r="X460" i="2"/>
  <c r="X468" i="2"/>
  <c r="X476" i="2"/>
  <c r="X484" i="2"/>
  <c r="X492" i="2"/>
  <c r="X596" i="2"/>
  <c r="X604" i="2"/>
  <c r="X612" i="2"/>
  <c r="X620" i="2"/>
  <c r="X628" i="2"/>
  <c r="X636" i="2"/>
  <c r="X644" i="2"/>
  <c r="X437" i="2"/>
  <c r="X445" i="2"/>
  <c r="X453" i="2"/>
  <c r="X461" i="2"/>
  <c r="X469" i="2"/>
  <c r="X477" i="2"/>
  <c r="X485" i="2"/>
  <c r="X493" i="2"/>
  <c r="X597" i="2"/>
  <c r="X605" i="2"/>
  <c r="X613" i="2"/>
  <c r="X621" i="2"/>
  <c r="X629" i="2"/>
  <c r="X637" i="2"/>
  <c r="X645" i="2"/>
  <c r="X438" i="2"/>
  <c r="X446" i="2"/>
  <c r="X454" i="2"/>
  <c r="X462" i="2"/>
  <c r="X470" i="2"/>
  <c r="X478" i="2"/>
  <c r="X486" i="2"/>
  <c r="X494" i="2"/>
  <c r="X598" i="2"/>
  <c r="X606" i="2"/>
  <c r="X614" i="2"/>
  <c r="X622" i="2"/>
  <c r="X630" i="2"/>
  <c r="X638" i="2"/>
  <c r="X646" i="2"/>
  <c r="X439" i="2"/>
  <c r="X447" i="2"/>
  <c r="X455" i="2"/>
  <c r="X463" i="2"/>
  <c r="X471" i="2"/>
  <c r="X479" i="2"/>
  <c r="X487" i="2"/>
  <c r="X495" i="2"/>
  <c r="X599" i="2"/>
  <c r="X607" i="2"/>
  <c r="X615" i="2"/>
  <c r="X623" i="2"/>
  <c r="X631" i="2"/>
  <c r="X639" i="2"/>
  <c r="X647" i="2"/>
  <c r="X440" i="2"/>
  <c r="X448" i="2"/>
  <c r="X456" i="2"/>
  <c r="X464" i="2"/>
  <c r="X472" i="2"/>
  <c r="X480" i="2"/>
  <c r="X488" i="2"/>
  <c r="X496" i="2"/>
  <c r="X600" i="2"/>
  <c r="X608" i="2"/>
  <c r="X616" i="2"/>
  <c r="X624" i="2"/>
  <c r="X632" i="2"/>
  <c r="X640" i="2"/>
  <c r="X648" i="2"/>
  <c r="W592" i="2"/>
  <c r="W584" i="2"/>
  <c r="W576" i="2"/>
  <c r="W568" i="2"/>
  <c r="W560" i="2"/>
  <c r="W585" i="2"/>
  <c r="W577" i="2"/>
  <c r="W569" i="2"/>
  <c r="W561" i="2"/>
  <c r="W10" i="2"/>
  <c r="W19" i="2"/>
  <c r="W28" i="2"/>
  <c r="W37" i="2"/>
  <c r="W46" i="2"/>
  <c r="W55" i="2"/>
  <c r="W65" i="2"/>
  <c r="W74" i="2"/>
  <c r="W83" i="2"/>
  <c r="W92" i="2"/>
  <c r="W101" i="2"/>
  <c r="W110" i="2"/>
  <c r="W119" i="2"/>
  <c r="W129" i="2"/>
  <c r="W138" i="2"/>
  <c r="W147" i="2"/>
  <c r="W165" i="2"/>
  <c r="W174" i="2"/>
  <c r="W183" i="2"/>
  <c r="W193" i="2"/>
  <c r="W202" i="2"/>
  <c r="W211" i="2"/>
  <c r="W220" i="2"/>
  <c r="W293" i="2"/>
  <c r="W302" i="2"/>
  <c r="W311" i="2"/>
  <c r="W321" i="2"/>
  <c r="W330" i="2"/>
  <c r="W339" i="2"/>
  <c r="W348" i="2"/>
  <c r="W357" i="2"/>
  <c r="W366" i="2"/>
  <c r="W375" i="2"/>
  <c r="W385" i="2"/>
  <c r="W394" i="2"/>
  <c r="W403" i="2"/>
  <c r="W412" i="2"/>
  <c r="W421" i="2"/>
  <c r="W430" i="2"/>
  <c r="W442" i="2"/>
  <c r="W452" i="2"/>
  <c r="W462" i="2"/>
  <c r="W474" i="2"/>
  <c r="W484" i="2"/>
  <c r="W494" i="2"/>
  <c r="W506" i="2"/>
  <c r="W516" i="2"/>
  <c r="W526" i="2"/>
  <c r="W538" i="2"/>
  <c r="W548" i="2"/>
  <c r="W558" i="2"/>
  <c r="W570" i="2"/>
  <c r="W580" i="2"/>
  <c r="W590" i="2"/>
  <c r="W602" i="2"/>
  <c r="W612" i="2"/>
  <c r="W622" i="2"/>
  <c r="W634" i="2"/>
  <c r="W644" i="2"/>
  <c r="W152" i="2"/>
  <c r="W144" i="2"/>
  <c r="W136" i="2"/>
  <c r="W128" i="2"/>
  <c r="W120" i="2"/>
  <c r="W112" i="2"/>
  <c r="W104" i="2"/>
  <c r="W96" i="2"/>
  <c r="W88" i="2"/>
  <c r="X561" i="2"/>
  <c r="X569" i="2"/>
  <c r="X577" i="2"/>
  <c r="X585" i="2"/>
  <c r="X562" i="2"/>
  <c r="X570" i="2"/>
  <c r="X578" i="2"/>
  <c r="X586" i="2"/>
  <c r="X563" i="2"/>
  <c r="X571" i="2"/>
  <c r="X579" i="2"/>
  <c r="X587" i="2"/>
  <c r="X556" i="2"/>
  <c r="X564" i="2"/>
  <c r="X572" i="2"/>
  <c r="X580" i="2"/>
  <c r="X588" i="2"/>
  <c r="X557" i="2"/>
  <c r="X565" i="2"/>
  <c r="X573" i="2"/>
  <c r="X581" i="2"/>
  <c r="X589" i="2"/>
  <c r="X558" i="2"/>
  <c r="X566" i="2"/>
  <c r="X574" i="2"/>
  <c r="X582" i="2"/>
  <c r="X590" i="2"/>
  <c r="X559" i="2"/>
  <c r="X567" i="2"/>
  <c r="X575" i="2"/>
  <c r="X583" i="2"/>
  <c r="X591" i="2"/>
  <c r="X560" i="2"/>
  <c r="X568" i="2"/>
  <c r="X576" i="2"/>
  <c r="X584" i="2"/>
  <c r="X592" i="2"/>
  <c r="W2" i="2"/>
  <c r="W11" i="2"/>
  <c r="W20" i="2"/>
  <c r="W29" i="2"/>
  <c r="W38" i="2"/>
  <c r="W47" i="2"/>
  <c r="W57" i="2"/>
  <c r="W66" i="2"/>
  <c r="W75" i="2"/>
  <c r="W84" i="2"/>
  <c r="W93" i="2"/>
  <c r="W102" i="2"/>
  <c r="W111" i="2"/>
  <c r="W121" i="2"/>
  <c r="W130" i="2"/>
  <c r="W139" i="2"/>
  <c r="W148" i="2"/>
  <c r="W157" i="2"/>
  <c r="W166" i="2"/>
  <c r="W175" i="2"/>
  <c r="W185" i="2"/>
  <c r="W194" i="2"/>
  <c r="W203" i="2"/>
  <c r="W212" i="2"/>
  <c r="W221" i="2"/>
  <c r="W294" i="2"/>
  <c r="W303" i="2"/>
  <c r="W322" i="2"/>
  <c r="W331" i="2"/>
  <c r="W340" i="2"/>
  <c r="W349" i="2"/>
  <c r="W358" i="2"/>
  <c r="W367" i="2"/>
  <c r="W377" i="2"/>
  <c r="W386" i="2"/>
  <c r="W395" i="2"/>
  <c r="W404" i="2"/>
  <c r="W413" i="2"/>
  <c r="W422" i="2"/>
  <c r="W431" i="2"/>
  <c r="W443" i="2"/>
  <c r="W453" i="2"/>
  <c r="W463" i="2"/>
  <c r="W475" i="2"/>
  <c r="W485" i="2"/>
  <c r="W495" i="2"/>
  <c r="W507" i="2"/>
  <c r="W517" i="2"/>
  <c r="W527" i="2"/>
  <c r="W539" i="2"/>
  <c r="W549" i="2"/>
  <c r="W559" i="2"/>
  <c r="W571" i="2"/>
  <c r="W581" i="2"/>
  <c r="W591" i="2"/>
  <c r="W603" i="2"/>
  <c r="W613" i="2"/>
  <c r="W623" i="2"/>
  <c r="W635" i="2"/>
  <c r="W645" i="2"/>
  <c r="T601" i="2"/>
  <c r="T449" i="2"/>
  <c r="T89" i="2"/>
  <c r="X84" i="2"/>
  <c r="X92" i="2"/>
  <c r="X100" i="2"/>
  <c r="X108" i="2"/>
  <c r="X116" i="2"/>
  <c r="X124" i="2"/>
  <c r="X132" i="2"/>
  <c r="X140" i="2"/>
  <c r="X148" i="2"/>
  <c r="X156" i="2"/>
  <c r="X86" i="2"/>
  <c r="X94" i="2"/>
  <c r="X102" i="2"/>
  <c r="X110" i="2"/>
  <c r="X118" i="2"/>
  <c r="X126" i="2"/>
  <c r="X87" i="2"/>
  <c r="X95" i="2"/>
  <c r="X103" i="2"/>
  <c r="X111" i="2"/>
  <c r="X119" i="2"/>
  <c r="X127" i="2"/>
  <c r="X88" i="2"/>
  <c r="X96" i="2"/>
  <c r="X104" i="2"/>
  <c r="X112" i="2"/>
  <c r="X120" i="2"/>
  <c r="X128" i="2"/>
  <c r="X81" i="2"/>
  <c r="X89" i="2"/>
  <c r="X97" i="2"/>
  <c r="X105" i="2"/>
  <c r="X113" i="2"/>
  <c r="X121" i="2"/>
  <c r="X129" i="2"/>
  <c r="X137" i="2"/>
  <c r="X145" i="2"/>
  <c r="X153" i="2"/>
  <c r="X82" i="2"/>
  <c r="X90" i="2"/>
  <c r="X98" i="2"/>
  <c r="X106" i="2"/>
  <c r="X114" i="2"/>
  <c r="X122" i="2"/>
  <c r="X83" i="2"/>
  <c r="X91" i="2"/>
  <c r="X99" i="2"/>
  <c r="X107" i="2"/>
  <c r="X115" i="2"/>
  <c r="X123" i="2"/>
  <c r="X101" i="2"/>
  <c r="X135" i="2"/>
  <c r="X146" i="2"/>
  <c r="X109" i="2"/>
  <c r="X136" i="2"/>
  <c r="X147" i="2"/>
  <c r="X117" i="2"/>
  <c r="X138" i="2"/>
  <c r="X149" i="2"/>
  <c r="X125" i="2"/>
  <c r="X139" i="2"/>
  <c r="X150" i="2"/>
  <c r="X130" i="2"/>
  <c r="X141" i="2"/>
  <c r="X151" i="2"/>
  <c r="X131" i="2"/>
  <c r="X142" i="2"/>
  <c r="X152" i="2"/>
  <c r="X85" i="2"/>
  <c r="X133" i="2"/>
  <c r="X143" i="2"/>
  <c r="X154" i="2"/>
  <c r="X93" i="2"/>
  <c r="X134" i="2"/>
  <c r="X144" i="2"/>
  <c r="X155" i="2"/>
  <c r="W312" i="2"/>
  <c r="W304" i="2"/>
  <c r="W296" i="2"/>
  <c r="W3" i="2"/>
  <c r="W12" i="2"/>
  <c r="W21" i="2"/>
  <c r="W30" i="2"/>
  <c r="W39" i="2"/>
  <c r="W49" i="2"/>
  <c r="W58" i="2"/>
  <c r="W67" i="2"/>
  <c r="W76" i="2"/>
  <c r="W85" i="2"/>
  <c r="W94" i="2"/>
  <c r="W103" i="2"/>
  <c r="W113" i="2"/>
  <c r="W122" i="2"/>
  <c r="W131" i="2"/>
  <c r="W140" i="2"/>
  <c r="W149" i="2"/>
  <c r="W158" i="2"/>
  <c r="W167" i="2"/>
  <c r="W177" i="2"/>
  <c r="W186" i="2"/>
  <c r="W195" i="2"/>
  <c r="W204" i="2"/>
  <c r="W213" i="2"/>
  <c r="W222" i="2"/>
  <c r="W295" i="2"/>
  <c r="W305" i="2"/>
  <c r="W314" i="2"/>
  <c r="W323" i="2"/>
  <c r="W332" i="2"/>
  <c r="W341" i="2"/>
  <c r="W350" i="2"/>
  <c r="W359" i="2"/>
  <c r="W369" i="2"/>
  <c r="W378" i="2"/>
  <c r="W387" i="2"/>
  <c r="W396" i="2"/>
  <c r="W405" i="2"/>
  <c r="W414" i="2"/>
  <c r="W423" i="2"/>
  <c r="W434" i="2"/>
  <c r="W444" i="2"/>
  <c r="W454" i="2"/>
  <c r="W466" i="2"/>
  <c r="W476" i="2"/>
  <c r="W486" i="2"/>
  <c r="W498" i="2"/>
  <c r="W508" i="2"/>
  <c r="W518" i="2"/>
  <c r="W530" i="2"/>
  <c r="W540" i="2"/>
  <c r="W562" i="2"/>
  <c r="W572" i="2"/>
  <c r="W582" i="2"/>
  <c r="W594" i="2"/>
  <c r="W604" i="2"/>
  <c r="W614" i="2"/>
  <c r="W626" i="2"/>
  <c r="W636" i="2"/>
  <c r="W646" i="2"/>
  <c r="T304" i="2"/>
  <c r="X289" i="2"/>
  <c r="X297" i="2"/>
  <c r="X305" i="2"/>
  <c r="X313" i="2"/>
  <c r="X290" i="2"/>
  <c r="X298" i="2"/>
  <c r="X306" i="2"/>
  <c r="X314" i="2"/>
  <c r="X291" i="2"/>
  <c r="X299" i="2"/>
  <c r="X307" i="2"/>
  <c r="X315" i="2"/>
  <c r="X292" i="2"/>
  <c r="X300" i="2"/>
  <c r="X308" i="2"/>
  <c r="X316" i="2"/>
  <c r="X293" i="2"/>
  <c r="X301" i="2"/>
  <c r="X309" i="2"/>
  <c r="X317" i="2"/>
  <c r="X294" i="2"/>
  <c r="X302" i="2"/>
  <c r="X310" i="2"/>
  <c r="X318" i="2"/>
  <c r="X295" i="2"/>
  <c r="X303" i="2"/>
  <c r="X311" i="2"/>
  <c r="X319" i="2"/>
  <c r="X296" i="2"/>
  <c r="X304" i="2"/>
  <c r="X312" i="2"/>
  <c r="W552" i="2"/>
  <c r="W544" i="2"/>
  <c r="W536" i="2"/>
  <c r="W528" i="2"/>
  <c r="W520" i="2"/>
  <c r="W512" i="2"/>
  <c r="W504" i="2"/>
  <c r="W416" i="2"/>
  <c r="W408" i="2"/>
  <c r="W400" i="2"/>
  <c r="W392" i="2"/>
  <c r="W384" i="2"/>
  <c r="W376" i="2"/>
  <c r="W368" i="2"/>
  <c r="W360" i="2"/>
  <c r="W352" i="2"/>
  <c r="W344" i="2"/>
  <c r="W336" i="2"/>
  <c r="W328" i="2"/>
  <c r="W320" i="2"/>
  <c r="W553" i="2"/>
  <c r="W545" i="2"/>
  <c r="W537" i="2"/>
  <c r="W529" i="2"/>
  <c r="W521" i="2"/>
  <c r="W513" i="2"/>
  <c r="W505" i="2"/>
  <c r="W4" i="2"/>
  <c r="W13" i="2"/>
  <c r="W22" i="2"/>
  <c r="W31" i="2"/>
  <c r="W41" i="2"/>
  <c r="W50" i="2"/>
  <c r="W59" i="2"/>
  <c r="W68" i="2"/>
  <c r="W77" i="2"/>
  <c r="W86" i="2"/>
  <c r="W95" i="2"/>
  <c r="W105" i="2"/>
  <c r="W114" i="2"/>
  <c r="W123" i="2"/>
  <c r="W132" i="2"/>
  <c r="W141" i="2"/>
  <c r="W150" i="2"/>
  <c r="W159" i="2"/>
  <c r="W169" i="2"/>
  <c r="W178" i="2"/>
  <c r="W187" i="2"/>
  <c r="W196" i="2"/>
  <c r="W205" i="2"/>
  <c r="W214" i="2"/>
  <c r="W223" i="2"/>
  <c r="W297" i="2"/>
  <c r="W306" i="2"/>
  <c r="W315" i="2"/>
  <c r="W324" i="2"/>
  <c r="W333" i="2"/>
  <c r="W342" i="2"/>
  <c r="W351" i="2"/>
  <c r="W361" i="2"/>
  <c r="W370" i="2"/>
  <c r="W379" i="2"/>
  <c r="W388" i="2"/>
  <c r="W397" i="2"/>
  <c r="W406" i="2"/>
  <c r="W415" i="2"/>
  <c r="W425" i="2"/>
  <c r="W435" i="2"/>
  <c r="W445" i="2"/>
  <c r="W455" i="2"/>
  <c r="W467" i="2"/>
  <c r="W477" i="2"/>
  <c r="W487" i="2"/>
  <c r="W499" i="2"/>
  <c r="W509" i="2"/>
  <c r="W519" i="2"/>
  <c r="W531" i="2"/>
  <c r="W541" i="2"/>
  <c r="W551" i="2"/>
  <c r="W563" i="2"/>
  <c r="W573" i="2"/>
  <c r="W583" i="2"/>
  <c r="W595" i="2"/>
  <c r="W605" i="2"/>
  <c r="W615" i="2"/>
  <c r="W627" i="2"/>
  <c r="W637" i="2"/>
  <c r="W647" i="2"/>
  <c r="T23" i="2"/>
  <c r="X321" i="2"/>
  <c r="X329" i="2"/>
  <c r="X337" i="2"/>
  <c r="X345" i="2"/>
  <c r="X353" i="2"/>
  <c r="X361" i="2"/>
  <c r="X369" i="2"/>
  <c r="X377" i="2"/>
  <c r="X385" i="2"/>
  <c r="X393" i="2"/>
  <c r="X401" i="2"/>
  <c r="X409" i="2"/>
  <c r="X417" i="2"/>
  <c r="X505" i="2"/>
  <c r="X513" i="2"/>
  <c r="X521" i="2"/>
  <c r="X529" i="2"/>
  <c r="X537" i="2"/>
  <c r="X545" i="2"/>
  <c r="X553" i="2"/>
  <c r="X322" i="2"/>
  <c r="X330" i="2"/>
  <c r="X338" i="2"/>
  <c r="X346" i="2"/>
  <c r="X354" i="2"/>
  <c r="X362" i="2"/>
  <c r="X370" i="2"/>
  <c r="X378" i="2"/>
  <c r="X386" i="2"/>
  <c r="X394" i="2"/>
  <c r="X402" i="2"/>
  <c r="X410" i="2"/>
  <c r="X418" i="2"/>
  <c r="X506" i="2"/>
  <c r="X514" i="2"/>
  <c r="X522" i="2"/>
  <c r="X530" i="2"/>
  <c r="X538" i="2"/>
  <c r="X546" i="2"/>
  <c r="X554" i="2"/>
  <c r="X323" i="2"/>
  <c r="X331" i="2"/>
  <c r="X339" i="2"/>
  <c r="X347" i="2"/>
  <c r="X355" i="2"/>
  <c r="X363" i="2"/>
  <c r="X371" i="2"/>
  <c r="X379" i="2"/>
  <c r="X387" i="2"/>
  <c r="X395" i="2"/>
  <c r="X403" i="2"/>
  <c r="X411" i="2"/>
  <c r="X419" i="2"/>
  <c r="X499" i="2"/>
  <c r="X507" i="2"/>
  <c r="X515" i="2"/>
  <c r="X523" i="2"/>
  <c r="X531" i="2"/>
  <c r="X539" i="2"/>
  <c r="X547" i="2"/>
  <c r="X555" i="2"/>
  <c r="X324" i="2"/>
  <c r="X332" i="2"/>
  <c r="X340" i="2"/>
  <c r="X348" i="2"/>
  <c r="X356" i="2"/>
  <c r="X364" i="2"/>
  <c r="X372" i="2"/>
  <c r="X380" i="2"/>
  <c r="X388" i="2"/>
  <c r="X396" i="2"/>
  <c r="X404" i="2"/>
  <c r="X412" i="2"/>
  <c r="X500" i="2"/>
  <c r="X508" i="2"/>
  <c r="X516" i="2"/>
  <c r="X524" i="2"/>
  <c r="X532" i="2"/>
  <c r="X540" i="2"/>
  <c r="X548" i="2"/>
  <c r="X325" i="2"/>
  <c r="X333" i="2"/>
  <c r="X341" i="2"/>
  <c r="X349" i="2"/>
  <c r="X357" i="2"/>
  <c r="X365" i="2"/>
  <c r="X373" i="2"/>
  <c r="X381" i="2"/>
  <c r="X389" i="2"/>
  <c r="X397" i="2"/>
  <c r="X405" i="2"/>
  <c r="X413" i="2"/>
  <c r="X501" i="2"/>
  <c r="X509" i="2"/>
  <c r="X517" i="2"/>
  <c r="X525" i="2"/>
  <c r="X533" i="2"/>
  <c r="X541" i="2"/>
  <c r="X549" i="2"/>
  <c r="X326" i="2"/>
  <c r="X334" i="2"/>
  <c r="X342" i="2"/>
  <c r="X350" i="2"/>
  <c r="X358" i="2"/>
  <c r="X366" i="2"/>
  <c r="X374" i="2"/>
  <c r="X382" i="2"/>
  <c r="X390" i="2"/>
  <c r="X398" i="2"/>
  <c r="X406" i="2"/>
  <c r="X414" i="2"/>
  <c r="X502" i="2"/>
  <c r="X510" i="2"/>
  <c r="X518" i="2"/>
  <c r="X526" i="2"/>
  <c r="X534" i="2"/>
  <c r="X542" i="2"/>
  <c r="X550" i="2"/>
  <c r="X327" i="2"/>
  <c r="X335" i="2"/>
  <c r="X343" i="2"/>
  <c r="X351" i="2"/>
  <c r="X359" i="2"/>
  <c r="X367" i="2"/>
  <c r="X375" i="2"/>
  <c r="X383" i="2"/>
  <c r="X391" i="2"/>
  <c r="X399" i="2"/>
  <c r="X407" i="2"/>
  <c r="X415" i="2"/>
  <c r="X503" i="2"/>
  <c r="X511" i="2"/>
  <c r="X519" i="2"/>
  <c r="X527" i="2"/>
  <c r="X535" i="2"/>
  <c r="X543" i="2"/>
  <c r="X551" i="2"/>
  <c r="X320" i="2"/>
  <c r="X328" i="2"/>
  <c r="X336" i="2"/>
  <c r="X344" i="2"/>
  <c r="X352" i="2"/>
  <c r="X360" i="2"/>
  <c r="X368" i="2"/>
  <c r="X376" i="2"/>
  <c r="X384" i="2"/>
  <c r="X392" i="2"/>
  <c r="X400" i="2"/>
  <c r="X408" i="2"/>
  <c r="X416" i="2"/>
  <c r="X504" i="2"/>
  <c r="X512" i="2"/>
  <c r="X520" i="2"/>
  <c r="X528" i="2"/>
  <c r="X536" i="2"/>
  <c r="X544" i="2"/>
  <c r="X552" i="2"/>
  <c r="W5" i="2"/>
  <c r="W14" i="2"/>
  <c r="W23" i="2"/>
  <c r="W33" i="2"/>
  <c r="W42" i="2"/>
  <c r="W51" i="2"/>
  <c r="W60" i="2"/>
  <c r="W69" i="2"/>
  <c r="W78" i="2"/>
  <c r="W87" i="2"/>
  <c r="W97" i="2"/>
  <c r="W106" i="2"/>
  <c r="W115" i="2"/>
  <c r="W124" i="2"/>
  <c r="W133" i="2"/>
  <c r="W142" i="2"/>
  <c r="W151" i="2"/>
  <c r="W161" i="2"/>
  <c r="W170" i="2"/>
  <c r="W179" i="2"/>
  <c r="W188" i="2"/>
  <c r="W197" i="2"/>
  <c r="W206" i="2"/>
  <c r="W215" i="2"/>
  <c r="W225" i="2"/>
  <c r="W289" i="2"/>
  <c r="W298" i="2"/>
  <c r="W307" i="2"/>
  <c r="W316" i="2"/>
  <c r="W325" i="2"/>
  <c r="W334" i="2"/>
  <c r="W343" i="2"/>
  <c r="W353" i="2"/>
  <c r="W362" i="2"/>
  <c r="W371" i="2"/>
  <c r="W380" i="2"/>
  <c r="W389" i="2"/>
  <c r="W398" i="2"/>
  <c r="W407" i="2"/>
  <c r="W417" i="2"/>
  <c r="W436" i="2"/>
  <c r="W446" i="2"/>
  <c r="W458" i="2"/>
  <c r="W468" i="2"/>
  <c r="W478" i="2"/>
  <c r="W490" i="2"/>
  <c r="W500" i="2"/>
  <c r="W510" i="2"/>
  <c r="W522" i="2"/>
  <c r="W532" i="2"/>
  <c r="W542" i="2"/>
  <c r="W554" i="2"/>
  <c r="W564" i="2"/>
  <c r="W574" i="2"/>
  <c r="W586" i="2"/>
  <c r="W596" i="2"/>
  <c r="W606" i="2"/>
  <c r="W618" i="2"/>
  <c r="W628" i="2"/>
  <c r="W638" i="2"/>
  <c r="W432" i="2"/>
  <c r="W424" i="2"/>
  <c r="W224" i="2"/>
  <c r="W216" i="2"/>
  <c r="W208" i="2"/>
  <c r="W200" i="2"/>
  <c r="W192" i="2"/>
  <c r="W184" i="2"/>
  <c r="W176" i="2"/>
  <c r="W168" i="2"/>
  <c r="W160" i="2"/>
  <c r="W80" i="2"/>
  <c r="W72" i="2"/>
  <c r="W64" i="2"/>
  <c r="W56" i="2"/>
  <c r="W48" i="2"/>
  <c r="W40" i="2"/>
  <c r="W32" i="2"/>
  <c r="W24" i="2"/>
  <c r="W16" i="2"/>
  <c r="W8" i="2"/>
  <c r="W6" i="2"/>
  <c r="W15" i="2"/>
  <c r="W25" i="2"/>
  <c r="W34" i="2"/>
  <c r="W43" i="2"/>
  <c r="W52" i="2"/>
  <c r="W61" i="2"/>
  <c r="W70" i="2"/>
  <c r="W79" i="2"/>
  <c r="W89" i="2"/>
  <c r="W98" i="2"/>
  <c r="W107" i="2"/>
  <c r="W116" i="2"/>
  <c r="W125" i="2"/>
  <c r="W134" i="2"/>
  <c r="W143" i="2"/>
  <c r="W153" i="2"/>
  <c r="W162" i="2"/>
  <c r="W171" i="2"/>
  <c r="W180" i="2"/>
  <c r="W189" i="2"/>
  <c r="W198" i="2"/>
  <c r="W207" i="2"/>
  <c r="W217" i="2"/>
  <c r="W290" i="2"/>
  <c r="W299" i="2"/>
  <c r="W308" i="2"/>
  <c r="W317" i="2"/>
  <c r="W326" i="2"/>
  <c r="W335" i="2"/>
  <c r="W345" i="2"/>
  <c r="W354" i="2"/>
  <c r="W363" i="2"/>
  <c r="W372" i="2"/>
  <c r="W381" i="2"/>
  <c r="W390" i="2"/>
  <c r="W399" i="2"/>
  <c r="W409" i="2"/>
  <c r="W418" i="2"/>
  <c r="W427" i="2"/>
  <c r="W437" i="2"/>
  <c r="W447" i="2"/>
  <c r="W459" i="2"/>
  <c r="W469" i="2"/>
  <c r="W479" i="2"/>
  <c r="W491" i="2"/>
  <c r="W501" i="2"/>
  <c r="W511" i="2"/>
  <c r="W523" i="2"/>
  <c r="W533" i="2"/>
  <c r="W543" i="2"/>
  <c r="W555" i="2"/>
  <c r="W565" i="2"/>
  <c r="W575" i="2"/>
  <c r="W587" i="2"/>
  <c r="W597" i="2"/>
  <c r="W607" i="2"/>
  <c r="W619" i="2"/>
  <c r="W629" i="2"/>
  <c r="W639" i="2"/>
  <c r="T593" i="2"/>
  <c r="T29" i="2"/>
  <c r="T632" i="2"/>
  <c r="T592" i="2"/>
  <c r="T484" i="2"/>
  <c r="T312" i="2"/>
  <c r="T308" i="2"/>
  <c r="T252" i="2"/>
  <c r="T240" i="2"/>
  <c r="T204" i="2"/>
  <c r="T172" i="2"/>
  <c r="T168" i="2"/>
  <c r="T164" i="2"/>
  <c r="T160" i="2"/>
  <c r="T136" i="2"/>
  <c r="T120" i="2"/>
  <c r="T32" i="2"/>
  <c r="T24" i="2"/>
  <c r="T643" i="2"/>
  <c r="T135" i="2"/>
  <c r="T99" i="2"/>
  <c r="T39" i="2"/>
  <c r="T610" i="2"/>
  <c r="T598" i="2"/>
  <c r="T586" i="2"/>
  <c r="T542" i="2"/>
  <c r="T498" i="2"/>
  <c r="T394" i="2"/>
  <c r="T246" i="2"/>
  <c r="T226" i="2"/>
  <c r="T222" i="2"/>
  <c r="T170" i="2"/>
  <c r="T98" i="2"/>
  <c r="T90" i="2"/>
  <c r="T62" i="2"/>
  <c r="T38" i="2"/>
  <c r="T30" i="2"/>
  <c r="R13" i="2"/>
  <c r="R12" i="2"/>
  <c r="AD2" i="1"/>
  <c r="C4" i="5"/>
  <c r="F5" i="5"/>
  <c r="F4" i="5"/>
  <c r="E4" i="5"/>
  <c r="E5" i="5"/>
  <c r="R8" i="2"/>
  <c r="A12" i="5"/>
  <c r="R5" i="2"/>
  <c r="R6" i="2"/>
  <c r="B4" i="5"/>
  <c r="R14" i="2"/>
  <c r="U14" i="2"/>
  <c r="R10" i="2"/>
  <c r="U10" i="2"/>
  <c r="R9" i="2"/>
  <c r="U9" i="2"/>
  <c r="R7" i="2"/>
  <c r="U7" i="2"/>
  <c r="R4" i="2"/>
  <c r="U4" i="2"/>
  <c r="R2" i="2"/>
  <c r="B12" i="5"/>
  <c r="U2" i="2"/>
  <c r="T648" i="2"/>
  <c r="T649" i="2"/>
  <c r="T647" i="2"/>
  <c r="T644" i="2"/>
  <c r="T645" i="2"/>
  <c r="T641" i="2"/>
  <c r="T642" i="2"/>
  <c r="T638" i="2"/>
  <c r="T636" i="2"/>
  <c r="T633" i="2"/>
  <c r="T634" i="2"/>
  <c r="T630" i="2"/>
  <c r="T631" i="2"/>
  <c r="T627" i="2"/>
  <c r="T628" i="2"/>
  <c r="T626" i="2"/>
  <c r="T625" i="2"/>
  <c r="T624" i="2"/>
  <c r="T622" i="2"/>
  <c r="T623" i="2"/>
  <c r="T621" i="2"/>
  <c r="T620" i="2"/>
  <c r="T619" i="2"/>
  <c r="T617" i="2"/>
  <c r="T618" i="2"/>
  <c r="T616" i="2"/>
  <c r="T608" i="2"/>
  <c r="T609" i="2"/>
  <c r="T602" i="2"/>
  <c r="T603" i="2"/>
  <c r="T600" i="2"/>
  <c r="T596" i="2"/>
  <c r="T597" i="2"/>
  <c r="T590" i="2"/>
  <c r="T591" i="2"/>
  <c r="T584" i="2"/>
  <c r="T583" i="2"/>
  <c r="T580" i="2"/>
  <c r="T581" i="2"/>
  <c r="T577" i="2"/>
  <c r="T576" i="2"/>
  <c r="T575" i="2"/>
  <c r="T574" i="2"/>
  <c r="T573" i="2"/>
  <c r="T572" i="2"/>
  <c r="T569" i="2"/>
  <c r="T570" i="2"/>
  <c r="T568" i="2"/>
  <c r="T567" i="2"/>
  <c r="T565" i="2"/>
  <c r="T566" i="2"/>
  <c r="T564" i="2"/>
  <c r="T560" i="2"/>
  <c r="T561" i="2"/>
  <c r="T559" i="2"/>
  <c r="T558" i="2"/>
  <c r="T556" i="2"/>
  <c r="T557" i="2"/>
  <c r="T555" i="2"/>
  <c r="T553" i="2"/>
  <c r="T554" i="2"/>
  <c r="T551" i="2"/>
  <c r="T549" i="2"/>
  <c r="T550" i="2"/>
  <c r="T548" i="2"/>
  <c r="T547" i="2"/>
  <c r="T545" i="2"/>
  <c r="T546" i="2"/>
  <c r="T544" i="2"/>
  <c r="T543" i="2"/>
  <c r="T540" i="2"/>
  <c r="T541" i="2"/>
  <c r="T538" i="2"/>
  <c r="T536" i="2"/>
  <c r="T535" i="2"/>
  <c r="T534" i="2"/>
  <c r="T532" i="2"/>
  <c r="T533" i="2"/>
  <c r="T531" i="2"/>
  <c r="T530" i="2"/>
  <c r="T529" i="2"/>
  <c r="T528" i="2"/>
  <c r="T527" i="2"/>
  <c r="T525" i="2"/>
  <c r="T526" i="2"/>
  <c r="T524" i="2"/>
  <c r="T522" i="2"/>
  <c r="T520" i="2"/>
  <c r="T518" i="2"/>
  <c r="T519" i="2"/>
  <c r="T516" i="2"/>
  <c r="T515" i="2"/>
  <c r="T514" i="2"/>
  <c r="T513" i="2"/>
  <c r="T512" i="2"/>
  <c r="T511" i="2"/>
  <c r="T508" i="2"/>
  <c r="T509" i="2"/>
  <c r="T505" i="2"/>
  <c r="T504" i="2"/>
  <c r="T503" i="2"/>
  <c r="T501" i="2"/>
  <c r="T499" i="2"/>
  <c r="T496" i="2"/>
  <c r="T497" i="2"/>
  <c r="T494" i="2"/>
  <c r="T493" i="2"/>
  <c r="T492" i="2"/>
  <c r="T491" i="2"/>
  <c r="T489" i="2"/>
  <c r="T488" i="2"/>
  <c r="T486" i="2"/>
  <c r="T487" i="2"/>
  <c r="T483" i="2"/>
  <c r="T482" i="2"/>
  <c r="T479" i="2"/>
  <c r="T477" i="2"/>
  <c r="T478" i="2"/>
  <c r="T476" i="2"/>
  <c r="T475" i="2"/>
  <c r="T474" i="2"/>
  <c r="T472" i="2"/>
  <c r="T473" i="2"/>
  <c r="T471" i="2"/>
  <c r="T469" i="2"/>
  <c r="T470" i="2"/>
  <c r="T468" i="2"/>
  <c r="T464" i="2"/>
  <c r="T465" i="2"/>
  <c r="T463" i="2"/>
  <c r="T462" i="2"/>
  <c r="T461" i="2"/>
  <c r="T459" i="2"/>
  <c r="T460" i="2"/>
  <c r="T458" i="2"/>
  <c r="T457" i="2"/>
  <c r="T456" i="2"/>
  <c r="T455" i="2"/>
  <c r="T453" i="2"/>
  <c r="T451" i="2"/>
  <c r="T452" i="2"/>
  <c r="T448" i="2"/>
  <c r="T444" i="2"/>
  <c r="T445" i="2"/>
  <c r="T443" i="2"/>
  <c r="T442" i="2"/>
  <c r="T440" i="2"/>
  <c r="T441" i="2"/>
  <c r="T439" i="2"/>
  <c r="T436" i="2"/>
  <c r="T437" i="2"/>
  <c r="T434" i="2"/>
  <c r="T435" i="2"/>
  <c r="T432" i="2"/>
  <c r="T433" i="2"/>
  <c r="T431" i="2"/>
  <c r="T429" i="2"/>
  <c r="T430" i="2"/>
  <c r="T426" i="2"/>
  <c r="T427" i="2"/>
  <c r="T428" i="2"/>
  <c r="T424" i="2"/>
  <c r="T423" i="2"/>
  <c r="T425" i="2"/>
  <c r="T422" i="2"/>
  <c r="T421" i="2"/>
  <c r="T418" i="2"/>
  <c r="T419" i="2"/>
  <c r="T420" i="2"/>
  <c r="T417" i="2"/>
  <c r="T415" i="2"/>
  <c r="T414" i="2"/>
  <c r="T411" i="2"/>
  <c r="T412" i="2"/>
  <c r="T409" i="2"/>
  <c r="T408" i="2"/>
  <c r="T407" i="2"/>
  <c r="T406" i="2"/>
  <c r="T405" i="2"/>
  <c r="T403" i="2"/>
  <c r="T404" i="2"/>
  <c r="T402" i="2"/>
  <c r="T401" i="2"/>
  <c r="T400" i="2"/>
  <c r="T399" i="2"/>
  <c r="T398" i="2"/>
  <c r="T397" i="2"/>
  <c r="T396" i="2"/>
  <c r="T395" i="2"/>
  <c r="T392" i="2"/>
  <c r="T393" i="2"/>
  <c r="T390" i="2"/>
  <c r="T388" i="2"/>
  <c r="T385" i="2"/>
  <c r="T386" i="2"/>
  <c r="T384" i="2"/>
  <c r="T383" i="2"/>
  <c r="T381" i="2"/>
  <c r="T382" i="2"/>
  <c r="T380" i="2"/>
  <c r="T379" i="2"/>
  <c r="T378" i="2"/>
  <c r="T377" i="2"/>
  <c r="T376" i="2"/>
  <c r="T375" i="2"/>
  <c r="T374" i="2"/>
  <c r="T373" i="2"/>
  <c r="T372" i="2"/>
  <c r="T370" i="2"/>
  <c r="T371" i="2"/>
  <c r="T369" i="2"/>
  <c r="T368" i="2"/>
  <c r="T367" i="2"/>
  <c r="T365" i="2"/>
  <c r="T366" i="2"/>
  <c r="T364" i="2"/>
  <c r="T363" i="2"/>
  <c r="T362" i="2"/>
  <c r="T360" i="2"/>
  <c r="T361" i="2"/>
  <c r="T359" i="2"/>
  <c r="T357" i="2"/>
  <c r="T355" i="2"/>
  <c r="T353" i="2"/>
  <c r="T354" i="2"/>
  <c r="T352" i="2"/>
  <c r="T351" i="2"/>
  <c r="T347" i="2"/>
  <c r="T348" i="2"/>
  <c r="T344" i="2"/>
  <c r="T343" i="2"/>
  <c r="T339" i="2"/>
  <c r="T340" i="2"/>
  <c r="T336" i="2"/>
  <c r="T335" i="2"/>
  <c r="T332" i="2"/>
  <c r="T333" i="2"/>
  <c r="T328" i="2"/>
  <c r="T327" i="2"/>
  <c r="T323" i="2"/>
  <c r="T324" i="2"/>
  <c r="T320" i="2"/>
  <c r="T319" i="2"/>
  <c r="T317" i="2"/>
  <c r="T315" i="2"/>
  <c r="T316" i="2"/>
  <c r="T310" i="2"/>
  <c r="T311" i="2"/>
  <c r="T305" i="2"/>
  <c r="T306" i="2"/>
  <c r="T302" i="2"/>
  <c r="T303" i="2"/>
  <c r="T301" i="2"/>
  <c r="T300" i="2"/>
  <c r="T299" i="2"/>
  <c r="T298" i="2"/>
  <c r="T297" i="2"/>
  <c r="T296" i="2"/>
  <c r="T295" i="2"/>
  <c r="T294" i="2"/>
  <c r="T293" i="2"/>
  <c r="T292" i="2"/>
  <c r="T291" i="2"/>
  <c r="T289" i="2"/>
  <c r="T290" i="2"/>
  <c r="T288" i="2"/>
  <c r="T287" i="2"/>
  <c r="T286" i="2"/>
  <c r="T285" i="2"/>
  <c r="T284" i="2"/>
  <c r="T283" i="2"/>
  <c r="T282" i="2"/>
  <c r="T280" i="2"/>
  <c r="T281" i="2"/>
  <c r="T279" i="2"/>
  <c r="T278" i="2"/>
  <c r="T277" i="2"/>
  <c r="T276" i="2"/>
  <c r="T275" i="2"/>
  <c r="T274" i="2"/>
  <c r="T272" i="2"/>
  <c r="T273" i="2"/>
  <c r="T271" i="2"/>
  <c r="T270" i="2"/>
  <c r="T269" i="2"/>
  <c r="T268" i="2"/>
  <c r="T267" i="2"/>
  <c r="T265" i="2"/>
  <c r="T266" i="2"/>
  <c r="T264" i="2"/>
  <c r="T263" i="2"/>
  <c r="T262" i="2"/>
  <c r="T260" i="2"/>
  <c r="T261" i="2"/>
  <c r="T259" i="2"/>
  <c r="T258" i="2"/>
  <c r="T257" i="2"/>
  <c r="T256" i="2"/>
  <c r="T255" i="2"/>
  <c r="T250" i="2"/>
  <c r="T251" i="2"/>
  <c r="T247" i="2"/>
  <c r="T248" i="2"/>
  <c r="T241" i="2"/>
  <c r="T242" i="2"/>
  <c r="T239" i="2"/>
  <c r="T237" i="2"/>
  <c r="T238" i="2"/>
  <c r="T236" i="2"/>
  <c r="T235" i="2"/>
  <c r="T234" i="2"/>
  <c r="T233" i="2"/>
  <c r="T232" i="2"/>
  <c r="T231" i="2"/>
  <c r="T228" i="2"/>
  <c r="T229" i="2"/>
  <c r="T227" i="2"/>
  <c r="T225" i="2"/>
  <c r="T223" i="2"/>
  <c r="T224" i="2"/>
  <c r="T221" i="2"/>
  <c r="T220" i="2"/>
  <c r="T218" i="2"/>
  <c r="T217" i="2"/>
  <c r="T216" i="2"/>
  <c r="T215" i="2"/>
  <c r="T212" i="2"/>
  <c r="T213" i="2"/>
  <c r="T211" i="2"/>
  <c r="T210" i="2"/>
  <c r="T209" i="2"/>
  <c r="T207" i="2"/>
  <c r="T208" i="2"/>
  <c r="T206" i="2"/>
  <c r="T202" i="2"/>
  <c r="T203" i="2"/>
  <c r="T196" i="2"/>
  <c r="T197" i="2"/>
  <c r="T191" i="2"/>
  <c r="T192" i="2"/>
  <c r="T186" i="2"/>
  <c r="T185" i="2"/>
  <c r="T180" i="2"/>
  <c r="T181" i="2"/>
  <c r="T178" i="2"/>
  <c r="T176" i="2"/>
  <c r="T177" i="2"/>
  <c r="T166" i="2"/>
  <c r="T167" i="2"/>
  <c r="T157" i="2"/>
  <c r="T158" i="2"/>
  <c r="T155" i="2"/>
  <c r="T156" i="2"/>
  <c r="T152" i="2"/>
  <c r="T153" i="2"/>
  <c r="T149" i="2"/>
  <c r="T150" i="2"/>
  <c r="T147" i="2"/>
  <c r="T148" i="2"/>
  <c r="T133" i="2"/>
  <c r="T134" i="2"/>
  <c r="T126" i="2"/>
  <c r="T127" i="2"/>
  <c r="T118" i="2"/>
  <c r="T119" i="2"/>
  <c r="T114" i="2"/>
  <c r="T113" i="2"/>
  <c r="T110" i="2"/>
  <c r="T111" i="2"/>
  <c r="T108" i="2"/>
  <c r="T109" i="2"/>
  <c r="T106" i="2"/>
  <c r="T107" i="2"/>
  <c r="T104" i="2"/>
  <c r="T105" i="2"/>
  <c r="T101" i="2"/>
  <c r="T102" i="2"/>
  <c r="T103" i="2"/>
  <c r="T93" i="2"/>
  <c r="T94" i="2"/>
  <c r="T83" i="2"/>
  <c r="T84" i="2"/>
  <c r="T85" i="2"/>
  <c r="T86" i="2"/>
  <c r="T87" i="2"/>
  <c r="T88" i="2"/>
  <c r="T79" i="2"/>
  <c r="T80" i="2"/>
  <c r="T74" i="2"/>
  <c r="T73" i="2"/>
  <c r="T67" i="2"/>
  <c r="T68" i="2"/>
  <c r="T58" i="2"/>
  <c r="T59" i="2"/>
  <c r="T48" i="2"/>
  <c r="T49" i="2"/>
  <c r="T42" i="2"/>
  <c r="T41" i="2"/>
  <c r="T34" i="2"/>
  <c r="T33" i="2"/>
  <c r="T26" i="2"/>
  <c r="T27" i="2"/>
  <c r="T20" i="2"/>
  <c r="T21" i="2"/>
  <c r="T14" i="2"/>
  <c r="T15" i="2"/>
  <c r="T10" i="2"/>
  <c r="T11" i="2"/>
  <c r="D12" i="5"/>
  <c r="G12" i="5"/>
  <c r="J12" i="5"/>
  <c r="R3" i="2"/>
  <c r="R11" i="2"/>
  <c r="H12" i="5"/>
  <c r="I12" i="5"/>
  <c r="A4" i="5"/>
  <c r="D4" i="5"/>
  <c r="D5" i="5"/>
  <c r="C12" i="5"/>
  <c r="E12" i="5"/>
  <c r="F12" i="5"/>
</calcChain>
</file>

<file path=xl/comments1.xml><?xml version="1.0" encoding="utf-8"?>
<comments xmlns="http://schemas.openxmlformats.org/spreadsheetml/2006/main">
  <authors>
    <author>Author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Formula
=DATE(RIGHT(R2;4);IF(LEFT(R2;3)="JAN";1;IF(LEFT(R2;3)="FEB";2;IF(LEFT(R2;3)="MAR";3;IF(LEFT(R2;3)="APR";4;IF(LEFT(R2;3)="MAY";5;IF(LEFT(R2;3)="JUN";6;IF(LEFT(R2;3)="JUL";7;IF(LEFT(R2;3)="AUG";8;IF(LEFT(R2;3)="SEP";9;IF(LEFT(R2;3)="OCT";10;IF(LEFT(R2;3)="NOV";11;12)))))))))));MID(R2;5;2))</t>
        </r>
      </text>
    </comment>
  </commentList>
</comments>
</file>

<file path=xl/sharedStrings.xml><?xml version="1.0" encoding="utf-8"?>
<sst xmlns="http://schemas.openxmlformats.org/spreadsheetml/2006/main" count="67355" uniqueCount="2275">
  <si>
    <t>Cluster</t>
  </si>
  <si>
    <t>Purchasing point ID</t>
  </si>
  <si>
    <t>Harvest</t>
  </si>
  <si>
    <t>Date of delivery</t>
  </si>
  <si>
    <t>Delivery ID</t>
  </si>
  <si>
    <t>AAA ID</t>
  </si>
  <si>
    <t>Quantity delivered</t>
  </si>
  <si>
    <t>Unit</t>
  </si>
  <si>
    <t>Coffee specie</t>
  </si>
  <si>
    <t>Coffee state</t>
  </si>
  <si>
    <t>Physical Quality (optional)</t>
  </si>
  <si>
    <t>Cup Quality (optional)</t>
  </si>
  <si>
    <t>Date of purchase</t>
  </si>
  <si>
    <t>Nespresso total</t>
  </si>
  <si>
    <t xml:space="preserve"> Price currency</t>
  </si>
  <si>
    <t>Exchange rate VS USD</t>
  </si>
  <si>
    <t>AAA Premium (total)</t>
  </si>
  <si>
    <t>BEN premium (total)</t>
  </si>
  <si>
    <t>Premiums currency</t>
  </si>
  <si>
    <t>Exchange rate for premiums VS USD</t>
  </si>
  <si>
    <t>Quantity Processed</t>
  </si>
  <si>
    <t>Processing Batch ID</t>
  </si>
  <si>
    <t>Processing Batch Date</t>
  </si>
  <si>
    <t>Dilution rate</t>
  </si>
  <si>
    <t>Quantity allocated</t>
  </si>
  <si>
    <r>
      <rPr>
        <b/>
        <i/>
        <sz val="8"/>
        <color rgb="FF725846"/>
        <rFont val="Calibri Light"/>
        <family val="2"/>
        <scheme val="major"/>
      </rPr>
      <t>Nespresso</t>
    </r>
    <r>
      <rPr>
        <b/>
        <sz val="8"/>
        <color rgb="FF725846"/>
        <rFont val="Calibri Light"/>
        <family val="2"/>
        <scheme val="major"/>
      </rPr>
      <t xml:space="preserve"> Batch Number</t>
    </r>
  </si>
  <si>
    <t>Container coffee weight (kg)</t>
  </si>
  <si>
    <t>Shipping date</t>
  </si>
  <si>
    <t>Container ICO number</t>
  </si>
  <si>
    <t>SAP Contract number</t>
  </si>
  <si>
    <t>Payment reception date</t>
  </si>
  <si>
    <t>Exchange rate</t>
  </si>
  <si>
    <t>Country</t>
  </si>
  <si>
    <t>Date 2</t>
  </si>
  <si>
    <t>LOW</t>
  </si>
  <si>
    <t>CLOSE</t>
  </si>
  <si>
    <t>Month</t>
  </si>
  <si>
    <t>Day</t>
  </si>
  <si>
    <t>Year</t>
  </si>
  <si>
    <t>Date</t>
  </si>
  <si>
    <t>COP</t>
  </si>
  <si>
    <t>CRC</t>
  </si>
  <si>
    <t>GTQ</t>
  </si>
  <si>
    <t>MXN</t>
  </si>
  <si>
    <t>PEN</t>
  </si>
  <si>
    <t>BRL</t>
  </si>
  <si>
    <t>IDR</t>
  </si>
  <si>
    <t>INR</t>
  </si>
  <si>
    <t>CODE</t>
  </si>
  <si>
    <t>coffeeSpecie</t>
  </si>
  <si>
    <t>coffeeState</t>
  </si>
  <si>
    <t>Conversion</t>
  </si>
  <si>
    <t>Arabica</t>
  </si>
  <si>
    <t>Fresh Cherry</t>
  </si>
  <si>
    <t>Dry Cherry</t>
  </si>
  <si>
    <t>Wet Pachment</t>
  </si>
  <si>
    <t>Parchment</t>
  </si>
  <si>
    <t>Robusta</t>
  </si>
  <si>
    <t>RobustaParchment</t>
  </si>
  <si>
    <t>Quintal</t>
  </si>
  <si>
    <t>Cajuela</t>
  </si>
  <si>
    <t>kg</t>
  </si>
  <si>
    <t>Volume delivered (kg)</t>
  </si>
  <si>
    <t>% volume used</t>
  </si>
  <si>
    <t>Qt. Delivery * Base Price</t>
  </si>
  <si>
    <t>menor que Nespresso Total?</t>
  </si>
  <si>
    <t>Prêmio AAA por saca</t>
  </si>
  <si>
    <t>Prêmio BEN por saca</t>
  </si>
  <si>
    <t>Stockler Cerrado</t>
  </si>
  <si>
    <t>BRAZIL</t>
  </si>
  <si>
    <t>% container filling</t>
  </si>
  <si>
    <t>Total volume used</t>
  </si>
  <si>
    <t>% of delivery used in total</t>
  </si>
  <si>
    <t>Volume available (kg)</t>
  </si>
  <si>
    <t>% of delivery allocated in total</t>
  </si>
  <si>
    <t>% of delivery for this container</t>
  </si>
  <si>
    <t>Volume contracted (kg)</t>
  </si>
  <si>
    <t>AAA Premium received (USD)</t>
  </si>
  <si>
    <t>BEN Premium received (USD)</t>
  </si>
  <si>
    <t>DILUTION RATE2</t>
  </si>
  <si>
    <t/>
  </si>
  <si>
    <t>Supplier</t>
  </si>
  <si>
    <t>NN Batch Number</t>
  </si>
  <si>
    <t>Contracted container weight</t>
  </si>
  <si>
    <t>Actual container weight</t>
  </si>
  <si>
    <t>AAA Premium</t>
  </si>
  <si>
    <t>RA Premium</t>
  </si>
  <si>
    <t>FLO Premium</t>
  </si>
  <si>
    <t>FT Premium</t>
  </si>
  <si>
    <t>Date of shipment</t>
  </si>
  <si>
    <t>Date of arrival in Europe</t>
  </si>
  <si>
    <t>Warehouse</t>
  </si>
  <si>
    <t>Released status</t>
  </si>
  <si>
    <t>Date of release</t>
  </si>
  <si>
    <t>Reason for rejection</t>
  </si>
  <si>
    <t>AAA</t>
  </si>
  <si>
    <t>COUNTRY</t>
  </si>
  <si>
    <t>AAA  CLUSTER</t>
  </si>
  <si>
    <t>ARABICA / ROBUSTA</t>
  </si>
  <si>
    <t>QUALITY</t>
  </si>
  <si>
    <t>DELIVERY 
MONTH</t>
  </si>
  <si>
    <t>SUPPLIER 
REF</t>
  </si>
  <si>
    <t>COMMENTS</t>
  </si>
  <si>
    <t>ICO</t>
  </si>
  <si>
    <t>AAA Premium USD</t>
  </si>
  <si>
    <t>RA Premium USD</t>
  </si>
  <si>
    <t>Traced?</t>
  </si>
  <si>
    <t>Nicchio Sobrinho</t>
  </si>
  <si>
    <t>AVENCHES</t>
  </si>
  <si>
    <t>Consumed</t>
  </si>
  <si>
    <t>EFICO</t>
  </si>
  <si>
    <t>Nichio</t>
  </si>
  <si>
    <t>P2732</t>
  </si>
  <si>
    <t>Cooxupé</t>
  </si>
  <si>
    <t>0</t>
  </si>
  <si>
    <t>Cerrado</t>
  </si>
  <si>
    <t>O0497</t>
  </si>
  <si>
    <t>Bulk</t>
  </si>
  <si>
    <t>Wolthers &amp; Ass. Vale Da Grama</t>
  </si>
  <si>
    <t>MOLENBERG</t>
  </si>
  <si>
    <t>BLASER</t>
  </si>
  <si>
    <t>Vale da Grama</t>
  </si>
  <si>
    <t>Wolthers &amp; Ass. Alto Paranaiba</t>
  </si>
  <si>
    <t>Alto Paranaiba</t>
  </si>
  <si>
    <t>amended bags to bulk</t>
  </si>
  <si>
    <t>ROTHFOS</t>
  </si>
  <si>
    <t>O0496</t>
  </si>
  <si>
    <t>exceptional release granulo</t>
  </si>
  <si>
    <t>EISA - Sul do Espírito Santo</t>
  </si>
  <si>
    <t>ECOM</t>
  </si>
  <si>
    <t>Sul do Espiritu Santo</t>
  </si>
  <si>
    <t>Stockler Conilon</t>
  </si>
  <si>
    <t>ROMONT</t>
  </si>
  <si>
    <t>ROTHFOS INTERCAFE ZUG</t>
  </si>
  <si>
    <t>Stockler Conillon</t>
  </si>
  <si>
    <t>MM-2088599</t>
  </si>
  <si>
    <t>EISA Carmo de Minas</t>
  </si>
  <si>
    <t>SEABRIDGE</t>
  </si>
  <si>
    <t>Carmo de Minas</t>
  </si>
  <si>
    <t>2nd sample 01.11 / RE pending 24.11</t>
  </si>
  <si>
    <t>O0770</t>
  </si>
  <si>
    <t>O4125</t>
  </si>
  <si>
    <t>O0761</t>
  </si>
  <si>
    <t>ex 4615401202 ex 1218634</t>
  </si>
  <si>
    <t>2nd sample 01.11</t>
  </si>
  <si>
    <t>in MBN stocks 20.10.17</t>
  </si>
  <si>
    <t>MM-2088598</t>
  </si>
  <si>
    <t>O0495</t>
  </si>
  <si>
    <t xml:space="preserve">2nd sample </t>
  </si>
  <si>
    <t>2nd sample 12.10</t>
  </si>
  <si>
    <t>O0771</t>
  </si>
  <si>
    <t>O4124</t>
  </si>
  <si>
    <t>P2730</t>
  </si>
  <si>
    <t>O0764</t>
  </si>
  <si>
    <t>Remplacement contrat 4615417120, batch 1234043</t>
  </si>
  <si>
    <t>2nd sample</t>
  </si>
  <si>
    <t>P2499</t>
  </si>
  <si>
    <t>Replacing C0-5491 for which 2 lots were insurance case</t>
  </si>
  <si>
    <t>MM-2088597</t>
  </si>
  <si>
    <t>Changed to bulk due to Rothfos mistake. From 15 to 14 lots.</t>
  </si>
  <si>
    <t>decaf</t>
  </si>
  <si>
    <t>Decaf</t>
  </si>
  <si>
    <t>Ex: 4615415501 from bags to bulk. Amended to 20'545 kgs per lot and 14 lots</t>
  </si>
  <si>
    <t>N2690</t>
  </si>
  <si>
    <t>ex 4615405187 ex batch 1192166</t>
  </si>
  <si>
    <t>P2498</t>
  </si>
  <si>
    <t>Replacing C0-5489 for which 2 lots were insurance case</t>
  </si>
  <si>
    <t>exceptional release 06.10.17</t>
  </si>
  <si>
    <t>O0766</t>
  </si>
  <si>
    <t>amended from bulk to bags</t>
  </si>
  <si>
    <t>MM-2088594</t>
  </si>
  <si>
    <t>ex 1150465 / sap 4615398423</t>
  </si>
  <si>
    <t>O0494</t>
  </si>
  <si>
    <t xml:space="preserve">Bulk </t>
  </si>
  <si>
    <t>N2693</t>
  </si>
  <si>
    <t>ex 1204876 / ex SAP 4615407198</t>
  </si>
  <si>
    <t>O4123</t>
  </si>
  <si>
    <t>P2729</t>
  </si>
  <si>
    <t>Ex: 4615417073 from bags to bulk. Amended to 20'545 kgs and 14 lots / was in consumed but does not appear in gerona xls file, checking 22.2.18</t>
  </si>
  <si>
    <t>Ex: 4615408499 from bags to bulk. Amended to 20'545 kgs lot and 14 lots</t>
  </si>
  <si>
    <t>01-5114949</t>
  </si>
  <si>
    <t>O0765</t>
  </si>
  <si>
    <t>Amended back to bags 28.03.2017, back to bulk due to mistake from Efico</t>
  </si>
  <si>
    <t>Ex: 4615417073 from bags to bulk. Amended to 20'545 kgs and 14 lots</t>
  </si>
  <si>
    <t>01-5115542</t>
  </si>
  <si>
    <t>O0769</t>
  </si>
  <si>
    <t>O0493</t>
  </si>
  <si>
    <t>Amended from bags to bulk</t>
  </si>
  <si>
    <t>O0768</t>
  </si>
  <si>
    <t>Ex: 4615405055 from bags to bulk</t>
  </si>
  <si>
    <t>2nd sample to be asked (not found the warehouse yet)</t>
  </si>
  <si>
    <t>O1962</t>
  </si>
  <si>
    <t>N2689</t>
  </si>
  <si>
    <t>ex 4615407681 ex 1188979</t>
  </si>
  <si>
    <t>Replacement of contract 4615411739, batch 1190647</t>
  </si>
  <si>
    <t>01-5114948</t>
  </si>
  <si>
    <t>bulk</t>
  </si>
  <si>
    <t>P0142</t>
  </si>
  <si>
    <t>O0490</t>
  </si>
  <si>
    <t xml:space="preserve">amendment from bulk to bags 2nd sample </t>
  </si>
  <si>
    <t>moved to January delivery</t>
  </si>
  <si>
    <t>O0492</t>
  </si>
  <si>
    <t>Ex: 4615412308 from bags to bulk. Amended to 20'545 kgs and 14 lots</t>
  </si>
  <si>
    <t>O1960</t>
  </si>
  <si>
    <t>01-5114947</t>
  </si>
  <si>
    <t>O0767</t>
  </si>
  <si>
    <t>Amended to bulk 17.02.2017</t>
  </si>
  <si>
    <t>O1961</t>
  </si>
  <si>
    <t>amendment from bulk to bags</t>
  </si>
  <si>
    <t>N2695</t>
  </si>
  <si>
    <t>O0491</t>
  </si>
  <si>
    <t>original contract in Bulk</t>
  </si>
  <si>
    <t>O0763</t>
  </si>
  <si>
    <t>Ex: 4615417043 change from bags to Bulk</t>
  </si>
  <si>
    <t>amendment 15.12.2017 shipment in bulk</t>
  </si>
  <si>
    <t>Ex: 4615394136 from bags to bulk, bulk amended to 20'545kgs and 14 lots</t>
  </si>
  <si>
    <t>01-5114946</t>
  </si>
  <si>
    <t>amendment 14.12.2017 shipment in bulk</t>
  </si>
  <si>
    <t>ex SAP 4615362933 / batch 1155671 / No de C0- changé par B car a double / rejected bean size 2nd sample, waiting for ex. release as it is screen 16/17</t>
  </si>
  <si>
    <t>O0762</t>
  </si>
  <si>
    <t>Rejected in AV (bean defect) 16.03 /E.R. 20.04</t>
  </si>
  <si>
    <t>1213062A</t>
  </si>
  <si>
    <t>O1958</t>
  </si>
  <si>
    <t>Delivery period amended to Jan 17 / Rejected in AV (bean defect) 16.03 /E.R. 20.04</t>
  </si>
  <si>
    <t>1213061A</t>
  </si>
  <si>
    <t>Delivery period amended to Jan 17 / Rejected in AV (bean defect) 16.03 /E.R. from Jenny Pantouli 05.04</t>
  </si>
  <si>
    <t>01-5114945</t>
  </si>
  <si>
    <t>O0489</t>
  </si>
  <si>
    <t>2 lots moisis cas d'assurance supprimés</t>
  </si>
  <si>
    <t>Ex: 4615402220</t>
  </si>
  <si>
    <t>ex SAP 4615362933/ batch 115670 / No de C0- changé par B car a double</t>
  </si>
  <si>
    <t>N2684</t>
  </si>
  <si>
    <t>ex 4615386951</t>
  </si>
  <si>
    <t>01-5114944</t>
  </si>
  <si>
    <t>(Ex 4615362437, batch 1138236 rejected 2x WH)</t>
  </si>
  <si>
    <t>ex 4615392386</t>
  </si>
  <si>
    <t>O0486</t>
  </si>
  <si>
    <t>2 lots moisis cas d'assurance supprimés reste 18 lots au lieu de 20</t>
  </si>
  <si>
    <t>ex 4615383468 / 2nd sample</t>
  </si>
  <si>
    <t>ex 4615383468</t>
  </si>
  <si>
    <t>N2692</t>
  </si>
  <si>
    <t>ex 4615390889</t>
  </si>
  <si>
    <t>N2694</t>
  </si>
  <si>
    <t>ex 4615392386, Bulk, amended 25.10.2016, OK SAP</t>
  </si>
  <si>
    <t>ex 4615385542</t>
  </si>
  <si>
    <t>O0487</t>
  </si>
  <si>
    <t>1213071A</t>
  </si>
  <si>
    <t>O1959</t>
  </si>
  <si>
    <t>Delivery period amended to Jan 17</t>
  </si>
  <si>
    <t>O0488</t>
  </si>
  <si>
    <t>Bulk, amended 25.10.2016, ok SAP</t>
  </si>
  <si>
    <t>O1957</t>
  </si>
  <si>
    <t>accepted at 3rd trial on Feb 2</t>
  </si>
  <si>
    <t>ex batch 1141340</t>
  </si>
  <si>
    <t xml:space="preserve">diff. Amended (ex 4615362350 1152532 rejected) </t>
  </si>
  <si>
    <t>2nd sample 30.01</t>
  </si>
  <si>
    <t>idem batch 1218431/embrouille,  passé de Santo à Bourbon, voir mail du 15.12. de Florent / 461540679Z sur GCQC</t>
  </si>
  <si>
    <t>idem batch 1186846 /embrouille,  passé de Santo à Bourbon, voir mail du 15.12. de Florent / 461540679Z sur GCQC 2nd sample 26.01</t>
  </si>
  <si>
    <t>ex 4615371208 batch 1167714</t>
  </si>
  <si>
    <t>(ex 4615364247 1138737 rejected orbe)</t>
  </si>
  <si>
    <t>Contract amended: shipping period from Feb 16 to Dec 16</t>
  </si>
  <si>
    <t>Delivery period amended from Jan 17 to Dec 16. Changed done 20.10.2016</t>
  </si>
  <si>
    <t>ex 4615364476 / ex batch 1128440 /new contract 2027182</t>
  </si>
  <si>
    <t>diff. Amended</t>
  </si>
  <si>
    <t xml:space="preserve">( 2nd rejection ex SAP 4615425959/ batch 1171017) (ex 4615364031 / batch 1127972) </t>
  </si>
  <si>
    <t>Delivery period changed from Feb 17 to Dec 16, changed done 20.10.2016</t>
  </si>
  <si>
    <t xml:space="preserve">Delivery period changed from Feb 17 to Dec 16, changed done 20.10.2016 </t>
  </si>
  <si>
    <t>N2691</t>
  </si>
  <si>
    <t>ex 4615391861</t>
  </si>
  <si>
    <t>01-5444943</t>
  </si>
  <si>
    <t>idem batch 1218428 / embrouille,  passé de Santo à Bourbon, voir mail du 15.12. de Florent</t>
  </si>
  <si>
    <t>O1956</t>
  </si>
  <si>
    <t>idem batch 1186845 / embrouille,  passé de Santo à Bourbon, voir mail du 15.12. de Florent</t>
  </si>
  <si>
    <t>ex 4615393046</t>
  </si>
  <si>
    <t>ex 4615393045</t>
  </si>
  <si>
    <t>01-5114941</t>
  </si>
  <si>
    <t>DECAF</t>
  </si>
  <si>
    <t>Ex: 4615415697</t>
  </si>
  <si>
    <t>Stockler Mogyana</t>
  </si>
  <si>
    <t>Mogiana</t>
  </si>
  <si>
    <t>01-5115122</t>
  </si>
  <si>
    <t>01-5444942</t>
  </si>
  <si>
    <t>Rejected</t>
  </si>
  <si>
    <t>mouldy in container, rej 26.04.17 / salvage to be engaged 16.06.2017 / not on repl file</t>
  </si>
  <si>
    <t>Bulk / delivered in AV in Aug 2017 but doesn't appear in consumed, mixed with batch 1250774 09.03</t>
  </si>
  <si>
    <t>rejected plomb remplacé / salvaged done</t>
  </si>
  <si>
    <t>Pending</t>
  </si>
  <si>
    <t>ex 4615400271 batch 1258309 / +1cts/lb due to repl in bags i.o. bulk</t>
  </si>
  <si>
    <t>2nd sample requested 15.12.2017</t>
  </si>
  <si>
    <t>O0772</t>
  </si>
  <si>
    <t>O4126</t>
  </si>
  <si>
    <t>P2731</t>
  </si>
  <si>
    <t>ex 4615387212, 1207748</t>
  </si>
  <si>
    <t>Alto Cafezal</t>
  </si>
  <si>
    <t>2029400 (ex 2018449)</t>
  </si>
  <si>
    <t>(ex 4615366915, 1190368 rejected) repl</t>
  </si>
  <si>
    <t>ex 4615412698 ex batch 1213869</t>
  </si>
  <si>
    <t>ex 4615412698 ex batch 1213866</t>
  </si>
  <si>
    <t>ex 4615410567 ex batch 1225784</t>
  </si>
  <si>
    <t>Received</t>
  </si>
  <si>
    <t>Amended to bulk 8.09.2017</t>
  </si>
  <si>
    <t>17070146/P3481</t>
  </si>
  <si>
    <t xml:space="preserve">amended from 20 lots to 18 on 12.09.2017 </t>
  </si>
  <si>
    <t>amended from 20 lots to 18 on 12.09.2017</t>
  </si>
  <si>
    <t>1302842 / 1302844</t>
  </si>
  <si>
    <t xml:space="preserve">amended from 20 lots to 18 on 12.09.2017 / we receieved 20 lots !!! </t>
  </si>
  <si>
    <t>1302843 / 1302846</t>
  </si>
  <si>
    <t>MM-2088604</t>
  </si>
  <si>
    <t>MM-2088600</t>
  </si>
  <si>
    <t>Contract decreased from 3 to 2 lots due to Conillon wash out</t>
  </si>
  <si>
    <t>ex 4615366530 / ex batch 1174328</t>
  </si>
  <si>
    <t>2029402 (ex 2018448)</t>
  </si>
  <si>
    <t>(ex 4615366530 1174329 rejected) repl</t>
  </si>
  <si>
    <t>ex 4615344620 ex 1242764</t>
  </si>
  <si>
    <t>bags to bulk</t>
  </si>
  <si>
    <t>ex 1312472 ex 4615461663</t>
  </si>
  <si>
    <t>MM-2088715</t>
  </si>
  <si>
    <t>MM-2088705</t>
  </si>
  <si>
    <t>MM-2088605</t>
  </si>
  <si>
    <t>MM-2088601</t>
  </si>
  <si>
    <t>ex 4615379747 ex 1257947</t>
  </si>
  <si>
    <t>amended to bulk</t>
  </si>
  <si>
    <t>2nd sample 10.04.</t>
  </si>
  <si>
    <t>2nd sample 21.03</t>
  </si>
  <si>
    <t>P4247</t>
  </si>
  <si>
    <t>MM-2088716</t>
  </si>
  <si>
    <t>MM-2088706</t>
  </si>
  <si>
    <t>MM-2088606</t>
  </si>
  <si>
    <t>ex 4615474603 ex 1297462 / delivery month extended to Feb 18 as no PO is still created 01.02.18</t>
  </si>
  <si>
    <t>MM-2088989</t>
  </si>
  <si>
    <t>1 lot rejected and washed out 26.03.2018</t>
  </si>
  <si>
    <t xml:space="preserve">rejected 19.02 for DNA </t>
  </si>
  <si>
    <t>exceptional release</t>
  </si>
  <si>
    <t>bags to bulk 11 lots to 10 lots</t>
  </si>
  <si>
    <t>rejected in avenches 03.04</t>
  </si>
  <si>
    <t>P4253</t>
  </si>
  <si>
    <t>2nd sample 10.04</t>
  </si>
  <si>
    <t>MM-2088618</t>
  </si>
  <si>
    <t>amended 10 lots bags to 9 lots bulk</t>
  </si>
  <si>
    <t>MM-2088717</t>
  </si>
  <si>
    <t>MM-2088707</t>
  </si>
  <si>
    <t>MM-2088607</t>
  </si>
  <si>
    <t>MM-2088990</t>
  </si>
  <si>
    <t>rejected for DNA adulteration 28.02</t>
  </si>
  <si>
    <t>amended to bulk (qty doesn't change)</t>
  </si>
  <si>
    <t>P4254</t>
  </si>
  <si>
    <t>MM-2088619</t>
  </si>
  <si>
    <t>MM-2088718</t>
  </si>
  <si>
    <t>MM-2088708</t>
  </si>
  <si>
    <t>MM-2088608</t>
  </si>
  <si>
    <t>MM-2089425</t>
  </si>
  <si>
    <t>MM-2088991</t>
  </si>
  <si>
    <t>12 splitted in 2x6</t>
  </si>
  <si>
    <t>P4255</t>
  </si>
  <si>
    <t>P4778</t>
  </si>
  <si>
    <t>MM-2088719</t>
  </si>
  <si>
    <t>MM-2088709</t>
  </si>
  <si>
    <t>MM-2088609</t>
  </si>
  <si>
    <t>P4256</t>
  </si>
  <si>
    <t>P4779</t>
  </si>
  <si>
    <t>MM-2088720</t>
  </si>
  <si>
    <t>MM-2088710</t>
  </si>
  <si>
    <t>MM-2088610</t>
  </si>
  <si>
    <t>bagsto bulk</t>
  </si>
  <si>
    <t>P4257</t>
  </si>
  <si>
    <t>P4780</t>
  </si>
  <si>
    <t>MM-2088721</t>
  </si>
  <si>
    <t>MM-2088711</t>
  </si>
  <si>
    <t>MM-2088611</t>
  </si>
  <si>
    <t>amended 12 to 6 bags</t>
  </si>
  <si>
    <t>P4258</t>
  </si>
  <si>
    <t>P4781</t>
  </si>
  <si>
    <t>MM-2088722</t>
  </si>
  <si>
    <t>MM-2088712</t>
  </si>
  <si>
    <t>MM-2088612</t>
  </si>
  <si>
    <t>P4259</t>
  </si>
  <si>
    <t>P4782</t>
  </si>
  <si>
    <t>P4784</t>
  </si>
  <si>
    <t>MM-2088624</t>
  </si>
  <si>
    <t>MM-2088723</t>
  </si>
  <si>
    <t>MM-2088713</t>
  </si>
  <si>
    <t>MM-2088613</t>
  </si>
  <si>
    <t>Veloso cafe do cerrado</t>
  </si>
  <si>
    <t>P4783</t>
  </si>
  <si>
    <t>P4785</t>
  </si>
  <si>
    <t>MM-2088724</t>
  </si>
  <si>
    <t>MM-2088714</t>
  </si>
  <si>
    <t>MM-2088614</t>
  </si>
  <si>
    <t>2026895/2030837</t>
  </si>
  <si>
    <t>ex 1311995 ex 4615474886</t>
  </si>
  <si>
    <t>ex 1257949, ex4615379747</t>
  </si>
  <si>
    <t>(ex 4615379747 1257951 rejected in Orbe 20.112017)</t>
  </si>
  <si>
    <t>ex 1312466 ex 4615461663</t>
  </si>
  <si>
    <t>ex 1322511 ex 4615468033</t>
  </si>
  <si>
    <t>Veloso Coffee Agrocomercial</t>
  </si>
  <si>
    <t>Veloso Café do Cerrado</t>
  </si>
  <si>
    <t>Bourbon</t>
  </si>
  <si>
    <t>Expocaccer</t>
  </si>
  <si>
    <t>VKC17120293</t>
  </si>
  <si>
    <t>VKC18040165</t>
  </si>
  <si>
    <t>VKC18040175</t>
  </si>
  <si>
    <t>MM-2089258</t>
  </si>
  <si>
    <t>VKC17120294</t>
  </si>
  <si>
    <t>VKC18040166</t>
  </si>
  <si>
    <t>VCK18040176</t>
  </si>
  <si>
    <t>MM-2089259</t>
  </si>
  <si>
    <t>VKC17120295</t>
  </si>
  <si>
    <t>VKC18040167</t>
  </si>
  <si>
    <t>VCK18040177</t>
  </si>
  <si>
    <t>MM-2089260</t>
  </si>
  <si>
    <t>VKC18040168</t>
  </si>
  <si>
    <t>VCK18040178</t>
  </si>
  <si>
    <t>VKC18040169</t>
  </si>
  <si>
    <t>VCK18040179</t>
  </si>
  <si>
    <t>VKC18040170</t>
  </si>
  <si>
    <t>VCK18040180</t>
  </si>
  <si>
    <t>VKC18040171</t>
  </si>
  <si>
    <t>VCK18040181</t>
  </si>
  <si>
    <t>VKC18040172</t>
  </si>
  <si>
    <t>VCK18040182</t>
  </si>
  <si>
    <t>VKC18040173</t>
  </si>
  <si>
    <t>VCK18040183</t>
  </si>
  <si>
    <t>VKC18040174</t>
  </si>
  <si>
    <t>VCK18040184</t>
  </si>
  <si>
    <t>SUPPLIER2</t>
  </si>
  <si>
    <t>DELIVERY</t>
  </si>
  <si>
    <t>ALOCATION</t>
  </si>
  <si>
    <t>Delivery ID repetido</t>
  </si>
  <si>
    <t>ALLOCATION - Quantity Processed por Delivery  ID</t>
  </si>
  <si>
    <t>Rótulos de Linha</t>
  </si>
  <si>
    <t>Total Geral</t>
  </si>
  <si>
    <t>Soma de Quantity Processed</t>
  </si>
  <si>
    <t>DELIVERY - Quantity Processed por Delivery  ID</t>
  </si>
  <si>
    <t>Soma de Quantity delivered</t>
  </si>
  <si>
    <t>ALLOCATION - comparação de DILLUTION RATEs</t>
  </si>
  <si>
    <t>Qtty Allocated &lt; Qtty Processed?</t>
  </si>
  <si>
    <t>Soma de Quantity allocated</t>
  </si>
  <si>
    <t>Média de Container coffee weight (kg)</t>
  </si>
  <si>
    <t>ALLOCATION - comparação de QUANTITY ALLOCATED com CONTAINER COFFEE WEIGHT</t>
  </si>
  <si>
    <t>ARÁBICA</t>
  </si>
  <si>
    <t>781 / 757 / 754 / 715 / 713 / 712 / 690</t>
  </si>
  <si>
    <t>781 / 757 / 755 / 754 / 690</t>
  </si>
  <si>
    <t>754 / 757 / 781</t>
  </si>
  <si>
    <t>757 / 781</t>
  </si>
  <si>
    <t>754 / 757 / 781 / 753 / 790</t>
  </si>
  <si>
    <t>715 / 757 / 781 /  790 / 793</t>
  </si>
  <si>
    <t>796 / 807</t>
  </si>
  <si>
    <t>781 / 793 / 795 / 803</t>
  </si>
  <si>
    <t>Valor Nespresso Total por Kg (em US$)</t>
  </si>
  <si>
    <t>Valor Prêmio Nespresso AAA por Kg (em US$)</t>
  </si>
  <si>
    <t>Valor Prêmio Nespresso AAA por saca (em US$)</t>
  </si>
  <si>
    <t>Valor Prêmio Nespresso AAA por saca (em Libras)</t>
  </si>
  <si>
    <t>Valor Prêmio Nespresso BEN por Kg (em US$)</t>
  </si>
  <si>
    <t>Valor Prêmio Nespresso BEN por saca (em US$)</t>
  </si>
  <si>
    <t>Valor Prêmio Nespresso BEN por saca (em Libras)</t>
  </si>
  <si>
    <t>Café Verde</t>
  </si>
  <si>
    <t>Not traced</t>
  </si>
  <si>
    <t>Pending approval</t>
  </si>
  <si>
    <t>Traced</t>
  </si>
  <si>
    <t>Purchasing point Name</t>
  </si>
  <si>
    <t>Purchasing point Location</t>
  </si>
  <si>
    <t>Invoice reference</t>
  </si>
  <si>
    <t>Base price (Unidad)</t>
  </si>
  <si>
    <t>Purchased as certified?</t>
  </si>
  <si>
    <t>Valor efetivamente pago pela Nespresso</t>
  </si>
  <si>
    <t>Valor pago pelo Cluster</t>
  </si>
  <si>
    <t>Diferença</t>
  </si>
  <si>
    <t>Brasil</t>
  </si>
  <si>
    <t>Patrocinio</t>
  </si>
  <si>
    <t>2016/2017</t>
  </si>
  <si>
    <t>E03464-01</t>
  </si>
  <si>
    <t>CER008</t>
  </si>
  <si>
    <t>Kg</t>
  </si>
  <si>
    <t>RA</t>
  </si>
  <si>
    <t>E03526-00</t>
  </si>
  <si>
    <t>CER031</t>
  </si>
  <si>
    <t>E03546-00</t>
  </si>
  <si>
    <t>CER003</t>
  </si>
  <si>
    <t>E03546-03</t>
  </si>
  <si>
    <t>E03601-00</t>
  </si>
  <si>
    <t>CER025</t>
  </si>
  <si>
    <t>E03601-01</t>
  </si>
  <si>
    <t>E03601-03</t>
  </si>
  <si>
    <t xml:space="preserve"> </t>
  </si>
  <si>
    <t>E03601-04</t>
  </si>
  <si>
    <t>E03604-00</t>
  </si>
  <si>
    <t>E03604-01</t>
  </si>
  <si>
    <t>E03606-00</t>
  </si>
  <si>
    <t>E03619-03</t>
  </si>
  <si>
    <t>E03619-06</t>
  </si>
  <si>
    <t>E03620-00</t>
  </si>
  <si>
    <t>E03731-00</t>
  </si>
  <si>
    <t>CER242</t>
  </si>
  <si>
    <t>E03732-00</t>
  </si>
  <si>
    <t>E03734-00</t>
  </si>
  <si>
    <t>E03736-00</t>
  </si>
  <si>
    <t>E03738-00</t>
  </si>
  <si>
    <t>E03742-00</t>
  </si>
  <si>
    <t>E03743-00</t>
  </si>
  <si>
    <t>E03750-00</t>
  </si>
  <si>
    <t>E03750-02</t>
  </si>
  <si>
    <t>E03751-03</t>
  </si>
  <si>
    <t>E03753-01</t>
  </si>
  <si>
    <t>E03762-00</t>
  </si>
  <si>
    <t>E03778-00</t>
  </si>
  <si>
    <t>E03782-04</t>
  </si>
  <si>
    <t>E03783-02</t>
  </si>
  <si>
    <t>E03787-00</t>
  </si>
  <si>
    <t>E03800-00</t>
  </si>
  <si>
    <t>CER135</t>
  </si>
  <si>
    <t>E03911-00</t>
  </si>
  <si>
    <t>CER016</t>
  </si>
  <si>
    <t>E04274-00</t>
  </si>
  <si>
    <t>E04278-00</t>
  </si>
  <si>
    <t>E04294-00</t>
  </si>
  <si>
    <t>E04294-01</t>
  </si>
  <si>
    <t>E04294-02</t>
  </si>
  <si>
    <t>E04294-03</t>
  </si>
  <si>
    <t>E04294-04</t>
  </si>
  <si>
    <t>E04295-02</t>
  </si>
  <si>
    <t>E04295-03</t>
  </si>
  <si>
    <t>E04295-04</t>
  </si>
  <si>
    <t>E04296-00</t>
  </si>
  <si>
    <t>E04296-01</t>
  </si>
  <si>
    <t>E04296-02</t>
  </si>
  <si>
    <t>E04296-03</t>
  </si>
  <si>
    <t>E04296-04</t>
  </si>
  <si>
    <t>E04323-00</t>
  </si>
  <si>
    <t>E04348-01</t>
  </si>
  <si>
    <t>CER103</t>
  </si>
  <si>
    <t>E04352-00</t>
  </si>
  <si>
    <t>E04352-04</t>
  </si>
  <si>
    <t>E04352-05</t>
  </si>
  <si>
    <t>E04352-06</t>
  </si>
  <si>
    <t>E04353-01</t>
  </si>
  <si>
    <t>E04353-02</t>
  </si>
  <si>
    <t>E04354-00</t>
  </si>
  <si>
    <t>E04355-00</t>
  </si>
  <si>
    <t>E04355-01</t>
  </si>
  <si>
    <t>E04355-02</t>
  </si>
  <si>
    <t>E04355-03</t>
  </si>
  <si>
    <t>2017/2018</t>
  </si>
  <si>
    <t>E05380-04</t>
  </si>
  <si>
    <t>2018/2019</t>
  </si>
  <si>
    <t>E05623-00</t>
  </si>
  <si>
    <t>CER367</t>
  </si>
  <si>
    <t>E05631-00</t>
  </si>
  <si>
    <t>E05634-00</t>
  </si>
  <si>
    <t>CER378</t>
  </si>
  <si>
    <t>E05666-00</t>
  </si>
  <si>
    <t>CER065</t>
  </si>
  <si>
    <t>E05703-00</t>
  </si>
  <si>
    <t>CER089</t>
  </si>
  <si>
    <t>E05703-01</t>
  </si>
  <si>
    <t>E05703-02</t>
  </si>
  <si>
    <t>E05714-01</t>
  </si>
  <si>
    <t>CER044</t>
  </si>
  <si>
    <t>E05726-00</t>
  </si>
  <si>
    <t>CER100</t>
  </si>
  <si>
    <t>E05731-00</t>
  </si>
  <si>
    <t>CER333</t>
  </si>
  <si>
    <t>E05755-00</t>
  </si>
  <si>
    <t>CER270</t>
  </si>
  <si>
    <t>E05775-00</t>
  </si>
  <si>
    <t>E05775-02</t>
  </si>
  <si>
    <t>E05775-05</t>
  </si>
  <si>
    <t>E05780-00</t>
  </si>
  <si>
    <t>E05839-00</t>
  </si>
  <si>
    <t>CER165</t>
  </si>
  <si>
    <t>E05968-00</t>
  </si>
  <si>
    <t>CER153</t>
  </si>
  <si>
    <t>E05972-00</t>
  </si>
  <si>
    <t>CER243</t>
  </si>
  <si>
    <t>E05986-00</t>
  </si>
  <si>
    <t>E05999-00</t>
  </si>
  <si>
    <t>CER090</t>
  </si>
  <si>
    <t>E06000-00</t>
  </si>
  <si>
    <t>E06000-01</t>
  </si>
  <si>
    <t>E06019-00</t>
  </si>
  <si>
    <t>E06019-01</t>
  </si>
  <si>
    <t>E06019-02</t>
  </si>
  <si>
    <t>E06036-00</t>
  </si>
  <si>
    <t>E06036-01</t>
  </si>
  <si>
    <t>E06036-02</t>
  </si>
  <si>
    <t>E06115-01</t>
  </si>
  <si>
    <t>CER163</t>
  </si>
  <si>
    <t>E06116-01</t>
  </si>
  <si>
    <t>E06155-00</t>
  </si>
  <si>
    <t>CER274</t>
  </si>
  <si>
    <t>E06157-01</t>
  </si>
  <si>
    <t>CER084</t>
  </si>
  <si>
    <t>E06158-04</t>
  </si>
  <si>
    <t>E06161-00</t>
  </si>
  <si>
    <t>E06162-00</t>
  </si>
  <si>
    <t>E06162-01</t>
  </si>
  <si>
    <t>E06260-00</t>
  </si>
  <si>
    <t>E06260-01</t>
  </si>
  <si>
    <t>GT00005185/1</t>
  </si>
  <si>
    <t>M00351-00</t>
  </si>
  <si>
    <t>CER175</t>
  </si>
  <si>
    <t>M00385-01</t>
  </si>
  <si>
    <t>M00460-00</t>
  </si>
  <si>
    <t>M00461-01</t>
  </si>
  <si>
    <t>M00576-01</t>
  </si>
  <si>
    <t>MS06798-00</t>
  </si>
  <si>
    <t>MS06801-00</t>
  </si>
  <si>
    <t>MS06805-00</t>
  </si>
  <si>
    <t>MS06806-00</t>
  </si>
  <si>
    <t>MS06807-00</t>
  </si>
  <si>
    <t>MS06808-00</t>
  </si>
  <si>
    <t>MS06809-00</t>
  </si>
  <si>
    <t>MS06810-00</t>
  </si>
  <si>
    <t>MS06811-00</t>
  </si>
  <si>
    <t>MS06822-00</t>
  </si>
  <si>
    <t>MS06823-00</t>
  </si>
  <si>
    <t>MS06824-00</t>
  </si>
  <si>
    <t>MS06825-00</t>
  </si>
  <si>
    <t>MS06826-00</t>
  </si>
  <si>
    <t>MS06827-00</t>
  </si>
  <si>
    <t>MS06828-00</t>
  </si>
  <si>
    <t>MS06832-00</t>
  </si>
  <si>
    <t>MS06833-00</t>
  </si>
  <si>
    <t>MS06835-00</t>
  </si>
  <si>
    <t>MS06837-00</t>
  </si>
  <si>
    <t>MS06841-00</t>
  </si>
  <si>
    <t>MS06843-00</t>
  </si>
  <si>
    <t>MS06844-00</t>
  </si>
  <si>
    <t>MS06847-00</t>
  </si>
  <si>
    <t>MS06848-00</t>
  </si>
  <si>
    <t>MS06849-00</t>
  </si>
  <si>
    <t>MS06850-00</t>
  </si>
  <si>
    <t>MS06858-00</t>
  </si>
  <si>
    <t>V59860-00</t>
  </si>
  <si>
    <t>V59923-00</t>
  </si>
  <si>
    <t>CER010</t>
  </si>
  <si>
    <t>V59925-00</t>
  </si>
  <si>
    <t>V59930-00</t>
  </si>
  <si>
    <t>V59931-00</t>
  </si>
  <si>
    <t>V59933-00</t>
  </si>
  <si>
    <t>V59934-00</t>
  </si>
  <si>
    <t>V59937-00</t>
  </si>
  <si>
    <t>V59962-00</t>
  </si>
  <si>
    <t>V59972-00</t>
  </si>
  <si>
    <t>V59973-00</t>
  </si>
  <si>
    <t>V59974-00</t>
  </si>
  <si>
    <t>V59976-00</t>
  </si>
  <si>
    <t>V59982-00</t>
  </si>
  <si>
    <t>V59983-00</t>
  </si>
  <si>
    <t>V59984-00</t>
  </si>
  <si>
    <t>V59988-00</t>
  </si>
  <si>
    <t>Santos</t>
  </si>
  <si>
    <t>V59994-00</t>
  </si>
  <si>
    <t>V59995-00</t>
  </si>
  <si>
    <t>V60003-00</t>
  </si>
  <si>
    <t>V60004-00</t>
  </si>
  <si>
    <t>V60006-00</t>
  </si>
  <si>
    <t>V60007-00</t>
  </si>
  <si>
    <t>V60008-00</t>
  </si>
  <si>
    <t>V60010-00</t>
  </si>
  <si>
    <t>V60012-00</t>
  </si>
  <si>
    <t>V60015-00</t>
  </si>
  <si>
    <t>V60034-00</t>
  </si>
  <si>
    <t>V60047-00</t>
  </si>
  <si>
    <t>V60048-00</t>
  </si>
  <si>
    <t>V60059-00</t>
  </si>
  <si>
    <t>V60060-00</t>
  </si>
  <si>
    <t>V60080-00</t>
  </si>
  <si>
    <t>V60094-00</t>
  </si>
  <si>
    <t>CER022</t>
  </si>
  <si>
    <t>V60103-00</t>
  </si>
  <si>
    <t>V60104-00</t>
  </si>
  <si>
    <t>V60113-00</t>
  </si>
  <si>
    <t>CER012</t>
  </si>
  <si>
    <t>V60114-00</t>
  </si>
  <si>
    <t>V60114-01</t>
  </si>
  <si>
    <t>V60115-00</t>
  </si>
  <si>
    <t>V60122-00</t>
  </si>
  <si>
    <t>V60125-01</t>
  </si>
  <si>
    <t>V60131-00</t>
  </si>
  <si>
    <t>V60133-00</t>
  </si>
  <si>
    <t>V60134-00</t>
  </si>
  <si>
    <t>V60140-00</t>
  </si>
  <si>
    <t>V60142-00</t>
  </si>
  <si>
    <t>V60254-02</t>
  </si>
  <si>
    <t>V60255-00</t>
  </si>
  <si>
    <t>V60255-01</t>
  </si>
  <si>
    <t>V60260-00</t>
  </si>
  <si>
    <t>V60262-00</t>
  </si>
  <si>
    <t>V60264-00</t>
  </si>
  <si>
    <t>V60266-01</t>
  </si>
  <si>
    <t>V60269-02</t>
  </si>
  <si>
    <t>V60273-00</t>
  </si>
  <si>
    <t>V60316-00</t>
  </si>
  <si>
    <t>V60317-03</t>
  </si>
  <si>
    <t>V60318-00</t>
  </si>
  <si>
    <t>V60318-01</t>
  </si>
  <si>
    <t>V60320-00</t>
  </si>
  <si>
    <t>V60320-01</t>
  </si>
  <si>
    <t>V60326-00</t>
  </si>
  <si>
    <t>CER081</t>
  </si>
  <si>
    <t>V60328-02</t>
  </si>
  <si>
    <t>V60330-01</t>
  </si>
  <si>
    <t>V60332-00</t>
  </si>
  <si>
    <t>V60336-00</t>
  </si>
  <si>
    <t>V60336-01</t>
  </si>
  <si>
    <t>V60355-00</t>
  </si>
  <si>
    <t>CER045</t>
  </si>
  <si>
    <t>V60358-00</t>
  </si>
  <si>
    <t>V60360-00</t>
  </si>
  <si>
    <t>V60361-00</t>
  </si>
  <si>
    <t>CER001</t>
  </si>
  <si>
    <t>V60362-00</t>
  </si>
  <si>
    <t>V60364-00</t>
  </si>
  <si>
    <t>V60365-00</t>
  </si>
  <si>
    <t>V60372-00</t>
  </si>
  <si>
    <t>V60373-00</t>
  </si>
  <si>
    <t>V60374-00</t>
  </si>
  <si>
    <t>V60375-00</t>
  </si>
  <si>
    <t>V60377-00</t>
  </si>
  <si>
    <t>V60378-00</t>
  </si>
  <si>
    <t>V60379-00</t>
  </si>
  <si>
    <t>V60379-01</t>
  </si>
  <si>
    <t>V60380-00</t>
  </si>
  <si>
    <t>V60383-00</t>
  </si>
  <si>
    <t>V60391-00</t>
  </si>
  <si>
    <t>V60393-00</t>
  </si>
  <si>
    <t>V60413-00</t>
  </si>
  <si>
    <t>V60414-00</t>
  </si>
  <si>
    <t>V60415-00</t>
  </si>
  <si>
    <t>V60416-00</t>
  </si>
  <si>
    <t>V60417-00</t>
  </si>
  <si>
    <t>V60418-00</t>
  </si>
  <si>
    <t>V60424-00</t>
  </si>
  <si>
    <t>V60447-00</t>
  </si>
  <si>
    <t>V60455-00</t>
  </si>
  <si>
    <t>V60472-00</t>
  </si>
  <si>
    <t>V60533-00</t>
  </si>
  <si>
    <t>CER226</t>
  </si>
  <si>
    <t>V60535-00</t>
  </si>
  <si>
    <t>V60573-00</t>
  </si>
  <si>
    <t>V60574-00</t>
  </si>
  <si>
    <t>CER006</t>
  </si>
  <si>
    <t>V60603-00</t>
  </si>
  <si>
    <t>V60633-02</t>
  </si>
  <si>
    <t>CER289</t>
  </si>
  <si>
    <t>V60637-01</t>
  </si>
  <si>
    <t>V60638-00</t>
  </si>
  <si>
    <t>V60639-01</t>
  </si>
  <si>
    <t>CER136</t>
  </si>
  <si>
    <t>V60640-00</t>
  </si>
  <si>
    <t>V60641-02</t>
  </si>
  <si>
    <t>V60642-00</t>
  </si>
  <si>
    <t>V60643-00</t>
  </si>
  <si>
    <t>V60643-01</t>
  </si>
  <si>
    <t>V60649-00</t>
  </si>
  <si>
    <t>V60659-00</t>
  </si>
  <si>
    <t>V60664-00</t>
  </si>
  <si>
    <t>V60680-00</t>
  </si>
  <si>
    <t>V60684-00</t>
  </si>
  <si>
    <t>CER287</t>
  </si>
  <si>
    <t>V60685-00</t>
  </si>
  <si>
    <t>V60943-00</t>
  </si>
  <si>
    <t>V60944-00</t>
  </si>
  <si>
    <t>V60945-00</t>
  </si>
  <si>
    <t>V60946-00</t>
  </si>
  <si>
    <t>V61191-00</t>
  </si>
  <si>
    <t>V61191-01</t>
  </si>
  <si>
    <t>V61191-02</t>
  </si>
  <si>
    <t>V61191-03</t>
  </si>
  <si>
    <t>V61193-00</t>
  </si>
  <si>
    <t>V61194-00</t>
  </si>
  <si>
    <t>V61194-01</t>
  </si>
  <si>
    <t>V61229-00</t>
  </si>
  <si>
    <t>V61230-00</t>
  </si>
  <si>
    <t>V61249-00</t>
  </si>
  <si>
    <t>V61250-00</t>
  </si>
  <si>
    <t>V61256-00</t>
  </si>
  <si>
    <t>V61257-00</t>
  </si>
  <si>
    <t>V61258-00</t>
  </si>
  <si>
    <t>V61269-00</t>
  </si>
  <si>
    <t>V61277-00</t>
  </si>
  <si>
    <t>V61333-00</t>
  </si>
  <si>
    <t>V61349-00</t>
  </si>
  <si>
    <t>V61349-01</t>
  </si>
  <si>
    <t>V61349-02</t>
  </si>
  <si>
    <t>V61350-01</t>
  </si>
  <si>
    <t>V61350-02</t>
  </si>
  <si>
    <t>V61558-00</t>
  </si>
  <si>
    <t>V61562-00</t>
  </si>
  <si>
    <t>V61563-00</t>
  </si>
  <si>
    <t>V61567-00</t>
  </si>
  <si>
    <t>V61574-00</t>
  </si>
  <si>
    <t>V61582-00</t>
  </si>
  <si>
    <t>V61583-00</t>
  </si>
  <si>
    <t>V61584-00</t>
  </si>
  <si>
    <t>V61585-00</t>
  </si>
  <si>
    <t>V61587-00</t>
  </si>
  <si>
    <t>V61596-00</t>
  </si>
  <si>
    <t>V61597-00</t>
  </si>
  <si>
    <t>V61788-01</t>
  </si>
  <si>
    <t>V61788-02</t>
  </si>
  <si>
    <t>V62030-00</t>
  </si>
  <si>
    <t>CER017</t>
  </si>
  <si>
    <t>V62032-00</t>
  </si>
  <si>
    <t>V62036-00</t>
  </si>
  <si>
    <t>V62052-00</t>
  </si>
  <si>
    <t>V62053-00</t>
  </si>
  <si>
    <t>V62054-00</t>
  </si>
  <si>
    <t>V62058-00</t>
  </si>
  <si>
    <t>V62059-00</t>
  </si>
  <si>
    <t>V62063-00</t>
  </si>
  <si>
    <t>V62152-00</t>
  </si>
  <si>
    <t>CER137</t>
  </si>
  <si>
    <t>V62284-00</t>
  </si>
  <si>
    <t>V62288-00</t>
  </si>
  <si>
    <t>V62292-00</t>
  </si>
  <si>
    <t>V62324-00</t>
  </si>
  <si>
    <t>V62477-00</t>
  </si>
  <si>
    <t>V62477-01</t>
  </si>
  <si>
    <t>V62478-00</t>
  </si>
  <si>
    <t>V62478-01</t>
  </si>
  <si>
    <t>V62480-00</t>
  </si>
  <si>
    <t>V62480-01</t>
  </si>
  <si>
    <t>V62481-02</t>
  </si>
  <si>
    <t>V62482-00</t>
  </si>
  <si>
    <t>V62482-01</t>
  </si>
  <si>
    <t>V62485-01</t>
  </si>
  <si>
    <t>V62486-01</t>
  </si>
  <si>
    <t>V62486-02</t>
  </si>
  <si>
    <t>V62491-01</t>
  </si>
  <si>
    <t>V62491-02</t>
  </si>
  <si>
    <t>V62492-01</t>
  </si>
  <si>
    <t>V62495-02</t>
  </si>
  <si>
    <t>V62507-00</t>
  </si>
  <si>
    <t>V62507-01</t>
  </si>
  <si>
    <t>V62508-00</t>
  </si>
  <si>
    <t>V62508-01</t>
  </si>
  <si>
    <t>V62519-00</t>
  </si>
  <si>
    <t>V62519-01</t>
  </si>
  <si>
    <t>V62520-00</t>
  </si>
  <si>
    <t>V62520-01</t>
  </si>
  <si>
    <t>V62524-00</t>
  </si>
  <si>
    <t>V62525-00</t>
  </si>
  <si>
    <t>V62525-01</t>
  </si>
  <si>
    <t>V62530-00</t>
  </si>
  <si>
    <t>V62530-01</t>
  </si>
  <si>
    <t>V62531-01</t>
  </si>
  <si>
    <t>V62531-02</t>
  </si>
  <si>
    <t>V62532-00</t>
  </si>
  <si>
    <t>V62532-02</t>
  </si>
  <si>
    <t>V62533-00</t>
  </si>
  <si>
    <t>V62533-01</t>
  </si>
  <si>
    <t>V62544-00</t>
  </si>
  <si>
    <t>V62550-00</t>
  </si>
  <si>
    <t>V62552-01</t>
  </si>
  <si>
    <t>V62581-00</t>
  </si>
  <si>
    <t>V62583-00</t>
  </si>
  <si>
    <t>V62585-00</t>
  </si>
  <si>
    <t>V62597-00</t>
  </si>
  <si>
    <t>V62597-01</t>
  </si>
  <si>
    <t>V62604-00</t>
  </si>
  <si>
    <t>V62605-00</t>
  </si>
  <si>
    <t>V62605-01</t>
  </si>
  <si>
    <t>V62606-00</t>
  </si>
  <si>
    <t>V62606-01</t>
  </si>
  <si>
    <t>V62607-00</t>
  </si>
  <si>
    <t>V62607-01</t>
  </si>
  <si>
    <t>V62608-00</t>
  </si>
  <si>
    <t>V62617-00</t>
  </si>
  <si>
    <t>V62617-01</t>
  </si>
  <si>
    <t>V62619-00</t>
  </si>
  <si>
    <t>V62619-01</t>
  </si>
  <si>
    <t>V62620-00</t>
  </si>
  <si>
    <t>V62620-01</t>
  </si>
  <si>
    <t>V62621-00</t>
  </si>
  <si>
    <t>V62621-01</t>
  </si>
  <si>
    <t>V62638-00</t>
  </si>
  <si>
    <t>V62640-00</t>
  </si>
  <si>
    <t>V62640-01</t>
  </si>
  <si>
    <t>V62642-00</t>
  </si>
  <si>
    <t>V62642-01</t>
  </si>
  <si>
    <t>V62652-01</t>
  </si>
  <si>
    <t>V62652-02</t>
  </si>
  <si>
    <t>V62652-03</t>
  </si>
  <si>
    <t>V62996-00</t>
  </si>
  <si>
    <t>CER140</t>
  </si>
  <si>
    <t>V65228-00</t>
  </si>
  <si>
    <t>CER304</t>
  </si>
  <si>
    <t>V65232-00</t>
  </si>
  <si>
    <t>V65255-00</t>
  </si>
  <si>
    <t>V65478-00</t>
  </si>
  <si>
    <t>V65479-00</t>
  </si>
  <si>
    <t>V65502-00</t>
  </si>
  <si>
    <t>V65507-00</t>
  </si>
  <si>
    <t>V65511-00</t>
  </si>
  <si>
    <t>V65571-00</t>
  </si>
  <si>
    <t>V65572-00</t>
  </si>
  <si>
    <t>V65572-01</t>
  </si>
  <si>
    <t>V65573-00</t>
  </si>
  <si>
    <t>V65573-01</t>
  </si>
  <si>
    <t>V65574-00</t>
  </si>
  <si>
    <t>V65574-01</t>
  </si>
  <si>
    <t>V65577-00</t>
  </si>
  <si>
    <t>V65577-01</t>
  </si>
  <si>
    <t>V65733-00</t>
  </si>
  <si>
    <t>V65734-00</t>
  </si>
  <si>
    <t>V65737-00</t>
  </si>
  <si>
    <t>V65753-00</t>
  </si>
  <si>
    <t>V65754-01</t>
  </si>
  <si>
    <t>V65755-00</t>
  </si>
  <si>
    <t>V65758-00</t>
  </si>
  <si>
    <t>V65781-00</t>
  </si>
  <si>
    <t>V65870-01</t>
  </si>
  <si>
    <t>V65872-00</t>
  </si>
  <si>
    <t>V65877-00</t>
  </si>
  <si>
    <t>V65904-01</t>
  </si>
  <si>
    <t>V65962-00</t>
  </si>
  <si>
    <t>CER355</t>
  </si>
  <si>
    <t>V65980-00</t>
  </si>
  <si>
    <t>CER098</t>
  </si>
  <si>
    <t>V65999-00</t>
  </si>
  <si>
    <t>V66184-00</t>
  </si>
  <si>
    <t>V66185-00</t>
  </si>
  <si>
    <t>V66218-00</t>
  </si>
  <si>
    <t>V66220-00</t>
  </si>
  <si>
    <t>V66239-00</t>
  </si>
  <si>
    <t>V66286-00</t>
  </si>
  <si>
    <t>CER023</t>
  </si>
  <si>
    <t>V66287-00</t>
  </si>
  <si>
    <t>V66288-00</t>
  </si>
  <si>
    <t>V66296-00</t>
  </si>
  <si>
    <t>V66302-00</t>
  </si>
  <si>
    <t>V66347-00</t>
  </si>
  <si>
    <t>V66355-00</t>
  </si>
  <si>
    <t>V66470-00</t>
  </si>
  <si>
    <t>CER117</t>
  </si>
  <si>
    <t>V66471-00</t>
  </si>
  <si>
    <t>V66476-00</t>
  </si>
  <si>
    <t>CER230</t>
  </si>
  <si>
    <t>V66477-00</t>
  </si>
  <si>
    <t>CER276</t>
  </si>
  <si>
    <t>V66478-00</t>
  </si>
  <si>
    <t>CER218</t>
  </si>
  <si>
    <t>V66479-00</t>
  </si>
  <si>
    <t>V66480-00</t>
  </si>
  <si>
    <t>V66485-00</t>
  </si>
  <si>
    <t>V66498-00</t>
  </si>
  <si>
    <t>CER312</t>
  </si>
  <si>
    <t>V66502-00</t>
  </si>
  <si>
    <t>V66530-00</t>
  </si>
  <si>
    <t>V66535-00</t>
  </si>
  <si>
    <t>V66536-00</t>
  </si>
  <si>
    <t>V66537-00</t>
  </si>
  <si>
    <t>V66542-00</t>
  </si>
  <si>
    <t>V66543-00</t>
  </si>
  <si>
    <t>V66549-00</t>
  </si>
  <si>
    <t>V66572-00</t>
  </si>
  <si>
    <t>V66579-00</t>
  </si>
  <si>
    <t>CER042</t>
  </si>
  <si>
    <t>V66608-00/A</t>
  </si>
  <si>
    <t>CER206</t>
  </si>
  <si>
    <t>V66608-00/B</t>
  </si>
  <si>
    <t>CER292</t>
  </si>
  <si>
    <t>V66608-00/C</t>
  </si>
  <si>
    <t>CER313</t>
  </si>
  <si>
    <t>V66608-00/D</t>
  </si>
  <si>
    <t>CER225</t>
  </si>
  <si>
    <t>V66623-00</t>
  </si>
  <si>
    <t>CER316</t>
  </si>
  <si>
    <t>V66624-00</t>
  </si>
  <si>
    <t>CER314</t>
  </si>
  <si>
    <t>V66641-00</t>
  </si>
  <si>
    <t>V66642-00</t>
  </si>
  <si>
    <t>V66646-00/A</t>
  </si>
  <si>
    <t>CER284</t>
  </si>
  <si>
    <t>CER285</t>
  </si>
  <si>
    <t>V66647-00/B</t>
  </si>
  <si>
    <t>CER237</t>
  </si>
  <si>
    <t>V66648-00</t>
  </si>
  <si>
    <t>CER229</t>
  </si>
  <si>
    <t>V66651-00</t>
  </si>
  <si>
    <t>V66655-00</t>
  </si>
  <si>
    <t>CER132</t>
  </si>
  <si>
    <t>V66661-00</t>
  </si>
  <si>
    <t>V66663-00</t>
  </si>
  <si>
    <t>V66671-00</t>
  </si>
  <si>
    <t>CER102</t>
  </si>
  <si>
    <t>V66674-00</t>
  </si>
  <si>
    <t>CER377</t>
  </si>
  <si>
    <t>V66674-01</t>
  </si>
  <si>
    <t>V66674-02</t>
  </si>
  <si>
    <t>V66679-00</t>
  </si>
  <si>
    <t>CER190</t>
  </si>
  <si>
    <t>V66785-00</t>
  </si>
  <si>
    <t>V66806-00</t>
  </si>
  <si>
    <t>V66806-01</t>
  </si>
  <si>
    <t>V66810-00</t>
  </si>
  <si>
    <t>CER130</t>
  </si>
  <si>
    <t>V66819-00</t>
  </si>
  <si>
    <t>V66821-00</t>
  </si>
  <si>
    <t>CER288</t>
  </si>
  <si>
    <t>V66844-00</t>
  </si>
  <si>
    <t>CER233</t>
  </si>
  <si>
    <t>V66847-00</t>
  </si>
  <si>
    <t>V66872-00</t>
  </si>
  <si>
    <t>V66880-00</t>
  </si>
  <si>
    <t>CER220</t>
  </si>
  <si>
    <t>V66912-00</t>
  </si>
  <si>
    <t>V66959-00</t>
  </si>
  <si>
    <t>CER215</t>
  </si>
  <si>
    <t>V67048-01</t>
  </si>
  <si>
    <t>CER213</t>
  </si>
  <si>
    <t>V67054-00</t>
  </si>
  <si>
    <t>CER176</t>
  </si>
  <si>
    <t>V67071-00</t>
  </si>
  <si>
    <t>CER250</t>
  </si>
  <si>
    <t>V67076-00</t>
  </si>
  <si>
    <t>V67078-00</t>
  </si>
  <si>
    <t>V67079-00</t>
  </si>
  <si>
    <t>V67080-00</t>
  </si>
  <si>
    <t>CER305</t>
  </si>
  <si>
    <t>V67081-00</t>
  </si>
  <si>
    <t>V67082-00</t>
  </si>
  <si>
    <t>V67110-00</t>
  </si>
  <si>
    <t>V67116-00</t>
  </si>
  <si>
    <t>V67120-00</t>
  </si>
  <si>
    <t>V67123-00</t>
  </si>
  <si>
    <t>V67153-00</t>
  </si>
  <si>
    <t>V67158-00</t>
  </si>
  <si>
    <t>V67159-00</t>
  </si>
  <si>
    <t>CER300</t>
  </si>
  <si>
    <t>V67163-00</t>
  </si>
  <si>
    <t>CER366</t>
  </si>
  <si>
    <t>V67242-00</t>
  </si>
  <si>
    <t>CER205</t>
  </si>
  <si>
    <t>V67245-00/A</t>
  </si>
  <si>
    <t>V67245-00/B</t>
  </si>
  <si>
    <t>V67246-00</t>
  </si>
  <si>
    <t>CER327</t>
  </si>
  <si>
    <t>V67250-00</t>
  </si>
  <si>
    <t>CER134</t>
  </si>
  <si>
    <t>V67251-00</t>
  </si>
  <si>
    <t>V67252-00</t>
  </si>
  <si>
    <t>V67253-00</t>
  </si>
  <si>
    <t>V67262-00</t>
  </si>
  <si>
    <t>CER203</t>
  </si>
  <si>
    <t>V67263-00</t>
  </si>
  <si>
    <t>V67277-00</t>
  </si>
  <si>
    <t>V67281-00</t>
  </si>
  <si>
    <t>CER108</t>
  </si>
  <si>
    <t>V67303-00</t>
  </si>
  <si>
    <t>V67304-00</t>
  </si>
  <si>
    <t>V67307-00</t>
  </si>
  <si>
    <t>V67330-00</t>
  </si>
  <si>
    <t>V67347-00</t>
  </si>
  <si>
    <t>V67376-00</t>
  </si>
  <si>
    <t>V67378-00</t>
  </si>
  <si>
    <t>V67379-00</t>
  </si>
  <si>
    <t>V67380-00</t>
  </si>
  <si>
    <t>V67381-00</t>
  </si>
  <si>
    <t>V67436-00</t>
  </si>
  <si>
    <t>V67437-00</t>
  </si>
  <si>
    <t>V67456-00</t>
  </si>
  <si>
    <t>CER375</t>
  </si>
  <si>
    <t>V67463-00</t>
  </si>
  <si>
    <t>V67464-00</t>
  </si>
  <si>
    <t>CER211</t>
  </si>
  <si>
    <t>V67468-00</t>
  </si>
  <si>
    <t>V67493-00</t>
  </si>
  <si>
    <t>V67506-00</t>
  </si>
  <si>
    <t>V67517-00</t>
  </si>
  <si>
    <t>V67554-00</t>
  </si>
  <si>
    <t>V67555-00</t>
  </si>
  <si>
    <t>V67556-00</t>
  </si>
  <si>
    <t>V67590-00</t>
  </si>
  <si>
    <t>CER309</t>
  </si>
  <si>
    <t>V67591-00</t>
  </si>
  <si>
    <t>V67593-00</t>
  </si>
  <si>
    <t>V67595-00</t>
  </si>
  <si>
    <t>V67598-00</t>
  </si>
  <si>
    <t>V67609-00</t>
  </si>
  <si>
    <t>V67617-00</t>
  </si>
  <si>
    <t>V67629-00</t>
  </si>
  <si>
    <t>VH00027-00</t>
  </si>
  <si>
    <t>VH00028-00</t>
  </si>
  <si>
    <t>VH00103-00</t>
  </si>
  <si>
    <t>CER320</t>
  </si>
  <si>
    <t>VH00105-00</t>
  </si>
  <si>
    <t>VH00108-00</t>
  </si>
  <si>
    <t>VH00130-00</t>
  </si>
  <si>
    <t>VH00156-00</t>
  </si>
  <si>
    <t>VH00158-00</t>
  </si>
  <si>
    <t>CER187</t>
  </si>
  <si>
    <t>VH00171-00</t>
  </si>
  <si>
    <t>CER356</t>
  </si>
  <si>
    <t>VH00172-00</t>
  </si>
  <si>
    <t>VH00173-00</t>
  </si>
  <si>
    <t>VH00204-00</t>
  </si>
  <si>
    <t>VH00212-00</t>
  </si>
  <si>
    <t>CER380</t>
  </si>
  <si>
    <t>VH00213-00</t>
  </si>
  <si>
    <t>VH00214-00</t>
  </si>
  <si>
    <t>VH00215-00</t>
  </si>
  <si>
    <t>VH00216-00</t>
  </si>
  <si>
    <t>VH00243-00</t>
  </si>
  <si>
    <t>VH00245-00</t>
  </si>
  <si>
    <t>VH00246-00</t>
  </si>
  <si>
    <t>CER074</t>
  </si>
  <si>
    <t>VH00249-00</t>
  </si>
  <si>
    <t>VH00251-00</t>
  </si>
  <si>
    <t>CER028</t>
  </si>
  <si>
    <t>VH00258-00</t>
  </si>
  <si>
    <t>VH00260-00</t>
  </si>
  <si>
    <t>VH00265-00</t>
  </si>
  <si>
    <t>VH00278-00</t>
  </si>
  <si>
    <t>VH00279-00</t>
  </si>
  <si>
    <t>VH00289-00</t>
  </si>
  <si>
    <t>VH00317-00</t>
  </si>
  <si>
    <t>VH00318-00</t>
  </si>
  <si>
    <t>VH00319-00</t>
  </si>
  <si>
    <t>VH00320-00</t>
  </si>
  <si>
    <t>VH00321-00</t>
  </si>
  <si>
    <t>VH00325-00</t>
  </si>
  <si>
    <t>VH00331-00</t>
  </si>
  <si>
    <t>VH00387-00</t>
  </si>
  <si>
    <t>CER112</t>
  </si>
  <si>
    <t>VH00396-00</t>
  </si>
  <si>
    <t>VH00402-00</t>
  </si>
  <si>
    <t>VH00403-00</t>
  </si>
  <si>
    <t>VH00406-00</t>
  </si>
  <si>
    <t>VH00407-00</t>
  </si>
  <si>
    <t>VH00409-00</t>
  </si>
  <si>
    <t>VH00436-00</t>
  </si>
  <si>
    <t>VH00470-00</t>
  </si>
  <si>
    <t>VH00471-00</t>
  </si>
  <si>
    <t>VH00473-00</t>
  </si>
  <si>
    <t>VH00490-00</t>
  </si>
  <si>
    <t>VH00511-00</t>
  </si>
  <si>
    <t>VH00513-00</t>
  </si>
  <si>
    <t>CER296</t>
  </si>
  <si>
    <t>VH00539-00</t>
  </si>
  <si>
    <t>CER306</t>
  </si>
  <si>
    <t>VH00588-00</t>
  </si>
  <si>
    <t>VH00591-00</t>
  </si>
  <si>
    <t>VH00600-00</t>
  </si>
  <si>
    <t>VH00604-00</t>
  </si>
  <si>
    <t>VH00625-00</t>
  </si>
  <si>
    <t>CER111</t>
  </si>
  <si>
    <t>VH00626-00</t>
  </si>
  <si>
    <t>VH00639-00</t>
  </si>
  <si>
    <t>VH00641-00</t>
  </si>
  <si>
    <t>VH00650-00</t>
  </si>
  <si>
    <t>VH00688-00</t>
  </si>
  <si>
    <t>VH00688-01</t>
  </si>
  <si>
    <t>VH00695-00</t>
  </si>
  <si>
    <t>VH00730-00</t>
  </si>
  <si>
    <t>VH00848-00</t>
  </si>
  <si>
    <t>VH00873-00</t>
  </si>
  <si>
    <t>VH00874-00</t>
  </si>
  <si>
    <t>VH00876-00</t>
  </si>
  <si>
    <t>VH00876-01</t>
  </si>
  <si>
    <t>VH00876-02</t>
  </si>
  <si>
    <t>VH00877-00</t>
  </si>
  <si>
    <t>VH00893-00</t>
  </si>
  <si>
    <t>CER009</t>
  </si>
  <si>
    <t>VH00894-00</t>
  </si>
  <si>
    <t>VH00894-01</t>
  </si>
  <si>
    <t>VH02074-00</t>
  </si>
  <si>
    <t>GS4022</t>
  </si>
  <si>
    <t>002-3220-4872</t>
  </si>
  <si>
    <t>002-3220-4873</t>
  </si>
  <si>
    <t>002-3220-4874</t>
  </si>
  <si>
    <t>002-3220-4875</t>
  </si>
  <si>
    <t>002-3220-4876</t>
  </si>
  <si>
    <t>002-3220-4877</t>
  </si>
  <si>
    <t>002-3220-4878</t>
  </si>
  <si>
    <t>002-3220-4879</t>
  </si>
  <si>
    <t>002-3220-4880</t>
  </si>
  <si>
    <t>002-3220-4881</t>
  </si>
  <si>
    <t>002-3220-4882</t>
  </si>
  <si>
    <t>002-3220-4883</t>
  </si>
  <si>
    <t>002-3220-4884</t>
  </si>
  <si>
    <t>002-3220-4885</t>
  </si>
  <si>
    <t>002-3220-4886</t>
  </si>
  <si>
    <t>002-3220-4887</t>
  </si>
  <si>
    <t>002-3220-4888</t>
  </si>
  <si>
    <t>GS4335</t>
  </si>
  <si>
    <t>002-3220-4889</t>
  </si>
  <si>
    <t>002-3220-4890</t>
  </si>
  <si>
    <t>002-3220-4891</t>
  </si>
  <si>
    <t>002-3220-4892</t>
  </si>
  <si>
    <t>002-3220-4893</t>
  </si>
  <si>
    <t>002-3220-4894</t>
  </si>
  <si>
    <t>002-3220-4895</t>
  </si>
  <si>
    <t>002-3220-4896</t>
  </si>
  <si>
    <t>002-3220-4897</t>
  </si>
  <si>
    <t>002-3220-4898</t>
  </si>
  <si>
    <t>002-3220-4899</t>
  </si>
  <si>
    <t>002-3220-4900</t>
  </si>
  <si>
    <t>002-3220-4901</t>
  </si>
  <si>
    <t>002-3220-4902</t>
  </si>
  <si>
    <t>002-3220-4903</t>
  </si>
  <si>
    <t>002-3220-4904</t>
  </si>
  <si>
    <t>002-3220-4905</t>
  </si>
  <si>
    <t>002-3220-4906</t>
  </si>
  <si>
    <t>002-3220-4907</t>
  </si>
  <si>
    <t>002-3220-4908</t>
  </si>
  <si>
    <t>002-3220-4909</t>
  </si>
  <si>
    <t>002-3220-4910</t>
  </si>
  <si>
    <t>002-3220-4911</t>
  </si>
  <si>
    <t>002-3220-4912</t>
  </si>
  <si>
    <t>002-3220-4913</t>
  </si>
  <si>
    <t>GS4461</t>
  </si>
  <si>
    <t>002-3220-4914</t>
  </si>
  <si>
    <t>002-3220-4915</t>
  </si>
  <si>
    <t>002-3220-4916</t>
  </si>
  <si>
    <t>002-3220-4917</t>
  </si>
  <si>
    <t>002-3220-4918</t>
  </si>
  <si>
    <t>002-3220-4919</t>
  </si>
  <si>
    <t>002-3220-4920</t>
  </si>
  <si>
    <t>002-3220-4921</t>
  </si>
  <si>
    <t>002-3220-4922</t>
  </si>
  <si>
    <t>002-3220-4923</t>
  </si>
  <si>
    <t>002-3220-4924</t>
  </si>
  <si>
    <t>002-3220-4925</t>
  </si>
  <si>
    <t>002-3220-4926</t>
  </si>
  <si>
    <t>002-3220-4927</t>
  </si>
  <si>
    <t>002-3220-4928</t>
  </si>
  <si>
    <t>002-3220-4929</t>
  </si>
  <si>
    <t>002-3220-4930</t>
  </si>
  <si>
    <t>002-3220-4931</t>
  </si>
  <si>
    <t>002-3220-4932</t>
  </si>
  <si>
    <t>002-3220-4933</t>
  </si>
  <si>
    <t>002-3220-4934</t>
  </si>
  <si>
    <t>002-3220-4935</t>
  </si>
  <si>
    <t>002-3220-4936</t>
  </si>
  <si>
    <t>002-3220-4937</t>
  </si>
  <si>
    <t>GS4559</t>
  </si>
  <si>
    <t>002-3220-4948</t>
  </si>
  <si>
    <t>002-3220-4949</t>
  </si>
  <si>
    <t>002-3220-4950</t>
  </si>
  <si>
    <t>002-3220-4951</t>
  </si>
  <si>
    <t>002-3220-4952</t>
  </si>
  <si>
    <t>002-3220-4953</t>
  </si>
  <si>
    <t>002-3220-4954</t>
  </si>
  <si>
    <t>002-3220-4955</t>
  </si>
  <si>
    <t>002-3220-4956</t>
  </si>
  <si>
    <t>002-3220-4957</t>
  </si>
  <si>
    <t>002-3220-4958</t>
  </si>
  <si>
    <t>002-3220-4959</t>
  </si>
  <si>
    <t>002-3220-4960</t>
  </si>
  <si>
    <t>002-3220-4961</t>
  </si>
  <si>
    <t>002-3220-4962</t>
  </si>
  <si>
    <t>002-3220-4963</t>
  </si>
  <si>
    <t>002-3220-4964</t>
  </si>
  <si>
    <t>GS4663</t>
  </si>
  <si>
    <t>002-3220-4938</t>
  </si>
  <si>
    <t>002-3220-4939</t>
  </si>
  <si>
    <t>002-3220-4940</t>
  </si>
  <si>
    <t>002-3220-4941</t>
  </si>
  <si>
    <t>002-3220-4942</t>
  </si>
  <si>
    <t>002-3220-4943</t>
  </si>
  <si>
    <t>002-3220-4944</t>
  </si>
  <si>
    <t>002-3220-4945</t>
  </si>
  <si>
    <t>002-3220-4946</t>
  </si>
  <si>
    <t>002-3220-4947</t>
  </si>
  <si>
    <t>E05775-01</t>
  </si>
  <si>
    <t>E05775-03</t>
  </si>
  <si>
    <t>E05775-04</t>
  </si>
  <si>
    <t>E06158-03</t>
  </si>
  <si>
    <t>E06158-05</t>
  </si>
  <si>
    <t>L36497-00</t>
  </si>
  <si>
    <t>L36497-01</t>
  </si>
  <si>
    <t>L36497-02</t>
  </si>
  <si>
    <t>L36497-03</t>
  </si>
  <si>
    <t>L36497-04</t>
  </si>
  <si>
    <t>L36497-05</t>
  </si>
  <si>
    <t>L36497-06</t>
  </si>
  <si>
    <t>L36497-07</t>
  </si>
  <si>
    <t>L36497-08</t>
  </si>
  <si>
    <t>L36497-09</t>
  </si>
  <si>
    <t>L36497-10</t>
  </si>
  <si>
    <t>L36497-11</t>
  </si>
  <si>
    <t>L36497-12</t>
  </si>
  <si>
    <t>L36497-13</t>
  </si>
  <si>
    <t>L36497-14</t>
  </si>
  <si>
    <t>L36497-15</t>
  </si>
  <si>
    <t>L36497-16</t>
  </si>
  <si>
    <t>L36497-17</t>
  </si>
  <si>
    <t>L36497-18</t>
  </si>
  <si>
    <t>L36497-19</t>
  </si>
  <si>
    <t>L36497-20</t>
  </si>
  <si>
    <t>L36497-21</t>
  </si>
  <si>
    <t>L36497-22</t>
  </si>
  <si>
    <t>L36497-23</t>
  </si>
  <si>
    <t>V66335-00</t>
  </si>
  <si>
    <t>V67567-00</t>
  </si>
  <si>
    <t>V67571-00</t>
  </si>
  <si>
    <t>V67653-00</t>
  </si>
  <si>
    <t>V67656-00</t>
  </si>
  <si>
    <t>V67657-00</t>
  </si>
  <si>
    <t>VH00410-00</t>
  </si>
  <si>
    <t>VH00537-00</t>
  </si>
  <si>
    <t>VH01205-00</t>
  </si>
  <si>
    <t>VH01207-00</t>
  </si>
  <si>
    <t>VH01208-00</t>
  </si>
  <si>
    <t>VH01211-00</t>
  </si>
  <si>
    <t>VH01228-00</t>
  </si>
  <si>
    <t>VH01229-00</t>
  </si>
  <si>
    <t>VH01230-00</t>
  </si>
  <si>
    <t>VH01235-00</t>
  </si>
  <si>
    <t>VH01236-00</t>
  </si>
  <si>
    <t>VH01237-00</t>
  </si>
  <si>
    <t>VH01249-00</t>
  </si>
  <si>
    <t>VH01532-00</t>
  </si>
  <si>
    <t>VH01533-00</t>
  </si>
  <si>
    <t>VH01538-00</t>
  </si>
  <si>
    <t>VH01539-00</t>
  </si>
  <si>
    <t>VH01541-00</t>
  </si>
  <si>
    <t>VH01542-00</t>
  </si>
  <si>
    <t>VH01576-00</t>
  </si>
  <si>
    <t>VH01577-00</t>
  </si>
  <si>
    <t>19719D</t>
  </si>
  <si>
    <t>19952A</t>
  </si>
  <si>
    <t>19952B</t>
  </si>
  <si>
    <t>19796A</t>
  </si>
  <si>
    <t>GS4791</t>
  </si>
  <si>
    <t>002-3220-4966</t>
  </si>
  <si>
    <t>002-3220-4967</t>
  </si>
  <si>
    <t>002-3220-4968</t>
  </si>
  <si>
    <t>002-3220-4969</t>
  </si>
  <si>
    <t>002-3220-4970</t>
  </si>
  <si>
    <t>002-3220-4971</t>
  </si>
  <si>
    <t>002-3220-4972</t>
  </si>
  <si>
    <t>002-3220-4973</t>
  </si>
  <si>
    <t>002-3220-4974</t>
  </si>
  <si>
    <t>002-3220-4975</t>
  </si>
  <si>
    <t>002-3220-4976</t>
  </si>
  <si>
    <t>002-3220-4977</t>
  </si>
  <si>
    <t>002-3220-4978</t>
  </si>
  <si>
    <t>002-3220-4979</t>
  </si>
  <si>
    <t>002-3220-4980</t>
  </si>
  <si>
    <t>002-3220-4981</t>
  </si>
  <si>
    <t>CAFÉ VERDE</t>
  </si>
  <si>
    <t>1</t>
  </si>
  <si>
    <t>E05599-00</t>
  </si>
  <si>
    <t>CER269</t>
  </si>
  <si>
    <t>E05601-00</t>
  </si>
  <si>
    <t>CER358</t>
  </si>
  <si>
    <t>E05613-00</t>
  </si>
  <si>
    <t>CER043</t>
  </si>
  <si>
    <t>E05624-00</t>
  </si>
  <si>
    <t>E05634-01</t>
  </si>
  <si>
    <t>E05635-00</t>
  </si>
  <si>
    <t>CER157</t>
  </si>
  <si>
    <t>E05647-00</t>
  </si>
  <si>
    <t>CER005</t>
  </si>
  <si>
    <t>E05647-01</t>
  </si>
  <si>
    <t>E05717-00</t>
  </si>
  <si>
    <t>CER275</t>
  </si>
  <si>
    <t>E05724-00</t>
  </si>
  <si>
    <t>E05735-00</t>
  </si>
  <si>
    <t>CER110</t>
  </si>
  <si>
    <t>E05764-00</t>
  </si>
  <si>
    <t>CER150</t>
  </si>
  <si>
    <t>E05767-00</t>
  </si>
  <si>
    <t>E05767-01</t>
  </si>
  <si>
    <t>E05768-00</t>
  </si>
  <si>
    <t>E05784-00</t>
  </si>
  <si>
    <t>CER046</t>
  </si>
  <si>
    <t>E05786-00</t>
  </si>
  <si>
    <t>E05787-00</t>
  </si>
  <si>
    <t>E05840-00</t>
  </si>
  <si>
    <t>CER364</t>
  </si>
  <si>
    <t>E05841-00</t>
  </si>
  <si>
    <t>CER363</t>
  </si>
  <si>
    <t>E05847-00</t>
  </si>
  <si>
    <t>CER251</t>
  </si>
  <si>
    <t>E05854-00</t>
  </si>
  <si>
    <t>E05855-00</t>
  </si>
  <si>
    <t>E05870-00</t>
  </si>
  <si>
    <t>CER273</t>
  </si>
  <si>
    <t>E05871-00</t>
  </si>
  <si>
    <t>CER307</t>
  </si>
  <si>
    <t>E05871-01</t>
  </si>
  <si>
    <t>E05871-02</t>
  </si>
  <si>
    <t>E05878-00</t>
  </si>
  <si>
    <t>E05891-00</t>
  </si>
  <si>
    <t>E05892-00</t>
  </si>
  <si>
    <t>E05892-01</t>
  </si>
  <si>
    <t>E05910-00</t>
  </si>
  <si>
    <t>CER107</t>
  </si>
  <si>
    <t>E05957-00</t>
  </si>
  <si>
    <t>E05961-00</t>
  </si>
  <si>
    <t>CER268</t>
  </si>
  <si>
    <t>E05961-01</t>
  </si>
  <si>
    <t>E05967-00</t>
  </si>
  <si>
    <t>E05967-01</t>
  </si>
  <si>
    <t>E05984-00</t>
  </si>
  <si>
    <t>E05984-01</t>
  </si>
  <si>
    <t>E05984-02</t>
  </si>
  <si>
    <t>E05986-01</t>
  </si>
  <si>
    <t>E06018-00</t>
  </si>
  <si>
    <t>CER156</t>
  </si>
  <si>
    <t>E06028-00</t>
  </si>
  <si>
    <t>CER260</t>
  </si>
  <si>
    <t>E06054-00</t>
  </si>
  <si>
    <t>E06066-00</t>
  </si>
  <si>
    <t>E06066-01</t>
  </si>
  <si>
    <t>E06070-00</t>
  </si>
  <si>
    <t>CER360</t>
  </si>
  <si>
    <t>E06115-00</t>
  </si>
  <si>
    <t>E06116-00</t>
  </si>
  <si>
    <t>E06152-00</t>
  </si>
  <si>
    <t>E06152-01</t>
  </si>
  <si>
    <t>E06157-00</t>
  </si>
  <si>
    <t>E06158-00</t>
  </si>
  <si>
    <t>E06158-01</t>
  </si>
  <si>
    <t>E06158-02</t>
  </si>
  <si>
    <t>E06158-06</t>
  </si>
  <si>
    <t>E06164-00</t>
  </si>
  <si>
    <t>E06201-00</t>
  </si>
  <si>
    <t>E06202-00</t>
  </si>
  <si>
    <t>CER354</t>
  </si>
  <si>
    <t>E06228-00</t>
  </si>
  <si>
    <t>CER154</t>
  </si>
  <si>
    <t>E06258-00</t>
  </si>
  <si>
    <t>CER368</t>
  </si>
  <si>
    <t>E06259-00</t>
  </si>
  <si>
    <t>E06312-01</t>
  </si>
  <si>
    <t>E06596-00</t>
  </si>
  <si>
    <t>CER159</t>
  </si>
  <si>
    <t>E06596-01</t>
  </si>
  <si>
    <t>E07080-00</t>
  </si>
  <si>
    <t>E07176-00</t>
  </si>
  <si>
    <t>CER105</t>
  </si>
  <si>
    <t>E07176-01</t>
  </si>
  <si>
    <t>E07249-00</t>
  </si>
  <si>
    <t>E07558-00</t>
  </si>
  <si>
    <t>E07558-01</t>
  </si>
  <si>
    <t>E07571-00</t>
  </si>
  <si>
    <t>E07697-01</t>
  </si>
  <si>
    <t>E07736-02</t>
  </si>
  <si>
    <t>E07774-00</t>
  </si>
  <si>
    <t>E07774-01</t>
  </si>
  <si>
    <t>E07774-02</t>
  </si>
  <si>
    <t>E07774-03</t>
  </si>
  <si>
    <t>E07774-04</t>
  </si>
  <si>
    <t>E07774-05</t>
  </si>
  <si>
    <t>E07774-06</t>
  </si>
  <si>
    <t>E07776-00</t>
  </si>
  <si>
    <t>E07776-01</t>
  </si>
  <si>
    <t>E07796-00</t>
  </si>
  <si>
    <t>E07796-01</t>
  </si>
  <si>
    <t>E07796-02</t>
  </si>
  <si>
    <t>E07796-04</t>
  </si>
  <si>
    <t>E07923-00</t>
  </si>
  <si>
    <t>E07923-01</t>
  </si>
  <si>
    <t>E07923-02</t>
  </si>
  <si>
    <t>E07924-00</t>
  </si>
  <si>
    <t>E07925-00</t>
  </si>
  <si>
    <t>E07925-01</t>
  </si>
  <si>
    <t>E07925-02</t>
  </si>
  <si>
    <t>E07925-03</t>
  </si>
  <si>
    <t>E07925-04</t>
  </si>
  <si>
    <t>E104919-00</t>
  </si>
  <si>
    <t>E105153-00</t>
  </si>
  <si>
    <t>CER131</t>
  </si>
  <si>
    <t>E105153-01</t>
  </si>
  <si>
    <t>E105154-00</t>
  </si>
  <si>
    <t>CER129</t>
  </si>
  <si>
    <t>E105735-00</t>
  </si>
  <si>
    <t>CER362</t>
  </si>
  <si>
    <t>E105735-01</t>
  </si>
  <si>
    <t>E203777-00</t>
  </si>
  <si>
    <t>E203777-01</t>
  </si>
  <si>
    <t>E203777-02</t>
  </si>
  <si>
    <t>E203779-00</t>
  </si>
  <si>
    <t>CER035</t>
  </si>
  <si>
    <t>E203779-01</t>
  </si>
  <si>
    <t>E203779-02</t>
  </si>
  <si>
    <t>E203779-03</t>
  </si>
  <si>
    <t>GR00006037/1</t>
  </si>
  <si>
    <t>GR00006360/1</t>
  </si>
  <si>
    <t>GR00006365/1</t>
  </si>
  <si>
    <t>GR00006428/1</t>
  </si>
  <si>
    <t>GR00006440/1</t>
  </si>
  <si>
    <t>GR00006449/1</t>
  </si>
  <si>
    <t>GR00006459/1</t>
  </si>
  <si>
    <t>GR00006533/1</t>
  </si>
  <si>
    <t>GR00006557/1</t>
  </si>
  <si>
    <t>GR00006563/1</t>
  </si>
  <si>
    <t>GT00003602/1</t>
  </si>
  <si>
    <t>GT00003602/2</t>
  </si>
  <si>
    <t>GT00003602/3</t>
  </si>
  <si>
    <t>GT00003602/4</t>
  </si>
  <si>
    <t>GT00003602/5</t>
  </si>
  <si>
    <t>GT00003602/6</t>
  </si>
  <si>
    <t>GT00003602/7</t>
  </si>
  <si>
    <t>GT00003602/8</t>
  </si>
  <si>
    <t>GT00003602/9</t>
  </si>
  <si>
    <t>GT00003849/1</t>
  </si>
  <si>
    <t>CER339</t>
  </si>
  <si>
    <t>GT00003849/2</t>
  </si>
  <si>
    <t>GT00003849/3</t>
  </si>
  <si>
    <t>GT00003850/1</t>
  </si>
  <si>
    <t>GT00003850/2</t>
  </si>
  <si>
    <t>GT00003850/3</t>
  </si>
  <si>
    <t>GT00003850/4</t>
  </si>
  <si>
    <t>GT00003850/5</t>
  </si>
  <si>
    <t>GT00005386/1</t>
  </si>
  <si>
    <t>GT00005425/1</t>
  </si>
  <si>
    <t>GT00005425/2</t>
  </si>
  <si>
    <t>GT00005426/1</t>
  </si>
  <si>
    <t>GT00005491/1</t>
  </si>
  <si>
    <t>GT00005491/2</t>
  </si>
  <si>
    <t>GT00005491/3</t>
  </si>
  <si>
    <t>GT00005492/1</t>
  </si>
  <si>
    <t>GT00005492/2</t>
  </si>
  <si>
    <t>GT00005492/3</t>
  </si>
  <si>
    <t>GT00005492/4</t>
  </si>
  <si>
    <t>GT00005492/5</t>
  </si>
  <si>
    <t>GT00005492/6</t>
  </si>
  <si>
    <t>GT03881-00</t>
  </si>
  <si>
    <t>GT04350-01</t>
  </si>
  <si>
    <t>GT04350-02</t>
  </si>
  <si>
    <t>GT04352-02</t>
  </si>
  <si>
    <t>GT04352-03</t>
  </si>
  <si>
    <t>GT04352-04</t>
  </si>
  <si>
    <t>GT04352-05</t>
  </si>
  <si>
    <t>GT04352-08</t>
  </si>
  <si>
    <t>GT04352-09</t>
  </si>
  <si>
    <t>GT04352-10</t>
  </si>
  <si>
    <t>GT04352-11</t>
  </si>
  <si>
    <t>GT04352-12</t>
  </si>
  <si>
    <t>GT04352-13</t>
  </si>
  <si>
    <t>GT04352-14</t>
  </si>
  <si>
    <t>GT04352-15</t>
  </si>
  <si>
    <t>GT04352-17</t>
  </si>
  <si>
    <t>GT04352-19</t>
  </si>
  <si>
    <t>GT04352-20</t>
  </si>
  <si>
    <t>GT04352-21</t>
  </si>
  <si>
    <t>GT04352-24</t>
  </si>
  <si>
    <t>GT04352-27</t>
  </si>
  <si>
    <t>GT04352-28</t>
  </si>
  <si>
    <t>GT04352-29</t>
  </si>
  <si>
    <t>GT04352-30</t>
  </si>
  <si>
    <t>GT04352-31</t>
  </si>
  <si>
    <t>GT04352-32</t>
  </si>
  <si>
    <t>GT08461/1</t>
  </si>
  <si>
    <t>CER018</t>
  </si>
  <si>
    <t>GT08462/1</t>
  </si>
  <si>
    <t>GT08463/1</t>
  </si>
  <si>
    <t>L37244-00</t>
  </si>
  <si>
    <t>CER113</t>
  </si>
  <si>
    <t>L37244-01</t>
  </si>
  <si>
    <t>L37244-02</t>
  </si>
  <si>
    <t>L37299-00</t>
  </si>
  <si>
    <t>L37299-01</t>
  </si>
  <si>
    <t>L37310-00</t>
  </si>
  <si>
    <t>L37310-01</t>
  </si>
  <si>
    <t>L37527-00</t>
  </si>
  <si>
    <t>CER123</t>
  </si>
  <si>
    <t>L37527-01</t>
  </si>
  <si>
    <t>L37527-02</t>
  </si>
  <si>
    <t>L37527-03</t>
  </si>
  <si>
    <t>L37527-04</t>
  </si>
  <si>
    <t>L37527-05</t>
  </si>
  <si>
    <t>L37768-00</t>
  </si>
  <si>
    <t>L37768-01</t>
  </si>
  <si>
    <t>L37768-02</t>
  </si>
  <si>
    <t>L37768-03</t>
  </si>
  <si>
    <t>L37768-04</t>
  </si>
  <si>
    <t>L37768-05</t>
  </si>
  <si>
    <t>L37768-06</t>
  </si>
  <si>
    <t>L37768-07</t>
  </si>
  <si>
    <t>L37768-08</t>
  </si>
  <si>
    <t>L37768-09</t>
  </si>
  <si>
    <t>L37768-10</t>
  </si>
  <si>
    <t>L37768-11</t>
  </si>
  <si>
    <t>L37768-12</t>
  </si>
  <si>
    <t>L37768-13</t>
  </si>
  <si>
    <t>L37768-14</t>
  </si>
  <si>
    <t>L37768-15</t>
  </si>
  <si>
    <t>L37768-16</t>
  </si>
  <si>
    <t>L37768-17</t>
  </si>
  <si>
    <t>L37768-18</t>
  </si>
  <si>
    <t>L37768-19</t>
  </si>
  <si>
    <t>L37768-20</t>
  </si>
  <si>
    <t>L37768-21</t>
  </si>
  <si>
    <t>L37768-22</t>
  </si>
  <si>
    <t>L37768-23</t>
  </si>
  <si>
    <t>L37768-24</t>
  </si>
  <si>
    <t>L37768-25</t>
  </si>
  <si>
    <t>L37768-26</t>
  </si>
  <si>
    <t>L37768-27</t>
  </si>
  <si>
    <t>L37768-28</t>
  </si>
  <si>
    <t>L37768-29</t>
  </si>
  <si>
    <t>M00727-00</t>
  </si>
  <si>
    <t>V65365-00</t>
  </si>
  <si>
    <t>V65366-00</t>
  </si>
  <si>
    <t>V65368-00</t>
  </si>
  <si>
    <t>V65384-00</t>
  </si>
  <si>
    <t>V65386-00</t>
  </si>
  <si>
    <t>V65387-00</t>
  </si>
  <si>
    <t>V65389-00</t>
  </si>
  <si>
    <t>V66037-00</t>
  </si>
  <si>
    <t>V66069-00</t>
  </si>
  <si>
    <t>V66080-00</t>
  </si>
  <si>
    <t>V66081-00</t>
  </si>
  <si>
    <t>V66104-00</t>
  </si>
  <si>
    <t>V66270-00</t>
  </si>
  <si>
    <t>CER189</t>
  </si>
  <si>
    <t>V66336-00</t>
  </si>
  <si>
    <t>V66402-00</t>
  </si>
  <si>
    <t>CER221</t>
  </si>
  <si>
    <t>V66415-00</t>
  </si>
  <si>
    <t>V66425-00</t>
  </si>
  <si>
    <t>V66434-00</t>
  </si>
  <si>
    <t>V66436-00</t>
  </si>
  <si>
    <t>V66501-00</t>
  </si>
  <si>
    <t>V66612-00</t>
  </si>
  <si>
    <t>CER302</t>
  </si>
  <si>
    <t>V66682-00</t>
  </si>
  <si>
    <t>CER248</t>
  </si>
  <si>
    <t>V66693-00</t>
  </si>
  <si>
    <t>CER058</t>
  </si>
  <si>
    <t>V66694-00</t>
  </si>
  <si>
    <t>V66706-00</t>
  </si>
  <si>
    <t>V66719-00</t>
  </si>
  <si>
    <t>V66720-00/C</t>
  </si>
  <si>
    <t>V66721-00</t>
  </si>
  <si>
    <t>V66722-00/A</t>
  </si>
  <si>
    <t>CER299</t>
  </si>
  <si>
    <t>V66740-00</t>
  </si>
  <si>
    <t>V66741-00</t>
  </si>
  <si>
    <t>V66769-00</t>
  </si>
  <si>
    <t>V66825-00</t>
  </si>
  <si>
    <t>CER118</t>
  </si>
  <si>
    <t>V66879-00</t>
  </si>
  <si>
    <t>V66910-00</t>
  </si>
  <si>
    <t>CER315</t>
  </si>
  <si>
    <t>V66911-00</t>
  </si>
  <si>
    <t>V66919-00</t>
  </si>
  <si>
    <t>V66920-00</t>
  </si>
  <si>
    <t>V67038-00</t>
  </si>
  <si>
    <t>V67065-00</t>
  </si>
  <si>
    <t>V67069-00</t>
  </si>
  <si>
    <t>V67224-00</t>
  </si>
  <si>
    <t>CER007</t>
  </si>
  <si>
    <t>V67257-00</t>
  </si>
  <si>
    <t>V67299-00</t>
  </si>
  <si>
    <t>V67310-00</t>
  </si>
  <si>
    <t>V67317-00</t>
  </si>
  <si>
    <t>V67322-00</t>
  </si>
  <si>
    <t>V67375-00</t>
  </si>
  <si>
    <t>V67377-00</t>
  </si>
  <si>
    <t>V67406-00</t>
  </si>
  <si>
    <t>V67435-00</t>
  </si>
  <si>
    <t>V67453-00</t>
  </si>
  <si>
    <t>CER173</t>
  </si>
  <si>
    <t>VH00201-00</t>
  </si>
  <si>
    <t>CER240</t>
  </si>
  <si>
    <t>VH00202-00</t>
  </si>
  <si>
    <t>VH00203-00</t>
  </si>
  <si>
    <t>VH00236-00</t>
  </si>
  <si>
    <t>VH00242-00</t>
  </si>
  <si>
    <t>VH00244-00</t>
  </si>
  <si>
    <t>CER166</t>
  </si>
  <si>
    <t>VH00311-00</t>
  </si>
  <si>
    <t>VH00312-00</t>
  </si>
  <si>
    <t>VH00313-00</t>
  </si>
  <si>
    <t>VH00467-00</t>
  </si>
  <si>
    <t>VH00468-00</t>
  </si>
  <si>
    <t>VH00504-00</t>
  </si>
  <si>
    <t>VH00566-00</t>
  </si>
  <si>
    <t>VH00578-00</t>
  </si>
  <si>
    <t>VH00579-00</t>
  </si>
  <si>
    <t>VH00582-00</t>
  </si>
  <si>
    <t>VH00583-00</t>
  </si>
  <si>
    <t>VH00592-00</t>
  </si>
  <si>
    <t>VH00602-00</t>
  </si>
  <si>
    <t>VH00603-00</t>
  </si>
  <si>
    <t>VH00636-00</t>
  </si>
  <si>
    <t>VH00637-00</t>
  </si>
  <si>
    <t>VH00657-00</t>
  </si>
  <si>
    <t>VH00657-01</t>
  </si>
  <si>
    <t>VH00658-00</t>
  </si>
  <si>
    <t>VH00660-00</t>
  </si>
  <si>
    <t>VH00678-00</t>
  </si>
  <si>
    <t>VH00727-00</t>
  </si>
  <si>
    <t>VH00749-00</t>
  </si>
  <si>
    <t>VH00806-00</t>
  </si>
  <si>
    <t>CER347</t>
  </si>
  <si>
    <t>VH00806-00/A</t>
  </si>
  <si>
    <t>VH00812-00</t>
  </si>
  <si>
    <t>VH00854-00</t>
  </si>
  <si>
    <t>CER127</t>
  </si>
  <si>
    <t>VH00856-00</t>
  </si>
  <si>
    <t>VH00891-00</t>
  </si>
  <si>
    <t>VH00892-00</t>
  </si>
  <si>
    <t>VH00899-00</t>
  </si>
  <si>
    <t>VH00900-00</t>
  </si>
  <si>
    <t>VH00908-00</t>
  </si>
  <si>
    <t>VH00924-00</t>
  </si>
  <si>
    <t>VH01031-00</t>
  </si>
  <si>
    <t>CER330</t>
  </si>
  <si>
    <t>VH01032-00</t>
  </si>
  <si>
    <t>VH01039-00</t>
  </si>
  <si>
    <t>VH01040-00</t>
  </si>
  <si>
    <t>VH01050-00</t>
  </si>
  <si>
    <t>VH01063-00</t>
  </si>
  <si>
    <t>VH01145-00</t>
  </si>
  <si>
    <t>VH01147-00</t>
  </si>
  <si>
    <t>VH01148-00</t>
  </si>
  <si>
    <t>VH01164-00</t>
  </si>
  <si>
    <t>VH01165-00</t>
  </si>
  <si>
    <t>VH01166-00</t>
  </si>
  <si>
    <t>VH01203-00</t>
  </si>
  <si>
    <t>VH01206-00</t>
  </si>
  <si>
    <t>VH01238-00</t>
  </si>
  <si>
    <t>CER034</t>
  </si>
  <si>
    <t>VH01239-00</t>
  </si>
  <si>
    <t>VH01240-00</t>
  </si>
  <si>
    <t>VH01241-00</t>
  </si>
  <si>
    <t>VH01242-00</t>
  </si>
  <si>
    <t>VH01246-00</t>
  </si>
  <si>
    <t>VH01247-00</t>
  </si>
  <si>
    <t>VH01251-00/A</t>
  </si>
  <si>
    <t>VH01251-00/B</t>
  </si>
  <si>
    <t>VH01256-00</t>
  </si>
  <si>
    <t>VH01257-00</t>
  </si>
  <si>
    <t>VH01259-00</t>
  </si>
  <si>
    <t>VH01260-00</t>
  </si>
  <si>
    <t>VH01265-00</t>
  </si>
  <si>
    <t>VH01269-00</t>
  </si>
  <si>
    <t>VH01280-00</t>
  </si>
  <si>
    <t>VH01282-00</t>
  </si>
  <si>
    <t>VH01286-00</t>
  </si>
  <si>
    <t>VH01287-00</t>
  </si>
  <si>
    <t>VH01290-00</t>
  </si>
  <si>
    <t>VH01291-00</t>
  </si>
  <si>
    <t>CER247</t>
  </si>
  <si>
    <t>VH01292-00</t>
  </si>
  <si>
    <t>VH01311-00</t>
  </si>
  <si>
    <t>CER353</t>
  </si>
  <si>
    <t>VH01316-00</t>
  </si>
  <si>
    <t>VH01318-00</t>
  </si>
  <si>
    <t>VH01319-00</t>
  </si>
  <si>
    <t>VH01322-00</t>
  </si>
  <si>
    <t>VH01331-00</t>
  </si>
  <si>
    <t>VH01333-00</t>
  </si>
  <si>
    <t>VH01334-00</t>
  </si>
  <si>
    <t>VH01338-00</t>
  </si>
  <si>
    <t>VH01339-00</t>
  </si>
  <si>
    <t>VH01340-00</t>
  </si>
  <si>
    <t>VH01341-00</t>
  </si>
  <si>
    <t>VH01342-00</t>
  </si>
  <si>
    <t>VH01345-00</t>
  </si>
  <si>
    <t>VH01346-00</t>
  </si>
  <si>
    <t>CER326</t>
  </si>
  <si>
    <t>VH01347-00</t>
  </si>
  <si>
    <t>VH01348-00</t>
  </si>
  <si>
    <t>VH01351-00</t>
  </si>
  <si>
    <t>VH01352-00</t>
  </si>
  <si>
    <t>VH01353-00</t>
  </si>
  <si>
    <t>VH01356-00</t>
  </si>
  <si>
    <t>VH01373-00</t>
  </si>
  <si>
    <t>VH01374-00</t>
  </si>
  <si>
    <t>VH01375-00</t>
  </si>
  <si>
    <t>VH01382-00</t>
  </si>
  <si>
    <t>VH01382-00/A</t>
  </si>
  <si>
    <t>VH01413-00</t>
  </si>
  <si>
    <t>VH01416-00</t>
  </si>
  <si>
    <t>CER216</t>
  </si>
  <si>
    <t>VH01419-00</t>
  </si>
  <si>
    <t>VH01421-00</t>
  </si>
  <si>
    <t>VH01423-00</t>
  </si>
  <si>
    <t>VH01439-00</t>
  </si>
  <si>
    <t>VH01441-00</t>
  </si>
  <si>
    <t>VH01442-00</t>
  </si>
  <si>
    <t>VH01490-00</t>
  </si>
  <si>
    <t>VH01491-00</t>
  </si>
  <si>
    <t>CER361</t>
  </si>
  <si>
    <t>VH01527-00</t>
  </si>
  <si>
    <t>VH01528-00</t>
  </si>
  <si>
    <t>VH01550-00</t>
  </si>
  <si>
    <t>VH01554-00</t>
  </si>
  <si>
    <t>VH01556-00</t>
  </si>
  <si>
    <t>VH01561-00</t>
  </si>
  <si>
    <t>VH01562-00</t>
  </si>
  <si>
    <t>VH01564-00</t>
  </si>
  <si>
    <t>VH01578-00</t>
  </si>
  <si>
    <t>VH01579-00</t>
  </si>
  <si>
    <t>VH01583-00</t>
  </si>
  <si>
    <t>VH01584-00</t>
  </si>
  <si>
    <t>VH01597-00</t>
  </si>
  <si>
    <t>VH01598-00</t>
  </si>
  <si>
    <t>CER323</t>
  </si>
  <si>
    <t>VH01599-00</t>
  </si>
  <si>
    <t>VH01600-00</t>
  </si>
  <si>
    <t>VH01601-00</t>
  </si>
  <si>
    <t>VH01602-00</t>
  </si>
  <si>
    <t>VH01604-00</t>
  </si>
  <si>
    <t>VH01604-01</t>
  </si>
  <si>
    <t>VH01607-00</t>
  </si>
  <si>
    <t>VH01609-00</t>
  </si>
  <si>
    <t>VH01610-00</t>
  </si>
  <si>
    <t>VH01610-01</t>
  </si>
  <si>
    <t>VH01611-00</t>
  </si>
  <si>
    <t>VH01612-00</t>
  </si>
  <si>
    <t>VH01612-01</t>
  </si>
  <si>
    <t>VH01612-02</t>
  </si>
  <si>
    <t>VH01613-00</t>
  </si>
  <si>
    <t>CER376</t>
  </si>
  <si>
    <t>VH01614-00</t>
  </si>
  <si>
    <t>VH01618-00</t>
  </si>
  <si>
    <t>VH01621-00</t>
  </si>
  <si>
    <t>VH01622-00</t>
  </si>
  <si>
    <t>VH01623-00</t>
  </si>
  <si>
    <t>VH01624-00</t>
  </si>
  <si>
    <t>VH01625-00</t>
  </si>
  <si>
    <t>VH01626-00</t>
  </si>
  <si>
    <t>VH01628-00</t>
  </si>
  <si>
    <t>CER319</t>
  </si>
  <si>
    <t>VH01629-00</t>
  </si>
  <si>
    <t>VH01631-00</t>
  </si>
  <si>
    <t>VH01645-00</t>
  </si>
  <si>
    <t>VH01650-00</t>
  </si>
  <si>
    <t>VH01651-00/A</t>
  </si>
  <si>
    <t>VH01682-00</t>
  </si>
  <si>
    <t>VH01752-00</t>
  </si>
  <si>
    <t>VH01754-00</t>
  </si>
  <si>
    <t>CER128</t>
  </si>
  <si>
    <t>VH01790-00/B</t>
  </si>
  <si>
    <t>VH01790-00/C</t>
  </si>
  <si>
    <t>VH01875-00</t>
  </si>
  <si>
    <t>VH01876-00</t>
  </si>
  <si>
    <t>VH01879-00</t>
  </si>
  <si>
    <t>VH01885-00</t>
  </si>
  <si>
    <t>VH01886-00</t>
  </si>
  <si>
    <t>VH01907-00</t>
  </si>
  <si>
    <t>VH01941-00</t>
  </si>
  <si>
    <t>VH02003-00</t>
  </si>
  <si>
    <t>GT00003847/1</t>
  </si>
  <si>
    <t>GS4792</t>
  </si>
  <si>
    <t>002-3220-4989</t>
  </si>
  <si>
    <t>002-3220-4990</t>
  </si>
  <si>
    <t>002-3220-4991</t>
  </si>
  <si>
    <t>002-3220-4992</t>
  </si>
  <si>
    <t>002-3220-4993</t>
  </si>
  <si>
    <t>002-3220-4994</t>
  </si>
  <si>
    <t>002-3220-4995</t>
  </si>
  <si>
    <t>002-3220-4996</t>
  </si>
  <si>
    <t>002-3220-4997</t>
  </si>
  <si>
    <t>002-3220-4998</t>
  </si>
  <si>
    <t>GS4952</t>
  </si>
  <si>
    <t>002-3220-4982</t>
  </si>
  <si>
    <t>002-3220-4983</t>
  </si>
  <si>
    <t>002-3220-4984</t>
  </si>
  <si>
    <t>002-3220-4985</t>
  </si>
  <si>
    <t>002-3220-4986</t>
  </si>
  <si>
    <t>002-3220-4987</t>
  </si>
  <si>
    <t>002-3220-4988</t>
  </si>
  <si>
    <t>GS4820</t>
  </si>
  <si>
    <t>002-3220-5003</t>
  </si>
  <si>
    <t>002-3220-5004</t>
  </si>
  <si>
    <t>002-3220-5005</t>
  </si>
  <si>
    <t>002-3220-5006</t>
  </si>
  <si>
    <t>002-3220-5007</t>
  </si>
  <si>
    <t>002-3220-5008</t>
  </si>
  <si>
    <t>002-3220-5009</t>
  </si>
  <si>
    <t>002-3220-5010</t>
  </si>
  <si>
    <t>002-3220-4999</t>
  </si>
  <si>
    <t>002-3220-5000</t>
  </si>
  <si>
    <t>002-3220-5001</t>
  </si>
  <si>
    <t>002-3220-5002</t>
  </si>
  <si>
    <t>GS4821</t>
  </si>
  <si>
    <t>002-3220-5012</t>
  </si>
  <si>
    <t>002-3220-5013</t>
  </si>
  <si>
    <t>002-3220-5014</t>
  </si>
  <si>
    <t>002-3220-5015</t>
  </si>
  <si>
    <t>002-3220-5016</t>
  </si>
  <si>
    <t>002-3220-5017</t>
  </si>
  <si>
    <t>002-3220-5018</t>
  </si>
  <si>
    <t>002-3220-5019</t>
  </si>
  <si>
    <t>002-3220-5020</t>
  </si>
  <si>
    <t>002-3220-5021</t>
  </si>
  <si>
    <t>002-3220-5022</t>
  </si>
  <si>
    <t>002-3220-5023</t>
  </si>
  <si>
    <t>GS5151/52</t>
  </si>
  <si>
    <t>002-3220-5036</t>
  </si>
  <si>
    <t>002-3220-5037</t>
  </si>
  <si>
    <t>002-3220-5038</t>
  </si>
  <si>
    <t>002-3220-5039</t>
  </si>
  <si>
    <t>002-3220-5040</t>
  </si>
  <si>
    <t>002-3220-5041</t>
  </si>
  <si>
    <t>002-3220-5042</t>
  </si>
  <si>
    <t>GS5153</t>
  </si>
  <si>
    <t>002-3220-5043</t>
  </si>
  <si>
    <t>002-3220-5044</t>
  </si>
  <si>
    <t>GS5154</t>
  </si>
  <si>
    <t>002-3220-5024</t>
  </si>
  <si>
    <t>002-3220-5025</t>
  </si>
  <si>
    <t>002-3220-5026</t>
  </si>
  <si>
    <t>002-3220-5027</t>
  </si>
  <si>
    <t>002-3220-5028</t>
  </si>
  <si>
    <t>002-3220-5029</t>
  </si>
  <si>
    <t>002-3220-5030</t>
  </si>
  <si>
    <t>002-3220-5031</t>
  </si>
  <si>
    <t>002-3220-5032</t>
  </si>
  <si>
    <t>002-3220-5033</t>
  </si>
  <si>
    <t>GS5281</t>
  </si>
  <si>
    <t>002-3220-4965</t>
  </si>
  <si>
    <t>GS4822</t>
  </si>
  <si>
    <t>002-3220-5051</t>
  </si>
  <si>
    <t>002-3220-5052</t>
  </si>
  <si>
    <t>002-3220-5050</t>
  </si>
  <si>
    <t>GS5240</t>
  </si>
  <si>
    <t>002-3220-5053</t>
  </si>
  <si>
    <t>002-3220-5054</t>
  </si>
  <si>
    <t>002-3220-5055</t>
  </si>
  <si>
    <t>002-3220-5056</t>
  </si>
  <si>
    <t>002-3220-5057</t>
  </si>
  <si>
    <t>002-3220-5058</t>
  </si>
  <si>
    <t>002-3220-5059</t>
  </si>
  <si>
    <t>002-3220-5060</t>
  </si>
  <si>
    <t>002-3220-5061</t>
  </si>
  <si>
    <t>002-3220-5062</t>
  </si>
  <si>
    <t>002-3220-5063</t>
  </si>
  <si>
    <t>002-3220-5064</t>
  </si>
  <si>
    <t>002-3220-5065</t>
  </si>
  <si>
    <t>002-3220-5066</t>
  </si>
  <si>
    <t>002-3220-5067</t>
  </si>
  <si>
    <t>002-3220-5068</t>
  </si>
  <si>
    <t>002-3220-5069</t>
  </si>
  <si>
    <t>GS5259</t>
  </si>
  <si>
    <t>002-3220-5070</t>
  </si>
  <si>
    <t>002-3220-5071</t>
  </si>
  <si>
    <t>002-3220-5072</t>
  </si>
  <si>
    <t>002-3220-5073</t>
  </si>
  <si>
    <t>002-3220-5074</t>
  </si>
  <si>
    <t>002-3220-5075</t>
  </si>
  <si>
    <t>002-3220-5076</t>
  </si>
  <si>
    <t>002-3220-5077</t>
  </si>
  <si>
    <t>002-3220-5078</t>
  </si>
  <si>
    <t>002-3220-5079</t>
  </si>
  <si>
    <t>002-3220-5080</t>
  </si>
  <si>
    <t>002-3220-5081</t>
  </si>
  <si>
    <t>GS5406</t>
  </si>
  <si>
    <t>002-3220-5082</t>
  </si>
  <si>
    <t>002-3220-5083</t>
  </si>
  <si>
    <t>002-3220-5084</t>
  </si>
  <si>
    <t>002-3220-5085</t>
  </si>
  <si>
    <t>002-3220-5086</t>
  </si>
  <si>
    <t>002-3220-5087</t>
  </si>
  <si>
    <t>002-3220-5088</t>
  </si>
  <si>
    <t>002-3220-5089</t>
  </si>
  <si>
    <t>002-3220-5090</t>
  </si>
  <si>
    <t>002-3220-5091</t>
  </si>
  <si>
    <t>002-3220-5092</t>
  </si>
  <si>
    <t>002-3220-5093</t>
  </si>
  <si>
    <t>GS4666</t>
  </si>
  <si>
    <t>002-3220-5104</t>
  </si>
  <si>
    <t>002-3220-5105</t>
  </si>
  <si>
    <t>002-3220-5106</t>
  </si>
  <si>
    <t>002-3220-5107</t>
  </si>
  <si>
    <t>002-3220-5108</t>
  </si>
  <si>
    <t>002-3220-5109</t>
  </si>
  <si>
    <t>002-3220-5094</t>
  </si>
  <si>
    <t>002-3220-5095</t>
  </si>
  <si>
    <t>002-3220-5096</t>
  </si>
  <si>
    <t>002-3220-5097</t>
  </si>
  <si>
    <t>002-3220-5098</t>
  </si>
  <si>
    <t>002-3220-5099</t>
  </si>
  <si>
    <t>002-3220-5100</t>
  </si>
  <si>
    <t>002-3220-5101</t>
  </si>
  <si>
    <t>002-3220-5102</t>
  </si>
  <si>
    <t>002-3220-5103</t>
  </si>
  <si>
    <t>E05591-00</t>
  </si>
  <si>
    <t>E05616-00</t>
  </si>
  <si>
    <t>E05759-00</t>
  </si>
  <si>
    <t>CER334</t>
  </si>
  <si>
    <t>E07736-00</t>
  </si>
  <si>
    <t>E07736-01</t>
  </si>
  <si>
    <t>E205411-00</t>
  </si>
  <si>
    <t>E205411-01</t>
  </si>
  <si>
    <t>E205411-02</t>
  </si>
  <si>
    <t>E205411-03</t>
  </si>
  <si>
    <t>E205411-04</t>
  </si>
  <si>
    <t>GT00003725/1</t>
  </si>
  <si>
    <t>GT00003725/2</t>
  </si>
  <si>
    <t>GT00003831/5</t>
  </si>
  <si>
    <t>GT00003904/1</t>
  </si>
  <si>
    <t>CER335</t>
  </si>
  <si>
    <t>GT00003904/10</t>
  </si>
  <si>
    <t>GT00003904/11</t>
  </si>
  <si>
    <t>GT00003904/12</t>
  </si>
  <si>
    <t>GT00003904/13</t>
  </si>
  <si>
    <t>GT00003904/14</t>
  </si>
  <si>
    <t>GT00003904/2</t>
  </si>
  <si>
    <t>GT00003904/3</t>
  </si>
  <si>
    <t>GT00003904/4</t>
  </si>
  <si>
    <t>GT00003904/5</t>
  </si>
  <si>
    <t>GT00003904/6</t>
  </si>
  <si>
    <t>GT00003904/7</t>
  </si>
  <si>
    <t>GT00003904/8</t>
  </si>
  <si>
    <t>GT00003904/9</t>
  </si>
  <si>
    <t>GT00005242/1</t>
  </si>
  <si>
    <t>CER271</t>
  </si>
  <si>
    <t>GT00005242/2</t>
  </si>
  <si>
    <t>GT00005267/1</t>
  </si>
  <si>
    <t>GT00005293/3</t>
  </si>
  <si>
    <t>GT00005293/4</t>
  </si>
  <si>
    <t>GT00005807/1</t>
  </si>
  <si>
    <t>GT00005807/2</t>
  </si>
  <si>
    <t>GT00005807/3</t>
  </si>
  <si>
    <t>GT00005807/4</t>
  </si>
  <si>
    <t>GT00675-00</t>
  </si>
  <si>
    <t>CER379</t>
  </si>
  <si>
    <t>GT04349-24</t>
  </si>
  <si>
    <t>GT04349-25</t>
  </si>
  <si>
    <t>GT04349-30</t>
  </si>
  <si>
    <t>GT04364-01</t>
  </si>
  <si>
    <t>M00846-00</t>
  </si>
  <si>
    <t>M00846-01</t>
  </si>
  <si>
    <t>V66097-00</t>
  </si>
  <si>
    <t>V66211-00</t>
  </si>
  <si>
    <t>V66217-00</t>
  </si>
  <si>
    <t>V66337-00</t>
  </si>
  <si>
    <t>V66454-00</t>
  </si>
  <si>
    <t>V66454-01</t>
  </si>
  <si>
    <t>V66517-00</t>
  </si>
  <si>
    <t>V66659-00</t>
  </si>
  <si>
    <t>V66660-00</t>
  </si>
  <si>
    <t>V66723-00</t>
  </si>
  <si>
    <t>V66859-00</t>
  </si>
  <si>
    <t>V66874-00</t>
  </si>
  <si>
    <t>VH01642-00</t>
  </si>
  <si>
    <t>VH01643-00</t>
  </si>
  <si>
    <t>VH01644-00</t>
  </si>
  <si>
    <t>VH01655-00</t>
  </si>
  <si>
    <t>VH01656-00</t>
  </si>
  <si>
    <t>VH01661-00</t>
  </si>
  <si>
    <t>VH01662-00</t>
  </si>
  <si>
    <t>VH01666-00</t>
  </si>
  <si>
    <t>VH01890-00</t>
  </si>
  <si>
    <t>VH01891-00</t>
  </si>
  <si>
    <t>VH01895-00</t>
  </si>
  <si>
    <t>VH01896-00</t>
  </si>
  <si>
    <t>VH02037-00</t>
  </si>
  <si>
    <t>VH02039-00</t>
  </si>
  <si>
    <t>VH02040-00</t>
  </si>
  <si>
    <t>VH02041-00</t>
  </si>
  <si>
    <t>VH02042-00</t>
  </si>
  <si>
    <t>VH02046-00</t>
  </si>
  <si>
    <t>VH02047-00</t>
  </si>
  <si>
    <t>VH02051-00</t>
  </si>
  <si>
    <t>VH02053-00</t>
  </si>
  <si>
    <t>VH02054-00</t>
  </si>
  <si>
    <t>VH02079-00</t>
  </si>
  <si>
    <t>CER258</t>
  </si>
  <si>
    <t>VH02103-00</t>
  </si>
  <si>
    <t>VH02104-00</t>
  </si>
  <si>
    <t>VH02105-00</t>
  </si>
  <si>
    <t>VH02115-00</t>
  </si>
  <si>
    <t>VH02119-00</t>
  </si>
  <si>
    <t>VH02122-00</t>
  </si>
  <si>
    <t>VH02162-00</t>
  </si>
  <si>
    <t>VH02221-00</t>
  </si>
  <si>
    <t>VH02268-00/A</t>
  </si>
  <si>
    <t>VH02463-00</t>
  </si>
  <si>
    <t>VH02465-00</t>
  </si>
  <si>
    <t>VH02468-00</t>
  </si>
  <si>
    <t>VH02472-00</t>
  </si>
  <si>
    <t>VH02585-00/A</t>
  </si>
  <si>
    <t>CER328</t>
  </si>
  <si>
    <t>VH02648-00/E</t>
  </si>
  <si>
    <t>VH02649-00</t>
  </si>
  <si>
    <t>VH02650-00</t>
  </si>
  <si>
    <t>VH02657-00</t>
  </si>
  <si>
    <t>CER255</t>
  </si>
  <si>
    <t>VH02707-00</t>
  </si>
  <si>
    <t>VH02708-00</t>
  </si>
  <si>
    <t>VH02709-00</t>
  </si>
  <si>
    <t>VH02744-00/C</t>
  </si>
  <si>
    <t>CER236</t>
  </si>
  <si>
    <t>GS5755</t>
  </si>
  <si>
    <t>002-3220-5122</t>
  </si>
  <si>
    <t>002-3220-5123</t>
  </si>
  <si>
    <t>002-3220-5124</t>
  </si>
  <si>
    <t>002-3220-5125</t>
  </si>
  <si>
    <t>002-3220-5126</t>
  </si>
  <si>
    <t>002-3220-5127</t>
  </si>
  <si>
    <t>002-3220-5128</t>
  </si>
  <si>
    <t>002-3220-5129</t>
  </si>
  <si>
    <t>002-3220-5130</t>
  </si>
  <si>
    <t>002-3220-5131</t>
  </si>
  <si>
    <t>002-3220-5132</t>
  </si>
  <si>
    <t>002-3220-5133</t>
  </si>
  <si>
    <t>002-3220-5134</t>
  </si>
  <si>
    <t>002-3220-5135</t>
  </si>
  <si>
    <t>002-3220-5136</t>
  </si>
  <si>
    <t>002-3220-5137</t>
  </si>
  <si>
    <t>GS5754</t>
  </si>
  <si>
    <t>002-3220-5110</t>
  </si>
  <si>
    <t>002-3220-5111</t>
  </si>
  <si>
    <t>002-3220-5112</t>
  </si>
  <si>
    <t>002-3220-5113</t>
  </si>
  <si>
    <t>002-3220-5114</t>
  </si>
  <si>
    <t>002-3220-5115</t>
  </si>
  <si>
    <t>002-3220-5116</t>
  </si>
  <si>
    <t>002-3220-5117</t>
  </si>
  <si>
    <t>002-3220-5118</t>
  </si>
  <si>
    <t>002-3220-5119</t>
  </si>
  <si>
    <t>002-3220-5120</t>
  </si>
  <si>
    <t>002-3220-5121</t>
  </si>
  <si>
    <t>1165/18</t>
  </si>
  <si>
    <t>1176/18</t>
  </si>
  <si>
    <t>1186/18</t>
  </si>
  <si>
    <t>1204/18</t>
  </si>
  <si>
    <t>1213/18</t>
  </si>
  <si>
    <t>1272/18</t>
  </si>
  <si>
    <t>1277/18</t>
  </si>
  <si>
    <t>E06829-00</t>
  </si>
  <si>
    <t>CP</t>
  </si>
  <si>
    <t>E06829-02</t>
  </si>
  <si>
    <t>E07888-00</t>
  </si>
  <si>
    <t>CER063</t>
  </si>
  <si>
    <t>E07888-01</t>
  </si>
  <si>
    <t>E07966-00</t>
  </si>
  <si>
    <t>E07969-00</t>
  </si>
  <si>
    <t>E105623-01</t>
  </si>
  <si>
    <t>E105623-02</t>
  </si>
  <si>
    <t>E205447-00</t>
  </si>
  <si>
    <t>E205447-01</t>
  </si>
  <si>
    <t>GT00003799/1</t>
  </si>
  <si>
    <t>GT00003799/2</t>
  </si>
  <si>
    <t>GT00003800/1</t>
  </si>
  <si>
    <t>GT00003822/2</t>
  </si>
  <si>
    <t>GT00003822/3</t>
  </si>
  <si>
    <t>GT00003829/1</t>
  </si>
  <si>
    <t>GT00003829/2</t>
  </si>
  <si>
    <t>GT00004169/1</t>
  </si>
  <si>
    <t>GT00004169/2</t>
  </si>
  <si>
    <t>GT00004169/3</t>
  </si>
  <si>
    <t>GT00004169/4</t>
  </si>
  <si>
    <t>GT00004169/5</t>
  </si>
  <si>
    <t>GT00004169/6</t>
  </si>
  <si>
    <t>GT00004169/7</t>
  </si>
  <si>
    <t>GT04349-08</t>
  </si>
  <si>
    <t>GT04349-09</t>
  </si>
  <si>
    <t>GT04349-10</t>
  </si>
  <si>
    <t>GT04349-11</t>
  </si>
  <si>
    <t>GT04349-13</t>
  </si>
  <si>
    <t>GT04349-14</t>
  </si>
  <si>
    <t>GT04349-15</t>
  </si>
  <si>
    <t>GT04349-16</t>
  </si>
  <si>
    <t>GT04349-17</t>
  </si>
  <si>
    <t>GT04349-18</t>
  </si>
  <si>
    <t>GT04349-19</t>
  </si>
  <si>
    <t>GT04349-20</t>
  </si>
  <si>
    <t>GT04349-21</t>
  </si>
  <si>
    <t>GT04349-22</t>
  </si>
  <si>
    <t>GT04349-23</t>
  </si>
  <si>
    <t>GT04349-26</t>
  </si>
  <si>
    <t>GT04349-27</t>
  </si>
  <si>
    <t>GT04349-28</t>
  </si>
  <si>
    <t>GT04352-01</t>
  </si>
  <si>
    <t>GT04352-06</t>
  </si>
  <si>
    <t>GT04352-07</t>
  </si>
  <si>
    <t>GT04352-22</t>
  </si>
  <si>
    <t>GT04352-23</t>
  </si>
  <si>
    <t>GT04352-25</t>
  </si>
  <si>
    <t>L37539-00</t>
  </si>
  <si>
    <t>L37539-01</t>
  </si>
  <si>
    <t>L37539-02</t>
  </si>
  <si>
    <t>VH00235-00</t>
  </si>
  <si>
    <t>VH00390-00</t>
  </si>
  <si>
    <t>VH00472-00</t>
  </si>
  <si>
    <t>VH01526-00</t>
  </si>
  <si>
    <t>VH01843-00</t>
  </si>
  <si>
    <t>VH01960-00</t>
  </si>
  <si>
    <t>VH01961-00</t>
  </si>
  <si>
    <t>VH01965-00</t>
  </si>
  <si>
    <t>VH01969-00</t>
  </si>
  <si>
    <t>VH01970-00</t>
  </si>
  <si>
    <t>VH02144-00</t>
  </si>
  <si>
    <t>VH02145-00</t>
  </si>
  <si>
    <t>VH02146-00</t>
  </si>
  <si>
    <t>VH02147-00</t>
  </si>
  <si>
    <t>VH02186-00</t>
  </si>
  <si>
    <t>VH02207-00</t>
  </si>
  <si>
    <t>VH02237-00</t>
  </si>
  <si>
    <t>VH02238-00</t>
  </si>
  <si>
    <t>VH02246-00</t>
  </si>
  <si>
    <t>VH02261-00</t>
  </si>
  <si>
    <t>VH02268-00/C</t>
  </si>
  <si>
    <t>VH02341-00/A</t>
  </si>
  <si>
    <t>CER177</t>
  </si>
  <si>
    <t>VH02359-00</t>
  </si>
  <si>
    <t>VH02423-00</t>
  </si>
  <si>
    <t>VH02424-00</t>
  </si>
  <si>
    <t>VH02425-00</t>
  </si>
  <si>
    <t>VH02426-00</t>
  </si>
  <si>
    <t>VH02428-00</t>
  </si>
  <si>
    <t>VH02439-00</t>
  </si>
  <si>
    <t>VH02445-00</t>
  </si>
  <si>
    <t>VH02446-00</t>
  </si>
  <si>
    <t>VH02447-00</t>
  </si>
  <si>
    <t>VH02448-00</t>
  </si>
  <si>
    <t>VH02448-01</t>
  </si>
  <si>
    <t>VH02450-00</t>
  </si>
  <si>
    <t>VH02471-00</t>
  </si>
  <si>
    <t>VH02478-00</t>
  </si>
  <si>
    <t>VH02585-00/B</t>
  </si>
  <si>
    <t>VH02598-00</t>
  </si>
  <si>
    <t>VH02648-00/D</t>
  </si>
  <si>
    <t>VH02743-00</t>
  </si>
  <si>
    <t>VH02744-00/B</t>
  </si>
  <si>
    <t>2019/2020</t>
  </si>
  <si>
    <t>VH03474-00</t>
  </si>
  <si>
    <t>VH03475-00</t>
  </si>
  <si>
    <t>VH03698-00</t>
  </si>
  <si>
    <t>VH03710-00</t>
  </si>
  <si>
    <t>VH03972-00</t>
  </si>
  <si>
    <t>VH03973-00</t>
  </si>
  <si>
    <t>VH04132-00</t>
  </si>
  <si>
    <t>VH04151-00</t>
  </si>
  <si>
    <t>VH04750-00</t>
  </si>
  <si>
    <t>VH04753-00</t>
  </si>
  <si>
    <t>VH04755-00</t>
  </si>
  <si>
    <t>VH04756-00</t>
  </si>
  <si>
    <t>VH04757-00</t>
  </si>
  <si>
    <t>VH04872-00</t>
  </si>
  <si>
    <t>VH04873-00</t>
  </si>
  <si>
    <t>VH04874-00</t>
  </si>
  <si>
    <t>VH04875-00</t>
  </si>
  <si>
    <t>VH04925-00</t>
  </si>
  <si>
    <t>GS5823</t>
  </si>
  <si>
    <t>002-3220-5138</t>
  </si>
  <si>
    <t>002-3220-5139</t>
  </si>
  <si>
    <t>002-3220-5140</t>
  </si>
  <si>
    <t>002-3220-5141</t>
  </si>
  <si>
    <t>002-3220-5142</t>
  </si>
  <si>
    <t>002-3220-5143</t>
  </si>
  <si>
    <t>002-3220-5144</t>
  </si>
  <si>
    <t>002-3220-5145</t>
  </si>
  <si>
    <t>002-3220-5146</t>
  </si>
  <si>
    <t>002-3220-5147</t>
  </si>
  <si>
    <t>002-3220-5148</t>
  </si>
  <si>
    <t>002-3220-5149</t>
  </si>
  <si>
    <t>002-3220-5150</t>
  </si>
  <si>
    <t>002-3220-5151</t>
  </si>
  <si>
    <t>002-3220-5152</t>
  </si>
  <si>
    <t>002-3220-5153</t>
  </si>
  <si>
    <t>GS5822</t>
  </si>
  <si>
    <t>002-3220-5154</t>
  </si>
  <si>
    <t>002-3220-5155</t>
  </si>
  <si>
    <t>002-3220-5156</t>
  </si>
  <si>
    <t>002-3220-5157</t>
  </si>
  <si>
    <t>002-3220-5158</t>
  </si>
  <si>
    <t>002-3220-5159</t>
  </si>
  <si>
    <t>002-3220-5160</t>
  </si>
  <si>
    <t>002-3220-5161</t>
  </si>
  <si>
    <t>002-3220-5162</t>
  </si>
  <si>
    <t>002-3220-5163</t>
  </si>
  <si>
    <t>002-3220-5164</t>
  </si>
  <si>
    <t>002-3220-5165</t>
  </si>
  <si>
    <t>GS6440</t>
  </si>
  <si>
    <t>002-3220-4000</t>
  </si>
  <si>
    <t>002-3220-4001</t>
  </si>
  <si>
    <t>GS6542</t>
  </si>
  <si>
    <t>002-3220-4002</t>
  </si>
  <si>
    <t>002-3220-4003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</si>
</sst>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_-;\-* #,##0.00_-;_-* &quot;-&quot;??_-;_-@_-"/>
    <numFmt numFmtId="164" formatCode="0.0"/>
    <numFmt numFmtId="165" formatCode="dd/mm/yy;@"/>
    <numFmt numFmtId="166" formatCode="_ * #,##0.00_ ;_ * \-#,##0.00_ ;_ * &quot;-&quot;??_ ;_ @_ "/>
    <numFmt numFmtId="167" formatCode="_(* #,##0_);_(* \(#,##0\);_(* &quot;-&quot;??_);_(@_)"/>
    <numFmt numFmtId="168" formatCode="_(* #,##0.00_);_(* \(#,##0.00\);_(* &quot;-&quot;??_);_(@_)"/>
    <numFmt numFmtId="169" formatCode="_(* #,##0.0_);_(* \(#,##0.0\);_(* &quot;-&quot;??_);_(@_)"/>
    <numFmt numFmtId="170" formatCode="0.000"/>
    <numFmt numFmtId="171" formatCode="#,##0.00;\-#,##0.00;0.00"/>
    <numFmt numFmtId="172" formatCode="0.0000"/>
    <numFmt numFmtId="173" formatCode="0.000%"/>
    <numFmt numFmtId="174" formatCode="0.0000%"/>
    <numFmt numFmtId="175" formatCode="#,##0_ ;\-#,##0\ "/>
    <numFmt numFmtId="176" formatCode="[$-1010409]General"/>
    <numFmt numFmtId="177" formatCode="#,##0.0000_);[Red]\(#,##0.0000\)"/>
    <numFmt numFmtId="178" formatCode="0_);[Red]\(0\)"/>
    <numFmt numFmtId="179" formatCode="_-* #,##0.0000_-;\-* #,##0.0000_-;_-* &quot;-&quot;??_-;_-@_-"/>
    <numFmt numFmtId="180" formatCode="#,##0.0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725846"/>
      <name val="Calibri"/>
      <family val="2"/>
      <scheme val="minor"/>
    </font>
    <font>
      <b/>
      <sz val="8"/>
      <color rgb="FF725846"/>
      <name val="Calibri Light"/>
      <family val="2"/>
      <scheme val="major"/>
    </font>
    <font>
      <b/>
      <i/>
      <sz val="8"/>
      <color rgb="FF725846"/>
      <name val="Calibri Light"/>
      <family val="2"/>
      <scheme val="major"/>
    </font>
    <font>
      <b/>
      <sz val="10"/>
      <color rgb="FF725846"/>
      <name val="Nespresso"/>
      <family val="2"/>
    </font>
    <font>
      <sz val="10"/>
      <name val="Arial"/>
      <family val="2"/>
    </font>
    <font>
      <b/>
      <sz val="9"/>
      <color rgb="FFFF0000"/>
      <name val="Arial"/>
      <family val="2"/>
    </font>
    <font>
      <b/>
      <sz val="8"/>
      <color indexed="8"/>
      <name val="Arial"/>
      <family val="2"/>
    </font>
    <font>
      <sz val="9"/>
      <color indexed="8"/>
      <name val="Arial"/>
      <family val="2"/>
    </font>
    <font>
      <sz val="9"/>
      <color rgb="FF333333"/>
      <name val="Arial"/>
      <family val="2"/>
    </font>
    <font>
      <sz val="9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theme="5" tint="0.79998168889431442"/>
      <name val="Nespresso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9" tint="0.79998168889431442"/>
      <name val="Nespresso"/>
      <family val="2"/>
    </font>
    <font>
      <b/>
      <sz val="9"/>
      <color theme="7" tint="0.79998168889431442"/>
      <name val="Nespresso"/>
      <family val="2"/>
    </font>
    <font>
      <b/>
      <sz val="10"/>
      <color theme="0" tint="-0.499984740745262"/>
      <name val="Nespresso"/>
      <family val="2"/>
    </font>
    <font>
      <b/>
      <sz val="10"/>
      <color theme="5" tint="-0.499984740745262"/>
      <name val="Nespresso"/>
      <family val="2"/>
    </font>
    <font>
      <sz val="10"/>
      <color rgb="FF9900CC"/>
      <name val="Calibri"/>
      <family val="2"/>
      <scheme val="minor"/>
    </font>
    <font>
      <sz val="10"/>
      <name val="Calibri"/>
      <family val="2"/>
    </font>
    <font>
      <sz val="7.5"/>
      <color rgb="FF9900CC"/>
      <name val="Arial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7.5"/>
      <color indexed="8"/>
      <name val="Arial"/>
      <family val="2"/>
    </font>
    <font>
      <sz val="7.5"/>
      <color rgb="FFFF0000"/>
      <name val="Arial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scheme val="minor"/>
    </font>
    <font>
      <sz val="8"/>
      <name val="Calibri Light"/>
      <family val="2"/>
      <scheme val="major"/>
    </font>
    <font>
      <sz val="8"/>
      <color theme="0" tint="-0.499984740745262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i/>
      <sz val="8"/>
      <name val="Calibri Light"/>
      <family val="2"/>
      <scheme val="major"/>
    </font>
    <font>
      <i/>
      <sz val="8"/>
      <color theme="1"/>
      <name val="Calibri Light"/>
      <family val="2"/>
      <scheme val="major"/>
    </font>
    <font>
      <sz val="12"/>
      <color theme="1"/>
      <name val="Calibri Light"/>
      <scheme val="major"/>
    </font>
    <font>
      <sz val="8"/>
      <color theme="0" tint="-0.499984740745262"/>
      <name val="Calibri Light"/>
      <scheme val="major"/>
    </font>
    <font>
      <sz val="8"/>
      <color theme="3"/>
      <name val="Calibri Light"/>
      <family val="2"/>
      <scheme val="major"/>
    </font>
    <font>
      <sz val="8"/>
      <color rgb="FFFF0000"/>
      <name val="Calibri Light"/>
      <family val="2"/>
      <scheme val="maj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1EBE7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8FBF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rgb="FFAE8F7A"/>
      </bottom>
      <diagonal/>
    </border>
    <border>
      <left style="thin">
        <color indexed="31"/>
      </left>
      <right style="thin">
        <color indexed="31"/>
      </right>
      <top style="thin">
        <color indexed="31"/>
      </top>
      <bottom style="thin">
        <color indexed="3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C6C3C6"/>
      </left>
      <right style="thin">
        <color rgb="FFC6C3C6"/>
      </right>
      <top style="thin">
        <color rgb="FFC6C3C6"/>
      </top>
      <bottom style="thin">
        <color rgb="FFC6C3C6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rgb="FFAE8F7A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/>
      <right style="thin">
        <color theme="9" tint="-0.499984740745262"/>
      </right>
      <top style="thin">
        <color theme="9" tint="-0.499984740745262"/>
      </top>
      <bottom/>
      <diagonal/>
    </border>
    <border>
      <left/>
      <right style="thin">
        <color rgb="FFC00000"/>
      </right>
      <top/>
      <bottom/>
      <diagonal/>
    </border>
    <border>
      <left style="medium">
        <color rgb="FFC00000"/>
      </left>
      <right/>
      <top/>
      <bottom/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7" fillId="0" borderId="0"/>
    <xf numFmtId="0" fontId="7" fillId="0" borderId="0"/>
    <xf numFmtId="166" fontId="7" fillId="0" borderId="0" applyFon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0" fontId="7" fillId="0" borderId="0"/>
    <xf numFmtId="43" fontId="1" fillId="0" borderId="0" applyFont="0" applyFill="0" applyBorder="0" applyAlignment="0" applyProtection="0"/>
  </cellStyleXfs>
  <cellXfs count="260"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64" fontId="4" fillId="2" borderId="1" xfId="0" applyNumberFormat="1" applyFont="1" applyFill="1" applyBorder="1" applyAlignment="1">
      <alignment horizontal="center" vertical="center" wrapText="1"/>
    </xf>
    <xf numFmtId="2" fontId="4" fillId="2" borderId="1" xfId="0" applyNumberFormat="1" applyFont="1" applyFill="1" applyBorder="1" applyAlignment="1">
      <alignment horizontal="center" vertical="center" wrapText="1"/>
    </xf>
    <xf numFmtId="3" fontId="4" fillId="2" borderId="1" xfId="0" applyNumberFormat="1" applyFont="1" applyFill="1" applyBorder="1" applyAlignment="1">
      <alignment horizontal="center" vertical="center" wrapText="1"/>
    </xf>
    <xf numFmtId="165" fontId="4" fillId="2" borderId="1" xfId="0" applyNumberFormat="1" applyFont="1" applyFill="1" applyBorder="1" applyAlignment="1">
      <alignment horizontal="center" vertical="center" wrapText="1"/>
    </xf>
    <xf numFmtId="0" fontId="8" fillId="4" borderId="0" xfId="2" applyFont="1" applyFill="1" applyAlignment="1">
      <alignment horizontal="left"/>
    </xf>
    <xf numFmtId="0" fontId="9" fillId="5" borderId="2" xfId="2" applyFont="1" applyFill="1" applyBorder="1" applyAlignment="1">
      <alignment horizontal="center" wrapText="1"/>
    </xf>
    <xf numFmtId="0" fontId="7" fillId="0" borderId="0" xfId="3"/>
    <xf numFmtId="167" fontId="0" fillId="0" borderId="0" xfId="4" applyNumberFormat="1" applyFont="1" applyAlignment="1">
      <alignment horizontal="center"/>
    </xf>
    <xf numFmtId="168" fontId="0" fillId="0" borderId="0" xfId="4" applyNumberFormat="1" applyFont="1" applyAlignment="1">
      <alignment horizontal="center"/>
    </xf>
    <xf numFmtId="169" fontId="0" fillId="0" borderId="0" xfId="4" applyNumberFormat="1" applyFont="1" applyAlignment="1">
      <alignment horizontal="center"/>
    </xf>
    <xf numFmtId="167" fontId="0" fillId="0" borderId="0" xfId="4" applyNumberFormat="1" applyFont="1" applyAlignment="1">
      <alignment horizontal="center" wrapText="1"/>
    </xf>
    <xf numFmtId="14" fontId="10" fillId="4" borderId="0" xfId="2" applyNumberFormat="1" applyFont="1" applyFill="1" applyAlignment="1">
      <alignment horizontal="left"/>
    </xf>
    <xf numFmtId="2" fontId="10" fillId="4" borderId="2" xfId="2" applyNumberFormat="1" applyFont="1" applyFill="1" applyBorder="1" applyAlignment="1">
      <alignment horizontal="right"/>
    </xf>
    <xf numFmtId="167" fontId="0" fillId="0" borderId="0" xfId="4" applyNumberFormat="1" applyFont="1"/>
    <xf numFmtId="168" fontId="0" fillId="0" borderId="0" xfId="4" applyNumberFormat="1" applyFont="1"/>
    <xf numFmtId="169" fontId="0" fillId="0" borderId="0" xfId="4" applyNumberFormat="1" applyFont="1"/>
    <xf numFmtId="1" fontId="0" fillId="0" borderId="0" xfId="4" applyNumberFormat="1" applyFont="1"/>
    <xf numFmtId="170" fontId="0" fillId="0" borderId="0" xfId="4" applyNumberFormat="1" applyFont="1"/>
    <xf numFmtId="167" fontId="0" fillId="0" borderId="0" xfId="4" applyNumberFormat="1" applyFont="1" applyAlignment="1">
      <alignment vertical="center" wrapText="1"/>
    </xf>
    <xf numFmtId="168" fontId="0" fillId="0" borderId="0" xfId="4" applyNumberFormat="1" applyFont="1" applyAlignment="1">
      <alignment vertical="center" wrapText="1"/>
    </xf>
    <xf numFmtId="169" fontId="0" fillId="0" borderId="0" xfId="4" applyNumberFormat="1" applyFont="1" applyAlignment="1">
      <alignment vertical="center" wrapText="1"/>
    </xf>
    <xf numFmtId="171" fontId="11" fillId="7" borderId="12" xfId="2" applyNumberFormat="1" applyFont="1" applyFill="1" applyBorder="1" applyAlignment="1">
      <alignment horizontal="right"/>
    </xf>
    <xf numFmtId="171" fontId="11" fillId="8" borderId="12" xfId="2" applyNumberFormat="1" applyFont="1" applyFill="1" applyBorder="1" applyAlignment="1">
      <alignment horizontal="right"/>
    </xf>
    <xf numFmtId="0" fontId="15" fillId="9" borderId="5" xfId="0" applyFont="1" applyFill="1" applyBorder="1" applyAlignment="1">
      <alignment horizontal="center" vertical="center" wrapText="1"/>
    </xf>
    <xf numFmtId="164" fontId="16" fillId="11" borderId="0" xfId="0" applyNumberFormat="1" applyFont="1" applyFill="1" applyAlignment="1">
      <alignment horizontal="center" vertical="center" wrapText="1"/>
    </xf>
    <xf numFmtId="0" fontId="16" fillId="11" borderId="0" xfId="0" applyFont="1" applyFill="1" applyAlignment="1">
      <alignment horizontal="center" vertical="center" wrapText="1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38" fontId="0" fillId="0" borderId="0" xfId="0" applyNumberFormat="1" applyAlignment="1">
      <alignment horizontal="center" vertical="center"/>
    </xf>
    <xf numFmtId="0" fontId="15" fillId="9" borderId="14" xfId="0" applyFont="1" applyFill="1" applyBorder="1" applyAlignment="1">
      <alignment horizontal="center" vertical="center" wrapText="1"/>
    </xf>
    <xf numFmtId="3" fontId="0" fillId="0" borderId="0" xfId="0" applyNumberFormat="1"/>
    <xf numFmtId="164" fontId="17" fillId="11" borderId="13" xfId="0" applyNumberFormat="1" applyFont="1" applyFill="1" applyBorder="1" applyAlignment="1">
      <alignment horizontal="center" vertical="center" wrapText="1"/>
    </xf>
    <xf numFmtId="0" fontId="17" fillId="11" borderId="13" xfId="0" applyFont="1" applyFill="1" applyBorder="1" applyAlignment="1">
      <alignment horizontal="center" vertical="center" wrapText="1"/>
    </xf>
    <xf numFmtId="0" fontId="17" fillId="11" borderId="15" xfId="0" applyFont="1" applyFill="1" applyBorder="1" applyAlignment="1">
      <alignment horizontal="center" vertical="center" wrapText="1"/>
    </xf>
    <xf numFmtId="2" fontId="0" fillId="0" borderId="0" xfId="0" applyNumberFormat="1"/>
    <xf numFmtId="4" fontId="0" fillId="0" borderId="0" xfId="0" applyNumberFormat="1"/>
    <xf numFmtId="0" fontId="3" fillId="12" borderId="16" xfId="0" applyFont="1" applyFill="1" applyBorder="1" applyAlignment="1">
      <alignment horizontal="center" vertical="center" wrapText="1"/>
    </xf>
    <xf numFmtId="14" fontId="0" fillId="0" borderId="0" xfId="0" applyNumberFormat="1"/>
    <xf numFmtId="9" fontId="18" fillId="10" borderId="5" xfId="1" applyFont="1" applyFill="1" applyBorder="1" applyAlignment="1">
      <alignment horizontal="center" vertical="center" wrapText="1"/>
    </xf>
    <xf numFmtId="9" fontId="0" fillId="0" borderId="0" xfId="1" applyFont="1"/>
    <xf numFmtId="3" fontId="18" fillId="10" borderId="5" xfId="0" applyNumberFormat="1" applyFont="1" applyFill="1" applyBorder="1" applyAlignment="1">
      <alignment horizontal="center" vertical="center" wrapText="1"/>
    </xf>
    <xf numFmtId="3" fontId="18" fillId="10" borderId="1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0" xfId="0" applyAlignment="1">
      <alignment vertical="center" wrapText="1"/>
    </xf>
    <xf numFmtId="2" fontId="0" fillId="0" borderId="0" xfId="0" applyNumberFormat="1" applyAlignment="1">
      <alignment vertical="center" wrapText="1"/>
    </xf>
    <xf numFmtId="14" fontId="12" fillId="0" borderId="0" xfId="0" applyNumberFormat="1" applyFont="1" applyAlignment="1">
      <alignment horizontal="left"/>
    </xf>
    <xf numFmtId="171" fontId="11" fillId="8" borderId="12" xfId="0" applyNumberFormat="1" applyFont="1" applyFill="1" applyBorder="1" applyAlignment="1">
      <alignment horizontal="right"/>
    </xf>
    <xf numFmtId="171" fontId="11" fillId="7" borderId="12" xfId="0" applyNumberFormat="1" applyFont="1" applyFill="1" applyBorder="1" applyAlignment="1">
      <alignment horizontal="right"/>
    </xf>
    <xf numFmtId="10" fontId="18" fillId="10" borderId="5" xfId="1" applyNumberFormat="1" applyFont="1" applyFill="1" applyBorder="1" applyAlignment="1">
      <alignment horizontal="center" vertical="center" wrapText="1"/>
    </xf>
    <xf numFmtId="10" fontId="0" fillId="0" borderId="0" xfId="1" applyNumberFormat="1" applyFont="1"/>
    <xf numFmtId="10" fontId="18" fillId="10" borderId="14" xfId="1" applyNumberFormat="1" applyFont="1" applyFill="1" applyBorder="1" applyAlignment="1">
      <alignment horizontal="center" vertical="center" wrapText="1"/>
    </xf>
    <xf numFmtId="173" fontId="0" fillId="0" borderId="0" xfId="1" applyNumberFormat="1" applyFont="1"/>
    <xf numFmtId="174" fontId="18" fillId="10" borderId="5" xfId="1" applyNumberFormat="1" applyFont="1" applyFill="1" applyBorder="1" applyAlignment="1">
      <alignment horizontal="center" vertical="center" wrapText="1"/>
    </xf>
    <xf numFmtId="174" fontId="0" fillId="0" borderId="0" xfId="1" applyNumberFormat="1" applyFont="1"/>
    <xf numFmtId="174" fontId="18" fillId="10" borderId="14" xfId="1" applyNumberFormat="1" applyFont="1" applyFill="1" applyBorder="1" applyAlignment="1">
      <alignment horizontal="center" vertical="center" wrapText="1"/>
    </xf>
    <xf numFmtId="2" fontId="16" fillId="11" borderId="0" xfId="0" applyNumberFormat="1" applyFont="1" applyFill="1" applyAlignment="1">
      <alignment horizontal="center" vertical="center" wrapText="1"/>
    </xf>
    <xf numFmtId="2" fontId="17" fillId="11" borderId="13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/>
    </xf>
    <xf numFmtId="0" fontId="22" fillId="0" borderId="0" xfId="5" applyFont="1" applyAlignment="1">
      <alignment horizontal="center" vertical="center"/>
    </xf>
    <xf numFmtId="0" fontId="22" fillId="0" borderId="0" xfId="5" applyFont="1" applyAlignment="1">
      <alignment horizontal="left" vertical="center"/>
    </xf>
    <xf numFmtId="175" fontId="22" fillId="0" borderId="0" xfId="6" applyNumberFormat="1" applyFont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14" fontId="22" fillId="0" borderId="0" xfId="5" applyNumberFormat="1" applyFont="1" applyAlignment="1">
      <alignment horizontal="left" vertical="center"/>
    </xf>
    <xf numFmtId="1" fontId="22" fillId="0" borderId="0" xfId="5" applyNumberFormat="1" applyFont="1" applyAlignment="1">
      <alignment horizontal="center" vertical="center"/>
    </xf>
    <xf numFmtId="0" fontId="22" fillId="0" borderId="17" xfId="5" applyFont="1" applyBorder="1" applyAlignment="1">
      <alignment horizontal="left" vertical="center"/>
    </xf>
    <xf numFmtId="0" fontId="22" fillId="0" borderId="0" xfId="7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176" fontId="24" fillId="0" borderId="0" xfId="5" applyNumberFormat="1" applyFont="1" applyAlignment="1">
      <alignment horizontal="left" vertical="center" wrapText="1"/>
    </xf>
    <xf numFmtId="0" fontId="22" fillId="0" borderId="0" xfId="5" applyFont="1" applyAlignment="1">
      <alignment horizontal="left" vertical="center" wrapText="1"/>
    </xf>
    <xf numFmtId="3" fontId="16" fillId="0" borderId="0" xfId="0" applyNumberFormat="1" applyFont="1" applyAlignment="1">
      <alignment horizontal="left" vertical="center"/>
    </xf>
    <xf numFmtId="3" fontId="16" fillId="0" borderId="0" xfId="4" applyNumberFormat="1" applyFont="1" applyAlignment="1">
      <alignment horizontal="left" vertical="center"/>
    </xf>
    <xf numFmtId="2" fontId="22" fillId="0" borderId="0" xfId="5" applyNumberFormat="1" applyFont="1" applyAlignment="1">
      <alignment horizontal="center" vertical="center"/>
    </xf>
    <xf numFmtId="164" fontId="22" fillId="0" borderId="0" xfId="5" applyNumberFormat="1" applyFont="1" applyAlignment="1">
      <alignment horizontal="center" vertical="center"/>
    </xf>
    <xf numFmtId="14" fontId="22" fillId="0" borderId="0" xfId="5" applyNumberFormat="1" applyFont="1" applyAlignment="1">
      <alignment horizontal="left" vertical="center" wrapText="1"/>
    </xf>
    <xf numFmtId="0" fontId="25" fillId="0" borderId="0" xfId="5" applyFont="1" applyAlignment="1">
      <alignment horizontal="center" vertical="center"/>
    </xf>
    <xf numFmtId="0" fontId="25" fillId="0" borderId="0" xfId="5" applyFont="1" applyAlignment="1">
      <alignment horizontal="left" vertical="center"/>
    </xf>
    <xf numFmtId="175" fontId="25" fillId="0" borderId="0" xfId="6" applyNumberFormat="1" applyFont="1" applyAlignment="1">
      <alignment horizontal="center" vertical="center"/>
    </xf>
    <xf numFmtId="2" fontId="25" fillId="0" borderId="0" xfId="5" applyNumberFormat="1" applyFont="1" applyAlignment="1">
      <alignment horizontal="center" vertical="center"/>
    </xf>
    <xf numFmtId="1" fontId="25" fillId="0" borderId="0" xfId="5" applyNumberFormat="1" applyFont="1" applyAlignment="1">
      <alignment horizontal="center" vertical="center"/>
    </xf>
    <xf numFmtId="14" fontId="25" fillId="0" borderId="0" xfId="5" applyNumberFormat="1" applyFont="1" applyAlignment="1">
      <alignment horizontal="left" vertical="center"/>
    </xf>
    <xf numFmtId="0" fontId="16" fillId="0" borderId="0" xfId="7" applyFont="1" applyAlignment="1">
      <alignment horizontal="left" vertical="center"/>
    </xf>
    <xf numFmtId="0" fontId="16" fillId="0" borderId="0" xfId="5" applyFont="1" applyAlignment="1">
      <alignment horizontal="center" vertical="center"/>
    </xf>
    <xf numFmtId="0" fontId="16" fillId="0" borderId="0" xfId="5" applyFont="1" applyAlignment="1">
      <alignment horizontal="left" vertical="center"/>
    </xf>
    <xf numFmtId="175" fontId="16" fillId="0" borderId="0" xfId="6" applyNumberFormat="1" applyFont="1" applyAlignment="1">
      <alignment horizontal="center" vertical="center"/>
    </xf>
    <xf numFmtId="1" fontId="16" fillId="0" borderId="0" xfId="5" applyNumberFormat="1" applyFont="1" applyAlignment="1">
      <alignment horizontal="center" vertical="center"/>
    </xf>
    <xf numFmtId="14" fontId="16" fillId="0" borderId="0" xfId="5" applyNumberFormat="1" applyFont="1" applyAlignment="1">
      <alignment horizontal="left" vertical="center"/>
    </xf>
    <xf numFmtId="2" fontId="16" fillId="0" borderId="0" xfId="5" applyNumberFormat="1" applyFont="1" applyAlignment="1">
      <alignment horizontal="center" vertical="center"/>
    </xf>
    <xf numFmtId="0" fontId="16" fillId="0" borderId="0" xfId="7" applyFont="1" applyAlignment="1">
      <alignment horizontal="center" vertical="center"/>
    </xf>
    <xf numFmtId="14" fontId="26" fillId="0" borderId="0" xfId="5" applyNumberFormat="1" applyFont="1" applyAlignment="1">
      <alignment horizontal="left" vertical="center"/>
    </xf>
    <xf numFmtId="176" fontId="27" fillId="15" borderId="0" xfId="5" applyNumberFormat="1" applyFont="1" applyFill="1" applyAlignment="1">
      <alignment horizontal="center" vertical="center" wrapText="1"/>
    </xf>
    <xf numFmtId="176" fontId="27" fillId="0" borderId="0" xfId="5" applyNumberFormat="1" applyFont="1" applyAlignment="1">
      <alignment horizontal="center" vertical="center" wrapText="1"/>
    </xf>
    <xf numFmtId="0" fontId="16" fillId="0" borderId="0" xfId="5" applyFont="1" applyAlignment="1">
      <alignment vertical="center"/>
    </xf>
    <xf numFmtId="0" fontId="25" fillId="0" borderId="0" xfId="5" applyFont="1" applyAlignment="1">
      <alignment horizontal="center"/>
    </xf>
    <xf numFmtId="176" fontId="28" fillId="15" borderId="0" xfId="5" applyNumberFormat="1" applyFont="1" applyFill="1" applyAlignment="1">
      <alignment horizontal="center" vertical="center" wrapText="1"/>
    </xf>
    <xf numFmtId="0" fontId="26" fillId="0" borderId="0" xfId="5" applyFont="1" applyAlignment="1">
      <alignment horizontal="left" vertical="center"/>
    </xf>
    <xf numFmtId="175" fontId="26" fillId="0" borderId="0" xfId="6" applyNumberFormat="1" applyFont="1" applyAlignment="1">
      <alignment horizontal="center" vertical="center"/>
    </xf>
    <xf numFmtId="164" fontId="16" fillId="0" borderId="0" xfId="5" applyNumberFormat="1" applyFont="1" applyAlignment="1">
      <alignment horizontal="center" vertical="center"/>
    </xf>
    <xf numFmtId="0" fontId="1" fillId="0" borderId="0" xfId="5" applyAlignment="1">
      <alignment horizontal="center" vertical="center"/>
    </xf>
    <xf numFmtId="14" fontId="1" fillId="0" borderId="0" xfId="5" applyNumberFormat="1" applyAlignment="1">
      <alignment horizontal="left" vertical="center"/>
    </xf>
    <xf numFmtId="0" fontId="6" fillId="3" borderId="1" xfId="0" applyFont="1" applyFill="1" applyBorder="1" applyAlignment="1">
      <alignment horizontal="center" wrapText="1"/>
    </xf>
    <xf numFmtId="175" fontId="6" fillId="3" borderId="1" xfId="4" applyNumberFormat="1" applyFont="1" applyFill="1" applyBorder="1" applyAlignment="1">
      <alignment horizontal="center" vertical="center" wrapText="1"/>
    </xf>
    <xf numFmtId="14" fontId="6" fillId="3" borderId="1" xfId="0" applyNumberFormat="1" applyFont="1" applyFill="1" applyBorder="1" applyAlignment="1">
      <alignment horizontal="center" wrapText="1"/>
    </xf>
    <xf numFmtId="0" fontId="20" fillId="11" borderId="5" xfId="0" applyFont="1" applyFill="1" applyBorder="1" applyAlignment="1">
      <alignment horizontal="center" wrapText="1"/>
    </xf>
    <xf numFmtId="14" fontId="20" fillId="11" borderId="5" xfId="0" applyNumberFormat="1" applyFont="1" applyFill="1" applyBorder="1" applyAlignment="1">
      <alignment horizontal="center" wrapText="1"/>
    </xf>
    <xf numFmtId="0" fontId="21" fillId="14" borderId="5" xfId="0" applyFont="1" applyFill="1" applyBorder="1" applyAlignment="1">
      <alignment horizontal="center" wrapText="1"/>
    </xf>
    <xf numFmtId="3" fontId="19" fillId="13" borderId="5" xfId="0" applyNumberFormat="1" applyFont="1" applyFill="1" applyBorder="1" applyAlignment="1">
      <alignment horizontal="center" vertical="center" wrapText="1"/>
    </xf>
    <xf numFmtId="3" fontId="19" fillId="13" borderId="14" xfId="0" applyNumberFormat="1" applyFont="1" applyFill="1" applyBorder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4" fontId="3" fillId="2" borderId="0" xfId="0" applyNumberFormat="1" applyFont="1" applyFill="1" applyAlignment="1">
      <alignment horizontal="center" vertical="center" wrapText="1"/>
    </xf>
    <xf numFmtId="0" fontId="15" fillId="9" borderId="0" xfId="0" applyFont="1" applyFill="1" applyAlignment="1">
      <alignment horizontal="center" vertical="center" wrapText="1"/>
    </xf>
    <xf numFmtId="0" fontId="15" fillId="9" borderId="13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wrapText="1"/>
    </xf>
    <xf numFmtId="0" fontId="0" fillId="0" borderId="18" xfId="0" applyBorder="1"/>
    <xf numFmtId="165" fontId="4" fillId="2" borderId="18" xfId="0" applyNumberFormat="1" applyFont="1" applyFill="1" applyBorder="1" applyAlignment="1">
      <alignment horizontal="center" vertical="center" wrapText="1"/>
    </xf>
    <xf numFmtId="0" fontId="20" fillId="11" borderId="0" xfId="0" applyFont="1" applyFill="1" applyAlignment="1">
      <alignment horizontal="center" wrapText="1"/>
    </xf>
    <xf numFmtId="0" fontId="23" fillId="0" borderId="18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4" xfId="0" applyBorder="1"/>
    <xf numFmtId="0" fontId="0" fillId="0" borderId="8" xfId="0" applyBorder="1"/>
    <xf numFmtId="0" fontId="29" fillId="6" borderId="5" xfId="0" applyFont="1" applyFill="1" applyBorder="1"/>
    <xf numFmtId="0" fontId="29" fillId="6" borderId="5" xfId="0" applyFont="1" applyFill="1" applyBorder="1" applyAlignment="1">
      <alignment horizontal="center"/>
    </xf>
    <xf numFmtId="0" fontId="29" fillId="0" borderId="9" xfId="0" applyFont="1" applyBorder="1"/>
    <xf numFmtId="0" fontId="29" fillId="0" borderId="10" xfId="0" applyFont="1" applyBorder="1"/>
    <xf numFmtId="0" fontId="15" fillId="9" borderId="19" xfId="0" applyFont="1" applyFill="1" applyBorder="1" applyAlignment="1">
      <alignment horizontal="center" vertical="center" wrapText="1"/>
    </xf>
    <xf numFmtId="38" fontId="0" fillId="0" borderId="3" xfId="0" applyNumberFormat="1" applyBorder="1" applyAlignment="1">
      <alignment horizontal="center"/>
    </xf>
    <xf numFmtId="38" fontId="0" fillId="0" borderId="6" xfId="0" applyNumberFormat="1" applyBorder="1"/>
    <xf numFmtId="9" fontId="0" fillId="0" borderId="7" xfId="0" applyNumberFormat="1" applyBorder="1"/>
    <xf numFmtId="3" fontId="0" fillId="0" borderId="7" xfId="0" applyNumberFormat="1" applyBorder="1"/>
    <xf numFmtId="38" fontId="0" fillId="0" borderId="7" xfId="0" applyNumberFormat="1" applyBorder="1"/>
    <xf numFmtId="2" fontId="0" fillId="0" borderId="7" xfId="0" applyNumberFormat="1" applyBorder="1"/>
    <xf numFmtId="4" fontId="0" fillId="0" borderId="7" xfId="0" applyNumberFormat="1" applyBorder="1"/>
    <xf numFmtId="9" fontId="18" fillId="10" borderId="20" xfId="1" applyFont="1" applyFill="1" applyBorder="1" applyAlignment="1">
      <alignment horizontal="center" vertical="center" wrapText="1"/>
    </xf>
    <xf numFmtId="38" fontId="0" fillId="0" borderId="3" xfId="0" applyNumberFormat="1" applyBorder="1" applyAlignment="1">
      <alignment horizontal="center" vertical="center"/>
    </xf>
    <xf numFmtId="9" fontId="0" fillId="0" borderId="6" xfId="0" applyNumberFormat="1" applyBorder="1"/>
    <xf numFmtId="38" fontId="2" fillId="0" borderId="0" xfId="0" applyNumberFormat="1" applyFont="1" applyAlignment="1">
      <alignment horizontal="center"/>
    </xf>
    <xf numFmtId="38" fontId="30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38" fontId="30" fillId="0" borderId="0" xfId="0" applyNumberFormat="1" applyFont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 wrapText="1"/>
    </xf>
    <xf numFmtId="0" fontId="31" fillId="11" borderId="0" xfId="0" applyFont="1" applyFill="1" applyAlignment="1">
      <alignment horizontal="center" vertical="center" wrapText="1"/>
    </xf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 vertical="center"/>
    </xf>
    <xf numFmtId="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center" vertical="center"/>
    </xf>
    <xf numFmtId="4" fontId="32" fillId="0" borderId="0" xfId="0" applyNumberFormat="1" applyFont="1" applyAlignment="1">
      <alignment vertical="center"/>
    </xf>
    <xf numFmtId="180" fontId="32" fillId="0" borderId="0" xfId="0" applyNumberFormat="1" applyFont="1" applyAlignment="1">
      <alignment horizontal="center" vertical="center"/>
    </xf>
    <xf numFmtId="3" fontId="32" fillId="0" borderId="0" xfId="0" applyNumberFormat="1" applyFont="1" applyAlignment="1">
      <alignment horizontal="center" vertical="center"/>
    </xf>
    <xf numFmtId="172" fontId="32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4" fontId="32" fillId="0" borderId="0" xfId="0" applyNumberFormat="1" applyFont="1" applyAlignment="1">
      <alignment horizontal="right" vertical="center"/>
    </xf>
    <xf numFmtId="38" fontId="34" fillId="0" borderId="0" xfId="0" applyNumberFormat="1" applyFont="1" applyAlignment="1">
      <alignment horizontal="right"/>
    </xf>
    <xf numFmtId="10" fontId="34" fillId="0" borderId="0" xfId="1" applyNumberFormat="1" applyFont="1" applyAlignment="1">
      <alignment horizontal="right"/>
    </xf>
    <xf numFmtId="43" fontId="34" fillId="0" borderId="0" xfId="8" applyFont="1" applyAlignment="1">
      <alignment horizontal="right" vertical="center"/>
    </xf>
    <xf numFmtId="43" fontId="34" fillId="0" borderId="0" xfId="8" applyFont="1"/>
    <xf numFmtId="38" fontId="34" fillId="0" borderId="0" xfId="0" applyNumberFormat="1" applyFont="1"/>
    <xf numFmtId="9" fontId="34" fillId="0" borderId="0" xfId="0" applyNumberFormat="1" applyFont="1"/>
    <xf numFmtId="0" fontId="35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/>
    </xf>
    <xf numFmtId="14" fontId="32" fillId="0" borderId="0" xfId="0" applyNumberFormat="1" applyFont="1" applyBorder="1" applyAlignment="1">
      <alignment horizontal="center" vertical="center"/>
    </xf>
    <xf numFmtId="14" fontId="32" fillId="0" borderId="0" xfId="0" applyNumberFormat="1" applyFont="1" applyBorder="1" applyAlignment="1">
      <alignment horizontal="center"/>
    </xf>
    <xf numFmtId="4" fontId="32" fillId="0" borderId="0" xfId="0" applyNumberFormat="1" applyFont="1" applyBorder="1" applyAlignment="1">
      <alignment horizontal="center"/>
    </xf>
    <xf numFmtId="4" fontId="32" fillId="0" borderId="0" xfId="0" applyNumberFormat="1" applyFont="1" applyBorder="1" applyAlignment="1">
      <alignment horizontal="right"/>
    </xf>
    <xf numFmtId="0" fontId="36" fillId="0" borderId="0" xfId="0" applyFont="1" applyBorder="1" applyAlignment="1">
      <alignment horizontal="center"/>
    </xf>
    <xf numFmtId="0" fontId="32" fillId="0" borderId="0" xfId="0" applyNumberFormat="1" applyFont="1" applyBorder="1" applyAlignment="1">
      <alignment horizontal="center" vertical="top"/>
    </xf>
    <xf numFmtId="4" fontId="32" fillId="0" borderId="0" xfId="0" applyNumberFormat="1" applyFont="1" applyBorder="1" applyAlignment="1"/>
    <xf numFmtId="172" fontId="32" fillId="0" borderId="0" xfId="0" applyNumberFormat="1" applyFont="1" applyBorder="1" applyAlignment="1">
      <alignment horizontal="center"/>
    </xf>
    <xf numFmtId="2" fontId="32" fillId="0" borderId="0" xfId="0" applyNumberFormat="1" applyFont="1" applyBorder="1" applyAlignment="1">
      <alignment horizontal="center"/>
    </xf>
    <xf numFmtId="0" fontId="35" fillId="0" borderId="0" xfId="0" applyNumberFormat="1" applyFont="1" applyBorder="1" applyAlignment="1">
      <alignment horizontal="center" vertical="top"/>
    </xf>
    <xf numFmtId="164" fontId="32" fillId="0" borderId="0" xfId="0" applyNumberFormat="1" applyFont="1" applyBorder="1" applyAlignment="1">
      <alignment horizontal="center"/>
    </xf>
    <xf numFmtId="0" fontId="37" fillId="0" borderId="0" xfId="0" applyFont="1" applyBorder="1" applyAlignment="1">
      <alignment horizontal="center"/>
    </xf>
    <xf numFmtId="4" fontId="32" fillId="0" borderId="0" xfId="0" applyNumberFormat="1" applyFont="1" applyBorder="1" applyAlignment="1">
      <alignment horizontal="center" vertical="center"/>
    </xf>
    <xf numFmtId="14" fontId="32" fillId="0" borderId="0" xfId="0" applyNumberFormat="1" applyFont="1" applyFill="1" applyBorder="1" applyAlignment="1">
      <alignment horizontal="center"/>
    </xf>
    <xf numFmtId="4" fontId="32" fillId="0" borderId="0" xfId="0" applyNumberFormat="1" applyFont="1" applyFill="1" applyBorder="1" applyAlignment="1">
      <alignment horizontal="center"/>
    </xf>
    <xf numFmtId="4" fontId="32" fillId="0" borderId="0" xfId="0" applyNumberFormat="1" applyFont="1" applyFill="1" applyBorder="1" applyAlignment="1">
      <alignment horizontal="right"/>
    </xf>
    <xf numFmtId="4" fontId="32" fillId="0" borderId="0" xfId="0" applyNumberFormat="1" applyFont="1" applyFill="1" applyBorder="1" applyAlignment="1"/>
    <xf numFmtId="172" fontId="32" fillId="0" borderId="0" xfId="0" applyNumberFormat="1" applyFont="1" applyFill="1" applyBorder="1" applyAlignment="1">
      <alignment horizontal="center"/>
    </xf>
    <xf numFmtId="164" fontId="32" fillId="0" borderId="0" xfId="0" applyNumberFormat="1" applyFont="1" applyFill="1" applyBorder="1" applyAlignment="1">
      <alignment horizontal="center"/>
    </xf>
    <xf numFmtId="14" fontId="35" fillId="0" borderId="0" xfId="0" applyNumberFormat="1" applyFont="1" applyBorder="1" applyAlignment="1">
      <alignment horizontal="center"/>
    </xf>
    <xf numFmtId="180" fontId="32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center" vertical="center"/>
    </xf>
    <xf numFmtId="38" fontId="36" fillId="0" borderId="0" xfId="0" applyNumberFormat="1" applyFont="1" applyBorder="1" applyAlignment="1">
      <alignment horizontal="center"/>
    </xf>
    <xf numFmtId="14" fontId="36" fillId="0" borderId="0" xfId="0" applyNumberFormat="1" applyFont="1" applyBorder="1" applyAlignment="1">
      <alignment horizontal="center"/>
    </xf>
    <xf numFmtId="172" fontId="32" fillId="0" borderId="0" xfId="1" applyNumberFormat="1" applyFont="1" applyBorder="1" applyAlignment="1">
      <alignment horizontal="center"/>
    </xf>
    <xf numFmtId="38" fontId="38" fillId="0" borderId="0" xfId="0" applyNumberFormat="1" applyFont="1"/>
    <xf numFmtId="9" fontId="38" fillId="0" borderId="0" xfId="0" applyNumberFormat="1" applyFont="1"/>
    <xf numFmtId="43" fontId="38" fillId="0" borderId="0" xfId="8" applyFont="1" applyAlignment="1">
      <alignment horizontal="right" vertical="center"/>
    </xf>
    <xf numFmtId="43" fontId="38" fillId="0" borderId="0" xfId="8" applyFont="1"/>
    <xf numFmtId="180" fontId="32" fillId="0" borderId="0" xfId="0" applyNumberFormat="1" applyFont="1" applyBorder="1" applyAlignment="1">
      <alignment horizontal="center" vertical="center"/>
    </xf>
    <xf numFmtId="178" fontId="32" fillId="0" borderId="0" xfId="0" applyNumberFormat="1" applyFont="1" applyBorder="1" applyAlignment="1">
      <alignment horizontal="center" vertical="center"/>
    </xf>
    <xf numFmtId="3" fontId="32" fillId="0" borderId="0" xfId="0" applyNumberFormat="1" applyFont="1" applyBorder="1" applyAlignment="1">
      <alignment horizontal="center" vertical="center"/>
    </xf>
    <xf numFmtId="1" fontId="32" fillId="0" borderId="0" xfId="0" applyNumberFormat="1" applyFont="1" applyBorder="1" applyAlignment="1">
      <alignment horizontal="center" vertical="center"/>
    </xf>
    <xf numFmtId="172" fontId="32" fillId="0" borderId="0" xfId="0" applyNumberFormat="1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14" fontId="32" fillId="0" borderId="22" xfId="0" applyNumberFormat="1" applyFont="1" applyBorder="1" applyAlignment="1">
      <alignment horizontal="center" vertical="center"/>
    </xf>
    <xf numFmtId="180" fontId="32" fillId="0" borderId="22" xfId="0" applyNumberFormat="1" applyFont="1" applyBorder="1" applyAlignment="1">
      <alignment horizontal="center" vertical="center"/>
    </xf>
    <xf numFmtId="178" fontId="32" fillId="0" borderId="22" xfId="0" applyNumberFormat="1" applyFont="1" applyBorder="1" applyAlignment="1">
      <alignment horizontal="center" vertical="center"/>
    </xf>
    <xf numFmtId="3" fontId="32" fillId="0" borderId="22" xfId="0" applyNumberFormat="1" applyFont="1" applyBorder="1" applyAlignment="1">
      <alignment horizontal="center" vertical="center"/>
    </xf>
    <xf numFmtId="1" fontId="32" fillId="0" borderId="22" xfId="0" applyNumberFormat="1" applyFont="1" applyBorder="1" applyAlignment="1">
      <alignment horizontal="center" vertical="center"/>
    </xf>
    <xf numFmtId="172" fontId="32" fillId="0" borderId="22" xfId="0" applyNumberFormat="1" applyFont="1" applyBorder="1" applyAlignment="1">
      <alignment horizontal="center" vertical="center"/>
    </xf>
    <xf numFmtId="172" fontId="32" fillId="0" borderId="21" xfId="0" applyNumberFormat="1" applyFont="1" applyBorder="1" applyAlignment="1">
      <alignment horizontal="center" vertical="center"/>
    </xf>
    <xf numFmtId="9" fontId="39" fillId="0" borderId="0" xfId="1" applyFont="1" applyAlignment="1">
      <alignment horizontal="center" vertical="center"/>
    </xf>
    <xf numFmtId="0" fontId="36" fillId="0" borderId="0" xfId="0" applyFont="1" applyAlignment="1">
      <alignment horizontal="center"/>
    </xf>
    <xf numFmtId="0" fontId="37" fillId="0" borderId="0" xfId="0" applyFont="1"/>
    <xf numFmtId="0" fontId="36" fillId="0" borderId="27" xfId="0" applyFont="1" applyBorder="1" applyAlignment="1">
      <alignment horizontal="center"/>
    </xf>
    <xf numFmtId="0" fontId="35" fillId="0" borderId="0" xfId="0" applyFont="1"/>
    <xf numFmtId="0" fontId="32" fillId="0" borderId="24" xfId="0" applyFont="1" applyBorder="1" applyAlignment="1">
      <alignment horizontal="center" vertical="center"/>
    </xf>
    <xf numFmtId="0" fontId="32" fillId="0" borderId="25" xfId="0" applyFont="1" applyBorder="1" applyAlignment="1">
      <alignment horizontal="center" vertical="center"/>
    </xf>
    <xf numFmtId="14" fontId="32" fillId="0" borderId="25" xfId="0" applyNumberFormat="1" applyFont="1" applyBorder="1" applyAlignment="1">
      <alignment horizontal="center" vertical="center"/>
    </xf>
    <xf numFmtId="180" fontId="32" fillId="0" borderId="25" xfId="0" applyNumberFormat="1" applyFont="1" applyBorder="1" applyAlignment="1">
      <alignment horizontal="center" vertical="center"/>
    </xf>
    <xf numFmtId="178" fontId="32" fillId="0" borderId="25" xfId="0" applyNumberFormat="1" applyFont="1" applyBorder="1" applyAlignment="1">
      <alignment horizontal="center" vertical="center"/>
    </xf>
    <xf numFmtId="3" fontId="32" fillId="0" borderId="25" xfId="0" applyNumberFormat="1" applyFont="1" applyBorder="1" applyAlignment="1">
      <alignment horizontal="center" vertical="center"/>
    </xf>
    <xf numFmtId="1" fontId="32" fillId="0" borderId="25" xfId="0" applyNumberFormat="1" applyFont="1" applyBorder="1" applyAlignment="1">
      <alignment horizontal="center" vertical="center"/>
    </xf>
    <xf numFmtId="172" fontId="32" fillId="0" borderId="24" xfId="0" applyNumberFormat="1" applyFont="1" applyBorder="1" applyAlignment="1">
      <alignment horizontal="center" vertical="center"/>
    </xf>
    <xf numFmtId="0" fontId="32" fillId="0" borderId="28" xfId="0" applyFont="1" applyBorder="1" applyAlignment="1">
      <alignment horizontal="center"/>
    </xf>
    <xf numFmtId="14" fontId="40" fillId="17" borderId="0" xfId="0" applyNumberFormat="1" applyFont="1" applyFill="1" applyAlignment="1">
      <alignment horizontal="center"/>
    </xf>
    <xf numFmtId="14" fontId="32" fillId="0" borderId="0" xfId="0" applyNumberFormat="1" applyFont="1" applyAlignment="1">
      <alignment horizontal="center"/>
    </xf>
    <xf numFmtId="49" fontId="32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/>
    </xf>
    <xf numFmtId="4" fontId="40" fillId="0" borderId="0" xfId="0" applyNumberFormat="1" applyFont="1" applyFill="1" applyAlignment="1">
      <alignment horizontal="right"/>
    </xf>
    <xf numFmtId="1" fontId="32" fillId="0" borderId="0" xfId="0" applyNumberFormat="1" applyFont="1" applyAlignment="1">
      <alignment horizontal="center"/>
    </xf>
    <xf numFmtId="0" fontId="41" fillId="0" borderId="0" xfId="0" applyFont="1" applyAlignment="1">
      <alignment horizontal="center"/>
    </xf>
    <xf numFmtId="0" fontId="40" fillId="17" borderId="0" xfId="0" applyFont="1" applyFill="1" applyAlignment="1">
      <alignment horizontal="center"/>
    </xf>
    <xf numFmtId="49" fontId="32" fillId="0" borderId="17" xfId="0" applyNumberFormat="1" applyFont="1" applyBorder="1" applyAlignment="1">
      <alignment horizontal="center" vertical="center"/>
    </xf>
    <xf numFmtId="4" fontId="40" fillId="0" borderId="0" xfId="0" applyNumberFormat="1" applyFont="1" applyFill="1" applyAlignment="1">
      <alignment horizontal="right" vertical="center"/>
    </xf>
    <xf numFmtId="0" fontId="32" fillId="0" borderId="28" xfId="0" applyFont="1" applyBorder="1" applyAlignment="1">
      <alignment horizontal="center" vertical="center"/>
    </xf>
    <xf numFmtId="14" fontId="40" fillId="17" borderId="0" xfId="0" applyNumberFormat="1" applyFont="1" applyFill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0" xfId="0" applyFont="1"/>
    <xf numFmtId="0" fontId="32" fillId="0" borderId="17" xfId="0" applyNumberFormat="1" applyFont="1" applyFill="1" applyBorder="1" applyAlignment="1" applyProtection="1">
      <alignment horizontal="center"/>
      <protection locked="0"/>
    </xf>
    <xf numFmtId="0" fontId="32" fillId="0" borderId="0" xfId="0" applyNumberFormat="1" applyFont="1" applyFill="1" applyAlignment="1" applyProtection="1">
      <alignment horizontal="center"/>
      <protection locked="0"/>
    </xf>
    <xf numFmtId="4" fontId="32" fillId="0" borderId="0" xfId="0" applyNumberFormat="1" applyFont="1"/>
    <xf numFmtId="4" fontId="32" fillId="0" borderId="0" xfId="1" applyNumberFormat="1" applyFont="1"/>
    <xf numFmtId="0" fontId="32" fillId="0" borderId="0" xfId="0" applyNumberFormat="1" applyFont="1" applyFill="1" applyAlignment="1" applyProtection="1">
      <alignment horizontal="center" vertical="center"/>
      <protection locked="0"/>
    </xf>
    <xf numFmtId="0" fontId="32" fillId="0" borderId="0" xfId="0" applyNumberFormat="1" applyFont="1" applyFill="1" applyBorder="1" applyAlignment="1" applyProtection="1">
      <alignment horizontal="center" vertical="center"/>
      <protection locked="0"/>
    </xf>
    <xf numFmtId="0" fontId="32" fillId="16" borderId="22" xfId="0" applyNumberFormat="1" applyFont="1" applyFill="1" applyBorder="1" applyAlignment="1" applyProtection="1">
      <alignment horizontal="center" vertical="center"/>
      <protection locked="0"/>
    </xf>
    <xf numFmtId="4" fontId="32" fillId="0" borderId="23" xfId="0" applyNumberFormat="1" applyFont="1" applyBorder="1" applyAlignment="1">
      <alignment horizontal="center" vertical="center"/>
    </xf>
    <xf numFmtId="4" fontId="32" fillId="0" borderId="22" xfId="0" applyNumberFormat="1" applyFont="1" applyBorder="1" applyAlignment="1">
      <alignment horizontal="center" vertical="center"/>
    </xf>
    <xf numFmtId="0" fontId="32" fillId="16" borderId="25" xfId="0" applyNumberFormat="1" applyFont="1" applyFill="1" applyBorder="1" applyAlignment="1" applyProtection="1">
      <alignment horizontal="center" vertical="center"/>
      <protection locked="0"/>
    </xf>
    <xf numFmtId="4" fontId="32" fillId="0" borderId="26" xfId="0" applyNumberFormat="1" applyFont="1" applyBorder="1" applyAlignment="1">
      <alignment horizontal="center" vertical="center"/>
    </xf>
    <xf numFmtId="4" fontId="32" fillId="0" borderId="25" xfId="0" applyNumberFormat="1" applyFont="1" applyBorder="1" applyAlignment="1">
      <alignment horizontal="center" vertical="center"/>
    </xf>
  </cellXfs>
  <cellStyles count="9">
    <cellStyle name="Normal" xfId="0" builtinId="0"/>
    <cellStyle name="Normal 2" xfId="3"/>
    <cellStyle name="Normal 2 2" xfId="7"/>
    <cellStyle name="Normal 4" xfId="5"/>
    <cellStyle name="Normal_Sheet1" xfId="2"/>
    <cellStyle name="Porcentagem" xfId="1" builtinId="5"/>
    <cellStyle name="Vírgula" xfId="8" builtinId="3"/>
    <cellStyle name="Vírgula 2" xfId="4"/>
    <cellStyle name="Vírgula 3" xfId="6"/>
  </cellStyles>
  <dxfs count="149">
    <dxf>
      <numFmt numFmtId="3" formatCode="#,##0"/>
    </dxf>
    <dxf>
      <numFmt numFmtId="3" formatCode="#,##0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border diagonalUp="0" diagonalDown="0">
        <left/>
        <right style="medium">
          <color theme="9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900CC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900CC"/>
        <name val="Calibri"/>
        <scheme val="minor"/>
      </font>
      <alignment horizontal="left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5" formatCode="#,##0_ ;\-#,##0\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Nespresso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1" indent="0" justifyLastLine="0" shrinkToFit="0" readingOrder="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</dxf>
    <dxf>
      <numFmt numFmtId="173" formatCode="0.000%"/>
    </dxf>
    <dxf>
      <numFmt numFmtId="14" formatCode="0.00%"/>
    </dxf>
    <dxf>
      <numFmt numFmtId="3" formatCode="#,##0"/>
    </dxf>
    <dxf>
      <numFmt numFmtId="173" formatCode="0.000%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Calibri Light"/>
        <scheme val="major"/>
      </font>
      <alignment horizontal="center" vertical="center" textRotation="0" wrapText="0" indent="0" justifyLastLine="0" shrinkToFit="0" readingOrder="0"/>
    </dxf>
    <dxf>
      <font>
        <sz val="8"/>
        <color auto="1"/>
        <name val="Calibri Light"/>
        <scheme val="major"/>
      </font>
      <numFmt numFmtId="172" formatCode="0.0000"/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/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sz val="8"/>
        <color auto="1"/>
        <name val="Calibri Light"/>
        <scheme val="maj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sz val="8"/>
        <color auto="1"/>
        <name val="Calibri Light"/>
        <scheme val="maj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sz val="8"/>
        <color auto="1"/>
        <name val="Calibri Light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sz val="8"/>
        <color auto="1"/>
        <name val="Calibri Light"/>
        <scheme val="maj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sz val="8"/>
        <color auto="1"/>
        <name val="Calibri Light"/>
        <scheme val="maj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sz val="8"/>
        <color auto="1"/>
        <name val="Calibri Light"/>
        <scheme val="major"/>
      </font>
      <numFmt numFmtId="178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sz val="8"/>
        <color auto="1"/>
        <name val="Calibri Light"/>
        <scheme val="maj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sz val="8"/>
        <color auto="1"/>
        <name val="Calibri Light"/>
        <scheme val="major"/>
      </font>
      <numFmt numFmtId="180" formatCode="#,##0.0"/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sz val="8"/>
        <color auto="1"/>
        <name val="Calibri Light"/>
        <scheme val="maj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sz val="8"/>
        <color auto="1"/>
        <name val="Calibri Light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sz val="8"/>
        <color auto="1"/>
        <name val="Calibri Light"/>
        <scheme val="maj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/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sz val="8"/>
        <color auto="1"/>
        <name val="Calibri Light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  <protection locked="0" hidden="0"/>
    </dxf>
    <dxf>
      <font>
        <sz val="8"/>
        <color auto="1"/>
        <name val="Calibri Light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/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7" tint="0.79998168889431442"/>
        <name val="Nespresso"/>
        <scheme val="none"/>
      </font>
      <fill>
        <patternFill patternType="solid">
          <fgColor indexed="64"/>
          <bgColor theme="7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  <numFmt numFmtId="13" formatCode="0%"/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  <numFmt numFmtId="6" formatCode="#,##0;[Red]\-#,##0"/>
    </dxf>
    <dxf>
      <font>
        <i/>
        <strike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72" formatCode="0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80" formatCode="#,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72" formatCode="0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6" formatCode="#,##0;[Red]\-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Calibri Light"/>
        <scheme val="maj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Calibri Light"/>
        <scheme val="maj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Calibri Light"/>
        <scheme val="maj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alignment horizontal="center" vertical="bottom" textRotation="0" wrapText="0" indent="0" justifyLastLine="0" shrinkToFit="0" readingOrder="0"/>
      <border diagonalUp="0" diagonalDown="0">
        <left style="medium">
          <color rgb="FFC0000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 Light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514351</xdr:colOff>
      <xdr:row>1</xdr:row>
      <xdr:rowOff>28574</xdr:rowOff>
    </xdr:from>
    <xdr:to>
      <xdr:col>16</xdr:col>
      <xdr:colOff>428626</xdr:colOff>
      <xdr:row>5</xdr:row>
      <xdr:rowOff>138732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xmlns="" id="{9753ED70-472A-4371-9C6D-6A7688393496}"/>
            </a:ext>
          </a:extLst>
        </xdr:cNvPr>
        <xdr:cNvGrpSpPr/>
      </xdr:nvGrpSpPr>
      <xdr:grpSpPr>
        <a:xfrm>
          <a:off x="18192751" y="228599"/>
          <a:ext cx="1104900" cy="1329358"/>
          <a:chOff x="20478751" y="257174"/>
          <a:chExt cx="1104900" cy="1329358"/>
        </a:xfrm>
      </xdr:grpSpPr>
      <xdr:pic macro="[0]!Corrige_DateOfPurchase">
        <xdr:nvPicPr>
          <xdr:cNvPr id="3" name="Imagem 2" descr="Resultado de imagem para icone check">
            <a:extLst>
              <a:ext uri="{FF2B5EF4-FFF2-40B4-BE49-F238E27FC236}">
                <a16:creationId xmlns:a16="http://schemas.microsoft.com/office/drawing/2014/main" xmlns="" id="{3D4B0D86-4FA6-4FB3-90D3-84A53E1F42E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0593049" y="257174"/>
            <a:ext cx="904875" cy="9048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Corrige_DateOfPurchase" textlink="">
        <xdr:nvSpPr>
          <xdr:cNvPr id="4" name="CaixaDeTexto 3">
            <a:extLst>
              <a:ext uri="{FF2B5EF4-FFF2-40B4-BE49-F238E27FC236}">
                <a16:creationId xmlns:a16="http://schemas.microsoft.com/office/drawing/2014/main" xmlns="" id="{BA991A09-F621-4FFF-B7E7-4FF720747F3E}"/>
              </a:ext>
            </a:extLst>
          </xdr:cNvPr>
          <xdr:cNvSpPr txBox="1"/>
        </xdr:nvSpPr>
        <xdr:spPr>
          <a:xfrm>
            <a:off x="20478751" y="1055874"/>
            <a:ext cx="1104900" cy="5306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pt-BR" sz="1400" b="1"/>
              <a:t>CORRIGIR</a:t>
            </a:r>
            <a:r>
              <a:rPr lang="pt-BR" sz="1400" b="1" baseline="0"/>
              <a:t> DATAS</a:t>
            </a:r>
            <a:endParaRPr lang="pt-BR" sz="1400" b="1"/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séias Mendes da Costa" refreshedDate="43550.466611342592" createdVersion="6" refreshedVersion="4" minRefreshableVersion="3" recordCount="536">
  <cacheSource type="worksheet">
    <worksheetSource name="Delivery"/>
  </cacheSource>
  <cacheFields count="43">
    <cacheField name="Country" numFmtId="0">
      <sharedItems containsNonDate="0" containsString="0" containsBlank="1"/>
    </cacheField>
    <cacheField name="Cluster" numFmtId="0">
      <sharedItems/>
    </cacheField>
    <cacheField name="Purchasing point ID" numFmtId="0">
      <sharedItems/>
    </cacheField>
    <cacheField name="Location" numFmtId="0">
      <sharedItems/>
    </cacheField>
    <cacheField name="Harvest" numFmtId="0">
      <sharedItems/>
    </cacheField>
    <cacheField name="Date of delivery" numFmtId="14">
      <sharedItems containsSemiMixedTypes="0" containsNonDate="0" containsDate="1" containsString="0" minDate="2018-06-05T00:00:00" maxDate="2018-07-28T00:00:00"/>
    </cacheField>
    <cacheField name="Delivery ID" numFmtId="0">
      <sharedItems containsSemiMixedTypes="0" containsString="0" containsNumber="1" containsInteger="1" minValue="232393383" maxValue="15943721399092" count="536">
        <n v="16963389564"/>
        <n v="16963389652"/>
        <n v="16958391982"/>
        <n v="17002393710"/>
        <n v="17090388377"/>
        <n v="17066389215"/>
        <n v="17090391620"/>
        <n v="17090397299"/>
        <n v="17159388560"/>
        <n v="17194389215"/>
        <n v="17199394344"/>
        <n v="17203394344"/>
        <n v="17210394344"/>
        <n v="17226399663"/>
        <n v="17267389189"/>
        <n v="17281389189"/>
        <n v="17267393232"/>
        <n v="17387391982"/>
        <n v="17403391348"/>
        <n v="17403391962"/>
        <n v="17403391982"/>
        <n v="17447397377"/>
        <n v="17674393232"/>
        <n v="17686393232"/>
        <n v="17710393033"/>
        <n v="17768393033"/>
        <n v="17836394211"/>
        <n v="18010395478"/>
        <n v="18010398751"/>
        <n v="18065399092"/>
        <n v="15873049396197"/>
        <n v="18278399663"/>
        <n v="15943721399092"/>
        <n v="18414399663"/>
        <n v="18582401097"/>
        <n v="17436384156"/>
        <n v="17516399081"/>
        <n v="18410399081"/>
        <n v="18413399081"/>
        <n v="16999389647"/>
        <n v="17114384052"/>
        <n v="17088391438"/>
        <n v="17088396453"/>
        <n v="17119390826"/>
        <n v="17115384052"/>
        <n v="17119391684"/>
        <n v="17119394327"/>
        <n v="17153389205"/>
        <n v="17153389237"/>
        <n v="17174389237"/>
        <n v="17191389205"/>
        <n v="17193389245"/>
        <n v="17193393749"/>
        <n v="17234384425"/>
        <n v="17234388990"/>
        <n v="17242388990"/>
        <n v="17213390978"/>
        <n v="17213395367"/>
        <n v="17015389205"/>
        <n v="17023389205"/>
        <n v="17272384460"/>
        <n v="17274389437"/>
        <n v="17272393199"/>
        <n v="17293395367"/>
        <n v="17300389727"/>
        <n v="17335391900"/>
        <n v="17376395098"/>
        <n v="17329390608"/>
        <n v="17407390689"/>
        <n v="17382390751"/>
        <n v="17411390751"/>
        <n v="17382390783"/>
        <n v="17411390783"/>
        <n v="17421390826"/>
        <n v="17420388551"/>
        <n v="17444388551"/>
        <n v="17461392068"/>
        <n v="17461392653"/>
        <n v="17487393833"/>
        <n v="17495393833"/>
        <n v="17488397703"/>
        <n v="17461398750"/>
        <n v="17503384052"/>
        <n v="17553388552"/>
        <n v="17557393973"/>
        <n v="17596392035"/>
        <n v="17559392080"/>
        <n v="17649391129"/>
        <n v="17591396453"/>
        <n v="17677392819"/>
        <n v="17683392819"/>
        <n v="17714393199"/>
        <n v="17711392901"/>
        <n v="17658396453"/>
        <n v="17731390179"/>
        <n v="17721394337"/>
        <n v="17753388550"/>
        <n v="17731399103"/>
        <n v="17831393833"/>
        <n v="17825392574"/>
        <n v="17824398013"/>
        <n v="17865395890"/>
        <n v="17882395890"/>
        <n v="17863398013"/>
        <n v="17916388550"/>
        <n v="17916393074"/>
        <n v="17919395890"/>
        <n v="17944395890"/>
        <n v="17968393074"/>
        <n v="17980395072"/>
        <n v="17953395098"/>
        <n v="17983395098"/>
        <n v="17993395960"/>
        <n v="17968393077"/>
        <n v="17993401350"/>
        <n v="18053397811"/>
        <n v="18107396434"/>
        <n v="18162397661"/>
        <n v="18168397661"/>
        <n v="18310393077"/>
        <n v="18364393077"/>
        <n v="18364398603"/>
        <n v="18444398603"/>
        <n v="18507398603"/>
        <n v="18531400389"/>
        <n v="18689401414"/>
        <n v="17433393412"/>
        <n v="17434393412"/>
        <n v="15633458389525"/>
        <n v="17297390401"/>
        <n v="17297397558"/>
        <n v="17504391477"/>
        <n v="17515398645"/>
        <n v="15716854391525"/>
        <n v="16961388692"/>
        <n v="16970389601"/>
        <n v="17035388548"/>
        <n v="17033389601"/>
        <n v="17033401230"/>
        <n v="17116388931"/>
        <n v="17116388984"/>
        <n v="17102389422"/>
        <n v="17116390248"/>
        <n v="17102390064"/>
        <n v="17102391761"/>
        <n v="17138394142"/>
        <n v="17116399296"/>
        <n v="17186388375"/>
        <n v="17186389130"/>
        <n v="17187389433"/>
        <n v="17186391402"/>
        <n v="17186392273"/>
        <n v="17042388965"/>
        <n v="17057389643"/>
        <n v="310392081"/>
        <n v="311392081"/>
        <n v="17073393211"/>
        <n v="17211388656"/>
        <n v="17232389643"/>
        <n v="17246390942"/>
        <n v="17232397043"/>
        <n v="17032389601"/>
        <n v="17311389582"/>
        <n v="17319389621"/>
        <n v="17319393021"/>
        <n v="17295401230"/>
        <n v="17312401230"/>
        <n v="17417390504"/>
        <n v="17410390945"/>
        <n v="17365390655"/>
        <n v="17347390815"/>
        <n v="17391390668"/>
        <n v="17452391761"/>
        <n v="316392081"/>
        <n v="316396078"/>
        <n v="17497397965"/>
        <n v="17519392183"/>
        <n v="17549392231"/>
        <n v="17522395074"/>
        <n v="17531400603"/>
        <n v="17531401583"/>
        <n v="17590392231"/>
        <n v="17590393089"/>
        <n v="17586400553"/>
        <n v="17616400553"/>
        <n v="17558401583"/>
        <n v="17584401604"/>
        <n v="17628392354"/>
        <n v="17588393090"/>
        <n v="17667393758"/>
        <n v="17617393738"/>
        <n v="17588397005"/>
        <n v="17610399489"/>
        <n v="17617399489"/>
        <n v="17597399818"/>
        <n v="17597400603"/>
        <n v="17681392635"/>
        <n v="17698392771"/>
        <n v="17746393018"/>
        <n v="17709397868"/>
        <n v="17715397868"/>
        <n v="17757392981"/>
        <n v="17696393630"/>
        <n v="17776394142"/>
        <n v="17742393994"/>
        <n v="17853394151"/>
        <n v="17846401345"/>
        <n v="17864394223"/>
        <n v="17864396243"/>
        <n v="17931394588"/>
        <n v="17921399338"/>
        <n v="17952401345"/>
        <n v="18035399296"/>
        <n v="17951401573"/>
        <n v="18013401573"/>
        <n v="18115397186"/>
        <n v="18106398146"/>
        <n v="18138398146"/>
        <n v="18131397881"/>
        <n v="18377400553"/>
        <n v="18259398221"/>
        <n v="18309398428"/>
        <n v="18309398519"/>
        <n v="18362400545"/>
        <n v="18358399015"/>
        <n v="18381399328"/>
        <n v="18420399489"/>
        <n v="18503399473"/>
        <n v="18459399963"/>
        <n v="18458401229"/>
        <n v="18615400553"/>
        <n v="18627401345"/>
        <n v="18687401345"/>
        <n v="18575401604"/>
        <n v="18575401630"/>
        <n v="16948391420"/>
        <n v="16948396475"/>
        <n v="17202389550"/>
        <n v="17235390411"/>
        <n v="17270389587"/>
        <n v="17279389550"/>
        <n v="17292392000"/>
        <n v="17292394934"/>
        <n v="17270396475"/>
        <n v="17337389550"/>
        <n v="17323392000"/>
        <n v="17323394934"/>
        <n v="17323399910"/>
        <n v="17386390103"/>
        <n v="17467391063"/>
        <n v="15704694392026"/>
        <n v="15704694393812"/>
        <n v="17483391407"/>
        <n v="17489393030"/>
        <n v="17489397685"/>
        <n v="17566393218"/>
        <n v="17566397134"/>
        <n v="17566401434"/>
        <n v="17618392193"/>
        <n v="15754887393075"/>
        <n v="17634396388"/>
        <n v="17621401271"/>
        <n v="17672393898"/>
        <n v="17633396388"/>
        <n v="17672396193"/>
        <n v="17637397685"/>
        <n v="17637401570"/>
        <n v="17707393030"/>
        <n v="232393383"/>
        <n v="17771396193"/>
        <n v="17823396155"/>
        <n v="17817399910"/>
        <n v="17851400388"/>
        <n v="17883396193"/>
        <n v="17875398072"/>
        <n v="17984401271"/>
        <n v="18072396193"/>
        <n v="18072396220"/>
        <n v="18072398589"/>
        <n v="18041400388"/>
        <n v="16979396475"/>
        <n v="18111401434"/>
        <n v="18094401271"/>
        <n v="18093396388"/>
        <n v="18149398072"/>
        <n v="18176398072"/>
        <n v="18195398589"/>
        <n v="15908218398025"/>
        <n v="18269398125"/>
        <n v="18289400521"/>
        <n v="18304400388"/>
        <n v="18408401271"/>
        <n v="18551401341"/>
        <n v="18564401596"/>
        <n v="18653401271"/>
        <n v="3183388770"/>
        <n v="3205400366"/>
        <n v="17265400750"/>
        <n v="17316400750"/>
        <n v="3264399600"/>
        <n v="3266391647"/>
        <n v="3266392074"/>
        <n v="3289397082"/>
        <n v="3296391785"/>
        <n v="3290392074"/>
        <n v="3314393187"/>
        <n v="3297399059"/>
        <n v="17604398489"/>
        <n v="3335398489"/>
        <n v="3320401207"/>
        <n v="3347398311"/>
        <n v="3353401207"/>
        <n v="3371393283"/>
        <n v="3371396655"/>
        <n v="3385393818"/>
        <n v="3385394668"/>
        <n v="17770395040"/>
        <n v="3390395037"/>
        <n v="3376398655"/>
        <n v="3408394668"/>
        <n v="3416398655"/>
        <n v="3420400200"/>
        <n v="3446395299"/>
        <n v="3437397146"/>
        <n v="3446397767"/>
        <n v="3434398489"/>
        <n v="3437399600"/>
        <n v="3446399867"/>
        <n v="3459399867"/>
        <n v="18040400750"/>
        <n v="3461401207"/>
        <n v="3494398489"/>
        <n v="3484401162"/>
        <n v="3484401207"/>
        <n v="3510396797"/>
        <n v="3501397486"/>
        <n v="3501397502"/>
        <n v="3499398489"/>
        <n v="3548399600"/>
        <n v="3588399600"/>
        <n v="3559398655"/>
        <n v="3594400597"/>
        <n v="3626400472"/>
        <n v="3628400472"/>
        <n v="3626401293"/>
        <n v="3658400205"/>
        <n v="3658400402"/>
        <n v="3450396631"/>
        <n v="10165401040"/>
        <n v="10327401040"/>
        <n v="10476401040"/>
        <n v="2133400102"/>
        <n v="2132400380"/>
        <n v="2133400390"/>
        <n v="10576401040"/>
        <n v="9836398443"/>
        <n v="9848398443"/>
        <n v="9852398722"/>
        <n v="9863389212"/>
        <n v="9870394386"/>
        <n v="9870397328"/>
        <n v="9896389147"/>
        <n v="9930390042"/>
        <n v="9917391394"/>
        <n v="9917398974"/>
        <n v="9996391711"/>
        <n v="9989392067"/>
        <n v="9996392118"/>
        <n v="9999398336"/>
        <n v="9990398443"/>
        <n v="10004398722"/>
        <n v="10033398443"/>
        <n v="10043398443"/>
        <n v="10062392760"/>
        <n v="10103393326"/>
        <n v="10117393354"/>
        <n v="10117396146"/>
        <n v="10150395407"/>
        <n v="10162395798"/>
        <n v="10169396146"/>
        <n v="10204397245"/>
        <n v="10204398827"/>
        <n v="10219395815"/>
        <n v="10232396408"/>
        <n v="10262397328"/>
        <n v="10281397916"/>
        <n v="10281400485"/>
        <n v="10309397328"/>
        <n v="10334397328"/>
        <n v="10362397245"/>
        <n v="10396397245"/>
        <n v="10397398443"/>
        <n v="10389399595"/>
        <n v="10442399595"/>
        <n v="10472401052"/>
        <n v="10545400533"/>
        <n v="10500401052"/>
        <n v="9984391168"/>
        <n v="9984392139"/>
        <n v="9979398866"/>
        <n v="10007394157"/>
        <n v="10007398866"/>
        <n v="10172394274"/>
        <n v="10163394019"/>
        <n v="10239397495"/>
        <n v="10368397662"/>
        <n v="10465398601"/>
        <n v="10479400714"/>
        <n v="9851388596"/>
        <n v="9851388752"/>
        <n v="9845399214"/>
        <n v="9876389325"/>
        <n v="9882389844"/>
        <n v="10005391709"/>
        <n v="10017392986"/>
        <n v="10048394447"/>
        <n v="10051398917"/>
        <n v="10152394698"/>
        <n v="10152396835"/>
        <n v="10188399214"/>
        <n v="10300395520"/>
        <n v="10300396637"/>
        <n v="10300397059"/>
        <n v="10300399137"/>
        <n v="10370398313"/>
        <n v="10416398967"/>
        <n v="10495399652"/>
        <n v="10591401674"/>
        <n v="10091394175"/>
        <n v="10092394175"/>
        <n v="10422400167"/>
        <n v="1906385678"/>
        <n v="1945391633"/>
        <n v="1951389759"/>
        <n v="1957390032"/>
        <n v="1959390527"/>
        <n v="1958391633"/>
        <n v="1965391633"/>
        <n v="1975396393"/>
        <n v="1979401336"/>
        <n v="1979401337"/>
        <n v="2007396121"/>
        <n v="2009393828"/>
        <n v="2046399452"/>
        <n v="2045401333"/>
        <n v="15918960396957"/>
        <n v="17133388372"/>
        <n v="17133389714"/>
        <n v="17133396245"/>
        <n v="17141394608"/>
        <n v="1942388268"/>
        <n v="1947388268"/>
        <n v="1947389617"/>
        <n v="17070388235"/>
        <n v="17109388235"/>
        <n v="17176388235"/>
        <n v="17237393520"/>
        <n v="17284389555"/>
        <n v="17299389501"/>
        <n v="17396393520"/>
        <n v="1966396497"/>
        <n v="1966396521"/>
        <n v="1972390325"/>
        <n v="1973390325"/>
        <n v="17492394228"/>
        <n v="2003399760"/>
        <n v="17575399650"/>
        <n v="17642393520"/>
        <n v="17692393520"/>
        <n v="17693393520"/>
        <n v="3404393897"/>
        <n v="3405393897"/>
        <n v="2048401221"/>
        <n v="2076401221"/>
        <n v="2136399246"/>
        <n v="2170399760"/>
        <n v="2171399760"/>
        <n v="18434399650"/>
        <n v="18578401151"/>
        <n v="2196401221"/>
        <n v="18654401482"/>
        <n v="10461401154"/>
        <n v="10009397812"/>
        <n v="10337397805"/>
        <n v="10337397816"/>
        <n v="10577401563"/>
        <n v="15537803386861"/>
        <n v="15537853386861"/>
        <n v="15760313392442"/>
        <n v="17665393317"/>
        <n v="17216389975"/>
        <n v="17216392156"/>
        <n v="17216393974"/>
        <n v="16950385159"/>
        <n v="16950385458"/>
        <n v="17250388440"/>
        <n v="17320388440"/>
        <n v="17083390406"/>
        <n v="17065393126"/>
        <n v="17148390406"/>
        <n v="17157391033"/>
        <n v="17405391033"/>
        <n v="17458391033"/>
        <n v="17581392764"/>
        <n v="17600392764"/>
        <n v="17442392984"/>
        <n v="17463394077"/>
        <n v="17701393126"/>
        <n v="17607392764"/>
        <n v="17650392764"/>
        <n v="17671392764"/>
        <n v="17867394077"/>
        <n v="17303390649"/>
        <n v="17305390649"/>
        <n v="17371390512"/>
        <n v="17419390649"/>
        <n v="17146390649"/>
        <n v="17147390649"/>
        <n v="17416390649"/>
        <n v="17105390649"/>
        <n v="17106390649"/>
        <n v="17307390649"/>
        <n v="17346390649"/>
        <n v="17357390649"/>
        <n v="17358390649"/>
        <n v="17359390649"/>
        <n v="17383390649"/>
        <n v="3209389894"/>
        <n v="17290389894"/>
        <n v="17198393436"/>
        <n v="3278393785"/>
        <n v="10138394764"/>
        <n v="10145394764"/>
        <n v="17632394020"/>
        <n v="10176392893"/>
        <n v="10177392893"/>
      </sharedItems>
    </cacheField>
    <cacheField name="AAA ID" numFmtId="0">
      <sharedItems/>
    </cacheField>
    <cacheField name="Quantity delivered" numFmtId="38">
      <sharedItems containsSemiMixedTypes="0" containsString="0" containsNumber="1" containsInteger="1" minValue="60" maxValue="34790"/>
    </cacheField>
    <cacheField name="Unit" numFmtId="0">
      <sharedItems/>
    </cacheField>
    <cacheField name="Coffee specie" numFmtId="0">
      <sharedItems/>
    </cacheField>
    <cacheField name="Coffee state" numFmtId="0">
      <sharedItems/>
    </cacheField>
    <cacheField name="Physical Quality (optional)" numFmtId="38">
      <sharedItems containsSemiMixedTypes="0" containsString="0" containsNumber="1" minValue="45" maxValue="55.000000000000007"/>
    </cacheField>
    <cacheField name="Cup Quality (optional)" numFmtId="0">
      <sharedItems containsNonDate="0" containsString="0" containsBlank="1"/>
    </cacheField>
    <cacheField name="Purchased as certitified?" numFmtId="0">
      <sharedItems containsBlank="1"/>
    </cacheField>
    <cacheField name="Date of purchase" numFmtId="14">
      <sharedItems containsDate="1" containsMixedTypes="1" minDate="2018-02-07T00:00:00" maxDate="2018-12-08T00:00:00"/>
    </cacheField>
    <cacheField name="Base price " numFmtId="38">
      <sharedItems containsSemiMixedTypes="0" containsString="0" containsNumber="1" minValue="411.53960000000001" maxValue="737.3853446768062"/>
    </cacheField>
    <cacheField name="Nespresso total" numFmtId="38">
      <sharedItems containsSemiMixedTypes="0" containsString="0" containsNumber="1" minValue="426.34140000000002" maxValue="287693.06400000007"/>
    </cacheField>
    <cacheField name=" Price currency" numFmtId="0">
      <sharedItems/>
    </cacheField>
    <cacheField name="Exchange rate VS USD" numFmtId="179">
      <sharedItems containsSemiMixedTypes="0" containsString="0" containsNumber="1" minValue="3.7050999999999998" maxValue="3.9258000000000002"/>
    </cacheField>
    <cacheField name="AAA Premium (total)" numFmtId="38">
      <sharedItems containsSemiMixedTypes="0" containsString="0" containsNumber="1" minValue="35.374416000000004" maxValue="34718.221272000003"/>
    </cacheField>
    <cacheField name="BEN premium (total)" numFmtId="38">
      <sharedItems containsSemiMixedTypes="0" containsString="0" containsNumber="1" minValue="0" maxValue="8270.5710360000012"/>
    </cacheField>
    <cacheField name="Premiums currency" numFmtId="0">
      <sharedItems/>
    </cacheField>
    <cacheField name="Exchange rate for premiums VS USD" numFmtId="177">
      <sharedItems containsSemiMixedTypes="0" containsString="0" containsNumber="1" minValue="3.7050999999999998" maxValue="3.9258000000000002"/>
    </cacheField>
    <cacheField name="Volume delivered (kg)" numFmtId="38">
      <sharedItems containsSemiMixedTypes="0" containsString="0" containsNumber="1" containsInteger="1" minValue="60" maxValue="34790"/>
    </cacheField>
    <cacheField name="% volume used" numFmtId="9">
      <sharedItems containsSemiMixedTypes="0" containsString="0" containsNumber="1" containsInteger="1" minValue="0" maxValue="0"/>
    </cacheField>
    <cacheField name="AAA premium amount USD" numFmtId="3">
      <sharedItems containsSemiMixedTypes="0" containsString="0" containsNumber="1" minValue="9.52" maxValue="8859.8533333333344"/>
    </cacheField>
    <cacheField name="RA premium amount USD" numFmtId="3">
      <sharedItems containsSemiMixedTypes="0" containsString="0" containsNumber="1" minValue="0" maxValue="2110.5933333333337"/>
    </cacheField>
    <cacheField name="AAA premium cts/lb" numFmtId="164">
      <sharedItems containsSemiMixedTypes="0" containsString="0" containsNumber="1" minValue="7.1969989373333307" maxValue="11.551485689333335"/>
    </cacheField>
    <cacheField name="BEN premium cts/lb" numFmtId="164">
      <sharedItems containsSemiMixedTypes="0" containsString="0" containsNumber="1" minValue="0" maxValue="2.7517937113333342"/>
    </cacheField>
    <cacheField name="Actual Exchange rate" numFmtId="170">
      <sharedItems containsMixedTypes="1" containsNumber="1" minValue="3.2454000000000001" maxValue="4.1306000000000003"/>
    </cacheField>
    <cacheField name="NY Price" numFmtId="164">
      <sharedItems containsMixedTypes="1" containsNumber="1" minValue="109.55" maxValue="122.6"/>
    </cacheField>
    <cacheField name="Base Price" numFmtId="1">
      <sharedItems containsSemiMixedTypes="0" containsString="0" containsNumber="1" minValue="4919.949124038515" maxValue="8876.2115441798542"/>
    </cacheField>
    <cacheField name="NN Price" numFmtId="1">
      <sharedItems containsSemiMixedTypes="0" containsString="0" containsNumber="1" minValue="82.823554049051268" maxValue="147.95603478106693"/>
    </cacheField>
    <cacheField name="AAA Price" numFmtId="1">
      <sharedItems containsSemiMixedTypes="0" containsString="0" containsNumber="1" minValue="90.020552986384601" maxValue="156.75572675906693"/>
    </cacheField>
    <cacheField name="Final Price" numFmtId="1">
      <sharedItems containsSemiMixedTypes="0" containsString="0" containsNumber="1" minValue="90.020552986384601" maxValue="156.75572675906693"/>
    </cacheField>
    <cacheField name="Qt. Delivery * Base Price" numFmtId="3">
      <sharedItems containsSemiMixedTypes="0" containsString="0" containsNumber="1" minValue="420.00810000000001" maxValue="287570.39200000005"/>
    </cacheField>
    <cacheField name="menor que Nespresso Total?" numFmtId="38">
      <sharedItems containsSemiMixedTypes="0" containsString="0" containsNumber="1" minValue="0" maxValue="6437.833333333343"/>
    </cacheField>
    <cacheField name="Prêmio AAA por saca" numFmtId="2">
      <sharedItems containsSemiMixedTypes="0" containsString="0" containsNumber="1" minValue="9.5199999999999978" maxValue="15.280000000000003"/>
    </cacheField>
    <cacheField name="menor que AAA premium ctx/lb" numFmtId="4">
      <sharedItems containsSemiMixedTypes="0" containsString="0" containsNumber="1" minValue="2.3230010626666644" maxValue="3.7285143106666698"/>
    </cacheField>
    <cacheField name="Prêmio BEN por saca" numFmtId="2">
      <sharedItems containsSemiMixedTypes="0" containsString="0" containsNumber="1" minValue="0" maxValue="3.640000000000001"/>
    </cacheField>
    <cacheField name="menor que AAA premium ctx/lb2" numFmtId="4">
      <sharedItems containsSemiMixedTypes="0" containsString="0" containsNumber="1" minValue="0" maxValue="0.88820628866666729"/>
    </cacheField>
    <cacheField name="Delivery ID repetido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ony Tanaka" refreshedDate="43551.418633680558" createdVersion="6" refreshedVersion="6" minRefreshableVersion="3" recordCount="648">
  <cacheSource type="worksheet">
    <worksheetSource name="Allocation"/>
  </cacheSource>
  <cacheFields count="26">
    <cacheField name="Country" numFmtId="0">
      <sharedItems containsNonDate="0" containsString="0" containsBlank="1"/>
    </cacheField>
    <cacheField name="Cluster" numFmtId="0">
      <sharedItems/>
    </cacheField>
    <cacheField name="Delivery ID" numFmtId="1">
      <sharedItems containsSemiMixedTypes="0" containsString="0" containsNumber="1" containsInteger="1" minValue="232393383" maxValue="15943721399092" count="536">
        <n v="17176388235"/>
        <n v="17211388656"/>
        <n v="9851388596"/>
        <n v="9851388752"/>
        <n v="3183388770"/>
        <n v="16961388692"/>
        <n v="9896389147"/>
        <n v="17042388965"/>
        <n v="17116388931"/>
        <n v="17116388984"/>
        <n v="17015389205"/>
        <n v="17023389205"/>
        <n v="17153389205"/>
        <n v="17267389189"/>
        <n v="17281389189"/>
        <n v="9863389212"/>
        <n v="17066389215"/>
        <n v="17194389215"/>
        <n v="9876389325"/>
        <n v="17234384425"/>
        <n v="17234388990"/>
        <n v="17242388990"/>
        <n v="15633458389525"/>
        <n v="1942388268"/>
        <n v="1947388268"/>
        <n v="1947389617"/>
        <n v="1951389759"/>
        <n v="17300389727"/>
        <n v="17337389550"/>
        <n v="9882389844"/>
        <n v="9930390042"/>
        <n v="17116390248"/>
        <n v="17417390504"/>
        <n v="17102390064"/>
        <n v="1906385678"/>
        <n v="1959390527"/>
        <n v="17202389550"/>
        <n v="17279389550"/>
        <n v="17070388235"/>
        <n v="17109388235"/>
        <n v="17133389714"/>
        <n v="17299389501"/>
        <n v="16963389564"/>
        <n v="16963389652"/>
        <n v="16970389601"/>
        <n v="17032389601"/>
        <n v="17033389601"/>
        <n v="16999389647"/>
        <n v="17187389433"/>
        <n v="17186388375"/>
        <n v="17035388548"/>
        <n v="17090388377"/>
        <n v="17133388372"/>
        <n v="17159388560"/>
        <n v="17270389587"/>
        <n v="17311389582"/>
        <n v="17319389621"/>
        <n v="17102389422"/>
        <n v="17057389643"/>
        <n v="17232389643"/>
        <n v="17274389437"/>
        <n v="17284389555"/>
        <n v="17191389205"/>
        <n v="17153389237"/>
        <n v="17174389237"/>
        <n v="17272384460"/>
        <n v="17193389245"/>
        <n v="17186389130"/>
        <n v="17297390401"/>
        <n v="17235390411"/>
        <n v="1957390032"/>
        <n v="17386390103"/>
        <n v="17329390608"/>
        <n v="17407390689"/>
        <n v="17213390978"/>
        <n v="17382390751"/>
        <n v="3266392074"/>
        <n v="3290392074"/>
        <n v="17596392035"/>
        <n v="15704694392026"/>
        <n v="17461392068"/>
        <n v="17335391900"/>
        <n v="9989392067"/>
        <n v="17403391962"/>
        <n v="16958391982"/>
        <n v="9984391168"/>
        <n v="17467391063"/>
        <n v="17420388551"/>
        <n v="17444388551"/>
        <n v="17403391348"/>
        <n v="9996391711"/>
        <n v="17553388552"/>
        <n v="3296391785"/>
        <n v="17102391761"/>
        <n v="17452391761"/>
        <n v="17387391982"/>
        <n v="17403391982"/>
        <n v="17292392000"/>
        <n v="17323392000"/>
        <n v="17519392183"/>
        <n v="9996392118"/>
        <n v="9984392139"/>
        <n v="17186392273"/>
        <n v="17549392231"/>
        <n v="1972390325"/>
        <n v="1973390325"/>
        <n v="17347390815"/>
        <n v="17246390942"/>
        <n v="17391390668"/>
        <n v="17115384052"/>
        <n v="17503384052"/>
        <n v="1945391633"/>
        <n v="1958391633"/>
        <n v="1965391633"/>
        <n v="16948391420"/>
        <n v="3266391647"/>
        <n v="10005391709"/>
        <n v="17186391402"/>
        <n v="17436384156"/>
        <n v="17411390751"/>
        <n v="17382390783"/>
        <n v="17411390783"/>
        <n v="17410390945"/>
        <n v="17365390655"/>
        <n v="17119390826"/>
        <n v="17421390826"/>
        <n v="17088391438"/>
        <n v="17119391684"/>
        <n v="17090391620"/>
        <n v="9917391394"/>
        <n v="15716854391525"/>
        <n v="17483391407"/>
        <n v="17504391477"/>
        <n v="17114384052"/>
        <n v="2009393828"/>
        <n v="3385393818"/>
        <n v="17002393710"/>
        <n v="232393383"/>
        <n v="17696393630"/>
        <n v="17433393412"/>
        <n v="17434393412"/>
        <n v="17237393520"/>
        <n v="17396393520"/>
        <n v="17667393758"/>
        <n v="10117393354"/>
        <n v="17487393833"/>
        <n v="17495393833"/>
        <n v="17831393833"/>
        <n v="17193393749"/>
        <n v="15704694393812"/>
        <n v="17686393232"/>
        <n v="17757392981"/>
        <n v="17711392901"/>
        <n v="17710393033"/>
        <n v="17768393033"/>
        <n v="17698392771"/>
        <n v="17731390179"/>
        <n v="17588393090"/>
        <n v="17319393021"/>
        <n v="17272393199"/>
        <n v="17714393199"/>
        <n v="10103393326"/>
        <n v="3314393187"/>
        <n v="17590393089"/>
        <n v="17267393232"/>
        <n v="17674393232"/>
        <n v="17677392819"/>
        <n v="17683392819"/>
        <n v="17489393030"/>
        <n v="17707393030"/>
        <n v="15754887393075"/>
        <n v="3371393283"/>
        <n v="17566393218"/>
        <n v="17681392635"/>
        <n v="17461392653"/>
        <n v="10062392760"/>
        <n v="10017392986"/>
        <n v="17746393018"/>
        <n v="17073393211"/>
        <n v="310392081"/>
        <n v="311392081"/>
        <n v="316392081"/>
        <n v="17590392231"/>
        <n v="17649391129"/>
        <n v="17559392080"/>
        <n v="17628392354"/>
        <n v="17618392193"/>
        <n v="17642393520"/>
        <n v="17692393520"/>
        <n v="10091394175"/>
        <n v="10092394175"/>
        <n v="10172394274"/>
        <n v="10007394157"/>
        <n v="17825392574"/>
        <n v="3404393897"/>
        <n v="17753388550"/>
        <n v="17916388550"/>
        <n v="10152394698"/>
        <n v="3385394668"/>
        <n v="3408394668"/>
        <n v="10048394447"/>
        <n v="17141394608"/>
        <n v="17931394588"/>
        <n v="10150395407"/>
        <n v="3390395037"/>
        <n v="17292394934"/>
        <n v="17323394934"/>
        <n v="17993395960"/>
        <n v="17865395890"/>
        <n v="17882395890"/>
        <n v="3405393897"/>
        <n v="9870394386"/>
        <n v="17864394223"/>
        <n v="17119394327"/>
        <n v="17721394337"/>
        <n v="17693393520"/>
        <n v="17617393738"/>
        <n v="17293395367"/>
        <n v="17376395098"/>
        <n v="17953395098"/>
        <n v="17983395098"/>
        <n v="3446395299"/>
        <n v="17916393074"/>
        <n v="17968393074"/>
        <n v="17980395072"/>
        <n v="17522395074"/>
        <n v="17770395040"/>
        <n v="17213395367"/>
        <n v="17492394228"/>
        <n v="17836394211"/>
        <n v="17672393898"/>
        <n v="17742393994"/>
        <n v="17199394344"/>
        <n v="17203394344"/>
        <n v="17210394344"/>
        <n v="17138394142"/>
        <n v="17776394142"/>
        <n v="17853394151"/>
        <n v="17557393973"/>
        <n v="10163394019"/>
        <n v="15537853386861"/>
        <n v="17250388440"/>
        <n v="17320388440"/>
        <n v="17106390649"/>
        <n v="17146390649"/>
        <n v="17147390649"/>
        <n v="17305390649"/>
        <n v="17307390649"/>
        <n v="17346390649"/>
        <n v="17216389975"/>
        <n v="17371390512"/>
        <n v="17083390406"/>
        <n v="17148390406"/>
        <n v="17458391033"/>
        <n v="17105390649"/>
        <n v="17303390649"/>
        <n v="17157391033"/>
        <n v="17405391033"/>
        <n v="3209389894"/>
        <n v="17290389894"/>
        <n v="16950385159"/>
        <n v="16950385458"/>
        <n v="15537803386861"/>
        <n v="1975396393"/>
        <n v="16948396475"/>
        <n v="16979396475"/>
        <n v="17270396475"/>
        <n v="17823396155"/>
        <n v="17088396453"/>
        <n v="17591396453"/>
        <n v="17658396453"/>
        <n v="17634396388"/>
        <n v="18093396388"/>
        <n v="17672396193"/>
        <n v="17771396193"/>
        <n v="17883396193"/>
        <n v="3371396655"/>
        <n v="3510396797"/>
        <n v="17566397134"/>
        <n v="17588397005"/>
        <n v="17232397043"/>
        <n v="10152396835"/>
        <n v="18115397186"/>
        <n v="3437397146"/>
        <n v="3289397082"/>
        <n v="17489397685"/>
        <n v="17637397685"/>
        <n v="1966396521"/>
        <n v="15873049396197"/>
        <n v="17633396388"/>
        <n v="10219395815"/>
        <n v="18010395478"/>
        <n v="10232396408"/>
        <n v="10117396146"/>
        <n v="10169396146"/>
        <n v="2007396121"/>
        <n v="10300395520"/>
        <n v="10300396637"/>
        <n v="17919395890"/>
        <n v="17944395890"/>
        <n v="10162395798"/>
        <n v="18072396193"/>
        <n v="18072396220"/>
        <n v="316396078"/>
        <n v="10300397059"/>
        <n v="17864396243"/>
        <n v="3450396631"/>
        <n v="18107396434"/>
        <n v="17133396245"/>
        <n v="1966396497"/>
        <n v="3446397767"/>
        <n v="18053397811"/>
        <n v="10009397812"/>
        <n v="10368397662"/>
        <n v="17297397558"/>
        <n v="9870397328"/>
        <n v="10262397328"/>
        <n v="10309397328"/>
        <n v="10334397328"/>
        <n v="17090397299"/>
        <n v="17447397377"/>
        <n v="17488397703"/>
        <n v="3501397486"/>
        <n v="3501397502"/>
        <n v="10204397245"/>
        <n v="10362397245"/>
        <n v="10396397245"/>
        <n v="9852398722"/>
        <n v="10004398722"/>
        <n v="10051398917"/>
        <n v="10204398827"/>
        <n v="18072398589"/>
        <n v="18195398589"/>
        <n v="10389399595"/>
        <n v="10442399595"/>
        <n v="17116399296"/>
        <n v="18035399296"/>
        <n v="2136399246"/>
        <n v="18381399328"/>
        <n v="18413399081"/>
        <n v="18065399092"/>
        <n v="15943721399092"/>
        <n v="18358399015"/>
        <n v="9917398974"/>
        <n v="18309398428"/>
        <n v="18309398519"/>
        <n v="10465398601"/>
        <n v="17226399663"/>
        <n v="18278399663"/>
        <n v="18414399663"/>
        <n v="2003399760"/>
        <n v="10495399652"/>
        <n v="2046399452"/>
        <n v="3264399600"/>
        <n v="3437399600"/>
        <n v="3548399600"/>
        <n v="3588399600"/>
        <n v="2170399760"/>
        <n v="2171399760"/>
        <n v="17575399650"/>
        <n v="18434399650"/>
        <n v="17921399338"/>
        <n v="10397398443"/>
        <n v="9845399214"/>
        <n v="10188399214"/>
        <n v="15918960396957"/>
        <n v="17461398750"/>
        <n v="17604398489"/>
        <n v="3335398489"/>
        <n v="3434398489"/>
        <n v="3494398489"/>
        <n v="3499398489"/>
        <n v="18010398751"/>
        <n v="17516399081"/>
        <n v="18410399081"/>
        <n v="18106398146"/>
        <n v="18138398146"/>
        <n v="18269398125"/>
        <n v="10281397916"/>
        <n v="18259398221"/>
        <n v="17709397868"/>
        <n v="17715397868"/>
        <n v="17875398072"/>
        <n v="18149398072"/>
        <n v="18176398072"/>
        <n v="15908218398025"/>
        <n v="10370398313"/>
        <n v="17497397965"/>
        <n v="3347398311"/>
        <n v="3376398655"/>
        <n v="3416398655"/>
        <n v="3559398655"/>
        <n v="3297399059"/>
        <n v="17731399103"/>
        <n v="17515398645"/>
        <n v="9836398443"/>
        <n v="9848398443"/>
        <n v="10337397805"/>
        <n v="10337397816"/>
        <n v="10239397495"/>
        <n v="18162397661"/>
        <n v="18168397661"/>
        <n v="9999398336"/>
        <n v="17824398013"/>
        <n v="17863398013"/>
        <n v="18131397881"/>
        <n v="9979398866"/>
        <n v="10007398866"/>
        <n v="10416398967"/>
        <n v="10300399137"/>
        <n v="17968393077"/>
        <n v="18310393077"/>
        <n v="18364393077"/>
        <n v="9990398443"/>
        <n v="10033398443"/>
        <n v="10043398443"/>
        <n v="18503399473"/>
        <n v="10422400167"/>
        <n v="3420400200"/>
        <n v="3205400366"/>
        <n v="3446399867"/>
        <n v="3459399867"/>
        <n v="18364398603"/>
        <n v="18444398603"/>
        <n v="18507398603"/>
        <n v="3658400205"/>
        <n v="18459399963"/>
        <n v="17597399818"/>
        <n v="2133400102"/>
        <n v="17610399489"/>
        <n v="17617399489"/>
        <n v="18420399489"/>
        <n v="17316400750"/>
        <n v="18040400750"/>
        <n v="10472401052"/>
        <n v="10500401052"/>
        <n v="10281400485"/>
        <n v="18362400545"/>
        <n v="3626400472"/>
        <n v="10165401040"/>
        <n v="10327401040"/>
        <n v="10476401040"/>
        <n v="10576401040"/>
        <n v="18041400388"/>
        <n v="18304400388"/>
        <n v="17586400553"/>
        <n v="17616400553"/>
        <n v="18377400553"/>
        <n v="17265400750"/>
        <n v="17597400603"/>
        <n v="2132400380"/>
        <n v="2133400390"/>
        <n v="10479400714"/>
        <n v="3628400472"/>
        <n v="17851400388"/>
        <n v="17323399910"/>
        <n v="17817399910"/>
        <n v="10545400533"/>
        <n v="3594400597"/>
        <n v="3658400402"/>
        <n v="18531400389"/>
        <n v="17531400603"/>
        <n v="17416390649"/>
        <n v="17419390649"/>
        <n v="15760313392442"/>
        <n v="10176392893"/>
        <n v="10177392893"/>
        <n v="17216393974"/>
        <n v="10138394764"/>
        <n v="10145394764"/>
        <n v="17198393436"/>
        <n v="3278393785"/>
        <n v="17463394077"/>
        <n v="17867394077"/>
        <n v="17632394020"/>
        <n v="17383390649"/>
        <n v="17216392156"/>
        <n v="17442392984"/>
        <n v="17065393126"/>
        <n v="17701393126"/>
        <n v="17357390649"/>
        <n v="17358390649"/>
        <n v="17359390649"/>
        <n v="17581392764"/>
        <n v="17600392764"/>
        <n v="17607392764"/>
        <n v="17650392764"/>
        <n v="17671392764"/>
        <n v="17665393317"/>
        <n v="17621401271"/>
        <n v="17984401271"/>
        <n v="18094401271"/>
        <n v="18408401271"/>
        <n v="18653401271"/>
        <n v="17951401573"/>
        <n v="18013401573"/>
        <n v="2045401333"/>
        <n v="10577401563"/>
        <n v="10461401154"/>
        <n v="1979401336"/>
        <n v="1979401337"/>
        <n v="17033401230"/>
        <n v="17295401230"/>
        <n v="17312401230"/>
        <n v="3626401293"/>
        <n v="17558401583"/>
        <n v="3484401162"/>
        <n v="3320401207"/>
        <n v="3353401207"/>
        <n v="3461401207"/>
        <n v="3484401207"/>
        <n v="17584401604"/>
        <n v="18575401604"/>
        <n v="18575401630"/>
        <n v="10591401674"/>
        <n v="18578401151"/>
        <n v="18582401097"/>
        <n v="2048401221"/>
        <n v="2076401221"/>
        <n v="18564401596"/>
        <n v="17566401434"/>
        <n v="18111401434"/>
        <n v="18689401414"/>
        <n v="18551401341"/>
        <n v="18627401345"/>
        <n v="18687401345"/>
        <n v="17637401570"/>
        <n v="18615400553"/>
        <n v="18289400521"/>
        <n v="18458401229"/>
        <n v="17993401350"/>
        <n v="17846401345"/>
        <n v="17952401345"/>
        <n v="2196401221"/>
        <n v="18654401482"/>
        <n v="17531401583"/>
      </sharedItems>
    </cacheField>
    <cacheField name="Quantity Processed" numFmtId="3">
      <sharedItems containsSemiMixedTypes="0" containsString="0" containsNumber="1" containsInteger="1" minValue="22" maxValue="28676"/>
    </cacheField>
    <cacheField name="Processing Batch ID" numFmtId="0">
      <sharedItems containsMixedTypes="1" containsNumber="1" containsInteger="1" minValue="787" maxValue="801" count="12">
        <s v="781 / 757 / 754 / 715 / 713 / 712 / 690"/>
        <s v="781 / 757 / 755 / 754 / 690"/>
        <n v="787"/>
        <s v="754 / 757 / 781"/>
        <n v="789"/>
        <s v="757 / 781"/>
        <n v="799"/>
        <n v="801"/>
        <s v="754 / 757 / 781 / 753 / 790"/>
        <s v="715 / 757 / 781 /  790 / 793"/>
        <s v="796 / 807"/>
        <s v="781 / 793 / 795 / 803"/>
      </sharedItems>
    </cacheField>
    <cacheField name="Processing Batch Date" numFmtId="14">
      <sharedItems containsSemiMixedTypes="0" containsNonDate="0" containsDate="1" containsString="0" minDate="2018-12-05T00:00:00" maxDate="2019-02-19T00:00:00"/>
    </cacheField>
    <cacheField name="Dilution rate" numFmtId="2">
      <sharedItems containsSemiMixedTypes="0" containsString="0" containsNumber="1" minValue="1.72" maxValue="3.2" count="32">
        <n v="1.97"/>
        <n v="1.98"/>
        <n v="1.82"/>
        <n v="2.02"/>
        <n v="2.0299999999999998"/>
        <n v="2.0099999999999998"/>
        <n v="2.33" u="1"/>
        <n v="2.2799999999999998" u="1"/>
        <n v="2.48" u="1"/>
        <n v="2.58" u="1"/>
        <n v="1.8" u="1"/>
        <n v="2.5299999999999998" u="1"/>
        <n v="2.29" u="1"/>
        <n v="2" u="1"/>
        <n v="2.1" u="1"/>
        <n v="2.84" u="1"/>
        <n v="2.2000000000000002" u="1"/>
        <n v="2.2999999999999998" u="1"/>
        <n v="2.89" u="1"/>
        <n v="2.4" u="1"/>
        <n v="2.5" u="1"/>
        <n v="2.6" u="1"/>
        <n v="2.7" u="1"/>
        <n v="2.8" u="1"/>
        <n v="2.9" u="1"/>
        <n v="3" u="1"/>
        <n v="3.1" u="1"/>
        <n v="3.2" u="1"/>
        <n v="2.42" u="1"/>
        <n v="2.57" u="1"/>
        <n v="1.72" u="1"/>
        <n v="2.72" u="1"/>
      </sharedItems>
    </cacheField>
    <cacheField name="Quantity allocated" numFmtId="3">
      <sharedItems containsSemiMixedTypes="0" containsString="0" containsNumber="1" containsInteger="1" minValue="10" maxValue="15772"/>
    </cacheField>
    <cacheField name="Nespresso Batch Number" numFmtId="178">
      <sharedItems containsSemiMixedTypes="0" containsString="0" containsNumber="1" containsInteger="1" minValue="1214574" maxValue="8766041" count="831">
        <n v="1410861"/>
        <n v="1410862"/>
        <n v="1410863"/>
        <n v="1410864"/>
        <n v="1410865"/>
        <n v="1410866"/>
        <n v="1410867"/>
        <n v="1410868"/>
        <n v="1410869"/>
        <n v="1410870"/>
        <n v="1412667"/>
        <n v="1412668"/>
        <n v="1412669"/>
        <n v="1412670"/>
        <n v="1412671"/>
        <n v="1412672"/>
        <n v="1412673"/>
        <n v="1412674"/>
        <n v="1412675"/>
        <n v="1412676"/>
        <n v="1412689"/>
        <n v="1412690"/>
        <n v="1412691"/>
        <n v="1412692"/>
        <n v="1412693"/>
        <n v="1412694"/>
        <n v="1412695"/>
        <n v="1412696"/>
        <n v="1412697"/>
        <n v="1412698"/>
        <n v="8483693"/>
        <n v="8500231"/>
        <n v="8500232"/>
        <n v="8516865"/>
        <n v="8525937"/>
        <n v="8532116"/>
        <n v="8532117"/>
        <n v="8534724"/>
        <n v="8534725"/>
        <n v="8534769"/>
        <n v="1410852"/>
        <n v="1410853"/>
        <n v="1410854"/>
        <n v="1410855"/>
        <n v="1410856"/>
        <n v="1410857"/>
        <n v="1410858"/>
        <n v="1410859"/>
        <n v="1410860"/>
        <n v="8763551"/>
        <n v="8763552"/>
        <n v="8763553"/>
        <n v="8763554"/>
        <n v="8765789"/>
        <n v="8765790"/>
        <n v="8765791"/>
        <n v="8765792"/>
        <n v="8765793"/>
        <n v="8765831"/>
        <n v="8765832"/>
        <n v="8766040"/>
        <n v="8766041"/>
        <n v="1412699"/>
        <n v="1412700"/>
        <n v="1419969"/>
        <n v="1419970"/>
        <n v="1419971"/>
        <n v="1419972"/>
        <n v="1419973"/>
        <n v="1419974"/>
        <n v="1419975"/>
        <n v="1419976"/>
        <n v="1419977"/>
        <n v="1419978"/>
        <n v="8761631"/>
        <n v="8761633"/>
        <n v="8743293"/>
        <n v="8735587"/>
        <n v="8743292"/>
        <n v="8759867"/>
        <n v="8743291"/>
        <n v="8744059"/>
        <n v="8753848"/>
        <n v="8751132"/>
        <n v="8736165"/>
        <n v="8742769"/>
        <n v="8734022"/>
        <n v="8736164"/>
        <n v="8742772"/>
        <n v="8742771"/>
        <n v="8718005"/>
        <n v="8742770"/>
        <n v="8742223"/>
        <n v="8718004"/>
        <n v="8726107"/>
        <n v="8729774"/>
        <n v="8734322"/>
        <n v="8743406"/>
        <n v="8743407"/>
        <n v="8758828"/>
        <n v="8758829"/>
        <n v="8758830"/>
        <n v="8761423"/>
        <n v="8761425"/>
        <n v="1233236" u="1"/>
        <n v="1233237" u="1"/>
        <n v="1233238" u="1"/>
        <n v="1233239" u="1"/>
        <n v="1233240" u="1"/>
        <n v="1233241" u="1"/>
        <n v="1233242" u="1"/>
        <n v="1233243" u="1"/>
        <n v="1233244" u="1"/>
        <n v="1233245" u="1"/>
        <n v="1233246" u="1"/>
        <n v="1233247" u="1"/>
        <n v="1233248" u="1"/>
        <n v="1233249" u="1"/>
        <n v="1233250" u="1"/>
        <n v="1233257" u="1"/>
        <n v="1233258" u="1"/>
        <n v="1233259" u="1"/>
        <n v="1233260" u="1"/>
        <n v="1233261" u="1"/>
        <n v="1233262" u="1"/>
        <n v="1233263" u="1"/>
        <n v="1396640" u="1"/>
        <n v="1233264" u="1"/>
        <n v="1396641" u="1"/>
        <n v="1233265" u="1"/>
        <n v="1396642" u="1"/>
        <n v="1233266" u="1"/>
        <n v="1396643" u="1"/>
        <n v="1233267" u="1"/>
        <n v="1396644" u="1"/>
        <n v="1233268" u="1"/>
        <n v="1396645" u="1"/>
        <n v="1233269" u="1"/>
        <n v="1396646" u="1"/>
        <n v="1233270" u="1"/>
        <n v="1396647" u="1"/>
        <n v="1233271" u="1"/>
        <n v="1396648" u="1"/>
        <n v="1396649" u="1"/>
        <n v="1307915" u="1"/>
        <n v="1307916" u="1"/>
        <n v="1307917" u="1"/>
        <n v="1307918" u="1"/>
        <n v="1307919" u="1"/>
        <n v="1307920" u="1"/>
        <n v="1293807" u="1"/>
        <n v="1293808" u="1"/>
        <n v="1293809" u="1"/>
        <n v="1293810" u="1"/>
        <n v="1293811" u="1"/>
        <n v="1293812" u="1"/>
        <n v="1293813" u="1"/>
        <n v="1293814" u="1"/>
        <n v="1293815" u="1"/>
        <n v="1293816" u="1"/>
        <n v="1293817" u="1"/>
        <n v="1293818" u="1"/>
        <n v="1293819" u="1"/>
        <n v="1293820" u="1"/>
        <n v="1293821" u="1"/>
        <n v="1370472" u="1"/>
        <n v="1370473" u="1"/>
        <n v="1370474" u="1"/>
        <n v="1370475" u="1"/>
        <n v="1370476" u="1"/>
        <n v="1370477" u="1"/>
        <n v="1370478" u="1"/>
        <n v="1370479" u="1"/>
        <n v="1370480" u="1"/>
        <n v="1370481" u="1"/>
        <n v="1370482" u="1"/>
        <n v="1370483" u="1"/>
        <n v="1344300" u="1"/>
        <n v="1344301" u="1"/>
        <n v="1344302" u="1"/>
        <n v="1344303" u="1"/>
        <n v="1344304" u="1"/>
        <n v="1344305" u="1"/>
        <n v="1344306" u="1"/>
        <n v="1344307" u="1"/>
        <n v="1344308" u="1"/>
        <n v="1344309" u="1"/>
        <n v="1257623" u="1"/>
        <n v="1334269" u="1"/>
        <n v="1257624" u="1"/>
        <n v="1334270" u="1"/>
        <n v="1257625" u="1"/>
        <n v="1334271" u="1"/>
        <n v="1257626" u="1"/>
        <n v="1334272" u="1"/>
        <n v="1257627" u="1"/>
        <n v="1334273" u="1"/>
        <n v="1257628" u="1"/>
        <n v="1334274" u="1"/>
        <n v="1257629" u="1"/>
        <n v="1334275" u="1"/>
        <n v="1257630" u="1"/>
        <n v="1334276" u="1"/>
        <n v="1257631" u="1"/>
        <n v="1334277" u="1"/>
        <n v="1257632" u="1"/>
        <n v="1257633" u="1"/>
        <n v="1257634" u="1"/>
        <n v="1257635" u="1"/>
        <n v="1257636" u="1"/>
        <n v="1249569" u="1"/>
        <n v="1257637" u="1"/>
        <n v="1249570" u="1"/>
        <n v="1249571" u="1"/>
        <n v="1249572" u="1"/>
        <n v="1257644" u="1"/>
        <n v="1257645" u="1"/>
        <n v="1257646" u="1"/>
        <n v="1257647" u="1"/>
        <n v="1257648" u="1"/>
        <n v="1257649" u="1"/>
        <n v="1257650" u="1"/>
        <n v="1257651" u="1"/>
        <n v="1257652" u="1"/>
        <n v="1257653" u="1"/>
        <n v="1257654" u="1"/>
        <n v="1257655" u="1"/>
        <n v="1257656" u="1"/>
        <n v="1257657" u="1"/>
        <n v="1257658" u="1"/>
        <n v="1380738" u="1"/>
        <n v="1380739" u="1"/>
        <n v="1380740" u="1"/>
        <n v="1380741" u="1"/>
        <n v="1380742" u="1"/>
        <n v="1380743" u="1"/>
        <n v="1380744" u="1"/>
        <n v="1380745" u="1"/>
        <n v="1380746" u="1"/>
        <n v="1380747" u="1"/>
        <n v="1380748" u="1"/>
        <n v="1380749" u="1"/>
        <n v="1320336" u="1"/>
        <n v="1320337" u="1"/>
        <n v="1320338" u="1"/>
        <n v="1320339" u="1"/>
        <n v="1320340" u="1"/>
        <n v="1320341" u="1"/>
        <n v="1320342" u="1"/>
        <n v="1320343" u="1"/>
        <n v="1320344" u="1"/>
        <n v="1320345" u="1"/>
        <n v="1338525" u="1"/>
        <n v="1338526" u="1"/>
        <n v="1338527" u="1"/>
        <n v="1338528" u="1"/>
        <n v="1338529" u="1"/>
        <n v="1338530" u="1"/>
        <n v="1338531" u="1"/>
        <n v="1338532" u="1"/>
        <n v="1338533" u="1"/>
        <n v="1338534" u="1"/>
        <n v="1338547" u="1"/>
        <n v="1338548" u="1"/>
        <n v="1338549" u="1"/>
        <n v="1338550" u="1"/>
        <n v="1338551" u="1"/>
        <n v="1338552" u="1"/>
        <n v="1338553" u="1"/>
        <n v="1338554" u="1"/>
        <n v="1338555" u="1"/>
        <n v="1338556" u="1"/>
        <n v="1255883" u="1"/>
        <n v="1255884" u="1"/>
        <n v="1255885" u="1"/>
        <n v="1255886" u="1"/>
        <n v="1255887" u="1"/>
        <n v="1372876" u="1"/>
        <n v="1372877" u="1"/>
        <n v="1372878" u="1"/>
        <n v="1372879" u="1"/>
        <n v="1372880" u="1"/>
        <n v="1372881" u="1"/>
        <n v="1372882" u="1"/>
        <n v="1372883" u="1"/>
        <n v="1372884" u="1"/>
        <n v="1350705" u="1"/>
        <n v="1340621" u="1"/>
        <n v="1350706" u="1"/>
        <n v="1340622" u="1"/>
        <n v="1350707" u="1"/>
        <n v="1340623" u="1"/>
        <n v="1350708" u="1"/>
        <n v="1340624" u="1"/>
        <n v="1350709" u="1"/>
        <n v="1340625" u="1"/>
        <n v="1350710" u="1"/>
        <n v="1340626" u="1"/>
        <n v="1350711" u="1"/>
        <n v="1340627" u="1"/>
        <n v="1350712" u="1"/>
        <n v="1340628" u="1"/>
        <n v="1350713" u="1"/>
        <n v="1340629" u="1"/>
        <n v="1350714" u="1"/>
        <n v="1340630" u="1"/>
        <n v="1350715" u="1"/>
        <n v="1340631" u="1"/>
        <n v="1350716" u="1"/>
        <n v="1340632" u="1"/>
        <n v="1223694" u="1"/>
        <n v="1223695" u="1"/>
        <n v="1223696" u="1"/>
        <n v="1223697" u="1"/>
        <n v="1223698" u="1"/>
        <n v="1223699" u="1"/>
        <n v="1223700" u="1"/>
        <n v="1223701" u="1"/>
        <n v="1223702" u="1"/>
        <n v="1381054" u="1"/>
        <n v="1381055" u="1"/>
        <n v="1381056" u="1"/>
        <n v="1381057" u="1"/>
        <n v="1381058" u="1"/>
        <n v="1381059" u="1"/>
        <n v="1381060" u="1"/>
        <n v="1381061" u="1"/>
        <n v="1381062" u="1"/>
        <n v="1381063" u="1"/>
        <n v="1330650" u="1"/>
        <n v="1330651" u="1"/>
        <n v="1330652" u="1"/>
        <n v="1330653" u="1"/>
        <n v="1330654" u="1"/>
        <n v="1344830" u="1"/>
        <n v="1344831" u="1"/>
        <n v="1344832" u="1"/>
        <n v="1344833" u="1"/>
        <n v="1344834" u="1"/>
        <n v="1344835" u="1"/>
        <n v="1344836" u="1"/>
        <n v="1344837" u="1"/>
        <n v="1344838" u="1"/>
        <n v="1344839" u="1"/>
        <n v="1276290" u="1"/>
        <n v="1276291" u="1"/>
        <n v="1284359" u="1"/>
        <n v="1276292" u="1"/>
        <n v="1284360" u="1"/>
        <n v="1276293" u="1"/>
        <n v="1284361" u="1"/>
        <n v="1276294" u="1"/>
        <n v="1284362" u="1"/>
        <n v="1276295" u="1"/>
        <n v="1284363" u="1"/>
        <n v="1276296" u="1"/>
        <n v="1284364" u="1"/>
        <n v="1276297" u="1"/>
        <n v="1284365" u="1"/>
        <n v="1276298" u="1"/>
        <n v="1284366" u="1"/>
        <n v="1276299" u="1"/>
        <n v="1284367" u="1"/>
        <n v="1276300" u="1"/>
        <n v="1284368" u="1"/>
        <n v="1276301" u="1"/>
        <n v="1284369" u="1"/>
        <n v="1276302" u="1"/>
        <n v="1284370" u="1"/>
        <n v="1276303" u="1"/>
        <n v="1284371" u="1"/>
        <n v="1284372" u="1"/>
        <n v="1276305" u="1"/>
        <n v="1276306" u="1"/>
        <n v="1276307" u="1"/>
        <n v="1276308" u="1"/>
        <n v="1276309" u="1"/>
        <n v="1223938" u="1"/>
        <n v="1223939" u="1"/>
        <n v="1223940" u="1"/>
        <n v="1223941" u="1"/>
        <n v="1223942" u="1"/>
        <n v="1223943" u="1"/>
        <n v="1223944" u="1"/>
        <n v="1223945" u="1"/>
        <n v="1278436" u="1"/>
        <n v="1278437" u="1"/>
        <n v="1278438" u="1"/>
        <n v="1278439" u="1"/>
        <n v="1278440" u="1"/>
        <n v="1278441" u="1"/>
        <n v="1278442" u="1"/>
        <n v="1278443" u="1"/>
        <n v="1278444" u="1"/>
        <n v="1278445" u="1"/>
        <n v="1278446" u="1"/>
        <n v="1278447" u="1"/>
        <n v="1278448" u="1"/>
        <n v="1278449" u="1"/>
        <n v="1268456" u="1"/>
        <n v="1268457" u="1"/>
        <n v="1268458" u="1"/>
        <n v="1268459" u="1"/>
        <n v="1268460" u="1"/>
        <n v="1268461" u="1"/>
        <n v="1268463" u="1"/>
        <n v="1326958" u="1"/>
        <n v="1268466" u="1"/>
        <n v="1326959" u="1"/>
        <n v="1268467" u="1"/>
        <n v="1326960" u="1"/>
        <n v="1268468" u="1"/>
        <n v="1326961" u="1"/>
        <n v="1326962" u="1"/>
        <n v="1326963" u="1"/>
        <n v="1326964" u="1"/>
        <n v="1326965" u="1"/>
        <n v="1326966" u="1"/>
        <n v="1326967" u="1"/>
        <n v="1268484" u="1"/>
        <n v="1268485" u="1"/>
        <n v="1268486" u="1"/>
        <n v="1268487" u="1"/>
        <n v="1268488" u="1"/>
        <n v="1268489" u="1"/>
        <n v="1268491" u="1"/>
        <n v="1268494" u="1"/>
        <n v="1327013" u="1"/>
        <n v="1274572" u="1"/>
        <n v="1327014" u="1"/>
        <n v="1274573" u="1"/>
        <n v="1327015" u="1"/>
        <n v="1274574" u="1"/>
        <n v="1327016" u="1"/>
        <n v="1274575" u="1"/>
        <n v="1327017" u="1"/>
        <n v="1274576" u="1"/>
        <n v="1327018" u="1"/>
        <n v="1274577" u="1"/>
        <n v="1327019" u="1"/>
        <n v="1274578" u="1"/>
        <n v="1327020" u="1"/>
        <n v="1274579" u="1"/>
        <n v="1327021" u="1"/>
        <n v="1274580" u="1"/>
        <n v="1327022" u="1"/>
        <n v="1327023" u="1"/>
        <n v="1327024" u="1"/>
        <n v="1345182" u="1"/>
        <n v="1345183" u="1"/>
        <n v="1345184" u="1"/>
        <n v="1345185" u="1"/>
        <n v="1345186" u="1"/>
        <n v="1345187" u="1"/>
        <n v="1345188" u="1"/>
        <n v="1345189" u="1"/>
        <n v="1345190" u="1"/>
        <n v="1345191" u="1"/>
        <n v="1314942" u="1"/>
        <n v="1314943" u="1"/>
        <n v="1314944" u="1"/>
        <n v="1314945" u="1"/>
        <n v="1314946" u="1"/>
        <n v="1314947" u="1"/>
        <n v="1314948" u="1"/>
        <n v="1314949" u="1"/>
        <n v="1314950" u="1"/>
        <n v="1314951" u="1"/>
        <n v="1359329" u="1"/>
        <n v="1359330" u="1"/>
        <n v="1359331" u="1"/>
        <n v="1359332" u="1"/>
        <n v="1359333" u="1"/>
        <n v="1359334" u="1"/>
        <n v="1359335" u="1"/>
        <n v="1359336" u="1"/>
        <n v="1359337" u="1"/>
        <n v="1359338" u="1"/>
        <n v="1359353" u="1"/>
        <n v="1359354" u="1"/>
        <n v="1359355" u="1"/>
        <n v="1359356" u="1"/>
        <n v="1359357" u="1"/>
        <n v="1359358" u="1"/>
        <n v="1359359" u="1"/>
        <n v="1359360" u="1"/>
        <n v="1359361" u="1"/>
        <n v="1359362" u="1"/>
        <n v="1357371" u="1"/>
        <n v="1357372" u="1"/>
        <n v="1357373" u="1"/>
        <n v="1357374" u="1"/>
        <n v="1357375" u="1"/>
        <n v="1357376" u="1"/>
        <n v="1357377" u="1"/>
        <n v="1357378" u="1"/>
        <n v="1357379" u="1"/>
        <n v="1357380" u="1"/>
        <n v="1357381" u="1"/>
        <n v="1357382" u="1"/>
        <n v="1357386" u="1"/>
        <n v="1357387" u="1"/>
        <n v="1357388" u="1"/>
        <n v="1357389" u="1"/>
        <n v="1357390" u="1"/>
        <n v="1357391" u="1"/>
        <n v="1357392" u="1"/>
        <n v="1357393" u="1"/>
        <n v="1357394" u="1"/>
        <n v="1357395" u="1"/>
        <n v="1365487" u="1"/>
        <n v="1365488" u="1"/>
        <n v="1365489" u="1"/>
        <n v="1365490" u="1"/>
        <n v="1365491" u="1"/>
        <n v="1365492" u="1"/>
        <n v="1365493" u="1"/>
        <n v="1365494" u="1"/>
        <n v="1365495" u="1"/>
        <n v="1365496" u="1"/>
        <n v="1353453" u="1"/>
        <n v="1353454" u="1"/>
        <n v="1353455" u="1"/>
        <n v="1353456" u="1"/>
        <n v="1353457" u="1"/>
        <n v="1353458" u="1"/>
        <n v="1353459" u="1"/>
        <n v="1353460" u="1"/>
        <n v="1353461" u="1"/>
        <n v="1353462" u="1"/>
        <n v="1371650" u="1"/>
        <n v="1371651" u="1"/>
        <n v="1371652" u="1"/>
        <n v="1371653" u="1"/>
        <n v="1371654" u="1"/>
        <n v="1371655" u="1"/>
        <n v="1371656" u="1"/>
        <n v="1371657" u="1"/>
        <n v="1371658" u="1"/>
        <n v="1224418" u="1"/>
        <n v="1371659" u="1"/>
        <n v="1224419" u="1"/>
        <n v="1224420" u="1"/>
        <n v="1224421" u="1"/>
        <n v="1224422" u="1"/>
        <n v="1224423" u="1"/>
        <n v="1224424" u="1"/>
        <n v="1293018" u="1"/>
        <n v="1293019" u="1"/>
        <n v="1293020" u="1"/>
        <n v="1293021" u="1"/>
        <n v="1293022" u="1"/>
        <n v="1293023" u="1"/>
        <n v="1293024" u="1"/>
        <n v="1293025" u="1"/>
        <n v="1293026" u="1"/>
        <n v="1293027" u="1"/>
        <n v="1381775" u="1"/>
        <n v="1293028" u="1"/>
        <n v="1381776" u="1"/>
        <n v="1293029" u="1"/>
        <n v="1381777" u="1"/>
        <n v="1293030" u="1"/>
        <n v="1381778" u="1"/>
        <n v="1293031" u="1"/>
        <n v="1381779" u="1"/>
        <n v="1381780" u="1"/>
        <n v="1381781" u="1"/>
        <n v="1381782" u="1"/>
        <n v="1381783" u="1"/>
        <n v="1216396" u="1"/>
        <n v="1216397" u="1"/>
        <n v="1216398" u="1"/>
        <n v="1216399" u="1"/>
        <n v="1216400" u="1"/>
        <n v="1216401" u="1"/>
        <n v="1216402" u="1"/>
        <n v="1216403" u="1"/>
        <n v="1216404" u="1"/>
        <n v="1216405" u="1"/>
        <n v="1216406" u="1"/>
        <n v="1216407" u="1"/>
        <n v="1216408" u="1"/>
        <n v="1216409" u="1"/>
        <n v="1216410" u="1"/>
        <n v="1248688" u="1"/>
        <n v="1248689" u="1"/>
        <n v="1248690" u="1"/>
        <n v="1248691" u="1"/>
        <n v="1248692" u="1"/>
        <n v="1248704" u="1"/>
        <n v="1381826" u="1"/>
        <n v="1248705" u="1"/>
        <n v="1248706" u="1"/>
        <n v="1248707" u="1"/>
        <n v="1248708" u="1"/>
        <n v="1248709" u="1"/>
        <n v="1248710" u="1"/>
        <n v="1248711" u="1"/>
        <n v="1248712" u="1"/>
        <n v="1248713" u="1"/>
        <n v="1248714" u="1"/>
        <n v="1248715" u="1"/>
        <n v="1248716" u="1"/>
        <n v="1248717" u="1"/>
        <n v="1248718" u="1"/>
        <n v="1369774" u="1"/>
        <n v="1369775" u="1"/>
        <n v="1369776" u="1"/>
        <n v="1369777" u="1"/>
        <n v="1369778" u="1"/>
        <n v="1369779" u="1"/>
        <n v="1369780" u="1"/>
        <n v="1369781" u="1"/>
        <n v="1369782" u="1"/>
        <n v="1369783" u="1"/>
        <n v="1268946" u="1"/>
        <n v="1268947" u="1"/>
        <n v="1363746" u="1"/>
        <n v="1363747" u="1"/>
        <n v="1363748" u="1"/>
        <n v="1363749" u="1"/>
        <n v="1363750" u="1"/>
        <n v="1363751" u="1"/>
        <n v="1363752" u="1"/>
        <n v="1363753" u="1"/>
        <n v="1363754" u="1"/>
        <n v="1363755" u="1"/>
        <n v="1363756" u="1"/>
        <n v="1363757" u="1"/>
        <n v="1275020" u="1"/>
        <n v="1275021" u="1"/>
        <n v="1275022" u="1"/>
        <n v="1275023" u="1"/>
        <n v="1275024" u="1"/>
        <n v="1275025" u="1"/>
        <n v="1275026" u="1"/>
        <n v="1222585" u="1"/>
        <n v="1275027" u="1"/>
        <n v="1222586" u="1"/>
        <n v="1222587" u="1"/>
        <n v="1222588" u="1"/>
        <n v="1222589" u="1"/>
        <n v="1222590" u="1"/>
        <n v="1222591" u="1"/>
        <n v="1222592" u="1"/>
        <n v="1222593" u="1"/>
        <n v="1222594" u="1"/>
        <n v="1222595" u="1"/>
        <n v="1309360" u="1"/>
        <n v="1309361" u="1"/>
        <n v="1309362" u="1"/>
        <n v="1309363" u="1"/>
        <n v="1309364" u="1"/>
        <n v="1309365" u="1"/>
        <n v="1309366" u="1"/>
        <n v="1309367" u="1"/>
        <n v="1309368" u="1"/>
        <n v="1309369" u="1"/>
        <n v="1214574" u="1"/>
        <n v="1214575" u="1"/>
        <n v="1315425" u="1"/>
        <n v="1214576" u="1"/>
        <n v="1315426" u="1"/>
        <n v="1214577" u="1"/>
        <n v="1315427" u="1"/>
        <n v="1214578" u="1"/>
        <n v="1315428" u="1"/>
        <n v="1214579" u="1"/>
        <n v="1315429" u="1"/>
        <n v="1214580" u="1"/>
        <n v="1315430" u="1"/>
        <n v="1214581" u="1"/>
        <n v="1315431" u="1"/>
        <n v="1214582" u="1"/>
        <n v="1315432" u="1"/>
        <n v="1214583" u="1"/>
        <n v="1315433" u="1"/>
        <n v="1315434" u="1"/>
        <n v="1335606" u="1"/>
        <n v="1335607" u="1"/>
        <n v="1335608" u="1"/>
        <n v="1335609" u="1"/>
        <n v="1335610" u="1"/>
        <n v="1335611" u="1"/>
        <n v="1335612" u="1"/>
        <n v="1335613" u="1"/>
        <n v="1335614" u="1"/>
        <n v="1335615" u="1"/>
        <n v="1382012" u="1"/>
        <n v="1382013" u="1"/>
        <n v="1382014" u="1"/>
        <n v="1382015" u="1"/>
        <n v="1382016" u="1"/>
        <n v="1382017" u="1"/>
        <n v="1382019" u="1"/>
        <n v="1382020" u="1"/>
        <n v="1382021" u="1"/>
        <n v="1382022" u="1"/>
        <n v="1382023" u="1"/>
        <n v="1382024" u="1"/>
        <n v="1382025" u="1"/>
        <n v="1382026" u="1"/>
        <n v="1382027" u="1"/>
        <n v="1382028" u="1"/>
        <n v="1380041" u="1"/>
        <n v="1380042" u="1"/>
        <n v="1380043" u="1"/>
        <n v="1380044" u="1"/>
        <n v="1380045" u="1"/>
        <n v="1380046" u="1"/>
        <n v="1353842" u="1"/>
        <n v="1353843" u="1"/>
        <n v="1353844" u="1"/>
        <n v="1353845" u="1"/>
        <n v="1353846" u="1"/>
        <n v="1353847" u="1"/>
        <n v="1353848" u="1"/>
        <n v="1353849" u="1"/>
        <n v="1353850" u="1"/>
        <n v="1353851" u="1"/>
        <n v="1343793" u="1"/>
        <n v="1343794" u="1"/>
        <n v="1343795" u="1"/>
        <n v="1343796" u="1"/>
        <n v="1343797" u="1"/>
        <n v="1343798" u="1"/>
        <n v="1343799" u="1"/>
        <n v="1343800" u="1"/>
        <n v="1343801" u="1"/>
        <n v="1343802" u="1"/>
        <n v="1327687" u="1"/>
        <n v="1327688" u="1"/>
        <n v="1327689" u="1"/>
        <n v="1327690" u="1"/>
        <n v="1327691" u="1"/>
        <n v="1327692" u="1"/>
        <n v="1327693" u="1"/>
        <n v="1327694" u="1"/>
        <n v="1327695" u="1"/>
        <n v="1327696" u="1"/>
        <n v="1240976" u="1"/>
        <n v="1240977" u="1"/>
        <n v="1240978" u="1"/>
        <n v="1240979" u="1"/>
        <n v="1240980" u="1"/>
        <n v="1240981" u="1"/>
        <n v="1240982" u="1"/>
        <n v="1240983" u="1"/>
        <n v="1240984" u="1"/>
        <n v="1240985" u="1"/>
        <n v="1240986" u="1"/>
        <n v="1240987" u="1"/>
        <n v="1240988" u="1"/>
        <n v="1240989" u="1"/>
        <n v="1240991" u="1"/>
        <n v="1335790" u="1"/>
        <n v="1240992" u="1"/>
        <n v="1335791" u="1"/>
        <n v="1240993" u="1"/>
        <n v="1335792" u="1"/>
        <n v="1240994" u="1"/>
        <n v="1335793" u="1"/>
        <n v="1240995" u="1"/>
        <n v="1335794" u="1"/>
        <n v="1240996" u="1"/>
        <n v="1335795" u="1"/>
        <n v="1240997" u="1"/>
        <n v="1335796" u="1"/>
        <n v="1240998" u="1"/>
        <n v="1335797" u="1"/>
        <n v="1240999" u="1"/>
        <n v="1335798" u="1"/>
        <n v="1241000" u="1"/>
        <n v="1241001" u="1"/>
        <n v="1241002" u="1"/>
        <n v="1241003" u="1"/>
        <n v="1241004" u="1"/>
        <n v="1241005" u="1"/>
        <n v="1241006" u="1"/>
        <n v="1309596" u="1"/>
        <n v="1309597" u="1"/>
        <n v="1309598" u="1"/>
        <n v="1309599" u="1"/>
        <n v="1309600" u="1"/>
        <n v="1309601" u="1"/>
        <n v="1309602" u="1"/>
        <n v="1309603" u="1"/>
        <n v="1309604" u="1"/>
        <n v="1309605" u="1"/>
        <n v="1309606" u="1"/>
        <n v="1309607" u="1"/>
        <n v="1315739" u="1"/>
        <n v="1315740" u="1"/>
        <n v="1315741" u="1"/>
        <n v="1394404" u="1"/>
        <n v="1315742" u="1"/>
        <n v="1394405" u="1"/>
        <n v="1315743" u="1"/>
        <n v="1394406" u="1"/>
        <n v="1315744" u="1"/>
        <n v="1394407" u="1"/>
        <n v="1315745" u="1"/>
        <n v="1394408" u="1"/>
        <n v="1315746" u="1"/>
        <n v="1394409" u="1"/>
        <n v="1315747" u="1"/>
        <n v="1394410" u="1"/>
        <n v="1315748" u="1"/>
        <n v="1394411" u="1"/>
        <n v="1394412" u="1"/>
        <n v="1394438" u="1"/>
        <n v="1394439" u="1"/>
        <n v="1394440" u="1"/>
        <n v="1394441" u="1"/>
        <n v="1394442" u="1"/>
        <n v="1394443" u="1"/>
        <n v="1394444" u="1"/>
        <n v="1394445" u="1"/>
        <n v="1394446" u="1"/>
        <n v="1394447" u="1"/>
        <n v="1337997" u="1"/>
        <n v="1337998" u="1"/>
        <n v="1337999" u="1"/>
        <n v="1338000" u="1"/>
        <n v="1338001" u="1"/>
        <n v="1338002" u="1"/>
        <n v="1338003" u="1"/>
        <n v="1338004" u="1"/>
        <n v="1338005" u="1"/>
        <n v="1338006" u="1"/>
      </sharedItems>
    </cacheField>
    <cacheField name="Container coffee weight (kg)" numFmtId="2">
      <sharedItems containsSemiMixedTypes="0" containsString="0" containsNumber="1" containsInteger="1" minValue="19175" maxValue="21000"/>
    </cacheField>
    <cacheField name="Shipping date" numFmtId="14">
      <sharedItems containsSemiMixedTypes="0" containsNonDate="0" containsDate="1" containsString="0" minDate="2018-12-11T00:00:00" maxDate="2019-02-26T00:00:00"/>
    </cacheField>
    <cacheField name="Container ICO number" numFmtId="0">
      <sharedItems/>
    </cacheField>
    <cacheField name="SAP Contract number" numFmtId="1">
      <sharedItems containsSemiMixedTypes="0" containsString="0" containsNumber="1" containsInteger="1" minValue="4558506709" maxValue="4615506161"/>
    </cacheField>
    <cacheField name="Payment reception date" numFmtId="14">
      <sharedItems containsSemiMixedTypes="0" containsNonDate="0" containsDate="1" containsString="0" minDate="2018-12-28T00:00:00" maxDate="2019-03-13T00:00:00"/>
    </cacheField>
    <cacheField name="Exchange rate" numFmtId="0">
      <sharedItems containsSemiMixedTypes="0" containsString="0" containsNumber="1" minValue="3.6688000000000001" maxValue="3.8742000000000001"/>
    </cacheField>
    <cacheField name="% container filling" numFmtId="9">
      <sharedItems containsSemiMixedTypes="0" containsString="0" containsNumber="1" containsInteger="1" minValue="1" maxValue="1"/>
    </cacheField>
    <cacheField name="Total volume used" numFmtId="3">
      <sharedItems containsSemiMixedTypes="0" containsString="0" containsNumber="1" containsInteger="1" minValue="60" maxValue="34790"/>
    </cacheField>
    <cacheField name="% of delivery used in total" numFmtId="173">
      <sharedItems containsSemiMixedTypes="0" containsString="0" containsNumber="1" containsInteger="1" minValue="1" maxValue="1"/>
    </cacheField>
    <cacheField name="Volume available (kg)" numFmtId="3">
      <sharedItems containsSemiMixedTypes="0" containsString="0" containsNumber="1" minValue="10.945273631840797" maxValue="14658.241758241758"/>
    </cacheField>
    <cacheField name="% of delivery allocated in total" numFmtId="10">
      <sharedItems containsSemiMixedTypes="0" containsString="0" containsNumber="1" minValue="0.81831806827643627" maxValue="1.1173388429752065"/>
    </cacheField>
    <cacheField name="% of delivery for this container" numFmtId="173">
      <sharedItems containsSemiMixedTypes="0" containsString="0" containsNumber="1" containsInteger="1" minValue="1" maxValue="1"/>
    </cacheField>
    <cacheField name="Volume contracted (kg)" numFmtId="3">
      <sharedItems containsMixedTypes="1" containsNumber="1" containsInteger="1" minValue="19175" maxValue="19175"/>
    </cacheField>
    <cacheField name="AAA Premium received (USD)" numFmtId="3">
      <sharedItems containsMixedTypes="1" containsNumber="1" minValue="6763.7822038320437" maxValue="6763.7822038320437"/>
    </cacheField>
    <cacheField name="BEN Premium received (USD)" numFmtId="3">
      <sharedItems containsMixedTypes="1" containsNumber="1" minValue="0" maxValue="2113.6819386975139"/>
    </cacheField>
    <cacheField name="DILUTION RATE2" numFmtId="2">
      <sharedItems containsSemiMixedTypes="0" containsString="0" containsNumber="1" minValue="0.99920634920634921" maxValue="8.3469276780859154" count="4395">
        <n v="1.8178785857238158"/>
        <n v="2.21875"/>
        <n v="2.2222222222222223"/>
        <n v="2.2229102167182662"/>
        <n v="1.8151815181518152"/>
        <n v="1.8185328185328185"/>
        <n v="1.8181818181818181"/>
        <n v="1.8174311926605504"/>
        <n v="1.8164146868250539"/>
        <n v="1.8182579564489112"/>
        <n v="2.22508038585209"/>
        <n v="1.818014705882353"/>
        <n v="2.2225791647544746"/>
        <n v="1.8179059180576631"/>
        <n v="1.8179696616102683"/>
        <n v="1.8182374541003672"/>
        <n v="2.2220367278797997"/>
        <n v="2.2218346703871643"/>
        <n v="2.2226277372262775"/>
        <n v="1.82"/>
        <n v="1.81804788213628"/>
        <n v="1.8185255198487713"/>
        <n v="1.8182989690721649"/>
        <n v="1.8180790960451978"/>
        <n v="2.2233115468409586"/>
        <n v="2.2218623481781377"/>
        <n v="1.8181451612903226"/>
        <n v="1.8182724915220427"/>
        <n v="1.8183217859892224"/>
        <n v="1.8182385229540918"/>
        <n v="2.2221930745015741"/>
        <n v="1.8169440242057489"/>
        <n v="2.2220183486238532"/>
        <n v="1.8180639585133966"/>
        <n v="1.8161209068010076"/>
        <n v="2.2191011235955056"/>
        <n v="1.8181132075471698"/>
        <n v="1.8179031269160024"/>
        <n v="1.8186440677966103"/>
        <n v="2.2213930348258706"/>
        <n v="1.8183194549583648"/>
        <n v="2.222017673048601"/>
        <n v="1.8183856502242153"/>
        <n v="2.2210927573062262"/>
        <n v="2.2211981566820276"/>
        <n v="2.2232243517474632"/>
        <n v="2.2217852929610697"/>
        <n v="2.2220630372492836"/>
        <n v="2.2219314315624183"/>
        <n v="1.8185689948892674"/>
        <n v="1.8182652592932538"/>
        <n v="1.8212560386473431"/>
        <n v="2.2218649517684885"/>
        <n v="1.8179563492063493"/>
        <n v="1.8178983473651387"/>
        <n v="2.222194760257044"/>
        <n v="1.8179979777553084"/>
        <n v="2.2219714070729872"/>
        <n v="2.2259259259259259"/>
        <n v="1.8178137651821862"/>
        <n v="1.8178324365872405"/>
        <n v="2.2219293621507643"/>
        <n v="2.2222428863678632"/>
        <n v="1.8172757475083057"/>
        <n v="2.2247191011235956"/>
        <n v="2.2218659826867584"/>
        <n v="2.2220232766338408"/>
        <n v="2.2226345083487939"/>
        <n v="2.2218045112781954"/>
        <n v="1.8178571428571428"/>
        <n v="1.8182094081942337"/>
        <n v="1.8179218303145854"/>
        <n v="2.2223190932868353"/>
        <n v="1.8180958683936843"/>
        <n v="1.8183361629881154"/>
        <n v="1.8182451253481895"/>
        <n v="1.818082788671024"/>
        <n v="1.8185291308500477"/>
        <n v="1.8178368121442126"/>
        <n v="2.222238041002278"/>
        <n v="2.222334004024145"/>
        <n v="1.8152173913043479"/>
        <n v="1.8185880250223414"/>
        <n v="1.8170731707317074"/>
        <n v="2.2223279416428796"/>
        <n v="2.2219260246584471"/>
        <n v="1.8177083333333333"/>
        <n v="2.2225475841874083"/>
        <n v="1.8181026979982593"/>
        <n v="2.2222001588562352"/>
        <n v="2.2219476025704399"/>
        <n v="2.2221934145709099"/>
        <n v="2.2214532871972317"/>
        <n v="2.225806451612903"/>
        <n v="1.8185576481396417"/>
        <n v="1.8132530120481927"/>
        <n v="2.2219658514074756"/>
        <n v="2.2211538461538463"/>
        <n v="2.2220488819552782"/>
        <n v="1.8192307692307692"/>
        <n v="1.8176605504587156"/>
        <n v="1.8181324647122692"/>
        <n v="2.2219873150105709"/>
        <n v="1.8178217821782179"/>
        <n v="2.222254844392249"/>
        <n v="2.2203703703703703"/>
        <n v="2.2201492537313432"/>
        <n v="1.8180129990714948"/>
        <n v="1.8179995991180598"/>
        <n v="1.8179493735617489"/>
        <n v="1.8187830687830688"/>
        <n v="2.2215709261430248"/>
        <n v="1.818048422597212"/>
        <n v="1.8181973078889078"/>
        <n v="2.2223707664884134"/>
        <n v="2.2208000000000001"/>
        <n v="1.8179959100204499"/>
        <n v="1.8180950563084559"/>
        <n v="1.8175853018372703"/>
        <n v="2.2223543400713437"/>
        <n v="2.2204724409448819"/>
        <n v="1.8175765645805593"/>
        <n v="1.819327731092437"/>
        <n v="1.8170580964153276"/>
        <n v="2.2229074889867841"/>
        <n v="1.8180108158946626"/>
        <n v="2.2226720647773281"/>
        <n v="2.2221655617882035"/>
        <n v="2.2204585537918873"/>
        <n v="2.2220027651589969"/>
        <n v="2.2218259629101285"/>
        <n v="2.2261904761904763"/>
        <n v="2.2160493827160495"/>
        <n v="2.2195767195767195"/>
        <n v="1.8180359435173299"/>
        <n v="1.817998385794996"/>
        <n v="2.222772277227723"/>
        <n v="1.8182751540041069"/>
        <n v="1.8181267662494953"/>
        <n v="1.8184117349519473"/>
        <n v="2.2213740458015265"/>
        <n v="2.2229795520934763"/>
        <n v="2.2222660876431108"/>
        <n v="2.2234636871508382"/>
        <n v="2.2207407407407409"/>
        <n v="1.8185053380782918"/>
        <n v="2.2217555648887024"/>
        <n v="1.8174757281553398"/>
        <n v="2.2240740740740739"/>
        <n v="1.8173679498657118"/>
        <n v="1.8181694268384108"/>
        <n v="1.8181229773462784"/>
        <n v="2.2222907353167876"/>
        <n v="1.8182389937106918"/>
        <n v="1.8183565593464681"/>
        <n v="1.8175338560228083"/>
        <n v="1.8183475091130012"/>
        <n v="1.8187311178247734"/>
        <n v="1.8182624113475176"/>
        <n v="1.8181295295064994"/>
        <n v="1.8181005186907531"/>
        <n v="1.8177777777777777"/>
        <n v="1.8185595567867037"/>
        <n v="2.2228412256267411"/>
        <n v="1.8185395714910364"/>
        <n v="2.2224278312361214"/>
        <n v="2.2225063938618925"/>
        <n v="1.8179640718562875"/>
        <n v="1.817989417989418"/>
        <n v="2.2226804123711341"/>
        <n v="1.8180517808611072"/>
        <n v="1.8178874949413193"/>
        <n v="1.8108108108108107"/>
        <n v="2.2224146462147454"/>
        <n v="2.2218934911242605"/>
        <n v="2.2227298686464878"/>
        <n v="1.8184754521963824"/>
        <n v="2.222714681440443"/>
        <n v="2.2220447284345046"/>
        <n v="2.2221587664191889"/>
        <n v="2.2219451371571073"/>
        <n v="1.8174603174603174"/>
        <n v="1.818099218608032"/>
        <n v="1.8182367149758454"/>
        <n v="1.8181492964464583"/>
        <n v="2.2224894768490682"/>
        <n v="1.8180624835914938"/>
        <n v="1.8175720992622402"/>
        <n v="1.8180628272251309"/>
        <n v="1.8205128205128205"/>
        <n v="1.8186244674376142"/>
        <n v="1.8183632734530939"/>
        <n v="1.8183254344391786"/>
        <n v="2.2219085262563523"/>
        <n v="1.8183652875882947"/>
        <n v="2.2226335272342674"/>
        <n v="2.2235939643347051"/>
        <n v="2.2220731298222072"/>
        <n v="2.222012726844214"/>
        <n v="1.8187919463087248"/>
        <n v="1.8179487179487179"/>
        <n v="1.817781690140845"/>
        <n v="2.222280152937087"/>
        <n v="2.2328767123287672"/>
        <n v="2.222041612483745"/>
        <n v="2.2203389830508473"/>
        <n v="2.2221667498751874"/>
        <n v="1.8182520272879392"/>
        <n v="1.8180705190989226"/>
        <n v="1.8180920402923169"/>
        <n v="1.8182692307692307"/>
        <n v="1.8180993010801489"/>
        <n v="1.8181485547017928"/>
        <n v="1.8180983847283407"/>
        <n v="1.8182064848731516"/>
        <n v="2.2227533460803057"/>
        <n v="2.2221605623381429"/>
        <n v="1.8180801074065787"/>
        <n v="2.2208835341365463"/>
        <n v="1.8181726604210739"/>
        <n v="1.8180977054034049"/>
        <n v="1.818192903304475"/>
        <n v="2.2220652634552902"/>
        <n v="2.2223076923076923"/>
        <n v="1.8180617903353578"/>
        <n v="2.2220588235294119"/>
        <n v="1.8182479980587236"/>
        <n v="1.8180404354587869"/>
        <n v="1.818207600680658"/>
        <n v="2.218978102189781"/>
        <n v="2.2234273318872018"/>
        <n v="2.222737819025522"/>
        <n v="2.2208588957055215"/>
        <n v="2.2219061166429586"/>
        <n v="2.2223252118644066"/>
        <n v="2.2221209358857492"/>
        <n v="2.2222398981864462"/>
        <n v="1.818364073777065"/>
        <n v="2.2223095051060486"/>
        <n v="2.2223557692307692"/>
        <n v="2.2209677419354841"/>
        <n v="1.8183391003460208"/>
        <n v="1.8179379072441548"/>
        <n v="2.2219718309859156"/>
        <n v="2.2222849083215799"/>
        <n v="2.2220523015751645"/>
        <n v="2.2220876725599417"/>
        <n v="2.2220888355342137"/>
        <n v="1.8177136972193615"/>
        <n v="1.8180112570356473"/>
        <n v="1.8168168168168168"/>
        <n v="2.2226640159045727"/>
        <n v="1.8178851174934725"/>
        <n v="2.2221044261860587"/>
        <n v="2.2223938223938222"/>
        <n v="2.2221654749744637"/>
        <n v="1.8181110938229346"/>
        <n v="1.818039950062422"/>
        <n v="1.8180661577608141"/>
        <n v="2.2222921914357681"/>
        <n v="1.8187347931873479"/>
        <n v="1.8180494905385736"/>
        <n v="1.8183538315988648"/>
        <n v="1.8168789808917198"/>
        <n v="2.2223869532987397"/>
        <n v="2.2223157894736842"/>
        <n v="2.2244224422442245"/>
        <n v="2.2219329645297754"/>
        <n v="2.222195299248849"/>
        <n v="2.2221276595744679"/>
        <n v="2.2218104817363686"/>
        <n v="2.2231812577065351"/>
        <n v="1.8182194616977225"/>
        <n v="1.8183512841756422"/>
        <n v="2.2240663900414939"/>
        <n v="1.8179538615847544"/>
        <n v="1.8189944134078213"/>
        <n v="1.8181601525262154"/>
        <n v="2.222865412445731"/>
        <n v="2.2220013253810471"/>
        <n v="1.8186046511627907"/>
        <n v="2.2217913920124079"/>
        <n v="1.8177966101694916"/>
        <n v="1.8209459459459461"/>
        <n v="2.2221693625118935"/>
        <n v="2.221879815100154"/>
        <n v="1.8176056338028168"/>
        <n v="1.8177892918825562"/>
        <n v="1.8179419525065963"/>
        <n v="1.8182857142857143"/>
        <n v="1.8180347755762232"/>
        <n v="2.2217391304347824"/>
        <n v="2.222826086956522"/>
        <n v="2.2215357458075906"/>
        <n v="2.2224448897795592"/>
        <n v="1.8181598062953994"/>
        <n v="2.2221223021582732"/>
        <n v="2.2224188790560473"/>
        <n v="2.2202970297029703"/>
        <n v="1.8166351606805293"/>
        <n v="1.8181449979748887"/>
        <n v="1.8179325472991499"/>
        <n v="2.2223138791503403"/>
        <n v="2.2218803418803419"/>
        <n v="2.2220733994106618"/>
        <n v="2.2218854198241891"/>
        <n v="2.2220113851992411"/>
        <n v="2.222066386161758"/>
        <n v="2.2221110555277637"/>
        <n v="1.8175535590877678"/>
        <n v="2.2216547497446375"/>
        <n v="2.2220611682852587"/>
        <n v="2.2222531293463144"/>
        <n v="2.2224363091415116"/>
        <n v="2.2219679633867275"/>
        <n v="2.2228506787330318"/>
        <n v="1.8180307436643124"/>
        <n v="1.8179946469013795"/>
        <n v="1.8181672540852292"/>
        <n v="2.2219149671621157"/>
        <n v="1.8184480234260616"/>
        <n v="2.2219482120838472"/>
        <n v="1.8182919442761962"/>
        <n v="1.8180764774044031"/>
        <n v="1.8178484107579462"/>
        <n v="1.8180770117592806"/>
        <n v="2.2222560048647004"/>
        <n v="1.8178893178893178"/>
        <n v="2.2223343424150688"/>
        <n v="1.8182645631067962"/>
        <n v="1.8182295311406578"/>
        <n v="2.2777777777777777"/>
        <n v="1.8244274809160306"/>
        <n v="2.2218509856331439"/>
        <n v="2.2224507787246548"/>
        <n v="1.817351598173516"/>
        <n v="1.8179623370352487"/>
        <n v="1.8169257340241796"/>
        <n v="2.2225519287833828"/>
        <n v="1.8231707317073171"/>
        <n v="2.2222416201117317"/>
        <n v="2.2218995062445543"/>
        <n v="1.8186090225563909"/>
        <n v="1.818297331639136"/>
        <n v="2.2220828105395234"/>
        <n v="1.81"/>
        <n v="2.2220163083765754"/>
        <n v="2.2217573221757321"/>
        <n v="2.2220640569395016"/>
        <n v="1.8181545835829838"/>
        <n v="2.2222429906542054"/>
        <n v="1.8183122847301951"/>
        <n v="2.2220288846354621"/>
        <n v="2.2222940226171244"/>
        <n v="1.8172690763052208"/>
        <n v="1.8180844225412471"/>
        <n v="2.2228136882129279"/>
        <n v="1.8174273858921162"/>
        <n v="2.2216435185185186"/>
        <n v="2.2220620043258834"/>
        <n v="2.2226970560303894"/>
        <n v="2.222365750138402"/>
        <n v="2.2220812182741119"/>
        <n v="2.2226920366455252"/>
        <n v="1.818116462976276"/>
        <n v="1.8182479627473807"/>
        <n v="1.8181356792420911"/>
        <n v="2.2220598977355732"/>
        <n v="1.8177650429799428"/>
        <n v="1.8214285714285714"/>
        <n v="2.2229965156794425"/>
        <n v="1.8182505671792286"/>
        <n v="2.222022955523673"/>
        <n v="1.8184"/>
        <n v="2.2211434735706579"/>
        <n v="2.2223274909205748"/>
        <n v="1.8180854447153609"/>
        <n v="1.8182196339434276"/>
        <n v="1.8180698151950718"/>
        <n v="2.2224299065420561"/>
        <n v="1.8182487122884474"/>
        <n v="2.2220582810770932"/>
        <n v="2.2220808954464513"/>
        <n v="2.2223851417399803"/>
        <n v="1.8181397501156873"/>
        <n v="2.2225925925925925"/>
        <n v="2.2222045237336729"/>
        <n v="2.2200647249190939"/>
        <n v="2.2219387755102042"/>
        <n v="1.8178096212896622"/>
        <n v="2.2214428857715429"/>
        <n v="2.2225080385852092"/>
        <n v="1.8212765957446808"/>
        <n v="1.8181259222823414"/>
        <n v="1.8182175622542596"/>
        <n v="2.2185185185185183"/>
        <n v="1.8181959082455053"/>
        <n v="1.8181482847657691"/>
        <n v="1.817944705268649"/>
        <n v="2.2228088701161561"/>
        <n v="2.2223250647908181"/>
        <n v="1.8142857142857143"/>
        <n v="1.8180870773506252"/>
        <n v="1.8181990701205049"/>
        <n v="1.8181405071344179"/>
        <n v="2.2218926134678139"/>
        <n v="1.8180579216354344"/>
        <n v="2.22244623655914"/>
        <n v="1.8183875530410183"/>
        <n v="1.8180988037622134"/>
        <n v="1.8180848795052249"/>
        <n v="1.8182578164186591"/>
        <n v="1.8181441590720795"/>
        <n v="1.818342151675485"/>
        <n v="1.8175018698578909"/>
        <n v="1.8180694598937091"/>
        <n v="1.8178542834267415"/>
        <n v="1.8181587623636826"/>
        <n v="2.2168674698795181"/>
        <n v="2.2219334719334718"/>
        <n v="1.8182223543400713"/>
        <n v="2.2220831246870305"/>
        <n v="1.8182068206820683"/>
        <n v="2.2000000000000002"/>
        <n v="1.8180442022403875"/>
        <n v="1.8182854537163702"/>
        <n v="1.8180715585203153"/>
        <n v="2.2221362229102168"/>
        <n v="2.2221883572081684"/>
        <n v="2.2221231043710974"/>
        <n v="1.8177749360613811"/>
        <n v="1.8180135718692165"/>
        <n v="2.2228096676737161"/>
        <n v="2.2222982216142273"/>
        <n v="2.2227488151658767"/>
        <n v="2.2219359587780638"/>
        <n v="2.2218543046357615"/>
        <n v="2.2221741013425724"/>
        <n v="1.8182727575858619"/>
        <n v="1.8182612494539101"/>
        <n v="1.8180275715800636"/>
        <n v="2.2222596964586847"/>
        <n v="2.2222670431625655"/>
        <n v="2.2223364165810211"/>
        <n v="1.8181470625716833"/>
        <n v="1.8189233278955954"/>
        <n v="1.8186423505572442"/>
        <n v="1.8184067293419099"/>
        <n v="2.2217484008528783"/>
        <n v="1.8181644906127894"/>
        <n v="1.8181294632573139"/>
        <n v="2.2223335002503757"/>
        <n v="2.222304283604136"/>
        <n v="2.2225274725274726"/>
        <n v="2.2222411154565549"/>
        <n v="3.0169491525423728" u="1"/>
        <n v="2.1274510483794593" u="1"/>
        <n v="2.2666666666666666" u="1"/>
        <n v="2.9410815173527038" u="1"/>
        <n v="1.6930000000000001" u="1"/>
        <n v="3.4790365744870653" u="1"/>
        <n v="3.0302894574771848" u="1"/>
        <n v="2.702514506769826" u="1"/>
        <n v="2.6315063295505503" u="1"/>
        <n v="5.8777777777777782" u="1"/>
        <n v="3.0306258322237016" u="1"/>
        <n v="2.9407407407407407" u="1"/>
        <n v="2.4925373134328357" u="1"/>
        <n v="3.3321492007104796" u="1"/>
        <n v="1.0208333333333333" u="1"/>
        <n v="2.7028073572120039" u="1"/>
        <n v="2.128060263653484" u="1"/>
        <n v="2.7776271186440677" u="1"/>
        <n v="2.2645597043456096" u="1"/>
        <n v="1.9026041666666667" u="1"/>
        <n v="1.6671899529042387" u="1"/>
        <n v="3.4476190476190478" u="1"/>
        <n v="3.1250669045495094" u="1"/>
        <n v="2.5626585489599187" u="1"/>
        <n v="3.1349397590361447" u="1"/>
        <n v="3.1245674372051919" u="1"/>
        <n v="2.7776246937468914" u="1"/>
        <n v="2.7779212395093609" u="1"/>
        <n v="3.0163934426229506" u="1"/>
        <n v="3.0570469798657718" u="1"/>
        <n v="3.0302777146997331" u="1"/>
        <n v="3.3334883720930231" u="1"/>
        <n v="1.6674669867947178" u="1"/>
        <n v="2.6175847457627119" u="1"/>
        <n v="3.4466666666666668" u="1"/>
        <n v="3.0305208398846371" u="1"/>
        <n v="4.5454545454545459" u="1"/>
        <n v="2.8573159648591338" u="1"/>
        <n v="3.1662350474781107" u="1"/>
        <n v="3.0302628182845885" u="1"/>
        <n v="5.556240369799692" u="1"/>
        <n v="1.7545931758530184" u="1"/>
        <n v="2.3769885312615613" u="1"/>
        <n v="3.0301003344481607" u="1"/>
        <n v="3.0314960629921259" u="1"/>
        <n v="3.0298062593144559" u="1"/>
        <n v="3.3898305084745761" u="1"/>
        <n v="2.2221045197740112" u="1"/>
        <n v="2.7779516437000433" u="1"/>
        <n v="1.7570621468926553" u="1"/>
        <n v="3.3330876934414149" u="1"/>
        <n v="2.5111111111111106" u="1"/>
        <n v="3.3336614173228347" u="1"/>
        <n v="2.3079505569967953" u="1"/>
        <n v="2.75" u="1"/>
        <n v="1.3881807647740441" u="1"/>
        <n v="2.2542372881355934" u="1"/>
        <n v="2.5306710580485796" u="1"/>
        <n v="3.0336906584992342" u="1"/>
        <n v="2.218220338983051" u="1"/>
        <n v="2.9411510207668847" u="1"/>
        <n v="1.8387096774193548" u="1"/>
        <n v="2.2222021985943412" u="1"/>
        <n v="3.0302454903024549" u="1"/>
        <n v="3.3317307692307692" u="1"/>
        <n v="2.4998881181472363" u="1"/>
        <n v="2.2863700564971752" u="1"/>
        <n v="2.2621041135784492" u="1"/>
        <n v="2.6310316139767056" u="1"/>
        <n v="3.0303687635574836" u="1"/>
        <n v="1.5593220338983051" u="1"/>
        <n v="3.3422114608555287" u="1"/>
        <n v="3.7280334728033471" u="1"/>
        <n v="3.5732217573221758" u="1"/>
        <n v="3.3314606741573032" u="1"/>
        <n v="3.0303788152154887" u="1"/>
        <n v="3.2254237288135594" u="1"/>
        <n v="2.1" u="1"/>
        <n v="0.99994675233624131" u="1"/>
        <n v="2.8571111111111112" u="1"/>
        <n v="3.030050083472454" u="1"/>
        <n v="2.3485369750545209" u="1"/>
        <n v="2.9544491525423728" u="1"/>
        <n v="2.9409347714432461" u="1"/>
        <n v="2.4649717514124294" u="1"/>
        <n v="2.8001784121320248" u="1"/>
        <n v="2.7030970223489619" u="1"/>
        <n v="2.9196988707653699" u="1"/>
        <n v="3.1284403669724772" u="1"/>
        <n v="3.2258193445243806" u="1"/>
        <n v="1.3702051739518286" u="1"/>
        <n v="3.0327102803738319" u="1"/>
        <n v="1.851923076923077" u="1"/>
        <n v="1.6055555555555556" u="1"/>
        <n v="2.322884012539185" u="1"/>
        <n v="1.7559322033898306" u="1"/>
        <n v="2.2849162011173183" u="1"/>
        <n v="3.1949152542372881" u="1"/>
        <n v="3.2254974207811347" u="1"/>
        <n v="1.8766233766233766" u="1"/>
        <n v="3.0293127351950879" u="1"/>
        <n v="2.1764705882352939" u="1"/>
        <n v="3.7646103896103895" u="1"/>
        <n v="2.6309523809523809" u="1"/>
        <n v="3.029988465974625" u="1"/>
        <n v="3.3319327731092439" u="1"/>
        <n v="3.3292682926829267" u="1"/>
        <n v="3.2333333333333334" u="1"/>
        <n v="1.7543859649122806" u="1"/>
        <n v="1.7241074584658891" u="1"/>
        <n v="2.7026336791699919" u="1"/>
        <n v="3.2270168855534709" u="1"/>
        <n v="1.9576271186440677" u="1"/>
        <n v="3.3374999999999999" u="1"/>
        <n v="3.0268225584594224" u="1"/>
        <n v="2.8588657105606257" u="1"/>
        <n v="3.0302367338993226" u="1"/>
        <n v="2.5649606299212597" u="1"/>
        <n v="3.0305084745762714" u="1"/>
        <n v="5.5555555555555554" u="1"/>
        <n v="3.0307062436028658" u="1"/>
        <n v="3.1251719394773039" u="1"/>
        <n v="3.028957528957529" u="1"/>
        <n v="1.696555494805905" u="1"/>
        <n v="2.1910349373764006" u="1"/>
        <n v="3.1234866828087169" u="1"/>
        <n v="2.7028928850664582" u="1"/>
        <n v="3.030241935483871" u="1"/>
        <n v="2.5008976660682225" u="1"/>
        <n v="2.6875" u="1"/>
        <n v="1.6393889798145118" u="1"/>
        <n v="2.6943462897526502" u="1"/>
        <n v="2.1241355006387383" u="1"/>
        <n v="2.326306141154904" u="1"/>
        <n v="1.2952380952380953" u="1"/>
        <n v="1.9654088050314464" u="1"/>
        <n v="2.2598870056497176" u="1"/>
        <n v="2.4994219653179193" u="1"/>
        <n v="3.030555555555555" u="1"/>
        <n v="2.4655704008221995" u="1"/>
        <n v="3.0305555555555554" u="1"/>
        <n v="3.0305555555555559" u="1"/>
        <n v="2.8958333333333335" u="1"/>
        <n v="2.774390243902439" u="1"/>
        <n v="3.028436018957346" u="1"/>
        <n v="2.5648148148148149" u="1"/>
        <n v="3.0302640051513201" u="1"/>
        <n v="1.8152424942263279" u="1"/>
        <n v="2.8038740920096852" u="1"/>
        <n v="4.1673640167364017" u="1"/>
        <n v="2.857079646017699" u="1"/>
        <n v="3.0153846153846153" u="1"/>
        <n v="1.3336422613531047" u="1"/>
        <n v="2.2219279661016951" u="1"/>
        <n v="3.0304709141274238" u="1"/>
        <n v="3.1227106227106227" u="1"/>
        <n v="2.264021479713604" u="1"/>
        <n v="3.028395061728395" u="1"/>
        <n v="1.8857142857142857" u="1"/>
        <n v="3.7017543859649122" u="1"/>
        <n v="1.0000301613632936" u="1"/>
        <n v="2.8559322033898304" u="1"/>
        <n v="2.7025741466144377" u="1"/>
        <n v="3.0306293254500423" u="1"/>
        <n v="2.0414312617702448" u="1"/>
        <n v="1.9701372074253429" u="1"/>
        <n v="2.5669781931464173" u="1"/>
        <n v="2.9532085561497325" u="1"/>
        <n v="3.0302666346384819" u="1"/>
        <n v="2.2881355932203391" u="1"/>
        <n v="1.2062146892655368" u="1"/>
        <n v="1.9574074074074075" u="1"/>
        <n v="3.0301906779661016" u="1"/>
        <n v="1.7544715447154471" u="1"/>
        <n v="1.0525737602008789" u="1"/>
        <n v="3.0302841086481425" u="1"/>
        <n v="2.170494699646643" u="1"/>
        <n v="2.36979969183359" u="1"/>
        <n v="3.0282485875706215" u="1"/>
        <n v="2.2617488443759632" u="1"/>
        <n v="1.8868437755009522" u="1"/>
        <n v="3.0301172692093115" u="1"/>
        <n v="4.3482142857142856" u="1"/>
        <n v="1.8482647296206618" u="1"/>
        <n v="1.4148148148148147" u="1"/>
        <n v="1.0524515393386544" u="1"/>
        <n v="1.85" u="1"/>
        <n v="2.978798586572438" u="1"/>
        <n v="2.5003380662609871" u="1"/>
        <n v="2.9411976911976914" u="1"/>
        <n v="2.9983739837398375" u="1"/>
        <n v="3.0282952098423359" u="1"/>
        <n v="2.1777777777777776" u="1"/>
        <n v="2.6304909560723515" u="1"/>
        <n v="2.7778388278388277" u="1"/>
        <n v="3.0306827918998147" u="1"/>
        <n v="2.2432701894317049" u="1"/>
        <n v="2.5644171779141103" u="1"/>
        <n v="3.0288582183186952" u="1"/>
        <n v="3.4487489911218723" u="1"/>
        <n v="3.33337342152736" u="1"/>
        <n v="3.0303420564599217" u="1"/>
        <n v="2.1814187068424356" u="1"/>
        <n v="1.428351309707242" u="1"/>
        <n v="1.6666187877046825" u="1"/>
        <n v="1.7805287452790599" u="1"/>
        <n v="1.96045197740113" u="1"/>
        <n v="1.8834229020256303" u="1"/>
        <n v="2.7027758970886935" u="1"/>
        <n v="3.3329245025892611" u="1"/>
        <n v="3.2288135593220337" u="1"/>
        <n v="3.1354051054384016" u="1"/>
        <n v="2.4936567424753835" u="1"/>
        <n v="3.5713897190350306" u="1"/>
        <n v="2.6610169491525424" u="1"/>
        <n v="2.8571117877337975" u="1"/>
        <n v="3.0302029591622124" u="1"/>
        <n v="2.6249999999999996" u="1"/>
        <n v="2.625" u="1"/>
        <n v="3.2546610169491523" u="1"/>
        <n v="2.8571428571428572" u="1"/>
        <n v="2.8571428571428577" u="1"/>
        <n v="2.3205061983471076" u="1"/>
        <n v="1.0196078431372548" u="1"/>
        <n v="2.88" u="1"/>
        <n v="3.571516117171222" u="1"/>
        <n v="3.0301369863013701" u="1"/>
        <n v="1.0206185567010309" u="1"/>
        <n v="3.4485645933014353" u="1"/>
        <n v="1.7627118644067796" u="1"/>
        <n v="2.7027108773771849" u="1"/>
        <n v="3.0297875654998263" u="1"/>
        <n v="2.5002201673271687" u="1"/>
        <n v="3.0304851867754401" u="1"/>
        <n v="3.0303356944872188" u="1"/>
        <n v="2.6315843621399178" u="1"/>
        <n v="3.0304903172641122" u="1"/>
        <n v="1.1949152542372881" u="1"/>
        <n v="2.5007496251874062" u="1"/>
        <n v="2.1277705345501956" u="1"/>
        <n v="2.9385474860335195" u="1"/>
        <n v="3.1245059288537549" u="1"/>
        <n v="2.4997941539728283" u="1"/>
        <n v="1.956969696969697" u="1"/>
        <n v="1.8151260504201681" u="1"/>
        <n v="1.9641666666666666" u="1"/>
        <n v="3.1255230125523012" u="1"/>
        <n v="1.7238372093023255" u="1"/>
        <n v="2.1833333333333331" u="1"/>
        <n v="2.5641255605381166" u="1"/>
        <n v="2.4222222222222221" u="1"/>
        <n v="2.7027430744160781" u="1"/>
        <n v="4.4001473839351508" u="1"/>
        <n v="3.0300157977883098" u="1"/>
        <n v="3.7183098591549295" u="1"/>
        <n v="2.8574074074074076" u="1"/>
        <n v="3.0302267002518892" u="1"/>
        <n v="5.5533980582524274" u="1"/>
        <n v="2.4049955396966993" u="1"/>
        <n v="2.4544364508393284" u="1"/>
        <n v="3.5711127487103904" u="1"/>
        <n v="3.4474418604651165" u="1"/>
        <n v="3.0303853754940713" u="1"/>
        <n v="2.7871939736346518" u="1"/>
        <n v="2.2726608187134505" u="1"/>
        <n v="2.7271733187534171" u="1"/>
        <n v="2.647887323943662" u="1"/>
        <n v="2.3807971014492755" u="1"/>
        <n v="3.0338983050847457" u="1"/>
        <n v="3.3339552238805972" u="1"/>
        <n v="2.563997662185856" u="1"/>
        <n v="2.6305555555555555" u="1"/>
        <n v="2.3255813953488373" u="1"/>
        <n v="2.7062198596750848" u="1"/>
        <n v="2.7380952380952381" u="1"/>
        <n v="3.377255330781848" u="1"/>
        <n v="1.7547619047619047" u="1"/>
        <n v="3.030450669914738" u="1"/>
        <n v="2.6345062429057888" u="1"/>
        <n v="2.9406077348066297" u="1"/>
        <n v="3.0300230946882216" u="1"/>
        <n v="2.7142857142857144" u="1"/>
        <n v="1.4416666666666667" u="1"/>
        <n v="1.9605263157894737" u="1"/>
        <n v="3.0309653916211294" u="1"/>
        <n v="2.9415254237288138" u="1"/>
        <n v="2.2194444444444446" u="1"/>
        <n v="3.334140435835351" u="1"/>
        <n v="2.1136426785218116" u="1"/>
        <n v="3.5712739083363405" u="1"/>
        <n v="1.8999453253143794" u="1"/>
        <n v="2.9449541284403669" u="1"/>
        <n v="3.3335659455687368" u="1"/>
        <n v="2.9356435643564356" u="1"/>
        <n v="1.0204169817435453" u="1"/>
        <n v="2.3808035714285714" u="1"/>
        <n v="1.963276836158192" u="1"/>
        <n v="1.9962962962962962" u="1"/>
        <n v="2.4997684113015284" u="1"/>
        <n v="3.0256926107548514" u="1"/>
        <n v="2.5625" u="1"/>
        <n v="2.6666666666666665" u="1"/>
        <n v="2.2915254237288134" u="1"/>
        <n v="3.0324786324786324" u="1"/>
        <n v="1.0203389830508474" u="1"/>
        <n v="5.5574468085106385" u="1"/>
        <n v="3.0175438596491229" u="1"/>
        <n v="2.1893129770992368" u="1"/>
        <n v="3.7039421210960315" u="1"/>
        <n v="3.125017305828603" u="1"/>
        <n v="3.3362403100775193" u="1"/>
        <n v="2.741628365068943" u="1"/>
        <n v="3.0303787105705147" u="1"/>
        <n v="1.0211640211640212" u="1"/>
        <n v="2.62" u="1"/>
        <n v="2.3809411764705883" u="1"/>
        <n v="3.0316384180790958" u="1"/>
        <n v="3.0394736842105261" u="1"/>
        <n v="3.3347457627118646" u="1"/>
        <n v="3.0327868852459017" u="1"/>
        <n v="2.1596638655462184" u="1"/>
        <n v="2.5000724322758221" u="1"/>
        <n v="2.0166666666666666" u="1"/>
        <n v="2.6316312997347482" u="1"/>
        <n v="2.7026378896882495" u="1"/>
        <n v="2.7973551871856959" u="1"/>
        <n v="2.2351694915254239" u="1"/>
        <n v="1.0101694915254238" u="1"/>
        <n v="2.6190476190476191" u="1"/>
        <n v="3.1264367816091956" u="1"/>
        <n v="2.9416195856873824" u="1"/>
        <n v="3.0147630147630147" u="1"/>
        <n v="1.6952380952380952" u="1"/>
        <n v="1.8182839173405212" u="1"/>
        <n v="2.6318407960199006" u="1"/>
        <n v="3.5714103703072726" u="1"/>
        <n v="2.1271186440677967" u="1"/>
        <n v="1.0100937274693584" u="1"/>
        <n v="3.1883239171374766" u="1"/>
        <n v="1.8156779661016949" u="1"/>
        <n v="3.57201646090535" u="1"/>
        <n v="1.1885317115551695" u="1"/>
        <n v="2.5461448598130842" u="1"/>
        <n v="3.1259259259259253" u="1"/>
        <n v="3.5713873249603001" u="1"/>
        <n v="3.1259259259259258" u="1"/>
        <n v="3.8466666666666667" u="1"/>
        <n v="3.0292758089368257" u="1"/>
        <n v="1.7796610169491525" u="1"/>
        <n v="2.2789933230611195" u="1"/>
        <n v="1.5638888888888889" u="1"/>
        <n v="1.8341666666666667" u="1"/>
        <n v="3.0304806565064477" u="1"/>
        <n v="3.3331584470094437" u="1"/>
        <n v="4.354166666666667" u="1"/>
        <n v="3.2261306532663316" u="1"/>
        <n v="3.3325791855203621" u="1"/>
        <n v="3.4498705142434329" u="1"/>
        <n v="2.4401913875598087" u="1"/>
        <n v="2.7780410742496051" u="1"/>
        <n v="4.3502824858757059" u="1"/>
        <n v="3.1244292237442921" u="1"/>
        <n v="2.7027777777777779" u="1"/>
        <n v="2.4999481918972126" u="1"/>
        <n v="3.0335570469798658" u="1"/>
        <n v="3.3636363636363638" u="1"/>
        <n v="3.1252908149021312" u="1"/>
        <n v="2.5161290322580645" u="1"/>
        <n v="2.3811565792697866" u="1"/>
        <n v="2.1844660194174756" u="1"/>
        <n v="2.7746947835738069" u="1"/>
        <n v="2.9411567611759266" u="1"/>
        <n v="2.5000260756192958" u="1"/>
        <n v="3.0303474140896332" u="1"/>
        <n v="3.0308123249299719" u="1"/>
        <n v="1.6673228346456692" u="1"/>
        <n v="2.4996496145760339" u="1"/>
        <n v="2.9413078656593434" u="1"/>
        <n v="2.4968527066722617" u="1"/>
        <n v="1.3361344537815125" u="1"/>
        <n v="2.1277239709443099" u="1"/>
        <n v="2.732532751091703" u="1"/>
        <n v="3.1253687315634218" u="1"/>
        <n v="2.4807395993836674" u="1"/>
        <n v="1.575925925925926" u="1"/>
        <n v="2.0406386066763424" u="1"/>
        <n v="2.1729323308270678" u="1"/>
        <n v="3.1237458193979935" u="1"/>
        <n v="2.5641741071428572" u="1"/>
        <n v="3.0302435554540517" u="1"/>
        <n v="3.1261904761904762" u="1"/>
        <n v="2.9414735891325927" u="1"/>
        <n v="2.7027751196172249" u="1"/>
        <n v="3.1249367984629388" u="1"/>
        <n v="1.8521332554061951" u="1"/>
        <n v="2.2611111111111111" u="1"/>
        <n v="1.5747474747474748" u="1"/>
        <n v="2.6317224237098134" u="1"/>
        <n v="2.5631513271053254" u="1"/>
        <n v="2.8967642526964559" u="1"/>
        <n v="2.4999999999999996" u="1"/>
        <n v="2.5" u="1"/>
        <n v="3.8462887200467564" u="1"/>
        <n v="1.1920289855072463" u="1"/>
        <n v="2.8569182389937109" u="1"/>
        <n v="2.7734627831715208" u="1"/>
        <n v="1.9661016949152543" u="1"/>
        <n v="1.01" u="1"/>
        <n v="2.704225352112676" u="1"/>
        <n v="3.3324175824175826" u="1"/>
        <n v="2.128329297820823" u="1"/>
        <n v="3.1340782122905027" u="1"/>
        <n v="3.0302231035479084" u="1"/>
        <n v="2.7024319179413863" u="1"/>
        <n v="3.3300970873786406" u="1"/>
        <n v="2.7083333333333335" u="1"/>
        <n v="3.7036471038024357" u="1"/>
        <n v="4.3583333333333334" u="1"/>
        <n v="2.3255895811334035" u="1"/>
        <n v="3.0302258447953814" u="1"/>
        <n v="2.2222698991632699" u="1"/>
        <n v="2.4066666666666667" u="1"/>
        <n v="3.0303591262495373" u="1"/>
        <n v="1.6924242424242424" u="1"/>
        <n v="3.0305882352941178" u="1"/>
        <n v="2.7027293978204323" u="1"/>
        <n v="3.1657250470809792" u="1"/>
        <n v="3.030327830432586" u="1"/>
        <n v="3.029373489496189" u="1"/>
        <n v="2.2221713238662391" u="1"/>
        <n v="3.3431952662721893" u="1"/>
        <n v="3.0275003082994201" u="1"/>
        <n v="4.1660859465737516" u="1"/>
        <n v="2.2925787506673787" u="1"/>
        <n v="2.5090909090909093" u="1"/>
        <n v="1.5375191424196017" u="1"/>
        <n v="2.5507209714141159" u="1"/>
        <n v="3.0302702171531086" u="1"/>
        <n v="3.0309523809523808" u="1"/>
        <n v="3.1253393665158371" u="1"/>
        <n v="1.855" u="1"/>
        <n v="3.4406779661016951" u="1"/>
        <n v="3.4480551452486461" u="1"/>
        <n v="2.1680672268907561" u="1"/>
        <n v="1.696969696969697" u="1"/>
        <n v="1.7041666666666666" u="1"/>
        <n v="2.3095400573222329" u="1"/>
        <n v="2.8728813559322033" u="1"/>
        <n v="2.3206048180420296" u="1"/>
        <n v="3.0302376120777748" u="1"/>
        <n v="2.8536585365853657" u="1"/>
        <n v="3.0302603800140746" u="1"/>
        <n v="3.3235294117647061" u="1"/>
        <n v="2.3809523809523809" u="1"/>
        <n v="2.3809523809523814" u="1"/>
        <n v="3.0306976744186045" u="1"/>
        <n v="2.85667215815486" u="1"/>
        <n v="2.5012106537530268" u="1"/>
        <n v="2.1743666169895679" u="1"/>
        <n v="3.030204962243797" u="1"/>
        <n v="3.121359223300971" u="1"/>
        <n v="4.1665094244683942" u="1"/>
        <n v="2.6134371957156768" u="1"/>
        <n v="3.0306479859894919" u="1"/>
        <n v="2.5634588563458856" u="1"/>
        <n v="2.2228813559322034" u="1"/>
        <n v="5.5536723163841808" u="1"/>
        <n v="3.0302535871271332" u="1"/>
        <n v="1.4705882352941178" u="1"/>
        <n v="3.1916666666666669" u="1"/>
        <n v="2.6349999999999998" u="1"/>
        <n v="2.8252623083131558" u="1"/>
        <n v="3.0302689910543683" u="1"/>
        <n v="1.3901345291479821" u="1"/>
        <n v="1.2648305084745763" u="1"/>
        <n v="1.0169491525423728" u="1"/>
        <n v="1.9340909090909091" u="1"/>
        <n v="2.5001486767766874" u="1"/>
        <n v="3.3334520840755255" u="1"/>
        <n v="2.6253602305475505" u="1"/>
        <n v="1.4833333333333334" u="1"/>
        <n v="1.9600333055786845" u="1"/>
        <n v="2.1116163704009923" u="1"/>
        <n v="2.9916067146282974" u="1"/>
        <n v="3.5712560386473431" u="1"/>
        <n v="2.8556485355648538" u="1"/>
        <n v="3.448587570621469" u="1"/>
        <n v="3.0293579523583585" u="1"/>
        <n v="3.029171528588098" u="1"/>
        <n v="2.883116883116883" u="1"/>
        <n v="2.2727042752339996" u="1"/>
        <n v="4.1662946428571432" u="1"/>
        <n v="2.9413690719881802" u="1"/>
        <n v="2.6321510297482837" u="1"/>
        <n v="2.1277890466531439" u="1"/>
        <n v="2.7776978417266185" u="1"/>
        <n v="2.4312617702448209" u="1"/>
        <n v="1.8526315789473684" u="1"/>
        <n v="2.5001781261132883" u="1"/>
        <n v="1.6662484316185697" u="1"/>
        <n v="2.8570375829034633" u="1"/>
        <n v="2.5001554243083617" u="1"/>
        <n v="3.026980329611908" u="1"/>
        <n v="3.0300546448087431" u="1"/>
        <n v="3.3338048090523338" u="1"/>
        <n v="1.7528604118993134" u="1"/>
        <n v="1.8515625" u="1"/>
        <n v="3.2277777777777779" u="1"/>
        <n v="2.1564245810055866" u="1"/>
        <n v="1.9595035924232527" u="1"/>
        <n v="1.771186440677966" u="1"/>
        <n v="1.5895929500629458" u="1"/>
        <n v="3.0303408495256332" u="1"/>
        <n v="3.0340314136125652" u="1"/>
        <n v="2.9411212760966454" u="1"/>
        <n v="3.5708333333333333" u="1"/>
        <n v="2.7024406012607076" u="1"/>
        <n v="2.7782485875706215" u="1"/>
        <n v="1.6949224559167198" u="1"/>
        <n v="1.9779661016949153" u="1"/>
        <n v="1.9230769230769231" u="1"/>
        <n v="2.9412698412698415" u="1"/>
        <n v="2.5777777777777779" u="1"/>
        <n v="3.0303126994256542" u="1"/>
        <n v="4.3381642512077292" u="1"/>
        <n v="4.1667788723063914" u="1"/>
        <n v="2.128241065171689" u="1"/>
        <n v="3.4463276836158192" u="1"/>
        <n v="2.4369747899159662" u="1"/>
        <n v="3.4481481481481482" u="1"/>
        <n v="2.6318267419962336" u="1"/>
        <n v="1.3333611273242725" u="1"/>
        <n v="2.85739333722969" u="1"/>
        <n v="1.8444444444444446" u="1"/>
        <n v="3.1252354048964217" u="1"/>
        <n v="3.0304347826086957" u="1"/>
        <n v="3.0249999999999999" u="1"/>
        <n v="3.3325453112687153" u="1"/>
        <n v="8.3333741571914484" u="1"/>
        <n v="8.3347396448594626" u="1"/>
        <n v="3.0508474576271185" u="1"/>
        <n v="1.3889716840536512" u="1"/>
        <n v="1.9627118644067796" u="1"/>
        <n v="1.5875706214689265" u="1"/>
        <n v="3.1249784816663797" u="1"/>
        <n v="2.7135678391959801" u="1"/>
        <n v="3.1249586776859504" u="1"/>
        <n v="8.3330611418847571" u="1"/>
        <n v="3.3334106728538284" u="1"/>
        <n v="3.3337320574162681" u="1"/>
        <n v="2.3804347826086958" u="1"/>
        <n v="2.4998678716769724" u="1"/>
        <n v="1.963302752293578" u="1"/>
        <n v="2.7770472205618648" u="1"/>
        <n v="1.0197740112994351" u="1"/>
        <n v="3.1231527093596059" u="1"/>
        <n v="3.125160187953866" u="1"/>
        <n v="2.8658492607284529" u="1"/>
        <n v="2.9686440677966104" u="1"/>
        <n v="2.63" u="1"/>
        <n v="3.0929064657878218" u="1"/>
        <n v="2.4791666666666665" u="1"/>
        <n v="3.0304393859184753" u="1"/>
        <n v="2.1899441340782122" u="1"/>
        <n v="3.1250329728303878" u="1"/>
        <n v="2.3700798431152821" u="1"/>
        <n v="3.0276481895398129" u="1"/>
        <n v="2.5833333333333335" u="1"/>
        <n v="2.2645951035781544" u="1"/>
        <n v="3.0306345733041575" u="1"/>
        <n v="3.0295767465578787" u="1"/>
        <n v="3.0323125150711352" u="1"/>
        <n v="3.3308270676691731" u="1"/>
        <n v="2.941329856584094" u="1"/>
        <n v="1.639121338912134" u="1"/>
        <n v="2.9402515723270439" u="1"/>
        <n v="3.333920704845815" u="1"/>
        <n v="2.5982456140350876" u="1"/>
        <n v="3.2162849872773536" u="1"/>
        <n v="3.0331950207468878" u="1"/>
        <n v="1.0203827426112557" u="1"/>
        <n v="1.9663522012578616" u="1"/>
        <n v="1.9666666666666666" u="1"/>
        <n v="1.9674301323807522" u="1"/>
        <n v="3.0314769975786926" u="1"/>
        <n v="4.7621212121212118" u="1"/>
        <n v="3.0307692307692307" u="1"/>
        <n v="3.1245465538089481" u="1"/>
        <n v="2.115819209039548" u="1"/>
        <n v="2.1722222222222221" u="1"/>
        <n v="3.1251629726205996" u="1"/>
        <n v="2.3685843876820245" u="1"/>
        <n v="3.0301904319554112" u="1"/>
        <n v="3.3342582315945246" u="1"/>
        <n v="3.3335280487567425" u="1"/>
        <n v="3.847457627118644" u="1"/>
        <n v="3.0329754462754104" u="1"/>
        <n v="2.8866709594333546" u="1"/>
        <n v="1.5958875367184222" u="1"/>
        <n v="1.8531468531468531" u="1"/>
        <n v="3.1273504273504273" u="1"/>
        <n v="2.5119047619047619" u="1"/>
        <n v="3.4495798319327733" u="1"/>
        <n v="3.1249622361059077" u="1"/>
        <n v="1.3335260115606937" u="1"/>
        <n v="2.3805555555555555" u="1"/>
        <n v="2.5048543689320391" u="1"/>
        <n v="1.8521739130434782" u="1"/>
        <n v="2.5872388481084134" u="1"/>
        <n v="2.4956463496316141" u="1"/>
        <n v="2.7118644067796609" u="1"/>
        <n v="2.3811976819059884" u="1"/>
        <n v="2.6194444444444445" u="1"/>
        <n v="3.2352855864680272" u="1"/>
        <n v="2.4880952380952381" u="1"/>
        <n v="2.8583333333333334" u="1"/>
        <n v="1.34" u="1"/>
        <n v="2.7058823529411766" u="1"/>
        <n v="1.3166666666666667" u="1"/>
        <n v="3.0666666666666669" u="1"/>
        <n v="2.5004460303300626" u="1"/>
        <n v="2.4007083227928154" u="1"/>
        <n v="1.5734597156398105" u="1"/>
        <n v="3.846111111111111" u="1"/>
        <n v="3.0295358649789028" u="1"/>
        <n v="2.6895833333333332" u="1"/>
        <n v="5.0007824510047589" u="1"/>
        <n v="3.3210643015521066" u="1"/>
        <n v="2.5000952199581032" u="1"/>
        <n v="3.0303738317757007" u="1"/>
        <n v="8.3333650562938359" u="1"/>
        <n v="1.6668454935622317" u="1"/>
        <n v="3.0303605313092978" u="1"/>
        <n v="2.6316681352945164" u="1"/>
        <n v="1.4543987086359969" u="1"/>
        <n v="1.1921800947867298" u="1"/>
        <n v="2.439189189189189" u="1"/>
        <n v="2.4701116163704011" u="1"/>
        <n v="3.5713827398139237" u="1"/>
        <n v="3.0046201232032854" u="1"/>
        <n v="2.8707592891760907" u="1"/>
        <n v="2.3255393284086616" u="1"/>
        <n v="1.8723516949152543" u="1"/>
        <n v="3.030627887779934" u="1"/>
        <n v="2.5641654978962132" u="1"/>
        <n v="1.3150548354935194" u="1"/>
        <n v="2.8518518518518516" u="1"/>
        <n v="2.7735849056603774" u="1"/>
        <n v="3.3332665789959703" u="1"/>
        <n v="3.286846846846847" u="1"/>
        <n v="2.7894736842105261" u="1"/>
        <n v="2.9409574468085107" u="1"/>
        <n v="2.9524324324324325" u="1"/>
        <n v="2.5045871559633026" u="1"/>
        <n v="3.3296296296296295" u="1"/>
        <n v="3.0487288135593222" u="1"/>
        <n v="2.1277030976037405" u="1"/>
        <n v="3.0303820349706263" u="1"/>
        <n v="1.9776041666666666" u="1"/>
        <n v="3.3332040341349884" u="1"/>
        <n v="1.5604026845637584" u="1"/>
        <n v="2.9469795740982181" u="1"/>
        <n v="3.0293308890925754" u="1"/>
        <n v="3.4496644295302015" u="1"/>
        <n v="1.3334860284012826" u="1"/>
        <n v="1.3620000000000001" u="1"/>
        <n v="2.5622222222222222" u="1"/>
        <n v="3.3329040566645203" u="1"/>
        <n v="2.3799795709908071" u="1"/>
        <n v="3.333353320889652" u="1"/>
        <n v="1.6668848167539267" u="1"/>
        <n v="3.3272727272727272" u="1"/>
        <n v="3.3329297820823243" u="1"/>
        <n v="1.6921759972607431" u="1"/>
        <n v="3.3331070855308442" u="1"/>
        <n v="3.2255075628812078" u="1"/>
        <n v="3.333744399227196" u="1"/>
        <n v="3.0302536231884059" u="1"/>
        <n v="3.029564315352697" u="1"/>
        <n v="2.6313868613138687" u="1"/>
        <n v="1.7241637543684474" u="1"/>
        <n v="3.0302930739913263" u="1"/>
        <n v="4.3483992467043313" u="1"/>
        <n v="3.1250181177975715" u="1"/>
        <n v="2.7028210116731519" u="1"/>
        <n v="2.5630252100840338" u="1"/>
        <n v="3.0302695536897923" u="1"/>
        <n v="3.0304878048780486" u="1"/>
        <n v="3.3327778703549411" u="1"/>
        <n v="3.9999354675643843" u="1"/>
        <n v="3.3448275862068964" u="1"/>
        <n v="3.0290456431535269" u="1"/>
        <n v="3.3362068965517242" u="1"/>
        <n v="2.7052826691380907" u="1"/>
        <n v="3.1249482258732568" u="1"/>
        <n v="1.9761992847453447" u="1"/>
        <n v="3.0301176470588236" u="1"/>
        <n v="2.1175847457627119" u="1"/>
        <n v="3.030298771747379" u="1"/>
        <n v="3.126851851851852" u="1"/>
        <n v="1.6625000000000001" u="1"/>
        <n v="2.9401993355481726" u="1"/>
        <n v="2.661111111111111" u="1"/>
        <n v="2.7175141242937855" u="1"/>
        <n v="4.3478260869565215" u="1"/>
        <n v="2.2217514124293785" u="1"/>
        <n v="3.0451127819548871" u="1"/>
        <n v="2.2209302325581395" u="1"/>
        <n v="2.6674975074775671" u="1"/>
        <n v="6.666666666666667" u="1"/>
        <n v="3.0291581904485132" u="1"/>
        <n v="3.335185185185185" u="1"/>
        <n v="3.570876288659794" u="1"/>
        <n v="3.1388888888888888" u="1"/>
        <n v="3.0303697653063382" u="1"/>
        <n v="2.2803418803418802" u="1"/>
        <n v="3.0294906166219837" u="1"/>
        <n v="3.0297465008208806" u="1"/>
        <n v="2.9404332129963899" u="1"/>
        <n v="3.7043314500941618" u="1"/>
        <n v="2.6307692307692307" u="1"/>
        <n v="3.3225806451612905" u="1"/>
        <n v="1.8836601307189542" u="1"/>
        <n v="2.5038461538461538" u="1"/>
        <n v="2.6761923531730392" u="1"/>
        <n v="3.4474576271186441" u="1"/>
        <n v="3.0297157622739017" u="1"/>
        <n v="2.3220338983050848" u="1"/>
        <n v="2.7130348994943887" u="1"/>
        <n v="2.8066666666666666" u="1"/>
        <n v="3.0302919708029199" u="1"/>
        <n v="4.3818944844124701" u="1"/>
        <n v="2.9418886198547214" u="1"/>
        <n v="1.4390070921985816" u="1"/>
        <n v="1.8939929328621907" u="1"/>
        <n v="2.6030744974379187" u="1"/>
        <n v="2.5626858275520319" u="1"/>
        <n v="1.5639097744360901" u="1"/>
        <n v="2.775244299674267" u="1"/>
        <n v="1.5932203389830508" u="1"/>
        <n v="2.7781382004815249" u="1"/>
        <n v="1.0196969696969698" u="1"/>
        <n v="3.0303630363036302" u="1"/>
        <n v="3.0302798982188297" u="1"/>
        <n v="3.028960817717206" u="1"/>
        <n v="2.1640117994100296" u="1"/>
        <n v="3.0313670411985019" u="1"/>
        <n v="1.8739495798319328" u="1"/>
        <n v="2.6359600443951163" u="1"/>
        <n v="2.9412673879443587" u="1"/>
        <n v="2.3502824858757063" u="1"/>
        <n v="3.0301662698905201" u="1"/>
        <n v="2.4967741935483869" u="1"/>
        <n v="3.3332812914708594" u="1"/>
        <n v="2.9533476478625804" u="1"/>
        <n v="2.7779319645658198" u="1"/>
        <n v="3.0307486631016043" u="1"/>
        <n v="2.9006968641114983" u="1"/>
        <n v="1.7542483660130719" u="1"/>
        <n v="1.6922252010723862" u="1"/>
        <n v="3.0299539170506913" u="1"/>
        <n v="3.233009708737864" u="1"/>
        <n v="3.0308988764044944" u="1"/>
        <n v="3.0298288508557456" u="1"/>
        <n v="3.030212609776715" u="1"/>
        <n v="3.029966703662597" u="1"/>
        <n v="3.030848329048843" u="1"/>
        <n v="2.4208065458796026" u="1"/>
        <n v="3.0301947991489255" u="1"/>
        <n v="3.3351955307262569" u="1"/>
        <n v="3.3331339712918662" u="1"/>
        <n v="2.7025013304949441" u="1"/>
        <n v="1.2605042016806722" u="1"/>
        <n v="2.5751599147121533" u="1"/>
        <n v="2.4987893462469732" u="1"/>
        <n v="3.2266949152542375" u="1"/>
        <n v="3.0303373263021958" u="1"/>
        <n v="2.6949152542372881" u="1"/>
        <n v="2.5003891050583658" u="1"/>
        <n v="3.3328980870927727" u="1"/>
        <n v="1.3332756532272019" u="1"/>
        <n v="2.4944444444444445" u="1"/>
        <n v="2.7861199973885227" u="1"/>
        <n v="1.7882842699970265" u="1"/>
        <n v="1.8555286521388217" u="1"/>
        <n v="3.1084745762711865" u="1"/>
        <n v="2.7333333333333334" u="1"/>
        <n v="2.9414225941422596" u="1"/>
        <n v="2.6317991631799162" u="1"/>
        <n v="8.333598093725179" u="1"/>
        <n v="3.2257194244604315" u="1"/>
        <n v="3.0260416666666665" u="1"/>
        <n v="2.6317530319735392" u="1"/>
        <n v="2.6315935206977712" u="1"/>
        <n v="2.7057333707115721" u="1"/>
        <n v="1.6928398478035283" u="1"/>
        <n v="3.0301998183469574" u="1"/>
        <n v="1.6670416197975253" u="1"/>
        <n v="2.9416666666666669" u="1"/>
        <n v="3.3345836459114779" u="1"/>
        <n v="2.5645833333333332" u="1"/>
        <n v="3.3303401648003383" u="1"/>
        <n v="1.0202339281140613" u="1"/>
        <n v="2.8564705882352941" u="1"/>
        <n v="2.7025316455696204" u="1"/>
        <n v="2.8572916666666668" u="1"/>
        <n v="1.0869759143621767" u="1"/>
        <n v="2.0366666666666666" u="1"/>
        <n v="2.702824858757062" u="1"/>
        <n v="2.6809701492537314" u="1"/>
        <n v="2.992276335550311" u="1"/>
        <n v="1.4135593220338982" u="1"/>
        <n v="2.3259842519685039" u="1"/>
        <n v="2.3060606060606061" u="1"/>
        <n v="3.1252254573563514" u="1"/>
        <n v="2.7061916531540748" u="1"/>
        <n v="2.3257415254237288" u="1"/>
        <n v="3.5704225352112675" u="1"/>
        <n v="3.4491114701130856" u="1"/>
        <n v="1.6668276195074843" u="1"/>
        <n v="3.0302955103373335" u="1"/>
        <n v="2.0406162464985993" u="1"/>
        <n v="1.3336275375110327" u="1"/>
        <n v="3.128960943257185" u="1"/>
        <n v="2.222105041130563" u="1"/>
        <n v="3.4915254237288136" u="1"/>
        <n v="2.7776146896484066" u="1"/>
        <n v="3.1250347318699641" u="1"/>
        <n v="3.0309042598528255" u="1"/>
        <n v="2.5109268292682927" u="1"/>
        <n v="2.9237288135593222" u="1"/>
        <n v="3.0299030859474625" u="1"/>
        <n v="2.6316279069767443" u="1"/>
        <n v="2.7388888888888889" u="1"/>
        <n v="3.0026501766784452" u="1"/>
        <n v="3.3398058252427183" u="1"/>
        <n v="4.3661971830985919" u="1"/>
        <n v="3.0298770869449783" u="1"/>
        <n v="2.7974793568013907" u="1"/>
        <n v="3.2186459489456158" u="1"/>
        <n v="3.0300687285223367" u="1"/>
        <n v="3.0279319011713373" u="1"/>
        <n v="3.8463276836158191" u="1"/>
        <n v="3.7036522178693287" u="1"/>
        <n v="2.9531627233220665" u="1"/>
        <n v="2.6316673666526671" u="1"/>
        <n v="1.0095238095238095" u="1"/>
        <n v="2.7026556752113859" u="1"/>
        <n v="2.8595406360424027" u="1"/>
        <n v="3.316901408450704" u="1"/>
        <n v="2.3227923627684963" u="1"/>
        <n v="2.5880425880425877" u="1"/>
        <n v="2.3527815468113977" u="1"/>
        <n v="1.0202898550724637" u="1"/>
        <n v="2.5660377358490565" u="1"/>
        <n v="1.5963071758287872" u="1"/>
        <n v="2.2221908526256353" u="1"/>
        <n v="3.0382513661202184" u="1"/>
        <n v="2.563909668077379" u="1"/>
        <n v="2.2727642276422766" u="1"/>
        <n v="3.0299674267100976" u="1"/>
        <n v="1.9672727272727273" u="1"/>
        <n v="2.5639908190243759" u="1"/>
        <n v="3.3330283623055807" u="1"/>
        <n v="2.8572368421052632" u="1"/>
        <n v="2.3481712756467439" u="1"/>
        <n v="2.7749999999999999" u="1"/>
        <n v="1.8183060109289617" u="1"/>
        <n v="3.03" u="1"/>
        <n v="3.3290322580645162" u="1"/>
        <n v="3.3326271186440679" u="1"/>
        <n v="2.1129629629629632" u="1"/>
        <n v="2.631528662420382" u="1"/>
        <n v="2.993485342019544" u="1"/>
        <n v="3.4484848484848483" u="1"/>
        <n v="2.0407351269420233" u="1"/>
        <n v="3.3647598870056497" u="1"/>
        <n v="2.951801116184678" u="1"/>
        <n v="3.3342105263157893" u="1"/>
        <n v="2.5004985044865404" u="1"/>
        <n v="2.1304347826086958" u="1"/>
        <n v="3.2222222222222223" u="1"/>
        <n v="2.3255294117647058" u="1"/>
        <n v="3.0307346326836582" u="1"/>
        <n v="2.125" u="1"/>
        <n v="3.3333266766350724" u="1"/>
        <n v="2.1276595744680851" u="1"/>
        <n v="2.1276595744680855" u="1"/>
        <n v="5.0006165988407938" u="1"/>
        <n v="1.0769230769230769" u="1"/>
        <n v="3.0304731355252605" u="1"/>
        <n v="8.3337959052632709" u="1"/>
        <n v="3.0302585193889544" u="1"/>
        <n v="3.3333295001577352" u="1"/>
        <n v="1.9229583975346687" u="1"/>
        <n v="3.3320825515947465" u="1"/>
        <n v="3.5718270571827055" u="1"/>
        <n v="3.0302801701228481" u="1"/>
        <n v="1.8518361581920904" u="1"/>
        <n v="3.0235690235690234" u="1"/>
        <n v="3.0332103321033212" u="1"/>
        <n v="2.3333333333333335" u="1"/>
        <n v="2.7035714285714287" u="1"/>
        <n v="3.0294117647058822" u="1"/>
        <n v="3.0301273656024423" u="1"/>
        <n v="3.0306246226076019" u="1"/>
        <n v="3.0350877192982457" u="1"/>
        <n v="3.0281030444964872" u="1"/>
        <n v="3.2251815980629539" u="1"/>
        <n v="3.1250755287009064" u="1"/>
        <n v="2.0409451659451658" u="1"/>
        <n v="2.4385474860335195" u="1"/>
        <n v="4.1712911579726226" u="1"/>
        <n v="1.9340866290018832" u="1"/>
        <n v="3.030349794238683" u="1"/>
        <n v="1.4333677685950412" u="1"/>
        <n v="2.9535429375879869" u="1"/>
        <n v="2.3252187143400533" u="1"/>
        <n v="2.2857142857142856" u="1"/>
        <n v="2.7632508833922262" u="1"/>
        <n v="3.3335067637877209" u="1"/>
        <n v="3.2583333333333333" u="1"/>
        <n v="3.0302554027504911" u="1"/>
        <n v="2.5001391594767606" u="1"/>
        <n v="3.2259297879735835" u="1"/>
        <n v="2.7776744186046511" u="1"/>
        <n v="3.126984126984127" u="1"/>
        <n v="4.3485540334855406" u="1"/>
        <n v="1.6675" u="1"/>
        <n v="2.2619047619047619" u="1"/>
        <n v="1.0101354228770973" u="1"/>
        <n v="3.0296610169491527" u="1"/>
        <n v="3.0314814814814817" u="1"/>
        <n v="3.2257869249394675" u="1"/>
        <n v="3.1116352201257862" u="1"/>
        <n v="3.0915254237288137" u="1"/>
        <n v="3.0303030303030298" u="1"/>
        <n v="3.0303030303030303" u="1"/>
        <n v="2.702637162776599" u="1"/>
        <n v="3.1261561228264889" u="1"/>
        <n v="2.7025616643280412" u="1"/>
        <n v="3.0290178571428572" u="1"/>
        <n v="3.7055555555555557" u="1"/>
        <n v="3.1249201957863377" u="1"/>
        <n v="1.2048192771084338" u="1"/>
        <n v="2.5640889830508473" u="1"/>
        <n v="1.4152542372881356" u="1"/>
        <n v="3.3331181407359587" u="1"/>
        <n v="3.3334019860609998" u="1"/>
        <n v="2.3808525506638714" u="1"/>
        <n v="2.5639935924678805" u="1"/>
        <n v="3.3329466357308584" u="1"/>
        <n v="2.5621468926553672" u="1"/>
        <n v="2.1139896373056994" u="1"/>
        <n v="2.6309742647058822" u="1"/>
        <n v="2.8166666666666669" u="1"/>
        <n v="3.4483720930232558" u="1"/>
        <n v="3.032863849765258" u="1"/>
        <n v="2.4997820401046207" u="1"/>
        <n v="2.5003996802557955" u="1"/>
        <n v="3.0555555555555554" u="1"/>
        <n v="3.0302663438256658" u="1"/>
        <n v="2.4061870924450712" u="1"/>
        <n v="3.3330396475770927" u="1"/>
        <n v="3.2263922518159807" u="1"/>
        <n v="3.3338579747885935" u="1"/>
        <n v="1.713276836158192" u="1"/>
        <n v="3.0298446574350368" u="1"/>
        <n v="2.9704535043518092" u="1"/>
        <n v="2.8568920105355575" u="1"/>
        <n v="2.3741007194244603" u="1"/>
        <n v="2.9404580152671755" u="1"/>
        <n v="1.4293785310734464" u="1"/>
        <n v="3.0317460317460316" u="1"/>
        <n v="2.9811676082862522" u="1"/>
        <n v="2.6624293785310735" u="1"/>
        <n v="1.4701986754966887" u="1"/>
        <n v="2.1666666666666665" u="1"/>
        <n v="3.0304590304590304" u="1"/>
        <n v="3.2482488985483284" u="1"/>
        <n v="2.6356329537843268" u="1"/>
        <n v="1.4690476190476192" u="1"/>
        <n v="8.3332252232884283" u="1"/>
        <n v="2.1166500498504486" u="1"/>
        <n v="2.2708333333333335" u="1"/>
        <n v="3.0301949595815501" u="1"/>
        <n v="1.7541984732824427" u="1"/>
        <n v="2.906779661016949" u="1"/>
        <n v="2.9985261606484892" u="1"/>
        <n v="2.507042253521127" u="1"/>
        <n v="1.8896825396825396" u="1"/>
        <n v="3.0302277432712215" u="1"/>
        <n v="2.8573315719947159" u="1"/>
        <n v="1.6388888888888888" u="1"/>
        <n v="3.0716112531969308" u="1"/>
        <n v="2.1277387350144688" u="1"/>
        <n v="2.3809119229679978" u="1"/>
        <n v="2.7808607719817484" u="1"/>
        <n v="1.7583333333333333" u="1"/>
        <n v="2.7023411371237458" u="1"/>
        <n v="2.0961904761904764" u="1"/>
        <n v="1.9613457408732999" u="1"/>
        <n v="2.9415206046849041" u="1"/>
        <n v="1.4397810218978102" u="1"/>
        <n v="1.6977109907391228" u="1"/>
        <n v="3.0303434948304089" u="1"/>
        <n v="1.0192307692307692" u="1"/>
        <n v="1.4698879551820729" u="1"/>
        <n v="1.7541899441340782" u="1"/>
        <n v="1.0206961429915333" u="1"/>
        <n v="1.8135593220338984" u="1"/>
        <n v="3.1259842519685042" u="1"/>
        <n v="1.1923141466689042" u="1"/>
        <n v="3.7035670991126466" u="1"/>
        <n v="3.3322147651006713" u="1"/>
        <n v="3.0406504065040649" u="1"/>
        <n v="2.4651276056886813" u="1"/>
        <n v="2.1738613188307272" u="1"/>
        <n v="2.6259259259259258" u="1"/>
        <n v="2.8774193548387097" u="1"/>
        <n v="3.1250417362270451" u="1"/>
        <n v="2.9493589743589745" u="1"/>
        <n v="3.1007874015748031" u="1"/>
        <n v="3.5709745762711864" u="1"/>
        <n v="1.4333333333333333" u="1"/>
        <n v="1.4574808184143222" u="1"/>
        <n v="3.8458215736150283" u="1"/>
        <n v="2.1273019477848893" u="1"/>
        <n v="2.7906976744186047" u="1"/>
        <n v="3.117907444668008" u="1"/>
        <n v="2.125858123569794" u="1"/>
        <n v="2.6330275229357798" u="1"/>
        <n v="3.029126213592233" u="1"/>
        <n v="2.195272353545735" u="1"/>
        <n v="3.0299334811529932" u="1"/>
        <n v="1.7561929595827901" u="1"/>
        <n v="3.1249252839210997" u="1"/>
        <n v="3.4482496194824961" u="1"/>
        <n v="1.9685534591194969" u="1"/>
        <n v="3.0292616890555033" u="1"/>
        <n v="3.2268907563025211" u="1"/>
        <n v="2.5007610350076104" u="1"/>
        <n v="1.6962190352020861" u="1"/>
        <n v="2.6173469387755102" u="1"/>
        <n v="4.5423728813559325" u="1"/>
        <n v="1.9858757062146892" u="1"/>
        <n v="3.0302591603708615" u="1"/>
        <n v="3.030264170300077" u="1"/>
        <n v="3.3368421052631581" u="1"/>
        <n v="1.8518055555555555" u="1"/>
        <n v="2.65" u="1"/>
        <n v="2.7656080638147347" u="1"/>
        <n v="2.4752564102564101" u="1"/>
        <n v="3.7033898305084745" u="1"/>
        <n v="2.2222738897930712" u="1"/>
        <n v="2.2729166666666667" u="1"/>
        <n v="3.0300802139037435" u="1"/>
        <n v="4.3924242424242426" u="1"/>
        <n v="3.1355932203389831" u="1"/>
        <n v="2.9565217391304346" u="1"/>
        <n v="3.0304535127686254" u="1"/>
        <n v="3.331719128329298" u="1"/>
        <n v="3.0303566911206676" u="1"/>
        <n v="3.0300632911392404" u="1"/>
        <n v="2.5677966101694913" u="1"/>
        <n v="3.3394495412844036" u="1"/>
        <n v="3.0297914597815292" u="1"/>
        <n v="2.5055401662049861" u="1"/>
        <n v="3.033666296707362" u="1"/>
        <n v="2.7922077922077921" u="1"/>
        <n v="3.1254237288135593" u="1"/>
        <n v="3.1116161616161615" u="1"/>
        <n v="2" u="1"/>
        <n v="2.1892885900198036" u="1"/>
        <n v="2.6014978320851401" u="1"/>
        <n v="3.1117836965294594" u="1"/>
        <n v="2.1443137254901963" u="1"/>
        <n v="2.2228666114333056" u="1"/>
        <n v="2.6316227924025326" u="1"/>
        <n v="3.3361111111111112" u="1"/>
        <n v="3.0611620795107033" u="1"/>
        <n v="3.124242424242424" u="1"/>
        <n v="1.4322033898305084" u="1"/>
        <n v="1.1897435897435897" u="1"/>
        <n v="1.6945996275605215" u="1"/>
        <n v="3.1274685816876122" u="1"/>
        <n v="2.1244051665533652" u="1"/>
        <n v="3.0967098703888336" u="1"/>
        <n v="3.0306748466257667" u="1"/>
        <n v="8.3334355464517742" u="1"/>
        <n v="2.2219340496480178" u="1"/>
        <n v="2.6014285714285714" u="1"/>
        <n v="3.030295505338962" u="1"/>
        <n v="3.3331067301155675" u="1"/>
        <n v="1.7543518094365551" u="1"/>
        <n v="2.9413043478260867" u="1"/>
        <n v="2.7126865671641789" u="1"/>
        <n v="3.4406215316315203" u="1"/>
        <n v="2.9409448818897639" u="1"/>
        <n v="2.9411111111111112" u="1"/>
        <n v="3.4473684210526314" u="1"/>
        <n v="3.0309090909090908" u="1"/>
        <n v="2.5641292807400293" u="1"/>
        <n v="1.852080123266564" u="1"/>
        <n v="2.1284916201117317" u="1"/>
        <n v="3.0300710770913066" u="1"/>
        <n v="2.9415775560107251" u="1"/>
        <n v="2.8944444444444444" u="1"/>
        <n v="3.0306464407712603" u="1"/>
        <n v="2.127651515151515" u="1"/>
        <n v="2.3255845202902448" u="1"/>
        <n v="3.0303489676500015" u="1"/>
        <n v="3.1333333333333333" u="1"/>
        <n v="1.8163841807909604" u="1"/>
        <n v="2.9413451063585803" u="1"/>
        <n v="3.3905674281503315" u="1"/>
        <n v="3.0293159609120521" u="1"/>
        <n v="2.9406779661016951" u="1"/>
        <n v="2.601196410767697" u="1"/>
        <n v="3.2374999999999998" u="1"/>
        <n v="2.7747747747747749" u="1"/>
        <n v="3.1359223300970873" u="1"/>
        <n v="3.0302859667488118" u="1"/>
        <n v="3.0097629009762903" u="1"/>
        <n v="2.3728813559322033" u="1"/>
        <n v="3.0303421562298256" u="1"/>
        <n v="3.3416666666666668" u="1"/>
        <n v="2.7776051505992743" u="1"/>
        <n v="3.030204081632653" u="1"/>
        <n v="2.9708480565371023" u="1"/>
        <n v="3.04" u="1"/>
        <n v="2.4833333333333334" u="1"/>
        <n v="1.3407407407407408" u="1"/>
        <n v="3.1129943502824857" u="1"/>
        <n v="2.8564189189189189" u="1"/>
        <n v="3.1256983240223462" u="1"/>
        <n v="2.4972253052164262" u="1"/>
        <n v="2.4556354916067145" u="1"/>
        <n v="2.1241949947012313" u="1"/>
        <n v="4.1665024630541874" u="1"/>
        <n v="3.8462203512654898" u="1"/>
        <n v="2.499894314098499" u="1"/>
        <n v="3.025302530253025" u="1"/>
        <n v="3.3332746366184209" u="1"/>
        <n v="3.0303186022610484" u="1"/>
        <n v="2.9412832929782082" u="1"/>
        <n v="3.030545470837458" u="1"/>
        <n v="3.3338983050847459" u="1"/>
        <n v="1.4119947848761407" u="1"/>
        <n v="3.1234756097560976" u="1"/>
        <n v="3.0318302387267906" u="1"/>
        <n v="2.6958993985784581" u="1"/>
        <n v="2.0883333333333334" u="1"/>
        <n v="1.96875" u="1"/>
        <n v="2.2230303030303031" u="1"/>
        <n v="3.7096774193548385" u="1"/>
        <n v="2.7766732935719016" u="1"/>
        <n v="1.3337320574162679" u="1"/>
        <n v="2.0416666666666665" u="1"/>
        <n v="3.0142857142857142" u="1"/>
        <n v="3.0303521446003496" u="1"/>
        <n v="2.9414141414141413" u="1"/>
        <n v="3.3335384615384616" u="1"/>
        <n v="1.0991067630795406" u="1"/>
        <n v="4.3466666666666667" u="1"/>
        <n v="2.4990583804143127" u="1"/>
        <n v="2.9411690887533268" u="1"/>
        <n v="2.2727613880288042" u="1"/>
        <n v="2.7457627118644066" u="1"/>
        <n v="2.7832512315270934" u="1"/>
        <n v="3.3311111111111109" u="1"/>
        <n v="3.3331988705123035" u="1"/>
        <n v="2.3433414043583536" u="1"/>
        <n v="2.5003706449221648" u="1"/>
        <n v="1.4158386908240794" u="1"/>
        <n v="2.4984326018808778" u="1"/>
        <n v="2.5099484156226972" u="1"/>
        <n v="1.8532423208191127" u="1"/>
        <n v="2.2220824949698188" u="1"/>
        <n v="2.4888888888888889" u="1"/>
        <n v="1.6958333333333333" u="1"/>
        <n v="1.0202702702702702" u="1"/>
        <n v="2.3810039725532683" u="1"/>
        <n v="3.0304136197544831" u="1"/>
        <n v="2.5637755102040818" u="1"/>
        <n v="3.332819722650231" u="1"/>
        <n v="2.3324641460234679" u="1"/>
        <n v="4.5459770114942533" u="1"/>
        <n v="3.4479166666666665" u="1"/>
        <n v="1.5824074074074075" u="1"/>
        <n v="3.0303676022086496" u="1"/>
        <n v="3.5711538461538463" u="1"/>
        <n v="2.6310299869621905" u="1"/>
        <n v="3.3327787021630617" u="1"/>
        <n v="1.4706124126592683" u="1"/>
        <n v="3.2257131045886731" u="1"/>
        <n v="3.3208955223880596" u="1"/>
        <n v="2.8062629043358567" u="1"/>
        <n v="3.333483958427474" u="1"/>
        <n v="3.0292353823088454" u="1"/>
        <n v="2.6322339763534535" u="1"/>
        <n v="1.3708333333333333" u="1"/>
        <n v="3.5715926493108729" u="1"/>
        <n v="3.1248782388466787" u="1"/>
        <n v="2.2740740740740737" u="1"/>
        <n v="3.1749999999999998" u="1"/>
        <n v="1.8192090395480225" u="1"/>
        <n v="2.8194469223907226" u="1"/>
        <n v="2.3257491675915651" u="1"/>
        <n v="3.0278310940499042" u="1"/>
        <n v="3.1246261216350946" u="1"/>
        <n v="1.470705064548163" u="1"/>
        <n v="3.0283018867924527" u="1"/>
        <n v="2.3785310734463279" u="1"/>
        <n v="3.0307492420961455" u="1"/>
        <n v="3.3330708661417323" u="1"/>
        <n v="2.871939736346516" u="1"/>
        <n v="2.5249999999999999" u="1"/>
        <n v="3.1186440677966103" u="1"/>
        <n v="2.78" u="1"/>
        <n v="2.9411041631718073" u="1"/>
        <n v="2.7638888888888888" u="1"/>
        <n v="3.3330658105939004" u="1"/>
        <n v="3.3322324966974901" u="1"/>
        <n v="2.4999288863604039" u="1"/>
        <n v="2.6316779533483823" u="1"/>
        <n v="2.9964664310954063" u="1"/>
        <n v="3.0297709923664122" u="1"/>
        <n v="2.5671140939597317" u="1"/>
        <n v="1.0536723163841808" u="1"/>
        <n v="2.7781763826606878" u="1"/>
        <n v="1.3318534961154271" u="1"/>
        <n v="1.0988954533778577" u="1"/>
        <n v="1.7246621621621621" u="1"/>
        <n v="3.0299625468164795" u="1"/>
        <n v="3.0315151515151517" u="1"/>
        <n v="1.7242753623188405" u="1"/>
        <n v="2.5001389274798553" u="1"/>
        <n v="3.0039113428943938" u="1"/>
        <n v="3.3315018315018317" u="1"/>
        <n v="2.9926829268292683" u="1"/>
        <n v="3.0308219178082192" u="1"/>
        <n v="2.2256410256410257" u="1"/>
        <n v="2.3005032350826742" u="1"/>
        <n v="3.0289855072463769" u="1"/>
        <n v="3.030651381036483" u="1"/>
        <n v="4.9990751017388089" u="1"/>
        <n v="3.3076923076923075" u="1"/>
        <n v="1.2940860215053764" u="1"/>
        <n v="3.0339805825242721" u="1"/>
        <n v="3.3350318471337581" u="1"/>
        <n v="1.9677158999192899" u="1"/>
        <n v="2.2221097900328863" u="1"/>
        <n v="2.4972375690607733" u="1"/>
        <n v="2.4996380832890992" u="1"/>
        <n v="2.2580037664783426" u="1"/>
        <n v="3.3192090395480225" u="1"/>
        <n v="4.3529411764705879" u="1"/>
        <n v="3.0264030264030266" u="1"/>
        <n v="2.5047080979284368" u="1"/>
        <n v="2.7514124293785311" u="1"/>
        <n v="2.7062396466040863" u="1"/>
        <n v="2.7026159056405468" u="1"/>
        <n v="2.2646379044684131" u="1"/>
        <n v="1.319327731092437" u="1"/>
        <n v="1.754375" u="1"/>
        <n v="1.8931095406360423" u="1"/>
        <n v="1.7166666666666666" u="1"/>
        <n v="1.8995726495726495" u="1"/>
        <n v="1.6659939455095862" u="1"/>
        <n v="2.111581920903955" u="1"/>
        <n v="2.5603448275862069" u="1"/>
        <n v="2.862807803006076" u="1"/>
        <n v="3.1933292155651638" u="1"/>
        <n v="2.4758800521512385" u="1"/>
        <n v="1.4692460317460319" u="1"/>
        <n v="1.6320393657736467" u="1"/>
        <n v="2.1278577476714648" u="1"/>
        <n v="2.7742946708463951" u="1"/>
        <n v="2.641426370239929" u="1"/>
        <n v="2.6241935483870966" u="1"/>
        <n v="3.0083333333333333" u="1"/>
        <n v="3.0299823633156966" u="1"/>
        <n v="1.9991980753809142" u="1"/>
        <n v="3.4482036972445065" u="1"/>
        <n v="3.0301906386766548" u="1"/>
        <n v="2.7796610169491527" u="1"/>
        <n v="1.667175572519084" u="1"/>
        <n v="2.4995873634172909" u="1"/>
        <n v="3.030263157894737" u="1"/>
        <n v="3.3324737098484198" u="1"/>
        <n v="2.7814814814814817" u="1"/>
        <n v="3.0301430732438508" u="1"/>
        <n v="3.3327167344925388" u="1"/>
        <n v="1.6948963049918944" u="1"/>
        <n v="3.0281250000000002" u="1"/>
        <n v="3.0304740948416007" u="1"/>
        <n v="3.1252583712277802" u="1"/>
        <n v="2.7795275590551181" u="1"/>
        <n v="4.3592233009708741" u="1"/>
        <n v="3.1224976167778835" u="1"/>
        <n v="3.0303596450256891" u="1"/>
        <n v="4.1673728813559325" u="1"/>
        <n v="2.6133333333333333" u="1"/>
        <n v="2.940099511060374" u="1"/>
        <n v="2.9420319966756701" u="1"/>
        <n v="3.2239709443099271" u="1"/>
        <n v="1.757306696263411" u="1"/>
        <n v="2.384180790960452" u="1"/>
        <n v="5.5546218487394956" u="1"/>
        <n v="1.7241379310344827" u="1"/>
        <n v="1.7241379310344829" u="1"/>
        <n v="3.4483821263482279" u="1"/>
        <n v="1.7241379310344831" u="1"/>
        <n v="2.6308851224105463" u="1"/>
        <n v="3.0290657439446367" u="1"/>
        <n v="2.5666666666666669" u="1"/>
        <n v="3.0302313354363828" u="1"/>
        <n v="3.0305676855895198" u="1"/>
        <n v="2.941131997826171" u="1"/>
        <n v="4.1675041876046901" u="1"/>
        <n v="3.1242937853107344" u="1"/>
        <n v="3.2262569832402233" u="1"/>
        <n v="3.3333468477155579" u="1"/>
        <n v="2.7050553850841115" u="1"/>
        <n v="3.0302013422818792" u="1"/>
        <n v="2.6891880105823178" u="1"/>
        <n v="2.5641806189751395" u="1"/>
        <n v="1.6672645739910315" u="1"/>
        <n v="3.0304061474306816" u="1"/>
        <n v="3.2149460708782742" u="1"/>
        <n v="2.6180071080689746" u="1"/>
        <n v="3.0300978739020481" u="1"/>
        <n v="1.02" u="1"/>
        <n v="1.9656022178868466" u="1"/>
        <n v="2.2726415094339623" u="1"/>
        <n v="3.5714957209411065" u="1"/>
        <n v="2.3518518518518516" u="1"/>
        <n v="3.2245762711864407" u="1"/>
        <n v="2.1555555555555554" u="1"/>
        <n v="2.8572702943800179" u="1"/>
        <n v="3.0302137067059691" u="1"/>
        <n v="2.000454003745531" u="1"/>
        <n v="3.152542372881356" u="1"/>
        <n v="2.7774011299435029" u="1"/>
        <n v="2.134453781512605" u="1"/>
        <n v="3.1260255989497869" u="1"/>
        <n v="2.8570921985815603" u="1"/>
        <n v="1.7700377675199328" u="1"/>
        <n v="3.028" u="1"/>
        <n v="3.0303460906909181" u="1"/>
        <n v="3.0288517357482871" u="1"/>
        <n v="2.4981273408239701" u="1"/>
        <n v="2.0169491525423728" u="1"/>
        <n v="3.7" u="1"/>
        <n v="3.0303992740471868" u="1"/>
        <n v="3.0301507537688441" u="1"/>
        <n v="3.0302083333333334" u="1"/>
        <n v="2.8577777777777778" u="1"/>
        <n v="3.5714629162158915" u="1"/>
        <n v="1.9703703703703703" u="1"/>
        <n v="3.5542168674698793" u="1"/>
        <n v="5.0015910898965794" u="1"/>
        <n v="1.4406779661016949" u="1"/>
        <n v="2.7025651770369752" u="1"/>
        <n v="1.6678321678321679" u="1"/>
        <n v="3.0290556900726391" u="1"/>
        <n v="3.0301427270388483" u="1"/>
        <n v="3.3333103350731519" u="1"/>
        <n v="1.6660019940179462" u="1"/>
        <n v="2.564406779661017" u="1"/>
        <n v="1.1888888888888889" u="1"/>
        <n v="2.2867226249523083" u="1"/>
        <n v="2.7790341223177042" u="1"/>
        <n v="2.1240225495544647" u="1"/>
        <n v="2.5001883239171376" u="1"/>
        <n v="3.3355555555555556" u="1"/>
        <n v="3.029720913374411" u="1"/>
        <n v="1.5866666666666667" u="1"/>
        <n v="3.0302565349593067" u="1"/>
        <n v="4.3472803347280333" u="1"/>
        <n v="2.7026976744186046" u="1"/>
        <n v="2.8815592203898053" u="1"/>
        <n v="1.7895967270601987" u="1"/>
        <n v="2.9413109756097562" u="1"/>
        <n v="3.0301765621660444" u="1"/>
        <n v="3.0302577420405759" u="1"/>
        <n v="3.3312421580928482" u="1"/>
        <n v="3.3331303288672349" u="1"/>
        <n v="2.5000822774395259" u="1"/>
        <n v="3.0299003322259135" u="1"/>
        <n v="2.6181159420289855" u="1"/>
        <n v="1.6382716049382715" u="1"/>
        <n v="2.8573446327683616" u="1"/>
        <n v="2.9413769597818678" u="1"/>
        <n v="2.5000949090771041" u="1"/>
        <n v="2.7192008879023306" u="1"/>
        <n v="2.9409420289855071" u="1"/>
        <n v="3.0008833922261484" u="1"/>
        <n v="3.2184873949579833" u="1"/>
        <n v="3.3339416058394162" u="1"/>
        <n v="2.3816130225675174" u="1"/>
        <n v="3.0301872657761209" u="1"/>
        <n v="2.9130103014116751" u="1"/>
        <n v="2.941747572815534" u="1"/>
        <n v="3.4390243902439024" u="1"/>
        <n v="2.0968926553672316" u="1"/>
        <n v="3.0219780219780219" u="1"/>
        <n v="1.8519607843137256" u="1"/>
        <n v="2.3001605136436596" u="1"/>
        <n v="3.0372340425531914" u="1"/>
        <n v="3.3383458646616542" u="1"/>
        <n v="2.8571895424836602" u="1"/>
        <n v="2.7634920634920634" u="1"/>
        <n v="3.0617816091954024" u="1"/>
        <n v="3.4484563055991626" u="1"/>
        <n v="3.3333512806293042" u="1"/>
        <n v="3.0281923714759538" u="1"/>
        <n v="1.9572030163549115" u="1"/>
        <n v="2.8855932203389831" u="1"/>
        <n v="1.5971464540495175" u="1"/>
        <n v="2.5001312680493566" u="1"/>
        <n v="2.9425087108013939" u="1"/>
        <n v="2.3898305084745761" u="1"/>
        <n v="3.1177142857142859" u="1"/>
        <n v="3.0297941495124592" u="1"/>
        <n v="3.0293478260869566" u="1"/>
        <n v="3.0338709677419353" u="1"/>
        <n v="3.3329032258064517" u="1"/>
        <n v="1.0207129094412331" u="1"/>
        <n v="1.7555555555555555" u="1"/>
        <n v="1.9110169491525424" u="1"/>
        <n v="3.029907929312178" u="1"/>
        <n v="1.8188976377952757" u="1"/>
        <n v="1.875" u="1"/>
        <n v="2.3796610169491523" u="1"/>
        <n v="3.8461515394757853" u="1"/>
        <n v="3.0301930832077821" u="1"/>
        <n v="2.9921773142112125" u="1"/>
        <n v="2.3972821742605914" u="1"/>
        <n v="3.33587786259542" u="1"/>
        <n v="2.3829516539440205" u="1"/>
        <n v="1.8516666666666666" u="1"/>
        <n v="2.6314950589735417" u="1"/>
        <n v="2.5003088326127241" u="1"/>
        <n v="1.8518151815181518" u="1"/>
        <n v="3.0286458333333335" u="1"/>
        <n v="2.4998806397708284" u="1"/>
        <n v="3.0299102691924227" u="1"/>
        <n v="3.1924686192468621" u="1"/>
        <n v="3.3325358851674642" u="1"/>
        <n v="2.7008234217749312" u="1"/>
        <n v="2.9414626242819768" u="1"/>
        <n v="3.0301032110091741" u="1"/>
        <n v="2.7829977628635345" u="1"/>
        <n v="1.0527004909983633" u="1"/>
        <n v="3.027195027195027" u="1"/>
        <n v="2.2222871615039939" u="1"/>
        <n v="3.0301618598206779" u="1"/>
        <n v="2.6318181818181818" u="1"/>
        <n v="3.0092775521170836" u="1"/>
        <n v="3.0302351623740202" u="1"/>
        <n v="3.0303246013667424" u="1"/>
        <n v="3.0314136125654452" u="1"/>
        <n v="2.1284403669724772" u="1"/>
        <n v="3.0274599542334095" u="1"/>
        <n v="2.1278658643000732" u="1"/>
        <n v="3.0166731621507075" u="1"/>
        <n v="2.7779615004306613" u="1"/>
        <n v="2.6444444444444444" u="1"/>
        <n v="3.3305084745762712" u="1"/>
        <n v="3.5701072881982983" u="1"/>
        <n v="2.566585956416465" u="1"/>
        <n v="3.3097826086956523" u="1"/>
        <n v="3.1268722466960353" u="1"/>
        <n v="2.8911685994647636" u="1"/>
        <n v="3.0304042558698896" u="1"/>
        <n v="2.3855804912528717" u="1"/>
        <n v="2.703533026113671" u="1"/>
        <n v="2.5062500000000001" u="1"/>
        <n v="2.7786752827140551" u="1"/>
        <n v="3.0303927680798006" u="1"/>
        <n v="3.2257551669316373" u="1"/>
        <n v="2.4589552238805972" u="1"/>
        <n v="2.347826086956522" u="1"/>
        <n v="3.2263888888888888" u="1"/>
        <n v="2.8595238095238096" u="1"/>
        <n v="3.0300668151447661" u="1"/>
        <n v="3.0321637426900585" u="1"/>
        <n v="2.9408333333333334" u="1"/>
        <n v="1.2048440366972477" u="1"/>
        <n v="3.0302682120404314" u="1"/>
        <n v="2.941607213841873" u="1"/>
        <n v="2.2731804586241275" u="1"/>
        <n v="3.0279429812140095" u="1"/>
        <n v="3.0288888888888885" u="1"/>
        <n v="3.028888888888889" u="1"/>
        <n v="2.2222033898305087" u="1"/>
        <n v="3.0388349514563107" u="1"/>
        <n v="3.3331105913798864" u="1"/>
        <n v="1.3148976229701106" u="1"/>
        <n v="2.7027830316130776" u="1"/>
        <n v="3.0303867403314917" u="1"/>
        <n v="2.5983050847457627" u="1"/>
        <n v="2.2231638418079096" u="1"/>
        <n v="2.4416666666666669" u="1"/>
        <n v="1.9596491228070176" u="1"/>
        <n v="1.6951066499372647" u="1"/>
        <n v="1.8551282051282052" u="1"/>
        <n v="2.8572463768115943" u="1"/>
        <n v="3.3331130204890944" u="1"/>
        <n v="1.963680387409201" u="1"/>
        <n v="2.6267110617832037" u="1"/>
        <n v="1.8518181818181818" u="1"/>
        <n v="3.2256033578174188" u="1"/>
        <n v="2.4626121635094718" u="1"/>
        <n v="2.521505376344086" u="1"/>
        <n v="1.6926829268292682" u="1"/>
        <n v="2.2605042016806722" u="1"/>
        <n v="3.4455852156057496" u="1"/>
        <n v="3.3331473214285716" u="1"/>
        <n v="2.4988558352402745" u="1"/>
        <n v="3.1277777777777778" u="1"/>
        <n v="2.7642857142857142" u="1"/>
        <n v="3.0304084441948644" u="1"/>
        <n v="1.6664406779661016" u="1"/>
        <n v="3.3334546778303604" u="1"/>
        <n v="1.8725000000000001" u="1"/>
        <n v="2.5767847971237803" u="1"/>
        <n v="2.1770244821092279" u="1"/>
        <n v="2.7757437070938216" u="1"/>
        <n v="2.5244444444444443" u="1"/>
        <n v="4.3453608247422677" u="1"/>
        <n v="2.4237288135593222" u="1"/>
        <n v="2.2244094488188977" u="1"/>
        <n v="3.3370786516853932" u="1"/>
        <n v="5.5493895671476139" u="1"/>
        <n v="3.5750000000000002" u="1"/>
        <n v="3.3346456692913384" u="1"/>
        <n v="3.0294951786727169" u="1"/>
        <n v="1.6440677966101696" u="1"/>
        <n v="3.1979166666666665" u="1"/>
        <n v="2.5960451977401129" u="1"/>
        <n v="1.3601694915254237" u="1"/>
        <n v="3.3295194508009152" u="1"/>
        <n v="2.8962500000000002" u="1"/>
        <n v="1.2942227516378797" u="1"/>
        <n v="3.2266666666666666" u="1"/>
        <n v="3.0303703703703704" u="1"/>
        <n v="2.5633897031748938" u="1"/>
        <n v="2.6192228178983146" u="1"/>
        <n v="1.7544439851178173" u="1"/>
        <n v="2.7460229374768774" u="1"/>
        <n v="1.0204545454545455" u="1"/>
        <n v="3.1246485473289596" u="1"/>
        <n v="2.156530408773679" u="1"/>
        <n v="2.7064220183486238" u="1"/>
        <n v="3.030385735080058" u="1"/>
        <n v="1.9668590977122087" u="1"/>
        <n v="3.0291666666666668" u="1"/>
        <n v="2.9411175144074169" u="1"/>
        <n v="3.2257142857142855" u="1"/>
        <n v="3.0300462249614792" u="1"/>
        <n v="5" u="1"/>
        <n v="2.359375" u="1"/>
        <n v="2.5639866554598312" u="1"/>
        <n v="3.030643910007758" u="1"/>
        <n v="4.3520000000000003" u="1"/>
        <n v="2.7776729559748428" u="1"/>
        <n v="1.6665513663092355" u="1"/>
        <n v="3.0301450589301906" u="1"/>
        <n v="2.1708333333333334" u="1"/>
        <n v="2.8967551622418881" u="1"/>
        <n v="2.8709981167608287" u="1"/>
        <n v="3.2161290322580647" u="1"/>
        <n v="3.0303464498889827" u="1"/>
        <n v="1.7637540453074434" u="1"/>
        <n v="2.7002362669816895" u="1"/>
        <n v="1.7543981481481481" u="1"/>
        <n v="2.5001712915381979" u="1"/>
        <n v="1.9662813102119461" u="1"/>
        <n v="3.0307234886025767" u="1"/>
        <n v="2.2749999999999999" u="1"/>
        <n v="2.7251637554585151" u="1"/>
        <n v="1.5888888888888888" u="1"/>
        <n v="2.9951515151515151" u="1"/>
        <n v="1.6392857142857142" u="1"/>
        <n v="2.7966101694915255" u="1"/>
        <n v="2.3791666666666669" u="1"/>
        <n v="1.000000777484666" u="1"/>
        <n v="1.5912715065044063" u="1"/>
        <n v="3.3330197554092194" u="1"/>
        <n v="2.1263736263736264" u="1"/>
        <n v="3.2900188323917137" u="1"/>
        <n v="3.2257947976878611" u="1"/>
        <n v="3.5717703349282295" u="1"/>
        <n v="2.7854263565891473" u="1"/>
        <n v="3.3322422258592472" u="1"/>
        <n v="1.6990740740740742" u="1"/>
        <n v="2.706232558139535" u="1"/>
        <n v="2.5007704160246531" u="1"/>
        <n v="2.8571014492753624" u="1"/>
        <n v="3.448356807511737" u="1"/>
        <n v="2.3111111111111109" u="1"/>
        <n v="3.0307262569832401" u="1"/>
        <n v="4.7619047619047619" u="1"/>
        <n v="3.3330232558139534" u="1"/>
        <n v="2.2727593059803519" u="1"/>
        <n v="2.8657105606258151" u="1"/>
        <n v="3.03125" u="1"/>
        <n v="2.9466019417475726" u="1"/>
        <n v="3.6261216350947159" u="1"/>
        <n v="3.3331482509716825" u="1"/>
        <n v="2.511278195488722" u="1"/>
        <n v="1.3133333333333332" u="1"/>
        <n v="3.0306122448979593" u="1"/>
        <n v="3.2256055363321798" u="1"/>
        <n v="1.8928571428571428" u="1"/>
        <n v="1.711111111111111" u="1"/>
        <n v="3.5446327683615819" u="1"/>
        <n v="3.3337236533957846" u="1"/>
        <n v="4.1682081637686519" u="1"/>
        <n v="2.2222362762458894" u="1"/>
        <n v="2.9411764705882351" u="1"/>
        <n v="2.9411764705882355" u="1"/>
        <n v="3.0303254437869822" u="1"/>
        <n v="2.0699152542372881" u="1"/>
        <n v="2.0338983050847457" u="1"/>
        <n v="1.2666666666666666" u="1"/>
        <n v="2.857175141242938" u="1"/>
        <n v="2.1944627554383653" u="1"/>
        <n v="3.0232558139534884" u="1"/>
        <n v="2.2176459105992583" u="1"/>
        <n v="2.2618300831855995" u="1"/>
        <n v="2.7505334395633581" u="1"/>
        <n v="3.5728813559322035" u="1"/>
        <n v="2.4383561643835616" u="1"/>
        <n v="3.1248884924174845" u="1"/>
        <n v="2.9412610569476461" u="1"/>
        <n v="2.4999062441402589" u="1"/>
        <n v="3.1300813008130079" u="1"/>
        <n v="2.5003244646333549" u="1"/>
        <n v="2.5064935064935066" u="1"/>
        <n v="1.8571428571428572" u="1"/>
        <n v="2.3808851224105463" u="1"/>
        <n v="2.8572222222222221" u="1"/>
        <n v="3.0292524377031418" u="1"/>
        <n v="2.5639913232104123" u="1"/>
        <n v="5.5575757575757576" u="1"/>
        <n v="3.0303524804177546" u="1"/>
        <n v="2.8472650231124805" u="1"/>
        <n v="3.4482087227414331" u="1"/>
        <n v="3.0301399354144243" u="1"/>
        <n v="3.0301813962610673" u="1"/>
        <n v="2.737864077669903" u="1"/>
        <n v="3.030188679245283" u="1"/>
        <n v="2.4390609690255758" u="1"/>
        <n v="3.0314465408805034" u="1"/>
        <n v="3.0045454545454544" u="1"/>
        <n v="1.8518987341772153" u="1"/>
        <n v="2.9411347517730495" u="1"/>
        <n v="4.0762711864406782" u="1"/>
        <n v="2.2218225419664268" u="1"/>
        <n v="2.940952380952381" u="1"/>
        <n v="3.1341269841269841" u="1"/>
        <n v="2.4392253811289657" u="1"/>
        <n v="3.0305415617128468" u="1"/>
        <n v="3.5679611650485437" u="1"/>
        <n v="0.99999470435284543" u="1"/>
        <n v="2.9411196911196913" u="1"/>
        <n v="2.9385593220338984" u="1"/>
        <n v="3.0301680159327762" u="1"/>
        <n v="2.2233009708737863" u="1"/>
        <n v="2.406779661016949" u="1"/>
        <n v="3.0301167793484942" u="1"/>
        <n v="3.0303273526993117" u="1"/>
        <n v="3.0304102047192112" u="1"/>
        <n v="1.3888888888888888" u="1"/>
        <n v="2.6631696494166741" u="1"/>
        <n v="3.124875373878365" u="1"/>
        <n v="1.8517543859649124" u="1"/>
        <n v="2.7778776978417268" u="1"/>
        <n v="3.0290123456790123" u="1"/>
        <n v="3.5706214689265536" u="1"/>
        <n v="2.7686567164179103" u="1"/>
        <n v="2.0700564971751412" u="1"/>
        <n v="3.45" u="1"/>
        <n v="2.8933333333333335" u="1"/>
        <n v="1.7259259259259259" u="1"/>
        <n v="3.4480207177210507" u="1"/>
        <n v="2.763157894736842" u="1"/>
        <n v="1.0101190476190476" u="1"/>
        <n v="2.2214285714285715" u="1"/>
        <n v="3.5784631571220595" u="1"/>
        <n v="1.2796610169491525" u="1"/>
        <n v="2.7780701754385966" u="1"/>
        <n v="2.5633971291866029" u="1"/>
        <n v="2.6958333333333333" u="1"/>
        <n v="2.500322788896062" u="1"/>
        <n v="3.3332217012726053" u="1"/>
        <n v="2.4433962264150941" u="1"/>
        <n v="3.0333508072545219" u="1"/>
        <n v="1.9625641025641025" u="1"/>
        <n v="3.124918824843494" u="1"/>
        <n v="2.9474917040796407" u="1"/>
        <n v="1.0989518342899924" u="1"/>
        <n v="2.0335570469798658" u="1"/>
        <n v="3.125124626121635" u="1"/>
        <n v="3.3417721518987342" u="1"/>
        <n v="3.0303468208092488" u="1"/>
        <n v="2.1738095238095236" u="1"/>
        <n v="2.7776392333606896" u="1"/>
        <n v="2.7029746026182733" u="1"/>
        <n v="3.3334841628959277" u="1"/>
        <n v="3.1948402579871007" u="1"/>
        <n v="2.7029950083194674" u="1"/>
        <n v="2.2220338983050847" u="1"/>
        <n v="2.6007575757575756" u="1"/>
        <n v="1.075925925925926" u="1"/>
        <n v="2.8588597842835131" u="1"/>
        <n v="2.8486866444691081" u="1"/>
        <n v="2.1242378997138238" u="1"/>
        <n v="2.7026986033756812" u="1"/>
        <n v="3.7035968880928873" u="1"/>
        <n v="4.1665116279069769" u="1"/>
        <n v="2.61358024691358" u="1"/>
        <n v="2.6355932203389831" u="1"/>
        <n v="2.7026207001175715" u="1"/>
        <n v="3.0306230200633579" u="1"/>
        <n v="3.0292595375240001" u="1"/>
        <n v="2.3721822541966429" u="1"/>
        <n v="3.3614893025840513" u="1"/>
        <n v="3.4467875200394622" u="1"/>
        <n v="3.0313971742543173" u="1"/>
        <n v="3.2257326007326008" u="1"/>
        <n v="2.6679104477611939" u="1"/>
        <n v="2.7027702561966258" u="1"/>
        <n v="2.5002025111381125" u="1"/>
        <n v="3.0290394638868205" u="1"/>
        <n v="1.75" u="1"/>
        <n v="1.8179587831207065" u="1"/>
        <n v="1.8550505050505051" u="1"/>
        <n v="2.5002813731007314" u="1"/>
        <n v="1.4661016949152543" u="1"/>
        <n v="2.1893353941267386" u="1"/>
        <n v="3.0305486284289276" u="1"/>
        <n v="3.0303300624442464" u="1"/>
        <n v="3.0283067832474946" u="1"/>
        <n v="2.624242424242424" u="1"/>
        <n v="3.5707762557077625" u="1"/>
        <n v="2.3300970873786406" u="1"/>
        <n v="3.1251115075825155" u="1"/>
        <n v="2.1165840837971985" u="1"/>
        <n v="1.9431372549019608" u="1"/>
        <n v="1.3334707337180545" u="1"/>
        <n v="3.0301334481274216" u="1"/>
        <n v="1.1924242424242424" u="1"/>
        <n v="1.4904076738609113" u="1"/>
        <n v="3.2833333333333332" u="1"/>
        <n v="5.0097087378640781" u="1"/>
        <n v="2.5641646489104115" u="1"/>
        <n v="1.7240853658536586" u="1"/>
        <n v="3.0304975922953452" u="1"/>
        <n v="2.3048839850722049" u="1"/>
        <n v="3.3344481605351173" u="1"/>
        <n v="3.0260707635009307" u="1"/>
        <n v="1.7545454545454546" u="1"/>
        <n v="2.2725490196078431" u="1"/>
        <n v="2.9383983572895276" u="1"/>
        <n v="3.5762711864406778" u="1"/>
        <n v="2.5244639260751094" u="1"/>
        <n v="3.0805084745762712" u="1"/>
        <n v="2.2972972972972974" u="1"/>
        <n v="2.6333333333333333" u="1"/>
        <n v="2.5127118644067798" u="1"/>
        <n v="2.3140304943785615" u="1"/>
        <n v="3.1249215317011929" u="1"/>
        <n v="2.0365196078431373" u="1"/>
        <n v="2.4406779661016951" u="1"/>
        <n v="1.8184523809523809" u="1"/>
        <n v="2.8570154577883473" u="1"/>
        <n v="2.1215277777777777" u="1"/>
        <n v="2.6873822975517889" u="1"/>
        <n v="1.4708661417322835" u="1"/>
        <n v="3.0176991150442478" u="1"/>
        <n v="3.6995930447650758" u="1"/>
        <n v="3.225806451612903" u="1"/>
        <n v="1.7041162227602906" u="1"/>
        <n v="3.2258064516129035" u="1"/>
        <n v="2.2850000000000001" u="1"/>
        <n v="1.9971014492753623" u="1"/>
        <n v="3.3346153846153848" u="1"/>
        <n v="1.652542372881356" u="1"/>
        <n v="2.4708480565371023" u="1"/>
        <n v="2.8557046979865772" u="1"/>
        <n v="1.8922261484098939" u="1"/>
        <n v="2.6129943502824857" u="1"/>
        <n v="3.0309597523219813" u="1"/>
        <n v="3.3310924369747901" u="1"/>
        <n v="1.3326271186440677" u="1"/>
        <n v="2.5836755646817249" u="1"/>
        <n v="3.1093990755007703" u="1"/>
        <n v="3.1250620963735716" u="1"/>
        <n v="2.9384615384615387" u="1"/>
        <n v="2.3802083333333335" u="1"/>
        <n v="3.0287292817679559" u="1"/>
        <n v="3.0302297460701331" u="1"/>
        <n v="3.2263610315186249" u="1"/>
        <n v="1.8848484848484848" u="1"/>
        <n v="2.8570048309178744" u="1"/>
        <n v="2.0413135593220337" u="1"/>
        <n v="2.1746575342465753" u="1"/>
        <n v="3.0292553191489362" u="1"/>
        <n v="2.1566101694915254" u="1"/>
        <n v="2.9433898305084747" u="1"/>
        <n v="3.0310077519379846" u="1"/>
        <n v="3.3093525179856114" u="1"/>
        <n v="1.6660231660231659" u="1"/>
        <n v="1.4706959706959708" u="1"/>
        <n v="3.0301435406698563" u="1"/>
        <n v="1.3885267275097783" u="1"/>
        <n v="3.0311688311688312" u="1"/>
        <n v="2.50561797752809" u="1"/>
        <n v="2.6280193236714977" u="1"/>
        <n v="1.1121495327102804" u="1"/>
        <n v="1.6668869795109056" u="1"/>
        <n v="2.7027622223620464" u="1"/>
        <n v="2.9408256762729752" u="1"/>
        <n v="2.6314907872696818" u="1"/>
        <n v="1.8158175988599929" u="1"/>
        <n v="2.777542372881356" u="1"/>
        <n v="2.5507751937984495" u="1"/>
        <n v="3.1166666666666667" u="1"/>
        <n v="2.7415254237288136" u="1"/>
        <n v="3.0305286671630678" u="1"/>
        <n v="2.599921166732361" u="1"/>
        <n v="2.6318785578747628" u="1"/>
        <n v="1.5245098039215685" u="1"/>
        <n v="3.0301826846703732" u="1"/>
        <n v="3.0300187617260788" u="1"/>
        <n v="3.0302848575712145" u="1"/>
        <n v="1.6981132075471699" u="1"/>
        <n v="2.1737288135593222" u="1"/>
        <n v="1.6667180277349769" u="1"/>
        <n v="1.8389830508474576" u="1"/>
        <n v="3.1173402868318121" u="1"/>
        <n v="2.5650511777037859" u="1"/>
        <n v="2.7025869602204664" u="1"/>
        <n v="3.0302336234539626" u="1"/>
        <n v="3.030174736355939" u="1"/>
        <n v="3.3250000000000002" u="1"/>
        <n v="2.2219531880548828" u="1"/>
        <n v="2.1275423728813561" u="1"/>
        <n v="3.0303907380607815" u="1"/>
        <n v="2.8974130240856377" u="1"/>
        <n v="1.5576923076923077" u="1"/>
        <n v="1.712" u="1"/>
        <n v="1.2351694915254237" u="1"/>
        <n v="2.3808163265306121" u="1"/>
        <n v="3.0276448697501324" u="1"/>
        <n v="2.6315254925858218" u="1"/>
        <n v="2.9411085450346421" u="1"/>
        <n v="3.337037037037037" u="1"/>
        <n v="2.6888489208633093" u="1"/>
        <n v="3.3361344537815127" u="1"/>
        <n v="1.4230769230769231" u="1"/>
        <n v="2.6749999999999998" u="1"/>
        <n v="2.602966101694915" u="1"/>
        <n v="3.0303462684801166" u="1"/>
        <n v="3.2258573117855733" u="1"/>
        <n v="2.1743341404358354" u="1"/>
        <n v="3.0272187524095919" u="1"/>
        <n v="3.5717514124293785" u="1"/>
        <n v="2.1270028305662172" u="1"/>
        <n v="2.7791666666666668" u="1"/>
        <n v="3.7039106145251397" u="1"/>
        <n v="2.6338582677165356" u="1"/>
        <n v="2.1273821464393179" u="1"/>
        <n v="3.3484848484848486" u="1"/>
        <n v="3.0575354229282956" u="1"/>
        <n v="3.3333556108674904" u="1"/>
        <n v="3.5728155339805827" u="1"/>
        <n v="2.1908127208480566" u="1"/>
        <n v="3.6822033898305087" u="1"/>
        <n v="3.0310679611650486" u="1"/>
        <n v="3.1864406779661016" u="1"/>
        <n v="3.0306034482758619" u="1"/>
        <n v="3.1222222222222222" u="1"/>
        <n v="3.3548945001729504" u="1"/>
        <n v="1.8313349320543566" u="1"/>
        <n v="3.3332557676545949" u="1"/>
        <n v="1.4711286089238844" u="1"/>
        <n v="3.0304154302670625" u="1"/>
        <n v="2.2638888888888888" u="1"/>
        <n v="2.5025641025641026" u="1"/>
        <n v="3.0366972477064218" u="1"/>
        <n v="2.8591417910447761" u="1"/>
        <n v="3.0300925925925926" u="1"/>
        <n v="3.1242911153119093" u="1"/>
        <n v="2.8553113553113554" u="1"/>
        <n v="2.9780219780219781" u="1"/>
        <n v="2.8526785714285716" u="1"/>
        <n v="3.3339285714285714" u="1"/>
        <n v="2.5001023541453429" u="1"/>
        <n v="2.4388777555110219" u="1"/>
        <n v="3.7041666666666666" u="1"/>
        <n v="1.0203982985305491" u="1"/>
        <n v="3.0300767056923696" u="1"/>
        <n v="2.9991166077738516" u="1"/>
        <n v="1.6875" u="1"/>
        <n v="3.3351800554016622" u="1"/>
        <n v="3.0271464646464645" u="1"/>
        <n v="2.6015928119256686" u="1"/>
        <n v="3.0305194805194806" u="1"/>
        <n v="2.3056615290706546" u="1"/>
        <n v="2.6788051686524583" u="1"/>
        <n v="2.7774784482758621" u="1"/>
        <n v="1.5979857322702475" u="1"/>
        <n v="2.778743961352657" u="1"/>
        <n v="2.1151129943502824" u="1"/>
        <n v="2.4183095842279916" u="1"/>
        <n v="2.1888111888111887" u="1"/>
        <n v="2.3258003766478343" u="1"/>
        <n v="1.6665004985044864" u="1"/>
        <n v="3.0300113250283127" u="1"/>
        <n v="2.6007062146892657" u="1"/>
        <n v="1.3625" u="1"/>
        <n v="3.2249614791987673" u="1"/>
        <n v="1.4717514124293785" u="1"/>
        <n v="1.7539370078740157" u="1"/>
        <n v="3.2256913470115967" u="1"/>
        <n v="3.7039465839990457" u="1"/>
        <n v="3.0301844035784393" u="1"/>
        <n v="1.7542600896860987" u="1"/>
        <n v="3.030357142857143" u="1"/>
        <n v="3.3336148648648649" u="1"/>
        <n v="2.8566666666666665" u="1"/>
        <n v="2.2604006163328196" u="1"/>
        <n v="1.9698177676537585" u="1"/>
        <n v="3.0293040293040292" u="1"/>
        <n v="2.7027190992149679" u="1"/>
        <n v="2.5009380863039401" u="1"/>
        <n v="3.3328339076728426" u="1"/>
        <n v="2.8566621803499328" u="1"/>
        <n v="1.4666666666666666" u="1"/>
        <n v="1.7678571428571428" u="1"/>
        <n v="2.636309523809524" u="1"/>
        <n v="1.5624036979969183" u="1"/>
        <n v="2.7046979865771812" u="1"/>
        <n v="3.0307017543859649" u="1"/>
        <n v="2.847457627118644" u="1"/>
        <n v="1.578525641025641" u="1"/>
        <n v="5.8833333333333337" u="1"/>
        <n v="3.0277393221555657" u="1"/>
        <n v="3.5711892797319935" u="1"/>
        <n v="2.1137578256222325" u="1"/>
        <n v="1.7771716323961393" u="1"/>
        <n v="3.4480737018425462" u="1"/>
        <n v="2.4996690933156849" u="1"/>
        <n v="2.7166666666666668" u="1"/>
        <n v="3.2258107567062591" u="1"/>
        <n v="2.3593429158110881" u="1"/>
        <n v="2.941358024691358" u="1"/>
        <n v="3.3329479768786126" u="1"/>
        <n v="2.8895166352793473" u="1"/>
        <n v="2.380701754385965" u="1"/>
        <n v="2.3824130879345602" u="1"/>
        <n v="2.9082568807339451" u="1"/>
        <n v="3.0301801801801802" u="1"/>
        <n v="3.0296803652968038" u="1"/>
        <n v="1.8508474576271186" u="1"/>
        <n v="3.1239406779661016" u="1"/>
        <n v="1.2881355932203389" u="1"/>
        <n v="2.3799435028248586" u="1"/>
        <n v="1.430952380952381" u="1"/>
        <n v="3.1251173708920188" u="1"/>
        <n v="3.0312075983717777" u="1"/>
        <n v="3.3326157158234659" u="1"/>
        <n v="0.99920634920634921" u="1"/>
        <n v="3.0302113197322793" u="1"/>
        <n v="2.0666666666666669" u="1"/>
        <n v="2.8589147286821706" u="1"/>
        <n v="2.9315756434400502" u="1"/>
        <n v="2.4975825946817083" u="1"/>
        <n v="3.0303132938187978" u="1"/>
        <n v="2.4381270903010033" u="1"/>
        <n v="2.7262569832402233" u="1"/>
        <n v="2.1922984931834488" u="1"/>
        <n v="2.9411179263150062" u="1"/>
        <n v="3.5715689163965028" u="1"/>
        <n v="1.9642361111111111" u="1"/>
        <n v="2.2721437740693196" u="1"/>
        <n v="2.8561872909698995" u="1"/>
        <n v="1.3333433551746838" u="1"/>
        <n v="2.6627118644067798" u="1"/>
        <n v="2.9370629370629371" u="1"/>
        <n v="1.8975265017667844" u="1"/>
        <n v="3.3238636363636362" u="1"/>
        <n v="3.0292397660818713" u="1"/>
        <n v="3.2203389830508473" u="1"/>
        <n v="2.6321167883211678" u="1"/>
        <n v="2.4058380414312617" u="1"/>
        <n v="3.0304203539823007" u="1"/>
        <n v="1.8867924528301887" u="1"/>
        <n v="2.6107506950880444" u="1"/>
        <n v="2.6407766990291264" u="1"/>
        <n v="3.0308903694730467" u="1"/>
        <n v="2.1275354870324685" u="1"/>
        <n v="1.6522522522522523" u="1"/>
        <n v="2.156779661016949" u="1"/>
        <n v="1.665903890160183" u="1"/>
        <n v="2.8569444444444443" u="1"/>
        <n v="2.3249815770081059" u="1"/>
        <n v="2.7782475019215989" u="1"/>
        <n v="1.0988648846576345" u="1"/>
        <n v="1.3329048843187661" u="1"/>
        <n v="2.7775119617224879" u="1"/>
        <n v="3.0301075268817206" u="1"/>
        <n v="2.2840563165905632" u="1"/>
        <n v="3.0302325581395348" u="1"/>
        <n v="3.2" u="1"/>
        <n v="2.9411116109626256" u="1"/>
        <n v="1.4745762711864407" u="1"/>
        <n v="2.564344005021971" u="1"/>
        <n v="2.9411066255046308" u="1"/>
        <n v="2.9413057124921531" u="1"/>
        <n v="2.5005393743257822" u="1"/>
        <n v="3.3329545454545455" u="1"/>
        <n v="2.8089965397923877" u="1"/>
        <n v="5.55" u="1"/>
        <n v="2.6315936366173598" u="1"/>
        <n v="2.9411157024793386" u="1"/>
        <n v="2.2887624466571834" u="1"/>
        <n v="2.918032786885246" u="1"/>
        <n v="3.0304073436603556" u="1"/>
        <n v="3.1659722222222224" u="1"/>
        <n v="2.5499999999999998" u="1"/>
        <n v="1.9610797237915882" u="1"/>
        <n v="2.1136363636363638" u="1"/>
        <n v="3.0296200901481005" u="1"/>
        <n v="2.7772397094430992" u="1"/>
        <n v="1.5389312977099237" u="1"/>
        <n v="2.7798165137614679" u="1"/>
        <n v="3.0283159463487332" u="1"/>
        <n v="3.1251008878127524" u="1"/>
        <n v="2.3275862068965516" u="1"/>
        <n v="2.5007776049766717" u="1"/>
        <n v="2.1739257527038878" u="1"/>
        <n v="2.8581436077057791" u="1"/>
        <n v="1.3332850773267029" u="1"/>
        <n v="1.333313339731286" u="1"/>
        <n v="2.5752897576728344" u="1"/>
        <n v="3.0304428108754875" u="1"/>
        <n v="4.5453610283588715" u="1"/>
        <n v="2.2615012106537531" u="1"/>
        <n v="2.8571875000000002" u="1"/>
        <n v="2.9920663541291019" u="1"/>
        <n v="3.0354330708661417" u="1"/>
        <n v="2.7050359712230216" u="1"/>
        <n v="2.2890173410404624" u="1"/>
        <n v="2.9416010498687664" u="1"/>
        <n v="2.380071525465532" u="1"/>
        <n v="3.0301896534307105" u="1"/>
        <n v="2.4179104477611939" u="1"/>
        <n v="1.923406862745098" u="1"/>
        <n v="2.5336225324957824" u="1"/>
        <n v="1.2942061700526712" u="1"/>
        <n v="3.030278738615245" u="1"/>
        <n v="3.1257062146892656" u="1"/>
        <n v="3.0310237302468157" u="1"/>
        <n v="3.030546623794212" u="1"/>
        <n v="3.0536723163841808" u="1"/>
        <n v="3.1266666666666665" u="1"/>
        <n v="3.0302796304603241" u="1"/>
        <n v="2.501165501165501" u="1"/>
        <n v="3.5716681199275606" u="1"/>
        <n v="1.5921107847251363" u="1"/>
        <n v="3.0304287690179805" u="1"/>
        <n v="3.0302504816955684" u="1"/>
        <n v="2.9534731323722148" u="1"/>
        <n v="3.2259887005649719" u="1"/>
        <n v="2.7783333333333333" u="1"/>
        <n v="1.7543402777777777" u="1"/>
        <n v="3.0333333333333332" u="1"/>
        <n v="3.0303173851255329" u="1"/>
        <n v="3.3322763067491148" u="1"/>
        <n v="3.321315258148255" u="1"/>
        <n v="2.647398843930636" u="1"/>
        <n v="3.0308832612723902" u="1"/>
        <n v="3.3331637843336726" u="1"/>
        <n v="3.1247002398081536" u="1"/>
        <n v="2.2923483721698892" u="1"/>
        <n v="1.7240250291036088" u="1"/>
        <n v="3.0301358234295415" u="1"/>
        <n v="2.8305084745762712" u="1"/>
        <n v="1.8525423728813559" u="1"/>
        <n v="2.94" u="1"/>
        <n v="2.1134289439374183" u="1"/>
        <n v="2.3833333333333333" u="1"/>
        <n v="2.5004405286343614" u="1"/>
        <n v="3.0325203252032522" u="1"/>
        <n v="2.5003408316291753" u="1"/>
        <n v="4.166920561412061" u="1"/>
        <n v="2.1739910313901345" u="1"/>
        <n v="2.127665390924002" u="1"/>
        <n v="2.4874999999999998" u="1"/>
        <n v="1.847457627118644" u="1"/>
        <n v="3.1342894393741849" u="1"/>
        <n v="2.6328770501911456" u="1"/>
        <n v="2.1229547641963427" u="1"/>
        <n v="3.3384615384615386" u="1"/>
        <n v="1.0863636363636364" u="1"/>
        <n v="5.5557404326123132" u="1"/>
        <n v="3.3347280334728033" u="1"/>
        <n v="2.3980815347721824" u="1"/>
        <n v="2.3810188415910676" u="1"/>
        <n v="2.8587570621468927" u="1"/>
        <n v="1.8666666666666667" u="1"/>
        <n v="2.7458033573141485" u="1"/>
        <n v="2.0407971555655755" u="1"/>
        <n v="2.4417314095449498" u="1"/>
        <n v="2.455468471677948" u="1"/>
        <n v="3.0304314329738058" u="1"/>
        <n v="3.031510658016682" u="1"/>
        <n v="2.7026979677645411" u="1"/>
        <n v="3.0297071129707112" u="1"/>
        <n v="1.7241656614394854" u="1"/>
        <n v="1.91875" u="1"/>
        <n v="3.0306054557551563" u="1"/>
        <n v="1.4536082474226804" u="1"/>
        <n v="3.028169014084507" u="1"/>
        <n v="3.0298507462686568" u="1"/>
        <n v="2.0983050847457627" u="1"/>
        <n v="2.7873651771956856" u="1"/>
        <n v="2.5042016806722689" u="1"/>
        <n v="3.3332657762644997" u="1"/>
        <n v="1.7117647058823529" u="1"/>
        <n v="3.0310734463276838" u="1"/>
        <n v="2.4998834227092561" u="1"/>
        <n v="2.9325765393876844" u="1"/>
        <n v="2.3000817661488142" u="1"/>
        <n v="2.5955416605604675" u="1"/>
        <n v="4.3821630347054077" u="1"/>
        <n v="2.6360000000000001" u="1"/>
        <n v="1.8653077537969625" u="1"/>
        <n v="2.7777031564808596" u="1"/>
        <n v="3.126829268292683" u="1"/>
        <n v="2.8904761904761904" u="1"/>
        <n v="2.3805004314063849" u="1"/>
        <n v="1.0000601286753652" u="1"/>
        <n v="1.6638418079096045" u="1"/>
        <n v="2.6329639889196677" u="1"/>
        <n v="3.0593220338983049" u="1"/>
        <n v="2.5995762711864407" u="1"/>
        <n v="2.6277777777777778" u="1"/>
        <n v="3.197616060225847" u="1"/>
        <n v="1.9435483870967742" u="1"/>
        <n v="2.70272604902619" u="1"/>
        <n v="2.5635593220338984" u="1"/>
        <n v="2.225563909774436" u="1"/>
        <n v="2.8666666666666667" u="1"/>
        <n v="3.0303317535545022" u="1"/>
        <n v="2.4915254237288136" u="1"/>
        <n v="3.0307645446238194" u="1"/>
        <n v="3.2258734002075404" u="1"/>
        <n v="1.853018372703412" u="1"/>
        <n v="2.7770270270270272" u="1"/>
        <n v="1.333273703041145" u="1"/>
        <n v="1.0248324793062673" u="1"/>
        <n v="1.7543103448275863" u="1"/>
        <n v="3.2283464566929134" u="1"/>
        <n v="1.9618644067796611" u="1"/>
        <n v="3.5712836123795029" u="1"/>
        <n v="2.7035573122529644" u="1"/>
        <n v="1.6779661016949152" u="1"/>
        <n v="2.563758389261745" u="1"/>
        <n v="3.3458646616541352" u="1"/>
        <n v="4.3821820529373792" u="1"/>
        <n v="3.1251993620414673" u="1"/>
        <n v="2.1241999654039092" u="1"/>
        <n v="2.2221014492753621" u="1"/>
        <n v="3.0306834030683403" u="1"/>
        <n v="2.2355740630577037" u="1"/>
        <n v="2.5001036269430053" u="1"/>
        <n v="2.5720125786163521" u="1"/>
        <n v="3.0305343511450382" u="1"/>
        <n v="2.4994617868675997" u="1"/>
        <n v="1.8859784283513097" u="1"/>
        <n v="3.1256281407035176" u="1"/>
        <n v="2.7773729129216664" u="1"/>
        <n v="2.7775590551181102" u="1"/>
        <n v="1.0872549019607842" u="1"/>
        <n v="2.6891859632370494" u="1"/>
        <n v="4" u="1"/>
        <n v="3.3333669301779181" u="1"/>
        <n v="3.33337256266746" u="1"/>
        <n v="1.7544663307375172" u="1"/>
        <n v="3.2259414225941421" u="1"/>
        <n v="2.6304106548279687" u="1"/>
        <n v="1.0526274509803921" u="1"/>
        <n v="3.3379629629629628" u="1"/>
        <n v="2.9411192754851165" u="1"/>
        <n v="3.2293577981651378" u="1"/>
        <n v="2.8722222222222222" u="1"/>
        <n v="3.0434782608695654" u="1"/>
        <n v="2.8644067796610169" u="1"/>
        <n v="2.7127522541863462" u="1"/>
        <n v="3.0305418719211823" u="1"/>
        <n v="2.9414213747449938" u="1"/>
        <n v="3.0312221231043712" u="1"/>
        <n v="2.8842134960606884" u="1"/>
        <n v="3.0303898028550456" u="1"/>
        <n v="2.5064011379800855" u="1"/>
        <n v="3.1251101321585901" u="1"/>
        <n v="2.8299764250149178" u="1"/>
        <n v="2.40032154340836" u="1"/>
        <n v="3.0296244161494661" u="1"/>
        <n v="1.8644067796610169" u="1"/>
        <n v="1.7133333333333334" u="1"/>
        <n v="1.9182194616977226" u="1"/>
        <n v="2.9412897016361885" u="1"/>
        <n v="1.6394472361809045" u="1"/>
        <n v="1.9862318840579709" u="1"/>
        <n v="2.2728006456820018" u="1"/>
        <n v="2.4689265536723162" u="1"/>
        <n v="3.3333771039693647" u="1"/>
        <n v="3.0273321449792037" u="1"/>
        <n v="2.2214060860440714" u="1"/>
        <n v="2.2240085744908895" u="1"/>
        <n v="2.7774219375500402" u="1"/>
        <n v="1.0000071994758781" u="1"/>
        <n v="0.99930555555555556" u="1"/>
        <n v="3.0289687137891077" u="1"/>
        <n v="2.5001160900859065" u="1"/>
        <n v="3.030324400564175" u="1"/>
        <n v="3.0240241921935378" u="1"/>
        <n v="3.0304166666666665" u="1"/>
        <n v="1.6666666666666667" u="1"/>
        <n v="1.000035900197451" u="1"/>
        <n v="3.3333290382024847" u="1"/>
        <n v="3.4481648422408244" u="1"/>
        <n v="2.4999340804218853" u="1"/>
        <n v="2.7322142286171065" u="1"/>
        <n v="1.8517857142857144" u="1"/>
        <n v="2.6261558784676353" u="1"/>
        <n v="3.0292508417508412" u="1"/>
        <n v="1.0523809523809524" u="1"/>
        <n v="2.940941508550269" u="1"/>
        <n v="3.0312761859091646" u="1"/>
        <n v="3.0300573499773567" u="1"/>
        <n v="3.0302287581699345" u="1"/>
        <n v="3.5713870772999399" u="1"/>
        <n v="2.2223594811612104" u="1"/>
        <n v="2.702596640533832" u="1"/>
        <n v="2.7050869285254349" u="1"/>
        <n v="1.7550335570469799" u="1"/>
        <n v="3.0125000000000002" u="1"/>
        <n v="2.3805175038051751" u="1"/>
        <n v="1.6977072310405643" u="1"/>
        <n v="3.0303706808183661" u="1"/>
        <n v="3.0303096694438194" u="1"/>
        <n v="3.2372881355932202" u="1"/>
        <n v="4.9944506104328523" u="1"/>
        <n v="2.7028489001081861" u="1"/>
        <n v="3.0302475999277387" u="1"/>
        <n v="2.2225405921680994" u="1"/>
        <n v="1.0204081632653061" u="1"/>
        <n v="2.6694915254237288" u="1"/>
        <n v="1.9675348495964784" u="1"/>
        <n v="2.2583333333333333" u="1"/>
        <n v="2.9411663727407666" u="1"/>
        <n v="2.9410955890441097" u="1"/>
        <n v="3.5716486902927582" u="1"/>
        <n v="2.1016949152542375" u="1"/>
        <n v="2.8571843813583957" u="1"/>
        <n v="2.3433879153499952" u="1"/>
        <n v="1.7669491525423728" u="1"/>
        <n v="1.0166666666666666" u="1"/>
        <n v="3.3317460317460319" u="1"/>
        <n v="3.3329223181257706" u="1"/>
        <n v="3.3330039525691699" u="1"/>
        <n v="2.9412084921066959" u="1"/>
        <n v="3.0303568258476834" u="1"/>
        <n v="3.3264462809917354" u="1"/>
        <n v="2.0694425967806307" u="1"/>
        <n v="2.0141666666666667" u="1"/>
        <n v="2.5852272727272729" u="1"/>
        <n v="2.7781512605042016" u="1"/>
        <n v="2.9414483821263482" u="1"/>
        <n v="2.9444444444444442" u="1"/>
        <n v="3.3336864406779663" u="1"/>
        <n v="2.9444444444444446" u="1"/>
        <n v="2.1299435028248586" u="1"/>
        <n v="2.4970414201183431" u="1"/>
        <n v="3.5712520593080725" u="1"/>
        <n v="2.7650082012028432" u="1"/>
        <n v="3.1545454545454548" u="1"/>
        <n v="1.9686440677966102" u="1"/>
        <n v="2.1090311156083987" u="1"/>
        <n v="2.1739780658025922" u="1"/>
        <n v="2.6233521657250471" u="1"/>
        <n v="2.1275894538606401" u="1"/>
        <n v="3.1250517598343683" u="1"/>
        <n v="3.0310641110376735" u="1"/>
        <n v="3.0301054233235516" u="1"/>
        <n v="2.8700564971751414" u="1"/>
        <n v="2.3697478991596639" u="1"/>
        <n v="2.0693548387096774" u="1"/>
        <n v="3.1137647663071393" u="1"/>
        <n v="2.2679425837320575" u="1"/>
        <n v="4.3559322033898304" u="1"/>
        <n v="2.8582677165354329" u="1"/>
        <n v="3.3333283458021614" u="1"/>
        <n v="3.029654036243822" u="1"/>
        <n v="2.1288782816229115" u="1"/>
        <n v="2.8572091943348039" u="1"/>
        <n v="2.9409090909090909" u="1"/>
        <n v="3.0291146761734997" u="1"/>
        <n v="3.6101694915254239" u="1"/>
        <n v="1.0099700897308075" u="1"/>
        <n v="2.4847457627118645" u="1"/>
        <n v="3.031296572280179" u="1"/>
        <n v="2.8616730453799892" u="1"/>
        <n v="3.0301047120418847" u="1"/>
        <n v="2.564245810055866" u="1"/>
        <n v="1.1855555555555555" u="1"/>
        <n v="2.7024852494189169" u="1"/>
        <n v="1.9652945924132366" u="1"/>
        <n v="2.156364167762677" u="1"/>
        <n v="2.7032258064516128" u="1"/>
        <n v="1.0527306967984935" u="1"/>
        <n v="2.412751677852349" u="1"/>
        <n v="3.0239520958083834" u="1"/>
        <n v="2.6456086286594762" u="1"/>
        <n v="3.0311926605504587" u="1"/>
        <n v="2.4745762711864407" u="1"/>
        <n v="3.44854923101316" u="1"/>
        <n v="1.8553268765133173" u="1"/>
        <n v="3.3344437041972022" u="1"/>
        <n v="2.7416666666666667" u="1"/>
        <n v="2.7835051546391751" u="1"/>
        <n v="2.6552388289676427" u="1"/>
        <n v="3.3917137476459511" u="1"/>
        <n v="1.7550077041602465" u="1"/>
        <n v="1.0200308166409862" u="1"/>
        <n v="2.3323289391086002" u="1"/>
        <n v="2.901511681172698" u="1"/>
        <n v="2.3538050734312415" u="1"/>
        <n v="2.3809688581314878" u="1"/>
        <n v="1.6694915254237288" u="1"/>
        <n v="2.3534348772147964" u="1"/>
        <n v="2.7783572359843545" u="1"/>
        <n v="2.8458333333333332" u="1"/>
        <n v="3.3332568280927242" u="1"/>
        <n v="2.1275923115832067" u="1"/>
        <n v="3.5712861415752744" u="1"/>
        <n v="2.6305916305916304" u="1"/>
        <n v="2.0407374368123699" u="1"/>
        <n v="2.2221446035626964" u="1"/>
        <n v="2.2222823147647377" u="1"/>
        <n v="3.3334048487449044" u="1"/>
        <n v="2.3940847322142287" u="1"/>
        <n v="2.5028248587570623" u="1"/>
        <n v="3.1888888888888891" u="1"/>
        <n v="2.6813641408535971" u="1"/>
        <n v="3.334478808705613" u="1"/>
        <n v="2.85485263287705" u="1"/>
        <n v="2.5639004149377596" u="1"/>
        <n v="2.900449330900988" u="1"/>
        <n v="2.8569892473118279" u="1"/>
        <n v="3.3332747005329724" u="1"/>
        <n v="3.3364485981308412" u="1"/>
        <n v="2.7783056215360253" u="1"/>
        <n v="3.3335901386748845" u="1"/>
        <n v="2.4390371533228676" u="1"/>
        <n v="3.0271731595729934" u="1"/>
        <n v="2.8576271186440678" u="1"/>
        <n v="3.0303195848128928" u="1"/>
        <n v="2.1073446327683616" u="1"/>
        <n v="2.2078886937727948" u="1"/>
        <n v="2.5001016466761539" u="1"/>
        <n v="2.0995291902071562" u="1"/>
        <n v="1.6670739156994503" u="1"/>
        <n v="2.300156739811912" u="1"/>
        <n v="1.7539267015706805" u="1"/>
        <n v="3.0302764370337867" u="1"/>
        <n v="3.1282051282051282" u="1"/>
        <n v="3.0305384409322262" u="1"/>
        <n v="2.3402385436283741" u="1"/>
        <n v="1.7113801452784503" u="1"/>
        <n v="3.0306631804135966" u="1"/>
        <n v="3.030304227838263" u="1"/>
        <n v="3.1251082251082249" u="1"/>
        <n v="2.4990757855822552" u="1"/>
        <n v="2.7033898305084745" u="1"/>
        <n v="4.166666666666667" u="1"/>
        <n v="2.9412121212121214" u="1"/>
        <n v="3.3330508474576273" u="1"/>
        <n v="3.0294780589707835" u="1"/>
        <n v="2.7782426778242679" u="1"/>
        <n v="2.1355932203389831" u="1"/>
        <n v="3.2249999999999996" u="1"/>
        <n v="3.2250000000000001" u="1"/>
        <n v="2.7024974868385785" u="1"/>
        <n v="3.3038932842469189" u="1"/>
        <n v="3.0261682242990653" u="1"/>
        <n v="1.7838983050847457" u="1"/>
        <n v="3.0293884034948371" u="1"/>
        <n v="3.0299867147466313" u="1"/>
        <n v="1.098814229249012" u="1"/>
        <n v="2.5039370078740157" u="1"/>
        <n v="2.5005649717514125" u="1"/>
        <n v="3.0294049548506599" u="1"/>
        <n v="3.0305118110236222" u="1"/>
        <n v="3.0302245250431779" u="1"/>
        <n v="3.0304065160121714" u="1"/>
        <n v="5.5593220338983054" u="1"/>
        <n v="2.4802259887005649" u="1"/>
        <n v="2.9412283798093894" u="1"/>
        <n v="3.0329670329670328" u="1"/>
        <n v="1.7040847201210287" u="1"/>
        <n v="1.6663168940188877" u="1"/>
        <n v="2.7833333333333332" u="1"/>
        <n v="3.029673590504451" u="1"/>
        <n v="2.7464678178963893" u="1"/>
        <n v="3.0300218340611353" u="1"/>
        <n v="3.0297297297297296" u="1"/>
        <n v="2.6324999999999998" u="1"/>
        <n v="1.3333537537905473" u="1"/>
        <n v="2.6618518518518517" u="1"/>
        <n v="3.0222222222222221" u="1"/>
        <n v="2.5006993006993006" u="1"/>
        <n v="2.618879472693032" u="1"/>
        <n v="3.0304048459820336" u="1"/>
        <n v="2.1741140215716488" u="1"/>
        <n v="4.9998094980793937" u="1"/>
        <n v="2.4993993993993993" u="1"/>
        <n v="2.8295668549905839" u="1"/>
        <n v="2.7027478648347567" u="1"/>
        <n v="1.5625388923459864" u="1"/>
        <n v="2.2752293577981653" u="1"/>
        <n v="3.1122881355932202" u="1"/>
        <n v="1.4642857142857142" u="1"/>
        <n v="3.033457249070632" u="1"/>
        <n v="2.2617702448210921" u="1"/>
        <n v="3.0285359801488836" u="1"/>
        <n v="2.6315476190476192" u="1"/>
        <n v="2.1320754716981134" u="1"/>
        <n v="3.4482758620689653" u="1"/>
        <n v="3.4482758620689657" u="1"/>
        <n v="2.6312849162011172" u="1"/>
        <n v="3.4482758620689662" u="1"/>
        <n v="2.5084745762711864" u="1"/>
        <n v="2.1333333333333333" u="1"/>
        <n v="2.8571581196581195" u="1"/>
        <n v="2.0127118644067798" u="1"/>
        <n v="1.8484848484848484" u="1"/>
        <n v="2.3192460609630392" u="1"/>
        <n v="3.0288065843621399" u="1"/>
        <n v="2.3032258064516129" u="1"/>
        <n v="1.9703389830508475" u="1"/>
        <n v="3.3380952380952382" u="1"/>
        <n v="2.0811982656681121" u="1"/>
        <n v="2.1731843575418996" u="1"/>
        <n v="1.5617529880478087" u="1"/>
        <n v="3.0301458670988657" u="1"/>
        <n v="2.4340866290018832" u="1"/>
        <n v="2.882222222222222" u="1"/>
        <n v="2.5641905808046137" u="1"/>
        <n v="2.8570175438596492" u="1"/>
        <n v="1.9602389579864852" u="1"/>
        <n v="3.0304302203567679" u="1"/>
        <n v="1.9652542372881356" u="1"/>
        <n v="2.2840267077555212" u="1"/>
        <n v="2.04" u="1"/>
        <n v="2.3809222994314592" u="1"/>
        <n v="1.7205155367231639" u="1"/>
        <n v="2.1662337662337663" u="1"/>
        <n v="2.1129943502824857" u="1"/>
        <n v="1.5761574074074074" u="1"/>
        <n v="3.032574121054481" u="1"/>
        <n v="2.9382151029748282" u="1"/>
        <n v="1.9592592592592593" u="1"/>
        <n v="1.6667323610563658" u="1"/>
        <n v="3.0146643697795281" u="1"/>
        <n v="2.5000705318098464" u="1"/>
        <n v="2.9845719252498912" u="1"/>
        <n v="3.0295454545454548" u="1"/>
        <n v="3.0301318267419961" u="1"/>
        <n v="2.4384615384615387" u="1"/>
        <n v="1.7780109106168696" u="1"/>
        <n v="2.4969199178644765" u="1"/>
        <n v="1.8458333333333334" u="1"/>
        <n v="2.4878048780487805" u="1"/>
        <n v="2.6695437731196052" u="1"/>
        <n v="3.0303386641580432" u="1"/>
        <n v="3.5715069997255009" u="1"/>
        <n v="3.0277777777777777" u="1"/>
        <n v="2.5643530870692568" u="1"/>
        <n v="3.0302148221458927" u="1"/>
        <n v="2.5702247191011236" u="1"/>
        <n v="2.5712171661117278" u="1"/>
        <n v="3.3332857870048391" u="1"/>
        <n v="3.0330578512396693" u="1"/>
        <n v="3.030155843756877" u="1"/>
        <n v="2.0408725602755453" u="1"/>
        <n v="3.0035335689045937" u="1"/>
        <n v="2.3251833740831298" u="1"/>
        <n v="2.1297071129707112" u="1"/>
        <n v="2.1496062992125986" u="1"/>
        <n v="3.0307179866765357" u="1"/>
        <n v="3.4491525423728815" u="1"/>
        <n v="1.8518518518518519" u="1"/>
        <n v="2.358363309352518" u="1"/>
        <n v="3.0303501139424074" u="1"/>
        <n v="3.3302540415704387" u="1"/>
        <n v="2.1277292576419216" u="1"/>
        <n v="2.5008375209380236" u="1"/>
        <n v="2.8813559322033897" u="1"/>
        <n v="2.8453389830508473" u="1"/>
        <n v="3.236123348017621" u="1"/>
        <n v="3.0290534208059983" u="1"/>
        <n v="2.2616672030897971" u="1"/>
        <n v="3.3333889206972138" u="1"/>
        <n v="3.0298524533912845" u="1"/>
        <n v="3.3669491525423729" u="1"/>
        <n v="2.6166666666666667" u="1"/>
        <n v="1.3322147651006711" u="1"/>
        <n v="1.8952282157676348" u="1"/>
        <n v="1.6632277081798084" u="1"/>
        <n v="2.6341102478727341" u="1"/>
        <n v="1.5889830508474576" u="1"/>
        <n v="2.8571568916396504" u="1"/>
        <n v="2.3797669491525424" u="1"/>
        <n v="1.8763250883392226" u="1"/>
        <n v="2.4991596638655462" u="1"/>
        <n v="3.5713648528099911" u="1"/>
        <n v="2.8250000000000002" u="1"/>
        <n v="3.0305719921104535" u="1"/>
        <n v="2.7874409558210616" u="1"/>
        <n v="5.5541666666666663" u="1"/>
        <n v="3.030244048510256" u="1"/>
        <n v="3.0302476654486399" u="1"/>
        <n v="2.2216666666666667" u="1"/>
        <n v="2.704990758795669" u="1"/>
        <n v="1.0000283294144312" u="1"/>
        <n v="1.96" u="1"/>
        <n v="3.0345911949685536" u="1"/>
        <n v="1.4438312968072526" u="1"/>
        <n v="3.0291988416988418" u="1"/>
        <n v="2.625757575757576" u="1"/>
        <n v="3.3335565974547889" u="1"/>
        <n v="2.1749999999999998" u="1"/>
        <n v="1.6370370370370371" u="1"/>
        <n v="1.6670015067805124" u="1"/>
        <n v="2.5452380952380951" u="1"/>
        <n v="2.0002564102564104" u="1"/>
        <n v="2.4382566585956416" u="1"/>
        <n v="2.9431850509154613" u="1"/>
        <n v="2.3529411764705883" u="1"/>
        <n v="1.724007561436673" u="1"/>
        <n v="2.5623486682808716" u="1"/>
        <n v="2.1288135593220341" u="1"/>
        <n v="3.031634446397188" u="1"/>
        <n v="2.3944999999999999" u="1"/>
        <n v="2.6864406779661016" u="1"/>
        <n v="2.998699126556402" u="1"/>
        <n v="3.7033333333333331" u="1"/>
        <n v="1.9607796754506317" u="1"/>
        <n v="2.6222222222222222" u="1"/>
        <n v="3.030185836251825" u="1"/>
        <n v="1.9233252623083132" u="1"/>
        <n v="2.1186440677966103" u="1"/>
        <n v="2.7030048916841372" u="1"/>
        <n v="2.2809651474530832" u="1"/>
        <n v="4.3504155124653741" u="1"/>
        <n v="1.7754237288135593" u="1"/>
        <n v="2.5005997600959615" u="1"/>
        <n v="1.0525858322468491" u="1"/>
        <n v="2.2750809061488675" u="1"/>
        <n v="2.1282932416953035" u="1"/>
        <n v="1.0001115697869016" u="1"/>
        <n v="1.7541613316261204" u="1"/>
        <n v="2.1570621468926552" u="1"/>
        <n v="3.0308370044052864" u="1"/>
        <n v="3.0272108843537415" u="1"/>
        <n v="3.0304761904761905" u="1"/>
        <n v="2.7146892655367232" u="1"/>
        <n v="2.1137604136742314" u="1"/>
        <n v="2.2209737827715355" u="1"/>
        <n v="2.1757322175732217" u="1"/>
        <n v="2.7196424425354073" u="1"/>
        <n v="3.0303313112459169" u="1"/>
        <n v="3.1250730566919929" u="1"/>
        <n v="3.3324022346368714" u="1"/>
        <n v="2.5641663963842367" u="1"/>
        <n v="2.8575757575757579" u="1"/>
        <n v="2.1468926553672318" u="1"/>
        <n v="3.0302571860816943" u="1"/>
        <n v="4.1652719665271967" u="1"/>
        <n v="3.0292696788860471" u="1"/>
        <n v="2.6313216665037222" u="1"/>
        <n v="3.0299869621903519" u="1"/>
        <n v="2.6323119777158772" u="1"/>
        <n v="3.0286738351254479" u="1"/>
        <n v="2.6583333333333332" u="1"/>
        <n v="2.5016949152542374" u="1"/>
        <n v="2.8567441860465115" u="1"/>
        <n v="3.0265486725663715" u="1"/>
        <n v="2.8831214689265536" u="1"/>
        <n v="2.5003207184092369" u="1"/>
        <n v="2.2125303807723466" u="1"/>
        <n v="2.9328358208955225" u="1"/>
        <n v="2.2725423728813561" u="1"/>
        <n v="2.6319104268719382" u="1"/>
        <n v="2.9412387506617259" u="1"/>
        <n v="1.9669491525423728" u="1"/>
        <n v="1.6645768025078369" u="1"/>
        <n v="1.8554421768707483" u="1"/>
        <n v="2.2806122448979593" u="1"/>
        <n v="1.7542635658914729" u="1"/>
        <n v="3.331818181818182" u="1"/>
        <n v="2.9152542372881354" u="1"/>
        <n v="2.8298714144411474" u="1"/>
        <n v="3.0304414003044142" u="1"/>
        <n v="3.5707070707070705" u="1"/>
        <n v="2.4194915254237288" u="1"/>
        <n v="2.347457627118644" u="1"/>
        <n v="1.5856353591160222" u="1"/>
        <n v="1.9984326018808778" u="1"/>
        <n v="3.3332433162300839" u="1"/>
        <n v="2.8856825749167592" u="1"/>
        <n v="1.918201915991157" u="1"/>
        <n v="3.2261521972132905" u="1"/>
        <n v="3.3444444444444446" u="1"/>
        <n v="1.8533333333333333" u="1"/>
        <n v="2.3811659192825112" u="1"/>
        <n v="3.0300813008130083" u="1"/>
        <n v="2.1135531135531136" u="1"/>
        <n v="2.3257246376811596" u="1"/>
        <n v="1.8898305084745763" u="1"/>
        <n v="3.3332418336535823" u="1"/>
        <n v="2.5022222222222226" u="1"/>
        <n v="3.5713615023474179" u="1"/>
        <n v="3.0295202952029521" u="1"/>
        <n v="2.6818181818181817" u="1"/>
        <n v="3.3332970710993619" u="1"/>
        <n v="2.2166666666666668" u="1"/>
        <n v="2.9412643715656355" u="1"/>
        <n v="3.3332534968384748" u="1"/>
        <n v="2.144632768361582" u="1"/>
        <n v="3.030409356725146" u="1"/>
        <n v="2.7027826939947275" u="1"/>
        <n v="1.3220338983050848" u="1"/>
        <n v="2.4555555555555557" u="1"/>
        <n v="3.0303236110780958" u="1"/>
        <n v="2.6239406779661016" u="1"/>
        <n v="3.0292682926829269" u="1"/>
        <n v="2.6012048192771084" u="1"/>
        <n v="3.0286168521462637" u="1"/>
        <n v="2.78515625" u="1"/>
        <n v="1.7721359630717584" u="1"/>
        <n v="1.8154425612052731" u="1"/>
        <n v="1.3332053234800343" u="1"/>
        <n v="3.0246406570841891" u="1"/>
        <n v="1.724188790560472" u="1"/>
        <n v="1.7833333333333334" u="1"/>
        <n v="3.030456852791878" u="1"/>
        <n v="3.0301947773241658" u="1"/>
        <n v="2.6782799748901445" u="1"/>
        <n v="3.1272727272727274" u="1"/>
        <n v="3.1416666666666666" u="1"/>
        <n v="2.3809700111069976" u="1"/>
        <n v="2.9413875598086126" u="1"/>
        <n v="3.0304439746300211" u="1"/>
        <n v="3.0301437543494121" u="1"/>
        <n v="3.0299293386442394" u="1"/>
        <n v="2.383680815959202" u="1"/>
        <n v="3.0336134453781511" u="1"/>
        <n v="3.2881355932203391" u="1"/>
        <n v="3.3296337402885681" u="1"/>
        <n v="2.9411003236245956" u="1"/>
        <n v="2.1164671124241954" u="1"/>
        <n v="3.027173913043478" u="1"/>
        <n v="3.0303819444444446" u="1"/>
        <n v="2.3807999999999998" u="1"/>
        <n v="3.1252653927813165" u="1"/>
        <n v="2.8572649572649573" u="1"/>
        <n v="2.152542372881356" u="1"/>
        <n v="1.1924001924001923" u="1"/>
        <n v="2.9411616822113862" u="1"/>
        <n v="2.1165254237288136" u="1"/>
        <n v="3.2253968253968255" u="1"/>
        <n v="1.471502590673575" u="1"/>
        <n v="3.0300627684175749" u="1"/>
        <n v="2.0857954545454547" u="1"/>
        <n v="2.6366723259762308" u="1"/>
        <n v="2.6459510357815441" u="1"/>
        <n v="3.0304826418289585" u="1"/>
        <n v="2.4997488699146158" u="1"/>
        <n v="2.8926553672316384" u="1"/>
        <n v="2.9411174169464656" u="1"/>
        <n v="2.1423728813559322" u="1"/>
        <n v="1.3150793650793651" u="1"/>
        <n v="2.4869029275808936" u="1"/>
        <n v="2.5637958532695375" u="1"/>
        <n v="3.0352941176470587" u="1"/>
        <n v="2.7422054823184765" u="1"/>
        <n v="3.446927374301676" u="1"/>
        <n v="2.7" u="1"/>
        <n v="2.3248587570621471" u="1"/>
        <n v="2.5037037037037035" u="1"/>
        <n v="3.4453781512605044" u="1"/>
        <n v="1.0202020202020201" u="1"/>
        <n v="2.9412523020257826" u="1"/>
        <n v="2.5778008298755188" u="1"/>
        <n v="2.9388888888888891" u="1"/>
        <n v="3.0304265997490591" u="1"/>
        <n v="3.0300387596899223" u="1"/>
        <n v="3.0293440736478709" u="1"/>
        <n v="3.1252236135957068" u="1"/>
        <n v="2.1273797595190382" u="1"/>
        <n v="2.5024999999999999" u="1"/>
        <n v="3.3337874659400546" u="1"/>
        <n v="3.3332452431289639" u="1"/>
        <n v="3.3908045977011501" u="1"/>
        <n v="2.845036319612591" u="1"/>
        <n v="2.5151515151515151" u="1"/>
        <n v="3.1884101040118873" u="1"/>
        <n v="2.941340782122905" u="1"/>
        <n v="4.1667200134025162" u="1"/>
        <n v="2.8562753036437245" u="1"/>
        <n v="3.3330543933054395" u="1"/>
        <n v="1.1882896764252697" u="1"/>
        <n v="3.3318777292576418" u="1"/>
        <n v="2.2631264916467781" u="1"/>
        <n v="2.5019157088122603" u="1"/>
        <n v="3.3334561532792923" u="1"/>
        <n v="2.2727272727272725" u="1"/>
        <n v="2.2727272727272729" u="1"/>
        <n v="1.9693600197677292" u="1"/>
        <n v="2.3586083853702053" u="1"/>
        <n v="2.4390243902439024" u="1"/>
        <n v="2.4390243902439028" u="1"/>
        <n v="2.7069322843970731" u="1"/>
        <n v="2.1491469455145844" u="1"/>
        <n v="1.6639215686274509" u="1"/>
        <n v="3.2259567387687187" u="1"/>
        <n v="1.7" u="1"/>
        <n v="3.3332464825429913" u="1"/>
        <n v="2.4894067796610169" u="1"/>
        <n v="2.7410404624277458" u="1"/>
        <n v="3.0302702702702704" u="1"/>
        <n v="2.6181187689640226" u="1"/>
        <n v="2.702758620689655" u="1"/>
        <n v="2.499874340286504" u="1"/>
        <n v="2.8600917431192658" u="1"/>
        <n v="1.9608050847457628" u="1"/>
        <n v="3.0291909924937448" u="1"/>
        <n v="3.0308166409861323" u="1"/>
        <n v="2.7777233431097996" u="1"/>
        <n v="1.6949152542372881" u="1"/>
        <n v="1.6949152542372883" u="1"/>
        <n v="3.0299785867237685" u="1"/>
        <n v="3.3337628865979383" u="1"/>
        <n v="1.6962585034013606" u="1"/>
        <n v="3.0302637267617811" u="1"/>
        <n v="2.7736077481840193" u="1"/>
        <n v="1.9669087974172721" u="1"/>
        <n v="2.4932885906040267" u="1"/>
        <n v="2.6302521008403361" u="1"/>
        <n v="2.9928514694201747" u="1"/>
        <n v="5.8932038834951452" u="1"/>
        <n v="3.3341666666666665" u="1"/>
        <n v="2.7774999999999999" u="1"/>
        <n v="2.305004796929965" u="1"/>
        <n v="3.1833333333333331" u="1"/>
        <n v="3.2256355932203391" u="1"/>
        <n v="3.1249394673123487" u="1"/>
        <n v="2.0076335877862594" u="1"/>
        <n v="2.384502923976608" u="1"/>
        <n v="2.7026246719160105" u="1"/>
        <n v="1.6661115736885928" u="1"/>
        <n v="3.0303370786516854" u="1"/>
        <n v="3.1182686445844339" u="1"/>
        <n v="2.6316865417376492" u="1"/>
        <n v="2.502092050209205" u="1"/>
        <n v="5.8823529411764701" u="1"/>
        <n v="3.5718108831400537" u="1"/>
        <n v="2.1761006289308176" u="1"/>
        <n v="4.7625000000000002" u="1"/>
        <n v="3.0272652900465729" u="1"/>
        <n v="2.5647193585337917" u="1"/>
        <n v="1.05" u="1"/>
        <n v="3.5704697986577183" u="1"/>
        <n v="4.0677966101694913" u="1"/>
        <n v="2.5639445300462249" u="1"/>
        <n v="2.1581920903954801" u="1"/>
        <n v="2.3255750646522388" u="1"/>
        <n v="2.499189627228525" u="1"/>
        <n v="3.0302612024422455" u="1"/>
        <n v="2.15625" u="1"/>
        <n v="2.6375000000000002" u="1"/>
        <n v="2.4957050350204839" u="1"/>
        <n v="2.8983050847457625" u="1"/>
        <n v="2.7028207298088085" u="1"/>
        <n v="2.7426573426573428" u="1"/>
        <n v="3.5715115738588827" u="1"/>
        <n v="3.3323490216258294" u="1"/>
        <n v="2.0885057471264368" u="1"/>
        <n v="1.4302773497688752" u="1"/>
        <n v="3.1248370273794004" u="1"/>
        <n v="2.613690476190476" u="1"/>
        <n v="3.0304452579867958" u="1"/>
        <n v="3.3325457767277022" u="1"/>
        <n v="2.44" u="1"/>
        <n v="3.0313852813852815" u="1"/>
        <n v="3.0301123595505617" u="1"/>
        <n v="2.2584745762711864" u="1"/>
        <n v="3.5715447154471547" u="1"/>
        <n v="1.3883579496090357" u="1"/>
        <n v="2.222457627118644" u="1"/>
        <n v="1.8813559322033899" u="1"/>
        <n v="3.0286054827175208" u="1"/>
        <n v="3.1264501160092806" u="1"/>
        <n v="2.5642266429874518" u="1"/>
        <n v="2.7530891197375613" u="1"/>
        <n v="3.0275297619047619" u="1"/>
        <n v="2.9413010590015127" u="1"/>
        <n v="3.3330258302583027" u="1"/>
        <n v="2.9265536723163841" u="1"/>
        <n v="3.2258272800645682" u="1"/>
        <n v="3.0303756994404476" u="1"/>
        <n v="2.7027845036319613" u="1"/>
        <n v="1.6646341463414633" u="1"/>
        <n v="3.0295930949445129" u="1"/>
        <n v="3.3362500000000002" u="1"/>
        <n v="2.5639887084466491" u="1"/>
        <n v="3.030720338983051" u="1"/>
        <n v="2.2458033573141485" u="1"/>
        <n v="2.5000659195781147" u="1"/>
        <n v="1.4300062774639046" u="1"/>
        <n v="3.0303138156732543" u="1"/>
        <n v="2.4034106048494537" u="1"/>
        <n v="2.6240000000000001" u="1"/>
        <n v="2.8551617873651773" u="1"/>
        <n v="2.3809817210926267" u="1"/>
        <n v="2.238255033557047" u="1"/>
        <n v="3.73046875" u="1"/>
        <n v="2.2590799031476996" u="1"/>
        <n v="3.3605795516675778" u="1"/>
        <n v="1.4268733850129198" u="1"/>
        <n v="1.6809701492537314" u="1"/>
        <n v="2.7777777777777777" u="1"/>
        <n v="1.8529862174578866" u="1"/>
        <n v="2.7777777777777781" u="1"/>
        <n v="3.0304789550072568" u="1"/>
        <n v="2.5642056880206838" u="1"/>
        <n v="2.3811118553248494" u="1"/>
        <n v="3.0750605326876514" u="1"/>
        <n v="3.0166666666666666" u="1"/>
        <n v="3.0299860529986051" u="1"/>
        <n v="3.0304659498207887" u="1"/>
        <n v="3.1991525423728815" u="1"/>
        <n v="3.1271186440677967" u="1"/>
        <n v="2.6313559322033897" u="1"/>
        <n v="3.0302850800854304" u="1"/>
        <n v="2.5640715557665157" u="1"/>
        <n v="3.5705479452054796" u="1"/>
        <n v="3.5713526441668879" u="1"/>
        <n v="2.5593220338983049" u="1"/>
        <n v="3.0292226767971946" u="1"/>
        <n v="4.0137614678899078" u="1"/>
        <n v="2.1277777777777778" u="1"/>
        <n v="3.0287037037037039" u="1"/>
        <n v="1.0987491770901909" u="1"/>
        <n v="2.6375404530744335" u="1"/>
        <n v="2.9415204678362574" u="1"/>
        <n v="3.2257231404958677" u="1"/>
        <n v="2.3666666666666667" u="1"/>
        <n v="2.2388648009459993" u="1"/>
        <n v="2.77752117013087" u="1"/>
        <n v="3.0298661174047372" u="1"/>
        <n v="3.0269360269360268" u="1"/>
        <n v="3.0123456790123457" u="1"/>
        <n v="3.0304726368159205" u="1"/>
        <n v="1.7118644067796611" u="1"/>
        <n v="2.3800398268218892" u="1"/>
        <n v="2.6179966044142615" u="1"/>
        <n v="2.9409583697925163" u="1"/>
        <n v="3.5714285714285707" u="1"/>
        <n v="3.5714285714285712" u="1"/>
        <n v="3.5714285714285716" u="1"/>
        <n v="3.0302256663845264" u="1"/>
        <n v="1.2942422731804586" u="1"/>
        <n v="3.0145841545132046" u="1"/>
        <n v="2.5027932960893855" u="1"/>
        <n v="3.0261590261590263" u="1"/>
        <n v="2.3615138104684879" u="1"/>
        <n v="2.5750000000000002" u="1"/>
        <n v="3.1252430960715674" u="1"/>
        <n v="3.0291930291930287" u="1"/>
        <n v="1.4704073789392775" u="1"/>
        <n v="2.9141242937853109" u="1"/>
        <n v="1.0753138075313808" u="1"/>
        <n v="3.0303462641423295" u="1"/>
        <n v="1.6518904823989571" u="1"/>
        <n v="2.2733333333333334" u="1"/>
        <n v="3.0965435041716329" u="1"/>
        <n v="2.7638829709424444" u="1"/>
        <n v="2.8567999999999998" u="1"/>
        <n v="3.0239898989898988" u="1"/>
        <n v="3.0300457217504899" u="1"/>
        <n v="2.2228763666947016" u="1"/>
        <n v="3.0304008609093356" u="1"/>
        <n v="1.7543601080815525" u="1"/>
        <n v="2.9039548022598871" u="1"/>
        <n v="2.7323321554770317" u="1"/>
        <n v="4.9991405981436916" u="1"/>
        <n v="1.332535885167464" u="1"/>
        <n v="3.025658887727853" u="1"/>
        <n v="2.1137377341659231" u="1"/>
        <n v="2.587037037037037" u="1"/>
        <n v="3.4479418886198547" u="1"/>
        <n v="3.0303231680167997" u="1"/>
        <n v="1.9696969696969697" u="1"/>
        <n v="2.9973498233215548" u="1"/>
        <n v="1.8532110091743119" u="1"/>
        <n v="2.942372881355932" u="1"/>
        <n v="3.0305833025033913" u="1"/>
        <n v="3.3305954825462014" u="1"/>
        <n v="3.5720338983050848" u="1"/>
        <n v="2.7322274881516586" u="1"/>
        <n v="2.631645569620253" u="1"/>
        <n v="2.4988713318284423" u="1"/>
        <n v="3.0303541315345699" u="1"/>
        <n v="2.631675312786085" u="1"/>
        <n v="1.8866071428571429" u="1"/>
        <n v="2.5641379401332265" u="1"/>
        <n v="1.3883928571428572" u="1"/>
        <n v="1.724154558312974" u="1"/>
        <n v="3.6723163841807911" u="1"/>
        <n v="3.0292792792792791" u="1"/>
        <n v="2.9406392694063928" u="1"/>
        <n v="2.85" u="1"/>
        <n v="3.3312499999999998" u="1"/>
        <n v="3.0308398950131235" u="1"/>
        <n v="2.5644444444444443" u="1"/>
        <n v="3.0302380023410067" u="1"/>
        <n v="5.8947368421052628" u="1"/>
        <n v="2.6017241379310345" u="1"/>
        <n v="1.3305084745762712" u="1"/>
        <n v="3.0422535211267605" u="1"/>
        <n v="3.5715328467153284" u="1"/>
        <n v="3.3258426966292136" u="1"/>
        <n v="1.4285714285714286" u="1"/>
        <n v="1.8211009174311927" u="1"/>
        <n v="3.1545939165882726" u="1"/>
        <n v="2.9410369366316504" u="1"/>
        <n v="2.3809270111880663" u="1"/>
        <n v="3.0293091416608515" u="1"/>
        <n v="1.4704926908500271" u="1"/>
        <n v="3.0305370305370305" u="1"/>
        <n v="3.3332407664537627" u="1"/>
        <n v="1.7241108493212163" u="1"/>
        <n v="1.4166666666666667" u="1"/>
        <n v="2.7027379400260756" u="1"/>
        <n v="3.3342736248236955" u="1"/>
        <n v="3.1179460217315107" u="1"/>
        <n v="3.0300884955752214" u="1"/>
        <n v="2.2219298245614034" u="1"/>
        <n v="2.4393305439330546" u="1"/>
        <n v="2.3809099018733275" u="1"/>
        <n v="2.5649717514124295" u="1"/>
        <n v="3.0258938592271925" u="1"/>
        <n v="3.030140656396517" u="1"/>
        <n v="1.7537037037037038" u="1"/>
        <n v="3.030075187969925" u="1"/>
        <n v="3.0311004784688995" u="1"/>
        <n v="2.8569491525423727" u="1"/>
        <n v="2.280357142857143" u="1"/>
        <n v="2.6140776699029127" u="1"/>
        <n v="3.3050847457627119" u="1"/>
        <n v="3.0297766749379651" u="1"/>
        <n v="2.1796610169491526" u="1"/>
        <n v="2.6828358208955225" u="1"/>
        <n v="1.6113074204946995" u="1"/>
        <n v="2.7780725022104331" u="1"/>
        <n v="1.7146892655367232" u="1"/>
        <n v="3.3337053571428572" u="1"/>
        <n v="3.1247863247863248" u="1"/>
        <n v="3.0254467754467749" u="1"/>
        <n v="2.3978065802592226" u="1"/>
        <n v="3.0301094890510947" u="1"/>
        <n v="2.2722298221614228" u="1"/>
        <n v="3.3342857142857141" u="1"/>
        <n v="2.4203703703703705" u="1"/>
        <n v="1.0205444273240882" u="1"/>
        <n v="2.1694915254237288" u="1"/>
        <n v="2.8555555555555556" u="1"/>
        <n v="3.030357499500699" u="1"/>
        <n v="2.361360911270983" u="1"/>
        <n v="2.4920634920634921" u="1"/>
        <n v="2.1738985979134826" u="1"/>
        <n v="2.8801762114537444" u="1"/>
        <n v="2.7025196423733404" u="1"/>
        <n v="2.6315789473684208" u="1"/>
        <n v="2.6315789473684212" u="1"/>
        <n v="1.428409090909091" u="1"/>
        <n v="2.4277929155313354" u="1"/>
        <n v="8.3469276780859154" u="1"/>
        <n v="2.6372549019607843" u="1"/>
        <n v="3.0302259887005651" u="1"/>
        <n v="2.2174452252997106" u="1"/>
        <n v="3.0273170731707317" u="1"/>
        <n v="2.2230215827338129" u="1"/>
        <n v="2.6243666005728135" u="1"/>
        <n v="3.0303215926493108" u="1"/>
        <n v="2.8568818514007308" u="1"/>
        <n v="3.333640978311029" u="1"/>
        <n v="3.0279329608938546" u="1"/>
        <n v="1.2330508474576272" u="1"/>
        <n v="3.029955947136564" u="1"/>
        <n v="1.6962434511202764" u="1"/>
        <n v="3.2866666666666666" u="1"/>
        <n v="3.0151683314835367" u="1"/>
        <n v="2.2193548387096773" u="1"/>
        <n v="1.5541666666666667" u="1"/>
        <n v="3.0301339285714284" u="1"/>
        <n v="3.0302577980739813" u="1"/>
        <n v="2.3254716981132075" u="1"/>
        <n v="1.0103168754605747" u="1"/>
        <n v="3.0909090909090908" u="1"/>
        <n v="2.7630597014925371" u="1"/>
        <n v="1.3333042644109183" u="1"/>
        <n v="3.0377358490566038" u="1"/>
        <n v="3.1336812525090325" u="1"/>
        <n v="5.5550847457627119" u="1"/>
        <n v="3.0274881516587677" u="1"/>
        <n v="3.1185185185185178" u="1"/>
        <n v="3.0267794221282589" u="1"/>
        <n v="1.6670702179176755" u="1"/>
        <n v="2.8560719640179908" u="1"/>
        <n v="4.3474576271186445" u="1"/>
        <n v="2.7771535580524342" u="1"/>
        <n v="2.2221549636803872" u="1"/>
        <n v="2.8917609046849759" u="1"/>
        <n v="1.7135593220338983" u="1"/>
        <n v="2.8916666666666666" u="1"/>
        <n v="3.029739776951673" u="1"/>
        <n v="1.5654205607476634" u="1"/>
        <n v="2.8062101469365124" u="1"/>
        <n v="3.1101694915254239" u="1"/>
        <n v="3.0252100840336134" u="1"/>
        <n v="3.4491725768321513" u="1"/>
        <n v="1.0866290018832392" u="1"/>
        <n v="2.6344969199178645" u="1"/>
        <n v="2.5423728813559321" u="1"/>
        <n v="2.4965034965034967" u="1"/>
        <n v="3.0301524751709237" u="1"/>
        <n v="1.3333333333333333" u="1"/>
        <n v="2.5000974089226573" u="1"/>
        <n v="1.7543478260869565" u="1"/>
        <n v="3.0298393267023718" u="1"/>
        <n v="2.4343220338983049" u="1"/>
        <n v="1.7545773276197896" u="1"/>
        <n v="1.5630252100840336" u="1"/>
        <n v="2.1274871039056742" u="1"/>
        <n v="1.6982892690513218" u="1"/>
        <n v="2.7026161974778535" u="1"/>
        <n v="3.0307155322862127" u="1"/>
        <n v="3.338888888888889" u="1"/>
        <n v="3.3331454340473505" u="1"/>
        <n v="2.7779735682819382" u="1"/>
        <n v="3.028033140392691" u="1"/>
        <n v="1.0186915887850467" u="1"/>
        <n v="3.0302066772655007" u="1"/>
        <n v="3.3332177891781343" u="1"/>
        <n v="2.2815126050420167" u="1"/>
        <n v="2.4966666666666666" u="1"/>
        <n v="2.857037037037037" u="1"/>
        <n v="1.6673728813559323" u="1"/>
        <n v="1.0526617057813394" u="1"/>
        <n v="3.5681293302540418" u="1"/>
        <n v="3.4464285714285716" u="1"/>
        <n v="3.4107676969092724" u="1"/>
        <n v="2.2227602905569008" u="1"/>
        <n v="5.5583333333333336" u="1"/>
        <n v="2.8574144486692017" u="1"/>
        <n v="1.0083333333333333" u="1"/>
        <n v="2.2222352941176471" u="1"/>
        <n v="3.0017667844522968" u="1"/>
        <n v="1.8552803129074316" u="1"/>
        <n v="3.1252525252525252" u="1"/>
        <n v="3.3308687615526802" u="1"/>
        <n v="2.7027707808564232" u="1"/>
        <n v="2.6316964285714284" u="1"/>
        <n v="2.6888888888888891" u="1"/>
        <n v="3.0301946762018277" u="1"/>
        <n v="3.0305302624531332" u="1"/>
        <n v="3.3107344632768361" u="1"/>
        <n v="2.7775453277545328" u="1"/>
        <n v="2.941227312013829" u="1"/>
        <n v="1.5629629629629629" u="1"/>
        <n v="3.0280172413793105" u="1"/>
        <n v="2.7028474234597453" u="1"/>
        <n v="2.9422572178477688" u="1"/>
        <n v="2.6873327386262265" u="1"/>
        <n v="3.0285714285714285" u="1"/>
        <n v="3.2269021739130439" u="1"/>
        <n v="2.5640343093759244" u="1"/>
        <n v="2.9254237288135592" u="1"/>
        <n v="2.7778846153846155" u="1"/>
        <n v="2.1751412429378529" u="1"/>
        <n v="2.286351471900089" u="1"/>
        <n v="3.3337679269882661" u="1"/>
        <n v="3.0303915838690823" u="1"/>
        <n v="2.379" u="1"/>
        <n v="3.0362694300518136" u="1"/>
        <n v="3.4434180138568129" u="1"/>
        <n v="2.7726190476190475" u="1"/>
        <n v="1.0203703703703704" u="1"/>
        <n v="2.6013986013986012" u="1"/>
        <n v="2.926605504587156" u="1"/>
        <n v="3.1250249252243272" u="1"/>
        <n v="3.7172178993078453" u="1"/>
        <n v="3.333764553686934" u="1"/>
        <n v="2.8585114222549741" u="1"/>
        <n v="1.8489984591679507" u="1"/>
        <n v="2.0407326407873154" u="1"/>
        <n v="3.3331246086412021" u="1"/>
        <n v="3.030123230033468" u="1"/>
        <n v="2.3283688509979164" u="1"/>
        <n v="2.2842582106455267" u="1"/>
        <n v="2.564396493594066" u="1"/>
        <n v="2.5003684598378775" u="1"/>
        <n v="1.4297430289775834" u="1"/>
        <n v="1.8957597173144876" u="1"/>
        <n v="2.2472222222222222" u="1"/>
        <n v="3.7039548022598869" u="1"/>
        <n v="3.0304775985272694" u="1"/>
        <n v="3.3330009970089729" u="1"/>
        <n v="1.6944444444444444" u="1"/>
        <n v="3.0302797869702061" u="1"/>
        <n v="3.029885657397474" u="1"/>
        <n v="3.0302580836547017" u="1"/>
        <n v="1.3332764165172599" u="1"/>
        <n v="3.1046859421734796" u="1"/>
        <n v="2.9412276223729714" u="1"/>
        <n v="2.9435028248587569" u="1"/>
        <n v="1.5624669137109581" u="1"/>
        <n v="2.1649350649350652" u="1"/>
        <n v="1.7543760587238848" u="1"/>
        <n v="2.498148148148148" u="1"/>
        <n v="1.9668115369419201" u="1"/>
        <n v="2.4394329896907219" u="1"/>
        <n v="3.0218147865206686" u="1"/>
        <n v="3.3648775894538607" u="1"/>
        <n v="2.9333333333333331" u="1"/>
        <n v="3.0301227850613541" u="1"/>
        <n v="3.0306569343065695" u="1"/>
        <n v="3.0300554420776189" u="1"/>
        <n v="3.3035714285714284" u="1"/>
        <n v="2.2354497354497358" u="1"/>
        <n v="2.8623853211009176" u="1"/>
        <n v="3.3385826771653542" u="1"/>
        <n v="1.6662087912087913" u="1"/>
        <n v="2.6316666666666668" u="1"/>
        <n v="3.1248073959938365" u="1"/>
        <n v="3.225948877611915" u="1"/>
        <n v="2.3256021409455845" u="1"/>
        <n v="3.0302968270214943" u="1"/>
        <n v="2.5101851851851853" u="1"/>
        <n v="2.629032258064516" u="1"/>
        <n v="2.6636046060292404" u="1"/>
        <n v="1.3541666666666667" u="1"/>
        <n v="2.1680000000000001" u="1"/>
        <n v="2.1728813559322036" u="1"/>
        <n v="2.1647727272727271" u="1"/>
        <n v="5.5561139028475708" u="1"/>
        <n v="3.030128205128205" u="1"/>
        <n v="2.3810052763121354" u="1"/>
        <n v="2.1585244267198407" u="1"/>
        <n v="2.2833333333333332" u="1"/>
        <n v="1.5752212389380531" u="1"/>
        <n v="2.272490221642764" u="1"/>
        <n v="3.7118644067796609" u="1"/>
        <n v="2.5864406779661016" u="1"/>
        <n v="2.7021276595744679" u="1"/>
        <n v="1.0211267605633803" u="1"/>
        <n v="1.0987897551365045" u="1"/>
        <n v="1.84" u="1"/>
        <n v="2.4282162834058423" u="1"/>
        <n v="1.1876288659793814" u="1"/>
        <n v="3.7016949152542371" u="1"/>
        <n v="2.5762711864406778" u="1"/>
        <n v="3.0301681696048601" u="1"/>
        <n v="3.2257318952234209" u="1"/>
        <n v="3.7058823529411766" u="1"/>
        <n v="1.0988098533075006" u="1"/>
        <n v="3.0317124735729388" u="1"/>
        <n v="1.8166666666666667" u="1"/>
        <n v="3.2234636871508382" u="1"/>
        <n v="2.4805694183097438" u="1"/>
        <n v="2.9412429378531075" u="1"/>
        <n v="3.030392156862745" u="1"/>
        <n v="1.7203389830508475" u="1"/>
        <n v="2.5023041474654377" u="1"/>
        <n v="3.0239655172413795" u="1"/>
        <n v="2.9410823780325246" u="1"/>
        <n v="3.0302426771768891" u="1"/>
        <n v="1.8184019370460049" u="1"/>
        <n v="2.4656408463018011" u="1"/>
        <n v="2.6882494004796165" u="1"/>
        <n v="2.1494542401343408" u="1"/>
        <n v="1.7239939255884587" u="1"/>
        <n v="1.152542372881356" u="1"/>
        <n v="3.1250984764270529" u="1"/>
        <n v="2.1087570621468927" u="1"/>
        <n v="3.0298786181139121" u="1"/>
        <n v="3.3335198656966982" u="1"/>
        <n v="3.0177514792899407" u="1"/>
        <n v="2.9414117339978163" u="1"/>
        <n v="2.2804314329738058" u="1"/>
        <n v="2.3862375138734739" u="1"/>
        <n v="3.3446327683615817" u="1"/>
        <n v="1.4710601719197707" u="1"/>
        <n v="3.0305023923444976" u="1"/>
        <n v="1.7466666666666666" u="1"/>
        <n v="2.6010568031704095" u="1"/>
        <n v="1.5247349823321554" u="1"/>
        <n v="1.7547806524184477" u="1"/>
        <n v="2.6324324324324326" u="1"/>
        <n v="2.7768361581920904" u="1"/>
        <n v="1.9685230024213074" u="1"/>
        <n v="2.1957047791893527" u="1"/>
        <n v="4.1694915254237293" u="1"/>
        <n v="2.4280919617385468" u="1"/>
        <n v="2.985201204257304" u="1"/>
        <n v="3.0301611620133322" u="1"/>
        <n v="3.1256544502617802" u="1"/>
        <n v="2.5002307337332716" u="1"/>
        <n v="2.3303030303030301" u="1"/>
        <n v="3.3334023907684021" u="1"/>
        <n v="2.9491525423728815" u="1"/>
        <n v="3.03012987012987" u="1"/>
        <n v="2.2167832167832167" u="1"/>
        <n v="2.2905766080016914" u="1"/>
        <n v="3.4407407407407407" u="1"/>
        <n v="2.3813559322033897" u="1"/>
        <n v="1.752808988764045" u="1"/>
        <n v="3.0293312475557292" u="1"/>
        <n v="3.0304334137894848" u="1"/>
        <n v="1.8552910052910052" u="1"/>
        <n v="1.0201465201465201" u="1"/>
        <n v="2.1088314005352364" u="1"/>
        <n v="1.8478260869565217" u="1"/>
        <n v="2.1166666666666667" u="1"/>
        <n v="2.5979166666666669" u="1"/>
        <n v="2.941254783145522" u="1"/>
        <n v="2.9415837793364124" u="1"/>
        <n v="3.0297433111503462" u="1"/>
        <n v="3.0298026580749093" u="1"/>
        <n v="2.9413084112149535" u="1"/>
        <n v="3.0304777594728169" u="1"/>
        <n v="8.3348370927318296" u="1"/>
        <n v="3.5742397137745976" u="1"/>
        <n v="2.5640923810510112" u="1"/>
        <n v="2.2208333333333332" u="1"/>
        <n v="1.3389830508474576" u="1"/>
        <n v="2.937956204379562" u="1"/>
        <n v="4.3458333333333332" u="1"/>
        <n v="2.8567796610169491" u="1"/>
        <n v="2.9409722222222223" u="1"/>
        <n v="3.2259259259259259" u="1"/>
        <n v="2.3250000000000002" u="1"/>
        <n v="2.0695073235685753" u="1"/>
        <n v="3.0311341734618238" u="1"/>
        <n v="1.3338983050847457" u="1"/>
        <n v="2.5638888888888891" u="1"/>
        <n v="2.9296482412060301" u="1"/>
        <n v="2.1639610389610389" u="1"/>
        <n v="2.3605911330049261" u="1"/>
        <n v="3.1248164464023493" u="1"/>
        <n v="2.6224489795918369" u="1"/>
        <n v="2.3049390434510784" u="1"/>
        <n v="3.3343328335832085" u="1"/>
        <n v="2.2603542755193069" u="1"/>
        <n v="2.2804698972099855" u="1"/>
        <n v="3.3322033898305086" u="1"/>
        <n v="3.0301914580265095" u="1"/>
        <n v="2.6133521581282775" u="1"/>
        <n v="2.2868728781591852" u="1"/>
        <n v="2.3361344537815127" u="1"/>
        <n v="2.2222599253478115" u="1"/>
        <n v="3.7031963470319633" u="1"/>
        <n v="3.3343750000000001" u="1"/>
        <n v="2.7780468119451172" u="1"/>
        <n v="2.4340193704600486" u="1"/>
        <n v="3.2371439141694411" u="1"/>
        <n v="3.0260942760942759" u="1"/>
        <n v="3.0297314578005117" u="1"/>
        <n v="3.12590799031477" u="1"/>
        <n v="3.3334107267239377" u="1"/>
        <n v="2.2608286252354048" u="1"/>
        <n v="2.6367548411593469" u="1"/>
        <n v="3.0302487918381957" u="1"/>
        <n v="2.8574108818011257" u="1"/>
        <n v="3.3322368421052633" u="1"/>
        <n v="2.5619681834998147" u="1"/>
        <n v="2.7542372881355934" u="1"/>
        <n v="1.9698681732580037" u="1"/>
        <n v="1.9572235673930589" u="1"/>
        <n v="3.0275862068965518" u="1"/>
        <n v="2.1864406779661016" u="1"/>
        <n v="2.1222222222222222" u="1"/>
        <n v="3.03017726027604" u="1"/>
        <n v="3.0302696752889378" u="1"/>
        <n v="1.7241624628120553" u="1"/>
        <n v="3.7033771943636133" u="1"/>
        <n v="2.4391371340523884" u="1"/>
        <n v="2.49438202247191" u="1"/>
        <n v="3.0363636363636362" u="1"/>
        <n v="3.0297984224364591" u="1"/>
        <n v="5.5566666666666666" u="1"/>
        <n v="3.3303571428571428" u="1"/>
        <n v="3.3502824858757063" u="1"/>
        <n v="2.6" u="1"/>
        <n v="1.2047610833189581" u="1"/>
        <n v="2.3531834019638898" u="1"/>
        <n v="2.564235025422116" u="1"/>
        <n v="2.7149082568807339" u="1"/>
        <n v="3.3333406879604754" u="1"/>
        <n v="1.6976666666666667" u="1"/>
        <n v="3.0299289188178076" u="1"/>
        <n v="2.7041666666666666" u="1"/>
        <n v="2.3713562658168525" u="1"/>
        <n v="2.5898305084745763" u="1"/>
        <n v="2.4186778593913956" u="1"/>
        <n v="2.7799442896935935" u="1"/>
        <n v="2.9432855280312906" u="1"/>
        <n v="2.231407817364234" u="1"/>
        <n v="1.6667868734222864" u="1"/>
        <n v="3.0306698950766746" u="1"/>
        <n v="3.7050847457627119" u="1"/>
        <n v="8.3350493868363316" u="1"/>
        <n v="1.7792698279479648" u="1"/>
        <n v="2.3870056497175143" u="1"/>
        <n v="3.4482109227871938" u="1"/>
        <n v="1.9859649122807017" u="1"/>
        <n v="2.905128205128205" u="1"/>
        <n v="2.9410467833678733" u="1"/>
        <n v="3.0308641975308643" u="1"/>
        <n v="2.8804143126177024" u="1"/>
        <n v="2.5334745762711863" u="1"/>
        <n v="3.0315789473684212" u="1"/>
        <n v="2.5008576329331045" u="1"/>
        <n v="2.3080240258740181" u="1"/>
        <n v="3.0267835145883923" u="1"/>
        <n v="3.7333333333333334" u="1"/>
        <n v="2.9830508474576272" u="1"/>
        <n v="2.2213883677298312" u="1"/>
        <n v="3.0302154492905937" u="1"/>
        <n v="2.4872881355932202" u="1"/>
        <n v="2.5001803101334295" u="1"/>
        <n v="3.0336391437308867" u="1"/>
        <n v="3.0300578034682082" u="1"/>
        <n v="2.7801418439716312" u="1"/>
        <n v="2.7027027027027026" u="1"/>
        <n v="2.7025785586430766" u="1"/>
        <n v="2.7027027027027031" u="1"/>
        <n v="2.8594594594594596" u="1"/>
        <n v="2.2793296089385473" u="1"/>
        <n v="1.7541666666666667" u="1"/>
        <n v="2.5001645278051989" u="1"/>
        <n v="2.2225988700564971" u="1"/>
        <n v="3.3338509316770186" u="1"/>
        <n v="2.2247706422018347" u="1"/>
        <n v="3.069640418752845" u="1"/>
        <n v="2.9403794037940378" u="1"/>
        <n v="1.6945606694560669" u="1"/>
        <n v="3.1249359959037379" u="1"/>
        <n v="3.1553672316384183" u="1"/>
        <n v="1.6398305084745763" u="1"/>
        <n v="2.4977560975609756" u="1"/>
        <n v="2.1715227422544494" u="1"/>
        <n v="1.3559322033898304" u="1"/>
        <n v="3.3334204337601254" u="1"/>
        <n v="2.3140495867768593" u="1"/>
        <n v="3.33579972869651" u="1"/>
        <n v="2.7022141888838678" u="1"/>
        <n v="2.9412820973244749" u="1"/>
        <n v="3.0331125827814569" u="1"/>
        <n v="3.2690773067331671" u="1"/>
        <n v="1.7544313624013457" u="1"/>
        <n v="2.5002066969822239" u="1"/>
        <n v="4.3470218275989643" u="1"/>
        <n v="3.3328671328671327" u="1"/>
        <n v="2.5645250558745372" u="1"/>
        <n v="2.3283507722969605" u="1"/>
        <n v="2.9473167137418641" u="1"/>
        <n v="2.1560734463276838" u="1"/>
        <n v="2.0409706221198158" u="1"/>
        <n v="3.0303958014432539" u="1"/>
        <n v="2.8775287042099507" u="1"/>
        <n v="3.0301291248206601" u="1"/>
        <n v="3.0323101777059773" u="1"/>
        <n v="3.3350582147477361" u="1"/>
        <n v="3.0302574138190579" u="1"/>
        <n v="2.6445916114790289" u="1"/>
        <n v="1.8630293780999618" u="1"/>
        <n v="2.34" u="1"/>
        <n v="2.7458333333333331" u="1"/>
        <n v="3.0305039787798407" u="1"/>
        <n v="3.2257462686567164" u="1"/>
        <n v="3.3337004405286343" u="1"/>
        <n v="2.7776072015741464" u="1"/>
        <n v="3.3307086614173227" u="1"/>
        <n v="4.3445378151260501" u="1"/>
        <n v="2.2923728813559321" u="1"/>
        <n v="3.3330404217926186" u="1"/>
        <n v="3.3359999999999999" u="1"/>
        <n v="3.3457627118644067" u="1"/>
        <n v="2.1843220338983049" u="1"/>
        <n v="2.8735571878279118" u="1"/>
        <n v="2.7779661016949153" u="1"/>
        <n v="3.1244343891402715" u="1"/>
        <n v="3.030015007503752" u="1"/>
        <n v="2.2238095238095239" u="1"/>
        <n v="3.3277777777777779" u="1"/>
        <n v="3.4484451718494271" u="1"/>
        <n v="2.222049084534476" u="1"/>
        <n v="8.3329732348627701" u="1"/>
        <n v="1.4707985697258641" u="1"/>
        <n v="3.5715686274509806" u="1"/>
        <n v="2.3809160305343511" u="1"/>
        <n v="1.333116036505867" u="1"/>
        <n v="1.9182539682539683" u="1"/>
        <n v="3.5713492504164353" u="1"/>
        <n v="2.4388888888888891" u="1"/>
        <n v="3.2260582251476442" u="1"/>
        <n v="3.0312236286919831" u="1"/>
        <n v="1.3333125642543382" u="1"/>
        <n v="2.1234876929495203" u="1"/>
        <n v="3.3344103392568658" u="1"/>
        <n v="3.4476987447698746" u="1"/>
        <n v="2.7778738115816766" u="1"/>
        <n v="3.1249582358837289" u="1"/>
        <n v="2.7785714285714285" u="1"/>
        <n v="3.3332525014283845" u="1"/>
        <n v="3.7288135593220337" u="1"/>
        <n v="2.441340782122905" u="1"/>
        <n v="3.2248803827751198" u="1"/>
        <n v="4.1674641148325362" u="1"/>
        <n v="4.999784913437435" u="1"/>
        <n v="2.5002594706798131" u="1"/>
        <n v="3.1249999999999996" u="1"/>
        <n v="3.125" u="1"/>
        <n v="2.7776190476190474" u="1"/>
        <n v="3.0326633165829144" u="1"/>
        <n v="3.0298976657079795" u="1"/>
        <n v="3.0303209735832453" u="1"/>
        <n v="4.166602212315051" u="1"/>
        <n v="3.3335584064821067" u="1"/>
        <n v="2.593220338983051" u="1"/>
        <n v="1.923744292237443" u="1"/>
        <n v="2.2230971128608923" u="1"/>
        <n v="2.2222689075630253" u="1"/>
        <n v="3.5595633602278123" u="1"/>
        <n v="2.1739130434782608" u="1"/>
        <n v="1.6667675544794189" u="1"/>
        <n v="3.1249332107974097" u="1"/>
        <n v="2.7784090909090908" u="1"/>
        <n v="3.5715744333265262" u="1"/>
        <n v="3.3333333333333326" u="1"/>
        <n v="3.333333333333333" u="1"/>
        <n v="3.3333333333333335" u="1"/>
        <n v="3.3333333333333339" u="1"/>
        <n v="2.7766666666666668" u="1"/>
        <n v="3.3349056603773586" u="1"/>
        <n v="3.5722222222222224" u="1"/>
        <n v="2.2223350253807106" u="1"/>
        <n v="2.857312252964427" u="1"/>
        <n v="1.3702737940026075" u="1"/>
        <n v="1.8551617873651771" u="1"/>
        <n v="2.4750000000000001" u="1"/>
        <n v="1.0204966495861254" u="1"/>
        <n v="2.2718446601941746" u="1"/>
        <n v="3.1247067379879883" u="1"/>
        <n v="4.3443983402489623" u="1"/>
        <n v="2.4999598361314161" u="1"/>
        <n v="2.6266233766233764" u="1"/>
        <n v="2.2725782512026038" u="1"/>
        <n v="2.3270440251572326" u="1"/>
        <n v="2.6833333333333331" u="1"/>
        <n v="8.3333648037442245" u="1"/>
        <n v="3.3322724379376192" u="1"/>
        <n v="2.9418436928690923" u="1"/>
        <n v="2.3816666666666668" u="1"/>
        <n v="3.1249035047089699" u="1"/>
        <n v="4.1620421753607104" u="1"/>
        <n v="2.0408163265306123" u="1"/>
        <n v="2.9412966096749722" u="1"/>
        <n v="2.1491334139459894" u="1"/>
        <n v="2.6982456140350877" u="1"/>
        <n v="3.2383612662942274" u="1"/>
        <n v="2.5644988092832319" u="1"/>
        <n v="1.9645833333333333" u="1"/>
        <n v="2.6317411402157167" u="1"/>
        <n v="3.0297619047619047" u="1"/>
        <n v="2.5627240143369177" u="1"/>
        <n v="1.7544545849630595" u="1"/>
        <n v="4.3479166666666664" u="1"/>
        <n v="2.0333333333333332" u="1"/>
        <n v="3.1339285714285716" u="1"/>
        <n v="2.71939736346516" u="1"/>
        <n v="1.6928424025198219" u="1"/>
        <n v="1.3334647221127316" u="1"/>
        <n v="1.4702072538860103" u="1"/>
        <n v="1.0100115517905275" u="1"/>
        <n v="2.9661016949152543" u="1"/>
        <n v="3.0302785627775535" u="1"/>
        <n v="2.2722222222222221" u="1"/>
        <n v="3.352112676056338" u="1"/>
        <n v="3.0307377049180326" u="1"/>
        <n v="2.8580508474576272" u="1"/>
        <n v="3.332824427480916" u="1"/>
        <n v="2.6312138728323697" u="1"/>
        <n v="2.7018385291766585" u="1"/>
        <n v="2.4957264957264957" u="1"/>
        <n v="2.9411336054412858" u="1"/>
        <n v="2.3262711864406778" u="1"/>
        <n v="3.2254584681769147" u="1"/>
        <n v="3.3331574967909834" u="1"/>
        <n v="3.0315024232633281" u="1"/>
        <n v="3.0240041337842913" u="1"/>
        <n v="2.4805555555555556" u="1"/>
        <n v="3.0321931589537225" u="1"/>
        <n v="1.6916666666666667" u="1"/>
        <n v="3.0305654610290373" u="1"/>
        <n v="1.0202863961813842" u="1"/>
        <n v="2.4503631961259078" u="1"/>
        <n v="4.4008394543546698" u="1"/>
        <n v="3.0305275637225848" u="1"/>
        <n v="3.0301746956061408" u="1"/>
        <n v="3.0292887029288704" u="1"/>
        <n v="2.7776422764227644" u="1"/>
        <n v="2.9943502824858759" u="1"/>
        <n v="3.6061814556331009" u="1"/>
        <n v="2.3584617732336333" u="1"/>
        <n v="2.6245847176079735" u="1"/>
        <n v="2.8565840938722293" u="1"/>
        <n v="2.7854838709677421" u="1"/>
        <n v="2.3253968253968256" u="1"/>
        <n v="2.3256283945939118" u="1"/>
        <n v="3.0277264325323476" u="1"/>
        <n v="3.0305164319248825" u="1"/>
        <n v="2.283256399496433" u="1"/>
        <n v="2.5642857142857145" u="1"/>
        <n v="1.3666666666666667" u="1"/>
        <n v="1.815706038501528" u="1"/>
        <n v="3.1666666666666665" u="1"/>
        <n v="2.5988700564971752" u="1"/>
        <n v="1.7037037037037037" u="1"/>
        <n v="2.2237288135593221" u="1"/>
        <n v="3.0323450134770886" u="1"/>
        <n v="1.4695035460992907" u="1"/>
        <n v="2.5633333333333335" u="1"/>
        <n v="2.4996015936254978" u="1"/>
        <n v="2.3057138456799628" u="1"/>
        <n v="3.0303656743844174" u="1"/>
        <n v="3.3389830508474576" u="1"/>
        <n v="2.5734086242299794" u="1"/>
        <n v="2.5639216713866744" u="1"/>
        <n v="2.3468992248062017" u="1"/>
        <n v="3.7023411371237458" u="1"/>
        <n v="1.8549905838041432" u="1"/>
        <n v="2.4390057778262291" u="1"/>
        <n v="3.0301735893198045" u="1"/>
        <n v="2.5005701254275943" u="1"/>
        <n v="2.9382135661517799" u="1"/>
        <n v="3.3424657534246576" u="1"/>
        <n v="1.0526315789473684" u="1"/>
        <n v="2.5001522070015221" u="1"/>
        <n v="2.7066346922462032" u="1"/>
        <n v="3.0297482837528604" u="1"/>
        <n v="2.6631355932203391" u="1"/>
        <n v="3.0303638846493692" u="1"/>
        <n v="3.0339256865912763" u="1"/>
        <n v="2.6271186440677967" u="1"/>
        <n v="3.8459016393442624" u="1"/>
        <n v="2.4386484153409791" u="1"/>
        <n v="3.1278911564625851" u="1"/>
        <n v="3.0299885856594373" u="1"/>
        <n v="3.0301863271809699" u="1"/>
        <n v="1.9333333333333333" u="1"/>
        <n v="2.0069930069930071" u="1"/>
        <n v="2.5001452221899507" u="1"/>
        <n v="1.7457627118644068" u="1"/>
        <n v="3.0304321363359707" u="1"/>
        <n v="1.0107858243451464" u="1"/>
        <n v="2.2223270440251572" u="1"/>
        <n v="2.9411195089450657" u="1"/>
        <n v="1.8438256658595642" u="1"/>
        <n v="2.5638808405959947" u="1"/>
        <n v="3.0302846759539674" u="1"/>
        <n v="3.0305271163562244" u="1"/>
        <n v="3.0302434311697803" u="1"/>
        <n v="2.1510600706713783" u="1"/>
        <n v="3.3334388853704877" u="1"/>
        <n v="2.1276178798287826" u="1"/>
        <n v="3.0161290322580645" u="1"/>
        <n v="2.7024539877300615" u="1"/>
        <n v="2.9412128712871288" u="1"/>
        <n v="2.601123595505618" u="1"/>
        <n v="3.0296458105788733" u="1"/>
        <n v="1.4888888888888889" u="1"/>
        <n v="2.183098591549296" u="1"/>
        <n v="2.191696113074205" u="1"/>
        <n v="1.470790378006873" u="1"/>
        <n v="3.0476190476190474" u="1"/>
        <n v="3.0303620928620925" u="1"/>
        <n v="4.1670702179176757" u="1"/>
        <n v="3.0315161839863713" u="1"/>
        <n v="2.4279609279609278" u="1"/>
        <n v="8.3333333333333321" u="1"/>
        <n v="2.5003915426781518" u="1"/>
        <n v="8.3333333333333339" u="1"/>
        <n v="1.3445378151260505" u="1"/>
        <n v="3.3333163456201214" u="1"/>
        <n v="1.2641242937853108" u="1"/>
        <n v="2.7772727272727273" u="1"/>
        <n v="3.0303418803418802" u="1"/>
        <n v="3.0238095238095237" u="1"/>
        <n v="1.9180790960451977" u="1"/>
        <n v="2.6314363143631438" u="1"/>
        <n v="3.03003003003003" u="1"/>
        <n v="1.052619215409913" u="1"/>
        <n v="1.7124999999999999" u="1"/>
        <n v="2.325925925925926" u="1"/>
        <n v="2.1587301587301586" u="1"/>
        <n v="2.6381215469613259" u="1"/>
        <n v="3.030308664931201" u="1"/>
        <n v="3.5677966101694913" u="1"/>
        <n v="3.3333467269917039" u="1"/>
        <n v="2.3811188811188813" u="1"/>
        <n v="3.1931854537698623" u="1"/>
        <n v="3" u="1"/>
        <n v="3.3395348837209302" u="1"/>
        <n v="2.8735310576385005" u="1"/>
        <n v="2.5636363636363635" u="1"/>
        <n v="2.3094313770267183" u="1"/>
        <n v="3.3336306868867083" u="1"/>
        <n v="2.2293577981651378" u="1"/>
        <n v="2.8590163934426229" u="1"/>
        <n v="2.4390757566640593" u="1"/>
        <n v="3.0290418054014059" u="1"/>
        <n v="2.9986194201564658" u="1"/>
        <n v="2.1171032357473036" u="1"/>
        <n v="3.4484050190398898" u="1"/>
        <n v="1.9339390962671905" u="1"/>
        <n v="2.5008333333333335" u="1"/>
        <n v="8.3334679854192739" u="1"/>
        <n v="2.1270586266175235" u="1"/>
        <n v="2.5462962962962963" u="1"/>
        <n v="3.4472222222222224" u="1"/>
        <n v="1.8198340011448197" u="1"/>
        <n v="2.35" u="1"/>
        <n v="3.8465608465608465" u="1"/>
        <n v="3.0290697674418605" u="1"/>
        <n v="2.8212137780207764" u="1"/>
        <n v="2.86" u="1"/>
        <n v="2.4977317833853134" u="1"/>
        <n v="2.4388609715242882" u="1"/>
        <n v="3.1251231527093597" u="1"/>
        <n v="2.4993514915693904" u="1"/>
        <n v="3.0323624595469254" u="1"/>
        <n v="2.1137756941940138" u="1"/>
        <n v="2.8744525547445257" u="1"/>
        <n v="3.3266129032258065" u="1"/>
        <n v="2.1741935483870969" u="1"/>
        <n v="3.1834496510468595" u="1"/>
        <n v="3.570673712021136" u="1"/>
        <n v="3.0302844906699296" u="1"/>
        <n v="3.606317411402157" u="1"/>
        <n v="3.0303194416943153" u="1"/>
        <n v="3.0313370473537606" u="1"/>
        <n v="2.8254237288135595" u="1"/>
        <n v="3.030530765617661" u="1"/>
        <n v="3.0303320125700233" u="1"/>
        <n v="1.7563025210084033" u="1"/>
        <n v="1.7540716612377849" u="1"/>
        <n v="3.0327380952380953" u="1"/>
        <n v="4.1680672268907566" u="1"/>
        <n v="2.6327683615819208" u="1"/>
        <n v="3.0268256333830106" u="1"/>
        <n v="3.3326359832635983" u="1"/>
        <n v="3.0309477756286265" u="1"/>
        <n v="2.124113475177305" u="1"/>
        <n v="3.1247021445591741" u="1"/>
        <n v="1.7675199328577424" u="1"/>
        <n v="2.5703703703703704" u="1"/>
        <n v="3.0303130148270183" u="1"/>
        <n v="2.1245306633291614" u="1"/>
        <n v="2.7029702970297032" u="1"/>
        <n v="3.1246511627906979" u="1"/>
        <n v="4.3463687150837993" u="1"/>
        <n v="1.3332167872300782" u="1"/>
        <n v="2.5785528031290745" u="1"/>
        <n v="2.8092592592592593" u="1"/>
        <n v="2.4998843395789963" u="1"/>
        <n v="3.3335227351469712" u="1"/>
        <n v="2.9409648903802936" u="1"/>
        <n v="3.0304471931493815" u="1"/>
        <n v="2.0411622276029058" u="1"/>
        <n v="2.2733050847457625" u="1"/>
        <n v="3.0306513409961684" u="1"/>
        <n v="3.0335195530726256" u="1"/>
        <n v="3.3325" u="1"/>
        <n v="1.8549382716049383" u="1"/>
        <n v="3.0303324278877248" u="1"/>
        <n v="2.3099489795918369" u="1"/>
        <n v="3.3308823529411766" u="1"/>
        <n v="3.1253026634382568" u="1"/>
        <n v="2.6315456321659614" u="1"/>
        <n v="2.7024595080983804" u="1"/>
        <n v="2.941332203748809" u="1"/>
        <n v="2.6291079812206575" u="1"/>
        <n v="2.9413841807909606" u="1"/>
        <n v="1.3525594808940158" u="1"/>
        <n v="3.1259188363706185" u="1"/>
        <n v="2.7061965811965814" u="1"/>
        <n v="3.0296296296296297" u="1"/>
        <n v="3.0302457466918713" u="1"/>
        <n v="3.0296296296296301" u="1"/>
        <n v="1.0989122185681761" u="1"/>
        <n v="2.7776675674523927" u="1"/>
        <n v="3.7037037037037028" u="1"/>
        <n v="1.6526860097673082" u="1"/>
        <n v="1.7116490166414524" u="1"/>
        <n v="3.7037037037037033" u="1"/>
        <n v="3.7035516570309786" u="1"/>
        <n v="3.7037037037037037" u="1"/>
        <n v="2.5641025641025639" u="1"/>
        <n v="3.3288770053475938" u="1"/>
        <n v="1.5630780614132445" u="1"/>
        <n v="2.5001045806316671" u="1"/>
        <n v="2.5641025641025643" u="1"/>
        <n v="1.8527777777777779" u="1"/>
        <n v="3.0305966343702191" u="1"/>
        <n v="2.9411395424754536" u="1"/>
        <n v="2.7779376498800961" u="1"/>
        <n v="4.3468992248062017" u="1"/>
        <n v="3.0056497175141241" u="1"/>
        <n v="2.630508474576271" u="1"/>
        <n v="3.4481769766489143" u="1"/>
        <n v="2.6185185185185187" u="1"/>
        <n v="3.029103608847497" u="1"/>
        <n v="2.284126984126984" u="1"/>
        <n v="2.1275061796209833" u="1"/>
        <n v="2.1281669150521609" u="1"/>
        <n v="2.4997198879551821" u="1"/>
        <n v="2.6203389830508477" u="1"/>
        <n v="2.7973407364114551" u="1"/>
        <n v="3.333431257344301" u="1"/>
        <n v="2.7920174958993984" u="1"/>
        <n v="1.4437596302003082" u="1"/>
        <n v="4.16800772449308" u="1"/>
        <n v="3.1253968253968254" u="1"/>
        <n v="2.1115640420510622" u="1"/>
        <n v="3.0302966622606182" u="1"/>
        <n v="3.0313253012048191" u="1"/>
        <n v="1.4702290076335878" u="1"/>
        <n v="2.1744312026002168" u="1"/>
        <n v="2.4998654104979812" u="1"/>
        <n v="2.1239653388515261" u="1"/>
        <n v="1.3333074111517225" u="1"/>
        <n v="1.8516129032258064" u="1"/>
        <n v="2.5023364485981308" u="1"/>
        <n v="3.3390557939914163" u="1"/>
        <n v="4.166621401412276" u="1"/>
        <n v="2.6153846153846154" u="1"/>
        <n v="2.7322179745413187" u="1"/>
        <n v="3.0301035886068188" u="1"/>
        <n v="3.0301766705669699" u="1"/>
        <n v="3.0305015815634886" u="1"/>
        <n v="1.3334185630273587" u="1"/>
        <n v="2.5014005602240896" u="1"/>
        <n v="3.0302847974328118" u="1"/>
        <n v="2.7027444867360764" u="1"/>
        <n v="2.2626459143968871" u="1"/>
        <n v="2.4904076738609113" u="1"/>
        <n v="1.8636363636363635" u="1"/>
        <n v="3.2257628949500403" u="1"/>
        <n v="4.3499999999999996" u="1"/>
        <n v="3.0303142329020334" u="1"/>
        <n v="2.638418079096045" u="1"/>
        <n v="2.1724137931034484" u="1"/>
        <n v="3.031304347826087" u="1"/>
        <n v="1.6949436134256934" u="1"/>
        <n v="3.5711864406779661" u="1"/>
        <n v="2.5006518904823989" u="1"/>
        <n v="3.1248854279728828" u="1"/>
        <n v="2.6316026569422641" u="1"/>
        <n v="2.6009065825778479" u="1"/>
        <n v="3.0311111111111111" u="1"/>
        <n v="1.6966666666666668" u="1"/>
        <n v="2.6313432835820896" u="1"/>
        <n v="1.4713603818615753" u="1"/>
        <n v="2.1888888888888891" u="1"/>
        <n v="2.9226190476190474" u="1"/>
        <n v="2.5022421524663678" u="1"/>
        <n v="2.3807040417209908" u="1"/>
        <n v="2.8981838610328388" u="1"/>
        <n v="3.0267857142857144" u="1"/>
        <n v="2.7782051282051281" u="1"/>
        <n v="3.3332743298681442" u="1"/>
        <n v="3.0301587301587301" u="1"/>
        <n v="2.7776785714285714" u="1"/>
        <n v="3.3547215496368037" u="1"/>
        <n v="3.3328929986789961" u="1"/>
        <n v="8.3334371933092264" u="1"/>
        <n v="2.9216666666666669" u="1"/>
        <n v="2.2620155038759688" u="1"/>
        <n v="3.3275000000000001" u="1"/>
        <n v="2.2231503579952268" u="1"/>
        <n v="2.0503355704697985" u="1"/>
        <n v="2.3815530153724871" u="1"/>
        <n v="2.6361111111111111" u="1"/>
        <n v="3.3562012375571699" u="1"/>
        <n v="3.3335837277044682" u="1"/>
        <n v="2.7026993532178176" u="1"/>
        <n v="1.638095238095238" u="1"/>
        <n v="2.5733333333333333" u="1"/>
        <n v="2.123825953613188" u="1"/>
        <n v="2.2711864406779663" u="1"/>
        <n v="2.6315051155599058" u="1"/>
        <n v="2.1091422701592193" u="1"/>
        <n v="1.8516949152542372" u="1"/>
        <n v="3.1277310924369748" u="1"/>
        <n v="1.6950354609929077" u="1"/>
        <n v="1.4444444444444444" u="1"/>
        <n v="1.667143879742305" u="1"/>
        <n v="1.9687339825730394" u="1"/>
        <n v="2.2912188901328512" u="1"/>
        <n v="2.2250000000000001" u="1"/>
        <n v="1.9660092320604281" u="1"/>
        <n v="2.9412111389420952" u="1"/>
        <n v="1.665859564164649" u="1"/>
        <n v="3.5047080979284368" u="1"/>
        <n v="2.48" u="1"/>
        <n v="1.2838983050847457" u="1"/>
        <n v="2.489795918367347" u="1"/>
        <n v="2.2617354196301567" u="1"/>
        <n v="2.3996840442338074" u="1"/>
        <n v="3.0310421286031044" u="1"/>
        <n v="1.9378531073446328" u="1"/>
        <n v="2.2220430107526883" u="1"/>
        <n v="1.5627118644067797" u="1"/>
        <n v="1" u="1"/>
        <n v="1.9686482782251156" u="1"/>
        <n v="2.4333333333333331" u="1"/>
        <n v="3.3291536050156738" u="1"/>
        <n v="2.5014084507042256" u="1"/>
        <n v="3.0357142857142856" u="1"/>
        <n v="1.4698436336559941" u="1"/>
        <n v="4.1666986392469809" u="1"/>
        <n v="2.615819209039548" u="1"/>
        <n v="1.3333729286690028" u="1"/>
        <n v="2.174757281553398" u="1"/>
        <n v="2.7062719127386052" u="1"/>
        <n v="1.562121212121212" u="1"/>
        <n v="2.3811074918566777" u="1"/>
        <n v="3.5715245130960378" u="1"/>
        <n v="2.9390018484288354" u="1"/>
        <n v="3.3379310344827586" u="1"/>
        <n v="3.0301321679207187" u="1"/>
        <n v="2.8571197411003237" u="1"/>
        <n v="3.1346153846153846" u="1"/>
        <n v="3.0307053363211254" u="1"/>
        <n v="2.8805555555555555" u="1"/>
        <n v="1.4704724409448819" u="1"/>
        <n v="1.6661087866108786" u="1"/>
        <n v="2.090435606060606" u="1"/>
        <n v="2.9413333333333331" u="1"/>
        <n v="2.6440677966101696" u="1"/>
        <n v="2.7057894736842107" u="1"/>
        <n v="3.0305012859269955" u="1"/>
        <n v="3.0302539168017288" u="1"/>
        <n v="2.1122881355932202" u="1"/>
        <n v="2.2755905511811023" u="1"/>
        <n v="3.333617865695218" u="1"/>
        <n v="2.2615710560625817" u="1"/>
        <n v="2.3842715463053499" u="1"/>
        <n v="1.0526081389522908" u="1"/>
        <n v="3.0309278350515463" u="1"/>
        <n v="1.7542372881355932" u="1"/>
        <n v="1.5666666666666667" u="1"/>
        <n v="2.7027656985863096" u="1"/>
        <n v="3.0302341910701749" u="1"/>
        <n v="3.3313343328335834" u="1"/>
        <n v="3.0299043062200957" u="1"/>
        <n v="3.5666666666666669" u="1"/>
        <n v="1.8523002421307506" u="1"/>
        <n v="2.9522136331693605" u="1"/>
        <n v="2.9412477159911252" u="1"/>
        <n v="1.5627817128139085" u="1"/>
        <n v="2.3244552058111378" u="1"/>
        <n v="2.2394957983193278" u="1"/>
        <n v="2.623728813559322" u="1"/>
        <n v="1.9607887071476586" u="1"/>
        <n v="1.1864406779661016" u="1"/>
        <n v="2.9404761904761907" u="1"/>
        <n v="3.1253333333333333" u="1"/>
        <n v="3.0300353356890461" u="1"/>
        <n v="5.8827751196172251" u="1"/>
        <n v="3.0309148264984227" u="1"/>
        <n v="2.3482280431432976" u="1"/>
        <n v="3.3423423423423424" u="1"/>
        <n v="1.8461538461538463" u="1"/>
        <n v="2.9166666666666665" u="1"/>
        <n v="3.0305661916604163" u="1"/>
        <n v="3.0300335901995652" u="1"/>
        <n v="2.8446327683615817" u="1"/>
        <n v="2.702842377260982" u="1"/>
        <n v="2.8571805006587616" u="1"/>
        <n v="2.5638852672750976" u="1"/>
        <n v="1.5787037037037037" u="1"/>
        <n v="3.0208333333333335" u="1"/>
        <n v="2.9408413020859139" u="1"/>
        <n v="3.0271186440677966" u="1"/>
        <n v="3.032" u="1"/>
        <n v="2.87" u="1"/>
        <n v="3.1340977068793618" u="1"/>
        <n v="4.4004796163069546" u="1"/>
        <n v="2.4962406015037595" u="1"/>
        <n v="2.7773006134969327" u="1"/>
        <n v="3.0302216252518468" u="1"/>
        <n v="1.2986279257465698" u="1"/>
        <n v="3.4952380952380953" u="1"/>
      </sharedItems>
    </cacheField>
    <cacheField name="Qtty Allocated &lt; Qtty Processed?" numFmtId="3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6">
  <r>
    <m/>
    <s v="CERRADO"/>
    <s v="L20:Loja Araguari"/>
    <s v="ARAGUARI"/>
    <s v="2018/2019"/>
    <d v="2018-06-07T00:00:00"/>
    <x v="0"/>
    <s v="1509 F1"/>
    <n v="8414"/>
    <s v="kg"/>
    <s v="ARÁBICA"/>
    <s v="Green"/>
    <n v="55.000000000000007"/>
    <m/>
    <m/>
    <s v="26/06/2018"/>
    <n v="457.81560000000002"/>
    <n v="65168.617639999997"/>
    <s v="BRL"/>
    <n v="3.7715000000000001"/>
    <n v="6156.279794"/>
    <n v="0"/>
    <s v="BRL"/>
    <n v="3.7715000000000001"/>
    <n v="8414"/>
    <n v="0"/>
    <n v="1632.316"/>
    <n v="0"/>
    <n v="8.7996919780000002"/>
    <n v="0"/>
    <e v="#N/A"/>
    <e v="#N/A"/>
    <n v="5506.076177302718"/>
    <n v="93.151023191467587"/>
    <n v="101.9507151694676"/>
    <n v="101.9507151694676"/>
    <n v="64201.007640000003"/>
    <n v="967.60999999999331"/>
    <n v="11.639999999999999"/>
    <n v="2.8403080219999985"/>
    <n v="0"/>
    <n v="0"/>
    <n v="1"/>
  </r>
  <r>
    <m/>
    <s v="CERRADO"/>
    <s v="L20:Loja Araguari"/>
    <s v="ARAGUARI"/>
    <s v="2018/2019"/>
    <d v="2018-06-07T00:00:00"/>
    <x v="1"/>
    <s v="1509 F1"/>
    <n v="721"/>
    <s v="kg"/>
    <s v="ARÁBICA"/>
    <s v="Green"/>
    <n v="55.000000000000007"/>
    <m/>
    <m/>
    <s v="26/06/2018"/>
    <n v="454.81939999999992"/>
    <n v="5575.2983299999996"/>
    <s v="BRL"/>
    <n v="3.7715000000000001"/>
    <n v="527.53479100000004"/>
    <n v="0"/>
    <s v="BRL"/>
    <n v="3.7715000000000001"/>
    <n v="721"/>
    <n v="0"/>
    <n v="139.874"/>
    <n v="0"/>
    <n v="8.799691978000002"/>
    <n v="0"/>
    <e v="#N/A"/>
    <e v="#N/A"/>
    <n v="5470.0413513980629"/>
    <n v="93.000326853244076"/>
    <n v="101.80001883124407"/>
    <n v="101.80001883124407"/>
    <n v="5465.4131233333319"/>
    <n v="109.88520666666773"/>
    <n v="11.64"/>
    <n v="2.8403080219999985"/>
    <n v="0"/>
    <n v="0"/>
    <n v="1"/>
  </r>
  <r>
    <m/>
    <s v="CERRADO"/>
    <s v="L20:Loja Araguari"/>
    <s v="ARAGUARI"/>
    <s v="2018/2019"/>
    <d v="2018-06-07T00:00:00"/>
    <x v="2"/>
    <s v="1326 F1"/>
    <n v="6974"/>
    <s v="kg"/>
    <s v="ARÁBICA"/>
    <s v="Green"/>
    <n v="55.000000000000007"/>
    <m/>
    <m/>
    <d v="2018-04-07T00:00:00"/>
    <n v="503.16157999999996"/>
    <n v="58503.281979999992"/>
    <s v="BRL"/>
    <n v="3.9051999999999998"/>
    <n v="5283.5637711999998"/>
    <n v="0"/>
    <s v="BRL"/>
    <n v="3.9051999999999998"/>
    <n v="6974"/>
    <n v="0"/>
    <n v="1352.9560000000001"/>
    <n v="0"/>
    <n v="8.7996919780000002"/>
    <n v="0"/>
    <n v="3.3696999999999999"/>
    <n v="116.8"/>
    <n v="5844.2654298152365"/>
    <n v="97.436291756757655"/>
    <n v="106.23598373475767"/>
    <n v="106.23598373475767"/>
    <n v="58484.147648666658"/>
    <n v="19.134331333334558"/>
    <n v="11.64"/>
    <n v="2.8403080220000003"/>
    <n v="0"/>
    <n v="0"/>
    <n v="1"/>
  </r>
  <r>
    <m/>
    <s v="CERRADO"/>
    <s v="L20:Loja Araguari"/>
    <s v="ARAGUARI"/>
    <s v="2018/2019"/>
    <d v="2018-06-12T00:00:00"/>
    <x v="3"/>
    <s v="0939 F1"/>
    <n v="4448"/>
    <s v="kg"/>
    <s v="ARÁBICA"/>
    <s v="Green"/>
    <n v="50"/>
    <m/>
    <m/>
    <d v="2018-10-07T00:00:00"/>
    <n v="487.75842924460437"/>
    <n v="36168.998680000004"/>
    <s v="BRL"/>
    <n v="3.8445999999999998"/>
    <n v="3129.0020389333331"/>
    <n v="0"/>
    <s v="BRL"/>
    <n v="3.8445999999999998"/>
    <n v="4448"/>
    <n v="0"/>
    <n v="813.86933333333332"/>
    <n v="0"/>
    <n v="8.2995710381516794"/>
    <n v="0"/>
    <n v="4.1306000000000003"/>
    <n v="109.55"/>
    <n v="5754.6559306179424"/>
    <n v="95.937033657481152"/>
    <n v="104.23660469563285"/>
    <n v="104.23660469563285"/>
    <n v="36159.158221333331"/>
    <n v="9.8404586666729301"/>
    <n v="10.978453237410072"/>
    <n v="2.6788821992583927"/>
    <n v="0"/>
    <n v="0"/>
    <n v="1"/>
  </r>
  <r>
    <m/>
    <s v="CERRADO"/>
    <s v="L20:Loja Araguari"/>
    <s v="ARAGUARI"/>
    <s v="2018/2019"/>
    <d v="2018-06-18T00:00:00"/>
    <x v="4"/>
    <s v="0792 F1"/>
    <n v="1786"/>
    <s v="kg"/>
    <s v="ARÁBICA"/>
    <s v="Green"/>
    <n v="45"/>
    <m/>
    <m/>
    <s v="21/06/2018"/>
    <n v="450.93880000000001"/>
    <n v="13490.40812"/>
    <s v="BRL"/>
    <n v="3.7888000000000002"/>
    <n v="1073.6650922666665"/>
    <n v="0"/>
    <s v="BRL"/>
    <n v="3.7888000000000002"/>
    <n v="1786"/>
    <n v="0"/>
    <n v="283.37866666666662"/>
    <n v="0"/>
    <n v="7.1969989373333325"/>
    <n v="0"/>
    <e v="#N/A"/>
    <e v="#N/A"/>
    <n v="5398.606392972868"/>
    <n v="90.428992805252321"/>
    <n v="97.625991742585654"/>
    <n v="97.625991742585654"/>
    <n v="13422.944946666667"/>
    <n v="67.463173333333543"/>
    <n v="9.5199999999999978"/>
    <n v="2.3230010626666653"/>
    <n v="0"/>
    <n v="0"/>
    <n v="1"/>
  </r>
  <r>
    <m/>
    <s v="CERRADO"/>
    <s v="L20:Loja Araguari"/>
    <s v="ARAGUARI"/>
    <s v="2018/2019"/>
    <d v="2018-06-18T00:00:00"/>
    <x v="5"/>
    <s v="0765 F2"/>
    <n v="1978"/>
    <s v="kg"/>
    <s v="ARÁBICA"/>
    <s v="Green"/>
    <n v="55.000000000000007"/>
    <m/>
    <m/>
    <s v="25/06/2018"/>
    <n v="490.77019999999999"/>
    <n v="16184.332259999999"/>
    <s v="BRL"/>
    <n v="3.7753999999999999"/>
    <n v="1448.7417928"/>
    <n v="0"/>
    <s v="BRL"/>
    <n v="3.7753999999999999"/>
    <n v="1978"/>
    <n v="0"/>
    <n v="383.73200000000003"/>
    <n v="0"/>
    <n v="8.799691978000002"/>
    <n v="0"/>
    <e v="#N/A"/>
    <e v="#N/A"/>
    <n v="5896.3187514799502"/>
    <n v="98.304017641651228"/>
    <n v="107.10370961965123"/>
    <n v="107.10370961965123"/>
    <n v="16179.057593333333"/>
    <n v="5.274666666666235"/>
    <n v="11.64"/>
    <n v="2.8403080219999985"/>
    <n v="0"/>
    <n v="0"/>
    <n v="1"/>
  </r>
  <r>
    <m/>
    <s v="CERRADO"/>
    <s v="L20:Loja Araguari"/>
    <s v="ARAGUARI"/>
    <s v="2018/2019"/>
    <d v="2018-06-18T00:00:00"/>
    <x v="6"/>
    <s v="0792 F1"/>
    <n v="595"/>
    <s v="kg"/>
    <s v="ARÁBICA"/>
    <s v="Green"/>
    <n v="45"/>
    <m/>
    <m/>
    <d v="2018-03-07T00:00:00"/>
    <n v="448.94900000000007"/>
    <n v="4474.4535500000002"/>
    <s v="BRL"/>
    <n v="3.8914"/>
    <n v="367.3741026666666"/>
    <n v="0"/>
    <s v="BRL"/>
    <n v="3.8914"/>
    <n v="595"/>
    <n v="0"/>
    <n v="94.406666666666652"/>
    <n v="0"/>
    <n v="7.1969989373333316"/>
    <n v="0"/>
    <n v="3.2454000000000001"/>
    <n v="118.15"/>
    <n v="5233.0739815780962"/>
    <n v="87.656253423274407"/>
    <n v="94.85325236060774"/>
    <n v="94.85325236060774"/>
    <n v="4452.0775833333337"/>
    <n v="22.3759666666665"/>
    <n v="9.52"/>
    <n v="2.3230010626666679"/>
    <n v="0"/>
    <n v="0"/>
    <n v="1"/>
  </r>
  <r>
    <m/>
    <s v="CERRADO"/>
    <s v="L20:Loja Araguari"/>
    <s v="ARAGUARI"/>
    <s v="2018/2019"/>
    <d v="2018-06-18T00:00:00"/>
    <x v="7"/>
    <s v="0792 F1"/>
    <n v="536"/>
    <s v="kg"/>
    <s v="ARÁBICA"/>
    <s v="Green"/>
    <n v="45"/>
    <m/>
    <m/>
    <s v="19/07/2018"/>
    <n v="429.04919999999998"/>
    <n v="3852.1033600000001"/>
    <s v="BRL"/>
    <n v="3.8841000000000001"/>
    <n v="330.32457920000002"/>
    <n v="0"/>
    <s v="BRL"/>
    <n v="3.8841000000000001"/>
    <n v="536"/>
    <n v="0"/>
    <n v="85.045333333333332"/>
    <n v="0"/>
    <n v="7.1969989373333334"/>
    <n v="0"/>
    <e v="#N/A"/>
    <e v="#N/A"/>
    <n v="5010.5157816380633"/>
    <n v="83.928310316964044"/>
    <n v="91.125309254297363"/>
    <n v="91.125309254297363"/>
    <n v="3832.83952"/>
    <n v="19.263840000000073"/>
    <n v="9.52"/>
    <n v="2.3230010626666662"/>
    <n v="0"/>
    <n v="0"/>
    <n v="1"/>
  </r>
  <r>
    <m/>
    <s v="CERRADO"/>
    <s v="L20:Loja Araguari"/>
    <s v="ARAGUARI"/>
    <s v="2018/2019"/>
    <d v="2018-06-21T00:00:00"/>
    <x v="8"/>
    <s v="1313 F1"/>
    <n v="12070"/>
    <s v="kg"/>
    <s v="ARÁBICA"/>
    <s v="Green"/>
    <n v="45"/>
    <m/>
    <m/>
    <s v="21/06/2018"/>
    <n v="488.68940000000003"/>
    <n v="98340.204299999998"/>
    <s v="BRL"/>
    <n v="3.7888000000000002"/>
    <n v="7255.9561386666655"/>
    <n v="0"/>
    <s v="BRL"/>
    <n v="3.7888000000000002"/>
    <n v="12070"/>
    <n v="0"/>
    <n v="1915.1066666666663"/>
    <n v="0"/>
    <n v="7.1969989373333325"/>
    <n v="0"/>
    <e v="#N/A"/>
    <e v="#N/A"/>
    <n v="5850.5538202037069"/>
    <n v="97.541155475382695"/>
    <n v="104.73815441271603"/>
    <n v="104.73815441271603"/>
    <n v="98308.017633333337"/>
    <n v="32.18666666666104"/>
    <n v="9.5199999999999978"/>
    <n v="2.3230010626666653"/>
    <n v="0"/>
    <n v="0"/>
    <n v="1"/>
  </r>
  <r>
    <m/>
    <s v="CERRADO"/>
    <s v="L20:Loja Araguari"/>
    <s v="ARAGUARI"/>
    <s v="2018/2019"/>
    <d v="2018-06-21T00:00:00"/>
    <x v="9"/>
    <s v="0765 F2"/>
    <n v="9020"/>
    <s v="kg"/>
    <s v="ARÁBICA"/>
    <s v="Green"/>
    <n v="55.000000000000007"/>
    <m/>
    <m/>
    <s v="25/06/2018"/>
    <n v="489.64580000000001"/>
    <n v="73634.138600000006"/>
    <s v="BRL"/>
    <n v="3.7753999999999999"/>
    <n v="6606.4969520000004"/>
    <n v="0"/>
    <s v="BRL"/>
    <n v="3.7753999999999999"/>
    <n v="9020"/>
    <n v="0"/>
    <n v="1749.88"/>
    <n v="0"/>
    <n v="8.799691978000002"/>
    <n v="0"/>
    <e v="#N/A"/>
    <e v="#N/A"/>
    <n v="5882.8097389030581"/>
    <n v="98.078867432036361"/>
    <n v="106.87855941003636"/>
    <n v="106.87855941003636"/>
    <n v="73610.085266666676"/>
    <n v="24.053333333329647"/>
    <n v="11.640000000000002"/>
    <n v="2.8403080220000003"/>
    <n v="0"/>
    <n v="0"/>
    <n v="1"/>
  </r>
  <r>
    <m/>
    <s v="CERRADO"/>
    <s v="L20:Loja Araguari"/>
    <s v="ARAGUARI"/>
    <s v="2018/2019"/>
    <d v="2018-06-21T00:00:00"/>
    <x v="10"/>
    <s v="1551 F1"/>
    <n v="1920"/>
    <s v="kg"/>
    <s v="ARÁBICA"/>
    <s v="Green"/>
    <n v="55.000000000000007"/>
    <m/>
    <m/>
    <d v="2018-11-07T00:00:00"/>
    <n v="488.25759999999997"/>
    <n v="15629.318399999998"/>
    <s v="BRL"/>
    <n v="3.8411"/>
    <n v="1430.7329280000001"/>
    <n v="0"/>
    <s v="BRL"/>
    <n v="3.8411"/>
    <n v="1920"/>
    <n v="0"/>
    <n v="372.48"/>
    <n v="0"/>
    <n v="8.799691978000002"/>
    <n v="0"/>
    <n v="4.1306000000000003"/>
    <n v="109.55"/>
    <n v="5765.7942244282103"/>
    <n v="96.127785315141494"/>
    <n v="104.92747729314151"/>
    <n v="104.92747729314151"/>
    <n v="15624.243199999999"/>
    <n v="5.0751999999993131"/>
    <n v="11.64"/>
    <n v="2.8403080219999985"/>
    <n v="0"/>
    <n v="0"/>
    <n v="1"/>
  </r>
  <r>
    <m/>
    <s v="CERRADO"/>
    <s v="L20:Loja Araguari"/>
    <s v="ARAGUARI"/>
    <s v="2018/2019"/>
    <d v="2018-06-21T00:00:00"/>
    <x v="11"/>
    <s v="1551 F1"/>
    <n v="12580"/>
    <s v="kg"/>
    <s v="ARÁBICA"/>
    <s v="Green"/>
    <n v="55.000000000000007"/>
    <m/>
    <m/>
    <d v="2018-11-07T00:00:00"/>
    <n v="487.12000000000012"/>
    <n v="102166.07980000002"/>
    <s v="BRL"/>
    <n v="3.8411"/>
    <n v="9374.2813720000013"/>
    <n v="0"/>
    <s v="BRL"/>
    <n v="3.8411"/>
    <n v="12580"/>
    <n v="0"/>
    <n v="2440.5200000000004"/>
    <n v="0"/>
    <n v="8.799691978000002"/>
    <n v="0"/>
    <n v="4.1306000000000003"/>
    <n v="109.55"/>
    <n v="5752.3603986982907"/>
    <n v="95.903888219642837"/>
    <n v="104.70358019764285"/>
    <n v="104.70358019764285"/>
    <n v="102132.82666666669"/>
    <n v="33.253133333331789"/>
    <n v="11.64"/>
    <n v="2.8403080219999985"/>
    <n v="0"/>
    <n v="0"/>
    <n v="1"/>
  </r>
  <r>
    <m/>
    <s v="CERRADO"/>
    <s v="L20:Loja Araguari"/>
    <s v="ARAGUARI"/>
    <s v="2018/2019"/>
    <d v="2018-06-21T00:00:00"/>
    <x v="12"/>
    <s v="1551 F1"/>
    <n v="4130"/>
    <s v="kg"/>
    <s v="ARÁBICA"/>
    <s v="Green"/>
    <n v="55.000000000000007"/>
    <m/>
    <m/>
    <d v="2018-11-07T00:00:00"/>
    <n v="487.12000000000012"/>
    <n v="33541.010300000002"/>
    <s v="BRL"/>
    <n v="3.8411"/>
    <n v="3077.5661420000001"/>
    <n v="0"/>
    <s v="BRL"/>
    <n v="3.8411"/>
    <n v="4130"/>
    <n v="0"/>
    <n v="801.22"/>
    <n v="0"/>
    <n v="8.7996919780000002"/>
    <n v="0"/>
    <n v="4.1306000000000003"/>
    <n v="109.55"/>
    <n v="5752.3603986982907"/>
    <n v="95.903888219642809"/>
    <n v="104.70358019764284"/>
    <n v="104.70358019764284"/>
    <n v="33530.093333333345"/>
    <n v="10.916966666656663"/>
    <n v="11.639999999999999"/>
    <n v="2.8403080219999985"/>
    <n v="0"/>
    <n v="0"/>
    <n v="1"/>
  </r>
  <r>
    <m/>
    <s v="CERRADO"/>
    <s v="L20:Loja Araguari"/>
    <s v="ARAGUARI"/>
    <s v="2018/2019"/>
    <d v="2018-06-22T00:00:00"/>
    <x v="13"/>
    <s v="0503 F1"/>
    <n v="1500"/>
    <s v="kg"/>
    <s v="ARÁBICA"/>
    <s v="Green"/>
    <n v="55.000000000000007"/>
    <m/>
    <m/>
    <s v="24/07/2018"/>
    <n v="493.81183000000004"/>
    <n v="12349.02"/>
    <s v="BRL"/>
    <n v="3.7452999999999999"/>
    <n v="1089.8823"/>
    <n v="0"/>
    <s v="BRL"/>
    <n v="3.7452999999999999"/>
    <n v="1500"/>
    <n v="0"/>
    <n v="291"/>
    <n v="0"/>
    <n v="8.7996919780000002"/>
    <n v="0"/>
    <e v="#N/A"/>
    <e v="#N/A"/>
    <n v="5980.5430353706552"/>
    <n v="99.705786790152999"/>
    <n v="108.505478768153"/>
    <n v="108.505478768153"/>
    <n v="12345.295750000001"/>
    <n v="3.7242499999993015"/>
    <n v="11.64"/>
    <n v="2.8403080220000003"/>
    <n v="0"/>
    <n v="0"/>
    <n v="1"/>
  </r>
  <r>
    <m/>
    <s v="CERRADO"/>
    <s v="L20:Loja Araguari"/>
    <s v="ARAGUARI"/>
    <s v="2018/2019"/>
    <d v="2018-06-25T00:00:00"/>
    <x v="14"/>
    <s v="0584 F2"/>
    <n v="11612"/>
    <s v="kg"/>
    <s v="ARÁBICA"/>
    <s v="Green"/>
    <n v="45"/>
    <m/>
    <m/>
    <s v="25/06/2018"/>
    <n v="492.09910000000002"/>
    <n v="95268.331600000005"/>
    <s v="BRL"/>
    <n v="3.7753999999999999"/>
    <n v="6955.9379082666655"/>
    <n v="0"/>
    <s v="BRL"/>
    <n v="3.7753999999999999"/>
    <n v="11612"/>
    <n v="0"/>
    <n v="1842.4373333333331"/>
    <n v="0"/>
    <n v="7.1969989373333325"/>
    <n v="0"/>
    <e v="#N/A"/>
    <e v="#N/A"/>
    <n v="5912.284712715661"/>
    <n v="98.569896731233783"/>
    <n v="105.76689566856713"/>
    <n v="105.76689566856713"/>
    <n v="95237.579153333339"/>
    <n v="30.752446666665492"/>
    <n v="9.52"/>
    <n v="2.3230010626666671"/>
    <n v="0"/>
    <n v="0"/>
    <n v="1"/>
  </r>
  <r>
    <m/>
    <s v="CERRADO"/>
    <s v="L20:Loja Araguari"/>
    <s v="ARAGUARI"/>
    <s v="2018/2019"/>
    <d v="2018-06-25T00:00:00"/>
    <x v="15"/>
    <s v="0584 F2"/>
    <n v="7280"/>
    <s v="kg"/>
    <s v="ARÁBICA"/>
    <s v="Green"/>
    <n v="45"/>
    <m/>
    <m/>
    <s v="25/06/2018"/>
    <n v="492.09910000000002"/>
    <n v="59727.303999999996"/>
    <s v="BRL"/>
    <n v="3.7753999999999999"/>
    <n v="4360.939370666666"/>
    <n v="0"/>
    <s v="BRL"/>
    <n v="3.7753999999999999"/>
    <n v="7280"/>
    <n v="0"/>
    <n v="1155.0933333333332"/>
    <n v="0"/>
    <n v="7.1969989373333325"/>
    <n v="0"/>
    <e v="#N/A"/>
    <e v="#N/A"/>
    <n v="5912.2847127156601"/>
    <n v="98.569896731233769"/>
    <n v="105.76689566856712"/>
    <n v="105.76689566856712"/>
    <n v="59708.02413333334"/>
    <n v="19.279866666656744"/>
    <n v="9.52"/>
    <n v="2.3230010626666671"/>
    <n v="0"/>
    <n v="0"/>
    <n v="1"/>
  </r>
  <r>
    <m/>
    <s v="CERRADO"/>
    <s v="L20:Loja Araguari"/>
    <s v="ARAGUARI"/>
    <s v="2018/2019"/>
    <d v="2018-06-25T00:00:00"/>
    <x v="16"/>
    <s v="0584 F2"/>
    <n v="718"/>
    <s v="kg"/>
    <s v="ARÁBICA"/>
    <s v="Green"/>
    <n v="45"/>
    <m/>
    <m/>
    <d v="2018-09-07T00:00:00"/>
    <n v="515.48039999999992"/>
    <n v="6170.563799999999"/>
    <s v="BRL"/>
    <n v="3.8679999999999999"/>
    <n v="440.65287466666661"/>
    <n v="0"/>
    <s v="BRL"/>
    <n v="3.8679999999999999"/>
    <n v="718"/>
    <n v="0"/>
    <n v="113.92266666666666"/>
    <n v="0"/>
    <n v="7.1969989373333325"/>
    <n v="0"/>
    <n v="4.1306000000000003"/>
    <n v="109.55"/>
    <n v="6044.9321697142705"/>
    <n v="100.78123544511375"/>
    <n v="107.97823438244708"/>
    <n v="107.97823438244708"/>
    <n v="6168.5821199999982"/>
    <n v="1.9816800000007788"/>
    <n v="9.52"/>
    <n v="2.3230010626666671"/>
    <n v="0"/>
    <n v="0"/>
    <n v="1"/>
  </r>
  <r>
    <m/>
    <s v="CERRADO"/>
    <s v="L20:Loja Araguari"/>
    <s v="ARAGUARI"/>
    <s v="2018/2019"/>
    <d v="2018-06-28T00:00:00"/>
    <x v="17"/>
    <s v="1326 F1"/>
    <n v="2035"/>
    <s v="kg"/>
    <s v="ARÁBICA"/>
    <s v="Green"/>
    <n v="55.000000000000007"/>
    <m/>
    <m/>
    <d v="2018-04-07T00:00:00"/>
    <n v="510.21877999999998"/>
    <n v="17310.503649999999"/>
    <s v="BRL"/>
    <n v="3.9051999999999998"/>
    <n v="1541.7339079999999"/>
    <n v="0"/>
    <s v="BRL"/>
    <n v="3.9051999999999998"/>
    <n v="2035"/>
    <n v="0"/>
    <n v="394.79"/>
    <n v="0"/>
    <n v="8.7996919780000002"/>
    <n v="0"/>
    <n v="3.3696999999999999"/>
    <n v="116.8"/>
    <n v="5926.2354204319527"/>
    <n v="98.802458267036243"/>
    <n v="107.60215024503624"/>
    <n v="107.60215024503624"/>
    <n v="17304.920288333335"/>
    <n v="5.5833616666641319"/>
    <n v="11.64"/>
    <n v="2.8403080220000003"/>
    <n v="0"/>
    <n v="0"/>
    <n v="1"/>
  </r>
  <r>
    <m/>
    <s v="CERRADO"/>
    <s v="L20:Loja Araguari"/>
    <s v="ARAGUARI"/>
    <s v="2018/2019"/>
    <d v="2018-06-29T00:00:00"/>
    <x v="18"/>
    <s v="1326 F1"/>
    <n v="1669"/>
    <s v="kg"/>
    <s v="ARÁBICA"/>
    <s v="Green"/>
    <n v="55.000000000000007"/>
    <m/>
    <m/>
    <d v="2018-02-07T00:00:00"/>
    <n v="447.85500000000002"/>
    <n v="12708.18325"/>
    <s v="BRL"/>
    <n v="3.9049"/>
    <n v="1264.3519514000002"/>
    <n v="0"/>
    <s v="BRL"/>
    <n v="3.9049"/>
    <n v="1669"/>
    <n v="0"/>
    <n v="323.78600000000006"/>
    <n v="0"/>
    <n v="8.799691978000002"/>
    <n v="0"/>
    <n v="3.2713999999999999"/>
    <n v="122.6"/>
    <n v="5202.2743441919138"/>
    <n v="88.446969276357919"/>
    <n v="97.246661254357903"/>
    <n v="97.246661254357903"/>
    <n v="12457.83325"/>
    <n v="250.35000000000036"/>
    <n v="11.64"/>
    <n v="2.8403080219999985"/>
    <n v="0"/>
    <n v="0"/>
    <n v="1"/>
  </r>
  <r>
    <m/>
    <s v="CERRADO"/>
    <s v="L20:Loja Araguari"/>
    <s v="ARAGUARI"/>
    <s v="2018/2019"/>
    <d v="2018-06-29T00:00:00"/>
    <x v="19"/>
    <s v="1326 F1"/>
    <n v="1907"/>
    <s v="kg"/>
    <s v="ARÁBICA"/>
    <s v="Green"/>
    <n v="55.000000000000007"/>
    <m/>
    <m/>
    <d v="2018-04-07T00:00:00"/>
    <n v="447.87520000000001"/>
    <n v="14393.88344"/>
    <s v="BRL"/>
    <n v="3.9051999999999998"/>
    <n v="1444.7599815999999"/>
    <n v="0"/>
    <s v="BRL"/>
    <n v="3.9051999999999998"/>
    <n v="1907"/>
    <n v="0"/>
    <n v="369.95800000000003"/>
    <n v="0"/>
    <n v="8.7996919780000002"/>
    <n v="0"/>
    <n v="3.3696999999999999"/>
    <n v="116.8"/>
    <n v="5202.1093268519917"/>
    <n v="87.669746014811039"/>
    <n v="96.469437992811024"/>
    <n v="96.469437992811024"/>
    <n v="14234.966773333332"/>
    <n v="158.91666666666788"/>
    <n v="11.64"/>
    <n v="2.8403080220000003"/>
    <n v="0"/>
    <n v="0"/>
    <n v="1"/>
  </r>
  <r>
    <m/>
    <s v="CERRADO"/>
    <s v="L20:Loja Araguari"/>
    <s v="ARAGUARI"/>
    <s v="2018/2019"/>
    <d v="2018-06-29T00:00:00"/>
    <x v="20"/>
    <s v="1326 F1"/>
    <n v="894"/>
    <s v="kg"/>
    <s v="ARÁBICA"/>
    <s v="Green"/>
    <n v="55.000000000000007"/>
    <m/>
    <m/>
    <d v="2018-04-07T00:00:00"/>
    <n v="506.68957999999998"/>
    <n v="7552.1275800000003"/>
    <s v="BRL"/>
    <n v="3.9051999999999998"/>
    <n v="677.30226719999996"/>
    <n v="0"/>
    <s v="BRL"/>
    <n v="3.9051999999999998"/>
    <n v="894"/>
    <n v="0"/>
    <n v="173.43600000000001"/>
    <n v="0"/>
    <n v="8.7996919780000002"/>
    <n v="0"/>
    <n v="3.3696999999999999"/>
    <n v="116.8"/>
    <n v="5885.2434560715101"/>
    <n v="98.119258861028896"/>
    <n v="106.91895083902891"/>
    <n v="106.91895083902891"/>
    <n v="7549.6747420000002"/>
    <n v="2.4528380000001562"/>
    <n v="11.64"/>
    <n v="2.8403080220000003"/>
    <n v="0"/>
    <n v="0"/>
    <n v="1"/>
  </r>
  <r>
    <m/>
    <s v="CERRADO"/>
    <s v="L20:Loja Araguari"/>
    <s v="ARAGUARI"/>
    <s v="2018/2019"/>
    <d v="2018-07-02T00:00:00"/>
    <x v="21"/>
    <s v="1169 F1"/>
    <n v="1198"/>
    <s v="kg"/>
    <s v="ARÁBICA"/>
    <s v="Green"/>
    <n v="55.000000000000007"/>
    <m/>
    <m/>
    <s v="19/07/2018"/>
    <n v="423.61930000000007"/>
    <n v="8500.7803800000002"/>
    <s v="BRL"/>
    <n v="3.8841000000000001"/>
    <n v="902.71144920000006"/>
    <n v="0"/>
    <s v="BRL"/>
    <n v="3.8841000000000001"/>
    <n v="1198"/>
    <n v="0"/>
    <n v="232.41200000000001"/>
    <n v="0"/>
    <n v="8.7996919780000002"/>
    <n v="0"/>
    <e v="#N/A"/>
    <e v="#N/A"/>
    <n v="4947.1044068057217"/>
    <n v="82.866179423024633"/>
    <n v="91.665871401024646"/>
    <n v="91.665871401024646"/>
    <n v="8458.2653566666686"/>
    <n v="42.515023333331555"/>
    <n v="11.64"/>
    <n v="2.8403080220000003"/>
    <n v="0"/>
    <n v="0"/>
    <n v="1"/>
  </r>
  <r>
    <m/>
    <s v="CERRADO"/>
    <s v="L20:Loja Araguari"/>
    <s v="ARAGUARI"/>
    <s v="2018/2019"/>
    <d v="2018-07-07T00:00:00"/>
    <x v="22"/>
    <s v="0584 F2"/>
    <n v="14220"/>
    <s v="kg"/>
    <s v="ARÁBICA"/>
    <s v="Green"/>
    <n v="45"/>
    <m/>
    <m/>
    <d v="2018-09-07T00:00:00"/>
    <n v="520.27979999999991"/>
    <n v="123345.55979999999"/>
    <s v="BRL"/>
    <n v="3.8679999999999999"/>
    <n v="8727.1363199999978"/>
    <n v="0"/>
    <s v="BRL"/>
    <n v="3.8679999999999999"/>
    <n v="14220"/>
    <n v="0"/>
    <n v="2256.2399999999993"/>
    <n v="0"/>
    <n v="7.1969989373333316"/>
    <n v="0"/>
    <n v="4.1306000000000003"/>
    <n v="109.55"/>
    <n v="6101.213742118045"/>
    <n v="101.71926165184331"/>
    <n v="108.91626058917666"/>
    <n v="108.91626058917666"/>
    <n v="123306.31259999999"/>
    <n v="39.247199999997974"/>
    <n v="9.52"/>
    <n v="2.3230010626666679"/>
    <n v="0"/>
    <n v="0"/>
    <n v="1"/>
  </r>
  <r>
    <m/>
    <s v="CERRADO"/>
    <s v="L20:Loja Araguari"/>
    <s v="ARAGUARI"/>
    <s v="2018/2019"/>
    <d v="2018-07-07T00:00:00"/>
    <x v="23"/>
    <s v="0584 F2"/>
    <n v="3055"/>
    <s v="kg"/>
    <s v="ARÁBICA"/>
    <s v="Green"/>
    <n v="45"/>
    <m/>
    <m/>
    <d v="2018-09-07T00:00:00"/>
    <n v="520.27980000000002"/>
    <n v="26499.344949999999"/>
    <s v="BRL"/>
    <n v="3.8679999999999999"/>
    <n v="1874.9227466666664"/>
    <n v="0"/>
    <s v="BRL"/>
    <n v="3.8679999999999999"/>
    <n v="3055"/>
    <n v="0"/>
    <n v="484.72666666666663"/>
    <n v="0"/>
    <n v="7.1969989373333316"/>
    <n v="0"/>
    <n v="4.1306000000000003"/>
    <n v="109.55"/>
    <n v="6101.213742118046"/>
    <n v="101.71926165184333"/>
    <n v="108.91626058917667"/>
    <n v="108.91626058917667"/>
    <n v="26490.91315"/>
    <n v="8.431799999998475"/>
    <n v="9.52"/>
    <n v="2.3230010626666679"/>
    <n v="0"/>
    <n v="0"/>
    <n v="1"/>
  </r>
  <r>
    <m/>
    <s v="CERRADO"/>
    <s v="L20:Loja Araguari"/>
    <s v="ARAGUARI"/>
    <s v="2018/2019"/>
    <d v="2018-07-09T00:00:00"/>
    <x v="24"/>
    <s v="0926 F1"/>
    <n v="11250"/>
    <s v="kg"/>
    <s v="ARÁBICA"/>
    <s v="Green"/>
    <n v="45"/>
    <m/>
    <m/>
    <d v="2018-09-07T00:00:00"/>
    <n v="486.24113999999997"/>
    <n v="91198.349999999991"/>
    <s v="BRL"/>
    <n v="3.8679999999999999"/>
    <n v="6904.3799999999992"/>
    <n v="0"/>
    <s v="BRL"/>
    <n v="3.8679999999999999"/>
    <n v="11250"/>
    <n v="0"/>
    <n v="1784.9999999999998"/>
    <n v="0"/>
    <n v="7.1969989373333325"/>
    <n v="0"/>
    <n v="4.1306000000000003"/>
    <n v="109.55"/>
    <n v="5702.0494075517518"/>
    <n v="95.063485502905905"/>
    <n v="102.26048444023924"/>
    <n v="102.26048444023924"/>
    <n v="91170.213749999981"/>
    <n v="28.136250000010477"/>
    <n v="9.5200000000000014"/>
    <n v="2.3230010626666688"/>
    <n v="0"/>
    <n v="0"/>
    <n v="1"/>
  </r>
  <r>
    <m/>
    <s v="CERRADO"/>
    <s v="L20:Loja Araguari"/>
    <s v="ARAGUARI"/>
    <s v="2018/2019"/>
    <d v="2018-07-09T00:00:00"/>
    <x v="25"/>
    <s v="0926 F1"/>
    <n v="2340"/>
    <s v="kg"/>
    <s v="ARÁBICA"/>
    <s v="Green"/>
    <n v="45"/>
    <m/>
    <m/>
    <d v="2018-09-07T00:00:00"/>
    <n v="486.24113999999997"/>
    <n v="18969.256799999999"/>
    <s v="BRL"/>
    <n v="3.8679999999999999"/>
    <n v="1436.1110399999998"/>
    <n v="0"/>
    <s v="BRL"/>
    <n v="3.8679999999999999"/>
    <n v="2340"/>
    <n v="0"/>
    <n v="371.28"/>
    <n v="0"/>
    <n v="7.1969989373333334"/>
    <n v="0"/>
    <n v="4.1306000000000003"/>
    <n v="109.55"/>
    <n v="5702.0494075517536"/>
    <n v="95.063485502905905"/>
    <n v="102.26048444023924"/>
    <n v="102.26048444023924"/>
    <n v="18963.404459999998"/>
    <n v="5.8523400000012771"/>
    <n v="9.52"/>
    <n v="2.3230010626666662"/>
    <n v="0"/>
    <n v="0"/>
    <n v="1"/>
  </r>
  <r>
    <m/>
    <s v="CERRADO"/>
    <s v="L20:Loja Araguari"/>
    <s v="ARAGUARI"/>
    <s v="2018/2019"/>
    <d v="2018-07-10T00:00:00"/>
    <x v="26"/>
    <s v="1313 F1"/>
    <n v="12900"/>
    <s v="kg"/>
    <s v="ARÁBICA"/>
    <s v="Green"/>
    <n v="45"/>
    <m/>
    <m/>
    <d v="2018-11-07T00:00:00"/>
    <n v="496.11626000000007"/>
    <n v="106699.77"/>
    <s v="BRL"/>
    <n v="3.8411"/>
    <n v="7861.9634799999994"/>
    <n v="0"/>
    <s v="BRL"/>
    <n v="3.8411"/>
    <n v="12900"/>
    <n v="0"/>
    <n v="2046.8"/>
    <n v="0"/>
    <n v="7.1969989373333343"/>
    <n v="0"/>
    <n v="4.1306000000000003"/>
    <n v="109.55"/>
    <n v="5858.5965001935974"/>
    <n v="97.675107911301467"/>
    <n v="104.8721068486348"/>
    <n v="104.8721068486348"/>
    <n v="106664.99590000001"/>
    <n v="34.774099999995087"/>
    <n v="9.5200000000000014"/>
    <n v="2.3230010626666671"/>
    <n v="0"/>
    <n v="0"/>
    <n v="1"/>
  </r>
  <r>
    <m/>
    <s v="CERRADO"/>
    <s v="L20:Loja Araguari"/>
    <s v="ARAGUARI"/>
    <s v="2018/2019"/>
    <d v="2018-07-13T00:00:00"/>
    <x v="27"/>
    <s v="0589 F1"/>
    <n v="5814"/>
    <s v="kg"/>
    <s v="ARÁBICA"/>
    <s v="Green"/>
    <n v="55.000000000000007"/>
    <m/>
    <m/>
    <s v="16/07/2018"/>
    <n v="474.81663999999995"/>
    <n v="46024.728660000001"/>
    <s v="BRL"/>
    <n v="3.8573"/>
    <n v="4350.7103868000004"/>
    <n v="0"/>
    <s v="BRL"/>
    <n v="3.8573"/>
    <n v="5814"/>
    <n v="0"/>
    <n v="1127.9160000000002"/>
    <n v="0"/>
    <n v="8.7996919780000002"/>
    <n v="0"/>
    <e v="#N/A"/>
    <e v="#N/A"/>
    <n v="5583.522283800502"/>
    <n v="93.089035944061919"/>
    <n v="101.8887279220619"/>
    <n v="101.8887279220619"/>
    <n v="46009.732415999992"/>
    <n v="14.996244000009028"/>
    <n v="11.640000000000002"/>
    <n v="2.8403080220000021"/>
    <n v="0"/>
    <n v="0"/>
    <n v="1"/>
  </r>
  <r>
    <m/>
    <s v="CERRADO"/>
    <s v="L20:Loja Araguari"/>
    <s v="ARAGUARI"/>
    <s v="2018/2019"/>
    <d v="2018-07-13T00:00:00"/>
    <x v="28"/>
    <s v="0589 F1"/>
    <n v="4376"/>
    <s v="kg"/>
    <s v="ARÁBICA"/>
    <s v="Green"/>
    <n v="55.000000000000007"/>
    <m/>
    <m/>
    <s v="23/07/2018"/>
    <n v="438.13480000000004"/>
    <n v="32100.498080000001"/>
    <s v="BRL"/>
    <n v="3.7909000000000002"/>
    <n v="3218.2618096000006"/>
    <n v="0"/>
    <s v="BRL"/>
    <n v="3.7909000000000002"/>
    <n v="4376"/>
    <n v="0"/>
    <n v="848.94400000000007"/>
    <n v="0"/>
    <n v="8.7996919780000002"/>
    <n v="0"/>
    <e v="#N/A"/>
    <e v="#N/A"/>
    <n v="5242.4121530896618"/>
    <n v="87.77237905311668"/>
    <n v="96.572071031116664"/>
    <n v="96.572071031116664"/>
    <n v="31954.631413333336"/>
    <n v="145.86666666666497"/>
    <n v="11.640000000000002"/>
    <n v="2.8403080220000021"/>
    <n v="0"/>
    <n v="0"/>
    <n v="1"/>
  </r>
  <r>
    <m/>
    <s v="CERRADO"/>
    <s v="L20:Loja Araguari"/>
    <s v="ARAGUARI"/>
    <s v="2018/2019"/>
    <d v="2018-07-14T00:00:00"/>
    <x v="29"/>
    <s v="1029 F1"/>
    <n v="4840"/>
    <s v="kg"/>
    <s v="ARÁBICA"/>
    <s v="Green"/>
    <n v="55.000000000000007"/>
    <m/>
    <m/>
    <s v="23/07/2018"/>
    <n v="490.21711999999997"/>
    <n v="39549.576000000001"/>
    <s v="BRL"/>
    <n v="3.7909000000000002"/>
    <n v="3559.5034640000008"/>
    <n v="0"/>
    <s v="BRL"/>
    <n v="3.7909000000000002"/>
    <n v="4840"/>
    <n v="0"/>
    <n v="938.96000000000015"/>
    <n v="0"/>
    <n v="8.799691978000002"/>
    <n v="0"/>
    <e v="#N/A"/>
    <e v="#N/A"/>
    <n v="5865.5924787088652"/>
    <n v="97.773211960695335"/>
    <n v="106.57290393869533"/>
    <n v="106.57290393869533"/>
    <n v="39544.181013333335"/>
    <n v="5.3949866666662274"/>
    <n v="11.640000000000002"/>
    <n v="2.8403080220000003"/>
    <n v="0"/>
    <n v="0"/>
    <n v="1"/>
  </r>
  <r>
    <m/>
    <s v="CERRADO"/>
    <s v="L20:Loja Araguari"/>
    <s v="ARAGUARI"/>
    <s v="2018/2019"/>
    <d v="2018-07-16T00:00:00"/>
    <x v="30"/>
    <s v="0465 F3"/>
    <n v="14530"/>
    <s v="kg"/>
    <s v="ARÁBICA"/>
    <s v="Green"/>
    <n v="45"/>
    <m/>
    <m/>
    <s v="17/07/2018"/>
    <n v="483.37320000000005"/>
    <n v="117070.3895"/>
    <s v="BRL"/>
    <n v="3.8664999999999998"/>
    <n v="8913.9322066666646"/>
    <n v="0"/>
    <s v="BRL"/>
    <n v="3.8664999999999998"/>
    <n v="14530"/>
    <n v="0"/>
    <n v="2305.4266666666663"/>
    <n v="0"/>
    <n v="7.1969989373333325"/>
    <n v="0"/>
    <e v="#N/A"/>
    <e v="#N/A"/>
    <n v="5670.616717508964"/>
    <n v="94.521188773968731"/>
    <n v="101.71818771130205"/>
    <n v="101.71818771130205"/>
    <n v="117056.87660000002"/>
    <n v="13.512899999986985"/>
    <n v="9.52"/>
    <n v="2.3230010626666671"/>
    <n v="0"/>
    <n v="0"/>
    <n v="1"/>
  </r>
  <r>
    <m/>
    <s v="CERRADO"/>
    <s v="L20:Loja Araguari"/>
    <s v="ARAGUARI"/>
    <s v="2018/2019"/>
    <d v="2018-07-19T00:00:00"/>
    <x v="31"/>
    <s v="0503 F1"/>
    <n v="14560"/>
    <s v="kg"/>
    <s v="ARÁBICA"/>
    <s v="Green"/>
    <n v="55.000000000000007"/>
    <m/>
    <m/>
    <s v="24/07/2018"/>
    <n v="486.60583000000003"/>
    <n v="118119.1648"/>
    <s v="BRL"/>
    <n v="3.7452999999999999"/>
    <n v="10579.124191999999"/>
    <n v="0"/>
    <s v="BRL"/>
    <n v="3.7452999999999999"/>
    <n v="14560"/>
    <n v="0"/>
    <n v="2824.64"/>
    <n v="0"/>
    <n v="8.7996919779999985"/>
    <n v="0"/>
    <e v="#N/A"/>
    <e v="#N/A"/>
    <n v="5893.2713450328984"/>
    <n v="98.251258617857047"/>
    <n v="107.05095059585705"/>
    <n v="107.05095059585705"/>
    <n v="118083.01474666667"/>
    <n v="36.150053333331016"/>
    <n v="11.639999999999999"/>
    <n v="2.8403080220000003"/>
    <n v="0"/>
    <n v="0"/>
    <n v="1"/>
  </r>
  <r>
    <m/>
    <s v="CERRADO"/>
    <s v="L20:Loja Araguari"/>
    <s v="ARAGUARI"/>
    <s v="2018/2019"/>
    <d v="2018-07-23T00:00:00"/>
    <x v="32"/>
    <s v="1029 F1"/>
    <n v="1680"/>
    <s v="kg"/>
    <s v="ARÁBICA"/>
    <s v="Green"/>
    <n v="55.000000000000007"/>
    <m/>
    <m/>
    <s v="23/07/2018"/>
    <n v="492.58172000000008"/>
    <n v="13794.160800000001"/>
    <s v="BRL"/>
    <n v="3.7909000000000002"/>
    <n v="1235.5301280000001"/>
    <n v="0"/>
    <s v="BRL"/>
    <n v="3.7909000000000002"/>
    <n v="1680"/>
    <n v="0"/>
    <n v="325.92"/>
    <n v="0"/>
    <n v="8.7996919780000002"/>
    <n v="0"/>
    <e v="#N/A"/>
    <e v="#N/A"/>
    <n v="5893.8856153809493"/>
    <n v="98.24476423856342"/>
    <n v="107.04445621656343"/>
    <n v="107.04445621656343"/>
    <n v="13792.288160000002"/>
    <n v="1.872639999999592"/>
    <n v="11.64"/>
    <n v="2.8403080220000003"/>
    <n v="0"/>
    <n v="0"/>
    <n v="1"/>
  </r>
  <r>
    <m/>
    <s v="CERRADO"/>
    <s v="L20:Loja Araguari"/>
    <s v="ARAGUARI"/>
    <s v="2018/2019"/>
    <d v="2018-07-23T00:00:00"/>
    <x v="33"/>
    <s v="0503 F1"/>
    <n v="7250"/>
    <s v="kg"/>
    <s v="ARÁBICA"/>
    <s v="Green"/>
    <n v="55.000000000000007"/>
    <m/>
    <m/>
    <s v="24/07/2018"/>
    <n v="490.20882999999998"/>
    <n v="59251.567499999997"/>
    <s v="BRL"/>
    <n v="3.7452999999999999"/>
    <n v="5267.7644499999997"/>
    <n v="0"/>
    <s v="BRL"/>
    <n v="3.7452999999999999"/>
    <n v="7250"/>
    <n v="0"/>
    <n v="1406.5"/>
    <n v="0"/>
    <n v="8.7996919779999985"/>
    <n v="0"/>
    <e v="#N/A"/>
    <e v="#N/A"/>
    <n v="5936.907190201774"/>
    <n v="98.978522704005016"/>
    <n v="107.77821468200503"/>
    <n v="107.77821468200503"/>
    <n v="59233.566958333329"/>
    <n v="18.000541666668141"/>
    <n v="11.639999999999999"/>
    <n v="2.8403080220000003"/>
    <n v="0"/>
    <n v="0"/>
    <n v="1"/>
  </r>
  <r>
    <m/>
    <s v="CERRADO"/>
    <s v="L20:Loja Araguari"/>
    <s v="ARAGUARI"/>
    <s v="2018/2019"/>
    <d v="2018-07-26T00:00:00"/>
    <x v="34"/>
    <s v="0960 F1"/>
    <n v="3355"/>
    <s v="kg"/>
    <s v="ARÁBICA"/>
    <s v="Green"/>
    <n v="45"/>
    <m/>
    <m/>
    <s v="27/07/2018"/>
    <n v="469.81240000000003"/>
    <n v="26278.909800000001"/>
    <s v="BRL"/>
    <n v="3.7158000000000002"/>
    <n v="1978.0194280000001"/>
    <n v="0"/>
    <s v="BRL"/>
    <n v="3.7158000000000002"/>
    <n v="3355"/>
    <n v="0"/>
    <n v="532.3266666666666"/>
    <n v="0"/>
    <n v="7.1969989373333343"/>
    <n v="0"/>
    <e v="#N/A"/>
    <e v="#N/A"/>
    <n v="5735.0589367400826"/>
    <n v="95.615484472824164"/>
    <n v="102.8124834101575"/>
    <n v="102.8124834101575"/>
    <n v="26270.343366666671"/>
    <n v="8.5664333333297691"/>
    <n v="9.52"/>
    <n v="2.3230010626666653"/>
    <n v="0"/>
    <n v="0"/>
    <n v="1"/>
  </r>
  <r>
    <m/>
    <s v="CERRADO"/>
    <s v="L20:Loja Araguari"/>
    <s v="CASCALHO RICO"/>
    <s v="2018/2019"/>
    <d v="2018-07-03T00:00:00"/>
    <x v="35"/>
    <s v="0565 F1"/>
    <n v="12040"/>
    <s v="kg"/>
    <s v="ARÁBICA"/>
    <s v="Green"/>
    <n v="55.000000000000007"/>
    <m/>
    <m/>
    <d v="2018-03-07T00:00:00"/>
    <n v="468.71860000000004"/>
    <n v="94523.752399999998"/>
    <s v="BRL"/>
    <n v="3.7364000000000002"/>
    <n v="8727.3336640000016"/>
    <n v="0"/>
    <s v="BRL"/>
    <n v="3.7364000000000002"/>
    <n v="12040"/>
    <n v="0"/>
    <n v="2335.7600000000002"/>
    <n v="0"/>
    <n v="8.799691978000002"/>
    <n v="0"/>
    <n v="3.2454000000000001"/>
    <n v="118.15"/>
    <n v="5690.1611347040471"/>
    <n v="95.307448729250083"/>
    <n v="104.10714070725008"/>
    <n v="104.10714070725008"/>
    <n v="94056.199066666668"/>
    <n v="467.55333333332965"/>
    <n v="11.64"/>
    <n v="2.8403080219999985"/>
    <n v="0"/>
    <n v="0"/>
    <n v="1"/>
  </r>
  <r>
    <m/>
    <s v="CERRADO"/>
    <s v="L20:Loja Araguari"/>
    <s v="CASCALHO RICO"/>
    <s v="2018/2019"/>
    <d v="2018-07-03T00:00:00"/>
    <x v="36"/>
    <s v="0565 F1"/>
    <n v="8700"/>
    <s v="kg"/>
    <s v="ARÁBICA"/>
    <s v="Green"/>
    <n v="55.000000000000007"/>
    <m/>
    <m/>
    <s v="23/07/2018"/>
    <n v="517.68665999999996"/>
    <n v="75087.698999999993"/>
    <s v="BRL"/>
    <n v="3.7909000000000002"/>
    <n v="6398.2810200000004"/>
    <n v="0"/>
    <s v="BRL"/>
    <n v="3.7909000000000002"/>
    <n v="8700"/>
    <n v="0"/>
    <n v="1687.8"/>
    <n v="0"/>
    <n v="8.7996919780000002"/>
    <n v="0"/>
    <e v="#N/A"/>
    <e v="#N/A"/>
    <n v="6194.273629660086"/>
    <n v="103.26970954720251"/>
    <n v="112.06940152520249"/>
    <n v="112.06940152520249"/>
    <n v="75064.565699999992"/>
    <n v="23.133300000001327"/>
    <n v="11.64"/>
    <n v="2.8403080220000003"/>
    <n v="0"/>
    <n v="0"/>
    <n v="1"/>
  </r>
  <r>
    <m/>
    <s v="CERRADO"/>
    <s v="L20:Loja Araguari"/>
    <s v="CASCALHO RICO"/>
    <s v="2018/2019"/>
    <d v="2018-07-23T00:00:00"/>
    <x v="37"/>
    <s v="0565 F1"/>
    <n v="8830"/>
    <s v="kg"/>
    <s v="ARÁBICA"/>
    <s v="Green"/>
    <n v="55.000000000000007"/>
    <m/>
    <m/>
    <s v="23/07/2018"/>
    <n v="522.65346000000011"/>
    <n v="76940.646500000003"/>
    <s v="BRL"/>
    <n v="3.7909000000000002"/>
    <n v="6493.8875180000005"/>
    <n v="0"/>
    <s v="BRL"/>
    <n v="3.7909000000000002"/>
    <n v="8830"/>
    <n v="0"/>
    <n v="1713.02"/>
    <n v="0"/>
    <n v="8.799691978000002"/>
    <n v="0"/>
    <e v="#N/A"/>
    <e v="#N/A"/>
    <n v="6253.7028571078181"/>
    <n v="104.26019667133134"/>
    <n v="113.05988864933136"/>
    <n v="113.05988864933136"/>
    <n v="76917.167530000021"/>
    <n v="23.478969999981928"/>
    <n v="11.64"/>
    <n v="2.8403080219999985"/>
    <n v="0"/>
    <n v="0"/>
    <n v="1"/>
  </r>
  <r>
    <m/>
    <s v="CERRADO"/>
    <s v="L20:Loja Araguari"/>
    <s v="CASCALHO RICO"/>
    <s v="2018/2019"/>
    <d v="2018-07-23T00:00:00"/>
    <x v="38"/>
    <s v="0565 F1"/>
    <n v="12940"/>
    <s v="kg"/>
    <s v="ARÁBICA"/>
    <s v="Green"/>
    <n v="55.000000000000007"/>
    <m/>
    <m/>
    <s v="23/07/2018"/>
    <n v="518.92865999999992"/>
    <n v="111950.02179999999"/>
    <s v="BRL"/>
    <n v="3.7909000000000002"/>
    <n v="9516.5237240000024"/>
    <n v="0"/>
    <s v="BRL"/>
    <n v="3.7909000000000002"/>
    <n v="12940"/>
    <n v="0"/>
    <n v="2510.3600000000006"/>
    <n v="0"/>
    <n v="8.799691978000002"/>
    <n v="0"/>
    <e v="#N/A"/>
    <e v="#N/A"/>
    <n v="6209.1345261105316"/>
    <n v="103.51739115470997"/>
    <n v="112.31708313270995"/>
    <n v="112.31708313270995"/>
    <n v="111915.61433999999"/>
    <n v="34.407460000002175"/>
    <n v="11.640000000000002"/>
    <n v="2.8403080220000003"/>
    <n v="0"/>
    <n v="0"/>
    <n v="1"/>
  </r>
  <r>
    <m/>
    <s v="CERRADO"/>
    <s v="L20:Loja Araguari"/>
    <s v="INDIANOPOLIS"/>
    <s v="2018/2019"/>
    <d v="2018-06-12T00:00:00"/>
    <x v="39"/>
    <s v="1546 F1"/>
    <n v="2409"/>
    <s v="kg"/>
    <s v="ARÁBICA"/>
    <s v="Green"/>
    <n v="55.000000000000007"/>
    <m/>
    <m/>
    <s v="26/06/2018"/>
    <n v="456.97330000000005"/>
    <n v="18439.690500000001"/>
    <s v="BRL"/>
    <n v="3.7715000000000001"/>
    <n v="1762.5954390000002"/>
    <n v="0"/>
    <s v="BRL"/>
    <n v="3.7715000000000001"/>
    <n v="2409"/>
    <n v="0"/>
    <n v="467.34600000000006"/>
    <n v="0"/>
    <n v="8.799691978000002"/>
    <n v="0"/>
    <e v="#N/A"/>
    <e v="#N/A"/>
    <n v="5495.9459677507903"/>
    <n v="92.059466953864515"/>
    <n v="100.85915893186453"/>
    <n v="100.85915893186453"/>
    <n v="18347.477995000005"/>
    <n v="92.212504999995872"/>
    <n v="11.64"/>
    <n v="2.8403080219999985"/>
    <n v="0"/>
    <n v="0"/>
    <n v="1"/>
  </r>
  <r>
    <m/>
    <s v="CERRADO"/>
    <s v="L20:Loja Araguari"/>
    <s v="INDIANOPOLIS"/>
    <s v="2018/2019"/>
    <d v="2018-06-18T00:00:00"/>
    <x v="40"/>
    <s v="0029 F1"/>
    <n v="12390"/>
    <s v="kg"/>
    <s v="ARÁBICA"/>
    <s v="Green"/>
    <n v="55.000000000000007"/>
    <m/>
    <m/>
    <d v="2018-03-07T00:00:00"/>
    <n v="465.84020000000004"/>
    <n v="97629.111300000004"/>
    <s v="BRL"/>
    <n v="3.7282999999999999"/>
    <n v="8961.5655779999997"/>
    <n v="0"/>
    <s v="BRL"/>
    <n v="3.7282999999999999"/>
    <n v="12390"/>
    <n v="0"/>
    <n v="2403.66"/>
    <n v="0"/>
    <n v="8.7996919780000002"/>
    <n v="0"/>
    <n v="3.2454000000000001"/>
    <n v="118.15"/>
    <n v="5667.5042340818618"/>
    <n v="95.865627500949515"/>
    <n v="104.6653194789495"/>
    <n v="104.6653194789495"/>
    <n v="96196.001300000018"/>
    <n v="1433.109999999986"/>
    <n v="11.64"/>
    <n v="2.8403080220000003"/>
    <n v="0"/>
    <n v="0"/>
    <n v="1"/>
  </r>
  <r>
    <m/>
    <s v="CERRADO"/>
    <s v="L20:Loja Araguari"/>
    <s v="INDIANOPOLIS"/>
    <s v="2018/2019"/>
    <d v="2018-06-18T00:00:00"/>
    <x v="41"/>
    <s v="0766 F1"/>
    <n v="1199"/>
    <s v="kg"/>
    <s v="ARÁBICA"/>
    <s v="Green"/>
    <n v="45"/>
    <m/>
    <m/>
    <d v="2018-03-07T00:00:00"/>
    <n v="448.94899999999996"/>
    <n v="9016.5879100000002"/>
    <s v="BRL"/>
    <n v="3.8914"/>
    <n v="740.30512453333324"/>
    <n v="0"/>
    <s v="BRL"/>
    <n v="3.8914"/>
    <n v="1199"/>
    <n v="0"/>
    <n v="190.2413333333333"/>
    <n v="0"/>
    <n v="7.1969989373333334"/>
    <n v="0"/>
    <n v="3.2454000000000001"/>
    <n v="118.15"/>
    <n v="5233.0739815780953"/>
    <n v="87.656253423274407"/>
    <n v="94.85325236060774"/>
    <n v="94.85325236060774"/>
    <n v="8971.4975166666645"/>
    <n v="45.090393333335669"/>
    <n v="9.52"/>
    <n v="2.3230010626666662"/>
    <n v="0"/>
    <n v="0"/>
    <n v="1"/>
  </r>
  <r>
    <m/>
    <s v="CERRADO"/>
    <s v="L20:Loja Araguari"/>
    <s v="INDIANOPOLIS"/>
    <s v="2018/2019"/>
    <d v="2018-06-18T00:00:00"/>
    <x v="42"/>
    <s v="0766 F1"/>
    <n v="16783"/>
    <s v="kg"/>
    <s v="ARÁBICA"/>
    <s v="Green"/>
    <n v="45"/>
    <m/>
    <m/>
    <s v="17/07/2018"/>
    <n v="495.4875100000001"/>
    <n v="138641.34206"/>
    <s v="BRL"/>
    <n v="3.8664999999999998"/>
    <n v="10296.113160666664"/>
    <n v="0"/>
    <s v="BRL"/>
    <n v="3.8664999999999998"/>
    <n v="16783"/>
    <n v="0"/>
    <n v="2662.9026666666659"/>
    <n v="0"/>
    <n v="7.1969989373333316"/>
    <n v="0"/>
    <e v="#N/A"/>
    <e v="#N/A"/>
    <n v="5812.7338411043265"/>
    <n v="96.910511365405412"/>
    <n v="104.10751030273873"/>
    <n v="104.10751030273873"/>
    <n v="138596.1146721667"/>
    <n v="45.227387833292596"/>
    <n v="9.5199999999999978"/>
    <n v="2.3230010626666662"/>
    <n v="0"/>
    <n v="0"/>
    <n v="1"/>
  </r>
  <r>
    <m/>
    <s v="CERRADO"/>
    <s v="L20:Loja Araguari"/>
    <s v="INDIANOPOLIS"/>
    <s v="2018/2019"/>
    <d v="2018-06-19T00:00:00"/>
    <x v="43"/>
    <s v="0775 F1"/>
    <n v="2102"/>
    <s v="kg"/>
    <s v="ARÁBICA"/>
    <s v="Green"/>
    <n v="45"/>
    <m/>
    <m/>
    <s v="29/06/2018"/>
    <n v="454.83280000000002"/>
    <n v="16162.02576"/>
    <s v="BRL"/>
    <n v="3.8552"/>
    <n v="1285.7760234666666"/>
    <n v="0"/>
    <s v="BRL"/>
    <n v="3.8552"/>
    <n v="2102"/>
    <n v="0"/>
    <n v="333.51733333333334"/>
    <n v="0"/>
    <n v="7.1969989373333334"/>
    <n v="0"/>
    <e v="#N/A"/>
    <e v="#N/A"/>
    <n v="5351.4392951269974"/>
    <n v="90.46527551996266"/>
    <n v="97.662274457295993"/>
    <n v="97.662274457295993"/>
    <n v="15934.309093333335"/>
    <n v="227.71666666666533"/>
    <n v="9.5199999999999978"/>
    <n v="2.3230010626666644"/>
    <n v="0"/>
    <n v="0"/>
    <n v="1"/>
  </r>
  <r>
    <m/>
    <s v="CERRADO"/>
    <s v="L20:Loja Araguari"/>
    <s v="INDIANOPOLIS"/>
    <s v="2018/2019"/>
    <d v="2018-06-19T00:00:00"/>
    <x v="44"/>
    <s v="0029 F1"/>
    <n v="14630"/>
    <s v="kg"/>
    <s v="ARÁBICA"/>
    <s v="Green"/>
    <n v="55.000000000000007"/>
    <m/>
    <m/>
    <d v="2018-03-07T00:00:00"/>
    <n v="465.84020000000004"/>
    <n v="115279.5721"/>
    <s v="BRL"/>
    <n v="3.7282999999999999"/>
    <n v="10581.735626000002"/>
    <n v="0"/>
    <s v="BRL"/>
    <n v="3.7282999999999999"/>
    <n v="14630"/>
    <n v="0"/>
    <n v="2838.2200000000003"/>
    <n v="0"/>
    <n v="8.7996919780000002"/>
    <n v="0"/>
    <n v="3.2454000000000001"/>
    <n v="118.15"/>
    <n v="5667.5042340818609"/>
    <n v="95.8656275009495"/>
    <n v="104.6653194789495"/>
    <n v="104.6653194789495"/>
    <n v="113587.36876666667"/>
    <n v="1692.2033333333384"/>
    <n v="11.64"/>
    <n v="2.8403080220000003"/>
    <n v="0"/>
    <n v="0"/>
    <n v="1"/>
  </r>
  <r>
    <m/>
    <s v="CERRADO"/>
    <s v="L20:Loja Araguari"/>
    <s v="INDIANOPOLIS"/>
    <s v="2018/2019"/>
    <d v="2018-06-19T00:00:00"/>
    <x v="45"/>
    <s v="0775 F1"/>
    <n v="420"/>
    <s v="kg"/>
    <s v="ARÁBICA"/>
    <s v="Green"/>
    <n v="45"/>
    <m/>
    <m/>
    <d v="2018-03-07T00:00:00"/>
    <n v="447.85579999999999"/>
    <n v="3196.5906"/>
    <s v="BRL"/>
    <n v="3.8914"/>
    <n v="259.32289599999996"/>
    <n v="0"/>
    <s v="BRL"/>
    <n v="3.8914"/>
    <n v="420"/>
    <n v="0"/>
    <n v="66.639999999999986"/>
    <n v="0"/>
    <n v="7.1969989373333325"/>
    <n v="0"/>
    <n v="3.2454000000000001"/>
    <n v="118.15"/>
    <n v="5220.3313393700464"/>
    <n v="88.715109641879536"/>
    <n v="95.912108579212884"/>
    <n v="95.912108579212884"/>
    <n v="3134.9905999999996"/>
    <n v="61.600000000000364"/>
    <n v="9.52"/>
    <n v="2.3230010626666671"/>
    <n v="0"/>
    <n v="0"/>
    <n v="1"/>
  </r>
  <r>
    <m/>
    <s v="CERRADO"/>
    <s v="L20:Loja Araguari"/>
    <s v="INDIANOPOLIS"/>
    <s v="2018/2019"/>
    <d v="2018-06-19T00:00:00"/>
    <x v="46"/>
    <s v="0775 F1"/>
    <n v="5346"/>
    <s v="kg"/>
    <s v="ARÁBICA"/>
    <s v="Green"/>
    <n v="45"/>
    <m/>
    <m/>
    <d v="2018-11-07T00:00:00"/>
    <n v="519.97139000000004"/>
    <n v="46329.451740000004"/>
    <s v="BRL"/>
    <n v="3.8411"/>
    <n v="3258.1439351999993"/>
    <n v="0"/>
    <s v="BRL"/>
    <n v="3.8411"/>
    <n v="5346"/>
    <n v="0"/>
    <n v="848.23199999999986"/>
    <n v="0"/>
    <n v="7.1969989373333316"/>
    <n v="0"/>
    <n v="4.1306000000000003"/>
    <n v="109.55"/>
    <n v="6140.2997870999016"/>
    <n v="102.33833175315146"/>
    <n v="109.5353306904848"/>
    <n v="109.5353306904848"/>
    <n v="46329.450849000008"/>
    <n v="8.9099999604513869E-4"/>
    <n v="9.52"/>
    <n v="2.3230010626666679"/>
    <n v="0"/>
    <n v="0"/>
    <n v="1"/>
  </r>
  <r>
    <m/>
    <s v="CERRADO"/>
    <s v="L20:Loja Araguari"/>
    <s v="INDIANOPOLIS"/>
    <s v="2018/2019"/>
    <d v="2018-06-20T00:00:00"/>
    <x v="47"/>
    <s v="0605 F1"/>
    <n v="10095"/>
    <s v="kg"/>
    <s v="ARÁBICA"/>
    <s v="Green"/>
    <n v="55.000000000000007"/>
    <m/>
    <m/>
    <s v="25/06/2018"/>
    <n v="468.40409999999997"/>
    <n v="78831.955950000003"/>
    <s v="BRL"/>
    <n v="3.7753999999999999"/>
    <n v="7393.8566220000002"/>
    <n v="0"/>
    <s v="BRL"/>
    <n v="3.7753999999999999"/>
    <n v="10095"/>
    <n v="0"/>
    <n v="1958.43"/>
    <n v="0"/>
    <n v="8.7996919780000002"/>
    <n v="0"/>
    <e v="#N/A"/>
    <e v="#N/A"/>
    <n v="5627.603057602294"/>
    <n v="93.820717096299759"/>
    <n v="102.62040907429976"/>
    <n v="102.62040907429976"/>
    <n v="78808.989824999997"/>
    <n v="22.966125000006286"/>
    <n v="11.640000000000002"/>
    <n v="2.8403080220000021"/>
    <n v="0"/>
    <n v="0"/>
    <n v="1"/>
  </r>
  <r>
    <m/>
    <s v="CERRADO"/>
    <s v="L20:Loja Araguari"/>
    <s v="INDIANOPOLIS"/>
    <s v="2018/2019"/>
    <d v="2018-06-20T00:00:00"/>
    <x v="48"/>
    <s v="0605 F1"/>
    <n v="3665"/>
    <s v="kg"/>
    <s v="ARÁBICA"/>
    <s v="Green"/>
    <n v="55.000000000000007"/>
    <m/>
    <m/>
    <s v="25/06/2018"/>
    <n v="483.23939999999999"/>
    <n v="29517.873350000002"/>
    <s v="BRL"/>
    <n v="3.7753999999999999"/>
    <n v="2684.347154"/>
    <n v="0"/>
    <s v="BRL"/>
    <n v="3.7753999999999999"/>
    <n v="3665"/>
    <n v="0"/>
    <n v="711.01"/>
    <n v="0"/>
    <n v="8.7996919780000002"/>
    <n v="0"/>
    <e v="#N/A"/>
    <e v="#N/A"/>
    <n v="5805.8405658573402"/>
    <n v="96.764009430955667"/>
    <n v="105.56370140895568"/>
    <n v="105.56370140895568"/>
    <n v="29517.873350000002"/>
    <n v="0"/>
    <n v="11.640000000000002"/>
    <n v="2.8403080220000021"/>
    <n v="0"/>
    <n v="0"/>
    <n v="1"/>
  </r>
  <r>
    <m/>
    <s v="CERRADO"/>
    <s v="L20:Loja Araguari"/>
    <s v="INDIANOPOLIS"/>
    <s v="2018/2019"/>
    <d v="2018-06-20T00:00:00"/>
    <x v="49"/>
    <s v="0605 F1"/>
    <n v="5830"/>
    <s v="kg"/>
    <s v="ARÁBICA"/>
    <s v="Green"/>
    <n v="55.000000000000007"/>
    <m/>
    <m/>
    <s v="25/06/2018"/>
    <n v="484.37340000000006"/>
    <n v="47064.948700000008"/>
    <s v="BRL"/>
    <n v="3.7753999999999999"/>
    <n v="4270.0529080000006"/>
    <n v="0"/>
    <s v="BRL"/>
    <n v="3.7753999999999999"/>
    <n v="5830"/>
    <n v="0"/>
    <n v="1131.0200000000002"/>
    <n v="0"/>
    <n v="8.799691978000002"/>
    <n v="0"/>
    <e v="#N/A"/>
    <e v="#N/A"/>
    <n v="5819.4649168553815"/>
    <n v="96.991081947589691"/>
    <n v="105.79077392558968"/>
    <n v="105.79077392558968"/>
    <n v="47064.948700000001"/>
    <n v="0"/>
    <n v="11.640000000000002"/>
    <n v="2.8403080220000003"/>
    <n v="0"/>
    <n v="0"/>
    <n v="1"/>
  </r>
  <r>
    <m/>
    <s v="CERRADO"/>
    <s v="L20:Loja Araguari"/>
    <s v="INDIANOPOLIS"/>
    <s v="2018/2019"/>
    <d v="2018-06-21T00:00:00"/>
    <x v="50"/>
    <s v="0605 F1"/>
    <n v="2450"/>
    <s v="kg"/>
    <s v="ARÁBICA"/>
    <s v="Green"/>
    <n v="50"/>
    <m/>
    <m/>
    <s v="25/06/2018"/>
    <n v="464.36872163265303"/>
    <n v="18967.296549999999"/>
    <s v="BRL"/>
    <n v="3.7753999999999999"/>
    <n v="1517.9146715999998"/>
    <n v="0"/>
    <s v="BRL"/>
    <n v="3.7753999999999999"/>
    <n v="2450"/>
    <n v="0"/>
    <n v="402.05399999999997"/>
    <n v="0"/>
    <n v="7.4436174174685705"/>
    <n v="0"/>
    <e v="#N/A"/>
    <e v="#N/A"/>
    <n v="5579.1203315999728"/>
    <n v="93.012671662927701"/>
    <n v="100.45628908039627"/>
    <n v="100.45628908039627"/>
    <n v="18961.7228"/>
    <n v="5.5737499999995634"/>
    <n v="9.8462204081632656"/>
    <n v="2.4026029906946951"/>
    <n v="0"/>
    <n v="0"/>
    <n v="1"/>
  </r>
  <r>
    <m/>
    <s v="CERRADO"/>
    <s v="L20:Loja Araguari"/>
    <s v="INDIANOPOLIS"/>
    <s v="2018/2019"/>
    <d v="2018-06-21T00:00:00"/>
    <x v="51"/>
    <s v="0012 F5"/>
    <n v="1798"/>
    <s v="kg"/>
    <s v="ARÁBICA"/>
    <s v="Green"/>
    <n v="55.000000000000007"/>
    <m/>
    <m/>
    <s v="25/06/2018"/>
    <n v="448.66780000000006"/>
    <n v="13639.86174"/>
    <s v="BRL"/>
    <n v="3.7753999999999999"/>
    <n v="1316.9048247999999"/>
    <n v="0"/>
    <s v="BRL"/>
    <n v="3.7753999999999999"/>
    <n v="1798"/>
    <n v="0"/>
    <n v="348.81200000000001"/>
    <n v="0"/>
    <n v="8.7996919780000002"/>
    <n v="0"/>
    <e v="#N/A"/>
    <e v="#N/A"/>
    <n v="5390.4828824677124"/>
    <n v="91.142943418660295"/>
    <n v="99.942635396660293"/>
    <n v="99.942635396660293"/>
    <n v="13445.078406666667"/>
    <n v="194.78333333333285"/>
    <n v="11.64"/>
    <n v="2.8403080220000003"/>
    <n v="0"/>
    <n v="0"/>
    <n v="1"/>
  </r>
  <r>
    <m/>
    <s v="CERRADO"/>
    <s v="L20:Loja Araguari"/>
    <s v="INDIANOPOLIS"/>
    <s v="2018/2019"/>
    <d v="2018-06-21T00:00:00"/>
    <x v="52"/>
    <s v="0012 F5"/>
    <n v="7732"/>
    <s v="kg"/>
    <s v="ARÁBICA"/>
    <s v="Green"/>
    <n v="55.000000000000007"/>
    <m/>
    <m/>
    <d v="2018-10-07T00:00:00"/>
    <n v="465.75903999999997"/>
    <n v="60039.90784"/>
    <s v="BRL"/>
    <n v="3.8445999999999998"/>
    <n v="5766.9307567999995"/>
    <n v="0"/>
    <s v="BRL"/>
    <n v="3.8445999999999998"/>
    <n v="7732"/>
    <n v="0"/>
    <n v="1500.008"/>
    <n v="0"/>
    <n v="8.7996919779999985"/>
    <n v="0"/>
    <n v="4.1306000000000003"/>
    <n v="109.55"/>
    <n v="5495.1034386548617"/>
    <n v="91.614190920626328"/>
    <n v="100.41388289862633"/>
    <n v="100.41388289862633"/>
    <n v="60020.814954666661"/>
    <n v="19.092885333338927"/>
    <n v="11.64"/>
    <n v="2.8403080220000021"/>
    <n v="0"/>
    <n v="0"/>
    <n v="1"/>
  </r>
  <r>
    <m/>
    <s v="CERRADO"/>
    <s v="L20:Loja Araguari"/>
    <s v="INDIANOPOLIS"/>
    <s v="2018/2019"/>
    <d v="2018-06-22T00:00:00"/>
    <x v="53"/>
    <s v="1507 F1"/>
    <n v="4792"/>
    <s v="kg"/>
    <s v="ARÁBICA"/>
    <s v="Green"/>
    <n v="55.000000000000007"/>
    <m/>
    <m/>
    <s v="25/06/2018"/>
    <n v="477.72520000000003"/>
    <n v="38553.65264"/>
    <s v="BRL"/>
    <n v="3.7406999999999999"/>
    <n v="3477.5342735999998"/>
    <n v="0"/>
    <s v="BRL"/>
    <n v="3.7406999999999999"/>
    <n v="4792"/>
    <n v="0"/>
    <n v="929.64799999999991"/>
    <n v="0"/>
    <n v="8.7996919780000002"/>
    <n v="0"/>
    <e v="#N/A"/>
    <e v="#N/A"/>
    <n v="5792.8330439950814"/>
    <n v="97.557706457224583"/>
    <n v="106.3573984352246"/>
    <n v="106.3573984352246"/>
    <n v="38154.319306666664"/>
    <n v="399.33333333333576"/>
    <n v="11.64"/>
    <n v="2.8403080220000003"/>
    <n v="0"/>
    <n v="0"/>
    <n v="1"/>
  </r>
  <r>
    <m/>
    <s v="CERRADO"/>
    <s v="L20:Loja Araguari"/>
    <s v="INDIANOPOLIS"/>
    <s v="2018/2019"/>
    <d v="2018-06-22T00:00:00"/>
    <x v="54"/>
    <s v="1507 F1"/>
    <n v="1558"/>
    <s v="kg"/>
    <s v="ARÁBICA"/>
    <s v="Green"/>
    <n v="55.000000000000007"/>
    <m/>
    <m/>
    <s v="25/06/2018"/>
    <n v="470.93420000000003"/>
    <n v="12232.590260000001"/>
    <s v="BRL"/>
    <n v="3.7753999999999999"/>
    <n v="1141.1222008"/>
    <n v="0"/>
    <s v="BRL"/>
    <n v="3.7753999999999999"/>
    <n v="1558"/>
    <n v="0"/>
    <n v="302.25200000000001"/>
    <n v="0"/>
    <n v="8.7996919780000002"/>
    <n v="0"/>
    <e v="#N/A"/>
    <e v="#N/A"/>
    <n v="5658.000738784076"/>
    <n v="94.330849321499727"/>
    <n v="103.13054129949973"/>
    <n v="103.13054129949973"/>
    <n v="12228.591393333334"/>
    <n v="3.9988666666667996"/>
    <n v="11.64"/>
    <n v="2.8403080220000003"/>
    <n v="0"/>
    <n v="0"/>
    <n v="1"/>
  </r>
  <r>
    <m/>
    <s v="CERRADO"/>
    <s v="L20:Loja Araguari"/>
    <s v="INDIANOPOLIS"/>
    <s v="2018/2019"/>
    <d v="2018-06-22T00:00:00"/>
    <x v="55"/>
    <s v="1507 F1"/>
    <n v="8400"/>
    <s v="kg"/>
    <s v="ARÁBICA"/>
    <s v="Green"/>
    <n v="45"/>
    <m/>
    <m/>
    <s v="25/06/2018"/>
    <n v="470.93419999999998"/>
    <n v="65952.347999999998"/>
    <s v="BRL"/>
    <n v="3.7753999999999999"/>
    <n v="5031.8531199999989"/>
    <n v="0"/>
    <s v="BRL"/>
    <n v="3.7753999999999999"/>
    <n v="8400"/>
    <n v="0"/>
    <n v="1332.7999999999997"/>
    <n v="0"/>
    <n v="7.1969989373333307"/>
    <n v="0"/>
    <e v="#N/A"/>
    <e v="#N/A"/>
    <n v="5658.000738784076"/>
    <n v="94.330849321499713"/>
    <n v="101.52784825883303"/>
    <n v="101.52784825883303"/>
    <n v="65930.788"/>
    <n v="21.559999999997672"/>
    <n v="9.52"/>
    <n v="2.3230010626666688"/>
    <n v="0"/>
    <n v="0"/>
    <n v="1"/>
  </r>
  <r>
    <m/>
    <s v="CERRADO"/>
    <s v="L20:Loja Araguari"/>
    <s v="INDIANOPOLIS"/>
    <s v="2018/2019"/>
    <d v="2018-06-22T00:00:00"/>
    <x v="56"/>
    <s v="0682 F1"/>
    <n v="11949"/>
    <s v="kg"/>
    <s v="ARÁBICA"/>
    <s v="Green"/>
    <n v="45"/>
    <m/>
    <m/>
    <s v="29/06/2018"/>
    <n v="475.66859999999997"/>
    <n v="94729.401689999999"/>
    <s v="BRL"/>
    <n v="3.8552"/>
    <n v="7309.1045216000002"/>
    <n v="0"/>
    <s v="BRL"/>
    <n v="3.8552"/>
    <n v="11949"/>
    <n v="0"/>
    <n v="1895.9080000000001"/>
    <n v="0"/>
    <n v="7.1969989373333334"/>
    <n v="0"/>
    <e v="#N/A"/>
    <e v="#N/A"/>
    <n v="5596.5876636382554"/>
    <n v="93.276461060637587"/>
    <n v="100.47345999797093"/>
    <n v="100.47345999797093"/>
    <n v="94729.401689999999"/>
    <n v="0"/>
    <n v="9.52"/>
    <n v="2.3230010626666662"/>
    <n v="0"/>
    <n v="0"/>
    <n v="1"/>
  </r>
  <r>
    <m/>
    <s v="CERRADO"/>
    <s v="L20:Loja Araguari"/>
    <s v="INDIANOPOLIS"/>
    <s v="2018/2019"/>
    <d v="2018-06-22T00:00:00"/>
    <x v="57"/>
    <s v="0682 F1"/>
    <n v="1621"/>
    <s v="kg"/>
    <s v="ARÁBICA"/>
    <s v="Green"/>
    <n v="45"/>
    <m/>
    <m/>
    <s v="13/07/2018"/>
    <n v="440.68317000000002"/>
    <n v="11905.79112"/>
    <s v="BRL"/>
    <n v="3.8738999999999999"/>
    <n v="996.36191480000002"/>
    <n v="0"/>
    <s v="BRL"/>
    <n v="3.8738999999999999"/>
    <n v="1621"/>
    <n v="0"/>
    <n v="257.19866666666667"/>
    <n v="0"/>
    <n v="7.1969989373333352"/>
    <n v="0"/>
    <e v="#N/A"/>
    <e v="#N/A"/>
    <n v="5159.9298768531171"/>
    <n v="85.998837135351963"/>
    <n v="93.19583607268531"/>
    <n v="93.19583607268531"/>
    <n v="11905.7903095"/>
    <n v="8.104999997158302E-4"/>
    <n v="9.52"/>
    <n v="2.3230010626666644"/>
    <n v="0"/>
    <n v="0"/>
    <n v="1"/>
  </r>
  <r>
    <m/>
    <s v="CERRADO"/>
    <s v="L20:Loja Araguari"/>
    <s v="INDIANOPOLIS"/>
    <s v="2018/2019"/>
    <d v="2018-06-13T00:00:00"/>
    <x v="58"/>
    <s v="0605 F1"/>
    <n v="13560"/>
    <s v="kg"/>
    <s v="ARÁBICA"/>
    <s v="Green"/>
    <n v="45"/>
    <m/>
    <m/>
    <s v="25/06/2018"/>
    <n v="469.4325"/>
    <n v="106122.594"/>
    <s v="BRL"/>
    <n v="3.7753999999999999"/>
    <n v="8122.8486079999984"/>
    <n v="0"/>
    <s v="BRL"/>
    <n v="3.7753999999999999"/>
    <n v="13560"/>
    <n v="0"/>
    <n v="2151.5199999999995"/>
    <n v="0"/>
    <n v="7.1969989373333316"/>
    <n v="0"/>
    <e v="#N/A"/>
    <e v="#N/A"/>
    <n v="5639.958685967712"/>
    <n v="94.026644235723381"/>
    <n v="101.2236431730567"/>
    <n v="101.2236431730567"/>
    <n v="106091.74500000001"/>
    <n v="30.848999999987427"/>
    <n v="9.52"/>
    <n v="2.3230010626666679"/>
    <n v="0"/>
    <n v="0"/>
    <n v="1"/>
  </r>
  <r>
    <m/>
    <s v="CERRADO"/>
    <s v="L20:Loja Araguari"/>
    <s v="INDIANOPOLIS"/>
    <s v="2018/2019"/>
    <d v="2018-06-13T00:00:00"/>
    <x v="59"/>
    <s v="0605 F1"/>
    <n v="2600"/>
    <s v="kg"/>
    <s v="ARÁBICA"/>
    <s v="Green"/>
    <n v="45"/>
    <m/>
    <m/>
    <s v="25/06/2018"/>
    <n v="468.40409999999991"/>
    <n v="20303.425999999999"/>
    <s v="BRL"/>
    <n v="3.7753999999999999"/>
    <n v="1557.4783466666665"/>
    <n v="0"/>
    <s v="BRL"/>
    <n v="3.7753999999999999"/>
    <n v="2600"/>
    <n v="0"/>
    <n v="412.5333333333333"/>
    <n v="0"/>
    <n v="7.1969989373333334"/>
    <n v="0"/>
    <e v="#N/A"/>
    <e v="#N/A"/>
    <n v="5627.6030576022931"/>
    <n v="93.820717096299731"/>
    <n v="101.01771603363306"/>
    <n v="101.01771603363306"/>
    <n v="20297.510999999995"/>
    <n v="5.9150000000045111"/>
    <n v="9.5200000000000014"/>
    <n v="2.3230010626666679"/>
    <n v="0"/>
    <n v="0"/>
    <n v="1"/>
  </r>
  <r>
    <m/>
    <s v="CERRADO"/>
    <s v="L20:Loja Araguari"/>
    <s v="INDIANOPOLIS"/>
    <s v="2018/2019"/>
    <d v="2018-06-25T00:00:00"/>
    <x v="60"/>
    <s v="0012 F6"/>
    <n v="8991"/>
    <s v="kg"/>
    <s v="ARÁBICA"/>
    <s v="Green"/>
    <n v="45"/>
    <m/>
    <m/>
    <s v="25/06/2018"/>
    <n v="476.67780000000005"/>
    <n v="71789.178960000005"/>
    <s v="BRL"/>
    <n v="3.7406999999999999"/>
    <n v="5336.3778803999994"/>
    <n v="0"/>
    <s v="BRL"/>
    <n v="3.7406999999999999"/>
    <n v="8991"/>
    <n v="0"/>
    <n v="1426.5719999999999"/>
    <n v="0"/>
    <n v="7.1969989373333316"/>
    <n v="0"/>
    <e v="#N/A"/>
    <e v="#N/A"/>
    <n v="5780.1324091316073"/>
    <n v="96.819726088892466"/>
    <n v="104.0167250262258"/>
    <n v="104.0167250262258"/>
    <n v="71430.16833"/>
    <n v="359.01063000000431"/>
    <n v="9.52"/>
    <n v="2.3230010626666679"/>
    <n v="0"/>
    <n v="0"/>
    <n v="1"/>
  </r>
  <r>
    <m/>
    <s v="CERRADO"/>
    <s v="L20:Loja Araguari"/>
    <s v="INDIANOPOLIS"/>
    <s v="2018/2019"/>
    <d v="2018-06-25T00:00:00"/>
    <x v="61"/>
    <s v="0761 F1"/>
    <n v="8490"/>
    <s v="kg"/>
    <s v="ARÁBICA"/>
    <s v="Green"/>
    <n v="45"/>
    <m/>
    <m/>
    <s v="26/06/2018"/>
    <n v="453.77080000000001"/>
    <n v="65170.768199999999"/>
    <s v="BRL"/>
    <n v="3.7715000000000001"/>
    <n v="5080.5122199999996"/>
    <n v="0"/>
    <s v="BRL"/>
    <n v="3.7715000000000001"/>
    <n v="8490"/>
    <n v="0"/>
    <n v="1347.08"/>
    <n v="0"/>
    <n v="7.1969989373333334"/>
    <n v="0"/>
    <e v="#N/A"/>
    <e v="#N/A"/>
    <n v="5457.4300042104214"/>
    <n v="92.320208902203376"/>
    <n v="99.517207839536695"/>
    <n v="99.517207839536695"/>
    <n v="64208.568200000002"/>
    <n v="962.19999999999709"/>
    <n v="9.52"/>
    <n v="2.3230010626666662"/>
    <n v="0"/>
    <n v="0"/>
    <n v="1"/>
  </r>
  <r>
    <m/>
    <s v="CERRADO"/>
    <s v="L20:Loja Araguari"/>
    <s v="INDIANOPOLIS"/>
    <s v="2018/2019"/>
    <d v="2018-06-25T00:00:00"/>
    <x v="62"/>
    <s v="0012 F6"/>
    <n v="839"/>
    <s v="kg"/>
    <s v="ARÁBICA"/>
    <s v="Green"/>
    <n v="45"/>
    <m/>
    <m/>
    <d v="2018-09-07T00:00:00"/>
    <n v="482.99087000000003"/>
    <n v="6756.0055499999999"/>
    <s v="BRL"/>
    <n v="3.8679999999999999"/>
    <n v="514.91331733333323"/>
    <n v="0"/>
    <s v="BRL"/>
    <n v="3.8679999999999999"/>
    <n v="839"/>
    <n v="0"/>
    <n v="133.1213333333333"/>
    <n v="0"/>
    <n v="7.1969989373333325"/>
    <n v="0"/>
    <n v="4.1306000000000003"/>
    <n v="109.55"/>
    <n v="5663.934162659305"/>
    <n v="94.42941778196743"/>
    <n v="101.62641671930075"/>
    <n v="101.62641671930075"/>
    <n v="6753.8223321666674"/>
    <n v="2.1832178333324919"/>
    <n v="9.52"/>
    <n v="2.3230010626666671"/>
    <n v="0"/>
    <n v="0"/>
    <n v="1"/>
  </r>
  <r>
    <m/>
    <s v="CERRADO"/>
    <s v="L20:Loja Araguari"/>
    <s v="INDIANOPOLIS"/>
    <s v="2018/2019"/>
    <d v="2018-06-25T00:00:00"/>
    <x v="63"/>
    <s v="0682 F1"/>
    <n v="10320"/>
    <s v="kg"/>
    <s v="ARÁBICA"/>
    <s v="Green"/>
    <n v="45"/>
    <m/>
    <m/>
    <s v="13/07/2018"/>
    <n v="440.68019999999996"/>
    <n v="75796.994399999996"/>
    <s v="BRL"/>
    <n v="3.8738999999999999"/>
    <n v="6343.278816"/>
    <n v="0"/>
    <s v="BRL"/>
    <n v="3.8738999999999999"/>
    <n v="10320"/>
    <n v="0"/>
    <n v="1637.44"/>
    <n v="0"/>
    <n v="7.1969989373333325"/>
    <n v="0"/>
    <e v="#N/A"/>
    <e v="#N/A"/>
    <n v="5159.8951013209944"/>
    <n v="85.99825168868324"/>
    <n v="93.195250626016573"/>
    <n v="93.195250626016573"/>
    <n v="75796.994399999996"/>
    <n v="0"/>
    <n v="9.5199999999999978"/>
    <n v="2.3230010626666653"/>
    <n v="0"/>
    <n v="0"/>
    <n v="1"/>
  </r>
  <r>
    <m/>
    <s v="CERRADO"/>
    <s v="L20:Loja Araguari"/>
    <s v="INDIANOPOLIS"/>
    <s v="2018/2019"/>
    <d v="2018-06-26T00:00:00"/>
    <x v="64"/>
    <s v="1294 F1"/>
    <n v="9080"/>
    <s v="kg"/>
    <s v="ARÁBICA"/>
    <s v="Green"/>
    <n v="45"/>
    <m/>
    <m/>
    <s v="26/06/2018"/>
    <n v="462.64120000000003"/>
    <n v="70033.767600000006"/>
    <s v="BRL"/>
    <n v="3.7715000000000001"/>
    <n v="5433.5749066666667"/>
    <n v="0"/>
    <s v="BRL"/>
    <n v="3.7715000000000001"/>
    <n v="9080"/>
    <n v="0"/>
    <n v="1440.6933333333334"/>
    <n v="0"/>
    <n v="7.1969989373333343"/>
    <n v="0"/>
    <e v="#N/A"/>
    <e v="#N/A"/>
    <n v="5564.1129091248577"/>
    <n v="92.762676442765496"/>
    <n v="99.959675380098815"/>
    <n v="99.959675380098815"/>
    <n v="70013.034933333329"/>
    <n v="20.732666666677687"/>
    <n v="9.52"/>
    <n v="2.3230010626666653"/>
    <n v="0"/>
    <n v="0"/>
    <n v="1"/>
  </r>
  <r>
    <m/>
    <s v="CERRADO"/>
    <s v="L20:Loja Araguari"/>
    <s v="INDIANOPOLIS"/>
    <s v="2018/2019"/>
    <d v="2018-06-26T00:00:00"/>
    <x v="65"/>
    <s v="0945 F1"/>
    <n v="3054"/>
    <s v="kg"/>
    <s v="ARÁBICA"/>
    <s v="Green"/>
    <n v="55.000000000000007"/>
    <m/>
    <m/>
    <d v="2018-04-07T00:00:00"/>
    <n v="491.86430000000001"/>
    <n v="25044.05214"/>
    <s v="BRL"/>
    <n v="3.9051999999999998"/>
    <n v="2313.7372751999997"/>
    <n v="0"/>
    <s v="BRL"/>
    <n v="3.9051999999999998"/>
    <n v="3054"/>
    <n v="0"/>
    <n v="592.476"/>
    <n v="0"/>
    <n v="8.7996919779999985"/>
    <n v="0"/>
    <n v="3.3696999999999999"/>
    <n v="116.8"/>
    <n v="5713.046541928481"/>
    <n v="95.248474005728269"/>
    <n v="104.04816598372825"/>
    <n v="104.04816598372825"/>
    <n v="25035.89287"/>
    <n v="8.1592700000001059"/>
    <n v="11.639999999999999"/>
    <n v="2.8403080220000003"/>
    <n v="0"/>
    <n v="0"/>
    <n v="1"/>
  </r>
  <r>
    <m/>
    <s v="CERRADO"/>
    <s v="L20:Loja Araguari"/>
    <s v="INDIANOPOLIS"/>
    <s v="2018/2019"/>
    <d v="2018-06-28T00:00:00"/>
    <x v="66"/>
    <s v="0934 F1"/>
    <n v="6660"/>
    <s v="kg"/>
    <s v="ARÁBICA"/>
    <s v="Green"/>
    <n v="55.000000000000007"/>
    <m/>
    <m/>
    <s v="13/07/2018"/>
    <n v="499.05180000000007"/>
    <n v="55414.263600000006"/>
    <s v="BRL"/>
    <n v="3.8738999999999999"/>
    <n v="5005.2337560000005"/>
    <n v="0"/>
    <s v="BRL"/>
    <n v="3.8738999999999999"/>
    <n v="6660"/>
    <n v="0"/>
    <n v="1292.0400000000002"/>
    <n v="0"/>
    <n v="8.799691978000002"/>
    <n v="0"/>
    <e v="#N/A"/>
    <e v="#N/A"/>
    <n v="5843.3642766918611"/>
    <n v="97.423711786318705"/>
    <n v="106.2234037643187"/>
    <n v="106.2234037643187"/>
    <n v="55394.749800000005"/>
    <n v="19.513800000000629"/>
    <n v="11.640000000000002"/>
    <n v="2.8403080220000003"/>
    <n v="0"/>
    <n v="0"/>
    <n v="1"/>
  </r>
  <r>
    <m/>
    <s v="CERRADO"/>
    <s v="L20:Loja Araguari"/>
    <s v="INDIANOPOLIS"/>
    <s v="2018/2019"/>
    <d v="2018-06-27T00:00:00"/>
    <x v="67"/>
    <s v="0386 F1"/>
    <n v="7320"/>
    <s v="kg"/>
    <s v="ARÁBICA"/>
    <s v="Green"/>
    <n v="45"/>
    <m/>
    <m/>
    <s v="29/06/2018"/>
    <n v="473.94759999999997"/>
    <n v="57837.369599999998"/>
    <s v="BRL"/>
    <n v="3.8552"/>
    <n v="4477.5834880000002"/>
    <n v="0"/>
    <s v="BRL"/>
    <n v="3.8552"/>
    <n v="7320"/>
    <n v="0"/>
    <n v="1161.44"/>
    <n v="0"/>
    <n v="7.1969989373333334"/>
    <n v="0"/>
    <e v="#N/A"/>
    <e v="#N/A"/>
    <n v="5576.3388446724412"/>
    <n v="92.964316280182615"/>
    <n v="100.16131521751595"/>
    <n v="100.16131521751595"/>
    <n v="57821.607199999991"/>
    <n v="15.762400000006892"/>
    <n v="9.52"/>
    <n v="2.3230010626666662"/>
    <n v="0"/>
    <n v="0"/>
    <n v="1"/>
  </r>
  <r>
    <m/>
    <s v="CERRADO"/>
    <s v="L20:Loja Araguari"/>
    <s v="INDIANOPOLIS"/>
    <s v="2018/2019"/>
    <d v="2018-06-29T00:00:00"/>
    <x v="68"/>
    <s v="0540 F2"/>
    <n v="8430"/>
    <s v="kg"/>
    <s v="ARÁBICA"/>
    <s v="Green"/>
    <n v="45"/>
    <m/>
    <m/>
    <s v="29/06/2018"/>
    <n v="491.50609999999995"/>
    <n v="69079.129199999996"/>
    <s v="BRL"/>
    <n v="3.8552"/>
    <n v="5156.5613119999998"/>
    <n v="0"/>
    <s v="BRL"/>
    <n v="3.8552"/>
    <n v="8430"/>
    <n v="0"/>
    <n v="1337.56"/>
    <n v="0"/>
    <n v="7.1969989373333334"/>
    <n v="0"/>
    <e v="#N/A"/>
    <e v="#N/A"/>
    <n v="5782.9273907568222"/>
    <n v="96.413557284260236"/>
    <n v="103.61055622159357"/>
    <n v="103.61055622159357"/>
    <n v="69056.607049999991"/>
    <n v="22.522150000004331"/>
    <n v="9.5199999999999978"/>
    <n v="2.3230010626666644"/>
    <n v="0"/>
    <n v="0"/>
    <n v="1"/>
  </r>
  <r>
    <m/>
    <s v="CERRADO"/>
    <s v="L20:Loja Araguari"/>
    <s v="INDIANOPOLIS"/>
    <s v="2018/2019"/>
    <d v="2018-06-29T00:00:00"/>
    <x v="69"/>
    <s v="0770 F1"/>
    <n v="1020"/>
    <s v="kg"/>
    <s v="ARÁBICA"/>
    <s v="Green"/>
    <n v="55.000000000000007"/>
    <m/>
    <m/>
    <s v="29/06/2018"/>
    <n v="548.37022999999999"/>
    <n v="9323.5241999999998"/>
    <s v="BRL"/>
    <n v="3.8552"/>
    <n v="762.86697600000014"/>
    <n v="0"/>
    <s v="BRL"/>
    <n v="3.8552"/>
    <n v="1020"/>
    <n v="0"/>
    <n v="197.88000000000002"/>
    <n v="0"/>
    <n v="8.799691978000002"/>
    <n v="0"/>
    <e v="#N/A"/>
    <e v="#N/A"/>
    <n v="6451.975312905819"/>
    <n v="107.54711331144169"/>
    <n v="116.34680528944169"/>
    <n v="116.34680528944169"/>
    <n v="9322.2939100000003"/>
    <n v="1.2302899999995134"/>
    <n v="11.640000000000004"/>
    <n v="2.8403080220000021"/>
    <n v="0"/>
    <n v="0"/>
    <n v="1"/>
  </r>
  <r>
    <m/>
    <s v="CERRADO"/>
    <s v="L20:Loja Araguari"/>
    <s v="INDIANOPOLIS"/>
    <s v="2018/2019"/>
    <d v="2018-06-29T00:00:00"/>
    <x v="70"/>
    <s v="0770 F1"/>
    <n v="3170"/>
    <s v="kg"/>
    <s v="ARÁBICA"/>
    <s v="Green"/>
    <n v="55.000000000000007"/>
    <m/>
    <m/>
    <s v="29/06/2018"/>
    <n v="548.37022999999999"/>
    <n v="28976.0507"/>
    <s v="BRL"/>
    <n v="3.8552"/>
    <n v="2370.8708960000004"/>
    <n v="0"/>
    <s v="BRL"/>
    <n v="3.8552"/>
    <n v="3170"/>
    <n v="0"/>
    <n v="614.98000000000013"/>
    <n v="0"/>
    <n v="8.7996919780000002"/>
    <n v="0"/>
    <e v="#N/A"/>
    <e v="#N/A"/>
    <n v="6451.9753129058181"/>
    <n v="107.54711331144169"/>
    <n v="116.34680528944169"/>
    <n v="116.34680528944169"/>
    <n v="28972.227151666666"/>
    <n v="3.823548333333747"/>
    <n v="11.640000000000004"/>
    <n v="2.8403080220000039"/>
    <n v="0"/>
    <n v="0"/>
    <n v="1"/>
  </r>
  <r>
    <m/>
    <s v="CERRADO"/>
    <s v="L20:Loja Araguari"/>
    <s v="INDIANOPOLIS"/>
    <s v="2018/2019"/>
    <d v="2018-06-29T00:00:00"/>
    <x v="71"/>
    <s v="0770 F1"/>
    <n v="4740"/>
    <s v="kg"/>
    <s v="ARÁBICA"/>
    <s v="Green"/>
    <n v="55.000000000000007"/>
    <m/>
    <m/>
    <s v="29/06/2018"/>
    <n v="452.9058"/>
    <n v="36319.065000000002"/>
    <s v="BRL"/>
    <n v="3.8552"/>
    <n v="3545.0877120000005"/>
    <n v="0"/>
    <s v="BRL"/>
    <n v="3.8552"/>
    <n v="4740"/>
    <n v="0"/>
    <n v="919.56000000000017"/>
    <n v="0"/>
    <n v="8.799691978000002"/>
    <n v="0"/>
    <e v="#N/A"/>
    <e v="#N/A"/>
    <n v="5328.7667360641735"/>
    <n v="90.151954166645055"/>
    <n v="98.951646144645053"/>
    <n v="98.951646144645053"/>
    <n v="35779.558199999999"/>
    <n v="539.50680000000284"/>
    <n v="11.640000000000004"/>
    <n v="2.8403080220000021"/>
    <n v="0"/>
    <n v="0"/>
    <n v="1"/>
  </r>
  <r>
    <m/>
    <s v="CERRADO"/>
    <s v="L20:Loja Araguari"/>
    <s v="INDIANOPOLIS"/>
    <s v="2018/2019"/>
    <d v="2018-06-29T00:00:00"/>
    <x v="72"/>
    <s v="0770 F1"/>
    <n v="60"/>
    <s v="kg"/>
    <s v="ARÁBICA"/>
    <s v="Green"/>
    <n v="55.000000000000007"/>
    <m/>
    <m/>
    <s v="29/06/2018"/>
    <n v="452.9058"/>
    <n v="459.73500000000001"/>
    <s v="BRL"/>
    <n v="3.8552"/>
    <n v="44.874528000000005"/>
    <n v="0"/>
    <s v="BRL"/>
    <n v="3.8552"/>
    <n v="60"/>
    <n v="0"/>
    <n v="11.64"/>
    <n v="0"/>
    <n v="8.799691978000002"/>
    <n v="0"/>
    <e v="#N/A"/>
    <e v="#N/A"/>
    <n v="5328.7667360641735"/>
    <n v="90.151954166645069"/>
    <n v="98.951646144645068"/>
    <n v="98.951646144645068"/>
    <n v="452.90579999999994"/>
    <n v="6.8292000000000712"/>
    <n v="11.64"/>
    <n v="2.8403080219999985"/>
    <n v="0"/>
    <n v="0"/>
    <n v="1"/>
  </r>
  <r>
    <m/>
    <s v="CERRADO"/>
    <s v="L20:Loja Araguari"/>
    <s v="INDIANOPOLIS"/>
    <s v="2018/2019"/>
    <d v="2018-06-29T00:00:00"/>
    <x v="73"/>
    <s v="0775 F1"/>
    <n v="918"/>
    <s v="kg"/>
    <s v="ARÁBICA"/>
    <s v="Green"/>
    <n v="55.000000000000007"/>
    <m/>
    <m/>
    <s v="29/06/2018"/>
    <n v="452.71239999999995"/>
    <n v="7025.9497199999996"/>
    <s v="BRL"/>
    <n v="3.8552"/>
    <n v="686.58027840000011"/>
    <n v="0"/>
    <s v="BRL"/>
    <n v="3.8552"/>
    <n v="918"/>
    <n v="0"/>
    <n v="178.09200000000004"/>
    <n v="0"/>
    <n v="8.799691978000002"/>
    <n v="0"/>
    <e v="#N/A"/>
    <e v="#N/A"/>
    <n v="5326.4912441478518"/>
    <n v="90.049474670310232"/>
    <n v="98.849166648310231"/>
    <n v="98.849166648310231"/>
    <n v="6926.4997199999989"/>
    <n v="99.450000000000728"/>
    <n v="11.640000000000004"/>
    <n v="2.8403080220000021"/>
    <n v="0"/>
    <n v="0"/>
    <n v="1"/>
  </r>
  <r>
    <m/>
    <s v="CERRADO"/>
    <s v="L20:Loja Araguari"/>
    <s v="INDIANOPOLIS"/>
    <s v="2018/2019"/>
    <d v="2018-06-29T00:00:00"/>
    <x v="74"/>
    <s v="0231 F2"/>
    <n v="2142"/>
    <s v="kg"/>
    <s v="ARÁBICA"/>
    <s v="Green"/>
    <n v="55.000000000000007"/>
    <m/>
    <m/>
    <d v="2018-02-07T00:00:00"/>
    <n v="447.72480000000002"/>
    <n v="16305.075360000001"/>
    <s v="BRL"/>
    <n v="3.7888000000000002"/>
    <n v="1574.4282624000002"/>
    <n v="0"/>
    <s v="BRL"/>
    <n v="3.7888000000000002"/>
    <n v="2142"/>
    <n v="0"/>
    <n v="415.54800000000006"/>
    <n v="0"/>
    <n v="8.7996919780000002"/>
    <n v="0"/>
    <n v="3.2713999999999999"/>
    <n v="122.6"/>
    <n v="5360.1286196097972"/>
    <n v="91.131266042799822"/>
    <n v="99.930958020799821"/>
    <n v="99.930958020799821"/>
    <n v="15983.77536"/>
    <n v="321.30000000000109"/>
    <n v="11.640000000000002"/>
    <n v="2.8403080220000021"/>
    <n v="0"/>
    <n v="0"/>
    <n v="1"/>
  </r>
  <r>
    <m/>
    <s v="CERRADO"/>
    <s v="L20:Loja Araguari"/>
    <s v="INDIANOPOLIS"/>
    <s v="2018/2019"/>
    <d v="2018-07-02T00:00:00"/>
    <x v="75"/>
    <s v="0231 F2"/>
    <n v="7833"/>
    <s v="kg"/>
    <s v="ARÁBICA"/>
    <s v="Green"/>
    <n v="55.000000000000007"/>
    <m/>
    <m/>
    <d v="2018-02-07T00:00:00"/>
    <n v="450.90480000000002"/>
    <n v="60040.571640000002"/>
    <s v="BRL"/>
    <n v="3.7888000000000002"/>
    <n v="5757.468057600001"/>
    <n v="0"/>
    <s v="BRL"/>
    <n v="3.7888000000000002"/>
    <n v="7833"/>
    <n v="0"/>
    <n v="1519.6020000000001"/>
    <n v="0"/>
    <n v="8.799691978000002"/>
    <n v="0"/>
    <n v="3.2713999999999999"/>
    <n v="122.6"/>
    <n v="5398.1993474550263"/>
    <n v="91.765778173553628"/>
    <n v="100.56547015155364"/>
    <n v="100.56547015155364"/>
    <n v="58865.621640000005"/>
    <n v="1174.9499999999971"/>
    <n v="11.640000000000002"/>
    <n v="2.8403080220000003"/>
    <n v="0"/>
    <n v="0"/>
    <n v="1"/>
  </r>
  <r>
    <m/>
    <s v="CERRADO"/>
    <s v="L20:Loja Araguari"/>
    <s v="INDIANOPOLIS"/>
    <s v="2018/2019"/>
    <d v="2018-07-02T00:00:00"/>
    <x v="76"/>
    <s v="0777 F1"/>
    <n v="4137"/>
    <s v="kg"/>
    <s v="ARÁBICA"/>
    <s v="Green"/>
    <n v="45"/>
    <m/>
    <m/>
    <d v="2018-04-07T00:00:00"/>
    <n v="489.79412999999994"/>
    <n v="33779.473769999997"/>
    <s v="BRL"/>
    <n v="3.9051999999999998"/>
    <n v="2563.3889008000001"/>
    <n v="0"/>
    <s v="BRL"/>
    <n v="3.9051999999999998"/>
    <n v="4137"/>
    <n v="0"/>
    <n v="656.40400000000011"/>
    <n v="0"/>
    <n v="7.1969989373333352"/>
    <n v="0"/>
    <n v="3.3696999999999999"/>
    <n v="116.8"/>
    <n v="5689.001337672541"/>
    <n v="94.839622950110112"/>
    <n v="102.03662188744343"/>
    <n v="102.03662188744343"/>
    <n v="33771.305263499999"/>
    <n v="8.1685064999983297"/>
    <n v="9.5200000000000014"/>
    <n v="2.3230010626666662"/>
    <n v="0"/>
    <n v="0"/>
    <n v="1"/>
  </r>
  <r>
    <m/>
    <s v="CERRADO"/>
    <s v="L20:Loja Araguari"/>
    <s v="INDIANOPOLIS"/>
    <s v="2018/2019"/>
    <d v="2018-07-02T00:00:00"/>
    <x v="77"/>
    <s v="0777 F1"/>
    <n v="1499"/>
    <s v="kg"/>
    <s v="ARÁBICA"/>
    <s v="Green"/>
    <n v="45"/>
    <m/>
    <m/>
    <d v="2018-06-07T00:00:00"/>
    <n v="439.90710000000001"/>
    <n v="11156.067660000001"/>
    <s v="BRL"/>
    <n v="3.9258000000000002"/>
    <n v="933.71750640000005"/>
    <n v="0"/>
    <s v="BRL"/>
    <n v="3.9258000000000002"/>
    <n v="1499"/>
    <n v="0"/>
    <n v="237.84133333333332"/>
    <n v="0"/>
    <n v="7.1969989373333334"/>
    <n v="0"/>
    <n v="3.9077999999999999"/>
    <n v="115.65"/>
    <n v="5082.7475691279997"/>
    <n v="85.989827269494114"/>
    <n v="93.186826206827462"/>
    <n v="93.186826206827462"/>
    <n v="10990.345715000001"/>
    <n v="165.72194499999932"/>
    <n v="9.5200000000000014"/>
    <n v="2.3230010626666679"/>
    <n v="0"/>
    <n v="0"/>
    <n v="1"/>
  </r>
  <r>
    <m/>
    <s v="CERRADO"/>
    <s v="L20:Loja Araguari"/>
    <s v="INDIANOPOLIS"/>
    <s v="2018/2019"/>
    <d v="2018-07-02T00:00:00"/>
    <x v="78"/>
    <s v="0085 F1"/>
    <n v="2730"/>
    <s v="kg"/>
    <s v="ARÁBICA"/>
    <s v="Green"/>
    <n v="55.000000000000007"/>
    <m/>
    <m/>
    <d v="2018-10-07T00:00:00"/>
    <n v="693.11730000000011"/>
    <n v="31541.491800000003"/>
    <s v="BRL"/>
    <n v="3.8445999999999998"/>
    <n v="2036.1770519999998"/>
    <n v="0"/>
    <s v="BRL"/>
    <n v="3.8445999999999998"/>
    <n v="2730"/>
    <n v="0"/>
    <n v="529.62"/>
    <n v="0"/>
    <n v="8.7996919779999985"/>
    <n v="0"/>
    <n v="4.1306000000000003"/>
    <n v="109.55"/>
    <n v="8177.5144044894414"/>
    <n v="136.31202261806692"/>
    <n v="145.11171459606692"/>
    <n v="145.11171459606692"/>
    <n v="31536.837150000003"/>
    <n v="4.6546500000004016"/>
    <n v="11.64"/>
    <n v="2.8403080220000021"/>
    <n v="0"/>
    <n v="0"/>
    <n v="1"/>
  </r>
  <r>
    <m/>
    <s v="CERRADO"/>
    <s v="L20:Loja Araguari"/>
    <s v="INDIANOPOLIS"/>
    <s v="2018/2019"/>
    <d v="2018-07-02T00:00:00"/>
    <x v="79"/>
    <s v="0085 F1"/>
    <n v="1903"/>
    <s v="kg"/>
    <s v="ARÁBICA"/>
    <s v="Green"/>
    <n v="55.000000000000007"/>
    <m/>
    <m/>
    <d v="2018-10-07T00:00:00"/>
    <n v="692.97040373095103"/>
    <n v="21981.95592"/>
    <s v="BRL"/>
    <n v="3.8445999999999998"/>
    <n v="1419.3571171999999"/>
    <n v="0"/>
    <s v="BRL"/>
    <n v="3.8445999999999998"/>
    <n v="1903"/>
    <n v="0"/>
    <n v="369.18200000000002"/>
    <n v="0"/>
    <n v="8.7996919779999985"/>
    <n v="0"/>
    <n v="4.1306000000000003"/>
    <n v="109.55"/>
    <n v="8175.7812976168898"/>
    <n v="136.28313750352444"/>
    <n v="145.08282948152444"/>
    <n v="145.08282948152444"/>
    <n v="21978.711304999997"/>
    <n v="3.2446150000032503"/>
    <n v="11.64"/>
    <n v="2.8403080220000021"/>
    <n v="0"/>
    <n v="0"/>
    <n v="1"/>
  </r>
  <r>
    <m/>
    <s v="CERRADO"/>
    <s v="L20:Loja Araguari"/>
    <s v="INDIANOPOLIS"/>
    <s v="2018/2019"/>
    <d v="2018-07-02T00:00:00"/>
    <x v="80"/>
    <s v="1167 F1"/>
    <n v="7250"/>
    <s v="kg"/>
    <s v="ARÁBICA"/>
    <s v="Green"/>
    <n v="55.000000000000007"/>
    <m/>
    <m/>
    <s v="19/07/2018"/>
    <n v="430.82300000000004"/>
    <n v="52831.112500000003"/>
    <s v="BRL"/>
    <n v="3.8841000000000001"/>
    <n v="5462.9866500000007"/>
    <n v="0"/>
    <s v="BRL"/>
    <n v="3.8841000000000001"/>
    <n v="7250"/>
    <n v="0"/>
    <n v="1406.5000000000002"/>
    <n v="0"/>
    <n v="8.7996919780000002"/>
    <n v="0"/>
    <e v="#N/A"/>
    <e v="#N/A"/>
    <n v="5031.230545570661"/>
    <n v="85.099515455536661"/>
    <n v="93.899207433536674"/>
    <n v="93.899207433536674"/>
    <n v="52057.779166666674"/>
    <n v="773.33333333332848"/>
    <n v="11.64"/>
    <n v="2.8403080220000003"/>
    <n v="0"/>
    <n v="0"/>
    <n v="1"/>
  </r>
  <r>
    <m/>
    <s v="CERRADO"/>
    <s v="L20:Loja Araguari"/>
    <s v="INDIANOPOLIS"/>
    <s v="2018/2019"/>
    <d v="2018-07-02T00:00:00"/>
    <x v="81"/>
    <s v="0777 F1"/>
    <n v="1499"/>
    <s v="kg"/>
    <s v="ARÁBICA"/>
    <s v="Green"/>
    <n v="45"/>
    <m/>
    <m/>
    <s v="23/07/2018"/>
    <n v="434.95409999999998"/>
    <n v="10921.21933"/>
    <s v="BRL"/>
    <n v="3.7909000000000002"/>
    <n v="901.63271053333335"/>
    <n v="0"/>
    <s v="BRL"/>
    <n v="3.7909000000000002"/>
    <n v="1499"/>
    <n v="0"/>
    <n v="237.84133333333332"/>
    <n v="0"/>
    <n v="7.1969989373333334"/>
    <n v="0"/>
    <e v="#N/A"/>
    <e v="#N/A"/>
    <n v="5204.3541391283607"/>
    <n v="87.175191177237593"/>
    <n v="94.372190114570927"/>
    <n v="94.372190114570927"/>
    <n v="10866.603265"/>
    <n v="54.616065000000162"/>
    <n v="9.52"/>
    <n v="2.3230010626666662"/>
    <n v="0"/>
    <n v="0"/>
    <n v="1"/>
  </r>
  <r>
    <m/>
    <s v="CERRADO"/>
    <s v="L20:Loja Araguari"/>
    <s v="INDIANOPOLIS"/>
    <s v="2018/2019"/>
    <d v="2018-07-03T00:00:00"/>
    <x v="82"/>
    <s v="0029 F1"/>
    <n v="2980"/>
    <s v="kg"/>
    <s v="ARÁBICA"/>
    <s v="Green"/>
    <n v="45"/>
    <m/>
    <m/>
    <d v="2018-03-07T00:00:00"/>
    <n v="467.9606"/>
    <n v="23586.729800000001"/>
    <s v="BRL"/>
    <n v="3.7282999999999999"/>
    <n v="1762.839661333333"/>
    <n v="0"/>
    <s v="BRL"/>
    <n v="3.7282999999999999"/>
    <n v="2980"/>
    <n v="0"/>
    <n v="472.8266666666666"/>
    <n v="0"/>
    <n v="7.1969989373333334"/>
    <n v="0"/>
    <n v="3.2454000000000001"/>
    <n v="118.15"/>
    <n v="5693.3014408878589"/>
    <n v="96.295580947716118"/>
    <n v="103.49257988504945"/>
    <n v="103.49257988504945"/>
    <n v="23242.043133333333"/>
    <n v="344.68666666666832"/>
    <n v="9.52"/>
    <n v="2.3230010626666662"/>
    <n v="0"/>
    <n v="0"/>
    <n v="1"/>
  </r>
  <r>
    <m/>
    <s v="CERRADO"/>
    <s v="L20:Loja Araguari"/>
    <s v="INDIANOPOLIS"/>
    <s v="2018/2019"/>
    <d v="2018-07-03T00:00:00"/>
    <x v="83"/>
    <s v="0231 F1"/>
    <n v="4249"/>
    <s v="kg"/>
    <s v="ARÁBICA"/>
    <s v="Green"/>
    <n v="55.000000000000007"/>
    <m/>
    <m/>
    <d v="2018-04-07T00:00:00"/>
    <n v="445.60520000000002"/>
    <n v="32190.763920000001"/>
    <s v="BRL"/>
    <n v="3.7888000000000002"/>
    <n v="3123.1305728000002"/>
    <n v="0"/>
    <s v="BRL"/>
    <n v="3.7888000000000002"/>
    <n v="4249"/>
    <n v="0"/>
    <n v="824.30600000000004"/>
    <n v="0"/>
    <n v="8.7996919780000002"/>
    <n v="0"/>
    <n v="3.3696999999999999"/>
    <n v="116.8"/>
    <n v="5334.7529231504432"/>
    <n v="90.700276670967057"/>
    <n v="99.499968648967055"/>
    <n v="99.499968648967055"/>
    <n v="31556.274913333338"/>
    <n v="634.48900666666304"/>
    <n v="11.640000000000002"/>
    <n v="2.8403080220000021"/>
    <n v="0"/>
    <n v="0"/>
    <n v="1"/>
  </r>
  <r>
    <m/>
    <s v="CERRADO"/>
    <s v="L20:Loja Araguari"/>
    <s v="INDIANOPOLIS"/>
    <s v="2018/2019"/>
    <d v="2018-07-03T00:00:00"/>
    <x v="84"/>
    <s v="1166 F1"/>
    <n v="10980"/>
    <s v="kg"/>
    <s v="ARÁBICA"/>
    <s v="Green"/>
    <n v="55.000000000000007"/>
    <m/>
    <m/>
    <d v="2018-11-07T00:00:00"/>
    <n v="487.75310000000007"/>
    <n v="89269.596000000005"/>
    <s v="BRL"/>
    <n v="3.8411"/>
    <n v="8182.0039320000005"/>
    <n v="0"/>
    <s v="BRL"/>
    <n v="3.8411"/>
    <n v="10980"/>
    <n v="0"/>
    <n v="2130.1200000000003"/>
    <n v="0"/>
    <n v="8.7996919780000002"/>
    <n v="0"/>
    <n v="4.1306000000000003"/>
    <n v="109.55"/>
    <n v="5759.8366250253066"/>
    <n v="96.008869505454172"/>
    <n v="104.80856148345417"/>
    <n v="104.80856148345417"/>
    <n v="89258.81730000001"/>
    <n v="10.778699999995297"/>
    <n v="11.64"/>
    <n v="2.8403080220000003"/>
    <n v="0"/>
    <n v="0"/>
    <n v="1"/>
  </r>
  <r>
    <m/>
    <s v="CERRADO"/>
    <s v="L20:Loja Araguari"/>
    <s v="INDIANOPOLIS"/>
    <s v="2018/2019"/>
    <d v="2018-07-04T00:00:00"/>
    <x v="85"/>
    <s v="0182 F1"/>
    <n v="7446"/>
    <s v="kg"/>
    <s v="ARÁBICA"/>
    <s v="Green"/>
    <n v="45"/>
    <m/>
    <m/>
    <d v="2018-04-07T00:00:00"/>
    <n v="458.28363000000007"/>
    <n v="56879.919540000003"/>
    <s v="BRL"/>
    <n v="3.9051999999999998"/>
    <n v="4613.7282464"/>
    <n v="0"/>
    <s v="BRL"/>
    <n v="3.9051999999999998"/>
    <n v="7446"/>
    <n v="0"/>
    <n v="1181.432"/>
    <n v="0"/>
    <n v="7.1969989373333343"/>
    <n v="0"/>
    <n v="3.3696999999999999"/>
    <n v="116.8"/>
    <n v="5323.0041448300517"/>
    <n v="88.727531970354917"/>
    <n v="95.924530907688265"/>
    <n v="95.924530907688265"/>
    <n v="56872.99848300001"/>
    <n v="6.9210569999922882"/>
    <n v="9.52"/>
    <n v="2.3230010626666653"/>
    <n v="0"/>
    <n v="0"/>
    <n v="1"/>
  </r>
  <r>
    <m/>
    <s v="CERRADO"/>
    <s v="L20:Loja Araguari"/>
    <s v="INDIANOPOLIS"/>
    <s v="2018/2019"/>
    <d v="2018-07-04T00:00:00"/>
    <x v="86"/>
    <s v="1344 F1"/>
    <n v="5986"/>
    <s v="kg"/>
    <s v="ARÁBICA"/>
    <s v="Green"/>
    <n v="55.000000000000007"/>
    <m/>
    <m/>
    <d v="2018-05-07T00:00:00"/>
    <n v="500.23550000000006"/>
    <n v="49922.880840000005"/>
    <s v="BRL"/>
    <n v="3.9186000000000001"/>
    <n v="4550.6074823999998"/>
    <n v="0"/>
    <s v="BRL"/>
    <n v="3.9186000000000001"/>
    <n v="5986"/>
    <n v="0"/>
    <n v="1161.2839999999999"/>
    <n v="0"/>
    <n v="8.7996919780000002"/>
    <n v="0"/>
    <n v="3.5533999999999999"/>
    <n v="118.45"/>
    <n v="5790.4099934449805"/>
    <n v="96.53787450257235"/>
    <n v="105.33756648057235"/>
    <n v="105.33756648057235"/>
    <n v="49906.828383333333"/>
    <n v="16.052456666671787"/>
    <n v="11.64"/>
    <n v="2.8403080220000003"/>
    <n v="0"/>
    <n v="0"/>
    <n v="1"/>
  </r>
  <r>
    <m/>
    <s v="CERRADO"/>
    <s v="L20:Loja Araguari"/>
    <s v="INDIANOPOLIS"/>
    <s v="2018/2019"/>
    <d v="2018-07-05T00:00:00"/>
    <x v="87"/>
    <s v="0728 F2"/>
    <n v="2550"/>
    <s v="kg"/>
    <s v="ARÁBICA"/>
    <s v="Green"/>
    <n v="55.000000000000007"/>
    <m/>
    <m/>
    <d v="2018-05-07T00:00:00"/>
    <n v="448.59839999999991"/>
    <n v="19928.045999999998"/>
    <s v="BRL"/>
    <n v="3.9049"/>
    <n v="1931.7540300000003"/>
    <n v="0"/>
    <s v="BRL"/>
    <n v="3.9049"/>
    <n v="2550"/>
    <n v="0"/>
    <n v="494.70000000000005"/>
    <n v="0"/>
    <n v="8.7996919780000002"/>
    <n v="0"/>
    <n v="3.5533999999999999"/>
    <n v="118.45"/>
    <n v="5210.909663095289"/>
    <n v="90.777947813270487"/>
    <n v="99.577639791270514"/>
    <n v="99.577639791270514"/>
    <n v="19065.431999999993"/>
    <n v="862.61400000000503"/>
    <n v="11.64"/>
    <n v="2.8403080220000003"/>
    <n v="0"/>
    <n v="0"/>
    <n v="1"/>
  </r>
  <r>
    <m/>
    <s v="CERRADO"/>
    <s v="L20:Loja Araguari"/>
    <s v="INDIANOPOLIS"/>
    <s v="2018/2019"/>
    <d v="2018-07-05T00:00:00"/>
    <x v="88"/>
    <s v="0766 F1"/>
    <n v="14000"/>
    <s v="kg"/>
    <s v="ARÁBICA"/>
    <s v="Green"/>
    <n v="45"/>
    <m/>
    <m/>
    <s v="17/07/2018"/>
    <n v="496.66890999999993"/>
    <n v="115927.14"/>
    <s v="BRL"/>
    <n v="3.8664999999999998"/>
    <n v="8588.7853333333333"/>
    <n v="0"/>
    <s v="BRL"/>
    <n v="3.8664999999999998"/>
    <n v="14000"/>
    <n v="0"/>
    <n v="2221.3333333333335"/>
    <n v="0"/>
    <n v="7.1969989373333334"/>
    <n v="0"/>
    <e v="#N/A"/>
    <e v="#N/A"/>
    <n v="5826.5932495077377"/>
    <n v="97.141501505462315"/>
    <n v="104.33850044279563"/>
    <n v="104.33850044279563"/>
    <n v="115889.41233333333"/>
    <n v="37.727666666673031"/>
    <n v="9.5200000000000014"/>
    <n v="2.3230010626666679"/>
    <n v="0"/>
    <n v="0"/>
    <n v="1"/>
  </r>
  <r>
    <m/>
    <s v="CERRADO"/>
    <s v="L20:Loja Araguari"/>
    <s v="INDIANOPOLIS"/>
    <s v="2018/2019"/>
    <d v="2018-07-07T00:00:00"/>
    <x v="89"/>
    <s v="0029 F1"/>
    <n v="30220"/>
    <s v="kg"/>
    <s v="ARÁBICA"/>
    <s v="Green"/>
    <n v="55.000000000000007"/>
    <m/>
    <m/>
    <d v="2018-09-07T00:00:00"/>
    <n v="500.27626000000004"/>
    <n v="252055.04740000004"/>
    <s v="BRL"/>
    <n v="3.8679999999999999"/>
    <n v="22676.846239999999"/>
    <n v="0"/>
    <s v="BRL"/>
    <n v="3.8679999999999999"/>
    <n v="30220"/>
    <n v="0"/>
    <n v="5862.68"/>
    <n v="0"/>
    <n v="8.7996919780000002"/>
    <n v="0"/>
    <n v="4.1306000000000003"/>
    <n v="109.55"/>
    <n v="5866.6363606033146"/>
    <n v="97.809314185312843"/>
    <n v="106.60900616331286"/>
    <n v="106.60900616331286"/>
    <n v="251972.47628666667"/>
    <n v="82.571113333367975"/>
    <n v="11.64"/>
    <n v="2.8403080220000003"/>
    <n v="0"/>
    <n v="0"/>
    <n v="1"/>
  </r>
  <r>
    <m/>
    <s v="CERRADO"/>
    <s v="L20:Loja Araguari"/>
    <s v="INDIANOPOLIS"/>
    <s v="2018/2019"/>
    <d v="2018-07-07T00:00:00"/>
    <x v="90"/>
    <s v="0029 F1"/>
    <n v="13000"/>
    <s v="kg"/>
    <s v="ARÁBICA"/>
    <s v="Green"/>
    <n v="55.000000000000007"/>
    <m/>
    <m/>
    <d v="2018-09-07T00:00:00"/>
    <n v="497.98066"/>
    <n v="107931.33"/>
    <s v="BRL"/>
    <n v="3.8679999999999999"/>
    <n v="9755.0959999999995"/>
    <n v="0"/>
    <s v="BRL"/>
    <n v="3.8679999999999999"/>
    <n v="13000"/>
    <n v="0"/>
    <n v="2522"/>
    <n v="0"/>
    <n v="8.7996919780000002"/>
    <n v="0"/>
    <n v="4.1306000000000003"/>
    <n v="109.55"/>
    <n v="5839.7163335978339"/>
    <n v="97.360647068554812"/>
    <n v="106.16033904655482"/>
    <n v="106.16033904655482"/>
    <n v="107895.80966666667"/>
    <n v="35.520333333333838"/>
    <n v="11.64"/>
    <n v="2.8403080220000003"/>
    <n v="0"/>
    <n v="0"/>
    <n v="1"/>
  </r>
  <r>
    <m/>
    <s v="CERRADO"/>
    <s v="L20:Loja Araguari"/>
    <s v="INDIANOPOLIS"/>
    <s v="2018/2019"/>
    <d v="2018-07-07T00:00:00"/>
    <x v="91"/>
    <s v="0012 F6"/>
    <n v="11330"/>
    <s v="kg"/>
    <s v="ARÁBICA"/>
    <s v="Green"/>
    <n v="55.000000000000007"/>
    <m/>
    <m/>
    <d v="2018-09-07T00:00:00"/>
    <n v="478.51487000000003"/>
    <n v="90389.040500000003"/>
    <s v="BRL"/>
    <n v="3.8679999999999999"/>
    <n v="8501.9413600000007"/>
    <n v="0"/>
    <s v="BRL"/>
    <n v="3.8679999999999999"/>
    <n v="11330"/>
    <n v="0"/>
    <n v="2198.0200000000004"/>
    <n v="0"/>
    <n v="8.799691978000002"/>
    <n v="0"/>
    <n v="4.1306000000000003"/>
    <n v="109.55"/>
    <n v="5611.4450352518597"/>
    <n v="93.554598991843335"/>
    <n v="102.35429096984333"/>
    <n v="102.35429096984333"/>
    <n v="90359.557951666677"/>
    <n v="29.482548333326122"/>
    <n v="11.640000000000002"/>
    <n v="2.8403080220000003"/>
    <n v="0"/>
    <n v="0"/>
    <n v="1"/>
  </r>
  <r>
    <m/>
    <s v="CERRADO"/>
    <s v="L20:Loja Araguari"/>
    <s v="INDIANOPOLIS"/>
    <s v="2018/2019"/>
    <d v="2018-07-07T00:00:00"/>
    <x v="92"/>
    <s v="0799 F1"/>
    <n v="3740"/>
    <s v="kg"/>
    <s v="ARÁBICA"/>
    <s v="Green"/>
    <n v="45"/>
    <m/>
    <m/>
    <d v="2018-09-07T00:00:00"/>
    <n v="449.86074000000002"/>
    <n v="28407.768400000001"/>
    <s v="BRL"/>
    <n v="3.8679999999999999"/>
    <n v="2295.3227733333329"/>
    <n v="0"/>
    <s v="BRL"/>
    <n v="3.8679999999999999"/>
    <n v="3740"/>
    <n v="0"/>
    <n v="593.41333333333318"/>
    <n v="0"/>
    <n v="7.1969989373333325"/>
    <n v="0"/>
    <n v="4.1306000000000003"/>
    <n v="109.55"/>
    <n v="5275.4239717309674"/>
    <n v="89.072735809570844"/>
    <n v="96.269734746904192"/>
    <n v="96.269734746904192"/>
    <n v="28041.319460000002"/>
    <n v="366.4489399999984"/>
    <n v="9.52"/>
    <n v="2.3230010626666671"/>
    <n v="0"/>
    <n v="0"/>
    <n v="1"/>
  </r>
  <r>
    <m/>
    <s v="CERRADO"/>
    <s v="L20:Loja Araguari"/>
    <s v="INDIANOPOLIS"/>
    <s v="2018/2019"/>
    <d v="2018-07-07T00:00:00"/>
    <x v="93"/>
    <s v="0766 F1"/>
    <n v="7987"/>
    <s v="kg"/>
    <s v="ARÁBICA"/>
    <s v="Green"/>
    <n v="45"/>
    <m/>
    <m/>
    <s v="17/07/2018"/>
    <n v="497.85030999999998"/>
    <n v="66293.697400000005"/>
    <s v="BRL"/>
    <n v="3.8664999999999998"/>
    <n v="4899.9020326666659"/>
    <n v="0"/>
    <s v="BRL"/>
    <n v="3.8664999999999998"/>
    <n v="7987"/>
    <n v="0"/>
    <n v="1267.2706666666666"/>
    <n v="0"/>
    <n v="7.1969989373333334"/>
    <n v="0"/>
    <e v="#N/A"/>
    <e v="#N/A"/>
    <n v="5840.4526579111534"/>
    <n v="97.372491645519219"/>
    <n v="104.56949058285255"/>
    <n v="104.56949058285255"/>
    <n v="66272.173766166656"/>
    <n v="21.523633833348867"/>
    <n v="9.52"/>
    <n v="2.3230010626666662"/>
    <n v="0"/>
    <n v="0"/>
    <n v="1"/>
  </r>
  <r>
    <m/>
    <s v="CERRADO"/>
    <s v="L20:Loja Araguari"/>
    <s v="INDIANOPOLIS"/>
    <s v="2018/2019"/>
    <d v="2018-07-09T00:00:00"/>
    <x v="94"/>
    <s v="0767 F1"/>
    <n v="6003"/>
    <s v="kg"/>
    <s v="ARÁBICA"/>
    <s v="Green"/>
    <n v="45"/>
    <m/>
    <m/>
    <d v="2018-09-07T00:00:00"/>
    <n v="461.01859999999999"/>
    <n v="46356.726779999997"/>
    <s v="BRL"/>
    <n v="3.8515000000000001"/>
    <n v="3668.4613139999997"/>
    <n v="0"/>
    <s v="BRL"/>
    <n v="3.8515000000000001"/>
    <n v="6003"/>
    <n v="0"/>
    <n v="952.47599999999989"/>
    <n v="0"/>
    <n v="7.1969989373333325"/>
    <n v="0"/>
    <n v="4.1306000000000003"/>
    <n v="109.55"/>
    <n v="5429.4305955623004"/>
    <n v="90.945299627578848"/>
    <n v="98.142298564912181"/>
    <n v="98.142298564912181"/>
    <n v="46124.910929999998"/>
    <n v="231.81584999999905"/>
    <n v="9.52"/>
    <n v="2.3230010626666671"/>
    <n v="0"/>
    <n v="0"/>
    <n v="1"/>
  </r>
  <r>
    <m/>
    <s v="CERRADO"/>
    <s v="L20:Loja Araguari"/>
    <s v="INDIANOPOLIS"/>
    <s v="2018/2019"/>
    <d v="2018-07-09T00:00:00"/>
    <x v="95"/>
    <s v="0810 F1"/>
    <n v="6130"/>
    <s v="kg"/>
    <s v="ARÁBICA"/>
    <s v="Green"/>
    <n v="55.000000000000007"/>
    <m/>
    <m/>
    <d v="2018-11-07T00:00:00"/>
    <n v="492.3830999999999"/>
    <n v="50321.537799999991"/>
    <s v="BRL"/>
    <n v="3.8411"/>
    <n v="4567.9129419999999"/>
    <n v="0"/>
    <s v="BRL"/>
    <n v="3.8411"/>
    <n v="6130"/>
    <n v="0"/>
    <n v="1189.22"/>
    <n v="0"/>
    <n v="8.7996919780000002"/>
    <n v="0"/>
    <n v="4.1306000000000003"/>
    <n v="109.55"/>
    <n v="5814.511917860691"/>
    <n v="96.940120821436565"/>
    <n v="105.73981279943656"/>
    <n v="105.73981279943656"/>
    <n v="50305.140049999995"/>
    <n v="16.397749999996449"/>
    <n v="11.639999999999999"/>
    <n v="2.8403080219999985"/>
    <n v="0"/>
    <n v="0"/>
    <n v="1"/>
  </r>
  <r>
    <m/>
    <s v="CERRADO"/>
    <s v="L20:Loja Araguari"/>
    <s v="INDIANOPOLIS"/>
    <s v="2018/2019"/>
    <d v="2018-07-09T00:00:00"/>
    <x v="96"/>
    <s v="0231 F3 "/>
    <n v="7427"/>
    <s v="kg"/>
    <s v="ARÁBICA"/>
    <s v="Green"/>
    <n v="55.000000000000007"/>
    <m/>
    <m/>
    <d v="2018-12-07T00:00:00"/>
    <n v="447.72480000000002"/>
    <n v="56534.918160000001"/>
    <s v="BRL"/>
    <n v="3.7888000000000002"/>
    <n v="5459.0470144000001"/>
    <n v="0"/>
    <s v="BRL"/>
    <n v="3.7888000000000002"/>
    <n v="7427"/>
    <n v="0"/>
    <n v="1440.838"/>
    <n v="0"/>
    <n v="8.7996919780000002"/>
    <n v="0"/>
    <n v="4.1306000000000003"/>
    <n v="109.55"/>
    <n v="5360.1286196097972"/>
    <n v="91.131266042799822"/>
    <n v="99.930958020799835"/>
    <n v="99.930958020799835"/>
    <n v="55420.868159999998"/>
    <n v="1114.0500000000029"/>
    <n v="11.64"/>
    <n v="2.8403080220000003"/>
    <n v="0"/>
    <n v="0"/>
    <n v="1"/>
  </r>
  <r>
    <m/>
    <s v="CERRADO"/>
    <s v="L20:Loja Araguari"/>
    <s v="INDIANOPOLIS"/>
    <s v="2018/2019"/>
    <d v="2018-07-09T00:00:00"/>
    <x v="97"/>
    <s v="0767 F1"/>
    <n v="7563"/>
    <s v="kg"/>
    <s v="ARÁBICA"/>
    <s v="Green"/>
    <n v="45"/>
    <m/>
    <m/>
    <s v="23/07/2018"/>
    <n v="728.62859000000014"/>
    <n v="91843.635030000005"/>
    <s v="BRL"/>
    <n v="3.7909000000000002"/>
    <n v="4549.0648363999999"/>
    <n v="0"/>
    <s v="BRL"/>
    <n v="3.7909000000000002"/>
    <n v="7563"/>
    <n v="0"/>
    <n v="1199.9959999999999"/>
    <n v="0"/>
    <n v="7.1969989373333334"/>
    <n v="0"/>
    <e v="#N/A"/>
    <e v="#N/A"/>
    <n v="8718.2560602458088"/>
    <n v="145.3042696649793"/>
    <n v="152.50126860231262"/>
    <n v="152.50126860231262"/>
    <n v="91843.633769500026"/>
    <n v="1.260499979252927E-3"/>
    <n v="9.52"/>
    <n v="2.3230010626666662"/>
    <n v="0"/>
    <n v="0"/>
    <n v="1"/>
  </r>
  <r>
    <m/>
    <s v="CERRADO"/>
    <s v="L20:Loja Araguari"/>
    <s v="INDIANOPOLIS"/>
    <s v="2018/2019"/>
    <d v="2018-07-10T00:00:00"/>
    <x v="98"/>
    <s v="0085 F1"/>
    <n v="2523"/>
    <s v="kg"/>
    <s v="ARÁBICA"/>
    <s v="Green"/>
    <n v="45"/>
    <m/>
    <m/>
    <d v="2018-10-07T00:00:00"/>
    <n v="689.85750000000007"/>
    <n v="29012.809590000001"/>
    <s v="BRL"/>
    <n v="3.8445999999999998"/>
    <n v="1539.0548935999998"/>
    <n v="0"/>
    <s v="BRL"/>
    <n v="3.8445999999999998"/>
    <n v="2523"/>
    <n v="0"/>
    <n v="400.31599999999997"/>
    <n v="0"/>
    <n v="7.1969989373333325"/>
    <n v="0"/>
    <n v="4.1306000000000003"/>
    <n v="109.55"/>
    <n v="8139.0547361825684"/>
    <n v="135.67102814628572"/>
    <n v="142.86802708361904"/>
    <n v="142.86802708361904"/>
    <n v="29008.507875000003"/>
    <n v="4.3017149999977846"/>
    <n v="9.5199999999999978"/>
    <n v="2.3230010626666653"/>
    <n v="0"/>
    <n v="0"/>
    <n v="1"/>
  </r>
  <r>
    <m/>
    <s v="CERRADO"/>
    <s v="L20:Loja Araguari"/>
    <s v="INDIANOPOLIS"/>
    <s v="2018/2019"/>
    <d v="2018-07-10T00:00:00"/>
    <x v="99"/>
    <s v="0397 F1"/>
    <n v="6005"/>
    <s v="kg"/>
    <s v="ARÁBICA"/>
    <s v="Green"/>
    <n v="45"/>
    <m/>
    <m/>
    <d v="2018-11-07T00:00:00"/>
    <n v="435.94839999999999"/>
    <n v="45166.427349999998"/>
    <s v="BRL"/>
    <n v="3.9258000000000002"/>
    <n v="3740.4760679999995"/>
    <n v="0"/>
    <s v="BRL"/>
    <n v="3.9258000000000002"/>
    <n v="6005"/>
    <n v="0"/>
    <n v="952.79333333333318"/>
    <n v="0"/>
    <n v="7.1969989373333316"/>
    <n v="0"/>
    <n v="4.1306000000000003"/>
    <n v="109.55"/>
    <n v="5037.0082009707066"/>
    <n v="86.904106250545084"/>
    <n v="94.101105187878431"/>
    <n v="94.101105187878431"/>
    <n v="43631.169033333332"/>
    <n v="1535.2583166666664"/>
    <n v="9.52"/>
    <n v="2.3230010626666679"/>
    <n v="0"/>
    <n v="0"/>
    <n v="1"/>
  </r>
  <r>
    <m/>
    <s v="CERRADO"/>
    <s v="L20:Loja Araguari"/>
    <s v="INDIANOPOLIS"/>
    <s v="2018/2019"/>
    <d v="2018-07-10T00:00:00"/>
    <x v="100"/>
    <s v="0605 F1"/>
    <n v="12729"/>
    <s v="kg"/>
    <s v="ARÁBICA"/>
    <s v="Green"/>
    <n v="45"/>
    <m/>
    <m/>
    <s v="20/07/2018"/>
    <n v="480.72346999999991"/>
    <n v="101988.94856999998"/>
    <s v="BRL"/>
    <n v="3.7787000000000002"/>
    <n v="7631.7194716000004"/>
    <n v="0"/>
    <s v="BRL"/>
    <n v="3.7787000000000002"/>
    <n v="12729"/>
    <n v="0"/>
    <n v="2019.6679999999999"/>
    <n v="0"/>
    <n v="7.1969989373333325"/>
    <n v="0"/>
    <e v="#N/A"/>
    <e v="#N/A"/>
    <n v="5770.5691923657296"/>
    <n v="96.179420274753184"/>
    <n v="103.37641921208652"/>
    <n v="103.37641921208652"/>
    <n v="101985.48416049997"/>
    <n v="3.4644095000112429"/>
    <n v="9.52"/>
    <n v="2.3230010626666671"/>
    <n v="0"/>
    <n v="0"/>
    <n v="1"/>
  </r>
  <r>
    <m/>
    <s v="CERRADO"/>
    <s v="L20:Loja Araguari"/>
    <s v="INDIANOPOLIS"/>
    <s v="2018/2019"/>
    <d v="2018-07-11T00:00:00"/>
    <x v="101"/>
    <s v="0014 F1"/>
    <n v="12880"/>
    <s v="kg"/>
    <s v="ARÁBICA"/>
    <s v="Green"/>
    <n v="45"/>
    <m/>
    <m/>
    <s v="16/07/2018"/>
    <n v="493.02702000000005"/>
    <n v="105837.4072"/>
    <s v="BRL"/>
    <n v="3.8573"/>
    <n v="7882.8811413333315"/>
    <n v="0"/>
    <s v="BRL"/>
    <n v="3.8573"/>
    <n v="12880"/>
    <n v="0"/>
    <n v="2043.6266666666661"/>
    <n v="0"/>
    <n v="7.1969989373333316"/>
    <n v="0"/>
    <e v="#N/A"/>
    <e v="#N/A"/>
    <n v="5797.6640260243548"/>
    <n v="96.628592197658989"/>
    <n v="103.82559113499231"/>
    <n v="103.82559113499231"/>
    <n v="105836.46696000002"/>
    <n v="0.94023999998171348"/>
    <n v="9.5199999999999978"/>
    <n v="2.3230010626666662"/>
    <n v="0"/>
    <n v="0"/>
    <n v="1"/>
  </r>
  <r>
    <m/>
    <s v="CERRADO"/>
    <s v="L20:Loja Araguari"/>
    <s v="INDIANOPOLIS"/>
    <s v="2018/2019"/>
    <d v="2018-07-11T00:00:00"/>
    <x v="102"/>
    <s v="0014 F1"/>
    <n v="14500"/>
    <s v="kg"/>
    <s v="ARÁBICA"/>
    <s v="Green"/>
    <n v="55.000000000000007"/>
    <m/>
    <m/>
    <s v="16/07/2018"/>
    <n v="495.40662000000003"/>
    <n v="119724.325"/>
    <s v="BRL"/>
    <n v="3.8573"/>
    <n v="10850.5849"/>
    <n v="0"/>
    <s v="BRL"/>
    <n v="3.8573"/>
    <n v="14500"/>
    <n v="0"/>
    <n v="2813"/>
    <n v="0"/>
    <n v="8.7996919780000002"/>
    <n v="0"/>
    <e v="#N/A"/>
    <e v="#N/A"/>
    <n v="5825.6465112770438"/>
    <n v="97.094966951870475"/>
    <n v="105.89465892987049"/>
    <n v="105.89465892987049"/>
    <n v="119723.2665"/>
    <n v="1.0584999999991851"/>
    <n v="11.64"/>
    <n v="2.8403080220000003"/>
    <n v="0"/>
    <n v="0"/>
    <n v="1"/>
  </r>
  <r>
    <m/>
    <s v="CERRADO"/>
    <s v="L20:Loja Araguari"/>
    <s v="INDIANOPOLIS"/>
    <s v="2018/2019"/>
    <d v="2018-07-11T00:00:00"/>
    <x v="103"/>
    <s v="0605 F1"/>
    <n v="7650"/>
    <s v="kg"/>
    <s v="ARÁBICA"/>
    <s v="Green"/>
    <n v="45"/>
    <m/>
    <m/>
    <s v="20/07/2018"/>
    <n v="479.53487000000001"/>
    <n v="61142.777999999998"/>
    <s v="BRL"/>
    <n v="3.7787000000000002"/>
    <n v="4586.5860600000005"/>
    <n v="0"/>
    <s v="BRL"/>
    <n v="3.7787000000000002"/>
    <n v="7650"/>
    <n v="0"/>
    <n v="1213.8000000000002"/>
    <n v="0"/>
    <n v="7.1969989373333334"/>
    <n v="0"/>
    <e v="#N/A"/>
    <e v="#N/A"/>
    <n v="5756.3013253484505"/>
    <n v="95.941622491131866"/>
    <n v="103.13862142846519"/>
    <n v="103.13862142846519"/>
    <n v="61140.695925"/>
    <n v="2.08207499999844"/>
    <n v="9.52"/>
    <n v="2.3230010626666662"/>
    <n v="0"/>
    <n v="0"/>
    <n v="1"/>
  </r>
  <r>
    <m/>
    <s v="CERRADO"/>
    <s v="L20:Loja Araguari"/>
    <s v="INDIANOPOLIS"/>
    <s v="2018/2019"/>
    <d v="2018-07-12T00:00:00"/>
    <x v="104"/>
    <s v="0231 F3 "/>
    <n v="5154"/>
    <s v="kg"/>
    <s v="ARÁBICA"/>
    <s v="Green"/>
    <n v="55.000000000000007"/>
    <m/>
    <m/>
    <d v="2018-12-07T00:00:00"/>
    <n v="450.90479999999997"/>
    <n v="39505.822319999999"/>
    <s v="BRL"/>
    <n v="3.7888000000000002"/>
    <n v="3788.3301888000005"/>
    <n v="0"/>
    <s v="BRL"/>
    <n v="3.7888000000000002"/>
    <n v="5154"/>
    <n v="0"/>
    <n v="999.87600000000009"/>
    <n v="0"/>
    <n v="8.7996919780000002"/>
    <n v="0"/>
    <n v="4.1306000000000003"/>
    <n v="109.55"/>
    <n v="5398.1993474550245"/>
    <n v="91.765778173553628"/>
    <n v="100.56547015155363"/>
    <n v="100.56547015155363"/>
    <n v="38732.722319999993"/>
    <n v="773.10000000000582"/>
    <n v="11.640000000000002"/>
    <n v="2.8403080220000021"/>
    <n v="0"/>
    <n v="0"/>
    <n v="1"/>
  </r>
  <r>
    <m/>
    <s v="CERRADO"/>
    <s v="L20:Loja Araguari"/>
    <s v="INDIANOPOLIS"/>
    <s v="2018/2019"/>
    <d v="2018-07-12T00:00:00"/>
    <x v="105"/>
    <s v="0231 F3 "/>
    <n v="4555"/>
    <s v="kg"/>
    <s v="ARÁBICA"/>
    <s v="Green"/>
    <n v="55.000000000000007"/>
    <m/>
    <m/>
    <s v="13/07/2018"/>
    <n v="450.91639999999995"/>
    <n v="34740.7117"/>
    <s v="BRL"/>
    <n v="3.8679999999999999"/>
    <n v="3418.0355600000003"/>
    <n v="0"/>
    <s v="BRL"/>
    <n v="3.8679999999999999"/>
    <n v="4555"/>
    <n v="0"/>
    <n v="883.67000000000007"/>
    <n v="0"/>
    <n v="8.799691978000002"/>
    <n v="0"/>
    <e v="#N/A"/>
    <e v="#N/A"/>
    <n v="5287.8034784867632"/>
    <n v="89.439549908164423"/>
    <n v="98.239241886164436"/>
    <n v="98.239241886164436"/>
    <n v="34232.07003333333"/>
    <n v="508.64166666667006"/>
    <n v="11.640000000000002"/>
    <n v="2.8403080220000003"/>
    <n v="0"/>
    <n v="0"/>
    <n v="1"/>
  </r>
  <r>
    <m/>
    <s v="CERRADO"/>
    <s v="L20:Loja Araguari"/>
    <s v="INDIANOPOLIS"/>
    <s v="2018/2019"/>
    <d v="2018-07-12T00:00:00"/>
    <x v="106"/>
    <s v="0014 F1"/>
    <n v="11650"/>
    <s v="kg"/>
    <s v="ARÁBICA"/>
    <s v="Green"/>
    <n v="55.000000000000007"/>
    <m/>
    <m/>
    <s v="16/07/2018"/>
    <n v="493.02702000000005"/>
    <n v="95730.263500000001"/>
    <s v="BRL"/>
    <n v="3.8573"/>
    <n v="8717.8837299999996"/>
    <n v="0"/>
    <s v="BRL"/>
    <n v="3.8573"/>
    <n v="11650"/>
    <n v="0"/>
    <n v="2260.1"/>
    <n v="0"/>
    <n v="8.7996919779999985"/>
    <n v="0"/>
    <e v="#N/A"/>
    <e v="#N/A"/>
    <n v="5797.6640260243548"/>
    <n v="96.628592197658989"/>
    <n v="105.428284175659"/>
    <n v="105.428284175659"/>
    <n v="95729.413050000017"/>
    <n v="0.85044999998353887"/>
    <n v="11.64"/>
    <n v="2.8403080220000021"/>
    <n v="0"/>
    <n v="0"/>
    <n v="1"/>
  </r>
  <r>
    <m/>
    <s v="CERRADO"/>
    <s v="L20:Loja Araguari"/>
    <s v="INDIANOPOLIS"/>
    <s v="2018/2019"/>
    <d v="2018-07-12T00:00:00"/>
    <x v="107"/>
    <s v="0014 F1"/>
    <n v="7145"/>
    <s v="kg"/>
    <s v="ARÁBICA"/>
    <s v="Green"/>
    <n v="55.000000000000007"/>
    <m/>
    <m/>
    <s v="16/07/2018"/>
    <n v="495.40661999999998"/>
    <n v="58995.193249999997"/>
    <s v="BRL"/>
    <n v="3.8573"/>
    <n v="5346.7192489999998"/>
    <n v="0"/>
    <s v="BRL"/>
    <n v="3.8573"/>
    <n v="7145"/>
    <n v="0"/>
    <n v="1386.1299999999999"/>
    <n v="0"/>
    <n v="8.7996919780000002"/>
    <n v="0"/>
    <e v="#N/A"/>
    <e v="#N/A"/>
    <n v="5825.6465112770438"/>
    <n v="97.094966951870461"/>
    <n v="105.89465892987049"/>
    <n v="105.89465892987049"/>
    <n v="58994.671665000002"/>
    <n v="0.52158499999495689"/>
    <n v="11.64"/>
    <n v="2.8403080220000003"/>
    <n v="0"/>
    <n v="0"/>
    <n v="1"/>
  </r>
  <r>
    <m/>
    <s v="CERRADO"/>
    <s v="L20:Loja Araguari"/>
    <s v="INDIANOPOLIS"/>
    <s v="2018/2019"/>
    <d v="2018-07-13T00:00:00"/>
    <x v="108"/>
    <s v="0231 F3 "/>
    <n v="8057"/>
    <s v="kg"/>
    <s v="ARÁBICA"/>
    <s v="Green"/>
    <n v="55.000000000000007"/>
    <m/>
    <m/>
    <s v="13/07/2018"/>
    <n v="453.03679999999997"/>
    <n v="61734.989959999999"/>
    <s v="BRL"/>
    <n v="3.8679999999999999"/>
    <n v="6045.9083439999995"/>
    <n v="0"/>
    <s v="BRL"/>
    <n v="3.8679999999999999"/>
    <n v="8057"/>
    <n v="0"/>
    <n v="1563.058"/>
    <n v="0"/>
    <n v="8.7996919780000002"/>
    <n v="0"/>
    <e v="#N/A"/>
    <e v="#N/A"/>
    <n v="5312.6689712827301"/>
    <n v="89.853974788097219"/>
    <n v="98.653666766097217"/>
    <n v="98.653666766097217"/>
    <n v="60835.291626666665"/>
    <n v="899.69833333333372"/>
    <n v="11.64"/>
    <n v="2.8403080220000003"/>
    <n v="0"/>
    <n v="0"/>
    <n v="1"/>
  </r>
  <r>
    <m/>
    <s v="CERRADO"/>
    <s v="L20:Loja Araguari"/>
    <s v="INDIANOPOLIS"/>
    <s v="2018/2019"/>
    <d v="2018-07-13T00:00:00"/>
    <x v="109"/>
    <s v="0540 F2"/>
    <n v="7870"/>
    <s v="kg"/>
    <s v="ARÁBICA"/>
    <s v="Green"/>
    <n v="45"/>
    <m/>
    <m/>
    <s v="13/07/2018"/>
    <n v="487.39850000000013"/>
    <n v="63956.499400000008"/>
    <s v="BRL"/>
    <n v="3.8738999999999999"/>
    <n v="4837.3647559999999"/>
    <n v="0"/>
    <s v="BRL"/>
    <n v="3.8738999999999999"/>
    <n v="7870"/>
    <n v="0"/>
    <n v="1248.7066666666667"/>
    <n v="0"/>
    <n v="7.1969989373333325"/>
    <n v="0"/>
    <e v="#N/A"/>
    <e v="#N/A"/>
    <n v="5706.9165633972234"/>
    <n v="95.154052140979374"/>
    <n v="102.35105107831272"/>
    <n v="102.35105107831272"/>
    <n v="63930.436583333343"/>
    <n v="26.06281666666473"/>
    <n v="9.5199999999999978"/>
    <n v="2.3230010626666653"/>
    <n v="0"/>
    <n v="0"/>
    <n v="1"/>
  </r>
  <r>
    <m/>
    <s v="CERRADO"/>
    <s v="L20:Loja Araguari"/>
    <s v="INDIANOPOLIS"/>
    <s v="2018/2019"/>
    <d v="2018-07-13T00:00:00"/>
    <x v="110"/>
    <s v="0934 F1"/>
    <n v="13850"/>
    <s v="kg"/>
    <s v="ARÁBICA"/>
    <s v="Green"/>
    <n v="55.000000000000007"/>
    <m/>
    <m/>
    <s v="13/07/2018"/>
    <n v="496.71419999999995"/>
    <n v="114698.77499999999"/>
    <s v="BRL"/>
    <n v="3.8738999999999999"/>
    <n v="10408.781910000002"/>
    <n v="0"/>
    <s v="BRL"/>
    <n v="3.8738999999999999"/>
    <n v="13850"/>
    <n v="0"/>
    <n v="2686.9000000000005"/>
    <n v="0"/>
    <n v="8.799691978000002"/>
    <n v="0"/>
    <e v="#N/A"/>
    <e v="#N/A"/>
    <n v="5815.9934740353128"/>
    <n v="96.967531742042908"/>
    <n v="105.76722372004291"/>
    <n v="105.76722372004291"/>
    <n v="114658.19449999998"/>
    <n v="40.580500000010943"/>
    <n v="11.640000000000002"/>
    <n v="2.8403080220000003"/>
    <n v="0"/>
    <n v="0"/>
    <n v="1"/>
  </r>
  <r>
    <m/>
    <s v="CERRADO"/>
    <s v="L20:Loja Araguari"/>
    <s v="INDIANOPOLIS"/>
    <s v="2018/2019"/>
    <d v="2018-07-13T00:00:00"/>
    <x v="111"/>
    <s v="0934 F1"/>
    <n v="2710"/>
    <s v="kg"/>
    <s v="ARÁBICA"/>
    <s v="Green"/>
    <n v="55.000000000000007"/>
    <m/>
    <m/>
    <s v="13/07/2018"/>
    <n v="499.05179999999996"/>
    <n v="22548.446599999996"/>
    <s v="BRL"/>
    <n v="3.8738999999999999"/>
    <n v="2036.664186"/>
    <n v="0"/>
    <s v="BRL"/>
    <n v="3.8738999999999999"/>
    <n v="2710"/>
    <n v="0"/>
    <n v="525.74"/>
    <n v="0"/>
    <n v="8.799691978000002"/>
    <n v="0"/>
    <e v="#N/A"/>
    <e v="#N/A"/>
    <n v="5843.3642766918601"/>
    <n v="97.423711786318691"/>
    <n v="106.22340376431869"/>
    <n v="106.22340376431869"/>
    <n v="22540.506299999997"/>
    <n v="7.9402999999983876"/>
    <n v="11.64"/>
    <n v="2.8403080219999985"/>
    <n v="0"/>
    <n v="0"/>
    <n v="1"/>
  </r>
  <r>
    <m/>
    <s v="CERRADO"/>
    <s v="L20:Loja Araguari"/>
    <s v="INDIANOPOLIS"/>
    <s v="2018/2019"/>
    <d v="2018-07-13T00:00:00"/>
    <x v="112"/>
    <s v="0029 F1"/>
    <n v="3892"/>
    <s v="kg"/>
    <s v="ARÁBICA"/>
    <s v="Green"/>
    <n v="45"/>
    <m/>
    <m/>
    <s v="16/07/2018"/>
    <n v="531.97581000000014"/>
    <n v="34523.129760000003"/>
    <s v="BRL"/>
    <n v="3.8573"/>
    <n v="2382.0010405333328"/>
    <n v="0"/>
    <s v="BRL"/>
    <n v="3.8573"/>
    <n v="3892"/>
    <n v="0"/>
    <n v="617.53066666666655"/>
    <n v="0"/>
    <n v="7.1969989373333316"/>
    <n v="0"/>
    <e v="#N/A"/>
    <e v="#N/A"/>
    <n v="6255.6754320527243"/>
    <n v="104.30848852211652"/>
    <n v="111.50548745944982"/>
    <n v="111.50548745944982"/>
    <n v="34507.497542000005"/>
    <n v="15.632217999998829"/>
    <n v="9.5199999999999978"/>
    <n v="2.3230010626666662"/>
    <n v="0"/>
    <n v="0"/>
    <n v="1"/>
  </r>
  <r>
    <m/>
    <s v="CERRADO"/>
    <s v="L20:Loja Araguari"/>
    <s v="INDIANOPOLIS"/>
    <s v="2018/2019"/>
    <d v="2018-07-13T00:00:00"/>
    <x v="113"/>
    <s v="0231 F1"/>
    <n v="301"/>
    <s v="kg"/>
    <s v="ARÁBICA"/>
    <s v="Green"/>
    <n v="55.000000000000007"/>
    <m/>
    <m/>
    <s v="23/07/2018"/>
    <n v="453.03680000000003"/>
    <n v="2306.3462800000002"/>
    <s v="BRL"/>
    <n v="3.8679999999999999"/>
    <n v="225.86799199999999"/>
    <n v="0"/>
    <s v="BRL"/>
    <n v="3.8679999999999999"/>
    <n v="301"/>
    <n v="0"/>
    <n v="58.393999999999998"/>
    <n v="0"/>
    <n v="8.7996919779999985"/>
    <n v="0"/>
    <e v="#N/A"/>
    <e v="#N/A"/>
    <n v="5312.6689712827301"/>
    <n v="89.853974788097219"/>
    <n v="98.653666766097203"/>
    <n v="98.653666766097203"/>
    <n v="2272.7346133333335"/>
    <n v="33.611666666666679"/>
    <n v="11.64"/>
    <n v="2.8403080220000021"/>
    <n v="0"/>
    <n v="0"/>
    <n v="1"/>
  </r>
  <r>
    <m/>
    <s v="CERRADO"/>
    <s v="L20:Loja Araguari"/>
    <s v="INDIANOPOLIS"/>
    <s v="2018/2019"/>
    <d v="2018-07-13T00:00:00"/>
    <x v="114"/>
    <s v="0029 F1"/>
    <n v="5210"/>
    <s v="kg"/>
    <s v="ARÁBICA"/>
    <s v="Green"/>
    <n v="45"/>
    <m/>
    <m/>
    <s v="27/07/2018"/>
    <n v="423.18240000000003"/>
    <n v="37397.588400000001"/>
    <s v="BRL"/>
    <n v="3.7158000000000002"/>
    <n v="3071.6784560000001"/>
    <n v="0"/>
    <s v="BRL"/>
    <n v="3.7158000000000002"/>
    <n v="5210"/>
    <n v="0"/>
    <n v="826.65333333333331"/>
    <n v="0"/>
    <n v="7.1969989373333343"/>
    <n v="0"/>
    <e v="#N/A"/>
    <e v="#N/A"/>
    <n v="5165.8406738330377"/>
    <n v="87.623235253641212"/>
    <n v="94.820234190974546"/>
    <n v="94.820234190974546"/>
    <n v="36746.338400000001"/>
    <n v="651.25"/>
    <n v="9.52"/>
    <n v="2.3230010626666653"/>
    <n v="0"/>
    <n v="0"/>
    <n v="1"/>
  </r>
  <r>
    <m/>
    <s v="CERRADO"/>
    <s v="L20:Loja Araguari"/>
    <s v="INDIANOPOLIS"/>
    <s v="2018/2019"/>
    <d v="2018-07-14T00:00:00"/>
    <x v="115"/>
    <s v="0012 F5"/>
    <n v="7880"/>
    <s v="kg"/>
    <s v="ARÁBICA"/>
    <s v="Green"/>
    <n v="55.000000000000007"/>
    <m/>
    <m/>
    <s v="19/07/2018"/>
    <n v="554.21442000000002"/>
    <n v="72804.344400000002"/>
    <s v="BRL"/>
    <n v="3.8841000000000001"/>
    <n v="5937.701352000001"/>
    <n v="0"/>
    <s v="BRL"/>
    <n v="3.8841000000000001"/>
    <n v="7880"/>
    <n v="0"/>
    <n v="1528.7200000000003"/>
    <n v="0"/>
    <n v="8.799691978000002"/>
    <n v="0"/>
    <e v="#N/A"/>
    <e v="#N/A"/>
    <n v="6472.2183325860669"/>
    <n v="107.8962661475786"/>
    <n v="116.69595812557861"/>
    <n v="116.69595812557861"/>
    <n v="72786.827160000015"/>
    <n v="17.517239999986487"/>
    <n v="11.640000000000002"/>
    <n v="2.8403080220000003"/>
    <n v="0"/>
    <n v="0"/>
    <n v="1"/>
  </r>
  <r>
    <m/>
    <s v="CERRADO"/>
    <s v="L20:Loja Araguari"/>
    <s v="INDIANOPOLIS"/>
    <s v="2018/2019"/>
    <d v="2018-07-16T00:00:00"/>
    <x v="116"/>
    <s v="1294 F1"/>
    <n v="6828"/>
    <s v="kg"/>
    <s v="ARÁBICA"/>
    <s v="Green"/>
    <n v="45"/>
    <m/>
    <m/>
    <s v="17/07/2018"/>
    <n v="486.9833000000001"/>
    <n v="55431.206160000009"/>
    <s v="BRL"/>
    <n v="3.8664999999999998"/>
    <n v="4188.8733039999988"/>
    <n v="0"/>
    <s v="BRL"/>
    <n v="3.8664999999999998"/>
    <n v="6828"/>
    <n v="0"/>
    <n v="1083.3759999999997"/>
    <n v="0"/>
    <n v="7.1969989373333316"/>
    <n v="0"/>
    <e v="#N/A"/>
    <e v="#N/A"/>
    <n v="5712.9680382108136"/>
    <n v="95.237621879772448"/>
    <n v="102.43462081710577"/>
    <n v="102.43462081710577"/>
    <n v="55418.699540000016"/>
    <n v="12.506619999992836"/>
    <n v="9.5199999999999978"/>
    <n v="2.3230010626666662"/>
    <n v="0"/>
    <n v="0"/>
    <n v="1"/>
  </r>
  <r>
    <m/>
    <s v="CERRADO"/>
    <s v="L20:Loja Araguari"/>
    <s v="INDIANOPOLIS"/>
    <s v="2018/2019"/>
    <d v="2018-07-17T00:00:00"/>
    <x v="117"/>
    <s v="1507 F1"/>
    <n v="3420"/>
    <s v="kg"/>
    <s v="ARÁBICA"/>
    <s v="Green"/>
    <n v="45"/>
    <m/>
    <m/>
    <s v="19/07/2018"/>
    <n v="486.99909999999994"/>
    <n v="27767.150999999998"/>
    <s v="BRL"/>
    <n v="3.8841000000000001"/>
    <n v="2107.6680240000001"/>
    <n v="0"/>
    <s v="BRL"/>
    <n v="3.8841000000000001"/>
    <n v="3420"/>
    <n v="0"/>
    <n v="542.64"/>
    <n v="0"/>
    <n v="7.1969989373333334"/>
    <n v="0"/>
    <e v="#N/A"/>
    <e v="#N/A"/>
    <n v="5687.2654143010468"/>
    <n v="94.815765084536935"/>
    <n v="102.01276402187027"/>
    <n v="102.01276402187027"/>
    <n v="27758.948699999997"/>
    <n v="8.2023000000008324"/>
    <n v="9.5199999999999978"/>
    <n v="2.3230010626666644"/>
    <n v="0"/>
    <n v="0"/>
    <n v="1"/>
  </r>
  <r>
    <m/>
    <s v="CERRADO"/>
    <s v="L20:Loja Araguari"/>
    <s v="INDIANOPOLIS"/>
    <s v="2018/2019"/>
    <d v="2018-07-17T00:00:00"/>
    <x v="118"/>
    <s v="1507 F1"/>
    <n v="1780"/>
    <s v="kg"/>
    <s v="ARÁBICA"/>
    <s v="Green"/>
    <n v="45"/>
    <m/>
    <m/>
    <s v="19/07/2018"/>
    <n v="488.1912999999999"/>
    <n v="14487.277599999998"/>
    <s v="BRL"/>
    <n v="3.8841000000000001"/>
    <n v="1096.973416"/>
    <n v="0"/>
    <s v="BRL"/>
    <n v="3.8841000000000001"/>
    <n v="1780"/>
    <n v="0"/>
    <n v="282.42666666666668"/>
    <n v="0"/>
    <n v="7.1969989373333334"/>
    <n v="0"/>
    <e v="#N/A"/>
    <e v="#N/A"/>
    <n v="5701.188146041065"/>
    <n v="95.047810613537237"/>
    <n v="102.24480955087058"/>
    <n v="102.24480955087058"/>
    <n v="14483.008566666664"/>
    <n v="4.2690333333339368"/>
    <n v="9.5199999999999978"/>
    <n v="2.3230010626666644"/>
    <n v="0"/>
    <n v="0"/>
    <n v="1"/>
  </r>
  <r>
    <m/>
    <s v="CERRADO"/>
    <s v="L20:Loja Araguari"/>
    <s v="INDIANOPOLIS"/>
    <s v="2018/2019"/>
    <d v="2018-07-20T00:00:00"/>
    <x v="119"/>
    <s v="0231 F1"/>
    <n v="6244"/>
    <s v="kg"/>
    <s v="ARÁBICA"/>
    <s v="Green"/>
    <n v="45"/>
    <m/>
    <m/>
    <s v="23/07/2018"/>
    <n v="447.73640000000006"/>
    <n v="47291.681360000002"/>
    <s v="BRL"/>
    <n v="3.8679999999999999"/>
    <n v="3832.0843306666657"/>
    <n v="0"/>
    <s v="BRL"/>
    <n v="3.8679999999999999"/>
    <n v="6244"/>
    <n v="0"/>
    <n v="990.7146666666664"/>
    <n v="0"/>
    <n v="7.1969989373333325"/>
    <n v="0"/>
    <e v="#N/A"/>
    <e v="#N/A"/>
    <n v="5250.5122753688738"/>
    <n v="88.818029856199587"/>
    <n v="96.015028793532935"/>
    <n v="96.015028793532935"/>
    <n v="46594.434693333336"/>
    <n v="697.24666666666599"/>
    <n v="9.52"/>
    <n v="2.3230010626666671"/>
    <n v="0"/>
    <n v="0"/>
    <n v="1"/>
  </r>
  <r>
    <m/>
    <s v="CERRADO"/>
    <s v="L20:Loja Araguari"/>
    <s v="INDIANOPOLIS"/>
    <s v="2018/2019"/>
    <d v="2018-07-21T00:00:00"/>
    <x v="120"/>
    <s v="0231 F1"/>
    <n v="6069"/>
    <s v="kg"/>
    <s v="ARÁBICA"/>
    <s v="Green"/>
    <n v="55.000000000000007"/>
    <m/>
    <m/>
    <s v="23/07/2018"/>
    <n v="450.91639999999995"/>
    <n v="46287.898860000001"/>
    <s v="BRL"/>
    <n v="3.8679999999999999"/>
    <n v="4554.1290479999998"/>
    <n v="0"/>
    <s v="BRL"/>
    <n v="3.8679999999999999"/>
    <n v="6069"/>
    <n v="0"/>
    <n v="1177.386"/>
    <n v="0"/>
    <n v="8.7996919780000002"/>
    <n v="0"/>
    <e v="#N/A"/>
    <e v="#N/A"/>
    <n v="5287.8034784867632"/>
    <n v="89.439549908164437"/>
    <n v="98.239241886164436"/>
    <n v="98.239241886164436"/>
    <n v="45610.193859999992"/>
    <n v="677.70500000000902"/>
    <n v="11.64"/>
    <n v="2.8403080220000003"/>
    <n v="0"/>
    <n v="0"/>
    <n v="1"/>
  </r>
  <r>
    <m/>
    <s v="CERRADO"/>
    <s v="L20:Loja Araguari"/>
    <s v="INDIANOPOLIS"/>
    <s v="2018/2019"/>
    <d v="2018-07-21T00:00:00"/>
    <x v="121"/>
    <s v="0231 F1"/>
    <n v="1022"/>
    <s v="kg"/>
    <s v="ARÁBICA"/>
    <s v="Green"/>
    <n v="55.000000000000007"/>
    <m/>
    <m/>
    <s v="25/07/2018"/>
    <n v="435.9711999999999"/>
    <n v="7610.3434399999996"/>
    <s v="BRL"/>
    <n v="3.7909000000000002"/>
    <n v="751.61416120000013"/>
    <n v="0"/>
    <s v="BRL"/>
    <n v="3.7909000000000002"/>
    <n v="1022"/>
    <n v="0"/>
    <n v="198.26800000000003"/>
    <n v="0"/>
    <n v="8.7996919780000002"/>
    <n v="0"/>
    <e v="#N/A"/>
    <e v="#N/A"/>
    <n v="5216.52404072236"/>
    <n v="89.099808885816032"/>
    <n v="97.899500863816044"/>
    <n v="97.899500863816044"/>
    <n v="7426.0427733333318"/>
    <n v="184.30066666666789"/>
    <n v="11.640000000000002"/>
    <n v="2.8403080220000021"/>
    <n v="0"/>
    <n v="0"/>
    <n v="1"/>
  </r>
  <r>
    <m/>
    <s v="CERRADO"/>
    <s v="L20:Loja Araguari"/>
    <s v="INDIANOPOLIS"/>
    <s v="2018/2019"/>
    <d v="2018-07-23T00:00:00"/>
    <x v="122"/>
    <s v="0231 F1"/>
    <n v="3839"/>
    <s v="kg"/>
    <s v="ARÁBICA"/>
    <s v="Green"/>
    <n v="45"/>
    <m/>
    <m/>
    <s v="25/07/2018"/>
    <n v="438.09100000000001"/>
    <n v="28722.82215"/>
    <s v="BRL"/>
    <n v="3.7909000000000002"/>
    <n v="2309.1180625333336"/>
    <n v="0"/>
    <s v="BRL"/>
    <n v="3.7909000000000002"/>
    <n v="3839"/>
    <n v="0"/>
    <n v="609.12133333333338"/>
    <n v="0"/>
    <n v="7.1969989373333343"/>
    <n v="0"/>
    <e v="#N/A"/>
    <e v="#N/A"/>
    <n v="5241.8880731665313"/>
    <n v="89.522542759885511"/>
    <n v="96.719541697218858"/>
    <n v="96.719541697218858"/>
    <n v="28030.52248333333"/>
    <n v="692.29966666666951"/>
    <n v="9.52"/>
    <n v="2.3230010626666653"/>
    <n v="0"/>
    <n v="0"/>
    <n v="1"/>
  </r>
  <r>
    <m/>
    <s v="CERRADO"/>
    <s v="L20:Loja Araguari"/>
    <s v="INDIANOPOLIS"/>
    <s v="2018/2019"/>
    <d v="2018-07-24T00:00:00"/>
    <x v="123"/>
    <s v="0231 F1"/>
    <n v="7763"/>
    <s v="kg"/>
    <s v="ARÁBICA"/>
    <s v="Green"/>
    <n v="45"/>
    <m/>
    <m/>
    <s v="25/07/2018"/>
    <n v="433.85080000000005"/>
    <n v="57532.990340000004"/>
    <s v="BRL"/>
    <n v="3.7909000000000002"/>
    <n v="4669.3627297333333"/>
    <n v="0"/>
    <s v="BRL"/>
    <n v="3.7909000000000002"/>
    <n v="7763"/>
    <n v="0"/>
    <n v="1231.7293333333332"/>
    <n v="0"/>
    <n v="7.1969989373333325"/>
    <n v="0"/>
    <e v="#N/A"/>
    <e v="#N/A"/>
    <n v="5191.1528291011637"/>
    <n v="88.676955358796064"/>
    <n v="95.873954296129398"/>
    <n v="95.873954296129398"/>
    <n v="56133.062673333341"/>
    <n v="1399.9276666666628"/>
    <n v="9.52"/>
    <n v="2.3230010626666671"/>
    <n v="0"/>
    <n v="0"/>
    <n v="1"/>
  </r>
  <r>
    <m/>
    <s v="CERRADO"/>
    <s v="L20:Loja Araguari"/>
    <s v="INDIANOPOLIS"/>
    <s v="2018/2019"/>
    <d v="2018-07-25T00:00:00"/>
    <x v="124"/>
    <s v="0012 F3"/>
    <n v="9420"/>
    <s v="kg"/>
    <s v="ARÁBICA"/>
    <s v="Green"/>
    <n v="45"/>
    <m/>
    <m/>
    <s v="26/07/2018"/>
    <n v="481.03900000000016"/>
    <n v="75554.711400000015"/>
    <s v="BRL"/>
    <n v="3.7237"/>
    <n v="5565.5909680000004"/>
    <n v="0"/>
    <s v="BRL"/>
    <n v="3.7237"/>
    <n v="9420"/>
    <n v="0"/>
    <n v="1494.64"/>
    <n v="0"/>
    <n v="7.1969989373333343"/>
    <n v="0"/>
    <e v="#N/A"/>
    <e v="#N/A"/>
    <n v="5859.6455158157232"/>
    <n v="97.701606313287897"/>
    <n v="104.89860525062123"/>
    <n v="104.89860525062123"/>
    <n v="75523.123000000036"/>
    <n v="31.588399999978719"/>
    <n v="9.5200000000000014"/>
    <n v="2.3230010626666671"/>
    <n v="0"/>
    <n v="0"/>
    <n v="1"/>
  </r>
  <r>
    <m/>
    <s v="CERRADO"/>
    <s v="L20:Loja Araguari"/>
    <s v="INDIANOPOLIS"/>
    <s v="2018/2019"/>
    <d v="2018-07-27T00:00:00"/>
    <x v="125"/>
    <s v="0540 F2"/>
    <n v="9160"/>
    <s v="kg"/>
    <s v="ARÁBICA"/>
    <s v="Green"/>
    <n v="45"/>
    <m/>
    <m/>
    <s v="27/07/2018"/>
    <n v="480.06367999999998"/>
    <n v="73312.059999999983"/>
    <s v="BRL"/>
    <n v="3.7158000000000002"/>
    <n v="5400.4941760000002"/>
    <n v="0"/>
    <s v="BRL"/>
    <n v="3.7158000000000002"/>
    <n v="9160"/>
    <n v="0"/>
    <n v="1453.3866666666665"/>
    <n v="0"/>
    <n v="7.1969989373333343"/>
    <n v="0"/>
    <e v="#N/A"/>
    <e v="#N/A"/>
    <n v="5860.1975984208411"/>
    <n v="97.69972908377737"/>
    <n v="104.89672802111068"/>
    <n v="104.89672802111068"/>
    <n v="73289.721813333323"/>
    <n v="22.338186666660476"/>
    <n v="9.52"/>
    <n v="2.3230010626666653"/>
    <n v="0"/>
    <n v="0"/>
    <n v="1"/>
  </r>
  <r>
    <m/>
    <s v="CERRADO"/>
    <s v="L20:Loja Araguari"/>
    <s v="NOVA PONTE"/>
    <s v="2018/2019"/>
    <d v="2018-06-29T00:00:00"/>
    <x v="126"/>
    <s v="1308 F1"/>
    <n v="13970"/>
    <s v="kg"/>
    <s v="ARÁBICA"/>
    <s v="Green"/>
    <n v="55.000000000000007"/>
    <m/>
    <m/>
    <d v="2018-10-07T00:00:00"/>
    <n v="450.92035999999996"/>
    <n v="106361.2935"/>
    <s v="BRL"/>
    <n v="3.8445999999999998"/>
    <n v="10419.558027999999"/>
    <n v="0"/>
    <s v="BRL"/>
    <n v="3.8445999999999998"/>
    <n v="13970"/>
    <n v="0"/>
    <n v="2710.18"/>
    <n v="0"/>
    <n v="8.7996919779999985"/>
    <n v="0"/>
    <n v="4.1306000000000003"/>
    <n v="109.55"/>
    <n v="5320.0341979309469"/>
    <n v="89.825942584755254"/>
    <n v="98.625634562755238"/>
    <n v="98.625634562755238"/>
    <n v="104989.29048666665"/>
    <n v="1372.0030133333494"/>
    <n v="11.64"/>
    <n v="2.8403080220000021"/>
    <n v="0"/>
    <n v="0"/>
    <n v="1"/>
  </r>
  <r>
    <m/>
    <s v="CERRADO"/>
    <s v="L20:Loja Araguari"/>
    <s v="NOVA PONTE"/>
    <s v="2018/2019"/>
    <d v="2018-07-02T00:00:00"/>
    <x v="127"/>
    <s v="1308 F1"/>
    <n v="12390"/>
    <s v="kg"/>
    <s v="ARÁBICA"/>
    <s v="Green"/>
    <n v="55.000000000000007"/>
    <m/>
    <m/>
    <d v="2018-10-07T00:00:00"/>
    <n v="449.86073999999996"/>
    <n v="94110.227400000003"/>
    <s v="BRL"/>
    <n v="3.8445999999999998"/>
    <n v="9241.1112359999988"/>
    <n v="0"/>
    <s v="BRL"/>
    <n v="3.8445999999999998"/>
    <n v="12390"/>
    <n v="0"/>
    <n v="2403.66"/>
    <n v="0"/>
    <n v="8.7996919780000002"/>
    <n v="0"/>
    <n v="4.1306000000000003"/>
    <n v="109.55"/>
    <n v="5307.5326230701194"/>
    <n v="89.614873357805763"/>
    <n v="98.414565335805776"/>
    <n v="98.414565335805776"/>
    <n v="92896.242809999996"/>
    <n v="1213.9845900000073"/>
    <n v="11.639999999999997"/>
    <n v="2.8403080219999968"/>
    <n v="0"/>
    <n v="0"/>
    <n v="1"/>
  </r>
  <r>
    <m/>
    <s v="CERRADO"/>
    <s v="L12:Loja Monte Carmelo"/>
    <s v="ESTRELA DO SUL"/>
    <s v="2018/2019"/>
    <d v="2018-06-22T00:00:00"/>
    <x v="128"/>
    <s v="1133 F1"/>
    <n v="16990"/>
    <s v="kg"/>
    <s v="ARÁBICA"/>
    <s v="Green"/>
    <n v="55.000000000000007"/>
    <m/>
    <m/>
    <s v="26/06/2018"/>
    <n v="453.56915999999995"/>
    <n v="130759.79719999999"/>
    <s v="BRL"/>
    <n v="3.7715000000000001"/>
    <n v="12431.090290000002"/>
    <n v="0"/>
    <s v="BRL"/>
    <n v="3.7715000000000001"/>
    <n v="16990"/>
    <n v="0"/>
    <n v="3296.0600000000004"/>
    <n v="0"/>
    <n v="8.799691978000002"/>
    <n v="0"/>
    <e v="#N/A"/>
    <e v="#N/A"/>
    <n v="5455.0049116613864"/>
    <n v="92.561948439178053"/>
    <n v="101.36164041717805"/>
    <n v="101.36164041717805"/>
    <n v="128435.66713999999"/>
    <n v="2324.1300599999959"/>
    <n v="11.64"/>
    <n v="2.8403080219999985"/>
    <n v="0"/>
    <n v="0"/>
    <n v="1"/>
  </r>
  <r>
    <m/>
    <s v="CERRADO"/>
    <s v="L12:Loja Monte Carmelo"/>
    <s v="ESTRELA DO SUL"/>
    <s v="2018/2019"/>
    <d v="2018-06-26T00:00:00"/>
    <x v="129"/>
    <s v="0553 F1"/>
    <n v="601"/>
    <s v="kg"/>
    <s v="ARÁBICA"/>
    <s v="Green"/>
    <n v="45"/>
    <m/>
    <m/>
    <s v="28/06/2018"/>
    <n v="455.91359999999997"/>
    <n v="4589.6867499999998"/>
    <s v="BRL"/>
    <n v="3.8515000000000001"/>
    <n v="367.27390466666668"/>
    <n v="0"/>
    <s v="BRL"/>
    <n v="3.8515000000000001"/>
    <n v="601"/>
    <n v="0"/>
    <n v="95.358666666666664"/>
    <n v="0"/>
    <n v="7.1969989373333334"/>
    <n v="0"/>
    <e v="#N/A"/>
    <e v="#N/A"/>
    <n v="5369.3088495191996"/>
    <n v="89.938245660067494"/>
    <n v="97.135244597400828"/>
    <n v="97.135244597400828"/>
    <n v="4566.7345599999999"/>
    <n v="22.952189999999973"/>
    <n v="9.5200000000000014"/>
    <n v="2.3230010626666679"/>
    <n v="0"/>
    <n v="0"/>
    <n v="1"/>
  </r>
  <r>
    <m/>
    <s v="CERRADO"/>
    <s v="L12:Loja Monte Carmelo"/>
    <s v="ESTRELA DO SUL"/>
    <s v="2018/2019"/>
    <d v="2018-06-26T00:00:00"/>
    <x v="130"/>
    <s v="0553 F1"/>
    <n v="1803"/>
    <s v="kg"/>
    <s v="ARÁBICA"/>
    <s v="Green"/>
    <n v="45"/>
    <m/>
    <m/>
    <s v="19/07/2018"/>
    <n v="434.00655999999998"/>
    <n v="13212.32991"/>
    <s v="BRL"/>
    <n v="3.8841000000000001"/>
    <n v="1111.1477916000001"/>
    <n v="0"/>
    <s v="BRL"/>
    <n v="3.8841000000000001"/>
    <n v="1803"/>
    <n v="0"/>
    <n v="286.07600000000002"/>
    <n v="0"/>
    <n v="7.1969989373333334"/>
    <n v="0"/>
    <e v="#N/A"/>
    <e v="#N/A"/>
    <n v="5068.4087470957802"/>
    <n v="85.577386771424514"/>
    <n v="92.774385708757862"/>
    <n v="92.774385708757862"/>
    <n v="13041.897128000001"/>
    <n v="170.43278199999986"/>
    <n v="9.52"/>
    <n v="2.3230010626666662"/>
    <n v="0"/>
    <n v="0"/>
    <n v="1"/>
  </r>
  <r>
    <m/>
    <s v="CERRADO"/>
    <s v="L12:Loja Monte Carmelo"/>
    <s v="ESTRELA DO SUL"/>
    <s v="2018/2019"/>
    <d v="2018-07-02T00:00:00"/>
    <x v="131"/>
    <s v="0227 F1"/>
    <n v="3790"/>
    <s v="kg"/>
    <s v="ARÁBICA"/>
    <s v="Green"/>
    <n v="45"/>
    <m/>
    <m/>
    <d v="2018-03-07T00:00:00"/>
    <n v="447.88870000000003"/>
    <n v="28433.830699999999"/>
    <s v="BRL"/>
    <n v="3.8914"/>
    <n v="2340.0804186666664"/>
    <n v="0"/>
    <s v="BRL"/>
    <n v="3.8914"/>
    <n v="3790"/>
    <n v="0"/>
    <n v="601.34666666666658"/>
    <n v="0"/>
    <n v="7.1969989373333325"/>
    <n v="0"/>
    <n v="3.2454000000000001"/>
    <n v="118.15"/>
    <n v="5220.7148308891146"/>
    <n v="87.449237940640884"/>
    <n v="94.646236877974232"/>
    <n v="94.646236877974232"/>
    <n v="28291.636216666669"/>
    <n v="142.19448333332912"/>
    <n v="9.52"/>
    <n v="2.3230010626666671"/>
    <n v="0"/>
    <n v="0"/>
    <n v="1"/>
  </r>
  <r>
    <m/>
    <s v="CERRADO"/>
    <s v="L12:Loja Monte Carmelo"/>
    <s v="ESTRELA DO SUL"/>
    <s v="2018/2019"/>
    <d v="2018-07-03T00:00:00"/>
    <x v="132"/>
    <s v="0077 F1"/>
    <n v="1990"/>
    <s v="kg"/>
    <s v="ARÁBICA"/>
    <s v="Green"/>
    <n v="55.000000000000007"/>
    <m/>
    <m/>
    <s v="23/07/2018"/>
    <n v="486.57180000000005"/>
    <n v="16143.138700000001"/>
    <s v="BRL"/>
    <n v="3.7909000000000002"/>
    <n v="1463.514854"/>
    <n v="0"/>
    <s v="BRL"/>
    <n v="3.7909000000000002"/>
    <n v="1990"/>
    <n v="0"/>
    <n v="386.06"/>
    <n v="0"/>
    <n v="8.7996919780000002"/>
    <n v="0"/>
    <e v="#N/A"/>
    <e v="#N/A"/>
    <n v="5821.9751493620524"/>
    <n v="97.064028923160748"/>
    <n v="105.86372090116073"/>
    <n v="105.86372090116073"/>
    <n v="16137.964700000002"/>
    <n v="5.1739999999990687"/>
    <n v="11.64"/>
    <n v="2.8403080220000003"/>
    <n v="0"/>
    <n v="0"/>
    <n v="1"/>
  </r>
  <r>
    <m/>
    <s v="CERRADO"/>
    <s v="L12:Loja Monte Carmelo"/>
    <s v="ESTRELA DO SUL"/>
    <s v="2018/2019"/>
    <d v="2018-07-01T00:00:00"/>
    <x v="133"/>
    <s v="1133 F1"/>
    <n v="9070"/>
    <s v="kg"/>
    <s v="ARÁBICA"/>
    <s v="Green"/>
    <n v="55.000000000000007"/>
    <m/>
    <m/>
    <d v="2018-03-07T00:00:00"/>
    <n v="444.68640000000005"/>
    <n v="68235.423999999999"/>
    <s v="BRL"/>
    <n v="3.8914"/>
    <n v="6847.2296119999992"/>
    <n v="0"/>
    <s v="BRL"/>
    <n v="3.8914"/>
    <n v="9070"/>
    <n v="0"/>
    <n v="1759.5799999999997"/>
    <n v="0"/>
    <n v="8.7996919779999985"/>
    <n v="0"/>
    <n v="3.2454000000000001"/>
    <n v="118.15"/>
    <n v="5183.3879344906209"/>
    <n v="87.692504445289615"/>
    <n v="96.492196423289599"/>
    <n v="96.492196423289599"/>
    <n v="67221.760800000004"/>
    <n v="1013.6631999999954"/>
    <n v="11.64"/>
    <n v="2.8403080220000021"/>
    <n v="0"/>
    <n v="0"/>
    <n v="1"/>
  </r>
  <r>
    <m/>
    <s v="CERRADO"/>
    <s v="L12:Loja Monte Carmelo"/>
    <s v="MONTE CARMELO"/>
    <s v="2018/2019"/>
    <d v="2018-06-06T00:00:00"/>
    <x v="134"/>
    <s v="1545 F1"/>
    <n v="550"/>
    <s v="kg"/>
    <s v="ARÁBICA"/>
    <s v="Green"/>
    <n v="55.000000000000007"/>
    <m/>
    <m/>
    <s v="22/06/2018"/>
    <n v="450.80859999999996"/>
    <n v="4153.1819999999998"/>
    <s v="BRL"/>
    <n v="3.7656999999999998"/>
    <n v="401.80018999999999"/>
    <n v="0"/>
    <s v="BRL"/>
    <n v="3.7656999999999998"/>
    <n v="550"/>
    <n v="0"/>
    <n v="106.7"/>
    <n v="0"/>
    <n v="8.7996919780000002"/>
    <n v="0"/>
    <e v="#N/A"/>
    <e v="#N/A"/>
    <n v="5430.1548527599643"/>
    <n v="90.957454073314381"/>
    <n v="99.757146051314393"/>
    <n v="99.757146051314393"/>
    <n v="4132.4121666666661"/>
    <n v="20.769833333333736"/>
    <n v="11.64"/>
    <n v="2.8403080220000003"/>
    <n v="0"/>
    <n v="0"/>
    <n v="1"/>
  </r>
  <r>
    <m/>
    <s v="CERRADO"/>
    <s v="L12:Loja Monte Carmelo"/>
    <s v="MONTE CARMELO"/>
    <s v="2018/2019"/>
    <d v="2018-06-08T00:00:00"/>
    <x v="135"/>
    <s v="1545 F1"/>
    <n v="600"/>
    <s v="kg"/>
    <s v="ARÁBICA"/>
    <s v="Green"/>
    <n v="55.000000000000007"/>
    <m/>
    <m/>
    <s v="26/06/2018"/>
    <n v="458.89859999999999"/>
    <n v="4612.05"/>
    <s v="BRL"/>
    <n v="3.7715000000000001"/>
    <n v="439.00260000000003"/>
    <n v="0"/>
    <s v="BRL"/>
    <n v="3.7715000000000001"/>
    <n v="600"/>
    <n v="0"/>
    <n v="116.4"/>
    <n v="0"/>
    <n v="8.7996919780000002"/>
    <n v="0"/>
    <e v="#N/A"/>
    <e v="#N/A"/>
    <n v="5519.1012478770244"/>
    <n v="92.44733262886119"/>
    <n v="101.24702460686119"/>
    <n v="101.24702460686119"/>
    <n v="4588.9859999999999"/>
    <n v="23.064000000000306"/>
    <n v="11.64"/>
    <n v="2.8403080220000003"/>
    <n v="0"/>
    <n v="0"/>
    <n v="1"/>
  </r>
  <r>
    <m/>
    <s v="CERRADO"/>
    <s v="L12:Loja Monte Carmelo"/>
    <s v="MONTE CARMELO"/>
    <s v="2018/2019"/>
    <d v="2018-06-14T00:00:00"/>
    <x v="136"/>
    <s v="0151 F6"/>
    <n v="20420"/>
    <s v="kg"/>
    <s v="ARÁBICA"/>
    <s v="Green"/>
    <n v="55.000000000000007"/>
    <m/>
    <m/>
    <s v="21/06/2018"/>
    <n v="442.44360000000006"/>
    <n v="152394.86840000001"/>
    <s v="BRL"/>
    <n v="3.7888000000000002"/>
    <n v="15009.255423999999"/>
    <n v="0"/>
    <s v="BRL"/>
    <n v="3.7888000000000002"/>
    <n v="20420"/>
    <n v="0"/>
    <n v="3961.4799999999996"/>
    <n v="0"/>
    <n v="8.7996919779999985"/>
    <n v="0"/>
    <e v="#N/A"/>
    <e v="#N/A"/>
    <n v="5296.9024787619301"/>
    <n v="89.346730604872249"/>
    <n v="98.146422582872262"/>
    <n v="98.146422582872262"/>
    <n v="150578.3052"/>
    <n v="1816.5632000000041"/>
    <n v="11.64"/>
    <n v="2.8403080220000021"/>
    <n v="0"/>
    <n v="0"/>
    <n v="1"/>
  </r>
  <r>
    <m/>
    <s v="CERRADO"/>
    <s v="L12:Loja Monte Carmelo"/>
    <s v="MONTE CARMELO"/>
    <s v="2018/2019"/>
    <d v="2018-06-14T00:00:00"/>
    <x v="137"/>
    <s v="1545 F1"/>
    <n v="420"/>
    <s v="kg"/>
    <s v="ARÁBICA"/>
    <s v="Green"/>
    <n v="45"/>
    <m/>
    <m/>
    <s v="26/06/2018"/>
    <n v="457.8383"/>
    <n v="3220.9758000000002"/>
    <s v="BRL"/>
    <n v="3.7715000000000001"/>
    <n v="251.33276000000001"/>
    <n v="0"/>
    <s v="BRL"/>
    <n v="3.7715000000000001"/>
    <n v="420"/>
    <n v="0"/>
    <n v="66.64"/>
    <n v="0"/>
    <n v="7.1969989373333343"/>
    <n v="0"/>
    <e v="#N/A"/>
    <e v="#N/A"/>
    <n v="5506.3491866305449"/>
    <n v="92.233735903653738"/>
    <n v="99.430734840987071"/>
    <n v="99.430734840987071"/>
    <n v="3204.8681000000001"/>
    <n v="16.107700000000023"/>
    <n v="9.5200000000000014"/>
    <n v="2.3230010626666671"/>
    <n v="0"/>
    <n v="0"/>
    <n v="1"/>
  </r>
  <r>
    <m/>
    <s v="CERRADO"/>
    <s v="L12:Loja Monte Carmelo"/>
    <s v="MONTE CARMELO"/>
    <s v="2018/2019"/>
    <d v="2018-06-14T00:00:00"/>
    <x v="138"/>
    <s v="1545 F1"/>
    <n v="300"/>
    <s v="kg"/>
    <s v="ARÁBICA"/>
    <s v="Green"/>
    <n v="45"/>
    <m/>
    <m/>
    <s v="27/07/2018"/>
    <n v="420.00810000000001"/>
    <n v="2131.7069999999999"/>
    <s v="BRL"/>
    <n v="3.7158000000000002"/>
    <n v="176.87208000000001"/>
    <n v="0"/>
    <s v="BRL"/>
    <n v="3.7158000000000002"/>
    <n v="300"/>
    <n v="0"/>
    <n v="47.6"/>
    <n v="0"/>
    <n v="7.1969989373333343"/>
    <n v="0"/>
    <e v="#N/A"/>
    <e v="#N/A"/>
    <n v="5127.0915953010654"/>
    <n v="86.740049722409708"/>
    <n v="93.937048659743027"/>
    <n v="93.937048659743027"/>
    <n v="2100.0405000000001"/>
    <n v="31.666499999999814"/>
    <n v="9.52"/>
    <n v="2.3230010626666653"/>
    <n v="0"/>
    <n v="0"/>
    <n v="1"/>
  </r>
  <r>
    <m/>
    <s v="CERRADO"/>
    <s v="L12:Loja Monte Carmelo"/>
    <s v="MONTE CARMELO"/>
    <s v="2018/2019"/>
    <d v="2018-06-19T00:00:00"/>
    <x v="139"/>
    <s v="0156 F1"/>
    <n v="1981"/>
    <s v="kg"/>
    <s v="ARÁBICA"/>
    <s v="Green"/>
    <n v="55.000000000000007"/>
    <m/>
    <m/>
    <s v="25/06/2018"/>
    <n v="711.83820000000003"/>
    <n v="23502.524570000001"/>
    <s v="BRL"/>
    <n v="3.7753999999999999"/>
    <n v="1450.9390756"/>
    <n v="0"/>
    <s v="BRL"/>
    <n v="3.7753999999999999"/>
    <n v="1981"/>
    <n v="0"/>
    <n v="384.31400000000002"/>
    <n v="0"/>
    <n v="8.7996919779999985"/>
    <n v="0"/>
    <e v="#N/A"/>
    <e v="#N/A"/>
    <n v="8552.3223021278282"/>
    <n v="142.53870503546378"/>
    <n v="151.3383970134638"/>
    <n v="151.3383970134638"/>
    <n v="23502.524570000001"/>
    <n v="0"/>
    <n v="11.640000000000002"/>
    <n v="2.8403080220000039"/>
    <n v="0"/>
    <n v="0"/>
    <n v="1"/>
  </r>
  <r>
    <m/>
    <s v="CERRADO"/>
    <s v="L12:Loja Monte Carmelo"/>
    <s v="MONTE CARMELO"/>
    <s v="2018/2019"/>
    <d v="2018-06-19T00:00:00"/>
    <x v="140"/>
    <s v="0156 F1"/>
    <n v="841"/>
    <s v="kg"/>
    <s v="ARÁBICA"/>
    <s v="Green"/>
    <n v="55.000000000000007"/>
    <m/>
    <m/>
    <s v="25/06/2018"/>
    <n v="447.75849999999997"/>
    <n v="6307.6261500000001"/>
    <s v="BRL"/>
    <n v="3.7753999999999999"/>
    <n v="615.97161160000007"/>
    <n v="0"/>
    <s v="BRL"/>
    <n v="3.7753999999999999"/>
    <n v="841"/>
    <n v="0"/>
    <n v="163.15400000000002"/>
    <n v="0"/>
    <n v="8.799691978000002"/>
    <n v="0"/>
    <e v="#N/A"/>
    <e v="#N/A"/>
    <n v="5379.5581713896536"/>
    <n v="90.109943684258639"/>
    <n v="98.909635662258637"/>
    <n v="98.909635662258637"/>
    <n v="6276.0816416666657"/>
    <n v="31.544508333334306"/>
    <n v="11.640000000000002"/>
    <n v="2.8403080220000003"/>
    <n v="0"/>
    <n v="0"/>
    <n v="1"/>
  </r>
  <r>
    <m/>
    <s v="CERRADO"/>
    <s v="L12:Loja Monte Carmelo"/>
    <s v="MONTE CARMELO"/>
    <s v="2018/2019"/>
    <d v="2018-06-19T00:00:00"/>
    <x v="141"/>
    <s v="0089 F2"/>
    <n v="840"/>
    <s v="kg"/>
    <s v="ARÁBICA"/>
    <s v="Green"/>
    <n v="45"/>
    <m/>
    <m/>
    <s v="26/06/2018"/>
    <n v="445.31360000000001"/>
    <n v="6265.7280000000001"/>
    <s v="BRL"/>
    <n v="3.7715000000000001"/>
    <n v="502.66552000000001"/>
    <n v="0"/>
    <s v="BRL"/>
    <n v="3.7715000000000001"/>
    <n v="840"/>
    <n v="0"/>
    <n v="133.28"/>
    <n v="0"/>
    <n v="7.1969989373333343"/>
    <n v="0"/>
    <e v="#N/A"/>
    <e v="#N/A"/>
    <n v="5355.7165906729952"/>
    <n v="89.710624587140401"/>
    <n v="96.907623524473735"/>
    <n v="96.907623524473735"/>
    <n v="6234.3904000000002"/>
    <n v="31.337599999999838"/>
    <n v="9.5200000000000014"/>
    <n v="2.3230010626666671"/>
    <n v="0"/>
    <n v="0"/>
    <n v="1"/>
  </r>
  <r>
    <m/>
    <s v="CERRADO"/>
    <s v="L12:Loja Monte Carmelo"/>
    <s v="MONTE CARMELO"/>
    <s v="2018/2019"/>
    <d v="2018-06-19T00:00:00"/>
    <x v="142"/>
    <s v="0156 F1"/>
    <n v="2822"/>
    <s v="kg"/>
    <s v="ARÁBICA"/>
    <s v="Green"/>
    <n v="55.000000000000007"/>
    <m/>
    <m/>
    <s v="28/06/2018"/>
    <n v="455.71830000000006"/>
    <n v="21541.680560000001"/>
    <s v="BRL"/>
    <n v="3.8515000000000001"/>
    <n v="2108.5730020000001"/>
    <n v="0"/>
    <s v="BRL"/>
    <n v="3.8515000000000001"/>
    <n v="2822"/>
    <n v="0"/>
    <n v="547.46799999999996"/>
    <n v="0"/>
    <n v="8.7996919780000002"/>
    <n v="0"/>
    <e v="#N/A"/>
    <e v="#N/A"/>
    <n v="5367.0087952582371"/>
    <n v="89.899734766911578"/>
    <n v="98.699426744911605"/>
    <n v="98.699426744911605"/>
    <n v="21433.950710000001"/>
    <n v="107.72984999999971"/>
    <n v="11.639999999999999"/>
    <n v="2.8403080219999985"/>
    <n v="0"/>
    <n v="0"/>
    <n v="1"/>
  </r>
  <r>
    <m/>
    <s v="CERRADO"/>
    <s v="L12:Loja Monte Carmelo"/>
    <s v="MONTE CARMELO"/>
    <s v="2018/2019"/>
    <d v="2018-06-19T00:00:00"/>
    <x v="143"/>
    <s v="0089 F2"/>
    <n v="2041"/>
    <s v="kg"/>
    <s v="ARÁBICA"/>
    <s v="Green"/>
    <n v="45"/>
    <m/>
    <m/>
    <s v="28/06/2018"/>
    <n v="448.28304000000009"/>
    <n v="15433.062320000001"/>
    <s v="BRL"/>
    <n v="3.8515000000000001"/>
    <n v="1247.2646246666666"/>
    <n v="0"/>
    <s v="BRL"/>
    <n v="3.8515000000000001"/>
    <n v="2041"/>
    <n v="0"/>
    <n v="323.83866666666665"/>
    <n v="0"/>
    <n v="7.1969989373333325"/>
    <n v="0"/>
    <e v="#N/A"/>
    <e v="#N/A"/>
    <n v="5279.4435036844043"/>
    <n v="89.052259576850588"/>
    <n v="96.249258514183921"/>
    <n v="96.249258514183921"/>
    <n v="15249.094744000004"/>
    <n v="183.96757599999728"/>
    <n v="9.52"/>
    <n v="2.3230010626666671"/>
    <n v="0"/>
    <n v="0"/>
    <n v="1"/>
  </r>
  <r>
    <m/>
    <s v="CERRADO"/>
    <s v="L12:Loja Monte Carmelo"/>
    <s v="MONTE CARMELO"/>
    <s v="2018/2019"/>
    <d v="2018-06-19T00:00:00"/>
    <x v="144"/>
    <s v="0089 F2"/>
    <n v="15609"/>
    <s v="kg"/>
    <s v="ARÁBICA"/>
    <s v="Green"/>
    <n v="45"/>
    <m/>
    <m/>
    <d v="2018-04-07T00:00:00"/>
    <n v="438.32492000000008"/>
    <n v="115864.51437"/>
    <s v="BRL"/>
    <n v="3.9051999999999998"/>
    <n v="9671.7276655999995"/>
    <n v="0"/>
    <s v="BRL"/>
    <n v="3.9051999999999998"/>
    <n v="15609"/>
    <n v="0"/>
    <n v="2476.6280000000002"/>
    <n v="0"/>
    <n v="7.1969989373333334"/>
    <n v="0"/>
    <n v="3.3696999999999999"/>
    <n v="116.8"/>
    <n v="5091.1819956176496"/>
    <n v="86.217976314762382"/>
    <n v="93.414975252095715"/>
    <n v="93.414975252095715"/>
    <n v="114030.22793800003"/>
    <n v="1834.286431999979"/>
    <n v="9.52"/>
    <n v="2.3230010626666662"/>
    <n v="0"/>
    <n v="0"/>
    <n v="1"/>
  </r>
  <r>
    <m/>
    <s v="CERRADO"/>
    <s v="L12:Loja Monte Carmelo"/>
    <s v="MONTE CARMELO"/>
    <s v="2018/2019"/>
    <d v="2018-06-19T00:00:00"/>
    <x v="145"/>
    <s v="1123 F1"/>
    <n v="120"/>
    <s v="kg"/>
    <s v="ARÁBICA"/>
    <s v="Green"/>
    <n v="45"/>
    <m/>
    <m/>
    <d v="2018-11-07T00:00:00"/>
    <n v="474.92110000000002"/>
    <n v="950.06280000000004"/>
    <s v="BRL"/>
    <n v="3.8411"/>
    <n v="73.134543999999991"/>
    <n v="0"/>
    <s v="BRL"/>
    <n v="3.8411"/>
    <n v="120"/>
    <n v="0"/>
    <n v="19.04"/>
    <n v="0"/>
    <n v="7.1969989373333334"/>
    <n v="0"/>
    <n v="4.1306000000000003"/>
    <n v="109.55"/>
    <n v="5608.3045823333705"/>
    <n v="93.493451767470276"/>
    <n v="100.6904507048036"/>
    <n v="100.6904507048036"/>
    <n v="949.84220000000016"/>
    <n v="0.22059999999987667"/>
    <n v="9.52"/>
    <n v="2.3230010626666662"/>
    <n v="0"/>
    <n v="0"/>
    <n v="1"/>
  </r>
  <r>
    <m/>
    <s v="CERRADO"/>
    <s v="L12:Loja Monte Carmelo"/>
    <s v="MONTE CARMELO"/>
    <s v="2018/2019"/>
    <d v="2018-06-19T00:00:00"/>
    <x v="146"/>
    <s v="0156 F1"/>
    <n v="2581"/>
    <s v="kg"/>
    <s v="ARÁBICA"/>
    <s v="Green"/>
    <n v="55.000000000000007"/>
    <m/>
    <m/>
    <s v="24/07/2018"/>
    <n v="547.40570000000002"/>
    <n v="23554.128570000001"/>
    <s v="BRL"/>
    <n v="3.7452999999999999"/>
    <n v="1875.3241442000001"/>
    <n v="0"/>
    <s v="BRL"/>
    <n v="3.7452999999999999"/>
    <n v="2581"/>
    <n v="0"/>
    <n v="500.71400000000006"/>
    <n v="0"/>
    <n v="8.7996919780000002"/>
    <n v="0"/>
    <e v="#N/A"/>
    <e v="#N/A"/>
    <n v="6629.6170884711237"/>
    <n v="110.52440020422664"/>
    <n v="119.32409218222664"/>
    <n v="119.32409218222664"/>
    <n v="23547.568528333333"/>
    <n v="6.5600416666675301"/>
    <n v="11.64"/>
    <n v="2.8403080220000003"/>
    <n v="0"/>
    <n v="0"/>
    <n v="1"/>
  </r>
  <r>
    <m/>
    <s v="CERRADO"/>
    <s v="L12:Loja Monte Carmelo"/>
    <s v="MONTE CARMELO"/>
    <s v="2018/2019"/>
    <d v="2018-06-20T00:00:00"/>
    <x v="147"/>
    <s v="0116 F1"/>
    <n v="2400"/>
    <s v="kg"/>
    <s v="ARÁBICA"/>
    <s v="Green"/>
    <n v="55.000000000000007"/>
    <m/>
    <m/>
    <s v="21/06/2018"/>
    <n v="448.68860000000006"/>
    <n v="18037.752"/>
    <s v="BRL"/>
    <n v="3.7888000000000002"/>
    <n v="1764.06528"/>
    <n v="0"/>
    <s v="BRL"/>
    <n v="3.7888000000000002"/>
    <n v="2400"/>
    <n v="0"/>
    <n v="465.59999999999997"/>
    <n v="0"/>
    <n v="8.7996919779999985"/>
    <n v="0"/>
    <e v="#N/A"/>
    <e v="#N/A"/>
    <n v="5371.6671628479207"/>
    <n v="89.977770876797393"/>
    <n v="98.777462854797392"/>
    <n v="98.777462854797392"/>
    <n v="17947.544000000002"/>
    <n v="90.207999999998719"/>
    <n v="11.64"/>
    <n v="2.8403080220000021"/>
    <n v="0"/>
    <n v="0"/>
    <n v="1"/>
  </r>
  <r>
    <m/>
    <s v="CERRADO"/>
    <s v="L12:Loja Monte Carmelo"/>
    <s v="MONTE CARMELO"/>
    <s v="2018/2019"/>
    <d v="2018-06-20T00:00:00"/>
    <x v="148"/>
    <s v="0116 F1"/>
    <n v="600"/>
    <s v="kg"/>
    <s v="ARÁBICA"/>
    <s v="Green"/>
    <n v="55.000000000000007"/>
    <m/>
    <m/>
    <s v="25/06/2018"/>
    <n v="446.69879999999995"/>
    <n v="4489.4399999999996"/>
    <s v="BRL"/>
    <n v="3.7753999999999999"/>
    <n v="439.45655999999997"/>
    <n v="0"/>
    <s v="BRL"/>
    <n v="3.7753999999999999"/>
    <n v="600"/>
    <n v="0"/>
    <n v="116.39999999999999"/>
    <n v="0"/>
    <n v="8.7996919779999985"/>
    <n v="0"/>
    <e v="#N/A"/>
    <e v="#N/A"/>
    <n v="5366.8264917136194"/>
    <n v="89.896687749324556"/>
    <n v="98.696379727324569"/>
    <n v="98.696379727324569"/>
    <n v="4466.9879999999994"/>
    <n v="22.452000000000226"/>
    <n v="11.64"/>
    <n v="2.8403080220000021"/>
    <n v="0"/>
    <n v="0"/>
    <n v="1"/>
  </r>
  <r>
    <m/>
    <s v="CERRADO"/>
    <s v="L12:Loja Monte Carmelo"/>
    <s v="MONTE CARMELO"/>
    <s v="2018/2019"/>
    <d v="2018-06-20T00:00:00"/>
    <x v="149"/>
    <s v="0653 F1"/>
    <n v="5930"/>
    <s v="kg"/>
    <s v="ARÁBICA"/>
    <s v="Green"/>
    <n v="55.000000000000007"/>
    <m/>
    <m/>
    <s v="26/06/2018"/>
    <n v="449.53775999999999"/>
    <n v="44965.292399999998"/>
    <s v="BRL"/>
    <n v="3.7715000000000001"/>
    <n v="4338.8090300000003"/>
    <n v="0"/>
    <s v="BRL"/>
    <n v="3.7715000000000001"/>
    <n v="5930"/>
    <n v="0"/>
    <n v="1150.42"/>
    <n v="0"/>
    <n v="8.799691978000002"/>
    <n v="0"/>
    <e v="#N/A"/>
    <e v="#N/A"/>
    <n v="5406.5198982604052"/>
    <n v="91.195699115778879"/>
    <n v="99.995391093778849"/>
    <n v="99.995391093778849"/>
    <n v="44429.315279999995"/>
    <n v="535.9771200000032"/>
    <n v="11.64"/>
    <n v="2.8403080219999985"/>
    <n v="0"/>
    <n v="0"/>
    <n v="1"/>
  </r>
  <r>
    <m/>
    <s v="CERRADO"/>
    <s v="L12:Loja Monte Carmelo"/>
    <s v="MONTE CARMELO"/>
    <s v="2018/2019"/>
    <d v="2018-06-20T00:00:00"/>
    <x v="150"/>
    <s v="0116 F1"/>
    <n v="1740"/>
    <s v="kg"/>
    <s v="ARÁBICA"/>
    <s v="Green"/>
    <n v="55.000000000000007"/>
    <m/>
    <m/>
    <d v="2018-03-07T00:00:00"/>
    <n v="444.69739999999996"/>
    <n v="13025.8662"/>
    <s v="BRL"/>
    <n v="3.8914"/>
    <n v="1313.5809839999999"/>
    <n v="0"/>
    <s v="BRL"/>
    <n v="3.8914"/>
    <n v="1740"/>
    <n v="0"/>
    <n v="337.56"/>
    <n v="0"/>
    <n v="8.7996919779999985"/>
    <n v="0"/>
    <n v="3.2454000000000001"/>
    <n v="118.15"/>
    <n v="5183.5161535395491"/>
    <n v="87.260406250400891"/>
    <n v="96.060098228400904"/>
    <n v="96.060098228400904"/>
    <n v="12896.224599999998"/>
    <n v="129.64160000000265"/>
    <n v="11.64"/>
    <n v="2.8403080220000021"/>
    <n v="0"/>
    <n v="0"/>
    <n v="1"/>
  </r>
  <r>
    <m/>
    <s v="CERRADO"/>
    <s v="L12:Loja Monte Carmelo"/>
    <s v="MONTE CARMELO"/>
    <s v="2018/2019"/>
    <d v="2018-06-20T00:00:00"/>
    <x v="151"/>
    <s v="0116 F1"/>
    <n v="1200"/>
    <s v="kg"/>
    <s v="ARÁBICA"/>
    <s v="Green"/>
    <n v="55.000000000000007"/>
    <m/>
    <m/>
    <d v="2018-05-07T00:00:00"/>
    <n v="441.72399999999999"/>
    <n v="8878.884"/>
    <s v="BRL"/>
    <n v="3.9186000000000001"/>
    <n v="912.25008000000003"/>
    <n v="0"/>
    <s v="BRL"/>
    <n v="3.9186000000000001"/>
    <n v="1200"/>
    <n v="0"/>
    <n v="232.8"/>
    <n v="0"/>
    <n v="8.7996919780000002"/>
    <n v="0"/>
    <n v="3.5533999999999999"/>
    <n v="118.45"/>
    <n v="5113.1178493819207"/>
    <n v="85.646958023168992"/>
    <n v="94.446650001168976"/>
    <n v="94.446650001168976"/>
    <n v="8834.48"/>
    <n v="44.404000000000451"/>
    <n v="11.64"/>
    <n v="2.8403080220000003"/>
    <n v="0"/>
    <n v="0"/>
    <n v="1"/>
  </r>
  <r>
    <m/>
    <s v="CERRADO"/>
    <s v="L12:Loja Monte Carmelo"/>
    <s v="MONTE CARMELO"/>
    <s v="2018/2019"/>
    <d v="2018-06-15T00:00:00"/>
    <x v="152"/>
    <s v="1550 F1"/>
    <n v="5080"/>
    <s v="kg"/>
    <s v="ARÁBICA"/>
    <s v="Green"/>
    <n v="55.000000000000007"/>
    <m/>
    <m/>
    <s v="25/06/2018"/>
    <n v="447.75850000000003"/>
    <n v="38100.762000000002"/>
    <s v="BRL"/>
    <n v="3.7753999999999999"/>
    <n v="3720.7322080000004"/>
    <n v="0"/>
    <s v="BRL"/>
    <n v="3.7753999999999999"/>
    <n v="5080"/>
    <n v="0"/>
    <n v="985.5200000000001"/>
    <n v="0"/>
    <n v="8.7996919780000002"/>
    <n v="0"/>
    <e v="#N/A"/>
    <e v="#N/A"/>
    <n v="5379.5581713896554"/>
    <n v="90.109943684258639"/>
    <n v="98.909635662258651"/>
    <n v="98.909635662258651"/>
    <n v="37910.219666666671"/>
    <n v="190.54233333333104"/>
    <n v="11.640000000000002"/>
    <n v="2.8403080220000021"/>
    <n v="0"/>
    <n v="0"/>
    <n v="1"/>
  </r>
  <r>
    <m/>
    <s v="CERRADO"/>
    <s v="L12:Loja Monte Carmelo"/>
    <s v="MONTE CARMELO"/>
    <s v="2018/2019"/>
    <d v="2018-06-15T00:00:00"/>
    <x v="153"/>
    <s v="0144 F1"/>
    <n v="5650"/>
    <s v="kg"/>
    <s v="ARÁBICA"/>
    <s v="Green"/>
    <n v="45"/>
    <m/>
    <m/>
    <s v="26/06/2018"/>
    <n v="454.84239999999994"/>
    <n v="43261.541499999999"/>
    <s v="BRL"/>
    <n v="3.7715000000000001"/>
    <n v="3381.0240333333336"/>
    <n v="0"/>
    <s v="BRL"/>
    <n v="3.7715000000000001"/>
    <n v="5650"/>
    <n v="0"/>
    <n v="896.4666666666667"/>
    <n v="0"/>
    <n v="7.1969989373333352"/>
    <n v="0"/>
    <e v="#N/A"/>
    <e v="#N/A"/>
    <n v="5470.3179687786815"/>
    <n v="92.088451644616214"/>
    <n v="99.285450581949547"/>
    <n v="99.285450581949547"/>
    <n v="42830.992666666658"/>
    <n v="430.54883333334146"/>
    <n v="9.5200000000000014"/>
    <n v="2.3230010626666662"/>
    <n v="0"/>
    <n v="0"/>
    <n v="1"/>
  </r>
  <r>
    <m/>
    <s v="CERRADO"/>
    <s v="L12:Loja Monte Carmelo"/>
    <s v="MONTE CARMELO"/>
    <s v="2018/2019"/>
    <d v="2018-06-15T00:00:00"/>
    <x v="154"/>
    <s v="0024 F1"/>
    <n v="14580"/>
    <s v="kg"/>
    <s v="ARÁBICA"/>
    <s v="Green"/>
    <n v="55.000000000000007"/>
    <m/>
    <m/>
    <d v="2018-05-07T00:00:00"/>
    <n v="496.10225999999994"/>
    <n v="120592.05480000001"/>
    <s v="BRL"/>
    <n v="3.9186000000000001"/>
    <n v="11083.838471999999"/>
    <n v="0"/>
    <s v="BRL"/>
    <n v="3.9186000000000001"/>
    <n v="14580"/>
    <n v="0"/>
    <n v="2828.52"/>
    <n v="0"/>
    <n v="8.7996919780000002"/>
    <n v="0"/>
    <n v="3.5533999999999999"/>
    <n v="118.45"/>
    <n v="5742.5662194599136"/>
    <n v="95.740563155519837"/>
    <n v="104.54025513351985"/>
    <n v="104.54025513351985"/>
    <n v="120552.84917999998"/>
    <n v="39.205620000037015"/>
    <n v="11.64"/>
    <n v="2.8403080220000003"/>
    <n v="0"/>
    <n v="0"/>
    <n v="1"/>
  </r>
  <r>
    <m/>
    <s v="CERRADO"/>
    <s v="L12:Loja Monte Carmelo"/>
    <s v="MONTE CARMELO"/>
    <s v="2018/2019"/>
    <d v="2018-06-15T00:00:00"/>
    <x v="155"/>
    <s v="0024 F1"/>
    <n v="15320"/>
    <s v="kg"/>
    <s v="ARÁBICA"/>
    <s v="Green"/>
    <n v="55.000000000000007"/>
    <m/>
    <m/>
    <d v="2018-05-07T00:00:00"/>
    <n v="494.95026000000001"/>
    <n v="126418.4952"/>
    <s v="BRL"/>
    <n v="3.9186000000000001"/>
    <n v="11646.392688"/>
    <n v="0"/>
    <s v="BRL"/>
    <n v="3.9186000000000001"/>
    <n v="15320"/>
    <n v="0"/>
    <n v="2972.08"/>
    <n v="0"/>
    <n v="8.7996919780000002"/>
    <n v="0"/>
    <n v="3.5533999999999999"/>
    <n v="118.45"/>
    <n v="5729.2313955370846"/>
    <n v="95.518316090139322"/>
    <n v="104.31800806813932"/>
    <n v="104.31800806813932"/>
    <n v="126377.29972000001"/>
    <n v="41.195479999994859"/>
    <n v="11.64"/>
    <n v="2.8403080220000003"/>
    <n v="0"/>
    <n v="0"/>
    <n v="1"/>
  </r>
  <r>
    <m/>
    <s v="CERRADO"/>
    <s v="L12:Loja Monte Carmelo"/>
    <s v="MONTE CARMELO"/>
    <s v="2018/2019"/>
    <d v="2018-06-15T00:00:00"/>
    <x v="156"/>
    <s v="1550 F1"/>
    <n v="2030"/>
    <s v="kg"/>
    <s v="ARÁBICA"/>
    <s v="Green"/>
    <n v="55.000000000000007"/>
    <m/>
    <m/>
    <d v="2018-09-07T00:00:00"/>
    <n v="448.79403999999994"/>
    <n v="15428.426299999999"/>
    <s v="BRL"/>
    <n v="3.8679999999999999"/>
    <n v="1523.29576"/>
    <n v="0"/>
    <s v="BRL"/>
    <n v="3.8679999999999999"/>
    <n v="2030"/>
    <n v="0"/>
    <n v="393.82"/>
    <n v="0"/>
    <n v="8.7996919780000002"/>
    <n v="0"/>
    <n v="4.1306000000000003"/>
    <n v="109.55"/>
    <n v="5262.9150011756665"/>
    <n v="89.126092719692338"/>
    <n v="97.92578469769235"/>
    <n v="97.92578469769235"/>
    <n v="15184.198353333331"/>
    <n v="244.22794666666778"/>
    <n v="11.64"/>
    <n v="2.8403080220000003"/>
    <n v="0"/>
    <n v="0"/>
    <n v="1"/>
  </r>
  <r>
    <m/>
    <s v="CERRADO"/>
    <s v="L12:Loja Monte Carmelo"/>
    <s v="MONTE CARMELO"/>
    <s v="2018/2019"/>
    <d v="2018-06-21T00:00:00"/>
    <x v="157"/>
    <s v="0657 F2"/>
    <n v="710"/>
    <s v="kg"/>
    <s v="ARÁBICA"/>
    <s v="Green"/>
    <n v="45"/>
    <m/>
    <m/>
    <s v="22/06/2018"/>
    <n v="451.86889999999994"/>
    <n v="5373.99"/>
    <s v="BRL"/>
    <n v="3.7656999999999998"/>
    <n v="424.21865733333334"/>
    <n v="0"/>
    <s v="BRL"/>
    <n v="3.7656999999999998"/>
    <n v="710"/>
    <n v="0"/>
    <n v="112.65333333333334"/>
    <n v="0"/>
    <n v="7.1969989373333343"/>
    <n v="0"/>
    <e v="#N/A"/>
    <e v="#N/A"/>
    <n v="5442.9265549643624"/>
    <n v="91.171379784103905"/>
    <n v="98.368378721437224"/>
    <n v="98.368378721437224"/>
    <n v="5347.1153166666654"/>
    <n v="26.87468333333436"/>
    <n v="9.52"/>
    <n v="2.3230010626666653"/>
    <n v="0"/>
    <n v="0"/>
    <n v="1"/>
  </r>
  <r>
    <m/>
    <s v="CERRADO"/>
    <s v="L12:Loja Monte Carmelo"/>
    <s v="MONTE CARMELO"/>
    <s v="2018/2019"/>
    <d v="2018-06-22T00:00:00"/>
    <x v="158"/>
    <s v="0144 F1"/>
    <n v="1551"/>
    <s v="kg"/>
    <s v="ARÁBICA"/>
    <s v="Green"/>
    <n v="45"/>
    <m/>
    <m/>
    <s v="26/06/2018"/>
    <n v="454.8424"/>
    <n v="11875.867410000001"/>
    <s v="BRL"/>
    <n v="3.7715000000000001"/>
    <n v="928.13597800000002"/>
    <n v="0"/>
    <s v="BRL"/>
    <n v="3.7715000000000001"/>
    <n v="1551"/>
    <n v="0"/>
    <n v="246.09200000000001"/>
    <n v="0"/>
    <n v="7.1969989373333343"/>
    <n v="0"/>
    <e v="#N/A"/>
    <e v="#N/A"/>
    <n v="5470.3179687786842"/>
    <n v="92.088451644616214"/>
    <n v="99.285450581949547"/>
    <n v="99.285450581949547"/>
    <n v="11757.67604"/>
    <n v="118.19137000000046"/>
    <n v="9.52"/>
    <n v="2.3230010626666653"/>
    <n v="0"/>
    <n v="0"/>
    <n v="1"/>
  </r>
  <r>
    <m/>
    <s v="CERRADO"/>
    <s v="L12:Loja Monte Carmelo"/>
    <s v="MONTE CARMELO"/>
    <s v="2018/2019"/>
    <d v="2018-06-22T00:00:00"/>
    <x v="159"/>
    <s v="1510 F1"/>
    <n v="8571"/>
    <s v="kg"/>
    <s v="ARÁBICA"/>
    <s v="Green"/>
    <n v="45"/>
    <m/>
    <m/>
    <s v="29/06/2018"/>
    <n v="479.42355000000003"/>
    <n v="68505.774539999999"/>
    <s v="BRL"/>
    <n v="3.8552"/>
    <n v="5242.8098463999995"/>
    <n v="0"/>
    <s v="BRL"/>
    <n v="3.8552"/>
    <n v="8571"/>
    <n v="0"/>
    <n v="1359.9319999999998"/>
    <n v="0"/>
    <n v="7.1969989373333325"/>
    <n v="0"/>
    <e v="#N/A"/>
    <e v="#N/A"/>
    <n v="5640.767386343472"/>
    <n v="94.040409820341367"/>
    <n v="101.23740875767471"/>
    <n v="101.23740875767471"/>
    <n v="68485.654117500002"/>
    <n v="20.120422499996494"/>
    <n v="9.5199999999999978"/>
    <n v="2.3230010626666653"/>
    <n v="0"/>
    <n v="0"/>
    <n v="1"/>
  </r>
  <r>
    <m/>
    <s v="CERRADO"/>
    <s v="L12:Loja Monte Carmelo"/>
    <s v="MONTE CARMELO"/>
    <s v="2018/2019"/>
    <d v="2018-06-22T00:00:00"/>
    <x v="160"/>
    <s v="0144 F1"/>
    <n v="1849"/>
    <s v="kg"/>
    <s v="ARÁBICA"/>
    <s v="Green"/>
    <n v="45"/>
    <m/>
    <m/>
    <s v="18/07/2018"/>
    <n v="427.98950000000002"/>
    <n v="13255.49949"/>
    <s v="BRL"/>
    <n v="3.8468"/>
    <n v="1128.5536677333332"/>
    <n v="0"/>
    <s v="BRL"/>
    <n v="3.8468"/>
    <n v="1849"/>
    <n v="0"/>
    <n v="293.37466666666666"/>
    <n v="0"/>
    <n v="7.1969989373333325"/>
    <n v="0"/>
    <e v="#N/A"/>
    <e v="#N/A"/>
    <n v="5046.6042331318249"/>
    <n v="84.532812635273487"/>
    <n v="91.72981157260682"/>
    <n v="91.72981157260682"/>
    <n v="13189.209758333334"/>
    <n v="66.28973166666583"/>
    <n v="9.5199999999999978"/>
    <n v="2.3230010626666653"/>
    <n v="0"/>
    <n v="0"/>
    <n v="1"/>
  </r>
  <r>
    <m/>
    <s v="CERRADO"/>
    <s v="L12:Loja Monte Carmelo"/>
    <s v="MONTE CARMELO"/>
    <s v="2018/2019"/>
    <d v="2018-06-13T00:00:00"/>
    <x v="161"/>
    <s v="1545 F1"/>
    <n v="790"/>
    <s v="kg"/>
    <s v="ARÁBICA"/>
    <s v="Green"/>
    <n v="45"/>
    <m/>
    <m/>
    <s v="26/06/2018"/>
    <n v="455.7183"/>
    <n v="6030.4492"/>
    <s v="BRL"/>
    <n v="3.7715000000000001"/>
    <n v="472.74495333333329"/>
    <n v="0"/>
    <s v="BRL"/>
    <n v="3.7715000000000001"/>
    <n v="790"/>
    <n v="0"/>
    <n v="125.34666666666665"/>
    <n v="0"/>
    <n v="7.1969989373333325"/>
    <n v="0"/>
    <e v="#N/A"/>
    <e v="#N/A"/>
    <n v="5480.8522802431662"/>
    <n v="91.80666272166512"/>
    <n v="99.003661658998453"/>
    <n v="99.003661658998453"/>
    <n v="6000.2909499999996"/>
    <n v="30.158250000000407"/>
    <n v="9.52"/>
    <n v="2.3230010626666671"/>
    <n v="0"/>
    <n v="0"/>
    <n v="1"/>
  </r>
  <r>
    <m/>
    <s v="CERRADO"/>
    <s v="L12:Loja Monte Carmelo"/>
    <s v="MONTE CARMELO"/>
    <s v="2018/2019"/>
    <d v="2018-06-25T00:00:00"/>
    <x v="162"/>
    <s v="0528 F1"/>
    <n v="2410"/>
    <s v="kg"/>
    <s v="ARÁBICA"/>
    <s v="Green"/>
    <n v="45"/>
    <m/>
    <m/>
    <s v="26/06/2018"/>
    <n v="454.65860000000004"/>
    <n v="18353.909299999999"/>
    <s v="BRL"/>
    <n v="3.7715000000000001"/>
    <n v="1442.1713133333333"/>
    <n v="0"/>
    <s v="BRL"/>
    <n v="3.7715000000000001"/>
    <n v="2410"/>
    <n v="0"/>
    <n v="382.38666666666666"/>
    <n v="0"/>
    <n v="7.1969989373333334"/>
    <n v="0"/>
    <e v="#N/A"/>
    <e v="#N/A"/>
    <n v="5468.1074351022671"/>
    <n v="91.593186264883997"/>
    <n v="98.79018520221733"/>
    <n v="98.79018520221733"/>
    <n v="18262.120433333333"/>
    <n v="91.788866666665854"/>
    <n v="9.52"/>
    <n v="2.3230010626666662"/>
    <n v="0"/>
    <n v="0"/>
    <n v="1"/>
  </r>
  <r>
    <m/>
    <s v="CERRADO"/>
    <s v="L12:Loja Monte Carmelo"/>
    <s v="MONTE CARMELO"/>
    <s v="2018/2019"/>
    <d v="2018-06-25T00:00:00"/>
    <x v="163"/>
    <s v="0528 F1"/>
    <n v="1972"/>
    <s v="kg"/>
    <s v="ARÁBICA"/>
    <s v="Green"/>
    <n v="45"/>
    <m/>
    <m/>
    <s v="26/06/2018"/>
    <n v="458.88947999999999"/>
    <n v="15218.6142"/>
    <s v="BRL"/>
    <n v="3.7715000000000001"/>
    <n v="1180.0671493333334"/>
    <n v="0"/>
    <s v="BRL"/>
    <n v="3.7715000000000001"/>
    <n v="1972"/>
    <n v="0"/>
    <n v="312.89066666666668"/>
    <n v="0"/>
    <n v="7.1969989373333334"/>
    <n v="0"/>
    <e v="#N/A"/>
    <e v="#N/A"/>
    <n v="5518.9915630721889"/>
    <n v="92.815354013509207"/>
    <n v="100.01235295084254"/>
    <n v="100.01235295084254"/>
    <n v="15082.167576"/>
    <n v="136.44662400000016"/>
    <n v="9.5200000000000014"/>
    <n v="2.3230010626666679"/>
    <n v="0"/>
    <n v="0"/>
    <n v="1"/>
  </r>
  <r>
    <m/>
    <s v="CERRADO"/>
    <s v="L12:Loja Monte Carmelo"/>
    <s v="MONTE CARMELO"/>
    <s v="2018/2019"/>
    <d v="2018-06-25T00:00:00"/>
    <x v="164"/>
    <s v="0528 F1"/>
    <n v="359"/>
    <s v="kg"/>
    <s v="ARÁBICA"/>
    <s v="Green"/>
    <n v="45"/>
    <m/>
    <m/>
    <d v="2018-09-07T00:00:00"/>
    <n v="450.92036000000002"/>
    <n v="2733.2644500000001"/>
    <s v="BRL"/>
    <n v="3.8679999999999999"/>
    <n v="220.3264373333333"/>
    <n v="0"/>
    <s v="BRL"/>
    <n v="3.8679999999999999"/>
    <n v="359"/>
    <n v="0"/>
    <n v="56.961333333333329"/>
    <n v="0"/>
    <n v="7.1969989373333325"/>
    <n v="0"/>
    <n v="4.1306000000000003"/>
    <n v="109.55"/>
    <n v="5287.8499165887597"/>
    <n v="89.282528144092552"/>
    <n v="96.4795270814259"/>
    <n v="96.4795270814259"/>
    <n v="2698.006820666667"/>
    <n v="35.257629333333171"/>
    <n v="9.52"/>
    <n v="2.3230010626666671"/>
    <n v="0"/>
    <n v="0"/>
    <n v="1"/>
  </r>
  <r>
    <m/>
    <s v="CERRADO"/>
    <s v="L12:Loja Monte Carmelo"/>
    <s v="MONTE CARMELO"/>
    <s v="2018/2019"/>
    <d v="2018-06-25T00:00:00"/>
    <x v="165"/>
    <s v="1545 F1"/>
    <n v="60"/>
    <s v="kg"/>
    <s v="ARÁBICA"/>
    <s v="Green"/>
    <n v="45"/>
    <m/>
    <m/>
    <s v="27/07/2018"/>
    <n v="420.00810000000001"/>
    <n v="426.34140000000002"/>
    <s v="BRL"/>
    <n v="3.7158000000000002"/>
    <n v="35.374416000000004"/>
    <n v="0"/>
    <s v="BRL"/>
    <n v="3.7158000000000002"/>
    <n v="60"/>
    <n v="0"/>
    <n v="9.52"/>
    <n v="0"/>
    <n v="7.1969989373333352"/>
    <n v="0"/>
    <e v="#N/A"/>
    <e v="#N/A"/>
    <n v="5127.0915953010663"/>
    <n v="86.740049722409722"/>
    <n v="93.937048659743056"/>
    <n v="93.937048659743056"/>
    <n v="420.00810000000001"/>
    <n v="6.3333000000000084"/>
    <n v="9.52"/>
    <n v="2.3230010626666644"/>
    <n v="0"/>
    <n v="0"/>
    <n v="1"/>
  </r>
  <r>
    <m/>
    <s v="CERRADO"/>
    <s v="L12:Loja Monte Carmelo"/>
    <s v="MONTE CARMELO"/>
    <s v="2018/2019"/>
    <d v="2018-06-25T00:00:00"/>
    <x v="166"/>
    <s v="1545 F1"/>
    <n v="360"/>
    <s v="kg"/>
    <s v="ARÁBICA"/>
    <s v="Green"/>
    <n v="45"/>
    <m/>
    <m/>
    <s v="27/07/2018"/>
    <n v="420.00810000000001"/>
    <n v="2558.0484000000001"/>
    <s v="BRL"/>
    <n v="3.7158000000000002"/>
    <n v="212.24649600000004"/>
    <n v="0"/>
    <s v="BRL"/>
    <n v="3.7158000000000002"/>
    <n v="360"/>
    <n v="0"/>
    <n v="57.120000000000005"/>
    <n v="0"/>
    <n v="7.1969989373333352"/>
    <n v="0"/>
    <e v="#N/A"/>
    <e v="#N/A"/>
    <n v="5127.0915953010654"/>
    <n v="86.740049722409722"/>
    <n v="93.937048659743041"/>
    <n v="93.937048659743041"/>
    <n v="2520.0486000000001"/>
    <n v="37.99980000000005"/>
    <n v="9.5200000000000031"/>
    <n v="2.3230010626666679"/>
    <n v="0"/>
    <n v="0"/>
    <n v="1"/>
  </r>
  <r>
    <m/>
    <s v="CERRADO"/>
    <s v="L12:Loja Monte Carmelo"/>
    <s v="MONTE CARMELO"/>
    <s v="2018/2019"/>
    <d v="2018-06-28T00:00:00"/>
    <x v="167"/>
    <s v="0008 F3"/>
    <n v="16090"/>
    <s v="kg"/>
    <s v="ARÁBICA"/>
    <s v="Green"/>
    <n v="55.000000000000007"/>
    <m/>
    <m/>
    <s v="28/06/2018"/>
    <n v="618.79079999999999"/>
    <n v="165939.0662"/>
    <s v="BRL"/>
    <n v="3.8515000000000001"/>
    <n v="12022.303190000002"/>
    <n v="0"/>
    <s v="BRL"/>
    <n v="3.8515000000000001"/>
    <n v="16090"/>
    <n v="0"/>
    <n v="3121.4600000000005"/>
    <n v="0"/>
    <n v="8.799691978000002"/>
    <n v="0"/>
    <e v="#N/A"/>
    <e v="#N/A"/>
    <n v="7287.5187720679214"/>
    <n v="121.45864620113203"/>
    <n v="130.25833817913201"/>
    <n v="130.25833817913201"/>
    <n v="165939.06619999997"/>
    <n v="0"/>
    <n v="11.64"/>
    <n v="2.8403080219999985"/>
    <n v="0"/>
    <n v="0"/>
    <n v="1"/>
  </r>
  <r>
    <m/>
    <s v="CERRADO"/>
    <s v="L12:Loja Monte Carmelo"/>
    <s v="MONTE CARMELO"/>
    <s v="2018/2019"/>
    <d v="2018-06-28T00:00:00"/>
    <x v="168"/>
    <s v="0988 F1"/>
    <n v="14240"/>
    <s v="kg"/>
    <s v="ARÁBICA"/>
    <s v="Green"/>
    <n v="55.000000000000007"/>
    <m/>
    <m/>
    <s v="29/06/2018"/>
    <n v="455.89308"/>
    <n v="109721.336"/>
    <s v="BRL"/>
    <n v="3.8552"/>
    <n v="10650.221312000001"/>
    <n v="0"/>
    <s v="BRL"/>
    <n v="3.8552"/>
    <n v="14240"/>
    <n v="0"/>
    <n v="2762.5600000000004"/>
    <n v="0"/>
    <n v="8.799691978000002"/>
    <n v="0"/>
    <e v="#N/A"/>
    <e v="#N/A"/>
    <n v="5363.9142618748619"/>
    <n v="90.656703924712076"/>
    <n v="99.456395902712075"/>
    <n v="99.456395902712075"/>
    <n v="108198.62432"/>
    <n v="1522.7116799999931"/>
    <n v="11.640000000000004"/>
    <n v="2.8403080220000021"/>
    <n v="0"/>
    <n v="0"/>
    <n v="1"/>
  </r>
  <r>
    <m/>
    <s v="CERRADO"/>
    <s v="L12:Loja Monte Carmelo"/>
    <s v="MONTE CARMELO"/>
    <s v="2018/2019"/>
    <d v="2018-06-28T00:00:00"/>
    <x v="169"/>
    <s v="0782 F1"/>
    <n v="3349"/>
    <s v="kg"/>
    <s v="ARÁBICA"/>
    <s v="Green"/>
    <n v="55.000000000000007"/>
    <m/>
    <m/>
    <s v="29/06/2018"/>
    <n v="450.61999999999995"/>
    <n v="25207.922999999999"/>
    <s v="BRL"/>
    <n v="3.8552"/>
    <n v="2504.7465712000003"/>
    <n v="0"/>
    <s v="BRL"/>
    <n v="3.8552"/>
    <n v="3349"/>
    <n v="0"/>
    <n v="649.70600000000013"/>
    <n v="0"/>
    <n v="8.7996919780000002"/>
    <n v="0"/>
    <e v="#N/A"/>
    <e v="#N/A"/>
    <n v="5301.8726335702431"/>
    <n v="88.560639369941896"/>
    <n v="97.360331347941909"/>
    <n v="97.360331347941909"/>
    <n v="25152.106333333333"/>
    <n v="55.816666666665697"/>
    <n v="11.64"/>
    <n v="2.8403080220000003"/>
    <n v="0"/>
    <n v="0"/>
    <n v="1"/>
  </r>
  <r>
    <m/>
    <s v="CERRADO"/>
    <s v="L12:Loja Monte Carmelo"/>
    <s v="MONTE CARMELO"/>
    <s v="2018/2019"/>
    <d v="2018-06-28T00:00:00"/>
    <x v="170"/>
    <s v="1042 F1"/>
    <n v="8990"/>
    <s v="kg"/>
    <s v="ARÁBICA"/>
    <s v="Green"/>
    <n v="45"/>
    <m/>
    <m/>
    <s v="29/06/2018"/>
    <n v="450.7905199999999"/>
    <n v="68426.126399999994"/>
    <s v="BRL"/>
    <n v="3.8552"/>
    <n v="5499.1086826666669"/>
    <n v="0"/>
    <s v="BRL"/>
    <n v="3.8552"/>
    <n v="8990"/>
    <n v="0"/>
    <n v="1426.4133333333334"/>
    <n v="0"/>
    <n v="7.1969989373333334"/>
    <n v="0"/>
    <e v="#N/A"/>
    <e v="#N/A"/>
    <n v="5303.8789256155933"/>
    <n v="89.55319623685412"/>
    <n v="96.750195174187454"/>
    <n v="96.750195174187454"/>
    <n v="67543.446246666659"/>
    <n v="882.6801533333346"/>
    <n v="9.52"/>
    <n v="2.3230010626666662"/>
    <n v="0"/>
    <n v="0"/>
    <n v="1"/>
  </r>
  <r>
    <m/>
    <s v="CERRADO"/>
    <s v="L12:Loja Monte Carmelo"/>
    <s v="MONTE CARMELO"/>
    <s v="2018/2019"/>
    <d v="2018-06-27T00:00:00"/>
    <x v="171"/>
    <s v="1259 F1"/>
    <n v="3210"/>
    <s v="kg"/>
    <s v="ARÁBICA"/>
    <s v="Green"/>
    <n v="45"/>
    <m/>
    <m/>
    <s v="29/06/2018"/>
    <n v="449.53584000000001"/>
    <n v="24364.477800000001"/>
    <s v="BRL"/>
    <n v="3.8552"/>
    <n v="1963.5304639999999"/>
    <n v="0"/>
    <s v="BRL"/>
    <n v="3.8552"/>
    <n v="3210"/>
    <n v="0"/>
    <n v="509.32"/>
    <n v="0"/>
    <n v="7.1969989373333334"/>
    <n v="0"/>
    <e v="#N/A"/>
    <e v="#N/A"/>
    <n v="5289.1167012227861"/>
    <n v="89.30399810454972"/>
    <n v="96.500997041883039"/>
    <n v="96.500997041883039"/>
    <n v="24050.167440000001"/>
    <n v="314.31035999999949"/>
    <n v="9.5199999999999978"/>
    <n v="2.3230010626666644"/>
    <n v="0"/>
    <n v="0"/>
    <n v="1"/>
  </r>
  <r>
    <m/>
    <s v="CERRADO"/>
    <s v="L12:Loja Monte Carmelo"/>
    <s v="MONTE CARMELO"/>
    <s v="2018/2019"/>
    <d v="2018-07-02T00:00:00"/>
    <x v="172"/>
    <s v="0089 F2"/>
    <n v="16920"/>
    <s v="kg"/>
    <s v="ARÁBICA"/>
    <s v="Green"/>
    <n v="55.000000000000007"/>
    <m/>
    <m/>
    <d v="2018-04-07T00:00:00"/>
    <n v="447.86408"/>
    <n v="128329.0632"/>
    <s v="BRL"/>
    <n v="3.9051999999999998"/>
    <n v="12818.740895999999"/>
    <n v="0"/>
    <s v="BRL"/>
    <n v="3.9051999999999998"/>
    <n v="16920"/>
    <n v="0"/>
    <n v="3282.48"/>
    <n v="0"/>
    <n v="8.7996919779999985"/>
    <n v="0"/>
    <n v="3.3696999999999999"/>
    <n v="116.8"/>
    <n v="5201.9801670866955"/>
    <n v="88.094161286751003"/>
    <n v="96.893853264751016"/>
    <n v="96.893853264751016"/>
    <n v="126297.67056"/>
    <n v="2031.3926400000055"/>
    <n v="11.64"/>
    <n v="2.8403080220000021"/>
    <n v="0"/>
    <n v="0"/>
    <n v="1"/>
  </r>
  <r>
    <m/>
    <s v="CERRADO"/>
    <s v="L12:Loja Monte Carmelo"/>
    <s v="MONTE CARMELO"/>
    <s v="2018/2019"/>
    <d v="2018-07-02T00:00:00"/>
    <x v="173"/>
    <s v="0024 F1"/>
    <n v="2640"/>
    <s v="kg"/>
    <s v="ARÁBICA"/>
    <s v="Green"/>
    <n v="55.000000000000007"/>
    <m/>
    <m/>
    <d v="2018-05-07T00:00:00"/>
    <n v="494.95085"/>
    <n v="21784.936799999999"/>
    <s v="BRL"/>
    <n v="3.9186000000000001"/>
    <n v="2006.9501760000001"/>
    <n v="0"/>
    <s v="BRL"/>
    <n v="3.9186000000000001"/>
    <n v="2640"/>
    <n v="0"/>
    <n v="512.16"/>
    <n v="0"/>
    <n v="8.7996919780000002"/>
    <n v="0"/>
    <n v="3.5533999999999999"/>
    <n v="118.45"/>
    <n v="5729.2382250041983"/>
    <n v="95.518431843819229"/>
    <n v="104.31812382181921"/>
    <n v="104.31812382181921"/>
    <n v="21777.8374"/>
    <n v="7.0993999999991502"/>
    <n v="11.64"/>
    <n v="2.8403080220000003"/>
    <n v="0"/>
    <n v="0"/>
    <n v="1"/>
  </r>
  <r>
    <m/>
    <s v="CERRADO"/>
    <s v="L12:Loja Monte Carmelo"/>
    <s v="MONTE CARMELO"/>
    <s v="2018/2019"/>
    <d v="2018-07-02T00:00:00"/>
    <x v="174"/>
    <s v="0024 F1"/>
    <n v="14940"/>
    <s v="kg"/>
    <s v="ARÁBICA"/>
    <s v="Green"/>
    <n v="55.000000000000007"/>
    <m/>
    <m/>
    <s v="17/07/2018"/>
    <n v="478.69979999999998"/>
    <n v="119196.25019999999"/>
    <s v="BRL"/>
    <n v="3.8664999999999998"/>
    <n v="11206.50894"/>
    <n v="0"/>
    <s v="BRL"/>
    <n v="3.8664999999999998"/>
    <n v="14940"/>
    <n v="0"/>
    <n v="2898.36"/>
    <n v="0"/>
    <n v="8.7996919779999985"/>
    <n v="0"/>
    <e v="#N/A"/>
    <e v="#N/A"/>
    <n v="5615.7914599903279"/>
    <n v="93.596524333172113"/>
    <n v="102.39621631117211"/>
    <n v="102.39621631117211"/>
    <n v="119196.25019999999"/>
    <n v="0"/>
    <n v="11.64"/>
    <n v="2.8403080220000021"/>
    <n v="0"/>
    <n v="0"/>
    <n v="1"/>
  </r>
  <r>
    <m/>
    <s v="CERRADO"/>
    <s v="L12:Loja Monte Carmelo"/>
    <s v="MONTE CARMELO"/>
    <s v="2018/2019"/>
    <d v="2018-07-02T00:00:00"/>
    <x v="175"/>
    <s v="0264 F4"/>
    <n v="6607"/>
    <s v="kg"/>
    <s v="ARÁBICA"/>
    <s v="Green"/>
    <n v="45"/>
    <m/>
    <m/>
    <s v="20/07/2018"/>
    <n v="467.05970000000002"/>
    <n v="51445.273359999999"/>
    <s v="BRL"/>
    <n v="3.7787000000000002"/>
    <n v="3961.2515161333331"/>
    <n v="0"/>
    <s v="BRL"/>
    <n v="3.7787000000000002"/>
    <n v="6607"/>
    <n v="0"/>
    <n v="1048.3106666666665"/>
    <n v="0"/>
    <n v="7.1969989373333325"/>
    <n v="0"/>
    <e v="#N/A"/>
    <e v="#N/A"/>
    <n v="5606.5503018098552"/>
    <n v="93.468333478646088"/>
    <n v="100.66533241597942"/>
    <n v="100.66533241597942"/>
    <n v="51431.05729833334"/>
    <n v="14.216061666658788"/>
    <n v="9.5199999999999978"/>
    <n v="2.3230010626666653"/>
    <n v="0"/>
    <n v="0"/>
    <n v="1"/>
  </r>
  <r>
    <m/>
    <s v="CERRADO"/>
    <s v="L12:Loja Monte Carmelo"/>
    <s v="MONTE CARMELO"/>
    <s v="2018/2019"/>
    <d v="2018-07-03T00:00:00"/>
    <x v="176"/>
    <s v="0372 F1"/>
    <n v="7860"/>
    <s v="kg"/>
    <s v="ARÁBICA"/>
    <s v="Green"/>
    <n v="45"/>
    <m/>
    <m/>
    <d v="2018-05-07T00:00:00"/>
    <n v="441.68856"/>
    <n v="59082.755400000002"/>
    <s v="BRL"/>
    <n v="3.9186000000000001"/>
    <n v="4886.9644319999998"/>
    <n v="0"/>
    <s v="BRL"/>
    <n v="3.9186000000000001"/>
    <n v="7860"/>
    <n v="0"/>
    <n v="1247.1199999999999"/>
    <n v="0"/>
    <n v="7.1969989373333334"/>
    <n v="0"/>
    <n v="3.5533999999999999"/>
    <n v="118.45"/>
    <n v="5112.7076183404079"/>
    <n v="87.010767879581991"/>
    <n v="94.207766816915338"/>
    <n v="94.207766816915338"/>
    <n v="57861.201359999999"/>
    <n v="1221.5540400000027"/>
    <n v="9.5199999999999978"/>
    <n v="2.3230010626666644"/>
    <n v="0"/>
    <n v="0"/>
    <n v="1"/>
  </r>
  <r>
    <m/>
    <s v="CERRADO"/>
    <s v="L12:Loja Monte Carmelo"/>
    <s v="MONTE CARMELO"/>
    <s v="2018/2019"/>
    <d v="2018-07-03T00:00:00"/>
    <x v="177"/>
    <s v="0151 F4"/>
    <n v="19920"/>
    <s v="kg"/>
    <s v="ARÁBICA"/>
    <s v="Green"/>
    <n v="55.000000000000007"/>
    <m/>
    <m/>
    <d v="2018-05-07T00:00:00"/>
    <n v="512.81225000000006"/>
    <n v="170319.984"/>
    <s v="BRL"/>
    <n v="3.9186000000000001"/>
    <n v="15143.351328000001"/>
    <n v="0"/>
    <s v="BRL"/>
    <n v="3.9186000000000001"/>
    <n v="19920"/>
    <n v="0"/>
    <n v="3864.48"/>
    <n v="0"/>
    <n v="8.799691978000002"/>
    <n v="0"/>
    <n v="3.5533999999999999"/>
    <n v="118.45"/>
    <n v="5935.9905027951954"/>
    <n v="98.971711375848514"/>
    <n v="107.77140335384853"/>
    <n v="107.77140335384853"/>
    <n v="170253.66700000002"/>
    <n v="66.316999999980908"/>
    <n v="11.64"/>
    <n v="2.8403080219999985"/>
    <n v="0"/>
    <n v="0"/>
    <n v="1"/>
  </r>
  <r>
    <m/>
    <s v="CERRADO"/>
    <s v="L12:Loja Monte Carmelo"/>
    <s v="MONTE CARMELO"/>
    <s v="2018/2019"/>
    <d v="2018-07-03T00:00:00"/>
    <x v="178"/>
    <s v="0116 F1"/>
    <n v="1802"/>
    <s v="kg"/>
    <s v="ARÁBICA"/>
    <s v="Green"/>
    <n v="55.000000000000007"/>
    <m/>
    <m/>
    <s v="13/07/2018"/>
    <n v="436.74023999999997"/>
    <n v="13235.43772"/>
    <s v="BRL"/>
    <n v="3.8738999999999999"/>
    <n v="1354.2689532000002"/>
    <n v="0"/>
    <s v="BRL"/>
    <n v="3.8738999999999999"/>
    <n v="1802"/>
    <n v="0"/>
    <n v="349.58800000000008"/>
    <n v="0"/>
    <n v="8.799691978000002"/>
    <n v="0"/>
    <e v="#N/A"/>
    <e v="#N/A"/>
    <n v="5113.7623721822665"/>
    <n v="86.000476386024417"/>
    <n v="94.800168364024429"/>
    <n v="94.800168364024429"/>
    <n v="13116.765207999999"/>
    <n v="118.67251200000101"/>
    <n v="11.640000000000002"/>
    <n v="2.8403080220000003"/>
    <n v="0"/>
    <n v="0"/>
    <n v="1"/>
  </r>
  <r>
    <m/>
    <s v="CERRADO"/>
    <s v="L12:Loja Monte Carmelo"/>
    <s v="MONTE CARMELO"/>
    <s v="2018/2019"/>
    <d v="2018-07-03T00:00:00"/>
    <x v="179"/>
    <s v="0008 F7"/>
    <n v="120"/>
    <s v="kg"/>
    <s v="ARÁBICA"/>
    <s v="Green"/>
    <n v="45"/>
    <m/>
    <m/>
    <s v="26/07/2018"/>
    <n v="672.21600000000001"/>
    <n v="1344.6120000000001"/>
    <s v="BRL"/>
    <n v="3.7237"/>
    <n v="70.899248"/>
    <n v="0"/>
    <s v="BRL"/>
    <n v="3.7237"/>
    <n v="120"/>
    <n v="0"/>
    <n v="19.04"/>
    <n v="0"/>
    <n v="7.1969989373333334"/>
    <n v="0"/>
    <e v="#N/A"/>
    <e v="#N/A"/>
    <n v="8188.4160537078724"/>
    <n v="136.49187273644495"/>
    <n v="143.68887167377827"/>
    <n v="143.68887167377827"/>
    <n v="1344.432"/>
    <n v="0.18000000000006366"/>
    <n v="9.52"/>
    <n v="2.3230010626666662"/>
    <n v="0"/>
    <n v="0"/>
    <n v="1"/>
  </r>
  <r>
    <m/>
    <s v="CERRADO"/>
    <s v="L12:Loja Monte Carmelo"/>
    <s v="MONTE CARMELO"/>
    <s v="2018/2019"/>
    <d v="2018-07-03T00:00:00"/>
    <x v="180"/>
    <s v="0008 F6"/>
    <n v="3236"/>
    <s v="kg"/>
    <s v="ARÁBICA"/>
    <s v="Green"/>
    <n v="45"/>
    <m/>
    <m/>
    <s v="27/07/2018"/>
    <n v="507.93410000000006"/>
    <n v="27403.483520000002"/>
    <s v="BRL"/>
    <n v="3.7158000000000002"/>
    <n v="1907.8601696000001"/>
    <n v="0"/>
    <s v="BRL"/>
    <n v="3.7158000000000002"/>
    <n v="3236"/>
    <n v="0"/>
    <n v="513.44533333333334"/>
    <n v="0"/>
    <n v="7.1969989373333334"/>
    <n v="0"/>
    <e v="#N/A"/>
    <e v="#N/A"/>
    <n v="6200.4153136018358"/>
    <n v="103.3738451670811"/>
    <n v="110.57084410441445"/>
    <n v="110.57084410441445"/>
    <n v="27394.579126666667"/>
    <n v="8.9043933333341556"/>
    <n v="9.52"/>
    <n v="2.3230010626666662"/>
    <n v="0"/>
    <n v="0"/>
    <n v="1"/>
  </r>
  <r>
    <m/>
    <s v="CERRADO"/>
    <s v="L12:Loja Monte Carmelo"/>
    <s v="MONTE CARMELO"/>
    <s v="2018/2019"/>
    <d v="2018-07-04T00:00:00"/>
    <x v="181"/>
    <s v="0151 F4"/>
    <n v="7568"/>
    <s v="kg"/>
    <s v="ARÁBICA"/>
    <s v="Green"/>
    <n v="55.000000000000007"/>
    <m/>
    <m/>
    <d v="2018-05-07T00:00:00"/>
    <n v="512.6942499999999"/>
    <n v="64692.777599999994"/>
    <s v="BRL"/>
    <n v="3.9186000000000001"/>
    <n v="5753.2571712000008"/>
    <n v="0"/>
    <s v="BRL"/>
    <n v="3.9186000000000001"/>
    <n v="7568"/>
    <n v="0"/>
    <n v="1468.1920000000002"/>
    <n v="0"/>
    <n v="8.7996919780000002"/>
    <n v="0"/>
    <n v="3.5533999999999999"/>
    <n v="118.45"/>
    <n v="5934.6246093725422"/>
    <n v="98.948560639871374"/>
    <n v="107.74825261787136"/>
    <n v="107.74825261787136"/>
    <n v="64667.834733333322"/>
    <n v="24.942866666671762"/>
    <n v="11.640000000000002"/>
    <n v="2.8403080220000021"/>
    <n v="0"/>
    <n v="0"/>
    <n v="1"/>
  </r>
  <r>
    <m/>
    <s v="CERRADO"/>
    <s v="L12:Loja Monte Carmelo"/>
    <s v="MONTE CARMELO"/>
    <s v="2018/2019"/>
    <d v="2018-07-04T00:00:00"/>
    <x v="182"/>
    <s v="0151 F4"/>
    <n v="9010"/>
    <s v="kg"/>
    <s v="ARÁBICA"/>
    <s v="Green"/>
    <n v="55.000000000000007"/>
    <m/>
    <m/>
    <d v="2018-09-07T00:00:00"/>
    <n v="449.87939999999998"/>
    <n v="67872.2399"/>
    <s v="BRL"/>
    <n v="3.8679999999999999"/>
    <n v="6761.0319199999994"/>
    <n v="0"/>
    <s v="BRL"/>
    <n v="3.8679999999999999"/>
    <n v="9010"/>
    <n v="0"/>
    <n v="1747.9399999999998"/>
    <n v="0"/>
    <n v="8.7996919779999985"/>
    <n v="0"/>
    <n v="4.1306000000000003"/>
    <n v="109.55"/>
    <n v="5275.642793696431"/>
    <n v="88.337817665106002"/>
    <n v="97.137509643105986"/>
    <n v="97.137509643105986"/>
    <n v="67556.889899999995"/>
    <n v="315.35000000000582"/>
    <n v="11.64"/>
    <n v="2.8403080220000021"/>
    <n v="0"/>
    <n v="0"/>
    <n v="1"/>
  </r>
  <r>
    <m/>
    <s v="CERRADO"/>
    <s v="L12:Loja Monte Carmelo"/>
    <s v="MONTE CARMELO"/>
    <s v="2018/2019"/>
    <d v="2018-07-04T00:00:00"/>
    <x v="183"/>
    <s v="0142 F1"/>
    <n v="17150"/>
    <s v="kg"/>
    <s v="ARÁBICA"/>
    <s v="Green"/>
    <n v="55.000000000000007"/>
    <m/>
    <m/>
    <s v="26/07/2018"/>
    <n v="482.25339999999994"/>
    <n v="137884.97099999999"/>
    <s v="BRL"/>
    <n v="3.7237"/>
    <n v="12389.12227"/>
    <n v="0"/>
    <s v="BRL"/>
    <n v="3.7237"/>
    <n v="17150"/>
    <n v="0"/>
    <n v="3327.1"/>
    <n v="0"/>
    <n v="8.7996919780000002"/>
    <n v="0"/>
    <e v="#N/A"/>
    <e v="#N/A"/>
    <n v="5874.4383985433305"/>
    <n v="97.9363385680318"/>
    <n v="106.73603054603178"/>
    <n v="106.73603054603178"/>
    <n v="137844.09683333331"/>
    <n v="40.874166666675592"/>
    <n v="11.64"/>
    <n v="2.8403080220000003"/>
    <n v="0"/>
    <n v="0"/>
    <n v="1"/>
  </r>
  <r>
    <m/>
    <s v="CERRADO"/>
    <s v="L12:Loja Monte Carmelo"/>
    <s v="MONTE CARMELO"/>
    <s v="2018/2019"/>
    <d v="2018-07-04T00:00:00"/>
    <x v="184"/>
    <s v="0142 F1"/>
    <n v="4371"/>
    <s v="kg"/>
    <s v="ARÁBICA"/>
    <s v="Green"/>
    <n v="55.000000000000007"/>
    <m/>
    <m/>
    <s v="26/07/2018"/>
    <n v="482.25340000000006"/>
    <n v="35142.577740000001"/>
    <s v="BRL"/>
    <n v="3.7237"/>
    <n v="3157.6007837999996"/>
    <n v="0"/>
    <s v="BRL"/>
    <n v="3.7237"/>
    <n v="4371"/>
    <n v="0"/>
    <n v="847.97399999999993"/>
    <n v="0"/>
    <n v="8.7996919780000002"/>
    <n v="0"/>
    <e v="#N/A"/>
    <e v="#N/A"/>
    <n v="5874.4383985433315"/>
    <n v="97.936338568031815"/>
    <n v="106.7360305460318"/>
    <n v="106.7360305460318"/>
    <n v="35132.160190000002"/>
    <n v="10.4175499999983"/>
    <n v="11.639999999999999"/>
    <n v="2.8403080219999985"/>
    <n v="0"/>
    <n v="0"/>
    <n v="1"/>
  </r>
  <r>
    <m/>
    <s v="CERRADO"/>
    <s v="L12:Loja Monte Carmelo"/>
    <s v="MONTE CARMELO"/>
    <s v="2018/2019"/>
    <d v="2018-07-04T00:00:00"/>
    <x v="185"/>
    <s v="0008 F6"/>
    <n v="15560"/>
    <s v="kg"/>
    <s v="ARÁBICA"/>
    <s v="Green"/>
    <n v="45"/>
    <m/>
    <m/>
    <s v="27/07/2018"/>
    <n v="506.7041000000001"/>
    <n v="131448.07920000001"/>
    <s v="BRL"/>
    <n v="3.7158000000000002"/>
    <n v="9173.7652159999998"/>
    <n v="0"/>
    <s v="BRL"/>
    <n v="3.7158000000000002"/>
    <n v="15560"/>
    <n v="0"/>
    <n v="2468.853333333333"/>
    <n v="0"/>
    <n v="7.1969989373333334"/>
    <n v="0"/>
    <e v="#N/A"/>
    <e v="#N/A"/>
    <n v="6185.4005492146243"/>
    <n v="103.12359909396092"/>
    <n v="110.32059803129427"/>
    <n v="110.32059803129427"/>
    <n v="131405.26326666671"/>
    <n v="42.815933333302382"/>
    <n v="9.52"/>
    <n v="2.3230010626666662"/>
    <n v="0"/>
    <n v="0"/>
    <n v="1"/>
  </r>
  <r>
    <m/>
    <s v="CERRADO"/>
    <s v="L12:Loja Monte Carmelo"/>
    <s v="MONTE CARMELO"/>
    <s v="2018/2019"/>
    <d v="2018-07-04T00:00:00"/>
    <x v="186"/>
    <s v="1303 F1"/>
    <n v="3900"/>
    <s v="kg"/>
    <s v="ARÁBICA"/>
    <s v="Green"/>
    <n v="45"/>
    <m/>
    <m/>
    <s v="27/07/2018"/>
    <n v="511.56939999999997"/>
    <n v="33258.771000000001"/>
    <s v="BRL"/>
    <n v="3.7158000000000002"/>
    <n v="2299.3370400000003"/>
    <n v="0"/>
    <s v="BRL"/>
    <n v="3.7158000000000002"/>
    <n v="3900"/>
    <n v="0"/>
    <n v="618.80000000000007"/>
    <n v="0"/>
    <n v="7.1969989373333334"/>
    <n v="0"/>
    <e v="#N/A"/>
    <e v="#N/A"/>
    <n v="6244.7918769976313"/>
    <n v="104.10102363419182"/>
    <n v="111.29802257152515"/>
    <n v="111.29802257152515"/>
    <n v="33252.010999999999"/>
    <n v="6.7600000000020373"/>
    <n v="9.5200000000000031"/>
    <n v="2.3230010626666697"/>
    <n v="0"/>
    <n v="0"/>
    <n v="1"/>
  </r>
  <r>
    <m/>
    <s v="CERRADO"/>
    <s v="L12:Loja Monte Carmelo"/>
    <s v="MONTE CARMELO"/>
    <s v="2018/2019"/>
    <d v="2018-07-05T00:00:00"/>
    <x v="187"/>
    <s v="1545 F1"/>
    <n v="602"/>
    <s v="kg"/>
    <s v="ARÁBICA"/>
    <s v="Green"/>
    <n v="55.000000000000007"/>
    <m/>
    <m/>
    <d v="2018-05-07T00:00:00"/>
    <n v="441.10319999999996"/>
    <n v="4479.1207999999997"/>
    <s v="BRL"/>
    <n v="3.9186000000000001"/>
    <n v="457.64545680000003"/>
    <n v="0"/>
    <s v="BRL"/>
    <n v="3.9186000000000001"/>
    <n v="602"/>
    <n v="0"/>
    <n v="116.78800000000001"/>
    <n v="0"/>
    <n v="8.7996919780000002"/>
    <n v="0"/>
    <n v="3.5533999999999999"/>
    <n v="118.45"/>
    <n v="5105.9318609346174"/>
    <n v="86.125367982136467"/>
    <n v="94.925059960136466"/>
    <n v="94.925059960136466"/>
    <n v="4425.7354399999995"/>
    <n v="53.385360000000219"/>
    <n v="11.64"/>
    <n v="2.8403080220000003"/>
    <n v="0"/>
    <n v="0"/>
    <n v="1"/>
  </r>
  <r>
    <m/>
    <s v="CERRADO"/>
    <s v="L12:Loja Monte Carmelo"/>
    <s v="MONTE CARMELO"/>
    <s v="2018/2019"/>
    <d v="2018-07-05T00:00:00"/>
    <x v="188"/>
    <s v="0450 F1"/>
    <n v="860"/>
    <s v="kg"/>
    <s v="ARÁBICA"/>
    <s v="Green"/>
    <n v="55.000000000000007"/>
    <m/>
    <m/>
    <d v="2018-09-07T00:00:00"/>
    <n v="448.81880000000001"/>
    <n v="6465.4026000000003"/>
    <s v="BRL"/>
    <n v="3.8679999999999999"/>
    <n v="645.33712000000003"/>
    <n v="0"/>
    <s v="BRL"/>
    <n v="3.8679999999999999"/>
    <n v="860"/>
    <n v="0"/>
    <n v="166.84"/>
    <n v="0"/>
    <n v="8.7996919780000002"/>
    <n v="0"/>
    <n v="4.1306000000000003"/>
    <n v="109.55"/>
    <n v="5263.2053565810747"/>
    <n v="88.160977620131845"/>
    <n v="96.960669598131858"/>
    <n v="96.960669598131858"/>
    <n v="6433.0694666666668"/>
    <n v="32.333133333333535"/>
    <n v="11.640000000000002"/>
    <n v="2.8403080220000021"/>
    <n v="0"/>
    <n v="0"/>
    <n v="1"/>
  </r>
  <r>
    <m/>
    <s v="CERRADO"/>
    <s v="L12:Loja Monte Carmelo"/>
    <s v="MONTE CARMELO"/>
    <s v="2018/2019"/>
    <d v="2018-07-05T00:00:00"/>
    <x v="189"/>
    <s v="0372 F1"/>
    <n v="9240"/>
    <s v="kg"/>
    <s v="ARÁBICA"/>
    <s v="Green"/>
    <n v="45"/>
    <m/>
    <m/>
    <d v="2018-10-07T00:00:00"/>
    <n v="473.58300000000003"/>
    <n v="72931.782000000007"/>
    <s v="BRL"/>
    <n v="3.8445999999999998"/>
    <n v="5636.4911680000005"/>
    <n v="0"/>
    <s v="BRL"/>
    <n v="3.8445999999999998"/>
    <n v="9240"/>
    <n v="0"/>
    <n v="1466.0800000000002"/>
    <n v="0"/>
    <n v="7.1969989373333343"/>
    <n v="0"/>
    <n v="4.1306000000000003"/>
    <n v="109.55"/>
    <n v="5587.4118337853097"/>
    <n v="93.123530563088508"/>
    <n v="100.32052950042184"/>
    <n v="100.32052950042184"/>
    <n v="72931.781999999992"/>
    <n v="0"/>
    <n v="9.52"/>
    <n v="2.3230010626666653"/>
    <n v="0"/>
    <n v="0"/>
    <n v="1"/>
  </r>
  <r>
    <m/>
    <s v="CERRADO"/>
    <s v="L12:Loja Monte Carmelo"/>
    <s v="MONTE CARMELO"/>
    <s v="2018/2019"/>
    <d v="2018-07-05T00:00:00"/>
    <x v="190"/>
    <s v="0653 F1"/>
    <n v="3011"/>
    <s v="kg"/>
    <s v="ARÁBICA"/>
    <s v="Green"/>
    <n v="55.000000000000007"/>
    <m/>
    <m/>
    <d v="2018-10-07T00:00:00"/>
    <n v="445.62324000000007"/>
    <n v="22632.633150000001"/>
    <s v="BRL"/>
    <n v="3.8445999999999998"/>
    <n v="2245.7615763999997"/>
    <n v="0"/>
    <s v="BRL"/>
    <n v="3.8445999999999998"/>
    <n v="3011"/>
    <n v="0"/>
    <n v="584.13400000000001"/>
    <n v="0"/>
    <n v="8.7996919779999985"/>
    <n v="0"/>
    <n v="4.1306000000000003"/>
    <n v="109.55"/>
    <n v="5257.5378858315253"/>
    <n v="88.682700097812514"/>
    <n v="97.482392075812541"/>
    <n v="97.482392075812541"/>
    <n v="22362.859594000001"/>
    <n v="269.7735560000001"/>
    <n v="11.639999999999997"/>
    <n v="2.8403080219999985"/>
    <n v="0"/>
    <n v="0"/>
    <n v="1"/>
  </r>
  <r>
    <m/>
    <s v="CERRADO"/>
    <s v="L12:Loja Monte Carmelo"/>
    <s v="MONTE CARMELO"/>
    <s v="2018/2019"/>
    <d v="2018-07-05T00:00:00"/>
    <x v="191"/>
    <s v="0450 F1"/>
    <n v="1199"/>
    <s v="kg"/>
    <s v="ARÁBICA"/>
    <s v="Green"/>
    <n v="45"/>
    <m/>
    <m/>
    <s v="18/07/2018"/>
    <n v="427.96769999999998"/>
    <n v="8681.17965"/>
    <s v="BRL"/>
    <n v="3.8468"/>
    <n v="731.82036106666669"/>
    <n v="0"/>
    <s v="BRL"/>
    <n v="3.8468"/>
    <n v="1199"/>
    <n v="0"/>
    <n v="190.24133333333333"/>
    <n v="0"/>
    <n v="7.1969989373333334"/>
    <n v="0"/>
    <e v="#N/A"/>
    <e v="#N/A"/>
    <n v="5046.3471801614069"/>
    <n v="85.374012585252686"/>
    <n v="92.571011522586019"/>
    <n v="92.571011522586019"/>
    <n v="8552.2212049999998"/>
    <n v="128.95844500000021"/>
    <n v="9.52"/>
    <n v="2.3230010626666662"/>
    <n v="0"/>
    <n v="0"/>
    <n v="1"/>
  </r>
  <r>
    <m/>
    <s v="CERRADO"/>
    <s v="L12:Loja Monte Carmelo"/>
    <s v="MONTE CARMELO"/>
    <s v="2018/2019"/>
    <d v="2018-07-05T00:00:00"/>
    <x v="192"/>
    <s v="0653 F1"/>
    <n v="12460"/>
    <s v="kg"/>
    <s v="ARÁBICA"/>
    <s v="Green"/>
    <n v="55.000000000000007"/>
    <m/>
    <m/>
    <s v="24/07/2018"/>
    <n v="427.81400000000002"/>
    <n v="91164.960600000006"/>
    <s v="BRL"/>
    <n v="3.7452999999999999"/>
    <n v="9053.2889720000003"/>
    <n v="0"/>
    <s v="BRL"/>
    <n v="3.7452999999999999"/>
    <n v="12460"/>
    <n v="0"/>
    <n v="2417.2400000000002"/>
    <n v="0"/>
    <n v="8.7996919780000002"/>
    <n v="0"/>
    <e v="#N/A"/>
    <e v="#N/A"/>
    <n v="5181.2449250842401"/>
    <n v="88.611285351392425"/>
    <n v="97.410977329392423"/>
    <n v="97.410977329392423"/>
    <n v="88842.707333333339"/>
    <n v="2322.2532666666666"/>
    <n v="11.64"/>
    <n v="2.8403080220000003"/>
    <n v="0"/>
    <n v="0"/>
    <n v="1"/>
  </r>
  <r>
    <m/>
    <s v="CERRADO"/>
    <s v="L12:Loja Monte Carmelo"/>
    <s v="MONTE CARMELO"/>
    <s v="2018/2019"/>
    <d v="2018-07-05T00:00:00"/>
    <x v="193"/>
    <s v="0653 F1"/>
    <n v="2529"/>
    <s v="kg"/>
    <s v="ARÁBICA"/>
    <s v="Green"/>
    <n v="55.000000000000007"/>
    <m/>
    <m/>
    <s v="24/07/2018"/>
    <n v="425.69412"/>
    <n v="18412.030439999999"/>
    <s v="BRL"/>
    <n v="3.7452999999999999"/>
    <n v="1837.5415578"/>
    <n v="0"/>
    <s v="BRL"/>
    <n v="3.7452999999999999"/>
    <n v="2529"/>
    <n v="0"/>
    <n v="490.62600000000003"/>
    <n v="0"/>
    <n v="8.7996919780000002"/>
    <n v="0"/>
    <e v="#N/A"/>
    <e v="#N/A"/>
    <n v="5155.5711100810195"/>
    <n v="88.172262485066611"/>
    <n v="96.971954463066623"/>
    <n v="96.971954463066623"/>
    <n v="17943.007158"/>
    <n v="469.02328199999829"/>
    <n v="11.64"/>
    <n v="2.8403080220000003"/>
    <n v="0"/>
    <n v="0"/>
    <n v="1"/>
  </r>
  <r>
    <m/>
    <s v="CERRADO"/>
    <s v="L12:Loja Monte Carmelo"/>
    <s v="MONTE CARMELO"/>
    <s v="2018/2019"/>
    <d v="2018-07-05T00:00:00"/>
    <x v="194"/>
    <s v="0008 F7"/>
    <n v="4200"/>
    <s v="kg"/>
    <s v="ARÁBICA"/>
    <s v="Green"/>
    <n v="45"/>
    <m/>
    <m/>
    <s v="25/07/2018"/>
    <n v="667.06260000000009"/>
    <n v="46700.472000000002"/>
    <s v="BRL"/>
    <n v="3.7113999999999998"/>
    <n v="2473.2769599999997"/>
    <n v="0"/>
    <s v="BRL"/>
    <n v="3.7113999999999998"/>
    <n v="4200"/>
    <n v="0"/>
    <n v="666.4"/>
    <n v="0"/>
    <n v="7.1969989373333325"/>
    <n v="0"/>
    <e v="#N/A"/>
    <e v="#N/A"/>
    <n v="8152.5706114232389"/>
    <n v="135.893898173444"/>
    <n v="143.09089711077735"/>
    <n v="143.09089711077735"/>
    <n v="46694.382000000005"/>
    <n v="6.0899999999965075"/>
    <n v="9.52"/>
    <n v="2.3230010626666671"/>
    <n v="0"/>
    <n v="0"/>
    <n v="1"/>
  </r>
  <r>
    <m/>
    <s v="CERRADO"/>
    <s v="L12:Loja Monte Carmelo"/>
    <s v="MONTE CARMELO"/>
    <s v="2018/2019"/>
    <d v="2018-07-05T00:00:00"/>
    <x v="195"/>
    <s v="0008 F7"/>
    <n v="9480"/>
    <s v="kg"/>
    <s v="ARÁBICA"/>
    <s v="Green"/>
    <n v="45"/>
    <m/>
    <m/>
    <s v="26/07/2018"/>
    <n v="667.21380000000011"/>
    <n v="105434.00040000002"/>
    <s v="BRL"/>
    <n v="3.7237"/>
    <n v="5601.0405920000003"/>
    <n v="0"/>
    <s v="BRL"/>
    <n v="3.7237"/>
    <n v="9480"/>
    <n v="0"/>
    <n v="1504.16"/>
    <n v="0"/>
    <n v="7.1969989373333334"/>
    <n v="0"/>
    <e v="#N/A"/>
    <e v="#N/A"/>
    <n v="8127.4831172947879"/>
    <n v="135.47632379622689"/>
    <n v="142.67332273356024"/>
    <n v="142.67332273356024"/>
    <n v="105419.78040000002"/>
    <n v="14.220000000001164"/>
    <n v="9.5200000000000014"/>
    <n v="2.3230010626666679"/>
    <n v="0"/>
    <n v="0"/>
    <n v="1"/>
  </r>
  <r>
    <m/>
    <s v="CERRADO"/>
    <s v="L12:Loja Monte Carmelo"/>
    <s v="MONTE CARMELO"/>
    <s v="2018/2019"/>
    <d v="2018-07-06T00:00:00"/>
    <x v="196"/>
    <s v="0074 F1"/>
    <n v="15610"/>
    <s v="kg"/>
    <s v="ARÁBICA"/>
    <s v="Green"/>
    <n v="45"/>
    <m/>
    <m/>
    <d v="2018-06-07T00:00:00"/>
    <n v="438.85820000000001"/>
    <n v="115324.0263"/>
    <s v="BRL"/>
    <n v="3.9258000000000002"/>
    <n v="9723.3690960000004"/>
    <n v="0"/>
    <s v="BRL"/>
    <n v="3.9258000000000002"/>
    <n v="15610"/>
    <n v="0"/>
    <n v="2476.7866666666669"/>
    <n v="0"/>
    <n v="7.1969989373333325"/>
    <n v="0"/>
    <n v="3.9077999999999999"/>
    <n v="115.65"/>
    <n v="5070.6284332348569"/>
    <n v="85.36001117879411"/>
    <n v="92.557010116127458"/>
    <n v="92.557010116127458"/>
    <n v="114176.27503333334"/>
    <n v="1147.7512666666589"/>
    <n v="9.5200000000000014"/>
    <n v="2.3230010626666688"/>
    <n v="0"/>
    <n v="0"/>
    <n v="1"/>
  </r>
  <r>
    <m/>
    <s v="CERRADO"/>
    <s v="L12:Loja Monte Carmelo"/>
    <s v="MONTE CARMELO"/>
    <s v="2018/2019"/>
    <d v="2018-07-06T00:00:00"/>
    <x v="197"/>
    <s v="1446 F2"/>
    <n v="6230"/>
    <s v="kg"/>
    <s v="ARÁBICA"/>
    <s v="Green"/>
    <n v="45"/>
    <m/>
    <m/>
    <d v="2018-09-07T00:00:00"/>
    <n v="446.68740000000003"/>
    <n v="46847.294900000001"/>
    <s v="BRL"/>
    <n v="3.8679999999999999"/>
    <n v="3823.4922133333325"/>
    <n v="0"/>
    <s v="BRL"/>
    <n v="3.8679999999999999"/>
    <n v="6230"/>
    <n v="0"/>
    <n v="988.49333333333311"/>
    <n v="0"/>
    <n v="7.1969989373333316"/>
    <n v="0"/>
    <n v="4.1306000000000003"/>
    <n v="109.55"/>
    <n v="5238.2108690573432"/>
    <n v="88.18114770483713"/>
    <n v="95.378146642170478"/>
    <n v="95.378146642170478"/>
    <n v="46381.041700000009"/>
    <n v="466.25319999999192"/>
    <n v="9.52"/>
    <n v="2.3230010626666679"/>
    <n v="0"/>
    <n v="0"/>
    <n v="1"/>
  </r>
  <r>
    <m/>
    <s v="CERRADO"/>
    <s v="L12:Loja Monte Carmelo"/>
    <s v="MONTE CARMELO"/>
    <s v="2018/2019"/>
    <d v="2018-07-07T00:00:00"/>
    <x v="198"/>
    <s v="0275 F1"/>
    <n v="1201"/>
    <s v="kg"/>
    <s v="ARÁBICA"/>
    <s v="Green"/>
    <n v="45"/>
    <m/>
    <m/>
    <d v="2018-09-07T00:00:00"/>
    <n v="448.82020000000006"/>
    <n v="9023.9176700000007"/>
    <s v="BRL"/>
    <n v="3.8679999999999999"/>
    <n v="737.08092266666654"/>
    <n v="0"/>
    <s v="BRL"/>
    <n v="3.8679999999999999"/>
    <n v="1201"/>
    <n v="0"/>
    <n v="190.55866666666665"/>
    <n v="0"/>
    <n v="7.1969989373333334"/>
    <n v="0"/>
    <n v="4.1306000000000003"/>
    <n v="109.55"/>
    <n v="5263.2217740918823"/>
    <n v="88.111256015974689"/>
    <n v="95.308254953308008"/>
    <n v="95.308254953308008"/>
    <n v="8983.8843366666679"/>
    <n v="40.033333333332848"/>
    <n v="9.52"/>
    <n v="2.3230010626666662"/>
    <n v="0"/>
    <n v="0"/>
    <n v="1"/>
  </r>
  <r>
    <m/>
    <s v="CERRADO"/>
    <s v="L12:Loja Monte Carmelo"/>
    <s v="MONTE CARMELO"/>
    <s v="2018/2019"/>
    <d v="2018-07-07T00:00:00"/>
    <x v="199"/>
    <s v="0653 F1"/>
    <n v="3002"/>
    <s v="kg"/>
    <s v="ARÁBICA"/>
    <s v="Green"/>
    <n v="55.000000000000007"/>
    <m/>
    <m/>
    <s v="20/07/2018"/>
    <n v="430.84429999999998"/>
    <n v="21664.92366"/>
    <s v="BRL"/>
    <n v="3.7787000000000002"/>
    <n v="2200.6695356"/>
    <n v="0"/>
    <s v="BRL"/>
    <n v="3.7787000000000002"/>
    <n v="3002"/>
    <n v="0"/>
    <n v="582.38800000000003"/>
    <n v="0"/>
    <n v="8.7996919780000002"/>
    <n v="0"/>
    <e v="#N/A"/>
    <e v="#N/A"/>
    <n v="5171.8233026699918"/>
    <n v="86.630296757802952"/>
    <n v="95.429988735802951"/>
    <n v="95.429988735802951"/>
    <n v="21556.576476666665"/>
    <n v="108.34718333333512"/>
    <n v="11.639999999999999"/>
    <n v="2.8403080219999985"/>
    <n v="0"/>
    <n v="0"/>
    <n v="1"/>
  </r>
  <r>
    <m/>
    <s v="CERRADO"/>
    <s v="L12:Loja Monte Carmelo"/>
    <s v="MONTE CARMELO"/>
    <s v="2018/2019"/>
    <d v="2018-07-07T00:00:00"/>
    <x v="200"/>
    <s v="0653 F1"/>
    <n v="3000"/>
    <s v="kg"/>
    <s v="ARÁBICA"/>
    <s v="Green"/>
    <n v="55.000000000000007"/>
    <m/>
    <m/>
    <s v="20/07/2018"/>
    <n v="431.904"/>
    <n v="21703.739999999998"/>
    <s v="BRL"/>
    <n v="3.7787000000000002"/>
    <n v="2199.2033999999999"/>
    <n v="0"/>
    <s v="BRL"/>
    <n v="3.7787000000000002"/>
    <n v="3000"/>
    <n v="0"/>
    <n v="581.99999999999989"/>
    <n v="0"/>
    <n v="8.7996919780000002"/>
    <n v="0"/>
    <e v="#N/A"/>
    <e v="#N/A"/>
    <n v="5184.5438635636601"/>
    <n v="86.843366452870029"/>
    <n v="95.643058430870028"/>
    <n v="95.643058430870028"/>
    <n v="21595.200000000001"/>
    <n v="108.53999999999724"/>
    <n v="11.639999999999997"/>
    <n v="2.8403080219999968"/>
    <n v="0"/>
    <n v="0"/>
    <n v="1"/>
  </r>
  <r>
    <m/>
    <s v="CERRADO"/>
    <s v="L12:Loja Monte Carmelo"/>
    <s v="MONTE CARMELO"/>
    <s v="2018/2019"/>
    <d v="2018-07-09T00:00:00"/>
    <x v="201"/>
    <s v="0988 F1"/>
    <n v="14900"/>
    <s v="kg"/>
    <s v="ARÁBICA"/>
    <s v="Green"/>
    <n v="55.000000000000007"/>
    <m/>
    <m/>
    <d v="2018-09-07T00:00:00"/>
    <n v="670.76278999999988"/>
    <n v="166572.76199999999"/>
    <s v="BRL"/>
    <n v="3.8679999999999999"/>
    <n v="11180.8408"/>
    <n v="0"/>
    <s v="BRL"/>
    <n v="3.8679999999999999"/>
    <n v="14900"/>
    <n v="0"/>
    <n v="2890.6"/>
    <n v="0"/>
    <n v="8.7996919780000002"/>
    <n v="0"/>
    <n v="4.1306000000000003"/>
    <n v="109.55"/>
    <n v="7865.8966810732236"/>
    <n v="131.09827997235263"/>
    <n v="139.89797195035263"/>
    <n v="139.89797195035263"/>
    <n v="166572.75951666664"/>
    <n v="2.4833333445712924E-3"/>
    <n v="11.64"/>
    <n v="2.8403080220000003"/>
    <n v="0"/>
    <n v="0"/>
    <n v="1"/>
  </r>
  <r>
    <m/>
    <s v="CERRADO"/>
    <s v="L12:Loja Monte Carmelo"/>
    <s v="MONTE CARMELO"/>
    <s v="2018/2019"/>
    <d v="2018-07-09T00:00:00"/>
    <x v="202"/>
    <s v="1304 F1"/>
    <n v="840"/>
    <s v="kg"/>
    <s v="ARÁBICA"/>
    <s v="Green"/>
    <n v="55.000000000000007"/>
    <m/>
    <m/>
    <d v="2018-10-07T00:00:00"/>
    <n v="438.21879999999999"/>
    <n v="6165.9023999999999"/>
    <s v="BRL"/>
    <n v="3.8445999999999998"/>
    <n v="626.51601599999992"/>
    <n v="0"/>
    <s v="BRL"/>
    <n v="3.8445999999999998"/>
    <n v="840"/>
    <n v="0"/>
    <n v="162.95999999999998"/>
    <n v="0"/>
    <n v="8.7996919780000002"/>
    <n v="0"/>
    <n v="4.1306000000000003"/>
    <n v="109.55"/>
    <n v="5170.1790581739597"/>
    <n v="86.602801047006196"/>
    <n v="95.40249302500618"/>
    <n v="95.40249302500618"/>
    <n v="6135.0632000000005"/>
    <n v="30.839199999999437"/>
    <n v="11.639999999999997"/>
    <n v="2.8403080219999968"/>
    <n v="0"/>
    <n v="0"/>
    <n v="1"/>
  </r>
  <r>
    <m/>
    <s v="CERRADO"/>
    <s v="L12:Loja Monte Carmelo"/>
    <s v="MONTE CARMELO"/>
    <s v="2018/2019"/>
    <d v="2018-07-09T00:00:00"/>
    <x v="203"/>
    <s v="1123 F1"/>
    <n v="12950"/>
    <s v="kg"/>
    <s v="ARÁBICA"/>
    <s v="Green"/>
    <n v="45"/>
    <m/>
    <m/>
    <d v="2018-11-07T00:00:00"/>
    <n v="473.94310000000002"/>
    <n v="102316.5255"/>
    <s v="BRL"/>
    <n v="3.8411"/>
    <n v="7892.4362066666663"/>
    <n v="0"/>
    <s v="BRL"/>
    <n v="3.8411"/>
    <n v="12950"/>
    <n v="0"/>
    <n v="2054.7333333333331"/>
    <n v="0"/>
    <n v="7.1969989373333334"/>
    <n v="0"/>
    <n v="4.1306000000000003"/>
    <n v="109.55"/>
    <n v="5596.755460002265"/>
    <n v="93.300966395285201"/>
    <n v="100.49796533261853"/>
    <n v="100.49796533261853"/>
    <n v="102292.71908333334"/>
    <n v="23.806416666659061"/>
    <n v="9.5200000000000014"/>
    <n v="2.3230010626666679"/>
    <n v="0"/>
    <n v="0"/>
    <n v="1"/>
  </r>
  <r>
    <m/>
    <s v="CERRADO"/>
    <s v="L12:Loja Monte Carmelo"/>
    <s v="MONTE CARMELO"/>
    <s v="2018/2019"/>
    <d v="2018-07-09T00:00:00"/>
    <x v="204"/>
    <s v="0233 F1"/>
    <n v="17160"/>
    <s v="kg"/>
    <s v="ARÁBICA"/>
    <s v="Green"/>
    <n v="45"/>
    <m/>
    <m/>
    <d v="2018-11-07T00:00:00"/>
    <n v="492.06999999999994"/>
    <n v="140777.72279999999"/>
    <s v="BRL"/>
    <n v="3.8411"/>
    <n v="10458.239791999998"/>
    <n v="0"/>
    <s v="BRL"/>
    <n v="3.8411"/>
    <n v="17160"/>
    <n v="0"/>
    <n v="2722.72"/>
    <n v="0"/>
    <n v="7.1969989373333325"/>
    <n v="0"/>
    <n v="4.1306000000000003"/>
    <n v="109.55"/>
    <n v="5810.8145454661417"/>
    <n v="96.878360177477802"/>
    <n v="104.07535911481114"/>
    <n v="104.07535911481114"/>
    <n v="140732.01999999999"/>
    <n v="45.702799999999115"/>
    <n v="9.52"/>
    <n v="2.3230010626666671"/>
    <n v="0"/>
    <n v="0"/>
    <n v="1"/>
  </r>
  <r>
    <m/>
    <s v="CERRADO"/>
    <s v="L12:Loja Monte Carmelo"/>
    <s v="MONTE CARMELO"/>
    <s v="2018/2019"/>
    <d v="2018-07-10T00:00:00"/>
    <x v="205"/>
    <s v="1132 F1"/>
    <n v="13670"/>
    <s v="kg"/>
    <s v="ARÁBICA"/>
    <s v="Green"/>
    <n v="45"/>
    <m/>
    <m/>
    <d v="2018-11-07T00:00:00"/>
    <n v="463.61399"/>
    <n v="105626.723"/>
    <s v="BRL"/>
    <n v="3.8411"/>
    <n v="8331.2434706666663"/>
    <n v="0"/>
    <s v="BRL"/>
    <n v="3.8411"/>
    <n v="13670"/>
    <n v="0"/>
    <n v="2168.9733333333334"/>
    <n v="0"/>
    <n v="7.1969989373333334"/>
    <n v="0"/>
    <n v="4.1306000000000003"/>
    <n v="109.55"/>
    <n v="5474.7798414323061"/>
    <n v="91.246332658691529"/>
    <n v="98.443331596024862"/>
    <n v="98.443331596024862"/>
    <n v="105626.72072166667"/>
    <n v="2.2783333261031657E-3"/>
    <n v="9.5200000000000014"/>
    <n v="2.3230010626666679"/>
    <n v="0"/>
    <n v="0"/>
    <n v="1"/>
  </r>
  <r>
    <m/>
    <s v="CERRADO"/>
    <s v="L12:Loja Monte Carmelo"/>
    <s v="MONTE CARMELO"/>
    <s v="2018/2019"/>
    <d v="2018-07-10T00:00:00"/>
    <x v="206"/>
    <s v="0048 F1"/>
    <n v="16020"/>
    <s v="kg"/>
    <s v="ARÁBICA"/>
    <s v="Green"/>
    <n v="45"/>
    <m/>
    <m/>
    <s v="27/07/2018"/>
    <n v="515.23519999999996"/>
    <n v="137625.09659999999"/>
    <s v="BRL"/>
    <n v="3.7158000000000002"/>
    <n v="9444.9690720000017"/>
    <n v="0"/>
    <s v="BRL"/>
    <n v="3.7158000000000002"/>
    <n v="16020"/>
    <n v="0"/>
    <n v="2541.84"/>
    <n v="0"/>
    <n v="7.1969989373333352"/>
    <n v="0"/>
    <e v="#N/A"/>
    <e v="#N/A"/>
    <n v="6289.5407577217284"/>
    <n v="104.8693401142984"/>
    <n v="112.06633905163174"/>
    <n v="112.06633905163174"/>
    <n v="137567.7984"/>
    <n v="57.298199999990175"/>
    <n v="9.5200000000000031"/>
    <n v="2.3230010626666679"/>
    <n v="0"/>
    <n v="0"/>
    <n v="1"/>
  </r>
  <r>
    <m/>
    <s v="CERRADO"/>
    <s v="L12:Loja Monte Carmelo"/>
    <s v="MONTE CARMELO"/>
    <s v="2018/2019"/>
    <d v="2018-07-11T00:00:00"/>
    <x v="207"/>
    <s v="0988 F1"/>
    <n v="9000"/>
    <s v="kg"/>
    <s v="ARÁBICA"/>
    <s v="Green"/>
    <n v="55.000000000000007"/>
    <m/>
    <m/>
    <d v="2018-11-07T00:00:00"/>
    <n v="666.29998999999998"/>
    <n v="99945"/>
    <s v="BRL"/>
    <n v="3.8411"/>
    <n v="6706.5606000000007"/>
    <n v="0"/>
    <s v="BRL"/>
    <n v="3.8411"/>
    <n v="9000"/>
    <n v="0"/>
    <n v="1746.0000000000002"/>
    <n v="0"/>
    <n v="8.7996919780000002"/>
    <n v="0"/>
    <n v="4.1306000000000003"/>
    <n v="109.55"/>
    <n v="7868.2823044199913"/>
    <n v="131.13804037515294"/>
    <n v="139.93773235315297"/>
    <n v="139.93773235315297"/>
    <n v="99944.998500000002"/>
    <n v="1.4999999984866008E-3"/>
    <n v="11.64"/>
    <n v="2.8403080220000003"/>
    <n v="0"/>
    <n v="0"/>
    <n v="1"/>
  </r>
  <r>
    <m/>
    <s v="CERRADO"/>
    <s v="L12:Loja Monte Carmelo"/>
    <s v="MONTE CARMELO"/>
    <s v="2018/2019"/>
    <d v="2018-07-11T00:00:00"/>
    <x v="208"/>
    <s v="0988 F1"/>
    <n v="5940"/>
    <s v="kg"/>
    <s v="ARÁBICA"/>
    <s v="Green"/>
    <n v="55.000000000000007"/>
    <m/>
    <m/>
    <s v="17/07/2018"/>
    <n v="434.91695999999996"/>
    <n v="44009.044199999997"/>
    <s v="BRL"/>
    <n v="3.8664999999999998"/>
    <n v="4455.5999400000001"/>
    <n v="0"/>
    <s v="BRL"/>
    <n v="3.8664999999999998"/>
    <n v="5940"/>
    <n v="0"/>
    <n v="1152.3600000000001"/>
    <n v="0"/>
    <n v="8.7996919780000002"/>
    <n v="0"/>
    <e v="#N/A"/>
    <e v="#N/A"/>
    <n v="5102.1599544703267"/>
    <n v="86.916697733456616"/>
    <n v="95.716389711456614"/>
    <n v="95.716389711456614"/>
    <n v="43056.779040000001"/>
    <n v="952.26515999999538"/>
    <n v="11.64"/>
    <n v="2.8403080220000003"/>
    <n v="0"/>
    <n v="0"/>
    <n v="1"/>
  </r>
  <r>
    <m/>
    <s v="CERRADO"/>
    <s v="L12:Loja Monte Carmelo"/>
    <s v="MONTE CARMELO"/>
    <s v="2018/2019"/>
    <d v="2018-07-12T00:00:00"/>
    <x v="209"/>
    <s v="1545 F1"/>
    <n v="907"/>
    <s v="kg"/>
    <s v="ARÁBICA"/>
    <s v="Green"/>
    <n v="55.000000000000007"/>
    <m/>
    <m/>
    <d v="2018-12-07T00:00:00"/>
    <n v="440.77859999999993"/>
    <n v="6743.4815099999996"/>
    <s v="BRL"/>
    <n v="3.8557999999999999"/>
    <n v="678.45885640000006"/>
    <n v="0"/>
    <s v="BRL"/>
    <n v="3.8557999999999999"/>
    <n v="907"/>
    <n v="0"/>
    <n v="175.95800000000003"/>
    <n v="0"/>
    <n v="8.799691978000002"/>
    <n v="0"/>
    <n v="4.1306000000000003"/>
    <n v="109.55"/>
    <n v="5185.2743871383891"/>
    <n v="87.463756405521551"/>
    <n v="96.263448383521563"/>
    <n v="96.263448383521563"/>
    <n v="6663.1031699999994"/>
    <n v="80.378340000000208"/>
    <n v="11.64"/>
    <n v="2.8403080219999985"/>
    <n v="0"/>
    <n v="0"/>
    <n v="1"/>
  </r>
  <r>
    <m/>
    <s v="CERRADO"/>
    <s v="L12:Loja Monte Carmelo"/>
    <s v="MONTE CARMELO"/>
    <s v="2018/2019"/>
    <d v="2018-07-12T00:00:00"/>
    <x v="210"/>
    <s v="0977 F1"/>
    <n v="1806"/>
    <s v="kg"/>
    <s v="ARÁBICA"/>
    <s v="Green"/>
    <n v="55.000000000000007"/>
    <m/>
    <m/>
    <s v="24/07/2018"/>
    <n v="467.31419999999997"/>
    <n v="14071.91856"/>
    <s v="BRL"/>
    <n v="3.7452999999999999"/>
    <n v="1312.2182892000001"/>
    <n v="0"/>
    <s v="BRL"/>
    <n v="3.7452999999999999"/>
    <n v="1806"/>
    <n v="0"/>
    <n v="350.36400000000003"/>
    <n v="0"/>
    <n v="8.7996919780000002"/>
    <n v="0"/>
    <e v="#N/A"/>
    <e v="#N/A"/>
    <n v="5659.6308843791949"/>
    <n v="94.365815418556593"/>
    <n v="103.16550739655659"/>
    <n v="103.16550739655659"/>
    <n v="14066.15742"/>
    <n v="5.7611400000005233"/>
    <n v="11.64"/>
    <n v="2.8403080220000003"/>
    <n v="0"/>
    <n v="0"/>
    <n v="1"/>
  </r>
  <r>
    <m/>
    <s v="CERRADO"/>
    <s v="L12:Loja Monte Carmelo"/>
    <s v="MONTE CARMELO"/>
    <s v="2018/2019"/>
    <d v="2018-07-12T00:00:00"/>
    <x v="211"/>
    <s v="0048 F1"/>
    <n v="9630"/>
    <s v="kg"/>
    <s v="ARÁBICA"/>
    <s v="Green"/>
    <n v="45"/>
    <m/>
    <m/>
    <s v="27/07/2018"/>
    <n v="517.77139999999986"/>
    <n v="83136.752999999982"/>
    <s v="BRL"/>
    <n v="3.7158000000000002"/>
    <n v="5677.5937680000006"/>
    <n v="0"/>
    <s v="BRL"/>
    <n v="3.7158000000000002"/>
    <n v="9630"/>
    <n v="0"/>
    <n v="1527.96"/>
    <n v="0"/>
    <n v="7.1969989373333352"/>
    <n v="0"/>
    <e v="#N/A"/>
    <e v="#N/A"/>
    <n v="6320.5004694606259"/>
    <n v="105.38533530994668"/>
    <n v="112.58233424728004"/>
    <n v="112.58233424728004"/>
    <n v="83102.309699999969"/>
    <n v="34.443300000013551"/>
    <n v="9.52"/>
    <n v="2.3230010626666644"/>
    <n v="0"/>
    <n v="0"/>
    <n v="1"/>
  </r>
  <r>
    <m/>
    <s v="CERRADO"/>
    <s v="L12:Loja Monte Carmelo"/>
    <s v="MONTE CARMELO"/>
    <s v="2018/2019"/>
    <d v="2018-07-13T00:00:00"/>
    <x v="212"/>
    <s v="0156 F1"/>
    <n v="2580"/>
    <s v="kg"/>
    <s v="ARÁBICA"/>
    <s v="Green"/>
    <n v="55.000000000000007"/>
    <m/>
    <m/>
    <s v="24/07/2018"/>
    <n v="553.99910000000011"/>
    <n v="23828.518800000002"/>
    <s v="BRL"/>
    <n v="3.7452999999999999"/>
    <n v="1874.5975559999999"/>
    <n v="0"/>
    <s v="BRL"/>
    <n v="3.7452999999999999"/>
    <n v="2580"/>
    <n v="0"/>
    <n v="500.52"/>
    <n v="0"/>
    <n v="8.7996919780000002"/>
    <n v="0"/>
    <e v="#N/A"/>
    <e v="#N/A"/>
    <n v="6709.4695951423673"/>
    <n v="111.855275315414"/>
    <n v="120.654967293414"/>
    <n v="120.654967293414"/>
    <n v="23821.961300000006"/>
    <n v="6.5574999999953434"/>
    <n v="11.64"/>
    <n v="2.8403080220000003"/>
    <n v="0"/>
    <n v="0"/>
    <n v="1"/>
  </r>
  <r>
    <m/>
    <s v="CERRADO"/>
    <s v="L12:Loja Monte Carmelo"/>
    <s v="MONTE CARMELO"/>
    <s v="2018/2019"/>
    <d v="2018-07-13T00:00:00"/>
    <x v="213"/>
    <s v="0008 F5"/>
    <n v="19070"/>
    <s v="kg"/>
    <s v="ARÁBICA"/>
    <s v="Green"/>
    <n v="45"/>
    <m/>
    <m/>
    <s v="27/07/2018"/>
    <n v="469.09150000000011"/>
    <n v="149141.51180000001"/>
    <s v="BRL"/>
    <n v="3.7158000000000002"/>
    <n v="11243.168552000001"/>
    <n v="0"/>
    <s v="BRL"/>
    <n v="3.7158000000000002"/>
    <n v="19070"/>
    <n v="0"/>
    <n v="3025.7733333333335"/>
    <n v="0"/>
    <n v="7.1969989373333334"/>
    <n v="0"/>
    <e v="#N/A"/>
    <e v="#N/A"/>
    <n v="5726.2588199541151"/>
    <n v="95.468754824097104"/>
    <n v="102.66575376143042"/>
    <n v="102.66575376143042"/>
    <n v="149092.91508333336"/>
    <n v="48.596716666652355"/>
    <n v="9.52"/>
    <n v="2.3230010626666662"/>
    <n v="0"/>
    <n v="0"/>
    <n v="1"/>
  </r>
  <r>
    <m/>
    <s v="CERRADO"/>
    <s v="L12:Loja Monte Carmelo"/>
    <s v="MONTE CARMELO"/>
    <s v="2018/2019"/>
    <d v="2018-07-14T00:00:00"/>
    <x v="214"/>
    <s v="0008 F5"/>
    <n v="8700"/>
    <s v="kg"/>
    <s v="ARÁBICA"/>
    <s v="Green"/>
    <n v="45"/>
    <m/>
    <m/>
    <s v="27/07/2018"/>
    <n v="471.42660000000001"/>
    <n v="68379.042000000001"/>
    <s v="BRL"/>
    <n v="3.7158000000000002"/>
    <n v="5129.290320000001"/>
    <n v="0"/>
    <s v="BRL"/>
    <n v="3.7158000000000002"/>
    <n v="8700"/>
    <n v="0"/>
    <n v="1380.4"/>
    <n v="0"/>
    <n v="7.1969989373333352"/>
    <n v="0"/>
    <e v="#N/A"/>
    <e v="#N/A"/>
    <n v="5754.763678751332"/>
    <n v="95.943856149259915"/>
    <n v="103.14085508659325"/>
    <n v="103.14085508659325"/>
    <n v="68356.857000000004"/>
    <n v="22.184999999997672"/>
    <n v="9.5200000000000031"/>
    <n v="2.3230010626666679"/>
    <n v="0"/>
    <n v="0"/>
    <n v="1"/>
  </r>
  <r>
    <m/>
    <s v="CERRADO"/>
    <s v="L12:Loja Monte Carmelo"/>
    <s v="MONTE CARMELO"/>
    <s v="2018/2019"/>
    <d v="2018-07-16T00:00:00"/>
    <x v="215"/>
    <s v="1390 F1"/>
    <n v="600"/>
    <s v="kg"/>
    <s v="ARÁBICA"/>
    <s v="Green"/>
    <n v="45"/>
    <m/>
    <m/>
    <s v="18/07/2018"/>
    <n v="422.68284000000006"/>
    <n v="4260.8220000000001"/>
    <s v="BRL"/>
    <n v="3.8468"/>
    <n v="366.21535999999998"/>
    <n v="0"/>
    <s v="BRL"/>
    <n v="3.8468"/>
    <n v="600"/>
    <n v="0"/>
    <n v="95.199999999999989"/>
    <n v="0"/>
    <n v="7.1969989373333325"/>
    <n v="0"/>
    <e v="#N/A"/>
    <e v="#N/A"/>
    <n v="4984.031172765177"/>
    <n v="83.735240941741182"/>
    <n v="90.932239879074515"/>
    <n v="90.932239879074515"/>
    <n v="4226.8284000000003"/>
    <n v="33.993599999999788"/>
    <n v="9.5199999999999978"/>
    <n v="2.3230010626666653"/>
    <n v="0"/>
    <n v="0"/>
    <n v="1"/>
  </r>
  <r>
    <m/>
    <s v="CERRADO"/>
    <s v="L12:Loja Monte Carmelo"/>
    <s v="MONTE CARMELO"/>
    <s v="2018/2019"/>
    <d v="2018-07-16T00:00:00"/>
    <x v="216"/>
    <s v="1275 F1"/>
    <n v="17810"/>
    <s v="kg"/>
    <s v="ARÁBICA"/>
    <s v="Green"/>
    <n v="45"/>
    <m/>
    <m/>
    <s v="20/07/2018"/>
    <n v="492.97480000000007"/>
    <n v="146379.1433"/>
    <s v="BRL"/>
    <n v="3.7787000000000002"/>
    <n v="10678.051990666667"/>
    <n v="0"/>
    <s v="BRL"/>
    <n v="3.7787000000000002"/>
    <n v="17810"/>
    <n v="0"/>
    <n v="2825.8533333333335"/>
    <n v="0"/>
    <n v="7.1969989373333325"/>
    <n v="0"/>
    <e v="#N/A"/>
    <e v="#N/A"/>
    <n v="5917.6332570004506"/>
    <n v="98.659431486069295"/>
    <n v="105.85643042340261"/>
    <n v="105.85643042340261"/>
    <n v="146331.35313333335"/>
    <n v="47.790166666643927"/>
    <n v="9.52"/>
    <n v="2.3230010626666671"/>
    <n v="0"/>
    <n v="0"/>
    <n v="1"/>
  </r>
  <r>
    <m/>
    <s v="CERRADO"/>
    <s v="L12:Loja Monte Carmelo"/>
    <s v="MONTE CARMELO"/>
    <s v="2018/2019"/>
    <d v="2018-07-16T00:00:00"/>
    <x v="217"/>
    <s v="1275 F1"/>
    <n v="6428"/>
    <s v="kg"/>
    <s v="ARÁBICA"/>
    <s v="Green"/>
    <n v="45"/>
    <m/>
    <m/>
    <s v="20/07/2018"/>
    <n v="496.27799999999991"/>
    <n v="53185.271999999997"/>
    <s v="BRL"/>
    <n v="3.7787000000000002"/>
    <n v="3853.9313978666669"/>
    <n v="0"/>
    <s v="BRL"/>
    <n v="3.7787000000000002"/>
    <n v="6428"/>
    <n v="0"/>
    <n v="1019.9093333333334"/>
    <n v="0"/>
    <n v="7.1969989373333334"/>
    <n v="0"/>
    <e v="#N/A"/>
    <e v="#N/A"/>
    <n v="5957.2846269579468"/>
    <n v="99.32048771746895"/>
    <n v="106.51748665480231"/>
    <n v="106.51748665480231"/>
    <n v="53167.916399999987"/>
    <n v="17.355600000009872"/>
    <n v="9.52"/>
    <n v="2.3230010626666662"/>
    <n v="0"/>
    <n v="0"/>
    <n v="1"/>
  </r>
  <r>
    <m/>
    <s v="CERRADO"/>
    <s v="L12:Loja Monte Carmelo"/>
    <s v="MONTE CARMELO"/>
    <s v="2018/2019"/>
    <d v="2018-07-16T00:00:00"/>
    <x v="218"/>
    <s v="0233 F1"/>
    <n v="3542"/>
    <s v="kg"/>
    <s v="ARÁBICA"/>
    <s v="Green"/>
    <n v="45"/>
    <m/>
    <m/>
    <s v="20/07/2018"/>
    <n v="432.96430000000004"/>
    <n v="25687.788280000001"/>
    <s v="BRL"/>
    <n v="3.7787000000000002"/>
    <n v="2123.6193234666666"/>
    <n v="0"/>
    <s v="BRL"/>
    <n v="3.7787000000000002"/>
    <n v="3542"/>
    <n v="0"/>
    <n v="561.99733333333324"/>
    <n v="0"/>
    <n v="7.1969989373333334"/>
    <n v="0"/>
    <e v="#N/A"/>
    <e v="#N/A"/>
    <n v="5197.2716268132172"/>
    <n v="87.056556187201949"/>
    <n v="94.253555124535282"/>
    <n v="94.253555124535282"/>
    <n v="25559.325843333336"/>
    <n v="128.46243666666487"/>
    <n v="9.5199999999999978"/>
    <n v="2.3230010626666644"/>
    <n v="0"/>
    <n v="0"/>
    <n v="1"/>
  </r>
  <r>
    <m/>
    <s v="CERRADO"/>
    <s v="L12:Loja Monte Carmelo"/>
    <s v="MONTE CARMELO"/>
    <s v="2018/2019"/>
    <d v="2018-07-20T00:00:00"/>
    <x v="219"/>
    <s v="0142 F1"/>
    <n v="19220"/>
    <s v="kg"/>
    <s v="ARÁBICA"/>
    <s v="Green"/>
    <n v="55.000000000000007"/>
    <m/>
    <m/>
    <s v="26/07/2018"/>
    <n v="481.07440000000008"/>
    <n v="154149.97380000001"/>
    <s v="BRL"/>
    <n v="3.7237"/>
    <n v="13884.485715999999"/>
    <n v="0"/>
    <s v="BRL"/>
    <n v="3.7237"/>
    <n v="19220"/>
    <n v="0"/>
    <n v="3728.68"/>
    <n v="0"/>
    <n v="8.7996919780000002"/>
    <n v="0"/>
    <e v="#N/A"/>
    <e v="#N/A"/>
    <n v="5860.0767312707267"/>
    <n v="97.69697744682172"/>
    <n v="106.4966694248217"/>
    <n v="106.4966694248217"/>
    <n v="154104.16613333338"/>
    <n v="45.807666666631121"/>
    <n v="11.64"/>
    <n v="2.8403080220000003"/>
    <n v="0"/>
    <n v="0"/>
    <n v="1"/>
  </r>
  <r>
    <m/>
    <s v="CERRADO"/>
    <s v="L12:Loja Monte Carmelo"/>
    <s v="MONTE CARMELO"/>
    <s v="2018/2019"/>
    <d v="2018-07-19T00:00:00"/>
    <x v="220"/>
    <s v="0002 F1"/>
    <n v="1802"/>
    <s v="kg"/>
    <s v="ARÁBICA"/>
    <s v="Green"/>
    <n v="45"/>
    <m/>
    <m/>
    <s v="20/07/2018"/>
    <n v="434.1542"/>
    <n v="13104.63054"/>
    <s v="BRL"/>
    <n v="3.7787000000000002"/>
    <n v="1080.3958274666668"/>
    <n v="0"/>
    <s v="BRL"/>
    <n v="3.7787000000000002"/>
    <n v="1802"/>
    <n v="0"/>
    <n v="285.91733333333337"/>
    <n v="0"/>
    <n v="7.1969989373333352"/>
    <n v="0"/>
    <e v="#N/A"/>
    <e v="#N/A"/>
    <n v="5211.5550989349249"/>
    <n v="87.29579444200121"/>
    <n v="94.492793379334557"/>
    <n v="94.492793379334557"/>
    <n v="13039.097806666667"/>
    <n v="65.532733333333454"/>
    <n v="9.52"/>
    <n v="2.3230010626666644"/>
    <n v="0"/>
    <n v="0"/>
    <n v="1"/>
  </r>
  <r>
    <m/>
    <s v="CERRADO"/>
    <s v="L12:Loja Monte Carmelo"/>
    <s v="MONTE CARMELO"/>
    <s v="2018/2019"/>
    <d v="2018-07-19T00:00:00"/>
    <x v="221"/>
    <s v="0977 F1"/>
    <n v="1022"/>
    <s v="kg"/>
    <s v="ARÁBICA"/>
    <s v="Green"/>
    <n v="45"/>
    <m/>
    <m/>
    <s v="23/07/2018"/>
    <n v="464.88909999999998"/>
    <n v="7924.7924000000003"/>
    <s v="BRL"/>
    <n v="3.7909000000000002"/>
    <n v="614.72223493333343"/>
    <n v="0"/>
    <s v="BRL"/>
    <n v="3.7909000000000002"/>
    <n v="1022"/>
    <n v="0"/>
    <n v="162.15733333333336"/>
    <n v="0"/>
    <n v="7.1969989373333352"/>
    <n v="0"/>
    <e v="#N/A"/>
    <e v="#N/A"/>
    <n v="5562.5352464102716"/>
    <n v="92.781290866390563"/>
    <n v="99.978289803723911"/>
    <n v="99.978289803723911"/>
    <n v="7918.6110033333334"/>
    <n v="6.1813966666668421"/>
    <n v="9.5200000000000014"/>
    <n v="2.3230010626666662"/>
    <n v="0"/>
    <n v="0"/>
    <n v="1"/>
  </r>
  <r>
    <m/>
    <s v="CERRADO"/>
    <s v="L12:Loja Monte Carmelo"/>
    <s v="MONTE CARMELO"/>
    <s v="2018/2019"/>
    <d v="2018-07-19T00:00:00"/>
    <x v="222"/>
    <s v="0977 F1"/>
    <n v="2045"/>
    <s v="kg"/>
    <s v="ARÁBICA"/>
    <s v="Green"/>
    <n v="45"/>
    <m/>
    <m/>
    <s v="23/07/2018"/>
    <n v="436.0138"/>
    <n v="14935.493899999999"/>
    <s v="BRL"/>
    <n v="3.7909000000000002"/>
    <n v="1230.0459593333335"/>
    <n v="0"/>
    <s v="BRL"/>
    <n v="3.7909000000000002"/>
    <n v="2045"/>
    <n v="0"/>
    <n v="324.47333333333336"/>
    <n v="0"/>
    <n v="7.1969989373333343"/>
    <n v="0"/>
    <e v="#N/A"/>
    <e v="#N/A"/>
    <n v="5217.0337622914349"/>
    <n v="87.38757516435146"/>
    <n v="94.584574101684808"/>
    <n v="94.584574101684808"/>
    <n v="14860.803683333334"/>
    <n v="74.690216666665947"/>
    <n v="9.52"/>
    <n v="2.3230010626666653"/>
    <n v="0"/>
    <n v="0"/>
    <n v="1"/>
  </r>
  <r>
    <m/>
    <s v="CERRADO"/>
    <s v="L12:Loja Monte Carmelo"/>
    <s v="MONTE CARMELO"/>
    <s v="2018/2019"/>
    <d v="2018-07-21T00:00:00"/>
    <x v="223"/>
    <s v="1545 F1"/>
    <n v="357"/>
    <s v="kg"/>
    <s v="ARÁBICA"/>
    <s v="Green"/>
    <n v="55.000000000000007"/>
    <m/>
    <m/>
    <s v="26/07/2018"/>
    <n v="426.06420000000003"/>
    <n v="2547.82332"/>
    <s v="BRL"/>
    <n v="3.7237"/>
    <n v="257.8960146"/>
    <n v="0"/>
    <s v="BRL"/>
    <n v="3.7237"/>
    <n v="357"/>
    <n v="0"/>
    <n v="69.257999999999996"/>
    <n v="0"/>
    <n v="8.799691978000002"/>
    <n v="0"/>
    <e v="#N/A"/>
    <e v="#N/A"/>
    <n v="5189.9849679124"/>
    <n v="86.934497476198402"/>
    <n v="95.7341894541984"/>
    <n v="95.7341894541984"/>
    <n v="2535.0819900000001"/>
    <n v="12.741329999999834"/>
    <n v="11.64"/>
    <n v="2.8403080219999985"/>
    <n v="0"/>
    <n v="0"/>
    <n v="1"/>
  </r>
  <r>
    <m/>
    <s v="CERRADO"/>
    <s v="L12:Loja Monte Carmelo"/>
    <s v="MONTE CARMELO"/>
    <s v="2018/2019"/>
    <d v="2018-07-23T00:00:00"/>
    <x v="224"/>
    <s v="0988 F1"/>
    <n v="16780"/>
    <s v="kg"/>
    <s v="ARÁBICA"/>
    <s v="Green"/>
    <n v="55.000000000000007"/>
    <m/>
    <m/>
    <s v="23/07/2018"/>
    <n v="438.09660000000002"/>
    <n v="125230.6502"/>
    <s v="BRL"/>
    <n v="3.7909000000000002"/>
    <n v="12340.592588000001"/>
    <n v="0"/>
    <s v="BRL"/>
    <n v="3.7909000000000002"/>
    <n v="16780"/>
    <n v="0"/>
    <n v="3255.32"/>
    <n v="0"/>
    <n v="8.7996919780000002"/>
    <n v="0"/>
    <e v="#N/A"/>
    <e v="#N/A"/>
    <n v="5241.9550788188035"/>
    <n v="89.298073824772473"/>
    <n v="98.097765802772471"/>
    <n v="98.097765802772471"/>
    <n v="122521.01580000001"/>
    <n v="2709.6343999999954"/>
    <n v="11.64"/>
    <n v="2.8403080220000003"/>
    <n v="0"/>
    <n v="0"/>
    <n v="1"/>
  </r>
  <r>
    <m/>
    <s v="CERRADO"/>
    <s v="L12:Loja Monte Carmelo"/>
    <s v="MONTE CARMELO"/>
    <s v="2018/2019"/>
    <d v="2018-07-23T00:00:00"/>
    <x v="225"/>
    <s v="0151 F1"/>
    <n v="10265"/>
    <s v="kg"/>
    <s v="ARÁBICA"/>
    <s v="Green"/>
    <n v="55.000000000000007"/>
    <m/>
    <m/>
    <s v="24/07/2018"/>
    <n v="732.90640000000008"/>
    <n v="125404.32285"/>
    <s v="BRL"/>
    <n v="3.7452999999999999"/>
    <n v="7458.4278730000005"/>
    <n v="0"/>
    <s v="BRL"/>
    <n v="3.7452999999999999"/>
    <n v="10265"/>
    <n v="0"/>
    <n v="1991.4100000000003"/>
    <n v="0"/>
    <n v="8.7996919780000002"/>
    <n v="0"/>
    <e v="#N/A"/>
    <e v="#N/A"/>
    <n v="8876.2115441798542"/>
    <n v="147.95603478106693"/>
    <n v="156.75572675906693"/>
    <n v="156.75572675906693"/>
    <n v="125388.06993333335"/>
    <n v="16.25291666664998"/>
    <n v="11.64"/>
    <n v="2.8403080220000003"/>
    <n v="0"/>
    <n v="0"/>
    <n v="1"/>
  </r>
  <r>
    <m/>
    <s v="CERRADO"/>
    <s v="L12:Loja Monte Carmelo"/>
    <s v="MONTE CARMELO"/>
    <s v="2018/2019"/>
    <d v="2018-07-23T00:00:00"/>
    <x v="226"/>
    <s v="0653 F1"/>
    <n v="4800"/>
    <s v="kg"/>
    <s v="ARÁBICA"/>
    <s v="Green"/>
    <n v="55.000000000000007"/>
    <m/>
    <m/>
    <s v="24/07/2018"/>
    <n v="432.05376000000007"/>
    <n v="35467.728000000003"/>
    <s v="BRL"/>
    <n v="3.7452999999999999"/>
    <n v="3487.62336"/>
    <n v="0"/>
    <s v="BRL"/>
    <n v="3.7452999999999999"/>
    <n v="4800"/>
    <n v="0"/>
    <n v="931.2"/>
    <n v="0"/>
    <n v="8.7996919780000002"/>
    <n v="0"/>
    <e v="#N/A"/>
    <e v="#N/A"/>
    <n v="5232.5925550906804"/>
    <n v="89.489331084044011"/>
    <n v="98.289023062044009"/>
    <n v="98.289023062044009"/>
    <n v="34564.300800000005"/>
    <n v="903.42719999999827"/>
    <n v="11.64"/>
    <n v="2.8403080220000003"/>
    <n v="0"/>
    <n v="0"/>
    <n v="1"/>
  </r>
  <r>
    <m/>
    <s v="CERRADO"/>
    <s v="L12:Loja Monte Carmelo"/>
    <s v="MONTE CARMELO"/>
    <s v="2018/2019"/>
    <d v="2018-07-24T00:00:00"/>
    <x v="227"/>
    <s v="0142 F1"/>
    <n v="13400"/>
    <s v="kg"/>
    <s v="ARÁBICA"/>
    <s v="Green"/>
    <n v="55.000000000000007"/>
    <m/>
    <m/>
    <s v="24/07/2018"/>
    <n v="436.13079999999997"/>
    <n v="98479.547999999995"/>
    <s v="BRL"/>
    <n v="3.7452999999999999"/>
    <n v="9736.2818800000005"/>
    <n v="0"/>
    <s v="BRL"/>
    <n v="3.7452999999999999"/>
    <n v="13400"/>
    <n v="0"/>
    <n v="2599.6000000000004"/>
    <n v="0"/>
    <n v="8.7996919780000002"/>
    <n v="0"/>
    <e v="#N/A"/>
    <e v="#N/A"/>
    <n v="5281.9694871437805"/>
    <n v="89.006224266451284"/>
    <n v="97.805916244451296"/>
    <n v="97.805916244451296"/>
    <n v="97402.545333333328"/>
    <n v="1077.0026666666672"/>
    <n v="11.64"/>
    <n v="2.8403080220000003"/>
    <n v="0"/>
    <n v="0"/>
    <n v="1"/>
  </r>
  <r>
    <m/>
    <s v="CERRADO"/>
    <s v="L12:Loja Monte Carmelo"/>
    <s v="MONTE CARMELO"/>
    <s v="2018/2019"/>
    <d v="2018-07-24T00:00:00"/>
    <x v="228"/>
    <s v="1042 F1"/>
    <n v="14880"/>
    <s v="kg"/>
    <s v="ARÁBICA"/>
    <s v="Green"/>
    <n v="55.000000000000007"/>
    <m/>
    <m/>
    <s v="25/07/2018"/>
    <n v="427.90499999999997"/>
    <n v="107728.96799999999"/>
    <s v="BRL"/>
    <n v="3.7113999999999998"/>
    <n v="10713.772607999999"/>
    <n v="0"/>
    <s v="BRL"/>
    <n v="3.7113999999999998"/>
    <n v="14880"/>
    <n v="0"/>
    <n v="2886.72"/>
    <n v="0"/>
    <n v="8.7996919779999985"/>
    <n v="0"/>
    <e v="#N/A"/>
    <e v="#N/A"/>
    <n v="5229.6826826763481"/>
    <n v="88.482532735477179"/>
    <n v="97.282224713477177"/>
    <n v="97.282224713477177"/>
    <n v="106120.43999999999"/>
    <n v="1608.5280000000057"/>
    <n v="11.64"/>
    <n v="2.8403080220000021"/>
    <n v="0"/>
    <n v="0"/>
    <n v="1"/>
  </r>
  <r>
    <m/>
    <s v="CERRADO"/>
    <s v="L12:Loja Monte Carmelo"/>
    <s v="MONTE CARMELO"/>
    <s v="2018/2019"/>
    <d v="2018-07-24T00:00:00"/>
    <x v="229"/>
    <s v="0264 F1"/>
    <n v="3675"/>
    <s v="kg"/>
    <s v="ARÁBICA"/>
    <s v="Green"/>
    <n v="55.000000000000007"/>
    <m/>
    <m/>
    <s v="27/07/2018"/>
    <n v="472.54719999999998"/>
    <n v="28952.86275"/>
    <s v="BRL"/>
    <n v="3.7158000000000002"/>
    <n v="2649.1796100000001"/>
    <n v="0"/>
    <s v="BRL"/>
    <n v="3.7158000000000002"/>
    <n v="3675"/>
    <n v="0"/>
    <n v="712.95"/>
    <n v="0"/>
    <n v="8.7996919780000002"/>
    <n v="0"/>
    <e v="#N/A"/>
    <e v="#N/A"/>
    <n v="5768.4429836068684"/>
    <n v="96.171763182682042"/>
    <n v="104.97145516068205"/>
    <n v="104.97145516068205"/>
    <n v="28943.516"/>
    <n v="9.3467500000006112"/>
    <n v="11.639999999999999"/>
    <n v="2.8403080219999985"/>
    <n v="0"/>
    <n v="0"/>
    <n v="1"/>
  </r>
  <r>
    <m/>
    <s v="CERRADO"/>
    <s v="L12:Loja Monte Carmelo"/>
    <s v="MONTE CARMELO"/>
    <s v="2018/2019"/>
    <d v="2018-07-26T00:00:00"/>
    <x v="230"/>
    <s v="0142 F1"/>
    <n v="16900"/>
    <s v="kg"/>
    <s v="ARÁBICA"/>
    <s v="Green"/>
    <n v="55.000000000000007"/>
    <m/>
    <m/>
    <s v="26/07/2018"/>
    <n v="479.87830000000002"/>
    <n v="135205.91500000001"/>
    <s v="BRL"/>
    <n v="3.7237"/>
    <n v="12208.522819999998"/>
    <n v="0"/>
    <s v="BRL"/>
    <n v="3.7237"/>
    <n v="16900"/>
    <n v="0"/>
    <n v="3278.5999999999995"/>
    <n v="0"/>
    <n v="8.7996919780000002"/>
    <n v="0"/>
    <e v="#N/A"/>
    <e v="#N/A"/>
    <n v="5845.5067650071442"/>
    <n v="97.454083769624305"/>
    <n v="106.25377574762429"/>
    <n v="106.25377574762429"/>
    <n v="135165.72116666668"/>
    <n v="40.19383333332371"/>
    <n v="11.639999999999999"/>
    <n v="2.8403080219999985"/>
    <n v="0"/>
    <n v="0"/>
    <n v="1"/>
  </r>
  <r>
    <m/>
    <s v="CERRADO"/>
    <s v="L12:Loja Monte Carmelo"/>
    <s v="MONTE CARMELO"/>
    <s v="2018/2019"/>
    <d v="2018-07-26T00:00:00"/>
    <x v="231"/>
    <s v="0048 F1"/>
    <n v="16880"/>
    <s v="kg"/>
    <s v="ARÁBICA"/>
    <s v="Green"/>
    <n v="45"/>
    <m/>
    <m/>
    <s v="27/07/2018"/>
    <n v="517.77140000000009"/>
    <n v="145726.728"/>
    <s v="BRL"/>
    <n v="3.7158000000000002"/>
    <n v="9952.0023680000013"/>
    <n v="0"/>
    <s v="BRL"/>
    <n v="3.7158000000000002"/>
    <n v="16880"/>
    <n v="0"/>
    <n v="2678.2933333333335"/>
    <n v="0"/>
    <n v="7.1969989373333343"/>
    <n v="0"/>
    <e v="#N/A"/>
    <e v="#N/A"/>
    <n v="6320.5004694606278"/>
    <n v="105.38533530994671"/>
    <n v="112.58233424728004"/>
    <n v="112.58233424728004"/>
    <n v="145666.35386666667"/>
    <n v="60.374133333330974"/>
    <n v="9.52"/>
    <n v="2.3230010626666653"/>
    <n v="0"/>
    <n v="0"/>
    <n v="1"/>
  </r>
  <r>
    <m/>
    <s v="CERRADO"/>
    <s v="L12:Loja Monte Carmelo"/>
    <s v="MONTE CARMELO"/>
    <s v="2018/2019"/>
    <d v="2018-07-27T00:00:00"/>
    <x v="232"/>
    <s v="0048 F1"/>
    <n v="5509"/>
    <s v="kg"/>
    <s v="ARÁBICA"/>
    <s v="Green"/>
    <n v="45"/>
    <m/>
    <m/>
    <s v="27/07/2018"/>
    <n v="519.03980000000001"/>
    <n v="47676.208160000002"/>
    <s v="BRL"/>
    <n v="3.7158000000000002"/>
    <n v="3247.9609624000004"/>
    <n v="0"/>
    <s v="BRL"/>
    <n v="3.7158000000000002"/>
    <n v="5509"/>
    <n v="0"/>
    <n v="874.09466666666674"/>
    <n v="0"/>
    <n v="7.1969989373333343"/>
    <n v="0"/>
    <e v="#N/A"/>
    <e v="#N/A"/>
    <n v="6335.9839874677318"/>
    <n v="105.64339394339848"/>
    <n v="112.8403928807318"/>
    <n v="112.8403928807318"/>
    <n v="47656.504303333335"/>
    <n v="19.703856666666979"/>
    <n v="9.52"/>
    <n v="2.3230010626666653"/>
    <n v="0"/>
    <n v="0"/>
    <n v="1"/>
  </r>
  <r>
    <m/>
    <s v="CERRADO"/>
    <s v="L12:Loja Monte Carmelo"/>
    <s v="MONTE CARMELO"/>
    <s v="2018/2019"/>
    <d v="2018-07-27T00:00:00"/>
    <x v="233"/>
    <s v="1303 F1"/>
    <n v="2943"/>
    <s v="kg"/>
    <s v="ARÁBICA"/>
    <s v="Green"/>
    <n v="45"/>
    <m/>
    <m/>
    <s v="27/07/2018"/>
    <n v="512.83899999999994"/>
    <n v="25159.854149999999"/>
    <s v="BRL"/>
    <n v="3.7158000000000002"/>
    <n v="1735.1151048000002"/>
    <n v="0"/>
    <s v="BRL"/>
    <n v="3.7158000000000002"/>
    <n v="2943"/>
    <n v="0"/>
    <n v="466.95600000000002"/>
    <n v="0"/>
    <n v="7.1969989373333343"/>
    <n v="0"/>
    <e v="#N/A"/>
    <e v="#N/A"/>
    <n v="6260.2900435553574"/>
    <n v="104.35932641015393"/>
    <n v="111.55632534748726"/>
    <n v="111.55632534748726"/>
    <n v="25154.752949999998"/>
    <n v="5.1012000000009721"/>
    <n v="9.52"/>
    <n v="2.3230010626666653"/>
    <n v="0"/>
    <n v="0"/>
    <n v="1"/>
  </r>
  <r>
    <m/>
    <s v="CERRADO"/>
    <s v="L12:Loja Monte Carmelo"/>
    <s v="MONTE CARMELO"/>
    <s v="2018/2019"/>
    <d v="2018-07-27T00:00:00"/>
    <x v="234"/>
    <s v="1303 F1"/>
    <n v="4204"/>
    <s v="kg"/>
    <s v="ARÁBICA"/>
    <s v="Green"/>
    <n v="45"/>
    <m/>
    <m/>
    <s v="27/07/2018"/>
    <n v="716.38019000000008"/>
    <n v="50194.37268"/>
    <s v="BRL"/>
    <n v="3.7158000000000002"/>
    <n v="2478.5674144"/>
    <n v="0"/>
    <s v="BRL"/>
    <n v="3.7158000000000002"/>
    <n v="4204"/>
    <n v="0"/>
    <n v="667.03466666666657"/>
    <n v="0"/>
    <n v="7.1969989373333334"/>
    <n v="0"/>
    <e v="#N/A"/>
    <e v="#N/A"/>
    <n v="8744.942897980256"/>
    <n v="145.74905033419182"/>
    <n v="152.94604927152517"/>
    <n v="152.94604927152517"/>
    <n v="50194.371979333337"/>
    <n v="7.0066666376078501E-4"/>
    <n v="9.52"/>
    <n v="2.3230010626666662"/>
    <n v="0"/>
    <n v="0"/>
    <n v="1"/>
  </r>
  <r>
    <m/>
    <s v="CERRADO"/>
    <s v="L12:Loja Monte Carmelo"/>
    <s v="ROMARIA"/>
    <s v="2018/2019"/>
    <d v="2018-06-06T00:00:00"/>
    <x v="235"/>
    <s v="0172 F1"/>
    <n v="1386"/>
    <s v="kg"/>
    <s v="ARÁBICA"/>
    <s v="Green"/>
    <n v="45"/>
    <m/>
    <m/>
    <d v="2018-03-07T00:00:00"/>
    <n v="442.57084000000003"/>
    <n v="10356.99588"/>
    <s v="BRL"/>
    <n v="3.8914"/>
    <n v="855.76555680000001"/>
    <n v="0"/>
    <s v="BRL"/>
    <n v="3.8914"/>
    <n v="1386"/>
    <n v="0"/>
    <n v="219.91200000000001"/>
    <n v="0"/>
    <n v="7.1969989373333343"/>
    <n v="0"/>
    <n v="3.2454000000000001"/>
    <n v="118.15"/>
    <n v="5158.7283807496233"/>
    <n v="87.102463694675436"/>
    <n v="94.299462632008783"/>
    <n v="94.299462632008783"/>
    <n v="10223.386404000001"/>
    <n v="133.60947599999963"/>
    <n v="9.5200000000000014"/>
    <n v="2.3230010626666671"/>
    <n v="0"/>
    <n v="0"/>
    <n v="1"/>
  </r>
  <r>
    <m/>
    <s v="CERRADO"/>
    <s v="L12:Loja Monte Carmelo"/>
    <s v="ROMARIA"/>
    <s v="2018/2019"/>
    <d v="2018-06-06T00:00:00"/>
    <x v="236"/>
    <s v="0172 F1"/>
    <n v="1025"/>
    <s v="kg"/>
    <s v="ARÁBICA"/>
    <s v="Green"/>
    <n v="45"/>
    <m/>
    <m/>
    <s v="17/07/2018"/>
    <n v="470.95440000000002"/>
    <n v="8048.08475"/>
    <s v="BRL"/>
    <n v="3.8664999999999998"/>
    <n v="628.8217833333332"/>
    <n v="0"/>
    <s v="BRL"/>
    <n v="3.8664999999999998"/>
    <n v="1025"/>
    <n v="0"/>
    <n v="162.6333333333333"/>
    <n v="0"/>
    <n v="7.1969989373333316"/>
    <n v="0"/>
    <e v="#N/A"/>
    <e v="#N/A"/>
    <n v="5524.9275173394026"/>
    <n v="92.112040213172122"/>
    <n v="99.309039150505455"/>
    <n v="99.309039150505455"/>
    <n v="8045.4710000000005"/>
    <n v="2.6137499999995271"/>
    <n v="9.52"/>
    <n v="2.3230010626666679"/>
    <n v="0"/>
    <n v="0"/>
    <n v="1"/>
  </r>
  <r>
    <m/>
    <s v="CERRADO"/>
    <s v="L12:Loja Monte Carmelo"/>
    <s v="ROMARIA"/>
    <s v="2018/2019"/>
    <d v="2018-06-21T00:00:00"/>
    <x v="237"/>
    <s v="0033 F2"/>
    <n v="14600"/>
    <s v="kg"/>
    <s v="ARÁBICA"/>
    <s v="Green"/>
    <n v="55.000000000000007"/>
    <m/>
    <m/>
    <s v="26/06/2018"/>
    <n v="451.94866999999999"/>
    <n v="110011.292"/>
    <s v="BRL"/>
    <n v="3.7715000000000001"/>
    <n v="10682.3966"/>
    <n v="0"/>
    <s v="BRL"/>
    <n v="3.7715000000000001"/>
    <n v="14600"/>
    <n v="0"/>
    <n v="2832.4"/>
    <n v="0"/>
    <n v="8.7996919780000002"/>
    <n v="0"/>
    <e v="#N/A"/>
    <e v="#N/A"/>
    <n v="5435.5155334388937"/>
    <n v="90.622499795768249"/>
    <n v="99.422191773768262"/>
    <n v="99.422191773768262"/>
    <n v="109974.17636666665"/>
    <n v="37.115633333349251"/>
    <n v="11.639999999999999"/>
    <n v="2.8403080219999985"/>
    <n v="0"/>
    <n v="0"/>
    <n v="1"/>
  </r>
  <r>
    <m/>
    <s v="CERRADO"/>
    <s v="L12:Loja Monte Carmelo"/>
    <s v="ROMARIA"/>
    <s v="2018/2019"/>
    <d v="2018-06-22T00:00:00"/>
    <x v="238"/>
    <s v="0391 F2"/>
    <n v="898"/>
    <s v="kg"/>
    <s v="ARÁBICA"/>
    <s v="Green"/>
    <n v="55.000000000000007"/>
    <m/>
    <m/>
    <s v="28/06/2018"/>
    <n v="456.97329999999999"/>
    <n v="6873.741"/>
    <s v="BRL"/>
    <n v="3.8515000000000001"/>
    <n v="670.97751800000015"/>
    <n v="0"/>
    <s v="BRL"/>
    <n v="3.8515000000000001"/>
    <n v="898"/>
    <n v="0"/>
    <n v="174.21200000000002"/>
    <n v="0"/>
    <n v="8.799691978000002"/>
    <n v="0"/>
    <e v="#N/A"/>
    <e v="#N/A"/>
    <n v="5381.788969848657"/>
    <n v="90.147287970011675"/>
    <n v="98.946979948011673"/>
    <n v="98.946979948011673"/>
    <n v="6839.3670566666669"/>
    <n v="34.373943333333045"/>
    <n v="11.64"/>
    <n v="2.8403080219999985"/>
    <n v="0"/>
    <n v="0"/>
    <n v="1"/>
  </r>
  <r>
    <m/>
    <s v="CERRADO"/>
    <s v="L12:Loja Monte Carmelo"/>
    <s v="ROMARIA"/>
    <s v="2018/2019"/>
    <d v="2018-06-25T00:00:00"/>
    <x v="239"/>
    <s v="0172 F1"/>
    <n v="1748"/>
    <s v="kg"/>
    <s v="ARÁBICA"/>
    <s v="Green"/>
    <n v="45"/>
    <m/>
    <m/>
    <s v="26/06/2018"/>
    <n v="457.8383"/>
    <n v="13405.39452"/>
    <s v="BRL"/>
    <n v="3.7715000000000001"/>
    <n v="1046.0230106666666"/>
    <n v="0"/>
    <s v="BRL"/>
    <n v="3.7715000000000001"/>
    <n v="1748"/>
    <n v="0"/>
    <n v="277.34933333333328"/>
    <n v="0"/>
    <n v="7.1969989373333325"/>
    <n v="0"/>
    <e v="#N/A"/>
    <e v="#N/A"/>
    <n v="5506.3491866305449"/>
    <n v="92.233735903653724"/>
    <n v="99.430734840987057"/>
    <n v="99.430734840987057"/>
    <n v="13338.355806666666"/>
    <n v="67.038713333333362"/>
    <n v="9.52"/>
    <n v="2.3230010626666671"/>
    <n v="0"/>
    <n v="0"/>
    <n v="1"/>
  </r>
  <r>
    <m/>
    <s v="CERRADO"/>
    <s v="L12:Loja Monte Carmelo"/>
    <s v="ROMARIA"/>
    <s v="2018/2019"/>
    <d v="2018-06-25T00:00:00"/>
    <x v="240"/>
    <s v="0033 F2"/>
    <n v="15540"/>
    <s v="kg"/>
    <s v="ARÁBICA"/>
    <s v="Green"/>
    <n v="55.000000000000007"/>
    <m/>
    <m/>
    <s v="26/06/2018"/>
    <n v="455.04587999999995"/>
    <n v="117896.38559999999"/>
    <s v="BRL"/>
    <n v="3.7715000000000001"/>
    <n v="11370.16734"/>
    <n v="0"/>
    <s v="BRL"/>
    <n v="3.7715000000000001"/>
    <n v="15540"/>
    <n v="0"/>
    <n v="3014.7599999999998"/>
    <n v="0"/>
    <n v="8.7996919780000002"/>
    <n v="0"/>
    <e v="#N/A"/>
    <e v="#N/A"/>
    <n v="5472.7651907181653"/>
    <n v="91.243325412615661"/>
    <n v="100.04301739061567"/>
    <n v="100.04301739061567"/>
    <n v="117856.88291999999"/>
    <n v="39.502680000005057"/>
    <n v="11.639999999999999"/>
    <n v="2.8403080219999985"/>
    <n v="0"/>
    <n v="0"/>
    <n v="1"/>
  </r>
  <r>
    <m/>
    <s v="CERRADO"/>
    <s v="L12:Loja Monte Carmelo"/>
    <s v="ROMARIA"/>
    <s v="2018/2019"/>
    <d v="2018-06-25T00:00:00"/>
    <x v="241"/>
    <s v="0393 F1"/>
    <n v="7007"/>
    <s v="kg"/>
    <s v="ARÁBICA"/>
    <s v="Green"/>
    <n v="45"/>
    <m/>
    <m/>
    <d v="2018-04-07T00:00:00"/>
    <n v="442.56448000000006"/>
    <n v="52515.503040000003"/>
    <s v="BRL"/>
    <n v="3.9051999999999998"/>
    <n v="4341.7128421333327"/>
    <n v="0"/>
    <s v="BRL"/>
    <n v="3.9051999999999998"/>
    <n v="7007"/>
    <n v="0"/>
    <n v="1111.7773333333332"/>
    <n v="0"/>
    <n v="7.1969989373333325"/>
    <n v="0"/>
    <n v="3.3696999999999999"/>
    <n v="116.8"/>
    <n v="5140.4248530425493"/>
    <n v="87.051823396660865"/>
    <n v="94.248822333994212"/>
    <n v="94.248822333994212"/>
    <n v="51684.155189333345"/>
    <n v="831.34785066665791"/>
    <n v="9.52"/>
    <n v="2.3230010626666671"/>
    <n v="0"/>
    <n v="0"/>
    <n v="1"/>
  </r>
  <r>
    <m/>
    <s v="CERRADO"/>
    <s v="L12:Loja Monte Carmelo"/>
    <s v="ROMARIA"/>
    <s v="2018/2019"/>
    <d v="2018-06-25T00:00:00"/>
    <x v="242"/>
    <s v="0393 F1"/>
    <n v="8983"/>
    <s v="kg"/>
    <s v="ARÁBICA"/>
    <s v="Green"/>
    <n v="45"/>
    <m/>
    <m/>
    <s v="13/07/2018"/>
    <n v="437.59391999999997"/>
    <n v="66437.190040000001"/>
    <s v="BRL"/>
    <n v="3.8738999999999999"/>
    <n v="5521.4800003999999"/>
    <n v="0"/>
    <s v="BRL"/>
    <n v="3.8738999999999999"/>
    <n v="8983"/>
    <n v="0"/>
    <n v="1425.3026666666667"/>
    <n v="0"/>
    <n v="7.1969989373333325"/>
    <n v="0"/>
    <e v="#N/A"/>
    <e v="#N/A"/>
    <n v="5123.7580544255243"/>
    <n v="86.597866166798312"/>
    <n v="93.794865104131645"/>
    <n v="93.794865104131645"/>
    <n v="65515.103055999993"/>
    <n v="922.08698400000867"/>
    <n v="9.5199999999999978"/>
    <n v="2.3230010626666653"/>
    <n v="0"/>
    <n v="0"/>
    <n v="1"/>
  </r>
  <r>
    <m/>
    <s v="CERRADO"/>
    <s v="L12:Loja Monte Carmelo"/>
    <s v="ROMARIA"/>
    <s v="2018/2019"/>
    <d v="2018-06-25T00:00:00"/>
    <x v="243"/>
    <s v="0172 F1"/>
    <n v="362"/>
    <s v="kg"/>
    <s v="ARÁBICA"/>
    <s v="Green"/>
    <n v="45"/>
    <m/>
    <m/>
    <s v="17/07/2018"/>
    <n v="476.94759999999997"/>
    <n v="2878.53712"/>
    <s v="BRL"/>
    <n v="3.8664999999999998"/>
    <n v="222.0814493333333"/>
    <n v="0"/>
    <s v="BRL"/>
    <n v="3.8664999999999998"/>
    <n v="362"/>
    <n v="0"/>
    <n v="57.437333333333328"/>
    <n v="0"/>
    <n v="7.1969989373333325"/>
    <n v="0"/>
    <e v="#N/A"/>
    <e v="#N/A"/>
    <n v="5595.2358011072556"/>
    <n v="93.284822554537698"/>
    <n v="100.48182149187103"/>
    <n v="100.48182149187103"/>
    <n v="2877.5838533333331"/>
    <n v="0.95326666666687743"/>
    <n v="9.52"/>
    <n v="2.3230010626666671"/>
    <n v="0"/>
    <n v="0"/>
    <n v="1"/>
  </r>
  <r>
    <m/>
    <s v="CERRADO"/>
    <s v="L12:Loja Monte Carmelo"/>
    <s v="ROMARIA"/>
    <s v="2018/2019"/>
    <d v="2018-06-26T00:00:00"/>
    <x v="244"/>
    <s v="0033 F2"/>
    <n v="9570"/>
    <s v="kg"/>
    <s v="ARÁBICA"/>
    <s v="Green"/>
    <n v="55.000000000000007"/>
    <m/>
    <m/>
    <s v="26/06/2018"/>
    <n v="452.98068000000001"/>
    <n v="72274.7454"/>
    <s v="BRL"/>
    <n v="3.7715000000000001"/>
    <n v="7002.0914700000003"/>
    <n v="0"/>
    <s v="BRL"/>
    <n v="3.7715000000000001"/>
    <n v="9570"/>
    <n v="0"/>
    <n v="1856.5800000000002"/>
    <n v="0"/>
    <n v="8.7996919780000002"/>
    <n v="0"/>
    <e v="#N/A"/>
    <e v="#N/A"/>
    <n v="5447.9273553072144"/>
    <n v="90.829361489099838"/>
    <n v="99.629053467099837"/>
    <n v="99.629053467099837"/>
    <n v="72250.418460000001"/>
    <n v="24.326939999999013"/>
    <n v="11.64"/>
    <n v="2.8403080220000003"/>
    <n v="0"/>
    <n v="0"/>
    <n v="1"/>
  </r>
  <r>
    <m/>
    <s v="CERRADO"/>
    <s v="L12:Loja Monte Carmelo"/>
    <s v="ROMARIA"/>
    <s v="2018/2019"/>
    <d v="2018-06-26T00:00:00"/>
    <x v="245"/>
    <s v="0393 F1"/>
    <n v="6668"/>
    <s v="kg"/>
    <s v="ARÁBICA"/>
    <s v="Green"/>
    <n v="45"/>
    <m/>
    <m/>
    <d v="2018-04-07T00:00:00"/>
    <n v="437.26488000000001"/>
    <n v="49376.406640000001"/>
    <s v="BRL"/>
    <n v="3.9051999999999998"/>
    <n v="4131.6599445333331"/>
    <n v="0"/>
    <s v="BRL"/>
    <n v="3.9051999999999998"/>
    <n v="6668"/>
    <n v="0"/>
    <n v="1057.9893333333334"/>
    <n v="0"/>
    <n v="7.1969989373333343"/>
    <n v="0"/>
    <n v="3.3696999999999999"/>
    <n v="116.8"/>
    <n v="5078.8695389984023"/>
    <n v="86.009485506570726"/>
    <n v="93.206484443904074"/>
    <n v="93.206484443904074"/>
    <n v="48594.703664000001"/>
    <n v="781.70297600000049"/>
    <n v="9.52"/>
    <n v="2.3230010626666653"/>
    <n v="0"/>
    <n v="0"/>
    <n v="1"/>
  </r>
  <r>
    <m/>
    <s v="CERRADO"/>
    <s v="L12:Loja Monte Carmelo"/>
    <s v="ROMARIA"/>
    <s v="2018/2019"/>
    <d v="2018-06-26T00:00:00"/>
    <x v="246"/>
    <s v="0393 F1"/>
    <n v="6008"/>
    <s v="kg"/>
    <s v="ARÁBICA"/>
    <s v="Green"/>
    <n v="45"/>
    <m/>
    <m/>
    <s v="13/07/2018"/>
    <n v="432.29452000000003"/>
    <n v="43896.370560000003"/>
    <s v="BRL"/>
    <n v="3.8738999999999999"/>
    <n v="3692.8700704000003"/>
    <n v="0"/>
    <s v="BRL"/>
    <n v="3.8738999999999999"/>
    <n v="6008"/>
    <n v="0"/>
    <n v="953.26933333333341"/>
    <n v="0"/>
    <n v="7.1969989373333352"/>
    <n v="0"/>
    <e v="#N/A"/>
    <e v="#N/A"/>
    <n v="5061.7077328999821"/>
    <n v="85.549214093765983"/>
    <n v="92.746213031099316"/>
    <n v="92.746213031099316"/>
    <n v="43287.091269333338"/>
    <n v="609.27929066666547"/>
    <n v="9.52"/>
    <n v="2.3230010626666644"/>
    <n v="0"/>
    <n v="0"/>
    <n v="1"/>
  </r>
  <r>
    <m/>
    <s v="CERRADO"/>
    <s v="L12:Loja Monte Carmelo"/>
    <s v="ROMARIA"/>
    <s v="2018/2019"/>
    <d v="2018-06-26T00:00:00"/>
    <x v="247"/>
    <s v="0393 F1"/>
    <n v="3484"/>
    <s v="kg"/>
    <s v="ARÁBICA"/>
    <s v="Green"/>
    <n v="45"/>
    <m/>
    <m/>
    <s v="25/07/2018"/>
    <n v="416.37551999999994"/>
    <n v="24517.848679999996"/>
    <s v="BRL"/>
    <n v="3.7113999999999998"/>
    <n v="2051.6421258666664"/>
    <n v="0"/>
    <s v="BRL"/>
    <n v="3.7113999999999998"/>
    <n v="3484"/>
    <n v="0"/>
    <n v="552.79466666666667"/>
    <n v="0"/>
    <n v="7.1969989373333325"/>
    <n v="0"/>
    <e v="#N/A"/>
    <e v="#N/A"/>
    <n v="5088.7740186124474"/>
    <n v="86.006681511825732"/>
    <n v="93.203680449159052"/>
    <n v="93.203680449159052"/>
    <n v="24177.538527999997"/>
    <n v="340.3101519999982"/>
    <n v="9.52"/>
    <n v="2.3230010626666671"/>
    <n v="0"/>
    <n v="0"/>
    <n v="1"/>
  </r>
  <r>
    <m/>
    <s v="CERRADO"/>
    <s v="L12:Loja Monte Carmelo"/>
    <s v="ROMARIA"/>
    <s v="2018/2019"/>
    <d v="2018-06-28T00:00:00"/>
    <x v="248"/>
    <s v="0086 F1"/>
    <n v="4730"/>
    <s v="kg"/>
    <s v="ARÁBICA"/>
    <s v="Green"/>
    <n v="55.000000000000007"/>
    <m/>
    <m/>
    <s v="28/06/2018"/>
    <n v="461.01859999999999"/>
    <n v="36526.289799999999"/>
    <s v="BRL"/>
    <n v="3.8515000000000001"/>
    <n v="3534.2134300000002"/>
    <n v="0"/>
    <s v="BRL"/>
    <n v="3.8515000000000001"/>
    <n v="4730"/>
    <n v="0"/>
    <n v="917.62"/>
    <n v="0"/>
    <n v="8.799691978000002"/>
    <n v="0"/>
    <e v="#N/A"/>
    <e v="#N/A"/>
    <n v="5429.4305955623004"/>
    <n v="90.945299627578862"/>
    <n v="99.744991605578875"/>
    <n v="99.744991605578875"/>
    <n v="36343.632966666672"/>
    <n v="182.65683333332709"/>
    <n v="11.639999999999999"/>
    <n v="2.8403080219999968"/>
    <n v="0"/>
    <n v="0"/>
    <n v="1"/>
  </r>
  <r>
    <m/>
    <s v="CERRADO"/>
    <s v="L12:Loja Monte Carmelo"/>
    <s v="ROMARIA"/>
    <s v="2018/2019"/>
    <d v="2018-06-29T00:00:00"/>
    <x v="249"/>
    <s v="0008 F4"/>
    <n v="19230"/>
    <s v="kg"/>
    <s v="ARÁBICA"/>
    <s v="Green"/>
    <n v="55.000000000000007"/>
    <m/>
    <m/>
    <d v="2018-02-07T00:00:00"/>
    <n v="498.60880000000003"/>
    <n v="159825.72210000001"/>
    <s v="BRL"/>
    <n v="3.9049"/>
    <n v="14567.698038000002"/>
    <n v="0"/>
    <s v="BRL"/>
    <n v="3.9049"/>
    <n v="19230"/>
    <n v="0"/>
    <n v="3730.6200000000003"/>
    <n v="0"/>
    <n v="8.7996919780000038"/>
    <n v="0"/>
    <n v="3.2713999999999999"/>
    <n v="122.6"/>
    <n v="5791.8294269982853"/>
    <n v="96.543539066554857"/>
    <n v="105.34323104455487"/>
    <n v="105.34323104455487"/>
    <n v="159804.12040000001"/>
    <n v="21.601699999999255"/>
    <n v="11.64"/>
    <n v="2.8403080219999968"/>
    <n v="0"/>
    <n v="0"/>
    <n v="1"/>
  </r>
  <r>
    <m/>
    <s v="CERRADO"/>
    <s v="L12:Loja Monte Carmelo"/>
    <s v="ROMARIA"/>
    <s v="2018/2019"/>
    <d v="2018-06-29T00:00:00"/>
    <x v="250"/>
    <s v="0516 F1"/>
    <n v="2396"/>
    <s v="kg"/>
    <s v="ARÁBICA"/>
    <s v="Green"/>
    <n v="45"/>
    <m/>
    <m/>
    <d v="2018-04-07T00:00:00"/>
    <n v="448.92600000000004"/>
    <n v="18197.428319999999"/>
    <s v="BRL"/>
    <n v="3.9051999999999998"/>
    <n v="1484.6216597333332"/>
    <n v="0"/>
    <s v="BRL"/>
    <n v="3.9051999999999998"/>
    <n v="2396"/>
    <n v="0"/>
    <n v="380.16533333333331"/>
    <n v="0"/>
    <n v="7.1969989373333334"/>
    <n v="0"/>
    <n v="3.3696999999999999"/>
    <n v="116.8"/>
    <n v="5214.3144600691385"/>
    <n v="88.215655094755718"/>
    <n v="95.412654032089037"/>
    <n v="95.412654032089037"/>
    <n v="17927.1116"/>
    <n v="270.3167199999989"/>
    <n v="9.52"/>
    <n v="2.3230010626666662"/>
    <n v="0"/>
    <n v="0"/>
    <n v="1"/>
  </r>
  <r>
    <m/>
    <s v="CERRADO"/>
    <s v="L12:Loja Monte Carmelo"/>
    <s v="ROMARIA"/>
    <s v="2018/2019"/>
    <d v="2018-06-29T00:00:00"/>
    <x v="251"/>
    <s v="0516 F1"/>
    <n v="3294"/>
    <s v="kg"/>
    <s v="ARÁBICA"/>
    <s v="Green"/>
    <n v="45"/>
    <m/>
    <m/>
    <d v="2018-10-07T00:00:00"/>
    <n v="447.9538"/>
    <n v="24716.265479999998"/>
    <s v="BRL"/>
    <n v="3.8445999999999998"/>
    <n v="2009.3725007999999"/>
    <n v="0"/>
    <s v="BRL"/>
    <n v="3.8445999999999998"/>
    <n v="3294"/>
    <n v="0"/>
    <n v="522.64800000000002"/>
    <n v="0"/>
    <n v="7.1969989373333334"/>
    <n v="0"/>
    <n v="4.1306000000000003"/>
    <n v="109.55"/>
    <n v="5285.0342244318263"/>
    <n v="88.526610334115389"/>
    <n v="95.723609271448709"/>
    <n v="95.723609271448709"/>
    <n v="24592.663619999999"/>
    <n v="123.60185999999885"/>
    <n v="9.52"/>
    <n v="2.3230010626666662"/>
    <n v="0"/>
    <n v="0"/>
    <n v="1"/>
  </r>
  <r>
    <m/>
    <s v="CERRADO"/>
    <s v="L12:Loja Monte Carmelo"/>
    <s v="ROMARIA"/>
    <s v="2018/2019"/>
    <d v="2018-07-02T00:00:00"/>
    <x v="252"/>
    <s v="0086 F1"/>
    <n v="7110"/>
    <s v="kg"/>
    <s v="ARÁBICA"/>
    <s v="Green"/>
    <n v="55.000000000000007"/>
    <m/>
    <m/>
    <d v="2018-03-07T00:00:00"/>
    <n v="451.05739999999997"/>
    <n v="53987.580900000001"/>
    <s v="BRL"/>
    <n v="3.8914"/>
    <n v="5367.5636759999998"/>
    <n v="0"/>
    <s v="BRL"/>
    <n v="3.8914"/>
    <n v="7110"/>
    <n v="0"/>
    <n v="1379.34"/>
    <n v="0"/>
    <n v="8.7996919780000002"/>
    <n v="0"/>
    <n v="3.2454000000000001"/>
    <n v="118.15"/>
    <n v="5257.650076374518"/>
    <n v="88.50832728478953"/>
    <n v="97.308019262789543"/>
    <n v="97.308019262789543"/>
    <n v="53450.301899999991"/>
    <n v="537.27900000000955"/>
    <n v="11.64"/>
    <n v="2.8403080220000003"/>
    <n v="0"/>
    <n v="0"/>
    <n v="1"/>
  </r>
  <r>
    <m/>
    <s v="CERRADO"/>
    <s v="L12:Loja Monte Carmelo"/>
    <s v="ROMARIA"/>
    <s v="2018/2019"/>
    <d v="2018-07-02T00:00:00"/>
    <x v="253"/>
    <s v="0008 F4"/>
    <n v="9007"/>
    <s v="kg"/>
    <s v="ARÁBICA"/>
    <s v="Green"/>
    <n v="55.000000000000007"/>
    <m/>
    <m/>
    <d v="2018-09-07T00:00:00"/>
    <n v="494.88079999999997"/>
    <n v="74294.960059999998"/>
    <s v="BRL"/>
    <n v="3.8679999999999999"/>
    <n v="6758.7807439999997"/>
    <n v="0"/>
    <s v="BRL"/>
    <n v="3.8679999999999999"/>
    <n v="9007"/>
    <n v="0"/>
    <n v="1747.3579999999999"/>
    <n v="0"/>
    <n v="8.7996919780000002"/>
    <n v="0"/>
    <n v="4.1306000000000003"/>
    <n v="109.55"/>
    <n v="5803.364915705688"/>
    <n v="96.729393778040333"/>
    <n v="105.52908575604035"/>
    <n v="105.52908575604035"/>
    <n v="74289.856093333336"/>
    <n v="5.1039666666620178"/>
    <n v="11.64"/>
    <n v="2.8403080220000003"/>
    <n v="0"/>
    <n v="0"/>
    <n v="1"/>
  </r>
  <r>
    <m/>
    <s v="CERRADO"/>
    <s v="L12:Loja Monte Carmelo"/>
    <s v="ROMARIA"/>
    <s v="2018/2019"/>
    <d v="2018-07-02T00:00:00"/>
    <x v="254"/>
    <s v="0008 F4"/>
    <n v="4743"/>
    <s v="kg"/>
    <s v="ARÁBICA"/>
    <s v="Green"/>
    <n v="55.000000000000007"/>
    <m/>
    <m/>
    <s v="19/07/2018"/>
    <n v="538.04269999999997"/>
    <n v="42537.832649999997"/>
    <s v="BRL"/>
    <n v="3.8841000000000001"/>
    <n v="3573.9235422000002"/>
    <n v="0"/>
    <s v="BRL"/>
    <n v="3.8841000000000001"/>
    <n v="4743"/>
    <n v="0"/>
    <n v="920.14200000000005"/>
    <n v="0"/>
    <n v="8.7996919780000002"/>
    <n v="0"/>
    <e v="#N/A"/>
    <e v="#N/A"/>
    <n v="6283.362000314075"/>
    <n v="104.73638294491644"/>
    <n v="113.53607492291644"/>
    <n v="113.53607492291644"/>
    <n v="42532.275434999996"/>
    <n v="5.5572150000007241"/>
    <n v="11.64"/>
    <n v="2.8403080220000003"/>
    <n v="0"/>
    <n v="0"/>
    <n v="1"/>
  </r>
  <r>
    <m/>
    <s v="CERRADO"/>
    <s v="L12:Loja Monte Carmelo"/>
    <s v="ROMARIA"/>
    <s v="2018/2019"/>
    <d v="2018-07-03T00:00:00"/>
    <x v="255"/>
    <s v="0134 F2"/>
    <n v="898"/>
    <s v="kg"/>
    <s v="ARÁBICA"/>
    <s v="Green"/>
    <n v="55.000000000000007"/>
    <m/>
    <m/>
    <d v="2018-09-07T00:00:00"/>
    <n v="442.44760000000002"/>
    <n v="6688.53748"/>
    <s v="BRL"/>
    <n v="3.8679999999999999"/>
    <n v="673.85201599999994"/>
    <n v="0"/>
    <s v="BRL"/>
    <n v="3.8679999999999999"/>
    <n v="898"/>
    <n v="0"/>
    <n v="174.21199999999999"/>
    <n v="0"/>
    <n v="8.7996919780000002"/>
    <n v="0"/>
    <n v="4.1306000000000003"/>
    <n v="109.55"/>
    <n v="5188.4916102588413"/>
    <n v="87.344206457502594"/>
    <n v="96.143898435502592"/>
    <n v="96.143898435502592"/>
    <n v="6621.9657466666667"/>
    <n v="66.571733333333214"/>
    <n v="11.64"/>
    <n v="2.8403080220000003"/>
    <n v="0"/>
    <n v="0"/>
    <n v="1"/>
  </r>
  <r>
    <m/>
    <s v="CERRADO"/>
    <s v="L12:Loja Monte Carmelo"/>
    <s v="ROMARIA"/>
    <s v="2018/2019"/>
    <d v="2018-07-03T00:00:00"/>
    <x v="256"/>
    <s v="0134 F2"/>
    <n v="1198"/>
    <s v="kg"/>
    <s v="ARÁBICA"/>
    <s v="Green"/>
    <n v="55.000000000000007"/>
    <m/>
    <m/>
    <s v="18/07/2018"/>
    <n v="420.56920000000002"/>
    <n v="8439.5745599999991"/>
    <s v="BRL"/>
    <n v="3.8468"/>
    <n v="894.04248159999997"/>
    <n v="0"/>
    <s v="BRL"/>
    <n v="3.8468"/>
    <n v="1198"/>
    <n v="0"/>
    <n v="232.41200000000001"/>
    <n v="0"/>
    <n v="8.7996919780000002"/>
    <n v="0"/>
    <e v="#N/A"/>
    <e v="#N/A"/>
    <n v="4959.1083543985651"/>
    <n v="83.067256961276897"/>
    <n v="91.866948939276895"/>
    <n v="91.866948939276895"/>
    <n v="8397.3650266666682"/>
    <n v="42.20953333333091"/>
    <n v="11.64"/>
    <n v="2.8403080220000003"/>
    <n v="0"/>
    <n v="0"/>
    <n v="1"/>
  </r>
  <r>
    <m/>
    <s v="CERRADO"/>
    <s v="L12:Loja Monte Carmelo"/>
    <s v="ROMARIA"/>
    <s v="2018/2019"/>
    <d v="2018-07-03T00:00:00"/>
    <x v="257"/>
    <s v="0134 F2"/>
    <n v="8324"/>
    <s v="kg"/>
    <s v="ARÁBICA"/>
    <s v="Green"/>
    <n v="55.000000000000007"/>
    <m/>
    <m/>
    <s v="27/07/2018"/>
    <n v="467.20600000000002"/>
    <n v="64838.133199999997"/>
    <s v="BRL"/>
    <n v="3.7158000000000002"/>
    <n v="6000.4819248000003"/>
    <n v="0"/>
    <s v="BRL"/>
    <n v="3.7158000000000002"/>
    <n v="8324"/>
    <n v="0"/>
    <n v="1614.856"/>
    <n v="0"/>
    <n v="8.7996919780000002"/>
    <n v="0"/>
    <e v="#N/A"/>
    <e v="#N/A"/>
    <n v="5703.242284789816"/>
    <n v="95.084962797809339"/>
    <n v="103.88465477580932"/>
    <n v="103.88465477580932"/>
    <n v="64817.045733333332"/>
    <n v="21.087466666664113"/>
    <n v="11.64"/>
    <n v="2.8403080220000003"/>
    <n v="0"/>
    <n v="0"/>
    <n v="1"/>
  </r>
  <r>
    <m/>
    <s v="CERRADO"/>
    <s v="L12:Loja Monte Carmelo"/>
    <s v="ROMARIA"/>
    <s v="2018/2019"/>
    <d v="2018-07-04T00:00:00"/>
    <x v="258"/>
    <s v="0086 F1"/>
    <n v="3760"/>
    <s v="kg"/>
    <s v="ARÁBICA"/>
    <s v="Green"/>
    <n v="55.000000000000007"/>
    <m/>
    <m/>
    <d v="2018-05-07T00:00:00"/>
    <n v="445.95280000000002"/>
    <n v="28227.297600000002"/>
    <s v="BRL"/>
    <n v="3.9186000000000001"/>
    <n v="2858.3835840000002"/>
    <n v="0"/>
    <s v="BRL"/>
    <n v="3.9186000000000001"/>
    <n v="3760"/>
    <n v="0"/>
    <n v="729.44"/>
    <n v="0"/>
    <n v="8.7996919780000002"/>
    <n v="0"/>
    <n v="3.5533999999999999"/>
    <n v="118.45"/>
    <n v="5162.067765531976"/>
    <n v="86.899297085852083"/>
    <n v="95.698989063852096"/>
    <n v="95.698989063852096"/>
    <n v="27946.375466666668"/>
    <n v="280.92213333333348"/>
    <n v="11.64"/>
    <n v="2.8403080220000003"/>
    <n v="0"/>
    <n v="0"/>
    <n v="1"/>
  </r>
  <r>
    <m/>
    <s v="CERRADO"/>
    <s v="L12:Loja Monte Carmelo"/>
    <s v="ROMARIA"/>
    <s v="2018/2019"/>
    <d v="2018-07-04T00:00:00"/>
    <x v="259"/>
    <s v="0392 F1"/>
    <n v="2037"/>
    <s v="kg"/>
    <s v="ARÁBICA"/>
    <s v="Green"/>
    <n v="45"/>
    <m/>
    <m/>
    <d v="2018-09-07T00:00:00"/>
    <n v="448.81879999999995"/>
    <n v="15312.08826"/>
    <s v="BRL"/>
    <n v="3.8679999999999999"/>
    <n v="1250.1530719999998"/>
    <n v="0"/>
    <s v="BRL"/>
    <n v="3.8679999999999999"/>
    <n v="2037"/>
    <n v="0"/>
    <n v="323.20399999999995"/>
    <n v="0"/>
    <n v="7.1969989373333325"/>
    <n v="0"/>
    <n v="4.1306000000000003"/>
    <n v="109.55"/>
    <n v="5263.2053565810747"/>
    <n v="88.150071702238904"/>
    <n v="95.347070639572223"/>
    <n v="95.347070639572223"/>
    <n v="15237.398259999998"/>
    <n v="74.690000000002328"/>
    <n v="9.5200000000000014"/>
    <n v="2.3230010626666688"/>
    <n v="0"/>
    <n v="0"/>
    <n v="1"/>
  </r>
  <r>
    <m/>
    <s v="CERRADO"/>
    <s v="L12:Loja Monte Carmelo"/>
    <s v="ROMARIA"/>
    <s v="2018/2019"/>
    <d v="2018-07-05T00:00:00"/>
    <x v="260"/>
    <s v="0038 F1"/>
    <n v="15820"/>
    <s v="kg"/>
    <s v="ARÁBICA"/>
    <s v="Green"/>
    <n v="45"/>
    <m/>
    <m/>
    <s v="17/07/2018"/>
    <n v="510.90530000000001"/>
    <n v="134749.69760000001"/>
    <s v="BRL"/>
    <n v="3.8664999999999998"/>
    <n v="9705.3274266666649"/>
    <n v="0"/>
    <s v="BRL"/>
    <n v="3.8664999999999998"/>
    <n v="15820"/>
    <n v="0"/>
    <n v="2510.1066666666661"/>
    <n v="0"/>
    <n v="7.1969989373333325"/>
    <n v="0"/>
    <e v="#N/A"/>
    <e v="#N/A"/>
    <n v="5993.6052210671414"/>
    <n v="99.923824081251794"/>
    <n v="107.12082301858511"/>
    <n v="107.12082301858511"/>
    <n v="134708.69743333332"/>
    <n v="41.000166666693985"/>
    <n v="9.52"/>
    <n v="2.3230010626666671"/>
    <n v="0"/>
    <n v="0"/>
    <n v="1"/>
  </r>
  <r>
    <m/>
    <s v="CERRADO"/>
    <s v="L12:Loja Monte Carmelo"/>
    <s v="ROMARIA"/>
    <s v="2018/2019"/>
    <d v="2018-07-05T00:00:00"/>
    <x v="261"/>
    <s v="0393 F1"/>
    <n v="14950"/>
    <s v="kg"/>
    <s v="ARÁBICA"/>
    <s v="Green"/>
    <n v="45"/>
    <m/>
    <m/>
    <s v="27/07/2018"/>
    <n v="489.15910000000008"/>
    <n v="121921.58550000002"/>
    <s v="BRL"/>
    <n v="3.7158000000000002"/>
    <n v="8814.125320000001"/>
    <n v="0"/>
    <s v="BRL"/>
    <n v="3.7158000000000002"/>
    <n v="14950"/>
    <n v="0"/>
    <n v="2372.0666666666666"/>
    <n v="0"/>
    <n v="7.1969989373333352"/>
    <n v="0"/>
    <e v="#N/A"/>
    <e v="#N/A"/>
    <n v="5971.226532000298"/>
    <n v="99.552648666163421"/>
    <n v="106.74964760349677"/>
    <n v="106.74964760349677"/>
    <n v="121882.14241666668"/>
    <n v="39.443083333331742"/>
    <n v="9.52"/>
    <n v="2.3230010626666644"/>
    <n v="0"/>
    <n v="0"/>
    <n v="1"/>
  </r>
  <r>
    <m/>
    <s v="CERRADO"/>
    <s v="L12:Loja Monte Carmelo"/>
    <s v="ROMARIA"/>
    <s v="2018/2019"/>
    <d v="2018-07-06T00:00:00"/>
    <x v="262"/>
    <s v="0086 F1"/>
    <n v="1200"/>
    <s v="kg"/>
    <s v="ARÁBICA"/>
    <s v="Green"/>
    <n v="55.000000000000007"/>
    <m/>
    <m/>
    <d v="2018-11-07T00:00:00"/>
    <n v="449.00479999999999"/>
    <n v="9060.0959999999995"/>
    <s v="BRL"/>
    <n v="3.8411"/>
    <n v="894.20808000000011"/>
    <n v="0"/>
    <s v="BRL"/>
    <n v="3.8411"/>
    <n v="1200"/>
    <n v="0"/>
    <n v="232.80000000000004"/>
    <n v="0"/>
    <n v="8.7996919780000002"/>
    <n v="0"/>
    <n v="4.1306000000000003"/>
    <n v="109.55"/>
    <n v="5302.2611068021142"/>
    <n v="89.158279682632582"/>
    <n v="97.957971660632566"/>
    <n v="97.957971660632566"/>
    <n v="8980.0959999999995"/>
    <n v="80"/>
    <n v="11.64"/>
    <n v="2.8403080220000003"/>
    <n v="0"/>
    <n v="0"/>
    <n v="1"/>
  </r>
  <r>
    <m/>
    <s v="CERRADO"/>
    <s v="L12:Loja Monte Carmelo"/>
    <s v="ROMARIA"/>
    <s v="2018/2019"/>
    <d v="2018-07-06T00:00:00"/>
    <x v="263"/>
    <s v="0038 F1"/>
    <n v="18350"/>
    <s v="kg"/>
    <s v="ARÁBICA"/>
    <s v="Green"/>
    <n v="45"/>
    <m/>
    <m/>
    <s v="17/07/2018"/>
    <n v="509.68549999999988"/>
    <n v="155926.37249999997"/>
    <s v="BRL"/>
    <n v="3.8664999999999998"/>
    <n v="11257.443633333331"/>
    <n v="0"/>
    <s v="BRL"/>
    <n v="3.8664999999999998"/>
    <n v="18350"/>
    <n v="0"/>
    <n v="2911.5333333333328"/>
    <n v="0"/>
    <n v="7.1969989373333316"/>
    <n v="0"/>
    <e v="#N/A"/>
    <e v="#N/A"/>
    <n v="5979.295329099572"/>
    <n v="99.685325881792295"/>
    <n v="106.88232481912564"/>
    <n v="106.88232481912564"/>
    <n v="155878.81541666662"/>
    <n v="47.557083333347691"/>
    <n v="9.52"/>
    <n v="2.3230010626666679"/>
    <n v="0"/>
    <n v="0"/>
    <n v="1"/>
  </r>
  <r>
    <m/>
    <s v="CERRADO"/>
    <s v="L12:Loja Monte Carmelo"/>
    <s v="ROMARIA"/>
    <s v="2018/2019"/>
    <d v="2018-07-06T00:00:00"/>
    <x v="264"/>
    <s v="0086 F1"/>
    <n v="4380"/>
    <s v="kg"/>
    <s v="ARÁBICA"/>
    <s v="Green"/>
    <n v="55.000000000000007"/>
    <m/>
    <m/>
    <s v="17/07/2018"/>
    <n v="504.7002"/>
    <n v="36852.312599999997"/>
    <s v="BRL"/>
    <n v="3.8664999999999998"/>
    <n v="3285.44238"/>
    <n v="0"/>
    <s v="BRL"/>
    <n v="3.8664999999999998"/>
    <n v="4380"/>
    <n v="0"/>
    <n v="849.72"/>
    <n v="0"/>
    <n v="8.7996919780000002"/>
    <n v="0"/>
    <e v="#N/A"/>
    <e v="#N/A"/>
    <n v="5920.8110657564739"/>
    <n v="98.704820249189183"/>
    <n v="107.5045122271892"/>
    <n v="107.5045122271892"/>
    <n v="36843.114600000001"/>
    <n v="9.1979999999966822"/>
    <n v="11.64"/>
    <n v="2.8403080220000003"/>
    <n v="0"/>
    <n v="0"/>
    <n v="1"/>
  </r>
  <r>
    <m/>
    <s v="CERRADO"/>
    <s v="L12:Loja Monte Carmelo"/>
    <s v="ROMARIA"/>
    <s v="2018/2019"/>
    <d v="2018-07-06T00:00:00"/>
    <x v="265"/>
    <s v="0008 F4"/>
    <n v="9491"/>
    <s v="kg"/>
    <s v="ARÁBICA"/>
    <s v="Green"/>
    <n v="45"/>
    <m/>
    <m/>
    <s v="19/07/2018"/>
    <n v="542.02249999999992"/>
    <n v="85750.04608"/>
    <s v="BRL"/>
    <n v="3.8841000000000001"/>
    <n v="5849.0869051999998"/>
    <n v="0"/>
    <s v="BRL"/>
    <n v="3.8841000000000001"/>
    <n v="9491"/>
    <n v="0"/>
    <n v="1505.9053333333331"/>
    <n v="0"/>
    <n v="7.1969989373333316"/>
    <n v="0"/>
    <e v="#N/A"/>
    <e v="#N/A"/>
    <n v="6329.8388395851025"/>
    <n v="105.5109969327669"/>
    <n v="112.70799587010025"/>
    <n v="112.70799587010025"/>
    <n v="85738.925791666654"/>
    <n v="11.120288333346252"/>
    <n v="9.5199999999999978"/>
    <n v="2.3230010626666662"/>
    <n v="0"/>
    <n v="0"/>
    <n v="1"/>
  </r>
  <r>
    <m/>
    <s v="CERRADO"/>
    <s v="L12:Loja Monte Carmelo"/>
    <s v="ROMARIA"/>
    <s v="2018/2019"/>
    <d v="2018-07-06T00:00:00"/>
    <x v="266"/>
    <s v="0008 F4"/>
    <n v="6487"/>
    <s v="kg"/>
    <s v="ARÁBICA"/>
    <s v="Green"/>
    <n v="45"/>
    <m/>
    <m/>
    <s v="27/07/2018"/>
    <n v="531.28400999999997"/>
    <n v="57448.223299999998"/>
    <s v="BRL"/>
    <n v="3.7158000000000002"/>
    <n v="3824.5639432000003"/>
    <n v="0"/>
    <s v="BRL"/>
    <n v="3.7158000000000002"/>
    <n v="6487"/>
    <n v="0"/>
    <n v="1029.2706666666668"/>
    <n v="0"/>
    <n v="7.1969989373333343"/>
    <n v="0"/>
    <e v="#N/A"/>
    <e v="#N/A"/>
    <n v="6485.4505958071923"/>
    <n v="108.10508287537004"/>
    <n v="115.30208181270338"/>
    <n v="115.30208181270338"/>
    <n v="57440.656214499992"/>
    <n v="7.5670855000062147"/>
    <n v="9.52"/>
    <n v="2.3230010626666653"/>
    <n v="0"/>
    <n v="0"/>
    <n v="1"/>
  </r>
  <r>
    <m/>
    <s v="CERRADO"/>
    <s v="L12:Loja Monte Carmelo"/>
    <s v="ROMARIA"/>
    <s v="2018/2019"/>
    <d v="2018-07-07T00:00:00"/>
    <x v="267"/>
    <s v="0008 F4"/>
    <n v="3595"/>
    <s v="kg"/>
    <s v="ARÁBICA"/>
    <s v="Green"/>
    <n v="55.000000000000007"/>
    <m/>
    <m/>
    <d v="2018-09-07T00:00:00"/>
    <n v="500.76980000000015"/>
    <n v="30006.494350000004"/>
    <s v="BRL"/>
    <n v="3.8679999999999999"/>
    <n v="2697.65924"/>
    <n v="0"/>
    <s v="BRL"/>
    <n v="3.8679999999999999"/>
    <n v="3595"/>
    <n v="0"/>
    <n v="697.43000000000006"/>
    <n v="0"/>
    <n v="8.7996919780000002"/>
    <n v="0"/>
    <n v="4.1306000000000003"/>
    <n v="109.55"/>
    <n v="5872.4240022343865"/>
    <n v="97.880378553518639"/>
    <n v="106.68007053151865"/>
    <n v="106.68007053151865"/>
    <n v="30004.457183333343"/>
    <n v="2.0371666666615056"/>
    <n v="11.64"/>
    <n v="2.8403080220000003"/>
    <n v="0"/>
    <n v="0"/>
    <n v="1"/>
  </r>
  <r>
    <m/>
    <s v="CERRADO"/>
    <s v="L12:Loja Monte Carmelo"/>
    <s v="ROMARIA"/>
    <s v="2018/2019"/>
    <d v="2018-07-09T00:00:00"/>
    <x v="268"/>
    <s v="1202 F1"/>
    <n v="12740"/>
    <s v="kg"/>
    <s v="ARÁBICA"/>
    <s v="Green"/>
    <n v="55.000000000000007"/>
    <m/>
    <m/>
    <d v="2018-10-07T00:00:00"/>
    <n v="448.80760000000004"/>
    <n v="96254.776800000007"/>
    <s v="BRL"/>
    <n v="3.8445999999999998"/>
    <n v="9502.159576"/>
    <n v="0"/>
    <s v="BRL"/>
    <n v="3.8445999999999998"/>
    <n v="12740"/>
    <n v="0"/>
    <n v="2471.56"/>
    <n v="0"/>
    <n v="8.7996919780000002"/>
    <n v="0"/>
    <n v="4.1306000000000003"/>
    <n v="109.55"/>
    <n v="5295.1075003384494"/>
    <n v="89.138935257462435"/>
    <n v="97.938627235462434"/>
    <n v="97.938627235462434"/>
    <n v="95296.813733333329"/>
    <n v="957.96306666667806"/>
    <n v="11.64"/>
    <n v="2.8403080220000003"/>
    <n v="0"/>
    <n v="0"/>
    <n v="1"/>
  </r>
  <r>
    <m/>
    <s v="CERRADO"/>
    <s v="L12:Loja Monte Carmelo"/>
    <s v="ROMARIA"/>
    <s v="2018/2019"/>
    <d v="2018-07-09T00:00:00"/>
    <x v="269"/>
    <s v="0086 F1"/>
    <n v="9120"/>
    <s v="kg"/>
    <s v="ARÁBICA"/>
    <s v="Green"/>
    <n v="55.000000000000007"/>
    <m/>
    <m/>
    <s v="17/07/2018"/>
    <n v="505.88040000000001"/>
    <n v="76912.972800000003"/>
    <s v="BRL"/>
    <n v="3.8664999999999998"/>
    <n v="6840.92112"/>
    <n v="0"/>
    <s v="BRL"/>
    <n v="3.8664999999999998"/>
    <n v="9120"/>
    <n v="0"/>
    <n v="1769.28"/>
    <n v="0"/>
    <n v="8.7996919780000002"/>
    <n v="0"/>
    <e v="#N/A"/>
    <e v="#N/A"/>
    <n v="5934.6563965485066"/>
    <n v="98.935575762389774"/>
    <n v="107.73526774038977"/>
    <n v="107.73526774038977"/>
    <n v="76893.820800000001"/>
    <n v="19.152000000001863"/>
    <n v="11.64"/>
    <n v="2.8403080220000003"/>
    <n v="0"/>
    <n v="0"/>
    <n v="1"/>
  </r>
  <r>
    <m/>
    <s v="CERRADO"/>
    <s v="L12:Loja Monte Carmelo"/>
    <s v="ROMARIA"/>
    <s v="2018/2019"/>
    <d v="2018-07-10T00:00:00"/>
    <x v="270"/>
    <s v="0546 F2"/>
    <n v="1562"/>
    <s v="kg"/>
    <s v="ARÁBICA"/>
    <s v="Green"/>
    <n v="45"/>
    <m/>
    <m/>
    <s v="17/07/2018"/>
    <n v="490.40219999999994"/>
    <n v="12770.92762"/>
    <s v="BRL"/>
    <n v="3.8664999999999998"/>
    <n v="958.26304933333324"/>
    <n v="0"/>
    <s v="BRL"/>
    <n v="3.8664999999999998"/>
    <n v="1562"/>
    <n v="0"/>
    <n v="247.83733333333333"/>
    <n v="0"/>
    <n v="7.1969989373333325"/>
    <n v="0"/>
    <e v="#N/A"/>
    <e v="#N/A"/>
    <n v="5753.076326166145"/>
    <n v="95.915576181137993"/>
    <n v="103.11257511847131"/>
    <n v="103.11257511847131"/>
    <n v="12766.80394"/>
    <n v="4.1236800000006042"/>
    <n v="9.52"/>
    <n v="2.3230010626666671"/>
    <n v="0"/>
    <n v="0"/>
    <n v="1"/>
  </r>
  <r>
    <m/>
    <s v="CERRADO"/>
    <s v="L12:Loja Monte Carmelo"/>
    <s v="ROMARIA"/>
    <s v="2018/2019"/>
    <d v="2018-07-10T00:00:00"/>
    <x v="271"/>
    <s v="0393 F1"/>
    <n v="13740"/>
    <s v="kg"/>
    <s v="ARÁBICA"/>
    <s v="Green"/>
    <n v="45"/>
    <m/>
    <m/>
    <s v="25/07/2018"/>
    <n v="421.67552000000001"/>
    <n v="97922.781600000002"/>
    <s v="BRL"/>
    <n v="3.7113999999999998"/>
    <n v="8091.1489119999987"/>
    <n v="0"/>
    <s v="BRL"/>
    <n v="3.7113999999999998"/>
    <n v="13740"/>
    <n v="0"/>
    <n v="2180.08"/>
    <n v="0"/>
    <n v="7.1969989373333325"/>
    <n v="0"/>
    <e v="#N/A"/>
    <e v="#N/A"/>
    <n v="5153.5484854174274"/>
    <n v="87.101370000829888"/>
    <n v="94.298368938163208"/>
    <n v="94.298368938163208"/>
    <n v="96563.694080000001"/>
    <n v="1359.0875200000009"/>
    <n v="9.52"/>
    <n v="2.3230010626666671"/>
    <n v="0"/>
    <n v="0"/>
    <n v="1"/>
  </r>
  <r>
    <m/>
    <s v="CERRADO"/>
    <s v="L12:Loja Monte Carmelo"/>
    <s v="ROMARIA"/>
    <s v="2018/2019"/>
    <d v="2018-07-10T00:00:00"/>
    <x v="272"/>
    <s v="0027 F1"/>
    <n v="16060"/>
    <s v="kg"/>
    <s v="ARÁBICA"/>
    <s v="Green"/>
    <n v="45"/>
    <m/>
    <m/>
    <s v="26/07/2018"/>
    <n v="531.55129999999997"/>
    <n v="142340.90419999999"/>
    <s v="BRL"/>
    <n v="3.7237"/>
    <n v="9488.6826906666665"/>
    <n v="0"/>
    <s v="BRL"/>
    <n v="3.7237"/>
    <n v="16060"/>
    <n v="0"/>
    <n v="2548.1866666666665"/>
    <n v="0"/>
    <n v="7.1969989373333334"/>
    <n v="0"/>
    <e v="#N/A"/>
    <e v="#N/A"/>
    <n v="6474.9473358106452"/>
    <n v="107.9630723950882"/>
    <n v="115.16007133242154"/>
    <n v="115.16007133242154"/>
    <n v="142278.5646333333"/>
    <n v="62.339566666691098"/>
    <n v="9.52"/>
    <n v="2.3230010626666662"/>
    <n v="0"/>
    <n v="0"/>
    <n v="1"/>
  </r>
  <r>
    <m/>
    <s v="CERRADO"/>
    <s v="L12:Loja Monte Carmelo"/>
    <s v="ROMARIA"/>
    <s v="2018/2019"/>
    <d v="2018-07-11T00:00:00"/>
    <x v="273"/>
    <s v="0086 F1"/>
    <n v="10780"/>
    <s v="kg"/>
    <s v="ARÁBICA"/>
    <s v="Green"/>
    <n v="55.000000000000007"/>
    <m/>
    <m/>
    <s v="17/07/2018"/>
    <n v="505.85040000000004"/>
    <n v="90907.093200000003"/>
    <s v="BRL"/>
    <n v="3.8664999999999998"/>
    <n v="8086.0887799999991"/>
    <n v="0"/>
    <s v="BRL"/>
    <n v="3.8664999999999998"/>
    <n v="10780"/>
    <n v="0"/>
    <n v="2091.3199999999997"/>
    <n v="0"/>
    <n v="8.7996919779999985"/>
    <n v="0"/>
    <e v="#N/A"/>
    <e v="#N/A"/>
    <n v="5934.3044562640125"/>
    <n v="98.92971009098153"/>
    <n v="107.72940206898153"/>
    <n v="107.72940206898153"/>
    <n v="90884.455200000011"/>
    <n v="22.637999999991735"/>
    <n v="11.639999999999999"/>
    <n v="2.8403080220000003"/>
    <n v="0"/>
    <n v="0"/>
    <n v="1"/>
  </r>
  <r>
    <m/>
    <s v="CERRADO"/>
    <s v="L12:Loja Monte Carmelo"/>
    <s v="ROMARIA"/>
    <s v="2018/2019"/>
    <d v="2018-07-11T00:00:00"/>
    <x v="274"/>
    <s v="1139 F1"/>
    <n v="11880"/>
    <s v="kg"/>
    <s v="ARÁBICA"/>
    <s v="Green"/>
    <n v="55.000000000000007"/>
    <m/>
    <m/>
    <s v="20/07/2018"/>
    <n v="488.37239999999997"/>
    <n v="96697.735199999996"/>
    <s v="BRL"/>
    <n v="3.7787000000000002"/>
    <n v="8708.845464"/>
    <n v="0"/>
    <s v="BRL"/>
    <n v="3.7787000000000002"/>
    <n v="11880"/>
    <n v="0"/>
    <n v="2304.7199999999998"/>
    <n v="0"/>
    <n v="8.7996919780000002"/>
    <n v="0"/>
    <e v="#N/A"/>
    <e v="#N/A"/>
    <n v="5862.3863857566885"/>
    <n v="97.706439762611467"/>
    <n v="106.50613174061147"/>
    <n v="106.50613174061147"/>
    <n v="96697.735199999996"/>
    <n v="0"/>
    <n v="11.639999999999999"/>
    <n v="2.8403080219999985"/>
    <n v="0"/>
    <n v="0"/>
    <n v="1"/>
  </r>
  <r>
    <m/>
    <s v="CERRADO"/>
    <s v="L12:Loja Monte Carmelo"/>
    <s v="ROMARIA"/>
    <s v="2018/2019"/>
    <d v="2018-07-12T00:00:00"/>
    <x v="275"/>
    <s v="0393 F1"/>
    <n v="13100"/>
    <s v="kg"/>
    <s v="ARÁBICA"/>
    <s v="Green"/>
    <n v="45"/>
    <m/>
    <m/>
    <s v="27/07/2018"/>
    <n v="485.50809999999996"/>
    <n v="106037.164"/>
    <s v="BRL"/>
    <n v="3.7158000000000002"/>
    <n v="7723.4141600000012"/>
    <n v="0"/>
    <s v="BRL"/>
    <n v="3.7158000000000002"/>
    <n v="13100"/>
    <n v="0"/>
    <n v="2078.5333333333333"/>
    <n v="0"/>
    <n v="7.1969989373333343"/>
    <n v="0"/>
    <e v="#N/A"/>
    <e v="#N/A"/>
    <n v="5926.6583167338667"/>
    <n v="98.809845078389586"/>
    <n v="106.0068440157229"/>
    <n v="106.0068440157229"/>
    <n v="106002.60183333332"/>
    <n v="34.562166666684789"/>
    <n v="9.5200000000000031"/>
    <n v="2.3230010626666688"/>
    <n v="0"/>
    <n v="0"/>
    <n v="1"/>
  </r>
  <r>
    <m/>
    <s v="CERRADO"/>
    <s v="L12:Loja Monte Carmelo"/>
    <s v="ROMARIA"/>
    <s v="2018/2019"/>
    <d v="2018-07-14T00:00:00"/>
    <x v="276"/>
    <s v="0086 F1"/>
    <n v="5766"/>
    <s v="kg"/>
    <s v="ARÁBICA"/>
    <s v="Green"/>
    <n v="55.000000000000007"/>
    <m/>
    <m/>
    <s v="17/07/2018"/>
    <n v="504.6708000000001"/>
    <n v="48510.972480000004"/>
    <s v="BRL"/>
    <n v="3.8664999999999998"/>
    <n v="4325.0823659999996"/>
    <n v="0"/>
    <s v="BRL"/>
    <n v="3.8664999999999998"/>
    <n v="5766"/>
    <n v="0"/>
    <n v="1118.604"/>
    <n v="0"/>
    <n v="8.7996919779999985"/>
    <n v="0"/>
    <e v="#N/A"/>
    <e v="#N/A"/>
    <n v="5920.4661642776691"/>
    <n v="98.69907189120913"/>
    <n v="107.49876386920913"/>
    <n v="107.49876386920913"/>
    <n v="48498.863880000004"/>
    <n v="12.108599999999569"/>
    <n v="11.639999999999999"/>
    <n v="2.8403080220000003"/>
    <n v="0"/>
    <n v="0"/>
    <n v="1"/>
  </r>
  <r>
    <m/>
    <s v="CERRADO"/>
    <s v="L12:Loja Monte Carmelo"/>
    <s v="ROMARIA"/>
    <s v="2018/2019"/>
    <d v="2018-07-14T00:00:00"/>
    <x v="277"/>
    <s v="0086 F1"/>
    <n v="1141"/>
    <s v="kg"/>
    <s v="ARÁBICA"/>
    <s v="Green"/>
    <n v="55.000000000000007"/>
    <m/>
    <m/>
    <s v="17/07/2018"/>
    <n v="437.06319999999994"/>
    <n v="8395.0330099999992"/>
    <s v="BRL"/>
    <n v="3.8664999999999998"/>
    <n v="855.86524099999997"/>
    <n v="0"/>
    <s v="BRL"/>
    <n v="3.8664999999999998"/>
    <n v="1141"/>
    <n v="0"/>
    <n v="221.35400000000001"/>
    <n v="0"/>
    <n v="8.7996919780000002"/>
    <n v="0"/>
    <e v="#N/A"/>
    <e v="#N/A"/>
    <n v="5127.3382316768129"/>
    <n v="86.314645220113817"/>
    <n v="95.114337198113802"/>
    <n v="95.114337198113802"/>
    <n v="8311.485186666665"/>
    <n v="83.547823333334236"/>
    <n v="11.64"/>
    <n v="2.8403080220000003"/>
    <n v="0"/>
    <n v="0"/>
    <n v="1"/>
  </r>
  <r>
    <m/>
    <s v="CERRADO"/>
    <s v="L12:Loja Monte Carmelo"/>
    <s v="ROMARIA"/>
    <s v="2018/2019"/>
    <d v="2018-07-14T00:00:00"/>
    <x v="278"/>
    <s v="0086 F1"/>
    <n v="3003"/>
    <s v="kg"/>
    <s v="ARÁBICA"/>
    <s v="Green"/>
    <n v="55.000000000000007"/>
    <m/>
    <m/>
    <s v="23/07/2018"/>
    <n v="437.0741000000001"/>
    <n v="21985.503540000002"/>
    <s v="BRL"/>
    <n v="3.7909000000000002"/>
    <n v="2208.5101038000003"/>
    <n v="0"/>
    <s v="BRL"/>
    <n v="3.7909000000000002"/>
    <n v="3003"/>
    <n v="0"/>
    <n v="582.58199999999999"/>
    <n v="0"/>
    <n v="8.7996919780000002"/>
    <n v="0"/>
    <e v="#N/A"/>
    <e v="#N/A"/>
    <n v="5229.7205646315397"/>
    <n v="87.600078804415844"/>
    <n v="96.399770782415843"/>
    <n v="96.399770782415843"/>
    <n v="21875.558705000007"/>
    <n v="109.94483499999478"/>
    <n v="11.64"/>
    <n v="2.8403080220000003"/>
    <n v="0"/>
    <n v="0"/>
    <n v="1"/>
  </r>
  <r>
    <m/>
    <s v="CERRADO"/>
    <s v="L12:Loja Monte Carmelo"/>
    <s v="ROMARIA"/>
    <s v="2018/2019"/>
    <d v="2018-07-14T00:00:00"/>
    <x v="279"/>
    <s v="0027 F1"/>
    <n v="16010"/>
    <s v="kg"/>
    <s v="ARÁBICA"/>
    <s v="Green"/>
    <n v="45"/>
    <m/>
    <m/>
    <s v="26/07/2018"/>
    <n v="534.16010000000017"/>
    <n v="142593.86550000001"/>
    <s v="BRL"/>
    <n v="3.7237"/>
    <n v="9459.1413373333344"/>
    <n v="0"/>
    <s v="BRL"/>
    <n v="3.7237"/>
    <n v="16010"/>
    <n v="0"/>
    <n v="2540.2533333333336"/>
    <n v="0"/>
    <n v="7.1969989373333334"/>
    <n v="0"/>
    <e v="#N/A"/>
    <e v="#N/A"/>
    <n v="6506.7257222235157"/>
    <n v="108.49271216863603"/>
    <n v="115.68971110596937"/>
    <n v="115.68971110596937"/>
    <n v="142531.72001666672"/>
    <n v="62.145483333297307"/>
    <n v="9.5200000000000014"/>
    <n v="2.3230010626666679"/>
    <n v="0"/>
    <n v="0"/>
    <n v="1"/>
  </r>
  <r>
    <m/>
    <s v="CERRADO"/>
    <s v="L12:Loja Monte Carmelo"/>
    <s v="ROMARIA"/>
    <s v="2018/2019"/>
    <d v="2018-06-11T00:00:00"/>
    <x v="280"/>
    <s v="0172 F1"/>
    <n v="958"/>
    <s v="kg"/>
    <s v="ARÁBICA"/>
    <s v="Green"/>
    <n v="45"/>
    <m/>
    <m/>
    <s v="17/07/2018"/>
    <n v="474.3732"/>
    <n v="7576.6016600000003"/>
    <s v="BRL"/>
    <n v="3.8664999999999998"/>
    <n v="587.71831066666664"/>
    <n v="0"/>
    <s v="BRL"/>
    <n v="3.8664999999999998"/>
    <n v="958"/>
    <n v="0"/>
    <n v="152.00266666666667"/>
    <n v="0"/>
    <n v="7.1969989373333343"/>
    <n v="0"/>
    <e v="#N/A"/>
    <e v="#N/A"/>
    <n v="5565.0346321604566"/>
    <n v="92.780492126856345"/>
    <n v="99.977491064189692"/>
    <n v="99.977491064189692"/>
    <n v="7574.1587600000003"/>
    <n v="2.4429000000000087"/>
    <n v="9.5200000000000014"/>
    <n v="2.3230010626666671"/>
    <n v="0"/>
    <n v="0"/>
    <n v="1"/>
  </r>
  <r>
    <m/>
    <s v="CERRADO"/>
    <s v="L12:Loja Monte Carmelo"/>
    <s v="ROMARIA"/>
    <s v="2018/2019"/>
    <d v="2018-07-16T00:00:00"/>
    <x v="281"/>
    <s v="0134 F2"/>
    <n v="8572"/>
    <s v="kg"/>
    <s v="ARÁBICA"/>
    <s v="Green"/>
    <n v="55.000000000000007"/>
    <m/>
    <m/>
    <s v="27/07/2018"/>
    <n v="466.02289999999994"/>
    <n v="66600.839760000003"/>
    <s v="BRL"/>
    <n v="3.7158000000000002"/>
    <n v="6179.2564944000005"/>
    <n v="0"/>
    <s v="BRL"/>
    <n v="3.7158000000000002"/>
    <n v="8572"/>
    <n v="0"/>
    <n v="1662.9680000000001"/>
    <n v="0"/>
    <n v="8.799691978000002"/>
    <n v="0"/>
    <e v="#N/A"/>
    <e v="#N/A"/>
    <n v="5688.8000345894006"/>
    <n v="94.844238282593253"/>
    <n v="103.64393026059327"/>
    <n v="103.64393026059327"/>
    <n v="66579.138313333329"/>
    <n v="21.701446666673291"/>
    <n v="11.64"/>
    <n v="2.8403080219999985"/>
    <n v="0"/>
    <n v="0"/>
    <n v="1"/>
  </r>
  <r>
    <m/>
    <s v="CERRADO"/>
    <s v="L12:Loja Monte Carmelo"/>
    <s v="ROMARIA"/>
    <s v="2018/2019"/>
    <d v="2018-07-16T00:00:00"/>
    <x v="282"/>
    <s v="0393 F1"/>
    <n v="8550"/>
    <s v="kg"/>
    <s v="ARÁBICA"/>
    <s v="Green"/>
    <n v="45"/>
    <m/>
    <m/>
    <s v="27/07/2018"/>
    <n v="483.07449999999994"/>
    <n v="68860.673999999999"/>
    <s v="BRL"/>
    <n v="3.7158000000000002"/>
    <n v="5040.8542800000005"/>
    <n v="0"/>
    <s v="BRL"/>
    <n v="3.7158000000000002"/>
    <n v="8550"/>
    <n v="0"/>
    <n v="1356.6000000000001"/>
    <n v="0"/>
    <n v="7.1969989373333352"/>
    <n v="0"/>
    <e v="#N/A"/>
    <e v="#N/A"/>
    <n v="5896.9510560731196"/>
    <n v="98.314724067377171"/>
    <n v="105.51172300471048"/>
    <n v="105.51172300471048"/>
    <n v="68838.116249999992"/>
    <n v="22.557750000007218"/>
    <n v="9.52"/>
    <n v="2.3230010626666644"/>
    <n v="0"/>
    <n v="0"/>
    <n v="1"/>
  </r>
  <r>
    <m/>
    <s v="CERRADO"/>
    <s v="L12:Loja Monte Carmelo"/>
    <s v="ROMARIA"/>
    <s v="2018/2019"/>
    <d v="2018-07-17T00:00:00"/>
    <x v="283"/>
    <s v="0038 F1"/>
    <n v="6600"/>
    <s v="kg"/>
    <s v="ARÁBICA"/>
    <s v="Green"/>
    <n v="45"/>
    <m/>
    <m/>
    <s v="17/07/2018"/>
    <n v="513.34489999999994"/>
    <n v="56485.043999999994"/>
    <s v="BRL"/>
    <n v="3.8664999999999998"/>
    <n v="4048.9987999999994"/>
    <n v="0"/>
    <s v="BRL"/>
    <n v="3.8664999999999998"/>
    <n v="6600"/>
    <n v="0"/>
    <n v="1047.1999999999998"/>
    <n v="0"/>
    <n v="7.1969989373333325"/>
    <n v="0"/>
    <e v="#N/A"/>
    <e v="#N/A"/>
    <n v="6022.2250050022749"/>
    <n v="100.40082048017069"/>
    <n v="107.59781941750403"/>
    <n v="107.59781941750403"/>
    <n v="56467.938999999991"/>
    <n v="17.105000000003201"/>
    <n v="9.52"/>
    <n v="2.3230010626666671"/>
    <n v="0"/>
    <n v="0"/>
    <n v="1"/>
  </r>
  <r>
    <m/>
    <s v="CERRADO"/>
    <s v="L12:Loja Monte Carmelo"/>
    <s v="ROMARIA"/>
    <s v="2018/2019"/>
    <d v="2018-07-17T00:00:00"/>
    <x v="284"/>
    <s v="1139 F1"/>
    <n v="15770"/>
    <s v="kg"/>
    <s v="ARÁBICA"/>
    <s v="Green"/>
    <n v="55.000000000000007"/>
    <m/>
    <m/>
    <s v="20/07/2018"/>
    <n v="488.37240000000008"/>
    <n v="128360.54580000001"/>
    <s v="BRL"/>
    <n v="3.7787000000000002"/>
    <n v="11560.479206"/>
    <n v="0"/>
    <s v="BRL"/>
    <n v="3.7787000000000002"/>
    <n v="15770"/>
    <n v="0"/>
    <n v="3059.3799999999997"/>
    <n v="0"/>
    <n v="8.799691978000002"/>
    <n v="0"/>
    <e v="#N/A"/>
    <e v="#N/A"/>
    <n v="5862.3863857566912"/>
    <n v="97.706439762611495"/>
    <n v="106.50613174061149"/>
    <n v="106.50613174061149"/>
    <n v="128360.54580000002"/>
    <n v="0"/>
    <n v="11.639999999999999"/>
    <n v="2.8403080219999968"/>
    <n v="0"/>
    <n v="0"/>
    <n v="1"/>
  </r>
  <r>
    <m/>
    <s v="CERRADO"/>
    <s v="L12:Loja Monte Carmelo"/>
    <s v="ROMARIA"/>
    <s v="2018/2019"/>
    <d v="2018-07-17T00:00:00"/>
    <x v="285"/>
    <s v="1139 F1"/>
    <n v="6900"/>
    <s v="kg"/>
    <s v="ARÁBICA"/>
    <s v="Green"/>
    <n v="45"/>
    <m/>
    <m/>
    <s v="20/07/2018"/>
    <n v="490.81019000000003"/>
    <n v="56443.173000000003"/>
    <s v="BRL"/>
    <n v="3.7787000000000002"/>
    <n v="4136.92076"/>
    <n v="0"/>
    <s v="BRL"/>
    <n v="3.7787000000000002"/>
    <n v="6900"/>
    <n v="0"/>
    <n v="1094.8"/>
    <n v="0"/>
    <n v="7.1969989373333325"/>
    <n v="0"/>
    <e v="#N/A"/>
    <e v="#N/A"/>
    <n v="5891.6494376968349"/>
    <n v="98.194159295601665"/>
    <n v="105.391158232935"/>
    <n v="105.391158232935"/>
    <n v="56443.171850000006"/>
    <n v="1.1499999964144081E-3"/>
    <n v="9.5199999999999978"/>
    <n v="2.3230010626666653"/>
    <n v="0"/>
    <n v="0"/>
    <n v="1"/>
  </r>
  <r>
    <m/>
    <s v="CERRADO"/>
    <s v="L12:Loja Monte Carmelo"/>
    <s v="ROMARIA"/>
    <s v="2018/2019"/>
    <d v="2018-07-17T00:00:00"/>
    <x v="286"/>
    <s v="0086 F1"/>
    <n v="539"/>
    <s v="kg"/>
    <s v="ARÁBICA"/>
    <s v="Green"/>
    <n v="55.000000000000007"/>
    <m/>
    <m/>
    <s v="23/07/2018"/>
    <n v="438.13380000000001"/>
    <n v="3955.68327"/>
    <s v="BRL"/>
    <n v="3.7909000000000002"/>
    <n v="396.39924940000003"/>
    <n v="0"/>
    <s v="BRL"/>
    <n v="3.7909000000000002"/>
    <n v="539"/>
    <n v="0"/>
    <n v="104.566"/>
    <n v="0"/>
    <n v="8.7996919780000002"/>
    <n v="0"/>
    <e v="#N/A"/>
    <e v="#N/A"/>
    <n v="5242.4001877946139"/>
    <n v="87.812462791529725"/>
    <n v="96.612154769529724"/>
    <n v="96.612154769529724"/>
    <n v="3935.9019699999999"/>
    <n v="19.781300000000101"/>
    <n v="11.64"/>
    <n v="2.8403080220000003"/>
    <n v="0"/>
    <n v="0"/>
    <n v="1"/>
  </r>
  <r>
    <m/>
    <s v="CERRADO"/>
    <s v="L12:Loja Monte Carmelo"/>
    <s v="ROMARIA"/>
    <s v="2018/2019"/>
    <d v="2018-07-18T00:00:00"/>
    <x v="287"/>
    <s v="0392 F1"/>
    <n v="3364"/>
    <s v="kg"/>
    <s v="ARÁBICA"/>
    <s v="Green"/>
    <n v="55.000000000000007"/>
    <m/>
    <m/>
    <s v="20/07/2018"/>
    <n v="427.91143999999986"/>
    <n v="24256.862079999999"/>
    <s v="BRL"/>
    <n v="3.7787000000000002"/>
    <n v="2466.0400792"/>
    <n v="0"/>
    <s v="BRL"/>
    <n v="3.7787000000000002"/>
    <n v="3364"/>
    <n v="0"/>
    <n v="652.61599999999999"/>
    <n v="0"/>
    <n v="8.7996919780000002"/>
    <n v="0"/>
    <e v="#N/A"/>
    <e v="#N/A"/>
    <n v="5136.6174668460781"/>
    <n v="86.556952766993945"/>
    <n v="95.356644744993943"/>
    <n v="95.356644744993943"/>
    <n v="23991.568069333327"/>
    <n v="265.29401066667197"/>
    <n v="11.639999999999999"/>
    <n v="2.8403080219999985"/>
    <n v="0"/>
    <n v="0"/>
    <n v="1"/>
  </r>
  <r>
    <m/>
    <s v="CERRADO"/>
    <s v="L12:Loja Monte Carmelo"/>
    <s v="ROMARIA"/>
    <s v="2018/2019"/>
    <d v="2018-07-20T00:00:00"/>
    <x v="288"/>
    <s v="1430 F1"/>
    <n v="15980"/>
    <s v="kg"/>
    <s v="ARÁBICA"/>
    <s v="Green"/>
    <n v="55.000000000000007"/>
    <m/>
    <m/>
    <s v="20/07/2018"/>
    <n v="425.65703999999999"/>
    <n v="114848.26"/>
    <s v="BRL"/>
    <n v="3.7787000000000002"/>
    <n v="11714.423444"/>
    <n v="0"/>
    <s v="BRL"/>
    <n v="3.7787000000000002"/>
    <n v="15980"/>
    <n v="0"/>
    <n v="3100.12"/>
    <n v="0"/>
    <n v="8.7996919780000002"/>
    <n v="0"/>
    <e v="#N/A"/>
    <e v="#N/A"/>
    <n v="5109.5558149835861"/>
    <n v="86.272219630825418"/>
    <n v="95.071911608825403"/>
    <n v="95.071911608825403"/>
    <n v="113366.65831999999"/>
    <n v="1481.601680000007"/>
    <n v="11.639999999999999"/>
    <n v="2.8403080219999985"/>
    <n v="0"/>
    <n v="0"/>
    <n v="1"/>
  </r>
  <r>
    <m/>
    <s v="CERRADO"/>
    <s v="L12:Loja Monte Carmelo"/>
    <s v="ROMARIA"/>
    <s v="2018/2019"/>
    <d v="2018-07-20T00:00:00"/>
    <x v="289"/>
    <s v="0086 F1"/>
    <n v="1795"/>
    <s v="kg"/>
    <s v="ARÁBICA"/>
    <s v="Green"/>
    <n v="55.000000000000007"/>
    <m/>
    <m/>
    <s v="26/07/2018"/>
    <n v="428.18420000000003"/>
    <n v="12874.22465"/>
    <s v="BRL"/>
    <n v="3.7237"/>
    <n v="1296.7040510000002"/>
    <n v="0"/>
    <s v="BRL"/>
    <n v="3.7237"/>
    <n v="1795"/>
    <n v="0"/>
    <n v="348.23"/>
    <n v="0"/>
    <n v="8.799691978000002"/>
    <n v="0"/>
    <e v="#N/A"/>
    <e v="#N/A"/>
    <n v="5215.8091703024947"/>
    <n v="87.367052866232527"/>
    <n v="96.166744844232525"/>
    <n v="96.166744844232525"/>
    <n v="12809.843983333334"/>
    <n v="64.380666666666002"/>
    <n v="11.640000000000002"/>
    <n v="2.8403080220000003"/>
    <n v="0"/>
    <n v="0"/>
    <n v="1"/>
  </r>
  <r>
    <m/>
    <s v="CERRADO"/>
    <s v="L12:Loja Monte Carmelo"/>
    <s v="ROMARIA"/>
    <s v="2018/2019"/>
    <d v="2018-07-19T00:00:00"/>
    <x v="290"/>
    <s v="0027 F1"/>
    <n v="14074"/>
    <s v="kg"/>
    <s v="ARÁBICA"/>
    <s v="Green"/>
    <n v="45"/>
    <m/>
    <m/>
    <s v="26/07/2018"/>
    <n v="535.46804999999995"/>
    <n v="125657.59789999999"/>
    <s v="BRL"/>
    <n v="3.7237"/>
    <n v="8315.3001362666673"/>
    <n v="0"/>
    <s v="BRL"/>
    <n v="3.7237"/>
    <n v="14074"/>
    <n v="0"/>
    <n v="2233.0746666666669"/>
    <n v="0"/>
    <n v="7.1969989373333334"/>
    <n v="0"/>
    <e v="#N/A"/>
    <e v="#N/A"/>
    <n v="6522.6581587877236"/>
    <n v="108.75826292906248"/>
    <n v="115.9552618663958"/>
    <n v="115.9552618663958"/>
    <n v="125602.95559499999"/>
    <n v="54.642305000001215"/>
    <n v="9.5200000000000014"/>
    <n v="2.3230010626666679"/>
    <n v="0"/>
    <n v="0"/>
    <n v="1"/>
  </r>
  <r>
    <m/>
    <s v="CERRADO"/>
    <s v="L12:Loja Monte Carmelo"/>
    <s v="ROMARIA"/>
    <s v="2018/2019"/>
    <d v="2018-07-23T00:00:00"/>
    <x v="291"/>
    <s v="0393 F1"/>
    <n v="5640"/>
    <s v="kg"/>
    <s v="ARÁBICA"/>
    <s v="Green"/>
    <n v="45"/>
    <m/>
    <m/>
    <s v="27/07/2018"/>
    <n v="484.2919"/>
    <n v="45538.318800000001"/>
    <s v="BRL"/>
    <n v="3.7158000000000002"/>
    <n v="3325.1951040000004"/>
    <n v="0"/>
    <s v="BRL"/>
    <n v="3.7158000000000002"/>
    <n v="5640"/>
    <n v="0"/>
    <n v="894.88"/>
    <n v="0"/>
    <n v="7.1969989373333334"/>
    <n v="0"/>
    <e v="#N/A"/>
    <e v="#N/A"/>
    <n v="5911.8120106788037"/>
    <n v="98.562406644138534"/>
    <n v="105.75940558147188"/>
    <n v="105.75940558147188"/>
    <n v="45523.438600000001"/>
    <n v="14.880199999999604"/>
    <n v="9.52"/>
    <n v="2.3230010626666662"/>
    <n v="0"/>
    <n v="0"/>
    <n v="1"/>
  </r>
  <r>
    <m/>
    <s v="CERRADO"/>
    <s v="L12:Loja Monte Carmelo"/>
    <s v="ROMARIA"/>
    <s v="2018/2019"/>
    <d v="2018-07-25T00:00:00"/>
    <x v="292"/>
    <s v="0039 F2"/>
    <n v="4815"/>
    <s v="kg"/>
    <s v="ARÁBICA"/>
    <s v="Green"/>
    <n v="45"/>
    <m/>
    <m/>
    <s v="27/07/2018"/>
    <n v="411.53960000000001"/>
    <n v="33358.079250000003"/>
    <s v="BRL"/>
    <n v="3.7158000000000002"/>
    <n v="2838.7968840000003"/>
    <n v="0"/>
    <s v="BRL"/>
    <n v="3.7158000000000002"/>
    <n v="4815"/>
    <n v="0"/>
    <n v="763.98"/>
    <n v="0"/>
    <n v="7.1969989373333352"/>
    <n v="0"/>
    <e v="#N/A"/>
    <e v="#N/A"/>
    <n v="5023.7155528513922"/>
    <n v="84.570355232830096"/>
    <n v="91.767354170163429"/>
    <n v="91.767354170163429"/>
    <n v="33026.052900000002"/>
    <n v="332.02635000000009"/>
    <n v="9.52"/>
    <n v="2.3230010626666644"/>
    <n v="0"/>
    <n v="0"/>
    <n v="1"/>
  </r>
  <r>
    <m/>
    <s v="CERRADO"/>
    <s v="L12:Loja Monte Carmelo"/>
    <s v="ROMARIA"/>
    <s v="2018/2019"/>
    <d v="2018-07-26T00:00:00"/>
    <x v="293"/>
    <s v="0008 F4"/>
    <n v="19720"/>
    <s v="kg"/>
    <s v="ARÁBICA"/>
    <s v="Green"/>
    <n v="55.000000000000007"/>
    <m/>
    <m/>
    <s v="27/07/2018"/>
    <n v="423.01956000000007"/>
    <n v="143645.01560000001"/>
    <s v="BRL"/>
    <n v="3.7158000000000002"/>
    <n v="14215.461744"/>
    <n v="0"/>
    <s v="BRL"/>
    <n v="3.7158000000000002"/>
    <n v="19720"/>
    <n v="0"/>
    <n v="3825.68"/>
    <n v="0"/>
    <n v="8.7996919779999985"/>
    <n v="0"/>
    <e v="#N/A"/>
    <e v="#N/A"/>
    <n v="5163.8528655136779"/>
    <n v="88.919509912403782"/>
    <n v="97.719201890403781"/>
    <n v="97.719201890403781"/>
    <n v="139032.42872000003"/>
    <n v="4612.586879999988"/>
    <n v="11.639999999999999"/>
    <n v="2.8403080220000003"/>
    <n v="0"/>
    <n v="0"/>
    <n v="1"/>
  </r>
  <r>
    <m/>
    <s v="CERRADO"/>
    <s v="L12:Loja Monte Carmelo"/>
    <s v="ROMARIA"/>
    <s v="2018/2019"/>
    <d v="2018-07-27T00:00:00"/>
    <x v="294"/>
    <s v="0393 F1"/>
    <n v="12233"/>
    <s v="kg"/>
    <s v="ARÁBICA"/>
    <s v="Green"/>
    <n v="55.000000000000007"/>
    <m/>
    <m/>
    <s v="27/07/2018"/>
    <n v="485.50810000000001"/>
    <n v="99019.284520000001"/>
    <s v="BRL"/>
    <n v="3.7158000000000002"/>
    <n v="8818.3439916000007"/>
    <n v="0"/>
    <s v="BRL"/>
    <n v="3.7158000000000002"/>
    <n v="12233"/>
    <n v="0"/>
    <n v="2373.2020000000002"/>
    <n v="0"/>
    <n v="8.7996919780000002"/>
    <n v="0"/>
    <e v="#N/A"/>
    <e v="#N/A"/>
    <n v="5926.6583167338667"/>
    <n v="98.809845078389571"/>
    <n v="107.6095370563896"/>
    <n v="107.6095370563896"/>
    <n v="98987.009788333336"/>
    <n v="32.274731666664593"/>
    <n v="11.64"/>
    <n v="2.8403080220000003"/>
    <n v="0"/>
    <n v="0"/>
    <n v="1"/>
  </r>
  <r>
    <m/>
    <s v="CERRADO"/>
    <s v="L18:Loja Serra do Salitre"/>
    <s v="SERRA DO SALITRE"/>
    <s v="2018/2019"/>
    <d v="2018-06-18T00:00:00"/>
    <x v="295"/>
    <s v="1403 F1"/>
    <n v="2154"/>
    <s v="kg"/>
    <s v="ARÁBICA"/>
    <s v="Green"/>
    <n v="45"/>
    <m/>
    <m/>
    <s v="22/06/2018"/>
    <n v="609.42920000000004"/>
    <n v="21891.791280000001"/>
    <s v="BRL"/>
    <n v="3.7656999999999998"/>
    <n v="1286.9957575999999"/>
    <n v="0"/>
    <s v="BRL"/>
    <n v="3.7656999999999998"/>
    <n v="2154"/>
    <n v="0"/>
    <n v="341.76799999999997"/>
    <n v="0"/>
    <n v="7.1969989373333334"/>
    <n v="0"/>
    <e v="#N/A"/>
    <e v="#N/A"/>
    <n v="7340.798129835197"/>
    <n v="122.42091525794407"/>
    <n v="129.61791419527745"/>
    <n v="129.61791419527745"/>
    <n v="21878.508280000002"/>
    <n v="13.282999999999447"/>
    <n v="9.52"/>
    <n v="2.3230010626666662"/>
    <n v="0"/>
    <n v="0"/>
    <n v="1"/>
  </r>
  <r>
    <m/>
    <s v="CERRADO"/>
    <s v="L18:Loja Serra do Salitre"/>
    <s v="SERRA DO SALITRE"/>
    <s v="2018/2019"/>
    <d v="2018-06-21T00:00:00"/>
    <x v="296"/>
    <s v="0114 F1"/>
    <n v="6008"/>
    <s v="kg"/>
    <s v="ARÁBICA"/>
    <s v="Green"/>
    <n v="45"/>
    <m/>
    <m/>
    <s v="25/07/2018"/>
    <n v="423.94419999999991"/>
    <n v="42664.31"/>
    <s v="BRL"/>
    <n v="3.7113999999999998"/>
    <n v="3537.9638037333334"/>
    <n v="0"/>
    <s v="BRL"/>
    <n v="3.7113999999999998"/>
    <n v="6008"/>
    <n v="0"/>
    <n v="953.26933333333341"/>
    <n v="0"/>
    <n v="7.1969989373333343"/>
    <n v="0"/>
    <e v="#N/A"/>
    <e v="#N/A"/>
    <n v="5181.2753792572612"/>
    <n v="86.788619320539425"/>
    <n v="93.985618257872773"/>
    <n v="93.985618257872773"/>
    <n v="42450.945893333323"/>
    <n v="213.36410666667507"/>
    <n v="9.5200000000000014"/>
    <n v="2.3230010626666671"/>
    <n v="0"/>
    <n v="0"/>
    <n v="1"/>
  </r>
  <r>
    <m/>
    <s v="CERRADO"/>
    <s v="L18:Loja Serra do Salitre"/>
    <s v="SERRA DO SALITRE"/>
    <s v="2018/2019"/>
    <d v="2018-06-25T00:00:00"/>
    <x v="297"/>
    <s v="1261 F1"/>
    <n v="18160"/>
    <s v="kg"/>
    <s v="ARÁBICA"/>
    <s v="Green"/>
    <n v="55.000000000000007"/>
    <m/>
    <m/>
    <s v="26/07/2018"/>
    <n v="488.36860000000001"/>
    <n v="147860.7176"/>
    <s v="BRL"/>
    <n v="3.7237"/>
    <n v="13118.744048"/>
    <n v="0"/>
    <s v="BRL"/>
    <n v="3.7237"/>
    <n v="18160"/>
    <n v="0"/>
    <n v="3523.04"/>
    <n v="0"/>
    <n v="8.799691978000002"/>
    <n v="0"/>
    <e v="#N/A"/>
    <e v="#N/A"/>
    <n v="5948.929041211215"/>
    <n v="99.180894586048822"/>
    <n v="107.98058656404883"/>
    <n v="107.98058656404883"/>
    <n v="147812.89626666668"/>
    <n v="47.821333333326038"/>
    <n v="11.64"/>
    <n v="2.8403080219999985"/>
    <n v="0"/>
    <n v="0"/>
    <n v="1"/>
  </r>
  <r>
    <m/>
    <s v="CERRADO"/>
    <s v="L18:Loja Serra do Salitre"/>
    <s v="SERRA DO SALITRE"/>
    <s v="2018/2019"/>
    <d v="2018-06-26T00:00:00"/>
    <x v="298"/>
    <s v="1261 F1"/>
    <n v="18160"/>
    <s v="kg"/>
    <s v="ARÁBICA"/>
    <s v="Green"/>
    <n v="55.000000000000007"/>
    <m/>
    <m/>
    <s v="26/07/2018"/>
    <n v="488.36860000000001"/>
    <n v="147860.7176"/>
    <s v="BRL"/>
    <n v="3.7237"/>
    <n v="13118.744048"/>
    <n v="0"/>
    <s v="BRL"/>
    <n v="3.7237"/>
    <n v="18160"/>
    <n v="0"/>
    <n v="3523.04"/>
    <n v="0"/>
    <n v="8.799691978000002"/>
    <n v="0"/>
    <e v="#N/A"/>
    <e v="#N/A"/>
    <n v="5948.929041211215"/>
    <n v="99.180894586048822"/>
    <n v="107.98058656404883"/>
    <n v="107.98058656404883"/>
    <n v="147812.89626666668"/>
    <n v="47.821333333326038"/>
    <n v="11.64"/>
    <n v="2.8403080219999985"/>
    <n v="0"/>
    <n v="0"/>
    <n v="1"/>
  </r>
  <r>
    <m/>
    <s v="CERRADO"/>
    <s v="L18:Loja Serra do Salitre"/>
    <s v="SERRA DO SALITRE"/>
    <s v="2018/2019"/>
    <d v="2018-06-29T00:00:00"/>
    <x v="299"/>
    <s v="1360 F1"/>
    <n v="961"/>
    <s v="kg"/>
    <s v="ARÁBICA"/>
    <s v="Green"/>
    <n v="55.000000000000007"/>
    <m/>
    <m/>
    <s v="24/07/2018"/>
    <n v="465.25240000000002"/>
    <n v="7454.0829899999999"/>
    <s v="BRL"/>
    <n v="3.7452999999999999"/>
    <n v="698.25126019999993"/>
    <n v="0"/>
    <s v="BRL"/>
    <n v="3.7452999999999999"/>
    <n v="961"/>
    <n v="0"/>
    <n v="186.434"/>
    <n v="0"/>
    <n v="8.7996919780000002"/>
    <n v="0"/>
    <e v="#N/A"/>
    <e v="#N/A"/>
    <n v="5634.6604748401469"/>
    <n v="93.939872405903401"/>
    <n v="102.7395643839034"/>
    <n v="102.7395643839034"/>
    <n v="7451.7926066666669"/>
    <n v="2.2903833333330113"/>
    <n v="11.639999999999999"/>
    <n v="2.8403080219999985"/>
    <n v="0"/>
    <n v="0"/>
    <n v="1"/>
  </r>
  <r>
    <m/>
    <s v="CERRADO"/>
    <s v="L18:Loja Serra do Salitre"/>
    <s v="SERRA DO SALITRE"/>
    <s v="2018/2019"/>
    <d v="2018-07-02T00:00:00"/>
    <x v="300"/>
    <s v="0451 F2"/>
    <n v="4273"/>
    <s v="kg"/>
    <s v="ARÁBICA"/>
    <s v="Green"/>
    <n v="45"/>
    <m/>
    <m/>
    <d v="2018-03-07T00:00:00"/>
    <n v="440.47979999999995"/>
    <n v="31369.503089999998"/>
    <s v="BRL"/>
    <n v="3.8914"/>
    <n v="2638.3017490666666"/>
    <n v="0"/>
    <s v="BRL"/>
    <n v="3.8914"/>
    <n v="4273"/>
    <n v="0"/>
    <n v="677.98266666666666"/>
    <n v="0"/>
    <n v="7.1969989373333334"/>
    <n v="0"/>
    <n v="3.2454000000000001"/>
    <n v="118.15"/>
    <n v="5134.3546389249623"/>
    <n v="85.572577315416041"/>
    <n v="92.769576252749374"/>
    <n v="92.769576252749374"/>
    <n v="31369.503089999998"/>
    <n v="0"/>
    <n v="9.5200000000000014"/>
    <n v="2.3230010626666679"/>
    <n v="0"/>
    <n v="0"/>
    <n v="1"/>
  </r>
  <r>
    <m/>
    <s v="CERRADO"/>
    <s v="L18:Loja Serra do Salitre"/>
    <s v="SERRA DO SALITRE"/>
    <s v="2018/2019"/>
    <d v="2018-07-02T00:00:00"/>
    <x v="301"/>
    <s v="0451 F2"/>
    <n v="2407"/>
    <s v="kg"/>
    <s v="ARÁBICA"/>
    <s v="Green"/>
    <n v="45"/>
    <m/>
    <m/>
    <d v="2018-04-07T00:00:00"/>
    <n v="481.41680000000002"/>
    <n v="19319.255960000002"/>
    <s v="BRL"/>
    <n v="3.9051999999999998"/>
    <n v="1491.4375354666668"/>
    <n v="0"/>
    <s v="BRL"/>
    <n v="3.9051999999999998"/>
    <n v="2407"/>
    <n v="0"/>
    <n v="381.91066666666671"/>
    <n v="0"/>
    <n v="7.1969989373333343"/>
    <n v="0"/>
    <n v="3.3696999999999999"/>
    <n v="116.8"/>
    <n v="5591.6979225088608"/>
    <n v="93.22593893996725"/>
    <n v="100.42293787730057"/>
    <n v="100.42293787730057"/>
    <n v="19312.837293333334"/>
    <n v="6.4186666666682868"/>
    <n v="9.5200000000000014"/>
    <n v="2.3230010626666671"/>
    <n v="0"/>
    <n v="0"/>
    <n v="1"/>
  </r>
  <r>
    <m/>
    <s v="CERRADO"/>
    <s v="L18:Loja Serra do Salitre"/>
    <s v="SERRA DO SALITRE"/>
    <s v="2018/2019"/>
    <d v="2018-07-02T00:00:00"/>
    <x v="302"/>
    <s v="1503 F1"/>
    <n v="7980"/>
    <s v="kg"/>
    <s v="ARÁBICA"/>
    <s v="Green"/>
    <n v="45"/>
    <m/>
    <m/>
    <s v="18/07/2018"/>
    <n v="498.40789999999993"/>
    <n v="66311.485799999995"/>
    <s v="BRL"/>
    <n v="3.8468"/>
    <n v="4870.6642879999999"/>
    <n v="0"/>
    <s v="BRL"/>
    <n v="3.8468"/>
    <n v="7980"/>
    <n v="0"/>
    <n v="1266.1600000000001"/>
    <n v="0"/>
    <n v="7.1969989373333334"/>
    <n v="0"/>
    <e v="#N/A"/>
    <e v="#N/A"/>
    <n v="5876.9372098295453"/>
    <n v="97.98328618365133"/>
    <n v="105.18028512098468"/>
    <n v="105.18028512098468"/>
    <n v="66288.25069999999"/>
    <n v="23.235100000005332"/>
    <n v="9.52"/>
    <n v="2.3230010626666662"/>
    <n v="0"/>
    <n v="0"/>
    <n v="1"/>
  </r>
  <r>
    <m/>
    <s v="CERRADO"/>
    <s v="L18:Loja Serra do Salitre"/>
    <s v="SERRA DO SALITRE"/>
    <s v="2018/2019"/>
    <d v="2018-07-03T00:00:00"/>
    <x v="303"/>
    <s v="0364 F1"/>
    <n v="600"/>
    <s v="kg"/>
    <s v="ARÁBICA"/>
    <s v="Green"/>
    <n v="45"/>
    <m/>
    <m/>
    <d v="2018-04-07T00:00:00"/>
    <n v="446.83980000000003"/>
    <n v="4468.3980000000001"/>
    <s v="BRL"/>
    <n v="3.9051999999999998"/>
    <n v="371.77503999999999"/>
    <n v="0"/>
    <s v="BRL"/>
    <n v="3.9051999999999998"/>
    <n v="600"/>
    <n v="0"/>
    <n v="95.2"/>
    <n v="0"/>
    <n v="7.1969989373333334"/>
    <n v="0"/>
    <n v="3.3696999999999999"/>
    <n v="116.8"/>
    <n v="5190.0830659716794"/>
    <n v="86.501384432861315"/>
    <n v="93.698383370194648"/>
    <n v="93.698383370194648"/>
    <n v="4468.3980000000001"/>
    <n v="0"/>
    <n v="9.52"/>
    <n v="2.3230010626666662"/>
    <n v="0"/>
    <n v="0"/>
    <n v="1"/>
  </r>
  <r>
    <m/>
    <s v="CERRADO"/>
    <s v="L18:Loja Serra do Salitre"/>
    <s v="SERRA DO SALITRE"/>
    <s v="2018/2019"/>
    <d v="2018-07-03T00:00:00"/>
    <x v="304"/>
    <s v="0451 F2"/>
    <n v="6930"/>
    <s v="kg"/>
    <s v="ARÁBICA"/>
    <s v="Green"/>
    <n v="45"/>
    <m/>
    <m/>
    <d v="2018-04-07T00:00:00"/>
    <n v="480.28159999999997"/>
    <n v="55491.004800000002"/>
    <s v="BRL"/>
    <n v="3.9051999999999998"/>
    <n v="4294.0017120000002"/>
    <n v="0"/>
    <s v="BRL"/>
    <n v="3.9051999999999998"/>
    <n v="6930"/>
    <n v="0"/>
    <n v="1099.5600000000002"/>
    <n v="0"/>
    <n v="7.1969989373333352"/>
    <n v="0"/>
    <n v="3.3696999999999999"/>
    <n v="116.8"/>
    <n v="5578.5124759651753"/>
    <n v="93.006181497572484"/>
    <n v="100.2031804349058"/>
    <n v="100.2031804349058"/>
    <n v="55472.524799999999"/>
    <n v="18.480000000003201"/>
    <n v="9.5200000000000014"/>
    <n v="2.3230010626666662"/>
    <n v="0"/>
    <n v="0"/>
    <n v="1"/>
  </r>
  <r>
    <m/>
    <s v="CERRADO"/>
    <s v="L18:Loja Serra do Salitre"/>
    <s v="SERRA DO SALITRE"/>
    <s v="2018/2019"/>
    <d v="2018-07-04T00:00:00"/>
    <x v="305"/>
    <s v="1072 F1"/>
    <n v="1200"/>
    <s v="kg"/>
    <s v="ARÁBICA"/>
    <s v="Green"/>
    <n v="45"/>
    <m/>
    <m/>
    <d v="2018-09-07T00:00:00"/>
    <n v="453.06499999999994"/>
    <n v="9081.2999999999993"/>
    <s v="BRL"/>
    <n v="3.8679999999999999"/>
    <n v="736.46719999999982"/>
    <n v="0"/>
    <s v="BRL"/>
    <n v="3.8679999999999999"/>
    <n v="1200"/>
    <n v="0"/>
    <n v="190.39999999999995"/>
    <n v="0"/>
    <n v="7.1969989373333316"/>
    <n v="0"/>
    <n v="4.1306000000000003"/>
    <n v="109.55"/>
    <n v="5312.9996668575477"/>
    <n v="88.745441004847464"/>
    <n v="95.942439942180783"/>
    <n v="95.942439942180783"/>
    <n v="9061.2999999999975"/>
    <n v="20.000000000001819"/>
    <n v="9.52"/>
    <n v="2.3230010626666679"/>
    <n v="0"/>
    <n v="0"/>
    <n v="1"/>
  </r>
  <r>
    <m/>
    <s v="CERRADO"/>
    <s v="L18:Loja Serra do Salitre"/>
    <s v="SERRA DO SALITRE"/>
    <s v="2018/2019"/>
    <d v="2018-07-04T00:00:00"/>
    <x v="306"/>
    <s v="1286 F1"/>
    <n v="6650"/>
    <s v="kg"/>
    <s v="ARÁBICA"/>
    <s v="Green"/>
    <n v="45"/>
    <m/>
    <m/>
    <s v="23/07/2018"/>
    <n v="480.49450000000002"/>
    <n v="53272.152499999997"/>
    <s v="BRL"/>
    <n v="3.7909000000000002"/>
    <n v="3999.9049533333332"/>
    <n v="0"/>
    <s v="BRL"/>
    <n v="3.7909000000000002"/>
    <n v="6650"/>
    <n v="0"/>
    <n v="1055.1333333333332"/>
    <n v="0"/>
    <n v="7.1969989373333325"/>
    <n v="0"/>
    <e v="#N/A"/>
    <e v="#N/A"/>
    <n v="5749.2584617627735"/>
    <n v="95.852183840631511"/>
    <n v="103.04918277796482"/>
    <n v="103.04918277796482"/>
    <n v="53254.80708333334"/>
    <n v="17.345416666656092"/>
    <n v="9.52"/>
    <n v="2.3230010626666671"/>
    <n v="0"/>
    <n v="0"/>
    <n v="1"/>
  </r>
  <r>
    <m/>
    <s v="CERRADO"/>
    <s v="L18:Loja Serra do Salitre"/>
    <s v="SERRA DO SALITRE"/>
    <s v="2018/2019"/>
    <d v="2018-07-05T00:00:00"/>
    <x v="307"/>
    <s v="0873 F1"/>
    <n v="15330"/>
    <s v="kg"/>
    <s v="ARÁBICA"/>
    <s v="Green"/>
    <n v="45"/>
    <m/>
    <m/>
    <s v="23/07/2018"/>
    <n v="485.24419999999992"/>
    <n v="124020.00659999999"/>
    <s v="BRL"/>
    <n v="3.7909000000000002"/>
    <n v="9220.8335239999997"/>
    <n v="0"/>
    <s v="BRL"/>
    <n v="3.7909000000000002"/>
    <n v="15330"/>
    <n v="0"/>
    <n v="2432.3599999999997"/>
    <n v="0"/>
    <n v="7.1969989373333325"/>
    <n v="0"/>
    <e v="#N/A"/>
    <e v="#N/A"/>
    <n v="5806.0900236554371"/>
    <n v="96.799476249634651"/>
    <n v="103.99647518696796"/>
    <n v="103.99647518696796"/>
    <n v="123979.89309999999"/>
    <n v="40.113500000006752"/>
    <n v="9.52"/>
    <n v="2.3230010626666671"/>
    <n v="0"/>
    <n v="0"/>
    <n v="1"/>
  </r>
  <r>
    <m/>
    <s v="CERRADO"/>
    <s v="L18:Loja Serra do Salitre"/>
    <s v="SERRA DO SALITRE"/>
    <s v="2018/2019"/>
    <d v="2018-07-05T00:00:00"/>
    <x v="308"/>
    <s v="0873 F1"/>
    <n v="18370"/>
    <s v="kg"/>
    <s v="ARÁBICA"/>
    <s v="Green"/>
    <n v="45"/>
    <m/>
    <m/>
    <s v="23/07/2018"/>
    <n v="479.66300000000001"/>
    <n v="146904.89000000001"/>
    <s v="BRL"/>
    <n v="3.7909000000000002"/>
    <n v="11049.361502666667"/>
    <n v="0"/>
    <s v="BRL"/>
    <n v="3.7909000000000002"/>
    <n v="18370"/>
    <n v="0"/>
    <n v="2914.7066666666665"/>
    <n v="0"/>
    <n v="7.1969989373333334"/>
    <n v="0"/>
    <e v="#N/A"/>
    <e v="#N/A"/>
    <n v="5739.3093189298052"/>
    <n v="95.686464504207464"/>
    <n v="102.88346344154078"/>
    <n v="102.88346344154078"/>
    <n v="146856.82183333335"/>
    <n v="48.068166666664183"/>
    <n v="9.52"/>
    <n v="2.3230010626666662"/>
    <n v="0"/>
    <n v="0"/>
    <n v="1"/>
  </r>
  <r>
    <m/>
    <s v="CERRADO"/>
    <s v="L18:Loja Serra do Salitre"/>
    <s v="SERRA DO SALITRE"/>
    <s v="2018/2019"/>
    <d v="2018-07-05T00:00:00"/>
    <x v="309"/>
    <s v="0924 F1"/>
    <n v="7820"/>
    <s v="kg"/>
    <s v="ARÁBICA"/>
    <s v="Green"/>
    <n v="55.000000000000007"/>
    <m/>
    <m/>
    <s v="27/07/2018"/>
    <n v="509.45779999999996"/>
    <n v="66421.750599999999"/>
    <s v="BRL"/>
    <n v="3.7158000000000002"/>
    <n v="5637.1658640000014"/>
    <n v="0"/>
    <s v="BRL"/>
    <n v="3.7158000000000002"/>
    <n v="7820"/>
    <n v="0"/>
    <n v="1517.0800000000004"/>
    <n v="0"/>
    <n v="8.799691978000002"/>
    <n v="0"/>
    <e v="#N/A"/>
    <e v="#N/A"/>
    <n v="6219.0153107537008"/>
    <n v="103.68524893904677"/>
    <n v="112.48494091704676"/>
    <n v="112.48494091704676"/>
    <n v="66399.333266666668"/>
    <n v="22.417333333331044"/>
    <n v="11.640000000000002"/>
    <n v="2.8403080220000003"/>
    <n v="0"/>
    <n v="0"/>
    <n v="1"/>
  </r>
  <r>
    <m/>
    <s v="CERRADO"/>
    <s v="L18:Loja Serra do Salitre"/>
    <s v="SERRA DO SALITRE"/>
    <s v="2018/2019"/>
    <d v="2018-07-06T00:00:00"/>
    <x v="310"/>
    <s v="1072 F1"/>
    <n v="11986"/>
    <s v="kg"/>
    <s v="ARÁBICA"/>
    <s v="Green"/>
    <n v="55.000000000000007"/>
    <m/>
    <m/>
    <s v="20/07/2018"/>
    <n v="430.96359999999993"/>
    <n v="86957.590979999994"/>
    <s v="BRL"/>
    <n v="3.7787000000000002"/>
    <n v="8786.5506507999999"/>
    <n v="0"/>
    <s v="BRL"/>
    <n v="3.7787000000000002"/>
    <n v="11986"/>
    <n v="0"/>
    <n v="2325.2839999999997"/>
    <n v="0"/>
    <n v="8.7996919780000002"/>
    <n v="0"/>
    <e v="#N/A"/>
    <e v="#N/A"/>
    <n v="5173.2553710993716"/>
    <n v="87.087646356792021"/>
    <n v="95.887338334792005"/>
    <n v="95.887338334792005"/>
    <n v="86092.161826666648"/>
    <n v="865.42915333334531"/>
    <n v="11.639999999999997"/>
    <n v="2.8403080219999968"/>
    <n v="0"/>
    <n v="0"/>
    <n v="1"/>
  </r>
  <r>
    <m/>
    <s v="CERRADO"/>
    <s v="L18:Loja Serra do Salitre"/>
    <s v="SERRA DO SALITRE"/>
    <s v="2018/2019"/>
    <d v="2018-07-06T00:00:00"/>
    <x v="311"/>
    <s v="0924 F1"/>
    <n v="2843"/>
    <s v="kg"/>
    <s v="ARÁBICA"/>
    <s v="Green"/>
    <n v="55.000000000000007"/>
    <m/>
    <m/>
    <s v="27/07/2018"/>
    <n v="510.73399999999998"/>
    <n v="24208.4293"/>
    <s v="BRL"/>
    <n v="3.7158000000000002"/>
    <n v="2049.4197636000004"/>
    <n v="0"/>
    <s v="BRL"/>
    <n v="3.7158000000000002"/>
    <n v="2843"/>
    <n v="0"/>
    <n v="551.54200000000003"/>
    <n v="0"/>
    <n v="8.7996919780000002"/>
    <n v="0"/>
    <e v="#N/A"/>
    <e v="#N/A"/>
    <n v="6234.5940443398449"/>
    <n v="103.94489449881586"/>
    <n v="112.74458647681585"/>
    <n v="112.74458647681585"/>
    <n v="24200.279366666666"/>
    <n v="8.1499333333340473"/>
    <n v="11.64"/>
    <n v="2.8403080220000003"/>
    <n v="0"/>
    <n v="0"/>
    <n v="1"/>
  </r>
  <r>
    <m/>
    <s v="CERRADO"/>
    <s v="L18:Loja Serra do Salitre"/>
    <s v="SERRA DO SALITRE"/>
    <s v="2018/2019"/>
    <d v="2018-07-07T00:00:00"/>
    <x v="312"/>
    <s v="0349 F1"/>
    <n v="2283"/>
    <s v="kg"/>
    <s v="ARÁBICA"/>
    <s v="Green"/>
    <n v="45"/>
    <m/>
    <m/>
    <d v="2018-09-07T00:00:00"/>
    <n v="439.60420000000005"/>
    <n v="16729.413059999999"/>
    <s v="BRL"/>
    <n v="3.8679999999999999"/>
    <n v="1401.1288479999996"/>
    <n v="0"/>
    <s v="BRL"/>
    <n v="3.8679999999999999"/>
    <n v="2283"/>
    <n v="0"/>
    <n v="362.23599999999993"/>
    <n v="0"/>
    <n v="7.1969989373333325"/>
    <n v="0"/>
    <n v="4.1306000000000003"/>
    <n v="109.55"/>
    <n v="5155.1476458105999"/>
    <n v="85.931831456396068"/>
    <n v="93.128830393729416"/>
    <n v="93.128830393729416"/>
    <n v="16726.93981"/>
    <n v="2.4732499999990978"/>
    <n v="9.52"/>
    <n v="2.3230010626666671"/>
    <n v="0"/>
    <n v="0"/>
    <n v="1"/>
  </r>
  <r>
    <m/>
    <s v="CERRADO"/>
    <s v="L18:Loja Serra do Salitre"/>
    <s v="SERRA DO SALITRE"/>
    <s v="2018/2019"/>
    <d v="2018-07-07T00:00:00"/>
    <x v="313"/>
    <s v="0349 F1"/>
    <n v="10936"/>
    <s v="kg"/>
    <s v="ARÁBICA"/>
    <s v="Green"/>
    <n v="45"/>
    <m/>
    <m/>
    <s v="18/07/2018"/>
    <n v="460.33479999999992"/>
    <n v="83933.362559999994"/>
    <s v="BRL"/>
    <n v="3.8468"/>
    <n v="6674.8852949333332"/>
    <n v="0"/>
    <s v="BRL"/>
    <n v="3.8468"/>
    <n v="10936"/>
    <n v="0"/>
    <n v="1735.1786666666667"/>
    <n v="0"/>
    <n v="7.1969989373333325"/>
    <n v="0"/>
    <e v="#N/A"/>
    <e v="#N/A"/>
    <n v="5428.0012718487051"/>
    <n v="90.498681918872833"/>
    <n v="97.695680856206167"/>
    <n v="97.695680856206167"/>
    <n v="83903.689546666646"/>
    <n v="29.673013333347626"/>
    <n v="9.52"/>
    <n v="2.3230010626666671"/>
    <n v="0"/>
    <n v="0"/>
    <n v="1"/>
  </r>
  <r>
    <m/>
    <s v="CERRADO"/>
    <s v="L18:Loja Serra do Salitre"/>
    <s v="SERRA DO SALITRE"/>
    <s v="2018/2019"/>
    <d v="2018-07-09T00:00:00"/>
    <x v="314"/>
    <s v="0683 F1"/>
    <n v="11880"/>
    <s v="kg"/>
    <s v="ARÁBICA"/>
    <s v="Green"/>
    <n v="55.000000000000007"/>
    <m/>
    <m/>
    <d v="2018-10-07T00:00:00"/>
    <n v="538.80688999999995"/>
    <n v="106697.844"/>
    <s v="BRL"/>
    <n v="3.8445999999999998"/>
    <n v="8860.7265119999993"/>
    <n v="0"/>
    <s v="BRL"/>
    <n v="3.8445999999999998"/>
    <n v="11880"/>
    <n v="0"/>
    <n v="2304.7199999999998"/>
    <n v="0"/>
    <n v="8.7996919779999985"/>
    <n v="0"/>
    <n v="4.1306000000000003"/>
    <n v="109.55"/>
    <n v="6356.9342508304971"/>
    <n v="105.96288697604433"/>
    <n v="114.76257895404432"/>
    <n v="114.76257895404432"/>
    <n v="106683.76422"/>
    <n v="14.079780000000028"/>
    <n v="11.64"/>
    <n v="2.8403080220000021"/>
    <n v="0"/>
    <n v="0"/>
    <n v="1"/>
  </r>
  <r>
    <m/>
    <s v="CERRADO"/>
    <s v="L18:Loja Serra do Salitre"/>
    <s v="SERRA DO SALITRE"/>
    <s v="2018/2019"/>
    <d v="2018-07-09T00:00:00"/>
    <x v="315"/>
    <s v="0683 F1"/>
    <n v="1320"/>
    <s v="kg"/>
    <s v="ARÁBICA"/>
    <s v="Green"/>
    <n v="55.000000000000007"/>
    <m/>
    <m/>
    <d v="2018-12-07T00:00:00"/>
    <n v="486.03529999999995"/>
    <n v="10692.7788"/>
    <s v="BRL"/>
    <n v="3.8557999999999999"/>
    <n v="987.39326400000004"/>
    <n v="0"/>
    <s v="BRL"/>
    <n v="3.8557999999999999"/>
    <n v="1320"/>
    <n v="0"/>
    <n v="256.08000000000004"/>
    <n v="0"/>
    <n v="8.799691978000002"/>
    <n v="0"/>
    <n v="4.1306000000000003"/>
    <n v="109.55"/>
    <n v="5717.6695790928216"/>
    <n v="95.29451259137663"/>
    <n v="104.09420456937664"/>
    <n v="104.09420456937664"/>
    <n v="10692.776599999999"/>
    <n v="2.2000000008119969E-3"/>
    <n v="11.64"/>
    <n v="2.8403080219999985"/>
    <n v="0"/>
    <n v="0"/>
    <n v="1"/>
  </r>
  <r>
    <m/>
    <s v="CERRADO"/>
    <s v="L18:Loja Serra do Salitre"/>
    <s v="SERRA DO SALITRE"/>
    <s v="2018/2019"/>
    <d v="2018-07-09T00:00:00"/>
    <x v="316"/>
    <s v="0428 F1"/>
    <n v="4203"/>
    <s v="kg"/>
    <s v="ARÁBICA"/>
    <s v="Green"/>
    <n v="45"/>
    <m/>
    <m/>
    <s v="13/07/2018"/>
    <n v="435.49480000000005"/>
    <n v="30646.510740000002"/>
    <s v="BRL"/>
    <n v="3.8738999999999999"/>
    <n v="2583.4109364000001"/>
    <n v="0"/>
    <s v="BRL"/>
    <n v="3.8738999999999999"/>
    <n v="4203"/>
    <n v="0"/>
    <n v="666.87600000000009"/>
    <n v="0"/>
    <n v="7.1969989373333334"/>
    <n v="0"/>
    <e v="#N/A"/>
    <e v="#N/A"/>
    <n v="5099.1795982001604"/>
    <n v="85.376624415823855"/>
    <n v="92.573623353157174"/>
    <n v="92.573623353157174"/>
    <n v="30506.410740000007"/>
    <n v="140.09999999999491"/>
    <n v="9.52"/>
    <n v="2.3230010626666662"/>
    <n v="0"/>
    <n v="0"/>
    <n v="1"/>
  </r>
  <r>
    <m/>
    <s v="CERRADO"/>
    <s v="L18:Loja Serra do Salitre"/>
    <s v="SERRA DO SALITRE"/>
    <s v="2018/2019"/>
    <d v="2018-07-09T00:00:00"/>
    <x v="317"/>
    <s v="1474 F1"/>
    <n v="4200"/>
    <s v="kg"/>
    <s v="ARÁBICA"/>
    <s v="Green"/>
    <n v="45"/>
    <m/>
    <m/>
    <s v="13/07/2018"/>
    <n v="433.37419999999997"/>
    <n v="30488.682000000001"/>
    <s v="BRL"/>
    <n v="3.8738999999999999"/>
    <n v="2581.5669600000001"/>
    <n v="0"/>
    <s v="BRL"/>
    <n v="3.8738999999999999"/>
    <n v="4200"/>
    <n v="0"/>
    <n v="666.40000000000009"/>
    <n v="0"/>
    <n v="7.1969989373333325"/>
    <n v="0"/>
    <e v="#N/A"/>
    <e v="#N/A"/>
    <n v="5074.3496340859083"/>
    <n v="84.997606242486896"/>
    <n v="92.194605179820229"/>
    <n v="92.194605179820229"/>
    <n v="30336.194"/>
    <n v="152.48800000000119"/>
    <n v="9.52"/>
    <n v="2.3230010626666671"/>
    <n v="0"/>
    <n v="0"/>
    <n v="1"/>
  </r>
  <r>
    <m/>
    <s v="CERRADO"/>
    <s v="L18:Loja Serra do Salitre"/>
    <s v="SERRA DO SALITRE"/>
    <s v="2018/2019"/>
    <d v="2018-07-09T00:00:00"/>
    <x v="318"/>
    <s v="0600 F1"/>
    <n v="11930"/>
    <s v="kg"/>
    <s v="ARÁBICA"/>
    <s v="Green"/>
    <n v="45"/>
    <m/>
    <m/>
    <s v="23/07/2018"/>
    <n v="489.29100000000005"/>
    <n v="97321.957500000004"/>
    <s v="BRL"/>
    <n v="3.7909000000000002"/>
    <n v="7175.7693373333332"/>
    <n v="0"/>
    <s v="BRL"/>
    <n v="3.7909000000000002"/>
    <n v="11930"/>
    <n v="0"/>
    <n v="1892.8933333333332"/>
    <n v="0"/>
    <n v="7.1969989373333334"/>
    <n v="0"/>
    <e v="#N/A"/>
    <e v="#N/A"/>
    <n v="5854.5111796583933"/>
    <n v="97.609885683281021"/>
    <n v="104.80688462061434"/>
    <n v="104.80688462061434"/>
    <n v="97287.36050000001"/>
    <n v="34.596999999994296"/>
    <n v="9.52"/>
    <n v="2.3230010626666662"/>
    <n v="0"/>
    <n v="0"/>
    <n v="1"/>
  </r>
  <r>
    <m/>
    <s v="CERRADO"/>
    <s v="L18:Loja Serra do Salitre"/>
    <s v="SERRA DO SALITRE"/>
    <s v="2018/2019"/>
    <d v="2018-07-10T00:00:00"/>
    <x v="319"/>
    <s v="0683 F1"/>
    <n v="12710"/>
    <s v="kg"/>
    <s v="ARÁBICA"/>
    <s v="Green"/>
    <n v="55.000000000000007"/>
    <m/>
    <m/>
    <d v="2018-12-07T00:00:00"/>
    <n v="483.69300000000004"/>
    <n v="102462.30050000001"/>
    <s v="BRL"/>
    <n v="3.8557999999999999"/>
    <n v="9507.4002920000003"/>
    <n v="0"/>
    <s v="BRL"/>
    <n v="3.8557999999999999"/>
    <n v="12710"/>
    <n v="0"/>
    <n v="2465.7400000000002"/>
    <n v="0"/>
    <n v="8.799691978000002"/>
    <n v="0"/>
    <n v="4.1306000000000003"/>
    <n v="109.55"/>
    <n v="5690.1150013592514"/>
    <n v="94.835250022654193"/>
    <n v="103.63494200065421"/>
    <n v="103.63494200065421"/>
    <n v="102462.3005"/>
    <n v="0"/>
    <n v="11.64"/>
    <n v="2.8403080219999985"/>
    <n v="0"/>
    <n v="0"/>
    <n v="1"/>
  </r>
  <r>
    <m/>
    <s v="CERRADO"/>
    <s v="L18:Loja Serra do Salitre"/>
    <s v="SERRA DO SALITRE"/>
    <s v="2018/2019"/>
    <d v="2018-07-10T00:00:00"/>
    <x v="320"/>
    <s v="0600 F1"/>
    <n v="239"/>
    <s v="kg"/>
    <s v="ARÁBICA"/>
    <s v="Green"/>
    <n v="55.000000000000007"/>
    <m/>
    <m/>
    <s v="23/07/2018"/>
    <n v="487.17200000000003"/>
    <n v="1941.1102000000001"/>
    <s v="BRL"/>
    <n v="3.7909000000000002"/>
    <n v="175.76886940000003"/>
    <n v="0"/>
    <s v="BRL"/>
    <n v="3.7909000000000002"/>
    <n v="239"/>
    <n v="0"/>
    <n v="46.366000000000007"/>
    <n v="0"/>
    <n v="8.799691978000002"/>
    <n v="0"/>
    <e v="#N/A"/>
    <e v="#N/A"/>
    <n v="5829.1567194502641"/>
    <n v="97.179733326281379"/>
    <n v="105.97942530428136"/>
    <n v="105.97942530428136"/>
    <n v="1940.5684666666668"/>
    <n v="0.54173333333324081"/>
    <n v="11.640000000000002"/>
    <n v="2.8403080220000003"/>
    <n v="0"/>
    <n v="0"/>
    <n v="1"/>
  </r>
  <r>
    <m/>
    <s v="CERRADO"/>
    <s v="L18:Loja Serra do Salitre"/>
    <s v="SERRA DO SALITRE"/>
    <s v="2018/2019"/>
    <d v="2018-07-10T00:00:00"/>
    <x v="321"/>
    <s v="0139 F1"/>
    <n v="2923"/>
    <s v="kg"/>
    <s v="ARÁBICA"/>
    <s v="Green"/>
    <n v="45"/>
    <m/>
    <m/>
    <s v="25/07/2018"/>
    <n v="424.99360000000001"/>
    <n v="20912.39889"/>
    <s v="BRL"/>
    <n v="3.7113999999999998"/>
    <n v="1721.2829890666665"/>
    <n v="0"/>
    <s v="BRL"/>
    <n v="3.7113999999999998"/>
    <n v="2923"/>
    <n v="0"/>
    <n v="463.78266666666661"/>
    <n v="0"/>
    <n v="7.1969989373333325"/>
    <n v="0"/>
    <e v="#N/A"/>
    <e v="#N/A"/>
    <n v="5194.1007236846472"/>
    <n v="87.438563876141089"/>
    <n v="94.635562813474422"/>
    <n v="94.635562813474422"/>
    <n v="20704.271546666667"/>
    <n v="208.12734333333356"/>
    <n v="9.52"/>
    <n v="2.3230010626666671"/>
    <n v="0"/>
    <n v="0"/>
    <n v="1"/>
  </r>
  <r>
    <m/>
    <s v="CERRADO"/>
    <s v="L18:Loja Serra do Salitre"/>
    <s v="SERRA DO SALITRE"/>
    <s v="2018/2019"/>
    <d v="2018-07-11T00:00:00"/>
    <x v="322"/>
    <s v="0525 F1"/>
    <n v="2988"/>
    <s v="kg"/>
    <s v="ARÁBICA"/>
    <s v="Green"/>
    <n v="55.000000000000007"/>
    <m/>
    <m/>
    <s v="13/07/2018"/>
    <n v="432.84480000000002"/>
    <n v="21555.671040000001"/>
    <s v="BRL"/>
    <n v="3.8738999999999999"/>
    <n v="2245.5913608000001"/>
    <n v="0"/>
    <s v="BRL"/>
    <n v="3.8738999999999999"/>
    <n v="2988"/>
    <n v="0"/>
    <n v="579.67200000000003"/>
    <n v="0"/>
    <n v="8.7996919780000002"/>
    <n v="0"/>
    <e v="#N/A"/>
    <e v="#N/A"/>
    <n v="5068.1509247573767"/>
    <n v="84.469182079289624"/>
    <n v="93.268874057289636"/>
    <n v="93.268874057289636"/>
    <n v="21555.671040000001"/>
    <n v="0"/>
    <n v="11.64"/>
    <n v="2.8403080220000003"/>
    <n v="0"/>
    <n v="0"/>
    <n v="1"/>
  </r>
  <r>
    <m/>
    <s v="CERRADO"/>
    <s v="L18:Loja Serra do Salitre"/>
    <s v="SERRA DO SALITRE"/>
    <s v="2018/2019"/>
    <d v="2018-07-11T00:00:00"/>
    <x v="323"/>
    <s v="1360 F1"/>
    <n v="4204"/>
    <s v="kg"/>
    <s v="ARÁBICA"/>
    <s v="Green"/>
    <n v="55.000000000000007"/>
    <m/>
    <m/>
    <s v="18/07/2018"/>
    <n v="423.70907999999997"/>
    <n v="30404.21084"/>
    <s v="BRL"/>
    <n v="3.8468"/>
    <n v="3137.3577568000001"/>
    <n v="0"/>
    <s v="BRL"/>
    <n v="3.8468"/>
    <n v="4204"/>
    <n v="0"/>
    <n v="815.57600000000002"/>
    <n v="0"/>
    <n v="8.799691978000002"/>
    <n v="0"/>
    <e v="#N/A"/>
    <e v="#N/A"/>
    <n v="4996.1320003046585"/>
    <n v="85.27803042106946"/>
    <n v="94.077722399069472"/>
    <n v="94.077722399069472"/>
    <n v="29687.882871999998"/>
    <n v="716.32796800000142"/>
    <n v="11.64"/>
    <n v="2.8403080219999985"/>
    <n v="0"/>
    <n v="0"/>
    <n v="1"/>
  </r>
  <r>
    <m/>
    <s v="CERRADO"/>
    <s v="L18:Loja Serra do Salitre"/>
    <s v="SERRA DO SALITRE"/>
    <s v="2018/2019"/>
    <d v="2018-07-11T00:00:00"/>
    <x v="324"/>
    <s v="0525 F1"/>
    <n v="2988"/>
    <s v="kg"/>
    <s v="ARÁBICA"/>
    <s v="Green"/>
    <n v="55.000000000000007"/>
    <m/>
    <m/>
    <s v="19/07/2018"/>
    <n v="430.82929999999999"/>
    <n v="21712.54104"/>
    <s v="BRL"/>
    <n v="3.8841000000000001"/>
    <n v="2251.5040152000001"/>
    <n v="0"/>
    <s v="BRL"/>
    <n v="3.8841000000000001"/>
    <n v="2988"/>
    <n v="0"/>
    <n v="579.67200000000003"/>
    <n v="0"/>
    <n v="8.7996919780000002"/>
    <n v="0"/>
    <e v="#N/A"/>
    <e v="#N/A"/>
    <n v="5031.3041181339559"/>
    <n v="84.860463015746248"/>
    <n v="93.660154993746247"/>
    <n v="93.660154993746247"/>
    <n v="21455.299139999999"/>
    <n v="257.2419000000009"/>
    <n v="11.64"/>
    <n v="2.8403080220000003"/>
    <n v="0"/>
    <n v="0"/>
    <n v="1"/>
  </r>
  <r>
    <m/>
    <s v="CERRADO"/>
    <s v="L18:Loja Serra do Salitre"/>
    <s v="SERRA DO SALITRE"/>
    <s v="2018/2019"/>
    <d v="2018-07-11T00:00:00"/>
    <x v="325"/>
    <s v="0873 F1"/>
    <n v="15780"/>
    <s v="kg"/>
    <s v="ARÁBICA"/>
    <s v="Green"/>
    <n v="45"/>
    <m/>
    <m/>
    <s v="23/07/2018"/>
    <n v="481.93039999999996"/>
    <n v="126788.98619999998"/>
    <s v="BRL"/>
    <n v="3.7909000000000002"/>
    <n v="9491.5037840000005"/>
    <n v="0"/>
    <s v="BRL"/>
    <n v="3.7909000000000002"/>
    <n v="15780"/>
    <n v="0"/>
    <n v="2503.7600000000002"/>
    <n v="0"/>
    <n v="7.1969989373333343"/>
    <n v="0"/>
    <e v="#N/A"/>
    <e v="#N/A"/>
    <n v="5766.4394289231577"/>
    <n v="96.138633004096647"/>
    <n v="103.33563194142998"/>
    <n v="103.33563194142998"/>
    <n v="126747.69519999999"/>
    <n v="41.290999999997439"/>
    <n v="9.52"/>
    <n v="2.3230010626666653"/>
    <n v="0"/>
    <n v="0"/>
    <n v="1"/>
  </r>
  <r>
    <m/>
    <s v="CERRADO"/>
    <s v="L18:Loja Serra do Salitre"/>
    <s v="SERRA DO SALITRE"/>
    <s v="2018/2019"/>
    <d v="2018-07-11T00:00:00"/>
    <x v="326"/>
    <s v="1360 F1"/>
    <n v="17956"/>
    <s v="kg"/>
    <s v="ARÁBICA"/>
    <s v="Green"/>
    <n v="55.000000000000007"/>
    <m/>
    <m/>
    <s v="24/07/2018"/>
    <n v="473.85039999999998"/>
    <n v="141850.42483999999"/>
    <s v="BRL"/>
    <n v="3.7452999999999999"/>
    <n v="13046.6177192"/>
    <n v="0"/>
    <s v="BRL"/>
    <n v="3.7452999999999999"/>
    <n v="17956"/>
    <n v="0"/>
    <n v="3483.4639999999999"/>
    <n v="0"/>
    <n v="8.7996919780000002"/>
    <n v="0"/>
    <e v="#N/A"/>
    <e v="#N/A"/>
    <n v="5738.7906432448126"/>
    <n v="95.67537521264785"/>
    <n v="104.47506719064786"/>
    <n v="104.47506719064786"/>
    <n v="141807.62970666666"/>
    <n v="42.795133333333069"/>
    <n v="11.64"/>
    <n v="2.8403080220000003"/>
    <n v="0"/>
    <n v="0"/>
    <n v="1"/>
  </r>
  <r>
    <m/>
    <s v="CERRADO"/>
    <s v="L18:Loja Serra do Salitre"/>
    <s v="SERRA DO SALITRE"/>
    <s v="2018/2019"/>
    <d v="2018-07-11T00:00:00"/>
    <x v="327"/>
    <s v="0525 F1"/>
    <n v="1314"/>
    <s v="kg"/>
    <s v="ARÁBICA"/>
    <s v="Green"/>
    <n v="55.000000000000007"/>
    <m/>
    <m/>
    <s v="25/07/2018"/>
    <n v="424.85940000000005"/>
    <n v="9416.6627399999998"/>
    <s v="BRL"/>
    <n v="3.7113999999999998"/>
    <n v="946.09524239999996"/>
    <n v="0"/>
    <s v="BRL"/>
    <n v="3.7113999999999998"/>
    <n v="1314"/>
    <n v="0"/>
    <n v="254.916"/>
    <n v="0"/>
    <n v="8.7996919780000002"/>
    <n v="0"/>
    <e v="#N/A"/>
    <e v="#N/A"/>
    <n v="5192.4605852987561"/>
    <n v="87.584978614315361"/>
    <n v="96.384670592315359"/>
    <n v="96.384670592315359"/>
    <n v="9304.420860000002"/>
    <n v="112.24187999999776"/>
    <n v="11.64"/>
    <n v="2.8403080220000003"/>
    <n v="0"/>
    <n v="0"/>
    <n v="1"/>
  </r>
  <r>
    <m/>
    <s v="CERRADO"/>
    <s v="L18:Loja Serra do Salitre"/>
    <s v="SERRA DO SALITRE"/>
    <s v="2018/2019"/>
    <d v="2018-07-12T00:00:00"/>
    <x v="328"/>
    <s v="0525 F1"/>
    <n v="1680"/>
    <s v="kg"/>
    <s v="ARÁBICA"/>
    <s v="Green"/>
    <n v="55.000000000000007"/>
    <m/>
    <m/>
    <s v="25/07/2018"/>
    <n v="420.61968000000007"/>
    <n v="11919.432000000001"/>
    <s v="BRL"/>
    <n v="3.7113999999999998"/>
    <n v="1209.619488"/>
    <n v="0"/>
    <s v="BRL"/>
    <n v="3.7113999999999998"/>
    <n v="1680"/>
    <n v="0"/>
    <n v="325.92"/>
    <n v="0"/>
    <n v="8.7996919780000002"/>
    <n v="0"/>
    <e v="#N/A"/>
    <e v="#N/A"/>
    <n v="5140.6444339020763"/>
    <n v="86.711012176348575"/>
    <n v="95.510704154348559"/>
    <n v="95.510704154348559"/>
    <n v="11777.351040000003"/>
    <n v="142.0809599999975"/>
    <n v="11.64"/>
    <n v="2.8403080220000003"/>
    <n v="0"/>
    <n v="0"/>
    <n v="1"/>
  </r>
  <r>
    <m/>
    <s v="CERRADO"/>
    <s v="L18:Loja Serra do Salitre"/>
    <s v="SERRA DO SALITRE"/>
    <s v="2018/2019"/>
    <d v="2018-07-13T00:00:00"/>
    <x v="329"/>
    <s v="1261 F1"/>
    <n v="15210"/>
    <s v="kg"/>
    <s v="ARÁBICA"/>
    <s v="Green"/>
    <n v="45"/>
    <m/>
    <m/>
    <s v="26/07/2018"/>
    <n v="495.75219999999996"/>
    <n v="125713.23569999999"/>
    <s v="BRL"/>
    <n v="3.7237"/>
    <n v="8986.4796839999999"/>
    <n v="0"/>
    <s v="BRL"/>
    <n v="3.7237"/>
    <n v="15210"/>
    <n v="0"/>
    <n v="2413.3200000000002"/>
    <n v="0"/>
    <n v="7.1969989373333343"/>
    <n v="0"/>
    <e v="#N/A"/>
    <e v="#N/A"/>
    <n v="6038.8703528940032"/>
    <n v="100.67991644742864"/>
    <n v="107.87691538476197"/>
    <n v="107.87691538476197"/>
    <n v="125673.18269999999"/>
    <n v="40.052999999999884"/>
    <n v="9.52"/>
    <n v="2.3230010626666653"/>
    <n v="0"/>
    <n v="0"/>
    <n v="1"/>
  </r>
  <r>
    <m/>
    <s v="CERRADO"/>
    <s v="L18:Loja Serra do Salitre"/>
    <s v="SERRA DO SALITRE"/>
    <s v="2018/2019"/>
    <d v="2018-07-13T00:00:00"/>
    <x v="330"/>
    <s v="0924 F1"/>
    <n v="2947"/>
    <s v="kg"/>
    <s v="ARÁBICA"/>
    <s v="Green"/>
    <n v="55.000000000000007"/>
    <m/>
    <m/>
    <s v="27/07/2018"/>
    <n v="506.90539999999999"/>
    <n v="24905.95163"/>
    <s v="BRL"/>
    <n v="3.7158000000000002"/>
    <n v="2124.3897444000004"/>
    <n v="0"/>
    <s v="BRL"/>
    <n v="3.7158000000000002"/>
    <n v="2947"/>
    <n v="0"/>
    <n v="571.71800000000007"/>
    <n v="0"/>
    <n v="8.799691978000002"/>
    <n v="0"/>
    <e v="#N/A"/>
    <e v="#N/A"/>
    <n v="6187.8578435814079"/>
    <n v="103.16595781950859"/>
    <n v="111.96564979750858"/>
    <n v="111.96564979750858"/>
    <n v="24897.503563333335"/>
    <n v="8.44806666666409"/>
    <n v="11.64"/>
    <n v="2.8403080219999985"/>
    <n v="0"/>
    <n v="0"/>
    <n v="1"/>
  </r>
  <r>
    <m/>
    <s v="CERRADO"/>
    <s v="L18:Loja Serra do Salitre"/>
    <s v="SERRA DO SALITRE"/>
    <s v="2018/2019"/>
    <d v="2018-07-14T00:00:00"/>
    <x v="331"/>
    <s v="0873 F1"/>
    <n v="15480"/>
    <s v="kg"/>
    <s v="ARÁBICA"/>
    <s v="Green"/>
    <n v="45"/>
    <m/>
    <m/>
    <s v="23/07/2018"/>
    <n v="481.87220000000008"/>
    <n v="124363.53360000001"/>
    <s v="BRL"/>
    <n v="3.7909000000000002"/>
    <n v="9311.0569439999999"/>
    <n v="0"/>
    <s v="BRL"/>
    <n v="3.7909000000000002"/>
    <n v="15480"/>
    <n v="0"/>
    <n v="2456.16"/>
    <n v="0"/>
    <n v="7.1969989373333343"/>
    <n v="0"/>
    <e v="#N/A"/>
    <e v="#N/A"/>
    <n v="5765.7430487513275"/>
    <n v="96.127026667899472"/>
    <n v="103.32402560523279"/>
    <n v="103.32402560523279"/>
    <n v="124323.02760000002"/>
    <n v="40.505999999993946"/>
    <n v="9.52"/>
    <n v="2.3230010626666653"/>
    <n v="0"/>
    <n v="0"/>
    <n v="1"/>
  </r>
  <r>
    <m/>
    <s v="CERRADO"/>
    <s v="L18:Loja Serra do Salitre"/>
    <s v="SERRA DO SALITRE"/>
    <s v="2018/2019"/>
    <d v="2018-07-14T00:00:00"/>
    <x v="332"/>
    <s v="0924 F1"/>
    <n v="5520"/>
    <s v="kg"/>
    <s v="ARÁBICA"/>
    <s v="Green"/>
    <n v="45"/>
    <m/>
    <m/>
    <s v="27/07/2018"/>
    <n v="503.75700000000001"/>
    <n v="46361.928"/>
    <s v="BRL"/>
    <n v="3.7158000000000002"/>
    <n v="3254.4462720000001"/>
    <n v="0"/>
    <s v="BRL"/>
    <n v="3.7158000000000002"/>
    <n v="5520"/>
    <n v="0"/>
    <n v="875.84"/>
    <n v="0"/>
    <n v="7.1969989373333334"/>
    <n v="0"/>
    <e v="#N/A"/>
    <e v="#N/A"/>
    <n v="6149.4249296003545"/>
    <n v="102.52642651361752"/>
    <n v="109.72342545095086"/>
    <n v="109.72342545095086"/>
    <n v="46345.644"/>
    <n v="16.283999999999651"/>
    <n v="9.52"/>
    <n v="2.3230010626666662"/>
    <n v="0"/>
    <n v="0"/>
    <n v="1"/>
  </r>
  <r>
    <m/>
    <s v="CERRADO"/>
    <s v="L18:Loja Serra do Salitre"/>
    <s v="SERRA DO SALITRE"/>
    <s v="2018/2019"/>
    <d v="2018-07-14T00:00:00"/>
    <x v="333"/>
    <s v="0924 F1"/>
    <n v="420"/>
    <s v="kg"/>
    <s v="ARÁBICA"/>
    <s v="Green"/>
    <n v="45"/>
    <m/>
    <m/>
    <s v="27/07/2018"/>
    <n v="512.93239999999992"/>
    <n v="3591.6887999999994"/>
    <s v="BRL"/>
    <n v="3.7158000000000002"/>
    <n v="247.62091200000003"/>
    <n v="0"/>
    <s v="BRL"/>
    <n v="3.7158000000000002"/>
    <n v="420"/>
    <n v="0"/>
    <n v="66.64"/>
    <n v="0"/>
    <n v="7.1969989373333343"/>
    <n v="0"/>
    <e v="#N/A"/>
    <e v="#N/A"/>
    <n v="6261.4301890787438"/>
    <n v="104.39094286524571"/>
    <n v="111.58794180257901"/>
    <n v="111.58794180257901"/>
    <n v="3590.5267999999996"/>
    <n v="1.1619999999998072"/>
    <n v="9.52"/>
    <n v="2.3230010626666653"/>
    <n v="0"/>
    <n v="0"/>
    <n v="1"/>
  </r>
  <r>
    <m/>
    <s v="CERRADO"/>
    <s v="L18:Loja Serra do Salitre"/>
    <s v="SERRA DO SALITRE"/>
    <s v="2018/2019"/>
    <d v="2018-07-16T00:00:00"/>
    <x v="334"/>
    <s v="0349 F1"/>
    <n v="6220"/>
    <s v="kg"/>
    <s v="ARÁBICA"/>
    <s v="Green"/>
    <n v="55.000000000000007"/>
    <m/>
    <m/>
    <s v="18/07/2018"/>
    <n v="470.86380000000003"/>
    <n v="48817.234600000003"/>
    <s v="BRL"/>
    <n v="3.8468"/>
    <n v="4641.856624"/>
    <n v="0"/>
    <s v="BRL"/>
    <n v="3.8468"/>
    <n v="6220"/>
    <n v="0"/>
    <n v="1206.68"/>
    <n v="0"/>
    <n v="8.799691978000002"/>
    <n v="0"/>
    <e v="#N/A"/>
    <e v="#N/A"/>
    <n v="5552.1531399918376"/>
    <n v="92.544139660993565"/>
    <n v="101.34383163899358"/>
    <n v="101.34383163899358"/>
    <n v="48812.880600000004"/>
    <n v="4.3539999999993597"/>
    <n v="11.64"/>
    <n v="2.8403080219999985"/>
    <n v="0"/>
    <n v="0"/>
    <n v="1"/>
  </r>
  <r>
    <m/>
    <s v="CERRADO"/>
    <s v="L18:Loja Serra do Salitre"/>
    <s v="SERRA DO SALITRE"/>
    <s v="2018/2019"/>
    <d v="2018-07-16T00:00:00"/>
    <x v="335"/>
    <s v="1179 F1"/>
    <n v="360"/>
    <s v="kg"/>
    <s v="ARÁBICA"/>
    <s v="Green"/>
    <n v="45"/>
    <m/>
    <m/>
    <s v="19/07/2018"/>
    <n v="427.66400000000004"/>
    <n v="2578.8816000000002"/>
    <s v="BRL"/>
    <n v="3.8841000000000001"/>
    <n v="221.85979200000003"/>
    <n v="0"/>
    <s v="BRL"/>
    <n v="3.8841000000000001"/>
    <n v="360"/>
    <n v="0"/>
    <n v="57.120000000000005"/>
    <n v="0"/>
    <n v="7.1969989373333334"/>
    <n v="0"/>
    <e v="#N/A"/>
    <e v="#N/A"/>
    <n v="4994.3391602605498"/>
    <n v="83.657376433078454"/>
    <n v="90.854375370411788"/>
    <n v="90.854375370411788"/>
    <n v="2565.9839999999999"/>
    <n v="12.897600000000239"/>
    <n v="9.52"/>
    <n v="2.3230010626666662"/>
    <n v="0"/>
    <n v="0"/>
    <n v="1"/>
  </r>
  <r>
    <m/>
    <s v="CERRADO"/>
    <s v="L18:Loja Serra do Salitre"/>
    <s v="SERRA DO SALITRE"/>
    <s v="2018/2019"/>
    <d v="2018-07-16T00:00:00"/>
    <x v="336"/>
    <s v="1179 F1"/>
    <n v="180"/>
    <s v="kg"/>
    <s v="ARÁBICA"/>
    <s v="Green"/>
    <n v="45"/>
    <m/>
    <m/>
    <s v="19/07/2018"/>
    <n v="427.66400000000004"/>
    <n v="1289.4408000000001"/>
    <s v="BRL"/>
    <n v="3.8841000000000001"/>
    <n v="110.92989600000001"/>
    <n v="0"/>
    <s v="BRL"/>
    <n v="3.8841000000000001"/>
    <n v="180"/>
    <n v="0"/>
    <n v="28.560000000000002"/>
    <n v="0"/>
    <n v="7.1969989373333334"/>
    <n v="0"/>
    <e v="#N/A"/>
    <e v="#N/A"/>
    <n v="4994.3391602605498"/>
    <n v="83.657376433078454"/>
    <n v="90.854375370411788"/>
    <n v="90.854375370411788"/>
    <n v="1282.992"/>
    <n v="6.4488000000001193"/>
    <n v="9.52"/>
    <n v="2.3230010626666662"/>
    <n v="0"/>
    <n v="0"/>
    <n v="1"/>
  </r>
  <r>
    <m/>
    <s v="CERRADO"/>
    <s v="L18:Loja Serra do Salitre"/>
    <s v="SERRA DO SALITRE"/>
    <s v="2018/2019"/>
    <d v="2018-07-16T00:00:00"/>
    <x v="337"/>
    <s v="0873 F1"/>
    <n v="2936"/>
    <s v="kg"/>
    <s v="ARÁBICA"/>
    <s v="Green"/>
    <n v="45"/>
    <m/>
    <m/>
    <s v="23/07/2018"/>
    <n v="483.20740000000012"/>
    <n v="23652.680240000002"/>
    <s v="BRL"/>
    <n v="3.7909000000000002"/>
    <n v="1765.9730741333333"/>
    <n v="0"/>
    <s v="BRL"/>
    <n v="3.7909000000000002"/>
    <n v="2936"/>
    <n v="0"/>
    <n v="465.84533333333331"/>
    <n v="0"/>
    <n v="7.1969989373333325"/>
    <n v="0"/>
    <e v="#N/A"/>
    <e v="#N/A"/>
    <n v="5781.71911070031"/>
    <n v="96.393493788633307"/>
    <n v="103.59049272596663"/>
    <n v="103.59049272596663"/>
    <n v="23644.948773333341"/>
    <n v="7.7314666666607081"/>
    <n v="9.52"/>
    <n v="2.3230010626666671"/>
    <n v="0"/>
    <n v="0"/>
    <n v="1"/>
  </r>
  <r>
    <m/>
    <s v="CERRADO"/>
    <s v="L18:Loja Serra do Salitre"/>
    <s v="SERRA DO SALITRE"/>
    <s v="2018/2019"/>
    <d v="2018-07-18T00:00:00"/>
    <x v="338"/>
    <s v="1360 F1"/>
    <n v="6630"/>
    <s v="kg"/>
    <s v="ARÁBICA"/>
    <s v="Green"/>
    <n v="55.000000000000007"/>
    <m/>
    <m/>
    <s v="24/07/2018"/>
    <n v="471.71559999999999"/>
    <n v="52140.3753"/>
    <s v="BRL"/>
    <n v="3.7452999999999999"/>
    <n v="4817.2797659999997"/>
    <n v="0"/>
    <s v="BRL"/>
    <n v="3.7452999999999999"/>
    <n v="6630"/>
    <n v="0"/>
    <n v="1286.22"/>
    <n v="0"/>
    <n v="8.7996919779999985"/>
    <n v="0"/>
    <e v="#N/A"/>
    <e v="#N/A"/>
    <n v="5712.9361324853026"/>
    <n v="95.244466699989331"/>
    <n v="104.04415867798932"/>
    <n v="104.04415867798932"/>
    <n v="52124.573799999998"/>
    <n v="15.801500000001397"/>
    <n v="11.639999999999999"/>
    <n v="2.8403080220000003"/>
    <n v="0"/>
    <n v="0"/>
    <n v="1"/>
  </r>
  <r>
    <m/>
    <s v="CERRADO"/>
    <s v="L18:Loja Serra do Salitre"/>
    <s v="SERRA DO SALITRE"/>
    <s v="2018/2019"/>
    <d v="2018-07-20T00:00:00"/>
    <x v="339"/>
    <s v="1360 F1"/>
    <n v="13930"/>
    <s v="kg"/>
    <s v="ARÁBICA"/>
    <s v="Green"/>
    <n v="45"/>
    <m/>
    <m/>
    <s v="24/07/2018"/>
    <n v="474.87300000000005"/>
    <n v="110283.11350000001"/>
    <s v="BRL"/>
    <n v="3.7452999999999999"/>
    <n v="8277.9619346666659"/>
    <n v="0"/>
    <s v="BRL"/>
    <n v="3.7452999999999999"/>
    <n v="13930"/>
    <n v="0"/>
    <n v="2210.2266666666665"/>
    <n v="0"/>
    <n v="7.1969989373333334"/>
    <n v="0"/>
    <e v="#N/A"/>
    <e v="#N/A"/>
    <n v="5751.1753269166693"/>
    <n v="95.881988456772504"/>
    <n v="103.07898739410585"/>
    <n v="103.07898739410585"/>
    <n v="110249.68150000001"/>
    <n v="33.432000000000698"/>
    <n v="9.52"/>
    <n v="2.3230010626666662"/>
    <n v="0"/>
    <n v="0"/>
    <n v="1"/>
  </r>
  <r>
    <m/>
    <s v="CERRADO"/>
    <s v="L18:Loja Serra do Salitre"/>
    <s v="SERRA DO SALITRE"/>
    <s v="2018/2019"/>
    <d v="2018-07-19T00:00:00"/>
    <x v="340"/>
    <s v="0600 F1"/>
    <n v="10960"/>
    <s v="kg"/>
    <s v="ARÁBICA"/>
    <s v="Green"/>
    <n v="45"/>
    <m/>
    <m/>
    <s v="23/07/2018"/>
    <n v="485.98560000000003"/>
    <n v="88805.153600000005"/>
    <s v="BRL"/>
    <n v="3.7909000000000002"/>
    <n v="6592.3245546666667"/>
    <n v="0"/>
    <s v="BRL"/>
    <n v="3.7909000000000002"/>
    <n v="10960"/>
    <n v="0"/>
    <n v="1738.9866666666667"/>
    <n v="0"/>
    <n v="7.1969989373333343"/>
    <n v="0"/>
    <e v="#N/A"/>
    <e v="#N/A"/>
    <n v="5814.9610934045222"/>
    <n v="96.950717579049851"/>
    <n v="104.14771651638318"/>
    <n v="104.14771651638318"/>
    <n v="88773.369600000005"/>
    <n v="31.783999999999651"/>
    <n v="9.52"/>
    <n v="2.3230010626666653"/>
    <n v="0"/>
    <n v="0"/>
    <n v="1"/>
  </r>
  <r>
    <m/>
    <s v="CERRADO"/>
    <s v="L18:Loja Serra do Salitre"/>
    <s v="SERRA DO SALITRE"/>
    <s v="2018/2019"/>
    <d v="2018-07-21T00:00:00"/>
    <x v="341"/>
    <s v="0491 F1"/>
    <n v="1776"/>
    <s v="kg"/>
    <s v="ARÁBICA"/>
    <s v="Green"/>
    <n v="55.000000000000007"/>
    <m/>
    <m/>
    <s v="26/07/2018"/>
    <n v="428.18420000000003"/>
    <n v="12737.951520000001"/>
    <s v="BRL"/>
    <n v="3.7237"/>
    <n v="1282.9784928000001"/>
    <n v="0"/>
    <s v="BRL"/>
    <n v="3.7237"/>
    <n v="1776"/>
    <n v="0"/>
    <n v="344.54400000000004"/>
    <n v="0"/>
    <n v="8.7996919780000002"/>
    <n v="0"/>
    <e v="#N/A"/>
    <e v="#N/A"/>
    <n v="5215.8091703024957"/>
    <n v="87.367052866232498"/>
    <n v="96.166744844232525"/>
    <n v="96.166744844232525"/>
    <n v="12674.252320000001"/>
    <n v="63.699199999999109"/>
    <n v="11.640000000000002"/>
    <n v="2.8403080220000021"/>
    <n v="0"/>
    <n v="0"/>
    <n v="1"/>
  </r>
  <r>
    <m/>
    <s v="CERRADO"/>
    <s v="L18:Loja Serra do Salitre"/>
    <s v="SERRA DO SALITRE"/>
    <s v="2018/2019"/>
    <d v="2018-07-23T00:00:00"/>
    <x v="342"/>
    <s v="1552 F1"/>
    <n v="6639"/>
    <s v="kg"/>
    <s v="ARÁBICA"/>
    <s v="Green"/>
    <n v="45"/>
    <m/>
    <m/>
    <s v="26/07/2018"/>
    <n v="463.24279999999999"/>
    <n v="51278.17542"/>
    <s v="BRL"/>
    <n v="3.7237"/>
    <n v="3922.5008956000001"/>
    <n v="0"/>
    <s v="BRL"/>
    <n v="3.7237"/>
    <n v="6639"/>
    <n v="0"/>
    <n v="1053.3880000000001"/>
    <n v="0"/>
    <n v="7.1969989373333334"/>
    <n v="0"/>
    <e v="#N/A"/>
    <e v="#N/A"/>
    <n v="5642.8659542239175"/>
    <n v="94.085121668195626"/>
    <n v="101.28212060552896"/>
    <n v="101.28212060552896"/>
    <n v="51257.815820000003"/>
    <n v="20.359599999996135"/>
    <n v="9.5200000000000014"/>
    <n v="2.3230010626666679"/>
    <n v="0"/>
    <n v="0"/>
    <n v="1"/>
  </r>
  <r>
    <m/>
    <s v="CERRADO"/>
    <s v="L18:Loja Serra do Salitre"/>
    <s v="SERRA DO SALITRE"/>
    <s v="2018/2019"/>
    <d v="2018-07-23T00:00:00"/>
    <x v="343"/>
    <s v="1552 F1"/>
    <n v="6600"/>
    <s v="kg"/>
    <s v="ARÁBICA"/>
    <s v="Green"/>
    <n v="45"/>
    <m/>
    <m/>
    <s v="26/07/2018"/>
    <n v="465.38770000000005"/>
    <n v="51212.898000000001"/>
    <s v="BRL"/>
    <n v="3.7237"/>
    <n v="3899.4586399999998"/>
    <n v="0"/>
    <s v="BRL"/>
    <n v="3.7237"/>
    <n v="6600"/>
    <n v="0"/>
    <n v="1047.2"/>
    <n v="0"/>
    <n v="7.1969989373333334"/>
    <n v="0"/>
    <e v="#N/A"/>
    <e v="#N/A"/>
    <n v="5668.9934691798217"/>
    <n v="94.520600552839923"/>
    <n v="101.71759949017326"/>
    <n v="101.71759949017326"/>
    <n v="51192.647000000004"/>
    <n v="20.250999999996566"/>
    <n v="9.52"/>
    <n v="2.3230010626666662"/>
    <n v="0"/>
    <n v="0"/>
    <n v="1"/>
  </r>
  <r>
    <m/>
    <s v="CERRADO"/>
    <s v="L18:Loja Serra do Salitre"/>
    <s v="SERRA DO SALITRE"/>
    <s v="2018/2019"/>
    <d v="2018-07-23T00:00:00"/>
    <x v="344"/>
    <s v="1552 F1"/>
    <n v="2871"/>
    <s v="kg"/>
    <s v="ARÁBICA"/>
    <s v="Green"/>
    <n v="45"/>
    <m/>
    <m/>
    <s v="27/07/2018"/>
    <n v="418.96939999999995"/>
    <n v="20148.44832"/>
    <s v="BRL"/>
    <n v="3.7158000000000002"/>
    <n v="1692.6658056000001"/>
    <n v="0"/>
    <s v="BRL"/>
    <n v="3.7158000000000002"/>
    <n v="2871"/>
    <n v="0"/>
    <n v="455.53199999999998"/>
    <n v="0"/>
    <n v="7.1969989373333343"/>
    <n v="0"/>
    <e v="#N/A"/>
    <e v="#N/A"/>
    <n v="5114.4120540254589"/>
    <n v="85.668630315689754"/>
    <n v="92.865629253023101"/>
    <n v="92.865629253023101"/>
    <n v="20047.68579"/>
    <n v="100.76252999999997"/>
    <n v="9.52"/>
    <n v="2.3230010626666653"/>
    <n v="0"/>
    <n v="0"/>
    <n v="1"/>
  </r>
  <r>
    <m/>
    <s v="CERRADO"/>
    <s v="L18:Loja Serra do Salitre"/>
    <s v="SERRA DO SALITRE"/>
    <s v="2018/2019"/>
    <d v="2018-07-24T00:00:00"/>
    <x v="345"/>
    <s v="0208 F1"/>
    <n v="12043"/>
    <s v="kg"/>
    <s v="ARÁBICA"/>
    <s v="Green"/>
    <n v="45"/>
    <m/>
    <m/>
    <s v="25/07/2018"/>
    <n v="476.19659999999993"/>
    <n v="95617.325379999995"/>
    <s v="BRL"/>
    <n v="3.7113999999999998"/>
    <n v="7091.8272450666664"/>
    <n v="0"/>
    <s v="BRL"/>
    <n v="3.7113999999999998"/>
    <n v="12043"/>
    <n v="0"/>
    <n v="1910.8226666666667"/>
    <n v="0"/>
    <n v="7.1969989373333343"/>
    <n v="0"/>
    <e v="#N/A"/>
    <e v="#N/A"/>
    <n v="5819.8831810082993"/>
    <n v="97.035328889211613"/>
    <n v="104.23232782654495"/>
    <n v="104.23232782654495"/>
    <n v="95580.594229999988"/>
    <n v="36.731150000006892"/>
    <n v="9.5200000000000014"/>
    <n v="2.3230010626666671"/>
    <n v="0"/>
    <n v="0"/>
    <n v="1"/>
  </r>
  <r>
    <m/>
    <s v="CERRADO"/>
    <s v="L18:Loja Serra do Salitre"/>
    <s v="SERRA DO SALITRE"/>
    <s v="2018/2019"/>
    <d v="2018-07-24T00:00:00"/>
    <x v="346"/>
    <s v="0208 F1"/>
    <n v="2217"/>
    <s v="kg"/>
    <s v="ARÁBICA"/>
    <s v="Green"/>
    <n v="45"/>
    <m/>
    <m/>
    <s v="26/07/2018"/>
    <n v="513.13198999999986"/>
    <n v="18960.2274"/>
    <s v="BRL"/>
    <n v="3.7237"/>
    <n v="1309.8636068000001"/>
    <n v="0"/>
    <s v="BRL"/>
    <n v="3.7237"/>
    <n v="2217"/>
    <n v="0"/>
    <n v="351.76400000000001"/>
    <n v="0"/>
    <n v="7.1969989373333343"/>
    <n v="0"/>
    <e v="#N/A"/>
    <e v="#N/A"/>
    <n v="6250.5775295248341"/>
    <n v="104.17629418895186"/>
    <n v="111.3732931262852"/>
    <n v="111.3732931262852"/>
    <n v="18960.227030499995"/>
    <n v="3.6950000503566116E-4"/>
    <n v="9.5200000000000014"/>
    <n v="2.3230010626666671"/>
    <n v="0"/>
    <n v="0"/>
    <n v="1"/>
  </r>
  <r>
    <m/>
    <s v="CERRADO"/>
    <s v="L15:Loja Rio Paranaíba"/>
    <s v="IBIA"/>
    <s v="2018/2019"/>
    <d v="2018-07-12T00:00:00"/>
    <x v="347"/>
    <s v="1256 F1"/>
    <n v="6000"/>
    <s v="kg"/>
    <s v="ARÁBICA"/>
    <s v="Green"/>
    <n v="55.000000000000007"/>
    <m/>
    <m/>
    <s v="17/07/2018"/>
    <n v="448.20239000000004"/>
    <n v="44820.24"/>
    <s v="BRL"/>
    <n v="3.8664999999999998"/>
    <n v="4500.6059999999998"/>
    <n v="0"/>
    <s v="BRL"/>
    <n v="3.8664999999999998"/>
    <n v="6000"/>
    <n v="0"/>
    <n v="1164"/>
    <n v="0"/>
    <n v="8.7996919780000002"/>
    <n v="0"/>
    <e v="#N/A"/>
    <e v="#N/A"/>
    <n v="5258.0158882649521"/>
    <n v="87.633600092972983"/>
    <n v="96.433292070972982"/>
    <n v="96.433292070972982"/>
    <n v="44820.239000000009"/>
    <n v="9.9999998928979039E-4"/>
    <n v="11.639999999999999"/>
    <n v="2.8403080219999985"/>
    <n v="0"/>
    <n v="0"/>
    <n v="1"/>
  </r>
  <r>
    <m/>
    <s v="CERRADO"/>
    <s v="L15:Loja Rio Paranaíba"/>
    <s v="PATOS DE MINAS"/>
    <s v="2018/2019"/>
    <d v="2018-07-10T00:00:00"/>
    <x v="348"/>
    <s v="1260 F1"/>
    <n v="19000"/>
    <s v="kg"/>
    <s v="ARÁBICA"/>
    <s v="Green"/>
    <n v="55.000000000000007"/>
    <m/>
    <m/>
    <s v="26/07/2018"/>
    <n v="484.9692"/>
    <n v="153624.31"/>
    <s v="BRL"/>
    <n v="3.7237"/>
    <n v="13725.558199999999"/>
    <n v="0"/>
    <s v="BRL"/>
    <n v="3.7237"/>
    <n v="19000"/>
    <n v="0"/>
    <n v="3686"/>
    <n v="0"/>
    <n v="8.7996919780000002"/>
    <n v="0"/>
    <e v="#N/A"/>
    <e v="#N/A"/>
    <n v="5907.5201763032483"/>
    <n v="98.491193482592593"/>
    <n v="107.29088546059259"/>
    <n v="107.29088546059259"/>
    <n v="153573.58000000002"/>
    <n v="50.729999999981374"/>
    <n v="11.64"/>
    <n v="2.8403080220000003"/>
    <n v="0"/>
    <n v="0"/>
    <n v="1"/>
  </r>
  <r>
    <m/>
    <s v="CERRADO"/>
    <s v="L15:Loja Rio Paranaíba"/>
    <s v="PATOS DE MINAS"/>
    <s v="2018/2019"/>
    <d v="2018-07-16T00:00:00"/>
    <x v="349"/>
    <s v="1260 F1"/>
    <n v="15240"/>
    <s v="kg"/>
    <s v="ARÁBICA"/>
    <s v="Green"/>
    <n v="55.000000000000007"/>
    <m/>
    <m/>
    <s v="26/07/2018"/>
    <n v="493.5367"/>
    <n v="125398.9872"/>
    <s v="BRL"/>
    <n v="3.7237"/>
    <n v="11009.342472"/>
    <n v="0"/>
    <s v="BRL"/>
    <n v="3.7237"/>
    <n v="15240"/>
    <n v="0"/>
    <n v="2956.56"/>
    <n v="0"/>
    <n v="8.799691978000002"/>
    <n v="0"/>
    <e v="#N/A"/>
    <e v="#N/A"/>
    <n v="6011.8828432735991"/>
    <n v="100.23055096338589"/>
    <n v="109.03024294138589"/>
    <n v="109.03024294138589"/>
    <n v="125358.32180000001"/>
    <n v="40.665399999998044"/>
    <n v="11.64"/>
    <n v="2.8403080219999985"/>
    <n v="0"/>
    <n v="0"/>
    <n v="1"/>
  </r>
  <r>
    <m/>
    <s v="CERRADO"/>
    <s v="L15:Loja Rio Paranaíba"/>
    <s v="PATOS DE MINAS"/>
    <s v="2018/2019"/>
    <d v="2018-07-20T00:00:00"/>
    <x v="350"/>
    <s v="1260 F1"/>
    <n v="12390"/>
    <s v="kg"/>
    <s v="ARÁBICA"/>
    <s v="Green"/>
    <n v="45"/>
    <m/>
    <m/>
    <s v="26/07/2018"/>
    <n v="494.76130000000001"/>
    <n v="102201.2691"/>
    <s v="BRL"/>
    <n v="3.7237"/>
    <n v="7320.3473560000002"/>
    <n v="0"/>
    <s v="BRL"/>
    <n v="3.7237"/>
    <n v="12390"/>
    <n v="0"/>
    <n v="1965.88"/>
    <n v="0"/>
    <n v="7.1969989373333334"/>
    <n v="0"/>
    <e v="#N/A"/>
    <e v="#N/A"/>
    <n v="6026.7999745221432"/>
    <n v="100.47916981752827"/>
    <n v="107.67616875486161"/>
    <n v="107.67616875486161"/>
    <n v="102168.20845000001"/>
    <n v="33.060649999999441"/>
    <n v="9.5200000000000014"/>
    <n v="2.3230010626666679"/>
    <n v="0"/>
    <n v="0"/>
    <n v="1"/>
  </r>
  <r>
    <m/>
    <s v="CERRADO"/>
    <s v="L15:Loja Rio Paranaíba"/>
    <s v="PATOS DE MINAS"/>
    <s v="2018/2019"/>
    <d v="2018-07-19T00:00:00"/>
    <x v="351"/>
    <s v="1102 F1"/>
    <n v="4188"/>
    <s v="kg"/>
    <s v="ARÁBICA"/>
    <s v="Green"/>
    <n v="45"/>
    <m/>
    <m/>
    <s v="25/07/2018"/>
    <n v="423.9228"/>
    <n v="30036.000959999998"/>
    <s v="BRL"/>
    <n v="3.7113999999999998"/>
    <n v="2466.2104543999999"/>
    <n v="0"/>
    <s v="BRL"/>
    <n v="3.7113999999999998"/>
    <n v="4188"/>
    <n v="0"/>
    <n v="664.49599999999998"/>
    <n v="0"/>
    <n v="7.1969989373333343"/>
    <n v="0"/>
    <e v="#N/A"/>
    <e v="#N/A"/>
    <n v="5181.0138370705399"/>
    <n v="87.652319616597524"/>
    <n v="94.849318553930843"/>
    <n v="94.849318553930843"/>
    <n v="29589.811440000001"/>
    <n v="446.18951999999626"/>
    <n v="9.5200000000000014"/>
    <n v="2.3230010626666671"/>
    <n v="0"/>
    <n v="0"/>
    <n v="1"/>
  </r>
  <r>
    <m/>
    <s v="CERRADO"/>
    <s v="L15:Loja Rio Paranaíba"/>
    <s v="PATOS DE MINAS"/>
    <s v="2018/2019"/>
    <d v="2018-07-19T00:00:00"/>
    <x v="352"/>
    <s v="1063 F1"/>
    <n v="8735"/>
    <s v="kg"/>
    <s v="ARÁBICA"/>
    <s v="Green"/>
    <n v="45"/>
    <m/>
    <m/>
    <s v="26/07/2018"/>
    <n v="502.29189999999994"/>
    <n v="73149.161099999998"/>
    <s v="BRL"/>
    <n v="3.7237"/>
    <n v="5160.8744273333341"/>
    <n v="0"/>
    <s v="BRL"/>
    <n v="3.7237"/>
    <n v="8735"/>
    <n v="0"/>
    <n v="1385.9533333333336"/>
    <n v="0"/>
    <n v="7.1969989373333334"/>
    <n v="0"/>
    <e v="#N/A"/>
    <e v="#N/A"/>
    <n v="6118.5319266536762"/>
    <n v="102.00876656003973"/>
    <n v="109.20576549737306"/>
    <n v="109.20576549737306"/>
    <n v="73125.329108333317"/>
    <n v="23.831991666680551"/>
    <n v="9.5200000000000014"/>
    <n v="2.3230010626666679"/>
    <n v="0"/>
    <n v="0"/>
    <n v="1"/>
  </r>
  <r>
    <m/>
    <s v="CERRADO"/>
    <s v="L15:Loja Rio Paranaíba"/>
    <s v="PATOS DE MINAS"/>
    <s v="2018/2019"/>
    <d v="2018-07-19T00:00:00"/>
    <x v="353"/>
    <s v="1102 F1"/>
    <n v="4547"/>
    <s v="kg"/>
    <s v="ARÁBICA"/>
    <s v="Green"/>
    <n v="45"/>
    <m/>
    <m/>
    <s v="26/07/2018"/>
    <n v="480.42000000000007"/>
    <n v="36419.696670000005"/>
    <s v="BRL"/>
    <n v="3.7237"/>
    <n v="2686.4906721333332"/>
    <n v="0"/>
    <s v="BRL"/>
    <n v="3.7237"/>
    <n v="4547"/>
    <n v="0"/>
    <n v="721.45733333333328"/>
    <n v="0"/>
    <n v="7.1969989373333334"/>
    <n v="0"/>
    <e v="#N/A"/>
    <e v="#N/A"/>
    <n v="5852.1053359669158"/>
    <n v="97.566881936667841"/>
    <n v="104.76388087400117"/>
    <n v="104.76388087400117"/>
    <n v="36407.829000000005"/>
    <n v="11.867669999999634"/>
    <n v="9.52"/>
    <n v="2.3230010626666662"/>
    <n v="0"/>
    <n v="0"/>
    <n v="1"/>
  </r>
  <r>
    <m/>
    <s v="CERRADO"/>
    <s v="L15:Loja Rio Paranaíba"/>
    <s v="PATOS DE MINAS"/>
    <s v="2018/2019"/>
    <d v="2018-07-25T00:00:00"/>
    <x v="354"/>
    <s v="1260 F1"/>
    <n v="12645"/>
    <s v="kg"/>
    <s v="ARÁBICA"/>
    <s v="Green"/>
    <n v="51.666666666666664"/>
    <m/>
    <m/>
    <s v="26/07/2018"/>
    <n v="495.98902613681287"/>
    <n v="104563.43950000001"/>
    <s v="BRL"/>
    <n v="3.7237"/>
    <n v="8352.5321713333324"/>
    <n v="0"/>
    <s v="BRL"/>
    <n v="3.7237"/>
    <n v="12645"/>
    <n v="0"/>
    <n v="2243.0733333333333"/>
    <n v="0"/>
    <n v="8.0461917702686172"/>
    <n v="0"/>
    <e v="#N/A"/>
    <e v="#N/A"/>
    <n v="6041.755185954532"/>
    <n v="100.72843409851555"/>
    <n v="108.77462586878416"/>
    <n v="108.77462586878416"/>
    <n v="104529.6872583333"/>
    <n v="33.752241666705231"/>
    <n v="10.643289837880584"/>
    <n v="2.5970980676119666"/>
    <n v="0"/>
    <n v="0"/>
    <n v="1"/>
  </r>
  <r>
    <m/>
    <s v="CERRADO"/>
    <s v="L15:Loja Rio Paranaíba"/>
    <s v="RIO PARANAIBA"/>
    <s v="2018/2019"/>
    <d v="2018-06-14T00:00:00"/>
    <x v="355"/>
    <s v="0954 F1"/>
    <n v="8240"/>
    <s v="kg"/>
    <s v="ARÁBICA"/>
    <s v="Green"/>
    <n v="55.000000000000007"/>
    <m/>
    <m/>
    <s v="23/07/2018"/>
    <n v="453.0967"/>
    <n v="62245.536800000002"/>
    <s v="BRL"/>
    <n v="3.7909000000000002"/>
    <n v="6059.9811040000013"/>
    <n v="0"/>
    <s v="BRL"/>
    <n v="3.7909000000000002"/>
    <n v="8240"/>
    <n v="0"/>
    <n v="1598.5600000000002"/>
    <n v="0"/>
    <n v="8.799691978000002"/>
    <n v="0"/>
    <e v="#N/A"/>
    <e v="#N/A"/>
    <n v="5421.435701078346"/>
    <n v="90.386676368300385"/>
    <n v="99.186368346300412"/>
    <n v="99.186368346300412"/>
    <n v="62225.280133333334"/>
    <n v="20.256666666668025"/>
    <n v="11.640000000000002"/>
    <n v="2.8403080220000003"/>
    <n v="0"/>
    <n v="0"/>
    <n v="1"/>
  </r>
  <r>
    <m/>
    <s v="CERRADO"/>
    <s v="L15:Loja Rio Paranaíba"/>
    <s v="RIO PARANAIBA"/>
    <s v="2018/2019"/>
    <d v="2018-06-18T00:00:00"/>
    <x v="356"/>
    <s v="0954 F1"/>
    <n v="10100"/>
    <s v="kg"/>
    <s v="ARÁBICA"/>
    <s v="Green"/>
    <n v="55.000000000000007"/>
    <m/>
    <m/>
    <s v="23/07/2018"/>
    <n v="453.0967"/>
    <n v="76296.107000000004"/>
    <s v="BRL"/>
    <n v="3.7909000000000002"/>
    <n v="7427.8894600000003"/>
    <n v="0"/>
    <s v="BRL"/>
    <n v="3.7909000000000002"/>
    <n v="10100"/>
    <n v="0"/>
    <n v="1959.4"/>
    <n v="0"/>
    <n v="8.7996919780000002"/>
    <n v="0"/>
    <e v="#N/A"/>
    <e v="#N/A"/>
    <n v="5421.435701078346"/>
    <n v="90.386676368300414"/>
    <n v="99.186368346300426"/>
    <n v="99.186368346300426"/>
    <n v="76271.277833333326"/>
    <n v="24.829166666677338"/>
    <n v="11.64"/>
    <n v="2.8403080220000003"/>
    <n v="0"/>
    <n v="0"/>
    <n v="1"/>
  </r>
  <r>
    <m/>
    <s v="CERRADO"/>
    <s v="L15:Loja Rio Paranaíba"/>
    <s v="RIO PARANAIBA"/>
    <s v="2018/2019"/>
    <d v="2018-06-18T00:00:00"/>
    <x v="357"/>
    <s v="1230 F1"/>
    <n v="2645"/>
    <s v="kg"/>
    <s v="ARÁBICA"/>
    <s v="Green"/>
    <n v="45"/>
    <m/>
    <m/>
    <s v="23/07/2018"/>
    <n v="434.94499999999999"/>
    <n v="19350.158749999999"/>
    <s v="BRL"/>
    <n v="3.7909000000000002"/>
    <n v="1590.9396393333336"/>
    <n v="0"/>
    <s v="BRL"/>
    <n v="3.7909000000000002"/>
    <n v="2645"/>
    <n v="0"/>
    <n v="419.6733333333334"/>
    <n v="0"/>
    <n v="7.1969989373333343"/>
    <n v="0"/>
    <e v="#N/A"/>
    <e v="#N/A"/>
    <n v="5204.2452549434165"/>
    <n v="87.535107252301557"/>
    <n v="94.732106189634891"/>
    <n v="94.732106189634891"/>
    <n v="19173.825416666667"/>
    <n v="176.33333333333212"/>
    <n v="9.5200000000000014"/>
    <n v="2.3230010626666671"/>
    <n v="0"/>
    <n v="0"/>
    <n v="1"/>
  </r>
  <r>
    <m/>
    <s v="CERRADO"/>
    <s v="L15:Loja Rio Paranaíba"/>
    <s v="RIO PARANAIBA"/>
    <s v="2018/2019"/>
    <d v="2018-06-20T00:00:00"/>
    <x v="358"/>
    <s v="0722 F1"/>
    <n v="9040"/>
    <s v="kg"/>
    <s v="ARÁBICA"/>
    <s v="Green"/>
    <n v="55.000000000000007"/>
    <m/>
    <m/>
    <s v="25/06/2018"/>
    <n v="514.1694"/>
    <n v="77468.189599999998"/>
    <s v="BRL"/>
    <n v="3.7753999999999999"/>
    <n v="6621.1455039999992"/>
    <n v="0"/>
    <s v="BRL"/>
    <n v="3.7753999999999999"/>
    <n v="9040"/>
    <n v="0"/>
    <n v="1753.7599999999998"/>
    <n v="0"/>
    <n v="8.7996919780000002"/>
    <n v="0"/>
    <e v="#N/A"/>
    <e v="#N/A"/>
    <n v="6177.4465414917104"/>
    <n v="102.95744235819518"/>
    <n v="111.75713433619516"/>
    <n v="111.75713433619516"/>
    <n v="77468.189599999998"/>
    <n v="0"/>
    <n v="11.64"/>
    <n v="2.8403080220000003"/>
    <n v="0"/>
    <n v="0"/>
    <n v="1"/>
  </r>
  <r>
    <m/>
    <s v="CERRADO"/>
    <s v="L15:Loja Rio Paranaíba"/>
    <s v="RIO PARANAIBA"/>
    <s v="2018/2019"/>
    <d v="2018-06-21T00:00:00"/>
    <x v="359"/>
    <s v="0722 F1"/>
    <n v="7782"/>
    <s v="kg"/>
    <s v="ARÁBICA"/>
    <s v="Green"/>
    <n v="45"/>
    <m/>
    <m/>
    <d v="2018-11-07T00:00:00"/>
    <n v="511.97970000000009"/>
    <n v="66417.969240000006"/>
    <s v="BRL"/>
    <n v="3.8411"/>
    <n v="4742.7751783999993"/>
    <n v="0"/>
    <s v="BRL"/>
    <n v="3.8411"/>
    <n v="7782"/>
    <n v="0"/>
    <n v="1234.7439999999999"/>
    <n v="0"/>
    <n v="7.1969989373333334"/>
    <n v="0"/>
    <n v="4.1306000000000003"/>
    <n v="109.55"/>
    <n v="6045.9265709012798"/>
    <n v="100.78699412468826"/>
    <n v="107.9839930620216"/>
    <n v="107.9839930620216"/>
    <n v="66403.767090000008"/>
    <n v="14.202149999997346"/>
    <n v="9.52"/>
    <n v="2.3230010626666662"/>
    <n v="0"/>
    <n v="0"/>
    <n v="1"/>
  </r>
  <r>
    <m/>
    <s v="CERRADO"/>
    <s v="L15:Loja Rio Paranaíba"/>
    <s v="RIO PARANAIBA"/>
    <s v="2018/2019"/>
    <d v="2018-06-21T00:00:00"/>
    <x v="360"/>
    <s v="0722 F1"/>
    <n v="1078"/>
    <s v="kg"/>
    <s v="ARÁBICA"/>
    <s v="Green"/>
    <n v="45"/>
    <m/>
    <m/>
    <s v="19/07/2018"/>
    <n v="502.89790000000005"/>
    <n v="9038.3508600000005"/>
    <s v="BRL"/>
    <n v="3.8841000000000001"/>
    <n v="664.3468216"/>
    <n v="0"/>
    <s v="BRL"/>
    <n v="3.8841000000000001"/>
    <n v="1078"/>
    <n v="0"/>
    <n v="171.04266666666666"/>
    <n v="0"/>
    <n v="7.1969989373333325"/>
    <n v="0"/>
    <e v="#N/A"/>
    <e v="#N/A"/>
    <n v="5872.9345364182955"/>
    <n v="97.914221035938837"/>
    <n v="105.11121997327218"/>
    <n v="105.11121997327218"/>
    <n v="9035.3989366666665"/>
    <n v="2.9519233333339798"/>
    <n v="9.5199999999999978"/>
    <n v="2.3230010626666653"/>
    <n v="0"/>
    <n v="0"/>
    <n v="1"/>
  </r>
  <r>
    <m/>
    <s v="CERRADO"/>
    <s v="L15:Loja Rio Paranaíba"/>
    <s v="RIO PARANAIBA"/>
    <s v="2018/2019"/>
    <d v="2018-06-22T00:00:00"/>
    <x v="361"/>
    <s v="0831 F1"/>
    <n v="3768"/>
    <s v="kg"/>
    <s v="ARÁBICA"/>
    <s v="Green"/>
    <n v="55.000000000000007"/>
    <m/>
    <m/>
    <s v="25/06/2018"/>
    <n v="703.27499999999998"/>
    <n v="44165.67"/>
    <s v="BRL"/>
    <n v="3.7753999999999999"/>
    <n v="2759.7871967999999"/>
    <n v="0"/>
    <s v="BRL"/>
    <n v="3.7753999999999999"/>
    <n v="3768"/>
    <n v="0"/>
    <n v="730.99199999999996"/>
    <n v="0"/>
    <n v="8.7996919779999985"/>
    <n v="0"/>
    <e v="#N/A"/>
    <e v="#N/A"/>
    <n v="8449.4404304643213"/>
    <n v="140.82400717440535"/>
    <n v="149.62369915240532"/>
    <n v="149.62369915240532"/>
    <n v="44165.67"/>
    <n v="0"/>
    <n v="11.64"/>
    <n v="2.8403080220000021"/>
    <n v="0"/>
    <n v="0"/>
    <n v="1"/>
  </r>
  <r>
    <m/>
    <s v="CERRADO"/>
    <s v="L15:Loja Rio Paranaíba"/>
    <s v="RIO PARANAIBA"/>
    <s v="2018/2019"/>
    <d v="2018-06-26T00:00:00"/>
    <x v="362"/>
    <s v="0831 F1"/>
    <n v="8784"/>
    <s v="kg"/>
    <s v="ARÁBICA"/>
    <s v="Green"/>
    <n v="55.000000000000007"/>
    <m/>
    <m/>
    <s v="28/06/2018"/>
    <n v="709.21165846083784"/>
    <n v="103828.58744"/>
    <s v="BRL"/>
    <n v="3.8515000000000001"/>
    <n v="6563.3257440000016"/>
    <n v="0"/>
    <s v="BRL"/>
    <n v="3.8515000000000001"/>
    <n v="8784"/>
    <n v="0"/>
    <n v="1704.0960000000005"/>
    <n v="0"/>
    <n v="8.799691978000002"/>
    <n v="0"/>
    <e v="#N/A"/>
    <e v="#N/A"/>
    <n v="8352.4080745912506"/>
    <n v="139.20680210304667"/>
    <n v="148.0064940810467"/>
    <n v="148.0064940810467"/>
    <n v="103828.58679866667"/>
    <n v="6.4133333216886967E-4"/>
    <n v="11.64"/>
    <n v="2.8403080219999985"/>
    <n v="0"/>
    <n v="0"/>
    <n v="1"/>
  </r>
  <r>
    <m/>
    <s v="CERRADO"/>
    <s v="L15:Loja Rio Paranaíba"/>
    <s v="RIO PARANAIBA"/>
    <s v="2018/2019"/>
    <d v="2018-06-26T00:00:00"/>
    <x v="363"/>
    <s v="1193 F1"/>
    <n v="5874"/>
    <s v="kg"/>
    <s v="ARÁBICA"/>
    <s v="Green"/>
    <n v="55.000000000000007"/>
    <m/>
    <m/>
    <d v="2018-03-07T00:00:00"/>
    <n v="448.34219999999993"/>
    <n v="43892.701379999999"/>
    <s v="BRL"/>
    <n v="3.8914"/>
    <n v="4434.4682184000003"/>
    <n v="0"/>
    <s v="BRL"/>
    <n v="3.8914"/>
    <n v="5874"/>
    <n v="0"/>
    <n v="1139.556"/>
    <n v="0"/>
    <n v="8.7996919780000002"/>
    <n v="0"/>
    <n v="3.2454000000000001"/>
    <n v="118.15"/>
    <n v="5226.000952588116"/>
    <n v="87.100015876468632"/>
    <n v="95.89970785446863"/>
    <n v="95.89970785446863"/>
    <n v="43892.701379999991"/>
    <n v="0"/>
    <n v="11.64"/>
    <n v="2.8403080220000003"/>
    <n v="0"/>
    <n v="0"/>
    <n v="1"/>
  </r>
  <r>
    <m/>
    <s v="CERRADO"/>
    <s v="L15:Loja Rio Paranaíba"/>
    <s v="RIO PARANAIBA"/>
    <s v="2018/2019"/>
    <d v="2018-06-26T00:00:00"/>
    <x v="364"/>
    <s v="1193 F1"/>
    <n v="4496"/>
    <s v="kg"/>
    <s v="ARÁBICA"/>
    <s v="Green"/>
    <n v="55.000000000000007"/>
    <m/>
    <m/>
    <s v="23/07/2018"/>
    <n v="463.2595"/>
    <n v="34724.586239999997"/>
    <s v="BRL"/>
    <n v="3.7909000000000002"/>
    <n v="3306.5139616000006"/>
    <n v="0"/>
    <s v="BRL"/>
    <n v="3.7909000000000002"/>
    <n v="4496"/>
    <n v="0"/>
    <n v="872.22400000000016"/>
    <n v="0"/>
    <n v="8.799691978000002"/>
    <n v="0"/>
    <e v="#N/A"/>
    <e v="#N/A"/>
    <n v="5543.0366015989621"/>
    <n v="92.413238390693493"/>
    <n v="101.21293036869349"/>
    <n v="101.21293036869349"/>
    <n v="34713.578533333333"/>
    <n v="11.00770666666358"/>
    <n v="11.640000000000002"/>
    <n v="2.8403080220000003"/>
    <n v="0"/>
    <n v="0"/>
    <n v="1"/>
  </r>
  <r>
    <m/>
    <s v="CERRADO"/>
    <s v="L15:Loja Rio Paranaíba"/>
    <s v="RIO PARANAIBA"/>
    <s v="2018/2019"/>
    <d v="2018-07-02T00:00:00"/>
    <x v="365"/>
    <s v="0831 F1"/>
    <n v="10604"/>
    <s v="kg"/>
    <s v="ARÁBICA"/>
    <s v="Green"/>
    <n v="55.000000000000007"/>
    <m/>
    <m/>
    <d v="2018-03-07T00:00:00"/>
    <n v="713.70150000000012"/>
    <n v="126151.33431999999"/>
    <s v="BRL"/>
    <n v="3.8914"/>
    <n v="8005.2946864000005"/>
    <n v="0"/>
    <s v="BRL"/>
    <n v="3.8914"/>
    <n v="10604"/>
    <n v="0"/>
    <n v="2057.1759999999999"/>
    <n v="0"/>
    <n v="8.7996919780000002"/>
    <n v="0"/>
    <n v="3.2454000000000001"/>
    <n v="118.15"/>
    <n v="8319.1025044342659"/>
    <n v="138.66983391824536"/>
    <n v="147.46952589624533"/>
    <n v="147.46952589624533"/>
    <n v="126134.84510000002"/>
    <n v="16.489219999974011"/>
    <n v="11.64"/>
    <n v="2.8403080220000003"/>
    <n v="0"/>
    <n v="0"/>
    <n v="1"/>
  </r>
  <r>
    <m/>
    <s v="CERRADO"/>
    <s v="L15:Loja Rio Paranaíba"/>
    <s v="RIO PARANAIBA"/>
    <s v="2018/2019"/>
    <d v="2018-07-02T00:00:00"/>
    <x v="366"/>
    <s v="1357 F1"/>
    <n v="5991"/>
    <s v="kg"/>
    <s v="ARÁBICA"/>
    <s v="Green"/>
    <n v="55.000000000000007"/>
    <m/>
    <m/>
    <d v="2018-04-07T00:00:00"/>
    <n v="476.7647"/>
    <n v="47620.362150000001"/>
    <s v="BRL"/>
    <n v="3.9051999999999998"/>
    <n v="4538.8343207999997"/>
    <n v="0"/>
    <s v="BRL"/>
    <n v="3.9051999999999998"/>
    <n v="5991"/>
    <n v="0"/>
    <n v="1162.2539999999999"/>
    <n v="0"/>
    <n v="8.7996919779999985"/>
    <n v="0"/>
    <n v="3.3696999999999999"/>
    <n v="116.8"/>
    <n v="5537.6633771724628"/>
    <n v="92.3242597511139"/>
    <n v="101.12395172911391"/>
    <n v="101.12395172911391"/>
    <n v="47604.955295"/>
    <n v="15.406855000001087"/>
    <n v="11.64"/>
    <n v="2.8403080220000021"/>
    <n v="0"/>
    <n v="0"/>
    <n v="1"/>
  </r>
  <r>
    <m/>
    <s v="CERRADO"/>
    <s v="L15:Loja Rio Paranaíba"/>
    <s v="RIO PARANAIBA"/>
    <s v="2018/2019"/>
    <d v="2018-07-02T00:00:00"/>
    <x v="367"/>
    <s v="0831 F1"/>
    <n v="698"/>
    <s v="kg"/>
    <s v="ARÁBICA"/>
    <s v="Green"/>
    <n v="55.000000000000007"/>
    <m/>
    <m/>
    <d v="2018-05-07T00:00:00"/>
    <n v="731.69929999999999"/>
    <n v="8513.20586"/>
    <s v="BRL"/>
    <n v="3.9186000000000001"/>
    <n v="530.62546320000001"/>
    <n v="0"/>
    <s v="BRL"/>
    <n v="3.9186000000000001"/>
    <n v="698"/>
    <n v="0"/>
    <n v="135.41200000000001"/>
    <n v="0"/>
    <n v="8.7996919780000002"/>
    <n v="0"/>
    <n v="3.5533999999999999"/>
    <n v="118.45"/>
    <n v="8469.6886544771351"/>
    <n v="141.17978594832084"/>
    <n v="149.97947792632084"/>
    <n v="149.97947792632084"/>
    <n v="8512.1018566666662"/>
    <n v="1.1040033333338215"/>
    <n v="11.64"/>
    <n v="2.8403080220000003"/>
    <n v="0"/>
    <n v="0"/>
    <n v="1"/>
  </r>
  <r>
    <m/>
    <s v="CERRADO"/>
    <s v="L15:Loja Rio Paranaíba"/>
    <s v="RIO PARANAIBA"/>
    <s v="2018/2019"/>
    <d v="2018-07-02T00:00:00"/>
    <x v="368"/>
    <s v="0674 F1"/>
    <n v="299"/>
    <s v="kg"/>
    <s v="ARÁBICA"/>
    <s v="Green"/>
    <n v="55.000000000000007"/>
    <m/>
    <m/>
    <s v="20/07/2018"/>
    <n v="425.67420000000004"/>
    <n v="2131.9387700000002"/>
    <s v="BRL"/>
    <n v="3.7787000000000002"/>
    <n v="219.1872722"/>
    <n v="0"/>
    <s v="BRL"/>
    <n v="3.7787000000000002"/>
    <n v="299"/>
    <n v="0"/>
    <n v="58.005999999999993"/>
    <n v="0"/>
    <n v="8.7996919780000002"/>
    <n v="0"/>
    <e v="#N/A"/>
    <e v="#N/A"/>
    <n v="5109.7618023620298"/>
    <n v="85.59075672440521"/>
    <n v="94.390448702405223"/>
    <n v="94.390448702405223"/>
    <n v="2121.2764300000003"/>
    <n v="10.662339999999858"/>
    <n v="11.639999999999997"/>
    <n v="2.8403080219999968"/>
    <n v="0"/>
    <n v="0"/>
    <n v="1"/>
  </r>
  <r>
    <m/>
    <s v="CERRADO"/>
    <s v="L15:Loja Rio Paranaíba"/>
    <s v="RIO PARANAIBA"/>
    <s v="2018/2019"/>
    <d v="2018-07-02T00:00:00"/>
    <x v="369"/>
    <s v="0954 F1"/>
    <n v="12770"/>
    <s v="kg"/>
    <s v="ARÁBICA"/>
    <s v="Green"/>
    <n v="45"/>
    <m/>
    <m/>
    <s v="23/07/2018"/>
    <n v="449.73489999999998"/>
    <n v="95749.970799999996"/>
    <s v="BRL"/>
    <n v="3.7909000000000002"/>
    <n v="7681.0204893333339"/>
    <n v="0"/>
    <s v="BRL"/>
    <n v="3.7909000000000002"/>
    <n v="12770"/>
    <n v="0"/>
    <n v="2026.1733333333334"/>
    <n v="0"/>
    <n v="7.1969989373333343"/>
    <n v="0"/>
    <e v="#N/A"/>
    <e v="#N/A"/>
    <n v="5381.2107721837292"/>
    <n v="89.716260886723475"/>
    <n v="96.913259824056809"/>
    <n v="96.913259824056809"/>
    <n v="95718.577883333332"/>
    <n v="31.39291666666395"/>
    <n v="9.52"/>
    <n v="2.3230010626666653"/>
    <n v="0"/>
    <n v="0"/>
    <n v="1"/>
  </r>
  <r>
    <m/>
    <s v="CERRADO"/>
    <s v="L15:Loja Rio Paranaíba"/>
    <s v="RIO PARANAIBA"/>
    <s v="2018/2019"/>
    <d v="2018-07-02T00:00:00"/>
    <x v="370"/>
    <s v="1230 F1"/>
    <n v="3353"/>
    <s v="kg"/>
    <s v="ARÁBICA"/>
    <s v="Green"/>
    <n v="45"/>
    <m/>
    <m/>
    <s v="23/07/2018"/>
    <n v="436.0052"/>
    <n v="24588.957259999999"/>
    <s v="BRL"/>
    <n v="3.7909000000000002"/>
    <n v="2016.7941817333333"/>
    <n v="0"/>
    <s v="BRL"/>
    <n v="3.7909000000000002"/>
    <n v="3353"/>
    <n v="0"/>
    <n v="532.0093333333333"/>
    <n v="0"/>
    <n v="7.1969989373333343"/>
    <n v="0"/>
    <e v="#N/A"/>
    <e v="#N/A"/>
    <n v="5216.930860754017"/>
    <n v="87.746534015811548"/>
    <n v="94.943532953144882"/>
    <n v="94.943532953144882"/>
    <n v="24365.423926666666"/>
    <n v="223.53333333333285"/>
    <n v="9.52"/>
    <n v="2.3230010626666653"/>
    <n v="0"/>
    <n v="0"/>
    <n v="1"/>
  </r>
  <r>
    <m/>
    <s v="CERRADO"/>
    <s v="L15:Loja Rio Paranaíba"/>
    <s v="RIO PARANAIBA"/>
    <s v="2018/2019"/>
    <d v="2018-07-03T00:00:00"/>
    <x v="371"/>
    <s v="0954 F1"/>
    <n v="11360"/>
    <s v="kg"/>
    <s v="ARÁBICA"/>
    <s v="Green"/>
    <n v="45"/>
    <m/>
    <m/>
    <s v="23/07/2018"/>
    <n v="454.21629999999993"/>
    <n v="86026.212799999994"/>
    <s v="BRL"/>
    <n v="3.7909000000000002"/>
    <n v="6832.9203413333335"/>
    <n v="0"/>
    <s v="BRL"/>
    <n v="3.7909000000000002"/>
    <n v="11360"/>
    <n v="0"/>
    <n v="1802.4533333333334"/>
    <n v="0"/>
    <n v="7.1969989373333343"/>
    <n v="0"/>
    <e v="#N/A"/>
    <e v="#N/A"/>
    <n v="5434.8320454148352"/>
    <n v="90.60994877390857"/>
    <n v="97.806947711241904"/>
    <n v="97.806947711241904"/>
    <n v="85998.286133333328"/>
    <n v="27.926666666666279"/>
    <n v="9.52"/>
    <n v="2.3230010626666653"/>
    <n v="0"/>
    <n v="0"/>
    <n v="1"/>
  </r>
  <r>
    <m/>
    <s v="CERRADO"/>
    <s v="L15:Loja Rio Paranaíba"/>
    <s v="RIO PARANAIBA"/>
    <s v="2018/2019"/>
    <d v="2018-07-04T00:00:00"/>
    <x v="372"/>
    <s v="0954 F1"/>
    <n v="3860"/>
    <s v="kg"/>
    <s v="ARÁBICA"/>
    <s v="Green"/>
    <n v="45"/>
    <m/>
    <m/>
    <s v="23/07/2018"/>
    <n v="455.33710000000002"/>
    <n v="29302.8426"/>
    <s v="BRL"/>
    <n v="3.7909000000000002"/>
    <n v="2321.7493413333332"/>
    <n v="0"/>
    <s v="BRL"/>
    <n v="3.7909000000000002"/>
    <n v="3860"/>
    <n v="0"/>
    <n v="612.45333333333326"/>
    <n v="0"/>
    <n v="7.1969989373333334"/>
    <n v="0"/>
    <e v="#N/A"/>
    <e v="#N/A"/>
    <n v="5448.2427481053837"/>
    <n v="90.833460485417703"/>
    <n v="98.030459422751051"/>
    <n v="98.030459422751051"/>
    <n v="29293.353433333334"/>
    <n v="9.4891666666662786"/>
    <n v="9.5199999999999978"/>
    <n v="2.3230010626666644"/>
    <n v="0"/>
    <n v="0"/>
    <n v="1"/>
  </r>
  <r>
    <m/>
    <s v="CERRADO"/>
    <s v="L15:Loja Rio Paranaíba"/>
    <s v="RIO PARANAIBA"/>
    <s v="2018/2019"/>
    <d v="2018-07-05T00:00:00"/>
    <x v="373"/>
    <s v="0831 F1"/>
    <n v="6312"/>
    <s v="kg"/>
    <s v="ARÁBICA"/>
    <s v="Green"/>
    <n v="50"/>
    <m/>
    <m/>
    <d v="2018-09-07T00:00:00"/>
    <n v="737.3853446768062"/>
    <n v="77635.416540000006"/>
    <s v="BRL"/>
    <n v="3.8679999999999999"/>
    <n v="4013.4935306666662"/>
    <n v="0"/>
    <s v="BRL"/>
    <n v="3.8679999999999999"/>
    <n v="6312"/>
    <n v="0"/>
    <n v="1037.6146666666666"/>
    <n v="0"/>
    <n v="7.4564970817505278"/>
    <n v="0"/>
    <n v="4.1306000000000003"/>
    <n v="109.55"/>
    <n v="8647.1656177667901"/>
    <n v="144.23550267311379"/>
    <n v="151.69199975486427"/>
    <n v="151.69199975486427"/>
    <n v="77572.93826000001"/>
    <n v="62.478279999995721"/>
    <n v="9.8632572877059559"/>
    <n v="2.4067602059554281"/>
    <n v="0"/>
    <n v="0"/>
    <n v="1"/>
  </r>
  <r>
    <m/>
    <s v="CERRADO"/>
    <s v="L15:Loja Rio Paranaíba"/>
    <s v="RIO PARANAIBA"/>
    <s v="2018/2019"/>
    <d v="2018-07-05T00:00:00"/>
    <x v="374"/>
    <s v="0606 F1"/>
    <n v="1020"/>
    <s v="kg"/>
    <s v="ARÁBICA"/>
    <s v="Green"/>
    <n v="55.000000000000007"/>
    <m/>
    <m/>
    <d v="2018-09-07T00:00:00"/>
    <n v="453.38059999999996"/>
    <n v="7713.7601999999997"/>
    <s v="BRL"/>
    <n v="3.8679999999999999"/>
    <n v="765.39983999999993"/>
    <n v="0"/>
    <s v="BRL"/>
    <n v="3.8679999999999999"/>
    <n v="1020"/>
    <n v="0"/>
    <n v="197.88"/>
    <n v="0"/>
    <n v="8.7996919780000002"/>
    <n v="0"/>
    <n v="4.1306000000000003"/>
    <n v="109.55"/>
    <n v="5316.7006428650975"/>
    <n v="88.683992607256982"/>
    <n v="97.483684585256967"/>
    <n v="97.483684585256967"/>
    <n v="7707.4701999999988"/>
    <n v="6.2900000000008731"/>
    <n v="11.64"/>
    <n v="2.8403080220000003"/>
    <n v="0"/>
    <n v="0"/>
    <n v="1"/>
  </r>
  <r>
    <m/>
    <s v="CERRADO"/>
    <s v="L15:Loja Rio Paranaíba"/>
    <s v="RIO PARANAIBA"/>
    <s v="2018/2019"/>
    <d v="2018-07-06T00:00:00"/>
    <x v="375"/>
    <s v="0831 F1"/>
    <n v="5926"/>
    <s v="kg"/>
    <s v="ARÁBICA"/>
    <s v="Green"/>
    <n v="50"/>
    <m/>
    <m/>
    <d v="2018-10-07T00:00:00"/>
    <n v="713.27819790752619"/>
    <n v="70459.764480000013"/>
    <s v="BRL"/>
    <n v="3.8445999999999998"/>
    <n v="4304.9985391999999"/>
    <n v="0"/>
    <s v="BRL"/>
    <n v="3.8445999999999998"/>
    <n v="5926"/>
    <n v="0"/>
    <n v="1119.752"/>
    <n v="0"/>
    <n v="8.5708903728018893"/>
    <n v="0"/>
    <n v="4.1306000000000003"/>
    <n v="109.55"/>
    <n v="8415.3760666442249"/>
    <n v="140.27947084129423"/>
    <n v="148.85036121409613"/>
    <n v="148.85036121409613"/>
    <n v="70448.110013333338"/>
    <n v="11.654466666674125"/>
    <n v="11.337347283158961"/>
    <n v="2.7664569103570713"/>
    <n v="0"/>
    <n v="0"/>
    <n v="1"/>
  </r>
  <r>
    <m/>
    <s v="CERRADO"/>
    <s v="L15:Loja Rio Paranaíba"/>
    <s v="RIO PARANAIBA"/>
    <s v="2018/2019"/>
    <d v="2018-07-06T00:00:00"/>
    <x v="376"/>
    <s v="0831 F1"/>
    <n v="2236"/>
    <s v="kg"/>
    <s v="ARÁBICA"/>
    <s v="Green"/>
    <n v="45"/>
    <m/>
    <m/>
    <s v="17/07/2018"/>
    <n v="425.19390000000004"/>
    <n v="16116.394840000001"/>
    <s v="BRL"/>
    <n v="3.8664999999999998"/>
    <n v="1371.7517146666664"/>
    <n v="0"/>
    <s v="BRL"/>
    <n v="3.8664999999999998"/>
    <n v="2236"/>
    <n v="0"/>
    <n v="354.7786666666666"/>
    <n v="0"/>
    <n v="7.1969989373333334"/>
    <n v="0"/>
    <e v="#N/A"/>
    <e v="#N/A"/>
    <n v="4988.0954043849224"/>
    <n v="84.555882305064031"/>
    <n v="91.752881242397351"/>
    <n v="91.752881242397351"/>
    <n v="15845.559340000002"/>
    <n v="270.83549999999923"/>
    <n v="9.52"/>
    <n v="2.3230010626666662"/>
    <n v="0"/>
    <n v="0"/>
    <n v="1"/>
  </r>
  <r>
    <m/>
    <s v="CERRADO"/>
    <s v="L15:Loja Rio Paranaíba"/>
    <s v="RIO PARANAIBA"/>
    <s v="2018/2019"/>
    <d v="2018-07-09T00:00:00"/>
    <x v="377"/>
    <s v="0947 F1"/>
    <n v="11244"/>
    <s v="kg"/>
    <s v="ARÁBICA"/>
    <s v="Green"/>
    <n v="55.000000000000007"/>
    <m/>
    <m/>
    <s v="13/07/2018"/>
    <n v="477.73965624332976"/>
    <n v="89557.589760000003"/>
    <s v="BRL"/>
    <n v="3.8738999999999999"/>
    <n v="8450.2775304000006"/>
    <n v="0"/>
    <s v="BRL"/>
    <n v="3.8738999999999999"/>
    <n v="11244"/>
    <n v="0"/>
    <n v="2181.3360000000002"/>
    <n v="0"/>
    <n v="8.799691978000002"/>
    <n v="0"/>
    <e v="#N/A"/>
    <e v="#N/A"/>
    <n v="5593.8218053743576"/>
    <n v="93.260748105013136"/>
    <n v="102.06044008301315"/>
    <n v="102.06044008301315"/>
    <n v="89528.41158"/>
    <n v="29.178180000002612"/>
    <n v="11.640000000000002"/>
    <n v="2.8403080220000003"/>
    <n v="0"/>
    <n v="0"/>
    <n v="1"/>
  </r>
  <r>
    <m/>
    <s v="CERRADO"/>
    <s v="L15:Loja Rio Paranaíba"/>
    <s v="RIO PARANAIBA"/>
    <s v="2018/2019"/>
    <d v="2018-07-09T00:00:00"/>
    <x v="378"/>
    <s v="0647 F1"/>
    <n v="3529"/>
    <s v="kg"/>
    <s v="ARÁBICA"/>
    <s v="Green"/>
    <n v="45"/>
    <m/>
    <m/>
    <s v="16/07/2018"/>
    <n v="487.89889999999991"/>
    <n v="28708.450289999997"/>
    <s v="BRL"/>
    <n v="3.8573"/>
    <n v="2159.835989733333"/>
    <n v="0"/>
    <s v="BRL"/>
    <n v="3.8573"/>
    <n v="3529"/>
    <n v="0"/>
    <n v="559.93466666666654"/>
    <n v="0"/>
    <n v="7.1969989373333325"/>
    <n v="0"/>
    <e v="#N/A"/>
    <e v="#N/A"/>
    <n v="5737.3608060403121"/>
    <n v="95.662211025165263"/>
    <n v="102.85920996249858"/>
    <n v="102.85920996249858"/>
    <n v="28696.586968333329"/>
    <n v="11.863321666667616"/>
    <n v="9.5199999999999978"/>
    <n v="2.3230010626666653"/>
    <n v="0"/>
    <n v="0"/>
    <n v="1"/>
  </r>
  <r>
    <m/>
    <s v="CERRADO"/>
    <s v="L15:Loja Rio Paranaíba"/>
    <s v="RIO PARANAIBA"/>
    <s v="2018/2019"/>
    <d v="2018-07-09T00:00:00"/>
    <x v="379"/>
    <s v="0831 F1"/>
    <n v="5570"/>
    <s v="kg"/>
    <s v="ARÁBICA"/>
    <s v="Green"/>
    <n v="55.000000000000007"/>
    <m/>
    <m/>
    <s v="17/07/2018"/>
    <n v="427.31366000000008"/>
    <n v="40346.963400000001"/>
    <s v="BRL"/>
    <n v="3.8664999999999998"/>
    <n v="4178.0625700000001"/>
    <n v="0"/>
    <s v="BRL"/>
    <n v="3.8664999999999998"/>
    <n v="5570"/>
    <n v="0"/>
    <n v="1080.5800000000002"/>
    <n v="0"/>
    <n v="8.7996919780000002"/>
    <n v="0"/>
    <e v="#N/A"/>
    <e v="#N/A"/>
    <n v="5012.9630356336284"/>
    <n v="84.977389452460883"/>
    <n v="93.777081430460882"/>
    <n v="93.777081430460882"/>
    <n v="39668.95143666667"/>
    <n v="678.01196333333064"/>
    <n v="11.64"/>
    <n v="2.8403080220000003"/>
    <n v="0"/>
    <n v="0"/>
    <n v="1"/>
  </r>
  <r>
    <m/>
    <s v="CERRADO"/>
    <s v="L15:Loja Rio Paranaíba"/>
    <s v="RIO PARANAIBA"/>
    <s v="2018/2019"/>
    <d v="2018-07-10T00:00:00"/>
    <x v="380"/>
    <s v="1340 F1"/>
    <n v="1628"/>
    <s v="kg"/>
    <s v="ARÁBICA"/>
    <s v="Green"/>
    <n v="55.000000000000007"/>
    <m/>
    <m/>
    <s v="19/07/2018"/>
    <n v="453.17170000000004"/>
    <n v="12300.077240000001"/>
    <s v="BRL"/>
    <n v="3.8841000000000001"/>
    <n v="1226.7230712"/>
    <n v="0"/>
    <s v="BRL"/>
    <n v="3.8841000000000001"/>
    <n v="1628"/>
    <n v="0"/>
    <n v="315.83199999999999"/>
    <n v="0"/>
    <n v="8.7996919780000002"/>
    <n v="0"/>
    <e v="#N/A"/>
    <e v="#N/A"/>
    <n v="5292.2227908634959"/>
    <n v="88.23253883350327"/>
    <n v="97.032230811503268"/>
    <n v="97.032230811503268"/>
    <n v="12296.058793333334"/>
    <n v="4.0184466666669323"/>
    <n v="11.64"/>
    <n v="2.8403080220000003"/>
    <n v="0"/>
    <n v="0"/>
    <n v="1"/>
  </r>
  <r>
    <m/>
    <s v="CERRADO"/>
    <s v="L15:Loja Rio Paranaíba"/>
    <s v="RIO PARANAIBA"/>
    <s v="2018/2019"/>
    <d v="2018-07-10T00:00:00"/>
    <x v="381"/>
    <s v="1340 F1"/>
    <n v="5730"/>
    <s v="kg"/>
    <s v="ARÁBICA"/>
    <s v="Green"/>
    <n v="45"/>
    <m/>
    <m/>
    <s v="23/07/2018"/>
    <n v="426.45269999999999"/>
    <n v="41340.402900000001"/>
    <s v="BRL"/>
    <n v="3.7909000000000002"/>
    <n v="3446.5346439999998"/>
    <n v="0"/>
    <s v="BRL"/>
    <n v="3.7909000000000002"/>
    <n v="5730"/>
    <n v="0"/>
    <n v="909.16"/>
    <n v="0"/>
    <n v="7.1969989373333334"/>
    <n v="0"/>
    <e v="#N/A"/>
    <e v="#N/A"/>
    <n v="5102.6323798016028"/>
    <n v="86.326373146484997"/>
    <n v="93.523372083818344"/>
    <n v="93.523372083818344"/>
    <n v="40726.23285"/>
    <n v="614.17005000000063"/>
    <n v="9.52"/>
    <n v="2.3230010626666662"/>
    <n v="0"/>
    <n v="0"/>
    <n v="1"/>
  </r>
  <r>
    <m/>
    <s v="CERRADO"/>
    <s v="L15:Loja Rio Paranaíba"/>
    <s v="RIO PARANAIBA"/>
    <s v="2018/2019"/>
    <d v="2018-07-11T00:00:00"/>
    <x v="382"/>
    <s v="0628 F1"/>
    <n v="3260"/>
    <s v="kg"/>
    <s v="ARÁBICA"/>
    <s v="Green"/>
    <n v="55.000000000000007"/>
    <m/>
    <m/>
    <s v="16/07/2018"/>
    <n v="483.93140000000005"/>
    <n v="26302.169000000002"/>
    <s v="BRL"/>
    <n v="3.8573"/>
    <n v="2439.5108120000004"/>
    <n v="0"/>
    <s v="BRL"/>
    <n v="3.8573"/>
    <n v="3260"/>
    <n v="0"/>
    <n v="632.44000000000017"/>
    <n v="0"/>
    <n v="8.799691978000002"/>
    <n v="0"/>
    <e v="#N/A"/>
    <e v="#N/A"/>
    <n v="5690.7056916345127"/>
    <n v="94.875982682588869"/>
    <n v="103.67567466058888"/>
    <n v="103.67567466058888"/>
    <n v="26293.606066666667"/>
    <n v="8.562933333334513"/>
    <n v="11.640000000000002"/>
    <n v="2.8403080220000003"/>
    <n v="0"/>
    <n v="0"/>
    <n v="1"/>
  </r>
  <r>
    <m/>
    <s v="CERRADO"/>
    <s v="L15:Loja Rio Paranaíba"/>
    <s v="RIO PARANAIBA"/>
    <s v="2018/2019"/>
    <d v="2018-07-11T00:00:00"/>
    <x v="383"/>
    <s v="0281 F1"/>
    <n v="605"/>
    <s v="kg"/>
    <s v="ARÁBICA"/>
    <s v="Green"/>
    <n v="55.000000000000007"/>
    <m/>
    <m/>
    <s v="17/07/2018"/>
    <n v="464.68379999999996"/>
    <n v="4685.5616499999996"/>
    <s v="BRL"/>
    <n v="3.8664999999999998"/>
    <n v="453.811105"/>
    <n v="0"/>
    <s v="BRL"/>
    <n v="3.8664999999999998"/>
    <n v="605"/>
    <n v="0"/>
    <n v="117.37"/>
    <n v="0"/>
    <n v="8.7996919780000002"/>
    <n v="0"/>
    <e v="#N/A"/>
    <e v="#N/A"/>
    <n v="5451.3649590742516"/>
    <n v="90.856082651237543"/>
    <n v="99.655774629237541"/>
    <n v="99.655774629237541"/>
    <n v="4685.5616499999996"/>
    <n v="0"/>
    <n v="11.64"/>
    <n v="2.8403080220000003"/>
    <n v="0"/>
    <n v="0"/>
    <n v="1"/>
  </r>
  <r>
    <m/>
    <s v="CERRADO"/>
    <s v="L15:Loja Rio Paranaíba"/>
    <s v="RIO PARANAIBA"/>
    <s v="2018/2019"/>
    <d v="2018-07-13T00:00:00"/>
    <x v="384"/>
    <s v="0722 F1"/>
    <n v="2700"/>
    <s v="kg"/>
    <s v="ARÁBICA"/>
    <s v="Green"/>
    <n v="45"/>
    <m/>
    <m/>
    <s v="19/07/2018"/>
    <n v="496.7749"/>
    <n v="22362.263999999999"/>
    <s v="BRL"/>
    <n v="3.8841000000000001"/>
    <n v="1663.9484400000001"/>
    <n v="0"/>
    <s v="BRL"/>
    <n v="3.8841000000000001"/>
    <n v="2700"/>
    <n v="0"/>
    <n v="428.40000000000003"/>
    <n v="0"/>
    <n v="7.1969989373333334"/>
    <n v="0"/>
    <e v="#N/A"/>
    <e v="#N/A"/>
    <n v="5801.4290118048712"/>
    <n v="96.722462292381749"/>
    <n v="103.91946122971508"/>
    <n v="103.91946122971508"/>
    <n v="22354.870500000001"/>
    <n v="7.393499999998312"/>
    <n v="9.52"/>
    <n v="2.3230010626666662"/>
    <n v="0"/>
    <n v="0"/>
    <n v="1"/>
  </r>
  <r>
    <m/>
    <s v="CERRADO"/>
    <s v="L15:Loja Rio Paranaíba"/>
    <s v="RIO PARANAIBA"/>
    <s v="2018/2019"/>
    <d v="2018-07-13T00:00:00"/>
    <x v="385"/>
    <s v="1369 F1"/>
    <n v="4968"/>
    <s v="kg"/>
    <s v="ARÁBICA"/>
    <s v="Green"/>
    <n v="55.000000000000007"/>
    <m/>
    <m/>
    <s v="20/07/2018"/>
    <n v="428.18420000000003"/>
    <n v="35631.837359999998"/>
    <s v="BRL"/>
    <n v="3.7787000000000002"/>
    <n v="3641.8808303999999"/>
    <n v="0"/>
    <s v="BRL"/>
    <n v="3.7787000000000002"/>
    <n v="4968"/>
    <n v="0"/>
    <n v="963.79199999999992"/>
    <n v="0"/>
    <n v="8.7996919780000002"/>
    <n v="0"/>
    <e v="#N/A"/>
    <e v="#N/A"/>
    <n v="5139.8916578334884"/>
    <n v="86.095401793735931"/>
    <n v="94.895093771735915"/>
    <n v="94.895093771735915"/>
    <n v="35453.651760000008"/>
    <n v="178.18559999998979"/>
    <n v="11.639999999999997"/>
    <n v="2.8403080219999968"/>
    <n v="0"/>
    <n v="0"/>
    <n v="1"/>
  </r>
  <r>
    <m/>
    <s v="CERRADO"/>
    <s v="L15:Loja Rio Paranaíba"/>
    <s v="RIO PARANAIBA"/>
    <s v="2018/2019"/>
    <d v="2018-07-13T00:00:00"/>
    <x v="386"/>
    <s v="1369 F1"/>
    <n v="3172"/>
    <s v="kg"/>
    <s v="ARÁBICA"/>
    <s v="Green"/>
    <n v="55.000000000000007"/>
    <m/>
    <m/>
    <s v="26/07/2018"/>
    <n v="428.18419999999998"/>
    <n v="22750.440439999998"/>
    <s v="BRL"/>
    <n v="3.7237"/>
    <n v="2291.4458216000003"/>
    <n v="0"/>
    <s v="BRL"/>
    <n v="3.7237"/>
    <n v="3172"/>
    <n v="0"/>
    <n v="615.36800000000005"/>
    <n v="0"/>
    <n v="8.799691978000002"/>
    <n v="0"/>
    <e v="#N/A"/>
    <e v="#N/A"/>
    <n v="5215.8091703024938"/>
    <n v="87.367052866232498"/>
    <n v="96.166744844232497"/>
    <n v="96.166744844232497"/>
    <n v="22636.671373333331"/>
    <n v="113.76906666666764"/>
    <n v="11.640000000000002"/>
    <n v="2.8403080220000003"/>
    <n v="0"/>
    <n v="0"/>
    <n v="1"/>
  </r>
  <r>
    <m/>
    <s v="CERRADO"/>
    <s v="L15:Loja Rio Paranaíba"/>
    <s v="RIO PARANAIBA"/>
    <s v="2018/2019"/>
    <d v="2018-07-14T00:00:00"/>
    <x v="387"/>
    <s v="0722 F1"/>
    <n v="2600"/>
    <s v="kg"/>
    <s v="ARÁBICA"/>
    <s v="Green"/>
    <n v="55.000000000000007"/>
    <m/>
    <m/>
    <s v="19/07/2018"/>
    <n v="506.57170000000002"/>
    <n v="21958.560000000001"/>
    <s v="BRL"/>
    <n v="3.8841000000000001"/>
    <n v="1959.1400400000005"/>
    <n v="0"/>
    <s v="BRL"/>
    <n v="3.8841000000000001"/>
    <n v="2600"/>
    <n v="0"/>
    <n v="504.40000000000009"/>
    <n v="0"/>
    <n v="8.799691978000002"/>
    <n v="0"/>
    <e v="#N/A"/>
    <e v="#N/A"/>
    <n v="5915.8378511863502"/>
    <n v="98.629276282073064"/>
    <n v="107.42896826007306"/>
    <n v="107.42896826007306"/>
    <n v="21951.440333333336"/>
    <n v="7.1196666666655801"/>
    <n v="11.640000000000002"/>
    <n v="2.8403080220000003"/>
    <n v="0"/>
    <n v="0"/>
    <n v="1"/>
  </r>
  <r>
    <m/>
    <s v="CERRADO"/>
    <s v="L15:Loja Rio Paranaíba"/>
    <s v="RIO PARANAIBA"/>
    <s v="2018/2019"/>
    <d v="2018-07-16T00:00:00"/>
    <x v="388"/>
    <s v="0722 F1"/>
    <n v="13170"/>
    <s v="kg"/>
    <s v="ARÁBICA"/>
    <s v="Green"/>
    <n v="55.000000000000007"/>
    <m/>
    <m/>
    <s v="19/07/2018"/>
    <n v="505.34709999999995"/>
    <n v="110959.75229999999"/>
    <s v="BRL"/>
    <n v="3.8841000000000001"/>
    <n v="9923.7978180000009"/>
    <n v="0"/>
    <s v="BRL"/>
    <n v="3.8841000000000001"/>
    <n v="13170"/>
    <n v="0"/>
    <n v="2554.98"/>
    <n v="0"/>
    <n v="8.7996919780000002"/>
    <n v="0"/>
    <e v="#N/A"/>
    <e v="#N/A"/>
    <n v="5901.5367462636641"/>
    <n v="98.390924533361655"/>
    <n v="107.19061651136167"/>
    <n v="107.19061651136167"/>
    <n v="110923.68844999999"/>
    <n v="36.063850000005914"/>
    <n v="11.64"/>
    <n v="2.8403080220000003"/>
    <n v="0"/>
    <n v="0"/>
    <n v="1"/>
  </r>
  <r>
    <m/>
    <s v="CERRADO"/>
    <s v="L15:Loja Rio Paranaíba"/>
    <s v="RIO PARANAIBA"/>
    <s v="2018/2019"/>
    <d v="2018-07-16T00:00:00"/>
    <x v="389"/>
    <s v="1340 F1"/>
    <n v="7629"/>
    <s v="kg"/>
    <s v="ARÁBICA"/>
    <s v="Green"/>
    <n v="55.000000000000007"/>
    <m/>
    <m/>
    <s v="19/07/2018"/>
    <n v="456.55749999999995"/>
    <n v="58070.117039999997"/>
    <s v="BRL"/>
    <n v="3.8841000000000001"/>
    <n v="5748.5689866000012"/>
    <n v="0"/>
    <s v="BRL"/>
    <n v="3.8841000000000001"/>
    <n v="7629"/>
    <n v="0"/>
    <n v="1480.0260000000003"/>
    <n v="0"/>
    <n v="8.7996919780000002"/>
    <n v="0"/>
    <e v="#N/A"/>
    <e v="#N/A"/>
    <n v="5331.762788452279"/>
    <n v="88.891538793316343"/>
    <n v="97.691230771316341"/>
    <n v="97.691230771316341"/>
    <n v="58051.286124999991"/>
    <n v="18.830915000005916"/>
    <n v="11.640000000000002"/>
    <n v="2.8403080220000021"/>
    <n v="0"/>
    <n v="0"/>
    <n v="1"/>
  </r>
  <r>
    <m/>
    <s v="CERRADO"/>
    <s v="L15:Loja Rio Paranaíba"/>
    <s v="RIO PARANAIBA"/>
    <s v="2018/2019"/>
    <d v="2018-07-17T00:00:00"/>
    <x v="390"/>
    <s v="1340 F1"/>
    <n v="10612"/>
    <s v="kg"/>
    <s v="ARÁBICA"/>
    <s v="Green"/>
    <n v="55.000000000000007"/>
    <m/>
    <m/>
    <s v="19/07/2018"/>
    <n v="458.47899581605725"/>
    <n v="81115.845679999999"/>
    <s v="BRL"/>
    <n v="3.8841000000000001"/>
    <n v="7996.3054248000017"/>
    <n v="0"/>
    <s v="BRL"/>
    <n v="3.8841000000000001"/>
    <n v="10612"/>
    <n v="0"/>
    <n v="2058.7280000000005"/>
    <n v="0"/>
    <n v="8.799691978000002"/>
    <n v="0"/>
    <e v="#N/A"/>
    <e v="#N/A"/>
    <n v="5354.2023713968611"/>
    <n v="89.265531842392704"/>
    <n v="98.065223820392703"/>
    <n v="98.065223820392703"/>
    <n v="81089.651726666649"/>
    <n v="26.193953333349782"/>
    <n v="11.640000000000002"/>
    <n v="2.8403080220000003"/>
    <n v="0"/>
    <n v="0"/>
    <n v="1"/>
  </r>
  <r>
    <m/>
    <s v="CERRADO"/>
    <s v="L15:Loja Rio Paranaíba"/>
    <s v="RIO PARANAIBA"/>
    <s v="2018/2019"/>
    <d v="2018-07-17T00:00:00"/>
    <x v="391"/>
    <s v="0954 F1"/>
    <n v="11320"/>
    <s v="kg"/>
    <s v="ARÁBICA"/>
    <s v="Green"/>
    <n v="45"/>
    <m/>
    <m/>
    <s v="23/07/2018"/>
    <n v="456.4579"/>
    <n v="86146.218800000002"/>
    <s v="BRL"/>
    <n v="3.7909000000000002"/>
    <n v="6808.8607626666671"/>
    <n v="0"/>
    <s v="BRL"/>
    <n v="3.7909000000000002"/>
    <n v="11320"/>
    <n v="0"/>
    <n v="1796.1066666666668"/>
    <n v="0"/>
    <n v="7.1969989373333343"/>
    <n v="0"/>
    <e v="#N/A"/>
    <e v="#N/A"/>
    <n v="5461.6534507959323"/>
    <n v="91.056972196926864"/>
    <n v="98.253971134260183"/>
    <n v="98.253971134260183"/>
    <n v="86118.390466666679"/>
    <n v="27.828333333323826"/>
    <n v="9.52"/>
    <n v="2.3230010626666653"/>
    <n v="0"/>
    <n v="0"/>
    <n v="1"/>
  </r>
  <r>
    <m/>
    <s v="CERRADO"/>
    <s v="L15:Loja Rio Paranaíba"/>
    <s v="RIO PARANAIBA"/>
    <s v="2018/2019"/>
    <d v="2018-07-17T00:00:00"/>
    <x v="392"/>
    <s v="0242 F1"/>
    <n v="4671"/>
    <s v="kg"/>
    <s v="ARÁBICA"/>
    <s v="Green"/>
    <n v="45"/>
    <m/>
    <m/>
    <s v="24/07/2018"/>
    <n v="483.62680000000006"/>
    <n v="37662.553260000001"/>
    <s v="BRL"/>
    <n v="3.7452999999999999"/>
    <n v="2775.7616795999993"/>
    <n v="0"/>
    <s v="BRL"/>
    <n v="3.7452999999999999"/>
    <n v="4671"/>
    <n v="0"/>
    <n v="741.13199999999983"/>
    <n v="0"/>
    <n v="7.1969989373333325"/>
    <n v="0"/>
    <e v="#N/A"/>
    <e v="#N/A"/>
    <n v="5857.1923853233666"/>
    <n v="97.651523105016963"/>
    <n v="104.8485220423503"/>
    <n v="104.8485220423503"/>
    <n v="37650.346380000003"/>
    <n v="12.206879999997909"/>
    <n v="9.5199999999999978"/>
    <n v="2.3230010626666653"/>
    <n v="0"/>
    <n v="0"/>
    <n v="1"/>
  </r>
  <r>
    <m/>
    <s v="CERRADO"/>
    <s v="L15:Loja Rio Paranaíba"/>
    <s v="RIO PARANAIBA"/>
    <s v="2018/2019"/>
    <d v="2018-07-18T00:00:00"/>
    <x v="393"/>
    <s v="0242 F1"/>
    <n v="7210"/>
    <s v="kg"/>
    <s v="ARÁBICA"/>
    <s v="Green"/>
    <n v="45"/>
    <m/>
    <m/>
    <s v="24/07/2018"/>
    <n v="481.27240000000006"/>
    <n v="57851.742200000008"/>
    <s v="BRL"/>
    <n v="3.7452999999999999"/>
    <n v="4284.5732626666659"/>
    <n v="0"/>
    <s v="BRL"/>
    <n v="3.7452999999999999"/>
    <n v="7210"/>
    <n v="0"/>
    <n v="1143.9866666666665"/>
    <n v="0"/>
    <n v="7.1969989373333325"/>
    <n v="0"/>
    <e v="#N/A"/>
    <e v="#N/A"/>
    <n v="5828.6783043170926"/>
    <n v="97.176288421579059"/>
    <n v="104.37328735891239"/>
    <n v="104.37328735891239"/>
    <n v="57832.900066666676"/>
    <n v="18.842133333331731"/>
    <n v="9.52"/>
    <n v="2.3230010626666671"/>
    <n v="0"/>
    <n v="0"/>
    <n v="1"/>
  </r>
  <r>
    <m/>
    <s v="CERRADO"/>
    <s v="L15:Loja Rio Paranaíba"/>
    <s v="RIO PARANAIBA"/>
    <s v="2018/2019"/>
    <d v="2018-07-20T00:00:00"/>
    <x v="394"/>
    <s v="1421 F1"/>
    <n v="8140"/>
    <s v="kg"/>
    <s v="ARÁBICA"/>
    <s v="Green"/>
    <n v="45"/>
    <m/>
    <m/>
    <s v="26/07/2018"/>
    <n v="482.07420000000008"/>
    <n v="65422.726600000009"/>
    <s v="BRL"/>
    <n v="3.7237"/>
    <n v="4809.3323226666662"/>
    <n v="0"/>
    <s v="BRL"/>
    <n v="3.7237"/>
    <n v="8140"/>
    <n v="0"/>
    <n v="1291.5466666666666"/>
    <n v="0"/>
    <n v="7.1969989373333316"/>
    <n v="0"/>
    <e v="#N/A"/>
    <e v="#N/A"/>
    <n v="5872.2555225677152"/>
    <n v="97.902840192289943"/>
    <n v="105.09983912962326"/>
    <n v="105.09983912962326"/>
    <n v="65401.399800000014"/>
    <n v="21.326799999995274"/>
    <n v="9.52"/>
    <n v="2.3230010626666679"/>
    <n v="0"/>
    <n v="0"/>
    <n v="1"/>
  </r>
  <r>
    <m/>
    <s v="CERRADO"/>
    <s v="L15:Loja Rio Paranaíba"/>
    <s v="RIO PARANAIBA"/>
    <s v="2018/2019"/>
    <d v="2018-07-23T00:00:00"/>
    <x v="395"/>
    <s v="0831 F1"/>
    <n v="5986"/>
    <s v="kg"/>
    <s v="ARÁBICA"/>
    <s v="Green"/>
    <n v="55.000000000000007"/>
    <m/>
    <m/>
    <s v="26/07/2018"/>
    <n v="415.43923999999998"/>
    <n v="42155.38738"/>
    <s v="BRL"/>
    <n v="3.7237"/>
    <n v="4324.2732308000004"/>
    <n v="0"/>
    <s v="BRL"/>
    <n v="3.7237"/>
    <n v="5986"/>
    <n v="0"/>
    <n v="1161.2840000000001"/>
    <n v="0"/>
    <n v="8.799691978000002"/>
    <n v="0"/>
    <e v="#N/A"/>
    <e v="#N/A"/>
    <n v="5060.559912522458"/>
    <n v="85.784224159360306"/>
    <n v="94.583916137360305"/>
    <n v="94.583916137360305"/>
    <n v="41446.988177333333"/>
    <n v="708.39920266666741"/>
    <n v="11.640000000000002"/>
    <n v="2.8403080220000003"/>
    <n v="0"/>
    <n v="0"/>
    <n v="1"/>
  </r>
  <r>
    <m/>
    <s v="CERRADO"/>
    <s v="L15:Loja Rio Paranaíba"/>
    <s v="RIO PARANAIBA"/>
    <s v="2018/2019"/>
    <d v="2018-07-23T00:00:00"/>
    <x v="396"/>
    <s v="1421 F1"/>
    <n v="960"/>
    <s v="kg"/>
    <s v="ARÁBICA"/>
    <s v="Green"/>
    <n v="55.000000000000007"/>
    <m/>
    <m/>
    <s v="26/07/2018"/>
    <n v="486.88909999999998"/>
    <n v="7792.7424000000001"/>
    <s v="BRL"/>
    <n v="3.7237"/>
    <n v="693.50188800000001"/>
    <n v="0"/>
    <s v="BRL"/>
    <n v="3.7237"/>
    <n v="960"/>
    <n v="0"/>
    <n v="186.24"/>
    <n v="0"/>
    <n v="8.799691978000002"/>
    <n v="0"/>
    <e v="#N/A"/>
    <e v="#N/A"/>
    <n v="5930.906915062088"/>
    <n v="98.880383702575401"/>
    <n v="107.68007568057541"/>
    <n v="107.68007568057541"/>
    <n v="7790.2255999999998"/>
    <n v="2.5168000000003303"/>
    <n v="11.64"/>
    <n v="2.8403080219999985"/>
    <n v="0"/>
    <n v="0"/>
    <n v="1"/>
  </r>
  <r>
    <m/>
    <s v="CERRADO"/>
    <s v="L15:Loja Rio Paranaíba"/>
    <s v="SAO GOTARDO"/>
    <s v="2018/2019"/>
    <d v="2018-06-29T00:00:00"/>
    <x v="397"/>
    <s v="0502 F2"/>
    <n v="2756"/>
    <s v="kg"/>
    <s v="ARÁBICA"/>
    <s v="Green"/>
    <n v="45"/>
    <m/>
    <m/>
    <d v="2018-02-07T00:00:00"/>
    <n v="444.4348"/>
    <n v="20644.038479999999"/>
    <s v="BRL"/>
    <n v="3.9049"/>
    <n v="1707.5554981333335"/>
    <n v="0"/>
    <s v="BRL"/>
    <n v="3.9049"/>
    <n v="2756"/>
    <n v="0"/>
    <n v="437.28533333333337"/>
    <n v="0"/>
    <n v="7.1969989373333343"/>
    <n v="0"/>
    <n v="3.2713999999999999"/>
    <n v="122.6"/>
    <n v="5162.5453722880484"/>
    <n v="87.010421134333782"/>
    <n v="94.207420071667116"/>
    <n v="94.207420071667116"/>
    <n v="20414.371813333335"/>
    <n v="229.66666666666424"/>
    <n v="9.5200000000000014"/>
    <n v="2.3230010626666671"/>
    <n v="0"/>
    <n v="0"/>
    <n v="1"/>
  </r>
  <r>
    <m/>
    <s v="CERRADO"/>
    <s v="L15:Loja Rio Paranaíba"/>
    <s v="SAO GOTARDO"/>
    <s v="2018/2019"/>
    <d v="2018-06-29T00:00:00"/>
    <x v="398"/>
    <s v="0502 F2"/>
    <n v="4554"/>
    <s v="kg"/>
    <s v="ARÁBICA"/>
    <s v="Green"/>
    <n v="45"/>
    <m/>
    <m/>
    <d v="2018-05-07T00:00:00"/>
    <n v="440.44519999999994"/>
    <n v="33961.090680000001"/>
    <s v="BRL"/>
    <n v="3.9186000000000001"/>
    <n v="2831.4549647999997"/>
    <n v="0"/>
    <s v="BRL"/>
    <n v="3.9186000000000001"/>
    <n v="4554"/>
    <n v="0"/>
    <n v="722.56799999999987"/>
    <n v="0"/>
    <n v="7.1969989373333325"/>
    <n v="0"/>
    <n v="3.5533999999999999"/>
    <n v="118.45"/>
    <n v="5098.315268798141"/>
    <n v="86.322380745301899"/>
    <n v="93.519379682635233"/>
    <n v="93.519379682635233"/>
    <n v="33429.790679999998"/>
    <n v="531.30000000000291"/>
    <n v="9.5199999999999978"/>
    <n v="2.3230010626666653"/>
    <n v="0"/>
    <n v="0"/>
    <n v="1"/>
  </r>
  <r>
    <m/>
    <s v="CERRADO"/>
    <s v="L15:Loja Rio Paranaíba"/>
    <s v="SAO GOTARDO"/>
    <s v="2018/2019"/>
    <d v="2018-07-02T00:00:00"/>
    <x v="399"/>
    <s v="0482 F1"/>
    <n v="1198"/>
    <s v="kg"/>
    <s v="ARÁBICA"/>
    <s v="Green"/>
    <n v="55.000000000000007"/>
    <m/>
    <m/>
    <s v="23/07/2018"/>
    <n v="434.93859999999995"/>
    <n v="8790.0973799999992"/>
    <s v="BRL"/>
    <n v="3.7909000000000002"/>
    <n v="881.05065079999997"/>
    <n v="0"/>
    <s v="BRL"/>
    <n v="3.7909000000000002"/>
    <n v="1198"/>
    <n v="0"/>
    <n v="232.41199999999998"/>
    <n v="0"/>
    <n v="8.7996919780000002"/>
    <n v="0"/>
    <e v="#N/A"/>
    <e v="#N/A"/>
    <n v="5204.1686770551041"/>
    <n v="87.793079013550852"/>
    <n v="96.59277099155085"/>
    <n v="96.59277099155085"/>
    <n v="8684.2740466666655"/>
    <n v="105.82333333333372"/>
    <n v="11.639999999999999"/>
    <n v="2.8403080219999985"/>
    <n v="0"/>
    <n v="0"/>
    <n v="1"/>
  </r>
  <r>
    <m/>
    <s v="CERRADO"/>
    <s v="L15:Loja Rio Paranaíba"/>
    <s v="SAO GOTARDO"/>
    <s v="2018/2019"/>
    <d v="2018-07-03T00:00:00"/>
    <x v="400"/>
    <s v="0482 F1"/>
    <n v="4159"/>
    <s v="kg"/>
    <s v="ARÁBICA"/>
    <s v="Green"/>
    <n v="55.000000000000007"/>
    <m/>
    <m/>
    <d v="2018-11-07T00:00:00"/>
    <n v="442.91500000000002"/>
    <n v="30840.02475"/>
    <s v="BRL"/>
    <n v="3.8411"/>
    <n v="3099.1761706000002"/>
    <n v="0"/>
    <s v="BRL"/>
    <n v="3.8411"/>
    <n v="4159"/>
    <n v="0"/>
    <n v="806.84600000000012"/>
    <n v="0"/>
    <n v="8.799691978000002"/>
    <n v="0"/>
    <n v="4.1306000000000003"/>
    <n v="109.55"/>
    <n v="5230.3471546835553"/>
    <n v="87.566083196024593"/>
    <n v="96.365775174024606"/>
    <n v="96.365775174024606"/>
    <n v="30701.391416666669"/>
    <n v="138.63333333333139"/>
    <n v="11.64"/>
    <n v="2.8403080219999985"/>
    <n v="0"/>
    <n v="0"/>
    <n v="1"/>
  </r>
  <r>
    <m/>
    <s v="CERRADO"/>
    <s v="L15:Loja Rio Paranaíba"/>
    <s v="SAO GOTARDO"/>
    <s v="2018/2019"/>
    <d v="2018-07-03T00:00:00"/>
    <x v="401"/>
    <s v="0482 F1"/>
    <n v="181"/>
    <s v="kg"/>
    <s v="ARÁBICA"/>
    <s v="Green"/>
    <n v="55.000000000000007"/>
    <m/>
    <m/>
    <s v="23/07/2018"/>
    <n v="434.93860000000006"/>
    <n v="1328.0531100000001"/>
    <s v="BRL"/>
    <n v="3.7909000000000002"/>
    <n v="133.1136626"/>
    <n v="0"/>
    <s v="BRL"/>
    <n v="3.7909000000000002"/>
    <n v="181"/>
    <n v="0"/>
    <n v="35.113999999999997"/>
    <n v="0"/>
    <n v="8.7996919779999985"/>
    <n v="0"/>
    <e v="#N/A"/>
    <e v="#N/A"/>
    <n v="5204.1686770551069"/>
    <n v="87.79307901355088"/>
    <n v="96.592770991550864"/>
    <n v="96.592770991550864"/>
    <n v="1312.0647766666668"/>
    <n v="15.98833333333323"/>
    <n v="11.639999999999999"/>
    <n v="2.8403080220000003"/>
    <n v="0"/>
    <n v="0"/>
    <n v="1"/>
  </r>
  <r>
    <m/>
    <s v="CERRADO"/>
    <s v="L15:Loja Rio Paranaíba"/>
    <s v="SAO GOTARDO"/>
    <s v="2018/2019"/>
    <d v="2018-07-09T00:00:00"/>
    <x v="402"/>
    <s v="0502 F2"/>
    <n v="2394"/>
    <s v="kg"/>
    <s v="ARÁBICA"/>
    <s v="Green"/>
    <n v="45"/>
    <m/>
    <m/>
    <d v="2018-11-07T00:00:00"/>
    <n v="443.96140000000003"/>
    <n v="17901.58986"/>
    <s v="BRL"/>
    <n v="3.8411"/>
    <n v="1459.0341527999997"/>
    <n v="0"/>
    <s v="BRL"/>
    <n v="3.8411"/>
    <n v="2394"/>
    <n v="0"/>
    <n v="379.8479999999999"/>
    <n v="0"/>
    <n v="7.1969989373333325"/>
    <n v="0"/>
    <n v="4.1306000000000003"/>
    <n v="109.55"/>
    <n v="5242.7040070427229"/>
    <n v="88.303432069597264"/>
    <n v="95.500431006930597"/>
    <n v="95.500431006930597"/>
    <n v="17714.059860000001"/>
    <n v="187.52999999999884"/>
    <n v="9.52"/>
    <n v="2.3230010626666671"/>
    <n v="0"/>
    <n v="0"/>
    <n v="1"/>
  </r>
  <r>
    <m/>
    <s v="CERRADO"/>
    <s v="L15:Loja Rio Paranaíba"/>
    <s v="SAO GOTARDO"/>
    <s v="2018/2019"/>
    <d v="2018-07-09T00:00:00"/>
    <x v="403"/>
    <s v="0189 F2"/>
    <n v="9066"/>
    <s v="kg"/>
    <s v="ARÁBICA"/>
    <s v="Green"/>
    <n v="50"/>
    <m/>
    <m/>
    <d v="2018-11-07T00:00:00"/>
    <n v="440.78944780939781"/>
    <n v="67540.694820000004"/>
    <s v="BRL"/>
    <n v="3.8411"/>
    <n v="6649.0670152000002"/>
    <n v="0"/>
    <s v="BRL"/>
    <n v="3.8411"/>
    <n v="9066"/>
    <n v="0"/>
    <n v="1731.0320000000002"/>
    <n v="0"/>
    <n v="8.6607424159038171"/>
    <n v="0"/>
    <n v="4.1306000000000003"/>
    <n v="109.55"/>
    <n v="5205.2466820144246"/>
    <n v="87.975133818017966"/>
    <n v="96.635876233921763"/>
    <n v="96.635876233921763"/>
    <n v="66603.285564000005"/>
    <n v="937.409255999999"/>
    <n v="11.456201191264062"/>
    <n v="2.7954587753602453"/>
    <n v="0"/>
    <n v="0"/>
    <n v="1"/>
  </r>
  <r>
    <m/>
    <s v="CERRADO"/>
    <s v="L15:Loja Rio Paranaíba"/>
    <s v="SAO GOTARDO"/>
    <s v="2018/2019"/>
    <d v="2018-07-11T00:00:00"/>
    <x v="404"/>
    <s v="1407 F1"/>
    <n v="1498"/>
    <s v="kg"/>
    <s v="ARÁBICA"/>
    <s v="Green"/>
    <n v="45"/>
    <m/>
    <m/>
    <s v="19/07/2018"/>
    <n v="425.53800000000001"/>
    <n v="10709.71132"/>
    <s v="BRL"/>
    <n v="3.8841000000000001"/>
    <n v="923.18324559999996"/>
    <n v="0"/>
    <s v="BRL"/>
    <n v="3.8841000000000001"/>
    <n v="1498"/>
    <n v="0"/>
    <n v="237.68266666666665"/>
    <n v="0"/>
    <n v="7.1969989373333325"/>
    <n v="0"/>
    <e v="#N/A"/>
    <e v="#N/A"/>
    <n v="4969.511339694137"/>
    <n v="83.491312647352032"/>
    <n v="90.688311584685351"/>
    <n v="90.688311584685351"/>
    <n v="10624.2654"/>
    <n v="85.445920000000115"/>
    <n v="9.5199999999999978"/>
    <n v="2.3230010626666653"/>
    <n v="0"/>
    <n v="0"/>
    <n v="1"/>
  </r>
  <r>
    <m/>
    <s v="CERRADO"/>
    <s v="L15:Loja Rio Paranaíba"/>
    <s v="SAO GOTARDO"/>
    <s v="2018/2019"/>
    <d v="2018-07-17T00:00:00"/>
    <x v="405"/>
    <s v="0678 F1"/>
    <n v="4197"/>
    <s v="kg"/>
    <s v="ARÁBICA"/>
    <s v="Green"/>
    <n v="45"/>
    <m/>
    <m/>
    <s v="19/07/2018"/>
    <n v="431.904"/>
    <n v="30363.53226"/>
    <s v="BRL"/>
    <n v="3.8841000000000001"/>
    <n v="2586.5154084000001"/>
    <n v="0"/>
    <s v="BRL"/>
    <n v="3.8841000000000001"/>
    <n v="4197"/>
    <n v="0"/>
    <n v="665.92399999999998"/>
    <n v="0"/>
    <n v="7.1969989373333325"/>
    <n v="0"/>
    <e v="#N/A"/>
    <e v="#N/A"/>
    <n v="5043.8546631775707"/>
    <n v="84.48676110693853"/>
    <n v="91.683760044271878"/>
    <n v="91.683760044271878"/>
    <n v="30211.684799999999"/>
    <n v="151.84746000000086"/>
    <n v="9.5199999999999978"/>
    <n v="2.3230010626666653"/>
    <n v="0"/>
    <n v="0"/>
    <n v="1"/>
  </r>
  <r>
    <m/>
    <s v="CERRADO"/>
    <s v="L15:Loja Rio Paranaíba"/>
    <s v="SAO GOTARDO"/>
    <s v="2018/2019"/>
    <d v="2018-07-20T00:00:00"/>
    <x v="406"/>
    <s v="1200 F1"/>
    <n v="2517"/>
    <s v="kg"/>
    <s v="ARÁBICA"/>
    <s v="Green"/>
    <n v="45"/>
    <m/>
    <m/>
    <s v="23/07/2018"/>
    <n v="427.53440000000001"/>
    <n v="18025.218629999999"/>
    <s v="BRL"/>
    <n v="3.7909000000000002"/>
    <n v="1513.9489876"/>
    <n v="0"/>
    <s v="BRL"/>
    <n v="3.7909000000000002"/>
    <n v="2517"/>
    <n v="0"/>
    <n v="399.36399999999998"/>
    <n v="0"/>
    <n v="7.1969989373333343"/>
    <n v="0"/>
    <e v="#N/A"/>
    <e v="#N/A"/>
    <n v="5115.5752394557494"/>
    <n v="85.688144308588988"/>
    <n v="92.885143245922322"/>
    <n v="92.885143245922322"/>
    <n v="17935.068080000001"/>
    <n v="90.150549999998475"/>
    <n v="9.52"/>
    <n v="2.3230010626666653"/>
    <n v="0"/>
    <n v="0"/>
    <n v="1"/>
  </r>
  <r>
    <m/>
    <s v="CERRADO"/>
    <s v="L15:Loja Rio Paranaíba"/>
    <s v="SAO GOTARDO"/>
    <s v="2018/2019"/>
    <d v="2018-07-21T00:00:00"/>
    <x v="407"/>
    <s v="1200 F1"/>
    <n v="7280"/>
    <s v="kg"/>
    <s v="ARÁBICA"/>
    <s v="Green"/>
    <n v="55.000000000000007"/>
    <m/>
    <m/>
    <s v="26/07/2018"/>
    <n v="502.13569999999999"/>
    <n v="60942.263200000001"/>
    <s v="BRL"/>
    <n v="3.7237"/>
    <n v="5259.0559839999996"/>
    <n v="0"/>
    <s v="BRL"/>
    <n v="3.7237"/>
    <n v="7280"/>
    <n v="0"/>
    <n v="1412.32"/>
    <n v="0"/>
    <n v="8.7996919780000002"/>
    <n v="0"/>
    <e v="#N/A"/>
    <e v="#N/A"/>
    <n v="6116.6292189115384"/>
    <n v="101.97137019148427"/>
    <n v="110.77106216948428"/>
    <n v="110.77106216948428"/>
    <n v="60925.798266666665"/>
    <n v="16.464933333336376"/>
    <n v="11.64"/>
    <n v="2.8403080220000003"/>
    <n v="0"/>
    <n v="0"/>
    <n v="1"/>
  </r>
  <r>
    <m/>
    <s v="CERRADO"/>
    <s v="L15:Loja Rio Paranaíba"/>
    <s v="SANTA ROSA DA SERRA"/>
    <s v="2018/2019"/>
    <d v="2018-06-18T00:00:00"/>
    <x v="408"/>
    <s v="0950 F1"/>
    <n v="720"/>
    <s v="kg"/>
    <s v="ARÁBICA"/>
    <s v="Green"/>
    <n v="45"/>
    <m/>
    <m/>
    <s v="22/06/2018"/>
    <n v="444.58979999999997"/>
    <n v="5335.0775999999996"/>
    <s v="BRL"/>
    <n v="3.7888000000000002"/>
    <n v="432.83251199999995"/>
    <n v="0"/>
    <s v="BRL"/>
    <n v="3.7888000000000002"/>
    <n v="720"/>
    <n v="0"/>
    <n v="114.23999999999998"/>
    <n v="0"/>
    <n v="7.1969989373333334"/>
    <n v="0"/>
    <e v="#N/A"/>
    <e v="#N/A"/>
    <n v="5322.5966284793594"/>
    <n v="88.709943807989333"/>
    <n v="95.906942745322667"/>
    <n v="95.906942745322667"/>
    <n v="5335.0775999999996"/>
    <n v="0"/>
    <n v="9.5199999999999978"/>
    <n v="2.3230010626666644"/>
    <n v="0"/>
    <n v="0"/>
    <n v="1"/>
  </r>
  <r>
    <m/>
    <s v="CERRADO"/>
    <s v="L15:Loja Rio Paranaíba"/>
    <s v="SANTA ROSA DA SERRA"/>
    <s v="2018/2019"/>
    <d v="2018-06-18T00:00:00"/>
    <x v="409"/>
    <s v="0950 F1"/>
    <n v="6000"/>
    <s v="kg"/>
    <s v="ARÁBICA"/>
    <s v="Green"/>
    <n v="45"/>
    <m/>
    <m/>
    <s v="22/06/2018"/>
    <n v="478.62360000000001"/>
    <n v="47862.36"/>
    <s v="BRL"/>
    <n v="3.7656999999999998"/>
    <n v="3584.9463999999998"/>
    <n v="0"/>
    <s v="BRL"/>
    <n v="3.7656999999999998"/>
    <n v="6000"/>
    <n v="0"/>
    <n v="952"/>
    <n v="0"/>
    <n v="7.1969989373333334"/>
    <n v="0"/>
    <e v="#N/A"/>
    <e v="#N/A"/>
    <n v="5765.1967246974536"/>
    <n v="96.086612078290898"/>
    <n v="103.28361101562425"/>
    <n v="103.28361101562425"/>
    <n v="47862.36"/>
    <n v="0"/>
    <n v="9.52"/>
    <n v="2.3230010626666662"/>
    <n v="0"/>
    <n v="0"/>
    <n v="1"/>
  </r>
  <r>
    <m/>
    <s v="CERRADO"/>
    <s v="L15:Loja Rio Paranaíba"/>
    <s v="SANTA ROSA DA SERRA"/>
    <s v="2018/2019"/>
    <d v="2018-06-18T00:00:00"/>
    <x v="410"/>
    <s v="0473 F1"/>
    <n v="2630"/>
    <s v="kg"/>
    <s v="ARÁBICA"/>
    <s v="Green"/>
    <n v="55.000000000000007"/>
    <m/>
    <m/>
    <s v="23/07/2018"/>
    <n v="521.30309999999997"/>
    <n v="22855.357499999998"/>
    <s v="BRL"/>
    <n v="3.7909000000000002"/>
    <n v="1934.1929980000002"/>
    <n v="0"/>
    <s v="BRL"/>
    <n v="3.7909000000000002"/>
    <n v="2630"/>
    <n v="0"/>
    <n v="510.22"/>
    <n v="0"/>
    <n v="8.7996919780000002"/>
    <n v="0"/>
    <e v="#N/A"/>
    <e v="#N/A"/>
    <n v="6237.5454012858945"/>
    <n v="103.98140529669735"/>
    <n v="112.78109727469733"/>
    <n v="112.78109727469733"/>
    <n v="22850.452549999998"/>
    <n v="4.904950000000099"/>
    <n v="11.64"/>
    <n v="2.8403080220000003"/>
    <n v="0"/>
    <n v="0"/>
    <n v="1"/>
  </r>
  <r>
    <m/>
    <s v="CERRADO"/>
    <s v="L15:Loja Rio Paranaíba"/>
    <s v="SANTA ROSA DA SERRA"/>
    <s v="2018/2019"/>
    <d v="2018-06-22T00:00:00"/>
    <x v="411"/>
    <s v="1248 F1"/>
    <n v="4843"/>
    <s v="kg"/>
    <s v="ARÁBICA"/>
    <s v="Green"/>
    <n v="45"/>
    <m/>
    <m/>
    <s v="25/06/2018"/>
    <n v="444.46019999999999"/>
    <n v="35875.345809999999"/>
    <s v="BRL"/>
    <n v="3.7753999999999999"/>
    <n v="2901.1029357333327"/>
    <n v="0"/>
    <s v="BRL"/>
    <n v="3.7753999999999999"/>
    <n v="4843"/>
    <n v="0"/>
    <n v="768.42266666666649"/>
    <n v="0"/>
    <n v="7.1969989373333325"/>
    <n v="0"/>
    <e v="#N/A"/>
    <e v="#N/A"/>
    <n v="5339.9310136323038"/>
    <n v="88.998850227205068"/>
    <n v="96.195849164538387"/>
    <n v="96.195849164538387"/>
    <n v="35875.345809999999"/>
    <n v="0"/>
    <n v="9.52"/>
    <n v="2.3230010626666671"/>
    <n v="0"/>
    <n v="0"/>
    <n v="1"/>
  </r>
  <r>
    <m/>
    <s v="CERRADO"/>
    <s v="L15:Loja Rio Paranaíba"/>
    <s v="SANTA ROSA DA SERRA"/>
    <s v="2018/2019"/>
    <d v="2018-06-22T00:00:00"/>
    <x v="412"/>
    <s v="1197 F1"/>
    <n v="6920"/>
    <s v="kg"/>
    <s v="ARÁBICA"/>
    <s v="Green"/>
    <n v="45"/>
    <m/>
    <m/>
    <s v="27/06/2018"/>
    <n v="449.55360000000002"/>
    <n v="52109.1224"/>
    <s v="BRL"/>
    <n v="3.8351999999999999"/>
    <n v="4210.9473279999993"/>
    <n v="0"/>
    <s v="BRL"/>
    <n v="3.8351999999999999"/>
    <n v="6920"/>
    <n v="0"/>
    <n v="1097.9733333333331"/>
    <n v="0"/>
    <n v="7.1969989373333334"/>
    <n v="0"/>
    <e v="#N/A"/>
    <e v="#N/A"/>
    <n v="5316.9087105244053"/>
    <n v="89.060553202477067"/>
    <n v="96.2575521398104"/>
    <n v="96.2575521398104"/>
    <n v="51848.515200000002"/>
    <n v="260.60719999999856"/>
    <n v="9.52"/>
    <n v="2.3230010626666662"/>
    <n v="0"/>
    <n v="0"/>
    <n v="1"/>
  </r>
  <r>
    <m/>
    <s v="CERRADO"/>
    <s v="L15:Loja Rio Paranaíba"/>
    <s v="SANTA ROSA DA SERRA"/>
    <s v="2018/2019"/>
    <d v="2018-07-02T00:00:00"/>
    <x v="413"/>
    <s v="1012 F3"/>
    <n v="3460"/>
    <s v="kg"/>
    <s v="ARÁBICA"/>
    <s v="Green"/>
    <n v="55.000000000000007"/>
    <m/>
    <m/>
    <d v="2018-03-07T00:00:00"/>
    <n v="487.61720000000008"/>
    <n v="28127.516400000004"/>
    <s v="BRL"/>
    <n v="3.8914"/>
    <n v="2612.0633359999997"/>
    <n v="0"/>
    <s v="BRL"/>
    <n v="3.8914"/>
    <n v="3460"/>
    <n v="0"/>
    <n v="671.2399999999999"/>
    <n v="0"/>
    <n v="8.7996919780000002"/>
    <n v="0"/>
    <n v="3.2454000000000001"/>
    <n v="118.15"/>
    <n v="5683.8012386484061"/>
    <n v="94.757840292331835"/>
    <n v="103.55753227033183"/>
    <n v="103.55753227033183"/>
    <n v="28119.258533333337"/>
    <n v="8.2578666666668141"/>
    <n v="11.64"/>
    <n v="2.8403080220000003"/>
    <n v="0"/>
    <n v="0"/>
    <n v="1"/>
  </r>
  <r>
    <m/>
    <s v="CERRADO"/>
    <s v="L15:Loja Rio Paranaíba"/>
    <s v="SANTA ROSA DA SERRA"/>
    <s v="2018/2019"/>
    <d v="2018-07-03T00:00:00"/>
    <x v="414"/>
    <s v="0626 F1"/>
    <n v="936"/>
    <s v="kg"/>
    <s v="ARÁBICA"/>
    <s v="Green"/>
    <n v="55.000000000000007"/>
    <m/>
    <m/>
    <d v="2018-09-07T00:00:00"/>
    <n v="450.94980000000004"/>
    <n v="7034.8168800000003"/>
    <s v="BRL"/>
    <n v="3.8679999999999999"/>
    <n v="702.36691199999996"/>
    <n v="0"/>
    <s v="BRL"/>
    <n v="3.8679999999999999"/>
    <n v="936"/>
    <n v="0"/>
    <n v="181.584"/>
    <n v="0"/>
    <n v="8.7996919780000002"/>
    <n v="0"/>
    <n v="4.1306000000000003"/>
    <n v="109.55"/>
    <n v="5288.1951533874362"/>
    <n v="88.136585889790609"/>
    <n v="96.936277867790594"/>
    <n v="96.936277867790594"/>
    <n v="7034.8168800000003"/>
    <n v="0"/>
    <n v="11.64"/>
    <n v="2.8403080220000003"/>
    <n v="0"/>
    <n v="0"/>
    <n v="1"/>
  </r>
  <r>
    <m/>
    <s v="CERRADO"/>
    <s v="L15:Loja Rio Paranaíba"/>
    <s v="SANTA ROSA DA SERRA"/>
    <s v="2018/2019"/>
    <d v="2018-07-04T00:00:00"/>
    <x v="415"/>
    <s v="1251 F2"/>
    <n v="4492"/>
    <s v="kg"/>
    <s v="ARÁBICA"/>
    <s v="Green"/>
    <n v="55.000000000000007"/>
    <m/>
    <m/>
    <d v="2018-12-07T00:00:00"/>
    <n v="435.48239999999998"/>
    <n v="32940.015679999997"/>
    <s v="BRL"/>
    <n v="3.8557999999999999"/>
    <n v="3360.1291984"/>
    <n v="0"/>
    <s v="BRL"/>
    <n v="3.8557999999999999"/>
    <n v="4492"/>
    <n v="0"/>
    <n v="871.44799999999998"/>
    <n v="0"/>
    <n v="8.7996919780000002"/>
    <n v="0"/>
    <n v="4.1306000000000003"/>
    <n v="109.55"/>
    <n v="5122.9704317985361"/>
    <n v="86.265132862306132"/>
    <n v="95.06482484030613"/>
    <n v="95.06482484030613"/>
    <n v="32603.115679999999"/>
    <n v="336.89999999999782"/>
    <n v="11.639999999999999"/>
    <n v="2.8403080219999985"/>
    <n v="0"/>
    <n v="0"/>
    <n v="1"/>
  </r>
  <r>
    <m/>
    <s v="CERRADO"/>
    <s v="L15:Loja Rio Paranaíba"/>
    <s v="SANTA ROSA DA SERRA"/>
    <s v="2018/2019"/>
    <d v="2018-07-05T00:00:00"/>
    <x v="416"/>
    <s v="1276 F1"/>
    <n v="782"/>
    <s v="kg"/>
    <s v="ARÁBICA"/>
    <s v="Green"/>
    <n v="55.000000000000007"/>
    <m/>
    <m/>
    <s v="23/07/2018"/>
    <n v="432.83409999999992"/>
    <n v="5669.6251199999988"/>
    <s v="BRL"/>
    <n v="3.7909000000000002"/>
    <n v="575.10985720000008"/>
    <n v="0"/>
    <s v="BRL"/>
    <n v="3.7909000000000002"/>
    <n v="782"/>
    <n v="0"/>
    <n v="151.70800000000003"/>
    <n v="0"/>
    <n v="8.7996919780000002"/>
    <n v="0"/>
    <e v="#N/A"/>
    <e v="#N/A"/>
    <n v="5178.9877136251807"/>
    <n v="86.750303550059328"/>
    <n v="95.549995528059327"/>
    <n v="95.549995528059327"/>
    <n v="5641.2711033333326"/>
    <n v="28.354016666666212"/>
    <n v="11.64"/>
    <n v="2.8403080220000003"/>
    <n v="0"/>
    <n v="0"/>
    <n v="1"/>
  </r>
  <r>
    <m/>
    <s v="CERRADO"/>
    <s v="L15:Loja Rio Paranaíba"/>
    <s v="SANTA ROSA DA SERRA"/>
    <s v="2018/2019"/>
    <d v="2018-07-09T00:00:00"/>
    <x v="417"/>
    <s v="0623 F1"/>
    <n v="3234"/>
    <s v="kg"/>
    <s v="ARÁBICA"/>
    <s v="Green"/>
    <n v="45"/>
    <m/>
    <m/>
    <d v="2018-12-07T00:00:00"/>
    <n v="494.42490000000004"/>
    <n v="26658.476460000002"/>
    <s v="BRL"/>
    <n v="3.8557999999999999"/>
    <n v="1978.5189423999998"/>
    <n v="0"/>
    <s v="BRL"/>
    <n v="3.8557999999999999"/>
    <n v="3234"/>
    <n v="0"/>
    <n v="513.12799999999993"/>
    <n v="0"/>
    <n v="7.1969989373333325"/>
    <n v="0"/>
    <n v="4.1306000000000003"/>
    <n v="109.55"/>
    <n v="5816.3639757770889"/>
    <n v="96.972044412581056"/>
    <n v="104.16904334991438"/>
    <n v="104.16904334991438"/>
    <n v="26649.502110000001"/>
    <n v="8.9743500000004133"/>
    <n v="9.52"/>
    <n v="2.3230010626666671"/>
    <n v="0"/>
    <n v="0"/>
    <n v="1"/>
  </r>
  <r>
    <m/>
    <s v="CERRADO"/>
    <s v="L15:Loja Rio Paranaíba"/>
    <s v="SANTA ROSA DA SERRA"/>
    <s v="2018/2019"/>
    <d v="2018-07-09T00:00:00"/>
    <x v="418"/>
    <s v="0623 F1"/>
    <n v="1377"/>
    <s v="kg"/>
    <s v="ARÁBICA"/>
    <s v="Green"/>
    <n v="45"/>
    <m/>
    <m/>
    <s v="18/07/2018"/>
    <n v="427.85980000000001"/>
    <n v="9865.2824099999998"/>
    <s v="BRL"/>
    <n v="3.8468"/>
    <n v="840.46425119999992"/>
    <n v="0"/>
    <s v="BRL"/>
    <n v="3.8468"/>
    <n v="1377"/>
    <n v="0"/>
    <n v="218.48399999999998"/>
    <n v="0"/>
    <n v="7.1969989373333316"/>
    <n v="0"/>
    <e v="#N/A"/>
    <e v="#N/A"/>
    <n v="5045.0748858720499"/>
    <n v="84.47762878657845"/>
    <n v="91.674627723911783"/>
    <n v="91.674627723911783"/>
    <n v="9819.3824100000002"/>
    <n v="45.899999999999636"/>
    <n v="9.5199999999999978"/>
    <n v="2.3230010626666662"/>
    <n v="0"/>
    <n v="0"/>
    <n v="1"/>
  </r>
  <r>
    <m/>
    <s v="CERRADO"/>
    <s v="L15:Loja Rio Paranaíba"/>
    <s v="SANTA ROSA DA SERRA"/>
    <s v="2018/2019"/>
    <d v="2018-07-10T00:00:00"/>
    <x v="419"/>
    <s v="0473 F1"/>
    <n v="4350"/>
    <s v="kg"/>
    <s v="ARÁBICA"/>
    <s v="Green"/>
    <n v="45"/>
    <m/>
    <m/>
    <s v="23/07/2018"/>
    <n v="521.30309999999997"/>
    <n v="37802.587500000001"/>
    <s v="BRL"/>
    <n v="3.7909000000000002"/>
    <n v="2616.4791799999998"/>
    <n v="0"/>
    <s v="BRL"/>
    <n v="3.7909000000000002"/>
    <n v="4350"/>
    <n v="0"/>
    <n v="690.19999999999993"/>
    <n v="0"/>
    <n v="7.1969989373333334"/>
    <n v="0"/>
    <e v="#N/A"/>
    <e v="#N/A"/>
    <n v="6237.5454012858954"/>
    <n v="103.98140529669736"/>
    <n v="111.17840423403071"/>
    <n v="111.17840423403071"/>
    <n v="37794.474750000001"/>
    <n v="8.1127500000002328"/>
    <n v="9.5199999999999978"/>
    <n v="2.3230010626666644"/>
    <n v="0"/>
    <n v="0"/>
    <n v="1"/>
  </r>
  <r>
    <m/>
    <s v="CERRADO"/>
    <s v="L15:Loja Rio Paranaíba"/>
    <s v="SANTA ROSA DA SERRA"/>
    <s v="2018/2019"/>
    <d v="2018-07-14T00:00:00"/>
    <x v="420"/>
    <s v="0513 F1"/>
    <n v="720"/>
    <s v="kg"/>
    <s v="ARÁBICA"/>
    <s v="Green"/>
    <n v="45"/>
    <m/>
    <m/>
    <s v="17/07/2018"/>
    <n v="431.76299999999998"/>
    <n v="5233.2407999999996"/>
    <s v="BRL"/>
    <n v="3.8573"/>
    <n v="440.65795199999991"/>
    <n v="0"/>
    <s v="BRL"/>
    <n v="3.8573"/>
    <n v="720"/>
    <n v="0"/>
    <n v="114.23999999999998"/>
    <n v="0"/>
    <n v="7.1969989373333325"/>
    <n v="0"/>
    <e v="#N/A"/>
    <e v="#N/A"/>
    <n v="5077.2406203383198"/>
    <n v="85.47134643881212"/>
    <n v="92.668345376145439"/>
    <n v="92.668345376145439"/>
    <n v="5181.1559999999999"/>
    <n v="52.084799999999632"/>
    <n v="9.5199999999999978"/>
    <n v="2.3230010626666653"/>
    <n v="0"/>
    <n v="0"/>
    <n v="1"/>
  </r>
  <r>
    <m/>
    <s v="CERRADO"/>
    <s v="L15:Loja Rio Paranaíba"/>
    <s v="SANTA ROSA DA SERRA"/>
    <s v="2018/2019"/>
    <d v="2018-07-14T00:00:00"/>
    <x v="421"/>
    <s v="0513 F1"/>
    <n v="5756"/>
    <s v="kg"/>
    <s v="ARÁBICA"/>
    <s v="Green"/>
    <n v="45"/>
    <m/>
    <m/>
    <s v="17/07/2018"/>
    <n v="487.84269999999998"/>
    <n v="46817.634760000001"/>
    <s v="BRL"/>
    <n v="3.8664999999999998"/>
    <n v="3531.2177413333329"/>
    <n v="0"/>
    <s v="BRL"/>
    <n v="3.8664999999999998"/>
    <n v="5756"/>
    <n v="0"/>
    <n v="913.28533333333326"/>
    <n v="0"/>
    <n v="7.1969989373333325"/>
    <n v="0"/>
    <e v="#N/A"/>
    <e v="#N/A"/>
    <n v="5723.0499542273119"/>
    <n v="95.419340379999994"/>
    <n v="102.61633931733334"/>
    <n v="102.61633931733334"/>
    <n v="46800.376353333333"/>
    <n v="17.258406666667724"/>
    <n v="9.52"/>
    <n v="2.3230010626666671"/>
    <n v="0"/>
    <n v="0"/>
    <n v="1"/>
  </r>
  <r>
    <m/>
    <s v="CERRADO"/>
    <s v="L15:Loja Rio Paranaíba"/>
    <s v="SANTA ROSA DA SERRA"/>
    <s v="2018/2019"/>
    <d v="2018-07-14T00:00:00"/>
    <x v="422"/>
    <s v="0513 F1"/>
    <n v="2998"/>
    <s v="kg"/>
    <s v="ARÁBICA"/>
    <s v="Green"/>
    <n v="45"/>
    <m/>
    <m/>
    <s v="18/07/2018"/>
    <n v="424.79500000000002"/>
    <n v="21475.423500000001"/>
    <s v="BRL"/>
    <n v="3.8468"/>
    <n v="1829.8560821333333"/>
    <n v="0"/>
    <s v="BRL"/>
    <n v="3.8468"/>
    <n v="2998"/>
    <n v="0"/>
    <n v="475.68266666666665"/>
    <n v="0"/>
    <n v="7.1969989373333334"/>
    <n v="0"/>
    <e v="#N/A"/>
    <e v="#N/A"/>
    <n v="5008.9365398292102"/>
    <n v="84.464894052264242"/>
    <n v="91.661892989597575"/>
    <n v="91.661892989597575"/>
    <n v="21225.590166666669"/>
    <n v="249.83333333333212"/>
    <n v="9.52"/>
    <n v="2.3230010626666662"/>
    <n v="0"/>
    <n v="0"/>
    <n v="1"/>
  </r>
  <r>
    <m/>
    <s v="CERRADO"/>
    <s v="L15:Loja Rio Paranaíba"/>
    <s v="SANTA ROSA DA SERRA"/>
    <s v="2018/2019"/>
    <d v="2018-07-14T00:00:00"/>
    <x v="423"/>
    <s v="0513 F1"/>
    <n v="3717"/>
    <s v="kg"/>
    <s v="ARÁBICA"/>
    <s v="Green"/>
    <n v="45"/>
    <m/>
    <m/>
    <s v="23/07/2018"/>
    <n v="492.82370000000003"/>
    <n v="30540.358800000002"/>
    <s v="BRL"/>
    <n v="3.7909000000000002"/>
    <n v="2235.7363476"/>
    <n v="0"/>
    <s v="BRL"/>
    <n v="3.7909000000000002"/>
    <n v="3717"/>
    <n v="0"/>
    <n v="589.76400000000001"/>
    <n v="0"/>
    <n v="7.1969989373333334"/>
    <n v="0"/>
    <e v="#N/A"/>
    <e v="#N/A"/>
    <n v="5896.7809774768257"/>
    <n v="98.311650237885473"/>
    <n v="105.50864917521881"/>
    <n v="105.50864917521881"/>
    <n v="30530.428215000004"/>
    <n v="9.9305849999982456"/>
    <n v="9.52"/>
    <n v="2.3230010626666662"/>
    <n v="0"/>
    <n v="0"/>
    <n v="1"/>
  </r>
  <r>
    <m/>
    <s v="CERRADO"/>
    <s v="L15:Loja Rio Paranaíba"/>
    <s v="SANTA ROSA DA SERRA"/>
    <s v="2018/2019"/>
    <d v="2018-07-17T00:00:00"/>
    <x v="424"/>
    <s v="1012 F3"/>
    <n v="5650"/>
    <s v="kg"/>
    <s v="ARÁBICA"/>
    <s v="Green"/>
    <n v="55.000000000000007"/>
    <m/>
    <m/>
    <s v="20/07/2018"/>
    <n v="460.08718999999996"/>
    <n v="43324.877999999997"/>
    <s v="BRL"/>
    <n v="3.7787000000000002"/>
    <n v="4141.8330700000006"/>
    <n v="0"/>
    <s v="BRL"/>
    <n v="3.7787000000000002"/>
    <n v="5650"/>
    <n v="0"/>
    <n v="1096.1000000000001"/>
    <n v="0"/>
    <n v="8.7996919780000002"/>
    <n v="0"/>
    <e v="#N/A"/>
    <e v="#N/A"/>
    <n v="5522.8528043702936"/>
    <n v="92.047548740159314"/>
    <n v="100.84724071815931"/>
    <n v="100.84724071815931"/>
    <n v="43324.877058333332"/>
    <n v="9.4166666531236842E-4"/>
    <n v="11.640000000000002"/>
    <n v="2.8403080220000021"/>
    <n v="0"/>
    <n v="0"/>
    <n v="1"/>
  </r>
  <r>
    <m/>
    <s v="CERRADO"/>
    <s v="L15:Loja Rio Paranaíba"/>
    <s v="SANTA ROSA DA SERRA"/>
    <s v="2018/2019"/>
    <d v="2018-07-18T00:00:00"/>
    <x v="425"/>
    <s v="0513 F1"/>
    <n v="5995"/>
    <s v="kg"/>
    <s v="ARÁBICA"/>
    <s v="Green"/>
    <n v="45"/>
    <m/>
    <m/>
    <s v="23/07/2018"/>
    <n v="432.83409999999992"/>
    <n v="43464.709199999998"/>
    <s v="BRL"/>
    <n v="3.7909000000000002"/>
    <n v="3605.929352666667"/>
    <n v="0"/>
    <s v="BRL"/>
    <n v="3.7909000000000002"/>
    <n v="5995"/>
    <n v="0"/>
    <n v="951.20666666666671"/>
    <n v="0"/>
    <n v="7.1969989373333343"/>
    <n v="0"/>
    <e v="#N/A"/>
    <e v="#N/A"/>
    <n v="5178.9877136251807"/>
    <n v="86.750303550059357"/>
    <n v="93.947302487392662"/>
    <n v="93.947302487392662"/>
    <n v="43247.340491666662"/>
    <n v="217.36870833333523"/>
    <n v="9.52"/>
    <n v="2.3230010626666653"/>
    <n v="0"/>
    <n v="0"/>
    <n v="1"/>
  </r>
  <r>
    <m/>
    <s v="CERRADO"/>
    <s v="L15:Loja Rio Paranaíba"/>
    <s v="SANTA ROSA DA SERRA"/>
    <s v="2018/2019"/>
    <d v="2018-07-21T00:00:00"/>
    <x v="426"/>
    <s v="1219 F1"/>
    <n v="8520"/>
    <s v="kg"/>
    <s v="ARÁBICA"/>
    <s v="Green"/>
    <n v="45"/>
    <m/>
    <m/>
    <s v="24/07/2018"/>
    <n v="426.99430000000001"/>
    <n v="60937.936799999996"/>
    <s v="BRL"/>
    <n v="3.7452999999999999"/>
    <n v="5063.0463519999994"/>
    <n v="0"/>
    <s v="BRL"/>
    <n v="3.7452999999999999"/>
    <n v="8520"/>
    <n v="0"/>
    <n v="1351.84"/>
    <n v="0"/>
    <n v="7.1969989373333334"/>
    <n v="0"/>
    <e v="#N/A"/>
    <e v="#N/A"/>
    <n v="5171.317558366246"/>
    <n v="86.621815385838261"/>
    <n v="93.818814323171594"/>
    <n v="93.818814323171594"/>
    <n v="60633.190600000002"/>
    <n v="304.74619999999413"/>
    <n v="9.52"/>
    <n v="2.3230010626666662"/>
    <n v="0"/>
    <n v="0"/>
    <n v="1"/>
  </r>
  <r>
    <m/>
    <s v="CERRADO"/>
    <s v="L15:Loja Rio Paranaíba"/>
    <s v="SANTA ROSA DA SERRA"/>
    <s v="2018/2019"/>
    <d v="2018-07-25T00:00:00"/>
    <x v="427"/>
    <s v="0953 F1"/>
    <n v="2345"/>
    <s v="kg"/>
    <s v="ARÁBICA"/>
    <s v="Green"/>
    <n v="45"/>
    <m/>
    <m/>
    <s v="27/07/2018"/>
    <n v="522.23469999999998"/>
    <n v="20415.31205"/>
    <s v="BRL"/>
    <n v="3.7158000000000002"/>
    <n v="1382.5500920000002"/>
    <n v="0"/>
    <s v="BRL"/>
    <n v="3.7158000000000002"/>
    <n v="2345"/>
    <n v="0"/>
    <n v="372.07333333333338"/>
    <n v="0"/>
    <n v="7.1969989373333352"/>
    <n v="0"/>
    <e v="#N/A"/>
    <e v="#N/A"/>
    <n v="6374.9845327853754"/>
    <n v="106.27389197640615"/>
    <n v="113.47089091373951"/>
    <n v="113.47089091373951"/>
    <n v="20410.672858333332"/>
    <n v="4.6391916666689212"/>
    <n v="9.52"/>
    <n v="2.3230010626666644"/>
    <n v="0"/>
    <n v="0"/>
    <n v="1"/>
  </r>
  <r>
    <m/>
    <s v="CERRADO"/>
    <s v="L15:Loja Rio Paranaíba"/>
    <s v="CARMO DO PARANAIBA"/>
    <s v="2018/2019"/>
    <d v="2018-07-05T00:00:00"/>
    <x v="428"/>
    <s v="0519 F1"/>
    <n v="16560"/>
    <s v="kg"/>
    <s v="ARÁBICA"/>
    <s v="Green"/>
    <n v="55.000000000000007"/>
    <m/>
    <m/>
    <d v="2018-11-07T00:00:00"/>
    <n v="426.91920000000005"/>
    <n v="117829.69920000002"/>
    <s v="BRL"/>
    <n v="3.8411"/>
    <n v="12340.071504000001"/>
    <n v="0"/>
    <s v="BRL"/>
    <n v="3.8411"/>
    <n v="16560"/>
    <n v="0"/>
    <n v="3212.6400000000003"/>
    <n v="0"/>
    <n v="8.799691978000002"/>
    <n v="0"/>
    <n v="4.1306000000000003"/>
    <n v="109.55"/>
    <n v="5041.4540555180556"/>
    <n v="84.02423425863428"/>
    <n v="92.823926236634279"/>
    <n v="92.823926236634279"/>
    <n v="117829.6992"/>
    <n v="0"/>
    <n v="11.64"/>
    <n v="2.8403080219999985"/>
    <n v="0"/>
    <n v="0"/>
    <n v="1"/>
  </r>
  <r>
    <m/>
    <s v="CERRADO"/>
    <s v="L15:Loja Rio Paranaíba"/>
    <s v="CARMO DO PARANAIBA"/>
    <s v="2018/2019"/>
    <d v="2018-07-05T00:00:00"/>
    <x v="429"/>
    <s v="0519 F1"/>
    <n v="21100"/>
    <s v="kg"/>
    <s v="ARÁBICA"/>
    <s v="Green"/>
    <n v="55.000000000000007"/>
    <m/>
    <m/>
    <d v="2018-11-07T00:00:00"/>
    <n v="483.52199999999999"/>
    <n v="170038.57"/>
    <s v="BRL"/>
    <n v="3.8411"/>
    <n v="15723.158740000003"/>
    <n v="0"/>
    <s v="BRL"/>
    <n v="3.8411"/>
    <n v="21100"/>
    <n v="0"/>
    <n v="4093.4000000000005"/>
    <n v="0"/>
    <n v="8.799691978000002"/>
    <n v="0"/>
    <n v="4.1306000000000003"/>
    <n v="109.55"/>
    <n v="5709.8719097951098"/>
    <n v="95.164531829918502"/>
    <n v="103.96422380791853"/>
    <n v="103.96422380791853"/>
    <n v="170038.56999999998"/>
    <n v="0"/>
    <n v="11.64"/>
    <n v="2.8403080219999985"/>
    <n v="0"/>
    <n v="0"/>
    <n v="1"/>
  </r>
  <r>
    <m/>
    <s v="CERRADO"/>
    <s v="L15:Loja Rio Paranaíba"/>
    <s v="CARMO DO PARANAIBA"/>
    <s v="2018/2019"/>
    <d v="2018-07-19T00:00:00"/>
    <x v="430"/>
    <s v="0519 F1"/>
    <n v="16970"/>
    <s v="kg"/>
    <s v="ARÁBICA"/>
    <s v="Green"/>
    <n v="55.000000000000007"/>
    <m/>
    <m/>
    <s v="25/07/2018"/>
    <n v="458.65919000000002"/>
    <n v="129724.11040000001"/>
    <s v="BRL"/>
    <n v="3.7113999999999998"/>
    <n v="12218.596851999999"/>
    <n v="0"/>
    <s v="BRL"/>
    <n v="3.7113999999999998"/>
    <n v="16970"/>
    <n v="0"/>
    <n v="3292.18"/>
    <n v="0"/>
    <n v="8.7996919780000002"/>
    <n v="0"/>
    <e v="#N/A"/>
    <e v="#N/A"/>
    <n v="5605.5480146139016"/>
    <n v="93.425802280497948"/>
    <n v="102.22549425849793"/>
    <n v="102.22549425849793"/>
    <n v="129724.10757166667"/>
    <n v="2.8283333376748487E-3"/>
    <n v="11.64"/>
    <n v="2.8403080220000003"/>
    <n v="0"/>
    <n v="0"/>
    <n v="1"/>
  </r>
  <r>
    <m/>
    <s v="CERRADO"/>
    <s v="L16:Loja Coromandel"/>
    <s v="COROMANDEL"/>
    <s v="2018/2019"/>
    <d v="2018-06-08T00:00:00"/>
    <x v="431"/>
    <s v="0328 F1"/>
    <n v="455"/>
    <s v="kg"/>
    <s v="ARÁBICA"/>
    <s v="Green"/>
    <n v="55.000000000000007"/>
    <m/>
    <m/>
    <s v="28/06/2018"/>
    <n v="473.89180000000005"/>
    <n v="3606.1161499999998"/>
    <s v="BRL"/>
    <n v="3.8994"/>
    <n v="344.20003800000001"/>
    <n v="0"/>
    <s v="BRL"/>
    <n v="3.8994"/>
    <n v="455"/>
    <n v="0"/>
    <n v="88.27"/>
    <n v="0"/>
    <n v="8.7996919779999985"/>
    <n v="0"/>
    <e v="#N/A"/>
    <e v="#N/A"/>
    <n v="5512.4815275572146"/>
    <n v="92.192643386318395"/>
    <n v="100.99233536431841"/>
    <n v="100.99233536431841"/>
    <n v="3593.6794833333338"/>
    <n v="12.436666666666042"/>
    <n v="11.64"/>
    <n v="2.8403080220000021"/>
    <n v="0"/>
    <n v="0"/>
    <n v="1"/>
  </r>
  <r>
    <m/>
    <s v="CERRADO"/>
    <s v="L16:Loja Coromandel"/>
    <s v="COROMANDEL"/>
    <s v="2018/2019"/>
    <d v="2018-06-22T00:00:00"/>
    <x v="432"/>
    <s v="0108 F1"/>
    <n v="9820"/>
    <s v="kg"/>
    <s v="ARÁBICA"/>
    <s v="Green"/>
    <n v="45"/>
    <m/>
    <m/>
    <d v="2018-03-07T00:00:00"/>
    <n v="447.86610000000007"/>
    <n v="74406.041800000006"/>
    <s v="BRL"/>
    <n v="3.8914"/>
    <n v="6063.2162826666654"/>
    <n v="0"/>
    <s v="BRL"/>
    <n v="3.8914"/>
    <n v="9820"/>
    <n v="0"/>
    <n v="1558.1066666666663"/>
    <n v="0"/>
    <n v="7.1969989373333325"/>
    <n v="0"/>
    <n v="3.2454000000000001"/>
    <n v="118.15"/>
    <n v="5220.4513990249543"/>
    <n v="88.319495594549537"/>
    <n v="95.51649453188287"/>
    <n v="95.51649453188287"/>
    <n v="73300.751700000008"/>
    <n v="1105.2900999999983"/>
    <n v="9.5199999999999978"/>
    <n v="2.3230010626666653"/>
    <n v="0"/>
    <n v="0"/>
    <n v="1"/>
  </r>
  <r>
    <m/>
    <s v="CERRADO"/>
    <s v="L16:Loja Coromandel"/>
    <s v="COROMANDEL"/>
    <s v="2018/2019"/>
    <d v="2018-06-25T00:00:00"/>
    <x v="433"/>
    <s v="1234 F1"/>
    <n v="6370"/>
    <s v="kg"/>
    <s v="ARÁBICA"/>
    <s v="Green"/>
    <n v="45"/>
    <m/>
    <m/>
    <s v="26/06/2018"/>
    <n v="447.43399999999997"/>
    <n v="47736.142999999996"/>
    <s v="BRL"/>
    <n v="3.7715000000000001"/>
    <n v="3811.8801933333334"/>
    <n v="0"/>
    <s v="BRL"/>
    <n v="3.7715000000000001"/>
    <n v="6370"/>
    <n v="0"/>
    <n v="1010.7066666666667"/>
    <n v="0"/>
    <n v="7.1969989373333343"/>
    <n v="0"/>
    <e v="#N/A"/>
    <e v="#N/A"/>
    <n v="5381.2183077974278"/>
    <n v="90.127956026594191"/>
    <n v="97.32495496392751"/>
    <n v="97.32495496392751"/>
    <n v="47502.576333333323"/>
    <n v="233.56666666667297"/>
    <n v="9.52"/>
    <n v="2.3230010626666653"/>
    <n v="0"/>
    <n v="0"/>
    <n v="1"/>
  </r>
  <r>
    <m/>
    <s v="CERRADO"/>
    <s v="L16:Loja Coromandel"/>
    <s v="COROMANDEL"/>
    <s v="2018/2019"/>
    <d v="2018-06-25T00:00:00"/>
    <x v="434"/>
    <s v="0417 F1"/>
    <n v="700"/>
    <s v="kg"/>
    <s v="ARÁBICA"/>
    <s v="Green"/>
    <n v="55.000000000000007"/>
    <m/>
    <m/>
    <s v="28/06/2018"/>
    <n v="549.83230000000003"/>
    <n v="6418.6360000000004"/>
    <s v="BRL"/>
    <n v="3.8515000000000001"/>
    <n v="523.03370000000007"/>
    <n v="0"/>
    <s v="BRL"/>
    <n v="3.8515000000000001"/>
    <n v="700"/>
    <n v="0"/>
    <n v="135.80000000000001"/>
    <n v="0"/>
    <n v="8.799691978000002"/>
    <n v="0"/>
    <e v="#N/A"/>
    <e v="#N/A"/>
    <n v="6475.3923421926793"/>
    <n v="107.98925522179931"/>
    <n v="116.78894719979931"/>
    <n v="116.78894719979931"/>
    <n v="6414.7101666666676"/>
    <n v="3.9258333333327755"/>
    <n v="11.639999999999999"/>
    <n v="2.8403080219999968"/>
    <n v="0"/>
    <n v="0"/>
    <n v="1"/>
  </r>
  <r>
    <m/>
    <s v="CERRADO"/>
    <s v="L16:Loja Coromandel"/>
    <s v="COROMANDEL"/>
    <s v="2018/2019"/>
    <d v="2018-06-26T00:00:00"/>
    <x v="435"/>
    <s v="0328 F1"/>
    <n v="8650"/>
    <s v="kg"/>
    <s v="ARÁBICA"/>
    <s v="Green"/>
    <n v="45"/>
    <m/>
    <m/>
    <s v="28/06/2018"/>
    <n v="721.09318999999994"/>
    <n v="103957.603"/>
    <s v="BRL"/>
    <n v="3.8515000000000001"/>
    <n v="5286.0553666666674"/>
    <n v="0"/>
    <s v="BRL"/>
    <n v="3.8515000000000001"/>
    <n v="8650"/>
    <n v="0"/>
    <n v="1372.4666666666667"/>
    <n v="0"/>
    <n v="7.1969989373333343"/>
    <n v="0"/>
    <e v="#N/A"/>
    <e v="#N/A"/>
    <n v="8492.3372463445485"/>
    <n v="141.53895606858109"/>
    <n v="148.73595500591441"/>
    <n v="148.73595500591441"/>
    <n v="103957.60155833332"/>
    <n v="1.4416666817851365E-3"/>
    <n v="9.5200000000000014"/>
    <n v="2.3230010626666671"/>
    <n v="0"/>
    <n v="0"/>
    <n v="1"/>
  </r>
  <r>
    <m/>
    <s v="CERRADO"/>
    <s v="L16:Loja Coromandel"/>
    <s v="COROMANDEL"/>
    <s v="2018/2019"/>
    <d v="2018-06-26T00:00:00"/>
    <x v="436"/>
    <s v="0108 F1"/>
    <n v="301"/>
    <s v="kg"/>
    <s v="ARÁBICA"/>
    <s v="Green"/>
    <n v="55.000000000000007"/>
    <m/>
    <m/>
    <d v="2018-03-07T00:00:00"/>
    <n v="448.92600000000004"/>
    <n v="2286.0709200000001"/>
    <s v="BRL"/>
    <n v="3.8914"/>
    <n v="227.23441159999999"/>
    <n v="0"/>
    <s v="BRL"/>
    <n v="3.8914"/>
    <n v="301"/>
    <n v="0"/>
    <n v="58.393999999999998"/>
    <n v="0"/>
    <n v="8.7996919779999985"/>
    <n v="0"/>
    <n v="3.2454000000000001"/>
    <n v="118.15"/>
    <n v="5232.8058872030633"/>
    <n v="88.528492644302816"/>
    <n v="97.328184622302814"/>
    <n v="97.328184622302814"/>
    <n v="2252.1121000000003"/>
    <n v="33.958819999999832"/>
    <n v="11.64"/>
    <n v="2.8403080220000021"/>
    <n v="0"/>
    <n v="0"/>
    <n v="1"/>
  </r>
  <r>
    <m/>
    <s v="CERRADO"/>
    <s v="L16:Loja Coromandel"/>
    <s v="COROMANDEL"/>
    <s v="2018/2019"/>
    <d v="2018-06-28T00:00:00"/>
    <x v="437"/>
    <s v="0108 F1"/>
    <n v="9630"/>
    <s v="kg"/>
    <s v="ARÁBICA"/>
    <s v="Green"/>
    <n v="45"/>
    <m/>
    <m/>
    <d v="2018-03-07T00:00:00"/>
    <n v="448.92599999999993"/>
    <n v="73139.079599999997"/>
    <s v="BRL"/>
    <n v="3.8914"/>
    <n v="5945.9035439999998"/>
    <n v="0"/>
    <s v="BRL"/>
    <n v="3.8914"/>
    <n v="9630"/>
    <n v="0"/>
    <n v="1527.96"/>
    <n v="0"/>
    <n v="7.1969989373333334"/>
    <n v="0"/>
    <n v="3.2454000000000001"/>
    <n v="118.15"/>
    <n v="5232.8058872030624"/>
    <n v="88.52849264430283"/>
    <n v="95.725491581636163"/>
    <n v="95.725491581636163"/>
    <n v="72052.622999999978"/>
    <n v="1086.4566000000195"/>
    <n v="9.52"/>
    <n v="2.3230010626666662"/>
    <n v="0"/>
    <n v="0"/>
    <n v="1"/>
  </r>
  <r>
    <m/>
    <s v="CERRADO"/>
    <s v="L16:Loja Coromandel"/>
    <s v="COROMANDEL"/>
    <s v="2018/2019"/>
    <d v="2018-06-29T00:00:00"/>
    <x v="438"/>
    <s v="0112 F1"/>
    <n v="9310"/>
    <s v="kg"/>
    <s v="ARÁBICA"/>
    <s v="Green"/>
    <n v="45"/>
    <m/>
    <m/>
    <s v="17/07/2018"/>
    <n v="432.81210000000004"/>
    <n v="68170.706099999996"/>
    <s v="BRL"/>
    <n v="3.8664999999999998"/>
    <n v="5711.5422466666651"/>
    <n v="0"/>
    <s v="BRL"/>
    <n v="3.8664999999999998"/>
    <n v="9310"/>
    <n v="0"/>
    <n v="1477.1866666666663"/>
    <n v="0"/>
    <n v="7.1969989373333316"/>
    <n v="0"/>
    <e v="#N/A"/>
    <e v="#N/A"/>
    <n v="5077.4671202295885"/>
    <n v="85.900528818691313"/>
    <n v="93.097527756024647"/>
    <n v="93.097527756024647"/>
    <n v="67158.010850000006"/>
    <n v="1012.6952499999898"/>
    <n v="9.5199999999999978"/>
    <n v="2.3230010626666662"/>
    <n v="0"/>
    <n v="0"/>
    <n v="1"/>
  </r>
  <r>
    <m/>
    <s v="CERRADO"/>
    <s v="L16:Loja Coromandel"/>
    <s v="COROMANDEL"/>
    <s v="2018/2019"/>
    <d v="2018-07-02T00:00:00"/>
    <x v="439"/>
    <s v="1519 F1"/>
    <n v="7975"/>
    <s v="kg"/>
    <s v="ARÁBICA"/>
    <s v="Green"/>
    <n v="55.000000000000007"/>
    <m/>
    <m/>
    <s v="27/07/2018"/>
    <n v="573.73470000000009"/>
    <n v="76283.745999999999"/>
    <s v="BRL"/>
    <n v="3.7158000000000002"/>
    <n v="5748.8999700000004"/>
    <n v="0"/>
    <s v="BRL"/>
    <n v="3.7158000000000002"/>
    <n v="7975"/>
    <n v="0"/>
    <n v="1547.15"/>
    <n v="0"/>
    <n v="8.7996919780000002"/>
    <n v="0"/>
    <e v="#N/A"/>
    <e v="#N/A"/>
    <n v="7003.6514969653654"/>
    <n v="116.76555014541148"/>
    <n v="125.56524212341149"/>
    <n v="125.56524212341149"/>
    <n v="76258.903875000018"/>
    <n v="24.842124999981024"/>
    <n v="11.64"/>
    <n v="2.8403080220000003"/>
    <n v="0"/>
    <n v="0"/>
    <n v="1"/>
  </r>
  <r>
    <m/>
    <s v="CERRADO"/>
    <s v="L16:Loja Coromandel"/>
    <s v="COROMANDEL"/>
    <s v="2018/2019"/>
    <d v="2018-07-02T00:00:00"/>
    <x v="440"/>
    <s v="1519 F1"/>
    <n v="5996"/>
    <s v="kg"/>
    <s v="ARÁBICA"/>
    <s v="Green"/>
    <n v="55.000000000000007"/>
    <m/>
    <m/>
    <s v="27/07/2018"/>
    <n v="504.61629999999991"/>
    <n v="50444.407959999997"/>
    <s v="BRL"/>
    <n v="3.7158000000000002"/>
    <n v="4322.3077392000005"/>
    <n v="0"/>
    <s v="BRL"/>
    <n v="3.7158000000000002"/>
    <n v="5996"/>
    <n v="0"/>
    <n v="1163.2240000000002"/>
    <n v="0"/>
    <n v="8.799691978000002"/>
    <n v="0"/>
    <e v="#N/A"/>
    <e v="#N/A"/>
    <n v="6159.9145125580217"/>
    <n v="102.69866905467732"/>
    <n v="111.49836103267732"/>
    <n v="111.49836103267732"/>
    <n v="50427.98891333332"/>
    <n v="16.419046666676877"/>
    <n v="11.64"/>
    <n v="2.8403080219999985"/>
    <n v="0"/>
    <n v="0"/>
    <n v="1"/>
  </r>
  <r>
    <m/>
    <s v="CERRADO"/>
    <s v="L16:Loja Coromandel"/>
    <s v="COROMANDEL"/>
    <s v="2018/2019"/>
    <d v="2018-07-05T00:00:00"/>
    <x v="441"/>
    <s v="0108 F1"/>
    <n v="8384"/>
    <s v="kg"/>
    <s v="ARÁBICA"/>
    <s v="Green"/>
    <n v="45"/>
    <m/>
    <m/>
    <s v="17/07/2018"/>
    <n v="434.73720000000009"/>
    <n v="61663.313920000001"/>
    <s v="BRL"/>
    <n v="3.8664999999999998"/>
    <n v="5143.4554453333321"/>
    <n v="0"/>
    <s v="BRL"/>
    <n v="3.8664999999999998"/>
    <n v="8384"/>
    <n v="0"/>
    <n v="1330.2613333333331"/>
    <n v="0"/>
    <n v="7.1969989373333316"/>
    <n v="0"/>
    <e v="#N/A"/>
    <e v="#N/A"/>
    <n v="5100.0511282856341"/>
    <n v="86.282618654224763"/>
    <n v="93.479617591558082"/>
    <n v="93.479617591558082"/>
    <n v="60747.278080000011"/>
    <n v="916.03583999998955"/>
    <n v="9.52"/>
    <n v="2.3230010626666679"/>
    <n v="0"/>
    <n v="0"/>
    <n v="1"/>
  </r>
  <r>
    <m/>
    <s v="CERRADO"/>
    <s v="L16:Loja Coromandel"/>
    <s v="COROMANDEL"/>
    <s v="2018/2019"/>
    <d v="2018-07-06T00:00:00"/>
    <x v="442"/>
    <s v="0328 F1"/>
    <n v="18060"/>
    <s v="kg"/>
    <s v="ARÁBICA"/>
    <s v="Green"/>
    <n v="45"/>
    <m/>
    <m/>
    <d v="2018-10-07T00:00:00"/>
    <n v="690.08319999999992"/>
    <n v="207730.0932"/>
    <s v="BRL"/>
    <n v="3.8445999999999998"/>
    <n v="11016.778192"/>
    <n v="0"/>
    <s v="BRL"/>
    <n v="3.8445999999999998"/>
    <n v="18060"/>
    <n v="0"/>
    <n v="2865.52"/>
    <n v="0"/>
    <n v="7.1969989373333343"/>
    <n v="0"/>
    <n v="4.1306000000000003"/>
    <n v="109.55"/>
    <n v="8141.7175827182018"/>
    <n v="135.70512485203665"/>
    <n v="142.90212378936997"/>
    <n v="142.90212378936997"/>
    <n v="207715.04319999999"/>
    <n v="15.050000000017462"/>
    <n v="9.52"/>
    <n v="2.3230010626666653"/>
    <n v="0"/>
    <n v="0"/>
    <n v="1"/>
  </r>
  <r>
    <m/>
    <s v="CERRADO"/>
    <s v="L16:Loja Coromandel"/>
    <s v="COROMANDEL"/>
    <s v="2018/2019"/>
    <d v="2018-07-10T00:00:00"/>
    <x v="443"/>
    <s v="1234 F1"/>
    <n v="897"/>
    <s v="kg"/>
    <s v="ARÁBICA"/>
    <s v="Green"/>
    <n v="45"/>
    <m/>
    <m/>
    <s v="24/07/2018"/>
    <n v="432.81020000000001"/>
    <n v="6574.5884100000003"/>
    <s v="BRL"/>
    <n v="3.7452999999999999"/>
    <n v="533.0460771999999"/>
    <n v="0"/>
    <s v="BRL"/>
    <n v="3.7452999999999999"/>
    <n v="897"/>
    <n v="0"/>
    <n v="142.32399999999998"/>
    <n v="0"/>
    <n v="7.1969989373333334"/>
    <n v="0"/>
    <e v="#N/A"/>
    <e v="#N/A"/>
    <n v="5241.7537814907764"/>
    <n v="88.767759156438743"/>
    <n v="95.964758093772076"/>
    <n v="95.964758093772076"/>
    <n v="6470.5124900000001"/>
    <n v="104.07592000000022"/>
    <n v="9.52"/>
    <n v="2.3230010626666662"/>
    <n v="0"/>
    <n v="0"/>
    <n v="1"/>
  </r>
  <r>
    <m/>
    <s v="CERRADO"/>
    <s v="L16:Loja Coromandel"/>
    <s v="COROMANDEL"/>
    <s v="2018/2019"/>
    <d v="2018-07-10T00:00:00"/>
    <x v="444"/>
    <s v="0375 F2"/>
    <n v="14940"/>
    <s v="kg"/>
    <s v="ARÁBICA"/>
    <s v="Green"/>
    <n v="55.000000000000007"/>
    <m/>
    <m/>
    <s v="27/07/2018"/>
    <n v="503.99899999999997"/>
    <n v="125536.63680000001"/>
    <s v="BRL"/>
    <n v="3.7158000000000002"/>
    <n v="10769.726088000001"/>
    <n v="0"/>
    <s v="BRL"/>
    <n v="3.7158000000000002"/>
    <n v="14940"/>
    <n v="0"/>
    <n v="2898.36"/>
    <n v="0"/>
    <n v="8.7996919779999985"/>
    <n v="0"/>
    <e v="#N/A"/>
    <e v="#N/A"/>
    <n v="6152.3790539757247"/>
    <n v="102.5730577330965"/>
    <n v="111.37274971109649"/>
    <n v="111.37274971109649"/>
    <n v="125495.75099999999"/>
    <n v="40.885800000018207"/>
    <n v="11.64"/>
    <n v="2.8403080220000021"/>
    <n v="0"/>
    <n v="0"/>
    <n v="1"/>
  </r>
  <r>
    <m/>
    <s v="CERRADO"/>
    <s v="L16:Loja Coromandel"/>
    <s v="COROMANDEL"/>
    <s v="2018/2019"/>
    <d v="2018-07-19T00:00:00"/>
    <x v="445"/>
    <s v="0324 F1"/>
    <n v="4730"/>
    <s v="kg"/>
    <s v="ARÁBICA"/>
    <s v="Green"/>
    <n v="55.000000000000007"/>
    <m/>
    <m/>
    <s v="23/07/2018"/>
    <n v="420.54179999999997"/>
    <n v="33752.665099999998"/>
    <s v="BRL"/>
    <n v="3.8468"/>
    <n v="3529.9006159999999"/>
    <n v="0"/>
    <s v="BRL"/>
    <n v="3.8468"/>
    <n v="4730"/>
    <n v="0"/>
    <n v="917.62"/>
    <n v="0"/>
    <n v="8.7996919780000002"/>
    <n v="0"/>
    <e v="#N/A"/>
    <e v="#N/A"/>
    <n v="4958.7852694724443"/>
    <n v="84.142044954557022"/>
    <n v="92.941736932557035"/>
    <n v="92.941736932557035"/>
    <n v="33152.711900000002"/>
    <n v="599.95319999999629"/>
    <n v="11.64"/>
    <n v="2.8403080220000003"/>
    <n v="0"/>
    <n v="0"/>
    <n v="1"/>
  </r>
  <r>
    <m/>
    <s v="CERRADO"/>
    <s v="L16:Loja Coromandel"/>
    <s v="ABADIA DOS DOURADOS"/>
    <s v="2018/2019"/>
    <d v="2018-06-19T00:00:00"/>
    <x v="446"/>
    <s v="1394 F1"/>
    <n v="2402"/>
    <s v="kg"/>
    <s v="ARÁBICA"/>
    <s v="Green"/>
    <n v="55.000000000000007"/>
    <m/>
    <m/>
    <s v="21/06/2018"/>
    <n v="451.86890000000005"/>
    <n v="18180.738000000001"/>
    <s v="BRL"/>
    <n v="3.7888000000000002"/>
    <n v="1765.5353344"/>
    <n v="0"/>
    <s v="BRL"/>
    <n v="3.7888000000000002"/>
    <n v="2402"/>
    <n v="0"/>
    <n v="465.988"/>
    <n v="0"/>
    <n v="8.7996919780000002"/>
    <n v="0"/>
    <e v="#N/A"/>
    <e v="#N/A"/>
    <n v="5409.7414822712481"/>
    <n v="90.615515427839952"/>
    <n v="99.415207405839951"/>
    <n v="99.415207405839951"/>
    <n v="18089.818296666668"/>
    <n v="90.919703333333018"/>
    <n v="11.64"/>
    <n v="2.8403080220000003"/>
    <n v="0"/>
    <n v="0"/>
    <n v="1"/>
  </r>
  <r>
    <m/>
    <s v="CERRADO"/>
    <s v="L16:Loja Coromandel"/>
    <s v="ABADIA DOS DOURADOS"/>
    <s v="2018/2019"/>
    <d v="2018-06-19T00:00:00"/>
    <x v="447"/>
    <s v="1394 F1"/>
    <n v="1201"/>
    <s v="kg"/>
    <s v="ARÁBICA"/>
    <s v="Green"/>
    <n v="55.000000000000007"/>
    <m/>
    <m/>
    <s v="26/06/2018"/>
    <n v="454.85329999999999"/>
    <n v="9150.4069899999995"/>
    <s v="BRL"/>
    <n v="3.7715000000000001"/>
    <n v="878.73687100000006"/>
    <n v="0"/>
    <s v="BRL"/>
    <n v="3.7715000000000001"/>
    <n v="1201"/>
    <n v="0"/>
    <n v="232.994"/>
    <n v="0"/>
    <n v="8.799691978000002"/>
    <n v="0"/>
    <e v="#N/A"/>
    <e v="#N/A"/>
    <n v="5470.4490613634107"/>
    <n v="91.632393771875911"/>
    <n v="100.43208574987591"/>
    <n v="100.43208574987591"/>
    <n v="9104.6468883333346"/>
    <n v="45.760101666664923"/>
    <n v="11.64"/>
    <n v="2.8403080219999985"/>
    <n v="0"/>
    <n v="0"/>
    <n v="1"/>
  </r>
  <r>
    <m/>
    <s v="CERRADO"/>
    <s v="L16:Loja Coromandel"/>
    <s v="ABADIA DOS DOURADOS"/>
    <s v="2018/2019"/>
    <d v="2018-06-19T00:00:00"/>
    <x v="448"/>
    <s v="1394 F1"/>
    <n v="7145"/>
    <s v="kg"/>
    <s v="ARÁBICA"/>
    <s v="Green"/>
    <n v="55.000000000000007"/>
    <m/>
    <m/>
    <s v="17/07/2018"/>
    <n v="478.02959000000004"/>
    <n v="56925.358200000002"/>
    <s v="BRL"/>
    <n v="3.8664999999999998"/>
    <n v="5359.4716449999996"/>
    <n v="0"/>
    <s v="BRL"/>
    <n v="3.8664999999999998"/>
    <n v="7145"/>
    <n v="0"/>
    <n v="1386.1299999999999"/>
    <n v="0"/>
    <n v="8.7996919779999985"/>
    <n v="0"/>
    <e v="#N/A"/>
    <e v="#N/A"/>
    <n v="5607.9289967212817"/>
    <n v="93.465485233911807"/>
    <n v="102.2651772119118"/>
    <n v="102.2651772119118"/>
    <n v="56925.35700916667"/>
    <n v="1.1908333326573484E-3"/>
    <n v="11.639999999999999"/>
    <n v="2.8403080220000003"/>
    <n v="0"/>
    <n v="0"/>
    <n v="1"/>
  </r>
  <r>
    <m/>
    <s v="CERRADO"/>
    <s v="L16:Loja Coromandel"/>
    <s v="ABADIA DOS DOURADOS"/>
    <s v="2018/2019"/>
    <d v="2018-06-20T00:00:00"/>
    <x v="449"/>
    <s v="1394 F1"/>
    <n v="2400"/>
    <s v="kg"/>
    <s v="ARÁBICA"/>
    <s v="Green"/>
    <n v="55.000000000000007"/>
    <m/>
    <m/>
    <d v="2018-12-07T00:00:00"/>
    <n v="440.97324000000009"/>
    <n v="17851.704000000002"/>
    <s v="BRL"/>
    <n v="3.8557999999999999"/>
    <n v="1795.2604799999999"/>
    <n v="0"/>
    <s v="BRL"/>
    <n v="3.8557999999999999"/>
    <n v="2400"/>
    <n v="0"/>
    <n v="465.59999999999997"/>
    <n v="0"/>
    <n v="8.7996919780000002"/>
    <n v="0"/>
    <n v="4.1306000000000003"/>
    <n v="109.55"/>
    <n v="5187.5641121992539"/>
    <n v="87.50234199018881"/>
    <n v="96.302033968188823"/>
    <n v="96.302033968188823"/>
    <n v="17638.929600000007"/>
    <n v="212.77439999999478"/>
    <n v="11.639999999999999"/>
    <n v="2.8403080219999985"/>
    <n v="0"/>
    <n v="0"/>
    <n v="1"/>
  </r>
  <r>
    <m/>
    <s v="CERRADO"/>
    <s v="L16:Loja Coromandel"/>
    <s v="GUIMARANIA"/>
    <s v="2018/2019"/>
    <d v="2018-06-22T00:00:00"/>
    <x v="450"/>
    <s v="1147 F1"/>
    <n v="13310"/>
    <s v="kg"/>
    <s v="ARÁBICA"/>
    <s v="Green"/>
    <n v="45"/>
    <m/>
    <m/>
    <s v="26/06/2018"/>
    <n v="445.64299999999997"/>
    <n v="99180.130499999999"/>
    <s v="BRL"/>
    <n v="3.7888000000000002"/>
    <n v="8001.389909333333"/>
    <n v="0"/>
    <s v="BRL"/>
    <n v="3.7888000000000002"/>
    <n v="13310"/>
    <n v="0"/>
    <n v="2111.853333333333"/>
    <n v="0"/>
    <n v="7.1969989373333334"/>
    <n v="0"/>
    <e v="#N/A"/>
    <e v="#N/A"/>
    <n v="5335.2054619908677"/>
    <n v="89.209412602235545"/>
    <n v="96.406411539568865"/>
    <n v="96.406411539568865"/>
    <n v="98858.472166666674"/>
    <n v="321.65833333332557"/>
    <n v="9.52"/>
    <n v="2.3230010626666662"/>
    <n v="0"/>
    <n v="0"/>
    <n v="1"/>
  </r>
  <r>
    <m/>
    <s v="CERRADO"/>
    <s v="L16:Loja Coromandel"/>
    <s v="GUIMARANIA"/>
    <s v="2018/2019"/>
    <d v="2018-06-22T00:00:00"/>
    <x v="451"/>
    <s v="1147 F1"/>
    <n v="7080"/>
    <s v="kg"/>
    <s v="ARÁBICA"/>
    <s v="Green"/>
    <n v="45"/>
    <m/>
    <m/>
    <s v="26/06/2018"/>
    <n v="444.57920000000001"/>
    <n v="52719.945599999999"/>
    <s v="BRL"/>
    <n v="3.7888000000000002"/>
    <n v="4256.1863679999997"/>
    <n v="0"/>
    <s v="BRL"/>
    <n v="3.7888000000000002"/>
    <n v="7080"/>
    <n v="0"/>
    <n v="1123.3599999999999"/>
    <n v="0"/>
    <n v="7.1969989373333325"/>
    <n v="0"/>
    <e v="#N/A"/>
    <e v="#N/A"/>
    <n v="5322.4697260532103"/>
    <n v="89.146799424049817"/>
    <n v="96.343798361383165"/>
    <n v="96.343798361383165"/>
    <n v="52460.345600000001"/>
    <n v="259.59999999999854"/>
    <n v="9.52"/>
    <n v="2.3230010626666671"/>
    <n v="0"/>
    <n v="0"/>
    <n v="1"/>
  </r>
  <r>
    <m/>
    <s v="CERRADO"/>
    <s v="L16:Loja Coromandel"/>
    <s v="GUIMARANIA"/>
    <s v="2018/2019"/>
    <d v="2018-06-22T00:00:00"/>
    <x v="452"/>
    <s v="1147 F1"/>
    <n v="1140"/>
    <s v="kg"/>
    <s v="ARÁBICA"/>
    <s v="Green"/>
    <n v="45"/>
    <m/>
    <m/>
    <s v="26/06/2018"/>
    <n v="452.53919999999999"/>
    <n v="8640.4248000000007"/>
    <s v="BRL"/>
    <n v="3.7715000000000001"/>
    <n v="682.18891999999994"/>
    <n v="0"/>
    <s v="BRL"/>
    <n v="3.7715000000000001"/>
    <n v="1140"/>
    <n v="0"/>
    <n v="180.87999999999997"/>
    <n v="0"/>
    <n v="7.1969989373333325"/>
    <n v="0"/>
    <e v="#N/A"/>
    <e v="#N/A"/>
    <n v="5442.6177448204689"/>
    <n v="91.155288924523404"/>
    <n v="98.352287861856752"/>
    <n v="98.352287861856752"/>
    <n v="8598.2447999999986"/>
    <n v="42.18000000000211"/>
    <n v="9.52"/>
    <n v="2.3230010626666671"/>
    <n v="0"/>
    <n v="0"/>
    <n v="1"/>
  </r>
  <r>
    <m/>
    <s v="CERRADO"/>
    <s v="307:Unidade Avançada Patrocínio"/>
    <s v="PATROCINIO"/>
    <s v="2018/2019"/>
    <d v="2018-06-18T00:00:00"/>
    <x v="453"/>
    <s v="1549 F1"/>
    <n v="11070"/>
    <s v="kg"/>
    <s v="ARÁBICA"/>
    <s v="Green"/>
    <n v="55.000000000000007"/>
    <m/>
    <m/>
    <s v="21/06/2018"/>
    <n v="440.42880000000008"/>
    <n v="83138.135399999999"/>
    <s v="BRL"/>
    <n v="3.7888000000000002"/>
    <n v="8136.7511040000009"/>
    <n v="0"/>
    <s v="BRL"/>
    <n v="3.7888000000000002"/>
    <n v="11070"/>
    <n v="0"/>
    <n v="2147.58"/>
    <n v="0"/>
    <n v="8.7996919780000002"/>
    <n v="0"/>
    <e v="#N/A"/>
    <e v="#N/A"/>
    <n v="5272.7814402516906"/>
    <n v="89.911805559052993"/>
    <n v="98.711497537052978"/>
    <n v="98.711497537052978"/>
    <n v="81259.113600000012"/>
    <n v="1879.0217999999877"/>
    <n v="11.640000000000002"/>
    <n v="2.8403080220000021"/>
    <n v="0"/>
    <n v="0"/>
    <n v="1"/>
  </r>
  <r>
    <m/>
    <s v="CERRADO"/>
    <s v="307:Unidade Avançada Patrocínio"/>
    <s v="PATROCINIO"/>
    <s v="2018/2019"/>
    <d v="2018-06-19T00:00:00"/>
    <x v="454"/>
    <s v="1549 F1"/>
    <n v="14160"/>
    <s v="kg"/>
    <s v="ARÁBICA"/>
    <s v="Green"/>
    <n v="55.000000000000007"/>
    <m/>
    <m/>
    <s v="21/06/2018"/>
    <n v="445.72849999999994"/>
    <n v="107624.21279999999"/>
    <s v="BRL"/>
    <n v="3.7888000000000002"/>
    <n v="10407.985152000001"/>
    <n v="0"/>
    <s v="BRL"/>
    <n v="3.7888000000000002"/>
    <n v="14160"/>
    <n v="0"/>
    <n v="2747.04"/>
    <n v="0"/>
    <n v="8.7996919780000002"/>
    <n v="0"/>
    <e v="#N/A"/>
    <e v="#N/A"/>
    <n v="5336.2290617489707"/>
    <n v="90.993588882353251"/>
    <n v="99.793280860353249"/>
    <n v="99.793280860353249"/>
    <n v="105191.92599999999"/>
    <n v="2432.2868000000017"/>
    <n v="11.640000000000002"/>
    <n v="2.8403080220000021"/>
    <n v="0"/>
    <n v="0"/>
    <n v="1"/>
  </r>
  <r>
    <m/>
    <s v="CERRADO"/>
    <s v="307:Unidade Avançada Patrocínio"/>
    <s v="PATROCINIO"/>
    <s v="2018/2019"/>
    <d v="2018-06-20T00:00:00"/>
    <x v="455"/>
    <s v="1549 F1"/>
    <n v="17300"/>
    <s v="kg"/>
    <s v="ARÁBICA"/>
    <s v="Green"/>
    <n v="55.000000000000007"/>
    <m/>
    <m/>
    <s v="21/06/2018"/>
    <n v="446.78832"/>
    <n v="131802.64499999999"/>
    <s v="BRL"/>
    <n v="3.7888000000000002"/>
    <n v="12715.97056"/>
    <n v="0"/>
    <s v="BRL"/>
    <n v="3.7888000000000002"/>
    <n v="17300"/>
    <n v="0"/>
    <n v="3356.2"/>
    <n v="0"/>
    <n v="8.7996919779999985"/>
    <n v="0"/>
    <e v="#N/A"/>
    <e v="#N/A"/>
    <n v="5348.9171494171869"/>
    <n v="91.209921603159302"/>
    <n v="100.0096135811593"/>
    <n v="100.0096135811593"/>
    <n v="128823.9656"/>
    <n v="2978.6793999999936"/>
    <n v="11.64"/>
    <n v="2.8403080220000021"/>
    <n v="0"/>
    <n v="0"/>
    <n v="1"/>
  </r>
  <r>
    <m/>
    <s v="CERRADO"/>
    <s v="307:Unidade Avançada Patrocínio"/>
    <s v="PATROCINIO"/>
    <s v="2018/2019"/>
    <d v="2018-06-22T00:00:00"/>
    <x v="456"/>
    <s v="1549 F1"/>
    <n v="14880"/>
    <s v="kg"/>
    <s v="ARÁBICA"/>
    <s v="Green"/>
    <n v="55.000000000000007"/>
    <m/>
    <m/>
    <d v="2018-10-07T00:00:00"/>
    <n v="448.73271999999997"/>
    <n v="116096.8848"/>
    <s v="BRL"/>
    <n v="3.8445999999999998"/>
    <n v="11098.283711999999"/>
    <n v="0"/>
    <s v="BRL"/>
    <n v="3.8445999999999998"/>
    <n v="14880"/>
    <n v="0"/>
    <n v="2886.72"/>
    <n v="0"/>
    <n v="8.7996919780000002"/>
    <n v="0"/>
    <n v="4.1306000000000003"/>
    <n v="109.55"/>
    <n v="5294.2240535126257"/>
    <n v="92.051784974709989"/>
    <n v="100.85147695270999"/>
    <n v="100.85147695270999"/>
    <n v="111285.71455999999"/>
    <n v="4811.1702400000067"/>
    <n v="11.639999999999997"/>
    <n v="2.8403080219999968"/>
    <n v="0"/>
    <n v="0"/>
    <n v="1"/>
  </r>
  <r>
    <m/>
    <s v="CERRADO"/>
    <s v="307:Unidade Avançada Patrocínio"/>
    <s v="PATROCINIO"/>
    <s v="2018/2019"/>
    <d v="2018-06-25T00:00:00"/>
    <x v="457"/>
    <s v="0774 F1"/>
    <n v="11940"/>
    <s v="kg"/>
    <s v="ARÁBICA"/>
    <s v="Green"/>
    <n v="55.000000000000007"/>
    <m/>
    <m/>
    <s v="26/06/2018"/>
    <n v="457.83919999999995"/>
    <n v="91547.800799999997"/>
    <s v="BRL"/>
    <n v="3.7715000000000001"/>
    <n v="8736.1517400000012"/>
    <n v="0"/>
    <s v="BRL"/>
    <n v="3.7715000000000001"/>
    <n v="11940"/>
    <n v="0"/>
    <n v="2316.36"/>
    <n v="0"/>
    <n v="8.799691978000002"/>
    <n v="0"/>
    <e v="#N/A"/>
    <e v="#N/A"/>
    <n v="5506.360010788916"/>
    <n v="92.213651076452336"/>
    <n v="101.01334305445235"/>
    <n v="101.01334305445235"/>
    <n v="91110.000799999994"/>
    <n v="437.80000000000291"/>
    <n v="11.64"/>
    <n v="2.8403080219999985"/>
    <n v="0"/>
    <n v="0"/>
    <n v="1"/>
  </r>
  <r>
    <m/>
    <s v="CERRADO"/>
    <s v="307:Unidade Avançada Patrocínio"/>
    <s v="PATROCINIO"/>
    <s v="2018/2019"/>
    <d v="2018-06-26T00:00:00"/>
    <x v="458"/>
    <s v="1195 F1"/>
    <n v="12110"/>
    <s v="kg"/>
    <s v="ARÁBICA"/>
    <s v="Green"/>
    <n v="45"/>
    <m/>
    <m/>
    <s v="26/06/2018"/>
    <n v="444.23360000000002"/>
    <n v="90922.606599999999"/>
    <s v="BRL"/>
    <n v="3.7715000000000001"/>
    <n v="7246.7612466666669"/>
    <n v="0"/>
    <s v="BRL"/>
    <n v="3.7715000000000001"/>
    <n v="12110"/>
    <n v="0"/>
    <n v="1921.4533333333334"/>
    <n v="0"/>
    <n v="7.1969989373333343"/>
    <n v="0"/>
    <e v="#N/A"/>
    <e v="#N/A"/>
    <n v="5342.7276006265947"/>
    <n v="90.298256118313674"/>
    <n v="97.495255055647007"/>
    <n v="97.495255055647007"/>
    <n v="89661.148266666671"/>
    <n v="1261.4583333333285"/>
    <n v="9.5200000000000014"/>
    <n v="2.3230010626666671"/>
    <n v="0"/>
    <n v="0"/>
    <n v="1"/>
  </r>
  <r>
    <m/>
    <s v="CERRADO"/>
    <s v="307:Unidade Avançada Patrocínio"/>
    <s v="PATROCINIO"/>
    <s v="2018/2019"/>
    <d v="2018-06-28T00:00:00"/>
    <x v="459"/>
    <s v="1549 F1"/>
    <n v="17190"/>
    <s v="kg"/>
    <s v="ARÁBICA"/>
    <s v="Green"/>
    <n v="55.000000000000007"/>
    <m/>
    <m/>
    <d v="2018-10-07T00:00:00"/>
    <n v="448.73480000000001"/>
    <n v="134006.0202"/>
    <s v="BRL"/>
    <n v="3.8445999999999998"/>
    <n v="12821.202755999999"/>
    <n v="0"/>
    <s v="BRL"/>
    <n v="3.8445999999999998"/>
    <n v="17190"/>
    <n v="0"/>
    <n v="3334.8599999999997"/>
    <n v="0"/>
    <n v="8.7996919779999985"/>
    <n v="0"/>
    <n v="4.1306000000000003"/>
    <n v="109.55"/>
    <n v="5294.248593702232"/>
    <n v="91.973563120340216"/>
    <n v="100.77325509834023"/>
    <n v="100.77325509834023"/>
    <n v="128562.5202"/>
    <n v="5443.5"/>
    <n v="11.64"/>
    <n v="2.8403080220000021"/>
    <n v="0"/>
    <n v="0"/>
    <n v="1"/>
  </r>
  <r>
    <m/>
    <s v="CERRADO"/>
    <s v="307:Unidade Avançada Patrocínio"/>
    <s v="PATROCINIO"/>
    <s v="2018/2019"/>
    <d v="2018-06-28T00:00:00"/>
    <x v="460"/>
    <s v="1416 F1"/>
    <n v="9171"/>
    <s v="kg"/>
    <s v="ARÁBICA"/>
    <s v="Green"/>
    <n v="45"/>
    <m/>
    <m/>
    <s v="17/07/2018"/>
    <n v="609.46199999999988"/>
    <n v="93156.266699999978"/>
    <s v="BRL"/>
    <n v="3.8664999999999998"/>
    <n v="5626.2678779999987"/>
    <n v="0"/>
    <s v="BRL"/>
    <n v="3.8664999999999998"/>
    <n v="9171"/>
    <n v="0"/>
    <n v="1455.1319999999998"/>
    <n v="0"/>
    <n v="7.1969989373333316"/>
    <n v="0"/>
    <e v="#N/A"/>
    <e v="#N/A"/>
    <n v="7149.8076556301548"/>
    <n v="119.16346092716927"/>
    <n v="126.36045986450259"/>
    <n v="126.36045986450259"/>
    <n v="93156.266699999978"/>
    <n v="0"/>
    <n v="9.52"/>
    <n v="2.3230010626666679"/>
    <n v="0"/>
    <n v="0"/>
    <n v="1"/>
  </r>
  <r>
    <m/>
    <s v="CERRADO"/>
    <s v="307:Unidade Avançada Patrocínio"/>
    <s v="PATROCINIO"/>
    <s v="2018/2019"/>
    <d v="2018-06-28T00:00:00"/>
    <x v="461"/>
    <s v="1416 F1"/>
    <n v="10489"/>
    <s v="kg"/>
    <s v="ARÁBICA"/>
    <s v="Green"/>
    <n v="45"/>
    <m/>
    <m/>
    <s v="17/07/2018"/>
    <n v="677.18880000000013"/>
    <n v="118383.88872000002"/>
    <s v="BRL"/>
    <n v="3.8664999999999998"/>
    <n v="6434.8406686666667"/>
    <n v="0"/>
    <s v="BRL"/>
    <n v="3.8664999999999998"/>
    <n v="10489"/>
    <n v="0"/>
    <n v="1664.2546666666667"/>
    <n v="0"/>
    <n v="7.1969989373333343"/>
    <n v="0"/>
    <e v="#N/A"/>
    <e v="#N/A"/>
    <n v="7944.3339642947394"/>
    <n v="132.40556607157899"/>
    <n v="139.60256500891234"/>
    <n v="139.60256500891234"/>
    <n v="118383.88872000002"/>
    <n v="0"/>
    <n v="9.5200000000000014"/>
    <n v="2.3230010626666671"/>
    <n v="0"/>
    <n v="0"/>
    <n v="1"/>
  </r>
  <r>
    <m/>
    <s v="CERRADO"/>
    <s v="307:Unidade Avançada Patrocínio"/>
    <s v="PATROCINIO"/>
    <s v="2018/2019"/>
    <d v="2018-06-29T00:00:00"/>
    <x v="462"/>
    <s v="0833 F1"/>
    <n v="18760"/>
    <s v="kg"/>
    <s v="ARÁBICA"/>
    <s v="Green"/>
    <n v="45"/>
    <m/>
    <m/>
    <s v="29/06/2018"/>
    <n v="458.67569999999995"/>
    <n v="145863.5024"/>
    <s v="BRL"/>
    <n v="3.8515000000000001"/>
    <n v="11464.323546666667"/>
    <n v="0"/>
    <s v="BRL"/>
    <n v="3.8515000000000001"/>
    <n v="18760"/>
    <n v="0"/>
    <n v="2976.5866666666666"/>
    <n v="0"/>
    <n v="7.1969989373333325"/>
    <n v="0"/>
    <e v="#N/A"/>
    <e v="#N/A"/>
    <n v="5401.8381883528236"/>
    <n v="91.569246758893939"/>
    <n v="98.766245696227273"/>
    <n v="98.766245696227273"/>
    <n v="143412.60219999999"/>
    <n v="2450.9002000000037"/>
    <n v="9.52"/>
    <n v="2.3230010626666671"/>
    <n v="0"/>
    <n v="0"/>
    <n v="1"/>
  </r>
  <r>
    <m/>
    <s v="CERRADO"/>
    <s v="307:Unidade Avançada Patrocínio"/>
    <s v="PATROCINIO"/>
    <s v="2018/2019"/>
    <d v="2018-06-29T00:00:00"/>
    <x v="463"/>
    <s v="0833 F1"/>
    <n v="10440"/>
    <s v="kg"/>
    <s v="ARÁBICA"/>
    <s v="Green"/>
    <n v="45"/>
    <m/>
    <m/>
    <s v="29/06/2018"/>
    <n v="458.67570000000001"/>
    <n v="81173.505600000004"/>
    <s v="BRL"/>
    <n v="3.8515000000000001"/>
    <n v="6379.9327199999998"/>
    <n v="0"/>
    <s v="BRL"/>
    <n v="3.8515000000000001"/>
    <n v="10440"/>
    <n v="0"/>
    <n v="1656.4799999999998"/>
    <n v="0"/>
    <n v="7.1969989373333334"/>
    <n v="0"/>
    <e v="#N/A"/>
    <e v="#N/A"/>
    <n v="5401.8381883528236"/>
    <n v="91.569246758893939"/>
    <n v="98.766245696227287"/>
    <n v="98.766245696227287"/>
    <n v="79809.571800000005"/>
    <n v="1363.9337999999989"/>
    <n v="9.52"/>
    <n v="2.3230010626666662"/>
    <n v="0"/>
    <n v="0"/>
    <n v="1"/>
  </r>
  <r>
    <m/>
    <s v="CERRADO"/>
    <s v="307:Unidade Avançada Patrocínio"/>
    <s v="PATROCINIO"/>
    <s v="2018/2019"/>
    <d v="2018-07-02T00:00:00"/>
    <x v="464"/>
    <s v="1348 F1"/>
    <n v="13879"/>
    <s v="kg"/>
    <s v="ARÁBICA"/>
    <s v="Green"/>
    <n v="45"/>
    <m/>
    <m/>
    <d v="2018-11-07T00:00:00"/>
    <n v="498.81240000000003"/>
    <n v="115421.09496000002"/>
    <s v="BRL"/>
    <n v="3.8411"/>
    <n v="8458.6194681333327"/>
    <n v="0"/>
    <s v="BRL"/>
    <n v="3.8411"/>
    <n v="13879"/>
    <n v="0"/>
    <n v="2202.1346666666664"/>
    <n v="0"/>
    <n v="7.1969989373333334"/>
    <n v="0"/>
    <n v="4.1306000000000003"/>
    <n v="109.55"/>
    <n v="5890.4349978232276"/>
    <n v="98.205800710442333"/>
    <n v="105.40279964777567"/>
    <n v="105.40279964777567"/>
    <n v="115383.62166"/>
    <n v="37.473300000012387"/>
    <n v="9.5200000000000014"/>
    <n v="2.3230010626666679"/>
    <n v="0"/>
    <n v="0"/>
    <n v="1"/>
  </r>
  <r>
    <m/>
    <s v="CERRADO"/>
    <s v="307:Unidade Avançada Patrocínio"/>
    <s v="PATROCINIO"/>
    <s v="2018/2019"/>
    <d v="2018-07-04T00:00:00"/>
    <x v="465"/>
    <s v="0582 F2"/>
    <n v="11441"/>
    <s v="kg"/>
    <s v="ARÁBICA"/>
    <s v="Green"/>
    <n v="45"/>
    <m/>
    <m/>
    <s v="24/07/2018"/>
    <n v="487.24530000000004"/>
    <n v="92939.704989999998"/>
    <s v="BRL"/>
    <n v="3.7452999999999999"/>
    <n v="6798.8630649333318"/>
    <n v="0"/>
    <s v="BRL"/>
    <n v="3.7452999999999999"/>
    <n v="11441"/>
    <n v="0"/>
    <n v="1815.305333333333"/>
    <n v="0"/>
    <n v="7.1969989373333325"/>
    <n v="0"/>
    <e v="#N/A"/>
    <e v="#N/A"/>
    <n v="5901.0159506143973"/>
    <n v="98.382178264339316"/>
    <n v="105.57917720167264"/>
    <n v="105.57917720167264"/>
    <n v="92909.557955000011"/>
    <n v="30.147034999987227"/>
    <n v="9.5199999999999978"/>
    <n v="2.3230010626666653"/>
    <n v="0"/>
    <n v="0"/>
    <n v="1"/>
  </r>
  <r>
    <m/>
    <s v="CERRADO"/>
    <s v="307:Unidade Avançada Patrocínio"/>
    <s v="PATROCINIO"/>
    <s v="2018/2019"/>
    <d v="2018-07-04T00:00:00"/>
    <x v="466"/>
    <s v="1069 F1"/>
    <n v="7330"/>
    <s v="kg"/>
    <s v="ARÁBICA"/>
    <s v="Green"/>
    <n v="45"/>
    <m/>
    <m/>
    <s v="24/07/2018"/>
    <n v="503.59189999999995"/>
    <n v="61542.899899999997"/>
    <s v="BRL"/>
    <n v="3.7452999999999999"/>
    <n v="4355.8837746666659"/>
    <n v="0"/>
    <s v="BRL"/>
    <n v="3.7452999999999999"/>
    <n v="7330"/>
    <n v="0"/>
    <n v="1163.0266666666664"/>
    <n v="0"/>
    <n v="7.1969989373333325"/>
    <n v="0"/>
    <e v="#N/A"/>
    <e v="#N/A"/>
    <n v="6098.9892247297421"/>
    <n v="101.68411465813419"/>
    <n v="108.88111359546753"/>
    <n v="108.88111359546753"/>
    <n v="61522.143783333333"/>
    <n v="20.756116666663729"/>
    <n v="9.52"/>
    <n v="2.3230010626666671"/>
    <n v="0"/>
    <n v="0"/>
    <n v="1"/>
  </r>
  <r>
    <m/>
    <s v="CERRADO"/>
    <s v="307:Unidade Avançada Patrocínio"/>
    <s v="PATROCINIO"/>
    <s v="2018/2019"/>
    <d v="2018-07-05T00:00:00"/>
    <x v="467"/>
    <s v="1549 F1"/>
    <n v="20330"/>
    <s v="kg"/>
    <s v="ARÁBICA"/>
    <s v="Green"/>
    <n v="55.000000000000007"/>
    <m/>
    <m/>
    <d v="2018-10-07T00:00:00"/>
    <n v="447.67520000000002"/>
    <n v="158125.11360000001"/>
    <s v="BRL"/>
    <n v="3.8445999999999998"/>
    <n v="15163.179291999997"/>
    <n v="0"/>
    <s v="BRL"/>
    <n v="3.8445999999999998"/>
    <n v="20330"/>
    <n v="0"/>
    <n v="3944.0199999999995"/>
    <n v="0"/>
    <n v="8.7996919779999985"/>
    <n v="0"/>
    <n v="4.1306000000000003"/>
    <n v="109.55"/>
    <n v="5281.7472548047654"/>
    <n v="91.765207472049127"/>
    <n v="100.56489945004913"/>
    <n v="100.56489945004913"/>
    <n v="151687.28026666667"/>
    <n v="6437.833333333343"/>
    <n v="11.639999999999997"/>
    <n v="2.8403080219999985"/>
    <n v="0"/>
    <n v="0"/>
    <n v="1"/>
  </r>
  <r>
    <m/>
    <s v="CERRADO"/>
    <s v="307:Unidade Avançada Patrocínio"/>
    <s v="PATROCINIO"/>
    <s v="2018/2019"/>
    <d v="2018-07-09T00:00:00"/>
    <x v="468"/>
    <s v="1549 F1"/>
    <n v="12050"/>
    <s v="kg"/>
    <s v="ARÁBICA"/>
    <s v="Green"/>
    <n v="55.000000000000007"/>
    <m/>
    <m/>
    <d v="2018-10-07T00:00:00"/>
    <n v="449.79293999999999"/>
    <n v="94238.712"/>
    <s v="BRL"/>
    <n v="3.8445999999999998"/>
    <n v="8987.5214199999991"/>
    <n v="0"/>
    <s v="BRL"/>
    <n v="3.8445999999999998"/>
    <n v="12050"/>
    <n v="0"/>
    <n v="2337.6999999999998"/>
    <n v="0"/>
    <n v="8.7996919779999985"/>
    <n v="0"/>
    <n v="4.1306000000000003"/>
    <n v="109.55"/>
    <n v="5306.7327072743028"/>
    <n v="92.269225212422626"/>
    <n v="101.06891719042262"/>
    <n v="101.06891719042262"/>
    <n v="90333.41545"/>
    <n v="3905.2965499999991"/>
    <n v="11.64"/>
    <n v="2.8403080220000021"/>
    <n v="0"/>
    <n v="0"/>
    <n v="1"/>
  </r>
  <r>
    <m/>
    <s v="CERRADO"/>
    <s v="307:Unidade Avançada Patrocínio"/>
    <s v="PATROCINIO"/>
    <s v="2018/2019"/>
    <d v="2018-07-09T00:00:00"/>
    <x v="469"/>
    <s v="1549 F1"/>
    <n v="6600"/>
    <s v="kg"/>
    <s v="ARÁBICA"/>
    <s v="Green"/>
    <n v="55.000000000000007"/>
    <m/>
    <m/>
    <d v="2018-10-07T00:00:00"/>
    <n v="449.79294000000004"/>
    <n v="51616.224000000002"/>
    <s v="BRL"/>
    <n v="3.8445999999999998"/>
    <n v="4922.6258399999997"/>
    <n v="0"/>
    <s v="BRL"/>
    <n v="3.8445999999999998"/>
    <n v="6600"/>
    <n v="0"/>
    <n v="1280.4000000000001"/>
    <n v="0"/>
    <n v="8.7996919780000002"/>
    <n v="0"/>
    <n v="4.1306000000000003"/>
    <n v="109.55"/>
    <n v="5306.7327072743028"/>
    <n v="92.26922521242264"/>
    <n v="101.06891719042262"/>
    <n v="101.06891719042262"/>
    <n v="49477.223400000003"/>
    <n v="2139.0005999999994"/>
    <n v="11.64"/>
    <n v="2.8403080220000003"/>
    <n v="0"/>
    <n v="0"/>
    <n v="1"/>
  </r>
  <r>
    <m/>
    <s v="CERRADO"/>
    <s v="307:Unidade Avançada Patrocínio"/>
    <s v="PATROCINIO"/>
    <s v="2018/2019"/>
    <d v="2018-07-09T00:00:00"/>
    <x v="470"/>
    <s v="0121 F2"/>
    <n v="5750"/>
    <s v="kg"/>
    <s v="ARÁBICA"/>
    <s v="Green"/>
    <n v="45"/>
    <m/>
    <m/>
    <d v="2018-11-07T00:00:00"/>
    <n v="477.76780000000002"/>
    <n v="45800.934999999998"/>
    <s v="BRL"/>
    <n v="3.8411"/>
    <n v="3504.363566666666"/>
    <n v="0"/>
    <s v="BRL"/>
    <n v="3.8411"/>
    <n v="5750"/>
    <n v="0"/>
    <n v="912.33333333333314"/>
    <n v="0"/>
    <n v="7.1969989373333325"/>
    <n v="0"/>
    <n v="4.1306000000000003"/>
    <n v="109.55"/>
    <n v="5641.9210307382273"/>
    <n v="94.062523551862753"/>
    <n v="101.25952248919609"/>
    <n v="101.25952248919609"/>
    <n v="45786.080833333333"/>
    <n v="14.854166666664241"/>
    <n v="9.52"/>
    <n v="2.3230010626666671"/>
    <n v="0"/>
    <n v="0"/>
    <n v="1"/>
  </r>
  <r>
    <m/>
    <s v="CERRADO"/>
    <s v="307:Unidade Avançada Patrocínio"/>
    <s v="PATROCINIO"/>
    <s v="2018/2019"/>
    <d v="2018-07-10T00:00:00"/>
    <x v="471"/>
    <s v="0121 F2"/>
    <n v="13910"/>
    <s v="kg"/>
    <s v="ARÁBICA"/>
    <s v="Green"/>
    <n v="45"/>
    <m/>
    <m/>
    <d v="2018-11-07T00:00:00"/>
    <n v="477.82679999999999"/>
    <n v="110812.3458"/>
    <s v="BRL"/>
    <n v="3.8411"/>
    <n v="8477.5125586666654"/>
    <n v="0"/>
    <s v="BRL"/>
    <n v="3.8411"/>
    <n v="13910"/>
    <n v="0"/>
    <n v="2207.0533333333328"/>
    <n v="0"/>
    <n v="7.1969989373333334"/>
    <n v="0"/>
    <n v="4.1306000000000003"/>
    <n v="109.55"/>
    <n v="5642.6177569320243"/>
    <n v="94.074332470401728"/>
    <n v="101.27133140773506"/>
    <n v="101.27133140773506"/>
    <n v="110776.1798"/>
    <n v="36.165999999997439"/>
    <n v="9.52"/>
    <n v="2.3230010626666662"/>
    <n v="0"/>
    <n v="0"/>
    <n v="1"/>
  </r>
  <r>
    <m/>
    <s v="CERRADO"/>
    <s v="307:Unidade Avançada Patrocínio"/>
    <s v="PATROCINIO"/>
    <s v="2018/2019"/>
    <d v="2018-07-10T00:00:00"/>
    <x v="472"/>
    <s v="0833 F2"/>
    <n v="18510"/>
    <s v="kg"/>
    <s v="ARÁBICA"/>
    <s v="Green"/>
    <n v="45"/>
    <m/>
    <m/>
    <s v="27/07/2018"/>
    <n v="488.77929999999986"/>
    <n v="150838.17509999996"/>
    <s v="BRL"/>
    <n v="3.7158000000000002"/>
    <n v="10913.007336000001"/>
    <n v="0"/>
    <s v="BRL"/>
    <n v="3.7158000000000002"/>
    <n v="18510"/>
    <n v="0"/>
    <n v="2936.92"/>
    <n v="0"/>
    <n v="7.1969989373333343"/>
    <n v="0"/>
    <e v="#N/A"/>
    <e v="#N/A"/>
    <n v="5966.590265728536"/>
    <n v="99.475987917909976"/>
    <n v="106.67298685524332"/>
    <n v="106.67298685524332"/>
    <n v="150788.41404999993"/>
    <n v="49.761050000030082"/>
    <n v="9.52"/>
    <n v="2.3230010626666653"/>
    <n v="0"/>
    <n v="0"/>
    <n v="1"/>
  </r>
  <r>
    <m/>
    <s v="CERRADO"/>
    <s v="307:Unidade Avançada Patrocínio"/>
    <s v="PATROCINIO"/>
    <s v="2018/2019"/>
    <d v="2018-07-14T00:00:00"/>
    <x v="473"/>
    <s v="0833 F2"/>
    <n v="14700"/>
    <s v="kg"/>
    <s v="ARÁBICA"/>
    <s v="Green"/>
    <n v="45"/>
    <m/>
    <m/>
    <s v="27/07/2018"/>
    <n v="493.66630000000004"/>
    <n v="120987.76200000002"/>
    <s v="BRL"/>
    <n v="3.7158000000000002"/>
    <n v="8666.731920000002"/>
    <n v="0"/>
    <s v="BRL"/>
    <n v="3.7158000000000002"/>
    <n v="14700"/>
    <n v="0"/>
    <n v="2332.4000000000005"/>
    <n v="0"/>
    <n v="7.1969989373333343"/>
    <n v="0"/>
    <e v="#N/A"/>
    <e v="#N/A"/>
    <n v="6026.2464881352862"/>
    <n v="100.47025829135583"/>
    <n v="107.66725722868918"/>
    <n v="107.66725722868918"/>
    <n v="120948.24350000001"/>
    <n v="39.518500000005588"/>
    <n v="9.5200000000000031"/>
    <n v="2.3230010626666688"/>
    <n v="0"/>
    <n v="0"/>
    <n v="1"/>
  </r>
  <r>
    <m/>
    <s v="CERRADO"/>
    <s v="307:Unidade Avançada Patrocínio"/>
    <s v="PATROCINIO"/>
    <s v="2018/2019"/>
    <d v="2018-07-18T00:00:00"/>
    <x v="474"/>
    <s v="0166 F1"/>
    <n v="4210"/>
    <s v="kg"/>
    <s v="ARÁBICA"/>
    <s v="Green"/>
    <n v="55.000000000000007"/>
    <m/>
    <m/>
    <s v="24/07/2018"/>
    <n v="593.55539999999996"/>
    <n v="41647.803899999999"/>
    <s v="BRL"/>
    <n v="3.7452999999999999"/>
    <n v="3058.9363220000005"/>
    <n v="0"/>
    <s v="BRL"/>
    <n v="3.7452999999999999"/>
    <n v="4210"/>
    <n v="0"/>
    <n v="816.74000000000012"/>
    <n v="0"/>
    <n v="8.799691978000002"/>
    <n v="0"/>
    <e v="#N/A"/>
    <e v="#N/A"/>
    <n v="7188.5349801697594"/>
    <n v="119.80891633616267"/>
    <n v="128.60860831416269"/>
    <n v="128.60860831416269"/>
    <n v="41647.803899999992"/>
    <n v="0"/>
    <n v="11.640000000000002"/>
    <n v="2.8403080220000003"/>
    <n v="0"/>
    <n v="0"/>
    <n v="1"/>
  </r>
  <r>
    <m/>
    <s v="CERRADO"/>
    <s v="307:Unidade Avançada Patrocínio"/>
    <s v="PATROCINIO"/>
    <s v="2018/2019"/>
    <d v="2018-07-23T00:00:00"/>
    <x v="475"/>
    <s v="0582 F2"/>
    <n v="16590"/>
    <s v="kg"/>
    <s v="ARÁBICA"/>
    <s v="Green"/>
    <n v="45"/>
    <m/>
    <m/>
    <s v="24/07/2018"/>
    <n v="484.84230000000002"/>
    <n v="134102.61060000001"/>
    <s v="BRL"/>
    <n v="3.7452999999999999"/>
    <n v="9858.6782839999978"/>
    <n v="0"/>
    <s v="BRL"/>
    <n v="3.7452999999999999"/>
    <n v="16590"/>
    <n v="0"/>
    <n v="2632.2799999999993"/>
    <n v="0"/>
    <n v="7.1969989373333325"/>
    <n v="0"/>
    <e v="#N/A"/>
    <e v="#N/A"/>
    <n v="5871.9132761928568"/>
    <n v="97.897133690646967"/>
    <n v="105.09413262798029"/>
    <n v="105.09413262798029"/>
    <n v="134058.89595000001"/>
    <n v="43.714650000008987"/>
    <n v="9.52"/>
    <n v="2.3230010626666671"/>
    <n v="0"/>
    <n v="0"/>
    <n v="1"/>
  </r>
  <r>
    <m/>
    <s v="CERRADO"/>
    <s v="307:Unidade Avançada Patrocínio"/>
    <s v="PATROCINIO"/>
    <s v="2018/2019"/>
    <d v="2018-07-23T00:00:00"/>
    <x v="476"/>
    <s v="0582 F2"/>
    <n v="4600"/>
    <s v="kg"/>
    <s v="ARÁBICA"/>
    <s v="Green"/>
    <n v="45"/>
    <m/>
    <m/>
    <s v="24/07/2018"/>
    <n v="481.23809999999997"/>
    <n v="36907.042000000001"/>
    <s v="BRL"/>
    <n v="3.7452999999999999"/>
    <n v="2733.5696266666664"/>
    <n v="0"/>
    <s v="BRL"/>
    <n v="3.7452999999999999"/>
    <n v="4600"/>
    <n v="0"/>
    <n v="729.86666666666667"/>
    <n v="0"/>
    <n v="7.1969989373333334"/>
    <n v="0"/>
    <e v="#N/A"/>
    <e v="#N/A"/>
    <n v="5828.2628978532284"/>
    <n v="97.169627384986526"/>
    <n v="104.36662632231983"/>
    <n v="104.36662632231983"/>
    <n v="36894.920999999995"/>
    <n v="12.121000000006461"/>
    <n v="9.52"/>
    <n v="2.3230010626666662"/>
    <n v="0"/>
    <n v="0"/>
    <n v="1"/>
  </r>
  <r>
    <m/>
    <s v="CERRADO"/>
    <s v="307:Unidade Avançada Patrocínio"/>
    <s v="PATROCINIO"/>
    <s v="2018/2019"/>
    <d v="2018-07-24T00:00:00"/>
    <x v="477"/>
    <s v="1069 F1"/>
    <n v="4684"/>
    <s v="kg"/>
    <s v="ARÁBICA"/>
    <s v="Green"/>
    <n v="45"/>
    <m/>
    <m/>
    <s v="24/07/2018"/>
    <n v="503.59189999999995"/>
    <n v="39327.004519999995"/>
    <s v="BRL"/>
    <n v="3.7452999999999999"/>
    <n v="2783.486985066666"/>
    <n v="0"/>
    <s v="BRL"/>
    <n v="3.7452999999999999"/>
    <n v="4684"/>
    <n v="0"/>
    <n v="743.19466666666654"/>
    <n v="0"/>
    <n v="7.1969989373333316"/>
    <n v="0"/>
    <e v="#N/A"/>
    <e v="#N/A"/>
    <n v="6098.9892247297412"/>
    <n v="101.68411465813418"/>
    <n v="108.88111359546751"/>
    <n v="108.88111359546751"/>
    <n v="39313.740993333326"/>
    <n v="13.26352666666935"/>
    <n v="9.5199999999999978"/>
    <n v="2.3230010626666662"/>
    <n v="0"/>
    <n v="0"/>
    <n v="1"/>
  </r>
  <r>
    <m/>
    <s v="CERRADO"/>
    <s v="307:Unidade Avançada Patrocínio"/>
    <s v="PATROCINIO"/>
    <s v="2018/2019"/>
    <d v="2018-07-25T00:00:00"/>
    <x v="478"/>
    <s v="0843 F1"/>
    <n v="6037"/>
    <s v="kg"/>
    <s v="ARÁBICA"/>
    <s v="Green"/>
    <n v="45"/>
    <m/>
    <m/>
    <s v="27/07/2018"/>
    <n v="502.9233000000001"/>
    <n v="50623.203130000002"/>
    <s v="BRL"/>
    <n v="3.7158000000000002"/>
    <n v="3559.2558232000001"/>
    <n v="0"/>
    <s v="BRL"/>
    <n v="3.7158000000000002"/>
    <n v="6037"/>
    <n v="0"/>
    <n v="957.87066666666669"/>
    <n v="0"/>
    <n v="7.1969989373333325"/>
    <n v="0"/>
    <e v="#N/A"/>
    <e v="#N/A"/>
    <n v="6139.2478490559506"/>
    <n v="102.36272896042037"/>
    <n v="109.55972789775369"/>
    <n v="109.55972789775369"/>
    <n v="50602.466035000012"/>
    <n v="20.737094999989495"/>
    <n v="9.52"/>
    <n v="2.3230010626666671"/>
    <n v="0"/>
    <n v="0"/>
    <n v="1"/>
  </r>
  <r>
    <m/>
    <s v="CERRADO"/>
    <s v="307:Unidade Avançada Patrocínio"/>
    <s v="PATROCINIO"/>
    <s v="2018/2019"/>
    <d v="2018-07-25T00:00:00"/>
    <x v="479"/>
    <s v="0833 F2"/>
    <n v="18860"/>
    <s v="kg"/>
    <s v="ARÁBICA"/>
    <s v="Green"/>
    <n v="45"/>
    <m/>
    <m/>
    <s v="27/07/2018"/>
    <n v="488.77930000000003"/>
    <n v="153690.32860000001"/>
    <s v="BRL"/>
    <n v="3.7158000000000002"/>
    <n v="11119.358096"/>
    <n v="0"/>
    <s v="BRL"/>
    <n v="3.7158000000000002"/>
    <n v="18860"/>
    <n v="0"/>
    <n v="2992.4533333333329"/>
    <n v="0"/>
    <n v="7.1969989373333343"/>
    <n v="0"/>
    <e v="#N/A"/>
    <e v="#N/A"/>
    <n v="5966.5902657285378"/>
    <n v="99.475987917910018"/>
    <n v="106.67298685524335"/>
    <n v="106.67298685524335"/>
    <n v="153639.62663333336"/>
    <n v="50.701966666645603"/>
    <n v="9.52"/>
    <n v="2.3230010626666653"/>
    <n v="0"/>
    <n v="0"/>
    <n v="1"/>
  </r>
  <r>
    <m/>
    <s v="CERRADO"/>
    <s v="307:Unidade Avançada Patrocínio"/>
    <s v="PATROCINIO"/>
    <s v="2018/2019"/>
    <d v="2018-07-27T00:00:00"/>
    <x v="480"/>
    <s v="0815 F1"/>
    <n v="3009"/>
    <s v="kg"/>
    <s v="ARÁBICA"/>
    <s v="Green"/>
    <n v="45"/>
    <m/>
    <m/>
    <s v="27/07/2018"/>
    <n v="511.58909999999997"/>
    <n v="25663.91145"/>
    <s v="BRL"/>
    <n v="3.7158000000000002"/>
    <n v="1774.0269624000002"/>
    <n v="0"/>
    <s v="BRL"/>
    <n v="3.7158000000000002"/>
    <n v="3009"/>
    <n v="0"/>
    <n v="477.42800000000005"/>
    <n v="0"/>
    <n v="7.1969989373333343"/>
    <n v="0"/>
    <e v="#N/A"/>
    <e v="#N/A"/>
    <n v="6245.0323573703363"/>
    <n v="104.11518389979277"/>
    <n v="111.3121828371261"/>
    <n v="111.3121828371261"/>
    <n v="25656.193364999999"/>
    <n v="7.7180850000004284"/>
    <n v="9.52"/>
    <n v="2.3230010626666653"/>
    <n v="0"/>
    <n v="0"/>
    <n v="1"/>
  </r>
  <r>
    <m/>
    <s v="CERRADO"/>
    <s v="306:Unidade Avançada Campos Altos"/>
    <s v="CORREGO DANTA"/>
    <s v="2018/2019"/>
    <d v="2018-07-20T00:00:00"/>
    <x v="481"/>
    <s v="1366 F1"/>
    <n v="6005"/>
    <s v="kg"/>
    <s v="ARÁBICA"/>
    <s v="Green"/>
    <n v="55.000000000000007"/>
    <m/>
    <m/>
    <s v="27/07/2018"/>
    <n v="470.7265000000001"/>
    <n v="47115.470200000003"/>
    <s v="BRL"/>
    <n v="3.7158000000000002"/>
    <n v="4328.7955259999999"/>
    <n v="0"/>
    <s v="BRL"/>
    <n v="3.7158000000000002"/>
    <n v="6005"/>
    <n v="0"/>
    <n v="1164.9699999999998"/>
    <n v="0"/>
    <n v="8.7996919779999985"/>
    <n v="0"/>
    <e v="#N/A"/>
    <e v="#N/A"/>
    <n v="5746.2174701761405"/>
    <n v="95.777595099703959"/>
    <n v="104.57728707770397"/>
    <n v="104.57728707770397"/>
    <n v="47111.877208333346"/>
    <n v="3.5929916666573263"/>
    <n v="11.639999999999999"/>
    <n v="2.8403080220000003"/>
    <n v="0"/>
    <n v="0"/>
    <n v="1"/>
  </r>
  <r>
    <m/>
    <s v="CERRADO"/>
    <s v="306:Unidade Avançada Campos Altos"/>
    <s v="CAMPOS ALTOS"/>
    <s v="2018/2019"/>
    <d v="2018-07-03T00:00:00"/>
    <x v="482"/>
    <s v="0409 F1"/>
    <n v="5460"/>
    <s v="kg"/>
    <s v="ARÁBICA"/>
    <s v="Green"/>
    <n v="45"/>
    <m/>
    <m/>
    <s v="19/07/2018"/>
    <n v="421.29399999999998"/>
    <n v="38723.193599999999"/>
    <s v="BRL"/>
    <n v="3.8841000000000001"/>
    <n v="3364.8735120000001"/>
    <n v="0"/>
    <s v="BRL"/>
    <n v="3.8841000000000001"/>
    <n v="5460"/>
    <n v="0"/>
    <n v="866.32"/>
    <n v="0"/>
    <n v="7.1969989373333334"/>
    <n v="0"/>
    <e v="#N/A"/>
    <e v="#N/A"/>
    <n v="4919.949124038515"/>
    <n v="82.823554049051268"/>
    <n v="90.020552986384601"/>
    <n v="90.020552986384601"/>
    <n v="38337.753999999994"/>
    <n v="385.43960000000516"/>
    <n v="9.5199999999999978"/>
    <n v="2.3230010626666644"/>
    <n v="0"/>
    <n v="0"/>
    <n v="1"/>
  </r>
  <r>
    <m/>
    <s v="CERRADO"/>
    <s v="306:Unidade Avançada Campos Altos"/>
    <s v="CAMPOS ALTOS"/>
    <s v="2018/2019"/>
    <d v="2018-07-16T00:00:00"/>
    <x v="483"/>
    <s v="1491 F1"/>
    <n v="8820"/>
    <s v="kg"/>
    <s v="ARÁBICA"/>
    <s v="Green"/>
    <n v="45"/>
    <m/>
    <m/>
    <s v="19/07/2018"/>
    <n v="546.34989999999993"/>
    <n v="80332.295400000003"/>
    <s v="BRL"/>
    <n v="3.8841000000000001"/>
    <n v="5435.5649040000008"/>
    <n v="0"/>
    <s v="BRL"/>
    <n v="3.8841000000000001"/>
    <n v="8820"/>
    <n v="0"/>
    <n v="1399.44"/>
    <n v="0"/>
    <n v="7.1969989373333352"/>
    <n v="0"/>
    <e v="#N/A"/>
    <e v="#N/A"/>
    <n v="6380.3750158405555"/>
    <n v="106.36455544885303"/>
    <n v="113.56155438618637"/>
    <n v="113.56155438618637"/>
    <n v="80313.435299999997"/>
    <n v="18.860100000005332"/>
    <n v="9.52"/>
    <n v="2.3230010626666644"/>
    <n v="0"/>
    <n v="0"/>
    <n v="1"/>
  </r>
  <r>
    <m/>
    <s v="CERRADO"/>
    <s v="306:Unidade Avançada Campos Altos"/>
    <s v="CAMPOS ALTOS"/>
    <s v="2018/2019"/>
    <d v="2018-07-16T00:00:00"/>
    <x v="484"/>
    <s v="1491 F1"/>
    <n v="180"/>
    <s v="kg"/>
    <s v="ARÁBICA"/>
    <s v="Green"/>
    <n v="45"/>
    <m/>
    <m/>
    <s v="19/07/2018"/>
    <n v="424.48430000000002"/>
    <n v="1279.854"/>
    <s v="BRL"/>
    <n v="3.8841000000000001"/>
    <n v="110.92989600000001"/>
    <n v="0"/>
    <s v="BRL"/>
    <n v="3.8841000000000001"/>
    <n v="180"/>
    <n v="0"/>
    <n v="28.560000000000002"/>
    <n v="0"/>
    <n v="7.1969989373333334"/>
    <n v="0"/>
    <e v="#N/A"/>
    <e v="#N/A"/>
    <n v="4957.2060365281795"/>
    <n v="83.03539631860663"/>
    <n v="90.232395255939977"/>
    <n v="90.232395255939977"/>
    <n v="1273.4529"/>
    <n v="6.4011000000000422"/>
    <n v="9.52"/>
    <n v="2.3230010626666662"/>
    <n v="0"/>
    <n v="0"/>
    <n v="1"/>
  </r>
  <r>
    <m/>
    <s v="CERRADO"/>
    <s v="306:Unidade Avançada Campos Altos"/>
    <s v="CAMPOS ALTOS"/>
    <s v="2018/2019"/>
    <d v="2018-07-24T00:00:00"/>
    <x v="485"/>
    <s v="1406 F1"/>
    <n v="6520"/>
    <s v="kg"/>
    <s v="ARÁBICA"/>
    <s v="Green"/>
    <n v="45"/>
    <m/>
    <m/>
    <s v="27/07/2018"/>
    <n v="414.57459999999998"/>
    <n v="45820.4084"/>
    <s v="BRL"/>
    <n v="3.7158000000000002"/>
    <n v="3844.0198720000003"/>
    <n v="0"/>
    <s v="BRL"/>
    <n v="3.7158000000000002"/>
    <n v="6520"/>
    <n v="0"/>
    <n v="1034.5066666666667"/>
    <n v="0"/>
    <n v="7.1969989373333343"/>
    <n v="0"/>
    <e v="#N/A"/>
    <e v="#N/A"/>
    <n v="5060.7641787986977"/>
    <n v="85.787649789490814"/>
    <n v="92.984648726824162"/>
    <n v="92.984648726824162"/>
    <n v="45050.439866666668"/>
    <n v="769.96853333333274"/>
    <n v="9.52"/>
    <n v="2.3230010626666653"/>
    <n v="0"/>
    <n v="0"/>
    <n v="1"/>
  </r>
  <r>
    <m/>
    <s v="CERRADO"/>
    <s v="L20:Loja Araguari"/>
    <s v="ARAGUARI"/>
    <s v="2018/2019"/>
    <d v="2018-06-13T00:00:00"/>
    <x v="486"/>
    <s v="0686 F1"/>
    <n v="3360"/>
    <s v="kg"/>
    <s v="ARÁBICA"/>
    <s v="Green"/>
    <n v="55.000000000000007"/>
    <m/>
    <m/>
    <s v="14/06/2018"/>
    <n v="487.77139999999997"/>
    <n v="27322.310399999998"/>
    <s v="BRL"/>
    <n v="3.7050999999999998"/>
    <n v="3170.3799679999997"/>
    <n v="755.24758399999996"/>
    <s v="BRL"/>
    <n v="3.7050999999999998"/>
    <n v="3360"/>
    <n v="0"/>
    <n v="855.68"/>
    <n v="203.84"/>
    <n v="11.551485689333333"/>
    <n v="2.7517937113333333"/>
    <e v="#N/A"/>
    <e v="#N/A"/>
    <n v="5971.4821555212548"/>
    <n v="99.550615626752318"/>
    <n v="111.10210131608565"/>
    <n v="113.853895027419"/>
    <n v="27315.198399999997"/>
    <n v="7.1120000000009895"/>
    <n v="15.280000000000001"/>
    <n v="3.7285143106666681"/>
    <n v="3.64"/>
    <n v="0.88820628866666684"/>
    <n v="1"/>
  </r>
  <r>
    <m/>
    <s v="CERRADO"/>
    <s v="L20:Loja Araguari"/>
    <s v="ARAGUARI"/>
    <s v="2018/2019"/>
    <d v="2018-06-13T00:00:00"/>
    <x v="487"/>
    <s v="0686 F1"/>
    <n v="26948"/>
    <s v="kg"/>
    <s v="ARÁBICA"/>
    <s v="Green"/>
    <n v="55.000000000000007"/>
    <m/>
    <m/>
    <s v="14/06/2018"/>
    <n v="487.77139999999997"/>
    <n v="219131.43471999996"/>
    <s v="BRL"/>
    <n v="3.7050999999999998"/>
    <n v="25427.202195733327"/>
    <n v="6057.2654445333337"/>
    <s v="BRL"/>
    <n v="3.7050999999999998"/>
    <n v="26948"/>
    <n v="0"/>
    <n v="6862.7573333333321"/>
    <n v="1634.8453333333334"/>
    <n v="11.551485689333331"/>
    <n v="2.7517937113333333"/>
    <e v="#N/A"/>
    <e v="#N/A"/>
    <n v="5971.4821555212538"/>
    <n v="99.55061562675229"/>
    <n v="111.10210131608564"/>
    <n v="113.85389502741897"/>
    <n v="219074.39478666664"/>
    <n v="57.039933333318913"/>
    <n v="15.279999999999998"/>
    <n v="3.7285143106666663"/>
    <n v="3.6400000000000006"/>
    <n v="0.88820628866666729"/>
    <n v="1"/>
  </r>
  <r>
    <m/>
    <s v="CERRADO"/>
    <s v="L20:Loja Araguari"/>
    <s v="ARAGUARI"/>
    <s v="2018/2019"/>
    <d v="2018-07-04T00:00:00"/>
    <x v="488"/>
    <s v="0465 F2"/>
    <n v="34790"/>
    <s v="kg"/>
    <s v="ARÁBICA"/>
    <s v="Green"/>
    <n v="55.000000000000007"/>
    <m/>
    <s v="RA"/>
    <d v="2018-05-07T00:00:00"/>
    <n v="491.20828999999992"/>
    <n v="284912.00919999997"/>
    <s v="BRL"/>
    <n v="3.9186000000000001"/>
    <n v="34718.221272000003"/>
    <n v="8270.5710360000012"/>
    <s v="BRL"/>
    <n v="3.9186000000000001"/>
    <n v="34790"/>
    <n v="0"/>
    <n v="8859.8533333333344"/>
    <n v="2110.5933333333337"/>
    <n v="11.551485689333335"/>
    <n v="2.7517937113333342"/>
    <n v="3.5533999999999999"/>
    <n v="118.45"/>
    <n v="5685.9167157849042"/>
    <n v="94.796244635012499"/>
    <n v="106.34773032434583"/>
    <n v="109.09952403567915"/>
    <n v="284818.94015166658"/>
    <n v="93.069048333389219"/>
    <n v="15.280000000000001"/>
    <n v="3.7285143106666663"/>
    <n v="3.6400000000000006"/>
    <n v="0.8882062886666664"/>
    <n v="1"/>
  </r>
  <r>
    <m/>
    <s v="CERRADO"/>
    <s v="L20:Loja Araguari"/>
    <s v="ARAGUARI"/>
    <s v="2018/2019"/>
    <d v="2018-07-05T00:00:00"/>
    <x v="489"/>
    <s v="1320 F1"/>
    <n v="4541"/>
    <s v="kg"/>
    <s v="ARÁBICA"/>
    <s v="Green"/>
    <n v="55.000000000000007"/>
    <m/>
    <s v="RA"/>
    <d v="2018-09-07T00:00:00"/>
    <n v="492.74772999999999"/>
    <n v="37304.95074"/>
    <s v="BRL"/>
    <n v="3.8679999999999999"/>
    <n v="4473.1150773333329"/>
    <n v="1065.5850053333334"/>
    <s v="BRL"/>
    <n v="3.8679999999999999"/>
    <n v="4541"/>
    <n v="0"/>
    <n v="1156.4413333333332"/>
    <n v="275.48733333333337"/>
    <n v="11.551485689333331"/>
    <n v="2.7517937113333333"/>
    <n v="4.1306000000000003"/>
    <n v="109.55"/>
    <n v="5778.3508444369199"/>
    <n v="96.337249805630819"/>
    <n v="107.88873549496415"/>
    <n v="110.64052920629749"/>
    <n v="37292.790698833327"/>
    <n v="12.160041166673182"/>
    <n v="15.280000000000001"/>
    <n v="3.7285143106666698"/>
    <n v="3.64"/>
    <n v="0.88820628866666684"/>
    <n v="1"/>
  </r>
  <r>
    <m/>
    <s v="CERRADO"/>
    <s v="L12:Loja Monte Carmelo"/>
    <s v="ESTRELA DO SUL"/>
    <s v="2018/2019"/>
    <d v="2018-06-22T00:00:00"/>
    <x v="490"/>
    <s v="0504 F1"/>
    <n v="3836"/>
    <s v="kg"/>
    <s v="ARÁBICA"/>
    <s v="Green"/>
    <n v="45"/>
    <m/>
    <s v="RA"/>
    <s v="27/06/2018"/>
    <n v="457.82013999999998"/>
    <n v="29652.471799999999"/>
    <s v="BRL"/>
    <n v="3.8351999999999999"/>
    <n v="3064.9639999999999"/>
    <n v="730.68741759999989"/>
    <s v="BRL"/>
    <n v="3.8351999999999999"/>
    <n v="3836"/>
    <n v="0"/>
    <n v="799.16666666666663"/>
    <n v="190.5213333333333"/>
    <n v="9.4498410416666676"/>
    <n v="2.2528421043333329"/>
    <e v="#N/A"/>
    <e v="#N/A"/>
    <n v="5414.6777830708124"/>
    <n v="91.423959629706403"/>
    <n v="100.87380067137308"/>
    <n v="103.1266427757064"/>
    <n v="29269.967617333332"/>
    <n v="382.50418266666748"/>
    <n v="12.5"/>
    <n v="3.0501589583333324"/>
    <n v="2.9799999999999995"/>
    <n v="0.72715789566666666"/>
    <n v="1"/>
  </r>
  <r>
    <m/>
    <s v="CERRADO"/>
    <s v="L12:Loja Monte Carmelo"/>
    <s v="ESTRELA DO SUL"/>
    <s v="2018/2019"/>
    <d v="2018-06-22T00:00:00"/>
    <x v="491"/>
    <s v="0504 F1"/>
    <n v="839"/>
    <s v="kg"/>
    <s v="ARÁBICA"/>
    <s v="Green"/>
    <n v="45"/>
    <m/>
    <s v="RA"/>
    <d v="2018-05-07T00:00:00"/>
    <n v="444.88574000000006"/>
    <n v="6302.2827399999996"/>
    <s v="BRL"/>
    <n v="3.9186000000000001"/>
    <n v="684.938625"/>
    <n v="163.28936820000001"/>
    <s v="BRL"/>
    <n v="3.9186000000000001"/>
    <n v="839"/>
    <n v="0"/>
    <n v="174.79166666666666"/>
    <n v="41.670333333333339"/>
    <n v="9.4498410416666676"/>
    <n v="2.2528421043333338"/>
    <n v="3.5533999999999999"/>
    <n v="118.45"/>
    <n v="5149.7161533660956"/>
    <n v="86.950228705001791"/>
    <n v="96.40006974666845"/>
    <n v="98.65291185100179"/>
    <n v="6220.9855976666677"/>
    <n v="81.297142333331976"/>
    <n v="12.499999999999998"/>
    <n v="3.0501589583333306"/>
    <n v="2.98"/>
    <n v="0.72715789566666622"/>
    <n v="1"/>
  </r>
  <r>
    <m/>
    <s v="CERRADO"/>
    <s v="L12:Loja Monte Carmelo"/>
    <s v="ESTRELA DO SUL"/>
    <s v="2018/2019"/>
    <d v="2018-06-22T00:00:00"/>
    <x v="492"/>
    <s v="0504 F1"/>
    <n v="599"/>
    <s v="kg"/>
    <s v="ARÁBICA"/>
    <s v="Green"/>
    <n v="45"/>
    <m/>
    <s v="RA"/>
    <d v="2018-11-07T00:00:00"/>
    <n v="446.87796000000003"/>
    <n v="4515.1481899999999"/>
    <s v="BRL"/>
    <n v="3.8411"/>
    <n v="479.33727083333332"/>
    <n v="114.27400536666664"/>
    <s v="BRL"/>
    <n v="3.8411"/>
    <n v="599"/>
    <n v="0"/>
    <n v="124.79166666666667"/>
    <n v="29.750333333333327"/>
    <n v="9.4498410416666676"/>
    <n v="2.2528421043333329"/>
    <n v="4.1306000000000003"/>
    <n v="109.55"/>
    <n v="5277.1454264967124"/>
    <n v="89.01338425215954"/>
    <n v="98.463225293826213"/>
    <n v="100.71606739815954"/>
    <n v="4461.3316340000001"/>
    <n v="53.816555999999764"/>
    <n v="12.5"/>
    <n v="3.0501589583333324"/>
    <n v="2.98"/>
    <n v="0.72715789566666711"/>
    <n v="1"/>
  </r>
  <r>
    <m/>
    <s v="CERRADO"/>
    <s v="L12:Loja Monte Carmelo"/>
    <s v="MONTE CARMELO"/>
    <s v="2018/2019"/>
    <d v="2018-06-05T00:00:00"/>
    <x v="493"/>
    <s v="0432 F2"/>
    <n v="14986"/>
    <s v="kg"/>
    <s v="ARÁBICA"/>
    <s v="Green"/>
    <n v="55.000000000000007"/>
    <m/>
    <s v="RA"/>
    <d v="2018-06-06T00:00:00"/>
    <n v="466.77879999999999"/>
    <n v="117909.54828"/>
    <s v="BRL"/>
    <n v="3.7746"/>
    <n v="14405.514292799999"/>
    <n v="3431.6801064000001"/>
    <s v="BRL"/>
    <n v="3.7746"/>
    <n v="14986"/>
    <n v="0"/>
    <n v="3816.4346666666665"/>
    <n v="909.15066666666667"/>
    <n v="11.551485689333333"/>
    <n v="2.7517937113333333"/>
    <n v="3.8488000000000002"/>
    <n v="118.2"/>
    <n v="5609.2646149990987"/>
    <n v="94.549242179637574"/>
    <n v="106.10072786897091"/>
    <n v="108.85252158030424"/>
    <n v="116585.78494666665"/>
    <n v="1323.7633333333506"/>
    <n v="15.279999999999998"/>
    <n v="3.7285143106666645"/>
    <n v="3.64"/>
    <n v="0.88820628866666684"/>
    <n v="1"/>
  </r>
  <r>
    <m/>
    <s v="CERRADO"/>
    <s v="L12:Loja Monte Carmelo"/>
    <s v="MONTE CARMELO"/>
    <s v="2018/2019"/>
    <d v="2018-06-05T00:00:00"/>
    <x v="494"/>
    <s v="0432 F2"/>
    <n v="7014"/>
    <s v="kg"/>
    <s v="ARÁBICA"/>
    <s v="Green"/>
    <n v="55.000000000000007"/>
    <m/>
    <s v="RA"/>
    <d v="2018-06-06T00:00:00"/>
    <n v="469.7783"/>
    <n v="55193.095860000001"/>
    <s v="BRL"/>
    <n v="3.8187000000000002"/>
    <n v="6821.0841384000005"/>
    <n v="1624.9179492000003"/>
    <s v="BRL"/>
    <n v="3.8187000000000002"/>
    <n v="7014"/>
    <n v="0"/>
    <n v="1786.232"/>
    <n v="425.51600000000008"/>
    <n v="11.551485689333335"/>
    <n v="2.7517937113333337"/>
    <n v="3.8488000000000002"/>
    <n v="118.2"/>
    <n v="5580.1150253115202"/>
    <n v="93.469343588297065"/>
    <n v="105.02082927763041"/>
    <n v="107.77262298896375"/>
    <n v="54917.083269999996"/>
    <n v="276.01259000000573"/>
    <n v="15.28"/>
    <n v="3.7285143106666645"/>
    <n v="3.6400000000000006"/>
    <n v="0.88820628866666684"/>
    <n v="1"/>
  </r>
  <r>
    <m/>
    <s v="CERRADO"/>
    <s v="L12:Loja Monte Carmelo"/>
    <s v="MONTE CARMELO"/>
    <s v="2018/2019"/>
    <d v="2018-06-22T00:00:00"/>
    <x v="495"/>
    <s v="0432 F2"/>
    <n v="14850"/>
    <s v="kg"/>
    <s v="ARÁBICA"/>
    <s v="Green"/>
    <n v="55.000000000000007"/>
    <m/>
    <s v="RA"/>
    <s v="26/06/2018"/>
    <n v="450.8098"/>
    <n v="112070.4255"/>
    <s v="BRL"/>
    <n v="3.7888000000000002"/>
    <n v="14328.483840000001"/>
    <n v="3413.3299200000001"/>
    <s v="BRL"/>
    <n v="3.7888000000000002"/>
    <n v="14850"/>
    <n v="0"/>
    <n v="3781.8"/>
    <n v="900.9"/>
    <n v="11.551485689333333"/>
    <n v="2.7517937113333333"/>
    <e v="#N/A"/>
    <e v="#N/A"/>
    <n v="5397.0620143904671"/>
    <n v="90.35009780635292"/>
    <n v="101.90158349568628"/>
    <n v="104.65337720701962"/>
    <n v="111575.4255"/>
    <n v="495"/>
    <n v="15.28"/>
    <n v="3.7285143106666663"/>
    <n v="3.64"/>
    <n v="0.88820628866666684"/>
    <n v="1"/>
  </r>
  <r>
    <m/>
    <s v="CERRADO"/>
    <s v="L12:Loja Monte Carmelo"/>
    <s v="MONTE CARMELO"/>
    <s v="2018/2019"/>
    <d v="2018-06-25T00:00:00"/>
    <x v="496"/>
    <s v="0432 F2"/>
    <n v="16090"/>
    <s v="kg"/>
    <s v="ARÁBICA"/>
    <s v="Green"/>
    <n v="55.000000000000007"/>
    <m/>
    <s v="RA"/>
    <s v="26/06/2018"/>
    <n v="452.93020000000007"/>
    <n v="121997.1153"/>
    <s v="BRL"/>
    <n v="3.7888000000000002"/>
    <n v="15524.936362666667"/>
    <n v="3698.3487146666666"/>
    <s v="BRL"/>
    <n v="3.7888000000000002"/>
    <n v="16090"/>
    <n v="0"/>
    <n v="4097.586666666667"/>
    <n v="976.12666666666667"/>
    <n v="11.551485689333333"/>
    <n v="2.7517937113333333"/>
    <e v="#N/A"/>
    <e v="#N/A"/>
    <n v="5422.4472883914186"/>
    <n v="90.773185706368778"/>
    <n v="102.3246713957021"/>
    <n v="105.07646510703543"/>
    <n v="121460.78196666669"/>
    <n v="536.33333333331393"/>
    <n v="15.28"/>
    <n v="3.7285143106666663"/>
    <n v="3.6399999999999997"/>
    <n v="0.8882062886666664"/>
    <n v="1"/>
  </r>
  <r>
    <m/>
    <s v="CERRADO"/>
    <s v="L12:Loja Monte Carmelo"/>
    <s v="MONTE CARMELO"/>
    <s v="2018/2019"/>
    <d v="2018-06-15T00:00:00"/>
    <x v="497"/>
    <s v="0151 F2"/>
    <n v="16250"/>
    <s v="kg"/>
    <s v="ARÁBICA"/>
    <s v="Green"/>
    <n v="55.000000000000007"/>
    <m/>
    <s v="RA"/>
    <s v="28/06/2018"/>
    <n v="458.03360000000009"/>
    <n v="124674.22500000001"/>
    <s v="BRL"/>
    <n v="3.8515000000000001"/>
    <n v="15938.790833333333"/>
    <n v="3796.9370833333332"/>
    <s v="BRL"/>
    <n v="3.8515000000000001"/>
    <n v="16250"/>
    <n v="0"/>
    <n v="4138.333333333333"/>
    <n v="985.83333333333326"/>
    <n v="11.551485689333331"/>
    <n v="2.7517937113333328"/>
    <e v="#N/A"/>
    <e v="#N/A"/>
    <n v="5394.2761563970416"/>
    <n v="90.356448050271325"/>
    <n v="101.90793373960466"/>
    <n v="104.65972745093798"/>
    <n v="124050.76666666669"/>
    <n v="623.45833333331393"/>
    <n v="15.279999999999998"/>
    <n v="3.7285143106666663"/>
    <n v="3.6399999999999997"/>
    <n v="0.88820628866666684"/>
    <n v="1"/>
  </r>
  <r>
    <m/>
    <s v="CERRADO"/>
    <s v="L12:Loja Monte Carmelo"/>
    <s v="MONTE CARMELO"/>
    <s v="2018/2019"/>
    <d v="2018-06-15T00:00:00"/>
    <x v="498"/>
    <s v="1100 F1"/>
    <n v="5336"/>
    <s v="kg"/>
    <s v="ARÁBICA"/>
    <s v="Green"/>
    <n v="55.000000000000007"/>
    <m/>
    <s v="RA"/>
    <d v="2018-09-07T00:00:00"/>
    <n v="602.01120000000003"/>
    <n v="53547.400320000008"/>
    <s v="BRL"/>
    <n v="3.8679999999999999"/>
    <n v="5256.2303573333329"/>
    <n v="1252.1386453333334"/>
    <s v="BRL"/>
    <n v="3.8679999999999999"/>
    <n v="5336"/>
    <n v="0"/>
    <n v="1358.9013333333332"/>
    <n v="323.71733333333339"/>
    <n v="11.551485689333333"/>
    <n v="2.7517937113333337"/>
    <n v="4.1306000000000003"/>
    <n v="109.55"/>
    <n v="7059.6609869323693"/>
    <n v="117.6797793183661"/>
    <n v="129.23126500769945"/>
    <n v="131.98305871903278"/>
    <n v="53538.862720000005"/>
    <n v="8.5376000000032946"/>
    <n v="15.280000000000001"/>
    <n v="3.7285143106666681"/>
    <n v="3.64"/>
    <n v="0.8882062886666664"/>
    <n v="1"/>
  </r>
  <r>
    <m/>
    <s v="CERRADO"/>
    <s v="L12:Loja Monte Carmelo"/>
    <s v="MONTE CARMELO"/>
    <s v="2018/2019"/>
    <d v="2018-06-19T00:00:00"/>
    <x v="499"/>
    <s v="0151 F2"/>
    <n v="17740"/>
    <s v="kg"/>
    <s v="ARÁBICA"/>
    <s v="Green"/>
    <n v="55.000000000000007"/>
    <m/>
    <s v="RA"/>
    <s v="28/06/2018"/>
    <n v="455.91360000000003"/>
    <n v="135475.94500000001"/>
    <s v="BRL"/>
    <n v="3.8515000000000001"/>
    <n v="17400.255346666665"/>
    <n v="4145.0870066666666"/>
    <s v="BRL"/>
    <n v="3.8515000000000001"/>
    <n v="17740"/>
    <n v="0"/>
    <n v="4517.786666666666"/>
    <n v="1076.2266666666667"/>
    <n v="11.551485689333331"/>
    <n v="2.7517937113333328"/>
    <e v="#N/A"/>
    <e v="#N/A"/>
    <n v="5369.3088495192005"/>
    <n v="89.938245660067494"/>
    <n v="101.48973134940084"/>
    <n v="104.24152506073418"/>
    <n v="134798.45440000002"/>
    <n v="677.49059999999008"/>
    <n v="15.279999999999998"/>
    <n v="3.7285143106666663"/>
    <n v="3.6399999999999997"/>
    <n v="0.88820628866666684"/>
    <n v="1"/>
  </r>
  <r>
    <m/>
    <s v="CERRADO"/>
    <s v="L12:Loja Monte Carmelo"/>
    <s v="MONTE CARMELO"/>
    <s v="2018/2019"/>
    <d v="2018-06-19T00:00:00"/>
    <x v="500"/>
    <s v="0016 F4"/>
    <n v="10680"/>
    <s v="kg"/>
    <s v="ARÁBICA"/>
    <s v="Green"/>
    <n v="55.000000000000007"/>
    <m/>
    <s v="RA"/>
    <s v="29/06/2018"/>
    <n v="520.42240000000004"/>
    <n v="92666.088000000003"/>
    <s v="BRL"/>
    <n v="3.8552"/>
    <n v="10485.527167999999"/>
    <n v="2497.8611839999999"/>
    <s v="BRL"/>
    <n v="3.8552"/>
    <n v="10680"/>
    <n v="0"/>
    <n v="2719.8399999999997"/>
    <n v="647.91999999999996"/>
    <n v="11.551485689333331"/>
    <n v="2.7517937113333328"/>
    <e v="#N/A"/>
    <e v="#N/A"/>
    <n v="6123.1487294326635"/>
    <n v="102.08652099870307"/>
    <n v="113.6380066880364"/>
    <n v="116.3898003993697"/>
    <n v="92635.187200000015"/>
    <n v="30.900799999988521"/>
    <n v="15.28"/>
    <n v="3.7285143106666681"/>
    <n v="3.64"/>
    <n v="0.88820628866666729"/>
    <n v="1"/>
  </r>
  <r>
    <m/>
    <s v="CERRADO"/>
    <s v="L12:Loja Monte Carmelo"/>
    <s v="MONTE CARMELO"/>
    <s v="2018/2019"/>
    <d v="2018-06-29T00:00:00"/>
    <x v="501"/>
    <s v="0016 F4"/>
    <n v="15730"/>
    <s v="kg"/>
    <s v="ARÁBICA"/>
    <s v="Green"/>
    <n v="45"/>
    <m/>
    <s v="RA"/>
    <s v="29/06/2018"/>
    <n v="520.42830000000004"/>
    <n v="136484.49100000001"/>
    <s v="BRL"/>
    <n v="3.8552"/>
    <n v="12633.811666666666"/>
    <n v="3011.9007013333335"/>
    <s v="BRL"/>
    <n v="3.8552"/>
    <n v="15730"/>
    <n v="0"/>
    <n v="3277.0833333333335"/>
    <n v="781.25666666666666"/>
    <n v="9.4498410416666676"/>
    <n v="2.2528421043333333"/>
    <e v="#N/A"/>
    <e v="#N/A"/>
    <n v="6123.2181472315579"/>
    <n v="102.08769757156568"/>
    <n v="111.53753861323237"/>
    <n v="113.79038071756568"/>
    <n v="136438.95265000002"/>
    <n v="45.538349999987986"/>
    <n v="12.500000000000002"/>
    <n v="3.0501589583333342"/>
    <n v="2.9800000000000004"/>
    <n v="0.72715789566666711"/>
    <n v="1"/>
  </r>
  <r>
    <m/>
    <s v="CERRADO"/>
    <s v="L12:Loja Monte Carmelo"/>
    <s v="MONTE CARMELO"/>
    <s v="2018/2019"/>
    <d v="2018-06-29T00:00:00"/>
    <x v="502"/>
    <s v="0016 F4"/>
    <n v="9220"/>
    <s v="kg"/>
    <s v="ARÁBICA"/>
    <s v="Green"/>
    <n v="45"/>
    <m/>
    <s v="RA"/>
    <s v="29/06/2018"/>
    <n v="520.42830000000004"/>
    <n v="79999.173999999999"/>
    <s v="BRL"/>
    <n v="3.8552"/>
    <n v="7405.1966666666658"/>
    <n v="1765.3988853333331"/>
    <s v="BRL"/>
    <n v="3.8552"/>
    <n v="9220"/>
    <n v="0"/>
    <n v="1920.833333333333"/>
    <n v="457.92666666666662"/>
    <n v="9.4498410416666676"/>
    <n v="2.2528421043333333"/>
    <e v="#N/A"/>
    <e v="#N/A"/>
    <n v="6123.2181472315579"/>
    <n v="102.0876975715657"/>
    <n v="111.53753861323234"/>
    <n v="113.79038071756568"/>
    <n v="79972.482099999994"/>
    <n v="26.691900000005262"/>
    <n v="12.5"/>
    <n v="3.0501589583333324"/>
    <n v="2.9799999999999995"/>
    <n v="0.72715789566666622"/>
    <n v="1"/>
  </r>
  <r>
    <m/>
    <s v="CERRADO"/>
    <s v="L12:Loja Monte Carmelo"/>
    <s v="MONTE CARMELO"/>
    <s v="2018/2019"/>
    <d v="2018-07-04T00:00:00"/>
    <x v="503"/>
    <s v="1182 F1"/>
    <n v="32800"/>
    <s v="kg"/>
    <s v="ARÁBICA"/>
    <s v="Green"/>
    <n v="55.000000000000007"/>
    <m/>
    <s v="RA"/>
    <d v="2018-09-07T00:00:00"/>
    <n v="526.04340000000013"/>
    <n v="287693.06400000007"/>
    <s v="BRL"/>
    <n v="3.8679999999999999"/>
    <n v="32309.661866666662"/>
    <n v="7696.804266666667"/>
    <s v="BRL"/>
    <n v="3.8679999999999999"/>
    <n v="32800"/>
    <n v="0"/>
    <n v="8353.0666666666657"/>
    <n v="1989.8666666666668"/>
    <n v="11.551485689333331"/>
    <n v="2.7517937113333337"/>
    <n v="4.1306000000000003"/>
    <n v="109.55"/>
    <n v="6168.8022887502075"/>
    <n v="102.85722968661067"/>
    <n v="114.40871537594403"/>
    <n v="117.16050908727735"/>
    <n v="287570.39200000005"/>
    <n v="122.67200000002049"/>
    <n v="15.28"/>
    <n v="3.7285143106666681"/>
    <n v="3.64"/>
    <n v="0.8882062886666664"/>
    <n v="1"/>
  </r>
  <r>
    <m/>
    <s v="CERRADO"/>
    <s v="L12:Loja Monte Carmelo"/>
    <s v="MONTE CARMELO"/>
    <s v="2018/2019"/>
    <d v="2018-07-04T00:00:00"/>
    <x v="504"/>
    <s v="1182 F1"/>
    <n v="16380"/>
    <s v="kg"/>
    <s v="ARÁBICA"/>
    <s v="Green"/>
    <n v="55.000000000000007"/>
    <m/>
    <s v="RA"/>
    <d v="2018-09-07T00:00:00"/>
    <n v="527.2758"/>
    <n v="144007.5546"/>
    <s v="BRL"/>
    <n v="3.8679999999999999"/>
    <n v="16135.129919999998"/>
    <n v="3843.7089599999999"/>
    <s v="BRL"/>
    <n v="3.8679999999999999"/>
    <n v="16380"/>
    <n v="0"/>
    <n v="4171.4399999999996"/>
    <n v="993.72"/>
    <n v="11.551485689333331"/>
    <n v="2.7517937113333333"/>
    <n v="4.1306000000000003"/>
    <n v="109.55"/>
    <n v="6183.2543889774042"/>
    <n v="103.09809802373061"/>
    <n v="114.64958371306395"/>
    <n v="117.40137742439727"/>
    <n v="143946.2934"/>
    <n v="61.261200000008103"/>
    <n v="15.28"/>
    <n v="3.7285143106666681"/>
    <n v="3.6399999999999997"/>
    <n v="0.8882062886666664"/>
    <n v="1"/>
  </r>
  <r>
    <m/>
    <s v="CERRADO"/>
    <s v="L12:Loja Monte Carmelo"/>
    <s v="MONTE CARMELO"/>
    <s v="2018/2019"/>
    <d v="2018-06-30T00:00:00"/>
    <x v="505"/>
    <s v="0046 F1"/>
    <n v="7490"/>
    <s v="kg"/>
    <s v="ARÁBICA"/>
    <s v="Green"/>
    <n v="45"/>
    <m/>
    <s v="RA"/>
    <d v="2018-09-07T00:00:00"/>
    <n v="450.94"/>
    <n v="56549.5"/>
    <s v="BRL"/>
    <n v="3.8679999999999999"/>
    <n v="6035.6916666666666"/>
    <n v="1438.9088933333333"/>
    <s v="BRL"/>
    <n v="3.8679999999999999"/>
    <n v="7490"/>
    <n v="0"/>
    <n v="1560.4166666666667"/>
    <n v="372.00333333333333"/>
    <n v="9.4498410416666676"/>
    <n v="2.2528421043333333"/>
    <n v="4.1306000000000003"/>
    <n v="109.55"/>
    <n v="5288.08023081179"/>
    <n v="88.537290421406411"/>
    <n v="97.987131463073098"/>
    <n v="100.23997356740642"/>
    <n v="56292.343333333338"/>
    <n v="257.1566666666622"/>
    <n v="12.499999999999998"/>
    <n v="3.0501589583333306"/>
    <n v="2.9799999999999995"/>
    <n v="0.72715789566666622"/>
    <n v="1"/>
  </r>
  <r>
    <m/>
    <s v="CERRADO"/>
    <s v="L12:Loja Monte Carmelo"/>
    <s v="MONTE CARMELO"/>
    <s v="2018/2019"/>
    <d v="2018-06-30T00:00:00"/>
    <x v="506"/>
    <s v="0016 F4"/>
    <n v="9480"/>
    <s v="kg"/>
    <s v="ARÁBICA"/>
    <s v="Green"/>
    <n v="45"/>
    <m/>
    <s v="RA"/>
    <d v="2018-11-07T00:00:00"/>
    <n v="470.85827999999992"/>
    <n v="74419.895999999993"/>
    <s v="BRL"/>
    <n v="3.8411"/>
    <n v="7586.1725000000006"/>
    <n v="1808.5435239999999"/>
    <s v="BRL"/>
    <n v="3.8411"/>
    <n v="9480"/>
    <n v="0"/>
    <n v="1975.0000000000002"/>
    <n v="470.84"/>
    <n v="9.4498410416666676"/>
    <n v="2.2528421043333333"/>
    <n v="4.1306000000000003"/>
    <n v="109.55"/>
    <n v="5560.3270719149095"/>
    <n v="92.7023723145453"/>
    <n v="102.15221335621197"/>
    <n v="104.4050554605453"/>
    <n v="74395.608239999987"/>
    <n v="24.287760000006529"/>
    <n v="12.500000000000002"/>
    <n v="3.0501589583333342"/>
    <n v="2.98"/>
    <n v="0.72715789566666666"/>
    <n v="1"/>
  </r>
  <r>
    <m/>
    <s v="CERRADO"/>
    <s v="L12:Loja Monte Carmelo"/>
    <s v="MONTE CARMELO"/>
    <s v="2018/2019"/>
    <d v="2018-07-07T00:00:00"/>
    <x v="507"/>
    <s v="1100 F1"/>
    <n v="10870"/>
    <s v="kg"/>
    <s v="ARÁBICA"/>
    <s v="Green"/>
    <n v="45"/>
    <m/>
    <s v="RA"/>
    <d v="2018-09-07T00:00:00"/>
    <n v="546.08100000000002"/>
    <n v="98949.066500000001"/>
    <s v="BRL"/>
    <n v="3.8679999999999999"/>
    <n v="8759.4083333333328"/>
    <n v="2088.2429466666667"/>
    <s v="BRL"/>
    <n v="3.8679999999999999"/>
    <n v="10870"/>
    <n v="0"/>
    <n v="2264.5833333333335"/>
    <n v="539.87666666666667"/>
    <n v="9.4498410416666658"/>
    <n v="2.2528421043333338"/>
    <n v="4.1306000000000003"/>
    <n v="109.55"/>
    <n v="6403.7790848492768"/>
    <n v="106.74841428364788"/>
    <n v="116.19825532531456"/>
    <n v="118.45109742964789"/>
    <n v="98931.674499999994"/>
    <n v="17.392000000007101"/>
    <n v="12.499999999999998"/>
    <n v="3.0501589583333324"/>
    <n v="2.9800000000000004"/>
    <n v="0.72715789566666666"/>
    <n v="1"/>
  </r>
  <r>
    <m/>
    <s v="CERRADO"/>
    <s v="L12:Loja Monte Carmelo"/>
    <s v="MONTE CARMELO"/>
    <s v="2018/2019"/>
    <d v="2018-07-05T00:00:00"/>
    <x v="508"/>
    <s v="1182 F1"/>
    <n v="16790"/>
    <s v="kg"/>
    <s v="ARÁBICA"/>
    <s v="Green"/>
    <n v="55.000000000000007"/>
    <m/>
    <s v="RA"/>
    <d v="2018-09-07T00:00:00"/>
    <n v="528.50760000000002"/>
    <n v="147956.83799999999"/>
    <s v="BRL"/>
    <n v="3.8679999999999999"/>
    <n v="16539.000693333332"/>
    <n v="3939.9190133333332"/>
    <s v="BRL"/>
    <n v="3.8679999999999999"/>
    <n v="16790"/>
    <n v="0"/>
    <n v="4275.8533333333326"/>
    <n v="1018.5933333333334"/>
    <n v="11.551485689333331"/>
    <n v="2.7517937113333333"/>
    <n v="4.1306000000000003"/>
    <n v="109.55"/>
    <n v="6197.6994531285418"/>
    <n v="103.33884909291623"/>
    <n v="114.89033478224957"/>
    <n v="117.6421284935829"/>
    <n v="147894.0434"/>
    <n v="62.794599999993807"/>
    <n v="15.28"/>
    <n v="3.7285143106666681"/>
    <n v="3.6399999999999997"/>
    <n v="0.8882062886666664"/>
    <n v="1"/>
  </r>
  <r>
    <m/>
    <s v="CERRADO"/>
    <s v="L12:Loja Monte Carmelo"/>
    <s v="MONTE CARMELO"/>
    <s v="2018/2019"/>
    <d v="2018-07-05T00:00:00"/>
    <x v="509"/>
    <s v="1182 F1"/>
    <n v="14710"/>
    <s v="kg"/>
    <s v="ARÁBICA"/>
    <s v="Green"/>
    <n v="55.000000000000007"/>
    <m/>
    <s v="RA"/>
    <d v="2018-09-07T00:00:00"/>
    <n v="526.04339999999991"/>
    <n v="129023.32229999999"/>
    <s v="BRL"/>
    <n v="3.8679999999999999"/>
    <n v="14490.095306666664"/>
    <n v="3451.8289866666664"/>
    <s v="BRL"/>
    <n v="3.8679999999999999"/>
    <n v="14710"/>
    <n v="0"/>
    <n v="3746.1466666666661"/>
    <n v="892.40666666666664"/>
    <n v="11.551485689333331"/>
    <n v="2.7517937113333333"/>
    <n v="4.1306000000000003"/>
    <n v="109.55"/>
    <n v="6168.8022887502066"/>
    <n v="102.85722968661065"/>
    <n v="114.40871537594397"/>
    <n v="117.16050908727732"/>
    <n v="128968.30689999998"/>
    <n v="55.015400000003865"/>
    <n v="15.28"/>
    <n v="3.7285143106666681"/>
    <n v="3.6399999999999997"/>
    <n v="0.8882062886666664"/>
    <n v="1"/>
  </r>
  <r>
    <m/>
    <s v="CERRADO"/>
    <s v="L12:Loja Monte Carmelo"/>
    <s v="MONTE CARMELO"/>
    <s v="2018/2019"/>
    <d v="2018-07-05T00:00:00"/>
    <x v="510"/>
    <s v="1182 F1"/>
    <n v="5100"/>
    <s v="kg"/>
    <s v="ARÁBICA"/>
    <s v="Green"/>
    <n v="55.000000000000007"/>
    <m/>
    <s v="RA"/>
    <d v="2018-09-07T00:00:00"/>
    <n v="527.2758"/>
    <n v="44837.517"/>
    <s v="BRL"/>
    <n v="3.8679999999999999"/>
    <n v="5023.7583999999997"/>
    <n v="1196.7592"/>
    <s v="BRL"/>
    <n v="3.8679999999999999"/>
    <n v="5100"/>
    <n v="0"/>
    <n v="1298.8"/>
    <n v="309.39999999999998"/>
    <n v="11.551485689333333"/>
    <n v="2.7517937113333333"/>
    <n v="4.1306000000000003"/>
    <n v="109.55"/>
    <n v="6183.2543889774042"/>
    <n v="103.09809802373061"/>
    <n v="114.64958371306395"/>
    <n v="117.40137742439728"/>
    <n v="44818.442999999999"/>
    <n v="19.074000000000524"/>
    <n v="15.280000000000001"/>
    <n v="3.7285143106666681"/>
    <n v="3.6399999999999997"/>
    <n v="0.8882062886666664"/>
    <n v="1"/>
  </r>
  <r>
    <m/>
    <s v="CERRADO"/>
    <s v="L12:Loja Monte Carmelo"/>
    <s v="MONTE CARMELO"/>
    <s v="2018/2019"/>
    <d v="2018-07-10T00:00:00"/>
    <x v="511"/>
    <s v="0016 F4"/>
    <n v="8466"/>
    <s v="kg"/>
    <s v="ARÁBICA"/>
    <s v="Green"/>
    <n v="55.000000000000007"/>
    <m/>
    <s v="RA"/>
    <d v="2018-11-07T00:00:00"/>
    <n v="473.06328000000002"/>
    <n v="66770.918699999995"/>
    <s v="BRL"/>
    <n v="3.8411"/>
    <n v="8281.442328799998"/>
    <n v="1972.8043244"/>
    <s v="BRL"/>
    <n v="3.8411"/>
    <n v="8466"/>
    <n v="0"/>
    <n v="2156.0079999999994"/>
    <n v="513.60400000000004"/>
    <n v="11.551485689333331"/>
    <n v="2.7517937113333333"/>
    <n v="4.1306000000000003"/>
    <n v="109.55"/>
    <n v="5586.3657372933167"/>
    <n v="93.136350070852089"/>
    <n v="104.68783576018542"/>
    <n v="107.43962947151876"/>
    <n v="66749.228808"/>
    <n v="21.68989199999487"/>
    <n v="15.279999999999998"/>
    <n v="3.7285143106666663"/>
    <n v="3.64"/>
    <n v="0.88820628866666684"/>
    <n v="1"/>
  </r>
  <r>
    <m/>
    <s v="CERRADO"/>
    <s v="L12:Loja Monte Carmelo"/>
    <s v="ROMARIA"/>
    <s v="2018/2019"/>
    <d v="2018-06-25T00:00:00"/>
    <x v="512"/>
    <s v="0212 F1"/>
    <n v="19650"/>
    <s v="kg"/>
    <s v="ARÁBICA"/>
    <s v="Green"/>
    <n v="55.000000000000007"/>
    <m/>
    <s v="RA"/>
    <s v="29/06/2018"/>
    <n v="509.59340000000003"/>
    <n v="166951.11600000001"/>
    <s v="BRL"/>
    <n v="3.8552"/>
    <n v="19292.19184"/>
    <n v="4595.7839199999999"/>
    <s v="BRL"/>
    <n v="3.8552"/>
    <n v="19650"/>
    <n v="0"/>
    <n v="5004.2"/>
    <n v="1192.0999999999999"/>
    <n v="11.551485689333333"/>
    <n v="2.7517937113333337"/>
    <e v="#N/A"/>
    <e v="#N/A"/>
    <n v="5995.7376541387739"/>
    <n v="99.964454183668835"/>
    <n v="111.51593987300217"/>
    <n v="114.2677335843355"/>
    <n v="166891.83850000001"/>
    <n v="59.277499999996508"/>
    <n v="15.280000000000001"/>
    <n v="3.7285143106666681"/>
    <n v="3.64"/>
    <n v="0.8882062886666664"/>
    <n v="1"/>
  </r>
  <r>
    <m/>
    <s v="CERRADO"/>
    <s v="L12:Loja Monte Carmelo"/>
    <s v="ROMARIA"/>
    <s v="2018/2019"/>
    <d v="2018-06-25T00:00:00"/>
    <x v="513"/>
    <s v="0212 F1"/>
    <n v="19880"/>
    <s v="kg"/>
    <s v="ARÁBICA"/>
    <s v="Green"/>
    <n v="55.000000000000007"/>
    <m/>
    <s v="RA"/>
    <s v="29/06/2018"/>
    <n v="507.37100000000009"/>
    <n v="168168.89600000001"/>
    <s v="BRL"/>
    <n v="3.8552"/>
    <n v="19518.003754666664"/>
    <n v="4649.5768106666665"/>
    <s v="BRL"/>
    <n v="3.8552"/>
    <n v="19880"/>
    <n v="0"/>
    <n v="5062.7733333333326"/>
    <n v="1206.0533333333333"/>
    <n v="11.551485689333331"/>
    <n v="2.7517937113333333"/>
    <e v="#N/A"/>
    <e v="#N/A"/>
    <n v="5969.5894988397504"/>
    <n v="99.528651595351747"/>
    <n v="111.08013728468505"/>
    <n v="113.8319309960184"/>
    <n v="168108.92466666672"/>
    <n v="59.971333333291113"/>
    <n v="15.28"/>
    <n v="3.7285143106666681"/>
    <n v="3.64"/>
    <n v="0.88820628866666684"/>
    <n v="1"/>
  </r>
  <r>
    <m/>
    <s v="CERRADO"/>
    <s v="L12:Loja Monte Carmelo"/>
    <s v="ROMARIA"/>
    <s v="2018/2019"/>
    <d v="2018-06-28T00:00:00"/>
    <x v="514"/>
    <s v="0026 F1"/>
    <n v="12013"/>
    <s v="kg"/>
    <s v="ARÁBICA"/>
    <s v="Green"/>
    <n v="45"/>
    <m/>
    <s v="RA"/>
    <s v="28/06/2018"/>
    <n v="455.90220000000005"/>
    <n v="92196.77175"/>
    <s v="BRL"/>
    <n v="3.8515000000000001"/>
    <n v="9639.1811458333341"/>
    <n v="2297.9807851666669"/>
    <s v="BRL"/>
    <n v="3.8515000000000001"/>
    <n v="12013"/>
    <n v="0"/>
    <n v="2502.7083333333335"/>
    <n v="596.64566666666667"/>
    <n v="9.4498410416666676"/>
    <n v="2.2528421043333338"/>
    <e v="#N/A"/>
    <e v="#N/A"/>
    <n v="5369.1745913595742"/>
    <n v="90.385772858821241"/>
    <n v="99.835613900487928"/>
    <n v="102.08845600482125"/>
    <n v="91279.218810000006"/>
    <n v="917.55293999999412"/>
    <n v="12.5"/>
    <n v="3.0501589583333324"/>
    <n v="2.98"/>
    <n v="0.72715789566666622"/>
    <n v="1"/>
  </r>
  <r>
    <m/>
    <s v="CERRADO"/>
    <s v="L12:Loja Monte Carmelo"/>
    <s v="ROMARIA"/>
    <s v="2018/2019"/>
    <d v="2018-06-28T00:00:00"/>
    <x v="515"/>
    <s v="0212 F1"/>
    <n v="19650"/>
    <s v="kg"/>
    <s v="ARÁBICA"/>
    <s v="Green"/>
    <n v="55.000000000000007"/>
    <m/>
    <s v="RA"/>
    <s v="29/06/2018"/>
    <n v="509.59340000000003"/>
    <n v="166951.11600000001"/>
    <s v="BRL"/>
    <n v="3.8552"/>
    <n v="19292.19184"/>
    <n v="4595.7839199999999"/>
    <s v="BRL"/>
    <n v="3.8552"/>
    <n v="19650"/>
    <n v="0"/>
    <n v="5004.2"/>
    <n v="1192.0999999999999"/>
    <n v="11.551485689333333"/>
    <n v="2.7517937113333337"/>
    <e v="#N/A"/>
    <e v="#N/A"/>
    <n v="5995.7376541387739"/>
    <n v="99.964454183668835"/>
    <n v="111.51593987300217"/>
    <n v="114.2677335843355"/>
    <n v="166891.83850000001"/>
    <n v="59.277499999996508"/>
    <n v="15.280000000000001"/>
    <n v="3.7285143106666681"/>
    <n v="3.64"/>
    <n v="0.8882062886666664"/>
    <n v="1"/>
  </r>
  <r>
    <m/>
    <s v="CERRADO"/>
    <s v="L12:Loja Monte Carmelo"/>
    <s v="ROMARIA"/>
    <s v="2018/2019"/>
    <d v="2018-06-19T00:00:00"/>
    <x v="516"/>
    <s v="0212 F1"/>
    <n v="20030"/>
    <s v="kg"/>
    <s v="ARÁBICA"/>
    <s v="Green"/>
    <n v="55.000000000000007"/>
    <m/>
    <s v="RA"/>
    <s v="29/06/2018"/>
    <n v="509.59339999999992"/>
    <n v="170179.68719999996"/>
    <s v="BRL"/>
    <n v="3.8552"/>
    <n v="19665.272394666663"/>
    <n v="4684.659130666666"/>
    <s v="BRL"/>
    <n v="3.8552"/>
    <n v="20030"/>
    <n v="0"/>
    <n v="5100.9733333333324"/>
    <n v="1215.1533333333332"/>
    <n v="11.551485689333331"/>
    <n v="2.7517937113333328"/>
    <e v="#N/A"/>
    <e v="#N/A"/>
    <n v="5995.737654138773"/>
    <n v="99.964454183668778"/>
    <n v="111.51593987300213"/>
    <n v="114.26773358433545"/>
    <n v="170119.26336666665"/>
    <n v="60.423833333305083"/>
    <n v="15.279999999999998"/>
    <n v="3.7285143106666663"/>
    <n v="3.6399999999999997"/>
    <n v="0.88820628866666684"/>
    <n v="1"/>
  </r>
  <r>
    <m/>
    <s v="CERRADO"/>
    <s v="L12:Loja Monte Carmelo"/>
    <s v="ROMARIA"/>
    <s v="2018/2019"/>
    <d v="2018-06-19T00:00:00"/>
    <x v="517"/>
    <s v="0212 F1"/>
    <n v="19880"/>
    <s v="kg"/>
    <s v="ARÁBICA"/>
    <s v="Green"/>
    <n v="55.000000000000007"/>
    <m/>
    <s v="RA"/>
    <s v="29/06/2018"/>
    <n v="509.59340000000009"/>
    <n v="168905.2512"/>
    <s v="BRL"/>
    <n v="3.8552"/>
    <n v="19518.003754666664"/>
    <n v="4649.5768106666665"/>
    <s v="BRL"/>
    <n v="3.8552"/>
    <n v="19880"/>
    <n v="0"/>
    <n v="5062.7733333333326"/>
    <n v="1206.0533333333333"/>
    <n v="11.551485689333331"/>
    <n v="2.7517937113333333"/>
    <e v="#N/A"/>
    <e v="#N/A"/>
    <n v="5995.7376541387739"/>
    <n v="99.964454183668821"/>
    <n v="111.51593987300214"/>
    <n v="114.26773358433547"/>
    <n v="168845.27986666668"/>
    <n v="59.971333333320217"/>
    <n v="15.28"/>
    <n v="3.7285143106666681"/>
    <n v="3.64"/>
    <n v="0.88820628866666684"/>
    <n v="1"/>
  </r>
  <r>
    <m/>
    <s v="CERRADO"/>
    <s v="L12:Loja Monte Carmelo"/>
    <s v="ROMARIA"/>
    <s v="2018/2019"/>
    <d v="2018-06-29T00:00:00"/>
    <x v="518"/>
    <s v="0212 F1"/>
    <n v="19590"/>
    <s v="kg"/>
    <s v="ARÁBICA"/>
    <s v="Green"/>
    <n v="55.000000000000007"/>
    <m/>
    <s v="RA"/>
    <s v="29/06/2018"/>
    <n v="506.26039999999995"/>
    <n v="165353.1171"/>
    <s v="BRL"/>
    <n v="3.8552"/>
    <n v="19233.284384000002"/>
    <n v="4581.7509920000002"/>
    <s v="BRL"/>
    <n v="3.8552"/>
    <n v="19590"/>
    <n v="0"/>
    <n v="4988.920000000001"/>
    <n v="1188.46"/>
    <n v="11.551485689333335"/>
    <n v="2.7517937113333333"/>
    <e v="#N/A"/>
    <e v="#N/A"/>
    <n v="5956.5224806274118"/>
    <n v="99.310867958479463"/>
    <n v="110.8623536478128"/>
    <n v="113.61414735914613"/>
    <n v="165294.02059999999"/>
    <n v="59.096500000014203"/>
    <n v="15.280000000000003"/>
    <n v="3.7285143106666681"/>
    <n v="3.6400000000000006"/>
    <n v="0.88820628866666729"/>
    <n v="1"/>
  </r>
  <r>
    <m/>
    <s v="CERRADO"/>
    <s v="L12:Loja Monte Carmelo"/>
    <s v="ROMARIA"/>
    <s v="2018/2019"/>
    <d v="2018-06-18T00:00:00"/>
    <x v="519"/>
    <s v="0212 F1"/>
    <n v="19680"/>
    <s v="kg"/>
    <s v="ARÁBICA"/>
    <s v="Green"/>
    <n v="55.000000000000007"/>
    <m/>
    <s v="RA"/>
    <s v="29/06/2018"/>
    <n v="507.37100000000009"/>
    <n v="166477.05600000001"/>
    <s v="BRL"/>
    <n v="3.8552"/>
    <n v="19321.645568"/>
    <n v="4602.8003840000001"/>
    <s v="BRL"/>
    <n v="3.8552"/>
    <n v="19680"/>
    <n v="0"/>
    <n v="5011.84"/>
    <n v="1193.92"/>
    <n v="11.551485689333333"/>
    <n v="2.7517937113333337"/>
    <e v="#N/A"/>
    <e v="#N/A"/>
    <n v="5969.5894988397504"/>
    <n v="99.528651595351747"/>
    <n v="111.08013728468508"/>
    <n v="113.83193099601843"/>
    <n v="166417.68800000002"/>
    <n v="59.36799999998766"/>
    <n v="15.280000000000001"/>
    <n v="3.7285143106666681"/>
    <n v="3.6400000000000006"/>
    <n v="0.88820628866666684"/>
    <n v="1"/>
  </r>
  <r>
    <m/>
    <s v="CERRADO"/>
    <s v="L12:Loja Monte Carmelo"/>
    <s v="ROMARIA"/>
    <s v="2018/2019"/>
    <d v="2018-06-18T00:00:00"/>
    <x v="520"/>
    <s v="0212 F1"/>
    <n v="19940"/>
    <s v="kg"/>
    <s v="ARÁBICA"/>
    <s v="Green"/>
    <n v="55.000000000000007"/>
    <m/>
    <s v="RA"/>
    <s v="29/06/2018"/>
    <n v="504.03740000000016"/>
    <n v="167568.5816"/>
    <s v="BRL"/>
    <n v="3.8552"/>
    <n v="19576.911210666665"/>
    <n v="4663.6097386666661"/>
    <s v="BRL"/>
    <n v="3.8552"/>
    <n v="19940"/>
    <n v="0"/>
    <n v="5078.0533333333333"/>
    <n v="1209.6933333333332"/>
    <n v="11.551485689333333"/>
    <n v="2.7517937113333333"/>
    <e v="#N/A"/>
    <e v="#N/A"/>
    <n v="5930.3672658912137"/>
    <n v="98.874947712876121"/>
    <n v="110.42643340220947"/>
    <n v="113.1782271135428"/>
    <n v="167508.4292666667"/>
    <n v="60.152333333302522"/>
    <n v="15.28"/>
    <n v="3.7285143106666663"/>
    <n v="3.6399999999999997"/>
    <n v="0.8882062886666664"/>
    <n v="1"/>
  </r>
  <r>
    <m/>
    <s v="CERRADO"/>
    <s v="L12:Loja Monte Carmelo"/>
    <s v="ROMARIA"/>
    <s v="2018/2019"/>
    <d v="2018-06-26T00:00:00"/>
    <x v="521"/>
    <s v="0212 F1"/>
    <n v="19810"/>
    <s v="kg"/>
    <s v="ARÁBICA"/>
    <s v="Green"/>
    <n v="55.000000000000007"/>
    <m/>
    <s v="RA"/>
    <s v="29/06/2018"/>
    <n v="507.37099999999998"/>
    <n v="167576.75200000001"/>
    <s v="BRL"/>
    <n v="3.8552"/>
    <n v="19449.278389333333"/>
    <n v="4633.205061333334"/>
    <s v="BRL"/>
    <n v="3.8552"/>
    <n v="19810"/>
    <n v="0"/>
    <n v="5044.9466666666667"/>
    <n v="1201.8066666666668"/>
    <n v="11.551485689333333"/>
    <n v="2.7517937113333342"/>
    <e v="#N/A"/>
    <e v="#N/A"/>
    <n v="5969.5894988397495"/>
    <n v="99.528651595351747"/>
    <n v="111.08013728468507"/>
    <n v="113.83193099601841"/>
    <n v="167516.99183333333"/>
    <n v="59.760166666674195"/>
    <n v="15.280000000000001"/>
    <n v="3.7285143106666681"/>
    <n v="3.640000000000001"/>
    <n v="0.88820628866666684"/>
    <n v="1"/>
  </r>
  <r>
    <m/>
    <s v="CERRADO"/>
    <s v="L12:Loja Monte Carmelo"/>
    <s v="ROMARIA"/>
    <s v="2018/2019"/>
    <d v="2018-06-26T00:00:00"/>
    <x v="522"/>
    <s v="0212 F1"/>
    <n v="19830"/>
    <s v="kg"/>
    <s v="ARÁBICA"/>
    <s v="Green"/>
    <n v="55.000000000000007"/>
    <m/>
    <s v="RA"/>
    <s v="29/06/2018"/>
    <n v="508.48220000000003"/>
    <n v="168113.1876"/>
    <s v="BRL"/>
    <n v="3.8552"/>
    <n v="19468.914208000002"/>
    <n v="4637.8827040000006"/>
    <s v="BRL"/>
    <n v="3.8552"/>
    <n v="19830"/>
    <n v="0"/>
    <n v="5050.0400000000009"/>
    <n v="1203.0200000000002"/>
    <n v="11.551485689333335"/>
    <n v="2.7517937113333337"/>
    <e v="#N/A"/>
    <e v="#N/A"/>
    <n v="5982.6635764892617"/>
    <n v="99.746552889510284"/>
    <n v="111.29803857884362"/>
    <n v="114.04983229017695"/>
    <n v="168053.3671"/>
    <n v="59.82050000000163"/>
    <n v="15.280000000000003"/>
    <n v="3.7285143106666681"/>
    <n v="3.6400000000000006"/>
    <n v="0.88820628866666684"/>
    <n v="1"/>
  </r>
  <r>
    <m/>
    <s v="CERRADO"/>
    <s v="L12:Loja Monte Carmelo"/>
    <s v="ROMARIA"/>
    <s v="2018/2019"/>
    <d v="2018-06-26T00:00:00"/>
    <x v="523"/>
    <s v="0212 F1"/>
    <n v="19910"/>
    <s v="kg"/>
    <s v="ARÁBICA"/>
    <s v="Green"/>
    <n v="55.000000000000007"/>
    <m/>
    <s v="RA"/>
    <s v="29/06/2018"/>
    <n v="507.37099999999998"/>
    <n v="168422.67199999999"/>
    <s v="BRL"/>
    <n v="3.8552"/>
    <n v="19547.457482666665"/>
    <n v="4656.5932746666667"/>
    <s v="BRL"/>
    <n v="3.8552"/>
    <n v="19910"/>
    <n v="0"/>
    <n v="5070.413333333333"/>
    <n v="1207.8733333333334"/>
    <n v="11.551485689333333"/>
    <n v="2.7517937113333337"/>
    <e v="#N/A"/>
    <e v="#N/A"/>
    <n v="5969.5894988397495"/>
    <n v="99.528651595351747"/>
    <n v="111.08013728468508"/>
    <n v="113.8319309960184"/>
    <n v="168362.61016666665"/>
    <n v="60.061833333340473"/>
    <n v="15.28"/>
    <n v="3.7285143106666663"/>
    <n v="3.64"/>
    <n v="0.8882062886666664"/>
    <n v="1"/>
  </r>
  <r>
    <m/>
    <s v="CERRADO"/>
    <s v="L12:Loja Monte Carmelo"/>
    <s v="ROMARIA"/>
    <s v="2018/2019"/>
    <d v="2018-06-26T00:00:00"/>
    <x v="524"/>
    <s v="0212 F1"/>
    <n v="19400"/>
    <s v="kg"/>
    <s v="ARÁBICA"/>
    <s v="Green"/>
    <n v="55.000000000000007"/>
    <m/>
    <s v="RA"/>
    <s v="29/06/2018"/>
    <n v="508.48220000000003"/>
    <n v="164467.76799999998"/>
    <s v="BRL"/>
    <n v="3.8552"/>
    <n v="19046.744106666665"/>
    <n v="4537.3133866666667"/>
    <s v="BRL"/>
    <n v="3.8552"/>
    <n v="19400"/>
    <n v="0"/>
    <n v="4940.5333333333328"/>
    <n v="1176.9333333333334"/>
    <n v="11.551485689333333"/>
    <n v="2.7517937113333333"/>
    <e v="#N/A"/>
    <e v="#N/A"/>
    <n v="5982.6635764892626"/>
    <n v="99.746552889510269"/>
    <n v="111.29803857884359"/>
    <n v="114.04983229017694"/>
    <n v="164409.24466666669"/>
    <n v="58.523333333287155"/>
    <n v="15.28"/>
    <n v="3.7285143106666663"/>
    <n v="3.64"/>
    <n v="0.88820628866666684"/>
    <n v="1"/>
  </r>
  <r>
    <m/>
    <s v="CERRADO"/>
    <s v="L12:Loja Monte Carmelo"/>
    <s v="ROMARIA"/>
    <s v="2018/2019"/>
    <d v="2018-06-27T00:00:00"/>
    <x v="525"/>
    <s v="0212 F1"/>
    <n v="19600"/>
    <s v="kg"/>
    <s v="ARÁBICA"/>
    <s v="Green"/>
    <n v="55.000000000000007"/>
    <m/>
    <s v="RA"/>
    <s v="29/06/2018"/>
    <n v="509.65239999999989"/>
    <n v="166545.90399999998"/>
    <s v="BRL"/>
    <n v="3.8552"/>
    <n v="19243.102293333333"/>
    <n v="4584.089813333334"/>
    <s v="BRL"/>
    <n v="3.8552"/>
    <n v="19600"/>
    <n v="0"/>
    <n v="4991.4666666666672"/>
    <n v="1189.0666666666668"/>
    <n v="11.551485689333335"/>
    <n v="2.7517937113333337"/>
    <e v="#N/A"/>
    <e v="#N/A"/>
    <n v="5996.4318321277224"/>
    <n v="99.976219912295079"/>
    <n v="111.52770560162841"/>
    <n v="114.27949931296172"/>
    <n v="166486.45066666661"/>
    <n v="59.453333333367482"/>
    <n v="15.280000000000001"/>
    <n v="3.7285143106666663"/>
    <n v="3.6400000000000006"/>
    <n v="0.88820628866666684"/>
    <n v="1"/>
  </r>
  <r>
    <m/>
    <s v="CERRADO"/>
    <s v="L12:Loja Monte Carmelo"/>
    <s v="ROMARIA"/>
    <s v="2018/2019"/>
    <d v="2018-06-27T00:00:00"/>
    <x v="526"/>
    <s v="0212 F1"/>
    <n v="20090"/>
    <s v="kg"/>
    <s v="ARÁBICA"/>
    <s v="Green"/>
    <n v="55.000000000000007"/>
    <m/>
    <s v="RA"/>
    <s v="29/06/2018"/>
    <n v="508.54120000000012"/>
    <n v="170337.48480000003"/>
    <s v="BRL"/>
    <n v="3.8552"/>
    <n v="19724.179850666667"/>
    <n v="4698.6920586666674"/>
    <s v="BRL"/>
    <n v="3.8552"/>
    <n v="20090"/>
    <n v="0"/>
    <n v="5116.253333333334"/>
    <n v="1218.7933333333335"/>
    <n v="11.551485689333335"/>
    <n v="2.7517937113333337"/>
    <e v="#N/A"/>
    <e v="#N/A"/>
    <n v="5983.3577544782129"/>
    <n v="99.758318618136585"/>
    <n v="111.30980430746992"/>
    <n v="114.06159801880324"/>
    <n v="170276.54513333336"/>
    <n v="60.939666666672565"/>
    <n v="15.280000000000001"/>
    <n v="3.7285143106666663"/>
    <n v="3.640000000000001"/>
    <n v="0.88820628866666729"/>
    <n v="1"/>
  </r>
  <r>
    <m/>
    <s v="CERRADO"/>
    <s v="L18:Loja Serra do Salitre"/>
    <s v="SERRA DO SALITRE"/>
    <s v="2018/2019"/>
    <d v="2018-06-22T00:00:00"/>
    <x v="527"/>
    <s v="0125 F1"/>
    <n v="15340"/>
    <s v="kg"/>
    <s v="ARÁBICA"/>
    <s v="Green"/>
    <n v="55.000000000000007"/>
    <m/>
    <s v="RA"/>
    <s v="27/06/2018"/>
    <n v="452.5274"/>
    <n v="116840.178"/>
    <s v="BRL"/>
    <n v="3.8351999999999999"/>
    <n v="14982.541184"/>
    <n v="3569.139392"/>
    <s v="BRL"/>
    <n v="3.8351999999999999"/>
    <n v="15340"/>
    <n v="0"/>
    <n v="3906.5866666666666"/>
    <n v="930.62666666666667"/>
    <n v="11.551485689333333"/>
    <n v="2.7517937113333333"/>
    <e v="#N/A"/>
    <e v="#N/A"/>
    <n v="5352.0800963688453"/>
    <n v="90.083359526986868"/>
    <n v="101.63484521632017"/>
    <n v="104.38663892765352"/>
    <n v="115696.17193333333"/>
    <n v="1144.0060666666686"/>
    <n v="15.28"/>
    <n v="3.7285143106666663"/>
    <n v="3.64"/>
    <n v="0.88820628866666684"/>
    <n v="1"/>
  </r>
  <r>
    <m/>
    <s v="CERRADO"/>
    <s v="L18:Loja Serra do Salitre"/>
    <s v="SERRA DO SALITRE"/>
    <s v="2018/2019"/>
    <d v="2018-06-25T00:00:00"/>
    <x v="528"/>
    <s v="0125 F1"/>
    <n v="14720"/>
    <s v="kg"/>
    <s v="ARÁBICA"/>
    <s v="Green"/>
    <n v="55.000000000000007"/>
    <m/>
    <s v="RA"/>
    <s v="27/06/2018"/>
    <n v="453.5915"/>
    <n v="112183.91680000001"/>
    <s v="BRL"/>
    <n v="3.8351999999999999"/>
    <n v="14376.988671999999"/>
    <n v="3424.8847360000004"/>
    <s v="BRL"/>
    <n v="3.8351999999999999"/>
    <n v="14720"/>
    <n v="0"/>
    <n v="3748.6933333333332"/>
    <n v="893.01333333333343"/>
    <n v="11.551485689333335"/>
    <n v="2.7517937113333337"/>
    <e v="#N/A"/>
    <e v="#N/A"/>
    <n v="5364.6652976860405"/>
    <n v="90.136463139348677"/>
    <n v="101.68794882868202"/>
    <n v="104.43974254001536"/>
    <n v="111281.11466666666"/>
    <n v="902.80213333334541"/>
    <n v="15.28"/>
    <n v="3.7285143106666645"/>
    <n v="3.6400000000000006"/>
    <n v="0.88820628866666684"/>
    <n v="1"/>
  </r>
  <r>
    <m/>
    <s v="CERRADO"/>
    <s v="L18:Loja Serra do Salitre"/>
    <s v="SERRA DO SALITRE"/>
    <s v="2018/2019"/>
    <d v="2018-06-21T00:00:00"/>
    <x v="529"/>
    <s v="0125 F1"/>
    <n v="15050"/>
    <s v="kg"/>
    <s v="ARÁBICA"/>
    <s v="Green"/>
    <n v="55.000000000000007"/>
    <m/>
    <s v="RA"/>
    <d v="2018-10-07T00:00:00"/>
    <n v="446.67179999999996"/>
    <n v="113957.8475"/>
    <s v="BRL"/>
    <n v="3.8445999999999998"/>
    <n v="14735.326573333332"/>
    <n v="3510.2479533333335"/>
    <s v="BRL"/>
    <n v="3.8445999999999998"/>
    <n v="15050"/>
    <n v="0"/>
    <n v="3832.7333333333331"/>
    <n v="913.03333333333342"/>
    <n v="11.551485689333333"/>
    <n v="2.7517937113333337"/>
    <n v="4.1306000000000003"/>
    <n v="109.55"/>
    <n v="5269.9089729533898"/>
    <n v="89.335138792631227"/>
    <n v="100.88662448196456"/>
    <n v="103.63841819329789"/>
    <n v="112040.1765"/>
    <n v="1917.6710000000021"/>
    <n v="15.28"/>
    <n v="3.7285143106666663"/>
    <n v="3.6400000000000006"/>
    <n v="0.88820628866666684"/>
    <n v="1"/>
  </r>
  <r>
    <m/>
    <s v="CERRADO"/>
    <s v="L18:Loja Serra do Salitre"/>
    <s v="CRUZEIRO DA FORTALEZA"/>
    <s v="2018/2019"/>
    <d v="2018-07-02T00:00:00"/>
    <x v="530"/>
    <s v="0345 F1"/>
    <n v="2105"/>
    <s v="kg"/>
    <s v="ARÁBICA"/>
    <s v="Green"/>
    <n v="45"/>
    <m/>
    <s v="RA"/>
    <d v="2018-10-07T00:00:00"/>
    <n v="489.78762999999998"/>
    <n v="17184.588500000002"/>
    <s v="BRL"/>
    <n v="3.8445999999999998"/>
    <n v="1686.0172916666668"/>
    <n v="401.94652233333329"/>
    <s v="BRL"/>
    <n v="3.8445999999999998"/>
    <n v="2105"/>
    <n v="0"/>
    <n v="438.54166666666674"/>
    <n v="104.54833333333333"/>
    <n v="9.4498410416666694"/>
    <n v="2.2528421043333333"/>
    <n v="4.1306000000000003"/>
    <n v="109.55"/>
    <n v="5778.5967821979693"/>
    <n v="96.316704753914593"/>
    <n v="105.76654579558128"/>
    <n v="108.01938789991461"/>
    <n v="17183.382685833334"/>
    <n v="1.205814166667551"/>
    <n v="12.500000000000002"/>
    <n v="3.0501589583333324"/>
    <n v="2.98"/>
    <n v="0.72715789566666666"/>
    <n v="1"/>
  </r>
  <r>
    <m/>
    <s v="CERRADO"/>
    <s v="L15:Loja Rio Paranaíba"/>
    <s v="SAO GOTARDO"/>
    <s v="2018/2019"/>
    <d v="2018-07-09T00:00:00"/>
    <x v="531"/>
    <s v="0846 F1"/>
    <n v="11731"/>
    <s v="kg"/>
    <s v="ARÁBICA"/>
    <s v="Green"/>
    <n v="55.000000000000007"/>
    <m/>
    <s v="RA"/>
    <d v="2018-12-07T00:00:00"/>
    <n v="531.25919999999996"/>
    <n v="103888.09366"/>
    <s v="BRL"/>
    <n v="3.8557999999999999"/>
    <n v="11519.181935733333"/>
    <n v="2744.0983145333335"/>
    <s v="BRL"/>
    <n v="3.8557999999999999"/>
    <n v="11731"/>
    <n v="0"/>
    <n v="2987.4946666666669"/>
    <n v="711.68066666666675"/>
    <n v="11.551485689333335"/>
    <n v="2.7517937113333333"/>
    <n v="4.1306000000000003"/>
    <n v="109.55"/>
    <n v="6249.6789152005813"/>
    <n v="104.17943165590022"/>
    <n v="115.73091734523355"/>
    <n v="118.48271105656687"/>
    <n v="103870.02791999999"/>
    <n v="18.065740000005462"/>
    <n v="15.28"/>
    <n v="3.7285143106666645"/>
    <n v="3.6400000000000006"/>
    <n v="0.88820628866666729"/>
    <n v="1"/>
  </r>
  <r>
    <m/>
    <s v="CERRADO"/>
    <s v="L15:Loja Rio Paranaíba"/>
    <s v="SAO GOTARDO"/>
    <s v="2018/2019"/>
    <d v="2018-07-09T00:00:00"/>
    <x v="532"/>
    <s v="0846 F1"/>
    <n v="4929"/>
    <s v="kg"/>
    <s v="ARÁBICA"/>
    <s v="Green"/>
    <n v="55.000000000000007"/>
    <m/>
    <s v="RA"/>
    <d v="2018-12-07T00:00:00"/>
    <n v="537.65819999999997"/>
    <n v="44176.211790000001"/>
    <s v="BRL"/>
    <n v="3.8557999999999999"/>
    <n v="4840.0006616000001"/>
    <n v="1152.9844508000001"/>
    <s v="BRL"/>
    <n v="3.8557999999999999"/>
    <n v="4929"/>
    <n v="0"/>
    <n v="1255.252"/>
    <n v="299.02600000000001"/>
    <n v="11.551485689333335"/>
    <n v="2.7517937113333337"/>
    <n v="4.1306000000000003"/>
    <n v="109.55"/>
    <n v="6324.9560969950207"/>
    <n v="105.43405135247421"/>
    <n v="116.98553704180756"/>
    <n v="119.73733075314088"/>
    <n v="44168.62113"/>
    <n v="7.5906600000016624"/>
    <n v="15.28"/>
    <n v="3.7285143106666645"/>
    <n v="3.6400000000000006"/>
    <n v="0.88820628866666684"/>
    <n v="1"/>
  </r>
  <r>
    <m/>
    <s v="CERRADO"/>
    <s v="307:Unidade Avançada Patrocínio"/>
    <s v="PATROCINIO"/>
    <s v="2018/2019"/>
    <d v="2018-07-05T00:00:00"/>
    <x v="533"/>
    <s v="1087 F1"/>
    <n v="12005"/>
    <s v="kg"/>
    <s v="ARÁBICA"/>
    <s v="Green"/>
    <n v="45"/>
    <m/>
    <s v="RA"/>
    <d v="2018-11-07T00:00:00"/>
    <n v="685.88159999999993"/>
    <n v="137248.48305000001"/>
    <s v="BRL"/>
    <n v="3.8411"/>
    <n v="9606.7511458333338"/>
    <n v="2290.2494731666666"/>
    <s v="BRL"/>
    <n v="3.8411"/>
    <n v="12005"/>
    <n v="0"/>
    <n v="2501.041666666667"/>
    <n v="596.24833333333333"/>
    <n v="9.4498410416666676"/>
    <n v="2.2528421043333333"/>
    <n v="4.1306000000000003"/>
    <n v="109.55"/>
    <n v="8099.5199417716794"/>
    <n v="135.00676017770172"/>
    <n v="144.45660121936839"/>
    <n v="146.70944332370175"/>
    <n v="137233.47679999997"/>
    <n v="15.006250000034925"/>
    <n v="12.5"/>
    <n v="3.0501589583333324"/>
    <n v="2.98"/>
    <n v="0.72715789566666666"/>
    <n v="1"/>
  </r>
  <r>
    <m/>
    <s v="CERRADO"/>
    <s v="306:Unidade Avançada Campos Altos"/>
    <s v="CAMPOS ALTOS"/>
    <s v="2018/2019"/>
    <d v="2018-07-10T00:00:00"/>
    <x v="534"/>
    <s v="1505 F1"/>
    <n v="14000"/>
    <s v="kg"/>
    <s v="ARÁBICA"/>
    <s v="Green"/>
    <n v="55.000000000000007"/>
    <m/>
    <s v="RA"/>
    <d v="2018-11-07T00:00:00"/>
    <n v="445.62080000000003"/>
    <n v="105331.52000000002"/>
    <s v="BRL"/>
    <n v="3.8679999999999999"/>
    <n v="13790.709333333332"/>
    <n v="3285.2213333333334"/>
    <s v="BRL"/>
    <n v="3.8679999999999999"/>
    <n v="14000"/>
    <n v="0"/>
    <n v="3565.333333333333"/>
    <n v="849.33333333333337"/>
    <n v="11.551485689333331"/>
    <n v="2.7517937113333337"/>
    <n v="4.1306000000000003"/>
    <n v="109.55"/>
    <n v="5225.7030711813859"/>
    <n v="88.228641218242018"/>
    <n v="99.780126907575351"/>
    <n v="102.53192061890867"/>
    <n v="103978.18666666668"/>
    <n v="1353.333333333343"/>
    <n v="15.280000000000001"/>
    <n v="3.7285143106666698"/>
    <n v="3.64"/>
    <n v="0.8882062886666664"/>
    <n v="1"/>
  </r>
  <r>
    <m/>
    <s v="CERRADO"/>
    <s v="306:Unidade Avançada Campos Altos"/>
    <s v="CAMPOS ALTOS"/>
    <s v="2018/2019"/>
    <d v="2018-07-10T00:00:00"/>
    <x v="535"/>
    <s v="1505 F1"/>
    <n v="3840"/>
    <s v="kg"/>
    <s v="ARÁBICA"/>
    <s v="Green"/>
    <n v="55.000000000000007"/>
    <m/>
    <s v="RA"/>
    <d v="2018-11-07T00:00:00"/>
    <n v="445.62079999999997"/>
    <n v="28890.931199999999"/>
    <s v="BRL"/>
    <n v="3.8679999999999999"/>
    <n v="3782.5945599999995"/>
    <n v="901.08928000000003"/>
    <s v="BRL"/>
    <n v="3.8679999999999999"/>
    <n v="3840"/>
    <n v="0"/>
    <n v="977.92"/>
    <n v="232.96"/>
    <n v="11.551485689333333"/>
    <n v="2.7517937113333337"/>
    <n v="4.1306000000000003"/>
    <n v="109.55"/>
    <n v="5225.7030711813859"/>
    <n v="88.228641218241989"/>
    <n v="99.780126907575337"/>
    <n v="102.53192061890866"/>
    <n v="28519.731199999998"/>
    <n v="371.20000000000073"/>
    <n v="15.28"/>
    <n v="3.7285143106666663"/>
    <n v="3.64"/>
    <n v="0.8882062886666664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8">
  <r>
    <m/>
    <s v="CERRADO"/>
    <x v="0"/>
    <n v="2725"/>
    <x v="0"/>
    <d v="2018-12-05T00:00:00"/>
    <x v="0"/>
    <n v="1499"/>
    <x v="0"/>
    <n v="21000"/>
    <d v="2018-12-11T00:00:00"/>
    <s v="002-4600-0828"/>
    <n v="4615466871"/>
    <d v="2018-12-28T00:00:00"/>
    <n v="3.8742000000000001"/>
    <n v="1"/>
    <n v="17300"/>
    <n v="1"/>
    <n v="1383.2487309644671"/>
    <n v="1.0834999999999999"/>
    <n v="1"/>
    <n v="19175"/>
    <n v="6763.7822038320437"/>
    <n v="0"/>
    <x v="0"/>
    <b v="1"/>
  </r>
  <r>
    <m/>
    <s v="CERRADO"/>
    <x v="1"/>
    <n v="710"/>
    <x v="0"/>
    <d v="2018-12-05T00:00:00"/>
    <x v="0"/>
    <n v="320"/>
    <x v="0"/>
    <n v="21000"/>
    <d v="2018-12-11T00:00:00"/>
    <s v="002-4600-0828"/>
    <n v="4615466871"/>
    <d v="2018-12-28T00:00:00"/>
    <n v="3.8742000000000001"/>
    <n v="1"/>
    <n v="710"/>
    <n v="1"/>
    <n v="360.40609137055839"/>
    <n v="0.88788732394366199"/>
    <n v="1"/>
    <n v="19175"/>
    <n v="6763.7822038320437"/>
    <n v="0"/>
    <x v="1"/>
    <b v="1"/>
  </r>
  <r>
    <m/>
    <s v="CERRADO"/>
    <x v="2"/>
    <n v="720"/>
    <x v="0"/>
    <d v="2018-12-05T00:00:00"/>
    <x v="0"/>
    <n v="324"/>
    <x v="0"/>
    <n v="21000"/>
    <d v="2018-12-11T00:00:00"/>
    <s v="002-4600-0828"/>
    <n v="4615466871"/>
    <d v="2018-12-28T00:00:00"/>
    <n v="3.8742000000000001"/>
    <n v="1"/>
    <n v="720"/>
    <n v="1"/>
    <n v="365.48223350253807"/>
    <n v="0.88650000000000007"/>
    <n v="1"/>
    <n v="19175"/>
    <n v="6763.7822038320437"/>
    <n v="0"/>
    <x v="2"/>
    <b v="1"/>
  </r>
  <r>
    <m/>
    <s v="CERRADO"/>
    <x v="3"/>
    <n v="6000"/>
    <x v="0"/>
    <d v="2018-12-05T00:00:00"/>
    <x v="0"/>
    <n v="2700"/>
    <x v="0"/>
    <n v="21000"/>
    <d v="2018-12-11T00:00:00"/>
    <s v="002-4600-0828"/>
    <n v="4615466871"/>
    <d v="2018-12-28T00:00:00"/>
    <n v="3.8742000000000001"/>
    <n v="1"/>
    <n v="6000"/>
    <n v="1"/>
    <n v="3045.6852791878173"/>
    <n v="0.88649999999999995"/>
    <n v="1"/>
    <n v="19175"/>
    <n v="6763.7822038320437"/>
    <n v="0"/>
    <x v="2"/>
    <b v="1"/>
  </r>
  <r>
    <m/>
    <s v="CERRADO"/>
    <x v="4"/>
    <n v="2154"/>
    <x v="0"/>
    <d v="2018-12-05T00:00:00"/>
    <x v="0"/>
    <n v="969"/>
    <x v="0"/>
    <n v="21000"/>
    <d v="2018-12-11T00:00:00"/>
    <s v="002-4600-0828"/>
    <n v="4615466871"/>
    <d v="2018-12-28T00:00:00"/>
    <n v="3.8742000000000001"/>
    <n v="1"/>
    <n v="2154"/>
    <n v="1"/>
    <n v="1093.4010152284263"/>
    <n v="0.88622562674094718"/>
    <n v="1"/>
    <n v="19175"/>
    <n v="6763.7822038320437"/>
    <n v="0"/>
    <x v="3"/>
    <b v="1"/>
  </r>
  <r>
    <m/>
    <s v="CERRADO"/>
    <x v="5"/>
    <n v="550"/>
    <x v="0"/>
    <d v="2018-12-05T00:00:00"/>
    <x v="0"/>
    <n v="303"/>
    <x v="0"/>
    <n v="21000"/>
    <d v="2018-12-11T00:00:00"/>
    <s v="002-4600-0828"/>
    <n v="4615466871"/>
    <d v="2018-12-28T00:00:00"/>
    <n v="3.8742000000000001"/>
    <n v="1"/>
    <n v="550"/>
    <n v="1"/>
    <n v="279.18781725888323"/>
    <n v="1.0852909090909091"/>
    <n v="1"/>
    <n v="19175"/>
    <n v="6763.7822038320437"/>
    <n v="0"/>
    <x v="4"/>
    <b v="1"/>
  </r>
  <r>
    <m/>
    <s v="CERRADO"/>
    <x v="6"/>
    <n v="3768"/>
    <x v="0"/>
    <d v="2018-12-05T00:00:00"/>
    <x v="0"/>
    <n v="2072"/>
    <x v="0"/>
    <n v="21000"/>
    <d v="2018-12-11T00:00:00"/>
    <s v="002-4600-0828"/>
    <n v="4615466871"/>
    <d v="2018-12-28T00:00:00"/>
    <n v="3.8742000000000001"/>
    <n v="1"/>
    <n v="3768"/>
    <n v="1"/>
    <n v="1912.6903553299492"/>
    <n v="1.0832908704883228"/>
    <n v="1"/>
    <n v="19175"/>
    <n v="6763.7822038320437"/>
    <n v="0"/>
    <x v="5"/>
    <b v="1"/>
  </r>
  <r>
    <m/>
    <s v="CERRADO"/>
    <x v="7"/>
    <n v="5080"/>
    <x v="0"/>
    <d v="2018-12-05T00:00:00"/>
    <x v="0"/>
    <n v="2794"/>
    <x v="0"/>
    <n v="21000"/>
    <d v="2018-12-11T00:00:00"/>
    <s v="002-4600-0828"/>
    <n v="4615466871"/>
    <d v="2018-12-28T00:00:00"/>
    <n v="3.8742000000000001"/>
    <n v="1"/>
    <n v="5080"/>
    <n v="1"/>
    <n v="2578.6802030456852"/>
    <n v="1.0835000000000001"/>
    <n v="1"/>
    <n v="19175"/>
    <n v="6763.7822038320437"/>
    <n v="0"/>
    <x v="6"/>
    <b v="1"/>
  </r>
  <r>
    <m/>
    <s v="CERRADO"/>
    <x v="8"/>
    <n v="1981"/>
    <x v="0"/>
    <d v="2018-12-05T00:00:00"/>
    <x v="0"/>
    <n v="1090"/>
    <x v="0"/>
    <n v="21000"/>
    <d v="2018-12-11T00:00:00"/>
    <s v="002-4600-0828"/>
    <n v="4615466871"/>
    <d v="2018-12-28T00:00:00"/>
    <n v="3.8742000000000001"/>
    <n v="1"/>
    <n v="1981"/>
    <n v="1"/>
    <n v="1005.5837563451777"/>
    <n v="1.0839475012619888"/>
    <n v="1"/>
    <n v="19175"/>
    <n v="6763.7822038320437"/>
    <n v="0"/>
    <x v="7"/>
    <b v="1"/>
  </r>
  <r>
    <m/>
    <s v="CERRADO"/>
    <x v="9"/>
    <n v="841"/>
    <x v="0"/>
    <d v="2018-12-05T00:00:00"/>
    <x v="0"/>
    <n v="463"/>
    <x v="0"/>
    <n v="21000"/>
    <d v="2018-12-11T00:00:00"/>
    <s v="002-4600-0828"/>
    <n v="4615466871"/>
    <d v="2018-12-28T00:00:00"/>
    <n v="3.8742000000000001"/>
    <n v="1"/>
    <n v="841"/>
    <n v="1"/>
    <n v="426.90355329949239"/>
    <n v="1.0845541022592151"/>
    <n v="1"/>
    <n v="19175"/>
    <n v="6763.7822038320437"/>
    <n v="0"/>
    <x v="8"/>
    <b v="1"/>
  </r>
  <r>
    <m/>
    <s v="CERRADO"/>
    <x v="10"/>
    <n v="13560"/>
    <x v="0"/>
    <d v="2018-12-05T00:00:00"/>
    <x v="0"/>
    <n v="6102"/>
    <x v="0"/>
    <n v="21000"/>
    <d v="2018-12-11T00:00:00"/>
    <s v="002-4600-0828"/>
    <n v="4615466871"/>
    <d v="2018-12-28T00:00:00"/>
    <n v="3.8742000000000001"/>
    <n v="1"/>
    <n v="13560"/>
    <n v="1"/>
    <n v="6883.2487309644675"/>
    <n v="0.88649999999999995"/>
    <n v="1"/>
    <n v="19175"/>
    <n v="6763.7822038320437"/>
    <n v="0"/>
    <x v="2"/>
    <b v="1"/>
  </r>
  <r>
    <m/>
    <s v="CERRADO"/>
    <x v="11"/>
    <n v="2600"/>
    <x v="0"/>
    <d v="2018-12-05T00:00:00"/>
    <x v="0"/>
    <n v="1170"/>
    <x v="0"/>
    <n v="21000"/>
    <d v="2018-12-11T00:00:00"/>
    <s v="002-4600-0828"/>
    <n v="4615466871"/>
    <d v="2018-12-28T00:00:00"/>
    <n v="3.8742000000000001"/>
    <n v="1"/>
    <n v="2600"/>
    <n v="1"/>
    <n v="1319.7969543147208"/>
    <n v="0.88650000000000007"/>
    <n v="1"/>
    <n v="19175"/>
    <n v="6763.7822038320437"/>
    <n v="0"/>
    <x v="2"/>
    <b v="1"/>
  </r>
  <r>
    <m/>
    <s v="CERRADO"/>
    <x v="12"/>
    <n v="2171"/>
    <x v="0"/>
    <d v="2018-12-05T00:00:00"/>
    <x v="0"/>
    <n v="1194"/>
    <x v="0"/>
    <n v="21000"/>
    <d v="2018-12-11T00:00:00"/>
    <s v="002-4600-0828"/>
    <n v="4615466871"/>
    <d v="2018-12-28T00:00:00"/>
    <n v="3.8742000000000001"/>
    <n v="1"/>
    <n v="10095"/>
    <n v="1"/>
    <n v="1102.030456852792"/>
    <n v="1.0834512134720158"/>
    <n v="1"/>
    <n v="19175"/>
    <n v="6763.7822038320437"/>
    <n v="0"/>
    <x v="9"/>
    <b v="1"/>
  </r>
  <r>
    <m/>
    <s v="CERRADO"/>
    <x v="13"/>
    <n v="692"/>
    <x v="0"/>
    <d v="2018-12-05T00:00:00"/>
    <x v="0"/>
    <n v="311"/>
    <x v="1"/>
    <n v="21000"/>
    <d v="2018-12-11T00:00:00"/>
    <s v="002-4600-0829"/>
    <n v="4615466871"/>
    <d v="2018-12-28T00:00:00"/>
    <n v="3.8742000000000001"/>
    <n v="1"/>
    <n v="11612"/>
    <n v="1"/>
    <n v="351.26903553299491"/>
    <n v="0.88643213916637964"/>
    <n v="1"/>
    <n v="19175"/>
    <n v="6763.7822038320437"/>
    <n v="0"/>
    <x v="10"/>
    <b v="1"/>
  </r>
  <r>
    <m/>
    <s v="CERRADO"/>
    <x v="14"/>
    <n v="7280"/>
    <x v="0"/>
    <d v="2018-12-05T00:00:00"/>
    <x v="0"/>
    <n v="3276"/>
    <x v="1"/>
    <n v="21000"/>
    <d v="2018-12-11T00:00:00"/>
    <s v="002-4600-0829"/>
    <n v="4615466871"/>
    <d v="2018-12-28T00:00:00"/>
    <n v="3.8742000000000001"/>
    <n v="1"/>
    <n v="7280"/>
    <n v="1"/>
    <n v="3695.4314720812185"/>
    <n v="0.88649999999999995"/>
    <n v="1"/>
    <n v="19175"/>
    <n v="6763.7822038320437"/>
    <n v="0"/>
    <x v="2"/>
    <b v="1"/>
  </r>
  <r>
    <m/>
    <s v="CERRADO"/>
    <x v="15"/>
    <n v="9040"/>
    <x v="0"/>
    <d v="2018-12-05T00:00:00"/>
    <x v="0"/>
    <n v="4972"/>
    <x v="1"/>
    <n v="21000"/>
    <d v="2018-12-11T00:00:00"/>
    <s v="002-4600-0829"/>
    <n v="4615466871"/>
    <d v="2018-12-28T00:00:00"/>
    <n v="3.8742000000000001"/>
    <n v="1"/>
    <n v="9040"/>
    <n v="1"/>
    <n v="4588.8324873096444"/>
    <n v="1.0835000000000001"/>
    <n v="1"/>
    <n v="19175"/>
    <n v="6763.7822038320437"/>
    <n v="0"/>
    <x v="6"/>
    <b v="1"/>
  </r>
  <r>
    <m/>
    <s v="CERRADO"/>
    <x v="16"/>
    <n v="1978"/>
    <x v="0"/>
    <d v="2018-12-05T00:00:00"/>
    <x v="0"/>
    <n v="1088"/>
    <x v="1"/>
    <n v="21000"/>
    <d v="2018-12-11T00:00:00"/>
    <s v="002-4600-0829"/>
    <n v="4615466871"/>
    <d v="2018-12-28T00:00:00"/>
    <n v="3.8742000000000001"/>
    <n v="1"/>
    <n v="1978"/>
    <n v="1"/>
    <n v="1004.0609137055837"/>
    <n v="1.0835995955510618"/>
    <n v="1"/>
    <n v="19175"/>
    <n v="6763.7822038320437"/>
    <n v="0"/>
    <x v="11"/>
    <b v="1"/>
  </r>
  <r>
    <m/>
    <s v="CERRADO"/>
    <x v="17"/>
    <n v="9020"/>
    <x v="0"/>
    <d v="2018-12-05T00:00:00"/>
    <x v="0"/>
    <n v="4961"/>
    <x v="1"/>
    <n v="21000"/>
    <d v="2018-12-11T00:00:00"/>
    <s v="002-4600-0829"/>
    <n v="4615466871"/>
    <d v="2018-12-28T00:00:00"/>
    <n v="3.8742000000000001"/>
    <n v="1"/>
    <n v="9020"/>
    <n v="1"/>
    <n v="4578.6802030456856"/>
    <n v="1.0834999999999999"/>
    <n v="1"/>
    <n v="19175"/>
    <n v="6763.7822038320437"/>
    <n v="0"/>
    <x v="6"/>
    <b v="1"/>
  </r>
  <r>
    <m/>
    <s v="CERRADO"/>
    <x v="18"/>
    <n v="4843"/>
    <x v="0"/>
    <d v="2018-12-05T00:00:00"/>
    <x v="0"/>
    <n v="2179"/>
    <x v="1"/>
    <n v="21000"/>
    <d v="2018-12-11T00:00:00"/>
    <s v="002-4600-0829"/>
    <n v="4615466871"/>
    <d v="2018-12-28T00:00:00"/>
    <n v="3.8742000000000001"/>
    <n v="1"/>
    <n v="4843"/>
    <n v="1"/>
    <n v="2458.3756345177667"/>
    <n v="0.88635762956844921"/>
    <n v="1"/>
    <n v="19175"/>
    <n v="6763.7822038320437"/>
    <n v="0"/>
    <x v="12"/>
    <b v="1"/>
  </r>
  <r>
    <m/>
    <s v="CERRADO"/>
    <x v="19"/>
    <n v="4792"/>
    <x v="0"/>
    <d v="2018-12-05T00:00:00"/>
    <x v="0"/>
    <n v="2636"/>
    <x v="1"/>
    <n v="21000"/>
    <d v="2018-12-11T00:00:00"/>
    <s v="002-4600-0829"/>
    <n v="4615466871"/>
    <d v="2018-12-28T00:00:00"/>
    <n v="3.8742000000000001"/>
    <n v="1"/>
    <n v="4792"/>
    <n v="1"/>
    <n v="2432.4873096446699"/>
    <n v="1.0836644407345577"/>
    <n v="1"/>
    <n v="19175"/>
    <n v="6763.7822038320437"/>
    <n v="0"/>
    <x v="13"/>
    <b v="1"/>
  </r>
  <r>
    <m/>
    <s v="CERRADO"/>
    <x v="20"/>
    <n v="1558"/>
    <x v="0"/>
    <d v="2018-12-05T00:00:00"/>
    <x v="0"/>
    <n v="857"/>
    <x v="1"/>
    <n v="21000"/>
    <d v="2018-12-11T00:00:00"/>
    <s v="002-4600-0829"/>
    <n v="4615466871"/>
    <d v="2018-12-28T00:00:00"/>
    <n v="3.8742000000000001"/>
    <n v="1"/>
    <n v="1558"/>
    <n v="1"/>
    <n v="790.86294416243652"/>
    <n v="1.0836264441591785"/>
    <n v="1"/>
    <n v="19175"/>
    <n v="6763.7822038320437"/>
    <n v="0"/>
    <x v="14"/>
    <b v="1"/>
  </r>
  <r>
    <m/>
    <s v="CERRADO"/>
    <x v="21"/>
    <n v="1600"/>
    <x v="0"/>
    <d v="2018-12-05T00:00:00"/>
    <x v="0"/>
    <n v="720"/>
    <x v="1"/>
    <n v="21000"/>
    <d v="2018-12-11T00:00:00"/>
    <s v="002-4600-0829"/>
    <n v="4615466871"/>
    <d v="2018-12-28T00:00:00"/>
    <n v="3.8742000000000001"/>
    <n v="1"/>
    <n v="8400"/>
    <n v="1"/>
    <n v="812.18274111675123"/>
    <n v="0.88650000000000007"/>
    <n v="1"/>
    <n v="19175"/>
    <n v="6763.7822038320437"/>
    <n v="0"/>
    <x v="2"/>
    <b v="1"/>
  </r>
  <r>
    <m/>
    <s v="CERRADO"/>
    <x v="22"/>
    <n v="14855"/>
    <x v="0"/>
    <d v="2018-12-05T00:00:00"/>
    <x v="0"/>
    <n v="8170"/>
    <x v="2"/>
    <n v="21000"/>
    <d v="2018-12-11T00:00:00"/>
    <s v="002-4600-0830"/>
    <n v="4615466871"/>
    <d v="2018-12-28T00:00:00"/>
    <n v="3.8742000000000001"/>
    <n v="1"/>
    <n v="16990"/>
    <n v="1"/>
    <n v="7540.6091370558379"/>
    <n v="1.0834420247204237"/>
    <n v="1"/>
    <n v="19175"/>
    <n v="6763.7822038320437"/>
    <n v="0"/>
    <x v="15"/>
    <b v="1"/>
  </r>
  <r>
    <m/>
    <s v="CERRADO"/>
    <x v="23"/>
    <n v="13310"/>
    <x v="0"/>
    <d v="2018-12-05T00:00:00"/>
    <x v="0"/>
    <n v="5990"/>
    <x v="2"/>
    <n v="21000"/>
    <d v="2018-12-11T00:00:00"/>
    <s v="002-4600-0830"/>
    <n v="4615466871"/>
    <d v="2018-12-28T00:00:00"/>
    <n v="3.8742000000000001"/>
    <n v="1"/>
    <n v="13310"/>
    <n v="1"/>
    <n v="6756.3451776649745"/>
    <n v="0.88657400450788881"/>
    <n v="1"/>
    <n v="19175"/>
    <n v="6763.7822038320437"/>
    <n v="0"/>
    <x v="16"/>
    <b v="1"/>
  </r>
  <r>
    <m/>
    <s v="CERRADO"/>
    <x v="24"/>
    <n v="7080"/>
    <x v="0"/>
    <d v="2018-12-05T00:00:00"/>
    <x v="0"/>
    <n v="3186"/>
    <x v="2"/>
    <n v="21000"/>
    <d v="2018-12-11T00:00:00"/>
    <s v="002-4600-0830"/>
    <n v="4615466871"/>
    <d v="2018-12-28T00:00:00"/>
    <n v="3.8742000000000001"/>
    <n v="1"/>
    <n v="7080"/>
    <n v="1"/>
    <n v="3593.9086294416243"/>
    <n v="0.88650000000000007"/>
    <n v="1"/>
    <n v="19175"/>
    <n v="6763.7822038320437"/>
    <n v="0"/>
    <x v="2"/>
    <b v="1"/>
  </r>
  <r>
    <m/>
    <s v="CERRADO"/>
    <x v="25"/>
    <n v="1140"/>
    <x v="0"/>
    <d v="2018-12-05T00:00:00"/>
    <x v="0"/>
    <n v="513"/>
    <x v="2"/>
    <n v="21000"/>
    <d v="2018-12-11T00:00:00"/>
    <s v="002-4600-0830"/>
    <n v="4615466871"/>
    <d v="2018-12-28T00:00:00"/>
    <n v="3.8742000000000001"/>
    <n v="1"/>
    <n v="1140"/>
    <n v="1"/>
    <n v="578.68020304568529"/>
    <n v="0.88649999999999995"/>
    <n v="1"/>
    <n v="19175"/>
    <n v="6763.7822038320437"/>
    <n v="0"/>
    <x v="2"/>
    <b v="1"/>
  </r>
  <r>
    <m/>
    <s v="CERRADO"/>
    <x v="26"/>
    <n v="6370"/>
    <x v="0"/>
    <d v="2018-12-05T00:00:00"/>
    <x v="0"/>
    <n v="2867"/>
    <x v="2"/>
    <n v="21000"/>
    <d v="2018-12-11T00:00:00"/>
    <s v="002-4600-0830"/>
    <n v="4615466871"/>
    <d v="2018-12-28T00:00:00"/>
    <n v="3.8742000000000001"/>
    <n v="1"/>
    <n v="6370"/>
    <n v="1"/>
    <n v="3233.5025380710658"/>
    <n v="0.88665463108320253"/>
    <n v="1"/>
    <n v="19175"/>
    <n v="6763.7822038320437"/>
    <n v="0"/>
    <x v="17"/>
    <b v="1"/>
  </r>
  <r>
    <m/>
    <s v="CERRADO"/>
    <x v="27"/>
    <n v="609"/>
    <x v="0"/>
    <d v="2018-12-05T00:00:00"/>
    <x v="0"/>
    <n v="274"/>
    <x v="2"/>
    <n v="21000"/>
    <d v="2018-12-11T00:00:00"/>
    <s v="002-4600-0830"/>
    <n v="4615466871"/>
    <d v="2018-12-28T00:00:00"/>
    <n v="3.8742000000000001"/>
    <n v="1"/>
    <n v="9080"/>
    <n v="1"/>
    <n v="309.13705583756348"/>
    <n v="0.88649999999999995"/>
    <n v="1"/>
    <n v="19175"/>
    <n v="6763.7822038320437"/>
    <n v="0"/>
    <x v="18"/>
    <b v="1"/>
  </r>
  <r>
    <m/>
    <s v="CERRADO"/>
    <x v="28"/>
    <n v="455"/>
    <x v="0"/>
    <d v="2018-12-05T00:00:00"/>
    <x v="0"/>
    <n v="250"/>
    <x v="3"/>
    <n v="21000"/>
    <d v="2018-12-11T00:00:00"/>
    <s v="002-4600-0831"/>
    <n v="4615466871"/>
    <d v="2018-12-28T00:00:00"/>
    <n v="3.8742000000000001"/>
    <n v="1"/>
    <n v="9570"/>
    <n v="1"/>
    <n v="230.96446700507616"/>
    <n v="1.0833970741901775"/>
    <n v="1"/>
    <n v="19175"/>
    <n v="6763.7822038320437"/>
    <n v="0"/>
    <x v="19"/>
    <b v="1"/>
  </r>
  <r>
    <m/>
    <s v="CERRADO"/>
    <x v="29"/>
    <n v="6920"/>
    <x v="0"/>
    <d v="2018-12-05T00:00:00"/>
    <x v="0"/>
    <n v="3114"/>
    <x v="3"/>
    <n v="21000"/>
    <d v="2018-12-11T00:00:00"/>
    <s v="002-4600-0831"/>
    <n v="4615466871"/>
    <d v="2018-12-28T00:00:00"/>
    <n v="3.8742000000000001"/>
    <n v="1"/>
    <n v="6920"/>
    <n v="1"/>
    <n v="3512.6903553299494"/>
    <n v="0.88649999999999995"/>
    <n v="1"/>
    <n v="19175"/>
    <n v="6763.7822038320437"/>
    <n v="0"/>
    <x v="2"/>
    <b v="1"/>
  </r>
  <r>
    <m/>
    <s v="CERRADO"/>
    <x v="30"/>
    <n v="4936"/>
    <x v="0"/>
    <d v="2018-12-05T00:00:00"/>
    <x v="0"/>
    <n v="2715"/>
    <x v="3"/>
    <n v="21000"/>
    <d v="2018-12-11T00:00:00"/>
    <s v="002-4600-0831"/>
    <n v="4615466871"/>
    <d v="2018-12-28T00:00:00"/>
    <n v="3.8742000000000001"/>
    <n v="1"/>
    <n v="8784"/>
    <n v="1"/>
    <n v="2505.5837563451778"/>
    <n v="1.0834551457194899"/>
    <n v="1"/>
    <n v="19175"/>
    <n v="6763.7822038320437"/>
    <n v="0"/>
    <x v="20"/>
    <b v="1"/>
  </r>
  <r>
    <m/>
    <s v="CERRADO"/>
    <x v="30"/>
    <n v="3848"/>
    <x v="0"/>
    <d v="2018-12-05T00:00:00"/>
    <x v="0"/>
    <n v="2116"/>
    <x v="3"/>
    <n v="21000"/>
    <d v="2018-12-11T00:00:00"/>
    <s v="002-4600-0831"/>
    <n v="4615466871"/>
    <d v="2018-12-28T00:00:00"/>
    <n v="3.8742000000000001"/>
    <n v="1"/>
    <n v="8784"/>
    <n v="1"/>
    <n v="1953.2994923857868"/>
    <n v="1.0834551457194899"/>
    <n v="1"/>
    <n v="19175"/>
    <n v="6763.7822038320437"/>
    <n v="0"/>
    <x v="21"/>
    <b v="1"/>
  </r>
  <r>
    <m/>
    <s v="CERRADO"/>
    <x v="31"/>
    <n v="2822"/>
    <x v="0"/>
    <d v="2018-12-05T00:00:00"/>
    <x v="0"/>
    <n v="1552"/>
    <x v="3"/>
    <n v="21000"/>
    <d v="2018-12-11T00:00:00"/>
    <s v="002-4600-0831"/>
    <n v="4615466871"/>
    <d v="2018-12-28T00:00:00"/>
    <n v="3.8742000000000001"/>
    <n v="1"/>
    <n v="2822"/>
    <n v="1"/>
    <n v="1432.4873096446702"/>
    <n v="1.0834301913536497"/>
    <n v="1"/>
    <n v="19175"/>
    <n v="6763.7822038320437"/>
    <n v="0"/>
    <x v="22"/>
    <b v="1"/>
  </r>
  <r>
    <m/>
    <s v="CERRADO"/>
    <x v="32"/>
    <n v="16090"/>
    <x v="0"/>
    <d v="2018-12-05T00:00:00"/>
    <x v="0"/>
    <n v="8850"/>
    <x v="3"/>
    <n v="21000"/>
    <d v="2018-12-11T00:00:00"/>
    <s v="002-4600-0831"/>
    <n v="4615466871"/>
    <d v="2018-12-28T00:00:00"/>
    <n v="3.8742000000000001"/>
    <n v="1"/>
    <n v="16090"/>
    <n v="1"/>
    <n v="8167.5126903553301"/>
    <n v="1.0835612181479179"/>
    <n v="1"/>
    <n v="19175"/>
    <n v="6763.7822038320437"/>
    <n v="0"/>
    <x v="23"/>
    <b v="1"/>
  </r>
  <r>
    <m/>
    <s v="CERRADO"/>
    <x v="33"/>
    <n v="2041"/>
    <x v="0"/>
    <d v="2018-12-05T00:00:00"/>
    <x v="0"/>
    <n v="918"/>
    <x v="3"/>
    <n v="21000"/>
    <d v="2018-12-11T00:00:00"/>
    <s v="002-4600-0831"/>
    <n v="4615466871"/>
    <d v="2018-12-28T00:00:00"/>
    <n v="3.8742000000000001"/>
    <n v="1"/>
    <n v="2041"/>
    <n v="1"/>
    <n v="1036.0406091370558"/>
    <n v="0.88606565409113192"/>
    <n v="1"/>
    <n v="19175"/>
    <n v="6763.7822038320437"/>
    <n v="0"/>
    <x v="24"/>
    <b v="1"/>
  </r>
  <r>
    <m/>
    <s v="CERRADO"/>
    <x v="34"/>
    <n v="455"/>
    <x v="0"/>
    <d v="2018-12-05T00:00:00"/>
    <x v="0"/>
    <n v="250"/>
    <x v="3"/>
    <n v="21000"/>
    <d v="2018-12-11T00:00:00"/>
    <s v="002-4600-0831"/>
    <n v="4615466871"/>
    <d v="2018-12-28T00:00:00"/>
    <n v="3.8742000000000001"/>
    <n v="1"/>
    <n v="455"/>
    <n v="1"/>
    <n v="230.96446700507616"/>
    <n v="1.0824175824175823"/>
    <n v="1"/>
    <n v="19175"/>
    <n v="6763.7822038320437"/>
    <n v="0"/>
    <x v="19"/>
    <b v="1"/>
  </r>
  <r>
    <m/>
    <s v="CERRADO"/>
    <x v="35"/>
    <n v="2744"/>
    <x v="0"/>
    <d v="2018-12-05T00:00:00"/>
    <x v="0"/>
    <n v="1235"/>
    <x v="3"/>
    <n v="21000"/>
    <d v="2018-12-11T00:00:00"/>
    <s v="002-4600-0831"/>
    <n v="4615466871"/>
    <d v="2018-12-28T00:00:00"/>
    <n v="3.8742000000000001"/>
    <n v="1"/>
    <n v="8650"/>
    <n v="1"/>
    <n v="1392.8934010152284"/>
    <n v="0.88968181280224812"/>
    <n v="1"/>
    <n v="19175"/>
    <n v="6763.7822038320437"/>
    <n v="0"/>
    <x v="25"/>
    <b v="1"/>
  </r>
  <r>
    <m/>
    <s v="CERRADO"/>
    <x v="36"/>
    <n v="13527"/>
    <x v="0"/>
    <d v="2018-12-05T00:00:00"/>
    <x v="0"/>
    <n v="7440"/>
    <x v="4"/>
    <n v="21000"/>
    <d v="2018-12-11T00:00:00"/>
    <s v="002-4600-0832"/>
    <n v="4615466871"/>
    <d v="2018-12-28T00:00:00"/>
    <n v="3.8742000000000001"/>
    <n v="1"/>
    <n v="14600"/>
    <n v="1"/>
    <n v="6866.4974619289342"/>
    <n v="1.0834999999999999"/>
    <n v="1"/>
    <n v="19175"/>
    <n v="6763.7822038320437"/>
    <n v="0"/>
    <x v="26"/>
    <b v="1"/>
  </r>
  <r>
    <m/>
    <s v="CERRADO"/>
    <x v="37"/>
    <n v="15540"/>
    <x v="0"/>
    <d v="2018-12-05T00:00:00"/>
    <x v="0"/>
    <n v="8547"/>
    <x v="4"/>
    <n v="21000"/>
    <d v="2018-12-11T00:00:00"/>
    <s v="002-4600-0832"/>
    <n v="4615466871"/>
    <d v="2018-12-28T00:00:00"/>
    <n v="3.8742000000000001"/>
    <n v="1"/>
    <n v="15540"/>
    <n v="1"/>
    <n v="7888.3248730964469"/>
    <n v="1.0834999999999999"/>
    <n v="1"/>
    <n v="19175"/>
    <n v="6763.7822038320437"/>
    <n v="0"/>
    <x v="6"/>
    <b v="1"/>
  </r>
  <r>
    <m/>
    <s v="CERRADO"/>
    <x v="28"/>
    <n v="9115"/>
    <x v="0"/>
    <d v="2018-12-05T00:00:00"/>
    <x v="0"/>
    <n v="5013"/>
    <x v="4"/>
    <n v="21000"/>
    <d v="2018-12-11T00:00:00"/>
    <s v="002-4600-0832"/>
    <n v="4615466871"/>
    <d v="2018-12-28T00:00:00"/>
    <n v="3.8742000000000001"/>
    <n v="1"/>
    <n v="9570"/>
    <n v="1"/>
    <n v="4626.9035532994922"/>
    <n v="1.0833970741901775"/>
    <n v="1"/>
    <n v="19175"/>
    <n v="6763.7822038320437"/>
    <n v="0"/>
    <x v="27"/>
    <b v="1"/>
  </r>
  <r>
    <m/>
    <s v="CERRADO"/>
    <x v="38"/>
    <n v="9448"/>
    <x v="0"/>
    <d v="2018-12-05T00:00:00"/>
    <x v="0"/>
    <n v="5196"/>
    <x v="5"/>
    <n v="21000"/>
    <d v="2018-12-11T00:00:00"/>
    <s v="002-4600-0833"/>
    <n v="4615466871"/>
    <d v="2018-12-28T00:00:00"/>
    <n v="3.8742000000000001"/>
    <n v="1"/>
    <n v="11070"/>
    <n v="1"/>
    <n v="4795.9390862944165"/>
    <n v="1.0834110207768746"/>
    <n v="1"/>
    <n v="19175"/>
    <n v="6763.7822038320437"/>
    <n v="0"/>
    <x v="28"/>
    <b v="1"/>
  </r>
  <r>
    <m/>
    <s v="CERRADO"/>
    <x v="39"/>
    <n v="14160"/>
    <x v="0"/>
    <d v="2018-12-05T00:00:00"/>
    <x v="0"/>
    <n v="7788"/>
    <x v="5"/>
    <n v="21000"/>
    <d v="2018-12-11T00:00:00"/>
    <s v="002-4600-0833"/>
    <n v="4615466871"/>
    <d v="2018-12-28T00:00:00"/>
    <n v="3.8742000000000001"/>
    <n v="1"/>
    <n v="14160"/>
    <n v="1"/>
    <n v="7187.8172588832485"/>
    <n v="1.0835000000000001"/>
    <n v="1"/>
    <n v="19175"/>
    <n v="6763.7822038320437"/>
    <n v="0"/>
    <x v="6"/>
    <b v="1"/>
  </r>
  <r>
    <m/>
    <s v="CERRADO"/>
    <x v="0"/>
    <n v="14575"/>
    <x v="0"/>
    <d v="2018-12-05T00:00:00"/>
    <x v="0"/>
    <n v="8016"/>
    <x v="5"/>
    <n v="21000"/>
    <d v="2018-12-11T00:00:00"/>
    <s v="002-4600-0833"/>
    <n v="4615466871"/>
    <d v="2018-12-28T00:00:00"/>
    <n v="3.8742000000000001"/>
    <n v="1"/>
    <n v="17300"/>
    <n v="1"/>
    <n v="7398.4771573604066"/>
    <n v="1.0834999999999999"/>
    <n v="1"/>
    <n v="19175"/>
    <n v="6763.7822038320437"/>
    <n v="0"/>
    <x v="29"/>
    <b v="1"/>
  </r>
  <r>
    <m/>
    <s v="CERRADO"/>
    <x v="27"/>
    <n v="8471"/>
    <x v="0"/>
    <d v="2018-12-05T00:00:00"/>
    <x v="0"/>
    <n v="3812"/>
    <x v="6"/>
    <n v="21000"/>
    <d v="2018-12-11T00:00:00"/>
    <s v="002-4600-0834"/>
    <n v="4615466871"/>
    <d v="2018-12-28T00:00:00"/>
    <n v="3.8742000000000001"/>
    <n v="1"/>
    <n v="9080"/>
    <n v="1"/>
    <n v="4300"/>
    <n v="0.88649999999999995"/>
    <n v="1"/>
    <n v="19175"/>
    <n v="6763.7822038320437"/>
    <n v="0"/>
    <x v="30"/>
    <b v="1"/>
  </r>
  <r>
    <m/>
    <s v="CERRADO"/>
    <x v="40"/>
    <n v="1201"/>
    <x v="0"/>
    <d v="2018-12-05T00:00:00"/>
    <x v="0"/>
    <n v="661"/>
    <x v="6"/>
    <n v="21000"/>
    <d v="2018-12-11T00:00:00"/>
    <s v="002-4600-0834"/>
    <n v="4615466871"/>
    <d v="2018-12-28T00:00:00"/>
    <n v="3.8742000000000001"/>
    <n v="1"/>
    <n v="1201"/>
    <n v="1"/>
    <n v="609.64467005076142"/>
    <n v="1.0842381348875936"/>
    <n v="1"/>
    <n v="19175"/>
    <n v="6763.7822038320437"/>
    <n v="0"/>
    <x v="31"/>
    <b v="1"/>
  </r>
  <r>
    <m/>
    <s v="CERRADO"/>
    <x v="41"/>
    <n v="12110"/>
    <x v="0"/>
    <d v="2018-12-05T00:00:00"/>
    <x v="0"/>
    <n v="5450"/>
    <x v="6"/>
    <n v="21000"/>
    <d v="2018-12-11T00:00:00"/>
    <s v="002-4600-0834"/>
    <n v="4615466871"/>
    <d v="2018-12-28T00:00:00"/>
    <n v="3.8742000000000001"/>
    <n v="1"/>
    <n v="12110"/>
    <n v="1"/>
    <n v="6147.2081218274116"/>
    <n v="0.88658133773740699"/>
    <n v="1"/>
    <n v="19175"/>
    <n v="6763.7822038320437"/>
    <n v="0"/>
    <x v="32"/>
    <b v="1"/>
  </r>
  <r>
    <m/>
    <s v="CERRADO"/>
    <x v="42"/>
    <n v="8414"/>
    <x v="0"/>
    <d v="2018-12-05T00:00:00"/>
    <x v="0"/>
    <n v="4628"/>
    <x v="6"/>
    <n v="21000"/>
    <d v="2018-12-11T00:00:00"/>
    <s v="002-4600-0834"/>
    <n v="4615466871"/>
    <d v="2018-12-28T00:00:00"/>
    <n v="3.8742000000000001"/>
    <n v="1"/>
    <n v="8414"/>
    <n v="1"/>
    <n v="4271.0659898477161"/>
    <n v="1.0835702400760636"/>
    <n v="1"/>
    <n v="19175"/>
    <n v="6763.7822038320437"/>
    <n v="0"/>
    <x v="33"/>
    <b v="1"/>
  </r>
  <r>
    <m/>
    <s v="CERRADO"/>
    <x v="43"/>
    <n v="721"/>
    <x v="0"/>
    <d v="2018-12-05T00:00:00"/>
    <x v="0"/>
    <n v="397"/>
    <x v="6"/>
    <n v="21000"/>
    <d v="2018-12-11T00:00:00"/>
    <s v="002-4600-0834"/>
    <n v="4615466871"/>
    <d v="2018-12-28T00:00:00"/>
    <n v="3.8742000000000001"/>
    <n v="1"/>
    <n v="721"/>
    <n v="1"/>
    <n v="365.98984771573606"/>
    <n v="1.0847295423023577"/>
    <n v="1"/>
    <n v="19175"/>
    <n v="6763.7822038320437"/>
    <n v="0"/>
    <x v="34"/>
    <b v="1"/>
  </r>
  <r>
    <m/>
    <s v="CERRADO"/>
    <x v="44"/>
    <n v="600"/>
    <x v="0"/>
    <d v="2018-12-05T00:00:00"/>
    <x v="0"/>
    <n v="330"/>
    <x v="6"/>
    <n v="21000"/>
    <d v="2018-12-11T00:00:00"/>
    <s v="002-4600-0834"/>
    <n v="4615466871"/>
    <d v="2018-12-28T00:00:00"/>
    <n v="3.8742000000000001"/>
    <n v="1"/>
    <n v="600"/>
    <n v="1"/>
    <n v="304.56852791878174"/>
    <n v="1.0834999999999999"/>
    <n v="1"/>
    <n v="19175"/>
    <n v="6763.7822038320437"/>
    <n v="0"/>
    <x v="6"/>
    <b v="1"/>
  </r>
  <r>
    <m/>
    <s v="CERRADO"/>
    <x v="45"/>
    <n v="790"/>
    <x v="0"/>
    <d v="2018-12-05T00:00:00"/>
    <x v="0"/>
    <n v="356"/>
    <x v="6"/>
    <n v="21000"/>
    <d v="2018-12-11T00:00:00"/>
    <s v="002-4600-0834"/>
    <n v="4615466871"/>
    <d v="2018-12-28T00:00:00"/>
    <n v="3.8742000000000001"/>
    <n v="1"/>
    <n v="790"/>
    <n v="1"/>
    <n v="401.01522842639594"/>
    <n v="0.88774683544303801"/>
    <n v="1"/>
    <n v="19175"/>
    <n v="6763.7822038320437"/>
    <n v="0"/>
    <x v="35"/>
    <b v="1"/>
  </r>
  <r>
    <m/>
    <s v="CERRADO"/>
    <x v="46"/>
    <n v="420"/>
    <x v="0"/>
    <d v="2018-12-05T00:00:00"/>
    <x v="0"/>
    <n v="189"/>
    <x v="6"/>
    <n v="21000"/>
    <d v="2018-12-11T00:00:00"/>
    <s v="002-4600-0834"/>
    <n v="4615466871"/>
    <d v="2018-12-28T00:00:00"/>
    <n v="3.8742000000000001"/>
    <n v="1"/>
    <n v="420"/>
    <n v="1"/>
    <n v="213.19796954314722"/>
    <n v="0.88649999999999995"/>
    <n v="1"/>
    <n v="19175"/>
    <n v="6763.7822038320437"/>
    <n v="0"/>
    <x v="2"/>
    <b v="1"/>
  </r>
  <r>
    <m/>
    <s v="CERRADO"/>
    <x v="47"/>
    <n v="2409"/>
    <x v="0"/>
    <d v="2018-12-05T00:00:00"/>
    <x v="0"/>
    <n v="1325"/>
    <x v="6"/>
    <n v="21000"/>
    <d v="2018-12-11T00:00:00"/>
    <s v="002-4600-0834"/>
    <n v="4615466871"/>
    <d v="2018-12-28T00:00:00"/>
    <n v="3.8742000000000001"/>
    <n v="1"/>
    <n v="2409"/>
    <n v="1"/>
    <n v="1222.8426395939086"/>
    <n v="1.083540888335409"/>
    <n v="1"/>
    <n v="19175"/>
    <n v="6763.7822038320437"/>
    <n v="0"/>
    <x v="36"/>
    <b v="1"/>
  </r>
  <r>
    <m/>
    <s v="CERRADO"/>
    <x v="48"/>
    <n v="5930"/>
    <x v="0"/>
    <d v="2018-12-05T00:00:00"/>
    <x v="0"/>
    <n v="3262"/>
    <x v="6"/>
    <n v="21000"/>
    <d v="2018-12-11T00:00:00"/>
    <s v="002-4600-0834"/>
    <n v="4615466871"/>
    <d v="2018-12-28T00:00:00"/>
    <n v="3.8742000000000001"/>
    <n v="1"/>
    <n v="5930"/>
    <n v="1"/>
    <n v="3010.1522842639592"/>
    <n v="1.0836661045531197"/>
    <n v="1"/>
    <n v="19175"/>
    <n v="6763.7822038320437"/>
    <n v="0"/>
    <x v="37"/>
    <b v="1"/>
  </r>
  <r>
    <m/>
    <s v="CERRADO"/>
    <x v="36"/>
    <n v="1073"/>
    <x v="0"/>
    <d v="2018-12-05T00:00:00"/>
    <x v="0"/>
    <n v="590"/>
    <x v="6"/>
    <n v="21000"/>
    <d v="2018-12-11T00:00:00"/>
    <s v="002-4600-0834"/>
    <n v="4615466871"/>
    <d v="2018-12-28T00:00:00"/>
    <n v="3.8742000000000001"/>
    <n v="1"/>
    <n v="14600"/>
    <n v="1"/>
    <n v="544.67005076142129"/>
    <n v="1.0834999999999999"/>
    <n v="1"/>
    <n v="19175"/>
    <n v="6763.7822038320437"/>
    <n v="0"/>
    <x v="38"/>
    <b v="1"/>
  </r>
  <r>
    <m/>
    <s v="CERRADO"/>
    <x v="49"/>
    <n v="2400"/>
    <x v="0"/>
    <d v="2018-12-05T00:00:00"/>
    <x v="0"/>
    <n v="1320"/>
    <x v="7"/>
    <n v="21000"/>
    <d v="2018-12-11T00:00:00"/>
    <s v="002-4600-0835"/>
    <n v="4615466871"/>
    <d v="2018-12-28T00:00:00"/>
    <n v="3.8742000000000001"/>
    <n v="1"/>
    <n v="2400"/>
    <n v="1"/>
    <n v="1218.274111675127"/>
    <n v="1.0834999999999999"/>
    <n v="1"/>
    <n v="19175"/>
    <n v="6763.7822038320437"/>
    <n v="0"/>
    <x v="6"/>
    <b v="1"/>
  </r>
  <r>
    <m/>
    <s v="CERRADO"/>
    <x v="50"/>
    <n v="20420"/>
    <x v="0"/>
    <d v="2018-12-05T00:00:00"/>
    <x v="0"/>
    <n v="11231"/>
    <x v="7"/>
    <n v="21000"/>
    <d v="2018-12-11T00:00:00"/>
    <s v="002-4600-0835"/>
    <n v="4615466871"/>
    <d v="2018-12-28T00:00:00"/>
    <n v="3.8742000000000001"/>
    <n v="1"/>
    <n v="20420"/>
    <n v="1"/>
    <n v="10365.482233502538"/>
    <n v="1.0834999999999999"/>
    <n v="1"/>
    <n v="19175"/>
    <n v="6763.7822038320437"/>
    <n v="0"/>
    <x v="6"/>
    <b v="1"/>
  </r>
  <r>
    <m/>
    <s v="CERRADO"/>
    <x v="51"/>
    <n v="1786"/>
    <x v="0"/>
    <d v="2018-12-05T00:00:00"/>
    <x v="0"/>
    <n v="804"/>
    <x v="7"/>
    <n v="21000"/>
    <d v="2018-12-11T00:00:00"/>
    <s v="002-4600-0835"/>
    <n v="4615466871"/>
    <d v="2018-12-28T00:00:00"/>
    <n v="3.8742000000000001"/>
    <n v="1"/>
    <n v="1786"/>
    <n v="1"/>
    <n v="906.59898477157367"/>
    <n v="0.88683090705487111"/>
    <n v="1"/>
    <n v="19175"/>
    <n v="6763.7822038320437"/>
    <n v="0"/>
    <x v="39"/>
    <b v="1"/>
  </r>
  <r>
    <m/>
    <s v="CERRADO"/>
    <x v="52"/>
    <n v="2402"/>
    <x v="0"/>
    <d v="2018-12-05T00:00:00"/>
    <x v="0"/>
    <n v="1321"/>
    <x v="7"/>
    <n v="21000"/>
    <d v="2018-12-11T00:00:00"/>
    <s v="002-4600-0835"/>
    <n v="4615466871"/>
    <d v="2018-12-28T00:00:00"/>
    <n v="3.8742000000000001"/>
    <n v="1"/>
    <n v="2402"/>
    <n v="1"/>
    <n v="1219.2893401015228"/>
    <n v="1.0834179850124896"/>
    <n v="1"/>
    <n v="19175"/>
    <n v="6763.7822038320437"/>
    <n v="0"/>
    <x v="40"/>
    <b v="1"/>
  </r>
  <r>
    <m/>
    <s v="CERRADO"/>
    <x v="53"/>
    <n v="12070"/>
    <x v="0"/>
    <d v="2018-12-05T00:00:00"/>
    <x v="0"/>
    <n v="5432"/>
    <x v="7"/>
    <n v="21000"/>
    <d v="2018-12-11T00:00:00"/>
    <s v="002-4600-0835"/>
    <n v="4615466871"/>
    <d v="2018-12-28T00:00:00"/>
    <n v="3.8742000000000001"/>
    <n v="1"/>
    <n v="12070"/>
    <n v="1"/>
    <n v="6126.9035532994922"/>
    <n v="0.88658160729080371"/>
    <n v="1"/>
    <n v="19175"/>
    <n v="6763.7822038320437"/>
    <n v="0"/>
    <x v="41"/>
    <b v="1"/>
  </r>
  <r>
    <m/>
    <s v="CERRADO"/>
    <x v="38"/>
    <n v="1622"/>
    <x v="0"/>
    <d v="2018-12-05T00:00:00"/>
    <x v="0"/>
    <n v="892"/>
    <x v="7"/>
    <n v="21000"/>
    <d v="2018-12-11T00:00:00"/>
    <s v="002-4600-0835"/>
    <n v="4615466871"/>
    <d v="2018-12-28T00:00:00"/>
    <n v="3.8742000000000001"/>
    <n v="1"/>
    <n v="11070"/>
    <n v="1"/>
    <n v="823.35025380710658"/>
    <n v="1.0834110207768746"/>
    <n v="1"/>
    <n v="19175"/>
    <n v="6763.7822038320437"/>
    <n v="0"/>
    <x v="42"/>
    <b v="1"/>
  </r>
  <r>
    <m/>
    <s v="CERRADO"/>
    <x v="21"/>
    <n v="6800"/>
    <x v="0"/>
    <d v="2018-12-05T00:00:00"/>
    <x v="0"/>
    <n v="3060"/>
    <x v="8"/>
    <n v="21000"/>
    <d v="2018-12-11T00:00:00"/>
    <s v="002-4600-0836"/>
    <n v="4615466871"/>
    <d v="2018-12-28T00:00:00"/>
    <n v="3.8742000000000001"/>
    <n v="1"/>
    <n v="8400"/>
    <n v="1"/>
    <n v="3451.776649746193"/>
    <n v="0.88650000000000007"/>
    <n v="1"/>
    <n v="19175"/>
    <n v="6763.7822038320437"/>
    <n v="0"/>
    <x v="2"/>
    <b v="1"/>
  </r>
  <r>
    <m/>
    <s v="CERRADO"/>
    <x v="54"/>
    <n v="1748"/>
    <x v="0"/>
    <d v="2018-12-05T00:00:00"/>
    <x v="0"/>
    <n v="787"/>
    <x v="8"/>
    <n v="21000"/>
    <d v="2018-12-11T00:00:00"/>
    <s v="002-4600-0836"/>
    <n v="4615466871"/>
    <d v="2018-12-28T00:00:00"/>
    <n v="3.8742000000000001"/>
    <n v="1"/>
    <n v="1748"/>
    <n v="1"/>
    <n v="887.30964467005083"/>
    <n v="0.88695080091533174"/>
    <n v="1"/>
    <n v="19175"/>
    <n v="6763.7822038320437"/>
    <n v="0"/>
    <x v="43"/>
    <b v="1"/>
  </r>
  <r>
    <m/>
    <s v="CERRADO"/>
    <x v="55"/>
    <n v="2410"/>
    <x v="0"/>
    <d v="2018-12-05T00:00:00"/>
    <x v="0"/>
    <n v="1085"/>
    <x v="8"/>
    <n v="21000"/>
    <d v="2018-12-11T00:00:00"/>
    <s v="002-4600-0836"/>
    <n v="4615466871"/>
    <d v="2018-12-28T00:00:00"/>
    <n v="3.8742000000000001"/>
    <n v="1"/>
    <n v="2410"/>
    <n v="1"/>
    <n v="1223.3502538071066"/>
    <n v="0.8869087136929461"/>
    <n v="1"/>
    <n v="19175"/>
    <n v="6763.7822038320437"/>
    <n v="0"/>
    <x v="44"/>
    <b v="1"/>
  </r>
  <r>
    <m/>
    <s v="CERRADO"/>
    <x v="56"/>
    <n v="1972"/>
    <x v="0"/>
    <d v="2018-12-05T00:00:00"/>
    <x v="0"/>
    <n v="887"/>
    <x v="8"/>
    <n v="21000"/>
    <d v="2018-12-11T00:00:00"/>
    <s v="002-4600-0836"/>
    <n v="4615466871"/>
    <d v="2018-12-28T00:00:00"/>
    <n v="3.8742000000000001"/>
    <n v="1"/>
    <n v="1972"/>
    <n v="1"/>
    <n v="1001.015228426396"/>
    <n v="0.88610040567951309"/>
    <n v="1"/>
    <n v="19175"/>
    <n v="6763.7822038320437"/>
    <n v="0"/>
    <x v="45"/>
    <b v="1"/>
  </r>
  <r>
    <m/>
    <s v="CERRADO"/>
    <x v="57"/>
    <n v="840"/>
    <x v="0"/>
    <d v="2018-12-05T00:00:00"/>
    <x v="0"/>
    <n v="378"/>
    <x v="8"/>
    <n v="21000"/>
    <d v="2018-12-11T00:00:00"/>
    <s v="002-4600-0836"/>
    <n v="4615466871"/>
    <d v="2018-12-28T00:00:00"/>
    <n v="3.8742000000000001"/>
    <n v="1"/>
    <n v="840"/>
    <n v="1"/>
    <n v="426.39593908629445"/>
    <n v="0.88649999999999995"/>
    <n v="1"/>
    <n v="19175"/>
    <n v="6763.7822038320437"/>
    <n v="0"/>
    <x v="2"/>
    <b v="1"/>
  </r>
  <r>
    <m/>
    <s v="CERRADO"/>
    <x v="58"/>
    <n v="5650"/>
    <x v="0"/>
    <d v="2018-12-05T00:00:00"/>
    <x v="0"/>
    <n v="2543"/>
    <x v="8"/>
    <n v="21000"/>
    <d v="2018-12-11T00:00:00"/>
    <s v="002-4600-0836"/>
    <n v="4615466871"/>
    <d v="2018-12-28T00:00:00"/>
    <n v="3.8742000000000001"/>
    <n v="1"/>
    <n v="5650"/>
    <n v="1"/>
    <n v="2868.020304568528"/>
    <n v="0.88667433628318582"/>
    <n v="1"/>
    <n v="19175"/>
    <n v="6763.7822038320437"/>
    <n v="0"/>
    <x v="46"/>
    <b v="1"/>
  </r>
  <r>
    <m/>
    <s v="CERRADO"/>
    <x v="59"/>
    <n v="1551"/>
    <x v="0"/>
    <d v="2018-12-05T00:00:00"/>
    <x v="0"/>
    <n v="698"/>
    <x v="8"/>
    <n v="21000"/>
    <d v="2018-12-11T00:00:00"/>
    <s v="002-4600-0836"/>
    <n v="4615466871"/>
    <d v="2018-12-28T00:00:00"/>
    <n v="3.8742000000000001"/>
    <n v="1"/>
    <n v="1551"/>
    <n v="1"/>
    <n v="787.30964467005072"/>
    <n v="0.88656350741457135"/>
    <n v="1"/>
    <n v="19175"/>
    <n v="6763.7822038320437"/>
    <n v="0"/>
    <x v="47"/>
    <b v="1"/>
  </r>
  <r>
    <m/>
    <s v="CERRADO"/>
    <x v="60"/>
    <n v="8490"/>
    <x v="0"/>
    <d v="2018-12-05T00:00:00"/>
    <x v="0"/>
    <n v="3821"/>
    <x v="8"/>
    <n v="21000"/>
    <d v="2018-12-11T00:00:00"/>
    <s v="002-4600-0836"/>
    <n v="4615466871"/>
    <d v="2018-12-28T00:00:00"/>
    <n v="3.8742000000000001"/>
    <n v="1"/>
    <n v="8490"/>
    <n v="1"/>
    <n v="4309.6446700507613"/>
    <n v="0.88661601884570085"/>
    <n v="1"/>
    <n v="19175"/>
    <n v="6763.7822038320437"/>
    <n v="0"/>
    <x v="48"/>
    <b v="1"/>
  </r>
  <r>
    <m/>
    <s v="CERRADO"/>
    <x v="61"/>
    <n v="11940"/>
    <x v="0"/>
    <d v="2018-12-05T00:00:00"/>
    <x v="0"/>
    <n v="6567"/>
    <x v="8"/>
    <n v="21000"/>
    <d v="2018-12-11T00:00:00"/>
    <s v="002-4600-0836"/>
    <n v="4615466871"/>
    <d v="2018-12-28T00:00:00"/>
    <n v="3.8742000000000001"/>
    <n v="1"/>
    <n v="11940"/>
    <n v="1"/>
    <n v="6060.9137055837564"/>
    <n v="1.0834999999999999"/>
    <n v="1"/>
    <n v="19175"/>
    <n v="6763.7822038320437"/>
    <n v="0"/>
    <x v="6"/>
    <b v="1"/>
  </r>
  <r>
    <m/>
    <s v="CERRADO"/>
    <x v="22"/>
    <n v="2135"/>
    <x v="0"/>
    <d v="2018-12-05T00:00:00"/>
    <x v="0"/>
    <n v="1174"/>
    <x v="8"/>
    <n v="21000"/>
    <d v="2018-12-11T00:00:00"/>
    <s v="002-4600-0836"/>
    <n v="4615466871"/>
    <d v="2018-12-28T00:00:00"/>
    <n v="3.8742000000000001"/>
    <n v="1"/>
    <n v="16990"/>
    <n v="1"/>
    <n v="1083.756345177665"/>
    <n v="1.0834420247204237"/>
    <n v="1"/>
    <n v="19175"/>
    <n v="6763.7822038320437"/>
    <n v="0"/>
    <x v="49"/>
    <b v="1"/>
  </r>
  <r>
    <m/>
    <s v="CERRADO"/>
    <x v="12"/>
    <n v="7924"/>
    <x v="0"/>
    <d v="2018-12-05T00:00:00"/>
    <x v="0"/>
    <n v="4358"/>
    <x v="9"/>
    <n v="21000"/>
    <d v="2018-12-11T00:00:00"/>
    <s v="002-4600-0837"/>
    <n v="4615466871"/>
    <d v="2018-12-28T00:00:00"/>
    <n v="3.8742000000000001"/>
    <n v="1"/>
    <n v="10095"/>
    <n v="1"/>
    <n v="4022.3350253807107"/>
    <n v="1.0834512134720158"/>
    <n v="1"/>
    <n v="19175"/>
    <n v="6763.7822038320437"/>
    <n v="0"/>
    <x v="50"/>
    <b v="1"/>
  </r>
  <r>
    <m/>
    <s v="CERRADO"/>
    <x v="62"/>
    <n v="377"/>
    <x v="0"/>
    <d v="2018-12-05T00:00:00"/>
    <x v="0"/>
    <n v="207"/>
    <x v="9"/>
    <n v="21000"/>
    <d v="2018-12-11T00:00:00"/>
    <s v="002-4600-0837"/>
    <n v="4615466871"/>
    <d v="2018-12-28T00:00:00"/>
    <n v="3.8742000000000001"/>
    <n v="1"/>
    <n v="2450"/>
    <n v="1"/>
    <n v="191.37055837563452"/>
    <n v="0.91665306122448964"/>
    <n v="1"/>
    <n v="19175"/>
    <n v="6763.7822038320437"/>
    <n v="0"/>
    <x v="51"/>
    <b v="1"/>
  </r>
  <r>
    <m/>
    <s v="CERRADO"/>
    <x v="62"/>
    <n v="2073"/>
    <x v="0"/>
    <d v="2018-12-05T00:00:00"/>
    <x v="0"/>
    <n v="933"/>
    <x v="9"/>
    <n v="21000"/>
    <d v="2018-12-11T00:00:00"/>
    <s v="002-4600-0837"/>
    <n v="4615466871"/>
    <d v="2018-12-28T00:00:00"/>
    <n v="3.8742000000000001"/>
    <n v="1"/>
    <n v="2450"/>
    <n v="1"/>
    <n v="1052.284263959391"/>
    <n v="0.91665306122448964"/>
    <n v="1"/>
    <n v="19175"/>
    <n v="6763.7822038320437"/>
    <n v="0"/>
    <x v="52"/>
    <b v="1"/>
  </r>
  <r>
    <m/>
    <s v="CERRADO"/>
    <x v="63"/>
    <n v="3665"/>
    <x v="0"/>
    <d v="2018-12-05T00:00:00"/>
    <x v="0"/>
    <n v="2016"/>
    <x v="9"/>
    <n v="21000"/>
    <d v="2018-12-11T00:00:00"/>
    <s v="002-4600-0837"/>
    <n v="4615466871"/>
    <d v="2018-12-28T00:00:00"/>
    <n v="3.8742000000000001"/>
    <n v="1"/>
    <n v="3665"/>
    <n v="1"/>
    <n v="1860.4060913705584"/>
    <n v="1.0836343792633014"/>
    <n v="1"/>
    <n v="19175"/>
    <n v="6763.7822038320437"/>
    <n v="0"/>
    <x v="53"/>
    <b v="1"/>
  </r>
  <r>
    <m/>
    <s v="CERRADO"/>
    <x v="64"/>
    <n v="5830"/>
    <x v="0"/>
    <d v="2018-12-05T00:00:00"/>
    <x v="0"/>
    <n v="3207"/>
    <x v="9"/>
    <n v="21000"/>
    <d v="2018-12-11T00:00:00"/>
    <s v="002-4600-0837"/>
    <n v="4615466871"/>
    <d v="2018-12-28T00:00:00"/>
    <n v="3.8742000000000001"/>
    <n v="1"/>
    <n v="5830"/>
    <n v="1"/>
    <n v="2959.3908629441626"/>
    <n v="1.0836689536878215"/>
    <n v="1"/>
    <n v="19175"/>
    <n v="6763.7822038320437"/>
    <n v="0"/>
    <x v="54"/>
    <b v="1"/>
  </r>
  <r>
    <m/>
    <s v="CERRADO"/>
    <x v="65"/>
    <n v="8991"/>
    <x v="0"/>
    <d v="2018-12-05T00:00:00"/>
    <x v="0"/>
    <n v="4046"/>
    <x v="9"/>
    <n v="21000"/>
    <d v="2018-12-11T00:00:00"/>
    <s v="002-4600-0837"/>
    <n v="4615466871"/>
    <d v="2018-12-28T00:00:00"/>
    <n v="3.8742000000000001"/>
    <n v="1"/>
    <n v="8991"/>
    <n v="1"/>
    <n v="4563.959390862944"/>
    <n v="0.88651095539984437"/>
    <n v="1"/>
    <n v="19175"/>
    <n v="6763.7822038320437"/>
    <n v="0"/>
    <x v="55"/>
    <b v="1"/>
  </r>
  <r>
    <m/>
    <s v="CERRADO"/>
    <x v="66"/>
    <n v="1798"/>
    <x v="0"/>
    <d v="2018-12-05T00:00:00"/>
    <x v="0"/>
    <n v="989"/>
    <x v="9"/>
    <n v="21000"/>
    <d v="2018-12-11T00:00:00"/>
    <s v="002-4600-0837"/>
    <n v="4615466871"/>
    <d v="2018-12-28T00:00:00"/>
    <n v="3.8742000000000001"/>
    <n v="1"/>
    <n v="1798"/>
    <n v="1"/>
    <n v="912.69035532994928"/>
    <n v="1.0836095661846497"/>
    <n v="1"/>
    <n v="19175"/>
    <n v="6763.7822038320437"/>
    <n v="0"/>
    <x v="56"/>
    <b v="1"/>
  </r>
  <r>
    <m/>
    <s v="CERRADO"/>
    <x v="67"/>
    <n v="600"/>
    <x v="0"/>
    <d v="2018-12-05T00:00:00"/>
    <x v="0"/>
    <n v="330"/>
    <x v="9"/>
    <n v="21000"/>
    <d v="2018-12-11T00:00:00"/>
    <s v="002-4600-0837"/>
    <n v="4615466871"/>
    <d v="2018-12-28T00:00:00"/>
    <n v="3.8742000000000001"/>
    <n v="1"/>
    <n v="600"/>
    <n v="1"/>
    <n v="304.56852791878174"/>
    <n v="1.0834999999999999"/>
    <n v="1"/>
    <n v="19175"/>
    <n v="6763.7822038320437"/>
    <n v="0"/>
    <x v="6"/>
    <b v="1"/>
  </r>
  <r>
    <m/>
    <s v="CERRADO"/>
    <x v="13"/>
    <n v="10920"/>
    <x v="0"/>
    <d v="2018-12-05T00:00:00"/>
    <x v="0"/>
    <n v="4914"/>
    <x v="9"/>
    <n v="21000"/>
    <d v="2018-12-11T00:00:00"/>
    <s v="002-4600-0837"/>
    <n v="4615466871"/>
    <d v="2018-12-28T00:00:00"/>
    <n v="3.8742000000000001"/>
    <n v="1"/>
    <n v="11612"/>
    <n v="1"/>
    <n v="5543.1472081218271"/>
    <n v="0.88643213916637964"/>
    <n v="1"/>
    <n v="19175"/>
    <n v="6763.7822038320437"/>
    <n v="0"/>
    <x v="2"/>
    <b v="1"/>
  </r>
  <r>
    <m/>
    <s v="CERRADO"/>
    <x v="35"/>
    <n v="5906"/>
    <x v="1"/>
    <d v="2018-12-10T00:00:00"/>
    <x v="1"/>
    <n v="2658"/>
    <x v="10"/>
    <n v="19175"/>
    <d v="2018-12-16T00:00:00"/>
    <s v="002-4600-0808"/>
    <n v="4615480457"/>
    <d v="2019-01-07T00:00:00"/>
    <n v="3.7056"/>
    <n v="1"/>
    <n v="8650"/>
    <n v="1"/>
    <n v="2982.8282828282827"/>
    <n v="0.88968181280224812"/>
    <n v="1"/>
    <n v="19175"/>
    <n v="6763.7822038320437"/>
    <n v="0"/>
    <x v="57"/>
    <b v="1"/>
  </r>
  <r>
    <m/>
    <s v="CERRADO"/>
    <x v="68"/>
    <n v="601"/>
    <x v="1"/>
    <d v="2018-12-10T00:00:00"/>
    <x v="1"/>
    <n v="270"/>
    <x v="10"/>
    <n v="19175"/>
    <d v="2018-12-16T00:00:00"/>
    <s v="002-4600-0808"/>
    <n v="4615480457"/>
    <d v="2019-01-07T00:00:00"/>
    <n v="3.7056"/>
    <n v="1"/>
    <n v="601"/>
    <n v="1"/>
    <n v="303.53535353535352"/>
    <n v="0.88951747088186361"/>
    <n v="1"/>
    <n v="19175"/>
    <n v="6763.7822038320437"/>
    <n v="0"/>
    <x v="58"/>
    <b v="1"/>
  </r>
  <r>
    <m/>
    <s v="CERRADO"/>
    <x v="69"/>
    <n v="898"/>
    <x v="1"/>
    <d v="2018-12-10T00:00:00"/>
    <x v="1"/>
    <n v="494"/>
    <x v="10"/>
    <n v="19175"/>
    <d v="2018-12-16T00:00:00"/>
    <s v="002-4600-0808"/>
    <n v="4615480457"/>
    <d v="2019-01-07T00:00:00"/>
    <n v="3.7056"/>
    <n v="1"/>
    <n v="898"/>
    <n v="1"/>
    <n v="453.53535353535352"/>
    <n v="1.0892204899777282"/>
    <n v="1"/>
    <n v="19175"/>
    <n v="6763.7822038320437"/>
    <n v="0"/>
    <x v="59"/>
    <b v="1"/>
  </r>
  <r>
    <m/>
    <s v="CERRADO"/>
    <x v="70"/>
    <n v="700"/>
    <x v="1"/>
    <d v="2018-12-10T00:00:00"/>
    <x v="1"/>
    <n v="385"/>
    <x v="10"/>
    <n v="19175"/>
    <d v="2018-12-16T00:00:00"/>
    <s v="002-4600-0808"/>
    <n v="4615480457"/>
    <d v="2019-01-07T00:00:00"/>
    <n v="3.7056"/>
    <n v="1"/>
    <n v="700"/>
    <n v="1"/>
    <n v="353.53535353535352"/>
    <n v="1.089"/>
    <n v="1"/>
    <n v="19175"/>
    <n v="6763.7822038320437"/>
    <n v="0"/>
    <x v="6"/>
    <b v="1"/>
  </r>
  <r>
    <m/>
    <s v="CERRADO"/>
    <x v="71"/>
    <n v="4730"/>
    <x v="1"/>
    <d v="2018-12-10T00:00:00"/>
    <x v="1"/>
    <n v="2602"/>
    <x v="10"/>
    <n v="19175"/>
    <d v="2018-12-16T00:00:00"/>
    <s v="002-4600-0808"/>
    <n v="4615480457"/>
    <d v="2019-01-07T00:00:00"/>
    <n v="3.7056"/>
    <n v="1"/>
    <n v="4730"/>
    <n v="1"/>
    <n v="2388.8888888888887"/>
    <n v="1.0892093023255816"/>
    <n v="1"/>
    <n v="19175"/>
    <n v="6763.7822038320437"/>
    <n v="0"/>
    <x v="60"/>
    <b v="1"/>
  </r>
  <r>
    <m/>
    <s v="CERRADO"/>
    <x v="72"/>
    <n v="7320"/>
    <x v="1"/>
    <d v="2018-12-10T00:00:00"/>
    <x v="1"/>
    <n v="3294"/>
    <x v="10"/>
    <n v="19175"/>
    <d v="2018-12-16T00:00:00"/>
    <s v="002-4600-0808"/>
    <n v="4615480457"/>
    <d v="2019-01-07T00:00:00"/>
    <n v="3.7056"/>
    <n v="1"/>
    <n v="7320"/>
    <n v="1"/>
    <n v="3696.969696969697"/>
    <n v="0.89100000000000001"/>
    <n v="1"/>
    <n v="19175"/>
    <n v="6763.7822038320437"/>
    <n v="0"/>
    <x v="2"/>
    <b v="1"/>
  </r>
  <r>
    <m/>
    <s v="CERRADO"/>
    <x v="73"/>
    <n v="8430"/>
    <x v="1"/>
    <d v="2018-12-10T00:00:00"/>
    <x v="1"/>
    <n v="3794"/>
    <x v="10"/>
    <n v="19175"/>
    <d v="2018-12-16T00:00:00"/>
    <s v="002-4600-0808"/>
    <n v="4615480457"/>
    <d v="2019-01-07T00:00:00"/>
    <n v="3.7056"/>
    <n v="1"/>
    <n v="8430"/>
    <n v="1"/>
    <n v="4257.575757575758"/>
    <n v="0.8911174377224198"/>
    <n v="1"/>
    <n v="19175"/>
    <n v="6763.7822038320437"/>
    <n v="0"/>
    <x v="61"/>
    <b v="1"/>
  </r>
  <r>
    <m/>
    <s v="CERRADO"/>
    <x v="74"/>
    <n v="11949"/>
    <x v="1"/>
    <d v="2018-12-10T00:00:00"/>
    <x v="1"/>
    <n v="5377"/>
    <x v="10"/>
    <n v="19175"/>
    <d v="2018-12-16T00:00:00"/>
    <s v="002-4600-0808"/>
    <n v="4615480457"/>
    <d v="2019-01-07T00:00:00"/>
    <n v="3.7056"/>
    <n v="1"/>
    <n v="11949"/>
    <n v="1"/>
    <n v="6034.848484848485"/>
    <n v="0.89099171478784833"/>
    <n v="1"/>
    <n v="19175"/>
    <n v="6763.7822038320437"/>
    <n v="0"/>
    <x v="62"/>
    <b v="1"/>
  </r>
  <r>
    <m/>
    <s v="CERRADO"/>
    <x v="75"/>
    <n v="547"/>
    <x v="1"/>
    <d v="2018-12-10T00:00:00"/>
    <x v="1"/>
    <n v="301"/>
    <x v="10"/>
    <n v="19175"/>
    <d v="2018-12-16T00:00:00"/>
    <s v="002-4600-0808"/>
    <n v="4615480457"/>
    <d v="2019-01-07T00:00:00"/>
    <n v="3.7056"/>
    <n v="1"/>
    <n v="1020"/>
    <n v="1"/>
    <n v="276.26262626262627"/>
    <n v="1.089"/>
    <n v="1"/>
    <n v="19175"/>
    <n v="6763.7822038320437"/>
    <n v="0"/>
    <x v="63"/>
    <b v="1"/>
  </r>
  <r>
    <m/>
    <s v="CERRADO"/>
    <x v="76"/>
    <n v="198"/>
    <x v="1"/>
    <d v="2018-12-10T00:00:00"/>
    <x v="1"/>
    <n v="89"/>
    <x v="11"/>
    <n v="19175"/>
    <d v="2018-12-16T00:00:00"/>
    <s v="002-4600-0809"/>
    <n v="4615480457"/>
    <d v="2019-01-07T00:00:00"/>
    <n v="3.7056"/>
    <n v="1"/>
    <n v="2407"/>
    <n v="1"/>
    <n v="100"/>
    <n v="0.89087660988782724"/>
    <n v="1"/>
    <n v="19175"/>
    <n v="6763.7822038320437"/>
    <n v="0"/>
    <x v="64"/>
    <b v="1"/>
  </r>
  <r>
    <m/>
    <s v="CERRADO"/>
    <x v="77"/>
    <n v="6930"/>
    <x v="1"/>
    <d v="2018-12-10T00:00:00"/>
    <x v="1"/>
    <n v="3119"/>
    <x v="11"/>
    <n v="19175"/>
    <d v="2018-12-16T00:00:00"/>
    <s v="002-4600-0809"/>
    <n v="4615480457"/>
    <d v="2019-01-07T00:00:00"/>
    <n v="3.7056"/>
    <n v="1"/>
    <n v="6930"/>
    <n v="1"/>
    <n v="3500"/>
    <n v="0.89114285714285713"/>
    <n v="1"/>
    <n v="19175"/>
    <n v="6763.7822038320437"/>
    <n v="0"/>
    <x v="65"/>
    <b v="1"/>
  </r>
  <r>
    <m/>
    <s v="CERRADO"/>
    <x v="78"/>
    <n v="7446"/>
    <x v="1"/>
    <d v="2018-12-10T00:00:00"/>
    <x v="1"/>
    <n v="3351"/>
    <x v="11"/>
    <n v="19175"/>
    <d v="2018-12-16T00:00:00"/>
    <s v="002-4600-0809"/>
    <n v="4615480457"/>
    <d v="2019-01-07T00:00:00"/>
    <n v="3.7056"/>
    <n v="1"/>
    <n v="7446"/>
    <n v="1"/>
    <n v="3760.6060606060605"/>
    <n v="0.89107977437550367"/>
    <n v="1"/>
    <n v="19175"/>
    <n v="6763.7822038320437"/>
    <n v="0"/>
    <x v="66"/>
    <b v="1"/>
  </r>
  <r>
    <m/>
    <s v="CERRADO"/>
    <x v="79"/>
    <n v="2396"/>
    <x v="1"/>
    <d v="2018-12-10T00:00:00"/>
    <x v="1"/>
    <n v="1078"/>
    <x v="11"/>
    <n v="19175"/>
    <d v="2018-12-16T00:00:00"/>
    <s v="002-4600-0809"/>
    <n v="4615480457"/>
    <d v="2019-01-07T00:00:00"/>
    <n v="3.7056"/>
    <n v="1"/>
    <n v="2396"/>
    <n v="1"/>
    <n v="1210.1010101010102"/>
    <n v="0.89083472454090151"/>
    <n v="1"/>
    <n v="19175"/>
    <n v="6763.7822038320437"/>
    <n v="0"/>
    <x v="67"/>
    <b v="1"/>
  </r>
  <r>
    <m/>
    <s v="CERRADO"/>
    <x v="80"/>
    <n v="4137"/>
    <x v="1"/>
    <d v="2018-12-10T00:00:00"/>
    <x v="1"/>
    <n v="1862"/>
    <x v="11"/>
    <n v="19175"/>
    <d v="2018-12-16T00:00:00"/>
    <s v="002-4600-0809"/>
    <n v="4615480457"/>
    <d v="2019-01-07T00:00:00"/>
    <n v="3.7056"/>
    <n v="1"/>
    <n v="4137"/>
    <n v="1"/>
    <n v="2089.3939393939395"/>
    <n v="0.89116751269035532"/>
    <n v="1"/>
    <n v="19175"/>
    <n v="6763.7822038320437"/>
    <n v="0"/>
    <x v="68"/>
    <b v="1"/>
  </r>
  <r>
    <m/>
    <s v="CERRADO"/>
    <x v="81"/>
    <n v="3054"/>
    <x v="1"/>
    <d v="2018-12-10T00:00:00"/>
    <x v="1"/>
    <n v="1680"/>
    <x v="11"/>
    <n v="19175"/>
    <d v="2018-12-16T00:00:00"/>
    <s v="002-4600-0809"/>
    <n v="4615480457"/>
    <d v="2019-01-07T00:00:00"/>
    <n v="3.7056"/>
    <n v="1"/>
    <n v="3054"/>
    <n v="1"/>
    <n v="1542.4242424242425"/>
    <n v="1.0891944990176816"/>
    <n v="1"/>
    <n v="19175"/>
    <n v="6763.7822038320437"/>
    <n v="0"/>
    <x v="69"/>
    <b v="1"/>
  </r>
  <r>
    <m/>
    <s v="CERRADO"/>
    <x v="82"/>
    <n v="5991"/>
    <x v="1"/>
    <d v="2018-12-10T00:00:00"/>
    <x v="1"/>
    <n v="3295"/>
    <x v="11"/>
    <n v="19175"/>
    <d v="2018-12-16T00:00:00"/>
    <s v="002-4600-0809"/>
    <n v="4615480457"/>
    <d v="2019-01-07T00:00:00"/>
    <n v="3.7056"/>
    <n v="1"/>
    <n v="5991"/>
    <n v="1"/>
    <n v="3025.757575757576"/>
    <n v="1.0889834752128191"/>
    <n v="1"/>
    <n v="19175"/>
    <n v="6763.7822038320437"/>
    <n v="0"/>
    <x v="70"/>
    <b v="1"/>
  </r>
  <r>
    <m/>
    <s v="CERRADO"/>
    <x v="83"/>
    <n v="1907"/>
    <x v="1"/>
    <d v="2018-12-10T00:00:00"/>
    <x v="1"/>
    <n v="1049"/>
    <x v="11"/>
    <n v="19175"/>
    <d v="2018-12-16T00:00:00"/>
    <s v="002-4600-0809"/>
    <n v="4615480457"/>
    <d v="2019-01-07T00:00:00"/>
    <n v="3.7056"/>
    <n v="1"/>
    <n v="1907"/>
    <n v="1"/>
    <n v="963.13131313131316"/>
    <n v="1.0891557420031464"/>
    <n v="1"/>
    <n v="19175"/>
    <n v="6763.7822038320437"/>
    <n v="0"/>
    <x v="71"/>
    <b v="1"/>
  </r>
  <r>
    <m/>
    <s v="CERRADO"/>
    <x v="84"/>
    <n v="6640"/>
    <x v="1"/>
    <d v="2018-12-10T00:00:00"/>
    <x v="1"/>
    <n v="3652"/>
    <x v="11"/>
    <n v="19175"/>
    <d v="2018-12-16T00:00:00"/>
    <s v="002-4600-0809"/>
    <n v="4615480457"/>
    <d v="2019-01-07T00:00:00"/>
    <n v="3.7056"/>
    <n v="1"/>
    <n v="6974"/>
    <n v="1"/>
    <n v="3353.5353535353534"/>
    <n v="1.0890851735015774"/>
    <n v="1"/>
    <n v="19175"/>
    <n v="6763.7822038320437"/>
    <n v="0"/>
    <x v="6"/>
    <b v="1"/>
  </r>
  <r>
    <m/>
    <s v="CERRADO"/>
    <x v="85"/>
    <n v="2549"/>
    <x v="1"/>
    <d v="2018-12-10T00:00:00"/>
    <x v="1"/>
    <n v="1147"/>
    <x v="12"/>
    <n v="19175"/>
    <d v="2018-12-16T00:00:00"/>
    <s v="002-4600-0810"/>
    <n v="4615480457"/>
    <d v="2019-01-07T00:00:00"/>
    <n v="3.7056"/>
    <n v="1"/>
    <n v="2756"/>
    <n v="1"/>
    <n v="1287.3737373737374"/>
    <n v="0.8908563134978229"/>
    <n v="1"/>
    <n v="19175"/>
    <n v="6763.7822038320437"/>
    <n v="0"/>
    <x v="72"/>
    <b v="1"/>
  </r>
  <r>
    <m/>
    <s v="CERRADO"/>
    <x v="86"/>
    <n v="19230"/>
    <x v="1"/>
    <d v="2018-12-10T00:00:00"/>
    <x v="1"/>
    <n v="10577"/>
    <x v="12"/>
    <n v="19175"/>
    <d v="2018-12-16T00:00:00"/>
    <s v="002-4600-0810"/>
    <n v="4615480457"/>
    <d v="2019-01-07T00:00:00"/>
    <n v="3.7056"/>
    <n v="1"/>
    <n v="19230"/>
    <n v="1"/>
    <n v="9712.121212121212"/>
    <n v="1.0890514820592825"/>
    <n v="1"/>
    <n v="19175"/>
    <n v="6763.7822038320437"/>
    <n v="0"/>
    <x v="73"/>
    <b v="1"/>
  </r>
  <r>
    <m/>
    <s v="CERRADO"/>
    <x v="87"/>
    <n v="2142"/>
    <x v="1"/>
    <d v="2018-12-10T00:00:00"/>
    <x v="1"/>
    <n v="1178"/>
    <x v="12"/>
    <n v="19175"/>
    <d v="2018-12-16T00:00:00"/>
    <s v="002-4600-0810"/>
    <n v="4615480457"/>
    <d v="2019-01-07T00:00:00"/>
    <n v="3.7056"/>
    <n v="1"/>
    <n v="2142"/>
    <n v="1"/>
    <n v="1081.8181818181818"/>
    <n v="1.0889075630252101"/>
    <n v="1"/>
    <n v="19175"/>
    <n v="6763.7822038320437"/>
    <n v="0"/>
    <x v="74"/>
    <b v="1"/>
  </r>
  <r>
    <m/>
    <s v="CERRADO"/>
    <x v="88"/>
    <n v="7833"/>
    <x v="1"/>
    <d v="2018-12-10T00:00:00"/>
    <x v="1"/>
    <n v="4308"/>
    <x v="12"/>
    <n v="19175"/>
    <d v="2018-12-16T00:00:00"/>
    <s v="002-4600-0810"/>
    <n v="4615480457"/>
    <d v="2019-01-07T00:00:00"/>
    <n v="3.7056"/>
    <n v="1"/>
    <n v="7833"/>
    <n v="1"/>
    <n v="3956.060606060606"/>
    <n v="1.0889620834929146"/>
    <n v="1"/>
    <n v="19175"/>
    <n v="6763.7822038320437"/>
    <n v="0"/>
    <x v="75"/>
    <b v="1"/>
  </r>
  <r>
    <m/>
    <s v="CERRADO"/>
    <x v="89"/>
    <n v="1669"/>
    <x v="1"/>
    <d v="2018-12-10T00:00:00"/>
    <x v="1"/>
    <n v="918"/>
    <x v="12"/>
    <n v="19175"/>
    <d v="2018-12-16T00:00:00"/>
    <s v="002-4600-0810"/>
    <n v="4615480457"/>
    <d v="2019-01-07T00:00:00"/>
    <n v="3.7056"/>
    <n v="1"/>
    <n v="1669"/>
    <n v="1"/>
    <n v="842.92929292929296"/>
    <n v="1.0890593169562612"/>
    <n v="1"/>
    <n v="19175"/>
    <n v="6763.7822038320437"/>
    <n v="0"/>
    <x v="76"/>
    <b v="1"/>
  </r>
  <r>
    <m/>
    <s v="CERRADO"/>
    <x v="90"/>
    <n v="1904"/>
    <x v="1"/>
    <d v="2018-12-10T00:00:00"/>
    <x v="1"/>
    <n v="1047"/>
    <x v="12"/>
    <n v="19175"/>
    <d v="2018-12-16T00:00:00"/>
    <s v="002-4600-0810"/>
    <n v="4615480457"/>
    <d v="2019-01-07T00:00:00"/>
    <n v="3.7056"/>
    <n v="1"/>
    <n v="10604"/>
    <n v="1"/>
    <n v="961.61616161616166"/>
    <n v="1.0889626556016598"/>
    <n v="1"/>
    <n v="19175"/>
    <n v="6763.7822038320437"/>
    <n v="0"/>
    <x v="77"/>
    <b v="1"/>
  </r>
  <r>
    <m/>
    <s v="CERRADO"/>
    <x v="91"/>
    <n v="2874"/>
    <x v="1"/>
    <d v="2018-12-10T00:00:00"/>
    <x v="1"/>
    <n v="1581"/>
    <x v="13"/>
    <n v="19175"/>
    <d v="2018-12-16T00:00:00"/>
    <s v="002-4600-0811"/>
    <n v="4615480457"/>
    <d v="2019-01-07T00:00:00"/>
    <n v="3.7056"/>
    <n v="1"/>
    <n v="4249"/>
    <n v="1"/>
    <n v="1451.5151515151515"/>
    <n v="1.0890232995999058"/>
    <n v="1"/>
    <n v="19175"/>
    <n v="6763.7822038320437"/>
    <n v="0"/>
    <x v="78"/>
    <b v="1"/>
  </r>
  <r>
    <m/>
    <s v="CERRADO"/>
    <x v="92"/>
    <n v="600"/>
    <x v="1"/>
    <d v="2018-12-10T00:00:00"/>
    <x v="1"/>
    <n v="270"/>
    <x v="13"/>
    <n v="19175"/>
    <d v="2018-12-16T00:00:00"/>
    <s v="002-4600-0811"/>
    <n v="4615480457"/>
    <d v="2019-01-07T00:00:00"/>
    <n v="3.7056"/>
    <n v="1"/>
    <n v="600"/>
    <n v="1"/>
    <n v="303.03030303030306"/>
    <n v="0.8909999999999999"/>
    <n v="1"/>
    <n v="19175"/>
    <n v="6763.7822038320437"/>
    <n v="0"/>
    <x v="2"/>
    <b v="1"/>
  </r>
  <r>
    <m/>
    <s v="CERRADO"/>
    <x v="93"/>
    <n v="15609"/>
    <x v="1"/>
    <d v="2018-12-10T00:00:00"/>
    <x v="1"/>
    <n v="7024"/>
    <x v="13"/>
    <n v="19175"/>
    <d v="2018-12-16T00:00:00"/>
    <s v="002-4600-0811"/>
    <n v="4615480457"/>
    <d v="2019-01-07T00:00:00"/>
    <n v="3.7056"/>
    <n v="1"/>
    <n v="15609"/>
    <n v="1"/>
    <n v="7883.333333333333"/>
    <n v="0.89099365750528547"/>
    <n v="1"/>
    <n v="19175"/>
    <n v="6763.7822038320437"/>
    <n v="0"/>
    <x v="79"/>
    <b v="1"/>
  </r>
  <r>
    <m/>
    <s v="CERRADO"/>
    <x v="94"/>
    <n v="16920"/>
    <x v="1"/>
    <d v="2018-12-10T00:00:00"/>
    <x v="1"/>
    <n v="9306"/>
    <x v="13"/>
    <n v="19175"/>
    <d v="2018-12-16T00:00:00"/>
    <s v="002-4600-0811"/>
    <n v="4615480457"/>
    <d v="2019-01-07T00:00:00"/>
    <n v="3.7056"/>
    <n v="1"/>
    <n v="16920"/>
    <n v="1"/>
    <n v="8545.454545454546"/>
    <n v="1.089"/>
    <n v="1"/>
    <n v="19175"/>
    <n v="6763.7822038320437"/>
    <n v="0"/>
    <x v="6"/>
    <b v="1"/>
  </r>
  <r>
    <m/>
    <s v="CERRADO"/>
    <x v="76"/>
    <n v="2209"/>
    <x v="1"/>
    <d v="2018-12-10T00:00:00"/>
    <x v="1"/>
    <n v="994"/>
    <x v="13"/>
    <n v="19175"/>
    <d v="2018-12-16T00:00:00"/>
    <s v="002-4600-0811"/>
    <n v="4615480457"/>
    <d v="2019-01-07T00:00:00"/>
    <n v="3.7056"/>
    <n v="1"/>
    <n v="2407"/>
    <n v="1"/>
    <n v="1115.6565656565656"/>
    <n v="0.89087660988782724"/>
    <n v="1"/>
    <n v="19175"/>
    <n v="6763.7822038320437"/>
    <n v="0"/>
    <x v="80"/>
    <b v="1"/>
  </r>
  <r>
    <m/>
    <s v="CERRADO"/>
    <x v="84"/>
    <n v="334"/>
    <x v="1"/>
    <d v="2018-12-10T00:00:00"/>
    <x v="1"/>
    <n v="184"/>
    <x v="14"/>
    <n v="19175"/>
    <d v="2018-12-16T00:00:00"/>
    <s v="002-4600-0812"/>
    <n v="4615480457"/>
    <d v="2019-01-07T00:00:00"/>
    <n v="3.7056"/>
    <n v="1"/>
    <n v="6974"/>
    <n v="1"/>
    <n v="168.68686868686868"/>
    <n v="1.0890851735015774"/>
    <n v="1"/>
    <n v="19175"/>
    <n v="6763.7822038320437"/>
    <n v="0"/>
    <x v="81"/>
    <b v="1"/>
  </r>
  <r>
    <m/>
    <s v="CERRADO"/>
    <x v="95"/>
    <n v="2035"/>
    <x v="1"/>
    <d v="2018-12-10T00:00:00"/>
    <x v="1"/>
    <n v="1119"/>
    <x v="14"/>
    <n v="19175"/>
    <d v="2018-12-16T00:00:00"/>
    <s v="002-4600-0812"/>
    <n v="4615480457"/>
    <d v="2019-01-07T00:00:00"/>
    <n v="3.7056"/>
    <n v="1"/>
    <n v="2035"/>
    <n v="1"/>
    <n v="1027.7777777777778"/>
    <n v="1.0887567567567566"/>
    <n v="1"/>
    <n v="19175"/>
    <n v="6763.7822038320437"/>
    <n v="0"/>
    <x v="82"/>
    <b v="1"/>
  </r>
  <r>
    <m/>
    <s v="CERRADO"/>
    <x v="96"/>
    <n v="894"/>
    <x v="1"/>
    <d v="2018-12-10T00:00:00"/>
    <x v="1"/>
    <n v="492"/>
    <x v="14"/>
    <n v="19175"/>
    <d v="2018-12-16T00:00:00"/>
    <s v="002-4600-0812"/>
    <n v="4615480457"/>
    <d v="2019-01-07T00:00:00"/>
    <n v="3.7056"/>
    <n v="1"/>
    <n v="894"/>
    <n v="1"/>
    <n v="451.5151515151515"/>
    <n v="1.0896644295302014"/>
    <n v="1"/>
    <n v="19175"/>
    <n v="6763.7822038320437"/>
    <n v="0"/>
    <x v="83"/>
    <b v="1"/>
  </r>
  <r>
    <m/>
    <s v="CERRADO"/>
    <x v="97"/>
    <n v="7007"/>
    <x v="1"/>
    <d v="2018-12-10T00:00:00"/>
    <x v="1"/>
    <n v="3153"/>
    <x v="14"/>
    <n v="19175"/>
    <d v="2018-12-16T00:00:00"/>
    <s v="002-4600-0812"/>
    <n v="4615480457"/>
    <d v="2019-01-07T00:00:00"/>
    <n v="3.7056"/>
    <n v="1"/>
    <n v="7007"/>
    <n v="1"/>
    <n v="3538.8888888888891"/>
    <n v="0.89095761381475658"/>
    <n v="1"/>
    <n v="19175"/>
    <n v="6763.7822038320437"/>
    <n v="0"/>
    <x v="84"/>
    <b v="1"/>
  </r>
  <r>
    <m/>
    <s v="CERRADO"/>
    <x v="98"/>
    <n v="6668"/>
    <x v="1"/>
    <d v="2018-12-10T00:00:00"/>
    <x v="1"/>
    <n v="3001"/>
    <x v="14"/>
    <n v="19175"/>
    <d v="2018-12-16T00:00:00"/>
    <s v="002-4600-0812"/>
    <n v="4615480457"/>
    <d v="2019-01-07T00:00:00"/>
    <n v="3.7056"/>
    <n v="1"/>
    <n v="6668"/>
    <n v="1"/>
    <n v="3367.6767676767677"/>
    <n v="0.891118776244751"/>
    <n v="1"/>
    <n v="19175"/>
    <n v="6763.7822038320437"/>
    <n v="0"/>
    <x v="85"/>
    <b v="1"/>
  </r>
  <r>
    <m/>
    <s v="CERRADO"/>
    <x v="99"/>
    <n v="7860"/>
    <x v="1"/>
    <d v="2018-12-10T00:00:00"/>
    <x v="1"/>
    <n v="3537"/>
    <x v="14"/>
    <n v="19175"/>
    <d v="2018-12-16T00:00:00"/>
    <s v="002-4600-0812"/>
    <n v="4615480457"/>
    <d v="2019-01-07T00:00:00"/>
    <n v="3.7056"/>
    <n v="1"/>
    <n v="7860"/>
    <n v="1"/>
    <n v="3969.6969696969695"/>
    <n v="0.89100000000000001"/>
    <n v="1"/>
    <n v="19175"/>
    <n v="6763.7822038320437"/>
    <n v="0"/>
    <x v="2"/>
    <b v="1"/>
  </r>
  <r>
    <m/>
    <s v="CERRADO"/>
    <x v="100"/>
    <n v="698"/>
    <x v="1"/>
    <d v="2018-12-10T00:00:00"/>
    <x v="1"/>
    <n v="384"/>
    <x v="14"/>
    <n v="19175"/>
    <d v="2018-12-16T00:00:00"/>
    <s v="002-4600-0812"/>
    <n v="4615480457"/>
    <d v="2019-01-07T00:00:00"/>
    <n v="3.7056"/>
    <n v="1"/>
    <n v="698"/>
    <n v="1"/>
    <n v="352.52525252525254"/>
    <n v="1.0892836676217765"/>
    <n v="1"/>
    <n v="19175"/>
    <n v="6763.7822038320437"/>
    <n v="0"/>
    <x v="86"/>
    <b v="1"/>
  </r>
  <r>
    <m/>
    <s v="CERRADO"/>
    <x v="101"/>
    <n v="4554"/>
    <x v="1"/>
    <d v="2018-12-10T00:00:00"/>
    <x v="1"/>
    <n v="2049"/>
    <x v="14"/>
    <n v="19175"/>
    <d v="2018-12-16T00:00:00"/>
    <s v="002-4600-0812"/>
    <n v="4615480457"/>
    <d v="2019-01-07T00:00:00"/>
    <n v="3.7056"/>
    <n v="1"/>
    <n v="4554"/>
    <n v="1"/>
    <n v="2300"/>
    <n v="0.89086956521739136"/>
    <n v="1"/>
    <n v="19175"/>
    <n v="6763.7822038320437"/>
    <n v="0"/>
    <x v="87"/>
    <b v="1"/>
  </r>
  <r>
    <m/>
    <s v="CERRADO"/>
    <x v="102"/>
    <n v="1200"/>
    <x v="1"/>
    <d v="2018-12-10T00:00:00"/>
    <x v="1"/>
    <n v="660"/>
    <x v="14"/>
    <n v="19175"/>
    <d v="2018-12-16T00:00:00"/>
    <s v="002-4600-0812"/>
    <n v="4615480457"/>
    <d v="2019-01-07T00:00:00"/>
    <n v="3.7056"/>
    <n v="1"/>
    <n v="1200"/>
    <n v="1"/>
    <n v="606.06060606060612"/>
    <n v="1.089"/>
    <n v="1"/>
    <n v="19175"/>
    <n v="6763.7822038320437"/>
    <n v="0"/>
    <x v="6"/>
    <b v="1"/>
  </r>
  <r>
    <m/>
    <s v="CERRADO"/>
    <x v="103"/>
    <n v="8356"/>
    <x v="1"/>
    <d v="2018-12-10T00:00:00"/>
    <x v="1"/>
    <n v="4596"/>
    <x v="14"/>
    <n v="19175"/>
    <d v="2018-12-16T00:00:00"/>
    <s v="002-4600-0812"/>
    <n v="4615480457"/>
    <d v="2019-01-07T00:00:00"/>
    <n v="3.7056"/>
    <n v="1"/>
    <n v="19920"/>
    <n v="1"/>
    <n v="4220.2020202020203"/>
    <n v="1.0361216271824114"/>
    <n v="1"/>
    <n v="19175"/>
    <n v="6763.7822038320437"/>
    <n v="0"/>
    <x v="88"/>
    <b v="1"/>
  </r>
  <r>
    <m/>
    <s v="CERRADO"/>
    <x v="104"/>
    <n v="11191"/>
    <x v="1"/>
    <d v="2018-12-10T00:00:00"/>
    <x v="1"/>
    <n v="5036"/>
    <x v="15"/>
    <n v="19175"/>
    <d v="2018-12-16T00:00:00"/>
    <s v="002-4600-0813"/>
    <n v="4615480457"/>
    <d v="2019-01-07T00:00:00"/>
    <n v="3.7056"/>
    <n v="1"/>
    <n v="18760"/>
    <n v="1"/>
    <n v="5652.0202020202023"/>
    <n v="0.8909999999999999"/>
    <n v="1"/>
    <n v="19175"/>
    <n v="6763.7822038320437"/>
    <n v="0"/>
    <x v="89"/>
    <b v="1"/>
  </r>
  <r>
    <m/>
    <s v="CERRADO"/>
    <x v="105"/>
    <n v="10440"/>
    <x v="1"/>
    <d v="2018-12-10T00:00:00"/>
    <x v="1"/>
    <n v="4698"/>
    <x v="15"/>
    <n v="19175"/>
    <d v="2018-12-16T00:00:00"/>
    <s v="002-4600-0813"/>
    <n v="4615480457"/>
    <d v="2019-01-07T00:00:00"/>
    <n v="3.7056"/>
    <n v="1"/>
    <n v="10440"/>
    <n v="1"/>
    <n v="5272.727272727273"/>
    <n v="0.8909999999999999"/>
    <n v="1"/>
    <n v="19175"/>
    <n v="6763.7822038320437"/>
    <n v="0"/>
    <x v="2"/>
    <b v="1"/>
  </r>
  <r>
    <m/>
    <s v="CERRADO"/>
    <x v="106"/>
    <n v="8990"/>
    <x v="1"/>
    <d v="2018-12-10T00:00:00"/>
    <x v="1"/>
    <n v="4046"/>
    <x v="15"/>
    <n v="19175"/>
    <d v="2018-12-16T00:00:00"/>
    <s v="002-4600-0813"/>
    <n v="4615480457"/>
    <d v="2019-01-07T00:00:00"/>
    <n v="3.7056"/>
    <n v="1"/>
    <n v="8990"/>
    <n v="1"/>
    <n v="4540.4040404040406"/>
    <n v="0.89111012235817566"/>
    <n v="1"/>
    <n v="19175"/>
    <n v="6763.7822038320437"/>
    <n v="0"/>
    <x v="90"/>
    <b v="1"/>
  </r>
  <r>
    <m/>
    <s v="CERRADO"/>
    <x v="107"/>
    <n v="8571"/>
    <x v="1"/>
    <d v="2018-12-10T00:00:00"/>
    <x v="1"/>
    <n v="3857"/>
    <x v="15"/>
    <n v="19175"/>
    <d v="2018-12-16T00:00:00"/>
    <s v="002-4600-0813"/>
    <n v="4615480457"/>
    <d v="2019-01-07T00:00:00"/>
    <n v="3.7056"/>
    <n v="1"/>
    <n v="8571"/>
    <n v="1"/>
    <n v="4328.787878787879"/>
    <n v="0.89101155057752879"/>
    <n v="1"/>
    <n v="19175"/>
    <n v="6763.7822038320437"/>
    <n v="0"/>
    <x v="91"/>
    <b v="1"/>
  </r>
  <r>
    <m/>
    <s v="CERRADO"/>
    <x v="108"/>
    <n v="3210"/>
    <x v="1"/>
    <d v="2018-12-10T00:00:00"/>
    <x v="1"/>
    <n v="1445"/>
    <x v="15"/>
    <n v="19175"/>
    <d v="2018-12-16T00:00:00"/>
    <s v="002-4600-0813"/>
    <n v="4615480457"/>
    <d v="2019-01-07T00:00:00"/>
    <n v="3.7056"/>
    <n v="1"/>
    <n v="3210"/>
    <n v="1"/>
    <n v="1621.2121212121212"/>
    <n v="0.8913084112149533"/>
    <n v="1"/>
    <n v="19175"/>
    <n v="6763.7822038320437"/>
    <n v="0"/>
    <x v="92"/>
    <b v="1"/>
  </r>
  <r>
    <m/>
    <s v="CERRADO"/>
    <x v="85"/>
    <n v="207"/>
    <x v="1"/>
    <d v="2018-12-10T00:00:00"/>
    <x v="1"/>
    <n v="93"/>
    <x v="15"/>
    <n v="19175"/>
    <d v="2018-12-16T00:00:00"/>
    <s v="002-4600-0813"/>
    <n v="4615480457"/>
    <d v="2019-01-07T00:00:00"/>
    <n v="3.7056"/>
    <n v="1"/>
    <n v="2756"/>
    <n v="1"/>
    <n v="104.54545454545455"/>
    <n v="0.8908563134978229"/>
    <n v="1"/>
    <n v="19175"/>
    <n v="6763.7822038320437"/>
    <n v="0"/>
    <x v="93"/>
    <b v="1"/>
  </r>
  <r>
    <m/>
    <s v="CERRADO"/>
    <x v="109"/>
    <n v="3959"/>
    <x v="1"/>
    <d v="2018-12-10T00:00:00"/>
    <x v="1"/>
    <n v="2177"/>
    <x v="16"/>
    <n v="19175"/>
    <d v="2018-12-16T00:00:00"/>
    <s v="002-4600-0814"/>
    <n v="4615480457"/>
    <d v="2019-01-07T00:00:00"/>
    <n v="3.7056"/>
    <n v="1"/>
    <n v="14630"/>
    <n v="1"/>
    <n v="1999.4949494949494"/>
    <n v="1.0889323308270678"/>
    <n v="1"/>
    <n v="19175"/>
    <n v="6763.7822038320437"/>
    <n v="0"/>
    <x v="94"/>
    <b v="1"/>
  </r>
  <r>
    <m/>
    <s v="CERRADO"/>
    <x v="110"/>
    <n v="2980"/>
    <x v="1"/>
    <d v="2018-12-10T00:00:00"/>
    <x v="1"/>
    <n v="1341"/>
    <x v="16"/>
    <n v="19175"/>
    <d v="2018-12-16T00:00:00"/>
    <s v="002-4600-0814"/>
    <n v="4615480457"/>
    <d v="2019-01-07T00:00:00"/>
    <n v="3.7056"/>
    <n v="1"/>
    <n v="2980"/>
    <n v="1"/>
    <n v="1505.0505050505051"/>
    <n v="0.89100000000000001"/>
    <n v="1"/>
    <n v="19175"/>
    <n v="6763.7822038320437"/>
    <n v="0"/>
    <x v="2"/>
    <b v="1"/>
  </r>
  <r>
    <m/>
    <s v="CERRADO"/>
    <x v="111"/>
    <n v="9820"/>
    <x v="1"/>
    <d v="2018-12-10T00:00:00"/>
    <x v="1"/>
    <n v="4419"/>
    <x v="16"/>
    <n v="19175"/>
    <d v="2018-12-16T00:00:00"/>
    <s v="002-4600-0814"/>
    <n v="4615480457"/>
    <d v="2019-01-07T00:00:00"/>
    <n v="3.7056"/>
    <n v="1"/>
    <n v="9820"/>
    <n v="1"/>
    <n v="4959.5959595959594"/>
    <n v="0.89100000000000001"/>
    <n v="1"/>
    <n v="19175"/>
    <n v="6763.7822038320437"/>
    <n v="0"/>
    <x v="2"/>
    <b v="1"/>
  </r>
  <r>
    <m/>
    <s v="CERRADO"/>
    <x v="112"/>
    <n v="301"/>
    <x v="1"/>
    <d v="2018-12-10T00:00:00"/>
    <x v="1"/>
    <n v="166"/>
    <x v="16"/>
    <n v="19175"/>
    <d v="2018-12-16T00:00:00"/>
    <s v="002-4600-0814"/>
    <n v="4615480457"/>
    <d v="2019-01-07T00:00:00"/>
    <n v="3.7056"/>
    <n v="1"/>
    <n v="301"/>
    <n v="1"/>
    <n v="152.02020202020202"/>
    <n v="1.0919601328903654"/>
    <n v="1"/>
    <n v="19175"/>
    <n v="6763.7822038320437"/>
    <n v="0"/>
    <x v="95"/>
    <b v="1"/>
  </r>
  <r>
    <m/>
    <s v="CERRADO"/>
    <x v="113"/>
    <n v="9630"/>
    <x v="1"/>
    <d v="2018-12-10T00:00:00"/>
    <x v="1"/>
    <n v="4334"/>
    <x v="16"/>
    <n v="19175"/>
    <d v="2018-12-16T00:00:00"/>
    <s v="002-4600-0814"/>
    <n v="4615480457"/>
    <d v="2019-01-07T00:00:00"/>
    <n v="3.7056"/>
    <n v="1"/>
    <n v="9630"/>
    <n v="1"/>
    <n v="4863.636363636364"/>
    <n v="0.89110280373831774"/>
    <n v="1"/>
    <n v="19175"/>
    <n v="6763.7822038320437"/>
    <n v="0"/>
    <x v="96"/>
    <b v="1"/>
  </r>
  <r>
    <m/>
    <s v="CERRADO"/>
    <x v="114"/>
    <n v="1386"/>
    <x v="1"/>
    <d v="2018-12-10T00:00:00"/>
    <x v="1"/>
    <n v="624"/>
    <x v="16"/>
    <n v="19175"/>
    <d v="2018-12-16T00:00:00"/>
    <s v="002-4600-0814"/>
    <n v="4615480457"/>
    <d v="2019-01-07T00:00:00"/>
    <n v="3.7056"/>
    <n v="1"/>
    <n v="1386"/>
    <n v="1"/>
    <n v="700"/>
    <n v="0.89142857142857146"/>
    <n v="1"/>
    <n v="19175"/>
    <n v="6763.7822038320437"/>
    <n v="0"/>
    <x v="97"/>
    <b v="1"/>
  </r>
  <r>
    <m/>
    <s v="CERRADO"/>
    <x v="115"/>
    <n v="4273"/>
    <x v="1"/>
    <d v="2018-12-10T00:00:00"/>
    <x v="1"/>
    <n v="1923"/>
    <x v="16"/>
    <n v="19175"/>
    <d v="2018-12-16T00:00:00"/>
    <s v="002-4600-0814"/>
    <n v="4615480457"/>
    <d v="2019-01-07T00:00:00"/>
    <n v="3.7056"/>
    <n v="1"/>
    <n v="4273"/>
    <n v="1"/>
    <n v="2158.0808080808083"/>
    <n v="0.89106950620173175"/>
    <n v="1"/>
    <n v="19175"/>
    <n v="6763.7822038320437"/>
    <n v="0"/>
    <x v="98"/>
    <b v="1"/>
  </r>
  <r>
    <m/>
    <s v="CERRADO"/>
    <x v="116"/>
    <n v="3460"/>
    <x v="1"/>
    <d v="2018-12-10T00:00:00"/>
    <x v="1"/>
    <n v="1903"/>
    <x v="16"/>
    <n v="19175"/>
    <d v="2018-12-16T00:00:00"/>
    <s v="002-4600-0814"/>
    <n v="4615480457"/>
    <d v="2019-01-07T00:00:00"/>
    <n v="3.7056"/>
    <n v="1"/>
    <n v="3460"/>
    <n v="1"/>
    <n v="1747.4747474747476"/>
    <n v="1.089"/>
    <n v="1"/>
    <n v="19175"/>
    <n v="6763.7822038320437"/>
    <n v="0"/>
    <x v="6"/>
    <b v="1"/>
  </r>
  <r>
    <m/>
    <s v="CERRADO"/>
    <x v="117"/>
    <n v="1740"/>
    <x v="1"/>
    <d v="2018-12-10T00:00:00"/>
    <x v="1"/>
    <n v="957"/>
    <x v="16"/>
    <n v="19175"/>
    <d v="2018-12-16T00:00:00"/>
    <s v="002-4600-0814"/>
    <n v="4615480457"/>
    <d v="2019-01-07T00:00:00"/>
    <n v="3.7056"/>
    <n v="1"/>
    <n v="1740"/>
    <n v="1"/>
    <n v="878.78787878787875"/>
    <n v="1.089"/>
    <n v="1"/>
    <n v="19175"/>
    <n v="6763.7822038320437"/>
    <n v="0"/>
    <x v="6"/>
    <b v="1"/>
  </r>
  <r>
    <m/>
    <s v="CERRADO"/>
    <x v="118"/>
    <n v="2420"/>
    <x v="1"/>
    <d v="2018-12-10T00:00:00"/>
    <x v="1"/>
    <n v="1331"/>
    <x v="16"/>
    <n v="19175"/>
    <d v="2018-12-16T00:00:00"/>
    <s v="002-4600-0814"/>
    <n v="4615480457"/>
    <d v="2019-01-07T00:00:00"/>
    <n v="3.7056"/>
    <n v="1"/>
    <n v="12040"/>
    <n v="1"/>
    <n v="1222.2222222222222"/>
    <n v="1.089"/>
    <n v="1"/>
    <n v="19175"/>
    <n v="6763.7822038320437"/>
    <n v="0"/>
    <x v="6"/>
    <b v="1"/>
  </r>
  <r>
    <m/>
    <s v="CERRADO"/>
    <x v="75"/>
    <n v="473"/>
    <x v="1"/>
    <d v="2018-12-10T00:00:00"/>
    <x v="1"/>
    <n v="260"/>
    <x v="17"/>
    <n v="19175"/>
    <d v="2018-12-16T00:00:00"/>
    <s v="002-4600-0815"/>
    <n v="4615480457"/>
    <d v="2019-01-07T00:00:00"/>
    <n v="3.7056"/>
    <n v="1"/>
    <n v="1020"/>
    <n v="1"/>
    <n v="238.88888888888889"/>
    <n v="1.089"/>
    <n v="1"/>
    <n v="19175"/>
    <n v="6763.7822038320437"/>
    <n v="0"/>
    <x v="99"/>
    <b v="1"/>
  </r>
  <r>
    <m/>
    <s v="CERRADO"/>
    <x v="119"/>
    <n v="3170"/>
    <x v="1"/>
    <d v="2018-12-10T00:00:00"/>
    <x v="1"/>
    <n v="1744"/>
    <x v="17"/>
    <n v="19175"/>
    <d v="2018-12-16T00:00:00"/>
    <s v="002-4600-0815"/>
    <n v="4615480457"/>
    <d v="2019-01-07T00:00:00"/>
    <n v="3.7056"/>
    <n v="1"/>
    <n v="3170"/>
    <n v="1"/>
    <n v="1601.0101010101009"/>
    <n v="1.0893123028391167"/>
    <n v="1"/>
    <n v="19175"/>
    <n v="6763.7822038320437"/>
    <n v="0"/>
    <x v="100"/>
    <b v="1"/>
  </r>
  <r>
    <m/>
    <s v="CERRADO"/>
    <x v="120"/>
    <n v="4740"/>
    <x v="1"/>
    <d v="2018-12-10T00:00:00"/>
    <x v="1"/>
    <n v="2607"/>
    <x v="17"/>
    <n v="19175"/>
    <d v="2018-12-16T00:00:00"/>
    <s v="002-4600-0815"/>
    <n v="4615480457"/>
    <d v="2019-01-07T00:00:00"/>
    <n v="3.7056"/>
    <n v="1"/>
    <n v="4740"/>
    <n v="1"/>
    <n v="2393.939393939394"/>
    <n v="1.089"/>
    <n v="1"/>
    <n v="19175"/>
    <n v="6763.7822038320437"/>
    <n v="0"/>
    <x v="6"/>
    <b v="1"/>
  </r>
  <r>
    <m/>
    <s v="CERRADO"/>
    <x v="121"/>
    <n v="60"/>
    <x v="1"/>
    <d v="2018-12-10T00:00:00"/>
    <x v="1"/>
    <n v="33"/>
    <x v="17"/>
    <n v="19175"/>
    <d v="2018-12-16T00:00:00"/>
    <s v="002-4600-0815"/>
    <n v="4615480457"/>
    <d v="2019-01-07T00:00:00"/>
    <n v="3.7056"/>
    <n v="1"/>
    <n v="60"/>
    <n v="1"/>
    <n v="30.303030303030305"/>
    <n v="1.089"/>
    <n v="1"/>
    <n v="19175"/>
    <n v="6763.7822038320437"/>
    <n v="0"/>
    <x v="6"/>
    <b v="1"/>
  </r>
  <r>
    <m/>
    <s v="CERRADO"/>
    <x v="122"/>
    <n v="14240"/>
    <x v="1"/>
    <d v="2018-12-10T00:00:00"/>
    <x v="1"/>
    <n v="7832"/>
    <x v="17"/>
    <n v="19175"/>
    <d v="2018-12-16T00:00:00"/>
    <s v="002-4600-0815"/>
    <n v="4615480457"/>
    <d v="2019-01-07T00:00:00"/>
    <n v="3.7056"/>
    <n v="1"/>
    <n v="14240"/>
    <n v="1"/>
    <n v="7191.9191919191917"/>
    <n v="1.089"/>
    <n v="1"/>
    <n v="19175"/>
    <n v="6763.7822038320437"/>
    <n v="0"/>
    <x v="6"/>
    <b v="1"/>
  </r>
  <r>
    <m/>
    <s v="CERRADO"/>
    <x v="123"/>
    <n v="3349"/>
    <x v="1"/>
    <d v="2018-12-10T00:00:00"/>
    <x v="1"/>
    <n v="1842"/>
    <x v="17"/>
    <n v="19175"/>
    <d v="2018-12-16T00:00:00"/>
    <s v="002-4600-0815"/>
    <n v="4615480457"/>
    <d v="2019-01-07T00:00:00"/>
    <n v="3.7056"/>
    <n v="1"/>
    <n v="3349"/>
    <n v="1"/>
    <n v="1691.4141414141413"/>
    <n v="1.0890295610630039"/>
    <n v="1"/>
    <n v="19175"/>
    <n v="6763.7822038320437"/>
    <n v="0"/>
    <x v="101"/>
    <b v="1"/>
  </r>
  <r>
    <m/>
    <s v="CERRADO"/>
    <x v="124"/>
    <n v="2102"/>
    <x v="1"/>
    <d v="2018-12-10T00:00:00"/>
    <x v="1"/>
    <n v="946"/>
    <x v="17"/>
    <n v="19175"/>
    <d v="2018-12-16T00:00:00"/>
    <s v="002-4600-0815"/>
    <n v="4615480457"/>
    <d v="2019-01-07T00:00:00"/>
    <n v="3.7056"/>
    <n v="1"/>
    <n v="2102"/>
    <n v="1"/>
    <n v="1061.6161616161617"/>
    <n v="0.89109419600380591"/>
    <n v="1"/>
    <n v="19175"/>
    <n v="6763.7822038320437"/>
    <n v="0"/>
    <x v="102"/>
    <b v="1"/>
  </r>
  <r>
    <m/>
    <s v="CERRADO"/>
    <x v="125"/>
    <n v="918"/>
    <x v="1"/>
    <d v="2018-12-10T00:00:00"/>
    <x v="1"/>
    <n v="505"/>
    <x v="17"/>
    <n v="19175"/>
    <d v="2018-12-16T00:00:00"/>
    <s v="002-4600-0815"/>
    <n v="4615480457"/>
    <d v="2019-01-07T00:00:00"/>
    <n v="3.7056"/>
    <n v="1"/>
    <n v="918"/>
    <n v="1"/>
    <n v="463.63636363636363"/>
    <n v="1.0892156862745099"/>
    <n v="1"/>
    <n v="19175"/>
    <n v="6763.7822038320437"/>
    <n v="0"/>
    <x v="103"/>
    <b v="1"/>
  </r>
  <r>
    <m/>
    <s v="CERRADO"/>
    <x v="104"/>
    <n v="7569"/>
    <x v="1"/>
    <d v="2018-12-10T00:00:00"/>
    <x v="1"/>
    <n v="3406"/>
    <x v="17"/>
    <n v="19175"/>
    <d v="2018-12-16T00:00:00"/>
    <s v="002-4600-0815"/>
    <n v="4615480457"/>
    <d v="2019-01-07T00:00:00"/>
    <n v="3.7056"/>
    <n v="1"/>
    <n v="18760"/>
    <n v="1"/>
    <n v="3822.727272727273"/>
    <n v="0.8909999999999999"/>
    <n v="1"/>
    <n v="19175"/>
    <n v="6763.7822038320437"/>
    <n v="0"/>
    <x v="104"/>
    <b v="1"/>
  </r>
  <r>
    <m/>
    <s v="CERRADO"/>
    <x v="118"/>
    <n v="9620"/>
    <x v="1"/>
    <d v="2018-12-10T00:00:00"/>
    <x v="1"/>
    <n v="5291"/>
    <x v="18"/>
    <n v="19175"/>
    <d v="2018-12-16T00:00:00"/>
    <s v="002-4600-0816"/>
    <n v="4615480457"/>
    <d v="2019-01-07T00:00:00"/>
    <n v="3.7056"/>
    <n v="1"/>
    <n v="12040"/>
    <n v="1"/>
    <n v="4858.5858585858587"/>
    <n v="1.089"/>
    <n v="1"/>
    <n v="19175"/>
    <n v="6763.7822038320437"/>
    <n v="0"/>
    <x v="6"/>
    <b v="1"/>
  </r>
  <r>
    <m/>
    <s v="CERRADO"/>
    <x v="126"/>
    <n v="1199"/>
    <x v="1"/>
    <d v="2018-12-10T00:00:00"/>
    <x v="1"/>
    <n v="540"/>
    <x v="18"/>
    <n v="19175"/>
    <d v="2018-12-16T00:00:00"/>
    <s v="002-4600-0816"/>
    <n v="4615480457"/>
    <d v="2019-01-07T00:00:00"/>
    <n v="3.7056"/>
    <n v="1"/>
    <n v="1199"/>
    <n v="1"/>
    <n v="605.55555555555554"/>
    <n v="0.8917431192660551"/>
    <n v="1"/>
    <n v="19175"/>
    <n v="6763.7822038320437"/>
    <n v="0"/>
    <x v="105"/>
    <b v="1"/>
  </r>
  <r>
    <m/>
    <s v="CERRADO"/>
    <x v="127"/>
    <n v="420"/>
    <x v="1"/>
    <d v="2018-12-10T00:00:00"/>
    <x v="1"/>
    <n v="189"/>
    <x v="18"/>
    <n v="19175"/>
    <d v="2018-12-16T00:00:00"/>
    <s v="002-4600-0816"/>
    <n v="4615480457"/>
    <d v="2019-01-07T00:00:00"/>
    <n v="3.7056"/>
    <n v="1"/>
    <n v="420"/>
    <n v="1"/>
    <n v="212.12121212121212"/>
    <n v="0.89100000000000001"/>
    <n v="1"/>
    <n v="19175"/>
    <n v="6763.7822038320437"/>
    <n v="0"/>
    <x v="2"/>
    <b v="1"/>
  </r>
  <r>
    <m/>
    <s v="CERRADO"/>
    <x v="128"/>
    <n v="595"/>
    <x v="1"/>
    <d v="2018-12-10T00:00:00"/>
    <x v="1"/>
    <n v="268"/>
    <x v="18"/>
    <n v="19175"/>
    <d v="2018-12-16T00:00:00"/>
    <s v="002-4600-0816"/>
    <n v="4615480457"/>
    <d v="2019-01-07T00:00:00"/>
    <n v="3.7056"/>
    <n v="1"/>
    <n v="595"/>
    <n v="1"/>
    <n v="300.50505050505052"/>
    <n v="0.89183193277310924"/>
    <n v="1"/>
    <n v="19175"/>
    <n v="6763.7822038320437"/>
    <n v="0"/>
    <x v="106"/>
    <b v="1"/>
  </r>
  <r>
    <m/>
    <s v="CERRADO"/>
    <x v="129"/>
    <n v="5874"/>
    <x v="1"/>
    <d v="2018-12-10T00:00:00"/>
    <x v="1"/>
    <n v="3231"/>
    <x v="18"/>
    <n v="19175"/>
    <d v="2018-12-16T00:00:00"/>
    <s v="002-4600-0816"/>
    <n v="4615480457"/>
    <d v="2019-01-07T00:00:00"/>
    <n v="3.7056"/>
    <n v="1"/>
    <n v="5874"/>
    <n v="1"/>
    <n v="2966.6666666666665"/>
    <n v="1.0891011235955057"/>
    <n v="1"/>
    <n v="19175"/>
    <n v="6763.7822038320437"/>
    <n v="0"/>
    <x v="107"/>
    <b v="1"/>
  </r>
  <r>
    <m/>
    <s v="CERRADO"/>
    <x v="130"/>
    <n v="9070"/>
    <x v="1"/>
    <d v="2018-12-10T00:00:00"/>
    <x v="1"/>
    <n v="4989"/>
    <x v="18"/>
    <n v="19175"/>
    <d v="2018-12-16T00:00:00"/>
    <s v="002-4600-0816"/>
    <n v="4615480457"/>
    <d v="2019-01-07T00:00:00"/>
    <n v="3.7056"/>
    <n v="1"/>
    <n v="9070"/>
    <n v="1"/>
    <n v="4580.8080808080813"/>
    <n v="1.0891091510474089"/>
    <n v="1"/>
    <n v="19175"/>
    <n v="6763.7822038320437"/>
    <n v="0"/>
    <x v="108"/>
    <b v="1"/>
  </r>
  <r>
    <m/>
    <s v="CERRADO"/>
    <x v="131"/>
    <n v="7110"/>
    <x v="1"/>
    <d v="2018-12-10T00:00:00"/>
    <x v="1"/>
    <n v="3911"/>
    <x v="18"/>
    <n v="19175"/>
    <d v="2018-12-16T00:00:00"/>
    <s v="002-4600-0816"/>
    <n v="4615480457"/>
    <d v="2019-01-07T00:00:00"/>
    <n v="3.7056"/>
    <n v="1"/>
    <n v="7110"/>
    <n v="1"/>
    <n v="3590.909090909091"/>
    <n v="1.0891392405063292"/>
    <n v="1"/>
    <n v="19175"/>
    <n v="6763.7822038320437"/>
    <n v="0"/>
    <x v="109"/>
    <b v="1"/>
  </r>
  <r>
    <m/>
    <s v="CERRADO"/>
    <x v="91"/>
    <n v="1375"/>
    <x v="1"/>
    <d v="2018-12-10T00:00:00"/>
    <x v="1"/>
    <n v="756"/>
    <x v="18"/>
    <n v="19175"/>
    <d v="2018-12-16T00:00:00"/>
    <s v="002-4600-0816"/>
    <n v="4615480457"/>
    <d v="2019-01-07T00:00:00"/>
    <n v="3.7056"/>
    <n v="1"/>
    <n v="4249"/>
    <n v="1"/>
    <n v="694.44444444444446"/>
    <n v="1.0890232995999058"/>
    <n v="1"/>
    <n v="19175"/>
    <n v="6763.7822038320437"/>
    <n v="0"/>
    <x v="110"/>
    <b v="1"/>
  </r>
  <r>
    <m/>
    <s v="CERRADO"/>
    <x v="90"/>
    <n v="8700"/>
    <x v="1"/>
    <d v="2018-12-10T00:00:00"/>
    <x v="1"/>
    <n v="4785"/>
    <x v="19"/>
    <n v="19175"/>
    <d v="2018-12-16T00:00:00"/>
    <s v="002-4600-0817"/>
    <n v="4615480457"/>
    <d v="2019-01-07T00:00:00"/>
    <n v="3.7056"/>
    <n v="1"/>
    <n v="10604"/>
    <n v="1"/>
    <n v="4393.939393939394"/>
    <n v="1.0889626556016598"/>
    <n v="1"/>
    <n v="19175"/>
    <n v="6763.7822038320437"/>
    <n v="0"/>
    <x v="6"/>
    <b v="1"/>
  </r>
  <r>
    <m/>
    <s v="CERRADO"/>
    <x v="132"/>
    <n v="3790"/>
    <x v="1"/>
    <d v="2018-12-10T00:00:00"/>
    <x v="1"/>
    <n v="1706"/>
    <x v="19"/>
    <n v="19175"/>
    <d v="2018-12-16T00:00:00"/>
    <s v="002-4600-0817"/>
    <n v="4615480457"/>
    <d v="2019-01-07T00:00:00"/>
    <n v="3.7056"/>
    <n v="1"/>
    <n v="3790"/>
    <n v="1"/>
    <n v="1914.1414141414141"/>
    <n v="0.89126121372031664"/>
    <n v="1"/>
    <n v="19175"/>
    <n v="6763.7822038320437"/>
    <n v="0"/>
    <x v="111"/>
    <b v="1"/>
  </r>
  <r>
    <m/>
    <s v="CERRADO"/>
    <x v="133"/>
    <n v="12390"/>
    <x v="1"/>
    <d v="2018-12-10T00:00:00"/>
    <x v="1"/>
    <n v="6815"/>
    <x v="19"/>
    <n v="19175"/>
    <d v="2018-12-16T00:00:00"/>
    <s v="002-4600-0817"/>
    <n v="4615480457"/>
    <d v="2019-01-07T00:00:00"/>
    <n v="3.7056"/>
    <n v="1"/>
    <n v="12390"/>
    <n v="1"/>
    <n v="6257.575757575758"/>
    <n v="1.0890799031476996"/>
    <n v="1"/>
    <n v="19175"/>
    <n v="6763.7822038320437"/>
    <n v="0"/>
    <x v="112"/>
    <b v="1"/>
  </r>
  <r>
    <m/>
    <s v="CERRADO"/>
    <x v="109"/>
    <n v="10671"/>
    <x v="1"/>
    <d v="2018-12-10T00:00:00"/>
    <x v="1"/>
    <n v="5869"/>
    <x v="19"/>
    <n v="19175"/>
    <d v="2018-12-16T00:00:00"/>
    <s v="002-4600-0817"/>
    <n v="4615480457"/>
    <d v="2019-01-07T00:00:00"/>
    <n v="3.7056"/>
    <n v="1"/>
    <n v="14630"/>
    <n v="1"/>
    <n v="5389.393939393939"/>
    <n v="1.0889323308270678"/>
    <n v="1"/>
    <n v="19175"/>
    <n v="6763.7822038320437"/>
    <n v="0"/>
    <x v="113"/>
    <b v="1"/>
  </r>
  <r>
    <m/>
    <s v="CERRADO"/>
    <x v="134"/>
    <n v="4987"/>
    <x v="2"/>
    <d v="2018-12-20T00:00:00"/>
    <x v="2"/>
    <n v="2244"/>
    <x v="20"/>
    <n v="21000"/>
    <d v="2018-12-31T00:00:00"/>
    <s v="002-4600-0838"/>
    <n v="4615466871"/>
    <d v="2019-01-22T00:00:00"/>
    <n v="3.7608999999999999"/>
    <n v="1"/>
    <n v="18060"/>
    <n v="1"/>
    <n v="2740.1098901098899"/>
    <n v="0.81900000000000006"/>
    <n v="1"/>
    <n v="19175"/>
    <n v="6763.7822038320437"/>
    <n v="0"/>
    <x v="114"/>
    <b v="1"/>
  </r>
  <r>
    <m/>
    <s v="CERRADO"/>
    <x v="135"/>
    <n v="11880"/>
    <x v="2"/>
    <d v="2018-12-20T00:00:00"/>
    <x v="2"/>
    <n v="6534"/>
    <x v="20"/>
    <n v="21000"/>
    <d v="2018-12-31T00:00:00"/>
    <s v="002-4600-0838"/>
    <n v="4615466871"/>
    <d v="2019-01-22T00:00:00"/>
    <n v="3.7608999999999999"/>
    <n v="1"/>
    <n v="11880"/>
    <n v="1"/>
    <n v="6527.472527472527"/>
    <n v="1.0010000000000001"/>
    <n v="1"/>
    <n v="19175"/>
    <n v="6763.7822038320437"/>
    <n v="0"/>
    <x v="6"/>
    <b v="1"/>
  </r>
  <r>
    <m/>
    <s v="CERRADO"/>
    <x v="136"/>
    <n v="3060"/>
    <x v="2"/>
    <d v="2018-12-20T00:00:00"/>
    <x v="2"/>
    <n v="1683"/>
    <x v="20"/>
    <n v="21000"/>
    <d v="2018-12-31T00:00:00"/>
    <s v="002-4600-0838"/>
    <n v="4615466871"/>
    <d v="2019-01-22T00:00:00"/>
    <n v="3.7608999999999999"/>
    <n v="1"/>
    <n v="4448"/>
    <n v="1"/>
    <n v="1681.3186813186812"/>
    <n v="0.94437050359712238"/>
    <n v="1"/>
    <n v="19175"/>
    <n v="6763.7822038320437"/>
    <n v="0"/>
    <x v="6"/>
    <b v="1"/>
  </r>
  <r>
    <m/>
    <s v="CERRADO"/>
    <x v="136"/>
    <n v="1388"/>
    <x v="2"/>
    <d v="2018-12-20T00:00:00"/>
    <x v="2"/>
    <n v="625"/>
    <x v="20"/>
    <n v="21000"/>
    <d v="2018-12-31T00:00:00"/>
    <s v="002-4600-0838"/>
    <n v="4615466871"/>
    <d v="2019-01-22T00:00:00"/>
    <n v="3.7608999999999999"/>
    <n v="1"/>
    <n v="4448"/>
    <n v="1"/>
    <n v="762.63736263736257"/>
    <n v="0.94437050359712238"/>
    <n v="1"/>
    <n v="19175"/>
    <n v="6763.7822038320437"/>
    <n v="0"/>
    <x v="115"/>
    <b v="1"/>
  </r>
  <r>
    <m/>
    <s v="CERRADO"/>
    <x v="137"/>
    <n v="12740"/>
    <x v="2"/>
    <d v="2018-12-20T00:00:00"/>
    <x v="2"/>
    <n v="7007"/>
    <x v="20"/>
    <n v="21000"/>
    <d v="2018-12-31T00:00:00"/>
    <s v="002-4600-0838"/>
    <n v="4615466871"/>
    <d v="2019-01-22T00:00:00"/>
    <n v="3.7608999999999999"/>
    <n v="1"/>
    <n v="12740"/>
    <n v="1"/>
    <n v="7000"/>
    <n v="1.0009999999999999"/>
    <n v="1"/>
    <n v="19175"/>
    <n v="6763.7822038320437"/>
    <n v="0"/>
    <x v="6"/>
    <b v="1"/>
  </r>
  <r>
    <m/>
    <s v="CERRADO"/>
    <x v="138"/>
    <n v="840"/>
    <x v="2"/>
    <d v="2018-12-20T00:00:00"/>
    <x v="2"/>
    <n v="462"/>
    <x v="20"/>
    <n v="21000"/>
    <d v="2018-12-31T00:00:00"/>
    <s v="002-4600-0838"/>
    <n v="4615466871"/>
    <d v="2019-01-22T00:00:00"/>
    <n v="3.7608999999999999"/>
    <n v="1"/>
    <n v="840"/>
    <n v="1"/>
    <n v="461.53846153846155"/>
    <n v="1.0009999999999999"/>
    <n v="1"/>
    <n v="19175"/>
    <n v="6763.7822038320437"/>
    <n v="0"/>
    <x v="6"/>
    <b v="1"/>
  </r>
  <r>
    <m/>
    <s v="CERRADO"/>
    <x v="139"/>
    <n v="4445"/>
    <x v="2"/>
    <d v="2018-12-20T00:00:00"/>
    <x v="2"/>
    <n v="2445"/>
    <x v="20"/>
    <n v="21000"/>
    <d v="2018-12-31T00:00:00"/>
    <s v="002-4600-0838"/>
    <n v="4615466871"/>
    <d v="2019-01-22T00:00:00"/>
    <n v="3.7608999999999999"/>
    <n v="1"/>
    <n v="13970"/>
    <n v="1"/>
    <n v="2442.3076923076924"/>
    <n v="1.0010651395848247"/>
    <n v="1"/>
    <n v="19175"/>
    <n v="6763.7822038320437"/>
    <n v="0"/>
    <x v="116"/>
    <b v="1"/>
  </r>
  <r>
    <m/>
    <s v="CERRADO"/>
    <x v="139"/>
    <n v="9525"/>
    <x v="2"/>
    <d v="2018-12-20T00:00:00"/>
    <x v="2"/>
    <n v="5239"/>
    <x v="21"/>
    <n v="21000"/>
    <d v="2018-12-31T00:00:00"/>
    <s v="002-4600-0839"/>
    <n v="4615466871"/>
    <d v="2019-01-22T00:00:00"/>
    <n v="3.7608999999999999"/>
    <n v="1"/>
    <n v="13970"/>
    <n v="1"/>
    <n v="5233.5164835164833"/>
    <n v="1.0010651395848247"/>
    <n v="1"/>
    <n v="19175"/>
    <n v="6763.7822038320437"/>
    <n v="0"/>
    <x v="117"/>
    <b v="1"/>
  </r>
  <r>
    <m/>
    <s v="CERRADO"/>
    <x v="140"/>
    <n v="12390"/>
    <x v="2"/>
    <d v="2018-12-20T00:00:00"/>
    <x v="2"/>
    <n v="6815"/>
    <x v="21"/>
    <n v="21000"/>
    <d v="2018-12-31T00:00:00"/>
    <s v="002-4600-0839"/>
    <n v="4615466871"/>
    <d v="2019-01-22T00:00:00"/>
    <n v="3.7608999999999999"/>
    <n v="1"/>
    <n v="12390"/>
    <n v="1"/>
    <n v="6807.6923076923076"/>
    <n v="1.0010734463276836"/>
    <n v="1"/>
    <n v="19175"/>
    <n v="6763.7822038320437"/>
    <n v="0"/>
    <x v="112"/>
    <b v="1"/>
  </r>
  <r>
    <m/>
    <s v="CERRADO"/>
    <x v="141"/>
    <n v="14880"/>
    <x v="2"/>
    <d v="2018-12-20T00:00:00"/>
    <x v="2"/>
    <n v="8184"/>
    <x v="21"/>
    <n v="21000"/>
    <d v="2018-12-31T00:00:00"/>
    <s v="002-4600-0839"/>
    <n v="4615466871"/>
    <d v="2019-01-22T00:00:00"/>
    <n v="3.7608999999999999"/>
    <n v="1"/>
    <n v="14880"/>
    <n v="1"/>
    <n v="8175.8241758241757"/>
    <n v="1.0010000000000001"/>
    <n v="1"/>
    <n v="19175"/>
    <n v="6763.7822038320437"/>
    <n v="0"/>
    <x v="6"/>
    <b v="1"/>
  </r>
  <r>
    <m/>
    <s v="CERRADO"/>
    <x v="142"/>
    <n v="1385"/>
    <x v="2"/>
    <d v="2018-12-20T00:00:00"/>
    <x v="2"/>
    <n v="762"/>
    <x v="21"/>
    <n v="21000"/>
    <d v="2018-12-31T00:00:00"/>
    <s v="002-4600-0839"/>
    <n v="4615466871"/>
    <d v="2019-01-22T00:00:00"/>
    <n v="3.7608999999999999"/>
    <n v="1"/>
    <n v="17190"/>
    <n v="1"/>
    <n v="760.98901098901092"/>
    <n v="1.0010529377545085"/>
    <n v="1"/>
    <n v="19175"/>
    <n v="6763.7822038320437"/>
    <n v="0"/>
    <x v="118"/>
    <b v="1"/>
  </r>
  <r>
    <m/>
    <s v="CERRADO"/>
    <x v="143"/>
    <n v="5607"/>
    <x v="2"/>
    <d v="2018-12-20T00:00:00"/>
    <x v="2"/>
    <n v="2523"/>
    <x v="22"/>
    <n v="21000"/>
    <d v="2018-12-31T00:00:00"/>
    <s v="002-4600-0840"/>
    <n v="4615466871"/>
    <d v="2019-01-22T00:00:00"/>
    <n v="3.7608999999999999"/>
    <n v="1"/>
    <n v="9240"/>
    <n v="1"/>
    <n v="3080.7692307692305"/>
    <n v="0.81900000000000006"/>
    <n v="1"/>
    <n v="19175"/>
    <n v="6763.7822038320437"/>
    <n v="0"/>
    <x v="119"/>
    <b v="1"/>
  </r>
  <r>
    <m/>
    <s v="CERRADO"/>
    <x v="144"/>
    <n v="5080"/>
    <x v="2"/>
    <d v="2018-12-20T00:00:00"/>
    <x v="2"/>
    <n v="2794"/>
    <x v="22"/>
    <n v="21000"/>
    <d v="2018-12-31T00:00:00"/>
    <s v="002-4600-0840"/>
    <n v="4615466871"/>
    <d v="2019-01-22T00:00:00"/>
    <n v="3.7608999999999999"/>
    <n v="1"/>
    <n v="5926"/>
    <n v="1"/>
    <n v="2791.2087912087909"/>
    <n v="0.97510968612892346"/>
    <n v="1"/>
    <n v="19175"/>
    <n v="6763.7822038320437"/>
    <n v="0"/>
    <x v="6"/>
    <b v="1"/>
  </r>
  <r>
    <m/>
    <s v="CERRADO"/>
    <x v="144"/>
    <n v="846"/>
    <x v="2"/>
    <d v="2018-12-20T00:00:00"/>
    <x v="2"/>
    <n v="381"/>
    <x v="22"/>
    <n v="21000"/>
    <d v="2018-12-31T00:00:00"/>
    <s v="002-4600-0840"/>
    <n v="4615466871"/>
    <d v="2019-01-22T00:00:00"/>
    <n v="3.7608999999999999"/>
    <n v="1"/>
    <n v="5926"/>
    <n v="1"/>
    <n v="464.83516483516485"/>
    <n v="0.97510968612892346"/>
    <n v="1"/>
    <n v="19175"/>
    <n v="6763.7822038320437"/>
    <n v="0"/>
    <x v="120"/>
    <b v="1"/>
  </r>
  <r>
    <m/>
    <s v="CERRADO"/>
    <x v="145"/>
    <n v="2730"/>
    <x v="2"/>
    <d v="2018-12-20T00:00:00"/>
    <x v="2"/>
    <n v="1502"/>
    <x v="22"/>
    <n v="21000"/>
    <d v="2018-12-31T00:00:00"/>
    <s v="002-4600-0840"/>
    <n v="4615466871"/>
    <d v="2019-01-22T00:00:00"/>
    <n v="3.7608999999999999"/>
    <n v="1"/>
    <n v="2730"/>
    <n v="1"/>
    <n v="1500"/>
    <n v="1.0013333333333334"/>
    <n v="1"/>
    <n v="19175"/>
    <n v="6763.7822038320437"/>
    <n v="0"/>
    <x v="121"/>
    <b v="1"/>
  </r>
  <r>
    <m/>
    <s v="CERRADO"/>
    <x v="146"/>
    <n v="433"/>
    <x v="2"/>
    <d v="2018-12-20T00:00:00"/>
    <x v="2"/>
    <n v="238"/>
    <x v="22"/>
    <n v="21000"/>
    <d v="2018-12-31T00:00:00"/>
    <s v="002-4600-0840"/>
    <n v="4615466871"/>
    <d v="2019-01-22T00:00:00"/>
    <n v="3.7608999999999999"/>
    <n v="1"/>
    <n v="1903"/>
    <n v="1"/>
    <n v="237.91208791208791"/>
    <n v="1.0013347346295325"/>
    <n v="1"/>
    <n v="19175"/>
    <n v="6763.7822038320437"/>
    <n v="0"/>
    <x v="122"/>
    <b v="1"/>
  </r>
  <r>
    <m/>
    <s v="CERRADO"/>
    <x v="146"/>
    <n v="1470"/>
    <x v="2"/>
    <d v="2018-12-20T00:00:00"/>
    <x v="2"/>
    <n v="809"/>
    <x v="22"/>
    <n v="21000"/>
    <d v="2018-12-31T00:00:00"/>
    <s v="002-4600-0840"/>
    <n v="4615466871"/>
    <d v="2019-01-22T00:00:00"/>
    <n v="3.7608999999999999"/>
    <n v="1"/>
    <n v="1903"/>
    <n v="1"/>
    <n v="807.69230769230762"/>
    <n v="1.0013347346295325"/>
    <n v="1"/>
    <n v="19175"/>
    <n v="6763.7822038320437"/>
    <n v="0"/>
    <x v="123"/>
    <b v="1"/>
  </r>
  <r>
    <m/>
    <s v="CERRADO"/>
    <x v="147"/>
    <n v="2523"/>
    <x v="2"/>
    <d v="2018-12-20T00:00:00"/>
    <x v="2"/>
    <n v="1135"/>
    <x v="22"/>
    <n v="21000"/>
    <d v="2018-12-31T00:00:00"/>
    <s v="002-4600-0840"/>
    <n v="4615466871"/>
    <d v="2019-01-22T00:00:00"/>
    <n v="3.7608999999999999"/>
    <n v="1"/>
    <n v="2523"/>
    <n v="1"/>
    <n v="1386.2637362637363"/>
    <n v="0.81874752279032892"/>
    <n v="1"/>
    <n v="19175"/>
    <n v="6763.7822038320437"/>
    <n v="0"/>
    <x v="124"/>
    <b v="1"/>
  </r>
  <r>
    <m/>
    <s v="CERRADO"/>
    <x v="148"/>
    <n v="7732"/>
    <x v="2"/>
    <d v="2018-12-20T00:00:00"/>
    <x v="2"/>
    <n v="4253"/>
    <x v="22"/>
    <n v="21000"/>
    <d v="2018-12-31T00:00:00"/>
    <s v="002-4600-0840"/>
    <n v="4615466871"/>
    <d v="2019-01-22T00:00:00"/>
    <n v="3.7608999999999999"/>
    <n v="1"/>
    <n v="7732"/>
    <n v="1"/>
    <n v="4248.3516483516478"/>
    <n v="1.0010941541645113"/>
    <n v="1"/>
    <n v="19175"/>
    <n v="6763.7822038320437"/>
    <n v="0"/>
    <x v="125"/>
    <b v="1"/>
  </r>
  <r>
    <m/>
    <s v="CERRADO"/>
    <x v="149"/>
    <n v="3294"/>
    <x v="2"/>
    <d v="2018-12-20T00:00:00"/>
    <x v="2"/>
    <n v="1482"/>
    <x v="22"/>
    <n v="21000"/>
    <d v="2018-12-31T00:00:00"/>
    <s v="002-4600-0840"/>
    <n v="4615466871"/>
    <d v="2019-01-22T00:00:00"/>
    <n v="3.7608999999999999"/>
    <n v="1"/>
    <n v="3294"/>
    <n v="1"/>
    <n v="1809.8901098901099"/>
    <n v="0.81883424408014571"/>
    <n v="1"/>
    <n v="19175"/>
    <n v="6763.7822038320437"/>
    <n v="0"/>
    <x v="126"/>
    <b v="1"/>
  </r>
  <r>
    <m/>
    <s v="CERRADO"/>
    <x v="134"/>
    <n v="13073"/>
    <x v="2"/>
    <d v="2018-12-20T00:00:00"/>
    <x v="2"/>
    <n v="5883"/>
    <x v="22"/>
    <n v="21000"/>
    <d v="2018-12-31T00:00:00"/>
    <s v="002-4600-0840"/>
    <n v="4615466871"/>
    <d v="2019-01-22T00:00:00"/>
    <n v="3.7608999999999999"/>
    <n v="1"/>
    <n v="18060"/>
    <n v="1"/>
    <n v="7182.9670329670325"/>
    <n v="0.81900000000000006"/>
    <n v="1"/>
    <n v="19175"/>
    <n v="6763.7822038320437"/>
    <n v="0"/>
    <x v="127"/>
    <b v="1"/>
  </r>
  <r>
    <m/>
    <s v="CERRADO"/>
    <x v="150"/>
    <n v="1259"/>
    <x v="2"/>
    <d v="2018-12-20T00:00:00"/>
    <x v="2"/>
    <n v="567"/>
    <x v="23"/>
    <n v="21000"/>
    <d v="2018-12-31T00:00:00"/>
    <s v="002-4600-0841"/>
    <n v="4615466871"/>
    <d v="2019-01-22T00:00:00"/>
    <n v="3.7608999999999999"/>
    <n v="1"/>
    <n v="3055"/>
    <n v="1"/>
    <n v="691.75824175824175"/>
    <n v="0.81914893617021278"/>
    <n v="1"/>
    <n v="19175"/>
    <n v="6763.7822038320437"/>
    <n v="0"/>
    <x v="128"/>
    <b v="1"/>
  </r>
  <r>
    <m/>
    <s v="CERRADO"/>
    <x v="151"/>
    <n v="14900"/>
    <x v="2"/>
    <d v="2018-12-20T00:00:00"/>
    <x v="2"/>
    <n v="8195"/>
    <x v="23"/>
    <n v="21000"/>
    <d v="2018-12-31T00:00:00"/>
    <s v="002-4600-0841"/>
    <n v="4615466871"/>
    <d v="2019-01-22T00:00:00"/>
    <n v="3.7608999999999999"/>
    <n v="1"/>
    <n v="14900"/>
    <n v="1"/>
    <n v="8186.8131868131868"/>
    <n v="1.0010000000000001"/>
    <n v="1"/>
    <n v="19175"/>
    <n v="6763.7822038320437"/>
    <n v="0"/>
    <x v="6"/>
    <b v="1"/>
  </r>
  <r>
    <m/>
    <s v="CERRADO"/>
    <x v="152"/>
    <n v="3740"/>
    <x v="2"/>
    <d v="2018-12-20T00:00:00"/>
    <x v="2"/>
    <n v="1683"/>
    <x v="23"/>
    <n v="21000"/>
    <d v="2018-12-31T00:00:00"/>
    <s v="002-4600-0841"/>
    <n v="4615466871"/>
    <d v="2019-01-22T00:00:00"/>
    <n v="3.7608999999999999"/>
    <n v="1"/>
    <n v="3740"/>
    <n v="1"/>
    <n v="2054.9450549450548"/>
    <n v="0.81900000000000006"/>
    <n v="1"/>
    <n v="19175"/>
    <n v="6763.7822038320437"/>
    <n v="0"/>
    <x v="2"/>
    <b v="1"/>
  </r>
  <r>
    <m/>
    <s v="CERRADO"/>
    <x v="153"/>
    <n v="11250"/>
    <x v="2"/>
    <d v="2018-12-20T00:00:00"/>
    <x v="2"/>
    <n v="5063"/>
    <x v="23"/>
    <n v="21000"/>
    <d v="2018-12-31T00:00:00"/>
    <s v="002-4600-0841"/>
    <n v="4615466871"/>
    <d v="2019-01-22T00:00:00"/>
    <n v="3.7608999999999999"/>
    <n v="1"/>
    <n v="11250"/>
    <n v="1"/>
    <n v="6181.3186813186812"/>
    <n v="0.81908088888888886"/>
    <n v="1"/>
    <n v="19175"/>
    <n v="6763.7822038320437"/>
    <n v="0"/>
    <x v="129"/>
    <b v="1"/>
  </r>
  <r>
    <m/>
    <s v="CERRADO"/>
    <x v="154"/>
    <n v="2340"/>
    <x v="2"/>
    <d v="2018-12-20T00:00:00"/>
    <x v="2"/>
    <n v="1053"/>
    <x v="23"/>
    <n v="21000"/>
    <d v="2018-12-31T00:00:00"/>
    <s v="002-4600-0841"/>
    <n v="4615466871"/>
    <d v="2019-01-22T00:00:00"/>
    <n v="3.7608999999999999"/>
    <n v="1"/>
    <n v="2340"/>
    <n v="1"/>
    <n v="1285.7142857142858"/>
    <n v="0.81899999999999995"/>
    <n v="1"/>
    <n v="19175"/>
    <n v="6763.7822038320437"/>
    <n v="0"/>
    <x v="2"/>
    <b v="1"/>
  </r>
  <r>
    <m/>
    <s v="CERRADO"/>
    <x v="155"/>
    <n v="6230"/>
    <x v="2"/>
    <d v="2018-12-20T00:00:00"/>
    <x v="2"/>
    <n v="2804"/>
    <x v="23"/>
    <n v="21000"/>
    <d v="2018-12-31T00:00:00"/>
    <s v="002-4600-0841"/>
    <n v="4615466871"/>
    <d v="2019-01-22T00:00:00"/>
    <n v="3.7608999999999999"/>
    <n v="1"/>
    <n v="6230"/>
    <n v="1"/>
    <n v="3423.0769230769229"/>
    <n v="0.81914606741573037"/>
    <n v="1"/>
    <n v="19175"/>
    <n v="6763.7822038320437"/>
    <n v="0"/>
    <x v="130"/>
    <b v="1"/>
  </r>
  <r>
    <m/>
    <s v="CERRADO"/>
    <x v="143"/>
    <n v="3633"/>
    <x v="2"/>
    <d v="2018-12-20T00:00:00"/>
    <x v="2"/>
    <n v="1635"/>
    <x v="23"/>
    <n v="21000"/>
    <d v="2018-12-31T00:00:00"/>
    <s v="002-4600-0841"/>
    <n v="4615466871"/>
    <d v="2019-01-22T00:00:00"/>
    <n v="3.7608999999999999"/>
    <n v="1"/>
    <n v="9240"/>
    <n v="1"/>
    <n v="1996.1538461538462"/>
    <n v="0.81900000000000006"/>
    <n v="1"/>
    <n v="19175"/>
    <n v="6763.7822038320437"/>
    <n v="0"/>
    <x v="32"/>
    <b v="1"/>
  </r>
  <r>
    <m/>
    <s v="CERRADO"/>
    <x v="156"/>
    <n v="374"/>
    <x v="2"/>
    <d v="2018-12-20T00:00:00"/>
    <x v="2"/>
    <n v="168"/>
    <x v="24"/>
    <n v="21000"/>
    <d v="2018-12-31T00:00:00"/>
    <s v="002-4600-0842"/>
    <n v="4615466871"/>
    <d v="2019-01-22T00:00:00"/>
    <n v="3.7608999999999999"/>
    <n v="1"/>
    <n v="6003"/>
    <n v="1"/>
    <n v="205.49450549450549"/>
    <n v="0.81889388639013827"/>
    <n v="1"/>
    <n v="19175"/>
    <n v="6763.7822038320437"/>
    <n v="0"/>
    <x v="131"/>
    <b v="1"/>
  </r>
  <r>
    <m/>
    <s v="CERRADO"/>
    <x v="157"/>
    <n v="860"/>
    <x v="2"/>
    <d v="2018-12-20T00:00:00"/>
    <x v="2"/>
    <n v="473"/>
    <x v="24"/>
    <n v="21000"/>
    <d v="2018-12-31T00:00:00"/>
    <s v="002-4600-0842"/>
    <n v="4615466871"/>
    <d v="2019-01-22T00:00:00"/>
    <n v="3.7608999999999999"/>
    <n v="1"/>
    <n v="860"/>
    <n v="1"/>
    <n v="472.52747252747253"/>
    <n v="1.0010000000000001"/>
    <n v="1"/>
    <n v="19175"/>
    <n v="6763.7822038320437"/>
    <n v="0"/>
    <x v="6"/>
    <b v="1"/>
  </r>
  <r>
    <m/>
    <s v="CERRADO"/>
    <x v="158"/>
    <n v="359"/>
    <x v="2"/>
    <d v="2018-12-20T00:00:00"/>
    <x v="2"/>
    <n v="162"/>
    <x v="24"/>
    <n v="21000"/>
    <d v="2018-12-31T00:00:00"/>
    <s v="002-4600-0842"/>
    <n v="4615466871"/>
    <d v="2019-01-22T00:00:00"/>
    <n v="3.7608999999999999"/>
    <n v="1"/>
    <n v="359"/>
    <n v="1"/>
    <n v="197.25274725274724"/>
    <n v="0.82128133704735384"/>
    <n v="1"/>
    <n v="19175"/>
    <n v="6763.7822038320437"/>
    <n v="0"/>
    <x v="132"/>
    <b v="1"/>
  </r>
  <r>
    <m/>
    <s v="CERRADO"/>
    <x v="159"/>
    <n v="839"/>
    <x v="2"/>
    <d v="2018-12-20T00:00:00"/>
    <x v="2"/>
    <n v="378"/>
    <x v="24"/>
    <n v="21000"/>
    <d v="2018-12-31T00:00:00"/>
    <s v="002-4600-0842"/>
    <n v="4615466871"/>
    <d v="2019-01-22T00:00:00"/>
    <n v="3.7608999999999999"/>
    <n v="1"/>
    <n v="839"/>
    <n v="1"/>
    <n v="460.98901098901098"/>
    <n v="0.81997616209773538"/>
    <n v="1"/>
    <n v="19175"/>
    <n v="6763.7822038320437"/>
    <n v="0"/>
    <x v="133"/>
    <b v="1"/>
  </r>
  <r>
    <m/>
    <s v="CERRADO"/>
    <x v="160"/>
    <n v="11330"/>
    <x v="2"/>
    <d v="2018-12-20T00:00:00"/>
    <x v="2"/>
    <n v="6232"/>
    <x v="24"/>
    <n v="21000"/>
    <d v="2018-12-31T00:00:00"/>
    <s v="002-4600-0842"/>
    <n v="4615466871"/>
    <d v="2019-01-22T00:00:00"/>
    <n v="3.7608999999999999"/>
    <n v="1"/>
    <n v="11330"/>
    <n v="1"/>
    <n v="6225.2747252747249"/>
    <n v="1.0010803177405119"/>
    <n v="1"/>
    <n v="19175"/>
    <n v="6763.7822038320437"/>
    <n v="0"/>
    <x v="134"/>
    <b v="1"/>
  </r>
  <r>
    <m/>
    <s v="CERRADO"/>
    <x v="161"/>
    <n v="1020"/>
    <x v="2"/>
    <d v="2018-12-20T00:00:00"/>
    <x v="2"/>
    <n v="561"/>
    <x v="24"/>
    <n v="21000"/>
    <d v="2018-12-31T00:00:00"/>
    <s v="002-4600-0842"/>
    <n v="4615466871"/>
    <d v="2019-01-22T00:00:00"/>
    <n v="3.7608999999999999"/>
    <n v="1"/>
    <n v="1020"/>
    <n v="1"/>
    <n v="560.43956043956041"/>
    <n v="1.0010000000000001"/>
    <n v="1"/>
    <n v="19175"/>
    <n v="6763.7822038320437"/>
    <n v="0"/>
    <x v="6"/>
    <b v="1"/>
  </r>
  <r>
    <m/>
    <s v="CERRADO"/>
    <x v="162"/>
    <n v="1200"/>
    <x v="2"/>
    <d v="2018-12-20T00:00:00"/>
    <x v="2"/>
    <n v="540"/>
    <x v="24"/>
    <n v="21000"/>
    <d v="2018-12-31T00:00:00"/>
    <s v="002-4600-0842"/>
    <n v="4615466871"/>
    <d v="2019-01-22T00:00:00"/>
    <n v="3.7608999999999999"/>
    <n v="1"/>
    <n v="1200"/>
    <n v="1"/>
    <n v="659.34065934065927"/>
    <n v="0.81900000000000006"/>
    <n v="1"/>
    <n v="19175"/>
    <n v="6763.7822038320437"/>
    <n v="0"/>
    <x v="2"/>
    <b v="1"/>
  </r>
  <r>
    <m/>
    <s v="CERRADO"/>
    <x v="163"/>
    <n v="9010"/>
    <x v="2"/>
    <d v="2018-12-20T00:00:00"/>
    <x v="2"/>
    <n v="4956"/>
    <x v="24"/>
    <n v="21000"/>
    <d v="2018-12-31T00:00:00"/>
    <s v="002-4600-0842"/>
    <n v="4615466871"/>
    <d v="2019-01-22T00:00:00"/>
    <n v="3.7608999999999999"/>
    <n v="1"/>
    <n v="9010"/>
    <n v="1"/>
    <n v="4950.5494505494507"/>
    <n v="1.0011009988901221"/>
    <n v="1"/>
    <n v="19175"/>
    <n v="6763.7822038320437"/>
    <n v="0"/>
    <x v="135"/>
    <b v="1"/>
  </r>
  <r>
    <m/>
    <s v="CERRADO"/>
    <x v="164"/>
    <n v="718"/>
    <x v="2"/>
    <d v="2018-12-20T00:00:00"/>
    <x v="2"/>
    <n v="323"/>
    <x v="24"/>
    <n v="21000"/>
    <d v="2018-12-31T00:00:00"/>
    <s v="002-4600-0842"/>
    <n v="4615466871"/>
    <d v="2019-01-22T00:00:00"/>
    <n v="3.7608999999999999"/>
    <n v="1"/>
    <n v="718"/>
    <n v="1"/>
    <n v="394.50549450549448"/>
    <n v="0.81874651810584964"/>
    <n v="1"/>
    <n v="19175"/>
    <n v="6763.7822038320437"/>
    <n v="0"/>
    <x v="3"/>
    <b v="1"/>
  </r>
  <r>
    <m/>
    <s v="CERRADO"/>
    <x v="165"/>
    <n v="14220"/>
    <x v="2"/>
    <d v="2018-12-20T00:00:00"/>
    <x v="2"/>
    <n v="6399"/>
    <x v="24"/>
    <n v="21000"/>
    <d v="2018-12-31T00:00:00"/>
    <s v="002-4600-0842"/>
    <n v="4615466871"/>
    <d v="2019-01-22T00:00:00"/>
    <n v="3.7608999999999999"/>
    <n v="1"/>
    <n v="14220"/>
    <n v="1"/>
    <n v="7813.1868131868132"/>
    <n v="0.81899999999999995"/>
    <n v="1"/>
    <n v="19175"/>
    <n v="6763.7822038320437"/>
    <n v="0"/>
    <x v="2"/>
    <b v="1"/>
  </r>
  <r>
    <m/>
    <s v="CERRADO"/>
    <x v="150"/>
    <n v="1796"/>
    <x v="2"/>
    <d v="2018-12-20T00:00:00"/>
    <x v="2"/>
    <n v="808"/>
    <x v="24"/>
    <n v="21000"/>
    <d v="2018-12-31T00:00:00"/>
    <s v="002-4600-0842"/>
    <n v="4615466871"/>
    <d v="2019-01-22T00:00:00"/>
    <n v="3.7608999999999999"/>
    <n v="1"/>
    <n v="3055"/>
    <n v="1"/>
    <n v="986.8131868131868"/>
    <n v="0.81914893617021278"/>
    <n v="1"/>
    <n v="19175"/>
    <n v="6763.7822038320437"/>
    <n v="0"/>
    <x v="136"/>
    <b v="1"/>
  </r>
  <r>
    <m/>
    <s v="CERRADO"/>
    <x v="166"/>
    <n v="3542"/>
    <x v="2"/>
    <d v="2018-12-20T00:00:00"/>
    <x v="2"/>
    <n v="1948"/>
    <x v="25"/>
    <n v="21000"/>
    <d v="2018-12-31T00:00:00"/>
    <s v="002-4600-0843"/>
    <n v="4615466871"/>
    <d v="2019-01-22T00:00:00"/>
    <n v="3.7608999999999999"/>
    <n v="1"/>
    <n v="30220"/>
    <n v="1"/>
    <n v="1946.1538461538462"/>
    <n v="1.0009999999999999"/>
    <n v="1"/>
    <n v="19175"/>
    <n v="6763.7822038320437"/>
    <n v="0"/>
    <x v="137"/>
    <b v="1"/>
  </r>
  <r>
    <m/>
    <s v="CERRADO"/>
    <x v="167"/>
    <n v="13000"/>
    <x v="2"/>
    <d v="2018-12-20T00:00:00"/>
    <x v="2"/>
    <n v="7150"/>
    <x v="25"/>
    <n v="21000"/>
    <d v="2018-12-31T00:00:00"/>
    <s v="002-4600-0843"/>
    <n v="4615466871"/>
    <d v="2019-01-22T00:00:00"/>
    <n v="3.7608999999999999"/>
    <n v="1"/>
    <n v="13000"/>
    <n v="1"/>
    <n v="7142.8571428571422"/>
    <n v="1.0010000000000001"/>
    <n v="1"/>
    <n v="19175"/>
    <n v="6763.7822038320437"/>
    <n v="0"/>
    <x v="6"/>
    <b v="1"/>
  </r>
  <r>
    <m/>
    <s v="CERRADO"/>
    <x v="168"/>
    <n v="9007"/>
    <x v="2"/>
    <d v="2018-12-20T00:00:00"/>
    <x v="2"/>
    <n v="4954"/>
    <x v="25"/>
    <n v="21000"/>
    <d v="2018-12-31T00:00:00"/>
    <s v="002-4600-0843"/>
    <n v="4615466871"/>
    <d v="2019-01-22T00:00:00"/>
    <n v="3.7608999999999999"/>
    <n v="1"/>
    <n v="9007"/>
    <n v="1"/>
    <n v="4948.9010989010985"/>
    <n v="1.0010303097590763"/>
    <n v="1"/>
    <n v="19175"/>
    <n v="6763.7822038320437"/>
    <n v="0"/>
    <x v="138"/>
    <b v="1"/>
  </r>
  <r>
    <m/>
    <s v="CERRADO"/>
    <x v="169"/>
    <n v="3595"/>
    <x v="2"/>
    <d v="2018-12-20T00:00:00"/>
    <x v="2"/>
    <n v="1977"/>
    <x v="25"/>
    <n v="21000"/>
    <d v="2018-12-31T00:00:00"/>
    <s v="002-4600-0843"/>
    <n v="4615466871"/>
    <d v="2019-01-22T00:00:00"/>
    <n v="3.7608999999999999"/>
    <n v="1"/>
    <n v="3595"/>
    <n v="1"/>
    <n v="1975.2747252747251"/>
    <n v="1.0008734353268429"/>
    <n v="1"/>
    <n v="19175"/>
    <n v="6763.7822038320437"/>
    <n v="0"/>
    <x v="139"/>
    <b v="1"/>
  </r>
  <r>
    <m/>
    <s v="CERRADO"/>
    <x v="170"/>
    <n v="2037"/>
    <x v="2"/>
    <d v="2018-12-20T00:00:00"/>
    <x v="2"/>
    <n v="917"/>
    <x v="25"/>
    <n v="21000"/>
    <d v="2018-12-31T00:00:00"/>
    <s v="002-4600-0843"/>
    <n v="4615466871"/>
    <d v="2019-01-22T00:00:00"/>
    <n v="3.7608999999999999"/>
    <n v="1"/>
    <n v="2037"/>
    <n v="1"/>
    <n v="1119.2307692307693"/>
    <n v="0.81931271477663226"/>
    <n v="1"/>
    <n v="19175"/>
    <n v="6763.7822038320437"/>
    <n v="0"/>
    <x v="140"/>
    <b v="1"/>
  </r>
  <r>
    <m/>
    <s v="CERRADO"/>
    <x v="171"/>
    <n v="2283"/>
    <x v="2"/>
    <d v="2018-12-20T00:00:00"/>
    <x v="2"/>
    <n v="1027"/>
    <x v="25"/>
    <n v="21000"/>
    <d v="2018-12-31T00:00:00"/>
    <s v="002-4600-0843"/>
    <n v="4615466871"/>
    <d v="2019-01-22T00:00:00"/>
    <n v="3.7608999999999999"/>
    <n v="1"/>
    <n v="2283"/>
    <n v="1"/>
    <n v="1254.3956043956043"/>
    <n v="0.8187209811651337"/>
    <n v="1"/>
    <n v="19175"/>
    <n v="6763.7822038320437"/>
    <n v="0"/>
    <x v="141"/>
    <b v="1"/>
  </r>
  <r>
    <m/>
    <s v="CERRADO"/>
    <x v="172"/>
    <n v="898"/>
    <x v="2"/>
    <d v="2018-12-20T00:00:00"/>
    <x v="2"/>
    <n v="494"/>
    <x v="25"/>
    <n v="21000"/>
    <d v="2018-12-31T00:00:00"/>
    <s v="002-4600-0843"/>
    <n v="4615466871"/>
    <d v="2019-01-22T00:00:00"/>
    <n v="3.7608999999999999"/>
    <n v="1"/>
    <n v="898"/>
    <n v="1"/>
    <n v="493.4065934065934"/>
    <n v="1.0012026726057908"/>
    <n v="1"/>
    <n v="19175"/>
    <n v="6763.7822038320437"/>
    <n v="0"/>
    <x v="59"/>
    <b v="1"/>
  </r>
  <r>
    <m/>
    <s v="CERRADO"/>
    <x v="156"/>
    <n v="5629"/>
    <x v="2"/>
    <d v="2018-12-20T00:00:00"/>
    <x v="2"/>
    <n v="2533"/>
    <x v="25"/>
    <n v="21000"/>
    <d v="2018-12-31T00:00:00"/>
    <s v="002-4600-0843"/>
    <n v="4615466871"/>
    <d v="2019-01-22T00:00:00"/>
    <n v="3.7608999999999999"/>
    <n v="1"/>
    <n v="6003"/>
    <n v="1"/>
    <n v="3092.8571428571427"/>
    <n v="0.81889388639013827"/>
    <n v="1"/>
    <n v="19175"/>
    <n v="6763.7822038320437"/>
    <n v="0"/>
    <x v="142"/>
    <b v="1"/>
  </r>
  <r>
    <m/>
    <s v="CERRADO"/>
    <x v="173"/>
    <n v="1194"/>
    <x v="2"/>
    <d v="2018-12-20T00:00:00"/>
    <x v="2"/>
    <n v="537"/>
    <x v="26"/>
    <n v="21000"/>
    <d v="2018-12-31T00:00:00"/>
    <s v="002-4600-0844"/>
    <n v="4615466871"/>
    <d v="2019-01-22T00:00:00"/>
    <n v="3.7608999999999999"/>
    <n v="1"/>
    <n v="15610"/>
    <n v="1"/>
    <n v="656.04395604395597"/>
    <n v="0.81894170403587452"/>
    <n v="1"/>
    <n v="19175"/>
    <n v="6763.7822038320437"/>
    <n v="0"/>
    <x v="143"/>
    <b v="1"/>
  </r>
  <r>
    <m/>
    <s v="CERRADO"/>
    <x v="174"/>
    <n v="1499"/>
    <x v="2"/>
    <d v="2018-12-20T00:00:00"/>
    <x v="2"/>
    <n v="675"/>
    <x v="26"/>
    <n v="21000"/>
    <d v="2018-12-31T00:00:00"/>
    <s v="002-4600-0844"/>
    <n v="4615466871"/>
    <d v="2019-01-22T00:00:00"/>
    <n v="3.7608999999999999"/>
    <n v="1"/>
    <n v="1499"/>
    <n v="1"/>
    <n v="823.62637362637361"/>
    <n v="0.81954636424282856"/>
    <n v="1"/>
    <n v="19175"/>
    <n v="6763.7822038320437"/>
    <n v="0"/>
    <x v="144"/>
    <b v="1"/>
  </r>
  <r>
    <m/>
    <s v="CERRADO"/>
    <x v="175"/>
    <n v="1022"/>
    <x v="2"/>
    <d v="2018-12-20T00:00:00"/>
    <x v="2"/>
    <n v="562"/>
    <x v="26"/>
    <n v="21000"/>
    <d v="2018-12-31T00:00:00"/>
    <s v="002-4600-0844"/>
    <n v="4615466871"/>
    <d v="2019-01-22T00:00:00"/>
    <n v="3.7608999999999999"/>
    <n v="1"/>
    <n v="6312"/>
    <n v="1"/>
    <n v="561.53846153846155"/>
    <n v="0.84858365019011406"/>
    <n v="1"/>
    <n v="19175"/>
    <n v="6763.7822038320437"/>
    <n v="0"/>
    <x v="145"/>
    <b v="1"/>
  </r>
  <r>
    <m/>
    <s v="CERRADO"/>
    <x v="175"/>
    <n v="5290"/>
    <x v="2"/>
    <d v="2018-12-20T00:00:00"/>
    <x v="2"/>
    <n v="2381"/>
    <x v="26"/>
    <n v="21000"/>
    <d v="2018-12-31T00:00:00"/>
    <s v="002-4600-0844"/>
    <n v="4615466871"/>
    <d v="2019-01-22T00:00:00"/>
    <n v="3.7608999999999999"/>
    <n v="1"/>
    <n v="6312"/>
    <n v="1"/>
    <n v="2906.5934065934066"/>
    <n v="0.84858365019011406"/>
    <n v="1"/>
    <n v="19175"/>
    <n v="6763.7822038320437"/>
    <n v="0"/>
    <x v="146"/>
    <b v="1"/>
  </r>
  <r>
    <m/>
    <s v="CERRADO"/>
    <x v="176"/>
    <n v="936"/>
    <x v="2"/>
    <d v="2018-12-20T00:00:00"/>
    <x v="2"/>
    <n v="515"/>
    <x v="26"/>
    <n v="21000"/>
    <d v="2018-12-31T00:00:00"/>
    <s v="002-4600-0844"/>
    <n v="4615466871"/>
    <d v="2019-01-22T00:00:00"/>
    <n v="3.7608999999999999"/>
    <n v="1"/>
    <n v="936"/>
    <n v="1"/>
    <n v="514.28571428571422"/>
    <n v="1.0013888888888891"/>
    <n v="1"/>
    <n v="19175"/>
    <n v="6763.7822038320437"/>
    <n v="0"/>
    <x v="147"/>
    <b v="1"/>
  </r>
  <r>
    <m/>
    <s v="CERRADO"/>
    <x v="177"/>
    <n v="1201"/>
    <x v="2"/>
    <d v="2018-12-20T00:00:00"/>
    <x v="2"/>
    <n v="540"/>
    <x v="26"/>
    <n v="21000"/>
    <d v="2018-12-31T00:00:00"/>
    <s v="002-4600-0844"/>
    <n v="4615466871"/>
    <d v="2019-01-22T00:00:00"/>
    <n v="3.7608999999999999"/>
    <n v="1"/>
    <n v="1201"/>
    <n v="1"/>
    <n v="659.8901098901099"/>
    <n v="0.81831806827643627"/>
    <n v="1"/>
    <n v="19175"/>
    <n v="6763.7822038320437"/>
    <n v="0"/>
    <x v="148"/>
    <b v="1"/>
  </r>
  <r>
    <m/>
    <s v="CERRADO"/>
    <x v="178"/>
    <n v="2030"/>
    <x v="2"/>
    <d v="2018-12-20T00:00:00"/>
    <x v="2"/>
    <n v="1117"/>
    <x v="26"/>
    <n v="21000"/>
    <d v="2018-12-31T00:00:00"/>
    <s v="002-4600-0844"/>
    <n v="4615466871"/>
    <d v="2019-01-22T00:00:00"/>
    <n v="3.7608999999999999"/>
    <n v="1"/>
    <n v="2030"/>
    <n v="1"/>
    <n v="1115.3846153846152"/>
    <n v="1.0014482758620691"/>
    <n v="1"/>
    <n v="19175"/>
    <n v="6763.7822038320437"/>
    <n v="0"/>
    <x v="149"/>
    <b v="1"/>
  </r>
  <r>
    <m/>
    <s v="CERRADO"/>
    <x v="166"/>
    <n v="26678"/>
    <x v="2"/>
    <d v="2018-12-20T00:00:00"/>
    <x v="2"/>
    <n v="14673"/>
    <x v="26"/>
    <n v="21000"/>
    <d v="2018-12-31T00:00:00"/>
    <s v="002-4600-0844"/>
    <n v="4615466871"/>
    <d v="2019-01-22T00:00:00"/>
    <n v="3.7608999999999999"/>
    <n v="1"/>
    <n v="30220"/>
    <n v="1"/>
    <n v="14658.241758241758"/>
    <n v="1.0009999999999999"/>
    <n v="1"/>
    <n v="19175"/>
    <n v="6763.7822038320437"/>
    <n v="0"/>
    <x v="150"/>
    <b v="1"/>
  </r>
  <r>
    <m/>
    <s v="CERRADO"/>
    <x v="179"/>
    <n v="8427"/>
    <x v="2"/>
    <d v="2018-12-20T00:00:00"/>
    <x v="2"/>
    <n v="4635"/>
    <x v="27"/>
    <n v="21000"/>
    <d v="2018-12-31T00:00:00"/>
    <s v="002-4600-0845"/>
    <n v="4615466871"/>
    <d v="2019-01-22T00:00:00"/>
    <n v="3.7608999999999999"/>
    <n v="1"/>
    <n v="14580"/>
    <n v="1"/>
    <n v="4630.2197802197798"/>
    <n v="1.0010000000000001"/>
    <n v="1"/>
    <n v="19175"/>
    <n v="6763.7822038320437"/>
    <n v="0"/>
    <x v="151"/>
    <b v="1"/>
  </r>
  <r>
    <m/>
    <s v="CERRADO"/>
    <x v="180"/>
    <n v="15320"/>
    <x v="2"/>
    <d v="2018-12-20T00:00:00"/>
    <x v="2"/>
    <n v="8426"/>
    <x v="27"/>
    <n v="21000"/>
    <d v="2018-12-31T00:00:00"/>
    <s v="002-4600-0845"/>
    <n v="4615466871"/>
    <d v="2019-01-22T00:00:00"/>
    <n v="3.7608999999999999"/>
    <n v="1"/>
    <n v="15320"/>
    <n v="1"/>
    <n v="8417.5824175824182"/>
    <n v="1.0009999999999999"/>
    <n v="1"/>
    <n v="19175"/>
    <n v="6763.7822038320437"/>
    <n v="0"/>
    <x v="6"/>
    <b v="1"/>
  </r>
  <r>
    <m/>
    <s v="CERRADO"/>
    <x v="181"/>
    <n v="2640"/>
    <x v="2"/>
    <d v="2018-12-20T00:00:00"/>
    <x v="2"/>
    <n v="1452"/>
    <x v="27"/>
    <n v="21000"/>
    <d v="2018-12-31T00:00:00"/>
    <s v="002-4600-0845"/>
    <n v="4615466871"/>
    <d v="2019-01-22T00:00:00"/>
    <n v="3.7608999999999999"/>
    <n v="1"/>
    <n v="2640"/>
    <n v="1"/>
    <n v="1450.5494505494505"/>
    <n v="1.0010000000000001"/>
    <n v="1"/>
    <n v="19175"/>
    <n v="6763.7822038320437"/>
    <n v="0"/>
    <x v="6"/>
    <b v="1"/>
  </r>
  <r>
    <m/>
    <s v="CERRADO"/>
    <x v="173"/>
    <n v="14416"/>
    <x v="2"/>
    <d v="2018-12-20T00:00:00"/>
    <x v="2"/>
    <n v="6487"/>
    <x v="27"/>
    <n v="21000"/>
    <d v="2018-12-31T00:00:00"/>
    <s v="002-4600-0845"/>
    <n v="4615466871"/>
    <d v="2019-01-22T00:00:00"/>
    <n v="3.7608999999999999"/>
    <n v="1"/>
    <n v="15610"/>
    <n v="1"/>
    <n v="7920.8791208791208"/>
    <n v="0.81894170403587452"/>
    <n v="1"/>
    <n v="19175"/>
    <n v="6763.7822038320437"/>
    <n v="0"/>
    <x v="152"/>
    <b v="1"/>
  </r>
  <r>
    <m/>
    <s v="CERRADO"/>
    <x v="103"/>
    <n v="11564"/>
    <x v="2"/>
    <d v="2018-12-20T00:00:00"/>
    <x v="2"/>
    <n v="6360"/>
    <x v="28"/>
    <n v="21000"/>
    <d v="2018-12-31T00:00:00"/>
    <s v="002-4600-0846"/>
    <n v="4615466871"/>
    <d v="2019-01-22T00:00:00"/>
    <n v="3.7608999999999999"/>
    <n v="1"/>
    <n v="19920"/>
    <n v="1"/>
    <n v="6353.8461538461534"/>
    <n v="1.0361216271824114"/>
    <n v="1"/>
    <n v="19175"/>
    <n v="6763.7822038320437"/>
    <n v="0"/>
    <x v="153"/>
    <b v="1"/>
  </r>
  <r>
    <m/>
    <s v="CERRADO"/>
    <x v="182"/>
    <n v="7568"/>
    <x v="2"/>
    <d v="2018-12-20T00:00:00"/>
    <x v="2"/>
    <n v="4162"/>
    <x v="28"/>
    <n v="21000"/>
    <d v="2018-12-31T00:00:00"/>
    <s v="002-4600-0846"/>
    <n v="4615466871"/>
    <d v="2019-01-22T00:00:00"/>
    <n v="3.7608999999999999"/>
    <n v="1"/>
    <n v="7568"/>
    <n v="1"/>
    <n v="4158.2417582417584"/>
    <n v="1.0009038054968287"/>
    <n v="1"/>
    <n v="19175"/>
    <n v="6763.7822038320437"/>
    <n v="0"/>
    <x v="154"/>
    <b v="1"/>
  </r>
  <r>
    <m/>
    <s v="CERRADO"/>
    <x v="183"/>
    <n v="2550"/>
    <x v="2"/>
    <d v="2018-12-20T00:00:00"/>
    <x v="2"/>
    <n v="1403"/>
    <x v="28"/>
    <n v="21000"/>
    <d v="2018-12-31T00:00:00"/>
    <s v="002-4600-0846"/>
    <n v="4615466871"/>
    <d v="2019-01-22T00:00:00"/>
    <n v="3.7608999999999999"/>
    <n v="1"/>
    <n v="2550"/>
    <n v="1"/>
    <n v="1401.098901098901"/>
    <n v="1.0013568627450982"/>
    <n v="1"/>
    <n v="19175"/>
    <n v="6763.7822038320437"/>
    <n v="0"/>
    <x v="155"/>
    <b v="1"/>
  </r>
  <r>
    <m/>
    <s v="CERRADO"/>
    <x v="184"/>
    <n v="5986"/>
    <x v="2"/>
    <d v="2018-12-20T00:00:00"/>
    <x v="2"/>
    <n v="3292"/>
    <x v="28"/>
    <n v="21000"/>
    <d v="2018-12-31T00:00:00"/>
    <s v="002-4600-0846"/>
    <n v="4615466871"/>
    <d v="2019-01-22T00:00:00"/>
    <n v="3.7608999999999999"/>
    <n v="1"/>
    <n v="5986"/>
    <n v="1"/>
    <n v="3289.0109890109889"/>
    <n v="1.0009087871700635"/>
    <n v="1"/>
    <n v="19175"/>
    <n v="6763.7822038320437"/>
    <n v="0"/>
    <x v="156"/>
    <b v="1"/>
  </r>
  <r>
    <m/>
    <s v="CERRADO"/>
    <x v="185"/>
    <n v="602"/>
    <x v="2"/>
    <d v="2018-12-20T00:00:00"/>
    <x v="2"/>
    <n v="331"/>
    <x v="28"/>
    <n v="21000"/>
    <d v="2018-12-31T00:00:00"/>
    <s v="002-4600-0846"/>
    <n v="4615466871"/>
    <d v="2019-01-22T00:00:00"/>
    <n v="3.7608999999999999"/>
    <n v="1"/>
    <n v="602"/>
    <n v="1"/>
    <n v="330.76923076923077"/>
    <n v="1.0006976744186047"/>
    <n v="1"/>
    <n v="19175"/>
    <n v="6763.7822038320437"/>
    <n v="0"/>
    <x v="157"/>
    <b v="1"/>
  </r>
  <r>
    <m/>
    <s v="CERRADO"/>
    <x v="186"/>
    <n v="3760"/>
    <x v="2"/>
    <d v="2018-12-20T00:00:00"/>
    <x v="2"/>
    <n v="2068"/>
    <x v="28"/>
    <n v="21000"/>
    <d v="2018-12-31T00:00:00"/>
    <s v="002-4600-0846"/>
    <n v="4615466871"/>
    <d v="2019-01-22T00:00:00"/>
    <n v="3.7608999999999999"/>
    <n v="1"/>
    <n v="3760"/>
    <n v="1"/>
    <n v="2065.934065934066"/>
    <n v="1.0009999999999999"/>
    <n v="1"/>
    <n v="19175"/>
    <n v="6763.7822038320437"/>
    <n v="0"/>
    <x v="6"/>
    <b v="1"/>
  </r>
  <r>
    <m/>
    <s v="CERRADO"/>
    <x v="179"/>
    <n v="6153"/>
    <x v="2"/>
    <d v="2018-12-20T00:00:00"/>
    <x v="2"/>
    <n v="3384"/>
    <x v="28"/>
    <n v="21000"/>
    <d v="2018-12-31T00:00:00"/>
    <s v="002-4600-0846"/>
    <n v="4615466871"/>
    <d v="2019-01-22T00:00:00"/>
    <n v="3.7608999999999999"/>
    <n v="1"/>
    <n v="14580"/>
    <n v="1"/>
    <n v="3380.7692307692305"/>
    <n v="1.0010000000000001"/>
    <n v="1"/>
    <n v="19175"/>
    <n v="6763.7822038320437"/>
    <n v="0"/>
    <x v="158"/>
    <b v="1"/>
  </r>
  <r>
    <m/>
    <s v="CERRADO"/>
    <x v="142"/>
    <n v="15805"/>
    <x v="2"/>
    <d v="2018-12-20T00:00:00"/>
    <x v="2"/>
    <n v="8693"/>
    <x v="29"/>
    <n v="21000"/>
    <d v="2018-12-31T00:00:00"/>
    <s v="002-4600-0847"/>
    <n v="4615466871"/>
    <d v="2019-01-22T00:00:00"/>
    <n v="3.7608999999999999"/>
    <n v="1"/>
    <n v="17190"/>
    <n v="1"/>
    <n v="8684.0659340659331"/>
    <n v="1.0010529377545085"/>
    <n v="1"/>
    <n v="19175"/>
    <n v="6763.7822038320437"/>
    <n v="0"/>
    <x v="159"/>
    <b v="1"/>
  </r>
  <r>
    <m/>
    <s v="CERRADO"/>
    <x v="187"/>
    <n v="20330"/>
    <x v="2"/>
    <d v="2018-12-20T00:00:00"/>
    <x v="2"/>
    <n v="11182"/>
    <x v="29"/>
    <n v="21000"/>
    <d v="2018-12-31T00:00:00"/>
    <s v="002-4600-0847"/>
    <n v="4615466871"/>
    <d v="2019-01-22T00:00:00"/>
    <n v="3.7608999999999999"/>
    <n v="1"/>
    <n v="20330"/>
    <n v="1"/>
    <n v="11170.329670329669"/>
    <n v="1.0010447614363012"/>
    <n v="1"/>
    <n v="19175"/>
    <n v="6763.7822038320437"/>
    <n v="0"/>
    <x v="160"/>
    <b v="1"/>
  </r>
  <r>
    <m/>
    <s v="CERRADO"/>
    <x v="188"/>
    <n v="2045"/>
    <x v="2"/>
    <d v="2018-12-20T00:00:00"/>
    <x v="2"/>
    <n v="1125"/>
    <x v="29"/>
    <n v="21000"/>
    <d v="2018-12-31T00:00:00"/>
    <s v="002-4600-0847"/>
    <n v="4615466871"/>
    <d v="2019-01-22T00:00:00"/>
    <n v="3.7608999999999999"/>
    <n v="1"/>
    <n v="12050"/>
    <n v="1"/>
    <n v="1123.6263736263736"/>
    <n v="1.0907421307072516"/>
    <n v="1"/>
    <n v="19175"/>
    <n v="6763.7822038320437"/>
    <n v="0"/>
    <x v="161"/>
    <b v="1"/>
  </r>
  <r>
    <m/>
    <s v="CERRADO"/>
    <x v="189"/>
    <n v="1313"/>
    <x v="3"/>
    <d v="2018-12-28T00:00:00"/>
    <x v="3"/>
    <n v="722"/>
    <x v="30"/>
    <n v="19175"/>
    <d v="2019-01-07T00:00:00"/>
    <s v="002-4600-0818"/>
    <n v="4558506709"/>
    <d v="2019-02-01T00:00:00"/>
    <n v="3.6688000000000001"/>
    <n v="1"/>
    <n v="16560"/>
    <n v="1"/>
    <n v="650"/>
    <n v="1.111"/>
    <n v="1"/>
    <e v="#N/A"/>
    <e v="#N/A"/>
    <e v="#N/A"/>
    <x v="162"/>
    <b v="1"/>
  </r>
  <r>
    <m/>
    <s v="CERRADO"/>
    <x v="190"/>
    <n v="21100"/>
    <x v="3"/>
    <d v="2018-12-28T00:00:00"/>
    <x v="3"/>
    <n v="11605"/>
    <x v="30"/>
    <n v="19175"/>
    <d v="2019-01-07T00:00:00"/>
    <s v="002-4600-0818"/>
    <n v="4558506709"/>
    <d v="2019-02-01T00:00:00"/>
    <n v="3.6688000000000001"/>
    <n v="1"/>
    <n v="21100"/>
    <n v="1"/>
    <n v="10445.544554455446"/>
    <n v="1.111"/>
    <n v="1"/>
    <e v="#N/A"/>
    <e v="#N/A"/>
    <e v="#N/A"/>
    <x v="6"/>
    <b v="1"/>
  </r>
  <r>
    <m/>
    <s v="CERRADO"/>
    <x v="191"/>
    <n v="2394"/>
    <x v="3"/>
    <d v="2018-12-28T00:00:00"/>
    <x v="3"/>
    <n v="1077"/>
    <x v="30"/>
    <n v="19175"/>
    <d v="2019-01-07T00:00:00"/>
    <s v="002-4600-0818"/>
    <n v="4558506709"/>
    <d v="2019-02-01T00:00:00"/>
    <n v="3.6688000000000001"/>
    <n v="1"/>
    <n v="2394"/>
    <n v="1"/>
    <n v="1185.1485148514851"/>
    <n v="0.90874686716791986"/>
    <n v="1"/>
    <e v="#N/A"/>
    <e v="#N/A"/>
    <e v="#N/A"/>
    <x v="163"/>
    <b v="1"/>
  </r>
  <r>
    <m/>
    <s v="CERRADO"/>
    <x v="192"/>
    <n v="4159"/>
    <x v="3"/>
    <d v="2018-12-28T00:00:00"/>
    <x v="3"/>
    <n v="2287"/>
    <x v="30"/>
    <n v="19175"/>
    <d v="2019-01-07T00:00:00"/>
    <s v="002-4600-0818"/>
    <n v="4558506709"/>
    <d v="2019-02-01T00:00:00"/>
    <n v="3.6688000000000001"/>
    <n v="1"/>
    <n v="4159"/>
    <n v="1"/>
    <n v="2058.9108910891091"/>
    <n v="1.1107814378456358"/>
    <n v="1"/>
    <e v="#N/A"/>
    <e v="#N/A"/>
    <e v="#N/A"/>
    <x v="164"/>
    <b v="1"/>
  </r>
  <r>
    <m/>
    <s v="CERRADO"/>
    <x v="193"/>
    <n v="6005"/>
    <x v="3"/>
    <d v="2018-12-28T00:00:00"/>
    <x v="3"/>
    <n v="2702"/>
    <x v="30"/>
    <n v="19175"/>
    <d v="2019-01-07T00:00:00"/>
    <s v="002-4600-0818"/>
    <n v="4558506709"/>
    <d v="2019-02-01T00:00:00"/>
    <n v="3.6688000000000001"/>
    <n v="1"/>
    <n v="6005"/>
    <n v="1"/>
    <n v="2972.772277227723"/>
    <n v="0.90891590341382178"/>
    <n v="1"/>
    <e v="#N/A"/>
    <e v="#N/A"/>
    <e v="#N/A"/>
    <x v="165"/>
    <b v="1"/>
  </r>
  <r>
    <m/>
    <s v="CERRADO"/>
    <x v="194"/>
    <n v="1738"/>
    <x v="3"/>
    <d v="2018-12-28T00:00:00"/>
    <x v="3"/>
    <n v="782"/>
    <x v="30"/>
    <n v="19175"/>
    <d v="2019-01-07T00:00:00"/>
    <s v="002-4600-0818"/>
    <n v="4558506709"/>
    <d v="2019-02-01T00:00:00"/>
    <n v="3.6688000000000001"/>
    <n v="1"/>
    <n v="5750"/>
    <n v="1"/>
    <n v="860.39603960396039"/>
    <n v="0.90882434782608701"/>
    <n v="1"/>
    <e v="#N/A"/>
    <e v="#N/A"/>
    <e v="#N/A"/>
    <x v="166"/>
    <b v="1"/>
  </r>
  <r>
    <m/>
    <s v="CERRADO"/>
    <x v="195"/>
    <n v="6072"/>
    <x v="3"/>
    <d v="2018-12-28T00:00:00"/>
    <x v="3"/>
    <n v="3340"/>
    <x v="31"/>
    <n v="19175"/>
    <d v="2019-01-07T00:00:00"/>
    <s v="002-4600-0819"/>
    <n v="4558506709"/>
    <d v="2019-02-01T00:00:00"/>
    <n v="3.6688000000000001"/>
    <n v="1"/>
    <n v="7427"/>
    <n v="1"/>
    <n v="3005.9405940594061"/>
    <n v="1.1110407970916925"/>
    <n v="1"/>
    <e v="#N/A"/>
    <e v="#N/A"/>
    <e v="#N/A"/>
    <x v="167"/>
    <b v="1"/>
  </r>
  <r>
    <m/>
    <s v="CERRADO"/>
    <x v="196"/>
    <n v="5154"/>
    <x v="3"/>
    <d v="2018-12-28T00:00:00"/>
    <x v="3"/>
    <n v="2835"/>
    <x v="31"/>
    <n v="19175"/>
    <d v="2019-01-07T00:00:00"/>
    <s v="002-4600-0819"/>
    <n v="4558506709"/>
    <d v="2019-02-01T00:00:00"/>
    <n v="3.6688000000000001"/>
    <n v="1"/>
    <n v="5154"/>
    <n v="1"/>
    <n v="2551.4851485148515"/>
    <n v="1.1111175785797438"/>
    <n v="1"/>
    <e v="#N/A"/>
    <e v="#N/A"/>
    <e v="#N/A"/>
    <x v="168"/>
    <b v="1"/>
  </r>
  <r>
    <m/>
    <s v="CERRADO"/>
    <x v="197"/>
    <n v="3234"/>
    <x v="3"/>
    <d v="2018-12-28T00:00:00"/>
    <x v="3"/>
    <n v="1455"/>
    <x v="31"/>
    <n v="19175"/>
    <d v="2019-01-07T00:00:00"/>
    <s v="002-4600-0819"/>
    <n v="4558506709"/>
    <d v="2019-02-01T00:00:00"/>
    <n v="3.6688000000000001"/>
    <n v="1"/>
    <n v="3234"/>
    <n v="1"/>
    <n v="1600.9900990099011"/>
    <n v="0.90881261595547302"/>
    <n v="1"/>
    <e v="#N/A"/>
    <e v="#N/A"/>
    <e v="#N/A"/>
    <x v="169"/>
    <b v="1"/>
  </r>
  <r>
    <m/>
    <s v="CERRADO"/>
    <x v="198"/>
    <n v="1320"/>
    <x v="3"/>
    <d v="2018-12-28T00:00:00"/>
    <x v="3"/>
    <n v="726"/>
    <x v="31"/>
    <n v="19175"/>
    <d v="2019-01-07T00:00:00"/>
    <s v="002-4600-0819"/>
    <n v="4558506709"/>
    <d v="2019-02-01T00:00:00"/>
    <n v="3.6688000000000001"/>
    <n v="1"/>
    <n v="1320"/>
    <n v="1"/>
    <n v="653.46534653465346"/>
    <n v="1.111"/>
    <n v="1"/>
    <e v="#N/A"/>
    <e v="#N/A"/>
    <e v="#N/A"/>
    <x v="6"/>
    <b v="1"/>
  </r>
  <r>
    <m/>
    <s v="CERRADO"/>
    <x v="199"/>
    <n v="12710"/>
    <x v="3"/>
    <d v="2018-12-28T00:00:00"/>
    <x v="3"/>
    <n v="6991"/>
    <x v="31"/>
    <n v="19175"/>
    <d v="2019-01-07T00:00:00"/>
    <s v="002-4600-0819"/>
    <n v="4558506709"/>
    <d v="2019-02-01T00:00:00"/>
    <n v="3.6688000000000001"/>
    <n v="1"/>
    <n v="12710"/>
    <n v="1"/>
    <n v="6292.0792079207922"/>
    <n v="1.1110794649881983"/>
    <n v="1"/>
    <e v="#N/A"/>
    <e v="#N/A"/>
    <e v="#N/A"/>
    <x v="170"/>
    <b v="1"/>
  </r>
  <r>
    <m/>
    <s v="CERRADO"/>
    <x v="200"/>
    <n v="4492"/>
    <x v="3"/>
    <d v="2018-12-28T00:00:00"/>
    <x v="3"/>
    <n v="2471"/>
    <x v="31"/>
    <n v="19175"/>
    <d v="2019-01-07T00:00:00"/>
    <s v="002-4600-0819"/>
    <n v="4558506709"/>
    <d v="2019-02-01T00:00:00"/>
    <n v="3.6688000000000001"/>
    <n v="1"/>
    <n v="4492"/>
    <n v="1"/>
    <n v="2223.7623762376238"/>
    <n v="1.111179875333927"/>
    <n v="1"/>
    <e v="#N/A"/>
    <e v="#N/A"/>
    <e v="#N/A"/>
    <x v="171"/>
    <b v="1"/>
  </r>
  <r>
    <m/>
    <s v="CERRADO"/>
    <x v="201"/>
    <n v="2400"/>
    <x v="3"/>
    <d v="2018-12-28T00:00:00"/>
    <x v="3"/>
    <n v="1320"/>
    <x v="31"/>
    <n v="19175"/>
    <d v="2019-01-07T00:00:00"/>
    <s v="002-4600-0819"/>
    <n v="4558506709"/>
    <d v="2019-02-01T00:00:00"/>
    <n v="3.6688000000000001"/>
    <n v="1"/>
    <n v="2400"/>
    <n v="1"/>
    <n v="1188.1188118811881"/>
    <n v="1.111"/>
    <n v="1"/>
    <e v="#N/A"/>
    <e v="#N/A"/>
    <e v="#N/A"/>
    <x v="6"/>
    <b v="1"/>
  </r>
  <r>
    <m/>
    <s v="CERRADO"/>
    <x v="202"/>
    <n v="67"/>
    <x v="3"/>
    <d v="2018-12-28T00:00:00"/>
    <x v="3"/>
    <n v="37"/>
    <x v="31"/>
    <n v="19175"/>
    <d v="2019-01-07T00:00:00"/>
    <s v="002-4600-0819"/>
    <n v="4558506709"/>
    <d v="2019-02-01T00:00:00"/>
    <n v="3.6688000000000001"/>
    <n v="1"/>
    <n v="907"/>
    <n v="1"/>
    <n v="33.168316831683171"/>
    <n v="1.1113340683572215"/>
    <n v="1"/>
    <e v="#N/A"/>
    <e v="#N/A"/>
    <e v="#N/A"/>
    <x v="172"/>
    <b v="1"/>
  </r>
  <r>
    <m/>
    <s v="CERRADO"/>
    <x v="203"/>
    <n v="2626"/>
    <x v="3"/>
    <d v="2018-12-28T00:00:00"/>
    <x v="3"/>
    <n v="1444"/>
    <x v="32"/>
    <n v="19175"/>
    <d v="2019-01-07T00:00:00"/>
    <s v="002-4600-0820"/>
    <n v="4558506709"/>
    <d v="2019-02-01T00:00:00"/>
    <n v="3.6688000000000001"/>
    <n v="1"/>
    <n v="11244"/>
    <n v="1"/>
    <n v="1300"/>
    <n v="1.1109640697260761"/>
    <n v="1"/>
    <e v="#N/A"/>
    <e v="#N/A"/>
    <e v="#N/A"/>
    <x v="162"/>
    <b v="1"/>
  </r>
  <r>
    <m/>
    <s v="CERRADO"/>
    <x v="204"/>
    <n v="4200"/>
    <x v="3"/>
    <d v="2018-12-28T00:00:00"/>
    <x v="3"/>
    <n v="1890"/>
    <x v="32"/>
    <n v="19175"/>
    <d v="2019-01-07T00:00:00"/>
    <s v="002-4600-0820"/>
    <n v="4558506709"/>
    <d v="2019-02-01T00:00:00"/>
    <n v="3.6688000000000001"/>
    <n v="1"/>
    <n v="4200"/>
    <n v="1"/>
    <n v="2079.2079207920792"/>
    <n v="0.90900000000000003"/>
    <n v="1"/>
    <e v="#N/A"/>
    <e v="#N/A"/>
    <e v="#N/A"/>
    <x v="2"/>
    <b v="1"/>
  </r>
  <r>
    <m/>
    <s v="CERRADO"/>
    <x v="205"/>
    <n v="8983"/>
    <x v="3"/>
    <d v="2018-12-28T00:00:00"/>
    <x v="3"/>
    <n v="4042"/>
    <x v="32"/>
    <n v="19175"/>
    <d v="2019-01-07T00:00:00"/>
    <s v="002-4600-0820"/>
    <n v="4558506709"/>
    <d v="2019-02-01T00:00:00"/>
    <n v="3.6688000000000001"/>
    <n v="1"/>
    <n v="8983"/>
    <n v="1"/>
    <n v="4447.029702970297"/>
    <n v="0.90892129578091951"/>
    <n v="1"/>
    <e v="#N/A"/>
    <e v="#N/A"/>
    <e v="#N/A"/>
    <x v="173"/>
    <b v="1"/>
  </r>
  <r>
    <m/>
    <s v="CERRADO"/>
    <x v="206"/>
    <n v="6008"/>
    <x v="3"/>
    <d v="2018-12-28T00:00:00"/>
    <x v="3"/>
    <n v="2704"/>
    <x v="32"/>
    <n v="19175"/>
    <d v="2019-01-07T00:00:00"/>
    <s v="002-4600-0820"/>
    <n v="4558506709"/>
    <d v="2019-02-01T00:00:00"/>
    <n v="3.6688000000000001"/>
    <n v="1"/>
    <n v="6008"/>
    <n v="1"/>
    <n v="2974.257425742574"/>
    <n v="0.90913448735019986"/>
    <n v="1"/>
    <e v="#N/A"/>
    <e v="#N/A"/>
    <e v="#N/A"/>
    <x v="174"/>
    <b v="1"/>
  </r>
  <r>
    <m/>
    <s v="CERRADO"/>
    <x v="207"/>
    <n v="3892"/>
    <x v="3"/>
    <d v="2018-12-28T00:00:00"/>
    <x v="3"/>
    <n v="1751"/>
    <x v="32"/>
    <n v="19175"/>
    <d v="2019-01-07T00:00:00"/>
    <s v="002-4600-0820"/>
    <n v="4558506709"/>
    <d v="2019-02-01T00:00:00"/>
    <n v="3.6688000000000001"/>
    <n v="1"/>
    <n v="3892"/>
    <n v="1"/>
    <n v="1926.7326732673266"/>
    <n v="0.90879239465570405"/>
    <n v="1"/>
    <e v="#N/A"/>
    <e v="#N/A"/>
    <e v="#N/A"/>
    <x v="175"/>
    <b v="1"/>
  </r>
  <r>
    <m/>
    <s v="CERRADO"/>
    <x v="208"/>
    <n v="12880"/>
    <x v="3"/>
    <d v="2018-12-28T00:00:00"/>
    <x v="3"/>
    <n v="5796"/>
    <x v="32"/>
    <n v="19175"/>
    <d v="2019-01-07T00:00:00"/>
    <s v="002-4600-0820"/>
    <n v="4558506709"/>
    <d v="2019-02-01T00:00:00"/>
    <n v="3.6688000000000001"/>
    <n v="1"/>
    <n v="12880"/>
    <n v="1"/>
    <n v="6376.2376237623757"/>
    <n v="0.90900000000000003"/>
    <n v="1"/>
    <e v="#N/A"/>
    <e v="#N/A"/>
    <e v="#N/A"/>
    <x v="2"/>
    <b v="1"/>
  </r>
  <r>
    <m/>
    <s v="CERRADO"/>
    <x v="209"/>
    <n v="2815"/>
    <x v="3"/>
    <d v="2018-12-28T00:00:00"/>
    <x v="3"/>
    <n v="1548"/>
    <x v="32"/>
    <n v="19175"/>
    <d v="2019-01-07T00:00:00"/>
    <s v="002-4600-0820"/>
    <n v="4558506709"/>
    <d v="2019-02-01T00:00:00"/>
    <n v="3.6688000000000001"/>
    <n v="1"/>
    <n v="14500"/>
    <n v="1"/>
    <n v="1393.5643564356435"/>
    <n v="1.1154279857357985"/>
    <n v="1"/>
    <e v="#N/A"/>
    <e v="#N/A"/>
    <e v="#N/A"/>
    <x v="176"/>
    <b v="1"/>
  </r>
  <r>
    <m/>
    <s v="CERRADO"/>
    <x v="194"/>
    <n v="4012"/>
    <x v="3"/>
    <d v="2018-12-28T00:00:00"/>
    <x v="3"/>
    <n v="1805"/>
    <x v="33"/>
    <n v="19175"/>
    <d v="2019-01-07T00:00:00"/>
    <s v="002-4600-0821"/>
    <n v="4558506709"/>
    <d v="2019-02-01T00:00:00"/>
    <n v="3.6688000000000001"/>
    <n v="1"/>
    <n v="5750"/>
    <n v="1"/>
    <n v="1986.1386138613861"/>
    <n v="0.90882434782608701"/>
    <n v="1"/>
    <e v="#N/A"/>
    <e v="#N/A"/>
    <e v="#N/A"/>
    <x v="177"/>
    <b v="1"/>
  </r>
  <r>
    <m/>
    <s v="CERRADO"/>
    <x v="210"/>
    <n v="13910"/>
    <x v="3"/>
    <d v="2018-12-28T00:00:00"/>
    <x v="3"/>
    <n v="6260"/>
    <x v="33"/>
    <n v="19175"/>
    <d v="2019-01-07T00:00:00"/>
    <s v="002-4600-0821"/>
    <n v="4558506709"/>
    <d v="2019-02-01T00:00:00"/>
    <n v="3.6688000000000001"/>
    <n v="1"/>
    <n v="13910"/>
    <n v="1"/>
    <n v="6886.1386138613861"/>
    <n v="0.90907260963335734"/>
    <n v="1"/>
    <e v="#N/A"/>
    <e v="#N/A"/>
    <e v="#N/A"/>
    <x v="178"/>
    <b v="1"/>
  </r>
  <r>
    <m/>
    <s v="CERRADO"/>
    <x v="211"/>
    <n v="7782"/>
    <x v="3"/>
    <d v="2018-12-28T00:00:00"/>
    <x v="3"/>
    <n v="3502"/>
    <x v="33"/>
    <n v="19175"/>
    <d v="2019-01-07T00:00:00"/>
    <s v="002-4600-0821"/>
    <n v="4558506709"/>
    <d v="2019-02-01T00:00:00"/>
    <n v="3.6688000000000001"/>
    <n v="1"/>
    <n v="7782"/>
    <n v="1"/>
    <n v="3852.4752475247524"/>
    <n v="0.9090259573374454"/>
    <n v="1"/>
    <e v="#N/A"/>
    <e v="#N/A"/>
    <e v="#N/A"/>
    <x v="179"/>
    <b v="1"/>
  </r>
  <r>
    <m/>
    <s v="CERRADO"/>
    <x v="212"/>
    <n v="9000"/>
    <x v="3"/>
    <d v="2018-12-28T00:00:00"/>
    <x v="3"/>
    <n v="4950"/>
    <x v="33"/>
    <n v="19175"/>
    <d v="2019-01-07T00:00:00"/>
    <s v="002-4600-0821"/>
    <n v="4558506709"/>
    <d v="2019-02-01T00:00:00"/>
    <n v="3.6688000000000001"/>
    <n v="1"/>
    <n v="9000"/>
    <n v="1"/>
    <n v="4455.4455445544554"/>
    <n v="1.111"/>
    <n v="1"/>
    <e v="#N/A"/>
    <e v="#N/A"/>
    <e v="#N/A"/>
    <x v="6"/>
    <b v="1"/>
  </r>
  <r>
    <m/>
    <s v="CERRADO"/>
    <x v="213"/>
    <n v="5346"/>
    <x v="3"/>
    <d v="2018-12-28T00:00:00"/>
    <x v="3"/>
    <n v="2406"/>
    <x v="33"/>
    <n v="19175"/>
    <d v="2019-01-07T00:00:00"/>
    <s v="002-4600-0821"/>
    <n v="4558506709"/>
    <d v="2019-02-01T00:00:00"/>
    <n v="3.6688000000000001"/>
    <n v="1"/>
    <n v="5346"/>
    <n v="1"/>
    <n v="2646.5346534653463"/>
    <n v="0.9091133557800225"/>
    <n v="1"/>
    <e v="#N/A"/>
    <e v="#N/A"/>
    <e v="#N/A"/>
    <x v="180"/>
    <b v="1"/>
  </r>
  <r>
    <m/>
    <s v="CERRADO"/>
    <x v="214"/>
    <n v="458"/>
    <x v="3"/>
    <d v="2018-12-28T00:00:00"/>
    <x v="3"/>
    <n v="252"/>
    <x v="33"/>
    <n v="19175"/>
    <d v="2019-01-07T00:00:00"/>
    <s v="002-4600-0821"/>
    <n v="4558506709"/>
    <d v="2019-02-01T00:00:00"/>
    <n v="3.6688000000000001"/>
    <n v="1"/>
    <n v="6130"/>
    <n v="1"/>
    <n v="226.73267326732673"/>
    <n v="1.1111647634584012"/>
    <n v="1"/>
    <e v="#N/A"/>
    <e v="#N/A"/>
    <e v="#N/A"/>
    <x v="181"/>
    <b v="1"/>
  </r>
  <r>
    <m/>
    <s v="CERRADO"/>
    <x v="188"/>
    <n v="10005"/>
    <x v="3"/>
    <d v="2018-12-28T00:00:00"/>
    <x v="3"/>
    <n v="5503"/>
    <x v="34"/>
    <n v="19175"/>
    <d v="2019-01-07T00:00:00"/>
    <s v="002-4600-0822"/>
    <n v="4558506709"/>
    <d v="2019-02-01T00:00:00"/>
    <n v="3.6688000000000001"/>
    <n v="1"/>
    <n v="12050"/>
    <n v="1"/>
    <n v="4952.970297029703"/>
    <n v="1.0907421307072516"/>
    <n v="1"/>
    <e v="#N/A"/>
    <e v="#N/A"/>
    <e v="#N/A"/>
    <x v="182"/>
    <b v="1"/>
  </r>
  <r>
    <m/>
    <s v="CERRADO"/>
    <x v="215"/>
    <n v="6600"/>
    <x v="3"/>
    <d v="2018-12-28T00:00:00"/>
    <x v="3"/>
    <n v="3630"/>
    <x v="34"/>
    <n v="19175"/>
    <d v="2019-01-07T00:00:00"/>
    <s v="002-4600-0822"/>
    <n v="4558506709"/>
    <d v="2019-02-01T00:00:00"/>
    <n v="3.6688000000000001"/>
    <n v="1"/>
    <n v="6600"/>
    <n v="1"/>
    <n v="3267.3267326732671"/>
    <n v="1.111"/>
    <n v="1"/>
    <e v="#N/A"/>
    <e v="#N/A"/>
    <e v="#N/A"/>
    <x v="6"/>
    <b v="1"/>
  </r>
  <r>
    <m/>
    <s v="CERRADO"/>
    <x v="216"/>
    <n v="3011"/>
    <x v="3"/>
    <d v="2018-12-28T00:00:00"/>
    <x v="3"/>
    <n v="1656"/>
    <x v="34"/>
    <n v="19175"/>
    <d v="2019-01-07T00:00:00"/>
    <s v="002-4600-0822"/>
    <n v="4558506709"/>
    <d v="2019-02-01T00:00:00"/>
    <n v="3.6688000000000001"/>
    <n v="1"/>
    <n v="3011"/>
    <n v="1"/>
    <n v="1490.5940594059405"/>
    <n v="1.1109664563268018"/>
    <n v="1"/>
    <e v="#N/A"/>
    <e v="#N/A"/>
    <e v="#N/A"/>
    <x v="183"/>
    <b v="1"/>
  </r>
  <r>
    <m/>
    <s v="CERRADO"/>
    <x v="189"/>
    <n v="15247"/>
    <x v="3"/>
    <d v="2018-12-28T00:00:00"/>
    <x v="3"/>
    <n v="8386"/>
    <x v="34"/>
    <n v="19175"/>
    <d v="2019-01-07T00:00:00"/>
    <s v="002-4600-0822"/>
    <n v="4558506709"/>
    <d v="2019-02-01T00:00:00"/>
    <n v="3.6688000000000001"/>
    <n v="1"/>
    <n v="16560"/>
    <n v="1"/>
    <n v="7548.0198019801983"/>
    <n v="1.111"/>
    <n v="1"/>
    <e v="#N/A"/>
    <e v="#N/A"/>
    <e v="#N/A"/>
    <x v="184"/>
    <b v="1"/>
  </r>
  <r>
    <m/>
    <s v="CERRADO"/>
    <x v="217"/>
    <n v="3696"/>
    <x v="3"/>
    <d v="2018-12-28T00:00:00"/>
    <x v="3"/>
    <n v="1663"/>
    <x v="35"/>
    <n v="19175"/>
    <d v="2019-01-07T00:00:00"/>
    <s v="002-4600-0823"/>
    <n v="4558506709"/>
    <d v="2019-02-01T00:00:00"/>
    <n v="3.6688000000000001"/>
    <n v="1"/>
    <n v="10320"/>
    <n v="1"/>
    <n v="1829.7029702970297"/>
    <n v="0.90899999999999992"/>
    <n v="1"/>
    <e v="#N/A"/>
    <e v="#N/A"/>
    <e v="#N/A"/>
    <x v="185"/>
    <b v="1"/>
  </r>
  <r>
    <m/>
    <s v="CERRADO"/>
    <x v="218"/>
    <n v="6660"/>
    <x v="3"/>
    <d v="2018-12-28T00:00:00"/>
    <x v="3"/>
    <n v="3663"/>
    <x v="35"/>
    <n v="19175"/>
    <d v="2019-01-07T00:00:00"/>
    <s v="002-4600-0823"/>
    <n v="4558506709"/>
    <d v="2019-02-01T00:00:00"/>
    <n v="3.6688000000000001"/>
    <n v="1"/>
    <n v="6660"/>
    <n v="1"/>
    <n v="3297.029702970297"/>
    <n v="1.111"/>
    <n v="1"/>
    <e v="#N/A"/>
    <e v="#N/A"/>
    <e v="#N/A"/>
    <x v="6"/>
    <b v="1"/>
  </r>
  <r>
    <m/>
    <s v="CERRADO"/>
    <x v="219"/>
    <n v="13850"/>
    <x v="3"/>
    <d v="2018-12-28T00:00:00"/>
    <x v="3"/>
    <n v="7618"/>
    <x v="35"/>
    <n v="19175"/>
    <d v="2019-01-07T00:00:00"/>
    <s v="002-4600-0823"/>
    <n v="4558506709"/>
    <d v="2019-02-01T00:00:00"/>
    <n v="3.6688000000000001"/>
    <n v="1"/>
    <n v="13850"/>
    <n v="1"/>
    <n v="6856.4356435643567"/>
    <n v="1.1110729241877255"/>
    <n v="1"/>
    <e v="#N/A"/>
    <e v="#N/A"/>
    <e v="#N/A"/>
    <x v="186"/>
    <b v="1"/>
  </r>
  <r>
    <m/>
    <s v="CERRADO"/>
    <x v="220"/>
    <n v="2710"/>
    <x v="3"/>
    <d v="2018-12-28T00:00:00"/>
    <x v="3"/>
    <n v="1491"/>
    <x v="35"/>
    <n v="19175"/>
    <d v="2019-01-07T00:00:00"/>
    <s v="002-4600-0823"/>
    <n v="4558506709"/>
    <d v="2019-02-01T00:00:00"/>
    <n v="3.6688000000000001"/>
    <n v="1"/>
    <n v="2710"/>
    <n v="1"/>
    <n v="1341.5841584158416"/>
    <n v="1.1113726937269373"/>
    <n v="1"/>
    <e v="#N/A"/>
    <e v="#N/A"/>
    <e v="#N/A"/>
    <x v="187"/>
    <b v="1"/>
  </r>
  <r>
    <m/>
    <s v="CERRADO"/>
    <x v="203"/>
    <n v="8334"/>
    <x v="3"/>
    <d v="2018-12-28T00:00:00"/>
    <x v="3"/>
    <n v="4584"/>
    <x v="35"/>
    <n v="19175"/>
    <d v="2019-01-07T00:00:00"/>
    <s v="002-4600-0823"/>
    <n v="4558506709"/>
    <d v="2019-02-01T00:00:00"/>
    <n v="3.6688000000000001"/>
    <n v="1"/>
    <n v="11244"/>
    <n v="1"/>
    <n v="4125.742574257426"/>
    <n v="1.1109640697260761"/>
    <n v="1"/>
    <e v="#N/A"/>
    <e v="#N/A"/>
    <e v="#N/A"/>
    <x v="188"/>
    <b v="1"/>
  </r>
  <r>
    <m/>
    <s v="CERRADO"/>
    <x v="203"/>
    <n v="284"/>
    <x v="3"/>
    <d v="2018-12-28T00:00:00"/>
    <x v="3"/>
    <n v="156"/>
    <x v="35"/>
    <n v="19175"/>
    <d v="2019-01-07T00:00:00"/>
    <s v="002-4600-0823"/>
    <n v="4558506709"/>
    <d v="2019-02-01T00:00:00"/>
    <n v="3.6688000000000001"/>
    <n v="1"/>
    <n v="11244"/>
    <n v="1"/>
    <n v="140.59405940594058"/>
    <n v="1.1109640697260761"/>
    <n v="1"/>
    <e v="#N/A"/>
    <e v="#N/A"/>
    <e v="#N/A"/>
    <x v="189"/>
    <b v="1"/>
  </r>
  <r>
    <m/>
    <s v="CERRADO"/>
    <x v="202"/>
    <n v="840"/>
    <x v="3"/>
    <d v="2018-12-28T00:00:00"/>
    <x v="3"/>
    <n v="462"/>
    <x v="36"/>
    <n v="19175"/>
    <d v="2019-01-07T00:00:00"/>
    <s v="002-4600-0824"/>
    <n v="4558506709"/>
    <d v="2019-02-01T00:00:00"/>
    <n v="3.6688000000000001"/>
    <n v="1"/>
    <n v="907"/>
    <n v="1"/>
    <n v="415.84158415841586"/>
    <n v="1.1113340683572215"/>
    <n v="1"/>
    <e v="#N/A"/>
    <e v="#N/A"/>
    <e v="#N/A"/>
    <x v="6"/>
    <b v="1"/>
  </r>
  <r>
    <m/>
    <s v="CERRADO"/>
    <x v="221"/>
    <n v="2988"/>
    <x v="3"/>
    <d v="2018-12-28T00:00:00"/>
    <x v="3"/>
    <n v="1643"/>
    <x v="36"/>
    <n v="19175"/>
    <d v="2019-01-07T00:00:00"/>
    <s v="002-4600-0824"/>
    <n v="4558506709"/>
    <d v="2019-02-01T00:00:00"/>
    <n v="3.6688000000000001"/>
    <n v="1"/>
    <n v="2988"/>
    <n v="1"/>
    <n v="1479.2079207920792"/>
    <n v="1.1107295850066934"/>
    <n v="1"/>
    <e v="#N/A"/>
    <e v="#N/A"/>
    <e v="#N/A"/>
    <x v="190"/>
    <b v="1"/>
  </r>
  <r>
    <m/>
    <s v="CERRADO"/>
    <x v="222"/>
    <n v="4555"/>
    <x v="3"/>
    <d v="2018-12-28T00:00:00"/>
    <x v="3"/>
    <n v="2505"/>
    <x v="36"/>
    <n v="19175"/>
    <d v="2019-01-07T00:00:00"/>
    <s v="002-4600-0824"/>
    <n v="4558506709"/>
    <d v="2019-02-01T00:00:00"/>
    <n v="3.6688000000000001"/>
    <n v="1"/>
    <n v="4555"/>
    <n v="1"/>
    <n v="2254.9504950495048"/>
    <n v="1.1108891328210759"/>
    <n v="1"/>
    <e v="#N/A"/>
    <e v="#N/A"/>
    <e v="#N/A"/>
    <x v="191"/>
    <b v="1"/>
  </r>
  <r>
    <m/>
    <s v="CERRADO"/>
    <x v="223"/>
    <n v="8057"/>
    <x v="3"/>
    <d v="2018-12-28T00:00:00"/>
    <x v="3"/>
    <n v="4431"/>
    <x v="36"/>
    <n v="19175"/>
    <d v="2019-01-07T00:00:00"/>
    <s v="002-4600-0824"/>
    <n v="4558506709"/>
    <d v="2019-02-01T00:00:00"/>
    <n v="3.6688000000000001"/>
    <n v="1"/>
    <n v="8057"/>
    <n v="1"/>
    <n v="3988.6138613861385"/>
    <n v="1.1109122502172024"/>
    <n v="1"/>
    <e v="#N/A"/>
    <e v="#N/A"/>
    <e v="#N/A"/>
    <x v="192"/>
    <b v="1"/>
  </r>
  <r>
    <m/>
    <s v="CERRADO"/>
    <x v="224"/>
    <n v="7870"/>
    <x v="3"/>
    <d v="2018-12-28T00:00:00"/>
    <x v="3"/>
    <n v="3542"/>
    <x v="36"/>
    <n v="19175"/>
    <d v="2019-01-07T00:00:00"/>
    <s v="002-4600-0824"/>
    <n v="4558506709"/>
    <d v="2019-02-01T00:00:00"/>
    <n v="3.6688000000000001"/>
    <n v="1"/>
    <n v="7870"/>
    <n v="1"/>
    <n v="3896.0396039603961"/>
    <n v="0.90912833545108007"/>
    <n v="1"/>
    <e v="#N/A"/>
    <e v="#N/A"/>
    <e v="#N/A"/>
    <x v="193"/>
    <b v="1"/>
  </r>
  <r>
    <m/>
    <s v="CERRADO"/>
    <x v="225"/>
    <n v="1802"/>
    <x v="3"/>
    <d v="2018-12-28T00:00:00"/>
    <x v="3"/>
    <n v="991"/>
    <x v="36"/>
    <n v="19175"/>
    <d v="2019-01-07T00:00:00"/>
    <s v="002-4600-0824"/>
    <n v="4558506709"/>
    <d v="2019-02-01T00:00:00"/>
    <n v="3.6688000000000001"/>
    <n v="1"/>
    <n v="1802"/>
    <n v="1"/>
    <n v="892.0792079207921"/>
    <n v="1.1108879023307436"/>
    <n v="1"/>
    <e v="#N/A"/>
    <e v="#N/A"/>
    <e v="#N/A"/>
    <x v="194"/>
    <b v="1"/>
  </r>
  <r>
    <m/>
    <s v="CERRADO"/>
    <x v="226"/>
    <n v="4203"/>
    <x v="3"/>
    <d v="2018-12-28T00:00:00"/>
    <x v="3"/>
    <n v="1891"/>
    <x v="36"/>
    <n v="19175"/>
    <d v="2019-01-07T00:00:00"/>
    <s v="002-4600-0824"/>
    <n v="4558506709"/>
    <d v="2019-02-01T00:00:00"/>
    <n v="3.6688000000000001"/>
    <n v="1"/>
    <n v="4203"/>
    <n v="1"/>
    <n v="2080.6930693069307"/>
    <n v="0.90883178681893884"/>
    <n v="1"/>
    <e v="#N/A"/>
    <e v="#N/A"/>
    <e v="#N/A"/>
    <x v="195"/>
    <b v="1"/>
  </r>
  <r>
    <m/>
    <s v="CERRADO"/>
    <x v="227"/>
    <n v="1621"/>
    <x v="3"/>
    <d v="2018-12-28T00:00:00"/>
    <x v="3"/>
    <n v="729"/>
    <x v="36"/>
    <n v="19175"/>
    <d v="2019-01-07T00:00:00"/>
    <s v="002-4600-0824"/>
    <n v="4558506709"/>
    <d v="2019-02-01T00:00:00"/>
    <n v="3.6688000000000001"/>
    <n v="1"/>
    <n v="1621"/>
    <n v="1"/>
    <n v="802.47524752475249"/>
    <n v="0.90843923504009871"/>
    <n v="1"/>
    <e v="#N/A"/>
    <e v="#N/A"/>
    <e v="#N/A"/>
    <x v="196"/>
    <b v="1"/>
  </r>
  <r>
    <m/>
    <s v="CERRADO"/>
    <x v="217"/>
    <n v="6624"/>
    <x v="3"/>
    <d v="2018-12-28T00:00:00"/>
    <x v="3"/>
    <n v="2981"/>
    <x v="36"/>
    <n v="19175"/>
    <d v="2019-01-07T00:00:00"/>
    <s v="002-4600-0824"/>
    <n v="4558506709"/>
    <d v="2019-02-01T00:00:00"/>
    <n v="3.6688000000000001"/>
    <n v="1"/>
    <n v="10320"/>
    <n v="1"/>
    <n v="3279.2079207920792"/>
    <n v="0.90899999999999992"/>
    <n v="1"/>
    <e v="#N/A"/>
    <e v="#N/A"/>
    <e v="#N/A"/>
    <x v="197"/>
    <b v="1"/>
  </r>
  <r>
    <m/>
    <s v="CERRADO"/>
    <x v="228"/>
    <n v="9428"/>
    <x v="3"/>
    <d v="2018-12-28T00:00:00"/>
    <x v="3"/>
    <n v="4243"/>
    <x v="37"/>
    <n v="19175"/>
    <d v="2019-01-07T00:00:00"/>
    <s v="002-4600-0825"/>
    <n v="4558506709"/>
    <d v="2019-02-01T00:00:00"/>
    <n v="3.6688000000000001"/>
    <n v="1"/>
    <n v="13879"/>
    <n v="1"/>
    <n v="4667.3267326732675"/>
    <n v="0.90906549463217823"/>
    <n v="1"/>
    <e v="#N/A"/>
    <e v="#N/A"/>
    <e v="#N/A"/>
    <x v="198"/>
    <b v="1"/>
  </r>
  <r>
    <m/>
    <s v="CERRADO"/>
    <x v="229"/>
    <n v="12900"/>
    <x v="3"/>
    <d v="2018-12-28T00:00:00"/>
    <x v="3"/>
    <n v="5805"/>
    <x v="37"/>
    <n v="19175"/>
    <d v="2019-01-07T00:00:00"/>
    <s v="002-4600-0825"/>
    <n v="4558506709"/>
    <d v="2019-02-01T00:00:00"/>
    <n v="3.6688000000000001"/>
    <n v="1"/>
    <n v="12900"/>
    <n v="1"/>
    <n v="6386.1386138613861"/>
    <n v="0.90900000000000003"/>
    <n v="1"/>
    <e v="#N/A"/>
    <e v="#N/A"/>
    <e v="#N/A"/>
    <x v="2"/>
    <b v="1"/>
  </r>
  <r>
    <m/>
    <s v="CERRADO"/>
    <x v="230"/>
    <n v="1200"/>
    <x v="3"/>
    <d v="2018-12-28T00:00:00"/>
    <x v="3"/>
    <n v="660"/>
    <x v="37"/>
    <n v="19175"/>
    <d v="2019-01-07T00:00:00"/>
    <s v="002-4600-0825"/>
    <n v="4558506709"/>
    <d v="2019-02-01T00:00:00"/>
    <n v="3.6688000000000001"/>
    <n v="1"/>
    <n v="1200"/>
    <n v="1"/>
    <n v="594.05940594059405"/>
    <n v="1.111"/>
    <n v="1"/>
    <e v="#N/A"/>
    <e v="#N/A"/>
    <e v="#N/A"/>
    <x v="6"/>
    <b v="1"/>
  </r>
  <r>
    <m/>
    <s v="CERRADO"/>
    <x v="231"/>
    <n v="17160"/>
    <x v="3"/>
    <d v="2018-12-28T00:00:00"/>
    <x v="3"/>
    <n v="7722"/>
    <x v="37"/>
    <n v="19175"/>
    <d v="2019-01-07T00:00:00"/>
    <s v="002-4600-0825"/>
    <n v="4558506709"/>
    <d v="2019-02-01T00:00:00"/>
    <n v="3.6688000000000001"/>
    <n v="1"/>
    <n v="17160"/>
    <n v="1"/>
    <n v="8495.0495049504952"/>
    <n v="0.90900000000000003"/>
    <n v="1"/>
    <e v="#N/A"/>
    <e v="#N/A"/>
    <e v="#N/A"/>
    <x v="2"/>
    <b v="1"/>
  </r>
  <r>
    <m/>
    <s v="CERRADO"/>
    <x v="195"/>
    <n v="1355"/>
    <x v="3"/>
    <d v="2018-12-28T00:00:00"/>
    <x v="3"/>
    <n v="745"/>
    <x v="37"/>
    <n v="19175"/>
    <d v="2019-01-07T00:00:00"/>
    <s v="002-4600-0825"/>
    <n v="4558506709"/>
    <d v="2019-02-01T00:00:00"/>
    <n v="3.6688000000000001"/>
    <n v="1"/>
    <n v="7427"/>
    <n v="1"/>
    <n v="670.79207920792078"/>
    <n v="1.1110407970916925"/>
    <n v="1"/>
    <e v="#N/A"/>
    <e v="#N/A"/>
    <e v="#N/A"/>
    <x v="199"/>
    <b v="1"/>
  </r>
  <r>
    <m/>
    <s v="CERRADO"/>
    <x v="214"/>
    <n v="5672"/>
    <x v="3"/>
    <d v="2018-12-28T00:00:00"/>
    <x v="3"/>
    <n v="3120"/>
    <x v="38"/>
    <n v="19175"/>
    <d v="2019-01-07T00:00:00"/>
    <s v="002-4600-0826"/>
    <n v="4558506709"/>
    <d v="2019-02-01T00:00:00"/>
    <n v="3.6688000000000001"/>
    <n v="1"/>
    <n v="6130"/>
    <n v="1"/>
    <n v="2807.9207920792078"/>
    <n v="1.1111647634584012"/>
    <n v="1"/>
    <e v="#N/A"/>
    <e v="#N/A"/>
    <e v="#N/A"/>
    <x v="200"/>
    <b v="1"/>
  </r>
  <r>
    <m/>
    <s v="CERRADO"/>
    <x v="232"/>
    <n v="1920"/>
    <x v="3"/>
    <d v="2018-12-28T00:00:00"/>
    <x v="3"/>
    <n v="1056"/>
    <x v="38"/>
    <n v="19175"/>
    <d v="2019-01-07T00:00:00"/>
    <s v="002-4600-0826"/>
    <n v="4558506709"/>
    <d v="2019-02-01T00:00:00"/>
    <n v="3.6688000000000001"/>
    <n v="1"/>
    <n v="1920"/>
    <n v="1"/>
    <n v="950.49504950495054"/>
    <n v="1.111"/>
    <n v="1"/>
    <e v="#N/A"/>
    <e v="#N/A"/>
    <e v="#N/A"/>
    <x v="6"/>
    <b v="1"/>
  </r>
  <r>
    <m/>
    <s v="CERRADO"/>
    <x v="233"/>
    <n v="12580"/>
    <x v="3"/>
    <d v="2018-12-28T00:00:00"/>
    <x v="3"/>
    <n v="6919"/>
    <x v="38"/>
    <n v="19175"/>
    <d v="2019-01-07T00:00:00"/>
    <s v="002-4600-0826"/>
    <n v="4558506709"/>
    <d v="2019-02-01T00:00:00"/>
    <n v="3.6688000000000001"/>
    <n v="1"/>
    <n v="12580"/>
    <n v="1"/>
    <n v="6227.7227722772277"/>
    <n v="1.111"/>
    <n v="1"/>
    <e v="#N/A"/>
    <e v="#N/A"/>
    <e v="#N/A"/>
    <x v="6"/>
    <b v="1"/>
  </r>
  <r>
    <m/>
    <s v="CERRADO"/>
    <x v="234"/>
    <n v="4130"/>
    <x v="3"/>
    <d v="2018-12-28T00:00:00"/>
    <x v="3"/>
    <n v="2272"/>
    <x v="38"/>
    <n v="19175"/>
    <d v="2019-01-07T00:00:00"/>
    <s v="002-4600-0826"/>
    <n v="4558506709"/>
    <d v="2019-02-01T00:00:00"/>
    <n v="3.6688000000000001"/>
    <n v="1"/>
    <n v="4130"/>
    <n v="1"/>
    <n v="2044.5544554455446"/>
    <n v="1.1112445520581113"/>
    <n v="1"/>
    <e v="#N/A"/>
    <e v="#N/A"/>
    <e v="#N/A"/>
    <x v="201"/>
    <b v="1"/>
  </r>
  <r>
    <m/>
    <s v="CERRADO"/>
    <x v="235"/>
    <n v="120"/>
    <x v="3"/>
    <d v="2018-12-28T00:00:00"/>
    <x v="3"/>
    <n v="54"/>
    <x v="38"/>
    <n v="19175"/>
    <d v="2019-01-07T00:00:00"/>
    <s v="002-4600-0826"/>
    <n v="4558506709"/>
    <d v="2019-02-01T00:00:00"/>
    <n v="3.6688000000000001"/>
    <n v="1"/>
    <n v="120"/>
    <n v="1"/>
    <n v="59.405940594059409"/>
    <n v="0.90899999999999992"/>
    <n v="1"/>
    <e v="#N/A"/>
    <e v="#N/A"/>
    <e v="#N/A"/>
    <x v="2"/>
    <b v="1"/>
  </r>
  <r>
    <m/>
    <s v="CERRADO"/>
    <x v="236"/>
    <n v="12787"/>
    <x v="3"/>
    <d v="2018-12-28T00:00:00"/>
    <x v="3"/>
    <n v="5754"/>
    <x v="38"/>
    <n v="19175"/>
    <d v="2019-01-07T00:00:00"/>
    <s v="002-4600-0826"/>
    <n v="4558506709"/>
    <d v="2019-02-01T00:00:00"/>
    <n v="3.6688000000000001"/>
    <n v="1"/>
    <n v="12950"/>
    <n v="1"/>
    <n v="6330.1980198019801"/>
    <n v="0.90892200772200771"/>
    <n v="1"/>
    <e v="#N/A"/>
    <e v="#N/A"/>
    <e v="#N/A"/>
    <x v="202"/>
    <b v="1"/>
  </r>
  <r>
    <m/>
    <s v="CERRADO"/>
    <x v="236"/>
    <n v="163"/>
    <x v="3"/>
    <d v="2018-12-28T00:00:00"/>
    <x v="3"/>
    <n v="73"/>
    <x v="39"/>
    <n v="19175"/>
    <d v="2019-01-07T00:00:00"/>
    <s v="002-4600-0827"/>
    <n v="4558506709"/>
    <d v="2019-02-01T00:00:00"/>
    <n v="3.6688000000000001"/>
    <n v="1"/>
    <n v="12950"/>
    <n v="1"/>
    <n v="80.693069306930695"/>
    <n v="0.90892200772200771"/>
    <n v="1"/>
    <e v="#N/A"/>
    <e v="#N/A"/>
    <e v="#N/A"/>
    <x v="203"/>
    <b v="1"/>
  </r>
  <r>
    <m/>
    <s v="CERRADO"/>
    <x v="237"/>
    <n v="13670"/>
    <x v="3"/>
    <d v="2018-12-28T00:00:00"/>
    <x v="3"/>
    <n v="6152"/>
    <x v="39"/>
    <n v="19175"/>
    <d v="2019-01-07T00:00:00"/>
    <s v="002-4600-0827"/>
    <n v="4558506709"/>
    <d v="2019-02-01T00:00:00"/>
    <n v="3.6688000000000001"/>
    <n v="1"/>
    <n v="13670"/>
    <n v="1"/>
    <n v="6767.3267326732675"/>
    <n v="0.90907388441843451"/>
    <n v="1"/>
    <e v="#N/A"/>
    <e v="#N/A"/>
    <e v="#N/A"/>
    <x v="204"/>
    <b v="1"/>
  </r>
  <r>
    <m/>
    <s v="CERRADO"/>
    <x v="238"/>
    <n v="10980"/>
    <x v="3"/>
    <d v="2018-12-28T00:00:00"/>
    <x v="3"/>
    <n v="6039"/>
    <x v="39"/>
    <n v="19175"/>
    <d v="2019-01-07T00:00:00"/>
    <s v="002-4600-0827"/>
    <n v="4558506709"/>
    <d v="2019-02-01T00:00:00"/>
    <n v="3.6688000000000001"/>
    <n v="1"/>
    <n v="10980"/>
    <n v="1"/>
    <n v="5435.6435643564355"/>
    <n v="1.111"/>
    <n v="1"/>
    <e v="#N/A"/>
    <e v="#N/A"/>
    <e v="#N/A"/>
    <x v="6"/>
    <b v="1"/>
  </r>
  <r>
    <m/>
    <s v="CERRADO"/>
    <x v="239"/>
    <n v="8280"/>
    <x v="3"/>
    <d v="2018-12-28T00:00:00"/>
    <x v="3"/>
    <n v="4554"/>
    <x v="39"/>
    <n v="19175"/>
    <d v="2019-01-07T00:00:00"/>
    <s v="002-4600-0827"/>
    <n v="4558506709"/>
    <d v="2019-02-01T00:00:00"/>
    <n v="3.6688000000000001"/>
    <n v="1"/>
    <n v="9066"/>
    <n v="1"/>
    <n v="4099.0099009900987"/>
    <n v="1.0935539377895434"/>
    <n v="1"/>
    <e v="#N/A"/>
    <e v="#N/A"/>
    <e v="#N/A"/>
    <x v="6"/>
    <b v="1"/>
  </r>
  <r>
    <m/>
    <s v="CERRADO"/>
    <x v="239"/>
    <n v="786"/>
    <x v="3"/>
    <d v="2018-12-28T00:00:00"/>
    <x v="3"/>
    <n v="354"/>
    <x v="39"/>
    <n v="19175"/>
    <d v="2019-01-07T00:00:00"/>
    <s v="002-4600-0827"/>
    <n v="4558506709"/>
    <d v="2019-02-01T00:00:00"/>
    <n v="3.6688000000000001"/>
    <n v="1"/>
    <n v="9066"/>
    <n v="1"/>
    <n v="389.10891089108912"/>
    <n v="1.0935539377895434"/>
    <n v="1"/>
    <e v="#N/A"/>
    <e v="#N/A"/>
    <e v="#N/A"/>
    <x v="205"/>
    <b v="1"/>
  </r>
  <r>
    <m/>
    <s v="CERRADO"/>
    <x v="228"/>
    <n v="4451"/>
    <x v="3"/>
    <d v="2018-12-28T00:00:00"/>
    <x v="3"/>
    <n v="2003"/>
    <x v="39"/>
    <n v="19175"/>
    <d v="2019-01-07T00:00:00"/>
    <s v="002-4600-0827"/>
    <n v="4558506709"/>
    <d v="2019-02-01T00:00:00"/>
    <n v="3.6688000000000001"/>
    <n v="1"/>
    <n v="13879"/>
    <n v="1"/>
    <n v="2203.4653465346532"/>
    <n v="0.90906549463217823"/>
    <n v="1"/>
    <e v="#N/A"/>
    <e v="#N/A"/>
    <e v="#N/A"/>
    <x v="206"/>
    <b v="1"/>
  </r>
  <r>
    <m/>
    <s v="CERRADO"/>
    <x v="240"/>
    <n v="14126"/>
    <x v="4"/>
    <d v="2019-01-08T00:00:00"/>
    <x v="2"/>
    <n v="7769"/>
    <x v="40"/>
    <n v="21000"/>
    <d v="2019-01-13T00:00:00"/>
    <s v="002-4600-0850"/>
    <n v="4615487175"/>
    <d v="2019-01-24T00:00:00"/>
    <n v="3.7808999999999999"/>
    <n v="1"/>
    <n v="26948"/>
    <n v="1"/>
    <n v="7761.538461538461"/>
    <n v="1.0009729850081639"/>
    <n v="1"/>
    <n v="19175"/>
    <n v="6763.7822038320437"/>
    <n v="2113.6819386975139"/>
    <x v="207"/>
    <b v="1"/>
  </r>
  <r>
    <m/>
    <s v="CERRADO"/>
    <x v="241"/>
    <n v="14850"/>
    <x v="4"/>
    <d v="2019-01-08T00:00:00"/>
    <x v="2"/>
    <n v="8168"/>
    <x v="40"/>
    <n v="21000"/>
    <d v="2019-01-13T00:00:00"/>
    <s v="002-4600-0850"/>
    <n v="4615487175"/>
    <d v="2019-01-24T00:00:00"/>
    <n v="3.7808999999999999"/>
    <n v="1"/>
    <n v="14850"/>
    <n v="1"/>
    <n v="8159.3406593406589"/>
    <n v="1.0010612794612794"/>
    <n v="1"/>
    <n v="19175"/>
    <n v="6763.7822038320437"/>
    <n v="2113.6819386975139"/>
    <x v="208"/>
    <b v="1"/>
  </r>
  <r>
    <m/>
    <s v="CERRADO"/>
    <x v="242"/>
    <n v="9205"/>
    <x v="4"/>
    <d v="2019-01-08T00:00:00"/>
    <x v="2"/>
    <n v="5063"/>
    <x v="40"/>
    <n v="21000"/>
    <d v="2019-01-13T00:00:00"/>
    <s v="002-4600-0850"/>
    <n v="4615487175"/>
    <d v="2019-01-24T00:00:00"/>
    <n v="3.7808999999999999"/>
    <n v="1"/>
    <n v="16090"/>
    <n v="1"/>
    <n v="5057.6923076923076"/>
    <n v="1.0010565568676197"/>
    <n v="1"/>
    <n v="19175"/>
    <n v="6763.7822038320437"/>
    <n v="2113.6819386975139"/>
    <x v="209"/>
    <b v="1"/>
  </r>
  <r>
    <m/>
    <s v="CERRADO"/>
    <x v="243"/>
    <n v="1891"/>
    <x v="4"/>
    <d v="2019-01-08T00:00:00"/>
    <x v="2"/>
    <n v="1040"/>
    <x v="41"/>
    <n v="21000"/>
    <d v="2019-01-13T00:00:00"/>
    <s v="002-4600-0851"/>
    <n v="4615487175"/>
    <d v="2019-01-24T00:00:00"/>
    <n v="3.7808999999999999"/>
    <n v="1"/>
    <n v="19940"/>
    <n v="1"/>
    <n v="1039.0109890109891"/>
    <n v="1.0010000000000001"/>
    <n v="1"/>
    <n v="19175"/>
    <n v="6763.7822038320437"/>
    <n v="2113.6819386975139"/>
    <x v="210"/>
    <b v="1"/>
  </r>
  <r>
    <m/>
    <s v="CERRADO"/>
    <x v="244"/>
    <n v="20030"/>
    <x v="4"/>
    <d v="2019-01-08T00:00:00"/>
    <x v="2"/>
    <n v="11017"/>
    <x v="41"/>
    <n v="21000"/>
    <d v="2019-01-13T00:00:00"/>
    <s v="002-4600-0851"/>
    <n v="4615487175"/>
    <d v="2019-01-24T00:00:00"/>
    <n v="3.7808999999999999"/>
    <n v="1"/>
    <n v="20030"/>
    <n v="1"/>
    <n v="11005.494505494506"/>
    <n v="1.0010454318522217"/>
    <n v="1"/>
    <n v="19175"/>
    <n v="6763.7822038320437"/>
    <n v="2113.6819386975139"/>
    <x v="211"/>
    <b v="1"/>
  </r>
  <r>
    <m/>
    <s v="CERRADO"/>
    <x v="245"/>
    <n v="16260"/>
    <x v="4"/>
    <d v="2019-01-08T00:00:00"/>
    <x v="2"/>
    <n v="8943"/>
    <x v="41"/>
    <n v="21000"/>
    <d v="2019-01-13T00:00:00"/>
    <s v="002-4600-0851"/>
    <n v="4615487175"/>
    <d v="2019-01-24T00:00:00"/>
    <n v="3.7808999999999999"/>
    <n v="1"/>
    <n v="19880"/>
    <n v="1"/>
    <n v="8934.0659340659331"/>
    <n v="1.0010000000000001"/>
    <n v="1"/>
    <n v="19175"/>
    <n v="6763.7822038320437"/>
    <n v="2113.6819386975139"/>
    <x v="6"/>
    <b v="1"/>
  </r>
  <r>
    <m/>
    <s v="CERRADO"/>
    <x v="246"/>
    <n v="4969"/>
    <x v="4"/>
    <d v="2019-01-08T00:00:00"/>
    <x v="2"/>
    <n v="2733"/>
    <x v="42"/>
    <n v="21000"/>
    <d v="2019-01-13T00:00:00"/>
    <s v="002-4600-0852"/>
    <n v="4615487175"/>
    <d v="2019-01-24T00:00:00"/>
    <n v="3.7808999999999999"/>
    <n v="1"/>
    <n v="19880"/>
    <n v="1"/>
    <n v="2730.2197802197802"/>
    <n v="1.0009999999999999"/>
    <n v="1"/>
    <n v="19175"/>
    <n v="6763.7822038320437"/>
    <n v="2113.6819386975139"/>
    <x v="212"/>
    <b v="1"/>
  </r>
  <r>
    <m/>
    <s v="CERRADO"/>
    <x v="247"/>
    <n v="19810"/>
    <x v="4"/>
    <d v="2019-01-08T00:00:00"/>
    <x v="2"/>
    <n v="10896"/>
    <x v="42"/>
    <n v="21000"/>
    <d v="2019-01-13T00:00:00"/>
    <s v="002-4600-0852"/>
    <n v="4615487175"/>
    <d v="2019-01-24T00:00:00"/>
    <n v="3.7808999999999999"/>
    <n v="1"/>
    <n v="19810"/>
    <n v="1"/>
    <n v="10884.615384615385"/>
    <n v="1.0010459363957598"/>
    <n v="1"/>
    <n v="19175"/>
    <n v="6763.7822038320437"/>
    <n v="2113.6819386975139"/>
    <x v="213"/>
    <b v="1"/>
  </r>
  <r>
    <m/>
    <s v="CERRADO"/>
    <x v="248"/>
    <n v="13402"/>
    <x v="4"/>
    <d v="2019-01-08T00:00:00"/>
    <x v="2"/>
    <n v="7371"/>
    <x v="42"/>
    <n v="21000"/>
    <d v="2019-01-13T00:00:00"/>
    <s v="002-4600-0852"/>
    <n v="4615487175"/>
    <d v="2019-01-24T00:00:00"/>
    <n v="3.7808999999999999"/>
    <n v="1"/>
    <n v="19830"/>
    <n v="1"/>
    <n v="7363.7362637362639"/>
    <n v="1.0278787453981857"/>
    <n v="1"/>
    <n v="19175"/>
    <n v="6763.7822038320437"/>
    <n v="2113.6819386975139"/>
    <x v="214"/>
    <b v="1"/>
  </r>
  <r>
    <m/>
    <s v="CERRADO"/>
    <x v="249"/>
    <n v="2325"/>
    <x v="4"/>
    <d v="2019-01-08T00:00:00"/>
    <x v="2"/>
    <n v="1046"/>
    <x v="43"/>
    <n v="21000"/>
    <d v="2019-01-13T00:00:00"/>
    <s v="002-4600-0853"/>
    <n v="4615487175"/>
    <d v="2019-01-24T00:00:00"/>
    <n v="3.7808999999999999"/>
    <n v="1"/>
    <n v="3836"/>
    <n v="1"/>
    <n v="1277.4725274725274"/>
    <n v="0.81890510948905115"/>
    <n v="1"/>
    <n v="19175"/>
    <n v="6763.7822038320437"/>
    <n v="2113.6819386975139"/>
    <x v="215"/>
    <b v="1"/>
  </r>
  <r>
    <m/>
    <s v="CERRADO"/>
    <x v="250"/>
    <n v="12013"/>
    <x v="4"/>
    <d v="2019-01-08T00:00:00"/>
    <x v="2"/>
    <n v="5406"/>
    <x v="43"/>
    <n v="21000"/>
    <d v="2019-01-13T00:00:00"/>
    <s v="002-4600-0853"/>
    <n v="4615487175"/>
    <d v="2019-01-24T00:00:00"/>
    <n v="3.7808999999999999"/>
    <n v="1"/>
    <n v="12013"/>
    <n v="1"/>
    <n v="6600.5494505494507"/>
    <n v="0.81902272538083742"/>
    <n v="1"/>
    <n v="19175"/>
    <n v="6763.7822038320437"/>
    <n v="2113.6819386975139"/>
    <x v="216"/>
    <b v="1"/>
  </r>
  <r>
    <m/>
    <s v="CERRADO"/>
    <x v="251"/>
    <n v="16250"/>
    <x v="4"/>
    <d v="2019-01-08T00:00:00"/>
    <x v="2"/>
    <n v="8938"/>
    <x v="43"/>
    <n v="21000"/>
    <d v="2019-01-13T00:00:00"/>
    <s v="002-4600-0853"/>
    <n v="4615487175"/>
    <d v="2019-01-24T00:00:00"/>
    <n v="3.7808999999999999"/>
    <n v="1"/>
    <n v="16250"/>
    <n v="1"/>
    <n v="8928.5714285714275"/>
    <n v="1.0010560000000002"/>
    <n v="1"/>
    <n v="19175"/>
    <n v="6763.7822038320437"/>
    <n v="2113.6819386975139"/>
    <x v="217"/>
    <b v="1"/>
  </r>
  <r>
    <m/>
    <s v="CERRADO"/>
    <x v="252"/>
    <n v="10200"/>
    <x v="4"/>
    <d v="2019-01-08T00:00:00"/>
    <x v="2"/>
    <n v="5610"/>
    <x v="43"/>
    <n v="21000"/>
    <d v="2019-01-13T00:00:00"/>
    <s v="002-4600-0853"/>
    <n v="4615487175"/>
    <d v="2019-01-24T00:00:00"/>
    <n v="3.7808999999999999"/>
    <n v="1"/>
    <n v="17740"/>
    <n v="1"/>
    <n v="5604.3956043956041"/>
    <n v="1.0010000000000001"/>
    <n v="1"/>
    <n v="19175"/>
    <n v="6763.7822038320437"/>
    <n v="2113.6819386975139"/>
    <x v="6"/>
    <b v="1"/>
  </r>
  <r>
    <m/>
    <s v="CERRADO"/>
    <x v="253"/>
    <n v="553"/>
    <x v="4"/>
    <d v="2019-01-08T00:00:00"/>
    <x v="2"/>
    <n v="249"/>
    <x v="44"/>
    <n v="21000"/>
    <d v="2019-01-13T00:00:00"/>
    <s v="002-4600-0854"/>
    <n v="4615487175"/>
    <d v="2019-01-24T00:00:00"/>
    <n v="3.7808999999999999"/>
    <n v="1"/>
    <n v="9220"/>
    <n v="1"/>
    <n v="303.84615384615381"/>
    <n v="0.81900000000000017"/>
    <n v="1"/>
    <n v="19175"/>
    <n v="6763.7822038320437"/>
    <n v="2113.6819386975139"/>
    <x v="218"/>
    <b v="1"/>
  </r>
  <r>
    <m/>
    <s v="CERRADO"/>
    <x v="254"/>
    <n v="19680"/>
    <x v="4"/>
    <d v="2019-01-08T00:00:00"/>
    <x v="2"/>
    <n v="10824"/>
    <x v="44"/>
    <n v="21000"/>
    <d v="2019-01-13T00:00:00"/>
    <s v="002-4600-0854"/>
    <n v="4615487175"/>
    <d v="2019-01-24T00:00:00"/>
    <n v="3.7808999999999999"/>
    <n v="1"/>
    <n v="19680"/>
    <n v="1"/>
    <n v="10813.186813186812"/>
    <n v="1.0010000000000001"/>
    <n v="1"/>
    <n v="19175"/>
    <n v="6763.7822038320437"/>
    <n v="2113.6819386975139"/>
    <x v="6"/>
    <b v="1"/>
  </r>
  <r>
    <m/>
    <s v="CERRADO"/>
    <x v="243"/>
    <n v="18049"/>
    <x v="4"/>
    <d v="2019-01-08T00:00:00"/>
    <x v="2"/>
    <n v="9927"/>
    <x v="44"/>
    <n v="21000"/>
    <d v="2019-01-13T00:00:00"/>
    <s v="002-4600-0854"/>
    <n v="4615487175"/>
    <d v="2019-01-24T00:00:00"/>
    <n v="3.7808999999999999"/>
    <n v="1"/>
    <n v="19940"/>
    <n v="1"/>
    <n v="9917.0329670329666"/>
    <n v="1.0010000000000001"/>
    <n v="1"/>
    <n v="19175"/>
    <n v="6763.7822038320437"/>
    <n v="2113.6819386975139"/>
    <x v="219"/>
    <b v="1"/>
  </r>
  <r>
    <m/>
    <s v="CERRADO"/>
    <x v="245"/>
    <n v="3620"/>
    <x v="4"/>
    <d v="2019-01-08T00:00:00"/>
    <x v="2"/>
    <n v="1991"/>
    <x v="45"/>
    <n v="21000"/>
    <d v="2019-01-13T00:00:00"/>
    <s v="002-4600-0855"/>
    <n v="4615487175"/>
    <d v="2019-01-24T00:00:00"/>
    <n v="3.7808999999999999"/>
    <n v="1"/>
    <n v="19880"/>
    <n v="1"/>
    <n v="1989.0109890109889"/>
    <n v="1.0010000000000001"/>
    <n v="1"/>
    <n v="19175"/>
    <n v="6763.7822038320437"/>
    <n v="2113.6819386975139"/>
    <x v="6"/>
    <b v="1"/>
  </r>
  <r>
    <m/>
    <s v="CERRADO"/>
    <x v="255"/>
    <n v="19650"/>
    <x v="4"/>
    <d v="2019-01-08T00:00:00"/>
    <x v="2"/>
    <n v="10808"/>
    <x v="45"/>
    <n v="21000"/>
    <d v="2019-01-13T00:00:00"/>
    <s v="002-4600-0855"/>
    <n v="4615487175"/>
    <d v="2019-01-24T00:00:00"/>
    <n v="3.7808999999999999"/>
    <n v="1"/>
    <n v="19650"/>
    <n v="1"/>
    <n v="10796.703296703296"/>
    <n v="1.00104631043257"/>
    <n v="1"/>
    <n v="19175"/>
    <n v="6763.7822038320437"/>
    <n v="2113.6819386975139"/>
    <x v="220"/>
    <b v="1"/>
  </r>
  <r>
    <m/>
    <s v="CERRADO"/>
    <x v="246"/>
    <n v="14911"/>
    <x v="4"/>
    <d v="2019-01-08T00:00:00"/>
    <x v="2"/>
    <n v="8201"/>
    <x v="45"/>
    <n v="21000"/>
    <d v="2019-01-13T00:00:00"/>
    <s v="002-4600-0855"/>
    <n v="4615487175"/>
    <d v="2019-01-24T00:00:00"/>
    <n v="3.7808999999999999"/>
    <n v="1"/>
    <n v="19880"/>
    <n v="1"/>
    <n v="8192.8571428571431"/>
    <n v="1.0009999999999999"/>
    <n v="1"/>
    <n v="19175"/>
    <n v="6763.7822038320437"/>
    <n v="2113.6819386975139"/>
    <x v="221"/>
    <b v="1"/>
  </r>
  <r>
    <m/>
    <s v="CERRADO"/>
    <x v="252"/>
    <n v="7540"/>
    <x v="4"/>
    <d v="2019-01-08T00:00:00"/>
    <x v="2"/>
    <n v="4147"/>
    <x v="46"/>
    <n v="21000"/>
    <d v="2019-01-13T00:00:00"/>
    <s v="002-4600-0856"/>
    <n v="4615487175"/>
    <d v="2019-01-24T00:00:00"/>
    <n v="3.7808999999999999"/>
    <n v="1"/>
    <n v="17740"/>
    <n v="1"/>
    <n v="4142.8571428571431"/>
    <n v="1.0010000000000001"/>
    <n v="1"/>
    <n v="19175"/>
    <n v="6763.7822038320437"/>
    <n v="2113.6819386975139"/>
    <x v="6"/>
    <b v="1"/>
  </r>
  <r>
    <m/>
    <s v="CERRADO"/>
    <x v="256"/>
    <n v="10680"/>
    <x v="4"/>
    <d v="2019-01-08T00:00:00"/>
    <x v="2"/>
    <n v="5874"/>
    <x v="46"/>
    <n v="21000"/>
    <d v="2019-01-13T00:00:00"/>
    <s v="002-4600-0856"/>
    <n v="4615487175"/>
    <d v="2019-01-24T00:00:00"/>
    <n v="3.7808999999999999"/>
    <n v="1"/>
    <n v="10680"/>
    <n v="1"/>
    <n v="5868.131868131868"/>
    <n v="1.0010000000000001"/>
    <n v="1"/>
    <n v="19175"/>
    <n v="6763.7822038320437"/>
    <n v="2113.6819386975139"/>
    <x v="6"/>
    <b v="1"/>
  </r>
  <r>
    <m/>
    <s v="CERRADO"/>
    <x v="257"/>
    <n v="15730"/>
    <x v="4"/>
    <d v="2019-01-08T00:00:00"/>
    <x v="2"/>
    <n v="7079"/>
    <x v="46"/>
    <n v="21000"/>
    <d v="2019-01-13T00:00:00"/>
    <s v="002-4600-0856"/>
    <n v="4615487175"/>
    <d v="2019-01-24T00:00:00"/>
    <n v="3.7808999999999999"/>
    <n v="1"/>
    <n v="15730"/>
    <n v="1"/>
    <n v="8642.8571428571431"/>
    <n v="0.81905785123966934"/>
    <n v="1"/>
    <n v="19175"/>
    <n v="6763.7822038320437"/>
    <n v="2113.6819386975139"/>
    <x v="222"/>
    <b v="1"/>
  </r>
  <r>
    <m/>
    <s v="CERRADO"/>
    <x v="253"/>
    <n v="8667"/>
    <x v="4"/>
    <d v="2019-01-08T00:00:00"/>
    <x v="2"/>
    <n v="3900"/>
    <x v="46"/>
    <n v="21000"/>
    <d v="2019-01-13T00:00:00"/>
    <s v="002-4600-0856"/>
    <n v="4615487175"/>
    <d v="2019-01-24T00:00:00"/>
    <n v="3.7808999999999999"/>
    <n v="1"/>
    <n v="9220"/>
    <n v="1"/>
    <n v="4762.0879120879117"/>
    <n v="0.81900000000000017"/>
    <n v="1"/>
    <n v="19175"/>
    <n v="6763.7822038320437"/>
    <n v="2113.6819386975139"/>
    <x v="223"/>
    <b v="1"/>
  </r>
  <r>
    <m/>
    <s v="CERRADO"/>
    <x v="242"/>
    <n v="6885"/>
    <x v="4"/>
    <d v="2019-01-08T00:00:00"/>
    <x v="2"/>
    <n v="3787"/>
    <x v="47"/>
    <n v="21000"/>
    <d v="2019-01-13T00:00:00"/>
    <s v="002-4600-0857"/>
    <n v="4615487175"/>
    <d v="2019-01-24T00:00:00"/>
    <n v="3.7808999999999999"/>
    <n v="1"/>
    <n v="16090"/>
    <n v="1"/>
    <n v="3782.967032967033"/>
    <n v="1.0010565568676197"/>
    <n v="1"/>
    <n v="19175"/>
    <n v="6763.7822038320437"/>
    <n v="2113.6819386975139"/>
    <x v="224"/>
    <b v="1"/>
  </r>
  <r>
    <m/>
    <s v="CERRADO"/>
    <x v="258"/>
    <n v="15340"/>
    <x v="4"/>
    <d v="2019-01-08T00:00:00"/>
    <x v="2"/>
    <n v="8437"/>
    <x v="47"/>
    <n v="21000"/>
    <d v="2019-01-13T00:00:00"/>
    <s v="002-4600-0857"/>
    <n v="4615487175"/>
    <d v="2019-01-24T00:00:00"/>
    <n v="3.7808999999999999"/>
    <n v="1"/>
    <n v="15340"/>
    <n v="1"/>
    <n v="8428.5714285714275"/>
    <n v="1.0010000000000001"/>
    <n v="1"/>
    <n v="19175"/>
    <n v="6763.7822038320437"/>
    <n v="2113.6819386975139"/>
    <x v="6"/>
    <b v="1"/>
  </r>
  <r>
    <m/>
    <s v="CERRADO"/>
    <x v="259"/>
    <n v="14720"/>
    <x v="4"/>
    <d v="2019-01-08T00:00:00"/>
    <x v="2"/>
    <n v="8096"/>
    <x v="47"/>
    <n v="21000"/>
    <d v="2019-01-13T00:00:00"/>
    <s v="002-4600-0857"/>
    <n v="4615487175"/>
    <d v="2019-01-24T00:00:00"/>
    <n v="3.7808999999999999"/>
    <n v="1"/>
    <n v="14720"/>
    <n v="1"/>
    <n v="8087.9120879120874"/>
    <n v="1.0010000000000001"/>
    <n v="1"/>
    <n v="19175"/>
    <n v="6763.7822038320437"/>
    <n v="2113.6819386975139"/>
    <x v="6"/>
    <b v="1"/>
  </r>
  <r>
    <m/>
    <s v="CERRADO"/>
    <x v="249"/>
    <n v="1511"/>
    <x v="4"/>
    <d v="2019-01-08T00:00:00"/>
    <x v="2"/>
    <n v="680"/>
    <x v="47"/>
    <n v="21000"/>
    <d v="2019-01-13T00:00:00"/>
    <s v="002-4600-0857"/>
    <n v="4615487175"/>
    <d v="2019-01-24T00:00:00"/>
    <n v="3.7808999999999999"/>
    <n v="1"/>
    <n v="3836"/>
    <n v="1"/>
    <n v="830.2197802197802"/>
    <n v="0.81890510948905115"/>
    <n v="1"/>
    <n v="19175"/>
    <n v="6763.7822038320437"/>
    <n v="2113.6819386975139"/>
    <x v="225"/>
    <b v="1"/>
  </r>
  <r>
    <m/>
    <s v="CERRADO"/>
    <x v="260"/>
    <n v="14986"/>
    <x v="4"/>
    <d v="2019-01-08T00:00:00"/>
    <x v="2"/>
    <n v="8242"/>
    <x v="48"/>
    <n v="21000"/>
    <d v="2019-01-13T00:00:00"/>
    <s v="002-4600-0858"/>
    <n v="4615487175"/>
    <d v="2019-01-24T00:00:00"/>
    <n v="3.7808999999999999"/>
    <n v="1"/>
    <n v="14986"/>
    <n v="1"/>
    <n v="8234.0659340659331"/>
    <n v="1.0009635659949288"/>
    <n v="1"/>
    <n v="19175"/>
    <n v="6763.7822038320437"/>
    <n v="2113.6819386975139"/>
    <x v="226"/>
    <b v="1"/>
  </r>
  <r>
    <m/>
    <s v="CERRADO"/>
    <x v="261"/>
    <n v="7014"/>
    <x v="4"/>
    <d v="2019-01-08T00:00:00"/>
    <x v="2"/>
    <n v="3858"/>
    <x v="48"/>
    <n v="21000"/>
    <d v="2019-01-13T00:00:00"/>
    <s v="002-4600-0858"/>
    <n v="4615487175"/>
    <d v="2019-01-24T00:00:00"/>
    <n v="3.7808999999999999"/>
    <n v="1"/>
    <n v="7014"/>
    <n v="1"/>
    <n v="3853.8461538461538"/>
    <n v="1.0010778443113773"/>
    <n v="1"/>
    <n v="19175"/>
    <n v="6763.7822038320437"/>
    <n v="2113.6819386975139"/>
    <x v="227"/>
    <b v="1"/>
  </r>
  <r>
    <m/>
    <s v="CERRADO"/>
    <x v="262"/>
    <n v="3360"/>
    <x v="4"/>
    <d v="2019-01-08T00:00:00"/>
    <x v="2"/>
    <n v="1848"/>
    <x v="48"/>
    <n v="21000"/>
    <d v="2019-01-13T00:00:00"/>
    <s v="002-4600-0858"/>
    <n v="4615487175"/>
    <d v="2019-01-24T00:00:00"/>
    <n v="3.7808999999999999"/>
    <n v="1"/>
    <n v="3360"/>
    <n v="1"/>
    <n v="1846.1538461538462"/>
    <n v="1.0009999999999999"/>
    <n v="1"/>
    <n v="19175"/>
    <n v="6763.7822038320437"/>
    <n v="2113.6819386975139"/>
    <x v="6"/>
    <b v="1"/>
  </r>
  <r>
    <m/>
    <s v="CERRADO"/>
    <x v="240"/>
    <n v="12822"/>
    <x v="4"/>
    <d v="2019-01-08T00:00:00"/>
    <x v="2"/>
    <n v="7052"/>
    <x v="48"/>
    <n v="21000"/>
    <d v="2019-01-13T00:00:00"/>
    <s v="002-4600-0858"/>
    <n v="4615487175"/>
    <d v="2019-01-24T00:00:00"/>
    <n v="3.7808999999999999"/>
    <n v="1"/>
    <n v="26948"/>
    <n v="1"/>
    <n v="7045.0549450549452"/>
    <n v="1.0009729850081639"/>
    <n v="1"/>
    <n v="19175"/>
    <n v="6763.7822038320437"/>
    <n v="2113.6819386975139"/>
    <x v="228"/>
    <b v="1"/>
  </r>
  <r>
    <m/>
    <s v="CERRADO"/>
    <x v="263"/>
    <n v="608"/>
    <x v="5"/>
    <d v="2019-01-15T00:00:00"/>
    <x v="4"/>
    <n v="274"/>
    <x v="49"/>
    <n v="19175"/>
    <d v="2019-01-21T00:00:00"/>
    <s v="002-4600-1718"/>
    <n v="4615506161"/>
    <d v="2019-02-04T00:00:00"/>
    <n v="3.6749999999999998"/>
    <n v="1"/>
    <n v="9310"/>
    <n v="1"/>
    <n v="299.50738916256159"/>
    <n v="0.91360902255639087"/>
    <n v="1"/>
    <n v="19175"/>
    <n v="6763.7822038320437"/>
    <n v="0"/>
    <x v="229"/>
    <b v="1"/>
  </r>
  <r>
    <m/>
    <s v="CERRADO"/>
    <x v="264"/>
    <n v="1025"/>
    <x v="5"/>
    <d v="2019-01-15T00:00:00"/>
    <x v="4"/>
    <n v="461"/>
    <x v="49"/>
    <n v="19175"/>
    <d v="2019-01-21T00:00:00"/>
    <s v="002-4600-1718"/>
    <n v="4615506161"/>
    <d v="2019-02-04T00:00:00"/>
    <n v="3.6749999999999998"/>
    <n v="1"/>
    <n v="1025"/>
    <n v="1"/>
    <n v="504.92610837438428"/>
    <n v="0.91300487804878039"/>
    <n v="1"/>
    <n v="19175"/>
    <n v="6763.7822038320437"/>
    <n v="0"/>
    <x v="230"/>
    <b v="1"/>
  </r>
  <r>
    <m/>
    <s v="CERRADO"/>
    <x v="265"/>
    <n v="958"/>
    <x v="5"/>
    <d v="2019-01-15T00:00:00"/>
    <x v="4"/>
    <n v="431"/>
    <x v="49"/>
    <n v="19175"/>
    <d v="2019-01-21T00:00:00"/>
    <s v="002-4600-1718"/>
    <n v="4615506161"/>
    <d v="2019-02-04T00:00:00"/>
    <n v="3.6749999999999998"/>
    <n v="1"/>
    <n v="958"/>
    <n v="1"/>
    <n v="471.92118226600991"/>
    <n v="0.91328810020876816"/>
    <n v="1"/>
    <n v="19175"/>
    <n v="6763.7822038320437"/>
    <n v="0"/>
    <x v="231"/>
    <b v="1"/>
  </r>
  <r>
    <m/>
    <s v="CERRADO"/>
    <x v="266"/>
    <n v="362"/>
    <x v="5"/>
    <d v="2019-01-15T00:00:00"/>
    <x v="4"/>
    <n v="163"/>
    <x v="49"/>
    <n v="19175"/>
    <d v="2019-01-21T00:00:00"/>
    <s v="002-4600-1718"/>
    <n v="4615506161"/>
    <d v="2019-02-04T00:00:00"/>
    <n v="3.6749999999999998"/>
    <n v="1"/>
    <n v="362"/>
    <n v="1"/>
    <n v="178.32512315270938"/>
    <n v="0.91406077348066284"/>
    <n v="1"/>
    <n v="19175"/>
    <n v="6763.7822038320437"/>
    <n v="0"/>
    <x v="232"/>
    <b v="1"/>
  </r>
  <r>
    <m/>
    <s v="CERRADO"/>
    <x v="267"/>
    <n v="1562"/>
    <x v="5"/>
    <d v="2019-01-15T00:00:00"/>
    <x v="4"/>
    <n v="703"/>
    <x v="49"/>
    <n v="19175"/>
    <d v="2019-01-21T00:00:00"/>
    <s v="002-4600-1718"/>
    <n v="4615506161"/>
    <d v="2019-02-04T00:00:00"/>
    <n v="3.6749999999999998"/>
    <n v="1"/>
    <n v="1562"/>
    <n v="1"/>
    <n v="769.45812807881782"/>
    <n v="0.91362996158770793"/>
    <n v="1"/>
    <n v="19175"/>
    <n v="6763.7822038320437"/>
    <n v="0"/>
    <x v="233"/>
    <b v="1"/>
  </r>
  <r>
    <m/>
    <s v="CERRADO"/>
    <x v="268"/>
    <n v="16783"/>
    <x v="5"/>
    <d v="2019-01-15T00:00:00"/>
    <x v="4"/>
    <n v="7552"/>
    <x v="49"/>
    <n v="19175"/>
    <d v="2019-01-21T00:00:00"/>
    <s v="002-4600-1718"/>
    <n v="4615506161"/>
    <d v="2019-02-04T00:00:00"/>
    <n v="3.6749999999999998"/>
    <n v="1"/>
    <n v="16783"/>
    <n v="1"/>
    <n v="8267.4876847290652"/>
    <n v="0.91345766549484586"/>
    <n v="1"/>
    <n v="19175"/>
    <n v="6763.7822038320437"/>
    <n v="0"/>
    <x v="234"/>
    <b v="1"/>
  </r>
  <r>
    <m/>
    <s v="CERRADO"/>
    <x v="269"/>
    <n v="14000"/>
    <x v="5"/>
    <d v="2019-01-15T00:00:00"/>
    <x v="4"/>
    <n v="6300"/>
    <x v="49"/>
    <n v="19175"/>
    <d v="2019-01-21T00:00:00"/>
    <s v="002-4600-1718"/>
    <n v="4615506161"/>
    <d v="2019-02-04T00:00:00"/>
    <n v="3.6749999999999998"/>
    <n v="1"/>
    <n v="14000"/>
    <n v="1"/>
    <n v="6896.5517241379321"/>
    <n v="0.91349999999999987"/>
    <n v="1"/>
    <n v="19175"/>
    <n v="6763.7822038320437"/>
    <n v="0"/>
    <x v="2"/>
    <b v="1"/>
  </r>
  <r>
    <m/>
    <s v="CERRADO"/>
    <x v="270"/>
    <n v="7313"/>
    <x v="5"/>
    <d v="2019-01-15T00:00:00"/>
    <x v="4"/>
    <n v="3291"/>
    <x v="49"/>
    <n v="19175"/>
    <d v="2019-01-21T00:00:00"/>
    <s v="002-4600-1718"/>
    <n v="4615506161"/>
    <d v="2019-02-04T00:00:00"/>
    <n v="3.6749999999999998"/>
    <n v="1"/>
    <n v="7987"/>
    <n v="1"/>
    <n v="3602.4630541871925"/>
    <n v="0.91346187554776503"/>
    <n v="1"/>
    <n v="19175"/>
    <n v="6763.7822038320437"/>
    <n v="0"/>
    <x v="235"/>
    <b v="1"/>
  </r>
  <r>
    <m/>
    <s v="CERRADO"/>
    <x v="271"/>
    <n v="13969"/>
    <x v="5"/>
    <d v="2019-01-15T00:00:00"/>
    <x v="4"/>
    <n v="6286"/>
    <x v="50"/>
    <n v="19175"/>
    <d v="2019-01-21T00:00:00"/>
    <s v="002-4600-1719"/>
    <n v="4615506161"/>
    <d v="2019-02-04T00:00:00"/>
    <n v="3.6749999999999998"/>
    <n v="1"/>
    <n v="15820"/>
    <n v="1"/>
    <n v="6881.2807881773406"/>
    <n v="0.91349999999999987"/>
    <n v="1"/>
    <n v="19175"/>
    <n v="6763.7822038320437"/>
    <n v="0"/>
    <x v="236"/>
    <b v="1"/>
  </r>
  <r>
    <m/>
    <s v="CERRADO"/>
    <x v="272"/>
    <n v="6600"/>
    <x v="5"/>
    <d v="2019-01-15T00:00:00"/>
    <x v="4"/>
    <n v="2970"/>
    <x v="50"/>
    <n v="19175"/>
    <d v="2019-01-21T00:00:00"/>
    <s v="002-4600-1719"/>
    <n v="4615506161"/>
    <d v="2019-02-04T00:00:00"/>
    <n v="3.6749999999999998"/>
    <n v="1"/>
    <n v="6600"/>
    <n v="1"/>
    <n v="3251.2315270935965"/>
    <n v="0.91349999999999987"/>
    <n v="1"/>
    <n v="19175"/>
    <n v="6763.7822038320437"/>
    <n v="0"/>
    <x v="2"/>
    <b v="1"/>
  </r>
  <r>
    <m/>
    <s v="CERRADO"/>
    <x v="273"/>
    <n v="4380"/>
    <x v="5"/>
    <d v="2019-01-15T00:00:00"/>
    <x v="4"/>
    <n v="2409"/>
    <x v="50"/>
    <n v="19175"/>
    <d v="2019-01-21T00:00:00"/>
    <s v="002-4600-1719"/>
    <n v="4615506161"/>
    <d v="2019-02-04T00:00:00"/>
    <n v="3.6749999999999998"/>
    <n v="1"/>
    <n v="4380"/>
    <n v="1"/>
    <n v="2157.6354679802957"/>
    <n v="1.1164999999999998"/>
    <n v="1"/>
    <n v="19175"/>
    <n v="6763.7822038320437"/>
    <n v="0"/>
    <x v="6"/>
    <b v="1"/>
  </r>
  <r>
    <m/>
    <s v="CERRADO"/>
    <x v="274"/>
    <n v="9120"/>
    <x v="5"/>
    <d v="2019-01-15T00:00:00"/>
    <x v="4"/>
    <n v="5016"/>
    <x v="50"/>
    <n v="19175"/>
    <d v="2019-01-21T00:00:00"/>
    <s v="002-4600-1719"/>
    <n v="4615506161"/>
    <d v="2019-02-04T00:00:00"/>
    <n v="3.6749999999999998"/>
    <n v="1"/>
    <n v="9120"/>
    <n v="1"/>
    <n v="4492.6108374384239"/>
    <n v="1.1164999999999998"/>
    <n v="1"/>
    <n v="19175"/>
    <n v="6763.7822038320437"/>
    <n v="0"/>
    <x v="6"/>
    <b v="1"/>
  </r>
  <r>
    <m/>
    <s v="CERRADO"/>
    <x v="275"/>
    <n v="4535"/>
    <x v="5"/>
    <d v="2019-01-15T00:00:00"/>
    <x v="4"/>
    <n v="2494"/>
    <x v="50"/>
    <n v="19175"/>
    <d v="2019-01-21T00:00:00"/>
    <s v="002-4600-1719"/>
    <n v="4615506161"/>
    <d v="2019-02-04T00:00:00"/>
    <n v="3.6749999999999998"/>
    <n v="1"/>
    <n v="10780"/>
    <n v="1"/>
    <n v="2233.9901477832514"/>
    <n v="1.1164999999999998"/>
    <n v="1"/>
    <n v="19175"/>
    <n v="6763.7822038320437"/>
    <n v="0"/>
    <x v="237"/>
    <b v="1"/>
  </r>
  <r>
    <m/>
    <s v="CERRADO"/>
    <x v="276"/>
    <n v="5658"/>
    <x v="5"/>
    <d v="2019-01-15T00:00:00"/>
    <x v="4"/>
    <n v="2546"/>
    <x v="51"/>
    <n v="19175"/>
    <d v="2019-01-21T00:00:00"/>
    <s v="002-4600-1720"/>
    <n v="4615506161"/>
    <d v="2019-02-04T00:00:00"/>
    <n v="3.6749999999999998"/>
    <n v="1"/>
    <n v="10936"/>
    <n v="1"/>
    <n v="2787.1921182266015"/>
    <n v="0.91346287490855882"/>
    <n v="1"/>
    <n v="19175"/>
    <n v="6763.7822038320437"/>
    <n v="0"/>
    <x v="238"/>
    <b v="1"/>
  </r>
  <r>
    <m/>
    <s v="CERRADO"/>
    <x v="277"/>
    <n v="6220"/>
    <x v="5"/>
    <d v="2019-01-15T00:00:00"/>
    <x v="4"/>
    <n v="3421"/>
    <x v="51"/>
    <n v="19175"/>
    <d v="2019-01-21T00:00:00"/>
    <s v="002-4600-1720"/>
    <n v="4615506161"/>
    <d v="2019-02-04T00:00:00"/>
    <n v="3.6749999999999998"/>
    <n v="1"/>
    <n v="6220"/>
    <n v="1"/>
    <n v="3064.0394088669955"/>
    <n v="1.1164999999999998"/>
    <n v="1"/>
    <n v="19175"/>
    <n v="6763.7822038320437"/>
    <n v="0"/>
    <x v="6"/>
    <b v="1"/>
  </r>
  <r>
    <m/>
    <s v="CERRADO"/>
    <x v="278"/>
    <n v="1198"/>
    <x v="5"/>
    <d v="2019-01-15T00:00:00"/>
    <x v="4"/>
    <n v="659"/>
    <x v="51"/>
    <n v="19175"/>
    <d v="2019-01-21T00:00:00"/>
    <s v="002-4600-1720"/>
    <n v="4615506161"/>
    <d v="2019-02-04T00:00:00"/>
    <n v="3.6749999999999998"/>
    <n v="1"/>
    <n v="1198"/>
    <n v="1"/>
    <n v="590.14778325123154"/>
    <n v="1.116669449081803"/>
    <n v="1"/>
    <n v="19175"/>
    <n v="6763.7822038320437"/>
    <n v="0"/>
    <x v="13"/>
    <b v="1"/>
  </r>
  <r>
    <m/>
    <s v="CERRADO"/>
    <x v="279"/>
    <n v="1199"/>
    <x v="5"/>
    <d v="2019-01-15T00:00:00"/>
    <x v="4"/>
    <n v="540"/>
    <x v="51"/>
    <n v="19175"/>
    <d v="2019-01-21T00:00:00"/>
    <s v="002-4600-1720"/>
    <n v="4615506161"/>
    <d v="2019-02-04T00:00:00"/>
    <n v="3.6749999999999998"/>
    <n v="1"/>
    <n v="1199"/>
    <n v="1"/>
    <n v="590.64039408867006"/>
    <n v="0.91426188490408655"/>
    <n v="1"/>
    <n v="19175"/>
    <n v="6763.7822038320437"/>
    <n v="0"/>
    <x v="105"/>
    <b v="1"/>
  </r>
  <r>
    <m/>
    <s v="CERRADO"/>
    <x v="280"/>
    <n v="1849"/>
    <x v="5"/>
    <d v="2019-01-15T00:00:00"/>
    <x v="4"/>
    <n v="832"/>
    <x v="51"/>
    <n v="19175"/>
    <d v="2019-01-21T00:00:00"/>
    <s v="002-4600-1720"/>
    <n v="4615506161"/>
    <d v="2019-02-04T00:00:00"/>
    <n v="3.6749999999999998"/>
    <n v="1"/>
    <n v="1849"/>
    <n v="1"/>
    <n v="910.83743842364538"/>
    <n v="0.91344510546241209"/>
    <n v="1"/>
    <n v="19175"/>
    <n v="6763.7822038320437"/>
    <n v="0"/>
    <x v="239"/>
    <b v="1"/>
  </r>
  <r>
    <m/>
    <s v="CERRADO"/>
    <x v="281"/>
    <n v="1377"/>
    <x v="5"/>
    <d v="2019-01-15T00:00:00"/>
    <x v="4"/>
    <n v="620"/>
    <x v="51"/>
    <n v="19175"/>
    <d v="2019-01-21T00:00:00"/>
    <s v="002-4600-1720"/>
    <n v="4615506161"/>
    <d v="2019-02-04T00:00:00"/>
    <n v="3.6749999999999998"/>
    <n v="1"/>
    <n v="1377"/>
    <n v="1"/>
    <n v="678.32512315270947"/>
    <n v="0.91401597676107471"/>
    <n v="1"/>
    <n v="19175"/>
    <n v="6763.7822038320437"/>
    <n v="0"/>
    <x v="240"/>
    <b v="1"/>
  </r>
  <r>
    <m/>
    <s v="CERRADO"/>
    <x v="282"/>
    <n v="600"/>
    <x v="5"/>
    <d v="2019-01-15T00:00:00"/>
    <x v="4"/>
    <n v="270"/>
    <x v="51"/>
    <n v="19175"/>
    <d v="2019-01-21T00:00:00"/>
    <s v="002-4600-1720"/>
    <n v="4615506161"/>
    <d v="2019-02-04T00:00:00"/>
    <n v="3.6749999999999998"/>
    <n v="1"/>
    <n v="600"/>
    <n v="1"/>
    <n v="295.56650246305423"/>
    <n v="0.91349999999999987"/>
    <n v="1"/>
    <n v="19175"/>
    <n v="6763.7822038320437"/>
    <n v="0"/>
    <x v="2"/>
    <b v="1"/>
  </r>
  <r>
    <m/>
    <s v="CERRADO"/>
    <x v="283"/>
    <n v="4204"/>
    <x v="5"/>
    <d v="2019-01-15T00:00:00"/>
    <x v="4"/>
    <n v="2312"/>
    <x v="51"/>
    <n v="19175"/>
    <d v="2019-01-21T00:00:00"/>
    <s v="002-4600-1720"/>
    <n v="4615506161"/>
    <d v="2019-02-04T00:00:00"/>
    <n v="3.6749999999999998"/>
    <n v="1"/>
    <n v="4204"/>
    <n v="1"/>
    <n v="2070.9359605911332"/>
    <n v="1.1164034253092292"/>
    <n v="1"/>
    <n v="19175"/>
    <n v="6763.7822038320437"/>
    <n v="0"/>
    <x v="241"/>
    <b v="1"/>
  </r>
  <r>
    <m/>
    <s v="CERRADO"/>
    <x v="284"/>
    <n v="7980"/>
    <x v="5"/>
    <d v="2019-01-15T00:00:00"/>
    <x v="4"/>
    <n v="3591"/>
    <x v="51"/>
    <n v="19175"/>
    <d v="2019-01-21T00:00:00"/>
    <s v="002-4600-1720"/>
    <n v="4615506161"/>
    <d v="2019-02-04T00:00:00"/>
    <n v="3.6749999999999998"/>
    <n v="1"/>
    <n v="7980"/>
    <n v="1"/>
    <n v="3931.0344827586209"/>
    <n v="0.91349999999999998"/>
    <n v="1"/>
    <n v="19175"/>
    <n v="6763.7822038320437"/>
    <n v="0"/>
    <x v="2"/>
    <b v="1"/>
  </r>
  <r>
    <m/>
    <s v="CERRADO"/>
    <x v="285"/>
    <n v="4743"/>
    <x v="5"/>
    <d v="2019-01-15T00:00:00"/>
    <x v="4"/>
    <n v="2609"/>
    <x v="51"/>
    <n v="19175"/>
    <d v="2019-01-21T00:00:00"/>
    <s v="002-4600-1720"/>
    <n v="4615506161"/>
    <d v="2019-02-04T00:00:00"/>
    <n v="3.6749999999999998"/>
    <n v="1"/>
    <n v="4743"/>
    <n v="1"/>
    <n v="2336.4532019704434"/>
    <n v="1.1166497997048281"/>
    <n v="1"/>
    <n v="19175"/>
    <n v="6763.7822038320437"/>
    <n v="0"/>
    <x v="242"/>
    <b v="1"/>
  </r>
  <r>
    <m/>
    <s v="CERRADO"/>
    <x v="286"/>
    <n v="3944"/>
    <x v="5"/>
    <d v="2019-01-15T00:00:00"/>
    <x v="4"/>
    <n v="1775"/>
    <x v="51"/>
    <n v="19175"/>
    <d v="2019-01-21T00:00:00"/>
    <s v="002-4600-1720"/>
    <n v="4615506161"/>
    <d v="2019-02-04T00:00:00"/>
    <n v="3.6749999999999998"/>
    <n v="1"/>
    <n v="9491"/>
    <n v="1"/>
    <n v="1942.8571428571431"/>
    <n v="0.91351069434200804"/>
    <n v="1"/>
    <n v="19175"/>
    <n v="6763.7822038320437"/>
    <n v="0"/>
    <x v="243"/>
    <b v="1"/>
  </r>
  <r>
    <m/>
    <s v="CERRADO"/>
    <x v="287"/>
    <n v="7878"/>
    <x v="5"/>
    <d v="2019-01-15T00:00:00"/>
    <x v="4"/>
    <n v="3545"/>
    <x v="52"/>
    <n v="19175"/>
    <d v="2019-01-21T00:00:00"/>
    <s v="002-4600-1721"/>
    <n v="4615506161"/>
    <d v="2019-02-04T00:00:00"/>
    <n v="3.6749999999999998"/>
    <n v="1"/>
    <n v="10489"/>
    <n v="1"/>
    <n v="3880.7881773399017"/>
    <n v="0.91349032319572876"/>
    <n v="1"/>
    <n v="19175"/>
    <n v="6763.7822038320437"/>
    <n v="0"/>
    <x v="244"/>
    <b v="1"/>
  </r>
  <r>
    <m/>
    <s v="CERRADO"/>
    <x v="288"/>
    <n v="14530"/>
    <x v="5"/>
    <d v="2019-01-15T00:00:00"/>
    <x v="4"/>
    <n v="6539"/>
    <x v="52"/>
    <n v="19175"/>
    <d v="2019-01-21T00:00:00"/>
    <s v="002-4600-1721"/>
    <n v="4615506161"/>
    <d v="2019-02-04T00:00:00"/>
    <n v="3.6749999999999998"/>
    <n v="1"/>
    <n v="14530"/>
    <n v="1"/>
    <n v="7157.6354679802962"/>
    <n v="0.91356985547143832"/>
    <n v="1"/>
    <n v="19175"/>
    <n v="6763.7822038320437"/>
    <n v="0"/>
    <x v="245"/>
    <b v="1"/>
  </r>
  <r>
    <m/>
    <s v="CERRADO"/>
    <x v="289"/>
    <n v="18350"/>
    <x v="5"/>
    <d v="2019-01-15T00:00:00"/>
    <x v="4"/>
    <n v="8258"/>
    <x v="52"/>
    <n v="19175"/>
    <d v="2019-01-21T00:00:00"/>
    <s v="002-4600-1721"/>
    <n v="4615506161"/>
    <d v="2019-02-04T00:00:00"/>
    <n v="3.6749999999999998"/>
    <n v="1"/>
    <n v="18350"/>
    <n v="1"/>
    <n v="9039.4088669950743"/>
    <n v="0.91355531335149864"/>
    <n v="1"/>
    <n v="19175"/>
    <n v="6763.7822038320437"/>
    <n v="0"/>
    <x v="246"/>
    <b v="1"/>
  </r>
  <r>
    <m/>
    <s v="CERRADO"/>
    <x v="271"/>
    <n v="1851"/>
    <x v="5"/>
    <d v="2019-01-15T00:00:00"/>
    <x v="4"/>
    <n v="833"/>
    <x v="52"/>
    <n v="19175"/>
    <d v="2019-01-21T00:00:00"/>
    <s v="002-4600-1721"/>
    <n v="4615506161"/>
    <d v="2019-02-04T00:00:00"/>
    <n v="3.6749999999999998"/>
    <n v="1"/>
    <n v="15820"/>
    <n v="1"/>
    <n v="911.82266009852231"/>
    <n v="0.91349999999999987"/>
    <n v="1"/>
    <n v="19175"/>
    <n v="6763.7822038320437"/>
    <n v="0"/>
    <x v="247"/>
    <b v="1"/>
  </r>
  <r>
    <m/>
    <s v="CERRADO"/>
    <x v="290"/>
    <n v="1765"/>
    <x v="5"/>
    <d v="2019-01-15T00:00:00"/>
    <x v="4"/>
    <n v="971"/>
    <x v="53"/>
    <n v="19175"/>
    <d v="2019-01-21T00:00:00"/>
    <s v="002-4600-1722"/>
    <n v="4615506161"/>
    <d v="2019-02-04T00:00:00"/>
    <n v="3.6749999999999998"/>
    <n v="1"/>
    <n v="3260"/>
    <n v="1"/>
    <n v="869.45812807881782"/>
    <n v="1.1164999999999998"/>
    <n v="1"/>
    <n v="19175"/>
    <n v="6763.7822038320437"/>
    <n v="0"/>
    <x v="248"/>
    <b v="1"/>
  </r>
  <r>
    <m/>
    <s v="CERRADO"/>
    <x v="291"/>
    <n v="5814"/>
    <x v="5"/>
    <d v="2019-01-15T00:00:00"/>
    <x v="4"/>
    <n v="3198"/>
    <x v="53"/>
    <n v="19175"/>
    <d v="2019-01-21T00:00:00"/>
    <s v="002-4600-1722"/>
    <n v="4615506161"/>
    <d v="2019-02-04T00:00:00"/>
    <n v="3.6749999999999998"/>
    <n v="1"/>
    <n v="5814"/>
    <n v="1"/>
    <n v="2864.0394088669955"/>
    <n v="1.1166047471620226"/>
    <n v="1"/>
    <n v="19175"/>
    <n v="6763.7822038320437"/>
    <n v="0"/>
    <x v="249"/>
    <b v="1"/>
  </r>
  <r>
    <m/>
    <s v="CERRADO"/>
    <x v="292"/>
    <n v="605"/>
    <x v="5"/>
    <d v="2019-01-15T00:00:00"/>
    <x v="4"/>
    <n v="333"/>
    <x v="53"/>
    <n v="19175"/>
    <d v="2019-01-21T00:00:00"/>
    <s v="002-4600-1722"/>
    <n v="4615506161"/>
    <d v="2019-02-04T00:00:00"/>
    <n v="3.6749999999999998"/>
    <n v="1"/>
    <n v="605"/>
    <n v="1"/>
    <n v="298.02955665024632"/>
    <n v="1.1173388429752065"/>
    <n v="1"/>
    <n v="19175"/>
    <n v="6763.7822038320437"/>
    <n v="0"/>
    <x v="250"/>
    <b v="1"/>
  </r>
  <r>
    <m/>
    <s v="CERRADO"/>
    <x v="293"/>
    <n v="2236"/>
    <x v="5"/>
    <d v="2019-01-15T00:00:00"/>
    <x v="4"/>
    <n v="1006"/>
    <x v="53"/>
    <n v="19175"/>
    <d v="2019-01-21T00:00:00"/>
    <s v="002-4600-1722"/>
    <n v="4615506161"/>
    <d v="2019-02-04T00:00:00"/>
    <n v="3.6749999999999998"/>
    <n v="1"/>
    <n v="2236"/>
    <n v="1"/>
    <n v="1101.4778325123154"/>
    <n v="0.9133184257602861"/>
    <n v="1"/>
    <n v="19175"/>
    <n v="6763.7822038320437"/>
    <n v="0"/>
    <x v="251"/>
    <b v="1"/>
  </r>
  <r>
    <m/>
    <s v="CERRADO"/>
    <x v="294"/>
    <n v="5570"/>
    <x v="5"/>
    <d v="2019-01-15T00:00:00"/>
    <x v="4"/>
    <n v="3064"/>
    <x v="53"/>
    <n v="19175"/>
    <d v="2019-01-21T00:00:00"/>
    <s v="002-4600-1722"/>
    <n v="4615506161"/>
    <d v="2019-02-04T00:00:00"/>
    <n v="3.6749999999999998"/>
    <n v="1"/>
    <n v="5570"/>
    <n v="1"/>
    <n v="2743.8423645320199"/>
    <n v="1.1166822262118492"/>
    <n v="1"/>
    <n v="19175"/>
    <n v="6763.7822038320437"/>
    <n v="0"/>
    <x v="252"/>
    <b v="1"/>
  </r>
  <r>
    <m/>
    <s v="CERRADO"/>
    <x v="295"/>
    <n v="8384"/>
    <x v="5"/>
    <d v="2019-01-15T00:00:00"/>
    <x v="4"/>
    <n v="3773"/>
    <x v="53"/>
    <n v="19175"/>
    <d v="2019-01-21T00:00:00"/>
    <s v="002-4600-1722"/>
    <n v="4615506161"/>
    <d v="2019-02-04T00:00:00"/>
    <n v="3.6749999999999998"/>
    <n v="1"/>
    <n v="8384"/>
    <n v="1"/>
    <n v="4130.0492610837446"/>
    <n v="0.91354842557251892"/>
    <n v="1"/>
    <n v="19175"/>
    <n v="6763.7822038320437"/>
    <n v="0"/>
    <x v="253"/>
    <b v="1"/>
  </r>
  <r>
    <m/>
    <s v="CERRADO"/>
    <x v="296"/>
    <n v="720"/>
    <x v="5"/>
    <d v="2019-01-15T00:00:00"/>
    <x v="4"/>
    <n v="324"/>
    <x v="53"/>
    <n v="19175"/>
    <d v="2019-01-21T00:00:00"/>
    <s v="002-4600-1722"/>
    <n v="4615506161"/>
    <d v="2019-02-04T00:00:00"/>
    <n v="3.6749999999999998"/>
    <n v="1"/>
    <n v="720"/>
    <n v="1"/>
    <n v="354.67980295566508"/>
    <n v="0.91349999999999987"/>
    <n v="1"/>
    <n v="19175"/>
    <n v="6763.7822038320437"/>
    <n v="0"/>
    <x v="2"/>
    <b v="1"/>
  </r>
  <r>
    <m/>
    <s v="CERRADO"/>
    <x v="297"/>
    <n v="5756"/>
    <x v="5"/>
    <d v="2019-01-15T00:00:00"/>
    <x v="4"/>
    <n v="2590"/>
    <x v="53"/>
    <n v="19175"/>
    <d v="2019-01-21T00:00:00"/>
    <s v="002-4600-1722"/>
    <n v="4615506161"/>
    <d v="2019-02-04T00:00:00"/>
    <n v="3.6749999999999998"/>
    <n v="1"/>
    <n v="5756"/>
    <n v="1"/>
    <n v="2835.4679802955666"/>
    <n v="0.91342946490618482"/>
    <n v="1"/>
    <n v="19175"/>
    <n v="6763.7822038320437"/>
    <n v="0"/>
    <x v="254"/>
    <b v="1"/>
  </r>
  <r>
    <m/>
    <s v="CERRADO"/>
    <x v="263"/>
    <n v="8702"/>
    <x v="5"/>
    <d v="2019-01-15T00:00:00"/>
    <x v="4"/>
    <n v="3916"/>
    <x v="53"/>
    <n v="19175"/>
    <d v="2019-01-21T00:00:00"/>
    <s v="002-4600-1722"/>
    <n v="4615506161"/>
    <d v="2019-02-04T00:00:00"/>
    <n v="3.6749999999999998"/>
    <n v="1"/>
    <n v="9310"/>
    <n v="1"/>
    <n v="4286.699507389163"/>
    <n v="0.91360902255639087"/>
    <n v="1"/>
    <n v="19175"/>
    <n v="6763.7822038320437"/>
    <n v="0"/>
    <x v="255"/>
    <b v="1"/>
  </r>
  <r>
    <m/>
    <s v="CERRADO"/>
    <x v="209"/>
    <n v="11685"/>
    <x v="5"/>
    <d v="2019-01-15T00:00:00"/>
    <x v="4"/>
    <n v="6427"/>
    <x v="54"/>
    <n v="19175"/>
    <d v="2019-01-21T00:00:00"/>
    <s v="002-4600-1723"/>
    <n v="4615506161"/>
    <d v="2019-02-04T00:00:00"/>
    <n v="3.6749999999999998"/>
    <n v="1"/>
    <n v="14500"/>
    <n v="1"/>
    <n v="5756.157635467981"/>
    <n v="1.1154279857357985"/>
    <n v="1"/>
    <n v="19175"/>
    <n v="6763.7822038320437"/>
    <n v="0"/>
    <x v="256"/>
    <b v="1"/>
  </r>
  <r>
    <m/>
    <s v="CERRADO"/>
    <x v="298"/>
    <n v="11650"/>
    <x v="5"/>
    <d v="2019-01-15T00:00:00"/>
    <x v="4"/>
    <n v="6408"/>
    <x v="54"/>
    <n v="19175"/>
    <d v="2019-01-21T00:00:00"/>
    <s v="002-4600-1723"/>
    <n v="4615506161"/>
    <d v="2019-02-04T00:00:00"/>
    <n v="3.6749999999999998"/>
    <n v="1"/>
    <n v="11650"/>
    <n v="1"/>
    <n v="5738.9162561576359"/>
    <n v="1.1165871244635193"/>
    <n v="1"/>
    <n v="19175"/>
    <n v="6763.7822038320437"/>
    <n v="0"/>
    <x v="257"/>
    <b v="1"/>
  </r>
  <r>
    <m/>
    <s v="CERRADO"/>
    <x v="299"/>
    <n v="7145"/>
    <x v="5"/>
    <d v="2019-01-15T00:00:00"/>
    <x v="4"/>
    <n v="3930"/>
    <x v="54"/>
    <n v="19175"/>
    <d v="2019-01-21T00:00:00"/>
    <s v="002-4600-1723"/>
    <n v="4615506161"/>
    <d v="2019-02-04T00:00:00"/>
    <n v="3.6749999999999998"/>
    <n v="1"/>
    <n v="7145"/>
    <n v="1"/>
    <n v="3519.7044334975371"/>
    <n v="1.1165710286913926"/>
    <n v="1"/>
    <n v="19175"/>
    <n v="6763.7822038320437"/>
    <n v="0"/>
    <x v="258"/>
    <b v="1"/>
  </r>
  <r>
    <m/>
    <s v="CERRADO"/>
    <x v="300"/>
    <n v="3529"/>
    <x v="5"/>
    <d v="2019-01-15T00:00:00"/>
    <x v="4"/>
    <n v="1588"/>
    <x v="54"/>
    <n v="19175"/>
    <d v="2019-01-21T00:00:00"/>
    <s v="002-4600-1723"/>
    <n v="4615506161"/>
    <d v="2019-02-04T00:00:00"/>
    <n v="3.6749999999999998"/>
    <n v="1"/>
    <n v="3529"/>
    <n v="1"/>
    <n v="1738.4236453201972"/>
    <n v="0.91347123831113619"/>
    <n v="1"/>
    <n v="19175"/>
    <n v="6763.7822038320437"/>
    <n v="0"/>
    <x v="259"/>
    <b v="1"/>
  </r>
  <r>
    <m/>
    <s v="CERRADO"/>
    <x v="290"/>
    <n v="1495"/>
    <x v="5"/>
    <d v="2019-01-15T00:00:00"/>
    <x v="4"/>
    <n v="822"/>
    <x v="54"/>
    <n v="19175"/>
    <d v="2019-01-21T00:00:00"/>
    <s v="002-4600-1723"/>
    <n v="4615506161"/>
    <d v="2019-02-04T00:00:00"/>
    <n v="3.6749999999999998"/>
    <n v="1"/>
    <n v="3260"/>
    <n v="1"/>
    <n v="736.45320197044339"/>
    <n v="1.1164999999999998"/>
    <n v="1"/>
    <n v="19175"/>
    <n v="6763.7822038320437"/>
    <n v="0"/>
    <x v="260"/>
    <b v="1"/>
  </r>
  <r>
    <m/>
    <s v="CERRADO"/>
    <x v="275"/>
    <n v="6245"/>
    <x v="5"/>
    <d v="2019-01-15T00:00:00"/>
    <x v="4"/>
    <n v="3435"/>
    <x v="55"/>
    <n v="19175"/>
    <d v="2019-01-21T00:00:00"/>
    <s v="002-4600-1724"/>
    <n v="4615506161"/>
    <d v="2019-02-04T00:00:00"/>
    <n v="3.6749999999999998"/>
    <n v="1"/>
    <n v="10780"/>
    <n v="1"/>
    <n v="3076.3546798029561"/>
    <n v="1.1164999999999998"/>
    <n v="1"/>
    <n v="19175"/>
    <n v="6763.7822038320437"/>
    <n v="0"/>
    <x v="261"/>
    <b v="1"/>
  </r>
  <r>
    <m/>
    <s v="CERRADO"/>
    <x v="301"/>
    <n v="5766"/>
    <x v="5"/>
    <d v="2019-01-15T00:00:00"/>
    <x v="4"/>
    <n v="3171"/>
    <x v="55"/>
    <n v="19175"/>
    <d v="2019-01-21T00:00:00"/>
    <s v="002-4600-1724"/>
    <n v="4615506161"/>
    <d v="2019-02-04T00:00:00"/>
    <n v="3.6749999999999998"/>
    <n v="1"/>
    <n v="5766"/>
    <n v="1"/>
    <n v="2840.3940886699511"/>
    <n v="1.1163943808532777"/>
    <n v="1"/>
    <n v="19175"/>
    <n v="6763.7822038320437"/>
    <n v="0"/>
    <x v="262"/>
    <b v="1"/>
  </r>
  <r>
    <m/>
    <s v="CERRADO"/>
    <x v="302"/>
    <n v="1141"/>
    <x v="5"/>
    <d v="2019-01-15T00:00:00"/>
    <x v="4"/>
    <n v="628"/>
    <x v="55"/>
    <n v="19175"/>
    <d v="2019-01-21T00:00:00"/>
    <s v="002-4600-1724"/>
    <n v="4615506161"/>
    <d v="2019-02-04T00:00:00"/>
    <n v="3.6749999999999998"/>
    <n v="1"/>
    <n v="1141"/>
    <n v="1"/>
    <n v="562.06896551724139"/>
    <n v="1.1173006134969325"/>
    <n v="1"/>
    <n v="19175"/>
    <n v="6763.7822038320437"/>
    <n v="0"/>
    <x v="263"/>
    <b v="1"/>
  </r>
  <r>
    <m/>
    <s v="CERRADO"/>
    <x v="303"/>
    <n v="14940"/>
    <x v="5"/>
    <d v="2019-01-15T00:00:00"/>
    <x v="4"/>
    <n v="8217"/>
    <x v="55"/>
    <n v="19175"/>
    <d v="2019-01-21T00:00:00"/>
    <s v="002-4600-1724"/>
    <n v="4615506161"/>
    <d v="2019-02-04T00:00:00"/>
    <n v="3.6749999999999998"/>
    <n v="1"/>
    <n v="14940"/>
    <n v="1"/>
    <n v="7359.6059113300498"/>
    <n v="1.1164999999999998"/>
    <n v="1"/>
    <n v="19175"/>
    <n v="6763.7822038320437"/>
    <n v="0"/>
    <x v="6"/>
    <b v="1"/>
  </r>
  <r>
    <m/>
    <s v="CERRADO"/>
    <x v="304"/>
    <n v="2998"/>
    <x v="5"/>
    <d v="2019-01-15T00:00:00"/>
    <x v="4"/>
    <n v="1349"/>
    <x v="55"/>
    <n v="19175"/>
    <d v="2019-01-21T00:00:00"/>
    <s v="002-4600-1724"/>
    <n v="4615506161"/>
    <d v="2019-02-04T00:00:00"/>
    <n v="3.6749999999999998"/>
    <n v="1"/>
    <n v="2998"/>
    <n v="1"/>
    <n v="1476.8472906403942"/>
    <n v="0.91343228819212796"/>
    <n v="1"/>
    <n v="19175"/>
    <n v="6763.7822038320437"/>
    <n v="0"/>
    <x v="264"/>
    <b v="1"/>
  </r>
  <r>
    <m/>
    <s v="CERRADO"/>
    <x v="276"/>
    <n v="5278"/>
    <x v="5"/>
    <d v="2019-01-15T00:00:00"/>
    <x v="4"/>
    <n v="2375"/>
    <x v="55"/>
    <n v="19175"/>
    <d v="2019-01-21T00:00:00"/>
    <s v="002-4600-1724"/>
    <n v="4615506161"/>
    <d v="2019-02-04T00:00:00"/>
    <n v="3.6749999999999998"/>
    <n v="1"/>
    <n v="10936"/>
    <n v="1"/>
    <n v="2600.0000000000005"/>
    <n v="0.91346287490855882"/>
    <n v="1"/>
    <n v="19175"/>
    <n v="6763.7822038320437"/>
    <n v="0"/>
    <x v="265"/>
    <b v="1"/>
  </r>
  <r>
    <m/>
    <s v="CERRADO"/>
    <x v="270"/>
    <n v="674"/>
    <x v="5"/>
    <d v="2019-01-15T00:00:00"/>
    <x v="4"/>
    <n v="303"/>
    <x v="56"/>
    <n v="19175"/>
    <d v="2019-01-21T00:00:00"/>
    <s v="002-4600-1725"/>
    <n v="4615506161"/>
    <d v="2019-02-04T00:00:00"/>
    <n v="3.6749999999999998"/>
    <n v="1"/>
    <n v="7987"/>
    <n v="1"/>
    <n v="332.01970443349757"/>
    <n v="0.91346187554776503"/>
    <n v="1"/>
    <n v="19175"/>
    <n v="6763.7822038320437"/>
    <n v="0"/>
    <x v="266"/>
    <b v="1"/>
  </r>
  <r>
    <m/>
    <s v="CERRADO"/>
    <x v="305"/>
    <n v="5940"/>
    <x v="5"/>
    <d v="2019-01-15T00:00:00"/>
    <x v="4"/>
    <n v="3267"/>
    <x v="56"/>
    <n v="19175"/>
    <d v="2019-01-21T00:00:00"/>
    <s v="002-4600-1725"/>
    <n v="4615506161"/>
    <d v="2019-02-04T00:00:00"/>
    <n v="3.6749999999999998"/>
    <n v="1"/>
    <n v="5940"/>
    <n v="1"/>
    <n v="2926.1083743842369"/>
    <n v="1.1164999999999998"/>
    <n v="1"/>
    <n v="19175"/>
    <n v="6763.7822038320437"/>
    <n v="0"/>
    <x v="6"/>
    <b v="1"/>
  </r>
  <r>
    <m/>
    <s v="CERRADO"/>
    <x v="306"/>
    <n v="6000"/>
    <x v="5"/>
    <d v="2019-01-15T00:00:00"/>
    <x v="4"/>
    <n v="3300"/>
    <x v="56"/>
    <n v="19175"/>
    <d v="2019-01-21T00:00:00"/>
    <s v="002-4600-1725"/>
    <n v="4615506161"/>
    <d v="2019-02-04T00:00:00"/>
    <n v="3.6749999999999998"/>
    <n v="1"/>
    <n v="6000"/>
    <n v="1"/>
    <n v="2955.6650246305421"/>
    <n v="1.1164999999999998"/>
    <n v="1"/>
    <n v="19175"/>
    <n v="6763.7822038320437"/>
    <n v="0"/>
    <x v="6"/>
    <b v="1"/>
  </r>
  <r>
    <m/>
    <s v="CERRADO"/>
    <x v="307"/>
    <n v="6828"/>
    <x v="5"/>
    <d v="2019-01-15T00:00:00"/>
    <x v="4"/>
    <n v="3073"/>
    <x v="56"/>
    <n v="19175"/>
    <d v="2019-01-21T00:00:00"/>
    <s v="002-4600-1725"/>
    <n v="4615506161"/>
    <d v="2019-02-04T00:00:00"/>
    <n v="3.6749999999999998"/>
    <n v="1"/>
    <n v="6828"/>
    <n v="1"/>
    <n v="3363.5467980295571"/>
    <n v="0.91361892208553008"/>
    <n v="1"/>
    <n v="19175"/>
    <n v="6763.7822038320437"/>
    <n v="0"/>
    <x v="267"/>
    <b v="1"/>
  </r>
  <r>
    <m/>
    <s v="CERRADO"/>
    <x v="308"/>
    <n v="7145"/>
    <x v="5"/>
    <d v="2019-01-15T00:00:00"/>
    <x v="4"/>
    <n v="3930"/>
    <x v="56"/>
    <n v="19175"/>
    <d v="2019-01-21T00:00:00"/>
    <s v="002-4600-1725"/>
    <n v="4615506161"/>
    <d v="2019-02-04T00:00:00"/>
    <n v="3.6749999999999998"/>
    <n v="1"/>
    <n v="7145"/>
    <n v="1"/>
    <n v="3519.7044334975371"/>
    <n v="1.1165710286913926"/>
    <n v="1"/>
    <n v="19175"/>
    <n v="6763.7822038320437"/>
    <n v="0"/>
    <x v="258"/>
    <b v="1"/>
  </r>
  <r>
    <m/>
    <s v="CERRADO"/>
    <x v="309"/>
    <n v="9171"/>
    <x v="5"/>
    <d v="2019-01-15T00:00:00"/>
    <x v="4"/>
    <n v="4127"/>
    <x v="56"/>
    <n v="19175"/>
    <d v="2019-01-21T00:00:00"/>
    <s v="002-4600-1725"/>
    <n v="4615506161"/>
    <d v="2019-02-04T00:00:00"/>
    <n v="3.6749999999999998"/>
    <n v="1"/>
    <n v="9171"/>
    <n v="1"/>
    <n v="4517.7339901477835"/>
    <n v="0.91351106749536581"/>
    <n v="1"/>
    <n v="19175"/>
    <n v="6763.7822038320437"/>
    <n v="0"/>
    <x v="268"/>
    <b v="1"/>
  </r>
  <r>
    <m/>
    <s v="CERRADO"/>
    <x v="287"/>
    <n v="2611"/>
    <x v="5"/>
    <d v="2019-01-15T00:00:00"/>
    <x v="4"/>
    <n v="1175"/>
    <x v="56"/>
    <n v="19175"/>
    <d v="2019-01-21T00:00:00"/>
    <s v="002-4600-1725"/>
    <n v="4615506161"/>
    <d v="2019-02-04T00:00:00"/>
    <n v="3.6749999999999998"/>
    <n v="1"/>
    <n v="10489"/>
    <n v="1"/>
    <n v="1286.2068965517242"/>
    <n v="0.91349032319572876"/>
    <n v="1"/>
    <n v="19175"/>
    <n v="6763.7822038320437"/>
    <n v="0"/>
    <x v="269"/>
    <b v="1"/>
  </r>
  <r>
    <m/>
    <s v="CERRADO"/>
    <x v="286"/>
    <n v="5547"/>
    <x v="5"/>
    <d v="2019-01-15T00:00:00"/>
    <x v="4"/>
    <n v="2496"/>
    <x v="57"/>
    <n v="19175"/>
    <d v="2019-01-21T00:00:00"/>
    <s v="002-4600-1726"/>
    <n v="4615506161"/>
    <d v="2019-02-04T00:00:00"/>
    <n v="3.6749999999999998"/>
    <n v="1"/>
    <n v="9491"/>
    <n v="1"/>
    <n v="2732.5123152709361"/>
    <n v="0.91351069434200804"/>
    <n v="1"/>
    <n v="19175"/>
    <n v="6763.7822038320437"/>
    <n v="0"/>
    <x v="239"/>
    <b v="1"/>
  </r>
  <r>
    <m/>
    <s v="CERRADO"/>
    <x v="310"/>
    <n v="2988"/>
    <x v="5"/>
    <d v="2019-01-15T00:00:00"/>
    <x v="4"/>
    <n v="1643"/>
    <x v="57"/>
    <n v="19175"/>
    <d v="2019-01-21T00:00:00"/>
    <s v="002-4600-1726"/>
    <n v="4615506161"/>
    <d v="2019-02-04T00:00:00"/>
    <n v="3.6749999999999998"/>
    <n v="1"/>
    <n v="2988"/>
    <n v="1"/>
    <n v="1471.92118226601"/>
    <n v="1.1162282463186077"/>
    <n v="1"/>
    <n v="19175"/>
    <n v="6763.7822038320437"/>
    <n v="0"/>
    <x v="190"/>
    <b v="1"/>
  </r>
  <r>
    <m/>
    <s v="CERRADO"/>
    <x v="311"/>
    <n v="7880"/>
    <x v="5"/>
    <d v="2019-01-15T00:00:00"/>
    <x v="4"/>
    <n v="4334"/>
    <x v="57"/>
    <n v="19175"/>
    <d v="2019-01-21T00:00:00"/>
    <s v="002-4600-1726"/>
    <n v="4615506161"/>
    <d v="2019-02-04T00:00:00"/>
    <n v="3.6749999999999998"/>
    <n v="1"/>
    <n v="7880"/>
    <n v="1"/>
    <n v="3881.7733990147785"/>
    <n v="1.1165"/>
    <n v="1"/>
    <n v="19175"/>
    <n v="6763.7822038320437"/>
    <n v="0"/>
    <x v="6"/>
    <b v="1"/>
  </r>
  <r>
    <m/>
    <s v="CERRADO"/>
    <x v="312"/>
    <n v="5460"/>
    <x v="5"/>
    <d v="2019-01-15T00:00:00"/>
    <x v="4"/>
    <n v="2457"/>
    <x v="57"/>
    <n v="19175"/>
    <d v="2019-01-21T00:00:00"/>
    <s v="002-4600-1726"/>
    <n v="4615506161"/>
    <d v="2019-02-04T00:00:00"/>
    <n v="3.6749999999999998"/>
    <n v="1"/>
    <n v="5460"/>
    <n v="1"/>
    <n v="2689.6551724137935"/>
    <n v="0.91349999999999987"/>
    <n v="1"/>
    <n v="19175"/>
    <n v="6763.7822038320437"/>
    <n v="0"/>
    <x v="2"/>
    <b v="1"/>
  </r>
  <r>
    <m/>
    <s v="CERRADO"/>
    <x v="313"/>
    <n v="4197"/>
    <x v="5"/>
    <d v="2019-01-15T00:00:00"/>
    <x v="4"/>
    <n v="1889"/>
    <x v="57"/>
    <n v="19175"/>
    <d v="2019-01-21T00:00:00"/>
    <s v="002-4600-1726"/>
    <n v="4615506161"/>
    <d v="2019-02-04T00:00:00"/>
    <n v="3.6749999999999998"/>
    <n v="1"/>
    <n v="4197"/>
    <n v="1"/>
    <n v="2067.4876847290643"/>
    <n v="0.91366928758637111"/>
    <n v="1"/>
    <n v="19175"/>
    <n v="6763.7822038320437"/>
    <n v="0"/>
    <x v="270"/>
    <b v="1"/>
  </r>
  <r>
    <m/>
    <s v="CERRADO"/>
    <x v="314"/>
    <n v="1803"/>
    <x v="5"/>
    <d v="2019-01-15T00:00:00"/>
    <x v="4"/>
    <n v="811"/>
    <x v="57"/>
    <n v="19175"/>
    <d v="2019-01-21T00:00:00"/>
    <s v="002-4600-1726"/>
    <n v="4615506161"/>
    <d v="2019-02-04T00:00:00"/>
    <n v="3.6749999999999998"/>
    <n v="1"/>
    <n v="1803"/>
    <n v="1"/>
    <n v="888.17733990147792"/>
    <n v="0.91310593455352185"/>
    <n v="1"/>
    <n v="19175"/>
    <n v="6763.7822038320437"/>
    <n v="0"/>
    <x v="271"/>
    <b v="1"/>
  </r>
  <r>
    <m/>
    <s v="CERRADO"/>
    <x v="315"/>
    <n v="1078"/>
    <x v="5"/>
    <d v="2019-01-15T00:00:00"/>
    <x v="4"/>
    <n v="485"/>
    <x v="57"/>
    <n v="19175"/>
    <d v="2019-01-21T00:00:00"/>
    <s v="002-4600-1726"/>
    <n v="4615506161"/>
    <d v="2019-02-04T00:00:00"/>
    <n v="3.6749999999999998"/>
    <n v="1"/>
    <n v="1078"/>
    <n v="1"/>
    <n v="531.0344827586207"/>
    <n v="0.9133116883116883"/>
    <n v="1"/>
    <n v="19175"/>
    <n v="6763.7822038320437"/>
    <n v="0"/>
    <x v="169"/>
    <b v="1"/>
  </r>
  <r>
    <m/>
    <s v="CERRADO"/>
    <x v="316"/>
    <n v="2700"/>
    <x v="5"/>
    <d v="2019-01-15T00:00:00"/>
    <x v="4"/>
    <n v="1215"/>
    <x v="57"/>
    <n v="19175"/>
    <d v="2019-01-21T00:00:00"/>
    <s v="002-4600-1726"/>
    <n v="4615506161"/>
    <d v="2019-02-04T00:00:00"/>
    <n v="3.6749999999999998"/>
    <n v="1"/>
    <n v="2700"/>
    <n v="1"/>
    <n v="1330.0492610837439"/>
    <n v="0.91349999999999998"/>
    <n v="1"/>
    <n v="19175"/>
    <n v="6763.7822038320437"/>
    <n v="0"/>
    <x v="2"/>
    <b v="1"/>
  </r>
  <r>
    <m/>
    <s v="CERRADO"/>
    <x v="317"/>
    <n v="2600"/>
    <x v="5"/>
    <d v="2019-01-15T00:00:00"/>
    <x v="4"/>
    <n v="1430"/>
    <x v="57"/>
    <n v="19175"/>
    <d v="2019-01-21T00:00:00"/>
    <s v="002-4600-1726"/>
    <n v="4615506161"/>
    <d v="2019-02-04T00:00:00"/>
    <n v="3.6749999999999998"/>
    <n v="1"/>
    <n v="2600"/>
    <n v="1"/>
    <n v="1280.7881773399015"/>
    <n v="1.1165"/>
    <n v="1"/>
    <n v="19175"/>
    <n v="6763.7822038320437"/>
    <n v="0"/>
    <x v="6"/>
    <b v="1"/>
  </r>
  <r>
    <m/>
    <s v="CERRADO"/>
    <x v="318"/>
    <n v="4391"/>
    <x v="5"/>
    <d v="2019-01-15T00:00:00"/>
    <x v="4"/>
    <n v="2415"/>
    <x v="57"/>
    <n v="19175"/>
    <d v="2019-01-21T00:00:00"/>
    <s v="002-4600-1726"/>
    <n v="4615506161"/>
    <d v="2019-02-04T00:00:00"/>
    <n v="3.6749999999999998"/>
    <n v="1"/>
    <n v="13170"/>
    <n v="1"/>
    <n v="2163.0541871921187"/>
    <n v="1.1164229309035687"/>
    <n v="1"/>
    <n v="19175"/>
    <n v="6763.7822038320437"/>
    <n v="0"/>
    <x v="272"/>
    <b v="1"/>
  </r>
  <r>
    <m/>
    <s v="CERRADO"/>
    <x v="318"/>
    <n v="8779"/>
    <x v="5"/>
    <d v="2019-01-15T00:00:00"/>
    <x v="4"/>
    <n v="4828"/>
    <x v="58"/>
    <n v="19175"/>
    <d v="2019-01-21T00:00:00"/>
    <s v="002-4600-1727"/>
    <n v="4615506161"/>
    <d v="2019-02-04T00:00:00"/>
    <n v="3.6749999999999998"/>
    <n v="1"/>
    <n v="13170"/>
    <n v="1"/>
    <n v="4324.6305418719212"/>
    <n v="1.1164229309035687"/>
    <n v="1"/>
    <n v="19175"/>
    <n v="6763.7822038320437"/>
    <n v="0"/>
    <x v="273"/>
    <b v="1"/>
  </r>
  <r>
    <m/>
    <s v="CERRADO"/>
    <x v="319"/>
    <n v="536"/>
    <x v="5"/>
    <d v="2019-01-15T00:00:00"/>
    <x v="4"/>
    <n v="241"/>
    <x v="58"/>
    <n v="19175"/>
    <d v="2019-01-21T00:00:00"/>
    <s v="002-4600-1727"/>
    <n v="4615506161"/>
    <d v="2019-02-04T00:00:00"/>
    <n v="3.6749999999999998"/>
    <n v="1"/>
    <n v="536"/>
    <n v="1"/>
    <n v="264.03940886699507"/>
    <n v="0.9127425373134328"/>
    <n v="1"/>
    <n v="19175"/>
    <n v="6763.7822038320437"/>
    <n v="0"/>
    <x v="274"/>
    <b v="1"/>
  </r>
  <r>
    <m/>
    <s v="CERRADO"/>
    <x v="320"/>
    <n v="1198"/>
    <x v="5"/>
    <d v="2019-01-15T00:00:00"/>
    <x v="4"/>
    <n v="659"/>
    <x v="58"/>
    <n v="19175"/>
    <d v="2019-01-21T00:00:00"/>
    <s v="002-4600-1727"/>
    <n v="4615506161"/>
    <d v="2019-02-04T00:00:00"/>
    <n v="3.6749999999999998"/>
    <n v="1"/>
    <n v="1198"/>
    <n v="1"/>
    <n v="590.14778325123154"/>
    <n v="1.116669449081803"/>
    <n v="1"/>
    <n v="19175"/>
    <n v="6763.7822038320437"/>
    <n v="0"/>
    <x v="13"/>
    <b v="1"/>
  </r>
  <r>
    <m/>
    <s v="CERRADO"/>
    <x v="321"/>
    <n v="7250"/>
    <x v="5"/>
    <d v="2019-01-15T00:00:00"/>
    <x v="4"/>
    <n v="3988"/>
    <x v="58"/>
    <n v="19175"/>
    <d v="2019-01-21T00:00:00"/>
    <s v="002-4600-1727"/>
    <n v="4615506161"/>
    <d v="2019-02-04T00:00:00"/>
    <n v="3.6749999999999998"/>
    <n v="1"/>
    <n v="7250"/>
    <n v="1"/>
    <n v="3571.4285714285716"/>
    <n v="1.1166399999999999"/>
    <n v="1"/>
    <n v="19175"/>
    <n v="6763.7822038320437"/>
    <n v="0"/>
    <x v="275"/>
    <b v="1"/>
  </r>
  <r>
    <m/>
    <s v="CERRADO"/>
    <x v="322"/>
    <n v="360"/>
    <x v="5"/>
    <d v="2019-01-15T00:00:00"/>
    <x v="4"/>
    <n v="162"/>
    <x v="58"/>
    <n v="19175"/>
    <d v="2019-01-21T00:00:00"/>
    <s v="002-4600-1727"/>
    <n v="4615506161"/>
    <d v="2019-02-04T00:00:00"/>
    <n v="3.6749999999999998"/>
    <n v="1"/>
    <n v="360"/>
    <n v="1"/>
    <n v="177.33990147783254"/>
    <n v="0.91349999999999987"/>
    <n v="1"/>
    <n v="19175"/>
    <n v="6763.7822038320437"/>
    <n v="0"/>
    <x v="2"/>
    <b v="1"/>
  </r>
  <r>
    <m/>
    <s v="CERRADO"/>
    <x v="323"/>
    <n v="180"/>
    <x v="5"/>
    <d v="2019-01-15T00:00:00"/>
    <x v="4"/>
    <n v="81"/>
    <x v="58"/>
    <n v="19175"/>
    <d v="2019-01-21T00:00:00"/>
    <s v="002-4600-1727"/>
    <n v="4615506161"/>
    <d v="2019-02-04T00:00:00"/>
    <n v="3.6749999999999998"/>
    <n v="1"/>
    <n v="180"/>
    <n v="1"/>
    <n v="88.66995073891627"/>
    <n v="0.91349999999999987"/>
    <n v="1"/>
    <n v="19175"/>
    <n v="6763.7822038320437"/>
    <n v="0"/>
    <x v="2"/>
    <b v="1"/>
  </r>
  <r>
    <m/>
    <s v="CERRADO"/>
    <x v="324"/>
    <n v="1628"/>
    <x v="5"/>
    <d v="2019-01-15T00:00:00"/>
    <x v="4"/>
    <n v="895"/>
    <x v="58"/>
    <n v="19175"/>
    <d v="2019-01-21T00:00:00"/>
    <s v="002-4600-1727"/>
    <n v="4615506161"/>
    <d v="2019-02-04T00:00:00"/>
    <n v="3.6749999999999998"/>
    <n v="1"/>
    <n v="1628"/>
    <n v="1"/>
    <n v="801.97044334975374"/>
    <n v="1.1160012285012284"/>
    <n v="1"/>
    <n v="19175"/>
    <n v="6763.7822038320437"/>
    <n v="0"/>
    <x v="276"/>
    <b v="1"/>
  </r>
  <r>
    <m/>
    <s v="CERRADO"/>
    <x v="325"/>
    <n v="7629"/>
    <x v="5"/>
    <d v="2019-01-15T00:00:00"/>
    <x v="4"/>
    <n v="4196"/>
    <x v="58"/>
    <n v="19175"/>
    <d v="2019-01-21T00:00:00"/>
    <s v="002-4600-1727"/>
    <n v="4615506161"/>
    <d v="2019-02-04T00:00:00"/>
    <n v="3.6749999999999998"/>
    <n v="1"/>
    <n v="7629"/>
    <n v="1"/>
    <n v="3758.1280788177341"/>
    <n v="1.1165133044960021"/>
    <n v="1"/>
    <n v="19175"/>
    <n v="6763.7822038320437"/>
    <n v="0"/>
    <x v="277"/>
    <b v="1"/>
  </r>
  <r>
    <m/>
    <s v="CERRADO"/>
    <x v="326"/>
    <n v="7500"/>
    <x v="5"/>
    <d v="2019-01-15T00:00:00"/>
    <x v="4"/>
    <n v="4125"/>
    <x v="58"/>
    <n v="19175"/>
    <d v="2019-01-21T00:00:00"/>
    <s v="002-4600-1727"/>
    <n v="4615506161"/>
    <d v="2019-02-04T00:00:00"/>
    <n v="3.6749999999999998"/>
    <n v="1"/>
    <n v="10612"/>
    <n v="1"/>
    <n v="3694.5812807881775"/>
    <n v="1.113327893696628"/>
    <n v="1"/>
    <n v="19175"/>
    <n v="6763.7822038320437"/>
    <n v="0"/>
    <x v="6"/>
    <b v="1"/>
  </r>
  <r>
    <m/>
    <s v="CERRADO"/>
    <x v="327"/>
    <n v="1536"/>
    <x v="6"/>
    <d v="2019-01-15T00:00:00"/>
    <x v="2"/>
    <n v="691"/>
    <x v="59"/>
    <n v="19175"/>
    <d v="2019-01-21T00:00:00"/>
    <s v="002-4600-1728"/>
    <n v="4615506161"/>
    <d v="2019-02-04T00:00:00"/>
    <n v="3.6749999999999998"/>
    <n v="1"/>
    <n v="2645"/>
    <n v="1"/>
    <n v="843.95604395604391"/>
    <n v="0.81882797731569013"/>
    <n v="1"/>
    <n v="19175"/>
    <n v="6763.7822038320437"/>
    <n v="0"/>
    <x v="278"/>
    <b v="1"/>
  </r>
  <r>
    <m/>
    <s v="CERRADO"/>
    <x v="328"/>
    <n v="3353"/>
    <x v="6"/>
    <d v="2019-01-15T00:00:00"/>
    <x v="2"/>
    <n v="1509"/>
    <x v="59"/>
    <n v="19175"/>
    <d v="2019-01-21T00:00:00"/>
    <s v="002-4600-1728"/>
    <n v="4615506161"/>
    <d v="2019-02-04T00:00:00"/>
    <n v="3.6749999999999998"/>
    <n v="1"/>
    <n v="3353"/>
    <n v="1"/>
    <n v="1842.3076923076922"/>
    <n v="0.81908141962421721"/>
    <n v="1"/>
    <n v="19175"/>
    <n v="6763.7822038320437"/>
    <n v="0"/>
    <x v="279"/>
    <b v="1"/>
  </r>
  <r>
    <m/>
    <s v="CERRADO"/>
    <x v="329"/>
    <n v="782"/>
    <x v="6"/>
    <d v="2019-01-15T00:00:00"/>
    <x v="2"/>
    <n v="430"/>
    <x v="59"/>
    <n v="19175"/>
    <d v="2019-01-21T00:00:00"/>
    <s v="002-4600-1728"/>
    <n v="4615506161"/>
    <d v="2019-02-04T00:00:00"/>
    <n v="3.6749999999999998"/>
    <n v="1"/>
    <n v="782"/>
    <n v="1"/>
    <n v="429.67032967032964"/>
    <n v="1.0007672634271101"/>
    <n v="1"/>
    <n v="19175"/>
    <n v="6763.7822038320437"/>
    <n v="0"/>
    <x v="280"/>
    <b v="1"/>
  </r>
  <r>
    <m/>
    <s v="CERRADO"/>
    <x v="330"/>
    <n v="5730"/>
    <x v="6"/>
    <d v="2019-01-15T00:00:00"/>
    <x v="2"/>
    <n v="2579"/>
    <x v="59"/>
    <n v="19175"/>
    <d v="2019-01-21T00:00:00"/>
    <s v="002-4600-1728"/>
    <n v="4615506161"/>
    <d v="2019-02-04T00:00:00"/>
    <n v="3.6749999999999998"/>
    <n v="1"/>
    <n v="5730"/>
    <n v="1"/>
    <n v="3148.3516483516482"/>
    <n v="0.81915881326352535"/>
    <n v="1"/>
    <n v="19175"/>
    <n v="6763.7822038320437"/>
    <n v="0"/>
    <x v="281"/>
    <b v="1"/>
  </r>
  <r>
    <m/>
    <s v="CERRADO"/>
    <x v="331"/>
    <n v="3003"/>
    <x v="6"/>
    <d v="2019-01-15T00:00:00"/>
    <x v="2"/>
    <n v="1652"/>
    <x v="59"/>
    <n v="19175"/>
    <d v="2019-01-21T00:00:00"/>
    <s v="002-4600-1728"/>
    <n v="4615506161"/>
    <d v="2019-02-04T00:00:00"/>
    <n v="3.6749999999999998"/>
    <n v="1"/>
    <n v="3003"/>
    <n v="1"/>
    <n v="1650"/>
    <n v="1.0012121212121212"/>
    <n v="1"/>
    <n v="19175"/>
    <n v="6763.7822038320437"/>
    <n v="0"/>
    <x v="282"/>
    <b v="1"/>
  </r>
  <r>
    <m/>
    <s v="CERRADO"/>
    <x v="332"/>
    <n v="539"/>
    <x v="6"/>
    <d v="2019-01-15T00:00:00"/>
    <x v="2"/>
    <n v="296"/>
    <x v="59"/>
    <n v="19175"/>
    <d v="2019-01-21T00:00:00"/>
    <s v="002-4600-1728"/>
    <n v="4615506161"/>
    <d v="2019-02-04T00:00:00"/>
    <n v="3.6749999999999998"/>
    <n v="1"/>
    <n v="539"/>
    <n v="1"/>
    <n v="296.15384615384613"/>
    <n v="0.99948051948051952"/>
    <n v="1"/>
    <n v="19175"/>
    <n v="6763.7822038320437"/>
    <n v="0"/>
    <x v="283"/>
    <b v="1"/>
  </r>
  <r>
    <m/>
    <s v="CERRADO"/>
    <x v="333"/>
    <n v="4671"/>
    <x v="6"/>
    <d v="2019-01-15T00:00:00"/>
    <x v="2"/>
    <n v="2102"/>
    <x v="59"/>
    <n v="19175"/>
    <d v="2019-01-21T00:00:00"/>
    <s v="002-4600-1728"/>
    <n v="4615506161"/>
    <d v="2019-02-04T00:00:00"/>
    <n v="3.6749999999999998"/>
    <n v="1"/>
    <n v="4671"/>
    <n v="1"/>
    <n v="2566.4835164835163"/>
    <n v="0.81901948190965534"/>
    <n v="1"/>
    <n v="19175"/>
    <n v="6763.7822038320437"/>
    <n v="0"/>
    <x v="284"/>
    <b v="1"/>
  </r>
  <r>
    <m/>
    <s v="CERRADO"/>
    <x v="334"/>
    <n v="7210"/>
    <x v="6"/>
    <d v="2019-01-15T00:00:00"/>
    <x v="2"/>
    <n v="3245"/>
    <x v="59"/>
    <n v="19175"/>
    <d v="2019-01-21T00:00:00"/>
    <s v="002-4600-1728"/>
    <n v="4615506161"/>
    <d v="2019-02-04T00:00:00"/>
    <n v="3.6749999999999998"/>
    <n v="1"/>
    <n v="7210"/>
    <n v="1"/>
    <n v="3961.5384615384614"/>
    <n v="0.81912621359223303"/>
    <n v="1"/>
    <n v="19175"/>
    <n v="6763.7822038320437"/>
    <n v="0"/>
    <x v="285"/>
    <b v="1"/>
  </r>
  <r>
    <m/>
    <s v="CERRADO"/>
    <x v="335"/>
    <n v="2581"/>
    <x v="6"/>
    <d v="2019-01-15T00:00:00"/>
    <x v="2"/>
    <n v="1420"/>
    <x v="59"/>
    <n v="19175"/>
    <d v="2019-01-21T00:00:00"/>
    <s v="002-4600-1728"/>
    <n v="4615506161"/>
    <d v="2019-02-04T00:00:00"/>
    <n v="3.6749999999999998"/>
    <n v="1"/>
    <n v="2581"/>
    <n v="1"/>
    <n v="1418.131868131868"/>
    <n v="1.0013173188686557"/>
    <n v="1"/>
    <n v="19175"/>
    <n v="6763.7822038320437"/>
    <n v="0"/>
    <x v="286"/>
    <b v="1"/>
  </r>
  <r>
    <m/>
    <s v="CERRADO"/>
    <x v="336"/>
    <n v="2580"/>
    <x v="6"/>
    <d v="2019-01-15T00:00:00"/>
    <x v="2"/>
    <n v="1419"/>
    <x v="59"/>
    <n v="19175"/>
    <d v="2019-01-21T00:00:00"/>
    <s v="002-4600-1728"/>
    <n v="4615506161"/>
    <d v="2019-02-04T00:00:00"/>
    <n v="3.6749999999999998"/>
    <n v="1"/>
    <n v="2580"/>
    <n v="1"/>
    <n v="1417.5824175824175"/>
    <n v="1.0010000000000001"/>
    <n v="1"/>
    <n v="19175"/>
    <n v="6763.7822038320437"/>
    <n v="0"/>
    <x v="6"/>
    <b v="1"/>
  </r>
  <r>
    <m/>
    <s v="CERRADO"/>
    <x v="337"/>
    <n v="4210"/>
    <x v="6"/>
    <d v="2019-01-15T00:00:00"/>
    <x v="2"/>
    <n v="2316"/>
    <x v="59"/>
    <n v="19175"/>
    <d v="2019-01-21T00:00:00"/>
    <s v="002-4600-1728"/>
    <n v="4615506161"/>
    <d v="2019-02-04T00:00:00"/>
    <n v="3.6749999999999998"/>
    <n v="1"/>
    <n v="4210"/>
    <n v="1"/>
    <n v="2313.1868131868132"/>
    <n v="1.0012161520190024"/>
    <n v="1"/>
    <n v="19175"/>
    <n v="6763.7822038320437"/>
    <n v="0"/>
    <x v="287"/>
    <b v="1"/>
  </r>
  <r>
    <m/>
    <s v="CERRADO"/>
    <x v="338"/>
    <n v="2756"/>
    <x v="6"/>
    <d v="2019-01-15T00:00:00"/>
    <x v="2"/>
    <n v="1516"/>
    <x v="59"/>
    <n v="19175"/>
    <d v="2019-01-21T00:00:00"/>
    <s v="002-4600-1728"/>
    <n v="4615506161"/>
    <d v="2019-02-04T00:00:00"/>
    <n v="3.6749999999999998"/>
    <n v="1"/>
    <n v="10265"/>
    <n v="1"/>
    <n v="1514.2857142857142"/>
    <n v="1.0010443253774963"/>
    <n v="1"/>
    <n v="19175"/>
    <n v="6763.7822038320437"/>
    <n v="0"/>
    <x v="288"/>
    <b v="1"/>
  </r>
  <r>
    <m/>
    <s v="CERRADO"/>
    <x v="339"/>
    <n v="1591"/>
    <x v="6"/>
    <d v="2019-01-15T00:00:00"/>
    <x v="2"/>
    <n v="875"/>
    <x v="60"/>
    <n v="19175"/>
    <d v="2019-01-21T00:00:00"/>
    <s v="002-4600-1729"/>
    <n v="4615506161"/>
    <d v="2019-02-04T00:00:00"/>
    <n v="3.6749999999999998"/>
    <n v="1"/>
    <n v="12940"/>
    <n v="1"/>
    <n v="874.17582417582412"/>
    <n v="1.0914900082127723"/>
    <n v="1"/>
    <n v="19175"/>
    <n v="6763.7822038320437"/>
    <n v="0"/>
    <x v="289"/>
    <b v="1"/>
  </r>
  <r>
    <m/>
    <s v="CERRADO"/>
    <x v="340"/>
    <n v="4840"/>
    <x v="6"/>
    <d v="2019-01-15T00:00:00"/>
    <x v="2"/>
    <n v="2662"/>
    <x v="60"/>
    <n v="19175"/>
    <d v="2019-01-21T00:00:00"/>
    <s v="002-4600-1729"/>
    <n v="4615506161"/>
    <d v="2019-02-04T00:00:00"/>
    <n v="3.6749999999999998"/>
    <n v="1"/>
    <n v="4840"/>
    <n v="1"/>
    <n v="2659.3406593406594"/>
    <n v="1.0009999999999999"/>
    <n v="1"/>
    <n v="19175"/>
    <n v="6763.7822038320437"/>
    <n v="0"/>
    <x v="6"/>
    <b v="1"/>
  </r>
  <r>
    <m/>
    <s v="CERRADO"/>
    <x v="341"/>
    <n v="1680"/>
    <x v="6"/>
    <d v="2019-01-15T00:00:00"/>
    <x v="2"/>
    <n v="924"/>
    <x v="60"/>
    <n v="19175"/>
    <d v="2019-01-21T00:00:00"/>
    <s v="002-4600-1729"/>
    <n v="4615506161"/>
    <d v="2019-02-04T00:00:00"/>
    <n v="3.6749999999999998"/>
    <n v="1"/>
    <n v="1680"/>
    <n v="1"/>
    <n v="923.07692307692309"/>
    <n v="1.0009999999999999"/>
    <n v="1"/>
    <n v="19175"/>
    <n v="6763.7822038320437"/>
    <n v="0"/>
    <x v="6"/>
    <b v="1"/>
  </r>
  <r>
    <m/>
    <s v="CERRADO"/>
    <x v="342"/>
    <n v="16780"/>
    <x v="6"/>
    <d v="2019-01-15T00:00:00"/>
    <x v="2"/>
    <n v="9229"/>
    <x v="60"/>
    <n v="19175"/>
    <d v="2019-01-21T00:00:00"/>
    <s v="002-4600-1729"/>
    <n v="4615506161"/>
    <d v="2019-02-04T00:00:00"/>
    <n v="3.6749999999999998"/>
    <n v="1"/>
    <n v="16780"/>
    <n v="1"/>
    <n v="9219.7802197802193"/>
    <n v="1.0010000000000001"/>
    <n v="1"/>
    <n v="19175"/>
    <n v="6763.7822038320437"/>
    <n v="0"/>
    <x v="6"/>
    <b v="1"/>
  </r>
  <r>
    <m/>
    <s v="CERRADO"/>
    <x v="343"/>
    <n v="4496"/>
    <x v="6"/>
    <d v="2019-01-15T00:00:00"/>
    <x v="2"/>
    <n v="2473"/>
    <x v="60"/>
    <n v="19175"/>
    <d v="2019-01-21T00:00:00"/>
    <s v="002-4600-1729"/>
    <n v="4615506161"/>
    <d v="2019-02-04T00:00:00"/>
    <n v="3.6749999999999998"/>
    <n v="1"/>
    <n v="4496"/>
    <n v="1"/>
    <n v="2470.3296703296701"/>
    <n v="1.0010809608540927"/>
    <n v="1"/>
    <n v="19175"/>
    <n v="6763.7822038320437"/>
    <n v="0"/>
    <x v="290"/>
    <b v="1"/>
  </r>
  <r>
    <m/>
    <s v="CERRADO"/>
    <x v="344"/>
    <n v="1022"/>
    <x v="6"/>
    <d v="2019-01-15T00:00:00"/>
    <x v="2"/>
    <n v="460"/>
    <x v="60"/>
    <n v="19175"/>
    <d v="2019-01-21T00:00:00"/>
    <s v="002-4600-1729"/>
    <n v="4615506161"/>
    <d v="2019-02-04T00:00:00"/>
    <n v="3.6749999999999998"/>
    <n v="1"/>
    <n v="1022"/>
    <n v="1"/>
    <n v="561.53846153846155"/>
    <n v="0.81917808219178079"/>
    <n v="1"/>
    <n v="19175"/>
    <n v="6763.7822038320437"/>
    <n v="0"/>
    <x v="291"/>
    <b v="1"/>
  </r>
  <r>
    <m/>
    <s v="CERRADO"/>
    <x v="345"/>
    <n v="2045"/>
    <x v="6"/>
    <d v="2019-01-15T00:00:00"/>
    <x v="2"/>
    <n v="920"/>
    <x v="60"/>
    <n v="19175"/>
    <d v="2019-01-21T00:00:00"/>
    <s v="002-4600-1729"/>
    <n v="4615506161"/>
    <d v="2019-02-04T00:00:00"/>
    <n v="3.6749999999999998"/>
    <n v="1"/>
    <n v="2045"/>
    <n v="1"/>
    <n v="1123.6263736263736"/>
    <n v="0.81877750611246947"/>
    <n v="1"/>
    <n v="19175"/>
    <n v="6763.7822038320437"/>
    <n v="0"/>
    <x v="292"/>
    <b v="1"/>
  </r>
  <r>
    <m/>
    <s v="CERRADO"/>
    <x v="346"/>
    <n v="2517"/>
    <x v="6"/>
    <d v="2019-01-15T00:00:00"/>
    <x v="2"/>
    <n v="1133"/>
    <x v="60"/>
    <n v="19175"/>
    <d v="2019-01-21T00:00:00"/>
    <s v="002-4600-1729"/>
    <n v="4615506161"/>
    <d v="2019-02-04T00:00:00"/>
    <n v="3.6749999999999998"/>
    <n v="1"/>
    <n v="2517"/>
    <n v="1"/>
    <n v="1382.967032967033"/>
    <n v="0.81925307906237588"/>
    <n v="1"/>
    <n v="19175"/>
    <n v="6763.7822038320437"/>
    <n v="0"/>
    <x v="293"/>
    <b v="1"/>
  </r>
  <r>
    <m/>
    <s v="CERRADO"/>
    <x v="327"/>
    <n v="1109"/>
    <x v="6"/>
    <d v="2019-01-15T00:00:00"/>
    <x v="2"/>
    <n v="499"/>
    <x v="60"/>
    <n v="19175"/>
    <d v="2019-01-21T00:00:00"/>
    <s v="002-4600-1729"/>
    <n v="4615506161"/>
    <d v="2019-02-04T00:00:00"/>
    <n v="3.6749999999999998"/>
    <n v="1"/>
    <n v="2645"/>
    <n v="1"/>
    <n v="609.34065934065927"/>
    <n v="0.81882797731569013"/>
    <n v="1"/>
    <n v="19175"/>
    <n v="6763.7822038320437"/>
    <n v="0"/>
    <x v="294"/>
    <b v="1"/>
  </r>
  <r>
    <m/>
    <s v="CERRADO"/>
    <x v="338"/>
    <n v="7509"/>
    <x v="6"/>
    <d v="2019-01-15T00:00:00"/>
    <x v="2"/>
    <n v="4130"/>
    <x v="61"/>
    <n v="19175"/>
    <d v="2019-01-21T00:00:00"/>
    <s v="002-4600-1730"/>
    <n v="4615506161"/>
    <d v="2019-02-04T00:00:00"/>
    <n v="3.6749999999999998"/>
    <n v="1"/>
    <n v="10265"/>
    <n v="1"/>
    <n v="4125.8241758241757"/>
    <n v="1.0010443253774963"/>
    <n v="1"/>
    <n v="19175"/>
    <n v="6763.7822038320437"/>
    <n v="0"/>
    <x v="295"/>
    <b v="1"/>
  </r>
  <r>
    <m/>
    <s v="CERRADO"/>
    <x v="347"/>
    <n v="1500"/>
    <x v="6"/>
    <d v="2019-01-15T00:00:00"/>
    <x v="2"/>
    <n v="825"/>
    <x v="61"/>
    <n v="19175"/>
    <d v="2019-01-21T00:00:00"/>
    <s v="002-4600-1730"/>
    <n v="4615506161"/>
    <d v="2019-02-04T00:00:00"/>
    <n v="3.6749999999999998"/>
    <n v="1"/>
    <n v="1500"/>
    <n v="1"/>
    <n v="824.17582417582412"/>
    <n v="1.0010000000000001"/>
    <n v="1"/>
    <n v="19175"/>
    <n v="6763.7822038320437"/>
    <n v="0"/>
    <x v="6"/>
    <b v="1"/>
  </r>
  <r>
    <m/>
    <s v="CERRADO"/>
    <x v="348"/>
    <n v="14560"/>
    <x v="6"/>
    <d v="2019-01-15T00:00:00"/>
    <x v="2"/>
    <n v="8008"/>
    <x v="61"/>
    <n v="19175"/>
    <d v="2019-01-21T00:00:00"/>
    <s v="002-4600-1730"/>
    <n v="4615506161"/>
    <d v="2019-02-04T00:00:00"/>
    <n v="3.6749999999999998"/>
    <n v="1"/>
    <n v="14560"/>
    <n v="1"/>
    <n v="8000"/>
    <n v="1.0009999999999999"/>
    <n v="1"/>
    <n v="19175"/>
    <n v="6763.7822038320437"/>
    <n v="0"/>
    <x v="6"/>
    <b v="1"/>
  </r>
  <r>
    <m/>
    <s v="CERRADO"/>
    <x v="349"/>
    <n v="7250"/>
    <x v="6"/>
    <d v="2019-01-15T00:00:00"/>
    <x v="2"/>
    <n v="3988"/>
    <x v="61"/>
    <n v="19175"/>
    <d v="2019-01-21T00:00:00"/>
    <s v="002-4600-1730"/>
    <n v="4615506161"/>
    <d v="2019-02-04T00:00:00"/>
    <n v="3.6749999999999998"/>
    <n v="1"/>
    <n v="7250"/>
    <n v="1"/>
    <n v="3983.5164835164833"/>
    <n v="1.0011255172413793"/>
    <n v="1"/>
    <n v="19175"/>
    <n v="6763.7822038320437"/>
    <n v="0"/>
    <x v="275"/>
    <b v="1"/>
  </r>
  <r>
    <m/>
    <s v="CERRADO"/>
    <x v="350"/>
    <n v="4942"/>
    <x v="6"/>
    <d v="2019-01-15T00:00:00"/>
    <x v="2"/>
    <n v="2224"/>
    <x v="61"/>
    <n v="19175"/>
    <d v="2019-01-21T00:00:00"/>
    <s v="002-4600-1730"/>
    <n v="4615506161"/>
    <d v="2019-02-04T00:00:00"/>
    <n v="3.6749999999999998"/>
    <n v="1"/>
    <n v="11441"/>
    <n v="1"/>
    <n v="2715.3846153846152"/>
    <n v="0.81908749235206713"/>
    <n v="1"/>
    <n v="19175"/>
    <n v="6763.7822038320437"/>
    <n v="0"/>
    <x v="296"/>
    <b v="1"/>
  </r>
  <r>
    <m/>
    <s v="CERRADO"/>
    <x v="351"/>
    <n v="3767"/>
    <x v="7"/>
    <d v="2019-01-21T00:00:00"/>
    <x v="2"/>
    <n v="1695"/>
    <x v="62"/>
    <n v="21000"/>
    <d v="2019-01-29T00:00:00"/>
    <s v="002-4600-0848"/>
    <n v="4615466871"/>
    <d v="2019-02-11T00:00:00"/>
    <n v="3.7385000000000002"/>
    <n v="1"/>
    <n v="8520"/>
    <n v="1"/>
    <n v="2069.7802197802198"/>
    <n v="0.81900000000000006"/>
    <n v="1"/>
    <n v="19175"/>
    <n v="6763.7822038320437"/>
    <n v="0"/>
    <x v="297"/>
    <b v="1"/>
  </r>
  <r>
    <m/>
    <s v="CERRADO"/>
    <x v="352"/>
    <n v="897"/>
    <x v="7"/>
    <d v="2019-01-21T00:00:00"/>
    <x v="2"/>
    <n v="404"/>
    <x v="62"/>
    <n v="21000"/>
    <d v="2019-01-29T00:00:00"/>
    <s v="002-4600-0848"/>
    <n v="4615466871"/>
    <d v="2019-02-11T00:00:00"/>
    <n v="3.7385000000000002"/>
    <n v="1"/>
    <n v="897"/>
    <n v="1"/>
    <n v="492.85714285714283"/>
    <n v="0.81971014492753624"/>
    <n v="1"/>
    <n v="19175"/>
    <n v="6763.7822038320437"/>
    <n v="0"/>
    <x v="298"/>
    <b v="1"/>
  </r>
  <r>
    <m/>
    <s v="CERRADO"/>
    <x v="353"/>
    <n v="961"/>
    <x v="7"/>
    <d v="2019-01-21T00:00:00"/>
    <x v="2"/>
    <n v="529"/>
    <x v="62"/>
    <n v="21000"/>
    <d v="2019-01-29T00:00:00"/>
    <s v="002-4600-0848"/>
    <n v="4615466871"/>
    <d v="2019-02-11T00:00:00"/>
    <n v="3.7385000000000002"/>
    <n v="1"/>
    <n v="961"/>
    <n v="1"/>
    <n v="528.02197802197804"/>
    <n v="1.0018522372528615"/>
    <n v="1"/>
    <n v="19175"/>
    <n v="6763.7822038320437"/>
    <n v="0"/>
    <x v="299"/>
    <b v="1"/>
  </r>
  <r>
    <m/>
    <s v="CERRADO"/>
    <x v="354"/>
    <n v="17956"/>
    <x v="7"/>
    <d v="2019-01-21T00:00:00"/>
    <x v="2"/>
    <n v="9876"/>
    <x v="62"/>
    <n v="21000"/>
    <d v="2019-01-29T00:00:00"/>
    <s v="002-4600-0848"/>
    <n v="4615466871"/>
    <d v="2019-02-11T00:00:00"/>
    <n v="3.7385000000000002"/>
    <n v="1"/>
    <n v="17956"/>
    <n v="1"/>
    <n v="9865.9340659340651"/>
    <n v="1.0010202717754513"/>
    <n v="1"/>
    <n v="19175"/>
    <n v="6763.7822038320437"/>
    <n v="0"/>
    <x v="300"/>
    <b v="1"/>
  </r>
  <r>
    <m/>
    <s v="CERRADO"/>
    <x v="355"/>
    <n v="6630"/>
    <x v="7"/>
    <d v="2019-01-21T00:00:00"/>
    <x v="2"/>
    <n v="3647"/>
    <x v="62"/>
    <n v="21000"/>
    <d v="2019-01-29T00:00:00"/>
    <s v="002-4600-0848"/>
    <n v="4615466871"/>
    <d v="2019-02-11T00:00:00"/>
    <n v="3.7385000000000002"/>
    <n v="1"/>
    <n v="6630"/>
    <n v="1"/>
    <n v="3642.8571428571427"/>
    <n v="1.0011372549019608"/>
    <n v="1"/>
    <n v="19175"/>
    <n v="6763.7822038320437"/>
    <n v="0"/>
    <x v="301"/>
    <b v="1"/>
  </r>
  <r>
    <m/>
    <s v="CERRADO"/>
    <x v="356"/>
    <n v="10776"/>
    <x v="7"/>
    <d v="2019-01-21T00:00:00"/>
    <x v="2"/>
    <n v="4849"/>
    <x v="62"/>
    <n v="21000"/>
    <d v="2019-01-29T00:00:00"/>
    <s v="002-4600-0848"/>
    <n v="4615466871"/>
    <d v="2019-02-11T00:00:00"/>
    <n v="3.7385000000000002"/>
    <n v="1"/>
    <n v="13930"/>
    <n v="1"/>
    <n v="5920.8791208791208"/>
    <n v="0.83771421923963385"/>
    <n v="1"/>
    <n v="19175"/>
    <n v="6763.7822038320437"/>
    <n v="0"/>
    <x v="302"/>
    <b v="1"/>
  </r>
  <r>
    <m/>
    <s v="CERRADO"/>
    <x v="350"/>
    <n v="6499"/>
    <x v="7"/>
    <d v="2019-01-21T00:00:00"/>
    <x v="2"/>
    <n v="2925"/>
    <x v="63"/>
    <n v="21000"/>
    <d v="2019-01-29T00:00:00"/>
    <s v="002-4600-0849"/>
    <n v="4615466871"/>
    <d v="2019-02-11T00:00:00"/>
    <n v="3.7385000000000002"/>
    <n v="1"/>
    <n v="11441"/>
    <n v="1"/>
    <n v="3570.8791208791208"/>
    <n v="0.81908749235206713"/>
    <n v="1"/>
    <n v="19175"/>
    <n v="6763.7822038320437"/>
    <n v="0"/>
    <x v="303"/>
    <b v="1"/>
  </r>
  <r>
    <m/>
    <s v="CERRADO"/>
    <x v="357"/>
    <n v="16590"/>
    <x v="7"/>
    <d v="2019-01-21T00:00:00"/>
    <x v="2"/>
    <n v="7466"/>
    <x v="63"/>
    <n v="21000"/>
    <d v="2019-01-29T00:00:00"/>
    <s v="002-4600-0849"/>
    <n v="4615466871"/>
    <d v="2019-02-11T00:00:00"/>
    <n v="3.7385000000000002"/>
    <n v="1"/>
    <n v="16590"/>
    <n v="1"/>
    <n v="9115.3846153846152"/>
    <n v="0.8190548523206751"/>
    <n v="1"/>
    <n v="19175"/>
    <n v="6763.7822038320437"/>
    <n v="0"/>
    <x v="304"/>
    <b v="1"/>
  </r>
  <r>
    <m/>
    <s v="CERRADO"/>
    <x v="358"/>
    <n v="4600"/>
    <x v="7"/>
    <d v="2019-01-21T00:00:00"/>
    <x v="2"/>
    <n v="2070"/>
    <x v="63"/>
    <n v="21000"/>
    <d v="2019-01-29T00:00:00"/>
    <s v="002-4600-0849"/>
    <n v="4615466871"/>
    <d v="2019-02-11T00:00:00"/>
    <n v="3.7385000000000002"/>
    <n v="1"/>
    <n v="4600"/>
    <n v="1"/>
    <n v="2527.4725274725274"/>
    <n v="0.81900000000000006"/>
    <n v="1"/>
    <n v="19175"/>
    <n v="6763.7822038320437"/>
    <n v="0"/>
    <x v="2"/>
    <b v="1"/>
  </r>
  <r>
    <m/>
    <s v="CERRADO"/>
    <x v="359"/>
    <n v="7330"/>
    <x v="7"/>
    <d v="2019-01-21T00:00:00"/>
    <x v="2"/>
    <n v="3299"/>
    <x v="63"/>
    <n v="21000"/>
    <d v="2019-01-29T00:00:00"/>
    <s v="002-4600-0849"/>
    <n v="4615466871"/>
    <d v="2019-02-11T00:00:00"/>
    <n v="3.7385000000000002"/>
    <n v="1"/>
    <n v="7330"/>
    <n v="1"/>
    <n v="4027.4725274725274"/>
    <n v="0.81912414733969985"/>
    <n v="1"/>
    <n v="19175"/>
    <n v="6763.7822038320437"/>
    <n v="0"/>
    <x v="305"/>
    <b v="1"/>
  </r>
  <r>
    <m/>
    <s v="CERRADO"/>
    <x v="360"/>
    <n v="4684"/>
    <x v="7"/>
    <d v="2019-01-21T00:00:00"/>
    <x v="2"/>
    <n v="2108"/>
    <x v="63"/>
    <n v="21000"/>
    <d v="2019-01-29T00:00:00"/>
    <s v="002-4600-0849"/>
    <n v="4615466871"/>
    <d v="2019-02-11T00:00:00"/>
    <n v="3.7385000000000002"/>
    <n v="1"/>
    <n v="4684"/>
    <n v="1"/>
    <n v="2573.6263736263736"/>
    <n v="0.81907771135781382"/>
    <n v="1"/>
    <n v="19175"/>
    <n v="6763.7822038320437"/>
    <n v="0"/>
    <x v="306"/>
    <b v="1"/>
  </r>
  <r>
    <m/>
    <s v="CERRADO"/>
    <x v="361"/>
    <n v="1806"/>
    <x v="7"/>
    <d v="2019-01-21T00:00:00"/>
    <x v="2"/>
    <n v="993"/>
    <x v="63"/>
    <n v="21000"/>
    <d v="2019-01-29T00:00:00"/>
    <s v="002-4600-0849"/>
    <n v="4615466871"/>
    <d v="2019-02-11T00:00:00"/>
    <n v="3.7385000000000002"/>
    <n v="1"/>
    <n v="1806"/>
    <n v="1"/>
    <n v="992.30769230769226"/>
    <n v="1.0006976744186047"/>
    <n v="1"/>
    <n v="19175"/>
    <n v="6763.7822038320437"/>
    <n v="0"/>
    <x v="157"/>
    <b v="1"/>
  </r>
  <r>
    <m/>
    <s v="CERRADO"/>
    <x v="351"/>
    <n v="4753"/>
    <x v="7"/>
    <d v="2019-01-21T00:00:00"/>
    <x v="2"/>
    <n v="2139"/>
    <x v="63"/>
    <n v="21000"/>
    <d v="2019-01-29T00:00:00"/>
    <s v="002-4600-0849"/>
    <n v="4615466871"/>
    <d v="2019-02-11T00:00:00"/>
    <n v="3.7385000000000002"/>
    <n v="1"/>
    <n v="8520"/>
    <n v="1"/>
    <n v="2611.5384615384614"/>
    <n v="0.81900000000000006"/>
    <n v="1"/>
    <n v="19175"/>
    <n v="6763.7822038320437"/>
    <n v="0"/>
    <x v="307"/>
    <b v="1"/>
  </r>
  <r>
    <m/>
    <s v="CERRADO"/>
    <x v="362"/>
    <n v="4442"/>
    <x v="8"/>
    <d v="2019-01-21T00:00:00"/>
    <x v="5"/>
    <n v="1999"/>
    <x v="64"/>
    <n v="19175"/>
    <d v="2019-01-29T00:00:00"/>
    <s v="002-4600-1688"/>
    <n v="4615488366"/>
    <d v="2019-02-11T00:00:00"/>
    <n v="3.7385000000000002"/>
    <n v="1"/>
    <n v="11320"/>
    <n v="1"/>
    <n v="2209.950248756219"/>
    <n v="0.90449999999999986"/>
    <n v="1"/>
    <n v="19175"/>
    <n v="6763.7822038320437"/>
    <n v="0"/>
    <x v="308"/>
    <b v="1"/>
  </r>
  <r>
    <m/>
    <s v="CERRADO"/>
    <x v="363"/>
    <n v="2630"/>
    <x v="8"/>
    <d v="2019-01-21T00:00:00"/>
    <x v="5"/>
    <n v="1447"/>
    <x v="64"/>
    <n v="19175"/>
    <d v="2019-01-29T00:00:00"/>
    <s v="002-4600-1688"/>
    <n v="4615488366"/>
    <d v="2019-02-11T00:00:00"/>
    <n v="3.7385000000000002"/>
    <n v="1"/>
    <n v="2630"/>
    <n v="1"/>
    <n v="1308.4577114427861"/>
    <n v="1.1058821292775665"/>
    <n v="1"/>
    <n v="19175"/>
    <n v="6763.7822038320437"/>
    <n v="0"/>
    <x v="309"/>
    <b v="1"/>
  </r>
  <r>
    <m/>
    <s v="CERRADO"/>
    <x v="364"/>
    <n v="4350"/>
    <x v="8"/>
    <d v="2019-01-21T00:00:00"/>
    <x v="5"/>
    <n v="1958"/>
    <x v="64"/>
    <n v="19175"/>
    <d v="2019-01-29T00:00:00"/>
    <s v="002-4600-1688"/>
    <n v="4615488366"/>
    <d v="2019-02-11T00:00:00"/>
    <n v="3.7385000000000002"/>
    <n v="1"/>
    <n v="4350"/>
    <n v="1"/>
    <n v="2164.1791044776123"/>
    <n v="0.90473103448275849"/>
    <n v="1"/>
    <n v="19175"/>
    <n v="6763.7822038320437"/>
    <n v="0"/>
    <x v="310"/>
    <b v="1"/>
  </r>
  <r>
    <m/>
    <s v="CERRADO"/>
    <x v="365"/>
    <n v="4730"/>
    <x v="8"/>
    <d v="2019-01-21T00:00:00"/>
    <x v="5"/>
    <n v="2602"/>
    <x v="64"/>
    <n v="19175"/>
    <d v="2019-01-29T00:00:00"/>
    <s v="002-4600-1688"/>
    <n v="4615488366"/>
    <d v="2019-02-11T00:00:00"/>
    <n v="3.7385000000000002"/>
    <n v="1"/>
    <n v="4730"/>
    <n v="1"/>
    <n v="2353.2338308457715"/>
    <n v="1.1057124735729384"/>
    <n v="1"/>
    <n v="19175"/>
    <n v="6763.7822038320437"/>
    <n v="0"/>
    <x v="60"/>
    <b v="1"/>
  </r>
  <r>
    <m/>
    <s v="CERRADO"/>
    <x v="366"/>
    <n v="1499"/>
    <x v="8"/>
    <d v="2019-01-21T00:00:00"/>
    <x v="5"/>
    <n v="675"/>
    <x v="64"/>
    <n v="19175"/>
    <d v="2019-01-29T00:00:00"/>
    <s v="002-4600-1688"/>
    <n v="4615488366"/>
    <d v="2019-02-11T00:00:00"/>
    <n v="3.7385000000000002"/>
    <n v="1"/>
    <n v="1499"/>
    <n v="1"/>
    <n v="745.77114427860704"/>
    <n v="0.90510340226817865"/>
    <n v="1"/>
    <n v="19175"/>
    <n v="6763.7822038320437"/>
    <n v="0"/>
    <x v="144"/>
    <b v="1"/>
  </r>
  <r>
    <m/>
    <s v="CERRADO"/>
    <x v="367"/>
    <n v="15330"/>
    <x v="8"/>
    <d v="2019-01-21T00:00:00"/>
    <x v="5"/>
    <n v="6899"/>
    <x v="64"/>
    <n v="19175"/>
    <d v="2019-01-29T00:00:00"/>
    <s v="002-4600-1688"/>
    <n v="4615488366"/>
    <d v="2019-02-11T00:00:00"/>
    <n v="3.7385000000000002"/>
    <n v="1"/>
    <n v="15330"/>
    <n v="1"/>
    <n v="7626.8656716417918"/>
    <n v="0.90456555772994118"/>
    <n v="1"/>
    <n v="19175"/>
    <n v="6763.7822038320437"/>
    <n v="0"/>
    <x v="311"/>
    <b v="1"/>
  </r>
  <r>
    <m/>
    <s v="CERRADO"/>
    <x v="368"/>
    <n v="7989"/>
    <x v="8"/>
    <d v="2019-01-21T00:00:00"/>
    <x v="5"/>
    <n v="3595"/>
    <x v="64"/>
    <n v="19175"/>
    <d v="2019-01-29T00:00:00"/>
    <s v="002-4600-1688"/>
    <n v="4615488366"/>
    <d v="2019-02-11T00:00:00"/>
    <n v="3.7385000000000002"/>
    <n v="1"/>
    <n v="18370"/>
    <n v="1"/>
    <n v="3974.626865671642"/>
    <n v="0.90444529123571027"/>
    <n v="1"/>
    <n v="19175"/>
    <n v="6763.7822038320437"/>
    <n v="0"/>
    <x v="312"/>
    <b v="1"/>
  </r>
  <r>
    <m/>
    <s v="CERRADO"/>
    <x v="368"/>
    <n v="10381"/>
    <x v="8"/>
    <d v="2019-01-21T00:00:00"/>
    <x v="5"/>
    <n v="4671"/>
    <x v="65"/>
    <n v="19175"/>
    <d v="2019-01-29T00:00:00"/>
    <s v="002-4600-1689"/>
    <n v="4615488366"/>
    <d v="2019-02-11T00:00:00"/>
    <n v="3.7385000000000002"/>
    <n v="1"/>
    <n v="18370"/>
    <n v="1"/>
    <n v="5164.6766169154234"/>
    <n v="0.90444529123571027"/>
    <n v="1"/>
    <n v="19175"/>
    <n v="6763.7822038320437"/>
    <n v="0"/>
    <x v="313"/>
    <b v="1"/>
  </r>
  <r>
    <m/>
    <s v="CERRADO"/>
    <x v="369"/>
    <n v="15780"/>
    <x v="8"/>
    <d v="2019-01-21T00:00:00"/>
    <x v="5"/>
    <n v="7101"/>
    <x v="65"/>
    <n v="19175"/>
    <d v="2019-01-29T00:00:00"/>
    <s v="002-4600-1689"/>
    <n v="4615488366"/>
    <d v="2019-02-11T00:00:00"/>
    <n v="3.7385000000000002"/>
    <n v="1"/>
    <n v="15780"/>
    <n v="1"/>
    <n v="7850.7462686567169"/>
    <n v="0.90449999999999997"/>
    <n v="1"/>
    <n v="19175"/>
    <n v="6763.7822038320437"/>
    <n v="0"/>
    <x v="2"/>
    <b v="1"/>
  </r>
  <r>
    <m/>
    <s v="CERRADO"/>
    <x v="370"/>
    <n v="15480"/>
    <x v="8"/>
    <d v="2019-01-21T00:00:00"/>
    <x v="5"/>
    <n v="6966"/>
    <x v="65"/>
    <n v="19175"/>
    <d v="2019-01-29T00:00:00"/>
    <s v="002-4600-1689"/>
    <n v="4615488366"/>
    <d v="2019-02-11T00:00:00"/>
    <n v="3.7385000000000002"/>
    <n v="1"/>
    <n v="15480"/>
    <n v="1"/>
    <n v="7701.4925373134338"/>
    <n v="0.90449999999999986"/>
    <n v="1"/>
    <n v="19175"/>
    <n v="6763.7822038320437"/>
    <n v="0"/>
    <x v="2"/>
    <b v="1"/>
  </r>
  <r>
    <m/>
    <s v="CERRADO"/>
    <x v="371"/>
    <n v="971"/>
    <x v="8"/>
    <d v="2019-01-21T00:00:00"/>
    <x v="5"/>
    <n v="437"/>
    <x v="65"/>
    <n v="19175"/>
    <d v="2019-01-29T00:00:00"/>
    <s v="002-4600-1689"/>
    <n v="4615488366"/>
    <d v="2019-02-11T00:00:00"/>
    <n v="3.7385000000000002"/>
    <n v="1"/>
    <n v="2936"/>
    <n v="1"/>
    <n v="483.08457711442793"/>
    <n v="0.90436307901907353"/>
    <n v="1"/>
    <n v="19175"/>
    <n v="6763.7822038320437"/>
    <n v="0"/>
    <x v="314"/>
    <b v="1"/>
  </r>
  <r>
    <m/>
    <s v="CERRADO"/>
    <x v="371"/>
    <n v="1965"/>
    <x v="8"/>
    <d v="2019-01-21T00:00:00"/>
    <x v="5"/>
    <n v="884"/>
    <x v="66"/>
    <n v="19175"/>
    <d v="2019-01-29T00:00:00"/>
    <s v="002-4600-1690"/>
    <n v="4615488366"/>
    <d v="2019-02-11T00:00:00"/>
    <n v="3.7385000000000002"/>
    <n v="1"/>
    <n v="2936"/>
    <n v="1"/>
    <n v="977.61194029850753"/>
    <n v="0.90436307901907353"/>
    <n v="1"/>
    <n v="19175"/>
    <n v="6763.7822038320437"/>
    <n v="0"/>
    <x v="315"/>
    <b v="1"/>
  </r>
  <r>
    <m/>
    <s v="CERRADO"/>
    <x v="372"/>
    <n v="4376"/>
    <x v="8"/>
    <d v="2019-01-21T00:00:00"/>
    <x v="5"/>
    <n v="2407"/>
    <x v="66"/>
    <n v="19175"/>
    <d v="2019-01-29T00:00:00"/>
    <s v="002-4600-1690"/>
    <n v="4615488366"/>
    <d v="2019-02-11T00:00:00"/>
    <n v="3.7385000000000002"/>
    <n v="1"/>
    <n v="4376"/>
    <n v="1"/>
    <n v="2177.1144278606967"/>
    <n v="1.1055918647166361"/>
    <n v="1"/>
    <n v="19175"/>
    <n v="6763.7822038320437"/>
    <n v="0"/>
    <x v="316"/>
    <b v="1"/>
  </r>
  <r>
    <m/>
    <s v="CERRADO"/>
    <x v="373"/>
    <n v="8700"/>
    <x v="8"/>
    <d v="2019-01-21T00:00:00"/>
    <x v="5"/>
    <n v="4785"/>
    <x v="66"/>
    <n v="19175"/>
    <d v="2019-01-29T00:00:00"/>
    <s v="002-4600-1690"/>
    <n v="4615488366"/>
    <d v="2019-02-11T00:00:00"/>
    <n v="3.7385000000000002"/>
    <n v="1"/>
    <n v="8700"/>
    <n v="1"/>
    <n v="4328.3582089552247"/>
    <n v="1.1054999999999997"/>
    <n v="1"/>
    <n v="19175"/>
    <n v="6763.7822038320437"/>
    <n v="0"/>
    <x v="6"/>
    <b v="1"/>
  </r>
  <r>
    <m/>
    <s v="CERRADO"/>
    <x v="374"/>
    <n v="8830"/>
    <x v="8"/>
    <d v="2019-01-21T00:00:00"/>
    <x v="5"/>
    <n v="4857"/>
    <x v="66"/>
    <n v="19175"/>
    <d v="2019-01-29T00:00:00"/>
    <s v="002-4600-1690"/>
    <n v="4615488366"/>
    <d v="2019-02-11T00:00:00"/>
    <n v="3.7385000000000002"/>
    <n v="1"/>
    <n v="8830"/>
    <n v="1"/>
    <n v="4393.0348258706472"/>
    <n v="1.1056138165345413"/>
    <n v="1"/>
    <n v="19175"/>
    <n v="6763.7822038320437"/>
    <n v="0"/>
    <x v="317"/>
    <b v="1"/>
  </r>
  <r>
    <m/>
    <s v="CERRADO"/>
    <x v="339"/>
    <n v="11349"/>
    <x v="8"/>
    <d v="2019-01-21T00:00:00"/>
    <x v="5"/>
    <n v="6242"/>
    <x v="66"/>
    <n v="19175"/>
    <d v="2019-01-29T00:00:00"/>
    <s v="002-4600-1690"/>
    <n v="4615488366"/>
    <d v="2019-02-11T00:00:00"/>
    <n v="3.7385000000000002"/>
    <n v="1"/>
    <n v="12940"/>
    <n v="1"/>
    <n v="5646.2686567164183"/>
    <n v="1.0914900082127723"/>
    <n v="1"/>
    <n v="19175"/>
    <n v="6763.7822038320437"/>
    <n v="0"/>
    <x v="318"/>
    <b v="1"/>
  </r>
  <r>
    <m/>
    <s v="CERRADO"/>
    <x v="375"/>
    <n v="3192"/>
    <x v="8"/>
    <d v="2019-01-21T00:00:00"/>
    <x v="5"/>
    <n v="1436"/>
    <x v="67"/>
    <n v="19175"/>
    <d v="2019-01-29T00:00:00"/>
    <s v="002-4600-1691"/>
    <n v="4615488366"/>
    <d v="2019-02-11T00:00:00"/>
    <n v="3.7385000000000002"/>
    <n v="1"/>
    <n v="17810"/>
    <n v="1"/>
    <n v="1588.0597014925374"/>
    <n v="0.90444357102751249"/>
    <n v="1"/>
    <n v="19175"/>
    <n v="6763.7822038320437"/>
    <n v="0"/>
    <x v="163"/>
    <b v="1"/>
  </r>
  <r>
    <m/>
    <s v="CERRADO"/>
    <x v="376"/>
    <n v="6428"/>
    <x v="8"/>
    <d v="2019-01-21T00:00:00"/>
    <x v="5"/>
    <n v="2893"/>
    <x v="67"/>
    <n v="19175"/>
    <d v="2019-01-29T00:00:00"/>
    <s v="002-4600-1691"/>
    <n v="4615488366"/>
    <d v="2019-02-11T00:00:00"/>
    <n v="3.7385000000000002"/>
    <n v="1"/>
    <n v="6428"/>
    <n v="1"/>
    <n v="3198.0099502487565"/>
    <n v="0.90462507778469192"/>
    <n v="1"/>
    <n v="19175"/>
    <n v="6763.7822038320437"/>
    <n v="0"/>
    <x v="319"/>
    <b v="1"/>
  </r>
  <r>
    <m/>
    <s v="CERRADO"/>
    <x v="377"/>
    <n v="15980"/>
    <x v="8"/>
    <d v="2019-01-21T00:00:00"/>
    <x v="5"/>
    <n v="8789"/>
    <x v="67"/>
    <n v="19175"/>
    <d v="2019-01-29T00:00:00"/>
    <s v="002-4600-1691"/>
    <n v="4615488366"/>
    <d v="2019-02-11T00:00:00"/>
    <n v="3.7385000000000002"/>
    <n v="1"/>
    <n v="15980"/>
    <n v="1"/>
    <n v="7950.2487562189062"/>
    <n v="1.1054999999999999"/>
    <n v="1"/>
    <n v="19175"/>
    <n v="6763.7822038320437"/>
    <n v="0"/>
    <x v="6"/>
    <b v="1"/>
  </r>
  <r>
    <m/>
    <s v="CERRADO"/>
    <x v="378"/>
    <n v="4968"/>
    <x v="8"/>
    <d v="2019-01-21T00:00:00"/>
    <x v="5"/>
    <n v="2732"/>
    <x v="67"/>
    <n v="19175"/>
    <d v="2019-01-29T00:00:00"/>
    <s v="002-4600-1691"/>
    <n v="4615488366"/>
    <d v="2019-02-11T00:00:00"/>
    <n v="3.7385000000000002"/>
    <n v="1"/>
    <n v="4968"/>
    <n v="1"/>
    <n v="2471.6417910447763"/>
    <n v="1.1053381642512077"/>
    <n v="1"/>
    <n v="19175"/>
    <n v="6763.7822038320437"/>
    <n v="0"/>
    <x v="320"/>
    <b v="1"/>
  </r>
  <r>
    <m/>
    <s v="CERRADO"/>
    <x v="379"/>
    <n v="1802"/>
    <x v="8"/>
    <d v="2019-01-21T00:00:00"/>
    <x v="5"/>
    <n v="811"/>
    <x v="67"/>
    <n v="19175"/>
    <d v="2019-01-29T00:00:00"/>
    <s v="002-4600-1691"/>
    <n v="4615488366"/>
    <d v="2019-02-11T00:00:00"/>
    <n v="3.7385000000000002"/>
    <n v="1"/>
    <n v="1802"/>
    <n v="1"/>
    <n v="896.51741293532348"/>
    <n v="0.90461154273029953"/>
    <n v="1"/>
    <n v="19175"/>
    <n v="6763.7822038320437"/>
    <n v="0"/>
    <x v="321"/>
    <b v="1"/>
  </r>
  <r>
    <m/>
    <s v="CERRADO"/>
    <x v="380"/>
    <n v="3002"/>
    <x v="8"/>
    <d v="2019-01-21T00:00:00"/>
    <x v="5"/>
    <n v="1651"/>
    <x v="67"/>
    <n v="19175"/>
    <d v="2019-01-29T00:00:00"/>
    <s v="002-4600-1691"/>
    <n v="4615488366"/>
    <d v="2019-02-11T00:00:00"/>
    <n v="3.7385000000000002"/>
    <n v="1"/>
    <n v="3002"/>
    <n v="1"/>
    <n v="1493.5323383084578"/>
    <n v="1.1054330446369087"/>
    <n v="1"/>
    <n v="19175"/>
    <n v="6763.7822038320437"/>
    <n v="0"/>
    <x v="322"/>
    <b v="1"/>
  </r>
  <r>
    <m/>
    <s v="CERRADO"/>
    <x v="381"/>
    <n v="1569"/>
    <x v="8"/>
    <d v="2019-01-21T00:00:00"/>
    <x v="5"/>
    <n v="863"/>
    <x v="67"/>
    <n v="19175"/>
    <d v="2019-01-29T00:00:00"/>
    <s v="002-4600-1691"/>
    <n v="4615488366"/>
    <d v="2019-02-11T00:00:00"/>
    <n v="3.7385000000000002"/>
    <n v="1"/>
    <n v="3000"/>
    <n v="1"/>
    <n v="780.59701492537317"/>
    <n v="1.1054999999999997"/>
    <n v="1"/>
    <n v="19175"/>
    <n v="6763.7822038320437"/>
    <n v="0"/>
    <x v="323"/>
    <b v="1"/>
  </r>
  <r>
    <m/>
    <s v="CERRADO"/>
    <x v="382"/>
    <n v="1487"/>
    <x v="8"/>
    <d v="2019-01-21T00:00:00"/>
    <x v="5"/>
    <n v="818"/>
    <x v="68"/>
    <n v="19175"/>
    <d v="2019-01-29T00:00:00"/>
    <s v="002-4600-1692"/>
    <n v="4615488366"/>
    <d v="2019-02-11T00:00:00"/>
    <n v="3.7385000000000002"/>
    <n v="1"/>
    <n v="11880"/>
    <n v="1"/>
    <n v="739.80099502487565"/>
    <n v="1.1054999999999997"/>
    <n v="1"/>
    <n v="19175"/>
    <n v="6763.7822038320437"/>
    <n v="0"/>
    <x v="324"/>
    <b v="1"/>
  </r>
  <r>
    <m/>
    <s v="CERRADO"/>
    <x v="383"/>
    <n v="15770"/>
    <x v="8"/>
    <d v="2019-01-21T00:00:00"/>
    <x v="5"/>
    <n v="8674"/>
    <x v="68"/>
    <n v="19175"/>
    <d v="2019-01-29T00:00:00"/>
    <s v="002-4600-1692"/>
    <n v="4615488366"/>
    <d v="2019-02-11T00:00:00"/>
    <n v="3.7385000000000002"/>
    <n v="1"/>
    <n v="15770"/>
    <n v="1"/>
    <n v="7845.7711442786076"/>
    <n v="1.1055637285986049"/>
    <n v="1"/>
    <n v="19175"/>
    <n v="6763.7822038320437"/>
    <n v="0"/>
    <x v="325"/>
    <b v="1"/>
  </r>
  <r>
    <m/>
    <s v="CERRADO"/>
    <x v="384"/>
    <n v="6900"/>
    <x v="8"/>
    <d v="2019-01-21T00:00:00"/>
    <x v="5"/>
    <n v="3105"/>
    <x v="68"/>
    <n v="19175"/>
    <d v="2019-01-29T00:00:00"/>
    <s v="002-4600-1692"/>
    <n v="4615488366"/>
    <d v="2019-02-11T00:00:00"/>
    <n v="3.7385000000000002"/>
    <n v="1"/>
    <n v="6900"/>
    <n v="1"/>
    <n v="3432.8358208955228"/>
    <n v="0.90449999999999986"/>
    <n v="1"/>
    <n v="19175"/>
    <n v="6763.7822038320437"/>
    <n v="0"/>
    <x v="2"/>
    <b v="1"/>
  </r>
  <r>
    <m/>
    <s v="CERRADO"/>
    <x v="375"/>
    <n v="14618"/>
    <x v="8"/>
    <d v="2019-01-21T00:00:00"/>
    <x v="5"/>
    <n v="6578"/>
    <x v="68"/>
    <n v="19175"/>
    <d v="2019-01-29T00:00:00"/>
    <s v="002-4600-1692"/>
    <n v="4615488366"/>
    <d v="2019-02-11T00:00:00"/>
    <n v="3.7385000000000002"/>
    <n v="1"/>
    <n v="17810"/>
    <n v="1"/>
    <n v="7272.6368159203985"/>
    <n v="0.90444357102751249"/>
    <n v="1"/>
    <n v="19175"/>
    <n v="6763.7822038320437"/>
    <n v="0"/>
    <x v="326"/>
    <b v="1"/>
  </r>
  <r>
    <m/>
    <s v="CERRADO"/>
    <x v="385"/>
    <n v="1429"/>
    <x v="8"/>
    <d v="2019-01-21T00:00:00"/>
    <x v="5"/>
    <n v="786"/>
    <x v="69"/>
    <n v="19175"/>
    <d v="2019-01-29T00:00:00"/>
    <s v="002-4600-1693"/>
    <n v="4615488366"/>
    <d v="2019-02-11T00:00:00"/>
    <n v="3.7385000000000002"/>
    <n v="1"/>
    <n v="3364"/>
    <n v="1"/>
    <n v="710.94527363184091"/>
    <n v="1.1053804994054695"/>
    <n v="1"/>
    <n v="19175"/>
    <n v="6763.7822038320437"/>
    <n v="0"/>
    <x v="258"/>
    <b v="1"/>
  </r>
  <r>
    <m/>
    <s v="CERRADO"/>
    <x v="386"/>
    <n v="5650"/>
    <x v="8"/>
    <d v="2019-01-21T00:00:00"/>
    <x v="5"/>
    <n v="3108"/>
    <x v="69"/>
    <n v="19175"/>
    <d v="2019-01-29T00:00:00"/>
    <s v="002-4600-1693"/>
    <n v="4615488366"/>
    <d v="2019-02-11T00:00:00"/>
    <n v="3.7385000000000002"/>
    <n v="1"/>
    <n v="5650"/>
    <n v="1"/>
    <n v="2810.9452736318412"/>
    <n v="1.1056778761061945"/>
    <n v="1"/>
    <n v="19175"/>
    <n v="6763.7822038320437"/>
    <n v="0"/>
    <x v="327"/>
    <b v="1"/>
  </r>
  <r>
    <m/>
    <s v="CERRADO"/>
    <x v="387"/>
    <n v="6607"/>
    <x v="8"/>
    <d v="2019-01-21T00:00:00"/>
    <x v="5"/>
    <n v="2973"/>
    <x v="69"/>
    <n v="19175"/>
    <d v="2019-01-29T00:00:00"/>
    <s v="002-4600-1693"/>
    <n v="4615488366"/>
    <d v="2019-02-11T00:00:00"/>
    <n v="3.7385000000000002"/>
    <n v="1"/>
    <n v="6607"/>
    <n v="1"/>
    <n v="3287.0646766169157"/>
    <n v="0.90445436658089895"/>
    <n v="1"/>
    <n v="19175"/>
    <n v="6763.7822038320437"/>
    <n v="0"/>
    <x v="328"/>
    <b v="1"/>
  </r>
  <r>
    <m/>
    <s v="CERRADO"/>
    <x v="388"/>
    <n v="11986"/>
    <x v="8"/>
    <d v="2019-01-21T00:00:00"/>
    <x v="5"/>
    <n v="6592"/>
    <x v="69"/>
    <n v="19175"/>
    <d v="2019-01-29T00:00:00"/>
    <s v="002-4600-1693"/>
    <n v="4615488366"/>
    <d v="2019-02-11T00:00:00"/>
    <n v="3.7385000000000002"/>
    <n v="1"/>
    <n v="11986"/>
    <n v="1"/>
    <n v="5963.1840796019906"/>
    <n v="1.1054496913065242"/>
    <n v="1"/>
    <n v="19175"/>
    <n v="6763.7822038320437"/>
    <n v="0"/>
    <x v="329"/>
    <b v="1"/>
  </r>
  <r>
    <m/>
    <s v="CERRADO"/>
    <x v="382"/>
    <n v="10393"/>
    <x v="8"/>
    <d v="2019-01-21T00:00:00"/>
    <x v="5"/>
    <n v="5716"/>
    <x v="69"/>
    <n v="19175"/>
    <d v="2019-01-29T00:00:00"/>
    <s v="002-4600-1693"/>
    <n v="4615488366"/>
    <d v="2019-02-11T00:00:00"/>
    <n v="3.7385000000000002"/>
    <n v="1"/>
    <n v="11880"/>
    <n v="1"/>
    <n v="5170.6467661691549"/>
    <n v="1.1054999999999997"/>
    <n v="1"/>
    <n v="19175"/>
    <n v="6763.7822038320437"/>
    <n v="0"/>
    <x v="330"/>
    <b v="1"/>
  </r>
  <r>
    <m/>
    <s v="CERRADO"/>
    <x v="389"/>
    <n v="41"/>
    <x v="8"/>
    <d v="2019-01-21T00:00:00"/>
    <x v="5"/>
    <n v="18"/>
    <x v="70"/>
    <n v="19175"/>
    <d v="2019-01-29T00:00:00"/>
    <s v="002-4600-1694"/>
    <n v="4615488366"/>
    <d v="2019-02-11T00:00:00"/>
    <n v="3.7385000000000002"/>
    <n v="1"/>
    <n v="11930"/>
    <n v="1"/>
    <n v="20.39800995024876"/>
    <n v="0.90441575859178536"/>
    <n v="1"/>
    <n v="19175"/>
    <n v="6763.7822038320437"/>
    <n v="0"/>
    <x v="331"/>
    <b v="1"/>
  </r>
  <r>
    <m/>
    <s v="CERRADO"/>
    <x v="390"/>
    <n v="239"/>
    <x v="8"/>
    <d v="2019-01-21T00:00:00"/>
    <x v="5"/>
    <n v="131"/>
    <x v="70"/>
    <n v="19175"/>
    <d v="2019-01-29T00:00:00"/>
    <s v="002-4600-1694"/>
    <n v="4615488366"/>
    <d v="2019-02-11T00:00:00"/>
    <n v="3.7385000000000002"/>
    <n v="1"/>
    <n v="239"/>
    <n v="1"/>
    <n v="118.90547263681593"/>
    <n v="1.1017154811715479"/>
    <n v="1"/>
    <n v="19175"/>
    <n v="6763.7822038320437"/>
    <n v="0"/>
    <x v="332"/>
    <b v="1"/>
  </r>
  <r>
    <m/>
    <s v="CERRADO"/>
    <x v="391"/>
    <n v="10960"/>
    <x v="8"/>
    <d v="2019-01-21T00:00:00"/>
    <x v="5"/>
    <n v="4932"/>
    <x v="70"/>
    <n v="19175"/>
    <d v="2019-01-29T00:00:00"/>
    <s v="002-4600-1694"/>
    <n v="4615488366"/>
    <d v="2019-02-11T00:00:00"/>
    <n v="3.7385000000000002"/>
    <n v="1"/>
    <n v="10960"/>
    <n v="1"/>
    <n v="5452.7363184079604"/>
    <n v="0.90449999999999997"/>
    <n v="1"/>
    <n v="19175"/>
    <n v="6763.7822038320437"/>
    <n v="0"/>
    <x v="2"/>
    <b v="1"/>
  </r>
  <r>
    <m/>
    <s v="CERRADO"/>
    <x v="392"/>
    <n v="6650"/>
    <x v="8"/>
    <d v="2019-01-21T00:00:00"/>
    <x v="5"/>
    <n v="2993"/>
    <x v="70"/>
    <n v="19175"/>
    <d v="2019-01-29T00:00:00"/>
    <s v="002-4600-1694"/>
    <n v="4615488366"/>
    <d v="2019-02-11T00:00:00"/>
    <n v="3.7385000000000002"/>
    <n v="1"/>
    <n v="6650"/>
    <n v="1"/>
    <n v="3308.4577114427866"/>
    <n v="0.90465112781954871"/>
    <n v="1"/>
    <n v="19175"/>
    <n v="6763.7822038320437"/>
    <n v="0"/>
    <x v="333"/>
    <b v="1"/>
  </r>
  <r>
    <m/>
    <s v="CERRADO"/>
    <x v="393"/>
    <n v="7563"/>
    <x v="8"/>
    <d v="2019-01-21T00:00:00"/>
    <x v="5"/>
    <n v="3403"/>
    <x v="70"/>
    <n v="19175"/>
    <d v="2019-01-29T00:00:00"/>
    <s v="002-4600-1694"/>
    <n v="4615488366"/>
    <d v="2019-02-11T00:00:00"/>
    <n v="3.7385000000000002"/>
    <n v="1"/>
    <n v="7563"/>
    <n v="1"/>
    <n v="3762.6865671641795"/>
    <n v="0.90440698135660447"/>
    <n v="1"/>
    <n v="19175"/>
    <n v="6763.7822038320437"/>
    <n v="0"/>
    <x v="334"/>
    <b v="1"/>
  </r>
  <r>
    <m/>
    <s v="CERRADO"/>
    <x v="394"/>
    <n v="1990"/>
    <x v="8"/>
    <d v="2019-01-21T00:00:00"/>
    <x v="5"/>
    <n v="1095"/>
    <x v="70"/>
    <n v="19175"/>
    <d v="2019-01-29T00:00:00"/>
    <s v="002-4600-1694"/>
    <n v="4615488366"/>
    <d v="2019-02-11T00:00:00"/>
    <n v="3.7385000000000002"/>
    <n v="1"/>
    <n v="1990"/>
    <n v="1"/>
    <n v="990.0497512437812"/>
    <n v="1.1060050251256279"/>
    <n v="1"/>
    <n v="19175"/>
    <n v="6763.7822038320437"/>
    <n v="0"/>
    <x v="335"/>
    <b v="1"/>
  </r>
  <r>
    <m/>
    <s v="CERRADO"/>
    <x v="395"/>
    <n v="8240"/>
    <x v="8"/>
    <d v="2019-01-21T00:00:00"/>
    <x v="5"/>
    <n v="4532"/>
    <x v="70"/>
    <n v="19175"/>
    <d v="2019-01-29T00:00:00"/>
    <s v="002-4600-1694"/>
    <n v="4615488366"/>
    <d v="2019-02-11T00:00:00"/>
    <n v="3.7385000000000002"/>
    <n v="1"/>
    <n v="8240"/>
    <n v="1"/>
    <n v="4099.5024875621893"/>
    <n v="1.1054999999999999"/>
    <n v="1"/>
    <n v="19175"/>
    <n v="6763.7822038320437"/>
    <n v="0"/>
    <x v="6"/>
    <b v="1"/>
  </r>
  <r>
    <m/>
    <s v="CERRADO"/>
    <x v="396"/>
    <n v="3765"/>
    <x v="8"/>
    <d v="2019-01-21T00:00:00"/>
    <x v="5"/>
    <n v="2071"/>
    <x v="70"/>
    <n v="19175"/>
    <d v="2019-01-29T00:00:00"/>
    <s v="002-4600-1694"/>
    <n v="4615488366"/>
    <d v="2019-02-11T00:00:00"/>
    <n v="3.7385000000000002"/>
    <n v="1"/>
    <n v="10100"/>
    <n v="1"/>
    <n v="1873.1343283582091"/>
    <n v="1.1054999999999999"/>
    <n v="1"/>
    <n v="19175"/>
    <n v="6763.7822038320437"/>
    <n v="0"/>
    <x v="336"/>
    <b v="1"/>
  </r>
  <r>
    <m/>
    <s v="CERRADO"/>
    <x v="326"/>
    <n v="2060"/>
    <x v="8"/>
    <d v="2019-01-21T00:00:00"/>
    <x v="5"/>
    <n v="1133"/>
    <x v="71"/>
    <n v="19175"/>
    <d v="2019-01-29T00:00:00"/>
    <s v="002-4600-1695"/>
    <n v="4615488366"/>
    <d v="2019-02-11T00:00:00"/>
    <n v="3.7385000000000002"/>
    <n v="1"/>
    <n v="10612"/>
    <n v="1"/>
    <n v="1024.8756218905473"/>
    <n v="1.113327893696628"/>
    <n v="1"/>
    <n v="19175"/>
    <n v="6763.7822038320437"/>
    <n v="0"/>
    <x v="6"/>
    <b v="1"/>
  </r>
  <r>
    <m/>
    <s v="CERRADO"/>
    <x v="326"/>
    <n v="1052"/>
    <x v="8"/>
    <d v="2019-01-21T00:00:00"/>
    <x v="5"/>
    <n v="579"/>
    <x v="71"/>
    <n v="19175"/>
    <d v="2019-01-29T00:00:00"/>
    <s v="002-4600-1695"/>
    <n v="4615488366"/>
    <d v="2019-02-11T00:00:00"/>
    <n v="3.7385000000000002"/>
    <n v="1"/>
    <n v="10612"/>
    <n v="1"/>
    <n v="523.38308457711446"/>
    <n v="1.113327893696628"/>
    <n v="1"/>
    <n v="19175"/>
    <n v="6763.7822038320437"/>
    <n v="0"/>
    <x v="337"/>
    <b v="1"/>
  </r>
  <r>
    <m/>
    <s v="CERRADO"/>
    <x v="397"/>
    <n v="8820"/>
    <x v="8"/>
    <d v="2019-01-21T00:00:00"/>
    <x v="5"/>
    <n v="3969"/>
    <x v="71"/>
    <n v="19175"/>
    <d v="2019-01-29T00:00:00"/>
    <s v="002-4600-1695"/>
    <n v="4615488366"/>
    <d v="2019-02-11T00:00:00"/>
    <n v="3.7385000000000002"/>
    <n v="1"/>
    <n v="8820"/>
    <n v="1"/>
    <n v="4388.0597014925379"/>
    <n v="0.90449999999999986"/>
    <n v="1"/>
    <n v="19175"/>
    <n v="6763.7822038320437"/>
    <n v="0"/>
    <x v="2"/>
    <b v="1"/>
  </r>
  <r>
    <m/>
    <s v="CERRADO"/>
    <x v="398"/>
    <n v="180"/>
    <x v="8"/>
    <d v="2019-01-21T00:00:00"/>
    <x v="5"/>
    <n v="81"/>
    <x v="71"/>
    <n v="19175"/>
    <d v="2019-01-29T00:00:00"/>
    <s v="002-4600-1695"/>
    <n v="4615488366"/>
    <d v="2019-02-11T00:00:00"/>
    <n v="3.7385000000000002"/>
    <n v="1"/>
    <n v="180"/>
    <n v="1"/>
    <n v="89.552238805970163"/>
    <n v="0.90449999999999986"/>
    <n v="1"/>
    <n v="19175"/>
    <n v="6763.7822038320437"/>
    <n v="0"/>
    <x v="2"/>
    <b v="1"/>
  </r>
  <r>
    <m/>
    <s v="CERRADO"/>
    <x v="399"/>
    <n v="1498"/>
    <x v="8"/>
    <d v="2019-01-21T00:00:00"/>
    <x v="5"/>
    <n v="674"/>
    <x v="71"/>
    <n v="19175"/>
    <d v="2019-01-29T00:00:00"/>
    <s v="002-4600-1695"/>
    <n v="4615488366"/>
    <d v="2019-02-11T00:00:00"/>
    <n v="3.7385000000000002"/>
    <n v="1"/>
    <n v="1498"/>
    <n v="1"/>
    <n v="745.27363184079604"/>
    <n v="0.90436582109479302"/>
    <n v="1"/>
    <n v="19175"/>
    <n v="6763.7822038320437"/>
    <n v="0"/>
    <x v="338"/>
    <b v="1"/>
  </r>
  <r>
    <m/>
    <s v="CERRADO"/>
    <x v="400"/>
    <n v="3420"/>
    <x v="8"/>
    <d v="2019-01-21T00:00:00"/>
    <x v="5"/>
    <n v="1539"/>
    <x v="71"/>
    <n v="19175"/>
    <d v="2019-01-29T00:00:00"/>
    <s v="002-4600-1695"/>
    <n v="4615488366"/>
    <d v="2019-02-11T00:00:00"/>
    <n v="3.7385000000000002"/>
    <n v="1"/>
    <n v="3420"/>
    <n v="1"/>
    <n v="1701.4925373134331"/>
    <n v="0.90449999999999986"/>
    <n v="1"/>
    <n v="19175"/>
    <n v="6763.7822038320437"/>
    <n v="0"/>
    <x v="2"/>
    <b v="1"/>
  </r>
  <r>
    <m/>
    <s v="CERRADO"/>
    <x v="401"/>
    <n v="1780"/>
    <x v="8"/>
    <d v="2019-01-21T00:00:00"/>
    <x v="5"/>
    <n v="801"/>
    <x v="71"/>
    <n v="19175"/>
    <d v="2019-01-29T00:00:00"/>
    <s v="002-4600-1695"/>
    <n v="4615488366"/>
    <d v="2019-02-11T00:00:00"/>
    <n v="3.7385000000000002"/>
    <n v="1"/>
    <n v="1780"/>
    <n v="1"/>
    <n v="885.57213930348269"/>
    <n v="0.90449999999999986"/>
    <n v="1"/>
    <n v="19175"/>
    <n v="6763.7822038320437"/>
    <n v="0"/>
    <x v="2"/>
    <b v="1"/>
  </r>
  <r>
    <m/>
    <s v="CERRADO"/>
    <x v="402"/>
    <n v="299"/>
    <x v="8"/>
    <d v="2019-01-21T00:00:00"/>
    <x v="5"/>
    <n v="164"/>
    <x v="71"/>
    <n v="19175"/>
    <d v="2019-01-29T00:00:00"/>
    <s v="002-4600-1695"/>
    <n v="4615488366"/>
    <d v="2019-02-11T00:00:00"/>
    <n v="3.7385000000000002"/>
    <n v="1"/>
    <n v="299"/>
    <n v="1"/>
    <n v="148.75621890547265"/>
    <n v="1.1024749163879597"/>
    <n v="1"/>
    <n v="19175"/>
    <n v="6763.7822038320437"/>
    <n v="0"/>
    <x v="339"/>
    <b v="1"/>
  </r>
  <r>
    <m/>
    <s v="CERRADO"/>
    <x v="403"/>
    <n v="12729"/>
    <x v="8"/>
    <d v="2019-01-21T00:00:00"/>
    <x v="5"/>
    <n v="5728"/>
    <x v="71"/>
    <n v="19175"/>
    <d v="2019-01-29T00:00:00"/>
    <s v="002-4600-1695"/>
    <n v="4615488366"/>
    <d v="2019-02-11T00:00:00"/>
    <n v="3.7385000000000002"/>
    <n v="1"/>
    <n v="12729"/>
    <n v="1"/>
    <n v="6332.8358208955233"/>
    <n v="0.90449210464294116"/>
    <n v="1"/>
    <n v="19175"/>
    <n v="6763.7822038320437"/>
    <n v="0"/>
    <x v="340"/>
    <b v="1"/>
  </r>
  <r>
    <m/>
    <s v="CERRADO"/>
    <x v="404"/>
    <n v="7650"/>
    <x v="8"/>
    <d v="2019-01-21T00:00:00"/>
    <x v="5"/>
    <n v="3443"/>
    <x v="71"/>
    <n v="19175"/>
    <d v="2019-01-29T00:00:00"/>
    <s v="002-4600-1695"/>
    <n v="4615488366"/>
    <d v="2019-02-11T00:00:00"/>
    <n v="3.7385000000000002"/>
    <n v="1"/>
    <n v="7650"/>
    <n v="1"/>
    <n v="3805.970149253732"/>
    <n v="0.90463137254901949"/>
    <n v="1"/>
    <n v="19175"/>
    <n v="6763.7822038320437"/>
    <n v="0"/>
    <x v="341"/>
    <b v="1"/>
  </r>
  <r>
    <m/>
    <s v="CERRADO"/>
    <x v="385"/>
    <n v="1935"/>
    <x v="8"/>
    <d v="2019-01-21T00:00:00"/>
    <x v="5"/>
    <n v="1064"/>
    <x v="71"/>
    <n v="19175"/>
    <d v="2019-01-29T00:00:00"/>
    <s v="002-4600-1695"/>
    <n v="4615488366"/>
    <d v="2019-02-11T00:00:00"/>
    <n v="3.7385000000000002"/>
    <n v="1"/>
    <n v="3364"/>
    <n v="1"/>
    <n v="962.68656716417922"/>
    <n v="1.1053804994054695"/>
    <n v="1"/>
    <n v="19175"/>
    <n v="6763.7822038320437"/>
    <n v="0"/>
    <x v="342"/>
    <b v="1"/>
  </r>
  <r>
    <m/>
    <s v="CERRADO"/>
    <x v="381"/>
    <n v="1431"/>
    <x v="8"/>
    <d v="2019-01-21T00:00:00"/>
    <x v="5"/>
    <n v="787"/>
    <x v="72"/>
    <n v="19175"/>
    <d v="2019-01-29T00:00:00"/>
    <s v="002-4600-1696"/>
    <n v="4615488366"/>
    <d v="2019-02-11T00:00:00"/>
    <n v="3.7385000000000002"/>
    <n v="1"/>
    <n v="3000"/>
    <n v="1"/>
    <n v="711.94029850746278"/>
    <n v="1.1054999999999997"/>
    <n v="1"/>
    <n v="19175"/>
    <n v="6763.7822038320437"/>
    <n v="0"/>
    <x v="343"/>
    <b v="1"/>
  </r>
  <r>
    <m/>
    <s v="CERRADO"/>
    <x v="405"/>
    <n v="3542"/>
    <x v="8"/>
    <d v="2019-01-21T00:00:00"/>
    <x v="5"/>
    <n v="1594"/>
    <x v="72"/>
    <n v="19175"/>
    <d v="2019-01-29T00:00:00"/>
    <s v="002-4600-1696"/>
    <n v="4615488366"/>
    <d v="2019-02-11T00:00:00"/>
    <n v="3.7385000000000002"/>
    <n v="1"/>
    <n v="3542"/>
    <n v="1"/>
    <n v="1762.1890547263683"/>
    <n v="0.90455674760022575"/>
    <n v="1"/>
    <n v="19175"/>
    <n v="6763.7822038320437"/>
    <n v="0"/>
    <x v="344"/>
    <b v="1"/>
  </r>
  <r>
    <m/>
    <s v="CERRADO"/>
    <x v="406"/>
    <n v="1198"/>
    <x v="8"/>
    <d v="2019-01-21T00:00:00"/>
    <x v="5"/>
    <n v="659"/>
    <x v="72"/>
    <n v="19175"/>
    <d v="2019-01-29T00:00:00"/>
    <s v="002-4600-1696"/>
    <n v="4615488366"/>
    <d v="2019-02-11T00:00:00"/>
    <n v="3.7385000000000002"/>
    <n v="1"/>
    <n v="1198"/>
    <n v="1"/>
    <n v="596.01990049751248"/>
    <n v="1.1056677796327212"/>
    <n v="1"/>
    <n v="19175"/>
    <n v="6763.7822038320437"/>
    <n v="0"/>
    <x v="13"/>
    <b v="1"/>
  </r>
  <r>
    <m/>
    <s v="CERRADO"/>
    <x v="407"/>
    <n v="181"/>
    <x v="8"/>
    <d v="2019-01-21T00:00:00"/>
    <x v="5"/>
    <n v="100"/>
    <x v="72"/>
    <n v="19175"/>
    <d v="2019-01-29T00:00:00"/>
    <s v="002-4600-1696"/>
    <n v="4615488366"/>
    <d v="2019-02-11T00:00:00"/>
    <n v="3.7385000000000002"/>
    <n v="1"/>
    <n v="181"/>
    <n v="1"/>
    <n v="90.049751243781103"/>
    <n v="1.1104972375690607"/>
    <n v="1"/>
    <n v="19175"/>
    <n v="6763.7822038320437"/>
    <n v="0"/>
    <x v="345"/>
    <b v="1"/>
  </r>
  <r>
    <m/>
    <s v="CERRADO"/>
    <x v="408"/>
    <n v="5995"/>
    <x v="8"/>
    <d v="2019-01-21T00:00:00"/>
    <x v="5"/>
    <n v="2698"/>
    <x v="72"/>
    <n v="19175"/>
    <d v="2019-01-29T00:00:00"/>
    <s v="002-4600-1696"/>
    <n v="4615488366"/>
    <d v="2019-02-11T00:00:00"/>
    <n v="3.7385000000000002"/>
    <n v="1"/>
    <n v="5995"/>
    <n v="1"/>
    <n v="2982.587064676617"/>
    <n v="0.9045838198498749"/>
    <n v="1"/>
    <n v="19175"/>
    <n v="6763.7822038320437"/>
    <n v="0"/>
    <x v="346"/>
    <b v="1"/>
  </r>
  <r>
    <m/>
    <s v="CERRADO"/>
    <x v="409"/>
    <n v="3717"/>
    <x v="8"/>
    <d v="2019-01-21T00:00:00"/>
    <x v="5"/>
    <n v="1673"/>
    <x v="72"/>
    <n v="19175"/>
    <d v="2019-01-29T00:00:00"/>
    <s v="002-4600-1696"/>
    <n v="4615488366"/>
    <d v="2019-02-11T00:00:00"/>
    <n v="3.7385000000000002"/>
    <n v="1"/>
    <n v="3717"/>
    <n v="1"/>
    <n v="1849.2537313432838"/>
    <n v="0.90468926553672302"/>
    <n v="1"/>
    <n v="19175"/>
    <n v="6763.7822038320437"/>
    <n v="0"/>
    <x v="347"/>
    <b v="1"/>
  </r>
  <r>
    <m/>
    <s v="CERRADO"/>
    <x v="410"/>
    <n v="301"/>
    <x v="8"/>
    <d v="2019-01-21T00:00:00"/>
    <x v="5"/>
    <n v="166"/>
    <x v="72"/>
    <n v="19175"/>
    <d v="2019-01-29T00:00:00"/>
    <s v="002-4600-1696"/>
    <n v="4615488366"/>
    <d v="2019-02-11T00:00:00"/>
    <n v="3.7385000000000002"/>
    <n v="1"/>
    <n v="301"/>
    <n v="1"/>
    <n v="149.75124378109453"/>
    <n v="1.1085049833887044"/>
    <n v="1"/>
    <n v="19175"/>
    <n v="6763.7822038320437"/>
    <n v="0"/>
    <x v="95"/>
    <b v="1"/>
  </r>
  <r>
    <m/>
    <s v="CERRADO"/>
    <x v="411"/>
    <n v="6244"/>
    <x v="8"/>
    <d v="2019-01-21T00:00:00"/>
    <x v="5"/>
    <n v="2810"/>
    <x v="72"/>
    <n v="19175"/>
    <d v="2019-01-29T00:00:00"/>
    <s v="002-4600-1696"/>
    <n v="4615488366"/>
    <d v="2019-02-11T00:00:00"/>
    <n v="3.7385000000000002"/>
    <n v="1"/>
    <n v="6244"/>
    <n v="1"/>
    <n v="3106.4676616915426"/>
    <n v="0.9045643818065342"/>
    <n v="1"/>
    <n v="19175"/>
    <n v="6763.7822038320437"/>
    <n v="0"/>
    <x v="348"/>
    <b v="1"/>
  </r>
  <r>
    <m/>
    <s v="CERRADO"/>
    <x v="412"/>
    <n v="6069"/>
    <x v="8"/>
    <d v="2019-01-21T00:00:00"/>
    <x v="5"/>
    <n v="3338"/>
    <x v="72"/>
    <n v="19175"/>
    <d v="2019-01-29T00:00:00"/>
    <s v="002-4600-1696"/>
    <n v="4615488366"/>
    <d v="2019-02-11T00:00:00"/>
    <n v="3.7385000000000002"/>
    <n v="1"/>
    <n v="6069"/>
    <n v="1"/>
    <n v="3019.4029850746274"/>
    <n v="1.1055165595650023"/>
    <n v="1"/>
    <n v="19175"/>
    <n v="6763.7822038320437"/>
    <n v="0"/>
    <x v="349"/>
    <b v="1"/>
  </r>
  <r>
    <m/>
    <s v="CERRADO"/>
    <x v="389"/>
    <n v="11889"/>
    <x v="8"/>
    <d v="2019-01-21T00:00:00"/>
    <x v="5"/>
    <n v="5350"/>
    <x v="72"/>
    <n v="19175"/>
    <d v="2019-01-29T00:00:00"/>
    <s v="002-4600-1696"/>
    <n v="4615488366"/>
    <d v="2019-02-11T00:00:00"/>
    <n v="3.7385000000000002"/>
    <n v="1"/>
    <n v="11930"/>
    <n v="1"/>
    <n v="5914.9253731343288"/>
    <n v="0.90441575859178536"/>
    <n v="1"/>
    <n v="19175"/>
    <n v="6763.7822038320437"/>
    <n v="0"/>
    <x v="350"/>
    <b v="1"/>
  </r>
  <r>
    <m/>
    <s v="CERRADO"/>
    <x v="396"/>
    <n v="6335"/>
    <x v="8"/>
    <d v="2019-01-21T00:00:00"/>
    <x v="5"/>
    <n v="3484"/>
    <x v="73"/>
    <n v="19175"/>
    <d v="2019-01-29T00:00:00"/>
    <s v="002-4600-1697"/>
    <n v="4615488366"/>
    <d v="2019-02-11T00:00:00"/>
    <n v="3.7385000000000002"/>
    <n v="1"/>
    <n v="10100"/>
    <n v="1"/>
    <n v="3151.7412935323387"/>
    <n v="1.1054999999999999"/>
    <n v="1"/>
    <n v="19175"/>
    <n v="6763.7822038320437"/>
    <n v="0"/>
    <x v="351"/>
    <b v="1"/>
  </r>
  <r>
    <m/>
    <s v="CERRADO"/>
    <x v="413"/>
    <n v="12770"/>
    <x v="8"/>
    <d v="2019-01-21T00:00:00"/>
    <x v="5"/>
    <n v="5747"/>
    <x v="73"/>
    <n v="19175"/>
    <d v="2019-01-29T00:00:00"/>
    <s v="002-4600-1697"/>
    <n v="4615488366"/>
    <d v="2019-02-11T00:00:00"/>
    <n v="3.7385000000000002"/>
    <n v="1"/>
    <n v="12770"/>
    <n v="1"/>
    <n v="6353.233830845772"/>
    <n v="0.90457870007830843"/>
    <n v="1"/>
    <n v="19175"/>
    <n v="6763.7822038320437"/>
    <n v="0"/>
    <x v="352"/>
    <b v="1"/>
  </r>
  <r>
    <m/>
    <s v="CERRADO"/>
    <x v="414"/>
    <n v="11360"/>
    <x v="8"/>
    <d v="2019-01-21T00:00:00"/>
    <x v="5"/>
    <n v="5112"/>
    <x v="73"/>
    <n v="19175"/>
    <d v="2019-01-29T00:00:00"/>
    <s v="002-4600-1697"/>
    <n v="4615488366"/>
    <d v="2019-02-11T00:00:00"/>
    <n v="3.7385000000000002"/>
    <n v="1"/>
    <n v="11360"/>
    <n v="1"/>
    <n v="5651.7412935323391"/>
    <n v="0.90449999999999986"/>
    <n v="1"/>
    <n v="19175"/>
    <n v="6763.7822038320437"/>
    <n v="0"/>
    <x v="2"/>
    <b v="1"/>
  </r>
  <r>
    <m/>
    <s v="CERRADO"/>
    <x v="415"/>
    <n v="3860"/>
    <x v="8"/>
    <d v="2019-01-21T00:00:00"/>
    <x v="5"/>
    <n v="1737"/>
    <x v="73"/>
    <n v="19175"/>
    <d v="2019-01-29T00:00:00"/>
    <s v="002-4600-1697"/>
    <n v="4615488366"/>
    <d v="2019-02-11T00:00:00"/>
    <n v="3.7385000000000002"/>
    <n v="1"/>
    <n v="3860"/>
    <n v="1"/>
    <n v="1920.3980099502489"/>
    <n v="0.90449999999999997"/>
    <n v="1"/>
    <n v="19175"/>
    <n v="6763.7822038320437"/>
    <n v="0"/>
    <x v="2"/>
    <b v="1"/>
  </r>
  <r>
    <m/>
    <s v="CERRADO"/>
    <x v="362"/>
    <n v="6878"/>
    <x v="8"/>
    <d v="2019-01-21T00:00:00"/>
    <x v="5"/>
    <n v="3095"/>
    <x v="73"/>
    <n v="19175"/>
    <d v="2019-01-29T00:00:00"/>
    <s v="002-4600-1697"/>
    <n v="4615488366"/>
    <d v="2019-02-11T00:00:00"/>
    <n v="3.7385000000000002"/>
    <n v="1"/>
    <n v="11320"/>
    <n v="1"/>
    <n v="3421.890547263682"/>
    <n v="0.90449999999999986"/>
    <n v="1"/>
    <n v="19175"/>
    <n v="6763.7822038320437"/>
    <n v="0"/>
    <x v="353"/>
    <b v="1"/>
  </r>
  <r>
    <m/>
    <s v="CERRADO"/>
    <x v="416"/>
    <n v="905"/>
    <x v="9"/>
    <d v="2019-02-11T00:00:00"/>
    <x v="3"/>
    <n v="498"/>
    <x v="74"/>
    <n v="19175"/>
    <d v="2019-02-18T00:00:00"/>
    <s v="002-4600-1708"/>
    <n v="4615506161"/>
    <d v="2019-03-01T00:00:00"/>
    <n v="3.7826"/>
    <n v="1"/>
    <n v="13400"/>
    <n v="1"/>
    <n v="448.019801980198"/>
    <n v="1.111"/>
    <n v="1"/>
    <n v="19175"/>
    <n v="6763.7822038320437"/>
    <n v="0"/>
    <x v="354"/>
    <b v="1"/>
  </r>
  <r>
    <m/>
    <s v="CERRADO"/>
    <x v="417"/>
    <n v="16970"/>
    <x v="9"/>
    <d v="2019-02-11T00:00:00"/>
    <x v="3"/>
    <n v="9334"/>
    <x v="74"/>
    <n v="19175"/>
    <d v="2019-02-18T00:00:00"/>
    <s v="002-4600-1708"/>
    <n v="4615506161"/>
    <d v="2019-03-01T00:00:00"/>
    <n v="3.7826"/>
    <n v="1"/>
    <n v="16970"/>
    <n v="1"/>
    <n v="8400.9900990099013"/>
    <n v="1.1110595167943429"/>
    <n v="1"/>
    <n v="19175"/>
    <n v="6763.7822038320437"/>
    <n v="0"/>
    <x v="355"/>
    <b v="1"/>
  </r>
  <r>
    <m/>
    <s v="CERRADO"/>
    <x v="418"/>
    <n v="2923"/>
    <x v="9"/>
    <d v="2019-02-11T00:00:00"/>
    <x v="3"/>
    <n v="1315"/>
    <x v="74"/>
    <n v="19175"/>
    <d v="2019-02-18T00:00:00"/>
    <s v="002-4600-1708"/>
    <n v="4615506161"/>
    <d v="2019-03-01T00:00:00"/>
    <n v="3.7826"/>
    <n v="1"/>
    <n v="2923"/>
    <n v="1"/>
    <n v="1447.029702970297"/>
    <n v="0.90875812521382149"/>
    <n v="1"/>
    <n v="19175"/>
    <n v="6763.7822038320437"/>
    <n v="0"/>
    <x v="356"/>
    <b v="1"/>
  </r>
  <r>
    <m/>
    <s v="CERRADO"/>
    <x v="419"/>
    <n v="6008"/>
    <x v="9"/>
    <d v="2019-02-11T00:00:00"/>
    <x v="3"/>
    <n v="2704"/>
    <x v="74"/>
    <n v="19175"/>
    <d v="2019-02-18T00:00:00"/>
    <s v="002-4600-1708"/>
    <n v="4615506161"/>
    <d v="2019-03-01T00:00:00"/>
    <n v="3.7826"/>
    <n v="1"/>
    <n v="6008"/>
    <n v="1"/>
    <n v="2974.257425742574"/>
    <n v="0.90913448735019986"/>
    <n v="1"/>
    <n v="19175"/>
    <n v="6763.7822038320437"/>
    <n v="0"/>
    <x v="174"/>
    <b v="1"/>
  </r>
  <r>
    <m/>
    <s v="CERRADO"/>
    <x v="420"/>
    <n v="1314"/>
    <x v="9"/>
    <d v="2019-02-11T00:00:00"/>
    <x v="3"/>
    <n v="723"/>
    <x v="74"/>
    <n v="19175"/>
    <d v="2019-02-18T00:00:00"/>
    <s v="002-4600-1708"/>
    <n v="4615506161"/>
    <d v="2019-03-01T00:00:00"/>
    <n v="3.7826"/>
    <n v="1"/>
    <n v="1314"/>
    <n v="1"/>
    <n v="650.49504950495054"/>
    <n v="1.1114611872146118"/>
    <n v="1"/>
    <n v="19175"/>
    <n v="6763.7822038320437"/>
    <n v="0"/>
    <x v="357"/>
    <b v="1"/>
  </r>
  <r>
    <m/>
    <s v="CERRADO"/>
    <x v="421"/>
    <n v="1680"/>
    <x v="9"/>
    <d v="2019-02-11T00:00:00"/>
    <x v="3"/>
    <n v="924"/>
    <x v="74"/>
    <n v="19175"/>
    <d v="2019-02-18T00:00:00"/>
    <s v="002-4600-1708"/>
    <n v="4615506161"/>
    <d v="2019-03-01T00:00:00"/>
    <n v="3.7826"/>
    <n v="1"/>
    <n v="1680"/>
    <n v="1"/>
    <n v="831.68316831683171"/>
    <n v="1.111"/>
    <n v="1"/>
    <n v="19175"/>
    <n v="6763.7822038320437"/>
    <n v="0"/>
    <x v="6"/>
    <b v="1"/>
  </r>
  <r>
    <m/>
    <s v="CERRADO"/>
    <x v="422"/>
    <n v="1022"/>
    <x v="9"/>
    <d v="2019-02-11T00:00:00"/>
    <x v="3"/>
    <n v="562"/>
    <x v="74"/>
    <n v="19175"/>
    <d v="2019-02-18T00:00:00"/>
    <s v="002-4600-1708"/>
    <n v="4615506161"/>
    <d v="2019-03-01T00:00:00"/>
    <n v="3.7826"/>
    <n v="1"/>
    <n v="1022"/>
    <n v="1"/>
    <n v="505.94059405940595"/>
    <n v="1.110802348336595"/>
    <n v="1"/>
    <n v="19175"/>
    <n v="6763.7822038320437"/>
    <n v="0"/>
    <x v="145"/>
    <b v="1"/>
  </r>
  <r>
    <m/>
    <s v="CERRADO"/>
    <x v="423"/>
    <n v="3839"/>
    <x v="9"/>
    <d v="2019-02-11T00:00:00"/>
    <x v="3"/>
    <n v="1728"/>
    <x v="74"/>
    <n v="19175"/>
    <d v="2019-02-18T00:00:00"/>
    <s v="002-4600-1708"/>
    <n v="4615506161"/>
    <d v="2019-03-01T00:00:00"/>
    <n v="3.7826"/>
    <n v="1"/>
    <n v="3839"/>
    <n v="1"/>
    <n v="1900.4950495049504"/>
    <n v="0.90923678041156553"/>
    <n v="1"/>
    <n v="19175"/>
    <n v="6763.7822038320437"/>
    <n v="0"/>
    <x v="358"/>
    <b v="1"/>
  </r>
  <r>
    <m/>
    <s v="CERRADO"/>
    <x v="424"/>
    <n v="3082"/>
    <x v="9"/>
    <d v="2019-02-11T00:00:00"/>
    <x v="3"/>
    <n v="1387"/>
    <x v="74"/>
    <n v="19175"/>
    <d v="2019-02-18T00:00:00"/>
    <s v="002-4600-1708"/>
    <n v="4615506161"/>
    <d v="2019-03-01T00:00:00"/>
    <n v="3.7826"/>
    <n v="1"/>
    <n v="7763"/>
    <n v="1"/>
    <n v="1525.7425742574258"/>
    <n v="0.90890892696122638"/>
    <n v="1"/>
    <n v="19175"/>
    <n v="6763.7822038320437"/>
    <n v="0"/>
    <x v="359"/>
    <b v="1"/>
  </r>
  <r>
    <m/>
    <s v="CERRADO"/>
    <x v="424"/>
    <n v="4681"/>
    <x v="9"/>
    <d v="2019-02-11T00:00:00"/>
    <x v="3"/>
    <n v="2106"/>
    <x v="75"/>
    <n v="19175"/>
    <d v="2019-02-18T00:00:00"/>
    <s v="002-4600-1709"/>
    <n v="4615506161"/>
    <d v="2019-03-01T00:00:00"/>
    <n v="3.7826"/>
    <n v="1"/>
    <n v="7763"/>
    <n v="1"/>
    <n v="2317.3267326732671"/>
    <n v="0.90890892696122638"/>
    <n v="1"/>
    <n v="19175"/>
    <n v="6763.7822038320437"/>
    <n v="0"/>
    <x v="360"/>
    <b v="1"/>
  </r>
  <r>
    <m/>
    <s v="CERRADO"/>
    <x v="425"/>
    <n v="12043"/>
    <x v="9"/>
    <d v="2019-02-11T00:00:00"/>
    <x v="3"/>
    <n v="5419"/>
    <x v="75"/>
    <n v="19175"/>
    <d v="2019-02-18T00:00:00"/>
    <s v="002-4600-1709"/>
    <n v="4615506161"/>
    <d v="2019-03-01T00:00:00"/>
    <n v="3.7826"/>
    <n v="1"/>
    <n v="12043"/>
    <n v="1"/>
    <n v="5961.8811881188121"/>
    <n v="0.90894129369758359"/>
    <n v="1"/>
    <n v="19175"/>
    <n v="6763.7822038320437"/>
    <n v="0"/>
    <x v="361"/>
    <b v="1"/>
  </r>
  <r>
    <m/>
    <s v="CERRADO"/>
    <x v="426"/>
    <n v="14880"/>
    <x v="9"/>
    <d v="2019-02-11T00:00:00"/>
    <x v="3"/>
    <n v="8184"/>
    <x v="75"/>
    <n v="19175"/>
    <d v="2019-02-18T00:00:00"/>
    <s v="002-4600-1709"/>
    <n v="4615506161"/>
    <d v="2019-03-01T00:00:00"/>
    <n v="3.7826"/>
    <n v="1"/>
    <n v="14880"/>
    <n v="1"/>
    <n v="7366.3366336633662"/>
    <n v="1.111"/>
    <n v="1"/>
    <n v="19175"/>
    <n v="6763.7822038320437"/>
    <n v="0"/>
    <x v="6"/>
    <b v="1"/>
  </r>
  <r>
    <m/>
    <s v="CERRADO"/>
    <x v="427"/>
    <n v="4200"/>
    <x v="9"/>
    <d v="2019-02-11T00:00:00"/>
    <x v="3"/>
    <n v="1890"/>
    <x v="75"/>
    <n v="19175"/>
    <d v="2019-02-18T00:00:00"/>
    <s v="002-4600-1709"/>
    <n v="4615506161"/>
    <d v="2019-03-01T00:00:00"/>
    <n v="3.7826"/>
    <n v="1"/>
    <n v="4200"/>
    <n v="1"/>
    <n v="2079.2079207920792"/>
    <n v="0.90900000000000003"/>
    <n v="1"/>
    <n v="19175"/>
    <n v="6763.7822038320437"/>
    <n v="0"/>
    <x v="2"/>
    <b v="1"/>
  </r>
  <r>
    <m/>
    <s v="CERRADO"/>
    <x v="428"/>
    <n v="3502"/>
    <x v="9"/>
    <d v="2019-02-11T00:00:00"/>
    <x v="3"/>
    <n v="1576"/>
    <x v="75"/>
    <n v="19175"/>
    <d v="2019-02-18T00:00:00"/>
    <s v="002-4600-1709"/>
    <n v="4615506161"/>
    <d v="2019-03-01T00:00:00"/>
    <n v="3.7826"/>
    <n v="1"/>
    <n v="4188"/>
    <n v="1"/>
    <n v="1733.6633663366335"/>
    <n v="0.90919293218720154"/>
    <n v="1"/>
    <n v="19175"/>
    <n v="6763.7822038320437"/>
    <n v="0"/>
    <x v="362"/>
    <b v="1"/>
  </r>
  <r>
    <m/>
    <s v="CERRADO"/>
    <x v="356"/>
    <n v="3154"/>
    <x v="9"/>
    <d v="2019-02-11T00:00:00"/>
    <x v="3"/>
    <n v="1419"/>
    <x v="76"/>
    <n v="19175"/>
    <d v="2019-02-18T00:00:00"/>
    <s v="002-4600-1710"/>
    <n v="4615506161"/>
    <d v="2019-03-01T00:00:00"/>
    <n v="3.7826"/>
    <n v="1"/>
    <n v="13930"/>
    <n v="1"/>
    <n v="1561.3861386138615"/>
    <n v="0.83771421923963385"/>
    <n v="1"/>
    <n v="19175"/>
    <n v="6763.7822038320437"/>
    <n v="0"/>
    <x v="363"/>
    <b v="1"/>
  </r>
  <r>
    <m/>
    <s v="CERRADO"/>
    <x v="429"/>
    <n v="12460"/>
    <x v="9"/>
    <d v="2019-02-11T00:00:00"/>
    <x v="3"/>
    <n v="6853"/>
    <x v="76"/>
    <n v="19175"/>
    <d v="2019-02-18T00:00:00"/>
    <s v="002-4600-1710"/>
    <n v="4615506161"/>
    <d v="2019-03-01T00:00:00"/>
    <n v="3.7826"/>
    <n v="1"/>
    <n v="12460"/>
    <n v="1"/>
    <n v="6168.3168316831679"/>
    <n v="1.111"/>
    <n v="1"/>
    <n v="19175"/>
    <n v="6763.7822038320437"/>
    <n v="0"/>
    <x v="6"/>
    <b v="1"/>
  </r>
  <r>
    <m/>
    <s v="CERRADO"/>
    <x v="430"/>
    <n v="2529"/>
    <x v="9"/>
    <d v="2019-02-11T00:00:00"/>
    <x v="3"/>
    <n v="1391"/>
    <x v="76"/>
    <n v="19175"/>
    <d v="2019-02-18T00:00:00"/>
    <s v="002-4600-1710"/>
    <n v="4615506161"/>
    <d v="2019-03-01T00:00:00"/>
    <n v="3.7826"/>
    <n v="1"/>
    <n v="2529"/>
    <n v="1"/>
    <n v="1251.9801980198019"/>
    <n v="1.111039936733887"/>
    <n v="1"/>
    <n v="19175"/>
    <n v="6763.7822038320437"/>
    <n v="0"/>
    <x v="364"/>
    <b v="1"/>
  </r>
  <r>
    <m/>
    <s v="CERRADO"/>
    <x v="431"/>
    <n v="4800"/>
    <x v="9"/>
    <d v="2019-02-11T00:00:00"/>
    <x v="3"/>
    <n v="2640"/>
    <x v="76"/>
    <n v="19175"/>
    <d v="2019-02-18T00:00:00"/>
    <s v="002-4600-1710"/>
    <n v="4615506161"/>
    <d v="2019-03-01T00:00:00"/>
    <n v="3.7826"/>
    <n v="1"/>
    <n v="4800"/>
    <n v="1"/>
    <n v="2376.2376237623762"/>
    <n v="1.111"/>
    <n v="1"/>
    <n v="19175"/>
    <n v="6763.7822038320437"/>
    <n v="0"/>
    <x v="6"/>
    <b v="1"/>
  </r>
  <r>
    <m/>
    <s v="CERRADO"/>
    <x v="416"/>
    <n v="12495"/>
    <x v="9"/>
    <d v="2019-02-11T00:00:00"/>
    <x v="3"/>
    <n v="6872"/>
    <x v="76"/>
    <n v="19175"/>
    <d v="2019-02-18T00:00:00"/>
    <s v="002-4600-1710"/>
    <n v="4615506161"/>
    <d v="2019-03-01T00:00:00"/>
    <n v="3.7826"/>
    <n v="1"/>
    <n v="13400"/>
    <n v="1"/>
    <n v="6185.6435643564355"/>
    <n v="1.111"/>
    <n v="1"/>
    <n v="19175"/>
    <n v="6763.7822038320437"/>
    <n v="0"/>
    <x v="365"/>
    <b v="1"/>
  </r>
  <r>
    <m/>
    <s v="CERRADO"/>
    <x v="432"/>
    <n v="10747"/>
    <x v="9"/>
    <d v="2019-02-11T00:00:00"/>
    <x v="3"/>
    <n v="5911"/>
    <x v="77"/>
    <n v="19175"/>
    <d v="2019-02-18T00:00:00"/>
    <s v="002-4600-1711"/>
    <n v="4615506161"/>
    <d v="2019-03-01T00:00:00"/>
    <n v="3.7826"/>
    <n v="1"/>
    <n v="18160"/>
    <n v="1"/>
    <n v="5320.2970297029706"/>
    <n v="1.111"/>
    <n v="1"/>
    <n v="19175"/>
    <n v="6763.7822038320437"/>
    <n v="0"/>
    <x v="366"/>
    <b v="1"/>
  </r>
  <r>
    <m/>
    <s v="CERRADO"/>
    <x v="433"/>
    <n v="15210"/>
    <x v="9"/>
    <d v="2019-02-11T00:00:00"/>
    <x v="3"/>
    <n v="6845"/>
    <x v="77"/>
    <n v="19175"/>
    <d v="2019-02-18T00:00:00"/>
    <s v="002-4600-1711"/>
    <n v="4615506161"/>
    <d v="2019-03-01T00:00:00"/>
    <n v="3.7826"/>
    <n v="1"/>
    <n v="15210"/>
    <n v="1"/>
    <n v="7529.7029702970294"/>
    <n v="0.90906640368178837"/>
    <n v="1"/>
    <n v="19175"/>
    <n v="6763.7822038320437"/>
    <n v="0"/>
    <x v="367"/>
    <b v="1"/>
  </r>
  <r>
    <m/>
    <s v="CERRADO"/>
    <x v="434"/>
    <n v="8140"/>
    <x v="9"/>
    <d v="2019-02-11T00:00:00"/>
    <x v="3"/>
    <n v="3663"/>
    <x v="77"/>
    <n v="19175"/>
    <d v="2019-02-18T00:00:00"/>
    <s v="002-4600-1711"/>
    <n v="4615506161"/>
    <d v="2019-03-01T00:00:00"/>
    <n v="3.7826"/>
    <n v="1"/>
    <n v="8140"/>
    <n v="1"/>
    <n v="4029.7029702970299"/>
    <n v="0.90899999999999992"/>
    <n v="1"/>
    <n v="19175"/>
    <n v="6763.7822038320437"/>
    <n v="0"/>
    <x v="2"/>
    <b v="1"/>
  </r>
  <r>
    <m/>
    <s v="CERRADO"/>
    <x v="435"/>
    <n v="960"/>
    <x v="9"/>
    <d v="2019-02-11T00:00:00"/>
    <x v="3"/>
    <n v="528"/>
    <x v="77"/>
    <n v="19175"/>
    <d v="2019-02-18T00:00:00"/>
    <s v="002-4600-1711"/>
    <n v="4615506161"/>
    <d v="2019-03-01T00:00:00"/>
    <n v="3.7826"/>
    <n v="1"/>
    <n v="960"/>
    <n v="1"/>
    <n v="475.24752475247527"/>
    <n v="1.111"/>
    <n v="1"/>
    <n v="19175"/>
    <n v="6763.7822038320437"/>
    <n v="0"/>
    <x v="6"/>
    <b v="1"/>
  </r>
  <r>
    <m/>
    <s v="CERRADO"/>
    <x v="436"/>
    <n v="3172"/>
    <x v="9"/>
    <d v="2019-02-11T00:00:00"/>
    <x v="3"/>
    <n v="1745"/>
    <x v="77"/>
    <n v="19175"/>
    <d v="2019-02-18T00:00:00"/>
    <s v="002-4600-1711"/>
    <n v="4615506161"/>
    <d v="2019-03-01T00:00:00"/>
    <n v="3.7826"/>
    <n v="1"/>
    <n v="3172"/>
    <n v="1"/>
    <n v="1570.2970297029703"/>
    <n v="1.1112547288776797"/>
    <n v="1"/>
    <n v="19175"/>
    <n v="6763.7822038320437"/>
    <n v="0"/>
    <x v="368"/>
    <b v="1"/>
  </r>
  <r>
    <m/>
    <s v="CERRADO"/>
    <x v="437"/>
    <n v="357"/>
    <x v="9"/>
    <d v="2019-02-11T00:00:00"/>
    <x v="3"/>
    <n v="196"/>
    <x v="77"/>
    <n v="19175"/>
    <d v="2019-02-18T00:00:00"/>
    <s v="002-4600-1711"/>
    <n v="4615506161"/>
    <d v="2019-03-01T00:00:00"/>
    <n v="3.7826"/>
    <n v="1"/>
    <n v="357"/>
    <n v="1"/>
    <n v="176.73267326732673"/>
    <n v="1.1090196078431374"/>
    <n v="1"/>
    <n v="19175"/>
    <n v="6763.7822038320437"/>
    <n v="0"/>
    <x v="369"/>
    <b v="1"/>
  </r>
  <r>
    <m/>
    <s v="CERRADO"/>
    <x v="438"/>
    <n v="638"/>
    <x v="9"/>
    <d v="2019-02-11T00:00:00"/>
    <x v="3"/>
    <n v="287"/>
    <x v="77"/>
    <n v="19175"/>
    <d v="2019-02-18T00:00:00"/>
    <s v="002-4600-1711"/>
    <n v="4615506161"/>
    <d v="2019-03-01T00:00:00"/>
    <n v="3.7826"/>
    <n v="1"/>
    <n v="6639"/>
    <n v="1"/>
    <n v="315.84158415841586"/>
    <n v="0.9088326555204097"/>
    <n v="1"/>
    <n v="19175"/>
    <n v="6763.7822038320437"/>
    <n v="0"/>
    <x v="370"/>
    <b v="1"/>
  </r>
  <r>
    <m/>
    <s v="CERRADO"/>
    <x v="439"/>
    <n v="7213"/>
    <x v="9"/>
    <d v="2019-02-11T00:00:00"/>
    <x v="3"/>
    <n v="3967"/>
    <x v="78"/>
    <n v="19175"/>
    <d v="2019-02-18T00:00:00"/>
    <s v="002-4600-1712"/>
    <n v="4615506161"/>
    <d v="2019-03-01T00:00:00"/>
    <n v="3.7826"/>
    <n v="1"/>
    <n v="19000"/>
    <n v="1"/>
    <n v="3570.7920792079208"/>
    <n v="1.111"/>
    <n v="1"/>
    <n v="19175"/>
    <n v="6763.7822038320437"/>
    <n v="0"/>
    <x v="371"/>
    <b v="1"/>
  </r>
  <r>
    <m/>
    <s v="CERRADO"/>
    <x v="440"/>
    <n v="15240"/>
    <x v="9"/>
    <d v="2019-02-11T00:00:00"/>
    <x v="3"/>
    <n v="8382"/>
    <x v="78"/>
    <n v="19175"/>
    <d v="2019-02-18T00:00:00"/>
    <s v="002-4600-1712"/>
    <n v="4615506161"/>
    <d v="2019-03-01T00:00:00"/>
    <n v="3.7826"/>
    <n v="1"/>
    <n v="15240"/>
    <n v="1"/>
    <n v="7544.5544554455446"/>
    <n v="1.111"/>
    <n v="1"/>
    <n v="19175"/>
    <n v="6763.7822038320437"/>
    <n v="0"/>
    <x v="6"/>
    <b v="1"/>
  </r>
  <r>
    <m/>
    <s v="CERRADO"/>
    <x v="441"/>
    <n v="12390"/>
    <x v="9"/>
    <d v="2019-02-11T00:00:00"/>
    <x v="3"/>
    <n v="5576"/>
    <x v="78"/>
    <n v="19175"/>
    <d v="2019-02-18T00:00:00"/>
    <s v="002-4600-1712"/>
    <n v="4615506161"/>
    <d v="2019-03-01T00:00:00"/>
    <n v="3.7826"/>
    <n v="1"/>
    <n v="12390"/>
    <n v="1"/>
    <n v="6133.6633663366338"/>
    <n v="0.90908151735270382"/>
    <n v="1"/>
    <n v="19175"/>
    <n v="6763.7822038320437"/>
    <n v="0"/>
    <x v="372"/>
    <b v="1"/>
  </r>
  <r>
    <m/>
    <s v="CERRADO"/>
    <x v="442"/>
    <n v="2273"/>
    <x v="9"/>
    <d v="2019-02-11T00:00:00"/>
    <x v="3"/>
    <n v="1250"/>
    <x v="78"/>
    <n v="19175"/>
    <d v="2019-02-18T00:00:00"/>
    <s v="002-4600-1712"/>
    <n v="4615506161"/>
    <d v="2019-03-01T00:00:00"/>
    <n v="3.7826"/>
    <n v="1"/>
    <n v="12645"/>
    <n v="1"/>
    <n v="1125.2475247524753"/>
    <n v="1.0159905100830369"/>
    <n v="1"/>
    <n v="19175"/>
    <n v="6763.7822038320437"/>
    <n v="0"/>
    <x v="373"/>
    <b v="1"/>
  </r>
  <r>
    <m/>
    <s v="CERRADO"/>
    <x v="443"/>
    <n v="2059"/>
    <x v="9"/>
    <d v="2019-02-11T00:00:00"/>
    <x v="3"/>
    <n v="927"/>
    <x v="79"/>
    <n v="19175"/>
    <d v="2019-02-18T00:00:00"/>
    <s v="002-4600-1713"/>
    <n v="4615506161"/>
    <d v="2019-03-01T00:00:00"/>
    <n v="3.7826"/>
    <n v="1"/>
    <n v="16010"/>
    <n v="1"/>
    <n v="1019.3069306930693"/>
    <n v="0.90906308557151783"/>
    <n v="1"/>
    <n v="19175"/>
    <n v="6763.7822038320437"/>
    <n v="0"/>
    <x v="374"/>
    <b v="1"/>
  </r>
  <r>
    <m/>
    <s v="CERRADO"/>
    <x v="444"/>
    <n v="14074"/>
    <x v="9"/>
    <d v="2019-02-11T00:00:00"/>
    <x v="3"/>
    <n v="6333"/>
    <x v="79"/>
    <n v="19175"/>
    <d v="2019-02-18T00:00:00"/>
    <s v="002-4600-1713"/>
    <n v="4615506161"/>
    <d v="2019-03-01T00:00:00"/>
    <n v="3.7826"/>
    <n v="1"/>
    <n v="14074"/>
    <n v="1"/>
    <n v="6967.3267326732675"/>
    <n v="0.9089569418786414"/>
    <n v="1"/>
    <n v="19175"/>
    <n v="6763.7822038320437"/>
    <n v="0"/>
    <x v="375"/>
    <b v="1"/>
  </r>
  <r>
    <m/>
    <s v="CERRADO"/>
    <x v="445"/>
    <n v="17150"/>
    <x v="9"/>
    <d v="2019-02-11T00:00:00"/>
    <x v="3"/>
    <n v="9433"/>
    <x v="79"/>
    <n v="19175"/>
    <d v="2019-02-18T00:00:00"/>
    <s v="002-4600-1713"/>
    <n v="4615506161"/>
    <d v="2019-03-01T00:00:00"/>
    <n v="3.7826"/>
    <n v="1"/>
    <n v="17150"/>
    <n v="1"/>
    <n v="8490.0990099009905"/>
    <n v="1.1110588921282798"/>
    <n v="1"/>
    <n v="19175"/>
    <n v="6763.7822038320437"/>
    <n v="0"/>
    <x v="376"/>
    <b v="1"/>
  </r>
  <r>
    <m/>
    <s v="CERRADO"/>
    <x v="446"/>
    <n v="4371"/>
    <x v="9"/>
    <d v="2019-02-11T00:00:00"/>
    <x v="3"/>
    <n v="2404"/>
    <x v="79"/>
    <n v="19175"/>
    <d v="2019-02-18T00:00:00"/>
    <s v="002-4600-1713"/>
    <n v="4615506161"/>
    <d v="2019-03-01T00:00:00"/>
    <n v="3.7826"/>
    <n v="1"/>
    <n v="4371"/>
    <n v="1"/>
    <n v="2163.8613861386139"/>
    <n v="1.1109768931594601"/>
    <n v="1"/>
    <n v="19175"/>
    <n v="6763.7822038320437"/>
    <n v="0"/>
    <x v="377"/>
    <b v="1"/>
  </r>
  <r>
    <m/>
    <s v="CERRADO"/>
    <x v="447"/>
    <n v="142"/>
    <x v="9"/>
    <d v="2019-02-11T00:00:00"/>
    <x v="3"/>
    <n v="78"/>
    <x v="79"/>
    <n v="19175"/>
    <d v="2019-02-18T00:00:00"/>
    <s v="002-4600-1713"/>
    <n v="4615506161"/>
    <d v="2019-03-01T00:00:00"/>
    <n v="3.7826"/>
    <n v="1"/>
    <n v="19220"/>
    <n v="1"/>
    <n v="70.297029702970292"/>
    <n v="1.1055404350722176"/>
    <n v="1"/>
    <n v="19175"/>
    <n v="6763.7822038320437"/>
    <n v="0"/>
    <x v="189"/>
    <b v="1"/>
  </r>
  <r>
    <m/>
    <s v="CERRADO"/>
    <x v="442"/>
    <n v="4427"/>
    <x v="9"/>
    <d v="2019-02-11T00:00:00"/>
    <x v="3"/>
    <n v="2435"/>
    <x v="80"/>
    <n v="19175"/>
    <d v="2019-02-18T00:00:00"/>
    <s v="002-4600-1714"/>
    <n v="4615506161"/>
    <d v="2019-03-01T00:00:00"/>
    <n v="3.7826"/>
    <n v="1"/>
    <n v="12645"/>
    <n v="1"/>
    <n v="2191.5841584158416"/>
    <n v="1.0159905100830369"/>
    <n v="1"/>
    <n v="19175"/>
    <n v="6763.7822038320437"/>
    <n v="0"/>
    <x v="378"/>
    <b v="1"/>
  </r>
  <r>
    <m/>
    <s v="CERRADO"/>
    <x v="442"/>
    <n v="5945"/>
    <x v="9"/>
    <d v="2019-02-11T00:00:00"/>
    <x v="3"/>
    <n v="2675"/>
    <x v="80"/>
    <n v="19175"/>
    <d v="2019-02-18T00:00:00"/>
    <s v="002-4600-1714"/>
    <n v="4615506161"/>
    <d v="2019-03-01T00:00:00"/>
    <n v="3.7826"/>
    <n v="1"/>
    <n v="12645"/>
    <n v="1"/>
    <n v="2943.0693069306931"/>
    <n v="1.0159905100830369"/>
    <n v="1"/>
    <n v="19175"/>
    <n v="6763.7822038320437"/>
    <n v="0"/>
    <x v="379"/>
    <b v="1"/>
  </r>
  <r>
    <m/>
    <s v="CERRADO"/>
    <x v="448"/>
    <n v="18160"/>
    <x v="9"/>
    <d v="2019-02-11T00:00:00"/>
    <x v="3"/>
    <n v="9988"/>
    <x v="80"/>
    <n v="19175"/>
    <d v="2019-02-18T00:00:00"/>
    <s v="002-4600-1714"/>
    <n v="4615506161"/>
    <d v="2019-03-01T00:00:00"/>
    <n v="3.7826"/>
    <n v="1"/>
    <n v="18160"/>
    <n v="1"/>
    <n v="8990.0990099009905"/>
    <n v="1.111"/>
    <n v="1"/>
    <n v="19175"/>
    <n v="6763.7822038320437"/>
    <n v="0"/>
    <x v="6"/>
    <b v="1"/>
  </r>
  <r>
    <m/>
    <s v="CERRADO"/>
    <x v="432"/>
    <n v="7413"/>
    <x v="9"/>
    <d v="2019-02-11T00:00:00"/>
    <x v="3"/>
    <n v="4077"/>
    <x v="80"/>
    <n v="19175"/>
    <d v="2019-02-18T00:00:00"/>
    <s v="002-4600-1714"/>
    <n v="4615506161"/>
    <d v="2019-03-01T00:00:00"/>
    <n v="3.7826"/>
    <n v="1"/>
    <n v="18160"/>
    <n v="1"/>
    <n v="3669.8019801980199"/>
    <n v="1.111"/>
    <n v="1"/>
    <n v="19175"/>
    <n v="6763.7822038320437"/>
    <n v="0"/>
    <x v="380"/>
    <b v="1"/>
  </r>
  <r>
    <m/>
    <s v="CERRADO"/>
    <x v="449"/>
    <n v="6024"/>
    <x v="9"/>
    <d v="2019-02-11T00:00:00"/>
    <x v="3"/>
    <n v="2711"/>
    <x v="81"/>
    <n v="19175"/>
    <d v="2019-02-18T00:00:00"/>
    <s v="002-4600-1715"/>
    <n v="4615506161"/>
    <d v="2019-03-01T00:00:00"/>
    <n v="3.7826"/>
    <n v="1"/>
    <n v="9480"/>
    <n v="1"/>
    <n v="2982.1782178217823"/>
    <n v="0.90900000000000014"/>
    <n v="1"/>
    <n v="19175"/>
    <n v="6763.7822038320437"/>
    <n v="0"/>
    <x v="381"/>
    <b v="1"/>
  </r>
  <r>
    <m/>
    <s v="CERRADO"/>
    <x v="450"/>
    <n v="8735"/>
    <x v="9"/>
    <d v="2019-02-11T00:00:00"/>
    <x v="3"/>
    <n v="3931"/>
    <x v="81"/>
    <n v="19175"/>
    <d v="2019-02-18T00:00:00"/>
    <s v="002-4600-1715"/>
    <n v="4615506161"/>
    <d v="2019-03-01T00:00:00"/>
    <n v="3.7826"/>
    <n v="1"/>
    <n v="8735"/>
    <n v="1"/>
    <n v="4324.257425742574"/>
    <n v="0.9090578133943904"/>
    <n v="1"/>
    <n v="19175"/>
    <n v="6763.7822038320437"/>
    <n v="0"/>
    <x v="382"/>
    <b v="1"/>
  </r>
  <r>
    <m/>
    <s v="CERRADO"/>
    <x v="451"/>
    <n v="4547"/>
    <x v="9"/>
    <d v="2019-02-11T00:00:00"/>
    <x v="3"/>
    <n v="2046"/>
    <x v="81"/>
    <n v="19175"/>
    <d v="2019-02-18T00:00:00"/>
    <s v="002-4600-1715"/>
    <n v="4615506161"/>
    <d v="2019-03-01T00:00:00"/>
    <n v="3.7826"/>
    <n v="1"/>
    <n v="4547"/>
    <n v="1"/>
    <n v="2250.9900990099009"/>
    <n v="0.90893336265669677"/>
    <n v="1"/>
    <n v="19175"/>
    <n v="6763.7822038320437"/>
    <n v="0"/>
    <x v="383"/>
    <b v="1"/>
  </r>
  <r>
    <m/>
    <s v="CERRADO"/>
    <x v="452"/>
    <n v="7280"/>
    <x v="9"/>
    <d v="2019-02-11T00:00:00"/>
    <x v="3"/>
    <n v="4004"/>
    <x v="81"/>
    <n v="19175"/>
    <d v="2019-02-18T00:00:00"/>
    <s v="002-4600-1715"/>
    <n v="4615506161"/>
    <d v="2019-03-01T00:00:00"/>
    <n v="3.7826"/>
    <n v="1"/>
    <n v="7280"/>
    <n v="1"/>
    <n v="3603.9603960396039"/>
    <n v="1.111"/>
    <n v="1"/>
    <n v="19175"/>
    <n v="6763.7822038320437"/>
    <n v="0"/>
    <x v="6"/>
    <b v="1"/>
  </r>
  <r>
    <m/>
    <s v="CERRADO"/>
    <x v="439"/>
    <n v="11787"/>
    <x v="9"/>
    <d v="2019-02-11T00:00:00"/>
    <x v="3"/>
    <n v="6483"/>
    <x v="81"/>
    <n v="19175"/>
    <d v="2019-02-18T00:00:00"/>
    <s v="002-4600-1715"/>
    <n v="4615506161"/>
    <d v="2019-03-01T00:00:00"/>
    <n v="3.7826"/>
    <n v="1"/>
    <n v="19000"/>
    <n v="1"/>
    <n v="5835.1485148514848"/>
    <n v="1.111"/>
    <n v="1"/>
    <n v="19175"/>
    <n v="6763.7822038320437"/>
    <n v="0"/>
    <x v="384"/>
    <b v="1"/>
  </r>
  <r>
    <m/>
    <s v="CERRADO"/>
    <x v="438"/>
    <n v="6001"/>
    <x v="9"/>
    <d v="2019-02-11T00:00:00"/>
    <x v="3"/>
    <n v="2700"/>
    <x v="82"/>
    <n v="19175"/>
    <d v="2019-02-18T00:00:00"/>
    <s v="002-4600-1716"/>
    <n v="4615506161"/>
    <d v="2019-03-01T00:00:00"/>
    <n v="3.7826"/>
    <n v="1"/>
    <n v="6639"/>
    <n v="1"/>
    <n v="2970.7920792079208"/>
    <n v="0.9088326555204097"/>
    <n v="1"/>
    <n v="19175"/>
    <n v="6763.7822038320437"/>
    <n v="0"/>
    <x v="385"/>
    <b v="1"/>
  </r>
  <r>
    <m/>
    <s v="CERRADO"/>
    <x v="453"/>
    <n v="6600"/>
    <x v="9"/>
    <d v="2019-02-11T00:00:00"/>
    <x v="3"/>
    <n v="2970"/>
    <x v="82"/>
    <n v="19175"/>
    <d v="2019-02-18T00:00:00"/>
    <s v="002-4600-1716"/>
    <n v="4615506161"/>
    <d v="2019-03-01T00:00:00"/>
    <n v="3.7826"/>
    <n v="1"/>
    <n v="6600"/>
    <n v="1"/>
    <n v="3267.3267326732671"/>
    <n v="0.90900000000000003"/>
    <n v="1"/>
    <n v="19175"/>
    <n v="6763.7822038320437"/>
    <n v="0"/>
    <x v="2"/>
    <b v="1"/>
  </r>
  <r>
    <m/>
    <s v="CERRADO"/>
    <x v="454"/>
    <n v="16060"/>
    <x v="9"/>
    <d v="2019-02-11T00:00:00"/>
    <x v="3"/>
    <n v="7227"/>
    <x v="82"/>
    <n v="19175"/>
    <d v="2019-02-18T00:00:00"/>
    <s v="002-4600-1716"/>
    <n v="4615506161"/>
    <d v="2019-03-01T00:00:00"/>
    <n v="3.7826"/>
    <n v="1"/>
    <n v="16060"/>
    <n v="1"/>
    <n v="7950.4950495049507"/>
    <n v="0.90900000000000003"/>
    <n v="1"/>
    <n v="19175"/>
    <n v="6763.7822038320437"/>
    <n v="0"/>
    <x v="2"/>
    <b v="1"/>
  </r>
  <r>
    <m/>
    <s v="CERRADO"/>
    <x v="443"/>
    <n v="13951"/>
    <x v="9"/>
    <d v="2019-02-11T00:00:00"/>
    <x v="3"/>
    <n v="6278"/>
    <x v="82"/>
    <n v="19175"/>
    <d v="2019-02-18T00:00:00"/>
    <s v="002-4600-1716"/>
    <n v="4615506161"/>
    <d v="2019-03-01T00:00:00"/>
    <n v="3.7826"/>
    <n v="1"/>
    <n v="16010"/>
    <n v="1"/>
    <n v="6906.4356435643567"/>
    <n v="0.90906308557151783"/>
    <n v="1"/>
    <n v="19175"/>
    <n v="6763.7822038320437"/>
    <n v="0"/>
    <x v="386"/>
    <b v="1"/>
  </r>
  <r>
    <m/>
    <s v="CERRADO"/>
    <x v="428"/>
    <n v="686"/>
    <x v="9"/>
    <d v="2019-02-11T00:00:00"/>
    <x v="3"/>
    <n v="309"/>
    <x v="83"/>
    <n v="19175"/>
    <d v="2019-02-18T00:00:00"/>
    <s v="002-4600-1717"/>
    <n v="4615506161"/>
    <d v="2019-03-01T00:00:00"/>
    <n v="3.7826"/>
    <n v="1"/>
    <n v="4188"/>
    <n v="1"/>
    <n v="339.60396039603961"/>
    <n v="0.90919293218720154"/>
    <n v="1"/>
    <n v="19175"/>
    <n v="6763.7822038320437"/>
    <n v="0"/>
    <x v="387"/>
    <b v="1"/>
  </r>
  <r>
    <m/>
    <s v="CERRADO"/>
    <x v="455"/>
    <n v="3484"/>
    <x v="9"/>
    <d v="2019-02-11T00:00:00"/>
    <x v="3"/>
    <n v="1568"/>
    <x v="83"/>
    <n v="19175"/>
    <d v="2019-02-18T00:00:00"/>
    <s v="002-4600-1717"/>
    <n v="4615506161"/>
    <d v="2019-03-01T00:00:00"/>
    <n v="3.7826"/>
    <n v="1"/>
    <n v="3484"/>
    <n v="1"/>
    <n v="1724.7524752475247"/>
    <n v="0.9091159586681975"/>
    <n v="1"/>
    <n v="19175"/>
    <n v="6763.7822038320437"/>
    <n v="0"/>
    <x v="388"/>
    <b v="1"/>
  </r>
  <r>
    <m/>
    <s v="CERRADO"/>
    <x v="456"/>
    <n v="13740"/>
    <x v="9"/>
    <d v="2019-02-11T00:00:00"/>
    <x v="3"/>
    <n v="6183"/>
    <x v="83"/>
    <n v="19175"/>
    <d v="2019-02-18T00:00:00"/>
    <s v="002-4600-1717"/>
    <n v="4615506161"/>
    <d v="2019-03-01T00:00:00"/>
    <n v="3.7826"/>
    <n v="1"/>
    <n v="13740"/>
    <n v="1"/>
    <n v="6801.9801980198017"/>
    <n v="0.90900000000000003"/>
    <n v="1"/>
    <n v="19175"/>
    <n v="6763.7822038320437"/>
    <n v="0"/>
    <x v="2"/>
    <b v="1"/>
  </r>
  <r>
    <m/>
    <s v="CERRADO"/>
    <x v="457"/>
    <n v="5986"/>
    <x v="9"/>
    <d v="2019-02-11T00:00:00"/>
    <x v="3"/>
    <n v="3292"/>
    <x v="83"/>
    <n v="19175"/>
    <d v="2019-02-18T00:00:00"/>
    <s v="002-4600-1717"/>
    <n v="4615506161"/>
    <d v="2019-03-01T00:00:00"/>
    <n v="3.7826"/>
    <n v="1"/>
    <n v="5986"/>
    <n v="1"/>
    <n v="2963.3663366336632"/>
    <n v="1.1108987637821583"/>
    <n v="1"/>
    <n v="19175"/>
    <n v="6763.7822038320437"/>
    <n v="0"/>
    <x v="156"/>
    <b v="1"/>
  </r>
  <r>
    <m/>
    <s v="CERRADO"/>
    <x v="458"/>
    <n v="1776"/>
    <x v="9"/>
    <d v="2019-02-11T00:00:00"/>
    <x v="3"/>
    <n v="977"/>
    <x v="83"/>
    <n v="19175"/>
    <d v="2019-02-18T00:00:00"/>
    <s v="002-4600-1717"/>
    <n v="4615506161"/>
    <d v="2019-03-01T00:00:00"/>
    <n v="3.7826"/>
    <n v="1"/>
    <n v="1776"/>
    <n v="1"/>
    <n v="879.20792079207922"/>
    <n v="1.1112274774774775"/>
    <n v="1"/>
    <n v="19175"/>
    <n v="6763.7822038320437"/>
    <n v="0"/>
    <x v="389"/>
    <b v="1"/>
  </r>
  <r>
    <m/>
    <s v="CERRADO"/>
    <x v="459"/>
    <n v="2217"/>
    <x v="9"/>
    <d v="2019-02-11T00:00:00"/>
    <x v="3"/>
    <n v="998"/>
    <x v="83"/>
    <n v="19175"/>
    <d v="2019-02-18T00:00:00"/>
    <s v="002-4600-1717"/>
    <n v="4615506161"/>
    <d v="2019-03-01T00:00:00"/>
    <n v="3.7826"/>
    <n v="1"/>
    <n v="2217"/>
    <n v="1"/>
    <n v="1097.5247524752476"/>
    <n v="0.90931889941362198"/>
    <n v="1"/>
    <n v="19175"/>
    <n v="6763.7822038320437"/>
    <n v="0"/>
    <x v="390"/>
    <b v="1"/>
  </r>
  <r>
    <m/>
    <s v="CERRADO"/>
    <x v="460"/>
    <n v="9420"/>
    <x v="9"/>
    <d v="2019-02-11T00:00:00"/>
    <x v="3"/>
    <n v="4239"/>
    <x v="83"/>
    <n v="19175"/>
    <d v="2019-02-18T00:00:00"/>
    <s v="002-4600-1717"/>
    <n v="4615506161"/>
    <d v="2019-03-01T00:00:00"/>
    <n v="3.7826"/>
    <n v="1"/>
    <n v="9420"/>
    <n v="1"/>
    <n v="4663.3663366336632"/>
    <n v="0.90900000000000003"/>
    <n v="1"/>
    <n v="19175"/>
    <n v="6763.7822038320437"/>
    <n v="0"/>
    <x v="2"/>
    <b v="1"/>
  </r>
  <r>
    <m/>
    <s v="CERRADO"/>
    <x v="461"/>
    <n v="120"/>
    <x v="9"/>
    <d v="2019-02-11T00:00:00"/>
    <x v="3"/>
    <n v="54"/>
    <x v="83"/>
    <n v="19175"/>
    <d v="2019-02-18T00:00:00"/>
    <s v="002-4600-1717"/>
    <n v="4615506161"/>
    <d v="2019-03-01T00:00:00"/>
    <n v="3.7826"/>
    <n v="1"/>
    <n v="120"/>
    <n v="1"/>
    <n v="59.405940594059409"/>
    <n v="0.90899999999999992"/>
    <n v="1"/>
    <n v="19175"/>
    <n v="6763.7822038320437"/>
    <n v="0"/>
    <x v="2"/>
    <b v="1"/>
  </r>
  <r>
    <m/>
    <s v="CERRADO"/>
    <x v="449"/>
    <n v="3456"/>
    <x v="9"/>
    <d v="2019-02-11T00:00:00"/>
    <x v="3"/>
    <n v="1555"/>
    <x v="83"/>
    <n v="19175"/>
    <d v="2019-02-18T00:00:00"/>
    <s v="002-4600-1717"/>
    <n v="4615506161"/>
    <d v="2019-03-01T00:00:00"/>
    <n v="3.7826"/>
    <n v="1"/>
    <n v="9480"/>
    <n v="1"/>
    <n v="1710.8910891089108"/>
    <n v="0.90900000000000014"/>
    <n v="1"/>
    <n v="19175"/>
    <n v="6763.7822038320437"/>
    <n v="0"/>
    <x v="391"/>
    <b v="1"/>
  </r>
  <r>
    <m/>
    <s v="CERRADO"/>
    <x v="462"/>
    <n v="428"/>
    <x v="10"/>
    <d v="2019-02-07T00:00:00"/>
    <x v="1"/>
    <n v="235"/>
    <x v="84"/>
    <n v="19175"/>
    <d v="2019-02-18T00:00:00"/>
    <s v="002-4600-1731"/>
    <n v="4615487176"/>
    <d v="2019-03-01T00:00:00"/>
    <n v="3.7826"/>
    <n v="1"/>
    <n v="19590"/>
    <n v="1"/>
    <n v="216.16161616161617"/>
    <n v="1.0889494640122512"/>
    <n v="1"/>
    <n v="19175"/>
    <n v="6763.7822038320437"/>
    <n v="2113.6819386975139"/>
    <x v="392"/>
    <b v="1"/>
  </r>
  <r>
    <m/>
    <s v="CERRADO"/>
    <x v="463"/>
    <n v="19650"/>
    <x v="10"/>
    <d v="2019-02-07T00:00:00"/>
    <x v="1"/>
    <n v="10808"/>
    <x v="84"/>
    <n v="19175"/>
    <d v="2019-02-18T00:00:00"/>
    <s v="002-4600-1731"/>
    <n v="4615487176"/>
    <d v="2019-03-01T00:00:00"/>
    <n v="3.7826"/>
    <n v="1"/>
    <n v="19650"/>
    <n v="1"/>
    <n v="9924.242424242424"/>
    <n v="1.0890503816793893"/>
    <n v="1"/>
    <n v="19175"/>
    <n v="6763.7822038320437"/>
    <n v="2113.6819386975139"/>
    <x v="220"/>
    <b v="1"/>
  </r>
  <r>
    <m/>
    <s v="CERRADO"/>
    <x v="464"/>
    <n v="14785"/>
    <x v="10"/>
    <d v="2019-02-07T00:00:00"/>
    <x v="1"/>
    <n v="8132"/>
    <x v="84"/>
    <n v="19175"/>
    <d v="2019-02-18T00:00:00"/>
    <s v="002-4600-1731"/>
    <n v="4615487176"/>
    <d v="2019-03-01T00:00:00"/>
    <n v="3.7826"/>
    <n v="1"/>
    <n v="34790"/>
    <n v="1"/>
    <n v="7467.1717171717173"/>
    <n v="1.0890284564530037"/>
    <n v="1"/>
    <n v="19175"/>
    <n v="6763.7822038320437"/>
    <n v="2113.6819386975139"/>
    <x v="393"/>
    <b v="1"/>
  </r>
  <r>
    <m/>
    <s v="CERRADO"/>
    <x v="465"/>
    <n v="13873"/>
    <x v="10"/>
    <d v="2019-02-07T00:00:00"/>
    <x v="1"/>
    <n v="7630"/>
    <x v="85"/>
    <n v="19175"/>
    <d v="2019-02-18T00:00:00"/>
    <s v="002-4600-1732"/>
    <n v="4615487176"/>
    <d v="2019-03-01T00:00:00"/>
    <n v="3.7826"/>
    <n v="1"/>
    <n v="14000"/>
    <n v="1"/>
    <n v="7006.5656565656564"/>
    <n v="1.089"/>
    <n v="1"/>
    <n v="19175"/>
    <n v="6763.7822038320437"/>
    <n v="2113.6819386975139"/>
    <x v="394"/>
    <b v="1"/>
  </r>
  <r>
    <m/>
    <s v="CERRADO"/>
    <x v="466"/>
    <n v="3840"/>
    <x v="10"/>
    <d v="2019-02-07T00:00:00"/>
    <x v="1"/>
    <n v="2112"/>
    <x v="85"/>
    <n v="19175"/>
    <d v="2019-02-18T00:00:00"/>
    <s v="002-4600-1732"/>
    <n v="4615487176"/>
    <d v="2019-03-01T00:00:00"/>
    <n v="3.7826"/>
    <n v="1"/>
    <n v="3840"/>
    <n v="1"/>
    <n v="1939.3939393939395"/>
    <n v="1.089"/>
    <n v="1"/>
    <n v="19175"/>
    <n v="6763.7822038320437"/>
    <n v="2113.6819386975139"/>
    <x v="6"/>
    <b v="1"/>
  </r>
  <r>
    <m/>
    <s v="CERRADO"/>
    <x v="467"/>
    <n v="599"/>
    <x v="10"/>
    <d v="2019-02-07T00:00:00"/>
    <x v="1"/>
    <n v="270"/>
    <x v="85"/>
    <n v="19175"/>
    <d v="2019-02-18T00:00:00"/>
    <s v="002-4600-1732"/>
    <n v="4615487176"/>
    <d v="2019-03-01T00:00:00"/>
    <n v="3.7826"/>
    <n v="1"/>
    <n v="599"/>
    <n v="1"/>
    <n v="302.52525252525254"/>
    <n v="0.89248747913188642"/>
    <n v="1"/>
    <n v="19175"/>
    <n v="6763.7822038320437"/>
    <n v="2113.6819386975139"/>
    <x v="395"/>
    <b v="1"/>
  </r>
  <r>
    <m/>
    <s v="CERRADO"/>
    <x v="468"/>
    <n v="11731"/>
    <x v="10"/>
    <d v="2019-02-07T00:00:00"/>
    <x v="1"/>
    <n v="6452"/>
    <x v="85"/>
    <n v="19175"/>
    <d v="2019-02-18T00:00:00"/>
    <s v="002-4600-1732"/>
    <n v="4615487176"/>
    <d v="2019-03-01T00:00:00"/>
    <n v="3.7826"/>
    <n v="1"/>
    <n v="11731"/>
    <n v="1"/>
    <n v="5924.7474747474744"/>
    <n v="1.0889915608217544"/>
    <n v="1"/>
    <n v="19175"/>
    <n v="6763.7822038320437"/>
    <n v="2113.6819386975139"/>
    <x v="396"/>
    <b v="1"/>
  </r>
  <r>
    <m/>
    <s v="CERRADO"/>
    <x v="469"/>
    <n v="4929"/>
    <x v="10"/>
    <d v="2019-02-07T00:00:00"/>
    <x v="1"/>
    <n v="2711"/>
    <x v="85"/>
    <n v="19175"/>
    <d v="2019-02-18T00:00:00"/>
    <s v="002-4600-1732"/>
    <n v="4615487176"/>
    <d v="2019-03-01T00:00:00"/>
    <n v="3.7826"/>
    <n v="1"/>
    <n v="4929"/>
    <n v="1"/>
    <n v="2489.3939393939395"/>
    <n v="1.0890200852099816"/>
    <n v="1"/>
    <n v="19175"/>
    <n v="6763.7822038320437"/>
    <n v="2113.6819386975139"/>
    <x v="397"/>
    <b v="1"/>
  </r>
  <r>
    <m/>
    <s v="CERRADO"/>
    <x v="470"/>
    <n v="6970"/>
    <x v="10"/>
    <d v="2019-02-07T00:00:00"/>
    <x v="1"/>
    <n v="3834"/>
    <x v="86"/>
    <n v="19175"/>
    <d v="2019-02-18T00:00:00"/>
    <s v="002-4600-1733"/>
    <n v="4615487176"/>
    <d v="2019-03-01T00:00:00"/>
    <n v="3.7826"/>
    <n v="1"/>
    <n v="15050"/>
    <n v="1"/>
    <n v="3520.2020202020203"/>
    <n v="1.089065780730897"/>
    <n v="1"/>
    <n v="19175"/>
    <n v="6763.7822038320437"/>
    <n v="2113.6819386975139"/>
    <x v="398"/>
    <b v="1"/>
  </r>
  <r>
    <m/>
    <s v="CERRADO"/>
    <x v="471"/>
    <n v="2105"/>
    <x v="10"/>
    <d v="2019-02-07T00:00:00"/>
    <x v="1"/>
    <n v="947"/>
    <x v="86"/>
    <n v="19175"/>
    <d v="2019-02-18T00:00:00"/>
    <s v="002-4600-1733"/>
    <n v="4615487176"/>
    <d v="2019-03-01T00:00:00"/>
    <n v="3.7826"/>
    <n v="1"/>
    <n v="2105"/>
    <n v="1"/>
    <n v="1063.1313131313132"/>
    <n v="0.89076484560570068"/>
    <n v="1"/>
    <n v="19175"/>
    <n v="6763.7822038320437"/>
    <n v="2113.6819386975139"/>
    <x v="399"/>
    <b v="1"/>
  </r>
  <r>
    <m/>
    <s v="CERRADO"/>
    <x v="472"/>
    <n v="9480"/>
    <x v="10"/>
    <d v="2019-02-07T00:00:00"/>
    <x v="1"/>
    <n v="4266"/>
    <x v="86"/>
    <n v="19175"/>
    <d v="2019-02-18T00:00:00"/>
    <s v="002-4600-1733"/>
    <n v="4615487176"/>
    <d v="2019-03-01T00:00:00"/>
    <n v="3.7826"/>
    <n v="1"/>
    <n v="9480"/>
    <n v="1"/>
    <n v="4787.878787878788"/>
    <n v="0.89100000000000001"/>
    <n v="1"/>
    <n v="19175"/>
    <n v="6763.7822038320437"/>
    <n v="2113.6819386975139"/>
    <x v="2"/>
    <b v="1"/>
  </r>
  <r>
    <m/>
    <s v="CERRADO"/>
    <x v="473"/>
    <n v="8466"/>
    <x v="10"/>
    <d v="2019-02-07T00:00:00"/>
    <x v="1"/>
    <n v="4656"/>
    <x v="86"/>
    <n v="19175"/>
    <d v="2019-02-18T00:00:00"/>
    <s v="002-4600-1733"/>
    <n v="4615487176"/>
    <d v="2019-03-01T00:00:00"/>
    <n v="3.7826"/>
    <n v="1"/>
    <n v="8466"/>
    <n v="1"/>
    <n v="4275.757575757576"/>
    <n v="1.0889298369950389"/>
    <n v="1"/>
    <n v="19175"/>
    <n v="6763.7822038320437"/>
    <n v="2113.6819386975139"/>
    <x v="22"/>
    <b v="1"/>
  </r>
  <r>
    <m/>
    <s v="CERRADO"/>
    <x v="474"/>
    <n v="12005"/>
    <x v="10"/>
    <d v="2019-02-07T00:00:00"/>
    <x v="1"/>
    <n v="5402"/>
    <x v="86"/>
    <n v="19175"/>
    <d v="2019-02-18T00:00:00"/>
    <s v="002-4600-1733"/>
    <n v="4615487176"/>
    <d v="2019-03-01T00:00:00"/>
    <n v="3.7826"/>
    <n v="1"/>
    <n v="12005"/>
    <n v="1"/>
    <n v="6063.1313131313136"/>
    <n v="0.8909587671803415"/>
    <n v="1"/>
    <n v="19175"/>
    <n v="6763.7822038320437"/>
    <n v="2113.6819386975139"/>
    <x v="400"/>
    <b v="1"/>
  </r>
  <r>
    <m/>
    <s v="CERRADO"/>
    <x v="465"/>
    <n v="127"/>
    <x v="10"/>
    <d v="2019-02-07T00:00:00"/>
    <x v="1"/>
    <n v="70"/>
    <x v="86"/>
    <n v="19175"/>
    <d v="2019-02-18T00:00:00"/>
    <s v="002-4600-1733"/>
    <n v="4615487176"/>
    <d v="2019-03-01T00:00:00"/>
    <n v="3.7826"/>
    <n v="1"/>
    <n v="14000"/>
    <n v="1"/>
    <n v="64.141414141414145"/>
    <n v="1.089"/>
    <n v="1"/>
    <n v="19175"/>
    <n v="6763.7822038320437"/>
    <n v="2113.6819386975139"/>
    <x v="401"/>
    <b v="1"/>
  </r>
  <r>
    <m/>
    <s v="CERRADO"/>
    <x v="475"/>
    <n v="15701"/>
    <x v="10"/>
    <d v="2019-02-07T00:00:00"/>
    <x v="1"/>
    <n v="8636"/>
    <x v="87"/>
    <n v="19175"/>
    <d v="2019-02-18T00:00:00"/>
    <s v="002-4600-1734"/>
    <n v="4615487176"/>
    <d v="2019-03-01T00:00:00"/>
    <n v="3.7826"/>
    <n v="1"/>
    <n v="20090"/>
    <n v="1"/>
    <n v="7929.7979797979797"/>
    <n v="1.0890492782478844"/>
    <n v="1"/>
    <n v="19175"/>
    <n v="6763.7822038320437"/>
    <n v="2113.6819386975139"/>
    <x v="402"/>
    <b v="1"/>
  </r>
  <r>
    <m/>
    <s v="CERRADO"/>
    <x v="462"/>
    <n v="19162"/>
    <x v="10"/>
    <d v="2019-02-07T00:00:00"/>
    <x v="1"/>
    <n v="10539"/>
    <x v="87"/>
    <n v="19175"/>
    <d v="2019-02-18T00:00:00"/>
    <s v="002-4600-1734"/>
    <n v="4615487176"/>
    <d v="2019-03-01T00:00:00"/>
    <n v="3.7826"/>
    <n v="1"/>
    <n v="19590"/>
    <n v="1"/>
    <n v="9677.7777777777774"/>
    <n v="1.0889494640122512"/>
    <n v="1"/>
    <n v="19175"/>
    <n v="6763.7822038320437"/>
    <n v="2113.6819386975139"/>
    <x v="403"/>
    <b v="1"/>
  </r>
  <r>
    <m/>
    <s v="CERRADO"/>
    <x v="464"/>
    <n v="20005"/>
    <x v="10"/>
    <d v="2019-02-07T00:00:00"/>
    <x v="1"/>
    <n v="11003"/>
    <x v="88"/>
    <n v="19175"/>
    <d v="2019-02-18T00:00:00"/>
    <s v="002-4600-1735"/>
    <n v="4615487176"/>
    <d v="2019-03-01T00:00:00"/>
    <n v="3.7826"/>
    <n v="1"/>
    <n v="34790"/>
    <n v="1"/>
    <n v="10103.535353535353"/>
    <n v="1.0890284564530037"/>
    <n v="1"/>
    <n v="19175"/>
    <n v="6763.7822038320437"/>
    <n v="2113.6819386975139"/>
    <x v="404"/>
    <b v="1"/>
  </r>
  <r>
    <m/>
    <s v="CERRADO"/>
    <x v="476"/>
    <n v="839"/>
    <x v="10"/>
    <d v="2019-02-07T00:00:00"/>
    <x v="1"/>
    <n v="378"/>
    <x v="88"/>
    <n v="19175"/>
    <d v="2019-02-18T00:00:00"/>
    <s v="002-4600-1735"/>
    <n v="4615487176"/>
    <d v="2019-03-01T00:00:00"/>
    <n v="3.7826"/>
    <n v="1"/>
    <n v="839"/>
    <n v="1"/>
    <n v="423.73737373737373"/>
    <n v="0.89206197854588798"/>
    <n v="1"/>
    <n v="19175"/>
    <n v="6763.7822038320437"/>
    <n v="2113.6819386975139"/>
    <x v="133"/>
    <b v="1"/>
  </r>
  <r>
    <m/>
    <s v="CERRADO"/>
    <x v="477"/>
    <n v="7490"/>
    <x v="10"/>
    <d v="2019-02-07T00:00:00"/>
    <x v="1"/>
    <n v="3371"/>
    <x v="88"/>
    <n v="19175"/>
    <d v="2019-02-18T00:00:00"/>
    <s v="002-4600-1735"/>
    <n v="4615487176"/>
    <d v="2019-03-01T00:00:00"/>
    <n v="3.7826"/>
    <n v="1"/>
    <n v="7490"/>
    <n v="1"/>
    <n v="3782.8282828282827"/>
    <n v="0.89113217623497998"/>
    <n v="1"/>
    <n v="19175"/>
    <n v="6763.7822038320437"/>
    <n v="2113.6819386975139"/>
    <x v="405"/>
    <b v="1"/>
  </r>
  <r>
    <m/>
    <s v="CERRADO"/>
    <x v="478"/>
    <n v="5336"/>
    <x v="10"/>
    <d v="2019-02-07T00:00:00"/>
    <x v="1"/>
    <n v="2935"/>
    <x v="88"/>
    <n v="19175"/>
    <d v="2019-02-18T00:00:00"/>
    <s v="002-4600-1735"/>
    <n v="4615487176"/>
    <d v="2019-03-01T00:00:00"/>
    <n v="3.7826"/>
    <n v="1"/>
    <n v="5336"/>
    <n v="1"/>
    <n v="2694.9494949494951"/>
    <n v="1.0890742128935531"/>
    <n v="1"/>
    <n v="19175"/>
    <n v="6763.7822038320437"/>
    <n v="2113.6819386975139"/>
    <x v="406"/>
    <b v="1"/>
  </r>
  <r>
    <m/>
    <s v="CERRADO"/>
    <x v="479"/>
    <n v="3307"/>
    <x v="10"/>
    <d v="2019-02-07T00:00:00"/>
    <x v="1"/>
    <n v="1488"/>
    <x v="88"/>
    <n v="19175"/>
    <d v="2019-02-18T00:00:00"/>
    <s v="002-4600-1735"/>
    <n v="4615487176"/>
    <d v="2019-03-01T00:00:00"/>
    <n v="3.7826"/>
    <n v="1"/>
    <n v="10870"/>
    <n v="1"/>
    <n v="1670.2020202020203"/>
    <n v="0.89090892364305441"/>
    <n v="1"/>
    <n v="19175"/>
    <n v="6763.7822038320437"/>
    <n v="2113.6819386975139"/>
    <x v="407"/>
    <b v="1"/>
  </r>
  <r>
    <m/>
    <s v="CERRADO"/>
    <x v="248"/>
    <n v="6428"/>
    <x v="10"/>
    <d v="2019-02-07T00:00:00"/>
    <x v="1"/>
    <n v="3535"/>
    <x v="89"/>
    <n v="19175"/>
    <d v="2019-02-18T00:00:00"/>
    <s v="002-4600-1736"/>
    <n v="4615487176"/>
    <d v="2019-03-01T00:00:00"/>
    <n v="3.7826"/>
    <n v="1"/>
    <n v="19830"/>
    <n v="1"/>
    <n v="3246.4646464646466"/>
    <n v="1.0278787453981857"/>
    <n v="1"/>
    <n v="19175"/>
    <n v="6763.7822038320437"/>
    <n v="2113.6819386975139"/>
    <x v="408"/>
    <b v="1"/>
  </r>
  <r>
    <m/>
    <s v="CERRADO"/>
    <x v="480"/>
    <n v="19910"/>
    <x v="10"/>
    <d v="2019-02-07T00:00:00"/>
    <x v="1"/>
    <n v="10951"/>
    <x v="89"/>
    <n v="19175"/>
    <d v="2019-02-18T00:00:00"/>
    <s v="002-4600-1736"/>
    <n v="4615487176"/>
    <d v="2019-03-01T00:00:00"/>
    <n v="3.7826"/>
    <n v="1"/>
    <n v="19910"/>
    <n v="1"/>
    <n v="10055.555555555555"/>
    <n v="1.0890497237569061"/>
    <n v="1"/>
    <n v="19175"/>
    <n v="6763.7822038320437"/>
    <n v="2113.6819386975139"/>
    <x v="409"/>
    <b v="1"/>
  </r>
  <r>
    <m/>
    <s v="CERRADO"/>
    <x v="481"/>
    <n v="8525"/>
    <x v="10"/>
    <d v="2019-02-07T00:00:00"/>
    <x v="1"/>
    <n v="4689"/>
    <x v="89"/>
    <n v="19175"/>
    <d v="2019-02-18T00:00:00"/>
    <s v="002-4600-1736"/>
    <n v="4615487176"/>
    <d v="2019-03-01T00:00:00"/>
    <n v="3.7826"/>
    <n v="1"/>
    <n v="19400"/>
    <n v="1"/>
    <n v="4305.5555555555557"/>
    <n v="1.089"/>
    <n v="1"/>
    <n v="19175"/>
    <n v="6763.7822038320437"/>
    <n v="2113.6819386975139"/>
    <x v="410"/>
    <b v="1"/>
  </r>
  <r>
    <m/>
    <s v="CERRADO"/>
    <x v="481"/>
    <n v="10875"/>
    <x v="10"/>
    <d v="2019-02-07T00:00:00"/>
    <x v="1"/>
    <n v="5981"/>
    <x v="90"/>
    <n v="19175"/>
    <d v="2019-02-18T00:00:00"/>
    <s v="002-4600-1737"/>
    <n v="4615487176"/>
    <d v="2019-03-01T00:00:00"/>
    <n v="3.7826"/>
    <n v="1"/>
    <n v="19400"/>
    <n v="1"/>
    <n v="5492.424242424242"/>
    <n v="1.089"/>
    <n v="1"/>
    <n v="19175"/>
    <n v="6763.7822038320437"/>
    <n v="2113.6819386975139"/>
    <x v="411"/>
    <b v="1"/>
  </r>
  <r>
    <m/>
    <s v="CERRADO"/>
    <x v="482"/>
    <n v="19600"/>
    <x v="10"/>
    <d v="2019-02-07T00:00:00"/>
    <x v="1"/>
    <n v="10780"/>
    <x v="90"/>
    <n v="19175"/>
    <d v="2019-02-18T00:00:00"/>
    <s v="002-4600-1737"/>
    <n v="4615487176"/>
    <d v="2019-03-01T00:00:00"/>
    <n v="3.7826"/>
    <n v="1"/>
    <n v="19600"/>
    <n v="1"/>
    <n v="9898.9898989898993"/>
    <n v="1.089"/>
    <n v="1"/>
    <n v="19175"/>
    <n v="6763.7822038320437"/>
    <n v="2113.6819386975139"/>
    <x v="6"/>
    <b v="1"/>
  </r>
  <r>
    <m/>
    <s v="CERRADO"/>
    <x v="475"/>
    <n v="4389"/>
    <x v="10"/>
    <d v="2019-02-07T00:00:00"/>
    <x v="1"/>
    <n v="2414"/>
    <x v="90"/>
    <n v="19175"/>
    <d v="2019-02-18T00:00:00"/>
    <s v="002-4600-1737"/>
    <n v="4615487176"/>
    <d v="2019-03-01T00:00:00"/>
    <n v="3.7826"/>
    <n v="1"/>
    <n v="20090"/>
    <n v="1"/>
    <n v="2216.6666666666665"/>
    <n v="1.0890492782478844"/>
    <n v="1"/>
    <n v="19175"/>
    <n v="6763.7822038320437"/>
    <n v="2113.6819386975139"/>
    <x v="412"/>
    <b v="1"/>
  </r>
  <r>
    <m/>
    <s v="CERRADO"/>
    <x v="483"/>
    <n v="4124"/>
    <x v="10"/>
    <d v="2019-02-07T00:00:00"/>
    <x v="1"/>
    <n v="2268"/>
    <x v="91"/>
    <n v="19175"/>
    <d v="2019-02-18T00:00:00"/>
    <s v="002-4600-1738"/>
    <n v="4615487176"/>
    <d v="2019-03-01T00:00:00"/>
    <n v="3.7826"/>
    <n v="1"/>
    <n v="32800"/>
    <n v="1"/>
    <n v="2082.8282828282827"/>
    <n v="1.089"/>
    <n v="1"/>
    <n v="19175"/>
    <n v="6763.7822038320437"/>
    <n v="2113.6819386975139"/>
    <x v="413"/>
    <b v="1"/>
  </r>
  <r>
    <m/>
    <s v="CERRADO"/>
    <x v="484"/>
    <n v="16380"/>
    <x v="10"/>
    <d v="2019-02-07T00:00:00"/>
    <x v="1"/>
    <n v="9009"/>
    <x v="91"/>
    <n v="19175"/>
    <d v="2019-02-18T00:00:00"/>
    <s v="002-4600-1738"/>
    <n v="4615487176"/>
    <d v="2019-03-01T00:00:00"/>
    <n v="3.7826"/>
    <n v="1"/>
    <n v="16380"/>
    <n v="1"/>
    <n v="8272.7272727272721"/>
    <n v="1.0890000000000002"/>
    <n v="1"/>
    <n v="19175"/>
    <n v="6763.7822038320437"/>
    <n v="2113.6819386975139"/>
    <x v="6"/>
    <b v="1"/>
  </r>
  <r>
    <m/>
    <s v="CERRADO"/>
    <x v="485"/>
    <n v="14360"/>
    <x v="10"/>
    <d v="2019-02-07T00:00:00"/>
    <x v="1"/>
    <n v="7898"/>
    <x v="91"/>
    <n v="19175"/>
    <d v="2019-02-18T00:00:00"/>
    <s v="002-4600-1738"/>
    <n v="4615487176"/>
    <d v="2019-03-01T00:00:00"/>
    <n v="3.7826"/>
    <n v="1"/>
    <n v="16790"/>
    <n v="1"/>
    <n v="7252.5252525252527"/>
    <n v="1.0890589636688504"/>
    <n v="1"/>
    <n v="19175"/>
    <n v="6763.7822038320437"/>
    <n v="2113.6819386975139"/>
    <x v="6"/>
    <b v="1"/>
  </r>
  <r>
    <m/>
    <s v="CERRADO"/>
    <x v="485"/>
    <n v="2430"/>
    <x v="10"/>
    <d v="2019-02-07T00:00:00"/>
    <x v="1"/>
    <n v="1337"/>
    <x v="92"/>
    <n v="19175"/>
    <d v="2019-02-18T00:00:00"/>
    <s v="002-4600-1739"/>
    <n v="4615487176"/>
    <d v="2019-03-01T00:00:00"/>
    <n v="3.7826"/>
    <n v="1"/>
    <n v="16790"/>
    <n v="1"/>
    <n v="1227.2727272727273"/>
    <n v="1.0890589636688504"/>
    <n v="1"/>
    <n v="19175"/>
    <n v="6763.7822038320437"/>
    <n v="2113.6819386975139"/>
    <x v="414"/>
    <b v="1"/>
  </r>
  <r>
    <m/>
    <s v="CERRADO"/>
    <x v="486"/>
    <n v="14710"/>
    <x v="10"/>
    <d v="2019-02-07T00:00:00"/>
    <x v="1"/>
    <n v="8091"/>
    <x v="92"/>
    <n v="19175"/>
    <d v="2019-02-18T00:00:00"/>
    <s v="002-4600-1739"/>
    <n v="4615487176"/>
    <d v="2019-03-01T00:00:00"/>
    <n v="3.7826"/>
    <n v="1"/>
    <n v="14710"/>
    <n v="1"/>
    <n v="7429.2929292929293"/>
    <n v="1.0890673011556764"/>
    <n v="1"/>
    <n v="19175"/>
    <n v="6763.7822038320437"/>
    <n v="2113.6819386975139"/>
    <x v="415"/>
    <b v="1"/>
  </r>
  <r>
    <m/>
    <s v="CERRADO"/>
    <x v="487"/>
    <n v="5100"/>
    <x v="10"/>
    <d v="2019-02-07T00:00:00"/>
    <x v="1"/>
    <n v="2805"/>
    <x v="92"/>
    <n v="19175"/>
    <d v="2019-02-18T00:00:00"/>
    <s v="002-4600-1739"/>
    <n v="4615487176"/>
    <d v="2019-03-01T00:00:00"/>
    <n v="3.7826"/>
    <n v="1"/>
    <n v="5100"/>
    <n v="1"/>
    <n v="2575.757575757576"/>
    <n v="1.089"/>
    <n v="1"/>
    <n v="19175"/>
    <n v="6763.7822038320437"/>
    <n v="2113.6819386975139"/>
    <x v="6"/>
    <b v="1"/>
  </r>
  <r>
    <m/>
    <s v="CERRADO"/>
    <x v="488"/>
    <n v="4541"/>
    <x v="10"/>
    <d v="2019-02-07T00:00:00"/>
    <x v="1"/>
    <n v="2498"/>
    <x v="92"/>
    <n v="19175"/>
    <d v="2019-02-18T00:00:00"/>
    <s v="002-4600-1739"/>
    <n v="4615487176"/>
    <d v="2019-03-01T00:00:00"/>
    <n v="3.7826"/>
    <n v="1"/>
    <n v="4541"/>
    <n v="1"/>
    <n v="2293.4343434343436"/>
    <n v="1.0891962122880421"/>
    <n v="1"/>
    <n v="19175"/>
    <n v="6763.7822038320437"/>
    <n v="2113.6819386975139"/>
    <x v="416"/>
    <b v="1"/>
  </r>
  <r>
    <m/>
    <s v="CERRADO"/>
    <x v="470"/>
    <n v="8080"/>
    <x v="10"/>
    <d v="2019-02-07T00:00:00"/>
    <x v="1"/>
    <n v="4444"/>
    <x v="92"/>
    <n v="19175"/>
    <d v="2019-02-18T00:00:00"/>
    <s v="002-4600-1739"/>
    <n v="4615487176"/>
    <d v="2019-03-01T00:00:00"/>
    <n v="3.7826"/>
    <n v="1"/>
    <n v="15050"/>
    <n v="1"/>
    <n v="4080.8080808080808"/>
    <n v="1.089065780730897"/>
    <n v="1"/>
    <n v="19175"/>
    <n v="6763.7822038320437"/>
    <n v="2113.6819386975139"/>
    <x v="6"/>
    <b v="1"/>
  </r>
  <r>
    <m/>
    <s v="CERRADO"/>
    <x v="479"/>
    <n v="7563"/>
    <x v="10"/>
    <d v="2019-02-07T00:00:00"/>
    <x v="1"/>
    <n v="3403"/>
    <x v="93"/>
    <n v="19175"/>
    <d v="2019-02-18T00:00:00"/>
    <s v="002-4600-1740"/>
    <n v="4615487176"/>
    <d v="2019-03-01T00:00:00"/>
    <n v="3.7826"/>
    <n v="1"/>
    <n v="10870"/>
    <n v="1"/>
    <n v="3819.6969696969695"/>
    <n v="0.89090892364305441"/>
    <n v="1"/>
    <n v="19175"/>
    <n v="6763.7822038320437"/>
    <n v="2113.6819386975139"/>
    <x v="334"/>
    <b v="1"/>
  </r>
  <r>
    <m/>
    <s v="CERRADO"/>
    <x v="483"/>
    <n v="28676"/>
    <x v="10"/>
    <d v="2019-02-07T00:00:00"/>
    <x v="1"/>
    <n v="15772"/>
    <x v="93"/>
    <n v="19175"/>
    <d v="2019-02-18T00:00:00"/>
    <s v="002-4600-1740"/>
    <n v="4615487176"/>
    <d v="2019-03-01T00:00:00"/>
    <n v="3.7826"/>
    <n v="1"/>
    <n v="32800"/>
    <n v="1"/>
    <n v="14482.828282828283"/>
    <n v="1.089"/>
    <n v="1"/>
    <n v="19175"/>
    <n v="6763.7822038320437"/>
    <n v="2113.6819386975139"/>
    <x v="417"/>
    <b v="1"/>
  </r>
  <r>
    <m/>
    <s v="CERRADO"/>
    <x v="489"/>
    <n v="368"/>
    <x v="11"/>
    <d v="2019-02-18T00:00:00"/>
    <x v="5"/>
    <n v="166"/>
    <x v="94"/>
    <n v="19175"/>
    <d v="2019-02-25T00:00:00"/>
    <s v="002-4600-1698"/>
    <n v="4615488366"/>
    <d v="2019-03-12T00:00:00"/>
    <n v="3.8123"/>
    <n v="1"/>
    <n v="14950"/>
    <n v="1"/>
    <n v="183.08457711442787"/>
    <n v="0.90456722408026746"/>
    <n v="1"/>
    <n v="19175"/>
    <n v="6763.7822038320437"/>
    <n v="0"/>
    <x v="418"/>
    <b v="1"/>
  </r>
  <r>
    <m/>
    <s v="CERRADO"/>
    <x v="490"/>
    <n v="13100"/>
    <x v="11"/>
    <d v="2019-02-18T00:00:00"/>
    <x v="5"/>
    <n v="5895"/>
    <x v="94"/>
    <n v="19175"/>
    <d v="2019-02-25T00:00:00"/>
    <s v="002-4600-1698"/>
    <n v="4615488366"/>
    <d v="2019-03-12T00:00:00"/>
    <n v="3.8123"/>
    <n v="1"/>
    <n v="13100"/>
    <n v="1"/>
    <n v="6517.4129353233839"/>
    <n v="0.90449999999999986"/>
    <n v="1"/>
    <n v="19175"/>
    <n v="6763.7822038320437"/>
    <n v="0"/>
    <x v="2"/>
    <b v="1"/>
  </r>
  <r>
    <m/>
    <s v="CERRADO"/>
    <x v="491"/>
    <n v="8550"/>
    <x v="11"/>
    <d v="2019-02-18T00:00:00"/>
    <x v="5"/>
    <n v="3848"/>
    <x v="94"/>
    <n v="19175"/>
    <d v="2019-02-25T00:00:00"/>
    <s v="002-4600-1698"/>
    <n v="4615488366"/>
    <d v="2019-03-12T00:00:00"/>
    <n v="3.8123"/>
    <n v="1"/>
    <n v="8550"/>
    <n v="1"/>
    <n v="4253.7313432835826"/>
    <n v="0.90461754385964899"/>
    <n v="1"/>
    <n v="19175"/>
    <n v="6763.7822038320437"/>
    <n v="0"/>
    <x v="419"/>
    <b v="1"/>
  </r>
  <r>
    <m/>
    <s v="CERRADO"/>
    <x v="492"/>
    <n v="5640"/>
    <x v="11"/>
    <d v="2019-02-18T00:00:00"/>
    <x v="5"/>
    <n v="2538"/>
    <x v="94"/>
    <n v="19175"/>
    <d v="2019-02-25T00:00:00"/>
    <s v="002-4600-1698"/>
    <n v="4615488366"/>
    <d v="2019-03-12T00:00:00"/>
    <n v="3.8123"/>
    <n v="1"/>
    <n v="5640"/>
    <n v="1"/>
    <n v="2805.9701492537315"/>
    <n v="0.90449999999999997"/>
    <n v="1"/>
    <n v="19175"/>
    <n v="6763.7822038320437"/>
    <n v="0"/>
    <x v="2"/>
    <b v="1"/>
  </r>
  <r>
    <m/>
    <s v="CERRADO"/>
    <x v="493"/>
    <n v="12233"/>
    <x v="11"/>
    <d v="2019-02-18T00:00:00"/>
    <x v="5"/>
    <n v="6728"/>
    <x v="94"/>
    <n v="19175"/>
    <d v="2019-02-25T00:00:00"/>
    <s v="002-4600-1698"/>
    <n v="4615488366"/>
    <d v="2019-03-12T00:00:00"/>
    <n v="3.8123"/>
    <n v="1"/>
    <n v="12233"/>
    <n v="1"/>
    <n v="6086.0696517412944"/>
    <n v="1.1054753535518678"/>
    <n v="1"/>
    <n v="19175"/>
    <n v="6763.7822038320437"/>
    <n v="0"/>
    <x v="420"/>
    <b v="1"/>
  </r>
  <r>
    <m/>
    <s v="CERRADO"/>
    <x v="494"/>
    <n v="17750"/>
    <x v="11"/>
    <d v="2019-02-18T00:00:00"/>
    <x v="5"/>
    <n v="7988"/>
    <x v="95"/>
    <n v="19175"/>
    <d v="2019-02-25T00:00:00"/>
    <s v="002-4600-1699"/>
    <n v="4615488366"/>
    <d v="2019-03-12T00:00:00"/>
    <n v="3.8123"/>
    <n v="1"/>
    <n v="19070"/>
    <n v="1"/>
    <n v="8830.8457711442788"/>
    <n v="0.90455270057682224"/>
    <n v="1"/>
    <n v="19175"/>
    <n v="6763.7822038320437"/>
    <n v="0"/>
    <x v="421"/>
    <b v="1"/>
  </r>
  <r>
    <m/>
    <s v="CERRADO"/>
    <x v="495"/>
    <n v="8700"/>
    <x v="11"/>
    <d v="2019-02-18T00:00:00"/>
    <x v="5"/>
    <n v="3915"/>
    <x v="95"/>
    <n v="19175"/>
    <d v="2019-02-25T00:00:00"/>
    <s v="002-4600-1699"/>
    <n v="4615488366"/>
    <d v="2019-03-12T00:00:00"/>
    <n v="3.8123"/>
    <n v="1"/>
    <n v="8700"/>
    <n v="1"/>
    <n v="4328.3582089552247"/>
    <n v="0.90449999999999986"/>
    <n v="1"/>
    <n v="19175"/>
    <n v="6763.7822038320437"/>
    <n v="0"/>
    <x v="2"/>
    <b v="1"/>
  </r>
  <r>
    <m/>
    <s v="CERRADO"/>
    <x v="496"/>
    <n v="13222"/>
    <x v="11"/>
    <d v="2019-02-18T00:00:00"/>
    <x v="5"/>
    <n v="7272"/>
    <x v="95"/>
    <n v="19175"/>
    <d v="2019-02-25T00:00:00"/>
    <s v="002-4600-1699"/>
    <n v="4615488366"/>
    <d v="2019-03-12T00:00:00"/>
    <n v="3.8123"/>
    <n v="1"/>
    <n v="14940"/>
    <n v="1"/>
    <n v="6578.1094527363193"/>
    <n v="1.1054999999999999"/>
    <n v="1"/>
    <n v="19175"/>
    <n v="6763.7822038320437"/>
    <n v="0"/>
    <x v="422"/>
    <b v="1"/>
  </r>
  <r>
    <m/>
    <s v="CERRADO"/>
    <x v="497"/>
    <n v="22"/>
    <x v="11"/>
    <d v="2019-02-18T00:00:00"/>
    <x v="5"/>
    <n v="10"/>
    <x v="96"/>
    <n v="19175"/>
    <d v="2019-02-25T00:00:00"/>
    <s v="002-4600-1700"/>
    <n v="4615488366"/>
    <d v="2019-03-12T00:00:00"/>
    <n v="3.8123"/>
    <n v="1"/>
    <n v="6520"/>
    <n v="1"/>
    <n v="10.945273631840797"/>
    <n v="0.90449999999999986"/>
    <n v="1"/>
    <n v="19175"/>
    <n v="6763.7822038320437"/>
    <n v="0"/>
    <x v="423"/>
    <b v="1"/>
  </r>
  <r>
    <m/>
    <s v="CERRADO"/>
    <x v="498"/>
    <n v="6005"/>
    <x v="11"/>
    <d v="2019-02-18T00:00:00"/>
    <x v="5"/>
    <n v="3303"/>
    <x v="96"/>
    <n v="19175"/>
    <d v="2019-02-25T00:00:00"/>
    <s v="002-4600-1700"/>
    <n v="4615488366"/>
    <d v="2019-03-12T00:00:00"/>
    <n v="3.8123"/>
    <n v="1"/>
    <n v="6005"/>
    <n v="1"/>
    <n v="2987.5621890547268"/>
    <n v="1.1055836802664445"/>
    <n v="1"/>
    <n v="19175"/>
    <n v="6763.7822038320437"/>
    <n v="0"/>
    <x v="424"/>
    <b v="1"/>
  </r>
  <r>
    <m/>
    <s v="CERRADO"/>
    <x v="499"/>
    <n v="7975"/>
    <x v="11"/>
    <d v="2019-02-18T00:00:00"/>
    <x v="5"/>
    <n v="4386"/>
    <x v="96"/>
    <n v="19175"/>
    <d v="2019-02-25T00:00:00"/>
    <s v="002-4600-1700"/>
    <n v="4615488366"/>
    <d v="2019-03-12T00:00:00"/>
    <n v="3.8123"/>
    <n v="1"/>
    <n v="7975"/>
    <n v="1"/>
    <n v="3967.6616915422892"/>
    <n v="1.1054369905956112"/>
    <n v="1"/>
    <n v="19175"/>
    <n v="6763.7822038320437"/>
    <n v="0"/>
    <x v="425"/>
    <b v="1"/>
  </r>
  <r>
    <m/>
    <s v="CERRADO"/>
    <x v="500"/>
    <n v="5996"/>
    <x v="11"/>
    <d v="2019-02-18T00:00:00"/>
    <x v="5"/>
    <n v="3298"/>
    <x v="96"/>
    <n v="19175"/>
    <d v="2019-02-25T00:00:00"/>
    <s v="002-4600-1700"/>
    <n v="4615488366"/>
    <d v="2019-03-12T00:00:00"/>
    <n v="3.8123"/>
    <n v="1"/>
    <n v="5996"/>
    <n v="1"/>
    <n v="2983.0845771144282"/>
    <n v="1.1055670446964643"/>
    <n v="1"/>
    <n v="19175"/>
    <n v="6763.7822038320437"/>
    <n v="0"/>
    <x v="426"/>
    <b v="1"/>
  </r>
  <r>
    <m/>
    <s v="CERRADO"/>
    <x v="501"/>
    <n v="300"/>
    <x v="11"/>
    <d v="2019-02-18T00:00:00"/>
    <x v="5"/>
    <n v="135"/>
    <x v="96"/>
    <n v="19175"/>
    <d v="2019-02-25T00:00:00"/>
    <s v="002-4600-1700"/>
    <n v="4615488366"/>
    <d v="2019-03-12T00:00:00"/>
    <n v="3.8123"/>
    <n v="1"/>
    <n v="300"/>
    <n v="1"/>
    <n v="149.25373134328359"/>
    <n v="0.90449999999999997"/>
    <n v="1"/>
    <n v="19175"/>
    <n v="6763.7822038320437"/>
    <n v="0"/>
    <x v="2"/>
    <b v="1"/>
  </r>
  <r>
    <m/>
    <s v="CERRADO"/>
    <x v="502"/>
    <n v="60"/>
    <x v="11"/>
    <d v="2019-02-18T00:00:00"/>
    <x v="5"/>
    <n v="27"/>
    <x v="96"/>
    <n v="19175"/>
    <d v="2019-02-25T00:00:00"/>
    <s v="002-4600-1700"/>
    <n v="4615488366"/>
    <d v="2019-03-12T00:00:00"/>
    <n v="3.8123"/>
    <n v="1"/>
    <n v="60"/>
    <n v="1"/>
    <n v="29.850746268656721"/>
    <n v="0.90449999999999986"/>
    <n v="1"/>
    <n v="19175"/>
    <n v="6763.7822038320437"/>
    <n v="0"/>
    <x v="2"/>
    <b v="1"/>
  </r>
  <r>
    <m/>
    <s v="CERRADO"/>
    <x v="503"/>
    <n v="360"/>
    <x v="11"/>
    <d v="2019-02-18T00:00:00"/>
    <x v="5"/>
    <n v="162"/>
    <x v="96"/>
    <n v="19175"/>
    <d v="2019-02-25T00:00:00"/>
    <s v="002-4600-1700"/>
    <n v="4615488366"/>
    <d v="2019-03-12T00:00:00"/>
    <n v="3.8123"/>
    <n v="1"/>
    <n v="360"/>
    <n v="1"/>
    <n v="179.10447761194033"/>
    <n v="0.90449999999999986"/>
    <n v="1"/>
    <n v="19175"/>
    <n v="6763.7822038320437"/>
    <n v="0"/>
    <x v="2"/>
    <b v="1"/>
  </r>
  <r>
    <m/>
    <s v="CERRADO"/>
    <x v="504"/>
    <n v="2871"/>
    <x v="11"/>
    <d v="2019-02-18T00:00:00"/>
    <x v="5"/>
    <n v="1292"/>
    <x v="96"/>
    <n v="19175"/>
    <d v="2019-02-25T00:00:00"/>
    <s v="002-4600-1700"/>
    <n v="4615488366"/>
    <d v="2019-03-12T00:00:00"/>
    <n v="3.8123"/>
    <n v="1"/>
    <n v="2871"/>
    <n v="1"/>
    <n v="1428.358208955224"/>
    <n v="0.90453500522466035"/>
    <n v="1"/>
    <n v="19175"/>
    <n v="6763.7822038320437"/>
    <n v="0"/>
    <x v="427"/>
    <b v="1"/>
  </r>
  <r>
    <m/>
    <s v="CERRADO"/>
    <x v="489"/>
    <n v="14582"/>
    <x v="11"/>
    <d v="2019-02-18T00:00:00"/>
    <x v="5"/>
    <n v="6562"/>
    <x v="96"/>
    <n v="19175"/>
    <d v="2019-02-25T00:00:00"/>
    <s v="002-4600-1700"/>
    <n v="4615488366"/>
    <d v="2019-03-12T00:00:00"/>
    <n v="3.8123"/>
    <n v="1"/>
    <n v="14950"/>
    <n v="1"/>
    <n v="7254.7263681592049"/>
    <n v="0.90456722408026746"/>
    <n v="1"/>
    <n v="19175"/>
    <n v="6763.7822038320437"/>
    <n v="0"/>
    <x v="428"/>
    <b v="1"/>
  </r>
  <r>
    <m/>
    <s v="CERRADO"/>
    <x v="505"/>
    <n v="2491"/>
    <x v="11"/>
    <d v="2019-02-18T00:00:00"/>
    <x v="5"/>
    <n v="1121"/>
    <x v="97"/>
    <n v="19175"/>
    <d v="2019-02-25T00:00:00"/>
    <s v="002-4600-1701"/>
    <n v="4615488366"/>
    <d v="2019-03-12T00:00:00"/>
    <n v="3.8123"/>
    <n v="1"/>
    <n v="15560"/>
    <n v="1"/>
    <n v="1239.3034825870648"/>
    <n v="0.90449999999999997"/>
    <n v="1"/>
    <n v="19175"/>
    <n v="6763.7822038320437"/>
    <n v="0"/>
    <x v="429"/>
    <b v="1"/>
  </r>
  <r>
    <m/>
    <s v="CERRADO"/>
    <x v="506"/>
    <n v="5520"/>
    <x v="11"/>
    <d v="2019-02-18T00:00:00"/>
    <x v="5"/>
    <n v="2484"/>
    <x v="97"/>
    <n v="19175"/>
    <d v="2019-02-25T00:00:00"/>
    <s v="002-4600-1701"/>
    <n v="4615488366"/>
    <d v="2019-03-12T00:00:00"/>
    <n v="3.8123"/>
    <n v="1"/>
    <n v="5520"/>
    <n v="1"/>
    <n v="2746.2686567164183"/>
    <n v="0.90449999999999986"/>
    <n v="1"/>
    <n v="19175"/>
    <n v="6763.7822038320437"/>
    <n v="0"/>
    <x v="2"/>
    <b v="1"/>
  </r>
  <r>
    <m/>
    <s v="CERRADO"/>
    <x v="507"/>
    <n v="7820"/>
    <x v="11"/>
    <d v="2019-02-18T00:00:00"/>
    <x v="5"/>
    <n v="4301"/>
    <x v="97"/>
    <n v="19175"/>
    <d v="2019-02-25T00:00:00"/>
    <s v="002-4600-1701"/>
    <n v="4615488366"/>
    <d v="2019-03-12T00:00:00"/>
    <n v="3.8123"/>
    <n v="1"/>
    <n v="7820"/>
    <n v="1"/>
    <n v="3890.5472636815925"/>
    <n v="1.1054999999999999"/>
    <n v="1"/>
    <n v="19175"/>
    <n v="6763.7822038320437"/>
    <n v="0"/>
    <x v="6"/>
    <b v="1"/>
  </r>
  <r>
    <m/>
    <s v="CERRADO"/>
    <x v="508"/>
    <n v="2843"/>
    <x v="11"/>
    <d v="2019-02-18T00:00:00"/>
    <x v="5"/>
    <n v="1564"/>
    <x v="97"/>
    <n v="19175"/>
    <d v="2019-02-25T00:00:00"/>
    <s v="002-4600-1701"/>
    <n v="4615488366"/>
    <d v="2019-03-12T00:00:00"/>
    <n v="3.8123"/>
    <n v="1"/>
    <n v="2843"/>
    <n v="1"/>
    <n v="1414.4278606965177"/>
    <n v="1.1057474498768904"/>
    <n v="1"/>
    <n v="19175"/>
    <n v="6763.7822038320437"/>
    <n v="0"/>
    <x v="430"/>
    <b v="1"/>
  </r>
  <r>
    <m/>
    <s v="CERRADO"/>
    <x v="509"/>
    <n v="2947"/>
    <x v="11"/>
    <d v="2019-02-18T00:00:00"/>
    <x v="5"/>
    <n v="1621"/>
    <x v="97"/>
    <n v="19175"/>
    <d v="2019-02-25T00:00:00"/>
    <s v="002-4600-1701"/>
    <n v="4615488366"/>
    <d v="2019-03-12T00:00:00"/>
    <n v="3.8123"/>
    <n v="1"/>
    <n v="2947"/>
    <n v="1"/>
    <n v="1466.1691542288559"/>
    <n v="1.105602307431286"/>
    <n v="1"/>
    <n v="19175"/>
    <n v="6763.7822038320437"/>
    <n v="0"/>
    <x v="431"/>
    <b v="1"/>
  </r>
  <r>
    <m/>
    <s v="CERRADO"/>
    <x v="510"/>
    <n v="420"/>
    <x v="11"/>
    <d v="2019-02-18T00:00:00"/>
    <x v="5"/>
    <n v="189"/>
    <x v="97"/>
    <n v="19175"/>
    <d v="2019-02-25T00:00:00"/>
    <s v="002-4600-1701"/>
    <n v="4615488366"/>
    <d v="2019-03-12T00:00:00"/>
    <n v="3.8123"/>
    <n v="1"/>
    <n v="420"/>
    <n v="1"/>
    <n v="208.95522388059703"/>
    <n v="0.90449999999999997"/>
    <n v="1"/>
    <n v="19175"/>
    <n v="6763.7822038320437"/>
    <n v="0"/>
    <x v="2"/>
    <b v="1"/>
  </r>
  <r>
    <m/>
    <s v="CERRADO"/>
    <x v="511"/>
    <n v="3900"/>
    <x v="11"/>
    <d v="2019-02-18T00:00:00"/>
    <x v="5"/>
    <n v="1755"/>
    <x v="97"/>
    <n v="19175"/>
    <d v="2019-02-25T00:00:00"/>
    <s v="002-4600-1701"/>
    <n v="4615488366"/>
    <d v="2019-03-12T00:00:00"/>
    <n v="3.8123"/>
    <n v="1"/>
    <n v="3900"/>
    <n v="1"/>
    <n v="1940.2985074626868"/>
    <n v="0.90449999999999986"/>
    <n v="1"/>
    <n v="19175"/>
    <n v="6763.7822038320437"/>
    <n v="0"/>
    <x v="2"/>
    <b v="1"/>
  </r>
  <r>
    <m/>
    <s v="CERRADO"/>
    <x v="512"/>
    <n v="2943"/>
    <x v="11"/>
    <d v="2019-02-18T00:00:00"/>
    <x v="5"/>
    <n v="1324"/>
    <x v="97"/>
    <n v="19175"/>
    <d v="2019-02-25T00:00:00"/>
    <s v="002-4600-1701"/>
    <n v="4615488366"/>
    <d v="2019-03-12T00:00:00"/>
    <n v="3.8123"/>
    <n v="1"/>
    <n v="2943"/>
    <n v="1"/>
    <n v="1464.1791044776121"/>
    <n v="0.90426095820591224"/>
    <n v="1"/>
    <n v="19175"/>
    <n v="6763.7822038320437"/>
    <n v="0"/>
    <x v="432"/>
    <b v="1"/>
  </r>
  <r>
    <m/>
    <s v="CERRADO"/>
    <x v="513"/>
    <n v="4204"/>
    <x v="11"/>
    <d v="2019-02-18T00:00:00"/>
    <x v="5"/>
    <n v="1892"/>
    <x v="97"/>
    <n v="19175"/>
    <d v="2019-02-25T00:00:00"/>
    <s v="002-4600-1701"/>
    <n v="4615488366"/>
    <d v="2019-03-12T00:00:00"/>
    <n v="3.8123"/>
    <n v="1"/>
    <n v="4204"/>
    <n v="1"/>
    <n v="2091.5422885572143"/>
    <n v="0.90459562321598463"/>
    <n v="1"/>
    <n v="19175"/>
    <n v="6763.7822038320437"/>
    <n v="0"/>
    <x v="102"/>
    <b v="1"/>
  </r>
  <r>
    <m/>
    <s v="CERRADO"/>
    <x v="497"/>
    <n v="6498"/>
    <x v="11"/>
    <d v="2019-02-18T00:00:00"/>
    <x v="5"/>
    <n v="2924"/>
    <x v="97"/>
    <n v="19175"/>
    <d v="2019-02-25T00:00:00"/>
    <s v="002-4600-1701"/>
    <n v="4615488366"/>
    <d v="2019-03-12T00:00:00"/>
    <n v="3.8123"/>
    <n v="1"/>
    <n v="6520"/>
    <n v="1"/>
    <n v="3232.8358208955228"/>
    <n v="0.90449999999999986"/>
    <n v="1"/>
    <n v="19175"/>
    <n v="6763.7822038320437"/>
    <n v="0"/>
    <x v="433"/>
    <b v="1"/>
  </r>
  <r>
    <m/>
    <s v="CERRADO"/>
    <x v="496"/>
    <n v="1718"/>
    <x v="11"/>
    <d v="2019-02-18T00:00:00"/>
    <x v="5"/>
    <n v="945"/>
    <x v="98"/>
    <n v="19175"/>
    <d v="2019-02-25T00:00:00"/>
    <s v="002-4600-1702"/>
    <n v="4615488366"/>
    <d v="2019-03-12T00:00:00"/>
    <n v="3.8123"/>
    <n v="1"/>
    <n v="14940"/>
    <n v="1"/>
    <n v="854.72636815920407"/>
    <n v="1.1054999999999999"/>
    <n v="1"/>
    <n v="19175"/>
    <n v="6763.7822038320437"/>
    <n v="0"/>
    <x v="168"/>
    <b v="1"/>
  </r>
  <r>
    <m/>
    <s v="CERRADO"/>
    <x v="514"/>
    <n v="2345"/>
    <x v="11"/>
    <d v="2019-02-18T00:00:00"/>
    <x v="5"/>
    <n v="1055"/>
    <x v="98"/>
    <n v="19175"/>
    <d v="2019-02-25T00:00:00"/>
    <s v="002-4600-1702"/>
    <n v="4615488366"/>
    <d v="2019-03-12T00:00:00"/>
    <n v="3.8123"/>
    <n v="1"/>
    <n v="2345"/>
    <n v="1"/>
    <n v="1166.6666666666667"/>
    <n v="0.90428571428571425"/>
    <n v="1"/>
    <n v="19175"/>
    <n v="6763.7822038320437"/>
    <n v="0"/>
    <x v="434"/>
    <b v="1"/>
  </r>
  <r>
    <m/>
    <s v="CERRADO"/>
    <x v="515"/>
    <n v="6037"/>
    <x v="11"/>
    <d v="2019-02-18T00:00:00"/>
    <x v="5"/>
    <n v="2717"/>
    <x v="98"/>
    <n v="19175"/>
    <d v="2019-02-25T00:00:00"/>
    <s v="002-4600-1702"/>
    <n v="4615488366"/>
    <d v="2019-03-12T00:00:00"/>
    <n v="3.8123"/>
    <n v="1"/>
    <n v="6037"/>
    <n v="1"/>
    <n v="3003.4825870646769"/>
    <n v="0.90461653138976306"/>
    <n v="1"/>
    <n v="19175"/>
    <n v="6763.7822038320437"/>
    <n v="0"/>
    <x v="435"/>
    <b v="1"/>
  </r>
  <r>
    <m/>
    <s v="CERRADO"/>
    <x v="516"/>
    <n v="3355"/>
    <x v="11"/>
    <d v="2019-02-18T00:00:00"/>
    <x v="5"/>
    <n v="1510"/>
    <x v="98"/>
    <n v="19175"/>
    <d v="2019-02-25T00:00:00"/>
    <s v="002-4600-1702"/>
    <n v="4615488366"/>
    <d v="2019-03-12T00:00:00"/>
    <n v="3.8123"/>
    <n v="1"/>
    <n v="3355"/>
    <n v="1"/>
    <n v="1669.1542288557216"/>
    <n v="0.904649776453055"/>
    <n v="1"/>
    <n v="19175"/>
    <n v="6763.7822038320437"/>
    <n v="0"/>
    <x v="436"/>
    <b v="1"/>
  </r>
  <r>
    <m/>
    <s v="CERRADO"/>
    <x v="517"/>
    <n v="18510"/>
    <x v="11"/>
    <d v="2019-02-18T00:00:00"/>
    <x v="5"/>
    <n v="8330"/>
    <x v="98"/>
    <n v="19175"/>
    <d v="2019-02-25T00:00:00"/>
    <s v="002-4600-1702"/>
    <n v="4615488366"/>
    <d v="2019-03-12T00:00:00"/>
    <n v="3.8123"/>
    <n v="1"/>
    <n v="18510"/>
    <n v="1"/>
    <n v="9208.9552238805973"/>
    <n v="0.90455429497568884"/>
    <n v="1"/>
    <n v="19175"/>
    <n v="6763.7822038320437"/>
    <n v="0"/>
    <x v="247"/>
    <b v="1"/>
  </r>
  <r>
    <m/>
    <s v="CERRADO"/>
    <x v="518"/>
    <n v="10262"/>
    <x v="11"/>
    <d v="2019-02-18T00:00:00"/>
    <x v="5"/>
    <n v="4618"/>
    <x v="98"/>
    <n v="19175"/>
    <d v="2019-02-25T00:00:00"/>
    <s v="002-4600-1702"/>
    <n v="4615488366"/>
    <d v="2019-03-12T00:00:00"/>
    <n v="3.8123"/>
    <n v="1"/>
    <n v="14700"/>
    <n v="1"/>
    <n v="5105.4726368159209"/>
    <n v="0.90449999999999986"/>
    <n v="1"/>
    <n v="19175"/>
    <n v="6763.7822038320437"/>
    <n v="0"/>
    <x v="437"/>
    <b v="1"/>
  </r>
  <r>
    <m/>
    <s v="CERRADO"/>
    <x v="519"/>
    <n v="5453"/>
    <x v="11"/>
    <d v="2019-02-18T00:00:00"/>
    <x v="5"/>
    <n v="2999"/>
    <x v="99"/>
    <n v="19175"/>
    <d v="2019-02-25T00:00:00"/>
    <s v="002-4600-1703"/>
    <n v="4615488366"/>
    <d v="2019-03-12T00:00:00"/>
    <n v="3.8123"/>
    <n v="1"/>
    <n v="19720"/>
    <n v="1"/>
    <n v="2712.9353233830848"/>
    <n v="1.1054999999999999"/>
    <n v="1"/>
    <n v="19175"/>
    <n v="6763.7822038320437"/>
    <n v="0"/>
    <x v="438"/>
    <b v="1"/>
  </r>
  <r>
    <m/>
    <s v="CERRADO"/>
    <x v="520"/>
    <n v="8324"/>
    <x v="11"/>
    <d v="2019-02-18T00:00:00"/>
    <x v="5"/>
    <n v="4578"/>
    <x v="99"/>
    <n v="19175"/>
    <d v="2019-02-25T00:00:00"/>
    <s v="002-4600-1703"/>
    <n v="4615488366"/>
    <d v="2019-03-12T00:00:00"/>
    <n v="3.8123"/>
    <n v="1"/>
    <n v="8324"/>
    <n v="1"/>
    <n v="4141.293532338309"/>
    <n v="1.1054517059106197"/>
    <n v="1"/>
    <n v="19175"/>
    <n v="6763.7822038320437"/>
    <n v="0"/>
    <x v="439"/>
    <b v="1"/>
  </r>
  <r>
    <m/>
    <s v="CERRADO"/>
    <x v="521"/>
    <n v="8572"/>
    <x v="11"/>
    <d v="2019-02-18T00:00:00"/>
    <x v="5"/>
    <n v="4715"/>
    <x v="99"/>
    <n v="19175"/>
    <d v="2019-02-25T00:00:00"/>
    <s v="002-4600-1703"/>
    <n v="4615488366"/>
    <d v="2019-03-12T00:00:00"/>
    <n v="3.8123"/>
    <n v="1"/>
    <n v="8572"/>
    <n v="1"/>
    <n v="4264.6766169154234"/>
    <n v="1.1055937937470834"/>
    <n v="1"/>
    <n v="19175"/>
    <n v="6763.7822038320437"/>
    <n v="0"/>
    <x v="440"/>
    <b v="1"/>
  </r>
  <r>
    <m/>
    <s v="CERRADO"/>
    <x v="522"/>
    <n v="9160"/>
    <x v="11"/>
    <d v="2019-02-18T00:00:00"/>
    <x v="5"/>
    <n v="4122"/>
    <x v="99"/>
    <n v="19175"/>
    <d v="2019-02-25T00:00:00"/>
    <s v="002-4600-1703"/>
    <n v="4615488366"/>
    <d v="2019-03-12T00:00:00"/>
    <n v="3.8123"/>
    <n v="1"/>
    <n v="9160"/>
    <n v="1"/>
    <n v="4557.2139303482591"/>
    <n v="0.90449999999999997"/>
    <n v="1"/>
    <n v="19175"/>
    <n v="6763.7822038320437"/>
    <n v="0"/>
    <x v="2"/>
    <b v="1"/>
  </r>
  <r>
    <m/>
    <s v="CERRADO"/>
    <x v="523"/>
    <n v="4815"/>
    <x v="11"/>
    <d v="2019-02-18T00:00:00"/>
    <x v="5"/>
    <n v="2167"/>
    <x v="99"/>
    <n v="19175"/>
    <d v="2019-02-25T00:00:00"/>
    <s v="002-4600-1703"/>
    <n v="4615488366"/>
    <d v="2019-03-12T00:00:00"/>
    <n v="3.8123"/>
    <n v="1"/>
    <n v="4815"/>
    <n v="1"/>
    <n v="2395.5223880597018"/>
    <n v="0.90460436137071643"/>
    <n v="1"/>
    <n v="19175"/>
    <n v="6763.7822038320437"/>
    <n v="0"/>
    <x v="96"/>
    <b v="1"/>
  </r>
  <r>
    <m/>
    <s v="CERRADO"/>
    <x v="494"/>
    <n v="1320"/>
    <x v="11"/>
    <d v="2019-02-18T00:00:00"/>
    <x v="5"/>
    <n v="594"/>
    <x v="99"/>
    <n v="19175"/>
    <d v="2019-02-25T00:00:00"/>
    <s v="002-4600-1703"/>
    <n v="4615488366"/>
    <d v="2019-03-12T00:00:00"/>
    <n v="3.8123"/>
    <n v="1"/>
    <n v="19070"/>
    <n v="1"/>
    <n v="656.71641791044783"/>
    <n v="0.90455270057682224"/>
    <n v="1"/>
    <n v="19175"/>
    <n v="6763.7822038320437"/>
    <n v="0"/>
    <x v="2"/>
    <b v="1"/>
  </r>
  <r>
    <m/>
    <s v="CERRADO"/>
    <x v="524"/>
    <n v="13178"/>
    <x v="11"/>
    <d v="2019-02-18T00:00:00"/>
    <x v="5"/>
    <n v="5930"/>
    <x v="100"/>
    <n v="19175"/>
    <d v="2019-02-25T00:00:00"/>
    <s v="002-4600-1704"/>
    <n v="4615488366"/>
    <d v="2019-03-12T00:00:00"/>
    <n v="3.8123"/>
    <n v="1"/>
    <n v="16880"/>
    <n v="1"/>
    <n v="6556.2189054726377"/>
    <n v="0.90449999999999986"/>
    <n v="1"/>
    <n v="19175"/>
    <n v="6763.7822038320437"/>
    <n v="0"/>
    <x v="441"/>
    <b v="1"/>
  </r>
  <r>
    <m/>
    <s v="CERRADO"/>
    <x v="525"/>
    <n v="5509"/>
    <x v="11"/>
    <d v="2019-02-18T00:00:00"/>
    <x v="5"/>
    <n v="2479"/>
    <x v="100"/>
    <n v="19175"/>
    <d v="2019-02-25T00:00:00"/>
    <s v="002-4600-1704"/>
    <n v="4615488366"/>
    <d v="2019-03-12T00:00:00"/>
    <n v="3.8123"/>
    <n v="1"/>
    <n v="5509"/>
    <n v="1"/>
    <n v="2740.7960199004979"/>
    <n v="0.90448175712470491"/>
    <n v="1"/>
    <n v="19175"/>
    <n v="6763.7822038320437"/>
    <n v="0"/>
    <x v="442"/>
    <b v="1"/>
  </r>
  <r>
    <m/>
    <s v="CERRADO"/>
    <x v="526"/>
    <n v="6487"/>
    <x v="11"/>
    <d v="2019-02-18T00:00:00"/>
    <x v="5"/>
    <n v="2919"/>
    <x v="100"/>
    <n v="19175"/>
    <d v="2019-02-25T00:00:00"/>
    <s v="002-4600-1704"/>
    <n v="4615488366"/>
    <d v="2019-03-12T00:00:00"/>
    <n v="3.8123"/>
    <n v="1"/>
    <n v="6487"/>
    <n v="1"/>
    <n v="3227.3631840796024"/>
    <n v="0.90445352242947419"/>
    <n v="1"/>
    <n v="19175"/>
    <n v="6763.7822038320437"/>
    <n v="0"/>
    <x v="443"/>
    <b v="1"/>
  </r>
  <r>
    <m/>
    <s v="CERRADO"/>
    <x v="519"/>
    <n v="14267"/>
    <x v="11"/>
    <d v="2019-02-18T00:00:00"/>
    <x v="5"/>
    <n v="7847"/>
    <x v="100"/>
    <n v="19175"/>
    <d v="2019-02-25T00:00:00"/>
    <s v="002-4600-1704"/>
    <n v="4615488366"/>
    <d v="2019-03-12T00:00:00"/>
    <n v="3.8123"/>
    <n v="1"/>
    <n v="19720"/>
    <n v="1"/>
    <n v="7098.0099502487574"/>
    <n v="1.1054999999999999"/>
    <n v="1"/>
    <n v="19175"/>
    <n v="6763.7822038320437"/>
    <n v="0"/>
    <x v="444"/>
    <b v="1"/>
  </r>
  <r>
    <m/>
    <s v="CERRADO"/>
    <x v="527"/>
    <n v="1115"/>
    <x v="11"/>
    <d v="2019-02-18T00:00:00"/>
    <x v="5"/>
    <n v="613"/>
    <x v="101"/>
    <n v="19175"/>
    <d v="2019-02-25T00:00:00"/>
    <s v="002-4600-1705"/>
    <n v="4615488366"/>
    <d v="2019-03-12T00:00:00"/>
    <n v="3.8123"/>
    <n v="1"/>
    <n v="16900"/>
    <n v="1"/>
    <n v="554.72636815920407"/>
    <n v="1.1054999999999999"/>
    <n v="1"/>
    <n v="19175"/>
    <n v="6763.7822038320437"/>
    <n v="0"/>
    <x v="445"/>
    <b v="1"/>
  </r>
  <r>
    <m/>
    <s v="CERRADO"/>
    <x v="528"/>
    <n v="1795"/>
    <x v="11"/>
    <d v="2019-02-18T00:00:00"/>
    <x v="5"/>
    <n v="987"/>
    <x v="101"/>
    <n v="19175"/>
    <d v="2019-02-25T00:00:00"/>
    <s v="002-4600-1705"/>
    <n v="4615488366"/>
    <d v="2019-03-12T00:00:00"/>
    <n v="3.8123"/>
    <n v="1"/>
    <n v="1795"/>
    <n v="1"/>
    <n v="893.03482587064684"/>
    <n v="1.1052200557103062"/>
    <n v="1"/>
    <n v="19175"/>
    <n v="6763.7822038320437"/>
    <n v="0"/>
    <x v="446"/>
    <b v="1"/>
  </r>
  <r>
    <m/>
    <s v="CERRADO"/>
    <x v="529"/>
    <n v="3675"/>
    <x v="11"/>
    <d v="2019-02-18T00:00:00"/>
    <x v="5"/>
    <n v="2021"/>
    <x v="101"/>
    <n v="19175"/>
    <d v="2019-02-25T00:00:00"/>
    <s v="002-4600-1705"/>
    <n v="4615488366"/>
    <d v="2019-03-12T00:00:00"/>
    <n v="3.8123"/>
    <n v="1"/>
    <n v="3675"/>
    <n v="1"/>
    <n v="1828.358208955224"/>
    <n v="1.1053632653061225"/>
    <n v="1"/>
    <n v="19175"/>
    <n v="6763.7822038320437"/>
    <n v="0"/>
    <x v="447"/>
    <b v="1"/>
  </r>
  <r>
    <m/>
    <s v="CERRADO"/>
    <x v="530"/>
    <n v="5210"/>
    <x v="11"/>
    <d v="2019-02-18T00:00:00"/>
    <x v="5"/>
    <n v="2345"/>
    <x v="101"/>
    <n v="19175"/>
    <d v="2019-02-25T00:00:00"/>
    <s v="002-4600-1705"/>
    <n v="4615488366"/>
    <d v="2019-03-12T00:00:00"/>
    <n v="3.8123"/>
    <n v="1"/>
    <n v="5210"/>
    <n v="1"/>
    <n v="2592.039800995025"/>
    <n v="0.90469289827255273"/>
    <n v="1"/>
    <n v="19175"/>
    <n v="6763.7822038320437"/>
    <n v="0"/>
    <x v="448"/>
    <b v="1"/>
  </r>
  <r>
    <m/>
    <s v="CERRADO"/>
    <x v="531"/>
    <n v="16020"/>
    <x v="11"/>
    <d v="2019-02-18T00:00:00"/>
    <x v="5"/>
    <n v="7209"/>
    <x v="101"/>
    <n v="19175"/>
    <d v="2019-02-25T00:00:00"/>
    <s v="002-4600-1705"/>
    <n v="4615488366"/>
    <d v="2019-03-12T00:00:00"/>
    <n v="3.8123"/>
    <n v="1"/>
    <n v="16020"/>
    <n v="1"/>
    <n v="7970.1492537313443"/>
    <n v="0.90449999999999986"/>
    <n v="1"/>
    <n v="19175"/>
    <n v="6763.7822038320437"/>
    <n v="0"/>
    <x v="2"/>
    <b v="1"/>
  </r>
  <r>
    <m/>
    <s v="CERRADO"/>
    <x v="532"/>
    <n v="9630"/>
    <x v="11"/>
    <d v="2019-02-18T00:00:00"/>
    <x v="5"/>
    <n v="4334"/>
    <x v="101"/>
    <n v="19175"/>
    <d v="2019-02-25T00:00:00"/>
    <s v="002-4600-1705"/>
    <n v="4615488366"/>
    <d v="2019-03-12T00:00:00"/>
    <n v="3.8123"/>
    <n v="1"/>
    <n v="9630"/>
    <n v="1"/>
    <n v="4791.0447761194037"/>
    <n v="0.90460436137071643"/>
    <n v="1"/>
    <n v="19175"/>
    <n v="6763.7822038320437"/>
    <n v="0"/>
    <x v="96"/>
    <b v="1"/>
  </r>
  <r>
    <m/>
    <s v="CERRADO"/>
    <x v="524"/>
    <n v="3702"/>
    <x v="11"/>
    <d v="2019-02-18T00:00:00"/>
    <x v="5"/>
    <n v="1666"/>
    <x v="101"/>
    <n v="19175"/>
    <d v="2019-02-25T00:00:00"/>
    <s v="002-4600-1705"/>
    <n v="4615488366"/>
    <d v="2019-03-12T00:00:00"/>
    <n v="3.8123"/>
    <n v="1"/>
    <n v="16880"/>
    <n v="1"/>
    <n v="1841.7910447761196"/>
    <n v="0.90449999999999986"/>
    <n v="1"/>
    <n v="19175"/>
    <n v="6763.7822038320437"/>
    <n v="0"/>
    <x v="247"/>
    <b v="1"/>
  </r>
  <r>
    <m/>
    <s v="CERRADO"/>
    <x v="447"/>
    <n v="19078"/>
    <x v="11"/>
    <d v="2019-02-18T00:00:00"/>
    <x v="5"/>
    <n v="10493"/>
    <x v="102"/>
    <n v="19175"/>
    <d v="2019-02-25T00:00:00"/>
    <s v="002-4600-1706"/>
    <n v="4615488366"/>
    <d v="2019-03-12T00:00:00"/>
    <n v="3.8123"/>
    <n v="1"/>
    <n v="19220"/>
    <n v="1"/>
    <n v="9491.5422885572152"/>
    <n v="1.1055404350722176"/>
    <n v="1"/>
    <n v="19175"/>
    <n v="6763.7822038320437"/>
    <n v="0"/>
    <x v="449"/>
    <b v="1"/>
  </r>
  <r>
    <m/>
    <s v="CERRADO"/>
    <x v="527"/>
    <n v="15785"/>
    <x v="11"/>
    <d v="2019-02-18T00:00:00"/>
    <x v="5"/>
    <n v="8682"/>
    <x v="102"/>
    <n v="19175"/>
    <d v="2019-02-25T00:00:00"/>
    <s v="002-4600-1706"/>
    <n v="4615488366"/>
    <d v="2019-03-12T00:00:00"/>
    <n v="3.8123"/>
    <n v="1"/>
    <n v="16900"/>
    <n v="1"/>
    <n v="7853.233830845772"/>
    <n v="1.1054999999999999"/>
    <n v="1"/>
    <n v="19175"/>
    <n v="6763.7822038320437"/>
    <n v="0"/>
    <x v="450"/>
    <b v="1"/>
  </r>
  <r>
    <m/>
    <s v="CERRADO"/>
    <x v="518"/>
    <n v="4438"/>
    <x v="11"/>
    <d v="2019-02-18T00:00:00"/>
    <x v="5"/>
    <n v="1997"/>
    <x v="103"/>
    <n v="19175"/>
    <d v="2019-02-25T00:00:00"/>
    <s v="002-4600-1707"/>
    <n v="4615488366"/>
    <d v="2019-03-12T00:00:00"/>
    <n v="3.8123"/>
    <n v="1"/>
    <n v="14700"/>
    <n v="1"/>
    <n v="2207.9601990049755"/>
    <n v="0.90449999999999986"/>
    <n v="1"/>
    <n v="19175"/>
    <n v="6763.7822038320437"/>
    <n v="0"/>
    <x v="451"/>
    <b v="1"/>
  </r>
  <r>
    <m/>
    <s v="CERRADO"/>
    <x v="533"/>
    <n v="18860"/>
    <x v="11"/>
    <d v="2019-02-18T00:00:00"/>
    <x v="5"/>
    <n v="8487"/>
    <x v="103"/>
    <n v="19175"/>
    <d v="2019-02-25T00:00:00"/>
    <s v="002-4600-1707"/>
    <n v="4615488366"/>
    <d v="2019-03-12T00:00:00"/>
    <n v="3.8123"/>
    <n v="1"/>
    <n v="18860"/>
    <n v="1"/>
    <n v="9383.0845771144286"/>
    <n v="0.90449999999999997"/>
    <n v="1"/>
    <n v="19175"/>
    <n v="6763.7822038320437"/>
    <n v="0"/>
    <x v="2"/>
    <b v="1"/>
  </r>
  <r>
    <m/>
    <s v="CERRADO"/>
    <x v="534"/>
    <n v="3009"/>
    <x v="11"/>
    <d v="2019-02-18T00:00:00"/>
    <x v="5"/>
    <n v="1354"/>
    <x v="103"/>
    <n v="19175"/>
    <d v="2019-02-25T00:00:00"/>
    <s v="002-4600-1707"/>
    <n v="4615488366"/>
    <d v="2019-03-12T00:00:00"/>
    <n v="3.8123"/>
    <n v="1"/>
    <n v="3009"/>
    <n v="1"/>
    <n v="1497.0149253731345"/>
    <n v="0.90446660019940173"/>
    <n v="1"/>
    <n v="19175"/>
    <n v="6763.7822038320437"/>
    <n v="0"/>
    <x v="452"/>
    <b v="1"/>
  </r>
  <r>
    <m/>
    <s v="CERRADO"/>
    <x v="535"/>
    <n v="3236"/>
    <x v="11"/>
    <d v="2019-02-18T00:00:00"/>
    <x v="5"/>
    <n v="1456"/>
    <x v="103"/>
    <n v="19175"/>
    <d v="2019-02-25T00:00:00"/>
    <s v="002-4600-1707"/>
    <n v="4615488366"/>
    <d v="2019-03-12T00:00:00"/>
    <n v="3.8123"/>
    <n v="1"/>
    <n v="3236"/>
    <n v="1"/>
    <n v="1609.950248756219"/>
    <n v="0.90437577255871437"/>
    <n v="1"/>
    <n v="19175"/>
    <n v="6763.7822038320437"/>
    <n v="0"/>
    <x v="453"/>
    <b v="1"/>
  </r>
  <r>
    <m/>
    <s v="CERRADO"/>
    <x v="505"/>
    <n v="13069"/>
    <x v="11"/>
    <d v="2019-02-18T00:00:00"/>
    <x v="5"/>
    <n v="5881"/>
    <x v="103"/>
    <n v="19175"/>
    <d v="2019-02-25T00:00:00"/>
    <s v="002-4600-1707"/>
    <n v="4615488366"/>
    <d v="2019-03-12T00:00:00"/>
    <n v="3.8123"/>
    <n v="1"/>
    <n v="15560"/>
    <n v="1"/>
    <n v="6501.9900497512444"/>
    <n v="0.90449999999999997"/>
    <n v="1"/>
    <n v="19175"/>
    <n v="6763.7822038320437"/>
    <n v="0"/>
    <x v="454"/>
    <b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T21:V125" firstHeaderRow="0" firstDataRow="1" firstDataCol="1"/>
  <pivotFields count="26">
    <pivotField showAll="0"/>
    <pivotField showAll="0"/>
    <pivotField showAll="0">
      <items count="5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t="default"/>
      </items>
    </pivotField>
    <pivotField numFmtId="3" showAll="0"/>
    <pivotField showAll="0"/>
    <pivotField showAll="0"/>
    <pivotField showAll="0"/>
    <pivotField dataField="1" numFmtId="3" showAll="0"/>
    <pivotField axis="axisRow" showAll="0">
      <items count="832">
        <item m="1" x="659"/>
        <item m="1" x="660"/>
        <item m="1" x="662"/>
        <item m="1" x="664"/>
        <item m="1" x="666"/>
        <item m="1" x="668"/>
        <item m="1" x="670"/>
        <item m="1" x="672"/>
        <item m="1" x="674"/>
        <item m="1" x="676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637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77"/>
        <item m="1" x="378"/>
        <item m="1" x="379"/>
        <item m="1" x="380"/>
        <item m="1" x="381"/>
        <item m="1" x="382"/>
        <item m="1" x="383"/>
        <item m="1" x="384"/>
        <item m="1" x="539"/>
        <item m="1" x="541"/>
        <item m="1" x="542"/>
        <item m="1" x="543"/>
        <item m="1" x="544"/>
        <item m="1" x="545"/>
        <item m="1" x="546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7"/>
        <item m="1" x="129"/>
        <item m="1" x="131"/>
        <item m="1" x="133"/>
        <item m="1" x="135"/>
        <item m="1" x="137"/>
        <item m="1" x="139"/>
        <item m="1" x="141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7"/>
        <item m="1" x="759"/>
        <item m="1" x="761"/>
        <item m="1" x="763"/>
        <item m="1" x="765"/>
        <item m="1" x="767"/>
        <item m="1" x="769"/>
        <item m="1" x="771"/>
        <item m="1" x="773"/>
        <item m="1" x="774"/>
        <item m="1" x="775"/>
        <item m="1" x="776"/>
        <item m="1" x="777"/>
        <item m="1" x="778"/>
        <item m="1" x="779"/>
        <item m="1" x="585"/>
        <item m="1" x="586"/>
        <item m="1" x="587"/>
        <item m="1" x="588"/>
        <item m="1" x="589"/>
        <item m="1" x="590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210"/>
        <item m="1" x="212"/>
        <item m="1" x="213"/>
        <item m="1" x="214"/>
        <item m="1" x="272"/>
        <item m="1" x="273"/>
        <item m="1" x="274"/>
        <item m="1" x="275"/>
        <item m="1" x="276"/>
        <item m="1" x="187"/>
        <item m="1" x="189"/>
        <item m="1" x="191"/>
        <item m="1" x="193"/>
        <item m="1" x="195"/>
        <item m="1" x="197"/>
        <item m="1" x="199"/>
        <item m="1" x="201"/>
        <item m="1" x="203"/>
        <item m="1" x="205"/>
        <item m="1" x="206"/>
        <item m="1" x="207"/>
        <item m="1" x="208"/>
        <item m="1" x="209"/>
        <item m="1" x="211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399"/>
        <item m="1" x="400"/>
        <item m="1" x="401"/>
        <item m="1" x="402"/>
        <item m="1" x="403"/>
        <item m="1" x="404"/>
        <item m="1" x="405"/>
        <item m="1" x="407"/>
        <item m="1" x="409"/>
        <item m="1" x="411"/>
        <item m="1" x="419"/>
        <item m="1" x="420"/>
        <item m="1" x="421"/>
        <item m="1" x="422"/>
        <item m="1" x="423"/>
        <item m="1" x="424"/>
        <item m="1" x="425"/>
        <item m="1" x="426"/>
        <item m="1" x="616"/>
        <item m="1" x="617"/>
        <item m="1" x="428"/>
        <item m="1" x="430"/>
        <item m="1" x="432"/>
        <item m="1" x="434"/>
        <item m="1" x="436"/>
        <item m="1" x="438"/>
        <item m="1" x="440"/>
        <item m="1" x="442"/>
        <item m="1" x="444"/>
        <item m="1" x="630"/>
        <item m="1" x="631"/>
        <item m="1" x="632"/>
        <item m="1" x="633"/>
        <item m="1" x="634"/>
        <item m="1" x="635"/>
        <item m="1" x="636"/>
        <item m="1" x="638"/>
        <item m="1" x="344"/>
        <item m="1" x="345"/>
        <item m="1" x="347"/>
        <item m="1" x="349"/>
        <item m="1" x="351"/>
        <item m="1" x="353"/>
        <item m="1" x="355"/>
        <item m="1" x="357"/>
        <item m="1" x="359"/>
        <item m="1" x="361"/>
        <item m="1" x="363"/>
        <item m="1" x="365"/>
        <item m="1" x="367"/>
        <item m="1" x="369"/>
        <item m="1" x="372"/>
        <item m="1" x="373"/>
        <item m="1" x="374"/>
        <item m="1" x="375"/>
        <item m="1" x="376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46"/>
        <item m="1" x="348"/>
        <item m="1" x="350"/>
        <item m="1" x="352"/>
        <item m="1" x="354"/>
        <item m="1" x="356"/>
        <item m="1" x="358"/>
        <item m="1" x="360"/>
        <item m="1" x="362"/>
        <item m="1" x="364"/>
        <item m="1" x="366"/>
        <item m="1" x="368"/>
        <item m="1" x="370"/>
        <item m="1" x="371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8"/>
        <item m="1" x="560"/>
        <item m="1" x="562"/>
        <item m="1" x="564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44"/>
        <item m="1" x="145"/>
        <item m="1" x="146"/>
        <item m="1" x="147"/>
        <item m="1" x="148"/>
        <item m="1" x="149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661"/>
        <item m="1" x="663"/>
        <item m="1" x="665"/>
        <item m="1" x="667"/>
        <item m="1" x="669"/>
        <item m="1" x="671"/>
        <item m="1" x="673"/>
        <item m="1" x="675"/>
        <item m="1" x="677"/>
        <item m="1" x="678"/>
        <item m="1" x="792"/>
        <item m="1" x="793"/>
        <item m="1" x="794"/>
        <item m="1" x="796"/>
        <item m="1" x="798"/>
        <item m="1" x="800"/>
        <item m="1" x="802"/>
        <item m="1" x="804"/>
        <item m="1" x="806"/>
        <item m="1" x="808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406"/>
        <item m="1" x="408"/>
        <item m="1" x="410"/>
        <item m="1" x="412"/>
        <item m="1" x="413"/>
        <item m="1" x="414"/>
        <item m="1" x="415"/>
        <item m="1" x="416"/>
        <item m="1" x="417"/>
        <item m="1" x="418"/>
        <item m="1" x="427"/>
        <item m="1" x="429"/>
        <item m="1" x="431"/>
        <item m="1" x="433"/>
        <item m="1" x="435"/>
        <item m="1" x="437"/>
        <item m="1" x="439"/>
        <item m="1" x="441"/>
        <item m="1" x="443"/>
        <item m="1" x="445"/>
        <item m="1" x="446"/>
        <item m="1" x="447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329"/>
        <item m="1" x="330"/>
        <item m="1" x="331"/>
        <item m="1" x="332"/>
        <item m="1" x="333"/>
        <item m="1" x="188"/>
        <item m="1" x="190"/>
        <item m="1" x="192"/>
        <item m="1" x="194"/>
        <item m="1" x="196"/>
        <item m="1" x="198"/>
        <item m="1" x="200"/>
        <item m="1" x="202"/>
        <item m="1" x="204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756"/>
        <item m="1" x="758"/>
        <item m="1" x="760"/>
        <item m="1" x="762"/>
        <item m="1" x="764"/>
        <item m="1" x="766"/>
        <item m="1" x="768"/>
        <item m="1" x="770"/>
        <item m="1" x="772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87"/>
        <item m="1" x="289"/>
        <item m="1" x="291"/>
        <item m="1" x="293"/>
        <item m="1" x="295"/>
        <item m="1" x="297"/>
        <item m="1" x="299"/>
        <item m="1" x="301"/>
        <item m="1" x="303"/>
        <item m="1" x="305"/>
        <item m="1" x="307"/>
        <item m="1" x="309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286"/>
        <item m="1" x="288"/>
        <item m="1" x="290"/>
        <item m="1" x="292"/>
        <item m="1" x="294"/>
        <item m="1" x="296"/>
        <item m="1" x="298"/>
        <item m="1" x="300"/>
        <item m="1" x="302"/>
        <item m="1" x="304"/>
        <item m="1" x="306"/>
        <item m="1" x="308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40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705"/>
        <item m="1" x="706"/>
        <item m="1" x="707"/>
        <item m="1" x="708"/>
        <item m="1" x="709"/>
        <item m="1" x="710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557"/>
        <item m="1" x="559"/>
        <item m="1" x="561"/>
        <item m="1" x="563"/>
        <item m="1" x="565"/>
        <item m="1" x="566"/>
        <item m="1" x="567"/>
        <item m="1" x="568"/>
        <item m="1" x="569"/>
        <item m="1" x="591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95"/>
        <item m="1" x="797"/>
        <item m="1" x="799"/>
        <item m="1" x="801"/>
        <item m="1" x="803"/>
        <item m="1" x="805"/>
        <item m="1" x="807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126"/>
        <item m="1" x="128"/>
        <item m="1" x="130"/>
        <item m="1" x="132"/>
        <item m="1" x="134"/>
        <item m="1" x="136"/>
        <item m="1" x="138"/>
        <item m="1" x="140"/>
        <item m="1" x="142"/>
        <item m="1" x="14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dataField="1" numFmtId="3" showAll="0"/>
    <pivotField numFmtId="14" showAll="0"/>
    <pivotField showAll="0"/>
    <pivotField showAll="0"/>
    <pivotField showAll="0"/>
    <pivotField showAll="0"/>
    <pivotField numFmtId="9" showAll="0"/>
    <pivotField numFmtId="3" showAll="0"/>
    <pivotField numFmtId="173" showAll="0"/>
    <pivotField numFmtId="3" showAll="0"/>
    <pivotField numFmtId="10" showAll="0"/>
    <pivotField numFmtId="173" showAll="0"/>
    <pivotField showAll="0"/>
    <pivotField showAll="0"/>
    <pivotField showAll="0"/>
    <pivotField showAll="0"/>
    <pivotField showAll="0" defaultSubtotal="0"/>
  </pivotFields>
  <rowFields count="1">
    <field x="8"/>
  </rowFields>
  <rowItems count="104"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</rowItems>
  <colFields count="1">
    <field x="-2"/>
  </colFields>
  <colItems count="2">
    <i>
      <x/>
    </i>
    <i i="1">
      <x v="1"/>
    </i>
  </colItems>
  <dataFields count="2">
    <dataField name="Soma de Quantity allocated" fld="7" baseField="8" baseItem="5" numFmtId="4"/>
    <dataField name="Média de Container coffee weight (kg)" fld="9" subtotal="average" baseField="8" baseItem="1" numFmtId="3"/>
  </dataFields>
  <formats count="8">
    <format dxfId="7">
      <pivotArea field="2" type="button" dataOnly="0" labelOnly="1" outline="0"/>
    </format>
    <format dxfId="6">
      <pivotArea dataOnly="0" labelOnly="1" outline="0" axis="axisValues" fieldPosition="0"/>
    </format>
    <format dxfId="5">
      <pivotArea field="2" type="button" dataOnly="0" labelOnly="1" outline="0"/>
    </format>
    <format dxfId="4">
      <pivotArea dataOnly="0" labelOnly="1" outline="0" axis="axisValues" fieldPosition="0"/>
    </format>
    <format dxfId="3">
      <pivotArea field="2" type="button" dataOnly="0" labelOnly="1" outline="0"/>
    </format>
    <format dxfId="2">
      <pivotArea dataOnly="0" labelOnly="1" outline="0" axis="axisValues" fieldPosition="0"/>
    </format>
    <format dxfId="1">
      <pivotArea outline="0" fieldPosition="0">
        <references count="1">
          <reference field="4294967294" count="1">
            <x v="1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5" cacheId="1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6" indent="0" compact="0" compactData="0" multipleFieldFilters="0">
  <location ref="M21:P666" firstHeaderRow="1" firstDataRow="1" firstDataCol="4"/>
  <pivotFields count="26">
    <pivotField compact="0" outline="0" showAll="0"/>
    <pivotField compact="0" outline="0" showAll="0"/>
    <pivotField axis="axisRow" compact="0" outline="0" showAll="0" defaultSubtotal="0">
      <items count="5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/>
    <pivotField axis="axisRow"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axis="axisRow" compact="0" outline="0" showAll="0" defaultSubtotal="0">
      <items count="32">
        <item m="1" x="30"/>
        <item m="1" x="10"/>
        <item m="1" x="13"/>
        <item m="1" x="14"/>
        <item m="1" x="16"/>
        <item m="1" x="7"/>
        <item m="1" x="12"/>
        <item m="1" x="17"/>
        <item m="1" x="6"/>
        <item m="1" x="19"/>
        <item m="1" x="28"/>
        <item m="1" x="8"/>
        <item m="1" x="20"/>
        <item m="1" x="11"/>
        <item m="1" x="29"/>
        <item m="1" x="9"/>
        <item m="1" x="21"/>
        <item m="1" x="22"/>
        <item m="1" x="31"/>
        <item m="1" x="23"/>
        <item m="1" x="15"/>
        <item m="1" x="18"/>
        <item m="1" x="24"/>
        <item m="1" x="25"/>
        <item m="1" x="26"/>
        <item m="1" x="27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/>
    <pivotField compact="0" outline="0" showAll="0"/>
    <pivotField compact="0" numFmtId="3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  <pivotField compact="0" numFmtId="3" outline="0" showAll="0"/>
    <pivotField compact="0" numFmtId="173" outline="0" showAll="0"/>
    <pivotField compact="0" numFmtId="3" outline="0" showAll="0"/>
    <pivotField compact="0" numFmtId="10" outline="0" showAll="0"/>
    <pivotField compact="0" numFmtId="173" outline="0" showAll="0"/>
    <pivotField compact="0" outline="0" showAll="0"/>
    <pivotField compact="0" outline="0" showAll="0"/>
    <pivotField compact="0" outline="0" showAll="0"/>
    <pivotField axis="axisRow" compact="0" outline="0" showAll="0">
      <items count="4396">
        <item m="1" x="2433"/>
        <item m="1" x="2686"/>
        <item m="1" x="533"/>
        <item m="1" x="2123"/>
        <item m="1" x="4314"/>
        <item m="1" x="2044"/>
        <item m="1" x="2685"/>
        <item m="1" x="3000"/>
        <item m="1" x="615"/>
        <item m="1" x="2693"/>
        <item m="1" x="2604"/>
        <item m="1" x="3036"/>
        <item m="1" x="3544"/>
        <item m="1" x="1301"/>
        <item m="1" x="2774"/>
        <item m="1" x="862"/>
        <item m="1" x="3974"/>
        <item m="1" x="792"/>
        <item m="1" x="2146"/>
        <item m="1" x="1385"/>
        <item m="1" x="782"/>
        <item m="1" x="3486"/>
        <item m="1" x="4055"/>
        <item m="1" x="2732"/>
        <item m="1" x="930"/>
        <item m="1" x="3530"/>
        <item m="1" x="1461"/>
        <item m="1" x="678"/>
        <item m="1" x="1196"/>
        <item m="1" x="1009"/>
        <item m="1" x="1788"/>
        <item m="1" x="2799"/>
        <item m="1" x="3709"/>
        <item m="1" x="3168"/>
        <item m="1" x="1257"/>
        <item m="1" x="1636"/>
        <item m="1" x="3995"/>
        <item m="1" x="1308"/>
        <item m="1" x="759"/>
        <item m="1" x="3576"/>
        <item m="1" x="1035"/>
        <item m="1" x="2361"/>
        <item m="1" x="2721"/>
        <item m="1" x="749"/>
        <item m="1" x="2008"/>
        <item m="1" x="3941"/>
        <item m="1" x="3452"/>
        <item m="1" x="682"/>
        <item m="1" x="1464"/>
        <item m="1" x="1884"/>
        <item m="1" x="469"/>
        <item m="1" x="3644"/>
        <item m="1" x="768"/>
        <item m="1" x="2623"/>
        <item m="1" x="3248"/>
        <item m="1" x="2701"/>
        <item m="1" x="640"/>
        <item m="1" x="629"/>
        <item m="1" x="3033"/>
        <item m="1" x="4349"/>
        <item m="1" x="4092"/>
        <item m="1" x="2654"/>
        <item m="1" x="4037"/>
        <item m="1" x="3537"/>
        <item m="1" x="1910"/>
        <item m="1" x="2785"/>
        <item m="1" x="1684"/>
        <item m="1" x="3359"/>
        <item m="1" x="2173"/>
        <item m="1" x="1344"/>
        <item m="1" x="2566"/>
        <item m="1" x="3510"/>
        <item m="1" x="1261"/>
        <item m="1" x="2646"/>
        <item m="1" x="3330"/>
        <item m="1" x="3645"/>
        <item m="1" x="3654"/>
        <item m="1" x="2864"/>
        <item m="1" x="2469"/>
        <item m="1" x="1687"/>
        <item m="1" x="4190"/>
        <item m="1" x="2160"/>
        <item m="1" x="1618"/>
        <item m="1" x="2279"/>
        <item m="1" x="3671"/>
        <item m="1" x="2780"/>
        <item m="1" x="4366"/>
        <item m="1" x="3648"/>
        <item m="1" x="3188"/>
        <item m="1" x="796"/>
        <item m="1" x="1826"/>
        <item m="1" x="1538"/>
        <item m="1" x="858"/>
        <item m="1" x="1090"/>
        <item m="1" x="1467"/>
        <item m="1" x="3144"/>
        <item m="1" x="2211"/>
        <item m="1" x="692"/>
        <item m="1" x="3783"/>
        <item m="1" x="1399"/>
        <item m="1" x="1945"/>
        <item m="1" x="625"/>
        <item m="1" x="3476"/>
        <item m="1" x="2312"/>
        <item m="1" x="1227"/>
        <item m="1" x="4085"/>
        <item m="1" x="929"/>
        <item m="1" x="2083"/>
        <item m="1" x="2149"/>
        <item m="1" x="4306"/>
        <item m="1" x="2427"/>
        <item m="1" x="1703"/>
        <item m="1" x="2521"/>
        <item m="1" x="2001"/>
        <item m="1" x="3349"/>
        <item m="1" x="589"/>
        <item m="1" x="4393"/>
        <item m="1" x="2069"/>
        <item m="1" x="1955"/>
        <item m="1" x="1100"/>
        <item m="1" x="3158"/>
        <item m="1" x="1073"/>
        <item m="1" x="1719"/>
        <item m="1" x="3108"/>
        <item m="1" x="3406"/>
        <item m="1" x="1686"/>
        <item m="1" x="2982"/>
        <item m="1" x="3374"/>
        <item m="1" x="2254"/>
        <item m="1" x="2470"/>
        <item m="1" x="3891"/>
        <item m="1" x="3118"/>
        <item m="1" x="4162"/>
        <item m="1" x="2622"/>
        <item m="1" x="1235"/>
        <item m="1" x="3601"/>
        <item m="1" x="2504"/>
        <item m="1" x="3489"/>
        <item m="1" x="4231"/>
        <item m="1" x="3897"/>
        <item m="1" x="2505"/>
        <item m="1" x="3515"/>
        <item m="1" x="2448"/>
        <item m="1" x="2883"/>
        <item m="1" x="986"/>
        <item m="1" x="4323"/>
        <item m="1" x="4241"/>
        <item m="1" x="3972"/>
        <item m="1" x="2209"/>
        <item m="1" x="1119"/>
        <item m="1" x="1059"/>
        <item m="1" x="1277"/>
        <item m="1" x="607"/>
        <item m="1" x="1612"/>
        <item m="1" x="3733"/>
        <item m="1" x="834"/>
        <item m="1" x="3724"/>
        <item m="1" x="1071"/>
        <item m="1" x="1587"/>
        <item m="1" x="4083"/>
        <item m="1" x="4184"/>
        <item m="1" x="3630"/>
        <item m="1" x="3841"/>
        <item m="1" x="1998"/>
        <item m="1" x="1120"/>
        <item m="1" x="2381"/>
        <item m="1" x="4014"/>
        <item m="1" x="545"/>
        <item m="1" x="3938"/>
        <item m="1" x="1656"/>
        <item m="1" x="510"/>
        <item m="1" x="3275"/>
        <item m="1" x="3394"/>
        <item m="1" x="2275"/>
        <item m="1" x="2132"/>
        <item m="1" x="996"/>
        <item m="1" x="928"/>
        <item m="1" x="1603"/>
        <item m="1" x="1266"/>
        <item m="1" x="639"/>
        <item m="1" x="1401"/>
        <item m="1" x="1629"/>
        <item m="1" x="3420"/>
        <item m="1" x="2320"/>
        <item m="1" x="3306"/>
        <item m="1" x="658"/>
        <item m="1" x="3463"/>
        <item m="1" x="3410"/>
        <item m="1" x="1427"/>
        <item m="1" x="3591"/>
        <item m="1" x="3296"/>
        <item m="1" x="3265"/>
        <item m="1" x="2429"/>
        <item m="1" x="1537"/>
        <item m="1" x="1479"/>
        <item m="1" x="1370"/>
        <item m="1" x="1188"/>
        <item m="1" x="1458"/>
        <item m="1" x="1818"/>
        <item m="1" x="737"/>
        <item m="1" x="4221"/>
        <item m="1" x="3003"/>
        <item m="1" x="4296"/>
        <item m="1" x="2584"/>
        <item m="1" x="1089"/>
        <item m="1" x="1480"/>
        <item m="1" x="2897"/>
        <item m="1" x="2198"/>
        <item m="1" x="2399"/>
        <item m="1" x="1436"/>
        <item m="1" x="1730"/>
        <item m="1" x="4021"/>
        <item m="1" x="4320"/>
        <item m="1" x="1462"/>
        <item m="1" x="1431"/>
        <item m="1" x="3973"/>
        <item m="1" x="4227"/>
        <item m="1" x="3357"/>
        <item m="1" x="4336"/>
        <item m="1" x="3416"/>
        <item m="1" x="923"/>
        <item m="1" x="1649"/>
        <item m="1" x="2273"/>
        <item m="1" x="1666"/>
        <item m="1" x="4074"/>
        <item m="1" x="3888"/>
        <item m="1" x="2238"/>
        <item m="1" x="3681"/>
        <item m="1" x="2346"/>
        <item m="1" x="4263"/>
        <item m="1" x="3148"/>
        <item m="1" x="2383"/>
        <item m="1" x="2477"/>
        <item m="1" x="935"/>
        <item m="1" x="4071"/>
        <item m="1" x="2212"/>
        <item m="1" x="2292"/>
        <item m="1" x="3685"/>
        <item m="1" x="890"/>
        <item m="1" x="2496"/>
        <item m="1" x="3482"/>
        <item m="1" x="2310"/>
        <item m="1" x="525"/>
        <item m="1" x="1115"/>
        <item m="1" x="2919"/>
        <item m="1" x="4326"/>
        <item m="1" x="2402"/>
        <item m="1" x="3605"/>
        <item m="1" x="2894"/>
        <item m="1" x="4313"/>
        <item m="1" x="4361"/>
        <item m="1" x="3558"/>
        <item m="1" x="3521"/>
        <item m="1" x="4200"/>
        <item m="1" x="805"/>
        <item m="1" x="1192"/>
        <item m="1" x="3505"/>
        <item m="1" x="4352"/>
        <item m="1" x="1077"/>
        <item m="1" x="851"/>
        <item m="1" x="3639"/>
        <item m="1" x="839"/>
        <item m="1" x="2934"/>
        <item m="1" x="2406"/>
        <item m="1" x="4382"/>
        <item m="1" x="1644"/>
        <item m="1" x="3083"/>
        <item m="1" x="1833"/>
        <item m="1" x="998"/>
        <item m="1" x="2039"/>
        <item m="1" x="2986"/>
        <item m="1" x="966"/>
        <item m="1" x="2045"/>
        <item m="1" x="2531"/>
        <item m="1" x="1194"/>
        <item m="1" x="1053"/>
        <item m="1" x="1310"/>
        <item m="1" x="1875"/>
        <item m="1" x="2372"/>
        <item m="1" x="548"/>
        <item m="1" x="3441"/>
        <item m="1" x="1731"/>
        <item m="1" x="3008"/>
        <item m="1" x="4287"/>
        <item m="1" x="1847"/>
        <item m="1" x="1448"/>
        <item m="1" x="1029"/>
        <item m="1" x="2041"/>
        <item m="1" x="585"/>
        <item m="1" x="2676"/>
        <item m="1" x="3838"/>
        <item m="1" x="1995"/>
        <item m="1" x="3361"/>
        <item m="1" x="2463"/>
        <item m="1" x="2247"/>
        <item m="1" x="4193"/>
        <item m="1" x="1155"/>
        <item m="1" x="2984"/>
        <item m="1" x="2605"/>
        <item m="1" x="3201"/>
        <item m="1" x="3072"/>
        <item m="1" x="3289"/>
        <item m="1" x="4303"/>
        <item m="1" x="2465"/>
        <item m="1" x="1724"/>
        <item m="1" x="1824"/>
        <item m="1" x="2272"/>
        <item m="1" x="4337"/>
        <item m="1" x="3237"/>
        <item m="1" x="3621"/>
        <item m="1" x="954"/>
        <item m="1" x="2876"/>
        <item m="1" x="1980"/>
        <item m="1" x="2378"/>
        <item m="1" x="2024"/>
        <item m="1" x="659"/>
        <item m="1" x="2692"/>
        <item m="1" x="2298"/>
        <item m="1" x="2938"/>
        <item m="1" x="3925"/>
        <item m="1" x="3797"/>
        <item m="1" x="1274"/>
        <item m="1" x="1086"/>
        <item m="1" x="1125"/>
        <item m="1" x="2280"/>
        <item m="1" x="3009"/>
        <item m="1" x="1252"/>
        <item m="1" x="3496"/>
        <item m="1" x="2837"/>
        <item m="1" x="4297"/>
        <item m="1" x="1742"/>
        <item m="1" x="475"/>
        <item m="1" x="1783"/>
        <item m="1" x="830"/>
        <item m="1" x="3536"/>
        <item m="1" x="487"/>
        <item m="1" x="1383"/>
        <item m="1" x="1820"/>
        <item m="1" x="2804"/>
        <item m="1" x="2629"/>
        <item m="1" x="3307"/>
        <item m="1" x="2364"/>
        <item m="1" x="3993"/>
        <item m="1" x="1128"/>
        <item m="1" x="1214"/>
        <item m="1" x="878"/>
        <item m="1" x="1972"/>
        <item m="1" x="1250"/>
        <item m="1" x="3971"/>
        <item m="1" x="459"/>
        <item m="1" x="3597"/>
        <item m="1" x="3835"/>
        <item m="1" x="1539"/>
        <item m="1" x="1749"/>
        <item m="1" x="3216"/>
        <item m="1" x="3217"/>
        <item m="1" x="973"/>
        <item m="1" x="4254"/>
        <item m="1" x="4295"/>
        <item m="1" x="1962"/>
        <item m="1" x="787"/>
        <item m="1" x="1635"/>
        <item m="1" x="1497"/>
        <item m="1" x="3478"/>
        <item m="1" x="3220"/>
        <item m="1" x="578"/>
        <item m="1" x="4261"/>
        <item m="1" x="899"/>
        <item m="1" x="3788"/>
        <item m="1" x="2713"/>
        <item m="1" x="1459"/>
        <item m="1" x="2296"/>
        <item m="1" x="3523"/>
        <item m="1" x="2053"/>
        <item m="1" x="3203"/>
        <item m="1" x="4018"/>
        <item m="1" x="2875"/>
        <item m="1" x="2242"/>
        <item m="1" x="900"/>
        <item m="1" x="2073"/>
        <item m="1" x="2844"/>
        <item m="1" x="4194"/>
        <item m="1" x="2591"/>
        <item m="1" x="3341"/>
        <item m="1" x="2311"/>
        <item m="1" x="4093"/>
        <item m="1" x="1421"/>
        <item m="1" x="2673"/>
        <item m="1" x="3502"/>
        <item m="1" x="3443"/>
        <item m="1" x="1722"/>
        <item m="1" x="3661"/>
        <item m="1" x="2931"/>
        <item m="1" x="702"/>
        <item m="1" x="3670"/>
        <item m="1" x="3015"/>
        <item m="1" x="2547"/>
        <item m="1" x="2216"/>
        <item m="1" x="564"/>
        <item m="1" x="3419"/>
        <item m="1" x="1765"/>
        <item m="1" x="1766"/>
        <item m="1" x="1768"/>
        <item m="1" x="3395"/>
        <item m="1" x="3773"/>
        <item m="1" x="1135"/>
        <item m="1" x="2581"/>
        <item m="1" x="3120"/>
        <item m="1" x="1691"/>
        <item m="1" x="1688"/>
        <item m="1" x="2143"/>
        <item m="1" x="4053"/>
        <item m="1" x="3683"/>
        <item m="1" x="2194"/>
        <item m="1" x="3705"/>
        <item m="1" x="960"/>
        <item m="1" x="3431"/>
        <item m="1" x="2839"/>
        <item m="1" x="2384"/>
        <item m="1" x="4146"/>
        <item m="1" x="3037"/>
        <item m="1" x="3828"/>
        <item m="1" x="1463"/>
        <item m="1" x="1441"/>
        <item m="1" x="4351"/>
        <item m="1" x="1213"/>
        <item m="1" x="2388"/>
        <item m="1" x="3075"/>
        <item m="1" x="2624"/>
        <item m="1" x="2537"/>
        <item m="1" x="3517"/>
        <item m="1" x="1549"/>
        <item m="1" x="3370"/>
        <item m="1" x="1720"/>
        <item m="1" x="3607"/>
        <item m="1" x="563"/>
        <item m="1" x="2033"/>
        <item m="1" x="3849"/>
        <item m="1" x="2006"/>
        <item m="1" x="3966"/>
        <item m="1" x="2651"/>
        <item m="1" x="628"/>
        <item m="1" x="2221"/>
        <item m="1" x="3520"/>
        <item m="1" x="496"/>
        <item m="1" x="731"/>
        <item m="1" x="3686"/>
        <item m="1" x="2798"/>
        <item m="1" x="2710"/>
        <item m="1" x="1885"/>
        <item m="1" x="550"/>
        <item m="1" x="1490"/>
        <item m="1" x="4145"/>
        <item m="1" x="504"/>
        <item m="1" x="1762"/>
        <item m="1" x="1453"/>
        <item m="1" x="684"/>
        <item m="1" x="2031"/>
        <item m="1" x="2731"/>
        <item m="1" x="4155"/>
        <item m="1" x="2400"/>
        <item m="1" x="1803"/>
        <item m="1" x="965"/>
        <item m="1" x="3116"/>
        <item m="1" x="3031"/>
        <item m="1" x="2411"/>
        <item m="1" x="2945"/>
        <item m="1" x="3801"/>
        <item m="1" x="803"/>
        <item m="1" x="660"/>
        <item m="1" x="3121"/>
        <item m="1" x="2861"/>
        <item m="1" x="1238"/>
        <item m="1" x="1838"/>
        <item m="1" x="1465"/>
        <item m="1" x="699"/>
        <item m="1" x="602"/>
        <item m="1" x="3117"/>
        <item m="1" x="794"/>
        <item m="1" x="4015"/>
        <item m="1" x="2284"/>
        <item m="1" x="1568"/>
        <item m="1" x="3656"/>
        <item x="282"/>
        <item m="1" x="2195"/>
        <item m="1" x="788"/>
        <item m="1" x="1322"/>
        <item m="1" x="3666"/>
        <item m="1" x="2234"/>
        <item m="1" x="1888"/>
        <item m="1" x="1661"/>
        <item m="1" x="4121"/>
        <item m="1" x="3411"/>
        <item m="1" x="2344"/>
        <item m="1" x="806"/>
        <item m="1" x="516"/>
        <item m="1" x="2299"/>
        <item m="1" x="3646"/>
        <item m="1" x="4058"/>
        <item m="1" x="988"/>
        <item m="1" x="2947"/>
        <item m="1" x="4374"/>
        <item m="1" x="2561"/>
        <item m="1" x="3711"/>
        <item m="1" x="638"/>
        <item m="1" x="2911"/>
        <item m="1" x="3583"/>
        <item m="1" x="641"/>
        <item m="1" x="2425"/>
        <item m="1" x="961"/>
        <item m="1" x="4232"/>
        <item m="1" x="1897"/>
        <item m="1" x="4293"/>
        <item m="1" x="2135"/>
        <item m="1" x="2698"/>
        <item m="1" x="1504"/>
        <item m="1" x="1900"/>
        <item m="1" x="1968"/>
        <item m="1" x="1353"/>
        <item m="1" x="2967"/>
        <item m="1" x="2114"/>
        <item m="1" x="547"/>
        <item m="1" x="1863"/>
        <item m="1" x="1558"/>
        <item m="1" x="849"/>
        <item m="1" x="1062"/>
        <item m="1" x="4358"/>
        <item m="1" x="2550"/>
        <item m="1" x="952"/>
        <item m="1" x="4203"/>
        <item m="1" x="3309"/>
        <item m="1" x="2620"/>
        <item m="1" x="1054"/>
        <item m="1" x="3382"/>
        <item m="1" x="1632"/>
        <item m="1" x="3090"/>
        <item m="1" x="4174"/>
        <item m="1" x="4031"/>
        <item m="1" x="895"/>
        <item m="1" x="2196"/>
        <item m="1" x="1963"/>
        <item m="1" x="3939"/>
        <item m="1" x="3547"/>
        <item m="1" x="3708"/>
        <item m="1" x="2792"/>
        <item m="1" x="3073"/>
        <item m="1" x="1239"/>
        <item m="1" x="2098"/>
        <item m="1" x="3865"/>
        <item m="1" x="4247"/>
        <item m="1" x="2672"/>
        <item m="1" x="2599"/>
        <item m="1" x="2572"/>
        <item m="1" x="1097"/>
        <item m="1" x="1982"/>
        <item m="1" x="1202"/>
        <item m="1" x="1889"/>
        <item m="1" x="2989"/>
        <item m="1" x="554"/>
        <item m="1" x="3277"/>
        <item m="1" x="662"/>
        <item m="1" x="1177"/>
        <item m="1" x="2263"/>
        <item m="1" x="613"/>
        <item m="1" x="2642"/>
        <item m="1" x="3392"/>
        <item m="1" x="2458"/>
        <item m="1" x="635"/>
        <item m="1" x="1445"/>
        <item m="1" x="3095"/>
        <item m="1" x="2250"/>
        <item m="1" x="2072"/>
        <item m="1" x="1721"/>
        <item m="1" x="1189"/>
        <item m="1" x="2983"/>
        <item m="1" x="3592"/>
        <item m="1" x="2451"/>
        <item m="1" x="1723"/>
        <item m="1" x="745"/>
        <item m="1" x="474"/>
        <item m="1" x="1886"/>
        <item m="1" x="4089"/>
        <item m="1" x="3087"/>
        <item m="1" x="2674"/>
        <item m="1" x="3892"/>
        <item m="1" x="2582"/>
        <item m="1" x="1349"/>
        <item m="1" x="975"/>
        <item m="1" x="3026"/>
        <item m="1" x="2519"/>
        <item m="1" x="3920"/>
        <item m="1" x="4050"/>
        <item m="1" x="4115"/>
        <item m="1" x="1368"/>
        <item m="1" x="931"/>
        <item m="1" x="4311"/>
        <item m="1" x="2208"/>
        <item m="1" x="2611"/>
        <item m="1" x="698"/>
        <item m="1" x="1873"/>
        <item m="1" x="3767"/>
        <item m="1" x="626"/>
        <item m="1" x="567"/>
        <item m="1" x="2937"/>
        <item m="1" x="964"/>
        <item m="1" x="1961"/>
        <item m="1" x="3001"/>
        <item m="1" x="936"/>
        <item m="1" x="2925"/>
        <item m="1" x="661"/>
        <item m="1" x="738"/>
        <item m="1" x="3023"/>
        <item m="1" x="4365"/>
        <item m="1" x="3212"/>
        <item m="1" x="2492"/>
        <item m="1" x="1456"/>
        <item m="1" x="2626"/>
        <item m="1" x="2157"/>
        <item m="1" x="997"/>
        <item m="1" x="751"/>
        <item m="1" x="1007"/>
        <item m="1" x="1966"/>
        <item m="1" x="700"/>
        <item m="1" x="2445"/>
        <item m="1" x="3962"/>
        <item m="1" x="2927"/>
        <item m="1" x="2782"/>
        <item m="1" x="590"/>
        <item m="1" x="1789"/>
        <item m="1" x="4301"/>
        <item m="1" x="861"/>
        <item m="1" x="2035"/>
        <item m="1" x="1036"/>
        <item m="1" x="1037"/>
        <item m="1" x="3609"/>
        <item m="1" x="2013"/>
        <item m="1" x="3223"/>
        <item m="1" x="3071"/>
        <item m="1" x="1316"/>
        <item m="1" x="1038"/>
        <item m="1" x="2723"/>
        <item m="1" x="1706"/>
        <item m="1" x="3689"/>
        <item m="1" x="1493"/>
        <item m="1" x="2752"/>
        <item m="1" x="4315"/>
        <item m="1" x="4298"/>
        <item m="1" x="1608"/>
        <item m="1" x="3195"/>
        <item m="1" x="3380"/>
        <item m="1" x="2393"/>
        <item m="1" x="3766"/>
        <item m="1" x="620"/>
        <item m="1" x="2915"/>
        <item m="1" x="1815"/>
        <item m="1" x="1150"/>
        <item m="1" x="1113"/>
        <item m="1" x="974"/>
        <item m="1" x="1500"/>
        <item m="1" x="3804"/>
        <item m="1" x="2677"/>
        <item m="1" x="752"/>
        <item m="1" x="2245"/>
        <item m="1" x="3084"/>
        <item m="1" x="1738"/>
        <item m="1" x="1527"/>
        <item m="1" x="3011"/>
        <item m="1" x="1797"/>
        <item m="1" x="4051"/>
        <item m="1" x="3234"/>
        <item m="1" x="2910"/>
        <item m="1" x="2740"/>
        <item m="1" x="777"/>
        <item m="1" x="1808"/>
        <item m="1" x="3968"/>
        <item m="1" x="2161"/>
        <item m="1" x="2082"/>
        <item m="1" x="2232"/>
        <item m="1" x="1262"/>
        <item m="1" x="2929"/>
        <item m="1" x="1276"/>
        <item m="1" x="840"/>
        <item m="1" x="3584"/>
        <item m="1" x="1330"/>
        <item m="1" x="2812"/>
        <item m="1" x="2574"/>
        <item m="1" x="3956"/>
        <item m="1" x="2960"/>
        <item m="1" x="1365"/>
        <item m="1" x="3857"/>
        <item m="1" x="4169"/>
        <item m="1" x="2265"/>
        <item m="1" x="619"/>
        <item m="1" x="1613"/>
        <item m="1" x="4281"/>
        <item m="1" x="2435"/>
        <item m="1" x="2762"/>
        <item m="1" x="2739"/>
        <item m="1" x="3731"/>
        <item m="1" x="2081"/>
        <item m="1" x="2140"/>
        <item m="1" x="2917"/>
        <item m="1" x="3150"/>
        <item m="1" x="1607"/>
        <item m="1" x="3264"/>
        <item m="1" x="4338"/>
        <item m="1" x="1455"/>
        <item m="1" x="1861"/>
        <item m="1" x="2587"/>
        <item m="1" x="2836"/>
        <item m="1" x="532"/>
        <item m="1" x="2728"/>
        <item m="1" x="2833"/>
        <item m="1" x="3673"/>
        <item m="1" x="3710"/>
        <item m="1" x="2753"/>
        <item m="1" x="4292"/>
        <item m="1" x="4224"/>
        <item m="1" x="1725"/>
        <item m="1" x="937"/>
        <item m="1" x="4344"/>
        <item m="1" x="1326"/>
        <item m="1" x="2933"/>
        <item m="1" x="2552"/>
        <item m="1" x="3093"/>
        <item m="1" x="2493"/>
        <item m="1" x="743"/>
        <item m="1" x="3376"/>
        <item m="1" x="2410"/>
        <item m="1" x="3043"/>
        <item m="1" x="4132"/>
        <item m="1" x="1408"/>
        <item m="1" x="2374"/>
        <item m="1" x="1043"/>
        <item m="1" x="3137"/>
        <item m="1" x="3146"/>
        <item m="1" x="2207"/>
        <item m="1" x="1438"/>
        <item m="1" x="3712"/>
        <item m="1" x="4113"/>
        <item m="1" x="1152"/>
        <item m="1" x="3027"/>
        <item m="1" x="2236"/>
        <item m="1" x="3770"/>
        <item m="1" x="2564"/>
        <item m="1" x="3898"/>
        <item m="1" x="4289"/>
        <item m="1" x="4230"/>
        <item m="1" x="1829"/>
        <item m="1" x="4153"/>
        <item m="1" x="587"/>
        <item m="1" x="1593"/>
        <item m="1" x="2634"/>
        <item m="1" x="2176"/>
        <item m="1" x="1541"/>
        <item m="1" x="4158"/>
        <item m="1" x="1339"/>
        <item m="1" x="1485"/>
        <item m="1" x="2047"/>
        <item m="1" x="2328"/>
        <item m="1" x="4118"/>
        <item m="1" x="791"/>
        <item m="1" x="1482"/>
        <item m="1" x="3176"/>
        <item m="1" x="2332"/>
        <item m="1" x="456"/>
        <item m="1" x="3522"/>
        <item m="1" x="4214"/>
        <item m="1" x="2462"/>
        <item m="1" x="2307"/>
        <item m="1" x="2756"/>
        <item m="1" x="2809"/>
        <item m="1" x="4065"/>
        <item m="1" x="1564"/>
        <item m="1" x="1341"/>
        <item m="1" x="1342"/>
        <item m="1" x="2559"/>
        <item m="1" x="1111"/>
        <item m="1" x="835"/>
        <item m="1" x="2971"/>
        <item m="1" x="1450"/>
        <item m="1" x="694"/>
        <item m="1" x="3328"/>
        <item m="1" x="949"/>
        <item m="1" x="1732"/>
        <item m="1" x="1921"/>
        <item m="1" x="471"/>
        <item m="1" x="4215"/>
        <item m="1" x="981"/>
        <item m="1" x="3035"/>
        <item m="1" x="865"/>
        <item m="1" x="1919"/>
        <item m="1" x="1559"/>
        <item m="1" x="3017"/>
        <item m="1" x="2769"/>
        <item m="1" x="2963"/>
        <item m="1" x="2747"/>
        <item m="1" x="1335"/>
        <item m="1" x="2902"/>
        <item m="1" x="2908"/>
        <item m="1" x="1800"/>
        <item m="1" x="2855"/>
        <item m="1" x="3157"/>
        <item m="1" x="1531"/>
        <item m="1" x="3105"/>
        <item m="1" x="3052"/>
        <item m="1" x="3958"/>
        <item m="1" x="3200"/>
        <item m="1" x="3669"/>
        <item m="1" x="2964"/>
        <item m="1" x="4063"/>
        <item m="1" x="3143"/>
        <item m="1" x="1794"/>
        <item m="1" x="3856"/>
        <item m="1" x="3256"/>
        <item m="1" x="2783"/>
        <item m="1" x="963"/>
        <item m="1" x="2010"/>
        <item m="1" x="2268"/>
        <item m="1" x="2464"/>
        <item m="1" x="3038"/>
        <item m="1" x="3252"/>
        <item m="1" x="3637"/>
        <item m="1" x="4095"/>
        <item m="1" x="775"/>
        <item m="1" x="3736"/>
        <item m="1" x="1200"/>
        <item m="1" x="3633"/>
        <item m="1" x="3606"/>
        <item m="1" x="2932"/>
        <item m="1" x="1432"/>
        <item m="1" x="3631"/>
        <item m="1" x="898"/>
        <item m="1" x="3453"/>
        <item m="1" x="631"/>
        <item m="1" x="2026"/>
        <item m="1" x="3840"/>
        <item m="1" x="1044"/>
        <item m="1" x="4252"/>
        <item m="1" x="3632"/>
        <item m="1" x="841"/>
        <item m="1" x="2918"/>
        <item m="1" x="2297"/>
        <item m="1" x="2165"/>
        <item m="1" x="1472"/>
        <item m="1" x="3458"/>
        <item m="1" x="3924"/>
        <item m="1" x="2502"/>
        <item m="1" x="2754"/>
        <item m="1" x="2558"/>
        <item m="1" x="2889"/>
        <item m="1" x="4135"/>
        <item m="1" x="2325"/>
        <item m="1" x="913"/>
        <item m="1" x="4228"/>
        <item m="1" x="2266"/>
        <item m="1" x="4324"/>
        <item m="1" x="3007"/>
        <item m="1" x="3568"/>
        <item m="1" x="3045"/>
        <item m="1" x="3244"/>
        <item m="1" x="556"/>
        <item m="1" x="1984"/>
        <item m="1" x="647"/>
        <item m="1" x="3439"/>
        <item m="1" x="657"/>
        <item m="1" x="4072"/>
        <item m="1" x="703"/>
        <item m="1" x="3878"/>
        <item m="1" x="824"/>
        <item m="1" x="3769"/>
        <item m="1" x="2376"/>
        <item m="1" x="4264"/>
        <item m="1" x="1528"/>
        <item m="1" x="762"/>
        <item m="1" x="2199"/>
        <item m="1" x="1018"/>
        <item m="1" x="2337"/>
        <item m="1" x="579"/>
        <item m="1" x="4073"/>
        <item m="1" x="2442"/>
        <item m="1" x="2085"/>
        <item m="1" x="1488"/>
        <item m="1" x="3690"/>
        <item x="423"/>
        <item m="1" x="2834"/>
        <item m="1" x="3066"/>
        <item m="1" x="3102"/>
        <item m="1" x="3701"/>
        <item m="1" x="3468"/>
        <item m="1" x="2087"/>
        <item m="1" x="514"/>
        <item x="1"/>
        <item m="1" x="3481"/>
        <item m="1" x="741"/>
        <item x="205"/>
        <item x="120"/>
        <item m="1" x="3723"/>
        <item m="1" x="1162"/>
        <item m="1" x="3044"/>
        <item x="140"/>
        <item m="1" x="3816"/>
        <item m="1" x="2682"/>
        <item m="1" x="2147"/>
        <item x="92"/>
        <item m="1" x="2998"/>
        <item m="1" x="1160"/>
        <item m="1" x="2117"/>
        <item x="285"/>
        <item m="1" x="608"/>
        <item m="1" x="3425"/>
        <item m="1" x="1545"/>
        <item m="1" x="2306"/>
        <item m="1" x="2171"/>
        <item m="1" x="4312"/>
        <item m="1" x="3886"/>
        <item m="1" x="1633"/>
        <item m="1" x="2635"/>
        <item m="1" x="502"/>
        <item m="1" x="1279"/>
        <item m="1" x="1707"/>
        <item m="1" x="2813"/>
        <item m="1" x="3500"/>
        <item m="1" x="884"/>
        <item m="1" x="1311"/>
        <item m="1" x="517"/>
        <item m="1" x="1952"/>
        <item x="2"/>
        <item m="1" x="3545"/>
        <item m="1" x="2077"/>
        <item m="1" x="3749"/>
        <item m="1" x="3922"/>
        <item m="1" x="875"/>
        <item m="1" x="1509"/>
        <item m="1" x="2814"/>
        <item m="1" x="1912"/>
        <item m="1" x="4056"/>
        <item x="80"/>
        <item m="1" x="3936"/>
        <item m="1" x="2707"/>
        <item m="1" x="3276"/>
        <item m="1" x="2720"/>
        <item m="1" x="3830"/>
        <item m="1" x="3541"/>
        <item m="1" x="1532"/>
        <item m="1" x="3368"/>
        <item m="1" x="920"/>
        <item m="1" x="3470"/>
        <item m="1" x="1609"/>
        <item m="1" x="3921"/>
        <item m="1" x="4280"/>
        <item m="1" x="1959"/>
        <item m="1" x="2127"/>
        <item m="1" x="4019"/>
        <item m="1" x="3883"/>
        <item m="1" x="2683"/>
        <item m="1" x="1989"/>
        <item m="1" x="3832"/>
        <item m="1" x="4300"/>
        <item m="1" x="2614"/>
        <item m="1" x="1697"/>
        <item x="131"/>
        <item m="1" x="4108"/>
        <item m="1" x="3796"/>
        <item m="1" x="781"/>
        <item m="1" x="3618"/>
        <item m="1" x="2637"/>
        <item m="1" x="3302"/>
        <item m="1" x="3335"/>
        <item m="1" x="4363"/>
        <item m="1" x="651"/>
        <item m="1" x="3294"/>
        <item m="1" x="3593"/>
        <item m="1" x="511"/>
        <item m="1" x="1710"/>
        <item m="1" x="2724"/>
        <item m="1" x="3273"/>
        <item m="1" x="3304"/>
        <item m="1" x="591"/>
        <item m="1" x="3742"/>
        <item m="1" x="2392"/>
        <item m="1" x="1973"/>
        <item m="1" x="3759"/>
        <item m="1" x="850"/>
        <item m="1" x="2509"/>
        <item m="1" x="4347"/>
        <item m="1" x="2977"/>
        <item m="1" x="4308"/>
        <item m="1" x="634"/>
        <item m="1" x="2899"/>
        <item m="1" x="2088"/>
        <item m="1" x="1384"/>
        <item m="1" x="4278"/>
        <item m="1" x="522"/>
        <item m="1" x="4245"/>
        <item m="1" x="3190"/>
        <item m="1" x="2348"/>
        <item m="1" x="611"/>
        <item m="1" x="473"/>
        <item m="1" x="1023"/>
        <item m="1" x="1718"/>
        <item m="1" x="457"/>
        <item m="1" x="2764"/>
        <item m="1" x="1439"/>
        <item m="1" x="4290"/>
        <item m="1" x="3942"/>
        <item m="1" x="2446"/>
        <item m="1" x="3977"/>
        <item m="1" x="3449"/>
        <item m="1" x="3640"/>
        <item m="1" x="3068"/>
        <item m="1" x="2222"/>
        <item m="1" x="3947"/>
        <item m="1" x="1790"/>
        <item m="1" x="719"/>
        <item m="1" x="945"/>
        <item m="1" x="3193"/>
        <item m="1" x="3194"/>
        <item m="1" x="2062"/>
        <item m="1" x="1622"/>
        <item m="1" x="1314"/>
        <item m="1" x="2678"/>
        <item m="1" x="1510"/>
        <item m="1" x="1948"/>
        <item m="1" x="4170"/>
        <item m="1" x="3362"/>
        <item m="1" x="1659"/>
        <item m="1" x="2037"/>
        <item m="1" x="3034"/>
        <item m="1" x="2895"/>
        <item m="1" x="4345"/>
        <item x="331"/>
        <item m="1" x="804"/>
        <item m="1" x="3827"/>
        <item m="1" x="1170"/>
        <item m="1" x="3435"/>
        <item m="1" x="3678"/>
        <item m="1" x="3743"/>
        <item m="1" x="3074"/>
        <item m="1" x="3029"/>
        <item m="1" x="3533"/>
        <item m="1" x="4012"/>
        <item m="1" x="3638"/>
        <item m="1" x="2928"/>
        <item m="1" x="2473"/>
        <item m="1" x="4213"/>
        <item m="1" x="3588"/>
        <item m="1" x="551"/>
        <item m="1" x="2244"/>
        <item m="1" x="1373"/>
        <item m="1" x="3569"/>
        <item m="1" x="521"/>
        <item m="1" x="1827"/>
        <item m="1" x="3747"/>
        <item m="1" x="624"/>
        <item m="1" x="2487"/>
        <item m="1" x="2514"/>
        <item m="1" x="3702"/>
        <item m="1" x="4299"/>
        <item m="1" x="757"/>
        <item m="1" x="2546"/>
        <item m="1" x="3874"/>
        <item m="1" x="888"/>
        <item m="1" x="2227"/>
        <item m="1" x="2595"/>
        <item m="1" x="2838"/>
        <item m="1" x="1864"/>
        <item m="1" x="1698"/>
        <item m="1" x="2914"/>
        <item m="1" x="2218"/>
        <item m="1" x="3740"/>
        <item m="1" x="3230"/>
        <item m="1" x="2369"/>
        <item m="1" x="4024"/>
        <item m="1" x="1268"/>
        <item m="1" x="508"/>
        <item m="1" x="3812"/>
        <item m="1" x="4106"/>
        <item m="1" x="901"/>
        <item m="1" x="4176"/>
        <item m="1" x="2058"/>
        <item m="1" x="2230"/>
        <item m="1" x="3843"/>
        <item m="1" x="2912"/>
        <item m="1" x="677"/>
        <item m="1" x="903"/>
        <item m="1" x="1182"/>
        <item m="1" x="1305"/>
        <item m="1" x="549"/>
        <item m="1" x="4362"/>
        <item m="1" x="3165"/>
        <item m="1" x="2467"/>
        <item m="1" x="3730"/>
        <item m="1" x="2962"/>
        <item m="1" x="1372"/>
        <item m="1" x="4008"/>
        <item m="1" x="3485"/>
        <item m="1" x="1337"/>
        <item m="1" x="1096"/>
        <item m="1" x="3253"/>
        <item m="1" x="727"/>
        <item m="1" x="1565"/>
        <item m="1" x="873"/>
        <item m="1" x="3625"/>
        <item m="1" x="4009"/>
        <item m="1" x="3094"/>
        <item m="1" x="1271"/>
        <item m="1" x="1663"/>
        <item m="1" x="2377"/>
        <item m="1" x="4094"/>
        <item m="1" x="1267"/>
        <item m="1" x="3986"/>
        <item m="1" x="588"/>
        <item m="1" x="3948"/>
        <item m="1" x="2500"/>
        <item m="1" x="3854"/>
        <item m="1" x="3587"/>
        <item m="1" x="2205"/>
        <item m="1" x="3697"/>
        <item m="1" x="2800"/>
        <item m="1" x="1641"/>
        <item m="1" x="1356"/>
        <item m="1" x="3748"/>
        <item m="1" x="3866"/>
        <item m="1" x="2843"/>
        <item m="1" x="1627"/>
        <item m="1" x="2730"/>
        <item m="1" x="4029"/>
        <item m="1" x="3082"/>
        <item m="1" x="1939"/>
        <item m="1" x="1320"/>
        <item m="1" x="4372"/>
        <item m="1" x="536"/>
        <item m="1" x="4122"/>
        <item m="1" x="1205"/>
        <item m="1" x="1792"/>
        <item m="1" x="1307"/>
        <item m="1" x="3014"/>
        <item m="1" x="3784"/>
        <item m="1" x="2805"/>
        <item m="1" x="2802"/>
        <item m="1" x="2968"/>
        <item m="1" x="4004"/>
        <item m="1" x="3196"/>
        <item m="1" x="2416"/>
        <item m="1" x="2019"/>
        <item m="1" x="3737"/>
        <item m="1" x="3456"/>
        <item m="1" x="3353"/>
        <item m="1" x="3334"/>
        <item m="1" x="1046"/>
        <item m="1" x="2761"/>
        <item m="1" x="632"/>
        <item m="1" x="1020"/>
        <item m="1" x="3791"/>
        <item m="1" x="2185"/>
        <item m="1" x="1579"/>
        <item m="1" x="1425"/>
        <item m="1" x="497"/>
        <item m="1" x="1668"/>
        <item m="1" x="3572"/>
        <item m="1" x="2043"/>
        <item m="1" x="1890"/>
        <item m="1" x="2988"/>
        <item m="1" x="2428"/>
        <item m="1" x="1123"/>
        <item m="1" x="3342"/>
        <item m="1" x="2516"/>
        <item m="1" x="2259"/>
        <item m="1" x="1005"/>
        <item m="1" x="2603"/>
        <item m="1" x="2712"/>
        <item m="1" x="1060"/>
        <item m="1" x="2420"/>
        <item m="1" x="4267"/>
        <item m="1" x="722"/>
        <item m="1" x="3140"/>
        <item m="1" x="750"/>
        <item m="1" x="2313"/>
        <item m="1" x="1404"/>
        <item m="1" x="2099"/>
        <item m="1" x="3427"/>
        <item m="1" x="1451"/>
        <item m="1" x="3890"/>
        <item m="1" x="2930"/>
        <item m="1" x="3414"/>
        <item m="1" x="770"/>
        <item m="1" x="908"/>
        <item m="1" x="909"/>
        <item m="1" x="2803"/>
        <item m="1" x="3127"/>
        <item m="1" x="3301"/>
        <item m="1" x="1637"/>
        <item m="1" x="3636"/>
        <item m="1" x="2570"/>
        <item m="1" x="4327"/>
        <item m="1" x="3313"/>
        <item m="1" x="4100"/>
        <item m="1" x="823"/>
        <item m="1" x="3091"/>
        <item m="1" x="1066"/>
        <item m="1" x="3704"/>
        <item m="1" x="4282"/>
        <item m="1" x="1856"/>
        <item m="1" x="3953"/>
        <item m="1" x="2421"/>
        <item m="1" x="1896"/>
        <item m="1" x="2553"/>
        <item m="1" x="3132"/>
        <item m="1" x="1763"/>
        <item m="1" x="4348"/>
        <item m="1" x="3235"/>
        <item m="1" x="1932"/>
        <item m="1" x="3679"/>
        <item m="1" x="3802"/>
        <item m="1" x="1878"/>
        <item m="1" x="2816"/>
        <item m="1" x="3019"/>
        <item m="1" x="1894"/>
        <item m="1" x="3447"/>
        <item m="1" x="2569"/>
        <item m="1" x="4309"/>
        <item m="1" x="2670"/>
        <item m="1" x="1076"/>
        <item m="1" x="3298"/>
        <item m="1" x="713"/>
        <item m="1" x="2456"/>
        <item m="1" x="1417"/>
        <item m="1" x="876"/>
        <item m="1" x="2128"/>
        <item m="1" x="2786"/>
        <item m="1" x="2518"/>
        <item m="1" x="2375"/>
        <item m="1" x="3793"/>
        <item m="1" x="3081"/>
        <item m="1" x="3451"/>
        <item m="1" x="1222"/>
        <item m="1" x="705"/>
        <item m="1" x="1988"/>
        <item m="1" x="3464"/>
        <item m="1" x="4079"/>
        <item m="1" x="3692"/>
        <item m="1" x="3647"/>
        <item m="1" x="951"/>
        <item m="1" x="4316"/>
        <item m="1" x="3753"/>
        <item m="1" x="2921"/>
        <item m="1" x="3519"/>
        <item m="1" x="983"/>
        <item m="1" x="2440"/>
        <item m="1" x="3012"/>
        <item m="1" x="2091"/>
        <item m="1" x="2944"/>
        <item m="1" x="1366"/>
        <item m="1" x="4046"/>
        <item m="1" x="4128"/>
        <item m="1" x="2359"/>
        <item m="1" x="3894"/>
        <item m="1" x="4032"/>
        <item m="1" x="3197"/>
        <item m="1" x="3198"/>
        <item m="1" x="2829"/>
        <item m="1" x="2111"/>
        <item m="1" x="4110"/>
        <item m="1" x="3775"/>
        <item m="1" x="1091"/>
        <item m="1" x="2120"/>
        <item m="1" x="3426"/>
        <item m="1" x="3610"/>
        <item m="1" x="3270"/>
        <item m="1" x="813"/>
        <item m="1" x="2233"/>
        <item m="1" x="3906"/>
        <item m="1" x="1960"/>
        <item m="1" x="2575"/>
        <item m="1" x="2155"/>
        <item m="1" x="3996"/>
        <item m="1" x="714"/>
        <item m="1" x="2576"/>
        <item m="1" x="3109"/>
        <item m="1" x="1592"/>
        <item m="1" x="1938"/>
        <item m="1" x="1970"/>
        <item m="1" x="539"/>
        <item m="1" x="1471"/>
        <item m="1" x="594"/>
        <item m="1" x="3667"/>
        <item m="1" x="2679"/>
        <item m="1" x="1092"/>
        <item m="1" x="2248"/>
        <item m="1" x="2790"/>
        <item m="1" x="3940"/>
        <item m="1" x="1507"/>
        <item m="1" x="1729"/>
        <item m="1" x="1016"/>
        <item m="1" x="4305"/>
        <item m="1" x="2872"/>
        <item m="1" x="3991"/>
        <item m="1" x="3658"/>
        <item m="1" x="838"/>
        <item m="1" x="1586"/>
        <item m="1" x="2775"/>
        <item m="1" x="3159"/>
        <item m="1" x="3818"/>
        <item m="1" x="2560"/>
        <item m="1" x="2948"/>
        <item m="1" x="1069"/>
        <item m="1" x="1634"/>
        <item m="1" x="3205"/>
        <item m="1" x="4307"/>
        <item m="1" x="4246"/>
        <item m="1" x="2617"/>
        <item m="1" x="3457"/>
        <item m="1" x="467"/>
        <item m="1" x="3224"/>
        <item m="1" x="667"/>
        <item m="1" x="3776"/>
        <item m="1" x="1236"/>
        <item m="1" x="1064"/>
        <item m="1" x="3258"/>
        <item m="1" x="3984"/>
        <item m="1" x="4390"/>
        <item m="1" x="3513"/>
        <item m="1" x="3534"/>
        <item m="1" x="1207"/>
        <item m="1" x="833"/>
        <item m="1" x="2946"/>
        <item m="1" x="2748"/>
        <item m="1" x="1591"/>
        <item m="1" x="1708"/>
        <item m="1" x="2438"/>
        <item m="1" x="4127"/>
        <item m="1" x="3839"/>
        <item m="1" x="1807"/>
        <item m="1" x="3608"/>
        <item m="1" x="1630"/>
        <item m="1" x="1229"/>
        <item m="1" x="1976"/>
        <item m="1" x="3389"/>
        <item m="1" x="1620"/>
        <item m="1" x="2848"/>
        <item m="1" x="2990"/>
        <item m="1" x="3254"/>
        <item m="1" x="4130"/>
        <item m="1" x="2891"/>
        <item m="1" x="592"/>
        <item m="1" x="2641"/>
        <item m="1" x="1743"/>
        <item m="1" x="4023"/>
        <item m="1" x="1709"/>
        <item m="1" x="831"/>
        <item m="1" x="2413"/>
        <item m="1" x="4216"/>
        <item m="1" x="3154"/>
        <item m="1" x="753"/>
        <item m="1" x="1413"/>
        <item m="1" x="697"/>
        <item m="1" x="4229"/>
        <item m="1" x="1006"/>
        <item m="1" x="3210"/>
        <item m="1" x="1902"/>
        <item m="1" x="2593"/>
        <item m="1" x="4165"/>
        <item m="1" x="520"/>
        <item m="1" x="1596"/>
        <item m="1" x="2094"/>
        <item m="1" x="1679"/>
        <item m="1" x="2696"/>
        <item m="1" x="818"/>
        <item m="1" x="3945"/>
        <item m="1" x="855"/>
        <item m="1" x="856"/>
        <item m="1" x="827"/>
        <item m="1" x="3295"/>
        <item m="1" x="2940"/>
        <item m="1" x="776"/>
        <item m="1" x="1844"/>
        <item m="1" x="1850"/>
        <item m="1" x="1083"/>
        <item m="1" x="3516"/>
        <item m="1" x="2835"/>
        <item m="1" x="2358"/>
        <item m="1" x="2638"/>
        <item m="1" x="4201"/>
        <item m="1" x="2688"/>
        <item m="1" x="1876"/>
        <item m="1" x="1692"/>
        <item m="1" x="1378"/>
        <item m="1" x="4052"/>
        <item m="1" x="932"/>
        <item m="1" x="4038"/>
        <item m="1" x="956"/>
        <item m="1" x="3829"/>
        <item m="1" x="2034"/>
        <item m="1" x="953"/>
        <item m="1" x="3819"/>
        <item m="1" x="1830"/>
        <item m="1" x="2192"/>
        <item m="1" x="3850"/>
        <item m="1" x="687"/>
        <item m="1" x="3696"/>
        <item m="1" x="3910"/>
        <item m="1" x="2197"/>
        <item m="1" x="1899"/>
        <item m="1" x="3065"/>
        <item m="1" x="2153"/>
        <item m="1" x="2096"/>
        <item m="1" x="643"/>
        <item m="1" x="2556"/>
        <item m="1" x="3590"/>
        <item m="1" x="1628"/>
        <item m="1" x="1233"/>
        <item m="1" x="4081"/>
        <item m="1" x="1414"/>
        <item m="1" x="2554"/>
        <item m="1" x="1075"/>
        <item m="1" x="1334"/>
        <item m="1" x="2481"/>
        <item m="1" x="2866"/>
        <item m="1" x="4034"/>
        <item m="1" x="3032"/>
        <item m="1" x="4256"/>
        <item m="1" x="2886"/>
        <item m="1" x="693"/>
        <item m="1" x="1496"/>
        <item m="1" x="2055"/>
        <item m="1" x="2501"/>
        <item m="1" x="4116"/>
        <item m="1" x="2972"/>
        <item m="1" x="3811"/>
        <item m="1" x="583"/>
        <item m="1" x="2396"/>
        <item m="1" x="2529"/>
        <item m="1" x="912"/>
        <item m="1" x="4242"/>
        <item m="1" x="4318"/>
        <item m="1" x="3061"/>
        <item m="1" x="3191"/>
        <item m="1" x="3241"/>
        <item m="1" x="3097"/>
        <item m="1" x="4266"/>
        <item m="1" x="3662"/>
        <item m="1" x="4233"/>
        <item m="1" x="3177"/>
        <item m="1" x="2349"/>
        <item m="1" x="3351"/>
        <item m="1" x="2817"/>
        <item m="1" x="3166"/>
        <item m="1" x="1178"/>
        <item m="1" x="2865"/>
        <item m="1" x="2589"/>
        <item m="1" x="1108"/>
        <item m="1" x="1714"/>
        <item m="1" x="1061"/>
        <item m="1" x="1522"/>
        <item m="1" x="2277"/>
        <item m="1" x="1934"/>
        <item m="1" x="2667"/>
        <item m="1" x="2097"/>
        <item m="1" x="1444"/>
        <item m="1" x="2907"/>
        <item m="1" x="889"/>
        <item m="1" x="1631"/>
        <item m="1" x="3627"/>
        <item m="1" x="1284"/>
        <item m="1" x="506"/>
        <item m="1" x="2068"/>
        <item m="1" x="1056"/>
        <item m="1" x="2229"/>
        <item m="1" x="3182"/>
        <item m="1" x="822"/>
        <item m="1" x="1971"/>
        <item m="1" x="1986"/>
        <item m="1" x="2225"/>
        <item m="1" x="1672"/>
        <item m="1" x="512"/>
        <item m="1" x="3809"/>
        <item m="1" x="2520"/>
        <item m="1" x="3512"/>
        <item m="1" x="3010"/>
        <item m="1" x="797"/>
        <item m="1" x="4119"/>
        <item m="1" x="2491"/>
        <item m="1" x="891"/>
        <item m="1" x="2286"/>
        <item m="1" x="3325"/>
        <item m="1" x="1726"/>
        <item m="1" x="3764"/>
        <item m="1" x="1407"/>
        <item m="1" x="1121"/>
        <item m="1" x="3016"/>
        <item m="1" x="755"/>
        <item m="1" x="478"/>
        <item m="1" x="1191"/>
        <item m="1" x="3965"/>
        <item m="1" x="1140"/>
        <item m="1" x="853"/>
        <item m="1" x="4022"/>
        <item m="1" x="2004"/>
        <item m="1" x="2151"/>
        <item m="1" x="919"/>
        <item m="1" x="2613"/>
        <item m="1" x="4105"/>
        <item m="1" x="2630"/>
        <item m="1" x="1639"/>
        <item m="1" x="3160"/>
        <item m="1" x="4059"/>
        <item m="1" x="4381"/>
        <item m="1" x="3734"/>
        <item m="1" x="2822"/>
        <item m="1" x="1313"/>
        <item m="1" x="4028"/>
        <item m="1" x="3251"/>
        <item m="1" x="2020"/>
        <item m="1" x="3292"/>
        <item m="1" x="1317"/>
        <item m="1" x="2102"/>
        <item m="1" x="1405"/>
        <item m="1" x="725"/>
        <item m="1" x="3565"/>
        <item m="1" x="3322"/>
        <item m="1" x="1400"/>
        <item m="1" x="3722"/>
        <item m="1" x="4198"/>
        <item m="1" x="4202"/>
        <item m="1" x="704"/>
        <item m="1" x="1557"/>
        <item m="1" x="3393"/>
        <item m="1" x="2215"/>
        <item m="1" x="1099"/>
        <item m="1" x="3050"/>
        <item m="1" x="843"/>
        <item m="1" x="1782"/>
        <item m="1" x="2923"/>
        <item m="1" x="3312"/>
        <item m="1" x="3280"/>
        <item m="1" x="3785"/>
        <item m="1" x="2779"/>
        <item m="1" x="4013"/>
        <item m="1" x="2478"/>
        <item m="1" x="2953"/>
        <item m="1" x="3589"/>
        <item m="1" x="1825"/>
        <item m="1" x="652"/>
        <item m="1" x="3402"/>
        <item m="1" x="3961"/>
        <item m="1" x="3853"/>
        <item m="1" x="1255"/>
        <item m="1" x="3247"/>
        <item m="1" x="600"/>
        <item m="1" x="572"/>
        <item m="1" x="3428"/>
        <item m="1" x="2301"/>
        <item m="1" x="1309"/>
        <item m="1" x="1927"/>
        <item m="1" x="1771"/>
        <item m="1" x="621"/>
        <item m="1" x="1683"/>
        <item m="1" x="1519"/>
        <item m="1" x="2955"/>
        <item m="1" x="4156"/>
        <item m="1" x="2956"/>
        <item m="1" x="2639"/>
        <item m="1" x="4288"/>
        <item m="1" x="4027"/>
        <item m="1" x="3354"/>
        <item m="1" x="1228"/>
        <item m="1" x="2506"/>
        <item m="1" x="3650"/>
        <item m="1" x="1983"/>
        <item m="1" x="977"/>
        <item m="1" x="3170"/>
        <item m="1" x="4163"/>
        <item m="1" x="1022"/>
        <item m="1" x="2255"/>
        <item m="1" x="2741"/>
        <item m="1" x="3642"/>
        <item m="1" x="3377"/>
        <item m="1" x="1063"/>
        <item m="1" x="1306"/>
        <item m="1" x="3792"/>
        <item m="1" x="3919"/>
        <item m="1" x="2596"/>
        <item m="1" x="1997"/>
        <item m="1" x="3713"/>
        <item m="1" x="1032"/>
        <item m="1" x="1958"/>
        <item m="1" x="4017"/>
        <item m="1" x="2608"/>
        <item m="1" x="2290"/>
        <item m="1" x="3782"/>
        <item m="1" x="2380"/>
        <item m="1" x="2172"/>
        <item m="1" x="4259"/>
        <item m="1" x="3684"/>
        <item m="1" x="4069"/>
        <item m="1" x="1573"/>
        <item m="1" x="3113"/>
        <item m="1" x="3577"/>
        <item m="1" x="1546"/>
        <item m="1" x="1529"/>
        <item m="1" x="2367"/>
        <item m="1" x="3405"/>
        <item m="1" x="2322"/>
        <item m="1" x="1190"/>
        <item m="1" x="2459"/>
        <item m="1" x="2251"/>
        <item m="1" x="1758"/>
        <item m="1" x="3746"/>
        <item m="1" x="917"/>
        <item m="1" x="2180"/>
        <item m="1" x="3267"/>
        <item m="1" x="3436"/>
        <item m="1" x="4236"/>
        <item m="1" x="4322"/>
        <item m="1" x="2981"/>
        <item m="1" x="1498"/>
        <item m="1" x="488"/>
        <item m="1" x="3343"/>
        <item m="1" x="1786"/>
        <item m="1" x="1846"/>
        <item m="1" x="3208"/>
        <item m="1" x="4211"/>
        <item m="1" x="2887"/>
        <item m="1" x="783"/>
        <item m="1" x="2005"/>
        <item m="1" x="1067"/>
        <item m="1" x="769"/>
        <item m="1" x="4217"/>
        <item m="1" x="3024"/>
        <item m="1" x="3739"/>
        <item m="1" x="2755"/>
        <item m="1" x="4364"/>
        <item m="1" x="3111"/>
        <item m="1" x="3299"/>
        <item m="1" x="1735"/>
        <item m="1" x="2203"/>
        <item m="1" x="3471"/>
        <item m="1" x="4005"/>
        <item m="1" x="672"/>
        <item m="1" x="673"/>
        <item m="1" x="934"/>
        <item m="1" x="3005"/>
        <item m="1" x="1473"/>
        <item m="1" x="2699"/>
        <item m="1" x="3946"/>
        <item m="1" x="1967"/>
        <item m="1" x="4044"/>
        <item m="1" x="2609"/>
        <item m="1" x="2278"/>
        <item m="1" x="3628"/>
        <item m="1" x="4182"/>
        <item m="1" x="1014"/>
        <item m="1" x="3225"/>
        <item m="1" x="2653"/>
        <item m="1" x="648"/>
        <item m="1" x="4209"/>
        <item m="1" x="726"/>
        <item m="1" x="2811"/>
        <item m="1" x="1175"/>
        <item m="1" x="1769"/>
        <item m="1" x="558"/>
        <item m="1" x="1409"/>
        <item m="1" x="1647"/>
        <item m="1" x="523"/>
        <item m="1" x="3982"/>
        <item m="1" x="2905"/>
        <item m="1" x="3056"/>
        <item m="1" x="4262"/>
        <item m="1" x="3320"/>
        <item m="1" x="1134"/>
        <item m="1" x="4090"/>
        <item m="1" x="2283"/>
        <item m="1" x="1898"/>
        <item m="1" x="4291"/>
        <item m="1" x="463"/>
        <item m="1" x="2315"/>
        <item m="1" x="1327"/>
        <item m="1" x="4179"/>
        <item m="1" x="2901"/>
        <item m="1" x="3461"/>
        <item m="1" x="3462"/>
        <item m="1" x="690"/>
        <item m="1" x="1248"/>
        <item m="1" x="2485"/>
        <item m="1" x="4258"/>
        <item m="1" x="1533"/>
        <item m="1" x="1287"/>
        <item m="1" x="778"/>
        <item m="1" x="3388"/>
        <item m="1" x="3622"/>
        <item m="1" x="1300"/>
        <item m="1" x="1088"/>
        <item m="1" x="3391"/>
        <item m="1" x="1680"/>
        <item m="1" x="3240"/>
        <item m="1" x="3551"/>
        <item m="1" x="852"/>
        <item m="1" x="3963"/>
        <item m="1" x="1247"/>
        <item m="1" x="1243"/>
        <item m="1" x="1914"/>
        <item m="1" x="985"/>
        <item m="1" x="789"/>
        <item m="1" x="2291"/>
        <item m="1" x="3069"/>
        <item m="1" x="2455"/>
        <item m="1" x="948"/>
        <item m="1" x="1655"/>
        <item m="1" x="3058"/>
        <item m="1" x="3687"/>
        <item m="1" x="2882"/>
        <item m="1" x="4149"/>
        <item m="1" x="2563"/>
        <item m="1" x="2606"/>
        <item m="1" x="1486"/>
        <item m="1" x="2228"/>
        <item m="1" x="2331"/>
        <item m="1" x="2985"/>
        <item m="1" x="3511"/>
        <item m="1" x="733"/>
        <item m="1" x="925"/>
        <item m="1" x="2181"/>
        <item m="1" x="1435"/>
        <item m="1" x="1203"/>
        <item m="1" x="2598"/>
        <item m="1" x="4283"/>
        <item m="1" x="2401"/>
        <item m="1" x="3151"/>
        <item m="1" x="3760"/>
        <item m="1" x="3466"/>
        <item m="1" x="3257"/>
        <item m="1" x="3331"/>
        <item m="1" x="4096"/>
        <item m="1" x="4251"/>
        <item m="1" x="2460"/>
        <item m="1" x="1734"/>
        <item m="1" x="4340"/>
        <item m="1" x="1924"/>
        <item m="1" x="3864"/>
        <item m="1" x="2788"/>
        <item m="1" x="3152"/>
        <item m="1" x="2542"/>
        <item m="1" x="721"/>
        <item m="1" x="1505"/>
        <item m="1" x="2796"/>
        <item m="1" x="3060"/>
        <item m="1" x="669"/>
        <item m="1" x="1157"/>
        <item m="1" x="2884"/>
        <item m="1" x="1430"/>
        <item m="1" x="2449"/>
        <item m="1" x="4041"/>
        <item m="1" x="2133"/>
        <item m="1" x="3629"/>
        <item m="1" x="756"/>
        <item m="1" x="1163"/>
        <item m="1" x="2190"/>
        <item m="1" x="2722"/>
        <item m="1" x="2949"/>
        <item m="1" x="2321"/>
        <item m="1" x="1179"/>
        <item m="1" x="3124"/>
        <item m="1" x="2370"/>
        <item m="1" x="1264"/>
        <item m="1" x="2819"/>
        <item m="1" x="3100"/>
        <item m="1" x="3440"/>
        <item m="1" x="3949"/>
        <item m="1" x="3020"/>
        <item m="1" x="3562"/>
        <item m="1" x="2237"/>
        <item m="1" x="584"/>
        <item m="1" x="3668"/>
        <item m="1" x="2318"/>
        <item m="1" x="3552"/>
        <item m="1" x="2647"/>
        <item m="1" x="1781"/>
        <item m="1" x="1080"/>
        <item m="1" x="586"/>
        <item m="1" x="1232"/>
        <item m="1" x="2152"/>
        <item m="1" x="1606"/>
        <item m="1" x="3959"/>
        <item m="1" x="3164"/>
        <item m="1" x="2032"/>
        <item m="1" x="1906"/>
        <item m="1" x="3983"/>
        <item m="1" x="3643"/>
        <item m="1" x="3845"/>
        <item m="1" x="1454"/>
        <item m="1" x="868"/>
        <item m="1" x="971"/>
        <item m="1" x="4067"/>
        <item m="1" x="4180"/>
        <item m="1" x="2781"/>
        <item m="1" x="2858"/>
        <item m="1" x="1226"/>
        <item m="1" x="462"/>
        <item m="1" x="3460"/>
        <item m="1" x="1259"/>
        <item m="1" x="1395"/>
        <item m="1" x="1819"/>
        <item m="1" x="617"/>
        <item m="1" x="3824"/>
        <item m="1" x="2302"/>
        <item m="1" x="2708"/>
        <item m="1" x="1717"/>
        <item m="1" x="3524"/>
        <item m="1" x="2182"/>
        <item m="1" x="3236"/>
        <item m="1" x="565"/>
        <item m="1" x="1393"/>
        <item m="1" x="779"/>
        <item m="1" x="1302"/>
        <item m="1" x="1836"/>
        <item m="1" x="2579"/>
        <item m="1" x="2177"/>
        <item m="1" x="4286"/>
        <item m="1" x="3823"/>
        <item m="1" x="3825"/>
        <item m="1" x="685"/>
        <item m="1" x="2395"/>
        <item m="1" x="2612"/>
        <item m="1" x="880"/>
        <item m="1" x="3421"/>
        <item m="1" x="706"/>
        <item m="1" x="4244"/>
        <item m="1" x="2893"/>
        <item m="1" x="3209"/>
        <item m="1" x="2281"/>
        <item m="1" x="4353"/>
        <item m="1" x="2191"/>
        <item m="1" x="3550"/>
        <item m="1" x="847"/>
        <item m="1" x="663"/>
        <item m="1" x="817"/>
        <item m="1" x="3107"/>
        <item m="1" x="1956"/>
        <item m="1" x="3288"/>
        <item m="1" x="470"/>
        <item m="1" x="3260"/>
        <item m="1" x="1139"/>
        <item m="1" x="1263"/>
        <item m="1" x="4379"/>
        <item m="1" x="3560"/>
        <item m="1" x="2718"/>
        <item m="1" x="581"/>
        <item m="1" x="4159"/>
        <item m="1" x="2167"/>
        <item m="1" x="2170"/>
        <item m="1" x="3028"/>
        <item m="1" x="541"/>
        <item m="1" x="2784"/>
        <item m="1" x="2849"/>
        <item m="1" x="1933"/>
        <item m="1" x="2628"/>
        <item m="1" x="1357"/>
        <item m="1" x="3790"/>
        <item m="1" x="863"/>
        <item m="1" x="2403"/>
        <item m="1" x="2999"/>
        <item m="1" x="2513"/>
        <item m="1" x="1779"/>
        <item m="1" x="2709"/>
        <item m="1" x="1148"/>
        <item m="1" x="1249"/>
        <item m="1" x="4341"/>
        <item m="1" x="1072"/>
        <item m="1" x="1270"/>
        <item m="1" x="4186"/>
        <item m="1" x="728"/>
        <item m="1" x="2054"/>
        <item m="1" x="1716"/>
        <item m="1" x="4325"/>
        <item m="1" x="2011"/>
        <item m="1" x="4039"/>
        <item m="1" x="3199"/>
        <item m="1" x="870"/>
        <item m="1" x="1065"/>
        <item m="1" x="1551"/>
        <item m="1" x="2661"/>
        <item m="1" x="1183"/>
        <item m="1" x="1000"/>
        <item m="1" x="736"/>
        <item m="1" x="3042"/>
        <item m="1" x="3786"/>
        <item m="1" x="2414"/>
        <item m="1" x="1158"/>
        <item m="1" x="1851"/>
        <item m="1" x="3970"/>
        <item m="1" x="3046"/>
        <item m="1" x="2038"/>
        <item m="1" x="2441"/>
        <item m="1" x="720"/>
        <item m="1" x="2697"/>
        <item m="1" x="4237"/>
        <item m="1" x="3387"/>
        <item m="1" x="3372"/>
        <item m="1" x="836"/>
        <item m="1" x="1241"/>
        <item m="1" x="2109"/>
        <item m="1" x="729"/>
        <item m="1" x="1288"/>
        <item m="1" x="3206"/>
        <item m="1" x="2288"/>
        <item m="1" x="766"/>
        <item m="1" x="2794"/>
        <item m="1" x="3162"/>
        <item m="1" x="3261"/>
        <item m="1" x="1623"/>
        <item m="1" x="2573"/>
        <item m="1" x="3867"/>
        <item m="1" x="2007"/>
        <item m="1" x="2879"/>
        <item m="1" x="509"/>
        <item m="1" x="2089"/>
        <item m="1" x="1715"/>
        <item m="1" x="3281"/>
        <item m="1" x="3765"/>
        <item m="1" x="3488"/>
        <item m="1" x="2145"/>
        <item m="1" x="1374"/>
        <item m="1" x="1868"/>
        <item m="1" x="3364"/>
        <item m="1" x="1676"/>
        <item m="1" x="1978"/>
        <item m="1" x="2750"/>
        <item m="1" x="1506"/>
        <item m="1" x="2139"/>
        <item m="1" x="3575"/>
        <item m="1" x="860"/>
        <item m="1" x="1102"/>
        <item m="1" x="3222"/>
        <item m="1" x="1733"/>
        <item m="1" x="598"/>
        <item m="1" x="825"/>
        <item m="1" x="1575"/>
        <item m="1" x="1321"/>
        <item m="1" x="1193"/>
        <item m="1" x="1985"/>
        <item m="1" x="3933"/>
        <item m="1" x="1611"/>
        <item m="1" x="3688"/>
        <item m="1" x="2621"/>
        <item m="1" x="1008"/>
        <item m="1" x="3499"/>
        <item m="1" x="2495"/>
        <item m="1" x="4086"/>
        <item m="1" x="4391"/>
        <item m="1" x="2644"/>
        <item m="1" x="1799"/>
        <item m="1" x="2684"/>
        <item m="1" x="2371"/>
        <item m="1" x="3229"/>
        <item m="1" x="2471"/>
        <item m="1" x="3336"/>
        <item m="1" x="2285"/>
        <item m="1" x="3556"/>
        <item m="1" x="2645"/>
        <item m="1" x="1582"/>
        <item m="1" x="3871"/>
        <item m="1" x="1281"/>
        <item m="1" x="3913"/>
        <item m="1" x="481"/>
        <item m="1" x="472"/>
        <item m="1" x="2166"/>
        <item m="1" x="4001"/>
        <item m="1" x="4191"/>
        <item m="1" x="2023"/>
        <item m="1" x="1380"/>
        <item m="1" x="4273"/>
        <item m="1" x="950"/>
        <item m="1" x="2600"/>
        <item m="1" x="3215"/>
        <item m="1" x="3308"/>
        <item m="1" x="3310"/>
        <item m="1" x="649"/>
        <item m="1" x="3901"/>
        <item m="1" x="2136"/>
        <item m="1" x="3567"/>
        <item m="1" x="482"/>
        <item m="1" x="1210"/>
        <item m="1" x="4206"/>
        <item m="1" x="503"/>
        <item m="1" x="1923"/>
        <item m="1" x="3880"/>
        <item m="1" x="3528"/>
        <item m="1" x="814"/>
        <item m="1" x="3752"/>
        <item m="1" x="2150"/>
        <item m="1" x="3442"/>
        <item m="1" x="1195"/>
        <item m="1" x="2742"/>
        <item m="1" x="1685"/>
        <item m="1" x="4270"/>
        <item m="1" x="2854"/>
        <item m="1" x="2468"/>
        <item m="1" x="972"/>
        <item m="1" x="2827"/>
        <item m="1" x="2536"/>
        <item m="1" x="2806"/>
        <item m="1" x="3927"/>
        <item m="1" x="3903"/>
        <item m="1" x="1935"/>
        <item m="1" x="2373"/>
        <item m="1" x="1828"/>
        <item m="1" x="2329"/>
        <item m="1" x="1753"/>
        <item m="1" x="1741"/>
        <item m="1" x="2497"/>
        <item m="1" x="3794"/>
        <item m="1" x="1674"/>
        <item m="1" x="3822"/>
        <item m="1" x="1452"/>
        <item m="1" x="1746"/>
        <item m="1" x="1909"/>
        <item m="1" x="1624"/>
        <item m="1" x="2877"/>
        <item m="1" x="2795"/>
        <item m="1" x="3115"/>
        <item m="1" x="2051"/>
        <item m="1" x="4007"/>
        <item m="1" x="1237"/>
        <item m="1" x="718"/>
        <item m="1" x="2588"/>
        <item m="1" x="2994"/>
        <item m="1" x="1105"/>
        <item m="1" x="1483"/>
        <item m="1" x="4220"/>
        <item m="1" x="1524"/>
        <item m="1" x="2042"/>
        <item m="1" x="4218"/>
        <item m="1" x="780"/>
        <item m="1" x="1293"/>
        <item m="1" x="540"/>
        <item m="1" x="603"/>
        <item m="1" x="3506"/>
        <item m="1" x="1652"/>
        <item m="1" x="1184"/>
        <item m="1" x="2483"/>
        <item m="1" x="4164"/>
        <item m="1" x="1410"/>
        <item m="1" x="1662"/>
        <item m="1" x="4125"/>
        <item m="1" x="2992"/>
        <item m="1" x="926"/>
        <item m="1" x="4142"/>
        <item m="1" x="2892"/>
        <item m="1" x="3078"/>
        <item m="1" x="2669"/>
        <item m="1" x="2549"/>
        <item m="1" x="4378"/>
        <item m="1" x="3181"/>
        <item m="1" x="2974"/>
        <item m="1" x="2807"/>
        <item m="1" x="2105"/>
        <item m="1" x="2405"/>
        <item m="1" x="2175"/>
        <item m="1" x="3399"/>
        <item m="1" x="1101"/>
        <item m="1" x="2356"/>
        <item m="1" x="905"/>
        <item m="1" x="2821"/>
        <item m="1" x="3300"/>
        <item m="1" x="2354"/>
        <item m="1" x="3454"/>
        <item m="1" x="940"/>
        <item m="1" x="2249"/>
        <item m="1" x="616"/>
        <item m="1" x="3497"/>
        <item m="1" x="2447"/>
        <item m="1" x="3186"/>
        <item m="1" x="1589"/>
        <item m="1" x="1258"/>
        <item m="1" x="4006"/>
        <item m="1" x="2398"/>
        <item m="1" x="2391"/>
        <item m="1" x="911"/>
        <item m="1" x="3062"/>
        <item m="1" x="3727"/>
        <item m="1" x="3365"/>
        <item m="1" x="3473"/>
        <item m="1" x="1424"/>
        <item m="1" x="859"/>
        <item m="1" x="2466"/>
        <item m="1" x="3434"/>
        <item m="1" x="2824"/>
        <item m="1" x="2264"/>
        <item m="1" x="2235"/>
        <item m="1" x="2924"/>
        <item m="1" x="3535"/>
        <item m="1" x="955"/>
        <item m="1" x="605"/>
        <item m="1" x="1802"/>
        <item m="1" x="2056"/>
        <item m="1" x="534"/>
        <item m="1" x="670"/>
        <item m="1" x="4332"/>
        <item m="1" x="675"/>
        <item m="1" x="676"/>
        <item m="1" x="2987"/>
        <item m="1" x="2909"/>
        <item m="1" x="2084"/>
        <item m="1" x="4380"/>
        <item m="1" x="2729"/>
        <item m="1" x="2510"/>
        <item m="1" x="1867"/>
        <item m="1" x="2770"/>
        <item m="1" x="2100"/>
        <item m="1" x="1319"/>
        <item m="1" x="1964"/>
        <item m="1" x="3142"/>
        <item m="1" x="1795"/>
        <item m="1" x="1260"/>
        <item m="1" x="3937"/>
        <item m="1" x="492"/>
        <item m="1" x="1447"/>
        <item m="1" x="1848"/>
        <item m="1" x="987"/>
        <item m="1" x="710"/>
        <item m="1" x="3762"/>
        <item m="1" x="3543"/>
        <item m="1" x="3051"/>
        <item m="1" x="2831"/>
        <item m="1" x="1813"/>
        <item m="1" x="3980"/>
        <item m="1" x="2503"/>
        <item m="1" x="2766"/>
        <item m="1" x="1070"/>
        <item m="1" x="3582"/>
        <item m="1" x="2571"/>
        <item m="1" x="2174"/>
        <item m="1" x="570"/>
        <item m="1" x="2436"/>
        <item m="1" x="4109"/>
        <item m="1" x="2351"/>
        <item m="1" x="3826"/>
        <item m="1" x="1941"/>
        <item m="1" x="1303"/>
        <item m="1" x="4126"/>
        <item m="1" x="3211"/>
        <item m="1" x="2777"/>
        <item m="1" x="3619"/>
        <item m="1" x="1727"/>
        <item m="1" x="2660"/>
        <item m="1" x="2063"/>
        <item m="1" x="1012"/>
        <item m="1" x="2615"/>
        <item m="1" x="4387"/>
        <item m="1" x="2760"/>
        <item m="1" x="1095"/>
        <item m="1" x="2028"/>
        <item m="1" x="1671"/>
        <item m="1" x="2658"/>
        <item m="1" x="902"/>
        <item m="1" x="4104"/>
        <item m="1" x="3879"/>
        <item m="1" x="4133"/>
        <item m="1" x="1474"/>
        <item m="1" x="3859"/>
        <item m="1" x="679"/>
        <item m="1" x="3459"/>
        <item m="1" x="3808"/>
        <item m="1" x="4335"/>
        <item m="1" x="2973"/>
        <item m="1" x="1837"/>
        <item m="1" x="2922"/>
        <item m="1" x="944"/>
        <item m="1" x="3064"/>
        <item m="1" x="2665"/>
        <item m="1" x="1874"/>
        <item m="1" x="3086"/>
        <item m="1" x="1052"/>
        <item m="1" x="2419"/>
        <item m="1" x="2602"/>
        <item m="1" x="1930"/>
        <item m="1" x="3503"/>
        <item m="1" x="3501"/>
        <item m="1" x="3155"/>
        <item m="1" x="2142"/>
        <item m="1" x="1562"/>
        <item m="1" x="597"/>
        <item m="1" x="2000"/>
        <item m="1" x="2027"/>
        <item m="1" x="854"/>
        <item m="1" x="2309"/>
        <item m="1" x="4268"/>
        <item m="1" x="3259"/>
        <item m="1" x="2823"/>
        <item m="1" x="1212"/>
        <item m="1" x="2801"/>
        <item m="1" x="3371"/>
        <item m="1" x="3805"/>
        <item m="1" x="1442"/>
        <item m="1" x="2422"/>
        <item m="1" x="1858"/>
        <item m="1" x="3358"/>
        <item m="1" x="3077"/>
        <item m="1" x="4375"/>
        <item m="1" x="2488"/>
        <item m="1" x="542"/>
        <item m="1" x="4277"/>
        <item m="1" x="4265"/>
        <item m="1" x="1285"/>
        <item m="1" x="3566"/>
        <item m="1" x="3285"/>
        <item m="1" x="3578"/>
        <item m="1" x="3735"/>
        <item m="1" x="2437"/>
        <item m="1" x="2594"/>
        <item m="1" x="3067"/>
        <item m="1" x="3613"/>
        <item m="1" x="748"/>
        <item m="1" x="2450"/>
        <item m="1" x="3725"/>
        <item m="1" x="4035"/>
        <item m="1" x="2936"/>
        <item m="1" x="2223"/>
        <item m="1" x="2258"/>
        <item m="1" x="695"/>
        <item m="1" x="2125"/>
        <item m="1" x="3171"/>
        <item m="1" x="4329"/>
        <item m="1" x="2551"/>
        <item m="1" x="1759"/>
        <item m="1" x="1156"/>
        <item m="1" x="1030"/>
        <item m="1" x="3834"/>
        <item m="1" x="1173"/>
        <item m="1" x="1426"/>
        <item m="1" x="4367"/>
        <item m="1" x="734"/>
        <item m="1" x="3398"/>
        <item m="1" x="1572"/>
        <item m="1" x="466"/>
        <item m="1" x="2282"/>
        <item m="1" x="1944"/>
        <item m="1" x="4384"/>
        <item m="1" x="2771"/>
        <item m="1" x="538"/>
        <item m="1" x="2702"/>
        <item m="1" x="1852"/>
        <item m="1" x="1553"/>
        <item m="1" x="2118"/>
        <item m="1" x="1106"/>
        <item m="1" x="3344"/>
        <item m="1" x="4167"/>
        <item m="1" x="3728"/>
        <item m="1" x="3413"/>
        <item m="1" x="3806"/>
        <item m="1" x="458"/>
        <item m="1" x="3664"/>
        <item m="1" x="2726"/>
        <item m="1" x="3136"/>
        <item m="1" x="1675"/>
        <item m="1" x="2479"/>
        <item m="1" x="2316"/>
        <item m="1" x="1554"/>
        <item m="1" x="2476"/>
        <item m="1" x="2486"/>
        <item m="1" x="3156"/>
        <item m="1" x="2015"/>
        <item m="1" x="2443"/>
        <item m="1" x="2656"/>
        <item m="1" x="4057"/>
        <item m="1" x="2124"/>
        <item m="1" x="969"/>
        <item m="1" x="1774"/>
        <item m="1" x="3985"/>
        <item m="1" x="2115"/>
        <item m="1" x="4205"/>
        <item m="1" x="515"/>
        <item m="1" x="826"/>
        <item m="1" x="3145"/>
        <item m="1" x="2725"/>
        <item m="1" x="1621"/>
        <item m="1" x="2078"/>
        <item m="1" x="2079"/>
        <item m="1" x="644"/>
        <item m="1" x="2736"/>
        <item m="1" x="4302"/>
        <item m="1" x="2851"/>
        <item m="1" x="4068"/>
        <item m="1" x="3557"/>
        <item m="1" x="3603"/>
        <item m="1" x="2873"/>
        <item m="1" x="3070"/>
        <item m="1" x="3659"/>
        <item m="1" x="4360"/>
        <item m="1" x="3169"/>
        <item m="1" x="3714"/>
        <item m="1" x="2093"/>
        <item m="1" x="3103"/>
        <item m="1" x="1204"/>
        <item m="1" x="976"/>
        <item m="1" x="3846"/>
        <item m="1" x="1600"/>
        <item m="1" x="2675"/>
        <item m="1" x="3957"/>
        <item m="1" x="3283"/>
        <item m="1" x="1550"/>
        <item m="1" x="2480"/>
        <item m="1" x="832"/>
        <item m="1" x="3718"/>
        <item m="1" x="1839"/>
        <item m="1" x="1028"/>
        <item m="1" x="4181"/>
        <item m="1" x="4339"/>
        <item m="1" x="3184"/>
        <item m="1" x="1569"/>
        <item m="1" x="2417"/>
        <item m="1" x="947"/>
        <item m="1" x="1849"/>
        <item m="1" x="4183"/>
        <item m="1" x="3128"/>
        <item m="1" x="3677"/>
        <item m="1" x="1616"/>
        <item m="1" x="2663"/>
        <item m="1" x="1242"/>
        <item m="1" x="2743"/>
        <item m="1" x="1907"/>
        <item m="1" x="846"/>
        <item m="1" x="3332"/>
        <item m="1" x="1457"/>
        <item m="1" x="740"/>
        <item m="1" x="1561"/>
        <item m="1" x="3715"/>
        <item m="1" x="2515"/>
        <item m="1" x="1947"/>
        <item m="1" x="785"/>
        <item m="1" x="1253"/>
        <item m="1" x="1859"/>
        <item m="1" x="3952"/>
        <item m="1" x="1187"/>
        <item m="1" x="1760"/>
        <item m="1" x="3561"/>
        <item m="1" x="3383"/>
        <item m="1" x="1877"/>
        <item m="1" x="3013"/>
        <item m="1" x="3795"/>
        <item m="1" x="2269"/>
        <item m="1" x="3604"/>
        <item m="1" x="2744"/>
        <item m="1" x="2746"/>
        <item m="1" x="746"/>
        <item m="1" x="2065"/>
        <item m="1" x="1116"/>
        <item m="1" x="3855"/>
        <item m="1" x="2159"/>
        <item m="1" x="3699"/>
        <item m="1" x="1476"/>
        <item m="1" x="1332"/>
        <item m="1" x="4359"/>
        <item m="1" x="1107"/>
        <item m="1" x="1299"/>
        <item m="1" x="622"/>
        <item m="1" x="1209"/>
        <item m="1" x="2534"/>
        <item m="1" x="1371"/>
        <item m="1" x="537"/>
        <item m="1" x="1514"/>
        <item m="1" x="3975"/>
        <item m="1" x="1013"/>
        <item m="1" x="1423"/>
        <item m="1" x="1584"/>
        <item m="1" x="2355"/>
        <item m="1" x="642"/>
        <item m="1" x="1429"/>
        <item m="1" x="3815"/>
        <item m="1" x="2941"/>
        <item m="1" x="3693"/>
        <item m="1" x="938"/>
        <item m="1" x="2511"/>
        <item m="1" x="1893"/>
        <item m="1" x="1265"/>
        <item m="1" x="1695"/>
        <item m="1" x="3226"/>
        <item m="1" x="1328"/>
        <item m="1" x="4002"/>
        <item m="1" x="2040"/>
        <item m="1" x="1681"/>
        <item m="1" x="3381"/>
        <item m="1" x="645"/>
        <item m="1" x="1443"/>
        <item m="1" x="4112"/>
        <item m="1" x="3021"/>
        <item m="1" x="2363"/>
        <item m="1" x="4102"/>
        <item m="1" x="1853"/>
        <item m="1" x="3546"/>
        <item m="1" x="1289"/>
        <item m="1" x="2961"/>
        <item m="1" x="1693"/>
        <item m="1" x="2113"/>
        <item m="1" x="1094"/>
        <item m="1" x="4208"/>
        <item m="1" x="1736"/>
        <item m="1" x="1915"/>
        <item m="1" x="1578"/>
        <item m="1" x="3339"/>
        <item m="1" x="2711"/>
        <item m="1" x="1614"/>
        <item m="1" x="3350"/>
        <item m="1" x="2939"/>
        <item m="1" x="786"/>
        <item m="1" x="3480"/>
        <item m="1" x="606"/>
        <item m="1" x="4066"/>
        <item m="1" x="483"/>
        <item m="1" x="3315"/>
        <item m="1" x="1922"/>
        <item m="1" x="455"/>
        <item m="1" x="761"/>
        <item m="1" x="2239"/>
        <item m="1" x="3676"/>
        <item m="1" x="4383"/>
        <item m="1" x="3611"/>
        <item m="1" x="1862"/>
        <item m="1" x="2885"/>
        <item m="1" x="2086"/>
        <item m="1" x="1354"/>
        <item m="1" x="4088"/>
        <item m="1" x="2787"/>
        <item m="1" x="3663"/>
        <item m="1" x="3366"/>
        <item m="1" x="3990"/>
        <item m="1" x="2690"/>
        <item m="1" x="3119"/>
        <item m="1" x="991"/>
        <item m="1" x="3508"/>
        <item m="1" x="1597"/>
        <item m="1" x="3446"/>
        <item m="1" x="3375"/>
        <item m="1" x="754"/>
        <item m="1" x="3429"/>
        <item m="1" x="1246"/>
        <item m="1" x="2220"/>
        <item m="1" x="3755"/>
        <item m="1" x="3352"/>
        <item m="1" x="2860"/>
        <item m="1" x="1713"/>
        <item m="1" x="3063"/>
        <item m="1" x="3495"/>
        <item m="1" x="3813"/>
        <item m="1" x="4269"/>
        <item m="1" x="569"/>
        <item m="1" x="4150"/>
        <item m="1" x="3338"/>
        <item m="1" x="957"/>
        <item m="1" x="4385"/>
        <item m="1" x="2366"/>
        <item m="1" x="2830"/>
        <item m="1" x="3138"/>
        <item m="1" x="1911"/>
        <item m="1" x="3040"/>
        <item m="1" x="2326"/>
        <item m="1" x="3246"/>
        <item m="1" x="3469"/>
        <item m="1" x="2681"/>
        <item m="1" x="1920"/>
        <item m="1" x="3493"/>
        <item m="1" x="886"/>
        <item m="1" x="3282"/>
        <item m="1" x="3768"/>
        <item m="1" x="2314"/>
        <item m="1" x="1021"/>
        <item m="1" x="4010"/>
        <item m="1" x="2408"/>
        <item m="1" x="2952"/>
        <item m="1" x="1664"/>
        <item m="1" x="1296"/>
        <item m="1" x="3475"/>
        <item m="1" x="1949"/>
        <item m="1" x="1804"/>
        <item m="1" x="3559"/>
        <item m="1" x="3529"/>
        <item m="1" x="1362"/>
        <item m="1" x="1750"/>
        <item m="1" x="2585"/>
        <item m="1" x="1872"/>
        <item m="1" x="633"/>
        <item m="1" x="646"/>
        <item m="1" x="1667"/>
        <item m="1" x="2202"/>
        <item m="1" x="2498"/>
        <item m="1" x="612"/>
        <item m="1" x="599"/>
        <item m="1" x="2900"/>
        <item m="1" x="3563"/>
        <item m="1" x="3278"/>
        <item m="1" x="3114"/>
        <item m="1" x="1901"/>
        <item m="1" x="3059"/>
        <item m="1" x="3329"/>
        <item m="1" x="2260"/>
        <item m="1" x="2913"/>
        <item m="1" x="1806"/>
        <item m="1" x="653"/>
        <item m="1" x="1950"/>
        <item m="1" x="1951"/>
        <item m="1" x="577"/>
        <item m="1" x="1199"/>
        <item m="1" x="2687"/>
        <item m="1" x="1699"/>
        <item m="1" x="2137"/>
        <item m="1" x="1396"/>
        <item m="1" x="2193"/>
        <item m="1" x="4111"/>
        <item m="1" x="1146"/>
        <item m="1" x="2976"/>
        <item m="1" x="1821"/>
        <item m="1" x="1770"/>
        <item m="1" x="4124"/>
        <item m="1" x="4212"/>
        <item m="1" x="2772"/>
        <item m="1" x="1487"/>
        <item m="1" x="1165"/>
        <item m="1" x="2014"/>
        <item m="1" x="943"/>
        <item m="1" x="3213"/>
        <item m="1" x="3356"/>
        <item m="1" x="3004"/>
        <item m="1" x="3326"/>
        <item m="1" x="1654"/>
        <item m="1" x="2453"/>
        <item m="1" x="2700"/>
        <item m="1" x="2101"/>
        <item m="1" x="2267"/>
        <item m="1" x="2184"/>
        <item m="1" x="1494"/>
        <item m="1" x="3112"/>
        <item m="1" x="3055"/>
        <item m="1" x="802"/>
        <item m="1" x="3397"/>
        <item m="1" x="4000"/>
        <item m="1" x="2394"/>
        <item m="1" x="3415"/>
        <item m="1" x="555"/>
        <item m="1" x="1571"/>
        <item m="1" x="1117"/>
        <item m="1" x="3706"/>
        <item m="1" x="3174"/>
        <item m="1" x="1881"/>
        <item m="1" x="942"/>
        <item m="1" x="883"/>
        <item m="1" x="2862"/>
        <item m="1" x="2867"/>
        <item m="1" x="1358"/>
        <item m="1" x="2853"/>
        <item m="1" x="1171"/>
        <item m="1" x="1994"/>
        <item m="1" x="3099"/>
        <item m="1" x="1079"/>
        <item m="1" x="2942"/>
        <item m="1" x="1133"/>
        <item m="1" x="1025"/>
        <item m="1" x="3290"/>
        <item m="1" x="2494"/>
        <item m="1" x="2671"/>
        <item m="1" x="4187"/>
        <item m="1" x="4189"/>
        <item m="1" x="4070"/>
        <item m="1" x="2768"/>
        <item m="1" x="1386"/>
        <item m="1" x="2878"/>
        <item m="1" x="2424"/>
        <item m="1" x="2580"/>
        <item m="1" x="1181"/>
        <item m="1" x="1832"/>
        <item m="1" x="2881"/>
        <item m="1" x="3756"/>
        <item m="1" x="3504"/>
        <item m="1" x="3716"/>
        <item m="1" x="1172"/>
        <item m="1" x="4040"/>
        <item m="1" x="3964"/>
        <item m="1" x="1682"/>
        <item m="1" x="3438"/>
        <item m="1" x="686"/>
        <item m="1" x="1521"/>
        <item m="1" x="1880"/>
        <item m="1" x="3778"/>
        <item m="1" x="3717"/>
        <item m="1" x="500"/>
        <item m="1" x="1218"/>
        <item m="1" x="3518"/>
        <item m="1" x="1422"/>
        <item m="1" x="2586"/>
        <item m="1" x="2979"/>
        <item m="1" x="3337"/>
        <item m="1" x="1292"/>
        <item m="1" x="3674"/>
        <item m="1" x="3599"/>
        <item m="1" x="3915"/>
        <item m="1" x="1845"/>
        <item m="1" x="1286"/>
        <item m="1" x="4356"/>
        <item m="1" x="1887"/>
        <item m="1" x="1903"/>
        <item m="1" x="3789"/>
        <item m="1" x="3131"/>
        <item m="1" x="1489"/>
        <item m="1" x="1215"/>
        <item m="1" x="3477"/>
        <item m="1" x="1689"/>
        <item m="1" x="1220"/>
        <item m="1" x="1315"/>
        <item m="1" x="3218"/>
        <item m="1" x="1737"/>
        <item m="1" x="3316"/>
        <item m="1" x="2863"/>
        <item m="1" x="3057"/>
        <item m="1" x="559"/>
        <item m="1" x="4048"/>
        <item m="1" x="1323"/>
        <item m="1" x="2379"/>
        <item m="1" x="3882"/>
        <item m="1" x="708"/>
        <item m="1" x="2294"/>
        <item m="1" x="2880"/>
        <item m="1" x="735"/>
        <item m="1" x="4091"/>
        <item m="1" x="4377"/>
        <item m="1" x="4369"/>
        <item m="1" x="3173"/>
        <item m="1" x="3367"/>
        <item m="1" x="2017"/>
        <item m="1" x="535"/>
        <item m="1" x="958"/>
        <item m="1" x="3616"/>
        <item m="1" x="2704"/>
        <item m="1" x="3821"/>
        <item m="1" x="3149"/>
        <item m="1" x="1518"/>
        <item m="1" x="1942"/>
        <item m="1" x="1295"/>
        <item m="1" x="1560"/>
        <item m="1" x="3432"/>
        <item m="1" x="2362"/>
        <item m="1" x="1511"/>
        <item m="1" x="3092"/>
        <item m="1" x="3424"/>
        <item m="1" x="2352"/>
        <item m="1" x="1787"/>
        <item m="1" x="498"/>
        <item m="1" x="1908"/>
        <item m="1" x="4238"/>
        <item m="1" x="2778"/>
        <item m="1" x="2759"/>
        <item m="1" x="2472"/>
        <item m="1" x="3448"/>
        <item m="1" x="3272"/>
        <item m="1" x="2129"/>
        <item m="1" x="636"/>
        <item m="1" x="1151"/>
        <item m="1" x="3614"/>
        <item m="1" x="3586"/>
        <item m="1" x="1359"/>
        <item m="1" x="3635"/>
        <item m="1" x="3860"/>
        <item m="1" x="3700"/>
        <item m="1" x="2943"/>
        <item m="1" x="4331"/>
        <item m="1" x="2210"/>
        <item m="1" x="3483"/>
        <item m="1" x="2548"/>
        <item m="1" x="681"/>
        <item m="1" x="2107"/>
        <item m="1" x="3430"/>
        <item m="1" x="1822"/>
        <item m="1" x="1747"/>
        <item m="1" x="2274"/>
        <item m="1" x="3130"/>
        <item m="1" x="2025"/>
        <item m="1" x="2920"/>
        <item m="1" x="1811"/>
        <item m="1" x="3514"/>
        <item m="1" x="2959"/>
        <item m="1" x="4272"/>
        <item m="1" x="3694"/>
        <item m="1" x="1913"/>
        <item m="1" x="1206"/>
        <item m="1" x="2126"/>
        <item m="1" x="3651"/>
        <item m="1" x="4033"/>
        <item m="1" x="3999"/>
        <item m="1" x="2304"/>
        <item m="1" x="1840"/>
        <item m="1" x="4239"/>
        <item m="1" x="3771"/>
        <item m="1" x="2423"/>
        <item m="1" x="2108"/>
        <item m="1" x="2293"/>
        <item m="1" x="2387"/>
        <item m="1" x="3025"/>
        <item m="1" x="4049"/>
        <item m="1" x="1857"/>
        <item m="1" x="2110"/>
        <item m="1" x="2517"/>
        <item m="1" x="1047"/>
        <item m="1" x="1740"/>
        <item m="1" x="627"/>
        <item m="1" x="3745"/>
        <item m="1" x="1892"/>
        <item m="1" x="3553"/>
        <item m="1" x="3123"/>
        <item m="1" x="1223"/>
        <item m="1" x="1440"/>
        <item m="1" x="1251"/>
        <item m="1" x="1780"/>
        <item m="1" x="671"/>
        <item m="1" x="1583"/>
        <item m="1" x="914"/>
        <item m="1" x="3531"/>
        <item m="1" x="1812"/>
        <item m="1" x="2434"/>
        <item m="1" x="1219"/>
        <item m="1" x="1796"/>
        <item m="1" x="2954"/>
        <item m="1" x="3817"/>
        <item m="1" x="4392"/>
        <item m="1" x="867"/>
        <item m="1" x="2869"/>
        <item m="1" x="3348"/>
        <item m="1" x="874"/>
        <item m="1" x="3467"/>
        <item m="1" x="711"/>
        <item m="1" x="1446"/>
        <item m="1" x="2705"/>
        <item m="1" x="2261"/>
        <item m="1" x="1772"/>
        <item m="1" x="2474"/>
        <item m="1" x="2303"/>
        <item m="1" x="4354"/>
        <item m="1" x="1916"/>
        <item m="1" x="571"/>
        <item m="1" x="904"/>
        <item m="1" x="3403"/>
        <item m="1" x="582"/>
        <item m="1" x="3665"/>
        <item m="1" x="4062"/>
        <item m="1" x="844"/>
        <item m="1" x="2996"/>
        <item m="1" x="518"/>
        <item m="1" x="4188"/>
        <item m="1" x="2719"/>
        <item m="1" x="2997"/>
        <item m="1" x="3761"/>
        <item m="1" x="2533"/>
        <item m="1" x="922"/>
        <item m="1" x="1132"/>
        <item m="1" x="4343"/>
        <item m="1" x="1377"/>
        <item m="1" x="1834"/>
        <item m="1" x="3053"/>
        <item m="1" x="3863"/>
        <item m="1" x="1841"/>
        <item m="1" x="3484"/>
        <item m="1" x="3600"/>
        <item m="1" x="1347"/>
        <item m="1" x="1501"/>
        <item m="1" x="906"/>
        <item m="1" x="3255"/>
        <item m="1" x="494"/>
        <item m="1" x="1744"/>
        <item m="1" x="3221"/>
        <item m="1" x="601"/>
        <item m="1" x="1502"/>
        <item m="1" x="1416"/>
        <item m="1" x="623"/>
        <item m="1" x="1946"/>
        <item m="1" x="927"/>
        <item m="1" x="1141"/>
        <item m="1" x="3772"/>
        <item m="1" x="892"/>
        <item m="1" x="3207"/>
        <item m="1" x="2840"/>
        <item m="1" x="485"/>
        <item m="1" x="3976"/>
        <item m="1" x="2522"/>
        <item m="1" x="2528"/>
        <item m="1" x="3598"/>
        <item m="1" x="1198"/>
        <item m="1" x="1352"/>
        <item m="1" x="630"/>
        <item m="1" x="4138"/>
        <item m="1" x="4060"/>
        <item m="1" x="4243"/>
        <item m="1" x="2295"/>
        <item m="1" x="3321"/>
        <item m="1" x="1577"/>
        <item m="1" x="461"/>
        <item m="1" x="1185"/>
        <item m="1" x="1136"/>
        <item m="1" x="1547"/>
        <item m="1" x="1275"/>
        <item m="1" x="4225"/>
        <item m="1" x="3626"/>
        <item m="1" x="1153"/>
        <item m="1" x="1391"/>
        <item m="1" x="1392"/>
        <item m="1" x="2846"/>
        <item m="1" x="4097"/>
        <item m="1" x="2715"/>
        <item m="1" x="978"/>
        <item m="1" x="4157"/>
        <item m="1" x="2439"/>
        <item m="1" x="3297"/>
        <item m="1" x="4250"/>
        <item m="1" x="2539"/>
        <item m="1" x="1599"/>
        <item m="1" x="4140"/>
        <item m="1" x="2832"/>
        <item m="1" x="3916"/>
        <item m="1" x="3472"/>
        <item m="1" x="3379"/>
        <item m="1" x="3110"/>
        <item m="1" x="2689"/>
        <item m="1" x="1917"/>
        <item m="1" x="2080"/>
        <item m="1" x="2130"/>
        <item m="1" x="882"/>
        <item m="1" x="2201"/>
        <item m="1" x="3047"/>
        <item m="1" x="2616"/>
        <item m="1" x="4144"/>
        <item m="1" x="4175"/>
        <item m="1" x="689"/>
        <item m="1" x="3238"/>
        <item m="1" x="1231"/>
        <item m="1" x="2950"/>
        <item m="1" x="967"/>
        <item m="1" x="4087"/>
        <item m="1" x="656"/>
        <item m="1" x="1580"/>
        <item m="1" x="1460"/>
        <item m="1" x="1805"/>
        <item m="1" x="3360"/>
        <item m="1" x="2323"/>
        <item m="1" x="2030"/>
        <item m="1" x="2164"/>
        <item m="1" x="828"/>
        <item m="1" x="1566"/>
        <item m="1" x="1369"/>
        <item m="1" x="2969"/>
        <item m="1" x="1615"/>
        <item m="1" x="2104"/>
        <item m="1" x="3390"/>
        <item m="1" x="1517"/>
        <item m="1" x="2737"/>
        <item m="1" x="2389"/>
        <item m="1" x="3455"/>
        <item m="1" x="877"/>
        <item m="1" x="1756"/>
        <item m="1" x="1087"/>
        <item m="1" x="4076"/>
        <item m="1" x="1197"/>
        <item m="1" x="4042"/>
        <item m="1" x="4025"/>
        <item m="1" x="1645"/>
        <item m="1" x="524"/>
        <item m="1" x="1169"/>
        <item m="1" x="2003"/>
        <item m="1" x="2714"/>
        <item m="1" x="1084"/>
        <item m="1" x="3287"/>
        <item m="1" x="767"/>
        <item m="1" x="530"/>
        <item m="1" x="3139"/>
        <item m="1" x="1112"/>
        <item m="1" x="717"/>
        <item m="1" x="2012"/>
        <item m="1" x="1957"/>
        <item m="1" x="2666"/>
        <item m="1" x="2308"/>
        <item m="1" x="3571"/>
        <item m="1" x="3660"/>
        <item m="1" x="1936"/>
        <item m="1" x="3858"/>
        <item m="1" x="1810"/>
        <item m="1" x="3369"/>
        <item m="1" x="1931"/>
        <item m="1" x="2888"/>
        <item m="1" x="1784"/>
        <item m="1" x="2870"/>
        <item m="1" x="2489"/>
        <item m="1" x="1979"/>
        <item m="1" x="3106"/>
        <item m="1" x="2131"/>
        <item m="1" x="1638"/>
        <item m="1" x="2347"/>
        <item m="1" x="2691"/>
        <item m="1" x="2457"/>
        <item m="1" x="3172"/>
        <item m="1" x="2532"/>
        <item m="1" x="2926"/>
        <item m="1" x="2577"/>
        <item m="1" x="4054"/>
        <item m="1" x="3707"/>
        <item m="1" x="990"/>
        <item m="1" x="1017"/>
        <item m="1" x="3079"/>
        <item m="1" x="2507"/>
        <item m="1" x="3129"/>
        <item m="1" x="3268"/>
        <item m="1" x="4168"/>
        <item m="1" x="732"/>
        <item m="1" x="1515"/>
        <item m="1" x="3122"/>
        <item m="1" x="1433"/>
        <item m="1" x="3317"/>
        <item m="1" x="609"/>
        <item m="1" x="3340"/>
        <item m="1" x="1345"/>
        <item m="1" x="1751"/>
        <item m="1" x="3041"/>
        <item m="1" x="3595"/>
        <item m="1" x="3719"/>
        <item m="1" x="3311"/>
        <item m="1" x="807"/>
        <item m="1" x="3153"/>
        <item m="1" x="688"/>
        <item m="1" x="1142"/>
        <item m="1" x="691"/>
        <item m="1" x="2217"/>
        <item m="1" x="4342"/>
        <item m="1" x="4240"/>
        <item m="1" x="3682"/>
        <item m="1" x="3868"/>
        <item m="1" x="573"/>
        <item m="1" x="2868"/>
        <item m="1" x="4011"/>
        <item m="1" x="2368"/>
        <item m="1" x="490"/>
        <item m="1" x="4061"/>
        <item m="1" x="3998"/>
        <item m="1" x="2289"/>
        <item m="1" x="3554"/>
        <item m="1" x="4143"/>
        <item m="1" x="2640"/>
        <item m="1" x="3417"/>
        <item m="1" x="2842"/>
        <item m="1" x="2121"/>
        <item m="1" x="2662"/>
        <item m="1" x="1601"/>
        <item m="1" x="2525"/>
        <item m="1" x="2200"/>
        <item m="1" x="593"/>
        <item m="1" x="595"/>
        <item m="1" x="596"/>
        <item m="1" x="3994"/>
        <item m="1" x="4376"/>
        <item m="1" x="1773"/>
        <item m="1" x="2993"/>
        <item m="1" x="3384"/>
        <item m="1" x="879"/>
        <item m="1" x="4204"/>
        <item m="1" x="2341"/>
        <item m="1" x="2583"/>
        <item m="1" x="2070"/>
        <item m="1" x="2183"/>
        <item m="1" x="1360"/>
        <item m="1" x="465"/>
        <item m="1" x="1098"/>
        <item m="1" x="618"/>
        <item m="1" x="1024"/>
        <item m="1" x="2021"/>
        <item m="1" x="1563"/>
        <item m="1" x="918"/>
        <item m="1" x="4171"/>
        <item m="1" x="1700"/>
        <item m="1" x="3615"/>
        <item m="1" x="2845"/>
        <item m="1" x="3798"/>
        <item m="1" x="1543"/>
        <item m="1" x="650"/>
        <item m="1" x="2636"/>
        <item m="1" x="910"/>
        <item m="1" x="2404"/>
        <item m="1" x="4334"/>
        <item m="1" x="575"/>
        <item m="1" x="3525"/>
        <item m="1" x="2965"/>
        <item m="1" x="3293"/>
        <item m="1" x="2036"/>
        <item m="1" x="2059"/>
        <item m="1" x="1338"/>
        <item m="1" x="3979"/>
        <item m="1" x="1211"/>
        <item m="1" x="1669"/>
        <item m="1" x="2618"/>
        <item m="1" x="1041"/>
        <item m="1" x="829"/>
        <item m="1" x="3214"/>
        <item m="1" x="1696"/>
        <item m="1" x="3039"/>
        <item m="1" x="3401"/>
        <item m="1" x="1221"/>
        <item m="1" x="3807"/>
        <item m="1" x="2543"/>
        <item m="1" x="2461"/>
        <item m="1" x="1217"/>
        <item m="1" x="1283"/>
        <item m="1" x="1556"/>
        <item m="1" x="4371"/>
        <item m="1" x="4350"/>
        <item m="1" x="4152"/>
        <item m="1" x="893"/>
        <item m="1" x="2252"/>
        <item m="1" x="739"/>
        <item m="1" x="2270"/>
        <item m="1" x="2524"/>
        <item m="1" x="4310"/>
        <item m="1" x="2758"/>
        <item m="1" x="2339"/>
        <item m="1" x="2592"/>
        <item m="1" x="3433"/>
        <item m="1" x="4260"/>
        <item m="1" x="3732"/>
        <item m="1" x="2276"/>
        <item m="1" x="2789"/>
        <item m="1" x="2431"/>
        <item m="1" x="2664"/>
        <item m="1" x="3896"/>
        <item m="1" x="2064"/>
        <item m="1" x="2703"/>
        <item m="1" x="2776"/>
        <item m="1" x="4253"/>
        <item m="1" x="4226"/>
        <item m="1" x="4141"/>
        <item m="1" x="1201"/>
        <item m="1" x="3271"/>
        <item m="1" x="2188"/>
        <item m="1" x="1918"/>
        <item m="1" x="2112"/>
        <item m="1" x="1039"/>
        <item m="1" x="1387"/>
        <item m="1" x="499"/>
        <item m="1" x="3989"/>
        <item m="1" x="2578"/>
        <item m="1" x="1690"/>
        <item m="1" x="4078"/>
        <item m="1" x="3810"/>
        <item m="1" x="3018"/>
        <item m="1" x="771"/>
        <item m="1" x="3655"/>
        <item m="1" x="1428"/>
        <item m="1" x="1605"/>
        <item m="1" x="4386"/>
        <item m="1" x="1943"/>
        <item m="1" x="3992"/>
        <item m="1" x="3861"/>
        <item m="1" x="1026"/>
        <item m="1" x="4020"/>
        <item m="1" x="4131"/>
        <item m="1" x="758"/>
        <item m="1" x="2555"/>
        <item m="1" x="2935"/>
        <item m="1" x="3914"/>
        <item m="1" x="546"/>
        <item m="1" x="4147"/>
        <item m="1" x="774"/>
        <item m="1" x="1412"/>
        <item m="1" x="2874"/>
        <item m="1" x="1051"/>
        <item m="1" x="2958"/>
        <item m="1" x="3847"/>
        <item m="1" x="1034"/>
        <item m="1" x="1355"/>
        <item m="1" x="2538"/>
        <item m="1" x="2156"/>
        <item m="1" x="2898"/>
        <item m="1" x="4172"/>
        <item m="1" x="819"/>
        <item m="1" x="3133"/>
        <item m="1" x="3820"/>
        <item m="1" x="1523"/>
        <item m="1" x="513"/>
        <item m="1" x="1882"/>
        <item m="1" x="723"/>
        <item m="1" x="4043"/>
        <item m="1" x="1704"/>
        <item m="1" x="968"/>
        <item m="1" x="3002"/>
        <item m="1" x="1361"/>
        <item m="1" x="3161"/>
        <item m="1" x="2512"/>
        <item m="1" x="4319"/>
        <item m="1" x="3573"/>
        <item m="1" x="3777"/>
        <item m="1" x="2350"/>
        <item m="1" x="1865"/>
        <item m="1" x="3490"/>
        <item m="1" x="1312"/>
        <item m="1" x="1953"/>
        <item m="1" x="772"/>
        <item m="1" x="1585"/>
        <item m="1" x="1470"/>
        <item m="1" x="3407"/>
        <item m="1" x="2659"/>
        <item m="1" x="1161"/>
        <item m="1" x="4075"/>
        <item m="1" x="1110"/>
        <item m="1" x="995"/>
        <item m="1" x="2526"/>
        <item m="1" x="1415"/>
        <item m="1" x="484"/>
        <item m="1" x="2334"/>
        <item m="1" x="2607"/>
        <item m="1" x="1535"/>
        <item m="1" x="1869"/>
        <item m="1" x="1074"/>
        <item m="1" x="3833"/>
        <item m="1" x="1449"/>
        <item m="1" x="3314"/>
        <item m="1" x="2226"/>
        <item m="1" x="3487"/>
        <item m="1" x="1390"/>
        <item m="1" x="1015"/>
        <item m="1" x="3363"/>
        <item m="1" x="1542"/>
        <item m="1" x="1477"/>
        <item m="1" x="3602"/>
        <item m="1" x="1240"/>
        <item m="1" x="2256"/>
        <item m="1" x="3507"/>
        <item m="1" x="1526"/>
        <item m="1" x="1389"/>
        <item m="1" x="1530"/>
        <item m="1" x="2896"/>
        <item m="1" x="1588"/>
        <item m="1" x="2763"/>
        <item m="1" x="2287"/>
        <item m="1" x="2300"/>
        <item m="1" x="1879"/>
        <item m="1" x="1484"/>
        <item m="1" x="3423"/>
        <item m="1" x="3239"/>
        <item m="1" x="3494"/>
        <item m="1" x="1673"/>
        <item m="1" x="915"/>
        <item m="1" x="2342"/>
        <item m="1" x="1755"/>
        <item m="1" x="610"/>
        <item m="1" x="1010"/>
        <item m="1" x="1604"/>
        <item m="1" x="580"/>
        <item m="1" x="842"/>
        <item m="1" x="2426"/>
        <item m="1" x="1536"/>
        <item m="1" x="2353"/>
        <item m="1" x="1776"/>
        <item m="1" x="816"/>
        <item m="1" x="3881"/>
        <item m="1" x="696"/>
        <item m="1" x="1042"/>
        <item m="1" x="480"/>
        <item m="1" x="1665"/>
        <item m="1" x="2009"/>
        <item m="1" x="4160"/>
        <item m="1" x="2545"/>
        <item m="1" x="4154"/>
        <item m="1" x="3943"/>
        <item m="1" x="3445"/>
        <item m="1" x="3623"/>
        <item m="1" x="3738"/>
        <item m="1" x="3266"/>
        <item m="1" x="2134"/>
        <item m="1" x="1658"/>
        <item m="1" x="4257"/>
        <item m="1" x="2092"/>
        <item m="1" x="3954"/>
        <item m="1" x="2158"/>
        <item m="1" x="1398"/>
        <item m="1" x="2231"/>
        <item m="1" x="1491"/>
        <item m="1" x="3926"/>
        <item m="1" x="3836"/>
        <item m="1" x="848"/>
        <item m="1" x="3233"/>
        <item m="1" x="1149"/>
        <item m="1" x="3902"/>
        <item m="1" x="1001"/>
        <item m="1" x="1058"/>
        <item m="1" x="999"/>
        <item m="1" x="3911"/>
        <item m="1" x="3912"/>
        <item m="1" x="764"/>
        <item m="1" x="1138"/>
        <item m="1" x="3579"/>
        <item m="1" x="1019"/>
        <item m="1" x="1282"/>
        <item m="1" x="1475"/>
        <item m="1" x="2757"/>
        <item m="1" x="2257"/>
        <item m="1" x="477"/>
        <item m="1" x="3048"/>
        <item m="1" x="1364"/>
        <item m="1" x="3672"/>
        <item m="1" x="2499"/>
        <item m="1" x="2847"/>
        <item m="1" x="2668"/>
        <item m="1" x="2206"/>
        <item m="1" x="2430"/>
        <item m="1" x="4129"/>
        <item m="1" x="2162"/>
        <item m="1" x="1011"/>
        <item m="1" x="1045"/>
        <item m="1" x="576"/>
        <item m="1" x="2633"/>
        <item m="1" x="3175"/>
        <item m="1" x="1269"/>
        <item m="1" x="989"/>
        <item m="1" x="3355"/>
        <item m="1" x="3548"/>
        <item m="1" x="1752"/>
        <item m="1" x="3141"/>
        <item m="1" x="821"/>
        <item m="1" x="4178"/>
        <item m="1" x="4368"/>
        <item m="1" x="894"/>
        <item m="1" x="837"/>
        <item m="1" x="4223"/>
        <item m="1" x="1525"/>
        <item m="1" x="701"/>
        <item m="1" x="2643"/>
        <item m="1" x="3695"/>
        <item m="1" x="1590"/>
        <item m="1" x="2523"/>
        <item m="1" x="3757"/>
        <item m="1" x="4185"/>
        <item m="1" x="798"/>
        <item m="1" x="800"/>
        <item m="1" x="1466"/>
        <item m="1" x="1801"/>
        <item m="1" x="1394"/>
        <item m="1" x="845"/>
        <item m="1" x="784"/>
        <item m="1" x="3279"/>
        <item m="1" x="2527"/>
        <item m="1" x="2601"/>
        <item m="1" x="1154"/>
        <item m="1" x="1929"/>
        <item m="1" x="1381"/>
        <item m="1" x="3319"/>
        <item m="1" x="3125"/>
        <item m="1" x="1055"/>
        <item m="1" x="1540"/>
        <item m="1" x="4294"/>
        <item m="1" x="1977"/>
        <item m="1" x="4047"/>
        <item m="1" x="2841"/>
        <item m="1" x="543"/>
        <item m="1" x="1278"/>
        <item m="1" x="2095"/>
        <item m="1" x="1567"/>
        <item m="1" x="3491"/>
        <item m="1" x="3969"/>
        <item m="1" x="866"/>
        <item m="1" x="4388"/>
        <item m="1" x="2119"/>
        <item m="1" x="2562"/>
        <item m="1" x="4333"/>
        <item m="1" x="479"/>
        <item m="1" x="666"/>
        <item m="1" x="1513"/>
        <item m="1" x="1576"/>
        <item m="1" x="1168"/>
        <item m="1" x="3126"/>
        <item m="1" x="1798"/>
        <item m="1" x="2751"/>
        <item m="1" x="3412"/>
        <item m="1" x="3837"/>
        <item m="1" x="881"/>
        <item m="1" x="2490"/>
        <item m="1" x="493"/>
        <item m="1" x="4016"/>
        <item m="1" x="1660"/>
        <item m="1" x="3231"/>
        <item m="1" x="4136"/>
        <item m="1" x="2340"/>
        <item m="1" x="793"/>
        <item m="1" x="3183"/>
        <item m="1" x="2818"/>
        <item m="1" x="924"/>
        <item m="1" x="1904"/>
        <item m="1" x="4101"/>
        <item m="1" x="1728"/>
        <item m="1" x="2169"/>
        <item m="1" x="552"/>
        <item m="1" x="2610"/>
        <item m="1" x="1996"/>
        <item m="1" x="3318"/>
        <item m="1" x="2475"/>
        <item m="1" x="1785"/>
        <item m="1" x="2029"/>
        <item m="1" x="1033"/>
        <item m="1" x="1854"/>
        <item m="1" x="1294"/>
        <item m="1" x="2454"/>
        <item m="1" x="1336"/>
        <item m="1" x="3657"/>
        <item m="1" x="1761"/>
        <item m="1" x="1793"/>
        <item m="1" x="3907"/>
        <item m="1" x="2382"/>
        <item m="1" x="2856"/>
        <item m="1" x="2857"/>
        <item m="1" x="1363"/>
        <item m="1" x="3147"/>
        <item m="1" x="531"/>
        <item m="1" x="3987"/>
        <item m="1" x="553"/>
        <item m="1" x="1130"/>
        <item m="1" x="1969"/>
        <item m="1" x="2071"/>
        <item m="1" x="3232"/>
        <item m="1" x="2385"/>
        <item m="1" x="1650"/>
        <item m="1" x="2016"/>
        <item m="1" x="1245"/>
        <item m="1" x="3333"/>
        <item m="1" x="3652"/>
        <item m="1" x="2189"/>
        <item m="1" x="3869"/>
        <item m="1" x="1937"/>
        <item m="1" x="4248"/>
        <item m="1" x="1388"/>
        <item m="1" x="2049"/>
        <item m="1" x="2241"/>
        <item m="1" x="2243"/>
        <item m="1" x="2415"/>
        <item m="1" x="544"/>
        <item m="1" x="3286"/>
        <item m="1" x="2324"/>
        <item m="1" x="2619"/>
        <item m="1" x="3729"/>
        <item m="1" x="1379"/>
        <item m="1" x="2652"/>
        <item m="1" x="3624"/>
        <item m="1" x="3202"/>
        <item m="1" x="2535"/>
        <item m="1" x="3895"/>
        <item m="1" x="810"/>
        <item m="1" x="3088"/>
        <item m="1" x="1777"/>
        <item m="1" x="2262"/>
        <item m="1" x="1940"/>
        <item m="1" x="1419"/>
        <item m="1" x="2002"/>
        <item m="1" x="1230"/>
        <item m="1" x="1495"/>
        <item m="1" x="3564"/>
        <item m="1" x="566"/>
        <item m="1" x="962"/>
        <item m="1" x="2625"/>
        <item m="1" x="665"/>
        <item m="1" x="2657"/>
        <item m="1" x="1216"/>
        <item m="1" x="562"/>
        <item m="1" x="1068"/>
        <item m="1" x="2975"/>
        <item m="1" x="3754"/>
        <item m="1" x="2716"/>
        <item m="1" x="1574"/>
        <item m="1" x="3960"/>
        <item m="1" x="1434"/>
        <item m="1" x="674"/>
        <item m="1" x="1376"/>
        <item m="1" x="3848"/>
        <item m="1" x="2213"/>
        <item m="1" x="3479"/>
        <item m="1" x="1104"/>
        <item m="1" x="3134"/>
        <item m="1" x="2048"/>
        <item m="1" x="3617"/>
        <item m="1" x="2859"/>
        <item m="1" x="3437"/>
        <item m="1" x="1702"/>
        <item m="1" x="2271"/>
        <item m="1" x="1928"/>
        <item m="1" x="3555"/>
        <item m="1" x="1304"/>
        <item m="1" x="1711"/>
        <item m="1" x="1651"/>
        <item m="1" x="1082"/>
        <item m="1" x="2541"/>
        <item m="1" x="1176"/>
        <item m="1" x="907"/>
        <item m="1" x="2452"/>
        <item m="1" x="2305"/>
        <item m="1" x="3409"/>
        <item m="1" x="2738"/>
        <item m="1" x="4134"/>
        <item m="1" x="1126"/>
        <item m="1" x="4279"/>
        <item m="1" x="3884"/>
        <item m="1" x="4199"/>
        <item m="1" x="1324"/>
        <item m="1" x="4317"/>
        <item m="1" x="561"/>
        <item m="1" x="1999"/>
        <item m="1" x="1109"/>
        <item m="1" x="3135"/>
        <item m="1" x="869"/>
        <item m="1" x="2970"/>
        <item m="1" x="1256"/>
        <item m="1" x="3780"/>
        <item m="1" x="1925"/>
        <item m="1" x="3385"/>
        <item m="1" x="3872"/>
        <item m="1" x="1027"/>
        <item m="1" x="3549"/>
        <item m="1" x="4177"/>
        <item m="1" x="2253"/>
        <item m="1" x="1625"/>
        <item m="1" x="1842"/>
        <item m="1" x="3400"/>
        <item m="1" x="4355"/>
        <item m="1" x="529"/>
        <item m="1" x="1694"/>
        <item m="1" x="1516"/>
        <item m="1" x="519"/>
        <item m="1" x="2733"/>
        <item m="1" x="3076"/>
        <item m="1" x="3189"/>
        <item m="1" x="560"/>
        <item m="1" x="1350"/>
        <item m="1" x="468"/>
        <item m="1" x="3744"/>
        <item m="1" x="1469"/>
        <item m="1" x="1678"/>
        <item m="1" x="3763"/>
        <item m="1" x="2052"/>
        <item m="1" x="3951"/>
        <item m="1" x="2540"/>
        <item m="1" x="3263"/>
        <item m="1" x="3049"/>
        <item m="1" x="864"/>
        <item m="1" x="1745"/>
        <item m="1" x="4173"/>
        <item m="1" x="1905"/>
        <item m="1" x="992"/>
        <item m="1" x="3269"/>
        <item m="1" x="811"/>
        <item m="1" x="2432"/>
        <item m="1" x="1325"/>
        <item m="1" x="4151"/>
        <item m="1" x="1748"/>
        <item m="1" x="1143"/>
        <item m="1" x="1648"/>
        <item m="1" x="1640"/>
        <item m="1" x="3981"/>
        <item m="1" x="2397"/>
        <item m="1" x="3852"/>
        <item m="1" x="4275"/>
        <item m="1" x="1234"/>
        <item m="1" x="1883"/>
        <item m="1" x="1122"/>
        <item m="1" x="2734"/>
        <item m="1" x="664"/>
        <item m="1" x="1127"/>
        <item m="1" x="1406"/>
        <item m="1" x="2418"/>
        <item m="1" x="2482"/>
        <item m="1" x="3596"/>
        <item m="1" x="2735"/>
        <item m="1" x="2046"/>
        <item m="1" x="2061"/>
        <item m="1" x="3284"/>
        <item m="1" x="1318"/>
        <item m="1" x="1418"/>
        <item m="1" x="3875"/>
        <item m="1" x="2852"/>
        <item m="1" x="3187"/>
        <item m="1" x="1677"/>
        <item m="1" x="1670"/>
        <item m="1" x="505"/>
        <item m="1" x="1548"/>
        <item m="1" x="1129"/>
        <item m="1" x="1954"/>
        <item m="1" x="1965"/>
        <item m="1" x="1402"/>
        <item m="1" x="3585"/>
        <item m="1" x="1843"/>
        <item m="1" x="1225"/>
        <item m="1" x="3527"/>
        <item m="1" x="1975"/>
        <item m="1" x="2067"/>
        <item m="1" x="3988"/>
        <item m="1" x="808"/>
        <item m="1" x="2544"/>
        <item m="1" x="1626"/>
        <item m="1" x="1114"/>
        <item m="1" x="3532"/>
        <item m="1" x="2154"/>
        <item m="1" x="3418"/>
        <item m="1" x="3096"/>
        <item m="1" x="3085"/>
        <item m="1" x="3179"/>
        <item m="1" x="3204"/>
        <item m="1" x="3904"/>
        <item m="1" x="3104"/>
        <item m="1" x="2345"/>
        <item m="1" x="2808"/>
        <item m="1" x="2590"/>
        <item m="1" x="1103"/>
        <item m="1" x="4271"/>
        <item m="1" x="1598"/>
        <item m="1" x="2825"/>
        <item m="1" x="1208"/>
        <item m="1" x="2957"/>
        <item m="1" x="3101"/>
        <item m="1" x="1823"/>
        <item m="1" x="4084"/>
        <item m="1" x="1340"/>
        <item m="1" x="2767"/>
        <item m="1" x="2694"/>
        <item m="1" x="1348"/>
        <item m="1" x="3929"/>
        <item m="1" x="3930"/>
        <item m="1" x="3931"/>
        <item m="1" x="3932"/>
        <item m="1" x="3787"/>
        <item m="1" x="4099"/>
        <item m="1" x="1778"/>
        <item m="1" x="1871"/>
        <item m="1" x="1124"/>
        <item m="1" x="2335"/>
        <item m="1" x="2649"/>
        <item m="1" x="2650"/>
        <item m="1" x="655"/>
        <item m="1" x="2680"/>
        <item m="1" x="2978"/>
        <item m="1" x="1403"/>
        <item m="1" x="3698"/>
        <item m="1" x="2815"/>
        <item m="1" x="1003"/>
        <item m="1" x="3758"/>
        <item m="1" x="3842"/>
        <item m="1" x="4219"/>
        <item m="1" x="4064"/>
        <item m="1" x="933"/>
        <item m="1" x="1981"/>
        <item m="1" x="3192"/>
        <item m="1" x="1653"/>
        <item m="1" x="2168"/>
        <item m="1" x="486"/>
        <item m="1" x="1375"/>
        <item m="1" x="3675"/>
        <item m="1" x="4166"/>
        <item m="1" x="1049"/>
        <item m="1" x="1617"/>
        <item m="1" x="3006"/>
        <item m="1" x="3918"/>
        <item m="1" x="747"/>
        <item m="1" x="4285"/>
        <item m="1" x="2828"/>
        <item m="1" x="2390"/>
        <item m="1" x="4346"/>
        <item m="1" x="4107"/>
        <item m="1" x="3474"/>
        <item m="1" x="507"/>
        <item m="1" x="2745"/>
        <item m="1" x="3870"/>
        <item m="1" x="3444"/>
        <item m="1" x="2075"/>
        <item m="1" x="1004"/>
        <item m="1" x="1131"/>
        <item m="1" x="3219"/>
        <item m="1" x="3581"/>
        <item m="1" x="3570"/>
        <item m="1" x="3178"/>
        <item m="1" x="959"/>
        <item m="1" x="3831"/>
        <item m="1" x="1420"/>
        <item m="1" x="1602"/>
        <item m="1" x="1031"/>
        <item m="1" x="2357"/>
        <item m="1" x="1855"/>
        <item m="1" x="724"/>
        <item m="1" x="742"/>
        <item m="1" x="3228"/>
        <item m="1" x="1333"/>
        <item m="1" x="1048"/>
        <item m="1" x="3422"/>
        <item m="1" x="3450"/>
        <item m="1" x="3741"/>
        <item m="1" x="3751"/>
        <item m="1" x="3899"/>
        <item m="1" x="2793"/>
        <item m="1" x="2219"/>
        <item m="1" x="2820"/>
        <item m="1" x="1254"/>
        <item m="1" x="2246"/>
        <item m="1" x="1993"/>
        <item m="1" x="2568"/>
        <item m="1" x="773"/>
        <item m="1" x="3934"/>
        <item m="1" x="1705"/>
        <item m="1" x="3862"/>
        <item m="1" x="2365"/>
        <item m="1" x="1166"/>
        <item m="1" x="1224"/>
        <item m="1" x="1831"/>
        <item m="1" x="3844"/>
        <item m="1" x="1895"/>
        <item m="1" x="3876"/>
        <item m="1" x="1534"/>
        <item m="1" x="2319"/>
        <item m="1" x="1147"/>
        <item m="1" x="765"/>
        <item m="1" x="3291"/>
        <item m="1" x="2826"/>
        <item m="1" x="1503"/>
        <item m="1" x="2317"/>
        <item m="1" x="1990"/>
        <item m="1" x="568"/>
        <item m="1" x="4330"/>
        <item m="1" x="2655"/>
        <item m="1" x="2916"/>
        <item m="1" x="1866"/>
        <item m="1" x="2565"/>
        <item m="1" x="3620"/>
        <item m="1" x="3526"/>
        <item m="1" x="4026"/>
        <item m="1" x="4234"/>
        <item m="1" x="1520"/>
        <item m="1" x="4103"/>
        <item m="1" x="1290"/>
        <item m="1" x="1581"/>
        <item m="1" x="2163"/>
        <item m="1" x="526"/>
        <item m="1" x="4373"/>
        <item m="1" x="4036"/>
        <item m="1" x="885"/>
        <item m="1" x="3089"/>
        <item m="1" x="3680"/>
        <item m="1" x="1145"/>
        <item m="1" x="3877"/>
        <item m="1" x="2631"/>
        <item m="1" x="2333"/>
        <item m="1" x="3781"/>
        <item m="1" x="3978"/>
        <item m="1" x="4274"/>
        <item m="1" x="2343"/>
        <item m="1" x="4284"/>
        <item m="1" x="3305"/>
        <item m="1" x="2186"/>
        <item m="1" x="820"/>
        <item m="1" x="1331"/>
        <item m="1" x="3612"/>
        <item m="1" x="2980"/>
        <item m="1" x="730"/>
        <item m="1" x="501"/>
        <item m="1" x="1570"/>
        <item m="1" x="3180"/>
        <item m="1" x="2797"/>
        <item m="1" x="3540"/>
        <item m="1" x="1860"/>
        <item m="1" x="1552"/>
        <item m="1" x="896"/>
        <item m="1" x="3703"/>
        <item m="1" x="3574"/>
        <item m="1" x="3167"/>
        <item m="1" x="1974"/>
        <item m="1" x="982"/>
        <item m="1" x="3539"/>
        <item m="1" x="489"/>
        <item m="1" x="2187"/>
        <item m="1" x="3163"/>
        <item m="1" x="4120"/>
        <item m="1" x="1555"/>
        <item m="1" x="716"/>
        <item m="1" x="1180"/>
        <item m="1" x="476"/>
        <item m="1" x="3900"/>
        <item m="1" x="1643"/>
        <item m="1" x="3378"/>
        <item m="1" x="2144"/>
        <item m="1" x="897"/>
        <item m="1" x="2412"/>
        <item m="1" x="984"/>
        <item m="1" x="2695"/>
        <item m="1" x="4210"/>
        <item m="1" x="1739"/>
        <item m="1" x="2106"/>
        <item m="1" x="3803"/>
        <item m="1" x="1492"/>
        <item m="1" x="2903"/>
        <item m="1" x="2904"/>
        <item m="1" x="2906"/>
        <item m="1" x="2057"/>
        <item m="1" x="1411"/>
        <item m="1" x="1767"/>
        <item m="1" x="4114"/>
        <item m="1" x="3885"/>
        <item m="1" x="1870"/>
        <item m="1" x="1329"/>
        <item m="1" x="2791"/>
        <item m="1" x="683"/>
        <item m="1" x="941"/>
        <item m="1" x="654"/>
        <item m="1" x="1273"/>
        <item m="1" x="2966"/>
        <item m="1" x="3509"/>
        <item m="1" x="1057"/>
        <item m="1" x="1118"/>
        <item m="1" x="812"/>
        <item m="1" x="2141"/>
        <item m="1" x="460"/>
        <item m="1" x="1280"/>
        <item m="1" x="4394"/>
        <item m="1" x="4304"/>
        <item m="1" x="2074"/>
        <item m="1" x="1816"/>
        <item m="1" x="3923"/>
        <item m="1" x="4357"/>
        <item m="1" x="4098"/>
        <item m="1" x="2122"/>
        <item m="1" x="3538"/>
        <item m="1" x="1926"/>
        <item m="1" x="1272"/>
        <item m="1" x="3249"/>
        <item m="1" x="3323"/>
        <item m="1" x="2138"/>
        <item m="1" x="4137"/>
        <item m="1" x="3080"/>
        <item m="1" x="2204"/>
        <item m="1" x="970"/>
        <item m="1" x="1167"/>
        <item m="1" x="1478"/>
        <item m="1" x="715"/>
        <item m="1" x="1646"/>
        <item m="1" x="4255"/>
        <item m="1" x="2409"/>
        <item m="1" x="2749"/>
        <item m="1" x="939"/>
        <item m="1" x="744"/>
        <item m="1" x="2627"/>
        <item m="1" x="2810"/>
        <item m="1" x="3893"/>
        <item m="1" x="3324"/>
        <item m="1" x="3098"/>
        <item m="1" x="2991"/>
        <item m="1" x="1093"/>
        <item m="1" x="2706"/>
        <item m="1" x="799"/>
        <item m="1" x="668"/>
        <item m="1" x="790"/>
        <item m="1" x="3345"/>
        <item m="1" x="3346"/>
        <item m="1" x="3347"/>
        <item m="1" x="1814"/>
        <item m="1" x="1791"/>
        <item m="1" x="2951"/>
        <item m="1" x="3262"/>
        <item m="1" x="680"/>
        <item m="1" x="4328"/>
        <item m="1" x="3408"/>
        <item m="1" x="3274"/>
        <item m="1" x="3889"/>
        <item m="1" x="2444"/>
        <item m="1" x="3928"/>
        <item m="1" x="1657"/>
        <item m="1" x="2727"/>
        <item m="1" x="2530"/>
        <item m="1" x="2327"/>
        <item m="1" x="2050"/>
        <item m="1" x="3243"/>
        <item m="1" x="1351"/>
        <item m="1" x="795"/>
        <item m="1" x="3386"/>
        <item m="1" x="3935"/>
        <item m="1" x="2336"/>
        <item m="1" x="2090"/>
        <item m="1" x="528"/>
        <item m="1" x="3721"/>
        <item m="1" x="1992"/>
        <item m="1" x="2224"/>
        <item m="1" x="2148"/>
        <item m="1" x="4003"/>
        <item m="1" x="4139"/>
        <item m="1" x="2773"/>
        <item m="1" x="2066"/>
        <item m="1" x="3396"/>
        <item m="1" x="2338"/>
        <item m="1" x="2240"/>
        <item m="1" x="1809"/>
        <item m="1" x="3649"/>
        <item m="1" x="614"/>
        <item m="1" x="4030"/>
        <item m="1" x="3750"/>
        <item m="1" x="3022"/>
        <item m="1" x="3774"/>
        <item m="1" x="1508"/>
        <item m="1" x="4196"/>
        <item m="1" x="1468"/>
        <item m="1" x="2178"/>
        <item m="1" x="871"/>
        <item m="1" x="1298"/>
        <item m="1" x="4192"/>
        <item m="1" x="4195"/>
        <item m="1" x="4197"/>
        <item m="1" x="2330"/>
        <item m="1" x="763"/>
        <item m="1" x="2386"/>
        <item m="1" x="3594"/>
        <item m="1" x="2360"/>
        <item m="1" x="1174"/>
        <item m="1" x="3799"/>
        <item m="1" x="1397"/>
        <item m="1" x="3653"/>
        <item m="1" x="1610"/>
        <item m="1" x="3641"/>
        <item m="1" x="3580"/>
        <item m="1" x="709"/>
        <item m="1" x="527"/>
        <item m="1" x="3905"/>
        <item m="1" x="3303"/>
        <item m="1" x="3814"/>
        <item m="1" x="557"/>
        <item m="1" x="1481"/>
        <item m="1" x="4045"/>
        <item m="1" x="1078"/>
        <item m="1" x="1891"/>
        <item m="1" x="1595"/>
        <item m="1" x="857"/>
        <item m="1" x="1297"/>
        <item m="1" x="4123"/>
        <item m="1" x="801"/>
        <item m="1" x="1050"/>
        <item m="1" x="1144"/>
        <item m="1" x="2648"/>
        <item m="1" x="3327"/>
        <item m="1" x="3250"/>
        <item m="1" x="2116"/>
        <item m="1" x="3955"/>
        <item m="1" x="3054"/>
        <item m="1" x="887"/>
        <item m="1" x="946"/>
        <item m="1" x="1594"/>
        <item m="1" x="916"/>
        <item m="1" x="2179"/>
        <item m="1" x="3917"/>
        <item m="1" x="4235"/>
        <item m="1" x="2850"/>
        <item m="1" x="4321"/>
        <item m="1" x="3185"/>
        <item m="1" x="980"/>
        <item m="1" x="2557"/>
        <item m="1" x="4077"/>
        <item m="1" x="604"/>
        <item m="1" x="1757"/>
        <item m="1" x="3908"/>
        <item m="1" x="1775"/>
        <item m="1" x="4222"/>
        <item m="1" x="4148"/>
        <item m="1" x="2076"/>
        <item m="1" x="3691"/>
        <item m="1" x="1367"/>
        <item m="1" x="979"/>
        <item m="1" x="3944"/>
        <item m="1" x="3873"/>
        <item m="1" x="1987"/>
        <item m="1" x="3726"/>
        <item m="1" x="4161"/>
        <item m="1" x="1619"/>
        <item m="1" x="4207"/>
        <item m="1" x="3851"/>
        <item m="1" x="1835"/>
        <item m="1" x="3498"/>
        <item m="1" x="1159"/>
        <item m="1" x="3967"/>
        <item m="1" x="637"/>
        <item m="1" x="1137"/>
        <item m="1" x="1382"/>
        <item m="1" x="4249"/>
        <item m="1" x="815"/>
        <item m="1" x="3030"/>
        <item m="1" x="2022"/>
        <item m="1" x="1712"/>
        <item m="1" x="809"/>
        <item m="1" x="2765"/>
        <item m="1" x="872"/>
        <item m="1" x="1754"/>
        <item m="1" x="1291"/>
        <item m="1" x="1186"/>
        <item m="1" x="2597"/>
        <item m="1" x="2632"/>
        <item m="1" x="1512"/>
        <item m="1" x="707"/>
        <item m="1" x="4389"/>
        <item m="1" x="3997"/>
        <item m="1" x="1499"/>
        <item m="1" x="2508"/>
        <item m="1" x="491"/>
        <item m="1" x="1642"/>
        <item m="1" x="2060"/>
        <item m="1" x="1040"/>
        <item m="1" x="3245"/>
        <item m="1" x="2717"/>
        <item m="1" x="1701"/>
        <item m="1" x="3373"/>
        <item m="1" x="3909"/>
        <item m="1" x="2890"/>
        <item m="1" x="2018"/>
        <item m="1" x="1343"/>
        <item m="1" x="1081"/>
        <item m="1" x="1817"/>
        <item m="1" x="2214"/>
        <item m="1" x="1991"/>
        <item m="1" x="2484"/>
        <item m="1" x="712"/>
        <item m="1" x="921"/>
        <item m="1" x="2995"/>
        <item m="1" x="1764"/>
        <item m="1" x="3492"/>
        <item m="1" x="574"/>
        <item m="1" x="2567"/>
        <item m="1" x="3634"/>
        <item m="1" x="495"/>
        <item m="1" x="3779"/>
        <item m="1" x="760"/>
        <item m="1" x="2103"/>
        <item m="1" x="3542"/>
        <item m="1" x="2871"/>
        <item m="1" x="464"/>
        <item m="1" x="3242"/>
        <item m="1" x="4370"/>
        <item m="1" x="2407"/>
        <item m="1" x="3227"/>
        <item m="1" x="3404"/>
        <item m="1" x="1164"/>
        <item m="1" x="3887"/>
        <item m="1" x="1002"/>
        <item m="1" x="1437"/>
        <item m="1" x="4080"/>
        <item m="1" x="4082"/>
        <item m="1" x="3950"/>
        <item m="1" x="1085"/>
        <item m="1" x="993"/>
        <item m="1" x="1544"/>
        <item m="1" x="4276"/>
        <item m="1" x="4117"/>
        <item m="1" x="1244"/>
        <item m="1" x="1346"/>
        <item m="1" x="994"/>
        <item m="1" x="3720"/>
        <item m="1" x="3800"/>
        <item m="1" x="3465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1"/>
        <item x="82"/>
        <item x="83"/>
        <item x="84"/>
        <item x="85"/>
        <item x="86"/>
        <item x="87"/>
        <item x="88"/>
        <item x="89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34"/>
        <item x="135"/>
        <item x="136"/>
        <item x="137"/>
        <item x="138"/>
        <item x="139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3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t="default"/>
      </items>
    </pivotField>
    <pivotField compact="0" outline="0" showAll="0" defaultSubtotal="0"/>
  </pivotFields>
  <rowFields count="4">
    <field x="2"/>
    <field x="4"/>
    <field x="6"/>
    <field x="24"/>
  </rowFields>
  <rowItems count="645">
    <i>
      <x/>
      <x/>
      <x v="26"/>
      <x v="3952"/>
    </i>
    <i r="3">
      <x v="3979"/>
    </i>
    <i>
      <x v="1"/>
      <x/>
      <x v="26"/>
      <x v="892"/>
    </i>
    <i>
      <x v="2"/>
      <x/>
      <x v="26"/>
      <x v="927"/>
    </i>
    <i>
      <x v="3"/>
      <x/>
      <x v="26"/>
      <x v="927"/>
    </i>
    <i>
      <x v="4"/>
      <x/>
      <x v="26"/>
      <x v="3953"/>
    </i>
    <i>
      <x v="5"/>
      <x/>
      <x v="26"/>
      <x v="3954"/>
    </i>
    <i>
      <x v="6"/>
      <x/>
      <x v="26"/>
      <x v="3955"/>
    </i>
    <i>
      <x v="7"/>
      <x/>
      <x v="26"/>
      <x v="3956"/>
    </i>
    <i>
      <x v="8"/>
      <x/>
      <x v="26"/>
      <x v="3957"/>
    </i>
    <i>
      <x v="9"/>
      <x/>
      <x v="26"/>
      <x v="3958"/>
    </i>
    <i>
      <x v="10"/>
      <x/>
      <x v="26"/>
      <x v="927"/>
    </i>
    <i>
      <x v="11"/>
      <x/>
      <x v="26"/>
      <x v="927"/>
    </i>
    <i>
      <x v="12"/>
      <x/>
      <x v="26"/>
      <x v="3959"/>
    </i>
    <i r="3">
      <x v="4000"/>
    </i>
    <i>
      <x v="13"/>
      <x/>
      <x v="26"/>
      <x v="927"/>
    </i>
    <i r="3">
      <x v="3960"/>
    </i>
    <i>
      <x v="14"/>
      <x/>
      <x v="26"/>
      <x v="927"/>
    </i>
    <i>
      <x v="15"/>
      <x/>
      <x v="26"/>
      <x v="3956"/>
    </i>
    <i>
      <x v="16"/>
      <x/>
      <x v="26"/>
      <x v="3961"/>
    </i>
    <i>
      <x v="17"/>
      <x/>
      <x v="26"/>
      <x v="3956"/>
    </i>
    <i>
      <x v="18"/>
      <x/>
      <x v="26"/>
      <x v="3962"/>
    </i>
    <i>
      <x v="19"/>
      <x/>
      <x v="26"/>
      <x v="3963"/>
    </i>
    <i>
      <x v="20"/>
      <x/>
      <x v="26"/>
      <x v="3964"/>
    </i>
    <i>
      <x v="21"/>
      <x/>
      <x v="26"/>
      <x v="927"/>
    </i>
    <i>
      <x v="22"/>
      <x/>
      <x v="26"/>
      <x v="3965"/>
    </i>
    <i r="3">
      <x v="3999"/>
    </i>
    <i>
      <x v="23"/>
      <x/>
      <x v="26"/>
      <x v="3966"/>
    </i>
    <i>
      <x v="24"/>
      <x/>
      <x v="26"/>
      <x v="927"/>
    </i>
    <i>
      <x v="25"/>
      <x/>
      <x v="26"/>
      <x v="927"/>
    </i>
    <i>
      <x v="26"/>
      <x/>
      <x v="26"/>
      <x v="3967"/>
    </i>
    <i>
      <x v="27"/>
      <x/>
      <x v="26"/>
      <x v="3968"/>
    </i>
    <i r="3">
      <x v="3980"/>
    </i>
    <i>
      <x v="28"/>
      <x/>
      <x v="26"/>
      <x v="3969"/>
    </i>
    <i r="3">
      <x v="3977"/>
    </i>
    <i>
      <x v="29"/>
      <x/>
      <x v="26"/>
      <x v="927"/>
    </i>
    <i>
      <x v="30"/>
      <x/>
      <x v="26"/>
      <x v="3970"/>
    </i>
    <i r="3">
      <x v="3971"/>
    </i>
    <i>
      <x v="31"/>
      <x/>
      <x v="26"/>
      <x v="3972"/>
    </i>
    <i>
      <x v="32"/>
      <x/>
      <x v="26"/>
      <x v="3973"/>
    </i>
    <i>
      <x v="33"/>
      <x/>
      <x v="26"/>
      <x v="3974"/>
    </i>
    <i>
      <x v="34"/>
      <x/>
      <x v="26"/>
      <x v="3969"/>
    </i>
    <i>
      <x v="35"/>
      <x/>
      <x v="26"/>
      <x v="3975"/>
    </i>
    <i r="1">
      <x v="1"/>
      <x v="27"/>
      <x v="4007"/>
    </i>
    <i>
      <x v="36"/>
      <x/>
      <x v="26"/>
      <x v="3976"/>
    </i>
    <i r="3">
      <x v="3988"/>
    </i>
    <i>
      <x v="37"/>
      <x/>
      <x v="26"/>
      <x v="3956"/>
    </i>
    <i>
      <x v="38"/>
      <x/>
      <x v="26"/>
      <x v="3978"/>
    </i>
    <i r="3">
      <x v="3992"/>
    </i>
    <i>
      <x v="39"/>
      <x/>
      <x v="26"/>
      <x v="3956"/>
    </i>
    <i>
      <x v="40"/>
      <x/>
      <x v="26"/>
      <x v="3981"/>
    </i>
    <i>
      <x v="41"/>
      <x/>
      <x v="26"/>
      <x v="3982"/>
    </i>
    <i>
      <x v="42"/>
      <x/>
      <x v="26"/>
      <x v="3983"/>
    </i>
    <i>
      <x v="43"/>
      <x/>
      <x v="26"/>
      <x v="3984"/>
    </i>
    <i>
      <x v="44"/>
      <x/>
      <x v="26"/>
      <x v="3956"/>
    </i>
    <i>
      <x v="45"/>
      <x/>
      <x v="26"/>
      <x v="3985"/>
    </i>
    <i>
      <x v="46"/>
      <x/>
      <x v="26"/>
      <x v="927"/>
    </i>
    <i>
      <x v="47"/>
      <x/>
      <x v="26"/>
      <x v="3986"/>
    </i>
    <i>
      <x v="48"/>
      <x/>
      <x v="26"/>
      <x v="3987"/>
    </i>
    <i>
      <x v="49"/>
      <x/>
      <x v="26"/>
      <x v="3956"/>
    </i>
    <i>
      <x v="50"/>
      <x/>
      <x v="26"/>
      <x v="3956"/>
    </i>
    <i>
      <x v="51"/>
      <x/>
      <x v="26"/>
      <x v="3989"/>
    </i>
    <i>
      <x v="52"/>
      <x/>
      <x v="26"/>
      <x v="3990"/>
    </i>
    <i>
      <x v="53"/>
      <x/>
      <x v="26"/>
      <x v="3991"/>
    </i>
    <i>
      <x v="54"/>
      <x/>
      <x v="26"/>
      <x v="3993"/>
    </i>
    <i>
      <x v="55"/>
      <x/>
      <x v="26"/>
      <x v="3994"/>
    </i>
    <i>
      <x v="56"/>
      <x/>
      <x v="26"/>
      <x v="3995"/>
    </i>
    <i>
      <x v="57"/>
      <x/>
      <x v="26"/>
      <x v="927"/>
    </i>
    <i>
      <x v="58"/>
      <x/>
      <x v="26"/>
      <x v="3996"/>
    </i>
    <i>
      <x v="59"/>
      <x/>
      <x v="26"/>
      <x v="3997"/>
    </i>
    <i>
      <x v="60"/>
      <x/>
      <x v="26"/>
      <x v="3998"/>
    </i>
    <i>
      <x v="61"/>
      <x/>
      <x v="26"/>
      <x v="3956"/>
    </i>
    <i>
      <x v="62"/>
      <x/>
      <x v="26"/>
      <x v="4001"/>
    </i>
    <i r="3">
      <x v="4002"/>
    </i>
    <i>
      <x v="63"/>
      <x/>
      <x v="26"/>
      <x v="4003"/>
    </i>
    <i>
      <x v="64"/>
      <x/>
      <x v="26"/>
      <x v="4004"/>
    </i>
    <i>
      <x v="65"/>
      <x/>
      <x v="26"/>
      <x v="4005"/>
    </i>
    <i>
      <x v="66"/>
      <x/>
      <x v="26"/>
      <x v="4006"/>
    </i>
    <i>
      <x v="67"/>
      <x/>
      <x v="26"/>
      <x v="3956"/>
    </i>
    <i>
      <x v="68"/>
      <x v="1"/>
      <x v="27"/>
      <x v="4008"/>
    </i>
    <i>
      <x v="69"/>
      <x v="1"/>
      <x v="27"/>
      <x v="4009"/>
    </i>
    <i>
      <x v="70"/>
      <x v="1"/>
      <x v="27"/>
      <x v="3956"/>
    </i>
    <i>
      <x v="71"/>
      <x v="1"/>
      <x v="27"/>
      <x v="4010"/>
    </i>
    <i>
      <x v="72"/>
      <x v="1"/>
      <x v="27"/>
      <x v="927"/>
    </i>
    <i>
      <x v="73"/>
      <x v="1"/>
      <x v="27"/>
      <x v="4011"/>
    </i>
    <i>
      <x v="74"/>
      <x v="1"/>
      <x v="27"/>
      <x v="4012"/>
    </i>
    <i>
      <x v="75"/>
      <x v="1"/>
      <x v="27"/>
      <x v="4013"/>
    </i>
    <i r="3">
      <x v="4047"/>
    </i>
    <i>
      <x v="76"/>
      <x v="1"/>
      <x v="27"/>
      <x v="937"/>
    </i>
    <i r="3">
      <x v="4014"/>
    </i>
    <i>
      <x v="77"/>
      <x v="1"/>
      <x v="27"/>
      <x v="4015"/>
    </i>
    <i>
      <x v="78"/>
      <x v="1"/>
      <x v="27"/>
      <x v="4016"/>
    </i>
    <i>
      <x v="79"/>
      <x v="1"/>
      <x v="27"/>
      <x v="4017"/>
    </i>
    <i>
      <x v="80"/>
      <x v="1"/>
      <x v="27"/>
      <x v="4018"/>
    </i>
    <i>
      <x v="81"/>
      <x v="1"/>
      <x v="27"/>
      <x v="4019"/>
    </i>
    <i>
      <x v="82"/>
      <x v="1"/>
      <x v="27"/>
      <x v="4020"/>
    </i>
    <i>
      <x v="83"/>
      <x v="1"/>
      <x v="27"/>
      <x v="4021"/>
    </i>
    <i>
      <x v="84"/>
      <x v="1"/>
      <x v="27"/>
      <x v="3956"/>
    </i>
    <i r="3">
      <x v="4030"/>
    </i>
    <i>
      <x v="85"/>
      <x v="1"/>
      <x v="27"/>
      <x v="4022"/>
    </i>
    <i r="3">
      <x v="4041"/>
    </i>
    <i>
      <x v="86"/>
      <x v="1"/>
      <x v="27"/>
      <x v="4023"/>
    </i>
    <i>
      <x v="87"/>
      <x v="1"/>
      <x v="27"/>
      <x v="4024"/>
    </i>
    <i>
      <x v="88"/>
      <x v="1"/>
      <x v="27"/>
      <x v="4025"/>
    </i>
    <i>
      <x v="89"/>
      <x v="1"/>
      <x v="27"/>
      <x v="4026"/>
    </i>
    <i>
      <x v="90"/>
      <x v="1"/>
      <x v="27"/>
      <x v="3956"/>
    </i>
    <i r="3">
      <x v="4027"/>
    </i>
    <i>
      <x v="91"/>
      <x v="1"/>
      <x v="27"/>
      <x v="4028"/>
    </i>
    <i r="3">
      <x v="4058"/>
    </i>
    <i>
      <x v="92"/>
      <x v="1"/>
      <x v="27"/>
      <x v="927"/>
    </i>
    <i>
      <x v="93"/>
      <x v="1"/>
      <x v="27"/>
      <x v="4029"/>
    </i>
    <i>
      <x v="94"/>
      <x v="1"/>
      <x v="27"/>
      <x v="3956"/>
    </i>
    <i>
      <x v="95"/>
      <x v="1"/>
      <x v="27"/>
      <x v="4031"/>
    </i>
    <i>
      <x v="96"/>
      <x v="1"/>
      <x v="27"/>
      <x v="4032"/>
    </i>
    <i>
      <x v="97"/>
      <x v="1"/>
      <x v="27"/>
      <x v="4033"/>
    </i>
    <i>
      <x v="98"/>
      <x v="1"/>
      <x v="27"/>
      <x v="4034"/>
    </i>
    <i>
      <x v="99"/>
      <x v="1"/>
      <x v="27"/>
      <x v="927"/>
    </i>
    <i>
      <x v="100"/>
      <x v="1"/>
      <x v="27"/>
      <x v="4035"/>
    </i>
    <i>
      <x v="101"/>
      <x v="1"/>
      <x v="27"/>
      <x v="4036"/>
    </i>
    <i>
      <x v="102"/>
      <x v="1"/>
      <x v="27"/>
      <x v="3956"/>
    </i>
    <i>
      <x v="103"/>
      <x v="1"/>
      <x v="27"/>
      <x v="4037"/>
    </i>
    <i r="1">
      <x v="2"/>
      <x v="28"/>
      <x v="4098"/>
    </i>
    <i>
      <x v="104"/>
      <x v="1"/>
      <x v="27"/>
      <x v="4038"/>
    </i>
    <i r="3">
      <x v="4052"/>
    </i>
    <i>
      <x v="105"/>
      <x v="1"/>
      <x v="27"/>
      <x v="927"/>
    </i>
    <i>
      <x v="106"/>
      <x v="1"/>
      <x v="27"/>
      <x v="4039"/>
    </i>
    <i>
      <x v="107"/>
      <x v="1"/>
      <x v="27"/>
      <x v="4040"/>
    </i>
    <i>
      <x v="108"/>
      <x v="1"/>
      <x v="27"/>
      <x v="904"/>
    </i>
    <i>
      <x v="109"/>
      <x v="1"/>
      <x v="27"/>
      <x v="4042"/>
    </i>
    <i r="3">
      <x v="4061"/>
    </i>
    <i>
      <x v="110"/>
      <x v="1"/>
      <x v="27"/>
      <x v="927"/>
    </i>
    <i>
      <x v="111"/>
      <x v="1"/>
      <x v="27"/>
      <x v="927"/>
    </i>
    <i>
      <x v="112"/>
      <x v="1"/>
      <x v="27"/>
      <x v="4043"/>
    </i>
    <i>
      <x v="113"/>
      <x v="1"/>
      <x v="27"/>
      <x v="4044"/>
    </i>
    <i>
      <x v="114"/>
      <x v="1"/>
      <x v="27"/>
      <x v="4045"/>
    </i>
    <i>
      <x v="115"/>
      <x v="1"/>
      <x v="27"/>
      <x v="4046"/>
    </i>
    <i>
      <x v="116"/>
      <x v="1"/>
      <x v="27"/>
      <x v="3956"/>
    </i>
    <i>
      <x v="117"/>
      <x v="1"/>
      <x v="27"/>
      <x v="3956"/>
    </i>
    <i>
      <x v="118"/>
      <x v="1"/>
      <x v="27"/>
      <x v="3956"/>
    </i>
    <i>
      <x v="119"/>
      <x v="1"/>
      <x v="27"/>
      <x v="4048"/>
    </i>
    <i>
      <x v="120"/>
      <x v="1"/>
      <x v="27"/>
      <x v="3956"/>
    </i>
    <i>
      <x v="121"/>
      <x v="1"/>
      <x v="27"/>
      <x v="3956"/>
    </i>
    <i>
      <x v="122"/>
      <x v="1"/>
      <x v="27"/>
      <x v="3956"/>
    </i>
    <i>
      <x v="123"/>
      <x v="1"/>
      <x v="27"/>
      <x v="4049"/>
    </i>
    <i>
      <x v="124"/>
      <x v="1"/>
      <x v="27"/>
      <x v="4050"/>
    </i>
    <i>
      <x v="125"/>
      <x v="1"/>
      <x v="27"/>
      <x v="4051"/>
    </i>
    <i>
      <x v="126"/>
      <x v="1"/>
      <x v="27"/>
      <x v="4053"/>
    </i>
    <i>
      <x v="127"/>
      <x v="1"/>
      <x v="27"/>
      <x v="927"/>
    </i>
    <i>
      <x v="128"/>
      <x v="1"/>
      <x v="27"/>
      <x v="4054"/>
    </i>
    <i>
      <x v="129"/>
      <x v="1"/>
      <x v="27"/>
      <x v="4055"/>
    </i>
    <i>
      <x v="130"/>
      <x v="1"/>
      <x v="27"/>
      <x v="4056"/>
    </i>
    <i>
      <x v="131"/>
      <x v="1"/>
      <x v="27"/>
      <x v="4057"/>
    </i>
    <i>
      <x v="132"/>
      <x v="1"/>
      <x v="27"/>
      <x v="4059"/>
    </i>
    <i>
      <x v="133"/>
      <x v="1"/>
      <x v="27"/>
      <x v="4060"/>
    </i>
    <i>
      <x v="134"/>
      <x v="2"/>
      <x v="28"/>
      <x v="4062"/>
    </i>
    <i r="3">
      <x v="4074"/>
    </i>
    <i>
      <x v="135"/>
      <x v="2"/>
      <x v="28"/>
      <x v="3956"/>
    </i>
    <i>
      <x v="136"/>
      <x v="2"/>
      <x v="28"/>
      <x v="3956"/>
    </i>
    <i r="3">
      <x v="4063"/>
    </i>
    <i>
      <x v="137"/>
      <x v="2"/>
      <x v="28"/>
      <x v="3956"/>
    </i>
    <i>
      <x v="138"/>
      <x v="2"/>
      <x v="28"/>
      <x v="3956"/>
    </i>
    <i>
      <x v="139"/>
      <x v="2"/>
      <x v="28"/>
      <x v="4064"/>
    </i>
    <i r="3">
      <x v="4065"/>
    </i>
    <i>
      <x v="140"/>
      <x v="2"/>
      <x v="28"/>
      <x v="4060"/>
    </i>
    <i>
      <x v="141"/>
      <x v="2"/>
      <x v="28"/>
      <x v="3956"/>
    </i>
    <i>
      <x v="142"/>
      <x v="2"/>
      <x v="28"/>
      <x v="4066"/>
    </i>
    <i r="3">
      <x v="4104"/>
    </i>
    <i>
      <x v="143"/>
      <x v="2"/>
      <x v="28"/>
      <x v="3982"/>
    </i>
    <i r="3">
      <x v="4067"/>
    </i>
    <i>
      <x v="144"/>
      <x v="2"/>
      <x v="28"/>
      <x v="896"/>
    </i>
    <i r="3">
      <x v="3956"/>
    </i>
    <i>
      <x v="145"/>
      <x v="2"/>
      <x v="28"/>
      <x v="4068"/>
    </i>
    <i>
      <x v="146"/>
      <x v="2"/>
      <x v="28"/>
      <x v="4069"/>
    </i>
    <i r="3">
      <x v="4070"/>
    </i>
    <i>
      <x v="147"/>
      <x v="2"/>
      <x v="28"/>
      <x v="4071"/>
    </i>
    <i>
      <x v="148"/>
      <x v="2"/>
      <x v="28"/>
      <x v="4072"/>
    </i>
    <i>
      <x v="149"/>
      <x v="2"/>
      <x v="28"/>
      <x v="4073"/>
    </i>
    <i>
      <x v="150"/>
      <x v="2"/>
      <x v="28"/>
      <x v="4075"/>
    </i>
    <i r="3">
      <x v="4082"/>
    </i>
    <i>
      <x v="151"/>
      <x v="2"/>
      <x v="28"/>
      <x v="3956"/>
    </i>
    <i>
      <x v="152"/>
      <x v="2"/>
      <x v="28"/>
      <x v="927"/>
    </i>
    <i>
      <x v="153"/>
      <x v="2"/>
      <x v="28"/>
      <x v="4076"/>
    </i>
    <i>
      <x v="154"/>
      <x v="2"/>
      <x v="28"/>
      <x v="927"/>
    </i>
    <i>
      <x v="155"/>
      <x v="2"/>
      <x v="28"/>
      <x v="4077"/>
    </i>
    <i>
      <x v="156"/>
      <x v="2"/>
      <x v="28"/>
      <x v="961"/>
    </i>
    <i r="3">
      <x v="4087"/>
    </i>
    <i>
      <x v="157"/>
      <x v="2"/>
      <x v="28"/>
      <x v="3956"/>
    </i>
    <i>
      <x v="158"/>
      <x v="2"/>
      <x v="28"/>
      <x v="4078"/>
    </i>
    <i>
      <x v="159"/>
      <x v="2"/>
      <x v="28"/>
      <x v="4079"/>
    </i>
    <i>
      <x v="160"/>
      <x v="2"/>
      <x v="28"/>
      <x v="4080"/>
    </i>
    <i>
      <x v="161"/>
      <x v="2"/>
      <x v="28"/>
      <x v="3956"/>
    </i>
    <i>
      <x v="162"/>
      <x v="2"/>
      <x v="28"/>
      <x v="927"/>
    </i>
    <i>
      <x v="163"/>
      <x v="2"/>
      <x v="28"/>
      <x v="4081"/>
    </i>
    <i>
      <x v="164"/>
      <x v="2"/>
      <x v="28"/>
      <x v="3953"/>
    </i>
    <i>
      <x v="165"/>
      <x v="2"/>
      <x v="28"/>
      <x v="927"/>
    </i>
    <i>
      <x v="166"/>
      <x v="2"/>
      <x v="28"/>
      <x v="4083"/>
    </i>
    <i r="3">
      <x v="4095"/>
    </i>
    <i>
      <x v="167"/>
      <x v="2"/>
      <x v="28"/>
      <x v="3956"/>
    </i>
    <i>
      <x v="168"/>
      <x v="2"/>
      <x v="28"/>
      <x v="4084"/>
    </i>
    <i>
      <x v="169"/>
      <x v="2"/>
      <x v="28"/>
      <x v="4085"/>
    </i>
    <i>
      <x v="170"/>
      <x v="2"/>
      <x v="28"/>
      <x v="900"/>
    </i>
    <i>
      <x v="171"/>
      <x v="2"/>
      <x v="28"/>
      <x v="4086"/>
    </i>
    <i>
      <x v="172"/>
      <x v="2"/>
      <x v="28"/>
      <x v="4009"/>
    </i>
    <i>
      <x v="173"/>
      <x v="2"/>
      <x v="28"/>
      <x v="4088"/>
    </i>
    <i r="3">
      <x v="4097"/>
    </i>
    <i>
      <x v="174"/>
      <x v="2"/>
      <x v="28"/>
      <x v="4089"/>
    </i>
    <i>
      <x v="175"/>
      <x v="2"/>
      <x v="28"/>
      <x v="4090"/>
    </i>
    <i r="3">
      <x v="4091"/>
    </i>
    <i>
      <x v="176"/>
      <x v="2"/>
      <x v="28"/>
      <x v="4092"/>
    </i>
    <i>
      <x v="177"/>
      <x v="2"/>
      <x v="28"/>
      <x v="4093"/>
    </i>
    <i>
      <x v="178"/>
      <x v="2"/>
      <x v="28"/>
      <x v="4094"/>
    </i>
    <i>
      <x v="179"/>
      <x v="2"/>
      <x v="28"/>
      <x v="4096"/>
    </i>
    <i r="3">
      <x v="4103"/>
    </i>
    <i>
      <x v="180"/>
      <x v="2"/>
      <x v="28"/>
      <x v="3956"/>
    </i>
    <i>
      <x v="181"/>
      <x v="2"/>
      <x v="28"/>
      <x v="3956"/>
    </i>
    <i>
      <x v="182"/>
      <x v="2"/>
      <x v="28"/>
      <x v="4099"/>
    </i>
    <i>
      <x v="183"/>
      <x v="2"/>
      <x v="28"/>
      <x v="4100"/>
    </i>
    <i>
      <x v="184"/>
      <x v="2"/>
      <x v="28"/>
      <x v="4101"/>
    </i>
    <i>
      <x v="185"/>
      <x v="2"/>
      <x v="28"/>
      <x v="4102"/>
    </i>
    <i>
      <x v="186"/>
      <x v="2"/>
      <x v="28"/>
      <x v="3956"/>
    </i>
    <i>
      <x v="187"/>
      <x v="2"/>
      <x v="28"/>
      <x v="4105"/>
    </i>
    <i>
      <x v="188"/>
      <x v="2"/>
      <x v="28"/>
      <x v="4106"/>
    </i>
    <i r="1">
      <x v="3"/>
      <x v="29"/>
      <x v="4127"/>
    </i>
    <i>
      <x v="189"/>
      <x v="3"/>
      <x v="29"/>
      <x v="4107"/>
    </i>
    <i r="3">
      <x v="4129"/>
    </i>
    <i>
      <x v="190"/>
      <x v="3"/>
      <x v="29"/>
      <x v="3956"/>
    </i>
    <i>
      <x v="191"/>
      <x v="3"/>
      <x v="29"/>
      <x v="4108"/>
    </i>
    <i>
      <x v="192"/>
      <x v="3"/>
      <x v="29"/>
      <x v="4109"/>
    </i>
    <i>
      <x v="193"/>
      <x v="3"/>
      <x v="29"/>
      <x v="4110"/>
    </i>
    <i>
      <x v="194"/>
      <x v="3"/>
      <x v="29"/>
      <x v="4111"/>
    </i>
    <i r="3">
      <x v="4122"/>
    </i>
    <i>
      <x v="195"/>
      <x v="3"/>
      <x v="29"/>
      <x v="4112"/>
    </i>
    <i r="3">
      <x v="4144"/>
    </i>
    <i>
      <x v="196"/>
      <x v="3"/>
      <x v="29"/>
      <x v="4113"/>
    </i>
    <i>
      <x v="197"/>
      <x v="3"/>
      <x v="29"/>
      <x v="4114"/>
    </i>
    <i>
      <x v="198"/>
      <x v="3"/>
      <x v="29"/>
      <x v="3956"/>
    </i>
    <i>
      <x v="199"/>
      <x v="3"/>
      <x v="29"/>
      <x v="4115"/>
    </i>
    <i>
      <x v="200"/>
      <x v="3"/>
      <x v="29"/>
      <x v="4116"/>
    </i>
    <i>
      <x v="201"/>
      <x v="3"/>
      <x v="29"/>
      <x v="3956"/>
    </i>
    <i>
      <x v="202"/>
      <x v="3"/>
      <x v="29"/>
      <x v="3956"/>
    </i>
    <i r="3">
      <x v="4117"/>
    </i>
    <i>
      <x v="203"/>
      <x v="3"/>
      <x v="29"/>
      <x v="4107"/>
    </i>
    <i r="3">
      <x v="4133"/>
    </i>
    <i r="3">
      <x v="4134"/>
    </i>
    <i>
      <x v="204"/>
      <x v="3"/>
      <x v="29"/>
      <x v="927"/>
    </i>
    <i>
      <x v="205"/>
      <x v="3"/>
      <x v="29"/>
      <x v="4118"/>
    </i>
    <i>
      <x v="206"/>
      <x v="3"/>
      <x v="29"/>
      <x v="4119"/>
    </i>
    <i>
      <x v="207"/>
      <x v="3"/>
      <x v="29"/>
      <x v="4120"/>
    </i>
    <i>
      <x v="208"/>
      <x v="3"/>
      <x v="29"/>
      <x v="927"/>
    </i>
    <i>
      <x v="209"/>
      <x v="3"/>
      <x v="29"/>
      <x v="4121"/>
    </i>
    <i r="1">
      <x v="5"/>
      <x v="30"/>
      <x v="4200"/>
    </i>
    <i>
      <x v="210"/>
      <x v="3"/>
      <x v="29"/>
      <x v="4123"/>
    </i>
    <i>
      <x v="211"/>
      <x v="3"/>
      <x v="29"/>
      <x v="4124"/>
    </i>
    <i>
      <x v="212"/>
      <x v="3"/>
      <x v="29"/>
      <x v="3956"/>
    </i>
    <i>
      <x v="213"/>
      <x v="3"/>
      <x v="29"/>
      <x v="4125"/>
    </i>
    <i>
      <x v="214"/>
      <x v="3"/>
      <x v="29"/>
      <x v="4126"/>
    </i>
    <i r="3">
      <x v="4145"/>
    </i>
    <i>
      <x v="215"/>
      <x v="3"/>
      <x v="29"/>
      <x v="3956"/>
    </i>
    <i>
      <x v="216"/>
      <x v="3"/>
      <x v="29"/>
      <x v="4128"/>
    </i>
    <i>
      <x v="217"/>
      <x v="3"/>
      <x v="29"/>
      <x v="4130"/>
    </i>
    <i r="3">
      <x v="4142"/>
    </i>
    <i>
      <x v="218"/>
      <x v="3"/>
      <x v="29"/>
      <x v="3956"/>
    </i>
    <i>
      <x v="219"/>
      <x v="3"/>
      <x v="29"/>
      <x v="4131"/>
    </i>
    <i>
      <x v="220"/>
      <x v="3"/>
      <x v="29"/>
      <x v="4132"/>
    </i>
    <i>
      <x v="221"/>
      <x v="3"/>
      <x v="29"/>
      <x v="4135"/>
    </i>
    <i>
      <x v="222"/>
      <x v="3"/>
      <x v="29"/>
      <x v="4136"/>
    </i>
    <i>
      <x v="223"/>
      <x v="3"/>
      <x v="29"/>
      <x v="4137"/>
    </i>
    <i>
      <x v="224"/>
      <x v="3"/>
      <x v="29"/>
      <x v="4138"/>
    </i>
    <i>
      <x v="225"/>
      <x v="3"/>
      <x v="29"/>
      <x v="4139"/>
    </i>
    <i>
      <x v="226"/>
      <x v="3"/>
      <x v="29"/>
      <x v="4140"/>
    </i>
    <i>
      <x v="227"/>
      <x v="3"/>
      <x v="29"/>
      <x v="4141"/>
    </i>
    <i>
      <x v="228"/>
      <x v="3"/>
      <x v="29"/>
      <x v="4143"/>
    </i>
    <i r="3">
      <x v="4150"/>
    </i>
    <i>
      <x v="229"/>
      <x v="3"/>
      <x v="29"/>
      <x v="927"/>
    </i>
    <i>
      <x v="230"/>
      <x v="3"/>
      <x v="29"/>
      <x v="3956"/>
    </i>
    <i>
      <x v="231"/>
      <x v="3"/>
      <x v="29"/>
      <x v="927"/>
    </i>
    <i>
      <x v="232"/>
      <x v="3"/>
      <x v="29"/>
      <x v="3956"/>
    </i>
    <i>
      <x v="233"/>
      <x v="3"/>
      <x v="29"/>
      <x v="3956"/>
    </i>
    <i>
      <x v="234"/>
      <x v="3"/>
      <x v="29"/>
      <x v="4146"/>
    </i>
    <i>
      <x v="235"/>
      <x v="3"/>
      <x v="29"/>
      <x v="927"/>
    </i>
    <i>
      <x v="236"/>
      <x v="3"/>
      <x v="29"/>
      <x v="4147"/>
    </i>
    <i r="3">
      <x v="4148"/>
    </i>
    <i>
      <x v="237"/>
      <x v="3"/>
      <x v="29"/>
      <x v="4149"/>
    </i>
    <i>
      <x v="238"/>
      <x v="3"/>
      <x v="29"/>
      <x v="3956"/>
    </i>
    <i>
      <x v="239"/>
      <x v="3"/>
      <x v="29"/>
      <x v="895"/>
    </i>
    <i r="3">
      <x v="3956"/>
    </i>
    <i>
      <x v="240"/>
      <x v="4"/>
      <x v="28"/>
      <x v="4151"/>
    </i>
    <i r="3">
      <x v="4172"/>
    </i>
    <i>
      <x v="241"/>
      <x v="4"/>
      <x v="28"/>
      <x v="4152"/>
    </i>
    <i>
      <x v="242"/>
      <x v="4"/>
      <x v="28"/>
      <x v="4153"/>
    </i>
    <i r="3">
      <x v="4168"/>
    </i>
    <i>
      <x v="243"/>
      <x v="4"/>
      <x v="28"/>
      <x v="4154"/>
    </i>
    <i r="3">
      <x v="4163"/>
    </i>
    <i>
      <x v="244"/>
      <x v="4"/>
      <x v="28"/>
      <x v="4155"/>
    </i>
    <i>
      <x v="245"/>
      <x v="4"/>
      <x v="28"/>
      <x v="3956"/>
    </i>
    <i>
      <x v="246"/>
      <x v="4"/>
      <x v="28"/>
      <x v="4156"/>
    </i>
    <i r="3">
      <x v="4165"/>
    </i>
    <i>
      <x v="247"/>
      <x v="4"/>
      <x v="28"/>
      <x v="4157"/>
    </i>
    <i>
      <x v="248"/>
      <x v="4"/>
      <x v="28"/>
      <x v="4158"/>
    </i>
    <i r="1">
      <x v="10"/>
      <x v="27"/>
      <x v="4349"/>
    </i>
    <i>
      <x v="249"/>
      <x v="4"/>
      <x v="28"/>
      <x v="4159"/>
    </i>
    <i r="3">
      <x v="4169"/>
    </i>
    <i>
      <x v="250"/>
      <x v="4"/>
      <x v="28"/>
      <x v="4160"/>
    </i>
    <i>
      <x v="251"/>
      <x v="4"/>
      <x v="28"/>
      <x v="4161"/>
    </i>
    <i>
      <x v="252"/>
      <x v="4"/>
      <x v="28"/>
      <x v="3956"/>
    </i>
    <i>
      <x v="253"/>
      <x v="4"/>
      <x v="28"/>
      <x v="4162"/>
    </i>
    <i r="3">
      <x v="4167"/>
    </i>
    <i>
      <x v="254"/>
      <x v="4"/>
      <x v="28"/>
      <x v="3956"/>
    </i>
    <i>
      <x v="255"/>
      <x v="4"/>
      <x v="28"/>
      <x v="4164"/>
    </i>
    <i>
      <x v="256"/>
      <x v="4"/>
      <x v="28"/>
      <x v="3956"/>
    </i>
    <i>
      <x v="257"/>
      <x v="4"/>
      <x v="28"/>
      <x v="4166"/>
    </i>
    <i>
      <x v="258"/>
      <x v="4"/>
      <x v="28"/>
      <x v="3956"/>
    </i>
    <i>
      <x v="259"/>
      <x v="4"/>
      <x v="28"/>
      <x v="3956"/>
    </i>
    <i>
      <x v="260"/>
      <x v="4"/>
      <x v="28"/>
      <x v="4170"/>
    </i>
    <i>
      <x v="261"/>
      <x v="4"/>
      <x v="28"/>
      <x v="4171"/>
    </i>
    <i>
      <x v="262"/>
      <x v="4"/>
      <x v="28"/>
      <x v="3956"/>
    </i>
    <i>
      <x v="263"/>
      <x v="5"/>
      <x v="30"/>
      <x v="4173"/>
    </i>
    <i r="3">
      <x v="4199"/>
    </i>
    <i>
      <x v="264"/>
      <x v="5"/>
      <x v="30"/>
      <x v="4174"/>
    </i>
    <i>
      <x v="265"/>
      <x v="5"/>
      <x v="30"/>
      <x v="4175"/>
    </i>
    <i>
      <x v="266"/>
      <x v="5"/>
      <x v="30"/>
      <x v="4176"/>
    </i>
    <i>
      <x v="267"/>
      <x v="5"/>
      <x v="30"/>
      <x v="4177"/>
    </i>
    <i>
      <x v="268"/>
      <x v="5"/>
      <x v="30"/>
      <x v="4178"/>
    </i>
    <i>
      <x v="269"/>
      <x v="5"/>
      <x v="30"/>
      <x v="927"/>
    </i>
    <i>
      <x v="270"/>
      <x v="5"/>
      <x v="30"/>
      <x v="4179"/>
    </i>
    <i r="3">
      <x v="4210"/>
    </i>
    <i>
      <x v="271"/>
      <x v="5"/>
      <x v="30"/>
      <x v="4180"/>
    </i>
    <i r="3">
      <x v="4191"/>
    </i>
    <i>
      <x v="272"/>
      <x v="5"/>
      <x v="30"/>
      <x v="927"/>
    </i>
    <i>
      <x v="273"/>
      <x v="5"/>
      <x v="30"/>
      <x v="3956"/>
    </i>
    <i>
      <x v="274"/>
      <x v="5"/>
      <x v="30"/>
      <x v="3956"/>
    </i>
    <i>
      <x v="275"/>
      <x v="5"/>
      <x v="30"/>
      <x v="4181"/>
    </i>
    <i r="3">
      <x v="4205"/>
    </i>
    <i>
      <x v="276"/>
      <x v="5"/>
      <x v="30"/>
      <x v="4182"/>
    </i>
    <i r="3">
      <x v="4209"/>
    </i>
    <i>
      <x v="277"/>
      <x v="5"/>
      <x v="30"/>
      <x v="3956"/>
    </i>
    <i>
      <x v="278"/>
      <x v="5"/>
      <x v="30"/>
      <x v="3963"/>
    </i>
    <i>
      <x v="279"/>
      <x v="5"/>
      <x v="30"/>
      <x v="4053"/>
    </i>
    <i>
      <x v="280"/>
      <x v="5"/>
      <x v="30"/>
      <x v="4183"/>
    </i>
    <i>
      <x v="281"/>
      <x v="5"/>
      <x v="30"/>
      <x v="4184"/>
    </i>
    <i>
      <x v="282"/>
      <x v="5"/>
      <x v="30"/>
      <x v="927"/>
    </i>
    <i>
      <x v="283"/>
      <x v="5"/>
      <x v="30"/>
      <x v="4185"/>
    </i>
    <i>
      <x v="284"/>
      <x v="5"/>
      <x v="30"/>
      <x v="927"/>
    </i>
    <i>
      <x v="285"/>
      <x v="5"/>
      <x v="30"/>
      <x v="4186"/>
    </i>
    <i>
      <x v="286"/>
      <x v="5"/>
      <x v="30"/>
      <x v="4183"/>
    </i>
    <i r="3">
      <x v="4187"/>
    </i>
    <i>
      <x v="287"/>
      <x v="5"/>
      <x v="30"/>
      <x v="4188"/>
    </i>
    <i r="3">
      <x v="4213"/>
    </i>
    <i>
      <x v="288"/>
      <x v="5"/>
      <x v="30"/>
      <x v="4189"/>
    </i>
    <i>
      <x v="289"/>
      <x v="5"/>
      <x v="30"/>
      <x v="4190"/>
    </i>
    <i>
      <x v="290"/>
      <x v="5"/>
      <x v="30"/>
      <x v="4192"/>
    </i>
    <i r="3">
      <x v="4204"/>
    </i>
    <i>
      <x v="291"/>
      <x v="5"/>
      <x v="30"/>
      <x v="4193"/>
    </i>
    <i>
      <x v="292"/>
      <x v="5"/>
      <x v="30"/>
      <x v="4194"/>
    </i>
    <i>
      <x v="293"/>
      <x v="5"/>
      <x v="30"/>
      <x v="4195"/>
    </i>
    <i>
      <x v="294"/>
      <x v="5"/>
      <x v="30"/>
      <x v="4196"/>
    </i>
    <i>
      <x v="295"/>
      <x v="5"/>
      <x v="30"/>
      <x v="4197"/>
    </i>
    <i>
      <x v="296"/>
      <x v="5"/>
      <x v="30"/>
      <x v="927"/>
    </i>
    <i>
      <x v="297"/>
      <x v="5"/>
      <x v="30"/>
      <x v="4198"/>
    </i>
    <i>
      <x v="298"/>
      <x v="5"/>
      <x v="30"/>
      <x v="4201"/>
    </i>
    <i>
      <x v="299"/>
      <x v="5"/>
      <x v="30"/>
      <x v="4202"/>
    </i>
    <i>
      <x v="300"/>
      <x v="5"/>
      <x v="30"/>
      <x v="4203"/>
    </i>
    <i>
      <x v="301"/>
      <x v="5"/>
      <x v="30"/>
      <x v="4206"/>
    </i>
    <i>
      <x v="302"/>
      <x v="5"/>
      <x v="30"/>
      <x v="4207"/>
    </i>
    <i>
      <x v="303"/>
      <x v="5"/>
      <x v="30"/>
      <x v="3956"/>
    </i>
    <i>
      <x v="304"/>
      <x v="5"/>
      <x v="30"/>
      <x v="4208"/>
    </i>
    <i>
      <x v="305"/>
      <x v="5"/>
      <x v="30"/>
      <x v="3956"/>
    </i>
    <i>
      <x v="306"/>
      <x v="5"/>
      <x v="30"/>
      <x v="3956"/>
    </i>
    <i>
      <x v="307"/>
      <x v="5"/>
      <x v="30"/>
      <x v="4211"/>
    </i>
    <i>
      <x v="308"/>
      <x v="5"/>
      <x v="30"/>
      <x v="4202"/>
    </i>
    <i>
      <x v="309"/>
      <x v="5"/>
      <x v="30"/>
      <x v="4212"/>
    </i>
    <i>
      <x v="310"/>
      <x v="5"/>
      <x v="30"/>
      <x v="4135"/>
    </i>
    <i>
      <x v="311"/>
      <x v="5"/>
      <x v="30"/>
      <x v="3956"/>
    </i>
    <i>
      <x v="312"/>
      <x v="5"/>
      <x v="30"/>
      <x v="927"/>
    </i>
    <i>
      <x v="313"/>
      <x v="5"/>
      <x v="30"/>
      <x v="4214"/>
    </i>
    <i>
      <x v="314"/>
      <x v="5"/>
      <x v="30"/>
      <x v="4215"/>
    </i>
    <i>
      <x v="315"/>
      <x v="5"/>
      <x v="30"/>
      <x v="4114"/>
    </i>
    <i>
      <x v="316"/>
      <x v="5"/>
      <x v="30"/>
      <x v="927"/>
    </i>
    <i>
      <x v="317"/>
      <x v="5"/>
      <x v="30"/>
      <x v="3956"/>
    </i>
    <i>
      <x v="318"/>
      <x v="5"/>
      <x v="30"/>
      <x v="4216"/>
    </i>
    <i r="3">
      <x v="4217"/>
    </i>
    <i>
      <x v="319"/>
      <x v="5"/>
      <x v="30"/>
      <x v="4218"/>
    </i>
    <i>
      <x v="320"/>
      <x v="5"/>
      <x v="30"/>
      <x v="3963"/>
    </i>
    <i>
      <x v="321"/>
      <x v="5"/>
      <x v="30"/>
      <x v="4219"/>
    </i>
    <i>
      <x v="322"/>
      <x v="5"/>
      <x v="30"/>
      <x v="927"/>
    </i>
    <i>
      <x v="323"/>
      <x v="5"/>
      <x v="30"/>
      <x v="927"/>
    </i>
    <i>
      <x v="324"/>
      <x v="5"/>
      <x v="30"/>
      <x v="4220"/>
    </i>
    <i>
      <x v="325"/>
      <x v="5"/>
      <x v="30"/>
      <x v="4221"/>
    </i>
    <i>
      <x v="326"/>
      <x v="5"/>
      <x v="30"/>
      <x v="3956"/>
    </i>
    <i r="1">
      <x v="8"/>
      <x v="31"/>
      <x v="3956"/>
    </i>
    <i r="3">
      <x v="4278"/>
    </i>
    <i>
      <x v="327"/>
      <x v="6"/>
      <x v="28"/>
      <x v="4222"/>
    </i>
    <i r="3">
      <x v="4236"/>
    </i>
    <i>
      <x v="328"/>
      <x v="6"/>
      <x v="28"/>
      <x v="4223"/>
    </i>
    <i>
      <x v="329"/>
      <x v="6"/>
      <x v="28"/>
      <x v="4224"/>
    </i>
    <i>
      <x v="330"/>
      <x v="6"/>
      <x v="28"/>
      <x v="4225"/>
    </i>
    <i>
      <x v="331"/>
      <x v="6"/>
      <x v="28"/>
      <x v="483"/>
    </i>
    <i>
      <x v="332"/>
      <x v="6"/>
      <x v="28"/>
      <x v="4226"/>
    </i>
    <i>
      <x v="333"/>
      <x v="6"/>
      <x v="28"/>
      <x v="4227"/>
    </i>
    <i>
      <x v="334"/>
      <x v="6"/>
      <x v="28"/>
      <x v="908"/>
    </i>
    <i>
      <x v="335"/>
      <x v="6"/>
      <x v="28"/>
      <x v="4228"/>
    </i>
    <i>
      <x v="336"/>
      <x v="6"/>
      <x v="28"/>
      <x v="3956"/>
    </i>
    <i>
      <x v="337"/>
      <x v="6"/>
      <x v="28"/>
      <x v="4229"/>
    </i>
    <i>
      <x v="338"/>
      <x v="6"/>
      <x v="28"/>
      <x v="4230"/>
    </i>
    <i r="3">
      <x v="4237"/>
    </i>
    <i>
      <x v="339"/>
      <x v="6"/>
      <x v="28"/>
      <x v="4231"/>
    </i>
    <i r="1">
      <x v="8"/>
      <x v="31"/>
      <x v="4260"/>
    </i>
    <i>
      <x v="340"/>
      <x v="6"/>
      <x v="28"/>
      <x v="3956"/>
    </i>
    <i>
      <x v="341"/>
      <x v="6"/>
      <x v="28"/>
      <x v="3956"/>
    </i>
    <i>
      <x v="342"/>
      <x v="6"/>
      <x v="28"/>
      <x v="3956"/>
    </i>
    <i>
      <x v="343"/>
      <x v="6"/>
      <x v="28"/>
      <x v="4232"/>
    </i>
    <i>
      <x v="344"/>
      <x v="6"/>
      <x v="28"/>
      <x v="4233"/>
    </i>
    <i>
      <x v="345"/>
      <x v="6"/>
      <x v="28"/>
      <x v="4234"/>
    </i>
    <i>
      <x v="346"/>
      <x v="6"/>
      <x v="28"/>
      <x v="4235"/>
    </i>
    <i>
      <x v="347"/>
      <x v="6"/>
      <x v="28"/>
      <x v="3956"/>
    </i>
    <i>
      <x v="348"/>
      <x v="6"/>
      <x v="28"/>
      <x v="3956"/>
    </i>
    <i>
      <x v="349"/>
      <x v="6"/>
      <x v="28"/>
      <x v="4219"/>
    </i>
    <i>
      <x v="350"/>
      <x v="6"/>
      <x v="28"/>
      <x v="4238"/>
    </i>
    <i r="1">
      <x v="7"/>
      <x v="28"/>
      <x v="4245"/>
    </i>
    <i>
      <x v="351"/>
      <x v="7"/>
      <x v="28"/>
      <x v="4239"/>
    </i>
    <i r="3">
      <x v="4249"/>
    </i>
    <i>
      <x v="352"/>
      <x v="7"/>
      <x v="28"/>
      <x v="4240"/>
    </i>
    <i>
      <x v="353"/>
      <x v="7"/>
      <x v="28"/>
      <x v="4241"/>
    </i>
    <i>
      <x v="354"/>
      <x v="7"/>
      <x v="28"/>
      <x v="4242"/>
    </i>
    <i>
      <x v="355"/>
      <x v="7"/>
      <x v="28"/>
      <x v="4243"/>
    </i>
    <i>
      <x v="356"/>
      <x v="7"/>
      <x v="28"/>
      <x v="4244"/>
    </i>
    <i r="1">
      <x v="9"/>
      <x v="29"/>
      <x v="4304"/>
    </i>
    <i>
      <x v="357"/>
      <x v="7"/>
      <x v="28"/>
      <x v="4246"/>
    </i>
    <i>
      <x v="358"/>
      <x v="7"/>
      <x v="28"/>
      <x v="927"/>
    </i>
    <i>
      <x v="359"/>
      <x v="7"/>
      <x v="28"/>
      <x v="4247"/>
    </i>
    <i>
      <x v="360"/>
      <x v="7"/>
      <x v="28"/>
      <x v="4248"/>
    </i>
    <i>
      <x v="361"/>
      <x v="7"/>
      <x v="28"/>
      <x v="4102"/>
    </i>
    <i>
      <x v="362"/>
      <x v="8"/>
      <x v="31"/>
      <x v="4250"/>
    </i>
    <i r="3">
      <x v="4294"/>
    </i>
    <i>
      <x v="363"/>
      <x v="8"/>
      <x v="31"/>
      <x v="4251"/>
    </i>
    <i>
      <x v="364"/>
      <x v="8"/>
      <x v="31"/>
      <x v="4252"/>
    </i>
    <i>
      <x v="365"/>
      <x v="8"/>
      <x v="31"/>
      <x v="4010"/>
    </i>
    <i>
      <x v="366"/>
      <x v="8"/>
      <x v="31"/>
      <x v="4089"/>
    </i>
    <i>
      <x v="367"/>
      <x v="8"/>
      <x v="31"/>
      <x v="4253"/>
    </i>
    <i>
      <x v="368"/>
      <x v="8"/>
      <x v="31"/>
      <x v="4254"/>
    </i>
    <i r="3">
      <x v="4255"/>
    </i>
    <i>
      <x v="369"/>
      <x v="8"/>
      <x v="31"/>
      <x v="927"/>
    </i>
    <i>
      <x v="370"/>
      <x v="8"/>
      <x v="31"/>
      <x v="927"/>
    </i>
    <i>
      <x v="371"/>
      <x v="8"/>
      <x v="31"/>
      <x v="4256"/>
    </i>
    <i r="3">
      <x v="4257"/>
    </i>
    <i>
      <x v="372"/>
      <x v="8"/>
      <x v="31"/>
      <x v="4258"/>
    </i>
    <i>
      <x v="373"/>
      <x v="8"/>
      <x v="31"/>
      <x v="3956"/>
    </i>
    <i>
      <x v="374"/>
      <x v="8"/>
      <x v="31"/>
      <x v="4259"/>
    </i>
    <i>
      <x v="375"/>
      <x v="8"/>
      <x v="31"/>
      <x v="4108"/>
    </i>
    <i r="3">
      <x v="4268"/>
    </i>
    <i>
      <x v="376"/>
      <x v="8"/>
      <x v="31"/>
      <x v="4261"/>
    </i>
    <i>
      <x v="377"/>
      <x v="8"/>
      <x v="31"/>
      <x v="3956"/>
    </i>
    <i>
      <x v="378"/>
      <x v="8"/>
      <x v="31"/>
      <x v="4262"/>
    </i>
    <i>
      <x v="379"/>
      <x v="8"/>
      <x v="31"/>
      <x v="4263"/>
    </i>
    <i>
      <x v="380"/>
      <x v="8"/>
      <x v="31"/>
      <x v="4264"/>
    </i>
    <i>
      <x v="381"/>
      <x v="8"/>
      <x v="31"/>
      <x v="4265"/>
    </i>
    <i r="3">
      <x v="4284"/>
    </i>
    <i>
      <x v="382"/>
      <x v="8"/>
      <x v="31"/>
      <x v="4266"/>
    </i>
    <i r="3">
      <x v="4272"/>
    </i>
    <i>
      <x v="383"/>
      <x v="8"/>
      <x v="31"/>
      <x v="4267"/>
    </i>
    <i>
      <x v="384"/>
      <x v="8"/>
      <x v="31"/>
      <x v="927"/>
    </i>
    <i>
      <x v="385"/>
      <x v="8"/>
      <x v="31"/>
      <x v="4202"/>
    </i>
    <i r="3">
      <x v="4283"/>
    </i>
    <i>
      <x v="386"/>
      <x v="8"/>
      <x v="31"/>
      <x v="4269"/>
    </i>
    <i>
      <x v="387"/>
      <x v="8"/>
      <x v="31"/>
      <x v="4270"/>
    </i>
    <i>
      <x v="388"/>
      <x v="8"/>
      <x v="31"/>
      <x v="4271"/>
    </i>
    <i>
      <x v="389"/>
      <x v="8"/>
      <x v="31"/>
      <x v="1031"/>
    </i>
    <i r="3">
      <x v="4291"/>
    </i>
    <i>
      <x v="390"/>
      <x v="8"/>
      <x v="31"/>
      <x v="4273"/>
    </i>
    <i>
      <x v="391"/>
      <x v="8"/>
      <x v="31"/>
      <x v="927"/>
    </i>
    <i>
      <x v="392"/>
      <x v="8"/>
      <x v="31"/>
      <x v="4274"/>
    </i>
    <i>
      <x v="393"/>
      <x v="8"/>
      <x v="31"/>
      <x v="4275"/>
    </i>
    <i>
      <x v="394"/>
      <x v="8"/>
      <x v="31"/>
      <x v="4276"/>
    </i>
    <i>
      <x v="395"/>
      <x v="8"/>
      <x v="31"/>
      <x v="3956"/>
    </i>
    <i>
      <x v="396"/>
      <x v="8"/>
      <x v="31"/>
      <x v="4277"/>
    </i>
    <i r="3">
      <x v="4292"/>
    </i>
    <i>
      <x v="397"/>
      <x v="8"/>
      <x v="31"/>
      <x v="927"/>
    </i>
    <i>
      <x v="398"/>
      <x v="8"/>
      <x v="31"/>
      <x v="927"/>
    </i>
    <i>
      <x v="399"/>
      <x v="8"/>
      <x v="31"/>
      <x v="4279"/>
    </i>
    <i>
      <x v="400"/>
      <x v="8"/>
      <x v="31"/>
      <x v="927"/>
    </i>
    <i>
      <x v="401"/>
      <x v="8"/>
      <x v="31"/>
      <x v="927"/>
    </i>
    <i>
      <x v="402"/>
      <x v="8"/>
      <x v="31"/>
      <x v="4280"/>
    </i>
    <i>
      <x v="403"/>
      <x v="8"/>
      <x v="31"/>
      <x v="4281"/>
    </i>
    <i>
      <x v="404"/>
      <x v="8"/>
      <x v="31"/>
      <x v="4282"/>
    </i>
    <i>
      <x v="405"/>
      <x v="8"/>
      <x v="31"/>
      <x v="4285"/>
    </i>
    <i>
      <x v="406"/>
      <x v="8"/>
      <x v="31"/>
      <x v="3963"/>
    </i>
    <i>
      <x v="407"/>
      <x v="8"/>
      <x v="31"/>
      <x v="4286"/>
    </i>
    <i>
      <x v="408"/>
      <x v="8"/>
      <x v="31"/>
      <x v="4287"/>
    </i>
    <i>
      <x v="409"/>
      <x v="8"/>
      <x v="31"/>
      <x v="4288"/>
    </i>
    <i>
      <x v="410"/>
      <x v="8"/>
      <x v="31"/>
      <x v="4043"/>
    </i>
    <i>
      <x v="411"/>
      <x v="8"/>
      <x v="31"/>
      <x v="4289"/>
    </i>
    <i>
      <x v="412"/>
      <x v="8"/>
      <x v="31"/>
      <x v="4290"/>
    </i>
    <i>
      <x v="413"/>
      <x v="8"/>
      <x v="31"/>
      <x v="4293"/>
    </i>
    <i>
      <x v="414"/>
      <x v="8"/>
      <x v="31"/>
      <x v="927"/>
    </i>
    <i>
      <x v="415"/>
      <x v="8"/>
      <x v="31"/>
      <x v="927"/>
    </i>
    <i>
      <x v="416"/>
      <x v="9"/>
      <x v="29"/>
      <x v="4295"/>
    </i>
    <i r="3">
      <x v="4306"/>
    </i>
    <i>
      <x v="417"/>
      <x v="9"/>
      <x v="29"/>
      <x v="4296"/>
    </i>
    <i>
      <x v="418"/>
      <x v="9"/>
      <x v="29"/>
      <x v="4297"/>
    </i>
    <i>
      <x v="419"/>
      <x v="9"/>
      <x v="29"/>
      <x v="4119"/>
    </i>
    <i>
      <x v="420"/>
      <x v="9"/>
      <x v="29"/>
      <x v="4298"/>
    </i>
    <i>
      <x v="421"/>
      <x v="9"/>
      <x v="29"/>
      <x v="3956"/>
    </i>
    <i>
      <x v="422"/>
      <x v="9"/>
      <x v="29"/>
      <x v="4090"/>
    </i>
    <i>
      <x v="423"/>
      <x v="9"/>
      <x v="29"/>
      <x v="4299"/>
    </i>
    <i>
      <x v="424"/>
      <x v="9"/>
      <x v="29"/>
      <x v="4300"/>
    </i>
    <i r="3">
      <x v="4301"/>
    </i>
    <i>
      <x v="425"/>
      <x v="9"/>
      <x v="29"/>
      <x v="4302"/>
    </i>
    <i>
      <x v="426"/>
      <x v="9"/>
      <x v="29"/>
      <x v="3956"/>
    </i>
    <i>
      <x v="427"/>
      <x v="9"/>
      <x v="29"/>
      <x v="927"/>
    </i>
    <i>
      <x v="428"/>
      <x v="9"/>
      <x v="29"/>
      <x v="4303"/>
    </i>
    <i r="3">
      <x v="4328"/>
    </i>
    <i>
      <x v="429"/>
      <x v="9"/>
      <x v="29"/>
      <x v="3956"/>
    </i>
    <i>
      <x v="430"/>
      <x v="9"/>
      <x v="29"/>
      <x v="4305"/>
    </i>
    <i>
      <x v="431"/>
      <x v="9"/>
      <x v="29"/>
      <x v="3956"/>
    </i>
    <i>
      <x v="432"/>
      <x v="9"/>
      <x v="29"/>
      <x v="4307"/>
    </i>
    <i r="3">
      <x v="4321"/>
    </i>
    <i>
      <x v="433"/>
      <x v="9"/>
      <x v="29"/>
      <x v="4308"/>
    </i>
    <i>
      <x v="434"/>
      <x v="9"/>
      <x v="29"/>
      <x v="927"/>
    </i>
    <i>
      <x v="435"/>
      <x v="9"/>
      <x v="29"/>
      <x v="3956"/>
    </i>
    <i>
      <x v="436"/>
      <x v="9"/>
      <x v="29"/>
      <x v="4309"/>
    </i>
    <i>
      <x v="437"/>
      <x v="9"/>
      <x v="29"/>
      <x v="4310"/>
    </i>
    <i>
      <x v="438"/>
      <x v="9"/>
      <x v="29"/>
      <x v="4311"/>
    </i>
    <i r="3">
      <x v="4326"/>
    </i>
    <i>
      <x v="439"/>
      <x v="9"/>
      <x v="29"/>
      <x v="4312"/>
    </i>
    <i r="3">
      <x v="4325"/>
    </i>
    <i>
      <x v="440"/>
      <x v="9"/>
      <x v="29"/>
      <x v="3956"/>
    </i>
    <i>
      <x v="441"/>
      <x v="9"/>
      <x v="29"/>
      <x v="4313"/>
    </i>
    <i>
      <x v="442"/>
      <x v="9"/>
      <x v="29"/>
      <x v="4314"/>
    </i>
    <i r="3">
      <x v="4319"/>
    </i>
    <i r="3">
      <x v="4320"/>
    </i>
    <i>
      <x v="443"/>
      <x v="9"/>
      <x v="29"/>
      <x v="4315"/>
    </i>
    <i r="3">
      <x v="4327"/>
    </i>
    <i>
      <x v="444"/>
      <x v="9"/>
      <x v="29"/>
      <x v="4316"/>
    </i>
    <i>
      <x v="445"/>
      <x v="9"/>
      <x v="29"/>
      <x v="4317"/>
    </i>
    <i>
      <x v="446"/>
      <x v="9"/>
      <x v="29"/>
      <x v="4318"/>
    </i>
    <i>
      <x v="447"/>
      <x v="9"/>
      <x v="29"/>
      <x v="4134"/>
    </i>
    <i r="1">
      <x v="11"/>
      <x v="31"/>
      <x v="4389"/>
    </i>
    <i>
      <x v="448"/>
      <x v="9"/>
      <x v="29"/>
      <x v="3956"/>
    </i>
    <i>
      <x v="449"/>
      <x v="9"/>
      <x v="29"/>
      <x v="4322"/>
    </i>
    <i r="3">
      <x v="4332"/>
    </i>
    <i>
      <x v="450"/>
      <x v="9"/>
      <x v="29"/>
      <x v="4323"/>
    </i>
    <i>
      <x v="451"/>
      <x v="9"/>
      <x v="29"/>
      <x v="4324"/>
    </i>
    <i>
      <x v="452"/>
      <x v="9"/>
      <x v="29"/>
      <x v="3956"/>
    </i>
    <i>
      <x v="453"/>
      <x v="9"/>
      <x v="29"/>
      <x v="927"/>
    </i>
    <i>
      <x v="454"/>
      <x v="9"/>
      <x v="29"/>
      <x v="927"/>
    </i>
    <i>
      <x v="455"/>
      <x v="9"/>
      <x v="29"/>
      <x v="4329"/>
    </i>
    <i>
      <x v="456"/>
      <x v="9"/>
      <x v="29"/>
      <x v="927"/>
    </i>
    <i>
      <x v="457"/>
      <x v="9"/>
      <x v="29"/>
      <x v="4101"/>
    </i>
    <i>
      <x v="458"/>
      <x v="9"/>
      <x v="29"/>
      <x v="4330"/>
    </i>
    <i>
      <x v="459"/>
      <x v="9"/>
      <x v="29"/>
      <x v="4331"/>
    </i>
    <i>
      <x v="460"/>
      <x v="9"/>
      <x v="29"/>
      <x v="927"/>
    </i>
    <i>
      <x v="461"/>
      <x v="9"/>
      <x v="29"/>
      <x v="927"/>
    </i>
    <i>
      <x v="462"/>
      <x v="10"/>
      <x v="27"/>
      <x v="4333"/>
    </i>
    <i r="3">
      <x v="4344"/>
    </i>
    <i>
      <x v="463"/>
      <x v="10"/>
      <x v="27"/>
      <x v="4164"/>
    </i>
    <i>
      <x v="464"/>
      <x v="10"/>
      <x v="27"/>
      <x v="4334"/>
    </i>
    <i r="3">
      <x v="4345"/>
    </i>
    <i>
      <x v="465"/>
      <x v="10"/>
      <x v="27"/>
      <x v="4335"/>
    </i>
    <i r="3">
      <x v="4342"/>
    </i>
    <i>
      <x v="466"/>
      <x v="10"/>
      <x v="27"/>
      <x v="3956"/>
    </i>
    <i>
      <x v="467"/>
      <x v="10"/>
      <x v="27"/>
      <x v="4336"/>
    </i>
    <i>
      <x v="468"/>
      <x v="10"/>
      <x v="27"/>
      <x v="4337"/>
    </i>
    <i>
      <x v="469"/>
      <x v="10"/>
      <x v="27"/>
      <x v="4338"/>
    </i>
    <i>
      <x v="470"/>
      <x v="10"/>
      <x v="27"/>
      <x v="3956"/>
    </i>
    <i r="3">
      <x v="4339"/>
    </i>
    <i>
      <x v="471"/>
      <x v="10"/>
      <x v="27"/>
      <x v="4340"/>
    </i>
    <i>
      <x v="472"/>
      <x v="10"/>
      <x v="27"/>
      <x v="927"/>
    </i>
    <i>
      <x v="473"/>
      <x v="10"/>
      <x v="27"/>
      <x v="3972"/>
    </i>
    <i>
      <x v="474"/>
      <x v="10"/>
      <x v="27"/>
      <x v="4341"/>
    </i>
    <i>
      <x v="475"/>
      <x v="10"/>
      <x v="27"/>
      <x v="4343"/>
    </i>
    <i r="3">
      <x v="4353"/>
    </i>
    <i>
      <x v="476"/>
      <x v="10"/>
      <x v="27"/>
      <x v="4079"/>
    </i>
    <i>
      <x v="477"/>
      <x v="10"/>
      <x v="27"/>
      <x v="4346"/>
    </i>
    <i>
      <x v="478"/>
      <x v="10"/>
      <x v="27"/>
      <x v="4347"/>
    </i>
    <i>
      <x v="479"/>
      <x v="10"/>
      <x v="27"/>
      <x v="4275"/>
    </i>
    <i r="3">
      <x v="4348"/>
    </i>
    <i>
      <x v="480"/>
      <x v="10"/>
      <x v="27"/>
      <x v="4350"/>
    </i>
    <i>
      <x v="481"/>
      <x v="10"/>
      <x v="27"/>
      <x v="4351"/>
    </i>
    <i r="3">
      <x v="4352"/>
    </i>
    <i>
      <x v="482"/>
      <x v="10"/>
      <x v="27"/>
      <x v="3956"/>
    </i>
    <i>
      <x v="483"/>
      <x v="10"/>
      <x v="27"/>
      <x v="4354"/>
    </i>
    <i r="3">
      <x v="4358"/>
    </i>
    <i>
      <x v="484"/>
      <x v="10"/>
      <x v="27"/>
      <x v="3956"/>
    </i>
    <i>
      <x v="485"/>
      <x v="10"/>
      <x v="27"/>
      <x v="3956"/>
    </i>
    <i r="3">
      <x v="4355"/>
    </i>
    <i>
      <x v="486"/>
      <x v="10"/>
      <x v="27"/>
      <x v="4356"/>
    </i>
    <i>
      <x v="487"/>
      <x v="10"/>
      <x v="27"/>
      <x v="3956"/>
    </i>
    <i>
      <x v="488"/>
      <x v="10"/>
      <x v="27"/>
      <x v="4357"/>
    </i>
    <i>
      <x v="489"/>
      <x v="11"/>
      <x v="31"/>
      <x v="4359"/>
    </i>
    <i r="3">
      <x v="4368"/>
    </i>
    <i>
      <x v="490"/>
      <x v="11"/>
      <x v="31"/>
      <x v="927"/>
    </i>
    <i>
      <x v="491"/>
      <x v="11"/>
      <x v="31"/>
      <x v="4360"/>
    </i>
    <i>
      <x v="492"/>
      <x v="11"/>
      <x v="31"/>
      <x v="927"/>
    </i>
    <i>
      <x v="493"/>
      <x v="11"/>
      <x v="31"/>
      <x v="4361"/>
    </i>
    <i>
      <x v="494"/>
      <x v="11"/>
      <x v="31"/>
      <x v="927"/>
    </i>
    <i r="3">
      <x v="4362"/>
    </i>
    <i>
      <x v="495"/>
      <x v="11"/>
      <x v="31"/>
      <x v="927"/>
    </i>
    <i>
      <x v="496"/>
      <x v="11"/>
      <x v="31"/>
      <x v="4113"/>
    </i>
    <i r="3">
      <x v="4363"/>
    </i>
    <i>
      <x v="497"/>
      <x v="11"/>
      <x v="31"/>
      <x v="884"/>
    </i>
    <i r="3">
      <x v="4373"/>
    </i>
    <i>
      <x v="498"/>
      <x v="11"/>
      <x v="31"/>
      <x v="4364"/>
    </i>
    <i>
      <x v="499"/>
      <x v="11"/>
      <x v="31"/>
      <x v="4365"/>
    </i>
    <i>
      <x v="500"/>
      <x v="11"/>
      <x v="31"/>
      <x v="4366"/>
    </i>
    <i>
      <x v="501"/>
      <x v="11"/>
      <x v="31"/>
      <x v="927"/>
    </i>
    <i>
      <x v="502"/>
      <x v="11"/>
      <x v="31"/>
      <x v="927"/>
    </i>
    <i>
      <x v="503"/>
      <x v="11"/>
      <x v="31"/>
      <x v="927"/>
    </i>
    <i>
      <x v="504"/>
      <x v="11"/>
      <x v="31"/>
      <x v="4367"/>
    </i>
    <i>
      <x v="505"/>
      <x v="11"/>
      <x v="31"/>
      <x v="4369"/>
    </i>
    <i r="3">
      <x v="4394"/>
    </i>
    <i>
      <x v="506"/>
      <x v="11"/>
      <x v="31"/>
      <x v="927"/>
    </i>
    <i>
      <x v="507"/>
      <x v="11"/>
      <x v="31"/>
      <x v="3956"/>
    </i>
    <i>
      <x v="508"/>
      <x v="11"/>
      <x v="31"/>
      <x v="4370"/>
    </i>
    <i>
      <x v="509"/>
      <x v="11"/>
      <x v="31"/>
      <x v="4371"/>
    </i>
    <i>
      <x v="510"/>
      <x v="11"/>
      <x v="31"/>
      <x v="927"/>
    </i>
    <i>
      <x v="511"/>
      <x v="11"/>
      <x v="31"/>
      <x v="927"/>
    </i>
    <i>
      <x v="512"/>
      <x v="11"/>
      <x v="31"/>
      <x v="4372"/>
    </i>
    <i>
      <x v="513"/>
      <x v="11"/>
      <x v="31"/>
      <x v="4050"/>
    </i>
    <i>
      <x v="514"/>
      <x v="11"/>
      <x v="31"/>
      <x v="4374"/>
    </i>
    <i>
      <x v="515"/>
      <x v="11"/>
      <x v="31"/>
      <x v="4375"/>
    </i>
    <i>
      <x v="516"/>
      <x v="11"/>
      <x v="31"/>
      <x v="4376"/>
    </i>
    <i>
      <x v="517"/>
      <x v="11"/>
      <x v="31"/>
      <x v="4191"/>
    </i>
    <i>
      <x v="518"/>
      <x v="11"/>
      <x v="31"/>
      <x v="4377"/>
    </i>
    <i r="3">
      <x v="4391"/>
    </i>
    <i>
      <x v="519"/>
      <x v="11"/>
      <x v="31"/>
      <x v="4378"/>
    </i>
    <i r="3">
      <x v="4384"/>
    </i>
    <i>
      <x v="520"/>
      <x v="11"/>
      <x v="31"/>
      <x v="4379"/>
    </i>
    <i>
      <x v="521"/>
      <x v="11"/>
      <x v="31"/>
      <x v="4380"/>
    </i>
    <i>
      <x v="522"/>
      <x v="11"/>
      <x v="31"/>
      <x v="927"/>
    </i>
    <i>
      <x v="523"/>
      <x v="11"/>
      <x v="31"/>
      <x v="4044"/>
    </i>
    <i>
      <x v="524"/>
      <x v="11"/>
      <x v="31"/>
      <x v="4191"/>
    </i>
    <i r="3">
      <x v="4381"/>
    </i>
    <i>
      <x v="525"/>
      <x v="11"/>
      <x v="31"/>
      <x v="4382"/>
    </i>
    <i>
      <x v="526"/>
      <x v="11"/>
      <x v="31"/>
      <x v="4383"/>
    </i>
    <i>
      <x v="527"/>
      <x v="11"/>
      <x v="31"/>
      <x v="4385"/>
    </i>
    <i r="3">
      <x v="4390"/>
    </i>
    <i>
      <x v="528"/>
      <x v="11"/>
      <x v="31"/>
      <x v="4386"/>
    </i>
    <i>
      <x v="529"/>
      <x v="11"/>
      <x v="31"/>
      <x v="4387"/>
    </i>
    <i>
      <x v="530"/>
      <x v="11"/>
      <x v="31"/>
      <x v="4388"/>
    </i>
    <i>
      <x v="531"/>
      <x v="11"/>
      <x v="31"/>
      <x v="927"/>
    </i>
    <i>
      <x v="532"/>
      <x v="11"/>
      <x v="31"/>
      <x v="4044"/>
    </i>
    <i>
      <x v="533"/>
      <x v="11"/>
      <x v="31"/>
      <x v="927"/>
    </i>
    <i>
      <x v="534"/>
      <x v="11"/>
      <x v="31"/>
      <x v="4392"/>
    </i>
    <i>
      <x v="535"/>
      <x v="11"/>
      <x v="31"/>
      <x v="4393"/>
    </i>
    <i t="grand">
      <x/>
    </i>
  </rowItems>
  <colItems count="1">
    <i/>
  </colItems>
  <formats count="6">
    <format dxfId="13">
      <pivotArea field="2" type="button" dataOnly="0" labelOnly="1" outline="0" axis="axisRow" fieldPosition="0"/>
    </format>
    <format dxfId="12">
      <pivotArea dataOnly="0" labelOnly="1" outline="0" axis="axisValues" fieldPosition="0"/>
    </format>
    <format dxfId="11">
      <pivotArea field="2" type="button" dataOnly="0" labelOnly="1" outline="0" axis="axisRow" fieldPosition="0"/>
    </format>
    <format dxfId="10">
      <pivotArea dataOnly="0" labelOnly="1" outline="0" axis="axisValues" fieldPosition="0"/>
    </format>
    <format dxfId="9">
      <pivotArea field="2" type="button" dataOnly="0" labelOnly="1" outline="0" axis="axisRow" fieldPosition="0"/>
    </format>
    <format dxfId="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outline="1" outlineData="1" multipleFieldFilters="0">
  <location ref="E21:F558" firstHeaderRow="1" firstDataRow="1" firstDataCol="1"/>
  <pivotFields count="43">
    <pivotField showAll="0"/>
    <pivotField showAll="0"/>
    <pivotField showAll="0"/>
    <pivotField showAll="0"/>
    <pivotField showAll="0"/>
    <pivotField numFmtId="14" showAll="0"/>
    <pivotField axis="axisRow" showAll="0" sortType="ascending">
      <items count="537">
        <item x="268"/>
        <item x="154"/>
        <item x="155"/>
        <item x="173"/>
        <item x="174"/>
        <item x="431"/>
        <item x="450"/>
        <item x="432"/>
        <item x="451"/>
        <item x="452"/>
        <item x="433"/>
        <item x="434"/>
        <item x="436"/>
        <item x="435"/>
        <item x="437"/>
        <item x="460"/>
        <item x="461"/>
        <item x="462"/>
        <item x="463"/>
        <item x="438"/>
        <item x="439"/>
        <item x="440"/>
        <item x="465"/>
        <item x="441"/>
        <item x="442"/>
        <item x="444"/>
        <item x="443"/>
        <item x="472"/>
        <item x="473"/>
        <item x="352"/>
        <item x="351"/>
        <item x="353"/>
        <item x="474"/>
        <item x="475"/>
        <item x="476"/>
        <item x="479"/>
        <item x="295"/>
        <item x="296"/>
        <item x="527"/>
        <item x="299"/>
        <item x="300"/>
        <item x="301"/>
        <item x="530"/>
        <item x="302"/>
        <item x="304"/>
        <item x="303"/>
        <item x="306"/>
        <item x="305"/>
        <item x="309"/>
        <item x="308"/>
        <item x="310"/>
        <item x="311"/>
        <item x="312"/>
        <item x="313"/>
        <item x="318"/>
        <item x="314"/>
        <item x="315"/>
        <item x="317"/>
        <item x="470"/>
        <item x="471"/>
        <item x="319"/>
        <item x="320"/>
        <item x="321"/>
        <item x="325"/>
        <item x="323"/>
        <item x="326"/>
        <item x="322"/>
        <item x="324"/>
        <item x="327"/>
        <item x="347"/>
        <item x="328"/>
        <item x="330"/>
        <item x="332"/>
        <item x="333"/>
        <item x="331"/>
        <item x="337"/>
        <item x="335"/>
        <item x="336"/>
        <item x="334"/>
        <item x="338"/>
        <item x="340"/>
        <item x="339"/>
        <item x="341"/>
        <item x="342"/>
        <item x="344"/>
        <item x="343"/>
        <item x="345"/>
        <item x="346"/>
        <item x="355"/>
        <item x="410"/>
        <item x="356"/>
        <item x="408"/>
        <item x="409"/>
        <item x="357"/>
        <item x="358"/>
        <item x="359"/>
        <item x="360"/>
        <item x="411"/>
        <item x="412"/>
        <item x="361"/>
        <item x="363"/>
        <item x="364"/>
        <item x="362"/>
        <item x="399"/>
        <item x="397"/>
        <item x="398"/>
        <item x="366"/>
        <item x="369"/>
        <item x="365"/>
        <item x="367"/>
        <item x="368"/>
        <item x="370"/>
        <item x="413"/>
        <item x="400"/>
        <item x="401"/>
        <item x="482"/>
        <item x="414"/>
        <item x="371"/>
        <item x="372"/>
        <item x="415"/>
        <item x="416"/>
        <item x="373"/>
        <item x="428"/>
        <item x="429"/>
        <item x="374"/>
        <item x="375"/>
        <item x="376"/>
        <item x="531"/>
        <item x="532"/>
        <item x="377"/>
        <item x="417"/>
        <item x="418"/>
        <item x="378"/>
        <item x="403"/>
        <item x="348"/>
        <item x="379"/>
        <item x="402"/>
        <item x="534"/>
        <item x="535"/>
        <item x="419"/>
        <item x="380"/>
        <item x="381"/>
        <item x="382"/>
        <item x="383"/>
        <item x="404"/>
        <item x="384"/>
        <item x="385"/>
        <item x="386"/>
        <item x="420"/>
        <item x="421"/>
        <item x="422"/>
        <item x="423"/>
        <item x="387"/>
        <item x="349"/>
        <item x="388"/>
        <item x="483"/>
        <item x="484"/>
        <item x="389"/>
        <item x="405"/>
        <item x="424"/>
        <item x="392"/>
        <item x="390"/>
        <item x="391"/>
        <item x="425"/>
        <item x="430"/>
        <item x="393"/>
        <item x="481"/>
        <item x="406"/>
        <item x="394"/>
        <item x="350"/>
        <item x="407"/>
        <item x="426"/>
        <item x="396"/>
        <item x="395"/>
        <item x="354"/>
        <item x="485"/>
        <item x="427"/>
        <item x="235"/>
        <item x="236"/>
        <item x="493"/>
        <item x="494"/>
        <item x="2"/>
        <item x="134"/>
        <item x="0"/>
        <item x="1"/>
        <item x="135"/>
        <item x="280"/>
        <item x="39"/>
        <item x="3"/>
        <item x="58"/>
        <item x="59"/>
        <item x="161"/>
        <item x="137"/>
        <item x="138"/>
        <item x="136"/>
        <item x="152"/>
        <item x="153"/>
        <item x="498"/>
        <item x="5"/>
        <item x="453"/>
        <item x="156"/>
        <item x="497"/>
        <item x="41"/>
        <item x="42"/>
        <item x="4"/>
        <item x="6"/>
        <item x="7"/>
        <item x="141"/>
        <item x="143"/>
        <item x="144"/>
        <item x="519"/>
        <item x="520"/>
        <item x="454"/>
        <item x="40"/>
        <item x="44"/>
        <item x="139"/>
        <item x="140"/>
        <item x="142"/>
        <item x="146"/>
        <item x="43"/>
        <item x="45"/>
        <item x="46"/>
        <item x="446"/>
        <item x="447"/>
        <item x="448"/>
        <item x="145"/>
        <item x="449"/>
        <item x="516"/>
        <item x="517"/>
        <item x="499"/>
        <item x="47"/>
        <item x="48"/>
        <item x="500"/>
        <item x="8"/>
        <item x="49"/>
        <item x="455"/>
        <item x="147"/>
        <item x="148"/>
        <item x="150"/>
        <item x="151"/>
        <item x="149"/>
        <item x="50"/>
        <item x="51"/>
        <item x="52"/>
        <item x="9"/>
        <item x="529"/>
        <item x="10"/>
        <item x="237"/>
        <item x="11"/>
        <item x="12"/>
        <item x="157"/>
        <item x="56"/>
        <item x="57"/>
        <item x="490"/>
        <item x="491"/>
        <item x="492"/>
        <item x="13"/>
        <item x="158"/>
        <item x="160"/>
        <item x="53"/>
        <item x="54"/>
        <item x="238"/>
        <item x="456"/>
        <item x="55"/>
        <item x="159"/>
        <item x="495"/>
        <item x="297"/>
        <item x="14"/>
        <item x="16"/>
        <item x="239"/>
        <item x="243"/>
        <item x="60"/>
        <item x="62"/>
        <item x="61"/>
        <item x="240"/>
        <item x="15"/>
        <item x="457"/>
        <item x="528"/>
        <item x="241"/>
        <item x="242"/>
        <item x="63"/>
        <item x="165"/>
        <item x="129"/>
        <item x="130"/>
        <item x="458"/>
        <item x="64"/>
        <item x="512"/>
        <item x="513"/>
        <item x="521"/>
        <item x="162"/>
        <item x="166"/>
        <item x="298"/>
        <item x="163"/>
        <item x="164"/>
        <item x="496"/>
        <item x="245"/>
        <item x="246"/>
        <item x="247"/>
        <item x="67"/>
        <item x="65"/>
        <item x="244"/>
        <item x="522"/>
        <item x="170"/>
        <item x="523"/>
        <item x="524"/>
        <item x="525"/>
        <item x="169"/>
        <item x="514"/>
        <item x="66"/>
        <item x="69"/>
        <item x="71"/>
        <item x="526"/>
        <item x="248"/>
        <item x="17"/>
        <item x="171"/>
        <item x="459"/>
        <item x="18"/>
        <item x="19"/>
        <item x="20"/>
        <item x="501"/>
        <item x="68"/>
        <item x="168"/>
        <item x="70"/>
        <item x="72"/>
        <item x="518"/>
        <item x="167"/>
        <item x="515"/>
        <item x="74"/>
        <item x="73"/>
        <item x="126"/>
        <item x="127"/>
        <item x="35"/>
        <item x="505"/>
        <item x="75"/>
        <item x="21"/>
        <item x="172"/>
        <item x="502"/>
        <item x="76"/>
        <item x="77"/>
        <item x="81"/>
        <item x="506"/>
        <item x="249"/>
        <item x="252"/>
        <item x="78"/>
        <item x="80"/>
        <item x="253"/>
        <item x="254"/>
        <item x="464"/>
        <item x="79"/>
        <item x="175"/>
        <item x="82"/>
        <item x="131"/>
        <item x="132"/>
        <item x="36"/>
        <item x="176"/>
        <item x="178"/>
        <item x="179"/>
        <item x="180"/>
        <item x="177"/>
        <item x="83"/>
        <item x="84"/>
        <item x="185"/>
        <item x="86"/>
        <item x="255"/>
        <item x="256"/>
        <item x="257"/>
        <item x="466"/>
        <item x="503"/>
        <item x="186"/>
        <item x="183"/>
        <item x="188"/>
        <item x="191"/>
        <item x="181"/>
        <item x="182"/>
        <item x="88"/>
        <item x="85"/>
        <item x="194"/>
        <item x="195"/>
        <item x="504"/>
        <item x="307"/>
        <item x="508"/>
        <item x="192"/>
        <item x="184"/>
        <item x="190"/>
        <item x="193"/>
        <item x="258"/>
        <item x="261"/>
        <item x="187"/>
        <item x="533"/>
        <item x="263"/>
        <item x="260"/>
        <item x="265"/>
        <item x="266"/>
        <item x="467"/>
        <item x="87"/>
        <item x="509"/>
        <item x="93"/>
        <item x="489"/>
        <item x="189"/>
        <item x="510"/>
        <item x="262"/>
        <item x="264"/>
        <item x="22"/>
        <item x="89"/>
        <item x="196"/>
        <item x="90"/>
        <item x="23"/>
        <item x="468"/>
        <item x="469"/>
        <item x="202"/>
        <item x="197"/>
        <item x="507"/>
        <item x="267"/>
        <item x="199"/>
        <item x="24"/>
        <item x="92"/>
        <item x="91"/>
        <item x="200"/>
        <item x="95"/>
        <item x="94"/>
        <item x="97"/>
        <item x="204"/>
        <item x="198"/>
        <item x="96"/>
        <item x="201"/>
        <item x="25"/>
        <item x="316"/>
        <item x="269"/>
        <item x="203"/>
        <item x="271"/>
        <item x="270"/>
        <item x="100"/>
        <item x="99"/>
        <item x="98"/>
        <item x="26"/>
        <item x="206"/>
        <item x="272"/>
        <item x="205"/>
        <item x="103"/>
        <item x="207"/>
        <item x="208"/>
        <item x="101"/>
        <item x="511"/>
        <item x="274"/>
        <item x="102"/>
        <item x="273"/>
        <item x="104"/>
        <item x="105"/>
        <item x="106"/>
        <item x="210"/>
        <item x="209"/>
        <item x="107"/>
        <item x="213"/>
        <item x="211"/>
        <item x="110"/>
        <item x="108"/>
        <item x="113"/>
        <item x="109"/>
        <item x="111"/>
        <item x="275"/>
        <item x="112"/>
        <item x="114"/>
        <item x="27"/>
        <item x="28"/>
        <item x="214"/>
        <item x="212"/>
        <item x="329"/>
        <item x="279"/>
        <item x="115"/>
        <item x="29"/>
        <item x="276"/>
        <item x="277"/>
        <item x="278"/>
        <item x="283"/>
        <item x="282"/>
        <item x="216"/>
        <item x="116"/>
        <item x="281"/>
        <item x="215"/>
        <item x="218"/>
        <item x="217"/>
        <item x="284"/>
        <item x="117"/>
        <item x="118"/>
        <item x="285"/>
        <item x="286"/>
        <item x="220"/>
        <item x="288"/>
        <item x="31"/>
        <item x="289"/>
        <item x="290"/>
        <item x="221"/>
        <item x="222"/>
        <item x="119"/>
        <item x="224"/>
        <item x="223"/>
        <item x="120"/>
        <item x="121"/>
        <item x="219"/>
        <item x="225"/>
        <item x="291"/>
        <item x="37"/>
        <item x="38"/>
        <item x="33"/>
        <item x="226"/>
        <item x="477"/>
        <item x="122"/>
        <item x="229"/>
        <item x="228"/>
        <item x="227"/>
        <item x="123"/>
        <item x="124"/>
        <item x="292"/>
        <item x="293"/>
        <item x="233"/>
        <item x="234"/>
        <item x="478"/>
        <item x="34"/>
        <item x="230"/>
        <item x="231"/>
        <item x="294"/>
        <item x="480"/>
        <item x="232"/>
        <item x="125"/>
        <item x="486"/>
        <item x="487"/>
        <item x="128"/>
        <item x="250"/>
        <item x="251"/>
        <item x="133"/>
        <item x="259"/>
        <item x="488"/>
        <item x="30"/>
        <item x="287"/>
        <item x="445"/>
        <item x="32"/>
        <item t="default"/>
      </items>
    </pivotField>
    <pivotField showAll="0"/>
    <pivotField dataField="1" numFmtId="4" showAll="0"/>
    <pivotField showAll="0"/>
    <pivotField showAll="0"/>
    <pivotField showAll="0"/>
    <pivotField showAll="0"/>
    <pivotField showAll="0"/>
    <pivotField showAll="0"/>
    <pivotField numFmtId="14" showAll="0"/>
    <pivotField numFmtId="4" showAll="0"/>
    <pivotField numFmtId="4" showAll="0"/>
    <pivotField showAll="0"/>
    <pivotField numFmtId="172" showAll="0"/>
    <pivotField numFmtId="4" showAll="0"/>
    <pivotField numFmtId="4" showAll="0"/>
    <pivotField showAll="0"/>
    <pivotField numFmtId="172" showAll="0"/>
    <pivotField numFmtId="38" showAll="0"/>
    <pivotField numFmtId="9" showAll="0"/>
    <pivotField numFmtId="3" showAll="0"/>
    <pivotField numFmtId="3" showAll="0"/>
    <pivotField numFmtId="164" showAll="0"/>
    <pivotField numFmtId="164" showAll="0"/>
    <pivotField numFmtId="170" showAll="0"/>
    <pivotField numFmtId="164" showAll="0"/>
    <pivotField numFmtId="1" showAll="0"/>
    <pivotField numFmtId="1" showAll="0"/>
    <pivotField numFmtId="1" showAll="0"/>
    <pivotField numFmtId="1" showAll="0"/>
    <pivotField numFmtId="3" showAll="0"/>
    <pivotField numFmtId="38" showAll="0"/>
    <pivotField numFmtId="2" showAll="0"/>
    <pivotField numFmtId="4" showAll="0"/>
    <pivotField numFmtId="2" showAll="0"/>
    <pivotField numFmtId="4" showAll="0"/>
    <pivotField showAll="0"/>
  </pivotFields>
  <rowFields count="1">
    <field x="6"/>
  </rowFields>
  <rowItems count="5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 t="grand">
      <x/>
    </i>
  </rowItems>
  <colItems count="1">
    <i/>
  </colItems>
  <dataFields count="1">
    <dataField name="Soma de Quantity delivered" fld="8" baseField="6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1:B558" firstHeaderRow="1" firstDataRow="1" firstDataCol="1"/>
  <pivotFields count="26">
    <pivotField showAll="0"/>
    <pivotField showAll="0"/>
    <pivotField axis="axisRow" showAll="0" sortType="ascending">
      <items count="537">
        <item x="137"/>
        <item x="179"/>
        <item x="180"/>
        <item x="181"/>
        <item x="303"/>
        <item x="34"/>
        <item x="23"/>
        <item x="111"/>
        <item x="24"/>
        <item x="25"/>
        <item x="26"/>
        <item x="70"/>
        <item x="112"/>
        <item x="35"/>
        <item x="113"/>
        <item x="309"/>
        <item x="287"/>
        <item x="104"/>
        <item x="105"/>
        <item x="263"/>
        <item x="499"/>
        <item x="500"/>
        <item x="350"/>
        <item x="295"/>
        <item x="134"/>
        <item x="496"/>
        <item x="352"/>
        <item x="517"/>
        <item x="518"/>
        <item x="450"/>
        <item x="428"/>
        <item x="451"/>
        <item x="337"/>
        <item x="357"/>
        <item x="358"/>
        <item x="533"/>
        <item x="4"/>
        <item x="419"/>
        <item x="258"/>
        <item x="353"/>
        <item x="115"/>
        <item x="76"/>
        <item x="471"/>
        <item x="284"/>
        <item x="77"/>
        <item x="92"/>
        <item x="392"/>
        <item x="162"/>
        <item x="507"/>
        <item x="368"/>
        <item x="388"/>
        <item x="508"/>
        <item x="171"/>
        <item x="276"/>
        <item x="389"/>
        <item x="135"/>
        <item x="198"/>
        <item x="204"/>
        <item x="194"/>
        <item x="210"/>
        <item x="199"/>
        <item x="390"/>
        <item x="418"/>
        <item x="369"/>
        <item x="283"/>
        <item x="354"/>
        <item x="221"/>
        <item x="310"/>
        <item x="420"/>
        <item x="306"/>
        <item x="421"/>
        <item x="509"/>
        <item x="506"/>
        <item x="510"/>
        <item x="370"/>
        <item x="371"/>
        <item x="322"/>
        <item x="323"/>
        <item x="277"/>
        <item x="355"/>
        <item x="391"/>
        <item x="356"/>
        <item x="458"/>
        <item x="438"/>
        <item x="504"/>
        <item x="453"/>
        <item x="425"/>
        <item x="459"/>
        <item x="395"/>
        <item x="363"/>
        <item x="396"/>
        <item x="2"/>
        <item x="3"/>
        <item x="327"/>
        <item x="15"/>
        <item x="211"/>
        <item x="315"/>
        <item x="18"/>
        <item x="29"/>
        <item x="6"/>
        <item x="129"/>
        <item x="343"/>
        <item x="30"/>
        <item x="406"/>
        <item x="85"/>
        <item x="101"/>
        <item x="82"/>
        <item x="413"/>
        <item x="90"/>
        <item x="100"/>
        <item x="402"/>
        <item x="328"/>
        <item x="116"/>
        <item x="192"/>
        <item x="407"/>
        <item x="312"/>
        <item x="176"/>
        <item x="414"/>
        <item x="415"/>
        <item x="200"/>
        <item x="329"/>
        <item x="175"/>
        <item x="189"/>
        <item x="190"/>
        <item x="161"/>
        <item x="144"/>
        <item x="293"/>
        <item x="468"/>
        <item x="469"/>
        <item x="203"/>
        <item x="197"/>
        <item x="281"/>
        <item x="300"/>
        <item x="239"/>
        <item x="439"/>
        <item x="294"/>
        <item x="191"/>
        <item x="465"/>
        <item x="466"/>
        <item x="364"/>
        <item x="324"/>
        <item x="330"/>
        <item x="290"/>
        <item x="292"/>
        <item x="399"/>
        <item x="316"/>
        <item x="378"/>
        <item x="436"/>
        <item x="296"/>
        <item x="297"/>
        <item x="304"/>
        <item x="409"/>
        <item x="317"/>
        <item x="440"/>
        <item x="318"/>
        <item x="397"/>
        <item x="398"/>
        <item x="325"/>
        <item x="313"/>
        <item x="386"/>
        <item x="333"/>
        <item x="326"/>
        <item x="362"/>
        <item x="408"/>
        <item x="417"/>
        <item x="334"/>
        <item x="498"/>
        <item x="346"/>
        <item x="434"/>
        <item x="441"/>
        <item x="452"/>
        <item x="351"/>
        <item x="435"/>
        <item x="457"/>
        <item x="442"/>
        <item x="497"/>
        <item x="514"/>
        <item x="114"/>
        <item x="264"/>
        <item x="260"/>
        <item x="261"/>
        <item x="84"/>
        <item x="5"/>
        <item x="42"/>
        <item x="43"/>
        <item x="44"/>
        <item x="265"/>
        <item x="47"/>
        <item x="136"/>
        <item x="10"/>
        <item x="11"/>
        <item x="45"/>
        <item x="46"/>
        <item x="501"/>
        <item x="50"/>
        <item x="7"/>
        <item x="58"/>
        <item x="478"/>
        <item x="16"/>
        <item x="38"/>
        <item x="178"/>
        <item x="251"/>
        <item x="126"/>
        <item x="268"/>
        <item x="51"/>
        <item x="128"/>
        <item x="319"/>
        <item x="57"/>
        <item x="33"/>
        <item x="93"/>
        <item x="254"/>
        <item x="243"/>
        <item x="39"/>
        <item x="133"/>
        <item x="109"/>
        <item x="8"/>
        <item x="9"/>
        <item x="31"/>
        <item x="335"/>
        <item x="124"/>
        <item x="127"/>
        <item x="213"/>
        <item x="52"/>
        <item x="40"/>
        <item x="308"/>
        <item x="235"/>
        <item x="201"/>
        <item x="244"/>
        <item x="245"/>
        <item x="252"/>
        <item x="12"/>
        <item x="63"/>
        <item x="256"/>
        <item x="53"/>
        <item x="64"/>
        <item x="0"/>
        <item x="49"/>
        <item x="67"/>
        <item x="117"/>
        <item x="102"/>
        <item x="48"/>
        <item x="62"/>
        <item x="66"/>
        <item x="148"/>
        <item x="17"/>
        <item x="470"/>
        <item x="232"/>
        <item x="36"/>
        <item x="233"/>
        <item x="234"/>
        <item x="1"/>
        <item x="74"/>
        <item x="227"/>
        <item x="249"/>
        <item x="476"/>
        <item x="467"/>
        <item x="347"/>
        <item x="59"/>
        <item x="280"/>
        <item x="19"/>
        <item x="20"/>
        <item x="69"/>
        <item x="141"/>
        <item x="21"/>
        <item x="107"/>
        <item x="241"/>
        <item x="448"/>
        <item x="13"/>
        <item x="164"/>
        <item x="54"/>
        <item x="266"/>
        <item x="65"/>
        <item x="159"/>
        <item x="60"/>
        <item x="37"/>
        <item x="14"/>
        <item x="61"/>
        <item x="259"/>
        <item x="97"/>
        <item x="205"/>
        <item x="217"/>
        <item x="502"/>
        <item x="68"/>
        <item x="314"/>
        <item x="41"/>
        <item x="27"/>
        <item x="255"/>
        <item x="246"/>
        <item x="247"/>
        <item x="55"/>
        <item x="503"/>
        <item x="432"/>
        <item x="56"/>
        <item x="158"/>
        <item x="242"/>
        <item x="98"/>
        <item x="206"/>
        <item x="455"/>
        <item x="72"/>
        <item x="81"/>
        <item x="28"/>
        <item x="248"/>
        <item x="106"/>
        <item x="480"/>
        <item x="481"/>
        <item x="482"/>
        <item x="123"/>
        <item x="250"/>
        <item x="218"/>
        <item x="75"/>
        <item x="120"/>
        <item x="475"/>
        <item x="71"/>
        <item x="95"/>
        <item x="108"/>
        <item x="142"/>
        <item x="89"/>
        <item x="83"/>
        <item x="96"/>
        <item x="257"/>
        <item x="73"/>
        <item x="122"/>
        <item x="119"/>
        <item x="121"/>
        <item x="462"/>
        <item x="32"/>
        <item x="463"/>
        <item x="87"/>
        <item x="125"/>
        <item x="139"/>
        <item x="140"/>
        <item x="118"/>
        <item x="477"/>
        <item x="88"/>
        <item x="320"/>
        <item x="94"/>
        <item x="253"/>
        <item x="80"/>
        <item x="174"/>
        <item x="366"/>
        <item x="472"/>
        <item x="86"/>
        <item x="131"/>
        <item x="145"/>
        <item x="321"/>
        <item x="168"/>
        <item x="285"/>
        <item x="228"/>
        <item x="146"/>
        <item x="387"/>
        <item x="110"/>
        <item x="132"/>
        <item x="394"/>
        <item x="373"/>
        <item x="99"/>
        <item x="225"/>
        <item x="461"/>
        <item x="535"/>
        <item x="103"/>
        <item x="91"/>
        <item x="238"/>
        <item x="505"/>
        <item x="184"/>
        <item x="172"/>
        <item x="278"/>
        <item x="520"/>
        <item x="359"/>
        <item x="483"/>
        <item x="511"/>
        <item x="445"/>
        <item x="157"/>
        <item x="279"/>
        <item x="182"/>
        <item x="163"/>
        <item x="269"/>
        <item x="78"/>
        <item x="427"/>
        <item x="449"/>
        <item x="484"/>
        <item x="367"/>
        <item x="485"/>
        <item x="429"/>
        <item x="446"/>
        <item x="216"/>
        <item x="430"/>
        <item x="186"/>
        <item x="489"/>
        <item x="185"/>
        <item x="474"/>
        <item x="289"/>
        <item x="271"/>
        <item x="286"/>
        <item x="526"/>
        <item x="187"/>
        <item x="183"/>
        <item x="486"/>
        <item x="270"/>
        <item x="488"/>
        <item x="143"/>
        <item x="487"/>
        <item x="230"/>
        <item x="273"/>
        <item x="165"/>
        <item x="166"/>
        <item x="173"/>
        <item x="167"/>
        <item x="150"/>
        <item x="188"/>
        <item x="215"/>
        <item x="138"/>
        <item x="155"/>
        <item x="479"/>
        <item x="169"/>
        <item x="380"/>
        <item x="153"/>
        <item x="152"/>
        <item x="160"/>
        <item x="381"/>
        <item x="214"/>
        <item x="156"/>
        <item x="393"/>
        <item x="231"/>
        <item x="177"/>
        <item x="195"/>
        <item x="151"/>
        <item x="154"/>
        <item x="226"/>
        <item x="274"/>
        <item x="236"/>
        <item x="456"/>
        <item x="267"/>
        <item x="403"/>
        <item x="193"/>
        <item x="147"/>
        <item x="229"/>
        <item x="531"/>
        <item x="454"/>
        <item x="237"/>
        <item x="404"/>
        <item x="212"/>
        <item x="305"/>
        <item x="208"/>
        <item x="473"/>
        <item x="382"/>
        <item x="209"/>
        <item x="275"/>
        <item x="196"/>
        <item x="222"/>
        <item x="298"/>
        <item x="361"/>
        <item x="202"/>
        <item x="299"/>
        <item x="494"/>
        <item x="532"/>
        <item x="219"/>
        <item x="223"/>
        <item x="410"/>
        <item x="224"/>
        <item x="220"/>
        <item x="490"/>
        <item x="207"/>
        <item x="530"/>
        <item x="291"/>
        <item x="372"/>
        <item x="495"/>
        <item x="336"/>
        <item x="433"/>
        <item x="443"/>
        <item x="311"/>
        <item x="340"/>
        <item x="301"/>
        <item x="302"/>
        <item x="331"/>
        <item x="272"/>
        <item x="491"/>
        <item x="375"/>
        <item x="307"/>
        <item x="521"/>
        <item x="282"/>
        <item x="405"/>
        <item x="376"/>
        <item x="383"/>
        <item x="400"/>
        <item x="401"/>
        <item x="384"/>
        <item x="332"/>
        <item x="379"/>
        <item x="377"/>
        <item x="348"/>
        <item x="528"/>
        <item x="444"/>
        <item x="344"/>
        <item x="345"/>
        <item x="411"/>
        <item x="342"/>
        <item x="437"/>
        <item x="412"/>
        <item x="422"/>
        <item x="447"/>
        <item x="338"/>
        <item x="492"/>
        <item x="374"/>
        <item x="339"/>
        <item x="349"/>
        <item x="431"/>
        <item x="360"/>
        <item x="423"/>
        <item x="529"/>
        <item x="426"/>
        <item x="416"/>
        <item x="424"/>
        <item x="460"/>
        <item x="523"/>
        <item x="519"/>
        <item x="512"/>
        <item x="513"/>
        <item x="515"/>
        <item x="516"/>
        <item x="527"/>
        <item x="524"/>
        <item x="493"/>
        <item x="534"/>
        <item x="525"/>
        <item x="522"/>
        <item x="262"/>
        <item x="240"/>
        <item x="22"/>
        <item x="79"/>
        <item x="149"/>
        <item x="130"/>
        <item x="170"/>
        <item x="464"/>
        <item x="288"/>
        <item x="385"/>
        <item x="365"/>
        <item x="341"/>
        <item t="default"/>
      </items>
    </pivotField>
    <pivotField dataField="1" numFmtId="3" showAll="0"/>
    <pivotField showAll="0"/>
    <pivotField showAll="0"/>
    <pivotField showAll="0"/>
    <pivotField numFmtId="3" showAll="0"/>
    <pivotField showAll="0"/>
    <pivotField numFmtId="3" showAll="0"/>
    <pivotField numFmtId="14" showAll="0"/>
    <pivotField showAll="0"/>
    <pivotField showAll="0"/>
    <pivotField showAll="0"/>
    <pivotField showAll="0"/>
    <pivotField numFmtId="9" showAll="0"/>
    <pivotField numFmtId="3" showAll="0"/>
    <pivotField numFmtId="173" showAll="0"/>
    <pivotField numFmtId="3" showAll="0"/>
    <pivotField numFmtId="10" showAll="0"/>
    <pivotField numFmtId="173" showAll="0"/>
    <pivotField showAll="0"/>
    <pivotField showAll="0"/>
    <pivotField showAll="0"/>
    <pivotField showAll="0"/>
    <pivotField showAll="0" defaultSubtotal="0"/>
  </pivotFields>
  <rowFields count="1">
    <field x="2"/>
  </rowFields>
  <rowItems count="5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 t="grand">
      <x/>
    </i>
  </rowItems>
  <colItems count="1">
    <i/>
  </colItems>
  <dataFields count="1">
    <dataField name="Soma de Quantity Processed" fld="3" baseField="2" baseItem="1" numFmtId="3"/>
  </dataFields>
  <formats count="6">
    <format dxfId="19">
      <pivotArea field="2" type="button" dataOnly="0" labelOnly="1" outline="0" axis="axisRow" fieldPosition="0"/>
    </format>
    <format dxfId="18">
      <pivotArea dataOnly="0" labelOnly="1" outline="0" axis="axisValues" fieldPosition="0"/>
    </format>
    <format dxfId="17">
      <pivotArea field="2" type="button" dataOnly="0" labelOnly="1" outline="0" axis="axisRow" fieldPosition="0"/>
    </format>
    <format dxfId="16">
      <pivotArea dataOnly="0" labelOnly="1" outline="0" axis="axisValues" fieldPosition="0"/>
    </format>
    <format dxfId="15">
      <pivotArea field="2" type="button" dataOnly="0" labelOnly="1" outline="0" axis="axisRow" fieldPosition="0"/>
    </format>
    <format dxfId="1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Delivery" displayName="Delivery" ref="A1:AQ1318" totalsRowShown="0" headerRowDxfId="122" dataDxfId="121">
  <autoFilter ref="A1:AQ1318"/>
  <tableColumns count="43">
    <tableColumn id="1" name="Country" dataDxfId="120"/>
    <tableColumn id="2" name="Cluster" dataDxfId="119"/>
    <tableColumn id="3" name="Purchasing point ID" dataDxfId="118"/>
    <tableColumn id="31" name="Purchasing point Name" dataDxfId="117"/>
    <tableColumn id="4" name="Purchasing point Location" dataDxfId="116"/>
    <tableColumn id="5" name="Harvest" dataDxfId="115"/>
    <tableColumn id="6" name="Date of delivery" dataDxfId="114"/>
    <tableColumn id="7" name="Delivery ID" dataDxfId="113"/>
    <tableColumn id="8" name="AAA ID" dataDxfId="112"/>
    <tableColumn id="9" name="Quantity delivered" dataDxfId="111"/>
    <tableColumn id="10" name="Unit" dataDxfId="110"/>
    <tableColumn id="11" name="Coffee specie" dataDxfId="109"/>
    <tableColumn id="12" name="Coffee state" dataDxfId="108"/>
    <tableColumn id="13" name="Physical Quality (optional)" dataDxfId="107"/>
    <tableColumn id="14" name="Cup Quality (optional)" dataDxfId="106"/>
    <tableColumn id="15" name="Invoice reference" dataDxfId="105"/>
    <tableColumn id="16" name="Date of purchase" dataDxfId="104"/>
    <tableColumn id="17" name="Base price (Unidad)" dataDxfId="103"/>
    <tableColumn id="18" name="Nespresso total" dataDxfId="102"/>
    <tableColumn id="19" name=" Price currency" dataDxfId="101"/>
    <tableColumn id="20" name="Exchange rate VS USD" dataDxfId="100"/>
    <tableColumn id="21" name="AAA Premium (total)" dataDxfId="99"/>
    <tableColumn id="22" name="BEN premium (total)" dataDxfId="98"/>
    <tableColumn id="23" name="Premiums currency" dataDxfId="97"/>
    <tableColumn id="24" name="Exchange rate for premiums VS USD" dataDxfId="96" dataCellStyle="Porcentagem"/>
    <tableColumn id="32" name="Purchased as certified?" dataDxfId="95"/>
    <tableColumn id="25" name="Volume delivered (kg)" dataDxfId="94">
      <calculatedColumnFormula>Delivery[[#This Row],[Quantity delivered]]*VLOOKUP(Delivery[[#This Row],[Unit]],References!$U:$X,4,FALSE)*VLOOKUP(CONCATENATE(Delivery[[#This Row],[Coffee specie]],Delivery[[#This Row],[Coffee state]]),References!$U:$X,4,FALSE)</calculatedColumnFormula>
    </tableColumn>
    <tableColumn id="26" name="% volume used" dataDxfId="93">
      <calculatedColumnFormula>SUMIF(Allocation!C:C,Delivery[[#This Row],[Delivery ID]],Allocation!D:D)/Delivery[[#This Row],[Quantity delivered]]</calculatedColumnFormula>
    </tableColumn>
    <tableColumn id="37" name="Qt. Delivery * Base Price" dataDxfId="92" dataCellStyle="Vírgula">
      <calculatedColumnFormula>Delivery[[#This Row],[Quantity delivered]]*Delivery[[#This Row],[Base price (Unidad)]]/60</calculatedColumnFormula>
    </tableColumn>
    <tableColumn id="38" name="menor que Nespresso Total?" dataDxfId="91" dataCellStyle="Vírgula">
      <calculatedColumnFormula>Delivery[[#This Row],[Nespresso total]]-Delivery[[#This Row],[Qt. Delivery * Base Price]]</calculatedColumnFormula>
    </tableColumn>
    <tableColumn id="39" name="Prêmio AAA por saca" dataDxfId="90" dataCellStyle="Vírgula">
      <calculatedColumnFormula>Delivery[[#This Row],[AAA Premium (total)]]/Delivery[[#This Row],[Quantity delivered]]*60/Delivery[[#This Row],[Exchange rate VS USD]]</calculatedColumnFormula>
    </tableColumn>
    <tableColumn id="41" name="Prêmio BEN por saca" dataDxfId="89" dataCellStyle="Vírgula">
      <calculatedColumnFormula>Delivery[[#This Row],[BEN premium (total)]]/Delivery[[#This Row],[Quantity delivered]]*60/Delivery[[#This Row],[Exchange rate for premiums VS USD]]</calculatedColumnFormula>
    </tableColumn>
    <tableColumn id="43" name="Delivery ID repetido" dataDxfId="88" dataCellStyle="Vírgula">
      <calculatedColumnFormula>COUNTIF(Delivery[Delivery ID],Delivery[[#This Row],[Delivery ID]])</calculatedColumnFormula>
    </tableColumn>
    <tableColumn id="44" name="Valor Nespresso Total por Kg (em US$)" dataDxfId="87" dataCellStyle="Vírgula">
      <calculatedColumnFormula>(Delivery[[#This Row],[Nespresso total]]/SUMIF(Allocation!C:C,Delivery[Delivery ID],Allocation!H:H))/Delivery[[#This Row],[Exchange rate VS USD]]</calculatedColumnFormula>
    </tableColumn>
    <tableColumn id="45" name="Valor Prêmio Nespresso AAA por Kg (em US$)" dataDxfId="86" dataCellStyle="Vírgula">
      <calculatedColumnFormula>(Delivery[[#This Row],[AAA Premium (total)]]/SUMIF(Allocation!C:C,Delivery[Delivery ID],Allocation!H:H))/Delivery[[#This Row],[Exchange rate VS USD]]</calculatedColumnFormula>
    </tableColumn>
    <tableColumn id="46" name="Valor Prêmio Nespresso AAA por saca (em US$)" dataDxfId="85" dataCellStyle="Vírgula">
      <calculatedColumnFormula>Delivery[[#This Row],[Valor Prêmio Nespresso AAA por Kg (em US$)]]*60</calculatedColumnFormula>
    </tableColumn>
    <tableColumn id="47" name="Valor Prêmio Nespresso AAA por saca (em Libras)" dataDxfId="84" dataCellStyle="Vírgula">
      <calculatedColumnFormula>Delivery[[#This Row],[Valor Prêmio Nespresso AAA por saca (em US$)]]/1.3228/100</calculatedColumnFormula>
    </tableColumn>
    <tableColumn id="48" name="Valor Prêmio Nespresso BEN por Kg (em US$)" dataDxfId="83" dataCellStyle="Vírgula">
      <calculatedColumnFormula>(Delivery[[#This Row],[BEN premium (total)]]/SUMIF(Allocation!C:C,Delivery[Delivery ID],Allocation!H:H))/Delivery[[#This Row],[Exchange rate for premiums VS USD]]</calculatedColumnFormula>
    </tableColumn>
    <tableColumn id="50" name="Valor Prêmio Nespresso BEN por saca (em US$)" dataDxfId="82" dataCellStyle="Vírgula">
      <calculatedColumnFormula>Delivery[[#This Row],[Valor Prêmio Nespresso BEN por Kg (em US$)]]*60</calculatedColumnFormula>
    </tableColumn>
    <tableColumn id="51" name="Valor Prêmio Nespresso BEN por saca (em Libras)" dataDxfId="81" dataCellStyle="Vírgula">
      <calculatedColumnFormula>Delivery[[#This Row],[Valor Prêmio Nespresso BEN por saca (em US$)]]/1.3228/100</calculatedColumnFormula>
    </tableColumn>
    <tableColumn id="27" name="Valor efetivamente pago pela Nespresso" dataDxfId="80" dataCellStyle="Vírgula">
      <calculatedColumnFormula>SUMIF(Allocation[Delivery ID],Delivery[[#This Row],[Delivery ID]],Allocation[Quantity allocated])*16*1.3228*Delivery[[#This Row],[Exchange rate VS USD]]/60</calculatedColumnFormula>
    </tableColumn>
    <tableColumn id="28" name="Valor pago pelo Cluster" dataDxfId="79" dataCellStyle="Vírgula">
      <calculatedColumnFormula>Delivery[[#This Row],[AAA Premium (total)]]</calculatedColumnFormula>
    </tableColumn>
    <tableColumn id="29" name="Diferença" dataDxfId="78" dataCellStyle="Vírgula">
      <calculatedColumnFormula>Delivery[[#This Row],[Valor pago pelo Cluster]]-Delivery[[#This Row],[Valor efetivamente pago pela Nespresso]]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llocation" displayName="Allocation" ref="A1:Z2860" totalsRowShown="0" headerRowDxfId="69">
  <autoFilter ref="A1:Z2860"/>
  <tableColumns count="26">
    <tableColumn id="1" name="Country" dataDxfId="68"/>
    <tableColumn id="2" name="Cluster" dataDxfId="67"/>
    <tableColumn id="3" name="Delivery ID" dataDxfId="66"/>
    <tableColumn id="4" name="Quantity Processed" dataDxfId="65"/>
    <tableColumn id="5" name="Processing Batch ID" dataDxfId="64"/>
    <tableColumn id="6" name="Processing Batch Date" dataDxfId="63"/>
    <tableColumn id="7" name="Dilution rate" dataDxfId="62"/>
    <tableColumn id="8" name="Quantity allocated" dataDxfId="61"/>
    <tableColumn id="9" name="Nespresso Batch Number" dataDxfId="60"/>
    <tableColumn id="10" name="Container coffee weight (kg)" dataDxfId="59"/>
    <tableColumn id="11" name="Shipping date" dataDxfId="58"/>
    <tableColumn id="12" name="Container ICO number" dataDxfId="57"/>
    <tableColumn id="13" name="SAP Contract number" dataDxfId="56"/>
    <tableColumn id="14" name="Payment reception date" dataDxfId="55"/>
    <tableColumn id="15" name="Exchange rate" dataDxfId="54"/>
    <tableColumn id="16" name="% container filling" dataDxfId="53" dataCellStyle="Porcentagem"/>
    <tableColumn id="17" name="Total volume used" dataDxfId="52">
      <calculatedColumnFormula>SUMIF(Allocation[Delivery ID],Allocation[[#This Row],[Delivery ID]],Allocation[Quantity Processed])</calculatedColumnFormula>
    </tableColumn>
    <tableColumn id="18" name="% of delivery used in total" dataDxfId="51" dataCellStyle="Porcentagem">
      <calculatedColumnFormula>Allocation[[#This Row],[Total volume used]]/VLOOKUP(Allocation[[#This Row],[Delivery ID]],Delivery[[Delivery ID]:[Quantity delivered]],3,FALSE)</calculatedColumnFormula>
    </tableColumn>
    <tableColumn id="19" name="Volume available (kg)" dataDxfId="50">
      <calculatedColumnFormula>Allocation[[#This Row],[Quantity Processed]]/Allocation[[#This Row],[Dilution rate]]</calculatedColumnFormula>
    </tableColumn>
    <tableColumn id="20" name="% of delivery allocated in total" dataDxfId="49" dataCellStyle="Porcentagem">
      <calculatedColumnFormula>SUMIF(Allocation[Delivery ID],Allocation[[#This Row],[Delivery ID]],Allocation[Quantity allocated])/SUMIF(Allocation[Delivery ID],Allocation[[#This Row],[Delivery ID]],Allocation[Volume available (kg)])</calculatedColumnFormula>
    </tableColumn>
    <tableColumn id="21" name="% of delivery for this container" dataDxfId="48" dataCellStyle="Porcentagem">
      <calculatedColumnFormula>Allocation[[#This Row],[Total volume used]]/VLOOKUP(Allocation[[#This Row],[Delivery ID]],Delivery[[Delivery ID]:[Quantity delivered]],3,FALSE)</calculatedColumnFormula>
    </tableColumn>
    <tableColumn id="26" name="Volume contracted (kg)" dataDxfId="47">
      <calculatedColumnFormula>VLOOKUP(Allocation[[#This Row],[SAP Contract number]],Shipments[[SAP Contract number]:[Contracted container weight]],2,FALSE)</calculatedColumnFormula>
    </tableColumn>
    <tableColumn id="27" name="AAA Premium received (USD)" dataDxfId="46">
      <calculatedColumnFormula>VLOOKUP(Allocation[[#This Row],[SAP Contract number]],Shipments[[SAP Contract number]:[AAA Premium USD]],24,FALSE)</calculatedColumnFormula>
    </tableColumn>
    <tableColumn id="28" name="BEN Premium received (USD)" dataDxfId="45">
      <calculatedColumnFormula>VLOOKUP(Allocation[[#This Row],[SAP Contract number]],Shipments[[SAP Contract number]:[RA Premium USD]],25,FALSE)</calculatedColumnFormula>
    </tableColumn>
    <tableColumn id="29" name="DILUTION RATE2" dataDxfId="44">
      <calculatedColumnFormula>Allocation[[#This Row],[Quantity Processed]]/Allocation[[#This Row],[Quantity allocated]]</calculatedColumnFormula>
    </tableColumn>
    <tableColumn id="30" name="Qtty Allocated &lt; Qtty Processed?" dataDxfId="43">
      <calculatedColumnFormula>Allocation[[#This Row],[Quantity allocated]]&lt;=Allocation[[#This Row],[Quantity Processed]]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Shipments" displayName="Shipments" ref="A1:AB3944" totalsRowShown="0" headerRowDxfId="42">
  <autoFilter ref="A1:AB3944"/>
  <tableColumns count="28">
    <tableColumn id="1" name="Supplier"/>
    <tableColumn id="2" name="NN Batch Number"/>
    <tableColumn id="3" name="SAP Contract number" dataDxfId="41" dataCellStyle="Normal 4"/>
    <tableColumn id="4" name="Contracted container weight" dataDxfId="40" dataCellStyle="Vírgula 3"/>
    <tableColumn id="5" name="Actual container weight"/>
    <tableColumn id="6" name="AAA Premium" dataDxfId="39" dataCellStyle="Normal 4"/>
    <tableColumn id="7" name="RA Premium" dataDxfId="38" dataCellStyle="Normal 4"/>
    <tableColumn id="8" name="FLO Premium" dataDxfId="37" dataCellStyle="Normal 4"/>
    <tableColumn id="9" name="FT Premium" dataDxfId="36" dataCellStyle="Normal 4"/>
    <tableColumn id="10" name="Date of shipment" dataDxfId="35"/>
    <tableColumn id="11" name="Date of arrival in Europe" dataDxfId="34"/>
    <tableColumn id="12" name="Warehouse" dataDxfId="33" dataCellStyle="Normal 4"/>
    <tableColumn id="13" name="Released status" dataDxfId="32" dataCellStyle="Normal 4"/>
    <tableColumn id="14" name="Date of release"/>
    <tableColumn id="15" name="Reason for rejection"/>
    <tableColumn id="16" name="AAA"/>
    <tableColumn id="17" name="SUPPLIER2"/>
    <tableColumn id="18" name="COUNTRY" dataDxfId="31" dataCellStyle="Normal 4"/>
    <tableColumn id="19" name="AAA  CLUSTER" dataDxfId="30" dataCellStyle="Normal 4"/>
    <tableColumn id="20" name="ARABICA / ROBUSTA"/>
    <tableColumn id="21" name="QUALITY"/>
    <tableColumn id="22" name="DELIVERY _x000a_MONTH" dataDxfId="29" dataCellStyle="Normal 4"/>
    <tableColumn id="23" name="SUPPLIER _x000a_REF" dataDxfId="28" dataCellStyle="Normal 4"/>
    <tableColumn id="24" name="COMMENTS" dataDxfId="27" dataCellStyle="Normal 2 2"/>
    <tableColumn id="25" name="ICO" dataDxfId="26"/>
    <tableColumn id="26" name="AAA Premium USD" dataDxfId="25">
      <calculatedColumnFormula>CONVERT(D2,"kg","lbm")*F2/100</calculatedColumnFormula>
    </tableColumn>
    <tableColumn id="27" name="RA Premium USD" dataDxfId="24">
      <calculatedColumnFormula>CONVERT(D2,"kg","lbm")*G2/100</calculatedColumnFormula>
    </tableColumn>
    <tableColumn id="28" name="Traced?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_Conversão" displayName="Tab_Conversão" ref="U1:X14" totalsRowShown="0" headerRowDxfId="23" headerRowBorderDxfId="22" tableBorderDxfId="21">
  <autoFilter ref="U1:X14"/>
  <tableColumns count="4">
    <tableColumn id="1" name="CODE"/>
    <tableColumn id="2" name="coffeeSpecie"/>
    <tableColumn id="3" name="coffeeState"/>
    <tableColumn id="4" name="Conversion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Q1318"/>
  <sheetViews>
    <sheetView topLeftCell="R1315" zoomScaleNormal="100" workbookViewId="0">
      <selection activeCell="X1315" sqref="X1315"/>
    </sheetView>
  </sheetViews>
  <sheetFormatPr defaultRowHeight="15"/>
  <cols>
    <col min="1" max="1" width="10.140625" customWidth="1"/>
    <col min="2" max="2" width="20.42578125" bestFit="1" customWidth="1"/>
    <col min="3" max="3" width="19" customWidth="1"/>
    <col min="4" max="4" width="17" customWidth="1"/>
    <col min="5" max="5" width="23.5703125" bestFit="1" customWidth="1"/>
    <col min="6" max="6" width="10.5703125" bestFit="1" customWidth="1"/>
    <col min="7" max="7" width="13.5703125" customWidth="1"/>
    <col min="8" max="8" width="15.140625" bestFit="1" customWidth="1"/>
    <col min="10" max="10" width="12.7109375" customWidth="1"/>
    <col min="12" max="12" width="12" customWidth="1"/>
    <col min="13" max="13" width="13.42578125" bestFit="1" customWidth="1"/>
    <col min="14" max="16" width="11" customWidth="1"/>
    <col min="17" max="17" width="12.5703125" style="41" customWidth="1"/>
    <col min="18" max="18" width="10.140625" customWidth="1"/>
    <col min="19" max="19" width="11.85546875" customWidth="1"/>
    <col min="20" max="20" width="10.28515625" customWidth="1"/>
    <col min="21" max="21" width="12.42578125" customWidth="1"/>
    <col min="22" max="24" width="12.28515625" customWidth="1"/>
    <col min="25" max="25" width="14.7109375" style="123" customWidth="1"/>
    <col min="26" max="26" width="14.7109375" customWidth="1"/>
    <col min="27" max="31" width="12.7109375" customWidth="1"/>
    <col min="32" max="32" width="12.7109375" style="38" customWidth="1"/>
    <col min="33" max="33" width="9.42578125" bestFit="1" customWidth="1"/>
    <col min="34" max="34" width="17.42578125" customWidth="1"/>
    <col min="35" max="35" width="18.140625" style="38" customWidth="1"/>
    <col min="36" max="36" width="18.28515625" customWidth="1"/>
    <col min="37" max="37" width="21" customWidth="1"/>
    <col min="38" max="40" width="18.140625" customWidth="1"/>
    <col min="41" max="41" width="15.7109375" customWidth="1"/>
    <col min="42" max="42" width="13.140625" customWidth="1"/>
    <col min="43" max="43" width="11.5703125" bestFit="1" customWidth="1"/>
  </cols>
  <sheetData>
    <row r="1" spans="1:43" ht="38.25">
      <c r="A1" s="117" t="s">
        <v>32</v>
      </c>
      <c r="B1" s="118" t="s">
        <v>0</v>
      </c>
      <c r="C1" s="118" t="s">
        <v>1</v>
      </c>
      <c r="D1" s="118" t="s">
        <v>459</v>
      </c>
      <c r="E1" s="118" t="s">
        <v>460</v>
      </c>
      <c r="F1" s="118" t="s">
        <v>2</v>
      </c>
      <c r="G1" s="118" t="s">
        <v>3</v>
      </c>
      <c r="H1" s="118" t="s">
        <v>4</v>
      </c>
      <c r="I1" s="118" t="s">
        <v>5</v>
      </c>
      <c r="J1" s="118" t="s">
        <v>6</v>
      </c>
      <c r="K1" s="118" t="s">
        <v>7</v>
      </c>
      <c r="L1" s="118" t="s">
        <v>8</v>
      </c>
      <c r="M1" s="118" t="s">
        <v>9</v>
      </c>
      <c r="N1" s="118" t="s">
        <v>10</v>
      </c>
      <c r="O1" s="118" t="s">
        <v>11</v>
      </c>
      <c r="P1" s="118" t="s">
        <v>461</v>
      </c>
      <c r="Q1" s="155" t="s">
        <v>12</v>
      </c>
      <c r="R1" s="118" t="s">
        <v>462</v>
      </c>
      <c r="S1" s="119" t="s">
        <v>13</v>
      </c>
      <c r="T1" s="118" t="s">
        <v>14</v>
      </c>
      <c r="U1" s="118" t="s">
        <v>15</v>
      </c>
      <c r="V1" s="118" t="s">
        <v>16</v>
      </c>
      <c r="W1" s="118" t="s">
        <v>17</v>
      </c>
      <c r="X1" s="118" t="s">
        <v>18</v>
      </c>
      <c r="Y1" s="122" t="s">
        <v>19</v>
      </c>
      <c r="Z1" s="118" t="s">
        <v>463</v>
      </c>
      <c r="AA1" s="120" t="s">
        <v>62</v>
      </c>
      <c r="AB1" s="120" t="s">
        <v>63</v>
      </c>
      <c r="AC1" s="27" t="s">
        <v>64</v>
      </c>
      <c r="AD1" s="28" t="s">
        <v>65</v>
      </c>
      <c r="AE1" s="28" t="s">
        <v>66</v>
      </c>
      <c r="AF1" s="65" t="s">
        <v>67</v>
      </c>
      <c r="AG1" s="28" t="s">
        <v>427</v>
      </c>
      <c r="AH1" s="28" t="s">
        <v>448</v>
      </c>
      <c r="AI1" s="65" t="s">
        <v>449</v>
      </c>
      <c r="AJ1" s="28" t="s">
        <v>450</v>
      </c>
      <c r="AK1" s="28" t="s">
        <v>451</v>
      </c>
      <c r="AL1" s="28" t="s">
        <v>452</v>
      </c>
      <c r="AM1" s="28" t="s">
        <v>453</v>
      </c>
      <c r="AN1" s="28" t="s">
        <v>454</v>
      </c>
      <c r="AO1" s="156" t="s">
        <v>464</v>
      </c>
      <c r="AP1" s="156" t="s">
        <v>465</v>
      </c>
      <c r="AQ1" s="156" t="s">
        <v>466</v>
      </c>
    </row>
    <row r="2" spans="1:43" ht="15.75">
      <c r="A2" s="174" t="s">
        <v>69</v>
      </c>
      <c r="B2" s="232" t="s">
        <v>68</v>
      </c>
      <c r="C2" s="157">
        <v>1</v>
      </c>
      <c r="D2" s="157" t="s">
        <v>468</v>
      </c>
      <c r="E2" s="176" t="s">
        <v>468</v>
      </c>
      <c r="F2" s="233" t="s">
        <v>543</v>
      </c>
      <c r="G2" s="234">
        <v>43388</v>
      </c>
      <c r="H2" s="235" t="s">
        <v>2117</v>
      </c>
      <c r="I2" s="236" t="s">
        <v>1662</v>
      </c>
      <c r="J2" s="237">
        <v>10100</v>
      </c>
      <c r="K2" s="175" t="s">
        <v>472</v>
      </c>
      <c r="L2" s="175" t="s">
        <v>439</v>
      </c>
      <c r="M2" s="175" t="s">
        <v>1343</v>
      </c>
      <c r="N2" s="180"/>
      <c r="O2" s="177"/>
      <c r="P2" s="181">
        <v>0</v>
      </c>
      <c r="Q2" s="177">
        <v>43378</v>
      </c>
      <c r="R2" s="178">
        <v>420.34756500000003</v>
      </c>
      <c r="S2" s="179">
        <v>71603.95</v>
      </c>
      <c r="T2" s="182" t="s">
        <v>45</v>
      </c>
      <c r="U2" s="183">
        <v>3.8511000000000002</v>
      </c>
      <c r="V2" s="179">
        <v>4538.2666666666673</v>
      </c>
      <c r="W2" s="179">
        <v>0</v>
      </c>
      <c r="X2" s="184" t="s">
        <v>45</v>
      </c>
      <c r="Y2" s="183">
        <v>3.8511000000000002</v>
      </c>
      <c r="Z2" s="220"/>
      <c r="AA2" s="168">
        <f>Delivery[[#This Row],[Quantity delivered]]*VLOOKUP(Delivery[[#This Row],[Unit]],Tab_Conversão[],4,FALSE)*VLOOKUP(CONCATENATE(Delivery[[#This Row],[Coffee specie]],Delivery[[#This Row],[Coffee state]]),Tab_Conversão[],4,FALSE)</f>
        <v>10100</v>
      </c>
      <c r="AB2" s="169">
        <f>SUMIF(Allocation!C:C,Delivery[[#This Row],[Delivery ID]],Allocation!D:D)/Delivery[[#This Row],[Quantity delivered]]</f>
        <v>0.13425742574257427</v>
      </c>
      <c r="AC2" s="170">
        <f>Delivery[[#This Row],[Quantity delivered]]*Delivery[[#This Row],[Base price (Unidad)]]/60</f>
        <v>70758.506775000002</v>
      </c>
      <c r="AD2" s="170">
        <f>Delivery[[#This Row],[Nespresso total]]-Delivery[[#This Row],[Qt. Delivery * Base Price]]</f>
        <v>845.44322499999544</v>
      </c>
      <c r="AE2" s="170">
        <f>Delivery[[#This Row],[AAA Premium (total)]]/Delivery[[#This Row],[Quantity delivered]]*60/Delivery[[#This Row],[Exchange rate VS USD]]</f>
        <v>7.0005972319597003</v>
      </c>
      <c r="AF2" s="170">
        <f>Delivery[[#This Row],[BEN premium (total)]]/Delivery[[#This Row],[Quantity delivered]]*60/Delivery[[#This Row],[Exchange rate for premiums VS USD]]</f>
        <v>0</v>
      </c>
      <c r="AG2" s="171">
        <f>COUNTIF(Delivery[Delivery ID],Delivery[[#This Row],[Delivery ID]])</f>
        <v>1</v>
      </c>
      <c r="AH2" s="171">
        <f>(Delivery[[#This Row],[Nespresso total]]/SUMIF(Allocation!C:C,Delivery[Delivery ID],Allocation!H:H))/Delivery[[#This Row],[Exchange rate VS USD]]</f>
        <v>41.595338372481621</v>
      </c>
      <c r="AI2" s="171">
        <f>(Delivery[[#This Row],[AAA Premium (total)]]/SUMIF(Allocation!C:C,Delivery[Delivery ID],Allocation!H:H))/Delivery[[#This Row],[Exchange rate VS USD]]</f>
        <v>2.6363173766887762</v>
      </c>
      <c r="AJ2" s="171">
        <f>Delivery[[#This Row],[Valor Prêmio Nespresso AAA por Kg (em US$)]]*60</f>
        <v>158.17904260132656</v>
      </c>
      <c r="AK2" s="171">
        <f>Delivery[[#This Row],[Valor Prêmio Nespresso AAA por saca (em US$)]]/1.3228/100</f>
        <v>1.1957895570103307</v>
      </c>
      <c r="AL2" s="171">
        <f>(Delivery[[#This Row],[BEN premium (total)]]/SUMIF(Allocation!C:C,Delivery[Delivery ID],Allocation!H:H))/Delivery[[#This Row],[Exchange rate for premiums VS USD]]</f>
        <v>0</v>
      </c>
      <c r="AM2" s="171">
        <f>Delivery[[#This Row],[Valor Prêmio Nespresso BEN por Kg (em US$)]]*60</f>
        <v>0</v>
      </c>
      <c r="AN2" s="171">
        <f>Delivery[[#This Row],[Valor Prêmio Nespresso BEN por saca (em US$)]]/1.3228/100</f>
        <v>0</v>
      </c>
      <c r="AO2" s="171">
        <f>SUMIF(Allocation[Delivery ID],Delivery[[#This Row],[Delivery ID]],Allocation[Quantity allocated])*16*1.3228*Delivery[[#This Row],[Exchange rate VS USD]]/60</f>
        <v>607.23282153599996</v>
      </c>
      <c r="AP2" s="171">
        <f>Delivery[[#This Row],[AAA Premium (total)]]</f>
        <v>4538.2666666666673</v>
      </c>
      <c r="AQ2" s="171">
        <f>Delivery[[#This Row],[Valor pago pelo Cluster]]-Delivery[[#This Row],[Valor efetivamente pago pela Nespresso]]</f>
        <v>3931.0338451306675</v>
      </c>
    </row>
    <row r="3" spans="1:43" ht="15.75">
      <c r="A3" s="174" t="s">
        <v>69</v>
      </c>
      <c r="B3" s="232" t="s">
        <v>68</v>
      </c>
      <c r="C3" s="157">
        <v>1</v>
      </c>
      <c r="D3" s="157" t="s">
        <v>468</v>
      </c>
      <c r="E3" s="176" t="s">
        <v>468</v>
      </c>
      <c r="F3" s="233" t="s">
        <v>543</v>
      </c>
      <c r="G3" s="234">
        <v>43388</v>
      </c>
      <c r="H3" s="235" t="s">
        <v>2118</v>
      </c>
      <c r="I3" s="236" t="s">
        <v>1662</v>
      </c>
      <c r="J3" s="237">
        <v>10440</v>
      </c>
      <c r="K3" s="175" t="s">
        <v>472</v>
      </c>
      <c r="L3" s="175" t="s">
        <v>439</v>
      </c>
      <c r="M3" s="175" t="s">
        <v>1343</v>
      </c>
      <c r="N3" s="180"/>
      <c r="O3" s="177"/>
      <c r="P3" s="181">
        <v>0</v>
      </c>
      <c r="Q3" s="177">
        <v>43378</v>
      </c>
      <c r="R3" s="178">
        <v>420.34756500000003</v>
      </c>
      <c r="S3" s="179">
        <v>74014.38</v>
      </c>
      <c r="T3" s="182" t="s">
        <v>45</v>
      </c>
      <c r="U3" s="183">
        <v>3.8511000000000002</v>
      </c>
      <c r="V3" s="179">
        <v>4691.04</v>
      </c>
      <c r="W3" s="179">
        <v>0</v>
      </c>
      <c r="X3" s="184" t="s">
        <v>45</v>
      </c>
      <c r="Y3" s="183">
        <v>3.8511000000000002</v>
      </c>
      <c r="Z3" s="220"/>
      <c r="AA3" s="172">
        <f>Delivery[[#This Row],[Quantity delivered]]*VLOOKUP(Delivery[[#This Row],[Unit]],Tab_Conversão[],4,FALSE)*VLOOKUP(CONCATENATE(Delivery[[#This Row],[Coffee specie]],Delivery[[#This Row],[Coffee state]]),Tab_Conversão[],4,FALSE)</f>
        <v>10440</v>
      </c>
      <c r="AB3" s="169">
        <f>SUMIF(Allocation!C:C,Delivery[[#This Row],[Delivery ID]],Allocation!D:D)/Delivery[[#This Row],[Quantity delivered]]</f>
        <v>0.13448275862068965</v>
      </c>
      <c r="AC3" s="170">
        <f>Delivery[[#This Row],[Quantity delivered]]*Delivery[[#This Row],[Base price (Unidad)]]/60</f>
        <v>73140.476310000013</v>
      </c>
      <c r="AD3" s="171">
        <f>Delivery[[#This Row],[Nespresso total]]-Delivery[[#This Row],[Qt. Delivery * Base Price]]</f>
        <v>873.90368999999191</v>
      </c>
      <c r="AE3" s="171">
        <f>Delivery[[#This Row],[AAA Premium (total)]]/Delivery[[#This Row],[Quantity delivered]]*60/Delivery[[#This Row],[Exchange rate VS USD]]</f>
        <v>7.0005972319596985</v>
      </c>
      <c r="AF3" s="171">
        <f>Delivery[[#This Row],[BEN premium (total)]]/Delivery[[#This Row],[Quantity delivered]]*60/Delivery[[#This Row],[Exchange rate for premiums VS USD]]</f>
        <v>0</v>
      </c>
      <c r="AG3" s="171">
        <f>COUNTIF(Delivery[Delivery ID],Delivery[[#This Row],[Delivery ID]])</f>
        <v>1</v>
      </c>
      <c r="AH3" s="171">
        <f>(Delivery[[#This Row],[Nespresso total]]/SUMIF(Allocation!C:C,Delivery[Delivery ID],Allocation!H:H))/Delivery[[#This Row],[Exchange rate VS USD]]</f>
        <v>41.509769192757638</v>
      </c>
      <c r="AI3" s="171">
        <f>(Delivery[[#This Row],[AAA Premium (total)]]/SUMIF(Allocation!C:C,Delivery[Delivery ID],Allocation!H:H))/Delivery[[#This Row],[Exchange rate VS USD]]</f>
        <v>2.6308939921403622</v>
      </c>
      <c r="AJ3" s="171">
        <f>Delivery[[#This Row],[Valor Prêmio Nespresso AAA por Kg (em US$)]]*60</f>
        <v>157.85363952842172</v>
      </c>
      <c r="AK3" s="171">
        <f>Delivery[[#This Row],[Valor Prêmio Nespresso AAA por saca (em US$)]]/1.3228/100</f>
        <v>1.1933296003055771</v>
      </c>
      <c r="AL3" s="171">
        <f>(Delivery[[#This Row],[BEN premium (total)]]/SUMIF(Allocation!C:C,Delivery[Delivery ID],Allocation!H:H))/Delivery[[#This Row],[Exchange rate for premiums VS USD]]</f>
        <v>0</v>
      </c>
      <c r="AM3" s="171">
        <f>Delivery[[#This Row],[Valor Prêmio Nespresso BEN por Kg (em US$)]]*60</f>
        <v>0</v>
      </c>
      <c r="AN3" s="171">
        <f>Delivery[[#This Row],[Valor Prêmio Nespresso BEN por saca (em US$)]]/1.3228/100</f>
        <v>0</v>
      </c>
      <c r="AO3" s="171">
        <f>SUMIF(Allocation[Delivery ID],Delivery[[#This Row],[Delivery ID]],Allocation[Quantity allocated])*16*1.3228*Delivery[[#This Row],[Exchange rate VS USD]]/60</f>
        <v>628.96822454400001</v>
      </c>
      <c r="AP3" s="171">
        <f>Delivery[[#This Row],[AAA Premium (total)]]</f>
        <v>4691.04</v>
      </c>
      <c r="AQ3" s="171">
        <f>Delivery[[#This Row],[Valor pago pelo Cluster]]-Delivery[[#This Row],[Valor efetivamente pago pela Nespresso]]</f>
        <v>4062.0717754560001</v>
      </c>
    </row>
    <row r="4" spans="1:43" ht="15.75">
      <c r="A4" s="174" t="s">
        <v>69</v>
      </c>
      <c r="B4" s="232" t="s">
        <v>68</v>
      </c>
      <c r="C4" s="157">
        <v>1</v>
      </c>
      <c r="D4" s="157" t="s">
        <v>468</v>
      </c>
      <c r="E4" s="177" t="s">
        <v>468</v>
      </c>
      <c r="F4" s="233" t="s">
        <v>543</v>
      </c>
      <c r="G4" s="234">
        <v>43388</v>
      </c>
      <c r="H4" s="235" t="s">
        <v>2119</v>
      </c>
      <c r="I4" s="236" t="s">
        <v>1662</v>
      </c>
      <c r="J4" s="237">
        <v>10040</v>
      </c>
      <c r="K4" s="175" t="s">
        <v>61</v>
      </c>
      <c r="L4" s="175" t="s">
        <v>439</v>
      </c>
      <c r="M4" s="175" t="s">
        <v>1343</v>
      </c>
      <c r="N4" s="180"/>
      <c r="O4" s="177"/>
      <c r="P4" s="185">
        <v>0</v>
      </c>
      <c r="Q4" s="177">
        <v>43378</v>
      </c>
      <c r="R4" s="178">
        <v>420.34756500000003</v>
      </c>
      <c r="S4" s="179">
        <v>71178.58</v>
      </c>
      <c r="T4" s="182" t="s">
        <v>45</v>
      </c>
      <c r="U4" s="183">
        <v>3.8511000000000002</v>
      </c>
      <c r="V4" s="179">
        <v>4511.3066666666673</v>
      </c>
      <c r="W4" s="179">
        <v>0</v>
      </c>
      <c r="X4" s="186" t="s">
        <v>45</v>
      </c>
      <c r="Y4" s="183">
        <v>3.8511000000000002</v>
      </c>
      <c r="Z4" s="220"/>
      <c r="AA4" s="172">
        <f>Delivery[[#This Row],[Quantity delivered]]*VLOOKUP(Delivery[[#This Row],[Unit]],Tab_Conversão[],4,FALSE)*VLOOKUP(CONCATENATE(Delivery[[#This Row],[Coffee specie]],Delivery[[#This Row],[Coffee state]]),Tab_Conversão[],4,FALSE)</f>
        <v>10040</v>
      </c>
      <c r="AB4" s="169">
        <f>SUMIF(Allocation!C:C,Delivery[[#This Row],[Delivery ID]],Allocation!D:D)/Delivery[[#This Row],[Quantity delivered]]</f>
        <v>0.1342629482071713</v>
      </c>
      <c r="AC4" s="170">
        <f>Delivery[[#This Row],[Quantity delivered]]*Delivery[[#This Row],[Base price (Unidad)]]/60</f>
        <v>70338.159209999998</v>
      </c>
      <c r="AD4" s="171">
        <f>Delivery[[#This Row],[Nespresso total]]-Delivery[[#This Row],[Qt. Delivery * Base Price]]</f>
        <v>840.42079000000376</v>
      </c>
      <c r="AE4" s="171">
        <f>Delivery[[#This Row],[AAA Premium (total)]]/Delivery[[#This Row],[Quantity delivered]]*60/Delivery[[#This Row],[Exchange rate VS USD]]</f>
        <v>7.0005972319597003</v>
      </c>
      <c r="AF4" s="171">
        <f>Delivery[[#This Row],[BEN premium (total)]]/Delivery[[#This Row],[Quantity delivered]]*60/Delivery[[#This Row],[Exchange rate for premiums VS USD]]</f>
        <v>0</v>
      </c>
      <c r="AG4" s="171">
        <f>COUNTIF(Delivery[Delivery ID],Delivery[[#This Row],[Delivery ID]])</f>
        <v>1</v>
      </c>
      <c r="AH4" s="171">
        <f>(Delivery[[#This Row],[Nespresso total]]/SUMIF(Allocation!C:C,Delivery[Delivery ID],Allocation!H:H))/Delivery[[#This Row],[Exchange rate VS USD]]</f>
        <v>41.534072127064825</v>
      </c>
      <c r="AI4" s="171">
        <f>(Delivery[[#This Row],[AAA Premium (total)]]/SUMIF(Allocation!C:C,Delivery[Delivery ID],Allocation!H:H))/Delivery[[#This Row],[Exchange rate VS USD]]</f>
        <v>2.6324343149391534</v>
      </c>
      <c r="AJ4" s="171">
        <f>Delivery[[#This Row],[Valor Prêmio Nespresso AAA por Kg (em US$)]]*60</f>
        <v>157.9460588963492</v>
      </c>
      <c r="AK4" s="171">
        <f>Delivery[[#This Row],[Valor Prêmio Nespresso AAA por saca (em US$)]]/1.3228/100</f>
        <v>1.1940282650162475</v>
      </c>
      <c r="AL4" s="171">
        <f>(Delivery[[#This Row],[BEN premium (total)]]/SUMIF(Allocation!C:C,Delivery[Delivery ID],Allocation!H:H))/Delivery[[#This Row],[Exchange rate for premiums VS USD]]</f>
        <v>0</v>
      </c>
      <c r="AM4" s="171">
        <f>Delivery[[#This Row],[Valor Prêmio Nespresso BEN por Kg (em US$)]]*60</f>
        <v>0</v>
      </c>
      <c r="AN4" s="171">
        <f>Delivery[[#This Row],[Valor Prêmio Nespresso BEN por saca (em US$)]]/1.3228/100</f>
        <v>0</v>
      </c>
      <c r="AO4" s="171">
        <f>SUMIF(Allocation[Delivery ID],Delivery[[#This Row],[Delivery ID]],Allocation[Quantity allocated])*16*1.3228*Delivery[[#This Row],[Exchange rate VS USD]]/60</f>
        <v>604.5158961599999</v>
      </c>
      <c r="AP4" s="171">
        <f>Delivery[[#This Row],[AAA Premium (total)]]</f>
        <v>4511.3066666666673</v>
      </c>
      <c r="AQ4" s="171">
        <f>Delivery[[#This Row],[Valor pago pelo Cluster]]-Delivery[[#This Row],[Valor efetivamente pago pela Nespresso]]</f>
        <v>3906.7907705066673</v>
      </c>
    </row>
    <row r="5" spans="1:43" ht="15.75">
      <c r="A5" s="174" t="s">
        <v>69</v>
      </c>
      <c r="B5" s="232" t="s">
        <v>68</v>
      </c>
      <c r="C5" s="157">
        <v>1</v>
      </c>
      <c r="D5" s="157" t="s">
        <v>468</v>
      </c>
      <c r="E5" s="176" t="s">
        <v>468</v>
      </c>
      <c r="F5" s="233" t="s">
        <v>543</v>
      </c>
      <c r="G5" s="234">
        <v>43388</v>
      </c>
      <c r="H5" s="235" t="s">
        <v>2120</v>
      </c>
      <c r="I5" s="236" t="s">
        <v>1662</v>
      </c>
      <c r="J5" s="237">
        <v>9810</v>
      </c>
      <c r="K5" s="175" t="s">
        <v>472</v>
      </c>
      <c r="L5" s="175" t="s">
        <v>439</v>
      </c>
      <c r="M5" s="175" t="s">
        <v>1343</v>
      </c>
      <c r="N5" s="180"/>
      <c r="O5" s="177"/>
      <c r="P5" s="181">
        <v>0</v>
      </c>
      <c r="Q5" s="177">
        <v>43378</v>
      </c>
      <c r="R5" s="178">
        <v>420.34756500000003</v>
      </c>
      <c r="S5" s="179">
        <v>69547.994999999995</v>
      </c>
      <c r="T5" s="182" t="s">
        <v>45</v>
      </c>
      <c r="U5" s="183">
        <v>3.8511000000000002</v>
      </c>
      <c r="V5" s="179">
        <v>4407.96</v>
      </c>
      <c r="W5" s="179">
        <v>0</v>
      </c>
      <c r="X5" s="184" t="s">
        <v>45</v>
      </c>
      <c r="Y5" s="183">
        <v>3.8511000000000002</v>
      </c>
      <c r="Z5" s="220"/>
      <c r="AA5" s="172">
        <f>Delivery[[#This Row],[Quantity delivered]]*VLOOKUP(Delivery[[#This Row],[Unit]],Tab_Conversão[],4,FALSE)*VLOOKUP(CONCATENATE(Delivery[[#This Row],[Coffee specie]],Delivery[[#This Row],[Coffee state]]),Tab_Conversão[],4,FALSE)</f>
        <v>9810</v>
      </c>
      <c r="AB5" s="169">
        <f>SUMIF(Allocation!C:C,Delivery[[#This Row],[Delivery ID]],Allocation!D:D)/Delivery[[#This Row],[Quantity delivered]]</f>
        <v>0.1347604485219164</v>
      </c>
      <c r="AC5" s="170">
        <f>Delivery[[#This Row],[Quantity delivered]]*Delivery[[#This Row],[Base price (Unidad)]]/60</f>
        <v>68726.826877500003</v>
      </c>
      <c r="AD5" s="171">
        <f>Delivery[[#This Row],[Nespresso total]]-Delivery[[#This Row],[Qt. Delivery * Base Price]]</f>
        <v>821.16812249999202</v>
      </c>
      <c r="AE5" s="171">
        <f>Delivery[[#This Row],[AAA Premium (total)]]/Delivery[[#This Row],[Quantity delivered]]*60/Delivery[[#This Row],[Exchange rate VS USD]]</f>
        <v>7.0005972319596994</v>
      </c>
      <c r="AF5" s="171">
        <f>Delivery[[#This Row],[BEN premium (total)]]/Delivery[[#This Row],[Quantity delivered]]*60/Delivery[[#This Row],[Exchange rate for premiums VS USD]]</f>
        <v>0</v>
      </c>
      <c r="AG5" s="171">
        <f>COUNTIF(Delivery[Delivery ID],Delivery[[#This Row],[Delivery ID]])</f>
        <v>1</v>
      </c>
      <c r="AH5" s="171">
        <f>(Delivery[[#This Row],[Nespresso total]]/SUMIF(Allocation!C:C,Delivery[Delivery ID],Allocation!H:H))/Delivery[[#This Row],[Exchange rate VS USD]]</f>
        <v>41.420308483290484</v>
      </c>
      <c r="AI5" s="171">
        <f>(Delivery[[#This Row],[AAA Premium (total)]]/SUMIF(Allocation!C:C,Delivery[Delivery ID],Allocation!H:H))/Delivery[[#This Row],[Exchange rate VS USD]]</f>
        <v>2.6252239619848869</v>
      </c>
      <c r="AJ5" s="171">
        <f>Delivery[[#This Row],[Valor Prêmio Nespresso AAA por Kg (em US$)]]*60</f>
        <v>157.51343771909322</v>
      </c>
      <c r="AK5" s="171">
        <f>Delivery[[#This Row],[Valor Prêmio Nespresso AAA por saca (em US$)]]/1.3228/100</f>
        <v>1.1907577692704356</v>
      </c>
      <c r="AL5" s="171">
        <f>(Delivery[[#This Row],[BEN premium (total)]]/SUMIF(Allocation!C:C,Delivery[Delivery ID],Allocation!H:H))/Delivery[[#This Row],[Exchange rate for premiums VS USD]]</f>
        <v>0</v>
      </c>
      <c r="AM5" s="171">
        <f>Delivery[[#This Row],[Valor Prêmio Nespresso BEN por Kg (em US$)]]*60</f>
        <v>0</v>
      </c>
      <c r="AN5" s="171">
        <f>Delivery[[#This Row],[Valor Prêmio Nespresso BEN por saca (em US$)]]/1.3228/100</f>
        <v>0</v>
      </c>
      <c r="AO5" s="171">
        <f>SUMIF(Allocation[Delivery ID],Delivery[[#This Row],[Delivery ID]],Allocation[Quantity allocated])*16*1.3228*Delivery[[#This Row],[Exchange rate VS USD]]/60</f>
        <v>592.28973196800007</v>
      </c>
      <c r="AP5" s="171">
        <f>Delivery[[#This Row],[AAA Premium (total)]]</f>
        <v>4407.96</v>
      </c>
      <c r="AQ5" s="171">
        <f>Delivery[[#This Row],[Valor pago pelo Cluster]]-Delivery[[#This Row],[Valor efetivamente pago pela Nespresso]]</f>
        <v>3815.670268032</v>
      </c>
    </row>
    <row r="6" spans="1:43" ht="15.75">
      <c r="A6" s="174" t="s">
        <v>69</v>
      </c>
      <c r="B6" s="232" t="s">
        <v>68</v>
      </c>
      <c r="C6" s="157">
        <v>1</v>
      </c>
      <c r="D6" s="157" t="s">
        <v>468</v>
      </c>
      <c r="E6" s="176" t="s">
        <v>468</v>
      </c>
      <c r="F6" s="233" t="s">
        <v>543</v>
      </c>
      <c r="G6" s="234">
        <v>43388</v>
      </c>
      <c r="H6" s="235" t="s">
        <v>2121</v>
      </c>
      <c r="I6" s="236" t="s">
        <v>1662</v>
      </c>
      <c r="J6" s="237">
        <v>9150</v>
      </c>
      <c r="K6" s="175" t="s">
        <v>472</v>
      </c>
      <c r="L6" s="175" t="s">
        <v>439</v>
      </c>
      <c r="M6" s="175" t="s">
        <v>1343</v>
      </c>
      <c r="N6" s="180"/>
      <c r="O6" s="177"/>
      <c r="P6" s="181">
        <v>0</v>
      </c>
      <c r="Q6" s="177">
        <v>43378</v>
      </c>
      <c r="R6" s="178">
        <v>420.34756500000003</v>
      </c>
      <c r="S6" s="179">
        <v>64868.925000000003</v>
      </c>
      <c r="T6" s="182" t="s">
        <v>45</v>
      </c>
      <c r="U6" s="183">
        <v>3.8511000000000002</v>
      </c>
      <c r="V6" s="179">
        <v>4111.4000000000005</v>
      </c>
      <c r="W6" s="179">
        <v>0</v>
      </c>
      <c r="X6" s="184" t="s">
        <v>45</v>
      </c>
      <c r="Y6" s="183">
        <v>3.8511000000000002</v>
      </c>
      <c r="Z6" s="220"/>
      <c r="AA6" s="172">
        <f>Delivery[[#This Row],[Quantity delivered]]*VLOOKUP(Delivery[[#This Row],[Unit]],Tab_Conversão[],4,FALSE)*VLOOKUP(CONCATENATE(Delivery[[#This Row],[Coffee specie]],Delivery[[#This Row],[Coffee state]]),Tab_Conversão[],4,FALSE)</f>
        <v>9150</v>
      </c>
      <c r="AB6" s="169">
        <f>SUMIF(Allocation!C:C,Delivery[[#This Row],[Delivery ID]],Allocation!D:D)/Delivery[[#This Row],[Quantity delivered]]</f>
        <v>0.13475409836065574</v>
      </c>
      <c r="AC6" s="170">
        <f>Delivery[[#This Row],[Quantity delivered]]*Delivery[[#This Row],[Base price (Unidad)]]/60</f>
        <v>64103.003662499999</v>
      </c>
      <c r="AD6" s="171">
        <f>Delivery[[#This Row],[Nespresso total]]-Delivery[[#This Row],[Qt. Delivery * Base Price]]</f>
        <v>765.92133750000357</v>
      </c>
      <c r="AE6" s="171">
        <f>Delivery[[#This Row],[AAA Premium (total)]]/Delivery[[#This Row],[Quantity delivered]]*60/Delivery[[#This Row],[Exchange rate VS USD]]</f>
        <v>7.0005972319597003</v>
      </c>
      <c r="AF6" s="171">
        <f>Delivery[[#This Row],[BEN premium (total)]]/Delivery[[#This Row],[Quantity delivered]]*60/Delivery[[#This Row],[Exchange rate for premiums VS USD]]</f>
        <v>0</v>
      </c>
      <c r="AG6" s="171">
        <f>COUNTIF(Delivery[Delivery ID],Delivery[[#This Row],[Delivery ID]])</f>
        <v>1</v>
      </c>
      <c r="AH6" s="171">
        <f>(Delivery[[#This Row],[Nespresso total]]/SUMIF(Allocation!C:C,Delivery[Delivery ID],Allocation!H:H))/Delivery[[#This Row],[Exchange rate VS USD]]</f>
        <v>41.386385216719404</v>
      </c>
      <c r="AI6" s="171">
        <f>(Delivery[[#This Row],[AAA Premium (total)]]/SUMIF(Allocation!C:C,Delivery[Delivery ID],Allocation!H:H))/Delivery[[#This Row],[Exchange rate VS USD]]</f>
        <v>2.6230739014099616</v>
      </c>
      <c r="AJ6" s="171">
        <f>Delivery[[#This Row],[Valor Prêmio Nespresso AAA por Kg (em US$)]]*60</f>
        <v>157.3844340845977</v>
      </c>
      <c r="AK6" s="171">
        <f>Delivery[[#This Row],[Valor Prêmio Nespresso AAA por saca (em US$)]]/1.3228/100</f>
        <v>1.1897825376821718</v>
      </c>
      <c r="AL6" s="171">
        <f>(Delivery[[#This Row],[BEN premium (total)]]/SUMIF(Allocation!C:C,Delivery[Delivery ID],Allocation!H:H))/Delivery[[#This Row],[Exchange rate for premiums VS USD]]</f>
        <v>0</v>
      </c>
      <c r="AM6" s="171">
        <f>Delivery[[#This Row],[Valor Prêmio Nespresso BEN por Kg (em US$)]]*60</f>
        <v>0</v>
      </c>
      <c r="AN6" s="171">
        <f>Delivery[[#This Row],[Valor Prêmio Nespresso BEN por saca (em US$)]]/1.3228/100</f>
        <v>0</v>
      </c>
      <c r="AO6" s="171">
        <f>SUMIF(Allocation[Delivery ID],Delivery[[#This Row],[Delivery ID]],Allocation[Quantity allocated])*16*1.3228*Delivery[[#This Row],[Exchange rate VS USD]]/60</f>
        <v>552.89431401600007</v>
      </c>
      <c r="AP6" s="171">
        <f>Delivery[[#This Row],[AAA Premium (total)]]</f>
        <v>4111.4000000000005</v>
      </c>
      <c r="AQ6" s="171">
        <f>Delivery[[#This Row],[Valor pago pelo Cluster]]-Delivery[[#This Row],[Valor efetivamente pago pela Nespresso]]</f>
        <v>3558.5056859840006</v>
      </c>
    </row>
    <row r="7" spans="1:43" ht="15.75">
      <c r="A7" s="174" t="s">
        <v>69</v>
      </c>
      <c r="B7" s="232" t="s">
        <v>68</v>
      </c>
      <c r="C7" s="157">
        <v>1</v>
      </c>
      <c r="D7" s="157" t="s">
        <v>468</v>
      </c>
      <c r="E7" s="176" t="s">
        <v>468</v>
      </c>
      <c r="F7" s="233" t="s">
        <v>543</v>
      </c>
      <c r="G7" s="234">
        <v>43409</v>
      </c>
      <c r="H7" s="235" t="s">
        <v>2122</v>
      </c>
      <c r="I7" s="236" t="s">
        <v>1662</v>
      </c>
      <c r="J7" s="237">
        <v>10250</v>
      </c>
      <c r="K7" s="175" t="s">
        <v>472</v>
      </c>
      <c r="L7" s="175" t="s">
        <v>439</v>
      </c>
      <c r="M7" s="175" t="s">
        <v>1343</v>
      </c>
      <c r="N7" s="180"/>
      <c r="O7" s="177"/>
      <c r="P7" s="181">
        <v>0</v>
      </c>
      <c r="Q7" s="177">
        <v>43403</v>
      </c>
      <c r="R7" s="178">
        <v>424.87950000000001</v>
      </c>
      <c r="S7" s="179">
        <v>71123.041666666672</v>
      </c>
      <c r="T7" s="182" t="s">
        <v>45</v>
      </c>
      <c r="U7" s="183">
        <v>3.7075</v>
      </c>
      <c r="V7" s="179">
        <v>4433.125</v>
      </c>
      <c r="W7" s="179">
        <v>0</v>
      </c>
      <c r="X7" s="184" t="s">
        <v>45</v>
      </c>
      <c r="Y7" s="183">
        <v>3.7075</v>
      </c>
      <c r="Z7" s="220"/>
      <c r="AA7" s="172">
        <f>Delivery[[#This Row],[Quantity delivered]]*VLOOKUP(Delivery[[#This Row],[Unit]],Tab_Conversão[],4,FALSE)*VLOOKUP(CONCATENATE(Delivery[[#This Row],[Coffee specie]],Delivery[[#This Row],[Coffee state]]),Tab_Conversão[],4,FALSE)</f>
        <v>10250</v>
      </c>
      <c r="AB7" s="169">
        <f>SUMIF(Allocation!C:C,Delivery[[#This Row],[Delivery ID]],Allocation!D:D)/Delivery[[#This Row],[Quantity delivered]]</f>
        <v>0.13463414634146342</v>
      </c>
      <c r="AC7" s="170">
        <f>Delivery[[#This Row],[Quantity delivered]]*Delivery[[#This Row],[Base price (Unidad)]]/60</f>
        <v>72583.581250000003</v>
      </c>
      <c r="AD7" s="171">
        <f>Delivery[[#This Row],[Nespresso total]]-Delivery[[#This Row],[Qt. Delivery * Base Price]]</f>
        <v>-1460.5395833333314</v>
      </c>
      <c r="AE7" s="171">
        <f>Delivery[[#This Row],[AAA Premium (total)]]/Delivery[[#This Row],[Quantity delivered]]*60/Delivery[[#This Row],[Exchange rate VS USD]]</f>
        <v>6.999325691166554</v>
      </c>
      <c r="AF7" s="171">
        <f>Delivery[[#This Row],[BEN premium (total)]]/Delivery[[#This Row],[Quantity delivered]]*60/Delivery[[#This Row],[Exchange rate for premiums VS USD]]</f>
        <v>0</v>
      </c>
      <c r="AG7" s="171">
        <f>COUNTIF(Delivery[Delivery ID],Delivery[[#This Row],[Delivery ID]])</f>
        <v>1</v>
      </c>
      <c r="AH7" s="171">
        <f>(Delivery[[#This Row],[Nespresso total]]/SUMIF(Allocation!C:C,Delivery[Delivery ID],Allocation!H:H))/Delivery[[#This Row],[Exchange rate VS USD]]</f>
        <v>42.069206366106322</v>
      </c>
      <c r="AI7" s="171">
        <f>(Delivery[[#This Row],[AAA Premium (total)]]/SUMIF(Allocation!C:C,Delivery[Delivery ID],Allocation!H:H))/Delivery[[#This Row],[Exchange rate VS USD]]</f>
        <v>2.6221889011132014</v>
      </c>
      <c r="AJ7" s="171">
        <f>Delivery[[#This Row],[Valor Prêmio Nespresso AAA por Kg (em US$)]]*60</f>
        <v>157.33133406679207</v>
      </c>
      <c r="AK7" s="171">
        <f>Delivery[[#This Row],[Valor Prêmio Nespresso AAA por saca (em US$)]]/1.3228/100</f>
        <v>1.1893811163198675</v>
      </c>
      <c r="AL7" s="171">
        <f>(Delivery[[#This Row],[BEN premium (total)]]/SUMIF(Allocation!C:C,Delivery[Delivery ID],Allocation!H:H))/Delivery[[#This Row],[Exchange rate for premiums VS USD]]</f>
        <v>0</v>
      </c>
      <c r="AM7" s="171">
        <f>Delivery[[#This Row],[Valor Prêmio Nespresso BEN por Kg (em US$)]]*60</f>
        <v>0</v>
      </c>
      <c r="AN7" s="171">
        <f>Delivery[[#This Row],[Valor Prêmio Nespresso BEN por saca (em US$)]]/1.3228/100</f>
        <v>0</v>
      </c>
      <c r="AO7" s="171">
        <f>SUMIF(Allocation[Delivery ID],Delivery[[#This Row],[Delivery ID]],Allocation[Quantity allocated])*16*1.3228*Delivery[[#This Row],[Exchange rate VS USD]]/60</f>
        <v>596.36056959999996</v>
      </c>
      <c r="AP7" s="171">
        <f>Delivery[[#This Row],[AAA Premium (total)]]</f>
        <v>4433.125</v>
      </c>
      <c r="AQ7" s="171">
        <f>Delivery[[#This Row],[Valor pago pelo Cluster]]-Delivery[[#This Row],[Valor efetivamente pago pela Nespresso]]</f>
        <v>3836.7644304</v>
      </c>
    </row>
    <row r="8" spans="1:43" ht="15.75">
      <c r="A8" s="174" t="s">
        <v>69</v>
      </c>
      <c r="B8" s="232" t="s">
        <v>68</v>
      </c>
      <c r="C8" s="157">
        <v>1</v>
      </c>
      <c r="D8" s="157" t="s">
        <v>468</v>
      </c>
      <c r="E8" s="176" t="s">
        <v>468</v>
      </c>
      <c r="F8" s="233" t="s">
        <v>543</v>
      </c>
      <c r="G8" s="234">
        <v>43388</v>
      </c>
      <c r="H8" s="235" t="s">
        <v>2123</v>
      </c>
      <c r="I8" s="236" t="s">
        <v>1662</v>
      </c>
      <c r="J8" s="237">
        <v>10370</v>
      </c>
      <c r="K8" s="175" t="s">
        <v>472</v>
      </c>
      <c r="L8" s="175" t="s">
        <v>439</v>
      </c>
      <c r="M8" s="175" t="s">
        <v>1343</v>
      </c>
      <c r="N8" s="180" t="s">
        <v>483</v>
      </c>
      <c r="O8" s="177"/>
      <c r="P8" s="181">
        <v>0</v>
      </c>
      <c r="Q8" s="177">
        <v>43378</v>
      </c>
      <c r="R8" s="178">
        <v>420.34756500000003</v>
      </c>
      <c r="S8" s="179">
        <v>73518.115000000005</v>
      </c>
      <c r="T8" s="182" t="s">
        <v>45</v>
      </c>
      <c r="U8" s="183">
        <v>3.8511000000000002</v>
      </c>
      <c r="V8" s="179">
        <v>4659.586666666667</v>
      </c>
      <c r="W8" s="179">
        <v>0</v>
      </c>
      <c r="X8" s="184" t="s">
        <v>45</v>
      </c>
      <c r="Y8" s="183">
        <v>3.8511000000000002</v>
      </c>
      <c r="Z8" s="220"/>
      <c r="AA8" s="172">
        <f>Delivery[[#This Row],[Quantity delivered]]*VLOOKUP(Delivery[[#This Row],[Unit]],Tab_Conversão[],4,FALSE)*VLOOKUP(CONCATENATE(Delivery[[#This Row],[Coffee specie]],Delivery[[#This Row],[Coffee state]]),Tab_Conversão[],4,FALSE)</f>
        <v>10370</v>
      </c>
      <c r="AB8" s="169">
        <f>SUMIF(Allocation!C:C,Delivery[[#This Row],[Delivery ID]],Allocation!D:D)/Delivery[[#This Row],[Quantity delivered]]</f>
        <v>0.13375120540019286</v>
      </c>
      <c r="AC8" s="170">
        <f>Delivery[[#This Row],[Quantity delivered]]*Delivery[[#This Row],[Base price (Unidad)]]/60</f>
        <v>72650.070817500018</v>
      </c>
      <c r="AD8" s="171">
        <f>Delivery[[#This Row],[Nespresso total]]-Delivery[[#This Row],[Qt. Delivery * Base Price]]</f>
        <v>868.04418249998707</v>
      </c>
      <c r="AE8" s="171">
        <f>Delivery[[#This Row],[AAA Premium (total)]]/Delivery[[#This Row],[Quantity delivered]]*60/Delivery[[#This Row],[Exchange rate VS USD]]</f>
        <v>7.0005972319596994</v>
      </c>
      <c r="AF8" s="171">
        <f>Delivery[[#This Row],[BEN premium (total)]]/Delivery[[#This Row],[Quantity delivered]]*60/Delivery[[#This Row],[Exchange rate for premiums VS USD]]</f>
        <v>0</v>
      </c>
      <c r="AG8" s="171">
        <f>COUNTIF(Delivery[Delivery ID],Delivery[[#This Row],[Delivery ID]])</f>
        <v>1</v>
      </c>
      <c r="AH8" s="171">
        <f>(Delivery[[#This Row],[Nespresso total]]/SUMIF(Allocation!C:C,Delivery[Delivery ID],Allocation!H:H))/Delivery[[#This Row],[Exchange rate VS USD]]</f>
        <v>41.681571952617411</v>
      </c>
      <c r="AI8" s="171">
        <f>(Delivery[[#This Row],[AAA Premium (total)]]/SUMIF(Allocation!C:C,Delivery[Delivery ID],Allocation!H:H))/Delivery[[#This Row],[Exchange rate VS USD]]</f>
        <v>2.6417828710124485</v>
      </c>
      <c r="AJ8" s="171">
        <f>Delivery[[#This Row],[Valor Prêmio Nespresso AAA por Kg (em US$)]]*60</f>
        <v>158.50697226074692</v>
      </c>
      <c r="AK8" s="171">
        <f>Delivery[[#This Row],[Valor Prêmio Nespresso AAA por saca (em US$)]]/1.3228/100</f>
        <v>1.1982686140062513</v>
      </c>
      <c r="AL8" s="171">
        <f>(Delivery[[#This Row],[BEN premium (total)]]/SUMIF(Allocation!C:C,Delivery[Delivery ID],Allocation!H:H))/Delivery[[#This Row],[Exchange rate for premiums VS USD]]</f>
        <v>0</v>
      </c>
      <c r="AM8" s="171">
        <f>Delivery[[#This Row],[Valor Prêmio Nespresso BEN por Kg (em US$)]]*60</f>
        <v>0</v>
      </c>
      <c r="AN8" s="171">
        <f>Delivery[[#This Row],[Valor Prêmio Nespresso BEN por saca (em US$)]]/1.3228/100</f>
        <v>0</v>
      </c>
      <c r="AO8" s="171">
        <f>SUMIF(Allocation[Delivery ID],Delivery[[#This Row],[Delivery ID]],Allocation[Quantity allocated])*16*1.3228*Delivery[[#This Row],[Exchange rate VS USD]]/60</f>
        <v>622.17591110399997</v>
      </c>
      <c r="AP8" s="171">
        <f>Delivery[[#This Row],[AAA Premium (total)]]</f>
        <v>4659.586666666667</v>
      </c>
      <c r="AQ8" s="171">
        <f>Delivery[[#This Row],[Valor pago pelo Cluster]]-Delivery[[#This Row],[Valor efetivamente pago pela Nespresso]]</f>
        <v>4037.410755562667</v>
      </c>
    </row>
    <row r="9" spans="1:43" ht="15.75">
      <c r="A9" s="174" t="s">
        <v>69</v>
      </c>
      <c r="B9" s="232" t="s">
        <v>68</v>
      </c>
      <c r="C9" s="157">
        <v>1</v>
      </c>
      <c r="D9" s="157" t="s">
        <v>468</v>
      </c>
      <c r="E9" s="176" t="s">
        <v>468</v>
      </c>
      <c r="F9" s="233" t="s">
        <v>469</v>
      </c>
      <c r="G9" s="234">
        <v>42618</v>
      </c>
      <c r="H9" s="235" t="s">
        <v>470</v>
      </c>
      <c r="I9" s="157" t="s">
        <v>471</v>
      </c>
      <c r="J9" s="237">
        <v>10740</v>
      </c>
      <c r="K9" s="175" t="s">
        <v>472</v>
      </c>
      <c r="L9" s="175" t="s">
        <v>439</v>
      </c>
      <c r="M9" s="175" t="s">
        <v>1343</v>
      </c>
      <c r="N9" s="180"/>
      <c r="O9" s="177"/>
      <c r="P9" s="181">
        <v>0</v>
      </c>
      <c r="Q9" s="177">
        <v>42614</v>
      </c>
      <c r="R9" s="178">
        <v>490.54221000000001</v>
      </c>
      <c r="S9" s="179">
        <v>87361.608864216716</v>
      </c>
      <c r="T9" s="182" t="s">
        <v>45</v>
      </c>
      <c r="U9" s="183">
        <v>3.2454000000000001</v>
      </c>
      <c r="V9" s="179">
        <v>4066.4862000000003</v>
      </c>
      <c r="W9" s="179">
        <v>1271.4655678916401</v>
      </c>
      <c r="X9" s="184" t="s">
        <v>45</v>
      </c>
      <c r="Y9" s="183">
        <v>3.2454000000000001</v>
      </c>
      <c r="Z9" s="220" t="s">
        <v>473</v>
      </c>
      <c r="AA9" s="172">
        <f>Delivery[[#This Row],[Quantity delivered]]*VLOOKUP(Delivery[[#This Row],[Unit]],Tab_Conversão[],4,FALSE)*VLOOKUP(CONCATENATE(Delivery[[#This Row],[Coffee specie]],Delivery[[#This Row],[Coffee state]]),Tab_Conversão[],4,FALSE)</f>
        <v>10740</v>
      </c>
      <c r="AB9" s="169">
        <f>SUMIF(Allocation!C:C,Delivery[[#This Row],[Delivery ID]],Allocation!D:D)/Delivery[[#This Row],[Quantity delivered]]</f>
        <v>6.6573556797020483E-2</v>
      </c>
      <c r="AC9" s="170">
        <f>Delivery[[#This Row],[Quantity delivered]]*Delivery[[#This Row],[Base price (Unidad)]]/60</f>
        <v>87807.055590000004</v>
      </c>
      <c r="AD9" s="171">
        <f>Delivery[[#This Row],[Nespresso total]]-Delivery[[#This Row],[Qt. Delivery * Base Price]]</f>
        <v>-445.44672578328755</v>
      </c>
      <c r="AE9" s="171">
        <f>Delivery[[#This Row],[AAA Premium (total)]]/Delivery[[#This Row],[Quantity delivered]]*60/Delivery[[#This Row],[Exchange rate VS USD]]</f>
        <v>7</v>
      </c>
      <c r="AF9" s="171">
        <f>Delivery[[#This Row],[BEN premium (total)]]/Delivery[[#This Row],[Quantity delivered]]*60/Delivery[[#This Row],[Exchange rate for premiums VS USD]]</f>
        <v>2.1886854000000002</v>
      </c>
      <c r="AG9" s="171">
        <f>COUNTIF(Delivery[Delivery ID],Delivery[[#This Row],[Delivery ID]])</f>
        <v>1</v>
      </c>
      <c r="AH9" s="171">
        <f>(Delivery[[#This Row],[Nespresso total]]/SUMIF(Allocation!C:C,Delivery[Delivery ID],Allocation!H:H))/Delivery[[#This Row],[Exchange rate VS USD]]</f>
        <v>114.06184407058636</v>
      </c>
      <c r="AI9" s="171">
        <f>(Delivery[[#This Row],[AAA Premium (total)]]/SUMIF(Allocation!C:C,Delivery[Delivery ID],Allocation!H:H))/Delivery[[#This Row],[Exchange rate VS USD]]</f>
        <v>5.3093220338983054</v>
      </c>
      <c r="AJ9" s="171">
        <f>Delivery[[#This Row],[Valor Prêmio Nespresso AAA por Kg (em US$)]]*60</f>
        <v>318.5593220338983</v>
      </c>
      <c r="AK9" s="171">
        <f>Delivery[[#This Row],[Valor Prêmio Nespresso AAA por saca (em US$)]]/1.3228/100</f>
        <v>2.4082198520857143</v>
      </c>
      <c r="AL9" s="171">
        <f>(Delivery[[#This Row],[BEN premium (total)]]/SUMIF(Allocation!C:C,Delivery[Delivery ID],Allocation!H:H))/Delivery[[#This Row],[Exchange rate for premiums VS USD]]</f>
        <v>1.6600622313559323</v>
      </c>
      <c r="AM9" s="171">
        <f>Delivery[[#This Row],[Valor Prêmio Nespresso BEN por Kg (em US$)]]*60</f>
        <v>99.603733881355936</v>
      </c>
      <c r="AN9" s="171">
        <f>Delivery[[#This Row],[Valor Prêmio Nespresso BEN por saca (em US$)]]/1.3228/100</f>
        <v>0.75297651860716608</v>
      </c>
      <c r="AO9" s="171">
        <f>SUMIF(Allocation[Delivery ID],Delivery[[#This Row],[Delivery ID]],Allocation[Quantity allocated])*16*1.3228*Delivery[[#This Row],[Exchange rate VS USD]]/60</f>
        <v>270.173751552</v>
      </c>
      <c r="AP9" s="171">
        <f>Delivery[[#This Row],[AAA Premium (total)]]</f>
        <v>4066.4862000000003</v>
      </c>
      <c r="AQ9" s="171">
        <f>Delivery[[#This Row],[Valor pago pelo Cluster]]-Delivery[[#This Row],[Valor efetivamente pago pela Nespresso]]</f>
        <v>3796.3124484480004</v>
      </c>
    </row>
    <row r="10" spans="1:43" ht="15.75">
      <c r="A10" s="174" t="s">
        <v>69</v>
      </c>
      <c r="B10" s="232" t="s">
        <v>68</v>
      </c>
      <c r="C10" s="157">
        <v>1</v>
      </c>
      <c r="D10" s="157" t="s">
        <v>468</v>
      </c>
      <c r="E10" s="177" t="s">
        <v>468</v>
      </c>
      <c r="F10" s="233" t="s">
        <v>469</v>
      </c>
      <c r="G10" s="234">
        <v>42629</v>
      </c>
      <c r="H10" s="235" t="s">
        <v>474</v>
      </c>
      <c r="I10" s="157" t="s">
        <v>475</v>
      </c>
      <c r="J10" s="237">
        <v>41880</v>
      </c>
      <c r="K10" s="175" t="s">
        <v>472</v>
      </c>
      <c r="L10" s="175" t="s">
        <v>439</v>
      </c>
      <c r="M10" s="175" t="s">
        <v>1343</v>
      </c>
      <c r="N10" s="180"/>
      <c r="O10" s="177"/>
      <c r="P10" s="181">
        <v>0</v>
      </c>
      <c r="Q10" s="177">
        <v>42142</v>
      </c>
      <c r="R10" s="178">
        <v>549.86503500000003</v>
      </c>
      <c r="S10" s="179">
        <v>318189.21243990742</v>
      </c>
      <c r="T10" s="182" t="s">
        <v>45</v>
      </c>
      <c r="U10" s="183">
        <v>3.4659</v>
      </c>
      <c r="V10" s="179">
        <v>16934.3874</v>
      </c>
      <c r="W10" s="179">
        <v>5294.8637800462802</v>
      </c>
      <c r="X10" s="184" t="s">
        <v>45</v>
      </c>
      <c r="Y10" s="183">
        <v>3.4659</v>
      </c>
      <c r="Z10" s="220" t="s">
        <v>473</v>
      </c>
      <c r="AA10" s="172">
        <f>Delivery[[#This Row],[Quantity delivered]]*VLOOKUP(Delivery[[#This Row],[Unit]],Tab_Conversão[],4,FALSE)*VLOOKUP(CONCATENATE(Delivery[[#This Row],[Coffee specie]],Delivery[[#This Row],[Coffee state]]),Tab_Conversão[],4,FALSE)</f>
        <v>41880</v>
      </c>
      <c r="AB10" s="169">
        <f>SUMIF(Allocation!C:C,Delivery[[#This Row],[Delivery ID]],Allocation!D:D)/Delivery[[#This Row],[Quantity delivered]]</f>
        <v>4.2741165234001909E-3</v>
      </c>
      <c r="AC10" s="170">
        <f>Delivery[[#This Row],[Quantity delivered]]*Delivery[[#This Row],[Base price (Unidad)]]/60</f>
        <v>383805.79443000001</v>
      </c>
      <c r="AD10" s="171">
        <f>Delivery[[#This Row],[Nespresso total]]-Delivery[[#This Row],[Qt. Delivery * Base Price]]</f>
        <v>-65616.581990092585</v>
      </c>
      <c r="AE10" s="171">
        <f>Delivery[[#This Row],[AAA Premium (total)]]/Delivery[[#This Row],[Quantity delivered]]*60/Delivery[[#This Row],[Exchange rate VS USD]]</f>
        <v>7</v>
      </c>
      <c r="AF10" s="171">
        <f>Delivery[[#This Row],[BEN premium (total)]]/Delivery[[#This Row],[Quantity delivered]]*60/Delivery[[#This Row],[Exchange rate for premiums VS USD]]</f>
        <v>2.1886854000000002</v>
      </c>
      <c r="AG10" s="171">
        <f>COUNTIF(Delivery[Delivery ID],Delivery[[#This Row],[Delivery ID]])</f>
        <v>1</v>
      </c>
      <c r="AH10" s="171">
        <f>(Delivery[[#This Row],[Nespresso total]]/SUMIF(Allocation!C:C,Delivery[Delivery ID],Allocation!H:H))/Delivery[[#This Row],[Exchange rate VS USD]]</f>
        <v>1556.0280155173207</v>
      </c>
      <c r="AI10" s="171">
        <f>(Delivery[[#This Row],[AAA Premium (total)]]/SUMIF(Allocation!C:C,Delivery[Delivery ID],Allocation!H:H))/Delivery[[#This Row],[Exchange rate VS USD]]</f>
        <v>82.813559322033896</v>
      </c>
      <c r="AJ10" s="171">
        <f>Delivery[[#This Row],[Valor Prêmio Nespresso AAA por Kg (em US$)]]*60</f>
        <v>4968.8135593220341</v>
      </c>
      <c r="AK10" s="171">
        <f>Delivery[[#This Row],[Valor Prêmio Nespresso AAA por saca (em US$)]]/1.3228/100</f>
        <v>37.562848195660976</v>
      </c>
      <c r="AL10" s="171">
        <f>(Delivery[[#This Row],[BEN premium (total)]]/SUMIF(Allocation!C:C,Delivery[Delivery ID],Allocation!H:H))/Delivery[[#This Row],[Exchange rate for premiums VS USD]]</f>
        <v>25.89326117288136</v>
      </c>
      <c r="AM10" s="171">
        <f>Delivery[[#This Row],[Valor Prêmio Nespresso BEN por Kg (em US$)]]*60</f>
        <v>1553.5956703728816</v>
      </c>
      <c r="AN10" s="171">
        <f>Delivery[[#This Row],[Valor Prêmio Nespresso BEN por saca (em US$)]]/1.3228/100</f>
        <v>11.744751061179933</v>
      </c>
      <c r="AO10" s="171">
        <f>SUMIF(Allocation[Delivery ID],Delivery[[#This Row],[Delivery ID]],Allocation[Quantity allocated])*16*1.3228*Delivery[[#This Row],[Exchange rate VS USD]]/60</f>
        <v>72.132495648000003</v>
      </c>
      <c r="AP10" s="171">
        <f>Delivery[[#This Row],[AAA Premium (total)]]</f>
        <v>16934.3874</v>
      </c>
      <c r="AQ10" s="171">
        <f>Delivery[[#This Row],[Valor pago pelo Cluster]]-Delivery[[#This Row],[Valor efetivamente pago pela Nespresso]]</f>
        <v>16862.254904352001</v>
      </c>
    </row>
    <row r="11" spans="1:43" ht="15.75">
      <c r="A11" s="174" t="s">
        <v>69</v>
      </c>
      <c r="B11" s="232" t="s">
        <v>68</v>
      </c>
      <c r="C11" s="157">
        <v>1</v>
      </c>
      <c r="D11" s="157" t="s">
        <v>468</v>
      </c>
      <c r="E11" s="176" t="s">
        <v>468</v>
      </c>
      <c r="F11" s="233" t="s">
        <v>469</v>
      </c>
      <c r="G11" s="234">
        <v>42628</v>
      </c>
      <c r="H11" s="157" t="s">
        <v>476</v>
      </c>
      <c r="I11" s="157" t="s">
        <v>477</v>
      </c>
      <c r="J11" s="237">
        <v>16140</v>
      </c>
      <c r="K11" s="175" t="s">
        <v>472</v>
      </c>
      <c r="L11" s="175" t="s">
        <v>439</v>
      </c>
      <c r="M11" s="175" t="s">
        <v>1343</v>
      </c>
      <c r="N11" s="180"/>
      <c r="O11" s="177"/>
      <c r="P11" s="181">
        <v>0</v>
      </c>
      <c r="Q11" s="177">
        <v>42625</v>
      </c>
      <c r="R11" s="178">
        <v>488.68627499999997</v>
      </c>
      <c r="S11" s="179">
        <v>136496.54411388512</v>
      </c>
      <c r="T11" s="182" t="s">
        <v>45</v>
      </c>
      <c r="U11" s="183">
        <v>3.2416999999999998</v>
      </c>
      <c r="V11" s="179">
        <v>6104.1210999999994</v>
      </c>
      <c r="W11" s="179">
        <v>1908.5715330574199</v>
      </c>
      <c r="X11" s="184" t="s">
        <v>45</v>
      </c>
      <c r="Y11" s="183">
        <v>3.2416999999999998</v>
      </c>
      <c r="Z11" s="220" t="s">
        <v>473</v>
      </c>
      <c r="AA11" s="172">
        <f>Delivery[[#This Row],[Quantity delivered]]*VLOOKUP(Delivery[[#This Row],[Unit]],Tab_Conversão[],4,FALSE)*VLOOKUP(CONCATENATE(Delivery[[#This Row],[Coffee specie]],Delivery[[#This Row],[Coffee state]]),Tab_Conversão[],4,FALSE)</f>
        <v>16140</v>
      </c>
      <c r="AB11" s="169">
        <f>SUMIF(Allocation!C:C,Delivery[[#This Row],[Delivery ID]],Allocation!D:D)/Delivery[[#This Row],[Quantity delivered]]</f>
        <v>0.55966542750929371</v>
      </c>
      <c r="AC11" s="170">
        <f>Delivery[[#This Row],[Quantity delivered]]*Delivery[[#This Row],[Base price (Unidad)]]/60</f>
        <v>131456.60797499999</v>
      </c>
      <c r="AD11" s="171">
        <f>Delivery[[#This Row],[Nespresso total]]-Delivery[[#This Row],[Qt. Delivery * Base Price]]</f>
        <v>5039.9361388851248</v>
      </c>
      <c r="AE11" s="171">
        <f>Delivery[[#This Row],[AAA Premium (total)]]/Delivery[[#This Row],[Quantity delivered]]*60/Delivery[[#This Row],[Exchange rate VS USD]]</f>
        <v>6.9999999999999991</v>
      </c>
      <c r="AF11" s="171">
        <f>Delivery[[#This Row],[BEN premium (total)]]/Delivery[[#This Row],[Quantity delivered]]*60/Delivery[[#This Row],[Exchange rate for premiums VS USD]]</f>
        <v>2.1886853999999998</v>
      </c>
      <c r="AG11" s="171">
        <f>COUNTIF(Delivery[Delivery ID],Delivery[[#This Row],[Delivery ID]])</f>
        <v>1</v>
      </c>
      <c r="AH11" s="171">
        <f>(Delivery[[#This Row],[Nespresso total]]/SUMIF(Allocation!C:C,Delivery[Delivery ID],Allocation!H:H))/Delivery[[#This Row],[Exchange rate VS USD]]</f>
        <v>14.124948036610467</v>
      </c>
      <c r="AI11" s="171">
        <f>(Delivery[[#This Row],[AAA Premium (total)]]/SUMIF(Allocation!C:C,Delivery[Delivery ID],Allocation!H:H))/Delivery[[#This Row],[Exchange rate VS USD]]</f>
        <v>0.63166722576316681</v>
      </c>
      <c r="AJ11" s="171">
        <f>Delivery[[#This Row],[Valor Prêmio Nespresso AAA por Kg (em US$)]]*60</f>
        <v>37.900033545790009</v>
      </c>
      <c r="AK11" s="171">
        <f>Delivery[[#This Row],[Valor Prêmio Nespresso AAA por saca (em US$)]]/1.3228/100</f>
        <v>0.28651370990164809</v>
      </c>
      <c r="AL11" s="171">
        <f>(Delivery[[#This Row],[BEN premium (total)]]/SUMIF(Allocation!C:C,Delivery[Delivery ID],Allocation!H:H))/Delivery[[#This Row],[Exchange rate for premiums VS USD]]</f>
        <v>0.19750297638376382</v>
      </c>
      <c r="AM11" s="171">
        <f>Delivery[[#This Row],[Valor Prêmio Nespresso BEN por Kg (em US$)]]*60</f>
        <v>11.85017858302583</v>
      </c>
      <c r="AN11" s="171">
        <f>Delivery[[#This Row],[Valor Prêmio Nespresso BEN por saca (em US$)]]/1.3228/100</f>
        <v>8.9584053394510352E-2</v>
      </c>
      <c r="AO11" s="171">
        <f>SUMIF(Allocation[Delivery ID],Delivery[[#This Row],[Delivery ID]],Allocation[Quantity allocated])*16*1.3228*Delivery[[#This Row],[Exchange rate VS USD]]/60</f>
        <v>3408.7701294826666</v>
      </c>
      <c r="AP11" s="171">
        <f>Delivery[[#This Row],[AAA Premium (total)]]</f>
        <v>6104.1210999999994</v>
      </c>
      <c r="AQ11" s="171">
        <f>Delivery[[#This Row],[Valor pago pelo Cluster]]-Delivery[[#This Row],[Valor efetivamente pago pela Nespresso]]</f>
        <v>2695.3509705173328</v>
      </c>
    </row>
    <row r="12" spans="1:43" ht="15.75">
      <c r="A12" s="174" t="s">
        <v>69</v>
      </c>
      <c r="B12" s="232" t="s">
        <v>68</v>
      </c>
      <c r="C12" s="157">
        <v>1</v>
      </c>
      <c r="D12" s="157" t="s">
        <v>468</v>
      </c>
      <c r="E12" s="176" t="s">
        <v>468</v>
      </c>
      <c r="F12" s="233" t="s">
        <v>469</v>
      </c>
      <c r="G12" s="234">
        <v>42627</v>
      </c>
      <c r="H12" s="235" t="s">
        <v>478</v>
      </c>
      <c r="I12" s="157" t="s">
        <v>477</v>
      </c>
      <c r="J12" s="237">
        <v>14100</v>
      </c>
      <c r="K12" s="175" t="s">
        <v>472</v>
      </c>
      <c r="L12" s="175" t="s">
        <v>439</v>
      </c>
      <c r="M12" s="175" t="s">
        <v>1343</v>
      </c>
      <c r="N12" s="180"/>
      <c r="O12" s="177"/>
      <c r="P12" s="181">
        <v>0</v>
      </c>
      <c r="Q12" s="177">
        <v>42625</v>
      </c>
      <c r="R12" s="178">
        <v>488.68627499999997</v>
      </c>
      <c r="S12" s="179">
        <v>119354.1211132454</v>
      </c>
      <c r="T12" s="182" t="s">
        <v>45</v>
      </c>
      <c r="U12" s="183">
        <v>3.2416999999999998</v>
      </c>
      <c r="V12" s="179">
        <v>5332.5964999999997</v>
      </c>
      <c r="W12" s="179">
        <v>1667.3394433773001</v>
      </c>
      <c r="X12" s="184" t="s">
        <v>45</v>
      </c>
      <c r="Y12" s="183">
        <v>3.2416999999999998</v>
      </c>
      <c r="Z12" s="220" t="s">
        <v>473</v>
      </c>
      <c r="AA12" s="172">
        <f>Delivery[[#This Row],[Quantity delivered]]*VLOOKUP(Delivery[[#This Row],[Unit]],Tab_Conversão[],4,FALSE)*VLOOKUP(CONCATENATE(Delivery[[#This Row],[Coffee specie]],Delivery[[#This Row],[Coffee state]]),Tab_Conversão[],4,FALSE)</f>
        <v>14100</v>
      </c>
      <c r="AB12" s="169">
        <f>SUMIF(Allocation!C:C,Delivery[[#This Row],[Delivery ID]],Allocation!D:D)/Delivery[[#This Row],[Quantity delivered]]</f>
        <v>7.0921985815602836E-5</v>
      </c>
      <c r="AC12" s="170">
        <f>Delivery[[#This Row],[Quantity delivered]]*Delivery[[#This Row],[Base price (Unidad)]]/60</f>
        <v>114841.27462499999</v>
      </c>
      <c r="AD12" s="171">
        <f>Delivery[[#This Row],[Nespresso total]]-Delivery[[#This Row],[Qt. Delivery * Base Price]]</f>
        <v>4512.8464882454136</v>
      </c>
      <c r="AE12" s="171">
        <f>Delivery[[#This Row],[AAA Premium (total)]]/Delivery[[#This Row],[Quantity delivered]]*60/Delivery[[#This Row],[Exchange rate VS USD]]</f>
        <v>6.9999999999999991</v>
      </c>
      <c r="AF12" s="171">
        <f>Delivery[[#This Row],[BEN premium (total)]]/Delivery[[#This Row],[Quantity delivered]]*60/Delivery[[#This Row],[Exchange rate for premiums VS USD]]</f>
        <v>2.1886854000000002</v>
      </c>
      <c r="AG12" s="171">
        <f>COUNTIF(Delivery[Delivery ID],Delivery[[#This Row],[Delivery ID]])</f>
        <v>1</v>
      </c>
      <c r="AH12" s="171">
        <f>(Delivery[[#This Row],[Nespresso total]]/SUMIF(Allocation!C:C,Delivery[Delivery ID],Allocation!H:H))/Delivery[[#This Row],[Exchange rate VS USD]]</f>
        <v>111570.82854324041</v>
      </c>
      <c r="AI12" s="171">
        <f>(Delivery[[#This Row],[AAA Premium (total)]]/SUMIF(Allocation!C:C,Delivery[Delivery ID],Allocation!H:H))/Delivery[[#This Row],[Exchange rate VS USD]]</f>
        <v>4984.848484848485</v>
      </c>
      <c r="AJ12" s="171">
        <f>Delivery[[#This Row],[Valor Prêmio Nespresso AAA por Kg (em US$)]]*60</f>
        <v>299090.90909090912</v>
      </c>
      <c r="AK12" s="171">
        <f>Delivery[[#This Row],[Valor Prêmio Nespresso AAA por saca (em US$)]]/1.3228/100</f>
        <v>2261.0440663056329</v>
      </c>
      <c r="AL12" s="171">
        <f>(Delivery[[#This Row],[BEN premium (total)]]/SUMIF(Allocation!C:C,Delivery[Delivery ID],Allocation!H:H))/Delivery[[#This Row],[Exchange rate for premiums VS USD]]</f>
        <v>1558.6093000000001</v>
      </c>
      <c r="AM12" s="171">
        <f>Delivery[[#This Row],[Valor Prêmio Nespresso BEN por Kg (em US$)]]*60</f>
        <v>93516.558000000005</v>
      </c>
      <c r="AN12" s="171">
        <f>Delivery[[#This Row],[Valor Prêmio Nespresso BEN por saca (em US$)]]/1.3228/100</f>
        <v>706.95916238282427</v>
      </c>
      <c r="AO12" s="171">
        <f>SUMIF(Allocation[Delivery ID],Delivery[[#This Row],[Delivery ID]],Allocation[Quantity allocated])*16*1.3228*Delivery[[#This Row],[Exchange rate VS USD]]/60</f>
        <v>0.37735462687999999</v>
      </c>
      <c r="AP12" s="171">
        <f>Delivery[[#This Row],[AAA Premium (total)]]</f>
        <v>5332.5964999999997</v>
      </c>
      <c r="AQ12" s="171">
        <f>Delivery[[#This Row],[Valor pago pelo Cluster]]-Delivery[[#This Row],[Valor efetivamente pago pela Nespresso]]</f>
        <v>5332.2191453731193</v>
      </c>
    </row>
    <row r="13" spans="1:43" ht="15.75">
      <c r="A13" s="174" t="s">
        <v>69</v>
      </c>
      <c r="B13" s="232" t="s">
        <v>68</v>
      </c>
      <c r="C13" s="157">
        <v>1</v>
      </c>
      <c r="D13" s="157" t="s">
        <v>468</v>
      </c>
      <c r="E13" s="177" t="s">
        <v>468</v>
      </c>
      <c r="F13" s="233" t="s">
        <v>469</v>
      </c>
      <c r="G13" s="234">
        <v>42635</v>
      </c>
      <c r="H13" s="235" t="s">
        <v>479</v>
      </c>
      <c r="I13" s="157" t="s">
        <v>480</v>
      </c>
      <c r="J13" s="237">
        <v>20160</v>
      </c>
      <c r="K13" s="175" t="s">
        <v>61</v>
      </c>
      <c r="L13" s="175" t="s">
        <v>439</v>
      </c>
      <c r="M13" s="175" t="s">
        <v>1343</v>
      </c>
      <c r="N13" s="180"/>
      <c r="O13" s="177"/>
      <c r="P13" s="181">
        <v>0</v>
      </c>
      <c r="Q13" s="177">
        <v>42153</v>
      </c>
      <c r="R13" s="178">
        <v>524.14001369476318</v>
      </c>
      <c r="S13" s="179">
        <v>152470.95231061391</v>
      </c>
      <c r="T13" s="182" t="s">
        <v>45</v>
      </c>
      <c r="U13" s="183">
        <v>3.6500000953674316</v>
      </c>
      <c r="V13" s="179">
        <v>8584.8002243041992</v>
      </c>
      <c r="W13" s="179">
        <v>2684.2038446930464</v>
      </c>
      <c r="X13" s="184" t="s">
        <v>45</v>
      </c>
      <c r="Y13" s="183">
        <v>3.6500000953674316</v>
      </c>
      <c r="Z13" s="220" t="s">
        <v>473</v>
      </c>
      <c r="AA13" s="172">
        <f>Delivery[[#This Row],[Quantity delivered]]*VLOOKUP(Delivery[[#This Row],[Unit]],Tab_Conversão[],4,FALSE)*VLOOKUP(CONCATENATE(Delivery[[#This Row],[Coffee specie]],Delivery[[#This Row],[Coffee state]]),Tab_Conversão[],4,FALSE)</f>
        <v>20160</v>
      </c>
      <c r="AB13" s="169">
        <f>SUMIF(Allocation!C:C,Delivery[[#This Row],[Delivery ID]],Allocation!D:D)/Delivery[[#This Row],[Quantity delivered]]</f>
        <v>8.8789682539682536E-3</v>
      </c>
      <c r="AC13" s="170">
        <f>Delivery[[#This Row],[Quantity delivered]]*Delivery[[#This Row],[Base price (Unidad)]]/60</f>
        <v>176111.04460144043</v>
      </c>
      <c r="AD13" s="171">
        <f>Delivery[[#This Row],[Nespresso total]]-Delivery[[#This Row],[Qt. Delivery * Base Price]]</f>
        <v>-23640.09229082652</v>
      </c>
      <c r="AE13" s="171">
        <f>Delivery[[#This Row],[AAA Premium (total)]]/Delivery[[#This Row],[Quantity delivered]]*60/Delivery[[#This Row],[Exchange rate VS USD]]</f>
        <v>7</v>
      </c>
      <c r="AF13" s="171">
        <f>Delivery[[#This Row],[BEN premium (total)]]/Delivery[[#This Row],[Quantity delivered]]*60/Delivery[[#This Row],[Exchange rate for premiums VS USD]]</f>
        <v>2.1886853999999998</v>
      </c>
      <c r="AG13" s="171">
        <f>COUNTIF(Delivery[Delivery ID],Delivery[[#This Row],[Delivery ID]])</f>
        <v>1</v>
      </c>
      <c r="AH13" s="171">
        <f>(Delivery[[#This Row],[Nespresso total]]/SUMIF(Allocation!C:C,Delivery[Delivery ID],Allocation!H:H))/Delivery[[#This Row],[Exchange rate VS USD]]</f>
        <v>708.01461958134803</v>
      </c>
      <c r="AI13" s="171">
        <f>(Delivery[[#This Row],[AAA Premium (total)]]/SUMIF(Allocation!C:C,Delivery[Delivery ID],Allocation!H:H))/Delivery[[#This Row],[Exchange rate VS USD]]</f>
        <v>39.864406779661017</v>
      </c>
      <c r="AJ13" s="171">
        <f>Delivery[[#This Row],[Valor Prêmio Nespresso AAA por Kg (em US$)]]*60</f>
        <v>2391.8644067796608</v>
      </c>
      <c r="AK13" s="171">
        <f>Delivery[[#This Row],[Valor Prêmio Nespresso AAA por saca (em US$)]]/1.3228/100</f>
        <v>18.081829503928489</v>
      </c>
      <c r="AL13" s="171">
        <f>(Delivery[[#This Row],[BEN premium (total)]]/SUMIF(Allocation!C:C,Delivery[Delivery ID],Allocation!H:H))/Delivery[[#This Row],[Exchange rate for premiums VS USD]]</f>
        <v>12.464377871186439</v>
      </c>
      <c r="AM13" s="171">
        <f>Delivery[[#This Row],[Valor Prêmio Nespresso BEN por Kg (em US$)]]*60</f>
        <v>747.8626722711864</v>
      </c>
      <c r="AN13" s="171">
        <f>Delivery[[#This Row],[Valor Prêmio Nespresso BEN por saca (em US$)]]/1.3228/100</f>
        <v>5.6536337486482191</v>
      </c>
      <c r="AO13" s="171">
        <f>SUMIF(Allocation[Delivery ID],Delivery[[#This Row],[Delivery ID]],Allocation[Quantity allocated])*16*1.3228*Delivery[[#This Row],[Exchange rate VS USD]]/60</f>
        <v>75.963996651458729</v>
      </c>
      <c r="AP13" s="171">
        <f>Delivery[[#This Row],[AAA Premium (total)]]</f>
        <v>8584.8002243041992</v>
      </c>
      <c r="AQ13" s="171">
        <f>Delivery[[#This Row],[Valor pago pelo Cluster]]-Delivery[[#This Row],[Valor efetivamente pago pela Nespresso]]</f>
        <v>8508.8362276527405</v>
      </c>
    </row>
    <row r="14" spans="1:43" ht="15.75">
      <c r="A14" s="174" t="s">
        <v>69</v>
      </c>
      <c r="B14" s="232" t="s">
        <v>68</v>
      </c>
      <c r="C14" s="157">
        <v>1</v>
      </c>
      <c r="D14" s="157" t="s">
        <v>468</v>
      </c>
      <c r="E14" s="176" t="s">
        <v>468</v>
      </c>
      <c r="F14" s="233" t="s">
        <v>469</v>
      </c>
      <c r="G14" s="234">
        <v>42643</v>
      </c>
      <c r="H14" s="235" t="s">
        <v>481</v>
      </c>
      <c r="I14" s="157" t="s">
        <v>480</v>
      </c>
      <c r="J14" s="237">
        <v>19560</v>
      </c>
      <c r="K14" s="175" t="s">
        <v>472</v>
      </c>
      <c r="L14" s="175" t="s">
        <v>439</v>
      </c>
      <c r="M14" s="175" t="s">
        <v>1343</v>
      </c>
      <c r="N14" s="180" t="s">
        <v>483</v>
      </c>
      <c r="O14" s="177"/>
      <c r="P14" s="181">
        <v>0</v>
      </c>
      <c r="Q14" s="177">
        <v>42153</v>
      </c>
      <c r="R14" s="178">
        <v>524.14001369476318</v>
      </c>
      <c r="S14" s="179">
        <v>147933.1263489885</v>
      </c>
      <c r="T14" s="182" t="s">
        <v>45</v>
      </c>
      <c r="U14" s="183">
        <v>3.6500000953674316</v>
      </c>
      <c r="V14" s="179">
        <v>8329.300217628479</v>
      </c>
      <c r="W14" s="179">
        <v>2604.3168255057535</v>
      </c>
      <c r="X14" s="184" t="s">
        <v>45</v>
      </c>
      <c r="Y14" s="183">
        <v>3.6500000953674316</v>
      </c>
      <c r="Z14" s="220" t="s">
        <v>473</v>
      </c>
      <c r="AA14" s="172">
        <f>Delivery[[#This Row],[Quantity delivered]]*VLOOKUP(Delivery[[#This Row],[Unit]],Tab_Conversão[],4,FALSE)*VLOOKUP(CONCATENATE(Delivery[[#This Row],[Coffee specie]],Delivery[[#This Row],[Coffee state]]),Tab_Conversão[],4,FALSE)</f>
        <v>19560</v>
      </c>
      <c r="AB14" s="169">
        <f>SUMIF(Allocation!C:C,Delivery[[#This Row],[Delivery ID]],Allocation!D:D)/Delivery[[#This Row],[Quantity delivered]]</f>
        <v>9.151329243353783E-3</v>
      </c>
      <c r="AC14" s="170">
        <f>Delivery[[#This Row],[Quantity delivered]]*Delivery[[#This Row],[Base price (Unidad)]]/60</f>
        <v>170869.6444644928</v>
      </c>
      <c r="AD14" s="171">
        <f>Delivery[[#This Row],[Nespresso total]]-Delivery[[#This Row],[Qt. Delivery * Base Price]]</f>
        <v>-22936.518115504296</v>
      </c>
      <c r="AE14" s="171">
        <f>Delivery[[#This Row],[AAA Premium (total)]]/Delivery[[#This Row],[Quantity delivered]]*60/Delivery[[#This Row],[Exchange rate VS USD]]</f>
        <v>7</v>
      </c>
      <c r="AF14" s="171">
        <f>Delivery[[#This Row],[BEN premium (total)]]/Delivery[[#This Row],[Quantity delivered]]*60/Delivery[[#This Row],[Exchange rate for premiums VS USD]]</f>
        <v>2.1886853999999998</v>
      </c>
      <c r="AG14" s="171">
        <f>COUNTIF(Delivery[Delivery ID],Delivery[[#This Row],[Delivery ID]])</f>
        <v>1</v>
      </c>
      <c r="AH14" s="171">
        <f>(Delivery[[#This Row],[Nespresso total]]/SUMIF(Allocation!C:C,Delivery[Delivery ID],Allocation!H:H))/Delivery[[#This Row],[Exchange rate VS USD]]</f>
        <v>686.94275590333177</v>
      </c>
      <c r="AI14" s="171">
        <f>(Delivery[[#This Row],[AAA Premium (total)]]/SUMIF(Allocation!C:C,Delivery[Delivery ID],Allocation!H:H))/Delivery[[#This Row],[Exchange rate VS USD]]</f>
        <v>38.677966101694913</v>
      </c>
      <c r="AJ14" s="171">
        <f>Delivery[[#This Row],[Valor Prêmio Nespresso AAA por Kg (em US$)]]*60</f>
        <v>2320.6779661016949</v>
      </c>
      <c r="AK14" s="171">
        <f>Delivery[[#This Row],[Valor Prêmio Nespresso AAA por saca (em US$)]]/1.3228/100</f>
        <v>17.543679816311574</v>
      </c>
      <c r="AL14" s="171">
        <f>(Delivery[[#This Row],[BEN premium (total)]]/SUMIF(Allocation!C:C,Delivery[Delivery ID],Allocation!H:H))/Delivery[[#This Row],[Exchange rate for premiums VS USD]]</f>
        <v>12.093414244067796</v>
      </c>
      <c r="AM14" s="171">
        <f>Delivery[[#This Row],[Valor Prêmio Nespresso BEN por Kg (em US$)]]*60</f>
        <v>725.60485464406781</v>
      </c>
      <c r="AN14" s="171">
        <f>Delivery[[#This Row],[Valor Prêmio Nespresso BEN por saca (em US$)]]/1.3228/100</f>
        <v>5.4853708394622602</v>
      </c>
      <c r="AO14" s="171">
        <f>SUMIF(Allocation[Delivery ID],Delivery[[#This Row],[Delivery ID]],Allocation[Quantity allocated])*16*1.3228*Delivery[[#This Row],[Exchange rate VS USD]]/60</f>
        <v>75.963996651458729</v>
      </c>
      <c r="AP14" s="171">
        <f>Delivery[[#This Row],[AAA Premium (total)]]</f>
        <v>8329.300217628479</v>
      </c>
      <c r="AQ14" s="171">
        <f>Delivery[[#This Row],[Valor pago pelo Cluster]]-Delivery[[#This Row],[Valor efetivamente pago pela Nespresso]]</f>
        <v>8253.3362209770203</v>
      </c>
    </row>
    <row r="15" spans="1:43" ht="15.75">
      <c r="A15" s="174" t="s">
        <v>69</v>
      </c>
      <c r="B15" s="232" t="s">
        <v>68</v>
      </c>
      <c r="C15" s="157">
        <v>1</v>
      </c>
      <c r="D15" s="157" t="s">
        <v>468</v>
      </c>
      <c r="E15" s="176" t="s">
        <v>468</v>
      </c>
      <c r="F15" s="233" t="s">
        <v>469</v>
      </c>
      <c r="G15" s="234">
        <v>42643</v>
      </c>
      <c r="H15" s="235" t="s">
        <v>482</v>
      </c>
      <c r="I15" s="157" t="s">
        <v>480</v>
      </c>
      <c r="J15" s="237">
        <v>17100</v>
      </c>
      <c r="K15" s="175" t="s">
        <v>472</v>
      </c>
      <c r="L15" s="175" t="s">
        <v>439</v>
      </c>
      <c r="M15" s="175" t="s">
        <v>1343</v>
      </c>
      <c r="N15" s="180" t="s">
        <v>483</v>
      </c>
      <c r="O15" s="177"/>
      <c r="P15" s="181">
        <v>0</v>
      </c>
      <c r="Q15" s="177">
        <v>42153</v>
      </c>
      <c r="R15" s="178">
        <v>524.14001369476318</v>
      </c>
      <c r="S15" s="179">
        <v>129328.03990632431</v>
      </c>
      <c r="T15" s="182" t="s">
        <v>45</v>
      </c>
      <c r="U15" s="183">
        <v>3.6500000953674316</v>
      </c>
      <c r="V15" s="179">
        <v>7281.7501902580261</v>
      </c>
      <c r="W15" s="179">
        <v>2276.7800468378518</v>
      </c>
      <c r="X15" s="184" t="s">
        <v>45</v>
      </c>
      <c r="Y15" s="183">
        <v>3.6500000953674316</v>
      </c>
      <c r="Z15" s="220" t="s">
        <v>473</v>
      </c>
      <c r="AA15" s="172">
        <f>Delivery[[#This Row],[Quantity delivered]]*VLOOKUP(Delivery[[#This Row],[Unit]],Tab_Conversão[],4,FALSE)*VLOOKUP(CONCATENATE(Delivery[[#This Row],[Coffee specie]],Delivery[[#This Row],[Coffee state]]),Tab_Conversão[],4,FALSE)</f>
        <v>17100</v>
      </c>
      <c r="AB15" s="169">
        <f>SUMIF(Allocation!C:C,Delivery[[#This Row],[Delivery ID]],Allocation!D:D)/Delivery[[#This Row],[Quantity delivered]]</f>
        <v>1.0467836257309942E-2</v>
      </c>
      <c r="AC15" s="170">
        <f>Delivery[[#This Row],[Quantity delivered]]*Delivery[[#This Row],[Base price (Unidad)]]/60</f>
        <v>149379.90390300751</v>
      </c>
      <c r="AD15" s="171">
        <f>Delivery[[#This Row],[Nespresso total]]-Delivery[[#This Row],[Qt. Delivery * Base Price]]</f>
        <v>-20051.863996683198</v>
      </c>
      <c r="AE15" s="171">
        <f>Delivery[[#This Row],[AAA Premium (total)]]/Delivery[[#This Row],[Quantity delivered]]*60/Delivery[[#This Row],[Exchange rate VS USD]]</f>
        <v>7</v>
      </c>
      <c r="AF15" s="171">
        <f>Delivery[[#This Row],[BEN premium (total)]]/Delivery[[#This Row],[Quantity delivered]]*60/Delivery[[#This Row],[Exchange rate for premiums VS USD]]</f>
        <v>2.1886853999999998</v>
      </c>
      <c r="AG15" s="171">
        <f>COUNTIF(Delivery[Delivery ID],Delivery[[#This Row],[Delivery ID]])</f>
        <v>1</v>
      </c>
      <c r="AH15" s="171">
        <f>(Delivery[[#This Row],[Nespresso total]]/SUMIF(Allocation!C:C,Delivery[Delivery ID],Allocation!H:H))/Delivery[[#This Row],[Exchange rate VS USD]]</f>
        <v>600.54811482346486</v>
      </c>
      <c r="AI15" s="171">
        <f>(Delivery[[#This Row],[AAA Premium (total)]]/SUMIF(Allocation!C:C,Delivery[Delivery ID],Allocation!H:H))/Delivery[[#This Row],[Exchange rate VS USD]]</f>
        <v>33.813559322033896</v>
      </c>
      <c r="AJ15" s="171">
        <f>Delivery[[#This Row],[Valor Prêmio Nespresso AAA por Kg (em US$)]]*60</f>
        <v>2028.8135593220338</v>
      </c>
      <c r="AK15" s="171">
        <f>Delivery[[#This Row],[Valor Prêmio Nespresso AAA por saca (em US$)]]/1.3228/100</f>
        <v>15.337266097082203</v>
      </c>
      <c r="AL15" s="171">
        <f>(Delivery[[#This Row],[BEN premium (total)]]/SUMIF(Allocation!C:C,Delivery[Delivery ID],Allocation!H:H))/Delivery[[#This Row],[Exchange rate for premiums VS USD]]</f>
        <v>10.572463372881355</v>
      </c>
      <c r="AM15" s="171">
        <f>Delivery[[#This Row],[Valor Prêmio Nespresso BEN por Kg (em US$)]]*60</f>
        <v>634.34780237288135</v>
      </c>
      <c r="AN15" s="171">
        <f>Delivery[[#This Row],[Valor Prêmio Nespresso BEN por saca (em US$)]]/1.3228/100</f>
        <v>4.7954929117998288</v>
      </c>
      <c r="AO15" s="171">
        <f>SUMIF(Allocation[Delivery ID],Delivery[[#This Row],[Delivery ID]],Allocation[Quantity allocated])*16*1.3228*Delivery[[#This Row],[Exchange rate VS USD]]/60</f>
        <v>75.963996651458729</v>
      </c>
      <c r="AP15" s="171">
        <f>Delivery[[#This Row],[AAA Premium (total)]]</f>
        <v>7281.7501902580261</v>
      </c>
      <c r="AQ15" s="171">
        <f>Delivery[[#This Row],[Valor pago pelo Cluster]]-Delivery[[#This Row],[Valor efetivamente pago pela Nespresso]]</f>
        <v>7205.7861936065674</v>
      </c>
    </row>
    <row r="16" spans="1:43" ht="15.75">
      <c r="A16" s="174" t="s">
        <v>69</v>
      </c>
      <c r="B16" s="232" t="s">
        <v>68</v>
      </c>
      <c r="C16" s="157">
        <v>1</v>
      </c>
      <c r="D16" s="157" t="s">
        <v>468</v>
      </c>
      <c r="E16" s="177" t="s">
        <v>468</v>
      </c>
      <c r="F16" s="233" t="s">
        <v>469</v>
      </c>
      <c r="G16" s="234">
        <v>42635</v>
      </c>
      <c r="H16" s="235" t="s">
        <v>484</v>
      </c>
      <c r="I16" s="157" t="s">
        <v>480</v>
      </c>
      <c r="J16" s="237">
        <v>19920</v>
      </c>
      <c r="K16" s="175" t="s">
        <v>472</v>
      </c>
      <c r="L16" s="175" t="s">
        <v>439</v>
      </c>
      <c r="M16" s="175" t="s">
        <v>1343</v>
      </c>
      <c r="N16" s="180"/>
      <c r="O16" s="177"/>
      <c r="P16" s="181">
        <v>0</v>
      </c>
      <c r="Q16" s="177">
        <v>42153</v>
      </c>
      <c r="R16" s="178">
        <v>524.14001369476318</v>
      </c>
      <c r="S16" s="179">
        <v>150655.82192596374</v>
      </c>
      <c r="T16" s="182" t="s">
        <v>45</v>
      </c>
      <c r="U16" s="183">
        <v>3.6500000953674316</v>
      </c>
      <c r="V16" s="179">
        <v>8482.6002216339111</v>
      </c>
      <c r="W16" s="179">
        <v>2652.2490370181295</v>
      </c>
      <c r="X16" s="184" t="s">
        <v>45</v>
      </c>
      <c r="Y16" s="183">
        <v>3.6500000953674316</v>
      </c>
      <c r="Z16" s="220" t="s">
        <v>473</v>
      </c>
      <c r="AA16" s="172">
        <f>Delivery[[#This Row],[Quantity delivered]]*VLOOKUP(Delivery[[#This Row],[Unit]],Tab_Conversão[],4,FALSE)*VLOOKUP(CONCATENATE(Delivery[[#This Row],[Coffee specie]],Delivery[[#This Row],[Coffee state]]),Tab_Conversão[],4,FALSE)</f>
        <v>19920</v>
      </c>
      <c r="AB16" s="169">
        <f>SUMIF(Allocation!C:C,Delivery[[#This Row],[Delivery ID]],Allocation!D:D)/Delivery[[#This Row],[Quantity delivered]]</f>
        <v>8.985943775100402E-3</v>
      </c>
      <c r="AC16" s="170">
        <f>Delivery[[#This Row],[Quantity delivered]]*Delivery[[#This Row],[Base price (Unidad)]]/60</f>
        <v>174014.48454666138</v>
      </c>
      <c r="AD16" s="171">
        <f>Delivery[[#This Row],[Nespresso total]]-Delivery[[#This Row],[Qt. Delivery * Base Price]]</f>
        <v>-23358.662620697636</v>
      </c>
      <c r="AE16" s="171">
        <f>Delivery[[#This Row],[AAA Premium (total)]]/Delivery[[#This Row],[Quantity delivered]]*60/Delivery[[#This Row],[Exchange rate VS USD]]</f>
        <v>7</v>
      </c>
      <c r="AF16" s="171">
        <f>Delivery[[#This Row],[BEN premium (total)]]/Delivery[[#This Row],[Quantity delivered]]*60/Delivery[[#This Row],[Exchange rate for premiums VS USD]]</f>
        <v>2.1886854000000002</v>
      </c>
      <c r="AG16" s="171">
        <f>COUNTIF(Delivery[Delivery ID],Delivery[[#This Row],[Delivery ID]])</f>
        <v>1</v>
      </c>
      <c r="AH16" s="171">
        <f>(Delivery[[#This Row],[Nespresso total]]/SUMIF(Allocation!C:C,Delivery[Delivery ID],Allocation!H:H))/Delivery[[#This Row],[Exchange rate VS USD]]</f>
        <v>699.5858741101415</v>
      </c>
      <c r="AI16" s="171">
        <f>(Delivery[[#This Row],[AAA Premium (total)]]/SUMIF(Allocation!C:C,Delivery[Delivery ID],Allocation!H:H))/Delivery[[#This Row],[Exchange rate VS USD]]</f>
        <v>39.389830508474581</v>
      </c>
      <c r="AJ16" s="171">
        <f>Delivery[[#This Row],[Valor Prêmio Nespresso AAA por Kg (em US$)]]*60</f>
        <v>2363.3898305084749</v>
      </c>
      <c r="AK16" s="171">
        <f>Delivery[[#This Row],[Valor Prêmio Nespresso AAA por saca (em US$)]]/1.3228/100</f>
        <v>17.866569628881727</v>
      </c>
      <c r="AL16" s="171">
        <f>(Delivery[[#This Row],[BEN premium (total)]]/SUMIF(Allocation!C:C,Delivery[Delivery ID],Allocation!H:H))/Delivery[[#This Row],[Exchange rate for premiums VS USD]]</f>
        <v>12.315992420338985</v>
      </c>
      <c r="AM16" s="171">
        <f>Delivery[[#This Row],[Valor Prêmio Nespresso BEN por Kg (em US$)]]*60</f>
        <v>738.95954522033912</v>
      </c>
      <c r="AN16" s="171">
        <f>Delivery[[#This Row],[Valor Prêmio Nespresso BEN por saca (em US$)]]/1.3228/100</f>
        <v>5.5863285849738373</v>
      </c>
      <c r="AO16" s="171">
        <f>SUMIF(Allocation[Delivery ID],Delivery[[#This Row],[Delivery ID]],Allocation[Quantity allocated])*16*1.3228*Delivery[[#This Row],[Exchange rate VS USD]]/60</f>
        <v>75.963996651458729</v>
      </c>
      <c r="AP16" s="171">
        <f>Delivery[[#This Row],[AAA Premium (total)]]</f>
        <v>8482.6002216339111</v>
      </c>
      <c r="AQ16" s="171">
        <f>Delivery[[#This Row],[Valor pago pelo Cluster]]-Delivery[[#This Row],[Valor efetivamente pago pela Nespresso]]</f>
        <v>8406.6362249824524</v>
      </c>
    </row>
    <row r="17" spans="1:43" ht="15.75">
      <c r="A17" s="174" t="s">
        <v>69</v>
      </c>
      <c r="B17" s="232" t="s">
        <v>68</v>
      </c>
      <c r="C17" s="157">
        <v>1</v>
      </c>
      <c r="D17" s="157" t="s">
        <v>468</v>
      </c>
      <c r="E17" s="177" t="s">
        <v>468</v>
      </c>
      <c r="F17" s="233" t="s">
        <v>469</v>
      </c>
      <c r="G17" s="234">
        <v>42640</v>
      </c>
      <c r="H17" s="235" t="s">
        <v>485</v>
      </c>
      <c r="I17" s="157" t="s">
        <v>480</v>
      </c>
      <c r="J17" s="237">
        <v>14520</v>
      </c>
      <c r="K17" s="175" t="s">
        <v>472</v>
      </c>
      <c r="L17" s="175" t="s">
        <v>439</v>
      </c>
      <c r="M17" s="175" t="s">
        <v>1343</v>
      </c>
      <c r="N17" s="180"/>
      <c r="O17" s="177"/>
      <c r="P17" s="181">
        <v>0</v>
      </c>
      <c r="Q17" s="177">
        <v>42153</v>
      </c>
      <c r="R17" s="178">
        <v>524.14001369476318</v>
      </c>
      <c r="S17" s="179">
        <v>109815.388271335</v>
      </c>
      <c r="T17" s="182" t="s">
        <v>45</v>
      </c>
      <c r="U17" s="183">
        <v>3.6500000953674316</v>
      </c>
      <c r="V17" s="179">
        <v>6183.1001615524292</v>
      </c>
      <c r="W17" s="179">
        <v>1933.2658643324917</v>
      </c>
      <c r="X17" s="184" t="s">
        <v>45</v>
      </c>
      <c r="Y17" s="183">
        <v>3.6500000953674316</v>
      </c>
      <c r="Z17" s="220" t="s">
        <v>473</v>
      </c>
      <c r="AA17" s="172">
        <f>Delivery[[#This Row],[Quantity delivered]]*VLOOKUP(Delivery[[#This Row],[Unit]],Tab_Conversão[],4,FALSE)*VLOOKUP(CONCATENATE(Delivery[[#This Row],[Coffee specie]],Delivery[[#This Row],[Coffee state]]),Tab_Conversão[],4,FALSE)</f>
        <v>14520</v>
      </c>
      <c r="AB17" s="169">
        <f>SUMIF(Allocation!C:C,Delivery[[#This Row],[Delivery ID]],Allocation!D:D)/Delivery[[#This Row],[Quantity delivered]]</f>
        <v>1.2327823691460056E-2</v>
      </c>
      <c r="AC17" s="170">
        <f>Delivery[[#This Row],[Quantity delivered]]*Delivery[[#This Row],[Base price (Unidad)]]/60</f>
        <v>126841.88331413269</v>
      </c>
      <c r="AD17" s="171">
        <f>Delivery[[#This Row],[Nespresso total]]-Delivery[[#This Row],[Qt. Delivery * Base Price]]</f>
        <v>-17026.495042797687</v>
      </c>
      <c r="AE17" s="171">
        <f>Delivery[[#This Row],[AAA Premium (total)]]/Delivery[[#This Row],[Quantity delivered]]*60/Delivery[[#This Row],[Exchange rate VS USD]]</f>
        <v>7</v>
      </c>
      <c r="AF17" s="171">
        <f>Delivery[[#This Row],[BEN premium (total)]]/Delivery[[#This Row],[Quantity delivered]]*60/Delivery[[#This Row],[Exchange rate for premiums VS USD]]</f>
        <v>2.1886853999999998</v>
      </c>
      <c r="AG17" s="171">
        <f>COUNTIF(Delivery[Delivery ID],Delivery[[#This Row],[Delivery ID]])</f>
        <v>1</v>
      </c>
      <c r="AH17" s="171">
        <f>(Delivery[[#This Row],[Nespresso total]]/SUMIF(Allocation!C:C,Delivery[Delivery ID],Allocation!H:H))/Delivery[[#This Row],[Exchange rate VS USD]]</f>
        <v>509.93910100799462</v>
      </c>
      <c r="AI17" s="171">
        <f>(Delivery[[#This Row],[AAA Premium (total)]]/SUMIF(Allocation!C:C,Delivery[Delivery ID],Allocation!H:H))/Delivery[[#This Row],[Exchange rate VS USD]]</f>
        <v>28.711864406779661</v>
      </c>
      <c r="AJ17" s="171">
        <f>Delivery[[#This Row],[Valor Prêmio Nespresso AAA por Kg (em US$)]]*60</f>
        <v>1722.7118644067796</v>
      </c>
      <c r="AK17" s="171">
        <f>Delivery[[#This Row],[Valor Prêmio Nespresso AAA por saca (em US$)]]/1.3228/100</f>
        <v>13.02322244032945</v>
      </c>
      <c r="AL17" s="171">
        <f>(Delivery[[#This Row],[BEN premium (total)]]/SUMIF(Allocation!C:C,Delivery[Delivery ID],Allocation!H:H))/Delivery[[#This Row],[Exchange rate for premiums VS USD]]</f>
        <v>8.9773197762711856</v>
      </c>
      <c r="AM17" s="171">
        <f>Delivery[[#This Row],[Valor Prêmio Nespresso BEN por Kg (em US$)]]*60</f>
        <v>538.63918657627119</v>
      </c>
      <c r="AN17" s="171">
        <f>Delivery[[#This Row],[Valor Prêmio Nespresso BEN por saca (em US$)]]/1.3228/100</f>
        <v>4.0719624023002057</v>
      </c>
      <c r="AO17" s="171">
        <f>SUMIF(Allocation[Delivery ID],Delivery[[#This Row],[Delivery ID]],Allocation[Quantity allocated])*16*1.3228*Delivery[[#This Row],[Exchange rate VS USD]]/60</f>
        <v>75.963996651458729</v>
      </c>
      <c r="AP17" s="171">
        <f>Delivery[[#This Row],[AAA Premium (total)]]</f>
        <v>6183.1001615524292</v>
      </c>
      <c r="AQ17" s="171">
        <f>Delivery[[#This Row],[Valor pago pelo Cluster]]-Delivery[[#This Row],[Valor efetivamente pago pela Nespresso]]</f>
        <v>6107.1361649009705</v>
      </c>
    </row>
    <row r="18" spans="1:43" ht="15.75">
      <c r="A18" s="174" t="s">
        <v>69</v>
      </c>
      <c r="B18" s="232" t="s">
        <v>68</v>
      </c>
      <c r="C18" s="157">
        <v>1</v>
      </c>
      <c r="D18" s="157" t="s">
        <v>468</v>
      </c>
      <c r="E18" s="177" t="s">
        <v>468</v>
      </c>
      <c r="F18" s="233" t="s">
        <v>469</v>
      </c>
      <c r="G18" s="234">
        <v>42635</v>
      </c>
      <c r="H18" s="235" t="s">
        <v>486</v>
      </c>
      <c r="I18" s="157" t="s">
        <v>480</v>
      </c>
      <c r="J18" s="237">
        <v>20040</v>
      </c>
      <c r="K18" s="175" t="s">
        <v>472</v>
      </c>
      <c r="L18" s="175" t="s">
        <v>439</v>
      </c>
      <c r="M18" s="175" t="s">
        <v>1343</v>
      </c>
      <c r="N18" s="180"/>
      <c r="O18" s="177"/>
      <c r="P18" s="181">
        <v>0</v>
      </c>
      <c r="Q18" s="177">
        <v>42153</v>
      </c>
      <c r="R18" s="178">
        <v>524.14001369476318</v>
      </c>
      <c r="S18" s="179">
        <v>151563.38711828881</v>
      </c>
      <c r="T18" s="182" t="s">
        <v>45</v>
      </c>
      <c r="U18" s="183">
        <v>3.6500000953674316</v>
      </c>
      <c r="V18" s="179">
        <v>8533.7002229690552</v>
      </c>
      <c r="W18" s="179">
        <v>2668.226440855588</v>
      </c>
      <c r="X18" s="184" t="s">
        <v>45</v>
      </c>
      <c r="Y18" s="183">
        <v>3.6500000953674316</v>
      </c>
      <c r="Z18" s="220" t="s">
        <v>473</v>
      </c>
      <c r="AA18" s="172">
        <f>Delivery[[#This Row],[Quantity delivered]]*VLOOKUP(Delivery[[#This Row],[Unit]],Tab_Conversão[],4,FALSE)*VLOOKUP(CONCATENATE(Delivery[[#This Row],[Coffee specie]],Delivery[[#This Row],[Coffee state]]),Tab_Conversão[],4,FALSE)</f>
        <v>20040</v>
      </c>
      <c r="AB18" s="169">
        <f>SUMIF(Allocation!C:C,Delivery[[#This Row],[Delivery ID]],Allocation!D:D)/Delivery[[#This Row],[Quantity delivered]]</f>
        <v>8.9321357285429143E-3</v>
      </c>
      <c r="AC18" s="170">
        <f>Delivery[[#This Row],[Quantity delivered]]*Delivery[[#This Row],[Base price (Unidad)]]/60</f>
        <v>175062.7645740509</v>
      </c>
      <c r="AD18" s="171">
        <f>Delivery[[#This Row],[Nespresso total]]-Delivery[[#This Row],[Qt. Delivery * Base Price]]</f>
        <v>-23499.377455762093</v>
      </c>
      <c r="AE18" s="171">
        <f>Delivery[[#This Row],[AAA Premium (total)]]/Delivery[[#This Row],[Quantity delivered]]*60/Delivery[[#This Row],[Exchange rate VS USD]]</f>
        <v>7</v>
      </c>
      <c r="AF18" s="171">
        <f>Delivery[[#This Row],[BEN premium (total)]]/Delivery[[#This Row],[Quantity delivered]]*60/Delivery[[#This Row],[Exchange rate for premiums VS USD]]</f>
        <v>2.1886853999999998</v>
      </c>
      <c r="AG18" s="171">
        <f>COUNTIF(Delivery[Delivery ID],Delivery[[#This Row],[Delivery ID]])</f>
        <v>1</v>
      </c>
      <c r="AH18" s="171">
        <f>(Delivery[[#This Row],[Nespresso total]]/SUMIF(Allocation!C:C,Delivery[Delivery ID],Allocation!H:H))/Delivery[[#This Row],[Exchange rate VS USD]]</f>
        <v>703.80024684574471</v>
      </c>
      <c r="AI18" s="171">
        <f>(Delivery[[#This Row],[AAA Premium (total)]]/SUMIF(Allocation!C:C,Delivery[Delivery ID],Allocation!H:H))/Delivery[[#This Row],[Exchange rate VS USD]]</f>
        <v>39.627118644067799</v>
      </c>
      <c r="AJ18" s="171">
        <f>Delivery[[#This Row],[Valor Prêmio Nespresso AAA por Kg (em US$)]]*60</f>
        <v>2377.6271186440681</v>
      </c>
      <c r="AK18" s="171">
        <f>Delivery[[#This Row],[Valor Prêmio Nespresso AAA por saca (em US$)]]/1.3228/100</f>
        <v>17.974199566405112</v>
      </c>
      <c r="AL18" s="171">
        <f>(Delivery[[#This Row],[BEN premium (total)]]/SUMIF(Allocation!C:C,Delivery[Delivery ID],Allocation!H:H))/Delivery[[#This Row],[Exchange rate for premiums VS USD]]</f>
        <v>12.390185145762711</v>
      </c>
      <c r="AM18" s="171">
        <f>Delivery[[#This Row],[Valor Prêmio Nespresso BEN por Kg (em US$)]]*60</f>
        <v>743.4111087457627</v>
      </c>
      <c r="AN18" s="171">
        <f>Delivery[[#This Row],[Valor Prêmio Nespresso BEN por saca (em US$)]]/1.3228/100</f>
        <v>5.6199811668110273</v>
      </c>
      <c r="AO18" s="171">
        <f>SUMIF(Allocation[Delivery ID],Delivery[[#This Row],[Delivery ID]],Allocation[Quantity allocated])*16*1.3228*Delivery[[#This Row],[Exchange rate VS USD]]/60</f>
        <v>75.963996651458729</v>
      </c>
      <c r="AP18" s="171">
        <f>Delivery[[#This Row],[AAA Premium (total)]]</f>
        <v>8533.7002229690552</v>
      </c>
      <c r="AQ18" s="171">
        <f>Delivery[[#This Row],[Valor pago pelo Cluster]]-Delivery[[#This Row],[Valor efetivamente pago pela Nespresso]]</f>
        <v>8457.7362263175964</v>
      </c>
    </row>
    <row r="19" spans="1:43" ht="15.75">
      <c r="A19" s="174" t="s">
        <v>69</v>
      </c>
      <c r="B19" s="232" t="s">
        <v>68</v>
      </c>
      <c r="C19" s="157">
        <v>1</v>
      </c>
      <c r="D19" s="157" t="s">
        <v>468</v>
      </c>
      <c r="E19" s="177" t="s">
        <v>468</v>
      </c>
      <c r="F19" s="233" t="s">
        <v>469</v>
      </c>
      <c r="G19" s="234">
        <v>42650</v>
      </c>
      <c r="H19" s="235" t="s">
        <v>487</v>
      </c>
      <c r="I19" s="157" t="s">
        <v>480</v>
      </c>
      <c r="J19" s="237">
        <v>16380</v>
      </c>
      <c r="K19" s="175" t="s">
        <v>472</v>
      </c>
      <c r="L19" s="175" t="s">
        <v>439</v>
      </c>
      <c r="M19" s="175" t="s">
        <v>1343</v>
      </c>
      <c r="N19" s="180"/>
      <c r="O19" s="177"/>
      <c r="P19" s="181">
        <v>0</v>
      </c>
      <c r="Q19" s="177">
        <v>42153</v>
      </c>
      <c r="R19" s="178">
        <v>524.14001369476318</v>
      </c>
      <c r="S19" s="179">
        <v>123882.6487523738</v>
      </c>
      <c r="T19" s="182" t="s">
        <v>45</v>
      </c>
      <c r="U19" s="183">
        <v>3.6500000953674316</v>
      </c>
      <c r="V19" s="179">
        <v>6975.1501822471619</v>
      </c>
      <c r="W19" s="179">
        <v>2180.9156238131004</v>
      </c>
      <c r="X19" s="184" t="s">
        <v>45</v>
      </c>
      <c r="Y19" s="183">
        <v>3.6500000953674316</v>
      </c>
      <c r="Z19" s="220" t="s">
        <v>473</v>
      </c>
      <c r="AA19" s="172">
        <f>Delivery[[#This Row],[Quantity delivered]]*VLOOKUP(Delivery[[#This Row],[Unit]],Tab_Conversão[],4,FALSE)*VLOOKUP(CONCATENATE(Delivery[[#This Row],[Coffee specie]],Delivery[[#This Row],[Coffee state]]),Tab_Conversão[],4,FALSE)</f>
        <v>16380</v>
      </c>
      <c r="AB19" s="169">
        <f>SUMIF(Allocation!C:C,Delivery[[#This Row],[Delivery ID]],Allocation!D:D)/Delivery[[#This Row],[Quantity delivered]]</f>
        <v>1.0927960927960927E-2</v>
      </c>
      <c r="AC19" s="170">
        <f>Delivery[[#This Row],[Quantity delivered]]*Delivery[[#This Row],[Base price (Unidad)]]/60</f>
        <v>143090.22373867035</v>
      </c>
      <c r="AD19" s="171">
        <f>Delivery[[#This Row],[Nespresso total]]-Delivery[[#This Row],[Qt. Delivery * Base Price]]</f>
        <v>-19207.574986296546</v>
      </c>
      <c r="AE19" s="171">
        <f>Delivery[[#This Row],[AAA Premium (total)]]/Delivery[[#This Row],[Quantity delivered]]*60/Delivery[[#This Row],[Exchange rate VS USD]]</f>
        <v>7</v>
      </c>
      <c r="AF19" s="171">
        <f>Delivery[[#This Row],[BEN premium (total)]]/Delivery[[#This Row],[Quantity delivered]]*60/Delivery[[#This Row],[Exchange rate for premiums VS USD]]</f>
        <v>2.1886854000000002</v>
      </c>
      <c r="AG19" s="171">
        <f>COUNTIF(Delivery[Delivery ID],Delivery[[#This Row],[Delivery ID]])</f>
        <v>1</v>
      </c>
      <c r="AH19" s="171">
        <f>(Delivery[[#This Row],[Nespresso total]]/SUMIF(Allocation!C:C,Delivery[Delivery ID],Allocation!H:H))/Delivery[[#This Row],[Exchange rate VS USD]]</f>
        <v>575.26187840984528</v>
      </c>
      <c r="AI19" s="171">
        <f>(Delivery[[#This Row],[AAA Premium (total)]]/SUMIF(Allocation!C:C,Delivery[Delivery ID],Allocation!H:H))/Delivery[[#This Row],[Exchange rate VS USD]]</f>
        <v>32.389830508474574</v>
      </c>
      <c r="AJ19" s="171">
        <f>Delivery[[#This Row],[Valor Prêmio Nespresso AAA por Kg (em US$)]]*60</f>
        <v>1943.3898305084745</v>
      </c>
      <c r="AK19" s="171">
        <f>Delivery[[#This Row],[Valor Prêmio Nespresso AAA por saca (em US$)]]/1.3228/100</f>
        <v>14.6914864719419</v>
      </c>
      <c r="AL19" s="171">
        <f>(Delivery[[#This Row],[BEN premium (total)]]/SUMIF(Allocation!C:C,Delivery[Delivery ID],Allocation!H:H))/Delivery[[#This Row],[Exchange rate for premiums VS USD]]</f>
        <v>10.127307020338982</v>
      </c>
      <c r="AM19" s="171">
        <f>Delivery[[#This Row],[Valor Prêmio Nespresso BEN por Kg (em US$)]]*60</f>
        <v>607.63842122033896</v>
      </c>
      <c r="AN19" s="171">
        <f>Delivery[[#This Row],[Valor Prêmio Nespresso BEN por saca (em US$)]]/1.3228/100</f>
        <v>4.5935774207766782</v>
      </c>
      <c r="AO19" s="171">
        <f>SUMIF(Allocation[Delivery ID],Delivery[[#This Row],[Delivery ID]],Allocation[Quantity allocated])*16*1.3228*Delivery[[#This Row],[Exchange rate VS USD]]/60</f>
        <v>75.963996651458729</v>
      </c>
      <c r="AP19" s="171">
        <f>Delivery[[#This Row],[AAA Premium (total)]]</f>
        <v>6975.1501822471619</v>
      </c>
      <c r="AQ19" s="171">
        <f>Delivery[[#This Row],[Valor pago pelo Cluster]]-Delivery[[#This Row],[Valor efetivamente pago pela Nespresso]]</f>
        <v>6899.1861855957031</v>
      </c>
    </row>
    <row r="20" spans="1:43" ht="15.75">
      <c r="A20" s="174" t="s">
        <v>69</v>
      </c>
      <c r="B20" s="232" t="s">
        <v>68</v>
      </c>
      <c r="C20" s="157">
        <v>1</v>
      </c>
      <c r="D20" s="157" t="s">
        <v>468</v>
      </c>
      <c r="E20" s="177" t="s">
        <v>468</v>
      </c>
      <c r="F20" s="233" t="s">
        <v>469</v>
      </c>
      <c r="G20" s="234">
        <v>42640</v>
      </c>
      <c r="H20" s="157" t="s">
        <v>488</v>
      </c>
      <c r="I20" s="157" t="s">
        <v>480</v>
      </c>
      <c r="J20" s="237">
        <v>1140</v>
      </c>
      <c r="K20" s="175" t="s">
        <v>472</v>
      </c>
      <c r="L20" s="175" t="s">
        <v>439</v>
      </c>
      <c r="M20" s="175" t="s">
        <v>1343</v>
      </c>
      <c r="N20" s="180"/>
      <c r="O20" s="177"/>
      <c r="P20" s="181">
        <v>0</v>
      </c>
      <c r="Q20" s="177">
        <v>42153</v>
      </c>
      <c r="R20" s="178">
        <v>524.14001369476318</v>
      </c>
      <c r="S20" s="179">
        <v>8621.8693270882886</v>
      </c>
      <c r="T20" s="182" t="s">
        <v>45</v>
      </c>
      <c r="U20" s="183">
        <v>3.6500000953674316</v>
      </c>
      <c r="V20" s="179">
        <v>485.45001268386841</v>
      </c>
      <c r="W20" s="179">
        <v>151.78533645585679</v>
      </c>
      <c r="X20" s="184" t="s">
        <v>45</v>
      </c>
      <c r="Y20" s="183">
        <v>3.6500000953674316</v>
      </c>
      <c r="Z20" s="220" t="s">
        <v>473</v>
      </c>
      <c r="AA20" s="172">
        <f>Delivery[[#This Row],[Quantity delivered]]*VLOOKUP(Delivery[[#This Row],[Unit]],Tab_Conversão[],4,FALSE)*VLOOKUP(CONCATENATE(Delivery[[#This Row],[Coffee specie]],Delivery[[#This Row],[Coffee state]]),Tab_Conversão[],4,FALSE)</f>
        <v>1140</v>
      </c>
      <c r="AB20" s="169">
        <f>SUMIF(Allocation!C:C,Delivery[[#This Row],[Delivery ID]],Allocation!D:D)/Delivery[[#This Row],[Quantity delivered]]</f>
        <v>0.15701754385964911</v>
      </c>
      <c r="AC20" s="170">
        <f>Delivery[[#This Row],[Quantity delivered]]*Delivery[[#This Row],[Base price (Unidad)]]/60</f>
        <v>9958.6602602005005</v>
      </c>
      <c r="AD20" s="171">
        <f>Delivery[[#This Row],[Nespresso total]]-Delivery[[#This Row],[Qt. Delivery * Base Price]]</f>
        <v>-1336.7909331122119</v>
      </c>
      <c r="AE20" s="171">
        <f>Delivery[[#This Row],[AAA Premium (total)]]/Delivery[[#This Row],[Quantity delivered]]*60/Delivery[[#This Row],[Exchange rate VS USD]]</f>
        <v>7</v>
      </c>
      <c r="AF20" s="171">
        <f>Delivery[[#This Row],[BEN premium (total)]]/Delivery[[#This Row],[Quantity delivered]]*60/Delivery[[#This Row],[Exchange rate for premiums VS USD]]</f>
        <v>2.1886853999999998</v>
      </c>
      <c r="AG20" s="171">
        <f>COUNTIF(Delivery[Delivery ID],Delivery[[#This Row],[Delivery ID]])</f>
        <v>1</v>
      </c>
      <c r="AH20" s="171">
        <f>(Delivery[[#This Row],[Nespresso total]]/SUMIF(Allocation!C:C,Delivery[Delivery ID],Allocation!H:H))/Delivery[[#This Row],[Exchange rate VS USD]]</f>
        <v>40.036540988230996</v>
      </c>
      <c r="AI20" s="171">
        <f>(Delivery[[#This Row],[AAA Premium (total)]]/SUMIF(Allocation!C:C,Delivery[Delivery ID],Allocation!H:H))/Delivery[[#This Row],[Exchange rate VS USD]]</f>
        <v>2.254237288135593</v>
      </c>
      <c r="AJ20" s="171">
        <f>Delivery[[#This Row],[Valor Prêmio Nespresso AAA por Kg (em US$)]]*60</f>
        <v>135.25423728813558</v>
      </c>
      <c r="AK20" s="171">
        <f>Delivery[[#This Row],[Valor Prêmio Nespresso AAA por saca (em US$)]]/1.3228/100</f>
        <v>1.022484406472147</v>
      </c>
      <c r="AL20" s="171">
        <f>(Delivery[[#This Row],[BEN premium (total)]]/SUMIF(Allocation!C:C,Delivery[Delivery ID],Allocation!H:H))/Delivery[[#This Row],[Exchange rate for premiums VS USD]]</f>
        <v>0.70483089152542366</v>
      </c>
      <c r="AM20" s="171">
        <f>Delivery[[#This Row],[Valor Prêmio Nespresso BEN por Kg (em US$)]]*60</f>
        <v>42.28985349152542</v>
      </c>
      <c r="AN20" s="171">
        <f>Delivery[[#This Row],[Valor Prêmio Nespresso BEN por saca (em US$)]]/1.3228/100</f>
        <v>0.31969952745332192</v>
      </c>
      <c r="AO20" s="171">
        <f>SUMIF(Allocation[Delivery ID],Delivery[[#This Row],[Delivery ID]],Allocation[Quantity allocated])*16*1.3228*Delivery[[#This Row],[Exchange rate VS USD]]/60</f>
        <v>75.963996651458729</v>
      </c>
      <c r="AP20" s="171">
        <f>Delivery[[#This Row],[AAA Premium (total)]]</f>
        <v>485.45001268386841</v>
      </c>
      <c r="AQ20" s="171">
        <f>Delivery[[#This Row],[Valor pago pelo Cluster]]-Delivery[[#This Row],[Valor efetivamente pago pela Nespresso]]</f>
        <v>409.48601603240968</v>
      </c>
    </row>
    <row r="21" spans="1:43" ht="15.75">
      <c r="A21" s="174" t="s">
        <v>69</v>
      </c>
      <c r="B21" s="232" t="s">
        <v>68</v>
      </c>
      <c r="C21" s="157">
        <v>1</v>
      </c>
      <c r="D21" s="157" t="s">
        <v>468</v>
      </c>
      <c r="E21" s="177" t="s">
        <v>468</v>
      </c>
      <c r="F21" s="233" t="s">
        <v>469</v>
      </c>
      <c r="G21" s="234">
        <v>42633</v>
      </c>
      <c r="H21" s="235" t="s">
        <v>489</v>
      </c>
      <c r="I21" s="157" t="s">
        <v>480</v>
      </c>
      <c r="J21" s="237">
        <v>17160</v>
      </c>
      <c r="K21" s="175" t="s">
        <v>472</v>
      </c>
      <c r="L21" s="175" t="s">
        <v>439</v>
      </c>
      <c r="M21" s="175" t="s">
        <v>1343</v>
      </c>
      <c r="N21" s="180" t="s">
        <v>483</v>
      </c>
      <c r="O21" s="177"/>
      <c r="P21" s="181">
        <v>0</v>
      </c>
      <c r="Q21" s="177">
        <v>42153</v>
      </c>
      <c r="R21" s="178">
        <v>524.14001369476318</v>
      </c>
      <c r="S21" s="179">
        <v>129781.82250248684</v>
      </c>
      <c r="T21" s="182" t="s">
        <v>45</v>
      </c>
      <c r="U21" s="183">
        <v>3.6500000953674316</v>
      </c>
      <c r="V21" s="179">
        <v>7307.3001909255981</v>
      </c>
      <c r="W21" s="179">
        <v>2284.7687487565813</v>
      </c>
      <c r="X21" s="184" t="s">
        <v>45</v>
      </c>
      <c r="Y21" s="183">
        <v>3.6500000953674316</v>
      </c>
      <c r="Z21" s="220" t="s">
        <v>473</v>
      </c>
      <c r="AA21" s="172">
        <f>Delivery[[#This Row],[Quantity delivered]]*VLOOKUP(Delivery[[#This Row],[Unit]],Tab_Conversão[],4,FALSE)*VLOOKUP(CONCATENATE(Delivery[[#This Row],[Coffee specie]],Delivery[[#This Row],[Coffee state]]),Tab_Conversão[],4,FALSE)</f>
        <v>17160</v>
      </c>
      <c r="AB21" s="169">
        <f>SUMIF(Allocation!C:C,Delivery[[#This Row],[Delivery ID]],Allocation!D:D)/Delivery[[#This Row],[Quantity delivered]]</f>
        <v>1.0431235431235432E-2</v>
      </c>
      <c r="AC21" s="170">
        <f>Delivery[[#This Row],[Quantity delivered]]*Delivery[[#This Row],[Base price (Unidad)]]/60</f>
        <v>149904.04391670227</v>
      </c>
      <c r="AD21" s="171">
        <f>Delivery[[#This Row],[Nespresso total]]-Delivery[[#This Row],[Qt. Delivery * Base Price]]</f>
        <v>-20122.221414215426</v>
      </c>
      <c r="AE21" s="171">
        <f>Delivery[[#This Row],[AAA Premium (total)]]/Delivery[[#This Row],[Quantity delivered]]*60/Delivery[[#This Row],[Exchange rate VS USD]]</f>
        <v>7</v>
      </c>
      <c r="AF21" s="171">
        <f>Delivery[[#This Row],[BEN premium (total)]]/Delivery[[#This Row],[Quantity delivered]]*60/Delivery[[#This Row],[Exchange rate for premiums VS USD]]</f>
        <v>2.1886853999999998</v>
      </c>
      <c r="AG21" s="171">
        <f>COUNTIF(Delivery[Delivery ID],Delivery[[#This Row],[Delivery ID]])</f>
        <v>1</v>
      </c>
      <c r="AH21" s="171">
        <f>(Delivery[[#This Row],[Nespresso total]]/SUMIF(Allocation!C:C,Delivery[Delivery ID],Allocation!H:H))/Delivery[[#This Row],[Exchange rate VS USD]]</f>
        <v>602.6553011912664</v>
      </c>
      <c r="AI21" s="171">
        <f>(Delivery[[#This Row],[AAA Premium (total)]]/SUMIF(Allocation!C:C,Delivery[Delivery ID],Allocation!H:H))/Delivery[[#This Row],[Exchange rate VS USD]]</f>
        <v>33.932203389830505</v>
      </c>
      <c r="AJ21" s="171">
        <f>Delivery[[#This Row],[Valor Prêmio Nespresso AAA por Kg (em US$)]]*60</f>
        <v>2035.9322033898302</v>
      </c>
      <c r="AK21" s="171">
        <f>Delivery[[#This Row],[Valor Prêmio Nespresso AAA por saca (em US$)]]/1.3228/100</f>
        <v>15.391081065843894</v>
      </c>
      <c r="AL21" s="171">
        <f>(Delivery[[#This Row],[BEN premium (total)]]/SUMIF(Allocation!C:C,Delivery[Delivery ID],Allocation!H:H))/Delivery[[#This Row],[Exchange rate for premiums VS USD]]</f>
        <v>10.609559735593219</v>
      </c>
      <c r="AM21" s="171">
        <f>Delivery[[#This Row],[Valor Prêmio Nespresso BEN por Kg (em US$)]]*60</f>
        <v>636.57358413559314</v>
      </c>
      <c r="AN21" s="171">
        <f>Delivery[[#This Row],[Valor Prêmio Nespresso BEN por saca (em US$)]]/1.3228/100</f>
        <v>4.8123192027184238</v>
      </c>
      <c r="AO21" s="171">
        <f>SUMIF(Allocation[Delivery ID],Delivery[[#This Row],[Delivery ID]],Allocation[Quantity allocated])*16*1.3228*Delivery[[#This Row],[Exchange rate VS USD]]/60</f>
        <v>75.963996651458729</v>
      </c>
      <c r="AP21" s="171">
        <f>Delivery[[#This Row],[AAA Premium (total)]]</f>
        <v>7307.3001909255981</v>
      </c>
      <c r="AQ21" s="171">
        <f>Delivery[[#This Row],[Valor pago pelo Cluster]]-Delivery[[#This Row],[Valor efetivamente pago pela Nespresso]]</f>
        <v>7231.3361942741394</v>
      </c>
    </row>
    <row r="22" spans="1:43" ht="15.75">
      <c r="A22" s="174" t="s">
        <v>69</v>
      </c>
      <c r="B22" s="232" t="s">
        <v>68</v>
      </c>
      <c r="C22" s="157">
        <v>1</v>
      </c>
      <c r="D22" s="157" t="s">
        <v>468</v>
      </c>
      <c r="E22" s="177" t="s">
        <v>468</v>
      </c>
      <c r="F22" s="233" t="s">
        <v>469</v>
      </c>
      <c r="G22" s="234">
        <v>42633</v>
      </c>
      <c r="H22" s="235" t="s">
        <v>490</v>
      </c>
      <c r="I22" s="157" t="s">
        <v>480</v>
      </c>
      <c r="J22" s="237">
        <v>17280</v>
      </c>
      <c r="K22" s="175" t="s">
        <v>472</v>
      </c>
      <c r="L22" s="175" t="s">
        <v>439</v>
      </c>
      <c r="M22" s="175" t="s">
        <v>1343</v>
      </c>
      <c r="N22" s="180" t="s">
        <v>483</v>
      </c>
      <c r="O22" s="177"/>
      <c r="P22" s="181">
        <v>0</v>
      </c>
      <c r="Q22" s="177">
        <v>42153</v>
      </c>
      <c r="R22" s="178">
        <v>524.14001369476318</v>
      </c>
      <c r="S22" s="179">
        <v>130689.38769481191</v>
      </c>
      <c r="T22" s="182" t="s">
        <v>45</v>
      </c>
      <c r="U22" s="183">
        <v>3.6500000953674316</v>
      </c>
      <c r="V22" s="179">
        <v>7358.4001922607422</v>
      </c>
      <c r="W22" s="179">
        <v>2300.7461525940398</v>
      </c>
      <c r="X22" s="184" t="s">
        <v>45</v>
      </c>
      <c r="Y22" s="183">
        <v>3.6500000953674316</v>
      </c>
      <c r="Z22" s="220" t="s">
        <v>473</v>
      </c>
      <c r="AA22" s="172">
        <f>Delivery[[#This Row],[Quantity delivered]]*VLOOKUP(Delivery[[#This Row],[Unit]],Tab_Conversão[],4,FALSE)*VLOOKUP(CONCATENATE(Delivery[[#This Row],[Coffee specie]],Delivery[[#This Row],[Coffee state]]),Tab_Conversão[],4,FALSE)</f>
        <v>17280</v>
      </c>
      <c r="AB22" s="169">
        <f>SUMIF(Allocation!C:C,Delivery[[#This Row],[Delivery ID]],Allocation!D:D)/Delivery[[#This Row],[Quantity delivered]]</f>
        <v>1.0358796296296297E-2</v>
      </c>
      <c r="AC22" s="170">
        <f>Delivery[[#This Row],[Quantity delivered]]*Delivery[[#This Row],[Base price (Unidad)]]/60</f>
        <v>150952.3239440918</v>
      </c>
      <c r="AD22" s="171">
        <f>Delivery[[#This Row],[Nespresso total]]-Delivery[[#This Row],[Qt. Delivery * Base Price]]</f>
        <v>-20262.936249279883</v>
      </c>
      <c r="AE22" s="171">
        <f>Delivery[[#This Row],[AAA Premium (total)]]/Delivery[[#This Row],[Quantity delivered]]*60/Delivery[[#This Row],[Exchange rate VS USD]]</f>
        <v>7</v>
      </c>
      <c r="AF22" s="171">
        <f>Delivery[[#This Row],[BEN premium (total)]]/Delivery[[#This Row],[Quantity delivered]]*60/Delivery[[#This Row],[Exchange rate for premiums VS USD]]</f>
        <v>2.1886853999999998</v>
      </c>
      <c r="AG22" s="171">
        <f>COUNTIF(Delivery[Delivery ID],Delivery[[#This Row],[Delivery ID]])</f>
        <v>1</v>
      </c>
      <c r="AH22" s="171">
        <f>(Delivery[[#This Row],[Nespresso total]]/SUMIF(Allocation!C:C,Delivery[Delivery ID],Allocation!H:H))/Delivery[[#This Row],[Exchange rate VS USD]]</f>
        <v>606.86967392686972</v>
      </c>
      <c r="AI22" s="171">
        <f>(Delivery[[#This Row],[AAA Premium (total)]]/SUMIF(Allocation!C:C,Delivery[Delivery ID],Allocation!H:H))/Delivery[[#This Row],[Exchange rate VS USD]]</f>
        <v>34.16949152542373</v>
      </c>
      <c r="AJ22" s="171">
        <f>Delivery[[#This Row],[Valor Prêmio Nespresso AAA por Kg (em US$)]]*60</f>
        <v>2050.1694915254238</v>
      </c>
      <c r="AK22" s="171">
        <f>Delivery[[#This Row],[Valor Prêmio Nespresso AAA por saca (em US$)]]/1.3228/100</f>
        <v>15.49871100336728</v>
      </c>
      <c r="AL22" s="171">
        <f>(Delivery[[#This Row],[BEN premium (total)]]/SUMIF(Allocation!C:C,Delivery[Delivery ID],Allocation!H:H))/Delivery[[#This Row],[Exchange rate for premiums VS USD]]</f>
        <v>10.683752461016949</v>
      </c>
      <c r="AM22" s="171">
        <f>Delivery[[#This Row],[Valor Prêmio Nespresso BEN por Kg (em US$)]]*60</f>
        <v>641.02514766101694</v>
      </c>
      <c r="AN22" s="171">
        <f>Delivery[[#This Row],[Valor Prêmio Nespresso BEN por saca (em US$)]]/1.3228/100</f>
        <v>4.8459717845556165</v>
      </c>
      <c r="AO22" s="171">
        <f>SUMIF(Allocation[Delivery ID],Delivery[[#This Row],[Delivery ID]],Allocation[Quantity allocated])*16*1.3228*Delivery[[#This Row],[Exchange rate VS USD]]/60</f>
        <v>75.963996651458729</v>
      </c>
      <c r="AP22" s="171">
        <f>Delivery[[#This Row],[AAA Premium (total)]]</f>
        <v>7358.4001922607422</v>
      </c>
      <c r="AQ22" s="171">
        <f>Delivery[[#This Row],[Valor pago pelo Cluster]]-Delivery[[#This Row],[Valor efetivamente pago pela Nespresso]]</f>
        <v>7282.4361956092835</v>
      </c>
    </row>
    <row r="23" spans="1:43" ht="15.75">
      <c r="A23" s="174" t="s">
        <v>69</v>
      </c>
      <c r="B23" s="232" t="s">
        <v>68</v>
      </c>
      <c r="C23" s="157">
        <v>1</v>
      </c>
      <c r="D23" s="157" t="s">
        <v>468</v>
      </c>
      <c r="E23" s="177" t="s">
        <v>468</v>
      </c>
      <c r="F23" s="233" t="s">
        <v>469</v>
      </c>
      <c r="G23" s="234">
        <v>42640</v>
      </c>
      <c r="H23" s="238" t="s">
        <v>491</v>
      </c>
      <c r="I23" s="157" t="s">
        <v>492</v>
      </c>
      <c r="J23" s="237">
        <v>16980</v>
      </c>
      <c r="K23" s="175" t="s">
        <v>472</v>
      </c>
      <c r="L23" s="175" t="s">
        <v>439</v>
      </c>
      <c r="M23" s="175" t="s">
        <v>1343</v>
      </c>
      <c r="N23" s="180" t="s">
        <v>483</v>
      </c>
      <c r="O23" s="177"/>
      <c r="P23" s="181">
        <v>0</v>
      </c>
      <c r="Q23" s="177">
        <v>41746</v>
      </c>
      <c r="R23" s="178">
        <v>594.6959820270539</v>
      </c>
      <c r="S23" s="179">
        <v>160398.24964695072</v>
      </c>
      <c r="T23" s="182" t="s">
        <v>45</v>
      </c>
      <c r="U23" s="183">
        <v>2.8399999141693115</v>
      </c>
      <c r="V23" s="179">
        <v>5626.0398299694061</v>
      </c>
      <c r="W23" s="179">
        <v>1759.0901765246458</v>
      </c>
      <c r="X23" s="184" t="s">
        <v>45</v>
      </c>
      <c r="Y23" s="183">
        <v>2.8399999141693115</v>
      </c>
      <c r="Z23" s="220" t="s">
        <v>473</v>
      </c>
      <c r="AA23" s="172">
        <f>Delivery[[#This Row],[Quantity delivered]]*VLOOKUP(Delivery[[#This Row],[Unit]],Tab_Conversão[],4,FALSE)*VLOOKUP(CONCATENATE(Delivery[[#This Row],[Coffee specie]],Delivery[[#This Row],[Coffee state]]),Tab_Conversão[],4,FALSE)</f>
        <v>16980</v>
      </c>
      <c r="AB23" s="169">
        <f>SUMIF(Allocation!C:C,Delivery[[#This Row],[Delivery ID]],Allocation!D:D)/Delivery[[#This Row],[Quantity delivered]]</f>
        <v>1.0541813898704358E-2</v>
      </c>
      <c r="AC23" s="170">
        <f>Delivery[[#This Row],[Quantity delivered]]*Delivery[[#This Row],[Base price (Unidad)]]/60</f>
        <v>168298.96291365626</v>
      </c>
      <c r="AD23" s="171">
        <f>Delivery[[#This Row],[Nespresso total]]-Delivery[[#This Row],[Qt. Delivery * Base Price]]</f>
        <v>-7900.7132667055412</v>
      </c>
      <c r="AE23" s="171">
        <f>Delivery[[#This Row],[AAA Premium (total)]]/Delivery[[#This Row],[Quantity delivered]]*60/Delivery[[#This Row],[Exchange rate VS USD]]</f>
        <v>7</v>
      </c>
      <c r="AF23" s="171">
        <f>Delivery[[#This Row],[BEN premium (total)]]/Delivery[[#This Row],[Quantity delivered]]*60/Delivery[[#This Row],[Exchange rate for premiums VS USD]]</f>
        <v>2.1886853999999998</v>
      </c>
      <c r="AG23" s="171">
        <f>COUNTIF(Delivery[Delivery ID],Delivery[[#This Row],[Delivery ID]])</f>
        <v>1</v>
      </c>
      <c r="AH23" s="171">
        <f>(Delivery[[#This Row],[Nespresso total]]/SUMIF(Allocation!C:C,Delivery[Delivery ID],Allocation!H:H))/Delivery[[#This Row],[Exchange rate VS USD]]</f>
        <v>957.25862075983855</v>
      </c>
      <c r="AI23" s="171">
        <f>(Delivery[[#This Row],[AAA Premium (total)]]/SUMIF(Allocation!C:C,Delivery[Delivery ID],Allocation!H:H))/Delivery[[#This Row],[Exchange rate VS USD]]</f>
        <v>33.576271186440678</v>
      </c>
      <c r="AJ23" s="171">
        <f>Delivery[[#This Row],[Valor Prêmio Nespresso AAA por Kg (em US$)]]*60</f>
        <v>2014.5762711864406</v>
      </c>
      <c r="AK23" s="171">
        <f>Delivery[[#This Row],[Valor Prêmio Nespresso AAA por saca (em US$)]]/1.3228/100</f>
        <v>15.229636159558821</v>
      </c>
      <c r="AL23" s="171">
        <f>(Delivery[[#This Row],[BEN premium (total)]]/SUMIF(Allocation!C:C,Delivery[Delivery ID],Allocation!H:H))/Delivery[[#This Row],[Exchange rate for premiums VS USD]]</f>
        <v>10.498270647457627</v>
      </c>
      <c r="AM23" s="171">
        <f>Delivery[[#This Row],[Valor Prêmio Nespresso BEN por Kg (em US$)]]*60</f>
        <v>629.89623884745765</v>
      </c>
      <c r="AN23" s="171">
        <f>Delivery[[#This Row],[Valor Prêmio Nespresso BEN por saca (em US$)]]/1.3228/100</f>
        <v>4.7618403299626371</v>
      </c>
      <c r="AO23" s="171">
        <f>SUMIF(Allocation[Delivery ID],Delivery[[#This Row],[Delivery ID]],Allocation[Quantity allocated])*16*1.3228*Delivery[[#This Row],[Exchange rate VS USD]]/60</f>
        <v>59.106229680353792</v>
      </c>
      <c r="AP23" s="171">
        <f>Delivery[[#This Row],[AAA Premium (total)]]</f>
        <v>5626.0398299694061</v>
      </c>
      <c r="AQ23" s="171">
        <f>Delivery[[#This Row],[Valor pago pelo Cluster]]-Delivery[[#This Row],[Valor efetivamente pago pela Nespresso]]</f>
        <v>5566.9336002890523</v>
      </c>
    </row>
    <row r="24" spans="1:43" ht="15.75">
      <c r="A24" s="174" t="s">
        <v>69</v>
      </c>
      <c r="B24" s="232" t="s">
        <v>68</v>
      </c>
      <c r="C24" s="157">
        <v>1</v>
      </c>
      <c r="D24" s="157" t="s">
        <v>468</v>
      </c>
      <c r="E24" s="177" t="s">
        <v>468</v>
      </c>
      <c r="F24" s="233" t="s">
        <v>469</v>
      </c>
      <c r="G24" s="234">
        <v>42640</v>
      </c>
      <c r="H24" s="238" t="s">
        <v>493</v>
      </c>
      <c r="I24" s="157" t="s">
        <v>492</v>
      </c>
      <c r="J24" s="237">
        <v>16920</v>
      </c>
      <c r="K24" s="175" t="s">
        <v>472</v>
      </c>
      <c r="L24" s="175" t="s">
        <v>439</v>
      </c>
      <c r="M24" s="175" t="s">
        <v>1343</v>
      </c>
      <c r="N24" s="180"/>
      <c r="O24" s="177"/>
      <c r="P24" s="181">
        <v>0</v>
      </c>
      <c r="Q24" s="177">
        <v>41746</v>
      </c>
      <c r="R24" s="178">
        <v>594.6959820270539</v>
      </c>
      <c r="S24" s="179">
        <v>159831.47137964703</v>
      </c>
      <c r="T24" s="182" t="s">
        <v>45</v>
      </c>
      <c r="U24" s="183">
        <v>2.8399999141693115</v>
      </c>
      <c r="V24" s="179">
        <v>5606.1598305702209</v>
      </c>
      <c r="W24" s="179">
        <v>1752.8743101765024</v>
      </c>
      <c r="X24" s="184" t="s">
        <v>45</v>
      </c>
      <c r="Y24" s="183">
        <v>2.8399999141693115</v>
      </c>
      <c r="Z24" s="220" t="s">
        <v>473</v>
      </c>
      <c r="AA24" s="172">
        <f>Delivery[[#This Row],[Quantity delivered]]*VLOOKUP(Delivery[[#This Row],[Unit]],Tab_Conversão[],4,FALSE)*VLOOKUP(CONCATENATE(Delivery[[#This Row],[Coffee specie]],Delivery[[#This Row],[Coffee state]]),Tab_Conversão[],4,FALSE)</f>
        <v>16920</v>
      </c>
      <c r="AB24" s="169">
        <f>SUMIF(Allocation!C:C,Delivery[[#This Row],[Delivery ID]],Allocation!D:D)/Delivery[[#This Row],[Quantity delivered]]</f>
        <v>1.0579196217494089E-2</v>
      </c>
      <c r="AC24" s="170">
        <f>Delivery[[#This Row],[Quantity delivered]]*Delivery[[#This Row],[Base price (Unidad)]]/60</f>
        <v>167704.26693162922</v>
      </c>
      <c r="AD24" s="171">
        <f>Delivery[[#This Row],[Nespresso total]]-Delivery[[#This Row],[Qt. Delivery * Base Price]]</f>
        <v>-7872.7955519821844</v>
      </c>
      <c r="AE24" s="171">
        <f>Delivery[[#This Row],[AAA Premium (total)]]/Delivery[[#This Row],[Quantity delivered]]*60/Delivery[[#This Row],[Exchange rate VS USD]]</f>
        <v>7</v>
      </c>
      <c r="AF24" s="171">
        <f>Delivery[[#This Row],[BEN premium (total)]]/Delivery[[#This Row],[Quantity delivered]]*60/Delivery[[#This Row],[Exchange rate for premiums VS USD]]</f>
        <v>2.1886853999999998</v>
      </c>
      <c r="AG24" s="171">
        <f>COUNTIF(Delivery[Delivery ID],Delivery[[#This Row],[Delivery ID]])</f>
        <v>1</v>
      </c>
      <c r="AH24" s="171">
        <f>(Delivery[[#This Row],[Nespresso total]]/SUMIF(Allocation!C:C,Delivery[Delivery ID],Allocation!H:H))/Delivery[[#This Row],[Exchange rate VS USD]]</f>
        <v>953.87608146386754</v>
      </c>
      <c r="AI24" s="171">
        <f>(Delivery[[#This Row],[AAA Premium (total)]]/SUMIF(Allocation!C:C,Delivery[Delivery ID],Allocation!H:H))/Delivery[[#This Row],[Exchange rate VS USD]]</f>
        <v>33.457627118644069</v>
      </c>
      <c r="AJ24" s="171">
        <f>Delivery[[#This Row],[Valor Prêmio Nespresso AAA por Kg (em US$)]]*60</f>
        <v>2007.4576271186443</v>
      </c>
      <c r="AK24" s="171">
        <f>Delivery[[#This Row],[Valor Prêmio Nespresso AAA por saca (em US$)]]/1.3228/100</f>
        <v>15.17582119079713</v>
      </c>
      <c r="AL24" s="171">
        <f>(Delivery[[#This Row],[BEN premium (total)]]/SUMIF(Allocation!C:C,Delivery[Delivery ID],Allocation!H:H))/Delivery[[#This Row],[Exchange rate for premiums VS USD]]</f>
        <v>10.461174284745763</v>
      </c>
      <c r="AM24" s="171">
        <f>Delivery[[#This Row],[Valor Prêmio Nespresso BEN por Kg (em US$)]]*60</f>
        <v>627.67045708474575</v>
      </c>
      <c r="AN24" s="171">
        <f>Delivery[[#This Row],[Valor Prêmio Nespresso BEN por saca (em US$)]]/1.3228/100</f>
        <v>4.7450140390440412</v>
      </c>
      <c r="AO24" s="171">
        <f>SUMIF(Allocation[Delivery ID],Delivery[[#This Row],[Delivery ID]],Allocation[Quantity allocated])*16*1.3228*Delivery[[#This Row],[Exchange rate VS USD]]/60</f>
        <v>59.106229680353792</v>
      </c>
      <c r="AP24" s="171">
        <f>Delivery[[#This Row],[AAA Premium (total)]]</f>
        <v>5606.1598305702209</v>
      </c>
      <c r="AQ24" s="171">
        <f>Delivery[[#This Row],[Valor pago pelo Cluster]]-Delivery[[#This Row],[Valor efetivamente pago pela Nespresso]]</f>
        <v>5547.0536008898671</v>
      </c>
    </row>
    <row r="25" spans="1:43" ht="15.75">
      <c r="A25" s="174" t="s">
        <v>69</v>
      </c>
      <c r="B25" s="232" t="s">
        <v>68</v>
      </c>
      <c r="C25" s="157">
        <v>1</v>
      </c>
      <c r="D25" s="157" t="s">
        <v>468</v>
      </c>
      <c r="E25" s="177" t="s">
        <v>468</v>
      </c>
      <c r="F25" s="233" t="s">
        <v>469</v>
      </c>
      <c r="G25" s="234">
        <v>42640</v>
      </c>
      <c r="H25" s="238" t="s">
        <v>494</v>
      </c>
      <c r="I25" s="157" t="s">
        <v>480</v>
      </c>
      <c r="J25" s="237">
        <v>16920</v>
      </c>
      <c r="K25" s="175" t="s">
        <v>472</v>
      </c>
      <c r="L25" s="175" t="s">
        <v>439</v>
      </c>
      <c r="M25" s="175" t="s">
        <v>1343</v>
      </c>
      <c r="N25" s="180"/>
      <c r="O25" s="177"/>
      <c r="P25" s="181">
        <v>0</v>
      </c>
      <c r="Q25" s="177">
        <v>41746</v>
      </c>
      <c r="R25" s="178">
        <v>594.6959820270539</v>
      </c>
      <c r="S25" s="179">
        <v>159831.47137964703</v>
      </c>
      <c r="T25" s="182" t="s">
        <v>45</v>
      </c>
      <c r="U25" s="183">
        <v>2.8399999141693115</v>
      </c>
      <c r="V25" s="179">
        <v>5606.1598305702209</v>
      </c>
      <c r="W25" s="179">
        <v>1752.8743101765024</v>
      </c>
      <c r="X25" s="184" t="s">
        <v>45</v>
      </c>
      <c r="Y25" s="183">
        <v>2.8399999141693115</v>
      </c>
      <c r="Z25" s="220" t="s">
        <v>473</v>
      </c>
      <c r="AA25" s="172">
        <f>Delivery[[#This Row],[Quantity delivered]]*VLOOKUP(Delivery[[#This Row],[Unit]],Tab_Conversão[],4,FALSE)*VLOOKUP(CONCATENATE(Delivery[[#This Row],[Coffee specie]],Delivery[[#This Row],[Coffee state]]),Tab_Conversão[],4,FALSE)</f>
        <v>16920</v>
      </c>
      <c r="AB25" s="169">
        <f>SUMIF(Allocation!C:C,Delivery[[#This Row],[Delivery ID]],Allocation!D:D)/Delivery[[#This Row],[Quantity delivered]]</f>
        <v>1.0579196217494089E-2</v>
      </c>
      <c r="AC25" s="170">
        <f>Delivery[[#This Row],[Quantity delivered]]*Delivery[[#This Row],[Base price (Unidad)]]/60</f>
        <v>167704.26693162922</v>
      </c>
      <c r="AD25" s="171">
        <f>Delivery[[#This Row],[Nespresso total]]-Delivery[[#This Row],[Qt. Delivery * Base Price]]</f>
        <v>-7872.7955519821844</v>
      </c>
      <c r="AE25" s="171">
        <f>Delivery[[#This Row],[AAA Premium (total)]]/Delivery[[#This Row],[Quantity delivered]]*60/Delivery[[#This Row],[Exchange rate VS USD]]</f>
        <v>7</v>
      </c>
      <c r="AF25" s="171">
        <f>Delivery[[#This Row],[BEN premium (total)]]/Delivery[[#This Row],[Quantity delivered]]*60/Delivery[[#This Row],[Exchange rate for premiums VS USD]]</f>
        <v>2.1886853999999998</v>
      </c>
      <c r="AG25" s="171">
        <f>COUNTIF(Delivery[Delivery ID],Delivery[[#This Row],[Delivery ID]])</f>
        <v>1</v>
      </c>
      <c r="AH25" s="171">
        <f>(Delivery[[#This Row],[Nespresso total]]/SUMIF(Allocation!C:C,Delivery[Delivery ID],Allocation!H:H))/Delivery[[#This Row],[Exchange rate VS USD]]</f>
        <v>953.87608146386754</v>
      </c>
      <c r="AI25" s="171">
        <f>(Delivery[[#This Row],[AAA Premium (total)]]/SUMIF(Allocation!C:C,Delivery[Delivery ID],Allocation!H:H))/Delivery[[#This Row],[Exchange rate VS USD]]</f>
        <v>33.457627118644069</v>
      </c>
      <c r="AJ25" s="171">
        <f>Delivery[[#This Row],[Valor Prêmio Nespresso AAA por Kg (em US$)]]*60</f>
        <v>2007.4576271186443</v>
      </c>
      <c r="AK25" s="171">
        <f>Delivery[[#This Row],[Valor Prêmio Nespresso AAA por saca (em US$)]]/1.3228/100</f>
        <v>15.17582119079713</v>
      </c>
      <c r="AL25" s="171">
        <f>(Delivery[[#This Row],[BEN premium (total)]]/SUMIF(Allocation!C:C,Delivery[Delivery ID],Allocation!H:H))/Delivery[[#This Row],[Exchange rate for premiums VS USD]]</f>
        <v>10.461174284745763</v>
      </c>
      <c r="AM25" s="171">
        <f>Delivery[[#This Row],[Valor Prêmio Nespresso BEN por Kg (em US$)]]*60</f>
        <v>627.67045708474575</v>
      </c>
      <c r="AN25" s="171">
        <f>Delivery[[#This Row],[Valor Prêmio Nespresso BEN por saca (em US$)]]/1.3228/100</f>
        <v>4.7450140390440412</v>
      </c>
      <c r="AO25" s="171">
        <f>SUMIF(Allocation[Delivery ID],Delivery[[#This Row],[Delivery ID]],Allocation[Quantity allocated])*16*1.3228*Delivery[[#This Row],[Exchange rate VS USD]]/60</f>
        <v>59.106229680353792</v>
      </c>
      <c r="AP25" s="171">
        <f>Delivery[[#This Row],[AAA Premium (total)]]</f>
        <v>5606.1598305702209</v>
      </c>
      <c r="AQ25" s="171">
        <f>Delivery[[#This Row],[Valor pago pelo Cluster]]-Delivery[[#This Row],[Valor efetivamente pago pela Nespresso]]</f>
        <v>5547.0536008898671</v>
      </c>
    </row>
    <row r="26" spans="1:43" ht="15.75">
      <c r="A26" s="174" t="s">
        <v>69</v>
      </c>
      <c r="B26" s="232" t="s">
        <v>68</v>
      </c>
      <c r="C26" s="157">
        <v>1</v>
      </c>
      <c r="D26" s="157" t="s">
        <v>468</v>
      </c>
      <c r="E26" s="177" t="s">
        <v>468</v>
      </c>
      <c r="F26" s="233" t="s">
        <v>469</v>
      </c>
      <c r="G26" s="234">
        <v>42640</v>
      </c>
      <c r="H26" s="238" t="s">
        <v>495</v>
      </c>
      <c r="I26" s="157" t="s">
        <v>492</v>
      </c>
      <c r="J26" s="237">
        <v>18780</v>
      </c>
      <c r="K26" s="175" t="s">
        <v>472</v>
      </c>
      <c r="L26" s="175" t="s">
        <v>439</v>
      </c>
      <c r="M26" s="175" t="s">
        <v>1343</v>
      </c>
      <c r="N26" s="180"/>
      <c r="O26" s="177"/>
      <c r="P26" s="181">
        <v>0</v>
      </c>
      <c r="Q26" s="177">
        <v>41746</v>
      </c>
      <c r="R26" s="178">
        <v>594.6959820270539</v>
      </c>
      <c r="S26" s="179">
        <v>177401.59766606209</v>
      </c>
      <c r="T26" s="182" t="s">
        <v>45</v>
      </c>
      <c r="U26" s="183">
        <v>2.8399999141693115</v>
      </c>
      <c r="V26" s="179">
        <v>6222.4398119449615</v>
      </c>
      <c r="W26" s="179">
        <v>1945.5661669689548</v>
      </c>
      <c r="X26" s="184" t="s">
        <v>45</v>
      </c>
      <c r="Y26" s="183">
        <v>2.8399999141693115</v>
      </c>
      <c r="Z26" s="220" t="s">
        <v>473</v>
      </c>
      <c r="AA26" s="172">
        <f>Delivery[[#This Row],[Quantity delivered]]*VLOOKUP(Delivery[[#This Row],[Unit]],Tab_Conversão[],4,FALSE)*VLOOKUP(CONCATENATE(Delivery[[#This Row],[Coffee specie]],Delivery[[#This Row],[Coffee state]]),Tab_Conversão[],4,FALSE)</f>
        <v>18780</v>
      </c>
      <c r="AB26" s="169">
        <f>SUMIF(Allocation!C:C,Delivery[[#This Row],[Delivery ID]],Allocation!D:D)/Delivery[[#This Row],[Quantity delivered]]</f>
        <v>9.5314164004259849E-3</v>
      </c>
      <c r="AC26" s="170">
        <f>Delivery[[#This Row],[Quantity delivered]]*Delivery[[#This Row],[Base price (Unidad)]]/60</f>
        <v>186139.84237446787</v>
      </c>
      <c r="AD26" s="171">
        <f>Delivery[[#This Row],[Nespresso total]]-Delivery[[#This Row],[Qt. Delivery * Base Price]]</f>
        <v>-8738.2447084057785</v>
      </c>
      <c r="AE26" s="171">
        <f>Delivery[[#This Row],[AAA Premium (total)]]/Delivery[[#This Row],[Quantity delivered]]*60/Delivery[[#This Row],[Exchange rate VS USD]]</f>
        <v>7</v>
      </c>
      <c r="AF26" s="171">
        <f>Delivery[[#This Row],[BEN premium (total)]]/Delivery[[#This Row],[Quantity delivered]]*60/Delivery[[#This Row],[Exchange rate for premiums VS USD]]</f>
        <v>2.1886853999999998</v>
      </c>
      <c r="AG26" s="171">
        <f>COUNTIF(Delivery[Delivery ID],Delivery[[#This Row],[Delivery ID]])</f>
        <v>1</v>
      </c>
      <c r="AH26" s="171">
        <f>(Delivery[[#This Row],[Nespresso total]]/SUMIF(Allocation!C:C,Delivery[Delivery ID],Allocation!H:H))/Delivery[[#This Row],[Exchange rate VS USD]]</f>
        <v>1058.7347996389733</v>
      </c>
      <c r="AI26" s="171">
        <f>(Delivery[[#This Row],[AAA Premium (total)]]/SUMIF(Allocation!C:C,Delivery[Delivery ID],Allocation!H:H))/Delivery[[#This Row],[Exchange rate VS USD]]</f>
        <v>37.135593220338983</v>
      </c>
      <c r="AJ26" s="171">
        <f>Delivery[[#This Row],[Valor Prêmio Nespresso AAA por Kg (em US$)]]*60</f>
        <v>2228.1355932203392</v>
      </c>
      <c r="AK26" s="171">
        <f>Delivery[[#This Row],[Valor Prêmio Nespresso AAA por saca (em US$)]]/1.3228/100</f>
        <v>16.844085222409582</v>
      </c>
      <c r="AL26" s="171">
        <f>(Delivery[[#This Row],[BEN premium (total)]]/SUMIF(Allocation!C:C,Delivery[Delivery ID],Allocation!H:H))/Delivery[[#This Row],[Exchange rate for premiums VS USD]]</f>
        <v>11.611161528813561</v>
      </c>
      <c r="AM26" s="171">
        <f>Delivery[[#This Row],[Valor Prêmio Nespresso BEN por Kg (em US$)]]*60</f>
        <v>696.66969172881363</v>
      </c>
      <c r="AN26" s="171">
        <f>Delivery[[#This Row],[Valor Prêmio Nespresso BEN por saca (em US$)]]/1.3228/100</f>
        <v>5.2666290575205146</v>
      </c>
      <c r="AO26" s="171">
        <f>SUMIF(Allocation[Delivery ID],Delivery[[#This Row],[Delivery ID]],Allocation[Quantity allocated])*16*1.3228*Delivery[[#This Row],[Exchange rate VS USD]]/60</f>
        <v>59.106229680353792</v>
      </c>
      <c r="AP26" s="171">
        <f>Delivery[[#This Row],[AAA Premium (total)]]</f>
        <v>6222.4398119449615</v>
      </c>
      <c r="AQ26" s="171">
        <f>Delivery[[#This Row],[Valor pago pelo Cluster]]-Delivery[[#This Row],[Valor efetivamente pago pela Nespresso]]</f>
        <v>6163.3335822646077</v>
      </c>
    </row>
    <row r="27" spans="1:43" ht="15.75">
      <c r="A27" s="174" t="s">
        <v>69</v>
      </c>
      <c r="B27" s="232" t="s">
        <v>68</v>
      </c>
      <c r="C27" s="157">
        <v>1</v>
      </c>
      <c r="D27" s="157" t="s">
        <v>468</v>
      </c>
      <c r="E27" s="177" t="s">
        <v>468</v>
      </c>
      <c r="F27" s="233" t="s">
        <v>469</v>
      </c>
      <c r="G27" s="234">
        <v>42640</v>
      </c>
      <c r="H27" s="238" t="s">
        <v>496</v>
      </c>
      <c r="I27" s="157" t="s">
        <v>492</v>
      </c>
      <c r="J27" s="237">
        <v>16500</v>
      </c>
      <c r="K27" s="175" t="s">
        <v>472</v>
      </c>
      <c r="L27" s="175" t="s">
        <v>439</v>
      </c>
      <c r="M27" s="175" t="s">
        <v>1343</v>
      </c>
      <c r="N27" s="180"/>
      <c r="O27" s="177"/>
      <c r="P27" s="181">
        <v>0</v>
      </c>
      <c r="Q27" s="177">
        <v>41746</v>
      </c>
      <c r="R27" s="178">
        <v>594.6959820270539</v>
      </c>
      <c r="S27" s="179">
        <v>155864.02350852106</v>
      </c>
      <c r="T27" s="182" t="s">
        <v>45</v>
      </c>
      <c r="U27" s="183">
        <v>2.8399999141693115</v>
      </c>
      <c r="V27" s="179">
        <v>5466.9998347759247</v>
      </c>
      <c r="W27" s="179">
        <v>1709.363245739497</v>
      </c>
      <c r="X27" s="184" t="s">
        <v>45</v>
      </c>
      <c r="Y27" s="183">
        <v>2.8399999141693115</v>
      </c>
      <c r="Z27" s="220" t="s">
        <v>473</v>
      </c>
      <c r="AA27" s="172">
        <f>Delivery[[#This Row],[Quantity delivered]]*VLOOKUP(Delivery[[#This Row],[Unit]],Tab_Conversão[],4,FALSE)*VLOOKUP(CONCATENATE(Delivery[[#This Row],[Coffee specie]],Delivery[[#This Row],[Coffee state]]),Tab_Conversão[],4,FALSE)</f>
        <v>16500</v>
      </c>
      <c r="AB27" s="169">
        <f>SUMIF(Allocation!C:C,Delivery[[#This Row],[Delivery ID]],Allocation!D:D)/Delivery[[#This Row],[Quantity delivered]]</f>
        <v>1.0848484848484849E-2</v>
      </c>
      <c r="AC27" s="170">
        <f>Delivery[[#This Row],[Quantity delivered]]*Delivery[[#This Row],[Base price (Unidad)]]/60</f>
        <v>163541.39505743983</v>
      </c>
      <c r="AD27" s="171">
        <f>Delivery[[#This Row],[Nespresso total]]-Delivery[[#This Row],[Qt. Delivery * Base Price]]</f>
        <v>-7677.3715489187744</v>
      </c>
      <c r="AE27" s="171">
        <f>Delivery[[#This Row],[AAA Premium (total)]]/Delivery[[#This Row],[Quantity delivered]]*60/Delivery[[#This Row],[Exchange rate VS USD]]</f>
        <v>7</v>
      </c>
      <c r="AF27" s="171">
        <f>Delivery[[#This Row],[BEN premium (total)]]/Delivery[[#This Row],[Quantity delivered]]*60/Delivery[[#This Row],[Exchange rate for premiums VS USD]]</f>
        <v>2.1886853999999998</v>
      </c>
      <c r="AG27" s="171">
        <f>COUNTIF(Delivery[Delivery ID],Delivery[[#This Row],[Delivery ID]])</f>
        <v>1</v>
      </c>
      <c r="AH27" s="171">
        <f>(Delivery[[#This Row],[Nespresso total]]/SUMIF(Allocation!C:C,Delivery[Delivery ID],Allocation!H:H))/Delivery[[#This Row],[Exchange rate VS USD]]</f>
        <v>930.19830639206941</v>
      </c>
      <c r="AI27" s="171">
        <f>(Delivery[[#This Row],[AAA Premium (total)]]/SUMIF(Allocation!C:C,Delivery[Delivery ID],Allocation!H:H))/Delivery[[#This Row],[Exchange rate VS USD]]</f>
        <v>32.627118644067799</v>
      </c>
      <c r="AJ27" s="171">
        <f>Delivery[[#This Row],[Valor Prêmio Nespresso AAA por Kg (em US$)]]*60</f>
        <v>1957.6271186440679</v>
      </c>
      <c r="AK27" s="171">
        <f>Delivery[[#This Row],[Valor Prêmio Nespresso AAA por saca (em US$)]]/1.3228/100</f>
        <v>14.799116409465285</v>
      </c>
      <c r="AL27" s="171">
        <f>(Delivery[[#This Row],[BEN premium (total)]]/SUMIF(Allocation!C:C,Delivery[Delivery ID],Allocation!H:H))/Delivery[[#This Row],[Exchange rate for premiums VS USD]]</f>
        <v>10.201499745762712</v>
      </c>
      <c r="AM27" s="171">
        <f>Delivery[[#This Row],[Valor Prêmio Nespresso BEN por Kg (em US$)]]*60</f>
        <v>612.08998474576276</v>
      </c>
      <c r="AN27" s="171">
        <f>Delivery[[#This Row],[Valor Prêmio Nespresso BEN por saca (em US$)]]/1.3228/100</f>
        <v>4.62723000261387</v>
      </c>
      <c r="AO27" s="171">
        <f>SUMIF(Allocation[Delivery ID],Delivery[[#This Row],[Delivery ID]],Allocation[Quantity allocated])*16*1.3228*Delivery[[#This Row],[Exchange rate VS USD]]/60</f>
        <v>59.106229680353792</v>
      </c>
      <c r="AP27" s="171">
        <f>Delivery[[#This Row],[AAA Premium (total)]]</f>
        <v>5466.9998347759247</v>
      </c>
      <c r="AQ27" s="171">
        <f>Delivery[[#This Row],[Valor pago pelo Cluster]]-Delivery[[#This Row],[Valor efetivamente pago pela Nespresso]]</f>
        <v>5407.8936050955708</v>
      </c>
    </row>
    <row r="28" spans="1:43" ht="15.75">
      <c r="A28" s="174" t="s">
        <v>69</v>
      </c>
      <c r="B28" s="232" t="s">
        <v>68</v>
      </c>
      <c r="C28" s="157">
        <v>1</v>
      </c>
      <c r="D28" s="157" t="s">
        <v>468</v>
      </c>
      <c r="E28" s="177" t="s">
        <v>468</v>
      </c>
      <c r="F28" s="233" t="s">
        <v>469</v>
      </c>
      <c r="G28" s="234">
        <v>42640</v>
      </c>
      <c r="H28" s="238" t="s">
        <v>497</v>
      </c>
      <c r="I28" s="157" t="s">
        <v>492</v>
      </c>
      <c r="J28" s="237">
        <v>17100</v>
      </c>
      <c r="K28" s="175" t="s">
        <v>472</v>
      </c>
      <c r="L28" s="175" t="s">
        <v>439</v>
      </c>
      <c r="M28" s="175" t="s">
        <v>1343</v>
      </c>
      <c r="N28" s="180"/>
      <c r="O28" s="177"/>
      <c r="P28" s="181">
        <v>0</v>
      </c>
      <c r="Q28" s="177">
        <v>41746</v>
      </c>
      <c r="R28" s="178">
        <v>594.6959820270539</v>
      </c>
      <c r="S28" s="179">
        <v>161531.80618155815</v>
      </c>
      <c r="T28" s="182" t="s">
        <v>45</v>
      </c>
      <c r="U28" s="183">
        <v>2.8399999141693115</v>
      </c>
      <c r="V28" s="179">
        <v>5665.7998287677765</v>
      </c>
      <c r="W28" s="179">
        <v>1771.5219092209331</v>
      </c>
      <c r="X28" s="184" t="s">
        <v>45</v>
      </c>
      <c r="Y28" s="183">
        <v>2.8399999141693115</v>
      </c>
      <c r="Z28" s="220" t="s">
        <v>473</v>
      </c>
      <c r="AA28" s="172">
        <f>Delivery[[#This Row],[Quantity delivered]]*VLOOKUP(Delivery[[#This Row],[Unit]],Tab_Conversão[],4,FALSE)*VLOOKUP(CONCATENATE(Delivery[[#This Row],[Coffee specie]],Delivery[[#This Row],[Coffee state]]),Tab_Conversão[],4,FALSE)</f>
        <v>17100</v>
      </c>
      <c r="AB28" s="169">
        <f>SUMIF(Allocation!C:C,Delivery[[#This Row],[Delivery ID]],Allocation!D:D)/Delivery[[#This Row],[Quantity delivered]]</f>
        <v>1.0467836257309942E-2</v>
      </c>
      <c r="AC28" s="170">
        <f>Delivery[[#This Row],[Quantity delivered]]*Delivery[[#This Row],[Base price (Unidad)]]/60</f>
        <v>169488.35487771037</v>
      </c>
      <c r="AD28" s="171">
        <f>Delivery[[#This Row],[Nespresso total]]-Delivery[[#This Row],[Qt. Delivery * Base Price]]</f>
        <v>-7956.5486961522256</v>
      </c>
      <c r="AE28" s="171">
        <f>Delivery[[#This Row],[AAA Premium (total)]]/Delivery[[#This Row],[Quantity delivered]]*60/Delivery[[#This Row],[Exchange rate VS USD]]</f>
        <v>7</v>
      </c>
      <c r="AF28" s="171">
        <f>Delivery[[#This Row],[BEN premium (total)]]/Delivery[[#This Row],[Quantity delivered]]*60/Delivery[[#This Row],[Exchange rate for premiums VS USD]]</f>
        <v>2.1886853999999998</v>
      </c>
      <c r="AG28" s="171">
        <f>COUNTIF(Delivery[Delivery ID],Delivery[[#This Row],[Delivery ID]])</f>
        <v>1</v>
      </c>
      <c r="AH28" s="171">
        <f>(Delivery[[#This Row],[Nespresso total]]/SUMIF(Allocation!C:C,Delivery[Delivery ID],Allocation!H:H))/Delivery[[#This Row],[Exchange rate VS USD]]</f>
        <v>964.02369935178081</v>
      </c>
      <c r="AI28" s="171">
        <f>(Delivery[[#This Row],[AAA Premium (total)]]/SUMIF(Allocation!C:C,Delivery[Delivery ID],Allocation!H:H))/Delivery[[#This Row],[Exchange rate VS USD]]</f>
        <v>33.813559322033903</v>
      </c>
      <c r="AJ28" s="171">
        <f>Delivery[[#This Row],[Valor Prêmio Nespresso AAA por Kg (em US$)]]*60</f>
        <v>2028.8135593220343</v>
      </c>
      <c r="AK28" s="171">
        <f>Delivery[[#This Row],[Valor Prêmio Nespresso AAA por saca (em US$)]]/1.3228/100</f>
        <v>15.337266097082207</v>
      </c>
      <c r="AL28" s="171">
        <f>(Delivery[[#This Row],[BEN premium (total)]]/SUMIF(Allocation!C:C,Delivery[Delivery ID],Allocation!H:H))/Delivery[[#This Row],[Exchange rate for premiums VS USD]]</f>
        <v>10.572463372881355</v>
      </c>
      <c r="AM28" s="171">
        <f>Delivery[[#This Row],[Valor Prêmio Nespresso BEN por Kg (em US$)]]*60</f>
        <v>634.34780237288135</v>
      </c>
      <c r="AN28" s="171">
        <f>Delivery[[#This Row],[Valor Prêmio Nespresso BEN por saca (em US$)]]/1.3228/100</f>
        <v>4.7954929117998288</v>
      </c>
      <c r="AO28" s="171">
        <f>SUMIF(Allocation[Delivery ID],Delivery[[#This Row],[Delivery ID]],Allocation[Quantity allocated])*16*1.3228*Delivery[[#This Row],[Exchange rate VS USD]]/60</f>
        <v>59.106229680353792</v>
      </c>
      <c r="AP28" s="171">
        <f>Delivery[[#This Row],[AAA Premium (total)]]</f>
        <v>5665.7998287677765</v>
      </c>
      <c r="AQ28" s="171">
        <f>Delivery[[#This Row],[Valor pago pelo Cluster]]-Delivery[[#This Row],[Valor efetivamente pago pela Nespresso]]</f>
        <v>5606.6935990874226</v>
      </c>
    </row>
    <row r="29" spans="1:43" ht="15.75">
      <c r="A29" s="174" t="s">
        <v>69</v>
      </c>
      <c r="B29" s="232" t="s">
        <v>68</v>
      </c>
      <c r="C29" s="157">
        <v>1</v>
      </c>
      <c r="D29" s="157" t="s">
        <v>468</v>
      </c>
      <c r="E29" s="177" t="s">
        <v>468</v>
      </c>
      <c r="F29" s="233" t="s">
        <v>469</v>
      </c>
      <c r="G29" s="234">
        <v>42640</v>
      </c>
      <c r="H29" s="238" t="s">
        <v>498</v>
      </c>
      <c r="I29" s="157" t="s">
        <v>492</v>
      </c>
      <c r="J29" s="237">
        <v>17640</v>
      </c>
      <c r="K29" s="175" t="s">
        <v>472</v>
      </c>
      <c r="L29" s="175" t="s">
        <v>439</v>
      </c>
      <c r="M29" s="175" t="s">
        <v>1343</v>
      </c>
      <c r="N29" s="180"/>
      <c r="O29" s="177"/>
      <c r="P29" s="181">
        <v>0</v>
      </c>
      <c r="Q29" s="177">
        <v>41746</v>
      </c>
      <c r="R29" s="178">
        <v>594.6959820270539</v>
      </c>
      <c r="S29" s="179">
        <v>166632.81058729158</v>
      </c>
      <c r="T29" s="182" t="s">
        <v>45</v>
      </c>
      <c r="U29" s="183">
        <v>2.8399999141693115</v>
      </c>
      <c r="V29" s="179">
        <v>5844.7198233604431</v>
      </c>
      <c r="W29" s="179">
        <v>1827.4647063542259</v>
      </c>
      <c r="X29" s="184" t="s">
        <v>45</v>
      </c>
      <c r="Y29" s="183">
        <v>2.8399999141693115</v>
      </c>
      <c r="Z29" s="220" t="s">
        <v>473</v>
      </c>
      <c r="AA29" s="172">
        <f>Delivery[[#This Row],[Quantity delivered]]*VLOOKUP(Delivery[[#This Row],[Unit]],Tab_Conversão[],4,FALSE)*VLOOKUP(CONCATENATE(Delivery[[#This Row],[Coffee specie]],Delivery[[#This Row],[Coffee state]]),Tab_Conversão[],4,FALSE)</f>
        <v>17640</v>
      </c>
      <c r="AB29" s="169">
        <f>SUMIF(Allocation!C:C,Delivery[[#This Row],[Delivery ID]],Allocation!D:D)/Delivery[[#This Row],[Quantity delivered]]</f>
        <v>1.0147392290249434E-2</v>
      </c>
      <c r="AC29" s="170">
        <f>Delivery[[#This Row],[Quantity delivered]]*Delivery[[#This Row],[Base price (Unidad)]]/60</f>
        <v>174840.61871595387</v>
      </c>
      <c r="AD29" s="171">
        <f>Delivery[[#This Row],[Nespresso total]]-Delivery[[#This Row],[Qt. Delivery * Base Price]]</f>
        <v>-8207.808128662291</v>
      </c>
      <c r="AE29" s="171">
        <f>Delivery[[#This Row],[AAA Premium (total)]]/Delivery[[#This Row],[Quantity delivered]]*60/Delivery[[#This Row],[Exchange rate VS USD]]</f>
        <v>7</v>
      </c>
      <c r="AF29" s="171">
        <f>Delivery[[#This Row],[BEN premium (total)]]/Delivery[[#This Row],[Quantity delivered]]*60/Delivery[[#This Row],[Exchange rate for premiums VS USD]]</f>
        <v>2.1886853999999998</v>
      </c>
      <c r="AG29" s="171">
        <f>COUNTIF(Delivery[Delivery ID],Delivery[[#This Row],[Delivery ID]])</f>
        <v>1</v>
      </c>
      <c r="AH29" s="171">
        <f>(Delivery[[#This Row],[Nespresso total]]/SUMIF(Allocation!C:C,Delivery[Delivery ID],Allocation!H:H))/Delivery[[#This Row],[Exchange rate VS USD]]</f>
        <v>994.46655301552141</v>
      </c>
      <c r="AI29" s="171">
        <f>(Delivery[[#This Row],[AAA Premium (total)]]/SUMIF(Allocation!C:C,Delivery[Delivery ID],Allocation!H:H))/Delivery[[#This Row],[Exchange rate VS USD]]</f>
        <v>34.881355932203391</v>
      </c>
      <c r="AJ29" s="171">
        <f>Delivery[[#This Row],[Valor Prêmio Nespresso AAA por Kg (em US$)]]*60</f>
        <v>2092.8813559322034</v>
      </c>
      <c r="AK29" s="171">
        <f>Delivery[[#This Row],[Valor Prêmio Nespresso AAA por saca (em US$)]]/1.3228/100</f>
        <v>15.821600815937432</v>
      </c>
      <c r="AL29" s="171">
        <f>(Delivery[[#This Row],[BEN premium (total)]]/SUMIF(Allocation!C:C,Delivery[Delivery ID],Allocation!H:H))/Delivery[[#This Row],[Exchange rate for premiums VS USD]]</f>
        <v>10.906330637288136</v>
      </c>
      <c r="AM29" s="171">
        <f>Delivery[[#This Row],[Valor Prêmio Nespresso BEN por Kg (em US$)]]*60</f>
        <v>654.37983823728814</v>
      </c>
      <c r="AN29" s="171">
        <f>Delivery[[#This Row],[Valor Prêmio Nespresso BEN por saca (em US$)]]/1.3228/100</f>
        <v>4.9469295300671918</v>
      </c>
      <c r="AO29" s="171">
        <f>SUMIF(Allocation[Delivery ID],Delivery[[#This Row],[Delivery ID]],Allocation[Quantity allocated])*16*1.3228*Delivery[[#This Row],[Exchange rate VS USD]]/60</f>
        <v>59.106229680353792</v>
      </c>
      <c r="AP29" s="171">
        <f>Delivery[[#This Row],[AAA Premium (total)]]</f>
        <v>5844.7198233604431</v>
      </c>
      <c r="AQ29" s="171">
        <f>Delivery[[#This Row],[Valor pago pelo Cluster]]-Delivery[[#This Row],[Valor efetivamente pago pela Nespresso]]</f>
        <v>5785.6135936800893</v>
      </c>
    </row>
    <row r="30" spans="1:43" ht="15.75">
      <c r="A30" s="174" t="s">
        <v>69</v>
      </c>
      <c r="B30" s="232" t="s">
        <v>68</v>
      </c>
      <c r="C30" s="157">
        <v>1</v>
      </c>
      <c r="D30" s="157" t="s">
        <v>468</v>
      </c>
      <c r="E30" s="177" t="s">
        <v>468</v>
      </c>
      <c r="F30" s="233" t="s">
        <v>469</v>
      </c>
      <c r="G30" s="234">
        <v>42640</v>
      </c>
      <c r="H30" s="238" t="s">
        <v>499</v>
      </c>
      <c r="I30" s="157" t="s">
        <v>480</v>
      </c>
      <c r="J30" s="237">
        <v>9960</v>
      </c>
      <c r="K30" s="175" t="s">
        <v>472</v>
      </c>
      <c r="L30" s="175" t="s">
        <v>439</v>
      </c>
      <c r="M30" s="175" t="s">
        <v>1343</v>
      </c>
      <c r="N30" s="180"/>
      <c r="O30" s="177"/>
      <c r="P30" s="181">
        <v>0</v>
      </c>
      <c r="Q30" s="177">
        <v>41746</v>
      </c>
      <c r="R30" s="178">
        <v>594.6959820270539</v>
      </c>
      <c r="S30" s="179">
        <v>94085.192372416321</v>
      </c>
      <c r="T30" s="182" t="s">
        <v>45</v>
      </c>
      <c r="U30" s="183">
        <v>2.8399999141693115</v>
      </c>
      <c r="V30" s="179">
        <v>3300.07990026474</v>
      </c>
      <c r="W30" s="179">
        <v>1031.8338137918417</v>
      </c>
      <c r="X30" s="184" t="s">
        <v>45</v>
      </c>
      <c r="Y30" s="183">
        <v>2.8399999141693115</v>
      </c>
      <c r="Z30" s="220" t="s">
        <v>473</v>
      </c>
      <c r="AA30" s="172">
        <f>Delivery[[#This Row],[Quantity delivered]]*VLOOKUP(Delivery[[#This Row],[Unit]],Tab_Conversão[],4,FALSE)*VLOOKUP(CONCATENATE(Delivery[[#This Row],[Coffee specie]],Delivery[[#This Row],[Coffee state]]),Tab_Conversão[],4,FALSE)</f>
        <v>9960</v>
      </c>
      <c r="AB30" s="169">
        <f>SUMIF(Allocation!C:C,Delivery[[#This Row],[Delivery ID]],Allocation!D:D)/Delivery[[#This Row],[Quantity delivered]]</f>
        <v>1.7971887550200804E-2</v>
      </c>
      <c r="AC30" s="170">
        <f>Delivery[[#This Row],[Quantity delivered]]*Delivery[[#This Row],[Base price (Unidad)]]/60</f>
        <v>98719.533016490954</v>
      </c>
      <c r="AD30" s="171">
        <f>Delivery[[#This Row],[Nespresso total]]-Delivery[[#This Row],[Qt. Delivery * Base Price]]</f>
        <v>-4634.340644074633</v>
      </c>
      <c r="AE30" s="171">
        <f>Delivery[[#This Row],[AAA Premium (total)]]/Delivery[[#This Row],[Quantity delivered]]*60/Delivery[[#This Row],[Exchange rate VS USD]]</f>
        <v>7</v>
      </c>
      <c r="AF30" s="171">
        <f>Delivery[[#This Row],[BEN premium (total)]]/Delivery[[#This Row],[Quantity delivered]]*60/Delivery[[#This Row],[Exchange rate for premiums VS USD]]</f>
        <v>2.1886853999999998</v>
      </c>
      <c r="AG30" s="171">
        <f>COUNTIF(Delivery[Delivery ID],Delivery[[#This Row],[Delivery ID]])</f>
        <v>1</v>
      </c>
      <c r="AH30" s="171">
        <f>(Delivery[[#This Row],[Nespresso total]]/SUMIF(Allocation!C:C,Delivery[Delivery ID],Allocation!H:H))/Delivery[[#This Row],[Exchange rate VS USD]]</f>
        <v>561.50152313121271</v>
      </c>
      <c r="AI30" s="171">
        <f>(Delivery[[#This Row],[AAA Premium (total)]]/SUMIF(Allocation!C:C,Delivery[Delivery ID],Allocation!H:H))/Delivery[[#This Row],[Exchange rate VS USD]]</f>
        <v>19.694915254237291</v>
      </c>
      <c r="AJ30" s="171">
        <f>Delivery[[#This Row],[Valor Prêmio Nespresso AAA por Kg (em US$)]]*60</f>
        <v>1181.6949152542375</v>
      </c>
      <c r="AK30" s="171">
        <f>Delivery[[#This Row],[Valor Prêmio Nespresso AAA por saca (em US$)]]/1.3228/100</f>
        <v>8.9332848144408636</v>
      </c>
      <c r="AL30" s="171">
        <f>(Delivery[[#This Row],[BEN premium (total)]]/SUMIF(Allocation!C:C,Delivery[Delivery ID],Allocation!H:H))/Delivery[[#This Row],[Exchange rate for premiums VS USD]]</f>
        <v>6.1579962101694914</v>
      </c>
      <c r="AM30" s="171">
        <f>Delivery[[#This Row],[Valor Prêmio Nespresso BEN por Kg (em US$)]]*60</f>
        <v>369.4797726101695</v>
      </c>
      <c r="AN30" s="171">
        <f>Delivery[[#This Row],[Valor Prêmio Nespresso BEN por saca (em US$)]]/1.3228/100</f>
        <v>2.7931642924869182</v>
      </c>
      <c r="AO30" s="171">
        <f>SUMIF(Allocation[Delivery ID],Delivery[[#This Row],[Delivery ID]],Allocation[Quantity allocated])*16*1.3228*Delivery[[#This Row],[Exchange rate VS USD]]/60</f>
        <v>59.106229680353792</v>
      </c>
      <c r="AP30" s="171">
        <f>Delivery[[#This Row],[AAA Premium (total)]]</f>
        <v>3300.07990026474</v>
      </c>
      <c r="AQ30" s="171">
        <f>Delivery[[#This Row],[Valor pago pelo Cluster]]-Delivery[[#This Row],[Valor efetivamente pago pela Nespresso]]</f>
        <v>3240.9736705843861</v>
      </c>
    </row>
    <row r="31" spans="1:43" ht="15.75">
      <c r="A31" s="174" t="s">
        <v>69</v>
      </c>
      <c r="B31" s="232" t="s">
        <v>68</v>
      </c>
      <c r="C31" s="157">
        <v>1</v>
      </c>
      <c r="D31" s="157" t="s">
        <v>468</v>
      </c>
      <c r="E31" s="177" t="s">
        <v>468</v>
      </c>
      <c r="F31" s="233" t="s">
        <v>469</v>
      </c>
      <c r="G31" s="234">
        <v>42640</v>
      </c>
      <c r="H31" s="238" t="s">
        <v>500</v>
      </c>
      <c r="I31" s="157" t="s">
        <v>480</v>
      </c>
      <c r="J31" s="237">
        <v>17640</v>
      </c>
      <c r="K31" s="175" t="s">
        <v>472</v>
      </c>
      <c r="L31" s="175" t="s">
        <v>439</v>
      </c>
      <c r="M31" s="175" t="s">
        <v>1343</v>
      </c>
      <c r="N31" s="180"/>
      <c r="O31" s="177"/>
      <c r="P31" s="181">
        <v>0</v>
      </c>
      <c r="Q31" s="177">
        <v>41746</v>
      </c>
      <c r="R31" s="178">
        <v>594.6959820270539</v>
      </c>
      <c r="S31" s="179">
        <v>166632.81058729158</v>
      </c>
      <c r="T31" s="182" t="s">
        <v>45</v>
      </c>
      <c r="U31" s="183">
        <v>2.8399999141693115</v>
      </c>
      <c r="V31" s="179">
        <v>5844.7198233604431</v>
      </c>
      <c r="W31" s="179">
        <v>1827.4647063542259</v>
      </c>
      <c r="X31" s="184" t="s">
        <v>45</v>
      </c>
      <c r="Y31" s="183">
        <v>2.8399999141693115</v>
      </c>
      <c r="Z31" s="220" t="s">
        <v>473</v>
      </c>
      <c r="AA31" s="172">
        <f>Delivery[[#This Row],[Quantity delivered]]*VLOOKUP(Delivery[[#This Row],[Unit]],Tab_Conversão[],4,FALSE)*VLOOKUP(CONCATENATE(Delivery[[#This Row],[Coffee specie]],Delivery[[#This Row],[Coffee state]]),Tab_Conversão[],4,FALSE)</f>
        <v>17640</v>
      </c>
      <c r="AB31" s="169">
        <f>SUMIF(Allocation!C:C,Delivery[[#This Row],[Delivery ID]],Allocation!D:D)/Delivery[[#This Row],[Quantity delivered]]</f>
        <v>1.0147392290249434E-2</v>
      </c>
      <c r="AC31" s="170">
        <f>Delivery[[#This Row],[Quantity delivered]]*Delivery[[#This Row],[Base price (Unidad)]]/60</f>
        <v>174840.61871595387</v>
      </c>
      <c r="AD31" s="171">
        <f>Delivery[[#This Row],[Nespresso total]]-Delivery[[#This Row],[Qt. Delivery * Base Price]]</f>
        <v>-8207.808128662291</v>
      </c>
      <c r="AE31" s="171">
        <f>Delivery[[#This Row],[AAA Premium (total)]]/Delivery[[#This Row],[Quantity delivered]]*60/Delivery[[#This Row],[Exchange rate VS USD]]</f>
        <v>7</v>
      </c>
      <c r="AF31" s="171">
        <f>Delivery[[#This Row],[BEN premium (total)]]/Delivery[[#This Row],[Quantity delivered]]*60/Delivery[[#This Row],[Exchange rate for premiums VS USD]]</f>
        <v>2.1886853999999998</v>
      </c>
      <c r="AG31" s="171">
        <f>COUNTIF(Delivery[Delivery ID],Delivery[[#This Row],[Delivery ID]])</f>
        <v>1</v>
      </c>
      <c r="AH31" s="171">
        <f>(Delivery[[#This Row],[Nespresso total]]/SUMIF(Allocation!C:C,Delivery[Delivery ID],Allocation!H:H))/Delivery[[#This Row],[Exchange rate VS USD]]</f>
        <v>994.46655301552141</v>
      </c>
      <c r="AI31" s="171">
        <f>(Delivery[[#This Row],[AAA Premium (total)]]/SUMIF(Allocation!C:C,Delivery[Delivery ID],Allocation!H:H))/Delivery[[#This Row],[Exchange rate VS USD]]</f>
        <v>34.881355932203391</v>
      </c>
      <c r="AJ31" s="171">
        <f>Delivery[[#This Row],[Valor Prêmio Nespresso AAA por Kg (em US$)]]*60</f>
        <v>2092.8813559322034</v>
      </c>
      <c r="AK31" s="171">
        <f>Delivery[[#This Row],[Valor Prêmio Nespresso AAA por saca (em US$)]]/1.3228/100</f>
        <v>15.821600815937432</v>
      </c>
      <c r="AL31" s="171">
        <f>(Delivery[[#This Row],[BEN premium (total)]]/SUMIF(Allocation!C:C,Delivery[Delivery ID],Allocation!H:H))/Delivery[[#This Row],[Exchange rate for premiums VS USD]]</f>
        <v>10.906330637288136</v>
      </c>
      <c r="AM31" s="171">
        <f>Delivery[[#This Row],[Valor Prêmio Nespresso BEN por Kg (em US$)]]*60</f>
        <v>654.37983823728814</v>
      </c>
      <c r="AN31" s="171">
        <f>Delivery[[#This Row],[Valor Prêmio Nespresso BEN por saca (em US$)]]/1.3228/100</f>
        <v>4.9469295300671918</v>
      </c>
      <c r="AO31" s="171">
        <f>SUMIF(Allocation[Delivery ID],Delivery[[#This Row],[Delivery ID]],Allocation[Quantity allocated])*16*1.3228*Delivery[[#This Row],[Exchange rate VS USD]]/60</f>
        <v>59.106229680353792</v>
      </c>
      <c r="AP31" s="171">
        <f>Delivery[[#This Row],[AAA Premium (total)]]</f>
        <v>5844.7198233604431</v>
      </c>
      <c r="AQ31" s="171">
        <f>Delivery[[#This Row],[Valor pago pelo Cluster]]-Delivery[[#This Row],[Valor efetivamente pago pela Nespresso]]</f>
        <v>5785.6135936800893</v>
      </c>
    </row>
    <row r="32" spans="1:43" ht="15.75">
      <c r="A32" s="174" t="s">
        <v>69</v>
      </c>
      <c r="B32" s="232" t="s">
        <v>68</v>
      </c>
      <c r="C32" s="157">
        <v>1</v>
      </c>
      <c r="D32" s="157" t="s">
        <v>468</v>
      </c>
      <c r="E32" s="177" t="s">
        <v>468</v>
      </c>
      <c r="F32" s="233" t="s">
        <v>469</v>
      </c>
      <c r="G32" s="234">
        <v>42640</v>
      </c>
      <c r="H32" s="238" t="s">
        <v>501</v>
      </c>
      <c r="I32" s="157" t="s">
        <v>480</v>
      </c>
      <c r="J32" s="237">
        <v>19440</v>
      </c>
      <c r="K32" s="175" t="s">
        <v>472</v>
      </c>
      <c r="L32" s="175" t="s">
        <v>439</v>
      </c>
      <c r="M32" s="175" t="s">
        <v>1343</v>
      </c>
      <c r="N32" s="180"/>
      <c r="O32" s="177"/>
      <c r="P32" s="181">
        <v>0</v>
      </c>
      <c r="Q32" s="177">
        <v>41746</v>
      </c>
      <c r="R32" s="178">
        <v>594.6959820270539</v>
      </c>
      <c r="S32" s="179">
        <v>183636.15860640295</v>
      </c>
      <c r="T32" s="182" t="s">
        <v>45</v>
      </c>
      <c r="U32" s="183">
        <v>2.8399999141693115</v>
      </c>
      <c r="V32" s="179">
        <v>6441.1198053359985</v>
      </c>
      <c r="W32" s="179">
        <v>2013.9406967985344</v>
      </c>
      <c r="X32" s="184" t="s">
        <v>45</v>
      </c>
      <c r="Y32" s="183">
        <v>2.8399999141693115</v>
      </c>
      <c r="Z32" s="220" t="s">
        <v>473</v>
      </c>
      <c r="AA32" s="172">
        <f>Delivery[[#This Row],[Quantity delivered]]*VLOOKUP(Delivery[[#This Row],[Unit]],Tab_Conversão[],4,FALSE)*VLOOKUP(CONCATENATE(Delivery[[#This Row],[Coffee specie]],Delivery[[#This Row],[Coffee state]]),Tab_Conversão[],4,FALSE)</f>
        <v>19440</v>
      </c>
      <c r="AB32" s="169">
        <f>SUMIF(Allocation!C:C,Delivery[[#This Row],[Delivery ID]],Allocation!D:D)/Delivery[[#This Row],[Quantity delivered]]</f>
        <v>9.207818930041153E-3</v>
      </c>
      <c r="AC32" s="170">
        <f>Delivery[[#This Row],[Quantity delivered]]*Delivery[[#This Row],[Base price (Unidad)]]/60</f>
        <v>192681.49817676548</v>
      </c>
      <c r="AD32" s="171">
        <f>Delivery[[#This Row],[Nespresso total]]-Delivery[[#This Row],[Qt. Delivery * Base Price]]</f>
        <v>-9045.3395703625283</v>
      </c>
      <c r="AE32" s="171">
        <f>Delivery[[#This Row],[AAA Premium (total)]]/Delivery[[#This Row],[Quantity delivered]]*60/Delivery[[#This Row],[Exchange rate VS USD]]</f>
        <v>7</v>
      </c>
      <c r="AF32" s="171">
        <f>Delivery[[#This Row],[BEN premium (total)]]/Delivery[[#This Row],[Quantity delivered]]*60/Delivery[[#This Row],[Exchange rate for premiums VS USD]]</f>
        <v>2.1886853999999998</v>
      </c>
      <c r="AG32" s="171">
        <f>COUNTIF(Delivery[Delivery ID],Delivery[[#This Row],[Delivery ID]])</f>
        <v>1</v>
      </c>
      <c r="AH32" s="171">
        <f>(Delivery[[#This Row],[Nespresso total]]/SUMIF(Allocation!C:C,Delivery[Delivery ID],Allocation!H:H))/Delivery[[#This Row],[Exchange rate VS USD]]</f>
        <v>1095.9427318946562</v>
      </c>
      <c r="AI32" s="171">
        <f>(Delivery[[#This Row],[AAA Premium (total)]]/SUMIF(Allocation!C:C,Delivery[Delivery ID],Allocation!H:H))/Delivery[[#This Row],[Exchange rate VS USD]]</f>
        <v>38.440677966101696</v>
      </c>
      <c r="AJ32" s="171">
        <f>Delivery[[#This Row],[Valor Prêmio Nespresso AAA por Kg (em US$)]]*60</f>
        <v>2306.4406779661017</v>
      </c>
      <c r="AK32" s="171">
        <f>Delivery[[#This Row],[Valor Prêmio Nespresso AAA por saca (em US$)]]/1.3228/100</f>
        <v>17.436049878788189</v>
      </c>
      <c r="AL32" s="171">
        <f>(Delivery[[#This Row],[BEN premium (total)]]/SUMIF(Allocation!C:C,Delivery[Delivery ID],Allocation!H:H))/Delivery[[#This Row],[Exchange rate for premiums VS USD]]</f>
        <v>12.019221518644066</v>
      </c>
      <c r="AM32" s="171">
        <f>Delivery[[#This Row],[Valor Prêmio Nespresso BEN por Kg (em US$)]]*60</f>
        <v>721.15329111864401</v>
      </c>
      <c r="AN32" s="171">
        <f>Delivery[[#This Row],[Valor Prêmio Nespresso BEN por saca (em US$)]]/1.3228/100</f>
        <v>5.4517182576250685</v>
      </c>
      <c r="AO32" s="171">
        <f>SUMIF(Allocation[Delivery ID],Delivery[[#This Row],[Delivery ID]],Allocation[Quantity allocated])*16*1.3228*Delivery[[#This Row],[Exchange rate VS USD]]/60</f>
        <v>59.106229680353792</v>
      </c>
      <c r="AP32" s="171">
        <f>Delivery[[#This Row],[AAA Premium (total)]]</f>
        <v>6441.1198053359985</v>
      </c>
      <c r="AQ32" s="171">
        <f>Delivery[[#This Row],[Valor pago pelo Cluster]]-Delivery[[#This Row],[Valor efetivamente pago pela Nespresso]]</f>
        <v>6382.0135756556447</v>
      </c>
    </row>
    <row r="33" spans="1:43" ht="15.75">
      <c r="A33" s="174" t="s">
        <v>69</v>
      </c>
      <c r="B33" s="232" t="s">
        <v>68</v>
      </c>
      <c r="C33" s="157">
        <v>1</v>
      </c>
      <c r="D33" s="157" t="s">
        <v>468</v>
      </c>
      <c r="E33" s="177" t="s">
        <v>468</v>
      </c>
      <c r="F33" s="233" t="s">
        <v>469</v>
      </c>
      <c r="G33" s="234">
        <v>42640</v>
      </c>
      <c r="H33" s="238" t="s">
        <v>502</v>
      </c>
      <c r="I33" s="157" t="s">
        <v>480</v>
      </c>
      <c r="J33" s="237">
        <v>17760</v>
      </c>
      <c r="K33" s="175" t="s">
        <v>472</v>
      </c>
      <c r="L33" s="175" t="s">
        <v>439</v>
      </c>
      <c r="M33" s="175" t="s">
        <v>1343</v>
      </c>
      <c r="N33" s="180"/>
      <c r="O33" s="177"/>
      <c r="P33" s="181">
        <v>0</v>
      </c>
      <c r="Q33" s="177">
        <v>41746</v>
      </c>
      <c r="R33" s="178">
        <v>594.6959820270539</v>
      </c>
      <c r="S33" s="179">
        <v>167766.36712189903</v>
      </c>
      <c r="T33" s="182" t="s">
        <v>45</v>
      </c>
      <c r="U33" s="183">
        <v>2.8399999141693115</v>
      </c>
      <c r="V33" s="179">
        <v>5884.4798221588135</v>
      </c>
      <c r="W33" s="179">
        <v>1839.8964390505132</v>
      </c>
      <c r="X33" s="184" t="s">
        <v>45</v>
      </c>
      <c r="Y33" s="183">
        <v>2.8399999141693115</v>
      </c>
      <c r="Z33" s="220" t="s">
        <v>473</v>
      </c>
      <c r="AA33" s="172">
        <f>Delivery[[#This Row],[Quantity delivered]]*VLOOKUP(Delivery[[#This Row],[Unit]],Tab_Conversão[],4,FALSE)*VLOOKUP(CONCATENATE(Delivery[[#This Row],[Coffee specie]],Delivery[[#This Row],[Coffee state]]),Tab_Conversão[],4,FALSE)</f>
        <v>17760</v>
      </c>
      <c r="AB33" s="169">
        <f>SUMIF(Allocation!C:C,Delivery[[#This Row],[Delivery ID]],Allocation!D:D)/Delivery[[#This Row],[Quantity delivered]]</f>
        <v>1.0078828828828828E-2</v>
      </c>
      <c r="AC33" s="170">
        <f>Delivery[[#This Row],[Quantity delivered]]*Delivery[[#This Row],[Base price (Unidad)]]/60</f>
        <v>176030.01068000795</v>
      </c>
      <c r="AD33" s="171">
        <f>Delivery[[#This Row],[Nespresso total]]-Delivery[[#This Row],[Qt. Delivery * Base Price]]</f>
        <v>-8263.6435581089172</v>
      </c>
      <c r="AE33" s="171">
        <f>Delivery[[#This Row],[AAA Premium (total)]]/Delivery[[#This Row],[Quantity delivered]]*60/Delivery[[#This Row],[Exchange rate VS USD]]</f>
        <v>7</v>
      </c>
      <c r="AF33" s="171">
        <f>Delivery[[#This Row],[BEN premium (total)]]/Delivery[[#This Row],[Quantity delivered]]*60/Delivery[[#This Row],[Exchange rate for premiums VS USD]]</f>
        <v>2.1886854000000002</v>
      </c>
      <c r="AG33" s="171">
        <f>COUNTIF(Delivery[Delivery ID],Delivery[[#This Row],[Delivery ID]])</f>
        <v>1</v>
      </c>
      <c r="AH33" s="171">
        <f>(Delivery[[#This Row],[Nespresso total]]/SUMIF(Allocation!C:C,Delivery[Delivery ID],Allocation!H:H))/Delivery[[#This Row],[Exchange rate VS USD]]</f>
        <v>1001.231631607464</v>
      </c>
      <c r="AI33" s="171">
        <f>(Delivery[[#This Row],[AAA Premium (total)]]/SUMIF(Allocation!C:C,Delivery[Delivery ID],Allocation!H:H))/Delivery[[#This Row],[Exchange rate VS USD]]</f>
        <v>35.118644067796609</v>
      </c>
      <c r="AJ33" s="171">
        <f>Delivery[[#This Row],[Valor Prêmio Nespresso AAA por Kg (em US$)]]*60</f>
        <v>2107.1186440677966</v>
      </c>
      <c r="AK33" s="171">
        <f>Delivery[[#This Row],[Valor Prêmio Nespresso AAA por saca (em US$)]]/1.3228/100</f>
        <v>15.929230753460816</v>
      </c>
      <c r="AL33" s="171">
        <f>(Delivery[[#This Row],[BEN premium (total)]]/SUMIF(Allocation!C:C,Delivery[Delivery ID],Allocation!H:H))/Delivery[[#This Row],[Exchange rate for premiums VS USD]]</f>
        <v>10.980523362711866</v>
      </c>
      <c r="AM33" s="171">
        <f>Delivery[[#This Row],[Valor Prêmio Nespresso BEN por Kg (em US$)]]*60</f>
        <v>658.83140176271195</v>
      </c>
      <c r="AN33" s="171">
        <f>Delivery[[#This Row],[Valor Prêmio Nespresso BEN por saca (em US$)]]/1.3228/100</f>
        <v>4.9805821119043845</v>
      </c>
      <c r="AO33" s="171">
        <f>SUMIF(Allocation[Delivery ID],Delivery[[#This Row],[Delivery ID]],Allocation[Quantity allocated])*16*1.3228*Delivery[[#This Row],[Exchange rate VS USD]]/60</f>
        <v>59.106229680353792</v>
      </c>
      <c r="AP33" s="171">
        <f>Delivery[[#This Row],[AAA Premium (total)]]</f>
        <v>5884.4798221588135</v>
      </c>
      <c r="AQ33" s="171">
        <f>Delivery[[#This Row],[Valor pago pelo Cluster]]-Delivery[[#This Row],[Valor efetivamente pago pela Nespresso]]</f>
        <v>5825.3735924784596</v>
      </c>
    </row>
    <row r="34" spans="1:43" ht="15.75">
      <c r="A34" s="174" t="s">
        <v>69</v>
      </c>
      <c r="B34" s="232" t="s">
        <v>68</v>
      </c>
      <c r="C34" s="157">
        <v>1</v>
      </c>
      <c r="D34" s="157" t="s">
        <v>468</v>
      </c>
      <c r="E34" s="177" t="s">
        <v>468</v>
      </c>
      <c r="F34" s="233" t="s">
        <v>469</v>
      </c>
      <c r="G34" s="234">
        <v>42640</v>
      </c>
      <c r="H34" s="238" t="s">
        <v>503</v>
      </c>
      <c r="I34" s="157" t="s">
        <v>480</v>
      </c>
      <c r="J34" s="237">
        <v>18600</v>
      </c>
      <c r="K34" s="175" t="s">
        <v>61</v>
      </c>
      <c r="L34" s="175" t="s">
        <v>439</v>
      </c>
      <c r="M34" s="175" t="s">
        <v>1343</v>
      </c>
      <c r="N34" s="180"/>
      <c r="O34" s="177"/>
      <c r="P34" s="181">
        <v>0</v>
      </c>
      <c r="Q34" s="177">
        <v>41746</v>
      </c>
      <c r="R34" s="178">
        <v>594.6959820270539</v>
      </c>
      <c r="S34" s="179">
        <v>175701.26286415095</v>
      </c>
      <c r="T34" s="182" t="s">
        <v>45</v>
      </c>
      <c r="U34" s="183">
        <v>2.8399999141693115</v>
      </c>
      <c r="V34" s="179">
        <v>6162.799813747406</v>
      </c>
      <c r="W34" s="179">
        <v>1926.9185679245236</v>
      </c>
      <c r="X34" s="186" t="s">
        <v>45</v>
      </c>
      <c r="Y34" s="183">
        <v>2.8399999141693115</v>
      </c>
      <c r="Z34" s="220" t="s">
        <v>473</v>
      </c>
      <c r="AA34" s="172">
        <f>Delivery[[#This Row],[Quantity delivered]]*VLOOKUP(Delivery[[#This Row],[Unit]],Tab_Conversão[],4,FALSE)*VLOOKUP(CONCATENATE(Delivery[[#This Row],[Coffee specie]],Delivery[[#This Row],[Coffee state]]),Tab_Conversão[],4,FALSE)</f>
        <v>18600</v>
      </c>
      <c r="AB34" s="169">
        <f>SUMIF(Allocation!C:C,Delivery[[#This Row],[Delivery ID]],Allocation!D:D)/Delivery[[#This Row],[Quantity delivered]]</f>
        <v>9.6236559139784954E-3</v>
      </c>
      <c r="AC34" s="170">
        <f>Delivery[[#This Row],[Quantity delivered]]*Delivery[[#This Row],[Base price (Unidad)]]/60</f>
        <v>184355.75442838672</v>
      </c>
      <c r="AD34" s="171">
        <f>Delivery[[#This Row],[Nespresso total]]-Delivery[[#This Row],[Qt. Delivery * Base Price]]</f>
        <v>-8654.4915642357664</v>
      </c>
      <c r="AE34" s="171">
        <f>Delivery[[#This Row],[AAA Premium (total)]]/Delivery[[#This Row],[Quantity delivered]]*60/Delivery[[#This Row],[Exchange rate VS USD]]</f>
        <v>7</v>
      </c>
      <c r="AF34" s="171">
        <f>Delivery[[#This Row],[BEN premium (total)]]/Delivery[[#This Row],[Quantity delivered]]*60/Delivery[[#This Row],[Exchange rate for premiums VS USD]]</f>
        <v>2.1886853999999998</v>
      </c>
      <c r="AG34" s="171">
        <f>COUNTIF(Delivery[Delivery ID],Delivery[[#This Row],[Delivery ID]])</f>
        <v>1</v>
      </c>
      <c r="AH34" s="171">
        <f>(Delivery[[#This Row],[Nespresso total]]/SUMIF(Allocation!C:C,Delivery[Delivery ID],Allocation!H:H))/Delivery[[#This Row],[Exchange rate VS USD]]</f>
        <v>1048.5871817510597</v>
      </c>
      <c r="AI34" s="171">
        <f>(Delivery[[#This Row],[AAA Premium (total)]]/SUMIF(Allocation!C:C,Delivery[Delivery ID],Allocation!H:H))/Delivery[[#This Row],[Exchange rate VS USD]]</f>
        <v>36.779661016949149</v>
      </c>
      <c r="AJ34" s="171">
        <f>Delivery[[#This Row],[Valor Prêmio Nespresso AAA por Kg (em US$)]]*60</f>
        <v>2206.7796610169489</v>
      </c>
      <c r="AK34" s="171">
        <f>Delivery[[#This Row],[Valor Prêmio Nespresso AAA por saca (em US$)]]/1.3228/100</f>
        <v>16.682640316124502</v>
      </c>
      <c r="AL34" s="171">
        <f>(Delivery[[#This Row],[BEN premium (total)]]/SUMIF(Allocation!C:C,Delivery[Delivery ID],Allocation!H:H))/Delivery[[#This Row],[Exchange rate for premiums VS USD]]</f>
        <v>11.499872440677965</v>
      </c>
      <c r="AM34" s="171">
        <f>Delivery[[#This Row],[Valor Prêmio Nespresso BEN por Kg (em US$)]]*60</f>
        <v>689.99234644067792</v>
      </c>
      <c r="AN34" s="171">
        <f>Delivery[[#This Row],[Valor Prêmio Nespresso BEN por saca (em US$)]]/1.3228/100</f>
        <v>5.2161501847647251</v>
      </c>
      <c r="AO34" s="171">
        <f>SUMIF(Allocation[Delivery ID],Delivery[[#This Row],[Delivery ID]],Allocation[Quantity allocated])*16*1.3228*Delivery[[#This Row],[Exchange rate VS USD]]/60</f>
        <v>59.106229680353792</v>
      </c>
      <c r="AP34" s="171">
        <f>Delivery[[#This Row],[AAA Premium (total)]]</f>
        <v>6162.799813747406</v>
      </c>
      <c r="AQ34" s="171">
        <f>Delivery[[#This Row],[Valor pago pelo Cluster]]-Delivery[[#This Row],[Valor efetivamente pago pela Nespresso]]</f>
        <v>6103.6935840670521</v>
      </c>
    </row>
    <row r="35" spans="1:43" ht="15.75">
      <c r="A35" s="174" t="s">
        <v>69</v>
      </c>
      <c r="B35" s="232" t="s">
        <v>68</v>
      </c>
      <c r="C35" s="157">
        <v>1</v>
      </c>
      <c r="D35" s="157" t="s">
        <v>468</v>
      </c>
      <c r="E35" s="177" t="s">
        <v>468</v>
      </c>
      <c r="F35" s="233" t="s">
        <v>469</v>
      </c>
      <c r="G35" s="234">
        <v>42640</v>
      </c>
      <c r="H35" s="238" t="s">
        <v>504</v>
      </c>
      <c r="I35" s="157" t="s">
        <v>492</v>
      </c>
      <c r="J35" s="237">
        <v>16680</v>
      </c>
      <c r="K35" s="175" t="s">
        <v>61</v>
      </c>
      <c r="L35" s="175" t="s">
        <v>439</v>
      </c>
      <c r="M35" s="175" t="s">
        <v>1343</v>
      </c>
      <c r="N35" s="180"/>
      <c r="O35" s="177"/>
      <c r="P35" s="181">
        <v>0</v>
      </c>
      <c r="Q35" s="177">
        <v>41746</v>
      </c>
      <c r="R35" s="178">
        <v>594.6959820270539</v>
      </c>
      <c r="S35" s="179">
        <v>157564.35831043217</v>
      </c>
      <c r="T35" s="182" t="s">
        <v>45</v>
      </c>
      <c r="U35" s="183">
        <v>2.8399999141693115</v>
      </c>
      <c r="V35" s="179">
        <v>5526.6398329734802</v>
      </c>
      <c r="W35" s="179">
        <v>1728.0108447839277</v>
      </c>
      <c r="X35" s="186" t="s">
        <v>45</v>
      </c>
      <c r="Y35" s="183">
        <v>2.8399999141693115</v>
      </c>
      <c r="Z35" s="220" t="s">
        <v>473</v>
      </c>
      <c r="AA35" s="172">
        <f>Delivery[[#This Row],[Quantity delivered]]*VLOOKUP(Delivery[[#This Row],[Unit]],Tab_Conversão[],4,FALSE)*VLOOKUP(CONCATENATE(Delivery[[#This Row],[Coffee specie]],Delivery[[#This Row],[Coffee state]]),Tab_Conversão[],4,FALSE)</f>
        <v>16680</v>
      </c>
      <c r="AB35" s="169">
        <f>SUMIF(Allocation!C:C,Delivery[[#This Row],[Delivery ID]],Allocation!D:D)/Delivery[[#This Row],[Quantity delivered]]</f>
        <v>1.0731414868105516E-2</v>
      </c>
      <c r="AC35" s="170">
        <f>Delivery[[#This Row],[Quantity delivered]]*Delivery[[#This Row],[Base price (Unidad)]]/60</f>
        <v>165325.48300352099</v>
      </c>
      <c r="AD35" s="171">
        <f>Delivery[[#This Row],[Nespresso total]]-Delivery[[#This Row],[Qt. Delivery * Base Price]]</f>
        <v>-7761.1246930888155</v>
      </c>
      <c r="AE35" s="171">
        <f>Delivery[[#This Row],[AAA Premium (total)]]/Delivery[[#This Row],[Quantity delivered]]*60/Delivery[[#This Row],[Exchange rate VS USD]]</f>
        <v>7</v>
      </c>
      <c r="AF35" s="171">
        <f>Delivery[[#This Row],[BEN premium (total)]]/Delivery[[#This Row],[Quantity delivered]]*60/Delivery[[#This Row],[Exchange rate for premiums VS USD]]</f>
        <v>2.1886853999999998</v>
      </c>
      <c r="AG35" s="171">
        <f>COUNTIF(Delivery[Delivery ID],Delivery[[#This Row],[Delivery ID]])</f>
        <v>1</v>
      </c>
      <c r="AH35" s="171">
        <f>(Delivery[[#This Row],[Nespresso total]]/SUMIF(Allocation!C:C,Delivery[Delivery ID],Allocation!H:H))/Delivery[[#This Row],[Exchange rate VS USD]]</f>
        <v>940.3459242799828</v>
      </c>
      <c r="AI35" s="171">
        <f>(Delivery[[#This Row],[AAA Premium (total)]]/SUMIF(Allocation!C:C,Delivery[Delivery ID],Allocation!H:H))/Delivery[[#This Row],[Exchange rate VS USD]]</f>
        <v>32.983050847457626</v>
      </c>
      <c r="AJ35" s="171">
        <f>Delivery[[#This Row],[Valor Prêmio Nespresso AAA por Kg (em US$)]]*60</f>
        <v>1978.9830508474577</v>
      </c>
      <c r="AK35" s="171">
        <f>Delivery[[#This Row],[Valor Prêmio Nespresso AAA por saca (em US$)]]/1.3228/100</f>
        <v>14.960561315750361</v>
      </c>
      <c r="AL35" s="171">
        <f>(Delivery[[#This Row],[BEN premium (total)]]/SUMIF(Allocation!C:C,Delivery[Delivery ID],Allocation!H:H))/Delivery[[#This Row],[Exchange rate for premiums VS USD]]</f>
        <v>10.312788833898304</v>
      </c>
      <c r="AM35" s="171">
        <f>Delivery[[#This Row],[Valor Prêmio Nespresso BEN por Kg (em US$)]]*60</f>
        <v>618.76733003389825</v>
      </c>
      <c r="AN35" s="171">
        <f>Delivery[[#This Row],[Valor Prêmio Nespresso BEN por saca (em US$)]]/1.3228/100</f>
        <v>4.6777088753696576</v>
      </c>
      <c r="AO35" s="171">
        <f>SUMIF(Allocation[Delivery ID],Delivery[[#This Row],[Delivery ID]],Allocation[Quantity allocated])*16*1.3228*Delivery[[#This Row],[Exchange rate VS USD]]/60</f>
        <v>59.106229680353792</v>
      </c>
      <c r="AP35" s="171">
        <f>Delivery[[#This Row],[AAA Premium (total)]]</f>
        <v>5526.6398329734802</v>
      </c>
      <c r="AQ35" s="171">
        <f>Delivery[[#This Row],[Valor pago pelo Cluster]]-Delivery[[#This Row],[Valor efetivamente pago pela Nespresso]]</f>
        <v>5467.5336032931264</v>
      </c>
    </row>
    <row r="36" spans="1:43" ht="15.75">
      <c r="A36" s="174" t="s">
        <v>69</v>
      </c>
      <c r="B36" s="232" t="s">
        <v>68</v>
      </c>
      <c r="C36" s="157">
        <v>1</v>
      </c>
      <c r="D36" s="157" t="s">
        <v>468</v>
      </c>
      <c r="E36" s="177" t="s">
        <v>468</v>
      </c>
      <c r="F36" s="233" t="s">
        <v>469</v>
      </c>
      <c r="G36" s="234">
        <v>42641</v>
      </c>
      <c r="H36" s="238" t="s">
        <v>505</v>
      </c>
      <c r="I36" s="157" t="s">
        <v>480</v>
      </c>
      <c r="J36" s="237">
        <v>18780</v>
      </c>
      <c r="K36" s="175" t="s">
        <v>61</v>
      </c>
      <c r="L36" s="175" t="s">
        <v>439</v>
      </c>
      <c r="M36" s="175" t="s">
        <v>1343</v>
      </c>
      <c r="N36" s="180"/>
      <c r="O36" s="177"/>
      <c r="P36" s="181">
        <v>0</v>
      </c>
      <c r="Q36" s="177">
        <v>41746</v>
      </c>
      <c r="R36" s="178">
        <v>594.6959820270539</v>
      </c>
      <c r="S36" s="179">
        <v>177401.59766606209</v>
      </c>
      <c r="T36" s="182" t="s">
        <v>45</v>
      </c>
      <c r="U36" s="183">
        <v>2.8399999141693115</v>
      </c>
      <c r="V36" s="179">
        <v>6222.4398119449615</v>
      </c>
      <c r="W36" s="179">
        <v>1945.5661669689548</v>
      </c>
      <c r="X36" s="186" t="s">
        <v>45</v>
      </c>
      <c r="Y36" s="183">
        <v>2.8399999141693115</v>
      </c>
      <c r="Z36" s="220" t="s">
        <v>473</v>
      </c>
      <c r="AA36" s="172">
        <f>Delivery[[#This Row],[Quantity delivered]]*VLOOKUP(Delivery[[#This Row],[Unit]],Tab_Conversão[],4,FALSE)*VLOOKUP(CONCATENATE(Delivery[[#This Row],[Coffee specie]],Delivery[[#This Row],[Coffee state]]),Tab_Conversão[],4,FALSE)</f>
        <v>18780</v>
      </c>
      <c r="AB36" s="169">
        <f>SUMIF(Allocation!C:C,Delivery[[#This Row],[Delivery ID]],Allocation!D:D)/Delivery[[#This Row],[Quantity delivered]]</f>
        <v>9.5314164004259849E-3</v>
      </c>
      <c r="AC36" s="170">
        <f>Delivery[[#This Row],[Quantity delivered]]*Delivery[[#This Row],[Base price (Unidad)]]/60</f>
        <v>186139.84237446787</v>
      </c>
      <c r="AD36" s="171">
        <f>Delivery[[#This Row],[Nespresso total]]-Delivery[[#This Row],[Qt. Delivery * Base Price]]</f>
        <v>-8738.2447084057785</v>
      </c>
      <c r="AE36" s="171">
        <f>Delivery[[#This Row],[AAA Premium (total)]]/Delivery[[#This Row],[Quantity delivered]]*60/Delivery[[#This Row],[Exchange rate VS USD]]</f>
        <v>7</v>
      </c>
      <c r="AF36" s="171">
        <f>Delivery[[#This Row],[BEN premium (total)]]/Delivery[[#This Row],[Quantity delivered]]*60/Delivery[[#This Row],[Exchange rate for premiums VS USD]]</f>
        <v>2.1886853999999998</v>
      </c>
      <c r="AG36" s="171">
        <f>COUNTIF(Delivery[Delivery ID],Delivery[[#This Row],[Delivery ID]])</f>
        <v>1</v>
      </c>
      <c r="AH36" s="171">
        <f>(Delivery[[#This Row],[Nespresso total]]/SUMIF(Allocation!C:C,Delivery[Delivery ID],Allocation!H:H))/Delivery[[#This Row],[Exchange rate VS USD]]</f>
        <v>1058.7347996389733</v>
      </c>
      <c r="AI36" s="171">
        <f>(Delivery[[#This Row],[AAA Premium (total)]]/SUMIF(Allocation!C:C,Delivery[Delivery ID],Allocation!H:H))/Delivery[[#This Row],[Exchange rate VS USD]]</f>
        <v>37.135593220338983</v>
      </c>
      <c r="AJ36" s="171">
        <f>Delivery[[#This Row],[Valor Prêmio Nespresso AAA por Kg (em US$)]]*60</f>
        <v>2228.1355932203392</v>
      </c>
      <c r="AK36" s="171">
        <f>Delivery[[#This Row],[Valor Prêmio Nespresso AAA por saca (em US$)]]/1.3228/100</f>
        <v>16.844085222409582</v>
      </c>
      <c r="AL36" s="171">
        <f>(Delivery[[#This Row],[BEN premium (total)]]/SUMIF(Allocation!C:C,Delivery[Delivery ID],Allocation!H:H))/Delivery[[#This Row],[Exchange rate for premiums VS USD]]</f>
        <v>11.611161528813561</v>
      </c>
      <c r="AM36" s="171">
        <f>Delivery[[#This Row],[Valor Prêmio Nespresso BEN por Kg (em US$)]]*60</f>
        <v>696.66969172881363</v>
      </c>
      <c r="AN36" s="171">
        <f>Delivery[[#This Row],[Valor Prêmio Nespresso BEN por saca (em US$)]]/1.3228/100</f>
        <v>5.2666290575205146</v>
      </c>
      <c r="AO36" s="171">
        <f>SUMIF(Allocation[Delivery ID],Delivery[[#This Row],[Delivery ID]],Allocation[Quantity allocated])*16*1.3228*Delivery[[#This Row],[Exchange rate VS USD]]/60</f>
        <v>59.106229680353792</v>
      </c>
      <c r="AP36" s="171">
        <f>Delivery[[#This Row],[AAA Premium (total)]]</f>
        <v>6222.4398119449615</v>
      </c>
      <c r="AQ36" s="171">
        <f>Delivery[[#This Row],[Valor pago pelo Cluster]]-Delivery[[#This Row],[Valor efetivamente pago pela Nespresso]]</f>
        <v>6163.3335822646077</v>
      </c>
    </row>
    <row r="37" spans="1:43" ht="15.75">
      <c r="A37" s="174" t="s">
        <v>69</v>
      </c>
      <c r="B37" s="232" t="s">
        <v>68</v>
      </c>
      <c r="C37" s="157">
        <v>1</v>
      </c>
      <c r="D37" s="157" t="s">
        <v>468</v>
      </c>
      <c r="E37" s="177" t="s">
        <v>468</v>
      </c>
      <c r="F37" s="233" t="s">
        <v>469</v>
      </c>
      <c r="G37" s="234">
        <v>42641</v>
      </c>
      <c r="H37" s="238" t="s">
        <v>506</v>
      </c>
      <c r="I37" s="157" t="s">
        <v>480</v>
      </c>
      <c r="J37" s="237">
        <v>19380</v>
      </c>
      <c r="K37" s="175" t="s">
        <v>61</v>
      </c>
      <c r="L37" s="175" t="s">
        <v>439</v>
      </c>
      <c r="M37" s="175" t="s">
        <v>1343</v>
      </c>
      <c r="N37" s="180"/>
      <c r="O37" s="177"/>
      <c r="P37" s="181">
        <v>0</v>
      </c>
      <c r="Q37" s="177">
        <v>41746</v>
      </c>
      <c r="R37" s="178">
        <v>594.6959820270539</v>
      </c>
      <c r="S37" s="179">
        <v>183069.38033909921</v>
      </c>
      <c r="T37" s="182" t="s">
        <v>45</v>
      </c>
      <c r="U37" s="183">
        <v>2.8399999141693115</v>
      </c>
      <c r="V37" s="179">
        <v>6421.2398059368134</v>
      </c>
      <c r="W37" s="179">
        <v>2007.724830450391</v>
      </c>
      <c r="X37" s="186" t="s">
        <v>45</v>
      </c>
      <c r="Y37" s="183">
        <v>2.8399999141693115</v>
      </c>
      <c r="Z37" s="220" t="s">
        <v>473</v>
      </c>
      <c r="AA37" s="172">
        <f>Delivery[[#This Row],[Quantity delivered]]*VLOOKUP(Delivery[[#This Row],[Unit]],Tab_Conversão[],4,FALSE)*VLOOKUP(CONCATENATE(Delivery[[#This Row],[Coffee specie]],Delivery[[#This Row],[Coffee state]]),Tab_Conversão[],4,FALSE)</f>
        <v>19380</v>
      </c>
      <c r="AB37" s="169">
        <f>SUMIF(Allocation!C:C,Delivery[[#This Row],[Delivery ID]],Allocation!D:D)/Delivery[[#This Row],[Quantity delivered]]</f>
        <v>9.2363261093911242E-3</v>
      </c>
      <c r="AC37" s="170">
        <f>Delivery[[#This Row],[Quantity delivered]]*Delivery[[#This Row],[Base price (Unidad)]]/60</f>
        <v>192086.80219473841</v>
      </c>
      <c r="AD37" s="171">
        <f>Delivery[[#This Row],[Nespresso total]]-Delivery[[#This Row],[Qt. Delivery * Base Price]]</f>
        <v>-9017.4218556392007</v>
      </c>
      <c r="AE37" s="171">
        <f>Delivery[[#This Row],[AAA Premium (total)]]/Delivery[[#This Row],[Quantity delivered]]*60/Delivery[[#This Row],[Exchange rate VS USD]]</f>
        <v>7</v>
      </c>
      <c r="AF37" s="171">
        <f>Delivery[[#This Row],[BEN premium (total)]]/Delivery[[#This Row],[Quantity delivered]]*60/Delivery[[#This Row],[Exchange rate for premiums VS USD]]</f>
        <v>2.1886853999999998</v>
      </c>
      <c r="AG37" s="171">
        <f>COUNTIF(Delivery[Delivery ID],Delivery[[#This Row],[Delivery ID]])</f>
        <v>1</v>
      </c>
      <c r="AH37" s="171">
        <f>(Delivery[[#This Row],[Nespresso total]]/SUMIF(Allocation!C:C,Delivery[Delivery ID],Allocation!H:H))/Delivery[[#This Row],[Exchange rate VS USD]]</f>
        <v>1092.5601925986848</v>
      </c>
      <c r="AI37" s="171">
        <f>(Delivery[[#This Row],[AAA Premium (total)]]/SUMIF(Allocation!C:C,Delivery[Delivery ID],Allocation!H:H))/Delivery[[#This Row],[Exchange rate VS USD]]</f>
        <v>38.322033898305087</v>
      </c>
      <c r="AJ37" s="171">
        <f>Delivery[[#This Row],[Valor Prêmio Nespresso AAA por Kg (em US$)]]*60</f>
        <v>2299.3220338983051</v>
      </c>
      <c r="AK37" s="171">
        <f>Delivery[[#This Row],[Valor Prêmio Nespresso AAA por saca (em US$)]]/1.3228/100</f>
        <v>17.382234910026497</v>
      </c>
      <c r="AL37" s="171">
        <f>(Delivery[[#This Row],[BEN premium (total)]]/SUMIF(Allocation!C:C,Delivery[Delivery ID],Allocation!H:H))/Delivery[[#This Row],[Exchange rate for premiums VS USD]]</f>
        <v>11.982125155932204</v>
      </c>
      <c r="AM37" s="171">
        <f>Delivery[[#This Row],[Valor Prêmio Nespresso BEN por Kg (em US$)]]*60</f>
        <v>718.92750935593222</v>
      </c>
      <c r="AN37" s="171">
        <f>Delivery[[#This Row],[Valor Prêmio Nespresso BEN por saca (em US$)]]/1.3228/100</f>
        <v>5.4348919667064726</v>
      </c>
      <c r="AO37" s="171">
        <f>SUMIF(Allocation[Delivery ID],Delivery[[#This Row],[Delivery ID]],Allocation[Quantity allocated])*16*1.3228*Delivery[[#This Row],[Exchange rate VS USD]]/60</f>
        <v>59.106229680353792</v>
      </c>
      <c r="AP37" s="171">
        <f>Delivery[[#This Row],[AAA Premium (total)]]</f>
        <v>6421.2398059368134</v>
      </c>
      <c r="AQ37" s="171">
        <f>Delivery[[#This Row],[Valor pago pelo Cluster]]-Delivery[[#This Row],[Valor efetivamente pago pela Nespresso]]</f>
        <v>6362.1335762564595</v>
      </c>
    </row>
    <row r="38" spans="1:43" ht="15.75">
      <c r="A38" s="174" t="s">
        <v>69</v>
      </c>
      <c r="B38" s="232" t="s">
        <v>68</v>
      </c>
      <c r="C38" s="157">
        <v>1</v>
      </c>
      <c r="D38" s="157" t="s">
        <v>468</v>
      </c>
      <c r="E38" s="177" t="s">
        <v>468</v>
      </c>
      <c r="F38" s="233" t="s">
        <v>469</v>
      </c>
      <c r="G38" s="234">
        <v>42640</v>
      </c>
      <c r="H38" s="238" t="s">
        <v>507</v>
      </c>
      <c r="I38" s="157" t="s">
        <v>480</v>
      </c>
      <c r="J38" s="237">
        <v>14400</v>
      </c>
      <c r="K38" s="175" t="s">
        <v>61</v>
      </c>
      <c r="L38" s="175" t="s">
        <v>439</v>
      </c>
      <c r="M38" s="175" t="s">
        <v>1343</v>
      </c>
      <c r="N38" s="180"/>
      <c r="O38" s="177"/>
      <c r="P38" s="181">
        <v>0</v>
      </c>
      <c r="Q38" s="177">
        <v>41746</v>
      </c>
      <c r="R38" s="178">
        <v>594.6959820270539</v>
      </c>
      <c r="S38" s="179">
        <v>136026.78415289108</v>
      </c>
      <c r="T38" s="182" t="s">
        <v>45</v>
      </c>
      <c r="U38" s="183">
        <v>2.8399999141693115</v>
      </c>
      <c r="V38" s="179">
        <v>4771.1998558044434</v>
      </c>
      <c r="W38" s="179">
        <v>1491.8079235544701</v>
      </c>
      <c r="X38" s="186" t="s">
        <v>45</v>
      </c>
      <c r="Y38" s="183">
        <v>2.8399999141693115</v>
      </c>
      <c r="Z38" s="220" t="s">
        <v>473</v>
      </c>
      <c r="AA38" s="172">
        <f>Delivery[[#This Row],[Quantity delivered]]*VLOOKUP(Delivery[[#This Row],[Unit]],Tab_Conversão[],4,FALSE)*VLOOKUP(CONCATENATE(Delivery[[#This Row],[Coffee specie]],Delivery[[#This Row],[Coffee state]]),Tab_Conversão[],4,FALSE)</f>
        <v>14400</v>
      </c>
      <c r="AB38" s="169">
        <f>SUMIF(Allocation!C:C,Delivery[[#This Row],[Delivery ID]],Allocation!D:D)/Delivery[[#This Row],[Quantity delivered]]</f>
        <v>1.2430555555555556E-2</v>
      </c>
      <c r="AC38" s="170">
        <f>Delivery[[#This Row],[Quantity delivered]]*Delivery[[#This Row],[Base price (Unidad)]]/60</f>
        <v>142727.03568649295</v>
      </c>
      <c r="AD38" s="171">
        <f>Delivery[[#This Row],[Nespresso total]]-Delivery[[#This Row],[Qt. Delivery * Base Price]]</f>
        <v>-6700.2515336018696</v>
      </c>
      <c r="AE38" s="171">
        <f>Delivery[[#This Row],[AAA Premium (total)]]/Delivery[[#This Row],[Quantity delivered]]*60/Delivery[[#This Row],[Exchange rate VS USD]]</f>
        <v>7</v>
      </c>
      <c r="AF38" s="171">
        <f>Delivery[[#This Row],[BEN premium (total)]]/Delivery[[#This Row],[Quantity delivered]]*60/Delivery[[#This Row],[Exchange rate for premiums VS USD]]</f>
        <v>2.1886853999999998</v>
      </c>
      <c r="AG38" s="171">
        <f>COUNTIF(Delivery[Delivery ID],Delivery[[#This Row],[Delivery ID]])</f>
        <v>1</v>
      </c>
      <c r="AH38" s="171">
        <f>(Delivery[[#This Row],[Nespresso total]]/SUMIF(Allocation!C:C,Delivery[Delivery ID],Allocation!H:H))/Delivery[[#This Row],[Exchange rate VS USD]]</f>
        <v>811.80943103307857</v>
      </c>
      <c r="AI38" s="171">
        <f>(Delivery[[#This Row],[AAA Premium (total)]]/SUMIF(Allocation!C:C,Delivery[Delivery ID],Allocation!H:H))/Delivery[[#This Row],[Exchange rate VS USD]]</f>
        <v>28.474576271186439</v>
      </c>
      <c r="AJ38" s="171">
        <f>Delivery[[#This Row],[Valor Prêmio Nespresso AAA por Kg (em US$)]]*60</f>
        <v>1708.4745762711864</v>
      </c>
      <c r="AK38" s="171">
        <f>Delivery[[#This Row],[Valor Prêmio Nespresso AAA por saca (em US$)]]/1.3228/100</f>
        <v>12.915592502806067</v>
      </c>
      <c r="AL38" s="171">
        <f>(Delivery[[#This Row],[BEN premium (total)]]/SUMIF(Allocation!C:C,Delivery[Delivery ID],Allocation!H:H))/Delivery[[#This Row],[Exchange rate for premiums VS USD]]</f>
        <v>8.9031270508474574</v>
      </c>
      <c r="AM38" s="171">
        <f>Delivery[[#This Row],[Valor Prêmio Nespresso BEN por Kg (em US$)]]*60</f>
        <v>534.18762305084749</v>
      </c>
      <c r="AN38" s="171">
        <f>Delivery[[#This Row],[Valor Prêmio Nespresso BEN por saca (em US$)]]/1.3228/100</f>
        <v>4.0383098204630139</v>
      </c>
      <c r="AO38" s="171">
        <f>SUMIF(Allocation[Delivery ID],Delivery[[#This Row],[Delivery ID]],Allocation[Quantity allocated])*16*1.3228*Delivery[[#This Row],[Exchange rate VS USD]]/60</f>
        <v>59.106229680353792</v>
      </c>
      <c r="AP38" s="171">
        <f>Delivery[[#This Row],[AAA Premium (total)]]</f>
        <v>4771.1998558044434</v>
      </c>
      <c r="AQ38" s="171">
        <f>Delivery[[#This Row],[Valor pago pelo Cluster]]-Delivery[[#This Row],[Valor efetivamente pago pela Nespresso]]</f>
        <v>4712.0936261240895</v>
      </c>
    </row>
    <row r="39" spans="1:43" ht="15.75">
      <c r="A39" s="174" t="s">
        <v>69</v>
      </c>
      <c r="B39" s="232" t="s">
        <v>68</v>
      </c>
      <c r="C39" s="157">
        <v>1</v>
      </c>
      <c r="D39" s="157" t="s">
        <v>468</v>
      </c>
      <c r="E39" s="177" t="s">
        <v>468</v>
      </c>
      <c r="F39" s="233" t="s">
        <v>469</v>
      </c>
      <c r="G39" s="234">
        <v>42643</v>
      </c>
      <c r="H39" s="238" t="s">
        <v>508</v>
      </c>
      <c r="I39" s="157" t="s">
        <v>509</v>
      </c>
      <c r="J39" s="237">
        <v>14520</v>
      </c>
      <c r="K39" s="175" t="s">
        <v>61</v>
      </c>
      <c r="L39" s="175" t="s">
        <v>439</v>
      </c>
      <c r="M39" s="175" t="s">
        <v>1343</v>
      </c>
      <c r="N39" s="180"/>
      <c r="O39" s="177"/>
      <c r="P39" s="181">
        <v>0</v>
      </c>
      <c r="Q39" s="177">
        <v>42639</v>
      </c>
      <c r="R39" s="178">
        <v>495.32571000000002</v>
      </c>
      <c r="S39" s="179">
        <v>122915.35550889584</v>
      </c>
      <c r="T39" s="182" t="s">
        <v>45</v>
      </c>
      <c r="U39" s="183">
        <v>3.2406000000000001</v>
      </c>
      <c r="V39" s="179">
        <v>5489.5763999999999</v>
      </c>
      <c r="W39" s="179">
        <v>1716.4222455520801</v>
      </c>
      <c r="X39" s="186" t="s">
        <v>45</v>
      </c>
      <c r="Y39" s="183">
        <v>3.2406000000000001</v>
      </c>
      <c r="Z39" s="220" t="s">
        <v>473</v>
      </c>
      <c r="AA39" s="172">
        <f>Delivery[[#This Row],[Quantity delivered]]*VLOOKUP(Delivery[[#This Row],[Unit]],Tab_Conversão[],4,FALSE)*VLOOKUP(CONCATENATE(Delivery[[#This Row],[Coffee specie]],Delivery[[#This Row],[Coffee state]]),Tab_Conversão[],4,FALSE)</f>
        <v>14520</v>
      </c>
      <c r="AB39" s="169">
        <f>SUMIF(Allocation!C:C,Delivery[[#This Row],[Delivery ID]],Allocation!D:D)/Delivery[[#This Row],[Quantity delivered]]</f>
        <v>1.2327823691460056E-2</v>
      </c>
      <c r="AC39" s="170">
        <f>Delivery[[#This Row],[Quantity delivered]]*Delivery[[#This Row],[Base price (Unidad)]]/60</f>
        <v>119868.82182</v>
      </c>
      <c r="AD39" s="171">
        <f>Delivery[[#This Row],[Nespresso total]]-Delivery[[#This Row],[Qt. Delivery * Base Price]]</f>
        <v>3046.5336888958409</v>
      </c>
      <c r="AE39" s="171">
        <f>Delivery[[#This Row],[AAA Premium (total)]]/Delivery[[#This Row],[Quantity delivered]]*60/Delivery[[#This Row],[Exchange rate VS USD]]</f>
        <v>7</v>
      </c>
      <c r="AF39" s="171">
        <f>Delivery[[#This Row],[BEN premium (total)]]/Delivery[[#This Row],[Quantity delivered]]*60/Delivery[[#This Row],[Exchange rate for premiums VS USD]]</f>
        <v>2.1886853999999998</v>
      </c>
      <c r="AG39" s="171">
        <f>COUNTIF(Delivery[Delivery ID],Delivery[[#This Row],[Delivery ID]])</f>
        <v>1</v>
      </c>
      <c r="AH39" s="171">
        <f>(Delivery[[#This Row],[Nespresso total]]/SUMIF(Allocation!C:C,Delivery[Delivery ID],Allocation!H:H))/Delivery[[#This Row],[Exchange rate VS USD]]</f>
        <v>642.87820475228921</v>
      </c>
      <c r="AI39" s="171">
        <f>(Delivery[[#This Row],[AAA Premium (total)]]/SUMIF(Allocation!C:C,Delivery[Delivery ID],Allocation!H:H))/Delivery[[#This Row],[Exchange rate VS USD]]</f>
        <v>28.711864406779657</v>
      </c>
      <c r="AJ39" s="171">
        <f>Delivery[[#This Row],[Valor Prêmio Nespresso AAA por Kg (em US$)]]*60</f>
        <v>1722.7118644067793</v>
      </c>
      <c r="AK39" s="171">
        <f>Delivery[[#This Row],[Valor Prêmio Nespresso AAA por saca (em US$)]]/1.3228/100</f>
        <v>13.023222440329448</v>
      </c>
      <c r="AL39" s="171">
        <f>(Delivery[[#This Row],[BEN premium (total)]]/SUMIF(Allocation!C:C,Delivery[Delivery ID],Allocation!H:H))/Delivery[[#This Row],[Exchange rate for premiums VS USD]]</f>
        <v>8.9773197762711856</v>
      </c>
      <c r="AM39" s="171">
        <f>Delivery[[#This Row],[Valor Prêmio Nespresso BEN por Kg (em US$)]]*60</f>
        <v>538.63918657627119</v>
      </c>
      <c r="AN39" s="171">
        <f>Delivery[[#This Row],[Valor Prêmio Nespresso BEN por saca (em US$)]]/1.3228/100</f>
        <v>4.0719624023002057</v>
      </c>
      <c r="AO39" s="171">
        <f>SUMIF(Allocation[Delivery ID],Delivery[[#This Row],[Delivery ID]],Allocation[Quantity allocated])*16*1.3228*Delivery[[#This Row],[Exchange rate VS USD]]/60</f>
        <v>67.443540032000001</v>
      </c>
      <c r="AP39" s="171">
        <f>Delivery[[#This Row],[AAA Premium (total)]]</f>
        <v>5489.5763999999999</v>
      </c>
      <c r="AQ39" s="171">
        <f>Delivery[[#This Row],[Valor pago pelo Cluster]]-Delivery[[#This Row],[Valor efetivamente pago pela Nespresso]]</f>
        <v>5422.132859968</v>
      </c>
    </row>
    <row r="40" spans="1:43" ht="15.75">
      <c r="A40" s="174" t="s">
        <v>69</v>
      </c>
      <c r="B40" s="232" t="s">
        <v>68</v>
      </c>
      <c r="C40" s="157">
        <v>1</v>
      </c>
      <c r="D40" s="157" t="s">
        <v>468</v>
      </c>
      <c r="E40" s="177" t="s">
        <v>468</v>
      </c>
      <c r="F40" s="233" t="s">
        <v>469</v>
      </c>
      <c r="G40" s="234">
        <v>42658</v>
      </c>
      <c r="H40" s="238" t="s">
        <v>510</v>
      </c>
      <c r="I40" s="157" t="s">
        <v>511</v>
      </c>
      <c r="J40" s="237">
        <v>30900</v>
      </c>
      <c r="K40" s="175" t="s">
        <v>61</v>
      </c>
      <c r="L40" s="175" t="s">
        <v>439</v>
      </c>
      <c r="M40" s="175" t="s">
        <v>1343</v>
      </c>
      <c r="N40" s="180"/>
      <c r="O40" s="177"/>
      <c r="P40" s="181">
        <v>0</v>
      </c>
      <c r="Q40" s="177">
        <v>42656</v>
      </c>
      <c r="R40" s="178">
        <v>485.87840232849118</v>
      </c>
      <c r="S40" s="179">
        <v>265772.16242259345</v>
      </c>
      <c r="T40" s="182" t="s">
        <v>45</v>
      </c>
      <c r="U40" s="183">
        <v>3.1840000152587891</v>
      </c>
      <c r="V40" s="179">
        <v>11478.320055007935</v>
      </c>
      <c r="W40" s="179">
        <v>3588.918788703294</v>
      </c>
      <c r="X40" s="186" t="s">
        <v>45</v>
      </c>
      <c r="Y40" s="183">
        <v>3.1840000152587891</v>
      </c>
      <c r="Z40" s="220" t="s">
        <v>473</v>
      </c>
      <c r="AA40" s="172">
        <f>Delivery[[#This Row],[Quantity delivered]]*VLOOKUP(Delivery[[#This Row],[Unit]],Tab_Conversão[],4,FALSE)*VLOOKUP(CONCATENATE(Delivery[[#This Row],[Coffee specie]],Delivery[[#This Row],[Coffee state]]),Tab_Conversão[],4,FALSE)</f>
        <v>30900</v>
      </c>
      <c r="AB40" s="169">
        <f>SUMIF(Allocation!C:C,Delivery[[#This Row],[Delivery ID]],Allocation!D:D)/Delivery[[#This Row],[Quantity delivered]]</f>
        <v>5.7928802588996763E-3</v>
      </c>
      <c r="AC40" s="170">
        <f>Delivery[[#This Row],[Quantity delivered]]*Delivery[[#This Row],[Base price (Unidad)]]/60</f>
        <v>250227.37719917294</v>
      </c>
      <c r="AD40" s="171">
        <f>Delivery[[#This Row],[Nespresso total]]-Delivery[[#This Row],[Qt. Delivery * Base Price]]</f>
        <v>15544.785223420506</v>
      </c>
      <c r="AE40" s="171">
        <f>Delivery[[#This Row],[AAA Premium (total)]]/Delivery[[#This Row],[Quantity delivered]]*60/Delivery[[#This Row],[Exchange rate VS USD]]</f>
        <v>7</v>
      </c>
      <c r="AF40" s="171">
        <f>Delivery[[#This Row],[BEN premium (total)]]/Delivery[[#This Row],[Quantity delivered]]*60/Delivery[[#This Row],[Exchange rate for premiums VS USD]]</f>
        <v>2.1886853999999993</v>
      </c>
      <c r="AG40" s="171">
        <f>COUNTIF(Delivery[Delivery ID],Delivery[[#This Row],[Delivery ID]])</f>
        <v>1</v>
      </c>
      <c r="AH40" s="171">
        <f>(Delivery[[#This Row],[Nespresso total]]/SUMIF(Allocation!C:C,Delivery[Delivery ID],Allocation!H:H))/Delivery[[#This Row],[Exchange rate VS USD]]</f>
        <v>1414.7653583006381</v>
      </c>
      <c r="AI40" s="171">
        <f>(Delivery[[#This Row],[AAA Premium (total)]]/SUMIF(Allocation!C:C,Delivery[Delivery ID],Allocation!H:H))/Delivery[[#This Row],[Exchange rate VS USD]]</f>
        <v>61.101694915254235</v>
      </c>
      <c r="AJ40" s="171">
        <f>Delivery[[#This Row],[Valor Prêmio Nespresso AAA por Kg (em US$)]]*60</f>
        <v>3666.101694915254</v>
      </c>
      <c r="AK40" s="171">
        <f>Delivery[[#This Row],[Valor Prêmio Nespresso AAA por saca (em US$)]]/1.3228/100</f>
        <v>27.714708912271348</v>
      </c>
      <c r="AL40" s="171">
        <f>(Delivery[[#This Row],[BEN premium (total)]]/SUMIF(Allocation!C:C,Delivery[Delivery ID],Allocation!H:H))/Delivery[[#This Row],[Exchange rate for premiums VS USD]]</f>
        <v>19.104626796610166</v>
      </c>
      <c r="AM40" s="171">
        <f>Delivery[[#This Row],[Valor Prêmio Nespresso BEN por Kg (em US$)]]*60</f>
        <v>1146.27760779661</v>
      </c>
      <c r="AN40" s="171">
        <f>Delivery[[#This Row],[Valor Prêmio Nespresso BEN por saca (em US$)]]/1.3228/100</f>
        <v>8.6655398230768839</v>
      </c>
      <c r="AO40" s="171">
        <f>SUMIF(Allocation[Delivery ID],Delivery[[#This Row],[Delivery ID]],Allocation[Quantity allocated])*16*1.3228*Delivery[[#This Row],[Exchange rate VS USD]]/60</f>
        <v>66.265578130900067</v>
      </c>
      <c r="AP40" s="171">
        <f>Delivery[[#This Row],[AAA Premium (total)]]</f>
        <v>11478.320055007935</v>
      </c>
      <c r="AQ40" s="171">
        <f>Delivery[[#This Row],[Valor pago pelo Cluster]]-Delivery[[#This Row],[Valor efetivamente pago pela Nespresso]]</f>
        <v>11412.054476877034</v>
      </c>
    </row>
    <row r="41" spans="1:43" ht="15.75">
      <c r="A41" s="174" t="s">
        <v>69</v>
      </c>
      <c r="B41" s="232" t="s">
        <v>68</v>
      </c>
      <c r="C41" s="157">
        <v>1</v>
      </c>
      <c r="D41" s="157" t="s">
        <v>468</v>
      </c>
      <c r="E41" s="177" t="s">
        <v>468</v>
      </c>
      <c r="F41" s="233" t="s">
        <v>469</v>
      </c>
      <c r="G41" s="234">
        <v>42809</v>
      </c>
      <c r="H41" s="157" t="s">
        <v>512</v>
      </c>
      <c r="I41" s="157" t="s">
        <v>509</v>
      </c>
      <c r="J41" s="237">
        <v>18160</v>
      </c>
      <c r="K41" s="175" t="s">
        <v>61</v>
      </c>
      <c r="L41" s="175" t="s">
        <v>439</v>
      </c>
      <c r="M41" s="175" t="s">
        <v>1343</v>
      </c>
      <c r="N41" s="180"/>
      <c r="O41" s="177"/>
      <c r="P41" s="181">
        <v>0</v>
      </c>
      <c r="Q41" s="177">
        <v>42808</v>
      </c>
      <c r="R41" s="178">
        <v>449.09024999999997</v>
      </c>
      <c r="S41" s="179">
        <v>148324.16280268482</v>
      </c>
      <c r="T41" s="182" t="s">
        <v>45</v>
      </c>
      <c r="U41" s="183">
        <v>3.1793999999999998</v>
      </c>
      <c r="V41" s="179">
        <v>6736.0887999999986</v>
      </c>
      <c r="W41" s="179">
        <v>1914.6985986575996</v>
      </c>
      <c r="X41" s="186" t="s">
        <v>45</v>
      </c>
      <c r="Y41" s="183">
        <v>3.1793999999999998</v>
      </c>
      <c r="Z41" s="220" t="s">
        <v>473</v>
      </c>
      <c r="AA41" s="172">
        <f>Delivery[[#This Row],[Quantity delivered]]*VLOOKUP(Delivery[[#This Row],[Unit]],Tab_Conversão[],4,FALSE)*VLOOKUP(CONCATENATE(Delivery[[#This Row],[Coffee specie]],Delivery[[#This Row],[Coffee state]]),Tab_Conversão[],4,FALSE)</f>
        <v>18160</v>
      </c>
      <c r="AB41" s="169">
        <f>SUMIF(Allocation!C:C,Delivery[[#This Row],[Delivery ID]],Allocation!D:D)/Delivery[[#This Row],[Quantity delivered]]</f>
        <v>0.43777533039647576</v>
      </c>
      <c r="AC41" s="170">
        <f>Delivery[[#This Row],[Quantity delivered]]*Delivery[[#This Row],[Base price (Unidad)]]/60</f>
        <v>135924.649</v>
      </c>
      <c r="AD41" s="171">
        <f>Delivery[[#This Row],[Nespresso total]]-Delivery[[#This Row],[Qt. Delivery * Base Price]]</f>
        <v>12399.513802684814</v>
      </c>
      <c r="AE41" s="171">
        <f>Delivery[[#This Row],[AAA Premium (total)]]/Delivery[[#This Row],[Quantity delivered]]*60/Delivery[[#This Row],[Exchange rate VS USD]]</f>
        <v>7</v>
      </c>
      <c r="AF41" s="171">
        <f>Delivery[[#This Row],[BEN premium (total)]]/Delivery[[#This Row],[Quantity delivered]]*60/Delivery[[#This Row],[Exchange rate for premiums VS USD]]</f>
        <v>1.9897139999999995</v>
      </c>
      <c r="AG41" s="171">
        <f>COUNTIF(Delivery[Delivery ID],Delivery[[#This Row],[Delivery ID]])</f>
        <v>1</v>
      </c>
      <c r="AH41" s="171">
        <f>(Delivery[[#This Row],[Nespresso total]]/SUMIF(Allocation!C:C,Delivery[Delivery ID],Allocation!H:H))/Delivery[[#This Row],[Exchange rate VS USD]]</f>
        <v>19.560427959745162</v>
      </c>
      <c r="AI41" s="171">
        <f>(Delivery[[#This Row],[AAA Premium (total)]]/SUMIF(Allocation!C:C,Delivery[Delivery ID],Allocation!H:H))/Delivery[[#This Row],[Exchange rate VS USD]]</f>
        <v>0.88832983927323539</v>
      </c>
      <c r="AJ41" s="171">
        <f>Delivery[[#This Row],[Valor Prêmio Nespresso AAA por Kg (em US$)]]*60</f>
        <v>53.299790356394126</v>
      </c>
      <c r="AK41" s="171">
        <f>Delivery[[#This Row],[Valor Prêmio Nespresso AAA por saca (em US$)]]/1.3228/100</f>
        <v>0.40293158721193023</v>
      </c>
      <c r="AL41" s="171">
        <f>(Delivery[[#This Row],[BEN premium (total)]]/SUMIF(Allocation!C:C,Delivery[Delivery ID],Allocation!H:H))/Delivery[[#This Row],[Exchange rate for premiums VS USD]]</f>
        <v>0.25250318825995804</v>
      </c>
      <c r="AM41" s="171">
        <f>Delivery[[#This Row],[Valor Prêmio Nespresso BEN por Kg (em US$)]]*60</f>
        <v>15.150191295597482</v>
      </c>
      <c r="AN41" s="171">
        <f>Delivery[[#This Row],[Valor Prêmio Nespresso BEN por saca (em US$)]]/1.3228/100</f>
        <v>0.11453123144539978</v>
      </c>
      <c r="AO41" s="171">
        <f>SUMIF(Allocation[Delivery ID],Delivery[[#This Row],[Delivery ID]],Allocation[Quantity allocated])*16*1.3228*Delivery[[#This Row],[Exchange rate VS USD]]/60</f>
        <v>2674.8317635200001</v>
      </c>
      <c r="AP41" s="171">
        <f>Delivery[[#This Row],[AAA Premium (total)]]</f>
        <v>6736.0887999999986</v>
      </c>
      <c r="AQ41" s="171">
        <f>Delivery[[#This Row],[Valor pago pelo Cluster]]-Delivery[[#This Row],[Valor efetivamente pago pela Nespresso]]</f>
        <v>4061.2570364799985</v>
      </c>
    </row>
    <row r="42" spans="1:43" ht="15.75">
      <c r="A42" s="174" t="s">
        <v>69</v>
      </c>
      <c r="B42" s="232" t="s">
        <v>68</v>
      </c>
      <c r="C42" s="157">
        <v>1</v>
      </c>
      <c r="D42" s="157" t="s">
        <v>468</v>
      </c>
      <c r="E42" s="177" t="s">
        <v>468</v>
      </c>
      <c r="F42" s="233" t="s">
        <v>469</v>
      </c>
      <c r="G42" s="234">
        <v>42810</v>
      </c>
      <c r="H42" s="157" t="s">
        <v>513</v>
      </c>
      <c r="I42" s="157" t="s">
        <v>509</v>
      </c>
      <c r="J42" s="237">
        <v>21090</v>
      </c>
      <c r="K42" s="175" t="s">
        <v>61</v>
      </c>
      <c r="L42" s="175" t="s">
        <v>439</v>
      </c>
      <c r="M42" s="175" t="s">
        <v>1343</v>
      </c>
      <c r="N42" s="180"/>
      <c r="O42" s="177"/>
      <c r="P42" s="181">
        <v>0</v>
      </c>
      <c r="Q42" s="177">
        <v>42808</v>
      </c>
      <c r="R42" s="178">
        <v>449.09024999999997</v>
      </c>
      <c r="S42" s="179">
        <v>171810.59942838573</v>
      </c>
      <c r="T42" s="182" t="s">
        <v>45</v>
      </c>
      <c r="U42" s="183">
        <v>3.1793999999999998</v>
      </c>
      <c r="V42" s="179">
        <v>7822.9136999999982</v>
      </c>
      <c r="W42" s="179">
        <v>2445.9852858071395</v>
      </c>
      <c r="X42" s="186" t="s">
        <v>45</v>
      </c>
      <c r="Y42" s="183">
        <v>3.1793999999999998</v>
      </c>
      <c r="Z42" s="220" t="s">
        <v>473</v>
      </c>
      <c r="AA42" s="172">
        <f>Delivery[[#This Row],[Quantity delivered]]*VLOOKUP(Delivery[[#This Row],[Unit]],Tab_Conversão[],4,FALSE)*VLOOKUP(CONCATENATE(Delivery[[#This Row],[Coffee specie]],Delivery[[#This Row],[Coffee state]]),Tab_Conversão[],4,FALSE)</f>
        <v>21090</v>
      </c>
      <c r="AB42" s="169">
        <f>SUMIF(Allocation!C:C,Delivery[[#This Row],[Delivery ID]],Allocation!D:D)/Delivery[[#This Row],[Quantity delivered]]</f>
        <v>0.34267425320056899</v>
      </c>
      <c r="AC42" s="170">
        <f>Delivery[[#This Row],[Quantity delivered]]*Delivery[[#This Row],[Base price (Unidad)]]/60</f>
        <v>157855.22287499998</v>
      </c>
      <c r="AD42" s="171">
        <f>Delivery[[#This Row],[Nespresso total]]-Delivery[[#This Row],[Qt. Delivery * Base Price]]</f>
        <v>13955.376553385751</v>
      </c>
      <c r="AE42" s="171">
        <f>Delivery[[#This Row],[AAA Premium (total)]]/Delivery[[#This Row],[Quantity delivered]]*60/Delivery[[#This Row],[Exchange rate VS USD]]</f>
        <v>7</v>
      </c>
      <c r="AF42" s="171">
        <f>Delivery[[#This Row],[BEN premium (total)]]/Delivery[[#This Row],[Quantity delivered]]*60/Delivery[[#This Row],[Exchange rate for premiums VS USD]]</f>
        <v>2.1886853999999998</v>
      </c>
      <c r="AG42" s="171">
        <f>COUNTIF(Delivery[Delivery ID],Delivery[[#This Row],[Delivery ID]])</f>
        <v>1</v>
      </c>
      <c r="AH42" s="171">
        <f>(Delivery[[#This Row],[Nespresso total]]/SUMIF(Allocation!C:C,Delivery[Delivery ID],Allocation!H:H))/Delivery[[#This Row],[Exchange rate VS USD]]</f>
        <v>22.657730132010158</v>
      </c>
      <c r="AI42" s="171">
        <f>(Delivery[[#This Row],[AAA Premium (total)]]/SUMIF(Allocation!C:C,Delivery[Delivery ID],Allocation!H:H))/Delivery[[#This Row],[Exchange rate VS USD]]</f>
        <v>1.031656184486373</v>
      </c>
      <c r="AJ42" s="171">
        <f>Delivery[[#This Row],[Valor Prêmio Nespresso AAA por Kg (em US$)]]*60</f>
        <v>61.899371069182379</v>
      </c>
      <c r="AK42" s="171">
        <f>Delivery[[#This Row],[Valor Prêmio Nespresso AAA por saca (em US$)]]/1.3228/100</f>
        <v>0.46794202501649823</v>
      </c>
      <c r="AL42" s="171">
        <f>(Delivery[[#This Row],[BEN premium (total)]]/SUMIF(Allocation!C:C,Delivery[Delivery ID],Allocation!H:H))/Delivery[[#This Row],[Exchange rate for premiums VS USD]]</f>
        <v>0.32256726125786156</v>
      </c>
      <c r="AM42" s="171">
        <f>Delivery[[#This Row],[Valor Prêmio Nespresso BEN por Kg (em US$)]]*60</f>
        <v>19.354035675471692</v>
      </c>
      <c r="AN42" s="171">
        <f>Delivery[[#This Row],[Valor Prêmio Nespresso BEN por saca (em US$)]]/1.3228/100</f>
        <v>0.14631112545714917</v>
      </c>
      <c r="AO42" s="171">
        <f>SUMIF(Allocation[Delivery ID],Delivery[[#This Row],[Delivery ID]],Allocation[Quantity allocated])*16*1.3228*Delivery[[#This Row],[Exchange rate VS USD]]/60</f>
        <v>2674.8317635200001</v>
      </c>
      <c r="AP42" s="171">
        <f>Delivery[[#This Row],[AAA Premium (total)]]</f>
        <v>7822.9136999999982</v>
      </c>
      <c r="AQ42" s="171">
        <f>Delivery[[#This Row],[Valor pago pelo Cluster]]-Delivery[[#This Row],[Valor efetivamente pago pela Nespresso]]</f>
        <v>5148.0819364799981</v>
      </c>
    </row>
    <row r="43" spans="1:43" ht="15.75">
      <c r="A43" s="174" t="s">
        <v>69</v>
      </c>
      <c r="B43" s="232" t="s">
        <v>68</v>
      </c>
      <c r="C43" s="157">
        <v>1</v>
      </c>
      <c r="D43" s="157" t="s">
        <v>468</v>
      </c>
      <c r="E43" s="177" t="s">
        <v>468</v>
      </c>
      <c r="F43" s="233" t="s">
        <v>469</v>
      </c>
      <c r="G43" s="234">
        <v>42821</v>
      </c>
      <c r="H43" s="157" t="s">
        <v>514</v>
      </c>
      <c r="I43" s="157" t="s">
        <v>477</v>
      </c>
      <c r="J43" s="237">
        <v>17400</v>
      </c>
      <c r="K43" s="175" t="s">
        <v>61</v>
      </c>
      <c r="L43" s="175" t="s">
        <v>439</v>
      </c>
      <c r="M43" s="175" t="s">
        <v>1343</v>
      </c>
      <c r="N43" s="180"/>
      <c r="O43" s="177"/>
      <c r="P43" s="181">
        <v>0</v>
      </c>
      <c r="Q43" s="177">
        <v>42817</v>
      </c>
      <c r="R43" s="178">
        <v>439.16085000000004</v>
      </c>
      <c r="S43" s="179">
        <v>139054.3191062276</v>
      </c>
      <c r="T43" s="182" t="s">
        <v>45</v>
      </c>
      <c r="U43" s="183">
        <v>3.1257000000000001</v>
      </c>
      <c r="V43" s="179">
        <v>6345.1709999999994</v>
      </c>
      <c r="W43" s="179">
        <v>1983.9404468862001</v>
      </c>
      <c r="X43" s="186" t="s">
        <v>45</v>
      </c>
      <c r="Y43" s="183">
        <v>3.1257000000000001</v>
      </c>
      <c r="Z43" s="220" t="s">
        <v>473</v>
      </c>
      <c r="AA43" s="172">
        <f>Delivery[[#This Row],[Quantity delivered]]*VLOOKUP(Delivery[[#This Row],[Unit]],Tab_Conversão[],4,FALSE)*VLOOKUP(CONCATENATE(Delivery[[#This Row],[Coffee specie]],Delivery[[#This Row],[Coffee state]]),Tab_Conversão[],4,FALSE)</f>
        <v>17400</v>
      </c>
      <c r="AB43" s="169">
        <f>SUMIF(Allocation!C:C,Delivery[[#This Row],[Delivery ID]],Allocation!D:D)/Delivery[[#This Row],[Quantity delivered]]</f>
        <v>0.31160919540229887</v>
      </c>
      <c r="AC43" s="170">
        <f>Delivery[[#This Row],[Quantity delivered]]*Delivery[[#This Row],[Base price (Unidad)]]/60</f>
        <v>127356.64650000002</v>
      </c>
      <c r="AD43" s="171">
        <f>Delivery[[#This Row],[Nespresso total]]-Delivery[[#This Row],[Qt. Delivery * Base Price]]</f>
        <v>11697.672606227585</v>
      </c>
      <c r="AE43" s="171">
        <f>Delivery[[#This Row],[AAA Premium (total)]]/Delivery[[#This Row],[Quantity delivered]]*60/Delivery[[#This Row],[Exchange rate VS USD]]</f>
        <v>6.9999999999999991</v>
      </c>
      <c r="AF43" s="171">
        <f>Delivery[[#This Row],[BEN premium (total)]]/Delivery[[#This Row],[Quantity delivered]]*60/Delivery[[#This Row],[Exchange rate for premiums VS USD]]</f>
        <v>2.1886854000000002</v>
      </c>
      <c r="AG43" s="171">
        <f>COUNTIF(Delivery[Delivery ID],Delivery[[#This Row],[Delivery ID]])</f>
        <v>1</v>
      </c>
      <c r="AH43" s="171">
        <f>(Delivery[[#This Row],[Nespresso total]]/SUMIF(Allocation!C:C,Delivery[Delivery ID],Allocation!H:H))/Delivery[[#This Row],[Exchange rate VS USD]]</f>
        <v>24.862611666154333</v>
      </c>
      <c r="AI43" s="171">
        <f>(Delivery[[#This Row],[AAA Premium (total)]]/SUMIF(Allocation!C:C,Delivery[Delivery ID],Allocation!H:H))/Delivery[[#This Row],[Exchange rate VS USD]]</f>
        <v>1.1345028586118826</v>
      </c>
      <c r="AJ43" s="171">
        <f>Delivery[[#This Row],[Valor Prêmio Nespresso AAA por Kg (em US$)]]*60</f>
        <v>68.070171516712961</v>
      </c>
      <c r="AK43" s="171">
        <f>Delivery[[#This Row],[Valor Prêmio Nespresso AAA por saca (em US$)]]/1.3228/100</f>
        <v>0.51459155969695314</v>
      </c>
      <c r="AL43" s="171">
        <f>(Delivery[[#This Row],[BEN premium (total)]]/SUMIF(Allocation!C:C,Delivery[Delivery ID],Allocation!H:H))/Delivery[[#This Row],[Exchange rate for premiums VS USD]]</f>
        <v>0.3547242632717274</v>
      </c>
      <c r="AM43" s="171">
        <f>Delivery[[#This Row],[Valor Prêmio Nespresso BEN por Kg (em US$)]]*60</f>
        <v>21.283455796303645</v>
      </c>
      <c r="AN43" s="171">
        <f>Delivery[[#This Row],[Valor Prêmio Nespresso BEN por saca (em US$)]]/1.3228/100</f>
        <v>0.16089700481027855</v>
      </c>
      <c r="AO43" s="171">
        <f>SUMIF(Allocation[Delivery ID],Delivery[[#This Row],[Delivery ID]],Allocation[Quantity allocated])*16*1.3228*Delivery[[#This Row],[Exchange rate VS USD]]/60</f>
        <v>1972.8799294684798</v>
      </c>
      <c r="AP43" s="171">
        <f>Delivery[[#This Row],[AAA Premium (total)]]</f>
        <v>6345.1709999999994</v>
      </c>
      <c r="AQ43" s="171">
        <f>Delivery[[#This Row],[Valor pago pelo Cluster]]-Delivery[[#This Row],[Valor efetivamente pago pela Nespresso]]</f>
        <v>4372.2910705315198</v>
      </c>
    </row>
    <row r="44" spans="1:43" ht="15.75">
      <c r="A44" s="174" t="s">
        <v>69</v>
      </c>
      <c r="B44" s="232" t="s">
        <v>68</v>
      </c>
      <c r="C44" s="157">
        <v>1</v>
      </c>
      <c r="D44" s="157" t="s">
        <v>468</v>
      </c>
      <c r="E44" s="177" t="s">
        <v>468</v>
      </c>
      <c r="F44" s="233" t="s">
        <v>469</v>
      </c>
      <c r="G44" s="234">
        <v>42821</v>
      </c>
      <c r="H44" s="157" t="s">
        <v>515</v>
      </c>
      <c r="I44" s="157" t="s">
        <v>477</v>
      </c>
      <c r="J44" s="237">
        <v>17820</v>
      </c>
      <c r="K44" s="175" t="s">
        <v>61</v>
      </c>
      <c r="L44" s="175" t="s">
        <v>439</v>
      </c>
      <c r="M44" s="175" t="s">
        <v>1343</v>
      </c>
      <c r="N44" s="180"/>
      <c r="O44" s="177"/>
      <c r="P44" s="181">
        <v>0</v>
      </c>
      <c r="Q44" s="177">
        <v>42817</v>
      </c>
      <c r="R44" s="178">
        <v>439.16085000000004</v>
      </c>
      <c r="S44" s="179">
        <v>142410.80267086069</v>
      </c>
      <c r="T44" s="182" t="s">
        <v>45</v>
      </c>
      <c r="U44" s="183">
        <v>3.1257000000000001</v>
      </c>
      <c r="V44" s="179">
        <v>6498.3302999999996</v>
      </c>
      <c r="W44" s="179">
        <v>2031.8286645696601</v>
      </c>
      <c r="X44" s="186" t="s">
        <v>45</v>
      </c>
      <c r="Y44" s="183">
        <v>3.1257000000000001</v>
      </c>
      <c r="Z44" s="220" t="s">
        <v>473</v>
      </c>
      <c r="AA44" s="172">
        <f>Delivery[[#This Row],[Quantity delivered]]*VLOOKUP(Delivery[[#This Row],[Unit]],Tab_Conversão[],4,FALSE)*VLOOKUP(CONCATENATE(Delivery[[#This Row],[Coffee specie]],Delivery[[#This Row],[Coffee state]]),Tab_Conversão[],4,FALSE)</f>
        <v>17820</v>
      </c>
      <c r="AB44" s="169">
        <f>SUMIF(Allocation!C:C,Delivery[[#This Row],[Delivery ID]],Allocation!D:D)/Delivery[[#This Row],[Quantity delivered]]</f>
        <v>0.25353535353535356</v>
      </c>
      <c r="AC44" s="170">
        <f>Delivery[[#This Row],[Quantity delivered]]*Delivery[[#This Row],[Base price (Unidad)]]/60</f>
        <v>130430.77245000002</v>
      </c>
      <c r="AD44" s="171">
        <f>Delivery[[#This Row],[Nespresso total]]-Delivery[[#This Row],[Qt. Delivery * Base Price]]</f>
        <v>11980.030220860674</v>
      </c>
      <c r="AE44" s="171">
        <f>Delivery[[#This Row],[AAA Premium (total)]]/Delivery[[#This Row],[Quantity delivered]]*60/Delivery[[#This Row],[Exchange rate VS USD]]</f>
        <v>6.9999999999999991</v>
      </c>
      <c r="AF44" s="171">
        <f>Delivery[[#This Row],[BEN premium (total)]]/Delivery[[#This Row],[Quantity delivered]]*60/Delivery[[#This Row],[Exchange rate for premiums VS USD]]</f>
        <v>2.1886854000000002</v>
      </c>
      <c r="AG44" s="171">
        <f>COUNTIF(Delivery[Delivery ID],Delivery[[#This Row],[Delivery ID]])</f>
        <v>1</v>
      </c>
      <c r="AH44" s="171">
        <f>(Delivery[[#This Row],[Nespresso total]]/SUMIF(Allocation!C:C,Delivery[Delivery ID],Allocation!H:H))/Delivery[[#This Row],[Exchange rate VS USD]]</f>
        <v>30.557512497935154</v>
      </c>
      <c r="AI44" s="171">
        <f>(Delivery[[#This Row],[AAA Premium (total)]]/SUMIF(Allocation!C:C,Delivery[Delivery ID],Allocation!H:H))/Delivery[[#This Row],[Exchange rate VS USD]]</f>
        <v>1.3943661971830985</v>
      </c>
      <c r="AJ44" s="171">
        <f>Delivery[[#This Row],[Valor Prêmio Nespresso AAA por Kg (em US$)]]*60</f>
        <v>83.661971830985905</v>
      </c>
      <c r="AK44" s="171">
        <f>Delivery[[#This Row],[Valor Prêmio Nespresso AAA por saca (em US$)]]/1.3228/100</f>
        <v>0.63246123246889863</v>
      </c>
      <c r="AL44" s="171">
        <f>(Delivery[[#This Row],[BEN premium (total)]]/SUMIF(Allocation!C:C,Delivery[Delivery ID],Allocation!H:H))/Delivery[[#This Row],[Exchange rate for premiums VS USD]]</f>
        <v>0.43597556257545267</v>
      </c>
      <c r="AM44" s="171">
        <f>Delivery[[#This Row],[Valor Prêmio Nespresso BEN por Kg (em US$)]]*60</f>
        <v>26.158533754527159</v>
      </c>
      <c r="AN44" s="171">
        <f>Delivery[[#This Row],[Valor Prêmio Nespresso BEN por saca (em US$)]]/1.3228/100</f>
        <v>0.19775123793866917</v>
      </c>
      <c r="AO44" s="171">
        <f>SUMIF(Allocation[Delivery ID],Delivery[[#This Row],[Delivery ID]],Allocation[Quantity allocated])*16*1.3228*Delivery[[#This Row],[Exchange rate VS USD]]/60</f>
        <v>1643.947161696</v>
      </c>
      <c r="AP44" s="171">
        <f>Delivery[[#This Row],[AAA Premium (total)]]</f>
        <v>6498.3302999999996</v>
      </c>
      <c r="AQ44" s="171">
        <f>Delivery[[#This Row],[Valor pago pelo Cluster]]-Delivery[[#This Row],[Valor efetivamente pago pela Nespresso]]</f>
        <v>4854.3831383039997</v>
      </c>
    </row>
    <row r="45" spans="1:43" ht="15.75">
      <c r="A45" s="174" t="s">
        <v>69</v>
      </c>
      <c r="B45" s="232" t="s">
        <v>68</v>
      </c>
      <c r="C45" s="157">
        <v>1</v>
      </c>
      <c r="D45" s="157" t="s">
        <v>468</v>
      </c>
      <c r="E45" s="177" t="s">
        <v>468</v>
      </c>
      <c r="F45" s="233" t="s">
        <v>469</v>
      </c>
      <c r="G45" s="234">
        <v>42821</v>
      </c>
      <c r="H45" s="157" t="s">
        <v>516</v>
      </c>
      <c r="I45" s="157" t="s">
        <v>477</v>
      </c>
      <c r="J45" s="237">
        <v>17340</v>
      </c>
      <c r="K45" s="175" t="s">
        <v>61</v>
      </c>
      <c r="L45" s="175" t="s">
        <v>439</v>
      </c>
      <c r="M45" s="175" t="s">
        <v>1343</v>
      </c>
      <c r="N45" s="180"/>
      <c r="O45" s="177"/>
      <c r="P45" s="181">
        <v>0</v>
      </c>
      <c r="Q45" s="177">
        <v>42817</v>
      </c>
      <c r="R45" s="178">
        <v>439.16085000000004</v>
      </c>
      <c r="S45" s="179">
        <v>138574.82145413713</v>
      </c>
      <c r="T45" s="182" t="s">
        <v>45</v>
      </c>
      <c r="U45" s="183">
        <v>3.1257000000000001</v>
      </c>
      <c r="V45" s="179">
        <v>6323.2910999999995</v>
      </c>
      <c r="W45" s="179">
        <v>1977.0992729314203</v>
      </c>
      <c r="X45" s="186" t="s">
        <v>45</v>
      </c>
      <c r="Y45" s="183">
        <v>3.1257000000000001</v>
      </c>
      <c r="Z45" s="220" t="s">
        <v>473</v>
      </c>
      <c r="AA45" s="172">
        <f>Delivery[[#This Row],[Quantity delivered]]*VLOOKUP(Delivery[[#This Row],[Unit]],Tab_Conversão[],4,FALSE)*VLOOKUP(CONCATENATE(Delivery[[#This Row],[Coffee specie]],Delivery[[#This Row],[Coffee state]]),Tab_Conversão[],4,FALSE)</f>
        <v>17340</v>
      </c>
      <c r="AB45" s="169">
        <f>SUMIF(Allocation!C:C,Delivery[[#This Row],[Delivery ID]],Allocation!D:D)/Delivery[[#This Row],[Quantity delivered]]</f>
        <v>0.31262975778546714</v>
      </c>
      <c r="AC45" s="170">
        <f>Delivery[[#This Row],[Quantity delivered]]*Delivery[[#This Row],[Base price (Unidad)]]/60</f>
        <v>126917.48565</v>
      </c>
      <c r="AD45" s="171">
        <f>Delivery[[#This Row],[Nespresso total]]-Delivery[[#This Row],[Qt. Delivery * Base Price]]</f>
        <v>11657.335804137125</v>
      </c>
      <c r="AE45" s="171">
        <f>Delivery[[#This Row],[AAA Premium (total)]]/Delivery[[#This Row],[Quantity delivered]]*60/Delivery[[#This Row],[Exchange rate VS USD]]</f>
        <v>6.9999999999999991</v>
      </c>
      <c r="AF45" s="171">
        <f>Delivery[[#This Row],[BEN premium (total)]]/Delivery[[#This Row],[Quantity delivered]]*60/Delivery[[#This Row],[Exchange rate for premiums VS USD]]</f>
        <v>2.1886854000000002</v>
      </c>
      <c r="AG45" s="171">
        <f>COUNTIF(Delivery[Delivery ID],Delivery[[#This Row],[Delivery ID]])</f>
        <v>1</v>
      </c>
      <c r="AH45" s="171">
        <f>(Delivery[[#This Row],[Nespresso total]]/SUMIF(Allocation!C:C,Delivery[Delivery ID],Allocation!H:H))/Delivery[[#This Row],[Exchange rate VS USD]]</f>
        <v>24.781448880170728</v>
      </c>
      <c r="AI45" s="171">
        <f>(Delivery[[#This Row],[AAA Premium (total)]]/SUMIF(Allocation!C:C,Delivery[Delivery ID],Allocation!H:H))/Delivery[[#This Row],[Exchange rate VS USD]]</f>
        <v>1.1307993292342089</v>
      </c>
      <c r="AJ45" s="171">
        <f>Delivery[[#This Row],[Valor Prêmio Nespresso AAA por Kg (em US$)]]*60</f>
        <v>67.847959754052539</v>
      </c>
      <c r="AK45" s="171">
        <f>Delivery[[#This Row],[Valor Prêmio Nespresso AAA por saca (em US$)]]/1.3228/100</f>
        <v>0.51291170059005553</v>
      </c>
      <c r="AL45" s="171">
        <f>(Delivery[[#This Row],[BEN premium (total)]]/SUMIF(Allocation!C:C,Delivery[Delivery ID],Allocation!H:H))/Delivery[[#This Row],[Exchange rate for premiums VS USD]]</f>
        <v>0.35356628317495808</v>
      </c>
      <c r="AM45" s="171">
        <f>Delivery[[#This Row],[Valor Prêmio Nespresso BEN por Kg (em US$)]]*60</f>
        <v>21.213976990497486</v>
      </c>
      <c r="AN45" s="171">
        <f>Delivery[[#This Row],[Valor Prêmio Nespresso BEN por saca (em US$)]]/1.3228/100</f>
        <v>0.1603717643672323</v>
      </c>
      <c r="AO45" s="171">
        <f>SUMIF(Allocation[Delivery ID],Delivery[[#This Row],[Delivery ID]],Allocation[Quantity allocated])*16*1.3228*Delivery[[#This Row],[Exchange rate VS USD]]/60</f>
        <v>1972.516077984</v>
      </c>
      <c r="AP45" s="171">
        <f>Delivery[[#This Row],[AAA Premium (total)]]</f>
        <v>6323.2910999999995</v>
      </c>
      <c r="AQ45" s="171">
        <f>Delivery[[#This Row],[Valor pago pelo Cluster]]-Delivery[[#This Row],[Valor efetivamente pago pela Nespresso]]</f>
        <v>4350.7750220159996</v>
      </c>
    </row>
    <row r="46" spans="1:43" ht="15.75">
      <c r="A46" s="174" t="s">
        <v>69</v>
      </c>
      <c r="B46" s="232" t="s">
        <v>68</v>
      </c>
      <c r="C46" s="157">
        <v>1</v>
      </c>
      <c r="D46" s="157" t="s">
        <v>468</v>
      </c>
      <c r="E46" s="177" t="s">
        <v>468</v>
      </c>
      <c r="F46" s="233" t="s">
        <v>469</v>
      </c>
      <c r="G46" s="234">
        <v>42821</v>
      </c>
      <c r="H46" s="157" t="s">
        <v>517</v>
      </c>
      <c r="I46" s="157" t="s">
        <v>477</v>
      </c>
      <c r="J46" s="237">
        <v>17160</v>
      </c>
      <c r="K46" s="175" t="s">
        <v>61</v>
      </c>
      <c r="L46" s="175" t="s">
        <v>439</v>
      </c>
      <c r="M46" s="175" t="s">
        <v>1343</v>
      </c>
      <c r="N46" s="180"/>
      <c r="O46" s="177"/>
      <c r="P46" s="181">
        <v>0</v>
      </c>
      <c r="Q46" s="177">
        <v>42817</v>
      </c>
      <c r="R46" s="178">
        <v>439.16085000000004</v>
      </c>
      <c r="S46" s="179">
        <v>137136.32849786585</v>
      </c>
      <c r="T46" s="182" t="s">
        <v>45</v>
      </c>
      <c r="U46" s="183">
        <v>3.1257000000000001</v>
      </c>
      <c r="V46" s="179">
        <v>6257.6513999999997</v>
      </c>
      <c r="W46" s="179">
        <v>1956.5757510670801</v>
      </c>
      <c r="X46" s="186" t="s">
        <v>45</v>
      </c>
      <c r="Y46" s="183">
        <v>3.1257000000000001</v>
      </c>
      <c r="Z46" s="220" t="s">
        <v>473</v>
      </c>
      <c r="AA46" s="172">
        <f>Delivery[[#This Row],[Quantity delivered]]*VLOOKUP(Delivery[[#This Row],[Unit]],Tab_Conversão[],4,FALSE)*VLOOKUP(CONCATENATE(Delivery[[#This Row],[Coffee specie]],Delivery[[#This Row],[Coffee state]]),Tab_Conversão[],4,FALSE)</f>
        <v>17160</v>
      </c>
      <c r="AB46" s="169">
        <f>SUMIF(Allocation!C:C,Delivery[[#This Row],[Delivery ID]],Allocation!D:D)/Delivery[[#This Row],[Quantity delivered]]</f>
        <v>0.25268065268065271</v>
      </c>
      <c r="AC46" s="170">
        <f>Delivery[[#This Row],[Quantity delivered]]*Delivery[[#This Row],[Base price (Unidad)]]/60</f>
        <v>125600.00310000002</v>
      </c>
      <c r="AD46" s="171">
        <f>Delivery[[#This Row],[Nespresso total]]-Delivery[[#This Row],[Qt. Delivery * Base Price]]</f>
        <v>11536.325397865832</v>
      </c>
      <c r="AE46" s="171">
        <f>Delivery[[#This Row],[AAA Premium (total)]]/Delivery[[#This Row],[Quantity delivered]]*60/Delivery[[#This Row],[Exchange rate VS USD]]</f>
        <v>6.9999999999999991</v>
      </c>
      <c r="AF46" s="171">
        <f>Delivery[[#This Row],[BEN premium (total)]]/Delivery[[#This Row],[Quantity delivered]]*60/Delivery[[#This Row],[Exchange rate for premiums VS USD]]</f>
        <v>2.1886854000000002</v>
      </c>
      <c r="AG46" s="171">
        <f>COUNTIF(Delivery[Delivery ID],Delivery[[#This Row],[Delivery ID]])</f>
        <v>1</v>
      </c>
      <c r="AH46" s="171">
        <f>(Delivery[[#This Row],[Nespresso total]]/SUMIF(Allocation!C:C,Delivery[Delivery ID],Allocation!H:H))/Delivery[[#This Row],[Exchange rate VS USD]]</f>
        <v>30.659536959260656</v>
      </c>
      <c r="AI46" s="171">
        <f>(Delivery[[#This Row],[AAA Premium (total)]]/SUMIF(Allocation!C:C,Delivery[Delivery ID],Allocation!H:H))/Delivery[[#This Row],[Exchange rate VS USD]]</f>
        <v>1.3990216631726065</v>
      </c>
      <c r="AJ46" s="171">
        <f>Delivery[[#This Row],[Valor Prêmio Nespresso AAA por Kg (em US$)]]*60</f>
        <v>83.941299790356382</v>
      </c>
      <c r="AK46" s="171">
        <f>Delivery[[#This Row],[Valor Prêmio Nespresso AAA por saca (em US$)]]/1.3228/100</f>
        <v>0.63457287413332619</v>
      </c>
      <c r="AL46" s="171">
        <f>(Delivery[[#This Row],[BEN premium (total)]]/SUMIF(Allocation!C:C,Delivery[Delivery ID],Allocation!H:H))/Delivery[[#This Row],[Exchange rate for premiums VS USD]]</f>
        <v>0.43743118406708592</v>
      </c>
      <c r="AM46" s="171">
        <f>Delivery[[#This Row],[Valor Prêmio Nespresso BEN por Kg (em US$)]]*60</f>
        <v>26.245871044025154</v>
      </c>
      <c r="AN46" s="171">
        <f>Delivery[[#This Row],[Valor Prêmio Nespresso BEN por saca (em US$)]]/1.3228/100</f>
        <v>0.19841148355023552</v>
      </c>
      <c r="AO46" s="171">
        <f>SUMIF(Allocation[Delivery ID],Delivery[[#This Row],[Delivery ID]],Allocation[Quantity allocated])*16*1.3228*Delivery[[#This Row],[Exchange rate VS USD]]/60</f>
        <v>1577.792346336</v>
      </c>
      <c r="AP46" s="171">
        <f>Delivery[[#This Row],[AAA Premium (total)]]</f>
        <v>6257.6513999999997</v>
      </c>
      <c r="AQ46" s="171">
        <f>Delivery[[#This Row],[Valor pago pelo Cluster]]-Delivery[[#This Row],[Valor efetivamente pago pela Nespresso]]</f>
        <v>4679.8590536639995</v>
      </c>
    </row>
    <row r="47" spans="1:43" ht="15.75">
      <c r="A47" s="174" t="s">
        <v>69</v>
      </c>
      <c r="B47" s="232" t="s">
        <v>68</v>
      </c>
      <c r="C47" s="157">
        <v>1</v>
      </c>
      <c r="D47" s="157" t="s">
        <v>468</v>
      </c>
      <c r="E47" s="177" t="s">
        <v>468</v>
      </c>
      <c r="F47" s="233" t="s">
        <v>469</v>
      </c>
      <c r="G47" s="234">
        <v>42821</v>
      </c>
      <c r="H47" s="157" t="s">
        <v>518</v>
      </c>
      <c r="I47" s="157" t="s">
        <v>477</v>
      </c>
      <c r="J47" s="237">
        <v>17640</v>
      </c>
      <c r="K47" s="175" t="s">
        <v>61</v>
      </c>
      <c r="L47" s="175" t="s">
        <v>439</v>
      </c>
      <c r="M47" s="175" t="s">
        <v>1343</v>
      </c>
      <c r="N47" s="180"/>
      <c r="O47" s="177"/>
      <c r="P47" s="181">
        <v>0</v>
      </c>
      <c r="Q47" s="177">
        <v>42817</v>
      </c>
      <c r="R47" s="178">
        <v>439.16085000000004</v>
      </c>
      <c r="S47" s="179">
        <v>140972.30971458936</v>
      </c>
      <c r="T47" s="182" t="s">
        <v>45</v>
      </c>
      <c r="U47" s="183">
        <v>3.1257000000000001</v>
      </c>
      <c r="V47" s="179">
        <v>6432.690599999999</v>
      </c>
      <c r="W47" s="179">
        <v>2011.3051427053203</v>
      </c>
      <c r="X47" s="186" t="s">
        <v>45</v>
      </c>
      <c r="Y47" s="183">
        <v>3.1257000000000001</v>
      </c>
      <c r="Z47" s="220" t="s">
        <v>473</v>
      </c>
      <c r="AA47" s="172">
        <f>Delivery[[#This Row],[Quantity delivered]]*VLOOKUP(Delivery[[#This Row],[Unit]],Tab_Conversão[],4,FALSE)*VLOOKUP(CONCATENATE(Delivery[[#This Row],[Coffee specie]],Delivery[[#This Row],[Coffee state]]),Tab_Conversão[],4,FALSE)</f>
        <v>17640</v>
      </c>
      <c r="AB47" s="169">
        <f>SUMIF(Allocation!C:C,Delivery[[#This Row],[Delivery ID]],Allocation!D:D)/Delivery[[#This Row],[Quantity delivered]]</f>
        <v>0.40969387755102044</v>
      </c>
      <c r="AC47" s="170">
        <f>Delivery[[#This Row],[Quantity delivered]]*Delivery[[#This Row],[Base price (Unidad)]]/60</f>
        <v>129113.2899</v>
      </c>
      <c r="AD47" s="171">
        <f>Delivery[[#This Row],[Nespresso total]]-Delivery[[#This Row],[Qt. Delivery * Base Price]]</f>
        <v>11859.019814589352</v>
      </c>
      <c r="AE47" s="171">
        <f>Delivery[[#This Row],[AAA Premium (total)]]/Delivery[[#This Row],[Quantity delivered]]*60/Delivery[[#This Row],[Exchange rate VS USD]]</f>
        <v>6.9999999999999991</v>
      </c>
      <c r="AF47" s="171">
        <f>Delivery[[#This Row],[BEN premium (total)]]/Delivery[[#This Row],[Quantity delivered]]*60/Delivery[[#This Row],[Exchange rate for premiums VS USD]]</f>
        <v>2.1886854000000002</v>
      </c>
      <c r="AG47" s="171">
        <f>COUNTIF(Delivery[Delivery ID],Delivery[[#This Row],[Delivery ID]])</f>
        <v>1</v>
      </c>
      <c r="AH47" s="171">
        <f>(Delivery[[#This Row],[Nespresso total]]/SUMIF(Allocation!C:C,Delivery[Delivery ID],Allocation!H:H))/Delivery[[#This Row],[Exchange rate VS USD]]</f>
        <v>18.910287830816713</v>
      </c>
      <c r="AI47" s="171">
        <f>(Delivery[[#This Row],[AAA Premium (total)]]/SUMIF(Allocation!C:C,Delivery[Delivery ID],Allocation!H:H))/Delivery[[#This Row],[Exchange rate VS USD]]</f>
        <v>0.86289308176100621</v>
      </c>
      <c r="AJ47" s="171">
        <f>Delivery[[#This Row],[Valor Prêmio Nespresso AAA por Kg (em US$)]]*60</f>
        <v>51.773584905660371</v>
      </c>
      <c r="AK47" s="171">
        <f>Delivery[[#This Row],[Valor Prêmio Nespresso AAA por saca (em US$)]]/1.3228/100</f>
        <v>0.39139389859132429</v>
      </c>
      <c r="AL47" s="171">
        <f>(Delivery[[#This Row],[BEN premium (total)]]/SUMIF(Allocation!C:C,Delivery[Delivery ID],Allocation!H:H))/Delivery[[#This Row],[Exchange rate for premiums VS USD]]</f>
        <v>0.26980021283018873</v>
      </c>
      <c r="AM47" s="171">
        <f>Delivery[[#This Row],[Valor Prêmio Nespresso BEN por Kg (em US$)]]*60</f>
        <v>16.188012769811323</v>
      </c>
      <c r="AN47" s="171">
        <f>Delivery[[#This Row],[Valor Prêmio Nespresso BEN por saca (em US$)]]/1.3228/100</f>
        <v>0.12237687307084461</v>
      </c>
      <c r="AO47" s="171">
        <f>SUMIF(Allocation[Delivery ID],Delivery[[#This Row],[Delivery ID]],Allocation[Quantity allocated])*16*1.3228*Delivery[[#This Row],[Exchange rate VS USD]]/60</f>
        <v>2629.6539105600004</v>
      </c>
      <c r="AP47" s="171">
        <f>Delivery[[#This Row],[AAA Premium (total)]]</f>
        <v>6432.690599999999</v>
      </c>
      <c r="AQ47" s="171">
        <f>Delivery[[#This Row],[Valor pago pelo Cluster]]-Delivery[[#This Row],[Valor efetivamente pago pela Nespresso]]</f>
        <v>3803.0366894399986</v>
      </c>
    </row>
    <row r="48" spans="1:43" ht="15.75">
      <c r="A48" s="174" t="s">
        <v>69</v>
      </c>
      <c r="B48" s="232" t="s">
        <v>68</v>
      </c>
      <c r="C48" s="157">
        <v>1</v>
      </c>
      <c r="D48" s="157" t="s">
        <v>468</v>
      </c>
      <c r="E48" s="177" t="s">
        <v>468</v>
      </c>
      <c r="F48" s="233" t="s">
        <v>469</v>
      </c>
      <c r="G48" s="234">
        <v>42821</v>
      </c>
      <c r="H48" s="157" t="s">
        <v>519</v>
      </c>
      <c r="I48" s="157" t="s">
        <v>477</v>
      </c>
      <c r="J48" s="237">
        <v>16740</v>
      </c>
      <c r="K48" s="175" t="s">
        <v>61</v>
      </c>
      <c r="L48" s="175" t="s">
        <v>439</v>
      </c>
      <c r="M48" s="175" t="s">
        <v>1343</v>
      </c>
      <c r="N48" s="180"/>
      <c r="O48" s="177"/>
      <c r="P48" s="181">
        <v>0</v>
      </c>
      <c r="Q48" s="177">
        <v>42817</v>
      </c>
      <c r="R48" s="178">
        <v>439.16085000000004</v>
      </c>
      <c r="S48" s="179">
        <v>133779.84493323279</v>
      </c>
      <c r="T48" s="182" t="s">
        <v>45</v>
      </c>
      <c r="U48" s="183">
        <v>3.1257000000000001</v>
      </c>
      <c r="V48" s="179">
        <v>6104.4920999999995</v>
      </c>
      <c r="W48" s="179">
        <v>1908.6875333836201</v>
      </c>
      <c r="X48" s="186" t="s">
        <v>45</v>
      </c>
      <c r="Y48" s="183">
        <v>3.1257000000000001</v>
      </c>
      <c r="Z48" s="220" t="s">
        <v>473</v>
      </c>
      <c r="AA48" s="172">
        <f>Delivery[[#This Row],[Quantity delivered]]*VLOOKUP(Delivery[[#This Row],[Unit]],Tab_Conversão[],4,FALSE)*VLOOKUP(CONCATENATE(Delivery[[#This Row],[Coffee specie]],Delivery[[#This Row],[Coffee state]]),Tab_Conversão[],4,FALSE)</f>
        <v>16740</v>
      </c>
      <c r="AB48" s="169">
        <f>SUMIF(Allocation!C:C,Delivery[[#This Row],[Delivery ID]],Allocation!D:D)/Delivery[[#This Row],[Quantity delivered]]</f>
        <v>0.32383512544802867</v>
      </c>
      <c r="AC48" s="170">
        <f>Delivery[[#This Row],[Quantity delivered]]*Delivery[[#This Row],[Base price (Unidad)]]/60</f>
        <v>122525.87715000001</v>
      </c>
      <c r="AD48" s="171">
        <f>Delivery[[#This Row],[Nespresso total]]-Delivery[[#This Row],[Qt. Delivery * Base Price]]</f>
        <v>11253.967783232772</v>
      </c>
      <c r="AE48" s="171">
        <f>Delivery[[#This Row],[AAA Premium (total)]]/Delivery[[#This Row],[Quantity delivered]]*60/Delivery[[#This Row],[Exchange rate VS USD]]</f>
        <v>6.9999999999999991</v>
      </c>
      <c r="AF48" s="171">
        <f>Delivery[[#This Row],[BEN premium (total)]]/Delivery[[#This Row],[Quantity delivered]]*60/Delivery[[#This Row],[Exchange rate for premiums VS USD]]</f>
        <v>2.1886854000000002</v>
      </c>
      <c r="AG48" s="171">
        <f>COUNTIF(Delivery[Delivery ID],Delivery[[#This Row],[Delivery ID]])</f>
        <v>1</v>
      </c>
      <c r="AH48" s="171">
        <f>(Delivery[[#This Row],[Nespresso total]]/SUMIF(Allocation!C:C,Delivery[Delivery ID],Allocation!H:H))/Delivery[[#This Row],[Exchange rate VS USD]]</f>
        <v>23.923959299541995</v>
      </c>
      <c r="AI48" s="171">
        <f>(Delivery[[#This Row],[AAA Premium (total)]]/SUMIF(Allocation!C:C,Delivery[Delivery ID],Allocation!H:H))/Delivery[[#This Row],[Exchange rate VS USD]]</f>
        <v>1.091671324762437</v>
      </c>
      <c r="AJ48" s="171">
        <f>Delivery[[#This Row],[Valor Prêmio Nespresso AAA por Kg (em US$)]]*60</f>
        <v>65.500279485746219</v>
      </c>
      <c r="AK48" s="171">
        <f>Delivery[[#This Row],[Valor Prêmio Nespresso AAA por saca (em US$)]]/1.3228/100</f>
        <v>0.49516389088105695</v>
      </c>
      <c r="AL48" s="171">
        <f>(Delivery[[#This Row],[BEN premium (total)]]/SUMIF(Allocation!C:C,Delivery[Delivery ID],Allocation!H:H))/Delivery[[#This Row],[Exchange rate for premiums VS USD]]</f>
        <v>0.3413321557294578</v>
      </c>
      <c r="AM48" s="171">
        <f>Delivery[[#This Row],[Valor Prêmio Nespresso BEN por Kg (em US$)]]*60</f>
        <v>20.479929343767466</v>
      </c>
      <c r="AN48" s="171">
        <f>Delivery[[#This Row],[Valor Prêmio Nespresso BEN por saca (em US$)]]/1.3228/100</f>
        <v>0.15482256836836608</v>
      </c>
      <c r="AO48" s="171">
        <f>SUMIF(Allocation[Delivery ID],Delivery[[#This Row],[Delivery ID]],Allocation[Quantity allocated])*16*1.3228*Delivery[[#This Row],[Exchange rate VS USD]]/60</f>
        <v>1972.516077984</v>
      </c>
      <c r="AP48" s="171">
        <f>Delivery[[#This Row],[AAA Premium (total)]]</f>
        <v>6104.4920999999995</v>
      </c>
      <c r="AQ48" s="171">
        <f>Delivery[[#This Row],[Valor pago pelo Cluster]]-Delivery[[#This Row],[Valor efetivamente pago pela Nespresso]]</f>
        <v>4131.9760220159997</v>
      </c>
    </row>
    <row r="49" spans="1:43" ht="15.75">
      <c r="A49" s="174" t="s">
        <v>69</v>
      </c>
      <c r="B49" s="232" t="s">
        <v>68</v>
      </c>
      <c r="C49" s="157">
        <v>1</v>
      </c>
      <c r="D49" s="157" t="s">
        <v>468</v>
      </c>
      <c r="E49" s="177" t="s">
        <v>468</v>
      </c>
      <c r="F49" s="233" t="s">
        <v>469</v>
      </c>
      <c r="G49" s="234">
        <v>42821</v>
      </c>
      <c r="H49" s="157" t="s">
        <v>520</v>
      </c>
      <c r="I49" s="157" t="s">
        <v>477</v>
      </c>
      <c r="J49" s="237">
        <v>18000</v>
      </c>
      <c r="K49" s="175" t="s">
        <v>61</v>
      </c>
      <c r="L49" s="175" t="s">
        <v>439</v>
      </c>
      <c r="M49" s="175" t="s">
        <v>1343</v>
      </c>
      <c r="N49" s="180"/>
      <c r="O49" s="177"/>
      <c r="P49" s="181">
        <v>0</v>
      </c>
      <c r="Q49" s="177">
        <v>42817</v>
      </c>
      <c r="R49" s="178">
        <v>439.16085000000004</v>
      </c>
      <c r="S49" s="179">
        <v>143849.295627132</v>
      </c>
      <c r="T49" s="182" t="s">
        <v>45</v>
      </c>
      <c r="U49" s="183">
        <v>3.1257000000000001</v>
      </c>
      <c r="V49" s="179">
        <v>6563.9699999999993</v>
      </c>
      <c r="W49" s="179">
        <v>2052.3521864340005</v>
      </c>
      <c r="X49" s="186" t="s">
        <v>45</v>
      </c>
      <c r="Y49" s="183">
        <v>3.1257000000000001</v>
      </c>
      <c r="Z49" s="220" t="s">
        <v>473</v>
      </c>
      <c r="AA49" s="172">
        <f>Delivery[[#This Row],[Quantity delivered]]*VLOOKUP(Delivery[[#This Row],[Unit]],Tab_Conversão[],4,FALSE)*VLOOKUP(CONCATENATE(Delivery[[#This Row],[Coffee specie]],Delivery[[#This Row],[Coffee state]]),Tab_Conversão[],4,FALSE)</f>
        <v>18000</v>
      </c>
      <c r="AB49" s="169">
        <f>SUMIF(Allocation!C:C,Delivery[[#This Row],[Delivery ID]],Allocation!D:D)/Delivery[[#This Row],[Quantity delivered]]</f>
        <v>0.30116666666666669</v>
      </c>
      <c r="AC49" s="170">
        <f>Delivery[[#This Row],[Quantity delivered]]*Delivery[[#This Row],[Base price (Unidad)]]/60</f>
        <v>131748.255</v>
      </c>
      <c r="AD49" s="171">
        <f>Delivery[[#This Row],[Nespresso total]]-Delivery[[#This Row],[Qt. Delivery * Base Price]]</f>
        <v>12101.040627131995</v>
      </c>
      <c r="AE49" s="171">
        <f>Delivery[[#This Row],[AAA Premium (total)]]/Delivery[[#This Row],[Quantity delivered]]*60/Delivery[[#This Row],[Exchange rate VS USD]]</f>
        <v>6.9999999999999991</v>
      </c>
      <c r="AF49" s="171">
        <f>Delivery[[#This Row],[BEN premium (total)]]/Delivery[[#This Row],[Quantity delivered]]*60/Delivery[[#This Row],[Exchange rate for premiums VS USD]]</f>
        <v>2.1886854000000002</v>
      </c>
      <c r="AG49" s="171">
        <f>COUNTIF(Delivery[Delivery ID],Delivery[[#This Row],[Delivery ID]])</f>
        <v>1</v>
      </c>
      <c r="AH49" s="171">
        <f>(Delivery[[#This Row],[Nespresso total]]/SUMIF(Allocation!C:C,Delivery[Delivery ID],Allocation!H:H))/Delivery[[#This Row],[Exchange rate VS USD]]</f>
        <v>25.724687418862352</v>
      </c>
      <c r="AI49" s="171">
        <f>(Delivery[[#This Row],[AAA Premium (total)]]/SUMIF(Allocation!C:C,Delivery[Delivery ID],Allocation!H:H))/Delivery[[#This Row],[Exchange rate VS USD]]</f>
        <v>1.1738401341531581</v>
      </c>
      <c r="AJ49" s="171">
        <f>Delivery[[#This Row],[Valor Prêmio Nespresso AAA por Kg (em US$)]]*60</f>
        <v>70.430408049189481</v>
      </c>
      <c r="AK49" s="171">
        <f>Delivery[[#This Row],[Valor Prêmio Nespresso AAA por saca (em US$)]]/1.3228/100</f>
        <v>0.53243429126995379</v>
      </c>
      <c r="AL49" s="171">
        <f>(Delivery[[#This Row],[BEN premium (total)]]/SUMIF(Allocation!C:C,Delivery[Delivery ID],Allocation!H:H))/Delivery[[#This Row],[Exchange rate for premiums VS USD]]</f>
        <v>0.36702382336500844</v>
      </c>
      <c r="AM49" s="171">
        <f>Delivery[[#This Row],[Valor Prêmio Nespresso BEN por Kg (em US$)]]*60</f>
        <v>22.021429401900505</v>
      </c>
      <c r="AN49" s="171">
        <f>Delivery[[#This Row],[Valor Prêmio Nespresso BEN por saca (em US$)]]/1.3228/100</f>
        <v>0.16647587996598506</v>
      </c>
      <c r="AO49" s="171">
        <f>SUMIF(Allocation[Delivery ID],Delivery[[#This Row],[Delivery ID]],Allocation[Quantity allocated])*16*1.3228*Delivery[[#This Row],[Exchange rate VS USD]]/60</f>
        <v>1972.516077984</v>
      </c>
      <c r="AP49" s="171">
        <f>Delivery[[#This Row],[AAA Premium (total)]]</f>
        <v>6563.9699999999993</v>
      </c>
      <c r="AQ49" s="171">
        <f>Delivery[[#This Row],[Valor pago pelo Cluster]]-Delivery[[#This Row],[Valor efetivamente pago pela Nespresso]]</f>
        <v>4591.4539220159995</v>
      </c>
    </row>
    <row r="50" spans="1:43" ht="15.75">
      <c r="A50" s="174" t="s">
        <v>69</v>
      </c>
      <c r="B50" s="232" t="s">
        <v>68</v>
      </c>
      <c r="C50" s="157">
        <v>1</v>
      </c>
      <c r="D50" s="157" t="s">
        <v>468</v>
      </c>
      <c r="E50" s="177" t="s">
        <v>468</v>
      </c>
      <c r="F50" s="233" t="s">
        <v>469</v>
      </c>
      <c r="G50" s="234">
        <v>42821</v>
      </c>
      <c r="H50" s="157" t="s">
        <v>521</v>
      </c>
      <c r="I50" s="157" t="s">
        <v>477</v>
      </c>
      <c r="J50" s="237">
        <v>9840</v>
      </c>
      <c r="K50" s="175" t="s">
        <v>61</v>
      </c>
      <c r="L50" s="175" t="s">
        <v>439</v>
      </c>
      <c r="M50" s="175" t="s">
        <v>1343</v>
      </c>
      <c r="N50" s="180"/>
      <c r="O50" s="177"/>
      <c r="P50" s="181">
        <v>0</v>
      </c>
      <c r="Q50" s="177">
        <v>42817</v>
      </c>
      <c r="R50" s="178">
        <v>439.16085000000004</v>
      </c>
      <c r="S50" s="179">
        <v>78637.614942832166</v>
      </c>
      <c r="T50" s="182" t="s">
        <v>45</v>
      </c>
      <c r="U50" s="183">
        <v>3.1257000000000001</v>
      </c>
      <c r="V50" s="179">
        <v>3588.3035999999997</v>
      </c>
      <c r="W50" s="179">
        <v>1121.9525285839202</v>
      </c>
      <c r="X50" s="186" t="s">
        <v>45</v>
      </c>
      <c r="Y50" s="183">
        <v>3.1257000000000001</v>
      </c>
      <c r="Z50" s="220" t="s">
        <v>473</v>
      </c>
      <c r="AA50" s="172">
        <f>Delivery[[#This Row],[Quantity delivered]]*VLOOKUP(Delivery[[#This Row],[Unit]],Tab_Conversão[],4,FALSE)*VLOOKUP(CONCATENATE(Delivery[[#This Row],[Coffee specie]],Delivery[[#This Row],[Coffee state]]),Tab_Conversão[],4,FALSE)</f>
        <v>9840</v>
      </c>
      <c r="AB50" s="169">
        <f>SUMIF(Allocation!C:C,Delivery[[#This Row],[Delivery ID]],Allocation!D:D)/Delivery[[#This Row],[Quantity delivered]]</f>
        <v>0.55091463414634145</v>
      </c>
      <c r="AC50" s="170">
        <f>Delivery[[#This Row],[Quantity delivered]]*Delivery[[#This Row],[Base price (Unidad)]]/60</f>
        <v>72022.379400000005</v>
      </c>
      <c r="AD50" s="171">
        <f>Delivery[[#This Row],[Nespresso total]]-Delivery[[#This Row],[Qt. Delivery * Base Price]]</f>
        <v>6615.2355428321607</v>
      </c>
      <c r="AE50" s="171">
        <f>Delivery[[#This Row],[AAA Premium (total)]]/Delivery[[#This Row],[Quantity delivered]]*60/Delivery[[#This Row],[Exchange rate VS USD]]</f>
        <v>6.9999999999999991</v>
      </c>
      <c r="AF50" s="171">
        <f>Delivery[[#This Row],[BEN premium (total)]]/Delivery[[#This Row],[Quantity delivered]]*60/Delivery[[#This Row],[Exchange rate for premiums VS USD]]</f>
        <v>2.1886854000000002</v>
      </c>
      <c r="AG50" s="171">
        <f>COUNTIF(Delivery[Delivery ID],Delivery[[#This Row],[Delivery ID]])</f>
        <v>1</v>
      </c>
      <c r="AH50" s="171">
        <f>(Delivery[[#This Row],[Nespresso total]]/SUMIF(Allocation!C:C,Delivery[Delivery ID],Allocation!H:H))/Delivery[[#This Row],[Exchange rate VS USD]]</f>
        <v>14.062829122311422</v>
      </c>
      <c r="AI50" s="171">
        <f>(Delivery[[#This Row],[AAA Premium (total)]]/SUMIF(Allocation!C:C,Delivery[Delivery ID],Allocation!H:H))/Delivery[[#This Row],[Exchange rate VS USD]]</f>
        <v>0.64169927333705978</v>
      </c>
      <c r="AJ50" s="171">
        <f>Delivery[[#This Row],[Valor Prêmio Nespresso AAA por Kg (em US$)]]*60</f>
        <v>38.501956400223584</v>
      </c>
      <c r="AK50" s="171">
        <f>Delivery[[#This Row],[Valor Prêmio Nespresso AAA por saca (em US$)]]/1.3228/100</f>
        <v>0.29106407922757471</v>
      </c>
      <c r="AL50" s="171">
        <f>(Delivery[[#This Row],[BEN premium (total)]]/SUMIF(Allocation!C:C,Delivery[Delivery ID],Allocation!H:H))/Delivery[[#This Row],[Exchange rate for premiums VS USD]]</f>
        <v>0.20063969010620458</v>
      </c>
      <c r="AM50" s="171">
        <f>Delivery[[#This Row],[Valor Prêmio Nespresso BEN por Kg (em US$)]]*60</f>
        <v>12.038381406372276</v>
      </c>
      <c r="AN50" s="171">
        <f>Delivery[[#This Row],[Valor Prêmio Nespresso BEN por saca (em US$)]]/1.3228/100</f>
        <v>9.1006814381405177E-2</v>
      </c>
      <c r="AO50" s="171">
        <f>SUMIF(Allocation[Delivery ID],Delivery[[#This Row],[Delivery ID]],Allocation[Quantity allocated])*16*1.3228*Delivery[[#This Row],[Exchange rate VS USD]]/60</f>
        <v>1972.516077984</v>
      </c>
      <c r="AP50" s="171">
        <f>Delivery[[#This Row],[AAA Premium (total)]]</f>
        <v>3588.3035999999997</v>
      </c>
      <c r="AQ50" s="171">
        <f>Delivery[[#This Row],[Valor pago pelo Cluster]]-Delivery[[#This Row],[Valor efetivamente pago pela Nespresso]]</f>
        <v>1615.7875220159997</v>
      </c>
    </row>
    <row r="51" spans="1:43" ht="15.75">
      <c r="A51" s="174" t="s">
        <v>69</v>
      </c>
      <c r="B51" s="232" t="s">
        <v>68</v>
      </c>
      <c r="C51" s="157">
        <v>1</v>
      </c>
      <c r="D51" s="157" t="s">
        <v>468</v>
      </c>
      <c r="E51" s="177" t="s">
        <v>468</v>
      </c>
      <c r="F51" s="233" t="s">
        <v>469</v>
      </c>
      <c r="G51" s="234">
        <v>42821</v>
      </c>
      <c r="H51" s="157" t="s">
        <v>522</v>
      </c>
      <c r="I51" s="157" t="s">
        <v>477</v>
      </c>
      <c r="J51" s="237">
        <v>17160</v>
      </c>
      <c r="K51" s="175" t="s">
        <v>61</v>
      </c>
      <c r="L51" s="175" t="s">
        <v>439</v>
      </c>
      <c r="M51" s="175" t="s">
        <v>1343</v>
      </c>
      <c r="N51" s="180"/>
      <c r="O51" s="177"/>
      <c r="P51" s="181">
        <v>0</v>
      </c>
      <c r="Q51" s="177">
        <v>42817</v>
      </c>
      <c r="R51" s="178">
        <v>439.16085000000004</v>
      </c>
      <c r="S51" s="179">
        <v>137136.32849786585</v>
      </c>
      <c r="T51" s="182" t="s">
        <v>45</v>
      </c>
      <c r="U51" s="183">
        <v>3.1257000000000001</v>
      </c>
      <c r="V51" s="179">
        <v>6257.6513999999997</v>
      </c>
      <c r="W51" s="179">
        <v>1956.5757510670801</v>
      </c>
      <c r="X51" s="186" t="s">
        <v>45</v>
      </c>
      <c r="Y51" s="183">
        <v>3.1257000000000001</v>
      </c>
      <c r="Z51" s="220" t="s">
        <v>473</v>
      </c>
      <c r="AA51" s="172">
        <f>Delivery[[#This Row],[Quantity delivered]]*VLOOKUP(Delivery[[#This Row],[Unit]],Tab_Conversão[],4,FALSE)*VLOOKUP(CONCATENATE(Delivery[[#This Row],[Coffee specie]],Delivery[[#This Row],[Coffee state]]),Tab_Conversão[],4,FALSE)</f>
        <v>17160</v>
      </c>
      <c r="AB51" s="169">
        <f>SUMIF(Allocation!C:C,Delivery[[#This Row],[Delivery ID]],Allocation!D:D)/Delivery[[#This Row],[Quantity delivered]]</f>
        <v>0.31590909090909092</v>
      </c>
      <c r="AC51" s="170">
        <f>Delivery[[#This Row],[Quantity delivered]]*Delivery[[#This Row],[Base price (Unidad)]]/60</f>
        <v>125600.00310000002</v>
      </c>
      <c r="AD51" s="171">
        <f>Delivery[[#This Row],[Nespresso total]]-Delivery[[#This Row],[Qt. Delivery * Base Price]]</f>
        <v>11536.325397865832</v>
      </c>
      <c r="AE51" s="171">
        <f>Delivery[[#This Row],[AAA Premium (total)]]/Delivery[[#This Row],[Quantity delivered]]*60/Delivery[[#This Row],[Exchange rate VS USD]]</f>
        <v>6.9999999999999991</v>
      </c>
      <c r="AF51" s="171">
        <f>Delivery[[#This Row],[BEN premium (total)]]/Delivery[[#This Row],[Quantity delivered]]*60/Delivery[[#This Row],[Exchange rate for premiums VS USD]]</f>
        <v>2.1886854000000002</v>
      </c>
      <c r="AG51" s="171">
        <f>COUNTIF(Delivery[Delivery ID],Delivery[[#This Row],[Delivery ID]])</f>
        <v>1</v>
      </c>
      <c r="AH51" s="171">
        <f>(Delivery[[#This Row],[Nespresso total]]/SUMIF(Allocation!C:C,Delivery[Delivery ID],Allocation!H:H))/Delivery[[#This Row],[Exchange rate VS USD]]</f>
        <v>24.524202005982112</v>
      </c>
      <c r="AI51" s="171">
        <f>(Delivery[[#This Row],[AAA Premium (total)]]/SUMIF(Allocation!C:C,Delivery[Delivery ID],Allocation!H:H))/Delivery[[#This Row],[Exchange rate VS USD]]</f>
        <v>1.1190609278926775</v>
      </c>
      <c r="AJ51" s="171">
        <f>Delivery[[#This Row],[Valor Prêmio Nespresso AAA por Kg (em US$)]]*60</f>
        <v>67.143655673560659</v>
      </c>
      <c r="AK51" s="171">
        <f>Delivery[[#This Row],[Valor Prêmio Nespresso AAA por saca (em US$)]]/1.3228/100</f>
        <v>0.50758735767735608</v>
      </c>
      <c r="AL51" s="171">
        <f>(Delivery[[#This Row],[BEN premium (total)]]/SUMIF(Allocation!C:C,Delivery[Delivery ID],Allocation!H:H))/Delivery[[#This Row],[Exchange rate for premiums VS USD]]</f>
        <v>0.34989604494130799</v>
      </c>
      <c r="AM51" s="171">
        <f>Delivery[[#This Row],[Valor Prêmio Nespresso BEN por Kg (em US$)]]*60</f>
        <v>20.99376269647848</v>
      </c>
      <c r="AN51" s="171">
        <f>Delivery[[#This Row],[Valor Prêmio Nespresso BEN por saca (em US$)]]/1.3228/100</f>
        <v>0.15870700556757242</v>
      </c>
      <c r="AO51" s="171">
        <f>SUMIF(Allocation[Delivery ID],Delivery[[#This Row],[Delivery ID]],Allocation[Quantity allocated])*16*1.3228*Delivery[[#This Row],[Exchange rate VS USD]]/60</f>
        <v>1972.516077984</v>
      </c>
      <c r="AP51" s="171">
        <f>Delivery[[#This Row],[AAA Premium (total)]]</f>
        <v>6257.6513999999997</v>
      </c>
      <c r="AQ51" s="171">
        <f>Delivery[[#This Row],[Valor pago pelo Cluster]]-Delivery[[#This Row],[Valor efetivamente pago pela Nespresso]]</f>
        <v>4285.1353220159999</v>
      </c>
    </row>
    <row r="52" spans="1:43" ht="15.75">
      <c r="A52" s="174" t="s">
        <v>69</v>
      </c>
      <c r="B52" s="232" t="s">
        <v>68</v>
      </c>
      <c r="C52" s="157">
        <v>1</v>
      </c>
      <c r="D52" s="157" t="s">
        <v>468</v>
      </c>
      <c r="E52" s="177" t="s">
        <v>468</v>
      </c>
      <c r="F52" s="233" t="s">
        <v>469</v>
      </c>
      <c r="G52" s="234">
        <v>42821</v>
      </c>
      <c r="H52" s="157" t="s">
        <v>523</v>
      </c>
      <c r="I52" s="157" t="s">
        <v>477</v>
      </c>
      <c r="J52" s="237">
        <v>18300</v>
      </c>
      <c r="K52" s="175" t="s">
        <v>61</v>
      </c>
      <c r="L52" s="175" t="s">
        <v>439</v>
      </c>
      <c r="M52" s="175" t="s">
        <v>1343</v>
      </c>
      <c r="N52" s="180"/>
      <c r="O52" s="177"/>
      <c r="P52" s="181">
        <v>0</v>
      </c>
      <c r="Q52" s="177">
        <v>42817</v>
      </c>
      <c r="R52" s="178">
        <v>439.16085000000004</v>
      </c>
      <c r="S52" s="179">
        <v>146246.7838875842</v>
      </c>
      <c r="T52" s="182" t="s">
        <v>45</v>
      </c>
      <c r="U52" s="183">
        <v>3.1257000000000001</v>
      </c>
      <c r="V52" s="179">
        <v>6673.3694999999989</v>
      </c>
      <c r="W52" s="179">
        <v>2086.5580562079003</v>
      </c>
      <c r="X52" s="186" t="s">
        <v>45</v>
      </c>
      <c r="Y52" s="183">
        <v>3.1257000000000001</v>
      </c>
      <c r="Z52" s="220" t="s">
        <v>473</v>
      </c>
      <c r="AA52" s="172">
        <f>Delivery[[#This Row],[Quantity delivered]]*VLOOKUP(Delivery[[#This Row],[Unit]],Tab_Conversão[],4,FALSE)*VLOOKUP(CONCATENATE(Delivery[[#This Row],[Coffee specie]],Delivery[[#This Row],[Coffee state]]),Tab_Conversão[],4,FALSE)</f>
        <v>18300</v>
      </c>
      <c r="AB52" s="169">
        <f>SUMIF(Allocation!C:C,Delivery[[#This Row],[Delivery ID]],Allocation!D:D)/Delivery[[#This Row],[Quantity delivered]]</f>
        <v>0.29622950819672134</v>
      </c>
      <c r="AC52" s="170">
        <f>Delivery[[#This Row],[Quantity delivered]]*Delivery[[#This Row],[Base price (Unidad)]]/60</f>
        <v>133944.05925000002</v>
      </c>
      <c r="AD52" s="171">
        <f>Delivery[[#This Row],[Nespresso total]]-Delivery[[#This Row],[Qt. Delivery * Base Price]]</f>
        <v>12302.724637584179</v>
      </c>
      <c r="AE52" s="171">
        <f>Delivery[[#This Row],[AAA Premium (total)]]/Delivery[[#This Row],[Quantity delivered]]*60/Delivery[[#This Row],[Exchange rate VS USD]]</f>
        <v>6.9999999999999991</v>
      </c>
      <c r="AF52" s="171">
        <f>Delivery[[#This Row],[BEN premium (total)]]/Delivery[[#This Row],[Quantity delivered]]*60/Delivery[[#This Row],[Exchange rate for premiums VS USD]]</f>
        <v>2.1886854000000002</v>
      </c>
      <c r="AG52" s="171">
        <f>COUNTIF(Delivery[Delivery ID],Delivery[[#This Row],[Delivery ID]])</f>
        <v>1</v>
      </c>
      <c r="AH52" s="171">
        <f>(Delivery[[#This Row],[Nespresso total]]/SUMIF(Allocation!C:C,Delivery[Delivery ID],Allocation!H:H))/Delivery[[#This Row],[Exchange rate VS USD]]</f>
        <v>26.153432209176724</v>
      </c>
      <c r="AI52" s="171">
        <f>(Delivery[[#This Row],[AAA Premium (total)]]/SUMIF(Allocation!C:C,Delivery[Delivery ID],Allocation!H:H))/Delivery[[#This Row],[Exchange rate VS USD]]</f>
        <v>1.193404136389044</v>
      </c>
      <c r="AJ52" s="171">
        <f>Delivery[[#This Row],[Valor Prêmio Nespresso AAA por Kg (em US$)]]*60</f>
        <v>71.604248183342634</v>
      </c>
      <c r="AK52" s="171">
        <f>Delivery[[#This Row],[Valor Prêmio Nespresso AAA por saca (em US$)]]/1.3228/100</f>
        <v>0.54130819612445291</v>
      </c>
      <c r="AL52" s="171">
        <f>(Delivery[[#This Row],[BEN premium (total)]]/SUMIF(Allocation!C:C,Delivery[Delivery ID],Allocation!H:H))/Delivery[[#This Row],[Exchange rate for premiums VS USD]]</f>
        <v>0.37314088708775855</v>
      </c>
      <c r="AM52" s="171">
        <f>Delivery[[#This Row],[Valor Prêmio Nespresso BEN por Kg (em US$)]]*60</f>
        <v>22.388453225265515</v>
      </c>
      <c r="AN52" s="171">
        <f>Delivery[[#This Row],[Valor Prêmio Nespresso BEN por saca (em US$)]]/1.3228/100</f>
        <v>0.16925047796541817</v>
      </c>
      <c r="AO52" s="171">
        <f>SUMIF(Allocation[Delivery ID],Delivery[[#This Row],[Delivery ID]],Allocation[Quantity allocated])*16*1.3228*Delivery[[#This Row],[Exchange rate VS USD]]/60</f>
        <v>1972.516077984</v>
      </c>
      <c r="AP52" s="171">
        <f>Delivery[[#This Row],[AAA Premium (total)]]</f>
        <v>6673.3694999999989</v>
      </c>
      <c r="AQ52" s="171">
        <f>Delivery[[#This Row],[Valor pago pelo Cluster]]-Delivery[[#This Row],[Valor efetivamente pago pela Nespresso]]</f>
        <v>4700.8534220159991</v>
      </c>
    </row>
    <row r="53" spans="1:43" ht="15.75">
      <c r="A53" s="174" t="s">
        <v>69</v>
      </c>
      <c r="B53" s="232" t="s">
        <v>68</v>
      </c>
      <c r="C53" s="157">
        <v>1</v>
      </c>
      <c r="D53" s="157" t="s">
        <v>468</v>
      </c>
      <c r="E53" s="177" t="s">
        <v>468</v>
      </c>
      <c r="F53" s="233" t="s">
        <v>469</v>
      </c>
      <c r="G53" s="234">
        <v>42821</v>
      </c>
      <c r="H53" s="157" t="s">
        <v>524</v>
      </c>
      <c r="I53" s="157" t="s">
        <v>477</v>
      </c>
      <c r="J53" s="237">
        <v>17580</v>
      </c>
      <c r="K53" s="175" t="s">
        <v>61</v>
      </c>
      <c r="L53" s="175" t="s">
        <v>439</v>
      </c>
      <c r="M53" s="175" t="s">
        <v>1343</v>
      </c>
      <c r="N53" s="180"/>
      <c r="O53" s="177"/>
      <c r="P53" s="181">
        <v>0</v>
      </c>
      <c r="Q53" s="177">
        <v>42817</v>
      </c>
      <c r="R53" s="178">
        <v>439.16085000000004</v>
      </c>
      <c r="S53" s="179">
        <v>140492.81206249894</v>
      </c>
      <c r="T53" s="182" t="s">
        <v>45</v>
      </c>
      <c r="U53" s="183">
        <v>3.1257000000000001</v>
      </c>
      <c r="V53" s="179">
        <v>6410.8106999999991</v>
      </c>
      <c r="W53" s="179">
        <v>2004.4639687505403</v>
      </c>
      <c r="X53" s="186" t="s">
        <v>45</v>
      </c>
      <c r="Y53" s="183">
        <v>3.1257000000000001</v>
      </c>
      <c r="Z53" s="220" t="s">
        <v>473</v>
      </c>
      <c r="AA53" s="172">
        <f>Delivery[[#This Row],[Quantity delivered]]*VLOOKUP(Delivery[[#This Row],[Unit]],Tab_Conversão[],4,FALSE)*VLOOKUP(CONCATENATE(Delivery[[#This Row],[Coffee specie]],Delivery[[#This Row],[Coffee state]]),Tab_Conversão[],4,FALSE)</f>
        <v>17580</v>
      </c>
      <c r="AB53" s="169">
        <f>SUMIF(Allocation!C:C,Delivery[[#This Row],[Delivery ID]],Allocation!D:D)/Delivery[[#This Row],[Quantity delivered]]</f>
        <v>0.5138225255972696</v>
      </c>
      <c r="AC53" s="170">
        <f>Delivery[[#This Row],[Quantity delivered]]*Delivery[[#This Row],[Base price (Unidad)]]/60</f>
        <v>128674.12905000002</v>
      </c>
      <c r="AD53" s="171">
        <f>Delivery[[#This Row],[Nespresso total]]-Delivery[[#This Row],[Qt. Delivery * Base Price]]</f>
        <v>11818.683012498921</v>
      </c>
      <c r="AE53" s="171">
        <f>Delivery[[#This Row],[AAA Premium (total)]]/Delivery[[#This Row],[Quantity delivered]]*60/Delivery[[#This Row],[Exchange rate VS USD]]</f>
        <v>6.9999999999999991</v>
      </c>
      <c r="AF53" s="171">
        <f>Delivery[[#This Row],[BEN premium (total)]]/Delivery[[#This Row],[Quantity delivered]]*60/Delivery[[#This Row],[Exchange rate for premiums VS USD]]</f>
        <v>2.1886854000000002</v>
      </c>
      <c r="AG53" s="171">
        <f>COUNTIF(Delivery[Delivery ID],Delivery[[#This Row],[Delivery ID]])</f>
        <v>1</v>
      </c>
      <c r="AH53" s="171">
        <f>(Delivery[[#This Row],[Nespresso total]]/SUMIF(Allocation!C:C,Delivery[Delivery ID],Allocation!H:H))/Delivery[[#This Row],[Exchange rate VS USD]]</f>
        <v>15.078038104838438</v>
      </c>
      <c r="AI53" s="171">
        <f>(Delivery[[#This Row],[AAA Premium (total)]]/SUMIF(Allocation!C:C,Delivery[Delivery ID],Allocation!H:H))/Delivery[[#This Row],[Exchange rate VS USD]]</f>
        <v>0.68802415296880237</v>
      </c>
      <c r="AJ53" s="171">
        <f>Delivery[[#This Row],[Valor Prêmio Nespresso AAA por Kg (em US$)]]*60</f>
        <v>41.281449178128142</v>
      </c>
      <c r="AK53" s="171">
        <f>Delivery[[#This Row],[Valor Prêmio Nespresso AAA por saca (em US$)]]/1.3228/100</f>
        <v>0.31207627137986199</v>
      </c>
      <c r="AL53" s="171">
        <f>(Delivery[[#This Row],[BEN premium (total)]]/SUMIF(Allocation!C:C,Delivery[Delivery ID],Allocation!H:H))/Delivery[[#This Row],[Exchange rate for premiums VS USD]]</f>
        <v>0.2151240597785978</v>
      </c>
      <c r="AM53" s="171">
        <f>Delivery[[#This Row],[Valor Prêmio Nespresso BEN por Kg (em US$)]]*60</f>
        <v>12.907443586715868</v>
      </c>
      <c r="AN53" s="171">
        <f>Delivery[[#This Row],[Valor Prêmio Nespresso BEN por saca (em US$)]]/1.3228/100</f>
        <v>9.7576682693648831E-2</v>
      </c>
      <c r="AO53" s="171">
        <f>SUMIF(Allocation[Delivery ID],Delivery[[#This Row],[Delivery ID]],Allocation[Quantity allocated])*16*1.3228*Delivery[[#This Row],[Exchange rate VS USD]]/60</f>
        <v>3286.7917431359997</v>
      </c>
      <c r="AP53" s="171">
        <f>Delivery[[#This Row],[AAA Premium (total)]]</f>
        <v>6410.8106999999991</v>
      </c>
      <c r="AQ53" s="171">
        <f>Delivery[[#This Row],[Valor pago pelo Cluster]]-Delivery[[#This Row],[Valor efetivamente pago pela Nespresso]]</f>
        <v>3124.0189568639994</v>
      </c>
    </row>
    <row r="54" spans="1:43" ht="15.75">
      <c r="A54" s="174" t="s">
        <v>69</v>
      </c>
      <c r="B54" s="232" t="s">
        <v>68</v>
      </c>
      <c r="C54" s="157">
        <v>1</v>
      </c>
      <c r="D54" s="157" t="s">
        <v>468</v>
      </c>
      <c r="E54" s="177" t="s">
        <v>468</v>
      </c>
      <c r="F54" s="233" t="s">
        <v>469</v>
      </c>
      <c r="G54" s="234">
        <v>42821</v>
      </c>
      <c r="H54" s="157" t="s">
        <v>525</v>
      </c>
      <c r="I54" s="157" t="s">
        <v>477</v>
      </c>
      <c r="J54" s="237">
        <v>8400</v>
      </c>
      <c r="K54" s="175" t="s">
        <v>61</v>
      </c>
      <c r="L54" s="175" t="s">
        <v>439</v>
      </c>
      <c r="M54" s="175" t="s">
        <v>1343</v>
      </c>
      <c r="N54" s="180"/>
      <c r="O54" s="177"/>
      <c r="P54" s="181">
        <v>0</v>
      </c>
      <c r="Q54" s="177">
        <v>42817</v>
      </c>
      <c r="R54" s="178">
        <v>439.16085000000004</v>
      </c>
      <c r="S54" s="179">
        <v>67129.671292661587</v>
      </c>
      <c r="T54" s="182" t="s">
        <v>45</v>
      </c>
      <c r="U54" s="183">
        <v>3.1257000000000001</v>
      </c>
      <c r="V54" s="179">
        <v>3063.1859999999997</v>
      </c>
      <c r="W54" s="179">
        <v>957.76435366920009</v>
      </c>
      <c r="X54" s="186" t="s">
        <v>45</v>
      </c>
      <c r="Y54" s="183">
        <v>3.1257000000000001</v>
      </c>
      <c r="Z54" s="220" t="s">
        <v>473</v>
      </c>
      <c r="AA54" s="172">
        <f>Delivery[[#This Row],[Quantity delivered]]*VLOOKUP(Delivery[[#This Row],[Unit]],Tab_Conversão[],4,FALSE)*VLOOKUP(CONCATENATE(Delivery[[#This Row],[Coffee specie]],Delivery[[#This Row],[Coffee state]]),Tab_Conversão[],4,FALSE)</f>
        <v>8400</v>
      </c>
      <c r="AB54" s="169">
        <f>SUMIF(Allocation!C:C,Delivery[[#This Row],[Delivery ID]],Allocation!D:D)/Delivery[[#This Row],[Quantity delivered]]</f>
        <v>0.86035714285714282</v>
      </c>
      <c r="AC54" s="170">
        <f>Delivery[[#This Row],[Quantity delivered]]*Delivery[[#This Row],[Base price (Unidad)]]/60</f>
        <v>61482.519</v>
      </c>
      <c r="AD54" s="171">
        <f>Delivery[[#This Row],[Nespresso total]]-Delivery[[#This Row],[Qt. Delivery * Base Price]]</f>
        <v>5647.1522926615871</v>
      </c>
      <c r="AE54" s="171">
        <f>Delivery[[#This Row],[AAA Premium (total)]]/Delivery[[#This Row],[Quantity delivered]]*60/Delivery[[#This Row],[Exchange rate VS USD]]</f>
        <v>6.9999999999999991</v>
      </c>
      <c r="AF54" s="171">
        <f>Delivery[[#This Row],[BEN premium (total)]]/Delivery[[#This Row],[Quantity delivered]]*60/Delivery[[#This Row],[Exchange rate for premiums VS USD]]</f>
        <v>2.1886854000000002</v>
      </c>
      <c r="AG54" s="171">
        <f>COUNTIF(Delivery[Delivery ID],Delivery[[#This Row],[Delivery ID]])</f>
        <v>1</v>
      </c>
      <c r="AH54" s="171">
        <f>(Delivery[[#This Row],[Nespresso total]]/SUMIF(Allocation!C:C,Delivery[Delivery ID],Allocation!H:H))/Delivery[[#This Row],[Exchange rate VS USD]]</f>
        <v>9.0048989670555741</v>
      </c>
      <c r="AI54" s="171">
        <f>(Delivery[[#This Row],[AAA Premium (total)]]/SUMIF(Allocation!C:C,Delivery[Delivery ID],Allocation!H:H))/Delivery[[#This Row],[Exchange rate VS USD]]</f>
        <v>0.41090146750524104</v>
      </c>
      <c r="AJ54" s="171">
        <f>Delivery[[#This Row],[Valor Prêmio Nespresso AAA por Kg (em US$)]]*60</f>
        <v>24.654088050314463</v>
      </c>
      <c r="AK54" s="171">
        <f>Delivery[[#This Row],[Valor Prêmio Nespresso AAA por saca (em US$)]]/1.3228/100</f>
        <v>0.18637804694824964</v>
      </c>
      <c r="AL54" s="171">
        <f>(Delivery[[#This Row],[BEN premium (total)]]/SUMIF(Allocation!C:C,Delivery[Delivery ID],Allocation!H:H))/Delivery[[#This Row],[Exchange rate for premiums VS USD]]</f>
        <v>0.12847629182389939</v>
      </c>
      <c r="AM54" s="171">
        <f>Delivery[[#This Row],[Valor Prêmio Nespresso BEN por Kg (em US$)]]*60</f>
        <v>7.7085775094339635</v>
      </c>
      <c r="AN54" s="171">
        <f>Delivery[[#This Row],[Valor Prêmio Nespresso BEN por saca (em US$)]]/1.3228/100</f>
        <v>5.8274701462306948E-2</v>
      </c>
      <c r="AO54" s="171">
        <f>SUMIF(Allocation[Delivery ID],Delivery[[#This Row],[Delivery ID]],Allocation[Quantity allocated])*16*1.3228*Delivery[[#This Row],[Exchange rate VS USD]]/60</f>
        <v>2629.6539105600004</v>
      </c>
      <c r="AP54" s="171">
        <f>Delivery[[#This Row],[AAA Premium (total)]]</f>
        <v>3063.1859999999997</v>
      </c>
      <c r="AQ54" s="171">
        <f>Delivery[[#This Row],[Valor pago pelo Cluster]]-Delivery[[#This Row],[Valor efetivamente pago pela Nespresso]]</f>
        <v>433.53208943999925</v>
      </c>
    </row>
    <row r="55" spans="1:43" ht="15.75">
      <c r="A55" s="174" t="s">
        <v>69</v>
      </c>
      <c r="B55" s="232" t="s">
        <v>68</v>
      </c>
      <c r="C55" s="157">
        <v>1</v>
      </c>
      <c r="D55" s="157" t="s">
        <v>468</v>
      </c>
      <c r="E55" s="177" t="s">
        <v>468</v>
      </c>
      <c r="F55" s="233" t="s">
        <v>469</v>
      </c>
      <c r="G55" s="234">
        <v>42821</v>
      </c>
      <c r="H55" s="157" t="s">
        <v>526</v>
      </c>
      <c r="I55" s="157" t="s">
        <v>477</v>
      </c>
      <c r="J55" s="237">
        <v>14040</v>
      </c>
      <c r="K55" s="175" t="s">
        <v>61</v>
      </c>
      <c r="L55" s="175" t="s">
        <v>439</v>
      </c>
      <c r="M55" s="175" t="s">
        <v>1343</v>
      </c>
      <c r="N55" s="180"/>
      <c r="O55" s="177"/>
      <c r="P55" s="185">
        <v>0</v>
      </c>
      <c r="Q55" s="177">
        <v>42817</v>
      </c>
      <c r="R55" s="178">
        <v>439.16085000000004</v>
      </c>
      <c r="S55" s="179">
        <v>112202.45058916297</v>
      </c>
      <c r="T55" s="182" t="s">
        <v>45</v>
      </c>
      <c r="U55" s="183">
        <v>3.1257000000000001</v>
      </c>
      <c r="V55" s="179">
        <v>5119.8965999999991</v>
      </c>
      <c r="W55" s="179">
        <v>1600.8347054185201</v>
      </c>
      <c r="X55" s="186" t="s">
        <v>45</v>
      </c>
      <c r="Y55" s="183">
        <v>3.1257000000000001</v>
      </c>
      <c r="Z55" s="220" t="s">
        <v>473</v>
      </c>
      <c r="AA55" s="172">
        <f>Delivery[[#This Row],[Quantity delivered]]*VLOOKUP(Delivery[[#This Row],[Unit]],Tab_Conversão[],4,FALSE)*VLOOKUP(CONCATENATE(Delivery[[#This Row],[Coffee specie]],Delivery[[#This Row],[Coffee state]]),Tab_Conversão[],4,FALSE)</f>
        <v>14040</v>
      </c>
      <c r="AB55" s="169">
        <f>SUMIF(Allocation!C:C,Delivery[[#This Row],[Delivery ID]],Allocation!D:D)/Delivery[[#This Row],[Quantity delivered]]</f>
        <v>0.64337606837606842</v>
      </c>
      <c r="AC55" s="170">
        <f>Delivery[[#This Row],[Quantity delivered]]*Delivery[[#This Row],[Base price (Unidad)]]/60</f>
        <v>102763.63890000001</v>
      </c>
      <c r="AD55" s="171">
        <f>Delivery[[#This Row],[Nespresso total]]-Delivery[[#This Row],[Qt. Delivery * Base Price]]</f>
        <v>9438.8116891629616</v>
      </c>
      <c r="AE55" s="171">
        <f>Delivery[[#This Row],[AAA Premium (total)]]/Delivery[[#This Row],[Quantity delivered]]*60/Delivery[[#This Row],[Exchange rate VS USD]]</f>
        <v>6.9999999999999991</v>
      </c>
      <c r="AF55" s="171">
        <f>Delivery[[#This Row],[BEN premium (total)]]/Delivery[[#This Row],[Quantity delivered]]*60/Delivery[[#This Row],[Exchange rate for premiums VS USD]]</f>
        <v>2.1886854000000002</v>
      </c>
      <c r="AG55" s="171">
        <f>COUNTIF(Delivery[Delivery ID],Delivery[[#This Row],[Delivery ID]])</f>
        <v>1</v>
      </c>
      <c r="AH55" s="171">
        <f>(Delivery[[#This Row],[Nespresso total]]/SUMIF(Allocation!C:C,Delivery[Delivery ID],Allocation!H:H))/Delivery[[#This Row],[Exchange rate VS USD]]</f>
        <v>12.041846131509194</v>
      </c>
      <c r="AI55" s="171">
        <f>(Delivery[[#This Row],[AAA Premium (total)]]/SUMIF(Allocation!C:C,Delivery[Delivery ID],Allocation!H:H))/Delivery[[#This Row],[Exchange rate VS USD]]</f>
        <v>0.5494800402549479</v>
      </c>
      <c r="AJ55" s="171">
        <f>Delivery[[#This Row],[Valor Prêmio Nespresso AAA por Kg (em US$)]]*60</f>
        <v>32.968802415296871</v>
      </c>
      <c r="AK55" s="171">
        <f>Delivery[[#This Row],[Valor Prêmio Nespresso AAA por saca (em US$)]]/1.3228/100</f>
        <v>0.24923497441258596</v>
      </c>
      <c r="AL55" s="171">
        <f>(Delivery[[#This Row],[BEN premium (total)]]/SUMIF(Allocation!C:C,Delivery[Delivery ID],Allocation!H:H))/Delivery[[#This Row],[Exchange rate for premiums VS USD]]</f>
        <v>0.17180556309963102</v>
      </c>
      <c r="AM55" s="171">
        <f>Delivery[[#This Row],[Valor Prêmio Nespresso BEN por Kg (em US$)]]*60</f>
        <v>10.308333785977862</v>
      </c>
      <c r="AN55" s="171">
        <f>Delivery[[#This Row],[Valor Prêmio Nespresso BEN por saca (em US$)]]/1.3228/100</f>
        <v>7.7928135666600104E-2</v>
      </c>
      <c r="AO55" s="171">
        <f>SUMIF(Allocation[Delivery ID],Delivery[[#This Row],[Delivery ID]],Allocation[Quantity allocated])*16*1.3228*Delivery[[#This Row],[Exchange rate VS USD]]/60</f>
        <v>3286.7917431359997</v>
      </c>
      <c r="AP55" s="171">
        <f>Delivery[[#This Row],[AAA Premium (total)]]</f>
        <v>5119.8965999999991</v>
      </c>
      <c r="AQ55" s="171">
        <f>Delivery[[#This Row],[Valor pago pelo Cluster]]-Delivery[[#This Row],[Valor efetivamente pago pela Nespresso]]</f>
        <v>1833.1048568639994</v>
      </c>
    </row>
    <row r="56" spans="1:43" ht="15.75">
      <c r="A56" s="174" t="s">
        <v>69</v>
      </c>
      <c r="B56" s="232" t="s">
        <v>68</v>
      </c>
      <c r="C56" s="157">
        <v>1</v>
      </c>
      <c r="D56" s="157" t="s">
        <v>468</v>
      </c>
      <c r="E56" s="177" t="s">
        <v>468</v>
      </c>
      <c r="F56" s="233" t="s">
        <v>469</v>
      </c>
      <c r="G56" s="234">
        <v>42852</v>
      </c>
      <c r="H56" s="157" t="s">
        <v>527</v>
      </c>
      <c r="I56" s="157" t="s">
        <v>480</v>
      </c>
      <c r="J56" s="237">
        <v>13200</v>
      </c>
      <c r="K56" s="175" t="s">
        <v>61</v>
      </c>
      <c r="L56" s="175" t="s">
        <v>439</v>
      </c>
      <c r="M56" s="175" t="s">
        <v>1343</v>
      </c>
      <c r="N56" s="180"/>
      <c r="O56" s="177"/>
      <c r="P56" s="185">
        <v>0</v>
      </c>
      <c r="Q56" s="177">
        <v>42850</v>
      </c>
      <c r="R56" s="178">
        <v>416.76872000000003</v>
      </c>
      <c r="S56" s="179">
        <v>101613.1333171944</v>
      </c>
      <c r="T56" s="182" t="s">
        <v>45</v>
      </c>
      <c r="U56" s="183">
        <v>3.1478000000000002</v>
      </c>
      <c r="V56" s="179">
        <v>6925.1600000000008</v>
      </c>
      <c r="W56" s="179">
        <v>2618.0266828055996</v>
      </c>
      <c r="X56" s="186" t="s">
        <v>45</v>
      </c>
      <c r="Y56" s="183">
        <v>3.1478000000000002</v>
      </c>
      <c r="Z56" s="220" t="s">
        <v>473</v>
      </c>
      <c r="AA56" s="172">
        <f>Delivery[[#This Row],[Quantity delivered]]*VLOOKUP(Delivery[[#This Row],[Unit]],Tab_Conversão[],4,FALSE)*VLOOKUP(CONCATENATE(Delivery[[#This Row],[Coffee specie]],Delivery[[#This Row],[Coffee state]]),Tab_Conversão[],4,FALSE)</f>
        <v>13200</v>
      </c>
      <c r="AB56" s="169">
        <f>SUMIF(Allocation!C:C,Delivery[[#This Row],[Delivery ID]],Allocation!D:D)/Delivery[[#This Row],[Quantity delivered]]</f>
        <v>0.19022727272727272</v>
      </c>
      <c r="AC56" s="170">
        <f>Delivery[[#This Row],[Quantity delivered]]*Delivery[[#This Row],[Base price (Unidad)]]/60</f>
        <v>91689.118400000007</v>
      </c>
      <c r="AD56" s="171">
        <f>Delivery[[#This Row],[Nespresso total]]-Delivery[[#This Row],[Qt. Delivery * Base Price]]</f>
        <v>9924.0149171943922</v>
      </c>
      <c r="AE56" s="171">
        <f>Delivery[[#This Row],[AAA Premium (total)]]/Delivery[[#This Row],[Quantity delivered]]*60/Delivery[[#This Row],[Exchange rate VS USD]]</f>
        <v>10.000000000000002</v>
      </c>
      <c r="AF56" s="171">
        <f>Delivery[[#This Row],[BEN premium (total)]]/Delivery[[#This Row],[Quantity delivered]]*60/Delivery[[#This Row],[Exchange rate for premiums VS USD]]</f>
        <v>3.7804565999999991</v>
      </c>
      <c r="AG56" s="171">
        <f>COUNTIF(Delivery[Delivery ID],Delivery[[#This Row],[Delivery ID]])</f>
        <v>1</v>
      </c>
      <c r="AH56" s="171">
        <f>(Delivery[[#This Row],[Nespresso total]]/SUMIF(Allocation!C:C,Delivery[Delivery ID],Allocation!H:H))/Delivery[[#This Row],[Exchange rate VS USD]]</f>
        <v>22.558129140317892</v>
      </c>
      <c r="AI56" s="171">
        <f>(Delivery[[#This Row],[AAA Premium (total)]]/SUMIF(Allocation!C:C,Delivery[Delivery ID],Allocation!H:H))/Delivery[[#This Row],[Exchange rate VS USD]]</f>
        <v>1.5373864430468205</v>
      </c>
      <c r="AJ56" s="171">
        <f>Delivery[[#This Row],[Valor Prêmio Nespresso AAA por Kg (em US$)]]*60</f>
        <v>92.24318658280923</v>
      </c>
      <c r="AK56" s="171">
        <f>Delivery[[#This Row],[Valor Prêmio Nespresso AAA por saca (em US$)]]/1.3228/100</f>
        <v>0.697332828717941</v>
      </c>
      <c r="AL56" s="171">
        <f>(Delivery[[#This Row],[BEN premium (total)]]/SUMIF(Allocation!C:C,Delivery[Delivery ID],Allocation!H:H))/Delivery[[#This Row],[Exchange rate for premiums VS USD]]</f>
        <v>0.58120227253668755</v>
      </c>
      <c r="AM56" s="171">
        <f>Delivery[[#This Row],[Valor Prêmio Nespresso BEN por Kg (em US$)]]*60</f>
        <v>34.872136352201252</v>
      </c>
      <c r="AN56" s="171">
        <f>Delivery[[#This Row],[Valor Prêmio Nespresso BEN por saca (em US$)]]/1.3228/100</f>
        <v>0.2636236494723409</v>
      </c>
      <c r="AO56" s="171">
        <f>SUMIF(Allocation[Delivery ID],Delivery[[#This Row],[Delivery ID]],Allocation[Quantity allocated])*16*1.3228*Delivery[[#This Row],[Exchange rate VS USD]]/60</f>
        <v>1588.9479949439999</v>
      </c>
      <c r="AP56" s="171">
        <f>Delivery[[#This Row],[AAA Premium (total)]]</f>
        <v>6925.1600000000008</v>
      </c>
      <c r="AQ56" s="171">
        <f>Delivery[[#This Row],[Valor pago pelo Cluster]]-Delivery[[#This Row],[Valor efetivamente pago pela Nespresso]]</f>
        <v>5336.2120050560006</v>
      </c>
    </row>
    <row r="57" spans="1:43" ht="15.75">
      <c r="A57" s="174" t="s">
        <v>69</v>
      </c>
      <c r="B57" s="232" t="s">
        <v>68</v>
      </c>
      <c r="C57" s="157">
        <v>1</v>
      </c>
      <c r="D57" s="157" t="s">
        <v>468</v>
      </c>
      <c r="E57" s="177" t="s">
        <v>468</v>
      </c>
      <c r="F57" s="233" t="s">
        <v>469</v>
      </c>
      <c r="G57" s="234">
        <v>42874</v>
      </c>
      <c r="H57" s="157" t="s">
        <v>528</v>
      </c>
      <c r="I57" s="157" t="s">
        <v>529</v>
      </c>
      <c r="J57" s="237">
        <v>18420</v>
      </c>
      <c r="K57" s="175" t="s">
        <v>61</v>
      </c>
      <c r="L57" s="175" t="s">
        <v>439</v>
      </c>
      <c r="M57" s="175" t="s">
        <v>1343</v>
      </c>
      <c r="N57" s="180"/>
      <c r="O57" s="177"/>
      <c r="P57" s="181">
        <v>0</v>
      </c>
      <c r="Q57" s="177">
        <v>42873</v>
      </c>
      <c r="R57" s="178">
        <v>433.67925000000002</v>
      </c>
      <c r="S57" s="179">
        <v>146984.752264918</v>
      </c>
      <c r="T57" s="182" t="s">
        <v>45</v>
      </c>
      <c r="U57" s="183">
        <v>3.3450000000000002</v>
      </c>
      <c r="V57" s="179">
        <v>7188.4050000000007</v>
      </c>
      <c r="W57" s="179">
        <v>2247.5938675410002</v>
      </c>
      <c r="X57" s="186" t="s">
        <v>45</v>
      </c>
      <c r="Y57" s="183">
        <v>3.3450000000000002</v>
      </c>
      <c r="Z57" s="220" t="s">
        <v>473</v>
      </c>
      <c r="AA57" s="172">
        <f>Delivery[[#This Row],[Quantity delivered]]*VLOOKUP(Delivery[[#This Row],[Unit]],Tab_Conversão[],4,FALSE)*VLOOKUP(CONCATENATE(Delivery[[#This Row],[Coffee specie]],Delivery[[#This Row],[Coffee state]]),Tab_Conversão[],4,FALSE)</f>
        <v>18420</v>
      </c>
      <c r="AB57" s="169">
        <f>SUMIF(Allocation!C:C,Delivery[[#This Row],[Delivery ID]],Allocation!D:D)/Delivery[[#This Row],[Quantity delivered]]</f>
        <v>0.29429967426710096</v>
      </c>
      <c r="AC57" s="170">
        <f>Delivery[[#This Row],[Quantity delivered]]*Delivery[[#This Row],[Base price (Unidad)]]/60</f>
        <v>133139.52975000002</v>
      </c>
      <c r="AD57" s="171">
        <f>Delivery[[#This Row],[Nespresso total]]-Delivery[[#This Row],[Qt. Delivery * Base Price]]</f>
        <v>13845.222514917987</v>
      </c>
      <c r="AE57" s="171">
        <f>Delivery[[#This Row],[AAA Premium (total)]]/Delivery[[#This Row],[Quantity delivered]]*60/Delivery[[#This Row],[Exchange rate VS USD]]</f>
        <v>7</v>
      </c>
      <c r="AF57" s="171">
        <f>Delivery[[#This Row],[BEN premium (total)]]/Delivery[[#This Row],[Quantity delivered]]*60/Delivery[[#This Row],[Exchange rate for premiums VS USD]]</f>
        <v>2.1886853999999998</v>
      </c>
      <c r="AG57" s="171">
        <f>COUNTIF(Delivery[Delivery ID],Delivery[[#This Row],[Delivery ID]])</f>
        <v>1</v>
      </c>
      <c r="AH57" s="171">
        <f>(Delivery[[#This Row],[Nespresso total]]/SUMIF(Allocation!C:C,Delivery[Delivery ID],Allocation!H:H))/Delivery[[#This Row],[Exchange rate VS USD]]</f>
        <v>24.562118487738637</v>
      </c>
      <c r="AI57" s="171">
        <f>(Delivery[[#This Row],[AAA Premium (total)]]/SUMIF(Allocation!C:C,Delivery[Delivery ID],Allocation!H:H))/Delivery[[#This Row],[Exchange rate VS USD]]</f>
        <v>1.2012297372833987</v>
      </c>
      <c r="AJ57" s="171">
        <f>Delivery[[#This Row],[Valor Prêmio Nespresso AAA por Kg (em US$)]]*60</f>
        <v>72.07378423700392</v>
      </c>
      <c r="AK57" s="171">
        <f>Delivery[[#This Row],[Valor Prêmio Nespresso AAA por saca (em US$)]]/1.3228/100</f>
        <v>0.54485775806625281</v>
      </c>
      <c r="AL57" s="171">
        <f>(Delivery[[#This Row],[BEN premium (total)]]/SUMIF(Allocation!C:C,Delivery[Delivery ID],Allocation!H:H))/Delivery[[#This Row],[Exchange rate for premiums VS USD]]</f>
        <v>0.37558771257685858</v>
      </c>
      <c r="AM57" s="171">
        <f>Delivery[[#This Row],[Valor Prêmio Nespresso BEN por Kg (em US$)]]*60</f>
        <v>22.535262754611516</v>
      </c>
      <c r="AN57" s="171">
        <f>Delivery[[#This Row],[Valor Prêmio Nespresso BEN por saca (em US$)]]/1.3228/100</f>
        <v>0.17036031716519137</v>
      </c>
      <c r="AO57" s="171">
        <f>SUMIF(Allocation[Delivery ID],Delivery[[#This Row],[Delivery ID]],Allocation[Quantity allocated])*16*1.3228*Delivery[[#This Row],[Exchange rate VS USD]]/60</f>
        <v>2110.9083664</v>
      </c>
      <c r="AP57" s="171">
        <f>Delivery[[#This Row],[AAA Premium (total)]]</f>
        <v>7188.4050000000007</v>
      </c>
      <c r="AQ57" s="171">
        <f>Delivery[[#This Row],[Valor pago pelo Cluster]]-Delivery[[#This Row],[Valor efetivamente pago pela Nespresso]]</f>
        <v>5077.4966336000007</v>
      </c>
    </row>
    <row r="58" spans="1:43" ht="15.75">
      <c r="A58" s="174" t="s">
        <v>69</v>
      </c>
      <c r="B58" s="232" t="s">
        <v>68</v>
      </c>
      <c r="C58" s="157">
        <v>1</v>
      </c>
      <c r="D58" s="157" t="s">
        <v>468</v>
      </c>
      <c r="E58" s="177" t="s">
        <v>468</v>
      </c>
      <c r="F58" s="233" t="s">
        <v>469</v>
      </c>
      <c r="G58" s="234">
        <v>42874</v>
      </c>
      <c r="H58" s="157" t="s">
        <v>530</v>
      </c>
      <c r="I58" s="157" t="s">
        <v>529</v>
      </c>
      <c r="J58" s="237">
        <v>5100</v>
      </c>
      <c r="K58" s="175" t="s">
        <v>61</v>
      </c>
      <c r="L58" s="175" t="s">
        <v>439</v>
      </c>
      <c r="M58" s="175" t="s">
        <v>1343</v>
      </c>
      <c r="N58" s="180"/>
      <c r="O58" s="177"/>
      <c r="P58" s="181">
        <v>0</v>
      </c>
      <c r="Q58" s="177">
        <v>42873</v>
      </c>
      <c r="R58" s="178">
        <v>433.67925000000002</v>
      </c>
      <c r="S58" s="179">
        <v>40696.104047289999</v>
      </c>
      <c r="T58" s="182" t="s">
        <v>45</v>
      </c>
      <c r="U58" s="183">
        <v>3.3450000000000002</v>
      </c>
      <c r="V58" s="179">
        <v>1990.2750000000003</v>
      </c>
      <c r="W58" s="179">
        <v>622.29797635499995</v>
      </c>
      <c r="X58" s="186" t="s">
        <v>45</v>
      </c>
      <c r="Y58" s="183">
        <v>3.3450000000000002</v>
      </c>
      <c r="Z58" s="220" t="s">
        <v>473</v>
      </c>
      <c r="AA58" s="172">
        <f>Delivery[[#This Row],[Quantity delivered]]*VLOOKUP(Delivery[[#This Row],[Unit]],Tab_Conversão[],4,FALSE)*VLOOKUP(CONCATENATE(Delivery[[#This Row],[Coffee specie]],Delivery[[#This Row],[Coffee state]]),Tab_Conversão[],4,FALSE)</f>
        <v>5100</v>
      </c>
      <c r="AB58" s="169">
        <f>SUMIF(Allocation!C:C,Delivery[[#This Row],[Delivery ID]],Allocation!D:D)/Delivery[[#This Row],[Quantity delivered]]</f>
        <v>1</v>
      </c>
      <c r="AC58" s="170">
        <f>Delivery[[#This Row],[Quantity delivered]]*Delivery[[#This Row],[Base price (Unidad)]]/60</f>
        <v>36862.736250000002</v>
      </c>
      <c r="AD58" s="171">
        <f>Delivery[[#This Row],[Nespresso total]]-Delivery[[#This Row],[Qt. Delivery * Base Price]]</f>
        <v>3833.3677972899968</v>
      </c>
      <c r="AE58" s="171">
        <f>Delivery[[#This Row],[AAA Premium (total)]]/Delivery[[#This Row],[Quantity delivered]]*60/Delivery[[#This Row],[Exchange rate VS USD]]</f>
        <v>7</v>
      </c>
      <c r="AF58" s="171">
        <f>Delivery[[#This Row],[BEN premium (total)]]/Delivery[[#This Row],[Quantity delivered]]*60/Delivery[[#This Row],[Exchange rate for premiums VS USD]]</f>
        <v>2.1886853999999998</v>
      </c>
      <c r="AG58" s="171">
        <f>COUNTIF(Delivery[Delivery ID],Delivery[[#This Row],[Delivery ID]])</f>
        <v>1</v>
      </c>
      <c r="AH58" s="171">
        <f>(Delivery[[#This Row],[Nespresso total]]/SUMIF(Allocation!C:C,Delivery[Delivery ID],Allocation!H:H))/Delivery[[#This Row],[Exchange rate VS USD]]</f>
        <v>6.8005865519797526</v>
      </c>
      <c r="AI58" s="171">
        <f>(Delivery[[#This Row],[AAA Premium (total)]]/SUMIF(Allocation!C:C,Delivery[Delivery ID],Allocation!H:H))/Delivery[[#This Row],[Exchange rate VS USD]]</f>
        <v>0.33258803801006154</v>
      </c>
      <c r="AJ58" s="171">
        <f>Delivery[[#This Row],[Valor Prêmio Nespresso AAA por Kg (em US$)]]*60</f>
        <v>19.955282280603694</v>
      </c>
      <c r="AK58" s="171">
        <f>Delivery[[#This Row],[Valor Prêmio Nespresso AAA por saca (em US$)]]/1.3228/100</f>
        <v>0.15085638252648695</v>
      </c>
      <c r="AL58" s="171">
        <f>(Delivery[[#This Row],[BEN premium (total)]]/SUMIF(Allocation!C:C,Delivery[Delivery ID],Allocation!H:H))/Delivery[[#This Row],[Exchange rate for premiums VS USD]]</f>
        <v>0.10399008328675236</v>
      </c>
      <c r="AM58" s="171">
        <f>Delivery[[#This Row],[Valor Prêmio Nespresso BEN por Kg (em US$)]]*60</f>
        <v>6.2394049972051411</v>
      </c>
      <c r="AN58" s="171">
        <f>Delivery[[#This Row],[Valor Prêmio Nespresso BEN por saca (em US$)]]/1.3228/100</f>
        <v>4.7168165990362422E-2</v>
      </c>
      <c r="AO58" s="171">
        <f>SUMIF(Allocation[Delivery ID],Delivery[[#This Row],[Delivery ID]],Allocation[Quantity allocated])*16*1.3228*Delivery[[#This Row],[Exchange rate VS USD]]/60</f>
        <v>2110.9083664</v>
      </c>
      <c r="AP58" s="171">
        <f>Delivery[[#This Row],[AAA Premium (total)]]</f>
        <v>1990.2750000000003</v>
      </c>
      <c r="AQ58" s="171">
        <f>Delivery[[#This Row],[Valor pago pelo Cluster]]-Delivery[[#This Row],[Valor efetivamente pago pela Nespresso]]</f>
        <v>-120.63336639999966</v>
      </c>
    </row>
    <row r="59" spans="1:43" ht="15.75">
      <c r="A59" s="174" t="s">
        <v>69</v>
      </c>
      <c r="B59" s="232" t="s">
        <v>68</v>
      </c>
      <c r="C59" s="157">
        <v>1</v>
      </c>
      <c r="D59" s="157" t="s">
        <v>468</v>
      </c>
      <c r="E59" s="177" t="s">
        <v>468</v>
      </c>
      <c r="F59" s="233" t="s">
        <v>469</v>
      </c>
      <c r="G59" s="234">
        <v>42874</v>
      </c>
      <c r="H59" s="157" t="s">
        <v>531</v>
      </c>
      <c r="I59" s="157" t="s">
        <v>529</v>
      </c>
      <c r="J59" s="237">
        <v>19740</v>
      </c>
      <c r="K59" s="175" t="s">
        <v>61</v>
      </c>
      <c r="L59" s="175" t="s">
        <v>439</v>
      </c>
      <c r="M59" s="175" t="s">
        <v>1343</v>
      </c>
      <c r="N59" s="180"/>
      <c r="O59" s="177"/>
      <c r="P59" s="185">
        <v>0</v>
      </c>
      <c r="Q59" s="177">
        <v>42873</v>
      </c>
      <c r="R59" s="178">
        <v>433.67925000000002</v>
      </c>
      <c r="S59" s="179">
        <v>157517.861547746</v>
      </c>
      <c r="T59" s="182" t="s">
        <v>45</v>
      </c>
      <c r="U59" s="183">
        <v>3.3450000000000002</v>
      </c>
      <c r="V59" s="179">
        <v>7703.5350000000008</v>
      </c>
      <c r="W59" s="179">
        <v>2408.6592261270002</v>
      </c>
      <c r="X59" s="186" t="s">
        <v>45</v>
      </c>
      <c r="Y59" s="183">
        <v>3.3450000000000002</v>
      </c>
      <c r="Z59" s="220" t="s">
        <v>473</v>
      </c>
      <c r="AA59" s="172">
        <f>Delivery[[#This Row],[Quantity delivered]]*VLOOKUP(Delivery[[#This Row],[Unit]],Tab_Conversão[],4,FALSE)*VLOOKUP(CONCATENATE(Delivery[[#This Row],[Coffee specie]],Delivery[[#This Row],[Coffee state]]),Tab_Conversão[],4,FALSE)</f>
        <v>19740</v>
      </c>
      <c r="AB59" s="169">
        <f>SUMIF(Allocation!C:C,Delivery[[#This Row],[Delivery ID]],Allocation!D:D)/Delivery[[#This Row],[Quantity delivered]]</f>
        <v>0.47588652482269506</v>
      </c>
      <c r="AC59" s="170">
        <f>Delivery[[#This Row],[Quantity delivered]]*Delivery[[#This Row],[Base price (Unidad)]]/60</f>
        <v>142680.47324999998</v>
      </c>
      <c r="AD59" s="171">
        <f>Delivery[[#This Row],[Nespresso total]]-Delivery[[#This Row],[Qt. Delivery * Base Price]]</f>
        <v>14837.388297746016</v>
      </c>
      <c r="AE59" s="171">
        <f>Delivery[[#This Row],[AAA Premium (total)]]/Delivery[[#This Row],[Quantity delivered]]*60/Delivery[[#This Row],[Exchange rate VS USD]]</f>
        <v>7</v>
      </c>
      <c r="AF59" s="171">
        <f>Delivery[[#This Row],[BEN premium (total)]]/Delivery[[#This Row],[Quantity delivered]]*60/Delivery[[#This Row],[Exchange rate for premiums VS USD]]</f>
        <v>2.1886853999999998</v>
      </c>
      <c r="AG59" s="171">
        <f>COUNTIF(Delivery[Delivery ID],Delivery[[#This Row],[Delivery ID]])</f>
        <v>1</v>
      </c>
      <c r="AH59" s="171">
        <f>(Delivery[[#This Row],[Nespresso total]]/SUMIF(Allocation!C:C,Delivery[Delivery ID],Allocation!H:H))/Delivery[[#This Row],[Exchange rate VS USD]]</f>
        <v>15.190497280268671</v>
      </c>
      <c r="AI59" s="171">
        <f>(Delivery[[#This Row],[AAA Premium (total)]]/SUMIF(Allocation!C:C,Delivery[Delivery ID],Allocation!H:H))/Delivery[[#This Row],[Exchange rate VS USD]]</f>
        <v>0.74290322580645163</v>
      </c>
      <c r="AJ59" s="171">
        <f>Delivery[[#This Row],[Valor Prêmio Nespresso AAA por Kg (em US$)]]*60</f>
        <v>44.5741935483871</v>
      </c>
      <c r="AK59" s="171">
        <f>Delivery[[#This Row],[Valor Prêmio Nespresso AAA por saca (em US$)]]/1.3228/100</f>
        <v>0.33696850278490403</v>
      </c>
      <c r="AL59" s="171">
        <f>(Delivery[[#This Row],[BEN premium (total)]]/SUMIF(Allocation!C:C,Delivery[Delivery ID],Allocation!H:H))/Delivery[[#This Row],[Exchange rate for premiums VS USD]]</f>
        <v>0.23228306341935484</v>
      </c>
      <c r="AM59" s="171">
        <f>Delivery[[#This Row],[Valor Prêmio Nespresso BEN por Kg (em US$)]]*60</f>
        <v>13.93698380516129</v>
      </c>
      <c r="AN59" s="171">
        <f>Delivery[[#This Row],[Valor Prêmio Nespresso BEN por saca (em US$)]]/1.3228/100</f>
        <v>0.10535972032931123</v>
      </c>
      <c r="AO59" s="171">
        <f>SUMIF(Allocation[Delivery ID],Delivery[[#This Row],[Delivery ID]],Allocation[Quantity allocated])*16*1.3228*Delivery[[#This Row],[Exchange rate VS USD]]/60</f>
        <v>3657.8065600000004</v>
      </c>
      <c r="AP59" s="171">
        <f>Delivery[[#This Row],[AAA Premium (total)]]</f>
        <v>7703.5350000000008</v>
      </c>
      <c r="AQ59" s="171">
        <f>Delivery[[#This Row],[Valor pago pelo Cluster]]-Delivery[[#This Row],[Valor efetivamente pago pela Nespresso]]</f>
        <v>4045.7284400000003</v>
      </c>
    </row>
    <row r="60" spans="1:43" ht="15.75">
      <c r="A60" s="174" t="s">
        <v>69</v>
      </c>
      <c r="B60" s="232" t="s">
        <v>68</v>
      </c>
      <c r="C60" s="157">
        <v>1</v>
      </c>
      <c r="D60" s="157" t="s">
        <v>468</v>
      </c>
      <c r="E60" s="177" t="s">
        <v>468</v>
      </c>
      <c r="F60" s="233" t="s">
        <v>469</v>
      </c>
      <c r="G60" s="234">
        <v>42874</v>
      </c>
      <c r="H60" s="157" t="s">
        <v>532</v>
      </c>
      <c r="I60" s="157" t="s">
        <v>529</v>
      </c>
      <c r="J60" s="237">
        <v>8520</v>
      </c>
      <c r="K60" s="175" t="s">
        <v>61</v>
      </c>
      <c r="L60" s="175" t="s">
        <v>439</v>
      </c>
      <c r="M60" s="175" t="s">
        <v>1343</v>
      </c>
      <c r="N60" s="180"/>
      <c r="O60" s="177"/>
      <c r="P60" s="185">
        <v>0</v>
      </c>
      <c r="Q60" s="177">
        <v>42873</v>
      </c>
      <c r="R60" s="178">
        <v>433.67925000000002</v>
      </c>
      <c r="S60" s="179">
        <v>67986.432643708002</v>
      </c>
      <c r="T60" s="182" t="s">
        <v>45</v>
      </c>
      <c r="U60" s="183">
        <v>3.3450000000000002</v>
      </c>
      <c r="V60" s="179">
        <v>3324.9300000000003</v>
      </c>
      <c r="W60" s="179">
        <v>1039.603678146</v>
      </c>
      <c r="X60" s="186" t="s">
        <v>45</v>
      </c>
      <c r="Y60" s="183">
        <v>3.3450000000000002</v>
      </c>
      <c r="Z60" s="220" t="s">
        <v>473</v>
      </c>
      <c r="AA60" s="172">
        <f>Delivery[[#This Row],[Quantity delivered]]*VLOOKUP(Delivery[[#This Row],[Unit]],Tab_Conversão[],4,FALSE)*VLOOKUP(CONCATENATE(Delivery[[#This Row],[Coffee specie]],Delivery[[#This Row],[Coffee state]]),Tab_Conversão[],4,FALSE)</f>
        <v>8520</v>
      </c>
      <c r="AB60" s="169">
        <f>SUMIF(Allocation!C:C,Delivery[[#This Row],[Delivery ID]],Allocation!D:D)/Delivery[[#This Row],[Quantity delivered]]</f>
        <v>0.84823943661971835</v>
      </c>
      <c r="AC60" s="170">
        <f>Delivery[[#This Row],[Quantity delivered]]*Delivery[[#This Row],[Base price (Unidad)]]/60</f>
        <v>61582.453500000011</v>
      </c>
      <c r="AD60" s="171">
        <f>Delivery[[#This Row],[Nespresso total]]-Delivery[[#This Row],[Qt. Delivery * Base Price]]</f>
        <v>6403.9791437079912</v>
      </c>
      <c r="AE60" s="171">
        <f>Delivery[[#This Row],[AAA Premium (total)]]/Delivery[[#This Row],[Quantity delivered]]*60/Delivery[[#This Row],[Exchange rate VS USD]]</f>
        <v>7</v>
      </c>
      <c r="AF60" s="171">
        <f>Delivery[[#This Row],[BEN premium (total)]]/Delivery[[#This Row],[Quantity delivered]]*60/Delivery[[#This Row],[Exchange rate for premiums VS USD]]</f>
        <v>2.1886853999999998</v>
      </c>
      <c r="AG60" s="171">
        <f>COUNTIF(Delivery[Delivery ID],Delivery[[#This Row],[Delivery ID]])</f>
        <v>1</v>
      </c>
      <c r="AH60" s="171">
        <f>(Delivery[[#This Row],[Nespresso total]]/SUMIF(Allocation!C:C,Delivery[Delivery ID],Allocation!H:H))/Delivery[[#This Row],[Exchange rate VS USD]]</f>
        <v>8.5219257935224189</v>
      </c>
      <c r="AI60" s="171">
        <f>(Delivery[[#This Row],[AAA Premium (total)]]/SUMIF(Allocation!C:C,Delivery[Delivery ID],Allocation!H:H))/Delivery[[#This Row],[Exchange rate VS USD]]</f>
        <v>0.41677148846960171</v>
      </c>
      <c r="AJ60" s="171">
        <f>Delivery[[#This Row],[Valor Prêmio Nespresso AAA por Kg (em US$)]]*60</f>
        <v>25.006289308176104</v>
      </c>
      <c r="AK60" s="171">
        <f>Delivery[[#This Row],[Valor Prêmio Nespresso AAA por saca (em US$)]]/1.3228/100</f>
        <v>0.18904059047608182</v>
      </c>
      <c r="AL60" s="171">
        <f>(Delivery[[#This Row],[BEN premium (total)]]/SUMIF(Allocation!C:C,Delivery[Delivery ID],Allocation!H:H))/Delivery[[#This Row],[Exchange rate for premiums VS USD]]</f>
        <v>0.13031166742138364</v>
      </c>
      <c r="AM60" s="171">
        <f>Delivery[[#This Row],[Valor Prêmio Nespresso BEN por Kg (em US$)]]*60</f>
        <v>7.8187000452830189</v>
      </c>
      <c r="AN60" s="171">
        <f>Delivery[[#This Row],[Valor Prêmio Nespresso BEN por saca (em US$)]]/1.3228/100</f>
        <v>5.9107197197482753E-2</v>
      </c>
      <c r="AO60" s="171">
        <f>SUMIF(Allocation[Delivery ID],Delivery[[#This Row],[Delivery ID]],Allocation[Quantity allocated])*16*1.3228*Delivery[[#This Row],[Exchange rate VS USD]]/60</f>
        <v>2814.1511760000003</v>
      </c>
      <c r="AP60" s="171">
        <f>Delivery[[#This Row],[AAA Premium (total)]]</f>
        <v>3324.9300000000003</v>
      </c>
      <c r="AQ60" s="171">
        <f>Delivery[[#This Row],[Valor pago pelo Cluster]]-Delivery[[#This Row],[Valor efetivamente pago pela Nespresso]]</f>
        <v>510.77882399999999</v>
      </c>
    </row>
    <row r="61" spans="1:43" ht="15.75">
      <c r="A61" s="174" t="s">
        <v>69</v>
      </c>
      <c r="B61" s="232" t="s">
        <v>68</v>
      </c>
      <c r="C61" s="157">
        <v>1</v>
      </c>
      <c r="D61" s="157" t="s">
        <v>468</v>
      </c>
      <c r="E61" s="177" t="s">
        <v>468</v>
      </c>
      <c r="F61" s="233" t="s">
        <v>469</v>
      </c>
      <c r="G61" s="234">
        <v>42874</v>
      </c>
      <c r="H61" s="157" t="s">
        <v>533</v>
      </c>
      <c r="I61" s="157" t="s">
        <v>529</v>
      </c>
      <c r="J61" s="237">
        <v>9120</v>
      </c>
      <c r="K61" s="175" t="s">
        <v>61</v>
      </c>
      <c r="L61" s="175" t="s">
        <v>439</v>
      </c>
      <c r="M61" s="175" t="s">
        <v>1343</v>
      </c>
      <c r="N61" s="180"/>
      <c r="O61" s="177"/>
      <c r="P61" s="185">
        <v>0</v>
      </c>
      <c r="Q61" s="177">
        <v>42873</v>
      </c>
      <c r="R61" s="178">
        <v>433.67925000000002</v>
      </c>
      <c r="S61" s="179">
        <v>72774.209590448008</v>
      </c>
      <c r="T61" s="182" t="s">
        <v>45</v>
      </c>
      <c r="U61" s="183">
        <v>3.3450000000000002</v>
      </c>
      <c r="V61" s="179">
        <v>3559.0800000000004</v>
      </c>
      <c r="W61" s="179">
        <v>1112.815204776</v>
      </c>
      <c r="X61" s="186" t="s">
        <v>45</v>
      </c>
      <c r="Y61" s="183">
        <v>3.3450000000000002</v>
      </c>
      <c r="Z61" s="220" t="s">
        <v>473</v>
      </c>
      <c r="AA61" s="172">
        <f>Delivery[[#This Row],[Quantity delivered]]*VLOOKUP(Delivery[[#This Row],[Unit]],Tab_Conversão[],4,FALSE)*VLOOKUP(CONCATENATE(Delivery[[#This Row],[Coffee specie]],Delivery[[#This Row],[Coffee state]]),Tab_Conversão[],4,FALSE)</f>
        <v>9120</v>
      </c>
      <c r="AB61" s="169">
        <f>SUMIF(Allocation!C:C,Delivery[[#This Row],[Delivery ID]],Allocation!D:D)/Delivery[[#This Row],[Quantity delivered]]</f>
        <v>0.59440789473684208</v>
      </c>
      <c r="AC61" s="170">
        <f>Delivery[[#This Row],[Quantity delivered]]*Delivery[[#This Row],[Base price (Unidad)]]/60</f>
        <v>65919.245999999999</v>
      </c>
      <c r="AD61" s="171">
        <f>Delivery[[#This Row],[Nespresso total]]-Delivery[[#This Row],[Qt. Delivery * Base Price]]</f>
        <v>6854.9635904480092</v>
      </c>
      <c r="AE61" s="171">
        <f>Delivery[[#This Row],[AAA Premium (total)]]/Delivery[[#This Row],[Quantity delivered]]*60/Delivery[[#This Row],[Exchange rate VS USD]]</f>
        <v>7</v>
      </c>
      <c r="AF61" s="171">
        <f>Delivery[[#This Row],[BEN premium (total)]]/Delivery[[#This Row],[Quantity delivered]]*60/Delivery[[#This Row],[Exchange rate for premiums VS USD]]</f>
        <v>2.1886853999999998</v>
      </c>
      <c r="AG61" s="171">
        <f>COUNTIF(Delivery[Delivery ID],Delivery[[#This Row],[Delivery ID]])</f>
        <v>1</v>
      </c>
      <c r="AH61" s="171">
        <f>(Delivery[[#This Row],[Nespresso total]]/SUMIF(Allocation!C:C,Delivery[Delivery ID],Allocation!H:H))/Delivery[[#This Row],[Exchange rate VS USD]]</f>
        <v>12.161048892952032</v>
      </c>
      <c r="AI61" s="171">
        <f>(Delivery[[#This Row],[AAA Premium (total)]]/SUMIF(Allocation!C:C,Delivery[Delivery ID],Allocation!H:H))/Delivery[[#This Row],[Exchange rate VS USD]]</f>
        <v>0.59474566797093353</v>
      </c>
      <c r="AJ61" s="171">
        <f>Delivery[[#This Row],[Valor Prêmio Nespresso AAA por Kg (em US$)]]*60</f>
        <v>35.684740078256013</v>
      </c>
      <c r="AK61" s="171">
        <f>Delivery[[#This Row],[Valor Prêmio Nespresso AAA por saca (em US$)]]/1.3228/100</f>
        <v>0.26976670757677662</v>
      </c>
      <c r="AL61" s="171">
        <f>(Delivery[[#This Row],[BEN premium (total)]]/SUMIF(Allocation!C:C,Delivery[Delivery ID],Allocation!H:H))/Delivery[[#This Row],[Exchange rate for premiums VS USD]]</f>
        <v>0.18595873717160422</v>
      </c>
      <c r="AM61" s="171">
        <f>Delivery[[#This Row],[Valor Prêmio Nespresso BEN por Kg (em US$)]]*60</f>
        <v>11.157524230296254</v>
      </c>
      <c r="AN61" s="171">
        <f>Delivery[[#This Row],[Valor Prêmio Nespresso BEN por saca (em US$)]]/1.3228/100</f>
        <v>8.4347779182765759E-2</v>
      </c>
      <c r="AO61" s="171">
        <f>SUMIF(Allocation[Delivery ID],Delivery[[#This Row],[Delivery ID]],Allocation[Quantity allocated])*16*1.3228*Delivery[[#This Row],[Exchange rate VS USD]]/60</f>
        <v>2110.9083664</v>
      </c>
      <c r="AP61" s="171">
        <f>Delivery[[#This Row],[AAA Premium (total)]]</f>
        <v>3559.0800000000004</v>
      </c>
      <c r="AQ61" s="171">
        <f>Delivery[[#This Row],[Valor pago pelo Cluster]]-Delivery[[#This Row],[Valor efetivamente pago pela Nespresso]]</f>
        <v>1448.1716336000004</v>
      </c>
    </row>
    <row r="62" spans="1:43" ht="15.75">
      <c r="A62" s="174" t="s">
        <v>69</v>
      </c>
      <c r="B62" s="232" t="s">
        <v>68</v>
      </c>
      <c r="C62" s="157">
        <v>1</v>
      </c>
      <c r="D62" s="157" t="s">
        <v>468</v>
      </c>
      <c r="E62" s="177" t="s">
        <v>468</v>
      </c>
      <c r="F62" s="233" t="s">
        <v>469</v>
      </c>
      <c r="G62" s="234">
        <v>42874</v>
      </c>
      <c r="H62" s="157" t="s">
        <v>534</v>
      </c>
      <c r="I62" s="157" t="s">
        <v>529</v>
      </c>
      <c r="J62" s="237">
        <v>9300</v>
      </c>
      <c r="K62" s="175" t="s">
        <v>61</v>
      </c>
      <c r="L62" s="175" t="s">
        <v>439</v>
      </c>
      <c r="M62" s="175" t="s">
        <v>1343</v>
      </c>
      <c r="N62" s="180"/>
      <c r="O62" s="177"/>
      <c r="P62" s="181">
        <v>0</v>
      </c>
      <c r="Q62" s="177">
        <v>42873</v>
      </c>
      <c r="R62" s="178">
        <v>433.67925000000002</v>
      </c>
      <c r="S62" s="179">
        <v>74210.542674469994</v>
      </c>
      <c r="T62" s="182" t="s">
        <v>45</v>
      </c>
      <c r="U62" s="183">
        <v>3.3450000000000002</v>
      </c>
      <c r="V62" s="179">
        <v>3629.3250000000003</v>
      </c>
      <c r="W62" s="179">
        <v>1134.778662765</v>
      </c>
      <c r="X62" s="184" t="s">
        <v>45</v>
      </c>
      <c r="Y62" s="183">
        <v>3.3450000000000002</v>
      </c>
      <c r="Z62" s="220" t="s">
        <v>473</v>
      </c>
      <c r="AA62" s="172">
        <f>Delivery[[#This Row],[Quantity delivered]]*VLOOKUP(Delivery[[#This Row],[Unit]],Tab_Conversão[],4,FALSE)*VLOOKUP(CONCATENATE(Delivery[[#This Row],[Coffee specie]],Delivery[[#This Row],[Coffee state]]),Tab_Conversão[],4,FALSE)</f>
        <v>9300</v>
      </c>
      <c r="AB62" s="169">
        <f>SUMIF(Allocation!C:C,Delivery[[#This Row],[Delivery ID]],Allocation!D:D)/Delivery[[#This Row],[Quantity delivered]]</f>
        <v>0.97129032258064518</v>
      </c>
      <c r="AC62" s="170">
        <f>Delivery[[#This Row],[Quantity delivered]]*Delivery[[#This Row],[Base price (Unidad)]]/60</f>
        <v>67220.283750000002</v>
      </c>
      <c r="AD62" s="171">
        <f>Delivery[[#This Row],[Nespresso total]]-Delivery[[#This Row],[Qt. Delivery * Base Price]]</f>
        <v>6990.2589244699921</v>
      </c>
      <c r="AE62" s="171">
        <f>Delivery[[#This Row],[AAA Premium (total)]]/Delivery[[#This Row],[Quantity delivered]]*60/Delivery[[#This Row],[Exchange rate VS USD]]</f>
        <v>7</v>
      </c>
      <c r="AF62" s="171">
        <f>Delivery[[#This Row],[BEN premium (total)]]/Delivery[[#This Row],[Quantity delivered]]*60/Delivery[[#This Row],[Exchange rate for premiums VS USD]]</f>
        <v>2.1886853999999998</v>
      </c>
      <c r="AG62" s="171">
        <f>COUNTIF(Delivery[Delivery ID],Delivery[[#This Row],[Delivery ID]])</f>
        <v>1</v>
      </c>
      <c r="AH62" s="171">
        <f>(Delivery[[#This Row],[Nespresso total]]/SUMIF(Allocation!C:C,Delivery[Delivery ID],Allocation!H:H))/Delivery[[#This Row],[Exchange rate VS USD]]</f>
        <v>7.4423057715777396</v>
      </c>
      <c r="AI62" s="171">
        <f>(Delivery[[#This Row],[AAA Premium (total)]]/SUMIF(Allocation!C:C,Delivery[Delivery ID],Allocation!H:H))/Delivery[[#This Row],[Exchange rate VS USD]]</f>
        <v>0.36397182153639723</v>
      </c>
      <c r="AJ62" s="171">
        <f>Delivery[[#This Row],[Valor Prêmio Nespresso AAA por Kg (em US$)]]*60</f>
        <v>21.838309292183833</v>
      </c>
      <c r="AK62" s="171">
        <f>Delivery[[#This Row],[Valor Prêmio Nespresso AAA por saca (em US$)]]/1.3228/100</f>
        <v>0.16509154288013178</v>
      </c>
      <c r="AL62" s="171">
        <f>(Delivery[[#This Row],[BEN premium (total)]]/SUMIF(Allocation!C:C,Delivery[Delivery ID],Allocation!H:H))/Delivery[[#This Row],[Exchange rate for premiums VS USD]]</f>
        <v>0.11380283025830258</v>
      </c>
      <c r="AM62" s="171">
        <f>Delivery[[#This Row],[Valor Prêmio Nespresso BEN por Kg (em US$)]]*60</f>
        <v>6.8281698154981552</v>
      </c>
      <c r="AN62" s="171">
        <f>Delivery[[#This Row],[Valor Prêmio Nespresso BEN por saca (em US$)]]/1.3228/100</f>
        <v>5.1619064223602622E-2</v>
      </c>
      <c r="AO62" s="171">
        <f>SUMIF(Allocation[Delivery ID],Delivery[[#This Row],[Delivery ID]],Allocation[Quantity allocated])*16*1.3228*Delivery[[#This Row],[Exchange rate VS USD]]/60</f>
        <v>3517.3939856000002</v>
      </c>
      <c r="AP62" s="171">
        <f>Delivery[[#This Row],[AAA Premium (total)]]</f>
        <v>3629.3250000000003</v>
      </c>
      <c r="AQ62" s="171">
        <f>Delivery[[#This Row],[Valor pago pelo Cluster]]-Delivery[[#This Row],[Valor efetivamente pago pela Nespresso]]</f>
        <v>111.93101440000009</v>
      </c>
    </row>
    <row r="63" spans="1:43" ht="15.75">
      <c r="A63" s="174" t="s">
        <v>69</v>
      </c>
      <c r="B63" s="232" t="s">
        <v>68</v>
      </c>
      <c r="C63" s="157">
        <v>1</v>
      </c>
      <c r="D63" s="157" t="s">
        <v>468</v>
      </c>
      <c r="E63" s="177" t="s">
        <v>468</v>
      </c>
      <c r="F63" s="233" t="s">
        <v>469</v>
      </c>
      <c r="G63" s="234">
        <v>42874</v>
      </c>
      <c r="H63" s="157" t="s">
        <v>535</v>
      </c>
      <c r="I63" s="157" t="s">
        <v>529</v>
      </c>
      <c r="J63" s="237">
        <v>21120</v>
      </c>
      <c r="K63" s="175" t="s">
        <v>61</v>
      </c>
      <c r="L63" s="175" t="s">
        <v>439</v>
      </c>
      <c r="M63" s="175" t="s">
        <v>1343</v>
      </c>
      <c r="N63" s="180"/>
      <c r="O63" s="177"/>
      <c r="P63" s="181">
        <v>0</v>
      </c>
      <c r="Q63" s="177">
        <v>42873</v>
      </c>
      <c r="R63" s="178">
        <v>433.67925000000002</v>
      </c>
      <c r="S63" s="179">
        <v>168529.748525248</v>
      </c>
      <c r="T63" s="182" t="s">
        <v>45</v>
      </c>
      <c r="U63" s="183">
        <v>3.3450000000000002</v>
      </c>
      <c r="V63" s="179">
        <v>8242.0800000000017</v>
      </c>
      <c r="W63" s="179">
        <v>2577.045737376</v>
      </c>
      <c r="X63" s="186" t="s">
        <v>45</v>
      </c>
      <c r="Y63" s="183">
        <v>3.3450000000000002</v>
      </c>
      <c r="Z63" s="220" t="s">
        <v>473</v>
      </c>
      <c r="AA63" s="172">
        <f>Delivery[[#This Row],[Quantity delivered]]*VLOOKUP(Delivery[[#This Row],[Unit]],Tab_Conversão[],4,FALSE)*VLOOKUP(CONCATENATE(Delivery[[#This Row],[Coffee specie]],Delivery[[#This Row],[Coffee state]]),Tab_Conversão[],4,FALSE)</f>
        <v>21120</v>
      </c>
      <c r="AB63" s="169">
        <f>SUMIF(Allocation!C:C,Delivery[[#This Row],[Delivery ID]],Allocation!D:D)/Delivery[[#This Row],[Quantity delivered]]</f>
        <v>0.34218749999999998</v>
      </c>
      <c r="AC63" s="170">
        <f>Delivery[[#This Row],[Quantity delivered]]*Delivery[[#This Row],[Base price (Unidad)]]/60</f>
        <v>152655.09599999999</v>
      </c>
      <c r="AD63" s="171">
        <f>Delivery[[#This Row],[Nespresso total]]-Delivery[[#This Row],[Qt. Delivery * Base Price]]</f>
        <v>15874.652525248006</v>
      </c>
      <c r="AE63" s="171">
        <f>Delivery[[#This Row],[AAA Premium (total)]]/Delivery[[#This Row],[Quantity delivered]]*60/Delivery[[#This Row],[Exchange rate VS USD]]</f>
        <v>7.0000000000000018</v>
      </c>
      <c r="AF63" s="171">
        <f>Delivery[[#This Row],[BEN premium (total)]]/Delivery[[#This Row],[Quantity delivered]]*60/Delivery[[#This Row],[Exchange rate for premiums VS USD]]</f>
        <v>2.1886853999999998</v>
      </c>
      <c r="AG63" s="171">
        <f>COUNTIF(Delivery[Delivery ID],Delivery[[#This Row],[Delivery ID]])</f>
        <v>1</v>
      </c>
      <c r="AH63" s="171">
        <f>(Delivery[[#This Row],[Nespresso total]]/SUMIF(Allocation!C:C,Delivery[Delivery ID],Allocation!H:H))/Delivery[[#This Row],[Exchange rate VS USD]]</f>
        <v>21.124773798027405</v>
      </c>
      <c r="AI63" s="171">
        <f>(Delivery[[#This Row],[AAA Premium (total)]]/SUMIF(Allocation!C:C,Delivery[Delivery ID],Allocation!H:H))/Delivery[[#This Row],[Exchange rate VS USD]]</f>
        <v>1.0331236897274634</v>
      </c>
      <c r="AJ63" s="171">
        <f>Delivery[[#This Row],[Valor Prêmio Nespresso AAA por Kg (em US$)]]*60</f>
        <v>61.987421383647799</v>
      </c>
      <c r="AK63" s="171">
        <f>Delivery[[#This Row],[Valor Prêmio Nespresso AAA por saca (em US$)]]/1.3228/100</f>
        <v>0.46860766089845635</v>
      </c>
      <c r="AL63" s="171">
        <f>(Delivery[[#This Row],[BEN premium (total)]]/SUMIF(Allocation!C:C,Delivery[Delivery ID],Allocation!H:H))/Delivery[[#This Row],[Exchange rate for premiums VS USD]]</f>
        <v>0.32302610515723268</v>
      </c>
      <c r="AM63" s="171">
        <f>Delivery[[#This Row],[Valor Prêmio Nespresso BEN por Kg (em US$)]]*60</f>
        <v>19.381566309433961</v>
      </c>
      <c r="AN63" s="171">
        <f>Delivery[[#This Row],[Valor Prêmio Nespresso BEN por saca (em US$)]]/1.3228/100</f>
        <v>0.14651924939094316</v>
      </c>
      <c r="AO63" s="171">
        <f>SUMIF(Allocation[Delivery ID],Delivery[[#This Row],[Delivery ID]],Allocation[Quantity allocated])*16*1.3228*Delivery[[#This Row],[Exchange rate VS USD]]/60</f>
        <v>2814.1511760000003</v>
      </c>
      <c r="AP63" s="171">
        <f>Delivery[[#This Row],[AAA Premium (total)]]</f>
        <v>8242.0800000000017</v>
      </c>
      <c r="AQ63" s="171">
        <f>Delivery[[#This Row],[Valor pago pelo Cluster]]-Delivery[[#This Row],[Valor efetivamente pago pela Nespresso]]</f>
        <v>5427.9288240000014</v>
      </c>
    </row>
    <row r="64" spans="1:43" ht="15.75">
      <c r="A64" s="174" t="s">
        <v>69</v>
      </c>
      <c r="B64" s="232" t="s">
        <v>68</v>
      </c>
      <c r="C64" s="157">
        <v>1</v>
      </c>
      <c r="D64" s="157" t="s">
        <v>468</v>
      </c>
      <c r="E64" s="177" t="s">
        <v>468</v>
      </c>
      <c r="F64" s="233" t="s">
        <v>469</v>
      </c>
      <c r="G64" s="234">
        <v>42874</v>
      </c>
      <c r="H64" s="157" t="s">
        <v>536</v>
      </c>
      <c r="I64" s="157" t="s">
        <v>529</v>
      </c>
      <c r="J64" s="237">
        <v>4500</v>
      </c>
      <c r="K64" s="175" t="s">
        <v>61</v>
      </c>
      <c r="L64" s="175" t="s">
        <v>439</v>
      </c>
      <c r="M64" s="175" t="s">
        <v>1343</v>
      </c>
      <c r="N64" s="180"/>
      <c r="O64" s="177"/>
      <c r="P64" s="185">
        <v>0</v>
      </c>
      <c r="Q64" s="177">
        <v>42873</v>
      </c>
      <c r="R64" s="178">
        <v>433.67925000000002</v>
      </c>
      <c r="S64" s="179">
        <v>35744.007100549999</v>
      </c>
      <c r="T64" s="182" t="s">
        <v>45</v>
      </c>
      <c r="U64" s="183">
        <v>3.3450000000000002</v>
      </c>
      <c r="V64" s="179">
        <v>1747.95</v>
      </c>
      <c r="W64" s="179">
        <v>549.08644972499997</v>
      </c>
      <c r="X64" s="186" t="s">
        <v>45</v>
      </c>
      <c r="Y64" s="183">
        <v>3.3450000000000002</v>
      </c>
      <c r="Z64" s="220" t="s">
        <v>473</v>
      </c>
      <c r="AA64" s="172">
        <f>Delivery[[#This Row],[Quantity delivered]]*VLOOKUP(Delivery[[#This Row],[Unit]],Tab_Conversão[],4,FALSE)*VLOOKUP(CONCATENATE(Delivery[[#This Row],[Coffee specie]],Delivery[[#This Row],[Coffee state]]),Tab_Conversão[],4,FALSE)</f>
        <v>4500</v>
      </c>
      <c r="AB64" s="169">
        <f>SUMIF(Allocation!C:C,Delivery[[#This Row],[Delivery ID]],Allocation!D:D)/Delivery[[#This Row],[Quantity delivered]]</f>
        <v>0.12044444444444445</v>
      </c>
      <c r="AC64" s="170">
        <f>Delivery[[#This Row],[Quantity delivered]]*Delivery[[#This Row],[Base price (Unidad)]]/60</f>
        <v>32525.943749999999</v>
      </c>
      <c r="AD64" s="171">
        <f>Delivery[[#This Row],[Nespresso total]]-Delivery[[#This Row],[Qt. Delivery * Base Price]]</f>
        <v>3218.0633505500009</v>
      </c>
      <c r="AE64" s="171">
        <f>Delivery[[#This Row],[AAA Premium (total)]]/Delivery[[#This Row],[Quantity delivered]]*60/Delivery[[#This Row],[Exchange rate VS USD]]</f>
        <v>6.9674140508221223</v>
      </c>
      <c r="AF64" s="171">
        <f>Delivery[[#This Row],[BEN premium (total)]]/Delivery[[#This Row],[Quantity delivered]]*60/Delivery[[#This Row],[Exchange rate for premiums VS USD]]</f>
        <v>2.1886853999999998</v>
      </c>
      <c r="AG64" s="171">
        <f>COUNTIF(Delivery[Delivery ID],Delivery[[#This Row],[Delivery ID]])</f>
        <v>1</v>
      </c>
      <c r="AH64" s="171">
        <f>(Delivery[[#This Row],[Nespresso total]]/SUMIF(Allocation!C:C,Delivery[Delivery ID],Allocation!H:H))/Delivery[[#This Row],[Exchange rate VS USD]]</f>
        <v>59.697216892635545</v>
      </c>
      <c r="AI64" s="171">
        <f>(Delivery[[#This Row],[AAA Premium (total)]]/SUMIF(Allocation!C:C,Delivery[Delivery ID],Allocation!H:H))/Delivery[[#This Row],[Exchange rate VS USD]]</f>
        <v>2.9193075631936267</v>
      </c>
      <c r="AJ64" s="171">
        <f>Delivery[[#This Row],[Valor Prêmio Nespresso AAA por Kg (em US$)]]*60</f>
        <v>175.1584537916176</v>
      </c>
      <c r="AK64" s="171">
        <f>Delivery[[#This Row],[Valor Prêmio Nespresso AAA por saca (em US$)]]/1.3228/100</f>
        <v>1.3241491819747324</v>
      </c>
      <c r="AL64" s="171">
        <f>(Delivery[[#This Row],[BEN premium (total)]]/SUMIF(Allocation!C:C,Delivery[Delivery ID],Allocation!H:H))/Delivery[[#This Row],[Exchange rate for premiums VS USD]]</f>
        <v>0.91704695530726255</v>
      </c>
      <c r="AM64" s="171">
        <f>Delivery[[#This Row],[Valor Prêmio Nespresso BEN por Kg (em US$)]]*60</f>
        <v>55.022817318435756</v>
      </c>
      <c r="AN64" s="171">
        <f>Delivery[[#This Row],[Valor Prêmio Nespresso BEN por saca (em US$)]]/1.3228/100</f>
        <v>0.41595719170271961</v>
      </c>
      <c r="AO64" s="171">
        <f>SUMIF(Allocation[Delivery ID],Delivery[[#This Row],[Delivery ID]],Allocation[Quantity allocated])*16*1.3228*Delivery[[#This Row],[Exchange rate VS USD]]/60</f>
        <v>211.20883039999998</v>
      </c>
      <c r="AP64" s="171">
        <f>Delivery[[#This Row],[AAA Premium (total)]]</f>
        <v>1747.95</v>
      </c>
      <c r="AQ64" s="171">
        <f>Delivery[[#This Row],[Valor pago pelo Cluster]]-Delivery[[#This Row],[Valor efetivamente pago pela Nespresso]]</f>
        <v>1536.7411696000001</v>
      </c>
    </row>
    <row r="65" spans="1:43" ht="15.75">
      <c r="A65" s="174" t="s">
        <v>69</v>
      </c>
      <c r="B65" s="232" t="s">
        <v>68</v>
      </c>
      <c r="C65" s="157">
        <v>1</v>
      </c>
      <c r="D65" s="157" t="s">
        <v>468</v>
      </c>
      <c r="E65" s="177" t="s">
        <v>468</v>
      </c>
      <c r="F65" s="233" t="s">
        <v>469</v>
      </c>
      <c r="G65" s="234">
        <v>42874</v>
      </c>
      <c r="H65" s="157" t="s">
        <v>537</v>
      </c>
      <c r="I65" s="157" t="s">
        <v>529</v>
      </c>
      <c r="J65" s="237">
        <v>17340</v>
      </c>
      <c r="K65" s="175" t="s">
        <v>61</v>
      </c>
      <c r="L65" s="175" t="s">
        <v>439</v>
      </c>
      <c r="M65" s="175" t="s">
        <v>1343</v>
      </c>
      <c r="N65" s="187"/>
      <c r="O65" s="177"/>
      <c r="P65" s="185">
        <v>0</v>
      </c>
      <c r="Q65" s="177">
        <v>42873</v>
      </c>
      <c r="R65" s="178">
        <v>433.67925000000002</v>
      </c>
      <c r="S65" s="179">
        <v>136395.77376078602</v>
      </c>
      <c r="T65" s="182" t="s">
        <v>45</v>
      </c>
      <c r="U65" s="183">
        <v>3.3450000000000002</v>
      </c>
      <c r="V65" s="179">
        <v>6764.601036</v>
      </c>
      <c r="W65" s="179">
        <v>2115.8131196069999</v>
      </c>
      <c r="X65" s="186" t="s">
        <v>45</v>
      </c>
      <c r="Y65" s="183">
        <v>3.3450000000000002</v>
      </c>
      <c r="Z65" s="220" t="s">
        <v>473</v>
      </c>
      <c r="AA65" s="172">
        <f>Delivery[[#This Row],[Quantity delivered]]*VLOOKUP(Delivery[[#This Row],[Unit]],Tab_Conversão[],4,FALSE)*VLOOKUP(CONCATENATE(Delivery[[#This Row],[Coffee specie]],Delivery[[#This Row],[Coffee state]]),Tab_Conversão[],4,FALSE)</f>
        <v>17340</v>
      </c>
      <c r="AB65" s="169">
        <f>SUMIF(Allocation!C:C,Delivery[[#This Row],[Delivery ID]],Allocation!D:D)/Delivery[[#This Row],[Quantity delivered]]</f>
        <v>4.7001153402537486E-2</v>
      </c>
      <c r="AC65" s="170">
        <f>Delivery[[#This Row],[Quantity delivered]]*Delivery[[#This Row],[Base price (Unidad)]]/60</f>
        <v>125333.30325000001</v>
      </c>
      <c r="AD65" s="171">
        <f>Delivery[[#This Row],[Nespresso total]]-Delivery[[#This Row],[Qt. Delivery * Base Price]]</f>
        <v>11062.470510786006</v>
      </c>
      <c r="AE65" s="171">
        <f>Delivery[[#This Row],[AAA Premium (total)]]/Delivery[[#This Row],[Quantity delivered]]*60/Delivery[[#This Row],[Exchange rate VS USD]]</f>
        <v>6.9975856502242149</v>
      </c>
      <c r="AF65" s="171">
        <f>Delivery[[#This Row],[BEN premium (total)]]/Delivery[[#This Row],[Quantity delivered]]*60/Delivery[[#This Row],[Exchange rate for premiums VS USD]]</f>
        <v>2.1886853999999998</v>
      </c>
      <c r="AG65" s="171">
        <f>COUNTIF(Delivery[Delivery ID],Delivery[[#This Row],[Delivery ID]])</f>
        <v>1</v>
      </c>
      <c r="AH65" s="171">
        <f>(Delivery[[#This Row],[Nespresso total]]/SUMIF(Allocation!C:C,Delivery[Delivery ID],Allocation!H:H))/Delivery[[#This Row],[Exchange rate VS USD]]</f>
        <v>151.58370286982847</v>
      </c>
      <c r="AI65" s="171">
        <f>(Delivery[[#This Row],[AAA Premium (total)]]/SUMIF(Allocation!C:C,Delivery[Delivery ID],Allocation!H:H))/Delivery[[#This Row],[Exchange rate VS USD]]</f>
        <v>7.5178522413189519</v>
      </c>
      <c r="AJ65" s="171">
        <f>Delivery[[#This Row],[Valor Prêmio Nespresso AAA por Kg (em US$)]]*60</f>
        <v>451.07113447913713</v>
      </c>
      <c r="AK65" s="171">
        <f>Delivery[[#This Row],[Valor Prêmio Nespresso AAA por saca (em US$)]]/1.3228/100</f>
        <v>3.4099722896820164</v>
      </c>
      <c r="AL65" s="171">
        <f>(Delivery[[#This Row],[BEN premium (total)]]/SUMIF(Allocation!C:C,Delivery[Delivery ID],Allocation!H:H))/Delivery[[#This Row],[Exchange rate for premiums VS USD]]</f>
        <v>2.3514129390334571</v>
      </c>
      <c r="AM65" s="171">
        <f>Delivery[[#This Row],[Valor Prêmio Nespresso BEN por Kg (em US$)]]*60</f>
        <v>141.08477634200742</v>
      </c>
      <c r="AN65" s="171">
        <f>Delivery[[#This Row],[Valor Prêmio Nespresso BEN por saca (em US$)]]/1.3228/100</f>
        <v>1.0665616596765</v>
      </c>
      <c r="AO65" s="171">
        <f>SUMIF(Allocation[Delivery ID],Delivery[[#This Row],[Delivery ID]],Allocation[Quantity allocated])*16*1.3228*Delivery[[#This Row],[Exchange rate VS USD]]/60</f>
        <v>317.40321440000002</v>
      </c>
      <c r="AP65" s="171">
        <f>Delivery[[#This Row],[AAA Premium (total)]]</f>
        <v>6764.601036</v>
      </c>
      <c r="AQ65" s="171">
        <f>Delivery[[#This Row],[Valor pago pelo Cluster]]-Delivery[[#This Row],[Valor efetivamente pago pela Nespresso]]</f>
        <v>6447.1978215999998</v>
      </c>
    </row>
    <row r="66" spans="1:43" ht="15.75">
      <c r="A66" s="174" t="s">
        <v>69</v>
      </c>
      <c r="B66" s="232" t="s">
        <v>68</v>
      </c>
      <c r="C66" s="157">
        <v>1</v>
      </c>
      <c r="D66" s="157" t="s">
        <v>468</v>
      </c>
      <c r="E66" s="177" t="s">
        <v>468</v>
      </c>
      <c r="F66" s="233" t="s">
        <v>469</v>
      </c>
      <c r="G66" s="234">
        <v>42874</v>
      </c>
      <c r="H66" s="157" t="s">
        <v>538</v>
      </c>
      <c r="I66" s="157" t="s">
        <v>529</v>
      </c>
      <c r="J66" s="237">
        <v>18960</v>
      </c>
      <c r="K66" s="175" t="s">
        <v>61</v>
      </c>
      <c r="L66" s="175" t="s">
        <v>439</v>
      </c>
      <c r="M66" s="175" t="s">
        <v>1343</v>
      </c>
      <c r="N66" s="180"/>
      <c r="O66" s="177"/>
      <c r="P66" s="185">
        <v>0</v>
      </c>
      <c r="Q66" s="177">
        <v>42873</v>
      </c>
      <c r="R66" s="178">
        <v>433.67925000000002</v>
      </c>
      <c r="S66" s="179">
        <v>149138.63151698397</v>
      </c>
      <c r="T66" s="182" t="s">
        <v>45</v>
      </c>
      <c r="U66" s="183">
        <v>3.3450000000000002</v>
      </c>
      <c r="V66" s="179">
        <v>7396.5879839999998</v>
      </c>
      <c r="W66" s="179">
        <v>2313.4842415079997</v>
      </c>
      <c r="X66" s="186" t="s">
        <v>45</v>
      </c>
      <c r="Y66" s="183">
        <v>3.3450000000000002</v>
      </c>
      <c r="Z66" s="220" t="s">
        <v>473</v>
      </c>
      <c r="AA66" s="172">
        <f>Delivery[[#This Row],[Quantity delivered]]*VLOOKUP(Delivery[[#This Row],[Unit]],Tab_Conversão[],4,FALSE)*VLOOKUP(CONCATENATE(Delivery[[#This Row],[Coffee specie]],Delivery[[#This Row],[Coffee state]]),Tab_Conversão[],4,FALSE)</f>
        <v>18960</v>
      </c>
      <c r="AB66" s="169">
        <f>SUMIF(Allocation!C:C,Delivery[[#This Row],[Delivery ID]],Allocation!D:D)/Delivery[[#This Row],[Quantity delivered]]</f>
        <v>4.7151898734177217E-2</v>
      </c>
      <c r="AC66" s="170">
        <f>Delivery[[#This Row],[Quantity delivered]]*Delivery[[#This Row],[Base price (Unidad)]]/60</f>
        <v>137042.64300000001</v>
      </c>
      <c r="AD66" s="171">
        <f>Delivery[[#This Row],[Nespresso total]]-Delivery[[#This Row],[Qt. Delivery * Base Price]]</f>
        <v>12095.988516983954</v>
      </c>
      <c r="AE66" s="171">
        <f>Delivery[[#This Row],[AAA Premium (total)]]/Delivery[[#This Row],[Quantity delivered]]*60/Delivery[[#This Row],[Exchange rate VS USD]]</f>
        <v>6.9975856502242149</v>
      </c>
      <c r="AF66" s="171">
        <f>Delivery[[#This Row],[BEN premium (total)]]/Delivery[[#This Row],[Quantity delivered]]*60/Delivery[[#This Row],[Exchange rate for premiums VS USD]]</f>
        <v>2.1886853999999998</v>
      </c>
      <c r="AG66" s="171">
        <f>COUNTIF(Delivery[Delivery ID],Delivery[[#This Row],[Delivery ID]])</f>
        <v>1</v>
      </c>
      <c r="AH66" s="171">
        <f>(Delivery[[#This Row],[Nespresso total]]/SUMIF(Allocation!C:C,Delivery[Delivery ID],Allocation!H:H))/Delivery[[#This Row],[Exchange rate VS USD]]</f>
        <v>151.13742394870559</v>
      </c>
      <c r="AI66" s="171">
        <f>(Delivery[[#This Row],[AAA Premium (total)]]/SUMIF(Allocation!C:C,Delivery[Delivery ID],Allocation!H:H))/Delivery[[#This Row],[Exchange rate VS USD]]</f>
        <v>7.4957188660028873</v>
      </c>
      <c r="AJ66" s="171">
        <f>Delivery[[#This Row],[Valor Prêmio Nespresso AAA por Kg (em US$)]]*60</f>
        <v>449.74313196017323</v>
      </c>
      <c r="AK66" s="171">
        <f>Delivery[[#This Row],[Valor Prêmio Nespresso AAA por saca (em US$)]]/1.3228/100</f>
        <v>3.3999329600859785</v>
      </c>
      <c r="AL66" s="171">
        <f>(Delivery[[#This Row],[BEN premium (total)]]/SUMIF(Allocation!C:C,Delivery[Delivery ID],Allocation!H:H))/Delivery[[#This Row],[Exchange rate for premiums VS USD]]</f>
        <v>2.3444901233898299</v>
      </c>
      <c r="AM66" s="171">
        <f>Delivery[[#This Row],[Valor Prêmio Nespresso BEN por Kg (em US$)]]*60</f>
        <v>140.66940740338978</v>
      </c>
      <c r="AN66" s="171">
        <f>Delivery[[#This Row],[Valor Prêmio Nespresso BEN por saca (em US$)]]/1.3228/100</f>
        <v>1.06342158605526</v>
      </c>
      <c r="AO66" s="171">
        <f>SUMIF(Allocation[Delivery ID],Delivery[[#This Row],[Delivery ID]],Allocation[Quantity allocated])*16*1.3228*Delivery[[#This Row],[Exchange rate VS USD]]/60</f>
        <v>348.08159200000006</v>
      </c>
      <c r="AP66" s="171">
        <f>Delivery[[#This Row],[AAA Premium (total)]]</f>
        <v>7396.5879839999998</v>
      </c>
      <c r="AQ66" s="171">
        <f>Delivery[[#This Row],[Valor pago pelo Cluster]]-Delivery[[#This Row],[Valor efetivamente pago pela Nespresso]]</f>
        <v>7048.5063919999993</v>
      </c>
    </row>
    <row r="67" spans="1:43" ht="15.75">
      <c r="A67" s="174" t="s">
        <v>69</v>
      </c>
      <c r="B67" s="232" t="s">
        <v>68</v>
      </c>
      <c r="C67" s="157">
        <v>1</v>
      </c>
      <c r="D67" s="157" t="s">
        <v>468</v>
      </c>
      <c r="E67" s="177" t="s">
        <v>468</v>
      </c>
      <c r="F67" s="233" t="s">
        <v>469</v>
      </c>
      <c r="G67" s="234">
        <v>42874</v>
      </c>
      <c r="H67" s="157" t="s">
        <v>539</v>
      </c>
      <c r="I67" s="157" t="s">
        <v>529</v>
      </c>
      <c r="J67" s="237">
        <v>18480</v>
      </c>
      <c r="K67" s="175" t="s">
        <v>61</v>
      </c>
      <c r="L67" s="175" t="s">
        <v>439</v>
      </c>
      <c r="M67" s="175" t="s">
        <v>1343</v>
      </c>
      <c r="N67" s="180"/>
      <c r="O67" s="177"/>
      <c r="P67" s="185">
        <v>0</v>
      </c>
      <c r="Q67" s="177">
        <v>42873</v>
      </c>
      <c r="R67" s="178">
        <v>433.67925000000002</v>
      </c>
      <c r="S67" s="179">
        <v>145362.96995959198</v>
      </c>
      <c r="T67" s="182" t="s">
        <v>45</v>
      </c>
      <c r="U67" s="183">
        <v>3.3450000000000002</v>
      </c>
      <c r="V67" s="179">
        <v>7209.3325919999997</v>
      </c>
      <c r="W67" s="179">
        <v>2254.915020204</v>
      </c>
      <c r="X67" s="186" t="s">
        <v>45</v>
      </c>
      <c r="Y67" s="183">
        <v>3.3450000000000002</v>
      </c>
      <c r="Z67" s="220" t="s">
        <v>473</v>
      </c>
      <c r="AA67" s="172">
        <f>Delivery[[#This Row],[Quantity delivered]]*VLOOKUP(Delivery[[#This Row],[Unit]],Tab_Conversão[],4,FALSE)*VLOOKUP(CONCATENATE(Delivery[[#This Row],[Coffee specie]],Delivery[[#This Row],[Coffee state]]),Tab_Conversão[],4,FALSE)</f>
        <v>18480</v>
      </c>
      <c r="AB67" s="169">
        <f>SUMIF(Allocation!C:C,Delivery[[#This Row],[Delivery ID]],Allocation!D:D)/Delivery[[#This Row],[Quantity delivered]]</f>
        <v>4.707792207792208E-2</v>
      </c>
      <c r="AC67" s="170">
        <f>Delivery[[#This Row],[Quantity delivered]]*Delivery[[#This Row],[Base price (Unidad)]]/60</f>
        <v>133573.209</v>
      </c>
      <c r="AD67" s="171">
        <f>Delivery[[#This Row],[Nespresso total]]-Delivery[[#This Row],[Qt. Delivery * Base Price]]</f>
        <v>11789.760959591978</v>
      </c>
      <c r="AE67" s="171">
        <f>Delivery[[#This Row],[AAA Premium (total)]]/Delivery[[#This Row],[Quantity delivered]]*60/Delivery[[#This Row],[Exchange rate VS USD]]</f>
        <v>6.9975856502242149</v>
      </c>
      <c r="AF67" s="171">
        <f>Delivery[[#This Row],[BEN premium (total)]]/Delivery[[#This Row],[Quantity delivered]]*60/Delivery[[#This Row],[Exchange rate for premiums VS USD]]</f>
        <v>2.1886853999999998</v>
      </c>
      <c r="AG67" s="171">
        <f>COUNTIF(Delivery[Delivery ID],Delivery[[#This Row],[Delivery ID]])</f>
        <v>1</v>
      </c>
      <c r="AH67" s="171">
        <f>(Delivery[[#This Row],[Nespresso total]]/SUMIF(Allocation!C:C,Delivery[Delivery ID],Allocation!H:H))/Delivery[[#This Row],[Exchange rate VS USD]]</f>
        <v>151.41739447778625</v>
      </c>
      <c r="AI67" s="171">
        <f>(Delivery[[#This Row],[AAA Premium (total)]]/SUMIF(Allocation!C:C,Delivery[Delivery ID],Allocation!H:H))/Delivery[[#This Row],[Exchange rate VS USD]]</f>
        <v>7.509604112435742</v>
      </c>
      <c r="AJ67" s="171">
        <f>Delivery[[#This Row],[Valor Prêmio Nespresso AAA por Kg (em US$)]]*60</f>
        <v>450.57624674614453</v>
      </c>
      <c r="AK67" s="171">
        <f>Delivery[[#This Row],[Valor Prêmio Nespresso AAA por saca (em US$)]]/1.3228/100</f>
        <v>3.4062310760972525</v>
      </c>
      <c r="AL67" s="171">
        <f>(Delivery[[#This Row],[BEN premium (total)]]/SUMIF(Allocation!C:C,Delivery[Delivery ID],Allocation!H:H))/Delivery[[#This Row],[Exchange rate for premiums VS USD]]</f>
        <v>2.348833112195122</v>
      </c>
      <c r="AM67" s="171">
        <f>Delivery[[#This Row],[Valor Prêmio Nespresso BEN por Kg (em US$)]]*60</f>
        <v>140.92998673170732</v>
      </c>
      <c r="AN67" s="171">
        <f>Delivery[[#This Row],[Valor Prêmio Nespresso BEN por saca (em US$)]]/1.3228/100</f>
        <v>1.0653914932847544</v>
      </c>
      <c r="AO67" s="171">
        <f>SUMIF(Allocation[Delivery ID],Delivery[[#This Row],[Delivery ID]],Allocation[Quantity allocated])*16*1.3228*Delivery[[#This Row],[Exchange rate VS USD]]/60</f>
        <v>338.64209120000004</v>
      </c>
      <c r="AP67" s="171">
        <f>Delivery[[#This Row],[AAA Premium (total)]]</f>
        <v>7209.3325919999997</v>
      </c>
      <c r="AQ67" s="171">
        <f>Delivery[[#This Row],[Valor pago pelo Cluster]]-Delivery[[#This Row],[Valor efetivamente pago pela Nespresso]]</f>
        <v>6870.6905007999994</v>
      </c>
    </row>
    <row r="68" spans="1:43" ht="15.75">
      <c r="A68" s="174" t="s">
        <v>69</v>
      </c>
      <c r="B68" s="232" t="s">
        <v>68</v>
      </c>
      <c r="C68" s="157">
        <v>1</v>
      </c>
      <c r="D68" s="157" t="s">
        <v>468</v>
      </c>
      <c r="E68" s="177" t="s">
        <v>468</v>
      </c>
      <c r="F68" s="233" t="s">
        <v>469</v>
      </c>
      <c r="G68" s="234">
        <v>42874</v>
      </c>
      <c r="H68" s="157" t="s">
        <v>540</v>
      </c>
      <c r="I68" s="157" t="s">
        <v>529</v>
      </c>
      <c r="J68" s="237">
        <v>21420</v>
      </c>
      <c r="K68" s="175" t="s">
        <v>61</v>
      </c>
      <c r="L68" s="175" t="s">
        <v>439</v>
      </c>
      <c r="M68" s="175" t="s">
        <v>1343</v>
      </c>
      <c r="N68" s="180"/>
      <c r="O68" s="177"/>
      <c r="P68" s="185">
        <v>0</v>
      </c>
      <c r="Q68" s="177">
        <v>42873</v>
      </c>
      <c r="R68" s="178">
        <v>433.67925000000002</v>
      </c>
      <c r="S68" s="179">
        <v>168488.896998618</v>
      </c>
      <c r="T68" s="182" t="s">
        <v>45</v>
      </c>
      <c r="U68" s="183">
        <v>3.3450000000000002</v>
      </c>
      <c r="V68" s="179">
        <v>8356.2718679999998</v>
      </c>
      <c r="W68" s="179">
        <v>2613.6515006909999</v>
      </c>
      <c r="X68" s="186" t="s">
        <v>45</v>
      </c>
      <c r="Y68" s="183">
        <v>3.3450000000000002</v>
      </c>
      <c r="Z68" s="220" t="s">
        <v>473</v>
      </c>
      <c r="AA68" s="172">
        <f>Delivery[[#This Row],[Quantity delivered]]*VLOOKUP(Delivery[[#This Row],[Unit]],Tab_Conversão[],4,FALSE)*VLOOKUP(CONCATENATE(Delivery[[#This Row],[Coffee specie]],Delivery[[#This Row],[Coffee state]]),Tab_Conversão[],4,FALSE)</f>
        <v>21420</v>
      </c>
      <c r="AB68" s="169">
        <f>SUMIF(Allocation!C:C,Delivery[[#This Row],[Delivery ID]],Allocation!D:D)/Delivery[[#This Row],[Quantity delivered]]</f>
        <v>4.7105508870214752E-2</v>
      </c>
      <c r="AC68" s="170">
        <f>Delivery[[#This Row],[Quantity delivered]]*Delivery[[#This Row],[Base price (Unidad)]]/60</f>
        <v>154823.49225000001</v>
      </c>
      <c r="AD68" s="171">
        <f>Delivery[[#This Row],[Nespresso total]]-Delivery[[#This Row],[Qt. Delivery * Base Price]]</f>
        <v>13665.404748617992</v>
      </c>
      <c r="AE68" s="171">
        <f>Delivery[[#This Row],[AAA Premium (total)]]/Delivery[[#This Row],[Quantity delivered]]*60/Delivery[[#This Row],[Exchange rate VS USD]]</f>
        <v>6.9975856502242149</v>
      </c>
      <c r="AF68" s="171">
        <f>Delivery[[#This Row],[BEN premium (total)]]/Delivery[[#This Row],[Quantity delivered]]*60/Delivery[[#This Row],[Exchange rate for premiums VS USD]]</f>
        <v>2.1886853999999998</v>
      </c>
      <c r="AG68" s="171">
        <f>COUNTIF(Delivery[Delivery ID],Delivery[[#This Row],[Delivery ID]])</f>
        <v>1</v>
      </c>
      <c r="AH68" s="171">
        <f>(Delivery[[#This Row],[Nespresso total]]/SUMIF(Allocation!C:C,Delivery[Delivery ID],Allocation!H:H))/Delivery[[#This Row],[Exchange rate VS USD]]</f>
        <v>151.26238076517592</v>
      </c>
      <c r="AI68" s="171">
        <f>(Delivery[[#This Row],[AAA Premium (total)]]/SUMIF(Allocation!C:C,Delivery[Delivery ID],Allocation!H:H))/Delivery[[#This Row],[Exchange rate VS USD]]</f>
        <v>7.5019161475376714</v>
      </c>
      <c r="AJ68" s="171">
        <f>Delivery[[#This Row],[Valor Prêmio Nespresso AAA por Kg (em US$)]]*60</f>
        <v>450.11496885226029</v>
      </c>
      <c r="AK68" s="171">
        <f>Delivery[[#This Row],[Valor Prêmio Nespresso AAA por saca (em US$)]]/1.3228/100</f>
        <v>3.4027439435459654</v>
      </c>
      <c r="AL68" s="171">
        <f>(Delivery[[#This Row],[BEN premium (total)]]/SUMIF(Allocation!C:C,Delivery[Delivery ID],Allocation!H:H))/Delivery[[#This Row],[Exchange rate for premiums VS USD]]</f>
        <v>2.3464284918918916</v>
      </c>
      <c r="AM68" s="171">
        <f>Delivery[[#This Row],[Valor Prêmio Nespresso BEN por Kg (em US$)]]*60</f>
        <v>140.7857095135135</v>
      </c>
      <c r="AN68" s="171">
        <f>Delivery[[#This Row],[Valor Prêmio Nespresso BEN por saca (em US$)]]/1.3228/100</f>
        <v>1.0643007976528083</v>
      </c>
      <c r="AO68" s="171">
        <f>SUMIF(Allocation[Delivery ID],Delivery[[#This Row],[Delivery ID]],Allocation[Quantity allocated])*16*1.3228*Delivery[[#This Row],[Exchange rate VS USD]]/60</f>
        <v>392.91922080000001</v>
      </c>
      <c r="AP68" s="171">
        <f>Delivery[[#This Row],[AAA Premium (total)]]</f>
        <v>8356.2718679999998</v>
      </c>
      <c r="AQ68" s="171">
        <f>Delivery[[#This Row],[Valor pago pelo Cluster]]-Delivery[[#This Row],[Valor efetivamente pago pela Nespresso]]</f>
        <v>7963.3526471999994</v>
      </c>
    </row>
    <row r="69" spans="1:43" ht="15.75">
      <c r="A69" s="174" t="s">
        <v>69</v>
      </c>
      <c r="B69" s="232" t="s">
        <v>68</v>
      </c>
      <c r="C69" s="157">
        <v>1</v>
      </c>
      <c r="D69" s="157" t="s">
        <v>468</v>
      </c>
      <c r="E69" s="177" t="s">
        <v>468</v>
      </c>
      <c r="F69" s="233" t="s">
        <v>541</v>
      </c>
      <c r="G69" s="234">
        <v>43162</v>
      </c>
      <c r="H69" s="157" t="s">
        <v>542</v>
      </c>
      <c r="I69" s="157" t="s">
        <v>477</v>
      </c>
      <c r="J69" s="237">
        <v>14470</v>
      </c>
      <c r="K69" s="175" t="s">
        <v>61</v>
      </c>
      <c r="L69" s="175" t="s">
        <v>439</v>
      </c>
      <c r="M69" s="175" t="s">
        <v>1343</v>
      </c>
      <c r="N69" s="180"/>
      <c r="O69" s="177"/>
      <c r="P69" s="185">
        <v>0</v>
      </c>
      <c r="Q69" s="177">
        <v>43160</v>
      </c>
      <c r="R69" s="178">
        <v>404.65954709335347</v>
      </c>
      <c r="S69" s="179">
        <v>101340.45154328004</v>
      </c>
      <c r="T69" s="182" t="s">
        <v>45</v>
      </c>
      <c r="U69" s="183">
        <v>3.2646999359130859</v>
      </c>
      <c r="V69" s="179">
        <v>5511.357608477274</v>
      </c>
      <c r="W69" s="179">
        <v>1723.232561693304</v>
      </c>
      <c r="X69" s="186" t="s">
        <v>45</v>
      </c>
      <c r="Y69" s="183">
        <v>3.2646999359130859</v>
      </c>
      <c r="Z69" s="220" t="s">
        <v>473</v>
      </c>
      <c r="AA69" s="172">
        <f>Delivery[[#This Row],[Quantity delivered]]*VLOOKUP(Delivery[[#This Row],[Unit]],Tab_Conversão[],4,FALSE)*VLOOKUP(CONCATENATE(Delivery[[#This Row],[Coffee specie]],Delivery[[#This Row],[Coffee state]]),Tab_Conversão[],4,FALSE)</f>
        <v>14470</v>
      </c>
      <c r="AB69" s="169">
        <f>SUMIF(Allocation!C:C,Delivery[[#This Row],[Delivery ID]],Allocation!D:D)/Delivery[[#This Row],[Quantity delivered]]</f>
        <v>1.2370421561852108E-2</v>
      </c>
      <c r="AC69" s="170">
        <f>Delivery[[#This Row],[Quantity delivered]]*Delivery[[#This Row],[Base price (Unidad)]]/60</f>
        <v>97590.394107347078</v>
      </c>
      <c r="AD69" s="171">
        <f>Delivery[[#This Row],[Nespresso total]]-Delivery[[#This Row],[Qt. Delivery * Base Price]]</f>
        <v>3750.0574359329621</v>
      </c>
      <c r="AE69" s="171">
        <f>Delivery[[#This Row],[AAA Premium (total)]]/Delivery[[#This Row],[Quantity delivered]]*60/Delivery[[#This Row],[Exchange rate VS USD]]</f>
        <v>7</v>
      </c>
      <c r="AF69" s="171">
        <f>Delivery[[#This Row],[BEN premium (total)]]/Delivery[[#This Row],[Quantity delivered]]*60/Delivery[[#This Row],[Exchange rate for premiums VS USD]]</f>
        <v>2.1886853999999998</v>
      </c>
      <c r="AG69" s="171">
        <f>COUNTIF(Delivery[Delivery ID],Delivery[[#This Row],[Delivery ID]])</f>
        <v>1</v>
      </c>
      <c r="AH69" s="171">
        <f>(Delivery[[#This Row],[Nespresso total]]/SUMIF(Allocation!C:C,Delivery[Delivery ID],Allocation!H:H))/Delivery[[#This Row],[Exchange rate VS USD]]</f>
        <v>526.12332086795743</v>
      </c>
      <c r="AI69" s="171">
        <f>(Delivery[[#This Row],[AAA Premium (total)]]/SUMIF(Allocation!C:C,Delivery[Delivery ID],Allocation!H:H))/Delivery[[#This Row],[Exchange rate VS USD]]</f>
        <v>28.612994350282484</v>
      </c>
      <c r="AJ69" s="171">
        <f>Delivery[[#This Row],[Valor Prêmio Nespresso AAA por Kg (em US$)]]*60</f>
        <v>1716.7796610169491</v>
      </c>
      <c r="AK69" s="171">
        <f>Delivery[[#This Row],[Valor Prêmio Nespresso AAA por saca (em US$)]]/1.3228/100</f>
        <v>12.97837663302804</v>
      </c>
      <c r="AL69" s="171">
        <f>(Delivery[[#This Row],[BEN premium (total)]]/SUMIF(Allocation!C:C,Delivery[Delivery ID],Allocation!H:H))/Delivery[[#This Row],[Exchange rate for premiums VS USD]]</f>
        <v>8.9464061406779667</v>
      </c>
      <c r="AM69" s="171">
        <f>Delivery[[#This Row],[Valor Prêmio Nespresso BEN por Kg (em US$)]]*60</f>
        <v>536.78436844067801</v>
      </c>
      <c r="AN69" s="171">
        <f>Delivery[[#This Row],[Valor Prêmio Nespresso BEN por saca (em US$)]]/1.3228/100</f>
        <v>4.0579404932013761</v>
      </c>
      <c r="AO69" s="171">
        <f>SUMIF(Allocation[Delivery ID],Delivery[[#This Row],[Delivery ID]],Allocation[Quantity allocated])*16*1.3228*Delivery[[#This Row],[Exchange rate VS USD]]/60</f>
        <v>67.945109183553058</v>
      </c>
      <c r="AP69" s="171">
        <f>Delivery[[#This Row],[AAA Premium (total)]]</f>
        <v>5511.357608477274</v>
      </c>
      <c r="AQ69" s="171">
        <f>Delivery[[#This Row],[Valor pago pelo Cluster]]-Delivery[[#This Row],[Valor efetivamente pago pela Nespresso]]</f>
        <v>5443.4124992937213</v>
      </c>
    </row>
    <row r="70" spans="1:43" ht="15.75">
      <c r="A70" s="174" t="s">
        <v>69</v>
      </c>
      <c r="B70" s="232" t="s">
        <v>68</v>
      </c>
      <c r="C70" s="157">
        <v>1</v>
      </c>
      <c r="D70" s="157" t="s">
        <v>468</v>
      </c>
      <c r="E70" s="177" t="s">
        <v>468</v>
      </c>
      <c r="F70" s="233" t="s">
        <v>543</v>
      </c>
      <c r="G70" s="234">
        <v>43277</v>
      </c>
      <c r="H70" s="235" t="s">
        <v>1979</v>
      </c>
      <c r="I70" s="236" t="s">
        <v>1394</v>
      </c>
      <c r="J70" s="237">
        <v>19930</v>
      </c>
      <c r="K70" s="175" t="s">
        <v>61</v>
      </c>
      <c r="L70" s="175" t="s">
        <v>439</v>
      </c>
      <c r="M70" s="175" t="s">
        <v>1343</v>
      </c>
      <c r="N70" s="180"/>
      <c r="O70" s="177"/>
      <c r="P70" s="185">
        <v>0</v>
      </c>
      <c r="Q70" s="177">
        <v>43273</v>
      </c>
      <c r="R70" s="178">
        <v>441.01844999999997</v>
      </c>
      <c r="S70" s="179">
        <v>156005.47</v>
      </c>
      <c r="T70" s="182" t="s">
        <v>45</v>
      </c>
      <c r="U70" s="183">
        <v>3.7709999999999999</v>
      </c>
      <c r="V70" s="179">
        <v>12519.72</v>
      </c>
      <c r="W70" s="179">
        <v>0</v>
      </c>
      <c r="X70" s="186" t="s">
        <v>45</v>
      </c>
      <c r="Y70" s="183">
        <v>3.7709999999999999</v>
      </c>
      <c r="Z70" s="220"/>
      <c r="AA70" s="172">
        <f>Delivery[[#This Row],[Quantity delivered]]*VLOOKUP(Delivery[[#This Row],[Unit]],Tab_Conversão[],4,FALSE)*VLOOKUP(CONCATENATE(Delivery[[#This Row],[Coffee specie]],Delivery[[#This Row],[Coffee state]]),Tab_Conversão[],4,FALSE)</f>
        <v>19930</v>
      </c>
      <c r="AB70" s="169">
        <f>SUMIF(Allocation!C:C,Delivery[[#This Row],[Delivery ID]],Allocation!D:D)/Delivery[[#This Row],[Quantity delivered]]</f>
        <v>0.13682890115403915</v>
      </c>
      <c r="AC70" s="170">
        <f>Delivery[[#This Row],[Quantity delivered]]*Delivery[[#This Row],[Base price (Unidad)]]/60</f>
        <v>146491.628475</v>
      </c>
      <c r="AD70" s="171">
        <f>Delivery[[#This Row],[Nespresso total]]-Delivery[[#This Row],[Qt. Delivery * Base Price]]</f>
        <v>9513.8415249999962</v>
      </c>
      <c r="AE70" s="171">
        <f>Delivery[[#This Row],[AAA Premium (total)]]/Delivery[[#This Row],[Quantity delivered]]*60/Delivery[[#This Row],[Exchange rate VS USD]]</f>
        <v>9.9949824385348727</v>
      </c>
      <c r="AF70" s="171">
        <f>Delivery[[#This Row],[BEN premium (total)]]/Delivery[[#This Row],[Quantity delivered]]*60/Delivery[[#This Row],[Exchange rate for premiums VS USD]]</f>
        <v>0</v>
      </c>
      <c r="AG70" s="171">
        <f>COUNTIF(Delivery[Delivery ID],Delivery[[#This Row],[Delivery ID]])</f>
        <v>1</v>
      </c>
      <c r="AH70" s="171">
        <f>(Delivery[[#This Row],[Nespresso total]]/SUMIF(Allocation!C:C,Delivery[Delivery ID],Allocation!H:H))/Delivery[[#This Row],[Exchange rate VS USD]]</f>
        <v>34.474823212233716</v>
      </c>
      <c r="AI70" s="171">
        <f>(Delivery[[#This Row],[AAA Premium (total)]]/SUMIF(Allocation!C:C,Delivery[Delivery ID],Allocation!H:H))/Delivery[[#This Row],[Exchange rate VS USD]]</f>
        <v>2.7666666666666666</v>
      </c>
      <c r="AJ70" s="171">
        <f>Delivery[[#This Row],[Valor Prêmio Nespresso AAA por Kg (em US$)]]*60</f>
        <v>166</v>
      </c>
      <c r="AK70" s="171">
        <f>Delivery[[#This Row],[Valor Prêmio Nespresso AAA por saca (em US$)]]/1.3228/100</f>
        <v>1.2549138191714544</v>
      </c>
      <c r="AL70" s="171">
        <f>(Delivery[[#This Row],[BEN premium (total)]]/SUMIF(Allocation!C:C,Delivery[Delivery ID],Allocation!H:H))/Delivery[[#This Row],[Exchange rate for premiums VS USD]]</f>
        <v>0</v>
      </c>
      <c r="AM70" s="171">
        <f>Delivery[[#This Row],[Valor Prêmio Nespresso BEN por Kg (em US$)]]*60</f>
        <v>0</v>
      </c>
      <c r="AN70" s="171">
        <f>Delivery[[#This Row],[Valor Prêmio Nespresso BEN por saca (em US$)]]/1.3228/100</f>
        <v>0</v>
      </c>
      <c r="AO70" s="171">
        <f>SUMIF(Allocation[Delivery ID],Delivery[[#This Row],[Delivery ID]],Allocation[Quantity allocated])*16*1.3228*Delivery[[#This Row],[Exchange rate VS USD]]/60</f>
        <v>1596.2492159999999</v>
      </c>
      <c r="AP70" s="171">
        <f>Delivery[[#This Row],[AAA Premium (total)]]</f>
        <v>12519.72</v>
      </c>
      <c r="AQ70" s="171">
        <f>Delivery[[#This Row],[Valor pago pelo Cluster]]-Delivery[[#This Row],[Valor efetivamente pago pela Nespresso]]</f>
        <v>10923.470783999999</v>
      </c>
    </row>
    <row r="71" spans="1:43" ht="15.75">
      <c r="A71" s="174" t="s">
        <v>69</v>
      </c>
      <c r="B71" s="232" t="s">
        <v>68</v>
      </c>
      <c r="C71" s="157" t="s">
        <v>1344</v>
      </c>
      <c r="D71" s="157" t="s">
        <v>468</v>
      </c>
      <c r="E71" s="177" t="s">
        <v>468</v>
      </c>
      <c r="F71" s="233" t="s">
        <v>543</v>
      </c>
      <c r="G71" s="234">
        <v>43277</v>
      </c>
      <c r="H71" s="157" t="s">
        <v>1345</v>
      </c>
      <c r="I71" s="157" t="s">
        <v>1346</v>
      </c>
      <c r="J71" s="237">
        <v>9040</v>
      </c>
      <c r="K71" s="175" t="s">
        <v>61</v>
      </c>
      <c r="L71" s="175" t="s">
        <v>439</v>
      </c>
      <c r="M71" s="175" t="s">
        <v>1343</v>
      </c>
      <c r="N71" s="180"/>
      <c r="O71" s="177"/>
      <c r="P71" s="185">
        <v>0</v>
      </c>
      <c r="Q71" s="177">
        <v>43276</v>
      </c>
      <c r="R71" s="178">
        <v>441.95580000000001</v>
      </c>
      <c r="S71" s="179">
        <v>68709.42</v>
      </c>
      <c r="T71" s="182" t="s">
        <v>45</v>
      </c>
      <c r="U71" s="183">
        <v>3.7774000000000001</v>
      </c>
      <c r="V71" s="179">
        <v>3983.63</v>
      </c>
      <c r="W71" s="179">
        <v>0</v>
      </c>
      <c r="X71" s="186" t="s">
        <v>45</v>
      </c>
      <c r="Y71" s="183">
        <v>3.7774000000000001</v>
      </c>
      <c r="Z71" s="220"/>
      <c r="AA71" s="172">
        <f>Delivery[[#This Row],[Quantity delivered]]*VLOOKUP(Delivery[[#This Row],[Unit]],Tab_Conversão[],4,FALSE)*VLOOKUP(CONCATENATE(Delivery[[#This Row],[Coffee specie]],Delivery[[#This Row],[Coffee state]]),Tab_Conversão[],4,FALSE)</f>
        <v>9040</v>
      </c>
      <c r="AB71" s="169">
        <f>SUMIF(Allocation!C:C,Delivery[[#This Row],[Delivery ID]],Allocation!D:D)/Delivery[[#This Row],[Quantity delivered]]</f>
        <v>0.89601769911504425</v>
      </c>
      <c r="AC71" s="170">
        <f>Delivery[[#This Row],[Quantity delivered]]*Delivery[[#This Row],[Base price (Unidad)]]/60</f>
        <v>66588.007200000007</v>
      </c>
      <c r="AD71" s="171">
        <f>Delivery[[#This Row],[Nespresso total]]-Delivery[[#This Row],[Qt. Delivery * Base Price]]</f>
        <v>2121.412799999991</v>
      </c>
      <c r="AE71" s="171">
        <f>Delivery[[#This Row],[AAA Premium (total)]]/Delivery[[#This Row],[Quantity delivered]]*60/Delivery[[#This Row],[Exchange rate VS USD]]</f>
        <v>6.9995293386704622</v>
      </c>
      <c r="AF71" s="171">
        <f>Delivery[[#This Row],[BEN premium (total)]]/Delivery[[#This Row],[Quantity delivered]]*60/Delivery[[#This Row],[Exchange rate for premiums VS USD]]</f>
        <v>0</v>
      </c>
      <c r="AG71" s="171">
        <f>COUNTIF(Delivery[Delivery ID],Delivery[[#This Row],[Delivery ID]])</f>
        <v>1</v>
      </c>
      <c r="AH71" s="171">
        <f>(Delivery[[#This Row],[Nespresso total]]/SUMIF(Allocation!C:C,Delivery[Delivery ID],Allocation!H:H))/Delivery[[#This Row],[Exchange rate VS USD]]</f>
        <v>7.485434817991603</v>
      </c>
      <c r="AI71" s="171">
        <f>(Delivery[[#This Row],[AAA Premium (total)]]/SUMIF(Allocation!C:C,Delivery[Delivery ID],Allocation!H:H))/Delivery[[#This Row],[Exchange rate VS USD]]</f>
        <v>0.43399002209589155</v>
      </c>
      <c r="AJ71" s="171">
        <f>Delivery[[#This Row],[Valor Prêmio Nespresso AAA por Kg (em US$)]]*60</f>
        <v>26.039401325753492</v>
      </c>
      <c r="AK71" s="171">
        <f>Delivery[[#This Row],[Valor Prêmio Nespresso AAA por saca (em US$)]]/1.3228/100</f>
        <v>0.19685062991951535</v>
      </c>
      <c r="AL71" s="171">
        <f>(Delivery[[#This Row],[BEN premium (total)]]/SUMIF(Allocation!C:C,Delivery[Delivery ID],Allocation!H:H))/Delivery[[#This Row],[Exchange rate for premiums VS USD]]</f>
        <v>0</v>
      </c>
      <c r="AM71" s="171">
        <f>Delivery[[#This Row],[Valor Prêmio Nespresso BEN por Kg (em US$)]]*60</f>
        <v>0</v>
      </c>
      <c r="AN71" s="171">
        <f>Delivery[[#This Row],[Valor Prêmio Nespresso BEN por saca (em US$)]]/1.3228/100</f>
        <v>0</v>
      </c>
      <c r="AO71" s="171">
        <f>SUMIF(Allocation[Delivery ID],Delivery[[#This Row],[Delivery ID]],Allocation[Quantity allocated])*16*1.3228*Delivery[[#This Row],[Exchange rate VS USD]]/60</f>
        <v>3237.89057856</v>
      </c>
      <c r="AP71" s="171">
        <f>Delivery[[#This Row],[AAA Premium (total)]]</f>
        <v>3983.63</v>
      </c>
      <c r="AQ71" s="171">
        <f>Delivery[[#This Row],[Valor pago pelo Cluster]]-Delivery[[#This Row],[Valor efetivamente pago pela Nespresso]]</f>
        <v>745.73942144000011</v>
      </c>
    </row>
    <row r="72" spans="1:43" ht="15.75">
      <c r="A72" s="174" t="s">
        <v>69</v>
      </c>
      <c r="B72" s="232" t="s">
        <v>68</v>
      </c>
      <c r="C72" s="157" t="s">
        <v>1344</v>
      </c>
      <c r="D72" s="157" t="s">
        <v>468</v>
      </c>
      <c r="E72" s="177" t="s">
        <v>468</v>
      </c>
      <c r="F72" s="233" t="s">
        <v>543</v>
      </c>
      <c r="G72" s="234">
        <v>43277</v>
      </c>
      <c r="H72" s="157" t="s">
        <v>1347</v>
      </c>
      <c r="I72" s="157" t="s">
        <v>1348</v>
      </c>
      <c r="J72" s="237">
        <v>8550</v>
      </c>
      <c r="K72" s="175" t="s">
        <v>61</v>
      </c>
      <c r="L72" s="175" t="s">
        <v>439</v>
      </c>
      <c r="M72" s="175" t="s">
        <v>1343</v>
      </c>
      <c r="N72" s="180"/>
      <c r="O72" s="177"/>
      <c r="P72" s="185">
        <v>0</v>
      </c>
      <c r="Q72" s="177">
        <v>43273</v>
      </c>
      <c r="R72" s="178">
        <v>440.51670000000001</v>
      </c>
      <c r="S72" s="179">
        <v>64281.47</v>
      </c>
      <c r="T72" s="182" t="s">
        <v>45</v>
      </c>
      <c r="U72" s="183">
        <v>3.7650999999999999</v>
      </c>
      <c r="V72" s="179">
        <v>3756.3</v>
      </c>
      <c r="W72" s="179">
        <v>0</v>
      </c>
      <c r="X72" s="186" t="s">
        <v>45</v>
      </c>
      <c r="Y72" s="183">
        <v>3.7650999999999999</v>
      </c>
      <c r="Z72" s="220"/>
      <c r="AA72" s="172">
        <f>Delivery[[#This Row],[Quantity delivered]]*VLOOKUP(Delivery[[#This Row],[Unit]],Tab_Conversão[],4,FALSE)*VLOOKUP(CONCATENATE(Delivery[[#This Row],[Coffee specie]],Delivery[[#This Row],[Coffee state]]),Tab_Conversão[],4,FALSE)</f>
        <v>8550</v>
      </c>
      <c r="AB72" s="169">
        <f>SUMIF(Allocation!C:C,Delivery[[#This Row],[Delivery ID]],Allocation!D:D)/Delivery[[#This Row],[Quantity delivered]]</f>
        <v>0.81274853801169589</v>
      </c>
      <c r="AC72" s="170">
        <f>Delivery[[#This Row],[Quantity delivered]]*Delivery[[#This Row],[Base price (Unidad)]]/60</f>
        <v>62773.62975</v>
      </c>
      <c r="AD72" s="171">
        <f>Delivery[[#This Row],[Nespresso total]]-Delivery[[#This Row],[Qt. Delivery * Base Price]]</f>
        <v>1507.8402500000011</v>
      </c>
      <c r="AE72" s="171">
        <f>Delivery[[#This Row],[AAA Premium (total)]]/Delivery[[#This Row],[Quantity delivered]]*60/Delivery[[#This Row],[Exchange rate VS USD]]</f>
        <v>7.0011420679397629</v>
      </c>
      <c r="AF72" s="171">
        <f>Delivery[[#This Row],[BEN premium (total)]]/Delivery[[#This Row],[Quantity delivered]]*60/Delivery[[#This Row],[Exchange rate for premiums VS USD]]</f>
        <v>0</v>
      </c>
      <c r="AG72" s="171">
        <f>COUNTIF(Delivery[Delivery ID],Delivery[[#This Row],[Delivery ID]])</f>
        <v>1</v>
      </c>
      <c r="AH72" s="171">
        <f>(Delivery[[#This Row],[Nespresso total]]/SUMIF(Allocation!C:C,Delivery[Delivery ID],Allocation!H:H))/Delivery[[#This Row],[Exchange rate VS USD]]</f>
        <v>7.4456947847147088</v>
      </c>
      <c r="AI72" s="171">
        <f>(Delivery[[#This Row],[AAA Premium (total)]]/SUMIF(Allocation!C:C,Delivery[Delivery ID],Allocation!H:H))/Delivery[[#This Row],[Exchange rate VS USD]]</f>
        <v>0.43509059951217455</v>
      </c>
      <c r="AJ72" s="171">
        <f>Delivery[[#This Row],[Valor Prêmio Nespresso AAA por Kg (em US$)]]*60</f>
        <v>26.105435970730472</v>
      </c>
      <c r="AK72" s="171">
        <f>Delivery[[#This Row],[Valor Prêmio Nespresso AAA por saca (em US$)]]/1.3228/100</f>
        <v>0.19734983346485088</v>
      </c>
      <c r="AL72" s="171">
        <f>(Delivery[[#This Row],[BEN premium (total)]]/SUMIF(Allocation!C:C,Delivery[Delivery ID],Allocation!H:H))/Delivery[[#This Row],[Exchange rate for premiums VS USD]]</f>
        <v>0</v>
      </c>
      <c r="AM72" s="171">
        <f>Delivery[[#This Row],[Valor Prêmio Nespresso BEN por Kg (em US$)]]*60</f>
        <v>0</v>
      </c>
      <c r="AN72" s="171">
        <f>Delivery[[#This Row],[Valor Prêmio Nespresso BEN por saca (em US$)]]/1.3228/100</f>
        <v>0</v>
      </c>
      <c r="AO72" s="171">
        <f>SUMIF(Allocation[Delivery ID],Delivery[[#This Row],[Delivery ID]],Allocation[Quantity allocated])*16*1.3228*Delivery[[#This Row],[Exchange rate VS USD]]/60</f>
        <v>3045.3940064106664</v>
      </c>
      <c r="AP72" s="171">
        <f>Delivery[[#This Row],[AAA Premium (total)]]</f>
        <v>3756.3</v>
      </c>
      <c r="AQ72" s="171">
        <f>Delivery[[#This Row],[Valor pago pelo Cluster]]-Delivery[[#This Row],[Valor efetivamente pago pela Nespresso]]</f>
        <v>710.90599358933378</v>
      </c>
    </row>
    <row r="73" spans="1:43" ht="15.75">
      <c r="A73" s="174" t="s">
        <v>69</v>
      </c>
      <c r="B73" s="232" t="s">
        <v>68</v>
      </c>
      <c r="C73" s="157" t="s">
        <v>1344</v>
      </c>
      <c r="D73" s="157" t="s">
        <v>468</v>
      </c>
      <c r="E73" s="177" t="s">
        <v>468</v>
      </c>
      <c r="F73" s="233" t="s">
        <v>543</v>
      </c>
      <c r="G73" s="234">
        <v>43278</v>
      </c>
      <c r="H73" s="157" t="s">
        <v>1349</v>
      </c>
      <c r="I73" s="157" t="s">
        <v>1350</v>
      </c>
      <c r="J73" s="237">
        <v>16500</v>
      </c>
      <c r="K73" s="175" t="s">
        <v>61</v>
      </c>
      <c r="L73" s="175" t="s">
        <v>439</v>
      </c>
      <c r="M73" s="175" t="s">
        <v>1343</v>
      </c>
      <c r="N73" s="180"/>
      <c r="O73" s="177"/>
      <c r="P73" s="185">
        <v>0</v>
      </c>
      <c r="Q73" s="177">
        <v>43277</v>
      </c>
      <c r="R73" s="178">
        <v>445.24535999999995</v>
      </c>
      <c r="S73" s="179">
        <v>122630.75</v>
      </c>
      <c r="T73" s="182" t="s">
        <v>45</v>
      </c>
      <c r="U73" s="183">
        <v>3.7860999999999998</v>
      </c>
      <c r="V73" s="179">
        <v>7286.9224999999997</v>
      </c>
      <c r="W73" s="179">
        <v>0</v>
      </c>
      <c r="X73" s="186" t="s">
        <v>45</v>
      </c>
      <c r="Y73" s="183">
        <v>3.7860999999999998</v>
      </c>
      <c r="Z73" s="220"/>
      <c r="AA73" s="172">
        <f>Delivery[[#This Row],[Quantity delivered]]*VLOOKUP(Delivery[[#This Row],[Unit]],Tab_Conversão[],4,FALSE)*VLOOKUP(CONCATENATE(Delivery[[#This Row],[Coffee specie]],Delivery[[#This Row],[Coffee state]]),Tab_Conversão[],4,FALSE)</f>
        <v>16500</v>
      </c>
      <c r="AB73" s="169">
        <f>SUMIF(Allocation!C:C,Delivery[[#This Row],[Delivery ID]],Allocation!D:D)/Delivery[[#This Row],[Quantity delivered]]</f>
        <v>0.56406060606060604</v>
      </c>
      <c r="AC73" s="170">
        <f>Delivery[[#This Row],[Quantity delivered]]*Delivery[[#This Row],[Base price (Unidad)]]/60</f>
        <v>122442.47399999999</v>
      </c>
      <c r="AD73" s="171">
        <f>Delivery[[#This Row],[Nespresso total]]-Delivery[[#This Row],[Qt. Delivery * Base Price]]</f>
        <v>188.27600000001257</v>
      </c>
      <c r="AE73" s="171">
        <f>Delivery[[#This Row],[AAA Premium (total)]]/Delivery[[#This Row],[Quantity delivered]]*60/Delivery[[#This Row],[Exchange rate VS USD]]</f>
        <v>6.9987322046433</v>
      </c>
      <c r="AF73" s="171">
        <f>Delivery[[#This Row],[BEN premium (total)]]/Delivery[[#This Row],[Quantity delivered]]*60/Delivery[[#This Row],[Exchange rate for premiums VS USD]]</f>
        <v>0</v>
      </c>
      <c r="AG73" s="171">
        <f>COUNTIF(Delivery[Delivery ID],Delivery[[#This Row],[Delivery ID]])</f>
        <v>1</v>
      </c>
      <c r="AH73" s="171">
        <f>(Delivery[[#This Row],[Nespresso total]]/SUMIF(Allocation!C:C,Delivery[Delivery ID],Allocation!H:H))/Delivery[[#This Row],[Exchange rate VS USD]]</f>
        <v>11.600905521622639</v>
      </c>
      <c r="AI73" s="171">
        <f>(Delivery[[#This Row],[AAA Premium (total)]]/SUMIF(Allocation!C:C,Delivery[Delivery ID],Allocation!H:H))/Delivery[[#This Row],[Exchange rate VS USD]]</f>
        <v>0.68934504164645694</v>
      </c>
      <c r="AJ73" s="171">
        <f>Delivery[[#This Row],[Valor Prêmio Nespresso AAA por Kg (em US$)]]*60</f>
        <v>41.360702498787418</v>
      </c>
      <c r="AK73" s="171">
        <f>Delivery[[#This Row],[Valor Prêmio Nespresso AAA por saca (em US$)]]/1.3228/100</f>
        <v>0.31267540443594966</v>
      </c>
      <c r="AL73" s="171">
        <f>(Delivery[[#This Row],[BEN premium (total)]]/SUMIF(Allocation!C:C,Delivery[Delivery ID],Allocation!H:H))/Delivery[[#This Row],[Exchange rate for premiums VS USD]]</f>
        <v>0</v>
      </c>
      <c r="AM73" s="171">
        <f>Delivery[[#This Row],[Valor Prêmio Nespresso BEN por Kg (em US$)]]*60</f>
        <v>0</v>
      </c>
      <c r="AN73" s="171">
        <f>Delivery[[#This Row],[Valor Prêmio Nespresso BEN por saca (em US$)]]/1.3228/100</f>
        <v>0</v>
      </c>
      <c r="AO73" s="171">
        <f>SUMIF(Allocation[Delivery ID],Delivery[[#This Row],[Delivery ID]],Allocation[Quantity allocated])*16*1.3228*Delivery[[#This Row],[Exchange rate VS USD]]/60</f>
        <v>3728.811359829333</v>
      </c>
      <c r="AP73" s="171">
        <f>Delivery[[#This Row],[AAA Premium (total)]]</f>
        <v>7286.9224999999997</v>
      </c>
      <c r="AQ73" s="171">
        <f>Delivery[[#This Row],[Valor pago pelo Cluster]]-Delivery[[#This Row],[Valor efetivamente pago pela Nespresso]]</f>
        <v>3558.1111401706667</v>
      </c>
    </row>
    <row r="74" spans="1:43" ht="15.75">
      <c r="A74" s="174" t="s">
        <v>69</v>
      </c>
      <c r="B74" s="232" t="s">
        <v>68</v>
      </c>
      <c r="C74" s="157">
        <v>1</v>
      </c>
      <c r="D74" s="157" t="s">
        <v>468</v>
      </c>
      <c r="E74" s="177" t="s">
        <v>468</v>
      </c>
      <c r="F74" s="233" t="s">
        <v>543</v>
      </c>
      <c r="G74" s="234">
        <v>43278</v>
      </c>
      <c r="H74" s="235" t="s">
        <v>1980</v>
      </c>
      <c r="I74" s="236" t="s">
        <v>1394</v>
      </c>
      <c r="J74" s="237">
        <v>15750</v>
      </c>
      <c r="K74" s="175" t="s">
        <v>61</v>
      </c>
      <c r="L74" s="175" t="s">
        <v>439</v>
      </c>
      <c r="M74" s="175" t="s">
        <v>1343</v>
      </c>
      <c r="N74" s="180"/>
      <c r="O74" s="177"/>
      <c r="P74" s="185">
        <v>0</v>
      </c>
      <c r="Q74" s="177">
        <v>43277</v>
      </c>
      <c r="R74" s="178">
        <v>446.77178000000004</v>
      </c>
      <c r="S74" s="179">
        <v>122247.66</v>
      </c>
      <c r="T74" s="182" t="s">
        <v>45</v>
      </c>
      <c r="U74" s="183">
        <v>3.7766000000000002</v>
      </c>
      <c r="V74" s="179">
        <v>9933.51</v>
      </c>
      <c r="W74" s="179">
        <v>0</v>
      </c>
      <c r="X74" s="186" t="s">
        <v>45</v>
      </c>
      <c r="Y74" s="183">
        <v>3.7766000000000002</v>
      </c>
      <c r="Z74" s="220"/>
      <c r="AA74" s="172">
        <f>Delivery[[#This Row],[Quantity delivered]]*VLOOKUP(Delivery[[#This Row],[Unit]],Tab_Conversão[],4,FALSE)*VLOOKUP(CONCATENATE(Delivery[[#This Row],[Coffee specie]],Delivery[[#This Row],[Coffee state]]),Tab_Conversão[],4,FALSE)</f>
        <v>15750</v>
      </c>
      <c r="AB74" s="169">
        <f>SUMIF(Allocation!C:C,Delivery[[#This Row],[Delivery ID]],Allocation!D:D)/Delivery[[#This Row],[Quantity delivered]]</f>
        <v>0.1620952380952381</v>
      </c>
      <c r="AC74" s="170">
        <f>Delivery[[#This Row],[Quantity delivered]]*Delivery[[#This Row],[Base price (Unidad)]]/60</f>
        <v>117277.59225</v>
      </c>
      <c r="AD74" s="171">
        <f>Delivery[[#This Row],[Nespresso total]]-Delivery[[#This Row],[Qt. Delivery * Base Price]]</f>
        <v>4970.067750000002</v>
      </c>
      <c r="AE74" s="171">
        <f>Delivery[[#This Row],[AAA Premium (total)]]/Delivery[[#This Row],[Quantity delivered]]*60/Delivery[[#This Row],[Exchange rate VS USD]]</f>
        <v>10.020108790219471</v>
      </c>
      <c r="AF74" s="171">
        <f>Delivery[[#This Row],[BEN premium (total)]]/Delivery[[#This Row],[Quantity delivered]]*60/Delivery[[#This Row],[Exchange rate for premiums VS USD]]</f>
        <v>0</v>
      </c>
      <c r="AG74" s="171">
        <f>COUNTIF(Delivery[Delivery ID],Delivery[[#This Row],[Delivery ID]])</f>
        <v>1</v>
      </c>
      <c r="AH74" s="171">
        <f>(Delivery[[#This Row],[Nespresso total]]/SUMIF(Allocation!C:C,Delivery[Delivery ID],Allocation!H:H))/Delivery[[#This Row],[Exchange rate VS USD]]</f>
        <v>26.974805380500982</v>
      </c>
      <c r="AI74" s="171">
        <f>(Delivery[[#This Row],[AAA Premium (total)]]/SUMIF(Allocation!C:C,Delivery[Delivery ID],Allocation!H:H))/Delivery[[#This Row],[Exchange rate VS USD]]</f>
        <v>2.1918987978605093</v>
      </c>
      <c r="AJ74" s="171">
        <f>Delivery[[#This Row],[Valor Prêmio Nespresso AAA por Kg (em US$)]]*60</f>
        <v>131.51392787163056</v>
      </c>
      <c r="AK74" s="171">
        <f>Delivery[[#This Row],[Valor Prêmio Nespresso AAA por saca (em US$)]]/1.3228/100</f>
        <v>0.994208707829079</v>
      </c>
      <c r="AL74" s="171">
        <f>(Delivery[[#This Row],[BEN premium (total)]]/SUMIF(Allocation!C:C,Delivery[Delivery ID],Allocation!H:H))/Delivery[[#This Row],[Exchange rate for premiums VS USD]]</f>
        <v>0</v>
      </c>
      <c r="AM74" s="171">
        <f>Delivery[[#This Row],[Valor Prêmio Nespresso BEN por Kg (em US$)]]*60</f>
        <v>0</v>
      </c>
      <c r="AN74" s="171">
        <f>Delivery[[#This Row],[Valor Prêmio Nespresso BEN por saca (em US$)]]/1.3228/100</f>
        <v>0</v>
      </c>
      <c r="AO74" s="171">
        <f>SUMIF(Allocation[Delivery ID],Delivery[[#This Row],[Delivery ID]],Allocation[Quantity allocated])*16*1.3228*Delivery[[#This Row],[Exchange rate VS USD]]/60</f>
        <v>1598.6196735999999</v>
      </c>
      <c r="AP74" s="171">
        <f>Delivery[[#This Row],[AAA Premium (total)]]</f>
        <v>9933.51</v>
      </c>
      <c r="AQ74" s="171">
        <f>Delivery[[#This Row],[Valor pago pelo Cluster]]-Delivery[[#This Row],[Valor efetivamente pago pela Nespresso]]</f>
        <v>8334.8903264</v>
      </c>
    </row>
    <row r="75" spans="1:43" ht="15.75">
      <c r="A75" s="174" t="s">
        <v>69</v>
      </c>
      <c r="B75" s="232" t="s">
        <v>68</v>
      </c>
      <c r="C75" s="157">
        <v>1</v>
      </c>
      <c r="D75" s="157" t="s">
        <v>468</v>
      </c>
      <c r="E75" s="177" t="s">
        <v>468</v>
      </c>
      <c r="F75" s="233" t="s">
        <v>543</v>
      </c>
      <c r="G75" s="234">
        <v>43278</v>
      </c>
      <c r="H75" s="157" t="s">
        <v>544</v>
      </c>
      <c r="I75" s="157" t="s">
        <v>545</v>
      </c>
      <c r="J75" s="237">
        <v>19200</v>
      </c>
      <c r="K75" s="175" t="s">
        <v>61</v>
      </c>
      <c r="L75" s="175" t="s">
        <v>439</v>
      </c>
      <c r="M75" s="175" t="s">
        <v>1343</v>
      </c>
      <c r="N75" s="180"/>
      <c r="O75" s="177"/>
      <c r="P75" s="185">
        <v>0</v>
      </c>
      <c r="Q75" s="177">
        <v>43277</v>
      </c>
      <c r="R75" s="178">
        <v>450.10677892322565</v>
      </c>
      <c r="S75" s="179">
        <v>148727.18710049565</v>
      </c>
      <c r="T75" s="182" t="s">
        <v>45</v>
      </c>
      <c r="U75" s="183">
        <v>3.7839999198913574</v>
      </c>
      <c r="V75" s="179">
        <v>12108.799743652344</v>
      </c>
      <c r="W75" s="179">
        <v>3212.4064497521977</v>
      </c>
      <c r="X75" s="186" t="s">
        <v>45</v>
      </c>
      <c r="Y75" s="183">
        <v>3.7839999198913574</v>
      </c>
      <c r="Z75" s="220" t="s">
        <v>473</v>
      </c>
      <c r="AA75" s="172">
        <f>Delivery[[#This Row],[Quantity delivered]]*VLOOKUP(Delivery[[#This Row],[Unit]],Tab_Conversão[],4,FALSE)*VLOOKUP(CONCATENATE(Delivery[[#This Row],[Coffee specie]],Delivery[[#This Row],[Coffee state]]),Tab_Conversão[],4,FALSE)</f>
        <v>19200</v>
      </c>
      <c r="AB75" s="169">
        <f>SUMIF(Allocation!C:C,Delivery[[#This Row],[Delivery ID]],Allocation!D:D)/Delivery[[#This Row],[Quantity delivered]]</f>
        <v>0.44317708333333333</v>
      </c>
      <c r="AC75" s="170">
        <f>Delivery[[#This Row],[Quantity delivered]]*Delivery[[#This Row],[Base price (Unidad)]]/60</f>
        <v>144034.16925543221</v>
      </c>
      <c r="AD75" s="171">
        <f>Delivery[[#This Row],[Nespresso total]]-Delivery[[#This Row],[Qt. Delivery * Base Price]]</f>
        <v>4693.0178450634412</v>
      </c>
      <c r="AE75" s="171">
        <f>Delivery[[#This Row],[AAA Premium (total)]]/Delivery[[#This Row],[Quantity delivered]]*60/Delivery[[#This Row],[Exchange rate VS USD]]</f>
        <v>10</v>
      </c>
      <c r="AF75" s="171">
        <f>Delivery[[#This Row],[BEN premium (total)]]/Delivery[[#This Row],[Quantity delivered]]*60/Delivery[[#This Row],[Exchange rate for premiums VS USD]]</f>
        <v>2.6529520000000004</v>
      </c>
      <c r="AG75" s="171">
        <f>COUNTIF(Delivery[Delivery ID],Delivery[[#This Row],[Delivery ID]])</f>
        <v>1</v>
      </c>
      <c r="AH75" s="171">
        <f>(Delivery[[#This Row],[Nespresso total]]/SUMIF(Allocation!C:C,Delivery[Delivery ID],Allocation!H:H))/Delivery[[#This Row],[Exchange rate VS USD]]</f>
        <v>13.256062648544489</v>
      </c>
      <c r="AI75" s="171">
        <f>(Delivery[[#This Row],[AAA Premium (total)]]/SUMIF(Allocation!C:C,Delivery[Delivery ID],Allocation!H:H))/Delivery[[#This Row],[Exchange rate VS USD]]</f>
        <v>1.0792580101180438</v>
      </c>
      <c r="AJ75" s="171">
        <f>Delivery[[#This Row],[Valor Prêmio Nespresso AAA por Kg (em US$)]]*60</f>
        <v>64.755480607082632</v>
      </c>
      <c r="AK75" s="171">
        <f>Delivery[[#This Row],[Valor Prêmio Nespresso AAA por saca (em US$)]]/1.3228/100</f>
        <v>0.48953341855974175</v>
      </c>
      <c r="AL75" s="171">
        <f>(Delivery[[#This Row],[BEN premium (total)]]/SUMIF(Allocation!C:C,Delivery[Delivery ID],Allocation!H:H))/Delivery[[#This Row],[Exchange rate for premiums VS USD]]</f>
        <v>0.28632196964586853</v>
      </c>
      <c r="AM75" s="171">
        <f>Delivery[[#This Row],[Valor Prêmio Nespresso BEN por Kg (em US$)]]*60</f>
        <v>17.179318178752112</v>
      </c>
      <c r="AN75" s="171">
        <f>Delivery[[#This Row],[Valor Prêmio Nespresso BEN por saca (em US$)]]/1.3228/100</f>
        <v>0.12987086618349042</v>
      </c>
      <c r="AO75" s="171">
        <f>SUMIF(Allocation[Delivery ID],Delivery[[#This Row],[Delivery ID]],Allocation[Quantity allocated])*16*1.3228*Delivery[[#This Row],[Exchange rate VS USD]]/60</f>
        <v>3957.6623076815285</v>
      </c>
      <c r="AP75" s="171">
        <f>Delivery[[#This Row],[AAA Premium (total)]]</f>
        <v>12108.799743652344</v>
      </c>
      <c r="AQ75" s="171">
        <f>Delivery[[#This Row],[Valor pago pelo Cluster]]-Delivery[[#This Row],[Valor efetivamente pago pela Nespresso]]</f>
        <v>8151.1374359708152</v>
      </c>
    </row>
    <row r="76" spans="1:43" ht="15.75">
      <c r="A76" s="174" t="s">
        <v>69</v>
      </c>
      <c r="B76" s="232" t="s">
        <v>68</v>
      </c>
      <c r="C76" s="157" t="s">
        <v>1344</v>
      </c>
      <c r="D76" s="157" t="s">
        <v>468</v>
      </c>
      <c r="E76" s="177" t="s">
        <v>468</v>
      </c>
      <c r="F76" s="233" t="s">
        <v>543</v>
      </c>
      <c r="G76" s="234">
        <v>43278</v>
      </c>
      <c r="H76" s="157" t="s">
        <v>1351</v>
      </c>
      <c r="I76" s="157" t="s">
        <v>1350</v>
      </c>
      <c r="J76" s="237">
        <v>12030</v>
      </c>
      <c r="K76" s="175" t="s">
        <v>61</v>
      </c>
      <c r="L76" s="175" t="s">
        <v>439</v>
      </c>
      <c r="M76" s="175" t="s">
        <v>1343</v>
      </c>
      <c r="N76" s="180"/>
      <c r="O76" s="177"/>
      <c r="P76" s="185">
        <v>0</v>
      </c>
      <c r="Q76" s="177">
        <v>43277</v>
      </c>
      <c r="R76" s="178">
        <v>445.24535999999995</v>
      </c>
      <c r="S76" s="179">
        <v>89408.964999999997</v>
      </c>
      <c r="T76" s="182" t="s">
        <v>45</v>
      </c>
      <c r="U76" s="183">
        <v>3.7860999999999998</v>
      </c>
      <c r="V76" s="179">
        <v>5313.7913499999995</v>
      </c>
      <c r="W76" s="179">
        <v>0</v>
      </c>
      <c r="X76" s="186" t="s">
        <v>45</v>
      </c>
      <c r="Y76" s="183">
        <v>3.7860999999999998</v>
      </c>
      <c r="Z76" s="220"/>
      <c r="AA76" s="172">
        <f>Delivery[[#This Row],[Quantity delivered]]*VLOOKUP(Delivery[[#This Row],[Unit]],Tab_Conversão[],4,FALSE)*VLOOKUP(CONCATENATE(Delivery[[#This Row],[Coffee specie]],Delivery[[#This Row],[Coffee state]]),Tab_Conversão[],4,FALSE)</f>
        <v>12030</v>
      </c>
      <c r="AB76" s="169">
        <f>SUMIF(Allocation!C:C,Delivery[[#This Row],[Delivery ID]],Allocation!D:D)/Delivery[[#This Row],[Quantity delivered]]</f>
        <v>0.56533665835411473</v>
      </c>
      <c r="AC76" s="170">
        <f>Delivery[[#This Row],[Quantity delivered]]*Delivery[[#This Row],[Base price (Unidad)]]/60</f>
        <v>89271.694679999986</v>
      </c>
      <c r="AD76" s="171">
        <f>Delivery[[#This Row],[Nespresso total]]-Delivery[[#This Row],[Qt. Delivery * Base Price]]</f>
        <v>137.27032000001054</v>
      </c>
      <c r="AE76" s="171">
        <f>Delivery[[#This Row],[AAA Premium (total)]]/Delivery[[#This Row],[Quantity delivered]]*60/Delivery[[#This Row],[Exchange rate VS USD]]</f>
        <v>7</v>
      </c>
      <c r="AF76" s="171">
        <f>Delivery[[#This Row],[BEN premium (total)]]/Delivery[[#This Row],[Quantity delivered]]*60/Delivery[[#This Row],[Exchange rate for premiums VS USD]]</f>
        <v>0</v>
      </c>
      <c r="AG76" s="171">
        <f>COUNTIF(Delivery[Delivery ID],Delivery[[#This Row],[Delivery ID]])</f>
        <v>1</v>
      </c>
      <c r="AH76" s="171">
        <f>(Delivery[[#This Row],[Nespresso total]]/SUMIF(Allocation!C:C,Delivery[Delivery ID],Allocation!H:H))/Delivery[[#This Row],[Exchange rate VS USD]]</f>
        <v>11.576008034549496</v>
      </c>
      <c r="AI76" s="171">
        <f>(Delivery[[#This Row],[AAA Premium (total)]]/SUMIF(Allocation!C:C,Delivery[Delivery ID],Allocation!H:H))/Delivery[[#This Row],[Exchange rate VS USD]]</f>
        <v>0.68799019607843137</v>
      </c>
      <c r="AJ76" s="171">
        <f>Delivery[[#This Row],[Valor Prêmio Nespresso AAA por Kg (em US$)]]*60</f>
        <v>41.279411764705884</v>
      </c>
      <c r="AK76" s="171">
        <f>Delivery[[#This Row],[Valor Prêmio Nespresso AAA por saca (em US$)]]/1.3228/100</f>
        <v>0.31206086910119357</v>
      </c>
      <c r="AL76" s="171">
        <f>(Delivery[[#This Row],[BEN premium (total)]]/SUMIF(Allocation!C:C,Delivery[Delivery ID],Allocation!H:H))/Delivery[[#This Row],[Exchange rate for premiums VS USD]]</f>
        <v>0</v>
      </c>
      <c r="AM76" s="171">
        <f>Delivery[[#This Row],[Valor Prêmio Nespresso BEN por Kg (em US$)]]*60</f>
        <v>0</v>
      </c>
      <c r="AN76" s="171">
        <f>Delivery[[#This Row],[Valor Prêmio Nespresso BEN por saca (em US$)]]/1.3228/100</f>
        <v>0</v>
      </c>
      <c r="AO76" s="171">
        <f>SUMIF(Allocation[Delivery ID],Delivery[[#This Row],[Delivery ID]],Allocation[Quantity allocated])*16*1.3228*Delivery[[#This Row],[Exchange rate VS USD]]/60</f>
        <v>2724.4896755200002</v>
      </c>
      <c r="AP76" s="171">
        <f>Delivery[[#This Row],[AAA Premium (total)]]</f>
        <v>5313.7913499999995</v>
      </c>
      <c r="AQ76" s="171">
        <f>Delivery[[#This Row],[Valor pago pelo Cluster]]-Delivery[[#This Row],[Valor efetivamente pago pela Nespresso]]</f>
        <v>2589.3016744799993</v>
      </c>
    </row>
    <row r="77" spans="1:43" ht="15.75">
      <c r="A77" s="174" t="s">
        <v>69</v>
      </c>
      <c r="B77" s="232" t="s">
        <v>68</v>
      </c>
      <c r="C77" s="157">
        <v>1</v>
      </c>
      <c r="D77" s="157" t="s">
        <v>468</v>
      </c>
      <c r="E77" s="177" t="s">
        <v>468</v>
      </c>
      <c r="F77" s="233" t="s">
        <v>543</v>
      </c>
      <c r="G77" s="234">
        <v>43279</v>
      </c>
      <c r="H77" s="157" t="s">
        <v>546</v>
      </c>
      <c r="I77" s="157" t="s">
        <v>545</v>
      </c>
      <c r="J77" s="237">
        <v>19430</v>
      </c>
      <c r="K77" s="175" t="s">
        <v>61</v>
      </c>
      <c r="L77" s="175" t="s">
        <v>439</v>
      </c>
      <c r="M77" s="175" t="s">
        <v>1343</v>
      </c>
      <c r="N77" s="180"/>
      <c r="O77" s="177"/>
      <c r="P77" s="185">
        <v>0</v>
      </c>
      <c r="Q77" s="177">
        <v>43277</v>
      </c>
      <c r="R77" s="178">
        <v>449.60954999999996</v>
      </c>
      <c r="S77" s="179">
        <v>150510.03128690398</v>
      </c>
      <c r="T77" s="182" t="s">
        <v>45</v>
      </c>
      <c r="U77" s="183">
        <v>3.7829999999999999</v>
      </c>
      <c r="V77" s="179">
        <v>12250.61</v>
      </c>
      <c r="W77" s="179">
        <v>3250.0293565480001</v>
      </c>
      <c r="X77" s="186" t="s">
        <v>45</v>
      </c>
      <c r="Y77" s="183">
        <v>3.7829999999999999</v>
      </c>
      <c r="Z77" s="220" t="s">
        <v>473</v>
      </c>
      <c r="AA77" s="172">
        <f>Delivery[[#This Row],[Quantity delivered]]*VLOOKUP(Delivery[[#This Row],[Unit]],Tab_Conversão[],4,FALSE)*VLOOKUP(CONCATENATE(Delivery[[#This Row],[Coffee specie]],Delivery[[#This Row],[Coffee state]]),Tab_Conversão[],4,FALSE)</f>
        <v>19430</v>
      </c>
      <c r="AB77" s="169">
        <f>SUMIF(Allocation!C:C,Delivery[[#This Row],[Delivery ID]],Allocation!D:D)/Delivery[[#This Row],[Quantity delivered]]</f>
        <v>1</v>
      </c>
      <c r="AC77" s="170">
        <f>Delivery[[#This Row],[Quantity delivered]]*Delivery[[#This Row],[Base price (Unidad)]]/60</f>
        <v>145598.55927499998</v>
      </c>
      <c r="AD77" s="171">
        <f>Delivery[[#This Row],[Nespresso total]]-Delivery[[#This Row],[Qt. Delivery * Base Price]]</f>
        <v>4911.4720119039994</v>
      </c>
      <c r="AE77" s="171">
        <f>Delivery[[#This Row],[AAA Premium (total)]]/Delivery[[#This Row],[Quantity delivered]]*60/Delivery[[#This Row],[Exchange rate VS USD]]</f>
        <v>9.9999959185722531</v>
      </c>
      <c r="AF77" s="171">
        <f>Delivery[[#This Row],[BEN premium (total)]]/Delivery[[#This Row],[Quantity delivered]]*60/Delivery[[#This Row],[Exchange rate for premiums VS USD]]</f>
        <v>2.652952</v>
      </c>
      <c r="AG77" s="171">
        <f>COUNTIF(Delivery[Delivery ID],Delivery[[#This Row],[Delivery ID]])</f>
        <v>1</v>
      </c>
      <c r="AH77" s="171">
        <f>(Delivery[[#This Row],[Nespresso total]]/SUMIF(Allocation!C:C,Delivery[Delivery ID],Allocation!H:H))/Delivery[[#This Row],[Exchange rate VS USD]]</f>
        <v>5.0547443132090999</v>
      </c>
      <c r="AI77" s="171">
        <f>(Delivery[[#This Row],[AAA Premium (total)]]/SUMIF(Allocation!C:C,Delivery[Delivery ID],Allocation!H:H))/Delivery[[#This Row],[Exchange rate VS USD]]</f>
        <v>0.41142574153614292</v>
      </c>
      <c r="AJ77" s="171">
        <f>Delivery[[#This Row],[Valor Prêmio Nespresso AAA por Kg (em US$)]]*60</f>
        <v>24.685544492168574</v>
      </c>
      <c r="AK77" s="171">
        <f>Delivery[[#This Row],[Valor Prêmio Nespresso AAA por saca (em US$)]]/1.3228/100</f>
        <v>0.186615848897555</v>
      </c>
      <c r="AL77" s="171">
        <f>(Delivery[[#This Row],[BEN premium (total)]]/SUMIF(Allocation!C:C,Delivery[Delivery ID],Allocation!H:H))/Delivery[[#This Row],[Exchange rate for premiums VS USD]]</f>
        <v>0.10914931893448525</v>
      </c>
      <c r="AM77" s="171">
        <f>Delivery[[#This Row],[Valor Prêmio Nespresso BEN por Kg (em US$)]]*60</f>
        <v>6.5489591360691151</v>
      </c>
      <c r="AN77" s="171">
        <f>Delivery[[#This Row],[Valor Prêmio Nespresso BEN por saca (em US$)]]/1.3228/100</f>
        <v>4.9508309162905315E-2</v>
      </c>
      <c r="AO77" s="171">
        <f>SUMIF(Allocation[Delivery ID],Delivery[[#This Row],[Delivery ID]],Allocation[Quantity allocated])*16*1.3228*Delivery[[#This Row],[Exchange rate VS USD]]/60</f>
        <v>10503.38227744</v>
      </c>
      <c r="AP77" s="171">
        <f>Delivery[[#This Row],[AAA Premium (total)]]</f>
        <v>12250.61</v>
      </c>
      <c r="AQ77" s="171">
        <f>Delivery[[#This Row],[Valor pago pelo Cluster]]-Delivery[[#This Row],[Valor efetivamente pago pela Nespresso]]</f>
        <v>1747.227722560001</v>
      </c>
    </row>
    <row r="78" spans="1:43" ht="15.75">
      <c r="A78" s="174" t="s">
        <v>69</v>
      </c>
      <c r="B78" s="232" t="s">
        <v>68</v>
      </c>
      <c r="C78" s="157">
        <v>1</v>
      </c>
      <c r="D78" s="157" t="s">
        <v>468</v>
      </c>
      <c r="E78" s="177" t="s">
        <v>468</v>
      </c>
      <c r="F78" s="233" t="s">
        <v>543</v>
      </c>
      <c r="G78" s="234">
        <v>43279</v>
      </c>
      <c r="H78" s="157" t="s">
        <v>547</v>
      </c>
      <c r="I78" s="157" t="s">
        <v>548</v>
      </c>
      <c r="J78" s="237">
        <v>12000</v>
      </c>
      <c r="K78" s="175" t="s">
        <v>61</v>
      </c>
      <c r="L78" s="175" t="s">
        <v>439</v>
      </c>
      <c r="M78" s="175" t="s">
        <v>1343</v>
      </c>
      <c r="N78" s="180"/>
      <c r="O78" s="177"/>
      <c r="P78" s="185">
        <v>0</v>
      </c>
      <c r="Q78" s="177">
        <v>43276</v>
      </c>
      <c r="R78" s="178">
        <v>442.320245</v>
      </c>
      <c r="S78" s="179">
        <v>88940</v>
      </c>
      <c r="T78" s="182" t="s">
        <v>45</v>
      </c>
      <c r="U78" s="183">
        <v>3.7789000000000001</v>
      </c>
      <c r="V78" s="179">
        <v>7557.8</v>
      </c>
      <c r="W78" s="179">
        <v>0</v>
      </c>
      <c r="X78" s="186" t="s">
        <v>45</v>
      </c>
      <c r="Y78" s="183">
        <v>3.7789000000000001</v>
      </c>
      <c r="Z78" s="221"/>
      <c r="AA78" s="172">
        <f>Delivery[[#This Row],[Quantity delivered]]*VLOOKUP(Delivery[[#This Row],[Unit]],Tab_Conversão[],4,FALSE)*VLOOKUP(CONCATENATE(Delivery[[#This Row],[Coffee specie]],Delivery[[#This Row],[Coffee state]]),Tab_Conversão[],4,FALSE)</f>
        <v>12000</v>
      </c>
      <c r="AB78" s="169">
        <f>SUMIF(Allocation!C:C,Delivery[[#This Row],[Delivery ID]],Allocation!D:D)/Delivery[[#This Row],[Quantity delivered]]</f>
        <v>0.72550000000000003</v>
      </c>
      <c r="AC78" s="170">
        <f>Delivery[[#This Row],[Quantity delivered]]*Delivery[[#This Row],[Base price (Unidad)]]/60</f>
        <v>88464.049000000014</v>
      </c>
      <c r="AD78" s="171">
        <f>Delivery[[#This Row],[Nespresso total]]-Delivery[[#This Row],[Qt. Delivery * Base Price]]</f>
        <v>475.95099999998638</v>
      </c>
      <c r="AE78" s="171">
        <f>Delivery[[#This Row],[AAA Premium (total)]]/Delivery[[#This Row],[Quantity delivered]]*60/Delivery[[#This Row],[Exchange rate VS USD]]</f>
        <v>10</v>
      </c>
      <c r="AF78" s="171">
        <f>Delivery[[#This Row],[BEN premium (total)]]/Delivery[[#This Row],[Quantity delivered]]*60/Delivery[[#This Row],[Exchange rate for premiums VS USD]]</f>
        <v>0</v>
      </c>
      <c r="AG78" s="171">
        <f>COUNTIF(Delivery[Delivery ID],Delivery[[#This Row],[Delivery ID]])</f>
        <v>1</v>
      </c>
      <c r="AH78" s="171">
        <f>(Delivery[[#This Row],[Nespresso total]]/SUMIF(Allocation!C:C,Delivery[Delivery ID],Allocation!H:H))/Delivery[[#This Row],[Exchange rate VS USD]]</f>
        <v>6.1451565574327196</v>
      </c>
      <c r="AI78" s="171">
        <f>(Delivery[[#This Row],[AAA Premium (total)]]/SUMIF(Allocation!C:C,Delivery[Delivery ID],Allocation!H:H))/Delivery[[#This Row],[Exchange rate VS USD]]</f>
        <v>0.52219321148825071</v>
      </c>
      <c r="AJ78" s="171">
        <f>Delivery[[#This Row],[Valor Prêmio Nespresso AAA por Kg (em US$)]]*60</f>
        <v>31.331592689295043</v>
      </c>
      <c r="AK78" s="171">
        <f>Delivery[[#This Row],[Valor Prêmio Nespresso AAA por saca (em US$)]]/1.3228/100</f>
        <v>0.23685812435209438</v>
      </c>
      <c r="AL78" s="171">
        <f>(Delivery[[#This Row],[BEN premium (total)]]/SUMIF(Allocation!C:C,Delivery[Delivery ID],Allocation!H:H))/Delivery[[#This Row],[Exchange rate for premiums VS USD]]</f>
        <v>0</v>
      </c>
      <c r="AM78" s="171">
        <f>Delivery[[#This Row],[Valor Prêmio Nespresso BEN por Kg (em US$)]]*60</f>
        <v>0</v>
      </c>
      <c r="AN78" s="171">
        <f>Delivery[[#This Row],[Valor Prêmio Nespresso BEN por saca (em US$)]]/1.3228/100</f>
        <v>0</v>
      </c>
      <c r="AO78" s="171">
        <f>SUMIF(Allocation[Delivery ID],Delivery[[#This Row],[Delivery ID]],Allocation[Quantity allocated])*16*1.3228*Delivery[[#This Row],[Exchange rate VS USD]]/60</f>
        <v>5105.3684702933333</v>
      </c>
      <c r="AP78" s="171">
        <f>Delivery[[#This Row],[AAA Premium (total)]]</f>
        <v>7557.8</v>
      </c>
      <c r="AQ78" s="171">
        <f>Delivery[[#This Row],[Valor pago pelo Cluster]]-Delivery[[#This Row],[Valor efetivamente pago pela Nespresso]]</f>
        <v>2452.4315297066669</v>
      </c>
    </row>
    <row r="79" spans="1:43" ht="15.75">
      <c r="A79" s="174" t="s">
        <v>69</v>
      </c>
      <c r="B79" s="232" t="s">
        <v>68</v>
      </c>
      <c r="C79" s="157" t="s">
        <v>1344</v>
      </c>
      <c r="D79" s="157" t="s">
        <v>468</v>
      </c>
      <c r="E79" s="177" t="s">
        <v>468</v>
      </c>
      <c r="F79" s="233" t="s">
        <v>543</v>
      </c>
      <c r="G79" s="234">
        <v>43279</v>
      </c>
      <c r="H79" s="157" t="s">
        <v>1352</v>
      </c>
      <c r="I79" s="157" t="s">
        <v>548</v>
      </c>
      <c r="J79" s="237">
        <v>17370</v>
      </c>
      <c r="K79" s="175" t="s">
        <v>61</v>
      </c>
      <c r="L79" s="175" t="s">
        <v>439</v>
      </c>
      <c r="M79" s="175" t="s">
        <v>1343</v>
      </c>
      <c r="N79" s="180"/>
      <c r="O79" s="177"/>
      <c r="P79" s="185">
        <v>0</v>
      </c>
      <c r="Q79" s="177">
        <v>43276</v>
      </c>
      <c r="R79" s="178">
        <v>442.320245</v>
      </c>
      <c r="S79" s="179">
        <v>128740.65</v>
      </c>
      <c r="T79" s="182" t="s">
        <v>45</v>
      </c>
      <c r="U79" s="183">
        <v>3.7789000000000001</v>
      </c>
      <c r="V79" s="179">
        <v>10939.915500000001</v>
      </c>
      <c r="W79" s="179">
        <v>0</v>
      </c>
      <c r="X79" s="186" t="s">
        <v>45</v>
      </c>
      <c r="Y79" s="183">
        <v>3.7789000000000001</v>
      </c>
      <c r="Z79" s="220"/>
      <c r="AA79" s="172">
        <f>Delivery[[#This Row],[Quantity delivered]]*VLOOKUP(Delivery[[#This Row],[Unit]],Tab_Conversão[],4,FALSE)*VLOOKUP(CONCATENATE(Delivery[[#This Row],[Coffee specie]],Delivery[[#This Row],[Coffee state]]),Tab_Conversão[],4,FALSE)</f>
        <v>17370</v>
      </c>
      <c r="AB79" s="169">
        <f>SUMIF(Allocation!C:C,Delivery[[#This Row],[Delivery ID]],Allocation!D:D)/Delivery[[#This Row],[Quantity delivered]]</f>
        <v>0.60869314910765693</v>
      </c>
      <c r="AC79" s="170">
        <f>Delivery[[#This Row],[Quantity delivered]]*Delivery[[#This Row],[Base price (Unidad)]]/60</f>
        <v>128051.7109275</v>
      </c>
      <c r="AD79" s="171">
        <f>Delivery[[#This Row],[Nespresso total]]-Delivery[[#This Row],[Qt. Delivery * Base Price]]</f>
        <v>688.93907249999756</v>
      </c>
      <c r="AE79" s="171">
        <f>Delivery[[#This Row],[AAA Premium (total)]]/Delivery[[#This Row],[Quantity delivered]]*60/Delivery[[#This Row],[Exchange rate VS USD]]</f>
        <v>10</v>
      </c>
      <c r="AF79" s="171">
        <f>Delivery[[#This Row],[BEN premium (total)]]/Delivery[[#This Row],[Quantity delivered]]*60/Delivery[[#This Row],[Exchange rate for premiums VS USD]]</f>
        <v>0</v>
      </c>
      <c r="AG79" s="171">
        <f>COUNTIF(Delivery[Delivery ID],Delivery[[#This Row],[Delivery ID]])</f>
        <v>1</v>
      </c>
      <c r="AH79" s="171">
        <f>(Delivery[[#This Row],[Nespresso total]]/SUMIF(Allocation!C:C,Delivery[Delivery ID],Allocation!H:H))/Delivery[[#This Row],[Exchange rate VS USD]]</f>
        <v>7.3233635141154751</v>
      </c>
      <c r="AI79" s="171">
        <f>(Delivery[[#This Row],[AAA Premium (total)]]/SUMIF(Allocation!C:C,Delivery[Delivery ID],Allocation!H:H))/Delivery[[#This Row],[Exchange rate VS USD]]</f>
        <v>0.62231298366294074</v>
      </c>
      <c r="AJ79" s="171">
        <f>Delivery[[#This Row],[Valor Prêmio Nespresso AAA por Kg (em US$)]]*60</f>
        <v>37.338779019776446</v>
      </c>
      <c r="AK79" s="171">
        <f>Delivery[[#This Row],[Valor Prêmio Nespresso AAA por saca (em US$)]]/1.3228/100</f>
        <v>0.2822707818247388</v>
      </c>
      <c r="AL79" s="171">
        <f>(Delivery[[#This Row],[BEN premium (total)]]/SUMIF(Allocation!C:C,Delivery[Delivery ID],Allocation!H:H))/Delivery[[#This Row],[Exchange rate for premiums VS USD]]</f>
        <v>0</v>
      </c>
      <c r="AM79" s="171">
        <f>Delivery[[#This Row],[Valor Prêmio Nespresso BEN por Kg (em US$)]]*60</f>
        <v>0</v>
      </c>
      <c r="AN79" s="171">
        <f>Delivery[[#This Row],[Valor Prêmio Nespresso BEN por saca (em US$)]]/1.3228/100</f>
        <v>0</v>
      </c>
      <c r="AO79" s="171">
        <f>SUMIF(Allocation[Delivery ID],Delivery[[#This Row],[Delivery ID]],Allocation[Quantity allocated])*16*1.3228*Delivery[[#This Row],[Exchange rate VS USD]]/60</f>
        <v>6201.0898495573338</v>
      </c>
      <c r="AP79" s="171">
        <f>Delivery[[#This Row],[AAA Premium (total)]]</f>
        <v>10939.915500000001</v>
      </c>
      <c r="AQ79" s="171">
        <f>Delivery[[#This Row],[Valor pago pelo Cluster]]-Delivery[[#This Row],[Valor efetivamente pago pela Nespresso]]</f>
        <v>4738.8256504426672</v>
      </c>
    </row>
    <row r="80" spans="1:43" ht="15.75">
      <c r="A80" s="174" t="s">
        <v>69</v>
      </c>
      <c r="B80" s="232" t="s">
        <v>68</v>
      </c>
      <c r="C80" s="157" t="s">
        <v>1344</v>
      </c>
      <c r="D80" s="157" t="s">
        <v>468</v>
      </c>
      <c r="E80" s="177" t="s">
        <v>468</v>
      </c>
      <c r="F80" s="233" t="s">
        <v>543</v>
      </c>
      <c r="G80" s="234">
        <v>43279</v>
      </c>
      <c r="H80" s="157" t="s">
        <v>1353</v>
      </c>
      <c r="I80" s="157" t="s">
        <v>1354</v>
      </c>
      <c r="J80" s="237">
        <v>15940</v>
      </c>
      <c r="K80" s="175" t="s">
        <v>61</v>
      </c>
      <c r="L80" s="175" t="s">
        <v>439</v>
      </c>
      <c r="M80" s="175" t="s">
        <v>1343</v>
      </c>
      <c r="N80" s="180"/>
      <c r="O80" s="177"/>
      <c r="P80" s="185">
        <v>0</v>
      </c>
      <c r="Q80" s="177">
        <v>43278</v>
      </c>
      <c r="R80" s="178">
        <v>445.66199999999998</v>
      </c>
      <c r="S80" s="179">
        <v>121148.78</v>
      </c>
      <c r="T80" s="182" t="s">
        <v>45</v>
      </c>
      <c r="U80" s="183">
        <v>3.78</v>
      </c>
      <c r="V80" s="179">
        <v>7038.36</v>
      </c>
      <c r="W80" s="179">
        <v>0</v>
      </c>
      <c r="X80" s="186" t="s">
        <v>45</v>
      </c>
      <c r="Y80" s="183">
        <v>3.78</v>
      </c>
      <c r="Z80" s="220"/>
      <c r="AA80" s="172">
        <f>Delivery[[#This Row],[Quantity delivered]]*VLOOKUP(Delivery[[#This Row],[Unit]],Tab_Conversão[],4,FALSE)*VLOOKUP(CONCATENATE(Delivery[[#This Row],[Coffee specie]],Delivery[[#This Row],[Coffee state]]),Tab_Conversão[],4,FALSE)</f>
        <v>15940</v>
      </c>
      <c r="AB80" s="169">
        <f>SUMIF(Allocation!C:C,Delivery[[#This Row],[Delivery ID]],Allocation!D:D)/Delivery[[#This Row],[Quantity delivered]]</f>
        <v>0.74523212045169385</v>
      </c>
      <c r="AC80" s="170">
        <f>Delivery[[#This Row],[Quantity delivered]]*Delivery[[#This Row],[Base price (Unidad)]]/60</f>
        <v>118397.53799999999</v>
      </c>
      <c r="AD80" s="171">
        <f>Delivery[[#This Row],[Nespresso total]]-Delivery[[#This Row],[Qt. Delivery * Base Price]]</f>
        <v>2751.2420000000129</v>
      </c>
      <c r="AE80" s="171">
        <f>Delivery[[#This Row],[AAA Premium (total)]]/Delivery[[#This Row],[Quantity delivered]]*60/Delivery[[#This Row],[Exchange rate VS USD]]</f>
        <v>7.0087829360100375</v>
      </c>
      <c r="AF80" s="171">
        <f>Delivery[[#This Row],[BEN premium (total)]]/Delivery[[#This Row],[Quantity delivered]]*60/Delivery[[#This Row],[Exchange rate for premiums VS USD]]</f>
        <v>0</v>
      </c>
      <c r="AG80" s="171">
        <f>COUNTIF(Delivery[Delivery ID],Delivery[[#This Row],[Delivery ID]])</f>
        <v>1</v>
      </c>
      <c r="AH80" s="171">
        <f>(Delivery[[#This Row],[Nespresso total]]/SUMIF(Allocation!C:C,Delivery[Delivery ID],Allocation!H:H))/Delivery[[#This Row],[Exchange rate VS USD]]</f>
        <v>7.495309120426052</v>
      </c>
      <c r="AI80" s="171">
        <f>(Delivery[[#This Row],[AAA Premium (total)]]/SUMIF(Allocation!C:C,Delivery[Delivery ID],Allocation!H:H))/Delivery[[#This Row],[Exchange rate VS USD]]</f>
        <v>0.43545369504209541</v>
      </c>
      <c r="AJ80" s="171">
        <f>Delivery[[#This Row],[Valor Prêmio Nespresso AAA por Kg (em US$)]]*60</f>
        <v>26.127221702525723</v>
      </c>
      <c r="AK80" s="171">
        <f>Delivery[[#This Row],[Valor Prêmio Nespresso AAA por saca (em US$)]]/1.3228/100</f>
        <v>0.19751452753648113</v>
      </c>
      <c r="AL80" s="171">
        <f>(Delivery[[#This Row],[BEN premium (total)]]/SUMIF(Allocation!C:C,Delivery[Delivery ID],Allocation!H:H))/Delivery[[#This Row],[Exchange rate for premiums VS USD]]</f>
        <v>0</v>
      </c>
      <c r="AM80" s="171">
        <f>Delivery[[#This Row],[Valor Prêmio Nespresso BEN por Kg (em US$)]]*60</f>
        <v>0</v>
      </c>
      <c r="AN80" s="171">
        <f>Delivery[[#This Row],[Valor Prêmio Nespresso BEN por saca (em US$)]]/1.3228/100</f>
        <v>0</v>
      </c>
      <c r="AO80" s="171">
        <f>SUMIF(Allocation[Delivery ID],Delivery[[#This Row],[Delivery ID]],Allocation[Quantity allocated])*16*1.3228*Delivery[[#This Row],[Exchange rate VS USD]]/60</f>
        <v>5701.5431423999999</v>
      </c>
      <c r="AP80" s="171">
        <f>Delivery[[#This Row],[AAA Premium (total)]]</f>
        <v>7038.36</v>
      </c>
      <c r="AQ80" s="171">
        <f>Delivery[[#This Row],[Valor pago pelo Cluster]]-Delivery[[#This Row],[Valor efetivamente pago pela Nespresso]]</f>
        <v>1336.8168575999998</v>
      </c>
    </row>
    <row r="81" spans="1:43" ht="15.75">
      <c r="A81" s="174" t="s">
        <v>69</v>
      </c>
      <c r="B81" s="232" t="s">
        <v>68</v>
      </c>
      <c r="C81" s="157" t="s">
        <v>1344</v>
      </c>
      <c r="D81" s="157" t="s">
        <v>468</v>
      </c>
      <c r="E81" s="177" t="s">
        <v>468</v>
      </c>
      <c r="F81" s="233" t="s">
        <v>543</v>
      </c>
      <c r="G81" s="234">
        <v>43280</v>
      </c>
      <c r="H81" s="157" t="s">
        <v>1355</v>
      </c>
      <c r="I81" s="157" t="s">
        <v>1356</v>
      </c>
      <c r="J81" s="237">
        <v>19560</v>
      </c>
      <c r="K81" s="175" t="s">
        <v>61</v>
      </c>
      <c r="L81" s="175" t="s">
        <v>439</v>
      </c>
      <c r="M81" s="175" t="s">
        <v>1343</v>
      </c>
      <c r="N81" s="180"/>
      <c r="O81" s="177"/>
      <c r="P81" s="185">
        <v>0</v>
      </c>
      <c r="Q81" s="177">
        <v>43279</v>
      </c>
      <c r="R81" s="178">
        <v>450.15235000000001</v>
      </c>
      <c r="S81" s="179">
        <v>153399.30000000002</v>
      </c>
      <c r="T81" s="182" t="s">
        <v>45</v>
      </c>
      <c r="U81" s="183">
        <v>3.859</v>
      </c>
      <c r="V81" s="179">
        <v>8806.2379999999994</v>
      </c>
      <c r="W81" s="179">
        <v>0</v>
      </c>
      <c r="X81" s="186" t="s">
        <v>45</v>
      </c>
      <c r="Y81" s="183">
        <v>3.859</v>
      </c>
      <c r="Z81" s="220"/>
      <c r="AA81" s="172">
        <f>Delivery[[#This Row],[Quantity delivered]]*VLOOKUP(Delivery[[#This Row],[Unit]],Tab_Conversão[],4,FALSE)*VLOOKUP(CONCATENATE(Delivery[[#This Row],[Coffee specie]],Delivery[[#This Row],[Coffee state]]),Tab_Conversão[],4,FALSE)</f>
        <v>19560</v>
      </c>
      <c r="AB81" s="169">
        <f>SUMIF(Allocation!C:C,Delivery[[#This Row],[Delivery ID]],Allocation!D:D)/Delivery[[#This Row],[Quantity delivered]]</f>
        <v>0.13548057259713703</v>
      </c>
      <c r="AC81" s="170">
        <f>Delivery[[#This Row],[Quantity delivered]]*Delivery[[#This Row],[Base price (Unidad)]]/60</f>
        <v>146749.6661</v>
      </c>
      <c r="AD81" s="171">
        <f>Delivery[[#This Row],[Nespresso total]]-Delivery[[#This Row],[Qt. Delivery * Base Price]]</f>
        <v>6649.6339000000153</v>
      </c>
      <c r="AE81" s="171">
        <f>Delivery[[#This Row],[AAA Premium (total)]]/Delivery[[#This Row],[Quantity delivered]]*60/Delivery[[#This Row],[Exchange rate VS USD]]</f>
        <v>6.9999999999999991</v>
      </c>
      <c r="AF81" s="171">
        <f>Delivery[[#This Row],[BEN premium (total)]]/Delivery[[#This Row],[Quantity delivered]]*60/Delivery[[#This Row],[Exchange rate for premiums VS USD]]</f>
        <v>0</v>
      </c>
      <c r="AG81" s="171">
        <f>COUNTIF(Delivery[Delivery ID],Delivery[[#This Row],[Delivery ID]])</f>
        <v>1</v>
      </c>
      <c r="AH81" s="171">
        <f>(Delivery[[#This Row],[Nespresso total]]/SUMIF(Allocation!C:C,Delivery[Delivery ID],Allocation!H:H))/Delivery[[#This Row],[Exchange rate VS USD]]</f>
        <v>33.348195884805158</v>
      </c>
      <c r="AI81" s="171">
        <f>(Delivery[[#This Row],[AAA Premium (total)]]/SUMIF(Allocation!C:C,Delivery[Delivery ID],Allocation!H:H))/Delivery[[#This Row],[Exchange rate VS USD]]</f>
        <v>1.9144295302013421</v>
      </c>
      <c r="AJ81" s="171">
        <f>Delivery[[#This Row],[Valor Prêmio Nespresso AAA por Kg (em US$)]]*60</f>
        <v>114.86577181208052</v>
      </c>
      <c r="AK81" s="171">
        <f>Delivery[[#This Row],[Valor Prêmio Nespresso AAA por saca (em US$)]]/1.3228/100</f>
        <v>0.86835327949864327</v>
      </c>
      <c r="AL81" s="171">
        <f>(Delivery[[#This Row],[BEN premium (total)]]/SUMIF(Allocation!C:C,Delivery[Delivery ID],Allocation!H:H))/Delivery[[#This Row],[Exchange rate for premiums VS USD]]</f>
        <v>0</v>
      </c>
      <c r="AM81" s="171">
        <f>Delivery[[#This Row],[Valor Prêmio Nespresso BEN por Kg (em US$)]]*60</f>
        <v>0</v>
      </c>
      <c r="AN81" s="171">
        <f>Delivery[[#This Row],[Valor Prêmio Nespresso BEN por saca (em US$)]]/1.3228/100</f>
        <v>0</v>
      </c>
      <c r="AO81" s="171">
        <f>SUMIF(Allocation[Delivery ID],Delivery[[#This Row],[Delivery ID]],Allocation[Quantity allocated])*16*1.3228*Delivery[[#This Row],[Exchange rate VS USD]]/60</f>
        <v>1622.6092689066666</v>
      </c>
      <c r="AP81" s="171">
        <f>Delivery[[#This Row],[AAA Premium (total)]]</f>
        <v>8806.2379999999994</v>
      </c>
      <c r="AQ81" s="171">
        <f>Delivery[[#This Row],[Valor pago pelo Cluster]]-Delivery[[#This Row],[Valor efetivamente pago pela Nespresso]]</f>
        <v>7183.628731093333</v>
      </c>
    </row>
    <row r="82" spans="1:43" ht="15.75">
      <c r="A82" s="174" t="s">
        <v>69</v>
      </c>
      <c r="B82" s="232" t="s">
        <v>68</v>
      </c>
      <c r="C82" s="157" t="s">
        <v>1344</v>
      </c>
      <c r="D82" s="157" t="s">
        <v>468</v>
      </c>
      <c r="E82" s="177" t="s">
        <v>468</v>
      </c>
      <c r="F82" s="233" t="s">
        <v>543</v>
      </c>
      <c r="G82" s="234">
        <v>43280</v>
      </c>
      <c r="H82" s="157" t="s">
        <v>1357</v>
      </c>
      <c r="I82" s="157" t="s">
        <v>1356</v>
      </c>
      <c r="J82" s="237">
        <v>5730</v>
      </c>
      <c r="K82" s="175" t="s">
        <v>61</v>
      </c>
      <c r="L82" s="175" t="s">
        <v>439</v>
      </c>
      <c r="M82" s="175" t="s">
        <v>1343</v>
      </c>
      <c r="N82" s="180"/>
      <c r="O82" s="177"/>
      <c r="P82" s="185">
        <v>0</v>
      </c>
      <c r="Q82" s="177">
        <v>43279</v>
      </c>
      <c r="R82" s="178">
        <v>450.15235000000001</v>
      </c>
      <c r="S82" s="179">
        <v>44937.525000000001</v>
      </c>
      <c r="T82" s="182" t="s">
        <v>45</v>
      </c>
      <c r="U82" s="183">
        <v>3.859</v>
      </c>
      <c r="V82" s="179">
        <v>2579.7415000000001</v>
      </c>
      <c r="W82" s="179">
        <v>0</v>
      </c>
      <c r="X82" s="186" t="s">
        <v>45</v>
      </c>
      <c r="Y82" s="183">
        <v>3.859</v>
      </c>
      <c r="Z82" s="220"/>
      <c r="AA82" s="172">
        <f>Delivery[[#This Row],[Quantity delivered]]*VLOOKUP(Delivery[[#This Row],[Unit]],Tab_Conversão[],4,FALSE)*VLOOKUP(CONCATENATE(Delivery[[#This Row],[Coffee specie]],Delivery[[#This Row],[Coffee state]]),Tab_Conversão[],4,FALSE)</f>
        <v>5730</v>
      </c>
      <c r="AB82" s="169">
        <f>SUMIF(Allocation!C:C,Delivery[[#This Row],[Delivery ID]],Allocation!D:D)/Delivery[[#This Row],[Quantity delivered]]</f>
        <v>0.10226876090750436</v>
      </c>
      <c r="AC82" s="170">
        <f>Delivery[[#This Row],[Quantity delivered]]*Delivery[[#This Row],[Base price (Unidad)]]/60</f>
        <v>42989.549424999997</v>
      </c>
      <c r="AD82" s="171">
        <f>Delivery[[#This Row],[Nespresso total]]-Delivery[[#This Row],[Qt. Delivery * Base Price]]</f>
        <v>1947.975575000004</v>
      </c>
      <c r="AE82" s="171">
        <f>Delivery[[#This Row],[AAA Premium (total)]]/Delivery[[#This Row],[Quantity delivered]]*60/Delivery[[#This Row],[Exchange rate VS USD]]</f>
        <v>7.0000000000000009</v>
      </c>
      <c r="AF82" s="171">
        <f>Delivery[[#This Row],[BEN premium (total)]]/Delivery[[#This Row],[Quantity delivered]]*60/Delivery[[#This Row],[Exchange rate for premiums VS USD]]</f>
        <v>0</v>
      </c>
      <c r="AG82" s="171">
        <f>COUNTIF(Delivery[Delivery ID],Delivery[[#This Row],[Delivery ID]])</f>
        <v>1</v>
      </c>
      <c r="AH82" s="171">
        <f>(Delivery[[#This Row],[Nespresso total]]/SUMIF(Allocation!C:C,Delivery[Delivery ID],Allocation!H:H))/Delivery[[#This Row],[Exchange rate VS USD]]</f>
        <v>44.109328252726804</v>
      </c>
      <c r="AI82" s="171">
        <f>(Delivery[[#This Row],[AAA Premium (total)]]/SUMIF(Allocation!C:C,Delivery[Delivery ID],Allocation!H:H))/Delivery[[#This Row],[Exchange rate VS USD]]</f>
        <v>2.5321969696969697</v>
      </c>
      <c r="AJ82" s="171">
        <f>Delivery[[#This Row],[Valor Prêmio Nespresso AAA por Kg (em US$)]]*60</f>
        <v>151.93181818181819</v>
      </c>
      <c r="AK82" s="171">
        <f>Delivery[[#This Row],[Valor Prêmio Nespresso AAA por saca (em US$)]]/1.3228/100</f>
        <v>1.1485622783627019</v>
      </c>
      <c r="AL82" s="171">
        <f>(Delivery[[#This Row],[BEN premium (total)]]/SUMIF(Allocation!C:C,Delivery[Delivery ID],Allocation!H:H))/Delivery[[#This Row],[Exchange rate for premiums VS USD]]</f>
        <v>0</v>
      </c>
      <c r="AM82" s="171">
        <f>Delivery[[#This Row],[Valor Prêmio Nespresso BEN por Kg (em US$)]]*60</f>
        <v>0</v>
      </c>
      <c r="AN82" s="171">
        <f>Delivery[[#This Row],[Valor Prêmio Nespresso BEN por saca (em US$)]]/1.3228/100</f>
        <v>0</v>
      </c>
      <c r="AO82" s="171">
        <f>SUMIF(Allocation[Delivery ID],Delivery[[#This Row],[Delivery ID]],Allocation[Quantity allocated])*16*1.3228*Delivery[[#This Row],[Exchange rate VS USD]]/60</f>
        <v>359.36983807999997</v>
      </c>
      <c r="AP82" s="171">
        <f>Delivery[[#This Row],[AAA Premium (total)]]</f>
        <v>2579.7415000000001</v>
      </c>
      <c r="AQ82" s="171">
        <f>Delivery[[#This Row],[Valor pago pelo Cluster]]-Delivery[[#This Row],[Valor efetivamente pago pela Nespresso]]</f>
        <v>2220.37166192</v>
      </c>
    </row>
    <row r="83" spans="1:43" ht="15.75">
      <c r="A83" s="174" t="s">
        <v>69</v>
      </c>
      <c r="B83" s="232" t="s">
        <v>68</v>
      </c>
      <c r="C83" s="157">
        <v>1</v>
      </c>
      <c r="D83" s="157" t="s">
        <v>468</v>
      </c>
      <c r="E83" s="177" t="s">
        <v>468</v>
      </c>
      <c r="F83" s="233" t="s">
        <v>543</v>
      </c>
      <c r="G83" s="234">
        <v>43280</v>
      </c>
      <c r="H83" s="157" t="s">
        <v>549</v>
      </c>
      <c r="I83" s="157" t="s">
        <v>550</v>
      </c>
      <c r="J83" s="237">
        <v>6000</v>
      </c>
      <c r="K83" s="175" t="s">
        <v>61</v>
      </c>
      <c r="L83" s="175" t="s">
        <v>439</v>
      </c>
      <c r="M83" s="175" t="s">
        <v>1343</v>
      </c>
      <c r="N83" s="180"/>
      <c r="O83" s="177"/>
      <c r="P83" s="185">
        <v>0</v>
      </c>
      <c r="Q83" s="177">
        <v>43278</v>
      </c>
      <c r="R83" s="178">
        <v>448.4975</v>
      </c>
      <c r="S83" s="179">
        <v>44934</v>
      </c>
      <c r="T83" s="182" t="s">
        <v>45</v>
      </c>
      <c r="U83" s="183">
        <v>3.8170000000000002</v>
      </c>
      <c r="V83" s="179">
        <v>3817</v>
      </c>
      <c r="W83" s="179">
        <v>0</v>
      </c>
      <c r="X83" s="186" t="s">
        <v>45</v>
      </c>
      <c r="Y83" s="183">
        <v>3.8170000000000002</v>
      </c>
      <c r="Z83" s="220"/>
      <c r="AA83" s="172">
        <f>Delivery[[#This Row],[Quantity delivered]]*VLOOKUP(Delivery[[#This Row],[Unit]],Tab_Conversão[],4,FALSE)*VLOOKUP(CONCATENATE(Delivery[[#This Row],[Coffee specie]],Delivery[[#This Row],[Coffee state]]),Tab_Conversão[],4,FALSE)</f>
        <v>6000</v>
      </c>
      <c r="AB83" s="169">
        <f>SUMIF(Allocation!C:C,Delivery[[#This Row],[Delivery ID]],Allocation!D:D)/Delivery[[#This Row],[Quantity delivered]]</f>
        <v>0.84533333333333338</v>
      </c>
      <c r="AC83" s="170">
        <f>Delivery[[#This Row],[Quantity delivered]]*Delivery[[#This Row],[Base price (Unidad)]]/60</f>
        <v>44849.75</v>
      </c>
      <c r="AD83" s="171">
        <f>Delivery[[#This Row],[Nespresso total]]-Delivery[[#This Row],[Qt. Delivery * Base Price]]</f>
        <v>84.25</v>
      </c>
      <c r="AE83" s="171">
        <f>Delivery[[#This Row],[AAA Premium (total)]]/Delivery[[#This Row],[Quantity delivered]]*60/Delivery[[#This Row],[Exchange rate VS USD]]</f>
        <v>10</v>
      </c>
      <c r="AF83" s="171">
        <f>Delivery[[#This Row],[BEN premium (total)]]/Delivery[[#This Row],[Quantity delivered]]*60/Delivery[[#This Row],[Exchange rate for premiums VS USD]]</f>
        <v>0</v>
      </c>
      <c r="AG83" s="171">
        <f>COUNTIF(Delivery[Delivery ID],Delivery[[#This Row],[Delivery ID]])</f>
        <v>1</v>
      </c>
      <c r="AH83" s="171">
        <f>(Delivery[[#This Row],[Nespresso total]]/SUMIF(Allocation!C:C,Delivery[Delivery ID],Allocation!H:H))/Delivery[[#This Row],[Exchange rate VS USD]]</f>
        <v>4.7372524378653376</v>
      </c>
      <c r="AI83" s="171">
        <f>(Delivery[[#This Row],[AAA Premium (total)]]/SUMIF(Allocation!C:C,Delivery[Delivery ID],Allocation!H:H))/Delivery[[#This Row],[Exchange rate VS USD]]</f>
        <v>0.40241448692152915</v>
      </c>
      <c r="AJ83" s="171">
        <f>Delivery[[#This Row],[Valor Prêmio Nespresso AAA por Kg (em US$)]]*60</f>
        <v>24.144869215291749</v>
      </c>
      <c r="AK83" s="171">
        <f>Delivery[[#This Row],[Valor Prêmio Nespresso AAA por saca (em US$)]]/1.3228/100</f>
        <v>0.18252849421901834</v>
      </c>
      <c r="AL83" s="171">
        <f>(Delivery[[#This Row],[BEN premium (total)]]/SUMIF(Allocation!C:C,Delivery[Delivery ID],Allocation!H:H))/Delivery[[#This Row],[Exchange rate for premiums VS USD]]</f>
        <v>0</v>
      </c>
      <c r="AM83" s="171">
        <f>Delivery[[#This Row],[Valor Prêmio Nespresso BEN por Kg (em US$)]]*60</f>
        <v>0</v>
      </c>
      <c r="AN83" s="171">
        <f>Delivery[[#This Row],[Valor Prêmio Nespresso BEN por saca (em US$)]]/1.3228/100</f>
        <v>0</v>
      </c>
      <c r="AO83" s="171">
        <f>SUMIF(Allocation[Delivery ID],Delivery[[#This Row],[Delivery ID]],Allocation[Quantity allocated])*16*1.3228*Delivery[[#This Row],[Exchange rate VS USD]]/60</f>
        <v>3345.8885562666669</v>
      </c>
      <c r="AP83" s="171">
        <f>Delivery[[#This Row],[AAA Premium (total)]]</f>
        <v>3817</v>
      </c>
      <c r="AQ83" s="171">
        <f>Delivery[[#This Row],[Valor pago pelo Cluster]]-Delivery[[#This Row],[Valor efetivamente pago pela Nespresso]]</f>
        <v>471.11144373333309</v>
      </c>
    </row>
    <row r="84" spans="1:43" ht="15.75">
      <c r="A84" s="174" t="s">
        <v>69</v>
      </c>
      <c r="B84" s="232" t="s">
        <v>68</v>
      </c>
      <c r="C84" s="157">
        <v>1</v>
      </c>
      <c r="D84" s="157" t="s">
        <v>468</v>
      </c>
      <c r="E84" s="177" t="s">
        <v>468</v>
      </c>
      <c r="F84" s="233" t="s">
        <v>543</v>
      </c>
      <c r="G84" s="234">
        <v>43284</v>
      </c>
      <c r="H84" s="157" t="s">
        <v>551</v>
      </c>
      <c r="I84" s="157" t="s">
        <v>552</v>
      </c>
      <c r="J84" s="237">
        <v>22450</v>
      </c>
      <c r="K84" s="175" t="s">
        <v>61</v>
      </c>
      <c r="L84" s="175" t="s">
        <v>439</v>
      </c>
      <c r="M84" s="175" t="s">
        <v>1343</v>
      </c>
      <c r="N84" s="180"/>
      <c r="O84" s="177"/>
      <c r="P84" s="185">
        <v>0</v>
      </c>
      <c r="Q84" s="177">
        <v>43045</v>
      </c>
      <c r="R84" s="178">
        <v>472.11320000000001</v>
      </c>
      <c r="S84" s="179">
        <v>180711.27499999999</v>
      </c>
      <c r="T84" s="182" t="s">
        <v>45</v>
      </c>
      <c r="U84" s="183">
        <v>3.3904000000000001</v>
      </c>
      <c r="V84" s="179">
        <v>8878.8809494666675</v>
      </c>
      <c r="W84" s="179">
        <v>0</v>
      </c>
      <c r="X84" s="186" t="s">
        <v>45</v>
      </c>
      <c r="Y84" s="183">
        <v>3.3904000000000001</v>
      </c>
      <c r="Z84" s="220"/>
      <c r="AA84" s="172">
        <f>Delivery[[#This Row],[Quantity delivered]]*VLOOKUP(Delivery[[#This Row],[Unit]],Tab_Conversão[],4,FALSE)*VLOOKUP(CONCATENATE(Delivery[[#This Row],[Coffee specie]],Delivery[[#This Row],[Coffee state]]),Tab_Conversão[],4,FALSE)</f>
        <v>22450</v>
      </c>
      <c r="AB84" s="169">
        <f>SUMIF(Allocation!C:C,Delivery[[#This Row],[Delivery ID]],Allocation!D:D)/Delivery[[#This Row],[Quantity delivered]]</f>
        <v>0.67443207126948779</v>
      </c>
      <c r="AC84" s="170">
        <f>Delivery[[#This Row],[Quantity delivered]]*Delivery[[#This Row],[Base price (Unidad)]]/60</f>
        <v>176649.02233333333</v>
      </c>
      <c r="AD84" s="171">
        <f>Delivery[[#This Row],[Nespresso total]]-Delivery[[#This Row],[Qt. Delivery * Base Price]]</f>
        <v>4062.2526666666672</v>
      </c>
      <c r="AE84" s="171">
        <f>Delivery[[#This Row],[AAA Premium (total)]]/Delivery[[#This Row],[Quantity delivered]]*60/Delivery[[#This Row],[Exchange rate VS USD]]</f>
        <v>6.9991000000000012</v>
      </c>
      <c r="AF84" s="171">
        <f>Delivery[[#This Row],[BEN premium (total)]]/Delivery[[#This Row],[Quantity delivered]]*60/Delivery[[#This Row],[Exchange rate for premiums VS USD]]</f>
        <v>0</v>
      </c>
      <c r="AG84" s="171">
        <f>COUNTIF(Delivery[Delivery ID],Delivery[[#This Row],[Delivery ID]])</f>
        <v>1</v>
      </c>
      <c r="AH84" s="171">
        <f>(Delivery[[#This Row],[Nespresso total]]/SUMIF(Allocation!C:C,Delivery[Delivery ID],Allocation!H:H))/Delivery[[#This Row],[Exchange rate VS USD]]</f>
        <v>10.668709283141471</v>
      </c>
      <c r="AI84" s="171">
        <f>(Delivery[[#This Row],[AAA Premium (total)]]/SUMIF(Allocation!C:C,Delivery[Delivery ID],Allocation!H:H))/Delivery[[#This Row],[Exchange rate VS USD]]</f>
        <v>0.52418533159861225</v>
      </c>
      <c r="AJ84" s="171">
        <f>Delivery[[#This Row],[Valor Prêmio Nespresso AAA por Kg (em US$)]]*60</f>
        <v>31.451119895916733</v>
      </c>
      <c r="AK84" s="171">
        <f>Delivery[[#This Row],[Valor Prêmio Nespresso AAA por saca (em US$)]]/1.3228/100</f>
        <v>0.23776171678195293</v>
      </c>
      <c r="AL84" s="171">
        <f>(Delivery[[#This Row],[BEN premium (total)]]/SUMIF(Allocation!C:C,Delivery[Delivery ID],Allocation!H:H))/Delivery[[#This Row],[Exchange rate for premiums VS USD]]</f>
        <v>0</v>
      </c>
      <c r="AM84" s="171">
        <f>Delivery[[#This Row],[Valor Prêmio Nespresso BEN por Kg (em US$)]]*60</f>
        <v>0</v>
      </c>
      <c r="AN84" s="171">
        <f>Delivery[[#This Row],[Valor Prêmio Nespresso BEN por saca (em US$)]]/1.3228/100</f>
        <v>0</v>
      </c>
      <c r="AO84" s="171">
        <f>SUMIF(Allocation[Delivery ID],Delivery[[#This Row],[Delivery ID]],Allocation[Quantity allocated])*16*1.3228*Delivery[[#This Row],[Exchange rate VS USD]]/60</f>
        <v>5974.9776841386665</v>
      </c>
      <c r="AP84" s="171">
        <f>Delivery[[#This Row],[AAA Premium (total)]]</f>
        <v>8878.8809494666675</v>
      </c>
      <c r="AQ84" s="171">
        <f>Delivery[[#This Row],[Valor pago pelo Cluster]]-Delivery[[#This Row],[Valor efetivamente pago pela Nespresso]]</f>
        <v>2903.903265328001</v>
      </c>
    </row>
    <row r="85" spans="1:43" ht="15.75">
      <c r="A85" s="174" t="s">
        <v>69</v>
      </c>
      <c r="B85" s="232" t="s">
        <v>68</v>
      </c>
      <c r="C85" s="157">
        <v>1</v>
      </c>
      <c r="D85" s="157" t="s">
        <v>468</v>
      </c>
      <c r="E85" s="177" t="s">
        <v>468</v>
      </c>
      <c r="F85" s="233" t="s">
        <v>543</v>
      </c>
      <c r="G85" s="234">
        <v>43284</v>
      </c>
      <c r="H85" s="157" t="s">
        <v>553</v>
      </c>
      <c r="I85" s="157" t="s">
        <v>552</v>
      </c>
      <c r="J85" s="237">
        <v>22950</v>
      </c>
      <c r="K85" s="175" t="s">
        <v>61</v>
      </c>
      <c r="L85" s="175" t="s">
        <v>439</v>
      </c>
      <c r="M85" s="175" t="s">
        <v>1343</v>
      </c>
      <c r="N85" s="180"/>
      <c r="O85" s="177"/>
      <c r="P85" s="185">
        <v>0</v>
      </c>
      <c r="Q85" s="177">
        <v>43045</v>
      </c>
      <c r="R85" s="178">
        <v>472.11320000000001</v>
      </c>
      <c r="S85" s="179">
        <v>184736.02499999999</v>
      </c>
      <c r="T85" s="182" t="s">
        <v>45</v>
      </c>
      <c r="U85" s="183">
        <v>3.3904000000000001</v>
      </c>
      <c r="V85" s="179">
        <v>9077.1288547999993</v>
      </c>
      <c r="W85" s="179">
        <v>0</v>
      </c>
      <c r="X85" s="186" t="s">
        <v>45</v>
      </c>
      <c r="Y85" s="183">
        <v>3.3904000000000001</v>
      </c>
      <c r="Z85" s="220"/>
      <c r="AA85" s="172">
        <f>Delivery[[#This Row],[Quantity delivered]]*VLOOKUP(Delivery[[#This Row],[Unit]],Tab_Conversão[],4,FALSE)*VLOOKUP(CONCATENATE(Delivery[[#This Row],[Coffee specie]],Delivery[[#This Row],[Coffee state]]),Tab_Conversão[],4,FALSE)</f>
        <v>22950</v>
      </c>
      <c r="AB85" s="169">
        <f>SUMIF(Allocation!C:C,Delivery[[#This Row],[Delivery ID]],Allocation!D:D)/Delivery[[#This Row],[Quantity delivered]]</f>
        <v>0.67555555555555558</v>
      </c>
      <c r="AC85" s="170">
        <f>Delivery[[#This Row],[Quantity delivered]]*Delivery[[#This Row],[Base price (Unidad)]]/60</f>
        <v>180583.299</v>
      </c>
      <c r="AD85" s="171">
        <f>Delivery[[#This Row],[Nespresso total]]-Delivery[[#This Row],[Qt. Delivery * Base Price]]</f>
        <v>4152.7259999999951</v>
      </c>
      <c r="AE85" s="171">
        <f>Delivery[[#This Row],[AAA Premium (total)]]/Delivery[[#This Row],[Quantity delivered]]*60/Delivery[[#This Row],[Exchange rate VS USD]]</f>
        <v>6.9994855561416012</v>
      </c>
      <c r="AF85" s="171">
        <f>Delivery[[#This Row],[BEN premium (total)]]/Delivery[[#This Row],[Quantity delivered]]*60/Delivery[[#This Row],[Exchange rate for premiums VS USD]]</f>
        <v>0</v>
      </c>
      <c r="AG85" s="171">
        <f>COUNTIF(Delivery[Delivery ID],Delivery[[#This Row],[Delivery ID]])</f>
        <v>1</v>
      </c>
      <c r="AH85" s="171">
        <f>(Delivery[[#This Row],[Nespresso total]]/SUMIF(Allocation!C:C,Delivery[Delivery ID],Allocation!H:H))/Delivery[[#This Row],[Exchange rate VS USD]]</f>
        <v>10.650503009278646</v>
      </c>
      <c r="AI85" s="171">
        <f>(Delivery[[#This Row],[AAA Premium (total)]]/SUMIF(Allocation!C:C,Delivery[Delivery ID],Allocation!H:H))/Delivery[[#This Row],[Exchange rate VS USD]]</f>
        <v>0.52331962963724821</v>
      </c>
      <c r="AJ85" s="171">
        <f>Delivery[[#This Row],[Valor Prêmio Nespresso AAA por Kg (em US$)]]*60</f>
        <v>31.399177778234893</v>
      </c>
      <c r="AK85" s="171">
        <f>Delivery[[#This Row],[Valor Prêmio Nespresso AAA por saca (em US$)]]/1.3228/100</f>
        <v>0.23736904882245913</v>
      </c>
      <c r="AL85" s="171">
        <f>(Delivery[[#This Row],[BEN premium (total)]]/SUMIF(Allocation!C:C,Delivery[Delivery ID],Allocation!H:H))/Delivery[[#This Row],[Exchange rate for premiums VS USD]]</f>
        <v>0</v>
      </c>
      <c r="AM85" s="171">
        <f>Delivery[[#This Row],[Valor Prêmio Nespresso BEN por Kg (em US$)]]*60</f>
        <v>0</v>
      </c>
      <c r="AN85" s="171">
        <f>Delivery[[#This Row],[Valor Prêmio Nespresso BEN por saca (em US$)]]/1.3228/100</f>
        <v>0</v>
      </c>
      <c r="AO85" s="171">
        <f>SUMIF(Allocation[Delivery ID],Delivery[[#This Row],[Delivery ID]],Allocation[Quantity allocated])*16*1.3228*Delivery[[#This Row],[Exchange rate VS USD]]/60</f>
        <v>6118.4919599786672</v>
      </c>
      <c r="AP85" s="171">
        <f>Delivery[[#This Row],[AAA Premium (total)]]</f>
        <v>9077.1288547999993</v>
      </c>
      <c r="AQ85" s="171">
        <f>Delivery[[#This Row],[Valor pago pelo Cluster]]-Delivery[[#This Row],[Valor efetivamente pago pela Nespresso]]</f>
        <v>2958.6368948213321</v>
      </c>
    </row>
    <row r="86" spans="1:43" ht="15.75">
      <c r="A86" s="174" t="s">
        <v>69</v>
      </c>
      <c r="B86" s="232" t="s">
        <v>68</v>
      </c>
      <c r="C86" s="157">
        <v>1</v>
      </c>
      <c r="D86" s="157" t="s">
        <v>468</v>
      </c>
      <c r="E86" s="177" t="s">
        <v>468</v>
      </c>
      <c r="F86" s="233" t="s">
        <v>543</v>
      </c>
      <c r="G86" s="234">
        <v>43284</v>
      </c>
      <c r="H86" s="157" t="s">
        <v>554</v>
      </c>
      <c r="I86" s="157" t="s">
        <v>552</v>
      </c>
      <c r="J86" s="237">
        <v>19680</v>
      </c>
      <c r="K86" s="175" t="s">
        <v>61</v>
      </c>
      <c r="L86" s="175" t="s">
        <v>439</v>
      </c>
      <c r="M86" s="175" t="s">
        <v>1343</v>
      </c>
      <c r="N86" s="180"/>
      <c r="O86" s="177"/>
      <c r="P86" s="185">
        <v>0</v>
      </c>
      <c r="Q86" s="177">
        <v>43045</v>
      </c>
      <c r="R86" s="178">
        <v>472.11320000000001</v>
      </c>
      <c r="S86" s="179">
        <v>158414.16</v>
      </c>
      <c r="T86" s="182" t="s">
        <v>45</v>
      </c>
      <c r="U86" s="183">
        <v>3.3904000000000001</v>
      </c>
      <c r="V86" s="179">
        <v>7783.3575539200001</v>
      </c>
      <c r="W86" s="179">
        <v>0</v>
      </c>
      <c r="X86" s="186" t="s">
        <v>45</v>
      </c>
      <c r="Y86" s="183">
        <v>3.3904000000000001</v>
      </c>
      <c r="Z86" s="220"/>
      <c r="AA86" s="172">
        <f>Delivery[[#This Row],[Quantity delivered]]*VLOOKUP(Delivery[[#This Row],[Unit]],Tab_Conversão[],4,FALSE)*VLOOKUP(CONCATENATE(Delivery[[#This Row],[Coffee specie]],Delivery[[#This Row],[Coffee state]]),Tab_Conversão[],4,FALSE)</f>
        <v>19680</v>
      </c>
      <c r="AB86" s="169">
        <f>SUMIF(Allocation!C:C,Delivery[[#This Row],[Delivery ID]],Allocation!D:D)/Delivery[[#This Row],[Quantity delivered]]</f>
        <v>0.67464430894308947</v>
      </c>
      <c r="AC86" s="170">
        <f>Delivery[[#This Row],[Quantity delivered]]*Delivery[[#This Row],[Base price (Unidad)]]/60</f>
        <v>154853.12960000001</v>
      </c>
      <c r="AD86" s="171">
        <f>Delivery[[#This Row],[Nespresso total]]-Delivery[[#This Row],[Qt. Delivery * Base Price]]</f>
        <v>3561.0303999999887</v>
      </c>
      <c r="AE86" s="171">
        <f>Delivery[[#This Row],[AAA Premium (total)]]/Delivery[[#This Row],[Quantity delivered]]*60/Delivery[[#This Row],[Exchange rate VS USD]]</f>
        <v>6.9991000000000003</v>
      </c>
      <c r="AF86" s="171">
        <f>Delivery[[#This Row],[BEN premium (total)]]/Delivery[[#This Row],[Quantity delivered]]*60/Delivery[[#This Row],[Exchange rate for premiums VS USD]]</f>
        <v>0</v>
      </c>
      <c r="AG86" s="171">
        <f>COUNTIF(Delivery[Delivery ID],Delivery[[#This Row],[Delivery ID]])</f>
        <v>1</v>
      </c>
      <c r="AH86" s="171">
        <f>(Delivery[[#This Row],[Nespresso total]]/SUMIF(Allocation!C:C,Delivery[Delivery ID],Allocation!H:H))/Delivery[[#This Row],[Exchange rate VS USD]]</f>
        <v>10.665219701661222</v>
      </c>
      <c r="AI86" s="171">
        <f>(Delivery[[#This Row],[AAA Premium (total)]]/SUMIF(Allocation!C:C,Delivery[Delivery ID],Allocation!H:H))/Delivery[[#This Row],[Exchange rate VS USD]]</f>
        <v>0.52401387811002054</v>
      </c>
      <c r="AJ86" s="171">
        <f>Delivery[[#This Row],[Valor Prêmio Nespresso AAA por Kg (em US$)]]*60</f>
        <v>31.440832686601233</v>
      </c>
      <c r="AK86" s="171">
        <f>Delivery[[#This Row],[Valor Prêmio Nespresso AAA por saca (em US$)]]/1.3228/100</f>
        <v>0.23768394834140635</v>
      </c>
      <c r="AL86" s="171">
        <f>(Delivery[[#This Row],[BEN premium (total)]]/SUMIF(Allocation!C:C,Delivery[Delivery ID],Allocation!H:H))/Delivery[[#This Row],[Exchange rate for premiums VS USD]]</f>
        <v>0</v>
      </c>
      <c r="AM86" s="171">
        <f>Delivery[[#This Row],[Valor Prêmio Nespresso BEN por Kg (em US$)]]*60</f>
        <v>0</v>
      </c>
      <c r="AN86" s="171">
        <f>Delivery[[#This Row],[Valor Prêmio Nespresso BEN por saca (em US$)]]/1.3228/100</f>
        <v>0</v>
      </c>
      <c r="AO86" s="171">
        <f>SUMIF(Allocation[Delivery ID],Delivery[[#This Row],[Delivery ID]],Allocation[Quantity allocated])*16*1.3228*Delivery[[#This Row],[Exchange rate VS USD]]/60</f>
        <v>5239.4670204586664</v>
      </c>
      <c r="AP86" s="171">
        <f>Delivery[[#This Row],[AAA Premium (total)]]</f>
        <v>7783.3575539200001</v>
      </c>
      <c r="AQ86" s="171">
        <f>Delivery[[#This Row],[Valor pago pelo Cluster]]-Delivery[[#This Row],[Valor efetivamente pago pela Nespresso]]</f>
        <v>2543.8905334613337</v>
      </c>
    </row>
    <row r="87" spans="1:43" ht="15.75">
      <c r="A87" s="174" t="s">
        <v>69</v>
      </c>
      <c r="B87" s="232" t="s">
        <v>68</v>
      </c>
      <c r="C87" s="157">
        <v>1</v>
      </c>
      <c r="D87" s="157" t="s">
        <v>468</v>
      </c>
      <c r="E87" s="177" t="s">
        <v>468</v>
      </c>
      <c r="F87" s="233" t="s">
        <v>543</v>
      </c>
      <c r="G87" s="234">
        <v>43284</v>
      </c>
      <c r="H87" s="157" t="s">
        <v>555</v>
      </c>
      <c r="I87" s="157" t="s">
        <v>556</v>
      </c>
      <c r="J87" s="237">
        <v>9542</v>
      </c>
      <c r="K87" s="175" t="s">
        <v>61</v>
      </c>
      <c r="L87" s="175" t="s">
        <v>439</v>
      </c>
      <c r="M87" s="175" t="s">
        <v>1343</v>
      </c>
      <c r="N87" s="180"/>
      <c r="O87" s="177"/>
      <c r="P87" s="185">
        <v>0</v>
      </c>
      <c r="Q87" s="177">
        <v>43277</v>
      </c>
      <c r="R87" s="178">
        <v>445.01015999999998</v>
      </c>
      <c r="S87" s="179">
        <v>75672.126846798012</v>
      </c>
      <c r="T87" s="182" t="s">
        <v>45</v>
      </c>
      <c r="U87" s="183">
        <v>3.7841</v>
      </c>
      <c r="V87" s="179">
        <v>4212.79</v>
      </c>
      <c r="W87" s="179">
        <v>1317.1465766009978</v>
      </c>
      <c r="X87" s="186" t="s">
        <v>45</v>
      </c>
      <c r="Y87" s="183">
        <v>3.7841</v>
      </c>
      <c r="Z87" s="220" t="s">
        <v>473</v>
      </c>
      <c r="AA87" s="172">
        <f>Delivery[[#This Row],[Quantity delivered]]*VLOOKUP(Delivery[[#This Row],[Unit]],Tab_Conversão[],4,FALSE)*VLOOKUP(CONCATENATE(Delivery[[#This Row],[Coffee specie]],Delivery[[#This Row],[Coffee state]]),Tab_Conversão[],4,FALSE)</f>
        <v>9542</v>
      </c>
      <c r="AB87" s="169">
        <f>SUMIF(Allocation!C:C,Delivery[[#This Row],[Delivery ID]],Allocation!D:D)/Delivery[[#This Row],[Quantity delivered]]</f>
        <v>0.80853070635086988</v>
      </c>
      <c r="AC87" s="170">
        <f>Delivery[[#This Row],[Quantity delivered]]*Delivery[[#This Row],[Base price (Unidad)]]/60</f>
        <v>70771.449111999988</v>
      </c>
      <c r="AD87" s="171">
        <f>Delivery[[#This Row],[Nespresso total]]-Delivery[[#This Row],[Qt. Delivery * Base Price]]</f>
        <v>4900.6777347980242</v>
      </c>
      <c r="AE87" s="171">
        <f>Delivery[[#This Row],[AAA Premium (total)]]/Delivery[[#This Row],[Quantity delivered]]*60/Delivery[[#This Row],[Exchange rate VS USD]]</f>
        <v>7.0003385576570869</v>
      </c>
      <c r="AF87" s="171">
        <f>Delivery[[#This Row],[BEN premium (total)]]/Delivery[[#This Row],[Quantity delivered]]*60/Delivery[[#This Row],[Exchange rate for premiums VS USD]]</f>
        <v>2.1886853999999998</v>
      </c>
      <c r="AG87" s="171">
        <f>COUNTIF(Delivery[Delivery ID],Delivery[[#This Row],[Delivery ID]])</f>
        <v>1</v>
      </c>
      <c r="AH87" s="171">
        <f>(Delivery[[#This Row],[Nespresso total]]/SUMIF(Allocation!C:C,Delivery[Delivery ID],Allocation!H:H))/Delivery[[#This Row],[Exchange rate VS USD]]</f>
        <v>7.8544347543995494</v>
      </c>
      <c r="AI87" s="171">
        <f>(Delivery[[#This Row],[AAA Premium (total)]]/SUMIF(Allocation!C:C,Delivery[Delivery ID],Allocation!H:H))/Delivery[[#This Row],[Exchange rate VS USD]]</f>
        <v>0.43726911833702492</v>
      </c>
      <c r="AJ87" s="171">
        <f>Delivery[[#This Row],[Valor Prêmio Nespresso AAA por Kg (em US$)]]*60</f>
        <v>26.236147100221494</v>
      </c>
      <c r="AK87" s="171">
        <f>Delivery[[#This Row],[Valor Prêmio Nespresso AAA por saca (em US$)]]/1.3228/100</f>
        <v>0.19833797324025926</v>
      </c>
      <c r="AL87" s="171">
        <f>(Delivery[[#This Row],[BEN premium (total)]]/SUMIF(Allocation!C:C,Delivery[Delivery ID],Allocation!H:H))/Delivery[[#This Row],[Exchange rate for premiums VS USD]]</f>
        <v>0.13671403565593085</v>
      </c>
      <c r="AM87" s="171">
        <f>Delivery[[#This Row],[Valor Prêmio Nespresso BEN por Kg (em US$)]]*60</f>
        <v>8.2028421393558517</v>
      </c>
      <c r="AN87" s="171">
        <f>Delivery[[#This Row],[Valor Prêmio Nespresso BEN por saca (em US$)]]/1.3228/100</f>
        <v>6.201120456120239E-2</v>
      </c>
      <c r="AO87" s="171">
        <f>SUMIF(Allocation[Delivery ID],Delivery[[#This Row],[Delivery ID]],Allocation[Quantity allocated])*16*1.3228*Delivery[[#This Row],[Exchange rate VS USD]]/60</f>
        <v>3398.4737717546664</v>
      </c>
      <c r="AP87" s="171">
        <f>Delivery[[#This Row],[AAA Premium (total)]]</f>
        <v>4212.79</v>
      </c>
      <c r="AQ87" s="171">
        <f>Delivery[[#This Row],[Valor pago pelo Cluster]]-Delivery[[#This Row],[Valor efetivamente pago pela Nespresso]]</f>
        <v>814.3162282453336</v>
      </c>
    </row>
    <row r="88" spans="1:43" ht="15.75">
      <c r="A88" s="174" t="s">
        <v>69</v>
      </c>
      <c r="B88" s="232" t="s">
        <v>68</v>
      </c>
      <c r="C88" s="157" t="s">
        <v>1344</v>
      </c>
      <c r="D88" s="157" t="s">
        <v>468</v>
      </c>
      <c r="E88" s="177" t="s">
        <v>468</v>
      </c>
      <c r="F88" s="233" t="s">
        <v>543</v>
      </c>
      <c r="G88" s="234">
        <v>43284</v>
      </c>
      <c r="H88" s="157" t="s">
        <v>1358</v>
      </c>
      <c r="I88" s="157" t="s">
        <v>1359</v>
      </c>
      <c r="J88" s="237">
        <v>6000</v>
      </c>
      <c r="K88" s="175" t="s">
        <v>61</v>
      </c>
      <c r="L88" s="175" t="s">
        <v>439</v>
      </c>
      <c r="M88" s="175" t="s">
        <v>1343</v>
      </c>
      <c r="N88" s="180"/>
      <c r="O88" s="177"/>
      <c r="P88" s="185">
        <v>0</v>
      </c>
      <c r="Q88" s="177">
        <v>43279</v>
      </c>
      <c r="R88" s="178">
        <v>448.67389000000003</v>
      </c>
      <c r="S88" s="179">
        <v>46064</v>
      </c>
      <c r="T88" s="182" t="s">
        <v>45</v>
      </c>
      <c r="U88" s="183">
        <v>3.8380999999999998</v>
      </c>
      <c r="V88" s="179">
        <v>2687</v>
      </c>
      <c r="W88" s="179">
        <v>0</v>
      </c>
      <c r="X88" s="186" t="s">
        <v>45</v>
      </c>
      <c r="Y88" s="183">
        <v>3.8380999999999998</v>
      </c>
      <c r="Z88" s="220"/>
      <c r="AA88" s="172">
        <f>Delivery[[#This Row],[Quantity delivered]]*VLOOKUP(Delivery[[#This Row],[Unit]],Tab_Conversão[],4,FALSE)*VLOOKUP(CONCATENATE(Delivery[[#This Row],[Coffee specie]],Delivery[[#This Row],[Coffee state]]),Tab_Conversão[],4,FALSE)</f>
        <v>6000</v>
      </c>
      <c r="AB88" s="169">
        <f>SUMIF(Allocation!C:C,Delivery[[#This Row],[Delivery ID]],Allocation!D:D)/Delivery[[#This Row],[Quantity delivered]]</f>
        <v>0.32050000000000001</v>
      </c>
      <c r="AC88" s="170">
        <f>Delivery[[#This Row],[Quantity delivered]]*Delivery[[#This Row],[Base price (Unidad)]]/60</f>
        <v>44867.389000000003</v>
      </c>
      <c r="AD88" s="171">
        <f>Delivery[[#This Row],[Nespresso total]]-Delivery[[#This Row],[Qt. Delivery * Base Price]]</f>
        <v>1196.6109999999971</v>
      </c>
      <c r="AE88" s="171">
        <f>Delivery[[#This Row],[AAA Premium (total)]]/Delivery[[#This Row],[Quantity delivered]]*60/Delivery[[#This Row],[Exchange rate VS USD]]</f>
        <v>7.0008598004220843</v>
      </c>
      <c r="AF88" s="171">
        <f>Delivery[[#This Row],[BEN premium (total)]]/Delivery[[#This Row],[Quantity delivered]]*60/Delivery[[#This Row],[Exchange rate for premiums VS USD]]</f>
        <v>0</v>
      </c>
      <c r="AG88" s="171">
        <f>COUNTIF(Delivery[Delivery ID],Delivery[[#This Row],[Delivery ID]])</f>
        <v>1</v>
      </c>
      <c r="AH88" s="171">
        <f>(Delivery[[#This Row],[Nespresso total]]/SUMIF(Allocation!C:C,Delivery[Delivery ID],Allocation!H:H))/Delivery[[#This Row],[Exchange rate VS USD]]</f>
        <v>20.800297590919683</v>
      </c>
      <c r="AI88" s="171">
        <f>(Delivery[[#This Row],[AAA Premium (total)]]/SUMIF(Allocation!C:C,Delivery[Delivery ID],Allocation!H:H))/Delivery[[#This Row],[Exchange rate VS USD]]</f>
        <v>1.2133205893279175</v>
      </c>
      <c r="AJ88" s="171">
        <f>Delivery[[#This Row],[Valor Prêmio Nespresso AAA por Kg (em US$)]]*60</f>
        <v>72.799235359675052</v>
      </c>
      <c r="AK88" s="171">
        <f>Delivery[[#This Row],[Valor Prêmio Nespresso AAA por saca (em US$)]]/1.3228/100</f>
        <v>0.55034196673476754</v>
      </c>
      <c r="AL88" s="171">
        <f>(Delivery[[#This Row],[BEN premium (total)]]/SUMIF(Allocation!C:C,Delivery[Delivery ID],Allocation!H:H))/Delivery[[#This Row],[Exchange rate for premiums VS USD]]</f>
        <v>0</v>
      </c>
      <c r="AM88" s="171">
        <f>Delivery[[#This Row],[Valor Prêmio Nespresso BEN por Kg (em US$)]]*60</f>
        <v>0</v>
      </c>
      <c r="AN88" s="171">
        <f>Delivery[[#This Row],[Valor Prêmio Nespresso BEN por saca (em US$)]]/1.3228/100</f>
        <v>0</v>
      </c>
      <c r="AO88" s="171">
        <f>SUMIF(Allocation[Delivery ID],Delivery[[#This Row],[Delivery ID]],Allocation[Quantity allocated])*16*1.3228*Delivery[[#This Row],[Exchange rate VS USD]]/60</f>
        <v>781.18701822933326</v>
      </c>
      <c r="AP88" s="171">
        <f>Delivery[[#This Row],[AAA Premium (total)]]</f>
        <v>2687</v>
      </c>
      <c r="AQ88" s="171">
        <f>Delivery[[#This Row],[Valor pago pelo Cluster]]-Delivery[[#This Row],[Valor efetivamente pago pela Nespresso]]</f>
        <v>1905.8129817706667</v>
      </c>
    </row>
    <row r="89" spans="1:43" ht="15.75">
      <c r="A89" s="174" t="s">
        <v>69</v>
      </c>
      <c r="B89" s="232" t="s">
        <v>68</v>
      </c>
      <c r="C89" s="157">
        <v>1</v>
      </c>
      <c r="D89" s="157" t="s">
        <v>468</v>
      </c>
      <c r="E89" s="177" t="s">
        <v>468</v>
      </c>
      <c r="F89" s="233" t="s">
        <v>543</v>
      </c>
      <c r="G89" s="234">
        <v>43285</v>
      </c>
      <c r="H89" s="235" t="s">
        <v>1360</v>
      </c>
      <c r="I89" s="236" t="s">
        <v>480</v>
      </c>
      <c r="J89" s="237">
        <v>1320</v>
      </c>
      <c r="K89" s="175" t="s">
        <v>61</v>
      </c>
      <c r="L89" s="175" t="s">
        <v>439</v>
      </c>
      <c r="M89" s="175" t="s">
        <v>1343</v>
      </c>
      <c r="N89" s="180"/>
      <c r="O89" s="177"/>
      <c r="P89" s="185">
        <v>0</v>
      </c>
      <c r="Q89" s="177">
        <v>43277</v>
      </c>
      <c r="R89" s="178">
        <v>445.23750000000001</v>
      </c>
      <c r="S89" s="179">
        <v>9955.6094261999988</v>
      </c>
      <c r="T89" s="182" t="s">
        <v>45</v>
      </c>
      <c r="U89" s="183">
        <v>3.875</v>
      </c>
      <c r="V89" s="179">
        <v>596.75</v>
      </c>
      <c r="W89" s="179">
        <v>248.78057379999996</v>
      </c>
      <c r="X89" s="186" t="s">
        <v>45</v>
      </c>
      <c r="Y89" s="183">
        <v>3.875</v>
      </c>
      <c r="Z89" s="220" t="s">
        <v>473</v>
      </c>
      <c r="AA89" s="172">
        <f>Delivery[[#This Row],[Quantity delivered]]*VLOOKUP(Delivery[[#This Row],[Unit]],Tab_Conversão[],4,FALSE)*VLOOKUP(CONCATENATE(Delivery[[#This Row],[Coffee specie]],Delivery[[#This Row],[Coffee state]]),Tab_Conversão[],4,FALSE)</f>
        <v>1320</v>
      </c>
      <c r="AB89" s="169">
        <f>SUMIF(Allocation!C:C,Delivery[[#This Row],[Delivery ID]],Allocation!D:D)/Delivery[[#This Row],[Quantity delivered]]</f>
        <v>1</v>
      </c>
      <c r="AC89" s="170">
        <f>Delivery[[#This Row],[Quantity delivered]]*Delivery[[#This Row],[Base price (Unidad)]]/60</f>
        <v>9795.2250000000004</v>
      </c>
      <c r="AD89" s="171">
        <f>Delivery[[#This Row],[Nespresso total]]-Delivery[[#This Row],[Qt. Delivery * Base Price]]</f>
        <v>160.38442619999842</v>
      </c>
      <c r="AE89" s="171">
        <f>Delivery[[#This Row],[AAA Premium (total)]]/Delivery[[#This Row],[Quantity delivered]]*60/Delivery[[#This Row],[Exchange rate VS USD]]</f>
        <v>7</v>
      </c>
      <c r="AF89" s="171">
        <f>Delivery[[#This Row],[BEN premium (total)]]/Delivery[[#This Row],[Quantity delivered]]*60/Delivery[[#This Row],[Exchange rate for premiums VS USD]]</f>
        <v>2.9182471999999993</v>
      </c>
      <c r="AG89" s="171">
        <f>COUNTIF(Delivery[Delivery ID],Delivery[[#This Row],[Delivery ID]])</f>
        <v>1</v>
      </c>
      <c r="AH89" s="171">
        <f>(Delivery[[#This Row],[Nespresso total]]/SUMIF(Allocation!C:C,Delivery[Delivery ID],Allocation!H:H))/Delivery[[#This Row],[Exchange rate VS USD]]</f>
        <v>4.4220129592804387</v>
      </c>
      <c r="AI89" s="171">
        <f>(Delivery[[#This Row],[AAA Premium (total)]]/SUMIF(Allocation!C:C,Delivery[Delivery ID],Allocation!H:H))/Delivery[[#This Row],[Exchange rate VS USD]]</f>
        <v>0.26506024096385539</v>
      </c>
      <c r="AJ89" s="171">
        <f>Delivery[[#This Row],[Valor Prêmio Nespresso AAA por Kg (em US$)]]*60</f>
        <v>15.903614457831324</v>
      </c>
      <c r="AK89" s="171">
        <f>Delivery[[#This Row],[Valor Prêmio Nespresso AAA por saca (em US$)]]/1.3228/100</f>
        <v>0.12022690095124981</v>
      </c>
      <c r="AL89" s="171">
        <f>(Delivery[[#This Row],[BEN premium (total)]]/SUMIF(Allocation!C:C,Delivery[Delivery ID],Allocation!H:H))/Delivery[[#This Row],[Exchange rate for premiums VS USD]]</f>
        <v>0.11050161514629946</v>
      </c>
      <c r="AM89" s="171">
        <f>Delivery[[#This Row],[Valor Prêmio Nespresso BEN por Kg (em US$)]]*60</f>
        <v>6.6300969087779675</v>
      </c>
      <c r="AN89" s="171">
        <f>Delivery[[#This Row],[Valor Prêmio Nespresso BEN por saca (em US$)]]/1.3228/100</f>
        <v>5.0121688152237436E-2</v>
      </c>
      <c r="AO89" s="171">
        <f>SUMIF(Allocation[Delivery ID],Delivery[[#This Row],[Delivery ID]],Allocation[Quantity allocated])*16*1.3228*Delivery[[#This Row],[Exchange rate VS USD]]/60</f>
        <v>794.16502666666668</v>
      </c>
      <c r="AP89" s="171">
        <f>Delivery[[#This Row],[AAA Premium (total)]]</f>
        <v>596.75</v>
      </c>
      <c r="AQ89" s="171">
        <f>Delivery[[#This Row],[Valor pago pelo Cluster]]-Delivery[[#This Row],[Valor efetivamente pago pela Nespresso]]</f>
        <v>-197.41502666666668</v>
      </c>
    </row>
    <row r="90" spans="1:43" ht="15.75">
      <c r="A90" s="174" t="s">
        <v>69</v>
      </c>
      <c r="B90" s="232" t="s">
        <v>68</v>
      </c>
      <c r="C90" s="157">
        <v>1</v>
      </c>
      <c r="D90" s="157" t="s">
        <v>468</v>
      </c>
      <c r="E90" s="177" t="s">
        <v>468</v>
      </c>
      <c r="F90" s="233" t="s">
        <v>543</v>
      </c>
      <c r="G90" s="234">
        <v>43285</v>
      </c>
      <c r="H90" s="157" t="s">
        <v>557</v>
      </c>
      <c r="I90" s="157" t="s">
        <v>558</v>
      </c>
      <c r="J90" s="237">
        <v>9990</v>
      </c>
      <c r="K90" s="175" t="s">
        <v>61</v>
      </c>
      <c r="L90" s="175" t="s">
        <v>439</v>
      </c>
      <c r="M90" s="175" t="s">
        <v>1343</v>
      </c>
      <c r="N90" s="180"/>
      <c r="O90" s="177"/>
      <c r="P90" s="185">
        <v>0</v>
      </c>
      <c r="Q90" s="177">
        <v>43280</v>
      </c>
      <c r="R90" s="178">
        <v>443.36693999999994</v>
      </c>
      <c r="S90" s="179">
        <v>76671.25</v>
      </c>
      <c r="T90" s="182" t="s">
        <v>45</v>
      </c>
      <c r="U90" s="183">
        <v>3.8603999999999998</v>
      </c>
      <c r="V90" s="179">
        <v>4498.83</v>
      </c>
      <c r="W90" s="179">
        <v>0</v>
      </c>
      <c r="X90" s="186" t="s">
        <v>45</v>
      </c>
      <c r="Y90" s="183">
        <v>3.8603999999999998</v>
      </c>
      <c r="Z90" s="220"/>
      <c r="AA90" s="172">
        <f>Delivery[[#This Row],[Quantity delivered]]*VLOOKUP(Delivery[[#This Row],[Unit]],Tab_Conversão[],4,FALSE)*VLOOKUP(CONCATENATE(Delivery[[#This Row],[Coffee specie]],Delivery[[#This Row],[Coffee state]]),Tab_Conversão[],4,FALSE)</f>
        <v>9990</v>
      </c>
      <c r="AB90" s="169">
        <f>SUMIF(Allocation!C:C,Delivery[[#This Row],[Delivery ID]],Allocation!D:D)/Delivery[[#This Row],[Quantity delivered]]</f>
        <v>1</v>
      </c>
      <c r="AC90" s="170">
        <f>Delivery[[#This Row],[Quantity delivered]]*Delivery[[#This Row],[Base price (Unidad)]]/60</f>
        <v>73820.595509999985</v>
      </c>
      <c r="AD90" s="171">
        <f>Delivery[[#This Row],[Nespresso total]]-Delivery[[#This Row],[Qt. Delivery * Base Price]]</f>
        <v>2850.6544900000154</v>
      </c>
      <c r="AE90" s="171">
        <f>Delivery[[#This Row],[AAA Premium (total)]]/Delivery[[#This Row],[Quantity delivered]]*60/Delivery[[#This Row],[Exchange rate VS USD]]</f>
        <v>6.9992746865609785</v>
      </c>
      <c r="AF90" s="171">
        <f>Delivery[[#This Row],[BEN premium (total)]]/Delivery[[#This Row],[Quantity delivered]]*60/Delivery[[#This Row],[Exchange rate for premiums VS USD]]</f>
        <v>0</v>
      </c>
      <c r="AG90" s="171">
        <f>COUNTIF(Delivery[Delivery ID],Delivery[[#This Row],[Delivery ID]])</f>
        <v>1</v>
      </c>
      <c r="AH90" s="171">
        <f>(Delivery[[#This Row],[Nespresso total]]/SUMIF(Allocation!C:C,Delivery[Delivery ID],Allocation!H:H))/Delivery[[#This Row],[Exchange rate VS USD]]</f>
        <v>6.3985051559744353</v>
      </c>
      <c r="AI90" s="171">
        <f>(Delivery[[#This Row],[AAA Premium (total)]]/SUMIF(Allocation!C:C,Delivery[Delivery ID],Allocation!H:H))/Delivery[[#This Row],[Exchange rate VS USD]]</f>
        <v>0.37544434127332565</v>
      </c>
      <c r="AJ90" s="171">
        <f>Delivery[[#This Row],[Valor Prêmio Nespresso AAA por Kg (em US$)]]*60</f>
        <v>22.526660476399538</v>
      </c>
      <c r="AK90" s="171">
        <f>Delivery[[#This Row],[Valor Prêmio Nespresso AAA por saca (em US$)]]/1.3228/100</f>
        <v>0.17029528633504337</v>
      </c>
      <c r="AL90" s="171">
        <f>(Delivery[[#This Row],[BEN premium (total)]]/SUMIF(Allocation!C:C,Delivery[Delivery ID],Allocation!H:H))/Delivery[[#This Row],[Exchange rate for premiums VS USD]]</f>
        <v>0</v>
      </c>
      <c r="AM90" s="171">
        <f>Delivery[[#This Row],[Valor Prêmio Nespresso BEN por Kg (em US$)]]*60</f>
        <v>0</v>
      </c>
      <c r="AN90" s="171">
        <f>Delivery[[#This Row],[Valor Prêmio Nespresso BEN por saca (em US$)]]/1.3228/100</f>
        <v>0</v>
      </c>
      <c r="AO90" s="171">
        <f>SUMIF(Allocation[Delivery ID],Delivery[[#This Row],[Delivery ID]],Allocation[Quantity allocated])*16*1.3228*Delivery[[#This Row],[Exchange rate VS USD]]/60</f>
        <v>4226.8509921280001</v>
      </c>
      <c r="AP90" s="171">
        <f>Delivery[[#This Row],[AAA Premium (total)]]</f>
        <v>4498.83</v>
      </c>
      <c r="AQ90" s="171">
        <f>Delivery[[#This Row],[Valor pago pelo Cluster]]-Delivery[[#This Row],[Valor efetivamente pago pela Nespresso]]</f>
        <v>271.97900787199978</v>
      </c>
    </row>
    <row r="91" spans="1:43" ht="15.75">
      <c r="A91" s="174" t="s">
        <v>69</v>
      </c>
      <c r="B91" s="232" t="s">
        <v>68</v>
      </c>
      <c r="C91" s="157">
        <v>1</v>
      </c>
      <c r="D91" s="157" t="s">
        <v>468</v>
      </c>
      <c r="E91" s="177" t="s">
        <v>468</v>
      </c>
      <c r="F91" s="233" t="s">
        <v>543</v>
      </c>
      <c r="G91" s="234">
        <v>43285</v>
      </c>
      <c r="H91" s="157" t="s">
        <v>559</v>
      </c>
      <c r="I91" s="157" t="s">
        <v>560</v>
      </c>
      <c r="J91" s="237">
        <v>22490</v>
      </c>
      <c r="K91" s="175" t="s">
        <v>61</v>
      </c>
      <c r="L91" s="175" t="s">
        <v>439</v>
      </c>
      <c r="M91" s="175" t="s">
        <v>1343</v>
      </c>
      <c r="N91" s="180"/>
      <c r="O91" s="177"/>
      <c r="P91" s="185">
        <v>0</v>
      </c>
      <c r="Q91" s="177">
        <v>43280</v>
      </c>
      <c r="R91" s="178">
        <v>444.19191000000001</v>
      </c>
      <c r="S91" s="179">
        <v>174477.42</v>
      </c>
      <c r="T91" s="182" t="s">
        <v>45</v>
      </c>
      <c r="U91" s="183">
        <v>3.8658999999999999</v>
      </c>
      <c r="V91" s="179">
        <v>10142.98</v>
      </c>
      <c r="W91" s="179">
        <v>0</v>
      </c>
      <c r="X91" s="186" t="s">
        <v>45</v>
      </c>
      <c r="Y91" s="183">
        <v>3.8658999999999999</v>
      </c>
      <c r="Z91" s="220"/>
      <c r="AA91" s="172">
        <f>Delivery[[#This Row],[Quantity delivered]]*VLOOKUP(Delivery[[#This Row],[Unit]],Tab_Conversão[],4,FALSE)*VLOOKUP(CONCATENATE(Delivery[[#This Row],[Coffee specie]],Delivery[[#This Row],[Coffee state]]),Tab_Conversão[],4,FALSE)</f>
        <v>22490</v>
      </c>
      <c r="AB91" s="169">
        <f>SUMIF(Allocation!C:C,Delivery[[#This Row],[Delivery ID]],Allocation!D:D)/Delivery[[#This Row],[Quantity delivered]]</f>
        <v>0.67496665184526461</v>
      </c>
      <c r="AC91" s="170">
        <f>Delivery[[#This Row],[Quantity delivered]]*Delivery[[#This Row],[Base price (Unidad)]]/60</f>
        <v>166497.93426499999</v>
      </c>
      <c r="AD91" s="171">
        <f>Delivery[[#This Row],[Nespresso total]]-Delivery[[#This Row],[Qt. Delivery * Base Price]]</f>
        <v>7979.4857350000239</v>
      </c>
      <c r="AE91" s="171">
        <f>Delivery[[#This Row],[AAA Premium (total)]]/Delivery[[#This Row],[Quantity delivered]]*60/Delivery[[#This Row],[Exchange rate VS USD]]</f>
        <v>6.9996568254419955</v>
      </c>
      <c r="AF91" s="171">
        <f>Delivery[[#This Row],[BEN premium (total)]]/Delivery[[#This Row],[Quantity delivered]]*60/Delivery[[#This Row],[Exchange rate for premiums VS USD]]</f>
        <v>0</v>
      </c>
      <c r="AG91" s="171">
        <f>COUNTIF(Delivery[Delivery ID],Delivery[[#This Row],[Delivery ID]])</f>
        <v>1</v>
      </c>
      <c r="AH91" s="171">
        <f>(Delivery[[#This Row],[Nespresso total]]/SUMIF(Allocation!C:C,Delivery[Delivery ID],Allocation!H:H))/Delivery[[#This Row],[Exchange rate VS USD]]</f>
        <v>9.0102653940928015</v>
      </c>
      <c r="AI91" s="171">
        <f>(Delivery[[#This Row],[AAA Premium (total)]]/SUMIF(Allocation!C:C,Delivery[Delivery ID],Allocation!H:H))/Delivery[[#This Row],[Exchange rate VS USD]]</f>
        <v>0.52379810342779831</v>
      </c>
      <c r="AJ91" s="171">
        <f>Delivery[[#This Row],[Valor Prêmio Nespresso AAA por Kg (em US$)]]*60</f>
        <v>31.4278862056679</v>
      </c>
      <c r="AK91" s="171">
        <f>Delivery[[#This Row],[Valor Prêmio Nespresso AAA por saca (em US$)]]/1.3228/100</f>
        <v>0.23758607654723238</v>
      </c>
      <c r="AL91" s="171">
        <f>(Delivery[[#This Row],[BEN premium (total)]]/SUMIF(Allocation!C:C,Delivery[Delivery ID],Allocation!H:H))/Delivery[[#This Row],[Exchange rate for premiums VS USD]]</f>
        <v>0</v>
      </c>
      <c r="AM91" s="171">
        <f>Delivery[[#This Row],[Valor Prêmio Nespresso BEN por Kg (em US$)]]*60</f>
        <v>0</v>
      </c>
      <c r="AN91" s="171">
        <f>Delivery[[#This Row],[Valor Prêmio Nespresso BEN por saca (em US$)]]/1.3228/100</f>
        <v>0</v>
      </c>
      <c r="AO91" s="171">
        <f>SUMIF(Allocation[Delivery ID],Delivery[[#This Row],[Delivery ID]],Allocation[Quantity allocated])*16*1.3228*Delivery[[#This Row],[Exchange rate VS USD]]/60</f>
        <v>6830.689843381333</v>
      </c>
      <c r="AP91" s="171">
        <f>Delivery[[#This Row],[AAA Premium (total)]]</f>
        <v>10142.98</v>
      </c>
      <c r="AQ91" s="171">
        <f>Delivery[[#This Row],[Valor pago pelo Cluster]]-Delivery[[#This Row],[Valor efetivamente pago pela Nespresso]]</f>
        <v>3312.2901566186665</v>
      </c>
    </row>
    <row r="92" spans="1:43" ht="15.75">
      <c r="A92" s="174" t="s">
        <v>69</v>
      </c>
      <c r="B92" s="232" t="s">
        <v>68</v>
      </c>
      <c r="C92" s="157" t="s">
        <v>1344</v>
      </c>
      <c r="D92" s="157" t="s">
        <v>468</v>
      </c>
      <c r="E92" s="177" t="s">
        <v>468</v>
      </c>
      <c r="F92" s="233" t="s">
        <v>543</v>
      </c>
      <c r="G92" s="234">
        <v>43285</v>
      </c>
      <c r="H92" s="157" t="s">
        <v>1361</v>
      </c>
      <c r="I92" s="157" t="s">
        <v>1362</v>
      </c>
      <c r="J92" s="237">
        <v>15020</v>
      </c>
      <c r="K92" s="175" t="s">
        <v>61</v>
      </c>
      <c r="L92" s="175" t="s">
        <v>439</v>
      </c>
      <c r="M92" s="175" t="s">
        <v>1343</v>
      </c>
      <c r="N92" s="180"/>
      <c r="O92" s="177"/>
      <c r="P92" s="185">
        <v>0</v>
      </c>
      <c r="Q92" s="177">
        <v>42634</v>
      </c>
      <c r="R92" s="178">
        <v>656.44999999999993</v>
      </c>
      <c r="S92" s="179">
        <v>165316.62307032</v>
      </c>
      <c r="T92" s="182" t="s">
        <v>45</v>
      </c>
      <c r="U92" s="183">
        <v>3.8</v>
      </c>
      <c r="V92" s="179">
        <v>6658.87</v>
      </c>
      <c r="W92" s="179">
        <v>2082.0234648400001</v>
      </c>
      <c r="X92" s="186" t="s">
        <v>45</v>
      </c>
      <c r="Y92" s="183">
        <v>3.8</v>
      </c>
      <c r="Z92" s="220" t="s">
        <v>473</v>
      </c>
      <c r="AA92" s="172">
        <f>Delivery[[#This Row],[Quantity delivered]]*VLOOKUP(Delivery[[#This Row],[Unit]],Tab_Conversão[],4,FALSE)*VLOOKUP(CONCATENATE(Delivery[[#This Row],[Coffee specie]],Delivery[[#This Row],[Coffee state]]),Tab_Conversão[],4,FALSE)</f>
        <v>15020</v>
      </c>
      <c r="AB92" s="169">
        <f>SUMIF(Allocation!C:C,Delivery[[#This Row],[Delivery ID]],Allocation!D:D)/Delivery[[#This Row],[Quantity delivered]]</f>
        <v>0.42383488681757658</v>
      </c>
      <c r="AC92" s="170">
        <f>Delivery[[#This Row],[Quantity delivered]]*Delivery[[#This Row],[Base price (Unidad)]]/60</f>
        <v>164331.31666666662</v>
      </c>
      <c r="AD92" s="171">
        <f>Delivery[[#This Row],[Nespresso total]]-Delivery[[#This Row],[Qt. Delivery * Base Price]]</f>
        <v>985.30640365337604</v>
      </c>
      <c r="AE92" s="171">
        <f>Delivery[[#This Row],[AAA Premium (total)]]/Delivery[[#This Row],[Quantity delivered]]*60/Delivery[[#This Row],[Exchange rate VS USD]]</f>
        <v>7.0000035040997961</v>
      </c>
      <c r="AF92" s="171">
        <f>Delivery[[#This Row],[BEN premium (total)]]/Delivery[[#This Row],[Quantity delivered]]*60/Delivery[[#This Row],[Exchange rate for premiums VS USD]]</f>
        <v>2.1886854000000002</v>
      </c>
      <c r="AG92" s="171">
        <f>COUNTIF(Delivery[Delivery ID],Delivery[[#This Row],[Delivery ID]])</f>
        <v>1</v>
      </c>
      <c r="AH92" s="171">
        <f>(Delivery[[#This Row],[Nespresso total]]/SUMIF(Allocation!C:C,Delivery[Delivery ID],Allocation!H:H))/Delivery[[#This Row],[Exchange rate VS USD]]</f>
        <v>20.706508563631353</v>
      </c>
      <c r="AI92" s="171">
        <f>(Delivery[[#This Row],[AAA Premium (total)]]/SUMIF(Allocation!C:C,Delivery[Delivery ID],Allocation!H:H))/Delivery[[#This Row],[Exchange rate VS USD]]</f>
        <v>0.83404769658558586</v>
      </c>
      <c r="AJ92" s="171">
        <f>Delivery[[#This Row],[Valor Prêmio Nespresso AAA por Kg (em US$)]]*60</f>
        <v>50.042861795135153</v>
      </c>
      <c r="AK92" s="171">
        <f>Delivery[[#This Row],[Valor Prêmio Nespresso AAA por saca (em US$)]]/1.3228/100</f>
        <v>0.37831011335905018</v>
      </c>
      <c r="AL92" s="171">
        <f>(Delivery[[#This Row],[BEN premium (total)]]/SUMIF(Allocation!C:C,Delivery[Delivery ID],Allocation!H:H))/Delivery[[#This Row],[Exchange rate for premiums VS USD]]</f>
        <v>0.26078101465968589</v>
      </c>
      <c r="AM92" s="171">
        <f>Delivery[[#This Row],[Valor Prêmio Nespresso BEN por Kg (em US$)]]*60</f>
        <v>15.646860879581153</v>
      </c>
      <c r="AN92" s="171">
        <f>Delivery[[#This Row],[Valor Prêmio Nespresso BEN por saca (em US$)]]/1.3228/100</f>
        <v>0.11828591532794945</v>
      </c>
      <c r="AO92" s="171">
        <f>SUMIF(Allocation[Delivery ID],Delivery[[#This Row],[Delivery ID]],Allocation[Quantity allocated])*16*1.3228*Delivery[[#This Row],[Exchange rate VS USD]]/60</f>
        <v>2816.2588373333333</v>
      </c>
      <c r="AP92" s="171">
        <f>Delivery[[#This Row],[AAA Premium (total)]]</f>
        <v>6658.87</v>
      </c>
      <c r="AQ92" s="171">
        <f>Delivery[[#This Row],[Valor pago pelo Cluster]]-Delivery[[#This Row],[Valor efetivamente pago pela Nespresso]]</f>
        <v>3842.6111626666666</v>
      </c>
    </row>
    <row r="93" spans="1:43" ht="15.75">
      <c r="A93" s="174" t="s">
        <v>69</v>
      </c>
      <c r="B93" s="232" t="s">
        <v>68</v>
      </c>
      <c r="C93" s="157">
        <v>1</v>
      </c>
      <c r="D93" s="157" t="s">
        <v>468</v>
      </c>
      <c r="E93" s="177" t="s">
        <v>468</v>
      </c>
      <c r="F93" s="233" t="s">
        <v>543</v>
      </c>
      <c r="G93" s="234">
        <v>43286</v>
      </c>
      <c r="H93" s="157" t="s">
        <v>561</v>
      </c>
      <c r="I93" s="157" t="s">
        <v>562</v>
      </c>
      <c r="J93" s="237">
        <v>11500</v>
      </c>
      <c r="K93" s="175" t="s">
        <v>61</v>
      </c>
      <c r="L93" s="175" t="s">
        <v>439</v>
      </c>
      <c r="M93" s="175" t="s">
        <v>1343</v>
      </c>
      <c r="N93" s="180"/>
      <c r="O93" s="177"/>
      <c r="P93" s="185">
        <v>0</v>
      </c>
      <c r="Q93" s="177">
        <v>43284</v>
      </c>
      <c r="R93" s="178">
        <v>434.68515000000002</v>
      </c>
      <c r="S93" s="179">
        <v>83403.75</v>
      </c>
      <c r="T93" s="182" t="s">
        <v>45</v>
      </c>
      <c r="U93" s="183">
        <v>3.8898000000000001</v>
      </c>
      <c r="V93" s="179">
        <v>5219.08</v>
      </c>
      <c r="W93" s="179">
        <v>0</v>
      </c>
      <c r="X93" s="186" t="s">
        <v>45</v>
      </c>
      <c r="Y93" s="183">
        <v>3.8898000000000001</v>
      </c>
      <c r="Z93" s="220"/>
      <c r="AA93" s="172">
        <f>Delivery[[#This Row],[Quantity delivered]]*VLOOKUP(Delivery[[#This Row],[Unit]],Tab_Conversão[],4,FALSE)*VLOOKUP(CONCATENATE(Delivery[[#This Row],[Coffee specie]],Delivery[[#This Row],[Coffee state]]),Tab_Conversão[],4,FALSE)</f>
        <v>11500</v>
      </c>
      <c r="AB93" s="169">
        <f>SUMIF(Allocation!C:C,Delivery[[#This Row],[Delivery ID]],Allocation!D:D)/Delivery[[#This Row],[Quantity delivered]]</f>
        <v>0.93356521739130438</v>
      </c>
      <c r="AC93" s="170">
        <f>Delivery[[#This Row],[Quantity delivered]]*Delivery[[#This Row],[Base price (Unidad)]]/60</f>
        <v>83314.653750000012</v>
      </c>
      <c r="AD93" s="171">
        <f>Delivery[[#This Row],[Nespresso total]]-Delivery[[#This Row],[Qt. Delivery * Base Price]]</f>
        <v>89.096249999987776</v>
      </c>
      <c r="AE93" s="171">
        <f>Delivery[[#This Row],[AAA Premium (total)]]/Delivery[[#This Row],[Quantity delivered]]*60/Delivery[[#This Row],[Exchange rate VS USD]]</f>
        <v>7.0003554446747014</v>
      </c>
      <c r="AF93" s="171">
        <f>Delivery[[#This Row],[BEN premium (total)]]/Delivery[[#This Row],[Quantity delivered]]*60/Delivery[[#This Row],[Exchange rate for premiums VS USD]]</f>
        <v>0</v>
      </c>
      <c r="AG93" s="171">
        <f>COUNTIF(Delivery[Delivery ID],Delivery[[#This Row],[Delivery ID]])</f>
        <v>1</v>
      </c>
      <c r="AH93" s="171">
        <f>(Delivery[[#This Row],[Nespresso total]]/SUMIF(Allocation!C:C,Delivery[Delivery ID],Allocation!H:H))/Delivery[[#This Row],[Exchange rate VS USD]]</f>
        <v>5.8312904808127497</v>
      </c>
      <c r="AI93" s="171">
        <f>(Delivery[[#This Row],[AAA Premium (total)]]/SUMIF(Allocation!C:C,Delivery[Delivery ID],Allocation!H:H))/Delivery[[#This Row],[Exchange rate VS USD]]</f>
        <v>0.36489931834719908</v>
      </c>
      <c r="AJ93" s="171">
        <f>Delivery[[#This Row],[Valor Prêmio Nespresso AAA por Kg (em US$)]]*60</f>
        <v>21.893959100831946</v>
      </c>
      <c r="AK93" s="171">
        <f>Delivery[[#This Row],[Valor Prêmio Nespresso AAA por saca (em US$)]]/1.3228/100</f>
        <v>0.16551223995185929</v>
      </c>
      <c r="AL93" s="171">
        <f>(Delivery[[#This Row],[BEN premium (total)]]/SUMIF(Allocation!C:C,Delivery[Delivery ID],Allocation!H:H))/Delivery[[#This Row],[Exchange rate for premiums VS USD]]</f>
        <v>0</v>
      </c>
      <c r="AM93" s="171">
        <f>Delivery[[#This Row],[Valor Prêmio Nespresso BEN por Kg (em US$)]]*60</f>
        <v>0</v>
      </c>
      <c r="AN93" s="171">
        <f>Delivery[[#This Row],[Valor Prêmio Nespresso BEN por saca (em US$)]]/1.3228/100</f>
        <v>0</v>
      </c>
      <c r="AO93" s="171">
        <f>SUMIF(Allocation[Delivery ID],Delivery[[#This Row],[Delivery ID]],Allocation[Quantity allocated])*16*1.3228*Delivery[[#This Row],[Exchange rate VS USD]]/60</f>
        <v>5045.2631191680002</v>
      </c>
      <c r="AP93" s="171">
        <f>Delivery[[#This Row],[AAA Premium (total)]]</f>
        <v>5219.08</v>
      </c>
      <c r="AQ93" s="171">
        <f>Delivery[[#This Row],[Valor pago pelo Cluster]]-Delivery[[#This Row],[Valor efetivamente pago pela Nespresso]]</f>
        <v>173.8168808319997</v>
      </c>
    </row>
    <row r="94" spans="1:43" ht="15.75">
      <c r="A94" s="174" t="s">
        <v>69</v>
      </c>
      <c r="B94" s="232" t="s">
        <v>68</v>
      </c>
      <c r="C94" s="157">
        <v>1</v>
      </c>
      <c r="D94" s="157" t="s">
        <v>468</v>
      </c>
      <c r="E94" s="177" t="s">
        <v>468</v>
      </c>
      <c r="F94" s="233" t="s">
        <v>543</v>
      </c>
      <c r="G94" s="234">
        <v>43286</v>
      </c>
      <c r="H94" s="235" t="s">
        <v>1981</v>
      </c>
      <c r="I94" s="236" t="s">
        <v>1982</v>
      </c>
      <c r="J94" s="237">
        <v>15580</v>
      </c>
      <c r="K94" s="175" t="s">
        <v>61</v>
      </c>
      <c r="L94" s="175" t="s">
        <v>439</v>
      </c>
      <c r="M94" s="175" t="s">
        <v>1343</v>
      </c>
      <c r="N94" s="180"/>
      <c r="O94" s="177"/>
      <c r="P94" s="185">
        <v>0</v>
      </c>
      <c r="Q94" s="177">
        <v>43276</v>
      </c>
      <c r="R94" s="178">
        <v>442.06668000000002</v>
      </c>
      <c r="S94" s="179">
        <v>122978.08</v>
      </c>
      <c r="T94" s="182" t="s">
        <v>45</v>
      </c>
      <c r="U94" s="183">
        <v>3.7719</v>
      </c>
      <c r="V94" s="179">
        <v>6855.2</v>
      </c>
      <c r="W94" s="179">
        <v>0</v>
      </c>
      <c r="X94" s="186" t="s">
        <v>45</v>
      </c>
      <c r="Y94" s="183">
        <v>3.7719</v>
      </c>
      <c r="Z94" s="220"/>
      <c r="AA94" s="172">
        <f>Delivery[[#This Row],[Quantity delivered]]*VLOOKUP(Delivery[[#This Row],[Unit]],Tab_Conversão[],4,FALSE)*VLOOKUP(CONCATENATE(Delivery[[#This Row],[Coffee specie]],Delivery[[#This Row],[Coffee state]]),Tab_Conversão[],4,FALSE)</f>
        <v>15580</v>
      </c>
      <c r="AB94" s="169">
        <f>SUMIF(Allocation!C:C,Delivery[[#This Row],[Delivery ID]],Allocation!D:D)/Delivery[[#This Row],[Quantity delivered]]</f>
        <v>1</v>
      </c>
      <c r="AC94" s="170">
        <f>Delivery[[#This Row],[Quantity delivered]]*Delivery[[#This Row],[Base price (Unidad)]]/60</f>
        <v>114789.98124000001</v>
      </c>
      <c r="AD94" s="171">
        <f>Delivery[[#This Row],[Nespresso total]]-Delivery[[#This Row],[Qt. Delivery * Base Price]]</f>
        <v>8188.0987599999935</v>
      </c>
      <c r="AE94" s="171">
        <f>Delivery[[#This Row],[AAA Premium (total)]]/Delivery[[#This Row],[Quantity delivered]]*60/Delivery[[#This Row],[Exchange rate VS USD]]</f>
        <v>6.9991251093613291</v>
      </c>
      <c r="AF94" s="171">
        <f>Delivery[[#This Row],[BEN premium (total)]]/Delivery[[#This Row],[Quantity delivered]]*60/Delivery[[#This Row],[Exchange rate for premiums VS USD]]</f>
        <v>0</v>
      </c>
      <c r="AG94" s="171">
        <f>COUNTIF(Delivery[Delivery ID],Delivery[[#This Row],[Delivery ID]])</f>
        <v>1</v>
      </c>
      <c r="AH94" s="171">
        <f>(Delivery[[#This Row],[Nespresso total]]/SUMIF(Allocation!C:C,Delivery[Delivery ID],Allocation!H:H))/Delivery[[#This Row],[Exchange rate VS USD]]</f>
        <v>6.3308250046267025</v>
      </c>
      <c r="AI94" s="171">
        <f>(Delivery[[#This Row],[AAA Premium (total)]]/SUMIF(Allocation!C:C,Delivery[Delivery ID],Allocation!H:H))/Delivery[[#This Row],[Exchange rate VS USD]]</f>
        <v>0.35290087120986896</v>
      </c>
      <c r="AJ94" s="171">
        <f>Delivery[[#This Row],[Valor Prêmio Nespresso AAA por Kg (em US$)]]*60</f>
        <v>21.174052272592139</v>
      </c>
      <c r="AK94" s="171">
        <f>Delivery[[#This Row],[Valor Prêmio Nespresso AAA por saca (em US$)]]/1.3228/100</f>
        <v>0.16006994460683505</v>
      </c>
      <c r="AL94" s="171">
        <f>(Delivery[[#This Row],[BEN premium (total)]]/SUMIF(Allocation!C:C,Delivery[Delivery ID],Allocation!H:H))/Delivery[[#This Row],[Exchange rate for premiums VS USD]]</f>
        <v>0</v>
      </c>
      <c r="AM94" s="171">
        <f>Delivery[[#This Row],[Valor Prêmio Nespresso BEN por Kg (em US$)]]*60</f>
        <v>0</v>
      </c>
      <c r="AN94" s="171">
        <f>Delivery[[#This Row],[Valor Prêmio Nespresso BEN por saca (em US$)]]/1.3228/100</f>
        <v>0</v>
      </c>
      <c r="AO94" s="171">
        <f>SUMIF(Allocation[Delivery ID],Delivery[[#This Row],[Delivery ID]],Allocation[Quantity allocated])*16*1.3228*Delivery[[#This Row],[Exchange rate VS USD]]/60</f>
        <v>6852.2045327999995</v>
      </c>
      <c r="AP94" s="171">
        <f>Delivery[[#This Row],[AAA Premium (total)]]</f>
        <v>6855.2</v>
      </c>
      <c r="AQ94" s="171">
        <f>Delivery[[#This Row],[Valor pago pelo Cluster]]-Delivery[[#This Row],[Valor efetivamente pago pela Nespresso]]</f>
        <v>2.9954672000003484</v>
      </c>
    </row>
    <row r="95" spans="1:43" ht="15.75">
      <c r="A95" s="174" t="s">
        <v>69</v>
      </c>
      <c r="B95" s="232" t="s">
        <v>68</v>
      </c>
      <c r="C95" s="157">
        <v>1</v>
      </c>
      <c r="D95" s="157" t="s">
        <v>468</v>
      </c>
      <c r="E95" s="177" t="s">
        <v>468</v>
      </c>
      <c r="F95" s="233" t="s">
        <v>543</v>
      </c>
      <c r="G95" s="234">
        <v>43286</v>
      </c>
      <c r="H95" s="235" t="s">
        <v>1363</v>
      </c>
      <c r="I95" s="236" t="s">
        <v>1364</v>
      </c>
      <c r="J95" s="237">
        <v>4040</v>
      </c>
      <c r="K95" s="175" t="s">
        <v>61</v>
      </c>
      <c r="L95" s="175" t="s">
        <v>439</v>
      </c>
      <c r="M95" s="175" t="s">
        <v>1343</v>
      </c>
      <c r="N95" s="180"/>
      <c r="O95" s="177"/>
      <c r="P95" s="185">
        <v>0</v>
      </c>
      <c r="Q95" s="177">
        <v>43285</v>
      </c>
      <c r="R95" s="178">
        <v>437.94839999999999</v>
      </c>
      <c r="S95" s="179">
        <v>30874.080000000002</v>
      </c>
      <c r="T95" s="182" t="s">
        <v>45</v>
      </c>
      <c r="U95" s="183">
        <v>3.9119999999999999</v>
      </c>
      <c r="V95" s="179">
        <v>2634.08</v>
      </c>
      <c r="W95" s="179">
        <v>0</v>
      </c>
      <c r="X95" s="186" t="s">
        <v>45</v>
      </c>
      <c r="Y95" s="183">
        <v>3.9119999999999999</v>
      </c>
      <c r="Z95" s="220"/>
      <c r="AA95" s="172">
        <f>Delivery[[#This Row],[Quantity delivered]]*VLOOKUP(Delivery[[#This Row],[Unit]],Tab_Conversão[],4,FALSE)*VLOOKUP(CONCATENATE(Delivery[[#This Row],[Coffee specie]],Delivery[[#This Row],[Coffee state]]),Tab_Conversão[],4,FALSE)</f>
        <v>4040</v>
      </c>
      <c r="AB95" s="169">
        <f>SUMIF(Allocation!C:C,Delivery[[#This Row],[Delivery ID]],Allocation!D:D)/Delivery[[#This Row],[Quantity delivered]]</f>
        <v>1</v>
      </c>
      <c r="AC95" s="170">
        <f>Delivery[[#This Row],[Quantity delivered]]*Delivery[[#This Row],[Base price (Unidad)]]/60</f>
        <v>29488.525600000001</v>
      </c>
      <c r="AD95" s="171">
        <f>Delivery[[#This Row],[Nespresso total]]-Delivery[[#This Row],[Qt. Delivery * Base Price]]</f>
        <v>1385.5544000000009</v>
      </c>
      <c r="AE95" s="171">
        <f>Delivery[[#This Row],[AAA Premium (total)]]/Delivery[[#This Row],[Quantity delivered]]*60/Delivery[[#This Row],[Exchange rate VS USD]]</f>
        <v>10.000000000000002</v>
      </c>
      <c r="AF95" s="171">
        <f>Delivery[[#This Row],[BEN premium (total)]]/Delivery[[#This Row],[Quantity delivered]]*60/Delivery[[#This Row],[Exchange rate for premiums VS USD]]</f>
        <v>0</v>
      </c>
      <c r="AG95" s="171">
        <f>COUNTIF(Delivery[Delivery ID],Delivery[[#This Row],[Delivery ID]])</f>
        <v>1</v>
      </c>
      <c r="AH95" s="171">
        <f>(Delivery[[#This Row],[Nespresso total]]/SUMIF(Allocation!C:C,Delivery[Delivery ID],Allocation!H:H))/Delivery[[#This Row],[Exchange rate VS USD]]</f>
        <v>5.9205905770921268</v>
      </c>
      <c r="AI95" s="171">
        <f>(Delivery[[#This Row],[AAA Premium (total)]]/SUMIF(Allocation!C:C,Delivery[Delivery ID],Allocation!H:H))/Delivery[[#This Row],[Exchange rate VS USD]]</f>
        <v>0.50512628157039263</v>
      </c>
      <c r="AJ95" s="171">
        <f>Delivery[[#This Row],[Valor Prêmio Nespresso AAA por Kg (em US$)]]*60</f>
        <v>30.307576894223558</v>
      </c>
      <c r="AK95" s="171">
        <f>Delivery[[#This Row],[Valor Prêmio Nespresso AAA por saca (em US$)]]/1.3228/100</f>
        <v>0.22911684982025673</v>
      </c>
      <c r="AL95" s="171">
        <f>(Delivery[[#This Row],[BEN premium (total)]]/SUMIF(Allocation!C:C,Delivery[Delivery ID],Allocation!H:H))/Delivery[[#This Row],[Exchange rate for premiums VS USD]]</f>
        <v>0</v>
      </c>
      <c r="AM95" s="171">
        <f>Delivery[[#This Row],[Valor Prêmio Nespresso BEN por Kg (em US$)]]*60</f>
        <v>0</v>
      </c>
      <c r="AN95" s="171">
        <f>Delivery[[#This Row],[Valor Prêmio Nespresso BEN por saca (em US$)]]/1.3228/100</f>
        <v>0</v>
      </c>
      <c r="AO95" s="171">
        <f>SUMIF(Allocation[Delivery ID],Delivery[[#This Row],[Delivery ID]],Allocation[Quantity allocated])*16*1.3228*Delivery[[#This Row],[Exchange rate VS USD]]/60</f>
        <v>1839.4666316799999</v>
      </c>
      <c r="AP95" s="171">
        <f>Delivery[[#This Row],[AAA Premium (total)]]</f>
        <v>2634.08</v>
      </c>
      <c r="AQ95" s="171">
        <f>Delivery[[#This Row],[Valor pago pelo Cluster]]-Delivery[[#This Row],[Valor efetivamente pago pela Nespresso]]</f>
        <v>794.61336832000006</v>
      </c>
    </row>
    <row r="96" spans="1:43" ht="15.75">
      <c r="A96" s="174" t="s">
        <v>69</v>
      </c>
      <c r="B96" s="232" t="s">
        <v>68</v>
      </c>
      <c r="C96" s="157">
        <v>1</v>
      </c>
      <c r="D96" s="157" t="s">
        <v>468</v>
      </c>
      <c r="E96" s="177" t="s">
        <v>468</v>
      </c>
      <c r="F96" s="233" t="s">
        <v>543</v>
      </c>
      <c r="G96" s="234">
        <v>43286</v>
      </c>
      <c r="H96" s="235" t="s">
        <v>1365</v>
      </c>
      <c r="I96" s="236" t="s">
        <v>1364</v>
      </c>
      <c r="J96" s="237">
        <v>4110</v>
      </c>
      <c r="K96" s="175" t="s">
        <v>61</v>
      </c>
      <c r="L96" s="175" t="s">
        <v>439</v>
      </c>
      <c r="M96" s="175" t="s">
        <v>1343</v>
      </c>
      <c r="N96" s="180"/>
      <c r="O96" s="177"/>
      <c r="P96" s="185">
        <v>0</v>
      </c>
      <c r="Q96" s="177">
        <v>43285</v>
      </c>
      <c r="R96" s="178">
        <v>437.94839999999999</v>
      </c>
      <c r="S96" s="179">
        <v>31638.57</v>
      </c>
      <c r="T96" s="182" t="s">
        <v>45</v>
      </c>
      <c r="U96" s="183">
        <v>3.9119999999999999</v>
      </c>
      <c r="V96" s="179">
        <v>2691</v>
      </c>
      <c r="W96" s="179">
        <v>0</v>
      </c>
      <c r="X96" s="186" t="s">
        <v>45</v>
      </c>
      <c r="Y96" s="183">
        <v>3.9119999999999999</v>
      </c>
      <c r="Z96" s="220"/>
      <c r="AA96" s="172">
        <f>Delivery[[#This Row],[Quantity delivered]]*VLOOKUP(Delivery[[#This Row],[Unit]],Tab_Conversão[],4,FALSE)*VLOOKUP(CONCATENATE(Delivery[[#This Row],[Coffee specie]],Delivery[[#This Row],[Coffee state]]),Tab_Conversão[],4,FALSE)</f>
        <v>4110</v>
      </c>
      <c r="AB96" s="169">
        <f>SUMIF(Allocation!C:C,Delivery[[#This Row],[Delivery ID]],Allocation!D:D)/Delivery[[#This Row],[Quantity delivered]]</f>
        <v>1</v>
      </c>
      <c r="AC96" s="170">
        <f>Delivery[[#This Row],[Quantity delivered]]*Delivery[[#This Row],[Base price (Unidad)]]/60</f>
        <v>29999.465399999997</v>
      </c>
      <c r="AD96" s="171">
        <f>Delivery[[#This Row],[Nespresso total]]-Delivery[[#This Row],[Qt. Delivery * Base Price]]</f>
        <v>1639.1046000000024</v>
      </c>
      <c r="AE96" s="171">
        <f>Delivery[[#This Row],[AAA Premium (total)]]/Delivery[[#This Row],[Quantity delivered]]*60/Delivery[[#This Row],[Exchange rate VS USD]]</f>
        <v>10.042093950114191</v>
      </c>
      <c r="AF96" s="171">
        <f>Delivery[[#This Row],[BEN premium (total)]]/Delivery[[#This Row],[Quantity delivered]]*60/Delivery[[#This Row],[Exchange rate for premiums VS USD]]</f>
        <v>0</v>
      </c>
      <c r="AG96" s="171">
        <f>COUNTIF(Delivery[Delivery ID],Delivery[[#This Row],[Delivery ID]])</f>
        <v>1</v>
      </c>
      <c r="AH96" s="171">
        <f>(Delivery[[#This Row],[Nespresso total]]/SUMIF(Allocation!C:C,Delivery[Delivery ID],Allocation!H:H))/Delivery[[#This Row],[Exchange rate VS USD]]</f>
        <v>5.9598887386918999</v>
      </c>
      <c r="AI96" s="171">
        <f>(Delivery[[#This Row],[AAA Premium (total)]]/SUMIF(Allocation!C:C,Delivery[Delivery ID],Allocation!H:H))/Delivery[[#This Row],[Exchange rate VS USD]]</f>
        <v>0.50691483830716444</v>
      </c>
      <c r="AJ96" s="171">
        <f>Delivery[[#This Row],[Valor Prêmio Nespresso AAA por Kg (em US$)]]*60</f>
        <v>30.414890298429867</v>
      </c>
      <c r="AK96" s="171">
        <f>Delivery[[#This Row],[Valor Prêmio Nespresso AAA por saca (em US$)]]/1.3228/100</f>
        <v>0.22992810930170751</v>
      </c>
      <c r="AL96" s="171">
        <f>(Delivery[[#This Row],[BEN premium (total)]]/SUMIF(Allocation!C:C,Delivery[Delivery ID],Allocation!H:H))/Delivery[[#This Row],[Exchange rate for premiums VS USD]]</f>
        <v>0</v>
      </c>
      <c r="AM96" s="171">
        <f>Delivery[[#This Row],[Valor Prêmio Nespresso BEN por Kg (em US$)]]*60</f>
        <v>0</v>
      </c>
      <c r="AN96" s="171">
        <f>Delivery[[#This Row],[Valor Prêmio Nespresso BEN por saca (em US$)]]/1.3228/100</f>
        <v>0</v>
      </c>
      <c r="AO96" s="171">
        <f>SUMIF(Allocation[Delivery ID],Delivery[[#This Row],[Delivery ID]],Allocation[Quantity allocated])*16*1.3228*Delivery[[#This Row],[Exchange rate VS USD]]/60</f>
        <v>1872.5853107199998</v>
      </c>
      <c r="AP96" s="171">
        <f>Delivery[[#This Row],[AAA Premium (total)]]</f>
        <v>2691</v>
      </c>
      <c r="AQ96" s="171">
        <f>Delivery[[#This Row],[Valor pago pelo Cluster]]-Delivery[[#This Row],[Valor efetivamente pago pela Nespresso]]</f>
        <v>818.41468928000018</v>
      </c>
    </row>
    <row r="97" spans="1:43" ht="15.75">
      <c r="A97" s="174" t="s">
        <v>69</v>
      </c>
      <c r="B97" s="232" t="s">
        <v>68</v>
      </c>
      <c r="C97" s="157" t="s">
        <v>1344</v>
      </c>
      <c r="D97" s="157" t="s">
        <v>468</v>
      </c>
      <c r="E97" s="177" t="s">
        <v>468</v>
      </c>
      <c r="F97" s="233" t="s">
        <v>543</v>
      </c>
      <c r="G97" s="234">
        <v>43286</v>
      </c>
      <c r="H97" s="157" t="s">
        <v>1366</v>
      </c>
      <c r="I97" s="157" t="s">
        <v>1364</v>
      </c>
      <c r="J97" s="237">
        <v>2010</v>
      </c>
      <c r="K97" s="175" t="s">
        <v>61</v>
      </c>
      <c r="L97" s="175" t="s">
        <v>439</v>
      </c>
      <c r="M97" s="175" t="s">
        <v>1343</v>
      </c>
      <c r="N97" s="180"/>
      <c r="O97" s="177"/>
      <c r="P97" s="185">
        <v>0</v>
      </c>
      <c r="Q97" s="177">
        <v>43285</v>
      </c>
      <c r="R97" s="178">
        <v>437.94839999999999</v>
      </c>
      <c r="S97" s="179">
        <v>15360.754999999999</v>
      </c>
      <c r="T97" s="182" t="s">
        <v>45</v>
      </c>
      <c r="U97" s="183">
        <v>3.9119999999999999</v>
      </c>
      <c r="V97" s="179">
        <v>1310.5199999999998</v>
      </c>
      <c r="W97" s="179">
        <v>0</v>
      </c>
      <c r="X97" s="186" t="s">
        <v>45</v>
      </c>
      <c r="Y97" s="183">
        <v>3.9119999999999999</v>
      </c>
      <c r="Z97" s="220"/>
      <c r="AA97" s="172">
        <f>Delivery[[#This Row],[Quantity delivered]]*VLOOKUP(Delivery[[#This Row],[Unit]],Tab_Conversão[],4,FALSE)*VLOOKUP(CONCATENATE(Delivery[[#This Row],[Coffee specie]],Delivery[[#This Row],[Coffee state]]),Tab_Conversão[],4,FALSE)</f>
        <v>2010</v>
      </c>
      <c r="AB97" s="169">
        <f>SUMIF(Allocation!C:C,Delivery[[#This Row],[Delivery ID]],Allocation!D:D)/Delivery[[#This Row],[Quantity delivered]]</f>
        <v>1</v>
      </c>
      <c r="AC97" s="170">
        <f>Delivery[[#This Row],[Quantity delivered]]*Delivery[[#This Row],[Base price (Unidad)]]/60</f>
        <v>14671.2714</v>
      </c>
      <c r="AD97" s="171">
        <f>Delivery[[#This Row],[Nespresso total]]-Delivery[[#This Row],[Qt. Delivery * Base Price]]</f>
        <v>689.48359999999957</v>
      </c>
      <c r="AE97" s="171">
        <f>Delivery[[#This Row],[AAA Premium (total)]]/Delivery[[#This Row],[Quantity delivered]]*60/Delivery[[#This Row],[Exchange rate VS USD]]</f>
        <v>10</v>
      </c>
      <c r="AF97" s="171">
        <f>Delivery[[#This Row],[BEN premium (total)]]/Delivery[[#This Row],[Quantity delivered]]*60/Delivery[[#This Row],[Exchange rate for premiums VS USD]]</f>
        <v>0</v>
      </c>
      <c r="AG97" s="171">
        <f>COUNTIF(Delivery[Delivery ID],Delivery[[#This Row],[Delivery ID]])</f>
        <v>1</v>
      </c>
      <c r="AH97" s="171">
        <f>(Delivery[[#This Row],[Nespresso total]]/SUMIF(Allocation!C:C,Delivery[Delivery ID],Allocation!H:H))/Delivery[[#This Row],[Exchange rate VS USD]]</f>
        <v>5.3568531569006552</v>
      </c>
      <c r="AI97" s="171">
        <f>(Delivery[[#This Row],[AAA Premium (total)]]/SUMIF(Allocation!C:C,Delivery[Delivery ID],Allocation!H:H))/Delivery[[#This Row],[Exchange rate VS USD]]</f>
        <v>0.4570259208731241</v>
      </c>
      <c r="AJ97" s="171">
        <f>Delivery[[#This Row],[Valor Prêmio Nespresso AAA por Kg (em US$)]]*60</f>
        <v>27.421555252387446</v>
      </c>
      <c r="AK97" s="171">
        <f>Delivery[[#This Row],[Valor Prêmio Nespresso AAA por saca (em US$)]]/1.3228/100</f>
        <v>0.20729932909273849</v>
      </c>
      <c r="AL97" s="171">
        <f>(Delivery[[#This Row],[BEN premium (total)]]/SUMIF(Allocation!C:C,Delivery[Delivery ID],Allocation!H:H))/Delivery[[#This Row],[Exchange rate for premiums VS USD]]</f>
        <v>0</v>
      </c>
      <c r="AM97" s="171">
        <f>Delivery[[#This Row],[Valor Prêmio Nespresso BEN por Kg (em US$)]]*60</f>
        <v>0</v>
      </c>
      <c r="AN97" s="171">
        <f>Delivery[[#This Row],[Valor Prêmio Nespresso BEN por saca (em US$)]]/1.3228/100</f>
        <v>0</v>
      </c>
      <c r="AO97" s="171">
        <f>SUMIF(Allocation[Delivery ID],Delivery[[#This Row],[Delivery ID]],Allocation[Quantity allocated])*16*1.3228*Delivery[[#This Row],[Exchange rate VS USD]]/60</f>
        <v>1011.4996556799999</v>
      </c>
      <c r="AP97" s="171">
        <f>Delivery[[#This Row],[AAA Premium (total)]]</f>
        <v>1310.5199999999998</v>
      </c>
      <c r="AQ97" s="171">
        <f>Delivery[[#This Row],[Valor pago pelo Cluster]]-Delivery[[#This Row],[Valor efetivamente pago pela Nespresso]]</f>
        <v>299.02034431999982</v>
      </c>
    </row>
    <row r="98" spans="1:43" ht="15.75">
      <c r="A98" s="174" t="s">
        <v>69</v>
      </c>
      <c r="B98" s="232" t="s">
        <v>68</v>
      </c>
      <c r="C98" s="157" t="s">
        <v>1344</v>
      </c>
      <c r="D98" s="157" t="s">
        <v>468</v>
      </c>
      <c r="E98" s="177" t="s">
        <v>468</v>
      </c>
      <c r="F98" s="233" t="s">
        <v>543</v>
      </c>
      <c r="G98" s="234">
        <v>43286</v>
      </c>
      <c r="H98" s="235" t="s">
        <v>1367</v>
      </c>
      <c r="I98" s="157" t="s">
        <v>1356</v>
      </c>
      <c r="J98" s="237">
        <v>19440</v>
      </c>
      <c r="K98" s="175" t="s">
        <v>61</v>
      </c>
      <c r="L98" s="175" t="s">
        <v>439</v>
      </c>
      <c r="M98" s="175" t="s">
        <v>1343</v>
      </c>
      <c r="N98" s="180"/>
      <c r="O98" s="177"/>
      <c r="P98" s="185">
        <v>0</v>
      </c>
      <c r="Q98" s="177">
        <v>43284</v>
      </c>
      <c r="R98" s="178">
        <v>438.66</v>
      </c>
      <c r="S98" s="179">
        <v>149110.63</v>
      </c>
      <c r="T98" s="182" t="s">
        <v>45</v>
      </c>
      <c r="U98" s="183">
        <v>3.8992</v>
      </c>
      <c r="V98" s="179">
        <v>8841.9599999999991</v>
      </c>
      <c r="W98" s="179">
        <v>0</v>
      </c>
      <c r="X98" s="186" t="s">
        <v>45</v>
      </c>
      <c r="Y98" s="183">
        <v>3.8992</v>
      </c>
      <c r="Z98" s="220"/>
      <c r="AA98" s="172">
        <f>Delivery[[#This Row],[Quantity delivered]]*VLOOKUP(Delivery[[#This Row],[Unit]],Tab_Conversão[],4,FALSE)*VLOOKUP(CONCATENATE(Delivery[[#This Row],[Coffee specie]],Delivery[[#This Row],[Coffee state]]),Tab_Conversão[],4,FALSE)</f>
        <v>19440</v>
      </c>
      <c r="AB98" s="169">
        <f>SUMIF(Allocation!C:C,Delivery[[#This Row],[Delivery ID]],Allocation!D:D)/Delivery[[#This Row],[Quantity delivered]]</f>
        <v>0.44439300411522636</v>
      </c>
      <c r="AC98" s="170">
        <f>Delivery[[#This Row],[Quantity delivered]]*Delivery[[#This Row],[Base price (Unidad)]]/60</f>
        <v>142125.84</v>
      </c>
      <c r="AD98" s="171">
        <f>Delivery[[#This Row],[Nespresso total]]-Delivery[[#This Row],[Qt. Delivery * Base Price]]</f>
        <v>6984.7900000000081</v>
      </c>
      <c r="AE98" s="171">
        <f>Delivery[[#This Row],[AAA Premium (total)]]/Delivery[[#This Row],[Quantity delivered]]*60/Delivery[[#This Row],[Exchange rate VS USD]]</f>
        <v>6.9988715633976195</v>
      </c>
      <c r="AF98" s="171">
        <f>Delivery[[#This Row],[BEN premium (total)]]/Delivery[[#This Row],[Quantity delivered]]*60/Delivery[[#This Row],[Exchange rate for premiums VS USD]]</f>
        <v>0</v>
      </c>
      <c r="AG98" s="171">
        <f>COUNTIF(Delivery[Delivery ID],Delivery[[#This Row],[Delivery ID]])</f>
        <v>1</v>
      </c>
      <c r="AH98" s="171">
        <f>(Delivery[[#This Row],[Nespresso total]]/SUMIF(Allocation!C:C,Delivery[Delivery ID],Allocation!H:H))/Delivery[[#This Row],[Exchange rate VS USD]]</f>
        <v>13.413307347975003</v>
      </c>
      <c r="AI98" s="171">
        <f>(Delivery[[#This Row],[AAA Premium (total)]]/SUMIF(Allocation!C:C,Delivery[Delivery ID],Allocation!H:H))/Delivery[[#This Row],[Exchange rate VS USD]]</f>
        <v>0.79538210681895072</v>
      </c>
      <c r="AJ98" s="171">
        <f>Delivery[[#This Row],[Valor Prêmio Nespresso AAA por Kg (em US$)]]*60</f>
        <v>47.722926409137045</v>
      </c>
      <c r="AK98" s="171">
        <f>Delivery[[#This Row],[Valor Prêmio Nespresso AAA por saca (em US$)]]/1.3228/100</f>
        <v>0.36077204724173756</v>
      </c>
      <c r="AL98" s="171">
        <f>(Delivery[[#This Row],[BEN premium (total)]]/SUMIF(Allocation!C:C,Delivery[Delivery ID],Allocation!H:H))/Delivery[[#This Row],[Exchange rate for premiums VS USD]]</f>
        <v>0</v>
      </c>
      <c r="AM98" s="171">
        <f>Delivery[[#This Row],[Valor Prêmio Nespresso BEN por Kg (em US$)]]*60</f>
        <v>0</v>
      </c>
      <c r="AN98" s="171">
        <f>Delivery[[#This Row],[Valor Prêmio Nespresso BEN por saca (em US$)]]/1.3228/100</f>
        <v>0</v>
      </c>
      <c r="AO98" s="171">
        <f>SUMIF(Allocation[Delivery ID],Delivery[[#This Row],[Delivery ID]],Allocation[Quantity allocated])*16*1.3228*Delivery[[#This Row],[Exchange rate VS USD]]/60</f>
        <v>3921.3503674026665</v>
      </c>
      <c r="AP98" s="171">
        <f>Delivery[[#This Row],[AAA Premium (total)]]</f>
        <v>8841.9599999999991</v>
      </c>
      <c r="AQ98" s="171">
        <f>Delivery[[#This Row],[Valor pago pelo Cluster]]-Delivery[[#This Row],[Valor efetivamente pago pela Nespresso]]</f>
        <v>4920.6096325973322</v>
      </c>
    </row>
    <row r="99" spans="1:43" ht="15.75">
      <c r="A99" s="174" t="s">
        <v>69</v>
      </c>
      <c r="B99" s="232" t="s">
        <v>68</v>
      </c>
      <c r="C99" s="157">
        <v>1</v>
      </c>
      <c r="D99" s="157" t="s">
        <v>468</v>
      </c>
      <c r="E99" s="177" t="s">
        <v>468</v>
      </c>
      <c r="F99" s="233" t="s">
        <v>543</v>
      </c>
      <c r="G99" s="234">
        <v>43286</v>
      </c>
      <c r="H99" s="157" t="s">
        <v>563</v>
      </c>
      <c r="I99" s="157" t="s">
        <v>509</v>
      </c>
      <c r="J99" s="237">
        <v>23500</v>
      </c>
      <c r="K99" s="175" t="s">
        <v>61</v>
      </c>
      <c r="L99" s="175" t="s">
        <v>439</v>
      </c>
      <c r="M99" s="175" t="s">
        <v>1343</v>
      </c>
      <c r="N99" s="180"/>
      <c r="O99" s="177"/>
      <c r="P99" s="185">
        <v>0</v>
      </c>
      <c r="Q99" s="177">
        <v>42944</v>
      </c>
      <c r="R99" s="178">
        <v>519.11969999999997</v>
      </c>
      <c r="S99" s="179">
        <v>202109.89467289997</v>
      </c>
      <c r="T99" s="182" t="s">
        <v>45</v>
      </c>
      <c r="U99" s="183">
        <v>3.347</v>
      </c>
      <c r="V99" s="179">
        <v>9176.3583333333318</v>
      </c>
      <c r="W99" s="179">
        <v>2608.3326635499998</v>
      </c>
      <c r="X99" s="186" t="s">
        <v>45</v>
      </c>
      <c r="Y99" s="183">
        <v>3.347</v>
      </c>
      <c r="Z99" s="220" t="s">
        <v>473</v>
      </c>
      <c r="AA99" s="172">
        <f>Delivery[[#This Row],[Quantity delivered]]*VLOOKUP(Delivery[[#This Row],[Unit]],Tab_Conversão[],4,FALSE)*VLOOKUP(CONCATENATE(Delivery[[#This Row],[Coffee specie]],Delivery[[#This Row],[Coffee state]]),Tab_Conversão[],4,FALSE)</f>
        <v>23500</v>
      </c>
      <c r="AB99" s="169">
        <f>SUMIF(Allocation!C:C,Delivery[[#This Row],[Delivery ID]],Allocation!D:D)/Delivery[[#This Row],[Quantity delivered]]</f>
        <v>0.97472340425531911</v>
      </c>
      <c r="AC99" s="170">
        <f>Delivery[[#This Row],[Quantity delivered]]*Delivery[[#This Row],[Base price (Unidad)]]/60</f>
        <v>203321.88249999998</v>
      </c>
      <c r="AD99" s="171">
        <f>Delivery[[#This Row],[Nespresso total]]-Delivery[[#This Row],[Qt. Delivery * Base Price]]</f>
        <v>-1211.9878271000052</v>
      </c>
      <c r="AE99" s="171">
        <f>Delivery[[#This Row],[AAA Premium (total)]]/Delivery[[#This Row],[Quantity delivered]]*60/Delivery[[#This Row],[Exchange rate VS USD]]</f>
        <v>7</v>
      </c>
      <c r="AF99" s="171">
        <f>Delivery[[#This Row],[BEN premium (total)]]/Delivery[[#This Row],[Quantity delivered]]*60/Delivery[[#This Row],[Exchange rate for premiums VS USD]]</f>
        <v>1.9897139999999998</v>
      </c>
      <c r="AG99" s="171">
        <f>COUNTIF(Delivery[Delivery ID],Delivery[[#This Row],[Delivery ID]])</f>
        <v>1</v>
      </c>
      <c r="AH99" s="171">
        <f>(Delivery[[#This Row],[Nespresso total]]/SUMIF(Allocation!C:C,Delivery[Delivery ID],Allocation!H:H))/Delivery[[#This Row],[Exchange rate VS USD]]</f>
        <v>8.7871636073631851</v>
      </c>
      <c r="AI99" s="171">
        <f>(Delivery[[#This Row],[AAA Premium (total)]]/SUMIF(Allocation!C:C,Delivery[Delivery ID],Allocation!H:H))/Delivery[[#This Row],[Exchange rate VS USD]]</f>
        <v>0.39896197128443922</v>
      </c>
      <c r="AJ99" s="171">
        <f>Delivery[[#This Row],[Valor Prêmio Nespresso AAA por Kg (em US$)]]*60</f>
        <v>23.937718277066352</v>
      </c>
      <c r="AK99" s="171">
        <f>Delivery[[#This Row],[Valor Prêmio Nespresso AAA por saca (em US$)]]/1.3228/100</f>
        <v>0.18096249075496185</v>
      </c>
      <c r="AL99" s="171">
        <f>(Delivery[[#This Row],[BEN premium (total)]]/SUMIF(Allocation!C:C,Delivery[Delivery ID],Allocation!H:H))/Delivery[[#This Row],[Exchange rate for premiums VS USD]]</f>
        <v>0.11340288853317811</v>
      </c>
      <c r="AM99" s="171">
        <f>Delivery[[#This Row],[Valor Prêmio Nespresso BEN por Kg (em US$)]]*60</f>
        <v>6.8041733119906862</v>
      </c>
      <c r="AN99" s="171">
        <f>Delivery[[#This Row],[Valor Prêmio Nespresso BEN por saca (em US$)]]/1.3228/100</f>
        <v>5.1437657332859744E-2</v>
      </c>
      <c r="AO99" s="171">
        <f>SUMIF(Allocation[Delivery ID],Delivery[[#This Row],[Delivery ID]],Allocation[Quantity allocated])*16*1.3228*Delivery[[#This Row],[Exchange rate VS USD]]/60</f>
        <v>8113.3793373866665</v>
      </c>
      <c r="AP99" s="171">
        <f>Delivery[[#This Row],[AAA Premium (total)]]</f>
        <v>9176.3583333333318</v>
      </c>
      <c r="AQ99" s="171">
        <f>Delivery[[#This Row],[Valor pago pelo Cluster]]-Delivery[[#This Row],[Valor efetivamente pago pela Nespresso]]</f>
        <v>1062.9789959466652</v>
      </c>
    </row>
    <row r="100" spans="1:43" ht="15.75">
      <c r="A100" s="174" t="s">
        <v>69</v>
      </c>
      <c r="B100" s="232" t="s">
        <v>68</v>
      </c>
      <c r="C100" s="157">
        <v>1</v>
      </c>
      <c r="D100" s="157" t="s">
        <v>468</v>
      </c>
      <c r="E100" s="177" t="s">
        <v>468</v>
      </c>
      <c r="F100" s="233" t="s">
        <v>543</v>
      </c>
      <c r="G100" s="234">
        <v>43286</v>
      </c>
      <c r="H100" s="157" t="s">
        <v>1266</v>
      </c>
      <c r="I100" s="157" t="s">
        <v>509</v>
      </c>
      <c r="J100" s="237">
        <v>24840</v>
      </c>
      <c r="K100" s="175" t="s">
        <v>61</v>
      </c>
      <c r="L100" s="175" t="s">
        <v>439</v>
      </c>
      <c r="M100" s="175" t="s">
        <v>1343</v>
      </c>
      <c r="N100" s="180"/>
      <c r="O100" s="177"/>
      <c r="P100" s="185">
        <v>0</v>
      </c>
      <c r="Q100" s="177">
        <v>42944</v>
      </c>
      <c r="R100" s="178">
        <v>519.11969999999997</v>
      </c>
      <c r="S100" s="179">
        <v>213114.34113201356</v>
      </c>
      <c r="T100" s="182" t="s">
        <v>45</v>
      </c>
      <c r="U100" s="183">
        <v>3.347</v>
      </c>
      <c r="V100" s="179">
        <v>9699.6059999999998</v>
      </c>
      <c r="W100" s="179">
        <v>3032.7694339932</v>
      </c>
      <c r="X100" s="186" t="s">
        <v>45</v>
      </c>
      <c r="Y100" s="183">
        <v>3.347</v>
      </c>
      <c r="Z100" s="220" t="s">
        <v>473</v>
      </c>
      <c r="AA100" s="172">
        <f>Delivery[[#This Row],[Quantity delivered]]*VLOOKUP(Delivery[[#This Row],[Unit]],Tab_Conversão[],4,FALSE)*VLOOKUP(CONCATENATE(Delivery[[#This Row],[Coffee specie]],Delivery[[#This Row],[Coffee state]]),Tab_Conversão[],4,FALSE)</f>
        <v>24840</v>
      </c>
      <c r="AB100" s="169">
        <f>SUMIF(Allocation!C:C,Delivery[[#This Row],[Delivery ID]],Allocation!D:D)/Delivery[[#This Row],[Quantity delivered]]</f>
        <v>1</v>
      </c>
      <c r="AC100" s="170">
        <f>Delivery[[#This Row],[Quantity delivered]]*Delivery[[#This Row],[Base price (Unidad)]]/60</f>
        <v>214915.5558</v>
      </c>
      <c r="AD100" s="171">
        <f>Delivery[[#This Row],[Nespresso total]]-Delivery[[#This Row],[Qt. Delivery * Base Price]]</f>
        <v>-1801.2146679864381</v>
      </c>
      <c r="AE100" s="171">
        <f>Delivery[[#This Row],[AAA Premium (total)]]/Delivery[[#This Row],[Quantity delivered]]*60/Delivery[[#This Row],[Exchange rate VS USD]]</f>
        <v>7.0000000000000009</v>
      </c>
      <c r="AF100" s="171">
        <f>Delivery[[#This Row],[BEN premium (total)]]/Delivery[[#This Row],[Quantity delivered]]*60/Delivery[[#This Row],[Exchange rate for premiums VS USD]]</f>
        <v>2.1886853999999998</v>
      </c>
      <c r="AG100" s="171">
        <f>COUNTIF(Delivery[Delivery ID],Delivery[[#This Row],[Delivery ID]])</f>
        <v>1</v>
      </c>
      <c r="AH100" s="171">
        <f>(Delivery[[#This Row],[Nespresso total]]/SUMIF(Allocation!C:C,Delivery[Delivery ID],Allocation!H:H))/Delivery[[#This Row],[Exchange rate VS USD]]</f>
        <v>7.7086249451828701</v>
      </c>
      <c r="AI100" s="171">
        <f>(Delivery[[#This Row],[AAA Premium (total)]]/SUMIF(Allocation!C:C,Delivery[Delivery ID],Allocation!H:H))/Delivery[[#This Row],[Exchange rate VS USD]]</f>
        <v>0.35084745762711861</v>
      </c>
      <c r="AJ100" s="171">
        <f>Delivery[[#This Row],[Valor Prêmio Nespresso AAA por Kg (em US$)]]*60</f>
        <v>21.050847457627118</v>
      </c>
      <c r="AK100" s="171">
        <f>Delivery[[#This Row],[Valor Prêmio Nespresso AAA por saca (em US$)]]/1.3228/100</f>
        <v>0.15913855048100331</v>
      </c>
      <c r="AL100" s="171">
        <f>(Delivery[[#This Row],[BEN premium (total)]]/SUMIF(Allocation!C:C,Delivery[Delivery ID],Allocation!H:H))/Delivery[[#This Row],[Exchange rate for premiums VS USD]]</f>
        <v>0.10969924401937046</v>
      </c>
      <c r="AM100" s="171">
        <f>Delivery[[#This Row],[Valor Prêmio Nespresso BEN por Kg (em US$)]]*60</f>
        <v>6.5819546411622278</v>
      </c>
      <c r="AN100" s="171">
        <f>Delivery[[#This Row],[Valor Prêmio Nespresso BEN por saca (em US$)]]/1.3228/100</f>
        <v>4.975774600213357E-2</v>
      </c>
      <c r="AO100" s="171">
        <f>SUMIF(Allocation[Delivery ID],Delivery[[#This Row],[Delivery ID]],Allocation[Quantity allocated])*16*1.3228*Delivery[[#This Row],[Exchange rate VS USD]]/60</f>
        <v>9752.111950933333</v>
      </c>
      <c r="AP100" s="171">
        <f>Delivery[[#This Row],[AAA Premium (total)]]</f>
        <v>9699.6059999999998</v>
      </c>
      <c r="AQ100" s="171">
        <f>Delivery[[#This Row],[Valor pago pelo Cluster]]-Delivery[[#This Row],[Valor efetivamente pago pela Nespresso]]</f>
        <v>-52.505950933333224</v>
      </c>
    </row>
    <row r="101" spans="1:43" ht="15.75">
      <c r="A101" s="174" t="s">
        <v>69</v>
      </c>
      <c r="B101" s="232" t="s">
        <v>68</v>
      </c>
      <c r="C101" s="157">
        <v>1</v>
      </c>
      <c r="D101" s="157" t="s">
        <v>468</v>
      </c>
      <c r="E101" s="177" t="s">
        <v>468</v>
      </c>
      <c r="F101" s="233" t="s">
        <v>543</v>
      </c>
      <c r="G101" s="234">
        <v>43286</v>
      </c>
      <c r="H101" s="157" t="s">
        <v>564</v>
      </c>
      <c r="I101" s="157" t="s">
        <v>509</v>
      </c>
      <c r="J101" s="237">
        <v>24390</v>
      </c>
      <c r="K101" s="175" t="s">
        <v>61</v>
      </c>
      <c r="L101" s="175" t="s">
        <v>439</v>
      </c>
      <c r="M101" s="175" t="s">
        <v>1343</v>
      </c>
      <c r="N101" s="180"/>
      <c r="O101" s="177"/>
      <c r="P101" s="185">
        <v>0</v>
      </c>
      <c r="Q101" s="177">
        <v>42944</v>
      </c>
      <c r="R101" s="178">
        <v>519.11969999999997</v>
      </c>
      <c r="S101" s="179">
        <v>209764.27734774601</v>
      </c>
      <c r="T101" s="182" t="s">
        <v>45</v>
      </c>
      <c r="U101" s="183">
        <v>3.347</v>
      </c>
      <c r="V101" s="179">
        <v>9523.8884999999991</v>
      </c>
      <c r="W101" s="179">
        <v>2707.1163261269999</v>
      </c>
      <c r="X101" s="186" t="s">
        <v>45</v>
      </c>
      <c r="Y101" s="183">
        <v>3.347</v>
      </c>
      <c r="Z101" s="220" t="s">
        <v>473</v>
      </c>
      <c r="AA101" s="172">
        <f>Delivery[[#This Row],[Quantity delivered]]*VLOOKUP(Delivery[[#This Row],[Unit]],Tab_Conversão[],4,FALSE)*VLOOKUP(CONCATENATE(Delivery[[#This Row],[Coffee specie]],Delivery[[#This Row],[Coffee state]]),Tab_Conversão[],4,FALSE)</f>
        <v>24390</v>
      </c>
      <c r="AB101" s="169">
        <f>SUMIF(Allocation!C:C,Delivery[[#This Row],[Delivery ID]],Allocation!D:D)/Delivery[[#This Row],[Quantity delivered]]</f>
        <v>1</v>
      </c>
      <c r="AC101" s="170">
        <f>Delivery[[#This Row],[Quantity delivered]]*Delivery[[#This Row],[Base price (Unidad)]]/60</f>
        <v>211022.15805</v>
      </c>
      <c r="AD101" s="171">
        <f>Delivery[[#This Row],[Nespresso total]]-Delivery[[#This Row],[Qt. Delivery * Base Price]]</f>
        <v>-1257.8807022539841</v>
      </c>
      <c r="AE101" s="171">
        <f>Delivery[[#This Row],[AAA Premium (total)]]/Delivery[[#This Row],[Quantity delivered]]*60/Delivery[[#This Row],[Exchange rate VS USD]]</f>
        <v>7</v>
      </c>
      <c r="AF101" s="171">
        <f>Delivery[[#This Row],[BEN premium (total)]]/Delivery[[#This Row],[Quantity delivered]]*60/Delivery[[#This Row],[Exchange rate for premiums VS USD]]</f>
        <v>1.9897140000000002</v>
      </c>
      <c r="AG101" s="171">
        <f>COUNTIF(Delivery[Delivery ID],Delivery[[#This Row],[Delivery ID]])</f>
        <v>1</v>
      </c>
      <c r="AH101" s="171">
        <f>(Delivery[[#This Row],[Nespresso total]]/SUMIF(Allocation!C:C,Delivery[Delivery ID],Allocation!H:H))/Delivery[[#This Row],[Exchange rate VS USD]]</f>
        <v>8.2031841184551464</v>
      </c>
      <c r="AI101" s="171">
        <f>(Delivery[[#This Row],[AAA Premium (total)]]/SUMIF(Allocation!C:C,Delivery[Delivery ID],Allocation!H:H))/Delivery[[#This Row],[Exchange rate VS USD]]</f>
        <v>0.37244764397905755</v>
      </c>
      <c r="AJ101" s="171">
        <f>Delivery[[#This Row],[Valor Prêmio Nespresso AAA por Kg (em US$)]]*60</f>
        <v>22.346858638743452</v>
      </c>
      <c r="AK101" s="171">
        <f>Delivery[[#This Row],[Valor Prêmio Nespresso AAA por saca (em US$)]]/1.3228/100</f>
        <v>0.16893603446283226</v>
      </c>
      <c r="AL101" s="171">
        <f>(Delivery[[#This Row],[BEN premium (total)]]/SUMIF(Allocation!C:C,Delivery[Delivery ID],Allocation!H:H))/Delivery[[#This Row],[Exchange rate for premiums VS USD]]</f>
        <v>0.10586632735602095</v>
      </c>
      <c r="AM101" s="171">
        <f>Delivery[[#This Row],[Valor Prêmio Nespresso BEN por Kg (em US$)]]*60</f>
        <v>6.3519796413612566</v>
      </c>
      <c r="AN101" s="171">
        <f>Delivery[[#This Row],[Valor Prêmio Nespresso BEN por saca (em US$)]]/1.3228/100</f>
        <v>4.8019198982168554E-2</v>
      </c>
      <c r="AO101" s="171">
        <f>SUMIF(Allocation[Delivery ID],Delivery[[#This Row],[Delivery ID]],Allocation[Quantity allocated])*16*1.3228*Delivery[[#This Row],[Exchange rate VS USD]]/60</f>
        <v>9020.113233066666</v>
      </c>
      <c r="AP101" s="171">
        <f>Delivery[[#This Row],[AAA Premium (total)]]</f>
        <v>9523.8884999999991</v>
      </c>
      <c r="AQ101" s="171">
        <f>Delivery[[#This Row],[Valor pago pelo Cluster]]-Delivery[[#This Row],[Valor efetivamente pago pela Nespresso]]</f>
        <v>503.77526693333311</v>
      </c>
    </row>
    <row r="102" spans="1:43" ht="15.75">
      <c r="A102" s="174" t="s">
        <v>69</v>
      </c>
      <c r="B102" s="232" t="s">
        <v>68</v>
      </c>
      <c r="C102" s="157">
        <v>1</v>
      </c>
      <c r="D102" s="157" t="s">
        <v>468</v>
      </c>
      <c r="E102" s="176" t="s">
        <v>468</v>
      </c>
      <c r="F102" s="233" t="s">
        <v>543</v>
      </c>
      <c r="G102" s="234">
        <v>43286</v>
      </c>
      <c r="H102" s="157" t="s">
        <v>1267</v>
      </c>
      <c r="I102" s="157" t="s">
        <v>509</v>
      </c>
      <c r="J102" s="237">
        <v>25110</v>
      </c>
      <c r="K102" s="175" t="s">
        <v>61</v>
      </c>
      <c r="L102" s="175" t="s">
        <v>439</v>
      </c>
      <c r="M102" s="175" t="s">
        <v>1343</v>
      </c>
      <c r="N102" s="180"/>
      <c r="O102" s="177"/>
      <c r="P102" s="181">
        <v>0</v>
      </c>
      <c r="Q102" s="177">
        <v>42944</v>
      </c>
      <c r="R102" s="178">
        <v>519.11969999999997</v>
      </c>
      <c r="S102" s="179">
        <v>215430.8013617094</v>
      </c>
      <c r="T102" s="182" t="s">
        <v>45</v>
      </c>
      <c r="U102" s="183">
        <v>3.347</v>
      </c>
      <c r="V102" s="179">
        <v>9805.0364999999983</v>
      </c>
      <c r="W102" s="179">
        <v>3065.7343191452997</v>
      </c>
      <c r="X102" s="184" t="s">
        <v>45</v>
      </c>
      <c r="Y102" s="183">
        <v>3.347</v>
      </c>
      <c r="Z102" s="220" t="s">
        <v>473</v>
      </c>
      <c r="AA102" s="172">
        <f>Delivery[[#This Row],[Quantity delivered]]*VLOOKUP(Delivery[[#This Row],[Unit]],Tab_Conversão[],4,FALSE)*VLOOKUP(CONCATENATE(Delivery[[#This Row],[Coffee specie]],Delivery[[#This Row],[Coffee state]]),Tab_Conversão[],4,FALSE)</f>
        <v>25110</v>
      </c>
      <c r="AB102" s="169">
        <f>SUMIF(Allocation!C:C,Delivery[[#This Row],[Delivery ID]],Allocation!D:D)/Delivery[[#This Row],[Quantity delivered]]</f>
        <v>1</v>
      </c>
      <c r="AC102" s="170">
        <f>Delivery[[#This Row],[Quantity delivered]]*Delivery[[#This Row],[Base price (Unidad)]]/60</f>
        <v>217251.59445</v>
      </c>
      <c r="AD102" s="171">
        <f>Delivery[[#This Row],[Nespresso total]]-Delivery[[#This Row],[Qt. Delivery * Base Price]]</f>
        <v>-1820.7930882906076</v>
      </c>
      <c r="AE102" s="171">
        <f>Delivery[[#This Row],[AAA Premium (total)]]/Delivery[[#This Row],[Quantity delivered]]*60/Delivery[[#This Row],[Exchange rate VS USD]]</f>
        <v>7</v>
      </c>
      <c r="AF102" s="171">
        <f>Delivery[[#This Row],[BEN premium (total)]]/Delivery[[#This Row],[Quantity delivered]]*60/Delivery[[#This Row],[Exchange rate for premiums VS USD]]</f>
        <v>2.1886853999999998</v>
      </c>
      <c r="AG102" s="171">
        <f>COUNTIF(Delivery[Delivery ID],Delivery[[#This Row],[Delivery ID]])</f>
        <v>1</v>
      </c>
      <c r="AH102" s="171">
        <f>(Delivery[[#This Row],[Nespresso total]]/SUMIF(Allocation!C:C,Delivery[Delivery ID],Allocation!H:H))/Delivery[[#This Row],[Exchange rate VS USD]]</f>
        <v>7.737148996783918</v>
      </c>
      <c r="AI102" s="171">
        <f>(Delivery[[#This Row],[AAA Premium (total)]]/SUMIF(Allocation!C:C,Delivery[Delivery ID],Allocation!H:H))/Delivery[[#This Row],[Exchange rate VS USD]]</f>
        <v>0.35214569058781098</v>
      </c>
      <c r="AJ102" s="171">
        <f>Delivery[[#This Row],[Valor Prêmio Nespresso AAA por Kg (em US$)]]*60</f>
        <v>21.128741435268658</v>
      </c>
      <c r="AK102" s="171">
        <f>Delivery[[#This Row],[Valor Prêmio Nespresso AAA por saca (em US$)]]/1.3228/100</f>
        <v>0.15972740728204307</v>
      </c>
      <c r="AL102" s="171">
        <f>(Delivery[[#This Row],[BEN premium (total)]]/SUMIF(Allocation!C:C,Delivery[Delivery ID],Allocation!H:H))/Delivery[[#This Row],[Exchange rate for premiums VS USD]]</f>
        <v>0.11010516166606563</v>
      </c>
      <c r="AM102" s="171">
        <f>Delivery[[#This Row],[Valor Prêmio Nespresso BEN por Kg (em US$)]]*60</f>
        <v>6.6063096999639379</v>
      </c>
      <c r="AN102" s="171">
        <f>Delivery[[#This Row],[Valor Prêmio Nespresso BEN por saca (em US$)]]/1.3228/100</f>
        <v>4.9941863471151635E-2</v>
      </c>
      <c r="AO102" s="171">
        <f>SUMIF(Allocation[Delivery ID],Delivery[[#This Row],[Delivery ID]],Allocation[Quantity allocated])*16*1.3228*Delivery[[#This Row],[Exchange rate VS USD]]/60</f>
        <v>9821.7698934400014</v>
      </c>
      <c r="AP102" s="171">
        <f>Delivery[[#This Row],[AAA Premium (total)]]</f>
        <v>9805.0364999999983</v>
      </c>
      <c r="AQ102" s="171">
        <f>Delivery[[#This Row],[Valor pago pelo Cluster]]-Delivery[[#This Row],[Valor efetivamente pago pela Nespresso]]</f>
        <v>-16.733393440003056</v>
      </c>
    </row>
    <row r="103" spans="1:43" ht="15.75">
      <c r="A103" s="174" t="s">
        <v>69</v>
      </c>
      <c r="B103" s="232" t="s">
        <v>68</v>
      </c>
      <c r="C103" s="157">
        <v>1</v>
      </c>
      <c r="D103" s="157" t="s">
        <v>468</v>
      </c>
      <c r="E103" s="177" t="s">
        <v>468</v>
      </c>
      <c r="F103" s="233" t="s">
        <v>543</v>
      </c>
      <c r="G103" s="234">
        <v>43286</v>
      </c>
      <c r="H103" s="157" t="s">
        <v>1268</v>
      </c>
      <c r="I103" s="157" t="s">
        <v>509</v>
      </c>
      <c r="J103" s="237">
        <v>25050</v>
      </c>
      <c r="K103" s="175" t="s">
        <v>61</v>
      </c>
      <c r="L103" s="175" t="s">
        <v>439</v>
      </c>
      <c r="M103" s="175" t="s">
        <v>1343</v>
      </c>
      <c r="N103" s="180"/>
      <c r="O103" s="177"/>
      <c r="P103" s="181">
        <v>0</v>
      </c>
      <c r="Q103" s="177">
        <v>42944</v>
      </c>
      <c r="R103" s="178">
        <v>519.11969999999997</v>
      </c>
      <c r="S103" s="179">
        <v>214916.03242177697</v>
      </c>
      <c r="T103" s="182" t="s">
        <v>45</v>
      </c>
      <c r="U103" s="183">
        <v>3.347</v>
      </c>
      <c r="V103" s="179">
        <v>9781.6074999999983</v>
      </c>
      <c r="W103" s="179">
        <v>3058.4087891115</v>
      </c>
      <c r="X103" s="184" t="s">
        <v>45</v>
      </c>
      <c r="Y103" s="183">
        <v>3.347</v>
      </c>
      <c r="Z103" s="220" t="s">
        <v>473</v>
      </c>
      <c r="AA103" s="172">
        <f>Delivery[[#This Row],[Quantity delivered]]*VLOOKUP(Delivery[[#This Row],[Unit]],Tab_Conversão[],4,FALSE)*VLOOKUP(CONCATENATE(Delivery[[#This Row],[Coffee specie]],Delivery[[#This Row],[Coffee state]]),Tab_Conversão[],4,FALSE)</f>
        <v>25050</v>
      </c>
      <c r="AB103" s="169">
        <f>SUMIF(Allocation!C:C,Delivery[[#This Row],[Delivery ID]],Allocation!D:D)/Delivery[[#This Row],[Quantity delivered]]</f>
        <v>1</v>
      </c>
      <c r="AC103" s="170">
        <f>Delivery[[#This Row],[Quantity delivered]]*Delivery[[#This Row],[Base price (Unidad)]]/60</f>
        <v>216732.47474999999</v>
      </c>
      <c r="AD103" s="171">
        <f>Delivery[[#This Row],[Nespresso total]]-Delivery[[#This Row],[Qt. Delivery * Base Price]]</f>
        <v>-1816.4423282230273</v>
      </c>
      <c r="AE103" s="171">
        <f>Delivery[[#This Row],[AAA Premium (total)]]/Delivery[[#This Row],[Quantity delivered]]*60/Delivery[[#This Row],[Exchange rate VS USD]]</f>
        <v>6.9999999999999982</v>
      </c>
      <c r="AF103" s="171">
        <f>Delivery[[#This Row],[BEN premium (total)]]/Delivery[[#This Row],[Quantity delivered]]*60/Delivery[[#This Row],[Exchange rate for premiums VS USD]]</f>
        <v>2.1886854000000002</v>
      </c>
      <c r="AG103" s="171">
        <f>COUNTIF(Delivery[Delivery ID],Delivery[[#This Row],[Delivery ID]])</f>
        <v>1</v>
      </c>
      <c r="AH103" s="171">
        <f>(Delivery[[#This Row],[Nespresso total]]/SUMIF(Allocation!C:C,Delivery[Delivery ID],Allocation!H:H))/Delivery[[#This Row],[Exchange rate VS USD]]</f>
        <v>7.7186611855610163</v>
      </c>
      <c r="AI103" s="171">
        <f>(Delivery[[#This Row],[AAA Premium (total)]]/SUMIF(Allocation!C:C,Delivery[Delivery ID],Allocation!H:H))/Delivery[[#This Row],[Exchange rate VS USD]]</f>
        <v>0.35130424329847332</v>
      </c>
      <c r="AJ103" s="171">
        <f>Delivery[[#This Row],[Valor Prêmio Nespresso AAA por Kg (em US$)]]*60</f>
        <v>21.078254597908398</v>
      </c>
      <c r="AK103" s="171">
        <f>Delivery[[#This Row],[Valor Prêmio Nespresso AAA por saca (em US$)]]/1.3228/100</f>
        <v>0.15934574083692468</v>
      </c>
      <c r="AL103" s="171">
        <f>(Delivery[[#This Row],[BEN premium (total)]]/SUMIF(Allocation!C:C,Delivery[Delivery ID],Allocation!H:H))/Delivery[[#This Row],[Exchange rate for premiums VS USD]]</f>
        <v>0.10984206689505951</v>
      </c>
      <c r="AM103" s="171">
        <f>Delivery[[#This Row],[Valor Prêmio Nespresso BEN por Kg (em US$)]]*60</f>
        <v>6.590524013703571</v>
      </c>
      <c r="AN103" s="171">
        <f>Delivery[[#This Row],[Valor Prêmio Nespresso BEN por saca (em US$)]]/1.3228/100</f>
        <v>4.9822528074565851E-2</v>
      </c>
      <c r="AO103" s="171">
        <f>SUMIF(Allocation[Delivery ID],Delivery[[#This Row],[Delivery ID]],Allocation[Quantity allocated])*16*1.3228*Delivery[[#This Row],[Exchange rate VS USD]]/60</f>
        <v>9821.7698934400014</v>
      </c>
      <c r="AP103" s="171">
        <f>Delivery[[#This Row],[AAA Premium (total)]]</f>
        <v>9781.6074999999983</v>
      </c>
      <c r="AQ103" s="171">
        <f>Delivery[[#This Row],[Valor pago pelo Cluster]]-Delivery[[#This Row],[Valor efetivamente pago pela Nespresso]]</f>
        <v>-40.162393440003143</v>
      </c>
    </row>
    <row r="104" spans="1:43" ht="15.75">
      <c r="A104" s="174" t="s">
        <v>69</v>
      </c>
      <c r="B104" s="232" t="s">
        <v>68</v>
      </c>
      <c r="C104" s="157">
        <v>1</v>
      </c>
      <c r="D104" s="157" t="s">
        <v>468</v>
      </c>
      <c r="E104" s="177" t="s">
        <v>468</v>
      </c>
      <c r="F104" s="233" t="s">
        <v>543</v>
      </c>
      <c r="G104" s="234">
        <v>43286</v>
      </c>
      <c r="H104" s="157" t="s">
        <v>565</v>
      </c>
      <c r="I104" s="157" t="s">
        <v>509</v>
      </c>
      <c r="J104" s="237">
        <v>25030</v>
      </c>
      <c r="K104" s="175" t="s">
        <v>61</v>
      </c>
      <c r="L104" s="175" t="s">
        <v>439</v>
      </c>
      <c r="M104" s="175" t="s">
        <v>1343</v>
      </c>
      <c r="N104" s="180"/>
      <c r="O104" s="177"/>
      <c r="P104" s="181">
        <v>0</v>
      </c>
      <c r="Q104" s="177">
        <v>42944</v>
      </c>
      <c r="R104" s="178">
        <v>519.11969999999997</v>
      </c>
      <c r="S104" s="179">
        <v>215268.546462242</v>
      </c>
      <c r="T104" s="182" t="s">
        <v>45</v>
      </c>
      <c r="U104" s="183">
        <v>3.347</v>
      </c>
      <c r="V104" s="179">
        <v>9773.7978333333322</v>
      </c>
      <c r="W104" s="179">
        <v>2778.1517688789995</v>
      </c>
      <c r="X104" s="186" t="s">
        <v>45</v>
      </c>
      <c r="Y104" s="183">
        <v>3.347</v>
      </c>
      <c r="Z104" s="220" t="s">
        <v>473</v>
      </c>
      <c r="AA104" s="172">
        <f>Delivery[[#This Row],[Quantity delivered]]*VLOOKUP(Delivery[[#This Row],[Unit]],Tab_Conversão[],4,FALSE)*VLOOKUP(CONCATENATE(Delivery[[#This Row],[Coffee specie]],Delivery[[#This Row],[Coffee state]]),Tab_Conversão[],4,FALSE)</f>
        <v>25030</v>
      </c>
      <c r="AB104" s="169">
        <f>SUMIF(Allocation!C:C,Delivery[[#This Row],[Delivery ID]],Allocation!D:D)/Delivery[[#This Row],[Quantity delivered]]</f>
        <v>1</v>
      </c>
      <c r="AC104" s="170">
        <f>Delivery[[#This Row],[Quantity delivered]]*Delivery[[#This Row],[Base price (Unidad)]]/60</f>
        <v>216559.43484999999</v>
      </c>
      <c r="AD104" s="171">
        <f>Delivery[[#This Row],[Nespresso total]]-Delivery[[#This Row],[Qt. Delivery * Base Price]]</f>
        <v>-1290.8883877579938</v>
      </c>
      <c r="AE104" s="171">
        <f>Delivery[[#This Row],[AAA Premium (total)]]/Delivery[[#This Row],[Quantity delivered]]*60/Delivery[[#This Row],[Exchange rate VS USD]]</f>
        <v>7</v>
      </c>
      <c r="AF104" s="171">
        <f>Delivery[[#This Row],[BEN premium (total)]]/Delivery[[#This Row],[Quantity delivered]]*60/Delivery[[#This Row],[Exchange rate for premiums VS USD]]</f>
        <v>1.9897139999999998</v>
      </c>
      <c r="AG104" s="171">
        <f>COUNTIF(Delivery[Delivery ID],Delivery[[#This Row],[Delivery ID]])</f>
        <v>1</v>
      </c>
      <c r="AH104" s="171">
        <f>(Delivery[[#This Row],[Nespresso total]]/SUMIF(Allocation!C:C,Delivery[Delivery ID],Allocation!H:H))/Delivery[[#This Row],[Exchange rate VS USD]]</f>
        <v>8.2173073710260898</v>
      </c>
      <c r="AI104" s="171">
        <f>(Delivery[[#This Row],[AAA Premium (total)]]/SUMIF(Allocation!C:C,Delivery[Delivery ID],Allocation!H:H))/Delivery[[#This Row],[Exchange rate VS USD]]</f>
        <v>0.37308888037136406</v>
      </c>
      <c r="AJ104" s="171">
        <f>Delivery[[#This Row],[Valor Prêmio Nespresso AAA por Kg (em US$)]]*60</f>
        <v>22.385332822281843</v>
      </c>
      <c r="AK104" s="171">
        <f>Delivery[[#This Row],[Valor Prêmio Nespresso AAA por saca (em US$)]]/1.3228/100</f>
        <v>0.16922688858695076</v>
      </c>
      <c r="AL104" s="171">
        <f>(Delivery[[#This Row],[BEN premium (total)]]/SUMIF(Allocation!C:C,Delivery[Delivery ID],Allocation!H:H))/Delivery[[#This Row],[Exchange rate for premiums VS USD]]</f>
        <v>0.10604859550274688</v>
      </c>
      <c r="AM104" s="171">
        <f>Delivery[[#This Row],[Valor Prêmio Nespresso BEN por Kg (em US$)]]*60</f>
        <v>6.3629157301648132</v>
      </c>
      <c r="AN104" s="171">
        <f>Delivery[[#This Row],[Valor Prêmio Nespresso BEN por saca (em US$)]]/1.3228/100</f>
        <v>4.8101872771128013E-2</v>
      </c>
      <c r="AO104" s="171">
        <f>SUMIF(Allocation[Delivery ID],Delivery[[#This Row],[Delivery ID]],Allocation[Quantity allocated])*16*1.3228*Delivery[[#This Row],[Exchange rate VS USD]]/60</f>
        <v>9240.8934915199989</v>
      </c>
      <c r="AP104" s="171">
        <f>Delivery[[#This Row],[AAA Premium (total)]]</f>
        <v>9773.7978333333322</v>
      </c>
      <c r="AQ104" s="171">
        <f>Delivery[[#This Row],[Valor pago pelo Cluster]]-Delivery[[#This Row],[Valor efetivamente pago pela Nespresso]]</f>
        <v>532.9043418133333</v>
      </c>
    </row>
    <row r="105" spans="1:43" ht="15.75">
      <c r="A105" s="174" t="s">
        <v>69</v>
      </c>
      <c r="B105" s="232" t="s">
        <v>68</v>
      </c>
      <c r="C105" s="157">
        <v>1</v>
      </c>
      <c r="D105" s="157" t="s">
        <v>468</v>
      </c>
      <c r="E105" s="177" t="s">
        <v>468</v>
      </c>
      <c r="F105" s="233" t="s">
        <v>543</v>
      </c>
      <c r="G105" s="234">
        <v>43287</v>
      </c>
      <c r="H105" s="157" t="s">
        <v>566</v>
      </c>
      <c r="I105" s="157" t="s">
        <v>509</v>
      </c>
      <c r="J105" s="237">
        <v>24980</v>
      </c>
      <c r="K105" s="175" t="s">
        <v>61</v>
      </c>
      <c r="L105" s="175" t="s">
        <v>439</v>
      </c>
      <c r="M105" s="175" t="s">
        <v>1343</v>
      </c>
      <c r="N105" s="180"/>
      <c r="O105" s="177"/>
      <c r="P105" s="181">
        <v>0</v>
      </c>
      <c r="Q105" s="177">
        <v>43285</v>
      </c>
      <c r="R105" s="178">
        <v>438.06034999999997</v>
      </c>
      <c r="S105" s="179">
        <v>169879.06476558797</v>
      </c>
      <c r="T105" s="182" t="s">
        <v>45</v>
      </c>
      <c r="U105" s="183">
        <v>3.9129999999999998</v>
      </c>
      <c r="V105" s="179">
        <v>11403.786333333332</v>
      </c>
      <c r="W105" s="179">
        <v>3241.4676172059994</v>
      </c>
      <c r="X105" s="186" t="s">
        <v>45</v>
      </c>
      <c r="Y105" s="183">
        <v>3.9129999999999998</v>
      </c>
      <c r="Z105" s="220" t="s">
        <v>473</v>
      </c>
      <c r="AA105" s="172">
        <f>Delivery[[#This Row],[Quantity delivered]]*VLOOKUP(Delivery[[#This Row],[Unit]],Tab_Conversão[],4,FALSE)*VLOOKUP(CONCATENATE(Delivery[[#This Row],[Coffee specie]],Delivery[[#This Row],[Coffee state]]),Tab_Conversão[],4,FALSE)</f>
        <v>24980</v>
      </c>
      <c r="AB105" s="169">
        <f>SUMIF(Allocation!C:C,Delivery[[#This Row],[Delivery ID]],Allocation!D:D)/Delivery[[#This Row],[Quantity delivered]]</f>
        <v>0.96617293835068052</v>
      </c>
      <c r="AC105" s="170">
        <f>Delivery[[#This Row],[Quantity delivered]]*Delivery[[#This Row],[Base price (Unidad)]]/60</f>
        <v>182379.12571666666</v>
      </c>
      <c r="AD105" s="171">
        <f>Delivery[[#This Row],[Nespresso total]]-Delivery[[#This Row],[Qt. Delivery * Base Price]]</f>
        <v>-12500.060951078689</v>
      </c>
      <c r="AE105" s="171">
        <f>Delivery[[#This Row],[AAA Premium (total)]]/Delivery[[#This Row],[Quantity delivered]]*60/Delivery[[#This Row],[Exchange rate VS USD]]</f>
        <v>7</v>
      </c>
      <c r="AF105" s="171">
        <f>Delivery[[#This Row],[BEN premium (total)]]/Delivery[[#This Row],[Quantity delivered]]*60/Delivery[[#This Row],[Exchange rate for premiums VS USD]]</f>
        <v>1.9897139999999998</v>
      </c>
      <c r="AG105" s="171">
        <f>COUNTIF(Delivery[Delivery ID],Delivery[[#This Row],[Delivery ID]])</f>
        <v>1</v>
      </c>
      <c r="AH105" s="171">
        <f>(Delivery[[#This Row],[Nespresso total]]/SUMIF(Allocation!C:C,Delivery[Delivery ID],Allocation!H:H))/Delivery[[#This Row],[Exchange rate VS USD]]</f>
        <v>5.7387998878309094</v>
      </c>
      <c r="AI105" s="171">
        <f>(Delivery[[#This Row],[AAA Premium (total)]]/SUMIF(Allocation!C:C,Delivery[Delivery ID],Allocation!H:H))/Delivery[[#This Row],[Exchange rate VS USD]]</f>
        <v>0.38523903943599908</v>
      </c>
      <c r="AJ105" s="171">
        <f>Delivery[[#This Row],[Valor Prêmio Nespresso AAA por Kg (em US$)]]*60</f>
        <v>23.114342366159946</v>
      </c>
      <c r="AK105" s="171">
        <f>Delivery[[#This Row],[Valor Prêmio Nespresso AAA por saca (em US$)]]/1.3228/100</f>
        <v>0.17473799792984537</v>
      </c>
      <c r="AL105" s="171">
        <f>(Delivery[[#This Row],[BEN premium (total)]]/SUMIF(Allocation!C:C,Delivery[Delivery ID],Allocation!H:H))/Delivery[[#This Row],[Exchange rate for premiums VS USD]]</f>
        <v>0.10950221573033707</v>
      </c>
      <c r="AM105" s="171">
        <f>Delivery[[#This Row],[Valor Prêmio Nespresso BEN por Kg (em US$)]]*60</f>
        <v>6.5701329438202238</v>
      </c>
      <c r="AN105" s="171">
        <f>Delivery[[#This Row],[Valor Prêmio Nespresso BEN por saca (em US$)]]/1.3228/100</f>
        <v>4.966837725899776E-2</v>
      </c>
      <c r="AO105" s="171">
        <f>SUMIF(Allocation[Delivery ID],Delivery[[#This Row],[Delivery ID]],Allocation[Quantity allocated])*16*1.3228*Delivery[[#This Row],[Exchange rate VS USD]]/60</f>
        <v>10441.952150933332</v>
      </c>
      <c r="AP105" s="171">
        <f>Delivery[[#This Row],[AAA Premium (total)]]</f>
        <v>11403.786333333332</v>
      </c>
      <c r="AQ105" s="171">
        <f>Delivery[[#This Row],[Valor pago pelo Cluster]]-Delivery[[#This Row],[Valor efetivamente pago pela Nespresso]]</f>
        <v>961.83418239999992</v>
      </c>
    </row>
    <row r="106" spans="1:43" ht="15.75">
      <c r="A106" s="174" t="s">
        <v>69</v>
      </c>
      <c r="B106" s="232" t="s">
        <v>68</v>
      </c>
      <c r="C106" s="157" t="s">
        <v>1344</v>
      </c>
      <c r="D106" s="157" t="s">
        <v>468</v>
      </c>
      <c r="E106" s="177" t="s">
        <v>468</v>
      </c>
      <c r="F106" s="233" t="s">
        <v>543</v>
      </c>
      <c r="G106" s="234">
        <v>43287</v>
      </c>
      <c r="H106" s="157" t="s">
        <v>1368</v>
      </c>
      <c r="I106" s="239" t="s">
        <v>1369</v>
      </c>
      <c r="J106" s="237">
        <v>2730</v>
      </c>
      <c r="K106" s="175" t="s">
        <v>61</v>
      </c>
      <c r="L106" s="175" t="s">
        <v>439</v>
      </c>
      <c r="M106" s="175" t="s">
        <v>1343</v>
      </c>
      <c r="N106" s="180"/>
      <c r="O106" s="177"/>
      <c r="P106" s="181">
        <v>0</v>
      </c>
      <c r="Q106" s="177">
        <v>43286</v>
      </c>
      <c r="R106" s="178">
        <v>427.79217499999999</v>
      </c>
      <c r="S106" s="179">
        <v>19709.235000000001</v>
      </c>
      <c r="T106" s="182" t="s">
        <v>45</v>
      </c>
      <c r="U106" s="183">
        <v>3.9264999999999999</v>
      </c>
      <c r="V106" s="179">
        <v>1786.5574999999999</v>
      </c>
      <c r="W106" s="179">
        <v>0</v>
      </c>
      <c r="X106" s="184" t="s">
        <v>45</v>
      </c>
      <c r="Y106" s="183">
        <v>3.9264999999999999</v>
      </c>
      <c r="Z106" s="220"/>
      <c r="AA106" s="172">
        <f>Delivery[[#This Row],[Quantity delivered]]*VLOOKUP(Delivery[[#This Row],[Unit]],Tab_Conversão[],4,FALSE)*VLOOKUP(CONCATENATE(Delivery[[#This Row],[Coffee specie]],Delivery[[#This Row],[Coffee state]]),Tab_Conversão[],4,FALSE)</f>
        <v>2730</v>
      </c>
      <c r="AB106" s="169">
        <f>SUMIF(Allocation!C:C,Delivery[[#This Row],[Delivery ID]],Allocation!D:D)/Delivery[[#This Row],[Quantity delivered]]</f>
        <v>0.11978021978021978</v>
      </c>
      <c r="AC106" s="170">
        <f>Delivery[[#This Row],[Quantity delivered]]*Delivery[[#This Row],[Base price (Unidad)]]/60</f>
        <v>19464.5439625</v>
      </c>
      <c r="AD106" s="171">
        <f>Delivery[[#This Row],[Nespresso total]]-Delivery[[#This Row],[Qt. Delivery * Base Price]]</f>
        <v>244.69103750000068</v>
      </c>
      <c r="AE106" s="171">
        <f>Delivery[[#This Row],[AAA Premium (total)]]/Delivery[[#This Row],[Quantity delivered]]*60/Delivery[[#This Row],[Exchange rate VS USD]]</f>
        <v>10</v>
      </c>
      <c r="AF106" s="171">
        <f>Delivery[[#This Row],[BEN premium (total)]]/Delivery[[#This Row],[Quantity delivered]]*60/Delivery[[#This Row],[Exchange rate for premiums VS USD]]</f>
        <v>0</v>
      </c>
      <c r="AG106" s="171">
        <f>COUNTIF(Delivery[Delivery ID],Delivery[[#This Row],[Delivery ID]])</f>
        <v>1</v>
      </c>
      <c r="AH106" s="171">
        <f>(Delivery[[#This Row],[Nespresso total]]/SUMIF(Allocation!C:C,Delivery[Delivery ID],Allocation!H:H))/Delivery[[#This Row],[Exchange rate VS USD]]</f>
        <v>34.146549999090432</v>
      </c>
      <c r="AI106" s="171">
        <f>(Delivery[[#This Row],[AAA Premium (total)]]/SUMIF(Allocation!C:C,Delivery[Delivery ID],Allocation!H:H))/Delivery[[#This Row],[Exchange rate VS USD]]</f>
        <v>3.0952380952380953</v>
      </c>
      <c r="AJ106" s="171">
        <f>Delivery[[#This Row],[Valor Prêmio Nespresso AAA por Kg (em US$)]]*60</f>
        <v>185.71428571428572</v>
      </c>
      <c r="AK106" s="171">
        <f>Delivery[[#This Row],[Valor Prêmio Nespresso AAA por saca (em US$)]]/1.3228/100</f>
        <v>1.4039483347012831</v>
      </c>
      <c r="AL106" s="171">
        <f>(Delivery[[#This Row],[BEN premium (total)]]/SUMIF(Allocation!C:C,Delivery[Delivery ID],Allocation!H:H))/Delivery[[#This Row],[Exchange rate for premiums VS USD]]</f>
        <v>0</v>
      </c>
      <c r="AM106" s="171">
        <f>Delivery[[#This Row],[Valor Prêmio Nespresso BEN por Kg (em US$)]]*60</f>
        <v>0</v>
      </c>
      <c r="AN106" s="171">
        <f>Delivery[[#This Row],[Valor Prêmio Nespresso BEN por saca (em US$)]]/1.3228/100</f>
        <v>0</v>
      </c>
      <c r="AO106" s="171">
        <f>SUMIF(Allocation[Delivery ID],Delivery[[#This Row],[Delivery ID]],Allocation[Quantity allocated])*16*1.3228*Delivery[[#This Row],[Exchange rate VS USD]]/60</f>
        <v>203.60378863999998</v>
      </c>
      <c r="AP106" s="171">
        <f>Delivery[[#This Row],[AAA Premium (total)]]</f>
        <v>1786.5574999999999</v>
      </c>
      <c r="AQ106" s="171">
        <f>Delivery[[#This Row],[Valor pago pelo Cluster]]-Delivery[[#This Row],[Valor efetivamente pago pela Nespresso]]</f>
        <v>1582.9537113599999</v>
      </c>
    </row>
    <row r="107" spans="1:43" ht="15.75">
      <c r="A107" s="174" t="s">
        <v>69</v>
      </c>
      <c r="B107" s="232" t="s">
        <v>68</v>
      </c>
      <c r="C107" s="157" t="s">
        <v>1344</v>
      </c>
      <c r="D107" s="157" t="s">
        <v>468</v>
      </c>
      <c r="E107" s="177" t="s">
        <v>468</v>
      </c>
      <c r="F107" s="233" t="s">
        <v>543</v>
      </c>
      <c r="G107" s="234">
        <v>43287</v>
      </c>
      <c r="H107" s="157" t="s">
        <v>1370</v>
      </c>
      <c r="I107" s="239" t="s">
        <v>1369</v>
      </c>
      <c r="J107" s="237">
        <v>20260</v>
      </c>
      <c r="K107" s="175" t="s">
        <v>61</v>
      </c>
      <c r="L107" s="175" t="s">
        <v>439</v>
      </c>
      <c r="M107" s="175" t="s">
        <v>1343</v>
      </c>
      <c r="N107" s="180"/>
      <c r="O107" s="177"/>
      <c r="P107" s="181">
        <v>0</v>
      </c>
      <c r="Q107" s="177">
        <v>43286</v>
      </c>
      <c r="R107" s="178">
        <v>427.79217499999999</v>
      </c>
      <c r="S107" s="179">
        <v>146267.07</v>
      </c>
      <c r="T107" s="182" t="s">
        <v>45</v>
      </c>
      <c r="U107" s="183">
        <v>3.9264999999999999</v>
      </c>
      <c r="V107" s="179">
        <v>13258.481666666667</v>
      </c>
      <c r="W107" s="179">
        <v>0</v>
      </c>
      <c r="X107" s="184" t="s">
        <v>45</v>
      </c>
      <c r="Y107" s="183">
        <v>3.9264999999999999</v>
      </c>
      <c r="Z107" s="220"/>
      <c r="AA107" s="172">
        <f>Delivery[[#This Row],[Quantity delivered]]*VLOOKUP(Delivery[[#This Row],[Unit]],Tab_Conversão[],4,FALSE)*VLOOKUP(CONCATENATE(Delivery[[#This Row],[Coffee specie]],Delivery[[#This Row],[Coffee state]]),Tab_Conversão[],4,FALSE)</f>
        <v>20260</v>
      </c>
      <c r="AB107" s="169">
        <f>SUMIF(Allocation!C:C,Delivery[[#This Row],[Delivery ID]],Allocation!D:D)/Delivery[[#This Row],[Quantity delivered]]</f>
        <v>0.12161895360315893</v>
      </c>
      <c r="AC107" s="170">
        <f>Delivery[[#This Row],[Quantity delivered]]*Delivery[[#This Row],[Base price (Unidad)]]/60</f>
        <v>144451.15775833331</v>
      </c>
      <c r="AD107" s="171">
        <f>Delivery[[#This Row],[Nespresso total]]-Delivery[[#This Row],[Qt. Delivery * Base Price]]</f>
        <v>1815.9122416666942</v>
      </c>
      <c r="AE107" s="171">
        <f>Delivery[[#This Row],[AAA Premium (total)]]/Delivery[[#This Row],[Quantity delivered]]*60/Delivery[[#This Row],[Exchange rate VS USD]]</f>
        <v>10</v>
      </c>
      <c r="AF107" s="171">
        <f>Delivery[[#This Row],[BEN premium (total)]]/Delivery[[#This Row],[Quantity delivered]]*60/Delivery[[#This Row],[Exchange rate for premiums VS USD]]</f>
        <v>0</v>
      </c>
      <c r="AG107" s="171">
        <f>COUNTIF(Delivery[Delivery ID],Delivery[[#This Row],[Delivery ID]])</f>
        <v>1</v>
      </c>
      <c r="AH107" s="171">
        <f>(Delivery[[#This Row],[Nespresso total]]/SUMIF(Allocation!C:C,Delivery[Delivery ID],Allocation!H:H))/Delivery[[#This Row],[Exchange rate VS USD]]</f>
        <v>33.589954365478292</v>
      </c>
      <c r="AI107" s="171">
        <f>(Delivery[[#This Row],[AAA Premium (total)]]/SUMIF(Allocation!C:C,Delivery[Delivery ID],Allocation!H:H))/Delivery[[#This Row],[Exchange rate VS USD]]</f>
        <v>3.0447850916741812</v>
      </c>
      <c r="AJ107" s="171">
        <f>Delivery[[#This Row],[Valor Prêmio Nespresso AAA por Kg (em US$)]]*60</f>
        <v>182.68710550045088</v>
      </c>
      <c r="AK107" s="171">
        <f>Delivery[[#This Row],[Valor Prêmio Nespresso AAA por saca (em US$)]]/1.3228/100</f>
        <v>1.3810636944394534</v>
      </c>
      <c r="AL107" s="171">
        <f>(Delivery[[#This Row],[BEN premium (total)]]/SUMIF(Allocation!C:C,Delivery[Delivery ID],Allocation!H:H))/Delivery[[#This Row],[Exchange rate for premiums VS USD]]</f>
        <v>0</v>
      </c>
      <c r="AM107" s="171">
        <f>Delivery[[#This Row],[Valor Prêmio Nespresso BEN por Kg (em US$)]]*60</f>
        <v>0</v>
      </c>
      <c r="AN107" s="171">
        <f>Delivery[[#This Row],[Valor Prêmio Nespresso BEN por saca (em US$)]]/1.3228/100</f>
        <v>0</v>
      </c>
      <c r="AO107" s="171">
        <f>SUMIF(Allocation[Delivery ID],Delivery[[#This Row],[Delivery ID]],Allocation[Quantity allocated])*16*1.3228*Delivery[[#This Row],[Exchange rate VS USD]]/60</f>
        <v>1536.0313034133333</v>
      </c>
      <c r="AP107" s="171">
        <f>Delivery[[#This Row],[AAA Premium (total)]]</f>
        <v>13258.481666666667</v>
      </c>
      <c r="AQ107" s="171">
        <f>Delivery[[#This Row],[Valor pago pelo Cluster]]-Delivery[[#This Row],[Valor efetivamente pago pela Nespresso]]</f>
        <v>11722.450363253334</v>
      </c>
    </row>
    <row r="108" spans="1:43" ht="15.75">
      <c r="A108" s="174" t="s">
        <v>69</v>
      </c>
      <c r="B108" s="232" t="s">
        <v>68</v>
      </c>
      <c r="C108" s="157" t="s">
        <v>1344</v>
      </c>
      <c r="D108" s="157" t="s">
        <v>468</v>
      </c>
      <c r="E108" s="177" t="s">
        <v>468</v>
      </c>
      <c r="F108" s="233" t="s">
        <v>543</v>
      </c>
      <c r="G108" s="234">
        <v>43287</v>
      </c>
      <c r="H108" s="157" t="s">
        <v>1371</v>
      </c>
      <c r="I108" s="157" t="s">
        <v>1362</v>
      </c>
      <c r="J108" s="237">
        <v>15000</v>
      </c>
      <c r="K108" s="175" t="s">
        <v>61</v>
      </c>
      <c r="L108" s="175" t="s">
        <v>439</v>
      </c>
      <c r="M108" s="175" t="s">
        <v>1343</v>
      </c>
      <c r="N108" s="180"/>
      <c r="O108" s="177"/>
      <c r="P108" s="181">
        <v>0</v>
      </c>
      <c r="Q108" s="177">
        <v>42634</v>
      </c>
      <c r="R108" s="178">
        <v>656.44999999999993</v>
      </c>
      <c r="S108" s="179">
        <v>165096.49774000002</v>
      </c>
      <c r="T108" s="182" t="s">
        <v>45</v>
      </c>
      <c r="U108" s="183">
        <v>3.8</v>
      </c>
      <c r="V108" s="179">
        <v>6824.1</v>
      </c>
      <c r="W108" s="179">
        <v>2079.2511300000001</v>
      </c>
      <c r="X108" s="184" t="s">
        <v>45</v>
      </c>
      <c r="Y108" s="183">
        <v>3.8</v>
      </c>
      <c r="Z108" s="220" t="s">
        <v>473</v>
      </c>
      <c r="AA108" s="172">
        <f>Delivery[[#This Row],[Quantity delivered]]*VLOOKUP(Delivery[[#This Row],[Unit]],Tab_Conversão[],4,FALSE)*VLOOKUP(CONCATENATE(Delivery[[#This Row],[Coffee specie]],Delivery[[#This Row],[Coffee state]]),Tab_Conversão[],4,FALSE)</f>
        <v>15000</v>
      </c>
      <c r="AB108" s="169">
        <f>SUMIF(Allocation!C:C,Delivery[[#This Row],[Delivery ID]],Allocation!D:D)/Delivery[[#This Row],[Quantity delivered]]</f>
        <v>0.42399999999999999</v>
      </c>
      <c r="AC108" s="170">
        <f>Delivery[[#This Row],[Quantity delivered]]*Delivery[[#This Row],[Base price (Unidad)]]/60</f>
        <v>164112.49999999997</v>
      </c>
      <c r="AD108" s="171">
        <f>Delivery[[#This Row],[Nespresso total]]-Delivery[[#This Row],[Qt. Delivery * Base Price]]</f>
        <v>983.99774000004982</v>
      </c>
      <c r="AE108" s="171">
        <f>Delivery[[#This Row],[AAA Premium (total)]]/Delivery[[#This Row],[Quantity delivered]]*60/Delivery[[#This Row],[Exchange rate VS USD]]</f>
        <v>7.1832631578947375</v>
      </c>
      <c r="AF108" s="171">
        <f>Delivery[[#This Row],[BEN premium (total)]]/Delivery[[#This Row],[Quantity delivered]]*60/Delivery[[#This Row],[Exchange rate for premiums VS USD]]</f>
        <v>2.1886854000000002</v>
      </c>
      <c r="AG108" s="171">
        <f>COUNTIF(Delivery[Delivery ID],Delivery[[#This Row],[Delivery ID]])</f>
        <v>1</v>
      </c>
      <c r="AH108" s="171">
        <f>(Delivery[[#This Row],[Nespresso total]]/SUMIF(Allocation!C:C,Delivery[Delivery ID],Allocation!H:H))/Delivery[[#This Row],[Exchange rate VS USD]]</f>
        <v>20.698640673503675</v>
      </c>
      <c r="AI108" s="171">
        <f>(Delivery[[#This Row],[AAA Premium (total)]]/SUMIF(Allocation!C:C,Delivery[Delivery ID],Allocation!H:H))/Delivery[[#This Row],[Exchange rate VS USD]]</f>
        <v>0.85555778440861574</v>
      </c>
      <c r="AJ108" s="171">
        <f>Delivery[[#This Row],[Valor Prêmio Nespresso AAA por Kg (em US$)]]*60</f>
        <v>51.333467064516945</v>
      </c>
      <c r="AK108" s="171">
        <f>Delivery[[#This Row],[Valor Prêmio Nespresso AAA por saca (em US$)]]/1.3228/100</f>
        <v>0.38806673015207849</v>
      </c>
      <c r="AL108" s="171">
        <f>(Delivery[[#This Row],[BEN premium (total)]]/SUMIF(Allocation!C:C,Delivery[Delivery ID],Allocation!H:H))/Delivery[[#This Row],[Exchange rate for premiums VS USD]]</f>
        <v>0.26068191996188661</v>
      </c>
      <c r="AM108" s="171">
        <f>Delivery[[#This Row],[Valor Prêmio Nespresso BEN por Kg (em US$)]]*60</f>
        <v>15.640915197713197</v>
      </c>
      <c r="AN108" s="171">
        <f>Delivery[[#This Row],[Valor Prêmio Nespresso BEN por saca (em US$)]]/1.3228/100</f>
        <v>0.11824096762710309</v>
      </c>
      <c r="AO108" s="171">
        <f>SUMIF(Allocation[Delivery ID],Delivery[[#This Row],[Delivery ID]],Allocation[Quantity allocated])*16*1.3228*Delivery[[#This Row],[Exchange rate VS USD]]/60</f>
        <v>2813.5779626666658</v>
      </c>
      <c r="AP108" s="171">
        <f>Delivery[[#This Row],[AAA Premium (total)]]</f>
        <v>6824.1</v>
      </c>
      <c r="AQ108" s="171">
        <f>Delivery[[#This Row],[Valor pago pelo Cluster]]-Delivery[[#This Row],[Valor efetivamente pago pela Nespresso]]</f>
        <v>4010.5220373333345</v>
      </c>
    </row>
    <row r="109" spans="1:43" ht="15.75">
      <c r="A109" s="174" t="s">
        <v>69</v>
      </c>
      <c r="B109" s="232" t="s">
        <v>68</v>
      </c>
      <c r="C109" s="157">
        <v>1</v>
      </c>
      <c r="D109" s="157" t="s">
        <v>468</v>
      </c>
      <c r="E109" s="177" t="s">
        <v>468</v>
      </c>
      <c r="F109" s="233" t="s">
        <v>543</v>
      </c>
      <c r="G109" s="234">
        <v>43291</v>
      </c>
      <c r="H109" s="157" t="s">
        <v>567</v>
      </c>
      <c r="I109" s="157" t="s">
        <v>568</v>
      </c>
      <c r="J109" s="237">
        <v>14230</v>
      </c>
      <c r="K109" s="175" t="s">
        <v>61</v>
      </c>
      <c r="L109" s="175" t="s">
        <v>439</v>
      </c>
      <c r="M109" s="175" t="s">
        <v>1343</v>
      </c>
      <c r="N109" s="180"/>
      <c r="O109" s="177"/>
      <c r="P109" s="181">
        <v>0</v>
      </c>
      <c r="Q109" s="177">
        <v>43223</v>
      </c>
      <c r="R109" s="178">
        <v>466.661</v>
      </c>
      <c r="S109" s="179">
        <v>110853.12</v>
      </c>
      <c r="T109" s="182" t="s">
        <v>45</v>
      </c>
      <c r="U109" s="183">
        <v>3.5897000000000001</v>
      </c>
      <c r="V109" s="179">
        <v>5960</v>
      </c>
      <c r="W109" s="179">
        <v>0</v>
      </c>
      <c r="X109" s="184" t="s">
        <v>45</v>
      </c>
      <c r="Y109" s="183">
        <v>3.5897000000000001</v>
      </c>
      <c r="Z109" s="220"/>
      <c r="AA109" s="172">
        <f>Delivery[[#This Row],[Quantity delivered]]*VLOOKUP(Delivery[[#This Row],[Unit]],Tab_Conversão[],4,FALSE)*VLOOKUP(CONCATENATE(Delivery[[#This Row],[Coffee specie]],Delivery[[#This Row],[Coffee state]]),Tab_Conversão[],4,FALSE)</f>
        <v>14230</v>
      </c>
      <c r="AB109" s="169">
        <f>SUMIF(Allocation!C:C,Delivery[[#This Row],[Delivery ID]],Allocation!D:D)/Delivery[[#This Row],[Quantity delivered]]</f>
        <v>0.67456078706957134</v>
      </c>
      <c r="AC109" s="170">
        <f>Delivery[[#This Row],[Quantity delivered]]*Delivery[[#This Row],[Base price (Unidad)]]/60</f>
        <v>110676.43383333334</v>
      </c>
      <c r="AD109" s="171">
        <f>Delivery[[#This Row],[Nespresso total]]-Delivery[[#This Row],[Qt. Delivery * Base Price]]</f>
        <v>176.68616666665184</v>
      </c>
      <c r="AE109" s="171">
        <f>Delivery[[#This Row],[AAA Premium (total)]]/Delivery[[#This Row],[Quantity delivered]]*60/Delivery[[#This Row],[Exchange rate VS USD]]</f>
        <v>7.0005869647622045</v>
      </c>
      <c r="AF109" s="171">
        <f>Delivery[[#This Row],[BEN premium (total)]]/Delivery[[#This Row],[Quantity delivered]]*60/Delivery[[#This Row],[Exchange rate for premiums VS USD]]</f>
        <v>0</v>
      </c>
      <c r="AG109" s="171">
        <f>COUNTIF(Delivery[Delivery ID],Delivery[[#This Row],[Delivery ID]])</f>
        <v>1</v>
      </c>
      <c r="AH109" s="171">
        <f>(Delivery[[#This Row],[Nespresso total]]/SUMIF(Allocation!C:C,Delivery[Delivery ID],Allocation!H:H))/Delivery[[#This Row],[Exchange rate VS USD]]</f>
        <v>9.7477547292295039</v>
      </c>
      <c r="AI109" s="171">
        <f>(Delivery[[#This Row],[AAA Premium (total)]]/SUMIF(Allocation!C:C,Delivery[Delivery ID],Allocation!H:H))/Delivery[[#This Row],[Exchange rate VS USD]]</f>
        <v>0.52408645048698532</v>
      </c>
      <c r="AJ109" s="171">
        <f>Delivery[[#This Row],[Valor Prêmio Nespresso AAA por Kg (em US$)]]*60</f>
        <v>31.44518702921912</v>
      </c>
      <c r="AK109" s="171">
        <f>Delivery[[#This Row],[Valor Prêmio Nespresso AAA por saca (em US$)]]/1.3228/100</f>
        <v>0.2377168659602292</v>
      </c>
      <c r="AL109" s="171">
        <f>(Delivery[[#This Row],[BEN premium (total)]]/SUMIF(Allocation!C:C,Delivery[Delivery ID],Allocation!H:H))/Delivery[[#This Row],[Exchange rate for premiums VS USD]]</f>
        <v>0</v>
      </c>
      <c r="AM109" s="171">
        <f>Delivery[[#This Row],[Valor Prêmio Nespresso BEN por Kg (em US$)]]*60</f>
        <v>0</v>
      </c>
      <c r="AN109" s="171">
        <f>Delivery[[#This Row],[Valor Prêmio Nespresso BEN por saca (em US$)]]/1.3228/100</f>
        <v>0</v>
      </c>
      <c r="AO109" s="171">
        <f>SUMIF(Allocation[Delivery ID],Delivery[[#This Row],[Delivery ID]],Allocation[Quantity allocated])*16*1.3228*Delivery[[#This Row],[Exchange rate VS USD]]/60</f>
        <v>4011.4949191680003</v>
      </c>
      <c r="AP109" s="171">
        <f>Delivery[[#This Row],[AAA Premium (total)]]</f>
        <v>5960</v>
      </c>
      <c r="AQ109" s="171">
        <f>Delivery[[#This Row],[Valor pago pelo Cluster]]-Delivery[[#This Row],[Valor efetivamente pago pela Nespresso]]</f>
        <v>1948.5050808319997</v>
      </c>
    </row>
    <row r="110" spans="1:43" ht="15.75">
      <c r="A110" s="174" t="s">
        <v>69</v>
      </c>
      <c r="B110" s="232" t="s">
        <v>68</v>
      </c>
      <c r="C110" s="157" t="s">
        <v>1344</v>
      </c>
      <c r="D110" s="157" t="s">
        <v>468</v>
      </c>
      <c r="E110" s="177" t="s">
        <v>468</v>
      </c>
      <c r="F110" s="233" t="s">
        <v>543</v>
      </c>
      <c r="G110" s="234">
        <v>43291</v>
      </c>
      <c r="H110" s="157" t="s">
        <v>1372</v>
      </c>
      <c r="I110" s="157" t="s">
        <v>1373</v>
      </c>
      <c r="J110" s="237">
        <v>15450</v>
      </c>
      <c r="K110" s="175" t="s">
        <v>61</v>
      </c>
      <c r="L110" s="175" t="s">
        <v>439</v>
      </c>
      <c r="M110" s="175" t="s">
        <v>1343</v>
      </c>
      <c r="N110" s="180"/>
      <c r="O110" s="177"/>
      <c r="P110" s="181">
        <v>0</v>
      </c>
      <c r="Q110" s="177">
        <v>43286</v>
      </c>
      <c r="R110" s="178">
        <v>434.75018</v>
      </c>
      <c r="S110" s="179">
        <v>115439.31</v>
      </c>
      <c r="T110" s="182" t="s">
        <v>45</v>
      </c>
      <c r="U110" s="183">
        <v>3.9201999999999999</v>
      </c>
      <c r="V110" s="179">
        <v>10113.6</v>
      </c>
      <c r="W110" s="179">
        <v>0</v>
      </c>
      <c r="X110" s="184" t="s">
        <v>45</v>
      </c>
      <c r="Y110" s="183">
        <v>3.9201999999999999</v>
      </c>
      <c r="Z110" s="220"/>
      <c r="AA110" s="172">
        <f>Delivery[[#This Row],[Quantity delivered]]*VLOOKUP(Delivery[[#This Row],[Unit]],Tab_Conversão[],4,FALSE)*VLOOKUP(CONCATENATE(Delivery[[#This Row],[Coffee specie]],Delivery[[#This Row],[Coffee state]]),Tab_Conversão[],4,FALSE)</f>
        <v>15450</v>
      </c>
      <c r="AB110" s="169">
        <f>SUMIF(Allocation!C:C,Delivery[[#This Row],[Delivery ID]],Allocation!D:D)/Delivery[[#This Row],[Quantity delivered]]</f>
        <v>0.26304207119741102</v>
      </c>
      <c r="AC110" s="170">
        <f>Delivery[[#This Row],[Quantity delivered]]*Delivery[[#This Row],[Base price (Unidad)]]/60</f>
        <v>111948.17135</v>
      </c>
      <c r="AD110" s="171">
        <f>Delivery[[#This Row],[Nespresso total]]-Delivery[[#This Row],[Qt. Delivery * Base Price]]</f>
        <v>3491.1386499999935</v>
      </c>
      <c r="AE110" s="171">
        <f>Delivery[[#This Row],[AAA Premium (total)]]/Delivery[[#This Row],[Quantity delivered]]*60/Delivery[[#This Row],[Exchange rate VS USD]]</f>
        <v>10.018906307039021</v>
      </c>
      <c r="AF110" s="171">
        <f>Delivery[[#This Row],[BEN premium (total)]]/Delivery[[#This Row],[Quantity delivered]]*60/Delivery[[#This Row],[Exchange rate for premiums VS USD]]</f>
        <v>0</v>
      </c>
      <c r="AG110" s="171">
        <f>COUNTIF(Delivery[Delivery ID],Delivery[[#This Row],[Delivery ID]])</f>
        <v>1</v>
      </c>
      <c r="AH110" s="171">
        <f>(Delivery[[#This Row],[Nespresso total]]/SUMIF(Allocation!C:C,Delivery[Delivery ID],Allocation!H:H))/Delivery[[#This Row],[Exchange rate VS USD]]</f>
        <v>16.469407806545959</v>
      </c>
      <c r="AI110" s="171">
        <f>(Delivery[[#This Row],[AAA Premium (total)]]/SUMIF(Allocation!C:C,Delivery[Delivery ID],Allocation!H:H))/Delivery[[#This Row],[Exchange rate VS USD]]</f>
        <v>1.4428794038381141</v>
      </c>
      <c r="AJ110" s="171">
        <f>Delivery[[#This Row],[Valor Prêmio Nespresso AAA por Kg (em US$)]]*60</f>
        <v>86.57276423028685</v>
      </c>
      <c r="AK110" s="171">
        <f>Delivery[[#This Row],[Valor Prêmio Nespresso AAA por saca (em US$)]]/1.3228/100</f>
        <v>0.65446601323168163</v>
      </c>
      <c r="AL110" s="171">
        <f>(Delivery[[#This Row],[BEN premium (total)]]/SUMIF(Allocation!C:C,Delivery[Delivery ID],Allocation!H:H))/Delivery[[#This Row],[Exchange rate for premiums VS USD]]</f>
        <v>0</v>
      </c>
      <c r="AM110" s="171">
        <f>Delivery[[#This Row],[Valor Prêmio Nespresso BEN por Kg (em US$)]]*60</f>
        <v>0</v>
      </c>
      <c r="AN110" s="171">
        <f>Delivery[[#This Row],[Valor Prêmio Nespresso BEN por saca (em US$)]]/1.3228/100</f>
        <v>0</v>
      </c>
      <c r="AO110" s="171">
        <f>SUMIF(Allocation[Delivery ID],Delivery[[#This Row],[Delivery ID]],Allocation[Quantity allocated])*16*1.3228*Delivery[[#This Row],[Exchange rate VS USD]]/60</f>
        <v>2472.5134190079998</v>
      </c>
      <c r="AP110" s="171">
        <f>Delivery[[#This Row],[AAA Premium (total)]]</f>
        <v>10113.6</v>
      </c>
      <c r="AQ110" s="171">
        <f>Delivery[[#This Row],[Valor pago pelo Cluster]]-Delivery[[#This Row],[Valor efetivamente pago pela Nespresso]]</f>
        <v>7641.0865809920006</v>
      </c>
    </row>
    <row r="111" spans="1:43" ht="15.75">
      <c r="A111" s="174" t="s">
        <v>69</v>
      </c>
      <c r="B111" s="232" t="s">
        <v>68</v>
      </c>
      <c r="C111" s="157" t="s">
        <v>1344</v>
      </c>
      <c r="D111" s="157" t="s">
        <v>468</v>
      </c>
      <c r="E111" s="177" t="s">
        <v>468</v>
      </c>
      <c r="F111" s="233" t="s">
        <v>543</v>
      </c>
      <c r="G111" s="234">
        <v>43291</v>
      </c>
      <c r="H111" s="157" t="s">
        <v>1374</v>
      </c>
      <c r="I111" s="157" t="s">
        <v>1375</v>
      </c>
      <c r="J111" s="237">
        <v>5550</v>
      </c>
      <c r="K111" s="175" t="s">
        <v>61</v>
      </c>
      <c r="L111" s="175" t="s">
        <v>439</v>
      </c>
      <c r="M111" s="175" t="s">
        <v>1343</v>
      </c>
      <c r="N111" s="180"/>
      <c r="O111" s="177"/>
      <c r="P111" s="181">
        <v>0</v>
      </c>
      <c r="Q111" s="177">
        <v>43286</v>
      </c>
      <c r="R111" s="178">
        <v>434.75018</v>
      </c>
      <c r="S111" s="179">
        <v>41469.599999999999</v>
      </c>
      <c r="T111" s="182" t="s">
        <v>45</v>
      </c>
      <c r="U111" s="183">
        <v>3.9201999999999999</v>
      </c>
      <c r="V111" s="179">
        <v>3645.6</v>
      </c>
      <c r="W111" s="179">
        <v>0</v>
      </c>
      <c r="X111" s="184" t="s">
        <v>45</v>
      </c>
      <c r="Y111" s="183">
        <v>3.9201999999999999</v>
      </c>
      <c r="Z111" s="220"/>
      <c r="AA111" s="172">
        <f>Delivery[[#This Row],[Quantity delivered]]*VLOOKUP(Delivery[[#This Row],[Unit]],Tab_Conversão[],4,FALSE)*VLOOKUP(CONCATENATE(Delivery[[#This Row],[Coffee specie]],Delivery[[#This Row],[Coffee state]]),Tab_Conversão[],4,FALSE)</f>
        <v>5550</v>
      </c>
      <c r="AB111" s="169">
        <f>SUMIF(Allocation!C:C,Delivery[[#This Row],[Delivery ID]],Allocation!D:D)/Delivery[[#This Row],[Quantity delivered]]</f>
        <v>0.21909909909909911</v>
      </c>
      <c r="AC111" s="170">
        <f>Delivery[[#This Row],[Quantity delivered]]*Delivery[[#This Row],[Base price (Unidad)]]/60</f>
        <v>40214.391649999998</v>
      </c>
      <c r="AD111" s="171">
        <f>Delivery[[#This Row],[Nespresso total]]-Delivery[[#This Row],[Qt. Delivery * Base Price]]</f>
        <v>1255.2083500000008</v>
      </c>
      <c r="AE111" s="171">
        <f>Delivery[[#This Row],[AAA Premium (total)]]/Delivery[[#This Row],[Quantity delivered]]*60/Delivery[[#This Row],[Exchange rate VS USD]]</f>
        <v>10.053541118282713</v>
      </c>
      <c r="AF111" s="171">
        <f>Delivery[[#This Row],[BEN premium (total)]]/Delivery[[#This Row],[Quantity delivered]]*60/Delivery[[#This Row],[Exchange rate for premiums VS USD]]</f>
        <v>0</v>
      </c>
      <c r="AG111" s="171">
        <f>COUNTIF(Delivery[Delivery ID],Delivery[[#This Row],[Delivery ID]])</f>
        <v>1</v>
      </c>
      <c r="AH111" s="171">
        <f>(Delivery[[#This Row],[Nespresso total]]/SUMIF(Allocation!C:C,Delivery[Delivery ID],Allocation!H:H))/Delivery[[#This Row],[Exchange rate VS USD]]</f>
        <v>19.772784814049636</v>
      </c>
      <c r="AI111" s="171">
        <f>(Delivery[[#This Row],[AAA Premium (total)]]/SUMIF(Allocation!C:C,Delivery[Delivery ID],Allocation!H:H))/Delivery[[#This Row],[Exchange rate VS USD]]</f>
        <v>1.7382290718526188</v>
      </c>
      <c r="AJ111" s="171">
        <f>Delivery[[#This Row],[Valor Prêmio Nespresso AAA por Kg (em US$)]]*60</f>
        <v>104.29374431115713</v>
      </c>
      <c r="AK111" s="171">
        <f>Delivery[[#This Row],[Valor Prêmio Nespresso AAA por saca (em US$)]]/1.3228/100</f>
        <v>0.78843169270605629</v>
      </c>
      <c r="AL111" s="171">
        <f>(Delivery[[#This Row],[BEN premium (total)]]/SUMIF(Allocation!C:C,Delivery[Delivery ID],Allocation!H:H))/Delivery[[#This Row],[Exchange rate for premiums VS USD]]</f>
        <v>0</v>
      </c>
      <c r="AM111" s="171">
        <f>Delivery[[#This Row],[Valor Prêmio Nespresso BEN por Kg (em US$)]]*60</f>
        <v>0</v>
      </c>
      <c r="AN111" s="171">
        <f>Delivery[[#This Row],[Valor Prêmio Nespresso BEN por saca (em US$)]]/1.3228/100</f>
        <v>0</v>
      </c>
      <c r="AO111" s="171">
        <f>SUMIF(Allocation[Delivery ID],Delivery[[#This Row],[Delivery ID]],Allocation[Quantity allocated])*16*1.3228*Delivery[[#This Row],[Exchange rate VS USD]]/60</f>
        <v>739.81805322666662</v>
      </c>
      <c r="AP111" s="171">
        <f>Delivery[[#This Row],[AAA Premium (total)]]</f>
        <v>3645.6</v>
      </c>
      <c r="AQ111" s="171">
        <f>Delivery[[#This Row],[Valor pago pelo Cluster]]-Delivery[[#This Row],[Valor efetivamente pago pela Nespresso]]</f>
        <v>2905.7819467733334</v>
      </c>
    </row>
    <row r="112" spans="1:43" ht="15.75">
      <c r="A112" s="174" t="s">
        <v>69</v>
      </c>
      <c r="B112" s="232" t="s">
        <v>68</v>
      </c>
      <c r="C112" s="157" t="s">
        <v>1344</v>
      </c>
      <c r="D112" s="157" t="s">
        <v>468</v>
      </c>
      <c r="E112" s="177" t="s">
        <v>468</v>
      </c>
      <c r="F112" s="233" t="s">
        <v>543</v>
      </c>
      <c r="G112" s="234">
        <v>43291</v>
      </c>
      <c r="H112" s="157" t="s">
        <v>1376</v>
      </c>
      <c r="I112" s="157" t="s">
        <v>1377</v>
      </c>
      <c r="J112" s="237">
        <v>19950</v>
      </c>
      <c r="K112" s="175" t="s">
        <v>61</v>
      </c>
      <c r="L112" s="175" t="s">
        <v>439</v>
      </c>
      <c r="M112" s="175" t="s">
        <v>1343</v>
      </c>
      <c r="N112" s="180"/>
      <c r="O112" s="177"/>
      <c r="P112" s="181">
        <v>0</v>
      </c>
      <c r="Q112" s="177">
        <v>43291</v>
      </c>
      <c r="R112" s="178">
        <v>441.58817999999997</v>
      </c>
      <c r="S112" s="179">
        <v>144773.16</v>
      </c>
      <c r="T112" s="182" t="s">
        <v>45</v>
      </c>
      <c r="U112" s="183">
        <v>3.8532999999999999</v>
      </c>
      <c r="V112" s="179">
        <v>8967.5300000000007</v>
      </c>
      <c r="W112" s="179">
        <v>0</v>
      </c>
      <c r="X112" s="184" t="s">
        <v>45</v>
      </c>
      <c r="Y112" s="183">
        <v>3.8532999999999999</v>
      </c>
      <c r="Z112" s="220"/>
      <c r="AA112" s="172">
        <f>Delivery[[#This Row],[Quantity delivered]]*VLOOKUP(Delivery[[#This Row],[Unit]],Tab_Conversão[],4,FALSE)*VLOOKUP(CONCATENATE(Delivery[[#This Row],[Coffee specie]],Delivery[[#This Row],[Coffee state]]),Tab_Conversão[],4,FALSE)</f>
        <v>19950</v>
      </c>
      <c r="AB112" s="169">
        <f>SUMIF(Allocation!C:C,Delivery[[#This Row],[Delivery ID]],Allocation!D:D)/Delivery[[#This Row],[Quantity delivered]]</f>
        <v>0.3869674185463659</v>
      </c>
      <c r="AC112" s="170">
        <f>Delivery[[#This Row],[Quantity delivered]]*Delivery[[#This Row],[Base price (Unidad)]]/60</f>
        <v>146828.06985</v>
      </c>
      <c r="AD112" s="171">
        <f>Delivery[[#This Row],[Nespresso total]]-Delivery[[#This Row],[Qt. Delivery * Base Price]]</f>
        <v>-2054.9098499999964</v>
      </c>
      <c r="AE112" s="171">
        <f>Delivery[[#This Row],[AAA Premium (total)]]/Delivery[[#This Row],[Quantity delivered]]*60/Delivery[[#This Row],[Exchange rate VS USD]]</f>
        <v>6.9991993972942641</v>
      </c>
      <c r="AF112" s="171">
        <f>Delivery[[#This Row],[BEN premium (total)]]/Delivery[[#This Row],[Quantity delivered]]*60/Delivery[[#This Row],[Exchange rate for premiums VS USD]]</f>
        <v>0</v>
      </c>
      <c r="AG112" s="171">
        <f>COUNTIF(Delivery[Delivery ID],Delivery[[#This Row],[Delivery ID]])</f>
        <v>1</v>
      </c>
      <c r="AH112" s="171">
        <f>(Delivery[[#This Row],[Nespresso total]]/SUMIF(Allocation!C:C,Delivery[Delivery ID],Allocation!H:H))/Delivery[[#This Row],[Exchange rate VS USD]]</f>
        <v>16.22245867178782</v>
      </c>
      <c r="AI112" s="171">
        <f>(Delivery[[#This Row],[AAA Premium (total)]]/SUMIF(Allocation!C:C,Delivery[Delivery ID],Allocation!H:H))/Delivery[[#This Row],[Exchange rate VS USD]]</f>
        <v>1.0048505179621514</v>
      </c>
      <c r="AJ112" s="171">
        <f>Delivery[[#This Row],[Valor Prêmio Nespresso AAA por Kg (em US$)]]*60</f>
        <v>60.291031077729087</v>
      </c>
      <c r="AK112" s="171">
        <f>Delivery[[#This Row],[Valor Prêmio Nespresso AAA por saca (em US$)]]/1.3228/100</f>
        <v>0.45578342211769801</v>
      </c>
      <c r="AL112" s="171">
        <f>(Delivery[[#This Row],[BEN premium (total)]]/SUMIF(Allocation!C:C,Delivery[Delivery ID],Allocation!H:H))/Delivery[[#This Row],[Exchange rate for premiums VS USD]]</f>
        <v>0</v>
      </c>
      <c r="AM112" s="171">
        <f>Delivery[[#This Row],[Valor Prêmio Nespresso BEN por Kg (em US$)]]*60</f>
        <v>0</v>
      </c>
      <c r="AN112" s="171">
        <f>Delivery[[#This Row],[Valor Prêmio Nespresso BEN por saca (em US$)]]/1.3228/100</f>
        <v>0</v>
      </c>
      <c r="AO112" s="171">
        <f>SUMIF(Allocation[Delivery ID],Delivery[[#This Row],[Delivery ID]],Allocation[Quantity allocated])*16*1.3228*Delivery[[#This Row],[Exchange rate VS USD]]/60</f>
        <v>3147.996900224</v>
      </c>
      <c r="AP112" s="171">
        <f>Delivery[[#This Row],[AAA Premium (total)]]</f>
        <v>8967.5300000000007</v>
      </c>
      <c r="AQ112" s="171">
        <f>Delivery[[#This Row],[Valor pago pelo Cluster]]-Delivery[[#This Row],[Valor efetivamente pago pela Nespresso]]</f>
        <v>5819.5330997760011</v>
      </c>
    </row>
    <row r="113" spans="1:43" ht="15.75">
      <c r="A113" s="174" t="s">
        <v>69</v>
      </c>
      <c r="B113" s="232" t="s">
        <v>68</v>
      </c>
      <c r="C113" s="157" t="s">
        <v>1344</v>
      </c>
      <c r="D113" s="157" t="s">
        <v>468</v>
      </c>
      <c r="E113" s="177" t="s">
        <v>468</v>
      </c>
      <c r="F113" s="233" t="s">
        <v>543</v>
      </c>
      <c r="G113" s="234">
        <v>43291</v>
      </c>
      <c r="H113" s="157" t="s">
        <v>1378</v>
      </c>
      <c r="I113" s="157" t="s">
        <v>1364</v>
      </c>
      <c r="J113" s="237">
        <v>13850</v>
      </c>
      <c r="K113" s="175" t="s">
        <v>61</v>
      </c>
      <c r="L113" s="175" t="s">
        <v>439</v>
      </c>
      <c r="M113" s="175" t="s">
        <v>1343</v>
      </c>
      <c r="N113" s="180"/>
      <c r="O113" s="177"/>
      <c r="P113" s="181">
        <v>0</v>
      </c>
      <c r="Q113" s="177">
        <v>43290</v>
      </c>
      <c r="R113" s="178">
        <v>442.42646499999995</v>
      </c>
      <c r="S113" s="179">
        <v>107099.28</v>
      </c>
      <c r="T113" s="182" t="s">
        <v>45</v>
      </c>
      <c r="U113" s="183">
        <v>3.8622999999999998</v>
      </c>
      <c r="V113" s="179">
        <v>8914.7800000000007</v>
      </c>
      <c r="W113" s="179">
        <v>0</v>
      </c>
      <c r="X113" s="184" t="s">
        <v>45</v>
      </c>
      <c r="Y113" s="183">
        <v>3.8622999999999998</v>
      </c>
      <c r="Z113" s="220"/>
      <c r="AA113" s="172">
        <f>Delivery[[#This Row],[Quantity delivered]]*VLOOKUP(Delivery[[#This Row],[Unit]],Tab_Conversão[],4,FALSE)*VLOOKUP(CONCATENATE(Delivery[[#This Row],[Coffee specie]],Delivery[[#This Row],[Coffee state]]),Tab_Conversão[],4,FALSE)</f>
        <v>13850</v>
      </c>
      <c r="AB113" s="169">
        <f>SUMIF(Allocation!C:C,Delivery[[#This Row],[Delivery ID]],Allocation!D:D)/Delivery[[#This Row],[Quantity delivered]]</f>
        <v>0.20310469314079421</v>
      </c>
      <c r="AC113" s="170">
        <f>Delivery[[#This Row],[Quantity delivered]]*Delivery[[#This Row],[Base price (Unidad)]]/60</f>
        <v>102126.77567083333</v>
      </c>
      <c r="AD113" s="171">
        <f>Delivery[[#This Row],[Nespresso total]]-Delivery[[#This Row],[Qt. Delivery * Base Price]]</f>
        <v>4972.5043291666661</v>
      </c>
      <c r="AE113" s="171">
        <f>Delivery[[#This Row],[AAA Premium (total)]]/Delivery[[#This Row],[Quantity delivered]]*60/Delivery[[#This Row],[Exchange rate VS USD]]</f>
        <v>9.9992195219342843</v>
      </c>
      <c r="AF113" s="171">
        <f>Delivery[[#This Row],[BEN premium (total)]]/Delivery[[#This Row],[Quantity delivered]]*60/Delivery[[#This Row],[Exchange rate for premiums VS USD]]</f>
        <v>0</v>
      </c>
      <c r="AG113" s="171">
        <f>COUNTIF(Delivery[Delivery ID],Delivery[[#This Row],[Delivery ID]])</f>
        <v>1</v>
      </c>
      <c r="AH113" s="171">
        <f>(Delivery[[#This Row],[Nespresso total]]/SUMIF(Allocation!C:C,Delivery[Delivery ID],Allocation!H:H))/Delivery[[#This Row],[Exchange rate VS USD]]</f>
        <v>17.29844339290235</v>
      </c>
      <c r="AI113" s="171">
        <f>(Delivery[[#This Row],[AAA Premium (total)]]/SUMIF(Allocation!C:C,Delivery[Delivery ID],Allocation!H:H))/Delivery[[#This Row],[Exchange rate VS USD]]</f>
        <v>1.4398959282469315</v>
      </c>
      <c r="AJ113" s="171">
        <f>Delivery[[#This Row],[Valor Prêmio Nespresso AAA por Kg (em US$)]]*60</f>
        <v>86.393755694815894</v>
      </c>
      <c r="AK113" s="171">
        <f>Delivery[[#This Row],[Valor Prêmio Nespresso AAA por saca (em US$)]]/1.3228/100</f>
        <v>0.6531127585032952</v>
      </c>
      <c r="AL113" s="171">
        <f>(Delivery[[#This Row],[BEN premium (total)]]/SUMIF(Allocation!C:C,Delivery[Delivery ID],Allocation!H:H))/Delivery[[#This Row],[Exchange rate for premiums VS USD]]</f>
        <v>0</v>
      </c>
      <c r="AM113" s="171">
        <f>Delivery[[#This Row],[Valor Prêmio Nespresso BEN por Kg (em US$)]]*60</f>
        <v>0</v>
      </c>
      <c r="AN113" s="171">
        <f>Delivery[[#This Row],[Valor Prêmio Nespresso BEN por saca (em US$)]]/1.3228/100</f>
        <v>0</v>
      </c>
      <c r="AO113" s="171">
        <f>SUMIF(Allocation[Delivery ID],Delivery[[#This Row],[Delivery ID]],Allocation[Quantity allocated])*16*1.3228*Delivery[[#This Row],[Exchange rate VS USD]]/60</f>
        <v>2183.9487614186664</v>
      </c>
      <c r="AP113" s="171">
        <f>Delivery[[#This Row],[AAA Premium (total)]]</f>
        <v>8914.7800000000007</v>
      </c>
      <c r="AQ113" s="171">
        <f>Delivery[[#This Row],[Valor pago pelo Cluster]]-Delivery[[#This Row],[Valor efetivamente pago pela Nespresso]]</f>
        <v>6730.8312385813342</v>
      </c>
    </row>
    <row r="114" spans="1:43" ht="15.75">
      <c r="A114" s="174" t="s">
        <v>69</v>
      </c>
      <c r="B114" s="232" t="s">
        <v>68</v>
      </c>
      <c r="C114" s="157" t="s">
        <v>1344</v>
      </c>
      <c r="D114" s="157" t="s">
        <v>468</v>
      </c>
      <c r="E114" s="177" t="s">
        <v>468</v>
      </c>
      <c r="F114" s="233" t="s">
        <v>543</v>
      </c>
      <c r="G114" s="234">
        <v>43291</v>
      </c>
      <c r="H114" s="157" t="s">
        <v>1379</v>
      </c>
      <c r="I114" s="157" t="s">
        <v>1364</v>
      </c>
      <c r="J114" s="237">
        <v>8620</v>
      </c>
      <c r="K114" s="175" t="s">
        <v>61</v>
      </c>
      <c r="L114" s="175" t="s">
        <v>439</v>
      </c>
      <c r="M114" s="175" t="s">
        <v>1343</v>
      </c>
      <c r="N114" s="180"/>
      <c r="O114" s="177"/>
      <c r="P114" s="181">
        <v>0</v>
      </c>
      <c r="Q114" s="177">
        <v>43290</v>
      </c>
      <c r="R114" s="178">
        <v>442.42646499999995</v>
      </c>
      <c r="S114" s="179">
        <v>66154.19</v>
      </c>
      <c r="T114" s="182" t="s">
        <v>45</v>
      </c>
      <c r="U114" s="183">
        <v>3.8622999999999998</v>
      </c>
      <c r="V114" s="179">
        <v>3884.75</v>
      </c>
      <c r="W114" s="179">
        <v>0</v>
      </c>
      <c r="X114" s="184" t="s">
        <v>45</v>
      </c>
      <c r="Y114" s="183">
        <v>3.8622999999999998</v>
      </c>
      <c r="Z114" s="220"/>
      <c r="AA114" s="172">
        <f>Delivery[[#This Row],[Quantity delivered]]*VLOOKUP(Delivery[[#This Row],[Unit]],Tab_Conversão[],4,FALSE)*VLOOKUP(CONCATENATE(Delivery[[#This Row],[Coffee specie]],Delivery[[#This Row],[Coffee state]]),Tab_Conversão[],4,FALSE)</f>
        <v>8620</v>
      </c>
      <c r="AB114" s="169">
        <f>SUMIF(Allocation!C:C,Delivery[[#This Row],[Delivery ID]],Allocation!D:D)/Delivery[[#This Row],[Quantity delivered]]</f>
        <v>0.20406032482598607</v>
      </c>
      <c r="AC114" s="170">
        <f>Delivery[[#This Row],[Quantity delivered]]*Delivery[[#This Row],[Base price (Unidad)]]/60</f>
        <v>63561.935471666657</v>
      </c>
      <c r="AD114" s="171">
        <f>Delivery[[#This Row],[Nespresso total]]-Delivery[[#This Row],[Qt. Delivery * Base Price]]</f>
        <v>2592.2545283333457</v>
      </c>
      <c r="AE114" s="171">
        <f>Delivery[[#This Row],[AAA Premium (total)]]/Delivery[[#This Row],[Quantity delivered]]*60/Delivery[[#This Row],[Exchange rate VS USD]]</f>
        <v>7.0010157682873295</v>
      </c>
      <c r="AF114" s="171">
        <f>Delivery[[#This Row],[BEN premium (total)]]/Delivery[[#This Row],[Quantity delivered]]*60/Delivery[[#This Row],[Exchange rate for premiums VS USD]]</f>
        <v>0</v>
      </c>
      <c r="AG114" s="171">
        <f>COUNTIF(Delivery[Delivery ID],Delivery[[#This Row],[Delivery ID]])</f>
        <v>1</v>
      </c>
      <c r="AH114" s="171">
        <f>(Delivery[[#This Row],[Nespresso total]]/SUMIF(Allocation!C:C,Delivery[Delivery ID],Allocation!H:H))/Delivery[[#This Row],[Exchange rate VS USD]]</f>
        <v>20.711227664089613</v>
      </c>
      <c r="AI114" s="171">
        <f>(Delivery[[#This Row],[AAA Premium (total)]]/SUMIF(Allocation!C:C,Delivery[Delivery ID],Allocation!H:H))/Delivery[[#This Row],[Exchange rate VS USD]]</f>
        <v>1.2162183781264968</v>
      </c>
      <c r="AJ114" s="171">
        <f>Delivery[[#This Row],[Valor Prêmio Nespresso AAA por Kg (em US$)]]*60</f>
        <v>72.973102687589801</v>
      </c>
      <c r="AK114" s="171">
        <f>Delivery[[#This Row],[Valor Prêmio Nespresso AAA por saca (em US$)]]/1.3228/100</f>
        <v>0.55165635536430147</v>
      </c>
      <c r="AL114" s="171">
        <f>(Delivery[[#This Row],[BEN premium (total)]]/SUMIF(Allocation!C:C,Delivery[Delivery ID],Allocation!H:H))/Delivery[[#This Row],[Exchange rate for premiums VS USD]]</f>
        <v>0</v>
      </c>
      <c r="AM114" s="171">
        <f>Delivery[[#This Row],[Valor Prêmio Nespresso BEN por Kg (em US$)]]*60</f>
        <v>0</v>
      </c>
      <c r="AN114" s="171">
        <f>Delivery[[#This Row],[Valor Prêmio Nespresso BEN por saca (em US$)]]/1.3228/100</f>
        <v>0</v>
      </c>
      <c r="AO114" s="171">
        <f>SUMIF(Allocation[Delivery ID],Delivery[[#This Row],[Delivery ID]],Allocation[Quantity allocated])*16*1.3228*Delivery[[#This Row],[Exchange rate VS USD]]/60</f>
        <v>1126.7159237013332</v>
      </c>
      <c r="AP114" s="171">
        <f>Delivery[[#This Row],[AAA Premium (total)]]</f>
        <v>3884.75</v>
      </c>
      <c r="AQ114" s="171">
        <f>Delivery[[#This Row],[Valor pago pelo Cluster]]-Delivery[[#This Row],[Valor efetivamente pago pela Nespresso]]</f>
        <v>2758.0340762986671</v>
      </c>
    </row>
    <row r="115" spans="1:43" ht="15.75">
      <c r="A115" s="174" t="s">
        <v>69</v>
      </c>
      <c r="B115" s="232" t="s">
        <v>68</v>
      </c>
      <c r="C115" s="157" t="s">
        <v>1344</v>
      </c>
      <c r="D115" s="157" t="s">
        <v>468</v>
      </c>
      <c r="E115" s="177" t="s">
        <v>468</v>
      </c>
      <c r="F115" s="233" t="s">
        <v>543</v>
      </c>
      <c r="G115" s="234">
        <v>43292</v>
      </c>
      <c r="H115" s="157" t="s">
        <v>1380</v>
      </c>
      <c r="I115" s="157" t="s">
        <v>1381</v>
      </c>
      <c r="J115" s="237">
        <v>3000</v>
      </c>
      <c r="K115" s="175" t="s">
        <v>61</v>
      </c>
      <c r="L115" s="175" t="s">
        <v>439</v>
      </c>
      <c r="M115" s="175" t="s">
        <v>1343</v>
      </c>
      <c r="N115" s="180"/>
      <c r="O115" s="177"/>
      <c r="P115" s="181">
        <v>0</v>
      </c>
      <c r="Q115" s="177">
        <v>43291</v>
      </c>
      <c r="R115" s="178">
        <v>434.67635000000001</v>
      </c>
      <c r="S115" s="179">
        <v>22795.5</v>
      </c>
      <c r="T115" s="182" t="s">
        <v>45</v>
      </c>
      <c r="U115" s="183">
        <v>3.7963</v>
      </c>
      <c r="V115" s="179">
        <v>1328.5</v>
      </c>
      <c r="W115" s="179">
        <v>0</v>
      </c>
      <c r="X115" s="184" t="s">
        <v>45</v>
      </c>
      <c r="Y115" s="183">
        <v>3.7963</v>
      </c>
      <c r="Z115" s="220"/>
      <c r="AA115" s="172">
        <f>Delivery[[#This Row],[Quantity delivered]]*VLOOKUP(Delivery[[#This Row],[Unit]],Tab_Conversão[],4,FALSE)*VLOOKUP(CONCATENATE(Delivery[[#This Row],[Coffee specie]],Delivery[[#This Row],[Coffee state]]),Tab_Conversão[],4,FALSE)</f>
        <v>3000</v>
      </c>
      <c r="AB115" s="169">
        <f>SUMIF(Allocation!C:C,Delivery[[#This Row],[Delivery ID]],Allocation!D:D)/Delivery[[#This Row],[Quantity delivered]]</f>
        <v>0.27533333333333332</v>
      </c>
      <c r="AC115" s="170">
        <f>Delivery[[#This Row],[Quantity delivered]]*Delivery[[#This Row],[Base price (Unidad)]]/60</f>
        <v>21733.817500000001</v>
      </c>
      <c r="AD115" s="171">
        <f>Delivery[[#This Row],[Nespresso total]]-Delivery[[#This Row],[Qt. Delivery * Base Price]]</f>
        <v>1061.682499999999</v>
      </c>
      <c r="AE115" s="171">
        <f>Delivery[[#This Row],[AAA Premium (total)]]/Delivery[[#This Row],[Quantity delivered]]*60/Delivery[[#This Row],[Exchange rate VS USD]]</f>
        <v>6.9989200010536576</v>
      </c>
      <c r="AF115" s="171">
        <f>Delivery[[#This Row],[BEN premium (total)]]/Delivery[[#This Row],[Quantity delivered]]*60/Delivery[[#This Row],[Exchange rate for premiums VS USD]]</f>
        <v>0</v>
      </c>
      <c r="AG115" s="171">
        <f>COUNTIF(Delivery[Delivery ID],Delivery[[#This Row],[Delivery ID]])</f>
        <v>1</v>
      </c>
      <c r="AH115" s="171">
        <f>(Delivery[[#This Row],[Nespresso total]]/SUMIF(Allocation!C:C,Delivery[Delivery ID],Allocation!H:H))/Delivery[[#This Row],[Exchange rate VS USD]]</f>
        <v>20.777378666005792</v>
      </c>
      <c r="AI115" s="171">
        <f>(Delivery[[#This Row],[AAA Premium (total)]]/SUMIF(Allocation!C:C,Delivery[Delivery ID],Allocation!H:H))/Delivery[[#This Row],[Exchange rate VS USD]]</f>
        <v>1.2108858133310825</v>
      </c>
      <c r="AJ115" s="171">
        <f>Delivery[[#This Row],[Valor Prêmio Nespresso AAA por Kg (em US$)]]*60</f>
        <v>72.653148799864951</v>
      </c>
      <c r="AK115" s="171">
        <f>Delivery[[#This Row],[Valor Prêmio Nespresso AAA por saca (em US$)]]/1.3228/100</f>
        <v>0.54923759298355723</v>
      </c>
      <c r="AL115" s="171">
        <f>(Delivery[[#This Row],[BEN premium (total)]]/SUMIF(Allocation!C:C,Delivery[Delivery ID],Allocation!H:H))/Delivery[[#This Row],[Exchange rate for premiums VS USD]]</f>
        <v>0</v>
      </c>
      <c r="AM115" s="171">
        <f>Delivery[[#This Row],[Valor Prêmio Nespresso BEN por Kg (em US$)]]*60</f>
        <v>0</v>
      </c>
      <c r="AN115" s="171">
        <f>Delivery[[#This Row],[Valor Prêmio Nespresso BEN por saca (em US$)]]/1.3228/100</f>
        <v>0</v>
      </c>
      <c r="AO115" s="171">
        <f>SUMIF(Allocation[Delivery ID],Delivery[[#This Row],[Delivery ID]],Allocation[Quantity allocated])*16*1.3228*Delivery[[#This Row],[Exchange rate VS USD]]/60</f>
        <v>387.00919732266664</v>
      </c>
      <c r="AP115" s="171">
        <f>Delivery[[#This Row],[AAA Premium (total)]]</f>
        <v>1328.5</v>
      </c>
      <c r="AQ115" s="171">
        <f>Delivery[[#This Row],[Valor pago pelo Cluster]]-Delivery[[#This Row],[Valor efetivamente pago pela Nespresso]]</f>
        <v>941.49080267733336</v>
      </c>
    </row>
    <row r="116" spans="1:43" ht="15.75">
      <c r="A116" s="174" t="s">
        <v>69</v>
      </c>
      <c r="B116" s="232" t="s">
        <v>68</v>
      </c>
      <c r="C116" s="157">
        <v>1</v>
      </c>
      <c r="D116" s="157" t="s">
        <v>468</v>
      </c>
      <c r="E116" s="177" t="s">
        <v>468</v>
      </c>
      <c r="F116" s="233" t="s">
        <v>543</v>
      </c>
      <c r="G116" s="234">
        <v>43292</v>
      </c>
      <c r="H116" s="157" t="s">
        <v>1382</v>
      </c>
      <c r="I116" s="236" t="s">
        <v>1383</v>
      </c>
      <c r="J116" s="237">
        <v>19080</v>
      </c>
      <c r="K116" s="175" t="s">
        <v>61</v>
      </c>
      <c r="L116" s="175" t="s">
        <v>439</v>
      </c>
      <c r="M116" s="175" t="s">
        <v>1343</v>
      </c>
      <c r="N116" s="180"/>
      <c r="O116" s="177"/>
      <c r="P116" s="181">
        <v>0</v>
      </c>
      <c r="Q116" s="177">
        <v>42685</v>
      </c>
      <c r="R116" s="178">
        <v>697.57500000000005</v>
      </c>
      <c r="S116" s="179">
        <v>214866.55800000002</v>
      </c>
      <c r="T116" s="182" t="s">
        <v>45</v>
      </c>
      <c r="U116" s="183">
        <v>3.93</v>
      </c>
      <c r="V116" s="179">
        <v>8748.18</v>
      </c>
      <c r="W116" s="179">
        <v>0</v>
      </c>
      <c r="X116" s="184" t="s">
        <v>45</v>
      </c>
      <c r="Y116" s="183">
        <v>3.93</v>
      </c>
      <c r="Z116" s="220"/>
      <c r="AA116" s="172">
        <f>Delivery[[#This Row],[Quantity delivered]]*VLOOKUP(Delivery[[#This Row],[Unit]],Tab_Conversão[],4,FALSE)*VLOOKUP(CONCATENATE(Delivery[[#This Row],[Coffee specie]],Delivery[[#This Row],[Coffee state]]),Tab_Conversão[],4,FALSE)</f>
        <v>19080</v>
      </c>
      <c r="AB116" s="169">
        <f>SUMIF(Allocation!C:C,Delivery[[#This Row],[Delivery ID]],Allocation!D:D)/Delivery[[#This Row],[Quantity delivered]]</f>
        <v>1</v>
      </c>
      <c r="AC116" s="170">
        <f>Delivery[[#This Row],[Quantity delivered]]*Delivery[[#This Row],[Base price (Unidad)]]/60</f>
        <v>221828.85</v>
      </c>
      <c r="AD116" s="171">
        <f>Delivery[[#This Row],[Nespresso total]]-Delivery[[#This Row],[Qt. Delivery * Base Price]]</f>
        <v>-6962.2919999999867</v>
      </c>
      <c r="AE116" s="171">
        <f>Delivery[[#This Row],[AAA Premium (total)]]/Delivery[[#This Row],[Quantity delivered]]*60/Delivery[[#This Row],[Exchange rate VS USD]]</f>
        <v>7</v>
      </c>
      <c r="AF116" s="171">
        <f>Delivery[[#This Row],[BEN premium (total)]]/Delivery[[#This Row],[Quantity delivered]]*60/Delivery[[#This Row],[Exchange rate for premiums VS USD]]</f>
        <v>0</v>
      </c>
      <c r="AG116" s="171">
        <f>COUNTIF(Delivery[Delivery ID],Delivery[[#This Row],[Delivery ID]])</f>
        <v>1</v>
      </c>
      <c r="AH116" s="171">
        <f>(Delivery[[#This Row],[Nespresso total]]/SUMIF(Allocation!C:C,Delivery[Delivery ID],Allocation!H:H))/Delivery[[#This Row],[Exchange rate VS USD]]</f>
        <v>8.6824558404765622</v>
      </c>
      <c r="AI116" s="171">
        <f>(Delivery[[#This Row],[AAA Premium (total)]]/SUMIF(Allocation!C:C,Delivery[Delivery ID],Allocation!H:H))/Delivery[[#This Row],[Exchange rate VS USD]]</f>
        <v>0.35350166746069556</v>
      </c>
      <c r="AJ116" s="171">
        <f>Delivery[[#This Row],[Valor Prêmio Nespresso AAA por Kg (em US$)]]*60</f>
        <v>21.210100047641735</v>
      </c>
      <c r="AK116" s="171">
        <f>Delivery[[#This Row],[Valor Prêmio Nespresso AAA por saca (em US$)]]/1.3228/100</f>
        <v>0.16034245575779962</v>
      </c>
      <c r="AL116" s="171">
        <f>(Delivery[[#This Row],[BEN premium (total)]]/SUMIF(Allocation!C:C,Delivery[Delivery ID],Allocation!H:H))/Delivery[[#This Row],[Exchange rate for premiums VS USD]]</f>
        <v>0</v>
      </c>
      <c r="AM116" s="171">
        <f>Delivery[[#This Row],[Valor Prêmio Nespresso BEN por Kg (em US$)]]*60</f>
        <v>0</v>
      </c>
      <c r="AN116" s="171">
        <f>Delivery[[#This Row],[Valor Prêmio Nespresso BEN por saca (em US$)]]/1.3228/100</f>
        <v>0</v>
      </c>
      <c r="AO116" s="171">
        <f>SUMIF(Allocation[Delivery ID],Delivery[[#This Row],[Delivery ID]],Allocation[Quantity allocated])*16*1.3228*Delivery[[#This Row],[Exchange rate VS USD]]/60</f>
        <v>8729.4958368000007</v>
      </c>
      <c r="AP116" s="171">
        <f>Delivery[[#This Row],[AAA Premium (total)]]</f>
        <v>8748.18</v>
      </c>
      <c r="AQ116" s="171">
        <f>Delivery[[#This Row],[Valor pago pelo Cluster]]-Delivery[[#This Row],[Valor efetivamente pago pela Nespresso]]</f>
        <v>18.684163199999603</v>
      </c>
    </row>
    <row r="117" spans="1:43" ht="15.75">
      <c r="A117" s="174" t="s">
        <v>69</v>
      </c>
      <c r="B117" s="232" t="s">
        <v>68</v>
      </c>
      <c r="C117" s="157">
        <v>1</v>
      </c>
      <c r="D117" s="157" t="s">
        <v>468</v>
      </c>
      <c r="E117" s="177" t="s">
        <v>468</v>
      </c>
      <c r="F117" s="233" t="s">
        <v>543</v>
      </c>
      <c r="G117" s="234">
        <v>43292</v>
      </c>
      <c r="H117" s="157" t="s">
        <v>1384</v>
      </c>
      <c r="I117" s="236" t="s">
        <v>1383</v>
      </c>
      <c r="J117" s="237">
        <v>2995.5</v>
      </c>
      <c r="K117" s="175" t="s">
        <v>61</v>
      </c>
      <c r="L117" s="175" t="s">
        <v>439</v>
      </c>
      <c r="M117" s="175" t="s">
        <v>1343</v>
      </c>
      <c r="N117" s="180"/>
      <c r="O117" s="177"/>
      <c r="P117" s="181">
        <v>0</v>
      </c>
      <c r="Q117" s="177">
        <v>42685</v>
      </c>
      <c r="R117" s="178">
        <v>697.57500000000005</v>
      </c>
      <c r="S117" s="179">
        <v>33784.050000000003</v>
      </c>
      <c r="T117" s="182" t="s">
        <v>45</v>
      </c>
      <c r="U117" s="183">
        <v>3.93</v>
      </c>
      <c r="V117" s="179">
        <v>1375.5</v>
      </c>
      <c r="W117" s="179">
        <v>0</v>
      </c>
      <c r="X117" s="184" t="s">
        <v>45</v>
      </c>
      <c r="Y117" s="183">
        <v>3.93</v>
      </c>
      <c r="Z117" s="220"/>
      <c r="AA117" s="172">
        <f>Delivery[[#This Row],[Quantity delivered]]*VLOOKUP(Delivery[[#This Row],[Unit]],Tab_Conversão[],4,FALSE)*VLOOKUP(CONCATENATE(Delivery[[#This Row],[Coffee specie]],Delivery[[#This Row],[Coffee state]]),Tab_Conversão[],4,FALSE)</f>
        <v>2995.5</v>
      </c>
      <c r="AB117" s="169">
        <f>SUMIF(Allocation!C:C,Delivery[[#This Row],[Delivery ID]],Allocation!D:D)/Delivery[[#This Row],[Quantity delivered]]</f>
        <v>1</v>
      </c>
      <c r="AC117" s="170">
        <f>Delivery[[#This Row],[Quantity delivered]]*Delivery[[#This Row],[Base price (Unidad)]]/60</f>
        <v>34826.431875000002</v>
      </c>
      <c r="AD117" s="171">
        <f>Delivery[[#This Row],[Nespresso total]]-Delivery[[#This Row],[Qt. Delivery * Base Price]]</f>
        <v>-1042.3818749999991</v>
      </c>
      <c r="AE117" s="171">
        <f>Delivery[[#This Row],[AAA Premium (total)]]/Delivery[[#This Row],[Quantity delivered]]*60/Delivery[[#This Row],[Exchange rate VS USD]]</f>
        <v>7.0105157736604902</v>
      </c>
      <c r="AF117" s="171">
        <f>Delivery[[#This Row],[BEN premium (total)]]/Delivery[[#This Row],[Quantity delivered]]*60/Delivery[[#This Row],[Exchange rate for premiums VS USD]]</f>
        <v>0</v>
      </c>
      <c r="AG117" s="171">
        <f>COUNTIF(Delivery[Delivery ID],Delivery[[#This Row],[Delivery ID]])</f>
        <v>1</v>
      </c>
      <c r="AH117" s="171">
        <f>(Delivery[[#This Row],[Nespresso total]]/SUMIF(Allocation!C:C,Delivery[Delivery ID],Allocation!H:H))/Delivery[[#This Row],[Exchange rate VS USD]]</f>
        <v>8.7008607102018125</v>
      </c>
      <c r="AI117" s="171">
        <f>(Delivery[[#This Row],[AAA Premium (total)]]/SUMIF(Allocation!C:C,Delivery[Delivery ID],Allocation!H:H))/Delivery[[#This Row],[Exchange rate VS USD]]</f>
        <v>0.354251012145749</v>
      </c>
      <c r="AJ117" s="171">
        <f>Delivery[[#This Row],[Valor Prêmio Nespresso AAA por Kg (em US$)]]*60</f>
        <v>21.25506072874494</v>
      </c>
      <c r="AK117" s="171">
        <f>Delivery[[#This Row],[Valor Prêmio Nespresso AAA por saca (em US$)]]/1.3228/100</f>
        <v>0.16068234599897899</v>
      </c>
      <c r="AL117" s="171">
        <f>(Delivery[[#This Row],[BEN premium (total)]]/SUMIF(Allocation!C:C,Delivery[Delivery ID],Allocation!H:H))/Delivery[[#This Row],[Exchange rate for premiums VS USD]]</f>
        <v>0</v>
      </c>
      <c r="AM117" s="171">
        <f>Delivery[[#This Row],[Valor Prêmio Nespresso BEN por Kg (em US$)]]*60</f>
        <v>0</v>
      </c>
      <c r="AN117" s="171">
        <f>Delivery[[#This Row],[Valor Prêmio Nespresso BEN por saca (em US$)]]/1.3228/100</f>
        <v>0</v>
      </c>
      <c r="AO117" s="171">
        <f>SUMIF(Allocation[Delivery ID],Delivery[[#This Row],[Delivery ID]],Allocation[Quantity allocated])*16*1.3228*Delivery[[#This Row],[Exchange rate VS USD]]/60</f>
        <v>1369.6588672</v>
      </c>
      <c r="AP117" s="171">
        <f>Delivery[[#This Row],[AAA Premium (total)]]</f>
        <v>1375.5</v>
      </c>
      <c r="AQ117" s="171">
        <f>Delivery[[#This Row],[Valor pago pelo Cluster]]-Delivery[[#This Row],[Valor efetivamente pago pela Nespresso]]</f>
        <v>5.8411327999999685</v>
      </c>
    </row>
    <row r="118" spans="1:43" ht="15.75">
      <c r="A118" s="174" t="s">
        <v>69</v>
      </c>
      <c r="B118" s="232" t="s">
        <v>68</v>
      </c>
      <c r="C118" s="157">
        <v>1</v>
      </c>
      <c r="D118" s="157" t="s">
        <v>468</v>
      </c>
      <c r="E118" s="177" t="s">
        <v>468</v>
      </c>
      <c r="F118" s="233" t="s">
        <v>543</v>
      </c>
      <c r="G118" s="234">
        <v>43292</v>
      </c>
      <c r="H118" s="157" t="s">
        <v>1385</v>
      </c>
      <c r="I118" s="236" t="s">
        <v>1383</v>
      </c>
      <c r="J118" s="237">
        <v>9704.5</v>
      </c>
      <c r="K118" s="175" t="s">
        <v>61</v>
      </c>
      <c r="L118" s="175" t="s">
        <v>439</v>
      </c>
      <c r="M118" s="175" t="s">
        <v>1343</v>
      </c>
      <c r="N118" s="180"/>
      <c r="O118" s="177"/>
      <c r="P118" s="181">
        <v>0</v>
      </c>
      <c r="Q118" s="177">
        <v>42685</v>
      </c>
      <c r="R118" s="178">
        <v>697.57500000000005</v>
      </c>
      <c r="S118" s="179">
        <v>109460.322</v>
      </c>
      <c r="T118" s="182" t="s">
        <v>45</v>
      </c>
      <c r="U118" s="183">
        <v>3.93</v>
      </c>
      <c r="V118" s="179">
        <v>4456.62</v>
      </c>
      <c r="W118" s="179">
        <v>0</v>
      </c>
      <c r="X118" s="184" t="s">
        <v>45</v>
      </c>
      <c r="Y118" s="183">
        <v>3.93</v>
      </c>
      <c r="Z118" s="220"/>
      <c r="AA118" s="172">
        <f>Delivery[[#This Row],[Quantity delivered]]*VLOOKUP(Delivery[[#This Row],[Unit]],Tab_Conversão[],4,FALSE)*VLOOKUP(CONCATENATE(Delivery[[#This Row],[Coffee specie]],Delivery[[#This Row],[Coffee state]]),Tab_Conversão[],4,FALSE)</f>
        <v>9704.5</v>
      </c>
      <c r="AB118" s="169">
        <f>SUMIF(Allocation!C:C,Delivery[[#This Row],[Delivery ID]],Allocation!D:D)/Delivery[[#This Row],[Quantity delivered]]</f>
        <v>1</v>
      </c>
      <c r="AC118" s="170">
        <f>Delivery[[#This Row],[Quantity delivered]]*Delivery[[#This Row],[Base price (Unidad)]]/60</f>
        <v>112826.94312500001</v>
      </c>
      <c r="AD118" s="171">
        <f>Delivery[[#This Row],[Nespresso total]]-Delivery[[#This Row],[Qt. Delivery * Base Price]]</f>
        <v>-3366.6211250000051</v>
      </c>
      <c r="AE118" s="171">
        <f>Delivery[[#This Row],[AAA Premium (total)]]/Delivery[[#This Row],[Quantity delivered]]*60/Delivery[[#This Row],[Exchange rate VS USD]]</f>
        <v>7.0111803802359729</v>
      </c>
      <c r="AF118" s="171">
        <f>Delivery[[#This Row],[BEN premium (total)]]/Delivery[[#This Row],[Quantity delivered]]*60/Delivery[[#This Row],[Exchange rate for premiums VS USD]]</f>
        <v>0</v>
      </c>
      <c r="AG118" s="171">
        <f>COUNTIF(Delivery[Delivery ID],Delivery[[#This Row],[Delivery ID]])</f>
        <v>1</v>
      </c>
      <c r="AH118" s="171">
        <f>(Delivery[[#This Row],[Nespresso total]]/SUMIF(Allocation!C:C,Delivery[Delivery ID],Allocation!H:H))/Delivery[[#This Row],[Exchange rate VS USD]]</f>
        <v>8.6957537423169597</v>
      </c>
      <c r="AI118" s="171">
        <f>(Delivery[[#This Row],[AAA Premium (total)]]/SUMIF(Allocation!C:C,Delivery[Delivery ID],Allocation!H:H))/Delivery[[#This Row],[Exchange rate VS USD]]</f>
        <v>0.35404308460817985</v>
      </c>
      <c r="AJ118" s="171">
        <f>Delivery[[#This Row],[Valor Prêmio Nespresso AAA por Kg (em US$)]]*60</f>
        <v>21.242585076490791</v>
      </c>
      <c r="AK118" s="171">
        <f>Delivery[[#This Row],[Valor Prêmio Nespresso AAA por saca (em US$)]]/1.3228/100</f>
        <v>0.16058803353863615</v>
      </c>
      <c r="AL118" s="171">
        <f>(Delivery[[#This Row],[BEN premium (total)]]/SUMIF(Allocation!C:C,Delivery[Delivery ID],Allocation!H:H))/Delivery[[#This Row],[Exchange rate for premiums VS USD]]</f>
        <v>0</v>
      </c>
      <c r="AM118" s="171">
        <f>Delivery[[#This Row],[Valor Prêmio Nespresso BEN por Kg (em US$)]]*60</f>
        <v>0</v>
      </c>
      <c r="AN118" s="171">
        <f>Delivery[[#This Row],[Valor Prêmio Nespresso BEN por saca (em US$)]]/1.3228/100</f>
        <v>0</v>
      </c>
      <c r="AO118" s="171">
        <f>SUMIF(Allocation[Delivery ID],Delivery[[#This Row],[Delivery ID]],Allocation[Quantity allocated])*16*1.3228*Delivery[[#This Row],[Exchange rate VS USD]]/60</f>
        <v>4440.3009632000003</v>
      </c>
      <c r="AP118" s="171">
        <f>Delivery[[#This Row],[AAA Premium (total)]]</f>
        <v>4456.62</v>
      </c>
      <c r="AQ118" s="171">
        <f>Delivery[[#This Row],[Valor pago pelo Cluster]]-Delivery[[#This Row],[Valor efetivamente pago pela Nespresso]]</f>
        <v>16.319036799999594</v>
      </c>
    </row>
    <row r="119" spans="1:43" ht="15.75">
      <c r="A119" s="174" t="s">
        <v>69</v>
      </c>
      <c r="B119" s="232" t="s">
        <v>68</v>
      </c>
      <c r="C119" s="157" t="s">
        <v>1344</v>
      </c>
      <c r="D119" s="157" t="s">
        <v>468</v>
      </c>
      <c r="E119" s="177" t="s">
        <v>468</v>
      </c>
      <c r="F119" s="233" t="s">
        <v>543</v>
      </c>
      <c r="G119" s="234">
        <v>43292</v>
      </c>
      <c r="H119" s="157" t="s">
        <v>1386</v>
      </c>
      <c r="I119" s="157" t="s">
        <v>588</v>
      </c>
      <c r="J119" s="237">
        <v>8350</v>
      </c>
      <c r="K119" s="175" t="s">
        <v>61</v>
      </c>
      <c r="L119" s="175" t="s">
        <v>439</v>
      </c>
      <c r="M119" s="175" t="s">
        <v>1343</v>
      </c>
      <c r="N119" s="180"/>
      <c r="O119" s="177"/>
      <c r="P119" s="181">
        <v>0</v>
      </c>
      <c r="Q119" s="177">
        <v>43290</v>
      </c>
      <c r="R119" s="178">
        <v>442.42646499999995</v>
      </c>
      <c r="S119" s="179">
        <v>63383.18</v>
      </c>
      <c r="T119" s="182" t="s">
        <v>45</v>
      </c>
      <c r="U119" s="183">
        <v>3.8622999999999998</v>
      </c>
      <c r="V119" s="179">
        <v>3763.06</v>
      </c>
      <c r="W119" s="179">
        <v>0</v>
      </c>
      <c r="X119" s="184" t="s">
        <v>45</v>
      </c>
      <c r="Y119" s="183">
        <v>3.8622999999999998</v>
      </c>
      <c r="Z119" s="220"/>
      <c r="AA119" s="172">
        <f>Delivery[[#This Row],[Quantity delivered]]*VLOOKUP(Delivery[[#This Row],[Unit]],Tab_Conversão[],4,FALSE)*VLOOKUP(CONCATENATE(Delivery[[#This Row],[Coffee specie]],Delivery[[#This Row],[Coffee state]]),Tab_Conversão[],4,FALSE)</f>
        <v>8350</v>
      </c>
      <c r="AB119" s="169">
        <f>SUMIF(Allocation!C:C,Delivery[[#This Row],[Delivery ID]],Allocation!D:D)/Delivery[[#This Row],[Quantity delivered]]</f>
        <v>0.29065868263473055</v>
      </c>
      <c r="AC119" s="170">
        <f>Delivery[[#This Row],[Quantity delivered]]*Delivery[[#This Row],[Base price (Unidad)]]/60</f>
        <v>61571.016379166656</v>
      </c>
      <c r="AD119" s="171">
        <f>Delivery[[#This Row],[Nespresso total]]-Delivery[[#This Row],[Qt. Delivery * Base Price]]</f>
        <v>1812.1636208333439</v>
      </c>
      <c r="AE119" s="171">
        <f>Delivery[[#This Row],[AAA Premium (total)]]/Delivery[[#This Row],[Quantity delivered]]*60/Delivery[[#This Row],[Exchange rate VS USD]]</f>
        <v>7.0009973580012899</v>
      </c>
      <c r="AF119" s="171">
        <f>Delivery[[#This Row],[BEN premium (total)]]/Delivery[[#This Row],[Quantity delivered]]*60/Delivery[[#This Row],[Exchange rate for premiums VS USD]]</f>
        <v>0</v>
      </c>
      <c r="AG119" s="171">
        <f>COUNTIF(Delivery[Delivery ID],Delivery[[#This Row],[Delivery ID]])</f>
        <v>1</v>
      </c>
      <c r="AH119" s="171">
        <f>(Delivery[[#This Row],[Nespresso total]]/SUMIF(Allocation!C:C,Delivery[Delivery ID],Allocation!H:H))/Delivery[[#This Row],[Exchange rate VS USD]]</f>
        <v>20.487808410007649</v>
      </c>
      <c r="AI119" s="171">
        <f>(Delivery[[#This Row],[AAA Premium (total)]]/SUMIF(Allocation!C:C,Delivery[Delivery ID],Allocation!H:H))/Delivery[[#This Row],[Exchange rate VS USD]]</f>
        <v>1.2163613803435451</v>
      </c>
      <c r="AJ119" s="171">
        <f>Delivery[[#This Row],[Valor Prêmio Nespresso AAA por Kg (em US$)]]*60</f>
        <v>72.981682820612704</v>
      </c>
      <c r="AK119" s="171">
        <f>Delivery[[#This Row],[Valor Prêmio Nespresso AAA por saca (em US$)]]/1.3228/100</f>
        <v>0.55172121878298086</v>
      </c>
      <c r="AL119" s="171">
        <f>(Delivery[[#This Row],[BEN premium (total)]]/SUMIF(Allocation!C:C,Delivery[Delivery ID],Allocation!H:H))/Delivery[[#This Row],[Exchange rate for premiums VS USD]]</f>
        <v>0</v>
      </c>
      <c r="AM119" s="171">
        <f>Delivery[[#This Row],[Valor Prêmio Nespresso BEN por Kg (em US$)]]*60</f>
        <v>0</v>
      </c>
      <c r="AN119" s="171">
        <f>Delivery[[#This Row],[Valor Prêmio Nespresso BEN por saca (em US$)]]/1.3228/100</f>
        <v>0</v>
      </c>
      <c r="AO119" s="171">
        <f>SUMIF(Allocation[Delivery ID],Delivery[[#This Row],[Delivery ID]],Allocation[Quantity allocated])*16*1.3228*Delivery[[#This Row],[Exchange rate VS USD]]/60</f>
        <v>1091.2931739839998</v>
      </c>
      <c r="AP119" s="171">
        <f>Delivery[[#This Row],[AAA Premium (total)]]</f>
        <v>3763.06</v>
      </c>
      <c r="AQ119" s="171">
        <f>Delivery[[#This Row],[Valor pago pelo Cluster]]-Delivery[[#This Row],[Valor efetivamente pago pela Nespresso]]</f>
        <v>2671.7668260159999</v>
      </c>
    </row>
    <row r="120" spans="1:43" ht="15.75">
      <c r="A120" s="174" t="s">
        <v>69</v>
      </c>
      <c r="B120" s="232" t="s">
        <v>68</v>
      </c>
      <c r="C120" s="157" t="s">
        <v>1344</v>
      </c>
      <c r="D120" s="157" t="s">
        <v>468</v>
      </c>
      <c r="E120" s="177" t="s">
        <v>468</v>
      </c>
      <c r="F120" s="233" t="s">
        <v>543</v>
      </c>
      <c r="G120" s="234">
        <v>43293</v>
      </c>
      <c r="H120" s="157" t="s">
        <v>1387</v>
      </c>
      <c r="I120" s="157" t="s">
        <v>1362</v>
      </c>
      <c r="J120" s="237">
        <v>15410</v>
      </c>
      <c r="K120" s="175" t="s">
        <v>61</v>
      </c>
      <c r="L120" s="175" t="s">
        <v>439</v>
      </c>
      <c r="M120" s="175" t="s">
        <v>1343</v>
      </c>
      <c r="N120" s="180"/>
      <c r="O120" s="177"/>
      <c r="P120" s="181">
        <v>0</v>
      </c>
      <c r="Q120" s="177">
        <v>43252</v>
      </c>
      <c r="R120" s="178">
        <v>486.80599500000005</v>
      </c>
      <c r="S120" s="179">
        <v>122273.21</v>
      </c>
      <c r="T120" s="182" t="s">
        <v>45</v>
      </c>
      <c r="U120" s="183">
        <v>3.7869000000000002</v>
      </c>
      <c r="V120" s="179">
        <v>6813.07</v>
      </c>
      <c r="W120" s="179">
        <v>0</v>
      </c>
      <c r="X120" s="184" t="s">
        <v>45</v>
      </c>
      <c r="Y120" s="183">
        <v>3.7869000000000002</v>
      </c>
      <c r="Z120" s="220"/>
      <c r="AA120" s="172">
        <f>Delivery[[#This Row],[Quantity delivered]]*VLOOKUP(Delivery[[#This Row],[Unit]],Tab_Conversão[],4,FALSE)*VLOOKUP(CONCATENATE(Delivery[[#This Row],[Coffee specie]],Delivery[[#This Row],[Coffee state]]),Tab_Conversão[],4,FALSE)</f>
        <v>15410</v>
      </c>
      <c r="AB120" s="169">
        <f>SUMIF(Allocation!C:C,Delivery[[#This Row],[Delivery ID]],Allocation!D:D)/Delivery[[#This Row],[Quantity delivered]]</f>
        <v>0.86015574302401043</v>
      </c>
      <c r="AC120" s="170">
        <f>Delivery[[#This Row],[Quantity delivered]]*Delivery[[#This Row],[Base price (Unidad)]]/60</f>
        <v>125028.00638250001</v>
      </c>
      <c r="AD120" s="171">
        <f>Delivery[[#This Row],[Nespresso total]]-Delivery[[#This Row],[Qt. Delivery * Base Price]]</f>
        <v>-2754.7963825000043</v>
      </c>
      <c r="AE120" s="171">
        <f>Delivery[[#This Row],[AAA Premium (total)]]/Delivery[[#This Row],[Quantity delivered]]*60/Delivery[[#This Row],[Exchange rate VS USD]]</f>
        <v>7.0049917121815941</v>
      </c>
      <c r="AF120" s="171">
        <f>Delivery[[#This Row],[BEN premium (total)]]/Delivery[[#This Row],[Quantity delivered]]*60/Delivery[[#This Row],[Exchange rate for premiums VS USD]]</f>
        <v>0</v>
      </c>
      <c r="AG120" s="171">
        <f>COUNTIF(Delivery[Delivery ID],Delivery[[#This Row],[Delivery ID]])</f>
        <v>1</v>
      </c>
      <c r="AH120" s="171">
        <f>(Delivery[[#This Row],[Nespresso total]]/SUMIF(Allocation!C:C,Delivery[Delivery ID],Allocation!H:H))/Delivery[[#This Row],[Exchange rate VS USD]]</f>
        <v>7.3819091862939574</v>
      </c>
      <c r="AI120" s="171">
        <f>(Delivery[[#This Row],[AAA Premium (total)]]/SUMIF(Allocation!C:C,Delivery[Delivery ID],Allocation!H:H))/Delivery[[#This Row],[Exchange rate VS USD]]</f>
        <v>0.41132038669683879</v>
      </c>
      <c r="AJ120" s="171">
        <f>Delivery[[#This Row],[Valor Prêmio Nespresso AAA por Kg (em US$)]]*60</f>
        <v>24.679223201810327</v>
      </c>
      <c r="AK120" s="171">
        <f>Delivery[[#This Row],[Valor Prêmio Nespresso AAA por saca (em US$)]]/1.3228/100</f>
        <v>0.18656806170101548</v>
      </c>
      <c r="AL120" s="171">
        <f>(Delivery[[#This Row],[BEN premium (total)]]/SUMIF(Allocation!C:C,Delivery[Delivery ID],Allocation!H:H))/Delivery[[#This Row],[Exchange rate for premiums VS USD]]</f>
        <v>0</v>
      </c>
      <c r="AM120" s="171">
        <f>Delivery[[#This Row],[Valor Prêmio Nespresso BEN por Kg (em US$)]]*60</f>
        <v>0</v>
      </c>
      <c r="AN120" s="171">
        <f>Delivery[[#This Row],[Valor Prêmio Nespresso BEN por saca (em US$)]]/1.3228/100</f>
        <v>0</v>
      </c>
      <c r="AO120" s="171">
        <f>SUMIF(Allocation[Delivery ID],Delivery[[#This Row],[Delivery ID]],Allocation[Quantity allocated])*16*1.3228*Delivery[[#This Row],[Exchange rate VS USD]]/60</f>
        <v>5842.8607236480002</v>
      </c>
      <c r="AP120" s="171">
        <f>Delivery[[#This Row],[AAA Premium (total)]]</f>
        <v>6813.07</v>
      </c>
      <c r="AQ120" s="171">
        <f>Delivery[[#This Row],[Valor pago pelo Cluster]]-Delivery[[#This Row],[Valor efetivamente pago pela Nespresso]]</f>
        <v>970.20927635199951</v>
      </c>
    </row>
    <row r="121" spans="1:43" ht="15.75">
      <c r="A121" s="174" t="s">
        <v>69</v>
      </c>
      <c r="B121" s="232" t="s">
        <v>68</v>
      </c>
      <c r="C121" s="157" t="s">
        <v>1344</v>
      </c>
      <c r="D121" s="157" t="s">
        <v>468</v>
      </c>
      <c r="E121" s="177" t="s">
        <v>468</v>
      </c>
      <c r="F121" s="233" t="s">
        <v>543</v>
      </c>
      <c r="G121" s="234">
        <v>43293</v>
      </c>
      <c r="H121" s="157" t="s">
        <v>1388</v>
      </c>
      <c r="I121" s="157" t="s">
        <v>1356</v>
      </c>
      <c r="J121" s="237">
        <v>19060</v>
      </c>
      <c r="K121" s="175" t="s">
        <v>61</v>
      </c>
      <c r="L121" s="175" t="s">
        <v>439</v>
      </c>
      <c r="M121" s="175" t="s">
        <v>1343</v>
      </c>
      <c r="N121" s="180"/>
      <c r="O121" s="177"/>
      <c r="P121" s="181">
        <v>0</v>
      </c>
      <c r="Q121" s="177">
        <v>43292</v>
      </c>
      <c r="R121" s="178">
        <v>434.19374999999997</v>
      </c>
      <c r="S121" s="179">
        <v>143054.82999999999</v>
      </c>
      <c r="T121" s="182" t="s">
        <v>45</v>
      </c>
      <c r="U121" s="183">
        <v>3.875</v>
      </c>
      <c r="V121" s="179">
        <v>8616.7083333333339</v>
      </c>
      <c r="W121" s="179">
        <v>0</v>
      </c>
      <c r="X121" s="184" t="s">
        <v>45</v>
      </c>
      <c r="Y121" s="183">
        <v>3.875</v>
      </c>
      <c r="Z121" s="220"/>
      <c r="AA121" s="172">
        <f>Delivery[[#This Row],[Quantity delivered]]*VLOOKUP(Delivery[[#This Row],[Unit]],Tab_Conversão[],4,FALSE)*VLOOKUP(CONCATENATE(Delivery[[#This Row],[Coffee specie]],Delivery[[#This Row],[Coffee state]]),Tab_Conversão[],4,FALSE)</f>
        <v>19060</v>
      </c>
      <c r="AB121" s="169">
        <f>SUMIF(Allocation!C:C,Delivery[[#This Row],[Delivery ID]],Allocation!D:D)/Delivery[[#This Row],[Quantity delivered]]</f>
        <v>0.20671563483735572</v>
      </c>
      <c r="AC121" s="170">
        <f>Delivery[[#This Row],[Quantity delivered]]*Delivery[[#This Row],[Base price (Unidad)]]/60</f>
        <v>137928.88124999998</v>
      </c>
      <c r="AD121" s="171">
        <f>Delivery[[#This Row],[Nespresso total]]-Delivery[[#This Row],[Qt. Delivery * Base Price]]</f>
        <v>5125.9487500000105</v>
      </c>
      <c r="AE121" s="171">
        <f>Delivery[[#This Row],[AAA Premium (total)]]/Delivery[[#This Row],[Quantity delivered]]*60/Delivery[[#This Row],[Exchange rate VS USD]]</f>
        <v>7.0000000000000009</v>
      </c>
      <c r="AF121" s="171">
        <f>Delivery[[#This Row],[BEN premium (total)]]/Delivery[[#This Row],[Quantity delivered]]*60/Delivery[[#This Row],[Exchange rate for premiums VS USD]]</f>
        <v>0</v>
      </c>
      <c r="AG121" s="171">
        <f>COUNTIF(Delivery[Delivery ID],Delivery[[#This Row],[Delivery ID]])</f>
        <v>1</v>
      </c>
      <c r="AH121" s="171">
        <f>(Delivery[[#This Row],[Nespresso total]]/SUMIF(Allocation!C:C,Delivery[Delivery ID],Allocation!H:H))/Delivery[[#This Row],[Exchange rate VS USD]]</f>
        <v>32.612522512253506</v>
      </c>
      <c r="AI121" s="171">
        <f>(Delivery[[#This Row],[AAA Premium (total)]]/SUMIF(Allocation!C:C,Delivery[Delivery ID],Allocation!H:H))/Delivery[[#This Row],[Exchange rate VS USD]]</f>
        <v>1.964369846878681</v>
      </c>
      <c r="AJ121" s="171">
        <f>Delivery[[#This Row],[Valor Prêmio Nespresso AAA por Kg (em US$)]]*60</f>
        <v>117.86219081272085</v>
      </c>
      <c r="AK121" s="171">
        <f>Delivery[[#This Row],[Valor Prêmio Nespresso AAA por saca (em US$)]]/1.3228/100</f>
        <v>0.89100537354642317</v>
      </c>
      <c r="AL121" s="171">
        <f>(Delivery[[#This Row],[BEN premium (total)]]/SUMIF(Allocation!C:C,Delivery[Delivery ID],Allocation!H:H))/Delivery[[#This Row],[Exchange rate for premiums VS USD]]</f>
        <v>0</v>
      </c>
      <c r="AM121" s="171">
        <f>Delivery[[#This Row],[Valor Prêmio Nespresso BEN por Kg (em US$)]]*60</f>
        <v>0</v>
      </c>
      <c r="AN121" s="171">
        <f>Delivery[[#This Row],[Valor Prêmio Nespresso BEN por saca (em US$)]]/1.3228/100</f>
        <v>0</v>
      </c>
      <c r="AO121" s="171">
        <f>SUMIF(Allocation[Delivery ID],Delivery[[#This Row],[Delivery ID]],Allocation[Quantity allocated])*16*1.3228*Delivery[[#This Row],[Exchange rate VS USD]]/60</f>
        <v>1547.3232533333332</v>
      </c>
      <c r="AP121" s="171">
        <f>Delivery[[#This Row],[AAA Premium (total)]]</f>
        <v>8616.7083333333339</v>
      </c>
      <c r="AQ121" s="171">
        <f>Delivery[[#This Row],[Valor pago pelo Cluster]]-Delivery[[#This Row],[Valor efetivamente pago pela Nespresso]]</f>
        <v>7069.3850800000009</v>
      </c>
    </row>
    <row r="122" spans="1:43" ht="15.75">
      <c r="A122" s="174" t="s">
        <v>69</v>
      </c>
      <c r="B122" s="232" t="s">
        <v>68</v>
      </c>
      <c r="C122" s="157" t="s">
        <v>1344</v>
      </c>
      <c r="D122" s="157" t="s">
        <v>468</v>
      </c>
      <c r="E122" s="177" t="s">
        <v>468</v>
      </c>
      <c r="F122" s="233" t="s">
        <v>543</v>
      </c>
      <c r="G122" s="234">
        <v>43293</v>
      </c>
      <c r="H122" s="157" t="s">
        <v>1389</v>
      </c>
      <c r="I122" s="157" t="s">
        <v>1356</v>
      </c>
      <c r="J122" s="237">
        <v>20230</v>
      </c>
      <c r="K122" s="175" t="s">
        <v>61</v>
      </c>
      <c r="L122" s="175" t="s">
        <v>439</v>
      </c>
      <c r="M122" s="175" t="s">
        <v>1343</v>
      </c>
      <c r="N122" s="180"/>
      <c r="O122" s="177"/>
      <c r="P122" s="181">
        <v>0</v>
      </c>
      <c r="Q122" s="177">
        <v>43292</v>
      </c>
      <c r="R122" s="178">
        <v>434.19374999999997</v>
      </c>
      <c r="S122" s="179">
        <v>151836.26499999998</v>
      </c>
      <c r="T122" s="182" t="s">
        <v>45</v>
      </c>
      <c r="U122" s="183">
        <v>3.875</v>
      </c>
      <c r="V122" s="179">
        <v>9153.4458333333332</v>
      </c>
      <c r="W122" s="179">
        <v>0</v>
      </c>
      <c r="X122" s="184" t="s">
        <v>45</v>
      </c>
      <c r="Y122" s="183">
        <v>3.875</v>
      </c>
      <c r="Z122" s="220"/>
      <c r="AA122" s="172">
        <f>Delivery[[#This Row],[Quantity delivered]]*VLOOKUP(Delivery[[#This Row],[Unit]],Tab_Conversão[],4,FALSE)*VLOOKUP(CONCATENATE(Delivery[[#This Row],[Coffee specie]],Delivery[[#This Row],[Coffee state]]),Tab_Conversão[],4,FALSE)</f>
        <v>20230</v>
      </c>
      <c r="AB122" s="169">
        <f>SUMIF(Allocation!C:C,Delivery[[#This Row],[Delivery ID]],Allocation!D:D)/Delivery[[#This Row],[Quantity delivered]]</f>
        <v>0.20805734058329214</v>
      </c>
      <c r="AC122" s="170">
        <f>Delivery[[#This Row],[Quantity delivered]]*Delivery[[#This Row],[Base price (Unidad)]]/60</f>
        <v>146395.65937499999</v>
      </c>
      <c r="AD122" s="171">
        <f>Delivery[[#This Row],[Nespresso total]]-Delivery[[#This Row],[Qt. Delivery * Base Price]]</f>
        <v>5440.6056249999965</v>
      </c>
      <c r="AE122" s="171">
        <f>Delivery[[#This Row],[AAA Premium (total)]]/Delivery[[#This Row],[Quantity delivered]]*60/Delivery[[#This Row],[Exchange rate VS USD]]</f>
        <v>7.0059700540557772</v>
      </c>
      <c r="AF122" s="171">
        <f>Delivery[[#This Row],[BEN premium (total)]]/Delivery[[#This Row],[Quantity delivered]]*60/Delivery[[#This Row],[Exchange rate for premiums VS USD]]</f>
        <v>0</v>
      </c>
      <c r="AG122" s="171">
        <f>COUNTIF(Delivery[Delivery ID],Delivery[[#This Row],[Delivery ID]])</f>
        <v>1</v>
      </c>
      <c r="AH122" s="171">
        <f>(Delivery[[#This Row],[Nespresso total]]/SUMIF(Allocation!C:C,Delivery[Delivery ID],Allocation!H:H))/Delivery[[#This Row],[Exchange rate VS USD]]</f>
        <v>32.40988606953227</v>
      </c>
      <c r="AI122" s="171">
        <f>(Delivery[[#This Row],[AAA Premium (total)]]/SUMIF(Allocation!C:C,Delivery[Delivery ID],Allocation!H:H))/Delivery[[#This Row],[Exchange rate VS USD]]</f>
        <v>1.9538292554941878</v>
      </c>
      <c r="AJ122" s="171">
        <f>Delivery[[#This Row],[Valor Prêmio Nespresso AAA por Kg (em US$)]]*60</f>
        <v>117.22975532965127</v>
      </c>
      <c r="AK122" s="171">
        <f>Delivery[[#This Row],[Valor Prêmio Nespresso AAA por saca (em US$)]]/1.3228/100</f>
        <v>0.88622433723655336</v>
      </c>
      <c r="AL122" s="171">
        <f>(Delivery[[#This Row],[BEN premium (total)]]/SUMIF(Allocation!C:C,Delivery[Delivery ID],Allocation!H:H))/Delivery[[#This Row],[Exchange rate for premiums VS USD]]</f>
        <v>0</v>
      </c>
      <c r="AM122" s="171">
        <f>Delivery[[#This Row],[Valor Prêmio Nespresso BEN por Kg (em US$)]]*60</f>
        <v>0</v>
      </c>
      <c r="AN122" s="171">
        <f>Delivery[[#This Row],[Valor Prêmio Nespresso BEN por saca (em US$)]]/1.3228/100</f>
        <v>0</v>
      </c>
      <c r="AO122" s="171">
        <f>SUMIF(Allocation[Delivery ID],Delivery[[#This Row],[Delivery ID]],Allocation[Quantity allocated])*16*1.3228*Delivery[[#This Row],[Exchange rate VS USD]]/60</f>
        <v>1652.57404</v>
      </c>
      <c r="AP122" s="171">
        <f>Delivery[[#This Row],[AAA Premium (total)]]</f>
        <v>9153.4458333333332</v>
      </c>
      <c r="AQ122" s="171">
        <f>Delivery[[#This Row],[Valor pago pelo Cluster]]-Delivery[[#This Row],[Valor efetivamente pago pela Nespresso]]</f>
        <v>7500.8717933333337</v>
      </c>
    </row>
    <row r="123" spans="1:43" ht="15.75">
      <c r="A123" s="174" t="s">
        <v>69</v>
      </c>
      <c r="B123" s="232" t="s">
        <v>68</v>
      </c>
      <c r="C123" s="157" t="s">
        <v>1344</v>
      </c>
      <c r="D123" s="157" t="s">
        <v>468</v>
      </c>
      <c r="E123" s="177" t="s">
        <v>468</v>
      </c>
      <c r="F123" s="233" t="s">
        <v>543</v>
      </c>
      <c r="G123" s="234">
        <v>43294</v>
      </c>
      <c r="H123" s="235" t="s">
        <v>1390</v>
      </c>
      <c r="I123" s="157" t="s">
        <v>1391</v>
      </c>
      <c r="J123" s="237">
        <v>8810</v>
      </c>
      <c r="K123" s="175" t="s">
        <v>61</v>
      </c>
      <c r="L123" s="175" t="s">
        <v>439</v>
      </c>
      <c r="M123" s="175" t="s">
        <v>1343</v>
      </c>
      <c r="N123" s="180"/>
      <c r="O123" s="177"/>
      <c r="P123" s="181">
        <v>0</v>
      </c>
      <c r="Q123" s="177">
        <v>43292</v>
      </c>
      <c r="R123" s="178">
        <v>434.45921499999997</v>
      </c>
      <c r="S123" s="179">
        <v>66167.509999999995</v>
      </c>
      <c r="T123" s="182" t="s">
        <v>45</v>
      </c>
      <c r="U123" s="183">
        <v>3.8329</v>
      </c>
      <c r="V123" s="179">
        <v>3939.54</v>
      </c>
      <c r="W123" s="179">
        <v>0</v>
      </c>
      <c r="X123" s="184" t="s">
        <v>45</v>
      </c>
      <c r="Y123" s="183">
        <v>3.8329</v>
      </c>
      <c r="Z123" s="220"/>
      <c r="AA123" s="172">
        <f>Delivery[[#This Row],[Quantity delivered]]*VLOOKUP(Delivery[[#This Row],[Unit]],Tab_Conversão[],4,FALSE)*VLOOKUP(CONCATENATE(Delivery[[#This Row],[Coffee specie]],Delivery[[#This Row],[Coffee state]]),Tab_Conversão[],4,FALSE)</f>
        <v>8810</v>
      </c>
      <c r="AB123" s="169">
        <f>SUMIF(Allocation!C:C,Delivery[[#This Row],[Delivery ID]],Allocation!D:D)/Delivery[[#This Row],[Quantity delivered]]</f>
        <v>0.4460839954597049</v>
      </c>
      <c r="AC123" s="170">
        <f>Delivery[[#This Row],[Quantity delivered]]*Delivery[[#This Row],[Base price (Unidad)]]/60</f>
        <v>63793.094735833329</v>
      </c>
      <c r="AD123" s="171">
        <f>Delivery[[#This Row],[Nespresso total]]-Delivery[[#This Row],[Qt. Delivery * Base Price]]</f>
        <v>2374.415264166666</v>
      </c>
      <c r="AE123" s="171">
        <f>Delivery[[#This Row],[AAA Premium (total)]]/Delivery[[#This Row],[Quantity delivered]]*60/Delivery[[#This Row],[Exchange rate VS USD]]</f>
        <v>6.9999246916793547</v>
      </c>
      <c r="AF123" s="171">
        <f>Delivery[[#This Row],[BEN premium (total)]]/Delivery[[#This Row],[Quantity delivered]]*60/Delivery[[#This Row],[Exchange rate for premiums VS USD]]</f>
        <v>0</v>
      </c>
      <c r="AG123" s="171">
        <f>COUNTIF(Delivery[Delivery ID],Delivery[[#This Row],[Delivery ID]])</f>
        <v>1</v>
      </c>
      <c r="AH123" s="171">
        <f>(Delivery[[#This Row],[Nespresso total]]/SUMIF(Allocation!C:C,Delivery[Delivery ID],Allocation!H:H))/Delivery[[#This Row],[Exchange rate VS USD]]</f>
        <v>13.309977671103969</v>
      </c>
      <c r="AI123" s="171">
        <f>(Delivery[[#This Row],[AAA Premium (total)]]/SUMIF(Allocation!C:C,Delivery[Delivery ID],Allocation!H:H))/Delivery[[#This Row],[Exchange rate VS USD]]</f>
        <v>0.79246127645457609</v>
      </c>
      <c r="AJ123" s="171">
        <f>Delivery[[#This Row],[Valor Prêmio Nespresso AAA por Kg (em US$)]]*60</f>
        <v>47.547676587274566</v>
      </c>
      <c r="AK123" s="171">
        <f>Delivery[[#This Row],[Valor Prêmio Nespresso AAA por saca (em US$)]]/1.3228/100</f>
        <v>0.35944720734256547</v>
      </c>
      <c r="AL123" s="171">
        <f>(Delivery[[#This Row],[BEN premium (total)]]/SUMIF(Allocation!C:C,Delivery[Delivery ID],Allocation!H:H))/Delivery[[#This Row],[Exchange rate for premiums VS USD]]</f>
        <v>0</v>
      </c>
      <c r="AM123" s="171">
        <f>Delivery[[#This Row],[Valor Prêmio Nespresso BEN por Kg (em US$)]]*60</f>
        <v>0</v>
      </c>
      <c r="AN123" s="171">
        <f>Delivery[[#This Row],[Valor Prêmio Nespresso BEN por saca (em US$)]]/1.3228/100</f>
        <v>0</v>
      </c>
      <c r="AO123" s="171">
        <f>SUMIF(Allocation[Delivery ID],Delivery[[#This Row],[Delivery ID]],Allocation[Quantity allocated])*16*1.3228*Delivery[[#This Row],[Exchange rate VS USD]]/60</f>
        <v>1753.5993801706666</v>
      </c>
      <c r="AP123" s="171">
        <f>Delivery[[#This Row],[AAA Premium (total)]]</f>
        <v>3939.54</v>
      </c>
      <c r="AQ123" s="171">
        <f>Delivery[[#This Row],[Valor pago pelo Cluster]]-Delivery[[#This Row],[Valor efetivamente pago pela Nespresso]]</f>
        <v>2185.9406198293336</v>
      </c>
    </row>
    <row r="124" spans="1:43" ht="15.75">
      <c r="A124" s="174" t="s">
        <v>69</v>
      </c>
      <c r="B124" s="232" t="s">
        <v>68</v>
      </c>
      <c r="C124" s="157" t="s">
        <v>1344</v>
      </c>
      <c r="D124" s="157" t="s">
        <v>468</v>
      </c>
      <c r="E124" s="177" t="s">
        <v>468</v>
      </c>
      <c r="F124" s="233" t="s">
        <v>543</v>
      </c>
      <c r="G124" s="234">
        <v>43297</v>
      </c>
      <c r="H124" s="157" t="s">
        <v>1392</v>
      </c>
      <c r="I124" s="157" t="s">
        <v>1375</v>
      </c>
      <c r="J124" s="237">
        <v>21340</v>
      </c>
      <c r="K124" s="175" t="s">
        <v>61</v>
      </c>
      <c r="L124" s="175" t="s">
        <v>439</v>
      </c>
      <c r="M124" s="175" t="s">
        <v>1343</v>
      </c>
      <c r="N124" s="180"/>
      <c r="O124" s="177"/>
      <c r="P124" s="181">
        <v>0</v>
      </c>
      <c r="Q124" s="177">
        <v>43293</v>
      </c>
      <c r="R124" s="178">
        <v>433.52135999999996</v>
      </c>
      <c r="S124" s="179">
        <v>158355.6</v>
      </c>
      <c r="T124" s="182" t="s">
        <v>45</v>
      </c>
      <c r="U124" s="183">
        <v>3.8845999999999998</v>
      </c>
      <c r="V124" s="179">
        <v>9679.64</v>
      </c>
      <c r="W124" s="179">
        <v>0</v>
      </c>
      <c r="X124" s="184" t="s">
        <v>45</v>
      </c>
      <c r="Y124" s="183">
        <v>3.8845999999999998</v>
      </c>
      <c r="Z124" s="220"/>
      <c r="AA124" s="172">
        <f>Delivery[[#This Row],[Quantity delivered]]*VLOOKUP(Delivery[[#This Row],[Unit]],Tab_Conversão[],4,FALSE)*VLOOKUP(CONCATENATE(Delivery[[#This Row],[Coffee specie]],Delivery[[#This Row],[Coffee state]]),Tab_Conversão[],4,FALSE)</f>
        <v>21340</v>
      </c>
      <c r="AB124" s="169">
        <f>SUMIF(Allocation!C:C,Delivery[[#This Row],[Delivery ID]],Allocation!D:D)/Delivery[[#This Row],[Quantity delivered]]</f>
        <v>0.297282099343955</v>
      </c>
      <c r="AC124" s="170">
        <f>Delivery[[#This Row],[Quantity delivered]]*Delivery[[#This Row],[Base price (Unidad)]]/60</f>
        <v>154189.09703999999</v>
      </c>
      <c r="AD124" s="171">
        <f>Delivery[[#This Row],[Nespresso total]]-Delivery[[#This Row],[Qt. Delivery * Base Price]]</f>
        <v>4166.5029600000125</v>
      </c>
      <c r="AE124" s="171">
        <f>Delivery[[#This Row],[AAA Premium (total)]]/Delivery[[#This Row],[Quantity delivered]]*60/Delivery[[#This Row],[Exchange rate VS USD]]</f>
        <v>7.0059935802059998</v>
      </c>
      <c r="AF124" s="171">
        <f>Delivery[[#This Row],[BEN premium (total)]]/Delivery[[#This Row],[Quantity delivered]]*60/Delivery[[#This Row],[Exchange rate for premiums VS USD]]</f>
        <v>0</v>
      </c>
      <c r="AG124" s="171">
        <f>COUNTIF(Delivery[Delivery ID],Delivery[[#This Row],[Delivery ID]])</f>
        <v>1</v>
      </c>
      <c r="AH124" s="171">
        <f>(Delivery[[#This Row],[Nespresso total]]/SUMIF(Allocation!C:C,Delivery[Delivery ID],Allocation!H:H))/Delivery[[#This Row],[Exchange rate VS USD]]</f>
        <v>16.477352209464556</v>
      </c>
      <c r="AI124" s="171">
        <f>(Delivery[[#This Row],[AAA Premium (total)]]/SUMIF(Allocation!C:C,Delivery[Delivery ID],Allocation!H:H))/Delivery[[#This Row],[Exchange rate VS USD]]</f>
        <v>1.0071941727404745</v>
      </c>
      <c r="AJ124" s="171">
        <f>Delivery[[#This Row],[Valor Prêmio Nespresso AAA por Kg (em US$)]]*60</f>
        <v>60.431650364428471</v>
      </c>
      <c r="AK124" s="171">
        <f>Delivery[[#This Row],[Valor Prêmio Nespresso AAA por saca (em US$)]]/1.3228/100</f>
        <v>0.45684646480517443</v>
      </c>
      <c r="AL124" s="171">
        <f>(Delivery[[#This Row],[BEN premium (total)]]/SUMIF(Allocation!C:C,Delivery[Delivery ID],Allocation!H:H))/Delivery[[#This Row],[Exchange rate for premiums VS USD]]</f>
        <v>0</v>
      </c>
      <c r="AM124" s="171">
        <f>Delivery[[#This Row],[Valor Prêmio Nespresso BEN por Kg (em US$)]]*60</f>
        <v>0</v>
      </c>
      <c r="AN124" s="171">
        <f>Delivery[[#This Row],[Valor Prêmio Nespresso BEN por saca (em US$)]]/1.3228/100</f>
        <v>0</v>
      </c>
      <c r="AO124" s="171">
        <f>SUMIF(Allocation[Delivery ID],Delivery[[#This Row],[Delivery ID]],Allocation[Quantity allocated])*16*1.3228*Delivery[[#This Row],[Exchange rate VS USD]]/60</f>
        <v>3390.0719810986661</v>
      </c>
      <c r="AP124" s="171">
        <f>Delivery[[#This Row],[AAA Premium (total)]]</f>
        <v>9679.64</v>
      </c>
      <c r="AQ124" s="171">
        <f>Delivery[[#This Row],[Valor pago pelo Cluster]]-Delivery[[#This Row],[Valor efetivamente pago pela Nespresso]]</f>
        <v>6289.5680189013328</v>
      </c>
    </row>
    <row r="125" spans="1:43" ht="15.75">
      <c r="A125" s="174" t="s">
        <v>69</v>
      </c>
      <c r="B125" s="232" t="s">
        <v>68</v>
      </c>
      <c r="C125" s="157">
        <v>1</v>
      </c>
      <c r="D125" s="157" t="s">
        <v>468</v>
      </c>
      <c r="E125" s="177" t="s">
        <v>468</v>
      </c>
      <c r="F125" s="233" t="s">
        <v>543</v>
      </c>
      <c r="G125" s="234">
        <v>43297</v>
      </c>
      <c r="H125" s="157" t="s">
        <v>1393</v>
      </c>
      <c r="I125" s="236" t="s">
        <v>1394</v>
      </c>
      <c r="J125" s="237">
        <v>12113</v>
      </c>
      <c r="K125" s="175" t="s">
        <v>61</v>
      </c>
      <c r="L125" s="175" t="s">
        <v>439</v>
      </c>
      <c r="M125" s="175" t="s">
        <v>1343</v>
      </c>
      <c r="N125" s="180"/>
      <c r="O125" s="177"/>
      <c r="P125" s="181">
        <v>0</v>
      </c>
      <c r="Q125" s="177">
        <v>43294</v>
      </c>
      <c r="R125" s="178">
        <v>428.19598999999999</v>
      </c>
      <c r="S125" s="179">
        <v>93766.38</v>
      </c>
      <c r="T125" s="182" t="s">
        <v>45</v>
      </c>
      <c r="U125" s="183">
        <v>3.8611</v>
      </c>
      <c r="V125" s="179">
        <v>7803.26</v>
      </c>
      <c r="W125" s="179">
        <v>0</v>
      </c>
      <c r="X125" s="184" t="s">
        <v>45</v>
      </c>
      <c r="Y125" s="183">
        <v>3.8611</v>
      </c>
      <c r="Z125" s="220"/>
      <c r="AA125" s="172">
        <f>Delivery[[#This Row],[Quantity delivered]]*VLOOKUP(Delivery[[#This Row],[Unit]],Tab_Conversão[],4,FALSE)*VLOOKUP(CONCATENATE(Delivery[[#This Row],[Coffee specie]],Delivery[[#This Row],[Coffee state]]),Tab_Conversão[],4,FALSE)</f>
        <v>12113</v>
      </c>
      <c r="AB125" s="169">
        <f>SUMIF(Allocation!C:C,Delivery[[#This Row],[Delivery ID]],Allocation!D:D)/Delivery[[#This Row],[Quantity delivered]]</f>
        <v>0.71675059853050438</v>
      </c>
      <c r="AC125" s="170">
        <f>Delivery[[#This Row],[Quantity delivered]]*Delivery[[#This Row],[Base price (Unidad)]]/60</f>
        <v>86445.633781166674</v>
      </c>
      <c r="AD125" s="171">
        <f>Delivery[[#This Row],[Nespresso total]]-Delivery[[#This Row],[Qt. Delivery * Base Price]]</f>
        <v>7320.7462188333302</v>
      </c>
      <c r="AE125" s="171">
        <f>Delivery[[#This Row],[AAA Premium (total)]]/Delivery[[#This Row],[Quantity delivered]]*60/Delivery[[#This Row],[Exchange rate VS USD]]</f>
        <v>10.010702636418578</v>
      </c>
      <c r="AF125" s="171">
        <f>Delivery[[#This Row],[BEN premium (total)]]/Delivery[[#This Row],[Quantity delivered]]*60/Delivery[[#This Row],[Exchange rate for premiums VS USD]]</f>
        <v>0</v>
      </c>
      <c r="AG125" s="171">
        <f>COUNTIF(Delivery[Delivery ID],Delivery[[#This Row],[Delivery ID]])</f>
        <v>1</v>
      </c>
      <c r="AH125" s="171">
        <f>(Delivery[[#This Row],[Nespresso total]]/SUMIF(Allocation!C:C,Delivery[Delivery ID],Allocation!H:H))/Delivery[[#This Row],[Exchange rate VS USD]]</f>
        <v>5.5943072394138715</v>
      </c>
      <c r="AI125" s="171">
        <f>(Delivery[[#This Row],[AAA Premium (total)]]/SUMIF(Allocation!C:C,Delivery[Delivery ID],Allocation!H:H))/Delivery[[#This Row],[Exchange rate VS USD]]</f>
        <v>0.46555955246463271</v>
      </c>
      <c r="AJ125" s="171">
        <f>Delivery[[#This Row],[Valor Prêmio Nespresso AAA por Kg (em US$)]]*60</f>
        <v>27.933573147877961</v>
      </c>
      <c r="AK125" s="171">
        <f>Delivery[[#This Row],[Valor Prêmio Nespresso AAA por saca (em US$)]]/1.3228/100</f>
        <v>0.211170041940414</v>
      </c>
      <c r="AL125" s="171">
        <f>(Delivery[[#This Row],[BEN premium (total)]]/SUMIF(Allocation!C:C,Delivery[Delivery ID],Allocation!H:H))/Delivery[[#This Row],[Exchange rate for premiums VS USD]]</f>
        <v>0</v>
      </c>
      <c r="AM125" s="171">
        <f>Delivery[[#This Row],[Valor Prêmio Nespresso BEN por Kg (em US$)]]*60</f>
        <v>0</v>
      </c>
      <c r="AN125" s="171">
        <f>Delivery[[#This Row],[Valor Prêmio Nespresso BEN por saca (em US$)]]/1.3228/100</f>
        <v>0</v>
      </c>
      <c r="AO125" s="171">
        <f>SUMIF(Allocation[Delivery ID],Delivery[[#This Row],[Delivery ID]],Allocation[Quantity allocated])*16*1.3228*Delivery[[#This Row],[Exchange rate VS USD]]/60</f>
        <v>5912.3992614080007</v>
      </c>
      <c r="AP125" s="171">
        <f>Delivery[[#This Row],[AAA Premium (total)]]</f>
        <v>7803.26</v>
      </c>
      <c r="AQ125" s="171">
        <f>Delivery[[#This Row],[Valor pago pelo Cluster]]-Delivery[[#This Row],[Valor efetivamente pago pela Nespresso]]</f>
        <v>1890.8607385919995</v>
      </c>
    </row>
    <row r="126" spans="1:43" ht="15.75">
      <c r="A126" s="174" t="s">
        <v>69</v>
      </c>
      <c r="B126" s="232" t="s">
        <v>68</v>
      </c>
      <c r="C126" s="157">
        <v>1</v>
      </c>
      <c r="D126" s="157" t="s">
        <v>468</v>
      </c>
      <c r="E126" s="177" t="s">
        <v>468</v>
      </c>
      <c r="F126" s="233" t="s">
        <v>543</v>
      </c>
      <c r="G126" s="234">
        <v>43297</v>
      </c>
      <c r="H126" s="157" t="s">
        <v>1395</v>
      </c>
      <c r="I126" s="236" t="s">
        <v>1394</v>
      </c>
      <c r="J126" s="237">
        <v>16040</v>
      </c>
      <c r="K126" s="175" t="s">
        <v>61</v>
      </c>
      <c r="L126" s="175" t="s">
        <v>439</v>
      </c>
      <c r="M126" s="175" t="s">
        <v>1343</v>
      </c>
      <c r="N126" s="180"/>
      <c r="O126" s="177"/>
      <c r="P126" s="181">
        <v>0</v>
      </c>
      <c r="Q126" s="177">
        <v>43294</v>
      </c>
      <c r="R126" s="178">
        <v>428.19598999999999</v>
      </c>
      <c r="S126" s="179">
        <v>123940.76999999999</v>
      </c>
      <c r="T126" s="182" t="s">
        <v>45</v>
      </c>
      <c r="U126" s="183">
        <v>3.8611</v>
      </c>
      <c r="V126" s="179">
        <v>10313.210000000001</v>
      </c>
      <c r="W126" s="179">
        <v>0</v>
      </c>
      <c r="X126" s="184" t="s">
        <v>45</v>
      </c>
      <c r="Y126" s="183">
        <v>3.8611</v>
      </c>
      <c r="Z126" s="220"/>
      <c r="AA126" s="172">
        <f>Delivery[[#This Row],[Quantity delivered]]*VLOOKUP(Delivery[[#This Row],[Unit]],Tab_Conversão[],4,FALSE)*VLOOKUP(CONCATENATE(Delivery[[#This Row],[Coffee specie]],Delivery[[#This Row],[Coffee state]]),Tab_Conversão[],4,FALSE)</f>
        <v>16040</v>
      </c>
      <c r="AB126" s="169">
        <f>SUMIF(Allocation!C:C,Delivery[[#This Row],[Delivery ID]],Allocation!D:D)/Delivery[[#This Row],[Quantity delivered]]</f>
        <v>0.71596009975062347</v>
      </c>
      <c r="AC126" s="170">
        <f>Delivery[[#This Row],[Quantity delivered]]*Delivery[[#This Row],[Base price (Unidad)]]/60</f>
        <v>114471.06132666668</v>
      </c>
      <c r="AD126" s="171">
        <f>Delivery[[#This Row],[Nespresso total]]-Delivery[[#This Row],[Qt. Delivery * Base Price]]</f>
        <v>9469.7086733333126</v>
      </c>
      <c r="AE126" s="171">
        <f>Delivery[[#This Row],[AAA Premium (total)]]/Delivery[[#This Row],[Quantity delivered]]*60/Delivery[[#This Row],[Exchange rate VS USD]]</f>
        <v>9.9914771099755733</v>
      </c>
      <c r="AF126" s="171">
        <f>Delivery[[#This Row],[BEN premium (total)]]/Delivery[[#This Row],[Quantity delivered]]*60/Delivery[[#This Row],[Exchange rate for premiums VS USD]]</f>
        <v>0</v>
      </c>
      <c r="AG126" s="171">
        <f>COUNTIF(Delivery[Delivery ID],Delivery[[#This Row],[Delivery ID]])</f>
        <v>1</v>
      </c>
      <c r="AH126" s="171">
        <f>(Delivery[[#This Row],[Nespresso total]]/SUMIF(Allocation!C:C,Delivery[Delivery ID],Allocation!H:H))/Delivery[[#This Row],[Exchange rate VS USD]]</f>
        <v>5.5903622681090948</v>
      </c>
      <c r="AI126" s="171">
        <f>(Delivery[[#This Row],[AAA Premium (total)]]/SUMIF(Allocation!C:C,Delivery[Delivery ID],Allocation!H:H))/Delivery[[#This Row],[Exchange rate VS USD]]</f>
        <v>0.46517848845932946</v>
      </c>
      <c r="AJ126" s="171">
        <f>Delivery[[#This Row],[Valor Prêmio Nespresso AAA por Kg (em US$)]]*60</f>
        <v>27.910709307559767</v>
      </c>
      <c r="AK126" s="171">
        <f>Delivery[[#This Row],[Valor Prêmio Nespresso AAA por saca (em US$)]]/1.3228/100</f>
        <v>0.21099719766827765</v>
      </c>
      <c r="AL126" s="171">
        <f>(Delivery[[#This Row],[BEN premium (total)]]/SUMIF(Allocation!C:C,Delivery[Delivery ID],Allocation!H:H))/Delivery[[#This Row],[Exchange rate for premiums VS USD]]</f>
        <v>0</v>
      </c>
      <c r="AM126" s="171">
        <f>Delivery[[#This Row],[Valor Prêmio Nespresso BEN por Kg (em US$)]]*60</f>
        <v>0</v>
      </c>
      <c r="AN126" s="171">
        <f>Delivery[[#This Row],[Valor Prêmio Nespresso BEN por saca (em US$)]]/1.3228/100</f>
        <v>0</v>
      </c>
      <c r="AO126" s="171">
        <f>SUMIF(Allocation[Delivery ID],Delivery[[#This Row],[Delivery ID]],Allocation[Quantity allocated])*16*1.3228*Delivery[[#This Row],[Exchange rate VS USD]]/60</f>
        <v>7820.5474680960006</v>
      </c>
      <c r="AP126" s="171">
        <f>Delivery[[#This Row],[AAA Premium (total)]]</f>
        <v>10313.210000000001</v>
      </c>
      <c r="AQ126" s="171">
        <f>Delivery[[#This Row],[Valor pago pelo Cluster]]-Delivery[[#This Row],[Valor efetivamente pago pela Nespresso]]</f>
        <v>2492.6625319040004</v>
      </c>
    </row>
    <row r="127" spans="1:43" ht="15.75">
      <c r="A127" s="174" t="s">
        <v>69</v>
      </c>
      <c r="B127" s="232" t="s">
        <v>68</v>
      </c>
      <c r="C127" s="157" t="s">
        <v>1344</v>
      </c>
      <c r="D127" s="157" t="s">
        <v>468</v>
      </c>
      <c r="E127" s="177" t="s">
        <v>468</v>
      </c>
      <c r="F127" s="233" t="s">
        <v>543</v>
      </c>
      <c r="G127" s="234">
        <v>43297</v>
      </c>
      <c r="H127" s="157" t="s">
        <v>1396</v>
      </c>
      <c r="I127" s="157" t="s">
        <v>570</v>
      </c>
      <c r="J127" s="237">
        <v>14040</v>
      </c>
      <c r="K127" s="175" t="s">
        <v>61</v>
      </c>
      <c r="L127" s="175" t="s">
        <v>439</v>
      </c>
      <c r="M127" s="175" t="s">
        <v>1343</v>
      </c>
      <c r="N127" s="180"/>
      <c r="O127" s="177"/>
      <c r="P127" s="181">
        <v>0</v>
      </c>
      <c r="Q127" s="177">
        <v>43242</v>
      </c>
      <c r="R127" s="178">
        <v>464.98281000000003</v>
      </c>
      <c r="S127" s="179">
        <v>106886.51999999999</v>
      </c>
      <c r="T127" s="182" t="s">
        <v>45</v>
      </c>
      <c r="U127" s="183">
        <v>3.6714000000000002</v>
      </c>
      <c r="V127" s="179">
        <v>6014</v>
      </c>
      <c r="W127" s="179">
        <v>0</v>
      </c>
      <c r="X127" s="184" t="s">
        <v>45</v>
      </c>
      <c r="Y127" s="183">
        <v>3.6714000000000002</v>
      </c>
      <c r="Z127" s="220"/>
      <c r="AA127" s="172">
        <f>Delivery[[#This Row],[Quantity delivered]]*VLOOKUP(Delivery[[#This Row],[Unit]],Tab_Conversão[],4,FALSE)*VLOOKUP(CONCATENATE(Delivery[[#This Row],[Coffee specie]],Delivery[[#This Row],[Coffee state]]),Tab_Conversão[],4,FALSE)</f>
        <v>14040</v>
      </c>
      <c r="AB127" s="169">
        <f>SUMIF(Allocation!C:C,Delivery[[#This Row],[Delivery ID]],Allocation!D:D)/Delivery[[#This Row],[Quantity delivered]]</f>
        <v>0.35049857549857549</v>
      </c>
      <c r="AC127" s="170">
        <f>Delivery[[#This Row],[Quantity delivered]]*Delivery[[#This Row],[Base price (Unidad)]]/60</f>
        <v>108805.97754000001</v>
      </c>
      <c r="AD127" s="171">
        <f>Delivery[[#This Row],[Nespresso total]]-Delivery[[#This Row],[Qt. Delivery * Base Price]]</f>
        <v>-1919.4575400000176</v>
      </c>
      <c r="AE127" s="171">
        <f>Delivery[[#This Row],[AAA Premium (total)]]/Delivery[[#This Row],[Quantity delivered]]*60/Delivery[[#This Row],[Exchange rate VS USD]]</f>
        <v>7.0002872748419405</v>
      </c>
      <c r="AF127" s="171">
        <f>Delivery[[#This Row],[BEN premium (total)]]/Delivery[[#This Row],[Quantity delivered]]*60/Delivery[[#This Row],[Exchange rate for premiums VS USD]]</f>
        <v>0</v>
      </c>
      <c r="AG127" s="171">
        <f>COUNTIF(Delivery[Delivery ID],Delivery[[#This Row],[Delivery ID]])</f>
        <v>1</v>
      </c>
      <c r="AH127" s="171">
        <f>(Delivery[[#This Row],[Nespresso total]]/SUMIF(Allocation!C:C,Delivery[Delivery ID],Allocation!H:H))/Delivery[[#This Row],[Exchange rate VS USD]]</f>
        <v>17.926900544778153</v>
      </c>
      <c r="AI127" s="171">
        <f>(Delivery[[#This Row],[AAA Premium (total)]]/SUMIF(Allocation!C:C,Delivery[Delivery ID],Allocation!H:H))/Delivery[[#This Row],[Exchange rate VS USD]]</f>
        <v>1.0086620827050579</v>
      </c>
      <c r="AJ127" s="171">
        <f>Delivery[[#This Row],[Valor Prêmio Nespresso AAA por Kg (em US$)]]*60</f>
        <v>60.519724962303471</v>
      </c>
      <c r="AK127" s="171">
        <f>Delivery[[#This Row],[Valor Prêmio Nespresso AAA por saca (em US$)]]/1.3228/100</f>
        <v>0.45751228426295332</v>
      </c>
      <c r="AL127" s="171">
        <f>(Delivery[[#This Row],[BEN premium (total)]]/SUMIF(Allocation!C:C,Delivery[Delivery ID],Allocation!H:H))/Delivery[[#This Row],[Exchange rate for premiums VS USD]]</f>
        <v>0</v>
      </c>
      <c r="AM127" s="171">
        <f>Delivery[[#This Row],[Valor Prêmio Nespresso BEN por Kg (em US$)]]*60</f>
        <v>0</v>
      </c>
      <c r="AN127" s="171">
        <f>Delivery[[#This Row],[Valor Prêmio Nespresso BEN por saca (em US$)]]/1.3228/100</f>
        <v>0</v>
      </c>
      <c r="AO127" s="171">
        <f>SUMIF(Allocation[Delivery ID],Delivery[[#This Row],[Delivery ID]],Allocation[Quantity allocated])*16*1.3228*Delivery[[#This Row],[Exchange rate VS USD]]/60</f>
        <v>2103.2003578879999</v>
      </c>
      <c r="AP127" s="171">
        <f>Delivery[[#This Row],[AAA Premium (total)]]</f>
        <v>6014</v>
      </c>
      <c r="AQ127" s="171">
        <f>Delivery[[#This Row],[Valor pago pelo Cluster]]-Delivery[[#This Row],[Valor efetivamente pago pela Nespresso]]</f>
        <v>3910.7996421120001</v>
      </c>
    </row>
    <row r="128" spans="1:43" ht="15.75">
      <c r="A128" s="174" t="s">
        <v>69</v>
      </c>
      <c r="B128" s="232" t="s">
        <v>68</v>
      </c>
      <c r="C128" s="157" t="s">
        <v>1344</v>
      </c>
      <c r="D128" s="157" t="s">
        <v>468</v>
      </c>
      <c r="E128" s="177" t="s">
        <v>468</v>
      </c>
      <c r="F128" s="233" t="s">
        <v>543</v>
      </c>
      <c r="G128" s="234">
        <v>43297</v>
      </c>
      <c r="H128" s="157" t="s">
        <v>1397</v>
      </c>
      <c r="I128" s="157" t="s">
        <v>570</v>
      </c>
      <c r="J128" s="237">
        <v>3960</v>
      </c>
      <c r="K128" s="175" t="s">
        <v>61</v>
      </c>
      <c r="L128" s="175" t="s">
        <v>439</v>
      </c>
      <c r="M128" s="175" t="s">
        <v>1343</v>
      </c>
      <c r="N128" s="180"/>
      <c r="O128" s="177"/>
      <c r="P128" s="181">
        <v>0</v>
      </c>
      <c r="Q128" s="177">
        <v>43242</v>
      </c>
      <c r="R128" s="178">
        <v>464.98281000000003</v>
      </c>
      <c r="S128" s="179">
        <v>30147.48</v>
      </c>
      <c r="T128" s="182" t="s">
        <v>45</v>
      </c>
      <c r="U128" s="183">
        <v>3.6714000000000002</v>
      </c>
      <c r="V128" s="179">
        <v>1696</v>
      </c>
      <c r="W128" s="179">
        <v>0</v>
      </c>
      <c r="X128" s="184" t="s">
        <v>45</v>
      </c>
      <c r="Y128" s="183">
        <v>3.6714000000000002</v>
      </c>
      <c r="Z128" s="220"/>
      <c r="AA128" s="172">
        <f>Delivery[[#This Row],[Quantity delivered]]*VLOOKUP(Delivery[[#This Row],[Unit]],Tab_Conversão[],4,FALSE)*VLOOKUP(CONCATENATE(Delivery[[#This Row],[Coffee specie]],Delivery[[#This Row],[Coffee state]]),Tab_Conversão[],4,FALSE)</f>
        <v>3960</v>
      </c>
      <c r="AB128" s="169">
        <f>SUMIF(Allocation!C:C,Delivery[[#This Row],[Delivery ID]],Allocation!D:D)/Delivery[[#This Row],[Quantity delivered]]</f>
        <v>0.29166666666666669</v>
      </c>
      <c r="AC128" s="170">
        <f>Delivery[[#This Row],[Quantity delivered]]*Delivery[[#This Row],[Base price (Unidad)]]/60</f>
        <v>30688.865460000001</v>
      </c>
      <c r="AD128" s="171">
        <f>Delivery[[#This Row],[Nespresso total]]-Delivery[[#This Row],[Qt. Delivery * Base Price]]</f>
        <v>-541.38546000000133</v>
      </c>
      <c r="AE128" s="171">
        <f>Delivery[[#This Row],[AAA Premium (total)]]/Delivery[[#This Row],[Quantity delivered]]*60/Delivery[[#This Row],[Exchange rate VS USD]]</f>
        <v>6.9992290943426738</v>
      </c>
      <c r="AF128" s="171">
        <f>Delivery[[#This Row],[BEN premium (total)]]/Delivery[[#This Row],[Quantity delivered]]*60/Delivery[[#This Row],[Exchange rate for premiums VS USD]]</f>
        <v>0</v>
      </c>
      <c r="AG128" s="171">
        <f>COUNTIF(Delivery[Delivery ID],Delivery[[#This Row],[Delivery ID]])</f>
        <v>1</v>
      </c>
      <c r="AH128" s="171">
        <f>(Delivery[[#This Row],[Nespresso total]]/SUMIF(Allocation!C:C,Delivery[Delivery ID],Allocation!H:H))/Delivery[[#This Row],[Exchange rate VS USD]]</f>
        <v>21.552335374649502</v>
      </c>
      <c r="AI128" s="171">
        <f>(Delivery[[#This Row],[AAA Premium (total)]]/SUMIF(Allocation!C:C,Delivery[Delivery ID],Allocation!H:H))/Delivery[[#This Row],[Exchange rate VS USD]]</f>
        <v>1.2124648824845579</v>
      </c>
      <c r="AJ128" s="171">
        <f>Delivery[[#This Row],[Valor Prêmio Nespresso AAA por Kg (em US$)]]*60</f>
        <v>72.747892949073474</v>
      </c>
      <c r="AK128" s="171">
        <f>Delivery[[#This Row],[Valor Prêmio Nespresso AAA por saca (em US$)]]/1.3228/100</f>
        <v>0.54995383239396345</v>
      </c>
      <c r="AL128" s="171">
        <f>(Delivery[[#This Row],[BEN premium (total)]]/SUMIF(Allocation!C:C,Delivery[Delivery ID],Allocation!H:H))/Delivery[[#This Row],[Exchange rate for premiums VS USD]]</f>
        <v>0</v>
      </c>
      <c r="AM128" s="171">
        <f>Delivery[[#This Row],[Valor Prêmio Nespresso BEN por Kg (em US$)]]*60</f>
        <v>0</v>
      </c>
      <c r="AN128" s="171">
        <f>Delivery[[#This Row],[Valor Prêmio Nespresso BEN por saca (em US$)]]/1.3228/100</f>
        <v>0</v>
      </c>
      <c r="AO128" s="171">
        <f>SUMIF(Allocation[Delivery ID],Delivery[[#This Row],[Delivery ID]],Allocation[Quantity allocated])*16*1.3228*Delivery[[#This Row],[Exchange rate VS USD]]/60</f>
        <v>493.42323667200003</v>
      </c>
      <c r="AP128" s="171">
        <f>Delivery[[#This Row],[AAA Premium (total)]]</f>
        <v>1696</v>
      </c>
      <c r="AQ128" s="171">
        <f>Delivery[[#This Row],[Valor pago pelo Cluster]]-Delivery[[#This Row],[Valor efetivamente pago pela Nespresso]]</f>
        <v>1202.576763328</v>
      </c>
    </row>
    <row r="129" spans="1:43" ht="15.75">
      <c r="A129" s="174" t="s">
        <v>69</v>
      </c>
      <c r="B129" s="232" t="s">
        <v>68</v>
      </c>
      <c r="C129" s="157">
        <v>1</v>
      </c>
      <c r="D129" s="157" t="s">
        <v>468</v>
      </c>
      <c r="E129" s="177" t="s">
        <v>468</v>
      </c>
      <c r="F129" s="233" t="s">
        <v>543</v>
      </c>
      <c r="G129" s="234">
        <v>43297</v>
      </c>
      <c r="H129" s="157" t="s">
        <v>569</v>
      </c>
      <c r="I129" s="157" t="s">
        <v>570</v>
      </c>
      <c r="J129" s="237">
        <v>12000</v>
      </c>
      <c r="K129" s="175" t="s">
        <v>61</v>
      </c>
      <c r="L129" s="175" t="s">
        <v>439</v>
      </c>
      <c r="M129" s="175" t="s">
        <v>1343</v>
      </c>
      <c r="N129" s="180"/>
      <c r="O129" s="177"/>
      <c r="P129" s="181">
        <v>0</v>
      </c>
      <c r="Q129" s="177">
        <v>43252</v>
      </c>
      <c r="R129" s="178">
        <v>486.80599500000005</v>
      </c>
      <c r="S129" s="179">
        <v>95215.2</v>
      </c>
      <c r="T129" s="182" t="s">
        <v>45</v>
      </c>
      <c r="U129" s="183">
        <v>3.7869000000000002</v>
      </c>
      <c r="V129" s="179">
        <v>5302</v>
      </c>
      <c r="W129" s="179">
        <v>0</v>
      </c>
      <c r="X129" s="184" t="s">
        <v>45</v>
      </c>
      <c r="Y129" s="183">
        <v>3.7869000000000002</v>
      </c>
      <c r="Z129" s="220"/>
      <c r="AA129" s="172">
        <f>Delivery[[#This Row],[Quantity delivered]]*VLOOKUP(Delivery[[#This Row],[Unit]],Tab_Conversão[],4,FALSE)*VLOOKUP(CONCATENATE(Delivery[[#This Row],[Coffee specie]],Delivery[[#This Row],[Coffee state]]),Tab_Conversão[],4,FALSE)</f>
        <v>12000</v>
      </c>
      <c r="AB129" s="169">
        <f>SUMIF(Allocation!C:C,Delivery[[#This Row],[Delivery ID]],Allocation!D:D)/Delivery[[#This Row],[Quantity delivered]]</f>
        <v>0.60516666666666663</v>
      </c>
      <c r="AC129" s="170">
        <f>Delivery[[#This Row],[Quantity delivered]]*Delivery[[#This Row],[Base price (Unidad)]]/60</f>
        <v>97361.199000000008</v>
      </c>
      <c r="AD129" s="171">
        <f>Delivery[[#This Row],[Nespresso total]]-Delivery[[#This Row],[Qt. Delivery * Base Price]]</f>
        <v>-2145.9990000000107</v>
      </c>
      <c r="AE129" s="171">
        <f>Delivery[[#This Row],[AAA Premium (total)]]/Delivery[[#This Row],[Quantity delivered]]*60/Delivery[[#This Row],[Exchange rate VS USD]]</f>
        <v>7.0004489159998942</v>
      </c>
      <c r="AF129" s="171">
        <f>Delivery[[#This Row],[BEN premium (total)]]/Delivery[[#This Row],[Quantity delivered]]*60/Delivery[[#This Row],[Exchange rate for premiums VS USD]]</f>
        <v>0</v>
      </c>
      <c r="AG129" s="171">
        <f>COUNTIF(Delivery[Delivery ID],Delivery[[#This Row],[Delivery ID]])</f>
        <v>1</v>
      </c>
      <c r="AH129" s="171">
        <f>(Delivery[[#This Row],[Nespresso total]]/SUMIF(Allocation!C:C,Delivery[Delivery ID],Allocation!H:H))/Delivery[[#This Row],[Exchange rate VS USD]]</f>
        <v>11.295287435426951</v>
      </c>
      <c r="AI129" s="171">
        <f>(Delivery[[#This Row],[AAA Premium (total)]]/SUMIF(Allocation!C:C,Delivery[Delivery ID],Allocation!H:H))/Delivery[[#This Row],[Exchange rate VS USD]]</f>
        <v>0.62897115148247029</v>
      </c>
      <c r="AJ129" s="171">
        <f>Delivery[[#This Row],[Valor Prêmio Nespresso AAA por Kg (em US$)]]*60</f>
        <v>37.738269088948215</v>
      </c>
      <c r="AK129" s="171">
        <f>Delivery[[#This Row],[Valor Prêmio Nespresso AAA por saca (em US$)]]/1.3228/100</f>
        <v>0.28529081561043407</v>
      </c>
      <c r="AL129" s="171">
        <f>(Delivery[[#This Row],[BEN premium (total)]]/SUMIF(Allocation!C:C,Delivery[Delivery ID],Allocation!H:H))/Delivery[[#This Row],[Exchange rate for premiums VS USD]]</f>
        <v>0</v>
      </c>
      <c r="AM129" s="171">
        <f>Delivery[[#This Row],[Valor Prêmio Nespresso BEN por Kg (em US$)]]*60</f>
        <v>0</v>
      </c>
      <c r="AN129" s="171">
        <f>Delivery[[#This Row],[Valor Prêmio Nespresso BEN por saca (em US$)]]/1.3228/100</f>
        <v>0</v>
      </c>
      <c r="AO129" s="171">
        <f>SUMIF(Allocation[Delivery ID],Delivery[[#This Row],[Delivery ID]],Allocation[Quantity allocated])*16*1.3228*Delivery[[#This Row],[Exchange rate VS USD]]/60</f>
        <v>2973.5271995520002</v>
      </c>
      <c r="AP129" s="171">
        <f>Delivery[[#This Row],[AAA Premium (total)]]</f>
        <v>5302</v>
      </c>
      <c r="AQ129" s="171">
        <f>Delivery[[#This Row],[Valor pago pelo Cluster]]-Delivery[[#This Row],[Valor efetivamente pago pela Nespresso]]</f>
        <v>2328.4728004479998</v>
      </c>
    </row>
    <row r="130" spans="1:43" ht="15.75">
      <c r="A130" s="174" t="s">
        <v>69</v>
      </c>
      <c r="B130" s="232" t="s">
        <v>68</v>
      </c>
      <c r="C130" s="157">
        <v>1</v>
      </c>
      <c r="D130" s="157" t="s">
        <v>468</v>
      </c>
      <c r="E130" s="177" t="s">
        <v>468</v>
      </c>
      <c r="F130" s="233" t="s">
        <v>543</v>
      </c>
      <c r="G130" s="234">
        <v>43297</v>
      </c>
      <c r="H130" s="157" t="s">
        <v>571</v>
      </c>
      <c r="I130" s="157" t="s">
        <v>572</v>
      </c>
      <c r="J130" s="237">
        <v>5120</v>
      </c>
      <c r="K130" s="175" t="s">
        <v>61</v>
      </c>
      <c r="L130" s="175" t="s">
        <v>439</v>
      </c>
      <c r="M130" s="175" t="s">
        <v>1343</v>
      </c>
      <c r="N130" s="180"/>
      <c r="O130" s="177"/>
      <c r="P130" s="181">
        <v>0</v>
      </c>
      <c r="Q130" s="177">
        <v>43293</v>
      </c>
      <c r="R130" s="178">
        <v>433.07495999999998</v>
      </c>
      <c r="S130" s="179">
        <v>38288.9</v>
      </c>
      <c r="T130" s="182" t="s">
        <v>45</v>
      </c>
      <c r="U130" s="183">
        <v>3.8805999999999998</v>
      </c>
      <c r="V130" s="179">
        <v>3311.78</v>
      </c>
      <c r="W130" s="179">
        <v>0</v>
      </c>
      <c r="X130" s="184" t="s">
        <v>45</v>
      </c>
      <c r="Y130" s="183">
        <v>3.8805999999999998</v>
      </c>
      <c r="Z130" s="220"/>
      <c r="AA130" s="172">
        <f>Delivery[[#This Row],[Quantity delivered]]*VLOOKUP(Delivery[[#This Row],[Unit]],Tab_Conversão[],4,FALSE)*VLOOKUP(CONCATENATE(Delivery[[#This Row],[Coffee specie]],Delivery[[#This Row],[Coffee state]]),Tab_Conversão[],4,FALSE)</f>
        <v>5120</v>
      </c>
      <c r="AB130" s="169">
        <f>SUMIF(Allocation!C:C,Delivery[[#This Row],[Delivery ID]],Allocation!D:D)/Delivery[[#This Row],[Quantity delivered]]</f>
        <v>0.4716796875</v>
      </c>
      <c r="AC130" s="170">
        <f>Delivery[[#This Row],[Quantity delivered]]*Delivery[[#This Row],[Base price (Unidad)]]/60</f>
        <v>36955.729919999998</v>
      </c>
      <c r="AD130" s="171">
        <f>Delivery[[#This Row],[Nespresso total]]-Delivery[[#This Row],[Qt. Delivery * Base Price]]</f>
        <v>1333.1700800000035</v>
      </c>
      <c r="AE130" s="171">
        <f>Delivery[[#This Row],[AAA Premium (total)]]/Delivery[[#This Row],[Quantity delivered]]*60/Delivery[[#This Row],[Exchange rate VS USD]]</f>
        <v>10.001010636241819</v>
      </c>
      <c r="AF130" s="171">
        <f>Delivery[[#This Row],[BEN premium (total)]]/Delivery[[#This Row],[Quantity delivered]]*60/Delivery[[#This Row],[Exchange rate for premiums VS USD]]</f>
        <v>0</v>
      </c>
      <c r="AG130" s="171">
        <f>COUNTIF(Delivery[Delivery ID],Delivery[[#This Row],[Delivery ID]])</f>
        <v>1</v>
      </c>
      <c r="AH130" s="171">
        <f>(Delivery[[#This Row],[Nespresso total]]/SUMIF(Allocation!C:C,Delivery[Delivery ID],Allocation!H:H))/Delivery[[#This Row],[Exchange rate VS USD]]</f>
        <v>8.6931695244002647</v>
      </c>
      <c r="AI130" s="171">
        <f>(Delivery[[#This Row],[AAA Premium (total)]]/SUMIF(Allocation!C:C,Delivery[Delivery ID],Allocation!H:H))/Delivery[[#This Row],[Exchange rate VS USD]]</f>
        <v>0.75191151920055976</v>
      </c>
      <c r="AJ130" s="171">
        <f>Delivery[[#This Row],[Valor Prêmio Nespresso AAA por Kg (em US$)]]*60</f>
        <v>45.114691152033586</v>
      </c>
      <c r="AK130" s="171">
        <f>Delivery[[#This Row],[Valor Prêmio Nespresso AAA por saca (em US$)]]/1.3228/100</f>
        <v>0.34105451430324757</v>
      </c>
      <c r="AL130" s="171">
        <f>(Delivery[[#This Row],[BEN premium (total)]]/SUMIF(Allocation!C:C,Delivery[Delivery ID],Allocation!H:H))/Delivery[[#This Row],[Exchange rate for premiums VS USD]]</f>
        <v>0</v>
      </c>
      <c r="AM130" s="171">
        <f>Delivery[[#This Row],[Valor Prêmio Nespresso BEN por Kg (em US$)]]*60</f>
        <v>0</v>
      </c>
      <c r="AN130" s="171">
        <f>Delivery[[#This Row],[Valor Prêmio Nespresso BEN por saca (em US$)]]/1.3228/100</f>
        <v>0</v>
      </c>
      <c r="AO130" s="171">
        <f>SUMIF(Allocation[Delivery ID],Delivery[[#This Row],[Delivery ID]],Allocation[Quantity allocated])*16*1.3228*Delivery[[#This Row],[Exchange rate VS USD]]/60</f>
        <v>1553.6659911466666</v>
      </c>
      <c r="AP130" s="171">
        <f>Delivery[[#This Row],[AAA Premium (total)]]</f>
        <v>3311.78</v>
      </c>
      <c r="AQ130" s="171">
        <f>Delivery[[#This Row],[Valor pago pelo Cluster]]-Delivery[[#This Row],[Valor efetivamente pago pela Nespresso]]</f>
        <v>1758.1140088533336</v>
      </c>
    </row>
    <row r="131" spans="1:43" ht="15.75">
      <c r="A131" s="174" t="s">
        <v>69</v>
      </c>
      <c r="B131" s="232" t="s">
        <v>68</v>
      </c>
      <c r="C131" s="157" t="s">
        <v>1344</v>
      </c>
      <c r="D131" s="157" t="s">
        <v>468</v>
      </c>
      <c r="E131" s="177" t="s">
        <v>468</v>
      </c>
      <c r="F131" s="233" t="s">
        <v>543</v>
      </c>
      <c r="G131" s="234">
        <v>43298</v>
      </c>
      <c r="H131" s="235" t="s">
        <v>1398</v>
      </c>
      <c r="I131" s="157" t="s">
        <v>1381</v>
      </c>
      <c r="J131" s="237">
        <v>17020</v>
      </c>
      <c r="K131" s="175" t="s">
        <v>472</v>
      </c>
      <c r="L131" s="175" t="s">
        <v>439</v>
      </c>
      <c r="M131" s="175" t="s">
        <v>1343</v>
      </c>
      <c r="N131" s="180"/>
      <c r="O131" s="177"/>
      <c r="P131" s="181">
        <v>0</v>
      </c>
      <c r="Q131" s="177">
        <v>43292</v>
      </c>
      <c r="R131" s="178">
        <v>434.64195000000001</v>
      </c>
      <c r="S131" s="179">
        <v>129161.94333333331</v>
      </c>
      <c r="T131" s="182" t="s">
        <v>45</v>
      </c>
      <c r="U131" s="183">
        <v>3.879</v>
      </c>
      <c r="V131" s="179">
        <v>7702.4009999999989</v>
      </c>
      <c r="W131" s="179">
        <v>0</v>
      </c>
      <c r="X131" s="184" t="s">
        <v>45</v>
      </c>
      <c r="Y131" s="183">
        <v>3.879</v>
      </c>
      <c r="Z131" s="220"/>
      <c r="AA131" s="172">
        <f>Delivery[[#This Row],[Quantity delivered]]*VLOOKUP(Delivery[[#This Row],[Unit]],Tab_Conversão[],4,FALSE)*VLOOKUP(CONCATENATE(Delivery[[#This Row],[Coffee specie]],Delivery[[#This Row],[Coffee state]]),Tab_Conversão[],4,FALSE)</f>
        <v>17020</v>
      </c>
      <c r="AB131" s="169">
        <f>SUMIF(Allocation!C:C,Delivery[[#This Row],[Delivery ID]],Allocation!D:D)/Delivery[[#This Row],[Quantity delivered]]</f>
        <v>0.71733254994124562</v>
      </c>
      <c r="AC131" s="170">
        <f>Delivery[[#This Row],[Quantity delivered]]*Delivery[[#This Row],[Base price (Unidad)]]/60</f>
        <v>123293.43315</v>
      </c>
      <c r="AD131" s="171">
        <f>Delivery[[#This Row],[Nespresso total]]-Delivery[[#This Row],[Qt. Delivery * Base Price]]</f>
        <v>5868.5101833333174</v>
      </c>
      <c r="AE131" s="171">
        <f>Delivery[[#This Row],[AAA Premium (total)]]/Delivery[[#This Row],[Quantity delivered]]*60/Delivery[[#This Row],[Exchange rate VS USD]]</f>
        <v>7</v>
      </c>
      <c r="AF131" s="171">
        <f>Delivery[[#This Row],[BEN premium (total)]]/Delivery[[#This Row],[Quantity delivered]]*60/Delivery[[#This Row],[Exchange rate for premiums VS USD]]</f>
        <v>0</v>
      </c>
      <c r="AG131" s="171">
        <f>COUNTIF(Delivery[Delivery ID],Delivery[[#This Row],[Delivery ID]])</f>
        <v>1</v>
      </c>
      <c r="AH131" s="171">
        <f>(Delivery[[#This Row],[Nespresso total]]/SUMIF(Allocation!C:C,Delivery[Delivery ID],Allocation!H:H))/Delivery[[#This Row],[Exchange rate VS USD]]</f>
        <v>8.2645178816901339</v>
      </c>
      <c r="AI131" s="171">
        <f>(Delivery[[#This Row],[AAA Premium (total)]]/SUMIF(Allocation!C:C,Delivery[Delivery ID],Allocation!H:H))/Delivery[[#This Row],[Exchange rate VS USD]]</f>
        <v>0.49284355092247867</v>
      </c>
      <c r="AJ131" s="171">
        <f>Delivery[[#This Row],[Valor Prêmio Nespresso AAA por Kg (em US$)]]*60</f>
        <v>29.570613055348719</v>
      </c>
      <c r="AK131" s="171">
        <f>Delivery[[#This Row],[Valor Prêmio Nespresso AAA por saca (em US$)]]/1.3228/100</f>
        <v>0.22354560822005382</v>
      </c>
      <c r="AL131" s="171">
        <f>(Delivery[[#This Row],[BEN premium (total)]]/SUMIF(Allocation!C:C,Delivery[Delivery ID],Allocation!H:H))/Delivery[[#This Row],[Exchange rate for premiums VS USD]]</f>
        <v>0</v>
      </c>
      <c r="AM131" s="171">
        <f>Delivery[[#This Row],[Valor Prêmio Nespresso BEN por Kg (em US$)]]*60</f>
        <v>0</v>
      </c>
      <c r="AN131" s="171">
        <f>Delivery[[#This Row],[Valor Prêmio Nespresso BEN por saca (em US$)]]/1.3228/100</f>
        <v>0</v>
      </c>
      <c r="AO131" s="171">
        <f>SUMIF(Allocation[Delivery ID],Delivery[[#This Row],[Delivery ID]],Allocation[Quantity allocated])*16*1.3228*Delivery[[#This Row],[Exchange rate VS USD]]/60</f>
        <v>5512.89810528</v>
      </c>
      <c r="AP131" s="171">
        <f>Delivery[[#This Row],[AAA Premium (total)]]</f>
        <v>7702.4009999999989</v>
      </c>
      <c r="AQ131" s="171">
        <f>Delivery[[#This Row],[Valor pago pelo Cluster]]-Delivery[[#This Row],[Valor efetivamente pago pela Nespresso]]</f>
        <v>2189.5028947199989</v>
      </c>
    </row>
    <row r="132" spans="1:43" ht="15.75">
      <c r="A132" s="174" t="s">
        <v>69</v>
      </c>
      <c r="B132" s="232" t="s">
        <v>68</v>
      </c>
      <c r="C132" s="157" t="s">
        <v>1344</v>
      </c>
      <c r="D132" s="157" t="s">
        <v>468</v>
      </c>
      <c r="E132" s="177" t="s">
        <v>468</v>
      </c>
      <c r="F132" s="233" t="s">
        <v>543</v>
      </c>
      <c r="G132" s="234">
        <v>43298</v>
      </c>
      <c r="H132" s="157" t="s">
        <v>1399</v>
      </c>
      <c r="I132" s="157" t="s">
        <v>1381</v>
      </c>
      <c r="J132" s="237">
        <v>2760</v>
      </c>
      <c r="K132" s="175" t="s">
        <v>472</v>
      </c>
      <c r="L132" s="175" t="s">
        <v>439</v>
      </c>
      <c r="M132" s="175" t="s">
        <v>1343</v>
      </c>
      <c r="N132" s="180"/>
      <c r="O132" s="177"/>
      <c r="P132" s="181">
        <v>0</v>
      </c>
      <c r="Q132" s="177">
        <v>43292</v>
      </c>
      <c r="R132" s="178">
        <v>434.64195000000001</v>
      </c>
      <c r="S132" s="179">
        <v>20945.179999999997</v>
      </c>
      <c r="T132" s="182" t="s">
        <v>45</v>
      </c>
      <c r="U132" s="183">
        <v>3.879</v>
      </c>
      <c r="V132" s="179">
        <v>1256.8379999999997</v>
      </c>
      <c r="W132" s="179">
        <v>0</v>
      </c>
      <c r="X132" s="184" t="s">
        <v>45</v>
      </c>
      <c r="Y132" s="183">
        <v>3.879</v>
      </c>
      <c r="Z132" s="220"/>
      <c r="AA132" s="172">
        <f>Delivery[[#This Row],[Quantity delivered]]*VLOOKUP(Delivery[[#This Row],[Unit]],Tab_Conversão[],4,FALSE)*VLOOKUP(CONCATENATE(Delivery[[#This Row],[Coffee specie]],Delivery[[#This Row],[Coffee state]]),Tab_Conversão[],4,FALSE)</f>
        <v>2760</v>
      </c>
      <c r="AB132" s="169">
        <f>SUMIF(Allocation!C:C,Delivery[[#This Row],[Delivery ID]],Allocation!D:D)/Delivery[[#This Row],[Quantity delivered]]</f>
        <v>0.31992753623188408</v>
      </c>
      <c r="AC132" s="170">
        <f>Delivery[[#This Row],[Quantity delivered]]*Delivery[[#This Row],[Base price (Unidad)]]/60</f>
        <v>19993.529700000003</v>
      </c>
      <c r="AD132" s="171">
        <f>Delivery[[#This Row],[Nespresso total]]-Delivery[[#This Row],[Qt. Delivery * Base Price]]</f>
        <v>951.65029999999388</v>
      </c>
      <c r="AE132" s="171">
        <f>Delivery[[#This Row],[AAA Premium (total)]]/Delivery[[#This Row],[Quantity delivered]]*60/Delivery[[#This Row],[Exchange rate VS USD]]</f>
        <v>7.043713642018897</v>
      </c>
      <c r="AF132" s="171">
        <f>Delivery[[#This Row],[BEN premium (total)]]/Delivery[[#This Row],[Quantity delivered]]*60/Delivery[[#This Row],[Exchange rate for premiums VS USD]]</f>
        <v>0</v>
      </c>
      <c r="AG132" s="171">
        <f>COUNTIF(Delivery[Delivery ID],Delivery[[#This Row],[Delivery ID]])</f>
        <v>1</v>
      </c>
      <c r="AH132" s="171">
        <f>(Delivery[[#This Row],[Nespresso total]]/SUMIF(Allocation!C:C,Delivery[Delivery ID],Allocation!H:H))/Delivery[[#This Row],[Exchange rate VS USD]]</f>
        <v>20.375977080262853</v>
      </c>
      <c r="AI132" s="171">
        <f>(Delivery[[#This Row],[AAA Premium (total)]]/SUMIF(Allocation!C:C,Delivery[Delivery ID],Allocation!H:H))/Delivery[[#This Row],[Exchange rate VS USD]]</f>
        <v>1.2226823680485632</v>
      </c>
      <c r="AJ132" s="171">
        <f>Delivery[[#This Row],[Valor Prêmio Nespresso AAA por Kg (em US$)]]*60</f>
        <v>73.360942082913795</v>
      </c>
      <c r="AK132" s="171">
        <f>Delivery[[#This Row],[Valor Prêmio Nespresso AAA por saca (em US$)]]/1.3228/100</f>
        <v>0.55458831329689895</v>
      </c>
      <c r="AL132" s="171">
        <f>(Delivery[[#This Row],[BEN premium (total)]]/SUMIF(Allocation!C:C,Delivery[Delivery ID],Allocation!H:H))/Delivery[[#This Row],[Exchange rate for premiums VS USD]]</f>
        <v>0</v>
      </c>
      <c r="AM132" s="171">
        <f>Delivery[[#This Row],[Valor Prêmio Nespresso BEN por Kg (em US$)]]*60</f>
        <v>0</v>
      </c>
      <c r="AN132" s="171">
        <f>Delivery[[#This Row],[Valor Prêmio Nespresso BEN por saca (em US$)]]/1.3228/100</f>
        <v>0</v>
      </c>
      <c r="AO132" s="171">
        <f>SUMIF(Allocation[Delivery ID],Delivery[[#This Row],[Delivery ID]],Allocation[Quantity allocated])*16*1.3228*Delivery[[#This Row],[Exchange rate VS USD]]/60</f>
        <v>362.60064479999994</v>
      </c>
      <c r="AP132" s="171">
        <f>Delivery[[#This Row],[AAA Premium (total)]]</f>
        <v>1256.8379999999997</v>
      </c>
      <c r="AQ132" s="171">
        <f>Delivery[[#This Row],[Valor pago pelo Cluster]]-Delivery[[#This Row],[Valor efetivamente pago pela Nespresso]]</f>
        <v>894.2373551999998</v>
      </c>
    </row>
    <row r="133" spans="1:43" ht="15.75">
      <c r="A133" s="174" t="s">
        <v>69</v>
      </c>
      <c r="B133" s="232" t="s">
        <v>68</v>
      </c>
      <c r="C133" s="157" t="s">
        <v>1344</v>
      </c>
      <c r="D133" s="157" t="s">
        <v>468</v>
      </c>
      <c r="E133" s="177" t="s">
        <v>468</v>
      </c>
      <c r="F133" s="233" t="s">
        <v>543</v>
      </c>
      <c r="G133" s="234">
        <v>43298</v>
      </c>
      <c r="H133" s="235" t="s">
        <v>1400</v>
      </c>
      <c r="I133" s="157" t="s">
        <v>1381</v>
      </c>
      <c r="J133" s="237">
        <v>2280</v>
      </c>
      <c r="K133" s="175" t="s">
        <v>61</v>
      </c>
      <c r="L133" s="175" t="s">
        <v>439</v>
      </c>
      <c r="M133" s="175" t="s">
        <v>1343</v>
      </c>
      <c r="N133" s="180"/>
      <c r="O133" s="177"/>
      <c r="P133" s="181">
        <v>0</v>
      </c>
      <c r="Q133" s="177">
        <v>43292</v>
      </c>
      <c r="R133" s="178">
        <v>434.64195000000001</v>
      </c>
      <c r="S133" s="179">
        <v>17302.539999999997</v>
      </c>
      <c r="T133" s="182" t="s">
        <v>45</v>
      </c>
      <c r="U133" s="183">
        <v>3.879</v>
      </c>
      <c r="V133" s="179">
        <v>1031.8139999999999</v>
      </c>
      <c r="W133" s="179">
        <v>0</v>
      </c>
      <c r="X133" s="184" t="s">
        <v>45</v>
      </c>
      <c r="Y133" s="183">
        <v>3.879</v>
      </c>
      <c r="Z133" s="220"/>
      <c r="AA133" s="172">
        <f>Delivery[[#This Row],[Quantity delivered]]*VLOOKUP(Delivery[[#This Row],[Unit]],Tab_Conversão[],4,FALSE)*VLOOKUP(CONCATENATE(Delivery[[#This Row],[Coffee specie]],Delivery[[#This Row],[Coffee state]]),Tab_Conversão[],4,FALSE)</f>
        <v>2280</v>
      </c>
      <c r="AB133" s="169">
        <f>SUMIF(Allocation!C:C,Delivery[[#This Row],[Delivery ID]],Allocation!D:D)/Delivery[[#This Row],[Quantity delivered]]</f>
        <v>0.71622807017543855</v>
      </c>
      <c r="AC133" s="170">
        <f>Delivery[[#This Row],[Quantity delivered]]*Delivery[[#This Row],[Base price (Unidad)]]/60</f>
        <v>16516.394100000001</v>
      </c>
      <c r="AD133" s="171">
        <f>Delivery[[#This Row],[Nespresso total]]-Delivery[[#This Row],[Qt. Delivery * Base Price]]</f>
        <v>786.14589999999589</v>
      </c>
      <c r="AE133" s="171">
        <f>Delivery[[#This Row],[AAA Premium (total)]]/Delivery[[#This Row],[Quantity delivered]]*60/Delivery[[#This Row],[Exchange rate VS USD]]</f>
        <v>7</v>
      </c>
      <c r="AF133" s="171">
        <f>Delivery[[#This Row],[BEN premium (total)]]/Delivery[[#This Row],[Quantity delivered]]*60/Delivery[[#This Row],[Exchange rate for premiums VS USD]]</f>
        <v>0</v>
      </c>
      <c r="AG133" s="171">
        <f>COUNTIF(Delivery[Delivery ID],Delivery[[#This Row],[Delivery ID]])</f>
        <v>1</v>
      </c>
      <c r="AH133" s="171">
        <f>(Delivery[[#This Row],[Nespresso total]]/SUMIF(Allocation!C:C,Delivery[Delivery ID],Allocation!H:H))/Delivery[[#This Row],[Exchange rate VS USD]]</f>
        <v>8.2756347986709251</v>
      </c>
      <c r="AI133" s="171">
        <f>(Delivery[[#This Row],[AAA Premium (total)]]/SUMIF(Allocation!C:C,Delivery[Delivery ID],Allocation!H:H))/Delivery[[#This Row],[Exchange rate VS USD]]</f>
        <v>0.49350649350649339</v>
      </c>
      <c r="AJ133" s="171">
        <f>Delivery[[#This Row],[Valor Prêmio Nespresso AAA por Kg (em US$)]]*60</f>
        <v>29.610389610389603</v>
      </c>
      <c r="AK133" s="171">
        <f>Delivery[[#This Row],[Valor Prêmio Nespresso AAA por saca (em US$)]]/1.3228/100</f>
        <v>0.22384630791041432</v>
      </c>
      <c r="AL133" s="171">
        <f>(Delivery[[#This Row],[BEN premium (total)]]/SUMIF(Allocation!C:C,Delivery[Delivery ID],Allocation!H:H))/Delivery[[#This Row],[Exchange rate for premiums VS USD]]</f>
        <v>0</v>
      </c>
      <c r="AM133" s="171">
        <f>Delivery[[#This Row],[Valor Prêmio Nespresso BEN por Kg (em US$)]]*60</f>
        <v>0</v>
      </c>
      <c r="AN133" s="171">
        <f>Delivery[[#This Row],[Valor Prêmio Nespresso BEN por saca (em US$)]]/1.3228/100</f>
        <v>0</v>
      </c>
      <c r="AO133" s="171">
        <f>SUMIF(Allocation[Delivery ID],Delivery[[#This Row],[Delivery ID]],Allocation[Quantity allocated])*16*1.3228*Delivery[[#This Row],[Exchange rate VS USD]]/60</f>
        <v>737.51602848000005</v>
      </c>
      <c r="AP133" s="171">
        <f>Delivery[[#This Row],[AAA Premium (total)]]</f>
        <v>1031.8139999999999</v>
      </c>
      <c r="AQ133" s="171">
        <f>Delivery[[#This Row],[Valor pago pelo Cluster]]-Delivery[[#This Row],[Valor efetivamente pago pela Nespresso]]</f>
        <v>294.29797151999981</v>
      </c>
    </row>
    <row r="134" spans="1:43" ht="15.75">
      <c r="A134" s="174" t="s">
        <v>69</v>
      </c>
      <c r="B134" s="232" t="s">
        <v>68</v>
      </c>
      <c r="C134" s="157">
        <v>1</v>
      </c>
      <c r="D134" s="157" t="s">
        <v>468</v>
      </c>
      <c r="E134" s="177" t="s">
        <v>468</v>
      </c>
      <c r="F134" s="233" t="s">
        <v>543</v>
      </c>
      <c r="G134" s="234">
        <v>43298</v>
      </c>
      <c r="H134" s="157" t="s">
        <v>573</v>
      </c>
      <c r="I134" s="157" t="s">
        <v>1350</v>
      </c>
      <c r="J134" s="237">
        <v>16210</v>
      </c>
      <c r="K134" s="175" t="s">
        <v>61</v>
      </c>
      <c r="L134" s="175" t="s">
        <v>439</v>
      </c>
      <c r="M134" s="175" t="s">
        <v>1343</v>
      </c>
      <c r="N134" s="180"/>
      <c r="O134" s="177"/>
      <c r="P134" s="181">
        <v>0</v>
      </c>
      <c r="Q134" s="177">
        <v>43292</v>
      </c>
      <c r="R134" s="178">
        <v>434.249775</v>
      </c>
      <c r="S134" s="179">
        <v>120305.21666666667</v>
      </c>
      <c r="T134" s="182" t="s">
        <v>45</v>
      </c>
      <c r="U134" s="183">
        <v>3.8755000000000002</v>
      </c>
      <c r="V134" s="179">
        <v>7329.2164166666671</v>
      </c>
      <c r="W134" s="179">
        <v>0</v>
      </c>
      <c r="X134" s="184" t="s">
        <v>45</v>
      </c>
      <c r="Y134" s="183">
        <v>3.8755000000000002</v>
      </c>
      <c r="Z134" s="220"/>
      <c r="AA134" s="172">
        <f>Delivery[[#This Row],[Quantity delivered]]*VLOOKUP(Delivery[[#This Row],[Unit]],Tab_Conversão[],4,FALSE)*VLOOKUP(CONCATENATE(Delivery[[#This Row],[Coffee specie]],Delivery[[#This Row],[Coffee state]]),Tab_Conversão[],4,FALSE)</f>
        <v>16210</v>
      </c>
      <c r="AB134" s="169">
        <f>SUMIF(Allocation!C:C,Delivery[[#This Row],[Delivery ID]],Allocation!D:D)/Delivery[[#This Row],[Quantity delivered]]</f>
        <v>0.74188772362739053</v>
      </c>
      <c r="AC134" s="170">
        <f>Delivery[[#This Row],[Quantity delivered]]*Delivery[[#This Row],[Base price (Unidad)]]/60</f>
        <v>117319.81421249999</v>
      </c>
      <c r="AD134" s="171">
        <f>Delivery[[#This Row],[Nespresso total]]-Delivery[[#This Row],[Qt. Delivery * Base Price]]</f>
        <v>2985.4024541666877</v>
      </c>
      <c r="AE134" s="171">
        <f>Delivery[[#This Row],[AAA Premium (total)]]/Delivery[[#This Row],[Quantity delivered]]*60/Delivery[[#This Row],[Exchange rate VS USD]]</f>
        <v>7</v>
      </c>
      <c r="AF134" s="171">
        <f>Delivery[[#This Row],[BEN premium (total)]]/Delivery[[#This Row],[Quantity delivered]]*60/Delivery[[#This Row],[Exchange rate for premiums VS USD]]</f>
        <v>0</v>
      </c>
      <c r="AG134" s="171">
        <f>COUNTIF(Delivery[Delivery ID],Delivery[[#This Row],[Delivery ID]])</f>
        <v>1</v>
      </c>
      <c r="AH134" s="171">
        <f>(Delivery[[#This Row],[Nespresso total]]/SUMIF(Allocation!C:C,Delivery[Delivery ID],Allocation!H:H))/Delivery[[#This Row],[Exchange rate VS USD]]</f>
        <v>8.6037976836882404</v>
      </c>
      <c r="AI134" s="171">
        <f>(Delivery[[#This Row],[AAA Premium (total)]]/SUMIF(Allocation!C:C,Delivery[Delivery ID],Allocation!H:H))/Delivery[[#This Row],[Exchange rate VS USD]]</f>
        <v>0.52415927568366594</v>
      </c>
      <c r="AJ134" s="171">
        <f>Delivery[[#This Row],[Valor Prêmio Nespresso AAA por Kg (em US$)]]*60</f>
        <v>31.449556541019955</v>
      </c>
      <c r="AK134" s="171">
        <f>Delivery[[#This Row],[Valor Prêmio Nespresso AAA por saca (em US$)]]/1.3228/100</f>
        <v>0.23774989825385512</v>
      </c>
      <c r="AL134" s="171">
        <f>(Delivery[[#This Row],[BEN premium (total)]]/SUMIF(Allocation!C:C,Delivery[Delivery ID],Allocation!H:H))/Delivery[[#This Row],[Exchange rate for premiums VS USD]]</f>
        <v>0</v>
      </c>
      <c r="AM134" s="171">
        <f>Delivery[[#This Row],[Valor Prêmio Nespresso BEN por Kg (em US$)]]*60</f>
        <v>0</v>
      </c>
      <c r="AN134" s="171">
        <f>Delivery[[#This Row],[Valor Prêmio Nespresso BEN por saca (em US$)]]/1.3228/100</f>
        <v>0</v>
      </c>
      <c r="AO134" s="171">
        <f>SUMIF(Allocation[Delivery ID],Delivery[[#This Row],[Delivery ID]],Allocation[Quantity allocated])*16*1.3228*Delivery[[#This Row],[Exchange rate VS USD]]/60</f>
        <v>4932.3875016533329</v>
      </c>
      <c r="AP134" s="171">
        <f>Delivery[[#This Row],[AAA Premium (total)]]</f>
        <v>7329.2164166666671</v>
      </c>
      <c r="AQ134" s="171">
        <f>Delivery[[#This Row],[Valor pago pelo Cluster]]-Delivery[[#This Row],[Valor efetivamente pago pela Nespresso]]</f>
        <v>2396.8289150133342</v>
      </c>
    </row>
    <row r="135" spans="1:43" ht="15.75">
      <c r="A135" s="174" t="s">
        <v>69</v>
      </c>
      <c r="B135" s="232" t="s">
        <v>68</v>
      </c>
      <c r="C135" s="157" t="s">
        <v>1344</v>
      </c>
      <c r="D135" s="157" t="s">
        <v>468</v>
      </c>
      <c r="E135" s="176" t="s">
        <v>468</v>
      </c>
      <c r="F135" s="233" t="s">
        <v>543</v>
      </c>
      <c r="G135" s="234">
        <v>43298</v>
      </c>
      <c r="H135" s="235" t="s">
        <v>1401</v>
      </c>
      <c r="I135" s="157" t="s">
        <v>1350</v>
      </c>
      <c r="J135" s="237">
        <v>5740</v>
      </c>
      <c r="K135" s="175" t="s">
        <v>61</v>
      </c>
      <c r="L135" s="175" t="s">
        <v>439</v>
      </c>
      <c r="M135" s="175" t="s">
        <v>1343</v>
      </c>
      <c r="N135" s="180"/>
      <c r="O135" s="177"/>
      <c r="P135" s="181">
        <v>0</v>
      </c>
      <c r="Q135" s="177">
        <v>43292</v>
      </c>
      <c r="R135" s="178">
        <v>434.249775</v>
      </c>
      <c r="S135" s="179">
        <v>42600.366666666669</v>
      </c>
      <c r="T135" s="182" t="s">
        <v>45</v>
      </c>
      <c r="U135" s="183">
        <v>3.8755000000000002</v>
      </c>
      <c r="V135" s="179">
        <v>2595.2931666666668</v>
      </c>
      <c r="W135" s="179">
        <v>0</v>
      </c>
      <c r="X135" s="186" t="s">
        <v>45</v>
      </c>
      <c r="Y135" s="183">
        <v>3.8755000000000002</v>
      </c>
      <c r="Z135" s="220"/>
      <c r="AA135" s="172">
        <f>Delivery[[#This Row],[Quantity delivered]]*VLOOKUP(Delivery[[#This Row],[Unit]],Tab_Conversão[],4,FALSE)*VLOOKUP(CONCATENATE(Delivery[[#This Row],[Coffee specie]],Delivery[[#This Row],[Coffee state]]),Tab_Conversão[],4,FALSE)</f>
        <v>5740</v>
      </c>
      <c r="AB135" s="169">
        <f>SUMIF(Allocation!C:C,Delivery[[#This Row],[Delivery ID]],Allocation!D:D)/Delivery[[#This Row],[Quantity delivered]]</f>
        <v>0.724390243902439</v>
      </c>
      <c r="AC135" s="170">
        <f>Delivery[[#This Row],[Quantity delivered]]*Delivery[[#This Row],[Base price (Unidad)]]/60</f>
        <v>41543.228475000004</v>
      </c>
      <c r="AD135" s="171">
        <f>Delivery[[#This Row],[Nespresso total]]-Delivery[[#This Row],[Qt. Delivery * Base Price]]</f>
        <v>1057.1381916666651</v>
      </c>
      <c r="AE135" s="171">
        <f>Delivery[[#This Row],[AAA Premium (total)]]/Delivery[[#This Row],[Quantity delivered]]*60/Delivery[[#This Row],[Exchange rate VS USD]]</f>
        <v>7</v>
      </c>
      <c r="AF135" s="171">
        <f>Delivery[[#This Row],[BEN premium (total)]]/Delivery[[#This Row],[Quantity delivered]]*60/Delivery[[#This Row],[Exchange rate for premiums VS USD]]</f>
        <v>0</v>
      </c>
      <c r="AG135" s="171">
        <f>COUNTIF(Delivery[Delivery ID],Delivery[[#This Row],[Delivery ID]])</f>
        <v>1</v>
      </c>
      <c r="AH135" s="171">
        <f>(Delivery[[#This Row],[Nespresso total]]/SUMIF(Allocation!C:C,Delivery[Delivery ID],Allocation!H:H))/Delivery[[#This Row],[Exchange rate VS USD]]</f>
        <v>8.0118255533409339</v>
      </c>
      <c r="AI135" s="171">
        <f>(Delivery[[#This Row],[AAA Premium (total)]]/SUMIF(Allocation!C:C,Delivery[Delivery ID],Allocation!H:H))/Delivery[[#This Row],[Exchange rate VS USD]]</f>
        <v>0.48809523809523814</v>
      </c>
      <c r="AJ135" s="171">
        <f>Delivery[[#This Row],[Valor Prêmio Nespresso AAA por Kg (em US$)]]*60</f>
        <v>29.285714285714288</v>
      </c>
      <c r="AK135" s="171">
        <f>Delivery[[#This Row],[Valor Prêmio Nespresso AAA por saca (em US$)]]/1.3228/100</f>
        <v>0.22139185277981774</v>
      </c>
      <c r="AL135" s="171">
        <f>(Delivery[[#This Row],[BEN premium (total)]]/SUMIF(Allocation!C:C,Delivery[Delivery ID],Allocation!H:H))/Delivery[[#This Row],[Exchange rate for premiums VS USD]]</f>
        <v>0</v>
      </c>
      <c r="AM135" s="171">
        <f>Delivery[[#This Row],[Valor Prêmio Nespresso BEN por Kg (em US$)]]*60</f>
        <v>0</v>
      </c>
      <c r="AN135" s="171">
        <f>Delivery[[#This Row],[Valor Prêmio Nespresso BEN por saca (em US$)]]/1.3228/100</f>
        <v>0</v>
      </c>
      <c r="AO135" s="171">
        <f>SUMIF(Allocation[Delivery ID],Delivery[[#This Row],[Delivery ID]],Allocation[Quantity allocated])*16*1.3228*Delivery[[#This Row],[Exchange rate VS USD]]/60</f>
        <v>1875.6196375466668</v>
      </c>
      <c r="AP135" s="171">
        <f>Delivery[[#This Row],[AAA Premium (total)]]</f>
        <v>2595.2931666666668</v>
      </c>
      <c r="AQ135" s="171">
        <f>Delivery[[#This Row],[Valor pago pelo Cluster]]-Delivery[[#This Row],[Valor efetivamente pago pela Nespresso]]</f>
        <v>719.67352912000001</v>
      </c>
    </row>
    <row r="136" spans="1:43" ht="15.75">
      <c r="A136" s="174" t="s">
        <v>69</v>
      </c>
      <c r="B136" s="232" t="s">
        <v>68</v>
      </c>
      <c r="C136" s="157">
        <v>1</v>
      </c>
      <c r="D136" s="157" t="s">
        <v>468</v>
      </c>
      <c r="E136" s="177" t="s">
        <v>468</v>
      </c>
      <c r="F136" s="233" t="s">
        <v>543</v>
      </c>
      <c r="G136" s="234">
        <v>43298</v>
      </c>
      <c r="H136" s="157" t="s">
        <v>574</v>
      </c>
      <c r="I136" s="157" t="s">
        <v>575</v>
      </c>
      <c r="J136" s="237">
        <v>6000</v>
      </c>
      <c r="K136" s="175" t="s">
        <v>61</v>
      </c>
      <c r="L136" s="175" t="s">
        <v>439</v>
      </c>
      <c r="M136" s="175" t="s">
        <v>1343</v>
      </c>
      <c r="N136" s="180"/>
      <c r="O136" s="177"/>
      <c r="P136" s="181">
        <v>0</v>
      </c>
      <c r="Q136" s="177">
        <v>43222</v>
      </c>
      <c r="R136" s="178">
        <v>466.35105000000004</v>
      </c>
      <c r="S136" s="179">
        <v>47741</v>
      </c>
      <c r="T136" s="182" t="s">
        <v>45</v>
      </c>
      <c r="U136" s="183">
        <v>3.597</v>
      </c>
      <c r="V136" s="179">
        <v>2517.8999999999996</v>
      </c>
      <c r="W136" s="179">
        <v>0</v>
      </c>
      <c r="X136" s="186" t="s">
        <v>45</v>
      </c>
      <c r="Y136" s="183">
        <v>3.597</v>
      </c>
      <c r="Z136" s="220"/>
      <c r="AA136" s="172">
        <f>Delivery[[#This Row],[Quantity delivered]]*VLOOKUP(Delivery[[#This Row],[Unit]],Tab_Conversão[],4,FALSE)*VLOOKUP(CONCATENATE(Delivery[[#This Row],[Coffee specie]],Delivery[[#This Row],[Coffee state]]),Tab_Conversão[],4,FALSE)</f>
        <v>6000</v>
      </c>
      <c r="AB136" s="169">
        <f>SUMIF(Allocation!C:C,Delivery[[#This Row],[Delivery ID]],Allocation!D:D)/Delivery[[#This Row],[Quantity delivered]]</f>
        <v>1</v>
      </c>
      <c r="AC136" s="170">
        <f>Delivery[[#This Row],[Quantity delivered]]*Delivery[[#This Row],[Base price (Unidad)]]/60</f>
        <v>46635.105000000003</v>
      </c>
      <c r="AD136" s="171">
        <f>Delivery[[#This Row],[Nespresso total]]-Delivery[[#This Row],[Qt. Delivery * Base Price]]</f>
        <v>1105.8949999999968</v>
      </c>
      <c r="AE136" s="171">
        <f>Delivery[[#This Row],[AAA Premium (total)]]/Delivery[[#This Row],[Quantity delivered]]*60/Delivery[[#This Row],[Exchange rate VS USD]]</f>
        <v>6.9999999999999982</v>
      </c>
      <c r="AF136" s="171">
        <f>Delivery[[#This Row],[BEN premium (total)]]/Delivery[[#This Row],[Quantity delivered]]*60/Delivery[[#This Row],[Exchange rate for premiums VS USD]]</f>
        <v>0</v>
      </c>
      <c r="AG136" s="171">
        <f>COUNTIF(Delivery[Delivery ID],Delivery[[#This Row],[Delivery ID]])</f>
        <v>1</v>
      </c>
      <c r="AH136" s="171">
        <f>(Delivery[[#This Row],[Nespresso total]]/SUMIF(Allocation!C:C,Delivery[Delivery ID],Allocation!H:H))/Delivery[[#This Row],[Exchange rate VS USD]]</f>
        <v>6.1248035363520774</v>
      </c>
      <c r="AI136" s="171">
        <f>(Delivery[[#This Row],[AAA Premium (total)]]/SUMIF(Allocation!C:C,Delivery[Delivery ID],Allocation!H:H))/Delivery[[#This Row],[Exchange rate VS USD]]</f>
        <v>0.32302722658052607</v>
      </c>
      <c r="AJ136" s="171">
        <f>Delivery[[#This Row],[Valor Prêmio Nespresso AAA por Kg (em US$)]]*60</f>
        <v>19.381633594831563</v>
      </c>
      <c r="AK136" s="171">
        <f>Delivery[[#This Row],[Valor Prêmio Nespresso AAA por saca (em US$)]]/1.3228/100</f>
        <v>0.14651975804983039</v>
      </c>
      <c r="AL136" s="171">
        <f>(Delivery[[#This Row],[BEN premium (total)]]/SUMIF(Allocation!C:C,Delivery[Delivery ID],Allocation!H:H))/Delivery[[#This Row],[Exchange rate for premiums VS USD]]</f>
        <v>0</v>
      </c>
      <c r="AM136" s="171">
        <f>Delivery[[#This Row],[Valor Prêmio Nespresso BEN por Kg (em US$)]]*60</f>
        <v>0</v>
      </c>
      <c r="AN136" s="171">
        <f>Delivery[[#This Row],[Valor Prêmio Nespresso BEN por saca (em US$)]]/1.3228/100</f>
        <v>0</v>
      </c>
      <c r="AO136" s="171">
        <f>SUMIF(Allocation[Delivery ID],Delivery[[#This Row],[Delivery ID]],Allocation[Quantity allocated])*16*1.3228*Delivery[[#This Row],[Exchange rate VS USD]]/60</f>
        <v>2749.55408992</v>
      </c>
      <c r="AP136" s="171">
        <f>Delivery[[#This Row],[AAA Premium (total)]]</f>
        <v>2517.8999999999996</v>
      </c>
      <c r="AQ136" s="171">
        <f>Delivery[[#This Row],[Valor pago pelo Cluster]]-Delivery[[#This Row],[Valor efetivamente pago pela Nespresso]]</f>
        <v>-231.65408992000039</v>
      </c>
    </row>
    <row r="137" spans="1:43" ht="15.75">
      <c r="A137" s="174" t="s">
        <v>69</v>
      </c>
      <c r="B137" s="232" t="s">
        <v>68</v>
      </c>
      <c r="C137" s="157">
        <v>1</v>
      </c>
      <c r="D137" s="157" t="s">
        <v>468</v>
      </c>
      <c r="E137" s="177" t="s">
        <v>468</v>
      </c>
      <c r="F137" s="233" t="s">
        <v>543</v>
      </c>
      <c r="G137" s="234">
        <v>43298</v>
      </c>
      <c r="H137" s="157" t="s">
        <v>576</v>
      </c>
      <c r="I137" s="157" t="s">
        <v>509</v>
      </c>
      <c r="J137" s="237">
        <v>19000</v>
      </c>
      <c r="K137" s="175" t="s">
        <v>61</v>
      </c>
      <c r="L137" s="175" t="s">
        <v>439</v>
      </c>
      <c r="M137" s="175" t="s">
        <v>1343</v>
      </c>
      <c r="N137" s="180"/>
      <c r="O137" s="177"/>
      <c r="P137" s="181">
        <v>0</v>
      </c>
      <c r="Q137" s="177">
        <v>42944</v>
      </c>
      <c r="R137" s="178">
        <v>519.11969999999997</v>
      </c>
      <c r="S137" s="179">
        <v>163697.2005866</v>
      </c>
      <c r="T137" s="182" t="s">
        <v>45</v>
      </c>
      <c r="U137" s="183">
        <v>3.347</v>
      </c>
      <c r="V137" s="179">
        <v>7419.1833333333325</v>
      </c>
      <c r="W137" s="179">
        <v>2108.8647066999997</v>
      </c>
      <c r="X137" s="186" t="s">
        <v>45</v>
      </c>
      <c r="Y137" s="183">
        <v>3.347</v>
      </c>
      <c r="Z137" s="220" t="s">
        <v>473</v>
      </c>
      <c r="AA137" s="172">
        <f>Delivery[[#This Row],[Quantity delivered]]*VLOOKUP(Delivery[[#This Row],[Unit]],Tab_Conversão[],4,FALSE)*VLOOKUP(CONCATENATE(Delivery[[#This Row],[Coffee specie]],Delivery[[#This Row],[Coffee state]]),Tab_Conversão[],4,FALSE)</f>
        <v>19000</v>
      </c>
      <c r="AB137" s="169">
        <f>SUMIF(Allocation!C:C,Delivery[[#This Row],[Delivery ID]],Allocation!D:D)/Delivery[[#This Row],[Quantity delivered]]</f>
        <v>0.96084210526315794</v>
      </c>
      <c r="AC137" s="170">
        <f>Delivery[[#This Row],[Quantity delivered]]*Delivery[[#This Row],[Base price (Unidad)]]/60</f>
        <v>164387.90499999997</v>
      </c>
      <c r="AD137" s="171">
        <f>Delivery[[#This Row],[Nespresso total]]-Delivery[[#This Row],[Qt. Delivery * Base Price]]</f>
        <v>-690.70441339997342</v>
      </c>
      <c r="AE137" s="171">
        <f>Delivery[[#This Row],[AAA Premium (total)]]/Delivery[[#This Row],[Quantity delivered]]*60/Delivery[[#This Row],[Exchange rate VS USD]]</f>
        <v>7</v>
      </c>
      <c r="AF137" s="171">
        <f>Delivery[[#This Row],[BEN premium (total)]]/Delivery[[#This Row],[Quantity delivered]]*60/Delivery[[#This Row],[Exchange rate for premiums VS USD]]</f>
        <v>1.9897139999999998</v>
      </c>
      <c r="AG137" s="171">
        <f>COUNTIF(Delivery[Delivery ID],Delivery[[#This Row],[Delivery ID]])</f>
        <v>1</v>
      </c>
      <c r="AH137" s="171">
        <f>(Delivery[[#This Row],[Nespresso total]]/SUMIF(Allocation!C:C,Delivery[Delivery ID],Allocation!H:H))/Delivery[[#This Row],[Exchange rate VS USD]]</f>
        <v>8.9298219414659528</v>
      </c>
      <c r="AI137" s="171">
        <f>(Delivery[[#This Row],[AAA Premium (total)]]/SUMIF(Allocation!C:C,Delivery[Delivery ID],Allocation!H:H))/Delivery[[#This Row],[Exchange rate VS USD]]</f>
        <v>0.40472278011076618</v>
      </c>
      <c r="AJ137" s="171">
        <f>Delivery[[#This Row],[Valor Prêmio Nespresso AAA por Kg (em US$)]]*60</f>
        <v>24.283366806645972</v>
      </c>
      <c r="AK137" s="171">
        <f>Delivery[[#This Row],[Valor Prêmio Nespresso AAA por saca (em US$)]]/1.3228/100</f>
        <v>0.18357549747993629</v>
      </c>
      <c r="AL137" s="171">
        <f>(Delivery[[#This Row],[BEN premium (total)]]/SUMIF(Allocation!C:C,Delivery[Delivery ID],Allocation!H:H))/Delivery[[#This Row],[Exchange rate for premiums VS USD]]</f>
        <v>0.11504036881504473</v>
      </c>
      <c r="AM137" s="171">
        <f>Delivery[[#This Row],[Valor Prêmio Nespresso BEN por Kg (em US$)]]*60</f>
        <v>6.9024221289026837</v>
      </c>
      <c r="AN137" s="171">
        <f>Delivery[[#This Row],[Valor Prêmio Nespresso BEN por saca (em US$)]]/1.3228/100</f>
        <v>5.2180391056113426E-2</v>
      </c>
      <c r="AO137" s="171">
        <f>SUMIF(Allocation[Delivery ID],Delivery[[#This Row],[Delivery ID]],Allocation[Quantity allocated])*16*1.3228*Delivery[[#This Row],[Exchange rate VS USD]]/60</f>
        <v>6466.3822221866667</v>
      </c>
      <c r="AP137" s="171">
        <f>Delivery[[#This Row],[AAA Premium (total)]]</f>
        <v>7419.1833333333325</v>
      </c>
      <c r="AQ137" s="171">
        <f>Delivery[[#This Row],[Valor pago pelo Cluster]]-Delivery[[#This Row],[Valor efetivamente pago pela Nespresso]]</f>
        <v>952.80111114666579</v>
      </c>
    </row>
    <row r="138" spans="1:43" ht="15.75">
      <c r="A138" s="174" t="s">
        <v>69</v>
      </c>
      <c r="B138" s="232" t="s">
        <v>68</v>
      </c>
      <c r="C138" s="157">
        <v>1</v>
      </c>
      <c r="D138" s="157" t="s">
        <v>468</v>
      </c>
      <c r="E138" s="177" t="s">
        <v>468</v>
      </c>
      <c r="F138" s="233" t="s">
        <v>543</v>
      </c>
      <c r="G138" s="234">
        <v>43298</v>
      </c>
      <c r="H138" s="157" t="s">
        <v>577</v>
      </c>
      <c r="I138" s="157" t="s">
        <v>509</v>
      </c>
      <c r="J138" s="237">
        <v>25030</v>
      </c>
      <c r="K138" s="175" t="s">
        <v>61</v>
      </c>
      <c r="L138" s="175" t="s">
        <v>439</v>
      </c>
      <c r="M138" s="175" t="s">
        <v>1343</v>
      </c>
      <c r="N138" s="180"/>
      <c r="O138" s="177"/>
      <c r="P138" s="181">
        <v>0</v>
      </c>
      <c r="Q138" s="177">
        <v>42944</v>
      </c>
      <c r="R138" s="178">
        <v>519.11969999999997</v>
      </c>
      <c r="S138" s="179">
        <v>215649.52646224198</v>
      </c>
      <c r="T138" s="182" t="s">
        <v>45</v>
      </c>
      <c r="U138" s="183">
        <v>3.347</v>
      </c>
      <c r="V138" s="179">
        <v>9773.7978333333322</v>
      </c>
      <c r="W138" s="179">
        <v>2778.1517688789995</v>
      </c>
      <c r="X138" s="186" t="s">
        <v>45</v>
      </c>
      <c r="Y138" s="183">
        <v>3.347</v>
      </c>
      <c r="Z138" s="220" t="s">
        <v>473</v>
      </c>
      <c r="AA138" s="172">
        <f>Delivery[[#This Row],[Quantity delivered]]*VLOOKUP(Delivery[[#This Row],[Unit]],Tab_Conversão[],4,FALSE)*VLOOKUP(CONCATENATE(Delivery[[#This Row],[Coffee specie]],Delivery[[#This Row],[Coffee state]]),Tab_Conversão[],4,FALSE)</f>
        <v>25030</v>
      </c>
      <c r="AB138" s="169">
        <f>SUMIF(Allocation!C:C,Delivery[[#This Row],[Delivery ID]],Allocation!D:D)/Delivery[[#This Row],[Quantity delivered]]</f>
        <v>1</v>
      </c>
      <c r="AC138" s="170">
        <f>Delivery[[#This Row],[Quantity delivered]]*Delivery[[#This Row],[Base price (Unidad)]]/60</f>
        <v>216559.43484999999</v>
      </c>
      <c r="AD138" s="171">
        <f>Delivery[[#This Row],[Nespresso total]]-Delivery[[#This Row],[Qt. Delivery * Base Price]]</f>
        <v>-909.9083877580124</v>
      </c>
      <c r="AE138" s="171">
        <f>Delivery[[#This Row],[AAA Premium (total)]]/Delivery[[#This Row],[Quantity delivered]]*60/Delivery[[#This Row],[Exchange rate VS USD]]</f>
        <v>7</v>
      </c>
      <c r="AF138" s="171">
        <f>Delivery[[#This Row],[BEN premium (total)]]/Delivery[[#This Row],[Quantity delivered]]*60/Delivery[[#This Row],[Exchange rate for premiums VS USD]]</f>
        <v>1.9897139999999998</v>
      </c>
      <c r="AG138" s="171">
        <f>COUNTIF(Delivery[Delivery ID],Delivery[[#This Row],[Delivery ID]])</f>
        <v>1</v>
      </c>
      <c r="AH138" s="171">
        <f>(Delivery[[#This Row],[Nespresso total]]/SUMIF(Allocation!C:C,Delivery[Delivery ID],Allocation!H:H))/Delivery[[#This Row],[Exchange rate VS USD]]</f>
        <v>8.5599431514625035</v>
      </c>
      <c r="AI138" s="171">
        <f>(Delivery[[#This Row],[AAA Premium (total)]]/SUMIF(Allocation!C:C,Delivery[Delivery ID],Allocation!H:H))/Delivery[[#This Row],[Exchange rate VS USD]]</f>
        <v>0.38795890350294493</v>
      </c>
      <c r="AJ138" s="171">
        <f>Delivery[[#This Row],[Valor Prêmio Nespresso AAA por Kg (em US$)]]*60</f>
        <v>23.277534210176697</v>
      </c>
      <c r="AK138" s="171">
        <f>Delivery[[#This Row],[Valor Prêmio Nespresso AAA por saca (em US$)]]/1.3228/100</f>
        <v>0.17597168287100617</v>
      </c>
      <c r="AL138" s="171">
        <f>(Delivery[[#This Row],[BEN premium (total)]]/SUMIF(Allocation!C:C,Delivery[Delivery ID],Allocation!H:H))/Delivery[[#This Row],[Exchange rate for premiums VS USD]]</f>
        <v>0.11027532310349407</v>
      </c>
      <c r="AM138" s="171">
        <f>Delivery[[#This Row],[Valor Prêmio Nespresso BEN por Kg (em US$)]]*60</f>
        <v>6.6165193862096441</v>
      </c>
      <c r="AN138" s="171">
        <f>Delivery[[#This Row],[Valor Prêmio Nespresso BEN por saca (em US$)]]/1.3228/100</f>
        <v>5.001904585885731E-2</v>
      </c>
      <c r="AO138" s="171">
        <f>SUMIF(Allocation[Delivery ID],Delivery[[#This Row],[Delivery ID]],Allocation[Quantity allocated])*16*1.3228*Delivery[[#This Row],[Exchange rate VS USD]]/60</f>
        <v>8886.7005635199985</v>
      </c>
      <c r="AP138" s="171">
        <f>Delivery[[#This Row],[AAA Premium (total)]]</f>
        <v>9773.7978333333322</v>
      </c>
      <c r="AQ138" s="171">
        <f>Delivery[[#This Row],[Valor pago pelo Cluster]]-Delivery[[#This Row],[Valor efetivamente pago pela Nespresso]]</f>
        <v>887.0972698133337</v>
      </c>
    </row>
    <row r="139" spans="1:43" ht="15.75">
      <c r="A139" s="174" t="s">
        <v>69</v>
      </c>
      <c r="B139" s="232" t="s">
        <v>68</v>
      </c>
      <c r="C139" s="157" t="s">
        <v>1344</v>
      </c>
      <c r="D139" s="157" t="s">
        <v>468</v>
      </c>
      <c r="E139" s="177" t="s">
        <v>468</v>
      </c>
      <c r="F139" s="233" t="s">
        <v>543</v>
      </c>
      <c r="G139" s="234">
        <v>43299</v>
      </c>
      <c r="H139" s="235" t="s">
        <v>1402</v>
      </c>
      <c r="I139" s="157" t="s">
        <v>1403</v>
      </c>
      <c r="J139" s="237">
        <v>4800</v>
      </c>
      <c r="K139" s="175" t="s">
        <v>61</v>
      </c>
      <c r="L139" s="175" t="s">
        <v>439</v>
      </c>
      <c r="M139" s="175" t="s">
        <v>1343</v>
      </c>
      <c r="N139" s="180"/>
      <c r="O139" s="177"/>
      <c r="P139" s="181">
        <v>0</v>
      </c>
      <c r="Q139" s="177">
        <v>43292</v>
      </c>
      <c r="R139" s="178">
        <v>424.81191999999999</v>
      </c>
      <c r="S139" s="179">
        <v>35906.879999999997</v>
      </c>
      <c r="T139" s="182" t="s">
        <v>45</v>
      </c>
      <c r="U139" s="183">
        <v>3.8672</v>
      </c>
      <c r="V139" s="179">
        <v>3093.6</v>
      </c>
      <c r="W139" s="179">
        <v>0</v>
      </c>
      <c r="X139" s="186" t="s">
        <v>45</v>
      </c>
      <c r="Y139" s="183">
        <v>3.8672</v>
      </c>
      <c r="Z139" s="220"/>
      <c r="AA139" s="172">
        <f>Delivery[[#This Row],[Quantity delivered]]*VLOOKUP(Delivery[[#This Row],[Unit]],Tab_Conversão[],4,FALSE)*VLOOKUP(CONCATENATE(Delivery[[#This Row],[Coffee specie]],Delivery[[#This Row],[Coffee state]]),Tab_Conversão[],4,FALSE)</f>
        <v>4800</v>
      </c>
      <c r="AB139" s="169">
        <f>SUMIF(Allocation!C:C,Delivery[[#This Row],[Delivery ID]],Allocation!D:D)/Delivery[[#This Row],[Quantity delivered]]</f>
        <v>0.54500000000000004</v>
      </c>
      <c r="AC139" s="170">
        <f>Delivery[[#This Row],[Quantity delivered]]*Delivery[[#This Row],[Base price (Unidad)]]/60</f>
        <v>33984.953600000001</v>
      </c>
      <c r="AD139" s="171">
        <f>Delivery[[#This Row],[Nespresso total]]-Delivery[[#This Row],[Qt. Delivery * Base Price]]</f>
        <v>1921.9263999999966</v>
      </c>
      <c r="AE139" s="171">
        <f>Delivery[[#This Row],[AAA Premium (total)]]/Delivery[[#This Row],[Quantity delivered]]*60/Delivery[[#This Row],[Exchange rate VS USD]]</f>
        <v>9.9994828299544878</v>
      </c>
      <c r="AF139" s="171">
        <f>Delivery[[#This Row],[BEN premium (total)]]/Delivery[[#This Row],[Quantity delivered]]*60/Delivery[[#This Row],[Exchange rate for premiums VS USD]]</f>
        <v>0</v>
      </c>
      <c r="AG139" s="171">
        <f>COUNTIF(Delivery[Delivery ID],Delivery[[#This Row],[Delivery ID]])</f>
        <v>1</v>
      </c>
      <c r="AH139" s="171">
        <f>(Delivery[[#This Row],[Nespresso total]]/SUMIF(Allocation!C:C,Delivery[Delivery ID],Allocation!H:H))/Delivery[[#This Row],[Exchange rate VS USD]]</f>
        <v>7.0986096191730583</v>
      </c>
      <c r="AI139" s="171">
        <f>(Delivery[[#This Row],[AAA Premium (total)]]/SUMIF(Allocation!C:C,Delivery[Delivery ID],Allocation!H:H))/Delivery[[#This Row],[Exchange rate VS USD]]</f>
        <v>0.61158916391158957</v>
      </c>
      <c r="AJ139" s="171">
        <f>Delivery[[#This Row],[Valor Prêmio Nespresso AAA por Kg (em US$)]]*60</f>
        <v>36.695349834695378</v>
      </c>
      <c r="AK139" s="171">
        <f>Delivery[[#This Row],[Valor Prêmio Nespresso AAA por saca (em US$)]]/1.3228/100</f>
        <v>0.27740663618608541</v>
      </c>
      <c r="AL139" s="171">
        <f>(Delivery[[#This Row],[BEN premium (total)]]/SUMIF(Allocation!C:C,Delivery[Delivery ID],Allocation!H:H))/Delivery[[#This Row],[Exchange rate for premiums VS USD]]</f>
        <v>0</v>
      </c>
      <c r="AM139" s="171">
        <f>Delivery[[#This Row],[Valor Prêmio Nespresso BEN por Kg (em US$)]]*60</f>
        <v>0</v>
      </c>
      <c r="AN139" s="171">
        <f>Delivery[[#This Row],[Valor Prêmio Nespresso BEN por saca (em US$)]]/1.3228/100</f>
        <v>0</v>
      </c>
      <c r="AO139" s="171">
        <f>SUMIF(Allocation[Delivery ID],Delivery[[#This Row],[Delivery ID]],Allocation[Quantity allocated])*16*1.3228*Delivery[[#This Row],[Exchange rate VS USD]]/60</f>
        <v>1784.297617408</v>
      </c>
      <c r="AP139" s="171">
        <f>Delivery[[#This Row],[AAA Premium (total)]]</f>
        <v>3093.6</v>
      </c>
      <c r="AQ139" s="171">
        <f>Delivery[[#This Row],[Valor pago pelo Cluster]]-Delivery[[#This Row],[Valor efetivamente pago pela Nespresso]]</f>
        <v>1309.302382592</v>
      </c>
    </row>
    <row r="140" spans="1:43" ht="15.75">
      <c r="A140" s="174" t="s">
        <v>69</v>
      </c>
      <c r="B140" s="232" t="s">
        <v>68</v>
      </c>
      <c r="C140" s="157">
        <v>1</v>
      </c>
      <c r="D140" s="157" t="s">
        <v>468</v>
      </c>
      <c r="E140" s="177" t="s">
        <v>468</v>
      </c>
      <c r="F140" s="233" t="s">
        <v>543</v>
      </c>
      <c r="G140" s="234">
        <v>43299</v>
      </c>
      <c r="H140" s="157" t="s">
        <v>578</v>
      </c>
      <c r="I140" s="157" t="s">
        <v>556</v>
      </c>
      <c r="J140" s="237">
        <v>1190</v>
      </c>
      <c r="K140" s="175" t="s">
        <v>61</v>
      </c>
      <c r="L140" s="175" t="s">
        <v>439</v>
      </c>
      <c r="M140" s="175" t="s">
        <v>1343</v>
      </c>
      <c r="N140" s="180"/>
      <c r="O140" s="177"/>
      <c r="P140" s="181">
        <v>0</v>
      </c>
      <c r="Q140" s="177">
        <v>43237</v>
      </c>
      <c r="R140" s="178">
        <v>460.84354999999999</v>
      </c>
      <c r="S140" s="179">
        <v>9126.9298573966007</v>
      </c>
      <c r="T140" s="182" t="s">
        <v>45</v>
      </c>
      <c r="U140" s="183">
        <v>3.7269999999999999</v>
      </c>
      <c r="V140" s="179">
        <v>517.19000000000005</v>
      </c>
      <c r="W140" s="179">
        <v>161.78507130170001</v>
      </c>
      <c r="X140" s="186" t="s">
        <v>45</v>
      </c>
      <c r="Y140" s="183">
        <v>3.7269999999999999</v>
      </c>
      <c r="Z140" s="220" t="s">
        <v>473</v>
      </c>
      <c r="AA140" s="172">
        <f>Delivery[[#This Row],[Quantity delivered]]*VLOOKUP(Delivery[[#This Row],[Unit]],Tab_Conversão[],4,FALSE)*VLOOKUP(CONCATENATE(Delivery[[#This Row],[Coffee specie]],Delivery[[#This Row],[Coffee state]]),Tab_Conversão[],4,FALSE)</f>
        <v>1190</v>
      </c>
      <c r="AB140" s="169">
        <f>SUMIF(Allocation!C:C,Delivery[[#This Row],[Delivery ID]],Allocation!D:D)/Delivery[[#This Row],[Quantity delivered]]</f>
        <v>1</v>
      </c>
      <c r="AC140" s="170">
        <f>Delivery[[#This Row],[Quantity delivered]]*Delivery[[#This Row],[Base price (Unidad)]]/60</f>
        <v>9140.0637416666668</v>
      </c>
      <c r="AD140" s="171">
        <f>Delivery[[#This Row],[Nespresso total]]-Delivery[[#This Row],[Qt. Delivery * Base Price]]</f>
        <v>-13.133884270066119</v>
      </c>
      <c r="AE140" s="171">
        <f>Delivery[[#This Row],[AAA Premium (total)]]/Delivery[[#This Row],[Quantity delivered]]*60/Delivery[[#This Row],[Exchange rate VS USD]]</f>
        <v>6.9967283935307441</v>
      </c>
      <c r="AF140" s="171">
        <f>Delivery[[#This Row],[BEN premium (total)]]/Delivery[[#This Row],[Quantity delivered]]*60/Delivery[[#This Row],[Exchange rate for premiums VS USD]]</f>
        <v>2.1886853999999998</v>
      </c>
      <c r="AG140" s="171">
        <f>COUNTIF(Delivery[Delivery ID],Delivery[[#This Row],[Delivery ID]])</f>
        <v>1</v>
      </c>
      <c r="AH140" s="171">
        <f>(Delivery[[#This Row],[Nespresso total]]/SUMIF(Allocation!C:C,Delivery[Delivery ID],Allocation!H:H))/Delivery[[#This Row],[Exchange rate VS USD]]</f>
        <v>5.9874515495505936</v>
      </c>
      <c r="AI140" s="171">
        <f>(Delivery[[#This Row],[AAA Premium (total)]]/SUMIF(Allocation!C:C,Delivery[Delivery ID],Allocation!H:H))/Delivery[[#This Row],[Exchange rate VS USD]]</f>
        <v>0.33928715518751362</v>
      </c>
      <c r="AJ140" s="171">
        <f>Delivery[[#This Row],[Valor Prêmio Nespresso AAA por Kg (em US$)]]*60</f>
        <v>20.357229311250819</v>
      </c>
      <c r="AK140" s="171">
        <f>Delivery[[#This Row],[Valor Prêmio Nespresso AAA por saca (em US$)]]/1.3228/100</f>
        <v>0.15389499025741471</v>
      </c>
      <c r="AL140" s="171">
        <f>(Delivery[[#This Row],[BEN premium (total)]]/SUMIF(Allocation!C:C,Delivery[Delivery ID],Allocation!H:H))/Delivery[[#This Row],[Exchange rate for premiums VS USD]]</f>
        <v>0.10613429608801958</v>
      </c>
      <c r="AM140" s="171">
        <f>Delivery[[#This Row],[Valor Prêmio Nespresso BEN por Kg (em US$)]]*60</f>
        <v>6.3680577652811747</v>
      </c>
      <c r="AN140" s="171">
        <f>Delivery[[#This Row],[Valor Prêmio Nespresso BEN por saca (em US$)]]/1.3228/100</f>
        <v>4.8140745126105042E-2</v>
      </c>
      <c r="AO140" s="171">
        <f>SUMIF(Allocation[Delivery ID],Delivery[[#This Row],[Delivery ID]],Allocation[Quantity allocated])*16*1.3228*Delivery[[#This Row],[Exchange rate VS USD]]/60</f>
        <v>537.70691210666666</v>
      </c>
      <c r="AP140" s="171">
        <f>Delivery[[#This Row],[AAA Premium (total)]]</f>
        <v>517.19000000000005</v>
      </c>
      <c r="AQ140" s="171">
        <f>Delivery[[#This Row],[Valor pago pelo Cluster]]-Delivery[[#This Row],[Valor efetivamente pago pela Nespresso]]</f>
        <v>-20.516912106666609</v>
      </c>
    </row>
    <row r="141" spans="1:43" ht="15.75">
      <c r="A141" s="174" t="s">
        <v>69</v>
      </c>
      <c r="B141" s="232" t="s">
        <v>68</v>
      </c>
      <c r="C141" s="157">
        <v>1</v>
      </c>
      <c r="D141" s="157" t="s">
        <v>468</v>
      </c>
      <c r="E141" s="177" t="s">
        <v>468</v>
      </c>
      <c r="F141" s="233" t="s">
        <v>543</v>
      </c>
      <c r="G141" s="234">
        <v>43299</v>
      </c>
      <c r="H141" s="157" t="s">
        <v>579</v>
      </c>
      <c r="I141" s="157" t="s">
        <v>556</v>
      </c>
      <c r="J141" s="237">
        <v>19220</v>
      </c>
      <c r="K141" s="175" t="s">
        <v>61</v>
      </c>
      <c r="L141" s="175" t="s">
        <v>439</v>
      </c>
      <c r="M141" s="175" t="s">
        <v>1343</v>
      </c>
      <c r="N141" s="180"/>
      <c r="O141" s="177"/>
      <c r="P141" s="181">
        <v>0</v>
      </c>
      <c r="Q141" s="177">
        <v>43237</v>
      </c>
      <c r="R141" s="178">
        <v>460.84354999999999</v>
      </c>
      <c r="S141" s="179">
        <v>147411.48433543078</v>
      </c>
      <c r="T141" s="182" t="s">
        <v>45</v>
      </c>
      <c r="U141" s="183">
        <v>3.7269999999999999</v>
      </c>
      <c r="V141" s="179">
        <v>8353.23</v>
      </c>
      <c r="W141" s="179">
        <v>2613.0328322845999</v>
      </c>
      <c r="X141" s="186" t="s">
        <v>45</v>
      </c>
      <c r="Y141" s="183">
        <v>3.7269999999999999</v>
      </c>
      <c r="Z141" s="220" t="s">
        <v>473</v>
      </c>
      <c r="AA141" s="172">
        <f>Delivery[[#This Row],[Quantity delivered]]*VLOOKUP(Delivery[[#This Row],[Unit]],Tab_Conversão[],4,FALSE)*VLOOKUP(CONCATENATE(Delivery[[#This Row],[Coffee specie]],Delivery[[#This Row],[Coffee state]]),Tab_Conversão[],4,FALSE)</f>
        <v>19220</v>
      </c>
      <c r="AB141" s="169">
        <f>SUMIF(Allocation!C:C,Delivery[[#This Row],[Delivery ID]],Allocation!D:D)/Delivery[[#This Row],[Quantity delivered]]</f>
        <v>0.80801248699271588</v>
      </c>
      <c r="AC141" s="170">
        <f>Delivery[[#This Row],[Quantity delivered]]*Delivery[[#This Row],[Base price (Unidad)]]/60</f>
        <v>147623.55051666667</v>
      </c>
      <c r="AD141" s="171">
        <f>Delivery[[#This Row],[Nespresso total]]-Delivery[[#This Row],[Qt. Delivery * Base Price]]</f>
        <v>-212.06618123588851</v>
      </c>
      <c r="AE141" s="171">
        <f>Delivery[[#This Row],[AAA Premium (total)]]/Delivery[[#This Row],[Quantity delivered]]*60/Delivery[[#This Row],[Exchange rate VS USD]]</f>
        <v>6.9966945374572092</v>
      </c>
      <c r="AF141" s="171">
        <f>Delivery[[#This Row],[BEN premium (total)]]/Delivery[[#This Row],[Quantity delivered]]*60/Delivery[[#This Row],[Exchange rate for premiums VS USD]]</f>
        <v>2.1886853999999998</v>
      </c>
      <c r="AG141" s="171">
        <f>COUNTIF(Delivery[Delivery ID],Delivery[[#This Row],[Delivery ID]])</f>
        <v>1</v>
      </c>
      <c r="AH141" s="171">
        <f>(Delivery[[#This Row],[Nespresso total]]/SUMIF(Allocation!C:C,Delivery[Delivery ID],Allocation!H:H))/Delivery[[#This Row],[Exchange rate VS USD]]</f>
        <v>7.7175252094697644</v>
      </c>
      <c r="AI141" s="171">
        <f>(Delivery[[#This Row],[AAA Premium (total)]]/SUMIF(Allocation!C:C,Delivery[Delivery ID],Allocation!H:H))/Delivery[[#This Row],[Exchange rate VS USD]]</f>
        <v>0.4373218504387888</v>
      </c>
      <c r="AJ141" s="171">
        <f>Delivery[[#This Row],[Valor Prêmio Nespresso AAA por Kg (em US$)]]*60</f>
        <v>26.239311026327329</v>
      </c>
      <c r="AK141" s="171">
        <f>Delivery[[#This Row],[Valor Prêmio Nespresso AAA por saca (em US$)]]/1.3228/100</f>
        <v>0.19836189164142218</v>
      </c>
      <c r="AL141" s="171">
        <f>(Delivery[[#This Row],[BEN premium (total)]]/SUMIF(Allocation!C:C,Delivery[Delivery ID],Allocation!H:H))/Delivery[[#This Row],[Exchange rate for premiums VS USD]]</f>
        <v>0.13680173459512196</v>
      </c>
      <c r="AM141" s="171">
        <f>Delivery[[#This Row],[Valor Prêmio Nespresso BEN por Kg (em US$)]]*60</f>
        <v>8.2081040757073183</v>
      </c>
      <c r="AN141" s="171">
        <f>Delivery[[#This Row],[Valor Prêmio Nespresso BEN por saca (em US$)]]/1.3228/100</f>
        <v>6.2050983336160555E-2</v>
      </c>
      <c r="AO141" s="171">
        <f>SUMIF(Allocation[Delivery ID],Delivery[[#This Row],[Delivery ID]],Allocation[Quantity allocated])*16*1.3228*Delivery[[#This Row],[Exchange rate VS USD]]/60</f>
        <v>6737.7699866666662</v>
      </c>
      <c r="AP141" s="171">
        <f>Delivery[[#This Row],[AAA Premium (total)]]</f>
        <v>8353.23</v>
      </c>
      <c r="AQ141" s="171">
        <f>Delivery[[#This Row],[Valor pago pelo Cluster]]-Delivery[[#This Row],[Valor efetivamente pago pela Nespresso]]</f>
        <v>1615.4600133333333</v>
      </c>
    </row>
    <row r="142" spans="1:43" ht="15.75">
      <c r="A142" s="174" t="s">
        <v>69</v>
      </c>
      <c r="B142" s="232" t="s">
        <v>68</v>
      </c>
      <c r="C142" s="157">
        <v>1</v>
      </c>
      <c r="D142" s="157" t="s">
        <v>468</v>
      </c>
      <c r="E142" s="177" t="s">
        <v>468</v>
      </c>
      <c r="F142" s="233" t="s">
        <v>543</v>
      </c>
      <c r="G142" s="234">
        <v>43299</v>
      </c>
      <c r="H142" s="157" t="s">
        <v>580</v>
      </c>
      <c r="I142" s="157" t="s">
        <v>556</v>
      </c>
      <c r="J142" s="237">
        <v>18730</v>
      </c>
      <c r="K142" s="175" t="s">
        <v>61</v>
      </c>
      <c r="L142" s="175" t="s">
        <v>439</v>
      </c>
      <c r="M142" s="175" t="s">
        <v>1343</v>
      </c>
      <c r="N142" s="180"/>
      <c r="O142" s="177"/>
      <c r="P142" s="181">
        <v>0</v>
      </c>
      <c r="Q142" s="177">
        <v>43237</v>
      </c>
      <c r="R142" s="178">
        <v>460.84354999999999</v>
      </c>
      <c r="S142" s="179">
        <v>143653.3391000322</v>
      </c>
      <c r="T142" s="182" t="s">
        <v>45</v>
      </c>
      <c r="U142" s="183">
        <v>3.7269999999999999</v>
      </c>
      <c r="V142" s="179">
        <v>8140.27</v>
      </c>
      <c r="W142" s="179">
        <v>2546.4154499839001</v>
      </c>
      <c r="X142" s="186" t="s">
        <v>45</v>
      </c>
      <c r="Y142" s="183">
        <v>3.7269999999999999</v>
      </c>
      <c r="Z142" s="220" t="s">
        <v>473</v>
      </c>
      <c r="AA142" s="172">
        <f>Delivery[[#This Row],[Quantity delivered]]*VLOOKUP(Delivery[[#This Row],[Unit]],Tab_Conversão[],4,FALSE)*VLOOKUP(CONCATENATE(Delivery[[#This Row],[Coffee specie]],Delivery[[#This Row],[Coffee state]]),Tab_Conversão[],4,FALSE)</f>
        <v>18730</v>
      </c>
      <c r="AB142" s="169">
        <f>SUMIF(Allocation!C:C,Delivery[[#This Row],[Delivery ID]],Allocation!D:D)/Delivery[[#This Row],[Quantity delivered]]</f>
        <v>0.67207688200747462</v>
      </c>
      <c r="AC142" s="170">
        <f>Delivery[[#This Row],[Quantity delivered]]*Delivery[[#This Row],[Base price (Unidad)]]/60</f>
        <v>143859.99485833335</v>
      </c>
      <c r="AD142" s="171">
        <f>Delivery[[#This Row],[Nespresso total]]-Delivery[[#This Row],[Qt. Delivery * Base Price]]</f>
        <v>-206.6557583011454</v>
      </c>
      <c r="AE142" s="171">
        <f>Delivery[[#This Row],[AAA Premium (total)]]/Delivery[[#This Row],[Quantity delivered]]*60/Delivery[[#This Row],[Exchange rate VS USD]]</f>
        <v>6.9966941573381707</v>
      </c>
      <c r="AF142" s="171">
        <f>Delivery[[#This Row],[BEN premium (total)]]/Delivery[[#This Row],[Quantity delivered]]*60/Delivery[[#This Row],[Exchange rate for premiums VS USD]]</f>
        <v>2.1886853999999998</v>
      </c>
      <c r="AG142" s="171">
        <f>COUNTIF(Delivery[Delivery ID],Delivery[[#This Row],[Delivery ID]])</f>
        <v>1</v>
      </c>
      <c r="AH142" s="171">
        <f>(Delivery[[#This Row],[Nespresso total]]/SUMIF(Allocation!C:C,Delivery[Delivery ID],Allocation!H:H))/Delivery[[#This Row],[Exchange rate VS USD]]</f>
        <v>9.2787578354128222</v>
      </c>
      <c r="AI142" s="171">
        <f>(Delivery[[#This Row],[AAA Premium (total)]]/SUMIF(Allocation!C:C,Delivery[Delivery ID],Allocation!H:H))/Delivery[[#This Row],[Exchange rate VS USD]]</f>
        <v>0.52579073008724098</v>
      </c>
      <c r="AJ142" s="171">
        <f>Delivery[[#This Row],[Valor Prêmio Nespresso AAA por Kg (em US$)]]*60</f>
        <v>31.547443805234458</v>
      </c>
      <c r="AK142" s="171">
        <f>Delivery[[#This Row],[Valor Prêmio Nespresso AAA por saca (em US$)]]/1.3228/100</f>
        <v>0.23848989873929891</v>
      </c>
      <c r="AL142" s="171">
        <f>(Delivery[[#This Row],[BEN premium (total)]]/SUMIF(Allocation!C:C,Delivery[Delivery ID],Allocation!H:H))/Delivery[[#This Row],[Exchange rate for premiums VS USD]]</f>
        <v>0.16447631817525279</v>
      </c>
      <c r="AM142" s="171">
        <f>Delivery[[#This Row],[Valor Prêmio Nespresso BEN por Kg (em US$)]]*60</f>
        <v>9.8685790905151674</v>
      </c>
      <c r="AN142" s="171">
        <f>Delivery[[#This Row],[Valor Prêmio Nespresso BEN por saca (em US$)]]/1.3228/100</f>
        <v>7.4603712507674377E-2</v>
      </c>
      <c r="AO142" s="171">
        <f>SUMIF(Allocation[Delivery ID],Delivery[[#This Row],[Delivery ID]],Allocation[Quantity allocated])*16*1.3228*Delivery[[#This Row],[Exchange rate VS USD]]/60</f>
        <v>5461.2090779733326</v>
      </c>
      <c r="AP142" s="171">
        <f>Delivery[[#This Row],[AAA Premium (total)]]</f>
        <v>8140.27</v>
      </c>
      <c r="AQ142" s="171">
        <f>Delivery[[#This Row],[Valor pago pelo Cluster]]-Delivery[[#This Row],[Valor efetivamente pago pela Nespresso]]</f>
        <v>2679.0609220266679</v>
      </c>
    </row>
    <row r="143" spans="1:43" ht="15.75">
      <c r="A143" s="174" t="s">
        <v>69</v>
      </c>
      <c r="B143" s="232" t="s">
        <v>68</v>
      </c>
      <c r="C143" s="157" t="s">
        <v>1344</v>
      </c>
      <c r="D143" s="157" t="s">
        <v>468</v>
      </c>
      <c r="E143" s="177" t="s">
        <v>468</v>
      </c>
      <c r="F143" s="233" t="s">
        <v>543</v>
      </c>
      <c r="G143" s="234">
        <v>43299</v>
      </c>
      <c r="H143" s="235" t="s">
        <v>1404</v>
      </c>
      <c r="I143" s="157" t="s">
        <v>1405</v>
      </c>
      <c r="J143" s="237">
        <v>11890</v>
      </c>
      <c r="K143" s="175" t="s">
        <v>61</v>
      </c>
      <c r="L143" s="175" t="s">
        <v>439</v>
      </c>
      <c r="M143" s="175" t="s">
        <v>1343</v>
      </c>
      <c r="N143" s="180"/>
      <c r="O143" s="177"/>
      <c r="P143" s="181">
        <v>0</v>
      </c>
      <c r="Q143" s="177">
        <v>43252</v>
      </c>
      <c r="R143" s="178">
        <v>487.23968000000002</v>
      </c>
      <c r="S143" s="179">
        <v>94341.205000000002</v>
      </c>
      <c r="T143" s="182" t="s">
        <v>45</v>
      </c>
      <c r="U143" s="183">
        <v>3.7888000000000002</v>
      </c>
      <c r="V143" s="179">
        <v>5255.6970666666666</v>
      </c>
      <c r="W143" s="179">
        <v>0</v>
      </c>
      <c r="X143" s="186" t="s">
        <v>45</v>
      </c>
      <c r="Y143" s="183">
        <v>3.7888000000000002</v>
      </c>
      <c r="Z143" s="220"/>
      <c r="AA143" s="172">
        <f>Delivery[[#This Row],[Quantity delivered]]*VLOOKUP(Delivery[[#This Row],[Unit]],Tab_Conversão[],4,FALSE)*VLOOKUP(CONCATENATE(Delivery[[#This Row],[Coffee specie]],Delivery[[#This Row],[Coffee state]]),Tab_Conversão[],4,FALSE)</f>
        <v>11890</v>
      </c>
      <c r="AB143" s="169">
        <f>SUMIF(Allocation!C:C,Delivery[[#This Row],[Delivery ID]],Allocation!D:D)/Delivery[[#This Row],[Quantity delivered]]</f>
        <v>0.82674516400336417</v>
      </c>
      <c r="AC143" s="170">
        <f>Delivery[[#This Row],[Quantity delivered]]*Delivery[[#This Row],[Base price (Unidad)]]/60</f>
        <v>96554.663253333347</v>
      </c>
      <c r="AD143" s="171">
        <f>Delivery[[#This Row],[Nespresso total]]-Delivery[[#This Row],[Qt. Delivery * Base Price]]</f>
        <v>-2213.4582533333451</v>
      </c>
      <c r="AE143" s="171">
        <f>Delivery[[#This Row],[AAA Premium (total)]]/Delivery[[#This Row],[Quantity delivered]]*60/Delivery[[#This Row],[Exchange rate VS USD]]</f>
        <v>6.9999999999999991</v>
      </c>
      <c r="AF143" s="171">
        <f>Delivery[[#This Row],[BEN premium (total)]]/Delivery[[#This Row],[Quantity delivered]]*60/Delivery[[#This Row],[Exchange rate for premiums VS USD]]</f>
        <v>0</v>
      </c>
      <c r="AG143" s="171">
        <f>COUNTIF(Delivery[Delivery ID],Delivery[[#This Row],[Delivery ID]])</f>
        <v>1</v>
      </c>
      <c r="AH143" s="171">
        <f>(Delivery[[#This Row],[Nespresso total]]/SUMIF(Allocation!C:C,Delivery[Delivery ID],Allocation!H:H))/Delivery[[#This Row],[Exchange rate VS USD]]</f>
        <v>7.6757159169370892</v>
      </c>
      <c r="AI143" s="171">
        <f>(Delivery[[#This Row],[AAA Premium (total)]]/SUMIF(Allocation!C:C,Delivery[Delivery ID],Allocation!H:H))/Delivery[[#This Row],[Exchange rate VS USD]]</f>
        <v>0.42760994656802298</v>
      </c>
      <c r="AJ143" s="171">
        <f>Delivery[[#This Row],[Valor Prêmio Nespresso AAA por Kg (em US$)]]*60</f>
        <v>25.656596794081381</v>
      </c>
      <c r="AK143" s="171">
        <f>Delivery[[#This Row],[Valor Prêmio Nespresso AAA por saca (em US$)]]/1.3228/100</f>
        <v>0.19395673415543832</v>
      </c>
      <c r="AL143" s="171">
        <f>(Delivery[[#This Row],[BEN premium (total)]]/SUMIF(Allocation!C:C,Delivery[Delivery ID],Allocation!H:H))/Delivery[[#This Row],[Exchange rate for premiums VS USD]]</f>
        <v>0</v>
      </c>
      <c r="AM143" s="171">
        <f>Delivery[[#This Row],[Valor Prêmio Nespresso BEN por Kg (em US$)]]*60</f>
        <v>0</v>
      </c>
      <c r="AN143" s="171">
        <f>Delivery[[#This Row],[Valor Prêmio Nespresso BEN por saca (em US$)]]/1.3228/100</f>
        <v>0</v>
      </c>
      <c r="AO143" s="171">
        <f>SUMIF(Allocation[Delivery ID],Delivery[[#This Row],[Delivery ID]],Allocation[Quantity allocated])*16*1.3228*Delivery[[#This Row],[Exchange rate VS USD]]/60</f>
        <v>4335.5624352426667</v>
      </c>
      <c r="AP143" s="171">
        <f>Delivery[[#This Row],[AAA Premium (total)]]</f>
        <v>5255.6970666666666</v>
      </c>
      <c r="AQ143" s="171">
        <f>Delivery[[#This Row],[Valor pago pelo Cluster]]-Delivery[[#This Row],[Valor efetivamente pago pela Nespresso]]</f>
        <v>920.13463142399996</v>
      </c>
    </row>
    <row r="144" spans="1:43" ht="15.75">
      <c r="A144" s="174" t="s">
        <v>69</v>
      </c>
      <c r="B144" s="232" t="s">
        <v>68</v>
      </c>
      <c r="C144" s="157">
        <v>1</v>
      </c>
      <c r="D144" s="157" t="s">
        <v>468</v>
      </c>
      <c r="E144" s="177" t="s">
        <v>468</v>
      </c>
      <c r="F144" s="233" t="s">
        <v>543</v>
      </c>
      <c r="G144" s="234">
        <v>43299</v>
      </c>
      <c r="H144" s="157" t="s">
        <v>581</v>
      </c>
      <c r="I144" s="157" t="s">
        <v>552</v>
      </c>
      <c r="J144" s="237">
        <v>23010</v>
      </c>
      <c r="K144" s="175" t="s">
        <v>61</v>
      </c>
      <c r="L144" s="175" t="s">
        <v>439</v>
      </c>
      <c r="M144" s="175" t="s">
        <v>1343</v>
      </c>
      <c r="N144" s="180"/>
      <c r="O144" s="177"/>
      <c r="P144" s="181">
        <v>0</v>
      </c>
      <c r="Q144" s="177">
        <v>43045</v>
      </c>
      <c r="R144" s="178">
        <v>472.11320000000001</v>
      </c>
      <c r="S144" s="179">
        <v>185218.995</v>
      </c>
      <c r="T144" s="182" t="s">
        <v>45</v>
      </c>
      <c r="U144" s="183">
        <v>3.3904000000000001</v>
      </c>
      <c r="V144" s="179">
        <v>9100.3586034399996</v>
      </c>
      <c r="W144" s="179">
        <v>0</v>
      </c>
      <c r="X144" s="186" t="s">
        <v>45</v>
      </c>
      <c r="Y144" s="183">
        <v>3.3904000000000001</v>
      </c>
      <c r="Z144" s="220"/>
      <c r="AA144" s="172">
        <f>Delivery[[#This Row],[Quantity delivered]]*VLOOKUP(Delivery[[#This Row],[Unit]],Tab_Conversão[],4,FALSE)*VLOOKUP(CONCATENATE(Delivery[[#This Row],[Coffee specie]],Delivery[[#This Row],[Coffee state]]),Tab_Conversão[],4,FALSE)</f>
        <v>23010</v>
      </c>
      <c r="AB144" s="169">
        <f>SUMIF(Allocation!C:C,Delivery[[#This Row],[Delivery ID]],Allocation!D:D)/Delivery[[#This Row],[Quantity delivered]]</f>
        <v>0.67588005215123859</v>
      </c>
      <c r="AC144" s="170">
        <f>Delivery[[#This Row],[Quantity delivered]]*Delivery[[#This Row],[Base price (Unidad)]]/60</f>
        <v>181055.41220000002</v>
      </c>
      <c r="AD144" s="171">
        <f>Delivery[[#This Row],[Nespresso total]]-Delivery[[#This Row],[Qt. Delivery * Base Price]]</f>
        <v>4163.5827999999747</v>
      </c>
      <c r="AE144" s="171">
        <f>Delivery[[#This Row],[AAA Premium (total)]]/Delivery[[#This Row],[Quantity delivered]]*60/Delivery[[#This Row],[Exchange rate VS USD]]</f>
        <v>6.9991000000000003</v>
      </c>
      <c r="AF144" s="171">
        <f>Delivery[[#This Row],[BEN premium (total)]]/Delivery[[#This Row],[Quantity delivered]]*60/Delivery[[#This Row],[Exchange rate for premiums VS USD]]</f>
        <v>0</v>
      </c>
      <c r="AG144" s="171">
        <f>COUNTIF(Delivery[Delivery ID],Delivery[[#This Row],[Delivery ID]])</f>
        <v>1</v>
      </c>
      <c r="AH144" s="171">
        <f>(Delivery[[#This Row],[Nespresso total]]/SUMIF(Allocation!C:C,Delivery[Delivery ID],Allocation!H:H))/Delivery[[#This Row],[Exchange rate VS USD]]</f>
        <v>10.645055653448351</v>
      </c>
      <c r="AI144" s="171">
        <f>(Delivery[[#This Row],[AAA Premium (total)]]/SUMIF(Allocation!C:C,Delivery[Delivery ID],Allocation!H:H))/Delivery[[#This Row],[Exchange rate VS USD]]</f>
        <v>0.5230231586126266</v>
      </c>
      <c r="AJ144" s="171">
        <f>Delivery[[#This Row],[Valor Prêmio Nespresso AAA por Kg (em US$)]]*60</f>
        <v>31.381389516757597</v>
      </c>
      <c r="AK144" s="171">
        <f>Delivery[[#This Row],[Valor Prêmio Nespresso AAA por saca (em US$)]]/1.3228/100</f>
        <v>0.23723457451434529</v>
      </c>
      <c r="AL144" s="171">
        <f>(Delivery[[#This Row],[BEN premium (total)]]/SUMIF(Allocation!C:C,Delivery[Delivery ID],Allocation!H:H))/Delivery[[#This Row],[Exchange rate for premiums VS USD]]</f>
        <v>0</v>
      </c>
      <c r="AM144" s="171">
        <f>Delivery[[#This Row],[Valor Prêmio Nespresso BEN por Kg (em US$)]]*60</f>
        <v>0</v>
      </c>
      <c r="AN144" s="171">
        <f>Delivery[[#This Row],[Valor Prêmio Nespresso BEN por saca (em US$)]]/1.3228/100</f>
        <v>0</v>
      </c>
      <c r="AO144" s="171">
        <f>SUMIF(Allocation[Delivery ID],Delivery[[#This Row],[Delivery ID]],Allocation[Quantity allocated])*16*1.3228*Delivery[[#This Row],[Exchange rate VS USD]]/60</f>
        <v>6137.627196757333</v>
      </c>
      <c r="AP144" s="171">
        <f>Delivery[[#This Row],[AAA Premium (total)]]</f>
        <v>9100.3586034399996</v>
      </c>
      <c r="AQ144" s="171">
        <f>Delivery[[#This Row],[Valor pago pelo Cluster]]-Delivery[[#This Row],[Valor efetivamente pago pela Nespresso]]</f>
        <v>2962.7314066826666</v>
      </c>
    </row>
    <row r="145" spans="1:43" ht="15.75">
      <c r="A145" s="174" t="s">
        <v>69</v>
      </c>
      <c r="B145" s="232" t="s">
        <v>68</v>
      </c>
      <c r="C145" s="157">
        <v>1</v>
      </c>
      <c r="D145" s="157" t="s">
        <v>468</v>
      </c>
      <c r="E145" s="177" t="s">
        <v>468</v>
      </c>
      <c r="F145" s="233" t="s">
        <v>543</v>
      </c>
      <c r="G145" s="234">
        <v>43299</v>
      </c>
      <c r="H145" s="157" t="s">
        <v>582</v>
      </c>
      <c r="I145" s="157" t="s">
        <v>552</v>
      </c>
      <c r="J145" s="237">
        <v>8740</v>
      </c>
      <c r="K145" s="175" t="s">
        <v>61</v>
      </c>
      <c r="L145" s="175" t="s">
        <v>439</v>
      </c>
      <c r="M145" s="175" t="s">
        <v>1343</v>
      </c>
      <c r="N145" s="180"/>
      <c r="O145" s="177"/>
      <c r="P145" s="181">
        <v>0</v>
      </c>
      <c r="Q145" s="177">
        <v>43045</v>
      </c>
      <c r="R145" s="178">
        <v>472.11320000000001</v>
      </c>
      <c r="S145" s="179">
        <v>70352.63</v>
      </c>
      <c r="T145" s="182" t="s">
        <v>45</v>
      </c>
      <c r="U145" s="183">
        <v>3.3904000000000001</v>
      </c>
      <c r="V145" s="179">
        <v>3456.6333852266666</v>
      </c>
      <c r="W145" s="179">
        <v>0</v>
      </c>
      <c r="X145" s="186" t="s">
        <v>45</v>
      </c>
      <c r="Y145" s="183">
        <v>3.3904000000000001</v>
      </c>
      <c r="Z145" s="220"/>
      <c r="AA145" s="172">
        <f>Delivery[[#This Row],[Quantity delivered]]*VLOOKUP(Delivery[[#This Row],[Unit]],Tab_Conversão[],4,FALSE)*VLOOKUP(CONCATENATE(Delivery[[#This Row],[Coffee specie]],Delivery[[#This Row],[Coffee state]]),Tab_Conversão[],4,FALSE)</f>
        <v>8740</v>
      </c>
      <c r="AB145" s="169">
        <f>SUMIF(Allocation!C:C,Delivery[[#This Row],[Delivery ID]],Allocation!D:D)/Delivery[[#This Row],[Quantity delivered]]</f>
        <v>0.67265446224256298</v>
      </c>
      <c r="AC145" s="170">
        <f>Delivery[[#This Row],[Quantity delivered]]*Delivery[[#This Row],[Base price (Unidad)]]/60</f>
        <v>68771.156133333337</v>
      </c>
      <c r="AD145" s="171">
        <f>Delivery[[#This Row],[Nespresso total]]-Delivery[[#This Row],[Qt. Delivery * Base Price]]</f>
        <v>1581.4738666666672</v>
      </c>
      <c r="AE145" s="171">
        <f>Delivery[[#This Row],[AAA Premium (total)]]/Delivery[[#This Row],[Quantity delivered]]*60/Delivery[[#This Row],[Exchange rate VS USD]]</f>
        <v>6.9991000000000003</v>
      </c>
      <c r="AF145" s="171">
        <f>Delivery[[#This Row],[BEN premium (total)]]/Delivery[[#This Row],[Quantity delivered]]*60/Delivery[[#This Row],[Exchange rate for premiums VS USD]]</f>
        <v>0</v>
      </c>
      <c r="AG145" s="171">
        <f>COUNTIF(Delivery[Delivery ID],Delivery[[#This Row],[Delivery ID]])</f>
        <v>1</v>
      </c>
      <c r="AH145" s="171">
        <f>(Delivery[[#This Row],[Nespresso total]]/SUMIF(Allocation!C:C,Delivery[Delivery ID],Allocation!H:H))/Delivery[[#This Row],[Exchange rate VS USD]]</f>
        <v>10.696154515113625</v>
      </c>
      <c r="AI145" s="171">
        <f>(Delivery[[#This Row],[AAA Premium (total)]]/SUMIF(Allocation!C:C,Delivery[Delivery ID],Allocation!H:H))/Delivery[[#This Row],[Exchange rate VS USD]]</f>
        <v>0.52553379725085914</v>
      </c>
      <c r="AJ145" s="171">
        <f>Delivery[[#This Row],[Valor Prêmio Nespresso AAA por Kg (em US$)]]*60</f>
        <v>31.532027835051547</v>
      </c>
      <c r="AK145" s="171">
        <f>Delivery[[#This Row],[Valor Prêmio Nespresso AAA por saca (em US$)]]/1.3228/100</f>
        <v>0.2383733582934045</v>
      </c>
      <c r="AL145" s="171">
        <f>(Delivery[[#This Row],[BEN premium (total)]]/SUMIF(Allocation!C:C,Delivery[Delivery ID],Allocation!H:H))/Delivery[[#This Row],[Exchange rate for premiums VS USD]]</f>
        <v>0</v>
      </c>
      <c r="AM145" s="171">
        <f>Delivery[[#This Row],[Valor Prêmio Nespresso BEN por Kg (em US$)]]*60</f>
        <v>0</v>
      </c>
      <c r="AN145" s="171">
        <f>Delivery[[#This Row],[Valor Prêmio Nespresso BEN por saca (em US$)]]/1.3228/100</f>
        <v>0</v>
      </c>
      <c r="AO145" s="171">
        <f>SUMIF(Allocation[Delivery ID],Delivery[[#This Row],[Delivery ID]],Allocation[Quantity allocated])*16*1.3228*Delivery[[#This Row],[Exchange rate VS USD]]/60</f>
        <v>2320.1474594133333</v>
      </c>
      <c r="AP145" s="171">
        <f>Delivery[[#This Row],[AAA Premium (total)]]</f>
        <v>3456.6333852266666</v>
      </c>
      <c r="AQ145" s="171">
        <f>Delivery[[#This Row],[Valor pago pelo Cluster]]-Delivery[[#This Row],[Valor efetivamente pago pela Nespresso]]</f>
        <v>1136.4859258133333</v>
      </c>
    </row>
    <row r="146" spans="1:43" ht="15.75">
      <c r="A146" s="174" t="s">
        <v>69</v>
      </c>
      <c r="B146" s="232" t="s">
        <v>68</v>
      </c>
      <c r="C146" s="157">
        <v>1</v>
      </c>
      <c r="D146" s="157" t="s">
        <v>468</v>
      </c>
      <c r="E146" s="177" t="s">
        <v>468</v>
      </c>
      <c r="F146" s="233" t="s">
        <v>543</v>
      </c>
      <c r="G146" s="234">
        <v>43299</v>
      </c>
      <c r="H146" s="157" t="s">
        <v>583</v>
      </c>
      <c r="I146" s="157" t="s">
        <v>552</v>
      </c>
      <c r="J146" s="237">
        <v>23170</v>
      </c>
      <c r="K146" s="175" t="s">
        <v>61</v>
      </c>
      <c r="L146" s="175" t="s">
        <v>439</v>
      </c>
      <c r="M146" s="175" t="s">
        <v>1343</v>
      </c>
      <c r="N146" s="180"/>
      <c r="O146" s="177"/>
      <c r="P146" s="181">
        <v>0</v>
      </c>
      <c r="Q146" s="177">
        <v>43045</v>
      </c>
      <c r="R146" s="178">
        <v>472.11320000000001</v>
      </c>
      <c r="S146" s="179">
        <v>186506.91500000001</v>
      </c>
      <c r="T146" s="182" t="s">
        <v>45</v>
      </c>
      <c r="U146" s="183">
        <v>3.3904000000000001</v>
      </c>
      <c r="V146" s="179">
        <v>9163.6379331466669</v>
      </c>
      <c r="W146" s="179">
        <v>0</v>
      </c>
      <c r="X146" s="186" t="s">
        <v>45</v>
      </c>
      <c r="Y146" s="183">
        <v>3.3904000000000001</v>
      </c>
      <c r="Z146" s="220"/>
      <c r="AA146" s="172">
        <f>Delivery[[#This Row],[Quantity delivered]]*VLOOKUP(Delivery[[#This Row],[Unit]],Tab_Conversão[],4,FALSE)*VLOOKUP(CONCATENATE(Delivery[[#This Row],[Coffee specie]],Delivery[[#This Row],[Coffee state]]),Tab_Conversão[],4,FALSE)</f>
        <v>23170</v>
      </c>
      <c r="AB146" s="169">
        <f>SUMIF(Allocation!C:C,Delivery[[#This Row],[Delivery ID]],Allocation!D:D)/Delivery[[#This Row],[Quantity delivered]]</f>
        <v>0.67410444540353909</v>
      </c>
      <c r="AC146" s="170">
        <f>Delivery[[#This Row],[Quantity delivered]]*Delivery[[#This Row],[Base price (Unidad)]]/60</f>
        <v>182314.38073333335</v>
      </c>
      <c r="AD146" s="171">
        <f>Delivery[[#This Row],[Nespresso total]]-Delivery[[#This Row],[Qt. Delivery * Base Price]]</f>
        <v>4192.5342666666547</v>
      </c>
      <c r="AE146" s="171">
        <f>Delivery[[#This Row],[AAA Premium (total)]]/Delivery[[#This Row],[Quantity delivered]]*60/Delivery[[#This Row],[Exchange rate VS USD]]</f>
        <v>6.9991000000000003</v>
      </c>
      <c r="AF146" s="171">
        <f>Delivery[[#This Row],[BEN premium (total)]]/Delivery[[#This Row],[Quantity delivered]]*60/Delivery[[#This Row],[Exchange rate for premiums VS USD]]</f>
        <v>0</v>
      </c>
      <c r="AG146" s="171">
        <f>COUNTIF(Delivery[Delivery ID],Delivery[[#This Row],[Delivery ID]])</f>
        <v>1</v>
      </c>
      <c r="AH146" s="171">
        <f>(Delivery[[#This Row],[Nespresso total]]/SUMIF(Allocation!C:C,Delivery[Delivery ID],Allocation!H:H))/Delivery[[#This Row],[Exchange rate VS USD]]</f>
        <v>10.673321341657598</v>
      </c>
      <c r="AI146" s="171">
        <f>(Delivery[[#This Row],[AAA Premium (total)]]/SUMIF(Allocation!C:C,Delivery[Delivery ID],Allocation!H:H))/Delivery[[#This Row],[Exchange rate VS USD]]</f>
        <v>0.52441193571336175</v>
      </c>
      <c r="AJ146" s="171">
        <f>Delivery[[#This Row],[Valor Prêmio Nespresso AAA por Kg (em US$)]]*60</f>
        <v>31.464716142801706</v>
      </c>
      <c r="AK146" s="171">
        <f>Delivery[[#This Row],[Valor Prêmio Nespresso AAA por saca (em US$)]]/1.3228/100</f>
        <v>0.23786450062595788</v>
      </c>
      <c r="AL146" s="171">
        <f>(Delivery[[#This Row],[BEN premium (total)]]/SUMIF(Allocation!C:C,Delivery[Delivery ID],Allocation!H:H))/Delivery[[#This Row],[Exchange rate for premiums VS USD]]</f>
        <v>0</v>
      </c>
      <c r="AM146" s="171">
        <f>Delivery[[#This Row],[Valor Prêmio Nespresso BEN por Kg (em US$)]]*60</f>
        <v>0</v>
      </c>
      <c r="AN146" s="171">
        <f>Delivery[[#This Row],[Valor Prêmio Nespresso BEN por saca (em US$)]]/1.3228/100</f>
        <v>0</v>
      </c>
      <c r="AO146" s="171">
        <f>SUMIF(Allocation[Delivery ID],Delivery[[#This Row],[Delivery ID]],Allocation[Quantity allocated])*16*1.3228*Delivery[[#This Row],[Exchange rate VS USD]]/60</f>
        <v>6163.9381473279991</v>
      </c>
      <c r="AP146" s="171">
        <f>Delivery[[#This Row],[AAA Premium (total)]]</f>
        <v>9163.6379331466669</v>
      </c>
      <c r="AQ146" s="171">
        <f>Delivery[[#This Row],[Valor pago pelo Cluster]]-Delivery[[#This Row],[Valor efetivamente pago pela Nespresso]]</f>
        <v>2999.6997858186678</v>
      </c>
    </row>
    <row r="147" spans="1:43" ht="15.75">
      <c r="A147" s="174" t="s">
        <v>69</v>
      </c>
      <c r="B147" s="232" t="s">
        <v>68</v>
      </c>
      <c r="C147" s="157" t="s">
        <v>1344</v>
      </c>
      <c r="D147" s="157" t="s">
        <v>468</v>
      </c>
      <c r="E147" s="177" t="s">
        <v>468</v>
      </c>
      <c r="F147" s="233" t="s">
        <v>543</v>
      </c>
      <c r="G147" s="234">
        <v>43300</v>
      </c>
      <c r="H147" s="235" t="s">
        <v>1406</v>
      </c>
      <c r="I147" s="157" t="s">
        <v>1391</v>
      </c>
      <c r="J147" s="237">
        <v>1100</v>
      </c>
      <c r="K147" s="175" t="s">
        <v>61</v>
      </c>
      <c r="L147" s="175" t="s">
        <v>439</v>
      </c>
      <c r="M147" s="175" t="s">
        <v>1343</v>
      </c>
      <c r="N147" s="180"/>
      <c r="O147" s="177"/>
      <c r="P147" s="181">
        <v>0</v>
      </c>
      <c r="Q147" s="177">
        <v>43292</v>
      </c>
      <c r="R147" s="178">
        <v>434.45921499999997</v>
      </c>
      <c r="S147" s="179">
        <v>8261.5499999999993</v>
      </c>
      <c r="T147" s="182" t="s">
        <v>45</v>
      </c>
      <c r="U147" s="183">
        <v>3.8329</v>
      </c>
      <c r="V147" s="179">
        <v>491.89</v>
      </c>
      <c r="W147" s="179">
        <v>0</v>
      </c>
      <c r="X147" s="186" t="s">
        <v>45</v>
      </c>
      <c r="Y147" s="183">
        <v>3.8329</v>
      </c>
      <c r="Z147" s="220"/>
      <c r="AA147" s="172">
        <f>Delivery[[#This Row],[Quantity delivered]]*VLOOKUP(Delivery[[#This Row],[Unit]],Tab_Conversão[],4,FALSE)*VLOOKUP(CONCATENATE(Delivery[[#This Row],[Coffee specie]],Delivery[[#This Row],[Coffee state]]),Tab_Conversão[],4,FALSE)</f>
        <v>1100</v>
      </c>
      <c r="AB147" s="169">
        <f>SUMIF(Allocation!C:C,Delivery[[#This Row],[Delivery ID]],Allocation!D:D)/Delivery[[#This Row],[Quantity delivered]]</f>
        <v>0.43818181818181817</v>
      </c>
      <c r="AC147" s="170">
        <f>Delivery[[#This Row],[Quantity delivered]]*Delivery[[#This Row],[Base price (Unidad)]]/60</f>
        <v>7965.0856083333329</v>
      </c>
      <c r="AD147" s="171">
        <f>Delivery[[#This Row],[Nespresso total]]-Delivery[[#This Row],[Qt. Delivery * Base Price]]</f>
        <v>296.46439166666642</v>
      </c>
      <c r="AE147" s="171">
        <f>Delivery[[#This Row],[AAA Premium (total)]]/Delivery[[#This Row],[Quantity delivered]]*60/Delivery[[#This Row],[Exchange rate VS USD]]</f>
        <v>7.0000166026673369</v>
      </c>
      <c r="AF147" s="171">
        <f>Delivery[[#This Row],[BEN premium (total)]]/Delivery[[#This Row],[Quantity delivered]]*60/Delivery[[#This Row],[Exchange rate for premiums VS USD]]</f>
        <v>0</v>
      </c>
      <c r="AG147" s="171">
        <f>COUNTIF(Delivery[Delivery ID],Delivery[[#This Row],[Delivery ID]])</f>
        <v>1</v>
      </c>
      <c r="AH147" s="171">
        <f>(Delivery[[#This Row],[Nespresso total]]/SUMIF(Allocation!C:C,Delivery[Delivery ID],Allocation!H:H))/Delivery[[#This Row],[Exchange rate VS USD]]</f>
        <v>13.556167382990465</v>
      </c>
      <c r="AI147" s="171">
        <f>(Delivery[[#This Row],[AAA Premium (total)]]/SUMIF(Allocation!C:C,Delivery[Delivery ID],Allocation!H:H))/Delivery[[#This Row],[Exchange rate VS USD]]</f>
        <v>0.80712979695325693</v>
      </c>
      <c r="AJ147" s="171">
        <f>Delivery[[#This Row],[Valor Prêmio Nespresso AAA por Kg (em US$)]]*60</f>
        <v>48.427787817195416</v>
      </c>
      <c r="AK147" s="171">
        <f>Delivery[[#This Row],[Valor Prêmio Nespresso AAA por saca (em US$)]]/1.3228/100</f>
        <v>0.36610060339579242</v>
      </c>
      <c r="AL147" s="171">
        <f>(Delivery[[#This Row],[BEN premium (total)]]/SUMIF(Allocation!C:C,Delivery[Delivery ID],Allocation!H:H))/Delivery[[#This Row],[Exchange rate for premiums VS USD]]</f>
        <v>0</v>
      </c>
      <c r="AM147" s="171">
        <f>Delivery[[#This Row],[Valor Prêmio Nespresso BEN por Kg (em US$)]]*60</f>
        <v>0</v>
      </c>
      <c r="AN147" s="171">
        <f>Delivery[[#This Row],[Valor Prêmio Nespresso BEN por saca (em US$)]]/1.3228/100</f>
        <v>0</v>
      </c>
      <c r="AO147" s="171">
        <f>SUMIF(Allocation[Delivery ID],Delivery[[#This Row],[Delivery ID]],Allocation[Quantity allocated])*16*1.3228*Delivery[[#This Row],[Exchange rate VS USD]]/60</f>
        <v>214.97478908799999</v>
      </c>
      <c r="AP147" s="171">
        <f>Delivery[[#This Row],[AAA Premium (total)]]</f>
        <v>491.89</v>
      </c>
      <c r="AQ147" s="171">
        <f>Delivery[[#This Row],[Valor pago pelo Cluster]]-Delivery[[#This Row],[Valor efetivamente pago pela Nespresso]]</f>
        <v>276.91521091200002</v>
      </c>
    </row>
    <row r="148" spans="1:43" ht="15.75">
      <c r="A148" s="174" t="s">
        <v>69</v>
      </c>
      <c r="B148" s="232" t="s">
        <v>68</v>
      </c>
      <c r="C148" s="157" t="s">
        <v>1344</v>
      </c>
      <c r="D148" s="157" t="s">
        <v>468</v>
      </c>
      <c r="E148" s="177" t="s">
        <v>468</v>
      </c>
      <c r="F148" s="233" t="s">
        <v>543</v>
      </c>
      <c r="G148" s="234">
        <v>43300</v>
      </c>
      <c r="H148" s="157" t="s">
        <v>1407</v>
      </c>
      <c r="I148" s="157" t="s">
        <v>1356</v>
      </c>
      <c r="J148" s="237">
        <v>10230</v>
      </c>
      <c r="K148" s="175" t="s">
        <v>61</v>
      </c>
      <c r="L148" s="175" t="s">
        <v>439</v>
      </c>
      <c r="M148" s="175" t="s">
        <v>1343</v>
      </c>
      <c r="N148" s="180"/>
      <c r="O148" s="177"/>
      <c r="P148" s="181">
        <v>0</v>
      </c>
      <c r="Q148" s="177">
        <v>43299</v>
      </c>
      <c r="R148" s="178">
        <v>414.75650000000002</v>
      </c>
      <c r="S148" s="179">
        <v>73971.425000000003</v>
      </c>
      <c r="T148" s="182" t="s">
        <v>45</v>
      </c>
      <c r="U148" s="183">
        <v>3.8582000000000001</v>
      </c>
      <c r="V148" s="179">
        <v>6674.34</v>
      </c>
      <c r="W148" s="179">
        <v>0</v>
      </c>
      <c r="X148" s="186" t="s">
        <v>45</v>
      </c>
      <c r="Y148" s="183">
        <v>3.8582000000000001</v>
      </c>
      <c r="Z148" s="220"/>
      <c r="AA148" s="172">
        <f>Delivery[[#This Row],[Quantity delivered]]*VLOOKUP(Delivery[[#This Row],[Unit]],Tab_Conversão[],4,FALSE)*VLOOKUP(CONCATENATE(Delivery[[#This Row],[Coffee specie]],Delivery[[#This Row],[Coffee state]]),Tab_Conversão[],4,FALSE)</f>
        <v>10230</v>
      </c>
      <c r="AB148" s="169">
        <f>SUMIF(Allocation!C:C,Delivery[[#This Row],[Delivery ID]],Allocation!D:D)/Delivery[[#This Row],[Quantity delivered]]</f>
        <v>0.10918866080156403</v>
      </c>
      <c r="AC148" s="170">
        <f>Delivery[[#This Row],[Quantity delivered]]*Delivery[[#This Row],[Base price (Unidad)]]/60</f>
        <v>70715.983250000005</v>
      </c>
      <c r="AD148" s="171">
        <f>Delivery[[#This Row],[Nespresso total]]-Delivery[[#This Row],[Qt. Delivery * Base Price]]</f>
        <v>3255.4417499999981</v>
      </c>
      <c r="AE148" s="171">
        <f>Delivery[[#This Row],[AAA Premium (total)]]/Delivery[[#This Row],[Quantity delivered]]*60/Delivery[[#This Row],[Exchange rate VS USD]]</f>
        <v>10.146101588709792</v>
      </c>
      <c r="AF148" s="171">
        <f>Delivery[[#This Row],[BEN premium (total)]]/Delivery[[#This Row],[Quantity delivered]]*60/Delivery[[#This Row],[Exchange rate for premiums VS USD]]</f>
        <v>0</v>
      </c>
      <c r="AG148" s="171">
        <f>COUNTIF(Delivery[Delivery ID],Delivery[[#This Row],[Delivery ID]])</f>
        <v>1</v>
      </c>
      <c r="AH148" s="171">
        <f>(Delivery[[#This Row],[Nespresso total]]/SUMIF(Allocation!C:C,Delivery[Delivery ID],Allocation!H:H))/Delivery[[#This Row],[Exchange rate VS USD]]</f>
        <v>40.879578167575737</v>
      </c>
      <c r="AI148" s="171">
        <f>(Delivery[[#This Row],[AAA Premium (total)]]/SUMIF(Allocation!C:C,Delivery[Delivery ID],Allocation!H:H))/Delivery[[#This Row],[Exchange rate VS USD]]</f>
        <v>3.6885081468550518</v>
      </c>
      <c r="AJ148" s="171">
        <f>Delivery[[#This Row],[Valor Prêmio Nespresso AAA por Kg (em US$)]]*60</f>
        <v>221.31048881130312</v>
      </c>
      <c r="AK148" s="171">
        <f>Delivery[[#This Row],[Valor Prêmio Nespresso AAA por saca (em US$)]]/1.3228/100</f>
        <v>1.673045727330686</v>
      </c>
      <c r="AL148" s="171">
        <f>(Delivery[[#This Row],[BEN premium (total)]]/SUMIF(Allocation!C:C,Delivery[Delivery ID],Allocation!H:H))/Delivery[[#This Row],[Exchange rate for premiums VS USD]]</f>
        <v>0</v>
      </c>
      <c r="AM148" s="171">
        <f>Delivery[[#This Row],[Valor Prêmio Nespresso BEN por Kg (em US$)]]*60</f>
        <v>0</v>
      </c>
      <c r="AN148" s="171">
        <f>Delivery[[#This Row],[Valor Prêmio Nespresso BEN por saca (em US$)]]/1.3228/100</f>
        <v>0</v>
      </c>
      <c r="AO148" s="171">
        <f>SUMIF(Allocation[Delivery ID],Delivery[[#This Row],[Delivery ID]],Allocation[Quantity allocated])*16*1.3228*Delivery[[#This Row],[Exchange rate VS USD]]/60</f>
        <v>638.29361179733326</v>
      </c>
      <c r="AP148" s="171">
        <f>Delivery[[#This Row],[AAA Premium (total)]]</f>
        <v>6674.34</v>
      </c>
      <c r="AQ148" s="171">
        <f>Delivery[[#This Row],[Valor pago pelo Cluster]]-Delivery[[#This Row],[Valor efetivamente pago pela Nespresso]]</f>
        <v>6036.046388202667</v>
      </c>
    </row>
    <row r="149" spans="1:43" ht="15.75">
      <c r="A149" s="174" t="s">
        <v>69</v>
      </c>
      <c r="B149" s="232" t="s">
        <v>68</v>
      </c>
      <c r="C149" s="157" t="s">
        <v>1344</v>
      </c>
      <c r="D149" s="157" t="s">
        <v>468</v>
      </c>
      <c r="E149" s="177" t="s">
        <v>468</v>
      </c>
      <c r="F149" s="233" t="s">
        <v>543</v>
      </c>
      <c r="G149" s="234">
        <v>43300</v>
      </c>
      <c r="H149" s="157" t="s">
        <v>1408</v>
      </c>
      <c r="I149" s="157" t="s">
        <v>1356</v>
      </c>
      <c r="J149" s="237">
        <v>20040</v>
      </c>
      <c r="K149" s="175" t="s">
        <v>61</v>
      </c>
      <c r="L149" s="175" t="s">
        <v>439</v>
      </c>
      <c r="M149" s="175" t="s">
        <v>1343</v>
      </c>
      <c r="N149" s="180"/>
      <c r="O149" s="177"/>
      <c r="P149" s="181">
        <v>0</v>
      </c>
      <c r="Q149" s="177">
        <v>43299</v>
      </c>
      <c r="R149" s="178">
        <v>414.75650000000002</v>
      </c>
      <c r="S149" s="179">
        <v>144904.89000000001</v>
      </c>
      <c r="T149" s="182" t="s">
        <v>45</v>
      </c>
      <c r="U149" s="183">
        <v>3.8582000000000001</v>
      </c>
      <c r="V149" s="179">
        <v>13078.62</v>
      </c>
      <c r="W149" s="179">
        <v>0</v>
      </c>
      <c r="X149" s="186" t="s">
        <v>45</v>
      </c>
      <c r="Y149" s="183">
        <v>3.8582000000000001</v>
      </c>
      <c r="Z149" s="220"/>
      <c r="AA149" s="172">
        <f>Delivery[[#This Row],[Quantity delivered]]*VLOOKUP(Delivery[[#This Row],[Unit]],Tab_Conversão[],4,FALSE)*VLOOKUP(CONCATENATE(Delivery[[#This Row],[Coffee specie]],Delivery[[#This Row],[Coffee state]]),Tab_Conversão[],4,FALSE)</f>
        <v>20040</v>
      </c>
      <c r="AB149" s="169">
        <f>SUMIF(Allocation!C:C,Delivery[[#This Row],[Delivery ID]],Allocation!D:D)/Delivery[[#This Row],[Quantity delivered]]</f>
        <v>0.1185129740518962</v>
      </c>
      <c r="AC149" s="170">
        <f>Delivery[[#This Row],[Quantity delivered]]*Delivery[[#This Row],[Base price (Unidad)]]/60</f>
        <v>138528.671</v>
      </c>
      <c r="AD149" s="171">
        <f>Delivery[[#This Row],[Nespresso total]]-Delivery[[#This Row],[Qt. Delivery * Base Price]]</f>
        <v>6376.2190000000119</v>
      </c>
      <c r="AE149" s="171">
        <f>Delivery[[#This Row],[AAA Premium (total)]]/Delivery[[#This Row],[Quantity delivered]]*60/Delivery[[#This Row],[Exchange rate VS USD]]</f>
        <v>10.149174462231001</v>
      </c>
      <c r="AF149" s="171">
        <f>Delivery[[#This Row],[BEN premium (total)]]/Delivery[[#This Row],[Quantity delivered]]*60/Delivery[[#This Row],[Exchange rate for premiums VS USD]]</f>
        <v>0</v>
      </c>
      <c r="AG149" s="171">
        <f>COUNTIF(Delivery[Delivery ID],Delivery[[#This Row],[Delivery ID]])</f>
        <v>1</v>
      </c>
      <c r="AH149" s="171">
        <f>(Delivery[[#This Row],[Nespresso total]]/SUMIF(Allocation!C:C,Delivery[Delivery ID],Allocation!H:H))/Delivery[[#This Row],[Exchange rate VS USD]]</f>
        <v>37.670652827280769</v>
      </c>
      <c r="AI149" s="171">
        <f>(Delivery[[#This Row],[AAA Premium (total)]]/SUMIF(Allocation!C:C,Delivery[Delivery ID],Allocation!H:H))/Delivery[[#This Row],[Exchange rate VS USD]]</f>
        <v>3.4000243434153998</v>
      </c>
      <c r="AJ149" s="171">
        <f>Delivery[[#This Row],[Valor Prêmio Nespresso AAA por Kg (em US$)]]*60</f>
        <v>204.00146060492398</v>
      </c>
      <c r="AK149" s="171">
        <f>Delivery[[#This Row],[Valor Prêmio Nespresso AAA por saca (em US$)]]/1.3228/100</f>
        <v>1.5421942894233747</v>
      </c>
      <c r="AL149" s="171">
        <f>(Delivery[[#This Row],[BEN premium (total)]]/SUMIF(Allocation!C:C,Delivery[Delivery ID],Allocation!H:H))/Delivery[[#This Row],[Exchange rate for premiums VS USD]]</f>
        <v>0</v>
      </c>
      <c r="AM149" s="171">
        <f>Delivery[[#This Row],[Valor Prêmio Nespresso BEN por Kg (em US$)]]*60</f>
        <v>0</v>
      </c>
      <c r="AN149" s="171">
        <f>Delivery[[#This Row],[Valor Prêmio Nespresso BEN por saca (em US$)]]/1.3228/100</f>
        <v>0</v>
      </c>
      <c r="AO149" s="171">
        <f>SUMIF(Allocation[Delivery ID],Delivery[[#This Row],[Delivery ID]],Allocation[Quantity allocated])*16*1.3228*Delivery[[#This Row],[Exchange rate VS USD]]/60</f>
        <v>1356.8842877653333</v>
      </c>
      <c r="AP149" s="171">
        <f>Delivery[[#This Row],[AAA Premium (total)]]</f>
        <v>13078.62</v>
      </c>
      <c r="AQ149" s="171">
        <f>Delivery[[#This Row],[Valor pago pelo Cluster]]-Delivery[[#This Row],[Valor efetivamente pago pela Nespresso]]</f>
        <v>11721.735712234668</v>
      </c>
    </row>
    <row r="150" spans="1:43" ht="15.75">
      <c r="A150" s="174" t="s">
        <v>69</v>
      </c>
      <c r="B150" s="232" t="s">
        <v>68</v>
      </c>
      <c r="C150" s="157">
        <v>1</v>
      </c>
      <c r="D150" s="157" t="s">
        <v>468</v>
      </c>
      <c r="E150" s="177" t="s">
        <v>468</v>
      </c>
      <c r="F150" s="233" t="s">
        <v>543</v>
      </c>
      <c r="G150" s="234">
        <v>43300</v>
      </c>
      <c r="H150" s="157" t="s">
        <v>1409</v>
      </c>
      <c r="I150" s="236" t="s">
        <v>1410</v>
      </c>
      <c r="J150" s="237">
        <v>5990</v>
      </c>
      <c r="K150" s="175" t="s">
        <v>61</v>
      </c>
      <c r="L150" s="175" t="s">
        <v>439</v>
      </c>
      <c r="M150" s="175" t="s">
        <v>1343</v>
      </c>
      <c r="N150" s="180"/>
      <c r="O150" s="177"/>
      <c r="P150" s="181">
        <v>0</v>
      </c>
      <c r="Q150" s="177">
        <v>43293</v>
      </c>
      <c r="R150" s="178">
        <v>432.07600500000001</v>
      </c>
      <c r="S150" s="179">
        <v>45549</v>
      </c>
      <c r="T150" s="182" t="s">
        <v>45</v>
      </c>
      <c r="U150" s="183">
        <v>3.8561000000000001</v>
      </c>
      <c r="V150" s="179">
        <v>2699</v>
      </c>
      <c r="W150" s="179">
        <v>0</v>
      </c>
      <c r="X150" s="186" t="s">
        <v>45</v>
      </c>
      <c r="Y150" s="183">
        <v>3.8561000000000001</v>
      </c>
      <c r="Z150" s="220"/>
      <c r="AA150" s="172">
        <f>Delivery[[#This Row],[Quantity delivered]]*VLOOKUP(Delivery[[#This Row],[Unit]],Tab_Conversão[],4,FALSE)*VLOOKUP(CONCATENATE(Delivery[[#This Row],[Coffee specie]],Delivery[[#This Row],[Coffee state]]),Tab_Conversão[],4,FALSE)</f>
        <v>5990</v>
      </c>
      <c r="AB150" s="169">
        <f>SUMIF(Allocation!C:C,Delivery[[#This Row],[Delivery ID]],Allocation!D:D)/Delivery[[#This Row],[Quantity delivered]]</f>
        <v>1</v>
      </c>
      <c r="AC150" s="170">
        <f>Delivery[[#This Row],[Quantity delivered]]*Delivery[[#This Row],[Base price (Unidad)]]/60</f>
        <v>43135.587832500001</v>
      </c>
      <c r="AD150" s="171">
        <f>Delivery[[#This Row],[Nespresso total]]-Delivery[[#This Row],[Qt. Delivery * Base Price]]</f>
        <v>2413.4121674999988</v>
      </c>
      <c r="AE150" s="171">
        <f>Delivery[[#This Row],[AAA Premium (total)]]/Delivery[[#This Row],[Quantity delivered]]*60/Delivery[[#This Row],[Exchange rate VS USD]]</f>
        <v>7.0109847853317762</v>
      </c>
      <c r="AF150" s="171">
        <f>Delivery[[#This Row],[BEN premium (total)]]/Delivery[[#This Row],[Quantity delivered]]*60/Delivery[[#This Row],[Exchange rate for premiums VS USD]]</f>
        <v>0</v>
      </c>
      <c r="AG150" s="171">
        <f>COUNTIF(Delivery[Delivery ID],Delivery[[#This Row],[Delivery ID]])</f>
        <v>1</v>
      </c>
      <c r="AH150" s="171">
        <f>(Delivery[[#This Row],[Nespresso total]]/SUMIF(Allocation!C:C,Delivery[Delivery ID],Allocation!H:H))/Delivery[[#This Row],[Exchange rate VS USD]]</f>
        <v>6.5732852905824597</v>
      </c>
      <c r="AI150" s="171">
        <f>(Delivery[[#This Row],[AAA Premium (total)]]/SUMIF(Allocation!C:C,Delivery[Delivery ID],Allocation!H:H))/Delivery[[#This Row],[Exchange rate VS USD]]</f>
        <v>0.38949915474065422</v>
      </c>
      <c r="AJ150" s="171">
        <f>Delivery[[#This Row],[Valor Prêmio Nespresso AAA por Kg (em US$)]]*60</f>
        <v>23.369949284439254</v>
      </c>
      <c r="AK150" s="171">
        <f>Delivery[[#This Row],[Valor Prêmio Nespresso AAA por saca (em US$)]]/1.3228/100</f>
        <v>0.17667031512276424</v>
      </c>
      <c r="AL150" s="171">
        <f>(Delivery[[#This Row],[BEN premium (total)]]/SUMIF(Allocation!C:C,Delivery[Delivery ID],Allocation!H:H))/Delivery[[#This Row],[Exchange rate for premiums VS USD]]</f>
        <v>0</v>
      </c>
      <c r="AM150" s="171">
        <f>Delivery[[#This Row],[Valor Prêmio Nespresso BEN por Kg (em US$)]]*60</f>
        <v>0</v>
      </c>
      <c r="AN150" s="171">
        <f>Delivery[[#This Row],[Valor Prêmio Nespresso BEN por saca (em US$)]]/1.3228/100</f>
        <v>0</v>
      </c>
      <c r="AO150" s="171">
        <f>SUMIF(Allocation[Delivery ID],Delivery[[#This Row],[Delivery ID]],Allocation[Quantity allocated])*16*1.3228*Delivery[[#This Row],[Exchange rate VS USD]]/60</f>
        <v>2444.3268791360001</v>
      </c>
      <c r="AP150" s="171">
        <f>Delivery[[#This Row],[AAA Premium (total)]]</f>
        <v>2699</v>
      </c>
      <c r="AQ150" s="171">
        <f>Delivery[[#This Row],[Valor pago pelo Cluster]]-Delivery[[#This Row],[Valor efetivamente pago pela Nespresso]]</f>
        <v>254.67312086399988</v>
      </c>
    </row>
    <row r="151" spans="1:43" ht="15.75">
      <c r="A151" s="174" t="s">
        <v>69</v>
      </c>
      <c r="B151" s="232" t="s">
        <v>68</v>
      </c>
      <c r="C151" s="157" t="s">
        <v>1344</v>
      </c>
      <c r="D151" s="157" t="s">
        <v>468</v>
      </c>
      <c r="E151" s="177" t="s">
        <v>468</v>
      </c>
      <c r="F151" s="233" t="s">
        <v>543</v>
      </c>
      <c r="G151" s="234">
        <v>43304</v>
      </c>
      <c r="H151" s="157" t="s">
        <v>1411</v>
      </c>
      <c r="I151" s="157" t="s">
        <v>585</v>
      </c>
      <c r="J151" s="237">
        <v>31700</v>
      </c>
      <c r="K151" s="175" t="s">
        <v>61</v>
      </c>
      <c r="L151" s="175" t="s">
        <v>439</v>
      </c>
      <c r="M151" s="175" t="s">
        <v>1343</v>
      </c>
      <c r="N151" s="180"/>
      <c r="O151" s="177"/>
      <c r="P151" s="181">
        <v>0</v>
      </c>
      <c r="Q151" s="177">
        <v>43223</v>
      </c>
      <c r="R151" s="178">
        <v>461.5</v>
      </c>
      <c r="S151" s="179">
        <v>468233.64</v>
      </c>
      <c r="T151" s="182" t="s">
        <v>45</v>
      </c>
      <c r="U151" s="183">
        <v>3.55</v>
      </c>
      <c r="V151" s="179">
        <v>13129.083333333332</v>
      </c>
      <c r="W151" s="179">
        <v>0</v>
      </c>
      <c r="X151" s="186" t="s">
        <v>45</v>
      </c>
      <c r="Y151" s="183">
        <v>3.55</v>
      </c>
      <c r="Z151" s="220"/>
      <c r="AA151" s="172">
        <f>Delivery[[#This Row],[Quantity delivered]]*VLOOKUP(Delivery[[#This Row],[Unit]],Tab_Conversão[],4,FALSE)*VLOOKUP(CONCATENATE(Delivery[[#This Row],[Coffee specie]],Delivery[[#This Row],[Coffee state]]),Tab_Conversão[],4,FALSE)</f>
        <v>31700</v>
      </c>
      <c r="AB151" s="169">
        <f>SUMIF(Allocation!C:C,Delivery[[#This Row],[Delivery ID]],Allocation!D:D)/Delivery[[#This Row],[Quantity delivered]]</f>
        <v>0.43700315457413247</v>
      </c>
      <c r="AC151" s="170">
        <f>Delivery[[#This Row],[Quantity delivered]]*Delivery[[#This Row],[Base price (Unidad)]]/60</f>
        <v>243825.83333333334</v>
      </c>
      <c r="AD151" s="171">
        <f>Delivery[[#This Row],[Nespresso total]]-Delivery[[#This Row],[Qt. Delivery * Base Price]]</f>
        <v>224407.80666666667</v>
      </c>
      <c r="AE151" s="171">
        <f>Delivery[[#This Row],[AAA Premium (total)]]/Delivery[[#This Row],[Quantity delivered]]*60/Delivery[[#This Row],[Exchange rate VS USD]]</f>
        <v>7</v>
      </c>
      <c r="AF151" s="171">
        <f>Delivery[[#This Row],[BEN premium (total)]]/Delivery[[#This Row],[Quantity delivered]]*60/Delivery[[#This Row],[Exchange rate for premiums VS USD]]</f>
        <v>0</v>
      </c>
      <c r="AG151" s="171">
        <f>COUNTIF(Delivery[Delivery ID],Delivery[[#This Row],[Delivery ID]])</f>
        <v>1</v>
      </c>
      <c r="AH151" s="171">
        <f>(Delivery[[#This Row],[Nespresso total]]/SUMIF(Allocation!C:C,Delivery[Delivery ID],Allocation!H:H))/Delivery[[#This Row],[Exchange rate VS USD]]</f>
        <v>28.855130168453293</v>
      </c>
      <c r="AI151" s="171">
        <f>(Delivery[[#This Row],[AAA Premium (total)]]/SUMIF(Allocation!C:C,Delivery[Delivery ID],Allocation!H:H))/Delivery[[#This Row],[Exchange rate VS USD]]</f>
        <v>0.80908626850433896</v>
      </c>
      <c r="AJ151" s="171">
        <f>Delivery[[#This Row],[Valor Prêmio Nespresso AAA por Kg (em US$)]]*60</f>
        <v>48.545176110260336</v>
      </c>
      <c r="AK151" s="171">
        <f>Delivery[[#This Row],[Valor Prêmio Nespresso AAA por saca (em US$)]]/1.3228/100</f>
        <v>0.36698802623420268</v>
      </c>
      <c r="AL151" s="171">
        <f>(Delivery[[#This Row],[BEN premium (total)]]/SUMIF(Allocation!C:C,Delivery[Delivery ID],Allocation!H:H))/Delivery[[#This Row],[Exchange rate for premiums VS USD]]</f>
        <v>0</v>
      </c>
      <c r="AM151" s="171">
        <f>Delivery[[#This Row],[Valor Prêmio Nespresso BEN por Kg (em US$)]]*60</f>
        <v>0</v>
      </c>
      <c r="AN151" s="171">
        <f>Delivery[[#This Row],[Valor Prêmio Nespresso BEN por saca (em US$)]]/1.3228/100</f>
        <v>0</v>
      </c>
      <c r="AO151" s="171">
        <f>SUMIF(Allocation[Delivery ID],Delivery[[#This Row],[Delivery ID]],Allocation[Quantity allocated])*16*1.3228*Delivery[[#This Row],[Exchange rate VS USD]]/60</f>
        <v>5724.0377973333334</v>
      </c>
      <c r="AP151" s="171">
        <f>Delivery[[#This Row],[AAA Premium (total)]]</f>
        <v>13129.083333333332</v>
      </c>
      <c r="AQ151" s="171">
        <f>Delivery[[#This Row],[Valor pago pelo Cluster]]-Delivery[[#This Row],[Valor efetivamente pago pela Nespresso]]</f>
        <v>7405.0455359999987</v>
      </c>
    </row>
    <row r="152" spans="1:43" ht="15.75">
      <c r="A152" s="174" t="s">
        <v>69</v>
      </c>
      <c r="B152" s="232" t="s">
        <v>68</v>
      </c>
      <c r="C152" s="157">
        <v>1</v>
      </c>
      <c r="D152" s="157" t="s">
        <v>468</v>
      </c>
      <c r="E152" s="176" t="s">
        <v>468</v>
      </c>
      <c r="F152" s="233" t="s">
        <v>543</v>
      </c>
      <c r="G152" s="234">
        <v>43304</v>
      </c>
      <c r="H152" s="157" t="s">
        <v>584</v>
      </c>
      <c r="I152" s="157" t="s">
        <v>585</v>
      </c>
      <c r="J152" s="237">
        <v>28370</v>
      </c>
      <c r="K152" s="175" t="s">
        <v>61</v>
      </c>
      <c r="L152" s="175" t="s">
        <v>439</v>
      </c>
      <c r="M152" s="175" t="s">
        <v>1343</v>
      </c>
      <c r="N152" s="180"/>
      <c r="O152" s="177"/>
      <c r="P152" s="181">
        <v>0</v>
      </c>
      <c r="Q152" s="177">
        <v>43223</v>
      </c>
      <c r="R152" s="178">
        <v>461.5</v>
      </c>
      <c r="S152" s="179">
        <v>221139.42166666666</v>
      </c>
      <c r="T152" s="182" t="s">
        <v>45</v>
      </c>
      <c r="U152" s="183">
        <v>3.55</v>
      </c>
      <c r="V152" s="179">
        <v>11749.908333333333</v>
      </c>
      <c r="W152" s="179">
        <v>0</v>
      </c>
      <c r="X152" s="186" t="s">
        <v>45</v>
      </c>
      <c r="Y152" s="183">
        <v>3.55</v>
      </c>
      <c r="Z152" s="220"/>
      <c r="AA152" s="172">
        <f>Delivery[[#This Row],[Quantity delivered]]*VLOOKUP(Delivery[[#This Row],[Unit]],Tab_Conversão[],4,FALSE)*VLOOKUP(CONCATENATE(Delivery[[#This Row],[Coffee specie]],Delivery[[#This Row],[Coffee state]]),Tab_Conversão[],4,FALSE)</f>
        <v>28370</v>
      </c>
      <c r="AB152" s="169">
        <f>SUMIF(Allocation!C:C,Delivery[[#This Row],[Delivery ID]],Allocation!D:D)/Delivery[[#This Row],[Quantity delivered]]</f>
        <v>1</v>
      </c>
      <c r="AC152" s="170">
        <f>Delivery[[#This Row],[Quantity delivered]]*Delivery[[#This Row],[Base price (Unidad)]]/60</f>
        <v>218212.58333333334</v>
      </c>
      <c r="AD152" s="171">
        <f>Delivery[[#This Row],[Nespresso total]]-Delivery[[#This Row],[Qt. Delivery * Base Price]]</f>
        <v>2926.8383333333186</v>
      </c>
      <c r="AE152" s="171">
        <f>Delivery[[#This Row],[AAA Premium (total)]]/Delivery[[#This Row],[Quantity delivered]]*60/Delivery[[#This Row],[Exchange rate VS USD]]</f>
        <v>7</v>
      </c>
      <c r="AF152" s="171">
        <f>Delivery[[#This Row],[BEN premium (total)]]/Delivery[[#This Row],[Quantity delivered]]*60/Delivery[[#This Row],[Exchange rate for premiums VS USD]]</f>
        <v>0</v>
      </c>
      <c r="AG152" s="171">
        <f>COUNTIF(Delivery[Delivery ID],Delivery[[#This Row],[Delivery ID]])</f>
        <v>1</v>
      </c>
      <c r="AH152" s="171">
        <f>(Delivery[[#This Row],[Nespresso total]]/SUMIF(Allocation!C:C,Delivery[Delivery ID],Allocation!H:H))/Delivery[[#This Row],[Exchange rate VS USD]]</f>
        <v>6.6488200272900784</v>
      </c>
      <c r="AI152" s="171">
        <f>(Delivery[[#This Row],[AAA Premium (total)]]/SUMIF(Allocation!C:C,Delivery[Delivery ID],Allocation!H:H))/Delivery[[#This Row],[Exchange rate VS USD]]</f>
        <v>0.35327498487921161</v>
      </c>
      <c r="AJ152" s="171">
        <f>Delivery[[#This Row],[Valor Prêmio Nespresso AAA por Kg (em US$)]]*60</f>
        <v>21.196499092752696</v>
      </c>
      <c r="AK152" s="171">
        <f>Delivery[[#This Row],[Valor Prêmio Nespresso AAA por saca (em US$)]]/1.3228/100</f>
        <v>0.16023963632259369</v>
      </c>
      <c r="AL152" s="171">
        <f>(Delivery[[#This Row],[BEN premium (total)]]/SUMIF(Allocation!C:C,Delivery[Delivery ID],Allocation!H:H))/Delivery[[#This Row],[Exchange rate for premiums VS USD]]</f>
        <v>0</v>
      </c>
      <c r="AM152" s="171">
        <f>Delivery[[#This Row],[Valor Prêmio Nespresso BEN por Kg (em US$)]]*60</f>
        <v>0</v>
      </c>
      <c r="AN152" s="171">
        <f>Delivery[[#This Row],[Valor Prêmio Nespresso BEN por saca (em US$)]]/1.3228/100</f>
        <v>0</v>
      </c>
      <c r="AO152" s="171">
        <f>SUMIF(Allocation[Delivery ID],Delivery[[#This Row],[Delivery ID]],Allocation[Quantity allocated])*16*1.3228*Delivery[[#This Row],[Exchange rate VS USD]]/60</f>
        <v>11732.336496</v>
      </c>
      <c r="AP152" s="171">
        <f>Delivery[[#This Row],[AAA Premium (total)]]</f>
        <v>11749.908333333333</v>
      </c>
      <c r="AQ152" s="171">
        <f>Delivery[[#This Row],[Valor pago pelo Cluster]]-Delivery[[#This Row],[Valor efetivamente pago pela Nespresso]]</f>
        <v>17.571837333332951</v>
      </c>
    </row>
    <row r="153" spans="1:43" ht="15.75">
      <c r="A153" s="174" t="s">
        <v>69</v>
      </c>
      <c r="B153" s="232" t="s">
        <v>68</v>
      </c>
      <c r="C153" s="157">
        <v>1</v>
      </c>
      <c r="D153" s="157" t="s">
        <v>468</v>
      </c>
      <c r="E153" s="176" t="s">
        <v>468</v>
      </c>
      <c r="F153" s="233" t="s">
        <v>543</v>
      </c>
      <c r="G153" s="234">
        <v>43304</v>
      </c>
      <c r="H153" s="157" t="s">
        <v>1412</v>
      </c>
      <c r="I153" s="236" t="s">
        <v>585</v>
      </c>
      <c r="J153" s="237">
        <v>2970</v>
      </c>
      <c r="K153" s="175" t="s">
        <v>61</v>
      </c>
      <c r="L153" s="175" t="s">
        <v>439</v>
      </c>
      <c r="M153" s="175" t="s">
        <v>1343</v>
      </c>
      <c r="N153" s="180"/>
      <c r="O153" s="177"/>
      <c r="P153" s="181">
        <v>0</v>
      </c>
      <c r="Q153" s="177">
        <v>43246</v>
      </c>
      <c r="R153" s="178">
        <v>472.983475</v>
      </c>
      <c r="S153" s="179">
        <v>22844.289999999997</v>
      </c>
      <c r="T153" s="182" t="s">
        <v>45</v>
      </c>
      <c r="U153" s="183">
        <v>3.7612999999999999</v>
      </c>
      <c r="V153" s="179">
        <v>1316.5</v>
      </c>
      <c r="W153" s="179">
        <v>0</v>
      </c>
      <c r="X153" s="186" t="s">
        <v>45</v>
      </c>
      <c r="Y153" s="183">
        <v>3.7612999999999999</v>
      </c>
      <c r="Z153" s="220"/>
      <c r="AA153" s="172">
        <f>Delivery[[#This Row],[Quantity delivered]]*VLOOKUP(Delivery[[#This Row],[Unit]],Tab_Conversão[],4,FALSE)*VLOOKUP(CONCATENATE(Delivery[[#This Row],[Coffee specie]],Delivery[[#This Row],[Coffee state]]),Tab_Conversão[],4,FALSE)</f>
        <v>2970</v>
      </c>
      <c r="AB153" s="169">
        <f>SUMIF(Allocation!C:C,Delivery[[#This Row],[Delivery ID]],Allocation!D:D)/Delivery[[#This Row],[Quantity delivered]]</f>
        <v>1</v>
      </c>
      <c r="AC153" s="170">
        <f>Delivery[[#This Row],[Quantity delivered]]*Delivery[[#This Row],[Base price (Unidad)]]/60</f>
        <v>23412.682012500001</v>
      </c>
      <c r="AD153" s="171">
        <f>Delivery[[#This Row],[Nespresso total]]-Delivery[[#This Row],[Qt. Delivery * Base Price]]</f>
        <v>-568.39201250000406</v>
      </c>
      <c r="AE153" s="171">
        <f>Delivery[[#This Row],[AAA Premium (total)]]/Delivery[[#This Row],[Quantity delivered]]*60/Delivery[[#This Row],[Exchange rate VS USD]]</f>
        <v>7.0709487666390869</v>
      </c>
      <c r="AF153" s="171">
        <f>Delivery[[#This Row],[BEN premium (total)]]/Delivery[[#This Row],[Quantity delivered]]*60/Delivery[[#This Row],[Exchange rate for premiums VS USD]]</f>
        <v>0</v>
      </c>
      <c r="AG153" s="171">
        <f>COUNTIF(Delivery[Delivery ID],Delivery[[#This Row],[Delivery ID]])</f>
        <v>1</v>
      </c>
      <c r="AH153" s="171">
        <f>(Delivery[[#This Row],[Nespresso total]]/SUMIF(Allocation!C:C,Delivery[Delivery ID],Allocation!H:H))/Delivery[[#This Row],[Exchange rate VS USD]]</f>
        <v>6.1974583255789222</v>
      </c>
      <c r="AI153" s="171">
        <f>(Delivery[[#This Row],[AAA Premium (total)]]/SUMIF(Allocation!C:C,Delivery[Delivery ID],Allocation!H:H))/Delivery[[#This Row],[Exchange rate VS USD]]</f>
        <v>0.35715506525370894</v>
      </c>
      <c r="AJ153" s="171">
        <f>Delivery[[#This Row],[Valor Prêmio Nespresso AAA por Kg (em US$)]]*60</f>
        <v>21.429303915222537</v>
      </c>
      <c r="AK153" s="171">
        <f>Delivery[[#This Row],[Valor Prêmio Nespresso AAA por saca (em US$)]]/1.3228/100</f>
        <v>0.16199957601468504</v>
      </c>
      <c r="AL153" s="171">
        <f>(Delivery[[#This Row],[BEN premium (total)]]/SUMIF(Allocation!C:C,Delivery[Delivery ID],Allocation!H:H))/Delivery[[#This Row],[Exchange rate for premiums VS USD]]</f>
        <v>0</v>
      </c>
      <c r="AM153" s="171">
        <f>Delivery[[#This Row],[Valor Prêmio Nespresso BEN por Kg (em US$)]]*60</f>
        <v>0</v>
      </c>
      <c r="AN153" s="171">
        <f>Delivery[[#This Row],[Valor Prêmio Nespresso BEN por saca (em US$)]]/1.3228/100</f>
        <v>0</v>
      </c>
      <c r="AO153" s="171">
        <f>SUMIF(Allocation[Delivery ID],Delivery[[#This Row],[Delivery ID]],Allocation[Quantity allocated])*16*1.3228*Delivery[[#This Row],[Exchange rate VS USD]]/60</f>
        <v>1300.2503165866667</v>
      </c>
      <c r="AP153" s="171">
        <f>Delivery[[#This Row],[AAA Premium (total)]]</f>
        <v>1316.5</v>
      </c>
      <c r="AQ153" s="171">
        <f>Delivery[[#This Row],[Valor pago pelo Cluster]]-Delivery[[#This Row],[Valor efetivamente pago pela Nespresso]]</f>
        <v>16.249683413333287</v>
      </c>
    </row>
    <row r="154" spans="1:43" ht="15.75">
      <c r="A154" s="174" t="s">
        <v>69</v>
      </c>
      <c r="B154" s="232" t="s">
        <v>68</v>
      </c>
      <c r="C154" s="157">
        <v>1</v>
      </c>
      <c r="D154" s="157" t="s">
        <v>468</v>
      </c>
      <c r="E154" s="176" t="s">
        <v>468</v>
      </c>
      <c r="F154" s="233" t="s">
        <v>543</v>
      </c>
      <c r="G154" s="234">
        <v>43304</v>
      </c>
      <c r="H154" s="157" t="s">
        <v>586</v>
      </c>
      <c r="I154" s="157" t="s">
        <v>585</v>
      </c>
      <c r="J154" s="237">
        <v>27030</v>
      </c>
      <c r="K154" s="175" t="s">
        <v>61</v>
      </c>
      <c r="L154" s="175" t="s">
        <v>439</v>
      </c>
      <c r="M154" s="175" t="s">
        <v>1343</v>
      </c>
      <c r="N154" s="180"/>
      <c r="O154" s="177"/>
      <c r="P154" s="181">
        <v>0</v>
      </c>
      <c r="Q154" s="177">
        <v>43249</v>
      </c>
      <c r="R154" s="178">
        <v>472.983475</v>
      </c>
      <c r="S154" s="179">
        <v>210027.60499999998</v>
      </c>
      <c r="T154" s="182" t="s">
        <v>45</v>
      </c>
      <c r="U154" s="183">
        <v>3.7612999999999999</v>
      </c>
      <c r="V154" s="179">
        <v>11861.259550000001</v>
      </c>
      <c r="W154" s="179">
        <v>0</v>
      </c>
      <c r="X154" s="186" t="s">
        <v>45</v>
      </c>
      <c r="Y154" s="183">
        <v>3.7612999999999999</v>
      </c>
      <c r="Z154" s="220"/>
      <c r="AA154" s="172">
        <f>Delivery[[#This Row],[Quantity delivered]]*VLOOKUP(Delivery[[#This Row],[Unit]],Tab_Conversão[],4,FALSE)*VLOOKUP(CONCATENATE(Delivery[[#This Row],[Coffee specie]],Delivery[[#This Row],[Coffee state]]),Tab_Conversão[],4,FALSE)</f>
        <v>27030</v>
      </c>
      <c r="AB154" s="169">
        <f>SUMIF(Allocation!C:C,Delivery[[#This Row],[Delivery ID]],Allocation!D:D)/Delivery[[#This Row],[Quantity delivered]]</f>
        <v>1</v>
      </c>
      <c r="AC154" s="170">
        <f>Delivery[[#This Row],[Quantity delivered]]*Delivery[[#This Row],[Base price (Unidad)]]/60</f>
        <v>213079.05548750001</v>
      </c>
      <c r="AD154" s="171">
        <f>Delivery[[#This Row],[Nespresso total]]-Delivery[[#This Row],[Qt. Delivery * Base Price]]</f>
        <v>-3051.4504875000275</v>
      </c>
      <c r="AE154" s="171">
        <f>Delivery[[#This Row],[AAA Premium (total)]]/Delivery[[#This Row],[Quantity delivered]]*60/Delivery[[#This Row],[Exchange rate VS USD]]</f>
        <v>7</v>
      </c>
      <c r="AF154" s="171">
        <f>Delivery[[#This Row],[BEN premium (total)]]/Delivery[[#This Row],[Quantity delivered]]*60/Delivery[[#This Row],[Exchange rate for premiums VS USD]]</f>
        <v>0</v>
      </c>
      <c r="AG154" s="171">
        <f>COUNTIF(Delivery[Delivery ID],Delivery[[#This Row],[Delivery ID]])</f>
        <v>1</v>
      </c>
      <c r="AH154" s="171">
        <f>(Delivery[[#This Row],[Nespresso total]]/SUMIF(Allocation!C:C,Delivery[Delivery ID],Allocation!H:H))/Delivery[[#This Row],[Exchange rate VS USD]]</f>
        <v>6.2578840651648644</v>
      </c>
      <c r="AI154" s="171">
        <f>(Delivery[[#This Row],[AAA Premium (total)]]/SUMIF(Allocation!C:C,Delivery[Delivery ID],Allocation!H:H))/Delivery[[#This Row],[Exchange rate VS USD]]</f>
        <v>0.35341252941835705</v>
      </c>
      <c r="AJ154" s="171">
        <f>Delivery[[#This Row],[Valor Prêmio Nespresso AAA por Kg (em US$)]]*60</f>
        <v>21.204751765101424</v>
      </c>
      <c r="AK154" s="171">
        <f>Delivery[[#This Row],[Valor Prêmio Nespresso AAA por saca (em US$)]]/1.3228/100</f>
        <v>0.16030202422967513</v>
      </c>
      <c r="AL154" s="171">
        <f>(Delivery[[#This Row],[BEN premium (total)]]/SUMIF(Allocation!C:C,Delivery[Delivery ID],Allocation!H:H))/Delivery[[#This Row],[Exchange rate for premiums VS USD]]</f>
        <v>0</v>
      </c>
      <c r="AM154" s="171">
        <f>Delivery[[#This Row],[Valor Prêmio Nespresso BEN por Kg (em US$)]]*60</f>
        <v>0</v>
      </c>
      <c r="AN154" s="171">
        <f>Delivery[[#This Row],[Valor Prêmio Nespresso BEN por saca (em US$)]]/1.3228/100</f>
        <v>0</v>
      </c>
      <c r="AO154" s="171">
        <f>SUMIF(Allocation[Delivery ID],Delivery[[#This Row],[Delivery ID]],Allocation[Quantity allocated])*16*1.3228*Delivery[[#This Row],[Exchange rate VS USD]]/60</f>
        <v>11838.911811125332</v>
      </c>
      <c r="AP154" s="171">
        <f>Delivery[[#This Row],[AAA Premium (total)]]</f>
        <v>11861.259550000001</v>
      </c>
      <c r="AQ154" s="171">
        <f>Delivery[[#This Row],[Valor pago pelo Cluster]]-Delivery[[#This Row],[Valor efetivamente pago pela Nespresso]]</f>
        <v>22.347738874668721</v>
      </c>
    </row>
    <row r="155" spans="1:43" ht="15.75">
      <c r="A155" s="174" t="s">
        <v>69</v>
      </c>
      <c r="B155" s="232" t="s">
        <v>68</v>
      </c>
      <c r="C155" s="157" t="s">
        <v>1344</v>
      </c>
      <c r="D155" s="157" t="s">
        <v>468</v>
      </c>
      <c r="E155" s="176" t="s">
        <v>468</v>
      </c>
      <c r="F155" s="233" t="s">
        <v>543</v>
      </c>
      <c r="G155" s="234">
        <v>43306</v>
      </c>
      <c r="H155" s="235" t="s">
        <v>1413</v>
      </c>
      <c r="I155" s="157" t="s">
        <v>572</v>
      </c>
      <c r="J155" s="237">
        <v>2950</v>
      </c>
      <c r="K155" s="175" t="s">
        <v>61</v>
      </c>
      <c r="L155" s="175" t="s">
        <v>439</v>
      </c>
      <c r="M155" s="175" t="s">
        <v>1343</v>
      </c>
      <c r="N155" s="180"/>
      <c r="O155" s="177"/>
      <c r="P155" s="181">
        <v>0</v>
      </c>
      <c r="Q155" s="177">
        <v>43301</v>
      </c>
      <c r="R155" s="178">
        <v>419.32470000000001</v>
      </c>
      <c r="S155" s="179">
        <v>21123.474999999999</v>
      </c>
      <c r="T155" s="182" t="s">
        <v>45</v>
      </c>
      <c r="U155" s="183">
        <v>3.7776999999999998</v>
      </c>
      <c r="V155" s="179">
        <v>1300.1584166666667</v>
      </c>
      <c r="W155" s="179">
        <v>0</v>
      </c>
      <c r="X155" s="186" t="s">
        <v>45</v>
      </c>
      <c r="Y155" s="183">
        <v>3.7776999999999998</v>
      </c>
      <c r="Z155" s="220"/>
      <c r="AA155" s="172">
        <f>Delivery[[#This Row],[Quantity delivered]]*VLOOKUP(Delivery[[#This Row],[Unit]],Tab_Conversão[],4,FALSE)*VLOOKUP(CONCATENATE(Delivery[[#This Row],[Coffee specie]],Delivery[[#This Row],[Coffee state]]),Tab_Conversão[],4,FALSE)</f>
        <v>2950</v>
      </c>
      <c r="AB155" s="169">
        <f>SUMIF(Allocation!C:C,Delivery[[#This Row],[Delivery ID]],Allocation!D:D)/Delivery[[#This Row],[Quantity delivered]]</f>
        <v>0.55118644067796607</v>
      </c>
      <c r="AC155" s="170">
        <f>Delivery[[#This Row],[Quantity delivered]]*Delivery[[#This Row],[Base price (Unidad)]]/60</f>
        <v>20616.797750000002</v>
      </c>
      <c r="AD155" s="171">
        <f>Delivery[[#This Row],[Nespresso total]]-Delivery[[#This Row],[Qt. Delivery * Base Price]]</f>
        <v>506.677249999997</v>
      </c>
      <c r="AE155" s="171">
        <f>Delivery[[#This Row],[AAA Premium (total)]]/Delivery[[#This Row],[Quantity delivered]]*60/Delivery[[#This Row],[Exchange rate VS USD]]</f>
        <v>7.0000000000000009</v>
      </c>
      <c r="AF155" s="171">
        <f>Delivery[[#This Row],[BEN premium (total)]]/Delivery[[#This Row],[Quantity delivered]]*60/Delivery[[#This Row],[Exchange rate for premiums VS USD]]</f>
        <v>0</v>
      </c>
      <c r="AG155" s="171">
        <f>COUNTIF(Delivery[Delivery ID],Delivery[[#This Row],[Delivery ID]])</f>
        <v>1</v>
      </c>
      <c r="AH155" s="171">
        <f>(Delivery[[#This Row],[Nespresso total]]/SUMIF(Allocation!C:C,Delivery[Delivery ID],Allocation!H:H))/Delivery[[#This Row],[Exchange rate VS USD]]</f>
        <v>7.9994609583542422</v>
      </c>
      <c r="AI155" s="171">
        <f>(Delivery[[#This Row],[AAA Premium (total)]]/SUMIF(Allocation!C:C,Delivery[Delivery ID],Allocation!H:H))/Delivery[[#This Row],[Exchange rate VS USD]]</f>
        <v>0.49237005245588938</v>
      </c>
      <c r="AJ155" s="171">
        <f>Delivery[[#This Row],[Valor Prêmio Nespresso AAA por Kg (em US$)]]*60</f>
        <v>29.542203147353362</v>
      </c>
      <c r="AK155" s="171">
        <f>Delivery[[#This Row],[Valor Prêmio Nespresso AAA por saca (em US$)]]/1.3228/100</f>
        <v>0.22333083721918176</v>
      </c>
      <c r="AL155" s="171">
        <f>(Delivery[[#This Row],[BEN premium (total)]]/SUMIF(Allocation!C:C,Delivery[Delivery ID],Allocation!H:H))/Delivery[[#This Row],[Exchange rate for premiums VS USD]]</f>
        <v>0</v>
      </c>
      <c r="AM155" s="171">
        <f>Delivery[[#This Row],[Valor Prêmio Nespresso BEN por Kg (em US$)]]*60</f>
        <v>0</v>
      </c>
      <c r="AN155" s="171">
        <f>Delivery[[#This Row],[Valor Prêmio Nespresso BEN por saca (em US$)]]/1.3228/100</f>
        <v>0</v>
      </c>
      <c r="AO155" s="171">
        <f>SUMIF(Allocation[Delivery ID],Delivery[[#This Row],[Delivery ID]],Allocation[Quantity allocated])*16*1.3228*Delivery[[#This Row],[Exchange rate VS USD]]/60</f>
        <v>931.46718678399998</v>
      </c>
      <c r="AP155" s="171">
        <f>Delivery[[#This Row],[AAA Premium (total)]]</f>
        <v>1300.1584166666667</v>
      </c>
      <c r="AQ155" s="171">
        <f>Delivery[[#This Row],[Valor pago pelo Cluster]]-Delivery[[#This Row],[Valor efetivamente pago pela Nespresso]]</f>
        <v>368.69122988266668</v>
      </c>
    </row>
    <row r="156" spans="1:43" ht="15.75">
      <c r="A156" s="174" t="s">
        <v>69</v>
      </c>
      <c r="B156" s="232" t="s">
        <v>68</v>
      </c>
      <c r="C156" s="157">
        <v>1</v>
      </c>
      <c r="D156" s="157" t="s">
        <v>468</v>
      </c>
      <c r="E156" s="177" t="s">
        <v>468</v>
      </c>
      <c r="F156" s="233" t="s">
        <v>543</v>
      </c>
      <c r="G156" s="234">
        <v>43306</v>
      </c>
      <c r="H156" s="157" t="s">
        <v>1414</v>
      </c>
      <c r="I156" s="236" t="s">
        <v>572</v>
      </c>
      <c r="J156" s="237">
        <v>3290</v>
      </c>
      <c r="K156" s="175" t="s">
        <v>61</v>
      </c>
      <c r="L156" s="175" t="s">
        <v>439</v>
      </c>
      <c r="M156" s="175" t="s">
        <v>1343</v>
      </c>
      <c r="N156" s="180"/>
      <c r="O156" s="177"/>
      <c r="P156" s="181">
        <v>0</v>
      </c>
      <c r="Q156" s="177">
        <v>43301</v>
      </c>
      <c r="R156" s="178">
        <v>419.32470000000001</v>
      </c>
      <c r="S156" s="179">
        <v>21051.87</v>
      </c>
      <c r="T156" s="182" t="s">
        <v>45</v>
      </c>
      <c r="U156" s="183">
        <v>3.7776999999999998</v>
      </c>
      <c r="V156" s="179">
        <v>2071.6033333333335</v>
      </c>
      <c r="W156" s="179">
        <v>0</v>
      </c>
      <c r="X156" s="186" t="s">
        <v>45</v>
      </c>
      <c r="Y156" s="183">
        <v>3.7776999999999998</v>
      </c>
      <c r="Z156" s="220"/>
      <c r="AA156" s="172">
        <f>Delivery[[#This Row],[Quantity delivered]]*VLOOKUP(Delivery[[#This Row],[Unit]],Tab_Conversão[],4,FALSE)*VLOOKUP(CONCATENATE(Delivery[[#This Row],[Coffee specie]],Delivery[[#This Row],[Coffee state]]),Tab_Conversão[],4,FALSE)</f>
        <v>3290</v>
      </c>
      <c r="AB156" s="169">
        <f>SUMIF(Allocation!C:C,Delivery[[#This Row],[Delivery ID]],Allocation!D:D)/Delivery[[#This Row],[Quantity delivered]]</f>
        <v>0.78662613981762919</v>
      </c>
      <c r="AC156" s="170">
        <f>Delivery[[#This Row],[Quantity delivered]]*Delivery[[#This Row],[Base price (Unidad)]]/60</f>
        <v>22992.97105</v>
      </c>
      <c r="AD156" s="171">
        <f>Delivery[[#This Row],[Nespresso total]]-Delivery[[#This Row],[Qt. Delivery * Base Price]]</f>
        <v>-1941.1010500000011</v>
      </c>
      <c r="AE156" s="171">
        <f>Delivery[[#This Row],[AAA Premium (total)]]/Delivery[[#This Row],[Quantity delivered]]*60/Delivery[[#This Row],[Exchange rate VS USD]]</f>
        <v>10.000794133996877</v>
      </c>
      <c r="AF156" s="171">
        <f>Delivery[[#This Row],[BEN premium (total)]]/Delivery[[#This Row],[Quantity delivered]]*60/Delivery[[#This Row],[Exchange rate for premiums VS USD]]</f>
        <v>0</v>
      </c>
      <c r="AG156" s="171">
        <f>COUNTIF(Delivery[Delivery ID],Delivery[[#This Row],[Delivery ID]])</f>
        <v>1</v>
      </c>
      <c r="AH156" s="171">
        <f>(Delivery[[#This Row],[Nespresso total]]/SUMIF(Allocation!C:C,Delivery[Delivery ID],Allocation!H:H))/Delivery[[#This Row],[Exchange rate VS USD]]</f>
        <v>5.006889986469754</v>
      </c>
      <c r="AI156" s="171">
        <f>(Delivery[[#This Row],[AAA Premium (total)]]/SUMIF(Allocation!C:C,Delivery[Delivery ID],Allocation!H:H))/Delivery[[#This Row],[Exchange rate VS USD]]</f>
        <v>0.49270159779649186</v>
      </c>
      <c r="AJ156" s="171">
        <f>Delivery[[#This Row],[Valor Prêmio Nespresso AAA por Kg (em US$)]]*60</f>
        <v>29.562095867789512</v>
      </c>
      <c r="AK156" s="171">
        <f>Delivery[[#This Row],[Valor Prêmio Nespresso AAA por saca (em US$)]]/1.3228/100</f>
        <v>0.22348122065156875</v>
      </c>
      <c r="AL156" s="171">
        <f>(Delivery[[#This Row],[BEN premium (total)]]/SUMIF(Allocation!C:C,Delivery[Delivery ID],Allocation!H:H))/Delivery[[#This Row],[Exchange rate for premiums VS USD]]</f>
        <v>0</v>
      </c>
      <c r="AM156" s="171">
        <f>Delivery[[#This Row],[Valor Prêmio Nespresso BEN por Kg (em US$)]]*60</f>
        <v>0</v>
      </c>
      <c r="AN156" s="171">
        <f>Delivery[[#This Row],[Valor Prêmio Nespresso BEN por saca (em US$)]]/1.3228/100</f>
        <v>0</v>
      </c>
      <c r="AO156" s="171">
        <f>SUMIF(Allocation[Delivery ID],Delivery[[#This Row],[Delivery ID]],Allocation[Quantity allocated])*16*1.3228*Delivery[[#This Row],[Exchange rate VS USD]]/60</f>
        <v>1483.1516150079999</v>
      </c>
      <c r="AP156" s="171">
        <f>Delivery[[#This Row],[AAA Premium (total)]]</f>
        <v>2071.6033333333335</v>
      </c>
      <c r="AQ156" s="171">
        <f>Delivery[[#This Row],[Valor pago pelo Cluster]]-Delivery[[#This Row],[Valor efetivamente pago pela Nespresso]]</f>
        <v>588.45171832533356</v>
      </c>
    </row>
    <row r="157" spans="1:43" ht="15.75">
      <c r="A157" s="174" t="s">
        <v>69</v>
      </c>
      <c r="B157" s="232" t="s">
        <v>68</v>
      </c>
      <c r="C157" s="157">
        <v>1</v>
      </c>
      <c r="D157" s="157" t="s">
        <v>468</v>
      </c>
      <c r="E157" s="177" t="s">
        <v>468</v>
      </c>
      <c r="F157" s="233" t="s">
        <v>543</v>
      </c>
      <c r="G157" s="234">
        <v>43306</v>
      </c>
      <c r="H157" s="157" t="s">
        <v>587</v>
      </c>
      <c r="I157" s="157" t="s">
        <v>588</v>
      </c>
      <c r="J157" s="237">
        <v>16230</v>
      </c>
      <c r="K157" s="175" t="s">
        <v>61</v>
      </c>
      <c r="L157" s="175" t="s">
        <v>439</v>
      </c>
      <c r="M157" s="175" t="s">
        <v>1343</v>
      </c>
      <c r="N157" s="180"/>
      <c r="O157" s="177"/>
      <c r="P157" s="181">
        <v>0</v>
      </c>
      <c r="Q157" s="177">
        <v>43303</v>
      </c>
      <c r="R157" s="178">
        <v>423.20908500000002</v>
      </c>
      <c r="S157" s="179">
        <v>120601.88</v>
      </c>
      <c r="T157" s="182" t="s">
        <v>45</v>
      </c>
      <c r="U157" s="183">
        <v>3.7972999999999999</v>
      </c>
      <c r="V157" s="179">
        <v>7189.89</v>
      </c>
      <c r="W157" s="179">
        <v>0</v>
      </c>
      <c r="X157" s="186" t="s">
        <v>45</v>
      </c>
      <c r="Y157" s="183">
        <v>3.7972999999999999</v>
      </c>
      <c r="Z157" s="220"/>
      <c r="AA157" s="172">
        <f>Delivery[[#This Row],[Quantity delivered]]*VLOOKUP(Delivery[[#This Row],[Unit]],Tab_Conversão[],4,FALSE)*VLOOKUP(CONCATENATE(Delivery[[#This Row],[Coffee specie]],Delivery[[#This Row],[Coffee state]]),Tab_Conversão[],4,FALSE)</f>
        <v>16230</v>
      </c>
      <c r="AB157" s="169">
        <f>SUMIF(Allocation!C:C,Delivery[[#This Row],[Delivery ID]],Allocation!D:D)/Delivery[[#This Row],[Quantity delivered]]</f>
        <v>1</v>
      </c>
      <c r="AC157" s="170">
        <f>Delivery[[#This Row],[Quantity delivered]]*Delivery[[#This Row],[Base price (Unidad)]]/60</f>
        <v>114478.0574925</v>
      </c>
      <c r="AD157" s="171">
        <f>Delivery[[#This Row],[Nespresso total]]-Delivery[[#This Row],[Qt. Delivery * Base Price]]</f>
        <v>6123.8225075000082</v>
      </c>
      <c r="AE157" s="171">
        <f>Delivery[[#This Row],[AAA Premium (total)]]/Delivery[[#This Row],[Quantity delivered]]*60/Delivery[[#This Row],[Exchange rate VS USD]]</f>
        <v>6.9997103204908759</v>
      </c>
      <c r="AF157" s="171">
        <f>Delivery[[#This Row],[BEN premium (total)]]/Delivery[[#This Row],[Quantity delivered]]*60/Delivery[[#This Row],[Exchange rate for premiums VS USD]]</f>
        <v>0</v>
      </c>
      <c r="AG157" s="171">
        <f>COUNTIF(Delivery[Delivery ID],Delivery[[#This Row],[Delivery ID]])</f>
        <v>1</v>
      </c>
      <c r="AH157" s="171">
        <f>(Delivery[[#This Row],[Nespresso total]]/SUMIF(Allocation!C:C,Delivery[Delivery ID],Allocation!H:H))/Delivery[[#This Row],[Exchange rate VS USD]]</f>
        <v>5.9176268099565776</v>
      </c>
      <c r="AI157" s="171">
        <f>(Delivery[[#This Row],[AAA Premium (total)]]/SUMIF(Allocation!C:C,Delivery[Delivery ID],Allocation!H:H))/Delivery[[#This Row],[Exchange rate VS USD]]</f>
        <v>0.35278957363383306</v>
      </c>
      <c r="AJ157" s="171">
        <f>Delivery[[#This Row],[Valor Prêmio Nespresso AAA por Kg (em US$)]]*60</f>
        <v>21.167374418029983</v>
      </c>
      <c r="AK157" s="171">
        <f>Delivery[[#This Row],[Valor Prêmio Nespresso AAA por saca (em US$)]]/1.3228/100</f>
        <v>0.16001946188410934</v>
      </c>
      <c r="AL157" s="171">
        <f>(Delivery[[#This Row],[BEN premium (total)]]/SUMIF(Allocation!C:C,Delivery[Delivery ID],Allocation!H:H))/Delivery[[#This Row],[Exchange rate for premiums VS USD]]</f>
        <v>0</v>
      </c>
      <c r="AM157" s="171">
        <f>Delivery[[#This Row],[Valor Prêmio Nespresso BEN por Kg (em US$)]]*60</f>
        <v>0</v>
      </c>
      <c r="AN157" s="171">
        <f>Delivery[[#This Row],[Valor Prêmio Nespresso BEN por saca (em US$)]]/1.3228/100</f>
        <v>0</v>
      </c>
      <c r="AO157" s="171">
        <f>SUMIF(Allocation[Delivery ID],Delivery[[#This Row],[Delivery ID]],Allocation[Quantity allocated])*16*1.3228*Delivery[[#This Row],[Exchange rate VS USD]]/60</f>
        <v>7189.0155513279997</v>
      </c>
      <c r="AP157" s="171">
        <f>Delivery[[#This Row],[AAA Premium (total)]]</f>
        <v>7189.89</v>
      </c>
      <c r="AQ157" s="171">
        <f>Delivery[[#This Row],[Valor pago pelo Cluster]]-Delivery[[#This Row],[Valor efetivamente pago pela Nespresso]]</f>
        <v>0.87444867200065346</v>
      </c>
    </row>
    <row r="158" spans="1:43" ht="15.75">
      <c r="A158" s="174" t="s">
        <v>69</v>
      </c>
      <c r="B158" s="232" t="s">
        <v>68</v>
      </c>
      <c r="C158" s="157" t="s">
        <v>1344</v>
      </c>
      <c r="D158" s="157" t="s">
        <v>468</v>
      </c>
      <c r="E158" s="177" t="s">
        <v>468</v>
      </c>
      <c r="F158" s="233" t="s">
        <v>543</v>
      </c>
      <c r="G158" s="234">
        <v>43306</v>
      </c>
      <c r="H158" s="157" t="s">
        <v>1415</v>
      </c>
      <c r="I158" s="157" t="s">
        <v>590</v>
      </c>
      <c r="J158" s="237">
        <v>5220</v>
      </c>
      <c r="K158" s="175" t="s">
        <v>61</v>
      </c>
      <c r="L158" s="175" t="s">
        <v>439</v>
      </c>
      <c r="M158" s="175" t="s">
        <v>1343</v>
      </c>
      <c r="N158" s="180"/>
      <c r="O158" s="177"/>
      <c r="P158" s="181">
        <v>0</v>
      </c>
      <c r="Q158" s="177">
        <v>43300</v>
      </c>
      <c r="R158" s="178">
        <v>416.28552000000002</v>
      </c>
      <c r="S158" s="179">
        <v>37018.5</v>
      </c>
      <c r="T158" s="182" t="s">
        <v>45</v>
      </c>
      <c r="U158" s="183">
        <v>3.8332000000000002</v>
      </c>
      <c r="V158" s="179">
        <v>2334.4187999999999</v>
      </c>
      <c r="W158" s="179">
        <v>0</v>
      </c>
      <c r="X158" s="186" t="s">
        <v>45</v>
      </c>
      <c r="Y158" s="183">
        <v>3.8329</v>
      </c>
      <c r="Z158" s="220"/>
      <c r="AA158" s="172">
        <f>Delivery[[#This Row],[Quantity delivered]]*VLOOKUP(Delivery[[#This Row],[Unit]],Tab_Conversão[],4,FALSE)*VLOOKUP(CONCATENATE(Delivery[[#This Row],[Coffee specie]],Delivery[[#This Row],[Coffee state]]),Tab_Conversão[],4,FALSE)</f>
        <v>5220</v>
      </c>
      <c r="AB158" s="169">
        <f>SUMIF(Allocation!C:C,Delivery[[#This Row],[Delivery ID]],Allocation!D:D)/Delivery[[#This Row],[Quantity delivered]]</f>
        <v>0.29214559386973182</v>
      </c>
      <c r="AC158" s="170">
        <f>Delivery[[#This Row],[Quantity delivered]]*Delivery[[#This Row],[Base price (Unidad)]]/60</f>
        <v>36216.840240000005</v>
      </c>
      <c r="AD158" s="171">
        <f>Delivery[[#This Row],[Nespresso total]]-Delivery[[#This Row],[Qt. Delivery * Base Price]]</f>
        <v>801.659759999995</v>
      </c>
      <c r="AE158" s="171">
        <f>Delivery[[#This Row],[AAA Premium (total)]]/Delivery[[#This Row],[Quantity delivered]]*60/Delivery[[#This Row],[Exchange rate VS USD]]</f>
        <v>7</v>
      </c>
      <c r="AF158" s="171">
        <f>Delivery[[#This Row],[BEN premium (total)]]/Delivery[[#This Row],[Quantity delivered]]*60/Delivery[[#This Row],[Exchange rate for premiums VS USD]]</f>
        <v>0</v>
      </c>
      <c r="AG158" s="171">
        <f>COUNTIF(Delivery[Delivery ID],Delivery[[#This Row],[Delivery ID]])</f>
        <v>1</v>
      </c>
      <c r="AH158" s="171">
        <f>(Delivery[[#This Row],[Nespresso total]]/SUMIF(Allocation!C:C,Delivery[Delivery ID],Allocation!H:H))/Delivery[[#This Row],[Exchange rate VS USD]]</f>
        <v>19.199474964882519</v>
      </c>
      <c r="AI158" s="171">
        <f>(Delivery[[#This Row],[AAA Premium (total)]]/SUMIF(Allocation!C:C,Delivery[Delivery ID],Allocation!H:H))/Delivery[[#This Row],[Exchange rate VS USD]]</f>
        <v>1.2107355864811131</v>
      </c>
      <c r="AJ158" s="171">
        <f>Delivery[[#This Row],[Valor Prêmio Nespresso AAA por Kg (em US$)]]*60</f>
        <v>72.644135188866784</v>
      </c>
      <c r="AK158" s="171">
        <f>Delivery[[#This Row],[Valor Prêmio Nespresso AAA por saca (em US$)]]/1.3228/100</f>
        <v>0.54916945259197758</v>
      </c>
      <c r="AL158" s="171">
        <f>(Delivery[[#This Row],[BEN premium (total)]]/SUMIF(Allocation!C:C,Delivery[Delivery ID],Allocation!H:H))/Delivery[[#This Row],[Exchange rate for premiums VS USD]]</f>
        <v>0</v>
      </c>
      <c r="AM158" s="171">
        <f>Delivery[[#This Row],[Valor Prêmio Nespresso BEN por Kg (em US$)]]*60</f>
        <v>0</v>
      </c>
      <c r="AN158" s="171">
        <f>Delivery[[#This Row],[Valor Prêmio Nespresso BEN por saca (em US$)]]/1.3228/100</f>
        <v>0</v>
      </c>
      <c r="AO158" s="171">
        <f>SUMIF(Allocation[Delivery ID],Delivery[[#This Row],[Delivery ID]],Allocation[Quantity allocated])*16*1.3228*Delivery[[#This Row],[Exchange rate VS USD]]/60</f>
        <v>680.13070690133327</v>
      </c>
      <c r="AP158" s="171">
        <f>Delivery[[#This Row],[AAA Premium (total)]]</f>
        <v>2334.4187999999999</v>
      </c>
      <c r="AQ158" s="171">
        <f>Delivery[[#This Row],[Valor pago pelo Cluster]]-Delivery[[#This Row],[Valor efetivamente pago pela Nespresso]]</f>
        <v>1654.2880930986666</v>
      </c>
    </row>
    <row r="159" spans="1:43" ht="15.75">
      <c r="A159" s="174" t="s">
        <v>69</v>
      </c>
      <c r="B159" s="232" t="s">
        <v>68</v>
      </c>
      <c r="C159" s="157">
        <v>1</v>
      </c>
      <c r="D159" s="157" t="s">
        <v>468</v>
      </c>
      <c r="E159" s="177" t="s">
        <v>468</v>
      </c>
      <c r="F159" s="233" t="s">
        <v>543</v>
      </c>
      <c r="G159" s="234">
        <v>43306</v>
      </c>
      <c r="H159" s="157" t="s">
        <v>589</v>
      </c>
      <c r="I159" s="157" t="s">
        <v>590</v>
      </c>
      <c r="J159" s="237">
        <v>6060</v>
      </c>
      <c r="K159" s="175" t="s">
        <v>61</v>
      </c>
      <c r="L159" s="175" t="s">
        <v>439</v>
      </c>
      <c r="M159" s="175" t="s">
        <v>1343</v>
      </c>
      <c r="N159" s="180"/>
      <c r="O159" s="177"/>
      <c r="P159" s="181">
        <v>0</v>
      </c>
      <c r="Q159" s="177">
        <v>43300</v>
      </c>
      <c r="R159" s="178">
        <v>416.28552000000002</v>
      </c>
      <c r="S159" s="179">
        <v>42975.5</v>
      </c>
      <c r="T159" s="182" t="s">
        <v>45</v>
      </c>
      <c r="U159" s="183">
        <v>3.8332000000000002</v>
      </c>
      <c r="V159" s="179">
        <v>2710.0724</v>
      </c>
      <c r="W159" s="179">
        <v>0</v>
      </c>
      <c r="X159" s="186" t="s">
        <v>45</v>
      </c>
      <c r="Y159" s="183">
        <v>3.8332000000000002</v>
      </c>
      <c r="Z159" s="220"/>
      <c r="AA159" s="172">
        <f>Delivery[[#This Row],[Quantity delivered]]*VLOOKUP(Delivery[[#This Row],[Unit]],Tab_Conversão[],4,FALSE)*VLOOKUP(CONCATENATE(Delivery[[#This Row],[Coffee specie]],Delivery[[#This Row],[Coffee state]]),Tab_Conversão[],4,FALSE)</f>
        <v>6060</v>
      </c>
      <c r="AB159" s="169">
        <f>SUMIF(Allocation!C:C,Delivery[[#This Row],[Delivery ID]],Allocation!D:D)/Delivery[[#This Row],[Quantity delivered]]</f>
        <v>1</v>
      </c>
      <c r="AC159" s="170">
        <f>Delivery[[#This Row],[Quantity delivered]]*Delivery[[#This Row],[Base price (Unidad)]]/60</f>
        <v>42044.837520000008</v>
      </c>
      <c r="AD159" s="171">
        <f>Delivery[[#This Row],[Nespresso total]]-Delivery[[#This Row],[Qt. Delivery * Base Price]]</f>
        <v>930.66247999999177</v>
      </c>
      <c r="AE159" s="171">
        <f>Delivery[[#This Row],[AAA Premium (total)]]/Delivery[[#This Row],[Quantity delivered]]*60/Delivery[[#This Row],[Exchange rate VS USD]]</f>
        <v>7.0000000000000009</v>
      </c>
      <c r="AF159" s="171">
        <f>Delivery[[#This Row],[BEN premium (total)]]/Delivery[[#This Row],[Quantity delivered]]*60/Delivery[[#This Row],[Exchange rate for premiums VS USD]]</f>
        <v>0</v>
      </c>
      <c r="AG159" s="171">
        <f>COUNTIF(Delivery[Delivery ID],Delivery[[#This Row],[Delivery ID]])</f>
        <v>1</v>
      </c>
      <c r="AH159" s="171">
        <f>(Delivery[[#This Row],[Nespresso total]]/SUMIF(Allocation!C:C,Delivery[Delivery ID],Allocation!H:H))/Delivery[[#This Row],[Exchange rate VS USD]]</f>
        <v>5.8545117291853588</v>
      </c>
      <c r="AI159" s="171">
        <f>(Delivery[[#This Row],[AAA Premium (total)]]/SUMIF(Allocation!C:C,Delivery[Delivery ID],Allocation!H:H))/Delivery[[#This Row],[Exchange rate VS USD]]</f>
        <v>0.36919060052219321</v>
      </c>
      <c r="AJ159" s="171">
        <f>Delivery[[#This Row],[Valor Prêmio Nespresso AAA por Kg (em US$)]]*60</f>
        <v>22.151436031331592</v>
      </c>
      <c r="AK159" s="171">
        <f>Delivery[[#This Row],[Valor Prêmio Nespresso AAA por saca (em US$)]]/1.3228/100</f>
        <v>0.16745869391693069</v>
      </c>
      <c r="AL159" s="171">
        <f>(Delivery[[#This Row],[BEN premium (total)]]/SUMIF(Allocation!C:C,Delivery[Delivery ID],Allocation!H:H))/Delivery[[#This Row],[Exchange rate for premiums VS USD]]</f>
        <v>0</v>
      </c>
      <c r="AM159" s="171">
        <f>Delivery[[#This Row],[Valor Prêmio Nespresso BEN por Kg (em US$)]]*60</f>
        <v>0</v>
      </c>
      <c r="AN159" s="171">
        <f>Delivery[[#This Row],[Valor Prêmio Nespresso BEN por saca (em US$)]]/1.3228/100</f>
        <v>0</v>
      </c>
      <c r="AO159" s="171">
        <f>SUMIF(Allocation[Delivery ID],Delivery[[#This Row],[Delivery ID]],Allocation[Quantity allocated])*16*1.3228*Delivery[[#This Row],[Exchange rate VS USD]]/60</f>
        <v>2589.364420906667</v>
      </c>
      <c r="AP159" s="171">
        <f>Delivery[[#This Row],[AAA Premium (total)]]</f>
        <v>2710.0724</v>
      </c>
      <c r="AQ159" s="171">
        <f>Delivery[[#This Row],[Valor pago pelo Cluster]]-Delivery[[#This Row],[Valor efetivamente pago pela Nespresso]]</f>
        <v>120.70797909333305</v>
      </c>
    </row>
    <row r="160" spans="1:43" ht="15.75">
      <c r="A160" s="174" t="s">
        <v>69</v>
      </c>
      <c r="B160" s="232" t="s">
        <v>68</v>
      </c>
      <c r="C160" s="157">
        <v>1</v>
      </c>
      <c r="D160" s="157" t="s">
        <v>468</v>
      </c>
      <c r="E160" s="177" t="s">
        <v>468</v>
      </c>
      <c r="F160" s="233" t="s">
        <v>543</v>
      </c>
      <c r="G160" s="234">
        <v>43306</v>
      </c>
      <c r="H160" s="160" t="s">
        <v>1416</v>
      </c>
      <c r="I160" s="157" t="s">
        <v>477</v>
      </c>
      <c r="J160" s="237">
        <v>7260</v>
      </c>
      <c r="K160" s="175" t="s">
        <v>61</v>
      </c>
      <c r="L160" s="175" t="s">
        <v>439</v>
      </c>
      <c r="M160" s="175" t="s">
        <v>1343</v>
      </c>
      <c r="N160" s="180"/>
      <c r="O160" s="177"/>
      <c r="P160" s="181">
        <v>0</v>
      </c>
      <c r="Q160" s="177">
        <v>43214</v>
      </c>
      <c r="R160" s="178">
        <v>441.55799999999994</v>
      </c>
      <c r="S160" s="179">
        <v>53261.503423766</v>
      </c>
      <c r="T160" s="182" t="s">
        <v>45</v>
      </c>
      <c r="U160" s="183">
        <v>3.51</v>
      </c>
      <c r="V160" s="179">
        <v>2972.9700000000003</v>
      </c>
      <c r="W160" s="179">
        <v>929.55657623400009</v>
      </c>
      <c r="X160" s="186" t="s">
        <v>45</v>
      </c>
      <c r="Y160" s="183">
        <v>3.51</v>
      </c>
      <c r="Z160" s="220" t="s">
        <v>473</v>
      </c>
      <c r="AA160" s="172">
        <f>Delivery[[#This Row],[Quantity delivered]]*VLOOKUP(Delivery[[#This Row],[Unit]],Tab_Conversão[],4,FALSE)*VLOOKUP(CONCATENATE(Delivery[[#This Row],[Coffee specie]],Delivery[[#This Row],[Coffee state]]),Tab_Conversão[],4,FALSE)</f>
        <v>7260</v>
      </c>
      <c r="AB160" s="169">
        <f>SUMIF(Allocation!C:C,Delivery[[#This Row],[Delivery ID]],Allocation!D:D)/Delivery[[#This Row],[Quantity delivered]]</f>
        <v>0.19242424242424241</v>
      </c>
      <c r="AC160" s="170">
        <f>Delivery[[#This Row],[Quantity delivered]]*Delivery[[#This Row],[Base price (Unidad)]]/60</f>
        <v>53428.517999999996</v>
      </c>
      <c r="AD160" s="171">
        <f>Delivery[[#This Row],[Nespresso total]]-Delivery[[#This Row],[Qt. Delivery * Base Price]]</f>
        <v>-167.01457623399619</v>
      </c>
      <c r="AE160" s="171">
        <f>Delivery[[#This Row],[AAA Premium (total)]]/Delivery[[#This Row],[Quantity delivered]]*60/Delivery[[#This Row],[Exchange rate VS USD]]</f>
        <v>7.0000000000000009</v>
      </c>
      <c r="AF160" s="171">
        <f>Delivery[[#This Row],[BEN premium (total)]]/Delivery[[#This Row],[Quantity delivered]]*60/Delivery[[#This Row],[Exchange rate for premiums VS USD]]</f>
        <v>2.1886854000000002</v>
      </c>
      <c r="AG160" s="171">
        <f>COUNTIF(Delivery[Delivery ID],Delivery[[#This Row],[Delivery ID]])</f>
        <v>1</v>
      </c>
      <c r="AH160" s="171">
        <f>(Delivery[[#This Row],[Nespresso total]]/SUMIF(Allocation!C:C,Delivery[Delivery ID],Allocation!H:H))/Delivery[[#This Row],[Exchange rate VS USD]]</f>
        <v>32.915873101189661</v>
      </c>
      <c r="AI160" s="171">
        <f>(Delivery[[#This Row],[AAA Premium (total)]]/SUMIF(Allocation!C:C,Delivery[Delivery ID],Allocation!H:H))/Delivery[[#This Row],[Exchange rate VS USD]]</f>
        <v>1.8373101952277662</v>
      </c>
      <c r="AJ160" s="171">
        <f>Delivery[[#This Row],[Valor Prêmio Nespresso AAA por Kg (em US$)]]*60</f>
        <v>110.23861171366597</v>
      </c>
      <c r="AK160" s="171">
        <f>Delivery[[#This Row],[Valor Prêmio Nespresso AAA por saca (em US$)]]/1.3228/100</f>
        <v>0.83337323642021444</v>
      </c>
      <c r="AL160" s="171">
        <f>(Delivery[[#This Row],[BEN premium (total)]]/SUMIF(Allocation!C:C,Delivery[Delivery ID],Allocation!H:H))/Delivery[[#This Row],[Exchange rate for premiums VS USD]]</f>
        <v>0.57447057136659441</v>
      </c>
      <c r="AM160" s="171">
        <f>Delivery[[#This Row],[Valor Prêmio Nespresso BEN por Kg (em US$)]]*60</f>
        <v>34.468234281995663</v>
      </c>
      <c r="AN160" s="171">
        <f>Delivery[[#This Row],[Valor Prêmio Nespresso BEN por saca (em US$)]]/1.3228/100</f>
        <v>0.26057026218623874</v>
      </c>
      <c r="AO160" s="171">
        <f>SUMIF(Allocation[Delivery ID],Delivery[[#This Row],[Delivery ID]],Allocation[Quantity allocated])*16*1.3228*Delivery[[#This Row],[Exchange rate VS USD]]/60</f>
        <v>570.78290879999997</v>
      </c>
      <c r="AP160" s="171">
        <f>Delivery[[#This Row],[AAA Premium (total)]]</f>
        <v>2972.9700000000003</v>
      </c>
      <c r="AQ160" s="171">
        <f>Delivery[[#This Row],[Valor pago pelo Cluster]]-Delivery[[#This Row],[Valor efetivamente pago pela Nespresso]]</f>
        <v>2402.1870912000004</v>
      </c>
    </row>
    <row r="161" spans="1:43" ht="15.75">
      <c r="A161" s="174" t="s">
        <v>69</v>
      </c>
      <c r="B161" s="232" t="s">
        <v>68</v>
      </c>
      <c r="C161" s="157">
        <v>1</v>
      </c>
      <c r="D161" s="157" t="s">
        <v>468</v>
      </c>
      <c r="E161" s="176" t="s">
        <v>468</v>
      </c>
      <c r="F161" s="233" t="s">
        <v>543</v>
      </c>
      <c r="G161" s="234">
        <v>43306</v>
      </c>
      <c r="H161" s="160" t="s">
        <v>1417</v>
      </c>
      <c r="I161" s="157" t="s">
        <v>477</v>
      </c>
      <c r="J161" s="237">
        <v>6710</v>
      </c>
      <c r="K161" s="175" t="s">
        <v>61</v>
      </c>
      <c r="L161" s="175" t="s">
        <v>439</v>
      </c>
      <c r="M161" s="175" t="s">
        <v>1343</v>
      </c>
      <c r="N161" s="180"/>
      <c r="O161" s="177"/>
      <c r="P161" s="181">
        <v>0</v>
      </c>
      <c r="Q161" s="177">
        <v>43214</v>
      </c>
      <c r="R161" s="178">
        <v>441.55799999999994</v>
      </c>
      <c r="S161" s="179">
        <v>49226.541043177669</v>
      </c>
      <c r="T161" s="182" t="s">
        <v>45</v>
      </c>
      <c r="U161" s="183">
        <v>3.51</v>
      </c>
      <c r="V161" s="179">
        <v>2747.7450000000003</v>
      </c>
      <c r="W161" s="179">
        <v>859.13562348900007</v>
      </c>
      <c r="X161" s="186" t="s">
        <v>45</v>
      </c>
      <c r="Y161" s="183">
        <v>3.51</v>
      </c>
      <c r="Z161" s="220" t="s">
        <v>473</v>
      </c>
      <c r="AA161" s="172">
        <f>Delivery[[#This Row],[Quantity delivered]]*VLOOKUP(Delivery[[#This Row],[Unit]],Tab_Conversão[],4,FALSE)*VLOOKUP(CONCATENATE(Delivery[[#This Row],[Coffee specie]],Delivery[[#This Row],[Coffee state]]),Tab_Conversão[],4,FALSE)</f>
        <v>6710</v>
      </c>
      <c r="AB161" s="169">
        <f>SUMIF(Allocation!C:C,Delivery[[#This Row],[Delivery ID]],Allocation!D:D)/Delivery[[#This Row],[Quantity delivered]]</f>
        <v>0.19239940387481372</v>
      </c>
      <c r="AC161" s="170">
        <f>Delivery[[#This Row],[Quantity delivered]]*Delivery[[#This Row],[Base price (Unidad)]]/60</f>
        <v>49380.902999999998</v>
      </c>
      <c r="AD161" s="171">
        <f>Delivery[[#This Row],[Nespresso total]]-Delivery[[#This Row],[Qt. Delivery * Base Price]]</f>
        <v>-154.36195682232938</v>
      </c>
      <c r="AE161" s="171">
        <f>Delivery[[#This Row],[AAA Premium (total)]]/Delivery[[#This Row],[Quantity delivered]]*60/Delivery[[#This Row],[Exchange rate VS USD]]</f>
        <v>7.0000000000000009</v>
      </c>
      <c r="AF161" s="171">
        <f>Delivery[[#This Row],[BEN premium (total)]]/Delivery[[#This Row],[Quantity delivered]]*60/Delivery[[#This Row],[Exchange rate for premiums VS USD]]</f>
        <v>2.1886854000000002</v>
      </c>
      <c r="AG161" s="171">
        <f>COUNTIF(Delivery[Delivery ID],Delivery[[#This Row],[Delivery ID]])</f>
        <v>1</v>
      </c>
      <c r="AH161" s="171">
        <f>(Delivery[[#This Row],[Nespresso total]]/SUMIF(Allocation!C:C,Delivery[Delivery ID],Allocation!H:H))/Delivery[[#This Row],[Exchange rate VS USD]]</f>
        <v>32.921726685110059</v>
      </c>
      <c r="AI161" s="171">
        <f>(Delivery[[#This Row],[AAA Premium (total)]]/SUMIF(Allocation!C:C,Delivery[Delivery ID],Allocation!H:H))/Delivery[[#This Row],[Exchange rate VS USD]]</f>
        <v>1.8376369327073556</v>
      </c>
      <c r="AJ161" s="171">
        <f>Delivery[[#This Row],[Valor Prêmio Nespresso AAA por Kg (em US$)]]*60</f>
        <v>110.25821596244134</v>
      </c>
      <c r="AK161" s="171">
        <f>Delivery[[#This Row],[Valor Prêmio Nespresso AAA por saca (em US$)]]/1.3228/100</f>
        <v>0.83352143908709819</v>
      </c>
      <c r="AL161" s="171">
        <f>(Delivery[[#This Row],[BEN premium (total)]]/SUMIF(Allocation!C:C,Delivery[Delivery ID],Allocation!H:H))/Delivery[[#This Row],[Exchange rate for premiums VS USD]]</f>
        <v>0.57457273215962457</v>
      </c>
      <c r="AM161" s="171">
        <f>Delivery[[#This Row],[Valor Prêmio Nespresso BEN por Kg (em US$)]]*60</f>
        <v>34.474363929577471</v>
      </c>
      <c r="AN161" s="171">
        <f>Delivery[[#This Row],[Valor Prêmio Nespresso BEN por saca (em US$)]]/1.3228/100</f>
        <v>0.260616600616703</v>
      </c>
      <c r="AO161" s="171">
        <f>SUMIF(Allocation[Delivery ID],Delivery[[#This Row],[Delivery ID]],Allocation[Quantity allocated])*16*1.3228*Delivery[[#This Row],[Exchange rate VS USD]]/60</f>
        <v>527.44798079999998</v>
      </c>
      <c r="AP161" s="171">
        <f>Delivery[[#This Row],[AAA Premium (total)]]</f>
        <v>2747.7450000000003</v>
      </c>
      <c r="AQ161" s="171">
        <f>Delivery[[#This Row],[Valor pago pelo Cluster]]-Delivery[[#This Row],[Valor efetivamente pago pela Nespresso]]</f>
        <v>2220.2970192000002</v>
      </c>
    </row>
    <row r="162" spans="1:43" ht="15.75">
      <c r="A162" s="174" t="s">
        <v>69</v>
      </c>
      <c r="B162" s="232" t="s">
        <v>68</v>
      </c>
      <c r="C162" s="157">
        <v>1</v>
      </c>
      <c r="D162" s="157" t="s">
        <v>468</v>
      </c>
      <c r="E162" s="176" t="s">
        <v>468</v>
      </c>
      <c r="F162" s="233" t="s">
        <v>543</v>
      </c>
      <c r="G162" s="234">
        <v>43306</v>
      </c>
      <c r="H162" s="160" t="s">
        <v>1418</v>
      </c>
      <c r="I162" s="157" t="s">
        <v>477</v>
      </c>
      <c r="J162" s="237">
        <v>440</v>
      </c>
      <c r="K162" s="175" t="s">
        <v>61</v>
      </c>
      <c r="L162" s="175" t="s">
        <v>439</v>
      </c>
      <c r="M162" s="175" t="s">
        <v>1343</v>
      </c>
      <c r="N162" s="180"/>
      <c r="O162" s="177"/>
      <c r="P162" s="181">
        <v>0</v>
      </c>
      <c r="Q162" s="177">
        <v>43214</v>
      </c>
      <c r="R162" s="178">
        <v>441.55799999999994</v>
      </c>
      <c r="S162" s="179">
        <v>3227.9699044706667</v>
      </c>
      <c r="T162" s="182" t="s">
        <v>45</v>
      </c>
      <c r="U162" s="183">
        <v>3.51</v>
      </c>
      <c r="V162" s="179">
        <v>180.18</v>
      </c>
      <c r="W162" s="179">
        <v>56.336762196000002</v>
      </c>
      <c r="X162" s="186" t="s">
        <v>45</v>
      </c>
      <c r="Y162" s="183">
        <v>3.51</v>
      </c>
      <c r="Z162" s="220" t="s">
        <v>473</v>
      </c>
      <c r="AA162" s="172">
        <f>Delivery[[#This Row],[Quantity delivered]]*VLOOKUP(Delivery[[#This Row],[Unit]],Tab_Conversão[],4,FALSE)*VLOOKUP(CONCATENATE(Delivery[[#This Row],[Coffee specie]],Delivery[[#This Row],[Coffee state]]),Tab_Conversão[],4,FALSE)</f>
        <v>440</v>
      </c>
      <c r="AB162" s="169">
        <f>SUMIF(Allocation!C:C,Delivery[[#This Row],[Delivery ID]],Allocation!D:D)/Delivery[[#This Row],[Quantity delivered]]</f>
        <v>1</v>
      </c>
      <c r="AC162" s="170">
        <f>Delivery[[#This Row],[Quantity delivered]]*Delivery[[#This Row],[Base price (Unidad)]]/60</f>
        <v>3238.0919999999992</v>
      </c>
      <c r="AD162" s="171">
        <f>Delivery[[#This Row],[Nespresso total]]-Delivery[[#This Row],[Qt. Delivery * Base Price]]</f>
        <v>-10.122095529332455</v>
      </c>
      <c r="AE162" s="171">
        <f>Delivery[[#This Row],[AAA Premium (total)]]/Delivery[[#This Row],[Quantity delivered]]*60/Delivery[[#This Row],[Exchange rate VS USD]]</f>
        <v>7.0000000000000009</v>
      </c>
      <c r="AF162" s="171">
        <f>Delivery[[#This Row],[BEN premium (total)]]/Delivery[[#This Row],[Quantity delivered]]*60/Delivery[[#This Row],[Exchange rate for premiums VS USD]]</f>
        <v>2.1886854000000002</v>
      </c>
      <c r="AG162" s="171">
        <f>COUNTIF(Delivery[Delivery ID],Delivery[[#This Row],[Delivery ID]])</f>
        <v>1</v>
      </c>
      <c r="AH162" s="171">
        <f>(Delivery[[#This Row],[Nespresso total]]/SUMIF(Allocation!C:C,Delivery[Delivery ID],Allocation!H:H))/Delivery[[#This Row],[Exchange rate VS USD]]</f>
        <v>6.3424106581602651</v>
      </c>
      <c r="AI162" s="171">
        <f>(Delivery[[#This Row],[AAA Premium (total)]]/SUMIF(Allocation!C:C,Delivery[Delivery ID],Allocation!H:H))/Delivery[[#This Row],[Exchange rate VS USD]]</f>
        <v>0.35402298850574715</v>
      </c>
      <c r="AJ162" s="171">
        <f>Delivery[[#This Row],[Valor Prêmio Nespresso AAA por Kg (em US$)]]*60</f>
        <v>21.241379310344829</v>
      </c>
      <c r="AK162" s="171">
        <f>Delivery[[#This Row],[Valor Prêmio Nespresso AAA por saca (em US$)]]/1.3228/100</f>
        <v>0.16057891828201412</v>
      </c>
      <c r="AL162" s="171">
        <f>(Delivery[[#This Row],[BEN premium (total)]]/SUMIF(Allocation!C:C,Delivery[Delivery ID],Allocation!H:H))/Delivery[[#This Row],[Exchange rate for premiums VS USD]]</f>
        <v>0.1106921351724138</v>
      </c>
      <c r="AM162" s="171">
        <f>Delivery[[#This Row],[Valor Prêmio Nespresso BEN por Kg (em US$)]]*60</f>
        <v>6.6415281103448285</v>
      </c>
      <c r="AN162" s="171">
        <f>Delivery[[#This Row],[Valor Prêmio Nespresso BEN por saca (em US$)]]/1.3228/100</f>
        <v>5.0208104855948205E-2</v>
      </c>
      <c r="AO162" s="171">
        <f>SUMIF(Allocation[Delivery ID],Delivery[[#This Row],[Delivery ID]],Allocation[Quantity allocated])*16*1.3228*Delivery[[#This Row],[Exchange rate VS USD]]/60</f>
        <v>179.53041599999997</v>
      </c>
      <c r="AP162" s="171">
        <f>Delivery[[#This Row],[AAA Premium (total)]]</f>
        <v>180.18</v>
      </c>
      <c r="AQ162" s="171">
        <f>Delivery[[#This Row],[Valor pago pelo Cluster]]-Delivery[[#This Row],[Valor efetivamente pago pela Nespresso]]</f>
        <v>0.6495840000000328</v>
      </c>
    </row>
    <row r="163" spans="1:43" ht="15.75">
      <c r="A163" s="174" t="s">
        <v>69</v>
      </c>
      <c r="B163" s="232" t="s">
        <v>68</v>
      </c>
      <c r="C163" s="157">
        <v>1</v>
      </c>
      <c r="D163" s="157" t="s">
        <v>468</v>
      </c>
      <c r="E163" s="176" t="s">
        <v>468</v>
      </c>
      <c r="F163" s="233" t="s">
        <v>543</v>
      </c>
      <c r="G163" s="234">
        <v>43306</v>
      </c>
      <c r="H163" s="157" t="s">
        <v>1269</v>
      </c>
      <c r="I163" s="157" t="s">
        <v>477</v>
      </c>
      <c r="J163" s="237">
        <v>15170</v>
      </c>
      <c r="K163" s="175" t="s">
        <v>61</v>
      </c>
      <c r="L163" s="175" t="s">
        <v>439</v>
      </c>
      <c r="M163" s="175" t="s">
        <v>1343</v>
      </c>
      <c r="N163" s="180"/>
      <c r="O163" s="177"/>
      <c r="P163" s="181">
        <v>0</v>
      </c>
      <c r="Q163" s="177">
        <v>43214</v>
      </c>
      <c r="R163" s="178">
        <v>441.55799999999994</v>
      </c>
      <c r="S163" s="179">
        <v>109349.26083706065</v>
      </c>
      <c r="T163" s="182" t="s">
        <v>45</v>
      </c>
      <c r="U163" s="183">
        <v>3.51</v>
      </c>
      <c r="V163" s="179">
        <v>6216.21</v>
      </c>
      <c r="W163" s="179">
        <v>1942.3379148030001</v>
      </c>
      <c r="X163" s="186" t="s">
        <v>45</v>
      </c>
      <c r="Y163" s="183">
        <v>3.51</v>
      </c>
      <c r="Z163" s="220" t="s">
        <v>473</v>
      </c>
      <c r="AA163" s="172">
        <f>Delivery[[#This Row],[Quantity delivered]]*VLOOKUP(Delivery[[#This Row],[Unit]],Tab_Conversão[],4,FALSE)*VLOOKUP(CONCATENATE(Delivery[[#This Row],[Coffee specie]],Delivery[[#This Row],[Coffee state]]),Tab_Conversão[],4,FALSE)</f>
        <v>15170</v>
      </c>
      <c r="AB163" s="169">
        <f>SUMIF(Allocation!C:C,Delivery[[#This Row],[Delivery ID]],Allocation!D:D)/Delivery[[#This Row],[Quantity delivered]]</f>
        <v>1</v>
      </c>
      <c r="AC163" s="170">
        <f>Delivery[[#This Row],[Quantity delivered]]*Delivery[[#This Row],[Base price (Unidad)]]/60</f>
        <v>111640.58099999999</v>
      </c>
      <c r="AD163" s="171">
        <f>Delivery[[#This Row],[Nespresso total]]-Delivery[[#This Row],[Qt. Delivery * Base Price]]</f>
        <v>-2291.3201629393443</v>
      </c>
      <c r="AE163" s="171">
        <f>Delivery[[#This Row],[AAA Premium (total)]]/Delivery[[#This Row],[Quantity delivered]]*60/Delivery[[#This Row],[Exchange rate VS USD]]</f>
        <v>7.0046143704680297</v>
      </c>
      <c r="AF163" s="171">
        <f>Delivery[[#This Row],[BEN premium (total)]]/Delivery[[#This Row],[Quantity delivered]]*60/Delivery[[#This Row],[Exchange rate for premiums VS USD]]</f>
        <v>2.1886854000000002</v>
      </c>
      <c r="AG163" s="171">
        <f>COUNTIF(Delivery[Delivery ID],Delivery[[#This Row],[Delivery ID]])</f>
        <v>1</v>
      </c>
      <c r="AH163" s="171">
        <f>(Delivery[[#This Row],[Nespresso total]]/SUMIF(Allocation!C:C,Delivery[Delivery ID],Allocation!H:H))/Delivery[[#This Row],[Exchange rate VS USD]]</f>
        <v>6.2120908407007276</v>
      </c>
      <c r="AI163" s="171">
        <f>(Delivery[[#This Row],[AAA Premium (total)]]/SUMIF(Allocation!C:C,Delivery[Delivery ID],Allocation!H:H))/Delivery[[#This Row],[Exchange rate VS USD]]</f>
        <v>0.35314057826520445</v>
      </c>
      <c r="AJ163" s="171">
        <f>Delivery[[#This Row],[Valor Prêmio Nespresso AAA por Kg (em US$)]]*60</f>
        <v>21.188434695912267</v>
      </c>
      <c r="AK163" s="171">
        <f>Delivery[[#This Row],[Valor Prêmio Nespresso AAA por saca (em US$)]]/1.3228/100</f>
        <v>0.16017867172597722</v>
      </c>
      <c r="AL163" s="171">
        <f>(Delivery[[#This Row],[BEN premium (total)]]/SUMIF(Allocation!C:C,Delivery[Delivery ID],Allocation!H:H))/Delivery[[#This Row],[Exchange rate for premiums VS USD]]</f>
        <v>0.1103434945762712</v>
      </c>
      <c r="AM163" s="171">
        <f>Delivery[[#This Row],[Valor Prêmio Nespresso BEN por Kg (em US$)]]*60</f>
        <v>6.6206096745762721</v>
      </c>
      <c r="AN163" s="171">
        <f>Delivery[[#This Row],[Valor Prêmio Nespresso BEN por saca (em US$)]]/1.3228/100</f>
        <v>5.0049967300999941E-2</v>
      </c>
      <c r="AO163" s="171">
        <f>SUMIF(Allocation[Delivery ID],Delivery[[#This Row],[Delivery ID]],Allocation[Quantity allocated])*16*1.3228*Delivery[[#This Row],[Exchange rate VS USD]]/60</f>
        <v>6209.2761119999986</v>
      </c>
      <c r="AP163" s="171">
        <f>Delivery[[#This Row],[AAA Premium (total)]]</f>
        <v>6216.21</v>
      </c>
      <c r="AQ163" s="171">
        <f>Delivery[[#This Row],[Valor pago pelo Cluster]]-Delivery[[#This Row],[Valor efetivamente pago pela Nespresso]]</f>
        <v>6.9338880000013887</v>
      </c>
    </row>
    <row r="164" spans="1:43" ht="15.75">
      <c r="A164" s="174" t="s">
        <v>69</v>
      </c>
      <c r="B164" s="232" t="s">
        <v>68</v>
      </c>
      <c r="C164" s="157">
        <v>1</v>
      </c>
      <c r="D164" s="157" t="s">
        <v>468</v>
      </c>
      <c r="E164" s="176" t="s">
        <v>468</v>
      </c>
      <c r="F164" s="233" t="s">
        <v>543</v>
      </c>
      <c r="G164" s="234">
        <v>43306</v>
      </c>
      <c r="H164" s="157" t="s">
        <v>591</v>
      </c>
      <c r="I164" s="157" t="s">
        <v>477</v>
      </c>
      <c r="J164" s="237">
        <v>9230</v>
      </c>
      <c r="K164" s="175" t="s">
        <v>61</v>
      </c>
      <c r="L164" s="175" t="s">
        <v>439</v>
      </c>
      <c r="M164" s="175" t="s">
        <v>1343</v>
      </c>
      <c r="N164" s="180"/>
      <c r="O164" s="177"/>
      <c r="P164" s="181">
        <v>0</v>
      </c>
      <c r="Q164" s="177">
        <v>43214</v>
      </c>
      <c r="R164" s="178">
        <v>441.55799999999994</v>
      </c>
      <c r="S164" s="179">
        <v>66532.213416352664</v>
      </c>
      <c r="T164" s="182" t="s">
        <v>45</v>
      </c>
      <c r="U164" s="183">
        <v>3.51</v>
      </c>
      <c r="V164" s="179">
        <v>3783.78</v>
      </c>
      <c r="W164" s="179">
        <v>1181.791625157</v>
      </c>
      <c r="X164" s="186" t="s">
        <v>45</v>
      </c>
      <c r="Y164" s="183">
        <v>3.51</v>
      </c>
      <c r="Z164" s="220" t="s">
        <v>473</v>
      </c>
      <c r="AA164" s="172">
        <f>Delivery[[#This Row],[Quantity delivered]]*VLOOKUP(Delivery[[#This Row],[Unit]],Tab_Conversão[],4,FALSE)*VLOOKUP(CONCATENATE(Delivery[[#This Row],[Coffee specie]],Delivery[[#This Row],[Coffee state]]),Tab_Conversão[],4,FALSE)</f>
        <v>9230</v>
      </c>
      <c r="AB164" s="169">
        <f>SUMIF(Allocation!C:C,Delivery[[#This Row],[Delivery ID]],Allocation!D:D)/Delivery[[#This Row],[Quantity delivered]]</f>
        <v>1</v>
      </c>
      <c r="AC164" s="170">
        <f>Delivery[[#This Row],[Quantity delivered]]*Delivery[[#This Row],[Base price (Unidad)]]/60</f>
        <v>67926.338999999993</v>
      </c>
      <c r="AD164" s="171">
        <f>Delivery[[#This Row],[Nespresso total]]-Delivery[[#This Row],[Qt. Delivery * Base Price]]</f>
        <v>-1394.1255836473283</v>
      </c>
      <c r="AE164" s="171">
        <f>Delivery[[#This Row],[AAA Premium (total)]]/Delivery[[#This Row],[Quantity delivered]]*60/Delivery[[#This Row],[Exchange rate VS USD]]</f>
        <v>7.0075839653304453</v>
      </c>
      <c r="AF164" s="171">
        <f>Delivery[[#This Row],[BEN premium (total)]]/Delivery[[#This Row],[Quantity delivered]]*60/Delivery[[#This Row],[Exchange rate for premiums VS USD]]</f>
        <v>2.1886854000000002</v>
      </c>
      <c r="AG164" s="171">
        <f>COUNTIF(Delivery[Delivery ID],Delivery[[#This Row],[Delivery ID]])</f>
        <v>1</v>
      </c>
      <c r="AH164" s="171">
        <f>(Delivery[[#This Row],[Nespresso total]]/SUMIF(Allocation!C:C,Delivery[Delivery ID],Allocation!H:H))/Delivery[[#This Row],[Exchange rate VS USD]]</f>
        <v>6.7963594683992232</v>
      </c>
      <c r="AI164" s="171">
        <f>(Delivery[[#This Row],[AAA Premium (total)]]/SUMIF(Allocation!C:C,Delivery[Delivery ID],Allocation!H:H))/Delivery[[#This Row],[Exchange rate VS USD]]</f>
        <v>0.38651846539978491</v>
      </c>
      <c r="AJ164" s="171">
        <f>Delivery[[#This Row],[Valor Prêmio Nespresso AAA por Kg (em US$)]]*60</f>
        <v>23.191107923987094</v>
      </c>
      <c r="AK164" s="171">
        <f>Delivery[[#This Row],[Valor Prêmio Nespresso AAA por saca (em US$)]]/1.3228/100</f>
        <v>0.1753183241910122</v>
      </c>
      <c r="AL164" s="171">
        <f>(Delivery[[#This Row],[BEN premium (total)]]/SUMIF(Allocation!C:C,Delivery[Delivery ID],Allocation!H:H))/Delivery[[#This Row],[Exchange rate for premiums VS USD]]</f>
        <v>0.12072168185729652</v>
      </c>
      <c r="AM164" s="171">
        <f>Delivery[[#This Row],[Valor Prêmio Nespresso BEN por Kg (em US$)]]*60</f>
        <v>7.2433009114377915</v>
      </c>
      <c r="AN164" s="171">
        <f>Delivery[[#This Row],[Valor Prêmio Nespresso BEN por saca (em US$)]]/1.3228/100</f>
        <v>5.475733982036432E-2</v>
      </c>
      <c r="AO164" s="171">
        <f>SUMIF(Allocation[Delivery ID],Delivery[[#This Row],[Delivery ID]],Allocation[Quantity allocated])*16*1.3228*Delivery[[#This Row],[Exchange rate VS USD]]/60</f>
        <v>3453.1746911999999</v>
      </c>
      <c r="AP164" s="171">
        <f>Delivery[[#This Row],[AAA Premium (total)]]</f>
        <v>3783.78</v>
      </c>
      <c r="AQ164" s="171">
        <f>Delivery[[#This Row],[Valor pago pelo Cluster]]-Delivery[[#This Row],[Valor efetivamente pago pela Nespresso]]</f>
        <v>330.60530880000033</v>
      </c>
    </row>
    <row r="165" spans="1:43" ht="15.75">
      <c r="A165" s="174" t="s">
        <v>69</v>
      </c>
      <c r="B165" s="232" t="s">
        <v>68</v>
      </c>
      <c r="C165" s="157">
        <v>1</v>
      </c>
      <c r="D165" s="157" t="s">
        <v>468</v>
      </c>
      <c r="E165" s="176" t="s">
        <v>468</v>
      </c>
      <c r="F165" s="233" t="s">
        <v>543</v>
      </c>
      <c r="G165" s="234">
        <v>43306</v>
      </c>
      <c r="H165" s="157" t="s">
        <v>1270</v>
      </c>
      <c r="I165" s="157" t="s">
        <v>477</v>
      </c>
      <c r="J165" s="237">
        <v>8460</v>
      </c>
      <c r="K165" s="175" t="s">
        <v>61</v>
      </c>
      <c r="L165" s="175" t="s">
        <v>439</v>
      </c>
      <c r="M165" s="175" t="s">
        <v>1343</v>
      </c>
      <c r="N165" s="180"/>
      <c r="O165" s="177"/>
      <c r="P165" s="181">
        <v>0</v>
      </c>
      <c r="Q165" s="177">
        <v>43214</v>
      </c>
      <c r="R165" s="178">
        <v>441.55799999999994</v>
      </c>
      <c r="S165" s="179">
        <v>60981.855417371997</v>
      </c>
      <c r="T165" s="182" t="s">
        <v>45</v>
      </c>
      <c r="U165" s="183">
        <v>3.51</v>
      </c>
      <c r="V165" s="179">
        <v>3464.37</v>
      </c>
      <c r="W165" s="179">
        <v>1083.2022913140001</v>
      </c>
      <c r="X165" s="186" t="s">
        <v>45</v>
      </c>
      <c r="Y165" s="183">
        <v>3.51</v>
      </c>
      <c r="Z165" s="220" t="s">
        <v>473</v>
      </c>
      <c r="AA165" s="172">
        <f>Delivery[[#This Row],[Quantity delivered]]*VLOOKUP(Delivery[[#This Row],[Unit]],Tab_Conversão[],4,FALSE)*VLOOKUP(CONCATENATE(Delivery[[#This Row],[Coffee specie]],Delivery[[#This Row],[Coffee state]]),Tab_Conversão[],4,FALSE)</f>
        <v>8460</v>
      </c>
      <c r="AB165" s="169">
        <f>SUMIF(Allocation!C:C,Delivery[[#This Row],[Delivery ID]],Allocation!D:D)/Delivery[[#This Row],[Quantity delivered]]</f>
        <v>1</v>
      </c>
      <c r="AC165" s="170">
        <f>Delivery[[#This Row],[Quantity delivered]]*Delivery[[#This Row],[Base price (Unidad)]]/60</f>
        <v>62259.677999999985</v>
      </c>
      <c r="AD165" s="171">
        <f>Delivery[[#This Row],[Nespresso total]]-Delivery[[#This Row],[Qt. Delivery * Base Price]]</f>
        <v>-1277.8225826279886</v>
      </c>
      <c r="AE165" s="171">
        <f>Delivery[[#This Row],[AAA Premium (total)]]/Delivery[[#This Row],[Quantity delivered]]*60/Delivery[[#This Row],[Exchange rate VS USD]]</f>
        <v>7.0000000000000009</v>
      </c>
      <c r="AF165" s="171">
        <f>Delivery[[#This Row],[BEN premium (total)]]/Delivery[[#This Row],[Quantity delivered]]*60/Delivery[[#This Row],[Exchange rate for premiums VS USD]]</f>
        <v>2.1886854000000002</v>
      </c>
      <c r="AG165" s="171">
        <f>COUNTIF(Delivery[Delivery ID],Delivery[[#This Row],[Delivery ID]])</f>
        <v>1</v>
      </c>
      <c r="AH165" s="171">
        <f>(Delivery[[#This Row],[Nespresso total]]/SUMIF(Allocation!C:C,Delivery[Delivery ID],Allocation!H:H))/Delivery[[#This Row],[Exchange rate VS USD]]</f>
        <v>6.1347980162984701</v>
      </c>
      <c r="AI165" s="171">
        <f>(Delivery[[#This Row],[AAA Premium (total)]]/SUMIF(Allocation!C:C,Delivery[Delivery ID],Allocation!H:H))/Delivery[[#This Row],[Exchange rate VS USD]]</f>
        <v>0.34851694915254239</v>
      </c>
      <c r="AJ165" s="171">
        <f>Delivery[[#This Row],[Valor Prêmio Nespresso AAA por Kg (em US$)]]*60</f>
        <v>20.911016949152543</v>
      </c>
      <c r="AK165" s="171">
        <f>Delivery[[#This Row],[Valor Prêmio Nespresso AAA por saca (em US$)]]/1.3228/100</f>
        <v>0.15808147073747009</v>
      </c>
      <c r="AL165" s="171">
        <f>(Delivery[[#This Row],[BEN premium (total)]]/SUMIF(Allocation!C:C,Delivery[Delivery ID],Allocation!H:H))/Delivery[[#This Row],[Exchange rate for premiums VS USD]]</f>
        <v>0.10897056546610172</v>
      </c>
      <c r="AM165" s="171">
        <f>Delivery[[#This Row],[Valor Prêmio Nespresso BEN por Kg (em US$)]]*60</f>
        <v>6.538233927966103</v>
      </c>
      <c r="AN165" s="171">
        <f>Delivery[[#This Row],[Valor Prêmio Nespresso BEN por saca (em US$)]]/1.3228/100</f>
        <v>4.942722957337544E-2</v>
      </c>
      <c r="AO165" s="171">
        <f>SUMIF(Allocation[Delivery ID],Delivery[[#This Row],[Delivery ID]],Allocation[Quantity allocated])*16*1.3228*Delivery[[#This Row],[Exchange rate VS USD]]/60</f>
        <v>3506.4147455999996</v>
      </c>
      <c r="AP165" s="171">
        <f>Delivery[[#This Row],[AAA Premium (total)]]</f>
        <v>3464.37</v>
      </c>
      <c r="AQ165" s="171">
        <f>Delivery[[#This Row],[Valor pago pelo Cluster]]-Delivery[[#This Row],[Valor efetivamente pago pela Nespresso]]</f>
        <v>-42.044745599999715</v>
      </c>
    </row>
    <row r="166" spans="1:43" ht="15.75">
      <c r="A166" s="174" t="s">
        <v>69</v>
      </c>
      <c r="B166" s="232" t="s">
        <v>68</v>
      </c>
      <c r="C166" s="157">
        <v>1</v>
      </c>
      <c r="D166" s="157" t="s">
        <v>468</v>
      </c>
      <c r="E166" s="176" t="s">
        <v>468</v>
      </c>
      <c r="F166" s="233" t="s">
        <v>543</v>
      </c>
      <c r="G166" s="234">
        <v>43306</v>
      </c>
      <c r="H166" s="160" t="s">
        <v>1419</v>
      </c>
      <c r="I166" s="157" t="s">
        <v>477</v>
      </c>
      <c r="J166" s="237">
        <v>12710</v>
      </c>
      <c r="K166" s="175" t="s">
        <v>61</v>
      </c>
      <c r="L166" s="175" t="s">
        <v>439</v>
      </c>
      <c r="M166" s="175" t="s">
        <v>1343</v>
      </c>
      <c r="N166" s="180"/>
      <c r="O166" s="177"/>
      <c r="P166" s="181">
        <v>0</v>
      </c>
      <c r="Q166" s="177">
        <v>43214</v>
      </c>
      <c r="R166" s="178">
        <v>441.55799999999994</v>
      </c>
      <c r="S166" s="179">
        <v>93244.312467777665</v>
      </c>
      <c r="T166" s="182" t="s">
        <v>45</v>
      </c>
      <c r="U166" s="183">
        <v>3.51</v>
      </c>
      <c r="V166" s="179">
        <v>5204.7450000000008</v>
      </c>
      <c r="W166" s="179">
        <v>1627.3641988890001</v>
      </c>
      <c r="X166" s="186" t="s">
        <v>45</v>
      </c>
      <c r="Y166" s="183">
        <v>3.51</v>
      </c>
      <c r="Z166" s="220" t="s">
        <v>473</v>
      </c>
      <c r="AA166" s="172">
        <f>Delivery[[#This Row],[Quantity delivered]]*VLOOKUP(Delivery[[#This Row],[Unit]],Tab_Conversão[],4,FALSE)*VLOOKUP(CONCATENATE(Delivery[[#This Row],[Coffee specie]],Delivery[[#This Row],[Coffee state]]),Tab_Conversão[],4,FALSE)</f>
        <v>12710</v>
      </c>
      <c r="AB166" s="169">
        <f>SUMIF(Allocation!C:C,Delivery[[#This Row],[Delivery ID]],Allocation!D:D)/Delivery[[#This Row],[Quantity delivered]]</f>
        <v>0.19213217938631</v>
      </c>
      <c r="AC166" s="170">
        <f>Delivery[[#This Row],[Quantity delivered]]*Delivery[[#This Row],[Base price (Unidad)]]/60</f>
        <v>93536.70299999998</v>
      </c>
      <c r="AD166" s="171">
        <f>Delivery[[#This Row],[Nespresso total]]-Delivery[[#This Row],[Qt. Delivery * Base Price]]</f>
        <v>-292.3905322223145</v>
      </c>
      <c r="AE166" s="171">
        <f>Delivery[[#This Row],[AAA Premium (total)]]/Delivery[[#This Row],[Quantity delivered]]*60/Delivery[[#This Row],[Exchange rate VS USD]]</f>
        <v>7.0000000000000018</v>
      </c>
      <c r="AF166" s="171">
        <f>Delivery[[#This Row],[BEN premium (total)]]/Delivery[[#This Row],[Quantity delivered]]*60/Delivery[[#This Row],[Exchange rate for premiums VS USD]]</f>
        <v>2.1886854000000002</v>
      </c>
      <c r="AG166" s="171">
        <f>COUNTIF(Delivery[Delivery ID],Delivery[[#This Row],[Delivery ID]])</f>
        <v>1</v>
      </c>
      <c r="AH166" s="171">
        <f>(Delivery[[#This Row],[Nespresso total]]/SUMIF(Allocation!C:C,Delivery[Delivery ID],Allocation!H:H))/Delivery[[#This Row],[Exchange rate VS USD]]</f>
        <v>32.959467974442987</v>
      </c>
      <c r="AI166" s="171">
        <f>(Delivery[[#This Row],[AAA Premium (total)]]/SUMIF(Allocation!C:C,Delivery[Delivery ID],Allocation!H:H))/Delivery[[#This Row],[Exchange rate VS USD]]</f>
        <v>1.8397435897435903</v>
      </c>
      <c r="AJ166" s="171">
        <f>Delivery[[#This Row],[Valor Prêmio Nespresso AAA por Kg (em US$)]]*60</f>
        <v>110.38461538461542</v>
      </c>
      <c r="AK166" s="171">
        <f>Delivery[[#This Row],[Valor Prêmio Nespresso AAA por saca (em US$)]]/1.3228/100</f>
        <v>0.83447698355469768</v>
      </c>
      <c r="AL166" s="171">
        <f>(Delivery[[#This Row],[BEN premium (total)]]/SUMIF(Allocation!C:C,Delivery[Delivery ID],Allocation!H:H))/Delivery[[#This Row],[Exchange rate for premiums VS USD]]</f>
        <v>0.57523141923076926</v>
      </c>
      <c r="AM166" s="171">
        <f>Delivery[[#This Row],[Valor Prêmio Nespresso BEN por Kg (em US$)]]*60</f>
        <v>34.513885153846154</v>
      </c>
      <c r="AN166" s="171">
        <f>Delivery[[#This Row],[Valor Prêmio Nespresso BEN por saca (em US$)]]/1.3228/100</f>
        <v>0.26091537007745808</v>
      </c>
      <c r="AO166" s="171">
        <f>SUMIF(Allocation[Delivery ID],Delivery[[#This Row],[Delivery ID]],Allocation[Quantity allocated])*16*1.3228*Delivery[[#This Row],[Exchange rate VS USD]]/60</f>
        <v>997.9414847999999</v>
      </c>
      <c r="AP166" s="171">
        <f>Delivery[[#This Row],[AAA Premium (total)]]</f>
        <v>5204.7450000000008</v>
      </c>
      <c r="AQ166" s="171">
        <f>Delivery[[#This Row],[Valor pago pelo Cluster]]-Delivery[[#This Row],[Valor efetivamente pago pela Nespresso]]</f>
        <v>4206.8035152000011</v>
      </c>
    </row>
    <row r="167" spans="1:43" ht="15.75">
      <c r="A167" s="174" t="s">
        <v>69</v>
      </c>
      <c r="B167" s="232" t="s">
        <v>68</v>
      </c>
      <c r="C167" s="157">
        <v>1</v>
      </c>
      <c r="D167" s="157" t="s">
        <v>468</v>
      </c>
      <c r="E167" s="177" t="s">
        <v>468</v>
      </c>
      <c r="F167" s="233" t="s">
        <v>543</v>
      </c>
      <c r="G167" s="234">
        <v>43306</v>
      </c>
      <c r="H167" s="157" t="s">
        <v>592</v>
      </c>
      <c r="I167" s="157" t="s">
        <v>1107</v>
      </c>
      <c r="J167" s="237">
        <v>11220</v>
      </c>
      <c r="K167" s="175" t="s">
        <v>61</v>
      </c>
      <c r="L167" s="175" t="s">
        <v>439</v>
      </c>
      <c r="M167" s="175" t="s">
        <v>1343</v>
      </c>
      <c r="N167" s="180"/>
      <c r="O167" s="177"/>
      <c r="P167" s="181">
        <v>0</v>
      </c>
      <c r="Q167" s="177">
        <v>43252</v>
      </c>
      <c r="R167" s="178">
        <v>491.47242999999997</v>
      </c>
      <c r="S167" s="179">
        <v>89039.679999999993</v>
      </c>
      <c r="T167" s="182" t="s">
        <v>45</v>
      </c>
      <c r="U167" s="183">
        <v>3.7761999999999998</v>
      </c>
      <c r="V167" s="179">
        <v>4943.0457999999999</v>
      </c>
      <c r="W167" s="179">
        <v>0</v>
      </c>
      <c r="X167" s="186" t="s">
        <v>45</v>
      </c>
      <c r="Y167" s="183">
        <v>3.7761999999999998</v>
      </c>
      <c r="Z167" s="220"/>
      <c r="AA167" s="172">
        <f>Delivery[[#This Row],[Quantity delivered]]*VLOOKUP(Delivery[[#This Row],[Unit]],Tab_Conversão[],4,FALSE)*VLOOKUP(CONCATENATE(Delivery[[#This Row],[Coffee specie]],Delivery[[#This Row],[Coffee state]]),Tab_Conversão[],4,FALSE)</f>
        <v>11220</v>
      </c>
      <c r="AB167" s="169">
        <f>SUMIF(Allocation!C:C,Delivery[[#This Row],[Delivery ID]],Allocation!D:D)/Delivery[[#This Row],[Quantity delivered]]</f>
        <v>1</v>
      </c>
      <c r="AC167" s="170">
        <f>Delivery[[#This Row],[Quantity delivered]]*Delivery[[#This Row],[Base price (Unidad)]]/60</f>
        <v>91905.344409999991</v>
      </c>
      <c r="AD167" s="171">
        <f>Delivery[[#This Row],[Nespresso total]]-Delivery[[#This Row],[Qt. Delivery * Base Price]]</f>
        <v>-2865.6644099999976</v>
      </c>
      <c r="AE167" s="171">
        <f>Delivery[[#This Row],[AAA Premium (total)]]/Delivery[[#This Row],[Quantity delivered]]*60/Delivery[[#This Row],[Exchange rate VS USD]]</f>
        <v>7</v>
      </c>
      <c r="AF167" s="171">
        <f>Delivery[[#This Row],[BEN premium (total)]]/Delivery[[#This Row],[Quantity delivered]]*60/Delivery[[#This Row],[Exchange rate for premiums VS USD]]</f>
        <v>0</v>
      </c>
      <c r="AG167" s="171">
        <f>COUNTIF(Delivery[Delivery ID],Delivery[[#This Row],[Delivery ID]])</f>
        <v>1</v>
      </c>
      <c r="AH167" s="171">
        <f>(Delivery[[#This Row],[Nespresso total]]/SUMIF(Allocation!C:C,Delivery[Delivery ID],Allocation!H:H))/Delivery[[#This Row],[Exchange rate VS USD]]</f>
        <v>6.5753415593534674</v>
      </c>
      <c r="AI167" s="171">
        <f>(Delivery[[#This Row],[AAA Premium (total)]]/SUMIF(Allocation!C:C,Delivery[Delivery ID],Allocation!H:H))/Delivery[[#This Row],[Exchange rate VS USD]]</f>
        <v>0.36503067484662577</v>
      </c>
      <c r="AJ167" s="171">
        <f>Delivery[[#This Row],[Valor Prêmio Nespresso AAA por Kg (em US$)]]*60</f>
        <v>21.901840490797547</v>
      </c>
      <c r="AK167" s="171">
        <f>Delivery[[#This Row],[Valor Prêmio Nespresso AAA por saca (em US$)]]/1.3228/100</f>
        <v>0.16557182106741419</v>
      </c>
      <c r="AL167" s="171">
        <f>(Delivery[[#This Row],[BEN premium (total)]]/SUMIF(Allocation!C:C,Delivery[Delivery ID],Allocation!H:H))/Delivery[[#This Row],[Exchange rate for premiums VS USD]]</f>
        <v>0</v>
      </c>
      <c r="AM167" s="171">
        <f>Delivery[[#This Row],[Valor Prêmio Nespresso BEN por Kg (em US$)]]*60</f>
        <v>0</v>
      </c>
      <c r="AN167" s="171">
        <f>Delivery[[#This Row],[Valor Prêmio Nespresso BEN por saca (em US$)]]/1.3228/100</f>
        <v>0</v>
      </c>
      <c r="AO167" s="171">
        <f>SUMIF(Allocation[Delivery ID],Delivery[[#This Row],[Delivery ID]],Allocation[Quantity allocated])*16*1.3228*Delivery[[#This Row],[Exchange rate VS USD]]/60</f>
        <v>4776.7024781226664</v>
      </c>
      <c r="AP167" s="171">
        <f>Delivery[[#This Row],[AAA Premium (total)]]</f>
        <v>4943.0457999999999</v>
      </c>
      <c r="AQ167" s="171">
        <f>Delivery[[#This Row],[Valor pago pelo Cluster]]-Delivery[[#This Row],[Valor efetivamente pago pela Nespresso]]</f>
        <v>166.34332187733344</v>
      </c>
    </row>
    <row r="168" spans="1:43" ht="15.75">
      <c r="A168" s="174" t="s">
        <v>69</v>
      </c>
      <c r="B168" s="232" t="s">
        <v>68</v>
      </c>
      <c r="C168" s="157">
        <v>1</v>
      </c>
      <c r="D168" s="157" t="s">
        <v>468</v>
      </c>
      <c r="E168" s="177" t="s">
        <v>468</v>
      </c>
      <c r="F168" s="233" t="s">
        <v>543</v>
      </c>
      <c r="G168" s="234">
        <v>43306</v>
      </c>
      <c r="H168" s="157" t="s">
        <v>593</v>
      </c>
      <c r="I168" s="157" t="s">
        <v>477</v>
      </c>
      <c r="J168" s="237">
        <v>11100</v>
      </c>
      <c r="K168" s="175" t="s">
        <v>61</v>
      </c>
      <c r="L168" s="175" t="s">
        <v>439</v>
      </c>
      <c r="M168" s="175" t="s">
        <v>1343</v>
      </c>
      <c r="N168" s="180"/>
      <c r="O168" s="177"/>
      <c r="P168" s="181">
        <v>0</v>
      </c>
      <c r="Q168" s="177">
        <v>43222</v>
      </c>
      <c r="R168" s="178">
        <v>466.48070000000001</v>
      </c>
      <c r="S168" s="179">
        <v>85463.379674396012</v>
      </c>
      <c r="T168" s="182" t="s">
        <v>45</v>
      </c>
      <c r="U168" s="183">
        <v>3.5979999999999999</v>
      </c>
      <c r="V168" s="179">
        <v>4663.26</v>
      </c>
      <c r="W168" s="179">
        <v>1456.8546628019999</v>
      </c>
      <c r="X168" s="186" t="s">
        <v>45</v>
      </c>
      <c r="Y168" s="183">
        <v>3.5979999999999999</v>
      </c>
      <c r="Z168" s="220" t="s">
        <v>473</v>
      </c>
      <c r="AA168" s="172">
        <f>Delivery[[#This Row],[Quantity delivered]]*VLOOKUP(Delivery[[#This Row],[Unit]],Tab_Conversão[],4,FALSE)*VLOOKUP(CONCATENATE(Delivery[[#This Row],[Coffee specie]],Delivery[[#This Row],[Coffee state]]),Tab_Conversão[],4,FALSE)</f>
        <v>11100</v>
      </c>
      <c r="AB168" s="169">
        <f>SUMIF(Allocation!C:C,Delivery[[#This Row],[Delivery ID]],Allocation!D:D)/Delivery[[#This Row],[Quantity delivered]]</f>
        <v>0.87252252252252249</v>
      </c>
      <c r="AC168" s="170">
        <f>Delivery[[#This Row],[Quantity delivered]]*Delivery[[#This Row],[Base price (Unidad)]]/60</f>
        <v>86298.929500000013</v>
      </c>
      <c r="AD168" s="171">
        <f>Delivery[[#This Row],[Nespresso total]]-Delivery[[#This Row],[Qt. Delivery * Base Price]]</f>
        <v>-835.54982560400094</v>
      </c>
      <c r="AE168" s="171">
        <f>Delivery[[#This Row],[AAA Premium (total)]]/Delivery[[#This Row],[Quantity delivered]]*60/Delivery[[#This Row],[Exchange rate VS USD]]</f>
        <v>7.0057839941108435</v>
      </c>
      <c r="AF168" s="171">
        <f>Delivery[[#This Row],[BEN premium (total)]]/Delivery[[#This Row],[Quantity delivered]]*60/Delivery[[#This Row],[Exchange rate for premiums VS USD]]</f>
        <v>2.1886853999999998</v>
      </c>
      <c r="AG168" s="171">
        <f>COUNTIF(Delivery[Delivery ID],Delivery[[#This Row],[Delivery ID]])</f>
        <v>1</v>
      </c>
      <c r="AH168" s="171">
        <f>(Delivery[[#This Row],[Nespresso total]]/SUMIF(Allocation!C:C,Delivery[Delivery ID],Allocation!H:H))/Delivery[[#This Row],[Exchange rate VS USD]]</f>
        <v>7.4321100787459464</v>
      </c>
      <c r="AI168" s="171">
        <f>(Delivery[[#This Row],[AAA Premium (total)]]/SUMIF(Allocation!C:C,Delivery[Delivery ID],Allocation!H:H))/Delivery[[#This Row],[Exchange rate VS USD]]</f>
        <v>0.40552879815722964</v>
      </c>
      <c r="AJ168" s="171">
        <f>Delivery[[#This Row],[Valor Prêmio Nespresso AAA por Kg (em US$)]]*60</f>
        <v>24.331727889433779</v>
      </c>
      <c r="AK168" s="171">
        <f>Delivery[[#This Row],[Valor Prêmio Nespresso AAA por saca (em US$)]]/1.3228/100</f>
        <v>0.1839410938118671</v>
      </c>
      <c r="AL168" s="171">
        <f>(Delivery[[#This Row],[BEN premium (total)]]/SUMIF(Allocation!C:C,Delivery[Delivery ID],Allocation!H:H))/Delivery[[#This Row],[Exchange rate for premiums VS USD]]</f>
        <v>0.12669173936170214</v>
      </c>
      <c r="AM168" s="171">
        <f>Delivery[[#This Row],[Valor Prêmio Nespresso BEN por Kg (em US$)]]*60</f>
        <v>7.6015043617021281</v>
      </c>
      <c r="AN168" s="171">
        <f>Delivery[[#This Row],[Valor Prêmio Nespresso BEN por saca (em US$)]]/1.3228/100</f>
        <v>5.7465258252964384E-2</v>
      </c>
      <c r="AO168" s="171">
        <f>SUMIF(Allocation[Delivery ID],Delivery[[#This Row],[Delivery ID]],Allocation[Quantity allocated])*16*1.3228*Delivery[[#This Row],[Exchange rate VS USD]]/60</f>
        <v>4056.3072913066667</v>
      </c>
      <c r="AP168" s="171">
        <f>Delivery[[#This Row],[AAA Premium (total)]]</f>
        <v>4663.26</v>
      </c>
      <c r="AQ168" s="171">
        <f>Delivery[[#This Row],[Valor pago pelo Cluster]]-Delivery[[#This Row],[Valor efetivamente pago pela Nespresso]]</f>
        <v>606.95270869333353</v>
      </c>
    </row>
    <row r="169" spans="1:43" ht="15.75">
      <c r="A169" s="174" t="s">
        <v>69</v>
      </c>
      <c r="B169" s="232" t="s">
        <v>68</v>
      </c>
      <c r="C169" s="157">
        <v>1</v>
      </c>
      <c r="D169" s="157" t="s">
        <v>468</v>
      </c>
      <c r="E169" s="177" t="s">
        <v>468</v>
      </c>
      <c r="F169" s="233" t="s">
        <v>543</v>
      </c>
      <c r="G169" s="234">
        <v>43306</v>
      </c>
      <c r="H169" s="157" t="s">
        <v>594</v>
      </c>
      <c r="I169" s="157" t="s">
        <v>477</v>
      </c>
      <c r="J169" s="237">
        <v>18880</v>
      </c>
      <c r="K169" s="175" t="s">
        <v>61</v>
      </c>
      <c r="L169" s="175" t="s">
        <v>439</v>
      </c>
      <c r="M169" s="175" t="s">
        <v>1343</v>
      </c>
      <c r="N169" s="180"/>
      <c r="O169" s="177"/>
      <c r="P169" s="181">
        <v>0</v>
      </c>
      <c r="Q169" s="177">
        <v>43222</v>
      </c>
      <c r="R169" s="178">
        <v>466.48070000000001</v>
      </c>
      <c r="S169" s="179">
        <v>145364.73918311679</v>
      </c>
      <c r="T169" s="182" t="s">
        <v>45</v>
      </c>
      <c r="U169" s="183">
        <v>3.5979999999999999</v>
      </c>
      <c r="V169" s="179">
        <v>7931.74</v>
      </c>
      <c r="W169" s="179">
        <v>2477.9654084415997</v>
      </c>
      <c r="X169" s="186" t="s">
        <v>45</v>
      </c>
      <c r="Y169" s="183">
        <v>3.5979999999999999</v>
      </c>
      <c r="Z169" s="220" t="s">
        <v>473</v>
      </c>
      <c r="AA169" s="172">
        <f>Delivery[[#This Row],[Quantity delivered]]*VLOOKUP(Delivery[[#This Row],[Unit]],Tab_Conversão[],4,FALSE)*VLOOKUP(CONCATENATE(Delivery[[#This Row],[Coffee specie]],Delivery[[#This Row],[Coffee state]]),Tab_Conversão[],4,FALSE)</f>
        <v>18880</v>
      </c>
      <c r="AB169" s="169">
        <f>SUMIF(Allocation!C:C,Delivery[[#This Row],[Delivery ID]],Allocation!D:D)/Delivery[[#This Row],[Quantity delivered]]</f>
        <v>1</v>
      </c>
      <c r="AC169" s="170">
        <f>Delivery[[#This Row],[Quantity delivered]]*Delivery[[#This Row],[Base price (Unidad)]]/60</f>
        <v>146785.92693333334</v>
      </c>
      <c r="AD169" s="171">
        <f>Delivery[[#This Row],[Nespresso total]]-Delivery[[#This Row],[Qt. Delivery * Base Price]]</f>
        <v>-1421.1877502165444</v>
      </c>
      <c r="AE169" s="171">
        <f>Delivery[[#This Row],[AAA Premium (total)]]/Delivery[[#This Row],[Quantity delivered]]*60/Delivery[[#This Row],[Exchange rate VS USD]]</f>
        <v>7.005781224974327</v>
      </c>
      <c r="AF169" s="171">
        <f>Delivery[[#This Row],[BEN premium (total)]]/Delivery[[#This Row],[Quantity delivered]]*60/Delivery[[#This Row],[Exchange rate for premiums VS USD]]</f>
        <v>2.1886853999999998</v>
      </c>
      <c r="AG169" s="171">
        <f>COUNTIF(Delivery[Delivery ID],Delivery[[#This Row],[Delivery ID]])</f>
        <v>1</v>
      </c>
      <c r="AH169" s="171">
        <f>(Delivery[[#This Row],[Nespresso total]]/SUMIF(Allocation!C:C,Delivery[Delivery ID],Allocation!H:H))/Delivery[[#This Row],[Exchange rate VS USD]]</f>
        <v>6.4425991894856098</v>
      </c>
      <c r="AI169" s="171">
        <f>(Delivery[[#This Row],[AAA Premium (total)]]/SUMIF(Allocation!C:C,Delivery[Delivery ID],Allocation!H:H))/Delivery[[#This Row],[Exchange rate VS USD]]</f>
        <v>0.35153656920085918</v>
      </c>
      <c r="AJ169" s="171">
        <f>Delivery[[#This Row],[Valor Prêmio Nespresso AAA por Kg (em US$)]]*60</f>
        <v>21.092194152051551</v>
      </c>
      <c r="AK169" s="171">
        <f>Delivery[[#This Row],[Valor Prêmio Nespresso AAA por saca (em US$)]]/1.3228/100</f>
        <v>0.15945111998829417</v>
      </c>
      <c r="AL169" s="171">
        <f>(Delivery[[#This Row],[BEN premium (total)]]/SUMIF(Allocation!C:C,Delivery[Delivery ID],Allocation!H:H))/Delivery[[#This Row],[Exchange rate for premiums VS USD]]</f>
        <v>0.10982400561313985</v>
      </c>
      <c r="AM169" s="171">
        <f>Delivery[[#This Row],[Valor Prêmio Nespresso BEN por Kg (em US$)]]*60</f>
        <v>6.5894403367883907</v>
      </c>
      <c r="AN169" s="171">
        <f>Delivery[[#This Row],[Valor Prêmio Nespresso BEN por saca (em US$)]]/1.3228/100</f>
        <v>4.9814335778563583E-2</v>
      </c>
      <c r="AO169" s="171">
        <f>SUMIF(Allocation[Delivery ID],Delivery[[#This Row],[Delivery ID]],Allocation[Quantity allocated])*16*1.3228*Delivery[[#This Row],[Exchange rate VS USD]]/60</f>
        <v>7959.0434993066656</v>
      </c>
      <c r="AP169" s="171">
        <f>Delivery[[#This Row],[AAA Premium (total)]]</f>
        <v>7931.74</v>
      </c>
      <c r="AQ169" s="171">
        <f>Delivery[[#This Row],[Valor pago pelo Cluster]]-Delivery[[#This Row],[Valor efetivamente pago pela Nespresso]]</f>
        <v>-27.303499306665799</v>
      </c>
    </row>
    <row r="170" spans="1:43" ht="15.75">
      <c r="A170" s="174" t="s">
        <v>69</v>
      </c>
      <c r="B170" s="232" t="s">
        <v>68</v>
      </c>
      <c r="C170" s="157" t="s">
        <v>1344</v>
      </c>
      <c r="D170" s="157" t="s">
        <v>468</v>
      </c>
      <c r="E170" s="177" t="s">
        <v>468</v>
      </c>
      <c r="F170" s="233" t="s">
        <v>543</v>
      </c>
      <c r="G170" s="234">
        <v>43306</v>
      </c>
      <c r="H170" s="157" t="s">
        <v>1420</v>
      </c>
      <c r="I170" s="157" t="s">
        <v>1356</v>
      </c>
      <c r="J170" s="237">
        <v>20990</v>
      </c>
      <c r="K170" s="175" t="s">
        <v>61</v>
      </c>
      <c r="L170" s="175" t="s">
        <v>439</v>
      </c>
      <c r="M170" s="175" t="s">
        <v>1343</v>
      </c>
      <c r="N170" s="180"/>
      <c r="O170" s="177"/>
      <c r="P170" s="181">
        <v>0</v>
      </c>
      <c r="Q170" s="177">
        <v>43304</v>
      </c>
      <c r="R170" s="178">
        <v>423.03906999999998</v>
      </c>
      <c r="S170" s="179">
        <v>155556.89000000001</v>
      </c>
      <c r="T170" s="182" t="s">
        <v>45</v>
      </c>
      <c r="U170" s="183">
        <v>3.7822</v>
      </c>
      <c r="V170" s="179">
        <v>13230.7</v>
      </c>
      <c r="W170" s="179">
        <v>0</v>
      </c>
      <c r="X170" s="186" t="s">
        <v>45</v>
      </c>
      <c r="Y170" s="183">
        <v>3.7822</v>
      </c>
      <c r="Z170" s="220"/>
      <c r="AA170" s="172">
        <f>Delivery[[#This Row],[Quantity delivered]]*VLOOKUP(Delivery[[#This Row],[Unit]],Tab_Conversão[],4,FALSE)*VLOOKUP(CONCATENATE(Delivery[[#This Row],[Coffee specie]],Delivery[[#This Row],[Coffee state]]),Tab_Conversão[],4,FALSE)</f>
        <v>20990</v>
      </c>
      <c r="AB170" s="169">
        <f>SUMIF(Allocation!C:C,Delivery[[#This Row],[Delivery ID]],Allocation!D:D)/Delivery[[#This Row],[Quantity delivered]]</f>
        <v>0.11043353978084802</v>
      </c>
      <c r="AC170" s="170">
        <f>Delivery[[#This Row],[Quantity delivered]]*Delivery[[#This Row],[Base price (Unidad)]]/60</f>
        <v>147993.16798833333</v>
      </c>
      <c r="AD170" s="171">
        <f>Delivery[[#This Row],[Nespresso total]]-Delivery[[#This Row],[Qt. Delivery * Base Price]]</f>
        <v>7563.7220116666867</v>
      </c>
      <c r="AE170" s="171">
        <f>Delivery[[#This Row],[AAA Premium (total)]]/Delivery[[#This Row],[Quantity delivered]]*60/Delivery[[#This Row],[Exchange rate VS USD]]</f>
        <v>9.9994737264943261</v>
      </c>
      <c r="AF170" s="171">
        <f>Delivery[[#This Row],[BEN premium (total)]]/Delivery[[#This Row],[Quantity delivered]]*60/Delivery[[#This Row],[Exchange rate for premiums VS USD]]</f>
        <v>0</v>
      </c>
      <c r="AG170" s="171">
        <f>COUNTIF(Delivery[Delivery ID],Delivery[[#This Row],[Delivery ID]])</f>
        <v>1</v>
      </c>
      <c r="AH170" s="171">
        <f>(Delivery[[#This Row],[Nespresso total]]/SUMIF(Allocation!C:C,Delivery[Delivery ID],Allocation!H:H))/Delivery[[#This Row],[Exchange rate VS USD]]</f>
        <v>39.433057598916825</v>
      </c>
      <c r="AI170" s="171">
        <f>(Delivery[[#This Row],[AAA Premium (total)]]/SUMIF(Allocation!C:C,Delivery[Delivery ID],Allocation!H:H))/Delivery[[#This Row],[Exchange rate VS USD]]</f>
        <v>3.3539302256170642</v>
      </c>
      <c r="AJ170" s="171">
        <f>Delivery[[#This Row],[Valor Prêmio Nespresso AAA por Kg (em US$)]]*60</f>
        <v>201.23581353702386</v>
      </c>
      <c r="AK170" s="171">
        <f>Delivery[[#This Row],[Valor Prêmio Nespresso AAA por saca (em US$)]]/1.3228/100</f>
        <v>1.5212867669868755</v>
      </c>
      <c r="AL170" s="171">
        <f>(Delivery[[#This Row],[BEN premium (total)]]/SUMIF(Allocation!C:C,Delivery[Delivery ID],Allocation!H:H))/Delivery[[#This Row],[Exchange rate for premiums VS USD]]</f>
        <v>0</v>
      </c>
      <c r="AM170" s="171">
        <f>Delivery[[#This Row],[Valor Prêmio Nespresso BEN por Kg (em US$)]]*60</f>
        <v>0</v>
      </c>
      <c r="AN170" s="171">
        <f>Delivery[[#This Row],[Valor Prêmio Nespresso BEN por saca (em US$)]]/1.3228/100</f>
        <v>0</v>
      </c>
      <c r="AO170" s="171">
        <f>SUMIF(Allocation[Delivery ID],Delivery[[#This Row],[Delivery ID]],Allocation[Quantity allocated])*16*1.3228*Delivery[[#This Row],[Exchange rate VS USD]]/60</f>
        <v>1391.5272557013334</v>
      </c>
      <c r="AP170" s="171">
        <f>Delivery[[#This Row],[AAA Premium (total)]]</f>
        <v>13230.7</v>
      </c>
      <c r="AQ170" s="171">
        <f>Delivery[[#This Row],[Valor pago pelo Cluster]]-Delivery[[#This Row],[Valor efetivamente pago pela Nespresso]]</f>
        <v>11839.172744298667</v>
      </c>
    </row>
    <row r="171" spans="1:43" ht="15.75">
      <c r="A171" s="174" t="s">
        <v>69</v>
      </c>
      <c r="B171" s="232" t="s">
        <v>68</v>
      </c>
      <c r="C171" s="157">
        <v>1</v>
      </c>
      <c r="D171" s="157" t="s">
        <v>468</v>
      </c>
      <c r="E171" s="177" t="s">
        <v>468</v>
      </c>
      <c r="F171" s="233" t="s">
        <v>543</v>
      </c>
      <c r="G171" s="234">
        <v>43307</v>
      </c>
      <c r="H171" s="157" t="s">
        <v>1421</v>
      </c>
      <c r="I171" s="157" t="s">
        <v>1377</v>
      </c>
      <c r="J171" s="237">
        <v>12000</v>
      </c>
      <c r="K171" s="175" t="s">
        <v>61</v>
      </c>
      <c r="L171" s="175" t="s">
        <v>439</v>
      </c>
      <c r="M171" s="175" t="s">
        <v>1343</v>
      </c>
      <c r="N171" s="180"/>
      <c r="O171" s="177"/>
      <c r="P171" s="181">
        <v>0</v>
      </c>
      <c r="Q171" s="177">
        <v>43305</v>
      </c>
      <c r="R171" s="178">
        <v>415.52994000000001</v>
      </c>
      <c r="S171" s="179">
        <v>85221.6</v>
      </c>
      <c r="T171" s="182" t="s">
        <v>45</v>
      </c>
      <c r="U171" s="183">
        <v>3.7452000000000001</v>
      </c>
      <c r="V171" s="179">
        <v>5244</v>
      </c>
      <c r="W171" s="179">
        <v>0</v>
      </c>
      <c r="X171" s="186" t="s">
        <v>45</v>
      </c>
      <c r="Y171" s="183">
        <v>3.7452000000000001</v>
      </c>
      <c r="Z171" s="220"/>
      <c r="AA171" s="172">
        <f>Delivery[[#This Row],[Quantity delivered]]*VLOOKUP(Delivery[[#This Row],[Unit]],Tab_Conversão[],4,FALSE)*VLOOKUP(CONCATENATE(Delivery[[#This Row],[Coffee specie]],Delivery[[#This Row],[Coffee state]]),Tab_Conversão[],4,FALSE)</f>
        <v>12000</v>
      </c>
      <c r="AB171" s="169">
        <f>SUMIF(Allocation!C:C,Delivery[[#This Row],[Delivery ID]],Allocation!D:D)/Delivery[[#This Row],[Quantity delivered]]</f>
        <v>0.64166666666666672</v>
      </c>
      <c r="AC171" s="170">
        <f>Delivery[[#This Row],[Quantity delivered]]*Delivery[[#This Row],[Base price (Unidad)]]/60</f>
        <v>83105.987999999998</v>
      </c>
      <c r="AD171" s="171">
        <f>Delivery[[#This Row],[Nespresso total]]-Delivery[[#This Row],[Qt. Delivery * Base Price]]</f>
        <v>2115.6120000000083</v>
      </c>
      <c r="AE171" s="171">
        <f>Delivery[[#This Row],[AAA Premium (total)]]/Delivery[[#This Row],[Quantity delivered]]*60/Delivery[[#This Row],[Exchange rate VS USD]]</f>
        <v>7.0009612303748794</v>
      </c>
      <c r="AF171" s="171">
        <f>Delivery[[#This Row],[BEN premium (total)]]/Delivery[[#This Row],[Quantity delivered]]*60/Delivery[[#This Row],[Exchange rate for premiums VS USD]]</f>
        <v>0</v>
      </c>
      <c r="AG171" s="171">
        <f>COUNTIF(Delivery[Delivery ID],Delivery[[#This Row],[Delivery ID]])</f>
        <v>1</v>
      </c>
      <c r="AH171" s="171">
        <f>(Delivery[[#This Row],[Nespresso total]]/SUMIF(Allocation!C:C,Delivery[Delivery ID],Allocation!H:H))/Delivery[[#This Row],[Exchange rate VS USD]]</f>
        <v>8.9550910092111913</v>
      </c>
      <c r="AI171" s="171">
        <f>(Delivery[[#This Row],[AAA Premium (total)]]/SUMIF(Allocation!C:C,Delivery[Delivery ID],Allocation!H:H))/Delivery[[#This Row],[Exchange rate VS USD]]</f>
        <v>0.55103984497244229</v>
      </c>
      <c r="AJ171" s="171">
        <f>Delivery[[#This Row],[Valor Prêmio Nespresso AAA por Kg (em US$)]]*60</f>
        <v>33.06239069834654</v>
      </c>
      <c r="AK171" s="171">
        <f>Delivery[[#This Row],[Valor Prêmio Nespresso AAA por saca (em US$)]]/1.3228/100</f>
        <v>0.24994247579639053</v>
      </c>
      <c r="AL171" s="171">
        <f>(Delivery[[#This Row],[BEN premium (total)]]/SUMIF(Allocation!C:C,Delivery[Delivery ID],Allocation!H:H))/Delivery[[#This Row],[Exchange rate for premiums VS USD]]</f>
        <v>0</v>
      </c>
      <c r="AM171" s="171">
        <f>Delivery[[#This Row],[Valor Prêmio Nespresso BEN por Kg (em US$)]]*60</f>
        <v>0</v>
      </c>
      <c r="AN171" s="171">
        <f>Delivery[[#This Row],[Valor Prêmio Nespresso BEN por saca (em US$)]]/1.3228/100</f>
        <v>0</v>
      </c>
      <c r="AO171" s="171">
        <f>SUMIF(Allocation[Delivery ID],Delivery[[#This Row],[Delivery ID]],Allocation[Quantity allocated])*16*1.3228*Delivery[[#This Row],[Exchange rate VS USD]]/60</f>
        <v>3356.9324194559999</v>
      </c>
      <c r="AP171" s="171">
        <f>Delivery[[#This Row],[AAA Premium (total)]]</f>
        <v>5244</v>
      </c>
      <c r="AQ171" s="171">
        <f>Delivery[[#This Row],[Valor pago pelo Cluster]]-Delivery[[#This Row],[Valor efetivamente pago pela Nespresso]]</f>
        <v>1887.0675805440001</v>
      </c>
    </row>
    <row r="172" spans="1:43" ht="15.75">
      <c r="A172" s="174" t="s">
        <v>69</v>
      </c>
      <c r="B172" s="232" t="s">
        <v>68</v>
      </c>
      <c r="C172" s="157">
        <v>1</v>
      </c>
      <c r="D172" s="157" t="s">
        <v>468</v>
      </c>
      <c r="E172" s="177" t="s">
        <v>468</v>
      </c>
      <c r="F172" s="233" t="s">
        <v>543</v>
      </c>
      <c r="G172" s="234">
        <v>43307</v>
      </c>
      <c r="H172" s="157" t="s">
        <v>1422</v>
      </c>
      <c r="I172" s="236" t="s">
        <v>1423</v>
      </c>
      <c r="J172" s="237">
        <v>12380</v>
      </c>
      <c r="K172" s="175" t="s">
        <v>61</v>
      </c>
      <c r="L172" s="175" t="s">
        <v>439</v>
      </c>
      <c r="M172" s="175" t="s">
        <v>1343</v>
      </c>
      <c r="N172" s="180"/>
      <c r="O172" s="177"/>
      <c r="P172" s="181">
        <v>0</v>
      </c>
      <c r="Q172" s="177">
        <v>43255</v>
      </c>
      <c r="R172" s="178">
        <v>480.70329000000004</v>
      </c>
      <c r="S172" s="179">
        <v>96165.36</v>
      </c>
      <c r="T172" s="182" t="s">
        <v>45</v>
      </c>
      <c r="U172" s="183">
        <v>3.7806000000000002</v>
      </c>
      <c r="V172" s="179">
        <v>5459.58</v>
      </c>
      <c r="W172" s="179">
        <v>0</v>
      </c>
      <c r="X172" s="186" t="s">
        <v>45</v>
      </c>
      <c r="Y172" s="183">
        <v>3.7806000000000002</v>
      </c>
      <c r="Z172" s="220"/>
      <c r="AA172" s="172">
        <f>Delivery[[#This Row],[Quantity delivered]]*VLOOKUP(Delivery[[#This Row],[Unit]],Tab_Conversão[],4,FALSE)*VLOOKUP(CONCATENATE(Delivery[[#This Row],[Coffee specie]],Delivery[[#This Row],[Coffee state]]),Tab_Conversão[],4,FALSE)</f>
        <v>12380</v>
      </c>
      <c r="AB172" s="169">
        <f>SUMIF(Allocation!C:C,Delivery[[#This Row],[Delivery ID]],Allocation!D:D)/Delivery[[#This Row],[Quantity delivered]]</f>
        <v>1</v>
      </c>
      <c r="AC172" s="170">
        <f>Delivery[[#This Row],[Quantity delivered]]*Delivery[[#This Row],[Base price (Unidad)]]/60</f>
        <v>99185.112170000008</v>
      </c>
      <c r="AD172" s="171">
        <f>Delivery[[#This Row],[Nespresso total]]-Delivery[[#This Row],[Qt. Delivery * Base Price]]</f>
        <v>-3019.752170000007</v>
      </c>
      <c r="AE172" s="171">
        <f>Delivery[[#This Row],[AAA Premium (total)]]/Delivery[[#This Row],[Quantity delivered]]*60/Delivery[[#This Row],[Exchange rate VS USD]]</f>
        <v>6.9988890652277416</v>
      </c>
      <c r="AF172" s="171">
        <f>Delivery[[#This Row],[BEN premium (total)]]/Delivery[[#This Row],[Quantity delivered]]*60/Delivery[[#This Row],[Exchange rate for premiums VS USD]]</f>
        <v>0</v>
      </c>
      <c r="AG172" s="171">
        <f>COUNTIF(Delivery[Delivery ID],Delivery[[#This Row],[Delivery ID]])</f>
        <v>1</v>
      </c>
      <c r="AH172" s="171">
        <f>(Delivery[[#This Row],[Nespresso total]]/SUMIF(Allocation!C:C,Delivery[Delivery ID],Allocation!H:H))/Delivery[[#This Row],[Exchange rate VS USD]]</f>
        <v>6.2252897414367485</v>
      </c>
      <c r="AI172" s="171">
        <f>(Delivery[[#This Row],[AAA Premium (total)]]/SUMIF(Allocation!C:C,Delivery[Delivery ID],Allocation!H:H))/Delivery[[#This Row],[Exchange rate VS USD]]</f>
        <v>0.35342733980877566</v>
      </c>
      <c r="AJ172" s="171">
        <f>Delivery[[#This Row],[Valor Prêmio Nespresso AAA por Kg (em US$)]]*60</f>
        <v>21.20564038852654</v>
      </c>
      <c r="AK172" s="171">
        <f>Delivery[[#This Row],[Valor Prêmio Nespresso AAA por saca (em US$)]]/1.3228/100</f>
        <v>0.16030874197555595</v>
      </c>
      <c r="AL172" s="171">
        <f>(Delivery[[#This Row],[BEN premium (total)]]/SUMIF(Allocation!C:C,Delivery[Delivery ID],Allocation!H:H))/Delivery[[#This Row],[Exchange rate for premiums VS USD]]</f>
        <v>0</v>
      </c>
      <c r="AM172" s="171">
        <f>Delivery[[#This Row],[Valor Prêmio Nespresso BEN por Kg (em US$)]]*60</f>
        <v>0</v>
      </c>
      <c r="AN172" s="171">
        <f>Delivery[[#This Row],[Valor Prêmio Nespresso BEN por saca (em US$)]]/1.3228/100</f>
        <v>0</v>
      </c>
      <c r="AO172" s="171">
        <f>SUMIF(Allocation[Delivery ID],Delivery[[#This Row],[Delivery ID]],Allocation[Quantity allocated])*16*1.3228*Delivery[[#This Row],[Exchange rate VS USD]]/60</f>
        <v>5449.0652801279994</v>
      </c>
      <c r="AP172" s="171">
        <f>Delivery[[#This Row],[AAA Premium (total)]]</f>
        <v>5459.58</v>
      </c>
      <c r="AQ172" s="171">
        <f>Delivery[[#This Row],[Valor pago pelo Cluster]]-Delivery[[#This Row],[Valor efetivamente pago pela Nespresso]]</f>
        <v>10.514719872000569</v>
      </c>
    </row>
    <row r="173" spans="1:43" ht="15.75">
      <c r="A173" s="174" t="s">
        <v>69</v>
      </c>
      <c r="B173" s="232" t="s">
        <v>68</v>
      </c>
      <c r="C173" s="157" t="s">
        <v>1344</v>
      </c>
      <c r="D173" s="157" t="s">
        <v>468</v>
      </c>
      <c r="E173" s="177" t="s">
        <v>468</v>
      </c>
      <c r="F173" s="233" t="s">
        <v>543</v>
      </c>
      <c r="G173" s="234">
        <v>43308</v>
      </c>
      <c r="H173" s="235" t="s">
        <v>1424</v>
      </c>
      <c r="I173" s="157" t="s">
        <v>1425</v>
      </c>
      <c r="J173" s="237">
        <v>6030</v>
      </c>
      <c r="K173" s="175" t="s">
        <v>61</v>
      </c>
      <c r="L173" s="175" t="s">
        <v>439</v>
      </c>
      <c r="M173" s="175" t="s">
        <v>1343</v>
      </c>
      <c r="N173" s="180"/>
      <c r="O173" s="177"/>
      <c r="P173" s="181">
        <v>0</v>
      </c>
      <c r="Q173" s="177">
        <v>43242</v>
      </c>
      <c r="R173" s="178">
        <v>465.27965</v>
      </c>
      <c r="S173" s="179">
        <v>45902.17</v>
      </c>
      <c r="T173" s="182" t="s">
        <v>45</v>
      </c>
      <c r="U173" s="183">
        <v>3.6781000000000001</v>
      </c>
      <c r="V173" s="179">
        <v>2587.87</v>
      </c>
      <c r="W173" s="179">
        <v>0</v>
      </c>
      <c r="X173" s="186" t="s">
        <v>45</v>
      </c>
      <c r="Y173" s="183">
        <v>3.6781000000000001</v>
      </c>
      <c r="Z173" s="220"/>
      <c r="AA173" s="172">
        <f>Delivery[[#This Row],[Quantity delivered]]*VLOOKUP(Delivery[[#This Row],[Unit]],Tab_Conversão[],4,FALSE)*VLOOKUP(CONCATENATE(Delivery[[#This Row],[Coffee specie]],Delivery[[#This Row],[Coffee state]]),Tab_Conversão[],4,FALSE)</f>
        <v>6030</v>
      </c>
      <c r="AB173" s="169">
        <f>SUMIF(Allocation!C:C,Delivery[[#This Row],[Delivery ID]],Allocation!D:D)/Delivery[[#This Row],[Quantity delivered]]</f>
        <v>0.82106135986732998</v>
      </c>
      <c r="AC173" s="170">
        <f>Delivery[[#This Row],[Quantity delivered]]*Delivery[[#This Row],[Base price (Unidad)]]/60</f>
        <v>46760.604825000002</v>
      </c>
      <c r="AD173" s="171">
        <f>Delivery[[#This Row],[Nespresso total]]-Delivery[[#This Row],[Qt. Delivery * Base Price]]</f>
        <v>-858.43482500000391</v>
      </c>
      <c r="AE173" s="171">
        <f>Delivery[[#This Row],[AAA Premium (total)]]/Delivery[[#This Row],[Quantity delivered]]*60/Delivery[[#This Row],[Exchange rate VS USD]]</f>
        <v>7.0008836760164801</v>
      </c>
      <c r="AF173" s="171">
        <f>Delivery[[#This Row],[BEN premium (total)]]/Delivery[[#This Row],[Quantity delivered]]*60/Delivery[[#This Row],[Exchange rate for premiums VS USD]]</f>
        <v>0</v>
      </c>
      <c r="AG173" s="171">
        <f>COUNTIF(Delivery[Delivery ID],Delivery[[#This Row],[Delivery ID]])</f>
        <v>1</v>
      </c>
      <c r="AH173" s="171">
        <f>(Delivery[[#This Row],[Nespresso total]]/SUMIF(Allocation!C:C,Delivery[Delivery ID],Allocation!H:H))/Delivery[[#This Row],[Exchange rate VS USD]]</f>
        <v>7.6376127089458032</v>
      </c>
      <c r="AI173" s="171">
        <f>(Delivery[[#This Row],[AAA Premium (total)]]/SUMIF(Allocation!C:C,Delivery[Delivery ID],Allocation!H:H))/Delivery[[#This Row],[Exchange rate VS USD]]</f>
        <v>0.43059290663381655</v>
      </c>
      <c r="AJ173" s="171">
        <f>Delivery[[#This Row],[Valor Prêmio Nespresso AAA por Kg (em US$)]]*60</f>
        <v>25.835574398028992</v>
      </c>
      <c r="AK173" s="171">
        <f>Delivery[[#This Row],[Valor Prêmio Nespresso AAA por saca (em US$)]]/1.3228/100</f>
        <v>0.19530975505011333</v>
      </c>
      <c r="AL173" s="171">
        <f>(Delivery[[#This Row],[BEN premium (total)]]/SUMIF(Allocation!C:C,Delivery[Delivery ID],Allocation!H:H))/Delivery[[#This Row],[Exchange rate for premiums VS USD]]</f>
        <v>0</v>
      </c>
      <c r="AM173" s="171">
        <f>Delivery[[#This Row],[Valor Prêmio Nespresso BEN por Kg (em US$)]]*60</f>
        <v>0</v>
      </c>
      <c r="AN173" s="171">
        <f>Delivery[[#This Row],[Valor Prêmio Nespresso BEN por saca (em US$)]]/1.3228/100</f>
        <v>0</v>
      </c>
      <c r="AO173" s="171">
        <f>SUMIF(Allocation[Delivery ID],Delivery[[#This Row],[Delivery ID]],Allocation[Quantity allocated])*16*1.3228*Delivery[[#This Row],[Exchange rate VS USD]]/60</f>
        <v>2120.0128989653331</v>
      </c>
      <c r="AP173" s="171">
        <f>Delivery[[#This Row],[AAA Premium (total)]]</f>
        <v>2587.87</v>
      </c>
      <c r="AQ173" s="171">
        <f>Delivery[[#This Row],[Valor pago pelo Cluster]]-Delivery[[#This Row],[Valor efetivamente pago pela Nespresso]]</f>
        <v>467.85710103466681</v>
      </c>
    </row>
    <row r="174" spans="1:43" ht="15.75">
      <c r="A174" s="174" t="s">
        <v>69</v>
      </c>
      <c r="B174" s="232" t="s">
        <v>68</v>
      </c>
      <c r="C174" s="157">
        <v>1</v>
      </c>
      <c r="D174" s="157" t="s">
        <v>468</v>
      </c>
      <c r="E174" s="177" t="s">
        <v>468</v>
      </c>
      <c r="F174" s="233" t="s">
        <v>543</v>
      </c>
      <c r="G174" s="234">
        <v>43311</v>
      </c>
      <c r="H174" s="157" t="s">
        <v>1426</v>
      </c>
      <c r="I174" s="236" t="s">
        <v>1427</v>
      </c>
      <c r="J174" s="237">
        <v>12560</v>
      </c>
      <c r="K174" s="175" t="s">
        <v>61</v>
      </c>
      <c r="L174" s="175" t="s">
        <v>439</v>
      </c>
      <c r="M174" s="175" t="s">
        <v>1343</v>
      </c>
      <c r="N174" s="180"/>
      <c r="O174" s="177"/>
      <c r="P174" s="181">
        <v>0</v>
      </c>
      <c r="Q174" s="177">
        <v>43306</v>
      </c>
      <c r="R174" s="178">
        <v>409.41239999999999</v>
      </c>
      <c r="S174" s="179">
        <v>88928.57</v>
      </c>
      <c r="T174" s="182" t="s">
        <v>45</v>
      </c>
      <c r="U174" s="183">
        <v>3.6884000000000001</v>
      </c>
      <c r="V174" s="179">
        <v>7707.92</v>
      </c>
      <c r="W174" s="179">
        <v>0</v>
      </c>
      <c r="X174" s="186" t="s">
        <v>45</v>
      </c>
      <c r="Y174" s="183">
        <v>3.6884000000000001</v>
      </c>
      <c r="Z174" s="220"/>
      <c r="AA174" s="172">
        <f>Delivery[[#This Row],[Quantity delivered]]*VLOOKUP(Delivery[[#This Row],[Unit]],Tab_Conversão[],4,FALSE)*VLOOKUP(CONCATENATE(Delivery[[#This Row],[Coffee specie]],Delivery[[#This Row],[Coffee state]]),Tab_Conversão[],4,FALSE)</f>
        <v>12560</v>
      </c>
      <c r="AB174" s="169">
        <f>SUMIF(Allocation!C:C,Delivery[[#This Row],[Delivery ID]],Allocation!D:D)/Delivery[[#This Row],[Quantity delivered]]</f>
        <v>0.85254777070063692</v>
      </c>
      <c r="AC174" s="170">
        <f>Delivery[[#This Row],[Quantity delivered]]*Delivery[[#This Row],[Base price (Unidad)]]/60</f>
        <v>85703.662400000001</v>
      </c>
      <c r="AD174" s="171">
        <f>Delivery[[#This Row],[Nespresso total]]-Delivery[[#This Row],[Qt. Delivery * Base Price]]</f>
        <v>3224.9076000000059</v>
      </c>
      <c r="AE174" s="171">
        <f>Delivery[[#This Row],[AAA Premium (total)]]/Delivery[[#This Row],[Quantity delivered]]*60/Delivery[[#This Row],[Exchange rate VS USD]]</f>
        <v>9.9829936789259079</v>
      </c>
      <c r="AF174" s="171">
        <f>Delivery[[#This Row],[BEN premium (total)]]/Delivery[[#This Row],[Quantity delivered]]*60/Delivery[[#This Row],[Exchange rate for premiums VS USD]]</f>
        <v>0</v>
      </c>
      <c r="AG174" s="171">
        <f>COUNTIF(Delivery[Delivery ID],Delivery[[#This Row],[Delivery ID]])</f>
        <v>1</v>
      </c>
      <c r="AH174" s="171">
        <f>(Delivery[[#This Row],[Nespresso total]]/SUMIF(Allocation!C:C,Delivery[Delivery ID],Allocation!H:H))/Delivery[[#This Row],[Exchange rate VS USD]]</f>
        <v>5.629310720489169</v>
      </c>
      <c r="AI174" s="171">
        <f>(Delivery[[#This Row],[AAA Premium (total)]]/SUMIF(Allocation!C:C,Delivery[Delivery ID],Allocation!H:H))/Delivery[[#This Row],[Exchange rate VS USD]]</f>
        <v>0.48792279791154719</v>
      </c>
      <c r="AJ174" s="171">
        <f>Delivery[[#This Row],[Valor Prêmio Nespresso AAA por Kg (em US$)]]*60</f>
        <v>29.275367874692833</v>
      </c>
      <c r="AK174" s="171">
        <f>Delivery[[#This Row],[Valor Prêmio Nespresso AAA por saca (em US$)]]/1.3228/100</f>
        <v>0.2213136367908439</v>
      </c>
      <c r="AL174" s="171">
        <f>(Delivery[[#This Row],[BEN premium (total)]]/SUMIF(Allocation!C:C,Delivery[Delivery ID],Allocation!H:H))/Delivery[[#This Row],[Exchange rate for premiums VS USD]]</f>
        <v>0</v>
      </c>
      <c r="AM174" s="171">
        <f>Delivery[[#This Row],[Valor Prêmio Nespresso BEN por Kg (em US$)]]*60</f>
        <v>0</v>
      </c>
      <c r="AN174" s="171">
        <f>Delivery[[#This Row],[Valor Prêmio Nespresso BEN por saca (em US$)]]/1.3228/100</f>
        <v>0</v>
      </c>
      <c r="AO174" s="171">
        <f>SUMIF(Allocation[Delivery ID],Delivery[[#This Row],[Delivery ID]],Allocation[Quantity allocated])*16*1.3228*Delivery[[#This Row],[Exchange rate VS USD]]/60</f>
        <v>5572.4862592426662</v>
      </c>
      <c r="AP174" s="171">
        <f>Delivery[[#This Row],[AAA Premium (total)]]</f>
        <v>7707.92</v>
      </c>
      <c r="AQ174" s="171">
        <f>Delivery[[#This Row],[Valor pago pelo Cluster]]-Delivery[[#This Row],[Valor efetivamente pago pela Nespresso]]</f>
        <v>2135.4337407573339</v>
      </c>
    </row>
    <row r="175" spans="1:43" ht="15.75">
      <c r="A175" s="174" t="s">
        <v>69</v>
      </c>
      <c r="B175" s="232" t="s">
        <v>68</v>
      </c>
      <c r="C175" s="157" t="s">
        <v>1344</v>
      </c>
      <c r="D175" s="157" t="s">
        <v>468</v>
      </c>
      <c r="E175" s="177" t="s">
        <v>468</v>
      </c>
      <c r="F175" s="233" t="s">
        <v>543</v>
      </c>
      <c r="G175" s="234">
        <v>43311</v>
      </c>
      <c r="H175" s="235" t="s">
        <v>1428</v>
      </c>
      <c r="I175" s="157" t="s">
        <v>1383</v>
      </c>
      <c r="J175" s="237">
        <v>12640</v>
      </c>
      <c r="K175" s="175" t="s">
        <v>61</v>
      </c>
      <c r="L175" s="175" t="s">
        <v>439</v>
      </c>
      <c r="M175" s="175" t="s">
        <v>1343</v>
      </c>
      <c r="N175" s="180"/>
      <c r="O175" s="177"/>
      <c r="P175" s="181">
        <v>0</v>
      </c>
      <c r="Q175" s="177">
        <v>43307</v>
      </c>
      <c r="R175" s="178">
        <v>411.97649999999999</v>
      </c>
      <c r="S175" s="179">
        <v>91707.41333333333</v>
      </c>
      <c r="T175" s="182" t="s">
        <v>45</v>
      </c>
      <c r="U175" s="183">
        <v>3.7115</v>
      </c>
      <c r="V175" s="179">
        <v>7818.8933333333334</v>
      </c>
      <c r="W175" s="179">
        <v>0</v>
      </c>
      <c r="X175" s="186" t="s">
        <v>45</v>
      </c>
      <c r="Y175" s="183">
        <v>3.7115</v>
      </c>
      <c r="Z175" s="220"/>
      <c r="AA175" s="172">
        <f>Delivery[[#This Row],[Quantity delivered]]*VLOOKUP(Delivery[[#This Row],[Unit]],Tab_Conversão[],4,FALSE)*VLOOKUP(CONCATENATE(Delivery[[#This Row],[Coffee specie]],Delivery[[#This Row],[Coffee state]]),Tab_Conversão[],4,FALSE)</f>
        <v>12640</v>
      </c>
      <c r="AB175" s="169">
        <f>SUMIF(Allocation!C:C,Delivery[[#This Row],[Delivery ID]],Allocation!D:D)/Delivery[[#This Row],[Quantity delivered]]</f>
        <v>0.61329113924050638</v>
      </c>
      <c r="AC175" s="170">
        <f>Delivery[[#This Row],[Quantity delivered]]*Delivery[[#This Row],[Base price (Unidad)]]/60</f>
        <v>86789.716</v>
      </c>
      <c r="AD175" s="171">
        <f>Delivery[[#This Row],[Nespresso total]]-Delivery[[#This Row],[Qt. Delivery * Base Price]]</f>
        <v>4917.6973333333299</v>
      </c>
      <c r="AE175" s="171">
        <f>Delivery[[#This Row],[AAA Premium (total)]]/Delivery[[#This Row],[Quantity delivered]]*60/Delivery[[#This Row],[Exchange rate VS USD]]</f>
        <v>10</v>
      </c>
      <c r="AF175" s="171">
        <f>Delivery[[#This Row],[BEN premium (total)]]/Delivery[[#This Row],[Quantity delivered]]*60/Delivery[[#This Row],[Exchange rate for premiums VS USD]]</f>
        <v>0</v>
      </c>
      <c r="AG175" s="171">
        <f>COUNTIF(Delivery[Delivery ID],Delivery[[#This Row],[Delivery ID]])</f>
        <v>1</v>
      </c>
      <c r="AH175" s="171">
        <f>(Delivery[[#This Row],[Nespresso total]]/SUMIF(Allocation!C:C,Delivery[Delivery ID],Allocation!H:H))/Delivery[[#This Row],[Exchange rate VS USD]]</f>
        <v>7.5887558899818091</v>
      </c>
      <c r="AI175" s="171">
        <f>(Delivery[[#This Row],[AAA Premium (total)]]/SUMIF(Allocation!C:C,Delivery[Delivery ID],Allocation!H:H))/Delivery[[#This Row],[Exchange rate VS USD]]</f>
        <v>0.64701064701064703</v>
      </c>
      <c r="AJ175" s="171">
        <f>Delivery[[#This Row],[Valor Prêmio Nespresso AAA por Kg (em US$)]]*60</f>
        <v>38.82063882063882</v>
      </c>
      <c r="AK175" s="171">
        <f>Delivery[[#This Row],[Valor Prêmio Nespresso AAA por saca (em US$)]]/1.3228/100</f>
        <v>0.29347322966917766</v>
      </c>
      <c r="AL175" s="171">
        <f>(Delivery[[#This Row],[BEN premium (total)]]/SUMIF(Allocation!C:C,Delivery[Delivery ID],Allocation!H:H))/Delivery[[#This Row],[Exchange rate for premiums VS USD]]</f>
        <v>0</v>
      </c>
      <c r="AM175" s="171">
        <f>Delivery[[#This Row],[Valor Prêmio Nespresso BEN por Kg (em US$)]]*60</f>
        <v>0</v>
      </c>
      <c r="AN175" s="171">
        <f>Delivery[[#This Row],[Valor Prêmio Nespresso BEN por saca (em US$)]]/1.3228/100</f>
        <v>0</v>
      </c>
      <c r="AO175" s="171">
        <f>SUMIF(Allocation[Delivery ID],Delivery[[#This Row],[Delivery ID]],Allocation[Quantity allocated])*16*1.3228*Delivery[[#This Row],[Exchange rate VS USD]]/60</f>
        <v>4262.817888853333</v>
      </c>
      <c r="AP175" s="171">
        <f>Delivery[[#This Row],[AAA Premium (total)]]</f>
        <v>7818.8933333333334</v>
      </c>
      <c r="AQ175" s="171">
        <f>Delivery[[#This Row],[Valor pago pelo Cluster]]-Delivery[[#This Row],[Valor efetivamente pago pela Nespresso]]</f>
        <v>3556.0754444800004</v>
      </c>
    </row>
    <row r="176" spans="1:43" ht="15.75">
      <c r="A176" s="174" t="s">
        <v>69</v>
      </c>
      <c r="B176" s="232" t="s">
        <v>68</v>
      </c>
      <c r="C176" s="157">
        <v>1</v>
      </c>
      <c r="D176" s="157" t="s">
        <v>468</v>
      </c>
      <c r="E176" s="177" t="s">
        <v>468</v>
      </c>
      <c r="F176" s="233" t="s">
        <v>543</v>
      </c>
      <c r="G176" s="234">
        <v>43311</v>
      </c>
      <c r="H176" s="157" t="s">
        <v>595</v>
      </c>
      <c r="I176" s="157" t="s">
        <v>556</v>
      </c>
      <c r="J176" s="237">
        <v>17680</v>
      </c>
      <c r="K176" s="175" t="s">
        <v>61</v>
      </c>
      <c r="L176" s="175" t="s">
        <v>439</v>
      </c>
      <c r="M176" s="175" t="s">
        <v>1343</v>
      </c>
      <c r="N176" s="180"/>
      <c r="O176" s="177"/>
      <c r="P176" s="181">
        <v>0</v>
      </c>
      <c r="Q176" s="177">
        <v>43237</v>
      </c>
      <c r="R176" s="178">
        <v>460.84354999999999</v>
      </c>
      <c r="S176" s="179">
        <v>135600.16216703522</v>
      </c>
      <c r="T176" s="182" t="s">
        <v>45</v>
      </c>
      <c r="U176" s="183">
        <v>3.7269999999999999</v>
      </c>
      <c r="V176" s="179">
        <v>7698.73</v>
      </c>
      <c r="W176" s="179">
        <v>2403.6639164824001</v>
      </c>
      <c r="X176" s="186" t="s">
        <v>45</v>
      </c>
      <c r="Y176" s="183">
        <v>3.7269999999999999</v>
      </c>
      <c r="Z176" s="220" t="s">
        <v>473</v>
      </c>
      <c r="AA176" s="172">
        <f>Delivery[[#This Row],[Quantity delivered]]*VLOOKUP(Delivery[[#This Row],[Unit]],Tab_Conversão[],4,FALSE)*VLOOKUP(CONCATENATE(Delivery[[#This Row],[Coffee specie]],Delivery[[#This Row],[Coffee state]]),Tab_Conversão[],4,FALSE)</f>
        <v>17680</v>
      </c>
      <c r="AB176" s="169">
        <f>SUMIF(Allocation!C:C,Delivery[[#This Row],[Delivery ID]],Allocation!D:D)/Delivery[[#This Row],[Quantity delivered]]</f>
        <v>0.80967194570135748</v>
      </c>
      <c r="AC176" s="170">
        <f>Delivery[[#This Row],[Quantity delivered]]*Delivery[[#This Row],[Base price (Unidad)]]/60</f>
        <v>135795.23273333334</v>
      </c>
      <c r="AD176" s="171">
        <f>Delivery[[#This Row],[Nespresso total]]-Delivery[[#This Row],[Qt. Delivery * Base Price]]</f>
        <v>-195.07056629811996</v>
      </c>
      <c r="AE176" s="171">
        <f>Delivery[[#This Row],[AAA Premium (total)]]/Delivery[[#This Row],[Quantity delivered]]*60/Delivery[[#This Row],[Exchange rate VS USD]]</f>
        <v>7.010172193374264</v>
      </c>
      <c r="AF176" s="171">
        <f>Delivery[[#This Row],[BEN premium (total)]]/Delivery[[#This Row],[Quantity delivered]]*60/Delivery[[#This Row],[Exchange rate for premiums VS USD]]</f>
        <v>2.1886853999999998</v>
      </c>
      <c r="AG176" s="171">
        <f>COUNTIF(Delivery[Delivery ID],Delivery[[#This Row],[Delivery ID]])</f>
        <v>1</v>
      </c>
      <c r="AH176" s="171">
        <f>(Delivery[[#This Row],[Nespresso total]]/SUMIF(Allocation!C:C,Delivery[Delivery ID],Allocation!H:H))/Delivery[[#This Row],[Exchange rate VS USD]]</f>
        <v>7.7017767777301245</v>
      </c>
      <c r="AI176" s="171">
        <f>(Delivery[[#This Row],[AAA Premium (total)]]/SUMIF(Allocation!C:C,Delivery[Delivery ID],Allocation!H:H))/Delivery[[#This Row],[Exchange rate VS USD]]</f>
        <v>0.43727012552517985</v>
      </c>
      <c r="AJ176" s="171">
        <f>Delivery[[#This Row],[Valor Prêmio Nespresso AAA por Kg (em US$)]]*60</f>
        <v>26.236207531510793</v>
      </c>
      <c r="AK176" s="171">
        <f>Delivery[[#This Row],[Valor Prêmio Nespresso AAA por saca (em US$)]]/1.3228/100</f>
        <v>0.19833843008399452</v>
      </c>
      <c r="AL176" s="171">
        <f>(Delivery[[#This Row],[BEN premium (total)]]/SUMIF(Allocation!C:C,Delivery[Delivery ID],Allocation!H:H))/Delivery[[#This Row],[Exchange rate for premiums VS USD]]</f>
        <v>0.13652257222692635</v>
      </c>
      <c r="AM176" s="171">
        <f>Delivery[[#This Row],[Valor Prêmio Nespresso BEN por Kg (em US$)]]*60</f>
        <v>8.1913543336155801</v>
      </c>
      <c r="AN176" s="171">
        <f>Delivery[[#This Row],[Valor Prêmio Nespresso BEN por saca (em US$)]]/1.3228/100</f>
        <v>6.1924359945687783E-2</v>
      </c>
      <c r="AO176" s="171">
        <f>SUMIF(Allocation[Delivery ID],Delivery[[#This Row],[Delivery ID]],Allocation[Quantity allocated])*16*1.3228*Delivery[[#This Row],[Exchange rate VS USD]]/60</f>
        <v>6210.5805691733322</v>
      </c>
      <c r="AP176" s="171">
        <f>Delivery[[#This Row],[AAA Premium (total)]]</f>
        <v>7698.73</v>
      </c>
      <c r="AQ176" s="171">
        <f>Delivery[[#This Row],[Valor pago pelo Cluster]]-Delivery[[#This Row],[Valor efetivamente pago pela Nespresso]]</f>
        <v>1488.1494308266674</v>
      </c>
    </row>
    <row r="177" spans="1:43" ht="15.75">
      <c r="A177" s="174" t="s">
        <v>69</v>
      </c>
      <c r="B177" s="232" t="s">
        <v>68</v>
      </c>
      <c r="C177" s="157">
        <v>1</v>
      </c>
      <c r="D177" s="157" t="s">
        <v>468</v>
      </c>
      <c r="E177" s="177" t="s">
        <v>468</v>
      </c>
      <c r="F177" s="233" t="s">
        <v>543</v>
      </c>
      <c r="G177" s="234">
        <v>43311</v>
      </c>
      <c r="H177" s="157" t="s">
        <v>596</v>
      </c>
      <c r="I177" s="157" t="s">
        <v>556</v>
      </c>
      <c r="J177" s="237">
        <v>3530</v>
      </c>
      <c r="K177" s="175" t="s">
        <v>61</v>
      </c>
      <c r="L177" s="175" t="s">
        <v>439</v>
      </c>
      <c r="M177" s="175" t="s">
        <v>1343</v>
      </c>
      <c r="N177" s="180"/>
      <c r="O177" s="177"/>
      <c r="P177" s="181">
        <v>0</v>
      </c>
      <c r="Q177" s="177">
        <v>43237</v>
      </c>
      <c r="R177" s="178">
        <v>460.84354999999999</v>
      </c>
      <c r="S177" s="179">
        <v>27074.015879504201</v>
      </c>
      <c r="T177" s="182" t="s">
        <v>45</v>
      </c>
      <c r="U177" s="183">
        <v>3.7269999999999999</v>
      </c>
      <c r="V177" s="179">
        <v>1537.13</v>
      </c>
      <c r="W177" s="179">
        <v>479.9170602479</v>
      </c>
      <c r="X177" s="186" t="s">
        <v>45</v>
      </c>
      <c r="Y177" s="183">
        <v>3.7269999999999999</v>
      </c>
      <c r="Z177" s="220" t="s">
        <v>473</v>
      </c>
      <c r="AA177" s="172">
        <f>Delivery[[#This Row],[Quantity delivered]]*VLOOKUP(Delivery[[#This Row],[Unit]],Tab_Conversão[],4,FALSE)*VLOOKUP(CONCATENATE(Delivery[[#This Row],[Coffee specie]],Delivery[[#This Row],[Coffee state]]),Tab_Conversão[],4,FALSE)</f>
        <v>3530</v>
      </c>
      <c r="AB177" s="169">
        <f>SUMIF(Allocation!C:C,Delivery[[#This Row],[Delivery ID]],Allocation!D:D)/Delivery[[#This Row],[Quantity delivered]]</f>
        <v>0.81133144475920682</v>
      </c>
      <c r="AC177" s="170">
        <f>Delivery[[#This Row],[Quantity delivered]]*Delivery[[#This Row],[Base price (Unidad)]]/60</f>
        <v>27112.962191666666</v>
      </c>
      <c r="AD177" s="171">
        <f>Delivery[[#This Row],[Nespresso total]]-Delivery[[#This Row],[Qt. Delivery * Base Price]]</f>
        <v>-38.946312162464892</v>
      </c>
      <c r="AE177" s="171">
        <f>Delivery[[#This Row],[AAA Premium (total)]]/Delivery[[#This Row],[Quantity delivered]]*60/Delivery[[#This Row],[Exchange rate VS USD]]</f>
        <v>7.010157103321526</v>
      </c>
      <c r="AF177" s="171">
        <f>Delivery[[#This Row],[BEN premium (total)]]/Delivery[[#This Row],[Quantity delivered]]*60/Delivery[[#This Row],[Exchange rate for premiums VS USD]]</f>
        <v>2.1886853999999998</v>
      </c>
      <c r="AG177" s="171">
        <f>COUNTIF(Delivery[Delivery ID],Delivery[[#This Row],[Delivery ID]])</f>
        <v>1</v>
      </c>
      <c r="AH177" s="171">
        <f>(Delivery[[#This Row],[Nespresso total]]/SUMIF(Allocation!C:C,Delivery[Delivery ID],Allocation!H:H))/Delivery[[#This Row],[Exchange rate VS USD]]</f>
        <v>7.6870813666336462</v>
      </c>
      <c r="AI177" s="171">
        <f>(Delivery[[#This Row],[AAA Premium (total)]]/SUMIF(Allocation!C:C,Delivery[Delivery ID],Allocation!H:H))/Delivery[[#This Row],[Exchange rate VS USD]]</f>
        <v>0.4364348249510579</v>
      </c>
      <c r="AJ177" s="171">
        <f>Delivery[[#This Row],[Valor Prêmio Nespresso AAA por Kg (em US$)]]*60</f>
        <v>26.186089497063474</v>
      </c>
      <c r="AK177" s="171">
        <f>Delivery[[#This Row],[Valor Prêmio Nespresso AAA por saca (em US$)]]/1.3228/100</f>
        <v>0.19795955168629781</v>
      </c>
      <c r="AL177" s="171">
        <f>(Delivery[[#This Row],[BEN premium (total)]]/SUMIF(Allocation!C:C,Delivery[Delivery ID],Allocation!H:H))/Delivery[[#This Row],[Exchange rate for premiums VS USD]]</f>
        <v>0.13626207164021165</v>
      </c>
      <c r="AM177" s="171">
        <f>Delivery[[#This Row],[Valor Prêmio Nespresso BEN por Kg (em US$)]]*60</f>
        <v>8.1757242984126997</v>
      </c>
      <c r="AN177" s="171">
        <f>Delivery[[#This Row],[Valor Prêmio Nespresso BEN por saca (em US$)]]/1.3228/100</f>
        <v>6.180620122779483E-2</v>
      </c>
      <c r="AO177" s="171">
        <f>SUMIF(Allocation[Delivery ID],Delivery[[#This Row],[Delivery ID]],Allocation[Quantity allocated])*16*1.3228*Delivery[[#This Row],[Exchange rate VS USD]]/60</f>
        <v>1242.3790512</v>
      </c>
      <c r="AP177" s="171">
        <f>Delivery[[#This Row],[AAA Premium (total)]]</f>
        <v>1537.13</v>
      </c>
      <c r="AQ177" s="171">
        <f>Delivery[[#This Row],[Valor pago pelo Cluster]]-Delivery[[#This Row],[Valor efetivamente pago pela Nespresso]]</f>
        <v>294.75094880000006</v>
      </c>
    </row>
    <row r="178" spans="1:43" ht="15.75">
      <c r="A178" s="174" t="s">
        <v>69</v>
      </c>
      <c r="B178" s="232" t="s">
        <v>68</v>
      </c>
      <c r="C178" s="157">
        <v>1</v>
      </c>
      <c r="D178" s="157" t="s">
        <v>468</v>
      </c>
      <c r="E178" s="177" t="s">
        <v>468</v>
      </c>
      <c r="F178" s="233" t="s">
        <v>543</v>
      </c>
      <c r="G178" s="234">
        <v>43313</v>
      </c>
      <c r="H178" s="235" t="s">
        <v>1429</v>
      </c>
      <c r="I178" s="157" t="s">
        <v>1383</v>
      </c>
      <c r="J178" s="237">
        <v>1200</v>
      </c>
      <c r="K178" s="175" t="s">
        <v>61</v>
      </c>
      <c r="L178" s="175" t="s">
        <v>439</v>
      </c>
      <c r="M178" s="175" t="s">
        <v>1343</v>
      </c>
      <c r="N178" s="180"/>
      <c r="O178" s="177"/>
      <c r="P178" s="181">
        <v>0</v>
      </c>
      <c r="Q178" s="177">
        <v>42685</v>
      </c>
      <c r="R178" s="178">
        <v>697.57500000000005</v>
      </c>
      <c r="S178" s="179">
        <v>13522.199999999999</v>
      </c>
      <c r="T178" s="182" t="s">
        <v>45</v>
      </c>
      <c r="U178" s="183">
        <v>3.93</v>
      </c>
      <c r="V178" s="179">
        <v>550.20000000000005</v>
      </c>
      <c r="W178" s="179">
        <v>0</v>
      </c>
      <c r="X178" s="186" t="s">
        <v>45</v>
      </c>
      <c r="Y178" s="183">
        <v>3.93</v>
      </c>
      <c r="Z178" s="221"/>
      <c r="AA178" s="172">
        <f>Delivery[[#This Row],[Quantity delivered]]*VLOOKUP(Delivery[[#This Row],[Unit]],Tab_Conversão[],4,FALSE)*VLOOKUP(CONCATENATE(Delivery[[#This Row],[Coffee specie]],Delivery[[#This Row],[Coffee state]]),Tab_Conversão[],4,FALSE)</f>
        <v>1200</v>
      </c>
      <c r="AB178" s="169">
        <f>SUMIF(Allocation!C:C,Delivery[[#This Row],[Delivery ID]],Allocation!D:D)/Delivery[[#This Row],[Quantity delivered]]</f>
        <v>0.35833333333333334</v>
      </c>
      <c r="AC178" s="170">
        <f>Delivery[[#This Row],[Quantity delivered]]*Delivery[[#This Row],[Base price (Unidad)]]/60</f>
        <v>13951.5</v>
      </c>
      <c r="AD178" s="171">
        <f>Delivery[[#This Row],[Nespresso total]]-Delivery[[#This Row],[Qt. Delivery * Base Price]]</f>
        <v>-429.30000000000109</v>
      </c>
      <c r="AE178" s="171">
        <f>Delivery[[#This Row],[AAA Premium (total)]]/Delivery[[#This Row],[Quantity delivered]]*60/Delivery[[#This Row],[Exchange rate VS USD]]</f>
        <v>7</v>
      </c>
      <c r="AF178" s="171">
        <f>Delivery[[#This Row],[BEN premium (total)]]/Delivery[[#This Row],[Quantity delivered]]*60/Delivery[[#This Row],[Exchange rate for premiums VS USD]]</f>
        <v>0</v>
      </c>
      <c r="AG178" s="171">
        <f>COUNTIF(Delivery[Delivery ID],Delivery[[#This Row],[Delivery ID]])</f>
        <v>1</v>
      </c>
      <c r="AH178" s="171">
        <f>(Delivery[[#This Row],[Nespresso total]]/SUMIF(Allocation!C:C,Delivery[Delivery ID],Allocation!H:H))/Delivery[[#This Row],[Exchange rate VS USD]]</f>
        <v>24.230727878722714</v>
      </c>
      <c r="AI178" s="171">
        <f>(Delivery[[#This Row],[AAA Premium (total)]]/SUMIF(Allocation!C:C,Delivery[Delivery ID],Allocation!H:H))/Delivery[[#This Row],[Exchange rate VS USD]]</f>
        <v>0.9859154929577465</v>
      </c>
      <c r="AJ178" s="171">
        <f>Delivery[[#This Row],[Valor Prêmio Nespresso AAA por Kg (em US$)]]*60</f>
        <v>59.154929577464792</v>
      </c>
      <c r="AK178" s="171">
        <f>Delivery[[#This Row],[Valor Prêmio Nespresso AAA por saca (em US$)]]/1.3228/100</f>
        <v>0.44719481083659501</v>
      </c>
      <c r="AL178" s="171">
        <f>(Delivery[[#This Row],[BEN premium (total)]]/SUMIF(Allocation!C:C,Delivery[Delivery ID],Allocation!H:H))/Delivery[[#This Row],[Exchange rate for premiums VS USD]]</f>
        <v>0</v>
      </c>
      <c r="AM178" s="171">
        <f>Delivery[[#This Row],[Valor Prêmio Nespresso BEN por Kg (em US$)]]*60</f>
        <v>0</v>
      </c>
      <c r="AN178" s="171">
        <f>Delivery[[#This Row],[Valor Prêmio Nespresso BEN por saca (em US$)]]/1.3228/100</f>
        <v>0</v>
      </c>
      <c r="AO178" s="171">
        <f>SUMIF(Allocation[Delivery ID],Delivery[[#This Row],[Delivery ID]],Allocation[Quantity allocated])*16*1.3228*Delivery[[#This Row],[Exchange rate VS USD]]/60</f>
        <v>196.85380480000001</v>
      </c>
      <c r="AP178" s="171">
        <f>Delivery[[#This Row],[AAA Premium (total)]]</f>
        <v>550.20000000000005</v>
      </c>
      <c r="AQ178" s="171">
        <f>Delivery[[#This Row],[Valor pago pelo Cluster]]-Delivery[[#This Row],[Valor efetivamente pago pela Nespresso]]</f>
        <v>353.34619520000001</v>
      </c>
    </row>
    <row r="179" spans="1:43" ht="15.75">
      <c r="A179" s="174" t="s">
        <v>69</v>
      </c>
      <c r="B179" s="232" t="s">
        <v>68</v>
      </c>
      <c r="C179" s="157">
        <v>1</v>
      </c>
      <c r="D179" s="157" t="s">
        <v>468</v>
      </c>
      <c r="E179" s="177" t="s">
        <v>468</v>
      </c>
      <c r="F179" s="233" t="s">
        <v>543</v>
      </c>
      <c r="G179" s="234">
        <v>43326</v>
      </c>
      <c r="H179" s="157" t="s">
        <v>1430</v>
      </c>
      <c r="I179" s="157" t="s">
        <v>1431</v>
      </c>
      <c r="J179" s="237">
        <v>29950</v>
      </c>
      <c r="K179" s="175" t="s">
        <v>61</v>
      </c>
      <c r="L179" s="175" t="s">
        <v>439</v>
      </c>
      <c r="M179" s="175" t="s">
        <v>1343</v>
      </c>
      <c r="N179" s="180"/>
      <c r="O179" s="177"/>
      <c r="P179" s="181">
        <v>0</v>
      </c>
      <c r="Q179" s="177">
        <v>43222</v>
      </c>
      <c r="R179" s="178">
        <v>471.61217499999998</v>
      </c>
      <c r="S179" s="179">
        <v>230879.62252951448</v>
      </c>
      <c r="T179" s="182" t="s">
        <v>45</v>
      </c>
      <c r="U179" s="183">
        <v>3.5905</v>
      </c>
      <c r="V179" s="179">
        <v>12544.058333333332</v>
      </c>
      <c r="W179" s="179">
        <v>3922.6887352427502</v>
      </c>
      <c r="X179" s="186" t="s">
        <v>45</v>
      </c>
      <c r="Y179" s="183">
        <v>3.5905</v>
      </c>
      <c r="Z179" s="220" t="s">
        <v>473</v>
      </c>
      <c r="AA179" s="172">
        <f>Delivery[[#This Row],[Quantity delivered]]*VLOOKUP(Delivery[[#This Row],[Unit]],Tab_Conversão[],4,FALSE)*VLOOKUP(CONCATENATE(Delivery[[#This Row],[Coffee specie]],Delivery[[#This Row],[Coffee state]]),Tab_Conversão[],4,FALSE)</f>
        <v>29950</v>
      </c>
      <c r="AB179" s="169">
        <f>SUMIF(Allocation!C:C,Delivery[[#This Row],[Delivery ID]],Allocation!D:D)/Delivery[[#This Row],[Quantity delivered]]</f>
        <v>1</v>
      </c>
      <c r="AC179" s="170">
        <f>Delivery[[#This Row],[Quantity delivered]]*Delivery[[#This Row],[Base price (Unidad)]]/60</f>
        <v>235413.07735416666</v>
      </c>
      <c r="AD179" s="171">
        <f>Delivery[[#This Row],[Nespresso total]]-Delivery[[#This Row],[Qt. Delivery * Base Price]]</f>
        <v>-4533.4548246521736</v>
      </c>
      <c r="AE179" s="171">
        <f>Delivery[[#This Row],[AAA Premium (total)]]/Delivery[[#This Row],[Quantity delivered]]*60/Delivery[[#This Row],[Exchange rate VS USD]]</f>
        <v>6.9990252054031457</v>
      </c>
      <c r="AF179" s="171">
        <f>Delivery[[#This Row],[BEN premium (total)]]/Delivery[[#This Row],[Quantity delivered]]*60/Delivery[[#This Row],[Exchange rate for premiums VS USD]]</f>
        <v>2.1886854000000002</v>
      </c>
      <c r="AG179" s="171">
        <f>COUNTIF(Delivery[Delivery ID],Delivery[[#This Row],[Delivery ID]])</f>
        <v>1</v>
      </c>
      <c r="AH179" s="171">
        <f>(Delivery[[#This Row],[Nespresso total]]/SUMIF(Allocation!C:C,Delivery[Delivery ID],Allocation!H:H))/Delivery[[#This Row],[Exchange rate VS USD]]</f>
        <v>6.5057584715611405</v>
      </c>
      <c r="AI179" s="171">
        <f>(Delivery[[#This Row],[AAA Premium (total)]]/SUMIF(Allocation!C:C,Delivery[Delivery ID],Allocation!H:H))/Delivery[[#This Row],[Exchange rate VS USD]]</f>
        <v>0.35346823975081654</v>
      </c>
      <c r="AJ179" s="171">
        <f>Delivery[[#This Row],[Valor Prêmio Nespresso AAA por Kg (em US$)]]*60</f>
        <v>21.208094385048991</v>
      </c>
      <c r="AK179" s="171">
        <f>Delivery[[#This Row],[Valor Prêmio Nespresso AAA por saca (em US$)]]/1.3228/100</f>
        <v>0.16032729350656932</v>
      </c>
      <c r="AL179" s="171">
        <f>(Delivery[[#This Row],[BEN premium (total)]]/SUMIF(Allocation!C:C,Delivery[Delivery ID],Allocation!H:H))/Delivery[[#This Row],[Exchange rate for premiums VS USD]]</f>
        <v>0.1105340748178875</v>
      </c>
      <c r="AM179" s="171">
        <f>Delivery[[#This Row],[Valor Prêmio Nespresso BEN por Kg (em US$)]]*60</f>
        <v>6.6320444890732499</v>
      </c>
      <c r="AN179" s="171">
        <f>Delivery[[#This Row],[Valor Prêmio Nespresso BEN por saca (em US$)]]/1.3228/100</f>
        <v>5.0136411317457288E-2</v>
      </c>
      <c r="AO179" s="171">
        <f>SUMIF(Allocation[Delivery ID],Delivery[[#This Row],[Delivery ID]],Allocation[Quantity allocated])*16*1.3228*Delivery[[#This Row],[Exchange rate VS USD]]/60</f>
        <v>12518.450785493333</v>
      </c>
      <c r="AP179" s="171">
        <f>Delivery[[#This Row],[AAA Premium (total)]]</f>
        <v>12544.058333333332</v>
      </c>
      <c r="AQ179" s="171">
        <f>Delivery[[#This Row],[Valor pago pelo Cluster]]-Delivery[[#This Row],[Valor efetivamente pago pela Nespresso]]</f>
        <v>25.607547839999825</v>
      </c>
    </row>
    <row r="180" spans="1:43" ht="15.75">
      <c r="A180" s="174" t="s">
        <v>69</v>
      </c>
      <c r="B180" s="232" t="s">
        <v>68</v>
      </c>
      <c r="C180" s="157">
        <v>1</v>
      </c>
      <c r="D180" s="157" t="s">
        <v>468</v>
      </c>
      <c r="E180" s="177" t="s">
        <v>468</v>
      </c>
      <c r="F180" s="233" t="s">
        <v>543</v>
      </c>
      <c r="G180" s="234">
        <v>43326</v>
      </c>
      <c r="H180" s="157" t="s">
        <v>1432</v>
      </c>
      <c r="I180" s="157" t="s">
        <v>1431</v>
      </c>
      <c r="J180" s="237">
        <v>29960</v>
      </c>
      <c r="K180" s="175" t="s">
        <v>61</v>
      </c>
      <c r="L180" s="175" t="s">
        <v>439</v>
      </c>
      <c r="M180" s="175" t="s">
        <v>1343</v>
      </c>
      <c r="N180" s="180"/>
      <c r="O180" s="177"/>
      <c r="P180" s="181">
        <v>0</v>
      </c>
      <c r="Q180" s="177">
        <v>43222</v>
      </c>
      <c r="R180" s="178">
        <v>471.61217499999998</v>
      </c>
      <c r="S180" s="179">
        <v>230877.00303787162</v>
      </c>
      <c r="T180" s="182" t="s">
        <v>45</v>
      </c>
      <c r="U180" s="183">
        <v>3.5905</v>
      </c>
      <c r="V180" s="179">
        <v>12548.246666666666</v>
      </c>
      <c r="W180" s="179">
        <v>3923.9984810642</v>
      </c>
      <c r="X180" s="186" t="s">
        <v>45</v>
      </c>
      <c r="Y180" s="183">
        <v>3.5905</v>
      </c>
      <c r="Z180" s="220" t="s">
        <v>473</v>
      </c>
      <c r="AA180" s="172">
        <f>Delivery[[#This Row],[Quantity delivered]]*VLOOKUP(Delivery[[#This Row],[Unit]],Tab_Conversão[],4,FALSE)*VLOOKUP(CONCATENATE(Delivery[[#This Row],[Coffee specie]],Delivery[[#This Row],[Coffee state]]),Tab_Conversão[],4,FALSE)</f>
        <v>29960</v>
      </c>
      <c r="AB180" s="169">
        <f>SUMIF(Allocation!C:C,Delivery[[#This Row],[Delivery ID]],Allocation!D:D)/Delivery[[#This Row],[Quantity delivered]]</f>
        <v>1</v>
      </c>
      <c r="AC180" s="170">
        <f>Delivery[[#This Row],[Quantity delivered]]*Delivery[[#This Row],[Base price (Unidad)]]/60</f>
        <v>235491.67938333334</v>
      </c>
      <c r="AD180" s="171">
        <f>Delivery[[#This Row],[Nespresso total]]-Delivery[[#This Row],[Qt. Delivery * Base Price]]</f>
        <v>-4614.6763454617176</v>
      </c>
      <c r="AE180" s="171">
        <f>Delivery[[#This Row],[AAA Premium (total)]]/Delivery[[#This Row],[Quantity delivered]]*60/Delivery[[#This Row],[Exchange rate VS USD]]</f>
        <v>6.9990252054031465</v>
      </c>
      <c r="AF180" s="171">
        <f>Delivery[[#This Row],[BEN premium (total)]]/Delivery[[#This Row],[Quantity delivered]]*60/Delivery[[#This Row],[Exchange rate for premiums VS USD]]</f>
        <v>2.1886853999999998</v>
      </c>
      <c r="AG180" s="171">
        <f>COUNTIF(Delivery[Delivery ID],Delivery[[#This Row],[Delivery ID]])</f>
        <v>1</v>
      </c>
      <c r="AH180" s="171">
        <f>(Delivery[[#This Row],[Nespresso total]]/SUMIF(Allocation!C:C,Delivery[Delivery ID],Allocation!H:H))/Delivery[[#This Row],[Exchange rate VS USD]]</f>
        <v>6.5037106474269573</v>
      </c>
      <c r="AI180" s="171">
        <f>(Delivery[[#This Row],[AAA Premium (total)]]/SUMIF(Allocation!C:C,Delivery[Delivery ID],Allocation!H:H))/Delivery[[#This Row],[Exchange rate VS USD]]</f>
        <v>0.35347897096166392</v>
      </c>
      <c r="AJ180" s="171">
        <f>Delivery[[#This Row],[Valor Prêmio Nespresso AAA por Kg (em US$)]]*60</f>
        <v>21.208738257699835</v>
      </c>
      <c r="AK180" s="171">
        <f>Delivery[[#This Row],[Valor Prêmio Nespresso AAA por saca (em US$)]]/1.3228/100</f>
        <v>0.16033216100468578</v>
      </c>
      <c r="AL180" s="171">
        <f>(Delivery[[#This Row],[BEN premium (total)]]/SUMIF(Allocation!C:C,Delivery[Delivery ID],Allocation!H:H))/Delivery[[#This Row],[Exchange rate for premiums VS USD]]</f>
        <v>0.11053743060584606</v>
      </c>
      <c r="AM180" s="171">
        <f>Delivery[[#This Row],[Valor Prêmio Nespresso BEN por Kg (em US$)]]*60</f>
        <v>6.6322458363507639</v>
      </c>
      <c r="AN180" s="171">
        <f>Delivery[[#This Row],[Valor Prêmio Nespresso BEN por saca (em US$)]]/1.3228/100</f>
        <v>5.0137933446860933E-2</v>
      </c>
      <c r="AO180" s="171">
        <f>SUMIF(Allocation[Delivery ID],Delivery[[#This Row],[Delivery ID]],Allocation[Quantity allocated])*16*1.3228*Delivery[[#This Row],[Exchange rate VS USD]]/60</f>
        <v>12522.250396213332</v>
      </c>
      <c r="AP180" s="171">
        <f>Delivery[[#This Row],[AAA Premium (total)]]</f>
        <v>12548.246666666666</v>
      </c>
      <c r="AQ180" s="171">
        <f>Delivery[[#This Row],[Valor pago pelo Cluster]]-Delivery[[#This Row],[Valor efetivamente pago pela Nespresso]]</f>
        <v>25.996270453333636</v>
      </c>
    </row>
    <row r="181" spans="1:43" ht="15.75">
      <c r="A181" s="174" t="s">
        <v>69</v>
      </c>
      <c r="B181" s="232" t="s">
        <v>68</v>
      </c>
      <c r="C181" s="157">
        <v>1</v>
      </c>
      <c r="D181" s="157" t="s">
        <v>468</v>
      </c>
      <c r="E181" s="177" t="s">
        <v>468</v>
      </c>
      <c r="F181" s="240" t="s">
        <v>543</v>
      </c>
      <c r="G181" s="234">
        <v>43699</v>
      </c>
      <c r="H181" s="235" t="s">
        <v>2124</v>
      </c>
      <c r="I181" s="236" t="s">
        <v>480</v>
      </c>
      <c r="J181" s="237">
        <v>26447</v>
      </c>
      <c r="K181" s="175" t="s">
        <v>61</v>
      </c>
      <c r="L181" s="175" t="s">
        <v>439</v>
      </c>
      <c r="M181" s="175" t="s">
        <v>1343</v>
      </c>
      <c r="N181" s="180"/>
      <c r="O181" s="177"/>
      <c r="P181" s="181">
        <v>0</v>
      </c>
      <c r="Q181" s="177">
        <v>43730</v>
      </c>
      <c r="R181" s="178">
        <v>652.27</v>
      </c>
      <c r="S181" s="179">
        <v>294027.93</v>
      </c>
      <c r="T181" s="182" t="s">
        <v>45</v>
      </c>
      <c r="U181" s="183">
        <v>3.8</v>
      </c>
      <c r="V181" s="179">
        <v>11730.599999999999</v>
      </c>
      <c r="W181" s="179">
        <v>0</v>
      </c>
      <c r="X181" s="186" t="s">
        <v>45</v>
      </c>
      <c r="Y181" s="183">
        <v>3.8</v>
      </c>
      <c r="Z181" s="220" t="s">
        <v>2125</v>
      </c>
      <c r="AA181" s="172">
        <f>Delivery[[#This Row],[Quantity delivered]]*VLOOKUP(Delivery[[#This Row],[Unit]],Tab_Conversão[],4,FALSE)*VLOOKUP(CONCATENATE(Delivery[[#This Row],[Coffee specie]],Delivery[[#This Row],[Coffee state]]),Tab_Conversão[],4,FALSE)</f>
        <v>26447</v>
      </c>
      <c r="AB181" s="169">
        <f>SUMIF(Allocation!C:C,Delivery[[#This Row],[Delivery ID]],Allocation!D:D)/Delivery[[#This Row],[Quantity delivered]]</f>
        <v>4.5373766400725978E-4</v>
      </c>
      <c r="AC181" s="170">
        <f>Delivery[[#This Row],[Quantity delivered]]*Delivery[[#This Row],[Base price (Unidad)]]/60</f>
        <v>287509.74483333336</v>
      </c>
      <c r="AD181" s="171">
        <f>Delivery[[#This Row],[Nespresso total]]-Delivery[[#This Row],[Qt. Delivery * Base Price]]</f>
        <v>6518.1851666666334</v>
      </c>
      <c r="AE181" s="171">
        <f>Delivery[[#This Row],[AAA Premium (total)]]/Delivery[[#This Row],[Quantity delivered]]*60/Delivery[[#This Row],[Exchange rate VS USD]]</f>
        <v>7.0034408439520552</v>
      </c>
      <c r="AF181" s="171">
        <f>Delivery[[#This Row],[BEN premium (total)]]/Delivery[[#This Row],[Quantity delivered]]*60/Delivery[[#This Row],[Exchange rate for premiums VS USD]]</f>
        <v>0</v>
      </c>
      <c r="AG181" s="171">
        <f>COUNTIF(Delivery[Delivery ID],Delivery[[#This Row],[Delivery ID]])</f>
        <v>1</v>
      </c>
      <c r="AH181" s="171">
        <f>(Delivery[[#This Row],[Nespresso total]]/SUMIF(Allocation!C:C,Delivery[Delivery ID],Allocation!H:H))/Delivery[[#This Row],[Exchange rate VS USD]]</f>
        <v>19343.942763157895</v>
      </c>
      <c r="AI181" s="171">
        <f>(Delivery[[#This Row],[AAA Premium (total)]]/SUMIF(Allocation!C:C,Delivery[Delivery ID],Allocation!H:H))/Delivery[[#This Row],[Exchange rate VS USD]]</f>
        <v>771.74999999999989</v>
      </c>
      <c r="AJ181" s="171">
        <f>Delivery[[#This Row],[Valor Prêmio Nespresso AAA por Kg (em US$)]]*60</f>
        <v>46304.999999999993</v>
      </c>
      <c r="AK181" s="171">
        <f>Delivery[[#This Row],[Valor Prêmio Nespresso AAA por saca (em US$)]]/1.3228/100</f>
        <v>350.05291805261567</v>
      </c>
      <c r="AL181" s="171">
        <f>(Delivery[[#This Row],[BEN premium (total)]]/SUMIF(Allocation!C:C,Delivery[Delivery ID],Allocation!H:H))/Delivery[[#This Row],[Exchange rate for premiums VS USD]]</f>
        <v>0</v>
      </c>
      <c r="AM181" s="171">
        <f>Delivery[[#This Row],[Valor Prêmio Nespresso BEN por Kg (em US$)]]*60</f>
        <v>0</v>
      </c>
      <c r="AN181" s="171">
        <f>Delivery[[#This Row],[Valor Prêmio Nespresso BEN por saca (em US$)]]/1.3228/100</f>
        <v>0</v>
      </c>
      <c r="AO181" s="171">
        <f>SUMIF(Allocation[Delivery ID],Delivery[[#This Row],[Delivery ID]],Allocation[Quantity allocated])*16*1.3228*Delivery[[#This Row],[Exchange rate VS USD]]/60</f>
        <v>5.361749333333333</v>
      </c>
      <c r="AP181" s="171">
        <f>Delivery[[#This Row],[AAA Premium (total)]]</f>
        <v>11730.599999999999</v>
      </c>
      <c r="AQ181" s="171">
        <f>Delivery[[#This Row],[Valor pago pelo Cluster]]-Delivery[[#This Row],[Valor efetivamente pago pela Nespresso]]</f>
        <v>11725.238250666665</v>
      </c>
    </row>
    <row r="182" spans="1:43" ht="15.75">
      <c r="A182" s="174" t="s">
        <v>69</v>
      </c>
      <c r="B182" s="232" t="s">
        <v>68</v>
      </c>
      <c r="C182" s="157">
        <v>1</v>
      </c>
      <c r="D182" s="157" t="s">
        <v>468</v>
      </c>
      <c r="E182" s="177" t="s">
        <v>468</v>
      </c>
      <c r="F182" s="240" t="s">
        <v>543</v>
      </c>
      <c r="G182" s="234">
        <v>43699</v>
      </c>
      <c r="H182" s="235" t="s">
        <v>2126</v>
      </c>
      <c r="I182" s="236" t="s">
        <v>480</v>
      </c>
      <c r="J182" s="237">
        <v>352000.5</v>
      </c>
      <c r="K182" s="175" t="s">
        <v>61</v>
      </c>
      <c r="L182" s="175" t="s">
        <v>439</v>
      </c>
      <c r="M182" s="175" t="s">
        <v>1343</v>
      </c>
      <c r="N182" s="180"/>
      <c r="O182" s="177"/>
      <c r="P182" s="181">
        <v>0</v>
      </c>
      <c r="Q182" s="177">
        <v>43730</v>
      </c>
      <c r="R182" s="178">
        <v>652.27</v>
      </c>
      <c r="S182" s="179">
        <v>3913705.1</v>
      </c>
      <c r="T182" s="182" t="s">
        <v>45</v>
      </c>
      <c r="U182" s="183">
        <v>3.8</v>
      </c>
      <c r="V182" s="179">
        <v>156142</v>
      </c>
      <c r="W182" s="179">
        <v>0</v>
      </c>
      <c r="X182" s="186" t="s">
        <v>45</v>
      </c>
      <c r="Y182" s="183">
        <v>3.8</v>
      </c>
      <c r="Z182" s="220" t="s">
        <v>2125</v>
      </c>
      <c r="AA182" s="172">
        <f>Delivery[[#This Row],[Quantity delivered]]*VLOOKUP(Delivery[[#This Row],[Unit]],Tab_Conversão[],4,FALSE)*VLOOKUP(CONCATENATE(Delivery[[#This Row],[Coffee specie]],Delivery[[#This Row],[Coffee state]]),Tab_Conversão[],4,FALSE)</f>
        <v>352000.5</v>
      </c>
      <c r="AB182" s="169">
        <f>SUMIF(Allocation!C:C,Delivery[[#This Row],[Delivery ID]],Allocation!D:D)/Delivery[[#This Row],[Quantity delivered]]</f>
        <v>4.9147657460713837E-4</v>
      </c>
      <c r="AC182" s="170">
        <f>Delivery[[#This Row],[Quantity delivered]]*Delivery[[#This Row],[Base price (Unidad)]]/60</f>
        <v>3826656.10225</v>
      </c>
      <c r="AD182" s="171">
        <f>Delivery[[#This Row],[Nespresso total]]-Delivery[[#This Row],[Qt. Delivery * Base Price]]</f>
        <v>87048.997750000097</v>
      </c>
      <c r="AE182" s="171">
        <f>Delivery[[#This Row],[AAA Premium (total)]]/Delivery[[#This Row],[Quantity delivered]]*60/Delivery[[#This Row],[Exchange rate VS USD]]</f>
        <v>7.0039673239100519</v>
      </c>
      <c r="AF182" s="171">
        <f>Delivery[[#This Row],[BEN premium (total)]]/Delivery[[#This Row],[Quantity delivered]]*60/Delivery[[#This Row],[Exchange rate for premiums VS USD]]</f>
        <v>0</v>
      </c>
      <c r="AG182" s="171">
        <f>COUNTIF(Delivery[Delivery ID],Delivery[[#This Row],[Delivery ID]])</f>
        <v>1</v>
      </c>
      <c r="AH182" s="171">
        <f>(Delivery[[#This Row],[Nespresso total]]/SUMIF(Allocation!C:C,Delivery[Delivery ID],Allocation!H:H))/Delivery[[#This Row],[Exchange rate VS USD]]</f>
        <v>18068.813942751618</v>
      </c>
      <c r="AI182" s="171">
        <f>(Delivery[[#This Row],[AAA Premium (total)]]/SUMIF(Allocation!C:C,Delivery[Delivery ID],Allocation!H:H))/Delivery[[#This Row],[Exchange rate VS USD]]</f>
        <v>720.87719298245622</v>
      </c>
      <c r="AJ182" s="171">
        <f>Delivery[[#This Row],[Valor Prêmio Nespresso AAA por Kg (em US$)]]*60</f>
        <v>43252.631578947374</v>
      </c>
      <c r="AK182" s="171">
        <f>Delivery[[#This Row],[Valor Prêmio Nespresso AAA por saca (em US$)]]/1.3228/100</f>
        <v>326.9778619515223</v>
      </c>
      <c r="AL182" s="171">
        <f>(Delivery[[#This Row],[BEN premium (total)]]/SUMIF(Allocation!C:C,Delivery[Delivery ID],Allocation!H:H))/Delivery[[#This Row],[Exchange rate for premiums VS USD]]</f>
        <v>0</v>
      </c>
      <c r="AM182" s="171">
        <f>Delivery[[#This Row],[Valor Prêmio Nespresso BEN por Kg (em US$)]]*60</f>
        <v>0</v>
      </c>
      <c r="AN182" s="171">
        <f>Delivery[[#This Row],[Valor Prêmio Nespresso BEN por saca (em US$)]]/1.3228/100</f>
        <v>0</v>
      </c>
      <c r="AO182" s="171">
        <f>SUMIF(Allocation[Delivery ID],Delivery[[#This Row],[Delivery ID]],Allocation[Quantity allocated])*16*1.3228*Delivery[[#This Row],[Exchange rate VS USD]]/60</f>
        <v>76.404927999999984</v>
      </c>
      <c r="AP182" s="171">
        <f>Delivery[[#This Row],[AAA Premium (total)]]</f>
        <v>156142</v>
      </c>
      <c r="AQ182" s="171">
        <f>Delivery[[#This Row],[Valor pago pelo Cluster]]-Delivery[[#This Row],[Valor efetivamente pago pela Nespresso]]</f>
        <v>156065.595072</v>
      </c>
    </row>
    <row r="183" spans="1:43" ht="15.75">
      <c r="A183" s="174" t="s">
        <v>69</v>
      </c>
      <c r="B183" s="232" t="s">
        <v>68</v>
      </c>
      <c r="C183" s="157">
        <v>1</v>
      </c>
      <c r="D183" s="157" t="s">
        <v>468</v>
      </c>
      <c r="E183" s="177" t="s">
        <v>468</v>
      </c>
      <c r="F183" s="233" t="s">
        <v>543</v>
      </c>
      <c r="G183" s="234">
        <v>43342</v>
      </c>
      <c r="H183" s="157" t="s">
        <v>1433</v>
      </c>
      <c r="I183" s="236" t="s">
        <v>1431</v>
      </c>
      <c r="J183" s="237">
        <v>30030</v>
      </c>
      <c r="K183" s="175" t="s">
        <v>61</v>
      </c>
      <c r="L183" s="175" t="s">
        <v>439</v>
      </c>
      <c r="M183" s="175" t="s">
        <v>1343</v>
      </c>
      <c r="N183" s="180"/>
      <c r="O183" s="177"/>
      <c r="P183" s="181">
        <v>0</v>
      </c>
      <c r="Q183" s="177">
        <v>43237</v>
      </c>
      <c r="R183" s="178">
        <v>460.84500000000003</v>
      </c>
      <c r="S183" s="179">
        <v>234180.59245298521</v>
      </c>
      <c r="T183" s="182" t="s">
        <v>45</v>
      </c>
      <c r="U183" s="183">
        <v>3.7240000000000002</v>
      </c>
      <c r="V183" s="179">
        <v>13035</v>
      </c>
      <c r="W183" s="179">
        <v>4079.4075470148005</v>
      </c>
      <c r="X183" s="186" t="s">
        <v>45</v>
      </c>
      <c r="Y183" s="183">
        <v>3.7240000000000002</v>
      </c>
      <c r="Z183" s="220" t="s">
        <v>473</v>
      </c>
      <c r="AA183" s="172">
        <f>Delivery[[#This Row],[Quantity delivered]]*VLOOKUP(Delivery[[#This Row],[Unit]],Tab_Conversão[],4,FALSE)*VLOOKUP(CONCATENATE(Delivery[[#This Row],[Coffee specie]],Delivery[[#This Row],[Coffee state]]),Tab_Conversão[],4,FALSE)</f>
        <v>30030</v>
      </c>
      <c r="AB183" s="169">
        <f>SUMIF(Allocation!C:C,Delivery[[#This Row],[Delivery ID]],Allocation!D:D)/Delivery[[#This Row],[Quantity delivered]]</f>
        <v>0.75128205128205128</v>
      </c>
      <c r="AC183" s="170">
        <f>Delivery[[#This Row],[Quantity delivered]]*Delivery[[#This Row],[Base price (Unidad)]]/60</f>
        <v>230652.92250000002</v>
      </c>
      <c r="AD183" s="171">
        <f>Delivery[[#This Row],[Nespresso total]]-Delivery[[#This Row],[Qt. Delivery * Base Price]]</f>
        <v>3527.6699529851903</v>
      </c>
      <c r="AE183" s="171">
        <f>Delivery[[#This Row],[AAA Premium (total)]]/Delivery[[#This Row],[Quantity delivered]]*60/Delivery[[#This Row],[Exchange rate VS USD]]</f>
        <v>6.9935435134146191</v>
      </c>
      <c r="AF183" s="171">
        <f>Delivery[[#This Row],[BEN premium (total)]]/Delivery[[#This Row],[Quantity delivered]]*60/Delivery[[#This Row],[Exchange rate for premiums VS USD]]</f>
        <v>2.1886854000000002</v>
      </c>
      <c r="AG183" s="171">
        <f>COUNTIF(Delivery[Delivery ID],Delivery[[#This Row],[Delivery ID]])</f>
        <v>1</v>
      </c>
      <c r="AH183" s="171">
        <f>(Delivery[[#This Row],[Nespresso total]]/SUMIF(Allocation!C:C,Delivery[Delivery ID],Allocation!H:H))/Delivery[[#This Row],[Exchange rate VS USD]]</f>
        <v>8.4464949353975403</v>
      </c>
      <c r="AI183" s="171">
        <f>(Delivery[[#This Row],[AAA Premium (total)]]/SUMIF(Allocation!C:C,Delivery[Delivery ID],Allocation!H:H))/Delivery[[#This Row],[Exchange rate VS USD]]</f>
        <v>0.47015023888032464</v>
      </c>
      <c r="AJ183" s="171">
        <f>Delivery[[#This Row],[Valor Prêmio Nespresso AAA por Kg (em US$)]]*60</f>
        <v>28.209014332819478</v>
      </c>
      <c r="AK183" s="171">
        <f>Delivery[[#This Row],[Valor Prêmio Nespresso AAA por saca (em US$)]]/1.3228/100</f>
        <v>0.21325230067145054</v>
      </c>
      <c r="AL183" s="171">
        <f>(Delivery[[#This Row],[BEN premium (total)]]/SUMIF(Allocation!C:C,Delivery[Delivery ID],Allocation!H:H))/Delivery[[#This Row],[Exchange rate for premiums VS USD]]</f>
        <v>0.14713727907320351</v>
      </c>
      <c r="AM183" s="171">
        <f>Delivery[[#This Row],[Valor Prêmio Nespresso BEN por Kg (em US$)]]*60</f>
        <v>8.8282367443922105</v>
      </c>
      <c r="AN183" s="171">
        <f>Delivery[[#This Row],[Valor Prêmio Nespresso BEN por saca (em US$)]]/1.3228/100</f>
        <v>6.6739013791897561E-2</v>
      </c>
      <c r="AO183" s="171">
        <f>SUMIF(Allocation[Delivery ID],Delivery[[#This Row],[Delivery ID]],Allocation[Quantity allocated])*16*1.3228*Delivery[[#This Row],[Exchange rate VS USD]]/60</f>
        <v>9779.9648277333345</v>
      </c>
      <c r="AP183" s="171">
        <f>Delivery[[#This Row],[AAA Premium (total)]]</f>
        <v>13035</v>
      </c>
      <c r="AQ183" s="171">
        <f>Delivery[[#This Row],[Valor pago pelo Cluster]]-Delivery[[#This Row],[Valor efetivamente pago pela Nespresso]]</f>
        <v>3255.0351722666655</v>
      </c>
    </row>
    <row r="184" spans="1:43" ht="15.75">
      <c r="A184" s="174" t="s">
        <v>69</v>
      </c>
      <c r="B184" s="232" t="s">
        <v>68</v>
      </c>
      <c r="C184" s="157">
        <v>1</v>
      </c>
      <c r="D184" s="157" t="s">
        <v>468</v>
      </c>
      <c r="E184" s="177" t="s">
        <v>468</v>
      </c>
      <c r="F184" s="233" t="s">
        <v>543</v>
      </c>
      <c r="G184" s="234">
        <v>43348</v>
      </c>
      <c r="H184" s="157" t="s">
        <v>1434</v>
      </c>
      <c r="I184" s="236" t="s">
        <v>1435</v>
      </c>
      <c r="J184" s="237">
        <v>20190</v>
      </c>
      <c r="K184" s="175" t="s">
        <v>61</v>
      </c>
      <c r="L184" s="175" t="s">
        <v>439</v>
      </c>
      <c r="M184" s="175" t="s">
        <v>1343</v>
      </c>
      <c r="N184" s="180" t="s">
        <v>483</v>
      </c>
      <c r="O184" s="177"/>
      <c r="P184" s="181">
        <v>0</v>
      </c>
      <c r="Q184" s="177">
        <v>43214</v>
      </c>
      <c r="R184" s="178">
        <v>444.84999999999997</v>
      </c>
      <c r="S184" s="179">
        <v>151761.53577015002</v>
      </c>
      <c r="T184" s="182" t="s">
        <v>45</v>
      </c>
      <c r="U184" s="183">
        <v>3.5</v>
      </c>
      <c r="V184" s="179">
        <v>8256.5</v>
      </c>
      <c r="W184" s="179">
        <v>2577.7242298499996</v>
      </c>
      <c r="X184" s="186" t="s">
        <v>45</v>
      </c>
      <c r="Y184" s="183">
        <v>3.5</v>
      </c>
      <c r="Z184" s="220" t="s">
        <v>473</v>
      </c>
      <c r="AA184" s="172">
        <f>Delivery[[#This Row],[Quantity delivered]]*VLOOKUP(Delivery[[#This Row],[Unit]],Tab_Conversão[],4,FALSE)*VLOOKUP(CONCATENATE(Delivery[[#This Row],[Coffee specie]],Delivery[[#This Row],[Coffee state]]),Tab_Conversão[],4,FALSE)</f>
        <v>20190</v>
      </c>
      <c r="AB184" s="169">
        <f>SUMIF(Allocation!C:C,Delivery[[#This Row],[Delivery ID]],Allocation!D:D)/Delivery[[#This Row],[Quantity delivered]]</f>
        <v>0.39276869737493808</v>
      </c>
      <c r="AC184" s="170">
        <f>Delivery[[#This Row],[Quantity delivered]]*Delivery[[#This Row],[Base price (Unidad)]]/60</f>
        <v>149692.02499999999</v>
      </c>
      <c r="AD184" s="171">
        <f>Delivery[[#This Row],[Nespresso total]]-Delivery[[#This Row],[Qt. Delivery * Base Price]]</f>
        <v>2069.5107701500237</v>
      </c>
      <c r="AE184" s="171">
        <f>Delivery[[#This Row],[AAA Premium (total)]]/Delivery[[#This Row],[Quantity delivered]]*60/Delivery[[#This Row],[Exchange rate VS USD]]</f>
        <v>7.0104011887072799</v>
      </c>
      <c r="AF184" s="171">
        <f>Delivery[[#This Row],[BEN premium (total)]]/Delivery[[#This Row],[Quantity delivered]]*60/Delivery[[#This Row],[Exchange rate for premiums VS USD]]</f>
        <v>2.1886853999999998</v>
      </c>
      <c r="AG184" s="171">
        <f>COUNTIF(Delivery[Delivery ID],Delivery[[#This Row],[Delivery ID]])</f>
        <v>1</v>
      </c>
      <c r="AH184" s="171">
        <f>(Delivery[[#This Row],[Nespresso total]]/SUMIF(Allocation!C:C,Delivery[Delivery ID],Allocation!H:H))/Delivery[[#This Row],[Exchange rate VS USD]]</f>
        <v>16.568757658185493</v>
      </c>
      <c r="AI184" s="171">
        <f>(Delivery[[#This Row],[AAA Premium (total)]]/SUMIF(Allocation!C:C,Delivery[Delivery ID],Allocation!H:H))/Delivery[[#This Row],[Exchange rate VS USD]]</f>
        <v>0.90141383263278563</v>
      </c>
      <c r="AJ184" s="171">
        <f>Delivery[[#This Row],[Valor Prêmio Nespresso AAA por Kg (em US$)]]*60</f>
        <v>54.084829957967138</v>
      </c>
      <c r="AK184" s="171">
        <f>Delivery[[#This Row],[Valor Prêmio Nespresso AAA por saca (em US$)]]/1.3228/100</f>
        <v>0.4088662682035617</v>
      </c>
      <c r="AL184" s="171">
        <f>(Delivery[[#This Row],[BEN premium (total)]]/SUMIF(Allocation!C:C,Delivery[Delivery ID],Allocation!H:H))/Delivery[[#This Row],[Exchange rate for premiums VS USD]]</f>
        <v>0.28142630382116923</v>
      </c>
      <c r="AM184" s="171">
        <f>Delivery[[#This Row],[Valor Prêmio Nespresso BEN por Kg (em US$)]]*60</f>
        <v>16.885578229270156</v>
      </c>
      <c r="AN184" s="171">
        <f>Delivery[[#This Row],[Valor Prêmio Nespresso BEN por saca (em US$)]]/1.3228/100</f>
        <v>0.12765027388320349</v>
      </c>
      <c r="AO184" s="171">
        <f>SUMIF(Allocation[Delivery ID],Delivery[[#This Row],[Delivery ID]],Allocation[Quantity allocated])*16*1.3228*Delivery[[#This Row],[Exchange rate VS USD]]/60</f>
        <v>3230.9830933333337</v>
      </c>
      <c r="AP184" s="171">
        <f>Delivery[[#This Row],[AAA Premium (total)]]</f>
        <v>8256.5</v>
      </c>
      <c r="AQ184" s="171">
        <f>Delivery[[#This Row],[Valor pago pelo Cluster]]-Delivery[[#This Row],[Valor efetivamente pago pela Nespresso]]</f>
        <v>5025.5169066666658</v>
      </c>
    </row>
    <row r="185" spans="1:43" ht="15.75">
      <c r="A185" s="174" t="s">
        <v>69</v>
      </c>
      <c r="B185" s="232" t="s">
        <v>68</v>
      </c>
      <c r="C185" s="157">
        <v>1</v>
      </c>
      <c r="D185" s="157" t="s">
        <v>468</v>
      </c>
      <c r="E185" s="177" t="s">
        <v>468</v>
      </c>
      <c r="F185" s="233" t="s">
        <v>543</v>
      </c>
      <c r="G185" s="234">
        <v>43348</v>
      </c>
      <c r="H185" s="157" t="s">
        <v>1436</v>
      </c>
      <c r="I185" s="236" t="s">
        <v>1435</v>
      </c>
      <c r="J185" s="237">
        <v>15350</v>
      </c>
      <c r="K185" s="175" t="s">
        <v>61</v>
      </c>
      <c r="L185" s="175" t="s">
        <v>439</v>
      </c>
      <c r="M185" s="175" t="s">
        <v>1343</v>
      </c>
      <c r="N185" s="180"/>
      <c r="O185" s="177"/>
      <c r="P185" s="181">
        <v>0</v>
      </c>
      <c r="Q185" s="177">
        <v>43214</v>
      </c>
      <c r="R185" s="178">
        <v>444.84999999999997</v>
      </c>
      <c r="S185" s="179">
        <v>115283.09461475001</v>
      </c>
      <c r="T185" s="182" t="s">
        <v>45</v>
      </c>
      <c r="U185" s="183">
        <v>3.5</v>
      </c>
      <c r="V185" s="179">
        <v>6272</v>
      </c>
      <c r="W185" s="179">
        <v>1959.78538525</v>
      </c>
      <c r="X185" s="186" t="s">
        <v>45</v>
      </c>
      <c r="Y185" s="183">
        <v>3.5</v>
      </c>
      <c r="Z185" s="220" t="s">
        <v>473</v>
      </c>
      <c r="AA185" s="172">
        <f>Delivery[[#This Row],[Quantity delivered]]*VLOOKUP(Delivery[[#This Row],[Unit]],Tab_Conversão[],4,FALSE)*VLOOKUP(CONCATENATE(Delivery[[#This Row],[Coffee specie]],Delivery[[#This Row],[Coffee state]]),Tab_Conversão[],4,FALSE)</f>
        <v>15350</v>
      </c>
      <c r="AB185" s="169">
        <f>SUMIF(Allocation!C:C,Delivery[[#This Row],[Delivery ID]],Allocation!D:D)/Delivery[[#This Row],[Quantity delivered]]</f>
        <v>0.24970684039087948</v>
      </c>
      <c r="AC185" s="170">
        <f>Delivery[[#This Row],[Quantity delivered]]*Delivery[[#This Row],[Base price (Unidad)]]/60</f>
        <v>113807.45833333331</v>
      </c>
      <c r="AD185" s="171">
        <f>Delivery[[#This Row],[Nespresso total]]-Delivery[[#This Row],[Qt. Delivery * Base Price]]</f>
        <v>1475.6362814166932</v>
      </c>
      <c r="AE185" s="171">
        <f>Delivery[[#This Row],[AAA Premium (total)]]/Delivery[[#This Row],[Quantity delivered]]*60/Delivery[[#This Row],[Exchange rate VS USD]]</f>
        <v>7.0045602605863184</v>
      </c>
      <c r="AF185" s="171">
        <f>Delivery[[#This Row],[BEN premium (total)]]/Delivery[[#This Row],[Quantity delivered]]*60/Delivery[[#This Row],[Exchange rate for premiums VS USD]]</f>
        <v>2.1886854000000002</v>
      </c>
      <c r="AG185" s="171">
        <f>COUNTIF(Delivery[Delivery ID],Delivery[[#This Row],[Delivery ID]])</f>
        <v>1</v>
      </c>
      <c r="AH185" s="171">
        <f>(Delivery[[#This Row],[Nespresso total]]/SUMIF(Allocation!C:C,Delivery[Delivery ID],Allocation!H:H))/Delivery[[#This Row],[Exchange rate VS USD]]</f>
        <v>26.037966033822702</v>
      </c>
      <c r="AI185" s="171">
        <f>(Delivery[[#This Row],[AAA Premium (total)]]/SUMIF(Allocation!C:C,Delivery[Delivery ID],Allocation!H:H))/Delivery[[#This Row],[Exchange rate VS USD]]</f>
        <v>1.416600790513834</v>
      </c>
      <c r="AJ185" s="171">
        <f>Delivery[[#This Row],[Valor Prêmio Nespresso AAA por Kg (em US$)]]*60</f>
        <v>84.996047430830046</v>
      </c>
      <c r="AK185" s="171">
        <f>Delivery[[#This Row],[Valor Prêmio Nespresso AAA por saca (em US$)]]/1.3228/100</f>
        <v>0.64254647286687372</v>
      </c>
      <c r="AL185" s="171">
        <f>(Delivery[[#This Row],[BEN premium (total)]]/SUMIF(Allocation!C:C,Delivery[Delivery ID],Allocation!H:H))/Delivery[[#This Row],[Exchange rate for premiums VS USD]]</f>
        <v>0.44263927391304347</v>
      </c>
      <c r="AM185" s="171">
        <f>Delivery[[#This Row],[Valor Prêmio Nespresso BEN por Kg (em US$)]]*60</f>
        <v>26.55835643478261</v>
      </c>
      <c r="AN185" s="171">
        <f>Delivery[[#This Row],[Valor Prêmio Nespresso BEN por saca (em US$)]]/1.3228/100</f>
        <v>0.20077378617162542</v>
      </c>
      <c r="AO185" s="171">
        <f>SUMIF(Allocation[Delivery ID],Delivery[[#This Row],[Delivery ID]],Allocation[Quantity allocated])*16*1.3228*Delivery[[#This Row],[Exchange rate VS USD]]/60</f>
        <v>1561.7858666666664</v>
      </c>
      <c r="AP185" s="171">
        <f>Delivery[[#This Row],[AAA Premium (total)]]</f>
        <v>6272</v>
      </c>
      <c r="AQ185" s="171">
        <f>Delivery[[#This Row],[Valor pago pelo Cluster]]-Delivery[[#This Row],[Valor efetivamente pago pela Nespresso]]</f>
        <v>4710.2141333333338</v>
      </c>
    </row>
    <row r="186" spans="1:43" ht="15.75">
      <c r="A186" s="174" t="s">
        <v>69</v>
      </c>
      <c r="B186" s="232" t="s">
        <v>68</v>
      </c>
      <c r="C186" s="157">
        <v>1</v>
      </c>
      <c r="D186" s="157" t="s">
        <v>468</v>
      </c>
      <c r="E186" s="177" t="s">
        <v>468</v>
      </c>
      <c r="F186" s="233" t="s">
        <v>543</v>
      </c>
      <c r="G186" s="234">
        <v>43354</v>
      </c>
      <c r="H186" s="157" t="s">
        <v>1437</v>
      </c>
      <c r="I186" s="236" t="s">
        <v>1435</v>
      </c>
      <c r="J186" s="237">
        <v>12980</v>
      </c>
      <c r="K186" s="175" t="s">
        <v>61</v>
      </c>
      <c r="L186" s="175" t="s">
        <v>439</v>
      </c>
      <c r="M186" s="175" t="s">
        <v>1343</v>
      </c>
      <c r="N186" s="180"/>
      <c r="O186" s="177"/>
      <c r="P186" s="181">
        <v>0</v>
      </c>
      <c r="Q186" s="177">
        <v>43222</v>
      </c>
      <c r="R186" s="178">
        <v>466.48070000000001</v>
      </c>
      <c r="S186" s="179">
        <v>102369.5987816964</v>
      </c>
      <c r="T186" s="182" t="s">
        <v>45</v>
      </c>
      <c r="U186" s="183">
        <v>3.5979999999999999</v>
      </c>
      <c r="V186" s="179">
        <v>5491.42</v>
      </c>
      <c r="W186" s="179">
        <v>1703.6012183035998</v>
      </c>
      <c r="X186" s="186" t="s">
        <v>45</v>
      </c>
      <c r="Y186" s="183">
        <v>3.5979999999999999</v>
      </c>
      <c r="Z186" s="220" t="s">
        <v>473</v>
      </c>
      <c r="AA186" s="172">
        <f>Delivery[[#This Row],[Quantity delivered]]*VLOOKUP(Delivery[[#This Row],[Unit]],Tab_Conversão[],4,FALSE)*VLOOKUP(CONCATENATE(Delivery[[#This Row],[Coffee specie]],Delivery[[#This Row],[Coffee state]]),Tab_Conversão[],4,FALSE)</f>
        <v>12980</v>
      </c>
      <c r="AB186" s="169">
        <f>SUMIF(Allocation!C:C,Delivery[[#This Row],[Delivery ID]],Allocation!D:D)/Delivery[[#This Row],[Quantity delivered]]</f>
        <v>0.75554699537750381</v>
      </c>
      <c r="AC186" s="170">
        <f>Delivery[[#This Row],[Quantity delivered]]*Delivery[[#This Row],[Base price (Unidad)]]/60</f>
        <v>100915.32476666667</v>
      </c>
      <c r="AD186" s="171">
        <f>Delivery[[#This Row],[Nespresso total]]-Delivery[[#This Row],[Qt. Delivery * Base Price]]</f>
        <v>1454.2740150297323</v>
      </c>
      <c r="AE186" s="171">
        <f>Delivery[[#This Row],[AAA Premium (total)]]/Delivery[[#This Row],[Quantity delivered]]*60/Delivery[[#This Row],[Exchange rate VS USD]]</f>
        <v>7.0550494154002701</v>
      </c>
      <c r="AF186" s="171">
        <f>Delivery[[#This Row],[BEN premium (total)]]/Delivery[[#This Row],[Quantity delivered]]*60/Delivery[[#This Row],[Exchange rate for premiums VS USD]]</f>
        <v>2.1886853999999998</v>
      </c>
      <c r="AG186" s="171">
        <f>COUNTIF(Delivery[Delivery ID],Delivery[[#This Row],[Delivery ID]])</f>
        <v>1</v>
      </c>
      <c r="AH186" s="171">
        <f>(Delivery[[#This Row],[Nespresso total]]/SUMIF(Allocation!C:C,Delivery[Delivery ID],Allocation!H:H))/Delivery[[#This Row],[Exchange rate VS USD]]</f>
        <v>8.7922763351649493</v>
      </c>
      <c r="AI186" s="171">
        <f>(Delivery[[#This Row],[AAA Premium (total)]]/SUMIF(Allocation!C:C,Delivery[Delivery ID],Allocation!H:H))/Delivery[[#This Row],[Exchange rate VS USD]]</f>
        <v>0.47164473327099043</v>
      </c>
      <c r="AJ186" s="171">
        <f>Delivery[[#This Row],[Valor Prêmio Nespresso AAA por Kg (em US$)]]*60</f>
        <v>28.298683996259427</v>
      </c>
      <c r="AK186" s="171">
        <f>Delivery[[#This Row],[Valor Prêmio Nespresso AAA por saca (em US$)]]/1.3228/100</f>
        <v>0.21393017838115685</v>
      </c>
      <c r="AL186" s="171">
        <f>(Delivery[[#This Row],[BEN premium (total)]]/SUMIF(Allocation!C:C,Delivery[Delivery ID],Allocation!H:H))/Delivery[[#This Row],[Exchange rate for premiums VS USD]]</f>
        <v>0.14631817311495673</v>
      </c>
      <c r="AM186" s="171">
        <f>Delivery[[#This Row],[Valor Prêmio Nespresso BEN por Kg (em US$)]]*60</f>
        <v>8.7790903868974048</v>
      </c>
      <c r="AN186" s="171">
        <f>Delivery[[#This Row],[Valor Prêmio Nespresso BEN por saca (em US$)]]/1.3228/100</f>
        <v>6.6367481001643525E-2</v>
      </c>
      <c r="AO186" s="171">
        <f>SUMIF(Allocation[Delivery ID],Delivery[[#This Row],[Delivery ID]],Allocation[Quantity allocated])*16*1.3228*Delivery[[#This Row],[Exchange rate VS USD]]/60</f>
        <v>4107.0745915733332</v>
      </c>
      <c r="AP186" s="171">
        <f>Delivery[[#This Row],[AAA Premium (total)]]</f>
        <v>5491.42</v>
      </c>
      <c r="AQ186" s="171">
        <f>Delivery[[#This Row],[Valor pago pelo Cluster]]-Delivery[[#This Row],[Valor efetivamente pago pela Nespresso]]</f>
        <v>1384.3454084266668</v>
      </c>
    </row>
    <row r="187" spans="1:43" ht="15.75">
      <c r="A187" s="174" t="s">
        <v>69</v>
      </c>
      <c r="B187" s="232" t="s">
        <v>68</v>
      </c>
      <c r="C187" s="157" t="s">
        <v>1344</v>
      </c>
      <c r="D187" s="157" t="s">
        <v>468</v>
      </c>
      <c r="E187" s="176" t="s">
        <v>468</v>
      </c>
      <c r="F187" s="233" t="s">
        <v>543</v>
      </c>
      <c r="G187" s="234">
        <v>43378</v>
      </c>
      <c r="H187" s="235" t="s">
        <v>1438</v>
      </c>
      <c r="I187" s="157" t="s">
        <v>986</v>
      </c>
      <c r="J187" s="237">
        <v>5560</v>
      </c>
      <c r="K187" s="175" t="s">
        <v>61</v>
      </c>
      <c r="L187" s="175" t="s">
        <v>439</v>
      </c>
      <c r="M187" s="175" t="s">
        <v>1343</v>
      </c>
      <c r="N187" s="180"/>
      <c r="O187" s="177"/>
      <c r="P187" s="181">
        <v>0</v>
      </c>
      <c r="Q187" s="177">
        <v>43371</v>
      </c>
      <c r="R187" s="178">
        <v>414.12339000000003</v>
      </c>
      <c r="S187" s="179">
        <v>39013.219999999994</v>
      </c>
      <c r="T187" s="182" t="s">
        <v>45</v>
      </c>
      <c r="U187" s="183">
        <v>4.0422000000000002</v>
      </c>
      <c r="V187" s="179">
        <v>2622.0403999999999</v>
      </c>
      <c r="W187" s="179">
        <v>0</v>
      </c>
      <c r="X187" s="186" t="s">
        <v>45</v>
      </c>
      <c r="Y187" s="183">
        <v>4.0422000000000002</v>
      </c>
      <c r="Z187" s="220"/>
      <c r="AA187" s="172">
        <f>Delivery[[#This Row],[Quantity delivered]]*VLOOKUP(Delivery[[#This Row],[Unit]],Tab_Conversão[],4,FALSE)*VLOOKUP(CONCATENATE(Delivery[[#This Row],[Coffee specie]],Delivery[[#This Row],[Coffee state]]),Tab_Conversão[],4,FALSE)</f>
        <v>5560</v>
      </c>
      <c r="AB187" s="169">
        <f>SUMIF(Allocation!C:C,Delivery[[#This Row],[Delivery ID]],Allocation!D:D)/Delivery[[#This Row],[Quantity delivered]]</f>
        <v>0.91115107913669069</v>
      </c>
      <c r="AC187" s="170">
        <f>Delivery[[#This Row],[Quantity delivered]]*Delivery[[#This Row],[Base price (Unidad)]]/60</f>
        <v>38375.434140000005</v>
      </c>
      <c r="AD187" s="171">
        <f>Delivery[[#This Row],[Nespresso total]]-Delivery[[#This Row],[Qt. Delivery * Base Price]]</f>
        <v>637.78585999998904</v>
      </c>
      <c r="AE187" s="171">
        <f>Delivery[[#This Row],[AAA Premium (total)]]/Delivery[[#This Row],[Quantity delivered]]*60/Delivery[[#This Row],[Exchange rate VS USD]]</f>
        <v>6.9999999999999991</v>
      </c>
      <c r="AF187" s="171">
        <f>Delivery[[#This Row],[BEN premium (total)]]/Delivery[[#This Row],[Quantity delivered]]*60/Delivery[[#This Row],[Exchange rate for premiums VS USD]]</f>
        <v>0</v>
      </c>
      <c r="AG187" s="171">
        <f>COUNTIF(Delivery[Delivery ID],Delivery[[#This Row],[Delivery ID]])</f>
        <v>1</v>
      </c>
      <c r="AH187" s="171">
        <f>(Delivery[[#This Row],[Nespresso total]]/SUMIF(Allocation!C:C,Delivery[Delivery ID],Allocation!H:H))/Delivery[[#This Row],[Exchange rate VS USD]]</f>
        <v>6.3496591225726462</v>
      </c>
      <c r="AI187" s="171">
        <f>(Delivery[[#This Row],[AAA Premium (total)]]/SUMIF(Allocation!C:C,Delivery[Delivery ID],Allocation!H:H))/Delivery[[#This Row],[Exchange rate VS USD]]</f>
        <v>0.42675438596491228</v>
      </c>
      <c r="AJ187" s="171">
        <f>Delivery[[#This Row],[Valor Prêmio Nespresso AAA por Kg (em US$)]]*60</f>
        <v>25.605263157894736</v>
      </c>
      <c r="AK187" s="171">
        <f>Delivery[[#This Row],[Valor Prêmio Nespresso AAA por saca (em US$)]]/1.3228/100</f>
        <v>0.19356866614676999</v>
      </c>
      <c r="AL187" s="171">
        <f>(Delivery[[#This Row],[BEN premium (total)]]/SUMIF(Allocation!C:C,Delivery[Delivery ID],Allocation!H:H))/Delivery[[#This Row],[Exchange rate for premiums VS USD]]</f>
        <v>0</v>
      </c>
      <c r="AM187" s="171">
        <f>Delivery[[#This Row],[Valor Prêmio Nespresso BEN por Kg (em US$)]]*60</f>
        <v>0</v>
      </c>
      <c r="AN187" s="171">
        <f>Delivery[[#This Row],[Valor Prêmio Nespresso BEN por saca (em US$)]]/1.3228/100</f>
        <v>0</v>
      </c>
      <c r="AO187" s="171">
        <f>SUMIF(Allocation[Delivery ID],Delivery[[#This Row],[Delivery ID]],Allocation[Quantity allocated])*16*1.3228*Delivery[[#This Row],[Exchange rate VS USD]]/60</f>
        <v>2167.3263155199998</v>
      </c>
      <c r="AP187" s="171">
        <f>Delivery[[#This Row],[AAA Premium (total)]]</f>
        <v>2622.0403999999999</v>
      </c>
      <c r="AQ187" s="171">
        <f>Delivery[[#This Row],[Valor pago pelo Cluster]]-Delivery[[#This Row],[Valor efetivamente pago pela Nespresso]]</f>
        <v>454.71408448000011</v>
      </c>
    </row>
    <row r="188" spans="1:43" ht="15.75">
      <c r="A188" s="174" t="s">
        <v>69</v>
      </c>
      <c r="B188" s="232" t="s">
        <v>68</v>
      </c>
      <c r="C188" s="157" t="s">
        <v>1344</v>
      </c>
      <c r="D188" s="157" t="s">
        <v>468</v>
      </c>
      <c r="E188" s="177" t="s">
        <v>468</v>
      </c>
      <c r="F188" s="233" t="s">
        <v>543</v>
      </c>
      <c r="G188" s="234">
        <v>43378</v>
      </c>
      <c r="H188" s="235" t="s">
        <v>1439</v>
      </c>
      <c r="I188" s="157" t="s">
        <v>986</v>
      </c>
      <c r="J188" s="237">
        <v>7070</v>
      </c>
      <c r="K188" s="175" t="s">
        <v>61</v>
      </c>
      <c r="L188" s="175" t="s">
        <v>439</v>
      </c>
      <c r="M188" s="175" t="s">
        <v>1343</v>
      </c>
      <c r="N188" s="180"/>
      <c r="O188" s="177"/>
      <c r="P188" s="181">
        <v>0</v>
      </c>
      <c r="Q188" s="177">
        <v>43371</v>
      </c>
      <c r="R188" s="178">
        <v>414.12339000000003</v>
      </c>
      <c r="S188" s="179">
        <v>49608.889999999992</v>
      </c>
      <c r="T188" s="182" t="s">
        <v>45</v>
      </c>
      <c r="U188" s="183">
        <v>4.0422000000000002</v>
      </c>
      <c r="V188" s="179">
        <v>3334.1413000000002</v>
      </c>
      <c r="W188" s="179">
        <v>0</v>
      </c>
      <c r="X188" s="186" t="s">
        <v>45</v>
      </c>
      <c r="Y188" s="183">
        <v>4.0422000000000002</v>
      </c>
      <c r="Z188" s="220"/>
      <c r="AA188" s="172">
        <f>Delivery[[#This Row],[Quantity delivered]]*VLOOKUP(Delivery[[#This Row],[Unit]],Tab_Conversão[],4,FALSE)*VLOOKUP(CONCATENATE(Delivery[[#This Row],[Coffee specie]],Delivery[[#This Row],[Coffee state]]),Tab_Conversão[],4,FALSE)</f>
        <v>7070</v>
      </c>
      <c r="AB188" s="169">
        <f>SUMIF(Allocation!C:C,Delivery[[#This Row],[Delivery ID]],Allocation!D:D)/Delivery[[#This Row],[Quantity delivered]]</f>
        <v>0.78826025459688831</v>
      </c>
      <c r="AC188" s="170">
        <f>Delivery[[#This Row],[Quantity delivered]]*Delivery[[#This Row],[Base price (Unidad)]]/60</f>
        <v>48797.539454999998</v>
      </c>
      <c r="AD188" s="171">
        <f>Delivery[[#This Row],[Nespresso total]]-Delivery[[#This Row],[Qt. Delivery * Base Price]]</f>
        <v>811.35054499999387</v>
      </c>
      <c r="AE188" s="171">
        <f>Delivery[[#This Row],[AAA Premium (total)]]/Delivery[[#This Row],[Quantity delivered]]*60/Delivery[[#This Row],[Exchange rate VS USD]]</f>
        <v>7</v>
      </c>
      <c r="AF188" s="171">
        <f>Delivery[[#This Row],[BEN premium (total)]]/Delivery[[#This Row],[Quantity delivered]]*60/Delivery[[#This Row],[Exchange rate for premiums VS USD]]</f>
        <v>0</v>
      </c>
      <c r="AG188" s="171">
        <f>COUNTIF(Delivery[Delivery ID],Delivery[[#This Row],[Delivery ID]])</f>
        <v>1</v>
      </c>
      <c r="AH188" s="171">
        <f>(Delivery[[#This Row],[Nespresso total]]/SUMIF(Allocation!C:C,Delivery[Delivery ID],Allocation!H:H))/Delivery[[#This Row],[Exchange rate VS USD]]</f>
        <v>7.3401585166446131</v>
      </c>
      <c r="AI188" s="171">
        <f>(Delivery[[#This Row],[AAA Premium (total)]]/SUMIF(Allocation!C:C,Delivery[Delivery ID],Allocation!H:H))/Delivery[[#This Row],[Exchange rate VS USD]]</f>
        <v>0.49332137161084527</v>
      </c>
      <c r="AJ188" s="171">
        <f>Delivery[[#This Row],[Valor Prêmio Nespresso AAA por Kg (em US$)]]*60</f>
        <v>29.599282296650717</v>
      </c>
      <c r="AK188" s="171">
        <f>Delivery[[#This Row],[Valor Prêmio Nespresso AAA por saca (em US$)]]/1.3228/100</f>
        <v>0.22376233970857815</v>
      </c>
      <c r="AL188" s="171">
        <f>(Delivery[[#This Row],[BEN premium (total)]]/SUMIF(Allocation!C:C,Delivery[Delivery ID],Allocation!H:H))/Delivery[[#This Row],[Exchange rate for premiums VS USD]]</f>
        <v>0</v>
      </c>
      <c r="AM188" s="171">
        <f>Delivery[[#This Row],[Valor Prêmio Nespresso BEN por Kg (em US$)]]*60</f>
        <v>0</v>
      </c>
      <c r="AN188" s="171">
        <f>Delivery[[#This Row],[Valor Prêmio Nespresso BEN por saca (em US$)]]/1.3228/100</f>
        <v>0</v>
      </c>
      <c r="AO188" s="171">
        <f>SUMIF(Allocation[Delivery ID],Delivery[[#This Row],[Delivery ID]],Allocation[Quantity allocated])*16*1.3228*Delivery[[#This Row],[Exchange rate VS USD]]/60</f>
        <v>2384.0589470720001</v>
      </c>
      <c r="AP188" s="171">
        <f>Delivery[[#This Row],[AAA Premium (total)]]</f>
        <v>3334.1413000000002</v>
      </c>
      <c r="AQ188" s="171">
        <f>Delivery[[#This Row],[Valor pago pelo Cluster]]-Delivery[[#This Row],[Valor efetivamente pago pela Nespresso]]</f>
        <v>950.08235292800009</v>
      </c>
    </row>
    <row r="189" spans="1:43" ht="15.75">
      <c r="A189" s="174" t="s">
        <v>69</v>
      </c>
      <c r="B189" s="232" t="s">
        <v>68</v>
      </c>
      <c r="C189" s="157">
        <v>1</v>
      </c>
      <c r="D189" s="157" t="s">
        <v>468</v>
      </c>
      <c r="E189" s="177" t="s">
        <v>468</v>
      </c>
      <c r="F189" s="233" t="s">
        <v>543</v>
      </c>
      <c r="G189" s="234">
        <v>43381</v>
      </c>
      <c r="H189" s="235" t="s">
        <v>1440</v>
      </c>
      <c r="I189" s="157" t="s">
        <v>590</v>
      </c>
      <c r="J189" s="237">
        <v>7520</v>
      </c>
      <c r="K189" s="175" t="s">
        <v>61</v>
      </c>
      <c r="L189" s="175" t="s">
        <v>439</v>
      </c>
      <c r="M189" s="175" t="s">
        <v>1343</v>
      </c>
      <c r="N189" s="180"/>
      <c r="O189" s="177"/>
      <c r="P189" s="181">
        <v>0</v>
      </c>
      <c r="Q189" s="177">
        <v>43371</v>
      </c>
      <c r="R189" s="178">
        <v>411.97194000000002</v>
      </c>
      <c r="S189" s="179">
        <v>51515.25</v>
      </c>
      <c r="T189" s="182" t="s">
        <v>45</v>
      </c>
      <c r="U189" s="183">
        <v>4.0212000000000003</v>
      </c>
      <c r="V189" s="179">
        <v>5026.25</v>
      </c>
      <c r="W189" s="179">
        <v>0</v>
      </c>
      <c r="X189" s="186" t="s">
        <v>45</v>
      </c>
      <c r="Y189" s="183">
        <v>4.0212000000000003</v>
      </c>
      <c r="Z189" s="221"/>
      <c r="AA189" s="172">
        <f>Delivery[[#This Row],[Quantity delivered]]*VLOOKUP(Delivery[[#This Row],[Unit]],Tab_Conversão[],4,FALSE)*VLOOKUP(CONCATENATE(Delivery[[#This Row],[Coffee specie]],Delivery[[#This Row],[Coffee state]]),Tab_Conversão[],4,FALSE)</f>
        <v>7520</v>
      </c>
      <c r="AB189" s="169">
        <f>SUMIF(Allocation!C:C,Delivery[[#This Row],[Delivery ID]],Allocation!D:D)/Delivery[[#This Row],[Quantity delivered]]</f>
        <v>0.33537234042553193</v>
      </c>
      <c r="AC189" s="170">
        <f>Delivery[[#This Row],[Quantity delivered]]*Delivery[[#This Row],[Base price (Unidad)]]/60</f>
        <v>51633.816480000001</v>
      </c>
      <c r="AD189" s="171">
        <f>Delivery[[#This Row],[Nespresso total]]-Delivery[[#This Row],[Qt. Delivery * Base Price]]</f>
        <v>-118.56648000000132</v>
      </c>
      <c r="AE189" s="171">
        <f>Delivery[[#This Row],[AAA Premium (total)]]/Delivery[[#This Row],[Quantity delivered]]*60/Delivery[[#This Row],[Exchange rate VS USD]]</f>
        <v>9.972908214124713</v>
      </c>
      <c r="AF189" s="171">
        <f>Delivery[[#This Row],[BEN premium (total)]]/Delivery[[#This Row],[Quantity delivered]]*60/Delivery[[#This Row],[Exchange rate for premiums VS USD]]</f>
        <v>0</v>
      </c>
      <c r="AG189" s="171">
        <f>COUNTIF(Delivery[Delivery ID],Delivery[[#This Row],[Delivery ID]])</f>
        <v>1</v>
      </c>
      <c r="AH189" s="171">
        <f>(Delivery[[#This Row],[Nespresso total]]/SUMIF(Allocation!C:C,Delivery[Delivery ID],Allocation!H:H))/Delivery[[#This Row],[Exchange rate VS USD]]</f>
        <v>10.159329621207441</v>
      </c>
      <c r="AI189" s="171">
        <f>(Delivery[[#This Row],[AAA Premium (total)]]/SUMIF(Allocation!C:C,Delivery[Delivery ID],Allocation!H:H))/Delivery[[#This Row],[Exchange rate VS USD]]</f>
        <v>0.9912274619378515</v>
      </c>
      <c r="AJ189" s="171">
        <f>Delivery[[#This Row],[Valor Prêmio Nespresso AAA por Kg (em US$)]]*60</f>
        <v>59.473647716271088</v>
      </c>
      <c r="AK189" s="171">
        <f>Delivery[[#This Row],[Valor Prêmio Nespresso AAA por saca (em US$)]]/1.3228/100</f>
        <v>0.44960423129929766</v>
      </c>
      <c r="AL189" s="171">
        <f>(Delivery[[#This Row],[BEN premium (total)]]/SUMIF(Allocation!C:C,Delivery[Delivery ID],Allocation!H:H))/Delivery[[#This Row],[Exchange rate for premiums VS USD]]</f>
        <v>0</v>
      </c>
      <c r="AM189" s="171">
        <f>Delivery[[#This Row],[Valor Prêmio Nespresso BEN por Kg (em US$)]]*60</f>
        <v>0</v>
      </c>
      <c r="AN189" s="171">
        <f>Delivery[[#This Row],[Valor Prêmio Nespresso BEN por saca (em US$)]]/1.3228/100</f>
        <v>0</v>
      </c>
      <c r="AO189" s="171">
        <f>SUMIF(Allocation[Delivery ID],Delivery[[#This Row],[Delivery ID]],Allocation[Quantity allocated])*16*1.3228*Delivery[[#This Row],[Exchange rate VS USD]]/60</f>
        <v>1788.6842338560002</v>
      </c>
      <c r="AP189" s="171">
        <f>Delivery[[#This Row],[AAA Premium (total)]]</f>
        <v>5026.25</v>
      </c>
      <c r="AQ189" s="171">
        <f>Delivery[[#This Row],[Valor pago pelo Cluster]]-Delivery[[#This Row],[Valor efetivamente pago pela Nespresso]]</f>
        <v>3237.565766144</v>
      </c>
    </row>
    <row r="190" spans="1:43" ht="15.75">
      <c r="A190" s="174" t="s">
        <v>69</v>
      </c>
      <c r="B190" s="232" t="s">
        <v>68</v>
      </c>
      <c r="C190" s="157">
        <v>1</v>
      </c>
      <c r="D190" s="157" t="s">
        <v>468</v>
      </c>
      <c r="E190" s="176" t="s">
        <v>468</v>
      </c>
      <c r="F190" s="233" t="s">
        <v>543</v>
      </c>
      <c r="G190" s="234">
        <v>43392</v>
      </c>
      <c r="H190" s="157" t="s">
        <v>1441</v>
      </c>
      <c r="I190" s="157" t="s">
        <v>1435</v>
      </c>
      <c r="J190" s="237">
        <v>18320</v>
      </c>
      <c r="K190" s="175" t="s">
        <v>61</v>
      </c>
      <c r="L190" s="175" t="s">
        <v>439</v>
      </c>
      <c r="M190" s="175" t="s">
        <v>1343</v>
      </c>
      <c r="N190" s="180" t="s">
        <v>483</v>
      </c>
      <c r="O190" s="177"/>
      <c r="P190" s="181">
        <v>0</v>
      </c>
      <c r="Q190" s="177">
        <v>43390</v>
      </c>
      <c r="R190" s="178">
        <v>450.34627000000006</v>
      </c>
      <c r="S190" s="179">
        <v>137631.18920841633</v>
      </c>
      <c r="T190" s="182" t="s">
        <v>45</v>
      </c>
      <c r="U190" s="183">
        <v>3.6718000000000002</v>
      </c>
      <c r="V190" s="179">
        <v>7830.93</v>
      </c>
      <c r="W190" s="179">
        <v>2453.7853957918401</v>
      </c>
      <c r="X190" s="186" t="s">
        <v>45</v>
      </c>
      <c r="Y190" s="183">
        <v>3.6718000000000002</v>
      </c>
      <c r="Z190" s="220" t="s">
        <v>473</v>
      </c>
      <c r="AA190" s="172">
        <f>Delivery[[#This Row],[Quantity delivered]]*VLOOKUP(Delivery[[#This Row],[Unit]],Tab_Conversão[],4,FALSE)*VLOOKUP(CONCATENATE(Delivery[[#This Row],[Coffee specie]],Delivery[[#This Row],[Coffee state]]),Tab_Conversão[],4,FALSE)</f>
        <v>18320</v>
      </c>
      <c r="AB190" s="169">
        <f>SUMIF(Allocation!C:C,Delivery[[#This Row],[Delivery ID]],Allocation!D:D)/Delivery[[#This Row],[Quantity delivered]]</f>
        <v>1</v>
      </c>
      <c r="AC190" s="170">
        <f>Delivery[[#This Row],[Quantity delivered]]*Delivery[[#This Row],[Base price (Unidad)]]/60</f>
        <v>137505.72777333335</v>
      </c>
      <c r="AD190" s="171">
        <f>Delivery[[#This Row],[Nespresso total]]-Delivery[[#This Row],[Qt. Delivery * Base Price]]</f>
        <v>125.46143508297973</v>
      </c>
      <c r="AE190" s="171">
        <f>Delivery[[#This Row],[AAA Premium (total)]]/Delivery[[#This Row],[Quantity delivered]]*60/Delivery[[#This Row],[Exchange rate VS USD]]</f>
        <v>6.9848985933389169</v>
      </c>
      <c r="AF190" s="171">
        <f>Delivery[[#This Row],[BEN premium (total)]]/Delivery[[#This Row],[Quantity delivered]]*60/Delivery[[#This Row],[Exchange rate for premiums VS USD]]</f>
        <v>2.1886854000000002</v>
      </c>
      <c r="AG190" s="171">
        <f>COUNTIF(Delivery[Delivery ID],Delivery[[#This Row],[Delivery ID]])</f>
        <v>1</v>
      </c>
      <c r="AH190" s="171">
        <f>(Delivery[[#This Row],[Nespresso total]]/SUMIF(Allocation!C:C,Delivery[Delivery ID],Allocation!H:H))/Delivery[[#This Row],[Exchange rate VS USD]]</f>
        <v>6.2007117041968591</v>
      </c>
      <c r="AI190" s="171">
        <f>(Delivery[[#This Row],[AAA Premium (total)]]/SUMIF(Allocation!C:C,Delivery[Delivery ID],Allocation!H:H))/Delivery[[#This Row],[Exchange rate VS USD]]</f>
        <v>0.35280767088494336</v>
      </c>
      <c r="AJ190" s="171">
        <f>Delivery[[#This Row],[Valor Prêmio Nespresso AAA por Kg (em US$)]]*60</f>
        <v>21.168460253096601</v>
      </c>
      <c r="AK190" s="171">
        <f>Delivery[[#This Row],[Valor Prêmio Nespresso AAA por saca (em US$)]]/1.3228/100</f>
        <v>0.16002767049513608</v>
      </c>
      <c r="AL190" s="171">
        <f>(Delivery[[#This Row],[BEN premium (total)]]/SUMIF(Allocation!C:C,Delivery[Delivery ID],Allocation!H:H))/Delivery[[#This Row],[Exchange rate for premiums VS USD]]</f>
        <v>0.11055063834574028</v>
      </c>
      <c r="AM190" s="171">
        <f>Delivery[[#This Row],[Valor Prêmio Nespresso BEN por Kg (em US$)]]*60</f>
        <v>6.6330383007444169</v>
      </c>
      <c r="AN190" s="171">
        <f>Delivery[[#This Row],[Valor Prêmio Nespresso BEN por saca (em US$)]]/1.3228/100</f>
        <v>5.0143924257215131E-2</v>
      </c>
      <c r="AO190" s="171">
        <f>SUMIF(Allocation[Delivery ID],Delivery[[#This Row],[Delivery ID]],Allocation[Quantity allocated])*16*1.3228*Delivery[[#This Row],[Exchange rate VS USD]]/60</f>
        <v>7829.575948480001</v>
      </c>
      <c r="AP190" s="171">
        <f>Delivery[[#This Row],[AAA Premium (total)]]</f>
        <v>7830.93</v>
      </c>
      <c r="AQ190" s="171">
        <f>Delivery[[#This Row],[Valor pago pelo Cluster]]-Delivery[[#This Row],[Valor efetivamente pago pela Nespresso]]</f>
        <v>1.3540515199993024</v>
      </c>
    </row>
    <row r="191" spans="1:43" ht="15.75">
      <c r="A191" s="174" t="s">
        <v>69</v>
      </c>
      <c r="B191" s="232" t="s">
        <v>68</v>
      </c>
      <c r="C191" s="157">
        <v>1</v>
      </c>
      <c r="D191" s="157" t="s">
        <v>468</v>
      </c>
      <c r="E191" s="176" t="s">
        <v>468</v>
      </c>
      <c r="F191" s="240" t="s">
        <v>543</v>
      </c>
      <c r="G191" s="234">
        <v>43397</v>
      </c>
      <c r="H191" s="157" t="s">
        <v>1983</v>
      </c>
      <c r="I191" s="236" t="s">
        <v>471</v>
      </c>
      <c r="J191" s="237">
        <v>18308.5</v>
      </c>
      <c r="K191" s="175" t="s">
        <v>61</v>
      </c>
      <c r="L191" s="175" t="s">
        <v>439</v>
      </c>
      <c r="M191" s="175" t="s">
        <v>1343</v>
      </c>
      <c r="N191" s="180" t="s">
        <v>483</v>
      </c>
      <c r="O191" s="177"/>
      <c r="P191" s="181">
        <v>0</v>
      </c>
      <c r="Q191" s="177">
        <v>43390</v>
      </c>
      <c r="R191" s="178">
        <v>450.71345000000002</v>
      </c>
      <c r="S191" s="179">
        <v>138440.82539711072</v>
      </c>
      <c r="T191" s="182" t="s">
        <v>45</v>
      </c>
      <c r="U191" s="183">
        <v>3.6718000000000002</v>
      </c>
      <c r="V191" s="179">
        <v>11204.191716666668</v>
      </c>
      <c r="W191" s="179">
        <v>3715.5228528892831</v>
      </c>
      <c r="X191" s="186" t="s">
        <v>45</v>
      </c>
      <c r="Y191" s="183">
        <v>3.6718000000000002</v>
      </c>
      <c r="Z191" s="220" t="s">
        <v>473</v>
      </c>
      <c r="AA191" s="172">
        <f>Delivery[[#This Row],[Quantity delivered]]*VLOOKUP(Delivery[[#This Row],[Unit]],Tab_Conversão[],4,FALSE)*VLOOKUP(CONCATENATE(Delivery[[#This Row],[Coffee specie]],Delivery[[#This Row],[Coffee state]]),Tab_Conversão[],4,FALSE)</f>
        <v>18308.5</v>
      </c>
      <c r="AB191" s="169">
        <f>SUMIF(Allocation!C:C,Delivery[[#This Row],[Delivery ID]],Allocation!D:D)/Delivery[[#This Row],[Quantity delivered]]</f>
        <v>0.90701040500314056</v>
      </c>
      <c r="AC191" s="170">
        <f>Delivery[[#This Row],[Quantity delivered]]*Delivery[[#This Row],[Base price (Unidad)]]/60</f>
        <v>137531.45332208334</v>
      </c>
      <c r="AD191" s="171">
        <f>Delivery[[#This Row],[Nespresso total]]-Delivery[[#This Row],[Qt. Delivery * Base Price]]</f>
        <v>909.37207502737874</v>
      </c>
      <c r="AE191" s="171">
        <f>Delivery[[#This Row],[AAA Premium (total)]]/Delivery[[#This Row],[Quantity delivered]]*60/Delivery[[#This Row],[Exchange rate VS USD]]</f>
        <v>10</v>
      </c>
      <c r="AF191" s="171">
        <f>Delivery[[#This Row],[BEN premium (total)]]/Delivery[[#This Row],[Quantity delivered]]*60/Delivery[[#This Row],[Exchange rate for premiums VS USD]]</f>
        <v>3.3161899999999997</v>
      </c>
      <c r="AG191" s="171">
        <f>COUNTIF(Delivery[Delivery ID],Delivery[[#This Row],[Delivery ID]])</f>
        <v>1</v>
      </c>
      <c r="AH191" s="171">
        <f>(Delivery[[#This Row],[Nespresso total]]/SUMIF(Allocation!C:C,Delivery[Delivery ID],Allocation!H:H))/Delivery[[#This Row],[Exchange rate VS USD]]</f>
        <v>4.5409855979620293</v>
      </c>
      <c r="AI191" s="171">
        <f>(Delivery[[#This Row],[AAA Premium (total)]]/SUMIF(Allocation!C:C,Delivery[Delivery ID],Allocation!H:H))/Delivery[[#This Row],[Exchange rate VS USD]]</f>
        <v>0.36750772813039462</v>
      </c>
      <c r="AJ191" s="171">
        <f>Delivery[[#This Row],[Valor Prêmio Nespresso AAA por Kg (em US$)]]*60</f>
        <v>22.050463687823676</v>
      </c>
      <c r="AK191" s="171">
        <f>Delivery[[#This Row],[Valor Prêmio Nespresso AAA por saca (em US$)]]/1.3228/100</f>
        <v>0.16669537109029087</v>
      </c>
      <c r="AL191" s="171">
        <f>(Delivery[[#This Row],[BEN premium (total)]]/SUMIF(Allocation!C:C,Delivery[Delivery ID],Allocation!H:H))/Delivery[[#This Row],[Exchange rate for premiums VS USD]]</f>
        <v>0.12187254529487332</v>
      </c>
      <c r="AM191" s="171">
        <f>Delivery[[#This Row],[Valor Prêmio Nespresso BEN por Kg (em US$)]]*60</f>
        <v>7.3123527176923995</v>
      </c>
      <c r="AN191" s="171">
        <f>Delivery[[#This Row],[Valor Prêmio Nespresso BEN por saca (em US$)]]/1.3228/100</f>
        <v>5.5279352265591164E-2</v>
      </c>
      <c r="AO191" s="171">
        <f>SUMIF(Allocation[Delivery ID],Delivery[[#This Row],[Delivery ID]],Allocation[Quantity allocated])*16*1.3228*Delivery[[#This Row],[Exchange rate VS USD]]/60</f>
        <v>10754.171894165334</v>
      </c>
      <c r="AP191" s="171">
        <f>Delivery[[#This Row],[AAA Premium (total)]]</f>
        <v>11204.191716666668</v>
      </c>
      <c r="AQ191" s="171">
        <f>Delivery[[#This Row],[Valor pago pelo Cluster]]-Delivery[[#This Row],[Valor efetivamente pago pela Nespresso]]</f>
        <v>450.01982250133369</v>
      </c>
    </row>
    <row r="192" spans="1:43" ht="15.75">
      <c r="A192" s="174" t="s">
        <v>69</v>
      </c>
      <c r="B192" s="232" t="s">
        <v>68</v>
      </c>
      <c r="C192" s="157">
        <v>1</v>
      </c>
      <c r="D192" s="157" t="s">
        <v>468</v>
      </c>
      <c r="E192" s="177" t="s">
        <v>468</v>
      </c>
      <c r="F192" s="240" t="s">
        <v>543</v>
      </c>
      <c r="G192" s="234">
        <v>43397</v>
      </c>
      <c r="H192" s="157" t="s">
        <v>1984</v>
      </c>
      <c r="I192" s="236" t="s">
        <v>471</v>
      </c>
      <c r="J192" s="237">
        <v>17640</v>
      </c>
      <c r="K192" s="175" t="s">
        <v>61</v>
      </c>
      <c r="L192" s="175" t="s">
        <v>439</v>
      </c>
      <c r="M192" s="175" t="s">
        <v>1343</v>
      </c>
      <c r="N192" s="180"/>
      <c r="O192" s="177"/>
      <c r="P192" s="181">
        <v>0</v>
      </c>
      <c r="Q192" s="177">
        <v>43390</v>
      </c>
      <c r="R192" s="178">
        <v>450.71345000000002</v>
      </c>
      <c r="S192" s="179">
        <v>133385.922386052</v>
      </c>
      <c r="T192" s="182" t="s">
        <v>45</v>
      </c>
      <c r="U192" s="183">
        <v>3.6718000000000002</v>
      </c>
      <c r="V192" s="179">
        <v>10795.092000000002</v>
      </c>
      <c r="W192" s="179">
        <v>3579.8576139479997</v>
      </c>
      <c r="X192" s="184" t="s">
        <v>45</v>
      </c>
      <c r="Y192" s="183">
        <v>3.6718000000000002</v>
      </c>
      <c r="Z192" s="220" t="s">
        <v>473</v>
      </c>
      <c r="AA192" s="172">
        <f>Delivery[[#This Row],[Quantity delivered]]*VLOOKUP(Delivery[[#This Row],[Unit]],Tab_Conversão[],4,FALSE)*VLOOKUP(CONCATENATE(Delivery[[#This Row],[Coffee specie]],Delivery[[#This Row],[Coffee state]]),Tab_Conversão[],4,FALSE)</f>
        <v>17640</v>
      </c>
      <c r="AB192" s="169">
        <f>SUMIF(Allocation!C:C,Delivery[[#This Row],[Delivery ID]],Allocation!D:D)/Delivery[[#This Row],[Quantity delivered]]</f>
        <v>0.91179138321995468</v>
      </c>
      <c r="AC192" s="170">
        <f>Delivery[[#This Row],[Quantity delivered]]*Delivery[[#This Row],[Base price (Unidad)]]/60</f>
        <v>132509.7543</v>
      </c>
      <c r="AD192" s="171">
        <f>Delivery[[#This Row],[Nespresso total]]-Delivery[[#This Row],[Qt. Delivery * Base Price]]</f>
        <v>876.16808605199913</v>
      </c>
      <c r="AE192" s="171">
        <f>Delivery[[#This Row],[AAA Premium (total)]]/Delivery[[#This Row],[Quantity delivered]]*60/Delivery[[#This Row],[Exchange rate VS USD]]</f>
        <v>10</v>
      </c>
      <c r="AF192" s="171">
        <f>Delivery[[#This Row],[BEN premium (total)]]/Delivery[[#This Row],[Quantity delivered]]*60/Delivery[[#This Row],[Exchange rate for premiums VS USD]]</f>
        <v>3.3161899999999997</v>
      </c>
      <c r="AG192" s="171">
        <f>COUNTIF(Delivery[Delivery ID],Delivery[[#This Row],[Delivery ID]])</f>
        <v>1</v>
      </c>
      <c r="AH192" s="171">
        <f>(Delivery[[#This Row],[Nespresso total]]/SUMIF(Allocation!C:C,Delivery[Delivery ID],Allocation!H:H))/Delivery[[#This Row],[Exchange rate VS USD]]</f>
        <v>4.5171749394865639</v>
      </c>
      <c r="AI192" s="171">
        <f>(Delivery[[#This Row],[AAA Premium (total)]]/SUMIF(Allocation!C:C,Delivery[Delivery ID],Allocation!H:H))/Delivery[[#This Row],[Exchange rate VS USD]]</f>
        <v>0.36558070131808013</v>
      </c>
      <c r="AJ192" s="171">
        <f>Delivery[[#This Row],[Valor Prêmio Nespresso AAA por Kg (em US$)]]*60</f>
        <v>21.934842079084806</v>
      </c>
      <c r="AK192" s="171">
        <f>Delivery[[#This Row],[Valor Prêmio Nespresso AAA por saca (em US$)]]/1.3228/100</f>
        <v>0.16582130389389785</v>
      </c>
      <c r="AL192" s="171">
        <f>(Delivery[[#This Row],[BEN premium (total)]]/SUMIF(Allocation!C:C,Delivery[Delivery ID],Allocation!H:H))/Delivery[[#This Row],[Exchange rate for premiums VS USD]]</f>
        <v>0.12123350659040037</v>
      </c>
      <c r="AM192" s="171">
        <f>Delivery[[#This Row],[Valor Prêmio Nespresso BEN por Kg (em US$)]]*60</f>
        <v>7.2740103954240221</v>
      </c>
      <c r="AN192" s="171">
        <f>Delivery[[#This Row],[Valor Prêmio Nespresso BEN por saca (em US$)]]/1.3228/100</f>
        <v>5.498949497599049E-2</v>
      </c>
      <c r="AO192" s="171">
        <f>SUMIF(Allocation[Delivery ID],Delivery[[#This Row],[Delivery ID]],Allocation[Quantity allocated])*16*1.3228*Delivery[[#This Row],[Exchange rate VS USD]]/60</f>
        <v>10416.120724181334</v>
      </c>
      <c r="AP192" s="171">
        <f>Delivery[[#This Row],[AAA Premium (total)]]</f>
        <v>10795.092000000002</v>
      </c>
      <c r="AQ192" s="171">
        <f>Delivery[[#This Row],[Valor pago pelo Cluster]]-Delivery[[#This Row],[Valor efetivamente pago pela Nespresso]]</f>
        <v>378.9712758186688</v>
      </c>
    </row>
    <row r="193" spans="1:43" ht="15.75">
      <c r="A193" s="174" t="s">
        <v>69</v>
      </c>
      <c r="B193" s="232" t="s">
        <v>68</v>
      </c>
      <c r="C193" s="157">
        <v>1</v>
      </c>
      <c r="D193" s="157" t="s">
        <v>468</v>
      </c>
      <c r="E193" s="176" t="s">
        <v>468</v>
      </c>
      <c r="F193" s="233" t="s">
        <v>543</v>
      </c>
      <c r="G193" s="234">
        <v>43396</v>
      </c>
      <c r="H193" s="160" t="s">
        <v>1442</v>
      </c>
      <c r="I193" s="236" t="s">
        <v>471</v>
      </c>
      <c r="J193" s="237">
        <v>24070</v>
      </c>
      <c r="K193" s="175" t="s">
        <v>61</v>
      </c>
      <c r="L193" s="175" t="s">
        <v>439</v>
      </c>
      <c r="M193" s="175" t="s">
        <v>1343</v>
      </c>
      <c r="N193" s="180"/>
      <c r="O193" s="177"/>
      <c r="P193" s="181">
        <v>0</v>
      </c>
      <c r="Q193" s="177">
        <v>43390</v>
      </c>
      <c r="R193" s="178">
        <v>450.71345000000002</v>
      </c>
      <c r="S193" s="179">
        <v>182006.75463901766</v>
      </c>
      <c r="T193" s="182" t="s">
        <v>45</v>
      </c>
      <c r="U193" s="183">
        <v>3.6718000000000002</v>
      </c>
      <c r="V193" s="179">
        <v>10311.026366666667</v>
      </c>
      <c r="W193" s="179">
        <v>4884.7603609823327</v>
      </c>
      <c r="X193" s="186" t="s">
        <v>45</v>
      </c>
      <c r="Y193" s="183">
        <v>3.6718000000000002</v>
      </c>
      <c r="Z193" s="220" t="s">
        <v>473</v>
      </c>
      <c r="AA193" s="172">
        <f>Delivery[[#This Row],[Quantity delivered]]*VLOOKUP(Delivery[[#This Row],[Unit]],Tab_Conversão[],4,FALSE)*VLOOKUP(CONCATENATE(Delivery[[#This Row],[Coffee specie]],Delivery[[#This Row],[Coffee state]]),Tab_Conversão[],4,FALSE)</f>
        <v>24070</v>
      </c>
      <c r="AB193" s="169">
        <f>SUMIF(Allocation!C:C,Delivery[[#This Row],[Delivery ID]],Allocation!D:D)/Delivery[[#This Row],[Quantity delivered]]</f>
        <v>0.9151641046946406</v>
      </c>
      <c r="AC193" s="170">
        <f>Delivery[[#This Row],[Quantity delivered]]*Delivery[[#This Row],[Base price (Unidad)]]/60</f>
        <v>180811.21235833335</v>
      </c>
      <c r="AD193" s="171">
        <f>Delivery[[#This Row],[Nespresso total]]-Delivery[[#This Row],[Qt. Delivery * Base Price]]</f>
        <v>1195.5422806843126</v>
      </c>
      <c r="AE193" s="171">
        <f>Delivery[[#This Row],[AAA Premium (total)]]/Delivery[[#This Row],[Quantity delivered]]*60/Delivery[[#This Row],[Exchange rate VS USD]]</f>
        <v>7</v>
      </c>
      <c r="AF193" s="171">
        <f>Delivery[[#This Row],[BEN premium (total)]]/Delivery[[#This Row],[Quantity delivered]]*60/Delivery[[#This Row],[Exchange rate for premiums VS USD]]</f>
        <v>3.3161899999999993</v>
      </c>
      <c r="AG193" s="171">
        <f>COUNTIF(Delivery[Delivery ID],Delivery[[#This Row],[Delivery ID]])</f>
        <v>1</v>
      </c>
      <c r="AH193" s="171">
        <f>(Delivery[[#This Row],[Nespresso total]]/SUMIF(Allocation!C:C,Delivery[Delivery ID],Allocation!H:H))/Delivery[[#This Row],[Exchange rate VS USD]]</f>
        <v>4.5005274629900898</v>
      </c>
      <c r="AI193" s="171">
        <f>(Delivery[[#This Row],[AAA Premium (total)]]/SUMIF(Allocation!C:C,Delivery[Delivery ID],Allocation!H:H))/Delivery[[#This Row],[Exchange rate VS USD]]</f>
        <v>0.25496337994068158</v>
      </c>
      <c r="AJ193" s="171">
        <f>Delivery[[#This Row],[Valor Prêmio Nespresso AAA por Kg (em US$)]]*60</f>
        <v>15.297802796440894</v>
      </c>
      <c r="AK193" s="171">
        <f>Delivery[[#This Row],[Valor Prêmio Nespresso AAA por saca (em US$)]]/1.3228/100</f>
        <v>0.11564713332658676</v>
      </c>
      <c r="AL193" s="171">
        <f>(Delivery[[#This Row],[BEN premium (total)]]/SUMIF(Allocation!C:C,Delivery[Delivery ID],Allocation!H:H))/Delivery[[#This Row],[Exchange rate for premiums VS USD]]</f>
        <v>0.12078671584649837</v>
      </c>
      <c r="AM193" s="171">
        <f>Delivery[[#This Row],[Valor Prêmio Nespresso BEN por Kg (em US$)]]*60</f>
        <v>7.2472029507899025</v>
      </c>
      <c r="AN193" s="171">
        <f>Delivery[[#This Row],[Valor Prêmio Nespresso BEN por saca (em US$)]]/1.3228/100</f>
        <v>5.4786838152327662E-2</v>
      </c>
      <c r="AO193" s="171">
        <f>SUMIF(Allocation[Delivery ID],Delivery[[#This Row],[Delivery ID]],Allocation[Quantity allocated])*16*1.3228*Delivery[[#This Row],[Exchange rate VS USD]]/60</f>
        <v>14265.500330282668</v>
      </c>
      <c r="AP193" s="171">
        <f>Delivery[[#This Row],[AAA Premium (total)]]</f>
        <v>10311.026366666667</v>
      </c>
      <c r="AQ193" s="171">
        <f>Delivery[[#This Row],[Valor pago pelo Cluster]]-Delivery[[#This Row],[Valor efetivamente pago pela Nespresso]]</f>
        <v>-3954.4739636160011</v>
      </c>
    </row>
    <row r="194" spans="1:43" ht="15.75">
      <c r="A194" s="174" t="s">
        <v>69</v>
      </c>
      <c r="B194" s="232" t="s">
        <v>68</v>
      </c>
      <c r="C194" s="157">
        <v>1</v>
      </c>
      <c r="D194" s="157" t="s">
        <v>468</v>
      </c>
      <c r="E194" s="176" t="s">
        <v>468</v>
      </c>
      <c r="F194" s="233" t="s">
        <v>543</v>
      </c>
      <c r="G194" s="234">
        <v>43398</v>
      </c>
      <c r="H194" s="157" t="s">
        <v>1443</v>
      </c>
      <c r="I194" s="236" t="s">
        <v>556</v>
      </c>
      <c r="J194" s="237">
        <v>19420</v>
      </c>
      <c r="K194" s="175" t="s">
        <v>61</v>
      </c>
      <c r="L194" s="175" t="s">
        <v>439</v>
      </c>
      <c r="M194" s="175" t="s">
        <v>1343</v>
      </c>
      <c r="N194" s="180"/>
      <c r="O194" s="177"/>
      <c r="P194" s="181">
        <v>0</v>
      </c>
      <c r="Q194" s="177">
        <v>43391</v>
      </c>
      <c r="R194" s="178">
        <v>450.24831999999998</v>
      </c>
      <c r="S194" s="179">
        <v>153288.82036405796</v>
      </c>
      <c r="T194" s="182" t="s">
        <v>45</v>
      </c>
      <c r="U194" s="183">
        <v>3.7027000000000001</v>
      </c>
      <c r="V194" s="179">
        <v>8398.08</v>
      </c>
      <c r="W194" s="179">
        <v>2781.9796359420329</v>
      </c>
      <c r="X194" s="186" t="s">
        <v>45</v>
      </c>
      <c r="Y194" s="183">
        <v>3.7027000000000001</v>
      </c>
      <c r="Z194" s="220" t="s">
        <v>473</v>
      </c>
      <c r="AA194" s="172">
        <f>Delivery[[#This Row],[Quantity delivered]]*VLOOKUP(Delivery[[#This Row],[Unit]],Tab_Conversão[],4,FALSE)*VLOOKUP(CONCATENATE(Delivery[[#This Row],[Coffee specie]],Delivery[[#This Row],[Coffee state]]),Tab_Conversão[],4,FALSE)</f>
        <v>19420</v>
      </c>
      <c r="AB194" s="169">
        <f>SUMIF(Allocation!C:C,Delivery[[#This Row],[Delivery ID]],Allocation!D:D)/Delivery[[#This Row],[Quantity delivered]]</f>
        <v>0.71009268795056646</v>
      </c>
      <c r="AC194" s="170">
        <f>Delivery[[#This Row],[Quantity delivered]]*Delivery[[#This Row],[Base price (Unidad)]]/60</f>
        <v>145730.37290666666</v>
      </c>
      <c r="AD194" s="171">
        <f>Delivery[[#This Row],[Nespresso total]]-Delivery[[#This Row],[Qt. Delivery * Base Price]]</f>
        <v>7558.447457391303</v>
      </c>
      <c r="AE194" s="171">
        <f>Delivery[[#This Row],[AAA Premium (total)]]/Delivery[[#This Row],[Quantity delivered]]*60/Delivery[[#This Row],[Exchange rate VS USD]]</f>
        <v>7.0075064492838006</v>
      </c>
      <c r="AF194" s="171">
        <f>Delivery[[#This Row],[BEN premium (total)]]/Delivery[[#This Row],[Quantity delivered]]*60/Delivery[[#This Row],[Exchange rate for premiums VS USD]]</f>
        <v>2.3213329999999996</v>
      </c>
      <c r="AG194" s="171">
        <f>COUNTIF(Delivery[Delivery ID],Delivery[[#This Row],[Delivery ID]])</f>
        <v>1</v>
      </c>
      <c r="AH194" s="171">
        <f>(Delivery[[#This Row],[Nespresso total]]/SUMIF(Allocation!C:C,Delivery[Delivery ID],Allocation!H:H))/Delivery[[#This Row],[Exchange rate VS USD]]</f>
        <v>8.5765901557241317</v>
      </c>
      <c r="AI194" s="171">
        <f>(Delivery[[#This Row],[AAA Premium (total)]]/SUMIF(Allocation!C:C,Delivery[Delivery ID],Allocation!H:H))/Delivery[[#This Row],[Exchange rate VS USD]]</f>
        <v>0.4698769948383793</v>
      </c>
      <c r="AJ194" s="171">
        <f>Delivery[[#This Row],[Valor Prêmio Nespresso AAA por Kg (em US$)]]*60</f>
        <v>28.192619690302759</v>
      </c>
      <c r="AK194" s="171">
        <f>Delivery[[#This Row],[Valor Prêmio Nespresso AAA por saca (em US$)]]/1.3228/100</f>
        <v>0.21312836173497701</v>
      </c>
      <c r="AL194" s="171">
        <f>(Delivery[[#This Row],[BEN premium (total)]]/SUMIF(Allocation!C:C,Delivery[Delivery ID],Allocation!H:H))/Delivery[[#This Row],[Exchange rate for premiums VS USD]]</f>
        <v>0.15565322443201435</v>
      </c>
      <c r="AM194" s="171">
        <f>Delivery[[#This Row],[Valor Prêmio Nespresso BEN por Kg (em US$)]]*60</f>
        <v>9.3391934659208609</v>
      </c>
      <c r="AN194" s="171">
        <f>Delivery[[#This Row],[Valor Prêmio Nespresso BEN por saca (em US$)]]/1.3228/100</f>
        <v>7.0601704459637593E-2</v>
      </c>
      <c r="AO194" s="171">
        <f>SUMIF(Allocation[Delivery ID],Delivery[[#This Row],[Delivery ID]],Allocation[Quantity allocated])*16*1.3228*Delivery[[#This Row],[Exchange rate VS USD]]/60</f>
        <v>6304.6175040319995</v>
      </c>
      <c r="AP194" s="171">
        <f>Delivery[[#This Row],[AAA Premium (total)]]</f>
        <v>8398.08</v>
      </c>
      <c r="AQ194" s="171">
        <f>Delivery[[#This Row],[Valor pago pelo Cluster]]-Delivery[[#This Row],[Valor efetivamente pago pela Nespresso]]</f>
        <v>2093.4624959680004</v>
      </c>
    </row>
    <row r="195" spans="1:43" ht="15.75">
      <c r="A195" s="174" t="s">
        <v>69</v>
      </c>
      <c r="B195" s="232" t="s">
        <v>68</v>
      </c>
      <c r="C195" s="157">
        <v>1</v>
      </c>
      <c r="D195" s="157" t="s">
        <v>468</v>
      </c>
      <c r="E195" s="176" t="s">
        <v>468</v>
      </c>
      <c r="F195" s="233" t="s">
        <v>543</v>
      </c>
      <c r="G195" s="234">
        <v>43398</v>
      </c>
      <c r="H195" s="157" t="s">
        <v>1444</v>
      </c>
      <c r="I195" s="236" t="s">
        <v>556</v>
      </c>
      <c r="J195" s="237">
        <v>17730</v>
      </c>
      <c r="K195" s="175" t="s">
        <v>61</v>
      </c>
      <c r="L195" s="175" t="s">
        <v>439</v>
      </c>
      <c r="M195" s="175" t="s">
        <v>1343</v>
      </c>
      <c r="N195" s="180"/>
      <c r="O195" s="177"/>
      <c r="P195" s="181">
        <v>0</v>
      </c>
      <c r="Q195" s="177">
        <v>43391</v>
      </c>
      <c r="R195" s="178">
        <v>450.24831999999998</v>
      </c>
      <c r="S195" s="179">
        <v>140043.31848891595</v>
      </c>
      <c r="T195" s="182" t="s">
        <v>45</v>
      </c>
      <c r="U195" s="183">
        <v>3.7027000000000001</v>
      </c>
      <c r="V195" s="179">
        <v>7672.3200000000006</v>
      </c>
      <c r="W195" s="179">
        <v>2539.8815110840501</v>
      </c>
      <c r="X195" s="186" t="s">
        <v>45</v>
      </c>
      <c r="Y195" s="183">
        <v>3.7027000000000001</v>
      </c>
      <c r="Z195" s="220" t="s">
        <v>473</v>
      </c>
      <c r="AA195" s="172">
        <f>Delivery[[#This Row],[Quantity delivered]]*VLOOKUP(Delivery[[#This Row],[Unit]],Tab_Conversão[],4,FALSE)*VLOOKUP(CONCATENATE(Delivery[[#This Row],[Coffee specie]],Delivery[[#This Row],[Coffee state]]),Tab_Conversão[],4,FALSE)</f>
        <v>17730</v>
      </c>
      <c r="AB195" s="169">
        <f>SUMIF(Allocation!C:C,Delivery[[#This Row],[Delivery ID]],Allocation!D:D)/Delivery[[#This Row],[Quantity delivered]]</f>
        <v>0.71015228426395938</v>
      </c>
      <c r="AC195" s="170">
        <f>Delivery[[#This Row],[Quantity delivered]]*Delivery[[#This Row],[Base price (Unidad)]]/60</f>
        <v>133048.37855999998</v>
      </c>
      <c r="AD195" s="171">
        <f>Delivery[[#This Row],[Nespresso total]]-Delivery[[#This Row],[Qt. Delivery * Base Price]]</f>
        <v>6994.9399289159628</v>
      </c>
      <c r="AE195" s="171">
        <f>Delivery[[#This Row],[AAA Premium (total)]]/Delivery[[#This Row],[Quantity delivered]]*60/Delivery[[#This Row],[Exchange rate VS USD]]</f>
        <v>7.0121419148244</v>
      </c>
      <c r="AF195" s="171">
        <f>Delivery[[#This Row],[BEN premium (total)]]/Delivery[[#This Row],[Quantity delivered]]*60/Delivery[[#This Row],[Exchange rate for premiums VS USD]]</f>
        <v>2.3213330000000001</v>
      </c>
      <c r="AG195" s="171">
        <f>COUNTIF(Delivery[Delivery ID],Delivery[[#This Row],[Delivery ID]])</f>
        <v>1</v>
      </c>
      <c r="AH195" s="171">
        <f>(Delivery[[#This Row],[Nespresso total]]/SUMIF(Allocation!C:C,Delivery[Delivery ID],Allocation!H:H))/Delivery[[#This Row],[Exchange rate VS USD]]</f>
        <v>8.5822431902207068</v>
      </c>
      <c r="AI195" s="171">
        <f>(Delivery[[#This Row],[AAA Premium (total)]]/SUMIF(Allocation!C:C,Delivery[Delivery ID],Allocation!H:H))/Delivery[[#This Row],[Exchange rate VS USD]]</f>
        <v>0.47018106100081919</v>
      </c>
      <c r="AJ195" s="171">
        <f>Delivery[[#This Row],[Valor Prêmio Nespresso AAA por Kg (em US$)]]*60</f>
        <v>28.210863660049153</v>
      </c>
      <c r="AK195" s="171">
        <f>Delivery[[#This Row],[Valor Prêmio Nespresso AAA por saca (em US$)]]/1.3228/100</f>
        <v>0.21326628107082818</v>
      </c>
      <c r="AL195" s="171">
        <f>(Delivery[[#This Row],[BEN premium (total)]]/SUMIF(Allocation!C:C,Delivery[Delivery ID],Allocation!H:H))/Delivery[[#This Row],[Exchange rate for premiums VS USD]]</f>
        <v>0.15565098740639893</v>
      </c>
      <c r="AM195" s="171">
        <f>Delivery[[#This Row],[Valor Prêmio Nespresso BEN por Kg (em US$)]]*60</f>
        <v>9.339059244383936</v>
      </c>
      <c r="AN195" s="171">
        <f>Delivery[[#This Row],[Valor Prêmio Nespresso BEN por saca (em US$)]]/1.3228/100</f>
        <v>7.0600689782158568E-2</v>
      </c>
      <c r="AO195" s="171">
        <f>SUMIF(Allocation[Delivery ID],Delivery[[#This Row],[Delivery ID]],Allocation[Quantity allocated])*16*1.3228*Delivery[[#This Row],[Exchange rate VS USD]]/60</f>
        <v>5756.0491693120002</v>
      </c>
      <c r="AP195" s="171">
        <f>Delivery[[#This Row],[AAA Premium (total)]]</f>
        <v>7672.3200000000006</v>
      </c>
      <c r="AQ195" s="171">
        <f>Delivery[[#This Row],[Valor pago pelo Cluster]]-Delivery[[#This Row],[Valor efetivamente pago pela Nespresso]]</f>
        <v>1916.2708306880004</v>
      </c>
    </row>
    <row r="196" spans="1:43" ht="15.75">
      <c r="A196" s="174" t="s">
        <v>69</v>
      </c>
      <c r="B196" s="232" t="s">
        <v>68</v>
      </c>
      <c r="C196" s="157">
        <v>1</v>
      </c>
      <c r="D196" s="157" t="s">
        <v>468</v>
      </c>
      <c r="E196" s="176" t="s">
        <v>468</v>
      </c>
      <c r="F196" s="233" t="s">
        <v>543</v>
      </c>
      <c r="G196" s="234">
        <v>43398</v>
      </c>
      <c r="H196" s="157" t="s">
        <v>1445</v>
      </c>
      <c r="I196" s="236" t="s">
        <v>556</v>
      </c>
      <c r="J196" s="237">
        <v>18120</v>
      </c>
      <c r="K196" s="175" t="s">
        <v>61</v>
      </c>
      <c r="L196" s="175" t="s">
        <v>439</v>
      </c>
      <c r="M196" s="175" t="s">
        <v>1343</v>
      </c>
      <c r="N196" s="180"/>
      <c r="O196" s="177"/>
      <c r="P196" s="181">
        <v>0</v>
      </c>
      <c r="Q196" s="177">
        <v>43391</v>
      </c>
      <c r="R196" s="178">
        <v>450.24831999999998</v>
      </c>
      <c r="S196" s="179">
        <v>142877.6496908718</v>
      </c>
      <c r="T196" s="182" t="s">
        <v>45</v>
      </c>
      <c r="U196" s="183">
        <v>3.7027000000000001</v>
      </c>
      <c r="V196" s="179">
        <v>7827.84</v>
      </c>
      <c r="W196" s="179">
        <v>2595.7503091281997</v>
      </c>
      <c r="X196" s="186" t="s">
        <v>45</v>
      </c>
      <c r="Y196" s="183">
        <v>3.7027000000000001</v>
      </c>
      <c r="Z196" s="220" t="s">
        <v>473</v>
      </c>
      <c r="AA196" s="172">
        <f>Delivery[[#This Row],[Quantity delivered]]*VLOOKUP(Delivery[[#This Row],[Unit]],Tab_Conversão[],4,FALSE)*VLOOKUP(CONCATENATE(Delivery[[#This Row],[Coffee specie]],Delivery[[#This Row],[Coffee state]]),Tab_Conversão[],4,FALSE)</f>
        <v>18120</v>
      </c>
      <c r="AB196" s="169">
        <f>SUMIF(Allocation!C:C,Delivery[[#This Row],[Delivery ID]],Allocation!D:D)/Delivery[[#This Row],[Quantity delivered]]</f>
        <v>0.70833333333333337</v>
      </c>
      <c r="AC196" s="170">
        <f>Delivery[[#This Row],[Quantity delivered]]*Delivery[[#This Row],[Base price (Unidad)]]/60</f>
        <v>135974.99263999998</v>
      </c>
      <c r="AD196" s="171">
        <f>Delivery[[#This Row],[Nespresso total]]-Delivery[[#This Row],[Qt. Delivery * Base Price]]</f>
        <v>6902.6570508718141</v>
      </c>
      <c r="AE196" s="171">
        <f>Delivery[[#This Row],[AAA Premium (total)]]/Delivery[[#This Row],[Quantity delivered]]*60/Delivery[[#This Row],[Exchange rate VS USD]]</f>
        <v>7.0002970805088172</v>
      </c>
      <c r="AF196" s="171">
        <f>Delivery[[#This Row],[BEN premium (total)]]/Delivery[[#This Row],[Quantity delivered]]*60/Delivery[[#This Row],[Exchange rate for premiums VS USD]]</f>
        <v>2.3213329999999996</v>
      </c>
      <c r="AG196" s="171">
        <f>COUNTIF(Delivery[Delivery ID],Delivery[[#This Row],[Delivery ID]])</f>
        <v>1</v>
      </c>
      <c r="AH196" s="171">
        <f>(Delivery[[#This Row],[Nespresso total]]/SUMIF(Allocation!C:C,Delivery[Delivery ID],Allocation!H:H))/Delivery[[#This Row],[Exchange rate VS USD]]</f>
        <v>8.5902543651073398</v>
      </c>
      <c r="AI196" s="171">
        <f>(Delivery[[#This Row],[AAA Premium (total)]]/SUMIF(Allocation!C:C,Delivery[Delivery ID],Allocation!H:H))/Delivery[[#This Row],[Exchange rate VS USD]]</f>
        <v>0.47063439855602468</v>
      </c>
      <c r="AJ196" s="171">
        <f>Delivery[[#This Row],[Valor Prêmio Nespresso AAA por Kg (em US$)]]*60</f>
        <v>28.238063913361479</v>
      </c>
      <c r="AK196" s="171">
        <f>Delivery[[#This Row],[Valor Prêmio Nespresso AAA por saca (em US$)]]/1.3228/100</f>
        <v>0.21347190741881977</v>
      </c>
      <c r="AL196" s="171">
        <f>(Delivery[[#This Row],[BEN premium (total)]]/SUMIF(Allocation!C:C,Delivery[Delivery ID],Allocation!H:H))/Delivery[[#This Row],[Exchange rate for premiums VS USD]]</f>
        <v>0.15606468521816561</v>
      </c>
      <c r="AM196" s="171">
        <f>Delivery[[#This Row],[Valor Prêmio Nespresso BEN por Kg (em US$)]]*60</f>
        <v>9.3638811130899366</v>
      </c>
      <c r="AN196" s="171">
        <f>Delivery[[#This Row],[Valor Prêmio Nespresso BEN por saca (em US$)]]/1.3228/100</f>
        <v>7.0788336204187619E-2</v>
      </c>
      <c r="AO196" s="171">
        <f>SUMIF(Allocation[Delivery ID],Delivery[[#This Row],[Delivery ID]],Allocation[Quantity allocated])*16*1.3228*Delivery[[#This Row],[Exchange rate VS USD]]/60</f>
        <v>5867.0689513386669</v>
      </c>
      <c r="AP196" s="171">
        <f>Delivery[[#This Row],[AAA Premium (total)]]</f>
        <v>7827.84</v>
      </c>
      <c r="AQ196" s="171">
        <f>Delivery[[#This Row],[Valor pago pelo Cluster]]-Delivery[[#This Row],[Valor efetivamente pago pela Nespresso]]</f>
        <v>1960.7710486613332</v>
      </c>
    </row>
    <row r="197" spans="1:43" ht="15.75">
      <c r="A197" s="174" t="s">
        <v>69</v>
      </c>
      <c r="B197" s="232" t="s">
        <v>68</v>
      </c>
      <c r="C197" s="157">
        <v>1</v>
      </c>
      <c r="D197" s="157" t="s">
        <v>468</v>
      </c>
      <c r="E197" s="176" t="s">
        <v>468</v>
      </c>
      <c r="F197" s="233" t="s">
        <v>543</v>
      </c>
      <c r="G197" s="234">
        <v>43398</v>
      </c>
      <c r="H197" s="157" t="s">
        <v>1446</v>
      </c>
      <c r="I197" s="236" t="s">
        <v>556</v>
      </c>
      <c r="J197" s="237">
        <v>18260</v>
      </c>
      <c r="K197" s="175" t="s">
        <v>61</v>
      </c>
      <c r="L197" s="175" t="s">
        <v>439</v>
      </c>
      <c r="M197" s="175" t="s">
        <v>1343</v>
      </c>
      <c r="N197" s="180"/>
      <c r="O197" s="177"/>
      <c r="P197" s="181">
        <v>0</v>
      </c>
      <c r="Q197" s="177">
        <v>43391</v>
      </c>
      <c r="R197" s="178">
        <v>450.24831999999998</v>
      </c>
      <c r="S197" s="179">
        <v>143820.99422490722</v>
      </c>
      <c r="T197" s="182" t="s">
        <v>45</v>
      </c>
      <c r="U197" s="183">
        <v>3.7027000000000001</v>
      </c>
      <c r="V197" s="179">
        <v>7879.68</v>
      </c>
      <c r="W197" s="179">
        <v>2615.8057750927665</v>
      </c>
      <c r="X197" s="186" t="s">
        <v>45</v>
      </c>
      <c r="Y197" s="183">
        <v>3.7027000000000001</v>
      </c>
      <c r="Z197" s="220" t="s">
        <v>473</v>
      </c>
      <c r="AA197" s="172">
        <f>Delivery[[#This Row],[Quantity delivered]]*VLOOKUP(Delivery[[#This Row],[Unit]],Tab_Conversão[],4,FALSE)*VLOOKUP(CONCATENATE(Delivery[[#This Row],[Coffee specie]],Delivery[[#This Row],[Coffee state]]),Tab_Conversão[],4,FALSE)</f>
        <v>18260</v>
      </c>
      <c r="AB197" s="169">
        <f>SUMIF(Allocation!C:C,Delivery[[#This Row],[Delivery ID]],Allocation!D:D)/Delivery[[#This Row],[Quantity delivered]]</f>
        <v>0.70788608981380063</v>
      </c>
      <c r="AC197" s="170">
        <f>Delivery[[#This Row],[Quantity delivered]]*Delivery[[#This Row],[Base price (Unidad)]]/60</f>
        <v>137025.57205333334</v>
      </c>
      <c r="AD197" s="171">
        <f>Delivery[[#This Row],[Nespresso total]]-Delivery[[#This Row],[Qt. Delivery * Base Price]]</f>
        <v>6795.4221715738822</v>
      </c>
      <c r="AE197" s="171">
        <f>Delivery[[#This Row],[AAA Premium (total)]]/Delivery[[#This Row],[Quantity delivered]]*60/Delivery[[#This Row],[Exchange rate VS USD]]</f>
        <v>6.9926297233560151</v>
      </c>
      <c r="AF197" s="171">
        <f>Delivery[[#This Row],[BEN premium (total)]]/Delivery[[#This Row],[Quantity delivered]]*60/Delivery[[#This Row],[Exchange rate for premiums VS USD]]</f>
        <v>2.3213329999999996</v>
      </c>
      <c r="AG197" s="171">
        <f>COUNTIF(Delivery[Delivery ID],Delivery[[#This Row],[Delivery ID]])</f>
        <v>1</v>
      </c>
      <c r="AH197" s="171">
        <f>(Delivery[[#This Row],[Nespresso total]]/SUMIF(Allocation!C:C,Delivery[Delivery ID],Allocation!H:H))/Delivery[[#This Row],[Exchange rate VS USD]]</f>
        <v>8.5858078416184789</v>
      </c>
      <c r="AI197" s="171">
        <f>(Delivery[[#This Row],[AAA Premium (total)]]/SUMIF(Allocation!C:C,Delivery[Delivery ID],Allocation!H:H))/Delivery[[#This Row],[Exchange rate VS USD]]</f>
        <v>0.47040015748777203</v>
      </c>
      <c r="AJ197" s="171">
        <f>Delivery[[#This Row],[Valor Prêmio Nespresso AAA por Kg (em US$)]]*60</f>
        <v>28.224009449266322</v>
      </c>
      <c r="AK197" s="171">
        <f>Delivery[[#This Row],[Valor Prêmio Nespresso AAA por saca (em US$)]]/1.3228/100</f>
        <v>0.21336565958018083</v>
      </c>
      <c r="AL197" s="171">
        <f>(Delivery[[#This Row],[BEN premium (total)]]/SUMIF(Allocation!C:C,Delivery[Delivery ID],Allocation!H:H))/Delivery[[#This Row],[Exchange rate for premiums VS USD]]</f>
        <v>0.1561580481137636</v>
      </c>
      <c r="AM197" s="171">
        <f>Delivery[[#This Row],[Valor Prêmio Nespresso BEN por Kg (em US$)]]*60</f>
        <v>9.369482886825816</v>
      </c>
      <c r="AN197" s="171">
        <f>Delivery[[#This Row],[Valor Prêmio Nespresso BEN por saca (em US$)]]/1.3228/100</f>
        <v>7.0830684055229937E-2</v>
      </c>
      <c r="AO197" s="171">
        <f>SUMIF(Allocation[Delivery ID],Delivery[[#This Row],[Delivery ID]],Allocation[Quantity allocated])*16*1.3228*Delivery[[#This Row],[Exchange rate VS USD]]/60</f>
        <v>5908.8646339840006</v>
      </c>
      <c r="AP197" s="171">
        <f>Delivery[[#This Row],[AAA Premium (total)]]</f>
        <v>7879.68</v>
      </c>
      <c r="AQ197" s="171">
        <f>Delivery[[#This Row],[Valor pago pelo Cluster]]-Delivery[[#This Row],[Valor efetivamente pago pela Nespresso]]</f>
        <v>1970.8153660159996</v>
      </c>
    </row>
    <row r="198" spans="1:43" ht="15.75">
      <c r="A198" s="174" t="s">
        <v>69</v>
      </c>
      <c r="B198" s="232" t="s">
        <v>68</v>
      </c>
      <c r="C198" s="157">
        <v>1</v>
      </c>
      <c r="D198" s="157" t="s">
        <v>468</v>
      </c>
      <c r="E198" s="176" t="s">
        <v>468</v>
      </c>
      <c r="F198" s="233" t="s">
        <v>543</v>
      </c>
      <c r="G198" s="234">
        <v>43398</v>
      </c>
      <c r="H198" s="157" t="s">
        <v>1447</v>
      </c>
      <c r="I198" s="236" t="s">
        <v>556</v>
      </c>
      <c r="J198" s="237">
        <v>18190</v>
      </c>
      <c r="K198" s="175" t="s">
        <v>61</v>
      </c>
      <c r="L198" s="175" t="s">
        <v>439</v>
      </c>
      <c r="M198" s="175" t="s">
        <v>1343</v>
      </c>
      <c r="N198" s="180"/>
      <c r="O198" s="177"/>
      <c r="P198" s="181">
        <v>0</v>
      </c>
      <c r="Q198" s="177">
        <v>43391</v>
      </c>
      <c r="R198" s="178">
        <v>450.24831999999998</v>
      </c>
      <c r="S198" s="179">
        <v>143349.32195788954</v>
      </c>
      <c r="T198" s="182" t="s">
        <v>45</v>
      </c>
      <c r="U198" s="183">
        <v>3.7027000000000001</v>
      </c>
      <c r="V198" s="179">
        <v>7853.76</v>
      </c>
      <c r="W198" s="179">
        <v>2605.7780421104831</v>
      </c>
      <c r="X198" s="186" t="s">
        <v>45</v>
      </c>
      <c r="Y198" s="183">
        <v>3.7027000000000001</v>
      </c>
      <c r="Z198" s="220" t="s">
        <v>473</v>
      </c>
      <c r="AA198" s="172">
        <f>Delivery[[#This Row],[Quantity delivered]]*VLOOKUP(Delivery[[#This Row],[Unit]],Tab_Conversão[],4,FALSE)*VLOOKUP(CONCATENATE(Delivery[[#This Row],[Coffee specie]],Delivery[[#This Row],[Coffee state]]),Tab_Conversão[],4,FALSE)</f>
        <v>18190</v>
      </c>
      <c r="AB198" s="169">
        <f>SUMIF(Allocation!C:C,Delivery[[#This Row],[Delivery ID]],Allocation!D:D)/Delivery[[#This Row],[Quantity delivered]]</f>
        <v>0.70852116547553601</v>
      </c>
      <c r="AC198" s="170">
        <f>Delivery[[#This Row],[Quantity delivered]]*Delivery[[#This Row],[Base price (Unidad)]]/60</f>
        <v>136500.28234666667</v>
      </c>
      <c r="AD198" s="171">
        <f>Delivery[[#This Row],[Nespresso total]]-Delivery[[#This Row],[Qt. Delivery * Base Price]]</f>
        <v>6849.0396112228627</v>
      </c>
      <c r="AE198" s="171">
        <f>Delivery[[#This Row],[AAA Premium (total)]]/Delivery[[#This Row],[Quantity delivered]]*60/Delivery[[#This Row],[Exchange rate VS USD]]</f>
        <v>6.9964486489087578</v>
      </c>
      <c r="AF198" s="171">
        <f>Delivery[[#This Row],[BEN premium (total)]]/Delivery[[#This Row],[Quantity delivered]]*60/Delivery[[#This Row],[Exchange rate for premiums VS USD]]</f>
        <v>2.3213329999999996</v>
      </c>
      <c r="AG198" s="171">
        <f>COUNTIF(Delivery[Delivery ID],Delivery[[#This Row],[Delivery ID]])</f>
        <v>1</v>
      </c>
      <c r="AH198" s="171">
        <f>(Delivery[[#This Row],[Nespresso total]]/SUMIF(Allocation!C:C,Delivery[Delivery ID],Allocation!H:H))/Delivery[[#This Row],[Exchange rate VS USD]]</f>
        <v>8.5823118248220123</v>
      </c>
      <c r="AI198" s="171">
        <f>(Delivery[[#This Row],[AAA Premium (total)]]/SUMIF(Allocation!C:C,Delivery[Delivery ID],Allocation!H:H))/Delivery[[#This Row],[Exchange rate VS USD]]</f>
        <v>0.47020394932258297</v>
      </c>
      <c r="AJ198" s="171">
        <f>Delivery[[#This Row],[Valor Prêmio Nespresso AAA por Kg (em US$)]]*60</f>
        <v>28.212236959354978</v>
      </c>
      <c r="AK198" s="171">
        <f>Delivery[[#This Row],[Valor Prêmio Nespresso AAA por saca (em US$)]]/1.3228/100</f>
        <v>0.21327666283153143</v>
      </c>
      <c r="AL198" s="171">
        <f>(Delivery[[#This Row],[BEN premium (total)]]/SUMIF(Allocation!C:C,Delivery[Delivery ID],Allocation!H:H))/Delivery[[#This Row],[Exchange rate for premiums VS USD]]</f>
        <v>0.15600771177861522</v>
      </c>
      <c r="AM198" s="171">
        <f>Delivery[[#This Row],[Valor Prêmio Nespresso BEN por Kg (em US$)]]*60</f>
        <v>9.3604627067169126</v>
      </c>
      <c r="AN198" s="171">
        <f>Delivery[[#This Row],[Valor Prêmio Nespresso BEN por saca (em US$)]]/1.3228/100</f>
        <v>7.0762494003000553E-2</v>
      </c>
      <c r="AO198" s="171">
        <f>SUMIF(Allocation[Delivery ID],Delivery[[#This Row],[Delivery ID]],Allocation[Quantity allocated])*16*1.3228*Delivery[[#This Row],[Exchange rate VS USD]]/60</f>
        <v>5891.8851379093339</v>
      </c>
      <c r="AP198" s="171">
        <f>Delivery[[#This Row],[AAA Premium (total)]]</f>
        <v>7853.76</v>
      </c>
      <c r="AQ198" s="171">
        <f>Delivery[[#This Row],[Valor pago pelo Cluster]]-Delivery[[#This Row],[Valor efetivamente pago pela Nespresso]]</f>
        <v>1961.8748620906663</v>
      </c>
    </row>
    <row r="199" spans="1:43" ht="15.75">
      <c r="A199" s="174" t="s">
        <v>69</v>
      </c>
      <c r="B199" s="232" t="s">
        <v>68</v>
      </c>
      <c r="C199" s="157">
        <v>1</v>
      </c>
      <c r="D199" s="157" t="s">
        <v>468</v>
      </c>
      <c r="E199" s="176" t="s">
        <v>468</v>
      </c>
      <c r="F199" s="233" t="s">
        <v>543</v>
      </c>
      <c r="G199" s="234">
        <v>43398</v>
      </c>
      <c r="H199" s="157" t="s">
        <v>1448</v>
      </c>
      <c r="I199" s="157" t="s">
        <v>556</v>
      </c>
      <c r="J199" s="237">
        <v>17590</v>
      </c>
      <c r="K199" s="175" t="s">
        <v>61</v>
      </c>
      <c r="L199" s="175" t="s">
        <v>439</v>
      </c>
      <c r="M199" s="175" t="s">
        <v>1343</v>
      </c>
      <c r="N199" s="180"/>
      <c r="O199" s="177"/>
      <c r="P199" s="185">
        <v>0</v>
      </c>
      <c r="Q199" s="177">
        <v>43391</v>
      </c>
      <c r="R199" s="178">
        <v>450.24831999999998</v>
      </c>
      <c r="S199" s="179">
        <v>136178.73124309434</v>
      </c>
      <c r="T199" s="182" t="s">
        <v>45</v>
      </c>
      <c r="U199" s="183">
        <v>3.7027000000000001</v>
      </c>
      <c r="V199" s="179">
        <v>7598.5575166666667</v>
      </c>
      <c r="W199" s="179">
        <v>2519.8260451194833</v>
      </c>
      <c r="X199" s="186" t="s">
        <v>45</v>
      </c>
      <c r="Y199" s="183">
        <v>3.7027000000000001</v>
      </c>
      <c r="Z199" s="220" t="s">
        <v>473</v>
      </c>
      <c r="AA199" s="172">
        <f>Delivery[[#This Row],[Quantity delivered]]*VLOOKUP(Delivery[[#This Row],[Unit]],Tab_Conversão[],4,FALSE)*VLOOKUP(CONCATENATE(Delivery[[#This Row],[Coffee specie]],Delivery[[#This Row],[Coffee state]]),Tab_Conversão[],4,FALSE)</f>
        <v>17590</v>
      </c>
      <c r="AB199" s="169">
        <f>SUMIF(Allocation!C:C,Delivery[[#This Row],[Delivery ID]],Allocation!D:D)/Delivery[[#This Row],[Quantity delivered]]</f>
        <v>0.93797612279704379</v>
      </c>
      <c r="AC199" s="170">
        <f>Delivery[[#This Row],[Quantity delivered]]*Delivery[[#This Row],[Base price (Unidad)]]/60</f>
        <v>131997.79914666666</v>
      </c>
      <c r="AD199" s="171">
        <f>Delivery[[#This Row],[Nespresso total]]-Delivery[[#This Row],[Qt. Delivery * Base Price]]</f>
        <v>4180.9320964276849</v>
      </c>
      <c r="AE199" s="171">
        <f>Delivery[[#This Row],[AAA Premium (total)]]/Delivery[[#This Row],[Quantity delivered]]*60/Delivery[[#This Row],[Exchange rate VS USD]]</f>
        <v>7</v>
      </c>
      <c r="AF199" s="171">
        <f>Delivery[[#This Row],[BEN premium (total)]]/Delivery[[#This Row],[Quantity delivered]]*60/Delivery[[#This Row],[Exchange rate for premiums VS USD]]</f>
        <v>2.3213330000000001</v>
      </c>
      <c r="AG199" s="171">
        <f>COUNTIF(Delivery[Delivery ID],Delivery[[#This Row],[Delivery ID]])</f>
        <v>1</v>
      </c>
      <c r="AH199" s="171">
        <f>(Delivery[[#This Row],[Nespresso total]]/SUMIF(Allocation!C:C,Delivery[Delivery ID],Allocation!H:H))/Delivery[[#This Row],[Exchange rate VS USD]]</f>
        <v>6.3685236942736108</v>
      </c>
      <c r="AI199" s="171">
        <f>(Delivery[[#This Row],[AAA Premium (total)]]/SUMIF(Allocation!C:C,Delivery[Delivery ID],Allocation!H:H))/Delivery[[#This Row],[Exchange rate VS USD]]</f>
        <v>0.35535353535353537</v>
      </c>
      <c r="AJ199" s="171">
        <f>Delivery[[#This Row],[Valor Prêmio Nespresso AAA por Kg (em US$)]]*60</f>
        <v>21.32121212121212</v>
      </c>
      <c r="AK199" s="171">
        <f>Delivery[[#This Row],[Valor Prêmio Nespresso AAA por saca (em US$)]]/1.3228/100</f>
        <v>0.16118243212286154</v>
      </c>
      <c r="AL199" s="171">
        <f>(Delivery[[#This Row],[BEN premium (total)]]/SUMIF(Allocation!C:C,Delivery[Delivery ID],Allocation!H:H))/Delivery[[#This Row],[Exchange rate for premiums VS USD]]</f>
        <v>0.11784198404040404</v>
      </c>
      <c r="AM199" s="171">
        <f>Delivery[[#This Row],[Valor Prêmio Nespresso BEN por Kg (em US$)]]*60</f>
        <v>7.0705190424242419</v>
      </c>
      <c r="AN199" s="171">
        <f>Delivery[[#This Row],[Valor Prêmio Nespresso BEN por saca (em US$)]]/1.3228/100</f>
        <v>5.3451156958151211E-2</v>
      </c>
      <c r="AO199" s="171">
        <f>SUMIF(Allocation[Delivery ID],Delivery[[#This Row],[Delivery ID]],Allocation[Quantity allocated])*16*1.3228*Delivery[[#This Row],[Exchange rate VS USD]]/60</f>
        <v>7542.8146024000007</v>
      </c>
      <c r="AP199" s="171">
        <f>Delivery[[#This Row],[AAA Premium (total)]]</f>
        <v>7598.5575166666667</v>
      </c>
      <c r="AQ199" s="171">
        <f>Delivery[[#This Row],[Valor pago pelo Cluster]]-Delivery[[#This Row],[Valor efetivamente pago pela Nespresso]]</f>
        <v>55.742914266666048</v>
      </c>
    </row>
    <row r="200" spans="1:43" ht="15.75">
      <c r="A200" s="174" t="s">
        <v>69</v>
      </c>
      <c r="B200" s="232" t="s">
        <v>68</v>
      </c>
      <c r="C200" s="157">
        <v>1</v>
      </c>
      <c r="D200" s="157" t="s">
        <v>468</v>
      </c>
      <c r="E200" s="176" t="s">
        <v>468</v>
      </c>
      <c r="F200" s="233" t="s">
        <v>543</v>
      </c>
      <c r="G200" s="234">
        <v>43398</v>
      </c>
      <c r="H200" s="157" t="s">
        <v>1449</v>
      </c>
      <c r="I200" s="236" t="s">
        <v>556</v>
      </c>
      <c r="J200" s="237">
        <v>12875</v>
      </c>
      <c r="K200" s="175" t="s">
        <v>61</v>
      </c>
      <c r="L200" s="175" t="s">
        <v>439</v>
      </c>
      <c r="M200" s="175" t="s">
        <v>1343</v>
      </c>
      <c r="N200" s="180"/>
      <c r="O200" s="177"/>
      <c r="P200" s="181">
        <v>0</v>
      </c>
      <c r="Q200" s="177">
        <v>43391</v>
      </c>
      <c r="R200" s="178">
        <v>450.24831999999998</v>
      </c>
      <c r="S200" s="179">
        <v>101721.11339790146</v>
      </c>
      <c r="T200" s="182" t="s">
        <v>45</v>
      </c>
      <c r="U200" s="183">
        <v>3.7027000000000001</v>
      </c>
      <c r="V200" s="179">
        <v>5572.8</v>
      </c>
      <c r="W200" s="179">
        <v>1844.3866020985415</v>
      </c>
      <c r="X200" s="186" t="s">
        <v>45</v>
      </c>
      <c r="Y200" s="183">
        <v>3.7027000000000001</v>
      </c>
      <c r="Z200" s="220" t="s">
        <v>473</v>
      </c>
      <c r="AA200" s="172">
        <f>Delivery[[#This Row],[Quantity delivered]]*VLOOKUP(Delivery[[#This Row],[Unit]],Tab_Conversão[],4,FALSE)*VLOOKUP(CONCATENATE(Delivery[[#This Row],[Coffee specie]],Delivery[[#This Row],[Coffee state]]),Tab_Conversão[],4,FALSE)</f>
        <v>12875</v>
      </c>
      <c r="AB200" s="169">
        <f>SUMIF(Allocation!C:C,Delivery[[#This Row],[Delivery ID]],Allocation!D:D)/Delivery[[#This Row],[Quantity delivered]]</f>
        <v>0.74532038834951453</v>
      </c>
      <c r="AC200" s="170">
        <f>Delivery[[#This Row],[Quantity delivered]]*Delivery[[#This Row],[Base price (Unidad)]]/60</f>
        <v>96615.785333333333</v>
      </c>
      <c r="AD200" s="171">
        <f>Delivery[[#This Row],[Nespresso total]]-Delivery[[#This Row],[Qt. Delivery * Base Price]]</f>
        <v>5105.3280645681225</v>
      </c>
      <c r="AE200" s="171">
        <f>Delivery[[#This Row],[AAA Premium (total)]]/Delivery[[#This Row],[Quantity delivered]]*60/Delivery[[#This Row],[Exchange rate VS USD]]</f>
        <v>7.0138898903738829</v>
      </c>
      <c r="AF200" s="171">
        <f>Delivery[[#This Row],[BEN premium (total)]]/Delivery[[#This Row],[Quantity delivered]]*60/Delivery[[#This Row],[Exchange rate for premiums VS USD]]</f>
        <v>2.3213329999999996</v>
      </c>
      <c r="AG200" s="171">
        <f>COUNTIF(Delivery[Delivery ID],Delivery[[#This Row],[Delivery ID]])</f>
        <v>1</v>
      </c>
      <c r="AH200" s="171">
        <f>(Delivery[[#This Row],[Nespresso total]]/SUMIF(Allocation!C:C,Delivery[Delivery ID],Allocation!H:H))/Delivery[[#This Row],[Exchange rate VS USD]]</f>
        <v>8.1786679276220777</v>
      </c>
      <c r="AI200" s="171">
        <f>(Delivery[[#This Row],[AAA Premium (total)]]/SUMIF(Allocation!C:C,Delivery[Delivery ID],Allocation!H:H))/Delivery[[#This Row],[Exchange rate VS USD]]</f>
        <v>0.44806903016058225</v>
      </c>
      <c r="AJ200" s="171">
        <f>Delivery[[#This Row],[Valor Prêmio Nespresso AAA por Kg (em US$)]]*60</f>
        <v>26.884141809634936</v>
      </c>
      <c r="AK200" s="171">
        <f>Delivery[[#This Row],[Valor Prêmio Nespresso AAA por saca (em US$)]]/1.3228/100</f>
        <v>0.20323663297274674</v>
      </c>
      <c r="AL200" s="171">
        <f>(Delivery[[#This Row],[BEN premium (total)]]/SUMIF(Allocation!C:C,Delivery[Delivery ID],Allocation!H:H))/Delivery[[#This Row],[Exchange rate for premiums VS USD]]</f>
        <v>0.14829394847176736</v>
      </c>
      <c r="AM200" s="171">
        <f>Delivery[[#This Row],[Valor Prêmio Nespresso BEN por Kg (em US$)]]*60</f>
        <v>8.8976369083060405</v>
      </c>
      <c r="AN200" s="171">
        <f>Delivery[[#This Row],[Valor Prêmio Nespresso BEN por saca (em US$)]]/1.3228/100</f>
        <v>6.7263659724115812E-2</v>
      </c>
      <c r="AO200" s="171">
        <f>SUMIF(Allocation[Delivery ID],Delivery[[#This Row],[Delivery ID]],Allocation[Quantity allocated])*16*1.3228*Delivery[[#This Row],[Exchange rate VS USD]]/60</f>
        <v>4387.2405626773343</v>
      </c>
      <c r="AP200" s="171">
        <f>Delivery[[#This Row],[AAA Premium (total)]]</f>
        <v>5572.8</v>
      </c>
      <c r="AQ200" s="171">
        <f>Delivery[[#This Row],[Valor pago pelo Cluster]]-Delivery[[#This Row],[Valor efetivamente pago pela Nespresso]]</f>
        <v>1185.5594373226659</v>
      </c>
    </row>
    <row r="201" spans="1:43" ht="15.75">
      <c r="A201" s="174" t="s">
        <v>69</v>
      </c>
      <c r="B201" s="232" t="s">
        <v>68</v>
      </c>
      <c r="C201" s="157">
        <v>1</v>
      </c>
      <c r="D201" s="157" t="s">
        <v>468</v>
      </c>
      <c r="E201" s="177" t="s">
        <v>468</v>
      </c>
      <c r="F201" s="233" t="s">
        <v>543</v>
      </c>
      <c r="G201" s="234">
        <v>43399</v>
      </c>
      <c r="H201" s="157" t="s">
        <v>1450</v>
      </c>
      <c r="I201" s="157" t="s">
        <v>1435</v>
      </c>
      <c r="J201" s="237">
        <v>19280</v>
      </c>
      <c r="K201" s="175" t="s">
        <v>61</v>
      </c>
      <c r="L201" s="175" t="s">
        <v>439</v>
      </c>
      <c r="M201" s="175" t="s">
        <v>1343</v>
      </c>
      <c r="N201" s="180"/>
      <c r="O201" s="177"/>
      <c r="P201" s="185">
        <v>0</v>
      </c>
      <c r="Q201" s="177">
        <v>43397</v>
      </c>
      <c r="R201" s="178">
        <v>451.79398000000003</v>
      </c>
      <c r="S201" s="179">
        <v>143020.18738835232</v>
      </c>
      <c r="T201" s="182" t="s">
        <v>45</v>
      </c>
      <c r="U201" s="183">
        <v>3.7246000000000001</v>
      </c>
      <c r="V201" s="179">
        <v>11968.381333333335</v>
      </c>
      <c r="W201" s="179">
        <v>3254.5329724905064</v>
      </c>
      <c r="X201" s="186" t="s">
        <v>45</v>
      </c>
      <c r="Y201" s="183">
        <v>3.7246000000000001</v>
      </c>
      <c r="Z201" s="220" t="s">
        <v>473</v>
      </c>
      <c r="AA201" s="172">
        <f>Delivery[[#This Row],[Quantity delivered]]*VLOOKUP(Delivery[[#This Row],[Unit]],Tab_Conversão[],4,FALSE)*VLOOKUP(CONCATENATE(Delivery[[#This Row],[Coffee specie]],Delivery[[#This Row],[Coffee state]]),Tab_Conversão[],4,FALSE)</f>
        <v>19280</v>
      </c>
      <c r="AB201" s="169">
        <f>SUMIF(Allocation!C:C,Delivery[[#This Row],[Delivery ID]],Allocation!D:D)/Delivery[[#This Row],[Quantity delivered]]</f>
        <v>0.83812240663900417</v>
      </c>
      <c r="AC201" s="170">
        <f>Delivery[[#This Row],[Quantity delivered]]*Delivery[[#This Row],[Base price (Unidad)]]/60</f>
        <v>145176.46557333335</v>
      </c>
      <c r="AD201" s="171">
        <f>Delivery[[#This Row],[Nespresso total]]-Delivery[[#This Row],[Qt. Delivery * Base Price]]</f>
        <v>-2156.2781849810272</v>
      </c>
      <c r="AE201" s="171">
        <f>Delivery[[#This Row],[AAA Premium (total)]]/Delivery[[#This Row],[Quantity delivered]]*60/Delivery[[#This Row],[Exchange rate VS USD]]</f>
        <v>10</v>
      </c>
      <c r="AF201" s="171">
        <f>Delivery[[#This Row],[BEN premium (total)]]/Delivery[[#This Row],[Quantity delivered]]*60/Delivery[[#This Row],[Exchange rate for premiums VS USD]]</f>
        <v>2.7192757999999992</v>
      </c>
      <c r="AG201" s="171">
        <f>COUNTIF(Delivery[Delivery ID],Delivery[[#This Row],[Delivery ID]])</f>
        <v>1</v>
      </c>
      <c r="AH201" s="171">
        <f>(Delivery[[#This Row],[Nespresso total]]/SUMIF(Allocation!C:C,Delivery[Delivery ID],Allocation!H:H))/Delivery[[#This Row],[Exchange rate VS USD]]</f>
        <v>5.7960459682479186</v>
      </c>
      <c r="AI201" s="171">
        <f>(Delivery[[#This Row],[AAA Premium (total)]]/SUMIF(Allocation!C:C,Delivery[Delivery ID],Allocation!H:H))/Delivery[[#This Row],[Exchange rate VS USD]]</f>
        <v>0.48503144654088054</v>
      </c>
      <c r="AJ201" s="171">
        <f>Delivery[[#This Row],[Valor Prêmio Nespresso AAA por Kg (em US$)]]*60</f>
        <v>29.101886792452831</v>
      </c>
      <c r="AK201" s="171">
        <f>Delivery[[#This Row],[Valor Prêmio Nespresso AAA por saca (em US$)]]/1.3228/100</f>
        <v>0.22000216807115838</v>
      </c>
      <c r="AL201" s="171">
        <f>(Delivery[[#This Row],[BEN premium (total)]]/SUMIF(Allocation!C:C,Delivery[Delivery ID],Allocation!H:H))/Delivery[[#This Row],[Exchange rate for premiums VS USD]]</f>
        <v>0.13189342748176097</v>
      </c>
      <c r="AM201" s="171">
        <f>Delivery[[#This Row],[Valor Prêmio Nespresso BEN por Kg (em US$)]]*60</f>
        <v>7.9136056489056585</v>
      </c>
      <c r="AN201" s="171">
        <f>Delivery[[#This Row],[Valor Prêmio Nespresso BEN por saca (em US$)]]/1.3228/100</f>
        <v>5.9824657158343356E-2</v>
      </c>
      <c r="AO201" s="171">
        <f>SUMIF(Allocation[Delivery ID],Delivery[[#This Row],[Delivery ID]],Allocation[Quantity allocated])*16*1.3228*Delivery[[#This Row],[Exchange rate VS USD]]/60</f>
        <v>8704.191554666666</v>
      </c>
      <c r="AP201" s="171">
        <f>Delivery[[#This Row],[AAA Premium (total)]]</f>
        <v>11968.381333333335</v>
      </c>
      <c r="AQ201" s="171">
        <f>Delivery[[#This Row],[Valor pago pelo Cluster]]-Delivery[[#This Row],[Valor efetivamente pago pela Nespresso]]</f>
        <v>3264.1897786666686</v>
      </c>
    </row>
    <row r="202" spans="1:43" ht="15.75">
      <c r="A202" s="174" t="s">
        <v>69</v>
      </c>
      <c r="B202" s="232" t="s">
        <v>68</v>
      </c>
      <c r="C202" s="157">
        <v>1</v>
      </c>
      <c r="D202" s="157" t="s">
        <v>468</v>
      </c>
      <c r="E202" s="177" t="s">
        <v>468</v>
      </c>
      <c r="F202" s="233" t="s">
        <v>543</v>
      </c>
      <c r="G202" s="234">
        <v>43399</v>
      </c>
      <c r="H202" s="157" t="s">
        <v>1451</v>
      </c>
      <c r="I202" s="157" t="s">
        <v>1435</v>
      </c>
      <c r="J202" s="237">
        <v>12570</v>
      </c>
      <c r="K202" s="175" t="s">
        <v>61</v>
      </c>
      <c r="L202" s="175" t="s">
        <v>439</v>
      </c>
      <c r="M202" s="175" t="s">
        <v>1343</v>
      </c>
      <c r="N202" s="180"/>
      <c r="O202" s="177"/>
      <c r="P202" s="181">
        <v>0</v>
      </c>
      <c r="Q202" s="177">
        <v>43397</v>
      </c>
      <c r="R202" s="178">
        <v>451.79398000000003</v>
      </c>
      <c r="S202" s="179">
        <v>93245.008063879082</v>
      </c>
      <c r="T202" s="182" t="s">
        <v>45</v>
      </c>
      <c r="U202" s="183">
        <v>3.7246000000000001</v>
      </c>
      <c r="V202" s="179">
        <v>7803.0370000000003</v>
      </c>
      <c r="W202" s="179">
        <v>2121.86096806046</v>
      </c>
      <c r="X202" s="184" t="s">
        <v>45</v>
      </c>
      <c r="Y202" s="183">
        <v>3.7246000000000001</v>
      </c>
      <c r="Z202" s="220" t="s">
        <v>473</v>
      </c>
      <c r="AA202" s="172">
        <f>Delivery[[#This Row],[Quantity delivered]]*VLOOKUP(Delivery[[#This Row],[Unit]],Tab_Conversão[],4,FALSE)*VLOOKUP(CONCATENATE(Delivery[[#This Row],[Coffee specie]],Delivery[[#This Row],[Coffee state]]),Tab_Conversão[],4,FALSE)</f>
        <v>12570</v>
      </c>
      <c r="AB202" s="169">
        <f>SUMIF(Allocation!C:C,Delivery[[#This Row],[Delivery ID]],Allocation!D:D)/Delivery[[#This Row],[Quantity delivered]]</f>
        <v>0.80493237867939538</v>
      </c>
      <c r="AC202" s="170">
        <f>Delivery[[#This Row],[Quantity delivered]]*Delivery[[#This Row],[Base price (Unidad)]]/60</f>
        <v>94650.838810000016</v>
      </c>
      <c r="AD202" s="171">
        <f>Delivery[[#This Row],[Nespresso total]]-Delivery[[#This Row],[Qt. Delivery * Base Price]]</f>
        <v>-1405.8307461209333</v>
      </c>
      <c r="AE202" s="171">
        <f>Delivery[[#This Row],[AAA Premium (total)]]/Delivery[[#This Row],[Quantity delivered]]*60/Delivery[[#This Row],[Exchange rate VS USD]]</f>
        <v>10</v>
      </c>
      <c r="AF202" s="171">
        <f>Delivery[[#This Row],[BEN premium (total)]]/Delivery[[#This Row],[Quantity delivered]]*60/Delivery[[#This Row],[Exchange rate for premiums VS USD]]</f>
        <v>2.7192757999999997</v>
      </c>
      <c r="AG202" s="171">
        <f>COUNTIF(Delivery[Delivery ID],Delivery[[#This Row],[Delivery ID]])</f>
        <v>1</v>
      </c>
      <c r="AH202" s="171">
        <f>(Delivery[[#This Row],[Nespresso total]]/SUMIF(Allocation!C:C,Delivery[Delivery ID],Allocation!H:H))/Delivery[[#This Row],[Exchange rate VS USD]]</f>
        <v>6.0339612537654146</v>
      </c>
      <c r="AI202" s="171">
        <f>(Delivery[[#This Row],[AAA Premium (total)]]/SUMIF(Allocation!C:C,Delivery[Delivery ID],Allocation!H:H))/Delivery[[#This Row],[Exchange rate VS USD]]</f>
        <v>0.504940949626416</v>
      </c>
      <c r="AJ202" s="171">
        <f>Delivery[[#This Row],[Valor Prêmio Nespresso AAA por Kg (em US$)]]*60</f>
        <v>30.29645697758496</v>
      </c>
      <c r="AK202" s="171">
        <f>Delivery[[#This Row],[Valor Prêmio Nespresso AAA por saca (em US$)]]/1.3228/100</f>
        <v>0.22903278634400481</v>
      </c>
      <c r="AL202" s="171">
        <f>(Delivery[[#This Row],[BEN premium (total)]]/SUMIF(Allocation!C:C,Delivery[Delivery ID],Allocation!H:H))/Delivery[[#This Row],[Exchange rate for premiums VS USD]]</f>
        <v>0.1373073704748132</v>
      </c>
      <c r="AM202" s="171">
        <f>Delivery[[#This Row],[Valor Prêmio Nespresso BEN por Kg (em US$)]]*60</f>
        <v>8.2384422284887915</v>
      </c>
      <c r="AN202" s="171">
        <f>Delivery[[#This Row],[Valor Prêmio Nespresso BEN por saca (em US$)]]/1.3228/100</f>
        <v>6.2280331331182277E-2</v>
      </c>
      <c r="AO202" s="171">
        <f>SUMIF(Allocation[Delivery ID],Delivery[[#This Row],[Delivery ID]],Allocation[Quantity allocated])*16*1.3228*Delivery[[#This Row],[Exchange rate VS USD]]/60</f>
        <v>5451.1231336320006</v>
      </c>
      <c r="AP202" s="171">
        <f>Delivery[[#This Row],[AAA Premium (total)]]</f>
        <v>7803.0370000000003</v>
      </c>
      <c r="AQ202" s="171">
        <f>Delivery[[#This Row],[Valor pago pelo Cluster]]-Delivery[[#This Row],[Valor efetivamente pago pela Nespresso]]</f>
        <v>2351.9138663679996</v>
      </c>
    </row>
    <row r="203" spans="1:43" ht="15.75">
      <c r="A203" s="174" t="s">
        <v>69</v>
      </c>
      <c r="B203" s="232" t="s">
        <v>68</v>
      </c>
      <c r="C203" s="157">
        <v>1</v>
      </c>
      <c r="D203" s="157" t="s">
        <v>468</v>
      </c>
      <c r="E203" s="177" t="s">
        <v>468</v>
      </c>
      <c r="F203" s="233" t="s">
        <v>543</v>
      </c>
      <c r="G203" s="234">
        <v>43402</v>
      </c>
      <c r="H203" s="157" t="s">
        <v>1452</v>
      </c>
      <c r="I203" s="236" t="s">
        <v>556</v>
      </c>
      <c r="J203" s="237">
        <v>5125</v>
      </c>
      <c r="K203" s="175" t="s">
        <v>61</v>
      </c>
      <c r="L203" s="175" t="s">
        <v>439</v>
      </c>
      <c r="M203" s="175" t="s">
        <v>1343</v>
      </c>
      <c r="N203" s="180"/>
      <c r="O203" s="177"/>
      <c r="P203" s="181">
        <v>0</v>
      </c>
      <c r="Q203" s="177">
        <v>43390</v>
      </c>
      <c r="R203" s="178">
        <v>449.62416000000002</v>
      </c>
      <c r="S203" s="179">
        <v>40233.136311812086</v>
      </c>
      <c r="T203" s="182" t="s">
        <v>45</v>
      </c>
      <c r="U203" s="183">
        <v>3.6734</v>
      </c>
      <c r="V203" s="179">
        <v>2185.35</v>
      </c>
      <c r="W203" s="179">
        <v>728.36368818791652</v>
      </c>
      <c r="X203" s="186" t="s">
        <v>45</v>
      </c>
      <c r="Y203" s="183">
        <v>3.6734</v>
      </c>
      <c r="Z203" s="220" t="s">
        <v>473</v>
      </c>
      <c r="AA203" s="172">
        <f>Delivery[[#This Row],[Quantity delivered]]*VLOOKUP(Delivery[[#This Row],[Unit]],Tab_Conversão[],4,FALSE)*VLOOKUP(CONCATENATE(Delivery[[#This Row],[Coffee specie]],Delivery[[#This Row],[Coffee state]]),Tab_Conversão[],4,FALSE)</f>
        <v>5125</v>
      </c>
      <c r="AB203" s="169">
        <f>SUMIF(Allocation!C:C,Delivery[[#This Row],[Delivery ID]],Allocation!D:D)/Delivery[[#This Row],[Quantity delivered]]</f>
        <v>0.70536585365853655</v>
      </c>
      <c r="AC203" s="170">
        <f>Delivery[[#This Row],[Quantity delivered]]*Delivery[[#This Row],[Base price (Unidad)]]/60</f>
        <v>38405.397000000004</v>
      </c>
      <c r="AD203" s="171">
        <f>Delivery[[#This Row],[Nespresso total]]-Delivery[[#This Row],[Qt. Delivery * Base Price]]</f>
        <v>1827.7393118120817</v>
      </c>
      <c r="AE203" s="171">
        <f>Delivery[[#This Row],[AAA Premium (total)]]/Delivery[[#This Row],[Quantity delivered]]*60/Delivery[[#This Row],[Exchange rate VS USD]]</f>
        <v>6.9648242407180421</v>
      </c>
      <c r="AF203" s="171">
        <f>Delivery[[#This Row],[BEN premium (total)]]/Delivery[[#This Row],[Quantity delivered]]*60/Delivery[[#This Row],[Exchange rate for premiums VS USD]]</f>
        <v>2.3213329999999996</v>
      </c>
      <c r="AG203" s="171">
        <f>COUNTIF(Delivery[Delivery ID],Delivery[[#This Row],[Delivery ID]])</f>
        <v>1</v>
      </c>
      <c r="AH203" s="171">
        <f>(Delivery[[#This Row],[Nespresso total]]/SUMIF(Allocation!C:C,Delivery[Delivery ID],Allocation!H:H))/Delivery[[#This Row],[Exchange rate VS USD]]</f>
        <v>8.658150715788409</v>
      </c>
      <c r="AI203" s="171">
        <f>(Delivery[[#This Row],[AAA Premium (total)]]/SUMIF(Allocation!C:C,Delivery[Delivery ID],Allocation!H:H))/Delivery[[#This Row],[Exchange rate VS USD]]</f>
        <v>0.47028622178761487</v>
      </c>
      <c r="AJ203" s="171">
        <f>Delivery[[#This Row],[Valor Prêmio Nespresso AAA por Kg (em US$)]]*60</f>
        <v>28.217173307256893</v>
      </c>
      <c r="AK203" s="171">
        <f>Delivery[[#This Row],[Valor Prêmio Nespresso AAA por saca (em US$)]]/1.3228/100</f>
        <v>0.21331398024838896</v>
      </c>
      <c r="AL203" s="171">
        <f>(Delivery[[#This Row],[BEN premium (total)]]/SUMIF(Allocation!C:C,Delivery[Delivery ID],Allocation!H:H))/Delivery[[#This Row],[Exchange rate for premiums VS USD]]</f>
        <v>0.15674349967061921</v>
      </c>
      <c r="AM203" s="171">
        <f>Delivery[[#This Row],[Valor Prêmio Nespresso BEN por Kg (em US$)]]*60</f>
        <v>9.4046099802371526</v>
      </c>
      <c r="AN203" s="171">
        <f>Delivery[[#This Row],[Valor Prêmio Nespresso BEN por saca (em US$)]]/1.3228/100</f>
        <v>7.1096235109140857E-2</v>
      </c>
      <c r="AO203" s="171">
        <f>SUMIF(Allocation[Delivery ID],Delivery[[#This Row],[Delivery ID]],Allocation[Quantity allocated])*16*1.3228*Delivery[[#This Row],[Exchange rate VS USD]]/60</f>
        <v>1639.1612007466667</v>
      </c>
      <c r="AP203" s="171">
        <f>Delivery[[#This Row],[AAA Premium (total)]]</f>
        <v>2185.35</v>
      </c>
      <c r="AQ203" s="171">
        <f>Delivery[[#This Row],[Valor pago pelo Cluster]]-Delivery[[#This Row],[Valor efetivamente pago pela Nespresso]]</f>
        <v>546.18879925333317</v>
      </c>
    </row>
    <row r="204" spans="1:43" ht="15.75">
      <c r="A204" s="174" t="s">
        <v>69</v>
      </c>
      <c r="B204" s="232" t="s">
        <v>68</v>
      </c>
      <c r="C204" s="157">
        <v>1</v>
      </c>
      <c r="D204" s="157" t="s">
        <v>468</v>
      </c>
      <c r="E204" s="177" t="s">
        <v>468</v>
      </c>
      <c r="F204" s="233" t="s">
        <v>543</v>
      </c>
      <c r="G204" s="234">
        <v>43402</v>
      </c>
      <c r="H204" s="157" t="s">
        <v>1453</v>
      </c>
      <c r="I204" s="236" t="s">
        <v>556</v>
      </c>
      <c r="J204" s="237">
        <v>18450</v>
      </c>
      <c r="K204" s="175" t="s">
        <v>61</v>
      </c>
      <c r="L204" s="175" t="s">
        <v>439</v>
      </c>
      <c r="M204" s="175" t="s">
        <v>1343</v>
      </c>
      <c r="N204" s="180"/>
      <c r="O204" s="177"/>
      <c r="P204" s="185">
        <v>0</v>
      </c>
      <c r="Q204" s="177">
        <v>43390</v>
      </c>
      <c r="R204" s="178">
        <v>449.62416000000002</v>
      </c>
      <c r="S204" s="179">
        <v>145803.09072252348</v>
      </c>
      <c r="T204" s="182" t="s">
        <v>45</v>
      </c>
      <c r="U204" s="183">
        <v>3.6734</v>
      </c>
      <c r="V204" s="179">
        <v>7918.68</v>
      </c>
      <c r="W204" s="179">
        <v>2622.1092774764993</v>
      </c>
      <c r="X204" s="186" t="s">
        <v>45</v>
      </c>
      <c r="Y204" s="183">
        <v>3.6734</v>
      </c>
      <c r="Z204" s="220" t="s">
        <v>473</v>
      </c>
      <c r="AA204" s="172">
        <f>Delivery[[#This Row],[Quantity delivered]]*VLOOKUP(Delivery[[#This Row],[Unit]],Tab_Conversão[],4,FALSE)*VLOOKUP(CONCATENATE(Delivery[[#This Row],[Coffee specie]],Delivery[[#This Row],[Coffee state]]),Tab_Conversão[],4,FALSE)</f>
        <v>18450</v>
      </c>
      <c r="AB204" s="169">
        <f>SUMIF(Allocation!C:C,Delivery[[#This Row],[Delivery ID]],Allocation!D:D)/Delivery[[#This Row],[Quantity delivered]]</f>
        <v>0.70867208672086723</v>
      </c>
      <c r="AC204" s="170">
        <f>Delivery[[#This Row],[Quantity delivered]]*Delivery[[#This Row],[Base price (Unidad)]]/60</f>
        <v>138259.42920000001</v>
      </c>
      <c r="AD204" s="171">
        <f>Delivery[[#This Row],[Nespresso total]]-Delivery[[#This Row],[Qt. Delivery * Base Price]]</f>
        <v>7543.6615225234709</v>
      </c>
      <c r="AE204" s="171">
        <f>Delivery[[#This Row],[AAA Premium (total)]]/Delivery[[#This Row],[Quantity delivered]]*60/Delivery[[#This Row],[Exchange rate VS USD]]</f>
        <v>7.0103459677815598</v>
      </c>
      <c r="AF204" s="171">
        <f>Delivery[[#This Row],[BEN premium (total)]]/Delivery[[#This Row],[Quantity delivered]]*60/Delivery[[#This Row],[Exchange rate for premiums VS USD]]</f>
        <v>2.3213329999999996</v>
      </c>
      <c r="AG204" s="171">
        <f>COUNTIF(Delivery[Delivery ID],Delivery[[#This Row],[Delivery ID]])</f>
        <v>1</v>
      </c>
      <c r="AH204" s="171">
        <f>(Delivery[[#This Row],[Nespresso total]]/SUMIF(Allocation!C:C,Delivery[Delivery ID],Allocation!H:H))/Delivery[[#This Row],[Exchange rate VS USD]]</f>
        <v>8.6738616899929202</v>
      </c>
      <c r="AI204" s="171">
        <f>(Delivery[[#This Row],[AAA Premium (total)]]/SUMIF(Allocation!C:C,Delivery[Delivery ID],Allocation!H:H))/Delivery[[#This Row],[Exchange rate VS USD]]</f>
        <v>0.47108421877028622</v>
      </c>
      <c r="AJ204" s="171">
        <f>Delivery[[#This Row],[Valor Prêmio Nespresso AAA por Kg (em US$)]]*60</f>
        <v>28.265053126217172</v>
      </c>
      <c r="AK204" s="171">
        <f>Delivery[[#This Row],[Valor Prêmio Nespresso AAA por saca (em US$)]]/1.3228/100</f>
        <v>0.21367593835967016</v>
      </c>
      <c r="AL204" s="171">
        <f>(Delivery[[#This Row],[BEN premium (total)]]/SUMIF(Allocation!C:C,Delivery[Delivery ID],Allocation!H:H))/Delivery[[#This Row],[Exchange rate for premiums VS USD]]</f>
        <v>0.15598992515297197</v>
      </c>
      <c r="AM204" s="171">
        <f>Delivery[[#This Row],[Valor Prêmio Nespresso BEN por Kg (em US$)]]*60</f>
        <v>9.3593955091783183</v>
      </c>
      <c r="AN204" s="171">
        <f>Delivery[[#This Row],[Valor Prêmio Nespresso BEN por saca (em US$)]]/1.3228/100</f>
        <v>7.0754426286500735E-2</v>
      </c>
      <c r="AO204" s="171">
        <f>SUMIF(Allocation[Delivery ID],Delivery[[#This Row],[Delivery ID]],Allocation[Quantity allocated])*16*1.3228*Delivery[[#This Row],[Exchange rate VS USD]]/60</f>
        <v>5929.4874740053338</v>
      </c>
      <c r="AP204" s="171">
        <f>Delivery[[#This Row],[AAA Premium (total)]]</f>
        <v>7918.68</v>
      </c>
      <c r="AQ204" s="171">
        <f>Delivery[[#This Row],[Valor pago pelo Cluster]]-Delivery[[#This Row],[Valor efetivamente pago pela Nespresso]]</f>
        <v>1989.1925259946665</v>
      </c>
    </row>
    <row r="205" spans="1:43" ht="15.75">
      <c r="A205" s="174" t="s">
        <v>69</v>
      </c>
      <c r="B205" s="232" t="s">
        <v>68</v>
      </c>
      <c r="C205" s="157">
        <v>1</v>
      </c>
      <c r="D205" s="157" t="s">
        <v>468</v>
      </c>
      <c r="E205" s="177" t="s">
        <v>468</v>
      </c>
      <c r="F205" s="233" t="s">
        <v>543</v>
      </c>
      <c r="G205" s="234">
        <v>43402</v>
      </c>
      <c r="H205" s="157" t="s">
        <v>1454</v>
      </c>
      <c r="I205" s="236" t="s">
        <v>556</v>
      </c>
      <c r="J205" s="237">
        <v>18150</v>
      </c>
      <c r="K205" s="175" t="s">
        <v>61</v>
      </c>
      <c r="L205" s="175" t="s">
        <v>439</v>
      </c>
      <c r="M205" s="175" t="s">
        <v>1343</v>
      </c>
      <c r="N205" s="180"/>
      <c r="O205" s="177"/>
      <c r="P205" s="185">
        <v>0</v>
      </c>
      <c r="Q205" s="177">
        <v>43390</v>
      </c>
      <c r="R205" s="178">
        <v>449.62416000000002</v>
      </c>
      <c r="S205" s="179">
        <v>143436.22664573448</v>
      </c>
      <c r="T205" s="182" t="s">
        <v>45</v>
      </c>
      <c r="U205" s="183">
        <v>3.6734</v>
      </c>
      <c r="V205" s="179">
        <v>7790.13</v>
      </c>
      <c r="W205" s="179">
        <v>2579.4733542654994</v>
      </c>
      <c r="X205" s="186" t="s">
        <v>45</v>
      </c>
      <c r="Y205" s="183">
        <v>3.6734</v>
      </c>
      <c r="Z205" s="220" t="s">
        <v>473</v>
      </c>
      <c r="AA205" s="172">
        <f>Delivery[[#This Row],[Quantity delivered]]*VLOOKUP(Delivery[[#This Row],[Unit]],Tab_Conversão[],4,FALSE)*VLOOKUP(CONCATENATE(Delivery[[#This Row],[Coffee specie]],Delivery[[#This Row],[Coffee state]]),Tab_Conversão[],4,FALSE)</f>
        <v>18150</v>
      </c>
      <c r="AB205" s="169">
        <f>SUMIF(Allocation!C:C,Delivery[[#This Row],[Delivery ID]],Allocation!D:D)/Delivery[[#This Row],[Quantity delivered]]</f>
        <v>0.7089807162534435</v>
      </c>
      <c r="AC205" s="170">
        <f>Delivery[[#This Row],[Quantity delivered]]*Delivery[[#This Row],[Base price (Unidad)]]/60</f>
        <v>136011.30840000001</v>
      </c>
      <c r="AD205" s="171">
        <f>Delivery[[#This Row],[Nespresso total]]-Delivery[[#This Row],[Qt. Delivery * Base Price]]</f>
        <v>7424.9182457344723</v>
      </c>
      <c r="AE205" s="171">
        <f>Delivery[[#This Row],[AAA Premium (total)]]/Delivery[[#This Row],[Quantity delivered]]*60/Delivery[[#This Row],[Exchange rate VS USD]]</f>
        <v>7.0105340740917388</v>
      </c>
      <c r="AF205" s="171">
        <f>Delivery[[#This Row],[BEN premium (total)]]/Delivery[[#This Row],[Quantity delivered]]*60/Delivery[[#This Row],[Exchange rate for premiums VS USD]]</f>
        <v>2.3213329999999996</v>
      </c>
      <c r="AG205" s="171">
        <f>COUNTIF(Delivery[Delivery ID],Delivery[[#This Row],[Delivery ID]])</f>
        <v>1</v>
      </c>
      <c r="AH205" s="171">
        <f>(Delivery[[#This Row],[Nespresso total]]/SUMIF(Allocation!C:C,Delivery[Delivery ID],Allocation!H:H))/Delivery[[#This Row],[Exchange rate VS USD]]</f>
        <v>8.6694640151286908</v>
      </c>
      <c r="AI205" s="171">
        <f>(Delivery[[#This Row],[AAA Premium (total)]]/SUMIF(Allocation!C:C,Delivery[Delivery ID],Allocation!H:H))/Delivery[[#This Row],[Exchange rate VS USD]]</f>
        <v>0.47084515040247582</v>
      </c>
      <c r="AJ205" s="171">
        <f>Delivery[[#This Row],[Valor Prêmio Nespresso AAA por Kg (em US$)]]*60</f>
        <v>28.250709024148549</v>
      </c>
      <c r="AK205" s="171">
        <f>Delivery[[#This Row],[Valor Prêmio Nespresso AAA por saca (em US$)]]/1.3228/100</f>
        <v>0.2135675009385285</v>
      </c>
      <c r="AL205" s="171">
        <f>(Delivery[[#This Row],[BEN premium (total)]]/SUMIF(Allocation!C:C,Delivery[Delivery ID],Allocation!H:H))/Delivery[[#This Row],[Exchange rate for premiums VS USD]]</f>
        <v>0.15590657915186498</v>
      </c>
      <c r="AM205" s="171">
        <f>Delivery[[#This Row],[Valor Prêmio Nespresso BEN por Kg (em US$)]]*60</f>
        <v>9.3543947491118988</v>
      </c>
      <c r="AN205" s="171">
        <f>Delivery[[#This Row],[Valor Prêmio Nespresso BEN por saca (em US$)]]/1.3228/100</f>
        <v>7.0716621931598875E-2</v>
      </c>
      <c r="AO205" s="171">
        <f>SUMIF(Allocation[Delivery ID],Delivery[[#This Row],[Delivery ID]],Allocation[Quantity allocated])*16*1.3228*Delivery[[#This Row],[Exchange rate VS USD]]/60</f>
        <v>5836.1913424213326</v>
      </c>
      <c r="AP205" s="171">
        <f>Delivery[[#This Row],[AAA Premium (total)]]</f>
        <v>7790.13</v>
      </c>
      <c r="AQ205" s="171">
        <f>Delivery[[#This Row],[Valor pago pelo Cluster]]-Delivery[[#This Row],[Valor efetivamente pago pela Nespresso]]</f>
        <v>1953.9386575786675</v>
      </c>
    </row>
    <row r="206" spans="1:43" ht="15.75">
      <c r="A206" s="174" t="s">
        <v>69</v>
      </c>
      <c r="B206" s="232" t="s">
        <v>68</v>
      </c>
      <c r="C206" s="157">
        <v>1</v>
      </c>
      <c r="D206" s="157" t="s">
        <v>468</v>
      </c>
      <c r="E206" s="177" t="s">
        <v>468</v>
      </c>
      <c r="F206" s="233" t="s">
        <v>543</v>
      </c>
      <c r="G206" s="234">
        <v>43402</v>
      </c>
      <c r="H206" s="157" t="s">
        <v>1455</v>
      </c>
      <c r="I206" s="236" t="s">
        <v>556</v>
      </c>
      <c r="J206" s="237">
        <v>17440</v>
      </c>
      <c r="K206" s="175" t="s">
        <v>61</v>
      </c>
      <c r="L206" s="175" t="s">
        <v>439</v>
      </c>
      <c r="M206" s="175" t="s">
        <v>1343</v>
      </c>
      <c r="N206" s="180"/>
      <c r="O206" s="177"/>
      <c r="P206" s="181">
        <v>0</v>
      </c>
      <c r="Q206" s="177">
        <v>43390</v>
      </c>
      <c r="R206" s="178">
        <v>449.62416000000002</v>
      </c>
      <c r="S206" s="179">
        <v>137754.33166400052</v>
      </c>
      <c r="T206" s="182" t="s">
        <v>45</v>
      </c>
      <c r="U206" s="183">
        <v>3.6734</v>
      </c>
      <c r="V206" s="179">
        <v>7481.6100000000006</v>
      </c>
      <c r="W206" s="179">
        <v>2478.5683359994664</v>
      </c>
      <c r="X206" s="186" t="s">
        <v>45</v>
      </c>
      <c r="Y206" s="183">
        <v>3.6734</v>
      </c>
      <c r="Z206" s="220" t="s">
        <v>473</v>
      </c>
      <c r="AA206" s="172">
        <f>Delivery[[#This Row],[Quantity delivered]]*VLOOKUP(Delivery[[#This Row],[Unit]],Tab_Conversão[],4,FALSE)*VLOOKUP(CONCATENATE(Delivery[[#This Row],[Coffee specie]],Delivery[[#This Row],[Coffee state]]),Tab_Conversão[],4,FALSE)</f>
        <v>17440</v>
      </c>
      <c r="AB206" s="169">
        <f>SUMIF(Allocation!C:C,Delivery[[#This Row],[Delivery ID]],Allocation!D:D)/Delivery[[#This Row],[Quantity delivered]]</f>
        <v>0.70991972477064225</v>
      </c>
      <c r="AC206" s="170">
        <f>Delivery[[#This Row],[Quantity delivered]]*Delivery[[#This Row],[Base price (Unidad)]]/60</f>
        <v>130690.75584</v>
      </c>
      <c r="AD206" s="171">
        <f>Delivery[[#This Row],[Nespresso total]]-Delivery[[#This Row],[Qt. Delivery * Base Price]]</f>
        <v>7063.5758240005234</v>
      </c>
      <c r="AE206" s="171">
        <f>Delivery[[#This Row],[AAA Premium (total)]]/Delivery[[#This Row],[Quantity delivered]]*60/Delivery[[#This Row],[Exchange rate VS USD]]</f>
        <v>7.0069918726395519</v>
      </c>
      <c r="AF206" s="171">
        <f>Delivery[[#This Row],[BEN premium (total)]]/Delivery[[#This Row],[Quantity delivered]]*60/Delivery[[#This Row],[Exchange rate for premiums VS USD]]</f>
        <v>2.3213330000000001</v>
      </c>
      <c r="AG206" s="171">
        <f>COUNTIF(Delivery[Delivery ID],Delivery[[#This Row],[Delivery ID]])</f>
        <v>1</v>
      </c>
      <c r="AH206" s="171">
        <f>(Delivery[[#This Row],[Nespresso total]]/SUMIF(Allocation!C:C,Delivery[Delivery ID],Allocation!H:H))/Delivery[[#This Row],[Exchange rate VS USD]]</f>
        <v>8.6546269626270789</v>
      </c>
      <c r="AI206" s="171">
        <f>(Delivery[[#This Row],[AAA Premium (total)]]/SUMIF(Allocation!C:C,Delivery[Delivery ID],Allocation!H:H))/Delivery[[#This Row],[Exchange rate VS USD]]</f>
        <v>0.47004361204259476</v>
      </c>
      <c r="AJ206" s="171">
        <f>Delivery[[#This Row],[Valor Prêmio Nespresso AAA por Kg (em US$)]]*60</f>
        <v>28.202616722555685</v>
      </c>
      <c r="AK206" s="171">
        <f>Delivery[[#This Row],[Valor Prêmio Nespresso AAA por saca (em US$)]]/1.3228/100</f>
        <v>0.21320393651765712</v>
      </c>
      <c r="AL206" s="171">
        <f>(Delivery[[#This Row],[BEN premium (total)]]/SUMIF(Allocation!C:C,Delivery[Delivery ID],Allocation!H:H))/Delivery[[#This Row],[Exchange rate for premiums VS USD]]</f>
        <v>0.15571985352719439</v>
      </c>
      <c r="AM206" s="171">
        <f>Delivery[[#This Row],[Valor Prêmio Nespresso BEN por Kg (em US$)]]*60</f>
        <v>9.3431912116316642</v>
      </c>
      <c r="AN206" s="171">
        <f>Delivery[[#This Row],[Valor Prêmio Nespresso BEN por saca (em US$)]]/1.3228/100</f>
        <v>7.063192630504736E-2</v>
      </c>
      <c r="AO206" s="171">
        <f>SUMIF(Allocation[Delivery ID],Delivery[[#This Row],[Delivery ID]],Allocation[Quantity allocated])*16*1.3228*Delivery[[#This Row],[Exchange rate VS USD]]/60</f>
        <v>5614.6130299093329</v>
      </c>
      <c r="AP206" s="171">
        <f>Delivery[[#This Row],[AAA Premium (total)]]</f>
        <v>7481.6100000000006</v>
      </c>
      <c r="AQ206" s="171">
        <f>Delivery[[#This Row],[Valor pago pelo Cluster]]-Delivery[[#This Row],[Valor efetivamente pago pela Nespresso]]</f>
        <v>1866.9969700906677</v>
      </c>
    </row>
    <row r="207" spans="1:43" ht="15.75">
      <c r="A207" s="174" t="s">
        <v>69</v>
      </c>
      <c r="B207" s="232" t="s">
        <v>68</v>
      </c>
      <c r="C207" s="157">
        <v>1</v>
      </c>
      <c r="D207" s="157" t="s">
        <v>468</v>
      </c>
      <c r="E207" s="176" t="s">
        <v>468</v>
      </c>
      <c r="F207" s="233" t="s">
        <v>543</v>
      </c>
      <c r="G207" s="234">
        <v>43416</v>
      </c>
      <c r="H207" s="235" t="s">
        <v>2127</v>
      </c>
      <c r="I207" s="236" t="s">
        <v>2128</v>
      </c>
      <c r="J207" s="237">
        <v>16420</v>
      </c>
      <c r="K207" s="175" t="s">
        <v>61</v>
      </c>
      <c r="L207" s="175" t="s">
        <v>439</v>
      </c>
      <c r="M207" s="175" t="s">
        <v>1343</v>
      </c>
      <c r="N207" s="180"/>
      <c r="O207" s="177"/>
      <c r="P207" s="181">
        <v>0</v>
      </c>
      <c r="Q207" s="177">
        <v>43411</v>
      </c>
      <c r="R207" s="178">
        <v>448.60205999999999</v>
      </c>
      <c r="S207" s="179">
        <v>121732.40666666668</v>
      </c>
      <c r="T207" s="182" t="s">
        <v>45</v>
      </c>
      <c r="U207" s="183">
        <v>3.7665999999999999</v>
      </c>
      <c r="V207" s="179">
        <v>10309.023333333334</v>
      </c>
      <c r="W207" s="179">
        <v>0</v>
      </c>
      <c r="X207" s="186" t="s">
        <v>45</v>
      </c>
      <c r="Y207" s="183">
        <v>3.7665999999999999</v>
      </c>
      <c r="Z207" s="220"/>
      <c r="AA207" s="172">
        <f>Delivery[[#This Row],[Quantity delivered]]*VLOOKUP(Delivery[[#This Row],[Unit]],Tab_Conversão[],4,FALSE)*VLOOKUP(CONCATENATE(Delivery[[#This Row],[Coffee specie]],Delivery[[#This Row],[Coffee state]]),Tab_Conversão[],4,FALSE)</f>
        <v>16420</v>
      </c>
      <c r="AB207" s="169">
        <f>SUMIF(Allocation!C:C,Delivery[[#This Row],[Delivery ID]],Allocation!D:D)/Delivery[[#This Row],[Quantity delivered]]</f>
        <v>0.10840438489646773</v>
      </c>
      <c r="AC207" s="170">
        <f>Delivery[[#This Row],[Quantity delivered]]*Delivery[[#This Row],[Base price (Unidad)]]/60</f>
        <v>122767.43042</v>
      </c>
      <c r="AD207" s="171">
        <f>Delivery[[#This Row],[Nespresso total]]-Delivery[[#This Row],[Qt. Delivery * Base Price]]</f>
        <v>-1035.0237533333275</v>
      </c>
      <c r="AE207" s="171">
        <f>Delivery[[#This Row],[AAA Premium (total)]]/Delivery[[#This Row],[Quantity delivered]]*60/Delivery[[#This Row],[Exchange rate VS USD]]</f>
        <v>10.001061965698508</v>
      </c>
      <c r="AF207" s="171">
        <f>Delivery[[#This Row],[BEN premium (total)]]/Delivery[[#This Row],[Quantity delivered]]*60/Delivery[[#This Row],[Exchange rate for premiums VS USD]]</f>
        <v>0</v>
      </c>
      <c r="AG207" s="171">
        <f>COUNTIF(Delivery[Delivery ID],Delivery[[#This Row],[Delivery ID]])</f>
        <v>1</v>
      </c>
      <c r="AH207" s="171">
        <f>(Delivery[[#This Row],[Nespresso total]]/SUMIF(Allocation!C:C,Delivery[Delivery ID],Allocation!H:H))/Delivery[[#This Row],[Exchange rate VS USD]]</f>
        <v>44.272479546855848</v>
      </c>
      <c r="AI207" s="171">
        <f>(Delivery[[#This Row],[AAA Premium (total)]]/SUMIF(Allocation!C:C,Delivery[Delivery ID],Allocation!H:H))/Delivery[[#This Row],[Exchange rate VS USD]]</f>
        <v>3.7492565633965644</v>
      </c>
      <c r="AJ207" s="171">
        <f>Delivery[[#This Row],[Valor Prêmio Nespresso AAA por Kg (em US$)]]*60</f>
        <v>224.95539380379387</v>
      </c>
      <c r="AK207" s="171">
        <f>Delivery[[#This Row],[Valor Prêmio Nespresso AAA por saca (em US$)]]/1.3228/100</f>
        <v>1.7006001950695031</v>
      </c>
      <c r="AL207" s="171">
        <f>(Delivery[[#This Row],[BEN premium (total)]]/SUMIF(Allocation!C:C,Delivery[Delivery ID],Allocation!H:H))/Delivery[[#This Row],[Exchange rate for premiums VS USD]]</f>
        <v>0</v>
      </c>
      <c r="AM207" s="171">
        <f>Delivery[[#This Row],[Valor Prêmio Nespresso BEN por Kg (em US$)]]*60</f>
        <v>0</v>
      </c>
      <c r="AN207" s="171">
        <f>Delivery[[#This Row],[Valor Prêmio Nespresso BEN por saca (em US$)]]/1.3228/100</f>
        <v>0</v>
      </c>
      <c r="AO207" s="171">
        <f>SUMIF(Allocation[Delivery ID],Delivery[[#This Row],[Delivery ID]],Allocation[Quantity allocated])*16*1.3228*Delivery[[#This Row],[Exchange rate VS USD]]/60</f>
        <v>969.91858410666669</v>
      </c>
      <c r="AP207" s="171">
        <f>Delivery[[#This Row],[AAA Premium (total)]]</f>
        <v>10309.023333333334</v>
      </c>
      <c r="AQ207" s="171">
        <f>Delivery[[#This Row],[Valor pago pelo Cluster]]-Delivery[[#This Row],[Valor efetivamente pago pela Nespresso]]</f>
        <v>9339.104749226668</v>
      </c>
    </row>
    <row r="208" spans="1:43" ht="15.75">
      <c r="A208" s="174" t="s">
        <v>69</v>
      </c>
      <c r="B208" s="232" t="s">
        <v>68</v>
      </c>
      <c r="C208" s="157">
        <v>1</v>
      </c>
      <c r="D208" s="157" t="s">
        <v>468</v>
      </c>
      <c r="E208" s="177" t="s">
        <v>468</v>
      </c>
      <c r="F208" s="233" t="s">
        <v>543</v>
      </c>
      <c r="G208" s="234">
        <v>43416</v>
      </c>
      <c r="H208" s="235" t="s">
        <v>2129</v>
      </c>
      <c r="I208" s="236" t="s">
        <v>2128</v>
      </c>
      <c r="J208" s="237">
        <v>16690</v>
      </c>
      <c r="K208" s="175" t="s">
        <v>61</v>
      </c>
      <c r="L208" s="175" t="s">
        <v>439</v>
      </c>
      <c r="M208" s="175" t="s">
        <v>1343</v>
      </c>
      <c r="N208" s="180"/>
      <c r="O208" s="177"/>
      <c r="P208" s="185">
        <v>0</v>
      </c>
      <c r="Q208" s="177">
        <v>43411</v>
      </c>
      <c r="R208" s="178">
        <v>448.60205999999999</v>
      </c>
      <c r="S208" s="179">
        <v>123734.09666666666</v>
      </c>
      <c r="T208" s="182" t="s">
        <v>45</v>
      </c>
      <c r="U208" s="183">
        <v>3.7665999999999999</v>
      </c>
      <c r="V208" s="179">
        <v>10478.538333333334</v>
      </c>
      <c r="W208" s="179">
        <v>0</v>
      </c>
      <c r="X208" s="186" t="s">
        <v>45</v>
      </c>
      <c r="Y208" s="183">
        <v>3.7665999999999999</v>
      </c>
      <c r="Z208" s="220"/>
      <c r="AA208" s="172">
        <f>Delivery[[#This Row],[Quantity delivered]]*VLOOKUP(Delivery[[#This Row],[Unit]],Tab_Conversão[],4,FALSE)*VLOOKUP(CONCATENATE(Delivery[[#This Row],[Coffee specie]],Delivery[[#This Row],[Coffee state]]),Tab_Conversão[],4,FALSE)</f>
        <v>16690</v>
      </c>
      <c r="AB208" s="169">
        <f>SUMIF(Allocation!C:C,Delivery[[#This Row],[Delivery ID]],Allocation!D:D)/Delivery[[#This Row],[Quantity delivered]]</f>
        <v>0.10820850808867585</v>
      </c>
      <c r="AC208" s="170">
        <f>Delivery[[#This Row],[Quantity delivered]]*Delivery[[#This Row],[Base price (Unidad)]]/60</f>
        <v>124786.13969000001</v>
      </c>
      <c r="AD208" s="171">
        <f>Delivery[[#This Row],[Nespresso total]]-Delivery[[#This Row],[Qt. Delivery * Base Price]]</f>
        <v>-1052.0430233333464</v>
      </c>
      <c r="AE208" s="171">
        <f>Delivery[[#This Row],[AAA Premium (total)]]/Delivery[[#This Row],[Quantity delivered]]*60/Delivery[[#This Row],[Exchange rate VS USD]]</f>
        <v>10.001061965698508</v>
      </c>
      <c r="AF208" s="171">
        <f>Delivery[[#This Row],[BEN premium (total)]]/Delivery[[#This Row],[Quantity delivered]]*60/Delivery[[#This Row],[Exchange rate for premiums VS USD]]</f>
        <v>0</v>
      </c>
      <c r="AG208" s="171">
        <f>COUNTIF(Delivery[Delivery ID],Delivery[[#This Row],[Delivery ID]])</f>
        <v>1</v>
      </c>
      <c r="AH208" s="171">
        <f>(Delivery[[#This Row],[Nespresso total]]/SUMIF(Allocation!C:C,Delivery[Delivery ID],Allocation!H:H))/Delivery[[#This Row],[Exchange rate VS USD]]</f>
        <v>44.332444802923554</v>
      </c>
      <c r="AI208" s="171">
        <f>(Delivery[[#This Row],[AAA Premium (total)]]/SUMIF(Allocation!C:C,Delivery[Delivery ID],Allocation!H:H))/Delivery[[#This Row],[Exchange rate VS USD]]</f>
        <v>3.7543347774968088</v>
      </c>
      <c r="AJ208" s="171">
        <f>Delivery[[#This Row],[Valor Prêmio Nespresso AAA por Kg (em US$)]]*60</f>
        <v>225.26008664980853</v>
      </c>
      <c r="AK208" s="171">
        <f>Delivery[[#This Row],[Valor Prêmio Nespresso AAA por saca (em US$)]]/1.3228/100</f>
        <v>1.7029035882205059</v>
      </c>
      <c r="AL208" s="171">
        <f>(Delivery[[#This Row],[BEN premium (total)]]/SUMIF(Allocation!C:C,Delivery[Delivery ID],Allocation!H:H))/Delivery[[#This Row],[Exchange rate for premiums VS USD]]</f>
        <v>0</v>
      </c>
      <c r="AM208" s="171">
        <f>Delivery[[#This Row],[Valor Prêmio Nespresso BEN por Kg (em US$)]]*60</f>
        <v>0</v>
      </c>
      <c r="AN208" s="171">
        <f>Delivery[[#This Row],[Valor Prêmio Nespresso BEN por saca (em US$)]]/1.3228/100</f>
        <v>0</v>
      </c>
      <c r="AO208" s="171">
        <f>SUMIF(Allocation[Delivery ID],Delivery[[#This Row],[Delivery ID]],Allocation[Quantity allocated])*16*1.3228*Delivery[[#This Row],[Exchange rate VS USD]]/60</f>
        <v>984.53379564799991</v>
      </c>
      <c r="AP208" s="171">
        <f>Delivery[[#This Row],[AAA Premium (total)]]</f>
        <v>10478.538333333334</v>
      </c>
      <c r="AQ208" s="171">
        <f>Delivery[[#This Row],[Valor pago pelo Cluster]]-Delivery[[#This Row],[Valor efetivamente pago pela Nespresso]]</f>
        <v>9494.0045376853341</v>
      </c>
    </row>
    <row r="209" spans="1:43" ht="15.75">
      <c r="A209" s="174" t="s">
        <v>69</v>
      </c>
      <c r="B209" s="232" t="s">
        <v>68</v>
      </c>
      <c r="C209" s="157">
        <v>1</v>
      </c>
      <c r="D209" s="157" t="s">
        <v>468</v>
      </c>
      <c r="E209" s="177" t="s">
        <v>468</v>
      </c>
      <c r="F209" s="233" t="s">
        <v>541</v>
      </c>
      <c r="G209" s="234">
        <v>43425</v>
      </c>
      <c r="H209" s="157" t="s">
        <v>1456</v>
      </c>
      <c r="I209" s="157" t="s">
        <v>699</v>
      </c>
      <c r="J209" s="237">
        <v>7188</v>
      </c>
      <c r="K209" s="175" t="s">
        <v>61</v>
      </c>
      <c r="L209" s="175" t="s">
        <v>439</v>
      </c>
      <c r="M209" s="175" t="s">
        <v>1343</v>
      </c>
      <c r="N209" s="180"/>
      <c r="O209" s="177"/>
      <c r="P209" s="181">
        <v>0</v>
      </c>
      <c r="Q209" s="177">
        <v>43418</v>
      </c>
      <c r="R209" s="178">
        <v>433.17082499999998</v>
      </c>
      <c r="S209" s="179">
        <v>50661.281764267675</v>
      </c>
      <c r="T209" s="182" t="s">
        <v>45</v>
      </c>
      <c r="U209" s="183">
        <v>3.7814999999999999</v>
      </c>
      <c r="V209" s="179">
        <v>3171.1659</v>
      </c>
      <c r="W209" s="179">
        <v>1081.6651178661598</v>
      </c>
      <c r="X209" s="186" t="s">
        <v>45</v>
      </c>
      <c r="Y209" s="183">
        <v>3.7814999999999999</v>
      </c>
      <c r="Z209" s="220" t="s">
        <v>473</v>
      </c>
      <c r="AA209" s="172">
        <f>Delivery[[#This Row],[Quantity delivered]]*VLOOKUP(Delivery[[#This Row],[Unit]],Tab_Conversão[],4,FALSE)*VLOOKUP(CONCATENATE(Delivery[[#This Row],[Coffee specie]],Delivery[[#This Row],[Coffee state]]),Tab_Conversão[],4,FALSE)</f>
        <v>7188</v>
      </c>
      <c r="AB209" s="169">
        <f>SUMIF(Allocation!C:C,Delivery[[#This Row],[Delivery ID]],Allocation!D:D)/Delivery[[#This Row],[Quantity delivered]]</f>
        <v>0.44003895381190872</v>
      </c>
      <c r="AC209" s="170">
        <f>Delivery[[#This Row],[Quantity delivered]]*Delivery[[#This Row],[Base price (Unidad)]]/60</f>
        <v>51893.864835</v>
      </c>
      <c r="AD209" s="171">
        <f>Delivery[[#This Row],[Nespresso total]]-Delivery[[#This Row],[Qt. Delivery * Base Price]]</f>
        <v>-1232.5830707323257</v>
      </c>
      <c r="AE209" s="171">
        <f>Delivery[[#This Row],[AAA Premium (total)]]/Delivery[[#This Row],[Quantity delivered]]*60/Delivery[[#This Row],[Exchange rate VS USD]]</f>
        <v>7</v>
      </c>
      <c r="AF209" s="171">
        <f>Delivery[[#This Row],[BEN premium (total)]]/Delivery[[#This Row],[Quantity delivered]]*60/Delivery[[#This Row],[Exchange rate for premiums VS USD]]</f>
        <v>2.3876567999999998</v>
      </c>
      <c r="AG209" s="171">
        <f>COUNTIF(Delivery[Delivery ID],Delivery[[#This Row],[Delivery ID]])</f>
        <v>1</v>
      </c>
      <c r="AH209" s="171">
        <f>(Delivery[[#This Row],[Nespresso total]]/SUMIF(Allocation!C:C,Delivery[Delivery ID],Allocation!H:H))/Delivery[[#This Row],[Exchange rate VS USD]]</f>
        <v>11.762194177458992</v>
      </c>
      <c r="AI209" s="171">
        <f>(Delivery[[#This Row],[AAA Premium (total)]]/SUMIF(Allocation!C:C,Delivery[Delivery ID],Allocation!H:H))/Delivery[[#This Row],[Exchange rate VS USD]]</f>
        <v>0.73625987708516238</v>
      </c>
      <c r="AJ209" s="171">
        <f>Delivery[[#This Row],[Valor Prêmio Nespresso AAA por Kg (em US$)]]*60</f>
        <v>44.175592625109743</v>
      </c>
      <c r="AK209" s="171">
        <f>Delivery[[#This Row],[Valor Prêmio Nespresso AAA por saca (em US$)]]/1.3228/100</f>
        <v>0.33395519069481211</v>
      </c>
      <c r="AL209" s="171">
        <f>(Delivery[[#This Row],[BEN premium (total)]]/SUMIF(Allocation!C:C,Delivery[Delivery ID],Allocation!H:H))/Delivery[[#This Row],[Exchange rate for premiums VS USD]]</f>
        <v>0.2511337002985074</v>
      </c>
      <c r="AM209" s="171">
        <f>Delivery[[#This Row],[Valor Prêmio Nespresso BEN por Kg (em US$)]]*60</f>
        <v>15.068022017910444</v>
      </c>
      <c r="AN209" s="171">
        <f>Delivery[[#This Row],[Valor Prêmio Nespresso BEN por saca (em US$)]]/1.3228/100</f>
        <v>0.11391005456539496</v>
      </c>
      <c r="AO209" s="171">
        <f>SUMIF(Allocation[Delivery ID],Delivery[[#This Row],[Delivery ID]],Allocation[Quantity allocated])*16*1.3228*Delivery[[#This Row],[Exchange rate VS USD]]/60</f>
        <v>1519.3252212800001</v>
      </c>
      <c r="AP209" s="171">
        <f>Delivery[[#This Row],[AAA Premium (total)]]</f>
        <v>3171.1659</v>
      </c>
      <c r="AQ209" s="171">
        <f>Delivery[[#This Row],[Valor pago pelo Cluster]]-Delivery[[#This Row],[Valor efetivamente pago pela Nespresso]]</f>
        <v>1651.8406787199999</v>
      </c>
    </row>
    <row r="210" spans="1:43" ht="15.75">
      <c r="A210" s="174" t="s">
        <v>69</v>
      </c>
      <c r="B210" s="232" t="s">
        <v>68</v>
      </c>
      <c r="C210" s="157">
        <v>1</v>
      </c>
      <c r="D210" s="157" t="s">
        <v>468</v>
      </c>
      <c r="E210" s="177" t="s">
        <v>468</v>
      </c>
      <c r="F210" s="233" t="s">
        <v>541</v>
      </c>
      <c r="G210" s="234">
        <v>43425</v>
      </c>
      <c r="H210" s="157" t="s">
        <v>1457</v>
      </c>
      <c r="I210" s="157" t="s">
        <v>699</v>
      </c>
      <c r="J210" s="237">
        <v>15085</v>
      </c>
      <c r="K210" s="175" t="s">
        <v>61</v>
      </c>
      <c r="L210" s="175" t="s">
        <v>439</v>
      </c>
      <c r="M210" s="175" t="s">
        <v>1343</v>
      </c>
      <c r="N210" s="180"/>
      <c r="O210" s="177"/>
      <c r="P210" s="181">
        <v>0</v>
      </c>
      <c r="Q210" s="177">
        <v>43418</v>
      </c>
      <c r="R210" s="178">
        <v>433.17082499999998</v>
      </c>
      <c r="S210" s="179">
        <v>106319.6209535306</v>
      </c>
      <c r="T210" s="182" t="s">
        <v>45</v>
      </c>
      <c r="U210" s="183">
        <v>3.7814999999999999</v>
      </c>
      <c r="V210" s="179">
        <v>6655.1248749999995</v>
      </c>
      <c r="W210" s="179">
        <v>2270.0220232346996</v>
      </c>
      <c r="X210" s="186" t="s">
        <v>45</v>
      </c>
      <c r="Y210" s="183">
        <v>3.7814999999999999</v>
      </c>
      <c r="Z210" s="220" t="s">
        <v>473</v>
      </c>
      <c r="AA210" s="172">
        <f>Delivery[[#This Row],[Quantity delivered]]*VLOOKUP(Delivery[[#This Row],[Unit]],Tab_Conversão[],4,FALSE)*VLOOKUP(CONCATENATE(Delivery[[#This Row],[Coffee specie]],Delivery[[#This Row],[Coffee state]]),Tab_Conversão[],4,FALSE)</f>
        <v>15085</v>
      </c>
      <c r="AB210" s="169">
        <f>SUMIF(Allocation!C:C,Delivery[[#This Row],[Delivery ID]],Allocation!D:D)/Delivery[[#This Row],[Quantity delivered]]</f>
        <v>0.43864766324163074</v>
      </c>
      <c r="AC210" s="170">
        <f>Delivery[[#This Row],[Quantity delivered]]*Delivery[[#This Row],[Base price (Unidad)]]/60</f>
        <v>108906.36491875</v>
      </c>
      <c r="AD210" s="171">
        <f>Delivery[[#This Row],[Nespresso total]]-Delivery[[#This Row],[Qt. Delivery * Base Price]]</f>
        <v>-2586.7439652194007</v>
      </c>
      <c r="AE210" s="171">
        <f>Delivery[[#This Row],[AAA Premium (total)]]/Delivery[[#This Row],[Quantity delivered]]*60/Delivery[[#This Row],[Exchange rate VS USD]]</f>
        <v>7</v>
      </c>
      <c r="AF210" s="171">
        <f>Delivery[[#This Row],[BEN premium (total)]]/Delivery[[#This Row],[Quantity delivered]]*60/Delivery[[#This Row],[Exchange rate for premiums VS USD]]</f>
        <v>2.3876567999999998</v>
      </c>
      <c r="AG210" s="171">
        <f>COUNTIF(Delivery[Delivery ID],Delivery[[#This Row],[Delivery ID]])</f>
        <v>1</v>
      </c>
      <c r="AH210" s="171">
        <f>(Delivery[[#This Row],[Nespresso total]]/SUMIF(Allocation!C:C,Delivery[Delivery ID],Allocation!H:H))/Delivery[[#This Row],[Exchange rate VS USD]]</f>
        <v>11.803411761414651</v>
      </c>
      <c r="AI210" s="171">
        <f>(Delivery[[#This Row],[AAA Premium (total)]]/SUMIF(Allocation!C:C,Delivery[Delivery ID],Allocation!H:H))/Delivery[[#This Row],[Exchange rate VS USD]]</f>
        <v>0.73883991043940667</v>
      </c>
      <c r="AJ210" s="171">
        <f>Delivery[[#This Row],[Valor Prêmio Nespresso AAA por Kg (em US$)]]*60</f>
        <v>44.330394626364402</v>
      </c>
      <c r="AK210" s="171">
        <f>Delivery[[#This Row],[Valor Prêmio Nespresso AAA por saca (em US$)]]/1.3228/100</f>
        <v>0.33512545075872696</v>
      </c>
      <c r="AL210" s="171">
        <f>(Delivery[[#This Row],[BEN premium (total)]]/SUMIF(Allocation!C:C,Delivery[Delivery ID],Allocation!H:H))/Delivery[[#This Row],[Exchange rate for premiums VS USD]]</f>
        <v>0.25201373375314856</v>
      </c>
      <c r="AM210" s="171">
        <f>Delivery[[#This Row],[Valor Prêmio Nespresso BEN por Kg (em US$)]]*60</f>
        <v>15.120824025188913</v>
      </c>
      <c r="AN210" s="171">
        <f>Delivery[[#This Row],[Valor Prêmio Nespresso BEN por saca (em US$)]]/1.3228/100</f>
        <v>0.11430922305101991</v>
      </c>
      <c r="AO210" s="171">
        <f>SUMIF(Allocation[Delivery ID],Delivery[[#This Row],[Delivery ID]],Allocation[Quantity allocated])*16*1.3228*Delivery[[#This Row],[Exchange rate VS USD]]/60</f>
        <v>3177.3772406399999</v>
      </c>
      <c r="AP210" s="171">
        <f>Delivery[[#This Row],[AAA Premium (total)]]</f>
        <v>6655.1248749999995</v>
      </c>
      <c r="AQ210" s="171">
        <f>Delivery[[#This Row],[Valor pago pelo Cluster]]-Delivery[[#This Row],[Valor efetivamente pago pela Nespresso]]</f>
        <v>3477.7476343599997</v>
      </c>
    </row>
    <row r="211" spans="1:43" ht="15.75">
      <c r="A211" s="174" t="s">
        <v>69</v>
      </c>
      <c r="B211" s="232" t="s">
        <v>68</v>
      </c>
      <c r="C211" s="157">
        <v>1</v>
      </c>
      <c r="D211" s="157" t="s">
        <v>468</v>
      </c>
      <c r="E211" s="177" t="s">
        <v>468</v>
      </c>
      <c r="F211" s="233" t="s">
        <v>541</v>
      </c>
      <c r="G211" s="234">
        <v>43425</v>
      </c>
      <c r="H211" s="157" t="s">
        <v>1458</v>
      </c>
      <c r="I211" s="157" t="s">
        <v>699</v>
      </c>
      <c r="J211" s="237">
        <v>12070</v>
      </c>
      <c r="K211" s="175" t="s">
        <v>61</v>
      </c>
      <c r="L211" s="175" t="s">
        <v>439</v>
      </c>
      <c r="M211" s="175" t="s">
        <v>1343</v>
      </c>
      <c r="N211" s="180" t="s">
        <v>483</v>
      </c>
      <c r="O211" s="177"/>
      <c r="P211" s="185">
        <v>0</v>
      </c>
      <c r="Q211" s="177">
        <v>43418</v>
      </c>
      <c r="R211" s="178">
        <v>433.17082499999998</v>
      </c>
      <c r="S211" s="179">
        <v>85069.792834545209</v>
      </c>
      <c r="T211" s="182" t="s">
        <v>45</v>
      </c>
      <c r="U211" s="183">
        <v>3.7814999999999999</v>
      </c>
      <c r="V211" s="179">
        <v>5324.98225</v>
      </c>
      <c r="W211" s="179">
        <v>1816.3185827273996</v>
      </c>
      <c r="X211" s="186" t="s">
        <v>45</v>
      </c>
      <c r="Y211" s="183">
        <v>3.7814999999999999</v>
      </c>
      <c r="Z211" s="220" t="s">
        <v>473</v>
      </c>
      <c r="AA211" s="172">
        <f>Delivery[[#This Row],[Quantity delivered]]*VLOOKUP(Delivery[[#This Row],[Unit]],Tab_Conversão[],4,FALSE)*VLOOKUP(CONCATENATE(Delivery[[#This Row],[Coffee specie]],Delivery[[#This Row],[Coffee state]]),Tab_Conversão[],4,FALSE)</f>
        <v>12070</v>
      </c>
      <c r="AB211" s="169">
        <f>SUMIF(Allocation!C:C,Delivery[[#This Row],[Delivery ID]],Allocation!D:D)/Delivery[[#This Row],[Quantity delivered]]</f>
        <v>0.43885666942833473</v>
      </c>
      <c r="AC211" s="170">
        <f>Delivery[[#This Row],[Quantity delivered]]*Delivery[[#This Row],[Base price (Unidad)]]/60</f>
        <v>87139.530962499994</v>
      </c>
      <c r="AD211" s="171">
        <f>Delivery[[#This Row],[Nespresso total]]-Delivery[[#This Row],[Qt. Delivery * Base Price]]</f>
        <v>-2069.7381279547844</v>
      </c>
      <c r="AE211" s="171">
        <f>Delivery[[#This Row],[AAA Premium (total)]]/Delivery[[#This Row],[Quantity delivered]]*60/Delivery[[#This Row],[Exchange rate VS USD]]</f>
        <v>7</v>
      </c>
      <c r="AF211" s="171">
        <f>Delivery[[#This Row],[BEN premium (total)]]/Delivery[[#This Row],[Quantity delivered]]*60/Delivery[[#This Row],[Exchange rate for premiums VS USD]]</f>
        <v>2.3876567999999998</v>
      </c>
      <c r="AG211" s="171">
        <f>COUNTIF(Delivery[Delivery ID],Delivery[[#This Row],[Delivery ID]])</f>
        <v>1</v>
      </c>
      <c r="AH211" s="171">
        <f>(Delivery[[#This Row],[Nespresso total]]/SUMIF(Allocation!C:C,Delivery[Delivery ID],Allocation!H:H))/Delivery[[#This Row],[Exchange rate VS USD]]</f>
        <v>11.796701149885823</v>
      </c>
      <c r="AI211" s="171">
        <f>(Delivery[[#This Row],[AAA Premium (total)]]/SUMIF(Allocation!C:C,Delivery[Delivery ID],Allocation!H:H))/Delivery[[#This Row],[Exchange rate VS USD]]</f>
        <v>0.73841985666841459</v>
      </c>
      <c r="AJ211" s="171">
        <f>Delivery[[#This Row],[Valor Prêmio Nespresso AAA por Kg (em US$)]]*60</f>
        <v>44.305191400104874</v>
      </c>
      <c r="AK211" s="171">
        <f>Delivery[[#This Row],[Valor Prêmio Nespresso AAA por saca (em US$)]]/1.3228/100</f>
        <v>0.33493492137968611</v>
      </c>
      <c r="AL211" s="171">
        <f>(Delivery[[#This Row],[BEN premium (total)]]/SUMIF(Allocation!C:C,Delivery[Delivery ID],Allocation!H:H))/Delivery[[#This Row],[Exchange rate for premiums VS USD]]</f>
        <v>0.251870456004195</v>
      </c>
      <c r="AM211" s="171">
        <f>Delivery[[#This Row],[Valor Prêmio Nespresso BEN por Kg (em US$)]]*60</f>
        <v>15.112227360251699</v>
      </c>
      <c r="AN211" s="171">
        <f>Delivery[[#This Row],[Valor Prêmio Nespresso BEN por saca (em US$)]]/1.3228/100</f>
        <v>0.11424423465566752</v>
      </c>
      <c r="AO211" s="171">
        <f>SUMIF(Allocation[Delivery ID],Delivery[[#This Row],[Delivery ID]],Allocation[Quantity allocated])*16*1.3228*Delivery[[#This Row],[Exchange rate VS USD]]/60</f>
        <v>2543.7692686399996</v>
      </c>
      <c r="AP211" s="171">
        <f>Delivery[[#This Row],[AAA Premium (total)]]</f>
        <v>5324.98225</v>
      </c>
      <c r="AQ211" s="171">
        <f>Delivery[[#This Row],[Valor pago pelo Cluster]]-Delivery[[#This Row],[Valor efetivamente pago pela Nespresso]]</f>
        <v>2781.2129813600004</v>
      </c>
    </row>
    <row r="212" spans="1:43" ht="15.75">
      <c r="A212" s="174" t="s">
        <v>69</v>
      </c>
      <c r="B212" s="232" t="s">
        <v>68</v>
      </c>
      <c r="C212" s="157">
        <v>1</v>
      </c>
      <c r="D212" s="157" t="s">
        <v>468</v>
      </c>
      <c r="E212" s="177" t="s">
        <v>468</v>
      </c>
      <c r="F212" s="233" t="s">
        <v>541</v>
      </c>
      <c r="G212" s="234">
        <v>43425</v>
      </c>
      <c r="H212" s="157" t="s">
        <v>1459</v>
      </c>
      <c r="I212" s="157" t="s">
        <v>699</v>
      </c>
      <c r="J212" s="237">
        <v>10433</v>
      </c>
      <c r="K212" s="175" t="s">
        <v>61</v>
      </c>
      <c r="L212" s="175" t="s">
        <v>439</v>
      </c>
      <c r="M212" s="175" t="s">
        <v>1343</v>
      </c>
      <c r="N212" s="180"/>
      <c r="O212" s="177"/>
      <c r="P212" s="185">
        <v>0</v>
      </c>
      <c r="Q212" s="177">
        <v>43418</v>
      </c>
      <c r="R212" s="178">
        <v>433.17082499999998</v>
      </c>
      <c r="S212" s="179">
        <v>73532.161131135887</v>
      </c>
      <c r="T212" s="182" t="s">
        <v>45</v>
      </c>
      <c r="U212" s="183">
        <v>3.7814999999999999</v>
      </c>
      <c r="V212" s="179">
        <v>4602.6899999999996</v>
      </c>
      <c r="W212" s="179">
        <v>1569.9794344320599</v>
      </c>
      <c r="X212" s="186" t="s">
        <v>45</v>
      </c>
      <c r="Y212" s="183">
        <v>3.7814999999999999</v>
      </c>
      <c r="Z212" s="220" t="s">
        <v>473</v>
      </c>
      <c r="AA212" s="172">
        <f>Delivery[[#This Row],[Quantity delivered]]*VLOOKUP(Delivery[[#This Row],[Unit]],Tab_Conversão[],4,FALSE)*VLOOKUP(CONCATENATE(Delivery[[#This Row],[Coffee specie]],Delivery[[#This Row],[Coffee state]]),Tab_Conversão[],4,FALSE)</f>
        <v>10433</v>
      </c>
      <c r="AB212" s="169">
        <f>SUMIF(Allocation!C:C,Delivery[[#This Row],[Delivery ID]],Allocation!D:D)/Delivery[[#This Row],[Quantity delivered]]</f>
        <v>0.43966260902904247</v>
      </c>
      <c r="AC212" s="170">
        <f>Delivery[[#This Row],[Quantity delivered]]*Delivery[[#This Row],[Base price (Unidad)]]/60</f>
        <v>75321.186953749988</v>
      </c>
      <c r="AD212" s="171">
        <f>Delivery[[#This Row],[Nespresso total]]-Delivery[[#This Row],[Qt. Delivery * Base Price]]</f>
        <v>-1789.0258226141013</v>
      </c>
      <c r="AE212" s="171">
        <f>Delivery[[#This Row],[AAA Premium (total)]]/Delivery[[#This Row],[Quantity delivered]]*60/Delivery[[#This Row],[Exchange rate VS USD]]</f>
        <v>6.9998649891662446</v>
      </c>
      <c r="AF212" s="171">
        <f>Delivery[[#This Row],[BEN premium (total)]]/Delivery[[#This Row],[Quantity delivered]]*60/Delivery[[#This Row],[Exchange rate for premiums VS USD]]</f>
        <v>2.3876567999999998</v>
      </c>
      <c r="AG212" s="171">
        <f>COUNTIF(Delivery[Delivery ID],Delivery[[#This Row],[Delivery ID]])</f>
        <v>1</v>
      </c>
      <c r="AH212" s="171">
        <f>(Delivery[[#This Row],[Nespresso total]]/SUMIF(Allocation!C:C,Delivery[Delivery ID],Allocation!H:H))/Delivery[[#This Row],[Exchange rate VS USD]]</f>
        <v>11.777853613917014</v>
      </c>
      <c r="AI212" s="171">
        <f>(Delivery[[#This Row],[AAA Premium (total)]]/SUMIF(Allocation!C:C,Delivery[Delivery ID],Allocation!H:H))/Delivery[[#This Row],[Exchange rate VS USD]]</f>
        <v>0.7372258371892938</v>
      </c>
      <c r="AJ212" s="171">
        <f>Delivery[[#This Row],[Valor Prêmio Nespresso AAA por Kg (em US$)]]*60</f>
        <v>44.233550231357626</v>
      </c>
      <c r="AK212" s="171">
        <f>Delivery[[#This Row],[Valor Prêmio Nespresso AAA por saca (em US$)]]/1.3228/100</f>
        <v>0.33439333407436966</v>
      </c>
      <c r="AL212" s="171">
        <f>(Delivery[[#This Row],[BEN premium (total)]]/SUMIF(Allocation!C:C,Delivery[Delivery ID],Allocation!H:H))/Delivery[[#This Row],[Exchange rate for premiums VS USD]]</f>
        <v>0.25146803345850999</v>
      </c>
      <c r="AM212" s="171">
        <f>Delivery[[#This Row],[Valor Prêmio Nespresso BEN por Kg (em US$)]]*60</f>
        <v>15.0880820075106</v>
      </c>
      <c r="AN212" s="171">
        <f>Delivery[[#This Row],[Valor Prêmio Nespresso BEN por saca (em US$)]]/1.3228/100</f>
        <v>0.11406170250612792</v>
      </c>
      <c r="AO212" s="171">
        <f>SUMIF(Allocation[Delivery ID],Delivery[[#This Row],[Delivery ID]],Allocation[Quantity allocated])*16*1.3228*Delivery[[#This Row],[Exchange rate VS USD]]/60</f>
        <v>2202.2879195199998</v>
      </c>
      <c r="AP212" s="171">
        <f>Delivery[[#This Row],[AAA Premium (total)]]</f>
        <v>4602.6899999999996</v>
      </c>
      <c r="AQ212" s="171">
        <f>Delivery[[#This Row],[Valor pago pelo Cluster]]-Delivery[[#This Row],[Valor efetivamente pago pela Nespresso]]</f>
        <v>2400.4020804799998</v>
      </c>
    </row>
    <row r="213" spans="1:43" ht="15.75">
      <c r="A213" s="174" t="s">
        <v>69</v>
      </c>
      <c r="B213" s="232" t="s">
        <v>68</v>
      </c>
      <c r="C213" s="157">
        <v>1</v>
      </c>
      <c r="D213" s="157" t="s">
        <v>468</v>
      </c>
      <c r="E213" s="177" t="s">
        <v>468</v>
      </c>
      <c r="F213" s="233" t="s">
        <v>541</v>
      </c>
      <c r="G213" s="234">
        <v>43425</v>
      </c>
      <c r="H213" s="157" t="s">
        <v>1460</v>
      </c>
      <c r="I213" s="157" t="s">
        <v>699</v>
      </c>
      <c r="J213" s="237">
        <v>2489</v>
      </c>
      <c r="K213" s="175" t="s">
        <v>61</v>
      </c>
      <c r="L213" s="175" t="s">
        <v>439</v>
      </c>
      <c r="M213" s="175" t="s">
        <v>1343</v>
      </c>
      <c r="N213" s="180"/>
      <c r="O213" s="177"/>
      <c r="P213" s="181">
        <v>0</v>
      </c>
      <c r="Q213" s="177">
        <v>43418</v>
      </c>
      <c r="R213" s="178">
        <v>433.17082499999998</v>
      </c>
      <c r="S213" s="179">
        <v>17542.561256436042</v>
      </c>
      <c r="T213" s="182" t="s">
        <v>45</v>
      </c>
      <c r="U213" s="183">
        <v>3.7814999999999999</v>
      </c>
      <c r="V213" s="179">
        <v>1098.0845749999999</v>
      </c>
      <c r="W213" s="179">
        <v>374.54987178197996</v>
      </c>
      <c r="X213" s="186" t="s">
        <v>45</v>
      </c>
      <c r="Y213" s="183">
        <v>3.7814999999999999</v>
      </c>
      <c r="Z213" s="220" t="s">
        <v>473</v>
      </c>
      <c r="AA213" s="172">
        <f>Delivery[[#This Row],[Quantity delivered]]*VLOOKUP(Delivery[[#This Row],[Unit]],Tab_Conversão[],4,FALSE)*VLOOKUP(CONCATENATE(Delivery[[#This Row],[Coffee specie]],Delivery[[#This Row],[Coffee state]]),Tab_Conversão[],4,FALSE)</f>
        <v>2489</v>
      </c>
      <c r="AB213" s="169">
        <f>SUMIF(Allocation!C:C,Delivery[[#This Row],[Delivery ID]],Allocation!D:D)/Delivery[[#This Row],[Quantity delivered]]</f>
        <v>1</v>
      </c>
      <c r="AC213" s="170">
        <f>Delivery[[#This Row],[Quantity delivered]]*Delivery[[#This Row],[Base price (Unidad)]]/60</f>
        <v>17969.369723749998</v>
      </c>
      <c r="AD213" s="171">
        <f>Delivery[[#This Row],[Nespresso total]]-Delivery[[#This Row],[Qt. Delivery * Base Price]]</f>
        <v>-426.8084673139565</v>
      </c>
      <c r="AE213" s="171">
        <f>Delivery[[#This Row],[AAA Premium (total)]]/Delivery[[#This Row],[Quantity delivered]]*60/Delivery[[#This Row],[Exchange rate VS USD]]</f>
        <v>6.9999999999999991</v>
      </c>
      <c r="AF213" s="171">
        <f>Delivery[[#This Row],[BEN premium (total)]]/Delivery[[#This Row],[Quantity delivered]]*60/Delivery[[#This Row],[Exchange rate for premiums VS USD]]</f>
        <v>2.3876567999999998</v>
      </c>
      <c r="AG213" s="171">
        <f>COUNTIF(Delivery[Delivery ID],Delivery[[#This Row],[Delivery ID]])</f>
        <v>1</v>
      </c>
      <c r="AH213" s="171">
        <f>(Delivery[[#This Row],[Nespresso total]]/SUMIF(Allocation!C:C,Delivery[Delivery ID],Allocation!H:H))/Delivery[[#This Row],[Exchange rate VS USD]]</f>
        <v>5.1775092958541231</v>
      </c>
      <c r="AI213" s="171">
        <f>(Delivery[[#This Row],[AAA Premium (total)]]/SUMIF(Allocation!C:C,Delivery[Delivery ID],Allocation!H:H))/Delivery[[#This Row],[Exchange rate VS USD]]</f>
        <v>0.32408854166666662</v>
      </c>
      <c r="AJ213" s="171">
        <f>Delivery[[#This Row],[Valor Prêmio Nespresso AAA por Kg (em US$)]]*60</f>
        <v>19.445312499999996</v>
      </c>
      <c r="AK213" s="171">
        <f>Delivery[[#This Row],[Valor Prêmio Nespresso AAA por saca (em US$)]]/1.3228/100</f>
        <v>0.14700115285757481</v>
      </c>
      <c r="AL213" s="171">
        <f>(Delivery[[#This Row],[BEN premium (total)]]/SUMIF(Allocation!C:C,Delivery[Delivery ID],Allocation!H:H))/Delivery[[#This Row],[Exchange rate for premiums VS USD]]</f>
        <v>0.11054460147321428</v>
      </c>
      <c r="AM213" s="171">
        <f>Delivery[[#This Row],[Valor Prêmio Nespresso BEN por Kg (em US$)]]*60</f>
        <v>6.6326760883928566</v>
      </c>
      <c r="AN213" s="171">
        <f>Delivery[[#This Row],[Valor Prêmio Nespresso BEN por saca (em US$)]]/1.3228/100</f>
        <v>5.0141186032604E-2</v>
      </c>
      <c r="AO213" s="171">
        <f>SUMIF(Allocation[Delivery ID],Delivery[[#This Row],[Delivery ID]],Allocation[Quantity allocated])*16*1.3228*Delivery[[#This Row],[Exchange rate VS USD]]/60</f>
        <v>1195.1847219199997</v>
      </c>
      <c r="AP213" s="171">
        <f>Delivery[[#This Row],[AAA Premium (total)]]</f>
        <v>1098.0845749999999</v>
      </c>
      <c r="AQ213" s="171">
        <f>Delivery[[#This Row],[Valor pago pelo Cluster]]-Delivery[[#This Row],[Valor efetivamente pago pela Nespresso]]</f>
        <v>-97.100146919999816</v>
      </c>
    </row>
    <row r="214" spans="1:43" ht="15.75">
      <c r="A214" s="174" t="s">
        <v>69</v>
      </c>
      <c r="B214" s="232" t="s">
        <v>68</v>
      </c>
      <c r="C214" s="157">
        <v>1</v>
      </c>
      <c r="D214" s="157" t="s">
        <v>468</v>
      </c>
      <c r="E214" s="176" t="s">
        <v>468</v>
      </c>
      <c r="F214" s="233" t="s">
        <v>541</v>
      </c>
      <c r="G214" s="234">
        <v>43425</v>
      </c>
      <c r="H214" s="157" t="s">
        <v>1461</v>
      </c>
      <c r="I214" s="157" t="s">
        <v>699</v>
      </c>
      <c r="J214" s="237">
        <v>2102</v>
      </c>
      <c r="K214" s="175" t="s">
        <v>61</v>
      </c>
      <c r="L214" s="175" t="s">
        <v>439</v>
      </c>
      <c r="M214" s="175" t="s">
        <v>1343</v>
      </c>
      <c r="N214" s="180"/>
      <c r="O214" s="177"/>
      <c r="P214" s="181">
        <v>0</v>
      </c>
      <c r="Q214" s="177">
        <v>43418</v>
      </c>
      <c r="R214" s="178">
        <v>433.17082499999998</v>
      </c>
      <c r="S214" s="179">
        <v>14814.971378476721</v>
      </c>
      <c r="T214" s="182" t="s">
        <v>45</v>
      </c>
      <c r="U214" s="183">
        <v>3.7814999999999999</v>
      </c>
      <c r="V214" s="179">
        <v>927.34984999999995</v>
      </c>
      <c r="W214" s="179">
        <v>316.31331076163997</v>
      </c>
      <c r="X214" s="186" t="s">
        <v>45</v>
      </c>
      <c r="Y214" s="183">
        <v>3.7814999999999999</v>
      </c>
      <c r="Z214" s="220" t="s">
        <v>473</v>
      </c>
      <c r="AA214" s="172">
        <f>Delivery[[#This Row],[Quantity delivered]]*VLOOKUP(Delivery[[#This Row],[Unit]],Tab_Conversão[],4,FALSE)*VLOOKUP(CONCATENATE(Delivery[[#This Row],[Coffee specie]],Delivery[[#This Row],[Coffee state]]),Tab_Conversão[],4,FALSE)</f>
        <v>2102</v>
      </c>
      <c r="AB214" s="169">
        <f>SUMIF(Allocation!C:C,Delivery[[#This Row],[Delivery ID]],Allocation!D:D)/Delivery[[#This Row],[Quantity delivered]]</f>
        <v>1</v>
      </c>
      <c r="AC214" s="170">
        <f>Delivery[[#This Row],[Quantity delivered]]*Delivery[[#This Row],[Base price (Unidad)]]/60</f>
        <v>15175.417902499999</v>
      </c>
      <c r="AD214" s="171">
        <f>Delivery[[#This Row],[Nespresso total]]-Delivery[[#This Row],[Qt. Delivery * Base Price]]</f>
        <v>-360.44652402327847</v>
      </c>
      <c r="AE214" s="171">
        <f>Delivery[[#This Row],[AAA Premium (total)]]/Delivery[[#This Row],[Quantity delivered]]*60/Delivery[[#This Row],[Exchange rate VS USD]]</f>
        <v>7</v>
      </c>
      <c r="AF214" s="171">
        <f>Delivery[[#This Row],[BEN premium (total)]]/Delivery[[#This Row],[Quantity delivered]]*60/Delivery[[#This Row],[Exchange rate for premiums VS USD]]</f>
        <v>2.3876567999999998</v>
      </c>
      <c r="AG214" s="171">
        <f>COUNTIF(Delivery[Delivery ID],Delivery[[#This Row],[Delivery ID]])</f>
        <v>1</v>
      </c>
      <c r="AH214" s="171">
        <f>(Delivery[[#This Row],[Nespresso total]]/SUMIF(Allocation!C:C,Delivery[Delivery ID],Allocation!H:H))/Delivery[[#This Row],[Exchange rate VS USD]]</f>
        <v>5.1549341247474629</v>
      </c>
      <c r="AI214" s="171">
        <f>(Delivery[[#This Row],[AAA Premium (total)]]/SUMIF(Allocation!C:C,Delivery[Delivery ID],Allocation!H:H))/Delivery[[#This Row],[Exchange rate VS USD]]</f>
        <v>0.32267543859649123</v>
      </c>
      <c r="AJ214" s="171">
        <f>Delivery[[#This Row],[Valor Prêmio Nespresso AAA por Kg (em US$)]]*60</f>
        <v>19.360526315789475</v>
      </c>
      <c r="AK214" s="171">
        <f>Delivery[[#This Row],[Valor Prêmio Nespresso AAA por saca (em US$)]]/1.3228/100</f>
        <v>0.14636019289226998</v>
      </c>
      <c r="AL214" s="171">
        <f>(Delivery[[#This Row],[BEN premium (total)]]/SUMIF(Allocation!C:C,Delivery[Delivery ID],Allocation!H:H))/Delivery[[#This Row],[Exchange rate for premiums VS USD]]</f>
        <v>0.1100626007368421</v>
      </c>
      <c r="AM214" s="171">
        <f>Delivery[[#This Row],[Valor Prêmio Nespresso BEN por Kg (em US$)]]*60</f>
        <v>6.6037560442105256</v>
      </c>
      <c r="AN214" s="171">
        <f>Delivery[[#This Row],[Valor Prêmio Nespresso BEN por saca (em US$)]]/1.3228/100</f>
        <v>4.992255854407715E-2</v>
      </c>
      <c r="AO214" s="171">
        <f>SUMIF(Allocation[Delivery ID],Delivery[[#This Row],[Delivery ID]],Allocation[Quantity allocated])*16*1.3228*Delivery[[#This Row],[Exchange rate VS USD]]/60</f>
        <v>1013.7727551999999</v>
      </c>
      <c r="AP214" s="171">
        <f>Delivery[[#This Row],[AAA Premium (total)]]</f>
        <v>927.34984999999995</v>
      </c>
      <c r="AQ214" s="171">
        <f>Delivery[[#This Row],[Valor pago pelo Cluster]]-Delivery[[#This Row],[Valor efetivamente pago pela Nespresso]]</f>
        <v>-86.422905199999946</v>
      </c>
    </row>
    <row r="215" spans="1:43" ht="15.75">
      <c r="A215" s="174" t="s">
        <v>69</v>
      </c>
      <c r="B215" s="232" t="s">
        <v>68</v>
      </c>
      <c r="C215" s="157">
        <v>1</v>
      </c>
      <c r="D215" s="157" t="s">
        <v>468</v>
      </c>
      <c r="E215" s="176" t="s">
        <v>468</v>
      </c>
      <c r="F215" s="233" t="s">
        <v>541</v>
      </c>
      <c r="G215" s="234">
        <v>43425</v>
      </c>
      <c r="H215" s="157" t="s">
        <v>1462</v>
      </c>
      <c r="I215" s="157" t="s">
        <v>699</v>
      </c>
      <c r="J215" s="237">
        <v>5097</v>
      </c>
      <c r="K215" s="175" t="s">
        <v>61</v>
      </c>
      <c r="L215" s="175" t="s">
        <v>439</v>
      </c>
      <c r="M215" s="175" t="s">
        <v>1343</v>
      </c>
      <c r="N215" s="180"/>
      <c r="O215" s="177"/>
      <c r="P215" s="181">
        <v>0</v>
      </c>
      <c r="Q215" s="177">
        <v>43418</v>
      </c>
      <c r="R215" s="178">
        <v>433.17082499999998</v>
      </c>
      <c r="S215" s="179">
        <v>35923.838780254926</v>
      </c>
      <c r="T215" s="182" t="s">
        <v>45</v>
      </c>
      <c r="U215" s="183">
        <v>3.7814999999999999</v>
      </c>
      <c r="V215" s="179">
        <v>2248.668975</v>
      </c>
      <c r="W215" s="179">
        <v>767.0071098725399</v>
      </c>
      <c r="X215" s="186" t="s">
        <v>45</v>
      </c>
      <c r="Y215" s="183">
        <v>3.7814999999999999</v>
      </c>
      <c r="Z215" s="220" t="s">
        <v>473</v>
      </c>
      <c r="AA215" s="172">
        <f>Delivery[[#This Row],[Quantity delivered]]*VLOOKUP(Delivery[[#This Row],[Unit]],Tab_Conversão[],4,FALSE)*VLOOKUP(CONCATENATE(Delivery[[#This Row],[Coffee specie]],Delivery[[#This Row],[Coffee state]]),Tab_Conversão[],4,FALSE)</f>
        <v>5097</v>
      </c>
      <c r="AB215" s="169">
        <f>SUMIF(Allocation!C:C,Delivery[[#This Row],[Delivery ID]],Allocation!D:D)/Delivery[[#This Row],[Quantity delivered]]</f>
        <v>0.44045516970767118</v>
      </c>
      <c r="AC215" s="170">
        <f>Delivery[[#This Row],[Quantity delivered]]*Delivery[[#This Row],[Base price (Unidad)]]/60</f>
        <v>36797.861583749996</v>
      </c>
      <c r="AD215" s="171">
        <f>Delivery[[#This Row],[Nespresso total]]-Delivery[[#This Row],[Qt. Delivery * Base Price]]</f>
        <v>-874.02280349507055</v>
      </c>
      <c r="AE215" s="171">
        <f>Delivery[[#This Row],[AAA Premium (total)]]/Delivery[[#This Row],[Quantity delivered]]*60/Delivery[[#This Row],[Exchange rate VS USD]]</f>
        <v>7</v>
      </c>
      <c r="AF215" s="171">
        <f>Delivery[[#This Row],[BEN premium (total)]]/Delivery[[#This Row],[Quantity delivered]]*60/Delivery[[#This Row],[Exchange rate for premiums VS USD]]</f>
        <v>2.3876567999999998</v>
      </c>
      <c r="AG215" s="171">
        <f>COUNTIF(Delivery[Delivery ID],Delivery[[#This Row],[Delivery ID]])</f>
        <v>1</v>
      </c>
      <c r="AH215" s="171">
        <f>(Delivery[[#This Row],[Nespresso total]]/SUMIF(Allocation!C:C,Delivery[Delivery ID],Allocation!H:H))/Delivery[[#This Row],[Exchange rate VS USD]]</f>
        <v>11.757291157005552</v>
      </c>
      <c r="AI215" s="171">
        <f>(Delivery[[#This Row],[AAA Premium (total)]]/SUMIF(Allocation!C:C,Delivery[Delivery ID],Allocation!H:H))/Delivery[[#This Row],[Exchange rate VS USD]]</f>
        <v>0.73595297029702977</v>
      </c>
      <c r="AJ215" s="171">
        <f>Delivery[[#This Row],[Valor Prêmio Nespresso AAA por Kg (em US$)]]*60</f>
        <v>44.157178217821787</v>
      </c>
      <c r="AK215" s="171">
        <f>Delivery[[#This Row],[Valor Prêmio Nespresso AAA por saca (em US$)]]/1.3228/100</f>
        <v>0.33381598289856207</v>
      </c>
      <c r="AL215" s="171">
        <f>(Delivery[[#This Row],[BEN premium (total)]]/SUMIF(Allocation!C:C,Delivery[Delivery ID],Allocation!H:H))/Delivery[[#This Row],[Exchange rate for premiums VS USD]]</f>
        <v>0.2510290162871287</v>
      </c>
      <c r="AM215" s="171">
        <f>Delivery[[#This Row],[Valor Prêmio Nespresso BEN por Kg (em US$)]]*60</f>
        <v>15.061740977227721</v>
      </c>
      <c r="AN215" s="171">
        <f>Delivery[[#This Row],[Valor Prêmio Nespresso BEN por saca (em US$)]]/1.3228/100</f>
        <v>0.11386257164520502</v>
      </c>
      <c r="AO215" s="171">
        <f>SUMIF(Allocation[Delivery ID],Delivery[[#This Row],[Delivery ID]],Allocation[Quantity allocated])*16*1.3228*Delivery[[#This Row],[Exchange rate VS USD]]/60</f>
        <v>1077.8005081599999</v>
      </c>
      <c r="AP215" s="171">
        <f>Delivery[[#This Row],[AAA Premium (total)]]</f>
        <v>2248.668975</v>
      </c>
      <c r="AQ215" s="171">
        <f>Delivery[[#This Row],[Valor pago pelo Cluster]]-Delivery[[#This Row],[Valor efetivamente pago pela Nespresso]]</f>
        <v>1170.8684668400001</v>
      </c>
    </row>
    <row r="216" spans="1:43" ht="15.75">
      <c r="A216" s="174" t="s">
        <v>69</v>
      </c>
      <c r="B216" s="232" t="s">
        <v>68</v>
      </c>
      <c r="C216" s="157">
        <v>1</v>
      </c>
      <c r="D216" s="157" t="s">
        <v>468</v>
      </c>
      <c r="E216" s="177" t="s">
        <v>468</v>
      </c>
      <c r="F216" s="233" t="s">
        <v>541</v>
      </c>
      <c r="G216" s="234">
        <v>43425</v>
      </c>
      <c r="H216" s="157" t="s">
        <v>1463</v>
      </c>
      <c r="I216" s="157" t="s">
        <v>699</v>
      </c>
      <c r="J216" s="237">
        <v>8915</v>
      </c>
      <c r="K216" s="175" t="s">
        <v>61</v>
      </c>
      <c r="L216" s="175" t="s">
        <v>439</v>
      </c>
      <c r="M216" s="175" t="s">
        <v>1343</v>
      </c>
      <c r="N216" s="180"/>
      <c r="O216" s="177"/>
      <c r="P216" s="181">
        <v>0</v>
      </c>
      <c r="Q216" s="177">
        <v>43418</v>
      </c>
      <c r="R216" s="178">
        <v>433.17082499999998</v>
      </c>
      <c r="S216" s="179">
        <v>62833.239695109405</v>
      </c>
      <c r="T216" s="182" t="s">
        <v>45</v>
      </c>
      <c r="U216" s="183">
        <v>3.7814999999999999</v>
      </c>
      <c r="V216" s="179">
        <v>3933.0751249999998</v>
      </c>
      <c r="W216" s="179">
        <v>1341.5476524452997</v>
      </c>
      <c r="X216" s="186" t="s">
        <v>45</v>
      </c>
      <c r="Y216" s="183">
        <v>3.7814999999999999</v>
      </c>
      <c r="Z216" s="220" t="s">
        <v>473</v>
      </c>
      <c r="AA216" s="172">
        <f>Delivery[[#This Row],[Quantity delivered]]*VLOOKUP(Delivery[[#This Row],[Unit]],Tab_Conversão[],4,FALSE)*VLOOKUP(CONCATENATE(Delivery[[#This Row],[Coffee specie]],Delivery[[#This Row],[Coffee state]]),Tab_Conversão[],4,FALSE)</f>
        <v>8915</v>
      </c>
      <c r="AB216" s="169">
        <f>SUMIF(Allocation!C:C,Delivery[[#This Row],[Delivery ID]],Allocation!D:D)/Delivery[[#This Row],[Quantity delivered]]</f>
        <v>0.44083006169377453</v>
      </c>
      <c r="AC216" s="170">
        <f>Delivery[[#This Row],[Quantity delivered]]*Delivery[[#This Row],[Base price (Unidad)]]/60</f>
        <v>64361.965081249997</v>
      </c>
      <c r="AD216" s="171">
        <f>Delivery[[#This Row],[Nespresso total]]-Delivery[[#This Row],[Qt. Delivery * Base Price]]</f>
        <v>-1528.7253861405916</v>
      </c>
      <c r="AE216" s="171">
        <f>Delivery[[#This Row],[AAA Premium (total)]]/Delivery[[#This Row],[Quantity delivered]]*60/Delivery[[#This Row],[Exchange rate VS USD]]</f>
        <v>7</v>
      </c>
      <c r="AF216" s="171">
        <f>Delivery[[#This Row],[BEN premium (total)]]/Delivery[[#This Row],[Quantity delivered]]*60/Delivery[[#This Row],[Exchange rate for premiums VS USD]]</f>
        <v>2.3876567999999998</v>
      </c>
      <c r="AG216" s="171">
        <f>COUNTIF(Delivery[Delivery ID],Delivery[[#This Row],[Delivery ID]])</f>
        <v>1</v>
      </c>
      <c r="AH216" s="171">
        <f>(Delivery[[#This Row],[Nespresso total]]/SUMIF(Allocation!C:C,Delivery[Delivery ID],Allocation!H:H))/Delivery[[#This Row],[Exchange rate VS USD]]</f>
        <v>11.742725477271842</v>
      </c>
      <c r="AI216" s="171">
        <f>(Delivery[[#This Row],[AAA Premium (total)]]/SUMIF(Allocation!C:C,Delivery[Delivery ID],Allocation!H:H))/Delivery[[#This Row],[Exchange rate VS USD]]</f>
        <v>0.73504122497055357</v>
      </c>
      <c r="AJ216" s="171">
        <f>Delivery[[#This Row],[Valor Prêmio Nespresso AAA por Kg (em US$)]]*60</f>
        <v>44.102473498233216</v>
      </c>
      <c r="AK216" s="171">
        <f>Delivery[[#This Row],[Valor Prêmio Nespresso AAA por saca (em US$)]]/1.3228/100</f>
        <v>0.33340243043720308</v>
      </c>
      <c r="AL216" s="171">
        <f>(Delivery[[#This Row],[BEN premium (total)]]/SUMIF(Allocation!C:C,Delivery[Delivery ID],Allocation!H:H))/Delivery[[#This Row],[Exchange rate for premiums VS USD]]</f>
        <v>0.25071802558303885</v>
      </c>
      <c r="AM216" s="171">
        <f>Delivery[[#This Row],[Valor Prêmio Nespresso BEN por Kg (em US$)]]*60</f>
        <v>15.043081534982331</v>
      </c>
      <c r="AN216" s="171">
        <f>Delivery[[#This Row],[Valor Prêmio Nespresso BEN por saca (em US$)]]/1.3228/100</f>
        <v>0.11372151145284497</v>
      </c>
      <c r="AO216" s="171">
        <f>SUMIF(Allocation[Delivery ID],Delivery[[#This Row],[Delivery ID]],Allocation[Quantity allocated])*16*1.3228*Delivery[[#This Row],[Exchange rate VS USD]]/60</f>
        <v>1887.4848007999999</v>
      </c>
      <c r="AP216" s="171">
        <f>Delivery[[#This Row],[AAA Premium (total)]]</f>
        <v>3933.0751249999998</v>
      </c>
      <c r="AQ216" s="171">
        <f>Delivery[[#This Row],[Valor pago pelo Cluster]]-Delivery[[#This Row],[Valor efetivamente pago pela Nespresso]]</f>
        <v>2045.5903241999999</v>
      </c>
    </row>
    <row r="217" spans="1:43" ht="15.75">
      <c r="A217" s="174" t="s">
        <v>69</v>
      </c>
      <c r="B217" s="232" t="s">
        <v>68</v>
      </c>
      <c r="C217" s="157">
        <v>1</v>
      </c>
      <c r="D217" s="157" t="s">
        <v>468</v>
      </c>
      <c r="E217" s="177" t="s">
        <v>468</v>
      </c>
      <c r="F217" s="233" t="s">
        <v>541</v>
      </c>
      <c r="G217" s="234">
        <v>43425</v>
      </c>
      <c r="H217" s="157" t="s">
        <v>1464</v>
      </c>
      <c r="I217" s="157" t="s">
        <v>699</v>
      </c>
      <c r="J217" s="237">
        <v>902</v>
      </c>
      <c r="K217" s="175" t="s">
        <v>61</v>
      </c>
      <c r="L217" s="175" t="s">
        <v>439</v>
      </c>
      <c r="M217" s="175" t="s">
        <v>1343</v>
      </c>
      <c r="N217" s="180"/>
      <c r="O217" s="177"/>
      <c r="P217" s="181">
        <v>0</v>
      </c>
      <c r="Q217" s="177">
        <v>43418</v>
      </c>
      <c r="R217" s="178">
        <v>433.17082499999998</v>
      </c>
      <c r="S217" s="179">
        <v>6357.3283460447192</v>
      </c>
      <c r="T217" s="182" t="s">
        <v>45</v>
      </c>
      <c r="U217" s="183">
        <v>3.7814999999999999</v>
      </c>
      <c r="V217" s="179">
        <v>397.93984999999998</v>
      </c>
      <c r="W217" s="179">
        <v>135.73482697763998</v>
      </c>
      <c r="X217" s="186" t="s">
        <v>45</v>
      </c>
      <c r="Y217" s="183">
        <v>3.7814999999999999</v>
      </c>
      <c r="Z217" s="220" t="s">
        <v>473</v>
      </c>
      <c r="AA217" s="172">
        <f>Delivery[[#This Row],[Quantity delivered]]*VLOOKUP(Delivery[[#This Row],[Unit]],Tab_Conversão[],4,FALSE)*VLOOKUP(CONCATENATE(Delivery[[#This Row],[Coffee specie]],Delivery[[#This Row],[Coffee state]]),Tab_Conversão[],4,FALSE)</f>
        <v>902</v>
      </c>
      <c r="AB217" s="169">
        <f>SUMIF(Allocation!C:C,Delivery[[#This Row],[Delivery ID]],Allocation!D:D)/Delivery[[#This Row],[Quantity delivered]]</f>
        <v>1</v>
      </c>
      <c r="AC217" s="170">
        <f>Delivery[[#This Row],[Quantity delivered]]*Delivery[[#This Row],[Base price (Unidad)]]/60</f>
        <v>6512.0014025</v>
      </c>
      <c r="AD217" s="171">
        <f>Delivery[[#This Row],[Nespresso total]]-Delivery[[#This Row],[Qt. Delivery * Base Price]]</f>
        <v>-154.67305645528086</v>
      </c>
      <c r="AE217" s="171">
        <f>Delivery[[#This Row],[AAA Premium (total)]]/Delivery[[#This Row],[Quantity delivered]]*60/Delivery[[#This Row],[Exchange rate VS USD]]</f>
        <v>7</v>
      </c>
      <c r="AF217" s="171">
        <f>Delivery[[#This Row],[BEN premium (total)]]/Delivery[[#This Row],[Quantity delivered]]*60/Delivery[[#This Row],[Exchange rate for premiums VS USD]]</f>
        <v>2.3876567999999998</v>
      </c>
      <c r="AG217" s="171">
        <f>COUNTIF(Delivery[Delivery ID],Delivery[[#This Row],[Delivery ID]])</f>
        <v>1</v>
      </c>
      <c r="AH217" s="171">
        <f>(Delivery[[#This Row],[Nespresso total]]/SUMIF(Allocation!C:C,Delivery[Delivery ID],Allocation!H:H))/Delivery[[#This Row],[Exchange rate VS USD]]</f>
        <v>5.17281774309724</v>
      </c>
      <c r="AI217" s="171">
        <f>(Delivery[[#This Row],[AAA Premium (total)]]/SUMIF(Allocation!C:C,Delivery[Delivery ID],Allocation!H:H))/Delivery[[#This Row],[Exchange rate VS USD]]</f>
        <v>0.32379487179487176</v>
      </c>
      <c r="AJ217" s="171">
        <f>Delivery[[#This Row],[Valor Prêmio Nespresso AAA por Kg (em US$)]]*60</f>
        <v>19.427692307692304</v>
      </c>
      <c r="AK217" s="171">
        <f>Delivery[[#This Row],[Valor Prêmio Nespresso AAA por saca (em US$)]]/1.3228/100</f>
        <v>0.14686794910562673</v>
      </c>
      <c r="AL217" s="171">
        <f>(Delivery[[#This Row],[BEN premium (total)]]/SUMIF(Allocation!C:C,Delivery[Delivery ID],Allocation!H:H))/Delivery[[#This Row],[Exchange rate for premiums VS USD]]</f>
        <v>0.11044443249230769</v>
      </c>
      <c r="AM217" s="171">
        <f>Delivery[[#This Row],[Valor Prêmio Nespresso BEN por Kg (em US$)]]*60</f>
        <v>6.6266659495384612</v>
      </c>
      <c r="AN217" s="171">
        <f>Delivery[[#This Row],[Valor Prêmio Nespresso BEN por saca (em US$)]]/1.3228/100</f>
        <v>5.0095751054871948E-2</v>
      </c>
      <c r="AO217" s="171">
        <f>SUMIF(Allocation[Delivery ID],Delivery[[#This Row],[Delivery ID]],Allocation[Quantity allocated])*16*1.3228*Delivery[[#This Row],[Exchange rate VS USD]]/60</f>
        <v>433.52124399999991</v>
      </c>
      <c r="AP217" s="171">
        <f>Delivery[[#This Row],[AAA Premium (total)]]</f>
        <v>397.93984999999998</v>
      </c>
      <c r="AQ217" s="171">
        <f>Delivery[[#This Row],[Valor pago pelo Cluster]]-Delivery[[#This Row],[Valor efetivamente pago pela Nespresso]]</f>
        <v>-35.581393999999932</v>
      </c>
    </row>
    <row r="218" spans="1:43" ht="15.75">
      <c r="A218" s="174" t="s">
        <v>69</v>
      </c>
      <c r="B218" s="232" t="s">
        <v>68</v>
      </c>
      <c r="C218" s="157">
        <v>1</v>
      </c>
      <c r="D218" s="157" t="s">
        <v>468</v>
      </c>
      <c r="E218" s="177" t="s">
        <v>468</v>
      </c>
      <c r="F218" s="233" t="s">
        <v>543</v>
      </c>
      <c r="G218" s="234">
        <v>43434</v>
      </c>
      <c r="H218" s="235" t="s">
        <v>2130</v>
      </c>
      <c r="I218" s="236" t="s">
        <v>1356</v>
      </c>
      <c r="J218" s="237">
        <v>32780</v>
      </c>
      <c r="K218" s="175" t="s">
        <v>61</v>
      </c>
      <c r="L218" s="175" t="s">
        <v>439</v>
      </c>
      <c r="M218" s="175" t="s">
        <v>1343</v>
      </c>
      <c r="N218" s="180"/>
      <c r="O218" s="177"/>
      <c r="P218" s="181">
        <v>0</v>
      </c>
      <c r="Q218" s="177">
        <v>43433</v>
      </c>
      <c r="R218" s="178">
        <v>433.31858</v>
      </c>
      <c r="S218" s="179">
        <v>248024.7</v>
      </c>
      <c r="T218" s="182" t="s">
        <v>45</v>
      </c>
      <c r="U218" s="183">
        <v>3.8483000000000001</v>
      </c>
      <c r="V218" s="179">
        <v>14717.181966666665</v>
      </c>
      <c r="W218" s="179">
        <v>0</v>
      </c>
      <c r="X218" s="186" t="s">
        <v>45</v>
      </c>
      <c r="Y218" s="183">
        <v>3.8483000000000001</v>
      </c>
      <c r="Z218" s="220"/>
      <c r="AA218" s="172">
        <f>Delivery[[#This Row],[Quantity delivered]]*VLOOKUP(Delivery[[#This Row],[Unit]],Tab_Conversão[],4,FALSE)*VLOOKUP(CONCATENATE(Delivery[[#This Row],[Coffee specie]],Delivery[[#This Row],[Coffee state]]),Tab_Conversão[],4,FALSE)</f>
        <v>32780</v>
      </c>
      <c r="AB218" s="169">
        <f>SUMIF(Allocation!C:C,Delivery[[#This Row],[Delivery ID]],Allocation!D:D)/Delivery[[#This Row],[Quantity delivered]]</f>
        <v>0.12303233679072605</v>
      </c>
      <c r="AC218" s="170">
        <f>Delivery[[#This Row],[Quantity delivered]]*Delivery[[#This Row],[Base price (Unidad)]]/60</f>
        <v>236736.38420666667</v>
      </c>
      <c r="AD218" s="171">
        <f>Delivery[[#This Row],[Nespresso total]]-Delivery[[#This Row],[Qt. Delivery * Base Price]]</f>
        <v>11288.315793333342</v>
      </c>
      <c r="AE218" s="171">
        <f>Delivery[[#This Row],[AAA Premium (total)]]/Delivery[[#This Row],[Quantity delivered]]*60/Delivery[[#This Row],[Exchange rate VS USD]]</f>
        <v>6.9999999999999991</v>
      </c>
      <c r="AF218" s="171">
        <f>Delivery[[#This Row],[BEN premium (total)]]/Delivery[[#This Row],[Quantity delivered]]*60/Delivery[[#This Row],[Exchange rate for premiums VS USD]]</f>
        <v>0</v>
      </c>
      <c r="AG218" s="171">
        <f>COUNTIF(Delivery[Delivery ID],Delivery[[#This Row],[Delivery ID]])</f>
        <v>1</v>
      </c>
      <c r="AH218" s="171">
        <f>(Delivery[[#This Row],[Nespresso total]]/SUMIF(Allocation!C:C,Delivery[Delivery ID],Allocation!H:H))/Delivery[[#This Row],[Exchange rate VS USD]]</f>
        <v>44.387368212173968</v>
      </c>
      <c r="AI218" s="171">
        <f>(Delivery[[#This Row],[AAA Premium (total)]]/SUMIF(Allocation!C:C,Delivery[Delivery ID],Allocation!H:H))/Delivery[[#This Row],[Exchange rate VS USD]]</f>
        <v>2.6338383838383836</v>
      </c>
      <c r="AJ218" s="171">
        <f>Delivery[[#This Row],[Valor Prêmio Nespresso AAA por Kg (em US$)]]*60</f>
        <v>158.03030303030303</v>
      </c>
      <c r="AK218" s="171">
        <f>Delivery[[#This Row],[Valor Prêmio Nespresso AAA por saca (em US$)]]/1.3228/100</f>
        <v>1.1946651272324089</v>
      </c>
      <c r="AL218" s="171">
        <f>(Delivery[[#This Row],[BEN premium (total)]]/SUMIF(Allocation!C:C,Delivery[Delivery ID],Allocation!H:H))/Delivery[[#This Row],[Exchange rate for premiums VS USD]]</f>
        <v>0</v>
      </c>
      <c r="AM218" s="171">
        <f>Delivery[[#This Row],[Valor Prêmio Nespresso BEN por Kg (em US$)]]*60</f>
        <v>0</v>
      </c>
      <c r="AN218" s="171">
        <f>Delivery[[#This Row],[Valor Prêmio Nespresso BEN por saca (em US$)]]/1.3228/100</f>
        <v>0</v>
      </c>
      <c r="AO218" s="171">
        <f>SUMIF(Allocation[Delivery ID],Delivery[[#This Row],[Delivery ID]],Allocation[Quantity allocated])*16*1.3228*Delivery[[#This Row],[Exchange rate VS USD]]/60</f>
        <v>1971.0536961280002</v>
      </c>
      <c r="AP218" s="171">
        <f>Delivery[[#This Row],[AAA Premium (total)]]</f>
        <v>14717.181966666665</v>
      </c>
      <c r="AQ218" s="171">
        <f>Delivery[[#This Row],[Valor pago pelo Cluster]]-Delivery[[#This Row],[Valor efetivamente pago pela Nespresso]]</f>
        <v>12746.128270538666</v>
      </c>
    </row>
    <row r="219" spans="1:43" ht="15.75">
      <c r="A219" s="174" t="s">
        <v>69</v>
      </c>
      <c r="B219" s="232" t="s">
        <v>68</v>
      </c>
      <c r="C219" s="157">
        <v>1</v>
      </c>
      <c r="D219" s="157" t="s">
        <v>468</v>
      </c>
      <c r="E219" s="177" t="s">
        <v>468</v>
      </c>
      <c r="F219" s="233" t="s">
        <v>543</v>
      </c>
      <c r="G219" s="234">
        <v>43435</v>
      </c>
      <c r="H219" s="235" t="s">
        <v>2131</v>
      </c>
      <c r="I219" s="236" t="s">
        <v>1356</v>
      </c>
      <c r="J219" s="237">
        <v>30210</v>
      </c>
      <c r="K219" s="175" t="s">
        <v>61</v>
      </c>
      <c r="L219" s="175" t="s">
        <v>439</v>
      </c>
      <c r="M219" s="175" t="s">
        <v>1343</v>
      </c>
      <c r="N219" s="180"/>
      <c r="O219" s="177"/>
      <c r="P219" s="181">
        <v>0</v>
      </c>
      <c r="Q219" s="177">
        <v>43433</v>
      </c>
      <c r="R219" s="178">
        <v>433.31858</v>
      </c>
      <c r="S219" s="179">
        <v>233881.2</v>
      </c>
      <c r="T219" s="182" t="s">
        <v>45</v>
      </c>
      <c r="U219" s="183">
        <v>3.8483000000000001</v>
      </c>
      <c r="V219" s="179">
        <v>13563.333349999999</v>
      </c>
      <c r="W219" s="179">
        <v>0</v>
      </c>
      <c r="X219" s="186" t="s">
        <v>45</v>
      </c>
      <c r="Y219" s="183">
        <v>3.8483000000000001</v>
      </c>
      <c r="Z219" s="220"/>
      <c r="AA219" s="172">
        <f>Delivery[[#This Row],[Quantity delivered]]*VLOOKUP(Delivery[[#This Row],[Unit]],Tab_Conversão[],4,FALSE)*VLOOKUP(CONCATENATE(Delivery[[#This Row],[Coffee specie]],Delivery[[#This Row],[Coffee state]]),Tab_Conversão[],4,FALSE)</f>
        <v>30210</v>
      </c>
      <c r="AB219" s="169">
        <f>SUMIF(Allocation!C:C,Delivery[[#This Row],[Delivery ID]],Allocation!D:D)/Delivery[[#This Row],[Quantity delivered]]</f>
        <v>0.1233035418735518</v>
      </c>
      <c r="AC219" s="170">
        <f>Delivery[[#This Row],[Quantity delivered]]*Delivery[[#This Row],[Base price (Unidad)]]/60</f>
        <v>218175.90502999999</v>
      </c>
      <c r="AD219" s="171">
        <f>Delivery[[#This Row],[Nespresso total]]-Delivery[[#This Row],[Qt. Delivery * Base Price]]</f>
        <v>15705.294970000017</v>
      </c>
      <c r="AE219" s="171">
        <f>Delivery[[#This Row],[AAA Premium (total)]]/Delivery[[#This Row],[Quantity delivered]]*60/Delivery[[#This Row],[Exchange rate VS USD]]</f>
        <v>6.9999999999999991</v>
      </c>
      <c r="AF219" s="171">
        <f>Delivery[[#This Row],[BEN premium (total)]]/Delivery[[#This Row],[Quantity delivered]]*60/Delivery[[#This Row],[Exchange rate for premiums VS USD]]</f>
        <v>0</v>
      </c>
      <c r="AG219" s="171">
        <f>COUNTIF(Delivery[Delivery ID],Delivery[[#This Row],[Delivery ID]])</f>
        <v>1</v>
      </c>
      <c r="AH219" s="171">
        <f>(Delivery[[#This Row],[Nespresso total]]/SUMIF(Allocation!C:C,Delivery[Delivery ID],Allocation!H:H))/Delivery[[#This Row],[Exchange rate VS USD]]</f>
        <v>45.320804950569126</v>
      </c>
      <c r="AI219" s="171">
        <f>(Delivery[[#This Row],[AAA Premium (total)]]/SUMIF(Allocation!C:C,Delivery[Delivery ID],Allocation!H:H))/Delivery[[#This Row],[Exchange rate VS USD]]</f>
        <v>2.6282624906785981</v>
      </c>
      <c r="AJ219" s="171">
        <f>Delivery[[#This Row],[Valor Prêmio Nespresso AAA por Kg (em US$)]]*60</f>
        <v>157.69574944071587</v>
      </c>
      <c r="AK219" s="171">
        <f>Delivery[[#This Row],[Valor Prêmio Nespresso AAA por saca (em US$)]]/1.3228/100</f>
        <v>1.1921359951671899</v>
      </c>
      <c r="AL219" s="171">
        <f>(Delivery[[#This Row],[BEN premium (total)]]/SUMIF(Allocation!C:C,Delivery[Delivery ID],Allocation!H:H))/Delivery[[#This Row],[Exchange rate for premiums VS USD]]</f>
        <v>0</v>
      </c>
      <c r="AM219" s="171">
        <f>Delivery[[#This Row],[Valor Prêmio Nespresso BEN por Kg (em US$)]]*60</f>
        <v>0</v>
      </c>
      <c r="AN219" s="171">
        <f>Delivery[[#This Row],[Valor Prêmio Nespresso BEN por saca (em US$)]]/1.3228/100</f>
        <v>0</v>
      </c>
      <c r="AO219" s="171">
        <f>SUMIF(Allocation[Delivery ID],Delivery[[#This Row],[Delivery ID]],Allocation[Quantity allocated])*16*1.3228*Delivery[[#This Row],[Exchange rate VS USD]]/60</f>
        <v>1820.373971424</v>
      </c>
      <c r="AP219" s="171">
        <f>Delivery[[#This Row],[AAA Premium (total)]]</f>
        <v>13563.333349999999</v>
      </c>
      <c r="AQ219" s="171">
        <f>Delivery[[#This Row],[Valor pago pelo Cluster]]-Delivery[[#This Row],[Valor efetivamente pago pela Nespresso]]</f>
        <v>11742.959378575999</v>
      </c>
    </row>
    <row r="220" spans="1:43" ht="15.75">
      <c r="A220" s="174" t="s">
        <v>69</v>
      </c>
      <c r="B220" s="232" t="s">
        <v>68</v>
      </c>
      <c r="C220" s="157">
        <v>1</v>
      </c>
      <c r="D220" s="157" t="s">
        <v>468</v>
      </c>
      <c r="E220" s="176" t="s">
        <v>468</v>
      </c>
      <c r="F220" s="233" t="s">
        <v>543</v>
      </c>
      <c r="G220" s="234">
        <v>43375</v>
      </c>
      <c r="H220" s="157" t="s">
        <v>1465</v>
      </c>
      <c r="I220" s="157" t="s">
        <v>706</v>
      </c>
      <c r="J220" s="237">
        <v>117360</v>
      </c>
      <c r="K220" s="175" t="s">
        <v>61</v>
      </c>
      <c r="L220" s="175" t="s">
        <v>439</v>
      </c>
      <c r="M220" s="175" t="s">
        <v>1343</v>
      </c>
      <c r="N220" s="180"/>
      <c r="O220" s="177"/>
      <c r="P220" s="181">
        <v>0</v>
      </c>
      <c r="Q220" s="177">
        <v>43228</v>
      </c>
      <c r="R220" s="178">
        <v>454.85999999999996</v>
      </c>
      <c r="S220" s="179">
        <v>846014.58655056008</v>
      </c>
      <c r="T220" s="182" t="s">
        <v>45</v>
      </c>
      <c r="U220" s="183">
        <v>3.61</v>
      </c>
      <c r="V220" s="179">
        <v>141223.20000000001</v>
      </c>
      <c r="W220" s="179">
        <v>42149.066724720004</v>
      </c>
      <c r="X220" s="186" t="s">
        <v>45</v>
      </c>
      <c r="Y220" s="183">
        <v>3.61</v>
      </c>
      <c r="Z220" s="220" t="s">
        <v>473</v>
      </c>
      <c r="AA220" s="172">
        <f>Delivery[[#This Row],[Quantity delivered]]*VLOOKUP(Delivery[[#This Row],[Unit]],Tab_Conversão[],4,FALSE)*VLOOKUP(CONCATENATE(Delivery[[#This Row],[Coffee specie]],Delivery[[#This Row],[Coffee state]]),Tab_Conversão[],4,FALSE)</f>
        <v>117360</v>
      </c>
      <c r="AB220" s="169">
        <f>SUMIF(Allocation!C:C,Delivery[[#This Row],[Delivery ID]],Allocation!D:D)/Delivery[[#This Row],[Quantity delivered]]</f>
        <v>0.46630027266530333</v>
      </c>
      <c r="AC220" s="170">
        <f>Delivery[[#This Row],[Quantity delivered]]*Delivery[[#This Row],[Base price (Unidad)]]/60</f>
        <v>889706.15999999992</v>
      </c>
      <c r="AD220" s="171">
        <f>Delivery[[#This Row],[Nespresso total]]-Delivery[[#This Row],[Qt. Delivery * Base Price]]</f>
        <v>-43691.573449439835</v>
      </c>
      <c r="AE220" s="171">
        <f>Delivery[[#This Row],[AAA Premium (total)]]/Delivery[[#This Row],[Quantity delivered]]*60/Delivery[[#This Row],[Exchange rate VS USD]]</f>
        <v>20</v>
      </c>
      <c r="AF220" s="171">
        <f>Delivery[[#This Row],[BEN premium (total)]]/Delivery[[#This Row],[Quantity delivered]]*60/Delivery[[#This Row],[Exchange rate for premiums VS USD]]</f>
        <v>5.9691420000000015</v>
      </c>
      <c r="AG220" s="171">
        <f>COUNTIF(Delivery[Delivery ID],Delivery[[#This Row],[Delivery ID]])</f>
        <v>1</v>
      </c>
      <c r="AH220" s="171">
        <f>(Delivery[[#This Row],[Nespresso total]]/SUMIF(Allocation!C:C,Delivery[Delivery ID],Allocation!H:H))/Delivery[[#This Row],[Exchange rate VS USD]]</f>
        <v>5.8116074660046406</v>
      </c>
      <c r="AI220" s="171">
        <f>(Delivery[[#This Row],[AAA Premium (total)]]/SUMIF(Allocation!C:C,Delivery[Delivery ID],Allocation!H:H))/Delivery[[#This Row],[Exchange rate VS USD]]</f>
        <v>0.97011779293242417</v>
      </c>
      <c r="AJ220" s="171">
        <f>Delivery[[#This Row],[Valor Prêmio Nespresso AAA por Kg (em US$)]]*60</f>
        <v>58.207067575945452</v>
      </c>
      <c r="AK220" s="171">
        <f>Delivery[[#This Row],[Valor Prêmio Nespresso AAA por saca (em US$)]]/1.3228/100</f>
        <v>0.44002923779819669</v>
      </c>
      <c r="AL220" s="171">
        <f>(Delivery[[#This Row],[BEN premium (total)]]/SUMIF(Allocation!C:C,Delivery[Delivery ID],Allocation!H:H))/Delivery[[#This Row],[Exchange rate for premiums VS USD]]</f>
        <v>0.28953854313701183</v>
      </c>
      <c r="AM220" s="171">
        <f>Delivery[[#This Row],[Valor Prêmio Nespresso BEN por Kg (em US$)]]*60</f>
        <v>17.372312588220709</v>
      </c>
      <c r="AN220" s="171">
        <f>Delivery[[#This Row],[Valor Prêmio Nespresso BEN por saca (em US$)]]/1.3228/100</f>
        <v>0.13132985022846014</v>
      </c>
      <c r="AO220" s="171">
        <f>SUMIF(Allocation[Delivery ID],Delivery[[#This Row],[Delivery ID]],Allocation[Quantity allocated])*16*1.3228*Delivery[[#This Row],[Exchange rate VS USD]]/60</f>
        <v>51350.478693333331</v>
      </c>
      <c r="AP220" s="171">
        <f>Delivery[[#This Row],[AAA Premium (total)]]</f>
        <v>141223.20000000001</v>
      </c>
      <c r="AQ220" s="171">
        <f>Delivery[[#This Row],[Valor pago pelo Cluster]]-Delivery[[#This Row],[Valor efetivamente pago pela Nespresso]]</f>
        <v>89872.721306666674</v>
      </c>
    </row>
    <row r="221" spans="1:43" ht="15.75">
      <c r="A221" s="174" t="s">
        <v>69</v>
      </c>
      <c r="B221" s="232" t="s">
        <v>68</v>
      </c>
      <c r="C221" s="157">
        <v>1</v>
      </c>
      <c r="D221" s="157" t="s">
        <v>468</v>
      </c>
      <c r="E221" s="176" t="s">
        <v>468</v>
      </c>
      <c r="F221" s="233" t="s">
        <v>543</v>
      </c>
      <c r="G221" s="234">
        <v>43383</v>
      </c>
      <c r="H221" s="157" t="s">
        <v>1466</v>
      </c>
      <c r="I221" s="236" t="s">
        <v>1467</v>
      </c>
      <c r="J221" s="237">
        <v>3960</v>
      </c>
      <c r="K221" s="175" t="s">
        <v>472</v>
      </c>
      <c r="L221" s="175" t="s">
        <v>439</v>
      </c>
      <c r="M221" s="175" t="s">
        <v>1343</v>
      </c>
      <c r="N221" s="180"/>
      <c r="O221" s="177"/>
      <c r="P221" s="181">
        <v>0</v>
      </c>
      <c r="Q221" s="177">
        <v>43376</v>
      </c>
      <c r="R221" s="178">
        <v>414.07461000000001</v>
      </c>
      <c r="S221" s="179">
        <v>27838.799999999999</v>
      </c>
      <c r="T221" s="182" t="s">
        <v>45</v>
      </c>
      <c r="U221" s="183">
        <v>3.8862000000000001</v>
      </c>
      <c r="V221" s="179">
        <v>2552.1</v>
      </c>
      <c r="W221" s="179">
        <v>0</v>
      </c>
      <c r="X221" s="186" t="s">
        <v>45</v>
      </c>
      <c r="Y221" s="183">
        <v>3.8862000000000001</v>
      </c>
      <c r="Z221" s="220"/>
      <c r="AA221" s="172">
        <f>Delivery[[#This Row],[Quantity delivered]]*VLOOKUP(Delivery[[#This Row],[Unit]],Tab_Conversão[],4,FALSE)*VLOOKUP(CONCATENATE(Delivery[[#This Row],[Coffee specie]],Delivery[[#This Row],[Coffee state]]),Tab_Conversão[],4,FALSE)</f>
        <v>3960</v>
      </c>
      <c r="AB221" s="169">
        <f>SUMIF(Allocation!C:C,Delivery[[#This Row],[Delivery ID]],Allocation!D:D)/Delivery[[#This Row],[Quantity delivered]]</f>
        <v>1</v>
      </c>
      <c r="AC221" s="170">
        <f>Delivery[[#This Row],[Quantity delivered]]*Delivery[[#This Row],[Base price (Unidad)]]/60</f>
        <v>27328.92426</v>
      </c>
      <c r="AD221" s="171">
        <f>Delivery[[#This Row],[Nespresso total]]-Delivery[[#This Row],[Qt. Delivery * Base Price]]</f>
        <v>509.8757399999995</v>
      </c>
      <c r="AE221" s="171">
        <f>Delivery[[#This Row],[AAA Premium (total)]]/Delivery[[#This Row],[Quantity delivered]]*60/Delivery[[#This Row],[Exchange rate VS USD]]</f>
        <v>9.9501265550362348</v>
      </c>
      <c r="AF221" s="171">
        <f>Delivery[[#This Row],[BEN premium (total)]]/Delivery[[#This Row],[Quantity delivered]]*60/Delivery[[#This Row],[Exchange rate for premiums VS USD]]</f>
        <v>0</v>
      </c>
      <c r="AG221" s="171">
        <f>COUNTIF(Delivery[Delivery ID],Delivery[[#This Row],[Delivery ID]])</f>
        <v>1</v>
      </c>
      <c r="AH221" s="171">
        <f>(Delivery[[#This Row],[Nespresso total]]/SUMIF(Allocation!C:C,Delivery[Delivery ID],Allocation!H:H))/Delivery[[#This Row],[Exchange rate VS USD]]</f>
        <v>4.4110231657148331</v>
      </c>
      <c r="AI221" s="171">
        <f>(Delivery[[#This Row],[AAA Premium (total)]]/SUMIF(Allocation!C:C,Delivery[Delivery ID],Allocation!H:H))/Delivery[[#This Row],[Exchange rate VS USD]]</f>
        <v>0.40437706442881249</v>
      </c>
      <c r="AJ221" s="171">
        <f>Delivery[[#This Row],[Valor Prêmio Nespresso AAA por Kg (em US$)]]*60</f>
        <v>24.262623865728749</v>
      </c>
      <c r="AK221" s="171">
        <f>Delivery[[#This Row],[Valor Prêmio Nespresso AAA por saca (em US$)]]/1.3228/100</f>
        <v>0.18341868661724184</v>
      </c>
      <c r="AL221" s="171">
        <f>(Delivery[[#This Row],[BEN premium (total)]]/SUMIF(Allocation!C:C,Delivery[Delivery ID],Allocation!H:H))/Delivery[[#This Row],[Exchange rate for premiums VS USD]]</f>
        <v>0</v>
      </c>
      <c r="AM221" s="171">
        <f>Delivery[[#This Row],[Valor Prêmio Nespresso BEN por Kg (em US$)]]*60</f>
        <v>0</v>
      </c>
      <c r="AN221" s="171">
        <f>Delivery[[#This Row],[Valor Prêmio Nespresso BEN por saca (em US$)]]/1.3228/100</f>
        <v>0</v>
      </c>
      <c r="AO221" s="171">
        <f>SUMIF(Allocation[Delivery ID],Delivery[[#This Row],[Delivery ID]],Allocation[Quantity allocated])*16*1.3228*Delivery[[#This Row],[Exchange rate VS USD]]/60</f>
        <v>2226.2508119039999</v>
      </c>
      <c r="AP221" s="171">
        <f>Delivery[[#This Row],[AAA Premium (total)]]</f>
        <v>2552.1</v>
      </c>
      <c r="AQ221" s="171">
        <f>Delivery[[#This Row],[Valor pago pelo Cluster]]-Delivery[[#This Row],[Valor efetivamente pago pela Nespresso]]</f>
        <v>325.84918809600003</v>
      </c>
    </row>
    <row r="222" spans="1:43" ht="15.75">
      <c r="A222" s="174" t="s">
        <v>69</v>
      </c>
      <c r="B222" s="232" t="s">
        <v>68</v>
      </c>
      <c r="C222" s="157">
        <v>1</v>
      </c>
      <c r="D222" s="157" t="s">
        <v>468</v>
      </c>
      <c r="E222" s="177" t="s">
        <v>468</v>
      </c>
      <c r="F222" s="233" t="s">
        <v>543</v>
      </c>
      <c r="G222" s="234">
        <v>43383</v>
      </c>
      <c r="H222" s="157" t="s">
        <v>1468</v>
      </c>
      <c r="I222" s="236" t="s">
        <v>1467</v>
      </c>
      <c r="J222" s="237">
        <v>14120</v>
      </c>
      <c r="K222" s="175" t="s">
        <v>61</v>
      </c>
      <c r="L222" s="175" t="s">
        <v>439</v>
      </c>
      <c r="M222" s="175" t="s">
        <v>1343</v>
      </c>
      <c r="N222" s="180"/>
      <c r="O222" s="177"/>
      <c r="P222" s="181">
        <v>0</v>
      </c>
      <c r="Q222" s="177">
        <v>43376</v>
      </c>
      <c r="R222" s="178">
        <v>414.07461000000001</v>
      </c>
      <c r="S222" s="179">
        <v>99263.6</v>
      </c>
      <c r="T222" s="182" t="s">
        <v>45</v>
      </c>
      <c r="U222" s="183">
        <v>3.8862000000000001</v>
      </c>
      <c r="V222" s="179">
        <v>9100</v>
      </c>
      <c r="W222" s="179">
        <v>0</v>
      </c>
      <c r="X222" s="186" t="s">
        <v>45</v>
      </c>
      <c r="Y222" s="183">
        <v>3.8862000000000001</v>
      </c>
      <c r="Z222" s="220"/>
      <c r="AA222" s="172">
        <f>Delivery[[#This Row],[Quantity delivered]]*VLOOKUP(Delivery[[#This Row],[Unit]],Tab_Conversão[],4,FALSE)*VLOOKUP(CONCATENATE(Delivery[[#This Row],[Coffee specie]],Delivery[[#This Row],[Coffee state]]),Tab_Conversão[],4,FALSE)</f>
        <v>14120</v>
      </c>
      <c r="AB222" s="169">
        <f>SUMIF(Allocation!C:C,Delivery[[#This Row],[Delivery ID]],Allocation!D:D)/Delivery[[#This Row],[Quantity delivered]]</f>
        <v>1</v>
      </c>
      <c r="AC222" s="170">
        <f>Delivery[[#This Row],[Quantity delivered]]*Delivery[[#This Row],[Base price (Unidad)]]/60</f>
        <v>97445.558220000006</v>
      </c>
      <c r="AD222" s="171">
        <f>Delivery[[#This Row],[Nespresso total]]-Delivery[[#This Row],[Qt. Delivery * Base Price]]</f>
        <v>1818.0417799999996</v>
      </c>
      <c r="AE222" s="171">
        <f>Delivery[[#This Row],[AAA Premium (total)]]/Delivery[[#This Row],[Quantity delivered]]*60/Delivery[[#This Row],[Exchange rate VS USD]]</f>
        <v>9.9502226444324027</v>
      </c>
      <c r="AF222" s="171">
        <f>Delivery[[#This Row],[BEN premium (total)]]/Delivery[[#This Row],[Quantity delivered]]*60/Delivery[[#This Row],[Exchange rate for premiums VS USD]]</f>
        <v>0</v>
      </c>
      <c r="AG222" s="171">
        <f>COUNTIF(Delivery[Delivery ID],Delivery[[#This Row],[Delivery ID]])</f>
        <v>1</v>
      </c>
      <c r="AH222" s="171">
        <f>(Delivery[[#This Row],[Nespresso total]]/SUMIF(Allocation!C:C,Delivery[Delivery ID],Allocation!H:H))/Delivery[[#This Row],[Exchange rate VS USD]]</f>
        <v>4.4115002743421678</v>
      </c>
      <c r="AI222" s="171">
        <f>(Delivery[[#This Row],[AAA Premium (total)]]/SUMIF(Allocation!C:C,Delivery[Delivery ID],Allocation!H:H))/Delivery[[#This Row],[Exchange rate VS USD]]</f>
        <v>0.40442470851866874</v>
      </c>
      <c r="AJ222" s="171">
        <f>Delivery[[#This Row],[Valor Prêmio Nespresso AAA por Kg (em US$)]]*60</f>
        <v>24.265482511120126</v>
      </c>
      <c r="AK222" s="171">
        <f>Delivery[[#This Row],[Valor Prêmio Nespresso AAA por saca (em US$)]]/1.3228/100</f>
        <v>0.18344029718113186</v>
      </c>
      <c r="AL222" s="171">
        <f>(Delivery[[#This Row],[BEN premium (total)]]/SUMIF(Allocation!C:C,Delivery[Delivery ID],Allocation!H:H))/Delivery[[#This Row],[Exchange rate for premiums VS USD]]</f>
        <v>0</v>
      </c>
      <c r="AM222" s="171">
        <f>Delivery[[#This Row],[Valor Prêmio Nespresso BEN por Kg (em US$)]]*60</f>
        <v>0</v>
      </c>
      <c r="AN222" s="171">
        <f>Delivery[[#This Row],[Valor Prêmio Nespresso BEN por saca (em US$)]]/1.3228/100</f>
        <v>0</v>
      </c>
      <c r="AO222" s="171">
        <f>SUMIF(Allocation[Delivery ID],Delivery[[#This Row],[Delivery ID]],Allocation[Quantity allocated])*16*1.3228*Delivery[[#This Row],[Exchange rate VS USD]]/60</f>
        <v>7937.1873158399994</v>
      </c>
      <c r="AP222" s="171">
        <f>Delivery[[#This Row],[AAA Premium (total)]]</f>
        <v>9100</v>
      </c>
      <c r="AQ222" s="171">
        <f>Delivery[[#This Row],[Valor pago pelo Cluster]]-Delivery[[#This Row],[Valor efetivamente pago pela Nespresso]]</f>
        <v>1162.8126841600006</v>
      </c>
    </row>
    <row r="223" spans="1:43" ht="15.75">
      <c r="A223" s="174" t="s">
        <v>69</v>
      </c>
      <c r="B223" s="232" t="s">
        <v>68</v>
      </c>
      <c r="C223" s="157">
        <v>1</v>
      </c>
      <c r="D223" s="157" t="s">
        <v>468</v>
      </c>
      <c r="E223" s="177" t="s">
        <v>468</v>
      </c>
      <c r="F223" s="233" t="s">
        <v>543</v>
      </c>
      <c r="G223" s="234">
        <v>43383</v>
      </c>
      <c r="H223" s="157" t="s">
        <v>1469</v>
      </c>
      <c r="I223" s="236" t="s">
        <v>1470</v>
      </c>
      <c r="J223" s="237">
        <v>13030</v>
      </c>
      <c r="K223" s="175" t="s">
        <v>61</v>
      </c>
      <c r="L223" s="175" t="s">
        <v>439</v>
      </c>
      <c r="M223" s="175" t="s">
        <v>1343</v>
      </c>
      <c r="N223" s="180"/>
      <c r="O223" s="177"/>
      <c r="P223" s="181">
        <v>0</v>
      </c>
      <c r="Q223" s="177">
        <v>43376</v>
      </c>
      <c r="R223" s="178">
        <v>414.07461000000001</v>
      </c>
      <c r="S223" s="179">
        <v>91978.77</v>
      </c>
      <c r="T223" s="182" t="s">
        <v>45</v>
      </c>
      <c r="U223" s="183">
        <v>3.8862000000000001</v>
      </c>
      <c r="V223" s="179">
        <v>8434.75</v>
      </c>
      <c r="W223" s="179">
        <v>0</v>
      </c>
      <c r="X223" s="186" t="s">
        <v>45</v>
      </c>
      <c r="Y223" s="183">
        <v>3.8862000000000001</v>
      </c>
      <c r="Z223" s="220"/>
      <c r="AA223" s="172">
        <f>Delivery[[#This Row],[Quantity delivered]]*VLOOKUP(Delivery[[#This Row],[Unit]],Tab_Conversão[],4,FALSE)*VLOOKUP(CONCATENATE(Delivery[[#This Row],[Coffee specie]],Delivery[[#This Row],[Coffee state]]),Tab_Conversão[],4,FALSE)</f>
        <v>13030</v>
      </c>
      <c r="AB223" s="169">
        <f>SUMIF(Allocation!C:C,Delivery[[#This Row],[Delivery ID]],Allocation!D:D)/Delivery[[#This Row],[Quantity delivered]]</f>
        <v>0.86623177283192632</v>
      </c>
      <c r="AC223" s="170">
        <f>Delivery[[#This Row],[Quantity delivered]]*Delivery[[#This Row],[Base price (Unidad)]]/60</f>
        <v>89923.202804999994</v>
      </c>
      <c r="AD223" s="171">
        <f>Delivery[[#This Row],[Nespresso total]]-Delivery[[#This Row],[Qt. Delivery * Base Price]]</f>
        <v>2055.5671950000105</v>
      </c>
      <c r="AE223" s="171">
        <f>Delivery[[#This Row],[AAA Premium (total)]]/Delivery[[#This Row],[Quantity delivered]]*60/Delivery[[#This Row],[Exchange rate VS USD]]</f>
        <v>9.9943349932596952</v>
      </c>
      <c r="AF223" s="171">
        <f>Delivery[[#This Row],[BEN premium (total)]]/Delivery[[#This Row],[Quantity delivered]]*60/Delivery[[#This Row],[Exchange rate for premiums VS USD]]</f>
        <v>0</v>
      </c>
      <c r="AG223" s="171">
        <f>COUNTIF(Delivery[Delivery ID],Delivery[[#This Row],[Delivery ID]])</f>
        <v>1</v>
      </c>
      <c r="AH223" s="171">
        <f>(Delivery[[#This Row],[Nespresso total]]/SUMIF(Allocation!C:C,Delivery[Delivery ID],Allocation!H:H))/Delivery[[#This Row],[Exchange rate VS USD]]</f>
        <v>5.1140986342338408</v>
      </c>
      <c r="AI223" s="171">
        <f>(Delivery[[#This Row],[AAA Premium (total)]]/SUMIF(Allocation!C:C,Delivery[Delivery ID],Allocation!H:H))/Delivery[[#This Row],[Exchange rate VS USD]]</f>
        <v>0.46897934659382684</v>
      </c>
      <c r="AJ223" s="171">
        <f>Delivery[[#This Row],[Valor Prêmio Nespresso AAA por Kg (em US$)]]*60</f>
        <v>28.138760795629612</v>
      </c>
      <c r="AK223" s="171">
        <f>Delivery[[#This Row],[Valor Prêmio Nespresso AAA por saca (em US$)]]/1.3228/100</f>
        <v>0.21272120347467202</v>
      </c>
      <c r="AL223" s="171">
        <f>(Delivery[[#This Row],[BEN premium (total)]]/SUMIF(Allocation!C:C,Delivery[Delivery ID],Allocation!H:H))/Delivery[[#This Row],[Exchange rate for premiums VS USD]]</f>
        <v>0</v>
      </c>
      <c r="AM223" s="171">
        <f>Delivery[[#This Row],[Valor Prêmio Nespresso BEN por Kg (em US$)]]*60</f>
        <v>0</v>
      </c>
      <c r="AN223" s="171">
        <f>Delivery[[#This Row],[Valor Prêmio Nespresso BEN por saca (em US$)]]/1.3228/100</f>
        <v>0</v>
      </c>
      <c r="AO223" s="171">
        <f>SUMIF(Allocation[Delivery ID],Delivery[[#This Row],[Delivery ID]],Allocation[Quantity allocated])*16*1.3228*Delivery[[#This Row],[Exchange rate VS USD]]/60</f>
        <v>6344.2664762879995</v>
      </c>
      <c r="AP223" s="171">
        <f>Delivery[[#This Row],[AAA Premium (total)]]</f>
        <v>8434.75</v>
      </c>
      <c r="AQ223" s="171">
        <f>Delivery[[#This Row],[Valor pago pelo Cluster]]-Delivery[[#This Row],[Valor efetivamente pago pela Nespresso]]</f>
        <v>2090.4835237120005</v>
      </c>
    </row>
    <row r="224" spans="1:43" ht="15.75">
      <c r="A224" s="174" t="s">
        <v>69</v>
      </c>
      <c r="B224" s="232" t="s">
        <v>68</v>
      </c>
      <c r="C224" s="157">
        <v>1</v>
      </c>
      <c r="D224" s="157" t="s">
        <v>468</v>
      </c>
      <c r="E224" s="176" t="s">
        <v>468</v>
      </c>
      <c r="F224" s="233" t="s">
        <v>543</v>
      </c>
      <c r="G224" s="234">
        <v>43398</v>
      </c>
      <c r="H224" s="235" t="s">
        <v>2132</v>
      </c>
      <c r="I224" s="236" t="s">
        <v>1472</v>
      </c>
      <c r="J224" s="237">
        <v>14130</v>
      </c>
      <c r="K224" s="175" t="s">
        <v>61</v>
      </c>
      <c r="L224" s="175" t="s">
        <v>439</v>
      </c>
      <c r="M224" s="175" t="s">
        <v>1343</v>
      </c>
      <c r="N224" s="180"/>
      <c r="O224" s="177"/>
      <c r="P224" s="181">
        <v>0</v>
      </c>
      <c r="Q224" s="177">
        <v>43391</v>
      </c>
      <c r="R224" s="178">
        <v>453.95101999999997</v>
      </c>
      <c r="S224" s="179">
        <v>106229.34</v>
      </c>
      <c r="T224" s="182" t="s">
        <v>45</v>
      </c>
      <c r="U224" s="183">
        <v>3.7027000000000001</v>
      </c>
      <c r="V224" s="179">
        <v>6104.1600000000008</v>
      </c>
      <c r="W224" s="179">
        <v>0</v>
      </c>
      <c r="X224" s="186" t="s">
        <v>45</v>
      </c>
      <c r="Y224" s="183">
        <v>3.7027000000000001</v>
      </c>
      <c r="Z224" s="220"/>
      <c r="AA224" s="172">
        <f>Delivery[[#This Row],[Quantity delivered]]*VLOOKUP(Delivery[[#This Row],[Unit]],Tab_Conversão[],4,FALSE)*VLOOKUP(CONCATENATE(Delivery[[#This Row],[Coffee specie]],Delivery[[#This Row],[Coffee state]]),Tab_Conversão[],4,FALSE)</f>
        <v>14130</v>
      </c>
      <c r="AB224" s="169">
        <f>SUMIF(Allocation!C:C,Delivery[[#This Row],[Delivery ID]],Allocation!D:D)/Delivery[[#This Row],[Quantity delivered]]</f>
        <v>2.0523708421797595E-2</v>
      </c>
      <c r="AC224" s="170">
        <f>Delivery[[#This Row],[Quantity delivered]]*Delivery[[#This Row],[Base price (Unidad)]]/60</f>
        <v>106905.46520999999</v>
      </c>
      <c r="AD224" s="171">
        <f>Delivery[[#This Row],[Nespresso total]]-Delivery[[#This Row],[Qt. Delivery * Base Price]]</f>
        <v>-676.12520999999833</v>
      </c>
      <c r="AE224" s="171">
        <f>Delivery[[#This Row],[AAA Premium (total)]]/Delivery[[#This Row],[Quantity delivered]]*60/Delivery[[#This Row],[Exchange rate VS USD]]</f>
        <v>7.000297080508818</v>
      </c>
      <c r="AF224" s="171">
        <f>Delivery[[#This Row],[BEN premium (total)]]/Delivery[[#This Row],[Quantity delivered]]*60/Delivery[[#This Row],[Exchange rate for premiums VS USD]]</f>
        <v>0</v>
      </c>
      <c r="AG224" s="171">
        <f>COUNTIF(Delivery[Delivery ID],Delivery[[#This Row],[Delivery ID]])</f>
        <v>1</v>
      </c>
      <c r="AH224" s="171">
        <f>(Delivery[[#This Row],[Nespresso total]]/SUMIF(Allocation!C:C,Delivery[Delivery ID],Allocation!H:H))/Delivery[[#This Row],[Exchange rate VS USD]]</f>
        <v>298.85100737299808</v>
      </c>
      <c r="AI224" s="171">
        <f>(Delivery[[#This Row],[AAA Premium (total)]]/SUMIF(Allocation!C:C,Delivery[Delivery ID],Allocation!H:H))/Delivery[[#This Row],[Exchange rate VS USD]]</f>
        <v>17.172603775623195</v>
      </c>
      <c r="AJ224" s="171">
        <f>Delivery[[#This Row],[Valor Prêmio Nespresso AAA por Kg (em US$)]]*60</f>
        <v>1030.3562265373916</v>
      </c>
      <c r="AK224" s="171">
        <f>Delivery[[#This Row],[Valor Prêmio Nespresso AAA por saca (em US$)]]/1.3228/100</f>
        <v>7.7892064298260628</v>
      </c>
      <c r="AL224" s="171">
        <f>(Delivery[[#This Row],[BEN premium (total)]]/SUMIF(Allocation!C:C,Delivery[Delivery ID],Allocation!H:H))/Delivery[[#This Row],[Exchange rate for premiums VS USD]]</f>
        <v>0</v>
      </c>
      <c r="AM224" s="171">
        <f>Delivery[[#This Row],[Valor Prêmio Nespresso BEN por Kg (em US$)]]*60</f>
        <v>0</v>
      </c>
      <c r="AN224" s="171">
        <f>Delivery[[#This Row],[Valor Prêmio Nespresso BEN por saca (em US$)]]/1.3228/100</f>
        <v>0</v>
      </c>
      <c r="AO224" s="171">
        <f>SUMIF(Allocation[Delivery ID],Delivery[[#This Row],[Delivery ID]],Allocation[Quantity allocated])*16*1.3228*Delivery[[#This Row],[Exchange rate VS USD]]/60</f>
        <v>125.387047936</v>
      </c>
      <c r="AP224" s="171">
        <f>Delivery[[#This Row],[AAA Premium (total)]]</f>
        <v>6104.1600000000008</v>
      </c>
      <c r="AQ224" s="171">
        <f>Delivery[[#This Row],[Valor pago pelo Cluster]]-Delivery[[#This Row],[Valor efetivamente pago pela Nespresso]]</f>
        <v>5978.7729520640005</v>
      </c>
    </row>
    <row r="225" spans="1:43" ht="15.75">
      <c r="A225" s="174" t="s">
        <v>69</v>
      </c>
      <c r="B225" s="232" t="s">
        <v>68</v>
      </c>
      <c r="C225" s="157">
        <v>1</v>
      </c>
      <c r="D225" s="157" t="s">
        <v>468</v>
      </c>
      <c r="E225" s="176" t="s">
        <v>468</v>
      </c>
      <c r="F225" s="233" t="s">
        <v>543</v>
      </c>
      <c r="G225" s="234">
        <v>43398</v>
      </c>
      <c r="H225" s="235" t="s">
        <v>2133</v>
      </c>
      <c r="I225" s="236" t="s">
        <v>1472</v>
      </c>
      <c r="J225" s="237">
        <v>20580</v>
      </c>
      <c r="K225" s="175" t="s">
        <v>61</v>
      </c>
      <c r="L225" s="175" t="s">
        <v>439</v>
      </c>
      <c r="M225" s="175" t="s">
        <v>1343</v>
      </c>
      <c r="N225" s="180"/>
      <c r="O225" s="177"/>
      <c r="P225" s="181">
        <v>0</v>
      </c>
      <c r="Q225" s="177">
        <v>43391</v>
      </c>
      <c r="R225" s="178">
        <v>453.95101999999997</v>
      </c>
      <c r="S225" s="179">
        <v>154720.44</v>
      </c>
      <c r="T225" s="182" t="s">
        <v>45</v>
      </c>
      <c r="U225" s="183">
        <v>3.7027000000000001</v>
      </c>
      <c r="V225" s="179">
        <v>8890.5600000000013</v>
      </c>
      <c r="W225" s="179">
        <v>0</v>
      </c>
      <c r="X225" s="186" t="s">
        <v>45</v>
      </c>
      <c r="Y225" s="183">
        <v>3.7027000000000001</v>
      </c>
      <c r="Z225" s="220"/>
      <c r="AA225" s="172">
        <f>Delivery[[#This Row],[Quantity delivered]]*VLOOKUP(Delivery[[#This Row],[Unit]],Tab_Conversão[],4,FALSE)*VLOOKUP(CONCATENATE(Delivery[[#This Row],[Coffee specie]],Delivery[[#This Row],[Coffee state]]),Tab_Conversão[],4,FALSE)</f>
        <v>20580</v>
      </c>
      <c r="AB225" s="169">
        <f>SUMIF(Allocation!C:C,Delivery[[#This Row],[Delivery ID]],Allocation!D:D)/Delivery[[#This Row],[Quantity delivered]]</f>
        <v>0.13445092322643343</v>
      </c>
      <c r="AC225" s="170">
        <f>Delivery[[#This Row],[Quantity delivered]]*Delivery[[#This Row],[Base price (Unidad)]]/60</f>
        <v>155705.19985999999</v>
      </c>
      <c r="AD225" s="171">
        <f>Delivery[[#This Row],[Nespresso total]]-Delivery[[#This Row],[Qt. Delivery * Base Price]]</f>
        <v>-984.75985999999102</v>
      </c>
      <c r="AE225" s="171">
        <f>Delivery[[#This Row],[AAA Premium (total)]]/Delivery[[#This Row],[Quantity delivered]]*60/Delivery[[#This Row],[Exchange rate VS USD]]</f>
        <v>7.000297080508818</v>
      </c>
      <c r="AF225" s="171">
        <f>Delivery[[#This Row],[BEN premium (total)]]/Delivery[[#This Row],[Quantity delivered]]*60/Delivery[[#This Row],[Exchange rate for premiums VS USD]]</f>
        <v>0</v>
      </c>
      <c r="AG225" s="171">
        <f>COUNTIF(Delivery[Delivery ID],Delivery[[#This Row],[Delivery ID]])</f>
        <v>1</v>
      </c>
      <c r="AH225" s="171">
        <f>(Delivery[[#This Row],[Nespresso total]]/SUMIF(Allocation!C:C,Delivery[Delivery ID],Allocation!H:H))/Delivery[[#This Row],[Exchange rate VS USD]]</f>
        <v>45.767626246866243</v>
      </c>
      <c r="AI225" s="171">
        <f>(Delivery[[#This Row],[AAA Premium (total)]]/SUMIF(Allocation!C:C,Delivery[Delivery ID],Allocation!H:H))/Delivery[[#This Row],[Exchange rate VS USD]]</f>
        <v>2.6299035034113087</v>
      </c>
      <c r="AJ225" s="171">
        <f>Delivery[[#This Row],[Valor Prêmio Nespresso AAA por Kg (em US$)]]*60</f>
        <v>157.79421020467854</v>
      </c>
      <c r="AK225" s="171">
        <f>Delivery[[#This Row],[Valor Prêmio Nespresso AAA por saca (em US$)]]/1.3228/100</f>
        <v>1.1928803311511833</v>
      </c>
      <c r="AL225" s="171">
        <f>(Delivery[[#This Row],[BEN premium (total)]]/SUMIF(Allocation!C:C,Delivery[Delivery ID],Allocation!H:H))/Delivery[[#This Row],[Exchange rate for premiums VS USD]]</f>
        <v>0</v>
      </c>
      <c r="AM225" s="171">
        <f>Delivery[[#This Row],[Valor Prêmio Nespresso BEN por Kg (em US$)]]*60</f>
        <v>0</v>
      </c>
      <c r="AN225" s="171">
        <f>Delivery[[#This Row],[Valor Prêmio Nespresso BEN por saca (em US$)]]/1.3228/100</f>
        <v>0</v>
      </c>
      <c r="AO225" s="171">
        <f>SUMIF(Allocation[Delivery ID],Delivery[[#This Row],[Delivery ID]],Allocation[Quantity allocated])*16*1.3228*Delivery[[#This Row],[Exchange rate VS USD]]/60</f>
        <v>1192.4830704746666</v>
      </c>
      <c r="AP225" s="171">
        <f>Delivery[[#This Row],[AAA Premium (total)]]</f>
        <v>8890.5600000000013</v>
      </c>
      <c r="AQ225" s="171">
        <f>Delivery[[#This Row],[Valor pago pelo Cluster]]-Delivery[[#This Row],[Valor efetivamente pago pela Nespresso]]</f>
        <v>7698.0769295253349</v>
      </c>
    </row>
    <row r="226" spans="1:43" ht="15.75">
      <c r="A226" s="174" t="s">
        <v>69</v>
      </c>
      <c r="B226" s="232" t="s">
        <v>68</v>
      </c>
      <c r="C226" s="157">
        <v>1</v>
      </c>
      <c r="D226" s="157" t="s">
        <v>468</v>
      </c>
      <c r="E226" s="176" t="s">
        <v>468</v>
      </c>
      <c r="F226" s="233" t="s">
        <v>543</v>
      </c>
      <c r="G226" s="234">
        <v>43403</v>
      </c>
      <c r="H226" s="157" t="s">
        <v>1471</v>
      </c>
      <c r="I226" s="236" t="s">
        <v>1472</v>
      </c>
      <c r="J226" s="237">
        <v>17610</v>
      </c>
      <c r="K226" s="175" t="s">
        <v>61</v>
      </c>
      <c r="L226" s="175" t="s">
        <v>439</v>
      </c>
      <c r="M226" s="175" t="s">
        <v>1343</v>
      </c>
      <c r="N226" s="180"/>
      <c r="O226" s="177"/>
      <c r="P226" s="181">
        <v>0</v>
      </c>
      <c r="Q226" s="177">
        <v>43396</v>
      </c>
      <c r="R226" s="178">
        <v>449.62918000000002</v>
      </c>
      <c r="S226" s="179">
        <v>131273.3553409091</v>
      </c>
      <c r="T226" s="182" t="s">
        <v>45</v>
      </c>
      <c r="U226" s="183">
        <v>3.7037</v>
      </c>
      <c r="V226" s="179">
        <v>7623.420000000001</v>
      </c>
      <c r="W226" s="179">
        <v>0</v>
      </c>
      <c r="X226" s="186" t="s">
        <v>45</v>
      </c>
      <c r="Y226" s="183">
        <v>3.7037</v>
      </c>
      <c r="Z226" s="220"/>
      <c r="AA226" s="172">
        <f>Delivery[[#This Row],[Quantity delivered]]*VLOOKUP(Delivery[[#This Row],[Unit]],Tab_Conversão[],4,FALSE)*VLOOKUP(CONCATENATE(Delivery[[#This Row],[Coffee specie]],Delivery[[#This Row],[Coffee state]]),Tab_Conversão[],4,FALSE)</f>
        <v>17610</v>
      </c>
      <c r="AB226" s="169">
        <f>SUMIF(Allocation!C:C,Delivery[[#This Row],[Delivery ID]],Allocation!D:D)/Delivery[[#This Row],[Quantity delivered]]</f>
        <v>1</v>
      </c>
      <c r="AC226" s="170">
        <f>Delivery[[#This Row],[Quantity delivered]]*Delivery[[#This Row],[Base price (Unidad)]]/60</f>
        <v>131966.16433</v>
      </c>
      <c r="AD226" s="171">
        <f>Delivery[[#This Row],[Nespresso total]]-Delivery[[#This Row],[Qt. Delivery * Base Price]]</f>
        <v>-692.8089890909032</v>
      </c>
      <c r="AE226" s="171">
        <f>Delivery[[#This Row],[AAA Premium (total)]]/Delivery[[#This Row],[Quantity delivered]]*60/Delivery[[#This Row],[Exchange rate VS USD]]</f>
        <v>7.0130339295586328</v>
      </c>
      <c r="AF226" s="171">
        <f>Delivery[[#This Row],[BEN premium (total)]]/Delivery[[#This Row],[Quantity delivered]]*60/Delivery[[#This Row],[Exchange rate for premiums VS USD]]</f>
        <v>0</v>
      </c>
      <c r="AG226" s="171">
        <f>COUNTIF(Delivery[Delivery ID],Delivery[[#This Row],[Delivery ID]])</f>
        <v>1</v>
      </c>
      <c r="AH226" s="171">
        <f>(Delivery[[#This Row],[Nespresso total]]/SUMIF(Allocation!C:C,Delivery[Delivery ID],Allocation!H:H))/Delivery[[#This Row],[Exchange rate VS USD]]</f>
        <v>6.7090367946028477</v>
      </c>
      <c r="AI226" s="171">
        <f>(Delivery[[#This Row],[AAA Premium (total)]]/SUMIF(Allocation!C:C,Delivery[Delivery ID],Allocation!H:H))/Delivery[[#This Row],[Exchange rate VS USD]]</f>
        <v>0.38961299608659067</v>
      </c>
      <c r="AJ226" s="171">
        <f>Delivery[[#This Row],[Valor Prêmio Nespresso AAA por Kg (em US$)]]*60</f>
        <v>23.37677976519544</v>
      </c>
      <c r="AK226" s="171">
        <f>Delivery[[#This Row],[Valor Prêmio Nespresso AAA por saca (em US$)]]/1.3228/100</f>
        <v>0.17672195165705656</v>
      </c>
      <c r="AL226" s="171">
        <f>(Delivery[[#This Row],[BEN premium (total)]]/SUMIF(Allocation!C:C,Delivery[Delivery ID],Allocation!H:H))/Delivery[[#This Row],[Exchange rate for premiums VS USD]]</f>
        <v>0</v>
      </c>
      <c r="AM226" s="171">
        <f>Delivery[[#This Row],[Valor Prêmio Nespresso BEN por Kg (em US$)]]*60</f>
        <v>0</v>
      </c>
      <c r="AN226" s="171">
        <f>Delivery[[#This Row],[Valor Prêmio Nespresso BEN por saca (em US$)]]/1.3228/100</f>
        <v>0</v>
      </c>
      <c r="AO226" s="171">
        <f>SUMIF(Allocation[Delivery ID],Delivery[[#This Row],[Delivery ID]],Allocation[Quantity allocated])*16*1.3228*Delivery[[#This Row],[Exchange rate VS USD]]/60</f>
        <v>6902.0695423679999</v>
      </c>
      <c r="AP226" s="171">
        <f>Delivery[[#This Row],[AAA Premium (total)]]</f>
        <v>7623.420000000001</v>
      </c>
      <c r="AQ226" s="171">
        <f>Delivery[[#This Row],[Valor pago pelo Cluster]]-Delivery[[#This Row],[Valor efetivamente pago pela Nespresso]]</f>
        <v>721.35045763200105</v>
      </c>
    </row>
    <row r="227" spans="1:43" ht="15.75">
      <c r="A227" s="174" t="s">
        <v>69</v>
      </c>
      <c r="B227" s="232" t="s">
        <v>68</v>
      </c>
      <c r="C227" s="157">
        <v>1</v>
      </c>
      <c r="D227" s="157" t="s">
        <v>468</v>
      </c>
      <c r="E227" s="176" t="s">
        <v>468</v>
      </c>
      <c r="F227" s="233" t="s">
        <v>543</v>
      </c>
      <c r="G227" s="234">
        <v>43403</v>
      </c>
      <c r="H227" s="157" t="s">
        <v>1473</v>
      </c>
      <c r="I227" s="236" t="s">
        <v>1472</v>
      </c>
      <c r="J227" s="237">
        <v>3510</v>
      </c>
      <c r="K227" s="175" t="s">
        <v>61</v>
      </c>
      <c r="L227" s="175" t="s">
        <v>439</v>
      </c>
      <c r="M227" s="175" t="s">
        <v>1343</v>
      </c>
      <c r="N227" s="180"/>
      <c r="O227" s="177"/>
      <c r="P227" s="181">
        <v>0</v>
      </c>
      <c r="Q227" s="177">
        <v>43396</v>
      </c>
      <c r="R227" s="178">
        <v>449.62918000000002</v>
      </c>
      <c r="S227" s="179">
        <v>25897.464659090911</v>
      </c>
      <c r="T227" s="182" t="s">
        <v>45</v>
      </c>
      <c r="U227" s="183">
        <v>3.7037</v>
      </c>
      <c r="V227" s="179">
        <v>1503.9400000000003</v>
      </c>
      <c r="W227" s="179">
        <v>0</v>
      </c>
      <c r="X227" s="186" t="s">
        <v>45</v>
      </c>
      <c r="Y227" s="183">
        <v>3.7037</v>
      </c>
      <c r="Z227" s="220"/>
      <c r="AA227" s="172">
        <f>Delivery[[#This Row],[Quantity delivered]]*VLOOKUP(Delivery[[#This Row],[Unit]],Tab_Conversão[],4,FALSE)*VLOOKUP(CONCATENATE(Delivery[[#This Row],[Coffee specie]],Delivery[[#This Row],[Coffee state]]),Tab_Conversão[],4,FALSE)</f>
        <v>3510</v>
      </c>
      <c r="AB227" s="169">
        <f>SUMIF(Allocation!C:C,Delivery[[#This Row],[Delivery ID]],Allocation!D:D)/Delivery[[#This Row],[Quantity delivered]]</f>
        <v>1</v>
      </c>
      <c r="AC227" s="170">
        <f>Delivery[[#This Row],[Quantity delivered]]*Delivery[[#This Row],[Base price (Unidad)]]/60</f>
        <v>26303.307030000004</v>
      </c>
      <c r="AD227" s="171">
        <f>Delivery[[#This Row],[Nespresso total]]-Delivery[[#This Row],[Qt. Delivery * Base Price]]</f>
        <v>-405.84237090909301</v>
      </c>
      <c r="AE227" s="171">
        <f>Delivery[[#This Row],[AAA Premium (total)]]/Delivery[[#This Row],[Quantity delivered]]*60/Delivery[[#This Row],[Exchange rate VS USD]]</f>
        <v>6.9412684797300193</v>
      </c>
      <c r="AF227" s="171">
        <f>Delivery[[#This Row],[BEN premium (total)]]/Delivery[[#This Row],[Quantity delivered]]*60/Delivery[[#This Row],[Exchange rate for premiums VS USD]]</f>
        <v>0</v>
      </c>
      <c r="AG227" s="171">
        <f>COUNTIF(Delivery[Delivery ID],Delivery[[#This Row],[Delivery ID]])</f>
        <v>1</v>
      </c>
      <c r="AH227" s="171">
        <f>(Delivery[[#This Row],[Nespresso total]]/SUMIF(Allocation!C:C,Delivery[Delivery ID],Allocation!H:H))/Delivery[[#This Row],[Exchange rate VS USD]]</f>
        <v>6.6403821939952481</v>
      </c>
      <c r="AI227" s="171">
        <f>(Delivery[[#This Row],[AAA Premium (total)]]/SUMIF(Allocation!C:C,Delivery[Delivery ID],Allocation!H:H))/Delivery[[#This Row],[Exchange rate VS USD]]</f>
        <v>0.38562602665166773</v>
      </c>
      <c r="AJ227" s="171">
        <f>Delivery[[#This Row],[Valor Prêmio Nespresso AAA por Kg (em US$)]]*60</f>
        <v>23.137561599100064</v>
      </c>
      <c r="AK227" s="171">
        <f>Delivery[[#This Row],[Valor Prêmio Nespresso AAA por saca (em US$)]]/1.3228/100</f>
        <v>0.17491352887133402</v>
      </c>
      <c r="AL227" s="171">
        <f>(Delivery[[#This Row],[BEN premium (total)]]/SUMIF(Allocation!C:C,Delivery[Delivery ID],Allocation!H:H))/Delivery[[#This Row],[Exchange rate for premiums VS USD]]</f>
        <v>0</v>
      </c>
      <c r="AM227" s="171">
        <f>Delivery[[#This Row],[Valor Prêmio Nespresso BEN por Kg (em US$)]]*60</f>
        <v>0</v>
      </c>
      <c r="AN227" s="171">
        <f>Delivery[[#This Row],[Valor Prêmio Nespresso BEN por saca (em US$)]]/1.3228/100</f>
        <v>0</v>
      </c>
      <c r="AO227" s="171">
        <f>SUMIF(Allocation[Delivery ID],Delivery[[#This Row],[Delivery ID]],Allocation[Quantity allocated])*16*1.3228*Delivery[[#This Row],[Exchange rate VS USD]]/60</f>
        <v>1375.710624288</v>
      </c>
      <c r="AP227" s="171">
        <f>Delivery[[#This Row],[AAA Premium (total)]]</f>
        <v>1503.9400000000003</v>
      </c>
      <c r="AQ227" s="171">
        <f>Delivery[[#This Row],[Valor pago pelo Cluster]]-Delivery[[#This Row],[Valor efetivamente pago pela Nespresso]]</f>
        <v>128.22937571200032</v>
      </c>
    </row>
    <row r="228" spans="1:43" ht="15.75">
      <c r="A228" s="174" t="s">
        <v>69</v>
      </c>
      <c r="B228" s="232" t="s">
        <v>68</v>
      </c>
      <c r="C228" s="157" t="s">
        <v>1344</v>
      </c>
      <c r="D228" s="157" t="s">
        <v>468</v>
      </c>
      <c r="E228" s="176" t="s">
        <v>468</v>
      </c>
      <c r="F228" s="233" t="s">
        <v>543</v>
      </c>
      <c r="G228" s="234">
        <v>43347</v>
      </c>
      <c r="H228" s="235" t="s">
        <v>1474</v>
      </c>
      <c r="I228" s="157" t="s">
        <v>947</v>
      </c>
      <c r="J228" s="237">
        <v>14900</v>
      </c>
      <c r="K228" s="175" t="s">
        <v>61</v>
      </c>
      <c r="L228" s="175" t="s">
        <v>439</v>
      </c>
      <c r="M228" s="175" t="s">
        <v>1343</v>
      </c>
      <c r="N228" s="180"/>
      <c r="O228" s="177"/>
      <c r="P228" s="181">
        <v>0</v>
      </c>
      <c r="Q228" s="177">
        <v>43340</v>
      </c>
      <c r="R228" s="178">
        <v>454.93905999999998</v>
      </c>
      <c r="S228" s="179">
        <v>103880.31666666667</v>
      </c>
      <c r="T228" s="182" t="s">
        <v>45</v>
      </c>
      <c r="U228" s="183">
        <v>4.4126000000000003</v>
      </c>
      <c r="V228" s="179">
        <v>7670.5696666666672</v>
      </c>
      <c r="W228" s="179">
        <v>0</v>
      </c>
      <c r="X228" s="186" t="s">
        <v>45</v>
      </c>
      <c r="Y228" s="183">
        <v>4.4126000000000003</v>
      </c>
      <c r="Z228" s="220"/>
      <c r="AA228" s="172">
        <f>Delivery[[#This Row],[Quantity delivered]]*VLOOKUP(Delivery[[#This Row],[Unit]],Tab_Conversão[],4,FALSE)*VLOOKUP(CONCATENATE(Delivery[[#This Row],[Coffee specie]],Delivery[[#This Row],[Coffee state]]),Tab_Conversão[],4,FALSE)</f>
        <v>14900</v>
      </c>
      <c r="AB228" s="169">
        <f>SUMIF(Allocation!C:C,Delivery[[#This Row],[Delivery ID]],Allocation!D:D)/Delivery[[#This Row],[Quantity delivered]]</f>
        <v>0.78771812080536918</v>
      </c>
      <c r="AC228" s="170">
        <f>Delivery[[#This Row],[Quantity delivered]]*Delivery[[#This Row],[Base price (Unidad)]]/60</f>
        <v>112976.53323333334</v>
      </c>
      <c r="AD228" s="171">
        <f>Delivery[[#This Row],[Nespresso total]]-Delivery[[#This Row],[Qt. Delivery * Base Price]]</f>
        <v>-9096.2165666666697</v>
      </c>
      <c r="AE228" s="171">
        <f>Delivery[[#This Row],[AAA Premium (total)]]/Delivery[[#This Row],[Quantity delivered]]*60/Delivery[[#This Row],[Exchange rate VS USD]]</f>
        <v>7.0000000000000009</v>
      </c>
      <c r="AF228" s="171">
        <f>Delivery[[#This Row],[BEN premium (total)]]/Delivery[[#This Row],[Quantity delivered]]*60/Delivery[[#This Row],[Exchange rate for premiums VS USD]]</f>
        <v>0</v>
      </c>
      <c r="AG228" s="171">
        <f>COUNTIF(Delivery[Delivery ID],Delivery[[#This Row],[Delivery ID]])</f>
        <v>1</v>
      </c>
      <c r="AH228" s="171">
        <f>(Delivery[[#This Row],[Nespresso total]]/SUMIF(Allocation!C:C,Delivery[Delivery ID],Allocation!H:H))/Delivery[[#This Row],[Exchange rate VS USD]]</f>
        <v>6.6860970955733379</v>
      </c>
      <c r="AI228" s="171">
        <f>(Delivery[[#This Row],[AAA Premium (total)]]/SUMIF(Allocation!C:C,Delivery[Delivery ID],Allocation!H:H))/Delivery[[#This Row],[Exchange rate VS USD]]</f>
        <v>0.4937044400265076</v>
      </c>
      <c r="AJ228" s="171">
        <f>Delivery[[#This Row],[Valor Prêmio Nespresso AAA por Kg (em US$)]]*60</f>
        <v>29.622266401590455</v>
      </c>
      <c r="AK228" s="171">
        <f>Delivery[[#This Row],[Valor Prêmio Nespresso AAA por saca (em US$)]]/1.3228/100</f>
        <v>0.223936093147796</v>
      </c>
      <c r="AL228" s="171">
        <f>(Delivery[[#This Row],[BEN premium (total)]]/SUMIF(Allocation!C:C,Delivery[Delivery ID],Allocation!H:H))/Delivery[[#This Row],[Exchange rate for premiums VS USD]]</f>
        <v>0</v>
      </c>
      <c r="AM228" s="171">
        <f>Delivery[[#This Row],[Valor Prêmio Nespresso BEN por Kg (em US$)]]*60</f>
        <v>0</v>
      </c>
      <c r="AN228" s="171">
        <f>Delivery[[#This Row],[Valor Prêmio Nespresso BEN por saca (em US$)]]/1.3228/100</f>
        <v>0</v>
      </c>
      <c r="AO228" s="171">
        <f>SUMIF(Allocation[Delivery ID],Delivery[[#This Row],[Delivery ID]],Allocation[Quantity allocated])*16*1.3228*Delivery[[#This Row],[Exchange rate VS USD]]/60</f>
        <v>5480.5419234346673</v>
      </c>
      <c r="AP228" s="171">
        <f>Delivery[[#This Row],[AAA Premium (total)]]</f>
        <v>7670.5696666666672</v>
      </c>
      <c r="AQ228" s="171">
        <f>Delivery[[#This Row],[Valor pago pelo Cluster]]-Delivery[[#This Row],[Valor efetivamente pago pela Nespresso]]</f>
        <v>2190.0277432319999</v>
      </c>
    </row>
    <row r="229" spans="1:43" ht="15.75">
      <c r="A229" s="174" t="s">
        <v>69</v>
      </c>
      <c r="B229" s="232" t="s">
        <v>68</v>
      </c>
      <c r="C229" s="157" t="s">
        <v>1344</v>
      </c>
      <c r="D229" s="157" t="s">
        <v>468</v>
      </c>
      <c r="E229" s="177" t="s">
        <v>468</v>
      </c>
      <c r="F229" s="233" t="s">
        <v>543</v>
      </c>
      <c r="G229" s="234">
        <v>43347</v>
      </c>
      <c r="H229" s="235" t="s">
        <v>1475</v>
      </c>
      <c r="I229" s="157" t="s">
        <v>947</v>
      </c>
      <c r="J229" s="237">
        <v>14890</v>
      </c>
      <c r="K229" s="175" t="s">
        <v>61</v>
      </c>
      <c r="L229" s="175" t="s">
        <v>439</v>
      </c>
      <c r="M229" s="175" t="s">
        <v>1343</v>
      </c>
      <c r="N229" s="180"/>
      <c r="O229" s="177"/>
      <c r="P229" s="181">
        <v>0</v>
      </c>
      <c r="Q229" s="177">
        <v>43340</v>
      </c>
      <c r="R229" s="178">
        <v>454.93905999999998</v>
      </c>
      <c r="S229" s="179">
        <v>103810.59833333334</v>
      </c>
      <c r="T229" s="182" t="s">
        <v>45</v>
      </c>
      <c r="U229" s="183">
        <v>4.4126000000000003</v>
      </c>
      <c r="V229" s="179">
        <v>7665.4216333333343</v>
      </c>
      <c r="W229" s="179">
        <v>0</v>
      </c>
      <c r="X229" s="186" t="s">
        <v>45</v>
      </c>
      <c r="Y229" s="183">
        <v>4.4126000000000003</v>
      </c>
      <c r="Z229" s="220"/>
      <c r="AA229" s="172">
        <f>Delivery[[#This Row],[Quantity delivered]]*VLOOKUP(Delivery[[#This Row],[Unit]],Tab_Conversão[],4,FALSE)*VLOOKUP(CONCATENATE(Delivery[[#This Row],[Coffee specie]],Delivery[[#This Row],[Coffee state]]),Tab_Conversão[],4,FALSE)</f>
        <v>14890</v>
      </c>
      <c r="AB229" s="169">
        <f>SUMIF(Allocation!C:C,Delivery[[#This Row],[Delivery ID]],Allocation!D:D)/Delivery[[#This Row],[Quantity delivered]]</f>
        <v>0.78844862323707188</v>
      </c>
      <c r="AC229" s="170">
        <f>Delivery[[#This Row],[Quantity delivered]]*Delivery[[#This Row],[Base price (Unidad)]]/60</f>
        <v>112900.71005666666</v>
      </c>
      <c r="AD229" s="171">
        <f>Delivery[[#This Row],[Nespresso total]]-Delivery[[#This Row],[Qt. Delivery * Base Price]]</f>
        <v>-9090.1117233333207</v>
      </c>
      <c r="AE229" s="171">
        <f>Delivery[[#This Row],[AAA Premium (total)]]/Delivery[[#This Row],[Quantity delivered]]*60/Delivery[[#This Row],[Exchange rate VS USD]]</f>
        <v>7.0000000000000009</v>
      </c>
      <c r="AF229" s="171">
        <f>Delivery[[#This Row],[BEN premium (total)]]/Delivery[[#This Row],[Quantity delivered]]*60/Delivery[[#This Row],[Exchange rate for premiums VS USD]]</f>
        <v>0</v>
      </c>
      <c r="AG229" s="171">
        <f>COUNTIF(Delivery[Delivery ID],Delivery[[#This Row],[Delivery ID]])</f>
        <v>1</v>
      </c>
      <c r="AH229" s="171">
        <f>(Delivery[[#This Row],[Nespresso total]]/SUMIF(Allocation!C:C,Delivery[Delivery ID],Allocation!H:H))/Delivery[[#This Row],[Exchange rate VS USD]]</f>
        <v>6.679712675390725</v>
      </c>
      <c r="AI229" s="171">
        <f>(Delivery[[#This Row],[AAA Premium (total)]]/SUMIF(Allocation!C:C,Delivery[Delivery ID],Allocation!H:H))/Delivery[[#This Row],[Exchange rate VS USD]]</f>
        <v>0.49323301154646987</v>
      </c>
      <c r="AJ229" s="171">
        <f>Delivery[[#This Row],[Valor Prêmio Nespresso AAA por Kg (em US$)]]*60</f>
        <v>29.593980692788193</v>
      </c>
      <c r="AK229" s="171">
        <f>Delivery[[#This Row],[Valor Prêmio Nespresso AAA por saca (em US$)]]/1.3228/100</f>
        <v>0.22372226105827181</v>
      </c>
      <c r="AL229" s="171">
        <f>(Delivery[[#This Row],[BEN premium (total)]]/SUMIF(Allocation!C:C,Delivery[Delivery ID],Allocation!H:H))/Delivery[[#This Row],[Exchange rate for premiums VS USD]]</f>
        <v>0</v>
      </c>
      <c r="AM229" s="171">
        <f>Delivery[[#This Row],[Valor Prêmio Nespresso BEN por Kg (em US$)]]*60</f>
        <v>0</v>
      </c>
      <c r="AN229" s="171">
        <f>Delivery[[#This Row],[Valor Prêmio Nespresso BEN por saca (em US$)]]/1.3228/100</f>
        <v>0</v>
      </c>
      <c r="AO229" s="171">
        <f>SUMIF(Allocation[Delivery ID],Delivery[[#This Row],[Delivery ID]],Allocation[Quantity allocated])*16*1.3228*Delivery[[#This Row],[Exchange rate VS USD]]/60</f>
        <v>5482.0984533760011</v>
      </c>
      <c r="AP229" s="171">
        <f>Delivery[[#This Row],[AAA Premium (total)]]</f>
        <v>7665.4216333333343</v>
      </c>
      <c r="AQ229" s="171">
        <f>Delivery[[#This Row],[Valor pago pelo Cluster]]-Delivery[[#This Row],[Valor efetivamente pago pela Nespresso]]</f>
        <v>2183.3231799573332</v>
      </c>
    </row>
    <row r="230" spans="1:43" ht="15.75">
      <c r="A230" s="174" t="s">
        <v>69</v>
      </c>
      <c r="B230" s="232" t="s">
        <v>68</v>
      </c>
      <c r="C230" s="157" t="s">
        <v>1344</v>
      </c>
      <c r="D230" s="157" t="s">
        <v>468</v>
      </c>
      <c r="E230" s="177" t="s">
        <v>468</v>
      </c>
      <c r="F230" s="233" t="s">
        <v>543</v>
      </c>
      <c r="G230" s="234">
        <v>43347</v>
      </c>
      <c r="H230" s="235" t="s">
        <v>1476</v>
      </c>
      <c r="I230" s="157" t="s">
        <v>947</v>
      </c>
      <c r="J230" s="237">
        <v>18730</v>
      </c>
      <c r="K230" s="175" t="s">
        <v>61</v>
      </c>
      <c r="L230" s="175" t="s">
        <v>439</v>
      </c>
      <c r="M230" s="175" t="s">
        <v>1343</v>
      </c>
      <c r="N230" s="180"/>
      <c r="O230" s="177"/>
      <c r="P230" s="181">
        <v>0</v>
      </c>
      <c r="Q230" s="177">
        <v>43340</v>
      </c>
      <c r="R230" s="178">
        <v>454.93905999999998</v>
      </c>
      <c r="S230" s="179">
        <v>130582.43833333334</v>
      </c>
      <c r="T230" s="182" t="s">
        <v>45</v>
      </c>
      <c r="U230" s="183">
        <v>4.4126000000000003</v>
      </c>
      <c r="V230" s="179">
        <v>9642.2664333333341</v>
      </c>
      <c r="W230" s="179">
        <v>0</v>
      </c>
      <c r="X230" s="186" t="s">
        <v>45</v>
      </c>
      <c r="Y230" s="183">
        <v>4.4126000000000003</v>
      </c>
      <c r="Z230" s="220"/>
      <c r="AA230" s="172">
        <f>Delivery[[#This Row],[Quantity delivered]]*VLOOKUP(Delivery[[#This Row],[Unit]],Tab_Conversão[],4,FALSE)*VLOOKUP(CONCATENATE(Delivery[[#This Row],[Coffee specie]],Delivery[[#This Row],[Coffee state]]),Tab_Conversão[],4,FALSE)</f>
        <v>18730</v>
      </c>
      <c r="AB230" s="169">
        <f>SUMIF(Allocation!C:C,Delivery[[#This Row],[Delivery ID]],Allocation!D:D)/Delivery[[#This Row],[Quantity delivered]]</f>
        <v>0.78873465029364653</v>
      </c>
      <c r="AC230" s="170">
        <f>Delivery[[#This Row],[Quantity delivered]]*Delivery[[#This Row],[Base price (Unidad)]]/60</f>
        <v>142016.80989666664</v>
      </c>
      <c r="AD230" s="171">
        <f>Delivery[[#This Row],[Nespresso total]]-Delivery[[#This Row],[Qt. Delivery * Base Price]]</f>
        <v>-11434.371563333305</v>
      </c>
      <c r="AE230" s="171">
        <f>Delivery[[#This Row],[AAA Premium (total)]]/Delivery[[#This Row],[Quantity delivered]]*60/Delivery[[#This Row],[Exchange rate VS USD]]</f>
        <v>7.0000000000000009</v>
      </c>
      <c r="AF230" s="171">
        <f>Delivery[[#This Row],[BEN premium (total)]]/Delivery[[#This Row],[Quantity delivered]]*60/Delivery[[#This Row],[Exchange rate for premiums VS USD]]</f>
        <v>0</v>
      </c>
      <c r="AG230" s="171">
        <f>COUNTIF(Delivery[Delivery ID],Delivery[[#This Row],[Delivery ID]])</f>
        <v>1</v>
      </c>
      <c r="AH230" s="171">
        <f>(Delivery[[#This Row],[Nespresso total]]/SUMIF(Allocation!C:C,Delivery[Delivery ID],Allocation!H:H))/Delivery[[#This Row],[Exchange rate VS USD]]</f>
        <v>6.6771396807675734</v>
      </c>
      <c r="AI230" s="171">
        <f>(Delivery[[#This Row],[AAA Premium (total)]]/SUMIF(Allocation!C:C,Delivery[Delivery ID],Allocation!H:H))/Delivery[[#This Row],[Exchange rate VS USD]]</f>
        <v>0.49304302045728038</v>
      </c>
      <c r="AJ230" s="171">
        <f>Delivery[[#This Row],[Valor Prêmio Nespresso AAA por Kg (em US$)]]*60</f>
        <v>29.582581227436823</v>
      </c>
      <c r="AK230" s="171">
        <f>Delivery[[#This Row],[Valor Prêmio Nespresso AAA por saca (em US$)]]/1.3228/100</f>
        <v>0.22363608427152118</v>
      </c>
      <c r="AL230" s="171">
        <f>(Delivery[[#This Row],[BEN premium (total)]]/SUMIF(Allocation!C:C,Delivery[Delivery ID],Allocation!H:H))/Delivery[[#This Row],[Exchange rate for premiums VS USD]]</f>
        <v>0</v>
      </c>
      <c r="AM230" s="171">
        <f>Delivery[[#This Row],[Valor Prêmio Nespresso BEN por Kg (em US$)]]*60</f>
        <v>0</v>
      </c>
      <c r="AN230" s="171">
        <f>Delivery[[#This Row],[Valor Prêmio Nespresso BEN por saca (em US$)]]/1.3228/100</f>
        <v>0</v>
      </c>
      <c r="AO230" s="171">
        <f>SUMIF(Allocation[Delivery ID],Delivery[[#This Row],[Delivery ID]],Allocation[Quantity allocated])*16*1.3228*Delivery[[#This Row],[Exchange rate VS USD]]/60</f>
        <v>6898.540699989333</v>
      </c>
      <c r="AP230" s="171">
        <f>Delivery[[#This Row],[AAA Premium (total)]]</f>
        <v>9642.2664333333341</v>
      </c>
      <c r="AQ230" s="171">
        <f>Delivery[[#This Row],[Valor pago pelo Cluster]]-Delivery[[#This Row],[Valor efetivamente pago pela Nespresso]]</f>
        <v>2743.7257333440011</v>
      </c>
    </row>
    <row r="231" spans="1:43" ht="15.75">
      <c r="A231" s="174" t="s">
        <v>69</v>
      </c>
      <c r="B231" s="232" t="s">
        <v>68</v>
      </c>
      <c r="C231" s="157" t="s">
        <v>1344</v>
      </c>
      <c r="D231" s="157" t="s">
        <v>468</v>
      </c>
      <c r="E231" s="177" t="s">
        <v>468</v>
      </c>
      <c r="F231" s="233" t="s">
        <v>543</v>
      </c>
      <c r="G231" s="234">
        <v>43347</v>
      </c>
      <c r="H231" s="235" t="s">
        <v>1477</v>
      </c>
      <c r="I231" s="157" t="s">
        <v>1478</v>
      </c>
      <c r="J231" s="237">
        <v>820</v>
      </c>
      <c r="K231" s="175" t="s">
        <v>472</v>
      </c>
      <c r="L231" s="175" t="s">
        <v>439</v>
      </c>
      <c r="M231" s="175" t="s">
        <v>1343</v>
      </c>
      <c r="N231" s="180"/>
      <c r="O231" s="177"/>
      <c r="P231" s="181">
        <v>0</v>
      </c>
      <c r="Q231" s="177">
        <v>43340</v>
      </c>
      <c r="R231" s="178">
        <v>454.93905999999998</v>
      </c>
      <c r="S231" s="179">
        <v>5716.9033333333336</v>
      </c>
      <c r="T231" s="182" t="s">
        <v>45</v>
      </c>
      <c r="U231" s="183">
        <v>4.4126000000000003</v>
      </c>
      <c r="V231" s="179">
        <v>422.13873333333339</v>
      </c>
      <c r="W231" s="179">
        <v>0</v>
      </c>
      <c r="X231" s="186" t="s">
        <v>45</v>
      </c>
      <c r="Y231" s="183">
        <v>4.4126000000000003</v>
      </c>
      <c r="Z231" s="220"/>
      <c r="AA231" s="172">
        <f>Delivery[[#This Row],[Quantity delivered]]*VLOOKUP(Delivery[[#This Row],[Unit]],Tab_Conversão[],4,FALSE)*VLOOKUP(CONCATENATE(Delivery[[#This Row],[Coffee specie]],Delivery[[#This Row],[Coffee state]]),Tab_Conversão[],4,FALSE)</f>
        <v>820</v>
      </c>
      <c r="AB231" s="169">
        <f>SUMIF(Allocation!C:C,Delivery[[#This Row],[Delivery ID]],Allocation!D:D)/Delivery[[#This Row],[Quantity delivered]]</f>
        <v>0.7475609756097561</v>
      </c>
      <c r="AC231" s="170">
        <f>Delivery[[#This Row],[Quantity delivered]]*Delivery[[#This Row],[Base price (Unidad)]]/60</f>
        <v>6217.5004866666668</v>
      </c>
      <c r="AD231" s="171">
        <f>Delivery[[#This Row],[Nespresso total]]-Delivery[[#This Row],[Qt. Delivery * Base Price]]</f>
        <v>-500.59715333333315</v>
      </c>
      <c r="AE231" s="171">
        <f>Delivery[[#This Row],[AAA Premium (total)]]/Delivery[[#This Row],[Quantity delivered]]*60/Delivery[[#This Row],[Exchange rate VS USD]]</f>
        <v>7.0000000000000009</v>
      </c>
      <c r="AF231" s="171">
        <f>Delivery[[#This Row],[BEN premium (total)]]/Delivery[[#This Row],[Quantity delivered]]*60/Delivery[[#This Row],[Exchange rate for premiums VS USD]]</f>
        <v>0</v>
      </c>
      <c r="AG231" s="171">
        <f>COUNTIF(Delivery[Delivery ID],Delivery[[#This Row],[Delivery ID]])</f>
        <v>1</v>
      </c>
      <c r="AH231" s="171">
        <f>(Delivery[[#This Row],[Nespresso total]]/SUMIF(Allocation!C:C,Delivery[Delivery ID],Allocation!H:H))/Delivery[[#This Row],[Exchange rate VS USD]]</f>
        <v>7.0412289379491009</v>
      </c>
      <c r="AI231" s="171">
        <f>(Delivery[[#This Row],[AAA Premium (total)]]/SUMIF(Allocation!C:C,Delivery[Delivery ID],Allocation!H:H))/Delivery[[#This Row],[Exchange rate VS USD]]</f>
        <v>0.51992753623188404</v>
      </c>
      <c r="AJ231" s="171">
        <f>Delivery[[#This Row],[Valor Prêmio Nespresso AAA por Kg (em US$)]]*60</f>
        <v>31.195652173913043</v>
      </c>
      <c r="AK231" s="171">
        <f>Delivery[[#This Row],[Valor Prêmio Nespresso AAA por saca (em US$)]]/1.3228/100</f>
        <v>0.23583045187415366</v>
      </c>
      <c r="AL231" s="171">
        <f>(Delivery[[#This Row],[BEN premium (total)]]/SUMIF(Allocation!C:C,Delivery[Delivery ID],Allocation!H:H))/Delivery[[#This Row],[Exchange rate for premiums VS USD]]</f>
        <v>0</v>
      </c>
      <c r="AM231" s="171">
        <f>Delivery[[#This Row],[Valor Prêmio Nespresso BEN por Kg (em US$)]]*60</f>
        <v>0</v>
      </c>
      <c r="AN231" s="171">
        <f>Delivery[[#This Row],[Valor Prêmio Nespresso BEN por saca (em US$)]]/1.3228/100</f>
        <v>0</v>
      </c>
      <c r="AO231" s="171">
        <f>SUMIF(Allocation[Delivery ID],Delivery[[#This Row],[Delivery ID]],Allocation[Quantity allocated])*16*1.3228*Delivery[[#This Row],[Exchange rate VS USD]]/60</f>
        <v>286.40150920533335</v>
      </c>
      <c r="AP231" s="171">
        <f>Delivery[[#This Row],[AAA Premium (total)]]</f>
        <v>422.13873333333339</v>
      </c>
      <c r="AQ231" s="171">
        <f>Delivery[[#This Row],[Valor pago pelo Cluster]]-Delivery[[#This Row],[Valor efetivamente pago pela Nespresso]]</f>
        <v>135.73722412800004</v>
      </c>
    </row>
    <row r="232" spans="1:43" ht="15.75">
      <c r="A232" s="174" t="s">
        <v>69</v>
      </c>
      <c r="B232" s="232" t="s">
        <v>68</v>
      </c>
      <c r="C232" s="157" t="s">
        <v>1344</v>
      </c>
      <c r="D232" s="157" t="s">
        <v>468</v>
      </c>
      <c r="E232" s="177" t="s">
        <v>468</v>
      </c>
      <c r="F232" s="233" t="s">
        <v>543</v>
      </c>
      <c r="G232" s="234">
        <v>43347</v>
      </c>
      <c r="H232" s="235" t="s">
        <v>1479</v>
      </c>
      <c r="I232" s="157" t="s">
        <v>1478</v>
      </c>
      <c r="J232" s="237">
        <v>19050</v>
      </c>
      <c r="K232" s="175" t="s">
        <v>61</v>
      </c>
      <c r="L232" s="175" t="s">
        <v>439</v>
      </c>
      <c r="M232" s="175" t="s">
        <v>1343</v>
      </c>
      <c r="N232" s="180"/>
      <c r="O232" s="177"/>
      <c r="P232" s="181">
        <v>0</v>
      </c>
      <c r="Q232" s="177">
        <v>43340</v>
      </c>
      <c r="R232" s="178">
        <v>454.93905999999998</v>
      </c>
      <c r="S232" s="179">
        <v>132813.42500000002</v>
      </c>
      <c r="T232" s="182" t="s">
        <v>45</v>
      </c>
      <c r="U232" s="183">
        <v>4.4126000000000003</v>
      </c>
      <c r="V232" s="179">
        <v>9807.0035000000007</v>
      </c>
      <c r="W232" s="179">
        <v>0</v>
      </c>
      <c r="X232" s="184" t="s">
        <v>45</v>
      </c>
      <c r="Y232" s="183">
        <v>4.4126000000000003</v>
      </c>
      <c r="Z232" s="220"/>
      <c r="AA232" s="172">
        <f>Delivery[[#This Row],[Quantity delivered]]*VLOOKUP(Delivery[[#This Row],[Unit]],Tab_Conversão[],4,FALSE)*VLOOKUP(CONCATENATE(Delivery[[#This Row],[Coffee specie]],Delivery[[#This Row],[Coffee state]]),Tab_Conversão[],4,FALSE)</f>
        <v>19050</v>
      </c>
      <c r="AB232" s="169">
        <f>SUMIF(Allocation!C:C,Delivery[[#This Row],[Delivery ID]],Allocation!D:D)/Delivery[[#This Row],[Quantity delivered]]</f>
        <v>0.78881889763779522</v>
      </c>
      <c r="AC232" s="170">
        <f>Delivery[[#This Row],[Quantity delivered]]*Delivery[[#This Row],[Base price (Unidad)]]/60</f>
        <v>144443.15155000001</v>
      </c>
      <c r="AD232" s="171">
        <f>Delivery[[#This Row],[Nespresso total]]-Delivery[[#This Row],[Qt. Delivery * Base Price]]</f>
        <v>-11629.726549999992</v>
      </c>
      <c r="AE232" s="171">
        <f>Delivery[[#This Row],[AAA Premium (total)]]/Delivery[[#This Row],[Quantity delivered]]*60/Delivery[[#This Row],[Exchange rate VS USD]]</f>
        <v>7.0000000000000009</v>
      </c>
      <c r="AF232" s="171">
        <f>Delivery[[#This Row],[BEN premium (total)]]/Delivery[[#This Row],[Quantity delivered]]*60/Delivery[[#This Row],[Exchange rate for premiums VS USD]]</f>
        <v>0</v>
      </c>
      <c r="AG232" s="171">
        <f>COUNTIF(Delivery[Delivery ID],Delivery[[#This Row],[Delivery ID]])</f>
        <v>1</v>
      </c>
      <c r="AH232" s="171">
        <f>(Delivery[[#This Row],[Nespresso total]]/SUMIF(Allocation!C:C,Delivery[Delivery ID],Allocation!H:H))/Delivery[[#This Row],[Exchange rate VS USD]]</f>
        <v>6.6767252995485507</v>
      </c>
      <c r="AI232" s="171">
        <f>(Delivery[[#This Row],[AAA Premium (total)]]/SUMIF(Allocation!C:C,Delivery[Delivery ID],Allocation!H:H))/Delivery[[#This Row],[Exchange rate VS USD]]</f>
        <v>0.49301242236024839</v>
      </c>
      <c r="AJ232" s="171">
        <f>Delivery[[#This Row],[Valor Prêmio Nespresso AAA por Kg (em US$)]]*60</f>
        <v>29.580745341614904</v>
      </c>
      <c r="AK232" s="171">
        <f>Delivery[[#This Row],[Valor Prêmio Nespresso AAA por saca (em US$)]]/1.3228/100</f>
        <v>0.22362220548544681</v>
      </c>
      <c r="AL232" s="171">
        <f>(Delivery[[#This Row],[BEN premium (total)]]/SUMIF(Allocation!C:C,Delivery[Delivery ID],Allocation!H:H))/Delivery[[#This Row],[Exchange rate for premiums VS USD]]</f>
        <v>0</v>
      </c>
      <c r="AM232" s="171">
        <f>Delivery[[#This Row],[Valor Prêmio Nespresso BEN por Kg (em US$)]]*60</f>
        <v>0</v>
      </c>
      <c r="AN232" s="171">
        <f>Delivery[[#This Row],[Valor Prêmio Nespresso BEN por saca (em US$)]]/1.3228/100</f>
        <v>0</v>
      </c>
      <c r="AO232" s="171">
        <f>SUMIF(Allocation[Delivery ID],Delivery[[#This Row],[Delivery ID]],Allocation[Quantity allocated])*16*1.3228*Delivery[[#This Row],[Exchange rate VS USD]]/60</f>
        <v>7016.8369755306667</v>
      </c>
      <c r="AP232" s="171">
        <f>Delivery[[#This Row],[AAA Premium (total)]]</f>
        <v>9807.0035000000007</v>
      </c>
      <c r="AQ232" s="171">
        <f>Delivery[[#This Row],[Valor pago pelo Cluster]]-Delivery[[#This Row],[Valor efetivamente pago pela Nespresso]]</f>
        <v>2790.166524469334</v>
      </c>
    </row>
    <row r="233" spans="1:43" ht="15.75">
      <c r="A233" s="174" t="s">
        <v>69</v>
      </c>
      <c r="B233" s="232" t="s">
        <v>68</v>
      </c>
      <c r="C233" s="157" t="s">
        <v>1344</v>
      </c>
      <c r="D233" s="157" t="s">
        <v>468</v>
      </c>
      <c r="E233" s="177" t="s">
        <v>468</v>
      </c>
      <c r="F233" s="233" t="s">
        <v>543</v>
      </c>
      <c r="G233" s="234">
        <v>43347</v>
      </c>
      <c r="H233" s="235" t="s">
        <v>1480</v>
      </c>
      <c r="I233" s="157" t="s">
        <v>1478</v>
      </c>
      <c r="J233" s="237">
        <v>14840</v>
      </c>
      <c r="K233" s="175" t="s">
        <v>61</v>
      </c>
      <c r="L233" s="175" t="s">
        <v>439</v>
      </c>
      <c r="M233" s="175" t="s">
        <v>1343</v>
      </c>
      <c r="N233" s="180"/>
      <c r="O233" s="177"/>
      <c r="P233" s="181">
        <v>0</v>
      </c>
      <c r="Q233" s="177">
        <v>43340</v>
      </c>
      <c r="R233" s="178">
        <v>454.93905999999998</v>
      </c>
      <c r="S233" s="179">
        <v>103462.00666666667</v>
      </c>
      <c r="T233" s="182" t="s">
        <v>45</v>
      </c>
      <c r="U233" s="183">
        <v>4.4126000000000003</v>
      </c>
      <c r="V233" s="179">
        <v>7639.6814666666678</v>
      </c>
      <c r="W233" s="179">
        <v>0</v>
      </c>
      <c r="X233" s="184" t="s">
        <v>45</v>
      </c>
      <c r="Y233" s="183">
        <v>4.4126000000000003</v>
      </c>
      <c r="Z233" s="220"/>
      <c r="AA233" s="172">
        <f>Delivery[[#This Row],[Quantity delivered]]*VLOOKUP(Delivery[[#This Row],[Unit]],Tab_Conversão[],4,FALSE)*VLOOKUP(CONCATENATE(Delivery[[#This Row],[Coffee specie]],Delivery[[#This Row],[Coffee state]]),Tab_Conversão[],4,FALSE)</f>
        <v>14840</v>
      </c>
      <c r="AB233" s="169">
        <f>SUMIF(Allocation!C:C,Delivery[[#This Row],[Delivery ID]],Allocation!D:D)/Delivery[[#This Row],[Quantity delivered]]</f>
        <v>0.76893530997304582</v>
      </c>
      <c r="AC233" s="170">
        <f>Delivery[[#This Row],[Quantity delivered]]*Delivery[[#This Row],[Base price (Unidad)]]/60</f>
        <v>112521.59417333333</v>
      </c>
      <c r="AD233" s="171">
        <f>Delivery[[#This Row],[Nespresso total]]-Delivery[[#This Row],[Qt. Delivery * Base Price]]</f>
        <v>-9059.5875066666631</v>
      </c>
      <c r="AE233" s="171">
        <f>Delivery[[#This Row],[AAA Premium (total)]]/Delivery[[#This Row],[Quantity delivered]]*60/Delivery[[#This Row],[Exchange rate VS USD]]</f>
        <v>7.0000000000000009</v>
      </c>
      <c r="AF233" s="171">
        <f>Delivery[[#This Row],[BEN premium (total)]]/Delivery[[#This Row],[Quantity delivered]]*60/Delivery[[#This Row],[Exchange rate for premiums VS USD]]</f>
        <v>0</v>
      </c>
      <c r="AG233" s="171">
        <f>COUNTIF(Delivery[Delivery ID],Delivery[[#This Row],[Delivery ID]])</f>
        <v>1</v>
      </c>
      <c r="AH233" s="171">
        <f>(Delivery[[#This Row],[Nespresso total]]/SUMIF(Allocation!C:C,Delivery[Delivery ID],Allocation!H:H))/Delivery[[#This Row],[Exchange rate VS USD]]</f>
        <v>6.8498243905311611</v>
      </c>
      <c r="AI233" s="171">
        <f>(Delivery[[#This Row],[AAA Premium (total)]]/SUMIF(Allocation!C:C,Delivery[Delivery ID],Allocation!H:H))/Delivery[[#This Row],[Exchange rate VS USD]]</f>
        <v>0.50579413769597825</v>
      </c>
      <c r="AJ233" s="171">
        <f>Delivery[[#This Row],[Valor Prêmio Nespresso AAA por Kg (em US$)]]*60</f>
        <v>30.347648261758696</v>
      </c>
      <c r="AK233" s="171">
        <f>Delivery[[#This Row],[Valor Prêmio Nespresso AAA por saca (em US$)]]/1.3228/100</f>
        <v>0.22941977821105758</v>
      </c>
      <c r="AL233" s="171">
        <f>(Delivery[[#This Row],[BEN premium (total)]]/SUMIF(Allocation!C:C,Delivery[Delivery ID],Allocation!H:H))/Delivery[[#This Row],[Exchange rate for premiums VS USD]]</f>
        <v>0</v>
      </c>
      <c r="AM233" s="171">
        <f>Delivery[[#This Row],[Valor Prêmio Nespresso BEN por Kg (em US$)]]*60</f>
        <v>0</v>
      </c>
      <c r="AN233" s="171">
        <f>Delivery[[#This Row],[Valor Prêmio Nespresso BEN por saca (em US$)]]/1.3228/100</f>
        <v>0</v>
      </c>
      <c r="AO233" s="171">
        <f>SUMIF(Allocation[Delivery ID],Delivery[[#This Row],[Delivery ID]],Allocation[Quantity allocated])*16*1.3228*Delivery[[#This Row],[Exchange rate VS USD]]/60</f>
        <v>5328.0019891840011</v>
      </c>
      <c r="AP233" s="171">
        <f>Delivery[[#This Row],[AAA Premium (total)]]</f>
        <v>7639.6814666666678</v>
      </c>
      <c r="AQ233" s="171">
        <f>Delivery[[#This Row],[Valor pago pelo Cluster]]-Delivery[[#This Row],[Valor efetivamente pago pela Nespresso]]</f>
        <v>2311.6794774826667</v>
      </c>
    </row>
    <row r="234" spans="1:43" ht="15.75">
      <c r="A234" s="174" t="s">
        <v>69</v>
      </c>
      <c r="B234" s="232" t="s">
        <v>68</v>
      </c>
      <c r="C234" s="157">
        <v>1</v>
      </c>
      <c r="D234" s="157" t="s">
        <v>468</v>
      </c>
      <c r="E234" s="177" t="s">
        <v>468</v>
      </c>
      <c r="F234" s="233" t="s">
        <v>543</v>
      </c>
      <c r="G234" s="234">
        <v>43347</v>
      </c>
      <c r="H234" s="157" t="s">
        <v>1481</v>
      </c>
      <c r="I234" s="236" t="s">
        <v>1478</v>
      </c>
      <c r="J234" s="237">
        <v>20860</v>
      </c>
      <c r="K234" s="175" t="s">
        <v>61</v>
      </c>
      <c r="L234" s="175" t="s">
        <v>439</v>
      </c>
      <c r="M234" s="175" t="s">
        <v>1343</v>
      </c>
      <c r="N234" s="180"/>
      <c r="O234" s="177"/>
      <c r="P234" s="181">
        <v>0</v>
      </c>
      <c r="Q234" s="177">
        <v>43340</v>
      </c>
      <c r="R234" s="178">
        <v>427.10205999999994</v>
      </c>
      <c r="S234" s="179">
        <v>145571.88</v>
      </c>
      <c r="T234" s="182" t="s">
        <v>45</v>
      </c>
      <c r="U234" s="183">
        <v>4.1425999999999998</v>
      </c>
      <c r="V234" s="179">
        <v>10092</v>
      </c>
      <c r="W234" s="179">
        <v>0</v>
      </c>
      <c r="X234" s="186" t="s">
        <v>45</v>
      </c>
      <c r="Y234" s="183">
        <v>4.1425999999999998</v>
      </c>
      <c r="Z234" s="220"/>
      <c r="AA234" s="172">
        <f>Delivery[[#This Row],[Quantity delivered]]*VLOOKUP(Delivery[[#This Row],[Unit]],Tab_Conversão[],4,FALSE)*VLOOKUP(CONCATENATE(Delivery[[#This Row],[Coffee specie]],Delivery[[#This Row],[Coffee state]]),Tab_Conversão[],4,FALSE)</f>
        <v>20860</v>
      </c>
      <c r="AB234" s="169">
        <f>SUMIF(Allocation!C:C,Delivery[[#This Row],[Delivery ID]],Allocation!D:D)/Delivery[[#This Row],[Quantity delivered]]</f>
        <v>0.70455417066155324</v>
      </c>
      <c r="AC234" s="170">
        <f>Delivery[[#This Row],[Quantity delivered]]*Delivery[[#This Row],[Base price (Unidad)]]/60</f>
        <v>148489.14952666665</v>
      </c>
      <c r="AD234" s="171">
        <f>Delivery[[#This Row],[Nespresso total]]-Delivery[[#This Row],[Qt. Delivery * Base Price]]</f>
        <v>-2917.2695266666415</v>
      </c>
      <c r="AE234" s="171">
        <f>Delivery[[#This Row],[AAA Premium (total)]]/Delivery[[#This Row],[Quantity delivered]]*60/Delivery[[#This Row],[Exchange rate VS USD]]</f>
        <v>7.0071463357202601</v>
      </c>
      <c r="AF234" s="171">
        <f>Delivery[[#This Row],[BEN premium (total)]]/Delivery[[#This Row],[Quantity delivered]]*60/Delivery[[#This Row],[Exchange rate for premiums VS USD]]</f>
        <v>0</v>
      </c>
      <c r="AG234" s="171">
        <f>COUNTIF(Delivery[Delivery ID],Delivery[[#This Row],[Delivery ID]])</f>
        <v>1</v>
      </c>
      <c r="AH234" s="171">
        <f>(Delivery[[#This Row],[Nespresso total]]/SUMIF(Allocation!C:C,Delivery[Delivery ID],Allocation!H:H))/Delivery[[#This Row],[Exchange rate VS USD]]</f>
        <v>7.9701113896967097</v>
      </c>
      <c r="AI234" s="171">
        <f>(Delivery[[#This Row],[AAA Premium (total)]]/SUMIF(Allocation!C:C,Delivery[Delivery ID],Allocation!H:H))/Delivery[[#This Row],[Exchange rate VS USD]]</f>
        <v>0.55254053286128613</v>
      </c>
      <c r="AJ234" s="171">
        <f>Delivery[[#This Row],[Valor Prêmio Nespresso AAA por Kg (em US$)]]*60</f>
        <v>33.152431971677167</v>
      </c>
      <c r="AK234" s="171">
        <f>Delivery[[#This Row],[Valor Prêmio Nespresso AAA por saca (em US$)]]/1.3228/100</f>
        <v>0.25062316277348934</v>
      </c>
      <c r="AL234" s="171">
        <f>(Delivery[[#This Row],[BEN premium (total)]]/SUMIF(Allocation!C:C,Delivery[Delivery ID],Allocation!H:H))/Delivery[[#This Row],[Exchange rate for premiums VS USD]]</f>
        <v>0</v>
      </c>
      <c r="AM234" s="171">
        <f>Delivery[[#This Row],[Valor Prêmio Nespresso BEN por Kg (em US$)]]*60</f>
        <v>0</v>
      </c>
      <c r="AN234" s="171">
        <f>Delivery[[#This Row],[Valor Prêmio Nespresso BEN por saca (em US$)]]/1.3228/100</f>
        <v>0</v>
      </c>
      <c r="AO234" s="171">
        <f>SUMIF(Allocation[Delivery ID],Delivery[[#This Row],[Delivery ID]],Allocation[Quantity allocated])*16*1.3228*Delivery[[#This Row],[Exchange rate VS USD]]/60</f>
        <v>6442.8202969386657</v>
      </c>
      <c r="AP234" s="171">
        <f>Delivery[[#This Row],[AAA Premium (total)]]</f>
        <v>10092</v>
      </c>
      <c r="AQ234" s="171">
        <f>Delivery[[#This Row],[Valor pago pelo Cluster]]-Delivery[[#This Row],[Valor efetivamente pago pela Nespresso]]</f>
        <v>3649.1797030613343</v>
      </c>
    </row>
    <row r="235" spans="1:43" ht="15.75">
      <c r="A235" s="174" t="s">
        <v>69</v>
      </c>
      <c r="B235" s="232" t="s">
        <v>68</v>
      </c>
      <c r="C235" s="157">
        <v>1</v>
      </c>
      <c r="D235" s="157" t="s">
        <v>468</v>
      </c>
      <c r="E235" s="177" t="s">
        <v>468</v>
      </c>
      <c r="F235" s="240" t="s">
        <v>543</v>
      </c>
      <c r="G235" s="234">
        <v>43382</v>
      </c>
      <c r="H235" s="157" t="s">
        <v>1985</v>
      </c>
      <c r="I235" s="236" t="s">
        <v>668</v>
      </c>
      <c r="J235" s="237">
        <v>10770</v>
      </c>
      <c r="K235" s="175" t="s">
        <v>61</v>
      </c>
      <c r="L235" s="175" t="s">
        <v>439</v>
      </c>
      <c r="M235" s="175" t="s">
        <v>1343</v>
      </c>
      <c r="N235" s="180"/>
      <c r="O235" s="177"/>
      <c r="P235" s="181">
        <v>0</v>
      </c>
      <c r="Q235" s="177">
        <v>43375</v>
      </c>
      <c r="R235" s="178">
        <v>424.7208</v>
      </c>
      <c r="S235" s="179">
        <v>81924.298255374815</v>
      </c>
      <c r="T235" s="182" t="s">
        <v>45</v>
      </c>
      <c r="U235" s="183">
        <v>3.9325999999999999</v>
      </c>
      <c r="V235" s="179">
        <v>4941.3118999999997</v>
      </c>
      <c r="W235" s="179">
        <v>1544.9967446251799</v>
      </c>
      <c r="X235" s="186" t="s">
        <v>45</v>
      </c>
      <c r="Y235" s="183">
        <v>3.9325999999999999</v>
      </c>
      <c r="Z235" s="220" t="s">
        <v>473</v>
      </c>
      <c r="AA235" s="172">
        <f>Delivery[[#This Row],[Quantity delivered]]*VLOOKUP(Delivery[[#This Row],[Unit]],Tab_Conversão[],4,FALSE)*VLOOKUP(CONCATENATE(Delivery[[#This Row],[Coffee specie]],Delivery[[#This Row],[Coffee state]]),Tab_Conversão[],4,FALSE)</f>
        <v>10770</v>
      </c>
      <c r="AB235" s="169">
        <f>SUMIF(Allocation!C:C,Delivery[[#This Row],[Delivery ID]],Allocation!D:D)/Delivery[[#This Row],[Quantity delivered]]</f>
        <v>1</v>
      </c>
      <c r="AC235" s="170">
        <f>Delivery[[#This Row],[Quantity delivered]]*Delivery[[#This Row],[Base price (Unidad)]]/60</f>
        <v>76237.383600000001</v>
      </c>
      <c r="AD235" s="171">
        <f>Delivery[[#This Row],[Nespresso total]]-Delivery[[#This Row],[Qt. Delivery * Base Price]]</f>
        <v>5686.9146553748142</v>
      </c>
      <c r="AE235" s="171">
        <f>Delivery[[#This Row],[AAA Premium (total)]]/Delivery[[#This Row],[Quantity delivered]]*60/Delivery[[#This Row],[Exchange rate VS USD]]</f>
        <v>7</v>
      </c>
      <c r="AF235" s="171">
        <f>Delivery[[#This Row],[BEN premium (total)]]/Delivery[[#This Row],[Quantity delivered]]*60/Delivery[[#This Row],[Exchange rate for premiums VS USD]]</f>
        <v>2.1886853999999998</v>
      </c>
      <c r="AG235" s="171">
        <f>COUNTIF(Delivery[Delivery ID],Delivery[[#This Row],[Delivery ID]])</f>
        <v>1</v>
      </c>
      <c r="AH235" s="171">
        <f>(Delivery[[#This Row],[Nespresso total]]/SUMIF(Allocation!C:C,Delivery[Delivery ID],Allocation!H:H))/Delivery[[#This Row],[Exchange rate VS USD]]</f>
        <v>5.8500689050385839</v>
      </c>
      <c r="AI235" s="171">
        <f>(Delivery[[#This Row],[AAA Premium (total)]]/SUMIF(Allocation!C:C,Delivery[Delivery ID],Allocation!H:H))/Delivery[[#This Row],[Exchange rate VS USD]]</f>
        <v>0.35285032294299357</v>
      </c>
      <c r="AJ235" s="171">
        <f>Delivery[[#This Row],[Valor Prêmio Nespresso AAA por Kg (em US$)]]*60</f>
        <v>21.171019376579615</v>
      </c>
      <c r="AK235" s="171">
        <f>Delivery[[#This Row],[Valor Prêmio Nespresso AAA por saca (em US$)]]/1.3228/100</f>
        <v>0.16004701675672525</v>
      </c>
      <c r="AL235" s="171">
        <f>(Delivery[[#This Row],[BEN premium (total)]]/SUMIF(Allocation!C:C,Delivery[Delivery ID],Allocation!H:H))/Delivery[[#This Row],[Exchange rate for premiums VS USD]]</f>
        <v>0.11032547860151642</v>
      </c>
      <c r="AM235" s="171">
        <f>Delivery[[#This Row],[Valor Prêmio Nespresso BEN por Kg (em US$)]]*60</f>
        <v>6.6195287160909855</v>
      </c>
      <c r="AN235" s="171">
        <f>Delivery[[#This Row],[Valor Prêmio Nespresso BEN por saca (em US$)]]/1.3228/100</f>
        <v>5.0041795555571401E-2</v>
      </c>
      <c r="AO235" s="171">
        <f>SUMIF(Allocation[Delivery ID],Delivery[[#This Row],[Delivery ID]],Allocation[Quantity allocated])*16*1.3228*Delivery[[#This Row],[Exchange rate VS USD]]/60</f>
        <v>4939.8602986879996</v>
      </c>
      <c r="AP235" s="171">
        <f>Delivery[[#This Row],[AAA Premium (total)]]</f>
        <v>4941.3118999999997</v>
      </c>
      <c r="AQ235" s="171">
        <f>Delivery[[#This Row],[Valor pago pelo Cluster]]-Delivery[[#This Row],[Valor efetivamente pago pela Nespresso]]</f>
        <v>1.4516013120000935</v>
      </c>
    </row>
    <row r="236" spans="1:43" ht="15.75">
      <c r="A236" s="174" t="s">
        <v>69</v>
      </c>
      <c r="B236" s="232" t="s">
        <v>68</v>
      </c>
      <c r="C236" s="157">
        <v>1</v>
      </c>
      <c r="D236" s="157" t="s">
        <v>468</v>
      </c>
      <c r="E236" s="177" t="s">
        <v>468</v>
      </c>
      <c r="F236" s="240" t="s">
        <v>543</v>
      </c>
      <c r="G236" s="234">
        <v>43382</v>
      </c>
      <c r="H236" s="157" t="s">
        <v>1986</v>
      </c>
      <c r="I236" s="236" t="s">
        <v>668</v>
      </c>
      <c r="J236" s="237">
        <v>11880</v>
      </c>
      <c r="K236" s="175" t="s">
        <v>61</v>
      </c>
      <c r="L236" s="175" t="s">
        <v>439</v>
      </c>
      <c r="M236" s="175" t="s">
        <v>1343</v>
      </c>
      <c r="N236" s="180"/>
      <c r="O236" s="177"/>
      <c r="P236" s="181">
        <v>0</v>
      </c>
      <c r="Q236" s="177">
        <v>43375</v>
      </c>
      <c r="R236" s="178">
        <v>424.7208</v>
      </c>
      <c r="S236" s="179">
        <v>90367.749607600083</v>
      </c>
      <c r="T236" s="182" t="s">
        <v>45</v>
      </c>
      <c r="U236" s="183">
        <v>3.9325999999999999</v>
      </c>
      <c r="V236" s="179">
        <v>5450.583599999999</v>
      </c>
      <c r="W236" s="179">
        <v>1704.2303923999202</v>
      </c>
      <c r="X236" s="186" t="s">
        <v>45</v>
      </c>
      <c r="Y236" s="183">
        <v>3.9325999999999999</v>
      </c>
      <c r="Z236" s="220" t="s">
        <v>473</v>
      </c>
      <c r="AA236" s="172">
        <f>Delivery[[#This Row],[Quantity delivered]]*VLOOKUP(Delivery[[#This Row],[Unit]],Tab_Conversão[],4,FALSE)*VLOOKUP(CONCATENATE(Delivery[[#This Row],[Coffee specie]],Delivery[[#This Row],[Coffee state]]),Tab_Conversão[],4,FALSE)</f>
        <v>11880</v>
      </c>
      <c r="AB236" s="169">
        <f>SUMIF(Allocation!C:C,Delivery[[#This Row],[Delivery ID]],Allocation!D:D)/Delivery[[#This Row],[Quantity delivered]]</f>
        <v>1</v>
      </c>
      <c r="AC236" s="170">
        <f>Delivery[[#This Row],[Quantity delivered]]*Delivery[[#This Row],[Base price (Unidad)]]/60</f>
        <v>84094.718399999998</v>
      </c>
      <c r="AD236" s="171">
        <f>Delivery[[#This Row],[Nespresso total]]-Delivery[[#This Row],[Qt. Delivery * Base Price]]</f>
        <v>6273.0312076000846</v>
      </c>
      <c r="AE236" s="171">
        <f>Delivery[[#This Row],[AAA Premium (total)]]/Delivery[[#This Row],[Quantity delivered]]*60/Delivery[[#This Row],[Exchange rate VS USD]]</f>
        <v>6.9999999999999991</v>
      </c>
      <c r="AF236" s="171">
        <f>Delivery[[#This Row],[BEN premium (total)]]/Delivery[[#This Row],[Quantity delivered]]*60/Delivery[[#This Row],[Exchange rate for premiums VS USD]]</f>
        <v>2.1886854000000002</v>
      </c>
      <c r="AG236" s="171">
        <f>COUNTIF(Delivery[Delivery ID],Delivery[[#This Row],[Delivery ID]])</f>
        <v>1</v>
      </c>
      <c r="AH236" s="171">
        <f>(Delivery[[#This Row],[Nespresso total]]/SUMIF(Allocation!C:C,Delivery[Delivery ID],Allocation!H:H))/Delivery[[#This Row],[Exchange rate VS USD]]</f>
        <v>5.8219244592900434</v>
      </c>
      <c r="AI236" s="171">
        <f>(Delivery[[#This Row],[AAA Premium (total)]]/SUMIF(Allocation!C:C,Delivery[Delivery ID],Allocation!H:H))/Delivery[[#This Row],[Exchange rate VS USD]]</f>
        <v>0.35115277425893077</v>
      </c>
      <c r="AJ236" s="171">
        <f>Delivery[[#This Row],[Valor Prêmio Nespresso AAA por Kg (em US$)]]*60</f>
        <v>21.069166455535846</v>
      </c>
      <c r="AK236" s="171">
        <f>Delivery[[#This Row],[Valor Prêmio Nespresso AAA por saca (em US$)]]/1.3228/100</f>
        <v>0.15927703700888907</v>
      </c>
      <c r="AL236" s="171">
        <f>(Delivery[[#This Row],[BEN premium (total)]]/SUMIF(Allocation!C:C,Delivery[Delivery ID],Allocation!H:H))/Delivery[[#This Row],[Exchange rate for premiums VS USD]]</f>
        <v>0.10979470717000256</v>
      </c>
      <c r="AM236" s="171">
        <f>Delivery[[#This Row],[Valor Prêmio Nespresso BEN por Kg (em US$)]]*60</f>
        <v>6.5876824302001538</v>
      </c>
      <c r="AN236" s="171">
        <f>Delivery[[#This Row],[Valor Prêmio Nespresso BEN por saca (em US$)]]/1.3228/100</f>
        <v>4.9801046493802188E-2</v>
      </c>
      <c r="AO236" s="171">
        <f>SUMIF(Allocation[Delivery ID],Delivery[[#This Row],[Delivery ID]],Allocation[Quantity allocated])*16*1.3228*Delivery[[#This Row],[Exchange rate VS USD]]/60</f>
        <v>5475.3239536426663</v>
      </c>
      <c r="AP236" s="171">
        <f>Delivery[[#This Row],[AAA Premium (total)]]</f>
        <v>5450.583599999999</v>
      </c>
      <c r="AQ236" s="171">
        <f>Delivery[[#This Row],[Valor pago pelo Cluster]]-Delivery[[#This Row],[Valor efetivamente pago pela Nespresso]]</f>
        <v>-24.740353642667287</v>
      </c>
    </row>
    <row r="237" spans="1:43" ht="15.75">
      <c r="A237" s="174" t="s">
        <v>69</v>
      </c>
      <c r="B237" s="232" t="s">
        <v>68</v>
      </c>
      <c r="C237" s="157">
        <v>1</v>
      </c>
      <c r="D237" s="157" t="s">
        <v>468</v>
      </c>
      <c r="E237" s="177" t="s">
        <v>468</v>
      </c>
      <c r="F237" s="240" t="s">
        <v>543</v>
      </c>
      <c r="G237" s="234">
        <v>43382</v>
      </c>
      <c r="H237" s="157" t="s">
        <v>1987</v>
      </c>
      <c r="I237" s="236" t="s">
        <v>668</v>
      </c>
      <c r="J237" s="237">
        <v>15720</v>
      </c>
      <c r="K237" s="175" t="s">
        <v>61</v>
      </c>
      <c r="L237" s="175" t="s">
        <v>439</v>
      </c>
      <c r="M237" s="175" t="s">
        <v>1343</v>
      </c>
      <c r="N237" s="180"/>
      <c r="O237" s="177"/>
      <c r="P237" s="181">
        <v>0</v>
      </c>
      <c r="Q237" s="177">
        <v>43375</v>
      </c>
      <c r="R237" s="178">
        <v>424.7208</v>
      </c>
      <c r="S237" s="179">
        <v>119577.52725854154</v>
      </c>
      <c r="T237" s="182" t="s">
        <v>45</v>
      </c>
      <c r="U237" s="183">
        <v>3.9325999999999999</v>
      </c>
      <c r="V237" s="179">
        <v>7212.3883999999989</v>
      </c>
      <c r="W237" s="179">
        <v>2255.0927414584798</v>
      </c>
      <c r="X237" s="184" t="s">
        <v>45</v>
      </c>
      <c r="Y237" s="183">
        <v>3.9325999999999999</v>
      </c>
      <c r="Z237" s="220" t="s">
        <v>473</v>
      </c>
      <c r="AA237" s="172">
        <f>Delivery[[#This Row],[Quantity delivered]]*VLOOKUP(Delivery[[#This Row],[Unit]],Tab_Conversão[],4,FALSE)*VLOOKUP(CONCATENATE(Delivery[[#This Row],[Coffee specie]],Delivery[[#This Row],[Coffee state]]),Tab_Conversão[],4,FALSE)</f>
        <v>15720</v>
      </c>
      <c r="AB237" s="169">
        <f>SUMIF(Allocation!C:C,Delivery[[#This Row],[Delivery ID]],Allocation!D:D)/Delivery[[#This Row],[Quantity delivered]]</f>
        <v>1</v>
      </c>
      <c r="AC237" s="170">
        <f>Delivery[[#This Row],[Quantity delivered]]*Delivery[[#This Row],[Base price (Unidad)]]/60</f>
        <v>111276.8496</v>
      </c>
      <c r="AD237" s="171">
        <f>Delivery[[#This Row],[Nespresso total]]-Delivery[[#This Row],[Qt. Delivery * Base Price]]</f>
        <v>8300.6776585415355</v>
      </c>
      <c r="AE237" s="171">
        <f>Delivery[[#This Row],[AAA Premium (total)]]/Delivery[[#This Row],[Quantity delivered]]*60/Delivery[[#This Row],[Exchange rate VS USD]]</f>
        <v>7</v>
      </c>
      <c r="AF237" s="171">
        <f>Delivery[[#This Row],[BEN premium (total)]]/Delivery[[#This Row],[Quantity delivered]]*60/Delivery[[#This Row],[Exchange rate for premiums VS USD]]</f>
        <v>2.1886853999999998</v>
      </c>
      <c r="AG237" s="171">
        <f>COUNTIF(Delivery[Delivery ID],Delivery[[#This Row],[Delivery ID]])</f>
        <v>1</v>
      </c>
      <c r="AH237" s="171">
        <f>(Delivery[[#This Row],[Nespresso total]]/SUMIF(Allocation!C:C,Delivery[Delivery ID],Allocation!H:H))/Delivery[[#This Row],[Exchange rate VS USD]]</f>
        <v>5.8072450925356165</v>
      </c>
      <c r="AI237" s="171">
        <f>(Delivery[[#This Row],[AAA Premium (total)]]/SUMIF(Allocation!C:C,Delivery[Delivery ID],Allocation!H:H))/Delivery[[#This Row],[Exchange rate VS USD]]</f>
        <v>0.35026737967914434</v>
      </c>
      <c r="AJ237" s="171">
        <f>Delivery[[#This Row],[Valor Prêmio Nespresso AAA por Kg (em US$)]]*60</f>
        <v>21.016042780748659</v>
      </c>
      <c r="AK237" s="171">
        <f>Delivery[[#This Row],[Valor Prêmio Nespresso AAA por saca (em US$)]]/1.3228/100</f>
        <v>0.15887543680638538</v>
      </c>
      <c r="AL237" s="171">
        <f>(Delivery[[#This Row],[BEN premium (total)]]/SUMIF(Allocation!C:C,Delivery[Delivery ID],Allocation!H:H))/Delivery[[#This Row],[Exchange rate for premiums VS USD]]</f>
        <v>0.10951787142857142</v>
      </c>
      <c r="AM237" s="171">
        <f>Delivery[[#This Row],[Valor Prêmio Nespresso BEN por Kg (em US$)]]*60</f>
        <v>6.5710722857142851</v>
      </c>
      <c r="AN237" s="171">
        <f>Delivery[[#This Row],[Valor Prêmio Nespresso BEN por saca (em US$)]]/1.3228/100</f>
        <v>4.9675478422394052E-2</v>
      </c>
      <c r="AO237" s="171">
        <f>SUMIF(Allocation[Delivery ID],Delivery[[#This Row],[Delivery ID]],Allocation[Quantity allocated])*16*1.3228*Delivery[[#This Row],[Exchange rate VS USD]]/60</f>
        <v>7263.4396304213333</v>
      </c>
      <c r="AP237" s="171">
        <f>Delivery[[#This Row],[AAA Premium (total)]]</f>
        <v>7212.3883999999989</v>
      </c>
      <c r="AQ237" s="171">
        <f>Delivery[[#This Row],[Valor pago pelo Cluster]]-Delivery[[#This Row],[Valor efetivamente pago pela Nespresso]]</f>
        <v>-51.051230421334367</v>
      </c>
    </row>
    <row r="238" spans="1:43" ht="15.75">
      <c r="A238" s="174" t="s">
        <v>69</v>
      </c>
      <c r="B238" s="232" t="s">
        <v>68</v>
      </c>
      <c r="C238" s="157">
        <v>1</v>
      </c>
      <c r="D238" s="157" t="s">
        <v>468</v>
      </c>
      <c r="E238" s="177" t="s">
        <v>468</v>
      </c>
      <c r="F238" s="240" t="s">
        <v>543</v>
      </c>
      <c r="G238" s="234">
        <v>43382</v>
      </c>
      <c r="H238" s="157" t="s">
        <v>1988</v>
      </c>
      <c r="I238" s="236" t="s">
        <v>668</v>
      </c>
      <c r="J238" s="237">
        <v>15210</v>
      </c>
      <c r="K238" s="175" t="s">
        <v>61</v>
      </c>
      <c r="L238" s="175" t="s">
        <v>439</v>
      </c>
      <c r="M238" s="175" t="s">
        <v>1343</v>
      </c>
      <c r="N238" s="180"/>
      <c r="O238" s="177"/>
      <c r="P238" s="181">
        <v>0</v>
      </c>
      <c r="Q238" s="177">
        <v>43375</v>
      </c>
      <c r="R238" s="178">
        <v>424.7208</v>
      </c>
      <c r="S238" s="179">
        <v>115698.10366427587</v>
      </c>
      <c r="T238" s="182" t="s">
        <v>45</v>
      </c>
      <c r="U238" s="183">
        <v>3.9325999999999999</v>
      </c>
      <c r="V238" s="179">
        <v>6978.3986999999988</v>
      </c>
      <c r="W238" s="179">
        <v>2181.9313357241399</v>
      </c>
      <c r="X238" s="184" t="s">
        <v>45</v>
      </c>
      <c r="Y238" s="183">
        <v>3.9325999999999999</v>
      </c>
      <c r="Z238" s="220" t="s">
        <v>473</v>
      </c>
      <c r="AA238" s="172">
        <f>Delivery[[#This Row],[Quantity delivered]]*VLOOKUP(Delivery[[#This Row],[Unit]],Tab_Conversão[],4,FALSE)*VLOOKUP(CONCATENATE(Delivery[[#This Row],[Coffee specie]],Delivery[[#This Row],[Coffee state]]),Tab_Conversão[],4,FALSE)</f>
        <v>15210</v>
      </c>
      <c r="AB238" s="169">
        <f>SUMIF(Allocation!C:C,Delivery[[#This Row],[Delivery ID]],Allocation!D:D)/Delivery[[#This Row],[Quantity delivered]]</f>
        <v>1</v>
      </c>
      <c r="AC238" s="170">
        <f>Delivery[[#This Row],[Quantity delivered]]*Delivery[[#This Row],[Base price (Unidad)]]/60</f>
        <v>107666.7228</v>
      </c>
      <c r="AD238" s="171">
        <f>Delivery[[#This Row],[Nespresso total]]-Delivery[[#This Row],[Qt. Delivery * Base Price]]</f>
        <v>8031.3808642758668</v>
      </c>
      <c r="AE238" s="171">
        <f>Delivery[[#This Row],[AAA Premium (total)]]/Delivery[[#This Row],[Quantity delivered]]*60/Delivery[[#This Row],[Exchange rate VS USD]]</f>
        <v>6.9999999999999991</v>
      </c>
      <c r="AF238" s="171">
        <f>Delivery[[#This Row],[BEN premium (total)]]/Delivery[[#This Row],[Quantity delivered]]*60/Delivery[[#This Row],[Exchange rate for premiums VS USD]]</f>
        <v>2.1886853999999998</v>
      </c>
      <c r="AG238" s="171">
        <f>COUNTIF(Delivery[Delivery ID],Delivery[[#This Row],[Delivery ID]])</f>
        <v>1</v>
      </c>
      <c r="AH238" s="171">
        <f>(Delivery[[#This Row],[Nespresso total]]/SUMIF(Allocation!C:C,Delivery[Delivery ID],Allocation!H:H))/Delivery[[#This Row],[Exchange rate VS USD]]</f>
        <v>5.7902494097114756</v>
      </c>
      <c r="AI238" s="171">
        <f>(Delivery[[#This Row],[AAA Premium (total)]]/SUMIF(Allocation!C:C,Delivery[Delivery ID],Allocation!H:H))/Delivery[[#This Row],[Exchange rate VS USD]]</f>
        <v>0.34924227514268841</v>
      </c>
      <c r="AJ238" s="171">
        <f>Delivery[[#This Row],[Valor Prêmio Nespresso AAA por Kg (em US$)]]*60</f>
        <v>20.954536508561304</v>
      </c>
      <c r="AK238" s="171">
        <f>Delivery[[#This Row],[Valor Prêmio Nespresso AAA por saca (em US$)]]/1.3228/100</f>
        <v>0.15841046649955629</v>
      </c>
      <c r="AL238" s="171">
        <f>(Delivery[[#This Row],[BEN premium (total)]]/SUMIF(Allocation!C:C,Delivery[Delivery ID],Allocation!H:H))/Delivery[[#This Row],[Exchange rate for premiums VS USD]]</f>
        <v>0.10919735266679788</v>
      </c>
      <c r="AM238" s="171">
        <f>Delivery[[#This Row],[Valor Prêmio Nespresso BEN por Kg (em US$)]]*60</f>
        <v>6.5518411600078723</v>
      </c>
      <c r="AN238" s="171">
        <f>Delivery[[#This Row],[Valor Prêmio Nespresso BEN por saca (em US$)]]/1.3228/100</f>
        <v>4.9530096462109707E-2</v>
      </c>
      <c r="AO238" s="171">
        <f>SUMIF(Allocation[Delivery ID],Delivery[[#This Row],[Delivery ID]],Allocation[Quantity allocated])*16*1.3228*Delivery[[#This Row],[Exchange rate VS USD]]/60</f>
        <v>7048.4218415146652</v>
      </c>
      <c r="AP238" s="171">
        <f>Delivery[[#This Row],[AAA Premium (total)]]</f>
        <v>6978.3986999999988</v>
      </c>
      <c r="AQ238" s="171">
        <f>Delivery[[#This Row],[Valor pago pelo Cluster]]-Delivery[[#This Row],[Valor efetivamente pago pela Nespresso]]</f>
        <v>-70.023141514666349</v>
      </c>
    </row>
    <row r="239" spans="1:43" ht="15.75">
      <c r="A239" s="174" t="s">
        <v>69</v>
      </c>
      <c r="B239" s="232" t="s">
        <v>68</v>
      </c>
      <c r="C239" s="157">
        <v>1</v>
      </c>
      <c r="D239" s="157" t="s">
        <v>468</v>
      </c>
      <c r="E239" s="177" t="s">
        <v>468</v>
      </c>
      <c r="F239" s="240" t="s">
        <v>543</v>
      </c>
      <c r="G239" s="234">
        <v>43382</v>
      </c>
      <c r="H239" s="157" t="s">
        <v>1989</v>
      </c>
      <c r="I239" s="236" t="s">
        <v>668</v>
      </c>
      <c r="J239" s="237">
        <v>8290</v>
      </c>
      <c r="K239" s="175" t="s">
        <v>61</v>
      </c>
      <c r="L239" s="175" t="s">
        <v>439</v>
      </c>
      <c r="M239" s="175" t="s">
        <v>1343</v>
      </c>
      <c r="N239" s="180"/>
      <c r="O239" s="177"/>
      <c r="P239" s="181">
        <v>0</v>
      </c>
      <c r="Q239" s="177">
        <v>43375</v>
      </c>
      <c r="R239" s="178">
        <v>424.7208</v>
      </c>
      <c r="S239" s="179">
        <v>63059.650189141808</v>
      </c>
      <c r="T239" s="182" t="s">
        <v>45</v>
      </c>
      <c r="U239" s="183">
        <v>3.9325999999999999</v>
      </c>
      <c r="V239" s="179">
        <v>3803.4796333333329</v>
      </c>
      <c r="W239" s="179">
        <v>1189.2314775248601</v>
      </c>
      <c r="X239" s="186" t="s">
        <v>45</v>
      </c>
      <c r="Y239" s="183">
        <v>3.9325999999999999</v>
      </c>
      <c r="Z239" s="220" t="s">
        <v>473</v>
      </c>
      <c r="AA239" s="172">
        <f>Delivery[[#This Row],[Quantity delivered]]*VLOOKUP(Delivery[[#This Row],[Unit]],Tab_Conversão[],4,FALSE)*VLOOKUP(CONCATENATE(Delivery[[#This Row],[Coffee specie]],Delivery[[#This Row],[Coffee state]]),Tab_Conversão[],4,FALSE)</f>
        <v>8290</v>
      </c>
      <c r="AB239" s="169">
        <f>SUMIF(Allocation!C:C,Delivery[[#This Row],[Delivery ID]],Allocation!D:D)/Delivery[[#This Row],[Quantity delivered]]</f>
        <v>1</v>
      </c>
      <c r="AC239" s="170">
        <f>Delivery[[#This Row],[Quantity delivered]]*Delivery[[#This Row],[Base price (Unidad)]]/60</f>
        <v>58682.2572</v>
      </c>
      <c r="AD239" s="171">
        <f>Delivery[[#This Row],[Nespresso total]]-Delivery[[#This Row],[Qt. Delivery * Base Price]]</f>
        <v>4377.3929891418084</v>
      </c>
      <c r="AE239" s="171">
        <f>Delivery[[#This Row],[AAA Premium (total)]]/Delivery[[#This Row],[Quantity delivered]]*60/Delivery[[#This Row],[Exchange rate VS USD]]</f>
        <v>7</v>
      </c>
      <c r="AF239" s="171">
        <f>Delivery[[#This Row],[BEN premium (total)]]/Delivery[[#This Row],[Quantity delivered]]*60/Delivery[[#This Row],[Exchange rate for premiums VS USD]]</f>
        <v>2.1886854000000002</v>
      </c>
      <c r="AG239" s="171">
        <f>COUNTIF(Delivery[Delivery ID],Delivery[[#This Row],[Delivery ID]])</f>
        <v>1</v>
      </c>
      <c r="AH239" s="171">
        <f>(Delivery[[#This Row],[Nespresso total]]/SUMIF(Allocation!C:C,Delivery[Delivery ID],Allocation!H:H))/Delivery[[#This Row],[Exchange rate VS USD]]</f>
        <v>5.8522277556704383</v>
      </c>
      <c r="AI239" s="171">
        <f>(Delivery[[#This Row],[AAA Premium (total)]]/SUMIF(Allocation!C:C,Delivery[Delivery ID],Allocation!H:H))/Delivery[[#This Row],[Exchange rate VS USD]]</f>
        <v>0.35298053527980533</v>
      </c>
      <c r="AJ239" s="171">
        <f>Delivery[[#This Row],[Valor Prêmio Nespresso AAA por Kg (em US$)]]*60</f>
        <v>21.178832116788321</v>
      </c>
      <c r="AK239" s="171">
        <f>Delivery[[#This Row],[Valor Prêmio Nespresso AAA por saca (em US$)]]/1.3228/100</f>
        <v>0.16010607889921624</v>
      </c>
      <c r="AL239" s="171">
        <f>(Delivery[[#This Row],[BEN premium (total)]]/SUMIF(Allocation!C:C,Delivery[Delivery ID],Allocation!H:H))/Delivery[[#This Row],[Exchange rate for premiums VS USD]]</f>
        <v>0.11036619200729929</v>
      </c>
      <c r="AM239" s="171">
        <f>Delivery[[#This Row],[Valor Prêmio Nespresso BEN por Kg (em US$)]]*60</f>
        <v>6.621971520437957</v>
      </c>
      <c r="AN239" s="171">
        <f>Delivery[[#This Row],[Valor Prêmio Nespresso BEN por saca (em US$)]]/1.3228/100</f>
        <v>5.0060262476851809E-2</v>
      </c>
      <c r="AO239" s="171">
        <f>SUMIF(Allocation[Delivery ID],Delivery[[#This Row],[Delivery ID]],Allocation[Quantity allocated])*16*1.3228*Delivery[[#This Row],[Exchange rate VS USD]]/60</f>
        <v>3800.9596232533327</v>
      </c>
      <c r="AP239" s="171">
        <f>Delivery[[#This Row],[AAA Premium (total)]]</f>
        <v>3803.4796333333329</v>
      </c>
      <c r="AQ239" s="171">
        <f>Delivery[[#This Row],[Valor pago pelo Cluster]]-Delivery[[#This Row],[Valor efetivamente pago pela Nespresso]]</f>
        <v>2.5200100800002474</v>
      </c>
    </row>
    <row r="240" spans="1:43" ht="15.75">
      <c r="A240" s="174" t="s">
        <v>69</v>
      </c>
      <c r="B240" s="232" t="s">
        <v>68</v>
      </c>
      <c r="C240" s="157">
        <v>1</v>
      </c>
      <c r="D240" s="157" t="s">
        <v>468</v>
      </c>
      <c r="E240" s="177" t="s">
        <v>468</v>
      </c>
      <c r="F240" s="233" t="s">
        <v>543</v>
      </c>
      <c r="G240" s="234">
        <v>43383</v>
      </c>
      <c r="H240" s="235" t="s">
        <v>2134</v>
      </c>
      <c r="I240" s="236" t="s">
        <v>1032</v>
      </c>
      <c r="J240" s="237">
        <v>8870</v>
      </c>
      <c r="K240" s="175" t="s">
        <v>61</v>
      </c>
      <c r="L240" s="175" t="s">
        <v>439</v>
      </c>
      <c r="M240" s="175" t="s">
        <v>1343</v>
      </c>
      <c r="N240" s="180"/>
      <c r="O240" s="177"/>
      <c r="P240" s="181">
        <v>0</v>
      </c>
      <c r="Q240" s="177">
        <v>43375</v>
      </c>
      <c r="R240" s="178">
        <v>419.76934499999999</v>
      </c>
      <c r="S240" s="179">
        <v>62492.106666666667</v>
      </c>
      <c r="T240" s="182" t="s">
        <v>45</v>
      </c>
      <c r="U240" s="183">
        <v>3.9657</v>
      </c>
      <c r="V240" s="179">
        <v>5863.07</v>
      </c>
      <c r="W240" s="179">
        <v>0</v>
      </c>
      <c r="X240" s="184" t="s">
        <v>45</v>
      </c>
      <c r="Y240" s="183">
        <v>3.9657</v>
      </c>
      <c r="Z240" s="220"/>
      <c r="AA240" s="172">
        <f>Delivery[[#This Row],[Quantity delivered]]*VLOOKUP(Delivery[[#This Row],[Unit]],Tab_Conversão[],4,FALSE)*VLOOKUP(CONCATENATE(Delivery[[#This Row],[Coffee specie]],Delivery[[#This Row],[Coffee state]]),Tab_Conversão[],4,FALSE)</f>
        <v>8870</v>
      </c>
      <c r="AB240" s="169">
        <f>SUMIF(Allocation!C:C,Delivery[[#This Row],[Delivery ID]],Allocation!D:D)/Delivery[[#This Row],[Quantity delivered]]</f>
        <v>0.11104847801578353</v>
      </c>
      <c r="AC240" s="170">
        <f>Delivery[[#This Row],[Quantity delivered]]*Delivery[[#This Row],[Base price (Unidad)]]/60</f>
        <v>62055.901502500004</v>
      </c>
      <c r="AD240" s="171">
        <f>Delivery[[#This Row],[Nespresso total]]-Delivery[[#This Row],[Qt. Delivery * Base Price]]</f>
        <v>436.20516416666214</v>
      </c>
      <c r="AE240" s="171">
        <f>Delivery[[#This Row],[AAA Premium (total)]]/Delivery[[#This Row],[Quantity delivered]]*60/Delivery[[#This Row],[Exchange rate VS USD]]</f>
        <v>10.000756486874952</v>
      </c>
      <c r="AF240" s="171">
        <f>Delivery[[#This Row],[BEN premium (total)]]/Delivery[[#This Row],[Quantity delivered]]*60/Delivery[[#This Row],[Exchange rate for premiums VS USD]]</f>
        <v>0</v>
      </c>
      <c r="AG240" s="171">
        <f>COUNTIF(Delivery[Delivery ID],Delivery[[#This Row],[Delivery ID]])</f>
        <v>1</v>
      </c>
      <c r="AH240" s="171">
        <f>(Delivery[[#This Row],[Nespresso total]]/SUMIF(Allocation!C:C,Delivery[Delivery ID],Allocation!H:H))/Delivery[[#This Row],[Exchange rate VS USD]]</f>
        <v>39.995311744059798</v>
      </c>
      <c r="AI240" s="171">
        <f>(Delivery[[#This Row],[AAA Premium (total)]]/SUMIF(Allocation!C:C,Delivery[Delivery ID],Allocation!H:H))/Delivery[[#This Row],[Exchange rate VS USD]]</f>
        <v>3.7523989018012194</v>
      </c>
      <c r="AJ240" s="171">
        <f>Delivery[[#This Row],[Valor Prêmio Nespresso AAA por Kg (em US$)]]*60</f>
        <v>225.14393410807315</v>
      </c>
      <c r="AK240" s="171">
        <f>Delivery[[#This Row],[Valor Prêmio Nespresso AAA por saca (em US$)]]/1.3228/100</f>
        <v>1.7020255073183637</v>
      </c>
      <c r="AL240" s="171">
        <f>(Delivery[[#This Row],[BEN premium (total)]]/SUMIF(Allocation!C:C,Delivery[Delivery ID],Allocation!H:H))/Delivery[[#This Row],[Exchange rate for premiums VS USD]]</f>
        <v>0</v>
      </c>
      <c r="AM240" s="171">
        <f>Delivery[[#This Row],[Valor Prêmio Nespresso BEN por Kg (em US$)]]*60</f>
        <v>0</v>
      </c>
      <c r="AN240" s="171">
        <f>Delivery[[#This Row],[Valor Prêmio Nespresso BEN por saca (em US$)]]/1.3228/100</f>
        <v>0</v>
      </c>
      <c r="AO240" s="171">
        <f>SUMIF(Allocation[Delivery ID],Delivery[[#This Row],[Delivery ID]],Allocation[Quantity allocated])*16*1.3228*Delivery[[#This Row],[Exchange rate VS USD]]/60</f>
        <v>551.16165766400002</v>
      </c>
      <c r="AP240" s="171">
        <f>Delivery[[#This Row],[AAA Premium (total)]]</f>
        <v>5863.07</v>
      </c>
      <c r="AQ240" s="171">
        <f>Delivery[[#This Row],[Valor pago pelo Cluster]]-Delivery[[#This Row],[Valor efetivamente pago pela Nespresso]]</f>
        <v>5311.9083423359998</v>
      </c>
    </row>
    <row r="241" spans="1:43" ht="15.75">
      <c r="A241" s="174" t="s">
        <v>69</v>
      </c>
      <c r="B241" s="232" t="s">
        <v>68</v>
      </c>
      <c r="C241" s="157">
        <v>1</v>
      </c>
      <c r="D241" s="157" t="s">
        <v>468</v>
      </c>
      <c r="E241" s="177" t="s">
        <v>468</v>
      </c>
      <c r="F241" s="233" t="s">
        <v>543</v>
      </c>
      <c r="G241" s="234">
        <v>43383</v>
      </c>
      <c r="H241" s="235" t="s">
        <v>2135</v>
      </c>
      <c r="I241" s="236" t="s">
        <v>1032</v>
      </c>
      <c r="J241" s="237">
        <v>5000</v>
      </c>
      <c r="K241" s="175" t="s">
        <v>61</v>
      </c>
      <c r="L241" s="175" t="s">
        <v>439</v>
      </c>
      <c r="M241" s="175" t="s">
        <v>1343</v>
      </c>
      <c r="N241" s="180"/>
      <c r="O241" s="177"/>
      <c r="P241" s="181">
        <v>0</v>
      </c>
      <c r="Q241" s="177">
        <v>43375</v>
      </c>
      <c r="R241" s="178">
        <v>419.76934499999999</v>
      </c>
      <c r="S241" s="179">
        <v>35226.666666666672</v>
      </c>
      <c r="T241" s="182" t="s">
        <v>45</v>
      </c>
      <c r="U241" s="183">
        <v>3.9657</v>
      </c>
      <c r="V241" s="179">
        <v>3304.9999999999995</v>
      </c>
      <c r="W241" s="179">
        <v>0</v>
      </c>
      <c r="X241" s="186" t="s">
        <v>45</v>
      </c>
      <c r="Y241" s="183">
        <v>3.9657</v>
      </c>
      <c r="Z241" s="220"/>
      <c r="AA241" s="172">
        <f>Delivery[[#This Row],[Quantity delivered]]*VLOOKUP(Delivery[[#This Row],[Unit]],Tab_Conversão[],4,FALSE)*VLOOKUP(CONCATENATE(Delivery[[#This Row],[Coffee specie]],Delivery[[#This Row],[Coffee state]]),Tab_Conversão[],4,FALSE)</f>
        <v>5000</v>
      </c>
      <c r="AB241" s="169">
        <f>SUMIF(Allocation!C:C,Delivery[[#This Row],[Delivery ID]],Allocation!D:D)/Delivery[[#This Row],[Quantity delivered]]</f>
        <v>0.1104</v>
      </c>
      <c r="AC241" s="170">
        <f>Delivery[[#This Row],[Quantity delivered]]*Delivery[[#This Row],[Base price (Unidad)]]/60</f>
        <v>34980.778750000005</v>
      </c>
      <c r="AD241" s="171">
        <f>Delivery[[#This Row],[Nespresso total]]-Delivery[[#This Row],[Qt. Delivery * Base Price]]</f>
        <v>245.88791666666657</v>
      </c>
      <c r="AE241" s="171">
        <f>Delivery[[#This Row],[AAA Premium (total)]]/Delivery[[#This Row],[Quantity delivered]]*60/Delivery[[#This Row],[Exchange rate VS USD]]</f>
        <v>10.000756486874952</v>
      </c>
      <c r="AF241" s="171">
        <f>Delivery[[#This Row],[BEN premium (total)]]/Delivery[[#This Row],[Quantity delivered]]*60/Delivery[[#This Row],[Exchange rate for premiums VS USD]]</f>
        <v>0</v>
      </c>
      <c r="AG241" s="171">
        <f>COUNTIF(Delivery[Delivery ID],Delivery[[#This Row],[Delivery ID]])</f>
        <v>1</v>
      </c>
      <c r="AH241" s="171">
        <f>(Delivery[[#This Row],[Nespresso total]]/SUMIF(Allocation!C:C,Delivery[Delivery ID],Allocation!H:H))/Delivery[[#This Row],[Exchange rate VS USD]]</f>
        <v>40.193832551535152</v>
      </c>
      <c r="AI241" s="171">
        <f>(Delivery[[#This Row],[AAA Premium (total)]]/SUMIF(Allocation!C:C,Delivery[Delivery ID],Allocation!H:H))/Delivery[[#This Row],[Exchange rate VS USD]]</f>
        <v>3.7710243163178552</v>
      </c>
      <c r="AJ241" s="171">
        <f>Delivery[[#This Row],[Valor Prêmio Nespresso AAA por Kg (em US$)]]*60</f>
        <v>226.26145897907131</v>
      </c>
      <c r="AK241" s="171">
        <f>Delivery[[#This Row],[Valor Prêmio Nespresso AAA por saca (em US$)]]/1.3228/100</f>
        <v>1.7104736844501915</v>
      </c>
      <c r="AL241" s="171">
        <f>(Delivery[[#This Row],[BEN premium (total)]]/SUMIF(Allocation!C:C,Delivery[Delivery ID],Allocation!H:H))/Delivery[[#This Row],[Exchange rate for premiums VS USD]]</f>
        <v>0</v>
      </c>
      <c r="AM241" s="171">
        <f>Delivery[[#This Row],[Valor Prêmio Nespresso BEN por Kg (em US$)]]*60</f>
        <v>0</v>
      </c>
      <c r="AN241" s="171">
        <f>Delivery[[#This Row],[Valor Prêmio Nespresso BEN por saca (em US$)]]/1.3228/100</f>
        <v>0</v>
      </c>
      <c r="AO241" s="171">
        <f>SUMIF(Allocation[Delivery ID],Delivery[[#This Row],[Delivery ID]],Allocation[Quantity allocated])*16*1.3228*Delivery[[#This Row],[Exchange rate VS USD]]/60</f>
        <v>309.154127776</v>
      </c>
      <c r="AP241" s="171">
        <f>Delivery[[#This Row],[AAA Premium (total)]]</f>
        <v>3304.9999999999995</v>
      </c>
      <c r="AQ241" s="171">
        <f>Delivery[[#This Row],[Valor pago pelo Cluster]]-Delivery[[#This Row],[Valor efetivamente pago pela Nespresso]]</f>
        <v>2995.8458722239993</v>
      </c>
    </row>
    <row r="242" spans="1:43" ht="15.75">
      <c r="A242" s="174" t="s">
        <v>69</v>
      </c>
      <c r="B242" s="232" t="s">
        <v>68</v>
      </c>
      <c r="C242" s="157" t="s">
        <v>1344</v>
      </c>
      <c r="D242" s="157" t="s">
        <v>468</v>
      </c>
      <c r="E242" s="177" t="s">
        <v>468</v>
      </c>
      <c r="F242" s="233" t="s">
        <v>543</v>
      </c>
      <c r="G242" s="234">
        <v>43370</v>
      </c>
      <c r="H242" s="235" t="s">
        <v>1482</v>
      </c>
      <c r="I242" s="157" t="s">
        <v>1040</v>
      </c>
      <c r="J242" s="237">
        <v>12040</v>
      </c>
      <c r="K242" s="175" t="s">
        <v>61</v>
      </c>
      <c r="L242" s="175" t="s">
        <v>439</v>
      </c>
      <c r="M242" s="175" t="s">
        <v>1343</v>
      </c>
      <c r="N242" s="180"/>
      <c r="O242" s="177"/>
      <c r="P242" s="181">
        <v>0</v>
      </c>
      <c r="Q242" s="177">
        <v>43362</v>
      </c>
      <c r="R242" s="178">
        <v>398.78756500000003</v>
      </c>
      <c r="S242" s="179">
        <v>79928.740000000005</v>
      </c>
      <c r="T242" s="182" t="s">
        <v>45</v>
      </c>
      <c r="U242" s="183">
        <v>4.1261000000000001</v>
      </c>
      <c r="V242" s="179">
        <v>5795.35</v>
      </c>
      <c r="W242" s="179">
        <v>0</v>
      </c>
      <c r="X242" s="184" t="s">
        <v>45</v>
      </c>
      <c r="Y242" s="183">
        <v>4.1261000000000001</v>
      </c>
      <c r="Z242" s="220"/>
      <c r="AA242" s="172">
        <f>Delivery[[#This Row],[Quantity delivered]]*VLOOKUP(Delivery[[#This Row],[Unit]],Tab_Conversão[],4,FALSE)*VLOOKUP(CONCATENATE(Delivery[[#This Row],[Coffee specie]],Delivery[[#This Row],[Coffee state]]),Tab_Conversão[],4,FALSE)</f>
        <v>12040</v>
      </c>
      <c r="AB242" s="169">
        <f>SUMIF(Allocation!C:C,Delivery[[#This Row],[Delivery ID]],Allocation!D:D)/Delivery[[#This Row],[Quantity delivered]]</f>
        <v>0.82998338870431898</v>
      </c>
      <c r="AC242" s="170">
        <f>Delivery[[#This Row],[Quantity delivered]]*Delivery[[#This Row],[Base price (Unidad)]]/60</f>
        <v>80023.371376666677</v>
      </c>
      <c r="AD242" s="171">
        <f>Delivery[[#This Row],[Nespresso total]]-Delivery[[#This Row],[Qt. Delivery * Base Price]]</f>
        <v>-94.631376666671713</v>
      </c>
      <c r="AE242" s="171">
        <f>Delivery[[#This Row],[AAA Premium (total)]]/Delivery[[#This Row],[Quantity delivered]]*60/Delivery[[#This Row],[Exchange rate VS USD]]</f>
        <v>6.9994623803530578</v>
      </c>
      <c r="AF242" s="171">
        <f>Delivery[[#This Row],[BEN premium (total)]]/Delivery[[#This Row],[Quantity delivered]]*60/Delivery[[#This Row],[Exchange rate for premiums VS USD]]</f>
        <v>0</v>
      </c>
      <c r="AG242" s="171">
        <f>COUNTIF(Delivery[Delivery ID],Delivery[[#This Row],[Delivery ID]])</f>
        <v>1</v>
      </c>
      <c r="AH242" s="171">
        <f>(Delivery[[#This Row],[Nespresso total]]/SUMIF(Allocation!C:C,Delivery[Delivery ID],Allocation!H:H))/Delivery[[#This Row],[Exchange rate VS USD]]</f>
        <v>5.8737108882620923</v>
      </c>
      <c r="AI242" s="171">
        <f>(Delivery[[#This Row],[AAA Premium (total)]]/SUMIF(Allocation!C:C,Delivery[Delivery ID],Allocation!H:H))/Delivery[[#This Row],[Exchange rate VS USD]]</f>
        <v>0.42588198433116442</v>
      </c>
      <c r="AJ242" s="171">
        <f>Delivery[[#This Row],[Valor Prêmio Nespresso AAA por Kg (em US$)]]*60</f>
        <v>25.552919059869865</v>
      </c>
      <c r="AK242" s="171">
        <f>Delivery[[#This Row],[Valor Prêmio Nespresso AAA por saca (em US$)]]/1.3228/100</f>
        <v>0.19317295932771292</v>
      </c>
      <c r="AL242" s="171">
        <f>(Delivery[[#This Row],[BEN premium (total)]]/SUMIF(Allocation!C:C,Delivery[Delivery ID],Allocation!H:H))/Delivery[[#This Row],[Exchange rate for premiums VS USD]]</f>
        <v>0</v>
      </c>
      <c r="AM242" s="171">
        <f>Delivery[[#This Row],[Valor Prêmio Nespresso BEN por Kg (em US$)]]*60</f>
        <v>0</v>
      </c>
      <c r="AN242" s="171">
        <f>Delivery[[#This Row],[Valor Prêmio Nespresso BEN por saca (em US$)]]/1.3228/100</f>
        <v>0</v>
      </c>
      <c r="AO242" s="171">
        <f>SUMIF(Allocation[Delivery ID],Delivery[[#This Row],[Delivery ID]],Allocation[Quantity allocated])*16*1.3228*Delivery[[#This Row],[Exchange rate VS USD]]/60</f>
        <v>4800.1335343573328</v>
      </c>
      <c r="AP242" s="171">
        <f>Delivery[[#This Row],[AAA Premium (total)]]</f>
        <v>5795.35</v>
      </c>
      <c r="AQ242" s="171">
        <f>Delivery[[#This Row],[Valor pago pelo Cluster]]-Delivery[[#This Row],[Valor efetivamente pago pela Nespresso]]</f>
        <v>995.21646564266757</v>
      </c>
    </row>
    <row r="243" spans="1:43" ht="15.75">
      <c r="A243" s="174" t="s">
        <v>69</v>
      </c>
      <c r="B243" s="232" t="s">
        <v>68</v>
      </c>
      <c r="C243" s="157">
        <v>1</v>
      </c>
      <c r="D243" s="157" t="s">
        <v>468</v>
      </c>
      <c r="E243" s="177" t="s">
        <v>468</v>
      </c>
      <c r="F243" s="233" t="s">
        <v>543</v>
      </c>
      <c r="G243" s="234">
        <v>43370</v>
      </c>
      <c r="H243" s="157" t="s">
        <v>1483</v>
      </c>
      <c r="I243" s="236" t="s">
        <v>1040</v>
      </c>
      <c r="J243" s="237">
        <v>12980</v>
      </c>
      <c r="K243" s="175" t="s">
        <v>61</v>
      </c>
      <c r="L243" s="175" t="s">
        <v>439</v>
      </c>
      <c r="M243" s="175" t="s">
        <v>1343</v>
      </c>
      <c r="N243" s="180"/>
      <c r="O243" s="177"/>
      <c r="P243" s="181">
        <v>0</v>
      </c>
      <c r="Q243" s="177">
        <v>43362</v>
      </c>
      <c r="R243" s="178">
        <v>398.78756500000003</v>
      </c>
      <c r="S243" s="179">
        <v>86169.03</v>
      </c>
      <c r="T243" s="182" t="s">
        <v>45</v>
      </c>
      <c r="U243" s="183">
        <v>4.1261000000000001</v>
      </c>
      <c r="V243" s="179">
        <v>6247.61</v>
      </c>
      <c r="W243" s="179">
        <v>0</v>
      </c>
      <c r="X243" s="186" t="s">
        <v>45</v>
      </c>
      <c r="Y243" s="183">
        <v>4.1261000000000001</v>
      </c>
      <c r="Z243" s="220"/>
      <c r="AA243" s="172">
        <f>Delivery[[#This Row],[Quantity delivered]]*VLOOKUP(Delivery[[#This Row],[Unit]],Tab_Conversão[],4,FALSE)*VLOOKUP(CONCATENATE(Delivery[[#This Row],[Coffee specie]],Delivery[[#This Row],[Coffee state]]),Tab_Conversão[],4,FALSE)</f>
        <v>12980</v>
      </c>
      <c r="AB243" s="169">
        <f>SUMIF(Allocation!C:C,Delivery[[#This Row],[Delivery ID]],Allocation!D:D)/Delivery[[#This Row],[Quantity delivered]]</f>
        <v>1</v>
      </c>
      <c r="AC243" s="170">
        <f>Delivery[[#This Row],[Quantity delivered]]*Delivery[[#This Row],[Base price (Unidad)]]/60</f>
        <v>86271.043228333336</v>
      </c>
      <c r="AD243" s="171">
        <f>Delivery[[#This Row],[Nespresso total]]-Delivery[[#This Row],[Qt. Delivery * Base Price]]</f>
        <v>-102.01322833333688</v>
      </c>
      <c r="AE243" s="171">
        <f>Delivery[[#This Row],[AAA Premium (total)]]/Delivery[[#This Row],[Quantity delivered]]*60/Delivery[[#This Row],[Exchange rate VS USD]]</f>
        <v>6.9992373327611306</v>
      </c>
      <c r="AF243" s="171">
        <f>Delivery[[#This Row],[BEN premium (total)]]/Delivery[[#This Row],[Quantity delivered]]*60/Delivery[[#This Row],[Exchange rate for premiums VS USD]]</f>
        <v>0</v>
      </c>
      <c r="AG243" s="171">
        <f>COUNTIF(Delivery[Delivery ID],Delivery[[#This Row],[Delivery ID]])</f>
        <v>1</v>
      </c>
      <c r="AH243" s="171">
        <f>(Delivery[[#This Row],[Nespresso total]]/SUMIF(Allocation!C:C,Delivery[Delivery ID],Allocation!H:H))/Delivery[[#This Row],[Exchange rate VS USD]]</f>
        <v>4.8748582586617939</v>
      </c>
      <c r="AI243" s="171">
        <f>(Delivery[[#This Row],[AAA Premium (total)]]/SUMIF(Allocation!C:C,Delivery[Delivery ID],Allocation!H:H))/Delivery[[#This Row],[Exchange rate VS USD]]</f>
        <v>0.35344732562729331</v>
      </c>
      <c r="AJ243" s="171">
        <f>Delivery[[#This Row],[Valor Prêmio Nespresso AAA por Kg (em US$)]]*60</f>
        <v>21.206839537637599</v>
      </c>
      <c r="AK243" s="171">
        <f>Delivery[[#This Row],[Valor Prêmio Nespresso AAA por saca (em US$)]]/1.3228/100</f>
        <v>0.16031780720923497</v>
      </c>
      <c r="AL243" s="171">
        <f>(Delivery[[#This Row],[BEN premium (total)]]/SUMIF(Allocation!C:C,Delivery[Delivery ID],Allocation!H:H))/Delivery[[#This Row],[Exchange rate for premiums VS USD]]</f>
        <v>0</v>
      </c>
      <c r="AM243" s="171">
        <f>Delivery[[#This Row],[Valor Prêmio Nespresso BEN por Kg (em US$)]]*60</f>
        <v>0</v>
      </c>
      <c r="AN243" s="171">
        <f>Delivery[[#This Row],[Valor Prêmio Nespresso BEN por saca (em US$)]]/1.3228/100</f>
        <v>0</v>
      </c>
      <c r="AO243" s="171">
        <f>SUMIF(Allocation[Delivery ID],Delivery[[#This Row],[Delivery ID]],Allocation[Quantity allocated])*16*1.3228*Delivery[[#This Row],[Exchange rate VS USD]]/60</f>
        <v>6235.225003392</v>
      </c>
      <c r="AP243" s="171">
        <f>Delivery[[#This Row],[AAA Premium (total)]]</f>
        <v>6247.61</v>
      </c>
      <c r="AQ243" s="171">
        <f>Delivery[[#This Row],[Valor pago pelo Cluster]]-Delivery[[#This Row],[Valor efetivamente pago pela Nespresso]]</f>
        <v>12.38499660799971</v>
      </c>
    </row>
    <row r="244" spans="1:43" ht="15.75">
      <c r="A244" s="174" t="s">
        <v>69</v>
      </c>
      <c r="B244" s="232" t="s">
        <v>68</v>
      </c>
      <c r="C244" s="157">
        <v>1</v>
      </c>
      <c r="D244" s="157" t="s">
        <v>468</v>
      </c>
      <c r="E244" s="177" t="s">
        <v>468</v>
      </c>
      <c r="F244" s="233" t="s">
        <v>543</v>
      </c>
      <c r="G244" s="234">
        <v>43371</v>
      </c>
      <c r="H244" s="157" t="s">
        <v>1484</v>
      </c>
      <c r="I244" s="236" t="s">
        <v>1040</v>
      </c>
      <c r="J244" s="237">
        <v>8930</v>
      </c>
      <c r="K244" s="175" t="s">
        <v>61</v>
      </c>
      <c r="L244" s="175" t="s">
        <v>439</v>
      </c>
      <c r="M244" s="175" t="s">
        <v>1343</v>
      </c>
      <c r="N244" s="180"/>
      <c r="O244" s="177"/>
      <c r="P244" s="181">
        <v>0</v>
      </c>
      <c r="Q244" s="177">
        <v>43362</v>
      </c>
      <c r="R244" s="178">
        <v>398.78756500000003</v>
      </c>
      <c r="S244" s="179">
        <v>59295.199999999997</v>
      </c>
      <c r="T244" s="182" t="s">
        <v>45</v>
      </c>
      <c r="U244" s="183">
        <v>4.1261000000000001</v>
      </c>
      <c r="V244" s="179">
        <v>4286.3999999999996</v>
      </c>
      <c r="W244" s="179">
        <v>0</v>
      </c>
      <c r="X244" s="184" t="s">
        <v>45</v>
      </c>
      <c r="Y244" s="183">
        <v>4.1261000000000001</v>
      </c>
      <c r="Z244" s="220"/>
      <c r="AA244" s="172">
        <f>Delivery[[#This Row],[Quantity delivered]]*VLOOKUP(Delivery[[#This Row],[Unit]],Tab_Conversão[],4,FALSE)*VLOOKUP(CONCATENATE(Delivery[[#This Row],[Coffee specie]],Delivery[[#This Row],[Coffee state]]),Tab_Conversão[],4,FALSE)</f>
        <v>8930</v>
      </c>
      <c r="AB244" s="169">
        <f>SUMIF(Allocation!C:C,Delivery[[#This Row],[Delivery ID]],Allocation!D:D)/Delivery[[#This Row],[Quantity delivered]]</f>
        <v>1</v>
      </c>
      <c r="AC244" s="170">
        <f>Delivery[[#This Row],[Quantity delivered]]*Delivery[[#This Row],[Base price (Unidad)]]/60</f>
        <v>59352.882590833338</v>
      </c>
      <c r="AD244" s="171">
        <f>Delivery[[#This Row],[Nespresso total]]-Delivery[[#This Row],[Qt. Delivery * Base Price]]</f>
        <v>-57.682590833341237</v>
      </c>
      <c r="AE244" s="171">
        <f>Delivery[[#This Row],[AAA Premium (total)]]/Delivery[[#This Row],[Quantity delivered]]*60/Delivery[[#This Row],[Exchange rate VS USD]]</f>
        <v>6.9799568599888504</v>
      </c>
      <c r="AF244" s="171">
        <f>Delivery[[#This Row],[BEN premium (total)]]/Delivery[[#This Row],[Quantity delivered]]*60/Delivery[[#This Row],[Exchange rate for premiums VS USD]]</f>
        <v>0</v>
      </c>
      <c r="AG244" s="171">
        <f>COUNTIF(Delivery[Delivery ID],Delivery[[#This Row],[Delivery ID]])</f>
        <v>1</v>
      </c>
      <c r="AH244" s="171">
        <f>(Delivery[[#This Row],[Nespresso total]]/SUMIF(Allocation!C:C,Delivery[Delivery ID],Allocation!H:H))/Delivery[[#This Row],[Exchange rate VS USD]]</f>
        <v>4.8764037109821068</v>
      </c>
      <c r="AI244" s="171">
        <f>(Delivery[[#This Row],[AAA Premium (total)]]/SUMIF(Allocation!C:C,Delivery[Delivery ID],Allocation!H:H))/Delivery[[#This Row],[Exchange rate VS USD]]</f>
        <v>0.35251111163726068</v>
      </c>
      <c r="AJ244" s="171">
        <f>Delivery[[#This Row],[Valor Prêmio Nespresso AAA por Kg (em US$)]]*60</f>
        <v>21.150666698235639</v>
      </c>
      <c r="AK244" s="171">
        <f>Delivery[[#This Row],[Valor Prêmio Nespresso AAA por saca (em US$)]]/1.3228/100</f>
        <v>0.15989315617051436</v>
      </c>
      <c r="AL244" s="171">
        <f>(Delivery[[#This Row],[BEN premium (total)]]/SUMIF(Allocation!C:C,Delivery[Delivery ID],Allocation!H:H))/Delivery[[#This Row],[Exchange rate for premiums VS USD]]</f>
        <v>0</v>
      </c>
      <c r="AM244" s="171">
        <f>Delivery[[#This Row],[Valor Prêmio Nespresso BEN por Kg (em US$)]]*60</f>
        <v>0</v>
      </c>
      <c r="AN244" s="171">
        <f>Delivery[[#This Row],[Valor Prêmio Nespresso BEN por saca (em US$)]]/1.3228/100</f>
        <v>0</v>
      </c>
      <c r="AO244" s="171">
        <f>SUMIF(Allocation[Delivery ID],Delivery[[#This Row],[Delivery ID]],Allocation[Quantity allocated])*16*1.3228*Delivery[[#This Row],[Exchange rate VS USD]]/60</f>
        <v>4289.2642588693334</v>
      </c>
      <c r="AP244" s="171">
        <f>Delivery[[#This Row],[AAA Premium (total)]]</f>
        <v>4286.3999999999996</v>
      </c>
      <c r="AQ244" s="171">
        <f>Delivery[[#This Row],[Valor pago pelo Cluster]]-Delivery[[#This Row],[Valor efetivamente pago pela Nespresso]]</f>
        <v>-2.864258869333753</v>
      </c>
    </row>
    <row r="245" spans="1:43" ht="15.75">
      <c r="A245" s="174" t="s">
        <v>69</v>
      </c>
      <c r="B245" s="232" t="s">
        <v>68</v>
      </c>
      <c r="C245" s="157">
        <v>1</v>
      </c>
      <c r="D245" s="157" t="s">
        <v>468</v>
      </c>
      <c r="E245" s="177" t="s">
        <v>468</v>
      </c>
      <c r="F245" s="233" t="s">
        <v>543</v>
      </c>
      <c r="G245" s="234">
        <v>43371</v>
      </c>
      <c r="H245" s="157" t="s">
        <v>1485</v>
      </c>
      <c r="I245" s="236" t="s">
        <v>1040</v>
      </c>
      <c r="J245" s="237">
        <v>7870</v>
      </c>
      <c r="K245" s="175" t="s">
        <v>61</v>
      </c>
      <c r="L245" s="175" t="s">
        <v>439</v>
      </c>
      <c r="M245" s="175" t="s">
        <v>1343</v>
      </c>
      <c r="N245" s="180"/>
      <c r="O245" s="177"/>
      <c r="P245" s="181">
        <v>0</v>
      </c>
      <c r="Q245" s="177">
        <v>43362</v>
      </c>
      <c r="R245" s="178">
        <v>398.78756500000003</v>
      </c>
      <c r="S245" s="179">
        <v>52256.799999999996</v>
      </c>
      <c r="T245" s="182" t="s">
        <v>45</v>
      </c>
      <c r="U245" s="183">
        <v>4.1261000000000001</v>
      </c>
      <c r="V245" s="179">
        <v>3777.6</v>
      </c>
      <c r="W245" s="179">
        <v>0</v>
      </c>
      <c r="X245" s="184" t="s">
        <v>45</v>
      </c>
      <c r="Y245" s="183">
        <v>4.1261000000000001</v>
      </c>
      <c r="Z245" s="220"/>
      <c r="AA245" s="172">
        <f>Delivery[[#This Row],[Quantity delivered]]*VLOOKUP(Delivery[[#This Row],[Unit]],Tab_Conversão[],4,FALSE)*VLOOKUP(CONCATENATE(Delivery[[#This Row],[Coffee specie]],Delivery[[#This Row],[Coffee state]]),Tab_Conversão[],4,FALSE)</f>
        <v>7870</v>
      </c>
      <c r="AB245" s="169">
        <f>SUMIF(Allocation!C:C,Delivery[[#This Row],[Delivery ID]],Allocation!D:D)/Delivery[[#This Row],[Quantity delivered]]</f>
        <v>1</v>
      </c>
      <c r="AC245" s="170">
        <f>Delivery[[#This Row],[Quantity delivered]]*Delivery[[#This Row],[Base price (Unidad)]]/60</f>
        <v>52307.635609166675</v>
      </c>
      <c r="AD245" s="171">
        <f>Delivery[[#This Row],[Nespresso total]]-Delivery[[#This Row],[Qt. Delivery * Base Price]]</f>
        <v>-50.835609166679205</v>
      </c>
      <c r="AE245" s="171">
        <f>Delivery[[#This Row],[AAA Premium (total)]]/Delivery[[#This Row],[Quantity delivered]]*60/Delivery[[#This Row],[Exchange rate VS USD]]</f>
        <v>6.9799568599888504</v>
      </c>
      <c r="AF245" s="171">
        <f>Delivery[[#This Row],[BEN premium (total)]]/Delivery[[#This Row],[Quantity delivered]]*60/Delivery[[#This Row],[Exchange rate for premiums VS USD]]</f>
        <v>0</v>
      </c>
      <c r="AG245" s="171">
        <f>COUNTIF(Delivery[Delivery ID],Delivery[[#This Row],[Delivery ID]])</f>
        <v>1</v>
      </c>
      <c r="AH245" s="171">
        <f>(Delivery[[#This Row],[Nespresso total]]/SUMIF(Allocation!C:C,Delivery[Delivery ID],Allocation!H:H))/Delivery[[#This Row],[Exchange rate VS USD]]</f>
        <v>4.8767569637116726</v>
      </c>
      <c r="AI245" s="171">
        <f>(Delivery[[#This Row],[AAA Premium (total)]]/SUMIF(Allocation!C:C,Delivery[Delivery ID],Allocation!H:H))/Delivery[[#This Row],[Exchange rate VS USD]]</f>
        <v>0.35253664797915707</v>
      </c>
      <c r="AJ245" s="171">
        <f>Delivery[[#This Row],[Valor Prêmio Nespresso AAA por Kg (em US$)]]*60</f>
        <v>21.152198878749424</v>
      </c>
      <c r="AK245" s="171">
        <f>Delivery[[#This Row],[Valor Prêmio Nespresso AAA por saca (em US$)]]/1.3228/100</f>
        <v>0.15990473902894939</v>
      </c>
      <c r="AL245" s="171">
        <f>(Delivery[[#This Row],[BEN premium (total)]]/SUMIF(Allocation!C:C,Delivery[Delivery ID],Allocation!H:H))/Delivery[[#This Row],[Exchange rate for premiums VS USD]]</f>
        <v>0</v>
      </c>
      <c r="AM245" s="171">
        <f>Delivery[[#This Row],[Valor Prêmio Nespresso BEN por Kg (em US$)]]*60</f>
        <v>0</v>
      </c>
      <c r="AN245" s="171">
        <f>Delivery[[#This Row],[Valor Prêmio Nespresso BEN por saca (em US$)]]/1.3228/100</f>
        <v>0</v>
      </c>
      <c r="AO245" s="171">
        <f>SUMIF(Allocation[Delivery ID],Delivery[[#This Row],[Delivery ID]],Allocation[Quantity allocated])*16*1.3228*Delivery[[#This Row],[Exchange rate VS USD]]/60</f>
        <v>3779.8504514026667</v>
      </c>
      <c r="AP245" s="171">
        <f>Delivery[[#This Row],[AAA Premium (total)]]</f>
        <v>3777.6</v>
      </c>
      <c r="AQ245" s="171">
        <f>Delivery[[#This Row],[Valor pago pelo Cluster]]-Delivery[[#This Row],[Valor efetivamente pago pela Nespresso]]</f>
        <v>-2.2504514026668403</v>
      </c>
    </row>
    <row r="246" spans="1:43" ht="15.75">
      <c r="A246" s="174" t="s">
        <v>69</v>
      </c>
      <c r="B246" s="232" t="s">
        <v>68</v>
      </c>
      <c r="C246" s="157">
        <v>1</v>
      </c>
      <c r="D246" s="157" t="s">
        <v>468</v>
      </c>
      <c r="E246" s="177" t="s">
        <v>468</v>
      </c>
      <c r="F246" s="233" t="s">
        <v>543</v>
      </c>
      <c r="G246" s="234">
        <v>43371</v>
      </c>
      <c r="H246" s="157" t="s">
        <v>1486</v>
      </c>
      <c r="I246" s="236" t="s">
        <v>1040</v>
      </c>
      <c r="J246" s="237">
        <v>16360</v>
      </c>
      <c r="K246" s="175" t="s">
        <v>61</v>
      </c>
      <c r="L246" s="175" t="s">
        <v>439</v>
      </c>
      <c r="M246" s="175" t="s">
        <v>1343</v>
      </c>
      <c r="N246" s="180"/>
      <c r="O246" s="177"/>
      <c r="P246" s="181">
        <v>0</v>
      </c>
      <c r="Q246" s="177">
        <v>43362</v>
      </c>
      <c r="R246" s="178">
        <v>398.78756500000003</v>
      </c>
      <c r="S246" s="179">
        <v>108630.39999999999</v>
      </c>
      <c r="T246" s="182" t="s">
        <v>45</v>
      </c>
      <c r="U246" s="183">
        <v>4.1261000000000001</v>
      </c>
      <c r="V246" s="179">
        <v>7852.7999999999993</v>
      </c>
      <c r="W246" s="179">
        <v>0</v>
      </c>
      <c r="X246" s="186" t="s">
        <v>45</v>
      </c>
      <c r="Y246" s="183">
        <v>4.1261000000000001</v>
      </c>
      <c r="Z246" s="220"/>
      <c r="AA246" s="172">
        <f>Delivery[[#This Row],[Quantity delivered]]*VLOOKUP(Delivery[[#This Row],[Unit]],Tab_Conversão[],4,FALSE)*VLOOKUP(CONCATENATE(Delivery[[#This Row],[Coffee specie]],Delivery[[#This Row],[Coffee state]]),Tab_Conversão[],4,FALSE)</f>
        <v>16360</v>
      </c>
      <c r="AB246" s="169">
        <f>SUMIF(Allocation!C:C,Delivery[[#This Row],[Delivery ID]],Allocation!D:D)/Delivery[[#This Row],[Quantity delivered]]</f>
        <v>1</v>
      </c>
      <c r="AC246" s="170">
        <f>Delivery[[#This Row],[Quantity delivered]]*Delivery[[#This Row],[Base price (Unidad)]]/60</f>
        <v>108736.07605666667</v>
      </c>
      <c r="AD246" s="171">
        <f>Delivery[[#This Row],[Nespresso total]]-Delivery[[#This Row],[Qt. Delivery * Base Price]]</f>
        <v>-105.67605666667805</v>
      </c>
      <c r="AE246" s="171">
        <f>Delivery[[#This Row],[AAA Premium (total)]]/Delivery[[#This Row],[Quantity delivered]]*60/Delivery[[#This Row],[Exchange rate VS USD]]</f>
        <v>6.9799568599888504</v>
      </c>
      <c r="AF246" s="171">
        <f>Delivery[[#This Row],[BEN premium (total)]]/Delivery[[#This Row],[Quantity delivered]]*60/Delivery[[#This Row],[Exchange rate for premiums VS USD]]</f>
        <v>0</v>
      </c>
      <c r="AG246" s="171">
        <f>COUNTIF(Delivery[Delivery ID],Delivery[[#This Row],[Delivery ID]])</f>
        <v>1</v>
      </c>
      <c r="AH246" s="171">
        <f>(Delivery[[#This Row],[Nespresso total]]/SUMIF(Allocation!C:C,Delivery[Delivery ID],Allocation!H:H))/Delivery[[#This Row],[Exchange rate VS USD]]</f>
        <v>4.8763885395657951</v>
      </c>
      <c r="AI246" s="171">
        <f>(Delivery[[#This Row],[AAA Premium (total)]]/SUMIF(Allocation!C:C,Delivery[Delivery ID],Allocation!H:H))/Delivery[[#This Row],[Exchange rate VS USD]]</f>
        <v>0.35251001490837064</v>
      </c>
      <c r="AJ246" s="171">
        <f>Delivery[[#This Row],[Valor Prêmio Nespresso AAA por Kg (em US$)]]*60</f>
        <v>21.15060089450224</v>
      </c>
      <c r="AK246" s="171">
        <f>Delivery[[#This Row],[Valor Prêmio Nespresso AAA por saca (em US$)]]/1.3228/100</f>
        <v>0.15989265871259631</v>
      </c>
      <c r="AL246" s="171">
        <f>(Delivery[[#This Row],[BEN premium (total)]]/SUMIF(Allocation!C:C,Delivery[Delivery ID],Allocation!H:H))/Delivery[[#This Row],[Exchange rate for premiums VS USD]]</f>
        <v>0</v>
      </c>
      <c r="AM246" s="171">
        <f>Delivery[[#This Row],[Valor Prêmio Nespresso BEN por Kg (em US$)]]*60</f>
        <v>0</v>
      </c>
      <c r="AN246" s="171">
        <f>Delivery[[#This Row],[Valor Prêmio Nespresso BEN por saca (em US$)]]/1.3228/100</f>
        <v>0</v>
      </c>
      <c r="AO246" s="171">
        <f>SUMIF(Allocation[Delivery ID],Delivery[[#This Row],[Delivery ID]],Allocation[Quantity allocated])*16*1.3228*Delivery[[#This Row],[Exchange rate VS USD]]/60</f>
        <v>7858.0718471786668</v>
      </c>
      <c r="AP246" s="171">
        <f>Delivery[[#This Row],[AAA Premium (total)]]</f>
        <v>7852.7999999999993</v>
      </c>
      <c r="AQ246" s="171">
        <f>Delivery[[#This Row],[Valor pago pelo Cluster]]-Delivery[[#This Row],[Valor efetivamente pago pela Nespresso]]</f>
        <v>-5.2718471786674854</v>
      </c>
    </row>
    <row r="247" spans="1:43" ht="15.75">
      <c r="A247" s="174" t="s">
        <v>69</v>
      </c>
      <c r="B247" s="232" t="s">
        <v>68</v>
      </c>
      <c r="C247" s="157">
        <v>1</v>
      </c>
      <c r="D247" s="157" t="s">
        <v>468</v>
      </c>
      <c r="E247" s="177" t="s">
        <v>468</v>
      </c>
      <c r="F247" s="233" t="s">
        <v>543</v>
      </c>
      <c r="G247" s="234">
        <v>43371</v>
      </c>
      <c r="H247" s="157" t="s">
        <v>1487</v>
      </c>
      <c r="I247" s="236" t="s">
        <v>1040</v>
      </c>
      <c r="J247" s="237">
        <v>13900</v>
      </c>
      <c r="K247" s="175" t="s">
        <v>61</v>
      </c>
      <c r="L247" s="175" t="s">
        <v>439</v>
      </c>
      <c r="M247" s="175" t="s">
        <v>1343</v>
      </c>
      <c r="N247" s="180"/>
      <c r="O247" s="177"/>
      <c r="P247" s="181">
        <v>0</v>
      </c>
      <c r="Q247" s="177">
        <v>43362</v>
      </c>
      <c r="R247" s="178">
        <v>398.78756500000003</v>
      </c>
      <c r="S247" s="179">
        <v>92296</v>
      </c>
      <c r="T247" s="182" t="s">
        <v>45</v>
      </c>
      <c r="U247" s="183">
        <v>4.1261000000000001</v>
      </c>
      <c r="V247" s="179">
        <v>6672</v>
      </c>
      <c r="W247" s="179">
        <v>0</v>
      </c>
      <c r="X247" s="186" t="s">
        <v>45</v>
      </c>
      <c r="Y247" s="183">
        <v>4.1261000000000001</v>
      </c>
      <c r="Z247" s="220"/>
      <c r="AA247" s="172">
        <f>Delivery[[#This Row],[Quantity delivered]]*VLOOKUP(Delivery[[#This Row],[Unit]],Tab_Conversão[],4,FALSE)*VLOOKUP(CONCATENATE(Delivery[[#This Row],[Coffee specie]],Delivery[[#This Row],[Coffee state]]),Tab_Conversão[],4,FALSE)</f>
        <v>13900</v>
      </c>
      <c r="AB247" s="169">
        <f>SUMIF(Allocation!C:C,Delivery[[#This Row],[Delivery ID]],Allocation!D:D)/Delivery[[#This Row],[Quantity delivered]]</f>
        <v>1</v>
      </c>
      <c r="AC247" s="170">
        <f>Delivery[[#This Row],[Quantity delivered]]*Delivery[[#This Row],[Base price (Unidad)]]/60</f>
        <v>92385.785891666674</v>
      </c>
      <c r="AD247" s="171">
        <f>Delivery[[#This Row],[Nespresso total]]-Delivery[[#This Row],[Qt. Delivery * Base Price]]</f>
        <v>-89.785891666673706</v>
      </c>
      <c r="AE247" s="171">
        <f>Delivery[[#This Row],[AAA Premium (total)]]/Delivery[[#This Row],[Quantity delivered]]*60/Delivery[[#This Row],[Exchange rate VS USD]]</f>
        <v>6.9799568599888504</v>
      </c>
      <c r="AF247" s="171">
        <f>Delivery[[#This Row],[BEN premium (total)]]/Delivery[[#This Row],[Quantity delivered]]*60/Delivery[[#This Row],[Exchange rate for premiums VS USD]]</f>
        <v>0</v>
      </c>
      <c r="AG247" s="171">
        <f>COUNTIF(Delivery[Delivery ID],Delivery[[#This Row],[Delivery ID]])</f>
        <v>1</v>
      </c>
      <c r="AH247" s="171">
        <f>(Delivery[[#This Row],[Nespresso total]]/SUMIF(Allocation!C:C,Delivery[Delivery ID],Allocation!H:H))/Delivery[[#This Row],[Exchange rate VS USD]]</f>
        <v>4.8765691866925476</v>
      </c>
      <c r="AI247" s="171">
        <f>(Delivery[[#This Row],[AAA Premium (total)]]/SUMIF(Allocation!C:C,Delivery[Delivery ID],Allocation!H:H))/Delivery[[#This Row],[Exchange rate VS USD]]</f>
        <v>0.35252307373681069</v>
      </c>
      <c r="AJ247" s="171">
        <f>Delivery[[#This Row],[Valor Prêmio Nespresso AAA por Kg (em US$)]]*60</f>
        <v>21.15138442420864</v>
      </c>
      <c r="AK247" s="171">
        <f>Delivery[[#This Row],[Valor Prêmio Nespresso AAA por saca (em US$)]]/1.3228/100</f>
        <v>0.15989858197920048</v>
      </c>
      <c r="AL247" s="171">
        <f>(Delivery[[#This Row],[BEN premium (total)]]/SUMIF(Allocation!C:C,Delivery[Delivery ID],Allocation!H:H))/Delivery[[#This Row],[Exchange rate for premiums VS USD]]</f>
        <v>0</v>
      </c>
      <c r="AM247" s="171">
        <f>Delivery[[#This Row],[Valor Prêmio Nespresso BEN por Kg (em US$)]]*60</f>
        <v>0</v>
      </c>
      <c r="AN247" s="171">
        <f>Delivery[[#This Row],[Valor Prêmio Nespresso BEN por saca (em US$)]]/1.3228/100</f>
        <v>0</v>
      </c>
      <c r="AO247" s="171">
        <f>SUMIF(Allocation[Delivery ID],Delivery[[#This Row],[Delivery ID]],Allocation[Quantity allocated])*16*1.3228*Delivery[[#This Row],[Exchange rate VS USD]]/60</f>
        <v>6676.2318138560013</v>
      </c>
      <c r="AP247" s="171">
        <f>Delivery[[#This Row],[AAA Premium (total)]]</f>
        <v>6672</v>
      </c>
      <c r="AQ247" s="171">
        <f>Delivery[[#This Row],[Valor pago pelo Cluster]]-Delivery[[#This Row],[Valor efetivamente pago pela Nespresso]]</f>
        <v>-4.2318138560012812</v>
      </c>
    </row>
    <row r="248" spans="1:43" ht="15.75">
      <c r="A248" s="174" t="s">
        <v>69</v>
      </c>
      <c r="B248" s="232" t="s">
        <v>68</v>
      </c>
      <c r="C248" s="157" t="s">
        <v>1344</v>
      </c>
      <c r="D248" s="157" t="s">
        <v>468</v>
      </c>
      <c r="E248" s="177" t="s">
        <v>468</v>
      </c>
      <c r="F248" s="233" t="s">
        <v>543</v>
      </c>
      <c r="G248" s="234">
        <v>43371</v>
      </c>
      <c r="H248" s="235" t="s">
        <v>1488</v>
      </c>
      <c r="I248" s="157" t="s">
        <v>1040</v>
      </c>
      <c r="J248" s="237">
        <v>10930</v>
      </c>
      <c r="K248" s="175" t="s">
        <v>61</v>
      </c>
      <c r="L248" s="175" t="s">
        <v>439</v>
      </c>
      <c r="M248" s="175" t="s">
        <v>1343</v>
      </c>
      <c r="N248" s="180"/>
      <c r="O248" s="177"/>
      <c r="P248" s="181">
        <v>0</v>
      </c>
      <c r="Q248" s="177">
        <v>43362</v>
      </c>
      <c r="R248" s="178">
        <v>398.78756500000003</v>
      </c>
      <c r="S248" s="179">
        <v>72560.626666666663</v>
      </c>
      <c r="T248" s="182" t="s">
        <v>45</v>
      </c>
      <c r="U248" s="183">
        <v>4.1261000000000001</v>
      </c>
      <c r="V248" s="179">
        <v>5261.4651833333337</v>
      </c>
      <c r="W248" s="179">
        <v>0</v>
      </c>
      <c r="X248" s="186" t="s">
        <v>45</v>
      </c>
      <c r="Y248" s="183">
        <v>4.1261000000000001</v>
      </c>
      <c r="Z248" s="220"/>
      <c r="AA248" s="172">
        <f>Delivery[[#This Row],[Quantity delivered]]*VLOOKUP(Delivery[[#This Row],[Unit]],Tab_Conversão[],4,FALSE)*VLOOKUP(CONCATENATE(Delivery[[#This Row],[Coffee specie]],Delivery[[#This Row],[Coffee state]]),Tab_Conversão[],4,FALSE)</f>
        <v>10930</v>
      </c>
      <c r="AB248" s="169">
        <f>SUMIF(Allocation!C:C,Delivery[[#This Row],[Delivery ID]],Allocation!D:D)/Delivery[[#This Row],[Quantity delivered]]</f>
        <v>1</v>
      </c>
      <c r="AC248" s="170">
        <f>Delivery[[#This Row],[Quantity delivered]]*Delivery[[#This Row],[Base price (Unidad)]]/60</f>
        <v>72645.801424166668</v>
      </c>
      <c r="AD248" s="171">
        <f>Delivery[[#This Row],[Nespresso total]]-Delivery[[#This Row],[Qt. Delivery * Base Price]]</f>
        <v>-85.174757500004489</v>
      </c>
      <c r="AE248" s="171">
        <f>Delivery[[#This Row],[AAA Premium (total)]]/Delivery[[#This Row],[Quantity delivered]]*60/Delivery[[#This Row],[Exchange rate VS USD]]</f>
        <v>7</v>
      </c>
      <c r="AF248" s="171">
        <f>Delivery[[#This Row],[BEN premium (total)]]/Delivery[[#This Row],[Quantity delivered]]*60/Delivery[[#This Row],[Exchange rate for premiums VS USD]]</f>
        <v>0</v>
      </c>
      <c r="AG248" s="171">
        <f>COUNTIF(Delivery[Delivery ID],Delivery[[#This Row],[Delivery ID]])</f>
        <v>1</v>
      </c>
      <c r="AH248" s="171">
        <f>(Delivery[[#This Row],[Nespresso total]]/SUMIF(Allocation!C:C,Delivery[Delivery ID],Allocation!H:H))/Delivery[[#This Row],[Exchange rate VS USD]]</f>
        <v>4.8754547857088255</v>
      </c>
      <c r="AI248" s="171">
        <f>(Delivery[[#This Row],[AAA Premium (total)]]/SUMIF(Allocation!C:C,Delivery[Delivery ID],Allocation!H:H))/Delivery[[#This Row],[Exchange rate VS USD]]</f>
        <v>0.35352555216708254</v>
      </c>
      <c r="AJ248" s="171">
        <f>Delivery[[#This Row],[Valor Prêmio Nespresso AAA por Kg (em US$)]]*60</f>
        <v>21.211533130024954</v>
      </c>
      <c r="AK248" s="171">
        <f>Delivery[[#This Row],[Valor Prêmio Nespresso AAA por saca (em US$)]]/1.3228/100</f>
        <v>0.16035328946193644</v>
      </c>
      <c r="AL248" s="171">
        <f>(Delivery[[#This Row],[BEN premium (total)]]/SUMIF(Allocation!C:C,Delivery[Delivery ID],Allocation!H:H))/Delivery[[#This Row],[Exchange rate for premiums VS USD]]</f>
        <v>0</v>
      </c>
      <c r="AM248" s="171">
        <f>Delivery[[#This Row],[Valor Prêmio Nespresso BEN por Kg (em US$)]]*60</f>
        <v>0</v>
      </c>
      <c r="AN248" s="171">
        <f>Delivery[[#This Row],[Valor Prêmio Nespresso BEN por saca (em US$)]]/1.3228/100</f>
        <v>0</v>
      </c>
      <c r="AO248" s="171">
        <f>SUMIF(Allocation[Delivery ID],Delivery[[#This Row],[Delivery ID]],Allocation[Quantity allocated])*16*1.3228*Delivery[[#This Row],[Exchange rate VS USD]]/60</f>
        <v>5249.8731529493343</v>
      </c>
      <c r="AP248" s="171">
        <f>Delivery[[#This Row],[AAA Premium (total)]]</f>
        <v>5261.4651833333337</v>
      </c>
      <c r="AQ248" s="171">
        <f>Delivery[[#This Row],[Valor pago pelo Cluster]]-Delivery[[#This Row],[Valor efetivamente pago pela Nespresso]]</f>
        <v>11.592030383999372</v>
      </c>
    </row>
    <row r="249" spans="1:43" ht="15.75">
      <c r="A249" s="174" t="s">
        <v>69</v>
      </c>
      <c r="B249" s="232" t="s">
        <v>68</v>
      </c>
      <c r="C249" s="157" t="s">
        <v>1344</v>
      </c>
      <c r="D249" s="157" t="s">
        <v>468</v>
      </c>
      <c r="E249" s="177" t="s">
        <v>468</v>
      </c>
      <c r="F249" s="233" t="s">
        <v>543</v>
      </c>
      <c r="G249" s="234">
        <v>43371</v>
      </c>
      <c r="H249" s="235" t="s">
        <v>1489</v>
      </c>
      <c r="I249" s="157" t="s">
        <v>1040</v>
      </c>
      <c r="J249" s="237">
        <v>12430</v>
      </c>
      <c r="K249" s="175" t="s">
        <v>61</v>
      </c>
      <c r="L249" s="175" t="s">
        <v>439</v>
      </c>
      <c r="M249" s="175" t="s">
        <v>1343</v>
      </c>
      <c r="N249" s="180"/>
      <c r="O249" s="177"/>
      <c r="P249" s="181">
        <v>0</v>
      </c>
      <c r="Q249" s="177">
        <v>43362</v>
      </c>
      <c r="R249" s="178">
        <v>398.78756500000003</v>
      </c>
      <c r="S249" s="179">
        <v>82518.626666666663</v>
      </c>
      <c r="T249" s="182" t="s">
        <v>45</v>
      </c>
      <c r="U249" s="183">
        <v>4.1261000000000001</v>
      </c>
      <c r="V249" s="179">
        <v>5983.5326833333338</v>
      </c>
      <c r="W249" s="179">
        <v>0</v>
      </c>
      <c r="X249" s="186" t="s">
        <v>45</v>
      </c>
      <c r="Y249" s="183">
        <v>4.1261000000000001</v>
      </c>
      <c r="Z249" s="220"/>
      <c r="AA249" s="172">
        <f>Delivery[[#This Row],[Quantity delivered]]*VLOOKUP(Delivery[[#This Row],[Unit]],Tab_Conversão[],4,FALSE)*VLOOKUP(CONCATENATE(Delivery[[#This Row],[Coffee specie]],Delivery[[#This Row],[Coffee state]]),Tab_Conversão[],4,FALSE)</f>
        <v>12430</v>
      </c>
      <c r="AB249" s="169">
        <f>SUMIF(Allocation!C:C,Delivery[[#This Row],[Delivery ID]],Allocation!D:D)/Delivery[[#This Row],[Quantity delivered]]</f>
        <v>0.82646822204344328</v>
      </c>
      <c r="AC249" s="170">
        <f>Delivery[[#This Row],[Quantity delivered]]*Delivery[[#This Row],[Base price (Unidad)]]/60</f>
        <v>82615.490549166672</v>
      </c>
      <c r="AD249" s="171">
        <f>Delivery[[#This Row],[Nespresso total]]-Delivery[[#This Row],[Qt. Delivery * Base Price]]</f>
        <v>-96.863882500008913</v>
      </c>
      <c r="AE249" s="171">
        <f>Delivery[[#This Row],[AAA Premium (total)]]/Delivery[[#This Row],[Quantity delivered]]*60/Delivery[[#This Row],[Exchange rate VS USD]]</f>
        <v>7</v>
      </c>
      <c r="AF249" s="171">
        <f>Delivery[[#This Row],[BEN premium (total)]]/Delivery[[#This Row],[Quantity delivered]]*60/Delivery[[#This Row],[Exchange rate for premiums VS USD]]</f>
        <v>0</v>
      </c>
      <c r="AG249" s="171">
        <f>COUNTIF(Delivery[Delivery ID],Delivery[[#This Row],[Delivery ID]])</f>
        <v>1</v>
      </c>
      <c r="AH249" s="171">
        <f>(Delivery[[#This Row],[Nespresso total]]/SUMIF(Allocation!C:C,Delivery[Delivery ID],Allocation!H:H))/Delivery[[#This Row],[Exchange rate VS USD]]</f>
        <v>5.8994638466779223</v>
      </c>
      <c r="AI249" s="171">
        <f>(Delivery[[#This Row],[AAA Premium (total)]]/SUMIF(Allocation!C:C,Delivery[Delivery ID],Allocation!H:H))/Delivery[[#This Row],[Exchange rate VS USD]]</f>
        <v>0.42777777777777776</v>
      </c>
      <c r="AJ249" s="171">
        <f>Delivery[[#This Row],[Valor Prêmio Nespresso AAA por Kg (em US$)]]*60</f>
        <v>25.666666666666664</v>
      </c>
      <c r="AK249" s="171">
        <f>Delivery[[#This Row],[Valor Prêmio Nespresso AAA por saca (em US$)]]/1.3228/100</f>
        <v>0.19403285959076705</v>
      </c>
      <c r="AL249" s="171">
        <f>(Delivery[[#This Row],[BEN premium (total)]]/SUMIF(Allocation!C:C,Delivery[Delivery ID],Allocation!H:H))/Delivery[[#This Row],[Exchange rate for premiums VS USD]]</f>
        <v>0</v>
      </c>
      <c r="AM249" s="171">
        <f>Delivery[[#This Row],[Valor Prêmio Nespresso BEN por Kg (em US$)]]*60</f>
        <v>0</v>
      </c>
      <c r="AN249" s="171">
        <f>Delivery[[#This Row],[Valor Prêmio Nespresso BEN por saca (em US$)]]/1.3228/100</f>
        <v>0</v>
      </c>
      <c r="AO249" s="171">
        <f>SUMIF(Allocation[Delivery ID],Delivery[[#This Row],[Delivery ID]],Allocation[Quantity allocated])*16*1.3228*Delivery[[#This Row],[Exchange rate VS USD]]/60</f>
        <v>4934.0365923200006</v>
      </c>
      <c r="AP249" s="171">
        <f>Delivery[[#This Row],[AAA Premium (total)]]</f>
        <v>5983.5326833333338</v>
      </c>
      <c r="AQ249" s="171">
        <f>Delivery[[#This Row],[Valor pago pelo Cluster]]-Delivery[[#This Row],[Valor efetivamente pago pela Nespresso]]</f>
        <v>1049.4960910133332</v>
      </c>
    </row>
    <row r="250" spans="1:43" ht="15.75">
      <c r="A250" s="174" t="s">
        <v>69</v>
      </c>
      <c r="B250" s="232" t="s">
        <v>68</v>
      </c>
      <c r="C250" s="157" t="s">
        <v>1344</v>
      </c>
      <c r="D250" s="157" t="s">
        <v>468</v>
      </c>
      <c r="E250" s="177" t="s">
        <v>468</v>
      </c>
      <c r="F250" s="233" t="s">
        <v>543</v>
      </c>
      <c r="G250" s="234">
        <v>43371</v>
      </c>
      <c r="H250" s="235" t="s">
        <v>1490</v>
      </c>
      <c r="I250" s="157" t="s">
        <v>1040</v>
      </c>
      <c r="J250" s="237">
        <v>13290</v>
      </c>
      <c r="K250" s="175" t="s">
        <v>61</v>
      </c>
      <c r="L250" s="175" t="s">
        <v>439</v>
      </c>
      <c r="M250" s="175" t="s">
        <v>1343</v>
      </c>
      <c r="N250" s="180"/>
      <c r="O250" s="177"/>
      <c r="P250" s="181">
        <v>0</v>
      </c>
      <c r="Q250" s="177">
        <v>43362</v>
      </c>
      <c r="R250" s="178">
        <v>398.78756500000003</v>
      </c>
      <c r="S250" s="179">
        <v>88227.88</v>
      </c>
      <c r="T250" s="182" t="s">
        <v>45</v>
      </c>
      <c r="U250" s="183">
        <v>4.1261000000000001</v>
      </c>
      <c r="V250" s="179">
        <v>6397.5180500000006</v>
      </c>
      <c r="W250" s="179">
        <v>0</v>
      </c>
      <c r="X250" s="186" t="s">
        <v>45</v>
      </c>
      <c r="Y250" s="183">
        <v>4.1261000000000001</v>
      </c>
      <c r="Z250" s="220"/>
      <c r="AA250" s="172">
        <f>Delivery[[#This Row],[Quantity delivered]]*VLOOKUP(Delivery[[#This Row],[Unit]],Tab_Conversão[],4,FALSE)*VLOOKUP(CONCATENATE(Delivery[[#This Row],[Coffee specie]],Delivery[[#This Row],[Coffee state]]),Tab_Conversão[],4,FALSE)</f>
        <v>13290</v>
      </c>
      <c r="AB250" s="169">
        <f>SUMIF(Allocation!C:C,Delivery[[#This Row],[Delivery ID]],Allocation!D:D)/Delivery[[#This Row],[Quantity delivered]]</f>
        <v>0.87193378480060191</v>
      </c>
      <c r="AC250" s="170">
        <f>Delivery[[#This Row],[Quantity delivered]]*Delivery[[#This Row],[Base price (Unidad)]]/60</f>
        <v>88331.445647500004</v>
      </c>
      <c r="AD250" s="171">
        <f>Delivery[[#This Row],[Nespresso total]]-Delivery[[#This Row],[Qt. Delivery * Base Price]]</f>
        <v>-103.56564749999961</v>
      </c>
      <c r="AE250" s="171">
        <f>Delivery[[#This Row],[AAA Premium (total)]]/Delivery[[#This Row],[Quantity delivered]]*60/Delivery[[#This Row],[Exchange rate VS USD]]</f>
        <v>7</v>
      </c>
      <c r="AF250" s="171">
        <f>Delivery[[#This Row],[BEN premium (total)]]/Delivery[[#This Row],[Quantity delivered]]*60/Delivery[[#This Row],[Exchange rate for premiums VS USD]]</f>
        <v>0</v>
      </c>
      <c r="AG250" s="171">
        <f>COUNTIF(Delivery[Delivery ID],Delivery[[#This Row],[Delivery ID]])</f>
        <v>1</v>
      </c>
      <c r="AH250" s="171">
        <f>(Delivery[[#This Row],[Nespresso total]]/SUMIF(Allocation!C:C,Delivery[Delivery ID],Allocation!H:H))/Delivery[[#This Row],[Exchange rate VS USD]]</f>
        <v>5.5917559805783759</v>
      </c>
      <c r="AI250" s="171">
        <f>(Delivery[[#This Row],[AAA Premium (total)]]/SUMIF(Allocation!C:C,Delivery[Delivery ID],Allocation!H:H))/Delivery[[#This Row],[Exchange rate VS USD]]</f>
        <v>0.40546548117154818</v>
      </c>
      <c r="AJ250" s="171">
        <f>Delivery[[#This Row],[Valor Prêmio Nespresso AAA por Kg (em US$)]]*60</f>
        <v>24.32792887029289</v>
      </c>
      <c r="AK250" s="171">
        <f>Delivery[[#This Row],[Valor Prêmio Nespresso AAA por saca (em US$)]]/1.3228/100</f>
        <v>0.18391237428404061</v>
      </c>
      <c r="AL250" s="171">
        <f>(Delivery[[#This Row],[BEN premium (total)]]/SUMIF(Allocation!C:C,Delivery[Delivery ID],Allocation!H:H))/Delivery[[#This Row],[Exchange rate for premiums VS USD]]</f>
        <v>0</v>
      </c>
      <c r="AM250" s="171">
        <f>Delivery[[#This Row],[Valor Prêmio Nespresso BEN por Kg (em US$)]]*60</f>
        <v>0</v>
      </c>
      <c r="AN250" s="171">
        <f>Delivery[[#This Row],[Valor Prêmio Nespresso BEN por saca (em US$)]]/1.3228/100</f>
        <v>0</v>
      </c>
      <c r="AO250" s="171">
        <f>SUMIF(Allocation[Delivery ID],Delivery[[#This Row],[Delivery ID]],Allocation[Quantity allocated])*16*1.3228*Delivery[[#This Row],[Exchange rate VS USD]]/60</f>
        <v>5565.7097135786662</v>
      </c>
      <c r="AP250" s="171">
        <f>Delivery[[#This Row],[AAA Premium (total)]]</f>
        <v>6397.5180500000006</v>
      </c>
      <c r="AQ250" s="171">
        <f>Delivery[[#This Row],[Valor pago pelo Cluster]]-Delivery[[#This Row],[Valor efetivamente pago pela Nespresso]]</f>
        <v>831.80833642133439</v>
      </c>
    </row>
    <row r="251" spans="1:43" ht="15.75">
      <c r="A251" s="174" t="s">
        <v>69</v>
      </c>
      <c r="B251" s="232" t="s">
        <v>68</v>
      </c>
      <c r="C251" s="157">
        <v>1</v>
      </c>
      <c r="D251" s="157" t="s">
        <v>468</v>
      </c>
      <c r="E251" s="177" t="s">
        <v>468</v>
      </c>
      <c r="F251" s="233" t="s">
        <v>543</v>
      </c>
      <c r="G251" s="234">
        <v>43371</v>
      </c>
      <c r="H251" s="157" t="s">
        <v>1491</v>
      </c>
      <c r="I251" s="236" t="s">
        <v>1040</v>
      </c>
      <c r="J251" s="237">
        <v>9350</v>
      </c>
      <c r="K251" s="175" t="s">
        <v>61</v>
      </c>
      <c r="L251" s="175" t="s">
        <v>439</v>
      </c>
      <c r="M251" s="175" t="s">
        <v>1343</v>
      </c>
      <c r="N251" s="180"/>
      <c r="O251" s="177"/>
      <c r="P251" s="181">
        <v>0</v>
      </c>
      <c r="Q251" s="177">
        <v>43362</v>
      </c>
      <c r="R251" s="178">
        <v>398.78756500000003</v>
      </c>
      <c r="S251" s="179">
        <v>62084</v>
      </c>
      <c r="T251" s="182" t="s">
        <v>45</v>
      </c>
      <c r="U251" s="183">
        <v>4.1261000000000001</v>
      </c>
      <c r="V251" s="179">
        <v>4488</v>
      </c>
      <c r="W251" s="179">
        <v>0</v>
      </c>
      <c r="X251" s="186" t="s">
        <v>45</v>
      </c>
      <c r="Y251" s="183">
        <v>4.1261000000000001</v>
      </c>
      <c r="Z251" s="220"/>
      <c r="AA251" s="172">
        <f>Delivery[[#This Row],[Quantity delivered]]*VLOOKUP(Delivery[[#This Row],[Unit]],Tab_Conversão[],4,FALSE)*VLOOKUP(CONCATENATE(Delivery[[#This Row],[Coffee specie]],Delivery[[#This Row],[Coffee state]]),Tab_Conversão[],4,FALSE)</f>
        <v>9350</v>
      </c>
      <c r="AB251" s="169">
        <f>SUMIF(Allocation!C:C,Delivery[[#This Row],[Delivery ID]],Allocation!D:D)/Delivery[[#This Row],[Quantity delivered]]</f>
        <v>1</v>
      </c>
      <c r="AC251" s="170">
        <f>Delivery[[#This Row],[Quantity delivered]]*Delivery[[#This Row],[Base price (Unidad)]]/60</f>
        <v>62144.395545833344</v>
      </c>
      <c r="AD251" s="171">
        <f>Delivery[[#This Row],[Nespresso total]]-Delivery[[#This Row],[Qt. Delivery * Base Price]]</f>
        <v>-60.395545833343931</v>
      </c>
      <c r="AE251" s="171">
        <f>Delivery[[#This Row],[AAA Premium (total)]]/Delivery[[#This Row],[Quantity delivered]]*60/Delivery[[#This Row],[Exchange rate VS USD]]</f>
        <v>6.9799568599888504</v>
      </c>
      <c r="AF251" s="171">
        <f>Delivery[[#This Row],[BEN premium (total)]]/Delivery[[#This Row],[Quantity delivered]]*60/Delivery[[#This Row],[Exchange rate for premiums VS USD]]</f>
        <v>0</v>
      </c>
      <c r="AG251" s="171">
        <f>COUNTIF(Delivery[Delivery ID],Delivery[[#This Row],[Delivery ID]])</f>
        <v>1</v>
      </c>
      <c r="AH251" s="171">
        <f>(Delivery[[#This Row],[Nespresso total]]/SUMIF(Allocation!C:C,Delivery[Delivery ID],Allocation!H:H))/Delivery[[#This Row],[Exchange rate VS USD]]</f>
        <v>4.8773595544699688</v>
      </c>
      <c r="AI251" s="171">
        <f>(Delivery[[#This Row],[AAA Premium (total)]]/SUMIF(Allocation!C:C,Delivery[Delivery ID],Allocation!H:H))/Delivery[[#This Row],[Exchange rate VS USD]]</f>
        <v>0.35258020875686524</v>
      </c>
      <c r="AJ251" s="171">
        <f>Delivery[[#This Row],[Valor Prêmio Nespresso AAA por Kg (em US$)]]*60</f>
        <v>21.154812525411913</v>
      </c>
      <c r="AK251" s="171">
        <f>Delivery[[#This Row],[Valor Prêmio Nespresso AAA por saca (em US$)]]/1.3228/100</f>
        <v>0.15992449747060714</v>
      </c>
      <c r="AL251" s="171">
        <f>(Delivery[[#This Row],[BEN premium (total)]]/SUMIF(Allocation!C:C,Delivery[Delivery ID],Allocation!H:H))/Delivery[[#This Row],[Exchange rate for premiums VS USD]]</f>
        <v>0</v>
      </c>
      <c r="AM251" s="171">
        <f>Delivery[[#This Row],[Valor Prêmio Nespresso BEN por Kg (em US$)]]*60</f>
        <v>0</v>
      </c>
      <c r="AN251" s="171">
        <f>Delivery[[#This Row],[Valor Prêmio Nespresso BEN por saca (em US$)]]/1.3228/100</f>
        <v>0</v>
      </c>
      <c r="AO251" s="171">
        <f>SUMIF(Allocation[Delivery ID],Delivery[[#This Row],[Delivery ID]],Allocation[Quantity allocated])*16*1.3228*Delivery[[#This Row],[Exchange rate VS USD]]/60</f>
        <v>4490.1188458133338</v>
      </c>
      <c r="AP251" s="171">
        <f>Delivery[[#This Row],[AAA Premium (total)]]</f>
        <v>4488</v>
      </c>
      <c r="AQ251" s="171">
        <f>Delivery[[#This Row],[Valor pago pelo Cluster]]-Delivery[[#This Row],[Valor efetivamente pago pela Nespresso]]</f>
        <v>-2.1188458133337917</v>
      </c>
    </row>
    <row r="252" spans="1:43" ht="15.75">
      <c r="A252" s="174" t="s">
        <v>69</v>
      </c>
      <c r="B252" s="232" t="s">
        <v>68</v>
      </c>
      <c r="C252" s="157">
        <v>1</v>
      </c>
      <c r="D252" s="157" t="s">
        <v>468</v>
      </c>
      <c r="E252" s="177" t="s">
        <v>468</v>
      </c>
      <c r="F252" s="233" t="s">
        <v>543</v>
      </c>
      <c r="G252" s="234">
        <v>43363</v>
      </c>
      <c r="H252" s="157" t="s">
        <v>1492</v>
      </c>
      <c r="I252" s="236" t="s">
        <v>1094</v>
      </c>
      <c r="J252" s="237">
        <v>9780</v>
      </c>
      <c r="K252" s="175" t="s">
        <v>61</v>
      </c>
      <c r="L252" s="175" t="s">
        <v>439</v>
      </c>
      <c r="M252" s="175" t="s">
        <v>1343</v>
      </c>
      <c r="N252" s="180"/>
      <c r="O252" s="177"/>
      <c r="P252" s="181">
        <v>0</v>
      </c>
      <c r="Q252" s="177">
        <v>43355</v>
      </c>
      <c r="R252" s="178">
        <v>423.75467500000002</v>
      </c>
      <c r="S252" s="179">
        <v>68191.05</v>
      </c>
      <c r="T252" s="182" t="s">
        <v>45</v>
      </c>
      <c r="U252" s="183">
        <v>4.1443000000000003</v>
      </c>
      <c r="V252" s="179">
        <v>4813.3900000000003</v>
      </c>
      <c r="W252" s="179">
        <v>0</v>
      </c>
      <c r="X252" s="186" t="s">
        <v>45</v>
      </c>
      <c r="Y252" s="183">
        <v>4.1443000000000003</v>
      </c>
      <c r="Z252" s="220"/>
      <c r="AA252" s="172">
        <f>Delivery[[#This Row],[Quantity delivered]]*VLOOKUP(Delivery[[#This Row],[Unit]],Tab_Conversão[],4,FALSE)*VLOOKUP(CONCATENATE(Delivery[[#This Row],[Coffee specie]],Delivery[[#This Row],[Coffee state]]),Tab_Conversão[],4,FALSE)</f>
        <v>9780</v>
      </c>
      <c r="AB252" s="169">
        <f>SUMIF(Allocation!C:C,Delivery[[#This Row],[Delivery ID]],Allocation!D:D)/Delivery[[#This Row],[Quantity delivered]]</f>
        <v>1</v>
      </c>
      <c r="AC252" s="170">
        <f>Delivery[[#This Row],[Quantity delivered]]*Delivery[[#This Row],[Base price (Unidad)]]/60</f>
        <v>69072.012025000004</v>
      </c>
      <c r="AD252" s="171">
        <f>Delivery[[#This Row],[Nespresso total]]-Delivery[[#This Row],[Qt. Delivery * Base Price]]</f>
        <v>-880.96202500000072</v>
      </c>
      <c r="AE252" s="171">
        <f>Delivery[[#This Row],[AAA Premium (total)]]/Delivery[[#This Row],[Quantity delivered]]*60/Delivery[[#This Row],[Exchange rate VS USD]]</f>
        <v>7.1254494124460095</v>
      </c>
      <c r="AF252" s="171">
        <f>Delivery[[#This Row],[BEN premium (total)]]/Delivery[[#This Row],[Quantity delivered]]*60/Delivery[[#This Row],[Exchange rate for premiums VS USD]]</f>
        <v>0</v>
      </c>
      <c r="AG252" s="171">
        <f>COUNTIF(Delivery[Delivery ID],Delivery[[#This Row],[Delivery ID]])</f>
        <v>1</v>
      </c>
      <c r="AH252" s="171">
        <f>(Delivery[[#This Row],[Nespresso total]]/SUMIF(Allocation!C:C,Delivery[Delivery ID],Allocation!H:H))/Delivery[[#This Row],[Exchange rate VS USD]]</f>
        <v>5.6081043039033531</v>
      </c>
      <c r="AI252" s="171">
        <f>(Delivery[[#This Row],[AAA Premium (total)]]/SUMIF(Allocation!C:C,Delivery[Delivery ID],Allocation!H:H))/Delivery[[#This Row],[Exchange rate VS USD]]</f>
        <v>0.39585830069144501</v>
      </c>
      <c r="AJ252" s="171">
        <f>Delivery[[#This Row],[Valor Prêmio Nespresso AAA por Kg (em US$)]]*60</f>
        <v>23.751498041486702</v>
      </c>
      <c r="AK252" s="171">
        <f>Delivery[[#This Row],[Valor Prêmio Nespresso AAA por saca (em US$)]]/1.3228/100</f>
        <v>0.17955471758003252</v>
      </c>
      <c r="AL252" s="171">
        <f>(Delivery[[#This Row],[BEN premium (total)]]/SUMIF(Allocation!C:C,Delivery[Delivery ID],Allocation!H:H))/Delivery[[#This Row],[Exchange rate for premiums VS USD]]</f>
        <v>0</v>
      </c>
      <c r="AM252" s="171">
        <f>Delivery[[#This Row],[Valor Prêmio Nespresso BEN por Kg (em US$)]]*60</f>
        <v>0</v>
      </c>
      <c r="AN252" s="171">
        <f>Delivery[[#This Row],[Valor Prêmio Nespresso BEN por saca (em US$)]]/1.3228/100</f>
        <v>0</v>
      </c>
      <c r="AO252" s="171">
        <f>SUMIF(Allocation[Delivery ID],Delivery[[#This Row],[Delivery ID]],Allocation[Quantity allocated])*16*1.3228*Delivery[[#This Row],[Exchange rate VS USD]]/60</f>
        <v>4289.1794232960001</v>
      </c>
      <c r="AP252" s="171">
        <f>Delivery[[#This Row],[AAA Premium (total)]]</f>
        <v>4813.3900000000003</v>
      </c>
      <c r="AQ252" s="171">
        <f>Delivery[[#This Row],[Valor pago pelo Cluster]]-Delivery[[#This Row],[Valor efetivamente pago pela Nespresso]]</f>
        <v>524.21057670400023</v>
      </c>
    </row>
    <row r="253" spans="1:43" ht="15.75">
      <c r="A253" s="174" t="s">
        <v>69</v>
      </c>
      <c r="B253" s="232" t="s">
        <v>68</v>
      </c>
      <c r="C253" s="157">
        <v>1</v>
      </c>
      <c r="D253" s="157" t="s">
        <v>468</v>
      </c>
      <c r="E253" s="177" t="s">
        <v>468</v>
      </c>
      <c r="F253" s="233" t="s">
        <v>543</v>
      </c>
      <c r="G253" s="234">
        <v>43363</v>
      </c>
      <c r="H253" s="157" t="s">
        <v>1493</v>
      </c>
      <c r="I253" s="236" t="s">
        <v>1094</v>
      </c>
      <c r="J253" s="237">
        <v>13110</v>
      </c>
      <c r="K253" s="175" t="s">
        <v>61</v>
      </c>
      <c r="L253" s="175" t="s">
        <v>439</v>
      </c>
      <c r="M253" s="175" t="s">
        <v>1343</v>
      </c>
      <c r="N253" s="180"/>
      <c r="O253" s="177"/>
      <c r="P253" s="181">
        <v>0</v>
      </c>
      <c r="Q253" s="177">
        <v>43355</v>
      </c>
      <c r="R253" s="178">
        <v>423.75467500000002</v>
      </c>
      <c r="S253" s="179">
        <v>91618.650000000009</v>
      </c>
      <c r="T253" s="182" t="s">
        <v>45</v>
      </c>
      <c r="U253" s="183">
        <v>4.1443000000000003</v>
      </c>
      <c r="V253" s="179">
        <v>6467.0700000000006</v>
      </c>
      <c r="W253" s="179">
        <v>0</v>
      </c>
      <c r="X253" s="186" t="s">
        <v>45</v>
      </c>
      <c r="Y253" s="183">
        <v>4.1443000000000003</v>
      </c>
      <c r="Z253" s="220"/>
      <c r="AA253" s="172">
        <f>Delivery[[#This Row],[Quantity delivered]]*VLOOKUP(Delivery[[#This Row],[Unit]],Tab_Conversão[],4,FALSE)*VLOOKUP(CONCATENATE(Delivery[[#This Row],[Coffee specie]],Delivery[[#This Row],[Coffee state]]),Tab_Conversão[],4,FALSE)</f>
        <v>13110</v>
      </c>
      <c r="AB253" s="169">
        <f>SUMIF(Allocation!C:C,Delivery[[#This Row],[Delivery ID]],Allocation!D:D)/Delivery[[#This Row],[Quantity delivered]]</f>
        <v>1</v>
      </c>
      <c r="AC253" s="170">
        <f>Delivery[[#This Row],[Quantity delivered]]*Delivery[[#This Row],[Base price (Unidad)]]/60</f>
        <v>92590.396487500009</v>
      </c>
      <c r="AD253" s="171">
        <f>Delivery[[#This Row],[Nespresso total]]-Delivery[[#This Row],[Qt. Delivery * Base Price]]</f>
        <v>-971.74648750000051</v>
      </c>
      <c r="AE253" s="171">
        <f>Delivery[[#This Row],[AAA Premium (total)]]/Delivery[[#This Row],[Quantity delivered]]*60/Delivery[[#This Row],[Exchange rate VS USD]]</f>
        <v>7.1417547886758639</v>
      </c>
      <c r="AF253" s="171">
        <f>Delivery[[#This Row],[BEN premium (total)]]/Delivery[[#This Row],[Quantity delivered]]*60/Delivery[[#This Row],[Exchange rate for premiums VS USD]]</f>
        <v>0</v>
      </c>
      <c r="AG253" s="171">
        <f>COUNTIF(Delivery[Delivery ID],Delivery[[#This Row],[Delivery ID]])</f>
        <v>1</v>
      </c>
      <c r="AH253" s="171">
        <f>(Delivery[[#This Row],[Nespresso total]]/SUMIF(Allocation!C:C,Delivery[Delivery ID],Allocation!H:H))/Delivery[[#This Row],[Exchange rate VS USD]]</f>
        <v>5.6209374945301347</v>
      </c>
      <c r="AI253" s="171">
        <f>(Delivery[[#This Row],[AAA Premium (total)]]/SUMIF(Allocation!C:C,Delivery[Delivery ID],Allocation!H:H))/Delivery[[#This Row],[Exchange rate VS USD]]</f>
        <v>0.39676415492643691</v>
      </c>
      <c r="AJ253" s="171">
        <f>Delivery[[#This Row],[Valor Prêmio Nespresso AAA por Kg (em US$)]]*60</f>
        <v>23.805849295586214</v>
      </c>
      <c r="AK253" s="171">
        <f>Delivery[[#This Row],[Valor Prêmio Nespresso AAA por saca (em US$)]]/1.3228/100</f>
        <v>0.17996559794062755</v>
      </c>
      <c r="AL253" s="171">
        <f>(Delivery[[#This Row],[BEN premium (total)]]/SUMIF(Allocation!C:C,Delivery[Delivery ID],Allocation!H:H))/Delivery[[#This Row],[Exchange rate for premiums VS USD]]</f>
        <v>0</v>
      </c>
      <c r="AM253" s="171">
        <f>Delivery[[#This Row],[Valor Prêmio Nespresso BEN por Kg (em US$)]]*60</f>
        <v>0</v>
      </c>
      <c r="AN253" s="171">
        <f>Delivery[[#This Row],[Valor Prêmio Nespresso BEN por saca (em US$)]]/1.3228/100</f>
        <v>0</v>
      </c>
      <c r="AO253" s="171">
        <f>SUMIF(Allocation[Delivery ID],Delivery[[#This Row],[Delivery ID]],Allocation[Quantity allocated])*16*1.3228*Delivery[[#This Row],[Exchange rate VS USD]]/60</f>
        <v>5749.6055459520003</v>
      </c>
      <c r="AP253" s="171">
        <f>Delivery[[#This Row],[AAA Premium (total)]]</f>
        <v>6467.0700000000006</v>
      </c>
      <c r="AQ253" s="171">
        <f>Delivery[[#This Row],[Valor pago pelo Cluster]]-Delivery[[#This Row],[Valor efetivamente pago pela Nespresso]]</f>
        <v>717.46445404800033</v>
      </c>
    </row>
    <row r="254" spans="1:43" ht="15.75">
      <c r="A254" s="174" t="s">
        <v>69</v>
      </c>
      <c r="B254" s="232" t="s">
        <v>68</v>
      </c>
      <c r="C254" s="157">
        <v>1</v>
      </c>
      <c r="D254" s="157" t="s">
        <v>468</v>
      </c>
      <c r="E254" s="177" t="s">
        <v>468</v>
      </c>
      <c r="F254" s="233" t="s">
        <v>543</v>
      </c>
      <c r="G254" s="234">
        <v>43363</v>
      </c>
      <c r="H254" s="157" t="s">
        <v>1494</v>
      </c>
      <c r="I254" s="236" t="s">
        <v>1094</v>
      </c>
      <c r="J254" s="237">
        <v>15180</v>
      </c>
      <c r="K254" s="175" t="s">
        <v>61</v>
      </c>
      <c r="L254" s="175" t="s">
        <v>439</v>
      </c>
      <c r="M254" s="175" t="s">
        <v>1343</v>
      </c>
      <c r="N254" s="180"/>
      <c r="O254" s="177"/>
      <c r="P254" s="181">
        <v>0</v>
      </c>
      <c r="Q254" s="177">
        <v>43355</v>
      </c>
      <c r="R254" s="178">
        <v>423.75467500000002</v>
      </c>
      <c r="S254" s="179">
        <v>105842.55</v>
      </c>
      <c r="T254" s="182" t="s">
        <v>45</v>
      </c>
      <c r="U254" s="183">
        <v>4.1443000000000003</v>
      </c>
      <c r="V254" s="179">
        <v>7471.09</v>
      </c>
      <c r="W254" s="179">
        <v>0</v>
      </c>
      <c r="X254" s="186" t="s">
        <v>45</v>
      </c>
      <c r="Y254" s="183">
        <v>4.1443000000000003</v>
      </c>
      <c r="Z254" s="220"/>
      <c r="AA254" s="172">
        <f>Delivery[[#This Row],[Quantity delivered]]*VLOOKUP(Delivery[[#This Row],[Unit]],Tab_Conversão[],4,FALSE)*VLOOKUP(CONCATENATE(Delivery[[#This Row],[Coffee specie]],Delivery[[#This Row],[Coffee state]]),Tab_Conversão[],4,FALSE)</f>
        <v>15180</v>
      </c>
      <c r="AB254" s="169">
        <f>SUMIF(Allocation!C:C,Delivery[[#This Row],[Delivery ID]],Allocation!D:D)/Delivery[[#This Row],[Quantity delivered]]</f>
        <v>1</v>
      </c>
      <c r="AC254" s="170">
        <f>Delivery[[#This Row],[Quantity delivered]]*Delivery[[#This Row],[Base price (Unidad)]]/60</f>
        <v>107209.93277500001</v>
      </c>
      <c r="AD254" s="171">
        <f>Delivery[[#This Row],[Nespresso total]]-Delivery[[#This Row],[Qt. Delivery * Base Price]]</f>
        <v>-1367.3827750000055</v>
      </c>
      <c r="AE254" s="171">
        <f>Delivery[[#This Row],[AAA Premium (total)]]/Delivery[[#This Row],[Quantity delivered]]*60/Delivery[[#This Row],[Exchange rate VS USD]]</f>
        <v>7.1254494124460095</v>
      </c>
      <c r="AF254" s="171">
        <f>Delivery[[#This Row],[BEN premium (total)]]/Delivery[[#This Row],[Quantity delivered]]*60/Delivery[[#This Row],[Exchange rate for premiums VS USD]]</f>
        <v>0</v>
      </c>
      <c r="AG254" s="171">
        <f>COUNTIF(Delivery[Delivery ID],Delivery[[#This Row],[Delivery ID]])</f>
        <v>1</v>
      </c>
      <c r="AH254" s="171">
        <f>(Delivery[[#This Row],[Nespresso total]]/SUMIF(Allocation!C:C,Delivery[Delivery ID],Allocation!H:H))/Delivery[[#This Row],[Exchange rate VS USD]]</f>
        <v>5.6081043039033531</v>
      </c>
      <c r="AI254" s="171">
        <f>(Delivery[[#This Row],[AAA Premium (total)]]/SUMIF(Allocation!C:C,Delivery[Delivery ID],Allocation!H:H))/Delivery[[#This Row],[Exchange rate VS USD]]</f>
        <v>0.39585830069144495</v>
      </c>
      <c r="AJ254" s="171">
        <f>Delivery[[#This Row],[Valor Prêmio Nespresso AAA por Kg (em US$)]]*60</f>
        <v>23.751498041486698</v>
      </c>
      <c r="AK254" s="171">
        <f>Delivery[[#This Row],[Valor Prêmio Nespresso AAA por saca (em US$)]]/1.3228/100</f>
        <v>0.1795547175800325</v>
      </c>
      <c r="AL254" s="171">
        <f>(Delivery[[#This Row],[BEN premium (total)]]/SUMIF(Allocation!C:C,Delivery[Delivery ID],Allocation!H:H))/Delivery[[#This Row],[Exchange rate for premiums VS USD]]</f>
        <v>0</v>
      </c>
      <c r="AM254" s="171">
        <f>Delivery[[#This Row],[Valor Prêmio Nespresso BEN por Kg (em US$)]]*60</f>
        <v>0</v>
      </c>
      <c r="AN254" s="171">
        <f>Delivery[[#This Row],[Valor Prêmio Nespresso BEN por saca (em US$)]]/1.3228/100</f>
        <v>0</v>
      </c>
      <c r="AO254" s="171">
        <f>SUMIF(Allocation[Delivery ID],Delivery[[#This Row],[Delivery ID]],Allocation[Quantity allocated])*16*1.3228*Delivery[[#This Row],[Exchange rate VS USD]]/60</f>
        <v>6657.4380005760004</v>
      </c>
      <c r="AP254" s="171">
        <f>Delivery[[#This Row],[AAA Premium (total)]]</f>
        <v>7471.09</v>
      </c>
      <c r="AQ254" s="171">
        <f>Delivery[[#This Row],[Valor pago pelo Cluster]]-Delivery[[#This Row],[Valor efetivamente pago pela Nespresso]]</f>
        <v>813.65199942399977</v>
      </c>
    </row>
    <row r="255" spans="1:43" ht="15.75">
      <c r="A255" s="174" t="s">
        <v>69</v>
      </c>
      <c r="B255" s="232" t="s">
        <v>68</v>
      </c>
      <c r="C255" s="157">
        <v>1</v>
      </c>
      <c r="D255" s="157" t="s">
        <v>468</v>
      </c>
      <c r="E255" s="177" t="s">
        <v>468</v>
      </c>
      <c r="F255" s="233" t="s">
        <v>543</v>
      </c>
      <c r="G255" s="234">
        <v>43363</v>
      </c>
      <c r="H255" s="157" t="s">
        <v>1495</v>
      </c>
      <c r="I255" s="236" t="s">
        <v>1094</v>
      </c>
      <c r="J255" s="237">
        <v>15300</v>
      </c>
      <c r="K255" s="175" t="s">
        <v>61</v>
      </c>
      <c r="L255" s="175" t="s">
        <v>439</v>
      </c>
      <c r="M255" s="175" t="s">
        <v>1343</v>
      </c>
      <c r="N255" s="180"/>
      <c r="O255" s="177"/>
      <c r="P255" s="181">
        <v>0</v>
      </c>
      <c r="Q255" s="177">
        <v>43355</v>
      </c>
      <c r="R255" s="178">
        <v>423.75467500000002</v>
      </c>
      <c r="S255" s="179">
        <v>106679.25</v>
      </c>
      <c r="T255" s="182" t="s">
        <v>45</v>
      </c>
      <c r="U255" s="183">
        <v>4.1443000000000003</v>
      </c>
      <c r="V255" s="179">
        <v>7530.1500000000005</v>
      </c>
      <c r="W255" s="179">
        <v>0</v>
      </c>
      <c r="X255" s="186" t="s">
        <v>45</v>
      </c>
      <c r="Y255" s="183">
        <v>4.1443000000000003</v>
      </c>
      <c r="Z255" s="220"/>
      <c r="AA255" s="172">
        <f>Delivery[[#This Row],[Quantity delivered]]*VLOOKUP(Delivery[[#This Row],[Unit]],Tab_Conversão[],4,FALSE)*VLOOKUP(CONCATENATE(Delivery[[#This Row],[Coffee specie]],Delivery[[#This Row],[Coffee state]]),Tab_Conversão[],4,FALSE)</f>
        <v>15300</v>
      </c>
      <c r="AB255" s="169">
        <f>SUMIF(Allocation!C:C,Delivery[[#This Row],[Delivery ID]],Allocation!D:D)/Delivery[[#This Row],[Quantity delivered]]</f>
        <v>1</v>
      </c>
      <c r="AC255" s="170">
        <f>Delivery[[#This Row],[Quantity delivered]]*Delivery[[#This Row],[Base price (Unidad)]]/60</f>
        <v>108057.442125</v>
      </c>
      <c r="AD255" s="171">
        <f>Delivery[[#This Row],[Nespresso total]]-Delivery[[#This Row],[Qt. Delivery * Base Price]]</f>
        <v>-1378.1921250000014</v>
      </c>
      <c r="AE255" s="171">
        <f>Delivery[[#This Row],[AAA Premium (total)]]/Delivery[[#This Row],[Quantity delivered]]*60/Delivery[[#This Row],[Exchange rate VS USD]]</f>
        <v>7.1254494124460095</v>
      </c>
      <c r="AF255" s="171">
        <f>Delivery[[#This Row],[BEN premium (total)]]/Delivery[[#This Row],[Quantity delivered]]*60/Delivery[[#This Row],[Exchange rate for premiums VS USD]]</f>
        <v>0</v>
      </c>
      <c r="AG255" s="171">
        <f>COUNTIF(Delivery[Delivery ID],Delivery[[#This Row],[Delivery ID]])</f>
        <v>1</v>
      </c>
      <c r="AH255" s="171">
        <f>(Delivery[[#This Row],[Nespresso total]]/SUMIF(Allocation!C:C,Delivery[Delivery ID],Allocation!H:H))/Delivery[[#This Row],[Exchange rate VS USD]]</f>
        <v>5.6081043039033531</v>
      </c>
      <c r="AI255" s="171">
        <f>(Delivery[[#This Row],[AAA Premium (total)]]/SUMIF(Allocation!C:C,Delivery[Delivery ID],Allocation!H:H))/Delivery[[#This Row],[Exchange rate VS USD]]</f>
        <v>0.39585830069144501</v>
      </c>
      <c r="AJ255" s="171">
        <f>Delivery[[#This Row],[Valor Prêmio Nespresso AAA por Kg (em US$)]]*60</f>
        <v>23.751498041486702</v>
      </c>
      <c r="AK255" s="171">
        <f>Delivery[[#This Row],[Valor Prêmio Nespresso AAA por saca (em US$)]]/1.3228/100</f>
        <v>0.17955471758003252</v>
      </c>
      <c r="AL255" s="171">
        <f>(Delivery[[#This Row],[BEN premium (total)]]/SUMIF(Allocation!C:C,Delivery[Delivery ID],Allocation!H:H))/Delivery[[#This Row],[Exchange rate for premiums VS USD]]</f>
        <v>0</v>
      </c>
      <c r="AM255" s="171">
        <f>Delivery[[#This Row],[Valor Prêmio Nespresso BEN por Kg (em US$)]]*60</f>
        <v>0</v>
      </c>
      <c r="AN255" s="171">
        <f>Delivery[[#This Row],[Valor Prêmio Nespresso BEN por saca (em US$)]]/1.3228/100</f>
        <v>0</v>
      </c>
      <c r="AO255" s="171">
        <f>SUMIF(Allocation[Delivery ID],Delivery[[#This Row],[Delivery ID]],Allocation[Quantity allocated])*16*1.3228*Delivery[[#This Row],[Exchange rate VS USD]]/60</f>
        <v>6710.0659689600006</v>
      </c>
      <c r="AP255" s="171">
        <f>Delivery[[#This Row],[AAA Premium (total)]]</f>
        <v>7530.1500000000005</v>
      </c>
      <c r="AQ255" s="171">
        <f>Delivery[[#This Row],[Valor pago pelo Cluster]]-Delivery[[#This Row],[Valor efetivamente pago pela Nespresso]]</f>
        <v>820.0840310399999</v>
      </c>
    </row>
    <row r="256" spans="1:43" ht="15.75">
      <c r="A256" s="174" t="s">
        <v>69</v>
      </c>
      <c r="B256" s="232" t="s">
        <v>68</v>
      </c>
      <c r="C256" s="157">
        <v>1</v>
      </c>
      <c r="D256" s="157" t="s">
        <v>468</v>
      </c>
      <c r="E256" s="177" t="s">
        <v>468</v>
      </c>
      <c r="F256" s="233" t="s">
        <v>543</v>
      </c>
      <c r="G256" s="234">
        <v>43363</v>
      </c>
      <c r="H256" s="157" t="s">
        <v>1496</v>
      </c>
      <c r="I256" s="236" t="s">
        <v>1094</v>
      </c>
      <c r="J256" s="237">
        <v>15580</v>
      </c>
      <c r="K256" s="175" t="s">
        <v>61</v>
      </c>
      <c r="L256" s="175" t="s">
        <v>439</v>
      </c>
      <c r="M256" s="175" t="s">
        <v>1343</v>
      </c>
      <c r="N256" s="180"/>
      <c r="O256" s="177"/>
      <c r="P256" s="181">
        <v>0</v>
      </c>
      <c r="Q256" s="177">
        <v>43355</v>
      </c>
      <c r="R256" s="178">
        <v>423.75467500000002</v>
      </c>
      <c r="S256" s="179">
        <v>108771</v>
      </c>
      <c r="T256" s="182" t="s">
        <v>45</v>
      </c>
      <c r="U256" s="183">
        <v>4.1443000000000003</v>
      </c>
      <c r="V256" s="179">
        <v>7677.8</v>
      </c>
      <c r="W256" s="179">
        <v>0</v>
      </c>
      <c r="X256" s="186" t="s">
        <v>45</v>
      </c>
      <c r="Y256" s="183">
        <v>4.1443000000000003</v>
      </c>
      <c r="Z256" s="220"/>
      <c r="AA256" s="172">
        <f>Delivery[[#This Row],[Quantity delivered]]*VLOOKUP(Delivery[[#This Row],[Unit]],Tab_Conversão[],4,FALSE)*VLOOKUP(CONCATENATE(Delivery[[#This Row],[Coffee specie]],Delivery[[#This Row],[Coffee state]]),Tab_Conversão[],4,FALSE)</f>
        <v>15580</v>
      </c>
      <c r="AB256" s="169">
        <f>SUMIF(Allocation!C:C,Delivery[[#This Row],[Delivery ID]],Allocation!D:D)/Delivery[[#This Row],[Quantity delivered]]</f>
        <v>1</v>
      </c>
      <c r="AC256" s="170">
        <f>Delivery[[#This Row],[Quantity delivered]]*Delivery[[#This Row],[Base price (Unidad)]]/60</f>
        <v>110034.96394166668</v>
      </c>
      <c r="AD256" s="171">
        <f>Delivery[[#This Row],[Nespresso total]]-Delivery[[#This Row],[Qt. Delivery * Base Price]]</f>
        <v>-1263.963941666676</v>
      </c>
      <c r="AE256" s="171">
        <f>Delivery[[#This Row],[AAA Premium (total)]]/Delivery[[#This Row],[Quantity delivered]]*60/Delivery[[#This Row],[Exchange rate VS USD]]</f>
        <v>7.1345963308188542</v>
      </c>
      <c r="AF256" s="171">
        <f>Delivery[[#This Row],[BEN premium (total)]]/Delivery[[#This Row],[Quantity delivered]]*60/Delivery[[#This Row],[Exchange rate for premiums VS USD]]</f>
        <v>0</v>
      </c>
      <c r="AG256" s="171">
        <f>COUNTIF(Delivery[Delivery ID],Delivery[[#This Row],[Delivery ID]])</f>
        <v>1</v>
      </c>
      <c r="AH256" s="171">
        <f>(Delivery[[#This Row],[Nespresso total]]/SUMIF(Allocation!C:C,Delivery[Delivery ID],Allocation!H:H))/Delivery[[#This Row],[Exchange rate VS USD]]</f>
        <v>5.6153034108403279</v>
      </c>
      <c r="AI256" s="171">
        <f>(Delivery[[#This Row],[AAA Premium (total)]]/SUMIF(Allocation!C:C,Delivery[Delivery ID],Allocation!H:H))/Delivery[[#This Row],[Exchange rate VS USD]]</f>
        <v>0.39636646282326971</v>
      </c>
      <c r="AJ256" s="171">
        <f>Delivery[[#This Row],[Valor Prêmio Nespresso AAA por Kg (em US$)]]*60</f>
        <v>23.781987769396181</v>
      </c>
      <c r="AK256" s="171">
        <f>Delivery[[#This Row],[Valor Prêmio Nespresso AAA por saca (em US$)]]/1.3228/100</f>
        <v>0.17978521144085413</v>
      </c>
      <c r="AL256" s="171">
        <f>(Delivery[[#This Row],[BEN premium (total)]]/SUMIF(Allocation!C:C,Delivery[Delivery ID],Allocation!H:H))/Delivery[[#This Row],[Exchange rate for premiums VS USD]]</f>
        <v>0</v>
      </c>
      <c r="AM256" s="171">
        <f>Delivery[[#This Row],[Valor Prêmio Nespresso BEN por Kg (em US$)]]*60</f>
        <v>0</v>
      </c>
      <c r="AN256" s="171">
        <f>Delivery[[#This Row],[Valor Prêmio Nespresso BEN por saca (em US$)]]/1.3228/100</f>
        <v>0</v>
      </c>
      <c r="AO256" s="171">
        <f>SUMIF(Allocation[Delivery ID],Delivery[[#This Row],[Delivery ID]],Allocation[Quantity allocated])*16*1.3228*Delivery[[#This Row],[Exchange rate VS USD]]/60</f>
        <v>6832.8645618560004</v>
      </c>
      <c r="AP256" s="171">
        <f>Delivery[[#This Row],[AAA Premium (total)]]</f>
        <v>7677.8</v>
      </c>
      <c r="AQ256" s="171">
        <f>Delivery[[#This Row],[Valor pago pelo Cluster]]-Delivery[[#This Row],[Valor efetivamente pago pela Nespresso]]</f>
        <v>844.93543814399982</v>
      </c>
    </row>
    <row r="257" spans="1:43" ht="15.75">
      <c r="A257" s="174" t="s">
        <v>69</v>
      </c>
      <c r="B257" s="232" t="s">
        <v>68</v>
      </c>
      <c r="C257" s="157">
        <v>1</v>
      </c>
      <c r="D257" s="157" t="s">
        <v>468</v>
      </c>
      <c r="E257" s="177" t="s">
        <v>468</v>
      </c>
      <c r="F257" s="233" t="s">
        <v>543</v>
      </c>
      <c r="G257" s="234">
        <v>43363</v>
      </c>
      <c r="H257" s="157" t="s">
        <v>1497</v>
      </c>
      <c r="I257" s="236" t="s">
        <v>1094</v>
      </c>
      <c r="J257" s="237">
        <v>13490</v>
      </c>
      <c r="K257" s="175" t="s">
        <v>61</v>
      </c>
      <c r="L257" s="175" t="s">
        <v>439</v>
      </c>
      <c r="M257" s="175" t="s">
        <v>1343</v>
      </c>
      <c r="N257" s="180"/>
      <c r="O257" s="177"/>
      <c r="P257" s="181">
        <v>0</v>
      </c>
      <c r="Q257" s="177">
        <v>43355</v>
      </c>
      <c r="R257" s="178">
        <v>423.75467500000002</v>
      </c>
      <c r="S257" s="179">
        <v>94128.75</v>
      </c>
      <c r="T257" s="182" t="s">
        <v>45</v>
      </c>
      <c r="U257" s="183">
        <v>4.1443000000000003</v>
      </c>
      <c r="V257" s="179">
        <v>6644.25</v>
      </c>
      <c r="W257" s="179">
        <v>0</v>
      </c>
      <c r="X257" s="186" t="s">
        <v>45</v>
      </c>
      <c r="Y257" s="183">
        <v>4.1443000000000003</v>
      </c>
      <c r="Z257" s="220"/>
      <c r="AA257" s="172">
        <f>Delivery[[#This Row],[Quantity delivered]]*VLOOKUP(Delivery[[#This Row],[Unit]],Tab_Conversão[],4,FALSE)*VLOOKUP(CONCATENATE(Delivery[[#This Row],[Coffee specie]],Delivery[[#This Row],[Coffee state]]),Tab_Conversão[],4,FALSE)</f>
        <v>13490</v>
      </c>
      <c r="AB257" s="169">
        <f>SUMIF(Allocation!C:C,Delivery[[#This Row],[Delivery ID]],Allocation!D:D)/Delivery[[#This Row],[Quantity delivered]]</f>
        <v>1</v>
      </c>
      <c r="AC257" s="170">
        <f>Delivery[[#This Row],[Quantity delivered]]*Delivery[[#This Row],[Base price (Unidad)]]/60</f>
        <v>95274.176095833333</v>
      </c>
      <c r="AD257" s="171">
        <f>Delivery[[#This Row],[Nespresso total]]-Delivery[[#This Row],[Qt. Delivery * Base Price]]</f>
        <v>-1145.4260958333325</v>
      </c>
      <c r="AE257" s="171">
        <f>Delivery[[#This Row],[AAA Premium (total)]]/Delivery[[#This Row],[Quantity delivered]]*60/Delivery[[#This Row],[Exchange rate VS USD]]</f>
        <v>7.1307314357317368</v>
      </c>
      <c r="AF257" s="171">
        <f>Delivery[[#This Row],[BEN premium (total)]]/Delivery[[#This Row],[Quantity delivered]]*60/Delivery[[#This Row],[Exchange rate for premiums VS USD]]</f>
        <v>0</v>
      </c>
      <c r="AG257" s="171">
        <f>COUNTIF(Delivery[Delivery ID],Delivery[[#This Row],[Delivery ID]])</f>
        <v>1</v>
      </c>
      <c r="AH257" s="171">
        <f>(Delivery[[#This Row],[Nespresso total]]/SUMIF(Allocation!C:C,Delivery[Delivery ID],Allocation!H:H))/Delivery[[#This Row],[Exchange rate VS USD]]</f>
        <v>5.6122615346697753</v>
      </c>
      <c r="AI257" s="171">
        <f>(Delivery[[#This Row],[AAA Premium (total)]]/SUMIF(Allocation!C:C,Delivery[Delivery ID],Allocation!H:H))/Delivery[[#This Row],[Exchange rate VS USD]]</f>
        <v>0.39615174642954093</v>
      </c>
      <c r="AJ257" s="171">
        <f>Delivery[[#This Row],[Valor Prêmio Nespresso AAA por Kg (em US$)]]*60</f>
        <v>23.769104785772456</v>
      </c>
      <c r="AK257" s="171">
        <f>Delivery[[#This Row],[Valor Prêmio Nespresso AAA por saca (em US$)]]/1.3228/100</f>
        <v>0.17968781966867595</v>
      </c>
      <c r="AL257" s="171">
        <f>(Delivery[[#This Row],[BEN premium (total)]]/SUMIF(Allocation!C:C,Delivery[Delivery ID],Allocation!H:H))/Delivery[[#This Row],[Exchange rate for premiums VS USD]]</f>
        <v>0</v>
      </c>
      <c r="AM257" s="171">
        <f>Delivery[[#This Row],[Valor Prêmio Nespresso BEN por Kg (em US$)]]*60</f>
        <v>0</v>
      </c>
      <c r="AN257" s="171">
        <f>Delivery[[#This Row],[Valor Prêmio Nespresso BEN por saca (em US$)]]/1.3228/100</f>
        <v>0</v>
      </c>
      <c r="AO257" s="171">
        <f>SUMIF(Allocation[Delivery ID],Delivery[[#This Row],[Delivery ID]],Allocation[Quantity allocated])*16*1.3228*Delivery[[#This Row],[Exchange rate VS USD]]/60</f>
        <v>5916.2607791680002</v>
      </c>
      <c r="AP257" s="171">
        <f>Delivery[[#This Row],[AAA Premium (total)]]</f>
        <v>6644.25</v>
      </c>
      <c r="AQ257" s="171">
        <f>Delivery[[#This Row],[Valor pago pelo Cluster]]-Delivery[[#This Row],[Valor efetivamente pago pela Nespresso]]</f>
        <v>727.98922083199977</v>
      </c>
    </row>
    <row r="258" spans="1:43" ht="15.75">
      <c r="A258" s="174" t="s">
        <v>69</v>
      </c>
      <c r="B258" s="232" t="s">
        <v>68</v>
      </c>
      <c r="C258" s="157">
        <v>1</v>
      </c>
      <c r="D258" s="157" t="s">
        <v>468</v>
      </c>
      <c r="E258" s="177" t="s">
        <v>468</v>
      </c>
      <c r="F258" s="233" t="s">
        <v>543</v>
      </c>
      <c r="G258" s="234">
        <v>43363</v>
      </c>
      <c r="H258" s="157" t="s">
        <v>1498</v>
      </c>
      <c r="I258" s="236" t="s">
        <v>1094</v>
      </c>
      <c r="J258" s="237">
        <v>13810</v>
      </c>
      <c r="K258" s="175" t="s">
        <v>61</v>
      </c>
      <c r="L258" s="175" t="s">
        <v>439</v>
      </c>
      <c r="M258" s="175" t="s">
        <v>1343</v>
      </c>
      <c r="N258" s="180"/>
      <c r="O258" s="177"/>
      <c r="P258" s="181">
        <v>0</v>
      </c>
      <c r="Q258" s="177">
        <v>43355</v>
      </c>
      <c r="R258" s="178">
        <v>423.75467500000002</v>
      </c>
      <c r="S258" s="179">
        <v>96220.5</v>
      </c>
      <c r="T258" s="182" t="s">
        <v>45</v>
      </c>
      <c r="U258" s="183">
        <v>4.1443000000000003</v>
      </c>
      <c r="V258" s="179">
        <v>6791.9000000000005</v>
      </c>
      <c r="W258" s="179">
        <v>0</v>
      </c>
      <c r="X258" s="186" t="s">
        <v>45</v>
      </c>
      <c r="Y258" s="183">
        <v>4.1443000000000003</v>
      </c>
      <c r="Z258" s="220"/>
      <c r="AA258" s="172">
        <f>Delivery[[#This Row],[Quantity delivered]]*VLOOKUP(Delivery[[#This Row],[Unit]],Tab_Conversão[],4,FALSE)*VLOOKUP(CONCATENATE(Delivery[[#This Row],[Coffee specie]],Delivery[[#This Row],[Coffee state]]),Tab_Conversão[],4,FALSE)</f>
        <v>13810</v>
      </c>
      <c r="AB258" s="169">
        <f>SUMIF(Allocation!C:C,Delivery[[#This Row],[Delivery ID]],Allocation!D:D)/Delivery[[#This Row],[Quantity delivered]]</f>
        <v>1</v>
      </c>
      <c r="AC258" s="170">
        <f>Delivery[[#This Row],[Quantity delivered]]*Delivery[[#This Row],[Base price (Unidad)]]/60</f>
        <v>97534.201029166667</v>
      </c>
      <c r="AD258" s="171">
        <f>Delivery[[#This Row],[Nespresso total]]-Delivery[[#This Row],[Qt. Delivery * Base Price]]</f>
        <v>-1313.7010291666666</v>
      </c>
      <c r="AE258" s="171">
        <f>Delivery[[#This Row],[AAA Premium (total)]]/Delivery[[#This Row],[Quantity delivered]]*60/Delivery[[#This Row],[Exchange rate VS USD]]</f>
        <v>7.1202897821690758</v>
      </c>
      <c r="AF258" s="171">
        <f>Delivery[[#This Row],[BEN premium (total)]]/Delivery[[#This Row],[Quantity delivered]]*60/Delivery[[#This Row],[Exchange rate for premiums VS USD]]</f>
        <v>0</v>
      </c>
      <c r="AG258" s="171">
        <f>COUNTIF(Delivery[Delivery ID],Delivery[[#This Row],[Delivery ID]])</f>
        <v>1</v>
      </c>
      <c r="AH258" s="171">
        <f>(Delivery[[#This Row],[Nespresso total]]/SUMIF(Allocation!C:C,Delivery[Delivery ID],Allocation!H:H))/Delivery[[#This Row],[Exchange rate VS USD]]</f>
        <v>5.6026910758107817</v>
      </c>
      <c r="AI258" s="171">
        <f>(Delivery[[#This Row],[AAA Premium (total)]]/SUMIF(Allocation!C:C,Delivery[Delivery ID],Allocation!H:H))/Delivery[[#This Row],[Exchange rate VS USD]]</f>
        <v>0.39547619808459999</v>
      </c>
      <c r="AJ258" s="171">
        <f>Delivery[[#This Row],[Valor Prêmio Nespresso AAA por Kg (em US$)]]*60</f>
        <v>23.728571885076001</v>
      </c>
      <c r="AK258" s="171">
        <f>Delivery[[#This Row],[Valor Prêmio Nespresso AAA por saca (em US$)]]/1.3228/100</f>
        <v>0.17938140221557305</v>
      </c>
      <c r="AL258" s="171">
        <f>(Delivery[[#This Row],[BEN premium (total)]]/SUMIF(Allocation!C:C,Delivery[Delivery ID],Allocation!H:H))/Delivery[[#This Row],[Exchange rate for premiums VS USD]]</f>
        <v>0</v>
      </c>
      <c r="AM258" s="171">
        <f>Delivery[[#This Row],[Valor Prêmio Nespresso BEN por Kg (em US$)]]*60</f>
        <v>0</v>
      </c>
      <c r="AN258" s="171">
        <f>Delivery[[#This Row],[Valor Prêmio Nespresso BEN por saca (em US$)]]/1.3228/100</f>
        <v>0</v>
      </c>
      <c r="AO258" s="171">
        <f>SUMIF(Allocation[Delivery ID],Delivery[[#This Row],[Delivery ID]],Allocation[Quantity allocated])*16*1.3228*Delivery[[#This Row],[Exchange rate VS USD]]/60</f>
        <v>6058.0639162026664</v>
      </c>
      <c r="AP258" s="171">
        <f>Delivery[[#This Row],[AAA Premium (total)]]</f>
        <v>6791.9000000000005</v>
      </c>
      <c r="AQ258" s="171">
        <f>Delivery[[#This Row],[Valor pago pelo Cluster]]-Delivery[[#This Row],[Valor efetivamente pago pela Nespresso]]</f>
        <v>733.83608379733414</v>
      </c>
    </row>
    <row r="259" spans="1:43" ht="15.75">
      <c r="A259" s="174" t="s">
        <v>69</v>
      </c>
      <c r="B259" s="232" t="s">
        <v>68</v>
      </c>
      <c r="C259" s="157">
        <v>1</v>
      </c>
      <c r="D259" s="157" t="s">
        <v>468</v>
      </c>
      <c r="E259" s="177" t="s">
        <v>468</v>
      </c>
      <c r="F259" s="233" t="s">
        <v>543</v>
      </c>
      <c r="G259" s="234">
        <v>43363</v>
      </c>
      <c r="H259" s="157" t="s">
        <v>1499</v>
      </c>
      <c r="I259" s="236" t="s">
        <v>1094</v>
      </c>
      <c r="J259" s="237">
        <v>13100</v>
      </c>
      <c r="K259" s="175" t="s">
        <v>61</v>
      </c>
      <c r="L259" s="175" t="s">
        <v>439</v>
      </c>
      <c r="M259" s="175" t="s">
        <v>1343</v>
      </c>
      <c r="N259" s="180"/>
      <c r="O259" s="177"/>
      <c r="P259" s="181">
        <v>0</v>
      </c>
      <c r="Q259" s="177">
        <v>43355</v>
      </c>
      <c r="R259" s="178">
        <v>423.75467500000002</v>
      </c>
      <c r="S259" s="179">
        <v>91200.3</v>
      </c>
      <c r="T259" s="182" t="s">
        <v>45</v>
      </c>
      <c r="U259" s="183">
        <v>4.1443000000000003</v>
      </c>
      <c r="V259" s="179">
        <v>6437.54</v>
      </c>
      <c r="W259" s="179">
        <v>0</v>
      </c>
      <c r="X259" s="186" t="s">
        <v>45</v>
      </c>
      <c r="Y259" s="183">
        <v>4.1443000000000003</v>
      </c>
      <c r="Z259" s="220"/>
      <c r="AA259" s="172">
        <f>Delivery[[#This Row],[Quantity delivered]]*VLOOKUP(Delivery[[#This Row],[Unit]],Tab_Conversão[],4,FALSE)*VLOOKUP(CONCATENATE(Delivery[[#This Row],[Coffee specie]],Delivery[[#This Row],[Coffee state]]),Tab_Conversão[],4,FALSE)</f>
        <v>13100</v>
      </c>
      <c r="AB259" s="169">
        <f>SUMIF(Allocation!C:C,Delivery[[#This Row],[Delivery ID]],Allocation!D:D)/Delivery[[#This Row],[Quantity delivered]]</f>
        <v>1</v>
      </c>
      <c r="AC259" s="170">
        <f>Delivery[[#This Row],[Quantity delivered]]*Delivery[[#This Row],[Base price (Unidad)]]/60</f>
        <v>92519.770708333337</v>
      </c>
      <c r="AD259" s="171">
        <f>Delivery[[#This Row],[Nespresso total]]-Delivery[[#This Row],[Qt. Delivery * Base Price]]</f>
        <v>-1319.4707083333342</v>
      </c>
      <c r="AE259" s="171">
        <f>Delivery[[#This Row],[AAA Premium (total)]]/Delivery[[#This Row],[Quantity delivered]]*60/Delivery[[#This Row],[Exchange rate VS USD]]</f>
        <v>7.114570863724718</v>
      </c>
      <c r="AF259" s="171">
        <f>Delivery[[#This Row],[BEN premium (total)]]/Delivery[[#This Row],[Quantity delivered]]*60/Delivery[[#This Row],[Exchange rate for premiums VS USD]]</f>
        <v>0</v>
      </c>
      <c r="AG259" s="171">
        <f>COUNTIF(Delivery[Delivery ID],Delivery[[#This Row],[Delivery ID]])</f>
        <v>1</v>
      </c>
      <c r="AH259" s="171">
        <f>(Delivery[[#This Row],[Nespresso total]]/SUMIF(Allocation!C:C,Delivery[Delivery ID],Allocation!H:H))/Delivery[[#This Row],[Exchange rate VS USD]]</f>
        <v>5.5995423125996835</v>
      </c>
      <c r="AI259" s="171">
        <f>(Delivery[[#This Row],[AAA Premium (total)]]/SUMIF(Allocation!C:C,Delivery[Delivery ID],Allocation!H:H))/Delivery[[#This Row],[Exchange rate VS USD]]</f>
        <v>0.39525393687359545</v>
      </c>
      <c r="AJ259" s="171">
        <f>Delivery[[#This Row],[Valor Prêmio Nespresso AAA por Kg (em US$)]]*60</f>
        <v>23.715236212415725</v>
      </c>
      <c r="AK259" s="171">
        <f>Delivery[[#This Row],[Valor Prêmio Nespresso AAA por saca (em US$)]]/1.3228/100</f>
        <v>0.17928058824021564</v>
      </c>
      <c r="AL259" s="171">
        <f>(Delivery[[#This Row],[BEN premium (total)]]/SUMIF(Allocation!C:C,Delivery[Delivery ID],Allocation!H:H))/Delivery[[#This Row],[Exchange rate for premiums VS USD]]</f>
        <v>0</v>
      </c>
      <c r="AM259" s="171">
        <f>Delivery[[#This Row],[Valor Prêmio Nespresso BEN por Kg (em US$)]]*60</f>
        <v>0</v>
      </c>
      <c r="AN259" s="171">
        <f>Delivery[[#This Row],[Valor Prêmio Nespresso BEN por saca (em US$)]]/1.3228/100</f>
        <v>0</v>
      </c>
      <c r="AO259" s="171">
        <f>SUMIF(Allocation[Delivery ID],Delivery[[#This Row],[Delivery ID]],Allocation[Quantity allocated])*16*1.3228*Delivery[[#This Row],[Exchange rate VS USD]]/60</f>
        <v>5745.2198819200003</v>
      </c>
      <c r="AP259" s="171">
        <f>Delivery[[#This Row],[AAA Premium (total)]]</f>
        <v>6437.54</v>
      </c>
      <c r="AQ259" s="171">
        <f>Delivery[[#This Row],[Valor pago pelo Cluster]]-Delivery[[#This Row],[Valor efetivamente pago pela Nespresso]]</f>
        <v>692.3201180799997</v>
      </c>
    </row>
    <row r="260" spans="1:43" ht="15.75">
      <c r="A260" s="174" t="s">
        <v>69</v>
      </c>
      <c r="B260" s="232" t="s">
        <v>68</v>
      </c>
      <c r="C260" s="157">
        <v>1</v>
      </c>
      <c r="D260" s="157" t="s">
        <v>468</v>
      </c>
      <c r="E260" s="177" t="s">
        <v>468</v>
      </c>
      <c r="F260" s="233" t="s">
        <v>543</v>
      </c>
      <c r="G260" s="234">
        <v>43363</v>
      </c>
      <c r="H260" s="157" t="s">
        <v>1500</v>
      </c>
      <c r="I260" s="236" t="s">
        <v>1094</v>
      </c>
      <c r="J260" s="237">
        <v>11190</v>
      </c>
      <c r="K260" s="175" t="s">
        <v>61</v>
      </c>
      <c r="L260" s="175" t="s">
        <v>439</v>
      </c>
      <c r="M260" s="175" t="s">
        <v>1343</v>
      </c>
      <c r="N260" s="180"/>
      <c r="O260" s="177"/>
      <c r="P260" s="181">
        <v>0</v>
      </c>
      <c r="Q260" s="177">
        <v>43355</v>
      </c>
      <c r="R260" s="178">
        <v>423.75467500000002</v>
      </c>
      <c r="S260" s="179">
        <v>78231.45</v>
      </c>
      <c r="T260" s="182" t="s">
        <v>45</v>
      </c>
      <c r="U260" s="183">
        <v>4.1443000000000003</v>
      </c>
      <c r="V260" s="179">
        <v>5522.1100000000006</v>
      </c>
      <c r="W260" s="179">
        <v>0</v>
      </c>
      <c r="X260" s="186" t="s">
        <v>45</v>
      </c>
      <c r="Y260" s="183">
        <v>4.1443000000000003</v>
      </c>
      <c r="Z260" s="220"/>
      <c r="AA260" s="172">
        <f>Delivery[[#This Row],[Quantity delivered]]*VLOOKUP(Delivery[[#This Row],[Unit]],Tab_Conversão[],4,FALSE)*VLOOKUP(CONCATENATE(Delivery[[#This Row],[Coffee specie]],Delivery[[#This Row],[Coffee state]]),Tab_Conversão[],4,FALSE)</f>
        <v>11190</v>
      </c>
      <c r="AB260" s="169">
        <f>SUMIF(Allocation!C:C,Delivery[[#This Row],[Delivery ID]],Allocation!D:D)/Delivery[[#This Row],[Quantity delivered]]</f>
        <v>1</v>
      </c>
      <c r="AC260" s="170">
        <f>Delivery[[#This Row],[Quantity delivered]]*Delivery[[#This Row],[Base price (Unidad)]]/60</f>
        <v>79030.246887500005</v>
      </c>
      <c r="AD260" s="171">
        <f>Delivery[[#This Row],[Nespresso total]]-Delivery[[#This Row],[Qt. Delivery * Base Price]]</f>
        <v>-798.79688750000787</v>
      </c>
      <c r="AE260" s="171">
        <f>Delivery[[#This Row],[AAA Premium (total)]]/Delivery[[#This Row],[Quantity delivered]]*60/Delivery[[#This Row],[Exchange rate VS USD]]</f>
        <v>7.1445524939807177</v>
      </c>
      <c r="AF260" s="171">
        <f>Delivery[[#This Row],[BEN premium (total)]]/Delivery[[#This Row],[Quantity delivered]]*60/Delivery[[#This Row],[Exchange rate for premiums VS USD]]</f>
        <v>0</v>
      </c>
      <c r="AG260" s="171">
        <f>COUNTIF(Delivery[Delivery ID],Delivery[[#This Row],[Delivery ID]])</f>
        <v>1</v>
      </c>
      <c r="AH260" s="171">
        <f>(Delivery[[#This Row],[Nespresso total]]/SUMIF(Allocation!C:C,Delivery[Delivery ID],Allocation!H:H))/Delivery[[#This Row],[Exchange rate VS USD]]</f>
        <v>5.623139436085399</v>
      </c>
      <c r="AI260" s="171">
        <f>(Delivery[[#This Row],[AAA Premium (total)]]/SUMIF(Allocation!C:C,Delivery[Delivery ID],Allocation!H:H))/Delivery[[#This Row],[Exchange rate VS USD]]</f>
        <v>0.39691958299892877</v>
      </c>
      <c r="AJ260" s="171">
        <f>Delivery[[#This Row],[Valor Prêmio Nespresso AAA por Kg (em US$)]]*60</f>
        <v>23.815174979935726</v>
      </c>
      <c r="AK260" s="171">
        <f>Delivery[[#This Row],[Valor Prêmio Nespresso AAA por saca (em US$)]]/1.3228/100</f>
        <v>0.18003609751992536</v>
      </c>
      <c r="AL260" s="171">
        <f>(Delivery[[#This Row],[BEN premium (total)]]/SUMIF(Allocation!C:C,Delivery[Delivery ID],Allocation!H:H))/Delivery[[#This Row],[Exchange rate for premiums VS USD]]</f>
        <v>0</v>
      </c>
      <c r="AM260" s="171">
        <f>Delivery[[#This Row],[Valor Prêmio Nespresso BEN por Kg (em US$)]]*60</f>
        <v>0</v>
      </c>
      <c r="AN260" s="171">
        <f>Delivery[[#This Row],[Valor Prêmio Nespresso BEN por saca (em US$)]]/1.3228/100</f>
        <v>0</v>
      </c>
      <c r="AO260" s="171">
        <f>SUMIF(Allocation[Delivery ID],Delivery[[#This Row],[Delivery ID]],Allocation[Quantity allocated])*16*1.3228*Delivery[[#This Row],[Exchange rate VS USD]]/60</f>
        <v>4907.5580518079996</v>
      </c>
      <c r="AP260" s="171">
        <f>Delivery[[#This Row],[AAA Premium (total)]]</f>
        <v>5522.1100000000006</v>
      </c>
      <c r="AQ260" s="171">
        <f>Delivery[[#This Row],[Valor pago pelo Cluster]]-Delivery[[#This Row],[Valor efetivamente pago pela Nespresso]]</f>
        <v>614.55194819200096</v>
      </c>
    </row>
    <row r="261" spans="1:43" ht="15.75">
      <c r="A261" s="174" t="s">
        <v>69</v>
      </c>
      <c r="B261" s="232" t="s">
        <v>68</v>
      </c>
      <c r="C261" s="157">
        <v>1</v>
      </c>
      <c r="D261" s="157" t="s">
        <v>468</v>
      </c>
      <c r="E261" s="177" t="s">
        <v>468</v>
      </c>
      <c r="F261" s="233" t="s">
        <v>543</v>
      </c>
      <c r="G261" s="234">
        <v>43382</v>
      </c>
      <c r="H261" s="157" t="s">
        <v>1990</v>
      </c>
      <c r="I261" s="236" t="s">
        <v>744</v>
      </c>
      <c r="J261" s="237">
        <v>4710</v>
      </c>
      <c r="K261" s="175" t="s">
        <v>61</v>
      </c>
      <c r="L261" s="175" t="s">
        <v>439</v>
      </c>
      <c r="M261" s="175" t="s">
        <v>1343</v>
      </c>
      <c r="N261" s="180"/>
      <c r="O261" s="177"/>
      <c r="P261" s="181">
        <v>0</v>
      </c>
      <c r="Q261" s="177">
        <v>43244</v>
      </c>
      <c r="R261" s="178">
        <v>465.13763999999998</v>
      </c>
      <c r="S261" s="179">
        <v>36594.306488597082</v>
      </c>
      <c r="T261" s="182" t="s">
        <v>45</v>
      </c>
      <c r="U261" s="183">
        <v>3.6827999999999999</v>
      </c>
      <c r="V261" s="179">
        <v>2023.6985999999999</v>
      </c>
      <c r="W261" s="179">
        <v>632.74851140292003</v>
      </c>
      <c r="X261" s="186" t="s">
        <v>45</v>
      </c>
      <c r="Y261" s="183">
        <v>3.6827999999999999</v>
      </c>
      <c r="Z261" s="220" t="s">
        <v>473</v>
      </c>
      <c r="AA261" s="172">
        <f>Delivery[[#This Row],[Quantity delivered]]*VLOOKUP(Delivery[[#This Row],[Unit]],Tab_Conversão[],4,FALSE)*VLOOKUP(CONCATENATE(Delivery[[#This Row],[Coffee specie]],Delivery[[#This Row],[Coffee state]]),Tab_Conversão[],4,FALSE)</f>
        <v>4710</v>
      </c>
      <c r="AB261" s="169">
        <f>SUMIF(Allocation!C:C,Delivery[[#This Row],[Delivery ID]],Allocation!D:D)/Delivery[[#This Row],[Quantity delivered]]</f>
        <v>1</v>
      </c>
      <c r="AC261" s="170">
        <f>Delivery[[#This Row],[Quantity delivered]]*Delivery[[#This Row],[Base price (Unidad)]]/60</f>
        <v>36513.30474</v>
      </c>
      <c r="AD261" s="171">
        <f>Delivery[[#This Row],[Nespresso total]]-Delivery[[#This Row],[Qt. Delivery * Base Price]]</f>
        <v>81.001748597082042</v>
      </c>
      <c r="AE261" s="171">
        <f>Delivery[[#This Row],[AAA Premium (total)]]/Delivery[[#This Row],[Quantity delivered]]*60/Delivery[[#This Row],[Exchange rate VS USD]]</f>
        <v>7</v>
      </c>
      <c r="AF261" s="171">
        <f>Delivery[[#This Row],[BEN premium (total)]]/Delivery[[#This Row],[Quantity delivered]]*60/Delivery[[#This Row],[Exchange rate for premiums VS USD]]</f>
        <v>2.1886854000000002</v>
      </c>
      <c r="AG261" s="171">
        <f>COUNTIF(Delivery[Delivery ID],Delivery[[#This Row],[Delivery ID]])</f>
        <v>1</v>
      </c>
      <c r="AH261" s="171">
        <f>(Delivery[[#This Row],[Nespresso total]]/SUMIF(Allocation!C:C,Delivery[Delivery ID],Allocation!H:H))/Delivery[[#This Row],[Exchange rate VS USD]]</f>
        <v>6.210340381061469</v>
      </c>
      <c r="AI261" s="171">
        <f>(Delivery[[#This Row],[AAA Premium (total)]]/SUMIF(Allocation!C:C,Delivery[Delivery ID],Allocation!H:H))/Delivery[[#This Row],[Exchange rate VS USD]]</f>
        <v>0.34343750000000001</v>
      </c>
      <c r="AJ261" s="171">
        <f>Delivery[[#This Row],[Valor Prêmio Nespresso AAA por Kg (em US$)]]*60</f>
        <v>20.606249999999999</v>
      </c>
      <c r="AK261" s="171">
        <f>Delivery[[#This Row],[Valor Prêmio Nespresso AAA por saca (em US$)]]/1.3228/100</f>
        <v>0.15577751738736015</v>
      </c>
      <c r="AL261" s="171">
        <f>(Delivery[[#This Row],[BEN premium (total)]]/SUMIF(Allocation!C:C,Delivery[Delivery ID],Allocation!H:H))/Delivery[[#This Row],[Exchange rate for premiums VS USD]]</f>
        <v>0.10738237743750001</v>
      </c>
      <c r="AM261" s="171">
        <f>Delivery[[#This Row],[Valor Prêmio Nespresso BEN por Kg (em US$)]]*60</f>
        <v>6.4429426462500006</v>
      </c>
      <c r="AN261" s="171">
        <f>Delivery[[#This Row],[Valor Prêmio Nespresso BEN por saca (em US$)]]/1.3228/100</f>
        <v>4.8706853993423047E-2</v>
      </c>
      <c r="AO261" s="171">
        <f>SUMIF(Allocation[Delivery ID],Delivery[[#This Row],[Delivery ID]],Allocation[Quantity allocated])*16*1.3228*Delivery[[#This Row],[Exchange rate VS USD]]/60</f>
        <v>2078.5526783999999</v>
      </c>
      <c r="AP261" s="171">
        <f>Delivery[[#This Row],[AAA Premium (total)]]</f>
        <v>2023.6985999999999</v>
      </c>
      <c r="AQ261" s="171">
        <f>Delivery[[#This Row],[Valor pago pelo Cluster]]-Delivery[[#This Row],[Valor efetivamente pago pela Nespresso]]</f>
        <v>-54.854078399999935</v>
      </c>
    </row>
    <row r="262" spans="1:43" ht="15.75">
      <c r="A262" s="174" t="s">
        <v>69</v>
      </c>
      <c r="B262" s="232" t="s">
        <v>68</v>
      </c>
      <c r="C262" s="157">
        <v>1</v>
      </c>
      <c r="D262" s="157" t="s">
        <v>468</v>
      </c>
      <c r="E262" s="177" t="s">
        <v>468</v>
      </c>
      <c r="F262" s="233" t="s">
        <v>543</v>
      </c>
      <c r="G262" s="234">
        <v>43382</v>
      </c>
      <c r="H262" s="157" t="s">
        <v>1991</v>
      </c>
      <c r="I262" s="236" t="s">
        <v>744</v>
      </c>
      <c r="J262" s="237">
        <v>18640</v>
      </c>
      <c r="K262" s="175" t="s">
        <v>472</v>
      </c>
      <c r="L262" s="175" t="s">
        <v>439</v>
      </c>
      <c r="M262" s="175" t="s">
        <v>1343</v>
      </c>
      <c r="N262" s="180"/>
      <c r="O262" s="177"/>
      <c r="P262" s="181">
        <v>0</v>
      </c>
      <c r="Q262" s="177">
        <v>43244</v>
      </c>
      <c r="R262" s="178">
        <v>465.13763999999998</v>
      </c>
      <c r="S262" s="179">
        <v>144823.32758969205</v>
      </c>
      <c r="T262" s="182" t="s">
        <v>45</v>
      </c>
      <c r="U262" s="183">
        <v>3.6827999999999999</v>
      </c>
      <c r="V262" s="179">
        <v>8008.8624</v>
      </c>
      <c r="W262" s="179">
        <v>2504.1257436412802</v>
      </c>
      <c r="X262" s="186" t="s">
        <v>45</v>
      </c>
      <c r="Y262" s="183">
        <v>3.6827999999999999</v>
      </c>
      <c r="Z262" s="220" t="s">
        <v>473</v>
      </c>
      <c r="AA262" s="172">
        <f>Delivery[[#This Row],[Quantity delivered]]*VLOOKUP(Delivery[[#This Row],[Unit]],Tab_Conversão[],4,FALSE)*VLOOKUP(CONCATENATE(Delivery[[#This Row],[Coffee specie]],Delivery[[#This Row],[Coffee state]]),Tab_Conversão[],4,FALSE)</f>
        <v>18640</v>
      </c>
      <c r="AB262" s="169">
        <f>SUMIF(Allocation!C:C,Delivery[[#This Row],[Delivery ID]],Allocation!D:D)/Delivery[[#This Row],[Quantity delivered]]</f>
        <v>1</v>
      </c>
      <c r="AC262" s="170">
        <f>Delivery[[#This Row],[Quantity delivered]]*Delivery[[#This Row],[Base price (Unidad)]]/60</f>
        <v>144502.76016000001</v>
      </c>
      <c r="AD262" s="171">
        <f>Delivery[[#This Row],[Nespresso total]]-Delivery[[#This Row],[Qt. Delivery * Base Price]]</f>
        <v>320.56742969204788</v>
      </c>
      <c r="AE262" s="171">
        <f>Delivery[[#This Row],[AAA Premium (total)]]/Delivery[[#This Row],[Quantity delivered]]*60/Delivery[[#This Row],[Exchange rate VS USD]]</f>
        <v>7</v>
      </c>
      <c r="AF262" s="171">
        <f>Delivery[[#This Row],[BEN premium (total)]]/Delivery[[#This Row],[Quantity delivered]]*60/Delivery[[#This Row],[Exchange rate for premiums VS USD]]</f>
        <v>2.1886854000000002</v>
      </c>
      <c r="AG262" s="171">
        <f>COUNTIF(Delivery[Delivery ID],Delivery[[#This Row],[Delivery ID]])</f>
        <v>1</v>
      </c>
      <c r="AH262" s="171">
        <f>(Delivery[[#This Row],[Nespresso total]]/SUMIF(Allocation!C:C,Delivery[Delivery ID],Allocation!H:H))/Delivery[[#This Row],[Exchange rate VS USD]]</f>
        <v>6.3426200782404365</v>
      </c>
      <c r="AI262" s="171">
        <f>(Delivery[[#This Row],[AAA Premium (total)]]/SUMIF(Allocation!C:C,Delivery[Delivery ID],Allocation!H:H))/Delivery[[#This Row],[Exchange rate VS USD]]</f>
        <v>0.35075268817204303</v>
      </c>
      <c r="AJ262" s="171">
        <f>Delivery[[#This Row],[Valor Prêmio Nespresso AAA por Kg (em US$)]]*60</f>
        <v>21.045161290322582</v>
      </c>
      <c r="AK262" s="171">
        <f>Delivery[[#This Row],[Valor Prêmio Nespresso AAA por saca (em US$)]]/1.3228/100</f>
        <v>0.15909556463806004</v>
      </c>
      <c r="AL262" s="171">
        <f>(Delivery[[#This Row],[BEN premium (total)]]/SUMIF(Allocation!C:C,Delivery[Delivery ID],Allocation!H:H))/Delivery[[#This Row],[Exchange rate for premiums VS USD]]</f>
        <v>0.10966961251612904</v>
      </c>
      <c r="AM262" s="171">
        <f>Delivery[[#This Row],[Valor Prêmio Nespresso BEN por Kg (em US$)]]*60</f>
        <v>6.5801767509677429</v>
      </c>
      <c r="AN262" s="171">
        <f>Delivery[[#This Row],[Valor Prêmio Nespresso BEN por saca (em US$)]]/1.3228/100</f>
        <v>4.9744305646868332E-2</v>
      </c>
      <c r="AO262" s="171">
        <f>SUMIF(Allocation[Delivery ID],Delivery[[#This Row],[Delivery ID]],Allocation[Quantity allocated])*16*1.3228*Delivery[[#This Row],[Exchange rate VS USD]]/60</f>
        <v>8054.3916288</v>
      </c>
      <c r="AP262" s="171">
        <f>Delivery[[#This Row],[AAA Premium (total)]]</f>
        <v>8008.8624</v>
      </c>
      <c r="AQ262" s="171">
        <f>Delivery[[#This Row],[Valor pago pelo Cluster]]-Delivery[[#This Row],[Valor efetivamente pago pela Nespresso]]</f>
        <v>-45.529228800000055</v>
      </c>
    </row>
    <row r="263" spans="1:43" ht="15.75">
      <c r="A263" s="174" t="s">
        <v>69</v>
      </c>
      <c r="B263" s="232" t="s">
        <v>68</v>
      </c>
      <c r="C263" s="157">
        <v>1</v>
      </c>
      <c r="D263" s="157" t="s">
        <v>468</v>
      </c>
      <c r="E263" s="177" t="s">
        <v>468</v>
      </c>
      <c r="F263" s="233" t="s">
        <v>543</v>
      </c>
      <c r="G263" s="234">
        <v>43399</v>
      </c>
      <c r="H263" s="235" t="s">
        <v>2136</v>
      </c>
      <c r="I263" s="236" t="s">
        <v>1094</v>
      </c>
      <c r="J263" s="237">
        <v>4640</v>
      </c>
      <c r="K263" s="175" t="s">
        <v>61</v>
      </c>
      <c r="L263" s="175" t="s">
        <v>439</v>
      </c>
      <c r="M263" s="175" t="s">
        <v>1343</v>
      </c>
      <c r="N263" s="180"/>
      <c r="O263" s="177"/>
      <c r="P263" s="181">
        <v>0</v>
      </c>
      <c r="Q263" s="177">
        <v>43391</v>
      </c>
      <c r="R263" s="178">
        <v>453.77595000000002</v>
      </c>
      <c r="S263" s="179">
        <v>35105.466666666667</v>
      </c>
      <c r="T263" s="182" t="s">
        <v>45</v>
      </c>
      <c r="U263" s="183">
        <v>3.7210000000000001</v>
      </c>
      <c r="V263" s="179">
        <v>2014.5333333333335</v>
      </c>
      <c r="W263" s="179">
        <v>0</v>
      </c>
      <c r="X263" s="186" t="s">
        <v>45</v>
      </c>
      <c r="Y263" s="183">
        <v>3.7210000000000001</v>
      </c>
      <c r="Z263" s="220"/>
      <c r="AA263" s="172">
        <f>Delivery[[#This Row],[Quantity delivered]]*VLOOKUP(Delivery[[#This Row],[Unit]],Tab_Conversão[],4,FALSE)*VLOOKUP(CONCATENATE(Delivery[[#This Row],[Coffee specie]],Delivery[[#This Row],[Coffee state]]),Tab_Conversão[],4,FALSE)</f>
        <v>4640</v>
      </c>
      <c r="AB263" s="169">
        <f>SUMIF(Allocation!C:C,Delivery[[#This Row],[Delivery ID]],Allocation!D:D)/Delivery[[#This Row],[Quantity delivered]]</f>
        <v>0.15775862068965518</v>
      </c>
      <c r="AC263" s="170">
        <f>Delivery[[#This Row],[Quantity delivered]]*Delivery[[#This Row],[Base price (Unidad)]]/60</f>
        <v>35092.006800000003</v>
      </c>
      <c r="AD263" s="171">
        <f>Delivery[[#This Row],[Nespresso total]]-Delivery[[#This Row],[Qt. Delivery * Base Price]]</f>
        <v>13.459866666664311</v>
      </c>
      <c r="AE263" s="171">
        <f>Delivery[[#This Row],[AAA Premium (total)]]/Delivery[[#This Row],[Quantity delivered]]*60/Delivery[[#This Row],[Exchange rate VS USD]]</f>
        <v>7.0008062348830959</v>
      </c>
      <c r="AF263" s="171">
        <f>Delivery[[#This Row],[BEN premium (total)]]/Delivery[[#This Row],[Quantity delivered]]*60/Delivery[[#This Row],[Exchange rate for premiums VS USD]]</f>
        <v>0</v>
      </c>
      <c r="AG263" s="171">
        <f>COUNTIF(Delivery[Delivery ID],Delivery[[#This Row],[Delivery ID]])</f>
        <v>1</v>
      </c>
      <c r="AH263" s="171">
        <f>(Delivery[[#This Row],[Nespresso total]]/SUMIF(Allocation!C:C,Delivery[Delivery ID],Allocation!H:H))/Delivery[[#This Row],[Exchange rate VS USD]]</f>
        <v>46.02154766508697</v>
      </c>
      <c r="AI263" s="171">
        <f>(Delivery[[#This Row],[AAA Premium (total)]]/SUMIF(Allocation!C:C,Delivery[Delivery ID],Allocation!H:H))/Delivery[[#This Row],[Exchange rate VS USD]]</f>
        <v>2.6409545471428917</v>
      </c>
      <c r="AJ263" s="171">
        <f>Delivery[[#This Row],[Valor Prêmio Nespresso AAA por Kg (em US$)]]*60</f>
        <v>158.45727282857351</v>
      </c>
      <c r="AK263" s="171">
        <f>Delivery[[#This Row],[Valor Prêmio Nespresso AAA por saca (em US$)]]/1.3228/100</f>
        <v>1.1978929001252911</v>
      </c>
      <c r="AL263" s="171">
        <f>(Delivery[[#This Row],[BEN premium (total)]]/SUMIF(Allocation!C:C,Delivery[Delivery ID],Allocation!H:H))/Delivery[[#This Row],[Exchange rate for premiums VS USD]]</f>
        <v>0</v>
      </c>
      <c r="AM263" s="171">
        <f>Delivery[[#This Row],[Valor Prêmio Nespresso BEN por Kg (em US$)]]*60</f>
        <v>0</v>
      </c>
      <c r="AN263" s="171">
        <f>Delivery[[#This Row],[Valor Prêmio Nespresso BEN por saca (em US$)]]/1.3228/100</f>
        <v>0</v>
      </c>
      <c r="AO263" s="171">
        <f>SUMIF(Allocation[Delivery ID],Delivery[[#This Row],[Delivery ID]],Allocation[Quantity allocated])*16*1.3228*Delivery[[#This Row],[Exchange rate VS USD]]/60</f>
        <v>269.07692106666661</v>
      </c>
      <c r="AP263" s="171">
        <f>Delivery[[#This Row],[AAA Premium (total)]]</f>
        <v>2014.5333333333335</v>
      </c>
      <c r="AQ263" s="171">
        <f>Delivery[[#This Row],[Valor pago pelo Cluster]]-Delivery[[#This Row],[Valor efetivamente pago pela Nespresso]]</f>
        <v>1745.456412266667</v>
      </c>
    </row>
    <row r="264" spans="1:43" ht="15.75">
      <c r="A264" s="174" t="s">
        <v>69</v>
      </c>
      <c r="B264" s="232" t="s">
        <v>68</v>
      </c>
      <c r="C264" s="157">
        <v>1</v>
      </c>
      <c r="D264" s="157" t="s">
        <v>468</v>
      </c>
      <c r="E264" s="177" t="s">
        <v>468</v>
      </c>
      <c r="F264" s="233" t="s">
        <v>543</v>
      </c>
      <c r="G264" s="234">
        <v>43399</v>
      </c>
      <c r="H264" s="235" t="s">
        <v>2137</v>
      </c>
      <c r="I264" s="236" t="s">
        <v>1094</v>
      </c>
      <c r="J264" s="237">
        <v>12700</v>
      </c>
      <c r="K264" s="175" t="s">
        <v>61</v>
      </c>
      <c r="L264" s="175" t="s">
        <v>439</v>
      </c>
      <c r="M264" s="175" t="s">
        <v>1343</v>
      </c>
      <c r="N264" s="180"/>
      <c r="O264" s="177"/>
      <c r="P264" s="181">
        <v>0</v>
      </c>
      <c r="Q264" s="177">
        <v>43391</v>
      </c>
      <c r="R264" s="178">
        <v>453.77595000000002</v>
      </c>
      <c r="S264" s="179">
        <v>96086.083333333328</v>
      </c>
      <c r="T264" s="182" t="s">
        <v>45</v>
      </c>
      <c r="U264" s="183">
        <v>3.7210000000000001</v>
      </c>
      <c r="V264" s="179">
        <v>5513.916666666667</v>
      </c>
      <c r="W264" s="179">
        <v>0</v>
      </c>
      <c r="X264" s="186" t="s">
        <v>45</v>
      </c>
      <c r="Y264" s="183">
        <v>3.7210000000000001</v>
      </c>
      <c r="Z264" s="220"/>
      <c r="AA264" s="172">
        <f>Delivery[[#This Row],[Quantity delivered]]*VLOOKUP(Delivery[[#This Row],[Unit]],Tab_Conversão[],4,FALSE)*VLOOKUP(CONCATENATE(Delivery[[#This Row],[Coffee specie]],Delivery[[#This Row],[Coffee state]]),Tab_Conversão[],4,FALSE)</f>
        <v>12700</v>
      </c>
      <c r="AB264" s="169">
        <f>SUMIF(Allocation!C:C,Delivery[[#This Row],[Delivery ID]],Allocation!D:D)/Delivery[[#This Row],[Quantity delivered]]</f>
        <v>0.15866141732283465</v>
      </c>
      <c r="AC264" s="170">
        <f>Delivery[[#This Row],[Quantity delivered]]*Delivery[[#This Row],[Base price (Unidad)]]/60</f>
        <v>96049.242750000005</v>
      </c>
      <c r="AD264" s="171">
        <f>Delivery[[#This Row],[Nespresso total]]-Delivery[[#This Row],[Qt. Delivery * Base Price]]</f>
        <v>36.840583333323593</v>
      </c>
      <c r="AE264" s="171">
        <f>Delivery[[#This Row],[AAA Premium (total)]]/Delivery[[#This Row],[Quantity delivered]]*60/Delivery[[#This Row],[Exchange rate VS USD]]</f>
        <v>7.0008062348830959</v>
      </c>
      <c r="AF264" s="171">
        <f>Delivery[[#This Row],[BEN premium (total)]]/Delivery[[#This Row],[Quantity delivered]]*60/Delivery[[#This Row],[Exchange rate for premiums VS USD]]</f>
        <v>0</v>
      </c>
      <c r="AG264" s="171">
        <f>COUNTIF(Delivery[Delivery ID],Delivery[[#This Row],[Delivery ID]])</f>
        <v>1</v>
      </c>
      <c r="AH264" s="171">
        <f>(Delivery[[#This Row],[Nespresso total]]/SUMIF(Allocation!C:C,Delivery[Delivery ID],Allocation!H:H))/Delivery[[#This Row],[Exchange rate VS USD]]</f>
        <v>45.784841704135303</v>
      </c>
      <c r="AI264" s="171">
        <f>(Delivery[[#This Row],[AAA Premium (total)]]/SUMIF(Allocation!C:C,Delivery[Delivery ID],Allocation!H:H))/Delivery[[#This Row],[Exchange rate VS USD]]</f>
        <v>2.6273711342498616</v>
      </c>
      <c r="AJ264" s="171">
        <f>Delivery[[#This Row],[Valor Prêmio Nespresso AAA por Kg (em US$)]]*60</f>
        <v>157.64226805499169</v>
      </c>
      <c r="AK264" s="171">
        <f>Delivery[[#This Row],[Valor Prêmio Nespresso AAA por saca (em US$)]]/1.3228/100</f>
        <v>1.1917316907695168</v>
      </c>
      <c r="AL264" s="171">
        <f>(Delivery[[#This Row],[BEN premium (total)]]/SUMIF(Allocation!C:C,Delivery[Delivery ID],Allocation!H:H))/Delivery[[#This Row],[Exchange rate for premiums VS USD]]</f>
        <v>0</v>
      </c>
      <c r="AM264" s="171">
        <f>Delivery[[#This Row],[Valor Prêmio Nespresso BEN por Kg (em US$)]]*60</f>
        <v>0</v>
      </c>
      <c r="AN264" s="171">
        <f>Delivery[[#This Row],[Valor Prêmio Nespresso BEN por saca (em US$)]]/1.3228/100</f>
        <v>0</v>
      </c>
      <c r="AO264" s="171">
        <f>SUMIF(Allocation[Delivery ID],Delivery[[#This Row],[Delivery ID]],Allocation[Quantity allocated])*16*1.3228*Delivery[[#This Row],[Exchange rate VS USD]]/60</f>
        <v>740.28967552000006</v>
      </c>
      <c r="AP264" s="171">
        <f>Delivery[[#This Row],[AAA Premium (total)]]</f>
        <v>5513.916666666667</v>
      </c>
      <c r="AQ264" s="171">
        <f>Delivery[[#This Row],[Valor pago pelo Cluster]]-Delivery[[#This Row],[Valor efetivamente pago pela Nespresso]]</f>
        <v>4773.626991146667</v>
      </c>
    </row>
    <row r="265" spans="1:43" ht="15.75">
      <c r="A265" s="174" t="s">
        <v>69</v>
      </c>
      <c r="B265" s="232" t="s">
        <v>68</v>
      </c>
      <c r="C265" s="157">
        <v>1</v>
      </c>
      <c r="D265" s="157" t="s">
        <v>468</v>
      </c>
      <c r="E265" s="177" t="s">
        <v>468</v>
      </c>
      <c r="F265" s="233" t="s">
        <v>543</v>
      </c>
      <c r="G265" s="234">
        <v>43399</v>
      </c>
      <c r="H265" s="235" t="s">
        <v>2138</v>
      </c>
      <c r="I265" s="236" t="s">
        <v>1094</v>
      </c>
      <c r="J265" s="237">
        <v>14940</v>
      </c>
      <c r="K265" s="175" t="s">
        <v>61</v>
      </c>
      <c r="L265" s="175" t="s">
        <v>439</v>
      </c>
      <c r="M265" s="175" t="s">
        <v>1343</v>
      </c>
      <c r="N265" s="180"/>
      <c r="O265" s="177"/>
      <c r="P265" s="181">
        <v>0</v>
      </c>
      <c r="Q265" s="177">
        <v>43390</v>
      </c>
      <c r="R265" s="178">
        <v>450.86040000000003</v>
      </c>
      <c r="S265" s="179">
        <v>115590.78</v>
      </c>
      <c r="T265" s="182" t="s">
        <v>45</v>
      </c>
      <c r="U265" s="183">
        <v>3.6835</v>
      </c>
      <c r="V265" s="179">
        <v>6419.22</v>
      </c>
      <c r="W265" s="179">
        <v>0</v>
      </c>
      <c r="X265" s="186" t="s">
        <v>45</v>
      </c>
      <c r="Y265" s="183">
        <v>3.6835</v>
      </c>
      <c r="Z265" s="220"/>
      <c r="AA265" s="172">
        <f>Delivery[[#This Row],[Quantity delivered]]*VLOOKUP(Delivery[[#This Row],[Unit]],Tab_Conversão[],4,FALSE)*VLOOKUP(CONCATENATE(Delivery[[#This Row],[Coffee specie]],Delivery[[#This Row],[Coffee state]]),Tab_Conversão[],4,FALSE)</f>
        <v>14940</v>
      </c>
      <c r="AB265" s="169">
        <f>SUMIF(Allocation!C:C,Delivery[[#This Row],[Delivery ID]],Allocation!D:D)/Delivery[[#This Row],[Quantity delivered]]</f>
        <v>0.13447121820615796</v>
      </c>
      <c r="AC265" s="170">
        <f>Delivery[[#This Row],[Quantity delivered]]*Delivery[[#This Row],[Base price (Unidad)]]/60</f>
        <v>112264.2396</v>
      </c>
      <c r="AD265" s="171">
        <f>Delivery[[#This Row],[Nespresso total]]-Delivery[[#This Row],[Qt. Delivery * Base Price]]</f>
        <v>3326.540399999998</v>
      </c>
      <c r="AE265" s="171">
        <f>Delivery[[#This Row],[AAA Premium (total)]]/Delivery[[#This Row],[Quantity delivered]]*60/Delivery[[#This Row],[Exchange rate VS USD]]</f>
        <v>6.9987783358219087</v>
      </c>
      <c r="AF265" s="171">
        <f>Delivery[[#This Row],[BEN premium (total)]]/Delivery[[#This Row],[Quantity delivered]]*60/Delivery[[#This Row],[Exchange rate for premiums VS USD]]</f>
        <v>0</v>
      </c>
      <c r="AG265" s="171">
        <f>COUNTIF(Delivery[Delivery ID],Delivery[[#This Row],[Delivery ID]])</f>
        <v>1</v>
      </c>
      <c r="AH265" s="171">
        <f>(Delivery[[#This Row],[Nespresso total]]/SUMIF(Allocation!C:C,Delivery[Delivery ID],Allocation!H:H))/Delivery[[#This Row],[Exchange rate VS USD]]</f>
        <v>47.331360899498627</v>
      </c>
      <c r="AI265" s="171">
        <f>(Delivery[[#This Row],[AAA Premium (total)]]/SUMIF(Allocation!C:C,Delivery[Delivery ID],Allocation!H:H))/Delivery[[#This Row],[Exchange rate VS USD]]</f>
        <v>2.6285004609647893</v>
      </c>
      <c r="AJ265" s="171">
        <f>Delivery[[#This Row],[Valor Prêmio Nespresso AAA por Kg (em US$)]]*60</f>
        <v>157.71002765788737</v>
      </c>
      <c r="AK265" s="171">
        <f>Delivery[[#This Row],[Valor Prêmio Nespresso AAA por saca (em US$)]]/1.3228/100</f>
        <v>1.1922439345168383</v>
      </c>
      <c r="AL265" s="171">
        <f>(Delivery[[#This Row],[BEN premium (total)]]/SUMIF(Allocation!C:C,Delivery[Delivery ID],Allocation!H:H))/Delivery[[#This Row],[Exchange rate for premiums VS USD]]</f>
        <v>0</v>
      </c>
      <c r="AM265" s="171">
        <f>Delivery[[#This Row],[Valor Prêmio Nespresso BEN por Kg (em US$)]]*60</f>
        <v>0</v>
      </c>
      <c r="AN265" s="171">
        <f>Delivery[[#This Row],[Valor Prêmio Nespresso BEN por saca (em US$)]]/1.3228/100</f>
        <v>0</v>
      </c>
      <c r="AO265" s="171">
        <f>SUMIF(Allocation[Delivery ID],Delivery[[#This Row],[Delivery ID]],Allocation[Quantity allocated])*16*1.3228*Delivery[[#This Row],[Exchange rate VS USD]]/60</f>
        <v>861.46397583999999</v>
      </c>
      <c r="AP265" s="171">
        <f>Delivery[[#This Row],[AAA Premium (total)]]</f>
        <v>6419.22</v>
      </c>
      <c r="AQ265" s="171">
        <f>Delivery[[#This Row],[Valor pago pelo Cluster]]-Delivery[[#This Row],[Valor efetivamente pago pela Nespresso]]</f>
        <v>5557.7560241600004</v>
      </c>
    </row>
    <row r="266" spans="1:43" ht="15.75">
      <c r="A266" s="174" t="s">
        <v>69</v>
      </c>
      <c r="B266" s="232" t="s">
        <v>68</v>
      </c>
      <c r="C266" s="157">
        <v>1</v>
      </c>
      <c r="D266" s="157" t="s">
        <v>468</v>
      </c>
      <c r="E266" s="177" t="s">
        <v>468</v>
      </c>
      <c r="F266" s="233" t="s">
        <v>543</v>
      </c>
      <c r="G266" s="234">
        <v>43403</v>
      </c>
      <c r="H266" s="235" t="s">
        <v>2139</v>
      </c>
      <c r="I266" s="236" t="s">
        <v>672</v>
      </c>
      <c r="J266" s="237">
        <v>9560</v>
      </c>
      <c r="K266" s="175" t="s">
        <v>472</v>
      </c>
      <c r="L266" s="175" t="s">
        <v>439</v>
      </c>
      <c r="M266" s="175" t="s">
        <v>1343</v>
      </c>
      <c r="N266" s="180"/>
      <c r="O266" s="177"/>
      <c r="P266" s="181">
        <v>0</v>
      </c>
      <c r="Q266" s="177">
        <v>43397</v>
      </c>
      <c r="R266" s="178">
        <v>450.68575999999996</v>
      </c>
      <c r="S266" s="179">
        <v>72329.366666666669</v>
      </c>
      <c r="T266" s="182" t="s">
        <v>45</v>
      </c>
      <c r="U266" s="183">
        <v>3.7216</v>
      </c>
      <c r="V266" s="179">
        <v>4150.6333333333332</v>
      </c>
      <c r="W266" s="179">
        <v>0</v>
      </c>
      <c r="X266" s="186" t="s">
        <v>45</v>
      </c>
      <c r="Y266" s="183">
        <v>3.7216</v>
      </c>
      <c r="Z266" s="220"/>
      <c r="AA266" s="172">
        <f>Delivery[[#This Row],[Quantity delivered]]*VLOOKUP(Delivery[[#This Row],[Unit]],Tab_Conversão[],4,FALSE)*VLOOKUP(CONCATENATE(Delivery[[#This Row],[Coffee specie]],Delivery[[#This Row],[Coffee state]]),Tab_Conversão[],4,FALSE)</f>
        <v>9560</v>
      </c>
      <c r="AB266" s="169">
        <f>SUMIF(Allocation!C:C,Delivery[[#This Row],[Delivery ID]],Allocation!D:D)/Delivery[[#This Row],[Quantity delivered]]</f>
        <v>0.5367154811715481</v>
      </c>
      <c r="AC266" s="170">
        <f>Delivery[[#This Row],[Quantity delivered]]*Delivery[[#This Row],[Base price (Unidad)]]/60</f>
        <v>71809.264426666647</v>
      </c>
      <c r="AD266" s="171">
        <f>Delivery[[#This Row],[Nespresso total]]-Delivery[[#This Row],[Qt. Delivery * Base Price]]</f>
        <v>520.10224000002199</v>
      </c>
      <c r="AE266" s="171">
        <f>Delivery[[#This Row],[AAA Premium (total)]]/Delivery[[#This Row],[Quantity delivered]]*60/Delivery[[#This Row],[Exchange rate VS USD]]</f>
        <v>6.9996775580395525</v>
      </c>
      <c r="AF266" s="171">
        <f>Delivery[[#This Row],[BEN premium (total)]]/Delivery[[#This Row],[Quantity delivered]]*60/Delivery[[#This Row],[Exchange rate for premiums VS USD]]</f>
        <v>0</v>
      </c>
      <c r="AG266" s="171">
        <f>COUNTIF(Delivery[Delivery ID],Delivery[[#This Row],[Delivery ID]])</f>
        <v>1</v>
      </c>
      <c r="AH266" s="171">
        <f>(Delivery[[#This Row],[Nespresso total]]/SUMIF(Allocation!C:C,Delivery[Delivery ID],Allocation!H:H))/Delivery[[#This Row],[Exchange rate VS USD]]</f>
        <v>11.479633188569865</v>
      </c>
      <c r="AI266" s="171">
        <f>(Delivery[[#This Row],[AAA Premium (total)]]/SUMIF(Allocation!C:C,Delivery[Delivery ID],Allocation!H:H))/Delivery[[#This Row],[Exchange rate VS USD]]</f>
        <v>0.65876075462549832</v>
      </c>
      <c r="AJ266" s="171">
        <f>Delivery[[#This Row],[Valor Prêmio Nespresso AAA por Kg (em US$)]]*60</f>
        <v>39.525645277529897</v>
      </c>
      <c r="AK266" s="171">
        <f>Delivery[[#This Row],[Valor Prêmio Nespresso AAA por saca (em US$)]]/1.3228/100</f>
        <v>0.29880288235205549</v>
      </c>
      <c r="AL266" s="171">
        <f>(Delivery[[#This Row],[BEN premium (total)]]/SUMIF(Allocation!C:C,Delivery[Delivery ID],Allocation!H:H))/Delivery[[#This Row],[Exchange rate for premiums VS USD]]</f>
        <v>0</v>
      </c>
      <c r="AM266" s="171">
        <f>Delivery[[#This Row],[Valor Prêmio Nespresso BEN por Kg (em US$)]]*60</f>
        <v>0</v>
      </c>
      <c r="AN266" s="171">
        <f>Delivery[[#This Row],[Valor Prêmio Nespresso BEN por saca (em US$)]]/1.3228/100</f>
        <v>0</v>
      </c>
      <c r="AO266" s="171">
        <f>SUMIF(Allocation[Delivery ID],Delivery[[#This Row],[Delivery ID]],Allocation[Quantity allocated])*16*1.3228*Delivery[[#This Row],[Exchange rate VS USD]]/60</f>
        <v>2222.5399169706666</v>
      </c>
      <c r="AP266" s="171">
        <f>Delivery[[#This Row],[AAA Premium (total)]]</f>
        <v>4150.6333333333332</v>
      </c>
      <c r="AQ266" s="171">
        <f>Delivery[[#This Row],[Valor pago pelo Cluster]]-Delivery[[#This Row],[Valor efetivamente pago pela Nespresso]]</f>
        <v>1928.0934163626666</v>
      </c>
    </row>
    <row r="267" spans="1:43" ht="15.75">
      <c r="A267" s="174" t="s">
        <v>69</v>
      </c>
      <c r="B267" s="232" t="s">
        <v>68</v>
      </c>
      <c r="C267" s="157">
        <v>1</v>
      </c>
      <c r="D267" s="157" t="s">
        <v>468</v>
      </c>
      <c r="E267" s="177" t="s">
        <v>468</v>
      </c>
      <c r="F267" s="233" t="s">
        <v>543</v>
      </c>
      <c r="G267" s="234">
        <v>43403</v>
      </c>
      <c r="H267" s="235" t="s">
        <v>2140</v>
      </c>
      <c r="I267" s="236" t="s">
        <v>672</v>
      </c>
      <c r="J267" s="237">
        <v>6240</v>
      </c>
      <c r="K267" s="175" t="s">
        <v>472</v>
      </c>
      <c r="L267" s="175" t="s">
        <v>439</v>
      </c>
      <c r="M267" s="175" t="s">
        <v>1343</v>
      </c>
      <c r="N267" s="180"/>
      <c r="O267" s="177"/>
      <c r="P267" s="181">
        <v>0</v>
      </c>
      <c r="Q267" s="177">
        <v>43397</v>
      </c>
      <c r="R267" s="178">
        <v>450.68575999999996</v>
      </c>
      <c r="S267" s="179">
        <v>47210.799999999996</v>
      </c>
      <c r="T267" s="182" t="s">
        <v>45</v>
      </c>
      <c r="U267" s="183">
        <v>3.7216</v>
      </c>
      <c r="V267" s="179">
        <v>2709.2000000000003</v>
      </c>
      <c r="W267" s="179">
        <v>0</v>
      </c>
      <c r="X267" s="186" t="s">
        <v>45</v>
      </c>
      <c r="Y267" s="183">
        <v>3.7216</v>
      </c>
      <c r="Z267" s="220"/>
      <c r="AA267" s="172">
        <f>Delivery[[#This Row],[Quantity delivered]]*VLOOKUP(Delivery[[#This Row],[Unit]],Tab_Conversão[],4,FALSE)*VLOOKUP(CONCATENATE(Delivery[[#This Row],[Coffee specie]],Delivery[[#This Row],[Coffee state]]),Tab_Conversão[],4,FALSE)</f>
        <v>6240</v>
      </c>
      <c r="AB267" s="169">
        <f>SUMIF(Allocation!C:C,Delivery[[#This Row],[Delivery ID]],Allocation!D:D)/Delivery[[#This Row],[Quantity delivered]]</f>
        <v>0.5378205128205128</v>
      </c>
      <c r="AC267" s="170">
        <f>Delivery[[#This Row],[Quantity delivered]]*Delivery[[#This Row],[Base price (Unidad)]]/60</f>
        <v>46871.319039999995</v>
      </c>
      <c r="AD267" s="171">
        <f>Delivery[[#This Row],[Nespresso total]]-Delivery[[#This Row],[Qt. Delivery * Base Price]]</f>
        <v>339.48096000000078</v>
      </c>
      <c r="AE267" s="171">
        <f>Delivery[[#This Row],[AAA Premium (total)]]/Delivery[[#This Row],[Quantity delivered]]*60/Delivery[[#This Row],[Exchange rate VS USD]]</f>
        <v>6.9996775580395534</v>
      </c>
      <c r="AF267" s="171">
        <f>Delivery[[#This Row],[BEN premium (total)]]/Delivery[[#This Row],[Quantity delivered]]*60/Delivery[[#This Row],[Exchange rate for premiums VS USD]]</f>
        <v>0</v>
      </c>
      <c r="AG267" s="171">
        <f>COUNTIF(Delivery[Delivery ID],Delivery[[#This Row],[Delivery ID]])</f>
        <v>1</v>
      </c>
      <c r="AH267" s="171">
        <f>(Delivery[[#This Row],[Nespresso total]]/SUMIF(Allocation!C:C,Delivery[Delivery ID],Allocation!H:H))/Delivery[[#This Row],[Exchange rate VS USD]]</f>
        <v>11.449114700870087</v>
      </c>
      <c r="AI267" s="171">
        <f>(Delivery[[#This Row],[AAA Premium (total)]]/SUMIF(Allocation!C:C,Delivery[Delivery ID],Allocation!H:H))/Delivery[[#This Row],[Exchange rate VS USD]]</f>
        <v>0.65700944588096888</v>
      </c>
      <c r="AJ267" s="171">
        <f>Delivery[[#This Row],[Valor Prêmio Nespresso AAA por Kg (em US$)]]*60</f>
        <v>39.420566752858136</v>
      </c>
      <c r="AK267" s="171">
        <f>Delivery[[#This Row],[Valor Prêmio Nespresso AAA por saca (em US$)]]/1.3228/100</f>
        <v>0.29800851793814742</v>
      </c>
      <c r="AL267" s="171">
        <f>(Delivery[[#This Row],[BEN premium (total)]]/SUMIF(Allocation!C:C,Delivery[Delivery ID],Allocation!H:H))/Delivery[[#This Row],[Exchange rate for premiums VS USD]]</f>
        <v>0</v>
      </c>
      <c r="AM267" s="171">
        <f>Delivery[[#This Row],[Valor Prêmio Nespresso BEN por Kg (em US$)]]*60</f>
        <v>0</v>
      </c>
      <c r="AN267" s="171">
        <f>Delivery[[#This Row],[Valor Prêmio Nespresso BEN por saca (em US$)]]/1.3228/100</f>
        <v>0</v>
      </c>
      <c r="AO267" s="171">
        <f>SUMIF(Allocation[Delivery ID],Delivery[[#This Row],[Delivery ID]],Allocation[Quantity allocated])*16*1.3228*Delivery[[#This Row],[Exchange rate VS USD]]/60</f>
        <v>1454.5624500906667</v>
      </c>
      <c r="AP267" s="171">
        <f>Delivery[[#This Row],[AAA Premium (total)]]</f>
        <v>2709.2000000000003</v>
      </c>
      <c r="AQ267" s="171">
        <f>Delivery[[#This Row],[Valor pago pelo Cluster]]-Delivery[[#This Row],[Valor efetivamente pago pela Nespresso]]</f>
        <v>1254.6375499093335</v>
      </c>
    </row>
    <row r="268" spans="1:43" ht="15.75">
      <c r="A268" s="174" t="s">
        <v>69</v>
      </c>
      <c r="B268" s="232" t="s">
        <v>68</v>
      </c>
      <c r="C268" s="157">
        <v>1</v>
      </c>
      <c r="D268" s="157" t="s">
        <v>468</v>
      </c>
      <c r="E268" s="177" t="s">
        <v>468</v>
      </c>
      <c r="F268" s="233" t="s">
        <v>543</v>
      </c>
      <c r="G268" s="234">
        <v>43405</v>
      </c>
      <c r="H268" s="235" t="s">
        <v>2141</v>
      </c>
      <c r="I268" s="236" t="s">
        <v>1094</v>
      </c>
      <c r="J268" s="237">
        <v>9200</v>
      </c>
      <c r="K268" s="175" t="s">
        <v>61</v>
      </c>
      <c r="L268" s="175" t="s">
        <v>439</v>
      </c>
      <c r="M268" s="175" t="s">
        <v>1343</v>
      </c>
      <c r="N268" s="180"/>
      <c r="O268" s="177"/>
      <c r="P268" s="181">
        <v>0</v>
      </c>
      <c r="Q268" s="177">
        <v>43399</v>
      </c>
      <c r="R268" s="178">
        <v>445.436125</v>
      </c>
      <c r="S268" s="179">
        <v>69656.266666666663</v>
      </c>
      <c r="T268" s="182" t="s">
        <v>45</v>
      </c>
      <c r="U268" s="183">
        <v>3.6737000000000002</v>
      </c>
      <c r="V268" s="179">
        <v>3943.7333333333331</v>
      </c>
      <c r="W268" s="179">
        <v>0</v>
      </c>
      <c r="X268" s="186" t="s">
        <v>45</v>
      </c>
      <c r="Y268" s="183">
        <v>3.6737000000000002</v>
      </c>
      <c r="Z268" s="220"/>
      <c r="AA268" s="172">
        <f>Delivery[[#This Row],[Quantity delivered]]*VLOOKUP(Delivery[[#This Row],[Unit]],Tab_Conversão[],4,FALSE)*VLOOKUP(CONCATENATE(Delivery[[#This Row],[Coffee specie]],Delivery[[#This Row],[Coffee state]]),Tab_Conversão[],4,FALSE)</f>
        <v>9200</v>
      </c>
      <c r="AB268" s="169">
        <f>SUMIF(Allocation!C:C,Delivery[[#This Row],[Delivery ID]],Allocation!D:D)/Delivery[[#This Row],[Quantity delivered]]</f>
        <v>0.15793478260869565</v>
      </c>
      <c r="AC268" s="170">
        <f>Delivery[[#This Row],[Quantity delivered]]*Delivery[[#This Row],[Base price (Unidad)]]/60</f>
        <v>68300.205833333341</v>
      </c>
      <c r="AD268" s="171">
        <f>Delivery[[#This Row],[Nespresso total]]-Delivery[[#This Row],[Qt. Delivery * Base Price]]</f>
        <v>1356.0608333333221</v>
      </c>
      <c r="AE268" s="171">
        <f>Delivery[[#This Row],[AAA Premium (total)]]/Delivery[[#This Row],[Quantity delivered]]*60/Delivery[[#This Row],[Exchange rate VS USD]]</f>
        <v>7.0011160410485331</v>
      </c>
      <c r="AF268" s="171">
        <f>Delivery[[#This Row],[BEN premium (total)]]/Delivery[[#This Row],[Quantity delivered]]*60/Delivery[[#This Row],[Exchange rate for premiums VS USD]]</f>
        <v>0</v>
      </c>
      <c r="AG268" s="171">
        <f>COUNTIF(Delivery[Delivery ID],Delivery[[#This Row],[Delivery ID]])</f>
        <v>1</v>
      </c>
      <c r="AH268" s="171">
        <f>(Delivery[[#This Row],[Nespresso total]]/SUMIF(Allocation!C:C,Delivery[Delivery ID],Allocation!H:H))/Delivery[[#This Row],[Exchange rate VS USD]]</f>
        <v>46.586715939139921</v>
      </c>
      <c r="AI268" s="171">
        <f>(Delivery[[#This Row],[AAA Premium (total)]]/SUMIF(Allocation!C:C,Delivery[Delivery ID],Allocation!H:H))/Delivery[[#This Row],[Exchange rate VS USD]]</f>
        <v>2.6376030949077198</v>
      </c>
      <c r="AJ268" s="171">
        <f>Delivery[[#This Row],[Valor Prêmio Nespresso AAA por Kg (em US$)]]*60</f>
        <v>158.2561856944632</v>
      </c>
      <c r="AK268" s="171">
        <f>Delivery[[#This Row],[Valor Prêmio Nespresso AAA por saca (em US$)]]/1.3228/100</f>
        <v>1.1963727373334079</v>
      </c>
      <c r="AL268" s="171">
        <f>(Delivery[[#This Row],[BEN premium (total)]]/SUMIF(Allocation!C:C,Delivery[Delivery ID],Allocation!H:H))/Delivery[[#This Row],[Exchange rate for premiums VS USD]]</f>
        <v>0</v>
      </c>
      <c r="AM268" s="171">
        <f>Delivery[[#This Row],[Valor Prêmio Nespresso BEN por Kg (em US$)]]*60</f>
        <v>0</v>
      </c>
      <c r="AN268" s="171">
        <f>Delivery[[#This Row],[Valor Prêmio Nespresso BEN por saca (em US$)]]/1.3228/100</f>
        <v>0</v>
      </c>
      <c r="AO268" s="171">
        <f>SUMIF(Allocation[Delivery ID],Delivery[[#This Row],[Delivery ID]],Allocation[Quantity allocated])*16*1.3228*Delivery[[#This Row],[Exchange rate VS USD]]/60</f>
        <v>527.42536973866675</v>
      </c>
      <c r="AP268" s="171">
        <f>Delivery[[#This Row],[AAA Premium (total)]]</f>
        <v>3943.7333333333331</v>
      </c>
      <c r="AQ268" s="171">
        <f>Delivery[[#This Row],[Valor pago pelo Cluster]]-Delivery[[#This Row],[Valor efetivamente pago pela Nespresso]]</f>
        <v>3416.3079635946665</v>
      </c>
    </row>
    <row r="269" spans="1:43" ht="15.75">
      <c r="A269" s="174" t="s">
        <v>69</v>
      </c>
      <c r="B269" s="232" t="s">
        <v>68</v>
      </c>
      <c r="C269" s="157">
        <v>1</v>
      </c>
      <c r="D269" s="157" t="s">
        <v>468</v>
      </c>
      <c r="E269" s="177" t="s">
        <v>468</v>
      </c>
      <c r="F269" s="233" t="s">
        <v>543</v>
      </c>
      <c r="G269" s="234">
        <v>43405</v>
      </c>
      <c r="H269" s="235" t="s">
        <v>2142</v>
      </c>
      <c r="I269" s="236" t="s">
        <v>1094</v>
      </c>
      <c r="J269" s="237">
        <v>8260</v>
      </c>
      <c r="K269" s="175" t="s">
        <v>472</v>
      </c>
      <c r="L269" s="175" t="s">
        <v>439</v>
      </c>
      <c r="M269" s="175" t="s">
        <v>1343</v>
      </c>
      <c r="N269" s="180"/>
      <c r="O269" s="177"/>
      <c r="P269" s="181">
        <v>0</v>
      </c>
      <c r="Q269" s="177">
        <v>43399</v>
      </c>
      <c r="R269" s="178">
        <v>445.436125</v>
      </c>
      <c r="S269" s="179">
        <v>62539.213333333326</v>
      </c>
      <c r="T269" s="182" t="s">
        <v>45</v>
      </c>
      <c r="U269" s="183">
        <v>3.6737000000000002</v>
      </c>
      <c r="V269" s="179">
        <v>3540.7866666666664</v>
      </c>
      <c r="W269" s="179">
        <v>0</v>
      </c>
      <c r="X269" s="186" t="s">
        <v>45</v>
      </c>
      <c r="Y269" s="183">
        <v>3.6737000000000002</v>
      </c>
      <c r="Z269" s="220"/>
      <c r="AA269" s="172">
        <f>Delivery[[#This Row],[Quantity delivered]]*VLOOKUP(Delivery[[#This Row],[Unit]],Tab_Conversão[],4,FALSE)*VLOOKUP(CONCATENATE(Delivery[[#This Row],[Coffee specie]],Delivery[[#This Row],[Coffee state]]),Tab_Conversão[],4,FALSE)</f>
        <v>8260</v>
      </c>
      <c r="AB269" s="169">
        <f>SUMIF(Allocation!C:C,Delivery[[#This Row],[Delivery ID]],Allocation!D:D)/Delivery[[#This Row],[Quantity delivered]]</f>
        <v>0.15859564164648909</v>
      </c>
      <c r="AC269" s="170">
        <f>Delivery[[#This Row],[Quantity delivered]]*Delivery[[#This Row],[Base price (Unidad)]]/60</f>
        <v>61321.706541666666</v>
      </c>
      <c r="AD269" s="171">
        <f>Delivery[[#This Row],[Nespresso total]]-Delivery[[#This Row],[Qt. Delivery * Base Price]]</f>
        <v>1217.5067916666594</v>
      </c>
      <c r="AE269" s="171">
        <f>Delivery[[#This Row],[AAA Premium (total)]]/Delivery[[#This Row],[Quantity delivered]]*60/Delivery[[#This Row],[Exchange rate VS USD]]</f>
        <v>7.0011160410485331</v>
      </c>
      <c r="AF269" s="171">
        <f>Delivery[[#This Row],[BEN premium (total)]]/Delivery[[#This Row],[Quantity delivered]]*60/Delivery[[#This Row],[Exchange rate for premiums VS USD]]</f>
        <v>0</v>
      </c>
      <c r="AG269" s="171">
        <f>COUNTIF(Delivery[Delivery ID],Delivery[[#This Row],[Delivery ID]])</f>
        <v>1</v>
      </c>
      <c r="AH269" s="171">
        <f>(Delivery[[#This Row],[Nespresso total]]/SUMIF(Allocation!C:C,Delivery[Delivery ID],Allocation!H:H))/Delivery[[#This Row],[Exchange rate VS USD]]</f>
        <v>46.385544775062009</v>
      </c>
      <c r="AI269" s="171">
        <f>(Delivery[[#This Row],[AAA Premium (total)]]/SUMIF(Allocation!C:C,Delivery[Delivery ID],Allocation!H:H))/Delivery[[#This Row],[Exchange rate VS USD]]</f>
        <v>2.6262133741626199</v>
      </c>
      <c r="AJ269" s="171">
        <f>Delivery[[#This Row],[Valor Prêmio Nespresso AAA por Kg (em US$)]]*60</f>
        <v>157.57280244975721</v>
      </c>
      <c r="AK269" s="171">
        <f>Delivery[[#This Row],[Valor Prêmio Nespresso AAA por saca (em US$)]]/1.3228/100</f>
        <v>1.19120655011912</v>
      </c>
      <c r="AL269" s="171">
        <f>(Delivery[[#This Row],[BEN premium (total)]]/SUMIF(Allocation!C:C,Delivery[Delivery ID],Allocation!H:H))/Delivery[[#This Row],[Exchange rate for premiums VS USD]]</f>
        <v>0</v>
      </c>
      <c r="AM269" s="171">
        <f>Delivery[[#This Row],[Valor Prêmio Nespresso BEN por Kg (em US$)]]*60</f>
        <v>0</v>
      </c>
      <c r="AN269" s="171">
        <f>Delivery[[#This Row],[Valor Prêmio Nespresso BEN por saca (em US$)]]/1.3228/100</f>
        <v>0</v>
      </c>
      <c r="AO269" s="171">
        <f>SUMIF(Allocation[Delivery ID],Delivery[[#This Row],[Delivery ID]],Allocation[Quantity allocated])*16*1.3228*Delivery[[#This Row],[Exchange rate VS USD]]/60</f>
        <v>475.58995256533336</v>
      </c>
      <c r="AP269" s="171">
        <f>Delivery[[#This Row],[AAA Premium (total)]]</f>
        <v>3540.7866666666664</v>
      </c>
      <c r="AQ269" s="171">
        <f>Delivery[[#This Row],[Valor pago pelo Cluster]]-Delivery[[#This Row],[Valor efetivamente pago pela Nespresso]]</f>
        <v>3065.1967141013329</v>
      </c>
    </row>
    <row r="270" spans="1:43" ht="15.75">
      <c r="A270" s="174" t="s">
        <v>69</v>
      </c>
      <c r="B270" s="232" t="s">
        <v>68</v>
      </c>
      <c r="C270" s="157">
        <v>1</v>
      </c>
      <c r="D270" s="157" t="s">
        <v>468</v>
      </c>
      <c r="E270" s="177" t="s">
        <v>468</v>
      </c>
      <c r="F270" s="240" t="s">
        <v>543</v>
      </c>
      <c r="G270" s="234">
        <v>43405</v>
      </c>
      <c r="H270" s="157" t="s">
        <v>1992</v>
      </c>
      <c r="I270" s="236" t="s">
        <v>1094</v>
      </c>
      <c r="J270" s="237">
        <v>8020</v>
      </c>
      <c r="K270" s="175" t="s">
        <v>61</v>
      </c>
      <c r="L270" s="175" t="s">
        <v>439</v>
      </c>
      <c r="M270" s="175" t="s">
        <v>1343</v>
      </c>
      <c r="N270" s="180"/>
      <c r="O270" s="177"/>
      <c r="P270" s="181">
        <v>0</v>
      </c>
      <c r="Q270" s="177">
        <v>43399</v>
      </c>
      <c r="R270" s="178">
        <v>445.436125</v>
      </c>
      <c r="S270" s="179">
        <v>59961.605253898102</v>
      </c>
      <c r="T270" s="182" t="s">
        <v>45</v>
      </c>
      <c r="U270" s="183">
        <v>3.6737000000000002</v>
      </c>
      <c r="V270" s="179">
        <v>3446.48</v>
      </c>
      <c r="W270" s="179">
        <v>911.91474610189346</v>
      </c>
      <c r="X270" s="186" t="s">
        <v>45</v>
      </c>
      <c r="Y270" s="183">
        <v>3.6737000000000002</v>
      </c>
      <c r="Z270" s="220" t="s">
        <v>473</v>
      </c>
      <c r="AA270" s="172">
        <f>Delivery[[#This Row],[Quantity delivered]]*VLOOKUP(Delivery[[#This Row],[Unit]],Tab_Conversão[],4,FALSE)*VLOOKUP(CONCATENATE(Delivery[[#This Row],[Coffee specie]],Delivery[[#This Row],[Coffee state]]),Tab_Conversão[],4,FALSE)</f>
        <v>8020</v>
      </c>
      <c r="AB270" s="169">
        <f>SUMIF(Allocation!C:C,Delivery[[#This Row],[Delivery ID]],Allocation!D:D)/Delivery[[#This Row],[Quantity delivered]]</f>
        <v>1</v>
      </c>
      <c r="AC270" s="170">
        <f>Delivery[[#This Row],[Quantity delivered]]*Delivery[[#This Row],[Base price (Unidad)]]/60</f>
        <v>59539.962041666666</v>
      </c>
      <c r="AD270" s="171">
        <f>Delivery[[#This Row],[Nespresso total]]-Delivery[[#This Row],[Qt. Delivery * Base Price]]</f>
        <v>421.64321223143634</v>
      </c>
      <c r="AE270" s="171">
        <f>Delivery[[#This Row],[AAA Premium (total)]]/Delivery[[#This Row],[Quantity delivered]]*60/Delivery[[#This Row],[Exchange rate VS USD]]</f>
        <v>7.0185751832955372</v>
      </c>
      <c r="AF270" s="171">
        <f>Delivery[[#This Row],[BEN premium (total)]]/Delivery[[#This Row],[Quantity delivered]]*60/Delivery[[#This Row],[Exchange rate for premiums VS USD]]</f>
        <v>1.8570664000000003</v>
      </c>
      <c r="AG270" s="171">
        <f>COUNTIF(Delivery[Delivery ID],Delivery[[#This Row],[Delivery ID]])</f>
        <v>1</v>
      </c>
      <c r="AH270" s="171">
        <f>(Delivery[[#This Row],[Nespresso total]]/SUMIF(Allocation!C:C,Delivery[Delivery ID],Allocation!H:H))/Delivery[[#This Row],[Exchange rate VS USD]]</f>
        <v>7.222060522269885</v>
      </c>
      <c r="AI270" s="171">
        <f>(Delivery[[#This Row],[AAA Premium (total)]]/SUMIF(Allocation!C:C,Delivery[Delivery ID],Allocation!H:H))/Delivery[[#This Row],[Exchange rate VS USD]]</f>
        <v>0.41511042013296612</v>
      </c>
      <c r="AJ270" s="171">
        <f>Delivery[[#This Row],[Valor Prêmio Nespresso AAA por Kg (em US$)]]*60</f>
        <v>24.906625207977967</v>
      </c>
      <c r="AK270" s="171">
        <f>Delivery[[#This Row],[Valor Prêmio Nespresso AAA por saca (em US$)]]/1.3228/100</f>
        <v>0.18828715760491355</v>
      </c>
      <c r="AL270" s="171">
        <f>(Delivery[[#This Row],[BEN premium (total)]]/SUMIF(Allocation!C:C,Delivery[Delivery ID],Allocation!H:H))/Delivery[[#This Row],[Exchange rate for premiums VS USD]]</f>
        <v>0.10983534312684366</v>
      </c>
      <c r="AM270" s="171">
        <f>Delivery[[#This Row],[Valor Prêmio Nespresso BEN por Kg (em US$)]]*60</f>
        <v>6.5901205876106195</v>
      </c>
      <c r="AN270" s="171">
        <f>Delivery[[#This Row],[Valor Prêmio Nespresso BEN por saca (em US$)]]/1.3228/100</f>
        <v>4.9819478285535373E-2</v>
      </c>
      <c r="AO270" s="171">
        <f>SUMIF(Allocation[Delivery ID],Delivery[[#This Row],[Delivery ID]],Allocation[Quantity allocated])*16*1.3228*Delivery[[#This Row],[Exchange rate VS USD]]/60</f>
        <v>2928.7010702933335</v>
      </c>
      <c r="AP270" s="171">
        <f>Delivery[[#This Row],[AAA Premium (total)]]</f>
        <v>3446.48</v>
      </c>
      <c r="AQ270" s="171">
        <f>Delivery[[#This Row],[Valor pago pelo Cluster]]-Delivery[[#This Row],[Valor efetivamente pago pela Nespresso]]</f>
        <v>517.77892970666653</v>
      </c>
    </row>
    <row r="271" spans="1:43" ht="15.75">
      <c r="A271" s="174" t="s">
        <v>69</v>
      </c>
      <c r="B271" s="232" t="s">
        <v>68</v>
      </c>
      <c r="C271" s="157">
        <v>1</v>
      </c>
      <c r="D271" s="157" t="s">
        <v>468</v>
      </c>
      <c r="E271" s="177" t="s">
        <v>468</v>
      </c>
      <c r="F271" s="233" t="s">
        <v>543</v>
      </c>
      <c r="G271" s="234">
        <v>43363</v>
      </c>
      <c r="H271" s="157" t="s">
        <v>1844</v>
      </c>
      <c r="I271" s="236" t="s">
        <v>1094</v>
      </c>
      <c r="J271" s="237">
        <v>2160</v>
      </c>
      <c r="K271" s="175" t="s">
        <v>472</v>
      </c>
      <c r="L271" s="175" t="s">
        <v>439</v>
      </c>
      <c r="M271" s="175" t="s">
        <v>1343</v>
      </c>
      <c r="N271" s="180"/>
      <c r="O271" s="177"/>
      <c r="P271" s="181">
        <v>0</v>
      </c>
      <c r="Q271" s="177">
        <v>43355</v>
      </c>
      <c r="R271" s="178">
        <v>423.75467500000002</v>
      </c>
      <c r="S271" s="179">
        <v>15206.63</v>
      </c>
      <c r="T271" s="182" t="s">
        <v>45</v>
      </c>
      <c r="U271" s="183">
        <v>4.1443000000000003</v>
      </c>
      <c r="V271" s="179">
        <v>1073.3699999999999</v>
      </c>
      <c r="W271" s="179">
        <v>0</v>
      </c>
      <c r="X271" s="186" t="s">
        <v>45</v>
      </c>
      <c r="Y271" s="183">
        <v>4.1443000000000003</v>
      </c>
      <c r="Z271" s="220"/>
      <c r="AA271" s="172">
        <f>Delivery[[#This Row],[Quantity delivered]]*VLOOKUP(Delivery[[#This Row],[Unit]],Tab_Conversão[],4,FALSE)*VLOOKUP(CONCATENATE(Delivery[[#This Row],[Coffee specie]],Delivery[[#This Row],[Coffee state]]),Tab_Conversão[],4,FALSE)</f>
        <v>2160</v>
      </c>
      <c r="AB271" s="169">
        <f>SUMIF(Allocation!C:C,Delivery[[#This Row],[Delivery ID]],Allocation!D:D)/Delivery[[#This Row],[Quantity delivered]]</f>
        <v>0.70046296296296295</v>
      </c>
      <c r="AC271" s="170">
        <f>Delivery[[#This Row],[Quantity delivered]]*Delivery[[#This Row],[Base price (Unidad)]]/60</f>
        <v>15255.168299999999</v>
      </c>
      <c r="AD271" s="171">
        <f>Delivery[[#This Row],[Nespresso total]]-Delivery[[#This Row],[Qt. Delivery * Base Price]]</f>
        <v>-48.538300000000163</v>
      </c>
      <c r="AE271" s="171">
        <f>Delivery[[#This Row],[AAA Premium (total)]]/Delivery[[#This Row],[Quantity delivered]]*60/Delivery[[#This Row],[Exchange rate VS USD]]</f>
        <v>7.1944196446524931</v>
      </c>
      <c r="AF271" s="171">
        <f>Delivery[[#This Row],[BEN premium (total)]]/Delivery[[#This Row],[Quantity delivered]]*60/Delivery[[#This Row],[Exchange rate for premiums VS USD]]</f>
        <v>0</v>
      </c>
      <c r="AG271" s="171">
        <f>COUNTIF(Delivery[Delivery ID],Delivery[[#This Row],[Delivery ID]])</f>
        <v>1</v>
      </c>
      <c r="AH271" s="171">
        <f>(Delivery[[#This Row],[Nespresso total]]/SUMIF(Allocation!C:C,Delivery[Delivery ID],Allocation!H:H))/Delivery[[#This Row],[Exchange rate VS USD]]</f>
        <v>8.0821320212539671</v>
      </c>
      <c r="AI271" s="171">
        <f>(Delivery[[#This Row],[AAA Premium (total)]]/SUMIF(Allocation!C:C,Delivery[Delivery ID],Allocation!H:H))/Delivery[[#This Row],[Exchange rate VS USD]]</f>
        <v>0.57048261499447084</v>
      </c>
      <c r="AJ271" s="171">
        <f>Delivery[[#This Row],[Valor Prêmio Nespresso AAA por Kg (em US$)]]*60</f>
        <v>34.228956899668248</v>
      </c>
      <c r="AK271" s="171">
        <f>Delivery[[#This Row],[Valor Prêmio Nespresso AAA por saca (em US$)]]/1.3228/100</f>
        <v>0.25876139174227586</v>
      </c>
      <c r="AL271" s="171">
        <f>(Delivery[[#This Row],[BEN premium (total)]]/SUMIF(Allocation!C:C,Delivery[Delivery ID],Allocation!H:H))/Delivery[[#This Row],[Exchange rate for premiums VS USD]]</f>
        <v>0</v>
      </c>
      <c r="AM271" s="171">
        <f>Delivery[[#This Row],[Valor Prêmio Nespresso BEN por Kg (em US$)]]*60</f>
        <v>0</v>
      </c>
      <c r="AN271" s="171">
        <f>Delivery[[#This Row],[Valor Prêmio Nespresso BEN por saca (em US$)]]/1.3228/100</f>
        <v>0</v>
      </c>
      <c r="AO271" s="171">
        <f>SUMIF(Allocation[Delivery ID],Delivery[[#This Row],[Delivery ID]],Allocation[Quantity allocated])*16*1.3228*Delivery[[#This Row],[Exchange rate VS USD]]/60</f>
        <v>663.69715684266669</v>
      </c>
      <c r="AP271" s="171">
        <f>Delivery[[#This Row],[AAA Premium (total)]]</f>
        <v>1073.3699999999999</v>
      </c>
      <c r="AQ271" s="171">
        <f>Delivery[[#This Row],[Valor pago pelo Cluster]]-Delivery[[#This Row],[Valor efetivamente pago pela Nespresso]]</f>
        <v>409.6728431573332</v>
      </c>
    </row>
    <row r="272" spans="1:43" ht="15.75">
      <c r="A272" s="174" t="s">
        <v>69</v>
      </c>
      <c r="B272" s="232" t="s">
        <v>68</v>
      </c>
      <c r="C272" s="157">
        <v>1</v>
      </c>
      <c r="D272" s="157" t="s">
        <v>468</v>
      </c>
      <c r="E272" s="177" t="s">
        <v>468</v>
      </c>
      <c r="F272" s="233" t="s">
        <v>543</v>
      </c>
      <c r="G272" s="234">
        <v>43363</v>
      </c>
      <c r="H272" s="157" t="s">
        <v>1501</v>
      </c>
      <c r="I272" s="236" t="s">
        <v>1502</v>
      </c>
      <c r="J272" s="237">
        <v>13500</v>
      </c>
      <c r="K272" s="175" t="s">
        <v>61</v>
      </c>
      <c r="L272" s="175" t="s">
        <v>439</v>
      </c>
      <c r="M272" s="175" t="s">
        <v>1343</v>
      </c>
      <c r="N272" s="180"/>
      <c r="O272" s="177"/>
      <c r="P272" s="185">
        <v>0</v>
      </c>
      <c r="Q272" s="177">
        <v>43356</v>
      </c>
      <c r="R272" s="178">
        <v>422.60250000000002</v>
      </c>
      <c r="S272" s="179">
        <v>95161.5</v>
      </c>
      <c r="T272" s="182" t="s">
        <v>45</v>
      </c>
      <c r="U272" s="183">
        <v>4.2050000000000001</v>
      </c>
      <c r="V272" s="179">
        <v>9460.7999999999993</v>
      </c>
      <c r="W272" s="179">
        <v>0</v>
      </c>
      <c r="X272" s="186" t="s">
        <v>45</v>
      </c>
      <c r="Y272" s="183">
        <v>4.2050000000000001</v>
      </c>
      <c r="Z272" s="220"/>
      <c r="AA272" s="172">
        <f>Delivery[[#This Row],[Quantity delivered]]*VLOOKUP(Delivery[[#This Row],[Unit]],Tab_Conversão[],4,FALSE)*VLOOKUP(CONCATENATE(Delivery[[#This Row],[Coffee specie]],Delivery[[#This Row],[Coffee state]]),Tab_Conversão[],4,FALSE)</f>
        <v>13500</v>
      </c>
      <c r="AB272" s="169">
        <f>SUMIF(Allocation!C:C,Delivery[[#This Row],[Delivery ID]],Allocation!D:D)/Delivery[[#This Row],[Quantity delivered]]</f>
        <v>0.95511111111111113</v>
      </c>
      <c r="AC272" s="170">
        <f>Delivery[[#This Row],[Quantity delivered]]*Delivery[[#This Row],[Base price (Unidad)]]/60</f>
        <v>95085.5625</v>
      </c>
      <c r="AD272" s="171">
        <f>Delivery[[#This Row],[Nespresso total]]-Delivery[[#This Row],[Qt. Delivery * Base Price]]</f>
        <v>75.9375</v>
      </c>
      <c r="AE272" s="171">
        <f>Delivery[[#This Row],[AAA Premium (total)]]/Delivery[[#This Row],[Quantity delivered]]*60/Delivery[[#This Row],[Exchange rate VS USD]]</f>
        <v>9.9995243757431638</v>
      </c>
      <c r="AF272" s="171">
        <f>Delivery[[#This Row],[BEN premium (total)]]/Delivery[[#This Row],[Quantity delivered]]*60/Delivery[[#This Row],[Exchange rate for premiums VS USD]]</f>
        <v>0</v>
      </c>
      <c r="AG272" s="171">
        <f>COUNTIF(Delivery[Delivery ID],Delivery[[#This Row],[Delivery ID]])</f>
        <v>1</v>
      </c>
      <c r="AH272" s="171">
        <f>(Delivery[[#This Row],[Nespresso total]]/SUMIF(Allocation!C:C,Delivery[Delivery ID],Allocation!H:H))/Delivery[[#This Row],[Exchange rate VS USD]]</f>
        <v>3.6565776148815288</v>
      </c>
      <c r="AI272" s="171">
        <f>(Delivery[[#This Row],[AAA Premium (total)]]/SUMIF(Allocation!C:C,Delivery[Delivery ID],Allocation!H:H))/Delivery[[#This Row],[Exchange rate VS USD]]</f>
        <v>0.3635309394962371</v>
      </c>
      <c r="AJ272" s="171">
        <f>Delivery[[#This Row],[Valor Prêmio Nespresso AAA por Kg (em US$)]]*60</f>
        <v>21.811856369774226</v>
      </c>
      <c r="AK272" s="171">
        <f>Delivery[[#This Row],[Valor Prêmio Nespresso AAA por saca (em US$)]]/1.3228/100</f>
        <v>0.16489156614585898</v>
      </c>
      <c r="AL272" s="171">
        <f>(Delivery[[#This Row],[BEN premium (total)]]/SUMIF(Allocation!C:C,Delivery[Delivery ID],Allocation!H:H))/Delivery[[#This Row],[Exchange rate for premiums VS USD]]</f>
        <v>0</v>
      </c>
      <c r="AM272" s="171">
        <f>Delivery[[#This Row],[Valor Prêmio Nespresso BEN por Kg (em US$)]]*60</f>
        <v>0</v>
      </c>
      <c r="AN272" s="171">
        <f>Delivery[[#This Row],[Valor Prêmio Nespresso BEN por saca (em US$)]]/1.3228/100</f>
        <v>0</v>
      </c>
      <c r="AO272" s="171">
        <f>SUMIF(Allocation[Delivery ID],Delivery[[#This Row],[Delivery ID]],Allocation[Quantity allocated])*16*1.3228*Delivery[[#This Row],[Exchange rate VS USD]]/60</f>
        <v>9180.1420495999992</v>
      </c>
      <c r="AP272" s="171">
        <f>Delivery[[#This Row],[AAA Premium (total)]]</f>
        <v>9460.7999999999993</v>
      </c>
      <c r="AQ272" s="171">
        <f>Delivery[[#This Row],[Valor pago pelo Cluster]]-Delivery[[#This Row],[Valor efetivamente pago pela Nespresso]]</f>
        <v>280.65795040000012</v>
      </c>
    </row>
    <row r="273" spans="1:43" ht="15.75">
      <c r="A273" s="174" t="s">
        <v>69</v>
      </c>
      <c r="B273" s="232" t="s">
        <v>68</v>
      </c>
      <c r="C273" s="157">
        <v>1</v>
      </c>
      <c r="D273" s="157" t="s">
        <v>468</v>
      </c>
      <c r="E273" s="177" t="s">
        <v>468</v>
      </c>
      <c r="F273" s="233" t="s">
        <v>543</v>
      </c>
      <c r="G273" s="234">
        <v>43363</v>
      </c>
      <c r="H273" s="157" t="s">
        <v>1503</v>
      </c>
      <c r="I273" s="236" t="s">
        <v>1502</v>
      </c>
      <c r="J273" s="237">
        <v>100</v>
      </c>
      <c r="K273" s="175" t="s">
        <v>472</v>
      </c>
      <c r="L273" s="175" t="s">
        <v>439</v>
      </c>
      <c r="M273" s="175" t="s">
        <v>1343</v>
      </c>
      <c r="N273" s="180"/>
      <c r="O273" s="177"/>
      <c r="P273" s="185">
        <v>0</v>
      </c>
      <c r="Q273" s="177">
        <v>43356</v>
      </c>
      <c r="R273" s="178">
        <v>422.60250000000002</v>
      </c>
      <c r="S273" s="179">
        <v>704.90000000000009</v>
      </c>
      <c r="T273" s="182" t="s">
        <v>45</v>
      </c>
      <c r="U273" s="183">
        <v>4.2050000000000001</v>
      </c>
      <c r="V273" s="179">
        <v>70.08</v>
      </c>
      <c r="W273" s="179">
        <v>0</v>
      </c>
      <c r="X273" s="186" t="s">
        <v>45</v>
      </c>
      <c r="Y273" s="183">
        <v>4.2050000000000001</v>
      </c>
      <c r="Z273" s="220"/>
      <c r="AA273" s="172">
        <f>Delivery[[#This Row],[Quantity delivered]]*VLOOKUP(Delivery[[#This Row],[Unit]],Tab_Conversão[],4,FALSE)*VLOOKUP(CONCATENATE(Delivery[[#This Row],[Coffee specie]],Delivery[[#This Row],[Coffee state]]),Tab_Conversão[],4,FALSE)</f>
        <v>100</v>
      </c>
      <c r="AB273" s="169">
        <f>SUMIF(Allocation!C:C,Delivery[[#This Row],[Delivery ID]],Allocation!D:D)/Delivery[[#This Row],[Quantity delivered]]</f>
        <v>1</v>
      </c>
      <c r="AC273" s="170">
        <f>Delivery[[#This Row],[Quantity delivered]]*Delivery[[#This Row],[Base price (Unidad)]]/60</f>
        <v>704.33749999999998</v>
      </c>
      <c r="AD273" s="171">
        <f>Delivery[[#This Row],[Nespresso total]]-Delivery[[#This Row],[Qt. Delivery * Base Price]]</f>
        <v>0.56250000000011369</v>
      </c>
      <c r="AE273" s="171">
        <f>Delivery[[#This Row],[AAA Premium (total)]]/Delivery[[#This Row],[Quantity delivered]]*60/Delivery[[#This Row],[Exchange rate VS USD]]</f>
        <v>9.9995243757431638</v>
      </c>
      <c r="AF273" s="171">
        <f>Delivery[[#This Row],[BEN premium (total)]]/Delivery[[#This Row],[Quantity delivered]]*60/Delivery[[#This Row],[Exchange rate for premiums VS USD]]</f>
        <v>0</v>
      </c>
      <c r="AG273" s="171">
        <f>COUNTIF(Delivery[Delivery ID],Delivery[[#This Row],[Delivery ID]])</f>
        <v>1</v>
      </c>
      <c r="AH273" s="171">
        <f>(Delivery[[#This Row],[Nespresso total]]/SUMIF(Allocation!C:C,Delivery[Delivery ID],Allocation!H:H))/Delivery[[#This Row],[Exchange rate VS USD]]</f>
        <v>3.4923701942132386</v>
      </c>
      <c r="AI273" s="171">
        <f>(Delivery[[#This Row],[AAA Premium (total)]]/SUMIF(Allocation!C:C,Delivery[Delivery ID],Allocation!H:H))/Delivery[[#This Row],[Exchange rate VS USD]]</f>
        <v>0.34720570749108204</v>
      </c>
      <c r="AJ273" s="171">
        <f>Delivery[[#This Row],[Valor Prêmio Nespresso AAA por Kg (em US$)]]*60</f>
        <v>20.832342449464921</v>
      </c>
      <c r="AK273" s="171">
        <f>Delivery[[#This Row],[Valor Prêmio Nespresso AAA por saca (em US$)]]/1.3228/100</f>
        <v>0.15748671340690143</v>
      </c>
      <c r="AL273" s="171">
        <f>(Delivery[[#This Row],[BEN premium (total)]]/SUMIF(Allocation!C:C,Delivery[Delivery ID],Allocation!H:H))/Delivery[[#This Row],[Exchange rate for premiums VS USD]]</f>
        <v>0</v>
      </c>
      <c r="AM273" s="171">
        <f>Delivery[[#This Row],[Valor Prêmio Nespresso BEN por Kg (em US$)]]*60</f>
        <v>0</v>
      </c>
      <c r="AN273" s="171">
        <f>Delivery[[#This Row],[Valor Prêmio Nespresso BEN por saca (em US$)]]/1.3228/100</f>
        <v>0</v>
      </c>
      <c r="AO273" s="171">
        <f>SUMIF(Allocation[Delivery ID],Delivery[[#This Row],[Delivery ID]],Allocation[Quantity allocated])*16*1.3228*Delivery[[#This Row],[Exchange rate VS USD]]/60</f>
        <v>71.198387199999999</v>
      </c>
      <c r="AP273" s="171">
        <f>Delivery[[#This Row],[AAA Premium (total)]]</f>
        <v>70.08</v>
      </c>
      <c r="AQ273" s="171">
        <f>Delivery[[#This Row],[Valor pago pelo Cluster]]-Delivery[[#This Row],[Valor efetivamente pago pela Nespresso]]</f>
        <v>-1.1183872000000008</v>
      </c>
    </row>
    <row r="274" spans="1:43" ht="15.75">
      <c r="A274" s="174" t="s">
        <v>69</v>
      </c>
      <c r="B274" s="232" t="s">
        <v>68</v>
      </c>
      <c r="C274" s="157">
        <v>1</v>
      </c>
      <c r="D274" s="157" t="s">
        <v>468</v>
      </c>
      <c r="E274" s="177" t="s">
        <v>468</v>
      </c>
      <c r="F274" s="233" t="s">
        <v>543</v>
      </c>
      <c r="G274" s="234">
        <v>43363</v>
      </c>
      <c r="H274" s="157" t="s">
        <v>1504</v>
      </c>
      <c r="I274" s="236" t="s">
        <v>1502</v>
      </c>
      <c r="J274" s="237">
        <v>13140</v>
      </c>
      <c r="K274" s="175" t="s">
        <v>472</v>
      </c>
      <c r="L274" s="175" t="s">
        <v>439</v>
      </c>
      <c r="M274" s="175" t="s">
        <v>1343</v>
      </c>
      <c r="N274" s="180"/>
      <c r="O274" s="177"/>
      <c r="P274" s="185">
        <v>0</v>
      </c>
      <c r="Q274" s="177">
        <v>43356</v>
      </c>
      <c r="R274" s="178">
        <v>422.60250000000002</v>
      </c>
      <c r="S274" s="179">
        <v>92623.86</v>
      </c>
      <c r="T274" s="182" t="s">
        <v>45</v>
      </c>
      <c r="U274" s="183">
        <v>4.2050000000000001</v>
      </c>
      <c r="V274" s="179">
        <v>9208.5120000000006</v>
      </c>
      <c r="W274" s="179">
        <v>0</v>
      </c>
      <c r="X274" s="186" t="s">
        <v>45</v>
      </c>
      <c r="Y274" s="183">
        <v>4.2050000000000001</v>
      </c>
      <c r="Z274" s="220"/>
      <c r="AA274" s="172">
        <f>Delivery[[#This Row],[Quantity delivered]]*VLOOKUP(Delivery[[#This Row],[Unit]],Tab_Conversão[],4,FALSE)*VLOOKUP(CONCATENATE(Delivery[[#This Row],[Coffee specie]],Delivery[[#This Row],[Coffee state]]),Tab_Conversão[],4,FALSE)</f>
        <v>13140</v>
      </c>
      <c r="AB274" s="169">
        <f>SUMIF(Allocation!C:C,Delivery[[#This Row],[Delivery ID]],Allocation!D:D)/Delivery[[#This Row],[Quantity delivered]]</f>
        <v>0.95509893455098938</v>
      </c>
      <c r="AC274" s="170">
        <f>Delivery[[#This Row],[Quantity delivered]]*Delivery[[#This Row],[Base price (Unidad)]]/60</f>
        <v>92549.947500000009</v>
      </c>
      <c r="AD274" s="171">
        <f>Delivery[[#This Row],[Nespresso total]]-Delivery[[#This Row],[Qt. Delivery * Base Price]]</f>
        <v>73.912499999991269</v>
      </c>
      <c r="AE274" s="171">
        <f>Delivery[[#This Row],[AAA Premium (total)]]/Delivery[[#This Row],[Quantity delivered]]*60/Delivery[[#This Row],[Exchange rate VS USD]]</f>
        <v>9.9995243757431638</v>
      </c>
      <c r="AF274" s="171">
        <f>Delivery[[#This Row],[BEN premium (total)]]/Delivery[[#This Row],[Quantity delivered]]*60/Delivery[[#This Row],[Exchange rate for premiums VS USD]]</f>
        <v>0</v>
      </c>
      <c r="AG274" s="171">
        <f>COUNTIF(Delivery[Delivery ID],Delivery[[#This Row],[Delivery ID]])</f>
        <v>1</v>
      </c>
      <c r="AH274" s="171">
        <f>(Delivery[[#This Row],[Nespresso total]]/SUMIF(Allocation!C:C,Delivery[Delivery ID],Allocation!H:H))/Delivery[[#This Row],[Exchange rate VS USD]]</f>
        <v>3.6565533348176853</v>
      </c>
      <c r="AI274" s="171">
        <f>(Delivery[[#This Row],[AAA Premium (total)]]/SUMIF(Allocation!C:C,Delivery[Delivery ID],Allocation!H:H))/Delivery[[#This Row],[Exchange rate VS USD]]</f>
        <v>0.36352852561217674</v>
      </c>
      <c r="AJ274" s="171">
        <f>Delivery[[#This Row],[Valor Prêmio Nespresso AAA por Kg (em US$)]]*60</f>
        <v>21.811711536730606</v>
      </c>
      <c r="AK274" s="171">
        <f>Delivery[[#This Row],[Valor Prêmio Nespresso AAA por saca (em US$)]]/1.3228/100</f>
        <v>0.16489047124834144</v>
      </c>
      <c r="AL274" s="171">
        <f>(Delivery[[#This Row],[BEN premium (total)]]/SUMIF(Allocation!C:C,Delivery[Delivery ID],Allocation!H:H))/Delivery[[#This Row],[Exchange rate for premiums VS USD]]</f>
        <v>0</v>
      </c>
      <c r="AM274" s="171">
        <f>Delivery[[#This Row],[Valor Prêmio Nespresso BEN por Kg (em US$)]]*60</f>
        <v>0</v>
      </c>
      <c r="AN274" s="171">
        <f>Delivery[[#This Row],[Valor Prêmio Nespresso BEN por saca (em US$)]]/1.3228/100</f>
        <v>0</v>
      </c>
      <c r="AO274" s="171">
        <f>SUMIF(Allocation[Delivery ID],Delivery[[#This Row],[Delivery ID]],Allocation[Quantity allocated])*16*1.3228*Delivery[[#This Row],[Exchange rate VS USD]]/60</f>
        <v>8935.3975936000006</v>
      </c>
      <c r="AP274" s="171">
        <f>Delivery[[#This Row],[AAA Premium (total)]]</f>
        <v>9208.5120000000006</v>
      </c>
      <c r="AQ274" s="171">
        <f>Delivery[[#This Row],[Valor pago pelo Cluster]]-Delivery[[#This Row],[Valor efetivamente pago pela Nespresso]]</f>
        <v>273.11440640000001</v>
      </c>
    </row>
    <row r="275" spans="1:43" ht="15.75">
      <c r="A275" s="174" t="s">
        <v>69</v>
      </c>
      <c r="B275" s="232" t="s">
        <v>68</v>
      </c>
      <c r="C275" s="157">
        <v>1</v>
      </c>
      <c r="D275" s="157" t="s">
        <v>468</v>
      </c>
      <c r="E275" s="177" t="s">
        <v>468</v>
      </c>
      <c r="F275" s="233" t="s">
        <v>543</v>
      </c>
      <c r="G275" s="234">
        <v>43363</v>
      </c>
      <c r="H275" s="157" t="s">
        <v>1505</v>
      </c>
      <c r="I275" s="236" t="s">
        <v>1502</v>
      </c>
      <c r="J275" s="237">
        <v>16670</v>
      </c>
      <c r="K275" s="175" t="s">
        <v>61</v>
      </c>
      <c r="L275" s="175" t="s">
        <v>439</v>
      </c>
      <c r="M275" s="175" t="s">
        <v>1343</v>
      </c>
      <c r="N275" s="180"/>
      <c r="O275" s="177"/>
      <c r="P275" s="185">
        <v>0</v>
      </c>
      <c r="Q275" s="177">
        <v>43356</v>
      </c>
      <c r="R275" s="178">
        <v>422.60250000000002</v>
      </c>
      <c r="S275" s="179">
        <v>117506.83</v>
      </c>
      <c r="T275" s="182" t="s">
        <v>45</v>
      </c>
      <c r="U275" s="183">
        <v>4.2050000000000001</v>
      </c>
      <c r="V275" s="179">
        <v>11682.335999999999</v>
      </c>
      <c r="W275" s="179">
        <v>0</v>
      </c>
      <c r="X275" s="186" t="s">
        <v>45</v>
      </c>
      <c r="Y275" s="183">
        <v>4.2050000000000001</v>
      </c>
      <c r="Z275" s="220"/>
      <c r="AA275" s="172">
        <f>Delivery[[#This Row],[Quantity delivered]]*VLOOKUP(Delivery[[#This Row],[Unit]],Tab_Conversão[],4,FALSE)*VLOOKUP(CONCATENATE(Delivery[[#This Row],[Coffee specie]],Delivery[[#This Row],[Coffee state]]),Tab_Conversão[],4,FALSE)</f>
        <v>16670</v>
      </c>
      <c r="AB275" s="169">
        <f>SUMIF(Allocation!C:C,Delivery[[#This Row],[Delivery ID]],Allocation!D:D)/Delivery[[#This Row],[Quantity delivered]]</f>
        <v>0.75710857828434308</v>
      </c>
      <c r="AC275" s="170">
        <f>Delivery[[#This Row],[Quantity delivered]]*Delivery[[#This Row],[Base price (Unidad)]]/60</f>
        <v>117413.06125000001</v>
      </c>
      <c r="AD275" s="171">
        <f>Delivery[[#This Row],[Nespresso total]]-Delivery[[#This Row],[Qt. Delivery * Base Price]]</f>
        <v>93.768749999988358</v>
      </c>
      <c r="AE275" s="171">
        <f>Delivery[[#This Row],[AAA Premium (total)]]/Delivery[[#This Row],[Quantity delivered]]*60/Delivery[[#This Row],[Exchange rate VS USD]]</f>
        <v>9.9995243757431638</v>
      </c>
      <c r="AF275" s="171">
        <f>Delivery[[#This Row],[BEN premium (total)]]/Delivery[[#This Row],[Quantity delivered]]*60/Delivery[[#This Row],[Exchange rate for premiums VS USD]]</f>
        <v>0</v>
      </c>
      <c r="AG275" s="171">
        <f>COUNTIF(Delivery[Delivery ID],Delivery[[#This Row],[Delivery ID]])</f>
        <v>1</v>
      </c>
      <c r="AH275" s="171">
        <f>(Delivery[[#This Row],[Nespresso total]]/SUMIF(Allocation!C:C,Delivery[Delivery ID],Allocation!H:H))/Delivery[[#This Row],[Exchange rate VS USD]]</f>
        <v>4.6128341607818832</v>
      </c>
      <c r="AI275" s="171">
        <f>(Delivery[[#This Row],[AAA Premium (total)]]/SUMIF(Allocation!C:C,Delivery[Delivery ID],Allocation!H:H))/Delivery[[#This Row],[Exchange rate VS USD]]</f>
        <v>0.45860039436458266</v>
      </c>
      <c r="AJ275" s="171">
        <f>Delivery[[#This Row],[Valor Prêmio Nespresso AAA por Kg (em US$)]]*60</f>
        <v>27.516023661874961</v>
      </c>
      <c r="AK275" s="171">
        <f>Delivery[[#This Row],[Valor Prêmio Nespresso AAA por saca (em US$)]]/1.3228/100</f>
        <v>0.20801348398756395</v>
      </c>
      <c r="AL275" s="171">
        <f>(Delivery[[#This Row],[BEN premium (total)]]/SUMIF(Allocation!C:C,Delivery[Delivery ID],Allocation!H:H))/Delivery[[#This Row],[Exchange rate for premiums VS USD]]</f>
        <v>0</v>
      </c>
      <c r="AM275" s="171">
        <f>Delivery[[#This Row],[Valor Prêmio Nespresso BEN por Kg (em US$)]]*60</f>
        <v>0</v>
      </c>
      <c r="AN275" s="171">
        <f>Delivery[[#This Row],[Valor Prêmio Nespresso BEN por saca (em US$)]]/1.3228/100</f>
        <v>0</v>
      </c>
      <c r="AO275" s="171">
        <f>SUMIF(Allocation[Delivery ID],Delivery[[#This Row],[Delivery ID]],Allocation[Quantity allocated])*16*1.3228*Delivery[[#This Row],[Exchange rate VS USD]]/60</f>
        <v>8985.8297845333327</v>
      </c>
      <c r="AP275" s="171">
        <f>Delivery[[#This Row],[AAA Premium (total)]]</f>
        <v>11682.335999999999</v>
      </c>
      <c r="AQ275" s="171">
        <f>Delivery[[#This Row],[Valor pago pelo Cluster]]-Delivery[[#This Row],[Valor efetivamente pago pela Nespresso]]</f>
        <v>2696.5062154666666</v>
      </c>
    </row>
    <row r="276" spans="1:43" ht="15.75">
      <c r="A276" s="174" t="s">
        <v>69</v>
      </c>
      <c r="B276" s="232" t="s">
        <v>68</v>
      </c>
      <c r="C276" s="157">
        <v>1</v>
      </c>
      <c r="D276" s="157" t="s">
        <v>468</v>
      </c>
      <c r="E276" s="177" t="s">
        <v>468</v>
      </c>
      <c r="F276" s="233" t="s">
        <v>543</v>
      </c>
      <c r="G276" s="234">
        <v>43363</v>
      </c>
      <c r="H276" s="157" t="s">
        <v>1506</v>
      </c>
      <c r="I276" s="236" t="s">
        <v>1502</v>
      </c>
      <c r="J276" s="237">
        <v>17910</v>
      </c>
      <c r="K276" s="175" t="s">
        <v>61</v>
      </c>
      <c r="L276" s="175" t="s">
        <v>439</v>
      </c>
      <c r="M276" s="175" t="s">
        <v>1343</v>
      </c>
      <c r="N276" s="180"/>
      <c r="O276" s="177"/>
      <c r="P276" s="185">
        <v>0</v>
      </c>
      <c r="Q276" s="177">
        <v>43356</v>
      </c>
      <c r="R276" s="178">
        <v>422.60250000000002</v>
      </c>
      <c r="S276" s="179">
        <v>126247.59000000001</v>
      </c>
      <c r="T276" s="182" t="s">
        <v>45</v>
      </c>
      <c r="U276" s="183">
        <v>4.2050000000000001</v>
      </c>
      <c r="V276" s="179">
        <v>12551.328</v>
      </c>
      <c r="W276" s="179">
        <v>0</v>
      </c>
      <c r="X276" s="186" t="s">
        <v>45</v>
      </c>
      <c r="Y276" s="183">
        <v>4.2050000000000001</v>
      </c>
      <c r="Z276" s="220"/>
      <c r="AA276" s="172">
        <f>Delivery[[#This Row],[Quantity delivered]]*VLOOKUP(Delivery[[#This Row],[Unit]],Tab_Conversão[],4,FALSE)*VLOOKUP(CONCATENATE(Delivery[[#This Row],[Coffee specie]],Delivery[[#This Row],[Coffee state]]),Tab_Conversão[],4,FALSE)</f>
        <v>17910</v>
      </c>
      <c r="AB276" s="169">
        <f>SUMIF(Allocation!C:C,Delivery[[#This Row],[Delivery ID]],Allocation!D:D)/Delivery[[#This Row],[Quantity delivered]]</f>
        <v>0.71367950865438301</v>
      </c>
      <c r="AC276" s="170">
        <f>Delivery[[#This Row],[Quantity delivered]]*Delivery[[#This Row],[Base price (Unidad)]]/60</f>
        <v>126146.84625</v>
      </c>
      <c r="AD276" s="171">
        <f>Delivery[[#This Row],[Nespresso total]]-Delivery[[#This Row],[Qt. Delivery * Base Price]]</f>
        <v>100.74375000000873</v>
      </c>
      <c r="AE276" s="171">
        <f>Delivery[[#This Row],[AAA Premium (total)]]/Delivery[[#This Row],[Quantity delivered]]*60/Delivery[[#This Row],[Exchange rate VS USD]]</f>
        <v>9.9995243757431638</v>
      </c>
      <c r="AF276" s="171">
        <f>Delivery[[#This Row],[BEN premium (total)]]/Delivery[[#This Row],[Quantity delivered]]*60/Delivery[[#This Row],[Exchange rate for premiums VS USD]]</f>
        <v>0</v>
      </c>
      <c r="AG276" s="171">
        <f>COUNTIF(Delivery[Delivery ID],Delivery[[#This Row],[Delivery ID]])</f>
        <v>1</v>
      </c>
      <c r="AH276" s="171">
        <f>(Delivery[[#This Row],[Nespresso total]]/SUMIF(Allocation!C:C,Delivery[Delivery ID],Allocation!H:H))/Delivery[[#This Row],[Exchange rate VS USD]]</f>
        <v>4.8937584491625703</v>
      </c>
      <c r="AI276" s="171">
        <f>(Delivery[[#This Row],[AAA Premium (total)]]/SUMIF(Allocation!C:C,Delivery[Delivery ID],Allocation!H:H))/Delivery[[#This Row],[Exchange rate VS USD]]</f>
        <v>0.48652942561684331</v>
      </c>
      <c r="AJ276" s="171">
        <f>Delivery[[#This Row],[Valor Prêmio Nespresso AAA por Kg (em US$)]]*60</f>
        <v>29.1917655370106</v>
      </c>
      <c r="AK276" s="171">
        <f>Delivery[[#This Row],[Valor Prêmio Nespresso AAA por saca (em US$)]]/1.3228/100</f>
        <v>0.22068162637594951</v>
      </c>
      <c r="AL276" s="171">
        <f>(Delivery[[#This Row],[BEN premium (total)]]/SUMIF(Allocation!C:C,Delivery[Delivery ID],Allocation!H:H))/Delivery[[#This Row],[Exchange rate for premiums VS USD]]</f>
        <v>0</v>
      </c>
      <c r="AM276" s="171">
        <f>Delivery[[#This Row],[Valor Prêmio Nespresso BEN por Kg (em US$)]]*60</f>
        <v>0</v>
      </c>
      <c r="AN276" s="171">
        <f>Delivery[[#This Row],[Valor Prêmio Nespresso BEN por saca (em US$)]]/1.3228/100</f>
        <v>0</v>
      </c>
      <c r="AO276" s="171">
        <f>SUMIF(Allocation[Delivery ID],Delivery[[#This Row],[Delivery ID]],Allocation[Quantity allocated])*16*1.3228*Delivery[[#This Row],[Exchange rate VS USD]]/60</f>
        <v>9100.0438640000011</v>
      </c>
      <c r="AP276" s="171">
        <f>Delivery[[#This Row],[AAA Premium (total)]]</f>
        <v>12551.328</v>
      </c>
      <c r="AQ276" s="171">
        <f>Delivery[[#This Row],[Valor pago pelo Cluster]]-Delivery[[#This Row],[Valor efetivamente pago pela Nespresso]]</f>
        <v>3451.2841359999984</v>
      </c>
    </row>
    <row r="277" spans="1:43" ht="15.75">
      <c r="A277" s="174" t="s">
        <v>69</v>
      </c>
      <c r="B277" s="232" t="s">
        <v>68</v>
      </c>
      <c r="C277" s="157">
        <v>1</v>
      </c>
      <c r="D277" s="157" t="s">
        <v>468</v>
      </c>
      <c r="E277" s="177" t="s">
        <v>468</v>
      </c>
      <c r="F277" s="233" t="s">
        <v>543</v>
      </c>
      <c r="G277" s="234">
        <v>43363</v>
      </c>
      <c r="H277" s="157" t="s">
        <v>1507</v>
      </c>
      <c r="I277" s="236" t="s">
        <v>1502</v>
      </c>
      <c r="J277" s="237">
        <v>10340</v>
      </c>
      <c r="K277" s="175" t="s">
        <v>61</v>
      </c>
      <c r="L277" s="175" t="s">
        <v>439</v>
      </c>
      <c r="M277" s="175" t="s">
        <v>1343</v>
      </c>
      <c r="N277" s="180"/>
      <c r="O277" s="177"/>
      <c r="P277" s="185">
        <v>0</v>
      </c>
      <c r="Q277" s="177">
        <v>43356</v>
      </c>
      <c r="R277" s="178">
        <v>422.60250000000002</v>
      </c>
      <c r="S277" s="179">
        <v>72886.66</v>
      </c>
      <c r="T277" s="182" t="s">
        <v>45</v>
      </c>
      <c r="U277" s="183">
        <v>4.2050000000000001</v>
      </c>
      <c r="V277" s="179">
        <v>7246.2719999999999</v>
      </c>
      <c r="W277" s="179">
        <v>0</v>
      </c>
      <c r="X277" s="186" t="s">
        <v>45</v>
      </c>
      <c r="Y277" s="183">
        <v>4.2050000000000001</v>
      </c>
      <c r="Z277" s="220"/>
      <c r="AA277" s="172">
        <f>Delivery[[#This Row],[Quantity delivered]]*VLOOKUP(Delivery[[#This Row],[Unit]],Tab_Conversão[],4,FALSE)*VLOOKUP(CONCATENATE(Delivery[[#This Row],[Coffee specie]],Delivery[[#This Row],[Coffee state]]),Tab_Conversão[],4,FALSE)</f>
        <v>10340</v>
      </c>
      <c r="AB277" s="169">
        <f>SUMIF(Allocation!C:C,Delivery[[#This Row],[Delivery ID]],Allocation!D:D)/Delivery[[#This Row],[Quantity delivered]]</f>
        <v>0.7147001934235977</v>
      </c>
      <c r="AC277" s="170">
        <f>Delivery[[#This Row],[Quantity delivered]]*Delivery[[#This Row],[Base price (Unidad)]]/60</f>
        <v>72828.497500000012</v>
      </c>
      <c r="AD277" s="171">
        <f>Delivery[[#This Row],[Nespresso total]]-Delivery[[#This Row],[Qt. Delivery * Base Price]]</f>
        <v>58.162499999991269</v>
      </c>
      <c r="AE277" s="171">
        <f>Delivery[[#This Row],[AAA Premium (total)]]/Delivery[[#This Row],[Quantity delivered]]*60/Delivery[[#This Row],[Exchange rate VS USD]]</f>
        <v>9.9995243757431638</v>
      </c>
      <c r="AF277" s="171">
        <f>Delivery[[#This Row],[BEN premium (total)]]/Delivery[[#This Row],[Quantity delivered]]*60/Delivery[[#This Row],[Exchange rate for premiums VS USD]]</f>
        <v>0</v>
      </c>
      <c r="AG277" s="171">
        <f>COUNTIF(Delivery[Delivery ID],Delivery[[#This Row],[Delivery ID]])</f>
        <v>1</v>
      </c>
      <c r="AH277" s="171">
        <f>(Delivery[[#This Row],[Nespresso total]]/SUMIF(Allocation!C:C,Delivery[Delivery ID],Allocation!H:H))/Delivery[[#This Row],[Exchange rate VS USD]]</f>
        <v>4.8867583163008579</v>
      </c>
      <c r="AI277" s="171">
        <f>(Delivery[[#This Row],[AAA Premium (total)]]/SUMIF(Allocation!C:C,Delivery[Delivery ID],Allocation!H:H))/Delivery[[#This Row],[Exchange rate VS USD]]</f>
        <v>0.48583348390745373</v>
      </c>
      <c r="AJ277" s="171">
        <f>Delivery[[#This Row],[Valor Prêmio Nespresso AAA por Kg (em US$)]]*60</f>
        <v>29.150009034447223</v>
      </c>
      <c r="AK277" s="171">
        <f>Delivery[[#This Row],[Valor Prêmio Nespresso AAA por saca (em US$)]]/1.3228/100</f>
        <v>0.22036595883313595</v>
      </c>
      <c r="AL277" s="171">
        <f>(Delivery[[#This Row],[BEN premium (total)]]/SUMIF(Allocation!C:C,Delivery[Delivery ID],Allocation!H:H))/Delivery[[#This Row],[Exchange rate for premiums VS USD]]</f>
        <v>0</v>
      </c>
      <c r="AM277" s="171">
        <f>Delivery[[#This Row],[Valor Prêmio Nespresso BEN por Kg (em US$)]]*60</f>
        <v>0</v>
      </c>
      <c r="AN277" s="171">
        <f>Delivery[[#This Row],[Valor Prêmio Nespresso BEN por saca (em US$)]]/1.3228/100</f>
        <v>0</v>
      </c>
      <c r="AO277" s="171">
        <f>SUMIF(Allocation[Delivery ID],Delivery[[#This Row],[Delivery ID]],Allocation[Quantity allocated])*16*1.3228*Delivery[[#This Row],[Exchange rate VS USD]]/60</f>
        <v>5261.2641541333332</v>
      </c>
      <c r="AP277" s="171">
        <f>Delivery[[#This Row],[AAA Premium (total)]]</f>
        <v>7246.2719999999999</v>
      </c>
      <c r="AQ277" s="171">
        <f>Delivery[[#This Row],[Valor pago pelo Cluster]]-Delivery[[#This Row],[Valor efetivamente pago pela Nespresso]]</f>
        <v>1985.0078458666667</v>
      </c>
    </row>
    <row r="278" spans="1:43" ht="15.75">
      <c r="A278" s="174" t="s">
        <v>69</v>
      </c>
      <c r="B278" s="232" t="s">
        <v>68</v>
      </c>
      <c r="C278" s="157">
        <v>1</v>
      </c>
      <c r="D278" s="157" t="s">
        <v>468</v>
      </c>
      <c r="E278" s="177" t="s">
        <v>468</v>
      </c>
      <c r="F278" s="233" t="s">
        <v>543</v>
      </c>
      <c r="G278" s="234">
        <v>43363</v>
      </c>
      <c r="H278" s="157" t="s">
        <v>1508</v>
      </c>
      <c r="I278" s="236" t="s">
        <v>1502</v>
      </c>
      <c r="J278" s="237">
        <v>2440</v>
      </c>
      <c r="K278" s="175" t="s">
        <v>61</v>
      </c>
      <c r="L278" s="175" t="s">
        <v>439</v>
      </c>
      <c r="M278" s="175" t="s">
        <v>1343</v>
      </c>
      <c r="N278" s="180"/>
      <c r="O278" s="177"/>
      <c r="P278" s="181">
        <v>0</v>
      </c>
      <c r="Q278" s="177">
        <v>43356</v>
      </c>
      <c r="R278" s="178">
        <v>422.60250000000002</v>
      </c>
      <c r="S278" s="179">
        <v>17199.560000000001</v>
      </c>
      <c r="T278" s="182" t="s">
        <v>45</v>
      </c>
      <c r="U278" s="183">
        <v>4.2050000000000001</v>
      </c>
      <c r="V278" s="179">
        <v>1709.952</v>
      </c>
      <c r="W278" s="179">
        <v>0</v>
      </c>
      <c r="X278" s="184" t="s">
        <v>45</v>
      </c>
      <c r="Y278" s="183">
        <v>4.2050000000000001</v>
      </c>
      <c r="Z278" s="220"/>
      <c r="AA278" s="172">
        <f>Delivery[[#This Row],[Quantity delivered]]*VLOOKUP(Delivery[[#This Row],[Unit]],Tab_Conversão[],4,FALSE)*VLOOKUP(CONCATENATE(Delivery[[#This Row],[Coffee specie]],Delivery[[#This Row],[Coffee state]]),Tab_Conversão[],4,FALSE)</f>
        <v>2440</v>
      </c>
      <c r="AB278" s="169">
        <f>SUMIF(Allocation!C:C,Delivery[[#This Row],[Delivery ID]],Allocation!D:D)/Delivery[[#This Row],[Quantity delivered]]</f>
        <v>0.70450819672131149</v>
      </c>
      <c r="AC278" s="170">
        <f>Delivery[[#This Row],[Quantity delivered]]*Delivery[[#This Row],[Base price (Unidad)]]/60</f>
        <v>17185.835000000003</v>
      </c>
      <c r="AD278" s="171">
        <f>Delivery[[#This Row],[Nespresso total]]-Delivery[[#This Row],[Qt. Delivery * Base Price]]</f>
        <v>13.724999999998545</v>
      </c>
      <c r="AE278" s="171">
        <f>Delivery[[#This Row],[AAA Premium (total)]]/Delivery[[#This Row],[Quantity delivered]]*60/Delivery[[#This Row],[Exchange rate VS USD]]</f>
        <v>9.9995243757431638</v>
      </c>
      <c r="AF278" s="171">
        <f>Delivery[[#This Row],[BEN premium (total)]]/Delivery[[#This Row],[Quantity delivered]]*60/Delivery[[#This Row],[Exchange rate for premiums VS USD]]</f>
        <v>0</v>
      </c>
      <c r="AG278" s="171">
        <f>COUNTIF(Delivery[Delivery ID],Delivery[[#This Row],[Delivery ID]])</f>
        <v>1</v>
      </c>
      <c r="AH278" s="171">
        <f>(Delivery[[#This Row],[Nespresso total]]/SUMIF(Allocation!C:C,Delivery[Delivery ID],Allocation!H:H))/Delivery[[#This Row],[Exchange rate VS USD]]</f>
        <v>4.9578957229849028</v>
      </c>
      <c r="AI278" s="171">
        <f>(Delivery[[#This Row],[AAA Premium (total)]]/SUMIF(Allocation!C:C,Delivery[Delivery ID],Allocation!H:H))/Delivery[[#This Row],[Exchange rate VS USD]]</f>
        <v>0.49290584801643061</v>
      </c>
      <c r="AJ278" s="171">
        <f>Delivery[[#This Row],[Valor Prêmio Nespresso AAA por Kg (em US$)]]*60</f>
        <v>29.574350880985836</v>
      </c>
      <c r="AK278" s="171">
        <f>Delivery[[#This Row],[Valor Prêmio Nespresso AAA por saca (em US$)]]/1.3228/100</f>
        <v>0.22357386514201569</v>
      </c>
      <c r="AL278" s="171">
        <f>(Delivery[[#This Row],[BEN premium (total)]]/SUMIF(Allocation!C:C,Delivery[Delivery ID],Allocation!H:H))/Delivery[[#This Row],[Exchange rate for premiums VS USD]]</f>
        <v>0</v>
      </c>
      <c r="AM278" s="171">
        <f>Delivery[[#This Row],[Valor Prêmio Nespresso BEN por Kg (em US$)]]*60</f>
        <v>0</v>
      </c>
      <c r="AN278" s="171">
        <f>Delivery[[#This Row],[Valor Prêmio Nespresso BEN por saca (em US$)]]/1.3228/100</f>
        <v>0</v>
      </c>
      <c r="AO278" s="171">
        <f>SUMIF(Allocation[Delivery ID],Delivery[[#This Row],[Delivery ID]],Allocation[Quantity allocated])*16*1.3228*Delivery[[#This Row],[Exchange rate VS USD]]/60</f>
        <v>1223.7222800000002</v>
      </c>
      <c r="AP278" s="171">
        <f>Delivery[[#This Row],[AAA Premium (total)]]</f>
        <v>1709.952</v>
      </c>
      <c r="AQ278" s="171">
        <f>Delivery[[#This Row],[Valor pago pelo Cluster]]-Delivery[[#This Row],[Valor efetivamente pago pela Nespresso]]</f>
        <v>486.22971999999982</v>
      </c>
    </row>
    <row r="279" spans="1:43" ht="15.75">
      <c r="A279" s="174" t="s">
        <v>69</v>
      </c>
      <c r="B279" s="232" t="s">
        <v>68</v>
      </c>
      <c r="C279" s="157">
        <v>1</v>
      </c>
      <c r="D279" s="157" t="s">
        <v>468</v>
      </c>
      <c r="E279" s="177" t="s">
        <v>468</v>
      </c>
      <c r="F279" s="233" t="s">
        <v>543</v>
      </c>
      <c r="G279" s="234">
        <v>43363</v>
      </c>
      <c r="H279" s="157" t="s">
        <v>1509</v>
      </c>
      <c r="I279" s="236" t="s">
        <v>1502</v>
      </c>
      <c r="J279" s="237">
        <v>6660</v>
      </c>
      <c r="K279" s="175" t="s">
        <v>61</v>
      </c>
      <c r="L279" s="175" t="s">
        <v>439</v>
      </c>
      <c r="M279" s="175" t="s">
        <v>1343</v>
      </c>
      <c r="N279" s="180"/>
      <c r="O279" s="177"/>
      <c r="P279" s="181">
        <v>0</v>
      </c>
      <c r="Q279" s="177">
        <v>43356</v>
      </c>
      <c r="R279" s="178">
        <v>422.60250000000002</v>
      </c>
      <c r="S279" s="179">
        <v>46946.340000000004</v>
      </c>
      <c r="T279" s="182" t="s">
        <v>45</v>
      </c>
      <c r="U279" s="183">
        <v>4.2050000000000001</v>
      </c>
      <c r="V279" s="179">
        <v>4667.3279999999995</v>
      </c>
      <c r="W279" s="179">
        <v>0</v>
      </c>
      <c r="X279" s="184" t="s">
        <v>45</v>
      </c>
      <c r="Y279" s="183">
        <v>4.2050000000000001</v>
      </c>
      <c r="Z279" s="220"/>
      <c r="AA279" s="172">
        <f>Delivery[[#This Row],[Quantity delivered]]*VLOOKUP(Delivery[[#This Row],[Unit]],Tab_Conversão[],4,FALSE)*VLOOKUP(CONCATENATE(Delivery[[#This Row],[Coffee specie]],Delivery[[#This Row],[Coffee state]]),Tab_Conversão[],4,FALSE)</f>
        <v>6660</v>
      </c>
      <c r="AB279" s="169">
        <f>SUMIF(Allocation!C:C,Delivery[[#This Row],[Delivery ID]],Allocation!D:D)/Delivery[[#This Row],[Quantity delivered]]</f>
        <v>0.71576576576576578</v>
      </c>
      <c r="AC279" s="170">
        <f>Delivery[[#This Row],[Quantity delivered]]*Delivery[[#This Row],[Base price (Unidad)]]/60</f>
        <v>46908.877499999995</v>
      </c>
      <c r="AD279" s="171">
        <f>Delivery[[#This Row],[Nespresso total]]-Delivery[[#This Row],[Qt. Delivery * Base Price]]</f>
        <v>37.462500000008731</v>
      </c>
      <c r="AE279" s="171">
        <f>Delivery[[#This Row],[AAA Premium (total)]]/Delivery[[#This Row],[Quantity delivered]]*60/Delivery[[#This Row],[Exchange rate VS USD]]</f>
        <v>9.9995243757431638</v>
      </c>
      <c r="AF279" s="171">
        <f>Delivery[[#This Row],[BEN premium (total)]]/Delivery[[#This Row],[Quantity delivered]]*60/Delivery[[#This Row],[Exchange rate for premiums VS USD]]</f>
        <v>0</v>
      </c>
      <c r="AG279" s="171">
        <f>COUNTIF(Delivery[Delivery ID],Delivery[[#This Row],[Delivery ID]])</f>
        <v>1</v>
      </c>
      <c r="AH279" s="171">
        <f>(Delivery[[#This Row],[Nespresso total]]/SUMIF(Allocation!C:C,Delivery[Delivery ID],Allocation!H:H))/Delivery[[#This Row],[Exchange rate VS USD]]</f>
        <v>4.8795494042224128</v>
      </c>
      <c r="AI279" s="171">
        <f>(Delivery[[#This Row],[AAA Premium (total)]]/SUMIF(Allocation!C:C,Delivery[Delivery ID],Allocation!H:H))/Delivery[[#This Row],[Exchange rate VS USD]]</f>
        <v>0.48511678571131595</v>
      </c>
      <c r="AJ279" s="171">
        <f>Delivery[[#This Row],[Valor Prêmio Nespresso AAA por Kg (em US$)]]*60</f>
        <v>29.107007142678956</v>
      </c>
      <c r="AK279" s="171">
        <f>Delivery[[#This Row],[Valor Prêmio Nespresso AAA por saca (em US$)]]/1.3228/100</f>
        <v>0.22004087649439794</v>
      </c>
      <c r="AL279" s="171">
        <f>(Delivery[[#This Row],[BEN premium (total)]]/SUMIF(Allocation!C:C,Delivery[Delivery ID],Allocation!H:H))/Delivery[[#This Row],[Exchange rate for premiums VS USD]]</f>
        <v>0</v>
      </c>
      <c r="AM279" s="171">
        <f>Delivery[[#This Row],[Valor Prêmio Nespresso BEN por Kg (em US$)]]*60</f>
        <v>0</v>
      </c>
      <c r="AN279" s="171">
        <f>Delivery[[#This Row],[Valor Prêmio Nespresso BEN por saca (em US$)]]/1.3228/100</f>
        <v>0</v>
      </c>
      <c r="AO279" s="171">
        <f>SUMIF(Allocation[Delivery ID],Delivery[[#This Row],[Delivery ID]],Allocation[Quantity allocated])*16*1.3228*Delivery[[#This Row],[Exchange rate VS USD]]/60</f>
        <v>3393.7897898666665</v>
      </c>
      <c r="AP279" s="171">
        <f>Delivery[[#This Row],[AAA Premium (total)]]</f>
        <v>4667.3279999999995</v>
      </c>
      <c r="AQ279" s="171">
        <f>Delivery[[#This Row],[Valor pago pelo Cluster]]-Delivery[[#This Row],[Valor efetivamente pago pela Nespresso]]</f>
        <v>1273.538210133333</v>
      </c>
    </row>
    <row r="280" spans="1:43" ht="15.75">
      <c r="A280" s="174" t="s">
        <v>69</v>
      </c>
      <c r="B280" s="232" t="s">
        <v>68</v>
      </c>
      <c r="C280" s="157">
        <v>1</v>
      </c>
      <c r="D280" s="157" t="s">
        <v>468</v>
      </c>
      <c r="E280" s="177" t="s">
        <v>468</v>
      </c>
      <c r="F280" s="240" t="s">
        <v>543</v>
      </c>
      <c r="G280" s="234">
        <v>43363</v>
      </c>
      <c r="H280" s="157" t="s">
        <v>1993</v>
      </c>
      <c r="I280" s="236" t="s">
        <v>1994</v>
      </c>
      <c r="J280" s="237">
        <v>3270</v>
      </c>
      <c r="K280" s="175" t="s">
        <v>61</v>
      </c>
      <c r="L280" s="175" t="s">
        <v>439</v>
      </c>
      <c r="M280" s="175" t="s">
        <v>1343</v>
      </c>
      <c r="N280" s="180"/>
      <c r="O280" s="177"/>
      <c r="P280" s="181">
        <v>0</v>
      </c>
      <c r="Q280" s="177">
        <v>43355</v>
      </c>
      <c r="R280" s="178">
        <v>424.26592500000004</v>
      </c>
      <c r="S280" s="179">
        <v>24354.332578003006</v>
      </c>
      <c r="T280" s="182" t="s">
        <v>45</v>
      </c>
      <c r="U280" s="183">
        <v>4.1493000000000002</v>
      </c>
      <c r="V280" s="179">
        <v>1582.9579500000002</v>
      </c>
      <c r="W280" s="179">
        <v>494.94242199698999</v>
      </c>
      <c r="X280" s="184" t="s">
        <v>45</v>
      </c>
      <c r="Y280" s="183">
        <v>4.1493000000000002</v>
      </c>
      <c r="Z280" s="220" t="s">
        <v>473</v>
      </c>
      <c r="AA280" s="172">
        <f>Delivery[[#This Row],[Quantity delivered]]*VLOOKUP(Delivery[[#This Row],[Unit]],Tab_Conversão[],4,FALSE)*VLOOKUP(CONCATENATE(Delivery[[#This Row],[Coffee specie]],Delivery[[#This Row],[Coffee state]]),Tab_Conversão[],4,FALSE)</f>
        <v>3270</v>
      </c>
      <c r="AB280" s="169">
        <f>SUMIF(Allocation!C:C,Delivery[[#This Row],[Delivery ID]],Allocation!D:D)/Delivery[[#This Row],[Quantity delivered]]</f>
        <v>1</v>
      </c>
      <c r="AC280" s="170">
        <f>Delivery[[#This Row],[Quantity delivered]]*Delivery[[#This Row],[Base price (Unidad)]]/60</f>
        <v>23122.492912500002</v>
      </c>
      <c r="AD280" s="171">
        <f>Delivery[[#This Row],[Nespresso total]]-Delivery[[#This Row],[Qt. Delivery * Base Price]]</f>
        <v>1231.8396655030047</v>
      </c>
      <c r="AE280" s="171">
        <f>Delivery[[#This Row],[AAA Premium (total)]]/Delivery[[#This Row],[Quantity delivered]]*60/Delivery[[#This Row],[Exchange rate VS USD]]</f>
        <v>7</v>
      </c>
      <c r="AF280" s="171">
        <f>Delivery[[#This Row],[BEN premium (total)]]/Delivery[[#This Row],[Quantity delivered]]*60/Delivery[[#This Row],[Exchange rate for premiums VS USD]]</f>
        <v>2.1886853999999998</v>
      </c>
      <c r="AG280" s="171">
        <f>COUNTIF(Delivery[Delivery ID],Delivery[[#This Row],[Delivery ID]])</f>
        <v>1</v>
      </c>
      <c r="AH280" s="171">
        <f>(Delivery[[#This Row],[Nespresso total]]/SUMIF(Allocation!C:C,Delivery[Delivery ID],Allocation!H:H))/Delivery[[#This Row],[Exchange rate VS USD]]</f>
        <v>5.3700859204225617</v>
      </c>
      <c r="AI280" s="171">
        <f>(Delivery[[#This Row],[AAA Premium (total)]]/SUMIF(Allocation!C:C,Delivery[Delivery ID],Allocation!H:H))/Delivery[[#This Row],[Exchange rate VS USD]]</f>
        <v>0.34903934126258007</v>
      </c>
      <c r="AJ280" s="171">
        <f>Delivery[[#This Row],[Valor Prêmio Nespresso AAA por Kg (em US$)]]*60</f>
        <v>20.942360475754803</v>
      </c>
      <c r="AK280" s="171">
        <f>Delivery[[#This Row],[Valor Prêmio Nespresso AAA por saca (em US$)]]/1.3228/100</f>
        <v>0.15831841907888422</v>
      </c>
      <c r="AL280" s="171">
        <f>(Delivery[[#This Row],[BEN premium (total)]]/SUMIF(Allocation!C:C,Delivery[Delivery ID],Allocation!H:H))/Delivery[[#This Row],[Exchange rate for premiums VS USD]]</f>
        <v>0.10913390146386093</v>
      </c>
      <c r="AM280" s="171">
        <f>Delivery[[#This Row],[Valor Prêmio Nespresso BEN por Kg (em US$)]]*60</f>
        <v>6.5480340878316561</v>
      </c>
      <c r="AN280" s="171">
        <f>Delivery[[#This Row],[Valor Prêmio Nespresso BEN por saca (em US$)]]/1.3228/100</f>
        <v>4.9501316055576478E-2</v>
      </c>
      <c r="AO280" s="171">
        <f>SUMIF(Allocation[Delivery ID],Delivery[[#This Row],[Delivery ID]],Allocation[Quantity allocated])*16*1.3228*Delivery[[#This Row],[Exchange rate VS USD]]/60</f>
        <v>1599.771356192</v>
      </c>
      <c r="AP280" s="171">
        <f>Delivery[[#This Row],[AAA Premium (total)]]</f>
        <v>1582.9579500000002</v>
      </c>
      <c r="AQ280" s="171">
        <f>Delivery[[#This Row],[Valor pago pelo Cluster]]-Delivery[[#This Row],[Valor efetivamente pago pela Nespresso]]</f>
        <v>-16.813406191999775</v>
      </c>
    </row>
    <row r="281" spans="1:43" ht="15.75">
      <c r="A281" s="174" t="s">
        <v>69</v>
      </c>
      <c r="B281" s="232" t="s">
        <v>68</v>
      </c>
      <c r="C281" s="157">
        <v>1</v>
      </c>
      <c r="D281" s="157" t="s">
        <v>468</v>
      </c>
      <c r="E281" s="177" t="s">
        <v>468</v>
      </c>
      <c r="F281" s="240" t="s">
        <v>543</v>
      </c>
      <c r="G281" s="234">
        <v>43363</v>
      </c>
      <c r="H281" s="157" t="s">
        <v>1995</v>
      </c>
      <c r="I281" s="236" t="s">
        <v>1994</v>
      </c>
      <c r="J281" s="237">
        <v>7750</v>
      </c>
      <c r="K281" s="175" t="s">
        <v>61</v>
      </c>
      <c r="L281" s="175" t="s">
        <v>439</v>
      </c>
      <c r="M281" s="175" t="s">
        <v>1343</v>
      </c>
      <c r="N281" s="180"/>
      <c r="O281" s="177"/>
      <c r="P281" s="181">
        <v>0</v>
      </c>
      <c r="Q281" s="177">
        <v>43355</v>
      </c>
      <c r="R281" s="178">
        <v>424.26592500000004</v>
      </c>
      <c r="S281" s="179">
        <v>57720.512990679912</v>
      </c>
      <c r="T281" s="182" t="s">
        <v>45</v>
      </c>
      <c r="U281" s="183">
        <v>4.1493000000000002</v>
      </c>
      <c r="V281" s="179">
        <v>3751.6587500000005</v>
      </c>
      <c r="W281" s="179">
        <v>1173.0286759867499</v>
      </c>
      <c r="X281" s="184" t="s">
        <v>45</v>
      </c>
      <c r="Y281" s="183">
        <v>4.1493000000000002</v>
      </c>
      <c r="Z281" s="220" t="s">
        <v>473</v>
      </c>
      <c r="AA281" s="172">
        <f>Delivery[[#This Row],[Quantity delivered]]*VLOOKUP(Delivery[[#This Row],[Unit]],Tab_Conversão[],4,FALSE)*VLOOKUP(CONCATENATE(Delivery[[#This Row],[Coffee specie]],Delivery[[#This Row],[Coffee state]]),Tab_Conversão[],4,FALSE)</f>
        <v>7750</v>
      </c>
      <c r="AB281" s="169">
        <f>SUMIF(Allocation!C:C,Delivery[[#This Row],[Delivery ID]],Allocation!D:D)/Delivery[[#This Row],[Quantity delivered]]</f>
        <v>1</v>
      </c>
      <c r="AC281" s="170">
        <f>Delivery[[#This Row],[Quantity delivered]]*Delivery[[#This Row],[Base price (Unidad)]]/60</f>
        <v>54801.0153125</v>
      </c>
      <c r="AD281" s="171">
        <f>Delivery[[#This Row],[Nespresso total]]-Delivery[[#This Row],[Qt. Delivery * Base Price]]</f>
        <v>2919.4976781799123</v>
      </c>
      <c r="AE281" s="171">
        <f>Delivery[[#This Row],[AAA Premium (total)]]/Delivery[[#This Row],[Quantity delivered]]*60/Delivery[[#This Row],[Exchange rate VS USD]]</f>
        <v>7</v>
      </c>
      <c r="AF281" s="171">
        <f>Delivery[[#This Row],[BEN premium (total)]]/Delivery[[#This Row],[Quantity delivered]]*60/Delivery[[#This Row],[Exchange rate for premiums VS USD]]</f>
        <v>2.1886853999999998</v>
      </c>
      <c r="AG281" s="171">
        <f>COUNTIF(Delivery[Delivery ID],Delivery[[#This Row],[Delivery ID]])</f>
        <v>1</v>
      </c>
      <c r="AH281" s="171">
        <f>(Delivery[[#This Row],[Nespresso total]]/SUMIF(Allocation!C:C,Delivery[Delivery ID],Allocation!H:H))/Delivery[[#This Row],[Exchange rate VS USD]]</f>
        <v>5.3565282112646351</v>
      </c>
      <c r="AI281" s="171">
        <f>(Delivery[[#This Row],[AAA Premium (total)]]/SUMIF(Allocation!C:C,Delivery[Delivery ID],Allocation!H:H))/Delivery[[#This Row],[Exchange rate VS USD]]</f>
        <v>0.34815813117699912</v>
      </c>
      <c r="AJ281" s="171">
        <f>Delivery[[#This Row],[Valor Prêmio Nespresso AAA por Kg (em US$)]]*60</f>
        <v>20.889487870619948</v>
      </c>
      <c r="AK281" s="171">
        <f>Delivery[[#This Row],[Valor Prêmio Nespresso AAA por saca (em US$)]]/1.3228/100</f>
        <v>0.15791871689310516</v>
      </c>
      <c r="AL281" s="171">
        <f>(Delivery[[#This Row],[BEN premium (total)]]/SUMIF(Allocation!C:C,Delivery[Delivery ID],Allocation!H:H))/Delivery[[#This Row],[Exchange rate for premiums VS USD]]</f>
        <v>0.10885837408548323</v>
      </c>
      <c r="AM281" s="171">
        <f>Delivery[[#This Row],[Valor Prêmio Nespresso BEN por Kg (em US$)]]*60</f>
        <v>6.5315024451289938</v>
      </c>
      <c r="AN281" s="171">
        <f>Delivery[[#This Row],[Valor Prêmio Nespresso BEN por saca (em US$)]]/1.3228/100</f>
        <v>4.9376341435810357E-2</v>
      </c>
      <c r="AO281" s="171">
        <f>SUMIF(Allocation[Delivery ID],Delivery[[#This Row],[Delivery ID]],Allocation[Quantity allocated])*16*1.3228*Delivery[[#This Row],[Exchange rate VS USD]]/60</f>
        <v>3801.1035791680001</v>
      </c>
      <c r="AP281" s="171">
        <f>Delivery[[#This Row],[AAA Premium (total)]]</f>
        <v>3751.6587500000005</v>
      </c>
      <c r="AQ281" s="171">
        <f>Delivery[[#This Row],[Valor pago pelo Cluster]]-Delivery[[#This Row],[Valor efetivamente pago pela Nespresso]]</f>
        <v>-49.444829167999615</v>
      </c>
    </row>
    <row r="282" spans="1:43" ht="15.75">
      <c r="A282" s="174" t="s">
        <v>69</v>
      </c>
      <c r="B282" s="232" t="s">
        <v>68</v>
      </c>
      <c r="C282" s="157">
        <v>1</v>
      </c>
      <c r="D282" s="157" t="s">
        <v>468</v>
      </c>
      <c r="E282" s="177" t="s">
        <v>468</v>
      </c>
      <c r="F282" s="240" t="s">
        <v>543</v>
      </c>
      <c r="G282" s="234">
        <v>43363</v>
      </c>
      <c r="H282" s="157" t="s">
        <v>1996</v>
      </c>
      <c r="I282" s="236" t="s">
        <v>1994</v>
      </c>
      <c r="J282" s="237">
        <v>12680</v>
      </c>
      <c r="K282" s="175" t="s">
        <v>61</v>
      </c>
      <c r="L282" s="175" t="s">
        <v>439</v>
      </c>
      <c r="M282" s="175" t="s">
        <v>1343</v>
      </c>
      <c r="N282" s="180"/>
      <c r="O282" s="177"/>
      <c r="P282" s="181">
        <v>0</v>
      </c>
      <c r="Q282" s="177">
        <v>43355</v>
      </c>
      <c r="R282" s="178">
        <v>424.26592500000004</v>
      </c>
      <c r="S282" s="179">
        <v>94438.207060880173</v>
      </c>
      <c r="T282" s="182" t="s">
        <v>45</v>
      </c>
      <c r="U282" s="183">
        <v>4.1493000000000002</v>
      </c>
      <c r="V282" s="179">
        <v>6138.1978000000008</v>
      </c>
      <c r="W282" s="179">
        <v>1919.2262724531602</v>
      </c>
      <c r="X282" s="184" t="s">
        <v>45</v>
      </c>
      <c r="Y282" s="183">
        <v>4.1493000000000002</v>
      </c>
      <c r="Z282" s="220" t="s">
        <v>473</v>
      </c>
      <c r="AA282" s="172">
        <f>Delivery[[#This Row],[Quantity delivered]]*VLOOKUP(Delivery[[#This Row],[Unit]],Tab_Conversão[],4,FALSE)*VLOOKUP(CONCATENATE(Delivery[[#This Row],[Coffee specie]],Delivery[[#This Row],[Coffee state]]),Tab_Conversão[],4,FALSE)</f>
        <v>12680</v>
      </c>
      <c r="AB282" s="169">
        <f>SUMIF(Allocation!C:C,Delivery[[#This Row],[Delivery ID]],Allocation!D:D)/Delivery[[#This Row],[Quantity delivered]]</f>
        <v>1</v>
      </c>
      <c r="AC282" s="170">
        <f>Delivery[[#This Row],[Quantity delivered]]*Delivery[[#This Row],[Base price (Unidad)]]/60</f>
        <v>89661.532150000014</v>
      </c>
      <c r="AD282" s="171">
        <f>Delivery[[#This Row],[Nespresso total]]-Delivery[[#This Row],[Qt. Delivery * Base Price]]</f>
        <v>4776.6749108801596</v>
      </c>
      <c r="AE282" s="171">
        <f>Delivery[[#This Row],[AAA Premium (total)]]/Delivery[[#This Row],[Quantity delivered]]*60/Delivery[[#This Row],[Exchange rate VS USD]]</f>
        <v>7</v>
      </c>
      <c r="AF282" s="171">
        <f>Delivery[[#This Row],[BEN premium (total)]]/Delivery[[#This Row],[Quantity delivered]]*60/Delivery[[#This Row],[Exchange rate for premiums VS USD]]</f>
        <v>2.1886854000000002</v>
      </c>
      <c r="AG282" s="171">
        <f>COUNTIF(Delivery[Delivery ID],Delivery[[#This Row],[Delivery ID]])</f>
        <v>1</v>
      </c>
      <c r="AH282" s="171">
        <f>(Delivery[[#This Row],[Nespresso total]]/SUMIF(Allocation!C:C,Delivery[Delivery ID],Allocation!H:H))/Delivery[[#This Row],[Exchange rate VS USD]]</f>
        <v>5.3869901808991338</v>
      </c>
      <c r="AI282" s="171">
        <f>(Delivery[[#This Row],[AAA Premium (total)]]/SUMIF(Allocation!C:C,Delivery[Delivery ID],Allocation!H:H))/Delivery[[#This Row],[Exchange rate VS USD]]</f>
        <v>0.35013806706114403</v>
      </c>
      <c r="AJ282" s="171">
        <f>Delivery[[#This Row],[Valor Prêmio Nespresso AAA por Kg (em US$)]]*60</f>
        <v>21.008284023668644</v>
      </c>
      <c r="AK282" s="171">
        <f>Delivery[[#This Row],[Valor Prêmio Nespresso AAA por saca (em US$)]]/1.3228/100</f>
        <v>0.15881678276132932</v>
      </c>
      <c r="AL282" s="171">
        <f>(Delivery[[#This Row],[BEN premium (total)]]/SUMIF(Allocation!C:C,Delivery[Delivery ID],Allocation!H:H))/Delivery[[#This Row],[Exchange rate for premiums VS USD]]</f>
        <v>0.1094774393372781</v>
      </c>
      <c r="AM282" s="171">
        <f>Delivery[[#This Row],[Valor Prêmio Nespresso BEN por Kg (em US$)]]*60</f>
        <v>6.568646360236686</v>
      </c>
      <c r="AN282" s="171">
        <f>Delivery[[#This Row],[Valor Prêmio Nespresso BEN por saca (em US$)]]/1.3228/100</f>
        <v>4.965713910067044E-2</v>
      </c>
      <c r="AO282" s="171">
        <f>SUMIF(Allocation[Delivery ID],Delivery[[#This Row],[Delivery ID]],Allocation[Quantity allocated])*16*1.3228*Delivery[[#This Row],[Exchange rate VS USD]]/60</f>
        <v>6183.9286184000002</v>
      </c>
      <c r="AP282" s="171">
        <f>Delivery[[#This Row],[AAA Premium (total)]]</f>
        <v>6138.1978000000008</v>
      </c>
      <c r="AQ282" s="171">
        <f>Delivery[[#This Row],[Valor pago pelo Cluster]]-Delivery[[#This Row],[Valor efetivamente pago pela Nespresso]]</f>
        <v>-45.730818399999407</v>
      </c>
    </row>
    <row r="283" spans="1:43" ht="15.75">
      <c r="A283" s="174" t="s">
        <v>69</v>
      </c>
      <c r="B283" s="232" t="s">
        <v>68</v>
      </c>
      <c r="C283" s="157">
        <v>1</v>
      </c>
      <c r="D283" s="157" t="s">
        <v>468</v>
      </c>
      <c r="E283" s="177" t="s">
        <v>468</v>
      </c>
      <c r="F283" s="240" t="s">
        <v>543</v>
      </c>
      <c r="G283" s="234">
        <v>43363</v>
      </c>
      <c r="H283" s="157" t="s">
        <v>1997</v>
      </c>
      <c r="I283" s="236" t="s">
        <v>1994</v>
      </c>
      <c r="J283" s="237">
        <v>17510</v>
      </c>
      <c r="K283" s="175" t="s">
        <v>61</v>
      </c>
      <c r="L283" s="175" t="s">
        <v>439</v>
      </c>
      <c r="M283" s="175" t="s">
        <v>1343</v>
      </c>
      <c r="N283" s="180"/>
      <c r="O283" s="177"/>
      <c r="P283" s="181">
        <v>0</v>
      </c>
      <c r="Q283" s="177">
        <v>43355</v>
      </c>
      <c r="R283" s="178">
        <v>424.26592500000004</v>
      </c>
      <c r="S283" s="179">
        <v>130411.12031829746</v>
      </c>
      <c r="T283" s="182" t="s">
        <v>45</v>
      </c>
      <c r="U283" s="183">
        <v>4.1493000000000002</v>
      </c>
      <c r="V283" s="179">
        <v>8476.3283500000016</v>
      </c>
      <c r="W283" s="179">
        <v>2650.2880150358696</v>
      </c>
      <c r="X283" s="184" t="s">
        <v>45</v>
      </c>
      <c r="Y283" s="183">
        <v>4.1493000000000002</v>
      </c>
      <c r="Z283" s="220" t="s">
        <v>473</v>
      </c>
      <c r="AA283" s="172">
        <f>Delivery[[#This Row],[Quantity delivered]]*VLOOKUP(Delivery[[#This Row],[Unit]],Tab_Conversão[],4,FALSE)*VLOOKUP(CONCATENATE(Delivery[[#This Row],[Coffee specie]],Delivery[[#This Row],[Coffee state]]),Tab_Conversão[],4,FALSE)</f>
        <v>17510</v>
      </c>
      <c r="AB283" s="169">
        <f>SUMIF(Allocation!C:C,Delivery[[#This Row],[Delivery ID]],Allocation!D:D)/Delivery[[#This Row],[Quantity delivered]]</f>
        <v>1</v>
      </c>
      <c r="AC283" s="170">
        <f>Delivery[[#This Row],[Quantity delivered]]*Delivery[[#This Row],[Base price (Unidad)]]/60</f>
        <v>123814.93911250001</v>
      </c>
      <c r="AD283" s="171">
        <f>Delivery[[#This Row],[Nespresso total]]-Delivery[[#This Row],[Qt. Delivery * Base Price]]</f>
        <v>6596.1812057974457</v>
      </c>
      <c r="AE283" s="171">
        <f>Delivery[[#This Row],[AAA Premium (total)]]/Delivery[[#This Row],[Quantity delivered]]*60/Delivery[[#This Row],[Exchange rate VS USD]]</f>
        <v>7.0000000000000009</v>
      </c>
      <c r="AF283" s="171">
        <f>Delivery[[#This Row],[BEN premium (total)]]/Delivery[[#This Row],[Quantity delivered]]*60/Delivery[[#This Row],[Exchange rate for premiums VS USD]]</f>
        <v>2.1886853999999998</v>
      </c>
      <c r="AG283" s="171">
        <f>COUNTIF(Delivery[Delivery ID],Delivery[[#This Row],[Delivery ID]])</f>
        <v>1</v>
      </c>
      <c r="AH283" s="171">
        <f>(Delivery[[#This Row],[Nespresso total]]/SUMIF(Allocation!C:C,Delivery[Delivery ID],Allocation!H:H))/Delivery[[#This Row],[Exchange rate VS USD]]</f>
        <v>5.3836361307804497</v>
      </c>
      <c r="AI283" s="171">
        <f>(Delivery[[#This Row],[AAA Premium (total)]]/SUMIF(Allocation!C:C,Delivery[Delivery ID],Allocation!H:H))/Delivery[[#This Row],[Exchange rate VS USD]]</f>
        <v>0.34992006394884095</v>
      </c>
      <c r="AJ283" s="171">
        <f>Delivery[[#This Row],[Valor Prêmio Nespresso AAA por Kg (em US$)]]*60</f>
        <v>20.995203836930457</v>
      </c>
      <c r="AK283" s="171">
        <f>Delivery[[#This Row],[Valor Prêmio Nespresso AAA por saca (em US$)]]/1.3228/100</f>
        <v>0.15871790018846732</v>
      </c>
      <c r="AL283" s="171">
        <f>(Delivery[[#This Row],[BEN premium (total)]]/SUMIF(Allocation!C:C,Delivery[Delivery ID],Allocation!H:H))/Delivery[[#This Row],[Exchange rate for premiums VS USD]]</f>
        <v>0.10940927644741348</v>
      </c>
      <c r="AM283" s="171">
        <f>Delivery[[#This Row],[Valor Prêmio Nespresso BEN por Kg (em US$)]]*60</f>
        <v>6.5645565868448088</v>
      </c>
      <c r="AN283" s="171">
        <f>Delivery[[#This Row],[Valor Prêmio Nespresso BEN por saca (em US$)]]/1.3228/100</f>
        <v>4.9626221551593658E-2</v>
      </c>
      <c r="AO283" s="171">
        <f>SUMIF(Allocation[Delivery ID],Delivery[[#This Row],[Delivery ID]],Allocation[Quantity allocated])*16*1.3228*Delivery[[#This Row],[Exchange rate VS USD]]/60</f>
        <v>8544.7988814720011</v>
      </c>
      <c r="AP283" s="171">
        <f>Delivery[[#This Row],[AAA Premium (total)]]</f>
        <v>8476.3283500000016</v>
      </c>
      <c r="AQ283" s="171">
        <f>Delivery[[#This Row],[Valor pago pelo Cluster]]-Delivery[[#This Row],[Valor efetivamente pago pela Nespresso]]</f>
        <v>-68.470531471999493</v>
      </c>
    </row>
    <row r="284" spans="1:43" ht="15.75">
      <c r="A284" s="174" t="s">
        <v>69</v>
      </c>
      <c r="B284" s="232" t="s">
        <v>68</v>
      </c>
      <c r="C284" s="157">
        <v>1</v>
      </c>
      <c r="D284" s="157" t="s">
        <v>468</v>
      </c>
      <c r="E284" s="177" t="s">
        <v>468</v>
      </c>
      <c r="F284" s="240" t="s">
        <v>543</v>
      </c>
      <c r="G284" s="234">
        <v>43363</v>
      </c>
      <c r="H284" s="157" t="s">
        <v>1998</v>
      </c>
      <c r="I284" s="236" t="s">
        <v>1994</v>
      </c>
      <c r="J284" s="237">
        <v>6540</v>
      </c>
      <c r="K284" s="175" t="s">
        <v>61</v>
      </c>
      <c r="L284" s="175" t="s">
        <v>439</v>
      </c>
      <c r="M284" s="175" t="s">
        <v>1343</v>
      </c>
      <c r="N284" s="180"/>
      <c r="O284" s="177"/>
      <c r="P284" s="181">
        <v>0</v>
      </c>
      <c r="Q284" s="177">
        <v>43355</v>
      </c>
      <c r="R284" s="178">
        <v>424.26592500000004</v>
      </c>
      <c r="S284" s="179">
        <v>48708.665156006013</v>
      </c>
      <c r="T284" s="182" t="s">
        <v>45</v>
      </c>
      <c r="U284" s="183">
        <v>4.1493000000000002</v>
      </c>
      <c r="V284" s="179">
        <v>3165.9159000000004</v>
      </c>
      <c r="W284" s="179">
        <v>989.88484399397998</v>
      </c>
      <c r="X284" s="184" t="s">
        <v>45</v>
      </c>
      <c r="Y284" s="183">
        <v>4.1493000000000002</v>
      </c>
      <c r="Z284" s="220" t="s">
        <v>473</v>
      </c>
      <c r="AA284" s="172">
        <f>Delivery[[#This Row],[Quantity delivered]]*VLOOKUP(Delivery[[#This Row],[Unit]],Tab_Conversão[],4,FALSE)*VLOOKUP(CONCATENATE(Delivery[[#This Row],[Coffee specie]],Delivery[[#This Row],[Coffee state]]),Tab_Conversão[],4,FALSE)</f>
        <v>6540</v>
      </c>
      <c r="AB284" s="169">
        <f>SUMIF(Allocation!C:C,Delivery[[#This Row],[Delivery ID]],Allocation!D:D)/Delivery[[#This Row],[Quantity delivered]]</f>
        <v>1</v>
      </c>
      <c r="AC284" s="170">
        <f>Delivery[[#This Row],[Quantity delivered]]*Delivery[[#This Row],[Base price (Unidad)]]/60</f>
        <v>46244.985825000003</v>
      </c>
      <c r="AD284" s="171">
        <f>Delivery[[#This Row],[Nespresso total]]-Delivery[[#This Row],[Qt. Delivery * Base Price]]</f>
        <v>2463.6793310060093</v>
      </c>
      <c r="AE284" s="171">
        <f>Delivery[[#This Row],[AAA Premium (total)]]/Delivery[[#This Row],[Quantity delivered]]*60/Delivery[[#This Row],[Exchange rate VS USD]]</f>
        <v>7</v>
      </c>
      <c r="AF284" s="171">
        <f>Delivery[[#This Row],[BEN premium (total)]]/Delivery[[#This Row],[Quantity delivered]]*60/Delivery[[#This Row],[Exchange rate for premiums VS USD]]</f>
        <v>2.1886853999999998</v>
      </c>
      <c r="AG284" s="171">
        <f>COUNTIF(Delivery[Delivery ID],Delivery[[#This Row],[Delivery ID]])</f>
        <v>1</v>
      </c>
      <c r="AH284" s="171">
        <f>(Delivery[[#This Row],[Nespresso total]]/SUMIF(Allocation!C:C,Delivery[Delivery ID],Allocation!H:H))/Delivery[[#This Row],[Exchange rate VS USD]]</f>
        <v>5.3799302575819068</v>
      </c>
      <c r="AI284" s="171">
        <f>(Delivery[[#This Row],[AAA Premium (total)]]/SUMIF(Allocation!C:C,Delivery[Delivery ID],Allocation!H:H))/Delivery[[#This Row],[Exchange rate VS USD]]</f>
        <v>0.34967919340054998</v>
      </c>
      <c r="AJ284" s="171">
        <f>Delivery[[#This Row],[Valor Prêmio Nespresso AAA por Kg (em US$)]]*60</f>
        <v>20.980751604032999</v>
      </c>
      <c r="AK284" s="171">
        <f>Delivery[[#This Row],[Valor Prêmio Nespresso AAA por saca (em US$)]]/1.3228/100</f>
        <v>0.1586086453283414</v>
      </c>
      <c r="AL284" s="171">
        <f>(Delivery[[#This Row],[BEN premium (total)]]/SUMIF(Allocation!C:C,Delivery[Delivery ID],Allocation!H:H))/Delivery[[#This Row],[Exchange rate for premiums VS USD]]</f>
        <v>0.1093339636113657</v>
      </c>
      <c r="AM284" s="171">
        <f>Delivery[[#This Row],[Valor Prêmio Nespresso BEN por Kg (em US$)]]*60</f>
        <v>6.560037816681942</v>
      </c>
      <c r="AN284" s="171">
        <f>Delivery[[#This Row],[Valor Prêmio Nespresso BEN por saca (em US$)]]/1.3228/100</f>
        <v>4.9592060906274132E-2</v>
      </c>
      <c r="AO284" s="171">
        <f>SUMIF(Allocation[Delivery ID],Delivery[[#This Row],[Delivery ID]],Allocation[Quantity allocated])*16*1.3228*Delivery[[#This Row],[Exchange rate VS USD]]/60</f>
        <v>3193.6881054080004</v>
      </c>
      <c r="AP284" s="171">
        <f>Delivery[[#This Row],[AAA Premium (total)]]</f>
        <v>3165.9159000000004</v>
      </c>
      <c r="AQ284" s="171">
        <f>Delivery[[#This Row],[Valor pago pelo Cluster]]-Delivery[[#This Row],[Valor efetivamente pago pela Nespresso]]</f>
        <v>-27.772205407999991</v>
      </c>
    </row>
    <row r="285" spans="1:43" ht="15.75">
      <c r="A285" s="174" t="s">
        <v>69</v>
      </c>
      <c r="B285" s="232" t="s">
        <v>68</v>
      </c>
      <c r="C285" s="157">
        <v>1</v>
      </c>
      <c r="D285" s="157" t="s">
        <v>468</v>
      </c>
      <c r="E285" s="177" t="s">
        <v>468</v>
      </c>
      <c r="F285" s="240" t="s">
        <v>543</v>
      </c>
      <c r="G285" s="234">
        <v>43363</v>
      </c>
      <c r="H285" s="157" t="s">
        <v>1999</v>
      </c>
      <c r="I285" s="236" t="s">
        <v>1994</v>
      </c>
      <c r="J285" s="237">
        <v>490</v>
      </c>
      <c r="K285" s="175" t="s">
        <v>61</v>
      </c>
      <c r="L285" s="175" t="s">
        <v>439</v>
      </c>
      <c r="M285" s="175" t="s">
        <v>1343</v>
      </c>
      <c r="N285" s="180"/>
      <c r="O285" s="177"/>
      <c r="P285" s="181">
        <v>0</v>
      </c>
      <c r="Q285" s="177">
        <v>43355</v>
      </c>
      <c r="R285" s="178">
        <v>424.26592500000004</v>
      </c>
      <c r="S285" s="179">
        <v>3649.4259826365364</v>
      </c>
      <c r="T285" s="182" t="s">
        <v>45</v>
      </c>
      <c r="U285" s="183">
        <v>4.1493000000000002</v>
      </c>
      <c r="V285" s="179">
        <v>237.20165000000003</v>
      </c>
      <c r="W285" s="179">
        <v>74.165684030129995</v>
      </c>
      <c r="X285" s="184" t="s">
        <v>45</v>
      </c>
      <c r="Y285" s="183">
        <v>4.1493000000000002</v>
      </c>
      <c r="Z285" s="220" t="s">
        <v>473</v>
      </c>
      <c r="AA285" s="172">
        <f>Delivery[[#This Row],[Quantity delivered]]*VLOOKUP(Delivery[[#This Row],[Unit]],Tab_Conversão[],4,FALSE)*VLOOKUP(CONCATENATE(Delivery[[#This Row],[Coffee specie]],Delivery[[#This Row],[Coffee state]]),Tab_Conversão[],4,FALSE)</f>
        <v>490</v>
      </c>
      <c r="AB285" s="169">
        <f>SUMIF(Allocation!C:C,Delivery[[#This Row],[Delivery ID]],Allocation!D:D)/Delivery[[#This Row],[Quantity delivered]]</f>
        <v>1</v>
      </c>
      <c r="AC285" s="170">
        <f>Delivery[[#This Row],[Quantity delivered]]*Delivery[[#This Row],[Base price (Unidad)]]/60</f>
        <v>3464.8383875000004</v>
      </c>
      <c r="AD285" s="171">
        <f>Delivery[[#This Row],[Nespresso total]]-Delivery[[#This Row],[Qt. Delivery * Base Price]]</f>
        <v>184.58759513653604</v>
      </c>
      <c r="AE285" s="171">
        <f>Delivery[[#This Row],[AAA Premium (total)]]/Delivery[[#This Row],[Quantity delivered]]*60/Delivery[[#This Row],[Exchange rate VS USD]]</f>
        <v>7</v>
      </c>
      <c r="AF285" s="171">
        <f>Delivery[[#This Row],[BEN premium (total)]]/Delivery[[#This Row],[Quantity delivered]]*60/Delivery[[#This Row],[Exchange rate for premiums VS USD]]</f>
        <v>2.1886853999999998</v>
      </c>
      <c r="AG285" s="171">
        <f>COUNTIF(Delivery[Delivery ID],Delivery[[#This Row],[Delivery ID]])</f>
        <v>1</v>
      </c>
      <c r="AH285" s="171">
        <f>(Delivery[[#This Row],[Nespresso total]]/SUMIF(Allocation!C:C,Delivery[Delivery ID],Allocation!H:H))/Delivery[[#This Row],[Exchange rate VS USD]]</f>
        <v>5.4291858579694035</v>
      </c>
      <c r="AI285" s="171">
        <f>(Delivery[[#This Row],[AAA Premium (total)]]/SUMIF(Allocation!C:C,Delivery[Delivery ID],Allocation!H:H))/Delivery[[#This Row],[Exchange rate VS USD]]</f>
        <v>0.35288065843621402</v>
      </c>
      <c r="AJ285" s="171">
        <f>Delivery[[#This Row],[Valor Prêmio Nespresso AAA por Kg (em US$)]]*60</f>
        <v>21.172839506172842</v>
      </c>
      <c r="AK285" s="171">
        <f>Delivery[[#This Row],[Valor Prêmio Nespresso AAA por saca (em US$)]]/1.3228/100</f>
        <v>0.16006077643009406</v>
      </c>
      <c r="AL285" s="171">
        <f>(Delivery[[#This Row],[BEN premium (total)]]/SUMIF(Allocation!C:C,Delivery[Delivery ID],Allocation!H:H))/Delivery[[#This Row],[Exchange rate for premiums VS USD]]</f>
        <v>0.1103349635802469</v>
      </c>
      <c r="AM285" s="171">
        <f>Delivery[[#This Row],[Valor Prêmio Nespresso BEN por Kg (em US$)]]*60</f>
        <v>6.6200978148148142</v>
      </c>
      <c r="AN285" s="171">
        <f>Delivery[[#This Row],[Valor Prêmio Nespresso BEN por saca (em US$)]]/1.3228/100</f>
        <v>5.0046097783601563E-2</v>
      </c>
      <c r="AO285" s="171">
        <f>SUMIF(Allocation[Delivery ID],Delivery[[#This Row],[Delivery ID]],Allocation[Quantity allocated])*16*1.3228*Delivery[[#This Row],[Exchange rate VS USD]]/60</f>
        <v>237.11158252800001</v>
      </c>
      <c r="AP285" s="171">
        <f>Delivery[[#This Row],[AAA Premium (total)]]</f>
        <v>237.20165000000003</v>
      </c>
      <c r="AQ285" s="171">
        <f>Delivery[[#This Row],[Valor pago pelo Cluster]]-Delivery[[#This Row],[Valor efetivamente pago pela Nespresso]]</f>
        <v>9.0067472000015414E-2</v>
      </c>
    </row>
    <row r="286" spans="1:43" ht="15.75">
      <c r="A286" s="174" t="s">
        <v>69</v>
      </c>
      <c r="B286" s="232" t="s">
        <v>68</v>
      </c>
      <c r="C286" s="157">
        <v>1</v>
      </c>
      <c r="D286" s="157" t="s">
        <v>468</v>
      </c>
      <c r="E286" s="177" t="s">
        <v>468</v>
      </c>
      <c r="F286" s="240" t="s">
        <v>543</v>
      </c>
      <c r="G286" s="234">
        <v>43363</v>
      </c>
      <c r="H286" s="157" t="s">
        <v>2000</v>
      </c>
      <c r="I286" s="236" t="s">
        <v>1994</v>
      </c>
      <c r="J286" s="237">
        <v>1080</v>
      </c>
      <c r="K286" s="175" t="s">
        <v>61</v>
      </c>
      <c r="L286" s="175" t="s">
        <v>439</v>
      </c>
      <c r="M286" s="175" t="s">
        <v>1343</v>
      </c>
      <c r="N286" s="180"/>
      <c r="O286" s="177"/>
      <c r="P286" s="181">
        <v>0</v>
      </c>
      <c r="Q286" s="177">
        <v>43355</v>
      </c>
      <c r="R286" s="178">
        <v>424.26592500000004</v>
      </c>
      <c r="S286" s="179">
        <v>8043.6327780560405</v>
      </c>
      <c r="T286" s="182" t="s">
        <v>45</v>
      </c>
      <c r="U286" s="183">
        <v>4.1493000000000002</v>
      </c>
      <c r="V286" s="179">
        <v>522.81180000000006</v>
      </c>
      <c r="W286" s="179">
        <v>163.46722194396</v>
      </c>
      <c r="X286" s="184" t="s">
        <v>45</v>
      </c>
      <c r="Y286" s="183">
        <v>4.1493000000000002</v>
      </c>
      <c r="Z286" s="220" t="s">
        <v>473</v>
      </c>
      <c r="AA286" s="172">
        <f>Delivery[[#This Row],[Quantity delivered]]*VLOOKUP(Delivery[[#This Row],[Unit]],Tab_Conversão[],4,FALSE)*VLOOKUP(CONCATENATE(Delivery[[#This Row],[Coffee specie]],Delivery[[#This Row],[Coffee state]]),Tab_Conversão[],4,FALSE)</f>
        <v>1080</v>
      </c>
      <c r="AB286" s="169">
        <f>SUMIF(Allocation!C:C,Delivery[[#This Row],[Delivery ID]],Allocation!D:D)/Delivery[[#This Row],[Quantity delivered]]</f>
        <v>1</v>
      </c>
      <c r="AC286" s="170">
        <f>Delivery[[#This Row],[Quantity delivered]]*Delivery[[#This Row],[Base price (Unidad)]]/60</f>
        <v>7636.78665</v>
      </c>
      <c r="AD286" s="171">
        <f>Delivery[[#This Row],[Nespresso total]]-Delivery[[#This Row],[Qt. Delivery * Base Price]]</f>
        <v>406.84612805604047</v>
      </c>
      <c r="AE286" s="171">
        <f>Delivery[[#This Row],[AAA Premium (total)]]/Delivery[[#This Row],[Quantity delivered]]*60/Delivery[[#This Row],[Exchange rate VS USD]]</f>
        <v>7</v>
      </c>
      <c r="AF286" s="171">
        <f>Delivery[[#This Row],[BEN premium (total)]]/Delivery[[#This Row],[Quantity delivered]]*60/Delivery[[#This Row],[Exchange rate for premiums VS USD]]</f>
        <v>2.1886854000000002</v>
      </c>
      <c r="AG286" s="171">
        <f>COUNTIF(Delivery[Delivery ID],Delivery[[#This Row],[Delivery ID]])</f>
        <v>1</v>
      </c>
      <c r="AH286" s="171">
        <f>(Delivery[[#This Row],[Nespresso total]]/SUMIF(Allocation!C:C,Delivery[Delivery ID],Allocation!H:H))/Delivery[[#This Row],[Exchange rate VS USD]]</f>
        <v>5.4301169479810607</v>
      </c>
      <c r="AI286" s="171">
        <f>(Delivery[[#This Row],[AAA Premium (total)]]/SUMIF(Allocation!C:C,Delivery[Delivery ID],Allocation!H:H))/Delivery[[#This Row],[Exchange rate VS USD]]</f>
        <v>0.35294117647058826</v>
      </c>
      <c r="AJ286" s="171">
        <f>Delivery[[#This Row],[Valor Prêmio Nespresso AAA por Kg (em US$)]]*60</f>
        <v>21.176470588235297</v>
      </c>
      <c r="AK286" s="171">
        <f>Delivery[[#This Row],[Valor Prêmio Nespresso AAA por saca (em US$)]]/1.3228/100</f>
        <v>0.16008822640032733</v>
      </c>
      <c r="AL286" s="171">
        <f>(Delivery[[#This Row],[BEN premium (total)]]/SUMIF(Allocation!C:C,Delivery[Delivery ID],Allocation!H:H))/Delivery[[#This Row],[Exchange rate for premiums VS USD]]</f>
        <v>0.1103538857142857</v>
      </c>
      <c r="AM286" s="171">
        <f>Delivery[[#This Row],[Valor Prêmio Nespresso BEN por Kg (em US$)]]*60</f>
        <v>6.6212331428571423</v>
      </c>
      <c r="AN286" s="171">
        <f>Delivery[[#This Row],[Valor Prêmio Nespresso BEN por saca (em US$)]]/1.3228/100</f>
        <v>5.0054680547755838E-2</v>
      </c>
      <c r="AO286" s="171">
        <f>SUMIF(Allocation[Delivery ID],Delivery[[#This Row],[Delivery ID]],Allocation[Quantity allocated])*16*1.3228*Delivery[[#This Row],[Exchange rate VS USD]]/60</f>
        <v>522.52367260799997</v>
      </c>
      <c r="AP286" s="171">
        <f>Delivery[[#This Row],[AAA Premium (total)]]</f>
        <v>522.81180000000006</v>
      </c>
      <c r="AQ286" s="171">
        <f>Delivery[[#This Row],[Valor pago pelo Cluster]]-Delivery[[#This Row],[Valor efetivamente pago pela Nespresso]]</f>
        <v>0.28812739200009219</v>
      </c>
    </row>
    <row r="287" spans="1:43" ht="15.75">
      <c r="A287" s="174" t="s">
        <v>69</v>
      </c>
      <c r="B287" s="232" t="s">
        <v>68</v>
      </c>
      <c r="C287" s="157">
        <v>1</v>
      </c>
      <c r="D287" s="157" t="s">
        <v>468</v>
      </c>
      <c r="E287" s="177" t="s">
        <v>468</v>
      </c>
      <c r="F287" s="240" t="s">
        <v>543</v>
      </c>
      <c r="G287" s="234">
        <v>43363</v>
      </c>
      <c r="H287" s="157" t="s">
        <v>2001</v>
      </c>
      <c r="I287" s="236" t="s">
        <v>1994</v>
      </c>
      <c r="J287" s="237">
        <v>7840</v>
      </c>
      <c r="K287" s="175" t="s">
        <v>61</v>
      </c>
      <c r="L287" s="175" t="s">
        <v>439</v>
      </c>
      <c r="M287" s="175" t="s">
        <v>1343</v>
      </c>
      <c r="N287" s="180"/>
      <c r="O287" s="177"/>
      <c r="P287" s="181">
        <v>0</v>
      </c>
      <c r="Q287" s="177">
        <v>43355</v>
      </c>
      <c r="R287" s="178">
        <v>424.26592500000004</v>
      </c>
      <c r="S287" s="179">
        <v>58390.815722184583</v>
      </c>
      <c r="T287" s="182" t="s">
        <v>45</v>
      </c>
      <c r="U287" s="183">
        <v>4.1493000000000002</v>
      </c>
      <c r="V287" s="179">
        <v>3795.2264000000005</v>
      </c>
      <c r="W287" s="179">
        <v>1186.6509444820799</v>
      </c>
      <c r="X287" s="184" t="s">
        <v>45</v>
      </c>
      <c r="Y287" s="183">
        <v>4.1493000000000002</v>
      </c>
      <c r="Z287" s="220" t="s">
        <v>473</v>
      </c>
      <c r="AA287" s="172">
        <f>Delivery[[#This Row],[Quantity delivered]]*VLOOKUP(Delivery[[#This Row],[Unit]],Tab_Conversão[],4,FALSE)*VLOOKUP(CONCATENATE(Delivery[[#This Row],[Coffee specie]],Delivery[[#This Row],[Coffee state]]),Tab_Conversão[],4,FALSE)</f>
        <v>7840</v>
      </c>
      <c r="AB287" s="169">
        <f>SUMIF(Allocation!C:C,Delivery[[#This Row],[Delivery ID]],Allocation!D:D)/Delivery[[#This Row],[Quantity delivered]]</f>
        <v>1</v>
      </c>
      <c r="AC287" s="170">
        <f>Delivery[[#This Row],[Quantity delivered]]*Delivery[[#This Row],[Base price (Unidad)]]/60</f>
        <v>55437.414200000007</v>
      </c>
      <c r="AD287" s="171">
        <f>Delivery[[#This Row],[Nespresso total]]-Delivery[[#This Row],[Qt. Delivery * Base Price]]</f>
        <v>2953.4015221845766</v>
      </c>
      <c r="AE287" s="171">
        <f>Delivery[[#This Row],[AAA Premium (total)]]/Delivery[[#This Row],[Quantity delivered]]*60/Delivery[[#This Row],[Exchange rate VS USD]]</f>
        <v>7</v>
      </c>
      <c r="AF287" s="171">
        <f>Delivery[[#This Row],[BEN premium (total)]]/Delivery[[#This Row],[Quantity delivered]]*60/Delivery[[#This Row],[Exchange rate for premiums VS USD]]</f>
        <v>2.1886853999999998</v>
      </c>
      <c r="AG287" s="171">
        <f>COUNTIF(Delivery[Delivery ID],Delivery[[#This Row],[Delivery ID]])</f>
        <v>1</v>
      </c>
      <c r="AH287" s="171">
        <f>(Delivery[[#This Row],[Nespresso total]]/SUMIF(Allocation!C:C,Delivery[Delivery ID],Allocation!H:H))/Delivery[[#This Row],[Exchange rate VS USD]]</f>
        <v>5.3691147439361666</v>
      </c>
      <c r="AI287" s="171">
        <f>(Delivery[[#This Row],[AAA Premium (total)]]/SUMIF(Allocation!C:C,Delivery[Delivery ID],Allocation!H:H))/Delivery[[#This Row],[Exchange rate VS USD]]</f>
        <v>0.34897621772860232</v>
      </c>
      <c r="AJ287" s="171">
        <f>Delivery[[#This Row],[Valor Prêmio Nespresso AAA por Kg (em US$)]]*60</f>
        <v>20.938573063716138</v>
      </c>
      <c r="AK287" s="171">
        <f>Delivery[[#This Row],[Valor Prêmio Nespresso AAA por saca (em US$)]]/1.3228/100</f>
        <v>0.15828978729752147</v>
      </c>
      <c r="AL287" s="171">
        <f>(Delivery[[#This Row],[BEN premium (total)]]/SUMIF(Allocation!C:C,Delivery[Delivery ID],Allocation!H:H))/Delivery[[#This Row],[Exchange rate for premiums VS USD]]</f>
        <v>0.10911416466997328</v>
      </c>
      <c r="AM287" s="171">
        <f>Delivery[[#This Row],[Valor Prêmio Nespresso BEN por Kg (em US$)]]*60</f>
        <v>6.5468498801983968</v>
      </c>
      <c r="AN287" s="171">
        <f>Delivery[[#This Row],[Valor Prêmio Nespresso BEN por saca (em US$)]]/1.3228/100</f>
        <v>4.949236377531295E-2</v>
      </c>
      <c r="AO287" s="171">
        <f>SUMIF(Allocation[Delivery ID],Delivery[[#This Row],[Delivery ID]],Allocation[Quantity allocated])*16*1.3228*Delivery[[#This Row],[Exchange rate VS USD]]/60</f>
        <v>3836.2312210239998</v>
      </c>
      <c r="AP287" s="171">
        <f>Delivery[[#This Row],[AAA Premium (total)]]</f>
        <v>3795.2264000000005</v>
      </c>
      <c r="AQ287" s="171">
        <f>Delivery[[#This Row],[Valor pago pelo Cluster]]-Delivery[[#This Row],[Valor efetivamente pago pela Nespresso]]</f>
        <v>-41.004821023999284</v>
      </c>
    </row>
    <row r="288" spans="1:43" ht="15.75">
      <c r="A288" s="174" t="s">
        <v>69</v>
      </c>
      <c r="B288" s="232" t="s">
        <v>68</v>
      </c>
      <c r="C288" s="157">
        <v>1</v>
      </c>
      <c r="D288" s="157" t="s">
        <v>468</v>
      </c>
      <c r="E288" s="177" t="s">
        <v>468</v>
      </c>
      <c r="F288" s="240" t="s">
        <v>543</v>
      </c>
      <c r="G288" s="234">
        <v>43363</v>
      </c>
      <c r="H288" s="157" t="s">
        <v>2002</v>
      </c>
      <c r="I288" s="236" t="s">
        <v>1994</v>
      </c>
      <c r="J288" s="237">
        <v>1660</v>
      </c>
      <c r="K288" s="175" t="s">
        <v>61</v>
      </c>
      <c r="L288" s="175" t="s">
        <v>439</v>
      </c>
      <c r="M288" s="175" t="s">
        <v>1343</v>
      </c>
      <c r="N288" s="180"/>
      <c r="O288" s="177"/>
      <c r="P288" s="181">
        <v>0</v>
      </c>
      <c r="Q288" s="177">
        <v>43355</v>
      </c>
      <c r="R288" s="178">
        <v>424.26592500000004</v>
      </c>
      <c r="S288" s="179">
        <v>12363.361492197246</v>
      </c>
      <c r="T288" s="182" t="s">
        <v>45</v>
      </c>
      <c r="U288" s="183">
        <v>4.1493000000000002</v>
      </c>
      <c r="V288" s="179">
        <v>803.58110000000011</v>
      </c>
      <c r="W288" s="179">
        <v>251.25517446942001</v>
      </c>
      <c r="X288" s="184" t="s">
        <v>45</v>
      </c>
      <c r="Y288" s="183">
        <v>4.1493000000000002</v>
      </c>
      <c r="Z288" s="220" t="s">
        <v>473</v>
      </c>
      <c r="AA288" s="172">
        <f>Delivery[[#This Row],[Quantity delivered]]*VLOOKUP(Delivery[[#This Row],[Unit]],Tab_Conversão[],4,FALSE)*VLOOKUP(CONCATENATE(Delivery[[#This Row],[Coffee specie]],Delivery[[#This Row],[Coffee state]]),Tab_Conversão[],4,FALSE)</f>
        <v>1660</v>
      </c>
      <c r="AB288" s="169">
        <f>SUMIF(Allocation!C:C,Delivery[[#This Row],[Delivery ID]],Allocation!D:D)/Delivery[[#This Row],[Quantity delivered]]</f>
        <v>1</v>
      </c>
      <c r="AC288" s="170">
        <f>Delivery[[#This Row],[Quantity delivered]]*Delivery[[#This Row],[Base price (Unidad)]]/60</f>
        <v>11738.023925</v>
      </c>
      <c r="AD288" s="171">
        <f>Delivery[[#This Row],[Nespresso total]]-Delivery[[#This Row],[Qt. Delivery * Base Price]]</f>
        <v>625.33756719724624</v>
      </c>
      <c r="AE288" s="171">
        <f>Delivery[[#This Row],[AAA Premium (total)]]/Delivery[[#This Row],[Quantity delivered]]*60/Delivery[[#This Row],[Exchange rate VS USD]]</f>
        <v>7</v>
      </c>
      <c r="AF288" s="171">
        <f>Delivery[[#This Row],[BEN premium (total)]]/Delivery[[#This Row],[Quantity delivered]]*60/Delivery[[#This Row],[Exchange rate for premiums VS USD]]</f>
        <v>2.1886854000000002</v>
      </c>
      <c r="AG288" s="171">
        <f>COUNTIF(Delivery[Delivery ID],Delivery[[#This Row],[Delivery ID]])</f>
        <v>1</v>
      </c>
      <c r="AH288" s="171">
        <f>(Delivery[[#This Row],[Nespresso total]]/SUMIF(Allocation!C:C,Delivery[Delivery ID],Allocation!H:H))/Delivery[[#This Row],[Exchange rate VS USD]]</f>
        <v>5.4175015247685794</v>
      </c>
      <c r="AI288" s="171">
        <f>(Delivery[[#This Row],[AAA Premium (total)]]/SUMIF(Allocation!C:C,Delivery[Delivery ID],Allocation!H:H))/Delivery[[#This Row],[Exchange rate VS USD]]</f>
        <v>0.35212121212121217</v>
      </c>
      <c r="AJ288" s="171">
        <f>Delivery[[#This Row],[Valor Prêmio Nespresso AAA por Kg (em US$)]]*60</f>
        <v>21.127272727272729</v>
      </c>
      <c r="AK288" s="171">
        <f>Delivery[[#This Row],[Valor Prêmio Nespresso AAA por saca (em US$)]]/1.3228/100</f>
        <v>0.15971630425818514</v>
      </c>
      <c r="AL288" s="171">
        <f>(Delivery[[#This Row],[BEN premium (total)]]/SUMIF(Allocation!C:C,Delivery[Delivery ID],Allocation!H:H))/Delivery[[#This Row],[Exchange rate for premiums VS USD]]</f>
        <v>0.110097508</v>
      </c>
      <c r="AM288" s="171">
        <f>Delivery[[#This Row],[Valor Prêmio Nespresso BEN por Kg (em US$)]]*60</f>
        <v>6.60585048</v>
      </c>
      <c r="AN288" s="171">
        <f>Delivery[[#This Row],[Valor Prêmio Nespresso BEN por saca (em US$)]]/1.3228/100</f>
        <v>4.9938391895978235E-2</v>
      </c>
      <c r="AO288" s="171">
        <f>SUMIF(Allocation[Delivery ID],Delivery[[#This Row],[Delivery ID]],Allocation[Quantity allocated])*16*1.3228*Delivery[[#This Row],[Exchange rate VS USD]]/60</f>
        <v>805.00845920000006</v>
      </c>
      <c r="AP288" s="171">
        <f>Delivery[[#This Row],[AAA Premium (total)]]</f>
        <v>803.58110000000011</v>
      </c>
      <c r="AQ288" s="171">
        <f>Delivery[[#This Row],[Valor pago pelo Cluster]]-Delivery[[#This Row],[Valor efetivamente pago pela Nespresso]]</f>
        <v>-1.4273591999999553</v>
      </c>
    </row>
    <row r="289" spans="1:43" ht="15.75">
      <c r="A289" s="174" t="s">
        <v>69</v>
      </c>
      <c r="B289" s="232" t="s">
        <v>68</v>
      </c>
      <c r="C289" s="157">
        <v>1</v>
      </c>
      <c r="D289" s="157" t="s">
        <v>468</v>
      </c>
      <c r="E289" s="177" t="s">
        <v>468</v>
      </c>
      <c r="F289" s="240" t="s">
        <v>543</v>
      </c>
      <c r="G289" s="234">
        <v>43363</v>
      </c>
      <c r="H289" s="157" t="s">
        <v>2003</v>
      </c>
      <c r="I289" s="236" t="s">
        <v>1994</v>
      </c>
      <c r="J289" s="237">
        <v>5010</v>
      </c>
      <c r="K289" s="175" t="s">
        <v>61</v>
      </c>
      <c r="L289" s="175" t="s">
        <v>439</v>
      </c>
      <c r="M289" s="175" t="s">
        <v>1343</v>
      </c>
      <c r="N289" s="180"/>
      <c r="O289" s="177"/>
      <c r="P289" s="181">
        <v>0</v>
      </c>
      <c r="Q289" s="177">
        <v>43355</v>
      </c>
      <c r="R289" s="178">
        <v>424.26592500000004</v>
      </c>
      <c r="S289" s="179">
        <v>37313.518720426626</v>
      </c>
      <c r="T289" s="182" t="s">
        <v>45</v>
      </c>
      <c r="U289" s="183">
        <v>4.1493000000000002</v>
      </c>
      <c r="V289" s="179">
        <v>2425.2658500000002</v>
      </c>
      <c r="W289" s="179">
        <v>758.30627957337003</v>
      </c>
      <c r="X289" s="184" t="s">
        <v>45</v>
      </c>
      <c r="Y289" s="183">
        <v>4.1493000000000002</v>
      </c>
      <c r="Z289" s="220" t="s">
        <v>473</v>
      </c>
      <c r="AA289" s="172">
        <f>Delivery[[#This Row],[Quantity delivered]]*VLOOKUP(Delivery[[#This Row],[Unit]],Tab_Conversão[],4,FALSE)*VLOOKUP(CONCATENATE(Delivery[[#This Row],[Coffee specie]],Delivery[[#This Row],[Coffee state]]),Tab_Conversão[],4,FALSE)</f>
        <v>5010</v>
      </c>
      <c r="AB289" s="169">
        <f>SUMIF(Allocation!C:C,Delivery[[#This Row],[Delivery ID]],Allocation!D:D)/Delivery[[#This Row],[Quantity delivered]]</f>
        <v>1</v>
      </c>
      <c r="AC289" s="170">
        <f>Delivery[[#This Row],[Quantity delivered]]*Delivery[[#This Row],[Base price (Unidad)]]/60</f>
        <v>35426.204737500004</v>
      </c>
      <c r="AD289" s="171">
        <f>Delivery[[#This Row],[Nespresso total]]-Delivery[[#This Row],[Qt. Delivery * Base Price]]</f>
        <v>1887.313982926622</v>
      </c>
      <c r="AE289" s="171">
        <f>Delivery[[#This Row],[AAA Premium (total)]]/Delivery[[#This Row],[Quantity delivered]]*60/Delivery[[#This Row],[Exchange rate VS USD]]</f>
        <v>7</v>
      </c>
      <c r="AF289" s="171">
        <f>Delivery[[#This Row],[BEN premium (total)]]/Delivery[[#This Row],[Quantity delivered]]*60/Delivery[[#This Row],[Exchange rate for premiums VS USD]]</f>
        <v>2.1886854000000002</v>
      </c>
      <c r="AG289" s="171">
        <f>COUNTIF(Delivery[Delivery ID],Delivery[[#This Row],[Delivery ID]])</f>
        <v>1</v>
      </c>
      <c r="AH289" s="171">
        <f>(Delivery[[#This Row],[Nespresso total]]/SUMIF(Allocation!C:C,Delivery[Delivery ID],Allocation!H:H))/Delivery[[#This Row],[Exchange rate VS USD]]</f>
        <v>5.2774214645553403</v>
      </c>
      <c r="AI289" s="171">
        <f>(Delivery[[#This Row],[AAA Premium (total)]]/SUMIF(Allocation!C:C,Delivery[Delivery ID],Allocation!H:H))/Delivery[[#This Row],[Exchange rate VS USD]]</f>
        <v>0.34301643192488263</v>
      </c>
      <c r="AJ289" s="171">
        <f>Delivery[[#This Row],[Valor Prêmio Nespresso AAA por Kg (em US$)]]*60</f>
        <v>20.580985915492956</v>
      </c>
      <c r="AK289" s="171">
        <f>Delivery[[#This Row],[Valor Prêmio Nespresso AAA por saca (em US$)]]/1.3228/100</f>
        <v>0.15558652793689867</v>
      </c>
      <c r="AL289" s="171">
        <f>(Delivery[[#This Row],[BEN premium (total)]]/SUMIF(Allocation!C:C,Delivery[Delivery ID],Allocation!H:H))/Delivery[[#This Row],[Exchange rate for premiums VS USD]]</f>
        <v>0.10725072235915493</v>
      </c>
      <c r="AM289" s="171">
        <f>Delivery[[#This Row],[Valor Prêmio Nespresso BEN por Kg (em US$)]]*60</f>
        <v>6.4350433415492958</v>
      </c>
      <c r="AN289" s="171">
        <f>Delivery[[#This Row],[Valor Prêmio Nespresso BEN por saca (em US$)]]/1.3228/100</f>
        <v>4.8647137447454608E-2</v>
      </c>
      <c r="AO289" s="171">
        <f>SUMIF(Allocation[Delivery ID],Delivery[[#This Row],[Delivery ID]],Allocation[Quantity allocated])*16*1.3228*Delivery[[#This Row],[Exchange rate VS USD]]/60</f>
        <v>2494.0625717759999</v>
      </c>
      <c r="AP289" s="171">
        <f>Delivery[[#This Row],[AAA Premium (total)]]</f>
        <v>2425.2658500000002</v>
      </c>
      <c r="AQ289" s="171">
        <f>Delivery[[#This Row],[Valor pago pelo Cluster]]-Delivery[[#This Row],[Valor efetivamente pago pela Nespresso]]</f>
        <v>-68.796721775999686</v>
      </c>
    </row>
    <row r="290" spans="1:43" ht="15.75">
      <c r="A290" s="174" t="s">
        <v>69</v>
      </c>
      <c r="B290" s="232" t="s">
        <v>68</v>
      </c>
      <c r="C290" s="157">
        <v>1</v>
      </c>
      <c r="D290" s="157" t="s">
        <v>468</v>
      </c>
      <c r="E290" s="177" t="s">
        <v>468</v>
      </c>
      <c r="F290" s="240" t="s">
        <v>543</v>
      </c>
      <c r="G290" s="234">
        <v>43363</v>
      </c>
      <c r="H290" s="157" t="s">
        <v>2004</v>
      </c>
      <c r="I290" s="236" t="s">
        <v>1994</v>
      </c>
      <c r="J290" s="237">
        <v>16960</v>
      </c>
      <c r="K290" s="175" t="s">
        <v>61</v>
      </c>
      <c r="L290" s="175" t="s">
        <v>439</v>
      </c>
      <c r="M290" s="175" t="s">
        <v>1343</v>
      </c>
      <c r="N290" s="180"/>
      <c r="O290" s="177"/>
      <c r="P290" s="185">
        <v>0</v>
      </c>
      <c r="Q290" s="177">
        <v>43355</v>
      </c>
      <c r="R290" s="178">
        <v>424.26592500000004</v>
      </c>
      <c r="S290" s="179">
        <v>126314.82584799113</v>
      </c>
      <c r="T290" s="182" t="s">
        <v>45</v>
      </c>
      <c r="U290" s="183">
        <v>4.1493000000000002</v>
      </c>
      <c r="V290" s="179">
        <v>8210.0816000000013</v>
      </c>
      <c r="W290" s="179">
        <v>2567.0408186755199</v>
      </c>
      <c r="X290" s="186" t="s">
        <v>45</v>
      </c>
      <c r="Y290" s="183">
        <v>4.1493000000000002</v>
      </c>
      <c r="Z290" s="220" t="s">
        <v>473</v>
      </c>
      <c r="AA290" s="172">
        <f>Delivery[[#This Row],[Quantity delivered]]*VLOOKUP(Delivery[[#This Row],[Unit]],Tab_Conversão[],4,FALSE)*VLOOKUP(CONCATENATE(Delivery[[#This Row],[Coffee specie]],Delivery[[#This Row],[Coffee state]]),Tab_Conversão[],4,FALSE)</f>
        <v>16960</v>
      </c>
      <c r="AB290" s="169">
        <f>SUMIF(Allocation!C:C,Delivery[[#This Row],[Delivery ID]],Allocation!D:D)/Delivery[[#This Row],[Quantity delivered]]</f>
        <v>1</v>
      </c>
      <c r="AC290" s="170">
        <f>Delivery[[#This Row],[Quantity delivered]]*Delivery[[#This Row],[Base price (Unidad)]]/60</f>
        <v>119925.83480000001</v>
      </c>
      <c r="AD290" s="171">
        <f>Delivery[[#This Row],[Nespresso total]]-Delivery[[#This Row],[Qt. Delivery * Base Price]]</f>
        <v>6388.9910479911196</v>
      </c>
      <c r="AE290" s="171">
        <f>Delivery[[#This Row],[AAA Premium (total)]]/Delivery[[#This Row],[Quantity delivered]]*60/Delivery[[#This Row],[Exchange rate VS USD]]</f>
        <v>7.0000000000000009</v>
      </c>
      <c r="AF290" s="171">
        <f>Delivery[[#This Row],[BEN premium (total)]]/Delivery[[#This Row],[Quantity delivered]]*60/Delivery[[#This Row],[Exchange rate for premiums VS USD]]</f>
        <v>2.1886853999999998</v>
      </c>
      <c r="AG290" s="171">
        <f>COUNTIF(Delivery[Delivery ID],Delivery[[#This Row],[Delivery ID]])</f>
        <v>1</v>
      </c>
      <c r="AH290" s="171">
        <f>(Delivery[[#This Row],[Nespresso total]]/SUMIF(Allocation!C:C,Delivery[Delivery ID],Allocation!H:H))/Delivery[[#This Row],[Exchange rate VS USD]]</f>
        <v>5.418733055008353</v>
      </c>
      <c r="AI290" s="171">
        <f>(Delivery[[#This Row],[AAA Premium (total)]]/SUMIF(Allocation!C:C,Delivery[Delivery ID],Allocation!H:H))/Delivery[[#This Row],[Exchange rate VS USD]]</f>
        <v>0.35220125786163525</v>
      </c>
      <c r="AJ290" s="171">
        <f>Delivery[[#This Row],[Valor Prêmio Nespresso AAA por Kg (em US$)]]*60</f>
        <v>21.132075471698116</v>
      </c>
      <c r="AK290" s="171">
        <f>Delivery[[#This Row],[Valor Prêmio Nespresso AAA por saca (em US$)]]/1.3228/100</f>
        <v>0.1597526116699283</v>
      </c>
      <c r="AL290" s="171">
        <f>(Delivery[[#This Row],[BEN premium (total)]]/SUMIF(Allocation!C:C,Delivery[Delivery ID],Allocation!H:H))/Delivery[[#This Row],[Exchange rate for premiums VS USD]]</f>
        <v>0.1101225358490566</v>
      </c>
      <c r="AM290" s="171">
        <f>Delivery[[#This Row],[Valor Prêmio Nespresso BEN por Kg (em US$)]]*60</f>
        <v>6.6073521509433961</v>
      </c>
      <c r="AN290" s="171">
        <f>Delivery[[#This Row],[Valor Prêmio Nespresso BEN por saca (em US$)]]/1.3228/100</f>
        <v>4.994974411054881E-2</v>
      </c>
      <c r="AO290" s="171">
        <f>SUMIF(Allocation[Delivery ID],Delivery[[#This Row],[Delivery ID]],Allocation[Quantity allocated])*16*1.3228*Delivery[[#This Row],[Exchange rate VS USD]]/60</f>
        <v>8222.7954977919999</v>
      </c>
      <c r="AP290" s="171">
        <f>Delivery[[#This Row],[AAA Premium (total)]]</f>
        <v>8210.0816000000013</v>
      </c>
      <c r="AQ290" s="171">
        <f>Delivery[[#This Row],[Valor pago pelo Cluster]]-Delivery[[#This Row],[Valor efetivamente pago pela Nespresso]]</f>
        <v>-12.713897791998534</v>
      </c>
    </row>
    <row r="291" spans="1:43" ht="15.75">
      <c r="A291" s="174" t="s">
        <v>69</v>
      </c>
      <c r="B291" s="232" t="s">
        <v>68</v>
      </c>
      <c r="C291" s="157">
        <v>1</v>
      </c>
      <c r="D291" s="157" t="s">
        <v>468</v>
      </c>
      <c r="E291" s="177" t="s">
        <v>468</v>
      </c>
      <c r="F291" s="240" t="s">
        <v>543</v>
      </c>
      <c r="G291" s="234">
        <v>43363</v>
      </c>
      <c r="H291" s="157" t="s">
        <v>2005</v>
      </c>
      <c r="I291" s="236" t="s">
        <v>1994</v>
      </c>
      <c r="J291" s="237">
        <v>17840</v>
      </c>
      <c r="K291" s="175" t="s">
        <v>61</v>
      </c>
      <c r="L291" s="175" t="s">
        <v>439</v>
      </c>
      <c r="M291" s="175" t="s">
        <v>1343</v>
      </c>
      <c r="N291" s="180"/>
      <c r="O291" s="177"/>
      <c r="P291" s="185">
        <v>0</v>
      </c>
      <c r="Q291" s="177">
        <v>43355</v>
      </c>
      <c r="R291" s="178">
        <v>424.26592500000004</v>
      </c>
      <c r="S291" s="179">
        <v>132868.89700048126</v>
      </c>
      <c r="T291" s="182" t="s">
        <v>45</v>
      </c>
      <c r="U291" s="183">
        <v>4.1493000000000002</v>
      </c>
      <c r="V291" s="179">
        <v>8636.0763999999999</v>
      </c>
      <c r="W291" s="179">
        <v>2700.2363328520801</v>
      </c>
      <c r="X291" s="186" t="s">
        <v>45</v>
      </c>
      <c r="Y291" s="183">
        <v>4.1493000000000002</v>
      </c>
      <c r="Z291" s="220" t="s">
        <v>473</v>
      </c>
      <c r="AA291" s="172">
        <f>Delivery[[#This Row],[Quantity delivered]]*VLOOKUP(Delivery[[#This Row],[Unit]],Tab_Conversão[],4,FALSE)*VLOOKUP(CONCATENATE(Delivery[[#This Row],[Coffee specie]],Delivery[[#This Row],[Coffee state]]),Tab_Conversão[],4,FALSE)</f>
        <v>17840</v>
      </c>
      <c r="AB291" s="169">
        <f>SUMIF(Allocation!C:C,Delivery[[#This Row],[Delivery ID]],Allocation!D:D)/Delivery[[#This Row],[Quantity delivered]]</f>
        <v>1</v>
      </c>
      <c r="AC291" s="170">
        <f>Delivery[[#This Row],[Quantity delivered]]*Delivery[[#This Row],[Base price (Unidad)]]/60</f>
        <v>126148.40170000002</v>
      </c>
      <c r="AD291" s="171">
        <f>Delivery[[#This Row],[Nespresso total]]-Delivery[[#This Row],[Qt. Delivery * Base Price]]</f>
        <v>6720.4953004812414</v>
      </c>
      <c r="AE291" s="171">
        <f>Delivery[[#This Row],[AAA Premium (total)]]/Delivery[[#This Row],[Quantity delivered]]*60/Delivery[[#This Row],[Exchange rate VS USD]]</f>
        <v>6.9999999999999991</v>
      </c>
      <c r="AF291" s="171">
        <f>Delivery[[#This Row],[BEN premium (total)]]/Delivery[[#This Row],[Quantity delivered]]*60/Delivery[[#This Row],[Exchange rate for premiums VS USD]]</f>
        <v>2.1886854000000002</v>
      </c>
      <c r="AG291" s="171">
        <f>COUNTIF(Delivery[Delivery ID],Delivery[[#This Row],[Delivery ID]])</f>
        <v>1</v>
      </c>
      <c r="AH291" s="171">
        <f>(Delivery[[#This Row],[Nespresso total]]/SUMIF(Allocation!C:C,Delivery[Delivery ID],Allocation!H:H))/Delivery[[#This Row],[Exchange rate VS USD]]</f>
        <v>5.4210264074101691</v>
      </c>
      <c r="AI291" s="171">
        <f>(Delivery[[#This Row],[AAA Premium (total)]]/SUMIF(Allocation!C:C,Delivery[Delivery ID],Allocation!H:H))/Delivery[[#This Row],[Exchange rate VS USD]]</f>
        <v>0.35235031883076573</v>
      </c>
      <c r="AJ291" s="171">
        <f>Delivery[[#This Row],[Valor Prêmio Nespresso AAA por Kg (em US$)]]*60</f>
        <v>21.141019129845944</v>
      </c>
      <c r="AK291" s="171">
        <f>Delivery[[#This Row],[Valor Prêmio Nespresso AAA por saca (em US$)]]/1.3228/100</f>
        <v>0.15982022323742021</v>
      </c>
      <c r="AL291" s="171">
        <f>(Delivery[[#This Row],[BEN premium (total)]]/SUMIF(Allocation!C:C,Delivery[Delivery ID],Allocation!H:H))/Delivery[[#This Row],[Exchange rate for premiums VS USD]]</f>
        <v>0.1101691426443203</v>
      </c>
      <c r="AM291" s="171">
        <f>Delivery[[#This Row],[Valor Prêmio Nespresso BEN por Kg (em US$)]]*60</f>
        <v>6.6101485586592181</v>
      </c>
      <c r="AN291" s="171">
        <f>Delivery[[#This Row],[Valor Prêmio Nespresso BEN por saca (em US$)]]/1.3228/100</f>
        <v>4.9970884174926053E-2</v>
      </c>
      <c r="AO291" s="171">
        <f>SUMIF(Allocation[Delivery ID],Delivery[[#This Row],[Delivery ID]],Allocation[Quantity allocated])*16*1.3228*Delivery[[#This Row],[Exchange rate VS USD]]/60</f>
        <v>8645.7908518080003</v>
      </c>
      <c r="AP291" s="171">
        <f>Delivery[[#This Row],[AAA Premium (total)]]</f>
        <v>8636.0763999999999</v>
      </c>
      <c r="AQ291" s="171">
        <f>Delivery[[#This Row],[Valor pago pelo Cluster]]-Delivery[[#This Row],[Valor efetivamente pago pela Nespresso]]</f>
        <v>-9.7144518080003763</v>
      </c>
    </row>
    <row r="292" spans="1:43" ht="15.75">
      <c r="A292" s="174" t="s">
        <v>69</v>
      </c>
      <c r="B292" s="232" t="s">
        <v>68</v>
      </c>
      <c r="C292" s="157">
        <v>1</v>
      </c>
      <c r="D292" s="157" t="s">
        <v>468</v>
      </c>
      <c r="E292" s="176" t="s">
        <v>468</v>
      </c>
      <c r="F292" s="240" t="s">
        <v>543</v>
      </c>
      <c r="G292" s="234">
        <v>43363</v>
      </c>
      <c r="H292" s="157" t="s">
        <v>2006</v>
      </c>
      <c r="I292" s="236" t="s">
        <v>1994</v>
      </c>
      <c r="J292" s="237">
        <v>17540</v>
      </c>
      <c r="K292" s="175" t="s">
        <v>61</v>
      </c>
      <c r="L292" s="175" t="s">
        <v>439</v>
      </c>
      <c r="M292" s="175" t="s">
        <v>1343</v>
      </c>
      <c r="N292" s="180"/>
      <c r="O292" s="177"/>
      <c r="P292" s="181">
        <v>0</v>
      </c>
      <c r="Q292" s="177">
        <v>43355</v>
      </c>
      <c r="R292" s="178">
        <v>424.26592500000004</v>
      </c>
      <c r="S292" s="179">
        <v>130634.55456213235</v>
      </c>
      <c r="T292" s="182" t="s">
        <v>45</v>
      </c>
      <c r="U292" s="183">
        <v>4.1493000000000002</v>
      </c>
      <c r="V292" s="179">
        <v>8490.8509000000013</v>
      </c>
      <c r="W292" s="179">
        <v>2654.8287712009801</v>
      </c>
      <c r="X292" s="184" t="s">
        <v>45</v>
      </c>
      <c r="Y292" s="183">
        <v>4.1493000000000002</v>
      </c>
      <c r="Z292" s="220" t="s">
        <v>473</v>
      </c>
      <c r="AA292" s="172">
        <f>Delivery[[#This Row],[Quantity delivered]]*VLOOKUP(Delivery[[#This Row],[Unit]],Tab_Conversão[],4,FALSE)*VLOOKUP(CONCATENATE(Delivery[[#This Row],[Coffee specie]],Delivery[[#This Row],[Coffee state]]),Tab_Conversão[],4,FALSE)</f>
        <v>17540</v>
      </c>
      <c r="AB292" s="169">
        <f>SUMIF(Allocation!C:C,Delivery[[#This Row],[Delivery ID]],Allocation!D:D)/Delivery[[#This Row],[Quantity delivered]]</f>
        <v>1</v>
      </c>
      <c r="AC292" s="170">
        <f>Delivery[[#This Row],[Quantity delivered]]*Delivery[[#This Row],[Base price (Unidad)]]/60</f>
        <v>124027.07207500002</v>
      </c>
      <c r="AD292" s="171">
        <f>Delivery[[#This Row],[Nespresso total]]-Delivery[[#This Row],[Qt. Delivery * Base Price]]</f>
        <v>6607.4824871323362</v>
      </c>
      <c r="AE292" s="171">
        <f>Delivery[[#This Row],[AAA Premium (total)]]/Delivery[[#This Row],[Quantity delivered]]*60/Delivery[[#This Row],[Exchange rate VS USD]]</f>
        <v>7.0000000000000009</v>
      </c>
      <c r="AF292" s="171">
        <f>Delivery[[#This Row],[BEN premium (total)]]/Delivery[[#This Row],[Quantity delivered]]*60/Delivery[[#This Row],[Exchange rate for premiums VS USD]]</f>
        <v>2.1886854000000002</v>
      </c>
      <c r="AG292" s="171">
        <f>COUNTIF(Delivery[Delivery ID],Delivery[[#This Row],[Delivery ID]])</f>
        <v>1</v>
      </c>
      <c r="AH292" s="171">
        <f>(Delivery[[#This Row],[Nespresso total]]/SUMIF(Allocation!C:C,Delivery[Delivery ID],Allocation!H:H))/Delivery[[#This Row],[Exchange rate VS USD]]</f>
        <v>5.4021133135261517</v>
      </c>
      <c r="AI292" s="171">
        <f>(Delivery[[#This Row],[AAA Premium (total)]]/SUMIF(Allocation!C:C,Delivery[Delivery ID],Allocation!H:H))/Delivery[[#This Row],[Exchange rate VS USD]]</f>
        <v>0.35112102493708536</v>
      </c>
      <c r="AJ292" s="171">
        <f>Delivery[[#This Row],[Valor Prêmio Nespresso AAA por Kg (em US$)]]*60</f>
        <v>21.067261496225122</v>
      </c>
      <c r="AK292" s="171">
        <f>Delivery[[#This Row],[Valor Prêmio Nespresso AAA por saca (em US$)]]/1.3228/100</f>
        <v>0.15926263604645541</v>
      </c>
      <c r="AL292" s="171">
        <f>(Delivery[[#This Row],[BEN premium (total)]]/SUMIF(Allocation!C:C,Delivery[Delivery ID],Allocation!H:H))/Delivery[[#This Row],[Exchange rate for premiums VS USD]]</f>
        <v>0.10978478013040494</v>
      </c>
      <c r="AM292" s="171">
        <f>Delivery[[#This Row],[Valor Prêmio Nespresso BEN por Kg (em US$)]]*60</f>
        <v>6.5870868078242957</v>
      </c>
      <c r="AN292" s="171">
        <f>Delivery[[#This Row],[Valor Prêmio Nespresso BEN por saca (em US$)]]/1.3228/100</f>
        <v>4.9796543754341512E-2</v>
      </c>
      <c r="AO292" s="171">
        <f>SUMIF(Allocation[Delivery ID],Delivery[[#This Row],[Delivery ID]],Allocation[Quantity allocated])*16*1.3228*Delivery[[#This Row],[Exchange rate VS USD]]/60</f>
        <v>8530.1623640319995</v>
      </c>
      <c r="AP292" s="171">
        <f>Delivery[[#This Row],[AAA Premium (total)]]</f>
        <v>8490.8509000000013</v>
      </c>
      <c r="AQ292" s="171">
        <f>Delivery[[#This Row],[Valor pago pelo Cluster]]-Delivery[[#This Row],[Valor efetivamente pago pela Nespresso]]</f>
        <v>-39.311464031998185</v>
      </c>
    </row>
    <row r="293" spans="1:43" ht="15.75">
      <c r="A293" s="174" t="s">
        <v>69</v>
      </c>
      <c r="B293" s="232" t="s">
        <v>68</v>
      </c>
      <c r="C293" s="157">
        <v>1</v>
      </c>
      <c r="D293" s="157" t="s">
        <v>468</v>
      </c>
      <c r="E293" s="176" t="s">
        <v>468</v>
      </c>
      <c r="F293" s="240" t="s">
        <v>543</v>
      </c>
      <c r="G293" s="234">
        <v>43363</v>
      </c>
      <c r="H293" s="157" t="s">
        <v>2007</v>
      </c>
      <c r="I293" s="236" t="s">
        <v>1994</v>
      </c>
      <c r="J293" s="237">
        <v>19130</v>
      </c>
      <c r="K293" s="175" t="s">
        <v>61</v>
      </c>
      <c r="L293" s="175" t="s">
        <v>439</v>
      </c>
      <c r="M293" s="175" t="s">
        <v>1343</v>
      </c>
      <c r="N293" s="180"/>
      <c r="O293" s="177"/>
      <c r="P293" s="181">
        <v>0</v>
      </c>
      <c r="Q293" s="177">
        <v>43355</v>
      </c>
      <c r="R293" s="178">
        <v>424.26592500000004</v>
      </c>
      <c r="S293" s="179">
        <v>142476.56948538151</v>
      </c>
      <c r="T293" s="182" t="s">
        <v>45</v>
      </c>
      <c r="U293" s="183">
        <v>4.1493000000000002</v>
      </c>
      <c r="V293" s="179">
        <v>9260.5460500000008</v>
      </c>
      <c r="W293" s="179">
        <v>2895.4888479518099</v>
      </c>
      <c r="X293" s="184" t="s">
        <v>45</v>
      </c>
      <c r="Y293" s="183">
        <v>4.1493000000000002</v>
      </c>
      <c r="Z293" s="220" t="s">
        <v>473</v>
      </c>
      <c r="AA293" s="172">
        <f>Delivery[[#This Row],[Quantity delivered]]*VLOOKUP(Delivery[[#This Row],[Unit]],Tab_Conversão[],4,FALSE)*VLOOKUP(CONCATENATE(Delivery[[#This Row],[Coffee specie]],Delivery[[#This Row],[Coffee state]]),Tab_Conversão[],4,FALSE)</f>
        <v>19130</v>
      </c>
      <c r="AB293" s="169">
        <f>SUMIF(Allocation!C:C,Delivery[[#This Row],[Delivery ID]],Allocation!D:D)/Delivery[[#This Row],[Quantity delivered]]</f>
        <v>1</v>
      </c>
      <c r="AC293" s="170">
        <f>Delivery[[#This Row],[Quantity delivered]]*Delivery[[#This Row],[Base price (Unidad)]]/60</f>
        <v>135270.1190875</v>
      </c>
      <c r="AD293" s="171">
        <f>Delivery[[#This Row],[Nespresso total]]-Delivery[[#This Row],[Qt. Delivery * Base Price]]</f>
        <v>7206.4503978815046</v>
      </c>
      <c r="AE293" s="171">
        <f>Delivery[[#This Row],[AAA Premium (total)]]/Delivery[[#This Row],[Quantity delivered]]*60/Delivery[[#This Row],[Exchange rate VS USD]]</f>
        <v>7</v>
      </c>
      <c r="AF293" s="171">
        <f>Delivery[[#This Row],[BEN premium (total)]]/Delivery[[#This Row],[Quantity delivered]]*60/Delivery[[#This Row],[Exchange rate for premiums VS USD]]</f>
        <v>2.1886853999999998</v>
      </c>
      <c r="AG293" s="171">
        <f>COUNTIF(Delivery[Delivery ID],Delivery[[#This Row],[Delivery ID]])</f>
        <v>1</v>
      </c>
      <c r="AH293" s="171">
        <f>(Delivery[[#This Row],[Nespresso total]]/SUMIF(Allocation!C:C,Delivery[Delivery ID],Allocation!H:H))/Delivery[[#This Row],[Exchange rate VS USD]]</f>
        <v>5.4074795838015932</v>
      </c>
      <c r="AI293" s="171">
        <f>(Delivery[[#This Row],[AAA Premium (total)]]/SUMIF(Allocation!C:C,Delivery[Delivery ID],Allocation!H:H))/Delivery[[#This Row],[Exchange rate VS USD]]</f>
        <v>0.35146981627296592</v>
      </c>
      <c r="AJ293" s="171">
        <f>Delivery[[#This Row],[Valor Prêmio Nespresso AAA por Kg (em US$)]]*60</f>
        <v>21.088188976377957</v>
      </c>
      <c r="AK293" s="171">
        <f>Delivery[[#This Row],[Valor Prêmio Nespresso AAA por saca (em US$)]]/1.3228/100</f>
        <v>0.15942084197443271</v>
      </c>
      <c r="AL293" s="171">
        <f>(Delivery[[#This Row],[BEN premium (total)]]/SUMIF(Allocation!C:C,Delivery[Delivery ID],Allocation!H:H))/Delivery[[#This Row],[Exchange rate for premiums VS USD]]</f>
        <v>0.10989383648818897</v>
      </c>
      <c r="AM293" s="171">
        <f>Delivery[[#This Row],[Valor Prêmio Nespresso BEN por Kg (em US$)]]*60</f>
        <v>6.5936301892913383</v>
      </c>
      <c r="AN293" s="171">
        <f>Delivery[[#This Row],[Valor Prêmio Nespresso BEN por saca (em US$)]]/1.3228/100</f>
        <v>4.9846009897878282E-2</v>
      </c>
      <c r="AO293" s="171">
        <f>SUMIF(Allocation[Delivery ID],Delivery[[#This Row],[Delivery ID]],Allocation[Quantity allocated])*16*1.3228*Delivery[[#This Row],[Exchange rate VS USD]]/60</f>
        <v>9294.188574400001</v>
      </c>
      <c r="AP293" s="171">
        <f>Delivery[[#This Row],[AAA Premium (total)]]</f>
        <v>9260.5460500000008</v>
      </c>
      <c r="AQ293" s="171">
        <f>Delivery[[#This Row],[Valor pago pelo Cluster]]-Delivery[[#This Row],[Valor efetivamente pago pela Nespresso]]</f>
        <v>-33.642524400000184</v>
      </c>
    </row>
    <row r="294" spans="1:43" ht="15.75">
      <c r="A294" s="174" t="s">
        <v>69</v>
      </c>
      <c r="B294" s="232" t="s">
        <v>68</v>
      </c>
      <c r="C294" s="157">
        <v>1</v>
      </c>
      <c r="D294" s="157" t="s">
        <v>468</v>
      </c>
      <c r="E294" s="176" t="s">
        <v>468</v>
      </c>
      <c r="F294" s="233" t="s">
        <v>543</v>
      </c>
      <c r="G294" s="234">
        <v>43403</v>
      </c>
      <c r="H294" s="235" t="s">
        <v>2143</v>
      </c>
      <c r="I294" s="236" t="s">
        <v>672</v>
      </c>
      <c r="J294" s="237">
        <v>17510</v>
      </c>
      <c r="K294" s="175" t="s">
        <v>61</v>
      </c>
      <c r="L294" s="175" t="s">
        <v>439</v>
      </c>
      <c r="M294" s="175" t="s">
        <v>1343</v>
      </c>
      <c r="N294" s="180"/>
      <c r="O294" s="177"/>
      <c r="P294" s="181">
        <v>0</v>
      </c>
      <c r="Q294" s="177">
        <v>43397</v>
      </c>
      <c r="R294" s="178">
        <v>450.68575999999996</v>
      </c>
      <c r="S294" s="179">
        <v>132477.74166666667</v>
      </c>
      <c r="T294" s="182" t="s">
        <v>45</v>
      </c>
      <c r="U294" s="183">
        <v>3.7216</v>
      </c>
      <c r="V294" s="179">
        <v>7602.2583333333341</v>
      </c>
      <c r="W294" s="179">
        <v>0</v>
      </c>
      <c r="X294" s="184" t="s">
        <v>45</v>
      </c>
      <c r="Y294" s="183">
        <v>3.7216</v>
      </c>
      <c r="Z294" s="220"/>
      <c r="AA294" s="172">
        <f>Delivery[[#This Row],[Quantity delivered]]*VLOOKUP(Delivery[[#This Row],[Unit]],Tab_Conversão[],4,FALSE)*VLOOKUP(CONCATENATE(Delivery[[#This Row],[Coffee specie]],Delivery[[#This Row],[Coffee state]]),Tab_Conversão[],4,FALSE)</f>
        <v>17510</v>
      </c>
      <c r="AB294" s="169">
        <f>SUMIF(Allocation!C:C,Delivery[[#This Row],[Delivery ID]],Allocation!D:D)/Delivery[[#This Row],[Quantity delivered]]</f>
        <v>0.13460879497430039</v>
      </c>
      <c r="AC294" s="170">
        <f>Delivery[[#This Row],[Quantity delivered]]*Delivery[[#This Row],[Base price (Unidad)]]/60</f>
        <v>131525.12762666665</v>
      </c>
      <c r="AD294" s="171">
        <f>Delivery[[#This Row],[Nespresso total]]-Delivery[[#This Row],[Qt. Delivery * Base Price]]</f>
        <v>952.61404000001494</v>
      </c>
      <c r="AE294" s="171">
        <f>Delivery[[#This Row],[AAA Premium (total)]]/Delivery[[#This Row],[Quantity delivered]]*60/Delivery[[#This Row],[Exchange rate VS USD]]</f>
        <v>6.9996775580395534</v>
      </c>
      <c r="AF294" s="171">
        <f>Delivery[[#This Row],[BEN premium (total)]]/Delivery[[#This Row],[Quantity delivered]]*60/Delivery[[#This Row],[Exchange rate for premiums VS USD]]</f>
        <v>0</v>
      </c>
      <c r="AG294" s="171">
        <f>COUNTIF(Delivery[Delivery ID],Delivery[[#This Row],[Delivery ID]])</f>
        <v>1</v>
      </c>
      <c r="AH294" s="171">
        <f>(Delivery[[#This Row],[Nespresso total]]/SUMIF(Allocation!C:C,Delivery[Delivery ID],Allocation!H:H))/Delivery[[#This Row],[Exchange rate VS USD]]</f>
        <v>45.754480225585958</v>
      </c>
      <c r="AI294" s="171">
        <f>(Delivery[[#This Row],[AAA Premium (total)]]/SUMIF(Allocation!C:C,Delivery[Delivery ID],Allocation!H:H))/Delivery[[#This Row],[Exchange rate VS USD]]</f>
        <v>2.6256288355028401</v>
      </c>
      <c r="AJ294" s="171">
        <f>Delivery[[#This Row],[Valor Prêmio Nespresso AAA por Kg (em US$)]]*60</f>
        <v>157.53773013017042</v>
      </c>
      <c r="AK294" s="171">
        <f>Delivery[[#This Row],[Valor Prêmio Nespresso AAA por saca (em US$)]]/1.3228/100</f>
        <v>1.1909414131400848</v>
      </c>
      <c r="AL294" s="171">
        <f>(Delivery[[#This Row],[BEN premium (total)]]/SUMIF(Allocation!C:C,Delivery[Delivery ID],Allocation!H:H))/Delivery[[#This Row],[Exchange rate for premiums VS USD]]</f>
        <v>0</v>
      </c>
      <c r="AM294" s="171">
        <f>Delivery[[#This Row],[Valor Prêmio Nespresso BEN por Kg (em US$)]]*60</f>
        <v>0</v>
      </c>
      <c r="AN294" s="171">
        <f>Delivery[[#This Row],[Valor Prêmio Nespresso BEN por saca (em US$)]]/1.3228/100</f>
        <v>0</v>
      </c>
      <c r="AO294" s="171">
        <f>SUMIF(Allocation[Delivery ID],Delivery[[#This Row],[Delivery ID]],Allocation[Quantity allocated])*16*1.3228*Delivery[[#This Row],[Exchange rate VS USD]]/60</f>
        <v>1021.3443918506667</v>
      </c>
      <c r="AP294" s="171">
        <f>Delivery[[#This Row],[AAA Premium (total)]]</f>
        <v>7602.2583333333341</v>
      </c>
      <c r="AQ294" s="171">
        <f>Delivery[[#This Row],[Valor pago pelo Cluster]]-Delivery[[#This Row],[Valor efetivamente pago pela Nespresso]]</f>
        <v>6580.9139414826677</v>
      </c>
    </row>
    <row r="295" spans="1:43" ht="15.75">
      <c r="A295" s="174" t="s">
        <v>69</v>
      </c>
      <c r="B295" s="232" t="s">
        <v>68</v>
      </c>
      <c r="C295" s="157">
        <v>1</v>
      </c>
      <c r="D295" s="157" t="s">
        <v>468</v>
      </c>
      <c r="E295" s="176" t="s">
        <v>468</v>
      </c>
      <c r="F295" s="233" t="s">
        <v>543</v>
      </c>
      <c r="G295" s="234">
        <v>43403</v>
      </c>
      <c r="H295" s="235" t="s">
        <v>2144</v>
      </c>
      <c r="I295" s="236" t="s">
        <v>672</v>
      </c>
      <c r="J295" s="237">
        <v>2080</v>
      </c>
      <c r="K295" s="175" t="s">
        <v>61</v>
      </c>
      <c r="L295" s="175" t="s">
        <v>439</v>
      </c>
      <c r="M295" s="175" t="s">
        <v>1343</v>
      </c>
      <c r="N295" s="180"/>
      <c r="O295" s="177"/>
      <c r="P295" s="181">
        <v>0</v>
      </c>
      <c r="Q295" s="177">
        <v>43397</v>
      </c>
      <c r="R295" s="178">
        <v>450.68575999999996</v>
      </c>
      <c r="S295" s="179">
        <v>15736.933333333332</v>
      </c>
      <c r="T295" s="182" t="s">
        <v>45</v>
      </c>
      <c r="U295" s="183">
        <v>3.7216</v>
      </c>
      <c r="V295" s="179">
        <v>903.06666666666672</v>
      </c>
      <c r="W295" s="179">
        <v>0</v>
      </c>
      <c r="X295" s="184" t="s">
        <v>45</v>
      </c>
      <c r="Y295" s="183">
        <v>3.7216</v>
      </c>
      <c r="Z295" s="220"/>
      <c r="AA295" s="172">
        <f>Delivery[[#This Row],[Quantity delivered]]*VLOOKUP(Delivery[[#This Row],[Unit]],Tab_Conversão[],4,FALSE)*VLOOKUP(CONCATENATE(Delivery[[#This Row],[Coffee specie]],Delivery[[#This Row],[Coffee state]]),Tab_Conversão[],4,FALSE)</f>
        <v>2080</v>
      </c>
      <c r="AB295" s="169">
        <f>SUMIF(Allocation!C:C,Delivery[[#This Row],[Delivery ID]],Allocation!D:D)/Delivery[[#This Row],[Quantity delivered]]</f>
        <v>0.1360576923076923</v>
      </c>
      <c r="AC295" s="170">
        <f>Delivery[[#This Row],[Quantity delivered]]*Delivery[[#This Row],[Base price (Unidad)]]/60</f>
        <v>15623.773013333332</v>
      </c>
      <c r="AD295" s="171">
        <f>Delivery[[#This Row],[Nespresso total]]-Delivery[[#This Row],[Qt. Delivery * Base Price]]</f>
        <v>113.16032000000087</v>
      </c>
      <c r="AE295" s="171">
        <f>Delivery[[#This Row],[AAA Premium (total)]]/Delivery[[#This Row],[Quantity delivered]]*60/Delivery[[#This Row],[Exchange rate VS USD]]</f>
        <v>6.9996775580395534</v>
      </c>
      <c r="AF295" s="171">
        <f>Delivery[[#This Row],[BEN premium (total)]]/Delivery[[#This Row],[Quantity delivered]]*60/Delivery[[#This Row],[Exchange rate for premiums VS USD]]</f>
        <v>0</v>
      </c>
      <c r="AG295" s="171">
        <f>COUNTIF(Delivery[Delivery ID],Delivery[[#This Row],[Delivery ID]])</f>
        <v>1</v>
      </c>
      <c r="AH295" s="171">
        <f>(Delivery[[#This Row],[Nespresso total]]/SUMIF(Allocation!C:C,Delivery[Delivery ID],Allocation!H:H))/Delivery[[#This Row],[Exchange rate VS USD]]</f>
        <v>45.468168776215265</v>
      </c>
      <c r="AI295" s="171">
        <f>(Delivery[[#This Row],[AAA Premium (total)]]/SUMIF(Allocation!C:C,Delivery[Delivery ID],Allocation!H:H))/Delivery[[#This Row],[Exchange rate VS USD]]</f>
        <v>2.6091988029968229</v>
      </c>
      <c r="AJ295" s="171">
        <f>Delivery[[#This Row],[Valor Prêmio Nespresso AAA por Kg (em US$)]]*60</f>
        <v>156.55192817980938</v>
      </c>
      <c r="AK295" s="171">
        <f>Delivery[[#This Row],[Valor Prêmio Nespresso AAA por saca (em US$)]]/1.3228/100</f>
        <v>1.1834890246432521</v>
      </c>
      <c r="AL295" s="171">
        <f>(Delivery[[#This Row],[BEN premium (total)]]/SUMIF(Allocation!C:C,Delivery[Delivery ID],Allocation!H:H))/Delivery[[#This Row],[Exchange rate for premiums VS USD]]</f>
        <v>0</v>
      </c>
      <c r="AM295" s="171">
        <f>Delivery[[#This Row],[Valor Prêmio Nespresso BEN por Kg (em US$)]]*60</f>
        <v>0</v>
      </c>
      <c r="AN295" s="171">
        <f>Delivery[[#This Row],[Valor Prêmio Nespresso BEN por saca (em US$)]]/1.3228/100</f>
        <v>0</v>
      </c>
      <c r="AO295" s="171">
        <f>SUMIF(Allocation[Delivery ID],Delivery[[#This Row],[Delivery ID]],Allocation[Quantity allocated])*16*1.3228*Delivery[[#This Row],[Exchange rate VS USD]]/60</f>
        <v>122.088725504</v>
      </c>
      <c r="AP295" s="171">
        <f>Delivery[[#This Row],[AAA Premium (total)]]</f>
        <v>903.06666666666672</v>
      </c>
      <c r="AQ295" s="171">
        <f>Delivery[[#This Row],[Valor pago pelo Cluster]]-Delivery[[#This Row],[Valor efetivamente pago pela Nespresso]]</f>
        <v>780.97794116266675</v>
      </c>
    </row>
    <row r="296" spans="1:43" ht="15.75">
      <c r="A296" s="174" t="s">
        <v>69</v>
      </c>
      <c r="B296" s="232" t="s">
        <v>68</v>
      </c>
      <c r="C296" s="157">
        <v>1</v>
      </c>
      <c r="D296" s="157" t="s">
        <v>468</v>
      </c>
      <c r="E296" s="176" t="s">
        <v>468</v>
      </c>
      <c r="F296" s="233" t="s">
        <v>543</v>
      </c>
      <c r="G296" s="234">
        <v>43403</v>
      </c>
      <c r="H296" s="235" t="s">
        <v>2145</v>
      </c>
      <c r="I296" s="236" t="s">
        <v>672</v>
      </c>
      <c r="J296" s="237">
        <v>1890</v>
      </c>
      <c r="K296" s="175" t="s">
        <v>61</v>
      </c>
      <c r="L296" s="175" t="s">
        <v>439</v>
      </c>
      <c r="M296" s="175" t="s">
        <v>1343</v>
      </c>
      <c r="N296" s="180"/>
      <c r="O296" s="177"/>
      <c r="P296" s="181">
        <v>0</v>
      </c>
      <c r="Q296" s="177">
        <v>43397</v>
      </c>
      <c r="R296" s="178">
        <v>450.68575999999996</v>
      </c>
      <c r="S296" s="179">
        <v>14299.424999999999</v>
      </c>
      <c r="T296" s="182" t="s">
        <v>45</v>
      </c>
      <c r="U296" s="183">
        <v>3.7216</v>
      </c>
      <c r="V296" s="179">
        <v>820.57500000000005</v>
      </c>
      <c r="W296" s="179">
        <v>0</v>
      </c>
      <c r="X296" s="184" t="s">
        <v>45</v>
      </c>
      <c r="Y296" s="183">
        <v>3.7216</v>
      </c>
      <c r="Z296" s="220"/>
      <c r="AA296" s="172">
        <f>Delivery[[#This Row],[Quantity delivered]]*VLOOKUP(Delivery[[#This Row],[Unit]],Tab_Conversão[],4,FALSE)*VLOOKUP(CONCATENATE(Delivery[[#This Row],[Coffee specie]],Delivery[[#This Row],[Coffee state]]),Tab_Conversão[],4,FALSE)</f>
        <v>1890</v>
      </c>
      <c r="AB296" s="169">
        <f>SUMIF(Allocation!C:C,Delivery[[#This Row],[Delivery ID]],Allocation!D:D)/Delivery[[#This Row],[Quantity delivered]]</f>
        <v>0.13650793650793649</v>
      </c>
      <c r="AC296" s="170">
        <f>Delivery[[#This Row],[Quantity delivered]]*Delivery[[#This Row],[Base price (Unidad)]]/60</f>
        <v>14196.601439999999</v>
      </c>
      <c r="AD296" s="171">
        <f>Delivery[[#This Row],[Nespresso total]]-Delivery[[#This Row],[Qt. Delivery * Base Price]]</f>
        <v>102.82356000000073</v>
      </c>
      <c r="AE296" s="171">
        <f>Delivery[[#This Row],[AAA Premium (total)]]/Delivery[[#This Row],[Quantity delivered]]*60/Delivery[[#This Row],[Exchange rate VS USD]]</f>
        <v>6.9996775580395534</v>
      </c>
      <c r="AF296" s="171">
        <f>Delivery[[#This Row],[BEN premium (total)]]/Delivery[[#This Row],[Quantity delivered]]*60/Delivery[[#This Row],[Exchange rate for premiums VS USD]]</f>
        <v>0</v>
      </c>
      <c r="AG296" s="171">
        <f>COUNTIF(Delivery[Delivery ID],Delivery[[#This Row],[Delivery ID]])</f>
        <v>1</v>
      </c>
      <c r="AH296" s="171">
        <f>(Delivery[[#This Row],[Nespresso total]]/SUMIF(Allocation!C:C,Delivery[Delivery ID],Allocation!H:H))/Delivery[[#This Row],[Exchange rate VS USD]]</f>
        <v>45.203280688887759</v>
      </c>
      <c r="AI296" s="171">
        <f>(Delivery[[#This Row],[AAA Premium (total)]]/SUMIF(Allocation!C:C,Delivery[Delivery ID],Allocation!H:H))/Delivery[[#This Row],[Exchange rate VS USD]]</f>
        <v>2.5939981538617167</v>
      </c>
      <c r="AJ296" s="171">
        <f>Delivery[[#This Row],[Valor Prêmio Nespresso AAA por Kg (em US$)]]*60</f>
        <v>155.63988923170299</v>
      </c>
      <c r="AK296" s="171">
        <f>Delivery[[#This Row],[Valor Prêmio Nespresso AAA por saca (em US$)]]/1.3228/100</f>
        <v>1.1765942639227622</v>
      </c>
      <c r="AL296" s="171">
        <f>(Delivery[[#This Row],[BEN premium (total)]]/SUMIF(Allocation!C:C,Delivery[Delivery ID],Allocation!H:H))/Delivery[[#This Row],[Exchange rate for premiums VS USD]]</f>
        <v>0</v>
      </c>
      <c r="AM296" s="171">
        <f>Delivery[[#This Row],[Valor Prêmio Nespresso BEN por Kg (em US$)]]*60</f>
        <v>0</v>
      </c>
      <c r="AN296" s="171">
        <f>Delivery[[#This Row],[Valor Prêmio Nespresso BEN por saca (em US$)]]/1.3228/100</f>
        <v>0</v>
      </c>
      <c r="AO296" s="171">
        <f>SUMIF(Allocation[Delivery ID],Delivery[[#This Row],[Delivery ID]],Allocation[Quantity allocated])*16*1.3228*Delivery[[#This Row],[Exchange rate VS USD]]/60</f>
        <v>111.58646954666666</v>
      </c>
      <c r="AP296" s="171">
        <f>Delivery[[#This Row],[AAA Premium (total)]]</f>
        <v>820.57500000000005</v>
      </c>
      <c r="AQ296" s="171">
        <f>Delivery[[#This Row],[Valor pago pelo Cluster]]-Delivery[[#This Row],[Valor efetivamente pago pela Nespresso]]</f>
        <v>708.9885304533334</v>
      </c>
    </row>
    <row r="297" spans="1:43" ht="15.75">
      <c r="A297" s="174" t="s">
        <v>69</v>
      </c>
      <c r="B297" s="232" t="s">
        <v>68</v>
      </c>
      <c r="C297" s="157">
        <v>1</v>
      </c>
      <c r="D297" s="157" t="s">
        <v>468</v>
      </c>
      <c r="E297" s="176" t="s">
        <v>468</v>
      </c>
      <c r="F297" s="233" t="s">
        <v>543</v>
      </c>
      <c r="G297" s="234">
        <v>43403</v>
      </c>
      <c r="H297" s="235" t="s">
        <v>2146</v>
      </c>
      <c r="I297" s="236" t="s">
        <v>672</v>
      </c>
      <c r="J297" s="237">
        <v>2010</v>
      </c>
      <c r="K297" s="175" t="s">
        <v>61</v>
      </c>
      <c r="L297" s="175" t="s">
        <v>439</v>
      </c>
      <c r="M297" s="175" t="s">
        <v>1343</v>
      </c>
      <c r="N297" s="180"/>
      <c r="O297" s="177"/>
      <c r="P297" s="181">
        <v>0</v>
      </c>
      <c r="Q297" s="177">
        <v>43397</v>
      </c>
      <c r="R297" s="178">
        <v>450.68575999999996</v>
      </c>
      <c r="S297" s="179">
        <v>15207.324999999999</v>
      </c>
      <c r="T297" s="182" t="s">
        <v>45</v>
      </c>
      <c r="U297" s="183">
        <v>3.7216</v>
      </c>
      <c r="V297" s="179">
        <v>872.67500000000007</v>
      </c>
      <c r="W297" s="179">
        <v>0</v>
      </c>
      <c r="X297" s="184" t="s">
        <v>45</v>
      </c>
      <c r="Y297" s="183">
        <v>3.7216</v>
      </c>
      <c r="Z297" s="220"/>
      <c r="AA297" s="172">
        <f>Delivery[[#This Row],[Quantity delivered]]*VLOOKUP(Delivery[[#This Row],[Unit]],Tab_Conversão[],4,FALSE)*VLOOKUP(CONCATENATE(Delivery[[#This Row],[Coffee specie]],Delivery[[#This Row],[Coffee state]]),Tab_Conversão[],4,FALSE)</f>
        <v>2010</v>
      </c>
      <c r="AB297" s="169">
        <f>SUMIF(Allocation!C:C,Delivery[[#This Row],[Delivery ID]],Allocation!D:D)/Delivery[[#This Row],[Quantity delivered]]</f>
        <v>0.1373134328358209</v>
      </c>
      <c r="AC297" s="170">
        <f>Delivery[[#This Row],[Quantity delivered]]*Delivery[[#This Row],[Base price (Unidad)]]/60</f>
        <v>15097.972959999997</v>
      </c>
      <c r="AD297" s="171">
        <f>Delivery[[#This Row],[Nespresso total]]-Delivery[[#This Row],[Qt. Delivery * Base Price]]</f>
        <v>109.35204000000158</v>
      </c>
      <c r="AE297" s="171">
        <f>Delivery[[#This Row],[AAA Premium (total)]]/Delivery[[#This Row],[Quantity delivered]]*60/Delivery[[#This Row],[Exchange rate VS USD]]</f>
        <v>6.9996775580395534</v>
      </c>
      <c r="AF297" s="171">
        <f>Delivery[[#This Row],[BEN premium (total)]]/Delivery[[#This Row],[Quantity delivered]]*60/Delivery[[#This Row],[Exchange rate for premiums VS USD]]</f>
        <v>0</v>
      </c>
      <c r="AG297" s="171">
        <f>COUNTIF(Delivery[Delivery ID],Delivery[[#This Row],[Delivery ID]])</f>
        <v>1</v>
      </c>
      <c r="AH297" s="171">
        <f>(Delivery[[#This Row],[Nespresso total]]/SUMIF(Allocation!C:C,Delivery[Delivery ID],Allocation!H:H))/Delivery[[#This Row],[Exchange rate VS USD]]</f>
        <v>44.903660129638205</v>
      </c>
      <c r="AI297" s="171">
        <f>(Delivery[[#This Row],[AAA Premium (total)]]/SUMIF(Allocation!C:C,Delivery[Delivery ID],Allocation!H:H))/Delivery[[#This Row],[Exchange rate VS USD]]</f>
        <v>2.5768043757618133</v>
      </c>
      <c r="AJ297" s="171">
        <f>Delivery[[#This Row],[Valor Prêmio Nespresso AAA por Kg (em US$)]]*60</f>
        <v>154.60826254570881</v>
      </c>
      <c r="AK297" s="171">
        <f>Delivery[[#This Row],[Valor Prêmio Nespresso AAA por saca (em US$)]]/1.3228/100</f>
        <v>1.1687954531728819</v>
      </c>
      <c r="AL297" s="171">
        <f>(Delivery[[#This Row],[BEN premium (total)]]/SUMIF(Allocation!C:C,Delivery[Delivery ID],Allocation!H:H))/Delivery[[#This Row],[Exchange rate for premiums VS USD]]</f>
        <v>0</v>
      </c>
      <c r="AM297" s="171">
        <f>Delivery[[#This Row],[Valor Prêmio Nespresso BEN por Kg (em US$)]]*60</f>
        <v>0</v>
      </c>
      <c r="AN297" s="171">
        <f>Delivery[[#This Row],[Valor Prêmio Nespresso BEN por saca (em US$)]]/1.3228/100</f>
        <v>0</v>
      </c>
      <c r="AO297" s="171">
        <f>SUMIF(Allocation[Delivery ID],Delivery[[#This Row],[Delivery ID]],Allocation[Quantity allocated])*16*1.3228*Delivery[[#This Row],[Exchange rate VS USD]]/60</f>
        <v>119.46316151466665</v>
      </c>
      <c r="AP297" s="171">
        <f>Delivery[[#This Row],[AAA Premium (total)]]</f>
        <v>872.67500000000007</v>
      </c>
      <c r="AQ297" s="171">
        <f>Delivery[[#This Row],[Valor pago pelo Cluster]]-Delivery[[#This Row],[Valor efetivamente pago pela Nespresso]]</f>
        <v>753.21183848533337</v>
      </c>
    </row>
    <row r="298" spans="1:43" ht="15.75">
      <c r="A298" s="174" t="s">
        <v>69</v>
      </c>
      <c r="B298" s="232" t="s">
        <v>68</v>
      </c>
      <c r="C298" s="157">
        <v>1</v>
      </c>
      <c r="D298" s="157" t="s">
        <v>468</v>
      </c>
      <c r="E298" s="176" t="s">
        <v>468</v>
      </c>
      <c r="F298" s="233" t="s">
        <v>543</v>
      </c>
      <c r="G298" s="234">
        <v>43403</v>
      </c>
      <c r="H298" s="235" t="s">
        <v>2147</v>
      </c>
      <c r="I298" s="236" t="s">
        <v>672</v>
      </c>
      <c r="J298" s="237">
        <v>7080</v>
      </c>
      <c r="K298" s="175" t="s">
        <v>61</v>
      </c>
      <c r="L298" s="175" t="s">
        <v>439</v>
      </c>
      <c r="M298" s="175" t="s">
        <v>1343</v>
      </c>
      <c r="N298" s="180"/>
      <c r="O298" s="177"/>
      <c r="P298" s="181">
        <v>0</v>
      </c>
      <c r="Q298" s="177">
        <v>43397</v>
      </c>
      <c r="R298" s="178">
        <v>450.68575999999996</v>
      </c>
      <c r="S298" s="179">
        <v>53566.1</v>
      </c>
      <c r="T298" s="182" t="s">
        <v>45</v>
      </c>
      <c r="U298" s="183">
        <v>3.7216</v>
      </c>
      <c r="V298" s="179">
        <v>3073.9</v>
      </c>
      <c r="W298" s="179">
        <v>0</v>
      </c>
      <c r="X298" s="184" t="s">
        <v>45</v>
      </c>
      <c r="Y298" s="183">
        <v>3.7216</v>
      </c>
      <c r="Z298" s="220"/>
      <c r="AA298" s="172">
        <f>Delivery[[#This Row],[Quantity delivered]]*VLOOKUP(Delivery[[#This Row],[Unit]],Tab_Conversão[],4,FALSE)*VLOOKUP(CONCATENATE(Delivery[[#This Row],[Coffee specie]],Delivery[[#This Row],[Coffee state]]),Tab_Conversão[],4,FALSE)</f>
        <v>7080</v>
      </c>
      <c r="AB298" s="169">
        <f>SUMIF(Allocation!C:C,Delivery[[#This Row],[Delivery ID]],Allocation!D:D)/Delivery[[#This Row],[Quantity delivered]]</f>
        <v>0.13460451977401131</v>
      </c>
      <c r="AC298" s="170">
        <f>Delivery[[#This Row],[Quantity delivered]]*Delivery[[#This Row],[Base price (Unidad)]]/60</f>
        <v>53180.919679999999</v>
      </c>
      <c r="AD298" s="171">
        <f>Delivery[[#This Row],[Nespresso total]]-Delivery[[#This Row],[Qt. Delivery * Base Price]]</f>
        <v>385.18031999999948</v>
      </c>
      <c r="AE298" s="171">
        <f>Delivery[[#This Row],[AAA Premium (total)]]/Delivery[[#This Row],[Quantity delivered]]*60/Delivery[[#This Row],[Exchange rate VS USD]]</f>
        <v>6.9996775580395534</v>
      </c>
      <c r="AF298" s="171">
        <f>Delivery[[#This Row],[BEN premium (total)]]/Delivery[[#This Row],[Quantity delivered]]*60/Delivery[[#This Row],[Exchange rate for premiums VS USD]]</f>
        <v>0</v>
      </c>
      <c r="AG298" s="171">
        <f>COUNTIF(Delivery[Delivery ID],Delivery[[#This Row],[Delivery ID]])</f>
        <v>1</v>
      </c>
      <c r="AH298" s="171">
        <f>(Delivery[[#This Row],[Nespresso total]]/SUMIF(Allocation!C:C,Delivery[Delivery ID],Allocation!H:H))/Delivery[[#This Row],[Exchange rate VS USD]]</f>
        <v>45.838530513552143</v>
      </c>
      <c r="AI298" s="171">
        <f>(Delivery[[#This Row],[AAA Premium (total)]]/SUMIF(Allocation!C:C,Delivery[Delivery ID],Allocation!H:H))/Delivery[[#This Row],[Exchange rate VS USD]]</f>
        <v>2.6304520759511694</v>
      </c>
      <c r="AJ298" s="171">
        <f>Delivery[[#This Row],[Valor Prêmio Nespresso AAA por Kg (em US$)]]*60</f>
        <v>157.82712455707016</v>
      </c>
      <c r="AK298" s="171">
        <f>Delivery[[#This Row],[Valor Prêmio Nespresso AAA por saca (em US$)]]/1.3228/100</f>
        <v>1.1931291544985649</v>
      </c>
      <c r="AL298" s="171">
        <f>(Delivery[[#This Row],[BEN premium (total)]]/SUMIF(Allocation!C:C,Delivery[Delivery ID],Allocation!H:H))/Delivery[[#This Row],[Exchange rate for premiums VS USD]]</f>
        <v>0</v>
      </c>
      <c r="AM298" s="171">
        <f>Delivery[[#This Row],[Valor Prêmio Nespresso BEN por Kg (em US$)]]*60</f>
        <v>0</v>
      </c>
      <c r="AN298" s="171">
        <f>Delivery[[#This Row],[Valor Prêmio Nespresso BEN por saca (em US$)]]/1.3228/100</f>
        <v>0</v>
      </c>
      <c r="AO298" s="171">
        <f>SUMIF(Allocation[Delivery ID],Delivery[[#This Row],[Delivery ID]],Allocation[Quantity allocated])*16*1.3228*Delivery[[#This Row],[Exchange rate VS USD]]/60</f>
        <v>412.21354632533331</v>
      </c>
      <c r="AP298" s="171">
        <f>Delivery[[#This Row],[AAA Premium (total)]]</f>
        <v>3073.9</v>
      </c>
      <c r="AQ298" s="171">
        <f>Delivery[[#This Row],[Valor pago pelo Cluster]]-Delivery[[#This Row],[Valor efetivamente pago pela Nespresso]]</f>
        <v>2661.6864536746666</v>
      </c>
    </row>
    <row r="299" spans="1:43" ht="15.75">
      <c r="A299" s="174" t="s">
        <v>69</v>
      </c>
      <c r="B299" s="232" t="s">
        <v>68</v>
      </c>
      <c r="C299" s="157">
        <v>1</v>
      </c>
      <c r="D299" s="157" t="s">
        <v>468</v>
      </c>
      <c r="E299" s="176" t="s">
        <v>468</v>
      </c>
      <c r="F299" s="233" t="s">
        <v>543</v>
      </c>
      <c r="G299" s="234">
        <v>43403</v>
      </c>
      <c r="H299" s="235" t="s">
        <v>2148</v>
      </c>
      <c r="I299" s="236" t="s">
        <v>672</v>
      </c>
      <c r="J299" s="237">
        <v>4550</v>
      </c>
      <c r="K299" s="175" t="s">
        <v>61</v>
      </c>
      <c r="L299" s="175" t="s">
        <v>439</v>
      </c>
      <c r="M299" s="175" t="s">
        <v>1343</v>
      </c>
      <c r="N299" s="180"/>
      <c r="O299" s="177"/>
      <c r="P299" s="181">
        <v>0</v>
      </c>
      <c r="Q299" s="177">
        <v>43397</v>
      </c>
      <c r="R299" s="178">
        <v>450.68575999999996</v>
      </c>
      <c r="S299" s="179">
        <v>34424.541666666664</v>
      </c>
      <c r="T299" s="182" t="s">
        <v>45</v>
      </c>
      <c r="U299" s="183">
        <v>3.7216</v>
      </c>
      <c r="V299" s="179">
        <v>1975.4583333333335</v>
      </c>
      <c r="W299" s="179">
        <v>0</v>
      </c>
      <c r="X299" s="184" t="s">
        <v>45</v>
      </c>
      <c r="Y299" s="183">
        <v>3.7216</v>
      </c>
      <c r="Z299" s="220"/>
      <c r="AA299" s="172">
        <f>Delivery[[#This Row],[Quantity delivered]]*VLOOKUP(Delivery[[#This Row],[Unit]],Tab_Conversão[],4,FALSE)*VLOOKUP(CONCATENATE(Delivery[[#This Row],[Coffee specie]],Delivery[[#This Row],[Coffee state]]),Tab_Conversão[],4,FALSE)</f>
        <v>4550</v>
      </c>
      <c r="AB299" s="169">
        <f>SUMIF(Allocation!C:C,Delivery[[#This Row],[Delivery ID]],Allocation!D:D)/Delivery[[#This Row],[Quantity delivered]]</f>
        <v>0.13362637362637364</v>
      </c>
      <c r="AC299" s="170">
        <f>Delivery[[#This Row],[Quantity delivered]]*Delivery[[#This Row],[Base price (Unidad)]]/60</f>
        <v>34177.003466666662</v>
      </c>
      <c r="AD299" s="171">
        <f>Delivery[[#This Row],[Nespresso total]]-Delivery[[#This Row],[Qt. Delivery * Base Price]]</f>
        <v>247.53820000000269</v>
      </c>
      <c r="AE299" s="171">
        <f>Delivery[[#This Row],[AAA Premium (total)]]/Delivery[[#This Row],[Quantity delivered]]*60/Delivery[[#This Row],[Exchange rate VS USD]]</f>
        <v>6.9996775580395534</v>
      </c>
      <c r="AF299" s="171">
        <f>Delivery[[#This Row],[BEN premium (total)]]/Delivery[[#This Row],[Quantity delivered]]*60/Delivery[[#This Row],[Exchange rate for premiums VS USD]]</f>
        <v>0</v>
      </c>
      <c r="AG299" s="171">
        <f>COUNTIF(Delivery[Delivery ID],Delivery[[#This Row],[Delivery ID]])</f>
        <v>1</v>
      </c>
      <c r="AH299" s="171">
        <f>(Delivery[[#This Row],[Nespresso total]]/SUMIF(Allocation!C:C,Delivery[Delivery ID],Allocation!H:H))/Delivery[[#This Row],[Exchange rate VS USD]]</f>
        <v>46.019555151299954</v>
      </c>
      <c r="AI299" s="171">
        <f>(Delivery[[#This Row],[AAA Premium (total)]]/SUMIF(Allocation!C:C,Delivery[Delivery ID],Allocation!H:H))/Delivery[[#This Row],[Exchange rate VS USD]]</f>
        <v>2.6408402063913741</v>
      </c>
      <c r="AJ299" s="171">
        <f>Delivery[[#This Row],[Valor Prêmio Nespresso AAA por Kg (em US$)]]*60</f>
        <v>158.45041238348244</v>
      </c>
      <c r="AK299" s="171">
        <f>Delivery[[#This Row],[Valor Prêmio Nespresso AAA por saca (em US$)]]/1.3228/100</f>
        <v>1.1978410370689632</v>
      </c>
      <c r="AL299" s="171">
        <f>(Delivery[[#This Row],[BEN premium (total)]]/SUMIF(Allocation!C:C,Delivery[Delivery ID],Allocation!H:H))/Delivery[[#This Row],[Exchange rate for premiums VS USD]]</f>
        <v>0</v>
      </c>
      <c r="AM299" s="171">
        <f>Delivery[[#This Row],[Valor Prêmio Nespresso BEN por Kg (em US$)]]*60</f>
        <v>0</v>
      </c>
      <c r="AN299" s="171">
        <f>Delivery[[#This Row],[Valor Prêmio Nespresso BEN por saca (em US$)]]/1.3228/100</f>
        <v>0</v>
      </c>
      <c r="AO299" s="171">
        <f>SUMIF(Allocation[Delivery ID],Delivery[[#This Row],[Delivery ID]],Allocation[Quantity allocated])*16*1.3228*Delivery[[#This Row],[Exchange rate VS USD]]/60</f>
        <v>263.86918092799999</v>
      </c>
      <c r="AP299" s="171">
        <f>Delivery[[#This Row],[AAA Premium (total)]]</f>
        <v>1975.4583333333335</v>
      </c>
      <c r="AQ299" s="171">
        <f>Delivery[[#This Row],[Valor pago pelo Cluster]]-Delivery[[#This Row],[Valor efetivamente pago pela Nespresso]]</f>
        <v>1711.5891524053336</v>
      </c>
    </row>
    <row r="300" spans="1:43" ht="15.75">
      <c r="A300" s="174" t="s">
        <v>69</v>
      </c>
      <c r="B300" s="232" t="s">
        <v>68</v>
      </c>
      <c r="C300" s="157">
        <v>1</v>
      </c>
      <c r="D300" s="157" t="s">
        <v>468</v>
      </c>
      <c r="E300" s="176" t="s">
        <v>468</v>
      </c>
      <c r="F300" s="233" t="s">
        <v>543</v>
      </c>
      <c r="G300" s="234">
        <v>43403</v>
      </c>
      <c r="H300" s="235" t="s">
        <v>2149</v>
      </c>
      <c r="I300" s="236" t="s">
        <v>672</v>
      </c>
      <c r="J300" s="237">
        <v>1240</v>
      </c>
      <c r="K300" s="175" t="s">
        <v>61</v>
      </c>
      <c r="L300" s="175" t="s">
        <v>439</v>
      </c>
      <c r="M300" s="175" t="s">
        <v>1343</v>
      </c>
      <c r="N300" s="180"/>
      <c r="O300" s="177"/>
      <c r="P300" s="181">
        <v>0</v>
      </c>
      <c r="Q300" s="177">
        <v>43397</v>
      </c>
      <c r="R300" s="178">
        <v>450.68575999999996</v>
      </c>
      <c r="S300" s="179">
        <v>9381.6333333333332</v>
      </c>
      <c r="T300" s="182" t="s">
        <v>45</v>
      </c>
      <c r="U300" s="183">
        <v>3.7216</v>
      </c>
      <c r="V300" s="179">
        <v>538.36666666666667</v>
      </c>
      <c r="W300" s="179">
        <v>0</v>
      </c>
      <c r="X300" s="184" t="s">
        <v>45</v>
      </c>
      <c r="Y300" s="183">
        <v>3.7216</v>
      </c>
      <c r="Z300" s="220"/>
      <c r="AA300" s="172">
        <f>Delivery[[#This Row],[Quantity delivered]]*VLOOKUP(Delivery[[#This Row],[Unit]],Tab_Conversão[],4,FALSE)*VLOOKUP(CONCATENATE(Delivery[[#This Row],[Coffee specie]],Delivery[[#This Row],[Coffee state]]),Tab_Conversão[],4,FALSE)</f>
        <v>1240</v>
      </c>
      <c r="AB300" s="169">
        <f>SUMIF(Allocation!C:C,Delivery[[#This Row],[Delivery ID]],Allocation!D:D)/Delivery[[#This Row],[Quantity delivered]]</f>
        <v>0.12983870967741937</v>
      </c>
      <c r="AC300" s="170">
        <f>Delivery[[#This Row],[Quantity delivered]]*Delivery[[#This Row],[Base price (Unidad)]]/60</f>
        <v>9314.1723733333329</v>
      </c>
      <c r="AD300" s="171">
        <f>Delivery[[#This Row],[Nespresso total]]-Delivery[[#This Row],[Qt. Delivery * Base Price]]</f>
        <v>67.460960000000341</v>
      </c>
      <c r="AE300" s="171">
        <f>Delivery[[#This Row],[AAA Premium (total)]]/Delivery[[#This Row],[Quantity delivered]]*60/Delivery[[#This Row],[Exchange rate VS USD]]</f>
        <v>6.9996775580395525</v>
      </c>
      <c r="AF300" s="171">
        <f>Delivery[[#This Row],[BEN premium (total)]]/Delivery[[#This Row],[Quantity delivered]]*60/Delivery[[#This Row],[Exchange rate for premiums VS USD]]</f>
        <v>0</v>
      </c>
      <c r="AG300" s="171">
        <f>COUNTIF(Delivery[Delivery ID],Delivery[[#This Row],[Delivery ID]])</f>
        <v>1</v>
      </c>
      <c r="AH300" s="171">
        <f>(Delivery[[#This Row],[Nespresso total]]/SUMIF(Allocation!C:C,Delivery[Delivery ID],Allocation!H:H))/Delivery[[#This Row],[Exchange rate VS USD]]</f>
        <v>47.56340006597555</v>
      </c>
      <c r="AI300" s="171">
        <f>(Delivery[[#This Row],[AAA Premium (total)]]/SUMIF(Allocation!C:C,Delivery[Delivery ID],Allocation!H:H))/Delivery[[#This Row],[Exchange rate VS USD]]</f>
        <v>2.7294340163424673</v>
      </c>
      <c r="AJ300" s="171">
        <f>Delivery[[#This Row],[Valor Prêmio Nespresso AAA por Kg (em US$)]]*60</f>
        <v>163.76604098054804</v>
      </c>
      <c r="AK300" s="171">
        <f>Delivery[[#This Row],[Valor Prêmio Nespresso AAA por saca (em US$)]]/1.3228/100</f>
        <v>1.238025710466798</v>
      </c>
      <c r="AL300" s="171">
        <f>(Delivery[[#This Row],[BEN premium (total)]]/SUMIF(Allocation!C:C,Delivery[Delivery ID],Allocation!H:H))/Delivery[[#This Row],[Exchange rate for premiums VS USD]]</f>
        <v>0</v>
      </c>
      <c r="AM300" s="171">
        <f>Delivery[[#This Row],[Valor Prêmio Nespresso BEN por Kg (em US$)]]*60</f>
        <v>0</v>
      </c>
      <c r="AN300" s="171">
        <f>Delivery[[#This Row],[Valor Prêmio Nespresso BEN por saca (em US$)]]/1.3228/100</f>
        <v>0</v>
      </c>
      <c r="AO300" s="171">
        <f>SUMIF(Allocation[Delivery ID],Delivery[[#This Row],[Delivery ID]],Allocation[Quantity allocated])*16*1.3228*Delivery[[#This Row],[Exchange rate VS USD]]/60</f>
        <v>69.577445717333333</v>
      </c>
      <c r="AP300" s="171">
        <f>Delivery[[#This Row],[AAA Premium (total)]]</f>
        <v>538.36666666666667</v>
      </c>
      <c r="AQ300" s="171">
        <f>Delivery[[#This Row],[Valor pago pelo Cluster]]-Delivery[[#This Row],[Valor efetivamente pago pela Nespresso]]</f>
        <v>468.78922094933336</v>
      </c>
    </row>
    <row r="301" spans="1:43" ht="15.75">
      <c r="A301" s="174" t="s">
        <v>69</v>
      </c>
      <c r="B301" s="232" t="s">
        <v>68</v>
      </c>
      <c r="C301" s="157">
        <v>1</v>
      </c>
      <c r="D301" s="157" t="s">
        <v>468</v>
      </c>
      <c r="E301" s="177" t="s">
        <v>468</v>
      </c>
      <c r="F301" s="233" t="s">
        <v>543</v>
      </c>
      <c r="G301" s="234">
        <v>43283</v>
      </c>
      <c r="H301" s="157" t="s">
        <v>597</v>
      </c>
      <c r="I301" s="157" t="s">
        <v>550</v>
      </c>
      <c r="J301" s="237">
        <v>20430</v>
      </c>
      <c r="K301" s="175" t="s">
        <v>61</v>
      </c>
      <c r="L301" s="175" t="s">
        <v>439</v>
      </c>
      <c r="M301" s="175" t="s">
        <v>1343</v>
      </c>
      <c r="N301" s="180"/>
      <c r="O301" s="177"/>
      <c r="P301" s="185">
        <v>0</v>
      </c>
      <c r="Q301" s="177">
        <v>43278</v>
      </c>
      <c r="R301" s="178">
        <v>448.57079999999996</v>
      </c>
      <c r="S301" s="179">
        <v>153000.27000000002</v>
      </c>
      <c r="T301" s="182" t="s">
        <v>45</v>
      </c>
      <c r="U301" s="183">
        <v>3.8159999999999998</v>
      </c>
      <c r="V301" s="179">
        <v>12996.88</v>
      </c>
      <c r="W301" s="179">
        <v>0</v>
      </c>
      <c r="X301" s="186" t="s">
        <v>45</v>
      </c>
      <c r="Y301" s="183">
        <v>3.8159999999999998</v>
      </c>
      <c r="Z301" s="220"/>
      <c r="AA301" s="172">
        <f>Delivery[[#This Row],[Quantity delivered]]*VLOOKUP(Delivery[[#This Row],[Unit]],Tab_Conversão[],4,FALSE)*VLOOKUP(CONCATENATE(Delivery[[#This Row],[Coffee specie]],Delivery[[#This Row],[Coffee state]]),Tab_Conversão[],4,FALSE)</f>
        <v>20430</v>
      </c>
      <c r="AB301" s="169">
        <f>SUMIF(Allocation!C:C,Delivery[[#This Row],[Delivery ID]],Allocation!D:D)/Delivery[[#This Row],[Quantity delivered]]</f>
        <v>0.4747430249632893</v>
      </c>
      <c r="AC301" s="170">
        <f>Delivery[[#This Row],[Quantity delivered]]*Delivery[[#This Row],[Base price (Unidad)]]/60</f>
        <v>152738.35740000001</v>
      </c>
      <c r="AD301" s="171">
        <f>Delivery[[#This Row],[Nespresso total]]-Delivery[[#This Row],[Qt. Delivery * Base Price]]</f>
        <v>261.91260000001057</v>
      </c>
      <c r="AE301" s="171">
        <f>Delivery[[#This Row],[AAA Premium (total)]]/Delivery[[#This Row],[Quantity delivered]]*60/Delivery[[#This Row],[Exchange rate VS USD]]</f>
        <v>10.002616696989568</v>
      </c>
      <c r="AF301" s="171">
        <f>Delivery[[#This Row],[BEN premium (total)]]/Delivery[[#This Row],[Quantity delivered]]*60/Delivery[[#This Row],[Exchange rate for premiums VS USD]]</f>
        <v>0</v>
      </c>
      <c r="AG301" s="171">
        <f>COUNTIF(Delivery[Delivery ID],Delivery[[#This Row],[Delivery ID]])</f>
        <v>1</v>
      </c>
      <c r="AH301" s="171">
        <f>(Delivery[[#This Row],[Nespresso total]]/SUMIF(Allocation!C:C,Delivery[Delivery ID],Allocation!H:H))/Delivery[[#This Row],[Exchange rate VS USD]]</f>
        <v>8.4373759211612995</v>
      </c>
      <c r="AI301" s="171">
        <f>(Delivery[[#This Row],[AAA Premium (total)]]/SUMIF(Allocation!C:C,Delivery[Delivery ID],Allocation!H:H))/Delivery[[#This Row],[Exchange rate VS USD]]</f>
        <v>0.71672790095221961</v>
      </c>
      <c r="AJ301" s="171">
        <f>Delivery[[#This Row],[Valor Prêmio Nespresso AAA por Kg (em US$)]]*60</f>
        <v>43.003674057133175</v>
      </c>
      <c r="AK301" s="171">
        <f>Delivery[[#This Row],[Valor Prêmio Nespresso AAA por saca (em US$)]]/1.3228/100</f>
        <v>0.32509581234603246</v>
      </c>
      <c r="AL301" s="171">
        <f>(Delivery[[#This Row],[BEN premium (total)]]/SUMIF(Allocation!C:C,Delivery[Delivery ID],Allocation!H:H))/Delivery[[#This Row],[Exchange rate for premiums VS USD]]</f>
        <v>0</v>
      </c>
      <c r="AM301" s="171">
        <f>Delivery[[#This Row],[Valor Prêmio Nespresso BEN por Kg (em US$)]]*60</f>
        <v>0</v>
      </c>
      <c r="AN301" s="171">
        <f>Delivery[[#This Row],[Valor Prêmio Nespresso BEN por saca (em US$)]]/1.3228/100</f>
        <v>0</v>
      </c>
      <c r="AO301" s="171">
        <f>SUMIF(Allocation[Delivery ID],Delivery[[#This Row],[Delivery ID]],Allocation[Quantity allocated])*16*1.3228*Delivery[[#This Row],[Exchange rate VS USD]]/60</f>
        <v>6396.57824256</v>
      </c>
      <c r="AP301" s="171">
        <f>Delivery[[#This Row],[AAA Premium (total)]]</f>
        <v>12996.88</v>
      </c>
      <c r="AQ301" s="171">
        <f>Delivery[[#This Row],[Valor pago pelo Cluster]]-Delivery[[#This Row],[Valor efetivamente pago pela Nespresso]]</f>
        <v>6600.3017574399992</v>
      </c>
    </row>
    <row r="302" spans="1:43" ht="15.75">
      <c r="A302" s="174" t="s">
        <v>69</v>
      </c>
      <c r="B302" s="232" t="s">
        <v>68</v>
      </c>
      <c r="C302" s="157">
        <v>1</v>
      </c>
      <c r="D302" s="157" t="s">
        <v>468</v>
      </c>
      <c r="E302" s="177" t="s">
        <v>468</v>
      </c>
      <c r="F302" s="233" t="s">
        <v>543</v>
      </c>
      <c r="G302" s="234">
        <v>43321</v>
      </c>
      <c r="H302" s="235" t="s">
        <v>2008</v>
      </c>
      <c r="I302" s="236" t="s">
        <v>2009</v>
      </c>
      <c r="J302" s="237">
        <v>4160</v>
      </c>
      <c r="K302" s="175" t="s">
        <v>61</v>
      </c>
      <c r="L302" s="175" t="s">
        <v>439</v>
      </c>
      <c r="M302" s="175" t="s">
        <v>1343</v>
      </c>
      <c r="N302" s="180"/>
      <c r="O302" s="177"/>
      <c r="P302" s="181">
        <v>0</v>
      </c>
      <c r="Q302" s="177">
        <v>43319</v>
      </c>
      <c r="R302" s="178">
        <v>420.17576000000003</v>
      </c>
      <c r="S302" s="179">
        <v>29418.84</v>
      </c>
      <c r="T302" s="182" t="s">
        <v>45</v>
      </c>
      <c r="U302" s="183">
        <v>3.7118000000000002</v>
      </c>
      <c r="V302" s="179">
        <v>1791.9299999999998</v>
      </c>
      <c r="W302" s="179">
        <v>0</v>
      </c>
      <c r="X302" s="186" t="s">
        <v>45</v>
      </c>
      <c r="Y302" s="183">
        <v>3.7118000000000002</v>
      </c>
      <c r="Z302" s="220"/>
      <c r="AA302" s="172">
        <f>Delivery[[#This Row],[Quantity delivered]]*VLOOKUP(Delivery[[#This Row],[Unit]],Tab_Conversão[],4,FALSE)*VLOOKUP(CONCATENATE(Delivery[[#This Row],[Coffee specie]],Delivery[[#This Row],[Coffee state]]),Tab_Conversão[],4,FALSE)</f>
        <v>4160</v>
      </c>
      <c r="AB302" s="169">
        <f>SUMIF(Allocation!C:C,Delivery[[#This Row],[Delivery ID]],Allocation!D:D)/Delivery[[#This Row],[Quantity delivered]]</f>
        <v>0.15216346153846153</v>
      </c>
      <c r="AC302" s="170">
        <f>Delivery[[#This Row],[Quantity delivered]]*Delivery[[#This Row],[Base price (Unidad)]]/60</f>
        <v>29132.186026666666</v>
      </c>
      <c r="AD302" s="171">
        <f>Delivery[[#This Row],[Nespresso total]]-Delivery[[#This Row],[Qt. Delivery * Base Price]]</f>
        <v>286.65397333333385</v>
      </c>
      <c r="AE302" s="171">
        <f>Delivery[[#This Row],[AAA Premium (total)]]/Delivery[[#This Row],[Quantity delivered]]*60/Delivery[[#This Row],[Exchange rate VS USD]]</f>
        <v>6.9629678944903359</v>
      </c>
      <c r="AF302" s="171">
        <f>Delivery[[#This Row],[BEN premium (total)]]/Delivery[[#This Row],[Quantity delivered]]*60/Delivery[[#This Row],[Exchange rate for premiums VS USD]]</f>
        <v>0</v>
      </c>
      <c r="AG302" s="171">
        <f>COUNTIF(Delivery[Delivery ID],Delivery[[#This Row],[Delivery ID]])</f>
        <v>1</v>
      </c>
      <c r="AH302" s="171">
        <f>(Delivery[[#This Row],[Nespresso total]]/SUMIF(Allocation!C:C,Delivery[Delivery ID],Allocation!H:H))/Delivery[[#This Row],[Exchange rate VS USD]]</f>
        <v>31.327118918045151</v>
      </c>
      <c r="AI302" s="171">
        <f>(Delivery[[#This Row],[AAA Premium (total)]]/SUMIF(Allocation!C:C,Delivery[Delivery ID],Allocation!H:H))/Delivery[[#This Row],[Exchange rate VS USD]]</f>
        <v>1.9081651146956387</v>
      </c>
      <c r="AJ302" s="171">
        <f>Delivery[[#This Row],[Valor Prêmio Nespresso AAA por Kg (em US$)]]*60</f>
        <v>114.48990688173832</v>
      </c>
      <c r="AK302" s="171">
        <f>Delivery[[#This Row],[Valor Prêmio Nespresso AAA por saca (em US$)]]/1.3228/100</f>
        <v>0.86551184519003865</v>
      </c>
      <c r="AL302" s="171">
        <f>(Delivery[[#This Row],[BEN premium (total)]]/SUMIF(Allocation!C:C,Delivery[Delivery ID],Allocation!H:H))/Delivery[[#This Row],[Exchange rate for premiums VS USD]]</f>
        <v>0</v>
      </c>
      <c r="AM302" s="171">
        <f>Delivery[[#This Row],[Valor Prêmio Nespresso BEN por Kg (em US$)]]*60</f>
        <v>0</v>
      </c>
      <c r="AN302" s="171">
        <f>Delivery[[#This Row],[Valor Prêmio Nespresso BEN por saca (em US$)]]/1.3228/100</f>
        <v>0</v>
      </c>
      <c r="AO302" s="171">
        <f>SUMIF(Allocation[Delivery ID],Delivery[[#This Row],[Delivery ID]],Allocation[Quantity allocated])*16*1.3228*Delivery[[#This Row],[Exchange rate VS USD]]/60</f>
        <v>331.2592445653334</v>
      </c>
      <c r="AP302" s="171">
        <f>Delivery[[#This Row],[AAA Premium (total)]]</f>
        <v>1791.9299999999998</v>
      </c>
      <c r="AQ302" s="171">
        <f>Delivery[[#This Row],[Valor pago pelo Cluster]]-Delivery[[#This Row],[Valor efetivamente pago pela Nespresso]]</f>
        <v>1460.6707554346665</v>
      </c>
    </row>
    <row r="303" spans="1:43" ht="15.75">
      <c r="A303" s="174" t="s">
        <v>69</v>
      </c>
      <c r="B303" s="232" t="s">
        <v>68</v>
      </c>
      <c r="C303" s="157">
        <v>1</v>
      </c>
      <c r="D303" s="157" t="s">
        <v>468</v>
      </c>
      <c r="E303" s="177" t="s">
        <v>468</v>
      </c>
      <c r="F303" s="233" t="s">
        <v>543</v>
      </c>
      <c r="G303" s="234">
        <v>43321</v>
      </c>
      <c r="H303" s="235" t="s">
        <v>2010</v>
      </c>
      <c r="I303" s="236" t="s">
        <v>2009</v>
      </c>
      <c r="J303" s="237">
        <v>5560</v>
      </c>
      <c r="K303" s="175" t="s">
        <v>61</v>
      </c>
      <c r="L303" s="175" t="s">
        <v>439</v>
      </c>
      <c r="M303" s="175" t="s">
        <v>1343</v>
      </c>
      <c r="N303" s="180"/>
      <c r="O303" s="177"/>
      <c r="P303" s="181">
        <v>0</v>
      </c>
      <c r="Q303" s="177">
        <v>43319</v>
      </c>
      <c r="R303" s="178">
        <v>420.17576000000003</v>
      </c>
      <c r="S303" s="179">
        <v>39651.480000000003</v>
      </c>
      <c r="T303" s="182" t="s">
        <v>45</v>
      </c>
      <c r="U303" s="183">
        <v>3.7118000000000002</v>
      </c>
      <c r="V303" s="179">
        <v>2415.21</v>
      </c>
      <c r="W303" s="179">
        <v>0</v>
      </c>
      <c r="X303" s="186" t="s">
        <v>45</v>
      </c>
      <c r="Y303" s="183">
        <v>3.7118000000000002</v>
      </c>
      <c r="Z303" s="220"/>
      <c r="AA303" s="172">
        <f>Delivery[[#This Row],[Quantity delivered]]*VLOOKUP(Delivery[[#This Row],[Unit]],Tab_Conversão[],4,FALSE)*VLOOKUP(CONCATENATE(Delivery[[#This Row],[Coffee specie]],Delivery[[#This Row],[Coffee state]]),Tab_Conversão[],4,FALSE)</f>
        <v>5560</v>
      </c>
      <c r="AB303" s="169">
        <f>SUMIF(Allocation!C:C,Delivery[[#This Row],[Delivery ID]],Allocation!D:D)/Delivery[[#This Row],[Quantity delivered]]</f>
        <v>0.15341726618705037</v>
      </c>
      <c r="AC303" s="170">
        <f>Delivery[[#This Row],[Quantity delivered]]*Delivery[[#This Row],[Base price (Unidad)]]/60</f>
        <v>38936.287093333332</v>
      </c>
      <c r="AD303" s="171">
        <f>Delivery[[#This Row],[Nespresso total]]-Delivery[[#This Row],[Qt. Delivery * Base Price]]</f>
        <v>715.19290666667075</v>
      </c>
      <c r="AE303" s="171">
        <f>Delivery[[#This Row],[AAA Premium (total)]]/Delivery[[#This Row],[Quantity delivered]]*60/Delivery[[#This Row],[Exchange rate VS USD]]</f>
        <v>7.0217730659483397</v>
      </c>
      <c r="AF303" s="171">
        <f>Delivery[[#This Row],[BEN premium (total)]]/Delivery[[#This Row],[Quantity delivered]]*60/Delivery[[#This Row],[Exchange rate for premiums VS USD]]</f>
        <v>0</v>
      </c>
      <c r="AG303" s="171">
        <f>COUNTIF(Delivery[Delivery ID],Delivery[[#This Row],[Delivery ID]])</f>
        <v>1</v>
      </c>
      <c r="AH303" s="171">
        <f>(Delivery[[#This Row],[Nespresso total]]/SUMIF(Allocation!C:C,Delivery[Delivery ID],Allocation!H:H))/Delivery[[#This Row],[Exchange rate VS USD]]</f>
        <v>31.327118918045155</v>
      </c>
      <c r="AI303" s="171">
        <f>(Delivery[[#This Row],[AAA Premium (total)]]/SUMIF(Allocation!C:C,Delivery[Delivery ID],Allocation!H:H))/Delivery[[#This Row],[Exchange rate VS USD]]</f>
        <v>1.9081651146956389</v>
      </c>
      <c r="AJ303" s="171">
        <f>Delivery[[#This Row],[Valor Prêmio Nespresso AAA por Kg (em US$)]]*60</f>
        <v>114.48990688173834</v>
      </c>
      <c r="AK303" s="171">
        <f>Delivery[[#This Row],[Valor Prêmio Nespresso AAA por saca (em US$)]]/1.3228/100</f>
        <v>0.86551184519003888</v>
      </c>
      <c r="AL303" s="171">
        <f>(Delivery[[#This Row],[BEN premium (total)]]/SUMIF(Allocation!C:C,Delivery[Delivery ID],Allocation!H:H))/Delivery[[#This Row],[Exchange rate for premiums VS USD]]</f>
        <v>0</v>
      </c>
      <c r="AM303" s="171">
        <f>Delivery[[#This Row],[Valor Prêmio Nespresso BEN por Kg (em US$)]]*60</f>
        <v>0</v>
      </c>
      <c r="AN303" s="171">
        <f>Delivery[[#This Row],[Valor Prêmio Nespresso BEN por saca (em US$)]]/1.3228/100</f>
        <v>0</v>
      </c>
      <c r="AO303" s="171">
        <f>SUMIF(Allocation[Delivery ID],Delivery[[#This Row],[Delivery ID]],Allocation[Quantity allocated])*16*1.3228*Delivery[[#This Row],[Exchange rate VS USD]]/60</f>
        <v>446.47985137066667</v>
      </c>
      <c r="AP303" s="171">
        <f>Delivery[[#This Row],[AAA Premium (total)]]</f>
        <v>2415.21</v>
      </c>
      <c r="AQ303" s="171">
        <f>Delivery[[#This Row],[Valor pago pelo Cluster]]-Delivery[[#This Row],[Valor efetivamente pago pela Nespresso]]</f>
        <v>1968.7301486293334</v>
      </c>
    </row>
    <row r="304" spans="1:43" ht="15.75">
      <c r="A304" s="174" t="s">
        <v>69</v>
      </c>
      <c r="B304" s="232" t="s">
        <v>68</v>
      </c>
      <c r="C304" s="157">
        <v>1</v>
      </c>
      <c r="D304" s="157" t="s">
        <v>468</v>
      </c>
      <c r="E304" s="177" t="s">
        <v>468</v>
      </c>
      <c r="F304" s="233" t="s">
        <v>543</v>
      </c>
      <c r="G304" s="234">
        <v>43333</v>
      </c>
      <c r="H304" s="235" t="s">
        <v>2011</v>
      </c>
      <c r="I304" s="236" t="s">
        <v>2009</v>
      </c>
      <c r="J304" s="237">
        <v>3000</v>
      </c>
      <c r="K304" s="175" t="s">
        <v>61</v>
      </c>
      <c r="L304" s="175" t="s">
        <v>439</v>
      </c>
      <c r="M304" s="175" t="s">
        <v>1343</v>
      </c>
      <c r="N304" s="180"/>
      <c r="O304" s="177"/>
      <c r="P304" s="181">
        <v>0</v>
      </c>
      <c r="Q304" s="177">
        <v>43328</v>
      </c>
      <c r="R304" s="178">
        <v>412.12520000000001</v>
      </c>
      <c r="S304" s="179">
        <v>20412</v>
      </c>
      <c r="T304" s="182" t="s">
        <v>45</v>
      </c>
      <c r="U304" s="183">
        <v>3.9064000000000001</v>
      </c>
      <c r="V304" s="179">
        <v>1953</v>
      </c>
      <c r="W304" s="179">
        <v>0</v>
      </c>
      <c r="X304" s="186" t="s">
        <v>45</v>
      </c>
      <c r="Y304" s="183">
        <v>3.9064000000000001</v>
      </c>
      <c r="Z304" s="220"/>
      <c r="AA304" s="172">
        <f>Delivery[[#This Row],[Quantity delivered]]*VLOOKUP(Delivery[[#This Row],[Unit]],Tab_Conversão[],4,FALSE)*VLOOKUP(CONCATENATE(Delivery[[#This Row],[Coffee specie]],Delivery[[#This Row],[Coffee state]]),Tab_Conversão[],4,FALSE)</f>
        <v>3000</v>
      </c>
      <c r="AB304" s="169">
        <f>SUMIF(Allocation!C:C,Delivery[[#This Row],[Delivery ID]],Allocation!D:D)/Delivery[[#This Row],[Quantity delivered]]</f>
        <v>0.153</v>
      </c>
      <c r="AC304" s="170">
        <f>Delivery[[#This Row],[Quantity delivered]]*Delivery[[#This Row],[Base price (Unidad)]]/60</f>
        <v>20606.260000000002</v>
      </c>
      <c r="AD304" s="171">
        <f>Delivery[[#This Row],[Nespresso total]]-Delivery[[#This Row],[Qt. Delivery * Base Price]]</f>
        <v>-194.26000000000204</v>
      </c>
      <c r="AE304" s="171">
        <f>Delivery[[#This Row],[AAA Premium (total)]]/Delivery[[#This Row],[Quantity delivered]]*60/Delivery[[#This Row],[Exchange rate VS USD]]</f>
        <v>9.998976039320091</v>
      </c>
      <c r="AF304" s="171">
        <f>Delivery[[#This Row],[BEN premium (total)]]/Delivery[[#This Row],[Quantity delivered]]*60/Delivery[[#This Row],[Exchange rate for premiums VS USD]]</f>
        <v>0</v>
      </c>
      <c r="AG304" s="171">
        <f>COUNTIF(Delivery[Delivery ID],Delivery[[#This Row],[Delivery ID]])</f>
        <v>1</v>
      </c>
      <c r="AH304" s="171">
        <f>(Delivery[[#This Row],[Nespresso total]]/SUMIF(Allocation!C:C,Delivery[Delivery ID],Allocation!H:H))/Delivery[[#This Row],[Exchange rate VS USD]]</f>
        <v>28.553395352897137</v>
      </c>
      <c r="AI304" s="171">
        <f>(Delivery[[#This Row],[AAA Premium (total)]]/SUMIF(Allocation!C:C,Delivery[Delivery ID],Allocation!H:H))/Delivery[[#This Row],[Exchange rate VS USD]]</f>
        <v>2.7319606664808989</v>
      </c>
      <c r="AJ304" s="171">
        <f>Delivery[[#This Row],[Valor Prêmio Nespresso AAA por Kg (em US$)]]*60</f>
        <v>163.91763998885392</v>
      </c>
      <c r="AK304" s="171">
        <f>Delivery[[#This Row],[Valor Prêmio Nespresso AAA por saca (em US$)]]/1.3228/100</f>
        <v>1.2391717567950855</v>
      </c>
      <c r="AL304" s="171">
        <f>(Delivery[[#This Row],[BEN premium (total)]]/SUMIF(Allocation!C:C,Delivery[Delivery ID],Allocation!H:H))/Delivery[[#This Row],[Exchange rate for premiums VS USD]]</f>
        <v>0</v>
      </c>
      <c r="AM304" s="171">
        <f>Delivery[[#This Row],[Valor Prêmio Nespresso BEN por Kg (em US$)]]*60</f>
        <v>0</v>
      </c>
      <c r="AN304" s="171">
        <f>Delivery[[#This Row],[Valor Prêmio Nespresso BEN por saca (em US$)]]/1.3228/100</f>
        <v>0</v>
      </c>
      <c r="AO304" s="171">
        <f>SUMIF(Allocation[Delivery ID],Delivery[[#This Row],[Delivery ID]],Allocation[Quantity allocated])*16*1.3228*Delivery[[#This Row],[Exchange rate VS USD]]/60</f>
        <v>252.16843289599998</v>
      </c>
      <c r="AP304" s="171">
        <f>Delivery[[#This Row],[AAA Premium (total)]]</f>
        <v>1953</v>
      </c>
      <c r="AQ304" s="171">
        <f>Delivery[[#This Row],[Valor pago pelo Cluster]]-Delivery[[#This Row],[Valor efetivamente pago pela Nespresso]]</f>
        <v>1700.831567104</v>
      </c>
    </row>
    <row r="305" spans="1:43" ht="15.75">
      <c r="A305" s="174" t="s">
        <v>69</v>
      </c>
      <c r="B305" s="232" t="s">
        <v>68</v>
      </c>
      <c r="C305" s="157">
        <v>1</v>
      </c>
      <c r="D305" s="157" t="s">
        <v>468</v>
      </c>
      <c r="E305" s="177" t="s">
        <v>468</v>
      </c>
      <c r="F305" s="233" t="s">
        <v>543</v>
      </c>
      <c r="G305" s="234">
        <v>43341</v>
      </c>
      <c r="H305" s="157" t="s">
        <v>2012</v>
      </c>
      <c r="I305" s="236" t="s">
        <v>947</v>
      </c>
      <c r="J305" s="237">
        <v>21496</v>
      </c>
      <c r="K305" s="175" t="s">
        <v>61</v>
      </c>
      <c r="L305" s="175" t="s">
        <v>439</v>
      </c>
      <c r="M305" s="175" t="s">
        <v>1343</v>
      </c>
      <c r="N305" s="180"/>
      <c r="O305" s="177"/>
      <c r="P305" s="181">
        <v>0</v>
      </c>
      <c r="Q305" s="177">
        <v>43335</v>
      </c>
      <c r="R305" s="178">
        <v>419.75583999999998</v>
      </c>
      <c r="S305" s="179">
        <v>155552.85546132075</v>
      </c>
      <c r="T305" s="182" t="s">
        <v>45</v>
      </c>
      <c r="U305" s="183">
        <v>4.1071999999999997</v>
      </c>
      <c r="V305" s="179">
        <v>14714.728533333331</v>
      </c>
      <c r="W305" s="179">
        <v>4391.7152053459195</v>
      </c>
      <c r="X305" s="186" t="s">
        <v>45</v>
      </c>
      <c r="Y305" s="183">
        <v>4.1071999999999997</v>
      </c>
      <c r="Z305" s="220" t="s">
        <v>473</v>
      </c>
      <c r="AA305" s="172">
        <f>Delivery[[#This Row],[Quantity delivered]]*VLOOKUP(Delivery[[#This Row],[Unit]],Tab_Conversão[],4,FALSE)*VLOOKUP(CONCATENATE(Delivery[[#This Row],[Coffee specie]],Delivery[[#This Row],[Coffee state]]),Tab_Conversão[],4,FALSE)</f>
        <v>21496</v>
      </c>
      <c r="AB305" s="169">
        <f>SUMIF(Allocation!C:C,Delivery[[#This Row],[Delivery ID]],Allocation!D:D)/Delivery[[#This Row],[Quantity delivered]]</f>
        <v>0.51688686267212502</v>
      </c>
      <c r="AC305" s="170">
        <f>Delivery[[#This Row],[Quantity delivered]]*Delivery[[#This Row],[Base price (Unidad)]]/60</f>
        <v>150384.52561066666</v>
      </c>
      <c r="AD305" s="171">
        <f>Delivery[[#This Row],[Nespresso total]]-Delivery[[#This Row],[Qt. Delivery * Base Price]]</f>
        <v>5168.3298506540887</v>
      </c>
      <c r="AE305" s="171">
        <f>Delivery[[#This Row],[AAA Premium (total)]]/Delivery[[#This Row],[Quantity delivered]]*60/Delivery[[#This Row],[Exchange rate VS USD]]</f>
        <v>10</v>
      </c>
      <c r="AF305" s="171">
        <f>Delivery[[#This Row],[BEN premium (total)]]/Delivery[[#This Row],[Quantity delivered]]*60/Delivery[[#This Row],[Exchange rate for premiums VS USD]]</f>
        <v>2.9845709999999999</v>
      </c>
      <c r="AG305" s="171">
        <f>COUNTIF(Delivery[Delivery ID],Delivery[[#This Row],[Delivery ID]])</f>
        <v>1</v>
      </c>
      <c r="AH305" s="171">
        <f>(Delivery[[#This Row],[Nespresso total]]/SUMIF(Allocation!C:C,Delivery[Delivery ID],Allocation!H:H))/Delivery[[#This Row],[Exchange rate VS USD]]</f>
        <v>7.5746423578749891</v>
      </c>
      <c r="AI305" s="171">
        <f>(Delivery[[#This Row],[AAA Premium (total)]]/SUMIF(Allocation!C:C,Delivery[Delivery ID],Allocation!H:H))/Delivery[[#This Row],[Exchange rate VS USD]]</f>
        <v>0.71653333333333336</v>
      </c>
      <c r="AJ305" s="171">
        <f>Delivery[[#This Row],[Valor Prêmio Nespresso AAA por Kg (em US$)]]*60</f>
        <v>42.992000000000004</v>
      </c>
      <c r="AK305" s="171">
        <f>Delivery[[#This Row],[Valor Prêmio Nespresso AAA por saca (em US$)]]/1.3228/100</f>
        <v>0.32500755972180229</v>
      </c>
      <c r="AL305" s="171">
        <f>(Delivery[[#This Row],[BEN premium (total)]]/SUMIF(Allocation!C:C,Delivery[Delivery ID],Allocation!H:H))/Delivery[[#This Row],[Exchange rate for premiums VS USD]]</f>
        <v>0.21385446072</v>
      </c>
      <c r="AM305" s="171">
        <f>Delivery[[#This Row],[Valor Prêmio Nespresso BEN por Kg (em US$)]]*60</f>
        <v>12.8312676432</v>
      </c>
      <c r="AN305" s="171">
        <f>Delivery[[#This Row],[Valor Prêmio Nespresso BEN por saca (em US$)]]/1.3228/100</f>
        <v>9.7000813752645895E-2</v>
      </c>
      <c r="AO305" s="171">
        <f>SUMIF(Allocation[Delivery ID],Delivery[[#This Row],[Delivery ID]],Allocation[Quantity allocated])*16*1.3228*Delivery[[#This Row],[Exchange rate VS USD]]/60</f>
        <v>7244.0055466666663</v>
      </c>
      <c r="AP305" s="171">
        <f>Delivery[[#This Row],[AAA Premium (total)]]</f>
        <v>14714.728533333331</v>
      </c>
      <c r="AQ305" s="171">
        <f>Delivery[[#This Row],[Valor pago pelo Cluster]]-Delivery[[#This Row],[Valor efetivamente pago pela Nespresso]]</f>
        <v>7470.7229866666648</v>
      </c>
    </row>
    <row r="306" spans="1:43" ht="15.75">
      <c r="A306" s="174" t="s">
        <v>69</v>
      </c>
      <c r="B306" s="232" t="s">
        <v>68</v>
      </c>
      <c r="C306" s="157">
        <v>1</v>
      </c>
      <c r="D306" s="157" t="s">
        <v>468</v>
      </c>
      <c r="E306" s="176" t="s">
        <v>468</v>
      </c>
      <c r="F306" s="233" t="s">
        <v>543</v>
      </c>
      <c r="G306" s="234">
        <v>43341</v>
      </c>
      <c r="H306" s="157" t="s">
        <v>2013</v>
      </c>
      <c r="I306" s="236" t="s">
        <v>947</v>
      </c>
      <c r="J306" s="237">
        <v>20500</v>
      </c>
      <c r="K306" s="175" t="s">
        <v>61</v>
      </c>
      <c r="L306" s="175" t="s">
        <v>439</v>
      </c>
      <c r="M306" s="175" t="s">
        <v>1343</v>
      </c>
      <c r="N306" s="180"/>
      <c r="O306" s="177"/>
      <c r="P306" s="181">
        <v>0</v>
      </c>
      <c r="Q306" s="177">
        <v>43335</v>
      </c>
      <c r="R306" s="178">
        <v>419.75583999999998</v>
      </c>
      <c r="S306" s="179">
        <v>148345.43807950668</v>
      </c>
      <c r="T306" s="182" t="s">
        <v>45</v>
      </c>
      <c r="U306" s="183">
        <v>4.1071999999999997</v>
      </c>
      <c r="V306" s="179">
        <v>14032.933333333331</v>
      </c>
      <c r="W306" s="179">
        <v>4188.2285871599997</v>
      </c>
      <c r="X306" s="186" t="s">
        <v>45</v>
      </c>
      <c r="Y306" s="183">
        <v>4.1071999999999997</v>
      </c>
      <c r="Z306" s="220" t="s">
        <v>473</v>
      </c>
      <c r="AA306" s="172">
        <f>Delivery[[#This Row],[Quantity delivered]]*VLOOKUP(Delivery[[#This Row],[Unit]],Tab_Conversão[],4,FALSE)*VLOOKUP(CONCATENATE(Delivery[[#This Row],[Coffee specie]],Delivery[[#This Row],[Coffee state]]),Tab_Conversão[],4,FALSE)</f>
        <v>20500</v>
      </c>
      <c r="AB306" s="169">
        <f>SUMIF(Allocation!C:C,Delivery[[#This Row],[Delivery ID]],Allocation!D:D)/Delivery[[#This Row],[Quantity delivered]]</f>
        <v>0.67204878048780492</v>
      </c>
      <c r="AC306" s="170">
        <f>Delivery[[#This Row],[Quantity delivered]]*Delivery[[#This Row],[Base price (Unidad)]]/60</f>
        <v>143416.57866666664</v>
      </c>
      <c r="AD306" s="171">
        <f>Delivery[[#This Row],[Nespresso total]]-Delivery[[#This Row],[Qt. Delivery * Base Price]]</f>
        <v>4928.8594128400437</v>
      </c>
      <c r="AE306" s="171">
        <f>Delivery[[#This Row],[AAA Premium (total)]]/Delivery[[#This Row],[Quantity delivered]]*60/Delivery[[#This Row],[Exchange rate VS USD]]</f>
        <v>10</v>
      </c>
      <c r="AF306" s="171">
        <f>Delivery[[#This Row],[BEN premium (total)]]/Delivery[[#This Row],[Quantity delivered]]*60/Delivery[[#This Row],[Exchange rate for premiums VS USD]]</f>
        <v>2.9845709999999999</v>
      </c>
      <c r="AG306" s="171">
        <f>COUNTIF(Delivery[Delivery ID],Delivery[[#This Row],[Delivery ID]])</f>
        <v>1</v>
      </c>
      <c r="AH306" s="171">
        <f>(Delivery[[#This Row],[Nespresso total]]/SUMIF(Allocation!C:C,Delivery[Delivery ID],Allocation!H:H))/Delivery[[#This Row],[Exchange rate VS USD]]</f>
        <v>5.8255462507817386</v>
      </c>
      <c r="AI306" s="171">
        <f>(Delivery[[#This Row],[AAA Premium (total)]]/SUMIF(Allocation!C:C,Delivery[Delivery ID],Allocation!H:H))/Delivery[[#This Row],[Exchange rate VS USD]]</f>
        <v>0.55107526881720426</v>
      </c>
      <c r="AJ306" s="171">
        <f>Delivery[[#This Row],[Valor Prêmio Nespresso AAA por Kg (em US$)]]*60</f>
        <v>33.064516129032256</v>
      </c>
      <c r="AK306" s="171">
        <f>Delivery[[#This Row],[Valor Prêmio Nespresso AAA por saca (em US$)]]/1.3228/100</f>
        <v>0.24995854346108448</v>
      </c>
      <c r="AL306" s="171">
        <f>(Delivery[[#This Row],[BEN premium (total)]]/SUMIF(Allocation!C:C,Delivery[Delivery ID],Allocation!H:H))/Delivery[[#This Row],[Exchange rate for premiums VS USD]]</f>
        <v>0.16447232661290323</v>
      </c>
      <c r="AM306" s="171">
        <f>Delivery[[#This Row],[Valor Prêmio Nespresso BEN por Kg (em US$)]]*60</f>
        <v>9.8683395967741934</v>
      </c>
      <c r="AN306" s="171">
        <f>Delivery[[#This Row],[Valor Prêmio Nespresso BEN por saca (em US$)]]/1.3228/100</f>
        <v>7.4601902001619244E-2</v>
      </c>
      <c r="AO306" s="171">
        <f>SUMIF(Allocation[Delivery ID],Delivery[[#This Row],[Delivery ID]],Allocation[Quantity allocated])*16*1.3228*Delivery[[#This Row],[Exchange rate VS USD]]/60</f>
        <v>8982.5668778666659</v>
      </c>
      <c r="AP306" s="171">
        <f>Delivery[[#This Row],[AAA Premium (total)]]</f>
        <v>14032.933333333331</v>
      </c>
      <c r="AQ306" s="171">
        <f>Delivery[[#This Row],[Valor pago pelo Cluster]]-Delivery[[#This Row],[Valor efetivamente pago pela Nespresso]]</f>
        <v>5050.3664554666648</v>
      </c>
    </row>
    <row r="307" spans="1:43" ht="15.75">
      <c r="A307" s="174" t="s">
        <v>69</v>
      </c>
      <c r="B307" s="232" t="s">
        <v>68</v>
      </c>
      <c r="C307" s="157">
        <v>1</v>
      </c>
      <c r="D307" s="157" t="s">
        <v>468</v>
      </c>
      <c r="E307" s="176" t="s">
        <v>468</v>
      </c>
      <c r="F307" s="233" t="s">
        <v>543</v>
      </c>
      <c r="G307" s="234">
        <v>43374</v>
      </c>
      <c r="H307" s="157" t="s">
        <v>1510</v>
      </c>
      <c r="I307" s="236" t="s">
        <v>970</v>
      </c>
      <c r="J307" s="237">
        <v>18000</v>
      </c>
      <c r="K307" s="175" t="s">
        <v>472</v>
      </c>
      <c r="L307" s="175" t="s">
        <v>439</v>
      </c>
      <c r="M307" s="175" t="s">
        <v>1343</v>
      </c>
      <c r="N307" s="180"/>
      <c r="O307" s="177"/>
      <c r="P307" s="181">
        <v>0</v>
      </c>
      <c r="Q307" s="177">
        <v>43224</v>
      </c>
      <c r="R307" s="178">
        <v>464.84729999999996</v>
      </c>
      <c r="S307" s="179">
        <v>140928.54811974001</v>
      </c>
      <c r="T307" s="182" t="s">
        <v>45</v>
      </c>
      <c r="U307" s="183">
        <v>3.573</v>
      </c>
      <c r="V307" s="179">
        <v>7503</v>
      </c>
      <c r="W307" s="179">
        <v>2346.05188026</v>
      </c>
      <c r="X307" s="186" t="s">
        <v>45</v>
      </c>
      <c r="Y307" s="183">
        <v>3.573</v>
      </c>
      <c r="Z307" s="220" t="s">
        <v>473</v>
      </c>
      <c r="AA307" s="172">
        <f>Delivery[[#This Row],[Quantity delivered]]*VLOOKUP(Delivery[[#This Row],[Unit]],Tab_Conversão[],4,FALSE)*VLOOKUP(CONCATENATE(Delivery[[#This Row],[Coffee specie]],Delivery[[#This Row],[Coffee state]]),Tab_Conversão[],4,FALSE)</f>
        <v>18000</v>
      </c>
      <c r="AB307" s="169">
        <f>SUMIF(Allocation!C:C,Delivery[[#This Row],[Delivery ID]],Allocation!D:D)/Delivery[[#This Row],[Quantity delivered]]</f>
        <v>0.75149999999999995</v>
      </c>
      <c r="AC307" s="170">
        <f>Delivery[[#This Row],[Quantity delivered]]*Delivery[[#This Row],[Base price (Unidad)]]/60</f>
        <v>139454.19</v>
      </c>
      <c r="AD307" s="171">
        <f>Delivery[[#This Row],[Nespresso total]]-Delivery[[#This Row],[Qt. Delivery * Base Price]]</f>
        <v>1474.3581197400053</v>
      </c>
      <c r="AE307" s="171">
        <f>Delivery[[#This Row],[AAA Premium (total)]]/Delivery[[#This Row],[Quantity delivered]]*60/Delivery[[#This Row],[Exchange rate VS USD]]</f>
        <v>6.9997201231458162</v>
      </c>
      <c r="AF307" s="171">
        <f>Delivery[[#This Row],[BEN premium (total)]]/Delivery[[#This Row],[Quantity delivered]]*60/Delivery[[#This Row],[Exchange rate for premiums VS USD]]</f>
        <v>2.1886853999999998</v>
      </c>
      <c r="AG307" s="171">
        <f>COUNTIF(Delivery[Delivery ID],Delivery[[#This Row],[Delivery ID]])</f>
        <v>1</v>
      </c>
      <c r="AH307" s="171">
        <f>(Delivery[[#This Row],[Nespresso total]]/SUMIF(Allocation!C:C,Delivery[Delivery ID],Allocation!H:H))/Delivery[[#This Row],[Exchange rate VS USD]]</f>
        <v>8.8357165574582677</v>
      </c>
      <c r="AI307" s="171">
        <f>(Delivery[[#This Row],[AAA Premium (total)]]/SUMIF(Allocation!C:C,Delivery[Delivery ID],Allocation!H:H))/Delivery[[#This Row],[Exchange rate VS USD]]</f>
        <v>0.47041129859850911</v>
      </c>
      <c r="AJ307" s="171">
        <f>Delivery[[#This Row],[Valor Prêmio Nespresso AAA por Kg (em US$)]]*60</f>
        <v>28.224677915910547</v>
      </c>
      <c r="AK307" s="171">
        <f>Delivery[[#This Row],[Valor Prêmio Nespresso AAA por saca (em US$)]]/1.3228/100</f>
        <v>0.21337071300204527</v>
      </c>
      <c r="AL307" s="171">
        <f>(Delivery[[#This Row],[BEN premium (total)]]/SUMIF(Allocation!C:C,Delivery[Delivery ID],Allocation!H:H))/Delivery[[#This Row],[Exchange rate for premiums VS USD]]</f>
        <v>0.14708907258064519</v>
      </c>
      <c r="AM307" s="171">
        <f>Delivery[[#This Row],[Valor Prêmio Nespresso BEN por Kg (em US$)]]*60</f>
        <v>8.8253443548387107</v>
      </c>
      <c r="AN307" s="171">
        <f>Delivery[[#This Row],[Valor Prêmio Nespresso BEN por saca (em US$)]]/1.3228/100</f>
        <v>6.6717148131529416E-2</v>
      </c>
      <c r="AO307" s="171">
        <f>SUMIF(Allocation[Delivery ID],Delivery[[#This Row],[Delivery ID]],Allocation[Quantity allocated])*16*1.3228*Delivery[[#This Row],[Exchange rate VS USD]]/60</f>
        <v>5626.2641817599997</v>
      </c>
      <c r="AP307" s="171">
        <f>Delivery[[#This Row],[AAA Premium (total)]]</f>
        <v>7503</v>
      </c>
      <c r="AQ307" s="171">
        <f>Delivery[[#This Row],[Valor pago pelo Cluster]]-Delivery[[#This Row],[Valor efetivamente pago pela Nespresso]]</f>
        <v>1876.7358182400003</v>
      </c>
    </row>
    <row r="308" spans="1:43" ht="15.75">
      <c r="A308" s="174" t="s">
        <v>69</v>
      </c>
      <c r="B308" s="232" t="s">
        <v>68</v>
      </c>
      <c r="C308" s="157">
        <v>1</v>
      </c>
      <c r="D308" s="157" t="s">
        <v>468</v>
      </c>
      <c r="E308" s="176" t="s">
        <v>468</v>
      </c>
      <c r="F308" s="233" t="s">
        <v>543</v>
      </c>
      <c r="G308" s="234">
        <v>43382</v>
      </c>
      <c r="H308" s="157" t="s">
        <v>1511</v>
      </c>
      <c r="I308" s="157" t="s">
        <v>970</v>
      </c>
      <c r="J308" s="237">
        <v>47884</v>
      </c>
      <c r="K308" s="175" t="s">
        <v>472</v>
      </c>
      <c r="L308" s="175" t="s">
        <v>439</v>
      </c>
      <c r="M308" s="175" t="s">
        <v>1343</v>
      </c>
      <c r="N308" s="180"/>
      <c r="O308" s="177"/>
      <c r="P308" s="181">
        <v>0</v>
      </c>
      <c r="Q308" s="177">
        <v>43375</v>
      </c>
      <c r="R308" s="178">
        <v>418.85568000000001</v>
      </c>
      <c r="S308" s="179">
        <v>333889.1599259075</v>
      </c>
      <c r="T308" s="182" t="s">
        <v>45</v>
      </c>
      <c r="U308" s="183">
        <v>3.9552</v>
      </c>
      <c r="V308" s="179">
        <v>66287.417333333331</v>
      </c>
      <c r="W308" s="179">
        <v>20516.491637046271</v>
      </c>
      <c r="X308" s="186" t="s">
        <v>45</v>
      </c>
      <c r="Y308" s="183">
        <v>3.9552</v>
      </c>
      <c r="Z308" s="220" t="s">
        <v>473</v>
      </c>
      <c r="AA308" s="172">
        <f>Delivery[[#This Row],[Quantity delivered]]*VLOOKUP(Delivery[[#This Row],[Unit]],Tab_Conversão[],4,FALSE)*VLOOKUP(CONCATENATE(Delivery[[#This Row],[Coffee specie]],Delivery[[#This Row],[Coffee state]]),Tab_Conversão[],4,FALSE)</f>
        <v>47884</v>
      </c>
      <c r="AB308" s="169">
        <f>SUMIF(Allocation!C:C,Delivery[[#This Row],[Delivery ID]],Allocation!D:D)/Delivery[[#This Row],[Quantity delivered]]</f>
        <v>0.36799348425361289</v>
      </c>
      <c r="AC308" s="170">
        <f>Delivery[[#This Row],[Quantity delivered]]*Delivery[[#This Row],[Base price (Unidad)]]/60</f>
        <v>334274.756352</v>
      </c>
      <c r="AD308" s="171">
        <f>Delivery[[#This Row],[Nespresso total]]-Delivery[[#This Row],[Qt. Delivery * Base Price]]</f>
        <v>-385.59642609249568</v>
      </c>
      <c r="AE308" s="171">
        <f>Delivery[[#This Row],[AAA Premium (total)]]/Delivery[[#This Row],[Quantity delivered]]*60/Delivery[[#This Row],[Exchange rate VS USD]]</f>
        <v>21.000202265372167</v>
      </c>
      <c r="AF308" s="171">
        <f>Delivery[[#This Row],[BEN premium (total)]]/Delivery[[#This Row],[Quantity delivered]]*60/Delivery[[#This Row],[Exchange rate for premiums VS USD]]</f>
        <v>6.4997323999999992</v>
      </c>
      <c r="AG308" s="171">
        <f>COUNTIF(Delivery[Delivery ID],Delivery[[#This Row],[Delivery ID]])</f>
        <v>1</v>
      </c>
      <c r="AH308" s="171">
        <f>(Delivery[[#This Row],[Nespresso total]]/SUMIF(Allocation!C:C,Delivery[Delivery ID],Allocation!H:H))/Delivery[[#This Row],[Exchange rate VS USD]]</f>
        <v>4.88839938584817</v>
      </c>
      <c r="AI308" s="171">
        <f>(Delivery[[#This Row],[AAA Premium (total)]]/SUMIF(Allocation!C:C,Delivery[Delivery ID],Allocation!H:H))/Delivery[[#This Row],[Exchange rate VS USD]]</f>
        <v>0.97049982171818572</v>
      </c>
      <c r="AJ308" s="171">
        <f>Delivery[[#This Row],[Valor Prêmio Nespresso AAA por Kg (em US$)]]*60</f>
        <v>58.229989303091145</v>
      </c>
      <c r="AK308" s="171">
        <f>Delivery[[#This Row],[Valor Prêmio Nespresso AAA por saca (em US$)]]/1.3228/100</f>
        <v>0.44020251967864488</v>
      </c>
      <c r="AL308" s="171">
        <f>(Delivery[[#This Row],[BEN premium (total)]]/SUMIF(Allocation!C:C,Delivery[Delivery ID],Allocation!H:H))/Delivery[[#This Row],[Exchange rate for premiums VS USD]]</f>
        <v>0.30037754187812454</v>
      </c>
      <c r="AM308" s="171">
        <f>Delivery[[#This Row],[Valor Prêmio Nespresso BEN por Kg (em US$)]]*60</f>
        <v>18.022652512687472</v>
      </c>
      <c r="AN308" s="171">
        <f>Delivery[[#This Row],[Valor Prêmio Nespresso BEN por saca (em US$)]]/1.3228/100</f>
        <v>0.13624623913431713</v>
      </c>
      <c r="AO308" s="171">
        <f>SUMIF(Allocation[Delivery ID],Delivery[[#This Row],[Delivery ID]],Allocation[Quantity allocated])*16*1.3228*Delivery[[#This Row],[Exchange rate VS USD]]/60</f>
        <v>24093.425864704001</v>
      </c>
      <c r="AP308" s="171">
        <f>Delivery[[#This Row],[AAA Premium (total)]]</f>
        <v>66287.417333333331</v>
      </c>
      <c r="AQ308" s="171">
        <f>Delivery[[#This Row],[Valor pago pelo Cluster]]-Delivery[[#This Row],[Valor efetivamente pago pela Nespresso]]</f>
        <v>42193.991468629334</v>
      </c>
    </row>
    <row r="309" spans="1:43" ht="15.75">
      <c r="A309" s="174" t="s">
        <v>69</v>
      </c>
      <c r="B309" s="232" t="s">
        <v>68</v>
      </c>
      <c r="C309" s="157">
        <v>1</v>
      </c>
      <c r="D309" s="157" t="s">
        <v>468</v>
      </c>
      <c r="E309" s="176" t="s">
        <v>468</v>
      </c>
      <c r="F309" s="233" t="s">
        <v>543</v>
      </c>
      <c r="G309" s="234">
        <v>43382</v>
      </c>
      <c r="H309" s="157" t="s">
        <v>1512</v>
      </c>
      <c r="I309" s="157" t="s">
        <v>970</v>
      </c>
      <c r="J309" s="237">
        <v>116</v>
      </c>
      <c r="K309" s="175" t="s">
        <v>472</v>
      </c>
      <c r="L309" s="175" t="s">
        <v>439</v>
      </c>
      <c r="M309" s="175" t="s">
        <v>1343</v>
      </c>
      <c r="N309" s="180"/>
      <c r="O309" s="177"/>
      <c r="P309" s="181">
        <v>0</v>
      </c>
      <c r="Q309" s="177">
        <v>43375</v>
      </c>
      <c r="R309" s="178">
        <v>418.85568000000001</v>
      </c>
      <c r="S309" s="179">
        <v>808.85353252454411</v>
      </c>
      <c r="T309" s="182" t="s">
        <v>45</v>
      </c>
      <c r="U309" s="183">
        <v>3.9552</v>
      </c>
      <c r="V309" s="179">
        <v>160.58266666666668</v>
      </c>
      <c r="W309" s="179">
        <v>49.701633737727995</v>
      </c>
      <c r="X309" s="186" t="s">
        <v>45</v>
      </c>
      <c r="Y309" s="183">
        <v>3.9552</v>
      </c>
      <c r="Z309" s="220" t="s">
        <v>473</v>
      </c>
      <c r="AA309" s="172">
        <f>Delivery[[#This Row],[Quantity delivered]]*VLOOKUP(Delivery[[#This Row],[Unit]],Tab_Conversão[],4,FALSE)*VLOOKUP(CONCATENATE(Delivery[[#This Row],[Coffee specie]],Delivery[[#This Row],[Coffee state]]),Tab_Conversão[],4,FALSE)</f>
        <v>116</v>
      </c>
      <c r="AB309" s="169">
        <f>SUMIF(Allocation!C:C,Delivery[[#This Row],[Delivery ID]],Allocation!D:D)/Delivery[[#This Row],[Quantity delivered]]</f>
        <v>0.37931034482758619</v>
      </c>
      <c r="AC309" s="170">
        <f>Delivery[[#This Row],[Quantity delivered]]*Delivery[[#This Row],[Base price (Unidad)]]/60</f>
        <v>809.78764799999999</v>
      </c>
      <c r="AD309" s="171">
        <f>Delivery[[#This Row],[Nespresso total]]-Delivery[[#This Row],[Qt. Delivery * Base Price]]</f>
        <v>-0.93411547545588292</v>
      </c>
      <c r="AE309" s="171">
        <f>Delivery[[#This Row],[AAA Premium (total)]]/Delivery[[#This Row],[Quantity delivered]]*60/Delivery[[#This Row],[Exchange rate VS USD]]</f>
        <v>21.00020226537217</v>
      </c>
      <c r="AF309" s="171">
        <f>Delivery[[#This Row],[BEN premium (total)]]/Delivery[[#This Row],[Quantity delivered]]*60/Delivery[[#This Row],[Exchange rate for premiums VS USD]]</f>
        <v>6.4997323999999992</v>
      </c>
      <c r="AG309" s="171">
        <f>COUNTIF(Delivery[Delivery ID],Delivery[[#This Row],[Delivery ID]])</f>
        <v>1</v>
      </c>
      <c r="AH309" s="171">
        <f>(Delivery[[#This Row],[Nespresso total]]/SUMIF(Allocation!C:C,Delivery[Delivery ID],Allocation!H:H))/Delivery[[#This Row],[Exchange rate VS USD]]</f>
        <v>4.7559029298171156</v>
      </c>
      <c r="AI309" s="171">
        <f>(Delivery[[#This Row],[AAA Premium (total)]]/SUMIF(Allocation!C:C,Delivery[Delivery ID],Allocation!H:H))/Delivery[[#This Row],[Exchange rate VS USD]]</f>
        <v>0.94419514061363252</v>
      </c>
      <c r="AJ309" s="171">
        <f>Delivery[[#This Row],[Valor Prêmio Nespresso AAA por Kg (em US$)]]*60</f>
        <v>56.651708436817948</v>
      </c>
      <c r="AK309" s="171">
        <f>Delivery[[#This Row],[Valor Prêmio Nespresso AAA por saca (em US$)]]/1.3228/100</f>
        <v>0.42827115540382488</v>
      </c>
      <c r="AL309" s="171">
        <f>(Delivery[[#This Row],[BEN premium (total)]]/SUMIF(Allocation!C:C,Delivery[Delivery ID],Allocation!H:H))/Delivery[[#This Row],[Exchange rate for premiums VS USD]]</f>
        <v>0.29223603038759688</v>
      </c>
      <c r="AM309" s="171">
        <f>Delivery[[#This Row],[Valor Prêmio Nespresso BEN por Kg (em US$)]]*60</f>
        <v>17.534161823255811</v>
      </c>
      <c r="AN309" s="171">
        <f>Delivery[[#This Row],[Valor Prêmio Nespresso BEN por saca (em US$)]]/1.3228/100</f>
        <v>0.13255338541923051</v>
      </c>
      <c r="AO309" s="171">
        <f>SUMIF(Allocation[Delivery ID],Delivery[[#This Row],[Delivery ID]],Allocation[Quantity allocated])*16*1.3228*Delivery[[#This Row],[Exchange rate VS USD]]/60</f>
        <v>59.992895488000002</v>
      </c>
      <c r="AP309" s="171">
        <f>Delivery[[#This Row],[AAA Premium (total)]]</f>
        <v>160.58266666666668</v>
      </c>
      <c r="AQ309" s="171">
        <f>Delivery[[#This Row],[Valor pago pelo Cluster]]-Delivery[[#This Row],[Valor efetivamente pago pela Nespresso]]</f>
        <v>100.58977117866668</v>
      </c>
    </row>
    <row r="310" spans="1:43" ht="15.75">
      <c r="A310" s="174" t="s">
        <v>69</v>
      </c>
      <c r="B310" s="232" t="s">
        <v>68</v>
      </c>
      <c r="C310" s="157">
        <v>1</v>
      </c>
      <c r="D310" s="157" t="s">
        <v>468</v>
      </c>
      <c r="E310" s="176" t="s">
        <v>468</v>
      </c>
      <c r="F310" s="233" t="s">
        <v>543</v>
      </c>
      <c r="G310" s="234">
        <v>43382</v>
      </c>
      <c r="H310" s="157" t="s">
        <v>1513</v>
      </c>
      <c r="I310" s="236" t="s">
        <v>970</v>
      </c>
      <c r="J310" s="237">
        <v>52935</v>
      </c>
      <c r="K310" s="175" t="s">
        <v>472</v>
      </c>
      <c r="L310" s="175" t="s">
        <v>439</v>
      </c>
      <c r="M310" s="175" t="s">
        <v>1343</v>
      </c>
      <c r="N310" s="180"/>
      <c r="O310" s="177"/>
      <c r="P310" s="185">
        <v>0</v>
      </c>
      <c r="Q310" s="177">
        <v>43375</v>
      </c>
      <c r="R310" s="178">
        <v>418.90863000000007</v>
      </c>
      <c r="S310" s="179">
        <v>367586.78462931892</v>
      </c>
      <c r="T310" s="182" t="s">
        <v>45</v>
      </c>
      <c r="U310" s="183">
        <v>3.9557000000000002</v>
      </c>
      <c r="V310" s="179">
        <v>24422.58</v>
      </c>
      <c r="W310" s="179">
        <v>6943.9353706810498</v>
      </c>
      <c r="X310" s="186" t="s">
        <v>45</v>
      </c>
      <c r="Y310" s="183">
        <v>3.9557000000000002</v>
      </c>
      <c r="Z310" s="220" t="s">
        <v>473</v>
      </c>
      <c r="AA310" s="172">
        <f>Delivery[[#This Row],[Quantity delivered]]*VLOOKUP(Delivery[[#This Row],[Unit]],Tab_Conversão[],4,FALSE)*VLOOKUP(CONCATENATE(Delivery[[#This Row],[Coffee specie]],Delivery[[#This Row],[Coffee state]]),Tab_Conversão[],4,FALSE)</f>
        <v>52935</v>
      </c>
      <c r="AB310" s="169">
        <f>SUMIF(Allocation!C:C,Delivery[[#This Row],[Delivery ID]],Allocation!D:D)/Delivery[[#This Row],[Quantity delivered]]</f>
        <v>0.82735430244639652</v>
      </c>
      <c r="AC310" s="170">
        <f>Delivery[[#This Row],[Quantity delivered]]*Delivery[[#This Row],[Base price (Unidad)]]/60</f>
        <v>369582.13881750009</v>
      </c>
      <c r="AD310" s="171">
        <f>Delivery[[#This Row],[Nespresso total]]-Delivery[[#This Row],[Qt. Delivery * Base Price]]</f>
        <v>-1995.3541881811689</v>
      </c>
      <c r="AE310" s="171">
        <f>Delivery[[#This Row],[AAA Premium (total)]]/Delivery[[#This Row],[Quantity delivered]]*60/Delivery[[#This Row],[Exchange rate VS USD]]</f>
        <v>6.9980417080630142</v>
      </c>
      <c r="AF310" s="171">
        <f>Delivery[[#This Row],[BEN premium (total)]]/Delivery[[#This Row],[Quantity delivered]]*60/Delivery[[#This Row],[Exchange rate for premiums VS USD]]</f>
        <v>1.989714</v>
      </c>
      <c r="AG310" s="171">
        <f>COUNTIF(Delivery[Delivery ID],Delivery[[#This Row],[Delivery ID]])</f>
        <v>1</v>
      </c>
      <c r="AH310" s="171">
        <f>(Delivery[[#This Row],[Nespresso total]]/SUMIF(Allocation!C:C,Delivery[Delivery ID],Allocation!H:H))/Delivery[[#This Row],[Exchange rate VS USD]]</f>
        <v>7.0725207356325344</v>
      </c>
      <c r="AI310" s="171">
        <f>(Delivery[[#This Row],[AAA Premium (total)]]/SUMIF(Allocation!C:C,Delivery[Delivery ID],Allocation!H:H))/Delivery[[#This Row],[Exchange rate VS USD]]</f>
        <v>0.46990047164461485</v>
      </c>
      <c r="AJ310" s="171">
        <f>Delivery[[#This Row],[Valor Prêmio Nespresso AAA por Kg (em US$)]]*60</f>
        <v>28.194028298676891</v>
      </c>
      <c r="AK310" s="171">
        <f>Delivery[[#This Row],[Valor Prêmio Nespresso AAA por saca (em US$)]]/1.3228/100</f>
        <v>0.21313901042241376</v>
      </c>
      <c r="AL310" s="171">
        <f>(Delivery[[#This Row],[BEN premium (total)]]/SUMIF(Allocation!C:C,Delivery[Delivery ID],Allocation!H:H))/Delivery[[#This Row],[Exchange rate for premiums VS USD]]</f>
        <v>0.13360416900068497</v>
      </c>
      <c r="AM310" s="171">
        <f>Delivery[[#This Row],[Valor Prêmio Nespresso BEN por Kg (em US$)]]*60</f>
        <v>8.0162501400410981</v>
      </c>
      <c r="AN310" s="171">
        <f>Delivery[[#This Row],[Valor Prêmio Nespresso BEN por saca (em US$)]]/1.3228/100</f>
        <v>6.0600620955859524E-2</v>
      </c>
      <c r="AO310" s="171">
        <f>SUMIF(Allocation[Delivery ID],Delivery[[#This Row],[Delivery ID]],Allocation[Quantity allocated])*16*1.3228*Delivery[[#This Row],[Exchange rate VS USD]]/60</f>
        <v>18333.634899850666</v>
      </c>
      <c r="AP310" s="171">
        <f>Delivery[[#This Row],[AAA Premium (total)]]</f>
        <v>24422.58</v>
      </c>
      <c r="AQ310" s="171">
        <f>Delivery[[#This Row],[Valor pago pelo Cluster]]-Delivery[[#This Row],[Valor efetivamente pago pela Nespresso]]</f>
        <v>6088.9451001493362</v>
      </c>
    </row>
    <row r="311" spans="1:43" ht="15.75">
      <c r="A311" s="174" t="s">
        <v>69</v>
      </c>
      <c r="B311" s="232" t="s">
        <v>68</v>
      </c>
      <c r="C311" s="157">
        <v>1</v>
      </c>
      <c r="D311" s="157" t="s">
        <v>468</v>
      </c>
      <c r="E311" s="176" t="s">
        <v>468</v>
      </c>
      <c r="F311" s="233" t="s">
        <v>543</v>
      </c>
      <c r="G311" s="234">
        <v>43395</v>
      </c>
      <c r="H311" s="157" t="s">
        <v>1514</v>
      </c>
      <c r="I311" s="157" t="s">
        <v>1431</v>
      </c>
      <c r="J311" s="237">
        <v>16890</v>
      </c>
      <c r="K311" s="175" t="s">
        <v>472</v>
      </c>
      <c r="L311" s="175" t="s">
        <v>439</v>
      </c>
      <c r="M311" s="175" t="s">
        <v>1343</v>
      </c>
      <c r="N311" s="180"/>
      <c r="O311" s="177"/>
      <c r="P311" s="185">
        <v>0</v>
      </c>
      <c r="Q311" s="177">
        <v>43388</v>
      </c>
      <c r="R311" s="178">
        <v>443.34219999999999</v>
      </c>
      <c r="S311" s="179">
        <v>125433.81400137598</v>
      </c>
      <c r="T311" s="182" t="s">
        <v>45</v>
      </c>
      <c r="U311" s="183">
        <v>3.7240000000000002</v>
      </c>
      <c r="V311" s="179">
        <v>10483.060000000001</v>
      </c>
      <c r="W311" s="179">
        <v>2781.1054993120001</v>
      </c>
      <c r="X311" s="186" t="s">
        <v>45</v>
      </c>
      <c r="Y311" s="183">
        <v>3.7240000000000002</v>
      </c>
      <c r="Z311" s="220" t="s">
        <v>473</v>
      </c>
      <c r="AA311" s="172">
        <f>Delivery[[#This Row],[Quantity delivered]]*VLOOKUP(Delivery[[#This Row],[Unit]],Tab_Conversão[],4,FALSE)*VLOOKUP(CONCATENATE(Delivery[[#This Row],[Coffee specie]],Delivery[[#This Row],[Coffee state]]),Tab_Conversão[],4,FALSE)</f>
        <v>16890</v>
      </c>
      <c r="AB311" s="169">
        <f>SUMIF(Allocation!C:C,Delivery[[#This Row],[Delivery ID]],Allocation!D:D)/Delivery[[#This Row],[Quantity delivered]]</f>
        <v>0.9029603315571344</v>
      </c>
      <c r="AC311" s="170">
        <f>Delivery[[#This Row],[Quantity delivered]]*Delivery[[#This Row],[Base price (Unidad)]]/60</f>
        <v>124800.8293</v>
      </c>
      <c r="AD311" s="171">
        <f>Delivery[[#This Row],[Nespresso total]]-Delivery[[#This Row],[Qt. Delivery * Base Price]]</f>
        <v>632.98470137598633</v>
      </c>
      <c r="AE311" s="171">
        <f>Delivery[[#This Row],[AAA Premium (total)]]/Delivery[[#This Row],[Quantity delivered]]*60/Delivery[[#This Row],[Exchange rate VS USD]]</f>
        <v>10</v>
      </c>
      <c r="AF311" s="171">
        <f>Delivery[[#This Row],[BEN premium (total)]]/Delivery[[#This Row],[Quantity delivered]]*60/Delivery[[#This Row],[Exchange rate for premiums VS USD]]</f>
        <v>2.652952</v>
      </c>
      <c r="AG311" s="171">
        <f>COUNTIF(Delivery[Delivery ID],Delivery[[#This Row],[Delivery ID]])</f>
        <v>1</v>
      </c>
      <c r="AH311" s="171">
        <f>(Delivery[[#This Row],[Nespresso total]]/SUMIF(Allocation!C:C,Delivery[Delivery ID],Allocation!H:H))/Delivery[[#This Row],[Exchange rate VS USD]]</f>
        <v>5.5217294114109619</v>
      </c>
      <c r="AI311" s="171">
        <f>(Delivery[[#This Row],[AAA Premium (total)]]/SUMIF(Allocation!C:C,Delivery[Delivery ID],Allocation!H:H))/Delivery[[#This Row],[Exchange rate VS USD]]</f>
        <v>0.46147540983606561</v>
      </c>
      <c r="AJ311" s="171">
        <f>Delivery[[#This Row],[Valor Prêmio Nespresso AAA por Kg (em US$)]]*60</f>
        <v>27.688524590163937</v>
      </c>
      <c r="AK311" s="171">
        <f>Delivery[[#This Row],[Valor Prêmio Nespresso AAA por saca (em US$)]]/1.3228/100</f>
        <v>0.20931754301605637</v>
      </c>
      <c r="AL311" s="171">
        <f>(Delivery[[#This Row],[BEN premium (total)]]/SUMIF(Allocation!C:C,Delivery[Delivery ID],Allocation!H:H))/Delivery[[#This Row],[Exchange rate for premiums VS USD]]</f>
        <v>0.12242721114754099</v>
      </c>
      <c r="AM311" s="171">
        <f>Delivery[[#This Row],[Valor Prêmio Nespresso BEN por Kg (em US$)]]*60</f>
        <v>7.3456326688524589</v>
      </c>
      <c r="AN311" s="171">
        <f>Delivery[[#This Row],[Valor Prêmio Nespresso BEN por saca (em US$)]]/1.3228/100</f>
        <v>5.5530939437953279E-2</v>
      </c>
      <c r="AO311" s="171">
        <f>SUMIF(Allocation[Delivery ID],Delivery[[#This Row],[Delivery ID]],Allocation[Quantity allocated])*16*1.3228*Delivery[[#This Row],[Exchange rate VS USD]]/60</f>
        <v>8013.1343786666675</v>
      </c>
      <c r="AP311" s="171">
        <f>Delivery[[#This Row],[AAA Premium (total)]]</f>
        <v>10483.060000000001</v>
      </c>
      <c r="AQ311" s="171">
        <f>Delivery[[#This Row],[Valor pago pelo Cluster]]-Delivery[[#This Row],[Valor efetivamente pago pela Nespresso]]</f>
        <v>2469.9256213333338</v>
      </c>
    </row>
    <row r="312" spans="1:43" ht="15.75">
      <c r="A312" s="174" t="s">
        <v>69</v>
      </c>
      <c r="B312" s="232" t="s">
        <v>68</v>
      </c>
      <c r="C312" s="157">
        <v>1</v>
      </c>
      <c r="D312" s="157" t="s">
        <v>468</v>
      </c>
      <c r="E312" s="176" t="s">
        <v>468</v>
      </c>
      <c r="F312" s="233" t="s">
        <v>543</v>
      </c>
      <c r="G312" s="234">
        <v>43395</v>
      </c>
      <c r="H312" s="157" t="s">
        <v>1515</v>
      </c>
      <c r="I312" s="157" t="s">
        <v>1431</v>
      </c>
      <c r="J312" s="237">
        <v>12640</v>
      </c>
      <c r="K312" s="175" t="s">
        <v>472</v>
      </c>
      <c r="L312" s="175" t="s">
        <v>439</v>
      </c>
      <c r="M312" s="175" t="s">
        <v>1343</v>
      </c>
      <c r="N312" s="180"/>
      <c r="O312" s="177"/>
      <c r="P312" s="185">
        <v>0</v>
      </c>
      <c r="Q312" s="177">
        <v>43388</v>
      </c>
      <c r="R312" s="178">
        <v>443.34219999999999</v>
      </c>
      <c r="S312" s="179">
        <v>93871.131378176011</v>
      </c>
      <c r="T312" s="182" t="s">
        <v>45</v>
      </c>
      <c r="U312" s="183">
        <v>3.7240000000000002</v>
      </c>
      <c r="V312" s="179">
        <v>7845.2266666666674</v>
      </c>
      <c r="W312" s="179">
        <v>2081.3009775786668</v>
      </c>
      <c r="X312" s="186" t="s">
        <v>45</v>
      </c>
      <c r="Y312" s="183">
        <v>3.7240000000000002</v>
      </c>
      <c r="Z312" s="220" t="s">
        <v>473</v>
      </c>
      <c r="AA312" s="172">
        <f>Delivery[[#This Row],[Quantity delivered]]*VLOOKUP(Delivery[[#This Row],[Unit]],Tab_Conversão[],4,FALSE)*VLOOKUP(CONCATENATE(Delivery[[#This Row],[Coffee specie]],Delivery[[#This Row],[Coffee state]]),Tab_Conversão[],4,FALSE)</f>
        <v>12640</v>
      </c>
      <c r="AB312" s="169">
        <f>SUMIF(Allocation!C:C,Delivery[[#This Row],[Delivery ID]],Allocation!D:D)/Delivery[[#This Row],[Quantity delivered]]</f>
        <v>0.90268987341772156</v>
      </c>
      <c r="AC312" s="170">
        <f>Delivery[[#This Row],[Quantity delivered]]*Delivery[[#This Row],[Base price (Unidad)]]/60</f>
        <v>93397.42346666666</v>
      </c>
      <c r="AD312" s="171">
        <f>Delivery[[#This Row],[Nespresso total]]-Delivery[[#This Row],[Qt. Delivery * Base Price]]</f>
        <v>473.70791150935111</v>
      </c>
      <c r="AE312" s="171">
        <f>Delivery[[#This Row],[AAA Premium (total)]]/Delivery[[#This Row],[Quantity delivered]]*60/Delivery[[#This Row],[Exchange rate VS USD]]</f>
        <v>10</v>
      </c>
      <c r="AF312" s="171">
        <f>Delivery[[#This Row],[BEN premium (total)]]/Delivery[[#This Row],[Quantity delivered]]*60/Delivery[[#This Row],[Exchange rate for premiums VS USD]]</f>
        <v>2.652952</v>
      </c>
      <c r="AG312" s="171">
        <f>COUNTIF(Delivery[Delivery ID],Delivery[[#This Row],[Delivery ID]])</f>
        <v>1</v>
      </c>
      <c r="AH312" s="171">
        <f>(Delivery[[#This Row],[Nespresso total]]/SUMIF(Allocation!C:C,Delivery[Delivery ID],Allocation!H:H))/Delivery[[#This Row],[Exchange rate VS USD]]</f>
        <v>5.5230216311430889</v>
      </c>
      <c r="AI312" s="171">
        <f>(Delivery[[#This Row],[AAA Premium (total)]]/SUMIF(Allocation!C:C,Delivery[Delivery ID],Allocation!H:H))/Delivery[[#This Row],[Exchange rate VS USD]]</f>
        <v>0.4615834063686825</v>
      </c>
      <c r="AJ312" s="171">
        <f>Delivery[[#This Row],[Valor Prêmio Nespresso AAA por Kg (em US$)]]*60</f>
        <v>27.695004382120949</v>
      </c>
      <c r="AK312" s="171">
        <f>Delivery[[#This Row],[Valor Prêmio Nespresso AAA por saca (em US$)]]/1.3228/100</f>
        <v>0.20936652844058778</v>
      </c>
      <c r="AL312" s="171">
        <f>(Delivery[[#This Row],[BEN premium (total)]]/SUMIF(Allocation!C:C,Delivery[Delivery ID],Allocation!H:H))/Delivery[[#This Row],[Exchange rate for premiums VS USD]]</f>
        <v>0.12245586210926088</v>
      </c>
      <c r="AM312" s="171">
        <f>Delivery[[#This Row],[Valor Prêmio Nespresso BEN por Kg (em US$)]]*60</f>
        <v>7.3473517265556527</v>
      </c>
      <c r="AN312" s="171">
        <f>Delivery[[#This Row],[Valor Prêmio Nespresso BEN por saca (em US$)]]/1.3228/100</f>
        <v>5.5543935035951411E-2</v>
      </c>
      <c r="AO312" s="171">
        <f>SUMIF(Allocation[Delivery ID],Delivery[[#This Row],[Delivery ID]],Allocation[Quantity allocated])*16*1.3228*Delivery[[#This Row],[Exchange rate VS USD]]/60</f>
        <v>5995.4008695466664</v>
      </c>
      <c r="AP312" s="171">
        <f>Delivery[[#This Row],[AAA Premium (total)]]</f>
        <v>7845.2266666666674</v>
      </c>
      <c r="AQ312" s="171">
        <f>Delivery[[#This Row],[Valor pago pelo Cluster]]-Delivery[[#This Row],[Valor efetivamente pago pela Nespresso]]</f>
        <v>1849.825797120001</v>
      </c>
    </row>
    <row r="313" spans="1:43" ht="15.75">
      <c r="A313" s="174" t="s">
        <v>69</v>
      </c>
      <c r="B313" s="232" t="s">
        <v>68</v>
      </c>
      <c r="C313" s="157">
        <v>1</v>
      </c>
      <c r="D313" s="157" t="s">
        <v>468</v>
      </c>
      <c r="E313" s="177" t="s">
        <v>468</v>
      </c>
      <c r="F313" s="233" t="s">
        <v>543</v>
      </c>
      <c r="G313" s="234">
        <v>43395</v>
      </c>
      <c r="H313" s="157" t="s">
        <v>1516</v>
      </c>
      <c r="I313" s="157" t="s">
        <v>1431</v>
      </c>
      <c r="J313" s="237">
        <v>33100</v>
      </c>
      <c r="K313" s="175" t="s">
        <v>472</v>
      </c>
      <c r="L313" s="175" t="s">
        <v>439</v>
      </c>
      <c r="M313" s="175" t="s">
        <v>1343</v>
      </c>
      <c r="N313" s="180"/>
      <c r="O313" s="177"/>
      <c r="P313" s="185">
        <v>0</v>
      </c>
      <c r="Q313" s="177">
        <v>43388</v>
      </c>
      <c r="R313" s="178">
        <v>443.34219999999999</v>
      </c>
      <c r="S313" s="179">
        <v>245817.59878303998</v>
      </c>
      <c r="T313" s="182" t="s">
        <v>45</v>
      </c>
      <c r="U313" s="183">
        <v>3.7240000000000002</v>
      </c>
      <c r="V313" s="179">
        <v>20544.066666666669</v>
      </c>
      <c r="W313" s="179">
        <v>5450.2422751466665</v>
      </c>
      <c r="X313" s="186" t="s">
        <v>45</v>
      </c>
      <c r="Y313" s="183">
        <v>3.7240000000000002</v>
      </c>
      <c r="Z313" s="220" t="s">
        <v>473</v>
      </c>
      <c r="AA313" s="172">
        <f>Delivery[[#This Row],[Quantity delivered]]*VLOOKUP(Delivery[[#This Row],[Unit]],Tab_Conversão[],4,FALSE)*VLOOKUP(CONCATENATE(Delivery[[#This Row],[Coffee specie]],Delivery[[#This Row],[Coffee state]]),Tab_Conversão[],4,FALSE)</f>
        <v>33100</v>
      </c>
      <c r="AB313" s="169">
        <f>SUMIF(Allocation!C:C,Delivery[[#This Row],[Delivery ID]],Allocation!D:D)/Delivery[[#This Row],[Quantity delivered]]</f>
        <v>0.90105740181268879</v>
      </c>
      <c r="AC313" s="170">
        <f>Delivery[[#This Row],[Quantity delivered]]*Delivery[[#This Row],[Base price (Unidad)]]/60</f>
        <v>244577.11366666667</v>
      </c>
      <c r="AD313" s="171">
        <f>Delivery[[#This Row],[Nespresso total]]-Delivery[[#This Row],[Qt. Delivery * Base Price]]</f>
        <v>1240.485116373311</v>
      </c>
      <c r="AE313" s="171">
        <f>Delivery[[#This Row],[AAA Premium (total)]]/Delivery[[#This Row],[Quantity delivered]]*60/Delivery[[#This Row],[Exchange rate VS USD]]</f>
        <v>10</v>
      </c>
      <c r="AF313" s="171">
        <f>Delivery[[#This Row],[BEN premium (total)]]/Delivery[[#This Row],[Quantity delivered]]*60/Delivery[[#This Row],[Exchange rate for premiums VS USD]]</f>
        <v>2.6529519999999995</v>
      </c>
      <c r="AG313" s="171">
        <f>COUNTIF(Delivery[Delivery ID],Delivery[[#This Row],[Delivery ID]])</f>
        <v>1</v>
      </c>
      <c r="AH313" s="171">
        <f>(Delivery[[#This Row],[Nespresso total]]/SUMIF(Allocation!C:C,Delivery[Delivery ID],Allocation!H:H))/Delivery[[#This Row],[Exchange rate VS USD]]</f>
        <v>5.5330278482483291</v>
      </c>
      <c r="AI313" s="171">
        <f>(Delivery[[#This Row],[AAA Premium (total)]]/SUMIF(Allocation!C:C,Delivery[Delivery ID],Allocation!H:H))/Delivery[[#This Row],[Exchange rate VS USD]]</f>
        <v>0.46241967029896625</v>
      </c>
      <c r="AJ313" s="171">
        <f>Delivery[[#This Row],[Valor Prêmio Nespresso AAA por Kg (em US$)]]*60</f>
        <v>27.745180217937975</v>
      </c>
      <c r="AK313" s="171">
        <f>Delivery[[#This Row],[Valor Prêmio Nespresso AAA por saca (em US$)]]/1.3228/100</f>
        <v>0.20974584380055922</v>
      </c>
      <c r="AL313" s="171">
        <f>(Delivery[[#This Row],[BEN premium (total)]]/SUMIF(Allocation!C:C,Delivery[Delivery ID],Allocation!H:H))/Delivery[[#This Row],[Exchange rate for premiums VS USD]]</f>
        <v>0.12267771891589829</v>
      </c>
      <c r="AM313" s="171">
        <f>Delivery[[#This Row],[Valor Prêmio Nespresso BEN por Kg (em US$)]]*60</f>
        <v>7.3606631349538976</v>
      </c>
      <c r="AN313" s="171">
        <f>Delivery[[#This Row],[Valor Prêmio Nespresso BEN por saca (em US$)]]/1.3228/100</f>
        <v>5.5644565580238108E-2</v>
      </c>
      <c r="AO313" s="171">
        <f>SUMIF(Allocation[Delivery ID],Delivery[[#This Row],[Delivery ID]],Allocation[Quantity allocated])*16*1.3228*Delivery[[#This Row],[Exchange rate VS USD]]/60</f>
        <v>15671.589038933333</v>
      </c>
      <c r="AP313" s="171">
        <f>Delivery[[#This Row],[AAA Premium (total)]]</f>
        <v>20544.066666666669</v>
      </c>
      <c r="AQ313" s="171">
        <f>Delivery[[#This Row],[Valor pago pelo Cluster]]-Delivery[[#This Row],[Valor efetivamente pago pela Nespresso]]</f>
        <v>4872.4776277333367</v>
      </c>
    </row>
    <row r="314" spans="1:43" ht="15.75">
      <c r="A314" s="174" t="s">
        <v>69</v>
      </c>
      <c r="B314" s="232" t="s">
        <v>68</v>
      </c>
      <c r="C314" s="157">
        <v>1</v>
      </c>
      <c r="D314" s="157" t="s">
        <v>468</v>
      </c>
      <c r="E314" s="177" t="s">
        <v>468</v>
      </c>
      <c r="F314" s="233" t="s">
        <v>543</v>
      </c>
      <c r="G314" s="234">
        <v>43395</v>
      </c>
      <c r="H314" s="157" t="s">
        <v>1517</v>
      </c>
      <c r="I314" s="157" t="s">
        <v>1431</v>
      </c>
      <c r="J314" s="237">
        <v>27840</v>
      </c>
      <c r="K314" s="175" t="s">
        <v>472</v>
      </c>
      <c r="L314" s="175" t="s">
        <v>439</v>
      </c>
      <c r="M314" s="175" t="s">
        <v>1343</v>
      </c>
      <c r="N314" s="180"/>
      <c r="O314" s="177"/>
      <c r="P314" s="185">
        <v>0</v>
      </c>
      <c r="Q314" s="177">
        <v>43388</v>
      </c>
      <c r="R314" s="178">
        <v>443.34219999999999</v>
      </c>
      <c r="S314" s="179">
        <v>206754.13746585601</v>
      </c>
      <c r="T314" s="182" t="s">
        <v>45</v>
      </c>
      <c r="U314" s="183">
        <v>3.7240000000000002</v>
      </c>
      <c r="V314" s="179">
        <v>17279.36</v>
      </c>
      <c r="W314" s="179">
        <v>4584.1312670719999</v>
      </c>
      <c r="X314" s="186" t="s">
        <v>45</v>
      </c>
      <c r="Y314" s="183">
        <v>3.7240000000000002</v>
      </c>
      <c r="Z314" s="220" t="s">
        <v>473</v>
      </c>
      <c r="AA314" s="172">
        <f>Delivery[[#This Row],[Quantity delivered]]*VLOOKUP(Delivery[[#This Row],[Unit]],Tab_Conversão[],4,FALSE)*VLOOKUP(CONCATENATE(Delivery[[#This Row],[Coffee specie]],Delivery[[#This Row],[Coffee state]]),Tab_Conversão[],4,FALSE)</f>
        <v>27840</v>
      </c>
      <c r="AB314" s="169">
        <f>SUMIF(Allocation!C:C,Delivery[[#This Row],[Delivery ID]],Allocation!D:D)/Delivery[[#This Row],[Quantity delivered]]</f>
        <v>0.90068247126436785</v>
      </c>
      <c r="AC314" s="170">
        <f>Delivery[[#This Row],[Quantity delivered]]*Delivery[[#This Row],[Base price (Unidad)]]/60</f>
        <v>205710.78079999998</v>
      </c>
      <c r="AD314" s="171">
        <f>Delivery[[#This Row],[Nespresso total]]-Delivery[[#This Row],[Qt. Delivery * Base Price]]</f>
        <v>1043.3566658560303</v>
      </c>
      <c r="AE314" s="171">
        <f>Delivery[[#This Row],[AAA Premium (total)]]/Delivery[[#This Row],[Quantity delivered]]*60/Delivery[[#This Row],[Exchange rate VS USD]]</f>
        <v>10</v>
      </c>
      <c r="AF314" s="171">
        <f>Delivery[[#This Row],[BEN premium (total)]]/Delivery[[#This Row],[Quantity delivered]]*60/Delivery[[#This Row],[Exchange rate for premiums VS USD]]</f>
        <v>2.6529519999999995</v>
      </c>
      <c r="AG314" s="171">
        <f>COUNTIF(Delivery[Delivery ID],Delivery[[#This Row],[Delivery ID]])</f>
        <v>1</v>
      </c>
      <c r="AH314" s="171">
        <f>(Delivery[[#This Row],[Nespresso total]]/SUMIF(Allocation!C:C,Delivery[Delivery ID],Allocation!H:H))/Delivery[[#This Row],[Exchange rate VS USD]]</f>
        <v>5.5353311029814956</v>
      </c>
      <c r="AI314" s="171">
        <f>(Delivery[[#This Row],[AAA Premium (total)]]/SUMIF(Allocation!C:C,Delivery[Delivery ID],Allocation!H:H))/Delivery[[#This Row],[Exchange rate VS USD]]</f>
        <v>0.4626121635094716</v>
      </c>
      <c r="AJ314" s="171">
        <f>Delivery[[#This Row],[Valor Prêmio Nespresso AAA por Kg (em US$)]]*60</f>
        <v>27.756729810568295</v>
      </c>
      <c r="AK314" s="171">
        <f>Delivery[[#This Row],[Valor Prêmio Nespresso AAA por saca (em US$)]]/1.3228/100</f>
        <v>0.20983315550777362</v>
      </c>
      <c r="AL314" s="171">
        <f>(Delivery[[#This Row],[BEN premium (total)]]/SUMIF(Allocation!C:C,Delivery[Delivery ID],Allocation!H:H))/Delivery[[#This Row],[Exchange rate for premiums VS USD]]</f>
        <v>0.12272878644067794</v>
      </c>
      <c r="AM314" s="171">
        <f>Delivery[[#This Row],[Valor Prêmio Nespresso BEN por Kg (em US$)]]*60</f>
        <v>7.363727186440677</v>
      </c>
      <c r="AN314" s="171">
        <f>Delivery[[#This Row],[Valor Prêmio Nespresso BEN por saca (em US$)]]/1.3228/100</f>
        <v>5.5667728957065898E-2</v>
      </c>
      <c r="AO314" s="171">
        <f>SUMIF(Allocation[Delivery ID],Delivery[[#This Row],[Delivery ID]],Allocation[Quantity allocated])*16*1.3228*Delivery[[#This Row],[Exchange rate VS USD]]/60</f>
        <v>13175.694724266668</v>
      </c>
      <c r="AP314" s="171">
        <f>Delivery[[#This Row],[AAA Premium (total)]]</f>
        <v>17279.36</v>
      </c>
      <c r="AQ314" s="171">
        <f>Delivery[[#This Row],[Valor pago pelo Cluster]]-Delivery[[#This Row],[Valor efetivamente pago pela Nespresso]]</f>
        <v>4103.6652757333322</v>
      </c>
    </row>
    <row r="315" spans="1:43" ht="15.75">
      <c r="A315" s="174" t="s">
        <v>69</v>
      </c>
      <c r="B315" s="232" t="s">
        <v>68</v>
      </c>
      <c r="C315" s="157">
        <v>1</v>
      </c>
      <c r="D315" s="157" t="s">
        <v>468</v>
      </c>
      <c r="E315" s="177" t="s">
        <v>468</v>
      </c>
      <c r="F315" s="233" t="s">
        <v>543</v>
      </c>
      <c r="G315" s="234">
        <v>43395</v>
      </c>
      <c r="H315" s="157" t="s">
        <v>1518</v>
      </c>
      <c r="I315" s="157" t="s">
        <v>1431</v>
      </c>
      <c r="J315" s="237">
        <v>28320</v>
      </c>
      <c r="K315" s="175" t="s">
        <v>472</v>
      </c>
      <c r="L315" s="175" t="s">
        <v>439</v>
      </c>
      <c r="M315" s="175" t="s">
        <v>1343</v>
      </c>
      <c r="N315" s="180"/>
      <c r="O315" s="177"/>
      <c r="P315" s="185">
        <v>0</v>
      </c>
      <c r="Q315" s="177">
        <v>43388</v>
      </c>
      <c r="R315" s="178">
        <v>443.34219999999999</v>
      </c>
      <c r="S315" s="179">
        <v>210318.86397388799</v>
      </c>
      <c r="T315" s="182" t="s">
        <v>45</v>
      </c>
      <c r="U315" s="183">
        <v>3.7240000000000002</v>
      </c>
      <c r="V315" s="179">
        <v>17577.280000000002</v>
      </c>
      <c r="W315" s="179">
        <v>4663.1680130560007</v>
      </c>
      <c r="X315" s="186" t="s">
        <v>45</v>
      </c>
      <c r="Y315" s="183">
        <v>3.7240000000000002</v>
      </c>
      <c r="Z315" s="220" t="s">
        <v>473</v>
      </c>
      <c r="AA315" s="172">
        <f>Delivery[[#This Row],[Quantity delivered]]*VLOOKUP(Delivery[[#This Row],[Unit]],Tab_Conversão[],4,FALSE)*VLOOKUP(CONCATENATE(Delivery[[#This Row],[Coffee specie]],Delivery[[#This Row],[Coffee state]]),Tab_Conversão[],4,FALSE)</f>
        <v>28320</v>
      </c>
      <c r="AB315" s="169">
        <f>SUMIF(Allocation!C:C,Delivery[[#This Row],[Delivery ID]],Allocation!D:D)/Delivery[[#This Row],[Quantity delivered]]</f>
        <v>0.90081214689265532</v>
      </c>
      <c r="AC315" s="170">
        <f>Delivery[[#This Row],[Quantity delivered]]*Delivery[[#This Row],[Base price (Unidad)]]/60</f>
        <v>209257.5184</v>
      </c>
      <c r="AD315" s="171">
        <f>Delivery[[#This Row],[Nespresso total]]-Delivery[[#This Row],[Qt. Delivery * Base Price]]</f>
        <v>1061.3455738879857</v>
      </c>
      <c r="AE315" s="171">
        <f>Delivery[[#This Row],[AAA Premium (total)]]/Delivery[[#This Row],[Quantity delivered]]*60/Delivery[[#This Row],[Exchange rate VS USD]]</f>
        <v>10</v>
      </c>
      <c r="AF315" s="171">
        <f>Delivery[[#This Row],[BEN premium (total)]]/Delivery[[#This Row],[Quantity delivered]]*60/Delivery[[#This Row],[Exchange rate for premiums VS USD]]</f>
        <v>2.652952</v>
      </c>
      <c r="AG315" s="171">
        <f>COUNTIF(Delivery[Delivery ID],Delivery[[#This Row],[Delivery ID]])</f>
        <v>1</v>
      </c>
      <c r="AH315" s="171">
        <f>(Delivery[[#This Row],[Nespresso total]]/SUMIF(Allocation!C:C,Delivery[Delivery ID],Allocation!H:H))/Delivery[[#This Row],[Exchange rate VS USD]]</f>
        <v>5.5347512246910595</v>
      </c>
      <c r="AI315" s="171">
        <f>(Delivery[[#This Row],[AAA Premium (total)]]/SUMIF(Allocation!C:C,Delivery[Delivery ID],Allocation!H:H))/Delivery[[#This Row],[Exchange rate VS USD]]</f>
        <v>0.46256370050960416</v>
      </c>
      <c r="AJ315" s="171">
        <f>Delivery[[#This Row],[Valor Prêmio Nespresso AAA por Kg (em US$)]]*60</f>
        <v>27.753822030576249</v>
      </c>
      <c r="AK315" s="171">
        <f>Delivery[[#This Row],[Valor Prêmio Nespresso AAA por saca (em US$)]]/1.3228/100</f>
        <v>0.20981117349997164</v>
      </c>
      <c r="AL315" s="171">
        <f>(Delivery[[#This Row],[BEN premium (total)]]/SUMIF(Allocation!C:C,Delivery[Delivery ID],Allocation!H:H))/Delivery[[#This Row],[Exchange rate for premiums VS USD]]</f>
        <v>0.12271592943943553</v>
      </c>
      <c r="AM315" s="171">
        <f>Delivery[[#This Row],[Valor Prêmio Nespresso BEN por Kg (em US$)]]*60</f>
        <v>7.3629557663661318</v>
      </c>
      <c r="AN315" s="171">
        <f>Delivery[[#This Row],[Valor Prêmio Nespresso BEN por saca (em US$)]]/1.3228/100</f>
        <v>5.5661897235909669E-2</v>
      </c>
      <c r="AO315" s="171">
        <f>SUMIF(Allocation[Delivery ID],Delivery[[#This Row],[Delivery ID]],Allocation[Quantity allocated])*16*1.3228*Delivery[[#This Row],[Exchange rate VS USD]]/60</f>
        <v>13404.266098346667</v>
      </c>
      <c r="AP315" s="171">
        <f>Delivery[[#This Row],[AAA Premium (total)]]</f>
        <v>17577.280000000002</v>
      </c>
      <c r="AQ315" s="171">
        <f>Delivery[[#This Row],[Valor pago pelo Cluster]]-Delivery[[#This Row],[Valor efetivamente pago pela Nespresso]]</f>
        <v>4173.0139016533358</v>
      </c>
    </row>
    <row r="316" spans="1:43" ht="15.75">
      <c r="A316" s="174" t="s">
        <v>69</v>
      </c>
      <c r="B316" s="232" t="s">
        <v>68</v>
      </c>
      <c r="C316" s="157">
        <v>1</v>
      </c>
      <c r="D316" s="157" t="s">
        <v>468</v>
      </c>
      <c r="E316" s="177" t="s">
        <v>468</v>
      </c>
      <c r="F316" s="233" t="s">
        <v>543</v>
      </c>
      <c r="G316" s="234">
        <v>43395</v>
      </c>
      <c r="H316" s="157" t="s">
        <v>1519</v>
      </c>
      <c r="I316" s="157" t="s">
        <v>1431</v>
      </c>
      <c r="J316" s="237">
        <v>28180</v>
      </c>
      <c r="K316" s="175" t="s">
        <v>472</v>
      </c>
      <c r="L316" s="175" t="s">
        <v>439</v>
      </c>
      <c r="M316" s="175" t="s">
        <v>1343</v>
      </c>
      <c r="N316" s="180"/>
      <c r="O316" s="177"/>
      <c r="P316" s="185">
        <v>0</v>
      </c>
      <c r="Q316" s="177">
        <v>43388</v>
      </c>
      <c r="R316" s="178">
        <v>443.34219999999999</v>
      </c>
      <c r="S316" s="179">
        <v>209279.15207571202</v>
      </c>
      <c r="T316" s="182" t="s">
        <v>45</v>
      </c>
      <c r="U316" s="183">
        <v>3.7240000000000002</v>
      </c>
      <c r="V316" s="179">
        <v>17490.386666666669</v>
      </c>
      <c r="W316" s="179">
        <v>4640.1156288106667</v>
      </c>
      <c r="X316" s="186" t="s">
        <v>45</v>
      </c>
      <c r="Y316" s="183">
        <v>3.7240000000000002</v>
      </c>
      <c r="Z316" s="220" t="s">
        <v>473</v>
      </c>
      <c r="AA316" s="172">
        <f>Delivery[[#This Row],[Quantity delivered]]*VLOOKUP(Delivery[[#This Row],[Unit]],Tab_Conversão[],4,FALSE)*VLOOKUP(CONCATENATE(Delivery[[#This Row],[Coffee specie]],Delivery[[#This Row],[Coffee state]]),Tab_Conversão[],4,FALSE)</f>
        <v>28180</v>
      </c>
      <c r="AB316" s="169">
        <f>SUMIF(Allocation!C:C,Delivery[[#This Row],[Delivery ID]],Allocation!D:D)/Delivery[[#This Row],[Quantity delivered]]</f>
        <v>0.9021646557842441</v>
      </c>
      <c r="AC316" s="170">
        <f>Delivery[[#This Row],[Quantity delivered]]*Delivery[[#This Row],[Base price (Unidad)]]/60</f>
        <v>208223.05326666668</v>
      </c>
      <c r="AD316" s="171">
        <f>Delivery[[#This Row],[Nespresso total]]-Delivery[[#This Row],[Qt. Delivery * Base Price]]</f>
        <v>1056.098809045332</v>
      </c>
      <c r="AE316" s="171">
        <f>Delivery[[#This Row],[AAA Premium (total)]]/Delivery[[#This Row],[Quantity delivered]]*60/Delivery[[#This Row],[Exchange rate VS USD]]</f>
        <v>10</v>
      </c>
      <c r="AF316" s="171">
        <f>Delivery[[#This Row],[BEN premium (total)]]/Delivery[[#This Row],[Quantity delivered]]*60/Delivery[[#This Row],[Exchange rate for premiums VS USD]]</f>
        <v>2.652952</v>
      </c>
      <c r="AG316" s="171">
        <f>COUNTIF(Delivery[Delivery ID],Delivery[[#This Row],[Delivery ID]])</f>
        <v>1</v>
      </c>
      <c r="AH316" s="171">
        <f>(Delivery[[#This Row],[Nespresso total]]/SUMIF(Allocation!C:C,Delivery[Delivery ID],Allocation!H:H))/Delivery[[#This Row],[Exchange rate VS USD]]</f>
        <v>5.5263456837161957</v>
      </c>
      <c r="AI316" s="171">
        <f>(Delivery[[#This Row],[AAA Premium (total)]]/SUMIF(Allocation!C:C,Delivery[Delivery ID],Allocation!H:H))/Delivery[[#This Row],[Exchange rate VS USD]]</f>
        <v>0.461861212180811</v>
      </c>
      <c r="AJ316" s="171">
        <f>Delivery[[#This Row],[Valor Prêmio Nespresso AAA por Kg (em US$)]]*60</f>
        <v>27.711672730848662</v>
      </c>
      <c r="AK316" s="171">
        <f>Delivery[[#This Row],[Valor Prêmio Nespresso AAA por saca (em US$)]]/1.3228/100</f>
        <v>0.20949253651987196</v>
      </c>
      <c r="AL316" s="171">
        <f>(Delivery[[#This Row],[BEN premium (total)]]/SUMIF(Allocation!C:C,Delivery[Delivery ID],Allocation!H:H))/Delivery[[#This Row],[Exchange rate for premiums VS USD]]</f>
        <v>0.12252956265775067</v>
      </c>
      <c r="AM316" s="171">
        <f>Delivery[[#This Row],[Valor Prêmio Nespresso BEN por Kg (em US$)]]*60</f>
        <v>7.3517737594650399</v>
      </c>
      <c r="AN316" s="171">
        <f>Delivery[[#This Row],[Valor Prêmio Nespresso BEN por saca (em US$)]]/1.3228/100</f>
        <v>5.5577364374546717E-2</v>
      </c>
      <c r="AO316" s="171">
        <f>SUMIF(Allocation[Delivery ID],Delivery[[#This Row],[Delivery ID]],Allocation[Quantity allocated])*16*1.3228*Delivery[[#This Row],[Exchange rate VS USD]]/60</f>
        <v>13358.289097813335</v>
      </c>
      <c r="AP316" s="171">
        <f>Delivery[[#This Row],[AAA Premium (total)]]</f>
        <v>17490.386666666669</v>
      </c>
      <c r="AQ316" s="171">
        <f>Delivery[[#This Row],[Valor pago pelo Cluster]]-Delivery[[#This Row],[Valor efetivamente pago pela Nespresso]]</f>
        <v>4132.0975688533345</v>
      </c>
    </row>
    <row r="317" spans="1:43" ht="15.75">
      <c r="A317" s="174" t="s">
        <v>69</v>
      </c>
      <c r="B317" s="232" t="s">
        <v>68</v>
      </c>
      <c r="C317" s="157">
        <v>1</v>
      </c>
      <c r="D317" s="157" t="s">
        <v>468</v>
      </c>
      <c r="E317" s="177" t="s">
        <v>468</v>
      </c>
      <c r="F317" s="233" t="s">
        <v>543</v>
      </c>
      <c r="G317" s="234">
        <v>43395</v>
      </c>
      <c r="H317" s="157" t="s">
        <v>1520</v>
      </c>
      <c r="I317" s="157" t="s">
        <v>1431</v>
      </c>
      <c r="J317" s="237">
        <v>14680</v>
      </c>
      <c r="K317" s="175" t="s">
        <v>472</v>
      </c>
      <c r="L317" s="175" t="s">
        <v>439</v>
      </c>
      <c r="M317" s="175" t="s">
        <v>1343</v>
      </c>
      <c r="N317" s="180"/>
      <c r="O317" s="177"/>
      <c r="P317" s="185">
        <v>0</v>
      </c>
      <c r="Q317" s="177">
        <v>43388</v>
      </c>
      <c r="R317" s="178">
        <v>443.34219999999999</v>
      </c>
      <c r="S317" s="179">
        <v>109021.219037312</v>
      </c>
      <c r="T317" s="182" t="s">
        <v>45</v>
      </c>
      <c r="U317" s="183">
        <v>3.7240000000000002</v>
      </c>
      <c r="V317" s="179">
        <v>9111.3866666666672</v>
      </c>
      <c r="W317" s="179">
        <v>2417.207148010667</v>
      </c>
      <c r="X317" s="186" t="s">
        <v>45</v>
      </c>
      <c r="Y317" s="183">
        <v>3.7240000000000002</v>
      </c>
      <c r="Z317" s="220" t="s">
        <v>473</v>
      </c>
      <c r="AA317" s="172">
        <f>Delivery[[#This Row],[Quantity delivered]]*VLOOKUP(Delivery[[#This Row],[Unit]],Tab_Conversão[],4,FALSE)*VLOOKUP(CONCATENATE(Delivery[[#This Row],[Coffee specie]],Delivery[[#This Row],[Coffee state]]),Tab_Conversão[],4,FALSE)</f>
        <v>14680</v>
      </c>
      <c r="AB317" s="169">
        <f>SUMIF(Allocation!C:C,Delivery[[#This Row],[Delivery ID]],Allocation!D:D)/Delivery[[#This Row],[Quantity delivered]]</f>
        <v>0.90224795640326971</v>
      </c>
      <c r="AC317" s="170">
        <f>Delivery[[#This Row],[Quantity delivered]]*Delivery[[#This Row],[Base price (Unidad)]]/60</f>
        <v>108471.05826666667</v>
      </c>
      <c r="AD317" s="171">
        <f>Delivery[[#This Row],[Nespresso total]]-Delivery[[#This Row],[Qt. Delivery * Base Price]]</f>
        <v>550.16077064532146</v>
      </c>
      <c r="AE317" s="171">
        <f>Delivery[[#This Row],[AAA Premium (total)]]/Delivery[[#This Row],[Quantity delivered]]*60/Delivery[[#This Row],[Exchange rate VS USD]]</f>
        <v>10</v>
      </c>
      <c r="AF317" s="171">
        <f>Delivery[[#This Row],[BEN premium (total)]]/Delivery[[#This Row],[Quantity delivered]]*60/Delivery[[#This Row],[Exchange rate for premiums VS USD]]</f>
        <v>2.652952</v>
      </c>
      <c r="AG317" s="171">
        <f>COUNTIF(Delivery[Delivery ID],Delivery[[#This Row],[Delivery ID]])</f>
        <v>1</v>
      </c>
      <c r="AH317" s="171">
        <f>(Delivery[[#This Row],[Nespresso total]]/SUMIF(Allocation!C:C,Delivery[Delivery ID],Allocation!H:H))/Delivery[[#This Row],[Exchange rate VS USD]]</f>
        <v>5.5257267824406497</v>
      </c>
      <c r="AI317" s="171">
        <f>(Delivery[[#This Row],[AAA Premium (total)]]/SUMIF(Allocation!C:C,Delivery[Delivery ID],Allocation!H:H))/Delivery[[#This Row],[Exchange rate VS USD]]</f>
        <v>0.46180948785705295</v>
      </c>
      <c r="AJ317" s="171">
        <f>Delivery[[#This Row],[Valor Prêmio Nespresso AAA por Kg (em US$)]]*60</f>
        <v>27.708569271423176</v>
      </c>
      <c r="AK317" s="171">
        <f>Delivery[[#This Row],[Valor Prêmio Nespresso AAA por saca (em US$)]]/1.3228/100</f>
        <v>0.20946907522999075</v>
      </c>
      <c r="AL317" s="171">
        <f>(Delivery[[#This Row],[BEN premium (total)]]/SUMIF(Allocation!C:C,Delivery[Delivery ID],Allocation!H:H))/Delivery[[#This Row],[Exchange rate for premiums VS USD]]</f>
        <v>0.12251584044293445</v>
      </c>
      <c r="AM317" s="171">
        <f>Delivery[[#This Row],[Valor Prêmio Nespresso BEN por Kg (em US$)]]*60</f>
        <v>7.350950426576067</v>
      </c>
      <c r="AN317" s="171">
        <f>Delivery[[#This Row],[Valor Prêmio Nespresso BEN por saca (em US$)]]/1.3228/100</f>
        <v>5.5571140206955451E-2</v>
      </c>
      <c r="AO317" s="171">
        <f>SUMIF(Allocation[Delivery ID],Delivery[[#This Row],[Delivery ID]],Allocation[Quantity allocated])*16*1.3228*Delivery[[#This Row],[Exchange rate VS USD]]/60</f>
        <v>6959.6042521600011</v>
      </c>
      <c r="AP317" s="171">
        <f>Delivery[[#This Row],[AAA Premium (total)]]</f>
        <v>9111.3866666666672</v>
      </c>
      <c r="AQ317" s="171">
        <f>Delivery[[#This Row],[Valor pago pelo Cluster]]-Delivery[[#This Row],[Valor efetivamente pago pela Nespresso]]</f>
        <v>2151.7824145066661</v>
      </c>
    </row>
    <row r="318" spans="1:43" ht="15.75">
      <c r="A318" s="174" t="s">
        <v>69</v>
      </c>
      <c r="B318" s="232" t="s">
        <v>68</v>
      </c>
      <c r="C318" s="157">
        <v>1</v>
      </c>
      <c r="D318" s="157" t="s">
        <v>468</v>
      </c>
      <c r="E318" s="177" t="s">
        <v>468</v>
      </c>
      <c r="F318" s="233" t="s">
        <v>543</v>
      </c>
      <c r="G318" s="234">
        <v>43395</v>
      </c>
      <c r="H318" s="157" t="s">
        <v>1521</v>
      </c>
      <c r="I318" s="157" t="s">
        <v>1431</v>
      </c>
      <c r="J318" s="237">
        <v>14610</v>
      </c>
      <c r="K318" s="175" t="s">
        <v>472</v>
      </c>
      <c r="L318" s="175" t="s">
        <v>439</v>
      </c>
      <c r="M318" s="175" t="s">
        <v>1343</v>
      </c>
      <c r="N318" s="180"/>
      <c r="O318" s="177"/>
      <c r="P318" s="181">
        <v>0</v>
      </c>
      <c r="Q318" s="177">
        <v>43388</v>
      </c>
      <c r="R318" s="178">
        <v>443.34219999999999</v>
      </c>
      <c r="S318" s="179">
        <v>108501.363088224</v>
      </c>
      <c r="T318" s="182" t="s">
        <v>45</v>
      </c>
      <c r="U318" s="183">
        <v>3.7240000000000002</v>
      </c>
      <c r="V318" s="179">
        <v>9067.94</v>
      </c>
      <c r="W318" s="179">
        <v>2405.680955888</v>
      </c>
      <c r="X318" s="186" t="s">
        <v>45</v>
      </c>
      <c r="Y318" s="183">
        <v>3.7240000000000002</v>
      </c>
      <c r="Z318" s="220" t="s">
        <v>473</v>
      </c>
      <c r="AA318" s="172">
        <f>Delivery[[#This Row],[Quantity delivered]]*VLOOKUP(Delivery[[#This Row],[Unit]],Tab_Conversão[],4,FALSE)*VLOOKUP(CONCATENATE(Delivery[[#This Row],[Coffee specie]],Delivery[[#This Row],[Coffee state]]),Tab_Conversão[],4,FALSE)</f>
        <v>14610</v>
      </c>
      <c r="AB318" s="169">
        <f>SUMIF(Allocation!C:C,Delivery[[#This Row],[Delivery ID]],Allocation!D:D)/Delivery[[#This Row],[Quantity delivered]]</f>
        <v>0.89808350444900753</v>
      </c>
      <c r="AC318" s="170">
        <f>Delivery[[#This Row],[Quantity delivered]]*Delivery[[#This Row],[Base price (Unidad)]]/60</f>
        <v>107953.82569999999</v>
      </c>
      <c r="AD318" s="171">
        <f>Delivery[[#This Row],[Nespresso total]]-Delivery[[#This Row],[Qt. Delivery * Base Price]]</f>
        <v>547.53738822400919</v>
      </c>
      <c r="AE318" s="171">
        <f>Delivery[[#This Row],[AAA Premium (total)]]/Delivery[[#This Row],[Quantity delivered]]*60/Delivery[[#This Row],[Exchange rate VS USD]]</f>
        <v>10</v>
      </c>
      <c r="AF318" s="171">
        <f>Delivery[[#This Row],[BEN premium (total)]]/Delivery[[#This Row],[Quantity delivered]]*60/Delivery[[#This Row],[Exchange rate for premiums VS USD]]</f>
        <v>2.6529519999999995</v>
      </c>
      <c r="AG318" s="171">
        <f>COUNTIF(Delivery[Delivery ID],Delivery[[#This Row],[Delivery ID]])</f>
        <v>1</v>
      </c>
      <c r="AH318" s="171">
        <f>(Delivery[[#This Row],[Nespresso total]]/SUMIF(Allocation!C:C,Delivery[Delivery ID],Allocation!H:H))/Delivery[[#This Row],[Exchange rate VS USD]]</f>
        <v>5.5517729370906572</v>
      </c>
      <c r="AI318" s="171">
        <f>(Delivery[[#This Row],[AAA Premium (total)]]/SUMIF(Allocation!C:C,Delivery[Delivery ID],Allocation!H:H))/Delivery[[#This Row],[Exchange rate VS USD]]</f>
        <v>0.46398628048780488</v>
      </c>
      <c r="AJ318" s="171">
        <f>Delivery[[#This Row],[Valor Prêmio Nespresso AAA por Kg (em US$)]]*60</f>
        <v>27.839176829268293</v>
      </c>
      <c r="AK318" s="171">
        <f>Delivery[[#This Row],[Valor Prêmio Nespresso AAA por saca (em US$)]]/1.3228/100</f>
        <v>0.2104564320325695</v>
      </c>
      <c r="AL318" s="171">
        <f>(Delivery[[#This Row],[BEN premium (total)]]/SUMIF(Allocation!C:C,Delivery[Delivery ID],Allocation!H:H))/Delivery[[#This Row],[Exchange rate for premiums VS USD]]</f>
        <v>0.12309333307926829</v>
      </c>
      <c r="AM318" s="171">
        <f>Delivery[[#This Row],[Valor Prêmio Nespresso BEN por Kg (em US$)]]*60</f>
        <v>7.3855999847560971</v>
      </c>
      <c r="AN318" s="171">
        <f>Delivery[[#This Row],[Valor Prêmio Nespresso BEN por saca (em US$)]]/1.3228/100</f>
        <v>5.5833081227366924E-2</v>
      </c>
      <c r="AO318" s="171">
        <f>SUMIF(Allocation[Delivery ID],Delivery[[#This Row],[Delivery ID]],Allocation[Quantity allocated])*16*1.3228*Delivery[[#This Row],[Exchange rate VS USD]]/60</f>
        <v>6893.9228228266675</v>
      </c>
      <c r="AP318" s="171">
        <f>Delivery[[#This Row],[AAA Premium (total)]]</f>
        <v>9067.94</v>
      </c>
      <c r="AQ318" s="171">
        <f>Delivery[[#This Row],[Valor pago pelo Cluster]]-Delivery[[#This Row],[Valor efetivamente pago pela Nespresso]]</f>
        <v>2174.017177173333</v>
      </c>
    </row>
    <row r="319" spans="1:43" ht="15.75">
      <c r="A319" s="174" t="s">
        <v>69</v>
      </c>
      <c r="B319" s="232" t="s">
        <v>68</v>
      </c>
      <c r="C319" s="157">
        <v>1</v>
      </c>
      <c r="D319" s="157" t="s">
        <v>468</v>
      </c>
      <c r="E319" s="177" t="s">
        <v>468</v>
      </c>
      <c r="F319" s="233" t="s">
        <v>543</v>
      </c>
      <c r="G319" s="234">
        <v>43395</v>
      </c>
      <c r="H319" s="157" t="s">
        <v>1522</v>
      </c>
      <c r="I319" s="157" t="s">
        <v>1431</v>
      </c>
      <c r="J319" s="237">
        <v>15070</v>
      </c>
      <c r="K319" s="175" t="s">
        <v>61</v>
      </c>
      <c r="L319" s="175" t="s">
        <v>439</v>
      </c>
      <c r="M319" s="175" t="s">
        <v>1343</v>
      </c>
      <c r="N319" s="180"/>
      <c r="O319" s="177"/>
      <c r="P319" s="181">
        <v>0</v>
      </c>
      <c r="Q319" s="177">
        <v>43388</v>
      </c>
      <c r="R319" s="178">
        <v>443.34219999999999</v>
      </c>
      <c r="S319" s="179">
        <v>111917.559325088</v>
      </c>
      <c r="T319" s="182" t="s">
        <v>45</v>
      </c>
      <c r="U319" s="183">
        <v>3.7240000000000002</v>
      </c>
      <c r="V319" s="179">
        <v>9353.4466666666667</v>
      </c>
      <c r="W319" s="179">
        <v>2481.4245041226668</v>
      </c>
      <c r="X319" s="186" t="s">
        <v>45</v>
      </c>
      <c r="Y319" s="183">
        <v>3.7240000000000002</v>
      </c>
      <c r="Z319" s="220" t="s">
        <v>473</v>
      </c>
      <c r="AA319" s="172">
        <f>Delivery[[#This Row],[Quantity delivered]]*VLOOKUP(Delivery[[#This Row],[Unit]],Tab_Conversão[],4,FALSE)*VLOOKUP(CONCATENATE(Delivery[[#This Row],[Coffee specie]],Delivery[[#This Row],[Coffee state]]),Tab_Conversão[],4,FALSE)</f>
        <v>15070</v>
      </c>
      <c r="AB319" s="169">
        <f>SUMIF(Allocation!C:C,Delivery[[#This Row],[Delivery ID]],Allocation!D:D)/Delivery[[#This Row],[Quantity delivered]]</f>
        <v>0.89568679495686798</v>
      </c>
      <c r="AC319" s="170">
        <f>Delivery[[#This Row],[Quantity delivered]]*Delivery[[#This Row],[Base price (Unidad)]]/60</f>
        <v>111352.78256666666</v>
      </c>
      <c r="AD319" s="171">
        <f>Delivery[[#This Row],[Nespresso total]]-Delivery[[#This Row],[Qt. Delivery * Base Price]]</f>
        <v>564.7767584213434</v>
      </c>
      <c r="AE319" s="171">
        <f>Delivery[[#This Row],[AAA Premium (total)]]/Delivery[[#This Row],[Quantity delivered]]*60/Delivery[[#This Row],[Exchange rate VS USD]]</f>
        <v>10</v>
      </c>
      <c r="AF319" s="171">
        <f>Delivery[[#This Row],[BEN premium (total)]]/Delivery[[#This Row],[Quantity delivered]]*60/Delivery[[#This Row],[Exchange rate for premiums VS USD]]</f>
        <v>2.652952</v>
      </c>
      <c r="AG319" s="171">
        <f>COUNTIF(Delivery[Delivery ID],Delivery[[#This Row],[Delivery ID]])</f>
        <v>1</v>
      </c>
      <c r="AH319" s="171">
        <f>(Delivery[[#This Row],[Nespresso total]]/SUMIF(Allocation!C:C,Delivery[Delivery ID],Allocation!H:H))/Delivery[[#This Row],[Exchange rate VS USD]]</f>
        <v>5.5664105023371278</v>
      </c>
      <c r="AI319" s="171">
        <f>(Delivery[[#This Row],[AAA Premium (total)]]/SUMIF(Allocation!C:C,Delivery[Delivery ID],Allocation!H:H))/Delivery[[#This Row],[Exchange rate VS USD]]</f>
        <v>0.46520960671729328</v>
      </c>
      <c r="AJ319" s="171">
        <f>Delivery[[#This Row],[Valor Prêmio Nespresso AAA por Kg (em US$)]]*60</f>
        <v>27.912576403037598</v>
      </c>
      <c r="AK319" s="171">
        <f>Delivery[[#This Row],[Valor Prêmio Nespresso AAA por saca (em US$)]]/1.3228/100</f>
        <v>0.21101131239066828</v>
      </c>
      <c r="AL319" s="171">
        <f>(Delivery[[#This Row],[BEN premium (total)]]/SUMIF(Allocation!C:C,Delivery[Delivery ID],Allocation!H:H))/Delivery[[#This Row],[Exchange rate for premiums VS USD]]</f>
        <v>0.12341787565598568</v>
      </c>
      <c r="AM319" s="171">
        <f>Delivery[[#This Row],[Valor Prêmio Nespresso BEN por Kg (em US$)]]*60</f>
        <v>7.405072539359141</v>
      </c>
      <c r="AN319" s="171">
        <f>Delivery[[#This Row],[Valor Prêmio Nespresso BEN por saca (em US$)]]/1.3228/100</f>
        <v>5.5980288322944827E-2</v>
      </c>
      <c r="AO319" s="171">
        <f>SUMIF(Allocation[Delivery ID],Delivery[[#This Row],[Delivery ID]],Allocation[Quantity allocated])*16*1.3228*Delivery[[#This Row],[Exchange rate VS USD]]/60</f>
        <v>7092.2807394133333</v>
      </c>
      <c r="AP319" s="171">
        <f>Delivery[[#This Row],[AAA Premium (total)]]</f>
        <v>9353.4466666666667</v>
      </c>
      <c r="AQ319" s="171">
        <f>Delivery[[#This Row],[Valor pago pelo Cluster]]-Delivery[[#This Row],[Valor efetivamente pago pela Nespresso]]</f>
        <v>2261.1659272533334</v>
      </c>
    </row>
    <row r="320" spans="1:43" ht="15.75">
      <c r="A320" s="174" t="s">
        <v>69</v>
      </c>
      <c r="B320" s="232" t="s">
        <v>68</v>
      </c>
      <c r="C320" s="157">
        <v>1</v>
      </c>
      <c r="D320" s="157" t="s">
        <v>468</v>
      </c>
      <c r="E320" s="177" t="s">
        <v>468</v>
      </c>
      <c r="F320" s="240" t="s">
        <v>543</v>
      </c>
      <c r="G320" s="234">
        <v>43482</v>
      </c>
      <c r="H320" s="157" t="s">
        <v>2014</v>
      </c>
      <c r="I320" s="236" t="s">
        <v>970</v>
      </c>
      <c r="J320" s="237">
        <v>6203</v>
      </c>
      <c r="K320" s="175" t="s">
        <v>61</v>
      </c>
      <c r="L320" s="175" t="s">
        <v>439</v>
      </c>
      <c r="M320" s="175" t="s">
        <v>1343</v>
      </c>
      <c r="N320" s="180"/>
      <c r="O320" s="177"/>
      <c r="P320" s="181">
        <v>0</v>
      </c>
      <c r="Q320" s="177">
        <v>43476</v>
      </c>
      <c r="R320" s="178">
        <v>386.74404999999996</v>
      </c>
      <c r="S320" s="179">
        <v>41503.876179672159</v>
      </c>
      <c r="T320" s="182" t="s">
        <v>45</v>
      </c>
      <c r="U320" s="183">
        <v>3.7008999999999999</v>
      </c>
      <c r="V320" s="179">
        <v>5739.1706749999994</v>
      </c>
      <c r="W320" s="179">
        <v>1598.7031536611728</v>
      </c>
      <c r="X320" s="186" t="s">
        <v>45</v>
      </c>
      <c r="Y320" s="183">
        <v>3.7008999999999999</v>
      </c>
      <c r="Z320" s="220" t="s">
        <v>473</v>
      </c>
      <c r="AA320" s="172">
        <f>Delivery[[#This Row],[Quantity delivered]]*VLOOKUP(Delivery[[#This Row],[Unit]],Tab_Conversão[],4,FALSE)*VLOOKUP(CONCATENATE(Delivery[[#This Row],[Coffee specie]],Delivery[[#This Row],[Coffee state]]),Tab_Conversão[],4,FALSE)</f>
        <v>6203</v>
      </c>
      <c r="AB320" s="169">
        <f>SUMIF(Allocation!C:C,Delivery[[#This Row],[Delivery ID]],Allocation!D:D)/Delivery[[#This Row],[Quantity delivered]]</f>
        <v>0.53006609704981456</v>
      </c>
      <c r="AC320" s="170">
        <f>Delivery[[#This Row],[Quantity delivered]]*Delivery[[#This Row],[Base price (Unidad)]]/60</f>
        <v>39982.88903583333</v>
      </c>
      <c r="AD320" s="171">
        <f>Delivery[[#This Row],[Nespresso total]]-Delivery[[#This Row],[Qt. Delivery * Base Price]]</f>
        <v>1520.9871438388291</v>
      </c>
      <c r="AE320" s="171">
        <f>Delivery[[#This Row],[AAA Premium (total)]]/Delivery[[#This Row],[Quantity delivered]]*60/Delivery[[#This Row],[Exchange rate VS USD]]</f>
        <v>14.999999999999998</v>
      </c>
      <c r="AF320" s="171">
        <f>Delivery[[#This Row],[BEN premium (total)]]/Delivery[[#This Row],[Quantity delivered]]*60/Delivery[[#This Row],[Exchange rate for premiums VS USD]]</f>
        <v>4.1783993999999991</v>
      </c>
      <c r="AG320" s="171">
        <f>COUNTIF(Delivery[Delivery ID],Delivery[[#This Row],[Delivery ID]])</f>
        <v>1</v>
      </c>
      <c r="AH320" s="171">
        <f>(Delivery[[#This Row],[Nespresso total]]/SUMIF(Allocation!C:C,Delivery[Delivery ID],Allocation!H:H))/Delivery[[#This Row],[Exchange rate VS USD]]</f>
        <v>5.4150342695521347</v>
      </c>
      <c r="AI320" s="171">
        <f>(Delivery[[#This Row],[AAA Premium (total)]]/SUMIF(Allocation!C:C,Delivery[Delivery ID],Allocation!H:H))/Delivery[[#This Row],[Exchange rate VS USD]]</f>
        <v>0.74879285369386761</v>
      </c>
      <c r="AJ320" s="171">
        <f>Delivery[[#This Row],[Valor Prêmio Nespresso AAA por Kg (em US$)]]*60</f>
        <v>44.927571221632057</v>
      </c>
      <c r="AK320" s="171">
        <f>Delivery[[#This Row],[Valor Prêmio Nespresso AAA por saca (em US$)]]/1.3228/100</f>
        <v>0.3396399396857579</v>
      </c>
      <c r="AL320" s="171">
        <f>(Delivery[[#This Row],[BEN premium (total)]]/SUMIF(Allocation!C:C,Delivery[Delivery ID],Allocation!H:H))/Delivery[[#This Row],[Exchange rate for premiums VS USD]]</f>
        <v>0.2085837073732496</v>
      </c>
      <c r="AM320" s="171">
        <f>Delivery[[#This Row],[Valor Prêmio Nespresso BEN por Kg (em US$)]]*60</f>
        <v>12.515022442394976</v>
      </c>
      <c r="AN320" s="171">
        <f>Delivery[[#This Row],[Valor Prêmio Nespresso BEN por saca (em US$)]]/1.3228/100</f>
        <v>9.4610088013267132E-2</v>
      </c>
      <c r="AO320" s="171">
        <f>SUMIF(Allocation[Delivery ID],Delivery[[#This Row],[Delivery ID]],Allocation[Quantity allocated])*16*1.3228*Delivery[[#This Row],[Exchange rate VS USD]]/60</f>
        <v>2703.6493671786666</v>
      </c>
      <c r="AP320" s="171">
        <f>Delivery[[#This Row],[AAA Premium (total)]]</f>
        <v>5739.1706749999994</v>
      </c>
      <c r="AQ320" s="171">
        <f>Delivery[[#This Row],[Valor pago pelo Cluster]]-Delivery[[#This Row],[Valor efetivamente pago pela Nespresso]]</f>
        <v>3035.5213078213328</v>
      </c>
    </row>
    <row r="321" spans="1:43" ht="15.75">
      <c r="A321" s="174" t="s">
        <v>69</v>
      </c>
      <c r="B321" s="232" t="s">
        <v>68</v>
      </c>
      <c r="C321" s="157">
        <v>1</v>
      </c>
      <c r="D321" s="157" t="s">
        <v>468</v>
      </c>
      <c r="E321" s="177" t="s">
        <v>468</v>
      </c>
      <c r="F321" s="240" t="s">
        <v>543</v>
      </c>
      <c r="G321" s="234">
        <v>43482</v>
      </c>
      <c r="H321" s="157" t="s">
        <v>2015</v>
      </c>
      <c r="I321" s="236" t="s">
        <v>970</v>
      </c>
      <c r="J321" s="237">
        <v>50</v>
      </c>
      <c r="K321" s="175" t="s">
        <v>472</v>
      </c>
      <c r="L321" s="175" t="s">
        <v>439</v>
      </c>
      <c r="M321" s="175" t="s">
        <v>1343</v>
      </c>
      <c r="N321" s="180"/>
      <c r="O321" s="177"/>
      <c r="P321" s="185">
        <v>0</v>
      </c>
      <c r="Q321" s="177">
        <v>43476</v>
      </c>
      <c r="R321" s="178">
        <v>386.74404999999996</v>
      </c>
      <c r="S321" s="179">
        <v>334.54680138378336</v>
      </c>
      <c r="T321" s="182" t="s">
        <v>45</v>
      </c>
      <c r="U321" s="183">
        <v>3.7008999999999999</v>
      </c>
      <c r="V321" s="179">
        <v>46.261249999999997</v>
      </c>
      <c r="W321" s="179">
        <v>12.886531949549999</v>
      </c>
      <c r="X321" s="186" t="s">
        <v>45</v>
      </c>
      <c r="Y321" s="183">
        <v>3.7008999999999999</v>
      </c>
      <c r="Z321" s="220" t="s">
        <v>473</v>
      </c>
      <c r="AA321" s="172">
        <f>Delivery[[#This Row],[Quantity delivered]]*VLOOKUP(Delivery[[#This Row],[Unit]],Tab_Conversão[],4,FALSE)*VLOOKUP(CONCATENATE(Delivery[[#This Row],[Coffee specie]],Delivery[[#This Row],[Coffee state]]),Tab_Conversão[],4,FALSE)</f>
        <v>50</v>
      </c>
      <c r="AB321" s="169">
        <f>SUMIF(Allocation!C:C,Delivery[[#This Row],[Delivery ID]],Allocation!D:D)/Delivery[[#This Row],[Quantity delivered]]</f>
        <v>1</v>
      </c>
      <c r="AC321" s="170">
        <f>Delivery[[#This Row],[Quantity delivered]]*Delivery[[#This Row],[Base price (Unidad)]]/60</f>
        <v>322.28670833333331</v>
      </c>
      <c r="AD321" s="171">
        <f>Delivery[[#This Row],[Nespresso total]]-Delivery[[#This Row],[Qt. Delivery * Base Price]]</f>
        <v>12.260093050450052</v>
      </c>
      <c r="AE321" s="171">
        <f>Delivery[[#This Row],[AAA Premium (total)]]/Delivery[[#This Row],[Quantity delivered]]*60/Delivery[[#This Row],[Exchange rate VS USD]]</f>
        <v>15</v>
      </c>
      <c r="AF321" s="171">
        <f>Delivery[[#This Row],[BEN premium (total)]]/Delivery[[#This Row],[Quantity delivered]]*60/Delivery[[#This Row],[Exchange rate for premiums VS USD]]</f>
        <v>4.1783993999999991</v>
      </c>
      <c r="AG321" s="171">
        <f>COUNTIF(Delivery[Delivery ID],Delivery[[#This Row],[Delivery ID]])</f>
        <v>1</v>
      </c>
      <c r="AH321" s="171">
        <f>(Delivery[[#This Row],[Nespresso total]]/SUMIF(Allocation!C:C,Delivery[Delivery ID],Allocation!H:H))/Delivery[[#This Row],[Exchange rate VS USD]]</f>
        <v>2.8248770686166149</v>
      </c>
      <c r="AI321" s="171">
        <f>(Delivery[[#This Row],[AAA Premium (total)]]/SUMIF(Allocation!C:C,Delivery[Delivery ID],Allocation!H:H))/Delivery[[#This Row],[Exchange rate VS USD]]</f>
        <v>0.390625</v>
      </c>
      <c r="AJ321" s="171">
        <f>Delivery[[#This Row],[Valor Prêmio Nespresso AAA por Kg (em US$)]]*60</f>
        <v>23.4375</v>
      </c>
      <c r="AK321" s="171">
        <f>Delivery[[#This Row],[Valor Prêmio Nespresso AAA por saca (em US$)]]/1.3228/100</f>
        <v>0.17718097973994557</v>
      </c>
      <c r="AL321" s="171">
        <f>(Delivery[[#This Row],[BEN premium (total)]]/SUMIF(Allocation!C:C,Delivery[Delivery ID],Allocation!H:H))/Delivery[[#This Row],[Exchange rate for premiums VS USD]]</f>
        <v>0.108812484375</v>
      </c>
      <c r="AM321" s="171">
        <f>Delivery[[#This Row],[Valor Prêmio Nespresso BEN por Kg (em US$)]]*60</f>
        <v>6.5287490625000002</v>
      </c>
      <c r="AN321" s="171">
        <f>Delivery[[#This Row],[Valor Prêmio Nespresso BEN por saca (em US$)]]/1.3228/100</f>
        <v>4.9355526629120045E-2</v>
      </c>
      <c r="AO321" s="171">
        <f>SUMIF(Allocation[Delivery ID],Delivery[[#This Row],[Delivery ID]],Allocation[Quantity allocated])*16*1.3228*Delivery[[#This Row],[Exchange rate VS USD]]/60</f>
        <v>41.77536443733333</v>
      </c>
      <c r="AP321" s="171">
        <f>Delivery[[#This Row],[AAA Premium (total)]]</f>
        <v>46.261249999999997</v>
      </c>
      <c r="AQ321" s="171">
        <f>Delivery[[#This Row],[Valor pago pelo Cluster]]-Delivery[[#This Row],[Valor efetivamente pago pela Nespresso]]</f>
        <v>4.4858855626666667</v>
      </c>
    </row>
    <row r="322" spans="1:43" ht="15.75">
      <c r="A322" s="174" t="s">
        <v>69</v>
      </c>
      <c r="B322" s="232" t="s">
        <v>68</v>
      </c>
      <c r="C322" s="157">
        <v>1</v>
      </c>
      <c r="D322" s="157" t="s">
        <v>468</v>
      </c>
      <c r="E322" s="177" t="s">
        <v>468</v>
      </c>
      <c r="F322" s="240" t="s">
        <v>543</v>
      </c>
      <c r="G322" s="234">
        <v>43482</v>
      </c>
      <c r="H322" s="157" t="s">
        <v>2016</v>
      </c>
      <c r="I322" s="236" t="s">
        <v>970</v>
      </c>
      <c r="J322" s="237">
        <v>1844</v>
      </c>
      <c r="K322" s="175" t="s">
        <v>472</v>
      </c>
      <c r="L322" s="175" t="s">
        <v>439</v>
      </c>
      <c r="M322" s="175" t="s">
        <v>1343</v>
      </c>
      <c r="N322" s="180"/>
      <c r="O322" s="177"/>
      <c r="P322" s="185">
        <v>0</v>
      </c>
      <c r="Q322" s="177">
        <v>43476</v>
      </c>
      <c r="R322" s="178">
        <v>386.74404999999996</v>
      </c>
      <c r="S322" s="179">
        <v>12338.08603503393</v>
      </c>
      <c r="T322" s="182" t="s">
        <v>45</v>
      </c>
      <c r="U322" s="183">
        <v>3.7008999999999999</v>
      </c>
      <c r="V322" s="179">
        <v>1706.1149</v>
      </c>
      <c r="W322" s="179">
        <v>475.25529829940399</v>
      </c>
      <c r="X322" s="186" t="s">
        <v>45</v>
      </c>
      <c r="Y322" s="183">
        <v>3.7008999999999999</v>
      </c>
      <c r="Z322" s="220" t="s">
        <v>473</v>
      </c>
      <c r="AA322" s="172">
        <f>Delivery[[#This Row],[Quantity delivered]]*VLOOKUP(Delivery[[#This Row],[Unit]],Tab_Conversão[],4,FALSE)*VLOOKUP(CONCATENATE(Delivery[[#This Row],[Coffee specie]],Delivery[[#This Row],[Coffee state]]),Tab_Conversão[],4,FALSE)</f>
        <v>1844</v>
      </c>
      <c r="AB322" s="169">
        <f>SUMIF(Allocation!C:C,Delivery[[#This Row],[Delivery ID]],Allocation!D:D)/Delivery[[#This Row],[Quantity delivered]]</f>
        <v>1</v>
      </c>
      <c r="AC322" s="170">
        <f>Delivery[[#This Row],[Quantity delivered]]*Delivery[[#This Row],[Base price (Unidad)]]/60</f>
        <v>11885.933803333332</v>
      </c>
      <c r="AD322" s="171">
        <f>Delivery[[#This Row],[Nespresso total]]-Delivery[[#This Row],[Qt. Delivery * Base Price]]</f>
        <v>452.15223170059835</v>
      </c>
      <c r="AE322" s="171">
        <f>Delivery[[#This Row],[AAA Premium (total)]]/Delivery[[#This Row],[Quantity delivered]]*60/Delivery[[#This Row],[Exchange rate VS USD]]</f>
        <v>15</v>
      </c>
      <c r="AF322" s="171">
        <f>Delivery[[#This Row],[BEN premium (total)]]/Delivery[[#This Row],[Quantity delivered]]*60/Delivery[[#This Row],[Exchange rate for premiums VS USD]]</f>
        <v>4.1783994</v>
      </c>
      <c r="AG322" s="171">
        <f>COUNTIF(Delivery[Delivery ID],Delivery[[#This Row],[Delivery ID]])</f>
        <v>1</v>
      </c>
      <c r="AH322" s="171">
        <f>(Delivery[[#This Row],[Nespresso total]]/SUMIF(Allocation!C:C,Delivery[Delivery ID],Allocation!H:H))/Delivery[[#This Row],[Exchange rate VS USD]]</f>
        <v>2.8445451546916245</v>
      </c>
      <c r="AI322" s="171">
        <f>(Delivery[[#This Row],[AAA Premium (total)]]/SUMIF(Allocation!C:C,Delivery[Delivery ID],Allocation!H:H))/Delivery[[#This Row],[Exchange rate VS USD]]</f>
        <v>0.393344709897611</v>
      </c>
      <c r="AJ322" s="171">
        <f>Delivery[[#This Row],[Valor Prêmio Nespresso AAA por Kg (em US$)]]*60</f>
        <v>23.600682593856661</v>
      </c>
      <c r="AK322" s="171">
        <f>Delivery[[#This Row],[Valor Prêmio Nespresso AAA por saca (em US$)]]/1.3228/100</f>
        <v>0.17841459475246946</v>
      </c>
      <c r="AL322" s="171">
        <f>(Delivery[[#This Row],[BEN premium (total)]]/SUMIF(Allocation!C:C,Delivery[Delivery ID],Allocation!H:H))/Delivery[[#This Row],[Exchange rate for premiums VS USD]]</f>
        <v>0.1095700866552901</v>
      </c>
      <c r="AM322" s="171">
        <f>Delivery[[#This Row],[Valor Prêmio Nespresso BEN por Kg (em US$)]]*60</f>
        <v>6.5742051993174062</v>
      </c>
      <c r="AN322" s="171">
        <f>Delivery[[#This Row],[Valor Prêmio Nespresso BEN por saca (em US$)]]/1.3228/100</f>
        <v>4.9699162377664099E-2</v>
      </c>
      <c r="AO322" s="171">
        <f>SUMIF(Allocation[Delivery ID],Delivery[[#This Row],[Delivery ID]],Allocation[Quantity allocated])*16*1.3228*Delivery[[#This Row],[Exchange rate VS USD]]/60</f>
        <v>1530.0227225173332</v>
      </c>
      <c r="AP322" s="171">
        <f>Delivery[[#This Row],[AAA Premium (total)]]</f>
        <v>1706.1149</v>
      </c>
      <c r="AQ322" s="171">
        <f>Delivery[[#This Row],[Valor pago pelo Cluster]]-Delivery[[#This Row],[Valor efetivamente pago pela Nespresso]]</f>
        <v>176.09217748266678</v>
      </c>
    </row>
    <row r="323" spans="1:43" ht="15.75">
      <c r="A323" s="174" t="s">
        <v>69</v>
      </c>
      <c r="B323" s="232" t="s">
        <v>68</v>
      </c>
      <c r="C323" s="157">
        <v>1</v>
      </c>
      <c r="D323" s="157" t="s">
        <v>468</v>
      </c>
      <c r="E323" s="177" t="s">
        <v>468</v>
      </c>
      <c r="F323" s="240" t="s">
        <v>543</v>
      </c>
      <c r="G323" s="234">
        <v>43482</v>
      </c>
      <c r="H323" s="157" t="s">
        <v>2017</v>
      </c>
      <c r="I323" s="236" t="s">
        <v>970</v>
      </c>
      <c r="J323" s="237">
        <v>5450</v>
      </c>
      <c r="K323" s="175" t="s">
        <v>472</v>
      </c>
      <c r="L323" s="175" t="s">
        <v>439</v>
      </c>
      <c r="M323" s="175" t="s">
        <v>1343</v>
      </c>
      <c r="N323" s="180"/>
      <c r="O323" s="177"/>
      <c r="P323" s="185">
        <v>0</v>
      </c>
      <c r="Q323" s="177">
        <v>43476</v>
      </c>
      <c r="R323" s="178">
        <v>386.74404999999996</v>
      </c>
      <c r="S323" s="179">
        <v>36465.601350832389</v>
      </c>
      <c r="T323" s="182" t="s">
        <v>45</v>
      </c>
      <c r="U323" s="183">
        <v>3.7008999999999999</v>
      </c>
      <c r="V323" s="179">
        <v>5042.4762499999997</v>
      </c>
      <c r="W323" s="179">
        <v>1404.63198250095</v>
      </c>
      <c r="X323" s="186" t="s">
        <v>45</v>
      </c>
      <c r="Y323" s="183">
        <v>3.7008999999999999</v>
      </c>
      <c r="Z323" s="220" t="s">
        <v>473</v>
      </c>
      <c r="AA323" s="172">
        <f>Delivery[[#This Row],[Quantity delivered]]*VLOOKUP(Delivery[[#This Row],[Unit]],Tab_Conversão[],4,FALSE)*VLOOKUP(CONCATENATE(Delivery[[#This Row],[Coffee specie]],Delivery[[#This Row],[Coffee state]]),Tab_Conversão[],4,FALSE)</f>
        <v>5450</v>
      </c>
      <c r="AB323" s="169">
        <f>SUMIF(Allocation!C:C,Delivery[[#This Row],[Delivery ID]],Allocation!D:D)/Delivery[[#This Row],[Quantity delivered]]</f>
        <v>0.6009174311926605</v>
      </c>
      <c r="AC323" s="170">
        <f>Delivery[[#This Row],[Quantity delivered]]*Delivery[[#This Row],[Base price (Unidad)]]/60</f>
        <v>35129.251208333328</v>
      </c>
      <c r="AD323" s="171">
        <f>Delivery[[#This Row],[Nespresso total]]-Delivery[[#This Row],[Qt. Delivery * Base Price]]</f>
        <v>1336.3501424990609</v>
      </c>
      <c r="AE323" s="171">
        <f>Delivery[[#This Row],[AAA Premium (total)]]/Delivery[[#This Row],[Quantity delivered]]*60/Delivery[[#This Row],[Exchange rate VS USD]]</f>
        <v>15</v>
      </c>
      <c r="AF323" s="171">
        <f>Delivery[[#This Row],[BEN premium (total)]]/Delivery[[#This Row],[Quantity delivered]]*60/Delivery[[#This Row],[Exchange rate for premiums VS USD]]</f>
        <v>4.1783994</v>
      </c>
      <c r="AG323" s="171">
        <f>COUNTIF(Delivery[Delivery ID],Delivery[[#This Row],[Delivery ID]])</f>
        <v>1</v>
      </c>
      <c r="AH323" s="171">
        <f>(Delivery[[#This Row],[Nespresso total]]/SUMIF(Allocation!C:C,Delivery[Delivery ID],Allocation!H:H))/Delivery[[#This Row],[Exchange rate VS USD]]</f>
        <v>4.7761372832451539</v>
      </c>
      <c r="AI323" s="171">
        <f>(Delivery[[#This Row],[AAA Premium (total)]]/SUMIF(Allocation!C:C,Delivery[Delivery ID],Allocation!H:H))/Delivery[[#This Row],[Exchange rate VS USD]]</f>
        <v>0.66044595249636451</v>
      </c>
      <c r="AJ323" s="171">
        <f>Delivery[[#This Row],[Valor Prêmio Nespresso AAA por Kg (em US$)]]*60</f>
        <v>39.626757149781874</v>
      </c>
      <c r="AK323" s="171">
        <f>Delivery[[#This Row],[Valor Prêmio Nespresso AAA por saca (em US$)]]/1.3228/100</f>
        <v>0.29956725997718381</v>
      </c>
      <c r="AL323" s="171">
        <f>(Delivery[[#This Row],[BEN premium (total)]]/SUMIF(Allocation!C:C,Delivery[Delivery ID],Allocation!H:H))/Delivery[[#This Row],[Exchange rate for premiums VS USD]]</f>
        <v>0.18397379810954922</v>
      </c>
      <c r="AM323" s="171">
        <f>Delivery[[#This Row],[Valor Prêmio Nespresso BEN por Kg (em US$)]]*60</f>
        <v>11.038427886572954</v>
      </c>
      <c r="AN323" s="171">
        <f>Delivery[[#This Row],[Valor Prêmio Nespresso BEN por saca (em US$)]]/1.3228/100</f>
        <v>8.3447443956553929E-2</v>
      </c>
      <c r="AO323" s="171">
        <f>SUMIF(Allocation[Delivery ID],Delivery[[#This Row],[Delivery ID]],Allocation[Quantity allocated])*16*1.3228*Delivery[[#This Row],[Exchange rate VS USD]]/60</f>
        <v>2693.2055260693332</v>
      </c>
      <c r="AP323" s="171">
        <f>Delivery[[#This Row],[AAA Premium (total)]]</f>
        <v>5042.4762499999997</v>
      </c>
      <c r="AQ323" s="171">
        <f>Delivery[[#This Row],[Valor pago pelo Cluster]]-Delivery[[#This Row],[Valor efetivamente pago pela Nespresso]]</f>
        <v>2349.2707239306665</v>
      </c>
    </row>
    <row r="324" spans="1:43" ht="15.75">
      <c r="A324" s="174" t="s">
        <v>69</v>
      </c>
      <c r="B324" s="232" t="s">
        <v>68</v>
      </c>
      <c r="C324" s="157">
        <v>1</v>
      </c>
      <c r="D324" s="157" t="s">
        <v>468</v>
      </c>
      <c r="E324" s="177" t="s">
        <v>468</v>
      </c>
      <c r="F324" s="240" t="s">
        <v>543</v>
      </c>
      <c r="G324" s="234">
        <v>43446</v>
      </c>
      <c r="H324" s="157" t="s">
        <v>2018</v>
      </c>
      <c r="I324" s="236" t="s">
        <v>2019</v>
      </c>
      <c r="J324" s="237">
        <v>37640</v>
      </c>
      <c r="K324" s="175" t="s">
        <v>472</v>
      </c>
      <c r="L324" s="175" t="s">
        <v>439</v>
      </c>
      <c r="M324" s="175" t="s">
        <v>1343</v>
      </c>
      <c r="N324" s="180"/>
      <c r="O324" s="177"/>
      <c r="P324" s="185">
        <v>0</v>
      </c>
      <c r="Q324" s="177">
        <v>43441</v>
      </c>
      <c r="R324" s="178">
        <v>408.00015000000002</v>
      </c>
      <c r="S324" s="179">
        <v>243997.62585812254</v>
      </c>
      <c r="T324" s="182" t="s">
        <v>45</v>
      </c>
      <c r="U324" s="183">
        <v>3.8673000000000002</v>
      </c>
      <c r="V324" s="179">
        <v>16982.6034</v>
      </c>
      <c r="W324" s="179">
        <v>3861.7741418774394</v>
      </c>
      <c r="X324" s="186" t="s">
        <v>45</v>
      </c>
      <c r="Y324" s="183">
        <v>3.8673000000000002</v>
      </c>
      <c r="Z324" s="220" t="s">
        <v>473</v>
      </c>
      <c r="AA324" s="172">
        <f>Delivery[[#This Row],[Quantity delivered]]*VLOOKUP(Delivery[[#This Row],[Unit]],Tab_Conversão[],4,FALSE)*VLOOKUP(CONCATENATE(Delivery[[#This Row],[Coffee specie]],Delivery[[#This Row],[Coffee state]]),Tab_Conversão[],4,FALSE)</f>
        <v>37640</v>
      </c>
      <c r="AB324" s="169">
        <f>SUMIF(Allocation!C:C,Delivery[[#This Row],[Delivery ID]],Allocation!D:D)/Delivery[[#This Row],[Quantity delivered]]</f>
        <v>1</v>
      </c>
      <c r="AC324" s="170">
        <f>Delivery[[#This Row],[Quantity delivered]]*Delivery[[#This Row],[Base price (Unidad)]]/60</f>
        <v>255952.09410000002</v>
      </c>
      <c r="AD324" s="171">
        <f>Delivery[[#This Row],[Nespresso total]]-Delivery[[#This Row],[Qt. Delivery * Base Price]]</f>
        <v>-11954.468241877476</v>
      </c>
      <c r="AE324" s="171">
        <f>Delivery[[#This Row],[AAA Premium (total)]]/Delivery[[#This Row],[Quantity delivered]]*60/Delivery[[#This Row],[Exchange rate VS USD]]</f>
        <v>7</v>
      </c>
      <c r="AF324" s="171">
        <f>Delivery[[#This Row],[BEN premium (total)]]/Delivery[[#This Row],[Quantity delivered]]*60/Delivery[[#This Row],[Exchange rate for premiums VS USD]]</f>
        <v>1.5917711999999997</v>
      </c>
      <c r="AG324" s="171">
        <f>COUNTIF(Delivery[Delivery ID],Delivery[[#This Row],[Delivery ID]])</f>
        <v>1</v>
      </c>
      <c r="AH324" s="171">
        <f>(Delivery[[#This Row],[Nespresso total]]/SUMIF(Allocation!C:C,Delivery[Delivery ID],Allocation!H:H))/Delivery[[#This Row],[Exchange rate VS USD]]</f>
        <v>7.0102777952497011</v>
      </c>
      <c r="AI324" s="171">
        <f>(Delivery[[#This Row],[AAA Premium (total)]]/SUMIF(Allocation!C:C,Delivery[Delivery ID],Allocation!H:H))/Delivery[[#This Row],[Exchange rate VS USD]]</f>
        <v>0.48792592592592587</v>
      </c>
      <c r="AJ324" s="171">
        <f>Delivery[[#This Row],[Valor Prêmio Nespresso AAA por Kg (em US$)]]*60</f>
        <v>29.275555555555552</v>
      </c>
      <c r="AK324" s="171">
        <f>Delivery[[#This Row],[Valor Prêmio Nespresso AAA por saca (em US$)]]/1.3228/100</f>
        <v>0.22131505560595369</v>
      </c>
      <c r="AL324" s="171">
        <f>(Delivery[[#This Row],[BEN premium (total)]]/SUMIF(Allocation!C:C,Delivery[Delivery ID],Allocation!H:H))/Delivery[[#This Row],[Exchange rate for premiums VS USD]]</f>
        <v>0.11095234808888887</v>
      </c>
      <c r="AM324" s="171">
        <f>Delivery[[#This Row],[Valor Prêmio Nespresso BEN por Kg (em US$)]]*60</f>
        <v>6.657140885333332</v>
      </c>
      <c r="AN324" s="171">
        <f>Delivery[[#This Row],[Valor Prêmio Nespresso BEN por saca (em US$)]]/1.3228/100</f>
        <v>5.0326133091422226E-2</v>
      </c>
      <c r="AO324" s="171">
        <f>SUMIF(Allocation[Delivery ID],Delivery[[#This Row],[Delivery ID]],Allocation[Quantity allocated])*16*1.3228*Delivery[[#This Row],[Exchange rate VS USD]]/60</f>
        <v>12277.594655999999</v>
      </c>
      <c r="AP324" s="171">
        <f>Delivery[[#This Row],[AAA Premium (total)]]</f>
        <v>16982.6034</v>
      </c>
      <c r="AQ324" s="171">
        <f>Delivery[[#This Row],[Valor pago pelo Cluster]]-Delivery[[#This Row],[Valor efetivamente pago pela Nespresso]]</f>
        <v>4705.0087440000007</v>
      </c>
    </row>
    <row r="325" spans="1:43" ht="15.75">
      <c r="A325" s="174" t="s">
        <v>69</v>
      </c>
      <c r="B325" s="232" t="s">
        <v>68</v>
      </c>
      <c r="C325" s="157">
        <v>1</v>
      </c>
      <c r="D325" s="157" t="s">
        <v>468</v>
      </c>
      <c r="E325" s="177" t="s">
        <v>468</v>
      </c>
      <c r="F325" s="233" t="s">
        <v>543</v>
      </c>
      <c r="G325" s="234">
        <v>43493</v>
      </c>
      <c r="H325" s="157" t="s">
        <v>1523</v>
      </c>
      <c r="I325" s="236" t="s">
        <v>672</v>
      </c>
      <c r="J325" s="237">
        <v>19440</v>
      </c>
      <c r="K325" s="175" t="s">
        <v>472</v>
      </c>
      <c r="L325" s="175" t="s">
        <v>439</v>
      </c>
      <c r="M325" s="175" t="s">
        <v>1343</v>
      </c>
      <c r="N325" s="180"/>
      <c r="O325" s="177"/>
      <c r="P325" s="185">
        <v>0</v>
      </c>
      <c r="Q325" s="177">
        <v>43430</v>
      </c>
      <c r="R325" s="178">
        <v>428.979175</v>
      </c>
      <c r="S325" s="179">
        <v>146914.96167193761</v>
      </c>
      <c r="T325" s="182" t="s">
        <v>45</v>
      </c>
      <c r="U325" s="183">
        <v>3.8944999999999999</v>
      </c>
      <c r="V325" s="179">
        <v>8832.24</v>
      </c>
      <c r="W325" s="179">
        <v>3012.7883280623992</v>
      </c>
      <c r="X325" s="186" t="s">
        <v>45</v>
      </c>
      <c r="Y325" s="183">
        <v>3.8944999999999999</v>
      </c>
      <c r="Z325" s="220" t="s">
        <v>473</v>
      </c>
      <c r="AA325" s="172">
        <f>Delivery[[#This Row],[Quantity delivered]]*VLOOKUP(Delivery[[#This Row],[Unit]],Tab_Conversão[],4,FALSE)*VLOOKUP(CONCATENATE(Delivery[[#This Row],[Coffee specie]],Delivery[[#This Row],[Coffee state]]),Tab_Conversão[],4,FALSE)</f>
        <v>19440</v>
      </c>
      <c r="AB325" s="169">
        <f>SUMIF(Allocation!C:C,Delivery[[#This Row],[Delivery ID]],Allocation!D:D)/Delivery[[#This Row],[Quantity delivered]]</f>
        <v>0.69120370370370365</v>
      </c>
      <c r="AC325" s="170">
        <f>Delivery[[#This Row],[Quantity delivered]]*Delivery[[#This Row],[Base price (Unidad)]]/60</f>
        <v>138989.25269999998</v>
      </c>
      <c r="AD325" s="171">
        <f>Delivery[[#This Row],[Nespresso total]]-Delivery[[#This Row],[Qt. Delivery * Base Price]]</f>
        <v>7925.7089719376236</v>
      </c>
      <c r="AE325" s="171">
        <f>Delivery[[#This Row],[AAA Premium (total)]]/Delivery[[#This Row],[Quantity delivered]]*60/Delivery[[#This Row],[Exchange rate VS USD]]</f>
        <v>6.9996148414430603</v>
      </c>
      <c r="AF325" s="171">
        <f>Delivery[[#This Row],[BEN premium (total)]]/Delivery[[#This Row],[Quantity delivered]]*60/Delivery[[#This Row],[Exchange rate for premiums VS USD]]</f>
        <v>2.3876567999999994</v>
      </c>
      <c r="AG325" s="171">
        <f>COUNTIF(Delivery[Delivery ID],Delivery[[#This Row],[Delivery ID]])</f>
        <v>1</v>
      </c>
      <c r="AH325" s="171">
        <f>(Delivery[[#This Row],[Nespresso total]]/SUMIF(Allocation!C:C,Delivery[Delivery ID],Allocation!H:H))/Delivery[[#This Row],[Exchange rate VS USD]]</f>
        <v>7.7989876135830949</v>
      </c>
      <c r="AI325" s="171">
        <f>(Delivery[[#This Row],[AAA Premium (total)]]/SUMIF(Allocation!C:C,Delivery[Delivery ID],Allocation!H:H))/Delivery[[#This Row],[Exchange rate VS USD]]</f>
        <v>0.46885987360503445</v>
      </c>
      <c r="AJ325" s="171">
        <f>Delivery[[#This Row],[Valor Prêmio Nespresso AAA por Kg (em US$)]]*60</f>
        <v>28.131592416302066</v>
      </c>
      <c r="AK325" s="171">
        <f>Delivery[[#This Row],[Valor Prêmio Nespresso AAA por saca (em US$)]]/1.3228/100</f>
        <v>0.21266701252118284</v>
      </c>
      <c r="AL325" s="171">
        <f>(Delivery[[#This Row],[BEN premium (total)]]/SUMIF(Allocation!C:C,Delivery[Delivery ID],Allocation!H:H))/Delivery[[#This Row],[Exchange rate for premiums VS USD]]</f>
        <v>0.15993400934463506</v>
      </c>
      <c r="AM325" s="171">
        <f>Delivery[[#This Row],[Valor Prêmio Nespresso BEN por Kg (em US$)]]*60</f>
        <v>9.5960405606781034</v>
      </c>
      <c r="AN325" s="171">
        <f>Delivery[[#This Row],[Valor Prêmio Nespresso BEN por saca (em US$)]]/1.3228/100</f>
        <v>7.2543397041715321E-2</v>
      </c>
      <c r="AO325" s="171">
        <f>SUMIF(Allocation[Delivery ID],Delivery[[#This Row],[Delivery ID]],Allocation[Quantity allocated])*16*1.3228*Delivery[[#This Row],[Exchange rate VS USD]]/60</f>
        <v>6644.9346480533331</v>
      </c>
      <c r="AP325" s="171">
        <f>Delivery[[#This Row],[AAA Premium (total)]]</f>
        <v>8832.24</v>
      </c>
      <c r="AQ325" s="171">
        <f>Delivery[[#This Row],[Valor pago pelo Cluster]]-Delivery[[#This Row],[Valor efetivamente pago pela Nespresso]]</f>
        <v>2187.3053519466666</v>
      </c>
    </row>
    <row r="326" spans="1:43" ht="15.75">
      <c r="A326" s="174" t="s">
        <v>69</v>
      </c>
      <c r="B326" s="232" t="s">
        <v>68</v>
      </c>
      <c r="C326" s="157">
        <v>1</v>
      </c>
      <c r="D326" s="157" t="s">
        <v>468</v>
      </c>
      <c r="E326" s="177" t="s">
        <v>468</v>
      </c>
      <c r="F326" s="240" t="s">
        <v>543</v>
      </c>
      <c r="G326" s="234">
        <v>43493</v>
      </c>
      <c r="H326" s="157" t="s">
        <v>2150</v>
      </c>
      <c r="I326" s="236" t="s">
        <v>672</v>
      </c>
      <c r="J326" s="237">
        <v>20910</v>
      </c>
      <c r="K326" s="175" t="s">
        <v>472</v>
      </c>
      <c r="L326" s="175" t="s">
        <v>439</v>
      </c>
      <c r="M326" s="175" t="s">
        <v>1343</v>
      </c>
      <c r="N326" s="180"/>
      <c r="O326" s="177"/>
      <c r="P326" s="185">
        <v>0</v>
      </c>
      <c r="Q326" s="177">
        <v>43430</v>
      </c>
      <c r="R326" s="178">
        <v>428.979175</v>
      </c>
      <c r="S326" s="179">
        <v>161264.89000000001</v>
      </c>
      <c r="T326" s="182" t="s">
        <v>45</v>
      </c>
      <c r="U326" s="183">
        <v>3.8944999999999999</v>
      </c>
      <c r="V326" s="179">
        <v>9500.11</v>
      </c>
      <c r="W326" s="179">
        <v>3240.6071985485992</v>
      </c>
      <c r="X326" s="186" t="s">
        <v>45</v>
      </c>
      <c r="Y326" s="183">
        <v>3.8944999999999999</v>
      </c>
      <c r="Z326" s="220" t="s">
        <v>473</v>
      </c>
      <c r="AA326" s="172">
        <f>Delivery[[#This Row],[Quantity delivered]]*VLOOKUP(Delivery[[#This Row],[Unit]],Tab_Conversão[],4,FALSE)*VLOOKUP(CONCATENATE(Delivery[[#This Row],[Coffee specie]],Delivery[[#This Row],[Coffee state]]),Tab_Conversão[],4,FALSE)</f>
        <v>20910</v>
      </c>
      <c r="AB326" s="169">
        <f>SUMIF(Allocation!C:C,Delivery[[#This Row],[Delivery ID]],Allocation!D:D)/Delivery[[#This Row],[Quantity delivered]]</f>
        <v>0.53137254901960784</v>
      </c>
      <c r="AC326" s="170">
        <f>Delivery[[#This Row],[Quantity delivered]]*Delivery[[#This Row],[Base price (Unidad)]]/60</f>
        <v>149499.24248749999</v>
      </c>
      <c r="AD326" s="171">
        <f>Delivery[[#This Row],[Nespresso total]]-Delivery[[#This Row],[Qt. Delivery * Base Price]]</f>
        <v>11765.647512500029</v>
      </c>
      <c r="AE326" s="171">
        <f>Delivery[[#This Row],[AAA Premium (total)]]/Delivery[[#This Row],[Quantity delivered]]*60/Delivery[[#This Row],[Exchange rate VS USD]]</f>
        <v>6.9996148414430612</v>
      </c>
      <c r="AF326" s="171">
        <f>Delivery[[#This Row],[BEN premium (total)]]/Delivery[[#This Row],[Quantity delivered]]*60/Delivery[[#This Row],[Exchange rate for premiums VS USD]]</f>
        <v>2.3876567999999994</v>
      </c>
      <c r="AG326" s="171">
        <f>COUNTIF(Delivery[Delivery ID],Delivery[[#This Row],[Delivery ID]])</f>
        <v>1</v>
      </c>
      <c r="AH326" s="171">
        <f>(Delivery[[#This Row],[Nespresso total]]/SUMIF(Allocation!C:C,Delivery[Delivery ID],Allocation!H:H))/Delivery[[#This Row],[Exchange rate VS USD]]</f>
        <v>10.352092052895109</v>
      </c>
      <c r="AI326" s="171">
        <f>(Delivery[[#This Row],[AAA Premium (total)]]/SUMIF(Allocation!C:C,Delivery[Delivery ID],Allocation!H:H))/Delivery[[#This Row],[Exchange rate VS USD]]</f>
        <v>0.60984144306072674</v>
      </c>
      <c r="AJ326" s="171">
        <f>Delivery[[#This Row],[Valor Prêmio Nespresso AAA por Kg (em US$)]]*60</f>
        <v>36.590486583643603</v>
      </c>
      <c r="AK326" s="171">
        <f>Delivery[[#This Row],[Valor Prêmio Nespresso AAA por saca (em US$)]]/1.3228/100</f>
        <v>0.27661389918085577</v>
      </c>
      <c r="AL326" s="171">
        <f>(Delivery[[#This Row],[BEN premium (total)]]/SUMIF(Allocation!C:C,Delivery[Delivery ID],Allocation!H:H))/Delivery[[#This Row],[Exchange rate for premiums VS USD]]</f>
        <v>0.20802459869999995</v>
      </c>
      <c r="AM326" s="171">
        <f>Delivery[[#This Row],[Valor Prêmio Nespresso BEN por Kg (em US$)]]*60</f>
        <v>12.481475921999998</v>
      </c>
      <c r="AN326" s="171">
        <f>Delivery[[#This Row],[Valor Prêmio Nespresso BEN por saca (em US$)]]/1.3228/100</f>
        <v>9.4356485651648003E-2</v>
      </c>
      <c r="AO326" s="171">
        <f>SUMIF(Allocation[Delivery ID],Delivery[[#This Row],[Delivery ID]],Allocation[Quantity allocated])*16*1.3228*Delivery[[#This Row],[Exchange rate VS USD]]/60</f>
        <v>5495.0875733333332</v>
      </c>
      <c r="AP326" s="171">
        <f>Delivery[[#This Row],[AAA Premium (total)]]</f>
        <v>9500.11</v>
      </c>
      <c r="AQ326" s="171">
        <f>Delivery[[#This Row],[Valor pago pelo Cluster]]-Delivery[[#This Row],[Valor efetivamente pago pela Nespresso]]</f>
        <v>4005.0224266666673</v>
      </c>
    </row>
    <row r="327" spans="1:43" ht="15.75">
      <c r="A327" s="174" t="s">
        <v>69</v>
      </c>
      <c r="B327" s="232" t="s">
        <v>68</v>
      </c>
      <c r="C327" s="157">
        <v>1</v>
      </c>
      <c r="D327" s="157" t="s">
        <v>468</v>
      </c>
      <c r="E327" s="177" t="s">
        <v>468</v>
      </c>
      <c r="F327" s="240" t="s">
        <v>543</v>
      </c>
      <c r="G327" s="234">
        <v>43493</v>
      </c>
      <c r="H327" s="157" t="s">
        <v>2151</v>
      </c>
      <c r="I327" s="236" t="s">
        <v>672</v>
      </c>
      <c r="J327" s="237">
        <v>19280</v>
      </c>
      <c r="K327" s="175" t="s">
        <v>472</v>
      </c>
      <c r="L327" s="175" t="s">
        <v>439</v>
      </c>
      <c r="M327" s="175" t="s">
        <v>1343</v>
      </c>
      <c r="N327" s="180"/>
      <c r="O327" s="177"/>
      <c r="P327" s="185">
        <v>0</v>
      </c>
      <c r="Q327" s="177">
        <v>43430</v>
      </c>
      <c r="R327" s="178">
        <v>428.979175</v>
      </c>
      <c r="S327" s="179">
        <v>148693.78666666668</v>
      </c>
      <c r="T327" s="182" t="s">
        <v>45</v>
      </c>
      <c r="U327" s="183">
        <v>3.8944999999999999</v>
      </c>
      <c r="V327" s="179">
        <v>8759.5466666666671</v>
      </c>
      <c r="W327" s="179">
        <v>2987.9917163087994</v>
      </c>
      <c r="X327" s="186" t="s">
        <v>45</v>
      </c>
      <c r="Y327" s="183">
        <v>3.8944999999999999</v>
      </c>
      <c r="Z327" s="220" t="s">
        <v>473</v>
      </c>
      <c r="AA327" s="172">
        <f>Delivery[[#This Row],[Quantity delivered]]*VLOOKUP(Delivery[[#This Row],[Unit]],Tab_Conversão[],4,FALSE)*VLOOKUP(CONCATENATE(Delivery[[#This Row],[Coffee specie]],Delivery[[#This Row],[Coffee state]]),Tab_Conversão[],4,FALSE)</f>
        <v>19280</v>
      </c>
      <c r="AB327" s="169">
        <f>SUMIF(Allocation!C:C,Delivery[[#This Row],[Delivery ID]],Allocation!D:D)/Delivery[[#This Row],[Quantity delivered]]</f>
        <v>0.72038381742738589</v>
      </c>
      <c r="AC327" s="170">
        <f>Delivery[[#This Row],[Quantity delivered]]*Delivery[[#This Row],[Base price (Unidad)]]/60</f>
        <v>137845.30823333334</v>
      </c>
      <c r="AD327" s="171">
        <f>Delivery[[#This Row],[Nespresso total]]-Delivery[[#This Row],[Qt. Delivery * Base Price]]</f>
        <v>10848.478433333337</v>
      </c>
      <c r="AE327" s="171">
        <f>Delivery[[#This Row],[AAA Premium (total)]]/Delivery[[#This Row],[Quantity delivered]]*60/Delivery[[#This Row],[Exchange rate VS USD]]</f>
        <v>6.9996148414430612</v>
      </c>
      <c r="AF327" s="171">
        <f>Delivery[[#This Row],[BEN premium (total)]]/Delivery[[#This Row],[Quantity delivered]]*60/Delivery[[#This Row],[Exchange rate for premiums VS USD]]</f>
        <v>2.3876567999999994</v>
      </c>
      <c r="AG327" s="171">
        <f>COUNTIF(Delivery[Delivery ID],Delivery[[#This Row],[Delivery ID]])</f>
        <v>1</v>
      </c>
      <c r="AH327" s="171">
        <f>(Delivery[[#This Row],[Nespresso total]]/SUMIF(Allocation!C:C,Delivery[Delivery ID],Allocation!H:H))/Delivery[[#This Row],[Exchange rate VS USD]]</f>
        <v>7.6360912397826004</v>
      </c>
      <c r="AI327" s="171">
        <f>(Delivery[[#This Row],[AAA Premium (total)]]/SUMIF(Allocation!C:C,Delivery[Delivery ID],Allocation!H:H))/Delivery[[#This Row],[Exchange rate VS USD]]</f>
        <v>0.44984191381007405</v>
      </c>
      <c r="AJ327" s="171">
        <f>Delivery[[#This Row],[Valor Prêmio Nespresso AAA por Kg (em US$)]]*60</f>
        <v>26.990514828604443</v>
      </c>
      <c r="AK327" s="171">
        <f>Delivery[[#This Row],[Valor Prêmio Nespresso AAA por saca (em US$)]]/1.3228/100</f>
        <v>0.20404078340342036</v>
      </c>
      <c r="AL327" s="171">
        <f>(Delivery[[#This Row],[BEN premium (total)]]/SUMIF(Allocation!C:C,Delivery[Delivery ID],Allocation!H:H))/Delivery[[#This Row],[Exchange rate for premiums VS USD]]</f>
        <v>0.15344674367999997</v>
      </c>
      <c r="AM327" s="171">
        <f>Delivery[[#This Row],[Valor Prêmio Nespresso BEN por Kg (em US$)]]*60</f>
        <v>9.2068046207999981</v>
      </c>
      <c r="AN327" s="171">
        <f>Delivery[[#This Row],[Valor Prêmio Nespresso BEN por saca (em US$)]]/1.3228/100</f>
        <v>6.9600881620804342E-2</v>
      </c>
      <c r="AO327" s="171">
        <f>SUMIF(Allocation[Delivery ID],Delivery[[#This Row],[Delivery ID]],Allocation[Quantity allocated])*16*1.3228*Delivery[[#This Row],[Exchange rate VS USD]]/60</f>
        <v>6868.8594666666659</v>
      </c>
      <c r="AP327" s="171">
        <f>Delivery[[#This Row],[AAA Premium (total)]]</f>
        <v>8759.5466666666671</v>
      </c>
      <c r="AQ327" s="171">
        <f>Delivery[[#This Row],[Valor pago pelo Cluster]]-Delivery[[#This Row],[Valor efetivamente pago pela Nespresso]]</f>
        <v>1890.6872000000012</v>
      </c>
    </row>
    <row r="328" spans="1:43" ht="15.75">
      <c r="A328" s="174" t="s">
        <v>69</v>
      </c>
      <c r="B328" s="232" t="s">
        <v>68</v>
      </c>
      <c r="C328" s="157">
        <v>1</v>
      </c>
      <c r="D328" s="157" t="s">
        <v>468</v>
      </c>
      <c r="E328" s="177" t="s">
        <v>468</v>
      </c>
      <c r="F328" s="240" t="s">
        <v>543</v>
      </c>
      <c r="G328" s="234">
        <v>43493</v>
      </c>
      <c r="H328" s="157" t="s">
        <v>2152</v>
      </c>
      <c r="I328" s="236" t="s">
        <v>672</v>
      </c>
      <c r="J328" s="237">
        <v>20210</v>
      </c>
      <c r="K328" s="175" t="s">
        <v>472</v>
      </c>
      <c r="L328" s="175" t="s">
        <v>439</v>
      </c>
      <c r="M328" s="175" t="s">
        <v>1343</v>
      </c>
      <c r="N328" s="180"/>
      <c r="O328" s="177"/>
      <c r="P328" s="185">
        <v>0</v>
      </c>
      <c r="Q328" s="177">
        <v>43430</v>
      </c>
      <c r="R328" s="178">
        <v>428.979175</v>
      </c>
      <c r="S328" s="179">
        <v>155866.25666666668</v>
      </c>
      <c r="T328" s="182" t="s">
        <v>45</v>
      </c>
      <c r="U328" s="183">
        <v>3.8944999999999999</v>
      </c>
      <c r="V328" s="179">
        <v>9182.0766666666677</v>
      </c>
      <c r="W328" s="179">
        <v>3132.1220221265989</v>
      </c>
      <c r="X328" s="186" t="s">
        <v>45</v>
      </c>
      <c r="Y328" s="183">
        <v>3.8944999999999999</v>
      </c>
      <c r="Z328" s="220" t="s">
        <v>473</v>
      </c>
      <c r="AA328" s="172">
        <f>Delivery[[#This Row],[Quantity delivered]]*VLOOKUP(Delivery[[#This Row],[Unit]],Tab_Conversão[],4,FALSE)*VLOOKUP(CONCATENATE(Delivery[[#This Row],[Coffee specie]],Delivery[[#This Row],[Coffee state]]),Tab_Conversão[],4,FALSE)</f>
        <v>20210</v>
      </c>
      <c r="AB328" s="169">
        <f>SUMIF(Allocation!C:C,Delivery[[#This Row],[Delivery ID]],Allocation!D:D)/Delivery[[#This Row],[Quantity delivered]]</f>
        <v>0.68723404255319154</v>
      </c>
      <c r="AC328" s="170">
        <f>Delivery[[#This Row],[Quantity delivered]]*Delivery[[#This Row],[Base price (Unidad)]]/60</f>
        <v>144494.48544583333</v>
      </c>
      <c r="AD328" s="171">
        <f>Delivery[[#This Row],[Nespresso total]]-Delivery[[#This Row],[Qt. Delivery * Base Price]]</f>
        <v>11371.771220833354</v>
      </c>
      <c r="AE328" s="171">
        <f>Delivery[[#This Row],[AAA Premium (total)]]/Delivery[[#This Row],[Quantity delivered]]*60/Delivery[[#This Row],[Exchange rate VS USD]]</f>
        <v>6.9996148414430612</v>
      </c>
      <c r="AF328" s="171">
        <f>Delivery[[#This Row],[BEN premium (total)]]/Delivery[[#This Row],[Quantity delivered]]*60/Delivery[[#This Row],[Exchange rate for premiums VS USD]]</f>
        <v>2.3876567999999989</v>
      </c>
      <c r="AG328" s="171">
        <f>COUNTIF(Delivery[Delivery ID],Delivery[[#This Row],[Delivery ID]])</f>
        <v>1</v>
      </c>
      <c r="AH328" s="171">
        <f>(Delivery[[#This Row],[Nespresso total]]/SUMIF(Allocation!C:C,Delivery[Delivery ID],Allocation!H:H))/Delivery[[#This Row],[Exchange rate VS USD]]</f>
        <v>8.0044296657679652</v>
      </c>
      <c r="AI328" s="171">
        <f>(Delivery[[#This Row],[AAA Premium (total)]]/SUMIF(Allocation!C:C,Delivery[Delivery ID],Allocation!H:H))/Delivery[[#This Row],[Exchange rate VS USD]]</f>
        <v>0.47154071981854756</v>
      </c>
      <c r="AJ328" s="171">
        <f>Delivery[[#This Row],[Valor Prêmio Nespresso AAA por Kg (em US$)]]*60</f>
        <v>28.292443189112852</v>
      </c>
      <c r="AK328" s="171">
        <f>Delivery[[#This Row],[Valor Prêmio Nespresso AAA por saca (em US$)]]/1.3228/100</f>
        <v>0.2138829996153073</v>
      </c>
      <c r="AL328" s="171">
        <f>(Delivery[[#This Row],[BEN premium (total)]]/SUMIF(Allocation!C:C,Delivery[Delivery ID],Allocation!H:H))/Delivery[[#This Row],[Exchange rate for premiums VS USD]]</f>
        <v>0.16084847975999994</v>
      </c>
      <c r="AM328" s="171">
        <f>Delivery[[#This Row],[Valor Prêmio Nespresso BEN por Kg (em US$)]]*60</f>
        <v>9.6509087855999969</v>
      </c>
      <c r="AN328" s="171">
        <f>Delivery[[#This Row],[Valor Prêmio Nespresso BEN por saca (em US$)]]/1.3228/100</f>
        <v>7.2958185557907451E-2</v>
      </c>
      <c r="AO328" s="171">
        <f>SUMIF(Allocation[Delivery ID],Delivery[[#This Row],[Delivery ID]],Allocation[Quantity allocated])*16*1.3228*Delivery[[#This Row],[Exchange rate VS USD]]/60</f>
        <v>6868.8594666666659</v>
      </c>
      <c r="AP328" s="171">
        <f>Delivery[[#This Row],[AAA Premium (total)]]</f>
        <v>9182.0766666666677</v>
      </c>
      <c r="AQ328" s="171">
        <f>Delivery[[#This Row],[Valor pago pelo Cluster]]-Delivery[[#This Row],[Valor efetivamente pago pela Nespresso]]</f>
        <v>2313.2172000000019</v>
      </c>
    </row>
    <row r="329" spans="1:43" ht="15.75">
      <c r="A329" s="174" t="s">
        <v>69</v>
      </c>
      <c r="B329" s="232" t="s">
        <v>68</v>
      </c>
      <c r="C329" s="157">
        <v>1</v>
      </c>
      <c r="D329" s="157" t="s">
        <v>468</v>
      </c>
      <c r="E329" s="177" t="s">
        <v>468</v>
      </c>
      <c r="F329" s="240" t="s">
        <v>543</v>
      </c>
      <c r="G329" s="234">
        <v>43493</v>
      </c>
      <c r="H329" s="157" t="s">
        <v>2153</v>
      </c>
      <c r="I329" s="236" t="s">
        <v>672</v>
      </c>
      <c r="J329" s="237">
        <v>16070</v>
      </c>
      <c r="K329" s="175" t="s">
        <v>472</v>
      </c>
      <c r="L329" s="175" t="s">
        <v>439</v>
      </c>
      <c r="M329" s="175" t="s">
        <v>1343</v>
      </c>
      <c r="N329" s="180"/>
      <c r="O329" s="177"/>
      <c r="P329" s="185">
        <v>0</v>
      </c>
      <c r="Q329" s="177">
        <v>43430</v>
      </c>
      <c r="R329" s="178">
        <v>428.979175</v>
      </c>
      <c r="S329" s="179">
        <v>123937.19666666667</v>
      </c>
      <c r="T329" s="182" t="s">
        <v>45</v>
      </c>
      <c r="U329" s="183">
        <v>3.8944999999999999</v>
      </c>
      <c r="V329" s="179">
        <v>7301.1366666666672</v>
      </c>
      <c r="W329" s="179">
        <v>2490.5096930021996</v>
      </c>
      <c r="X329" s="186" t="s">
        <v>45</v>
      </c>
      <c r="Y329" s="183">
        <v>3.8944999999999999</v>
      </c>
      <c r="Z329" s="220" t="s">
        <v>473</v>
      </c>
      <c r="AA329" s="172">
        <f>Delivery[[#This Row],[Quantity delivered]]*VLOOKUP(Delivery[[#This Row],[Unit]],Tab_Conversão[],4,FALSE)*VLOOKUP(CONCATENATE(Delivery[[#This Row],[Coffee specie]],Delivery[[#This Row],[Coffee state]]),Tab_Conversão[],4,FALSE)</f>
        <v>16070</v>
      </c>
      <c r="AB329" s="169">
        <f>SUMIF(Allocation!C:C,Delivery[[#This Row],[Delivery ID]],Allocation!D:D)/Delivery[[#This Row],[Quantity delivered]]</f>
        <v>0.6914125700062228</v>
      </c>
      <c r="AC329" s="170">
        <f>Delivery[[#This Row],[Quantity delivered]]*Delivery[[#This Row],[Base price (Unidad)]]/60</f>
        <v>114894.92237083333</v>
      </c>
      <c r="AD329" s="171">
        <f>Delivery[[#This Row],[Nespresso total]]-Delivery[[#This Row],[Qt. Delivery * Base Price]]</f>
        <v>9042.2742958333401</v>
      </c>
      <c r="AE329" s="171">
        <f>Delivery[[#This Row],[AAA Premium (total)]]/Delivery[[#This Row],[Quantity delivered]]*60/Delivery[[#This Row],[Exchange rate VS USD]]</f>
        <v>6.9996148414430612</v>
      </c>
      <c r="AF329" s="171">
        <f>Delivery[[#This Row],[BEN premium (total)]]/Delivery[[#This Row],[Quantity delivered]]*60/Delivery[[#This Row],[Exchange rate for premiums VS USD]]</f>
        <v>2.3876567999999994</v>
      </c>
      <c r="AG329" s="171">
        <f>COUNTIF(Delivery[Delivery ID],Delivery[[#This Row],[Delivery ID]])</f>
        <v>1</v>
      </c>
      <c r="AH329" s="171">
        <f>(Delivery[[#This Row],[Nespresso total]]/SUMIF(Allocation!C:C,Delivery[Delivery ID],Allocation!H:H))/Delivery[[#This Row],[Exchange rate VS USD]]</f>
        <v>7.9559119698720417</v>
      </c>
      <c r="AI329" s="171">
        <f>(Delivery[[#This Row],[AAA Premium (total)]]/SUMIF(Allocation!C:C,Delivery[Delivery ID],Allocation!H:H))/Delivery[[#This Row],[Exchange rate VS USD]]</f>
        <v>0.46868254375829166</v>
      </c>
      <c r="AJ329" s="171">
        <f>Delivery[[#This Row],[Valor Prêmio Nespresso AAA por Kg (em US$)]]*60</f>
        <v>28.120952625497498</v>
      </c>
      <c r="AK329" s="171">
        <f>Delivery[[#This Row],[Valor Prêmio Nespresso AAA por saca (em US$)]]/1.3228/100</f>
        <v>0.21258657866266631</v>
      </c>
      <c r="AL329" s="171">
        <f>(Delivery[[#This Row],[BEN premium (total)]]/SUMIF(Allocation!C:C,Delivery[Delivery ID],Allocation!H:H))/Delivery[[#This Row],[Exchange rate for premiums VS USD]]</f>
        <v>0.15987351989999998</v>
      </c>
      <c r="AM329" s="171">
        <f>Delivery[[#This Row],[Valor Prêmio Nespresso BEN por Kg (em US$)]]*60</f>
        <v>9.5924111939999985</v>
      </c>
      <c r="AN329" s="171">
        <f>Delivery[[#This Row],[Valor Prêmio Nespresso BEN por saca (em US$)]]/1.3228/100</f>
        <v>7.2515960039310545E-2</v>
      </c>
      <c r="AO329" s="171">
        <f>SUMIF(Allocation[Delivery ID],Delivery[[#This Row],[Delivery ID]],Allocation[Quantity allocated])*16*1.3228*Delivery[[#This Row],[Exchange rate VS USD]]/60</f>
        <v>5495.0875733333332</v>
      </c>
      <c r="AP329" s="171">
        <f>Delivery[[#This Row],[AAA Premium (total)]]</f>
        <v>7301.1366666666672</v>
      </c>
      <c r="AQ329" s="171">
        <f>Delivery[[#This Row],[Valor pago pelo Cluster]]-Delivery[[#This Row],[Valor efetivamente pago pela Nespresso]]</f>
        <v>1806.049093333334</v>
      </c>
    </row>
    <row r="330" spans="1:43" ht="15.75">
      <c r="A330" s="174" t="s">
        <v>69</v>
      </c>
      <c r="B330" s="232" t="s">
        <v>68</v>
      </c>
      <c r="C330" s="157">
        <v>1</v>
      </c>
      <c r="D330" s="157" t="s">
        <v>468</v>
      </c>
      <c r="E330" s="177" t="s">
        <v>468</v>
      </c>
      <c r="F330" s="240" t="s">
        <v>543</v>
      </c>
      <c r="G330" s="234">
        <v>43493</v>
      </c>
      <c r="H330" s="157" t="s">
        <v>2154</v>
      </c>
      <c r="I330" s="236" t="s">
        <v>672</v>
      </c>
      <c r="J330" s="237">
        <v>19680</v>
      </c>
      <c r="K330" s="175" t="s">
        <v>61</v>
      </c>
      <c r="L330" s="175" t="s">
        <v>439</v>
      </c>
      <c r="M330" s="175" t="s">
        <v>1343</v>
      </c>
      <c r="N330" s="180"/>
      <c r="O330" s="177"/>
      <c r="P330" s="181">
        <v>0</v>
      </c>
      <c r="Q330" s="177">
        <v>43430</v>
      </c>
      <c r="R330" s="178">
        <v>428.979175</v>
      </c>
      <c r="S330" s="179">
        <v>151778.72</v>
      </c>
      <c r="T330" s="182" t="s">
        <v>45</v>
      </c>
      <c r="U330" s="183">
        <v>3.8944999999999999</v>
      </c>
      <c r="V330" s="179">
        <v>8941.2800000000007</v>
      </c>
      <c r="W330" s="179">
        <v>3049.9832456927988</v>
      </c>
      <c r="X330" s="186" t="s">
        <v>45</v>
      </c>
      <c r="Y330" s="183">
        <v>3.8944999999999999</v>
      </c>
      <c r="Z330" s="220" t="s">
        <v>473</v>
      </c>
      <c r="AA330" s="172">
        <f>Delivery[[#This Row],[Quantity delivered]]*VLOOKUP(Delivery[[#This Row],[Unit]],Tab_Conversão[],4,FALSE)*VLOOKUP(CONCATENATE(Delivery[[#This Row],[Coffee specie]],Delivery[[#This Row],[Coffee state]]),Tab_Conversão[],4,FALSE)</f>
        <v>19680</v>
      </c>
      <c r="AB330" s="169">
        <f>SUMIF(Allocation!C:C,Delivery[[#This Row],[Delivery ID]],Allocation!D:D)/Delivery[[#This Row],[Quantity delivered]]</f>
        <v>0.56458333333333333</v>
      </c>
      <c r="AC330" s="170">
        <f>Delivery[[#This Row],[Quantity delivered]]*Delivery[[#This Row],[Base price (Unidad)]]/60</f>
        <v>140705.16940000001</v>
      </c>
      <c r="AD330" s="171">
        <f>Delivery[[#This Row],[Nespresso total]]-Delivery[[#This Row],[Qt. Delivery * Base Price]]</f>
        <v>11073.550599999988</v>
      </c>
      <c r="AE330" s="171">
        <f>Delivery[[#This Row],[AAA Premium (total)]]/Delivery[[#This Row],[Quantity delivered]]*60/Delivery[[#This Row],[Exchange rate VS USD]]</f>
        <v>6.9996148414430612</v>
      </c>
      <c r="AF330" s="171">
        <f>Delivery[[#This Row],[BEN premium (total)]]/Delivery[[#This Row],[Quantity delivered]]*60/Delivery[[#This Row],[Exchange rate for premiums VS USD]]</f>
        <v>2.3876567999999989</v>
      </c>
      <c r="AG330" s="171">
        <f>COUNTIF(Delivery[Delivery ID],Delivery[[#This Row],[Delivery ID]])</f>
        <v>1</v>
      </c>
      <c r="AH330" s="171">
        <f>(Delivery[[#This Row],[Nespresso total]]/SUMIF(Allocation!C:C,Delivery[Delivery ID],Allocation!H:H))/Delivery[[#This Row],[Exchange rate VS USD]]</f>
        <v>9.7431454615483375</v>
      </c>
      <c r="AI330" s="171">
        <f>(Delivery[[#This Row],[AAA Premium (total)]]/SUMIF(Allocation!C:C,Delivery[Delivery ID],Allocation!H:H))/Delivery[[#This Row],[Exchange rate VS USD]]</f>
        <v>0.57396841699833101</v>
      </c>
      <c r="AJ330" s="171">
        <f>Delivery[[#This Row],[Valor Prêmio Nespresso AAA por Kg (em US$)]]*60</f>
        <v>34.438105019899858</v>
      </c>
      <c r="AK330" s="171">
        <f>Delivery[[#This Row],[Valor Prêmio Nespresso AAA por saca (em US$)]]/1.3228/100</f>
        <v>0.2603424933466878</v>
      </c>
      <c r="AL330" s="171">
        <f>(Delivery[[#This Row],[BEN premium (total)]]/SUMIF(Allocation!C:C,Delivery[Delivery ID],Allocation!H:H))/Delivery[[#This Row],[Exchange rate for premiums VS USD]]</f>
        <v>0.19578785759999992</v>
      </c>
      <c r="AM330" s="171">
        <f>Delivery[[#This Row],[Valor Prêmio Nespresso BEN por Kg (em US$)]]*60</f>
        <v>11.747271455999995</v>
      </c>
      <c r="AN330" s="171">
        <f>Delivery[[#This Row],[Valor Prêmio Nespresso BEN por saca (em US$)]]/1.3228/100</f>
        <v>8.8806104142727507E-2</v>
      </c>
      <c r="AO330" s="171">
        <f>SUMIF(Allocation[Delivery ID],Delivery[[#This Row],[Delivery ID]],Allocation[Quantity allocated])*16*1.3228*Delivery[[#This Row],[Exchange rate VS USD]]/60</f>
        <v>5495.0875733333332</v>
      </c>
      <c r="AP330" s="171">
        <f>Delivery[[#This Row],[AAA Premium (total)]]</f>
        <v>8941.2800000000007</v>
      </c>
      <c r="AQ330" s="171">
        <f>Delivery[[#This Row],[Valor pago pelo Cluster]]-Delivery[[#This Row],[Valor efetivamente pago pela Nespresso]]</f>
        <v>3446.1924266666674</v>
      </c>
    </row>
    <row r="331" spans="1:43" ht="15.75">
      <c r="A331" s="174" t="s">
        <v>69</v>
      </c>
      <c r="B331" s="232" t="s">
        <v>68</v>
      </c>
      <c r="C331" s="157">
        <v>1</v>
      </c>
      <c r="D331" s="157" t="s">
        <v>468</v>
      </c>
      <c r="E331" s="177" t="s">
        <v>468</v>
      </c>
      <c r="F331" s="240" t="s">
        <v>543</v>
      </c>
      <c r="G331" s="234">
        <v>43493</v>
      </c>
      <c r="H331" s="157" t="s">
        <v>2155</v>
      </c>
      <c r="I331" s="236" t="s">
        <v>672</v>
      </c>
      <c r="J331" s="237">
        <v>21150</v>
      </c>
      <c r="K331" s="175" t="s">
        <v>61</v>
      </c>
      <c r="L331" s="175" t="s">
        <v>439</v>
      </c>
      <c r="M331" s="175" t="s">
        <v>1343</v>
      </c>
      <c r="N331" s="180"/>
      <c r="O331" s="177"/>
      <c r="P331" s="181">
        <v>0</v>
      </c>
      <c r="Q331" s="177">
        <v>43430</v>
      </c>
      <c r="R331" s="178">
        <v>428.979175</v>
      </c>
      <c r="S331" s="179">
        <v>163115.85</v>
      </c>
      <c r="T331" s="182" t="s">
        <v>45</v>
      </c>
      <c r="U331" s="183">
        <v>3.8944999999999999</v>
      </c>
      <c r="V331" s="179">
        <v>9609.1500000000015</v>
      </c>
      <c r="W331" s="179">
        <v>3277.8021161789993</v>
      </c>
      <c r="X331" s="186" t="s">
        <v>45</v>
      </c>
      <c r="Y331" s="183">
        <v>3.8944999999999999</v>
      </c>
      <c r="Z331" s="220" t="s">
        <v>473</v>
      </c>
      <c r="AA331" s="172">
        <f>Delivery[[#This Row],[Quantity delivered]]*VLOOKUP(Delivery[[#This Row],[Unit]],Tab_Conversão[],4,FALSE)*VLOOKUP(CONCATENATE(Delivery[[#This Row],[Coffee specie]],Delivery[[#This Row],[Coffee state]]),Tab_Conversão[],4,FALSE)</f>
        <v>21150</v>
      </c>
      <c r="AB331" s="169">
        <f>SUMIF(Allocation!C:C,Delivery[[#This Row],[Delivery ID]],Allocation!D:D)/Delivery[[#This Row],[Quantity delivered]]</f>
        <v>0.65669030732860523</v>
      </c>
      <c r="AC331" s="170">
        <f>Delivery[[#This Row],[Quantity delivered]]*Delivery[[#This Row],[Base price (Unidad)]]/60</f>
        <v>151215.15918749999</v>
      </c>
      <c r="AD331" s="171">
        <f>Delivery[[#This Row],[Nespresso total]]-Delivery[[#This Row],[Qt. Delivery * Base Price]]</f>
        <v>11900.690812500019</v>
      </c>
      <c r="AE331" s="171">
        <f>Delivery[[#This Row],[AAA Premium (total)]]/Delivery[[#This Row],[Quantity delivered]]*60/Delivery[[#This Row],[Exchange rate VS USD]]</f>
        <v>6.9996148414430621</v>
      </c>
      <c r="AF331" s="171">
        <f>Delivery[[#This Row],[BEN premium (total)]]/Delivery[[#This Row],[Quantity delivered]]*60/Delivery[[#This Row],[Exchange rate for premiums VS USD]]</f>
        <v>2.3876567999999994</v>
      </c>
      <c r="AG331" s="171">
        <f>COUNTIF(Delivery[Delivery ID],Delivery[[#This Row],[Delivery ID]])</f>
        <v>1</v>
      </c>
      <c r="AH331" s="171">
        <f>(Delivery[[#This Row],[Nespresso total]]/SUMIF(Allocation!C:C,Delivery[Delivery ID],Allocation!H:H))/Delivery[[#This Row],[Exchange rate VS USD]]</f>
        <v>8.37672871998973</v>
      </c>
      <c r="AI331" s="171">
        <f>(Delivery[[#This Row],[AAA Premium (total)]]/SUMIF(Allocation!C:C,Delivery[Delivery ID],Allocation!H:H))/Delivery[[#This Row],[Exchange rate VS USD]]</f>
        <v>0.49347284632173588</v>
      </c>
      <c r="AJ331" s="171">
        <f>Delivery[[#This Row],[Valor Prêmio Nespresso AAA por Kg (em US$)]]*60</f>
        <v>29.608370779304153</v>
      </c>
      <c r="AK331" s="171">
        <f>Delivery[[#This Row],[Valor Prêmio Nespresso AAA por saca (em US$)]]/1.3228/100</f>
        <v>0.22383104610904259</v>
      </c>
      <c r="AL331" s="171">
        <f>(Delivery[[#This Row],[BEN premium (total)]]/SUMIF(Allocation!C:C,Delivery[Delivery ID],Allocation!H:H))/Delivery[[#This Row],[Exchange rate for premiums VS USD]]</f>
        <v>0.16832980439999998</v>
      </c>
      <c r="AM331" s="171">
        <f>Delivery[[#This Row],[Valor Prêmio Nespresso BEN por Kg (em US$)]]*60</f>
        <v>10.099788263999999</v>
      </c>
      <c r="AN331" s="171">
        <f>Delivery[[#This Row],[Valor Prêmio Nespresso BEN por saca (em US$)]]/1.3228/100</f>
        <v>7.6351589537345013E-2</v>
      </c>
      <c r="AO331" s="171">
        <f>SUMIF(Allocation[Delivery ID],Delivery[[#This Row],[Delivery ID]],Allocation[Quantity allocated])*16*1.3228*Delivery[[#This Row],[Exchange rate VS USD]]/60</f>
        <v>6868.8594666666659</v>
      </c>
      <c r="AP331" s="171">
        <f>Delivery[[#This Row],[AAA Premium (total)]]</f>
        <v>9609.1500000000015</v>
      </c>
      <c r="AQ331" s="171">
        <f>Delivery[[#This Row],[Valor pago pelo Cluster]]-Delivery[[#This Row],[Valor efetivamente pago pela Nespresso]]</f>
        <v>2740.2905333333356</v>
      </c>
    </row>
    <row r="332" spans="1:43" ht="15.75">
      <c r="A332" s="174" t="s">
        <v>69</v>
      </c>
      <c r="B332" s="232" t="s">
        <v>68</v>
      </c>
      <c r="C332" s="157">
        <v>1</v>
      </c>
      <c r="D332" s="157" t="s">
        <v>468</v>
      </c>
      <c r="E332" s="177" t="s">
        <v>468</v>
      </c>
      <c r="F332" s="240" t="s">
        <v>543</v>
      </c>
      <c r="G332" s="234">
        <v>43493</v>
      </c>
      <c r="H332" s="157" t="s">
        <v>2156</v>
      </c>
      <c r="I332" s="236" t="s">
        <v>672</v>
      </c>
      <c r="J332" s="237">
        <v>20600</v>
      </c>
      <c r="K332" s="175" t="s">
        <v>61</v>
      </c>
      <c r="L332" s="175" t="s">
        <v>439</v>
      </c>
      <c r="M332" s="175" t="s">
        <v>1343</v>
      </c>
      <c r="N332" s="180"/>
      <c r="O332" s="177"/>
      <c r="P332" s="181">
        <v>0</v>
      </c>
      <c r="Q332" s="177">
        <v>43430</v>
      </c>
      <c r="R332" s="178">
        <v>428.979175</v>
      </c>
      <c r="S332" s="179">
        <v>158874.06666666668</v>
      </c>
      <c r="T332" s="182" t="s">
        <v>45</v>
      </c>
      <c r="U332" s="183">
        <v>3.8944999999999999</v>
      </c>
      <c r="V332" s="179">
        <v>9359.2666666666682</v>
      </c>
      <c r="W332" s="179">
        <v>3192.5637632759995</v>
      </c>
      <c r="X332" s="186" t="s">
        <v>45</v>
      </c>
      <c r="Y332" s="183">
        <v>3.8944999999999999</v>
      </c>
      <c r="Z332" s="220" t="s">
        <v>473</v>
      </c>
      <c r="AA332" s="172">
        <f>Delivery[[#This Row],[Quantity delivered]]*VLOOKUP(Delivery[[#This Row],[Unit]],Tab_Conversão[],4,FALSE)*VLOOKUP(CONCATENATE(Delivery[[#This Row],[Coffee specie]],Delivery[[#This Row],[Coffee state]]),Tab_Conversão[],4,FALSE)</f>
        <v>20600</v>
      </c>
      <c r="AB332" s="169">
        <f>SUMIF(Allocation!C:C,Delivery[[#This Row],[Delivery ID]],Allocation!D:D)/Delivery[[#This Row],[Quantity delivered]]</f>
        <v>0.6742233009708738</v>
      </c>
      <c r="AC332" s="170">
        <f>Delivery[[#This Row],[Quantity delivered]]*Delivery[[#This Row],[Base price (Unidad)]]/60</f>
        <v>147282.85008333335</v>
      </c>
      <c r="AD332" s="171">
        <f>Delivery[[#This Row],[Nespresso total]]-Delivery[[#This Row],[Qt. Delivery * Base Price]]</f>
        <v>11591.216583333327</v>
      </c>
      <c r="AE332" s="171">
        <f>Delivery[[#This Row],[AAA Premium (total)]]/Delivery[[#This Row],[Quantity delivered]]*60/Delivery[[#This Row],[Exchange rate VS USD]]</f>
        <v>6.9996148414430621</v>
      </c>
      <c r="AF332" s="171">
        <f>Delivery[[#This Row],[BEN premium (total)]]/Delivery[[#This Row],[Quantity delivered]]*60/Delivery[[#This Row],[Exchange rate for premiums VS USD]]</f>
        <v>2.3876567999999994</v>
      </c>
      <c r="AG332" s="171">
        <f>COUNTIF(Delivery[Delivery ID],Delivery[[#This Row],[Delivery ID]])</f>
        <v>1</v>
      </c>
      <c r="AH332" s="171">
        <f>(Delivery[[#This Row],[Nespresso total]]/SUMIF(Allocation!C:C,Delivery[Delivery ID],Allocation!H:H))/Delivery[[#This Row],[Exchange rate VS USD]]</f>
        <v>8.1588941669876327</v>
      </c>
      <c r="AI332" s="171">
        <f>(Delivery[[#This Row],[AAA Premium (total)]]/SUMIF(Allocation!C:C,Delivery[Delivery ID],Allocation!H:H))/Delivery[[#This Row],[Exchange rate VS USD]]</f>
        <v>0.48064021911242361</v>
      </c>
      <c r="AJ332" s="171">
        <f>Delivery[[#This Row],[Valor Prêmio Nespresso AAA por Kg (em US$)]]*60</f>
        <v>28.838413146745417</v>
      </c>
      <c r="AK332" s="171">
        <f>Delivery[[#This Row],[Valor Prêmio Nespresso AAA por saca (em US$)]]/1.3228/100</f>
        <v>0.218010380607389</v>
      </c>
      <c r="AL332" s="171">
        <f>(Delivery[[#This Row],[BEN premium (total)]]/SUMIF(Allocation!C:C,Delivery[Delivery ID],Allocation!H:H))/Delivery[[#This Row],[Exchange rate for premiums VS USD]]</f>
        <v>0.16395243359999997</v>
      </c>
      <c r="AM332" s="171">
        <f>Delivery[[#This Row],[Valor Prêmio Nespresso BEN por Kg (em US$)]]*60</f>
        <v>9.8371460159999984</v>
      </c>
      <c r="AN332" s="171">
        <f>Delivery[[#This Row],[Valor Prêmio Nespresso BEN por saca (em US$)]]/1.3228/100</f>
        <v>7.4366087208950701E-2</v>
      </c>
      <c r="AO332" s="171">
        <f>SUMIF(Allocation[Delivery ID],Delivery[[#This Row],[Delivery ID]],Allocation[Quantity allocated])*16*1.3228*Delivery[[#This Row],[Exchange rate VS USD]]/60</f>
        <v>6868.8594666666659</v>
      </c>
      <c r="AP332" s="171">
        <f>Delivery[[#This Row],[AAA Premium (total)]]</f>
        <v>9359.2666666666682</v>
      </c>
      <c r="AQ332" s="171">
        <f>Delivery[[#This Row],[Valor pago pelo Cluster]]-Delivery[[#This Row],[Valor efetivamente pago pela Nespresso]]</f>
        <v>2490.4072000000024</v>
      </c>
    </row>
    <row r="333" spans="1:43" ht="15.75">
      <c r="A333" s="174" t="s">
        <v>69</v>
      </c>
      <c r="B333" s="232" t="s">
        <v>68</v>
      </c>
      <c r="C333" s="157">
        <v>1</v>
      </c>
      <c r="D333" s="157" t="s">
        <v>468</v>
      </c>
      <c r="E333" s="177" t="s">
        <v>468</v>
      </c>
      <c r="F333" s="240" t="s">
        <v>543</v>
      </c>
      <c r="G333" s="234">
        <v>43493</v>
      </c>
      <c r="H333" s="157" t="s">
        <v>2157</v>
      </c>
      <c r="I333" s="236" t="s">
        <v>672</v>
      </c>
      <c r="J333" s="237">
        <v>19870</v>
      </c>
      <c r="K333" s="175" t="s">
        <v>61</v>
      </c>
      <c r="L333" s="175" t="s">
        <v>439</v>
      </c>
      <c r="M333" s="175" t="s">
        <v>1343</v>
      </c>
      <c r="N333" s="180"/>
      <c r="O333" s="177"/>
      <c r="P333" s="181">
        <v>0</v>
      </c>
      <c r="Q333" s="177">
        <v>43430</v>
      </c>
      <c r="R333" s="178">
        <v>428.979175</v>
      </c>
      <c r="S333" s="179">
        <v>153244.06333333332</v>
      </c>
      <c r="T333" s="182" t="s">
        <v>45</v>
      </c>
      <c r="U333" s="183">
        <v>3.8944999999999999</v>
      </c>
      <c r="V333" s="179">
        <v>9027.6033333333344</v>
      </c>
      <c r="W333" s="179">
        <v>3079.4292221501992</v>
      </c>
      <c r="X333" s="186" t="s">
        <v>45</v>
      </c>
      <c r="Y333" s="183">
        <v>3.8944999999999999</v>
      </c>
      <c r="Z333" s="220" t="s">
        <v>473</v>
      </c>
      <c r="AA333" s="172">
        <f>Delivery[[#This Row],[Quantity delivered]]*VLOOKUP(Delivery[[#This Row],[Unit]],Tab_Conversão[],4,FALSE)*VLOOKUP(CONCATENATE(Delivery[[#This Row],[Coffee specie]],Delivery[[#This Row],[Coffee state]]),Tab_Conversão[],4,FALSE)</f>
        <v>19870</v>
      </c>
      <c r="AB333" s="169">
        <f>SUMIF(Allocation!C:C,Delivery[[#This Row],[Delivery ID]],Allocation!D:D)/Delivery[[#This Row],[Quantity delivered]]</f>
        <v>0.55918470055359837</v>
      </c>
      <c r="AC333" s="170">
        <f>Delivery[[#This Row],[Quantity delivered]]*Delivery[[#This Row],[Base price (Unidad)]]/60</f>
        <v>142063.60345416664</v>
      </c>
      <c r="AD333" s="171">
        <f>Delivery[[#This Row],[Nespresso total]]-Delivery[[#This Row],[Qt. Delivery * Base Price]]</f>
        <v>11180.459879166679</v>
      </c>
      <c r="AE333" s="171">
        <f>Delivery[[#This Row],[AAA Premium (total)]]/Delivery[[#This Row],[Quantity delivered]]*60/Delivery[[#This Row],[Exchange rate VS USD]]</f>
        <v>6.9996148414430612</v>
      </c>
      <c r="AF333" s="171">
        <f>Delivery[[#This Row],[BEN premium (total)]]/Delivery[[#This Row],[Quantity delivered]]*60/Delivery[[#This Row],[Exchange rate for premiums VS USD]]</f>
        <v>2.3876567999999994</v>
      </c>
      <c r="AG333" s="171">
        <f>COUNTIF(Delivery[Delivery ID],Delivery[[#This Row],[Delivery ID]])</f>
        <v>1</v>
      </c>
      <c r="AH333" s="171">
        <f>(Delivery[[#This Row],[Nespresso total]]/SUMIF(Allocation!C:C,Delivery[Delivery ID],Allocation!H:H))/Delivery[[#This Row],[Exchange rate VS USD]]</f>
        <v>9.837210382162878</v>
      </c>
      <c r="AI333" s="171">
        <f>(Delivery[[#This Row],[AAA Premium (total)]]/SUMIF(Allocation!C:C,Delivery[Delivery ID],Allocation!H:H))/Delivery[[#This Row],[Exchange rate VS USD]]</f>
        <v>0.57950977874780685</v>
      </c>
      <c r="AJ333" s="171">
        <f>Delivery[[#This Row],[Valor Prêmio Nespresso AAA por Kg (em US$)]]*60</f>
        <v>34.770586724868409</v>
      </c>
      <c r="AK333" s="171">
        <f>Delivery[[#This Row],[Valor Prêmio Nespresso AAA por saca (em US$)]]/1.3228/100</f>
        <v>0.26285596254058369</v>
      </c>
      <c r="AL333" s="171">
        <f>(Delivery[[#This Row],[BEN premium (total)]]/SUMIF(Allocation!C:C,Delivery[Delivery ID],Allocation!H:H))/Delivery[[#This Row],[Exchange rate for premiums VS USD]]</f>
        <v>0.19767808589999997</v>
      </c>
      <c r="AM333" s="171">
        <f>Delivery[[#This Row],[Valor Prêmio Nespresso BEN por Kg (em US$)]]*60</f>
        <v>11.860685153999999</v>
      </c>
      <c r="AN333" s="171">
        <f>Delivery[[#This Row],[Valor Prêmio Nespresso BEN por saca (em US$)]]/1.3228/100</f>
        <v>8.9663480148170549E-2</v>
      </c>
      <c r="AO333" s="171">
        <f>SUMIF(Allocation[Delivery ID],Delivery[[#This Row],[Delivery ID]],Allocation[Quantity allocated])*16*1.3228*Delivery[[#This Row],[Exchange rate VS USD]]/60</f>
        <v>5495.0875733333332</v>
      </c>
      <c r="AP333" s="171">
        <f>Delivery[[#This Row],[AAA Premium (total)]]</f>
        <v>9027.6033333333344</v>
      </c>
      <c r="AQ333" s="171">
        <f>Delivery[[#This Row],[Valor pago pelo Cluster]]-Delivery[[#This Row],[Valor efetivamente pago pela Nespresso]]</f>
        <v>3532.5157600000011</v>
      </c>
    </row>
    <row r="334" spans="1:43" ht="15.75">
      <c r="A334" s="174" t="s">
        <v>69</v>
      </c>
      <c r="B334" s="232" t="s">
        <v>68</v>
      </c>
      <c r="C334" s="157">
        <v>1</v>
      </c>
      <c r="D334" s="157" t="s">
        <v>468</v>
      </c>
      <c r="E334" s="177" t="s">
        <v>468</v>
      </c>
      <c r="F334" s="240" t="s">
        <v>543</v>
      </c>
      <c r="G334" s="234">
        <v>43493</v>
      </c>
      <c r="H334" s="157" t="s">
        <v>2158</v>
      </c>
      <c r="I334" s="236" t="s">
        <v>672</v>
      </c>
      <c r="J334" s="237">
        <v>21650</v>
      </c>
      <c r="K334" s="175" t="s">
        <v>61</v>
      </c>
      <c r="L334" s="175" t="s">
        <v>439</v>
      </c>
      <c r="M334" s="175" t="s">
        <v>1343</v>
      </c>
      <c r="N334" s="180"/>
      <c r="O334" s="177"/>
      <c r="P334" s="181">
        <v>0</v>
      </c>
      <c r="Q334" s="177">
        <v>43430</v>
      </c>
      <c r="R334" s="178">
        <v>428.979175</v>
      </c>
      <c r="S334" s="179">
        <v>166972.01666666666</v>
      </c>
      <c r="T334" s="182" t="s">
        <v>45</v>
      </c>
      <c r="U334" s="183">
        <v>3.8944999999999999</v>
      </c>
      <c r="V334" s="179">
        <v>9836.3166666666675</v>
      </c>
      <c r="W334" s="179">
        <v>3355.2915279089993</v>
      </c>
      <c r="X334" s="186" t="s">
        <v>45</v>
      </c>
      <c r="Y334" s="183">
        <v>3.8944999999999999</v>
      </c>
      <c r="Z334" s="220" t="s">
        <v>473</v>
      </c>
      <c r="AA334" s="172">
        <f>Delivery[[#This Row],[Quantity delivered]]*VLOOKUP(Delivery[[#This Row],[Unit]],Tab_Conversão[],4,FALSE)*VLOOKUP(CONCATENATE(Delivery[[#This Row],[Coffee specie]],Delivery[[#This Row],[Coffee state]]),Tab_Conversão[],4,FALSE)</f>
        <v>21650</v>
      </c>
      <c r="AB334" s="169">
        <f>SUMIF(Allocation!C:C,Delivery[[#This Row],[Delivery ID]],Allocation!D:D)/Delivery[[#This Row],[Quantity delivered]]</f>
        <v>0.64152424942263275</v>
      </c>
      <c r="AC334" s="170">
        <f>Delivery[[#This Row],[Quantity delivered]]*Delivery[[#This Row],[Base price (Unidad)]]/60</f>
        <v>154789.98564583334</v>
      </c>
      <c r="AD334" s="171">
        <f>Delivery[[#This Row],[Nespresso total]]-Delivery[[#This Row],[Qt. Delivery * Base Price]]</f>
        <v>12182.031020833325</v>
      </c>
      <c r="AE334" s="171">
        <f>Delivery[[#This Row],[AAA Premium (total)]]/Delivery[[#This Row],[Quantity delivered]]*60/Delivery[[#This Row],[Exchange rate VS USD]]</f>
        <v>6.9996148414430612</v>
      </c>
      <c r="AF334" s="171">
        <f>Delivery[[#This Row],[BEN premium (total)]]/Delivery[[#This Row],[Quantity delivered]]*60/Delivery[[#This Row],[Exchange rate for premiums VS USD]]</f>
        <v>2.3876567999999994</v>
      </c>
      <c r="AG334" s="171">
        <f>COUNTIF(Delivery[Delivery ID],Delivery[[#This Row],[Delivery ID]])</f>
        <v>1</v>
      </c>
      <c r="AH334" s="171">
        <f>(Delivery[[#This Row],[Nespresso total]]/SUMIF(Allocation!C:C,Delivery[Delivery ID],Allocation!H:H))/Delivery[[#This Row],[Exchange rate VS USD]]</f>
        <v>8.5747601318098159</v>
      </c>
      <c r="AI334" s="171">
        <f>(Delivery[[#This Row],[AAA Premium (total)]]/SUMIF(Allocation!C:C,Delivery[Delivery ID],Allocation!H:H))/Delivery[[#This Row],[Exchange rate VS USD]]</f>
        <v>0.50513887105747435</v>
      </c>
      <c r="AJ334" s="171">
        <f>Delivery[[#This Row],[Valor Prêmio Nespresso AAA por Kg (em US$)]]*60</f>
        <v>30.30833226344846</v>
      </c>
      <c r="AK334" s="171">
        <f>Delivery[[#This Row],[Valor Prêmio Nespresso AAA por saca (em US$)]]/1.3228/100</f>
        <v>0.22912256020145494</v>
      </c>
      <c r="AL334" s="171">
        <f>(Delivery[[#This Row],[BEN premium (total)]]/SUMIF(Allocation!C:C,Delivery[Delivery ID],Allocation!H:H))/Delivery[[#This Row],[Exchange rate for premiums VS USD]]</f>
        <v>0.17230923239999998</v>
      </c>
      <c r="AM334" s="171">
        <f>Delivery[[#This Row],[Valor Prêmio Nespresso BEN por Kg (em US$)]]*60</f>
        <v>10.338553943999999</v>
      </c>
      <c r="AN334" s="171">
        <f>Delivery[[#This Row],[Valor Prêmio Nespresso BEN por saca (em US$)]]/1.3228/100</f>
        <v>7.8156591654067131E-2</v>
      </c>
      <c r="AO334" s="171">
        <f>SUMIF(Allocation[Delivery ID],Delivery[[#This Row],[Delivery ID]],Allocation[Quantity allocated])*16*1.3228*Delivery[[#This Row],[Exchange rate VS USD]]/60</f>
        <v>6868.8594666666659</v>
      </c>
      <c r="AP334" s="171">
        <f>Delivery[[#This Row],[AAA Premium (total)]]</f>
        <v>9836.3166666666675</v>
      </c>
      <c r="AQ334" s="171">
        <f>Delivery[[#This Row],[Valor pago pelo Cluster]]-Delivery[[#This Row],[Valor efetivamente pago pela Nespresso]]</f>
        <v>2967.4572000000016</v>
      </c>
    </row>
    <row r="335" spans="1:43" ht="15.75">
      <c r="A335" s="174" t="s">
        <v>69</v>
      </c>
      <c r="B335" s="232" t="s">
        <v>68</v>
      </c>
      <c r="C335" s="157">
        <v>1</v>
      </c>
      <c r="D335" s="157" t="s">
        <v>468</v>
      </c>
      <c r="E335" s="177" t="s">
        <v>468</v>
      </c>
      <c r="F335" s="240" t="s">
        <v>543</v>
      </c>
      <c r="G335" s="234">
        <v>43493</v>
      </c>
      <c r="H335" s="157" t="s">
        <v>2159</v>
      </c>
      <c r="I335" s="236" t="s">
        <v>672</v>
      </c>
      <c r="J335" s="237">
        <v>20390</v>
      </c>
      <c r="K335" s="175" t="s">
        <v>61</v>
      </c>
      <c r="L335" s="175" t="s">
        <v>439</v>
      </c>
      <c r="M335" s="175" t="s">
        <v>1343</v>
      </c>
      <c r="N335" s="180"/>
      <c r="O335" s="177"/>
      <c r="P335" s="181">
        <v>0</v>
      </c>
      <c r="Q335" s="177">
        <v>43430</v>
      </c>
      <c r="R335" s="178">
        <v>428.979175</v>
      </c>
      <c r="S335" s="179">
        <v>157254.47666666668</v>
      </c>
      <c r="T335" s="182" t="s">
        <v>45</v>
      </c>
      <c r="U335" s="183">
        <v>3.8944999999999999</v>
      </c>
      <c r="V335" s="179">
        <v>9263.8566666666666</v>
      </c>
      <c r="W335" s="179">
        <v>3160.0182103493994</v>
      </c>
      <c r="X335" s="186" t="s">
        <v>45</v>
      </c>
      <c r="Y335" s="183">
        <v>3.8944999999999999</v>
      </c>
      <c r="Z335" s="220" t="s">
        <v>473</v>
      </c>
      <c r="AA335" s="172">
        <f>Delivery[[#This Row],[Quantity delivered]]*VLOOKUP(Delivery[[#This Row],[Unit]],Tab_Conversão[],4,FALSE)*VLOOKUP(CONCATENATE(Delivery[[#This Row],[Coffee specie]],Delivery[[#This Row],[Coffee state]]),Tab_Conversão[],4,FALSE)</f>
        <v>20390</v>
      </c>
      <c r="AB335" s="169">
        <f>SUMIF(Allocation!C:C,Delivery[[#This Row],[Delivery ID]],Allocation!D:D)/Delivery[[#This Row],[Quantity delivered]]</f>
        <v>0.68116723884256991</v>
      </c>
      <c r="AC335" s="170">
        <f>Delivery[[#This Row],[Quantity delivered]]*Delivery[[#This Row],[Base price (Unidad)]]/60</f>
        <v>145781.42297083332</v>
      </c>
      <c r="AD335" s="171">
        <f>Delivery[[#This Row],[Nespresso total]]-Delivery[[#This Row],[Qt. Delivery * Base Price]]</f>
        <v>11473.053695833369</v>
      </c>
      <c r="AE335" s="171">
        <f>Delivery[[#This Row],[AAA Premium (total)]]/Delivery[[#This Row],[Quantity delivered]]*60/Delivery[[#This Row],[Exchange rate VS USD]]</f>
        <v>6.9996148414430603</v>
      </c>
      <c r="AF335" s="171">
        <f>Delivery[[#This Row],[BEN premium (total)]]/Delivery[[#This Row],[Quantity delivered]]*60/Delivery[[#This Row],[Exchange rate for premiums VS USD]]</f>
        <v>2.3876567999999994</v>
      </c>
      <c r="AG335" s="171">
        <f>COUNTIF(Delivery[Delivery ID],Delivery[[#This Row],[Delivery ID]])</f>
        <v>1</v>
      </c>
      <c r="AH335" s="171">
        <f>(Delivery[[#This Row],[Nespresso total]]/SUMIF(Allocation!C:C,Delivery[Delivery ID],Allocation!H:H))/Delivery[[#This Row],[Exchange rate VS USD]]</f>
        <v>8.0757209740231968</v>
      </c>
      <c r="AI335" s="171">
        <f>(Delivery[[#This Row],[AAA Premium (total)]]/SUMIF(Allocation!C:C,Delivery[Delivery ID],Allocation!H:H))/Delivery[[#This Row],[Exchange rate VS USD]]</f>
        <v>0.4757404887234134</v>
      </c>
      <c r="AJ335" s="171">
        <f>Delivery[[#This Row],[Valor Prêmio Nespresso AAA por Kg (em US$)]]*60</f>
        <v>28.544429323404803</v>
      </c>
      <c r="AK335" s="171">
        <f>Delivery[[#This Row],[Valor Prêmio Nespresso AAA por saca (em US$)]]/1.3228/100</f>
        <v>0.21578794468857576</v>
      </c>
      <c r="AL335" s="171">
        <f>(Delivery[[#This Row],[BEN premium (total)]]/SUMIF(Allocation!C:C,Delivery[Delivery ID],Allocation!H:H))/Delivery[[#This Row],[Exchange rate for premiums VS USD]]</f>
        <v>0.16228107383999998</v>
      </c>
      <c r="AM335" s="171">
        <f>Delivery[[#This Row],[Valor Prêmio Nespresso BEN por Kg (em US$)]]*60</f>
        <v>9.7368644303999989</v>
      </c>
      <c r="AN335" s="171">
        <f>Delivery[[#This Row],[Valor Prêmio Nespresso BEN por saca (em US$)]]/1.3228/100</f>
        <v>7.3607986319927418E-2</v>
      </c>
      <c r="AO335" s="171">
        <f>SUMIF(Allocation[Delivery ID],Delivery[[#This Row],[Delivery ID]],Allocation[Quantity allocated])*16*1.3228*Delivery[[#This Row],[Exchange rate VS USD]]/60</f>
        <v>6868.8594666666659</v>
      </c>
      <c r="AP335" s="171">
        <f>Delivery[[#This Row],[AAA Premium (total)]]</f>
        <v>9263.8566666666666</v>
      </c>
      <c r="AQ335" s="171">
        <f>Delivery[[#This Row],[Valor pago pelo Cluster]]-Delivery[[#This Row],[Valor efetivamente pago pela Nespresso]]</f>
        <v>2394.9972000000007</v>
      </c>
    </row>
    <row r="336" spans="1:43" ht="15.75">
      <c r="A336" s="174" t="s">
        <v>69</v>
      </c>
      <c r="B336" s="232" t="s">
        <v>68</v>
      </c>
      <c r="C336" s="157">
        <v>1</v>
      </c>
      <c r="D336" s="157" t="s">
        <v>468</v>
      </c>
      <c r="E336" s="177" t="s">
        <v>468</v>
      </c>
      <c r="F336" s="240" t="s">
        <v>543</v>
      </c>
      <c r="G336" s="234">
        <v>43493</v>
      </c>
      <c r="H336" s="157" t="s">
        <v>2160</v>
      </c>
      <c r="I336" s="236" t="s">
        <v>672</v>
      </c>
      <c r="J336" s="237">
        <v>13640</v>
      </c>
      <c r="K336" s="175" t="s">
        <v>61</v>
      </c>
      <c r="L336" s="175" t="s">
        <v>439</v>
      </c>
      <c r="M336" s="175" t="s">
        <v>1343</v>
      </c>
      <c r="N336" s="180"/>
      <c r="O336" s="177"/>
      <c r="P336" s="181">
        <v>0</v>
      </c>
      <c r="Q336" s="177">
        <v>43430</v>
      </c>
      <c r="R336" s="178">
        <v>428.979175</v>
      </c>
      <c r="S336" s="179">
        <v>105196.22666666667</v>
      </c>
      <c r="T336" s="182" t="s">
        <v>45</v>
      </c>
      <c r="U336" s="183">
        <v>3.8944999999999999</v>
      </c>
      <c r="V336" s="179">
        <v>6197.1066666666675</v>
      </c>
      <c r="W336" s="179">
        <v>2113.9111519943995</v>
      </c>
      <c r="X336" s="186" t="s">
        <v>45</v>
      </c>
      <c r="Y336" s="183">
        <v>3.8944999999999999</v>
      </c>
      <c r="Z336" s="220" t="s">
        <v>473</v>
      </c>
      <c r="AA336" s="172">
        <f>Delivery[[#This Row],[Quantity delivered]]*VLOOKUP(Delivery[[#This Row],[Unit]],Tab_Conversão[],4,FALSE)*VLOOKUP(CONCATENATE(Delivery[[#This Row],[Coffee specie]],Delivery[[#This Row],[Coffee state]]),Tab_Conversão[],4,FALSE)</f>
        <v>13640</v>
      </c>
      <c r="AB336" s="169">
        <f>SUMIF(Allocation!C:C,Delivery[[#This Row],[Delivery ID]],Allocation!D:D)/Delivery[[#This Row],[Quantity delivered]]</f>
        <v>0.30549853372434016</v>
      </c>
      <c r="AC336" s="170">
        <f>Delivery[[#This Row],[Quantity delivered]]*Delivery[[#This Row],[Base price (Unidad)]]/60</f>
        <v>97521.265783333321</v>
      </c>
      <c r="AD336" s="171">
        <f>Delivery[[#This Row],[Nespresso total]]-Delivery[[#This Row],[Qt. Delivery * Base Price]]</f>
        <v>7674.9608833333477</v>
      </c>
      <c r="AE336" s="171">
        <f>Delivery[[#This Row],[AAA Premium (total)]]/Delivery[[#This Row],[Quantity delivered]]*60/Delivery[[#This Row],[Exchange rate VS USD]]</f>
        <v>6.9996148414430612</v>
      </c>
      <c r="AF336" s="171">
        <f>Delivery[[#This Row],[BEN premium (total)]]/Delivery[[#This Row],[Quantity delivered]]*60/Delivery[[#This Row],[Exchange rate for premiums VS USD]]</f>
        <v>2.3876567999999994</v>
      </c>
      <c r="AG336" s="171">
        <f>COUNTIF(Delivery[Delivery ID],Delivery[[#This Row],[Delivery ID]])</f>
        <v>1</v>
      </c>
      <c r="AH336" s="171">
        <f>(Delivery[[#This Row],[Nespresso total]]/SUMIF(Allocation!C:C,Delivery[Delivery ID],Allocation!H:H))/Delivery[[#This Row],[Exchange rate VS USD]]</f>
        <v>18.007656381506685</v>
      </c>
      <c r="AI336" s="171">
        <f>(Delivery[[#This Row],[AAA Premium (total)]]/SUMIF(Allocation!C:C,Delivery[Delivery ID],Allocation!H:H))/Delivery[[#This Row],[Exchange rate VS USD]]</f>
        <v>1.060830515969815</v>
      </c>
      <c r="AJ336" s="171">
        <f>Delivery[[#This Row],[Valor Prêmio Nespresso AAA por Kg (em US$)]]*60</f>
        <v>63.6498309581889</v>
      </c>
      <c r="AK336" s="171">
        <f>Delivery[[#This Row],[Valor Prêmio Nespresso AAA por saca (em US$)]]/1.3228/100</f>
        <v>0.48117501480336328</v>
      </c>
      <c r="AL336" s="171">
        <f>(Delivery[[#This Row],[BEN premium (total)]]/SUMIF(Allocation!C:C,Delivery[Delivery ID],Allocation!H:H))/Delivery[[#This Row],[Exchange rate for premiums VS USD]]</f>
        <v>0.36186265279999996</v>
      </c>
      <c r="AM336" s="171">
        <f>Delivery[[#This Row],[Valor Prêmio Nespresso BEN por Kg (em US$)]]*60</f>
        <v>21.711759167999997</v>
      </c>
      <c r="AN336" s="171">
        <f>Delivery[[#This Row],[Valor Prêmio Nespresso BEN por saca (em US$)]]/1.3228/100</f>
        <v>0.16413485914726336</v>
      </c>
      <c r="AO336" s="171">
        <f>SUMIF(Allocation[Delivery ID],Delivery[[#This Row],[Delivery ID]],Allocation[Quantity allocated])*16*1.3228*Delivery[[#This Row],[Exchange rate VS USD]]/60</f>
        <v>2060.6578399999999</v>
      </c>
      <c r="AP336" s="171">
        <f>Delivery[[#This Row],[AAA Premium (total)]]</f>
        <v>6197.1066666666675</v>
      </c>
      <c r="AQ336" s="171">
        <f>Delivery[[#This Row],[Valor pago pelo Cluster]]-Delivery[[#This Row],[Valor efetivamente pago pela Nespresso]]</f>
        <v>4136.4488266666676</v>
      </c>
    </row>
    <row r="337" spans="1:43" ht="15.75">
      <c r="A337" s="174" t="s">
        <v>69</v>
      </c>
      <c r="B337" s="232" t="s">
        <v>68</v>
      </c>
      <c r="C337" s="157">
        <v>1</v>
      </c>
      <c r="D337" s="157" t="s">
        <v>468</v>
      </c>
      <c r="E337" s="177" t="s">
        <v>468</v>
      </c>
      <c r="F337" s="240" t="s">
        <v>543</v>
      </c>
      <c r="G337" s="234">
        <v>43493</v>
      </c>
      <c r="H337" s="157" t="s">
        <v>2161</v>
      </c>
      <c r="I337" s="236" t="s">
        <v>672</v>
      </c>
      <c r="J337" s="237">
        <v>20130</v>
      </c>
      <c r="K337" s="175" t="s">
        <v>61</v>
      </c>
      <c r="L337" s="175" t="s">
        <v>439</v>
      </c>
      <c r="M337" s="175" t="s">
        <v>1343</v>
      </c>
      <c r="N337" s="180"/>
      <c r="O337" s="177"/>
      <c r="P337" s="181">
        <v>0</v>
      </c>
      <c r="Q337" s="177">
        <v>43430</v>
      </c>
      <c r="R337" s="178">
        <v>428.979175</v>
      </c>
      <c r="S337" s="179">
        <v>155249.26999999999</v>
      </c>
      <c r="T337" s="182" t="s">
        <v>45</v>
      </c>
      <c r="U337" s="183">
        <v>3.8944999999999999</v>
      </c>
      <c r="V337" s="179">
        <v>9145.7300000000014</v>
      </c>
      <c r="W337" s="179">
        <v>3119.7237162497995</v>
      </c>
      <c r="X337" s="186" t="s">
        <v>45</v>
      </c>
      <c r="Y337" s="183">
        <v>3.8944999999999999</v>
      </c>
      <c r="Z337" s="220" t="s">
        <v>473</v>
      </c>
      <c r="AA337" s="172">
        <f>Delivery[[#This Row],[Quantity delivered]]*VLOOKUP(Delivery[[#This Row],[Unit]],Tab_Conversão[],4,FALSE)*VLOOKUP(CONCATENATE(Delivery[[#This Row],[Coffee specie]],Delivery[[#This Row],[Coffee state]]),Tab_Conversão[],4,FALSE)</f>
        <v>20130</v>
      </c>
      <c r="AB337" s="169">
        <f>SUMIF(Allocation!C:C,Delivery[[#This Row],[Delivery ID]],Allocation!D:D)/Delivery[[#This Row],[Quantity delivered]]</f>
        <v>0.68996522603079979</v>
      </c>
      <c r="AC337" s="170">
        <f>Delivery[[#This Row],[Quantity delivered]]*Delivery[[#This Row],[Base price (Unidad)]]/60</f>
        <v>143922.51321249999</v>
      </c>
      <c r="AD337" s="171">
        <f>Delivery[[#This Row],[Nespresso total]]-Delivery[[#This Row],[Qt. Delivery * Base Price]]</f>
        <v>11326.756787499995</v>
      </c>
      <c r="AE337" s="171">
        <f>Delivery[[#This Row],[AAA Premium (total)]]/Delivery[[#This Row],[Quantity delivered]]*60/Delivery[[#This Row],[Exchange rate VS USD]]</f>
        <v>6.9996148414430621</v>
      </c>
      <c r="AF337" s="171">
        <f>Delivery[[#This Row],[BEN premium (total)]]/Delivery[[#This Row],[Quantity delivered]]*60/Delivery[[#This Row],[Exchange rate for premiums VS USD]]</f>
        <v>2.3876567999999994</v>
      </c>
      <c r="AG337" s="171">
        <f>COUNTIF(Delivery[Delivery ID],Delivery[[#This Row],[Delivery ID]])</f>
        <v>1</v>
      </c>
      <c r="AH337" s="171">
        <f>(Delivery[[#This Row],[Nespresso total]]/SUMIF(Allocation!C:C,Delivery[Delivery ID],Allocation!H:H))/Delivery[[#This Row],[Exchange rate VS USD]]</f>
        <v>7.9727446398767485</v>
      </c>
      <c r="AI337" s="171">
        <f>(Delivery[[#This Row],[AAA Premium (total)]]/SUMIF(Allocation!C:C,Delivery[Delivery ID],Allocation!H:H))/Delivery[[#This Row],[Exchange rate VS USD]]</f>
        <v>0.4696741558608295</v>
      </c>
      <c r="AJ337" s="171">
        <f>Delivery[[#This Row],[Valor Prêmio Nespresso AAA por Kg (em US$)]]*60</f>
        <v>28.18044935164977</v>
      </c>
      <c r="AK337" s="171">
        <f>Delivery[[#This Row],[Valor Prêmio Nespresso AAA por saca (em US$)]]/1.3228/100</f>
        <v>0.2130363573605214</v>
      </c>
      <c r="AL337" s="171">
        <f>(Delivery[[#This Row],[BEN premium (total)]]/SUMIF(Allocation!C:C,Delivery[Delivery ID],Allocation!H:H))/Delivery[[#This Row],[Exchange rate for premiums VS USD]]</f>
        <v>0.16021177127999997</v>
      </c>
      <c r="AM337" s="171">
        <f>Delivery[[#This Row],[Valor Prêmio Nespresso BEN por Kg (em US$)]]*60</f>
        <v>9.6127062767999973</v>
      </c>
      <c r="AN337" s="171">
        <f>Delivery[[#This Row],[Valor Prêmio Nespresso BEN por saca (em US$)]]/1.3228/100</f>
        <v>7.2669385219231913E-2</v>
      </c>
      <c r="AO337" s="171">
        <f>SUMIF(Allocation[Delivery ID],Delivery[[#This Row],[Delivery ID]],Allocation[Quantity allocated])*16*1.3228*Delivery[[#This Row],[Exchange rate VS USD]]/60</f>
        <v>6868.8594666666659</v>
      </c>
      <c r="AP337" s="171">
        <f>Delivery[[#This Row],[AAA Premium (total)]]</f>
        <v>9145.7300000000014</v>
      </c>
      <c r="AQ337" s="171">
        <f>Delivery[[#This Row],[Valor pago pelo Cluster]]-Delivery[[#This Row],[Valor efetivamente pago pela Nespresso]]</f>
        <v>2276.8705333333355</v>
      </c>
    </row>
    <row r="338" spans="1:43" ht="15.75">
      <c r="A338" s="174" t="s">
        <v>69</v>
      </c>
      <c r="B338" s="232" t="s">
        <v>68</v>
      </c>
      <c r="C338" s="157">
        <v>1</v>
      </c>
      <c r="D338" s="157" t="s">
        <v>468</v>
      </c>
      <c r="E338" s="177" t="s">
        <v>468</v>
      </c>
      <c r="F338" s="240" t="s">
        <v>543</v>
      </c>
      <c r="G338" s="234">
        <v>43493</v>
      </c>
      <c r="H338" s="157" t="s">
        <v>2162</v>
      </c>
      <c r="I338" s="236" t="s">
        <v>672</v>
      </c>
      <c r="J338" s="237">
        <v>19170</v>
      </c>
      <c r="K338" s="175" t="s">
        <v>61</v>
      </c>
      <c r="L338" s="175" t="s">
        <v>439</v>
      </c>
      <c r="M338" s="175" t="s">
        <v>1343</v>
      </c>
      <c r="N338" s="180" t="s">
        <v>483</v>
      </c>
      <c r="O338" s="177"/>
      <c r="P338" s="181">
        <v>0</v>
      </c>
      <c r="Q338" s="177">
        <v>43430</v>
      </c>
      <c r="R338" s="178">
        <v>428.979175</v>
      </c>
      <c r="S338" s="179">
        <v>147845.43</v>
      </c>
      <c r="T338" s="182" t="s">
        <v>45</v>
      </c>
      <c r="U338" s="183">
        <v>3.8944999999999999</v>
      </c>
      <c r="V338" s="179">
        <v>8709.5700000000015</v>
      </c>
      <c r="W338" s="179">
        <v>2970.9440457281994</v>
      </c>
      <c r="X338" s="186" t="s">
        <v>45</v>
      </c>
      <c r="Y338" s="183">
        <v>3.8944999999999999</v>
      </c>
      <c r="Z338" s="220" t="s">
        <v>473</v>
      </c>
      <c r="AA338" s="172">
        <f>Delivery[[#This Row],[Quantity delivered]]*VLOOKUP(Delivery[[#This Row],[Unit]],Tab_Conversão[],4,FALSE)*VLOOKUP(CONCATENATE(Delivery[[#This Row],[Coffee specie]],Delivery[[#This Row],[Coffee state]]),Tab_Conversão[],4,FALSE)</f>
        <v>19170</v>
      </c>
      <c r="AB338" s="169">
        <f>SUMIF(Allocation!C:C,Delivery[[#This Row],[Delivery ID]],Allocation!D:D)/Delivery[[#This Row],[Quantity delivered]]</f>
        <v>0.72451747522170062</v>
      </c>
      <c r="AC338" s="170">
        <f>Delivery[[#This Row],[Quantity delivered]]*Delivery[[#This Row],[Base price (Unidad)]]/60</f>
        <v>137058.84641249999</v>
      </c>
      <c r="AD338" s="171">
        <f>Delivery[[#This Row],[Nespresso total]]-Delivery[[#This Row],[Qt. Delivery * Base Price]]</f>
        <v>10786.583587500005</v>
      </c>
      <c r="AE338" s="171">
        <f>Delivery[[#This Row],[AAA Premium (total)]]/Delivery[[#This Row],[Quantity delivered]]*60/Delivery[[#This Row],[Exchange rate VS USD]]</f>
        <v>6.9996148414430621</v>
      </c>
      <c r="AF338" s="171">
        <f>Delivery[[#This Row],[BEN premium (total)]]/Delivery[[#This Row],[Quantity delivered]]*60/Delivery[[#This Row],[Exchange rate for premiums VS USD]]</f>
        <v>2.3876567999999994</v>
      </c>
      <c r="AG338" s="171">
        <f>COUNTIF(Delivery[Delivery ID],Delivery[[#This Row],[Delivery ID]])</f>
        <v>1</v>
      </c>
      <c r="AH338" s="171">
        <f>(Delivery[[#This Row],[Nespresso total]]/SUMIF(Allocation!C:C,Delivery[Delivery ID],Allocation!H:H))/Delivery[[#This Row],[Exchange rate VS USD]]</f>
        <v>7.5925243291821802</v>
      </c>
      <c r="AI338" s="171">
        <f>(Delivery[[#This Row],[AAA Premium (total)]]/SUMIF(Allocation!C:C,Delivery[Delivery ID],Allocation!H:H))/Delivery[[#This Row],[Exchange rate VS USD]]</f>
        <v>0.44727538836821168</v>
      </c>
      <c r="AJ338" s="171">
        <f>Delivery[[#This Row],[Valor Prêmio Nespresso AAA por Kg (em US$)]]*60</f>
        <v>26.836523302092701</v>
      </c>
      <c r="AK338" s="171">
        <f>Delivery[[#This Row],[Valor Prêmio Nespresso AAA por saca (em US$)]]/1.3228/100</f>
        <v>0.20287665030308968</v>
      </c>
      <c r="AL338" s="171">
        <f>(Delivery[[#This Row],[BEN premium (total)]]/SUMIF(Allocation!C:C,Delivery[Delivery ID],Allocation!H:H))/Delivery[[#This Row],[Exchange rate for premiums VS USD]]</f>
        <v>0.15257126951999997</v>
      </c>
      <c r="AM338" s="171">
        <f>Delivery[[#This Row],[Valor Prêmio Nespresso BEN por Kg (em US$)]]*60</f>
        <v>9.1542761711999976</v>
      </c>
      <c r="AN338" s="171">
        <f>Delivery[[#This Row],[Valor Prêmio Nespresso BEN por saca (em US$)]]/1.3228/100</f>
        <v>6.9203781155125474E-2</v>
      </c>
      <c r="AO338" s="171">
        <f>SUMIF(Allocation[Delivery ID],Delivery[[#This Row],[Delivery ID]],Allocation[Quantity allocated])*16*1.3228*Delivery[[#This Row],[Exchange rate VS USD]]/60</f>
        <v>6868.8594666666659</v>
      </c>
      <c r="AP338" s="171">
        <f>Delivery[[#This Row],[AAA Premium (total)]]</f>
        <v>8709.5700000000015</v>
      </c>
      <c r="AQ338" s="171">
        <f>Delivery[[#This Row],[Valor pago pelo Cluster]]-Delivery[[#This Row],[Valor efetivamente pago pela Nespresso]]</f>
        <v>1840.7105333333357</v>
      </c>
    </row>
    <row r="339" spans="1:43" ht="15.75">
      <c r="A339" s="174" t="s">
        <v>69</v>
      </c>
      <c r="B339" s="232" t="s">
        <v>68</v>
      </c>
      <c r="C339" s="157">
        <v>1</v>
      </c>
      <c r="D339" s="157" t="s">
        <v>468</v>
      </c>
      <c r="E339" s="177" t="s">
        <v>468</v>
      </c>
      <c r="F339" s="240" t="s">
        <v>543</v>
      </c>
      <c r="G339" s="234">
        <v>43493</v>
      </c>
      <c r="H339" s="157" t="s">
        <v>2163</v>
      </c>
      <c r="I339" s="236" t="s">
        <v>672</v>
      </c>
      <c r="J339" s="237">
        <v>17930</v>
      </c>
      <c r="K339" s="175" t="s">
        <v>61</v>
      </c>
      <c r="L339" s="175" t="s">
        <v>439</v>
      </c>
      <c r="M339" s="175" t="s">
        <v>1343</v>
      </c>
      <c r="N339" s="180"/>
      <c r="O339" s="177"/>
      <c r="P339" s="181">
        <v>0</v>
      </c>
      <c r="Q339" s="177">
        <v>43430</v>
      </c>
      <c r="R339" s="178">
        <v>428.979175</v>
      </c>
      <c r="S339" s="179">
        <v>138282.13666666666</v>
      </c>
      <c r="T339" s="182" t="s">
        <v>45</v>
      </c>
      <c r="U339" s="183">
        <v>3.8944999999999999</v>
      </c>
      <c r="V339" s="179">
        <v>8146.1966666666676</v>
      </c>
      <c r="W339" s="179">
        <v>2778.7703046377992</v>
      </c>
      <c r="X339" s="186" t="s">
        <v>45</v>
      </c>
      <c r="Y339" s="183">
        <v>3.8944999999999999</v>
      </c>
      <c r="Z339" s="220" t="s">
        <v>473</v>
      </c>
      <c r="AA339" s="172">
        <f>Delivery[[#This Row],[Quantity delivered]]*VLOOKUP(Delivery[[#This Row],[Unit]],Tab_Conversão[],4,FALSE)*VLOOKUP(CONCATENATE(Delivery[[#This Row],[Coffee specie]],Delivery[[#This Row],[Coffee state]]),Tab_Conversão[],4,FALSE)</f>
        <v>17930</v>
      </c>
      <c r="AB339" s="169">
        <f>SUMIF(Allocation!C:C,Delivery[[#This Row],[Delivery ID]],Allocation!D:D)/Delivery[[#This Row],[Quantity delivered]]</f>
        <v>0.77462353597322919</v>
      </c>
      <c r="AC339" s="170">
        <f>Delivery[[#This Row],[Quantity delivered]]*Delivery[[#This Row],[Base price (Unidad)]]/60</f>
        <v>128193.27679583333</v>
      </c>
      <c r="AD339" s="171">
        <f>Delivery[[#This Row],[Nespresso total]]-Delivery[[#This Row],[Qt. Delivery * Base Price]]</f>
        <v>10088.85987083333</v>
      </c>
      <c r="AE339" s="171">
        <f>Delivery[[#This Row],[AAA Premium (total)]]/Delivery[[#This Row],[Quantity delivered]]*60/Delivery[[#This Row],[Exchange rate VS USD]]</f>
        <v>6.9996148414430612</v>
      </c>
      <c r="AF339" s="171">
        <f>Delivery[[#This Row],[BEN premium (total)]]/Delivery[[#This Row],[Quantity delivered]]*60/Delivery[[#This Row],[Exchange rate for premiums VS USD]]</f>
        <v>2.3876567999999989</v>
      </c>
      <c r="AG339" s="171">
        <f>COUNTIF(Delivery[Delivery ID],Delivery[[#This Row],[Delivery ID]])</f>
        <v>1</v>
      </c>
      <c r="AH339" s="171">
        <f>(Delivery[[#This Row],[Nespresso total]]/SUMIF(Allocation!C:C,Delivery[Delivery ID],Allocation!H:H))/Delivery[[#This Row],[Exchange rate VS USD]]</f>
        <v>7.101406427868362</v>
      </c>
      <c r="AI339" s="171">
        <f>(Delivery[[#This Row],[AAA Premium (total)]]/SUMIF(Allocation!C:C,Delivery[Delivery ID],Allocation!H:H))/Delivery[[#This Row],[Exchange rate VS USD]]</f>
        <v>0.41834364702358035</v>
      </c>
      <c r="AJ339" s="171">
        <f>Delivery[[#This Row],[Valor Prêmio Nespresso AAA por Kg (em US$)]]*60</f>
        <v>25.10061882141482</v>
      </c>
      <c r="AK339" s="171">
        <f>Delivery[[#This Row],[Valor Prêmio Nespresso AAA por saca (em US$)]]/1.3228/100</f>
        <v>0.18975369535390701</v>
      </c>
      <c r="AL339" s="171">
        <f>(Delivery[[#This Row],[BEN premium (total)]]/SUMIF(Allocation!C:C,Delivery[Delivery ID],Allocation!H:H))/Delivery[[#This Row],[Exchange rate for premiums VS USD]]</f>
        <v>0.14270228807999996</v>
      </c>
      <c r="AM339" s="171">
        <f>Delivery[[#This Row],[Valor Prêmio Nespresso BEN por Kg (em US$)]]*60</f>
        <v>8.5621372847999986</v>
      </c>
      <c r="AN339" s="171">
        <f>Delivery[[#This Row],[Valor Prêmio Nespresso BEN por saca (em US$)]]/1.3228/100</f>
        <v>6.4727375905654666E-2</v>
      </c>
      <c r="AO339" s="171">
        <f>SUMIF(Allocation[Delivery ID],Delivery[[#This Row],[Delivery ID]],Allocation[Quantity allocated])*16*1.3228*Delivery[[#This Row],[Exchange rate VS USD]]/60</f>
        <v>6868.8594666666659</v>
      </c>
      <c r="AP339" s="171">
        <f>Delivery[[#This Row],[AAA Premium (total)]]</f>
        <v>8146.1966666666676</v>
      </c>
      <c r="AQ339" s="171">
        <f>Delivery[[#This Row],[Valor pago pelo Cluster]]-Delivery[[#This Row],[Valor efetivamente pago pela Nespresso]]</f>
        <v>1277.3372000000018</v>
      </c>
    </row>
    <row r="340" spans="1:43" ht="15.75">
      <c r="A340" s="174" t="s">
        <v>69</v>
      </c>
      <c r="B340" s="232" t="s">
        <v>68</v>
      </c>
      <c r="C340" s="157">
        <v>1</v>
      </c>
      <c r="D340" s="157" t="s">
        <v>468</v>
      </c>
      <c r="E340" s="177" t="s">
        <v>468</v>
      </c>
      <c r="F340" s="240" t="s">
        <v>543</v>
      </c>
      <c r="G340" s="234">
        <v>43493</v>
      </c>
      <c r="H340" s="157" t="s">
        <v>2164</v>
      </c>
      <c r="I340" s="236" t="s">
        <v>672</v>
      </c>
      <c r="J340" s="237">
        <v>5450</v>
      </c>
      <c r="K340" s="175" t="s">
        <v>61</v>
      </c>
      <c r="L340" s="175" t="s">
        <v>439</v>
      </c>
      <c r="M340" s="175" t="s">
        <v>1343</v>
      </c>
      <c r="N340" s="180"/>
      <c r="O340" s="177"/>
      <c r="P340" s="181">
        <v>0</v>
      </c>
      <c r="Q340" s="177">
        <v>43430</v>
      </c>
      <c r="R340" s="178">
        <v>428.979175</v>
      </c>
      <c r="S340" s="179">
        <v>42032.216666666667</v>
      </c>
      <c r="T340" s="182" t="s">
        <v>45</v>
      </c>
      <c r="U340" s="183">
        <v>3.8944999999999999</v>
      </c>
      <c r="V340" s="179">
        <v>2476.1166666666668</v>
      </c>
      <c r="W340" s="179">
        <v>844.63458785699981</v>
      </c>
      <c r="X340" s="186" t="s">
        <v>45</v>
      </c>
      <c r="Y340" s="183">
        <v>3.8944999999999999</v>
      </c>
      <c r="Z340" s="220" t="s">
        <v>473</v>
      </c>
      <c r="AA340" s="172">
        <f>Delivery[[#This Row],[Quantity delivered]]*VLOOKUP(Delivery[[#This Row],[Unit]],Tab_Conversão[],4,FALSE)*VLOOKUP(CONCATENATE(Delivery[[#This Row],[Coffee specie]],Delivery[[#This Row],[Coffee state]]),Tab_Conversão[],4,FALSE)</f>
        <v>5450</v>
      </c>
      <c r="AB340" s="169">
        <f>SUMIF(Allocation!C:C,Delivery[[#This Row],[Delivery ID]],Allocation!D:D)/Delivery[[#This Row],[Quantity delivered]]</f>
        <v>0.61155963302752292</v>
      </c>
      <c r="AC340" s="170">
        <f>Delivery[[#This Row],[Quantity delivered]]*Delivery[[#This Row],[Base price (Unidad)]]/60</f>
        <v>38965.608395833333</v>
      </c>
      <c r="AD340" s="171">
        <f>Delivery[[#This Row],[Nespresso total]]-Delivery[[#This Row],[Qt. Delivery * Base Price]]</f>
        <v>3066.6082708333342</v>
      </c>
      <c r="AE340" s="171">
        <f>Delivery[[#This Row],[AAA Premium (total)]]/Delivery[[#This Row],[Quantity delivered]]*60/Delivery[[#This Row],[Exchange rate VS USD]]</f>
        <v>6.9996148414430612</v>
      </c>
      <c r="AF340" s="171">
        <f>Delivery[[#This Row],[BEN premium (total)]]/Delivery[[#This Row],[Quantity delivered]]*60/Delivery[[#This Row],[Exchange rate for premiums VS USD]]</f>
        <v>2.3876567999999994</v>
      </c>
      <c r="AG340" s="171">
        <f>COUNTIF(Delivery[Delivery ID],Delivery[[#This Row],[Delivery ID]])</f>
        <v>1</v>
      </c>
      <c r="AH340" s="171">
        <f>(Delivery[[#This Row],[Nespresso total]]/SUMIF(Allocation!C:C,Delivery[Delivery ID],Allocation!H:H))/Delivery[[#This Row],[Exchange rate VS USD]]</f>
        <v>8.9939266201623376</v>
      </c>
      <c r="AI340" s="171">
        <f>(Delivery[[#This Row],[AAA Premium (total)]]/SUMIF(Allocation!C:C,Delivery[Delivery ID],Allocation!H:H))/Delivery[[#This Row],[Exchange rate VS USD]]</f>
        <v>0.52983195674812067</v>
      </c>
      <c r="AJ340" s="171">
        <f>Delivery[[#This Row],[Valor Prêmio Nespresso AAA por Kg (em US$)]]*60</f>
        <v>31.789917404887241</v>
      </c>
      <c r="AK340" s="171">
        <f>Delivery[[#This Row],[Valor Prêmio Nespresso AAA por saca (em US$)]]/1.3228/100</f>
        <v>0.24032293169706109</v>
      </c>
      <c r="AL340" s="171">
        <f>(Delivery[[#This Row],[BEN premium (total)]]/SUMIF(Allocation!C:C,Delivery[Delivery ID],Allocation!H:H))/Delivery[[#This Row],[Exchange rate for premiums VS USD]]</f>
        <v>0.18073235499999996</v>
      </c>
      <c r="AM340" s="171">
        <f>Delivery[[#This Row],[Valor Prêmio Nespresso BEN por Kg (em US$)]]*60</f>
        <v>10.843941299999997</v>
      </c>
      <c r="AN340" s="171">
        <f>Delivery[[#This Row],[Valor Prêmio Nespresso BEN por saca (em US$)]]/1.3228/100</f>
        <v>8.1977179467795563E-2</v>
      </c>
      <c r="AO340" s="171">
        <f>SUMIF(Allocation[Delivery ID],Delivery[[#This Row],[Delivery ID]],Allocation[Quantity allocated])*16*1.3228*Delivery[[#This Row],[Exchange rate VS USD]]/60</f>
        <v>1648.5262719999998</v>
      </c>
      <c r="AP340" s="171">
        <f>Delivery[[#This Row],[AAA Premium (total)]]</f>
        <v>2476.1166666666668</v>
      </c>
      <c r="AQ340" s="171">
        <f>Delivery[[#This Row],[Valor pago pelo Cluster]]-Delivery[[#This Row],[Valor efetivamente pago pela Nespresso]]</f>
        <v>827.59039466666695</v>
      </c>
    </row>
    <row r="341" spans="1:43" ht="15.75">
      <c r="A341" s="174" t="s">
        <v>69</v>
      </c>
      <c r="B341" s="232" t="s">
        <v>68</v>
      </c>
      <c r="C341" s="157">
        <v>1</v>
      </c>
      <c r="D341" s="157" t="s">
        <v>468</v>
      </c>
      <c r="E341" s="176" t="s">
        <v>468</v>
      </c>
      <c r="F341" s="240" t="s">
        <v>543</v>
      </c>
      <c r="G341" s="234">
        <v>43493</v>
      </c>
      <c r="H341" s="157" t="s">
        <v>2020</v>
      </c>
      <c r="I341" s="236" t="s">
        <v>672</v>
      </c>
      <c r="J341" s="237">
        <v>10340</v>
      </c>
      <c r="K341" s="175" t="s">
        <v>61</v>
      </c>
      <c r="L341" s="175" t="s">
        <v>439</v>
      </c>
      <c r="M341" s="175" t="s">
        <v>1343</v>
      </c>
      <c r="N341" s="180"/>
      <c r="O341" s="177"/>
      <c r="P341" s="181">
        <v>0</v>
      </c>
      <c r="Q341" s="177">
        <v>43430</v>
      </c>
      <c r="R341" s="178">
        <v>428.979175</v>
      </c>
      <c r="S341" s="179">
        <v>78143.045632090274</v>
      </c>
      <c r="T341" s="182" t="s">
        <v>45</v>
      </c>
      <c r="U341" s="183">
        <v>3.8944999999999999</v>
      </c>
      <c r="V341" s="179">
        <v>4698.0651666666663</v>
      </c>
      <c r="W341" s="179">
        <v>1602.4810345763997</v>
      </c>
      <c r="X341" s="186" t="s">
        <v>45</v>
      </c>
      <c r="Y341" s="183">
        <v>3.8944999999999999</v>
      </c>
      <c r="Z341" s="220" t="s">
        <v>473</v>
      </c>
      <c r="AA341" s="172">
        <f>Delivery[[#This Row],[Quantity delivered]]*VLOOKUP(Delivery[[#This Row],[Unit]],Tab_Conversão[],4,FALSE)*VLOOKUP(CONCATENATE(Delivery[[#This Row],[Coffee specie]],Delivery[[#This Row],[Coffee state]]),Tab_Conversão[],4,FALSE)</f>
        <v>10340</v>
      </c>
      <c r="AB341" s="169">
        <f>SUMIF(Allocation!C:C,Delivery[[#This Row],[Delivery ID]],Allocation!D:D)/Delivery[[#This Row],[Quantity delivered]]</f>
        <v>1</v>
      </c>
      <c r="AC341" s="170">
        <f>Delivery[[#This Row],[Quantity delivered]]*Delivery[[#This Row],[Base price (Unidad)]]/60</f>
        <v>73927.411158333329</v>
      </c>
      <c r="AD341" s="171">
        <f>Delivery[[#This Row],[Nespresso total]]-Delivery[[#This Row],[Qt. Delivery * Base Price]]</f>
        <v>4215.6344737569452</v>
      </c>
      <c r="AE341" s="171">
        <f>Delivery[[#This Row],[AAA Premium (total)]]/Delivery[[#This Row],[Quantity delivered]]*60/Delivery[[#This Row],[Exchange rate VS USD]]</f>
        <v>7</v>
      </c>
      <c r="AF341" s="171">
        <f>Delivery[[#This Row],[BEN premium (total)]]/Delivery[[#This Row],[Quantity delivered]]*60/Delivery[[#This Row],[Exchange rate for premiums VS USD]]</f>
        <v>2.3876567999999994</v>
      </c>
      <c r="AG341" s="171">
        <f>COUNTIF(Delivery[Delivery ID],Delivery[[#This Row],[Delivery ID]])</f>
        <v>1</v>
      </c>
      <c r="AH341" s="171">
        <f>(Delivery[[#This Row],[Nespresso total]]/SUMIF(Allocation!C:C,Delivery[Delivery ID],Allocation!H:H))/Delivery[[#This Row],[Exchange rate VS USD]]</f>
        <v>5.3506600338658981</v>
      </c>
      <c r="AI341" s="171">
        <f>(Delivery[[#This Row],[AAA Premium (total)]]/SUMIF(Allocation!C:C,Delivery[Delivery ID],Allocation!H:H))/Delivery[[#This Row],[Exchange rate VS USD]]</f>
        <v>0.32168888888888886</v>
      </c>
      <c r="AJ341" s="171">
        <f>Delivery[[#This Row],[Valor Prêmio Nespresso AAA por Kg (em US$)]]*60</f>
        <v>19.301333333333332</v>
      </c>
      <c r="AK341" s="171">
        <f>Delivery[[#This Row],[Valor Prêmio Nespresso AAA por saca (em US$)]]/1.3228/100</f>
        <v>0.14591271041225681</v>
      </c>
      <c r="AL341" s="171">
        <f>(Delivery[[#This Row],[BEN premium (total)]]/SUMIF(Allocation!C:C,Delivery[Delivery ID],Allocation!H:H))/Delivery[[#This Row],[Exchange rate for premiums VS USD]]</f>
        <v>0.10972609471999999</v>
      </c>
      <c r="AM341" s="171">
        <f>Delivery[[#This Row],[Valor Prêmio Nespresso BEN por Kg (em US$)]]*60</f>
        <v>6.5835656831999989</v>
      </c>
      <c r="AN341" s="171">
        <f>Delivery[[#This Row],[Valor Prêmio Nespresso BEN por saca (em US$)]]/1.3228/100</f>
        <v>4.9769925031750824E-2</v>
      </c>
      <c r="AO341" s="171">
        <f>SUMIF(Allocation[Delivery ID],Delivery[[#This Row],[Delivery ID]],Allocation[Quantity allocated])*16*1.3228*Delivery[[#This Row],[Exchange rate VS USD]]/60</f>
        <v>5151.6445999999996</v>
      </c>
      <c r="AP341" s="171">
        <f>Delivery[[#This Row],[AAA Premium (total)]]</f>
        <v>4698.0651666666663</v>
      </c>
      <c r="AQ341" s="171">
        <f>Delivery[[#This Row],[Valor pago pelo Cluster]]-Delivery[[#This Row],[Valor efetivamente pago pela Nespresso]]</f>
        <v>-453.57943333333333</v>
      </c>
    </row>
    <row r="342" spans="1:43" ht="15.75">
      <c r="A342" s="174" t="s">
        <v>69</v>
      </c>
      <c r="B342" s="232" t="s">
        <v>68</v>
      </c>
      <c r="C342" s="157">
        <v>1</v>
      </c>
      <c r="D342" s="157" t="s">
        <v>468</v>
      </c>
      <c r="E342" s="176" t="s">
        <v>468</v>
      </c>
      <c r="F342" s="240" t="s">
        <v>543</v>
      </c>
      <c r="G342" s="234">
        <v>43493</v>
      </c>
      <c r="H342" s="157" t="s">
        <v>2021</v>
      </c>
      <c r="I342" s="236" t="s">
        <v>672</v>
      </c>
      <c r="J342" s="237">
        <v>60</v>
      </c>
      <c r="K342" s="175" t="s">
        <v>61</v>
      </c>
      <c r="L342" s="175" t="s">
        <v>439</v>
      </c>
      <c r="M342" s="175" t="s">
        <v>1343</v>
      </c>
      <c r="N342" s="180"/>
      <c r="O342" s="177"/>
      <c r="P342" s="181">
        <v>0</v>
      </c>
      <c r="Q342" s="177">
        <v>43430</v>
      </c>
      <c r="R342" s="178">
        <v>428.979175</v>
      </c>
      <c r="S342" s="179">
        <v>453.44127059240003</v>
      </c>
      <c r="T342" s="182" t="s">
        <v>45</v>
      </c>
      <c r="U342" s="183">
        <v>3.8944999999999999</v>
      </c>
      <c r="V342" s="179">
        <v>27.261499999999998</v>
      </c>
      <c r="W342" s="179">
        <v>9.298729407599998</v>
      </c>
      <c r="X342" s="186" t="s">
        <v>45</v>
      </c>
      <c r="Y342" s="183">
        <v>3.8944999999999999</v>
      </c>
      <c r="Z342" s="220" t="s">
        <v>473</v>
      </c>
      <c r="AA342" s="172">
        <f>Delivery[[#This Row],[Quantity delivered]]*VLOOKUP(Delivery[[#This Row],[Unit]],Tab_Conversão[],4,FALSE)*VLOOKUP(CONCATENATE(Delivery[[#This Row],[Coffee specie]],Delivery[[#This Row],[Coffee state]]),Tab_Conversão[],4,FALSE)</f>
        <v>60</v>
      </c>
      <c r="AB342" s="169">
        <f>SUMIF(Allocation!C:C,Delivery[[#This Row],[Delivery ID]],Allocation!D:D)/Delivery[[#This Row],[Quantity delivered]]</f>
        <v>1</v>
      </c>
      <c r="AC342" s="170">
        <f>Delivery[[#This Row],[Quantity delivered]]*Delivery[[#This Row],[Base price (Unidad)]]/60</f>
        <v>428.979175</v>
      </c>
      <c r="AD342" s="171">
        <f>Delivery[[#This Row],[Nespresso total]]-Delivery[[#This Row],[Qt. Delivery * Base Price]]</f>
        <v>24.462095592400033</v>
      </c>
      <c r="AE342" s="171">
        <f>Delivery[[#This Row],[AAA Premium (total)]]/Delivery[[#This Row],[Quantity delivered]]*60/Delivery[[#This Row],[Exchange rate VS USD]]</f>
        <v>7</v>
      </c>
      <c r="AF342" s="171">
        <f>Delivery[[#This Row],[BEN premium (total)]]/Delivery[[#This Row],[Quantity delivered]]*60/Delivery[[#This Row],[Exchange rate for premiums VS USD]]</f>
        <v>2.3876567999999994</v>
      </c>
      <c r="AG342" s="171">
        <f>COUNTIF(Delivery[Delivery ID],Delivery[[#This Row],[Delivery ID]])</f>
        <v>1</v>
      </c>
      <c r="AH342" s="171">
        <f>(Delivery[[#This Row],[Nespresso total]]/SUMIF(Allocation!C:C,Delivery[Delivery ID],Allocation!H:H))/Delivery[[#This Row],[Exchange rate VS USD]]</f>
        <v>4.851299595502204</v>
      </c>
      <c r="AI342" s="171">
        <f>(Delivery[[#This Row],[AAA Premium (total)]]/SUMIF(Allocation!C:C,Delivery[Delivery ID],Allocation!H:H))/Delivery[[#This Row],[Exchange rate VS USD]]</f>
        <v>0.29166666666666669</v>
      </c>
      <c r="AJ342" s="171">
        <f>Delivery[[#This Row],[Valor Prêmio Nespresso AAA por Kg (em US$)]]*60</f>
        <v>17.5</v>
      </c>
      <c r="AK342" s="171">
        <f>Delivery[[#This Row],[Valor Prêmio Nespresso AAA por saca (em US$)]]/1.3228/100</f>
        <v>0.13229513153915937</v>
      </c>
      <c r="AL342" s="171">
        <f>(Delivery[[#This Row],[BEN premium (total)]]/SUMIF(Allocation!C:C,Delivery[Delivery ID],Allocation!H:H))/Delivery[[#This Row],[Exchange rate for premiums VS USD]]</f>
        <v>9.9485699999999982E-2</v>
      </c>
      <c r="AM342" s="171">
        <f>Delivery[[#This Row],[Valor Prêmio Nespresso BEN por Kg (em US$)]]*60</f>
        <v>5.9691419999999988</v>
      </c>
      <c r="AN342" s="171">
        <f>Delivery[[#This Row],[Valor Prêmio Nespresso BEN por saca (em US$)]]/1.3228/100</f>
        <v>4.5125052918052605E-2</v>
      </c>
      <c r="AO342" s="171">
        <f>SUMIF(Allocation[Delivery ID],Delivery[[#This Row],[Delivery ID]],Allocation[Quantity allocated])*16*1.3228*Delivery[[#This Row],[Exchange rate VS USD]]/60</f>
        <v>32.970525439999996</v>
      </c>
      <c r="AP342" s="171">
        <f>Delivery[[#This Row],[AAA Premium (total)]]</f>
        <v>27.261499999999998</v>
      </c>
      <c r="AQ342" s="171">
        <f>Delivery[[#This Row],[Valor pago pelo Cluster]]-Delivery[[#This Row],[Valor efetivamente pago pela Nespresso]]</f>
        <v>-5.7090254399999978</v>
      </c>
    </row>
    <row r="343" spans="1:43" ht="15.75">
      <c r="A343" s="174" t="s">
        <v>69</v>
      </c>
      <c r="B343" s="232" t="s">
        <v>68</v>
      </c>
      <c r="C343" s="157">
        <v>1</v>
      </c>
      <c r="D343" s="157" t="s">
        <v>468</v>
      </c>
      <c r="E343" s="177" t="s">
        <v>468</v>
      </c>
      <c r="F343" s="240" t="s">
        <v>543</v>
      </c>
      <c r="G343" s="234">
        <v>43493</v>
      </c>
      <c r="H343" s="157" t="s">
        <v>2165</v>
      </c>
      <c r="I343" s="236" t="s">
        <v>672</v>
      </c>
      <c r="J343" s="237">
        <v>40</v>
      </c>
      <c r="K343" s="175" t="s">
        <v>61</v>
      </c>
      <c r="L343" s="175" t="s">
        <v>439</v>
      </c>
      <c r="M343" s="175" t="s">
        <v>1343</v>
      </c>
      <c r="N343" s="180"/>
      <c r="O343" s="177"/>
      <c r="P343" s="181">
        <v>0</v>
      </c>
      <c r="Q343" s="177">
        <v>43430</v>
      </c>
      <c r="R343" s="178">
        <v>428.979175</v>
      </c>
      <c r="S343" s="179">
        <v>308.49333333333334</v>
      </c>
      <c r="T343" s="182" t="s">
        <v>45</v>
      </c>
      <c r="U343" s="183">
        <v>3.8944999999999999</v>
      </c>
      <c r="V343" s="179">
        <v>18.173333333333336</v>
      </c>
      <c r="W343" s="179">
        <v>6.1991529383999984</v>
      </c>
      <c r="X343" s="186" t="s">
        <v>45</v>
      </c>
      <c r="Y343" s="183">
        <v>3.8944999999999999</v>
      </c>
      <c r="Z343" s="220" t="s">
        <v>473</v>
      </c>
      <c r="AA343" s="172">
        <f>Delivery[[#This Row],[Quantity delivered]]*VLOOKUP(Delivery[[#This Row],[Unit]],Tab_Conversão[],4,FALSE)*VLOOKUP(CONCATENATE(Delivery[[#This Row],[Coffee specie]],Delivery[[#This Row],[Coffee state]]),Tab_Conversão[],4,FALSE)</f>
        <v>40</v>
      </c>
      <c r="AB343" s="169">
        <f>SUMIF(Allocation!C:C,Delivery[[#This Row],[Delivery ID]],Allocation!D:D)/Delivery[[#This Row],[Quantity delivered]]</f>
        <v>1</v>
      </c>
      <c r="AC343" s="170">
        <f>Delivery[[#This Row],[Quantity delivered]]*Delivery[[#This Row],[Base price (Unidad)]]/60</f>
        <v>285.9861166666667</v>
      </c>
      <c r="AD343" s="171">
        <f>Delivery[[#This Row],[Nespresso total]]-Delivery[[#This Row],[Qt. Delivery * Base Price]]</f>
        <v>22.507216666666636</v>
      </c>
      <c r="AE343" s="171">
        <f>Delivery[[#This Row],[AAA Premium (total)]]/Delivery[[#This Row],[Quantity delivered]]*60/Delivery[[#This Row],[Exchange rate VS USD]]</f>
        <v>6.9996148414430612</v>
      </c>
      <c r="AF343" s="171">
        <f>Delivery[[#This Row],[BEN premium (total)]]/Delivery[[#This Row],[Quantity delivered]]*60/Delivery[[#This Row],[Exchange rate for premiums VS USD]]</f>
        <v>2.3876567999999994</v>
      </c>
      <c r="AG343" s="171">
        <f>COUNTIF(Delivery[Delivery ID],Delivery[[#This Row],[Delivery ID]])</f>
        <v>1</v>
      </c>
      <c r="AH343" s="171">
        <f>(Delivery[[#This Row],[Nespresso total]]/SUMIF(Allocation!C:C,Delivery[Delivery ID],Allocation!H:H))/Delivery[[#This Row],[Exchange rate VS USD]]</f>
        <v>5.2808376485356847</v>
      </c>
      <c r="AI343" s="171">
        <f>(Delivery[[#This Row],[AAA Premium (total)]]/SUMIF(Allocation!C:C,Delivery[Delivery ID],Allocation!H:H))/Delivery[[#This Row],[Exchange rate VS USD]]</f>
        <v>0.31109399295302498</v>
      </c>
      <c r="AJ343" s="171">
        <f>Delivery[[#This Row],[Valor Prêmio Nespresso AAA por Kg (em US$)]]*60</f>
        <v>18.665639577181498</v>
      </c>
      <c r="AK343" s="171">
        <f>Delivery[[#This Row],[Valor Prêmio Nespresso AAA por saca (em US$)]]/1.3228/100</f>
        <v>0.14110704246432942</v>
      </c>
      <c r="AL343" s="171">
        <f>(Delivery[[#This Row],[BEN premium (total)]]/SUMIF(Allocation!C:C,Delivery[Delivery ID],Allocation!H:H))/Delivery[[#This Row],[Exchange rate for premiums VS USD]]</f>
        <v>0.10611807999999998</v>
      </c>
      <c r="AM343" s="171">
        <f>Delivery[[#This Row],[Valor Prêmio Nespresso BEN por Kg (em US$)]]*60</f>
        <v>6.3670847999999989</v>
      </c>
      <c r="AN343" s="171">
        <f>Delivery[[#This Row],[Valor Prêmio Nespresso BEN por saca (em US$)]]/1.3228/100</f>
        <v>4.8133389779256117E-2</v>
      </c>
      <c r="AO343" s="171">
        <f>SUMIF(Allocation[Delivery ID],Delivery[[#This Row],[Delivery ID]],Allocation[Quantity allocated])*16*1.3228*Delivery[[#This Row],[Exchange rate VS USD]]/60</f>
        <v>20.606578399999997</v>
      </c>
      <c r="AP343" s="171">
        <f>Delivery[[#This Row],[AAA Premium (total)]]</f>
        <v>18.173333333333336</v>
      </c>
      <c r="AQ343" s="171">
        <f>Delivery[[#This Row],[Valor pago pelo Cluster]]-Delivery[[#This Row],[Valor efetivamente pago pela Nespresso]]</f>
        <v>-2.433245066666661</v>
      </c>
    </row>
    <row r="344" spans="1:43" ht="15.75">
      <c r="A344" s="174" t="s">
        <v>69</v>
      </c>
      <c r="B344" s="232" t="s">
        <v>68</v>
      </c>
      <c r="C344" s="157">
        <v>1</v>
      </c>
      <c r="D344" s="157" t="s">
        <v>468</v>
      </c>
      <c r="E344" s="177" t="s">
        <v>468</v>
      </c>
      <c r="F344" s="240" t="s">
        <v>543</v>
      </c>
      <c r="G344" s="234">
        <v>43493</v>
      </c>
      <c r="H344" s="157" t="s">
        <v>2166</v>
      </c>
      <c r="I344" s="236" t="s">
        <v>672</v>
      </c>
      <c r="J344" s="237">
        <v>10</v>
      </c>
      <c r="K344" s="175" t="s">
        <v>61</v>
      </c>
      <c r="L344" s="175" t="s">
        <v>439</v>
      </c>
      <c r="M344" s="175" t="s">
        <v>1343</v>
      </c>
      <c r="N344" s="180"/>
      <c r="O344" s="177"/>
      <c r="P344" s="181">
        <v>0</v>
      </c>
      <c r="Q344" s="177">
        <v>43430</v>
      </c>
      <c r="R344" s="178">
        <v>428.979175</v>
      </c>
      <c r="S344" s="179">
        <v>77.123333333333335</v>
      </c>
      <c r="T344" s="182" t="s">
        <v>45</v>
      </c>
      <c r="U344" s="183">
        <v>3.8944999999999999</v>
      </c>
      <c r="V344" s="179">
        <v>4.5433333333333339</v>
      </c>
      <c r="W344" s="179">
        <v>1.5497882345999996</v>
      </c>
      <c r="X344" s="186" t="s">
        <v>45</v>
      </c>
      <c r="Y344" s="183">
        <v>3.8944999999999999</v>
      </c>
      <c r="Z344" s="220" t="s">
        <v>473</v>
      </c>
      <c r="AA344" s="172">
        <f>Delivery[[#This Row],[Quantity delivered]]*VLOOKUP(Delivery[[#This Row],[Unit]],Tab_Conversão[],4,FALSE)*VLOOKUP(CONCATENATE(Delivery[[#This Row],[Coffee specie]],Delivery[[#This Row],[Coffee state]]),Tab_Conversão[],4,FALSE)</f>
        <v>10</v>
      </c>
      <c r="AB344" s="169">
        <f>SUMIF(Allocation!C:C,Delivery[[#This Row],[Delivery ID]],Allocation!D:D)/Delivery[[#This Row],[Quantity delivered]]</f>
        <v>1</v>
      </c>
      <c r="AC344" s="170">
        <f>Delivery[[#This Row],[Quantity delivered]]*Delivery[[#This Row],[Base price (Unidad)]]/60</f>
        <v>71.496529166666676</v>
      </c>
      <c r="AD344" s="171">
        <f>Delivery[[#This Row],[Nespresso total]]-Delivery[[#This Row],[Qt. Delivery * Base Price]]</f>
        <v>5.6268041666666591</v>
      </c>
      <c r="AE344" s="171">
        <f>Delivery[[#This Row],[AAA Premium (total)]]/Delivery[[#This Row],[Quantity delivered]]*60/Delivery[[#This Row],[Exchange rate VS USD]]</f>
        <v>6.9996148414430612</v>
      </c>
      <c r="AF344" s="171">
        <f>Delivery[[#This Row],[BEN premium (total)]]/Delivery[[#This Row],[Quantity delivered]]*60/Delivery[[#This Row],[Exchange rate for premiums VS USD]]</f>
        <v>2.3876567999999994</v>
      </c>
      <c r="AG344" s="171">
        <f>COUNTIF(Delivery[Delivery ID],Delivery[[#This Row],[Delivery ID]])</f>
        <v>1</v>
      </c>
      <c r="AH344" s="171">
        <f>(Delivery[[#This Row],[Nespresso total]]/SUMIF(Allocation!C:C,Delivery[Delivery ID],Allocation!H:H))/Delivery[[#This Row],[Exchange rate VS USD]]</f>
        <v>4.9507852955022038</v>
      </c>
      <c r="AI344" s="171">
        <f>(Delivery[[#This Row],[AAA Premium (total)]]/SUMIF(Allocation!C:C,Delivery[Delivery ID],Allocation!H:H))/Delivery[[#This Row],[Exchange rate VS USD]]</f>
        <v>0.2916506183934609</v>
      </c>
      <c r="AJ344" s="171">
        <f>Delivery[[#This Row],[Valor Prêmio Nespresso AAA por Kg (em US$)]]*60</f>
        <v>17.499037103607655</v>
      </c>
      <c r="AK344" s="171">
        <f>Delivery[[#This Row],[Valor Prêmio Nespresso AAA por saca (em US$)]]/1.3228/100</f>
        <v>0.13228785231030885</v>
      </c>
      <c r="AL344" s="171">
        <f>(Delivery[[#This Row],[BEN premium (total)]]/SUMIF(Allocation!C:C,Delivery[Delivery ID],Allocation!H:H))/Delivery[[#This Row],[Exchange rate for premiums VS USD]]</f>
        <v>9.9485699999999982E-2</v>
      </c>
      <c r="AM344" s="171">
        <f>Delivery[[#This Row],[Valor Prêmio Nespresso BEN por Kg (em US$)]]*60</f>
        <v>5.9691419999999988</v>
      </c>
      <c r="AN344" s="171">
        <f>Delivery[[#This Row],[Valor Prêmio Nespresso BEN por saca (em US$)]]/1.3228/100</f>
        <v>4.5125052918052605E-2</v>
      </c>
      <c r="AO344" s="171">
        <f>SUMIF(Allocation[Delivery ID],Delivery[[#This Row],[Delivery ID]],Allocation[Quantity allocated])*16*1.3228*Delivery[[#This Row],[Exchange rate VS USD]]/60</f>
        <v>5.4950875733333335</v>
      </c>
      <c r="AP344" s="171">
        <f>Delivery[[#This Row],[AAA Premium (total)]]</f>
        <v>4.5433333333333339</v>
      </c>
      <c r="AQ344" s="171">
        <f>Delivery[[#This Row],[Valor pago pelo Cluster]]-Delivery[[#This Row],[Valor efetivamente pago pela Nespresso]]</f>
        <v>-0.95175423999999964</v>
      </c>
    </row>
    <row r="345" spans="1:43" ht="15.75">
      <c r="A345" s="174" t="s">
        <v>69</v>
      </c>
      <c r="B345" s="232" t="s">
        <v>68</v>
      </c>
      <c r="C345" s="157">
        <v>1</v>
      </c>
      <c r="D345" s="157" t="s">
        <v>468</v>
      </c>
      <c r="E345" s="177" t="s">
        <v>468</v>
      </c>
      <c r="F345" s="240" t="s">
        <v>543</v>
      </c>
      <c r="G345" s="234">
        <v>43493</v>
      </c>
      <c r="H345" s="157" t="s">
        <v>2167</v>
      </c>
      <c r="I345" s="236" t="s">
        <v>672</v>
      </c>
      <c r="J345" s="237">
        <v>40</v>
      </c>
      <c r="K345" s="175" t="s">
        <v>61</v>
      </c>
      <c r="L345" s="175" t="s">
        <v>439</v>
      </c>
      <c r="M345" s="175" t="s">
        <v>1343</v>
      </c>
      <c r="N345" s="180"/>
      <c r="O345" s="177"/>
      <c r="P345" s="181">
        <v>0</v>
      </c>
      <c r="Q345" s="177">
        <v>43430</v>
      </c>
      <c r="R345" s="178">
        <v>428.979175</v>
      </c>
      <c r="S345" s="179">
        <v>308.49333333333334</v>
      </c>
      <c r="T345" s="182" t="s">
        <v>45</v>
      </c>
      <c r="U345" s="183">
        <v>3.8944999999999999</v>
      </c>
      <c r="V345" s="179">
        <v>18.173333333333336</v>
      </c>
      <c r="W345" s="179">
        <v>6.1991529383999984</v>
      </c>
      <c r="X345" s="186" t="s">
        <v>45</v>
      </c>
      <c r="Y345" s="183">
        <v>3.8944999999999999</v>
      </c>
      <c r="Z345" s="220" t="s">
        <v>473</v>
      </c>
      <c r="AA345" s="172">
        <f>Delivery[[#This Row],[Quantity delivered]]*VLOOKUP(Delivery[[#This Row],[Unit]],Tab_Conversão[],4,FALSE)*VLOOKUP(CONCATENATE(Delivery[[#This Row],[Coffee specie]],Delivery[[#This Row],[Coffee state]]),Tab_Conversão[],4,FALSE)</f>
        <v>40</v>
      </c>
      <c r="AB345" s="169">
        <f>SUMIF(Allocation!C:C,Delivery[[#This Row],[Delivery ID]],Allocation!D:D)/Delivery[[#This Row],[Quantity delivered]]</f>
        <v>1</v>
      </c>
      <c r="AC345" s="170">
        <f>Delivery[[#This Row],[Quantity delivered]]*Delivery[[#This Row],[Base price (Unidad)]]/60</f>
        <v>285.9861166666667</v>
      </c>
      <c r="AD345" s="171">
        <f>Delivery[[#This Row],[Nespresso total]]-Delivery[[#This Row],[Qt. Delivery * Base Price]]</f>
        <v>22.507216666666636</v>
      </c>
      <c r="AE345" s="171">
        <f>Delivery[[#This Row],[AAA Premium (total)]]/Delivery[[#This Row],[Quantity delivered]]*60/Delivery[[#This Row],[Exchange rate VS USD]]</f>
        <v>6.9996148414430612</v>
      </c>
      <c r="AF345" s="171">
        <f>Delivery[[#This Row],[BEN premium (total)]]/Delivery[[#This Row],[Quantity delivered]]*60/Delivery[[#This Row],[Exchange rate for premiums VS USD]]</f>
        <v>2.3876567999999994</v>
      </c>
      <c r="AG345" s="171">
        <f>COUNTIF(Delivery[Delivery ID],Delivery[[#This Row],[Delivery ID]])</f>
        <v>1</v>
      </c>
      <c r="AH345" s="171">
        <f>(Delivery[[#This Row],[Nespresso total]]/SUMIF(Allocation!C:C,Delivery[Delivery ID],Allocation!H:H))/Delivery[[#This Row],[Exchange rate VS USD]]</f>
        <v>5.2808376485356847</v>
      </c>
      <c r="AI345" s="171">
        <f>(Delivery[[#This Row],[AAA Premium (total)]]/SUMIF(Allocation!C:C,Delivery[Delivery ID],Allocation!H:H))/Delivery[[#This Row],[Exchange rate VS USD]]</f>
        <v>0.31109399295302498</v>
      </c>
      <c r="AJ345" s="171">
        <f>Delivery[[#This Row],[Valor Prêmio Nespresso AAA por Kg (em US$)]]*60</f>
        <v>18.665639577181498</v>
      </c>
      <c r="AK345" s="171">
        <f>Delivery[[#This Row],[Valor Prêmio Nespresso AAA por saca (em US$)]]/1.3228/100</f>
        <v>0.14110704246432942</v>
      </c>
      <c r="AL345" s="171">
        <f>(Delivery[[#This Row],[BEN premium (total)]]/SUMIF(Allocation!C:C,Delivery[Delivery ID],Allocation!H:H))/Delivery[[#This Row],[Exchange rate for premiums VS USD]]</f>
        <v>0.10611807999999998</v>
      </c>
      <c r="AM345" s="171">
        <f>Delivery[[#This Row],[Valor Prêmio Nespresso BEN por Kg (em US$)]]*60</f>
        <v>6.3670847999999989</v>
      </c>
      <c r="AN345" s="171">
        <f>Delivery[[#This Row],[Valor Prêmio Nespresso BEN por saca (em US$)]]/1.3228/100</f>
        <v>4.8133389779256117E-2</v>
      </c>
      <c r="AO345" s="171">
        <f>SUMIF(Allocation[Delivery ID],Delivery[[#This Row],[Delivery ID]],Allocation[Quantity allocated])*16*1.3228*Delivery[[#This Row],[Exchange rate VS USD]]/60</f>
        <v>20.606578399999997</v>
      </c>
      <c r="AP345" s="171">
        <f>Delivery[[#This Row],[AAA Premium (total)]]</f>
        <v>18.173333333333336</v>
      </c>
      <c r="AQ345" s="171">
        <f>Delivery[[#This Row],[Valor pago pelo Cluster]]-Delivery[[#This Row],[Valor efetivamente pago pela Nespresso]]</f>
        <v>-2.433245066666661</v>
      </c>
    </row>
    <row r="346" spans="1:43" ht="15.75">
      <c r="A346" s="174" t="s">
        <v>69</v>
      </c>
      <c r="B346" s="232" t="s">
        <v>68</v>
      </c>
      <c r="C346" s="157">
        <v>1</v>
      </c>
      <c r="D346" s="157" t="s">
        <v>468</v>
      </c>
      <c r="E346" s="177" t="s">
        <v>468</v>
      </c>
      <c r="F346" s="240" t="s">
        <v>543</v>
      </c>
      <c r="G346" s="234">
        <v>43493</v>
      </c>
      <c r="H346" s="157" t="s">
        <v>2022</v>
      </c>
      <c r="I346" s="236" t="s">
        <v>672</v>
      </c>
      <c r="J346" s="237">
        <v>29280</v>
      </c>
      <c r="K346" s="175" t="s">
        <v>61</v>
      </c>
      <c r="L346" s="175" t="s">
        <v>439</v>
      </c>
      <c r="M346" s="175" t="s">
        <v>1343</v>
      </c>
      <c r="N346" s="180"/>
      <c r="O346" s="177"/>
      <c r="P346" s="181">
        <v>0</v>
      </c>
      <c r="Q346" s="177">
        <v>43430</v>
      </c>
      <c r="R346" s="178">
        <v>428.979175</v>
      </c>
      <c r="S346" s="179">
        <v>221279.3400490912</v>
      </c>
      <c r="T346" s="182" t="s">
        <v>45</v>
      </c>
      <c r="U346" s="183">
        <v>3.8944999999999999</v>
      </c>
      <c r="V346" s="179">
        <v>13303.611999999999</v>
      </c>
      <c r="W346" s="179">
        <v>4537.779950908799</v>
      </c>
      <c r="X346" s="186" t="s">
        <v>45</v>
      </c>
      <c r="Y346" s="183">
        <v>3.8944999999999999</v>
      </c>
      <c r="Z346" s="220" t="s">
        <v>473</v>
      </c>
      <c r="AA346" s="172">
        <f>Delivery[[#This Row],[Quantity delivered]]*VLOOKUP(Delivery[[#This Row],[Unit]],Tab_Conversão[],4,FALSE)*VLOOKUP(CONCATENATE(Delivery[[#This Row],[Coffee specie]],Delivery[[#This Row],[Coffee state]]),Tab_Conversão[],4,FALSE)</f>
        <v>29280</v>
      </c>
      <c r="AB346" s="169">
        <f>SUMIF(Allocation!C:C,Delivery[[#This Row],[Delivery ID]],Allocation!D:D)/Delivery[[#This Row],[Quantity delivered]]</f>
        <v>1</v>
      </c>
      <c r="AC346" s="170">
        <f>Delivery[[#This Row],[Quantity delivered]]*Delivery[[#This Row],[Base price (Unidad)]]/60</f>
        <v>209341.83739999999</v>
      </c>
      <c r="AD346" s="171">
        <f>Delivery[[#This Row],[Nespresso total]]-Delivery[[#This Row],[Qt. Delivery * Base Price]]</f>
        <v>11937.502649091213</v>
      </c>
      <c r="AE346" s="171">
        <f>Delivery[[#This Row],[AAA Premium (total)]]/Delivery[[#This Row],[Quantity delivered]]*60/Delivery[[#This Row],[Exchange rate VS USD]]</f>
        <v>7</v>
      </c>
      <c r="AF346" s="171">
        <f>Delivery[[#This Row],[BEN premium (total)]]/Delivery[[#This Row],[Quantity delivered]]*60/Delivery[[#This Row],[Exchange rate for premiums VS USD]]</f>
        <v>2.3876567999999994</v>
      </c>
      <c r="AG346" s="171">
        <f>COUNTIF(Delivery[Delivery ID],Delivery[[#This Row],[Delivery ID]])</f>
        <v>1</v>
      </c>
      <c r="AH346" s="171">
        <f>(Delivery[[#This Row],[Nespresso total]]/SUMIF(Allocation!C:C,Delivery[Delivery ID],Allocation!H:H))/Delivery[[#This Row],[Exchange rate VS USD]]</f>
        <v>5.3602283832567759</v>
      </c>
      <c r="AI346" s="171">
        <f>(Delivery[[#This Row],[AAA Premium (total)]]/SUMIF(Allocation!C:C,Delivery[Delivery ID],Allocation!H:H))/Delivery[[#This Row],[Exchange rate VS USD]]</f>
        <v>0.32226415094339622</v>
      </c>
      <c r="AJ346" s="171">
        <f>Delivery[[#This Row],[Valor Prêmio Nespresso AAA por Kg (em US$)]]*60</f>
        <v>19.335849056603774</v>
      </c>
      <c r="AK346" s="171">
        <f>Delivery[[#This Row],[Valor Prêmio Nespresso AAA por saca (em US$)]]/1.3228/100</f>
        <v>0.14617363967798438</v>
      </c>
      <c r="AL346" s="171">
        <f>(Delivery[[#This Row],[BEN premium (total)]]/SUMIF(Allocation!C:C,Delivery[Delivery ID],Allocation!H:H))/Delivery[[#This Row],[Exchange rate for premiums VS USD]]</f>
        <v>0.10992231305660376</v>
      </c>
      <c r="AM346" s="171">
        <f>Delivery[[#This Row],[Valor Prêmio Nespresso BEN por Kg (em US$)]]*60</f>
        <v>6.5953387833962251</v>
      </c>
      <c r="AN346" s="171">
        <f>Delivery[[#This Row],[Valor Prêmio Nespresso BEN por saca (em US$)]]/1.3228/100</f>
        <v>4.985892639398417E-2</v>
      </c>
      <c r="AO346" s="171">
        <f>SUMIF(Allocation[Delivery ID],Delivery[[#This Row],[Delivery ID]],Allocation[Quantity allocated])*16*1.3228*Delivery[[#This Row],[Exchange rate VS USD]]/60</f>
        <v>14561.982069333333</v>
      </c>
      <c r="AP346" s="171">
        <f>Delivery[[#This Row],[AAA Premium (total)]]</f>
        <v>13303.611999999999</v>
      </c>
      <c r="AQ346" s="171">
        <f>Delivery[[#This Row],[Valor pago pelo Cluster]]-Delivery[[#This Row],[Valor efetivamente pago pela Nespresso]]</f>
        <v>-1258.370069333334</v>
      </c>
    </row>
    <row r="347" spans="1:43" ht="15.75">
      <c r="A347" s="174" t="s">
        <v>69</v>
      </c>
      <c r="B347" s="232" t="s">
        <v>68</v>
      </c>
      <c r="C347" s="157">
        <v>1</v>
      </c>
      <c r="D347" s="157" t="s">
        <v>468</v>
      </c>
      <c r="E347" s="177" t="s">
        <v>468</v>
      </c>
      <c r="F347" s="233" t="s">
        <v>543</v>
      </c>
      <c r="G347" s="234">
        <v>43493</v>
      </c>
      <c r="H347" s="157" t="s">
        <v>1524</v>
      </c>
      <c r="I347" s="236" t="s">
        <v>672</v>
      </c>
      <c r="J347" s="237">
        <v>20540</v>
      </c>
      <c r="K347" s="175" t="s">
        <v>61</v>
      </c>
      <c r="L347" s="175" t="s">
        <v>439</v>
      </c>
      <c r="M347" s="175" t="s">
        <v>1343</v>
      </c>
      <c r="N347" s="180"/>
      <c r="O347" s="177"/>
      <c r="P347" s="181">
        <v>0</v>
      </c>
      <c r="Q347" s="177">
        <v>43430</v>
      </c>
      <c r="R347" s="178">
        <v>428.979175</v>
      </c>
      <c r="S347" s="179">
        <v>155073.81496613161</v>
      </c>
      <c r="T347" s="182" t="s">
        <v>45</v>
      </c>
      <c r="U347" s="183">
        <v>3.8944999999999999</v>
      </c>
      <c r="V347" s="179">
        <v>9322.92</v>
      </c>
      <c r="W347" s="179">
        <v>3183.2650338683989</v>
      </c>
      <c r="X347" s="186" t="s">
        <v>45</v>
      </c>
      <c r="Y347" s="183">
        <v>3.8944999999999999</v>
      </c>
      <c r="Z347" s="220" t="s">
        <v>473</v>
      </c>
      <c r="AA347" s="172">
        <f>Delivery[[#This Row],[Quantity delivered]]*VLOOKUP(Delivery[[#This Row],[Unit]],Tab_Conversão[],4,FALSE)*VLOOKUP(CONCATENATE(Delivery[[#This Row],[Coffee specie]],Delivery[[#This Row],[Coffee state]]),Tab_Conversão[],4,FALSE)</f>
        <v>20540</v>
      </c>
      <c r="AB347" s="169">
        <f>SUMIF(Allocation!C:C,Delivery[[#This Row],[Delivery ID]],Allocation!D:D)/Delivery[[#This Row],[Quantity delivered]]</f>
        <v>0.3595910418695229</v>
      </c>
      <c r="AC347" s="170">
        <f>Delivery[[#This Row],[Quantity delivered]]*Delivery[[#This Row],[Base price (Unidad)]]/60</f>
        <v>146853.87090833334</v>
      </c>
      <c r="AD347" s="171">
        <f>Delivery[[#This Row],[Nespresso total]]-Delivery[[#This Row],[Qt. Delivery * Base Price]]</f>
        <v>8219.944057798275</v>
      </c>
      <c r="AE347" s="171">
        <f>Delivery[[#This Row],[AAA Premium (total)]]/Delivery[[#This Row],[Quantity delivered]]*60/Delivery[[#This Row],[Exchange rate VS USD]]</f>
        <v>6.9927992476344505</v>
      </c>
      <c r="AF347" s="171">
        <f>Delivery[[#This Row],[BEN premium (total)]]/Delivery[[#This Row],[Quantity delivered]]*60/Delivery[[#This Row],[Exchange rate for premiums VS USD]]</f>
        <v>2.3876567999999989</v>
      </c>
      <c r="AG347" s="171">
        <f>COUNTIF(Delivery[Delivery ID],Delivery[[#This Row],[Delivery ID]])</f>
        <v>1</v>
      </c>
      <c r="AH347" s="171">
        <f>(Delivery[[#This Row],[Nespresso total]]/SUMIF(Allocation!C:C,Delivery[Delivery ID],Allocation!H:H))/Delivery[[#This Row],[Exchange rate VS USD]]</f>
        <v>14.975054980925947</v>
      </c>
      <c r="AI347" s="171">
        <f>(Delivery[[#This Row],[AAA Premium (total)]]/SUMIF(Allocation!C:C,Delivery[Delivery ID],Allocation!H:H))/Delivery[[#This Row],[Exchange rate VS USD]]</f>
        <v>0.90028893410061184</v>
      </c>
      <c r="AJ347" s="171">
        <f>Delivery[[#This Row],[Valor Prêmio Nespresso AAA por Kg (em US$)]]*60</f>
        <v>54.017336046036711</v>
      </c>
      <c r="AK347" s="171">
        <f>Delivery[[#This Row],[Valor Prêmio Nespresso AAA por saca (em US$)]]/1.3228/100</f>
        <v>0.40835603300602297</v>
      </c>
      <c r="AL347" s="171">
        <f>(Delivery[[#This Row],[BEN premium (total)]]/SUMIF(Allocation!C:C,Delivery[Delivery ID],Allocation!H:H))/Delivery[[#This Row],[Exchange rate for premiums VS USD]]</f>
        <v>0.3073992144415193</v>
      </c>
      <c r="AM347" s="171">
        <f>Delivery[[#This Row],[Valor Prêmio Nespresso BEN por Kg (em US$)]]*60</f>
        <v>18.443952866491159</v>
      </c>
      <c r="AN347" s="171">
        <f>Delivery[[#This Row],[Valor Prêmio Nespresso BEN por saca (em US$)]]/1.3228/100</f>
        <v>0.13943115260425734</v>
      </c>
      <c r="AO347" s="171">
        <f>SUMIF(Allocation[Delivery ID],Delivery[[#This Row],[Delivery ID]],Allocation[Quantity allocated])*16*1.3228*Delivery[[#This Row],[Exchange rate VS USD]]/60</f>
        <v>3652.8594643733327</v>
      </c>
      <c r="AP347" s="171">
        <f>Delivery[[#This Row],[AAA Premium (total)]]</f>
        <v>9322.92</v>
      </c>
      <c r="AQ347" s="171">
        <f>Delivery[[#This Row],[Valor pago pelo Cluster]]-Delivery[[#This Row],[Valor efetivamente pago pela Nespresso]]</f>
        <v>5670.0605356266678</v>
      </c>
    </row>
    <row r="348" spans="1:43" ht="15.75">
      <c r="A348" s="174" t="s">
        <v>69</v>
      </c>
      <c r="B348" s="232" t="s">
        <v>68</v>
      </c>
      <c r="C348" s="157">
        <v>1</v>
      </c>
      <c r="D348" s="157" t="s">
        <v>468</v>
      </c>
      <c r="E348" s="177" t="s">
        <v>468</v>
      </c>
      <c r="F348" s="233" t="s">
        <v>543</v>
      </c>
      <c r="G348" s="234">
        <v>43493</v>
      </c>
      <c r="H348" s="157" t="s">
        <v>1525</v>
      </c>
      <c r="I348" s="236" t="s">
        <v>672</v>
      </c>
      <c r="J348" s="237">
        <v>17350</v>
      </c>
      <c r="K348" s="175" t="s">
        <v>61</v>
      </c>
      <c r="L348" s="175" t="s">
        <v>439</v>
      </c>
      <c r="M348" s="175" t="s">
        <v>1343</v>
      </c>
      <c r="N348" s="180"/>
      <c r="O348" s="177"/>
      <c r="P348" s="181">
        <v>0</v>
      </c>
      <c r="Q348" s="177">
        <v>43430</v>
      </c>
      <c r="R348" s="178">
        <v>428.979175</v>
      </c>
      <c r="S348" s="179">
        <v>131042.97741296902</v>
      </c>
      <c r="T348" s="182" t="s">
        <v>45</v>
      </c>
      <c r="U348" s="183">
        <v>3.8944999999999999</v>
      </c>
      <c r="V348" s="179">
        <v>7878.14</v>
      </c>
      <c r="W348" s="179">
        <v>2688.8825870309997</v>
      </c>
      <c r="X348" s="186" t="s">
        <v>45</v>
      </c>
      <c r="Y348" s="183">
        <v>3.8944999999999999</v>
      </c>
      <c r="Z348" s="220" t="s">
        <v>473</v>
      </c>
      <c r="AA348" s="172">
        <f>Delivery[[#This Row],[Quantity delivered]]*VLOOKUP(Delivery[[#This Row],[Unit]],Tab_Conversão[],4,FALSE)*VLOOKUP(CONCATENATE(Delivery[[#This Row],[Coffee specie]],Delivery[[#This Row],[Coffee state]]),Tab_Conversão[],4,FALSE)</f>
        <v>17350</v>
      </c>
      <c r="AB348" s="169">
        <f>SUMIF(Allocation!C:C,Delivery[[#This Row],[Delivery ID]],Allocation!D:D)/Delivery[[#This Row],[Quantity delivered]]</f>
        <v>0.35971181556195964</v>
      </c>
      <c r="AC348" s="170">
        <f>Delivery[[#This Row],[Quantity delivered]]*Delivery[[#This Row],[Base price (Unidad)]]/60</f>
        <v>124046.47810416667</v>
      </c>
      <c r="AD348" s="171">
        <f>Delivery[[#This Row],[Nespresso total]]-Delivery[[#This Row],[Qt. Delivery * Base Price]]</f>
        <v>6996.4993088023475</v>
      </c>
      <c r="AE348" s="171">
        <f>Delivery[[#This Row],[AAA Premium (total)]]/Delivery[[#This Row],[Quantity delivered]]*60/Delivery[[#This Row],[Exchange rate VS USD]]</f>
        <v>6.9955804813039011</v>
      </c>
      <c r="AF348" s="171">
        <f>Delivery[[#This Row],[BEN premium (total)]]/Delivery[[#This Row],[Quantity delivered]]*60/Delivery[[#This Row],[Exchange rate for premiums VS USD]]</f>
        <v>2.3876568000000002</v>
      </c>
      <c r="AG348" s="171">
        <f>COUNTIF(Delivery[Delivery ID],Delivery[[#This Row],[Delivery ID]])</f>
        <v>1</v>
      </c>
      <c r="AH348" s="171">
        <f>(Delivery[[#This Row],[Nespresso total]]/SUMIF(Allocation!C:C,Delivery[Delivery ID],Allocation!H:H))/Delivery[[#This Row],[Exchange rate VS USD]]</f>
        <v>14.974728994928034</v>
      </c>
      <c r="AI348" s="171">
        <f>(Delivery[[#This Row],[AAA Premium (total)]]/SUMIF(Allocation!C:C,Delivery[Delivery ID],Allocation!H:H))/Delivery[[#This Row],[Exchange rate VS USD]]</f>
        <v>0.90026198895284593</v>
      </c>
      <c r="AJ348" s="171">
        <f>Delivery[[#This Row],[Valor Prêmio Nespresso AAA por Kg (em US$)]]*60</f>
        <v>54.015719337170758</v>
      </c>
      <c r="AK348" s="171">
        <f>Delivery[[#This Row],[Valor Prêmio Nespresso AAA por saca (em US$)]]/1.3228/100</f>
        <v>0.4083438111367611</v>
      </c>
      <c r="AL348" s="171">
        <f>(Delivery[[#This Row],[BEN premium (total)]]/SUMIF(Allocation!C:C,Delivery[Delivery ID],Allocation!H:H))/Delivery[[#This Row],[Exchange rate for premiums VS USD]]</f>
        <v>0.30726780507343121</v>
      </c>
      <c r="AM348" s="171">
        <f>Delivery[[#This Row],[Valor Prêmio Nespresso BEN por Kg (em US$)]]*60</f>
        <v>18.436068304405872</v>
      </c>
      <c r="AN348" s="171">
        <f>Delivery[[#This Row],[Valor Prêmio Nespresso BEN por saca (em US$)]]/1.3228/100</f>
        <v>0.13937154750836009</v>
      </c>
      <c r="AO348" s="171">
        <f>SUMIF(Allocation[Delivery ID],Delivery[[#This Row],[Delivery ID]],Allocation[Quantity allocated])*16*1.3228*Delivery[[#This Row],[Exchange rate VS USD]]/60</f>
        <v>3086.8654443199998</v>
      </c>
      <c r="AP348" s="171">
        <f>Delivery[[#This Row],[AAA Premium (total)]]</f>
        <v>7878.14</v>
      </c>
      <c r="AQ348" s="171">
        <f>Delivery[[#This Row],[Valor pago pelo Cluster]]-Delivery[[#This Row],[Valor efetivamente pago pela Nespresso]]</f>
        <v>4791.27455568</v>
      </c>
    </row>
    <row r="349" spans="1:43" ht="15.75">
      <c r="A349" s="174" t="s">
        <v>69</v>
      </c>
      <c r="B349" s="232" t="s">
        <v>68</v>
      </c>
      <c r="C349" s="157">
        <v>1</v>
      </c>
      <c r="D349" s="157" t="s">
        <v>468</v>
      </c>
      <c r="E349" s="177" t="s">
        <v>468</v>
      </c>
      <c r="F349" s="233" t="s">
        <v>543</v>
      </c>
      <c r="G349" s="234">
        <v>43493</v>
      </c>
      <c r="H349" s="235" t="s">
        <v>2168</v>
      </c>
      <c r="I349" s="236" t="s">
        <v>672</v>
      </c>
      <c r="J349" s="237">
        <v>10420</v>
      </c>
      <c r="K349" s="175" t="s">
        <v>61</v>
      </c>
      <c r="L349" s="175" t="s">
        <v>439</v>
      </c>
      <c r="M349" s="175" t="s">
        <v>1343</v>
      </c>
      <c r="N349" s="180"/>
      <c r="O349" s="177"/>
      <c r="P349" s="181">
        <v>0</v>
      </c>
      <c r="Q349" s="177">
        <v>43430</v>
      </c>
      <c r="R349" s="178">
        <v>428.979175</v>
      </c>
      <c r="S349" s="179">
        <v>80516.759999999995</v>
      </c>
      <c r="T349" s="182" t="s">
        <v>45</v>
      </c>
      <c r="U349" s="183">
        <v>3.8944999999999999</v>
      </c>
      <c r="V349" s="179">
        <v>4743.2400000000007</v>
      </c>
      <c r="W349" s="179">
        <v>0</v>
      </c>
      <c r="X349" s="186" t="s">
        <v>45</v>
      </c>
      <c r="Y349" s="183">
        <v>3.8944999999999999</v>
      </c>
      <c r="Z349" s="220" t="s">
        <v>2125</v>
      </c>
      <c r="AA349" s="172">
        <f>Delivery[[#This Row],[Quantity delivered]]*VLOOKUP(Delivery[[#This Row],[Unit]],Tab_Conversão[],4,FALSE)*VLOOKUP(CONCATENATE(Delivery[[#This Row],[Coffee specie]],Delivery[[#This Row],[Coffee state]]),Tab_Conversão[],4,FALSE)</f>
        <v>10420</v>
      </c>
      <c r="AB349" s="169">
        <f>SUMIF(Allocation!C:C,Delivery[[#This Row],[Delivery ID]],Allocation!D:D)/Delivery[[#This Row],[Quantity delivered]]</f>
        <v>5.7581573896353167E-4</v>
      </c>
      <c r="AC349" s="170">
        <f>Delivery[[#This Row],[Quantity delivered]]*Delivery[[#This Row],[Base price (Unidad)]]/60</f>
        <v>74499.383391666663</v>
      </c>
      <c r="AD349" s="171">
        <f>Delivery[[#This Row],[Nespresso total]]-Delivery[[#This Row],[Qt. Delivery * Base Price]]</f>
        <v>6017.3766083333321</v>
      </c>
      <c r="AE349" s="171">
        <f>Delivery[[#This Row],[AAA Premium (total)]]/Delivery[[#This Row],[Quantity delivered]]*60/Delivery[[#This Row],[Exchange rate VS USD]]</f>
        <v>7.0130498027510146</v>
      </c>
      <c r="AF349" s="171">
        <f>Delivery[[#This Row],[BEN premium (total)]]/Delivery[[#This Row],[Quantity delivered]]*60/Delivery[[#This Row],[Exchange rate for premiums VS USD]]</f>
        <v>0</v>
      </c>
      <c r="AG349" s="171">
        <f>COUNTIF(Delivery[Delivery ID],Delivery[[#This Row],[Delivery ID]])</f>
        <v>1</v>
      </c>
      <c r="AH349" s="171">
        <f>(Delivery[[#This Row],[Nespresso total]]/SUMIF(Allocation!C:C,Delivery[Delivery ID],Allocation!H:H))/Delivery[[#This Row],[Exchange rate VS USD]]</f>
        <v>10337.239697008601</v>
      </c>
      <c r="AI349" s="171">
        <f>(Delivery[[#This Row],[AAA Premium (total)]]/SUMIF(Allocation!C:C,Delivery[Delivery ID],Allocation!H:H))/Delivery[[#This Row],[Exchange rate VS USD]]</f>
        <v>608.96649120554639</v>
      </c>
      <c r="AJ349" s="171">
        <f>Delivery[[#This Row],[Valor Prêmio Nespresso AAA por Kg (em US$)]]*60</f>
        <v>36537.989472332782</v>
      </c>
      <c r="AK349" s="171">
        <f>Delivery[[#This Row],[Valor Prêmio Nespresso AAA por saca (em US$)]]/1.3228/100</f>
        <v>276.21703562392486</v>
      </c>
      <c r="AL349" s="171">
        <f>(Delivery[[#This Row],[BEN premium (total)]]/SUMIF(Allocation!C:C,Delivery[Delivery ID],Allocation!H:H))/Delivery[[#This Row],[Exchange rate for premiums VS USD]]</f>
        <v>0</v>
      </c>
      <c r="AM349" s="171">
        <f>Delivery[[#This Row],[Valor Prêmio Nespresso BEN por Kg (em US$)]]*60</f>
        <v>0</v>
      </c>
      <c r="AN349" s="171">
        <f>Delivery[[#This Row],[Valor Prêmio Nespresso BEN por saca (em US$)]]/1.3228/100</f>
        <v>0</v>
      </c>
      <c r="AO349" s="171">
        <f>SUMIF(Allocation[Delivery ID],Delivery[[#This Row],[Delivery ID]],Allocation[Quantity allocated])*16*1.3228*Delivery[[#This Row],[Exchange rate VS USD]]/60</f>
        <v>2.7475437866666668</v>
      </c>
      <c r="AP349" s="171">
        <f>Delivery[[#This Row],[AAA Premium (total)]]</f>
        <v>4743.2400000000007</v>
      </c>
      <c r="AQ349" s="171">
        <f>Delivery[[#This Row],[Valor pago pelo Cluster]]-Delivery[[#This Row],[Valor efetivamente pago pela Nespresso]]</f>
        <v>4740.4924562133338</v>
      </c>
    </row>
    <row r="350" spans="1:43" ht="15.75">
      <c r="A350" s="174" t="s">
        <v>69</v>
      </c>
      <c r="B350" s="232" t="s">
        <v>68</v>
      </c>
      <c r="C350" s="157">
        <v>1</v>
      </c>
      <c r="D350" s="157" t="s">
        <v>468</v>
      </c>
      <c r="E350" s="177" t="s">
        <v>468</v>
      </c>
      <c r="F350" s="233" t="s">
        <v>543</v>
      </c>
      <c r="G350" s="234">
        <v>43493</v>
      </c>
      <c r="H350" s="157" t="s">
        <v>1526</v>
      </c>
      <c r="I350" s="236" t="s">
        <v>672</v>
      </c>
      <c r="J350" s="237">
        <v>19110</v>
      </c>
      <c r="K350" s="175" t="s">
        <v>61</v>
      </c>
      <c r="L350" s="175" t="s">
        <v>439</v>
      </c>
      <c r="M350" s="175" t="s">
        <v>1343</v>
      </c>
      <c r="N350" s="180"/>
      <c r="O350" s="177"/>
      <c r="P350" s="181">
        <v>0</v>
      </c>
      <c r="Q350" s="177">
        <v>43430</v>
      </c>
      <c r="R350" s="178">
        <v>428.979175</v>
      </c>
      <c r="S350" s="179">
        <v>144652.41468367941</v>
      </c>
      <c r="T350" s="182" t="s">
        <v>45</v>
      </c>
      <c r="U350" s="183">
        <v>3.8944999999999999</v>
      </c>
      <c r="V350" s="179">
        <v>8695.94</v>
      </c>
      <c r="W350" s="179">
        <v>2961.6453163205992</v>
      </c>
      <c r="X350" s="186" t="s">
        <v>45</v>
      </c>
      <c r="Y350" s="183">
        <v>3.8944999999999999</v>
      </c>
      <c r="Z350" s="220" t="s">
        <v>473</v>
      </c>
      <c r="AA350" s="172">
        <f>Delivery[[#This Row],[Quantity delivered]]*VLOOKUP(Delivery[[#This Row],[Unit]],Tab_Conversão[],4,FALSE)*VLOOKUP(CONCATENATE(Delivery[[#This Row],[Coffee specie]],Delivery[[#This Row],[Coffee state]]),Tab_Conversão[],4,FALSE)</f>
        <v>19110</v>
      </c>
      <c r="AB350" s="169">
        <f>SUMIF(Allocation!C:C,Delivery[[#This Row],[Delivery ID]],Allocation!D:D)/Delivery[[#This Row],[Quantity delivered]]</f>
        <v>0.36049188906331764</v>
      </c>
      <c r="AC350" s="170">
        <f>Delivery[[#This Row],[Quantity delivered]]*Delivery[[#This Row],[Base price (Unidad)]]/60</f>
        <v>136629.8672375</v>
      </c>
      <c r="AD350" s="171">
        <f>Delivery[[#This Row],[Nespresso total]]-Delivery[[#This Row],[Qt. Delivery * Base Price]]</f>
        <v>8022.5474461794074</v>
      </c>
      <c r="AE350" s="171">
        <f>Delivery[[#This Row],[AAA Premium (total)]]/Delivery[[#This Row],[Quantity delivered]]*60/Delivery[[#This Row],[Exchange rate VS USD]]</f>
        <v>7.0106032477875555</v>
      </c>
      <c r="AF350" s="171">
        <f>Delivery[[#This Row],[BEN premium (total)]]/Delivery[[#This Row],[Quantity delivered]]*60/Delivery[[#This Row],[Exchange rate for premiums VS USD]]</f>
        <v>2.3876567999999994</v>
      </c>
      <c r="AG350" s="171">
        <f>COUNTIF(Delivery[Delivery ID],Delivery[[#This Row],[Delivery ID]])</f>
        <v>1</v>
      </c>
      <c r="AH350" s="171">
        <f>(Delivery[[#This Row],[Nespresso total]]/SUMIF(Allocation!C:C,Delivery[Delivery ID],Allocation!H:H))/Delivery[[#This Row],[Exchange rate VS USD]]</f>
        <v>14.976912714340676</v>
      </c>
      <c r="AI350" s="171">
        <f>(Delivery[[#This Row],[AAA Premium (total)]]/SUMIF(Allocation!C:C,Delivery[Delivery ID],Allocation!H:H))/Delivery[[#This Row],[Exchange rate VS USD]]</f>
        <v>0.90035368323400666</v>
      </c>
      <c r="AJ350" s="171">
        <f>Delivery[[#This Row],[Valor Prêmio Nespresso AAA por Kg (em US$)]]*60</f>
        <v>54.021220994040398</v>
      </c>
      <c r="AK350" s="171">
        <f>Delivery[[#This Row],[Valor Prêmio Nespresso AAA por saca (em US$)]]/1.3228/100</f>
        <v>0.40838540213214691</v>
      </c>
      <c r="AL350" s="171">
        <f>(Delivery[[#This Row],[BEN premium (total)]]/SUMIF(Allocation!C:C,Delivery[Delivery ID],Allocation!H:H))/Delivery[[#This Row],[Exchange rate for premiums VS USD]]</f>
        <v>0.30664060112903219</v>
      </c>
      <c r="AM350" s="171">
        <f>Delivery[[#This Row],[Valor Prêmio Nespresso BEN por Kg (em US$)]]*60</f>
        <v>18.39843606774193</v>
      </c>
      <c r="AN350" s="171">
        <f>Delivery[[#This Row],[Valor Prêmio Nespresso BEN por saca (em US$)]]/1.3228/100</f>
        <v>0.13908705826838472</v>
      </c>
      <c r="AO350" s="171">
        <f>SUMIF(Allocation[Delivery ID],Delivery[[#This Row],[Delivery ID]],Allocation[Quantity allocated])*16*1.3228*Delivery[[#This Row],[Exchange rate VS USD]]/60</f>
        <v>3406.9542954666667</v>
      </c>
      <c r="AP350" s="171">
        <f>Delivery[[#This Row],[AAA Premium (total)]]</f>
        <v>8695.94</v>
      </c>
      <c r="AQ350" s="171">
        <f>Delivery[[#This Row],[Valor pago pelo Cluster]]-Delivery[[#This Row],[Valor efetivamente pago pela Nespresso]]</f>
        <v>5288.9857045333338</v>
      </c>
    </row>
    <row r="351" spans="1:43" ht="15.75">
      <c r="A351" s="174" t="s">
        <v>69</v>
      </c>
      <c r="B351" s="232" t="s">
        <v>68</v>
      </c>
      <c r="C351" s="157">
        <v>1</v>
      </c>
      <c r="D351" s="157" t="s">
        <v>468</v>
      </c>
      <c r="E351" s="177" t="s">
        <v>468</v>
      </c>
      <c r="F351" s="233" t="s">
        <v>543</v>
      </c>
      <c r="G351" s="234">
        <v>43493</v>
      </c>
      <c r="H351" s="157" t="s">
        <v>1527</v>
      </c>
      <c r="I351" s="236" t="s">
        <v>672</v>
      </c>
      <c r="J351" s="237">
        <v>19070</v>
      </c>
      <c r="K351" s="175" t="s">
        <v>61</v>
      </c>
      <c r="L351" s="175" t="s">
        <v>439</v>
      </c>
      <c r="M351" s="175" t="s">
        <v>1343</v>
      </c>
      <c r="N351" s="180"/>
      <c r="O351" s="177"/>
      <c r="P351" s="185">
        <v>0</v>
      </c>
      <c r="Q351" s="177">
        <v>43430</v>
      </c>
      <c r="R351" s="178">
        <v>428.979175</v>
      </c>
      <c r="S351" s="179">
        <v>144195.8738366178</v>
      </c>
      <c r="T351" s="182" t="s">
        <v>45</v>
      </c>
      <c r="U351" s="183">
        <v>3.8944999999999999</v>
      </c>
      <c r="V351" s="179">
        <v>8668.68</v>
      </c>
      <c r="W351" s="179">
        <v>2955.4461633821993</v>
      </c>
      <c r="X351" s="186" t="s">
        <v>45</v>
      </c>
      <c r="Y351" s="183">
        <v>3.8944999999999999</v>
      </c>
      <c r="Z351" s="220" t="s">
        <v>473</v>
      </c>
      <c r="AA351" s="172">
        <f>Delivery[[#This Row],[Quantity delivered]]*VLOOKUP(Delivery[[#This Row],[Unit]],Tab_Conversão[],4,FALSE)*VLOOKUP(CONCATENATE(Delivery[[#This Row],[Coffee specie]],Delivery[[#This Row],[Coffee state]]),Tab_Conversão[],4,FALSE)</f>
        <v>19070</v>
      </c>
      <c r="AB351" s="169">
        <f>SUMIF(Allocation!C:C,Delivery[[#This Row],[Delivery ID]],Allocation!D:D)/Delivery[[#This Row],[Quantity delivered]]</f>
        <v>0.36035658101730467</v>
      </c>
      <c r="AC351" s="170">
        <f>Delivery[[#This Row],[Quantity delivered]]*Delivery[[#This Row],[Base price (Unidad)]]/60</f>
        <v>136343.88112083334</v>
      </c>
      <c r="AD351" s="171">
        <f>Delivery[[#This Row],[Nespresso total]]-Delivery[[#This Row],[Qt. Delivery * Base Price]]</f>
        <v>7851.992715784465</v>
      </c>
      <c r="AE351" s="171">
        <f>Delivery[[#This Row],[AAA Premium (total)]]/Delivery[[#This Row],[Quantity delivered]]*60/Delivery[[#This Row],[Exchange rate VS USD]]</f>
        <v>7.0032853264149768</v>
      </c>
      <c r="AF351" s="171">
        <f>Delivery[[#This Row],[BEN premium (total)]]/Delivery[[#This Row],[Quantity delivered]]*60/Delivery[[#This Row],[Exchange rate for premiums VS USD]]</f>
        <v>2.3876567999999994</v>
      </c>
      <c r="AG351" s="171">
        <f>COUNTIF(Delivery[Delivery ID],Delivery[[#This Row],[Delivery ID]])</f>
        <v>1</v>
      </c>
      <c r="AH351" s="171">
        <f>(Delivery[[#This Row],[Nespresso total]]/SUMIF(Allocation!C:C,Delivery[Delivery ID],Allocation!H:H))/Delivery[[#This Row],[Exchange rate VS USD]]</f>
        <v>14.965851437216177</v>
      </c>
      <c r="AI351" s="171">
        <f>(Delivery[[#This Row],[AAA Premium (total)]]/SUMIF(Allocation!C:C,Delivery[Delivery ID],Allocation!H:H))/Delivery[[#This Row],[Exchange rate VS USD]]</f>
        <v>0.8997079707271195</v>
      </c>
      <c r="AJ351" s="171">
        <f>Delivery[[#This Row],[Valor Prêmio Nespresso AAA por Kg (em US$)]]*60</f>
        <v>53.98247824362717</v>
      </c>
      <c r="AK351" s="171">
        <f>Delivery[[#This Row],[Valor Prêmio Nespresso AAA por saca (em US$)]]/1.3228/100</f>
        <v>0.40809251771716942</v>
      </c>
      <c r="AL351" s="171">
        <f>(Delivery[[#This Row],[BEN premium (total)]]/SUMIF(Allocation!C:C,Delivery[Delivery ID],Allocation!H:H))/Delivery[[#This Row],[Exchange rate for premiums VS USD]]</f>
        <v>0.30674087291835078</v>
      </c>
      <c r="AM351" s="171">
        <f>Delivery[[#This Row],[Valor Prêmio Nespresso BEN por Kg (em US$)]]*60</f>
        <v>18.404452375101048</v>
      </c>
      <c r="AN351" s="171">
        <f>Delivery[[#This Row],[Valor Prêmio Nespresso BEN por saca (em US$)]]/1.3228/100</f>
        <v>0.13913253987829641</v>
      </c>
      <c r="AO351" s="171">
        <f>SUMIF(Allocation[Delivery ID],Delivery[[#This Row],[Delivery ID]],Allocation[Quantity allocated])*16*1.3228*Delivery[[#This Row],[Exchange rate VS USD]]/60</f>
        <v>3398.7116641066664</v>
      </c>
      <c r="AP351" s="171">
        <f>Delivery[[#This Row],[AAA Premium (total)]]</f>
        <v>8668.68</v>
      </c>
      <c r="AQ351" s="171">
        <f>Delivery[[#This Row],[Valor pago pelo Cluster]]-Delivery[[#This Row],[Valor efetivamente pago pela Nespresso]]</f>
        <v>5269.9683358933344</v>
      </c>
    </row>
    <row r="352" spans="1:43" ht="15.75">
      <c r="A352" s="174" t="s">
        <v>69</v>
      </c>
      <c r="B352" s="232" t="s">
        <v>68</v>
      </c>
      <c r="C352" s="157">
        <v>1</v>
      </c>
      <c r="D352" s="157" t="s">
        <v>468</v>
      </c>
      <c r="E352" s="177" t="s">
        <v>468</v>
      </c>
      <c r="F352" s="233" t="s">
        <v>543</v>
      </c>
      <c r="G352" s="234">
        <v>43493</v>
      </c>
      <c r="H352" s="157" t="s">
        <v>1528</v>
      </c>
      <c r="I352" s="236" t="s">
        <v>672</v>
      </c>
      <c r="J352" s="237">
        <v>19270</v>
      </c>
      <c r="K352" s="175" t="s">
        <v>61</v>
      </c>
      <c r="L352" s="175" t="s">
        <v>439</v>
      </c>
      <c r="M352" s="175" t="s">
        <v>1343</v>
      </c>
      <c r="N352" s="180"/>
      <c r="O352" s="177"/>
      <c r="P352" s="181">
        <v>0</v>
      </c>
      <c r="Q352" s="177">
        <v>43430</v>
      </c>
      <c r="R352" s="178">
        <v>428.979175</v>
      </c>
      <c r="S352" s="179">
        <v>145553.09807192581</v>
      </c>
      <c r="T352" s="182" t="s">
        <v>45</v>
      </c>
      <c r="U352" s="183">
        <v>3.8944999999999999</v>
      </c>
      <c r="V352" s="179">
        <v>8750.4600000000009</v>
      </c>
      <c r="W352" s="179">
        <v>2986.4419280741995</v>
      </c>
      <c r="X352" s="186" t="s">
        <v>45</v>
      </c>
      <c r="Y352" s="183">
        <v>3.8944999999999999</v>
      </c>
      <c r="Z352" s="220" t="s">
        <v>473</v>
      </c>
      <c r="AA352" s="172">
        <f>Delivery[[#This Row],[Quantity delivered]]*VLOOKUP(Delivery[[#This Row],[Unit]],Tab_Conversão[],4,FALSE)*VLOOKUP(CONCATENATE(Delivery[[#This Row],[Coffee specie]],Delivery[[#This Row],[Coffee state]]),Tab_Conversão[],4,FALSE)</f>
        <v>19270</v>
      </c>
      <c r="AB352" s="169">
        <f>SUMIF(Allocation!C:C,Delivery[[#This Row],[Delivery ID]],Allocation!D:D)/Delivery[[#This Row],[Quantity delivered]]</f>
        <v>0.36024909185262066</v>
      </c>
      <c r="AC352" s="170">
        <f>Delivery[[#This Row],[Quantity delivered]]*Delivery[[#This Row],[Base price (Unidad)]]/60</f>
        <v>137773.81170416667</v>
      </c>
      <c r="AD352" s="171">
        <f>Delivery[[#This Row],[Nespresso total]]-Delivery[[#This Row],[Qt. Delivery * Base Price]]</f>
        <v>7779.2863677591376</v>
      </c>
      <c r="AE352" s="171">
        <f>Delivery[[#This Row],[AAA Premium (total)]]/Delivery[[#This Row],[Quantity delivered]]*60/Delivery[[#This Row],[Exchange rate VS USD]]</f>
        <v>6.9959824518003826</v>
      </c>
      <c r="AF352" s="171">
        <f>Delivery[[#This Row],[BEN premium (total)]]/Delivery[[#This Row],[Quantity delivered]]*60/Delivery[[#This Row],[Exchange rate for premiums VS USD]]</f>
        <v>2.3876567999999994</v>
      </c>
      <c r="AG352" s="171">
        <f>COUNTIF(Delivery[Delivery ID],Delivery[[#This Row],[Delivery ID]])</f>
        <v>1</v>
      </c>
      <c r="AH352" s="171">
        <f>(Delivery[[#This Row],[Nespresso total]]/SUMIF(Allocation!C:C,Delivery[Delivery ID],Allocation!H:H))/Delivery[[#This Row],[Exchange rate VS USD]]</f>
        <v>14.955587891536206</v>
      </c>
      <c r="AI352" s="171">
        <f>(Delivery[[#This Row],[AAA Premium (total)]]/SUMIF(Allocation!C:C,Delivery[Delivery ID],Allocation!H:H))/Delivery[[#This Row],[Exchange rate VS USD]]</f>
        <v>0.89911018971717604</v>
      </c>
      <c r="AJ352" s="171">
        <f>Delivery[[#This Row],[Valor Prêmio Nespresso AAA por Kg (em US$)]]*60</f>
        <v>53.946611383030564</v>
      </c>
      <c r="AK352" s="171">
        <f>Delivery[[#This Row],[Valor Prêmio Nespresso AAA por saca (em US$)]]/1.3228/100</f>
        <v>0.40782137422913939</v>
      </c>
      <c r="AL352" s="171">
        <f>(Delivery[[#This Row],[BEN premium (total)]]/SUMIF(Allocation!C:C,Delivery[Delivery ID],Allocation!H:H))/Delivery[[#This Row],[Exchange rate for premiums VS USD]]</f>
        <v>0.30685705306122446</v>
      </c>
      <c r="AM352" s="171">
        <f>Delivery[[#This Row],[Valor Prêmio Nespresso BEN por Kg (em US$)]]*60</f>
        <v>18.411423183673467</v>
      </c>
      <c r="AN352" s="171">
        <f>Delivery[[#This Row],[Valor Prêmio Nespresso BEN por saca (em US$)]]/1.3228/100</f>
        <v>0.13918523725184054</v>
      </c>
      <c r="AO352" s="171">
        <f>SUMIF(Allocation[Delivery ID],Delivery[[#This Row],[Delivery ID]],Allocation[Quantity allocated])*16*1.3228*Delivery[[#This Row],[Exchange rate VS USD]]/60</f>
        <v>3433.0559614399999</v>
      </c>
      <c r="AP352" s="171">
        <f>Delivery[[#This Row],[AAA Premium (total)]]</f>
        <v>8750.4600000000009</v>
      </c>
      <c r="AQ352" s="171">
        <f>Delivery[[#This Row],[Valor pago pelo Cluster]]-Delivery[[#This Row],[Valor efetivamente pago pela Nespresso]]</f>
        <v>5317.404038560001</v>
      </c>
    </row>
    <row r="353" spans="1:43" ht="15.75">
      <c r="A353" s="174" t="s">
        <v>69</v>
      </c>
      <c r="B353" s="232" t="s">
        <v>68</v>
      </c>
      <c r="C353" s="157">
        <v>1</v>
      </c>
      <c r="D353" s="157" t="s">
        <v>468</v>
      </c>
      <c r="E353" s="177" t="s">
        <v>468</v>
      </c>
      <c r="F353" s="233" t="s">
        <v>543</v>
      </c>
      <c r="G353" s="234">
        <v>43493</v>
      </c>
      <c r="H353" s="157" t="s">
        <v>1529</v>
      </c>
      <c r="I353" s="236" t="s">
        <v>672</v>
      </c>
      <c r="J353" s="237">
        <v>21150</v>
      </c>
      <c r="K353" s="175" t="s">
        <v>61</v>
      </c>
      <c r="L353" s="175" t="s">
        <v>439</v>
      </c>
      <c r="M353" s="175" t="s">
        <v>1343</v>
      </c>
      <c r="N353" s="180"/>
      <c r="O353" s="177"/>
      <c r="P353" s="181">
        <v>0</v>
      </c>
      <c r="Q353" s="177">
        <v>43430</v>
      </c>
      <c r="R353" s="178">
        <v>428.979175</v>
      </c>
      <c r="S353" s="179">
        <v>160069.41788382101</v>
      </c>
      <c r="T353" s="182" t="s">
        <v>45</v>
      </c>
      <c r="U353" s="183">
        <v>3.8944999999999999</v>
      </c>
      <c r="V353" s="179">
        <v>9622.7800000000007</v>
      </c>
      <c r="W353" s="179">
        <v>3277.8021161789993</v>
      </c>
      <c r="X353" s="186" t="s">
        <v>45</v>
      </c>
      <c r="Y353" s="183">
        <v>3.8944999999999999</v>
      </c>
      <c r="Z353" s="220" t="s">
        <v>473</v>
      </c>
      <c r="AA353" s="172">
        <f>Delivery[[#This Row],[Quantity delivered]]*VLOOKUP(Delivery[[#This Row],[Unit]],Tab_Conversão[],4,FALSE)*VLOOKUP(CONCATENATE(Delivery[[#This Row],[Coffee specie]],Delivery[[#This Row],[Coffee state]]),Tab_Conversão[],4,FALSE)</f>
        <v>21150</v>
      </c>
      <c r="AB353" s="169">
        <f>SUMIF(Allocation!C:C,Delivery[[#This Row],[Delivery ID]],Allocation!D:D)/Delivery[[#This Row],[Quantity delivered]]</f>
        <v>0.69063829787234043</v>
      </c>
      <c r="AC353" s="170">
        <f>Delivery[[#This Row],[Quantity delivered]]*Delivery[[#This Row],[Base price (Unidad)]]/60</f>
        <v>151215.15918749999</v>
      </c>
      <c r="AD353" s="171">
        <f>Delivery[[#This Row],[Nespresso total]]-Delivery[[#This Row],[Qt. Delivery * Base Price]]</f>
        <v>8854.2586963210197</v>
      </c>
      <c r="AE353" s="171">
        <f>Delivery[[#This Row],[AAA Premium (total)]]/Delivery[[#This Row],[Quantity delivered]]*60/Delivery[[#This Row],[Exchange rate VS USD]]</f>
        <v>7.0095433731330514</v>
      </c>
      <c r="AF353" s="171">
        <f>Delivery[[#This Row],[BEN premium (total)]]/Delivery[[#This Row],[Quantity delivered]]*60/Delivery[[#This Row],[Exchange rate for premiums VS USD]]</f>
        <v>2.3876567999999994</v>
      </c>
      <c r="AG353" s="171">
        <f>COUNTIF(Delivery[Delivery ID],Delivery[[#This Row],[Delivery ID]])</f>
        <v>1</v>
      </c>
      <c r="AH353" s="171">
        <f>(Delivery[[#This Row],[Nespresso total]]/SUMIF(Allocation!C:C,Delivery[Delivery ID],Allocation!H:H))/Delivery[[#This Row],[Exchange rate VS USD]]</f>
        <v>7.8154409586413145</v>
      </c>
      <c r="AI353" s="171">
        <f>(Delivery[[#This Row],[AAA Premium (total)]]/SUMIF(Allocation!C:C,Delivery[Delivery ID],Allocation!H:H))/Delivery[[#This Row],[Exchange rate VS USD]]</f>
        <v>0.4698353373320785</v>
      </c>
      <c r="AJ353" s="171">
        <f>Delivery[[#This Row],[Valor Prêmio Nespresso AAA por Kg (em US$)]]*60</f>
        <v>28.19012023992471</v>
      </c>
      <c r="AK353" s="171">
        <f>Delivery[[#This Row],[Valor Prêmio Nespresso AAA por saca (em US$)]]/1.3228/100</f>
        <v>0.21310946658546048</v>
      </c>
      <c r="AL353" s="171">
        <f>(Delivery[[#This Row],[BEN premium (total)]]/SUMIF(Allocation!C:C,Delivery[Delivery ID],Allocation!H:H))/Delivery[[#This Row],[Exchange rate for premiums VS USD]]</f>
        <v>0.16003974557900741</v>
      </c>
      <c r="AM353" s="171">
        <f>Delivery[[#This Row],[Valor Prêmio Nespresso BEN por Kg (em US$)]]*60</f>
        <v>9.6023847347404452</v>
      </c>
      <c r="AN353" s="171">
        <f>Delivery[[#This Row],[Valor Prêmio Nespresso BEN por saca (em US$)]]/1.3228/100</f>
        <v>7.2591357232691611E-2</v>
      </c>
      <c r="AO353" s="171">
        <f>SUMIF(Allocation[Delivery ID],Delivery[[#This Row],[Delivery ID]],Allocation[Quantity allocated])*16*1.3228*Delivery[[#This Row],[Exchange rate VS USD]]/60</f>
        <v>7224.6663870399989</v>
      </c>
      <c r="AP353" s="171">
        <f>Delivery[[#This Row],[AAA Premium (total)]]</f>
        <v>9622.7800000000007</v>
      </c>
      <c r="AQ353" s="171">
        <f>Delivery[[#This Row],[Valor pago pelo Cluster]]-Delivery[[#This Row],[Valor efetivamente pago pela Nespresso]]</f>
        <v>2398.1136129600018</v>
      </c>
    </row>
    <row r="354" spans="1:43" ht="15.75">
      <c r="A354" s="174" t="s">
        <v>69</v>
      </c>
      <c r="B354" s="232" t="s">
        <v>68</v>
      </c>
      <c r="C354" s="157">
        <v>1</v>
      </c>
      <c r="D354" s="157" t="s">
        <v>468</v>
      </c>
      <c r="E354" s="176" t="s">
        <v>468</v>
      </c>
      <c r="F354" s="233" t="s">
        <v>543</v>
      </c>
      <c r="G354" s="234">
        <v>43493</v>
      </c>
      <c r="H354" s="157" t="s">
        <v>2169</v>
      </c>
      <c r="I354" s="236" t="s">
        <v>672</v>
      </c>
      <c r="J354" s="237">
        <v>18260</v>
      </c>
      <c r="K354" s="175" t="s">
        <v>61</v>
      </c>
      <c r="L354" s="175" t="s">
        <v>439</v>
      </c>
      <c r="M354" s="175" t="s">
        <v>1343</v>
      </c>
      <c r="N354" s="180"/>
      <c r="O354" s="177"/>
      <c r="P354" s="181">
        <v>0</v>
      </c>
      <c r="Q354" s="177">
        <v>43430</v>
      </c>
      <c r="R354" s="178">
        <v>428.979175</v>
      </c>
      <c r="S354" s="179">
        <v>140672.95999999999</v>
      </c>
      <c r="T354" s="182" t="s">
        <v>45</v>
      </c>
      <c r="U354" s="183">
        <v>3.8944999999999999</v>
      </c>
      <c r="V354" s="179">
        <v>8287.0400000000009</v>
      </c>
      <c r="W354" s="179">
        <v>0</v>
      </c>
      <c r="X354" s="186" t="s">
        <v>45</v>
      </c>
      <c r="Y354" s="183">
        <v>3.8944999999999999</v>
      </c>
      <c r="Z354" s="220" t="s">
        <v>2125</v>
      </c>
      <c r="AA354" s="172">
        <f>Delivery[[#This Row],[Quantity delivered]]*VLOOKUP(Delivery[[#This Row],[Unit]],Tab_Conversão[],4,FALSE)*VLOOKUP(CONCATENATE(Delivery[[#This Row],[Coffee specie]],Delivery[[#This Row],[Coffee state]]),Tab_Conversão[],4,FALSE)</f>
        <v>18260</v>
      </c>
      <c r="AB354" s="169">
        <f>SUMIF(Allocation!C:C,Delivery[[#This Row],[Delivery ID]],Allocation!D:D)/Delivery[[#This Row],[Quantity delivered]]</f>
        <v>4.381161007667032E-4</v>
      </c>
      <c r="AC354" s="170">
        <f>Delivery[[#This Row],[Quantity delivered]]*Delivery[[#This Row],[Base price (Unidad)]]/60</f>
        <v>130552.66225833334</v>
      </c>
      <c r="AD354" s="171">
        <f>Delivery[[#This Row],[Nespresso total]]-Delivery[[#This Row],[Qt. Delivery * Base Price]]</f>
        <v>10120.297741666654</v>
      </c>
      <c r="AE354" s="171">
        <f>Delivery[[#This Row],[AAA Premium (total)]]/Delivery[[#This Row],[Quantity delivered]]*60/Delivery[[#This Row],[Exchange rate VS USD]]</f>
        <v>6.9919482315400572</v>
      </c>
      <c r="AF354" s="171">
        <f>Delivery[[#This Row],[BEN premium (total)]]/Delivery[[#This Row],[Quantity delivered]]*60/Delivery[[#This Row],[Exchange rate for premiums VS USD]]</f>
        <v>0</v>
      </c>
      <c r="AG354" s="171">
        <f>COUNTIF(Delivery[Delivery ID],Delivery[[#This Row],[Delivery ID]])</f>
        <v>1</v>
      </c>
      <c r="AH354" s="171">
        <f>(Delivery[[#This Row],[Nespresso total]]/SUMIF(Allocation!C:C,Delivery[Delivery ID],Allocation!H:H))/Delivery[[#This Row],[Exchange rate VS USD]]</f>
        <v>12040.30983866136</v>
      </c>
      <c r="AI354" s="171">
        <f>(Delivery[[#This Row],[AAA Premium (total)]]/SUMIF(Allocation!C:C,Delivery[Delivery ID],Allocation!H:H))/Delivery[[#This Row],[Exchange rate VS USD]]</f>
        <v>709.29430393289692</v>
      </c>
      <c r="AJ354" s="171">
        <f>Delivery[[#This Row],[Valor Prêmio Nespresso AAA por Kg (em US$)]]*60</f>
        <v>42557.658235973817</v>
      </c>
      <c r="AK354" s="171">
        <f>Delivery[[#This Row],[Valor Prêmio Nespresso AAA por saca (em US$)]]/1.3228/100</f>
        <v>321.7240568186711</v>
      </c>
      <c r="AL354" s="171">
        <f>(Delivery[[#This Row],[BEN premium (total)]]/SUMIF(Allocation!C:C,Delivery[Delivery ID],Allocation!H:H))/Delivery[[#This Row],[Exchange rate for premiums VS USD]]</f>
        <v>0</v>
      </c>
      <c r="AM354" s="171">
        <f>Delivery[[#This Row],[Valor Prêmio Nespresso BEN por Kg (em US$)]]*60</f>
        <v>0</v>
      </c>
      <c r="AN354" s="171">
        <f>Delivery[[#This Row],[Valor Prêmio Nespresso BEN por saca (em US$)]]/1.3228/100</f>
        <v>0</v>
      </c>
      <c r="AO354" s="171">
        <f>SUMIF(Allocation[Delivery ID],Delivery[[#This Row],[Delivery ID]],Allocation[Quantity allocated])*16*1.3228*Delivery[[#This Row],[Exchange rate VS USD]]/60</f>
        <v>4.1213156799999995</v>
      </c>
      <c r="AP354" s="171">
        <f>Delivery[[#This Row],[AAA Premium (total)]]</f>
        <v>8287.0400000000009</v>
      </c>
      <c r="AQ354" s="171">
        <f>Delivery[[#This Row],[Valor pago pelo Cluster]]-Delivery[[#This Row],[Valor efetivamente pago pela Nespresso]]</f>
        <v>8282.9186843200005</v>
      </c>
    </row>
    <row r="355" spans="1:43" ht="15.75">
      <c r="A355" s="174" t="s">
        <v>69</v>
      </c>
      <c r="B355" s="232" t="s">
        <v>68</v>
      </c>
      <c r="C355" s="157">
        <v>1</v>
      </c>
      <c r="D355" s="157" t="s">
        <v>468</v>
      </c>
      <c r="E355" s="176" t="s">
        <v>468</v>
      </c>
      <c r="F355" s="233" t="s">
        <v>543</v>
      </c>
      <c r="G355" s="234">
        <v>43493</v>
      </c>
      <c r="H355" s="157" t="s">
        <v>2170</v>
      </c>
      <c r="I355" s="236" t="s">
        <v>672</v>
      </c>
      <c r="J355" s="237">
        <v>13180</v>
      </c>
      <c r="K355" s="175" t="s">
        <v>61</v>
      </c>
      <c r="L355" s="175" t="s">
        <v>439</v>
      </c>
      <c r="M355" s="175" t="s">
        <v>1343</v>
      </c>
      <c r="N355" s="180"/>
      <c r="O355" s="177"/>
      <c r="P355" s="185">
        <v>0</v>
      </c>
      <c r="Q355" s="177">
        <v>43430</v>
      </c>
      <c r="R355" s="178">
        <v>428.979175</v>
      </c>
      <c r="S355" s="179">
        <v>101802.8</v>
      </c>
      <c r="T355" s="182" t="s">
        <v>45</v>
      </c>
      <c r="U355" s="183">
        <v>3.8944999999999999</v>
      </c>
      <c r="V355" s="179">
        <v>5997.2000000000007</v>
      </c>
      <c r="W355" s="179">
        <v>0</v>
      </c>
      <c r="X355" s="186" t="s">
        <v>45</v>
      </c>
      <c r="Y355" s="183">
        <v>3.8944999999999999</v>
      </c>
      <c r="Z355" s="220" t="s">
        <v>2125</v>
      </c>
      <c r="AA355" s="172">
        <f>Delivery[[#This Row],[Quantity delivered]]*VLOOKUP(Delivery[[#This Row],[Unit]],Tab_Conversão[],4,FALSE)*VLOOKUP(CONCATENATE(Delivery[[#This Row],[Coffee specie]],Delivery[[#This Row],[Coffee state]]),Tab_Conversão[],4,FALSE)</f>
        <v>13180</v>
      </c>
      <c r="AB355" s="169">
        <f>SUMIF(Allocation!C:C,Delivery[[#This Row],[Delivery ID]],Allocation!D:D)/Delivery[[#This Row],[Quantity delivered]]</f>
        <v>4.5523520485584221E-4</v>
      </c>
      <c r="AC355" s="170">
        <f>Delivery[[#This Row],[Quantity delivered]]*Delivery[[#This Row],[Base price (Unidad)]]/60</f>
        <v>94232.425441666666</v>
      </c>
      <c r="AD355" s="171">
        <f>Delivery[[#This Row],[Nespresso total]]-Delivery[[#This Row],[Qt. Delivery * Base Price]]</f>
        <v>7570.3745583333366</v>
      </c>
      <c r="AE355" s="171">
        <f>Delivery[[#This Row],[AAA Premium (total)]]/Delivery[[#This Row],[Quantity delivered]]*60/Delivery[[#This Row],[Exchange rate VS USD]]</f>
        <v>7.0102364117639162</v>
      </c>
      <c r="AF355" s="171">
        <f>Delivery[[#This Row],[BEN premium (total)]]/Delivery[[#This Row],[Quantity delivered]]*60/Delivery[[#This Row],[Exchange rate for premiums VS USD]]</f>
        <v>0</v>
      </c>
      <c r="AG355" s="171">
        <f>COUNTIF(Delivery[Delivery ID],Delivery[[#This Row],[Delivery ID]])</f>
        <v>1</v>
      </c>
      <c r="AH355" s="171">
        <f>(Delivery[[#This Row],[Nespresso total]]/SUMIF(Allocation!C:C,Delivery[Delivery ID],Allocation!H:H))/Delivery[[#This Row],[Exchange rate VS USD]]</f>
        <v>13070.073180125819</v>
      </c>
      <c r="AI355" s="171">
        <f>(Delivery[[#This Row],[AAA Premium (total)]]/SUMIF(Allocation!C:C,Delivery[Delivery ID],Allocation!H:H))/Delivery[[#This Row],[Exchange rate VS USD]]</f>
        <v>769.9576325587368</v>
      </c>
      <c r="AJ355" s="171">
        <f>Delivery[[#This Row],[Valor Prêmio Nespresso AAA por Kg (em US$)]]*60</f>
        <v>46197.457953524208</v>
      </c>
      <c r="AK355" s="171">
        <f>Delivery[[#This Row],[Valor Prêmio Nespresso AAA por saca (em US$)]]/1.3228/100</f>
        <v>349.23993009921537</v>
      </c>
      <c r="AL355" s="171">
        <f>(Delivery[[#This Row],[BEN premium (total)]]/SUMIF(Allocation!C:C,Delivery[Delivery ID],Allocation!H:H))/Delivery[[#This Row],[Exchange rate for premiums VS USD]]</f>
        <v>0</v>
      </c>
      <c r="AM355" s="171">
        <f>Delivery[[#This Row],[Valor Prêmio Nespresso BEN por Kg (em US$)]]*60</f>
        <v>0</v>
      </c>
      <c r="AN355" s="171">
        <f>Delivery[[#This Row],[Valor Prêmio Nespresso BEN por saca (em US$)]]/1.3228/100</f>
        <v>0</v>
      </c>
      <c r="AO355" s="171">
        <f>SUMIF(Allocation[Delivery ID],Delivery[[#This Row],[Delivery ID]],Allocation[Quantity allocated])*16*1.3228*Delivery[[#This Row],[Exchange rate VS USD]]/60</f>
        <v>2.7475437866666668</v>
      </c>
      <c r="AP355" s="171">
        <f>Delivery[[#This Row],[AAA Premium (total)]]</f>
        <v>5997.2000000000007</v>
      </c>
      <c r="AQ355" s="171">
        <f>Delivery[[#This Row],[Valor pago pelo Cluster]]-Delivery[[#This Row],[Valor efetivamente pago pela Nespresso]]</f>
        <v>5994.4524562133338</v>
      </c>
    </row>
    <row r="356" spans="1:43" ht="15.75">
      <c r="A356" s="174" t="s">
        <v>69</v>
      </c>
      <c r="B356" s="232" t="s">
        <v>68</v>
      </c>
      <c r="C356" s="157">
        <v>1</v>
      </c>
      <c r="D356" s="157" t="s">
        <v>468</v>
      </c>
      <c r="E356" s="177" t="s">
        <v>468</v>
      </c>
      <c r="F356" s="233" t="s">
        <v>543</v>
      </c>
      <c r="G356" s="234">
        <v>43493</v>
      </c>
      <c r="H356" s="157" t="s">
        <v>1530</v>
      </c>
      <c r="I356" s="236" t="s">
        <v>672</v>
      </c>
      <c r="J356" s="237">
        <v>8880</v>
      </c>
      <c r="K356" s="175" t="s">
        <v>61</v>
      </c>
      <c r="L356" s="175" t="s">
        <v>439</v>
      </c>
      <c r="M356" s="175" t="s">
        <v>1343</v>
      </c>
      <c r="N356" s="180"/>
      <c r="O356" s="177"/>
      <c r="P356" s="181">
        <v>0</v>
      </c>
      <c r="Q356" s="177">
        <v>43430</v>
      </c>
      <c r="R356" s="178">
        <v>428.979175</v>
      </c>
      <c r="S356" s="179">
        <v>67109.308047675207</v>
      </c>
      <c r="T356" s="182" t="s">
        <v>45</v>
      </c>
      <c r="U356" s="183">
        <v>3.8944999999999999</v>
      </c>
      <c r="V356" s="179">
        <v>4034.48</v>
      </c>
      <c r="W356" s="179">
        <v>1376.2119523247995</v>
      </c>
      <c r="X356" s="186" t="s">
        <v>45</v>
      </c>
      <c r="Y356" s="183">
        <v>3.8944999999999999</v>
      </c>
      <c r="Z356" s="220" t="s">
        <v>473</v>
      </c>
      <c r="AA356" s="172">
        <f>Delivery[[#This Row],[Quantity delivered]]*VLOOKUP(Delivery[[#This Row],[Unit]],Tab_Conversão[],4,FALSE)*VLOOKUP(CONCATENATE(Delivery[[#This Row],[Coffee specie]],Delivery[[#This Row],[Coffee state]]),Tab_Conversão[],4,FALSE)</f>
        <v>8880</v>
      </c>
      <c r="AB356" s="169">
        <f>SUMIF(Allocation!C:C,Delivery[[#This Row],[Delivery ID]],Allocation!D:D)/Delivery[[#This Row],[Quantity delivered]]</f>
        <v>0.35968468468468467</v>
      </c>
      <c r="AC356" s="170">
        <f>Delivery[[#This Row],[Quantity delivered]]*Delivery[[#This Row],[Base price (Unidad)]]/60</f>
        <v>63488.9179</v>
      </c>
      <c r="AD356" s="171">
        <f>Delivery[[#This Row],[Nespresso total]]-Delivery[[#This Row],[Qt. Delivery * Base Price]]</f>
        <v>3620.3901476752071</v>
      </c>
      <c r="AE356" s="171">
        <f>Delivery[[#This Row],[AAA Premium (total)]]/Delivery[[#This Row],[Quantity delivered]]*60/Delivery[[#This Row],[Exchange rate VS USD]]</f>
        <v>6.9996148414430603</v>
      </c>
      <c r="AF356" s="171">
        <f>Delivery[[#This Row],[BEN premium (total)]]/Delivery[[#This Row],[Quantity delivered]]*60/Delivery[[#This Row],[Exchange rate for premiums VS USD]]</f>
        <v>2.3876567999999989</v>
      </c>
      <c r="AG356" s="171">
        <f>COUNTIF(Delivery[Delivery ID],Delivery[[#This Row],[Delivery ID]])</f>
        <v>1</v>
      </c>
      <c r="AH356" s="171">
        <f>(Delivery[[#This Row],[Nespresso total]]/SUMIF(Allocation!C:C,Delivery[Delivery ID],Allocation!H:H))/Delivery[[#This Row],[Exchange rate VS USD]]</f>
        <v>14.984187968020722</v>
      </c>
      <c r="AI356" s="171">
        <f>(Delivery[[#This Row],[AAA Premium (total)]]/SUMIF(Allocation!C:C,Delivery[Delivery ID],Allocation!H:H))/Delivery[[#This Row],[Exchange rate VS USD]]</f>
        <v>0.90081999698571569</v>
      </c>
      <c r="AJ356" s="171">
        <f>Delivery[[#This Row],[Valor Prêmio Nespresso AAA por Kg (em US$)]]*60</f>
        <v>54.049199819142942</v>
      </c>
      <c r="AK356" s="171">
        <f>Delivery[[#This Row],[Valor Prêmio Nespresso AAA por saca (em US$)]]/1.3228/100</f>
        <v>0.40859691426627565</v>
      </c>
      <c r="AL356" s="171">
        <f>(Delivery[[#This Row],[BEN premium (total)]]/SUMIF(Allocation!C:C,Delivery[Delivery ID],Allocation!H:H))/Delivery[[#This Row],[Exchange rate for premiums VS USD]]</f>
        <v>0.30728104904347819</v>
      </c>
      <c r="AM356" s="171">
        <f>Delivery[[#This Row],[Valor Prêmio Nespresso BEN por Kg (em US$)]]*60</f>
        <v>18.436862942608691</v>
      </c>
      <c r="AN356" s="171">
        <f>Delivery[[#This Row],[Valor Prêmio Nespresso BEN por saca (em US$)]]/1.3228/100</f>
        <v>0.13937755475210684</v>
      </c>
      <c r="AO356" s="171">
        <f>SUMIF(Allocation[Delivery ID],Delivery[[#This Row],[Delivery ID]],Allocation[Quantity allocated])*16*1.3228*Delivery[[#This Row],[Exchange rate VS USD]]/60</f>
        <v>1579.8376773333332</v>
      </c>
      <c r="AP356" s="171">
        <f>Delivery[[#This Row],[AAA Premium (total)]]</f>
        <v>4034.48</v>
      </c>
      <c r="AQ356" s="171">
        <f>Delivery[[#This Row],[Valor pago pelo Cluster]]-Delivery[[#This Row],[Valor efetivamente pago pela Nespresso]]</f>
        <v>2454.6423226666666</v>
      </c>
    </row>
    <row r="357" spans="1:43" ht="15.75">
      <c r="A357" s="174" t="s">
        <v>69</v>
      </c>
      <c r="B357" s="232" t="s">
        <v>68</v>
      </c>
      <c r="C357" s="157">
        <v>1</v>
      </c>
      <c r="D357" s="157" t="s">
        <v>468</v>
      </c>
      <c r="E357" s="177" t="s">
        <v>468</v>
      </c>
      <c r="F357" s="233" t="s">
        <v>543</v>
      </c>
      <c r="G357" s="234">
        <v>43493</v>
      </c>
      <c r="H357" s="157" t="s">
        <v>1531</v>
      </c>
      <c r="I357" s="236" t="s">
        <v>672</v>
      </c>
      <c r="J357" s="237">
        <v>15240</v>
      </c>
      <c r="K357" s="175" t="s">
        <v>61</v>
      </c>
      <c r="L357" s="175" t="s">
        <v>439</v>
      </c>
      <c r="M357" s="175" t="s">
        <v>1343</v>
      </c>
      <c r="N357" s="180"/>
      <c r="O357" s="177"/>
      <c r="P357" s="181">
        <v>0</v>
      </c>
      <c r="Q357" s="177">
        <v>43430</v>
      </c>
      <c r="R357" s="178">
        <v>428.979175</v>
      </c>
      <c r="S357" s="179">
        <v>115174.08273046961</v>
      </c>
      <c r="T357" s="182" t="s">
        <v>45</v>
      </c>
      <c r="U357" s="183">
        <v>3.8944999999999999</v>
      </c>
      <c r="V357" s="179">
        <v>6924.04</v>
      </c>
      <c r="W357" s="179">
        <v>2361.8772695303996</v>
      </c>
      <c r="X357" s="186" t="s">
        <v>45</v>
      </c>
      <c r="Y357" s="183">
        <v>3.8944999999999999</v>
      </c>
      <c r="Z357" s="220" t="s">
        <v>473</v>
      </c>
      <c r="AA357" s="172">
        <f>Delivery[[#This Row],[Quantity delivered]]*VLOOKUP(Delivery[[#This Row],[Unit]],Tab_Conversão[],4,FALSE)*VLOOKUP(CONCATENATE(Delivery[[#This Row],[Coffee specie]],Delivery[[#This Row],[Coffee state]]),Tab_Conversão[],4,FALSE)</f>
        <v>15240</v>
      </c>
      <c r="AB357" s="169">
        <f>SUMIF(Allocation!C:C,Delivery[[#This Row],[Delivery ID]],Allocation!D:D)/Delivery[[#This Row],[Quantity delivered]]</f>
        <v>0.36036745406824144</v>
      </c>
      <c r="AC357" s="170">
        <f>Delivery[[#This Row],[Quantity delivered]]*Delivery[[#This Row],[Base price (Unidad)]]/60</f>
        <v>108960.71045</v>
      </c>
      <c r="AD357" s="171">
        <f>Delivery[[#This Row],[Nespresso total]]-Delivery[[#This Row],[Qt. Delivery * Base Price]]</f>
        <v>6213.3722804696154</v>
      </c>
      <c r="AE357" s="171">
        <f>Delivery[[#This Row],[AAA Premium (total)]]/Delivery[[#This Row],[Quantity delivered]]*60/Delivery[[#This Row],[Exchange rate VS USD]]</f>
        <v>6.9996148414430603</v>
      </c>
      <c r="AF357" s="171">
        <f>Delivery[[#This Row],[BEN premium (total)]]/Delivery[[#This Row],[Quantity delivered]]*60/Delivery[[#This Row],[Exchange rate for premiums VS USD]]</f>
        <v>2.3876567999999994</v>
      </c>
      <c r="AG357" s="171">
        <f>COUNTIF(Delivery[Delivery ID],Delivery[[#This Row],[Delivery ID]])</f>
        <v>1</v>
      </c>
      <c r="AH357" s="171">
        <f>(Delivery[[#This Row],[Nespresso total]]/SUMIF(Allocation!C:C,Delivery[Delivery ID],Allocation!H:H))/Delivery[[#This Row],[Exchange rate VS USD]]</f>
        <v>14.958787220122124</v>
      </c>
      <c r="AI357" s="171">
        <f>(Delivery[[#This Row],[AAA Premium (total)]]/SUMIF(Allocation!C:C,Delivery[Delivery ID],Allocation!H:H))/Delivery[[#This Row],[Exchange rate VS USD]]</f>
        <v>0.89929295383234065</v>
      </c>
      <c r="AJ357" s="171">
        <f>Delivery[[#This Row],[Valor Prêmio Nespresso AAA por Kg (em US$)]]*60</f>
        <v>53.957577229940441</v>
      </c>
      <c r="AK357" s="171">
        <f>Delivery[[#This Row],[Valor Prêmio Nespresso AAA por saca (em US$)]]/1.3228/100</f>
        <v>0.40790427298110399</v>
      </c>
      <c r="AL357" s="171">
        <f>(Delivery[[#This Row],[BEN premium (total)]]/SUMIF(Allocation!C:C,Delivery[Delivery ID],Allocation!H:H))/Delivery[[#This Row],[Exchange rate for premiums VS USD]]</f>
        <v>0.3067601553869499</v>
      </c>
      <c r="AM357" s="171">
        <f>Delivery[[#This Row],[Valor Prêmio Nespresso BEN por Kg (em US$)]]*60</f>
        <v>18.405609323216993</v>
      </c>
      <c r="AN357" s="171">
        <f>Delivery[[#This Row],[Valor Prêmio Nespresso BEN por saca (em US$)]]/1.3228/100</f>
        <v>0.13914128608419257</v>
      </c>
      <c r="AO357" s="171">
        <f>SUMIF(Allocation[Delivery ID],Delivery[[#This Row],[Delivery ID]],Allocation[Quantity allocated])*16*1.3228*Delivery[[#This Row],[Exchange rate VS USD]]/60</f>
        <v>2715.94703312</v>
      </c>
      <c r="AP357" s="171">
        <f>Delivery[[#This Row],[AAA Premium (total)]]</f>
        <v>6924.04</v>
      </c>
      <c r="AQ357" s="171">
        <f>Delivery[[#This Row],[Valor pago pelo Cluster]]-Delivery[[#This Row],[Valor efetivamente pago pela Nespresso]]</f>
        <v>4208.0929668799999</v>
      </c>
    </row>
    <row r="358" spans="1:43" ht="15.75">
      <c r="A358" s="174" t="s">
        <v>69</v>
      </c>
      <c r="B358" s="232" t="s">
        <v>68</v>
      </c>
      <c r="C358" s="157">
        <v>1</v>
      </c>
      <c r="D358" s="157" t="s">
        <v>468</v>
      </c>
      <c r="E358" s="177" t="s">
        <v>468</v>
      </c>
      <c r="F358" s="233" t="s">
        <v>543</v>
      </c>
      <c r="G358" s="234">
        <v>43493</v>
      </c>
      <c r="H358" s="157" t="s">
        <v>1532</v>
      </c>
      <c r="I358" s="236" t="s">
        <v>672</v>
      </c>
      <c r="J358" s="237">
        <v>7470</v>
      </c>
      <c r="K358" s="175" t="s">
        <v>61</v>
      </c>
      <c r="L358" s="175" t="s">
        <v>439</v>
      </c>
      <c r="M358" s="175" t="s">
        <v>1343</v>
      </c>
      <c r="N358" s="180"/>
      <c r="O358" s="177"/>
      <c r="P358" s="181">
        <v>0</v>
      </c>
      <c r="Q358" s="177">
        <v>43430</v>
      </c>
      <c r="R358" s="178">
        <v>428.979175</v>
      </c>
      <c r="S358" s="179">
        <v>56684.808188753799</v>
      </c>
      <c r="T358" s="182" t="s">
        <v>45</v>
      </c>
      <c r="U358" s="183">
        <v>3.8944999999999999</v>
      </c>
      <c r="V358" s="179">
        <v>3407.5</v>
      </c>
      <c r="W358" s="179">
        <v>1157.6918112461997</v>
      </c>
      <c r="X358" s="186" t="s">
        <v>45</v>
      </c>
      <c r="Y358" s="183">
        <v>3.8944999999999999</v>
      </c>
      <c r="Z358" s="220" t="s">
        <v>473</v>
      </c>
      <c r="AA358" s="172">
        <f>Delivery[[#This Row],[Quantity delivered]]*VLOOKUP(Delivery[[#This Row],[Unit]],Tab_Conversão[],4,FALSE)*VLOOKUP(CONCATENATE(Delivery[[#This Row],[Coffee specie]],Delivery[[#This Row],[Coffee state]]),Tab_Conversão[],4,FALSE)</f>
        <v>7470</v>
      </c>
      <c r="AB358" s="169">
        <f>SUMIF(Allocation!C:C,Delivery[[#This Row],[Delivery ID]],Allocation!D:D)/Delivery[[#This Row],[Quantity delivered]]</f>
        <v>0.36104417670682731</v>
      </c>
      <c r="AC358" s="170">
        <f>Delivery[[#This Row],[Quantity delivered]]*Delivery[[#This Row],[Base price (Unidad)]]/60</f>
        <v>53407.907287499998</v>
      </c>
      <c r="AD358" s="171">
        <f>Delivery[[#This Row],[Nespresso total]]-Delivery[[#This Row],[Qt. Delivery * Base Price]]</f>
        <v>3276.9009012538008</v>
      </c>
      <c r="AE358" s="171">
        <f>Delivery[[#This Row],[AAA Premium (total)]]/Delivery[[#This Row],[Quantity delivered]]*60/Delivery[[#This Row],[Exchange rate VS USD]]</f>
        <v>7.0277257444207439</v>
      </c>
      <c r="AF358" s="171">
        <f>Delivery[[#This Row],[BEN premium (total)]]/Delivery[[#This Row],[Quantity delivered]]*60/Delivery[[#This Row],[Exchange rate for premiums VS USD]]</f>
        <v>2.3876567999999994</v>
      </c>
      <c r="AG358" s="171">
        <f>COUNTIF(Delivery[Delivery ID],Delivery[[#This Row],[Delivery ID]])</f>
        <v>1</v>
      </c>
      <c r="AH358" s="171">
        <f>(Delivery[[#This Row],[Nespresso total]]/SUMIF(Allocation!C:C,Delivery[Delivery ID],Allocation!H:H))/Delivery[[#This Row],[Exchange rate VS USD]]</f>
        <v>14.989796719780239</v>
      </c>
      <c r="AI358" s="171">
        <f>(Delivery[[#This Row],[AAA Premium (total)]]/SUMIF(Allocation!C:C,Delivery[Delivery ID],Allocation!H:H))/Delivery[[#This Row],[Exchange rate VS USD]]</f>
        <v>0.90108327001069277</v>
      </c>
      <c r="AJ358" s="171">
        <f>Delivery[[#This Row],[Valor Prêmio Nespresso AAA por Kg (em US$)]]*60</f>
        <v>54.064996200641566</v>
      </c>
      <c r="AK358" s="171">
        <f>Delivery[[#This Row],[Valor Prêmio Nespresso AAA por saca (em US$)]]/1.3228/100</f>
        <v>0.40871633051588724</v>
      </c>
      <c r="AL358" s="171">
        <f>(Delivery[[#This Row],[BEN premium (total)]]/SUMIF(Allocation!C:C,Delivery[Delivery ID],Allocation!H:H))/Delivery[[#This Row],[Exchange rate for premiums VS USD]]</f>
        <v>0.30614137136972186</v>
      </c>
      <c r="AM358" s="171">
        <f>Delivery[[#This Row],[Valor Prêmio Nespresso BEN por Kg (em US$)]]*60</f>
        <v>18.368482282183312</v>
      </c>
      <c r="AN358" s="171">
        <f>Delivery[[#This Row],[Valor Prêmio Nespresso BEN por saca (em US$)]]/1.3228/100</f>
        <v>0.13886061598263766</v>
      </c>
      <c r="AO358" s="171">
        <f>SUMIF(Allocation[Delivery ID],Delivery[[#This Row],[Delivery ID]],Allocation[Quantity allocated])*16*1.3228*Delivery[[#This Row],[Exchange rate VS USD]]/60</f>
        <v>1333.9325084266666</v>
      </c>
      <c r="AP358" s="171">
        <f>Delivery[[#This Row],[AAA Premium (total)]]</f>
        <v>3407.5</v>
      </c>
      <c r="AQ358" s="171">
        <f>Delivery[[#This Row],[Valor pago pelo Cluster]]-Delivery[[#This Row],[Valor efetivamente pago pela Nespresso]]</f>
        <v>2073.5674915733334</v>
      </c>
    </row>
    <row r="359" spans="1:43" ht="15.75">
      <c r="A359" s="174" t="s">
        <v>69</v>
      </c>
      <c r="B359" s="232" t="s">
        <v>68</v>
      </c>
      <c r="C359" s="157">
        <v>1</v>
      </c>
      <c r="D359" s="157" t="s">
        <v>468</v>
      </c>
      <c r="E359" s="177" t="s">
        <v>468</v>
      </c>
      <c r="F359" s="233" t="s">
        <v>543</v>
      </c>
      <c r="G359" s="234">
        <v>43493</v>
      </c>
      <c r="H359" s="157" t="s">
        <v>1533</v>
      </c>
      <c r="I359" s="236" t="s">
        <v>672</v>
      </c>
      <c r="J359" s="237">
        <v>11090</v>
      </c>
      <c r="K359" s="175" t="s">
        <v>61</v>
      </c>
      <c r="L359" s="175" t="s">
        <v>439</v>
      </c>
      <c r="M359" s="175" t="s">
        <v>1343</v>
      </c>
      <c r="N359" s="180"/>
      <c r="O359" s="177"/>
      <c r="P359" s="181">
        <v>0</v>
      </c>
      <c r="Q359" s="177">
        <v>43430</v>
      </c>
      <c r="R359" s="178">
        <v>428.979175</v>
      </c>
      <c r="S359" s="179">
        <v>83888.184847828612</v>
      </c>
      <c r="T359" s="182" t="s">
        <v>45</v>
      </c>
      <c r="U359" s="183">
        <v>3.8944999999999999</v>
      </c>
      <c r="V359" s="179">
        <v>5043.1000000000004</v>
      </c>
      <c r="W359" s="179">
        <v>1718.7151521713997</v>
      </c>
      <c r="X359" s="186" t="s">
        <v>45</v>
      </c>
      <c r="Y359" s="183">
        <v>3.8944999999999999</v>
      </c>
      <c r="Z359" s="220" t="s">
        <v>473</v>
      </c>
      <c r="AA359" s="172">
        <f>Delivery[[#This Row],[Quantity delivered]]*VLOOKUP(Delivery[[#This Row],[Unit]],Tab_Conversão[],4,FALSE)*VLOOKUP(CONCATENATE(Delivery[[#This Row],[Coffee specie]],Delivery[[#This Row],[Coffee state]]),Tab_Conversão[],4,FALSE)</f>
        <v>11090</v>
      </c>
      <c r="AB359" s="169">
        <f>SUMIF(Allocation!C:C,Delivery[[#This Row],[Delivery ID]],Allocation!D:D)/Delivery[[#This Row],[Quantity delivered]]</f>
        <v>0.3605049594229035</v>
      </c>
      <c r="AC359" s="170">
        <f>Delivery[[#This Row],[Quantity delivered]]*Delivery[[#This Row],[Base price (Unidad)]]/60</f>
        <v>79289.650845833341</v>
      </c>
      <c r="AD359" s="171">
        <f>Delivery[[#This Row],[Nespresso total]]-Delivery[[#This Row],[Qt. Delivery * Base Price]]</f>
        <v>4598.534001995271</v>
      </c>
      <c r="AE359" s="171">
        <f>Delivery[[#This Row],[AAA Premium (total)]]/Delivery[[#This Row],[Quantity delivered]]*60/Delivery[[#This Row],[Exchange rate VS USD]]</f>
        <v>7.0059264869267786</v>
      </c>
      <c r="AF359" s="171">
        <f>Delivery[[#This Row],[BEN premium (total)]]/Delivery[[#This Row],[Quantity delivered]]*60/Delivery[[#This Row],[Exchange rate for premiums VS USD]]</f>
        <v>2.3876567999999994</v>
      </c>
      <c r="AG359" s="171">
        <f>COUNTIF(Delivery[Delivery ID],Delivery[[#This Row],[Delivery ID]])</f>
        <v>1</v>
      </c>
      <c r="AH359" s="171">
        <f>(Delivery[[#This Row],[Nespresso total]]/SUMIF(Allocation!C:C,Delivery[Delivery ID],Allocation!H:H))/Delivery[[#This Row],[Exchange rate VS USD]]</f>
        <v>14.968845133307706</v>
      </c>
      <c r="AI359" s="171">
        <f>(Delivery[[#This Row],[AAA Premium (total)]]/SUMIF(Allocation!C:C,Delivery[Delivery ID],Allocation!H:H))/Delivery[[#This Row],[Exchange rate VS USD]]</f>
        <v>0.89988099073451455</v>
      </c>
      <c r="AJ359" s="171">
        <f>Delivery[[#This Row],[Valor Prêmio Nespresso AAA por Kg (em US$)]]*60</f>
        <v>53.992859444070874</v>
      </c>
      <c r="AK359" s="171">
        <f>Delivery[[#This Row],[Valor Prêmio Nespresso AAA por saca (em US$)]]/1.3228/100</f>
        <v>0.40817099670449708</v>
      </c>
      <c r="AL359" s="171">
        <f>(Delivery[[#This Row],[BEN premium (total)]]/SUMIF(Allocation!C:C,Delivery[Delivery ID],Allocation!H:H))/Delivery[[#This Row],[Exchange rate for premiums VS USD]]</f>
        <v>0.30668420097289778</v>
      </c>
      <c r="AM359" s="171">
        <f>Delivery[[#This Row],[Valor Prêmio Nespresso BEN por Kg (em US$)]]*60</f>
        <v>18.401052058373867</v>
      </c>
      <c r="AN359" s="171">
        <f>Delivery[[#This Row],[Valor Prêmio Nespresso BEN por saca (em US$)]]/1.3228/100</f>
        <v>0.13910683442979943</v>
      </c>
      <c r="AO359" s="171">
        <f>SUMIF(Allocation[Delivery ID],Delivery[[#This Row],[Delivery ID]],Allocation[Quantity allocated])*16*1.3228*Delivery[[#This Row],[Exchange rate VS USD]]/60</f>
        <v>1976.8577545066664</v>
      </c>
      <c r="AP359" s="171">
        <f>Delivery[[#This Row],[AAA Premium (total)]]</f>
        <v>5043.1000000000004</v>
      </c>
      <c r="AQ359" s="171">
        <f>Delivery[[#This Row],[Valor pago pelo Cluster]]-Delivery[[#This Row],[Valor efetivamente pago pela Nespresso]]</f>
        <v>3066.2422454933339</v>
      </c>
    </row>
    <row r="360" spans="1:43" ht="15.75">
      <c r="A360" s="174" t="s">
        <v>69</v>
      </c>
      <c r="B360" s="232" t="s">
        <v>68</v>
      </c>
      <c r="C360" s="157">
        <v>1</v>
      </c>
      <c r="D360" s="157" t="s">
        <v>468</v>
      </c>
      <c r="E360" s="177" t="s">
        <v>468</v>
      </c>
      <c r="F360" s="233" t="s">
        <v>543</v>
      </c>
      <c r="G360" s="234">
        <v>43493</v>
      </c>
      <c r="H360" s="157" t="s">
        <v>1534</v>
      </c>
      <c r="I360" s="236" t="s">
        <v>672</v>
      </c>
      <c r="J360" s="237">
        <v>21370</v>
      </c>
      <c r="K360" s="175" t="s">
        <v>61</v>
      </c>
      <c r="L360" s="175" t="s">
        <v>439</v>
      </c>
      <c r="M360" s="175" t="s">
        <v>1343</v>
      </c>
      <c r="N360" s="180"/>
      <c r="O360" s="177"/>
      <c r="P360" s="181">
        <v>0</v>
      </c>
      <c r="Q360" s="177">
        <v>43430</v>
      </c>
      <c r="R360" s="178">
        <v>428.979175</v>
      </c>
      <c r="S360" s="179">
        <v>161423.54254265979</v>
      </c>
      <c r="T360" s="182" t="s">
        <v>45</v>
      </c>
      <c r="U360" s="183">
        <v>3.8944999999999999</v>
      </c>
      <c r="V360" s="179">
        <v>9704.5600000000013</v>
      </c>
      <c r="W360" s="179">
        <v>3311.8974573401993</v>
      </c>
      <c r="X360" s="186" t="s">
        <v>45</v>
      </c>
      <c r="Y360" s="183">
        <v>3.8944999999999999</v>
      </c>
      <c r="Z360" s="220" t="s">
        <v>473</v>
      </c>
      <c r="AA360" s="172">
        <f>Delivery[[#This Row],[Quantity delivered]]*VLOOKUP(Delivery[[#This Row],[Unit]],Tab_Conversão[],4,FALSE)*VLOOKUP(CONCATENATE(Delivery[[#This Row],[Coffee specie]],Delivery[[#This Row],[Coffee state]]),Tab_Conversão[],4,FALSE)</f>
        <v>21370</v>
      </c>
      <c r="AB360" s="169">
        <f>SUMIF(Allocation!C:C,Delivery[[#This Row],[Delivery ID]],Allocation!D:D)/Delivery[[#This Row],[Quantity delivered]]</f>
        <v>0.35952269536733739</v>
      </c>
      <c r="AC360" s="170">
        <f>Delivery[[#This Row],[Quantity delivered]]*Delivery[[#This Row],[Base price (Unidad)]]/60</f>
        <v>152788.08282916667</v>
      </c>
      <c r="AD360" s="171">
        <f>Delivery[[#This Row],[Nespresso total]]-Delivery[[#This Row],[Qt. Delivery * Base Price]]</f>
        <v>8635.4597134931246</v>
      </c>
      <c r="AE360" s="171">
        <f>Delivery[[#This Row],[AAA Premium (total)]]/Delivery[[#This Row],[Quantity delivered]]*60/Delivery[[#This Row],[Exchange rate VS USD]]</f>
        <v>6.9963394016482825</v>
      </c>
      <c r="AF360" s="171">
        <f>Delivery[[#This Row],[BEN premium (total)]]/Delivery[[#This Row],[Quantity delivered]]*60/Delivery[[#This Row],[Exchange rate for premiums VS USD]]</f>
        <v>2.3876567999999994</v>
      </c>
      <c r="AG360" s="171">
        <f>COUNTIF(Delivery[Delivery ID],Delivery[[#This Row],[Delivery ID]])</f>
        <v>1</v>
      </c>
      <c r="AH360" s="171">
        <f>(Delivery[[#This Row],[Nespresso total]]/SUMIF(Allocation!C:C,Delivery[Delivery ID],Allocation!H:H))/Delivery[[#This Row],[Exchange rate VS USD]]</f>
        <v>14.985215401724812</v>
      </c>
      <c r="AI360" s="171">
        <f>(Delivery[[#This Row],[AAA Premium (total)]]/SUMIF(Allocation!C:C,Delivery[Delivery ID],Allocation!H:H))/Delivery[[#This Row],[Exchange rate VS USD]]</f>
        <v>0.9008904134322957</v>
      </c>
      <c r="AJ360" s="171">
        <f>Delivery[[#This Row],[Valor Prêmio Nespresso AAA por Kg (em US$)]]*60</f>
        <v>54.053424805937745</v>
      </c>
      <c r="AK360" s="171">
        <f>Delivery[[#This Row],[Valor Prêmio Nespresso AAA por saca (em US$)]]/1.3228/100</f>
        <v>0.40862885399106247</v>
      </c>
      <c r="AL360" s="171">
        <f>(Delivery[[#This Row],[BEN premium (total)]]/SUMIF(Allocation!C:C,Delivery[Delivery ID],Allocation!H:H))/Delivery[[#This Row],[Exchange rate for premiums VS USD]]</f>
        <v>0.30744893839479387</v>
      </c>
      <c r="AM360" s="171">
        <f>Delivery[[#This Row],[Valor Prêmio Nespresso BEN por Kg (em US$)]]*60</f>
        <v>18.446936303687632</v>
      </c>
      <c r="AN360" s="171">
        <f>Delivery[[#This Row],[Valor Prêmio Nespresso BEN por saca (em US$)]]/1.3228/100</f>
        <v>0.13945370655947711</v>
      </c>
      <c r="AO360" s="171">
        <f>SUMIF(Allocation[Delivery ID],Delivery[[#This Row],[Delivery ID]],Allocation[Quantity allocated])*16*1.3228*Delivery[[#This Row],[Exchange rate VS USD]]/60</f>
        <v>3799.8530569599993</v>
      </c>
      <c r="AP360" s="171">
        <f>Delivery[[#This Row],[AAA Premium (total)]]</f>
        <v>9704.5600000000013</v>
      </c>
      <c r="AQ360" s="171">
        <f>Delivery[[#This Row],[Valor pago pelo Cluster]]-Delivery[[#This Row],[Valor efetivamente pago pela Nespresso]]</f>
        <v>5904.7069430400024</v>
      </c>
    </row>
    <row r="361" spans="1:43" ht="15.75">
      <c r="A361" s="174" t="s">
        <v>69</v>
      </c>
      <c r="B361" s="232" t="s">
        <v>68</v>
      </c>
      <c r="C361" s="157">
        <v>1</v>
      </c>
      <c r="D361" s="157" t="s">
        <v>468</v>
      </c>
      <c r="E361" s="177" t="s">
        <v>468</v>
      </c>
      <c r="F361" s="233" t="s">
        <v>543</v>
      </c>
      <c r="G361" s="234">
        <v>43493</v>
      </c>
      <c r="H361" s="157" t="s">
        <v>1535</v>
      </c>
      <c r="I361" s="236" t="s">
        <v>672</v>
      </c>
      <c r="J361" s="237">
        <v>19450</v>
      </c>
      <c r="K361" s="175" t="s">
        <v>61</v>
      </c>
      <c r="L361" s="175" t="s">
        <v>439</v>
      </c>
      <c r="M361" s="175" t="s">
        <v>1343</v>
      </c>
      <c r="N361" s="180"/>
      <c r="O361" s="177"/>
      <c r="P361" s="181">
        <v>0</v>
      </c>
      <c r="Q361" s="177">
        <v>43430</v>
      </c>
      <c r="R361" s="178">
        <v>428.979175</v>
      </c>
      <c r="S361" s="179">
        <v>146913.42188370301</v>
      </c>
      <c r="T361" s="182" t="s">
        <v>45</v>
      </c>
      <c r="U361" s="183">
        <v>3.8944999999999999</v>
      </c>
      <c r="V361" s="179">
        <v>8832.24</v>
      </c>
      <c r="W361" s="179">
        <v>3014.3381162969995</v>
      </c>
      <c r="X361" s="186" t="s">
        <v>45</v>
      </c>
      <c r="Y361" s="183">
        <v>3.8944999999999999</v>
      </c>
      <c r="Z361" s="220" t="s">
        <v>473</v>
      </c>
      <c r="AA361" s="172">
        <f>Delivery[[#This Row],[Quantity delivered]]*VLOOKUP(Delivery[[#This Row],[Unit]],Tab_Conversão[],4,FALSE)*VLOOKUP(CONCATENATE(Delivery[[#This Row],[Coffee specie]],Delivery[[#This Row],[Coffee state]]),Tab_Conversão[],4,FALSE)</f>
        <v>19450</v>
      </c>
      <c r="AB361" s="169">
        <f>SUMIF(Allocation!C:C,Delivery[[#This Row],[Delivery ID]],Allocation!D:D)/Delivery[[#This Row],[Quantity delivered]]</f>
        <v>0.35974293059125961</v>
      </c>
      <c r="AC361" s="170">
        <f>Delivery[[#This Row],[Quantity delivered]]*Delivery[[#This Row],[Base price (Unidad)]]/60</f>
        <v>139060.74922916669</v>
      </c>
      <c r="AD361" s="171">
        <f>Delivery[[#This Row],[Nespresso total]]-Delivery[[#This Row],[Qt. Delivery * Base Price]]</f>
        <v>7852.6726545363199</v>
      </c>
      <c r="AE361" s="171">
        <f>Delivery[[#This Row],[AAA Premium (total)]]/Delivery[[#This Row],[Quantity delivered]]*60/Delivery[[#This Row],[Exchange rate VS USD]]</f>
        <v>6.9960160677456606</v>
      </c>
      <c r="AF361" s="171">
        <f>Delivery[[#This Row],[BEN premium (total)]]/Delivery[[#This Row],[Quantity delivered]]*60/Delivery[[#This Row],[Exchange rate for premiums VS USD]]</f>
        <v>2.3876567999999994</v>
      </c>
      <c r="AG361" s="171">
        <f>COUNTIF(Delivery[Delivery ID],Delivery[[#This Row],[Delivery ID]])</f>
        <v>1</v>
      </c>
      <c r="AH361" s="171">
        <f>(Delivery[[#This Row],[Nespresso total]]/SUMIF(Allocation!C:C,Delivery[Delivery ID],Allocation!H:H))/Delivery[[#This Row],[Exchange rate VS USD]]</f>
        <v>14.975509214698349</v>
      </c>
      <c r="AI361" s="171">
        <f>(Delivery[[#This Row],[AAA Premium (total)]]/SUMIF(Allocation!C:C,Delivery[Delivery ID],Allocation!H:H))/Delivery[[#This Row],[Exchange rate VS USD]]</f>
        <v>0.9003077445921206</v>
      </c>
      <c r="AJ361" s="171">
        <f>Delivery[[#This Row],[Valor Prêmio Nespresso AAA por Kg (em US$)]]*60</f>
        <v>54.018464675527234</v>
      </c>
      <c r="AK361" s="171">
        <f>Delivery[[#This Row],[Valor Prêmio Nespresso AAA por saca (em US$)]]/1.3228/100</f>
        <v>0.40836456513098907</v>
      </c>
      <c r="AL361" s="171">
        <f>(Delivery[[#This Row],[BEN premium (total)]]/SUMIF(Allocation!C:C,Delivery[Delivery ID],Allocation!H:H))/Delivery[[#This Row],[Exchange rate for premiums VS USD]]</f>
        <v>0.30726428979753867</v>
      </c>
      <c r="AM361" s="171">
        <f>Delivery[[#This Row],[Valor Prêmio Nespresso BEN por Kg (em US$)]]*60</f>
        <v>18.43585738785232</v>
      </c>
      <c r="AN361" s="171">
        <f>Delivery[[#This Row],[Valor Prêmio Nespresso BEN por saca (em US$)]]/1.3228/100</f>
        <v>0.13936995303789174</v>
      </c>
      <c r="AO361" s="171">
        <f>SUMIF(Allocation[Delivery ID],Delivery[[#This Row],[Delivery ID]],Allocation[Quantity allocated])*16*1.3228*Delivery[[#This Row],[Exchange rate VS USD]]/60</f>
        <v>3460.5313993066661</v>
      </c>
      <c r="AP361" s="171">
        <f>Delivery[[#This Row],[AAA Premium (total)]]</f>
        <v>8832.24</v>
      </c>
      <c r="AQ361" s="171">
        <f>Delivery[[#This Row],[Valor pago pelo Cluster]]-Delivery[[#This Row],[Valor efetivamente pago pela Nespresso]]</f>
        <v>5371.7086006933332</v>
      </c>
    </row>
    <row r="362" spans="1:43" ht="15.75">
      <c r="A362" s="174" t="s">
        <v>69</v>
      </c>
      <c r="B362" s="232" t="s">
        <v>68</v>
      </c>
      <c r="C362" s="157">
        <v>1</v>
      </c>
      <c r="D362" s="157" t="s">
        <v>468</v>
      </c>
      <c r="E362" s="177" t="s">
        <v>468</v>
      </c>
      <c r="F362" s="233" t="s">
        <v>543</v>
      </c>
      <c r="G362" s="234">
        <v>43493</v>
      </c>
      <c r="H362" s="157" t="s">
        <v>1536</v>
      </c>
      <c r="I362" s="236" t="s">
        <v>672</v>
      </c>
      <c r="J362" s="237">
        <v>23210</v>
      </c>
      <c r="K362" s="175" t="s">
        <v>61</v>
      </c>
      <c r="L362" s="175" t="s">
        <v>439</v>
      </c>
      <c r="M362" s="175" t="s">
        <v>1343</v>
      </c>
      <c r="N362" s="180"/>
      <c r="O362" s="177"/>
      <c r="P362" s="181">
        <v>0</v>
      </c>
      <c r="Q362" s="177">
        <v>43430</v>
      </c>
      <c r="R362" s="178">
        <v>428.979175</v>
      </c>
      <c r="S362" s="179">
        <v>175483.32150749341</v>
      </c>
      <c r="T362" s="182" t="s">
        <v>45</v>
      </c>
      <c r="U362" s="183">
        <v>3.8944999999999999</v>
      </c>
      <c r="V362" s="179">
        <v>10549.62</v>
      </c>
      <c r="W362" s="179">
        <v>3597.0584925065991</v>
      </c>
      <c r="X362" s="186" t="s">
        <v>45</v>
      </c>
      <c r="Y362" s="183">
        <v>3.8944999999999999</v>
      </c>
      <c r="Z362" s="220" t="s">
        <v>473</v>
      </c>
      <c r="AA362" s="172">
        <f>Delivery[[#This Row],[Quantity delivered]]*VLOOKUP(Delivery[[#This Row],[Unit]],Tab_Conversão[],4,FALSE)*VLOOKUP(CONCATENATE(Delivery[[#This Row],[Coffee specie]],Delivery[[#This Row],[Coffee state]]),Tab_Conversão[],4,FALSE)</f>
        <v>23210</v>
      </c>
      <c r="AB362" s="169">
        <f>SUMIF(Allocation!C:C,Delivery[[#This Row],[Delivery ID]],Allocation!D:D)/Delivery[[#This Row],[Quantity delivered]]</f>
        <v>0.35928479103834554</v>
      </c>
      <c r="AC362" s="170">
        <f>Delivery[[#This Row],[Quantity delivered]]*Delivery[[#This Row],[Base price (Unidad)]]/60</f>
        <v>165943.44419583335</v>
      </c>
      <c r="AD362" s="171">
        <f>Delivery[[#This Row],[Nespresso total]]-Delivery[[#This Row],[Qt. Delivery * Base Price]]</f>
        <v>9539.8773116600642</v>
      </c>
      <c r="AE362" s="171">
        <f>Delivery[[#This Row],[AAA Premium (total)]]/Delivery[[#This Row],[Quantity delivered]]*60/Delivery[[#This Row],[Exchange rate VS USD]]</f>
        <v>7.0026306169025379</v>
      </c>
      <c r="AF362" s="171">
        <f>Delivery[[#This Row],[BEN premium (total)]]/Delivery[[#This Row],[Quantity delivered]]*60/Delivery[[#This Row],[Exchange rate for premiums VS USD]]</f>
        <v>2.3876567999999994</v>
      </c>
      <c r="AG362" s="171">
        <f>COUNTIF(Delivery[Delivery ID],Delivery[[#This Row],[Delivery ID]])</f>
        <v>1</v>
      </c>
      <c r="AH362" s="171">
        <f>(Delivery[[#This Row],[Nespresso total]]/SUMIF(Allocation!C:C,Delivery[Delivery ID],Allocation!H:H))/Delivery[[#This Row],[Exchange rate VS USD]]</f>
        <v>15.00974969547784</v>
      </c>
      <c r="AI362" s="171">
        <f>(Delivery[[#This Row],[AAA Premium (total)]]/SUMIF(Allocation!C:C,Delivery[Delivery ID],Allocation!H:H))/Delivery[[#This Row],[Exchange rate VS USD]]</f>
        <v>0.90234874871367909</v>
      </c>
      <c r="AJ362" s="171">
        <f>Delivery[[#This Row],[Valor Prêmio Nespresso AAA por Kg (em US$)]]*60</f>
        <v>54.140924922820744</v>
      </c>
      <c r="AK362" s="171">
        <f>Delivery[[#This Row],[Valor Prêmio Nespresso AAA por saca (em US$)]]/1.3228/100</f>
        <v>0.40929033053236125</v>
      </c>
      <c r="AL362" s="171">
        <f>(Delivery[[#This Row],[BEN premium (total)]]/SUMIF(Allocation!C:C,Delivery[Delivery ID],Allocation!H:H))/Delivery[[#This Row],[Exchange rate for premiums VS USD]]</f>
        <v>0.30766996628914051</v>
      </c>
      <c r="AM362" s="171">
        <f>Delivery[[#This Row],[Valor Prêmio Nespresso BEN por Kg (em US$)]]*60</f>
        <v>18.460197977348429</v>
      </c>
      <c r="AN362" s="171">
        <f>Delivery[[#This Row],[Valor Prêmio Nespresso BEN por saca (em US$)]]/1.3228/100</f>
        <v>0.13955396112298479</v>
      </c>
      <c r="AO362" s="171">
        <f>SUMIF(Allocation[Delivery ID],Delivery[[#This Row],[Delivery ID]],Allocation[Quantity allocated])*16*1.3228*Delivery[[#This Row],[Exchange rate VS USD]]/60</f>
        <v>4124.0632237866666</v>
      </c>
      <c r="AP362" s="171">
        <f>Delivery[[#This Row],[AAA Premium (total)]]</f>
        <v>10549.62</v>
      </c>
      <c r="AQ362" s="171">
        <f>Delivery[[#This Row],[Valor pago pelo Cluster]]-Delivery[[#This Row],[Valor efetivamente pago pela Nespresso]]</f>
        <v>6425.5567762133342</v>
      </c>
    </row>
    <row r="363" spans="1:43" ht="15.75">
      <c r="A363" s="174" t="s">
        <v>69</v>
      </c>
      <c r="B363" s="232" t="s">
        <v>68</v>
      </c>
      <c r="C363" s="157">
        <v>1</v>
      </c>
      <c r="D363" s="157" t="s">
        <v>468</v>
      </c>
      <c r="E363" s="177" t="s">
        <v>468</v>
      </c>
      <c r="F363" s="233" t="s">
        <v>543</v>
      </c>
      <c r="G363" s="234">
        <v>43493</v>
      </c>
      <c r="H363" s="157" t="s">
        <v>1537</v>
      </c>
      <c r="I363" s="236" t="s">
        <v>672</v>
      </c>
      <c r="J363" s="237">
        <v>1930</v>
      </c>
      <c r="K363" s="175" t="s">
        <v>61</v>
      </c>
      <c r="L363" s="175" t="s">
        <v>439</v>
      </c>
      <c r="M363" s="175" t="s">
        <v>1343</v>
      </c>
      <c r="N363" s="180"/>
      <c r="O363" s="177"/>
      <c r="P363" s="181">
        <v>0</v>
      </c>
      <c r="Q363" s="177">
        <v>43430</v>
      </c>
      <c r="R363" s="178">
        <v>428.979175</v>
      </c>
      <c r="S363" s="179">
        <v>14508.5708707222</v>
      </c>
      <c r="T363" s="182" t="s">
        <v>45</v>
      </c>
      <c r="U363" s="183">
        <v>3.8944999999999999</v>
      </c>
      <c r="V363" s="179">
        <v>872.32</v>
      </c>
      <c r="W363" s="179">
        <v>299.10912927779992</v>
      </c>
      <c r="X363" s="186" t="s">
        <v>45</v>
      </c>
      <c r="Y363" s="183">
        <v>3.8944999999999999</v>
      </c>
      <c r="Z363" s="220" t="s">
        <v>473</v>
      </c>
      <c r="AA363" s="172">
        <f>Delivery[[#This Row],[Quantity delivered]]*VLOOKUP(Delivery[[#This Row],[Unit]],Tab_Conversão[],4,FALSE)*VLOOKUP(CONCATENATE(Delivery[[#This Row],[Coffee specie]],Delivery[[#This Row],[Coffee state]]),Tab_Conversão[],4,FALSE)</f>
        <v>1930</v>
      </c>
      <c r="AB363" s="169">
        <f>SUMIF(Allocation!C:C,Delivery[[#This Row],[Delivery ID]],Allocation!D:D)/Delivery[[#This Row],[Quantity delivered]]</f>
        <v>1</v>
      </c>
      <c r="AC363" s="170">
        <f>Delivery[[#This Row],[Quantity delivered]]*Delivery[[#This Row],[Base price (Unidad)]]/60</f>
        <v>13798.830129166667</v>
      </c>
      <c r="AD363" s="171">
        <f>Delivery[[#This Row],[Nespresso total]]-Delivery[[#This Row],[Qt. Delivery * Base Price]]</f>
        <v>709.74074155553353</v>
      </c>
      <c r="AE363" s="171">
        <f>Delivery[[#This Row],[AAA Premium (total)]]/Delivery[[#This Row],[Quantity delivered]]*60/Delivery[[#This Row],[Exchange rate VS USD]]</f>
        <v>6.9633474070314394</v>
      </c>
      <c r="AF363" s="171">
        <f>Delivery[[#This Row],[BEN premium (total)]]/Delivery[[#This Row],[Quantity delivered]]*60/Delivery[[#This Row],[Exchange rate for premiums VS USD]]</f>
        <v>2.3876567999999994</v>
      </c>
      <c r="AG363" s="171">
        <f>COUNTIF(Delivery[Delivery ID],Delivery[[#This Row],[Delivery ID]])</f>
        <v>1</v>
      </c>
      <c r="AH363" s="171">
        <f>(Delivery[[#This Row],[Nespresso total]]/SUMIF(Allocation!C:C,Delivery[Delivery ID],Allocation!H:H))/Delivery[[#This Row],[Exchange rate VS USD]]</f>
        <v>5.3602879806412842</v>
      </c>
      <c r="AI363" s="171">
        <f>(Delivery[[#This Row],[AAA Premium (total)]]/SUMIF(Allocation!C:C,Delivery[Delivery ID],Allocation!H:H))/Delivery[[#This Row],[Exchange rate VS USD]]</f>
        <v>0.3222844243542129</v>
      </c>
      <c r="AJ363" s="171">
        <f>Delivery[[#This Row],[Valor Prêmio Nespresso AAA por Kg (em US$)]]*60</f>
        <v>19.337065461252774</v>
      </c>
      <c r="AK363" s="171">
        <f>Delivery[[#This Row],[Valor Prêmio Nespresso AAA por saca (em US$)]]/1.3228/100</f>
        <v>0.14618283535872978</v>
      </c>
      <c r="AL363" s="171">
        <f>(Delivery[[#This Row],[BEN premium (total)]]/SUMIF(Allocation!C:C,Delivery[Delivery ID],Allocation!H:H))/Delivery[[#This Row],[Exchange rate for premiums VS USD]]</f>
        <v>0.11050785669064746</v>
      </c>
      <c r="AM363" s="171">
        <f>Delivery[[#This Row],[Valor Prêmio Nespresso BEN por Kg (em US$)]]*60</f>
        <v>6.6304714014388475</v>
      </c>
      <c r="AN363" s="171">
        <f>Delivery[[#This Row],[Valor Prêmio Nespresso BEN por saca (em US$)]]/1.3228/100</f>
        <v>5.0124519212570669E-2</v>
      </c>
      <c r="AO363" s="171">
        <f>SUMIF(Allocation[Delivery ID],Delivery[[#This Row],[Delivery ID]],Allocation[Quantity allocated])*16*1.3228*Delivery[[#This Row],[Exchange rate VS USD]]/60</f>
        <v>954.77146586666663</v>
      </c>
      <c r="AP363" s="171">
        <f>Delivery[[#This Row],[AAA Premium (total)]]</f>
        <v>872.32</v>
      </c>
      <c r="AQ363" s="171">
        <f>Delivery[[#This Row],[Valor pago pelo Cluster]]-Delivery[[#This Row],[Valor efetivamente pago pela Nespresso]]</f>
        <v>-82.451465866666581</v>
      </c>
    </row>
    <row r="364" spans="1:43" ht="15.75">
      <c r="A364" s="174" t="s">
        <v>69</v>
      </c>
      <c r="B364" s="232" t="s">
        <v>68</v>
      </c>
      <c r="C364" s="157">
        <v>1</v>
      </c>
      <c r="D364" s="157" t="s">
        <v>468</v>
      </c>
      <c r="E364" s="177" t="s">
        <v>468</v>
      </c>
      <c r="F364" s="233" t="s">
        <v>543</v>
      </c>
      <c r="G364" s="234">
        <v>43493</v>
      </c>
      <c r="H364" s="157" t="s">
        <v>1538</v>
      </c>
      <c r="I364" s="236" t="s">
        <v>672</v>
      </c>
      <c r="J364" s="237">
        <v>670</v>
      </c>
      <c r="K364" s="175" t="s">
        <v>61</v>
      </c>
      <c r="L364" s="175" t="s">
        <v>439</v>
      </c>
      <c r="M364" s="175" t="s">
        <v>1343</v>
      </c>
      <c r="N364" s="180"/>
      <c r="O364" s="177"/>
      <c r="P364" s="181">
        <v>0</v>
      </c>
      <c r="Q364" s="177">
        <v>43430</v>
      </c>
      <c r="R364" s="178">
        <v>428.979175</v>
      </c>
      <c r="S364" s="179">
        <v>4986.3041882818006</v>
      </c>
      <c r="T364" s="182" t="s">
        <v>45</v>
      </c>
      <c r="U364" s="183">
        <v>3.8944999999999999</v>
      </c>
      <c r="V364" s="179">
        <v>299.86</v>
      </c>
      <c r="W364" s="179">
        <v>103.83581171819998</v>
      </c>
      <c r="X364" s="186" t="s">
        <v>45</v>
      </c>
      <c r="Y364" s="183">
        <v>3.8944999999999999</v>
      </c>
      <c r="Z364" s="220" t="s">
        <v>473</v>
      </c>
      <c r="AA364" s="172">
        <f>Delivery[[#This Row],[Quantity delivered]]*VLOOKUP(Delivery[[#This Row],[Unit]],Tab_Conversão[],4,FALSE)*VLOOKUP(CONCATENATE(Delivery[[#This Row],[Coffee specie]],Delivery[[#This Row],[Coffee state]]),Tab_Conversão[],4,FALSE)</f>
        <v>670</v>
      </c>
      <c r="AB364" s="169">
        <f>SUMIF(Allocation!C:C,Delivery[[#This Row],[Delivery ID]],Allocation!D:D)/Delivery[[#This Row],[Quantity delivered]]</f>
        <v>1</v>
      </c>
      <c r="AC364" s="170">
        <f>Delivery[[#This Row],[Quantity delivered]]*Delivery[[#This Row],[Base price (Unidad)]]/60</f>
        <v>4790.2674541666665</v>
      </c>
      <c r="AD364" s="171">
        <f>Delivery[[#This Row],[Nespresso total]]-Delivery[[#This Row],[Qt. Delivery * Base Price]]</f>
        <v>196.0367341151341</v>
      </c>
      <c r="AE364" s="171">
        <f>Delivery[[#This Row],[AAA Premium (total)]]/Delivery[[#This Row],[Quantity delivered]]*60/Delivery[[#This Row],[Exchange rate VS USD]]</f>
        <v>6.8951429781379403</v>
      </c>
      <c r="AF364" s="171">
        <f>Delivery[[#This Row],[BEN premium (total)]]/Delivery[[#This Row],[Quantity delivered]]*60/Delivery[[#This Row],[Exchange rate for premiums VS USD]]</f>
        <v>2.3876567999999994</v>
      </c>
      <c r="AG364" s="171">
        <f>COUNTIF(Delivery[Delivery ID],Delivery[[#This Row],[Delivery ID]])</f>
        <v>1</v>
      </c>
      <c r="AH364" s="171">
        <f>(Delivery[[#This Row],[Nespresso total]]/SUMIF(Allocation!C:C,Delivery[Delivery ID],Allocation!H:H))/Delivery[[#This Row],[Exchange rate VS USD]]</f>
        <v>5.3126354788903827</v>
      </c>
      <c r="AI364" s="171">
        <f>(Delivery[[#This Row],[AAA Premium (total)]]/SUMIF(Allocation!C:C,Delivery[Delivery ID],Allocation!H:H))/Delivery[[#This Row],[Exchange rate VS USD]]</f>
        <v>0.31948449483765012</v>
      </c>
      <c r="AJ364" s="171">
        <f>Delivery[[#This Row],[Valor Prêmio Nespresso AAA por Kg (em US$)]]*60</f>
        <v>19.169069690259008</v>
      </c>
      <c r="AK364" s="171">
        <f>Delivery[[#This Row],[Valor Prêmio Nespresso AAA por saca (em US$)]]/1.3228/100</f>
        <v>0.14491283406606448</v>
      </c>
      <c r="AL364" s="171">
        <f>(Delivery[[#This Row],[BEN premium (total)]]/SUMIF(Allocation!C:C,Delivery[Delivery ID],Allocation!H:H))/Delivery[[#This Row],[Exchange rate for premiums VS USD]]</f>
        <v>0.11063140082987549</v>
      </c>
      <c r="AM364" s="171">
        <f>Delivery[[#This Row],[Valor Prêmio Nespresso BEN por Kg (em US$)]]*60</f>
        <v>6.6378840497925298</v>
      </c>
      <c r="AN364" s="171">
        <f>Delivery[[#This Row],[Valor Prêmio Nespresso BEN por saca (em US$)]]/1.3228/100</f>
        <v>5.0180556771942317E-2</v>
      </c>
      <c r="AO364" s="171">
        <f>SUMIF(Allocation[Delivery ID],Delivery[[#This Row],[Delivery ID]],Allocation[Quantity allocated])*16*1.3228*Delivery[[#This Row],[Exchange rate VS USD]]/60</f>
        <v>331.07902629333336</v>
      </c>
      <c r="AP364" s="171">
        <f>Delivery[[#This Row],[AAA Premium (total)]]</f>
        <v>299.86</v>
      </c>
      <c r="AQ364" s="171">
        <f>Delivery[[#This Row],[Valor pago pelo Cluster]]-Delivery[[#This Row],[Valor efetivamente pago pela Nespresso]]</f>
        <v>-31.219026293333343</v>
      </c>
    </row>
    <row r="365" spans="1:43" ht="15.75">
      <c r="A365" s="174" t="s">
        <v>69</v>
      </c>
      <c r="B365" s="232" t="s">
        <v>68</v>
      </c>
      <c r="C365" s="157">
        <v>1</v>
      </c>
      <c r="D365" s="157" t="s">
        <v>468</v>
      </c>
      <c r="E365" s="177" t="s">
        <v>468</v>
      </c>
      <c r="F365" s="233" t="s">
        <v>543</v>
      </c>
      <c r="G365" s="234">
        <v>43493</v>
      </c>
      <c r="H365" s="157" t="s">
        <v>1539</v>
      </c>
      <c r="I365" s="236" t="s">
        <v>672</v>
      </c>
      <c r="J365" s="237">
        <v>18280</v>
      </c>
      <c r="K365" s="175" t="s">
        <v>61</v>
      </c>
      <c r="L365" s="175" t="s">
        <v>439</v>
      </c>
      <c r="M365" s="175" t="s">
        <v>1343</v>
      </c>
      <c r="N365" s="180"/>
      <c r="O365" s="177"/>
      <c r="P365" s="181">
        <v>0</v>
      </c>
      <c r="Q365" s="177">
        <v>43430</v>
      </c>
      <c r="R365" s="178">
        <v>428.979175</v>
      </c>
      <c r="S365" s="179">
        <v>138302.6871071512</v>
      </c>
      <c r="T365" s="182" t="s">
        <v>45</v>
      </c>
      <c r="U365" s="183">
        <v>3.8944999999999999</v>
      </c>
      <c r="V365" s="179">
        <v>8314.3000000000011</v>
      </c>
      <c r="W365" s="179">
        <v>2833.0128928487993</v>
      </c>
      <c r="X365" s="186" t="s">
        <v>45</v>
      </c>
      <c r="Y365" s="183">
        <v>3.8944999999999999</v>
      </c>
      <c r="Z365" s="220" t="s">
        <v>473</v>
      </c>
      <c r="AA365" s="172">
        <f>Delivery[[#This Row],[Quantity delivered]]*VLOOKUP(Delivery[[#This Row],[Unit]],Tab_Conversão[],4,FALSE)*VLOOKUP(CONCATENATE(Delivery[[#This Row],[Coffee specie]],Delivery[[#This Row],[Coffee state]]),Tab_Conversão[],4,FALSE)</f>
        <v>18280</v>
      </c>
      <c r="AB365" s="169">
        <f>SUMIF(Allocation!C:C,Delivery[[#This Row],[Delivery ID]],Allocation!D:D)/Delivery[[#This Row],[Quantity delivered]]</f>
        <v>0.57932166301969368</v>
      </c>
      <c r="AC365" s="170">
        <f>Delivery[[#This Row],[Quantity delivered]]*Delivery[[#This Row],[Base price (Unidad)]]/60</f>
        <v>130695.65531666667</v>
      </c>
      <c r="AD365" s="171">
        <f>Delivery[[#This Row],[Nespresso total]]-Delivery[[#This Row],[Qt. Delivery * Base Price]]</f>
        <v>7607.0317904845288</v>
      </c>
      <c r="AE365" s="171">
        <f>Delivery[[#This Row],[AAA Premium (total)]]/Delivery[[#This Row],[Quantity delivered]]*60/Delivery[[#This Row],[Exchange rate VS USD]]</f>
        <v>7.0072730633702429</v>
      </c>
      <c r="AF365" s="171">
        <f>Delivery[[#This Row],[BEN premium (total)]]/Delivery[[#This Row],[Quantity delivered]]*60/Delivery[[#This Row],[Exchange rate for premiums VS USD]]</f>
        <v>2.3876567999999994</v>
      </c>
      <c r="AG365" s="171">
        <f>COUNTIF(Delivery[Delivery ID],Delivery[[#This Row],[Delivery ID]])</f>
        <v>1</v>
      </c>
      <c r="AH365" s="171">
        <f>(Delivery[[#This Row],[Nespresso total]]/SUMIF(Allocation!C:C,Delivery[Delivery ID],Allocation!H:H))/Delivery[[#This Row],[Exchange rate VS USD]]</f>
        <v>7.8255418520661388</v>
      </c>
      <c r="AI365" s="171">
        <f>(Delivery[[#This Row],[AAA Premium (total)]]/SUMIF(Allocation!C:C,Delivery[Delivery ID],Allocation!H:H))/Delivery[[#This Row],[Exchange rate VS USD]]</f>
        <v>0.47044568678716037</v>
      </c>
      <c r="AJ365" s="171">
        <f>Delivery[[#This Row],[Valor Prêmio Nespresso AAA por Kg (em US$)]]*60</f>
        <v>28.226741207229622</v>
      </c>
      <c r="AK365" s="171">
        <f>Delivery[[#This Row],[Valor Prêmio Nespresso AAA por saca (em US$)]]/1.3228/100</f>
        <v>0.21338631091041446</v>
      </c>
      <c r="AL365" s="171">
        <f>(Delivery[[#This Row],[BEN premium (total)]]/SUMIF(Allocation!C:C,Delivery[Delivery ID],Allocation!H:H))/Delivery[[#This Row],[Exchange rate for premiums VS USD]]</f>
        <v>0.16029956773909207</v>
      </c>
      <c r="AM365" s="171">
        <f>Delivery[[#This Row],[Valor Prêmio Nespresso BEN por Kg (em US$)]]*60</f>
        <v>9.6179740643455247</v>
      </c>
      <c r="AN365" s="171">
        <f>Delivery[[#This Row],[Valor Prêmio Nespresso BEN por saca (em US$)]]/1.3228/100</f>
        <v>7.2709208227589389E-2</v>
      </c>
      <c r="AO365" s="171">
        <f>SUMIF(Allocation[Delivery ID],Delivery[[#This Row],[Delivery ID]],Allocation[Quantity allocated])*16*1.3228*Delivery[[#This Row],[Exchange rate VS USD]]/60</f>
        <v>6234.1768519466668</v>
      </c>
      <c r="AP365" s="171">
        <f>Delivery[[#This Row],[AAA Premium (total)]]</f>
        <v>8314.3000000000011</v>
      </c>
      <c r="AQ365" s="171">
        <f>Delivery[[#This Row],[Valor pago pelo Cluster]]-Delivery[[#This Row],[Valor efetivamente pago pela Nespresso]]</f>
        <v>2080.1231480533343</v>
      </c>
    </row>
    <row r="366" spans="1:43" ht="15.75">
      <c r="A366" s="174" t="s">
        <v>69</v>
      </c>
      <c r="B366" s="232" t="s">
        <v>68</v>
      </c>
      <c r="C366" s="157">
        <v>1</v>
      </c>
      <c r="D366" s="157" t="s">
        <v>468</v>
      </c>
      <c r="E366" s="177" t="s">
        <v>468</v>
      </c>
      <c r="F366" s="233" t="s">
        <v>543</v>
      </c>
      <c r="G366" s="234">
        <v>43493</v>
      </c>
      <c r="H366" s="157" t="s">
        <v>1540</v>
      </c>
      <c r="I366" s="236" t="s">
        <v>672</v>
      </c>
      <c r="J366" s="237">
        <v>18610</v>
      </c>
      <c r="K366" s="175" t="s">
        <v>61</v>
      </c>
      <c r="L366" s="175" t="s">
        <v>439</v>
      </c>
      <c r="M366" s="175" t="s">
        <v>1343</v>
      </c>
      <c r="N366" s="180"/>
      <c r="O366" s="177"/>
      <c r="P366" s="181">
        <v>0</v>
      </c>
      <c r="Q366" s="177">
        <v>43430</v>
      </c>
      <c r="R366" s="178">
        <v>428.979175</v>
      </c>
      <c r="S366" s="179">
        <v>140565.24409540941</v>
      </c>
      <c r="T366" s="182" t="s">
        <v>45</v>
      </c>
      <c r="U366" s="183">
        <v>3.8944999999999999</v>
      </c>
      <c r="V366" s="179">
        <v>8450.6</v>
      </c>
      <c r="W366" s="179">
        <v>2884.1559045905992</v>
      </c>
      <c r="X366" s="186" t="s">
        <v>45</v>
      </c>
      <c r="Y366" s="183">
        <v>3.8944999999999999</v>
      </c>
      <c r="Z366" s="220" t="s">
        <v>473</v>
      </c>
      <c r="AA366" s="172">
        <f>Delivery[[#This Row],[Quantity delivered]]*VLOOKUP(Delivery[[#This Row],[Unit]],Tab_Conversão[],4,FALSE)*VLOOKUP(CONCATENATE(Delivery[[#This Row],[Coffee specie]],Delivery[[#This Row],[Coffee state]]),Tab_Conversão[],4,FALSE)</f>
        <v>18610</v>
      </c>
      <c r="AB366" s="169">
        <f>SUMIF(Allocation!C:C,Delivery[[#This Row],[Delivery ID]],Allocation!D:D)/Delivery[[#This Row],[Quantity delivered]]</f>
        <v>0.35975282106394413</v>
      </c>
      <c r="AC366" s="170">
        <f>Delivery[[#This Row],[Quantity delivered]]*Delivery[[#This Row],[Base price (Unidad)]]/60</f>
        <v>133055.04077916668</v>
      </c>
      <c r="AD366" s="171">
        <f>Delivery[[#This Row],[Nespresso total]]-Delivery[[#This Row],[Qt. Delivery * Base Price]]</f>
        <v>7510.2033162427251</v>
      </c>
      <c r="AE366" s="171">
        <f>Delivery[[#This Row],[AAA Premium (total)]]/Delivery[[#This Row],[Quantity delivered]]*60/Delivery[[#This Row],[Exchange rate VS USD]]</f>
        <v>6.9958536298141283</v>
      </c>
      <c r="AF366" s="171">
        <f>Delivery[[#This Row],[BEN premium (total)]]/Delivery[[#This Row],[Quantity delivered]]*60/Delivery[[#This Row],[Exchange rate for premiums VS USD]]</f>
        <v>2.3876567999999994</v>
      </c>
      <c r="AG366" s="171">
        <f>COUNTIF(Delivery[Delivery ID],Delivery[[#This Row],[Delivery ID]])</f>
        <v>1</v>
      </c>
      <c r="AH366" s="171">
        <f>(Delivery[[#This Row],[Nespresso total]]/SUMIF(Allocation!C:C,Delivery[Delivery ID],Allocation!H:H))/Delivery[[#This Row],[Exchange rate VS USD]]</f>
        <v>14.976461015658257</v>
      </c>
      <c r="AI366" s="171">
        <f>(Delivery[[#This Row],[AAA Premium (total)]]/SUMIF(Allocation!C:C,Delivery[Delivery ID],Allocation!H:H))/Delivery[[#This Row],[Exchange rate VS USD]]</f>
        <v>0.90036539454246844</v>
      </c>
      <c r="AJ366" s="171">
        <f>Delivery[[#This Row],[Valor Prêmio Nespresso AAA por Kg (em US$)]]*60</f>
        <v>54.021923672548105</v>
      </c>
      <c r="AK366" s="171">
        <f>Delivery[[#This Row],[Valor Prêmio Nespresso AAA por saca (em US$)]]/1.3228/100</f>
        <v>0.40839071418618161</v>
      </c>
      <c r="AL366" s="171">
        <f>(Delivery[[#This Row],[BEN premium (total)]]/SUMIF(Allocation!C:C,Delivery[Delivery ID],Allocation!H:H))/Delivery[[#This Row],[Exchange rate for premiums VS USD]]</f>
        <v>0.30729109991701237</v>
      </c>
      <c r="AM366" s="171">
        <f>Delivery[[#This Row],[Valor Prêmio Nespresso BEN por Kg (em US$)]]*60</f>
        <v>18.437465995020741</v>
      </c>
      <c r="AN366" s="171">
        <f>Delivery[[#This Row],[Valor Prêmio Nespresso BEN por saca (em US$)]]/1.3228/100</f>
        <v>0.1393821136605741</v>
      </c>
      <c r="AO366" s="171">
        <f>SUMIF(Allocation[Delivery ID],Delivery[[#This Row],[Delivery ID]],Allocation[Quantity allocated])*16*1.3228*Delivery[[#This Row],[Exchange rate VS USD]]/60</f>
        <v>3310.790262933333</v>
      </c>
      <c r="AP366" s="171">
        <f>Delivery[[#This Row],[AAA Premium (total)]]</f>
        <v>8450.6</v>
      </c>
      <c r="AQ366" s="171">
        <f>Delivery[[#This Row],[Valor pago pelo Cluster]]-Delivery[[#This Row],[Valor efetivamente pago pela Nespresso]]</f>
        <v>5139.8097370666674</v>
      </c>
    </row>
    <row r="367" spans="1:43" ht="15.75">
      <c r="A367" s="174" t="s">
        <v>69</v>
      </c>
      <c r="B367" s="232" t="s">
        <v>68</v>
      </c>
      <c r="C367" s="157">
        <v>1</v>
      </c>
      <c r="D367" s="157" t="s">
        <v>468</v>
      </c>
      <c r="E367" s="177" t="s">
        <v>468</v>
      </c>
      <c r="F367" s="233" t="s">
        <v>543</v>
      </c>
      <c r="G367" s="234">
        <v>43493</v>
      </c>
      <c r="H367" s="157" t="s">
        <v>1541</v>
      </c>
      <c r="I367" s="236" t="s">
        <v>672</v>
      </c>
      <c r="J367" s="237">
        <v>50</v>
      </c>
      <c r="K367" s="175" t="s">
        <v>61</v>
      </c>
      <c r="L367" s="175" t="s">
        <v>439</v>
      </c>
      <c r="M367" s="175" t="s">
        <v>1343</v>
      </c>
      <c r="N367" s="180"/>
      <c r="O367" s="177"/>
      <c r="P367" s="181">
        <v>0</v>
      </c>
      <c r="Q367" s="177">
        <v>43430</v>
      </c>
      <c r="R367" s="178">
        <v>428.979175</v>
      </c>
      <c r="S367" s="179">
        <v>454.99105882700002</v>
      </c>
      <c r="T367" s="182" t="s">
        <v>45</v>
      </c>
      <c r="U367" s="183">
        <v>3.8944999999999999</v>
      </c>
      <c r="V367" s="179">
        <v>27.26</v>
      </c>
      <c r="W367" s="179">
        <v>7.7489411729999986</v>
      </c>
      <c r="X367" s="186" t="s">
        <v>45</v>
      </c>
      <c r="Y367" s="183">
        <v>3.8944999999999999</v>
      </c>
      <c r="Z367" s="220" t="s">
        <v>473</v>
      </c>
      <c r="AA367" s="172">
        <f>Delivery[[#This Row],[Quantity delivered]]*VLOOKUP(Delivery[[#This Row],[Unit]],Tab_Conversão[],4,FALSE)*VLOOKUP(CONCATENATE(Delivery[[#This Row],[Coffee specie]],Delivery[[#This Row],[Coffee state]]),Tab_Conversão[],4,FALSE)</f>
        <v>50</v>
      </c>
      <c r="AB367" s="169">
        <f>SUMIF(Allocation!C:C,Delivery[[#This Row],[Delivery ID]],Allocation!D:D)/Delivery[[#This Row],[Quantity delivered]]</f>
        <v>0.44</v>
      </c>
      <c r="AC367" s="170">
        <f>Delivery[[#This Row],[Quantity delivered]]*Delivery[[#This Row],[Base price (Unidad)]]/60</f>
        <v>357.48264583333338</v>
      </c>
      <c r="AD367" s="171">
        <f>Delivery[[#This Row],[Nespresso total]]-Delivery[[#This Row],[Qt. Delivery * Base Price]]</f>
        <v>97.508412993666639</v>
      </c>
      <c r="AE367" s="171">
        <f>Delivery[[#This Row],[AAA Premium (total)]]/Delivery[[#This Row],[Quantity delivered]]*60/Delivery[[#This Row],[Exchange rate VS USD]]</f>
        <v>8.3995378097316742</v>
      </c>
      <c r="AF367" s="171">
        <f>Delivery[[#This Row],[BEN premium (total)]]/Delivery[[#This Row],[Quantity delivered]]*60/Delivery[[#This Row],[Exchange rate for premiums VS USD]]</f>
        <v>2.3876567999999994</v>
      </c>
      <c r="AG367" s="171">
        <f>COUNTIF(Delivery[Delivery ID],Delivery[[#This Row],[Delivery ID]])</f>
        <v>1</v>
      </c>
      <c r="AH367" s="171">
        <f>(Delivery[[#This Row],[Nespresso total]]/SUMIF(Allocation!C:C,Delivery[Delivery ID],Allocation!H:H))/Delivery[[#This Row],[Exchange rate VS USD]]</f>
        <v>14.603641636506612</v>
      </c>
      <c r="AI367" s="171">
        <f>(Delivery[[#This Row],[AAA Premium (total)]]/SUMIF(Allocation!C:C,Delivery[Delivery ID],Allocation!H:H))/Delivery[[#This Row],[Exchange rate VS USD]]</f>
        <v>0.87495185518038265</v>
      </c>
      <c r="AJ367" s="171">
        <f>Delivery[[#This Row],[Valor Prêmio Nespresso AAA por Kg (em US$)]]*60</f>
        <v>52.497111310822959</v>
      </c>
      <c r="AK367" s="171">
        <f>Delivery[[#This Row],[Valor Prêmio Nespresso AAA por saca (em US$)]]/1.3228/100</f>
        <v>0.39686355693092651</v>
      </c>
      <c r="AL367" s="171">
        <f>(Delivery[[#This Row],[BEN premium (total)]]/SUMIF(Allocation!C:C,Delivery[Delivery ID],Allocation!H:H))/Delivery[[#This Row],[Exchange rate for premiums VS USD]]</f>
        <v>0.24871424999999997</v>
      </c>
      <c r="AM367" s="171">
        <f>Delivery[[#This Row],[Valor Prêmio Nespresso BEN por Kg (em US$)]]*60</f>
        <v>14.922854999999998</v>
      </c>
      <c r="AN367" s="171">
        <f>Delivery[[#This Row],[Valor Prêmio Nespresso BEN por saca (em US$)]]/1.3228/100</f>
        <v>0.11281263229513153</v>
      </c>
      <c r="AO367" s="171">
        <f>SUMIF(Allocation[Delivery ID],Delivery[[#This Row],[Delivery ID]],Allocation[Quantity allocated])*16*1.3228*Delivery[[#This Row],[Exchange rate VS USD]]/60</f>
        <v>10.990175146666667</v>
      </c>
      <c r="AP367" s="171">
        <f>Delivery[[#This Row],[AAA Premium (total)]]</f>
        <v>27.26</v>
      </c>
      <c r="AQ367" s="171">
        <f>Delivery[[#This Row],[Valor pago pelo Cluster]]-Delivery[[#This Row],[Valor efetivamente pago pela Nespresso]]</f>
        <v>16.269824853333333</v>
      </c>
    </row>
    <row r="368" spans="1:43" ht="15.75">
      <c r="A368" s="174" t="s">
        <v>69</v>
      </c>
      <c r="B368" s="232" t="s">
        <v>68</v>
      </c>
      <c r="C368" s="157">
        <v>1</v>
      </c>
      <c r="D368" s="157" t="s">
        <v>468</v>
      </c>
      <c r="E368" s="177" t="s">
        <v>468</v>
      </c>
      <c r="F368" s="233" t="s">
        <v>543</v>
      </c>
      <c r="G368" s="234">
        <v>43493</v>
      </c>
      <c r="H368" s="157" t="s">
        <v>2171</v>
      </c>
      <c r="I368" s="236" t="s">
        <v>672</v>
      </c>
      <c r="J368" s="237">
        <v>14840</v>
      </c>
      <c r="K368" s="175" t="s">
        <v>61</v>
      </c>
      <c r="L368" s="175" t="s">
        <v>439</v>
      </c>
      <c r="M368" s="175" t="s">
        <v>1343</v>
      </c>
      <c r="N368" s="180"/>
      <c r="O368" s="177"/>
      <c r="P368" s="181">
        <v>0</v>
      </c>
      <c r="Q368" s="177">
        <v>43430</v>
      </c>
      <c r="R368" s="178">
        <v>428.979175</v>
      </c>
      <c r="S368" s="179">
        <v>114296.78</v>
      </c>
      <c r="T368" s="182" t="s">
        <v>45</v>
      </c>
      <c r="U368" s="183">
        <v>3.8944999999999999</v>
      </c>
      <c r="V368" s="179">
        <v>6733.22</v>
      </c>
      <c r="W368" s="179">
        <v>0</v>
      </c>
      <c r="X368" s="186" t="s">
        <v>45</v>
      </c>
      <c r="Y368" s="183">
        <v>3.8944999999999999</v>
      </c>
      <c r="Z368" s="220" t="s">
        <v>2125</v>
      </c>
      <c r="AA368" s="172">
        <f>Delivery[[#This Row],[Quantity delivered]]*VLOOKUP(Delivery[[#This Row],[Unit]],Tab_Conversão[],4,FALSE)*VLOOKUP(CONCATENATE(Delivery[[#This Row],[Coffee specie]],Delivery[[#This Row],[Coffee state]]),Tab_Conversão[],4,FALSE)</f>
        <v>14840</v>
      </c>
      <c r="AB368" s="169">
        <f>SUMIF(Allocation!C:C,Delivery[[#This Row],[Delivery ID]],Allocation!D:D)/Delivery[[#This Row],[Quantity delivered]]</f>
        <v>4.0431266846361187E-4</v>
      </c>
      <c r="AC368" s="170">
        <f>Delivery[[#This Row],[Quantity delivered]]*Delivery[[#This Row],[Base price (Unidad)]]/60</f>
        <v>106100.84928333334</v>
      </c>
      <c r="AD368" s="171">
        <f>Delivery[[#This Row],[Nespresso total]]-Delivery[[#This Row],[Qt. Delivery * Base Price]]</f>
        <v>8195.9307166666549</v>
      </c>
      <c r="AE368" s="171">
        <f>Delivery[[#This Row],[AAA Premium (total)]]/Delivery[[#This Row],[Quantity delivered]]*60/Delivery[[#This Row],[Exchange rate VS USD]]</f>
        <v>6.990181398260523</v>
      </c>
      <c r="AF368" s="171">
        <f>Delivery[[#This Row],[BEN premium (total)]]/Delivery[[#This Row],[Quantity delivered]]*60/Delivery[[#This Row],[Exchange rate for premiums VS USD]]</f>
        <v>0</v>
      </c>
      <c r="AG368" s="171">
        <f>COUNTIF(Delivery[Delivery ID],Delivery[[#This Row],[Delivery ID]])</f>
        <v>1</v>
      </c>
      <c r="AH368" s="171">
        <f>(Delivery[[#This Row],[Nespresso total]]/SUMIF(Allocation!C:C,Delivery[Delivery ID],Allocation!H:H))/Delivery[[#This Row],[Exchange rate VS USD]]</f>
        <v>14674.127615868532</v>
      </c>
      <c r="AI368" s="171">
        <f>(Delivery[[#This Row],[AAA Premium (total)]]/SUMIF(Allocation!C:C,Delivery[Delivery ID],Allocation!H:H))/Delivery[[#This Row],[Exchange rate VS USD]]</f>
        <v>864.45243291821805</v>
      </c>
      <c r="AJ368" s="171">
        <f>Delivery[[#This Row],[Valor Prêmio Nespresso AAA por Kg (em US$)]]*60</f>
        <v>51867.145975093081</v>
      </c>
      <c r="AK368" s="171">
        <f>Delivery[[#This Row],[Valor Prêmio Nespresso AAA por saca (em US$)]]/1.3228/100</f>
        <v>392.10119424775542</v>
      </c>
      <c r="AL368" s="171">
        <f>(Delivery[[#This Row],[BEN premium (total)]]/SUMIF(Allocation!C:C,Delivery[Delivery ID],Allocation!H:H))/Delivery[[#This Row],[Exchange rate for premiums VS USD]]</f>
        <v>0</v>
      </c>
      <c r="AM368" s="171">
        <f>Delivery[[#This Row],[Valor Prêmio Nespresso BEN por Kg (em US$)]]*60</f>
        <v>0</v>
      </c>
      <c r="AN368" s="171">
        <f>Delivery[[#This Row],[Valor Prêmio Nespresso BEN por saca (em US$)]]/1.3228/100</f>
        <v>0</v>
      </c>
      <c r="AO368" s="171">
        <f>SUMIF(Allocation[Delivery ID],Delivery[[#This Row],[Delivery ID]],Allocation[Quantity allocated])*16*1.3228*Delivery[[#This Row],[Exchange rate VS USD]]/60</f>
        <v>2.7475437866666668</v>
      </c>
      <c r="AP368" s="171">
        <f>Delivery[[#This Row],[AAA Premium (total)]]</f>
        <v>6733.22</v>
      </c>
      <c r="AQ368" s="171">
        <f>Delivery[[#This Row],[Valor pago pelo Cluster]]-Delivery[[#This Row],[Valor efetivamente pago pela Nespresso]]</f>
        <v>6730.4724562133333</v>
      </c>
    </row>
    <row r="369" spans="1:43" ht="15.75">
      <c r="A369" s="174" t="s">
        <v>69</v>
      </c>
      <c r="B369" s="232" t="s">
        <v>68</v>
      </c>
      <c r="C369" s="157">
        <v>1</v>
      </c>
      <c r="D369" s="157" t="s">
        <v>468</v>
      </c>
      <c r="E369" s="177" t="s">
        <v>468</v>
      </c>
      <c r="F369" s="233" t="s">
        <v>543</v>
      </c>
      <c r="G369" s="234">
        <v>43493</v>
      </c>
      <c r="H369" s="157" t="s">
        <v>2172</v>
      </c>
      <c r="I369" s="236" t="s">
        <v>672</v>
      </c>
      <c r="J369" s="237">
        <v>12040</v>
      </c>
      <c r="K369" s="175" t="s">
        <v>61</v>
      </c>
      <c r="L369" s="175" t="s">
        <v>439</v>
      </c>
      <c r="M369" s="175" t="s">
        <v>1343</v>
      </c>
      <c r="N369" s="180"/>
      <c r="O369" s="177"/>
      <c r="P369" s="185">
        <v>0</v>
      </c>
      <c r="Q369" s="177">
        <v>43430</v>
      </c>
      <c r="R369" s="178">
        <v>428.979175</v>
      </c>
      <c r="S369" s="179">
        <v>93010.74</v>
      </c>
      <c r="T369" s="182" t="s">
        <v>45</v>
      </c>
      <c r="U369" s="183">
        <v>3.8944999999999999</v>
      </c>
      <c r="V369" s="179">
        <v>5479.26</v>
      </c>
      <c r="W369" s="179">
        <v>0</v>
      </c>
      <c r="X369" s="186" t="s">
        <v>45</v>
      </c>
      <c r="Y369" s="183">
        <v>3.8944999999999999</v>
      </c>
      <c r="Z369" s="220" t="s">
        <v>2125</v>
      </c>
      <c r="AA369" s="172">
        <f>Delivery[[#This Row],[Quantity delivered]]*VLOOKUP(Delivery[[#This Row],[Unit]],Tab_Conversão[],4,FALSE)*VLOOKUP(CONCATENATE(Delivery[[#This Row],[Coffee specie]],Delivery[[#This Row],[Coffee state]]),Tab_Conversão[],4,FALSE)</f>
        <v>12040</v>
      </c>
      <c r="AB369" s="169">
        <f>SUMIF(Allocation!C:C,Delivery[[#This Row],[Delivery ID]],Allocation!D:D)/Delivery[[#This Row],[Quantity delivered]]</f>
        <v>4.9833887043189363E-4</v>
      </c>
      <c r="AC369" s="170">
        <f>Delivery[[#This Row],[Quantity delivered]]*Delivery[[#This Row],[Base price (Unidad)]]/60</f>
        <v>86081.821116666673</v>
      </c>
      <c r="AD369" s="171">
        <f>Delivery[[#This Row],[Nespresso total]]-Delivery[[#This Row],[Qt. Delivery * Base Price]]</f>
        <v>6928.9188833333319</v>
      </c>
      <c r="AE369" s="171">
        <f>Delivery[[#This Row],[AAA Premium (total)]]/Delivery[[#This Row],[Quantity delivered]]*60/Delivery[[#This Row],[Exchange rate VS USD]]</f>
        <v>7.0112421086215386</v>
      </c>
      <c r="AF369" s="171">
        <f>Delivery[[#This Row],[BEN premium (total)]]/Delivery[[#This Row],[Quantity delivered]]*60/Delivery[[#This Row],[Exchange rate for premiums VS USD]]</f>
        <v>0</v>
      </c>
      <c r="AG369" s="171">
        <f>COUNTIF(Delivery[Delivery ID],Delivery[[#This Row],[Delivery ID]])</f>
        <v>1</v>
      </c>
      <c r="AH369" s="171">
        <f>(Delivery[[#This Row],[Nespresso total]]/SUMIF(Allocation!C:C,Delivery[Delivery ID],Allocation!H:H))/Delivery[[#This Row],[Exchange rate VS USD]]</f>
        <v>11941.294132751316</v>
      </c>
      <c r="AI369" s="171">
        <f>(Delivery[[#This Row],[AAA Premium (total)]]/SUMIF(Allocation!C:C,Delivery[Delivery ID],Allocation!H:H))/Delivery[[#This Row],[Exchange rate VS USD]]</f>
        <v>703.46129156502764</v>
      </c>
      <c r="AJ369" s="171">
        <f>Delivery[[#This Row],[Valor Prêmio Nespresso AAA por Kg (em US$)]]*60</f>
        <v>42207.677493901661</v>
      </c>
      <c r="AK369" s="171">
        <f>Delivery[[#This Row],[Valor Prêmio Nespresso AAA por saca (em US$)]]/1.3228/100</f>
        <v>319.0782997724649</v>
      </c>
      <c r="AL369" s="171">
        <f>(Delivery[[#This Row],[BEN premium (total)]]/SUMIF(Allocation!C:C,Delivery[Delivery ID],Allocation!H:H))/Delivery[[#This Row],[Exchange rate for premiums VS USD]]</f>
        <v>0</v>
      </c>
      <c r="AM369" s="171">
        <f>Delivery[[#This Row],[Valor Prêmio Nespresso BEN por Kg (em US$)]]*60</f>
        <v>0</v>
      </c>
      <c r="AN369" s="171">
        <f>Delivery[[#This Row],[Valor Prêmio Nespresso BEN por saca (em US$)]]/1.3228/100</f>
        <v>0</v>
      </c>
      <c r="AO369" s="171">
        <f>SUMIF(Allocation[Delivery ID],Delivery[[#This Row],[Delivery ID]],Allocation[Quantity allocated])*16*1.3228*Delivery[[#This Row],[Exchange rate VS USD]]/60</f>
        <v>2.7475437866666668</v>
      </c>
      <c r="AP369" s="171">
        <f>Delivery[[#This Row],[AAA Premium (total)]]</f>
        <v>5479.26</v>
      </c>
      <c r="AQ369" s="171">
        <f>Delivery[[#This Row],[Valor pago pelo Cluster]]-Delivery[[#This Row],[Valor efetivamente pago pela Nespresso]]</f>
        <v>5476.5124562133333</v>
      </c>
    </row>
    <row r="370" spans="1:43" ht="15.75">
      <c r="A370" s="174" t="s">
        <v>69</v>
      </c>
      <c r="B370" s="232" t="s">
        <v>68</v>
      </c>
      <c r="C370" s="157">
        <v>1</v>
      </c>
      <c r="D370" s="157" t="s">
        <v>468</v>
      </c>
      <c r="E370" s="177" t="s">
        <v>468</v>
      </c>
      <c r="F370" s="233" t="s">
        <v>543</v>
      </c>
      <c r="G370" s="234">
        <v>43493</v>
      </c>
      <c r="H370" s="157" t="s">
        <v>1542</v>
      </c>
      <c r="I370" s="236" t="s">
        <v>672</v>
      </c>
      <c r="J370" s="237">
        <v>6280</v>
      </c>
      <c r="K370" s="175" t="s">
        <v>61</v>
      </c>
      <c r="L370" s="175" t="s">
        <v>439</v>
      </c>
      <c r="M370" s="175" t="s">
        <v>1343</v>
      </c>
      <c r="N370" s="180"/>
      <c r="O370" s="177"/>
      <c r="P370" s="185">
        <v>0</v>
      </c>
      <c r="Q370" s="177">
        <v>43430</v>
      </c>
      <c r="R370" s="178">
        <v>428.979175</v>
      </c>
      <c r="S370" s="179">
        <v>47614.432988671208</v>
      </c>
      <c r="T370" s="182" t="s">
        <v>45</v>
      </c>
      <c r="U370" s="183">
        <v>3.8944999999999999</v>
      </c>
      <c r="V370" s="179">
        <v>2862.3</v>
      </c>
      <c r="W370" s="179">
        <v>973.26701132879975</v>
      </c>
      <c r="X370" s="186" t="s">
        <v>45</v>
      </c>
      <c r="Y370" s="183">
        <v>3.8944999999999999</v>
      </c>
      <c r="Z370" s="220" t="s">
        <v>473</v>
      </c>
      <c r="AA370" s="172">
        <f>Delivery[[#This Row],[Quantity delivered]]*VLOOKUP(Delivery[[#This Row],[Unit]],Tab_Conversão[],4,FALSE)*VLOOKUP(CONCATENATE(Delivery[[#This Row],[Coffee specie]],Delivery[[#This Row],[Coffee state]]),Tab_Conversão[],4,FALSE)</f>
        <v>6280</v>
      </c>
      <c r="AB370" s="169">
        <f>SUMIF(Allocation!C:C,Delivery[[#This Row],[Delivery ID]],Allocation!D:D)/Delivery[[#This Row],[Quantity delivered]]</f>
        <v>0.69235668789808913</v>
      </c>
      <c r="AC370" s="170">
        <f>Delivery[[#This Row],[Quantity delivered]]*Delivery[[#This Row],[Base price (Unidad)]]/60</f>
        <v>44899.820316666664</v>
      </c>
      <c r="AD370" s="171">
        <f>Delivery[[#This Row],[Nespresso total]]-Delivery[[#This Row],[Qt. Delivery * Base Price]]</f>
        <v>2714.6126720045431</v>
      </c>
      <c r="AE370" s="171">
        <f>Delivery[[#This Row],[AAA Premium (total)]]/Delivery[[#This Row],[Quantity delivered]]*60/Delivery[[#This Row],[Exchange rate VS USD]]</f>
        <v>7.0219066084540263</v>
      </c>
      <c r="AF370" s="171">
        <f>Delivery[[#This Row],[BEN premium (total)]]/Delivery[[#This Row],[Quantity delivered]]*60/Delivery[[#This Row],[Exchange rate for premiums VS USD]]</f>
        <v>2.3876567999999994</v>
      </c>
      <c r="AG370" s="171">
        <f>COUNTIF(Delivery[Delivery ID],Delivery[[#This Row],[Delivery ID]])</f>
        <v>1</v>
      </c>
      <c r="AH370" s="171">
        <f>(Delivery[[#This Row],[Nespresso total]]/SUMIF(Allocation!C:C,Delivery[Delivery ID],Allocation!H:H))/Delivery[[#This Row],[Exchange rate VS USD]]</f>
        <v>7.8121858570386946</v>
      </c>
      <c r="AI370" s="171">
        <f>(Delivery[[#This Row],[AAA Premium (total)]]/SUMIF(Allocation!C:C,Delivery[Delivery ID],Allocation!H:H))/Delivery[[#This Row],[Exchange rate VS USD]]</f>
        <v>0.46962272099138752</v>
      </c>
      <c r="AJ370" s="171">
        <f>Delivery[[#This Row],[Valor Prêmio Nespresso AAA por Kg (em US$)]]*60</f>
        <v>28.177363259483251</v>
      </c>
      <c r="AK370" s="171">
        <f>Delivery[[#This Row],[Valor Prêmio Nespresso AAA por saca (em US$)]]/1.3228/100</f>
        <v>0.21301302736228644</v>
      </c>
      <c r="AL370" s="171">
        <f>(Delivery[[#This Row],[BEN premium (total)]]/SUMIF(Allocation!C:C,Delivery[Delivery ID],Allocation!H:H))/Delivery[[#This Row],[Exchange rate for premiums VS USD]]</f>
        <v>0.1596856730990415</v>
      </c>
      <c r="AM370" s="171">
        <f>Delivery[[#This Row],[Valor Prêmio Nespresso BEN por Kg (em US$)]]*60</f>
        <v>9.58114038594249</v>
      </c>
      <c r="AN370" s="171">
        <f>Delivery[[#This Row],[Valor Prêmio Nespresso BEN por saca (em US$)]]/1.3228/100</f>
        <v>7.2430755865909358E-2</v>
      </c>
      <c r="AO370" s="171">
        <f>SUMIF(Allocation[Delivery ID],Delivery[[#This Row],[Delivery ID]],Allocation[Quantity allocated])*16*1.3228*Delivery[[#This Row],[Exchange rate VS USD]]/60</f>
        <v>2149.9530130666662</v>
      </c>
      <c r="AP370" s="171">
        <f>Delivery[[#This Row],[AAA Premium (total)]]</f>
        <v>2862.3</v>
      </c>
      <c r="AQ370" s="171">
        <f>Delivery[[#This Row],[Valor pago pelo Cluster]]-Delivery[[#This Row],[Valor efetivamente pago pela Nespresso]]</f>
        <v>712.34698693333394</v>
      </c>
    </row>
    <row r="371" spans="1:43" ht="15.75">
      <c r="A371" s="174" t="s">
        <v>69</v>
      </c>
      <c r="B371" s="232" t="s">
        <v>68</v>
      </c>
      <c r="C371" s="157">
        <v>1</v>
      </c>
      <c r="D371" s="157" t="s">
        <v>468</v>
      </c>
      <c r="E371" s="177" t="s">
        <v>468</v>
      </c>
      <c r="F371" s="233" t="s">
        <v>543</v>
      </c>
      <c r="G371" s="234">
        <v>43493</v>
      </c>
      <c r="H371" s="157" t="s">
        <v>2173</v>
      </c>
      <c r="I371" s="236" t="s">
        <v>672</v>
      </c>
      <c r="J371" s="237">
        <v>5680</v>
      </c>
      <c r="K371" s="175" t="s">
        <v>61</v>
      </c>
      <c r="L371" s="175" t="s">
        <v>439</v>
      </c>
      <c r="M371" s="175" t="s">
        <v>1343</v>
      </c>
      <c r="N371" s="180"/>
      <c r="O371" s="177"/>
      <c r="P371" s="185">
        <v>0</v>
      </c>
      <c r="Q371" s="177">
        <v>43430</v>
      </c>
      <c r="R371" s="178">
        <v>428.979175</v>
      </c>
      <c r="S371" s="179">
        <v>43960.3</v>
      </c>
      <c r="T371" s="182" t="s">
        <v>45</v>
      </c>
      <c r="U371" s="183">
        <v>3.8944999999999999</v>
      </c>
      <c r="V371" s="179">
        <v>2589.7000000000003</v>
      </c>
      <c r="W371" s="179">
        <v>0</v>
      </c>
      <c r="X371" s="186" t="s">
        <v>45</v>
      </c>
      <c r="Y371" s="183">
        <v>3.8944999999999999</v>
      </c>
      <c r="Z371" s="220" t="s">
        <v>2125</v>
      </c>
      <c r="AA371" s="172">
        <f>Delivery[[#This Row],[Quantity delivered]]*VLOOKUP(Delivery[[#This Row],[Unit]],Tab_Conversão[],4,FALSE)*VLOOKUP(CONCATENATE(Delivery[[#This Row],[Coffee specie]],Delivery[[#This Row],[Coffee state]]),Tab_Conversão[],4,FALSE)</f>
        <v>5680</v>
      </c>
      <c r="AB371" s="169">
        <f>SUMIF(Allocation!C:C,Delivery[[#This Row],[Delivery ID]],Allocation!D:D)/Delivery[[#This Row],[Quantity delivered]]</f>
        <v>5.2816901408450699E-4</v>
      </c>
      <c r="AC371" s="170">
        <f>Delivery[[#This Row],[Quantity delivered]]*Delivery[[#This Row],[Base price (Unidad)]]/60</f>
        <v>40610.028566666668</v>
      </c>
      <c r="AD371" s="171">
        <f>Delivery[[#This Row],[Nespresso total]]-Delivery[[#This Row],[Qt. Delivery * Base Price]]</f>
        <v>3350.2714333333352</v>
      </c>
      <c r="AE371" s="171">
        <f>Delivery[[#This Row],[AAA Premium (total)]]/Delivery[[#This Row],[Quantity delivered]]*60/Delivery[[#This Row],[Exchange rate VS USD]]</f>
        <v>7.0242613725749035</v>
      </c>
      <c r="AF371" s="171">
        <f>Delivery[[#This Row],[BEN premium (total)]]/Delivery[[#This Row],[Quantity delivered]]*60/Delivery[[#This Row],[Exchange rate for premiums VS USD]]</f>
        <v>0</v>
      </c>
      <c r="AG371" s="171">
        <f>COUNTIF(Delivery[Delivery ID],Delivery[[#This Row],[Delivery ID]])</f>
        <v>1</v>
      </c>
      <c r="AH371" s="171">
        <f>(Delivery[[#This Row],[Nespresso total]]/SUMIF(Allocation!C:C,Delivery[Delivery ID],Allocation!H:H))/Delivery[[#This Row],[Exchange rate VS USD]]</f>
        <v>11287.790473745026</v>
      </c>
      <c r="AI371" s="171">
        <f>(Delivery[[#This Row],[AAA Premium (total)]]/SUMIF(Allocation!C:C,Delivery[Delivery ID],Allocation!H:H))/Delivery[[#This Row],[Exchange rate VS USD]]</f>
        <v>664.96340993709089</v>
      </c>
      <c r="AJ371" s="171">
        <f>Delivery[[#This Row],[Valor Prêmio Nespresso AAA por Kg (em US$)]]*60</f>
        <v>39897.804596225455</v>
      </c>
      <c r="AK371" s="171">
        <f>Delivery[[#This Row],[Valor Prêmio Nespresso AAA por saca (em US$)]]/1.3228/100</f>
        <v>301.61630326750418</v>
      </c>
      <c r="AL371" s="171">
        <f>(Delivery[[#This Row],[BEN premium (total)]]/SUMIF(Allocation!C:C,Delivery[Delivery ID],Allocation!H:H))/Delivery[[#This Row],[Exchange rate for premiums VS USD]]</f>
        <v>0</v>
      </c>
      <c r="AM371" s="171">
        <f>Delivery[[#This Row],[Valor Prêmio Nespresso BEN por Kg (em US$)]]*60</f>
        <v>0</v>
      </c>
      <c r="AN371" s="171">
        <f>Delivery[[#This Row],[Valor Prêmio Nespresso BEN por saca (em US$)]]/1.3228/100</f>
        <v>0</v>
      </c>
      <c r="AO371" s="171">
        <f>SUMIF(Allocation[Delivery ID],Delivery[[#This Row],[Delivery ID]],Allocation[Quantity allocated])*16*1.3228*Delivery[[#This Row],[Exchange rate VS USD]]/60</f>
        <v>1.3737718933333334</v>
      </c>
      <c r="AP371" s="171">
        <f>Delivery[[#This Row],[AAA Premium (total)]]</f>
        <v>2589.7000000000003</v>
      </c>
      <c r="AQ371" s="171">
        <f>Delivery[[#This Row],[Valor pago pelo Cluster]]-Delivery[[#This Row],[Valor efetivamente pago pela Nespresso]]</f>
        <v>2588.3262281066668</v>
      </c>
    </row>
    <row r="372" spans="1:43" ht="15.75">
      <c r="A372" s="174" t="s">
        <v>69</v>
      </c>
      <c r="B372" s="232" t="s">
        <v>68</v>
      </c>
      <c r="C372" s="157">
        <v>1</v>
      </c>
      <c r="D372" s="157" t="s">
        <v>468</v>
      </c>
      <c r="E372" s="177" t="s">
        <v>468</v>
      </c>
      <c r="F372" s="233" t="s">
        <v>543</v>
      </c>
      <c r="G372" s="234">
        <v>43493</v>
      </c>
      <c r="H372" s="157" t="s">
        <v>1543</v>
      </c>
      <c r="I372" s="236" t="s">
        <v>672</v>
      </c>
      <c r="J372" s="237">
        <v>16150</v>
      </c>
      <c r="K372" s="175" t="s">
        <v>61</v>
      </c>
      <c r="L372" s="175" t="s">
        <v>439</v>
      </c>
      <c r="M372" s="175" t="s">
        <v>1343</v>
      </c>
      <c r="N372" s="180"/>
      <c r="O372" s="177"/>
      <c r="P372" s="185">
        <v>0</v>
      </c>
      <c r="Q372" s="177">
        <v>43430</v>
      </c>
      <c r="R372" s="178">
        <v>428.979175</v>
      </c>
      <c r="S372" s="179">
        <v>121974.15200112099</v>
      </c>
      <c r="T372" s="182" t="s">
        <v>45</v>
      </c>
      <c r="U372" s="183">
        <v>3.8944999999999999</v>
      </c>
      <c r="V372" s="179">
        <v>7332.9400000000005</v>
      </c>
      <c r="W372" s="179">
        <v>2502.9079988789995</v>
      </c>
      <c r="X372" s="186" t="s">
        <v>45</v>
      </c>
      <c r="Y372" s="183">
        <v>3.8944999999999999</v>
      </c>
      <c r="Z372" s="220" t="s">
        <v>473</v>
      </c>
      <c r="AA372" s="172">
        <f>Delivery[[#This Row],[Quantity delivered]]*VLOOKUP(Delivery[[#This Row],[Unit]],Tab_Conversão[],4,FALSE)*VLOOKUP(CONCATENATE(Delivery[[#This Row],[Coffee specie]],Delivery[[#This Row],[Coffee state]]),Tab_Conversão[],4,FALSE)</f>
        <v>16150</v>
      </c>
      <c r="AB372" s="169">
        <f>SUMIF(Allocation!C:C,Delivery[[#This Row],[Delivery ID]],Allocation!D:D)/Delivery[[#This Row],[Quantity delivered]]</f>
        <v>0.68910216718266248</v>
      </c>
      <c r="AC372" s="170">
        <f>Delivery[[#This Row],[Quantity delivered]]*Delivery[[#This Row],[Base price (Unidad)]]/60</f>
        <v>115466.89460416666</v>
      </c>
      <c r="AD372" s="171">
        <f>Delivery[[#This Row],[Nespresso total]]-Delivery[[#This Row],[Qt. Delivery * Base Price]]</f>
        <v>6507.25739695433</v>
      </c>
      <c r="AE372" s="171">
        <f>Delivery[[#This Row],[AAA Premium (total)]]/Delivery[[#This Row],[Quantity delivered]]*60/Delivery[[#This Row],[Exchange rate VS USD]]</f>
        <v>6.9952807146062552</v>
      </c>
      <c r="AF372" s="171">
        <f>Delivery[[#This Row],[BEN premium (total)]]/Delivery[[#This Row],[Quantity delivered]]*60/Delivery[[#This Row],[Exchange rate for premiums VS USD]]</f>
        <v>2.3876567999999994</v>
      </c>
      <c r="AG372" s="171">
        <f>COUNTIF(Delivery[Delivery ID],Delivery[[#This Row],[Delivery ID]])</f>
        <v>1</v>
      </c>
      <c r="AH372" s="171">
        <f>(Delivery[[#This Row],[Nespresso total]]/SUMIF(Allocation!C:C,Delivery[Delivery ID],Allocation!H:H))/Delivery[[#This Row],[Exchange rate VS USD]]</f>
        <v>7.8162196770057966</v>
      </c>
      <c r="AI372" s="171">
        <f>(Delivery[[#This Row],[AAA Premium (total)]]/SUMIF(Allocation!C:C,Delivery[Delivery ID],Allocation!H:H))/Delivery[[#This Row],[Exchange rate VS USD]]</f>
        <v>0.46990176998956418</v>
      </c>
      <c r="AJ372" s="171">
        <f>Delivery[[#This Row],[Valor Prêmio Nespresso AAA por Kg (em US$)]]*60</f>
        <v>28.194106199373852</v>
      </c>
      <c r="AK372" s="171">
        <f>Delivery[[#This Row],[Valor Prêmio Nespresso AAA por saca (em US$)]]/1.3228/100</f>
        <v>0.21313959933001098</v>
      </c>
      <c r="AL372" s="171">
        <f>(Delivery[[#This Row],[BEN premium (total)]]/SUMIF(Allocation!C:C,Delivery[Delivery ID],Allocation!H:H))/Delivery[[#This Row],[Exchange rate for premiums VS USD]]</f>
        <v>0.16038872523084599</v>
      </c>
      <c r="AM372" s="171">
        <f>Delivery[[#This Row],[Valor Prêmio Nespresso BEN por Kg (em US$)]]*60</f>
        <v>9.6233235138507602</v>
      </c>
      <c r="AN372" s="171">
        <f>Delivery[[#This Row],[Valor Prêmio Nespresso BEN por saca (em US$)]]/1.3228/100</f>
        <v>7.2749648577644099E-2</v>
      </c>
      <c r="AO372" s="171">
        <f>SUMIF(Allocation[Delivery ID],Delivery[[#This Row],[Delivery ID]],Allocation[Quantity allocated])*16*1.3228*Delivery[[#This Row],[Exchange rate VS USD]]/60</f>
        <v>5504.7039765866666</v>
      </c>
      <c r="AP372" s="171">
        <f>Delivery[[#This Row],[AAA Premium (total)]]</f>
        <v>7332.9400000000005</v>
      </c>
      <c r="AQ372" s="171">
        <f>Delivery[[#This Row],[Valor pago pelo Cluster]]-Delivery[[#This Row],[Valor efetivamente pago pela Nespresso]]</f>
        <v>1828.2360234133339</v>
      </c>
    </row>
    <row r="373" spans="1:43" ht="15.75">
      <c r="A373" s="174" t="s">
        <v>69</v>
      </c>
      <c r="B373" s="232" t="s">
        <v>68</v>
      </c>
      <c r="C373" s="157">
        <v>1</v>
      </c>
      <c r="D373" s="157" t="s">
        <v>468</v>
      </c>
      <c r="E373" s="176" t="s">
        <v>468</v>
      </c>
      <c r="F373" s="233" t="s">
        <v>543</v>
      </c>
      <c r="G373" s="234">
        <v>43493</v>
      </c>
      <c r="H373" s="157" t="s">
        <v>1544</v>
      </c>
      <c r="I373" s="236" t="s">
        <v>672</v>
      </c>
      <c r="J373" s="237">
        <v>1750</v>
      </c>
      <c r="K373" s="175" t="s">
        <v>61</v>
      </c>
      <c r="L373" s="175" t="s">
        <v>439</v>
      </c>
      <c r="M373" s="175" t="s">
        <v>1343</v>
      </c>
      <c r="N373" s="180"/>
      <c r="O373" s="177"/>
      <c r="P373" s="181">
        <v>0</v>
      </c>
      <c r="Q373" s="177">
        <v>43430</v>
      </c>
      <c r="R373" s="178">
        <v>428.979175</v>
      </c>
      <c r="S373" s="179">
        <v>13148.247058945</v>
      </c>
      <c r="T373" s="182" t="s">
        <v>45</v>
      </c>
      <c r="U373" s="183">
        <v>3.8944999999999999</v>
      </c>
      <c r="V373" s="179">
        <v>790.54000000000008</v>
      </c>
      <c r="W373" s="179">
        <v>271.21294105499993</v>
      </c>
      <c r="X373" s="184" t="s">
        <v>45</v>
      </c>
      <c r="Y373" s="183">
        <v>3.8944999999999999</v>
      </c>
      <c r="Z373" s="220" t="s">
        <v>473</v>
      </c>
      <c r="AA373" s="172">
        <f>Delivery[[#This Row],[Quantity delivered]]*VLOOKUP(Delivery[[#This Row],[Unit]],Tab_Conversão[],4,FALSE)*VLOOKUP(CONCATENATE(Delivery[[#This Row],[Coffee specie]],Delivery[[#This Row],[Coffee state]]),Tab_Conversão[],4,FALSE)</f>
        <v>1750</v>
      </c>
      <c r="AB373" s="169">
        <f>SUMIF(Allocation!C:C,Delivery[[#This Row],[Delivery ID]],Allocation!D:D)/Delivery[[#This Row],[Quantity delivered]]</f>
        <v>1</v>
      </c>
      <c r="AC373" s="170">
        <f>Delivery[[#This Row],[Quantity delivered]]*Delivery[[#This Row],[Base price (Unidad)]]/60</f>
        <v>12511.892604166667</v>
      </c>
      <c r="AD373" s="171">
        <f>Delivery[[#This Row],[Nespresso total]]-Delivery[[#This Row],[Qt. Delivery * Base Price]]</f>
        <v>636.35445477833309</v>
      </c>
      <c r="AE373" s="171">
        <f>Delivery[[#This Row],[AAA Premium (total)]]/Delivery[[#This Row],[Quantity delivered]]*60/Delivery[[#This Row],[Exchange rate VS USD]]</f>
        <v>6.9596170423491017</v>
      </c>
      <c r="AF373" s="171">
        <f>Delivery[[#This Row],[BEN premium (total)]]/Delivery[[#This Row],[Quantity delivered]]*60/Delivery[[#This Row],[Exchange rate for premiums VS USD]]</f>
        <v>2.3876567999999994</v>
      </c>
      <c r="AG373" s="171">
        <f>COUNTIF(Delivery[Delivery ID],Delivery[[#This Row],[Delivery ID]])</f>
        <v>1</v>
      </c>
      <c r="AH373" s="171">
        <f>(Delivery[[#This Row],[Nespresso total]]/SUMIF(Allocation!C:C,Delivery[Delivery ID],Allocation!H:H))/Delivery[[#This Row],[Exchange rate VS USD]]</f>
        <v>5.3588993264595777</v>
      </c>
      <c r="AI373" s="171">
        <f>(Delivery[[#This Row],[AAA Premium (total)]]/SUMIF(Allocation!C:C,Delivery[Delivery ID],Allocation!H:H))/Delivery[[#This Row],[Exchange rate VS USD]]</f>
        <v>0.32220449270134727</v>
      </c>
      <c r="AJ373" s="171">
        <f>Delivery[[#This Row],[Valor Prêmio Nespresso AAA por Kg (em US$)]]*60</f>
        <v>19.332269562080835</v>
      </c>
      <c r="AK373" s="171">
        <f>Delivery[[#This Row],[Valor Prêmio Nespresso AAA por saca (em US$)]]/1.3228/100</f>
        <v>0.14614657969519831</v>
      </c>
      <c r="AL373" s="171">
        <f>(Delivery[[#This Row],[BEN premium (total)]]/SUMIF(Allocation!C:C,Delivery[Delivery ID],Allocation!H:H))/Delivery[[#This Row],[Exchange rate for premiums VS USD]]</f>
        <v>0.11053966666666663</v>
      </c>
      <c r="AM373" s="171">
        <f>Delivery[[#This Row],[Valor Prêmio Nespresso BEN por Kg (em US$)]]*60</f>
        <v>6.6323799999999977</v>
      </c>
      <c r="AN373" s="171">
        <f>Delivery[[#This Row],[Valor Prêmio Nespresso BEN por saca (em US$)]]/1.3228/100</f>
        <v>5.013894768672511E-2</v>
      </c>
      <c r="AO373" s="171">
        <f>SUMIF(Allocation[Delivery ID],Delivery[[#This Row],[Delivery ID]],Allocation[Quantity allocated])*16*1.3228*Delivery[[#This Row],[Exchange rate VS USD]]/60</f>
        <v>865.47629280000001</v>
      </c>
      <c r="AP373" s="171">
        <f>Delivery[[#This Row],[AAA Premium (total)]]</f>
        <v>790.54000000000008</v>
      </c>
      <c r="AQ373" s="171">
        <f>Delivery[[#This Row],[Valor pago pelo Cluster]]-Delivery[[#This Row],[Valor efetivamente pago pela Nespresso]]</f>
        <v>-74.936292799999933</v>
      </c>
    </row>
    <row r="374" spans="1:43" ht="15.75">
      <c r="A374" s="174" t="s">
        <v>69</v>
      </c>
      <c r="B374" s="232" t="s">
        <v>68</v>
      </c>
      <c r="C374" s="157">
        <v>1</v>
      </c>
      <c r="D374" s="157" t="s">
        <v>468</v>
      </c>
      <c r="E374" s="177" t="s">
        <v>468</v>
      </c>
      <c r="F374" s="233" t="s">
        <v>543</v>
      </c>
      <c r="G374" s="234">
        <v>43493</v>
      </c>
      <c r="H374" s="157" t="s">
        <v>1545</v>
      </c>
      <c r="I374" s="236" t="s">
        <v>672</v>
      </c>
      <c r="J374" s="237">
        <v>19480</v>
      </c>
      <c r="K374" s="175" t="s">
        <v>61</v>
      </c>
      <c r="L374" s="175" t="s">
        <v>439</v>
      </c>
      <c r="M374" s="175" t="s">
        <v>1343</v>
      </c>
      <c r="N374" s="180"/>
      <c r="O374" s="177"/>
      <c r="P374" s="181">
        <v>0</v>
      </c>
      <c r="Q374" s="177">
        <v>43430</v>
      </c>
      <c r="R374" s="178">
        <v>428.979175</v>
      </c>
      <c r="S374" s="179">
        <v>147371.5125189992</v>
      </c>
      <c r="T374" s="182" t="s">
        <v>45</v>
      </c>
      <c r="U374" s="183">
        <v>3.8944999999999999</v>
      </c>
      <c r="V374" s="179">
        <v>8859.5</v>
      </c>
      <c r="W374" s="179">
        <v>3018.9874810007996</v>
      </c>
      <c r="X374" s="184" t="s">
        <v>45</v>
      </c>
      <c r="Y374" s="183">
        <v>3.8944999999999999</v>
      </c>
      <c r="Z374" s="220" t="s">
        <v>473</v>
      </c>
      <c r="AA374" s="172">
        <f>Delivery[[#This Row],[Quantity delivered]]*VLOOKUP(Delivery[[#This Row],[Unit]],Tab_Conversão[],4,FALSE)*VLOOKUP(CONCATENATE(Delivery[[#This Row],[Coffee specie]],Delivery[[#This Row],[Coffee state]]),Tab_Conversão[],4,FALSE)</f>
        <v>19480</v>
      </c>
      <c r="AB374" s="169">
        <f>SUMIF(Allocation!C:C,Delivery[[#This Row],[Delivery ID]],Allocation!D:D)/Delivery[[#This Row],[Quantity delivered]]</f>
        <v>0.31427104722792609</v>
      </c>
      <c r="AC374" s="170">
        <f>Delivery[[#This Row],[Quantity delivered]]*Delivery[[#This Row],[Base price (Unidad)]]/60</f>
        <v>139275.23881666668</v>
      </c>
      <c r="AD374" s="171">
        <f>Delivery[[#This Row],[Nespresso total]]-Delivery[[#This Row],[Qt. Delivery * Base Price]]</f>
        <v>8096.2737023325171</v>
      </c>
      <c r="AE374" s="171">
        <f>Delivery[[#This Row],[AAA Premium (total)]]/Delivery[[#This Row],[Quantity delivered]]*60/Delivery[[#This Row],[Exchange rate VS USD]]</f>
        <v>7.0068013043192865</v>
      </c>
      <c r="AF374" s="171">
        <f>Delivery[[#This Row],[BEN premium (total)]]/Delivery[[#This Row],[Quantity delivered]]*60/Delivery[[#This Row],[Exchange rate for premiums VS USD]]</f>
        <v>2.3876567999999994</v>
      </c>
      <c r="AG374" s="171">
        <f>COUNTIF(Delivery[Delivery ID],Delivery[[#This Row],[Delivery ID]])</f>
        <v>1</v>
      </c>
      <c r="AH374" s="171">
        <f>(Delivery[[#This Row],[Nespresso total]]/SUMIF(Allocation!C:C,Delivery[Delivery ID],Allocation!H:H))/Delivery[[#This Row],[Exchange rate VS USD]]</f>
        <v>17.169207228002353</v>
      </c>
      <c r="AI374" s="171">
        <f>(Delivery[[#This Row],[AAA Premium (total)]]/SUMIF(Allocation!C:C,Delivery[Delivery ID],Allocation!H:H))/Delivery[[#This Row],[Exchange rate VS USD]]</f>
        <v>1.0321573609205965</v>
      </c>
      <c r="AJ374" s="171">
        <f>Delivery[[#This Row],[Valor Prêmio Nespresso AAA por Kg (em US$)]]*60</f>
        <v>61.929441655235792</v>
      </c>
      <c r="AK374" s="171">
        <f>Delivery[[#This Row],[Valor Prêmio Nespresso AAA por saca (em US$)]]/1.3228/100</f>
        <v>0.46816935028149226</v>
      </c>
      <c r="AL374" s="171">
        <f>(Delivery[[#This Row],[BEN premium (total)]]/SUMIF(Allocation!C:C,Delivery[Delivery ID],Allocation!H:H))/Delivery[[#This Row],[Exchange rate for premiums VS USD]]</f>
        <v>0.35172076878402897</v>
      </c>
      <c r="AM374" s="171">
        <f>Delivery[[#This Row],[Valor Prêmio Nespresso BEN por Kg (em US$)]]*60</f>
        <v>21.103246127041739</v>
      </c>
      <c r="AN374" s="171">
        <f>Delivery[[#This Row],[Valor Prêmio Nespresso BEN por saca (em US$)]]/1.3228/100</f>
        <v>0.15953466984458528</v>
      </c>
      <c r="AO374" s="171">
        <f>SUMIF(Allocation[Delivery ID],Delivery[[#This Row],[Delivery ID]],Allocation[Quantity allocated])*16*1.3228*Delivery[[#This Row],[Exchange rate VS USD]]/60</f>
        <v>3027.7932529066666</v>
      </c>
      <c r="AP374" s="171">
        <f>Delivery[[#This Row],[AAA Premium (total)]]</f>
        <v>8859.5</v>
      </c>
      <c r="AQ374" s="171">
        <f>Delivery[[#This Row],[Valor pago pelo Cluster]]-Delivery[[#This Row],[Valor efetivamente pago pela Nespresso]]</f>
        <v>5831.7067470933334</v>
      </c>
    </row>
    <row r="375" spans="1:43" ht="15.75">
      <c r="A375" s="174" t="s">
        <v>69</v>
      </c>
      <c r="B375" s="232" t="s">
        <v>68</v>
      </c>
      <c r="C375" s="157">
        <v>1</v>
      </c>
      <c r="D375" s="157" t="s">
        <v>468</v>
      </c>
      <c r="E375" s="177" t="s">
        <v>468</v>
      </c>
      <c r="F375" s="233" t="s">
        <v>543</v>
      </c>
      <c r="G375" s="234">
        <v>43493</v>
      </c>
      <c r="H375" s="157" t="s">
        <v>1546</v>
      </c>
      <c r="I375" s="236" t="s">
        <v>672</v>
      </c>
      <c r="J375" s="237">
        <v>5340</v>
      </c>
      <c r="K375" s="175" t="s">
        <v>61</v>
      </c>
      <c r="L375" s="175" t="s">
        <v>439</v>
      </c>
      <c r="M375" s="175" t="s">
        <v>1343</v>
      </c>
      <c r="N375" s="180"/>
      <c r="O375" s="177"/>
      <c r="P375" s="181">
        <v>0</v>
      </c>
      <c r="Q375" s="177">
        <v>43430</v>
      </c>
      <c r="R375" s="178">
        <v>428.979175</v>
      </c>
      <c r="S375" s="179">
        <v>40356.273082723601</v>
      </c>
      <c r="T375" s="182" t="s">
        <v>45</v>
      </c>
      <c r="U375" s="183">
        <v>3.8944999999999999</v>
      </c>
      <c r="V375" s="179">
        <v>2426.1400000000003</v>
      </c>
      <c r="W375" s="179">
        <v>827.58691727639973</v>
      </c>
      <c r="X375" s="184" t="s">
        <v>45</v>
      </c>
      <c r="Y375" s="183">
        <v>3.8944999999999999</v>
      </c>
      <c r="Z375" s="220" t="s">
        <v>473</v>
      </c>
      <c r="AA375" s="172">
        <f>Delivery[[#This Row],[Quantity delivered]]*VLOOKUP(Delivery[[#This Row],[Unit]],Tab_Conversão[],4,FALSE)*VLOOKUP(CONCATENATE(Delivery[[#This Row],[Coffee specie]],Delivery[[#This Row],[Coffee state]]),Tab_Conversão[],4,FALSE)</f>
        <v>5340</v>
      </c>
      <c r="AB375" s="169">
        <f>SUMIF(Allocation!C:C,Delivery[[#This Row],[Delivery ID]],Allocation!D:D)/Delivery[[#This Row],[Quantity delivered]]</f>
        <v>0.35992509363295883</v>
      </c>
      <c r="AC375" s="170">
        <f>Delivery[[#This Row],[Quantity delivered]]*Delivery[[#This Row],[Base price (Unidad)]]/60</f>
        <v>38179.146574999999</v>
      </c>
      <c r="AD375" s="171">
        <f>Delivery[[#This Row],[Nespresso total]]-Delivery[[#This Row],[Qt. Delivery * Base Price]]</f>
        <v>2177.1265077236021</v>
      </c>
      <c r="AE375" s="171">
        <f>Delivery[[#This Row],[AAA Premium (total)]]/Delivery[[#This Row],[Quantity delivered]]*60/Delivery[[#This Row],[Exchange rate VS USD]]</f>
        <v>6.9996148414430621</v>
      </c>
      <c r="AF375" s="171">
        <f>Delivery[[#This Row],[BEN premium (total)]]/Delivery[[#This Row],[Quantity delivered]]*60/Delivery[[#This Row],[Exchange rate for premiums VS USD]]</f>
        <v>2.3876567999999989</v>
      </c>
      <c r="AG375" s="171">
        <f>COUNTIF(Delivery[Delivery ID],Delivery[[#This Row],[Delivery ID]])</f>
        <v>1</v>
      </c>
      <c r="AH375" s="171">
        <f>(Delivery[[#This Row],[Nespresso total]]/SUMIF(Allocation!C:C,Delivery[Delivery ID],Allocation!H:H))/Delivery[[#This Row],[Exchange rate VS USD]]</f>
        <v>14.974531699411427</v>
      </c>
      <c r="AI375" s="171">
        <f>(Delivery[[#This Row],[AAA Premium (total)]]/SUMIF(Allocation!C:C,Delivery[Delivery ID],Allocation!H:H))/Delivery[[#This Row],[Exchange rate VS USD]]</f>
        <v>0.90023948105264817</v>
      </c>
      <c r="AJ375" s="171">
        <f>Delivery[[#This Row],[Valor Prêmio Nespresso AAA por Kg (em US$)]]*60</f>
        <v>54.014368863158893</v>
      </c>
      <c r="AK375" s="171">
        <f>Delivery[[#This Row],[Valor Prêmio Nespresso AAA por saca (em US$)]]/1.3228/100</f>
        <v>0.40833360192893026</v>
      </c>
      <c r="AL375" s="171">
        <f>(Delivery[[#This Row],[BEN premium (total)]]/SUMIF(Allocation!C:C,Delivery[Delivery ID],Allocation!H:H))/Delivery[[#This Row],[Exchange rate for premiums VS USD]]</f>
        <v>0.30708302774566465</v>
      </c>
      <c r="AM375" s="171">
        <f>Delivery[[#This Row],[Valor Prêmio Nespresso BEN por Kg (em US$)]]*60</f>
        <v>18.424981664739878</v>
      </c>
      <c r="AN375" s="171">
        <f>Delivery[[#This Row],[Valor Prêmio Nespresso BEN por saca (em US$)]]/1.3228/100</f>
        <v>0.13928773559676352</v>
      </c>
      <c r="AO375" s="171">
        <f>SUMIF(Allocation[Delivery ID],Delivery[[#This Row],[Delivery ID]],Allocation[Quantity allocated])*16*1.3228*Delivery[[#This Row],[Exchange rate VS USD]]/60</f>
        <v>950.65015018666656</v>
      </c>
      <c r="AP375" s="171">
        <f>Delivery[[#This Row],[AAA Premium (total)]]</f>
        <v>2426.1400000000003</v>
      </c>
      <c r="AQ375" s="171">
        <f>Delivery[[#This Row],[Valor pago pelo Cluster]]-Delivery[[#This Row],[Valor efetivamente pago pela Nespresso]]</f>
        <v>1475.4898498133339</v>
      </c>
    </row>
    <row r="376" spans="1:43" ht="15.75">
      <c r="A376" s="174" t="s">
        <v>69</v>
      </c>
      <c r="B376" s="232" t="s">
        <v>68</v>
      </c>
      <c r="C376" s="157">
        <v>1</v>
      </c>
      <c r="D376" s="157" t="s">
        <v>468</v>
      </c>
      <c r="E376" s="177" t="s">
        <v>468</v>
      </c>
      <c r="F376" s="233" t="s">
        <v>543</v>
      </c>
      <c r="G376" s="234">
        <v>43493</v>
      </c>
      <c r="H376" s="157" t="s">
        <v>1547</v>
      </c>
      <c r="I376" s="236" t="s">
        <v>672</v>
      </c>
      <c r="J376" s="237">
        <v>34970</v>
      </c>
      <c r="K376" s="175" t="s">
        <v>61</v>
      </c>
      <c r="L376" s="175" t="s">
        <v>439</v>
      </c>
      <c r="M376" s="175" t="s">
        <v>1343</v>
      </c>
      <c r="N376" s="180"/>
      <c r="O376" s="177"/>
      <c r="P376" s="181">
        <v>0</v>
      </c>
      <c r="Q376" s="177">
        <v>43430</v>
      </c>
      <c r="R376" s="178">
        <v>428.979175</v>
      </c>
      <c r="S376" s="179">
        <v>264357.81054360379</v>
      </c>
      <c r="T376" s="182" t="s">
        <v>45</v>
      </c>
      <c r="U376" s="183">
        <v>3.8944999999999999</v>
      </c>
      <c r="V376" s="179">
        <v>15892.580000000002</v>
      </c>
      <c r="W376" s="179">
        <v>5419.6094563961988</v>
      </c>
      <c r="X376" s="184" t="s">
        <v>45</v>
      </c>
      <c r="Y376" s="183">
        <v>3.8944999999999999</v>
      </c>
      <c r="Z376" s="220" t="s">
        <v>473</v>
      </c>
      <c r="AA376" s="172">
        <f>Delivery[[#This Row],[Quantity delivered]]*VLOOKUP(Delivery[[#This Row],[Unit]],Tab_Conversão[],4,FALSE)*VLOOKUP(CONCATENATE(Delivery[[#This Row],[Coffee specie]],Delivery[[#This Row],[Coffee state]]),Tab_Conversão[],4,FALSE)</f>
        <v>34970</v>
      </c>
      <c r="AB376" s="169">
        <f>SUMIF(Allocation!C:C,Delivery[[#This Row],[Delivery ID]],Allocation!D:D)/Delivery[[#This Row],[Quantity delivered]]</f>
        <v>0.17174721189591077</v>
      </c>
      <c r="AC376" s="170">
        <f>Delivery[[#This Row],[Quantity delivered]]*Delivery[[#This Row],[Base price (Unidad)]]/60</f>
        <v>250023.36249583334</v>
      </c>
      <c r="AD376" s="171">
        <f>Delivery[[#This Row],[Nespresso total]]-Delivery[[#This Row],[Qt. Delivery * Base Price]]</f>
        <v>14334.448047770449</v>
      </c>
      <c r="AE376" s="171">
        <f>Delivery[[#This Row],[AAA Premium (total)]]/Delivery[[#This Row],[Quantity delivered]]*60/Delivery[[#This Row],[Exchange rate VS USD]]</f>
        <v>7.0016164470597166</v>
      </c>
      <c r="AF376" s="171">
        <f>Delivery[[#This Row],[BEN premium (total)]]/Delivery[[#This Row],[Quantity delivered]]*60/Delivery[[#This Row],[Exchange rate for premiums VS USD]]</f>
        <v>2.3876567999999994</v>
      </c>
      <c r="AG376" s="171">
        <f>COUNTIF(Delivery[Delivery ID],Delivery[[#This Row],[Delivery ID]])</f>
        <v>1</v>
      </c>
      <c r="AH376" s="171">
        <f>(Delivery[[#This Row],[Nespresso total]]/SUMIF(Allocation!C:C,Delivery[Delivery ID],Allocation!H:H))/Delivery[[#This Row],[Exchange rate VS USD]]</f>
        <v>31.396753877459222</v>
      </c>
      <c r="AI376" s="171">
        <f>(Delivery[[#This Row],[AAA Premium (total)]]/SUMIF(Allocation!C:C,Delivery[Delivery ID],Allocation!H:H))/Delivery[[#This Row],[Exchange rate VS USD]]</f>
        <v>1.887500209325303</v>
      </c>
      <c r="AJ376" s="171">
        <f>Delivery[[#This Row],[Valor Prêmio Nespresso AAA por Kg (em US$)]]*60</f>
        <v>113.25001255951818</v>
      </c>
      <c r="AK376" s="171">
        <f>Delivery[[#This Row],[Valor Prêmio Nespresso AAA por saca (em US$)]]/1.3228/100</f>
        <v>0.85613858904988049</v>
      </c>
      <c r="AL376" s="171">
        <f>(Delivery[[#This Row],[BEN premium (total)]]/SUMIF(Allocation!C:C,Delivery[Delivery ID],Allocation!H:H))/Delivery[[#This Row],[Exchange rate for premiums VS USD]]</f>
        <v>0.64366603681776124</v>
      </c>
      <c r="AM376" s="171">
        <f>Delivery[[#This Row],[Valor Prêmio Nespresso BEN por Kg (em US$)]]*60</f>
        <v>38.619962209065676</v>
      </c>
      <c r="AN376" s="171">
        <f>Delivery[[#This Row],[Valor Prêmio Nespresso BEN por saca (em US$)]]/1.3228/100</f>
        <v>0.29195617031346899</v>
      </c>
      <c r="AO376" s="171">
        <f>SUMIF(Allocation[Delivery ID],Delivery[[#This Row],[Delivery ID]],Allocation[Quantity allocated])*16*1.3228*Delivery[[#This Row],[Exchange rate VS USD]]/60</f>
        <v>2970.0948333866668</v>
      </c>
      <c r="AP376" s="171">
        <f>Delivery[[#This Row],[AAA Premium (total)]]</f>
        <v>15892.580000000002</v>
      </c>
      <c r="AQ376" s="171">
        <f>Delivery[[#This Row],[Valor pago pelo Cluster]]-Delivery[[#This Row],[Valor efetivamente pago pela Nespresso]]</f>
        <v>12922.485166613335</v>
      </c>
    </row>
    <row r="377" spans="1:43" ht="15.75">
      <c r="A377" s="174" t="s">
        <v>69</v>
      </c>
      <c r="B377" s="232" t="s">
        <v>68</v>
      </c>
      <c r="C377" s="157">
        <v>1</v>
      </c>
      <c r="D377" s="157" t="s">
        <v>468</v>
      </c>
      <c r="E377" s="177" t="s">
        <v>468</v>
      </c>
      <c r="F377" s="233" t="s">
        <v>543</v>
      </c>
      <c r="G377" s="234">
        <v>43493</v>
      </c>
      <c r="H377" s="157" t="s">
        <v>1548</v>
      </c>
      <c r="I377" s="236" t="s">
        <v>672</v>
      </c>
      <c r="J377" s="237">
        <v>5940</v>
      </c>
      <c r="K377" s="175" t="s">
        <v>61</v>
      </c>
      <c r="L377" s="175" t="s">
        <v>439</v>
      </c>
      <c r="M377" s="175" t="s">
        <v>1343</v>
      </c>
      <c r="N377" s="180"/>
      <c r="O377" s="177"/>
      <c r="P377" s="181">
        <v>0</v>
      </c>
      <c r="Q377" s="177">
        <v>43430</v>
      </c>
      <c r="R377" s="178">
        <v>428.979175</v>
      </c>
      <c r="S377" s="179">
        <v>44890.685788647599</v>
      </c>
      <c r="T377" s="182" t="s">
        <v>45</v>
      </c>
      <c r="U377" s="183">
        <v>3.8944999999999999</v>
      </c>
      <c r="V377" s="179">
        <v>2698.7400000000002</v>
      </c>
      <c r="W377" s="179">
        <v>920.57421135239986</v>
      </c>
      <c r="X377" s="184" t="s">
        <v>45</v>
      </c>
      <c r="Y377" s="183">
        <v>3.8944999999999999</v>
      </c>
      <c r="Z377" s="220" t="s">
        <v>473</v>
      </c>
      <c r="AA377" s="172">
        <f>Delivery[[#This Row],[Quantity delivered]]*VLOOKUP(Delivery[[#This Row],[Unit]],Tab_Conversão[],4,FALSE)*VLOOKUP(CONCATENATE(Delivery[[#This Row],[Coffee specie]],Delivery[[#This Row],[Coffee state]]),Tab_Conversão[],4,FALSE)</f>
        <v>5940</v>
      </c>
      <c r="AB377" s="169">
        <f>SUMIF(Allocation!C:C,Delivery[[#This Row],[Delivery ID]],Allocation!D:D)/Delivery[[#This Row],[Quantity delivered]]</f>
        <v>0.35959595959595958</v>
      </c>
      <c r="AC377" s="170">
        <f>Delivery[[#This Row],[Quantity delivered]]*Delivery[[#This Row],[Base price (Unidad)]]/60</f>
        <v>42468.938325000003</v>
      </c>
      <c r="AD377" s="171">
        <f>Delivery[[#This Row],[Nespresso total]]-Delivery[[#This Row],[Qt. Delivery * Base Price]]</f>
        <v>2421.7474636475963</v>
      </c>
      <c r="AE377" s="171">
        <f>Delivery[[#This Row],[AAA Premium (total)]]/Delivery[[#This Row],[Quantity delivered]]*60/Delivery[[#This Row],[Exchange rate VS USD]]</f>
        <v>6.9996148414430612</v>
      </c>
      <c r="AF377" s="171">
        <f>Delivery[[#This Row],[BEN premium (total)]]/Delivery[[#This Row],[Quantity delivered]]*60/Delivery[[#This Row],[Exchange rate for premiums VS USD]]</f>
        <v>2.3876567999999994</v>
      </c>
      <c r="AG377" s="171">
        <f>COUNTIF(Delivery[Delivery ID],Delivery[[#This Row],[Delivery ID]])</f>
        <v>1</v>
      </c>
      <c r="AH377" s="171">
        <f>(Delivery[[#This Row],[Nespresso total]]/SUMIF(Allocation!C:C,Delivery[Delivery ID],Allocation!H:H))/Delivery[[#This Row],[Exchange rate VS USD]]</f>
        <v>14.98919094787157</v>
      </c>
      <c r="AI377" s="171">
        <f>(Delivery[[#This Row],[AAA Premium (total)]]/SUMIF(Allocation!C:C,Delivery[Delivery ID],Allocation!H:H))/Delivery[[#This Row],[Exchange rate VS USD]]</f>
        <v>0.90112076632361915</v>
      </c>
      <c r="AJ377" s="171">
        <f>Delivery[[#This Row],[Valor Prêmio Nespresso AAA por Kg (em US$)]]*60</f>
        <v>54.067245979417152</v>
      </c>
      <c r="AK377" s="171">
        <f>Delivery[[#This Row],[Valor Prêmio Nespresso AAA por saca (em US$)]]/1.3228/100</f>
        <v>0.40873333821754726</v>
      </c>
      <c r="AL377" s="171">
        <f>(Delivery[[#This Row],[BEN premium (total)]]/SUMIF(Allocation!C:C,Delivery[Delivery ID],Allocation!H:H))/Delivery[[#This Row],[Exchange rate for premiums VS USD]]</f>
        <v>0.30738364525357603</v>
      </c>
      <c r="AM377" s="171">
        <f>Delivery[[#This Row],[Valor Prêmio Nespresso BEN por Kg (em US$)]]*60</f>
        <v>18.443018715214563</v>
      </c>
      <c r="AN377" s="171">
        <f>Delivery[[#This Row],[Valor Prêmio Nespresso BEN por saca (em US$)]]/1.3228/100</f>
        <v>0.13942409068048506</v>
      </c>
      <c r="AO377" s="171">
        <f>SUMIF(Allocation[Delivery ID],Delivery[[#This Row],[Delivery ID]],Allocation[Quantity allocated])*16*1.3228*Delivery[[#This Row],[Exchange rate VS USD]]/60</f>
        <v>1056.4305859733333</v>
      </c>
      <c r="AP377" s="171">
        <f>Delivery[[#This Row],[AAA Premium (total)]]</f>
        <v>2698.7400000000002</v>
      </c>
      <c r="AQ377" s="171">
        <f>Delivery[[#This Row],[Valor pago pelo Cluster]]-Delivery[[#This Row],[Valor efetivamente pago pela Nespresso]]</f>
        <v>1642.3094140266669</v>
      </c>
    </row>
    <row r="378" spans="1:43" ht="15.75">
      <c r="A378" s="174" t="s">
        <v>69</v>
      </c>
      <c r="B378" s="232" t="s">
        <v>68</v>
      </c>
      <c r="C378" s="157">
        <v>1</v>
      </c>
      <c r="D378" s="157" t="s">
        <v>468</v>
      </c>
      <c r="E378" s="177" t="s">
        <v>468</v>
      </c>
      <c r="F378" s="240" t="s">
        <v>543</v>
      </c>
      <c r="G378" s="234">
        <v>43493</v>
      </c>
      <c r="H378" s="157" t="s">
        <v>2023</v>
      </c>
      <c r="I378" s="236" t="s">
        <v>672</v>
      </c>
      <c r="J378" s="237">
        <v>30</v>
      </c>
      <c r="K378" s="175" t="s">
        <v>61</v>
      </c>
      <c r="L378" s="175" t="s">
        <v>439</v>
      </c>
      <c r="M378" s="175" t="s">
        <v>1343</v>
      </c>
      <c r="N378" s="180"/>
      <c r="O378" s="177"/>
      <c r="P378" s="181">
        <v>0</v>
      </c>
      <c r="Q378" s="177">
        <v>43430</v>
      </c>
      <c r="R378" s="178">
        <v>428.979175</v>
      </c>
      <c r="S378" s="179">
        <v>226.72063529620002</v>
      </c>
      <c r="T378" s="182" t="s">
        <v>45</v>
      </c>
      <c r="U378" s="183">
        <v>3.8944999999999999</v>
      </c>
      <c r="V378" s="179">
        <v>13.630749999999999</v>
      </c>
      <c r="W378" s="179">
        <v>4.649364703799999</v>
      </c>
      <c r="X378" s="184" t="s">
        <v>45</v>
      </c>
      <c r="Y378" s="183">
        <v>3.8944999999999999</v>
      </c>
      <c r="Z378" s="220" t="s">
        <v>473</v>
      </c>
      <c r="AA378" s="172">
        <f>Delivery[[#This Row],[Quantity delivered]]*VLOOKUP(Delivery[[#This Row],[Unit]],Tab_Conversão[],4,FALSE)*VLOOKUP(CONCATENATE(Delivery[[#This Row],[Coffee specie]],Delivery[[#This Row],[Coffee state]]),Tab_Conversão[],4,FALSE)</f>
        <v>30</v>
      </c>
      <c r="AB378" s="169">
        <f>SUMIF(Allocation!C:C,Delivery[[#This Row],[Delivery ID]],Allocation!D:D)/Delivery[[#This Row],[Quantity delivered]]</f>
        <v>1</v>
      </c>
      <c r="AC378" s="170">
        <f>Delivery[[#This Row],[Quantity delivered]]*Delivery[[#This Row],[Base price (Unidad)]]/60</f>
        <v>214.4895875</v>
      </c>
      <c r="AD378" s="171">
        <f>Delivery[[#This Row],[Nespresso total]]-Delivery[[#This Row],[Qt. Delivery * Base Price]]</f>
        <v>12.231047796200016</v>
      </c>
      <c r="AE378" s="171">
        <f>Delivery[[#This Row],[AAA Premium (total)]]/Delivery[[#This Row],[Quantity delivered]]*60/Delivery[[#This Row],[Exchange rate VS USD]]</f>
        <v>7</v>
      </c>
      <c r="AF378" s="171">
        <f>Delivery[[#This Row],[BEN premium (total)]]/Delivery[[#This Row],[Quantity delivered]]*60/Delivery[[#This Row],[Exchange rate for premiums VS USD]]</f>
        <v>2.3876567999999994</v>
      </c>
      <c r="AG378" s="171">
        <f>COUNTIF(Delivery[Delivery ID],Delivery[[#This Row],[Delivery ID]])</f>
        <v>1</v>
      </c>
      <c r="AH378" s="171">
        <f>(Delivery[[#This Row],[Nespresso total]]/SUMIF(Allocation!C:C,Delivery[Delivery ID],Allocation!H:H))/Delivery[[#This Row],[Exchange rate VS USD]]</f>
        <v>3.8810396764017634</v>
      </c>
      <c r="AI378" s="171">
        <f>(Delivery[[#This Row],[AAA Premium (total)]]/SUMIF(Allocation!C:C,Delivery[Delivery ID],Allocation!H:H))/Delivery[[#This Row],[Exchange rate VS USD]]</f>
        <v>0.23333333333333334</v>
      </c>
      <c r="AJ378" s="171">
        <f>Delivery[[#This Row],[Valor Prêmio Nespresso AAA por Kg (em US$)]]*60</f>
        <v>14</v>
      </c>
      <c r="AK378" s="171">
        <f>Delivery[[#This Row],[Valor Prêmio Nespresso AAA por saca (em US$)]]/1.3228/100</f>
        <v>0.1058361052313275</v>
      </c>
      <c r="AL378" s="171">
        <f>(Delivery[[#This Row],[BEN premium (total)]]/SUMIF(Allocation!C:C,Delivery[Delivery ID],Allocation!H:H))/Delivery[[#This Row],[Exchange rate for premiums VS USD]]</f>
        <v>7.9588559999999989E-2</v>
      </c>
      <c r="AM378" s="171">
        <f>Delivery[[#This Row],[Valor Prêmio Nespresso BEN por Kg (em US$)]]*60</f>
        <v>4.7753135999999996</v>
      </c>
      <c r="AN378" s="171">
        <f>Delivery[[#This Row],[Valor Prêmio Nespresso BEN por saca (em US$)]]/1.3228/100</f>
        <v>3.6100042334442091E-2</v>
      </c>
      <c r="AO378" s="171">
        <f>SUMIF(Allocation[Delivery ID],Delivery[[#This Row],[Delivery ID]],Allocation[Quantity allocated])*16*1.3228*Delivery[[#This Row],[Exchange rate VS USD]]/60</f>
        <v>20.606578399999997</v>
      </c>
      <c r="AP378" s="171">
        <f>Delivery[[#This Row],[AAA Premium (total)]]</f>
        <v>13.630749999999999</v>
      </c>
      <c r="AQ378" s="171">
        <f>Delivery[[#This Row],[Valor pago pelo Cluster]]-Delivery[[#This Row],[Valor efetivamente pago pela Nespresso]]</f>
        <v>-6.9758283999999975</v>
      </c>
    </row>
    <row r="379" spans="1:43" ht="15.75">
      <c r="A379" s="174" t="s">
        <v>69</v>
      </c>
      <c r="B379" s="232" t="s">
        <v>68</v>
      </c>
      <c r="C379" s="157">
        <v>1</v>
      </c>
      <c r="D379" s="157" t="s">
        <v>468</v>
      </c>
      <c r="E379" s="177" t="s">
        <v>468</v>
      </c>
      <c r="F379" s="233" t="s">
        <v>541</v>
      </c>
      <c r="G379" s="234">
        <v>43424</v>
      </c>
      <c r="H379" s="157" t="s">
        <v>1549</v>
      </c>
      <c r="I379" s="157" t="s">
        <v>1550</v>
      </c>
      <c r="J379" s="237">
        <v>709297</v>
      </c>
      <c r="K379" s="175" t="s">
        <v>61</v>
      </c>
      <c r="L379" s="175" t="s">
        <v>439</v>
      </c>
      <c r="M379" s="175" t="s">
        <v>1343</v>
      </c>
      <c r="N379" s="180"/>
      <c r="O379" s="177"/>
      <c r="P379" s="181">
        <v>0</v>
      </c>
      <c r="Q379" s="177">
        <v>43392</v>
      </c>
      <c r="R379" s="178">
        <v>459.59580000000005</v>
      </c>
      <c r="S379" s="179">
        <v>5206781.4532576287</v>
      </c>
      <c r="T379" s="182" t="s">
        <v>45</v>
      </c>
      <c r="U379" s="183">
        <v>3.6945000000000001</v>
      </c>
      <c r="V379" s="179">
        <v>305707.01</v>
      </c>
      <c r="W379" s="179">
        <v>95590.753371185987</v>
      </c>
      <c r="X379" s="184" t="s">
        <v>45</v>
      </c>
      <c r="Y379" s="183">
        <v>3.6945000000000001</v>
      </c>
      <c r="Z379" s="220" t="s">
        <v>473</v>
      </c>
      <c r="AA379" s="172">
        <f>Delivery[[#This Row],[Quantity delivered]]*VLOOKUP(Delivery[[#This Row],[Unit]],Tab_Conversão[],4,FALSE)*VLOOKUP(CONCATENATE(Delivery[[#This Row],[Coffee specie]],Delivery[[#This Row],[Coffee state]]),Tab_Conversão[],4,FALSE)</f>
        <v>709297</v>
      </c>
      <c r="AB379" s="169">
        <f>SUMIF(Allocation!C:C,Delivery[[#This Row],[Delivery ID]],Allocation!D:D)/Delivery[[#This Row],[Quantity delivered]]</f>
        <v>0.98939090395137719</v>
      </c>
      <c r="AC379" s="170">
        <f>Delivery[[#This Row],[Quantity delivered]]*Delivery[[#This Row],[Base price (Unidad)]]/60</f>
        <v>5433165.3692100011</v>
      </c>
      <c r="AD379" s="171">
        <f>Delivery[[#This Row],[Nespresso total]]-Delivery[[#This Row],[Qt. Delivery * Base Price]]</f>
        <v>-226383.91595237236</v>
      </c>
      <c r="AE379" s="171">
        <f>Delivery[[#This Row],[AAA Premium (total)]]/Delivery[[#This Row],[Quantity delivered]]*60/Delivery[[#This Row],[Exchange rate VS USD]]</f>
        <v>6.9995940597570439</v>
      </c>
      <c r="AF379" s="171">
        <f>Delivery[[#This Row],[BEN premium (total)]]/Delivery[[#This Row],[Quantity delivered]]*60/Delivery[[#This Row],[Exchange rate for premiums VS USD]]</f>
        <v>2.1886853999999998</v>
      </c>
      <c r="AG379" s="171">
        <f>COUNTIF(Delivery[Delivery ID],Delivery[[#This Row],[Delivery ID]])</f>
        <v>1</v>
      </c>
      <c r="AH379" s="171">
        <f>(Delivery[[#This Row],[Nespresso total]]/SUMIF(Allocation!C:C,Delivery[Delivery ID],Allocation!H:H))/Delivery[[#This Row],[Exchange rate VS USD]]</f>
        <v>6.0855978813184901</v>
      </c>
      <c r="AI379" s="171">
        <f>(Delivery[[#This Row],[AAA Premium (total)]]/SUMIF(Allocation!C:C,Delivery[Delivery ID],Allocation!H:H))/Delivery[[#This Row],[Exchange rate VS USD]]</f>
        <v>0.35730517000982304</v>
      </c>
      <c r="AJ379" s="171">
        <f>Delivery[[#This Row],[Valor Prêmio Nespresso AAA por Kg (em US$)]]*60</f>
        <v>21.438310200589381</v>
      </c>
      <c r="AK379" s="171">
        <f>Delivery[[#This Row],[Valor Prêmio Nespresso AAA por saca (em US$)]]/1.3228/100</f>
        <v>0.16206766102652995</v>
      </c>
      <c r="AL379" s="171">
        <f>(Delivery[[#This Row],[BEN premium (total)]]/SUMIF(Allocation!C:C,Delivery[Delivery ID],Allocation!H:H))/Delivery[[#This Row],[Exchange rate for premiums VS USD]]</f>
        <v>0.11172485179407128</v>
      </c>
      <c r="AM379" s="171">
        <f>Delivery[[#This Row],[Valor Prêmio Nespresso BEN por Kg (em US$)]]*60</f>
        <v>6.7034911076442771</v>
      </c>
      <c r="AN379" s="171">
        <f>Delivery[[#This Row],[Valor Prêmio Nespresso BEN por saca (em US$)]]/1.3228/100</f>
        <v>5.0676527877564839E-2</v>
      </c>
      <c r="AO379" s="171">
        <f>SUMIF(Allocation[Delivery ID],Delivery[[#This Row],[Delivery ID]],Allocation[Quantity allocated])*16*1.3228*Delivery[[#This Row],[Exchange rate VS USD]]/60</f>
        <v>301806.79655759997</v>
      </c>
      <c r="AP379" s="171">
        <f>Delivery[[#This Row],[AAA Premium (total)]]</f>
        <v>305707.01</v>
      </c>
      <c r="AQ379" s="171">
        <f>Delivery[[#This Row],[Valor pago pelo Cluster]]-Delivery[[#This Row],[Valor efetivamente pago pela Nespresso]]</f>
        <v>3900.2134424000396</v>
      </c>
    </row>
    <row r="380" spans="1:43" ht="15.75">
      <c r="A380" s="174" t="s">
        <v>69</v>
      </c>
      <c r="B380" s="232" t="s">
        <v>68</v>
      </c>
      <c r="C380" s="157">
        <v>1</v>
      </c>
      <c r="D380" s="157" t="s">
        <v>468</v>
      </c>
      <c r="E380" s="177" t="s">
        <v>468</v>
      </c>
      <c r="F380" s="233" t="s">
        <v>541</v>
      </c>
      <c r="G380" s="234">
        <v>43424</v>
      </c>
      <c r="H380" s="157" t="s">
        <v>1551</v>
      </c>
      <c r="I380" s="157" t="s">
        <v>1550</v>
      </c>
      <c r="J380" s="237">
        <v>330000</v>
      </c>
      <c r="K380" s="175" t="s">
        <v>61</v>
      </c>
      <c r="L380" s="175" t="s">
        <v>439</v>
      </c>
      <c r="M380" s="175" t="s">
        <v>1343</v>
      </c>
      <c r="N380" s="180"/>
      <c r="O380" s="177"/>
      <c r="P380" s="181">
        <v>0</v>
      </c>
      <c r="Q380" s="177">
        <v>43392</v>
      </c>
      <c r="R380" s="178">
        <v>459.59580000000005</v>
      </c>
      <c r="S380" s="179">
        <v>2422451.9196867002</v>
      </c>
      <c r="T380" s="182" t="s">
        <v>45</v>
      </c>
      <c r="U380" s="183">
        <v>3.6945000000000001</v>
      </c>
      <c r="V380" s="179">
        <v>142230</v>
      </c>
      <c r="W380" s="179">
        <v>44473.54015665</v>
      </c>
      <c r="X380" s="184" t="s">
        <v>45</v>
      </c>
      <c r="Y380" s="183">
        <v>3.6945000000000001</v>
      </c>
      <c r="Z380" s="220" t="s">
        <v>473</v>
      </c>
      <c r="AA380" s="172">
        <f>Delivery[[#This Row],[Quantity delivered]]*VLOOKUP(Delivery[[#This Row],[Unit]],Tab_Conversão[],4,FALSE)*VLOOKUP(CONCATENATE(Delivery[[#This Row],[Coffee specie]],Delivery[[#This Row],[Coffee state]]),Tab_Conversão[],4,FALSE)</f>
        <v>330000</v>
      </c>
      <c r="AB380" s="169">
        <f>SUMIF(Allocation!C:C,Delivery[[#This Row],[Delivery ID]],Allocation!D:D)/Delivery[[#This Row],[Quantity delivered]]</f>
        <v>1</v>
      </c>
      <c r="AC380" s="170">
        <f>Delivery[[#This Row],[Quantity delivered]]*Delivery[[#This Row],[Base price (Unidad)]]/60</f>
        <v>2527776.9000000004</v>
      </c>
      <c r="AD380" s="171">
        <f>Delivery[[#This Row],[Nespresso total]]-Delivery[[#This Row],[Qt. Delivery * Base Price]]</f>
        <v>-105324.98031330016</v>
      </c>
      <c r="AE380" s="171">
        <f>Delivery[[#This Row],[AAA Premium (total)]]/Delivery[[#This Row],[Quantity delivered]]*60/Delivery[[#This Row],[Exchange rate VS USD]]</f>
        <v>6.9995939910678029</v>
      </c>
      <c r="AF380" s="171">
        <f>Delivery[[#This Row],[BEN premium (total)]]/Delivery[[#This Row],[Quantity delivered]]*60/Delivery[[#This Row],[Exchange rate for premiums VS USD]]</f>
        <v>2.1886853999999998</v>
      </c>
      <c r="AG380" s="171">
        <f>COUNTIF(Delivery[Delivery ID],Delivery[[#This Row],[Delivery ID]])</f>
        <v>1</v>
      </c>
      <c r="AH380" s="171">
        <f>(Delivery[[#This Row],[Nespresso total]]/SUMIF(Allocation!C:C,Delivery[Delivery ID],Allocation!H:H))/Delivery[[#This Row],[Exchange rate VS USD]]</f>
        <v>6.0029608843237927</v>
      </c>
      <c r="AI380" s="171">
        <f>(Delivery[[#This Row],[AAA Premium (total)]]/SUMIF(Allocation!C:C,Delivery[Delivery ID],Allocation!H:H))/Delivery[[#This Row],[Exchange rate VS USD]]</f>
        <v>0.35245328076017979</v>
      </c>
      <c r="AJ380" s="171">
        <f>Delivery[[#This Row],[Valor Prêmio Nespresso AAA por Kg (em US$)]]*60</f>
        <v>21.147196845610786</v>
      </c>
      <c r="AK380" s="171">
        <f>Delivery[[#This Row],[Valor Prêmio Nespresso AAA por saca (em US$)]]/1.3228/100</f>
        <v>0.15986692504997571</v>
      </c>
      <c r="AL380" s="171">
        <f>(Delivery[[#This Row],[BEN premium (total)]]/SUMIF(Allocation!C:C,Delivery[Delivery ID],Allocation!H:H))/Delivery[[#This Row],[Exchange rate for premiums VS USD]]</f>
        <v>0.11020772787197422</v>
      </c>
      <c r="AM380" s="171">
        <f>Delivery[[#This Row],[Valor Prêmio Nespresso BEN por Kg (em US$)]]*60</f>
        <v>6.6124636723184533</v>
      </c>
      <c r="AN380" s="171">
        <f>Delivery[[#This Row],[Valor Prêmio Nespresso BEN por saca (em US$)]]/1.3228/100</f>
        <v>4.998838579013043E-2</v>
      </c>
      <c r="AO380" s="171">
        <f>SUMIF(Allocation[Delivery ID],Delivery[[#This Row],[Delivery ID]],Allocation[Quantity allocated])*16*1.3228*Delivery[[#This Row],[Exchange rate VS USD]]/60</f>
        <v>142348.39378368002</v>
      </c>
      <c r="AP380" s="171">
        <f>Delivery[[#This Row],[AAA Premium (total)]]</f>
        <v>142230</v>
      </c>
      <c r="AQ380" s="171">
        <f>Delivery[[#This Row],[Valor pago pelo Cluster]]-Delivery[[#This Row],[Valor efetivamente pago pela Nespresso]]</f>
        <v>-118.3937836800178</v>
      </c>
    </row>
    <row r="381" spans="1:43" ht="15.75">
      <c r="A381" s="174" t="s">
        <v>69</v>
      </c>
      <c r="B381" s="232" t="s">
        <v>68</v>
      </c>
      <c r="C381" s="157">
        <v>1</v>
      </c>
      <c r="D381" s="157" t="s">
        <v>468</v>
      </c>
      <c r="E381" s="177" t="s">
        <v>468</v>
      </c>
      <c r="F381" s="233" t="s">
        <v>543</v>
      </c>
      <c r="G381" s="234">
        <v>43418</v>
      </c>
      <c r="H381" s="160" t="s">
        <v>1552</v>
      </c>
      <c r="I381" s="157" t="s">
        <v>1550</v>
      </c>
      <c r="J381" s="237">
        <v>381100</v>
      </c>
      <c r="K381" s="175" t="s">
        <v>61</v>
      </c>
      <c r="L381" s="175" t="s">
        <v>439</v>
      </c>
      <c r="M381" s="175" t="s">
        <v>1343</v>
      </c>
      <c r="N381" s="180"/>
      <c r="O381" s="177"/>
      <c r="P381" s="181">
        <v>0</v>
      </c>
      <c r="Q381" s="177">
        <v>43392</v>
      </c>
      <c r="R381" s="178">
        <v>459.59580000000005</v>
      </c>
      <c r="S381" s="179">
        <v>2848925.1295342445</v>
      </c>
      <c r="T381" s="182" t="s">
        <v>45</v>
      </c>
      <c r="U381" s="183">
        <v>3.6945000000000001</v>
      </c>
      <c r="V381" s="179">
        <v>164263.6275</v>
      </c>
      <c r="W381" s="179">
        <v>51360.200465755501</v>
      </c>
      <c r="X381" s="184" t="s">
        <v>45</v>
      </c>
      <c r="Y381" s="183">
        <v>3.6945000000000001</v>
      </c>
      <c r="Z381" s="220" t="s">
        <v>473</v>
      </c>
      <c r="AA381" s="172">
        <f>Delivery[[#This Row],[Quantity delivered]]*VLOOKUP(Delivery[[#This Row],[Unit]],Tab_Conversão[],4,FALSE)*VLOOKUP(CONCATENATE(Delivery[[#This Row],[Coffee specie]],Delivery[[#This Row],[Coffee state]]),Tab_Conversão[],4,FALSE)</f>
        <v>381100</v>
      </c>
      <c r="AB381" s="169">
        <f>SUMIF(Allocation!C:C,Delivery[[#This Row],[Delivery ID]],Allocation!D:D)/Delivery[[#This Row],[Quantity delivered]]</f>
        <v>0.59636053529257416</v>
      </c>
      <c r="AC381" s="170">
        <f>Delivery[[#This Row],[Quantity delivered]]*Delivery[[#This Row],[Base price (Unidad)]]/60</f>
        <v>2919199.3230000003</v>
      </c>
      <c r="AD381" s="171">
        <f>Delivery[[#This Row],[Nespresso total]]-Delivery[[#This Row],[Qt. Delivery * Base Price]]</f>
        <v>-70274.193465755787</v>
      </c>
      <c r="AE381" s="171">
        <f>Delivery[[#This Row],[AAA Premium (total)]]/Delivery[[#This Row],[Quantity delivered]]*60/Delivery[[#This Row],[Exchange rate VS USD]]</f>
        <v>7</v>
      </c>
      <c r="AF381" s="171">
        <f>Delivery[[#This Row],[BEN premium (total)]]/Delivery[[#This Row],[Quantity delivered]]*60/Delivery[[#This Row],[Exchange rate for premiums VS USD]]</f>
        <v>2.1886853999999998</v>
      </c>
      <c r="AG381" s="171">
        <f>COUNTIF(Delivery[Delivery ID],Delivery[[#This Row],[Delivery ID]])</f>
        <v>1</v>
      </c>
      <c r="AH381" s="171">
        <f>(Delivery[[#This Row],[Nespresso total]]/SUMIF(Allocation!C:C,Delivery[Delivery ID],Allocation!H:H))/Delivery[[#This Row],[Exchange rate VS USD]]</f>
        <v>10.281680442222203</v>
      </c>
      <c r="AI381" s="171">
        <f>(Delivery[[#This Row],[AAA Premium (total)]]/SUMIF(Allocation!C:C,Delivery[Delivery ID],Allocation!H:H))/Delivery[[#This Row],[Exchange rate VS USD]]</f>
        <v>0.59282222222222225</v>
      </c>
      <c r="AJ381" s="171">
        <f>Delivery[[#This Row],[Valor Prêmio Nespresso AAA por Kg (em US$)]]*60</f>
        <v>35.569333333333333</v>
      </c>
      <c r="AK381" s="171">
        <f>Delivery[[#This Row],[Valor Prêmio Nespresso AAA por saca (em US$)]]/1.3228/100</f>
        <v>0.26889426469105937</v>
      </c>
      <c r="AL381" s="171">
        <f>(Delivery[[#This Row],[BEN premium (total)]]/SUMIF(Allocation!C:C,Delivery[Delivery ID],Allocation!H:H))/Delivery[[#This Row],[Exchange rate for premiums VS USD]]</f>
        <v>0.18535733465333334</v>
      </c>
      <c r="AM381" s="171">
        <f>Delivery[[#This Row],[Valor Prêmio Nespresso BEN por Kg (em US$)]]*60</f>
        <v>11.121440079200001</v>
      </c>
      <c r="AN381" s="171">
        <f>Delivery[[#This Row],[Valor Prêmio Nespresso BEN por saca (em US$)]]/1.3228/100</f>
        <v>8.4074993039008172E-2</v>
      </c>
      <c r="AO381" s="171">
        <f>SUMIF(Allocation[Delivery ID],Delivery[[#This Row],[Delivery ID]],Allocation[Quantity allocated])*16*1.3228*Delivery[[#This Row],[Exchange rate VS USD]]/60</f>
        <v>97741.69200000001</v>
      </c>
      <c r="AP381" s="171">
        <f>Delivery[[#This Row],[AAA Premium (total)]]</f>
        <v>164263.6275</v>
      </c>
      <c r="AQ381" s="171">
        <f>Delivery[[#This Row],[Valor pago pelo Cluster]]-Delivery[[#This Row],[Valor efetivamente pago pela Nespresso]]</f>
        <v>66521.935499999992</v>
      </c>
    </row>
    <row r="382" spans="1:43" ht="15.75">
      <c r="A382" s="174" t="s">
        <v>69</v>
      </c>
      <c r="B382" s="232" t="s">
        <v>68</v>
      </c>
      <c r="C382" s="157">
        <v>1</v>
      </c>
      <c r="D382" s="157" t="s">
        <v>468</v>
      </c>
      <c r="E382" s="177" t="s">
        <v>468</v>
      </c>
      <c r="F382" s="233" t="s">
        <v>543</v>
      </c>
      <c r="G382" s="234">
        <v>43343</v>
      </c>
      <c r="H382" s="157" t="s">
        <v>1271</v>
      </c>
      <c r="I382" s="157" t="s">
        <v>741</v>
      </c>
      <c r="J382" s="237">
        <v>2200</v>
      </c>
      <c r="K382" s="175" t="s">
        <v>61</v>
      </c>
      <c r="L382" s="175" t="s">
        <v>439</v>
      </c>
      <c r="M382" s="175" t="s">
        <v>1343</v>
      </c>
      <c r="N382" s="180"/>
      <c r="O382" s="177"/>
      <c r="P382" s="181">
        <v>0</v>
      </c>
      <c r="Q382" s="177">
        <v>43228</v>
      </c>
      <c r="R382" s="178">
        <v>459.553</v>
      </c>
      <c r="S382" s="179">
        <v>16830.83201844</v>
      </c>
      <c r="T382" s="182" t="s">
        <v>45</v>
      </c>
      <c r="U382" s="183">
        <v>3.61</v>
      </c>
      <c r="V382" s="179">
        <v>926.75066000000004</v>
      </c>
      <c r="W382" s="179">
        <v>289.70899078000002</v>
      </c>
      <c r="X382" s="184" t="s">
        <v>45</v>
      </c>
      <c r="Y382" s="183">
        <v>3.61</v>
      </c>
      <c r="Z382" s="220" t="s">
        <v>473</v>
      </c>
      <c r="AA382" s="172">
        <f>Delivery[[#This Row],[Quantity delivered]]*VLOOKUP(Delivery[[#This Row],[Unit]],Tab_Conversão[],4,FALSE)*VLOOKUP(CONCATENATE(Delivery[[#This Row],[Coffee specie]],Delivery[[#This Row],[Coffee state]]),Tab_Conversão[],4,FALSE)</f>
        <v>2200</v>
      </c>
      <c r="AB382" s="169">
        <f>SUMIF(Allocation!C:C,Delivery[[#This Row],[Delivery ID]],Allocation!D:D)/Delivery[[#This Row],[Quantity delivered]]</f>
        <v>1</v>
      </c>
      <c r="AC382" s="170">
        <f>Delivery[[#This Row],[Quantity delivered]]*Delivery[[#This Row],[Base price (Unidad)]]/60</f>
        <v>16850.276666666665</v>
      </c>
      <c r="AD382" s="171">
        <f>Delivery[[#This Row],[Nespresso total]]-Delivery[[#This Row],[Qt. Delivery * Base Price]]</f>
        <v>-19.444648226664867</v>
      </c>
      <c r="AE382" s="171">
        <f>Delivery[[#This Row],[AAA Premium (total)]]/Delivery[[#This Row],[Quantity delivered]]*60/Delivery[[#This Row],[Exchange rate VS USD]]</f>
        <v>7.0013900277008316</v>
      </c>
      <c r="AF382" s="171">
        <f>Delivery[[#This Row],[BEN premium (total)]]/Delivery[[#This Row],[Quantity delivered]]*60/Delivery[[#This Row],[Exchange rate for premiums VS USD]]</f>
        <v>2.1886854000000002</v>
      </c>
      <c r="AG382" s="171">
        <f>COUNTIF(Delivery[Delivery ID],Delivery[[#This Row],[Delivery ID]])</f>
        <v>1</v>
      </c>
      <c r="AH382" s="171">
        <f>(Delivery[[#This Row],[Nespresso total]]/SUMIF(Allocation!C:C,Delivery[Delivery ID],Allocation!H:H))/Delivery[[#This Row],[Exchange rate VS USD]]</f>
        <v>6.0785923566075688</v>
      </c>
      <c r="AI382" s="171">
        <f>(Delivery[[#This Row],[AAA Premium (total)]]/SUMIF(Allocation!C:C,Delivery[Delivery ID],Allocation!H:H))/Delivery[[#This Row],[Exchange rate VS USD]]</f>
        <v>0.33470356499221704</v>
      </c>
      <c r="AJ382" s="171">
        <f>Delivery[[#This Row],[Valor Prêmio Nespresso AAA por Kg (em US$)]]*60</f>
        <v>20.082213899533023</v>
      </c>
      <c r="AK382" s="171">
        <f>Delivery[[#This Row],[Valor Prêmio Nespresso AAA por saca (em US$)]]/1.3228/100</f>
        <v>0.15181595025350034</v>
      </c>
      <c r="AL382" s="171">
        <f>(Delivery[[#This Row],[BEN premium (total)]]/SUMIF(Allocation!C:C,Delivery[Delivery ID],Allocation!H:H))/Delivery[[#This Row],[Exchange rate for premiums VS USD]]</f>
        <v>0.10463076662320732</v>
      </c>
      <c r="AM382" s="171">
        <f>Delivery[[#This Row],[Valor Prêmio Nespresso BEN por Kg (em US$)]]*60</f>
        <v>6.277845997392439</v>
      </c>
      <c r="AN382" s="171">
        <f>Delivery[[#This Row],[Valor Prêmio Nespresso BEN por saca (em US$)]]/1.3228/100</f>
        <v>4.7458769257578165E-2</v>
      </c>
      <c r="AO382" s="171">
        <f>SUMIF(Allocation[Delivery ID],Delivery[[#This Row],[Delivery ID]],Allocation[Quantity allocated])*16*1.3228*Delivery[[#This Row],[Exchange rate VS USD]]/60</f>
        <v>976.70966293333333</v>
      </c>
      <c r="AP382" s="171">
        <f>Delivery[[#This Row],[AAA Premium (total)]]</f>
        <v>926.75066000000004</v>
      </c>
      <c r="AQ382" s="171">
        <f>Delivery[[#This Row],[Valor pago pelo Cluster]]-Delivery[[#This Row],[Valor efetivamente pago pela Nespresso]]</f>
        <v>-49.959002933333295</v>
      </c>
    </row>
    <row r="383" spans="1:43" ht="15.75">
      <c r="A383" s="174" t="s">
        <v>69</v>
      </c>
      <c r="B383" s="232" t="s">
        <v>68</v>
      </c>
      <c r="C383" s="157">
        <v>1</v>
      </c>
      <c r="D383" s="157" t="s">
        <v>468</v>
      </c>
      <c r="E383" s="177" t="s">
        <v>468</v>
      </c>
      <c r="F383" s="233" t="s">
        <v>543</v>
      </c>
      <c r="G383" s="234">
        <v>43343</v>
      </c>
      <c r="H383" s="157" t="s">
        <v>1272</v>
      </c>
      <c r="I383" s="157" t="s">
        <v>741</v>
      </c>
      <c r="J383" s="237">
        <v>380</v>
      </c>
      <c r="K383" s="175" t="s">
        <v>61</v>
      </c>
      <c r="L383" s="175" t="s">
        <v>439</v>
      </c>
      <c r="M383" s="175" t="s">
        <v>1343</v>
      </c>
      <c r="N383" s="180"/>
      <c r="O383" s="177"/>
      <c r="P383" s="181">
        <v>0</v>
      </c>
      <c r="Q383" s="177">
        <v>43228</v>
      </c>
      <c r="R383" s="178">
        <v>459.553</v>
      </c>
      <c r="S383" s="179">
        <v>2907.1437122760003</v>
      </c>
      <c r="T383" s="182" t="s">
        <v>45</v>
      </c>
      <c r="U383" s="183">
        <v>3.61</v>
      </c>
      <c r="V383" s="179">
        <v>160.07511400000001</v>
      </c>
      <c r="W383" s="179">
        <v>50.040643861999996</v>
      </c>
      <c r="X383" s="184" t="s">
        <v>45</v>
      </c>
      <c r="Y383" s="183">
        <v>3.61</v>
      </c>
      <c r="Z383" s="220" t="s">
        <v>473</v>
      </c>
      <c r="AA383" s="172">
        <f>Delivery[[#This Row],[Quantity delivered]]*VLOOKUP(Delivery[[#This Row],[Unit]],Tab_Conversão[],4,FALSE)*VLOOKUP(CONCATENATE(Delivery[[#This Row],[Coffee specie]],Delivery[[#This Row],[Coffee state]]),Tab_Conversão[],4,FALSE)</f>
        <v>380</v>
      </c>
      <c r="AB383" s="169">
        <f>SUMIF(Allocation!C:C,Delivery[[#This Row],[Delivery ID]],Allocation!D:D)/Delivery[[#This Row],[Quantity delivered]]</f>
        <v>1</v>
      </c>
      <c r="AC383" s="170">
        <f>Delivery[[#This Row],[Quantity delivered]]*Delivery[[#This Row],[Base price (Unidad)]]/60</f>
        <v>2910.5023333333329</v>
      </c>
      <c r="AD383" s="171">
        <f>Delivery[[#This Row],[Nespresso total]]-Delivery[[#This Row],[Qt. Delivery * Base Price]]</f>
        <v>-3.3586210573325843</v>
      </c>
      <c r="AE383" s="171">
        <f>Delivery[[#This Row],[AAA Premium (total)]]/Delivery[[#This Row],[Quantity delivered]]*60/Delivery[[#This Row],[Exchange rate VS USD]]</f>
        <v>7.0013900277008316</v>
      </c>
      <c r="AF383" s="171">
        <f>Delivery[[#This Row],[BEN premium (total)]]/Delivery[[#This Row],[Quantity delivered]]*60/Delivery[[#This Row],[Exchange rate for premiums VS USD]]</f>
        <v>2.1886853999999998</v>
      </c>
      <c r="AG383" s="171">
        <f>COUNTIF(Delivery[Delivery ID],Delivery[[#This Row],[Delivery ID]])</f>
        <v>1</v>
      </c>
      <c r="AH383" s="171">
        <f>(Delivery[[#This Row],[Nespresso total]]/SUMIF(Allocation!C:C,Delivery[Delivery ID],Allocation!H:H))/Delivery[[#This Row],[Exchange rate VS USD]]</f>
        <v>6.19463821068826</v>
      </c>
      <c r="AI383" s="171">
        <f>(Delivery[[#This Row],[AAA Premium (total)]]/SUMIF(Allocation!C:C,Delivery[Delivery ID],Allocation!H:H))/Delivery[[#This Row],[Exchange rate VS USD]]</f>
        <v>0.34109336032388671</v>
      </c>
      <c r="AJ383" s="171">
        <f>Delivery[[#This Row],[Valor Prêmio Nespresso AAA por Kg (em US$)]]*60</f>
        <v>20.465601619433201</v>
      </c>
      <c r="AK383" s="171">
        <f>Delivery[[#This Row],[Valor Prêmio Nespresso AAA por saca (em US$)]]/1.3228/100</f>
        <v>0.15471425475833989</v>
      </c>
      <c r="AL383" s="171">
        <f>(Delivery[[#This Row],[BEN premium (total)]]/SUMIF(Allocation!C:C,Delivery[Delivery ID],Allocation!H:H))/Delivery[[#This Row],[Exchange rate for premiums VS USD]]</f>
        <v>0.10662826307692308</v>
      </c>
      <c r="AM383" s="171">
        <f>Delivery[[#This Row],[Valor Prêmio Nespresso BEN por Kg (em US$)]]*60</f>
        <v>6.3976957846153848</v>
      </c>
      <c r="AN383" s="171">
        <f>Delivery[[#This Row],[Valor Prêmio Nespresso BEN por saca (em US$)]]/1.3228/100</f>
        <v>4.8364800307041017E-2</v>
      </c>
      <c r="AO383" s="171">
        <f>SUMIF(Allocation[Delivery ID],Delivery[[#This Row],[Delivery ID]],Allocation[Quantity allocated])*16*1.3228*Delivery[[#This Row],[Exchange rate VS USD]]/60</f>
        <v>165.54401066666665</v>
      </c>
      <c r="AP383" s="171">
        <f>Delivery[[#This Row],[AAA Premium (total)]]</f>
        <v>160.07511400000001</v>
      </c>
      <c r="AQ383" s="171">
        <f>Delivery[[#This Row],[Valor pago pelo Cluster]]-Delivery[[#This Row],[Valor efetivamente pago pela Nespresso]]</f>
        <v>-5.4688966666666374</v>
      </c>
    </row>
    <row r="384" spans="1:43" ht="15.75">
      <c r="A384" s="174" t="s">
        <v>69</v>
      </c>
      <c r="B384" s="232" t="s">
        <v>68</v>
      </c>
      <c r="C384" s="157">
        <v>1</v>
      </c>
      <c r="D384" s="157" t="s">
        <v>468</v>
      </c>
      <c r="E384" s="177" t="s">
        <v>468</v>
      </c>
      <c r="F384" s="233" t="s">
        <v>543</v>
      </c>
      <c r="G384" s="234">
        <v>43343</v>
      </c>
      <c r="H384" s="157" t="s">
        <v>1273</v>
      </c>
      <c r="I384" s="157" t="s">
        <v>741</v>
      </c>
      <c r="J384" s="237">
        <v>4140</v>
      </c>
      <c r="K384" s="175" t="s">
        <v>61</v>
      </c>
      <c r="L384" s="175" t="s">
        <v>439</v>
      </c>
      <c r="M384" s="175" t="s">
        <v>1343</v>
      </c>
      <c r="N384" s="180"/>
      <c r="O384" s="177"/>
      <c r="P384" s="181">
        <v>0</v>
      </c>
      <c r="Q384" s="177">
        <v>43228</v>
      </c>
      <c r="R384" s="178">
        <v>459.553</v>
      </c>
      <c r="S384" s="179">
        <v>31672.565707428002</v>
      </c>
      <c r="T384" s="182" t="s">
        <v>45</v>
      </c>
      <c r="U384" s="183">
        <v>3.61</v>
      </c>
      <c r="V384" s="179">
        <v>1743.9762420000002</v>
      </c>
      <c r="W384" s="179">
        <v>545.17964628599998</v>
      </c>
      <c r="X384" s="184" t="s">
        <v>45</v>
      </c>
      <c r="Y384" s="183">
        <v>3.61</v>
      </c>
      <c r="Z384" s="220" t="s">
        <v>473</v>
      </c>
      <c r="AA384" s="172">
        <f>Delivery[[#This Row],[Quantity delivered]]*VLOOKUP(Delivery[[#This Row],[Unit]],Tab_Conversão[],4,FALSE)*VLOOKUP(CONCATENATE(Delivery[[#This Row],[Coffee specie]],Delivery[[#This Row],[Coffee state]]),Tab_Conversão[],4,FALSE)</f>
        <v>4140</v>
      </c>
      <c r="AB384" s="169">
        <f>SUMIF(Allocation!C:C,Delivery[[#This Row],[Delivery ID]],Allocation!D:D)/Delivery[[#This Row],[Quantity delivered]]</f>
        <v>1</v>
      </c>
      <c r="AC384" s="170">
        <f>Delivery[[#This Row],[Quantity delivered]]*Delivery[[#This Row],[Base price (Unidad)]]/60</f>
        <v>31709.156999999999</v>
      </c>
      <c r="AD384" s="171">
        <f>Delivery[[#This Row],[Nespresso total]]-Delivery[[#This Row],[Qt. Delivery * Base Price]]</f>
        <v>-36.591292571996746</v>
      </c>
      <c r="AE384" s="171">
        <f>Delivery[[#This Row],[AAA Premium (total)]]/Delivery[[#This Row],[Quantity delivered]]*60/Delivery[[#This Row],[Exchange rate VS USD]]</f>
        <v>7.0013900277008316</v>
      </c>
      <c r="AF384" s="171">
        <f>Delivery[[#This Row],[BEN premium (total)]]/Delivery[[#This Row],[Quantity delivered]]*60/Delivery[[#This Row],[Exchange rate for premiums VS USD]]</f>
        <v>2.1886853999999998</v>
      </c>
      <c r="AG384" s="171">
        <f>COUNTIF(Delivery[Delivery ID],Delivery[[#This Row],[Delivery ID]])</f>
        <v>1</v>
      </c>
      <c r="AH384" s="171">
        <f>(Delivery[[#This Row],[Nespresso total]]/SUMIF(Allocation!C:C,Delivery[Delivery ID],Allocation!H:H))/Delivery[[#This Row],[Exchange rate VS USD]]</f>
        <v>6.1960197089511251</v>
      </c>
      <c r="AI384" s="171">
        <f>(Delivery[[#This Row],[AAA Premium (total)]]/SUMIF(Allocation!C:C,Delivery[Delivery ID],Allocation!H:H))/Delivery[[#This Row],[Exchange rate VS USD]]</f>
        <v>0.34116942931593036</v>
      </c>
      <c r="AJ384" s="171">
        <f>Delivery[[#This Row],[Valor Prêmio Nespresso AAA por Kg (em US$)]]*60</f>
        <v>20.470165758955822</v>
      </c>
      <c r="AK384" s="171">
        <f>Delivery[[#This Row],[Valor Prêmio Nespresso AAA por saca (em US$)]]/1.3228/100</f>
        <v>0.15474875838339749</v>
      </c>
      <c r="AL384" s="171">
        <f>(Delivery[[#This Row],[BEN premium (total)]]/SUMIF(Allocation!C:C,Delivery[Delivery ID],Allocation!H:H))/Delivery[[#This Row],[Exchange rate for premiums VS USD]]</f>
        <v>0.10665204279661017</v>
      </c>
      <c r="AM384" s="171">
        <f>Delivery[[#This Row],[Valor Prêmio Nespresso BEN por Kg (em US$)]]*60</f>
        <v>6.3991225677966099</v>
      </c>
      <c r="AN384" s="171">
        <f>Delivery[[#This Row],[Valor Prêmio Nespresso BEN por saca (em US$)]]/1.3228/100</f>
        <v>4.8375586390963184E-2</v>
      </c>
      <c r="AO384" s="171">
        <f>SUMIF(Allocation[Delivery ID],Delivery[[#This Row],[Delivery ID]],Allocation[Quantity allocated])*16*1.3228*Delivery[[#This Row],[Exchange rate VS USD]]/60</f>
        <v>1803.1563007999998</v>
      </c>
      <c r="AP384" s="171">
        <f>Delivery[[#This Row],[AAA Premium (total)]]</f>
        <v>1743.9762420000002</v>
      </c>
      <c r="AQ384" s="171">
        <f>Delivery[[#This Row],[Valor pago pelo Cluster]]-Delivery[[#This Row],[Valor efetivamente pago pela Nespresso]]</f>
        <v>-59.180058799999642</v>
      </c>
    </row>
    <row r="385" spans="1:43" ht="15.75">
      <c r="A385" s="174" t="s">
        <v>69</v>
      </c>
      <c r="B385" s="232" t="s">
        <v>68</v>
      </c>
      <c r="C385" s="157">
        <v>1</v>
      </c>
      <c r="D385" s="157" t="s">
        <v>468</v>
      </c>
      <c r="E385" s="177" t="s">
        <v>468</v>
      </c>
      <c r="F385" s="233" t="s">
        <v>543</v>
      </c>
      <c r="G385" s="234">
        <v>43343</v>
      </c>
      <c r="H385" s="157" t="s">
        <v>1274</v>
      </c>
      <c r="I385" s="157" t="s">
        <v>741</v>
      </c>
      <c r="J385" s="237">
        <v>1530</v>
      </c>
      <c r="K385" s="175" t="s">
        <v>61</v>
      </c>
      <c r="L385" s="175" t="s">
        <v>439</v>
      </c>
      <c r="M385" s="175" t="s">
        <v>1343</v>
      </c>
      <c r="N385" s="180"/>
      <c r="O385" s="177"/>
      <c r="P385" s="181">
        <v>0</v>
      </c>
      <c r="Q385" s="177">
        <v>43228</v>
      </c>
      <c r="R385" s="178">
        <v>459.553</v>
      </c>
      <c r="S385" s="179">
        <v>11705.078631006001</v>
      </c>
      <c r="T385" s="182" t="s">
        <v>45</v>
      </c>
      <c r="U385" s="183">
        <v>3.61</v>
      </c>
      <c r="V385" s="179">
        <v>644.51295900000002</v>
      </c>
      <c r="W385" s="179">
        <v>201.479434497</v>
      </c>
      <c r="X385" s="184" t="s">
        <v>45</v>
      </c>
      <c r="Y385" s="183">
        <v>3.61</v>
      </c>
      <c r="Z385" s="220" t="s">
        <v>473</v>
      </c>
      <c r="AA385" s="172">
        <f>Delivery[[#This Row],[Quantity delivered]]*VLOOKUP(Delivery[[#This Row],[Unit]],Tab_Conversão[],4,FALSE)*VLOOKUP(CONCATENATE(Delivery[[#This Row],[Coffee specie]],Delivery[[#This Row],[Coffee state]]),Tab_Conversão[],4,FALSE)</f>
        <v>1530</v>
      </c>
      <c r="AB385" s="169">
        <f>SUMIF(Allocation!C:C,Delivery[[#This Row],[Delivery ID]],Allocation!D:D)/Delivery[[#This Row],[Quantity delivered]]</f>
        <v>1</v>
      </c>
      <c r="AC385" s="170">
        <f>Delivery[[#This Row],[Quantity delivered]]*Delivery[[#This Row],[Base price (Unidad)]]/60</f>
        <v>11718.601499999999</v>
      </c>
      <c r="AD385" s="171">
        <f>Delivery[[#This Row],[Nespresso total]]-Delivery[[#This Row],[Qt. Delivery * Base Price]]</f>
        <v>-13.52286899399769</v>
      </c>
      <c r="AE385" s="171">
        <f>Delivery[[#This Row],[AAA Premium (total)]]/Delivery[[#This Row],[Quantity delivered]]*60/Delivery[[#This Row],[Exchange rate VS USD]]</f>
        <v>7.0013900277008316</v>
      </c>
      <c r="AF385" s="171">
        <f>Delivery[[#This Row],[BEN premium (total)]]/Delivery[[#This Row],[Quantity delivered]]*60/Delivery[[#This Row],[Exchange rate for premiums VS USD]]</f>
        <v>2.1886854000000002</v>
      </c>
      <c r="AG385" s="171">
        <f>COUNTIF(Delivery[Delivery ID],Delivery[[#This Row],[Delivery ID]])</f>
        <v>1</v>
      </c>
      <c r="AH385" s="171">
        <f>(Delivery[[#This Row],[Nespresso total]]/SUMIF(Allocation!C:C,Delivery[Delivery ID],Allocation!H:H))/Delivery[[#This Row],[Exchange rate VS USD]]</f>
        <v>6.1062223218648777</v>
      </c>
      <c r="AI385" s="171">
        <f>(Delivery[[#This Row],[AAA Premium (total)]]/SUMIF(Allocation!C:C,Delivery[Delivery ID],Allocation!H:H))/Delivery[[#This Row],[Exchange rate VS USD]]</f>
        <v>0.33622494483309079</v>
      </c>
      <c r="AJ385" s="171">
        <f>Delivery[[#This Row],[Valor Prêmio Nespresso AAA por Kg (em US$)]]*60</f>
        <v>20.173496689985448</v>
      </c>
      <c r="AK385" s="171">
        <f>Delivery[[#This Row],[Valor Prêmio Nespresso AAA por saca (em US$)]]/1.3228/100</f>
        <v>0.15250602275465261</v>
      </c>
      <c r="AL385" s="171">
        <f>(Delivery[[#This Row],[BEN premium (total)]]/SUMIF(Allocation!C:C,Delivery[Delivery ID],Allocation!H:H))/Delivery[[#This Row],[Exchange rate for premiums VS USD]]</f>
        <v>0.10510636101694916</v>
      </c>
      <c r="AM385" s="171">
        <f>Delivery[[#This Row],[Valor Prêmio Nespresso BEN por Kg (em US$)]]*60</f>
        <v>6.3063816610169496</v>
      </c>
      <c r="AN385" s="171">
        <f>Delivery[[#This Row],[Valor Prêmio Nespresso BEN por saca (em US$)]]/1.3228/100</f>
        <v>4.7674490936021698E-2</v>
      </c>
      <c r="AO385" s="171">
        <f>SUMIF(Allocation[Delivery ID],Delivery[[#This Row],[Delivery ID]],Allocation[Quantity allocated])*16*1.3228*Delivery[[#This Row],[Exchange rate VS USD]]/60</f>
        <v>676.18361279999988</v>
      </c>
      <c r="AP385" s="171">
        <f>Delivery[[#This Row],[AAA Premium (total)]]</f>
        <v>644.51295900000002</v>
      </c>
      <c r="AQ385" s="171">
        <f>Delivery[[#This Row],[Valor pago pelo Cluster]]-Delivery[[#This Row],[Valor efetivamente pago pela Nespresso]]</f>
        <v>-31.670653799999855</v>
      </c>
    </row>
    <row r="386" spans="1:43" ht="15.75">
      <c r="A386" s="174" t="s">
        <v>69</v>
      </c>
      <c r="B386" s="232" t="s">
        <v>68</v>
      </c>
      <c r="C386" s="157">
        <v>1</v>
      </c>
      <c r="D386" s="157" t="s">
        <v>468</v>
      </c>
      <c r="E386" s="177" t="s">
        <v>468</v>
      </c>
      <c r="F386" s="233" t="s">
        <v>543</v>
      </c>
      <c r="G386" s="234">
        <v>43343</v>
      </c>
      <c r="H386" s="157" t="s">
        <v>1275</v>
      </c>
      <c r="I386" s="157" t="s">
        <v>741</v>
      </c>
      <c r="J386" s="237">
        <v>360</v>
      </c>
      <c r="K386" s="175" t="s">
        <v>61</v>
      </c>
      <c r="L386" s="175" t="s">
        <v>439</v>
      </c>
      <c r="M386" s="175" t="s">
        <v>1343</v>
      </c>
      <c r="N386" s="180"/>
      <c r="O386" s="177"/>
      <c r="P386" s="181">
        <v>0</v>
      </c>
      <c r="Q386" s="177">
        <v>43228</v>
      </c>
      <c r="R386" s="178">
        <v>459.553</v>
      </c>
      <c r="S386" s="179">
        <v>2754.1361484720005</v>
      </c>
      <c r="T386" s="182" t="s">
        <v>45</v>
      </c>
      <c r="U386" s="183">
        <v>3.61</v>
      </c>
      <c r="V386" s="179">
        <v>151.65010800000002</v>
      </c>
      <c r="W386" s="179">
        <v>47.406925764</v>
      </c>
      <c r="X386" s="184" t="s">
        <v>45</v>
      </c>
      <c r="Y386" s="183">
        <v>3.61</v>
      </c>
      <c r="Z386" s="220" t="s">
        <v>473</v>
      </c>
      <c r="AA386" s="172">
        <f>Delivery[[#This Row],[Quantity delivered]]*VLOOKUP(Delivery[[#This Row],[Unit]],Tab_Conversão[],4,FALSE)*VLOOKUP(CONCATENATE(Delivery[[#This Row],[Coffee specie]],Delivery[[#This Row],[Coffee state]]),Tab_Conversão[],4,FALSE)</f>
        <v>360</v>
      </c>
      <c r="AB386" s="169">
        <f>SUMIF(Allocation!C:C,Delivery[[#This Row],[Delivery ID]],Allocation!D:D)/Delivery[[#This Row],[Quantity delivered]]</f>
        <v>1</v>
      </c>
      <c r="AC386" s="170">
        <f>Delivery[[#This Row],[Quantity delivered]]*Delivery[[#This Row],[Base price (Unidad)]]/60</f>
        <v>2757.3179999999998</v>
      </c>
      <c r="AD386" s="171">
        <f>Delivery[[#This Row],[Nespresso total]]-Delivery[[#This Row],[Qt. Delivery * Base Price]]</f>
        <v>-3.1818515279992425</v>
      </c>
      <c r="AE386" s="171">
        <f>Delivery[[#This Row],[AAA Premium (total)]]/Delivery[[#This Row],[Quantity delivered]]*60/Delivery[[#This Row],[Exchange rate VS USD]]</f>
        <v>7.0013900277008316</v>
      </c>
      <c r="AF386" s="171">
        <f>Delivery[[#This Row],[BEN premium (total)]]/Delivery[[#This Row],[Quantity delivered]]*60/Delivery[[#This Row],[Exchange rate for premiums VS USD]]</f>
        <v>2.1886854000000002</v>
      </c>
      <c r="AG386" s="171">
        <f>COUNTIF(Delivery[Delivery ID],Delivery[[#This Row],[Delivery ID]])</f>
        <v>1</v>
      </c>
      <c r="AH386" s="171">
        <f>(Delivery[[#This Row],[Nespresso total]]/SUMIF(Allocation!C:C,Delivery[Delivery ID],Allocation!H:H))/Delivery[[#This Row],[Exchange rate VS USD]]</f>
        <v>6.4654118702098708</v>
      </c>
      <c r="AI386" s="171">
        <f>(Delivery[[#This Row],[AAA Premium (total)]]/SUMIF(Allocation!C:C,Delivery[Delivery ID],Allocation!H:H))/Delivery[[#This Row],[Exchange rate VS USD]]</f>
        <v>0.35600288276444908</v>
      </c>
      <c r="AJ386" s="171">
        <f>Delivery[[#This Row],[Valor Prêmio Nespresso AAA por Kg (em US$)]]*60</f>
        <v>21.360172965866944</v>
      </c>
      <c r="AK386" s="171">
        <f>Delivery[[#This Row],[Valor Prêmio Nespresso AAA por saca (em US$)]]/1.3228/100</f>
        <v>0.16147696526963221</v>
      </c>
      <c r="AL386" s="171">
        <f>(Delivery[[#This Row],[BEN premium (total)]]/SUMIF(Allocation!C:C,Delivery[Delivery ID],Allocation!H:H))/Delivery[[#This Row],[Exchange rate for premiums VS USD]]</f>
        <v>0.11128908813559323</v>
      </c>
      <c r="AM386" s="171">
        <f>Delivery[[#This Row],[Valor Prêmio Nespresso BEN por Kg (em US$)]]*60</f>
        <v>6.6773452881355935</v>
      </c>
      <c r="AN386" s="171">
        <f>Delivery[[#This Row],[Valor Prêmio Nespresso BEN por saca (em US$)]]/1.3228/100</f>
        <v>5.047887275578767E-2</v>
      </c>
      <c r="AO386" s="171">
        <f>SUMIF(Allocation[Delivery ID],Delivery[[#This Row],[Delivery ID]],Allocation[Quantity allocated])*16*1.3228*Delivery[[#This Row],[Exchange rate VS USD]]/60</f>
        <v>150.26302506666664</v>
      </c>
      <c r="AP386" s="171">
        <f>Delivery[[#This Row],[AAA Premium (total)]]</f>
        <v>151.65010800000002</v>
      </c>
      <c r="AQ386" s="171">
        <f>Delivery[[#This Row],[Valor pago pelo Cluster]]-Delivery[[#This Row],[Valor efetivamente pago pela Nespresso]]</f>
        <v>1.3870829333333745</v>
      </c>
    </row>
    <row r="387" spans="1:43" ht="15.75">
      <c r="A387" s="174" t="s">
        <v>69</v>
      </c>
      <c r="B387" s="232" t="s">
        <v>68</v>
      </c>
      <c r="C387" s="157">
        <v>1</v>
      </c>
      <c r="D387" s="157" t="s">
        <v>468</v>
      </c>
      <c r="E387" s="177" t="s">
        <v>468</v>
      </c>
      <c r="F387" s="233" t="s">
        <v>543</v>
      </c>
      <c r="G387" s="234">
        <v>43343</v>
      </c>
      <c r="H387" s="157" t="s">
        <v>1276</v>
      </c>
      <c r="I387" s="157" t="s">
        <v>741</v>
      </c>
      <c r="J387" s="237">
        <v>250</v>
      </c>
      <c r="K387" s="175" t="s">
        <v>61</v>
      </c>
      <c r="L387" s="175" t="s">
        <v>439</v>
      </c>
      <c r="M387" s="175" t="s">
        <v>1343</v>
      </c>
      <c r="N387" s="180"/>
      <c r="O387" s="177"/>
      <c r="P387" s="181">
        <v>0</v>
      </c>
      <c r="Q387" s="177">
        <v>43228</v>
      </c>
      <c r="R387" s="178">
        <v>459.553</v>
      </c>
      <c r="S387" s="179">
        <v>1912.5945475499998</v>
      </c>
      <c r="T387" s="182" t="s">
        <v>45</v>
      </c>
      <c r="U387" s="183">
        <v>3.61</v>
      </c>
      <c r="V387" s="179">
        <v>105.31257500000001</v>
      </c>
      <c r="W387" s="179">
        <v>32.921476224999999</v>
      </c>
      <c r="X387" s="184" t="s">
        <v>45</v>
      </c>
      <c r="Y387" s="183">
        <v>3.61</v>
      </c>
      <c r="Z387" s="220" t="s">
        <v>473</v>
      </c>
      <c r="AA387" s="172">
        <f>Delivery[[#This Row],[Quantity delivered]]*VLOOKUP(Delivery[[#This Row],[Unit]],Tab_Conversão[],4,FALSE)*VLOOKUP(CONCATENATE(Delivery[[#This Row],[Coffee specie]],Delivery[[#This Row],[Coffee state]]),Tab_Conversão[],4,FALSE)</f>
        <v>250</v>
      </c>
      <c r="AB387" s="169">
        <f>SUMIF(Allocation!C:C,Delivery[[#This Row],[Delivery ID]],Allocation!D:D)/Delivery[[#This Row],[Quantity delivered]]</f>
        <v>1</v>
      </c>
      <c r="AC387" s="170">
        <f>Delivery[[#This Row],[Quantity delivered]]*Delivery[[#This Row],[Base price (Unidad)]]/60</f>
        <v>1914.8041666666666</v>
      </c>
      <c r="AD387" s="171">
        <f>Delivery[[#This Row],[Nespresso total]]-Delivery[[#This Row],[Qt. Delivery * Base Price]]</f>
        <v>-2.2096191166667722</v>
      </c>
      <c r="AE387" s="171">
        <f>Delivery[[#This Row],[AAA Premium (total)]]/Delivery[[#This Row],[Quantity delivered]]*60/Delivery[[#This Row],[Exchange rate VS USD]]</f>
        <v>7.0013900277008316</v>
      </c>
      <c r="AF387" s="171">
        <f>Delivery[[#This Row],[BEN premium (total)]]/Delivery[[#This Row],[Quantity delivered]]*60/Delivery[[#This Row],[Exchange rate for premiums VS USD]]</f>
        <v>2.1886853999999998</v>
      </c>
      <c r="AG387" s="171">
        <f>COUNTIF(Delivery[Delivery ID],Delivery[[#This Row],[Delivery ID]])</f>
        <v>1</v>
      </c>
      <c r="AH387" s="171">
        <f>(Delivery[[#This Row],[Nespresso total]]/SUMIF(Allocation!C:C,Delivery[Delivery ID],Allocation!H:H))/Delivery[[#This Row],[Exchange rate VS USD]]</f>
        <v>6.383187756733304</v>
      </c>
      <c r="AI387" s="171">
        <f>(Delivery[[#This Row],[AAA Premium (total)]]/SUMIF(Allocation!C:C,Delivery[Delivery ID],Allocation!H:H))/Delivery[[#This Row],[Exchange rate VS USD]]</f>
        <v>0.35147540299702973</v>
      </c>
      <c r="AJ387" s="171">
        <f>Delivery[[#This Row],[Valor Prêmio Nespresso AAA por Kg (em US$)]]*60</f>
        <v>21.088524179821782</v>
      </c>
      <c r="AK387" s="171">
        <f>Delivery[[#This Row],[Valor Prêmio Nespresso AAA por saca (em US$)]]/1.3228/100</f>
        <v>0.15942337601921516</v>
      </c>
      <c r="AL387" s="171">
        <f>(Delivery[[#This Row],[BEN premium (total)]]/SUMIF(Allocation!C:C,Delivery[Delivery ID],Allocation!H:H))/Delivery[[#This Row],[Exchange rate for premiums VS USD]]</f>
        <v>0.10987376506024096</v>
      </c>
      <c r="AM387" s="171">
        <f>Delivery[[#This Row],[Valor Prêmio Nespresso BEN por Kg (em US$)]]*60</f>
        <v>6.5924259036144575</v>
      </c>
      <c r="AN387" s="171">
        <f>Delivery[[#This Row],[Valor Prêmio Nespresso BEN por saca (em US$)]]/1.3228/100</f>
        <v>4.9836905833190635E-2</v>
      </c>
      <c r="AO387" s="171">
        <f>SUMIF(Allocation[Delivery ID],Delivery[[#This Row],[Delivery ID]],Allocation[Quantity allocated])*16*1.3228*Delivery[[#This Row],[Exchange rate VS USD]]/60</f>
        <v>105.69348373333332</v>
      </c>
      <c r="AP387" s="171">
        <f>Delivery[[#This Row],[AAA Premium (total)]]</f>
        <v>105.31257500000001</v>
      </c>
      <c r="AQ387" s="171">
        <f>Delivery[[#This Row],[Valor pago pelo Cluster]]-Delivery[[#This Row],[Valor efetivamente pago pela Nespresso]]</f>
        <v>-0.38090873333331388</v>
      </c>
    </row>
    <row r="388" spans="1:43" ht="15.75">
      <c r="A388" s="174" t="s">
        <v>69</v>
      </c>
      <c r="B388" s="232" t="s">
        <v>68</v>
      </c>
      <c r="C388" s="157">
        <v>1</v>
      </c>
      <c r="D388" s="157" t="s">
        <v>468</v>
      </c>
      <c r="E388" s="177" t="s">
        <v>468</v>
      </c>
      <c r="F388" s="233" t="s">
        <v>543</v>
      </c>
      <c r="G388" s="234">
        <v>43343</v>
      </c>
      <c r="H388" s="157" t="s">
        <v>1277</v>
      </c>
      <c r="I388" s="157" t="s">
        <v>741</v>
      </c>
      <c r="J388" s="237">
        <v>2820</v>
      </c>
      <c r="K388" s="175" t="s">
        <v>61</v>
      </c>
      <c r="L388" s="175" t="s">
        <v>439</v>
      </c>
      <c r="M388" s="175" t="s">
        <v>1343</v>
      </c>
      <c r="N388" s="180"/>
      <c r="O388" s="177"/>
      <c r="P388" s="181">
        <v>0</v>
      </c>
      <c r="Q388" s="177">
        <v>43228</v>
      </c>
      <c r="R388" s="178">
        <v>459.553</v>
      </c>
      <c r="S388" s="179">
        <v>21574.066496364001</v>
      </c>
      <c r="T388" s="182" t="s">
        <v>45</v>
      </c>
      <c r="U388" s="183">
        <v>3.61</v>
      </c>
      <c r="V388" s="179">
        <v>1187.9258460000001</v>
      </c>
      <c r="W388" s="179">
        <v>371.35425181799997</v>
      </c>
      <c r="X388" s="184" t="s">
        <v>45</v>
      </c>
      <c r="Y388" s="183">
        <v>3.61</v>
      </c>
      <c r="Z388" s="220" t="s">
        <v>473</v>
      </c>
      <c r="AA388" s="172">
        <f>Delivery[[#This Row],[Quantity delivered]]*VLOOKUP(Delivery[[#This Row],[Unit]],Tab_Conversão[],4,FALSE)*VLOOKUP(CONCATENATE(Delivery[[#This Row],[Coffee specie]],Delivery[[#This Row],[Coffee state]]),Tab_Conversão[],4,FALSE)</f>
        <v>2820</v>
      </c>
      <c r="AB388" s="169">
        <f>SUMIF(Allocation!C:C,Delivery[[#This Row],[Delivery ID]],Allocation!D:D)/Delivery[[#This Row],[Quantity delivered]]</f>
        <v>1</v>
      </c>
      <c r="AC388" s="170">
        <f>Delivery[[#This Row],[Quantity delivered]]*Delivery[[#This Row],[Base price (Unidad)]]/60</f>
        <v>21598.990999999998</v>
      </c>
      <c r="AD388" s="171">
        <f>Delivery[[#This Row],[Nespresso total]]-Delivery[[#This Row],[Qt. Delivery * Base Price]]</f>
        <v>-24.924503635997098</v>
      </c>
      <c r="AE388" s="171">
        <f>Delivery[[#This Row],[AAA Premium (total)]]/Delivery[[#This Row],[Quantity delivered]]*60/Delivery[[#This Row],[Exchange rate VS USD]]</f>
        <v>7.0013900277008316</v>
      </c>
      <c r="AF388" s="171">
        <f>Delivery[[#This Row],[BEN premium (total)]]/Delivery[[#This Row],[Quantity delivered]]*60/Delivery[[#This Row],[Exchange rate for premiums VS USD]]</f>
        <v>2.1886853999999998</v>
      </c>
      <c r="AG388" s="171">
        <f>COUNTIF(Delivery[Delivery ID],Delivery[[#This Row],[Delivery ID]])</f>
        <v>1</v>
      </c>
      <c r="AH388" s="171">
        <f>(Delivery[[#This Row],[Nespresso total]]/SUMIF(Allocation!C:C,Delivery[Delivery ID],Allocation!H:H))/Delivery[[#This Row],[Exchange rate VS USD]]</f>
        <v>6.3307157895804975</v>
      </c>
      <c r="AI388" s="171">
        <f>(Delivery[[#This Row],[AAA Premium (total)]]/SUMIF(Allocation!C:C,Delivery[Delivery ID],Allocation!H:H))/Delivery[[#This Row],[Exchange rate VS USD]]</f>
        <v>0.34858615604018972</v>
      </c>
      <c r="AJ388" s="171">
        <f>Delivery[[#This Row],[Valor Prêmio Nespresso AAA por Kg (em US$)]]*60</f>
        <v>20.915169362411383</v>
      </c>
      <c r="AK388" s="171">
        <f>Delivery[[#This Row],[Valor Prêmio Nespresso AAA por saca (em US$)]]/1.3228/100</f>
        <v>0.15811286182651485</v>
      </c>
      <c r="AL388" s="171">
        <f>(Delivery[[#This Row],[BEN premium (total)]]/SUMIF(Allocation!C:C,Delivery[Delivery ID],Allocation!H:H))/Delivery[[#This Row],[Exchange rate for premiums VS USD]]</f>
        <v>0.10897056546610169</v>
      </c>
      <c r="AM388" s="171">
        <f>Delivery[[#This Row],[Valor Prêmio Nespresso BEN por Kg (em US$)]]*60</f>
        <v>6.5382339279661013</v>
      </c>
      <c r="AN388" s="171">
        <f>Delivery[[#This Row],[Valor Prêmio Nespresso BEN por saca (em US$)]]/1.3228/100</f>
        <v>4.9427229573375427E-2</v>
      </c>
      <c r="AO388" s="171">
        <f>SUMIF(Allocation[Delivery ID],Delivery[[#This Row],[Delivery ID]],Allocation[Quantity allocated])*16*1.3228*Delivery[[#This Row],[Exchange rate VS USD]]/60</f>
        <v>1202.1042005333331</v>
      </c>
      <c r="AP388" s="171">
        <f>Delivery[[#This Row],[AAA Premium (total)]]</f>
        <v>1187.9258460000001</v>
      </c>
      <c r="AQ388" s="171">
        <f>Delivery[[#This Row],[Valor pago pelo Cluster]]-Delivery[[#This Row],[Valor efetivamente pago pela Nespresso]]</f>
        <v>-14.178354533333049</v>
      </c>
    </row>
    <row r="389" spans="1:43" ht="15.75">
      <c r="A389" s="174" t="s">
        <v>69</v>
      </c>
      <c r="B389" s="232" t="s">
        <v>68</v>
      </c>
      <c r="C389" s="157">
        <v>1</v>
      </c>
      <c r="D389" s="157" t="s">
        <v>468</v>
      </c>
      <c r="E389" s="177" t="s">
        <v>468</v>
      </c>
      <c r="F389" s="233" t="s">
        <v>543</v>
      </c>
      <c r="G389" s="234">
        <v>43343</v>
      </c>
      <c r="H389" s="157" t="s">
        <v>1278</v>
      </c>
      <c r="I389" s="157" t="s">
        <v>741</v>
      </c>
      <c r="J389" s="237">
        <v>1860</v>
      </c>
      <c r="K389" s="175" t="s">
        <v>61</v>
      </c>
      <c r="L389" s="175" t="s">
        <v>439</v>
      </c>
      <c r="M389" s="175" t="s">
        <v>1343</v>
      </c>
      <c r="N389" s="180"/>
      <c r="O389" s="177"/>
      <c r="P389" s="181">
        <v>0</v>
      </c>
      <c r="Q389" s="177">
        <v>43228</v>
      </c>
      <c r="R389" s="178">
        <v>459.553</v>
      </c>
      <c r="S389" s="179">
        <v>14229.703433772</v>
      </c>
      <c r="T389" s="182" t="s">
        <v>45</v>
      </c>
      <c r="U389" s="183">
        <v>3.61</v>
      </c>
      <c r="V389" s="179">
        <v>783.52555800000005</v>
      </c>
      <c r="W389" s="179">
        <v>244.935783114</v>
      </c>
      <c r="X389" s="184" t="s">
        <v>45</v>
      </c>
      <c r="Y389" s="183">
        <v>3.61</v>
      </c>
      <c r="Z389" s="220" t="s">
        <v>473</v>
      </c>
      <c r="AA389" s="172">
        <f>Delivery[[#This Row],[Quantity delivered]]*VLOOKUP(Delivery[[#This Row],[Unit]],Tab_Conversão[],4,FALSE)*VLOOKUP(CONCATENATE(Delivery[[#This Row],[Coffee specie]],Delivery[[#This Row],[Coffee state]]),Tab_Conversão[],4,FALSE)</f>
        <v>1860</v>
      </c>
      <c r="AB389" s="169">
        <f>SUMIF(Allocation!C:C,Delivery[[#This Row],[Delivery ID]],Allocation!D:D)/Delivery[[#This Row],[Quantity delivered]]</f>
        <v>1</v>
      </c>
      <c r="AC389" s="170">
        <f>Delivery[[#This Row],[Quantity delivered]]*Delivery[[#This Row],[Base price (Unidad)]]/60</f>
        <v>14246.143</v>
      </c>
      <c r="AD389" s="171">
        <f>Delivery[[#This Row],[Nespresso total]]-Delivery[[#This Row],[Qt. Delivery * Base Price]]</f>
        <v>-16.439566228000331</v>
      </c>
      <c r="AE389" s="171">
        <f>Delivery[[#This Row],[AAA Premium (total)]]/Delivery[[#This Row],[Quantity delivered]]*60/Delivery[[#This Row],[Exchange rate VS USD]]</f>
        <v>7.0013900277008316</v>
      </c>
      <c r="AF389" s="171">
        <f>Delivery[[#This Row],[BEN premium (total)]]/Delivery[[#This Row],[Quantity delivered]]*60/Delivery[[#This Row],[Exchange rate for premiums VS USD]]</f>
        <v>2.1886854000000002</v>
      </c>
      <c r="AG389" s="171">
        <f>COUNTIF(Delivery[Delivery ID],Delivery[[#This Row],[Delivery ID]])</f>
        <v>1</v>
      </c>
      <c r="AH389" s="171">
        <f>(Delivery[[#This Row],[Nespresso total]]/SUMIF(Allocation!C:C,Delivery[Delivery ID],Allocation!H:H))/Delivery[[#This Row],[Exchange rate VS USD]]</f>
        <v>6.0735687265607865</v>
      </c>
      <c r="AI389" s="171">
        <f>(Delivery[[#This Row],[AAA Premium (total)]]/SUMIF(Allocation!C:C,Delivery[Delivery ID],Allocation!H:H))/Delivery[[#This Row],[Exchange rate VS USD]]</f>
        <v>0.3344269504756946</v>
      </c>
      <c r="AJ389" s="171">
        <f>Delivery[[#This Row],[Valor Prêmio Nespresso AAA por Kg (em US$)]]*60</f>
        <v>20.065617028541677</v>
      </c>
      <c r="AK389" s="171">
        <f>Delivery[[#This Row],[Valor Prêmio Nespresso AAA por saca (em US$)]]/1.3228/100</f>
        <v>0.15169048252601811</v>
      </c>
      <c r="AL389" s="171">
        <f>(Delivery[[#This Row],[BEN premium (total)]]/SUMIF(Allocation!C:C,Delivery[Delivery ID],Allocation!H:H))/Delivery[[#This Row],[Exchange rate for premiums VS USD]]</f>
        <v>0.10454429491525424</v>
      </c>
      <c r="AM389" s="171">
        <f>Delivery[[#This Row],[Valor Prêmio Nespresso BEN por Kg (em US$)]]*60</f>
        <v>6.2726576949152548</v>
      </c>
      <c r="AN389" s="171">
        <f>Delivery[[#This Row],[Valor Prêmio Nespresso BEN por saca (em US$)]]/1.3228/100</f>
        <v>4.741954713422479E-2</v>
      </c>
      <c r="AO389" s="171">
        <f>SUMIF(Allocation[Delivery ID],Delivery[[#This Row],[Delivery ID]],Allocation[Quantity allocated])*16*1.3228*Delivery[[#This Row],[Exchange rate VS USD]]/60</f>
        <v>826.44663786666672</v>
      </c>
      <c r="AP389" s="171">
        <f>Delivery[[#This Row],[AAA Premium (total)]]</f>
        <v>783.52555800000005</v>
      </c>
      <c r="AQ389" s="171">
        <f>Delivery[[#This Row],[Valor pago pelo Cluster]]-Delivery[[#This Row],[Valor efetivamente pago pela Nespresso]]</f>
        <v>-42.921079866666673</v>
      </c>
    </row>
    <row r="390" spans="1:43" ht="15.75">
      <c r="A390" s="174" t="s">
        <v>69</v>
      </c>
      <c r="B390" s="232" t="s">
        <v>68</v>
      </c>
      <c r="C390" s="157">
        <v>1</v>
      </c>
      <c r="D390" s="157" t="s">
        <v>468</v>
      </c>
      <c r="E390" s="177" t="s">
        <v>468</v>
      </c>
      <c r="F390" s="233" t="s">
        <v>543</v>
      </c>
      <c r="G390" s="234">
        <v>43343</v>
      </c>
      <c r="H390" s="157" t="s">
        <v>1279</v>
      </c>
      <c r="I390" s="157" t="s">
        <v>741</v>
      </c>
      <c r="J390" s="237">
        <v>25330</v>
      </c>
      <c r="K390" s="175" t="s">
        <v>61</v>
      </c>
      <c r="L390" s="175" t="s">
        <v>439</v>
      </c>
      <c r="M390" s="175" t="s">
        <v>1343</v>
      </c>
      <c r="N390" s="180"/>
      <c r="O390" s="177"/>
      <c r="P390" s="181">
        <v>0</v>
      </c>
      <c r="Q390" s="177">
        <v>43228</v>
      </c>
      <c r="R390" s="178">
        <v>459.553</v>
      </c>
      <c r="S390" s="179">
        <v>193784.079557766</v>
      </c>
      <c r="T390" s="182" t="s">
        <v>45</v>
      </c>
      <c r="U390" s="183">
        <v>3.61</v>
      </c>
      <c r="V390" s="179">
        <v>10670.270099000001</v>
      </c>
      <c r="W390" s="179">
        <v>3335.6039711169997</v>
      </c>
      <c r="X390" s="184" t="s">
        <v>45</v>
      </c>
      <c r="Y390" s="183">
        <v>3.61</v>
      </c>
      <c r="Z390" s="220" t="s">
        <v>473</v>
      </c>
      <c r="AA390" s="172">
        <f>Delivery[[#This Row],[Quantity delivered]]*VLOOKUP(Delivery[[#This Row],[Unit]],Tab_Conversão[],4,FALSE)*VLOOKUP(CONCATENATE(Delivery[[#This Row],[Coffee specie]],Delivery[[#This Row],[Coffee state]]),Tab_Conversão[],4,FALSE)</f>
        <v>25330</v>
      </c>
      <c r="AB390" s="169">
        <f>SUMIF(Allocation!C:C,Delivery[[#This Row],[Delivery ID]],Allocation!D:D)/Delivery[[#This Row],[Quantity delivered]]</f>
        <v>1</v>
      </c>
      <c r="AC390" s="170">
        <f>Delivery[[#This Row],[Quantity delivered]]*Delivery[[#This Row],[Base price (Unidad)]]/60</f>
        <v>194007.95816666668</v>
      </c>
      <c r="AD390" s="171">
        <f>Delivery[[#This Row],[Nespresso total]]-Delivery[[#This Row],[Qt. Delivery * Base Price]]</f>
        <v>-223.87860890067532</v>
      </c>
      <c r="AE390" s="171">
        <f>Delivery[[#This Row],[AAA Premium (total)]]/Delivery[[#This Row],[Quantity delivered]]*60/Delivery[[#This Row],[Exchange rate VS USD]]</f>
        <v>7.0013900277008316</v>
      </c>
      <c r="AF390" s="171">
        <f>Delivery[[#This Row],[BEN premium (total)]]/Delivery[[#This Row],[Quantity delivered]]*60/Delivery[[#This Row],[Exchange rate for premiums VS USD]]</f>
        <v>2.1886853999999998</v>
      </c>
      <c r="AG390" s="171">
        <f>COUNTIF(Delivery[Delivery ID],Delivery[[#This Row],[Delivery ID]])</f>
        <v>1</v>
      </c>
      <c r="AH390" s="171">
        <f>(Delivery[[#This Row],[Nespresso total]]/SUMIF(Allocation!C:C,Delivery[Delivery ID],Allocation!H:H))/Delivery[[#This Row],[Exchange rate VS USD]]</f>
        <v>6.362427454250815</v>
      </c>
      <c r="AI390" s="171">
        <f>(Delivery[[#This Row],[AAA Premium (total)]]/SUMIF(Allocation!C:C,Delivery[Delivery ID],Allocation!H:H))/Delivery[[#This Row],[Exchange rate VS USD]]</f>
        <v>0.35033228517573795</v>
      </c>
      <c r="AJ390" s="171">
        <f>Delivery[[#This Row],[Valor Prêmio Nespresso AAA por Kg (em US$)]]*60</f>
        <v>21.019937110544276</v>
      </c>
      <c r="AK390" s="171">
        <f>Delivery[[#This Row],[Valor Prêmio Nespresso AAA por saca (em US$)]]/1.3228/100</f>
        <v>0.15890487685624641</v>
      </c>
      <c r="AL390" s="171">
        <f>(Delivery[[#This Row],[BEN premium (total)]]/SUMIF(Allocation!C:C,Delivery[Delivery ID],Allocation!H:H))/Delivery[[#This Row],[Exchange rate for premiums VS USD]]</f>
        <v>0.10951641812255541</v>
      </c>
      <c r="AM390" s="171">
        <f>Delivery[[#This Row],[Valor Prêmio Nespresso BEN por Kg (em US$)]]*60</f>
        <v>6.5709850873533249</v>
      </c>
      <c r="AN390" s="171">
        <f>Delivery[[#This Row],[Valor Prêmio Nespresso BEN por saca (em US$)]]/1.3228/100</f>
        <v>4.9674819227043587E-2</v>
      </c>
      <c r="AO390" s="171">
        <f>SUMIF(Allocation[Delivery ID],Delivery[[#This Row],[Delivery ID]],Allocation[Quantity allocated])*16*1.3228*Delivery[[#This Row],[Exchange rate VS USD]]/60</f>
        <v>10743.806292266667</v>
      </c>
      <c r="AP390" s="171">
        <f>Delivery[[#This Row],[AAA Premium (total)]]</f>
        <v>10670.270099000001</v>
      </c>
      <c r="AQ390" s="171">
        <f>Delivery[[#This Row],[Valor pago pelo Cluster]]-Delivery[[#This Row],[Valor efetivamente pago pela Nespresso]]</f>
        <v>-73.536193266665578</v>
      </c>
    </row>
    <row r="391" spans="1:43" ht="15.75">
      <c r="A391" s="174" t="s">
        <v>69</v>
      </c>
      <c r="B391" s="232" t="s">
        <v>68</v>
      </c>
      <c r="C391" s="157">
        <v>1</v>
      </c>
      <c r="D391" s="157" t="s">
        <v>468</v>
      </c>
      <c r="E391" s="177" t="s">
        <v>468</v>
      </c>
      <c r="F391" s="233" t="s">
        <v>543</v>
      </c>
      <c r="G391" s="234">
        <v>43343</v>
      </c>
      <c r="H391" s="157" t="s">
        <v>1280</v>
      </c>
      <c r="I391" s="157" t="s">
        <v>741</v>
      </c>
      <c r="J391" s="237">
        <v>18070</v>
      </c>
      <c r="K391" s="175" t="s">
        <v>61</v>
      </c>
      <c r="L391" s="175" t="s">
        <v>439</v>
      </c>
      <c r="M391" s="175" t="s">
        <v>1343</v>
      </c>
      <c r="N391" s="180"/>
      <c r="O391" s="177"/>
      <c r="P391" s="181">
        <v>0</v>
      </c>
      <c r="Q391" s="177">
        <v>43228</v>
      </c>
      <c r="R391" s="178">
        <v>459.553</v>
      </c>
      <c r="S391" s="179">
        <v>138242.333896914</v>
      </c>
      <c r="T391" s="182" t="s">
        <v>45</v>
      </c>
      <c r="U391" s="183">
        <v>3.61</v>
      </c>
      <c r="V391" s="179">
        <v>7611.992921</v>
      </c>
      <c r="W391" s="179">
        <v>2379.5643015430001</v>
      </c>
      <c r="X391" s="184" t="s">
        <v>45</v>
      </c>
      <c r="Y391" s="183">
        <v>3.61</v>
      </c>
      <c r="Z391" s="220" t="s">
        <v>473</v>
      </c>
      <c r="AA391" s="172">
        <f>Delivery[[#This Row],[Quantity delivered]]*VLOOKUP(Delivery[[#This Row],[Unit]],Tab_Conversão[],4,FALSE)*VLOOKUP(CONCATENATE(Delivery[[#This Row],[Coffee specie]],Delivery[[#This Row],[Coffee state]]),Tab_Conversão[],4,FALSE)</f>
        <v>18070</v>
      </c>
      <c r="AB391" s="169">
        <f>SUMIF(Allocation!C:C,Delivery[[#This Row],[Delivery ID]],Allocation!D:D)/Delivery[[#This Row],[Quantity delivered]]</f>
        <v>1</v>
      </c>
      <c r="AC391" s="170">
        <f>Delivery[[#This Row],[Quantity delivered]]*Delivery[[#This Row],[Base price (Unidad)]]/60</f>
        <v>138402.04516666668</v>
      </c>
      <c r="AD391" s="171">
        <f>Delivery[[#This Row],[Nespresso total]]-Delivery[[#This Row],[Qt. Delivery * Base Price]]</f>
        <v>-159.71126975267543</v>
      </c>
      <c r="AE391" s="171">
        <f>Delivery[[#This Row],[AAA Premium (total)]]/Delivery[[#This Row],[Quantity delivered]]*60/Delivery[[#This Row],[Exchange rate VS USD]]</f>
        <v>7.0013900277008316</v>
      </c>
      <c r="AF391" s="171">
        <f>Delivery[[#This Row],[BEN premium (total)]]/Delivery[[#This Row],[Quantity delivered]]*60/Delivery[[#This Row],[Exchange rate for premiums VS USD]]</f>
        <v>2.1886854000000002</v>
      </c>
      <c r="AG391" s="171">
        <f>COUNTIF(Delivery[Delivery ID],Delivery[[#This Row],[Delivery ID]])</f>
        <v>1</v>
      </c>
      <c r="AH391" s="171">
        <f>(Delivery[[#This Row],[Nespresso total]]/SUMIF(Allocation!C:C,Delivery[Delivery ID],Allocation!H:H))/Delivery[[#This Row],[Exchange rate VS USD]]</f>
        <v>6.3632893515627638</v>
      </c>
      <c r="AI391" s="171">
        <f>(Delivery[[#This Row],[AAA Premium (total)]]/SUMIF(Allocation!C:C,Delivery[Delivery ID],Allocation!H:H))/Delivery[[#This Row],[Exchange rate VS USD]]</f>
        <v>0.35037974354867074</v>
      </c>
      <c r="AJ391" s="171">
        <f>Delivery[[#This Row],[Valor Prêmio Nespresso AAA por Kg (em US$)]]*60</f>
        <v>21.022784612920244</v>
      </c>
      <c r="AK391" s="171">
        <f>Delivery[[#This Row],[Valor Prêmio Nespresso AAA por saca (em US$)]]/1.3228/100</f>
        <v>0.15892640318203996</v>
      </c>
      <c r="AL391" s="171">
        <f>(Delivery[[#This Row],[BEN premium (total)]]/SUMIF(Allocation!C:C,Delivery[Delivery ID],Allocation!H:H))/Delivery[[#This Row],[Exchange rate for premiums VS USD]]</f>
        <v>0.10953125395480226</v>
      </c>
      <c r="AM391" s="171">
        <f>Delivery[[#This Row],[Valor Prêmio Nespresso BEN por Kg (em US$)]]*60</f>
        <v>6.5718752372881353</v>
      </c>
      <c r="AN391" s="171">
        <f>Delivery[[#This Row],[Valor Prêmio Nespresso BEN por saca (em US$)]]/1.3228/100</f>
        <v>4.9681548512913024E-2</v>
      </c>
      <c r="AO391" s="171">
        <f>SUMIF(Allocation[Delivery ID],Delivery[[#This Row],[Delivery ID]],Allocation[Quantity allocated])*16*1.3228*Delivery[[#This Row],[Exchange rate VS USD]]/60</f>
        <v>7663.4142783999996</v>
      </c>
      <c r="AP391" s="171">
        <f>Delivery[[#This Row],[AAA Premium (total)]]</f>
        <v>7611.992921</v>
      </c>
      <c r="AQ391" s="171">
        <f>Delivery[[#This Row],[Valor pago pelo Cluster]]-Delivery[[#This Row],[Valor efetivamente pago pela Nespresso]]</f>
        <v>-51.421357399999579</v>
      </c>
    </row>
    <row r="392" spans="1:43" ht="15.75">
      <c r="A392" s="174" t="s">
        <v>69</v>
      </c>
      <c r="B392" s="232" t="s">
        <v>68</v>
      </c>
      <c r="C392" s="157">
        <v>1</v>
      </c>
      <c r="D392" s="157" t="s">
        <v>468</v>
      </c>
      <c r="E392" s="177" t="s">
        <v>468</v>
      </c>
      <c r="F392" s="233" t="s">
        <v>543</v>
      </c>
      <c r="G392" s="234">
        <v>43343</v>
      </c>
      <c r="H392" s="157" t="s">
        <v>1281</v>
      </c>
      <c r="I392" s="157" t="s">
        <v>741</v>
      </c>
      <c r="J392" s="237">
        <v>7370</v>
      </c>
      <c r="K392" s="175" t="s">
        <v>61</v>
      </c>
      <c r="L392" s="175" t="s">
        <v>439</v>
      </c>
      <c r="M392" s="175" t="s">
        <v>1343</v>
      </c>
      <c r="N392" s="180"/>
      <c r="O392" s="177"/>
      <c r="P392" s="181">
        <v>0</v>
      </c>
      <c r="Q392" s="177">
        <v>43228</v>
      </c>
      <c r="R392" s="178">
        <v>459.553</v>
      </c>
      <c r="S392" s="179">
        <v>56383.287261773999</v>
      </c>
      <c r="T392" s="182" t="s">
        <v>45</v>
      </c>
      <c r="U392" s="183">
        <v>3.61</v>
      </c>
      <c r="V392" s="179">
        <v>3104.6147110000002</v>
      </c>
      <c r="W392" s="179">
        <v>970.52511911299996</v>
      </c>
      <c r="X392" s="184" t="s">
        <v>45</v>
      </c>
      <c r="Y392" s="183">
        <v>3.61</v>
      </c>
      <c r="Z392" s="220" t="s">
        <v>473</v>
      </c>
      <c r="AA392" s="172">
        <f>Delivery[[#This Row],[Quantity delivered]]*VLOOKUP(Delivery[[#This Row],[Unit]],Tab_Conversão[],4,FALSE)*VLOOKUP(CONCATENATE(Delivery[[#This Row],[Coffee specie]],Delivery[[#This Row],[Coffee state]]),Tab_Conversão[],4,FALSE)</f>
        <v>7370</v>
      </c>
      <c r="AB392" s="169">
        <f>SUMIF(Allocation!C:C,Delivery[[#This Row],[Delivery ID]],Allocation!D:D)/Delivery[[#This Row],[Quantity delivered]]</f>
        <v>1</v>
      </c>
      <c r="AC392" s="170">
        <f>Delivery[[#This Row],[Quantity delivered]]*Delivery[[#This Row],[Base price (Unidad)]]/60</f>
        <v>56448.426833333331</v>
      </c>
      <c r="AD392" s="171">
        <f>Delivery[[#This Row],[Nespresso total]]-Delivery[[#This Row],[Qt. Delivery * Base Price]]</f>
        <v>-65.139571559331671</v>
      </c>
      <c r="AE392" s="171">
        <f>Delivery[[#This Row],[AAA Premium (total)]]/Delivery[[#This Row],[Quantity delivered]]*60/Delivery[[#This Row],[Exchange rate VS USD]]</f>
        <v>7.0013900277008316</v>
      </c>
      <c r="AF392" s="171">
        <f>Delivery[[#This Row],[BEN premium (total)]]/Delivery[[#This Row],[Quantity delivered]]*60/Delivery[[#This Row],[Exchange rate for premiums VS USD]]</f>
        <v>2.1886853999999998</v>
      </c>
      <c r="AG392" s="171">
        <f>COUNTIF(Delivery[Delivery ID],Delivery[[#This Row],[Delivery ID]])</f>
        <v>1</v>
      </c>
      <c r="AH392" s="171">
        <f>(Delivery[[#This Row],[Nespresso total]]/SUMIF(Allocation!C:C,Delivery[Delivery ID],Allocation!H:H))/Delivery[[#This Row],[Exchange rate VS USD]]</f>
        <v>6.3029213602442766</v>
      </c>
      <c r="AI392" s="171">
        <f>(Delivery[[#This Row],[AAA Premium (total)]]/SUMIF(Allocation!C:C,Delivery[Delivery ID],Allocation!H:H))/Delivery[[#This Row],[Exchange rate VS USD]]</f>
        <v>0.34705572036692983</v>
      </c>
      <c r="AJ392" s="171">
        <f>Delivery[[#This Row],[Valor Prêmio Nespresso AAA por Kg (em US$)]]*60</f>
        <v>20.82334322201579</v>
      </c>
      <c r="AK392" s="171">
        <f>Delivery[[#This Row],[Valor Prêmio Nespresso AAA por saca (em US$)]]/1.3228/100</f>
        <v>0.15741868175095095</v>
      </c>
      <c r="AL392" s="171">
        <f>(Delivery[[#This Row],[BEN premium (total)]]/SUMIF(Allocation!C:C,Delivery[Delivery ID],Allocation!H:H))/Delivery[[#This Row],[Exchange rate for premiums VS USD]]</f>
        <v>0.10849214015334947</v>
      </c>
      <c r="AM392" s="171">
        <f>Delivery[[#This Row],[Valor Prêmio Nespresso BEN por Kg (em US$)]]*60</f>
        <v>6.5095284092009686</v>
      </c>
      <c r="AN392" s="171">
        <f>Delivery[[#This Row],[Valor Prêmio Nespresso BEN por saca (em US$)]]/1.3228/100</f>
        <v>4.9210223837322112E-2</v>
      </c>
      <c r="AO392" s="171">
        <f>SUMIF(Allocation[Delivery ID],Delivery[[#This Row],[Delivery ID]],Allocation[Quantity allocated])*16*1.3228*Delivery[[#This Row],[Exchange rate VS USD]]/60</f>
        <v>3155.5235263999998</v>
      </c>
      <c r="AP392" s="171">
        <f>Delivery[[#This Row],[AAA Premium (total)]]</f>
        <v>3104.6147110000002</v>
      </c>
      <c r="AQ392" s="171">
        <f>Delivery[[#This Row],[Valor pago pelo Cluster]]-Delivery[[#This Row],[Valor efetivamente pago pela Nespresso]]</f>
        <v>-50.908815399999639</v>
      </c>
    </row>
    <row r="393" spans="1:43" ht="15.75">
      <c r="A393" s="174" t="s">
        <v>69</v>
      </c>
      <c r="B393" s="232" t="s">
        <v>68</v>
      </c>
      <c r="C393" s="157">
        <v>1</v>
      </c>
      <c r="D393" s="157" t="s">
        <v>468</v>
      </c>
      <c r="E393" s="177" t="s">
        <v>468</v>
      </c>
      <c r="F393" s="233" t="s">
        <v>543</v>
      </c>
      <c r="G393" s="234">
        <v>43343</v>
      </c>
      <c r="H393" s="157" t="s">
        <v>1282</v>
      </c>
      <c r="I393" s="157" t="s">
        <v>741</v>
      </c>
      <c r="J393" s="237">
        <v>18820</v>
      </c>
      <c r="K393" s="175" t="s">
        <v>61</v>
      </c>
      <c r="L393" s="175" t="s">
        <v>439</v>
      </c>
      <c r="M393" s="175" t="s">
        <v>1343</v>
      </c>
      <c r="N393" s="180"/>
      <c r="O393" s="177"/>
      <c r="P393" s="181">
        <v>0</v>
      </c>
      <c r="Q393" s="177">
        <v>43228</v>
      </c>
      <c r="R393" s="178">
        <v>459.553</v>
      </c>
      <c r="S393" s="179">
        <v>143980.117539564</v>
      </c>
      <c r="T393" s="182" t="s">
        <v>45</v>
      </c>
      <c r="U393" s="183">
        <v>3.61</v>
      </c>
      <c r="V393" s="179">
        <v>7927.9306460000007</v>
      </c>
      <c r="W393" s="179">
        <v>2478.3287302179997</v>
      </c>
      <c r="X393" s="184" t="s">
        <v>45</v>
      </c>
      <c r="Y393" s="183">
        <v>3.61</v>
      </c>
      <c r="Z393" s="220" t="s">
        <v>473</v>
      </c>
      <c r="AA393" s="172">
        <f>Delivery[[#This Row],[Quantity delivered]]*VLOOKUP(Delivery[[#This Row],[Unit]],Tab_Conversão[],4,FALSE)*VLOOKUP(CONCATENATE(Delivery[[#This Row],[Coffee specie]],Delivery[[#This Row],[Coffee state]]),Tab_Conversão[],4,FALSE)</f>
        <v>18820</v>
      </c>
      <c r="AB393" s="169">
        <f>SUMIF(Allocation!C:C,Delivery[[#This Row],[Delivery ID]],Allocation!D:D)/Delivery[[#This Row],[Quantity delivered]]</f>
        <v>1</v>
      </c>
      <c r="AC393" s="170">
        <f>Delivery[[#This Row],[Quantity delivered]]*Delivery[[#This Row],[Base price (Unidad)]]/60</f>
        <v>144146.45766666665</v>
      </c>
      <c r="AD393" s="171">
        <f>Delivery[[#This Row],[Nespresso total]]-Delivery[[#This Row],[Qt. Delivery * Base Price]]</f>
        <v>-166.34012710265233</v>
      </c>
      <c r="AE393" s="171">
        <f>Delivery[[#This Row],[AAA Premium (total)]]/Delivery[[#This Row],[Quantity delivered]]*60/Delivery[[#This Row],[Exchange rate VS USD]]</f>
        <v>7.0013900277008316</v>
      </c>
      <c r="AF393" s="171">
        <f>Delivery[[#This Row],[BEN premium (total)]]/Delivery[[#This Row],[Quantity delivered]]*60/Delivery[[#This Row],[Exchange rate for premiums VS USD]]</f>
        <v>2.1886853999999998</v>
      </c>
      <c r="AG393" s="171">
        <f>COUNTIF(Delivery[Delivery ID],Delivery[[#This Row],[Delivery ID]])</f>
        <v>1</v>
      </c>
      <c r="AH393" s="171">
        <f>(Delivery[[#This Row],[Nespresso total]]/SUMIF(Allocation!C:C,Delivery[Delivery ID],Allocation!H:H))/Delivery[[#This Row],[Exchange rate VS USD]]</f>
        <v>6.3773087734460034</v>
      </c>
      <c r="AI393" s="171">
        <f>(Delivery[[#This Row],[AAA Premium (total)]]/SUMIF(Allocation!C:C,Delivery[Delivery ID],Allocation!H:H))/Delivery[[#This Row],[Exchange rate VS USD]]</f>
        <v>0.35115169044166311</v>
      </c>
      <c r="AJ393" s="171">
        <f>Delivery[[#This Row],[Valor Prêmio Nespresso AAA por Kg (em US$)]]*60</f>
        <v>21.069101426499788</v>
      </c>
      <c r="AK393" s="171">
        <f>Delivery[[#This Row],[Valor Prêmio Nespresso AAA por saca (em US$)]]/1.3228/100</f>
        <v>0.15927654540746741</v>
      </c>
      <c r="AL393" s="171">
        <f>(Delivery[[#This Row],[BEN premium (total)]]/SUMIF(Allocation!C:C,Delivery[Delivery ID],Allocation!H:H))/Delivery[[#This Row],[Exchange rate for premiums VS USD]]</f>
        <v>0.10977257016309561</v>
      </c>
      <c r="AM393" s="171">
        <f>Delivery[[#This Row],[Valor Prêmio Nespresso BEN por Kg (em US$)]]*60</f>
        <v>6.5863542097857364</v>
      </c>
      <c r="AN393" s="171">
        <f>Delivery[[#This Row],[Valor Prêmio Nespresso BEN por saca (em US$)]]/1.3228/100</f>
        <v>4.9791005516977141E-2</v>
      </c>
      <c r="AO393" s="171">
        <f>SUMIF(Allocation[Delivery ID],Delivery[[#This Row],[Delivery ID]],Allocation[Quantity allocated])*16*1.3228*Delivery[[#This Row],[Exchange rate VS USD]]/60</f>
        <v>7963.9403285333328</v>
      </c>
      <c r="AP393" s="171">
        <f>Delivery[[#This Row],[AAA Premium (total)]]</f>
        <v>7927.9306460000007</v>
      </c>
      <c r="AQ393" s="171">
        <f>Delivery[[#This Row],[Valor pago pelo Cluster]]-Delivery[[#This Row],[Valor efetivamente pago pela Nespresso]]</f>
        <v>-36.009682533332125</v>
      </c>
    </row>
    <row r="394" spans="1:43" ht="15.75">
      <c r="A394" s="174" t="s">
        <v>69</v>
      </c>
      <c r="B394" s="232" t="s">
        <v>68</v>
      </c>
      <c r="C394" s="157">
        <v>1</v>
      </c>
      <c r="D394" s="157" t="s">
        <v>468</v>
      </c>
      <c r="E394" s="177" t="s">
        <v>468</v>
      </c>
      <c r="F394" s="233" t="s">
        <v>543</v>
      </c>
      <c r="G394" s="234">
        <v>43343</v>
      </c>
      <c r="H394" s="157" t="s">
        <v>1283</v>
      </c>
      <c r="I394" s="157" t="s">
        <v>741</v>
      </c>
      <c r="J394" s="237">
        <v>26550</v>
      </c>
      <c r="K394" s="175" t="s">
        <v>61</v>
      </c>
      <c r="L394" s="175" t="s">
        <v>439</v>
      </c>
      <c r="M394" s="175" t="s">
        <v>1343</v>
      </c>
      <c r="N394" s="180"/>
      <c r="O394" s="177"/>
      <c r="P394" s="181">
        <v>0</v>
      </c>
      <c r="Q394" s="177">
        <v>43228</v>
      </c>
      <c r="R394" s="178">
        <v>459.553</v>
      </c>
      <c r="S394" s="179">
        <v>203117.54094981001</v>
      </c>
      <c r="T394" s="182" t="s">
        <v>45</v>
      </c>
      <c r="U394" s="183">
        <v>3.61</v>
      </c>
      <c r="V394" s="179">
        <v>11184.195465000001</v>
      </c>
      <c r="W394" s="179">
        <v>3496.2607750949996</v>
      </c>
      <c r="X394" s="184" t="s">
        <v>45</v>
      </c>
      <c r="Y394" s="183">
        <v>3.61</v>
      </c>
      <c r="Z394" s="220" t="s">
        <v>473</v>
      </c>
      <c r="AA394" s="172">
        <f>Delivery[[#This Row],[Quantity delivered]]*VLOOKUP(Delivery[[#This Row],[Unit]],Tab_Conversão[],4,FALSE)*VLOOKUP(CONCATENATE(Delivery[[#This Row],[Coffee specie]],Delivery[[#This Row],[Coffee state]]),Tab_Conversão[],4,FALSE)</f>
        <v>26550</v>
      </c>
      <c r="AB394" s="169">
        <f>SUMIF(Allocation!C:C,Delivery[[#This Row],[Delivery ID]],Allocation!D:D)/Delivery[[#This Row],[Quantity delivered]]</f>
        <v>1</v>
      </c>
      <c r="AC394" s="170">
        <f>Delivery[[#This Row],[Quantity delivered]]*Delivery[[#This Row],[Base price (Unidad)]]/60</f>
        <v>203352.20250000001</v>
      </c>
      <c r="AD394" s="171">
        <f>Delivery[[#This Row],[Nespresso total]]-Delivery[[#This Row],[Qt. Delivery * Base Price]]</f>
        <v>-234.66155019000871</v>
      </c>
      <c r="AE394" s="171">
        <f>Delivery[[#This Row],[AAA Premium (total)]]/Delivery[[#This Row],[Quantity delivered]]*60/Delivery[[#This Row],[Exchange rate VS USD]]</f>
        <v>7.0013900277008316</v>
      </c>
      <c r="AF394" s="171">
        <f>Delivery[[#This Row],[BEN premium (total)]]/Delivery[[#This Row],[Quantity delivered]]*60/Delivery[[#This Row],[Exchange rate for premiums VS USD]]</f>
        <v>2.1886853999999998</v>
      </c>
      <c r="AG394" s="171">
        <f>COUNTIF(Delivery[Delivery ID],Delivery[[#This Row],[Delivery ID]])</f>
        <v>1</v>
      </c>
      <c r="AH394" s="171">
        <f>(Delivery[[#This Row],[Nespresso total]]/SUMIF(Allocation!C:C,Delivery[Delivery ID],Allocation!H:H))/Delivery[[#This Row],[Exchange rate VS USD]]</f>
        <v>6.3576550057063717</v>
      </c>
      <c r="AI394" s="171">
        <f>(Delivery[[#This Row],[AAA Premium (total)]]/SUMIF(Allocation!C:C,Delivery[Delivery ID],Allocation!H:H))/Delivery[[#This Row],[Exchange rate VS USD]]</f>
        <v>0.35006950138504156</v>
      </c>
      <c r="AJ394" s="171">
        <f>Delivery[[#This Row],[Valor Prêmio Nespresso AAA por Kg (em US$)]]*60</f>
        <v>21.004170083102494</v>
      </c>
      <c r="AK394" s="171">
        <f>Delivery[[#This Row],[Valor Prêmio Nespresso AAA por saca (em US$)]]/1.3228/100</f>
        <v>0.1587856825151383</v>
      </c>
      <c r="AL394" s="171">
        <f>(Delivery[[#This Row],[BEN premium (total)]]/SUMIF(Allocation!C:C,Delivery[Delivery ID],Allocation!H:H))/Delivery[[#This Row],[Exchange rate for premiums VS USD]]</f>
        <v>0.10943426999999999</v>
      </c>
      <c r="AM394" s="171">
        <f>Delivery[[#This Row],[Valor Prêmio Nespresso BEN por Kg (em US$)]]*60</f>
        <v>6.5660561999999993</v>
      </c>
      <c r="AN394" s="171">
        <f>Delivery[[#This Row],[Valor Prêmio Nespresso BEN por saca (em US$)]]/1.3228/100</f>
        <v>4.9637558209857879E-2</v>
      </c>
      <c r="AO394" s="171">
        <f>SUMIF(Allocation[Delivery ID],Delivery[[#This Row],[Delivery ID]],Allocation[Quantity allocated])*16*1.3228*Delivery[[#This Row],[Exchange rate VS USD]]/60</f>
        <v>11269.72688</v>
      </c>
      <c r="AP394" s="171">
        <f>Delivery[[#This Row],[AAA Premium (total)]]</f>
        <v>11184.195465000001</v>
      </c>
      <c r="AQ394" s="171">
        <f>Delivery[[#This Row],[Valor pago pelo Cluster]]-Delivery[[#This Row],[Valor efetivamente pago pela Nespresso]]</f>
        <v>-85.53141499999947</v>
      </c>
    </row>
    <row r="395" spans="1:43" ht="15.75">
      <c r="A395" s="174" t="s">
        <v>69</v>
      </c>
      <c r="B395" s="232" t="s">
        <v>68</v>
      </c>
      <c r="C395" s="157">
        <v>1</v>
      </c>
      <c r="D395" s="157" t="s">
        <v>468</v>
      </c>
      <c r="E395" s="177" t="s">
        <v>468</v>
      </c>
      <c r="F395" s="233" t="s">
        <v>543</v>
      </c>
      <c r="G395" s="234">
        <v>43343</v>
      </c>
      <c r="H395" s="157" t="s">
        <v>1284</v>
      </c>
      <c r="I395" s="157" t="s">
        <v>741</v>
      </c>
      <c r="J395" s="237">
        <v>18350</v>
      </c>
      <c r="K395" s="175" t="s">
        <v>61</v>
      </c>
      <c r="L395" s="175" t="s">
        <v>439</v>
      </c>
      <c r="M395" s="175" t="s">
        <v>1343</v>
      </c>
      <c r="N395" s="180"/>
      <c r="O395" s="177"/>
      <c r="P395" s="181">
        <v>0</v>
      </c>
      <c r="Q395" s="177">
        <v>43228</v>
      </c>
      <c r="R395" s="178">
        <v>459.553</v>
      </c>
      <c r="S395" s="179">
        <v>140384.43979017</v>
      </c>
      <c r="T395" s="182" t="s">
        <v>45</v>
      </c>
      <c r="U395" s="183">
        <v>3.61</v>
      </c>
      <c r="V395" s="179">
        <v>7729.9430050000001</v>
      </c>
      <c r="W395" s="179">
        <v>2416.4363549150003</v>
      </c>
      <c r="X395" s="184" t="s">
        <v>45</v>
      </c>
      <c r="Y395" s="183">
        <v>3.61</v>
      </c>
      <c r="Z395" s="220" t="s">
        <v>473</v>
      </c>
      <c r="AA395" s="172">
        <f>Delivery[[#This Row],[Quantity delivered]]*VLOOKUP(Delivery[[#This Row],[Unit]],Tab_Conversão[],4,FALSE)*VLOOKUP(CONCATENATE(Delivery[[#This Row],[Coffee specie]],Delivery[[#This Row],[Coffee state]]),Tab_Conversão[],4,FALSE)</f>
        <v>18350</v>
      </c>
      <c r="AB395" s="169">
        <f>SUMIF(Allocation!C:C,Delivery[[#This Row],[Delivery ID]],Allocation!D:D)/Delivery[[#This Row],[Quantity delivered]]</f>
        <v>1</v>
      </c>
      <c r="AC395" s="170">
        <f>Delivery[[#This Row],[Quantity delivered]]*Delivery[[#This Row],[Base price (Unidad)]]/60</f>
        <v>140546.62583333335</v>
      </c>
      <c r="AD395" s="171">
        <f>Delivery[[#This Row],[Nespresso total]]-Delivery[[#This Row],[Qt. Delivery * Base Price]]</f>
        <v>-162.18604316335404</v>
      </c>
      <c r="AE395" s="171">
        <f>Delivery[[#This Row],[AAA Premium (total)]]/Delivery[[#This Row],[Quantity delivered]]*60/Delivery[[#This Row],[Exchange rate VS USD]]</f>
        <v>7.0013900277008316</v>
      </c>
      <c r="AF395" s="171">
        <f>Delivery[[#This Row],[BEN premium (total)]]/Delivery[[#This Row],[Quantity delivered]]*60/Delivery[[#This Row],[Exchange rate for premiums VS USD]]</f>
        <v>2.1886854000000002</v>
      </c>
      <c r="AG395" s="171">
        <f>COUNTIF(Delivery[Delivery ID],Delivery[[#This Row],[Delivery ID]])</f>
        <v>1</v>
      </c>
      <c r="AH395" s="171">
        <f>(Delivery[[#This Row],[Nespresso total]]/SUMIF(Allocation!C:C,Delivery[Delivery ID],Allocation!H:H))/Delivery[[#This Row],[Exchange rate VS USD]]</f>
        <v>6.2772649639339209</v>
      </c>
      <c r="AI395" s="171">
        <f>(Delivery[[#This Row],[AAA Premium (total)]]/SUMIF(Allocation!C:C,Delivery[Delivery ID],Allocation!H:H))/Delivery[[#This Row],[Exchange rate VS USD]]</f>
        <v>0.34564301051468993</v>
      </c>
      <c r="AJ395" s="171">
        <f>Delivery[[#This Row],[Valor Prêmio Nespresso AAA por Kg (em US$)]]*60</f>
        <v>20.738580630881394</v>
      </c>
      <c r="AK395" s="171">
        <f>Delivery[[#This Row],[Valor Prêmio Nespresso AAA por saca (em US$)]]/1.3228/100</f>
        <v>0.1567779001427381</v>
      </c>
      <c r="AL395" s="171">
        <f>(Delivery[[#This Row],[BEN premium (total)]]/SUMIF(Allocation!C:C,Delivery[Delivery ID],Allocation!H:H))/Delivery[[#This Row],[Exchange rate for premiums VS USD]]</f>
        <v>0.10805051678773206</v>
      </c>
      <c r="AM395" s="171">
        <f>Delivery[[#This Row],[Valor Prêmio Nespresso BEN por Kg (em US$)]]*60</f>
        <v>6.4830310072639232</v>
      </c>
      <c r="AN395" s="171">
        <f>Delivery[[#This Row],[Valor Prêmio Nespresso BEN por saca (em US$)]]/1.3228/100</f>
        <v>4.9009910850195973E-2</v>
      </c>
      <c r="AO395" s="171">
        <f>SUMIF(Allocation[Delivery ID],Delivery[[#This Row],[Delivery ID]],Allocation[Quantity allocated])*16*1.3228*Delivery[[#This Row],[Exchange rate VS USD]]/60</f>
        <v>7888.8088159999988</v>
      </c>
      <c r="AP395" s="171">
        <f>Delivery[[#This Row],[AAA Premium (total)]]</f>
        <v>7729.9430050000001</v>
      </c>
      <c r="AQ395" s="171">
        <f>Delivery[[#This Row],[Valor pago pelo Cluster]]-Delivery[[#This Row],[Valor efetivamente pago pela Nespresso]]</f>
        <v>-158.86581099999876</v>
      </c>
    </row>
    <row r="396" spans="1:43" ht="15.75">
      <c r="A396" s="174" t="s">
        <v>69</v>
      </c>
      <c r="B396" s="232" t="s">
        <v>68</v>
      </c>
      <c r="C396" s="157">
        <v>1</v>
      </c>
      <c r="D396" s="157" t="s">
        <v>468</v>
      </c>
      <c r="E396" s="177" t="s">
        <v>468</v>
      </c>
      <c r="F396" s="233" t="s">
        <v>543</v>
      </c>
      <c r="G396" s="234">
        <v>43343</v>
      </c>
      <c r="H396" s="157" t="s">
        <v>1285</v>
      </c>
      <c r="I396" s="157" t="s">
        <v>741</v>
      </c>
      <c r="J396" s="237">
        <v>10680</v>
      </c>
      <c r="K396" s="175" t="s">
        <v>61</v>
      </c>
      <c r="L396" s="175" t="s">
        <v>439</v>
      </c>
      <c r="M396" s="175" t="s">
        <v>1343</v>
      </c>
      <c r="N396" s="180"/>
      <c r="O396" s="177"/>
      <c r="P396" s="181">
        <v>0</v>
      </c>
      <c r="Q396" s="177">
        <v>43228</v>
      </c>
      <c r="R396" s="178">
        <v>459.553</v>
      </c>
      <c r="S396" s="179">
        <v>81706.03907133601</v>
      </c>
      <c r="T396" s="182" t="s">
        <v>45</v>
      </c>
      <c r="U396" s="183">
        <v>3.61</v>
      </c>
      <c r="V396" s="179">
        <v>4498.9532040000004</v>
      </c>
      <c r="W396" s="179">
        <v>1406.4054643319998</v>
      </c>
      <c r="X396" s="184" t="s">
        <v>45</v>
      </c>
      <c r="Y396" s="183">
        <v>3.61</v>
      </c>
      <c r="Z396" s="220" t="s">
        <v>473</v>
      </c>
      <c r="AA396" s="172">
        <f>Delivery[[#This Row],[Quantity delivered]]*VLOOKUP(Delivery[[#This Row],[Unit]],Tab_Conversão[],4,FALSE)*VLOOKUP(CONCATENATE(Delivery[[#This Row],[Coffee specie]],Delivery[[#This Row],[Coffee state]]),Tab_Conversão[],4,FALSE)</f>
        <v>10680</v>
      </c>
      <c r="AB396" s="169">
        <f>SUMIF(Allocation!C:C,Delivery[[#This Row],[Delivery ID]],Allocation!D:D)/Delivery[[#This Row],[Quantity delivered]]</f>
        <v>1</v>
      </c>
      <c r="AC396" s="170">
        <f>Delivery[[#This Row],[Quantity delivered]]*Delivery[[#This Row],[Base price (Unidad)]]/60</f>
        <v>81800.433999999994</v>
      </c>
      <c r="AD396" s="171">
        <f>Delivery[[#This Row],[Nespresso total]]-Delivery[[#This Row],[Qt. Delivery * Base Price]]</f>
        <v>-94.394928663983592</v>
      </c>
      <c r="AE396" s="171">
        <f>Delivery[[#This Row],[AAA Premium (total)]]/Delivery[[#This Row],[Quantity delivered]]*60/Delivery[[#This Row],[Exchange rate VS USD]]</f>
        <v>7.0013900277008316</v>
      </c>
      <c r="AF396" s="171">
        <f>Delivery[[#This Row],[BEN premium (total)]]/Delivery[[#This Row],[Quantity delivered]]*60/Delivery[[#This Row],[Exchange rate for premiums VS USD]]</f>
        <v>2.1886853999999998</v>
      </c>
      <c r="AG396" s="171">
        <f>COUNTIF(Delivery[Delivery ID],Delivery[[#This Row],[Delivery ID]])</f>
        <v>1</v>
      </c>
      <c r="AH396" s="171">
        <f>(Delivery[[#This Row],[Nespresso total]]/SUMIF(Allocation!C:C,Delivery[Delivery ID],Allocation!H:H))/Delivery[[#This Row],[Exchange rate VS USD]]</f>
        <v>6.3935739605408717</v>
      </c>
      <c r="AI396" s="171">
        <f>(Delivery[[#This Row],[AAA Premium (total)]]/SUMIF(Allocation!C:C,Delivery[Delivery ID],Allocation!H:H))/Delivery[[#This Row],[Exchange rate VS USD]]</f>
        <v>0.3520472951781774</v>
      </c>
      <c r="AJ396" s="171">
        <f>Delivery[[#This Row],[Valor Prêmio Nespresso AAA por Kg (em US$)]]*60</f>
        <v>21.122837710690643</v>
      </c>
      <c r="AK396" s="171">
        <f>Delivery[[#This Row],[Valor Prêmio Nespresso AAA por saca (em US$)]]/1.3228/100</f>
        <v>0.15968277676663625</v>
      </c>
      <c r="AL396" s="171">
        <f>(Delivery[[#This Row],[BEN premium (total)]]/SUMIF(Allocation!C:C,Delivery[Delivery ID],Allocation!H:H))/Delivery[[#This Row],[Exchange rate for premiums VS USD]]</f>
        <v>0.11005254271186439</v>
      </c>
      <c r="AM396" s="171">
        <f>Delivery[[#This Row],[Valor Prêmio Nespresso BEN por Kg (em US$)]]*60</f>
        <v>6.6031525627118635</v>
      </c>
      <c r="AN396" s="171">
        <f>Delivery[[#This Row],[Valor Prêmio Nespresso BEN por saca (em US$)]]/1.3228/100</f>
        <v>4.9917996391834467E-2</v>
      </c>
      <c r="AO396" s="171">
        <f>SUMIF(Allocation[Delivery ID],Delivery[[#This Row],[Delivery ID]],Allocation[Quantity allocated])*16*1.3228*Delivery[[#This Row],[Exchange rate VS USD]]/60</f>
        <v>4507.8907520000002</v>
      </c>
      <c r="AP396" s="171">
        <f>Delivery[[#This Row],[AAA Premium (total)]]</f>
        <v>4498.9532040000004</v>
      </c>
      <c r="AQ396" s="171">
        <f>Delivery[[#This Row],[Valor pago pelo Cluster]]-Delivery[[#This Row],[Valor efetivamente pago pela Nespresso]]</f>
        <v>-8.9375479999998788</v>
      </c>
    </row>
    <row r="397" spans="1:43" ht="15.75">
      <c r="A397" s="174" t="s">
        <v>69</v>
      </c>
      <c r="B397" s="232" t="s">
        <v>68</v>
      </c>
      <c r="C397" s="157">
        <v>1</v>
      </c>
      <c r="D397" s="157" t="s">
        <v>468</v>
      </c>
      <c r="E397" s="177" t="s">
        <v>468</v>
      </c>
      <c r="F397" s="233" t="s">
        <v>543</v>
      </c>
      <c r="G397" s="234">
        <v>43343</v>
      </c>
      <c r="H397" s="157" t="s">
        <v>1286</v>
      </c>
      <c r="I397" s="157" t="s">
        <v>741</v>
      </c>
      <c r="J397" s="237">
        <v>12784</v>
      </c>
      <c r="K397" s="175" t="s">
        <v>61</v>
      </c>
      <c r="L397" s="175" t="s">
        <v>439</v>
      </c>
      <c r="M397" s="175" t="s">
        <v>1343</v>
      </c>
      <c r="N397" s="180"/>
      <c r="O397" s="177"/>
      <c r="P397" s="181">
        <v>0</v>
      </c>
      <c r="Q397" s="177">
        <v>43228</v>
      </c>
      <c r="R397" s="178">
        <v>459.553</v>
      </c>
      <c r="S397" s="179">
        <v>97802.434783516801</v>
      </c>
      <c r="T397" s="182" t="s">
        <v>45</v>
      </c>
      <c r="U397" s="183">
        <v>3.61</v>
      </c>
      <c r="V397" s="179">
        <v>5385.2638352000004</v>
      </c>
      <c r="W397" s="179">
        <v>1683.4726082416</v>
      </c>
      <c r="X397" s="184" t="s">
        <v>45</v>
      </c>
      <c r="Y397" s="183">
        <v>3.61</v>
      </c>
      <c r="Z397" s="220" t="s">
        <v>473</v>
      </c>
      <c r="AA397" s="172">
        <f>Delivery[[#This Row],[Quantity delivered]]*VLOOKUP(Delivery[[#This Row],[Unit]],Tab_Conversão[],4,FALSE)*VLOOKUP(CONCATENATE(Delivery[[#This Row],[Coffee specie]],Delivery[[#This Row],[Coffee state]]),Tab_Conversão[],4,FALSE)</f>
        <v>12784</v>
      </c>
      <c r="AB397" s="169">
        <f>SUMIF(Allocation!C:C,Delivery[[#This Row],[Delivery ID]],Allocation!D:D)/Delivery[[#This Row],[Quantity delivered]]</f>
        <v>1</v>
      </c>
      <c r="AC397" s="170">
        <f>Delivery[[#This Row],[Quantity delivered]]*Delivery[[#This Row],[Base price (Unidad)]]/60</f>
        <v>97915.425866666672</v>
      </c>
      <c r="AD397" s="171">
        <f>Delivery[[#This Row],[Nespresso total]]-Delivery[[#This Row],[Qt. Delivery * Base Price]]</f>
        <v>-112.99108314987097</v>
      </c>
      <c r="AE397" s="171">
        <f>Delivery[[#This Row],[AAA Premium (total)]]/Delivery[[#This Row],[Quantity delivered]]*60/Delivery[[#This Row],[Exchange rate VS USD]]</f>
        <v>7.0013900277008316</v>
      </c>
      <c r="AF397" s="171">
        <f>Delivery[[#This Row],[BEN premium (total)]]/Delivery[[#This Row],[Quantity delivered]]*60/Delivery[[#This Row],[Exchange rate for premiums VS USD]]</f>
        <v>2.1886854000000002</v>
      </c>
      <c r="AG397" s="171">
        <f>COUNTIF(Delivery[Delivery ID],Delivery[[#This Row],[Delivery ID]])</f>
        <v>1</v>
      </c>
      <c r="AH397" s="171">
        <f>(Delivery[[#This Row],[Nespresso total]]/SUMIF(Allocation!C:C,Delivery[Delivery ID],Allocation!H:H))/Delivery[[#This Row],[Exchange rate VS USD]]</f>
        <v>6.3776099806144257</v>
      </c>
      <c r="AI397" s="171">
        <f>(Delivery[[#This Row],[AAA Premium (total)]]/SUMIF(Allocation!C:C,Delivery[Delivery ID],Allocation!H:H))/Delivery[[#This Row],[Exchange rate VS USD]]</f>
        <v>0.3511682757145615</v>
      </c>
      <c r="AJ397" s="171">
        <f>Delivery[[#This Row],[Valor Prêmio Nespresso AAA por Kg (em US$)]]*60</f>
        <v>21.070096542873689</v>
      </c>
      <c r="AK397" s="171">
        <f>Delivery[[#This Row],[Valor Prêmio Nespresso AAA por saca (em US$)]]/1.3228/100</f>
        <v>0.15928406821041496</v>
      </c>
      <c r="AL397" s="171">
        <f>(Delivery[[#This Row],[BEN premium (total)]]/SUMIF(Allocation!C:C,Delivery[Delivery ID],Allocation!H:H))/Delivery[[#This Row],[Exchange rate for premiums VS USD]]</f>
        <v>0.10977775483992468</v>
      </c>
      <c r="AM397" s="171">
        <f>Delivery[[#This Row],[Valor Prêmio Nespresso BEN por Kg (em US$)]]*60</f>
        <v>6.586665290395481</v>
      </c>
      <c r="AN397" s="171">
        <f>Delivery[[#This Row],[Valor Prêmio Nespresso BEN por saca (em US$)]]/1.3228/100</f>
        <v>4.979335719984488E-2</v>
      </c>
      <c r="AO397" s="171">
        <f>SUMIF(Allocation[Delivery ID],Delivery[[#This Row],[Delivery ID]],Allocation[Quantity allocated])*16*1.3228*Delivery[[#This Row],[Exchange rate VS USD]]/60</f>
        <v>5409.468902399999</v>
      </c>
      <c r="AP397" s="171">
        <f>Delivery[[#This Row],[AAA Premium (total)]]</f>
        <v>5385.2638352000004</v>
      </c>
      <c r="AQ397" s="171">
        <f>Delivery[[#This Row],[Valor pago pelo Cluster]]-Delivery[[#This Row],[Valor efetivamente pago pela Nespresso]]</f>
        <v>-24.205067199998666</v>
      </c>
    </row>
    <row r="398" spans="1:43" ht="15.75">
      <c r="A398" s="174" t="s">
        <v>69</v>
      </c>
      <c r="B398" s="232" t="s">
        <v>68</v>
      </c>
      <c r="C398" s="157">
        <v>1</v>
      </c>
      <c r="D398" s="157" t="s">
        <v>468</v>
      </c>
      <c r="E398" s="177" t="s">
        <v>468</v>
      </c>
      <c r="F398" s="233" t="s">
        <v>543</v>
      </c>
      <c r="G398" s="234">
        <v>43343</v>
      </c>
      <c r="H398" s="157" t="s">
        <v>1287</v>
      </c>
      <c r="I398" s="157" t="s">
        <v>741</v>
      </c>
      <c r="J398" s="237">
        <v>26860</v>
      </c>
      <c r="K398" s="175" t="s">
        <v>61</v>
      </c>
      <c r="L398" s="175" t="s">
        <v>439</v>
      </c>
      <c r="M398" s="175" t="s">
        <v>1343</v>
      </c>
      <c r="N398" s="180"/>
      <c r="O398" s="177"/>
      <c r="P398" s="181">
        <v>0</v>
      </c>
      <c r="Q398" s="177">
        <v>43228</v>
      </c>
      <c r="R398" s="178">
        <v>459.553</v>
      </c>
      <c r="S398" s="179">
        <v>205489.15818877204</v>
      </c>
      <c r="T398" s="182" t="s">
        <v>45</v>
      </c>
      <c r="U398" s="183">
        <v>3.61</v>
      </c>
      <c r="V398" s="179">
        <v>11314.783058000001</v>
      </c>
      <c r="W398" s="179">
        <v>3537.0834056139997</v>
      </c>
      <c r="X398" s="184" t="s">
        <v>45</v>
      </c>
      <c r="Y398" s="183">
        <v>3.61</v>
      </c>
      <c r="Z398" s="220" t="s">
        <v>473</v>
      </c>
      <c r="AA398" s="172">
        <f>Delivery[[#This Row],[Quantity delivered]]*VLOOKUP(Delivery[[#This Row],[Unit]],Tab_Conversão[],4,FALSE)*VLOOKUP(CONCATENATE(Delivery[[#This Row],[Coffee specie]],Delivery[[#This Row],[Coffee state]]),Tab_Conversão[],4,FALSE)</f>
        <v>26860</v>
      </c>
      <c r="AB398" s="169">
        <f>SUMIF(Allocation!C:C,Delivery[[#This Row],[Delivery ID]],Allocation!D:D)/Delivery[[#This Row],[Quantity delivered]]</f>
        <v>1</v>
      </c>
      <c r="AC398" s="170">
        <f>Delivery[[#This Row],[Quantity delivered]]*Delivery[[#This Row],[Base price (Unidad)]]/60</f>
        <v>205726.55966666667</v>
      </c>
      <c r="AD398" s="171">
        <f>Delivery[[#This Row],[Nespresso total]]-Delivery[[#This Row],[Qt. Delivery * Base Price]]</f>
        <v>-237.40147789462935</v>
      </c>
      <c r="AE398" s="171">
        <f>Delivery[[#This Row],[AAA Premium (total)]]/Delivery[[#This Row],[Quantity delivered]]*60/Delivery[[#This Row],[Exchange rate VS USD]]</f>
        <v>7.0013900277008316</v>
      </c>
      <c r="AF398" s="171">
        <f>Delivery[[#This Row],[BEN premium (total)]]/Delivery[[#This Row],[Quantity delivered]]*60/Delivery[[#This Row],[Exchange rate for premiums VS USD]]</f>
        <v>2.1886853999999998</v>
      </c>
      <c r="AG398" s="171">
        <f>COUNTIF(Delivery[Delivery ID],Delivery[[#This Row],[Delivery ID]])</f>
        <v>1</v>
      </c>
      <c r="AH398" s="171">
        <f>(Delivery[[#This Row],[Nespresso total]]/SUMIF(Allocation!C:C,Delivery[Delivery ID],Allocation!H:H))/Delivery[[#This Row],[Exchange rate VS USD]]</f>
        <v>6.3892922308255011</v>
      </c>
      <c r="AI398" s="171">
        <f>(Delivery[[#This Row],[AAA Premium (total)]]/SUMIF(Allocation!C:C,Delivery[Delivery ID],Allocation!H:H))/Delivery[[#This Row],[Exchange rate VS USD]]</f>
        <v>0.3518115316796579</v>
      </c>
      <c r="AJ398" s="171">
        <f>Delivery[[#This Row],[Valor Prêmio Nespresso AAA por Kg (em US$)]]*60</f>
        <v>21.108691900779473</v>
      </c>
      <c r="AK398" s="171">
        <f>Delivery[[#This Row],[Valor Prêmio Nespresso AAA por saca (em US$)]]/1.3228/100</f>
        <v>0.15957583837904046</v>
      </c>
      <c r="AL398" s="171">
        <f>(Delivery[[#This Row],[BEN premium (total)]]/SUMIF(Allocation!C:C,Delivery[Delivery ID],Allocation!H:H))/Delivery[[#This Row],[Exchange rate for premiums VS USD]]</f>
        <v>0.10997884132899315</v>
      </c>
      <c r="AM398" s="171">
        <f>Delivery[[#This Row],[Valor Prêmio Nespresso BEN por Kg (em US$)]]*60</f>
        <v>6.5987304797395891</v>
      </c>
      <c r="AN398" s="171">
        <f>Delivery[[#This Row],[Valor Prêmio Nespresso BEN por saca (em US$)]]/1.3228/100</f>
        <v>4.9884566674777669E-2</v>
      </c>
      <c r="AO398" s="171">
        <f>SUMIF(Allocation[Delivery ID],Delivery[[#This Row],[Delivery ID]],Allocation[Quantity allocated])*16*1.3228*Delivery[[#This Row],[Exchange rate VS USD]]/60</f>
        <v>11344.858392533331</v>
      </c>
      <c r="AP398" s="171">
        <f>Delivery[[#This Row],[AAA Premium (total)]]</f>
        <v>11314.783058000001</v>
      </c>
      <c r="AQ398" s="171">
        <f>Delivery[[#This Row],[Valor pago pelo Cluster]]-Delivery[[#This Row],[Valor efetivamente pago pela Nespresso]]</f>
        <v>-30.075334533330533</v>
      </c>
    </row>
    <row r="399" spans="1:43" ht="15.75">
      <c r="A399" s="174" t="s">
        <v>69</v>
      </c>
      <c r="B399" s="232" t="s">
        <v>68</v>
      </c>
      <c r="C399" s="157">
        <v>1</v>
      </c>
      <c r="D399" s="157" t="s">
        <v>468</v>
      </c>
      <c r="E399" s="177" t="s">
        <v>468</v>
      </c>
      <c r="F399" s="233" t="s">
        <v>543</v>
      </c>
      <c r="G399" s="234">
        <v>43343</v>
      </c>
      <c r="H399" s="157" t="s">
        <v>1288</v>
      </c>
      <c r="I399" s="157" t="s">
        <v>741</v>
      </c>
      <c r="J399" s="237">
        <v>10560</v>
      </c>
      <c r="K399" s="175" t="s">
        <v>61</v>
      </c>
      <c r="L399" s="175" t="s">
        <v>439</v>
      </c>
      <c r="M399" s="175" t="s">
        <v>1343</v>
      </c>
      <c r="N399" s="180"/>
      <c r="O399" s="177"/>
      <c r="P399" s="181">
        <v>0</v>
      </c>
      <c r="Q399" s="177">
        <v>43228</v>
      </c>
      <c r="R399" s="178">
        <v>459.553</v>
      </c>
      <c r="S399" s="179">
        <v>80787.993688511997</v>
      </c>
      <c r="T399" s="182" t="s">
        <v>45</v>
      </c>
      <c r="U399" s="183">
        <v>3.61</v>
      </c>
      <c r="V399" s="179">
        <v>4448.4031679999998</v>
      </c>
      <c r="W399" s="179">
        <v>1390.6031557440001</v>
      </c>
      <c r="X399" s="184" t="s">
        <v>45</v>
      </c>
      <c r="Y399" s="183">
        <v>3.61</v>
      </c>
      <c r="Z399" s="220" t="s">
        <v>473</v>
      </c>
      <c r="AA399" s="172">
        <f>Delivery[[#This Row],[Quantity delivered]]*VLOOKUP(Delivery[[#This Row],[Unit]],Tab_Conversão[],4,FALSE)*VLOOKUP(CONCATENATE(Delivery[[#This Row],[Coffee specie]],Delivery[[#This Row],[Coffee state]]),Tab_Conversão[],4,FALSE)</f>
        <v>10560</v>
      </c>
      <c r="AB399" s="169">
        <f>SUMIF(Allocation!C:C,Delivery[[#This Row],[Delivery ID]],Allocation!D:D)/Delivery[[#This Row],[Quantity delivered]]</f>
        <v>1</v>
      </c>
      <c r="AC399" s="170">
        <f>Delivery[[#This Row],[Quantity delivered]]*Delivery[[#This Row],[Base price (Unidad)]]/60</f>
        <v>80881.327999999994</v>
      </c>
      <c r="AD399" s="171">
        <f>Delivery[[#This Row],[Nespresso total]]-Delivery[[#This Row],[Qt. Delivery * Base Price]]</f>
        <v>-93.334311487997184</v>
      </c>
      <c r="AE399" s="171">
        <f>Delivery[[#This Row],[AAA Premium (total)]]/Delivery[[#This Row],[Quantity delivered]]*60/Delivery[[#This Row],[Exchange rate VS USD]]</f>
        <v>7.0013900277008307</v>
      </c>
      <c r="AF399" s="171">
        <f>Delivery[[#This Row],[BEN premium (total)]]/Delivery[[#This Row],[Quantity delivered]]*60/Delivery[[#This Row],[Exchange rate for premiums VS USD]]</f>
        <v>2.1886854000000002</v>
      </c>
      <c r="AG399" s="171">
        <f>COUNTIF(Delivery[Delivery ID],Delivery[[#This Row],[Delivery ID]])</f>
        <v>1</v>
      </c>
      <c r="AH399" s="171">
        <f>(Delivery[[#This Row],[Nespresso total]]/SUMIF(Allocation!C:C,Delivery[Delivery ID],Allocation!H:H))/Delivery[[#This Row],[Exchange rate VS USD]]</f>
        <v>6.3217360508718716</v>
      </c>
      <c r="AI399" s="171">
        <f>(Delivery[[#This Row],[AAA Premium (total)]]/SUMIF(Allocation!C:C,Delivery[Delivery ID],Allocation!H:H))/Delivery[[#This Row],[Exchange rate VS USD]]</f>
        <v>0.34809170759190572</v>
      </c>
      <c r="AJ399" s="171">
        <f>Delivery[[#This Row],[Valor Prêmio Nespresso AAA por Kg (em US$)]]*60</f>
        <v>20.885502455514342</v>
      </c>
      <c r="AK399" s="171">
        <f>Delivery[[#This Row],[Valor Prêmio Nespresso AAA por saca (em US$)]]/1.3228/100</f>
        <v>0.15788858826364033</v>
      </c>
      <c r="AL399" s="171">
        <f>(Delivery[[#This Row],[BEN premium (total)]]/SUMIF(Allocation!C:C,Delivery[Delivery ID],Allocation!H:H))/Delivery[[#This Row],[Exchange rate for premiums VS USD]]</f>
        <v>0.10881599728813561</v>
      </c>
      <c r="AM399" s="171">
        <f>Delivery[[#This Row],[Valor Prêmio Nespresso BEN por Kg (em US$)]]*60</f>
        <v>6.528959837288137</v>
      </c>
      <c r="AN399" s="171">
        <f>Delivery[[#This Row],[Valor Prêmio Nespresso BEN por saca (em US$)]]/1.3228/100</f>
        <v>4.9357120027881292E-2</v>
      </c>
      <c r="AO399" s="171">
        <f>SUMIF(Allocation[Delivery ID],Delivery[[#This Row],[Delivery ID]],Allocation[Quantity allocated])*16*1.3228*Delivery[[#This Row],[Exchange rate VS USD]]/60</f>
        <v>4507.8907520000002</v>
      </c>
      <c r="AP399" s="171">
        <f>Delivery[[#This Row],[AAA Premium (total)]]</f>
        <v>4448.4031679999998</v>
      </c>
      <c r="AQ399" s="171">
        <f>Delivery[[#This Row],[Valor pago pelo Cluster]]-Delivery[[#This Row],[Valor efetivamente pago pela Nespresso]]</f>
        <v>-59.487584000000425</v>
      </c>
    </row>
    <row r="400" spans="1:43" ht="15.75">
      <c r="A400" s="174" t="s">
        <v>69</v>
      </c>
      <c r="B400" s="232" t="s">
        <v>68</v>
      </c>
      <c r="C400" s="157">
        <v>1</v>
      </c>
      <c r="D400" s="157" t="s">
        <v>468</v>
      </c>
      <c r="E400" s="177" t="s">
        <v>468</v>
      </c>
      <c r="F400" s="233" t="s">
        <v>543</v>
      </c>
      <c r="G400" s="234">
        <v>43343</v>
      </c>
      <c r="H400" s="157" t="s">
        <v>1289</v>
      </c>
      <c r="I400" s="157" t="s">
        <v>741</v>
      </c>
      <c r="J400" s="237">
        <v>1920</v>
      </c>
      <c r="K400" s="175" t="s">
        <v>61</v>
      </c>
      <c r="L400" s="175" t="s">
        <v>439</v>
      </c>
      <c r="M400" s="175" t="s">
        <v>1343</v>
      </c>
      <c r="N400" s="180"/>
      <c r="O400" s="177"/>
      <c r="P400" s="181">
        <v>0</v>
      </c>
      <c r="Q400" s="177">
        <v>43228</v>
      </c>
      <c r="R400" s="178">
        <v>459.553</v>
      </c>
      <c r="S400" s="179">
        <v>14688.726125184003</v>
      </c>
      <c r="T400" s="182" t="s">
        <v>45</v>
      </c>
      <c r="U400" s="183">
        <v>3.61</v>
      </c>
      <c r="V400" s="179">
        <v>808.80057600000009</v>
      </c>
      <c r="W400" s="179">
        <v>252.83693740799998</v>
      </c>
      <c r="X400" s="184" t="s">
        <v>45</v>
      </c>
      <c r="Y400" s="183">
        <v>3.61</v>
      </c>
      <c r="Z400" s="220" t="s">
        <v>473</v>
      </c>
      <c r="AA400" s="172">
        <f>Delivery[[#This Row],[Quantity delivered]]*VLOOKUP(Delivery[[#This Row],[Unit]],Tab_Conversão[],4,FALSE)*VLOOKUP(CONCATENATE(Delivery[[#This Row],[Coffee specie]],Delivery[[#This Row],[Coffee state]]),Tab_Conversão[],4,FALSE)</f>
        <v>1920</v>
      </c>
      <c r="AB400" s="169">
        <f>SUMIF(Allocation!C:C,Delivery[[#This Row],[Delivery ID]],Allocation!D:D)/Delivery[[#This Row],[Quantity delivered]]</f>
        <v>1</v>
      </c>
      <c r="AC400" s="170">
        <f>Delivery[[#This Row],[Quantity delivered]]*Delivery[[#This Row],[Base price (Unidad)]]/60</f>
        <v>14705.696</v>
      </c>
      <c r="AD400" s="171">
        <f>Delivery[[#This Row],[Nespresso total]]-Delivery[[#This Row],[Qt. Delivery * Base Price]]</f>
        <v>-16.969874815997173</v>
      </c>
      <c r="AE400" s="171">
        <f>Delivery[[#This Row],[AAA Premium (total)]]/Delivery[[#This Row],[Quantity delivered]]*60/Delivery[[#This Row],[Exchange rate VS USD]]</f>
        <v>7.0013900277008316</v>
      </c>
      <c r="AF400" s="171">
        <f>Delivery[[#This Row],[BEN premium (total)]]/Delivery[[#This Row],[Quantity delivered]]*60/Delivery[[#This Row],[Exchange rate for premiums VS USD]]</f>
        <v>2.1886853999999998</v>
      </c>
      <c r="AG400" s="171">
        <f>COUNTIF(Delivery[Delivery ID],Delivery[[#This Row],[Delivery ID]])</f>
        <v>1</v>
      </c>
      <c r="AH400" s="171">
        <f>(Delivery[[#This Row],[Nespresso total]]/SUMIF(Allocation!C:C,Delivery[Delivery ID],Allocation!H:H))/Delivery[[#This Row],[Exchange rate VS USD]]</f>
        <v>6.2694902983853291</v>
      </c>
      <c r="AI400" s="171">
        <f>(Delivery[[#This Row],[AAA Premium (total)]]/SUMIF(Allocation!C:C,Delivery[Delivery ID],Allocation!H:H))/Delivery[[#This Row],[Exchange rate VS USD]]</f>
        <v>0.34521491662007181</v>
      </c>
      <c r="AJ400" s="171">
        <f>Delivery[[#This Row],[Valor Prêmio Nespresso AAA por Kg (em US$)]]*60</f>
        <v>20.712894997204309</v>
      </c>
      <c r="AK400" s="171">
        <f>Delivery[[#This Row],[Valor Prêmio Nespresso AAA por saca (em US$)]]/1.3228/100</f>
        <v>0.15658372389782513</v>
      </c>
      <c r="AL400" s="171">
        <f>(Delivery[[#This Row],[BEN premium (total)]]/SUMIF(Allocation!C:C,Delivery[Delivery ID],Allocation!H:H))/Delivery[[#This Row],[Exchange rate for premiums VS USD]]</f>
        <v>0.10791669152542373</v>
      </c>
      <c r="AM400" s="171">
        <f>Delivery[[#This Row],[Valor Prêmio Nespresso BEN por Kg (em US$)]]*60</f>
        <v>6.4750014915254237</v>
      </c>
      <c r="AN400" s="171">
        <f>Delivery[[#This Row],[Valor Prêmio Nespresso BEN por saca (em US$)]]/1.3228/100</f>
        <v>4.8949209945006233E-2</v>
      </c>
      <c r="AO400" s="171">
        <f>SUMIF(Allocation[Delivery ID],Delivery[[#This Row],[Delivery ID]],Allocation[Quantity allocated])*16*1.3228*Delivery[[#This Row],[Exchange rate VS USD]]/60</f>
        <v>826.44663786666672</v>
      </c>
      <c r="AP400" s="171">
        <f>Delivery[[#This Row],[AAA Premium (total)]]</f>
        <v>808.80057600000009</v>
      </c>
      <c r="AQ400" s="171">
        <f>Delivery[[#This Row],[Valor pago pelo Cluster]]-Delivery[[#This Row],[Valor efetivamente pago pela Nespresso]]</f>
        <v>-17.646061866666628</v>
      </c>
    </row>
    <row r="401" spans="1:43" ht="15.75">
      <c r="A401" s="174" t="s">
        <v>69</v>
      </c>
      <c r="B401" s="232" t="s">
        <v>68</v>
      </c>
      <c r="C401" s="157">
        <v>1</v>
      </c>
      <c r="D401" s="157" t="s">
        <v>468</v>
      </c>
      <c r="E401" s="177" t="s">
        <v>468</v>
      </c>
      <c r="F401" s="233" t="s">
        <v>543</v>
      </c>
      <c r="G401" s="234">
        <v>43343</v>
      </c>
      <c r="H401" s="157" t="s">
        <v>1290</v>
      </c>
      <c r="I401" s="157" t="s">
        <v>741</v>
      </c>
      <c r="J401" s="237">
        <v>10000</v>
      </c>
      <c r="K401" s="175" t="s">
        <v>61</v>
      </c>
      <c r="L401" s="175" t="s">
        <v>439</v>
      </c>
      <c r="M401" s="175" t="s">
        <v>1343</v>
      </c>
      <c r="N401" s="180"/>
      <c r="O401" s="177"/>
      <c r="P401" s="181">
        <v>0</v>
      </c>
      <c r="Q401" s="177">
        <v>43228</v>
      </c>
      <c r="R401" s="178">
        <v>459.553</v>
      </c>
      <c r="S401" s="179">
        <v>76503.781901999988</v>
      </c>
      <c r="T401" s="182" t="s">
        <v>45</v>
      </c>
      <c r="U401" s="183">
        <v>3.61</v>
      </c>
      <c r="V401" s="179">
        <v>4212.5030000000006</v>
      </c>
      <c r="W401" s="179">
        <v>1316.8590489999999</v>
      </c>
      <c r="X401" s="184" t="s">
        <v>45</v>
      </c>
      <c r="Y401" s="183">
        <v>3.61</v>
      </c>
      <c r="Z401" s="220" t="s">
        <v>473</v>
      </c>
      <c r="AA401" s="172">
        <f>Delivery[[#This Row],[Quantity delivered]]*VLOOKUP(Delivery[[#This Row],[Unit]],Tab_Conversão[],4,FALSE)*VLOOKUP(CONCATENATE(Delivery[[#This Row],[Coffee specie]],Delivery[[#This Row],[Coffee state]]),Tab_Conversão[],4,FALSE)</f>
        <v>10000</v>
      </c>
      <c r="AB401" s="169">
        <f>SUMIF(Allocation!C:C,Delivery[[#This Row],[Delivery ID]],Allocation!D:D)/Delivery[[#This Row],[Quantity delivered]]</f>
        <v>1</v>
      </c>
      <c r="AC401" s="170">
        <f>Delivery[[#This Row],[Quantity delivered]]*Delivery[[#This Row],[Base price (Unidad)]]/60</f>
        <v>76592.166666666672</v>
      </c>
      <c r="AD401" s="171">
        <f>Delivery[[#This Row],[Nespresso total]]-Delivery[[#This Row],[Qt. Delivery * Base Price]]</f>
        <v>-88.384764666683623</v>
      </c>
      <c r="AE401" s="171">
        <f>Delivery[[#This Row],[AAA Premium (total)]]/Delivery[[#This Row],[Quantity delivered]]*60/Delivery[[#This Row],[Exchange rate VS USD]]</f>
        <v>7.0013900277008316</v>
      </c>
      <c r="AF401" s="171">
        <f>Delivery[[#This Row],[BEN premium (total)]]/Delivery[[#This Row],[Quantity delivered]]*60/Delivery[[#This Row],[Exchange rate for premiums VS USD]]</f>
        <v>2.1886853999999998</v>
      </c>
      <c r="AG401" s="171">
        <f>COUNTIF(Delivery[Delivery ID],Delivery[[#This Row],[Delivery ID]])</f>
        <v>1</v>
      </c>
      <c r="AH401" s="171">
        <f>(Delivery[[#This Row],[Nespresso total]]/SUMIF(Allocation!C:C,Delivery[Delivery ID],Allocation!H:H))/Delivery[[#This Row],[Exchange rate VS USD]]</f>
        <v>6.4140990775891549</v>
      </c>
      <c r="AI401" s="171">
        <f>(Delivery[[#This Row],[AAA Premium (total)]]/SUMIF(Allocation!C:C,Delivery[Delivery ID],Allocation!H:H))/Delivery[[#This Row],[Exchange rate VS USD]]</f>
        <v>0.35317746305996933</v>
      </c>
      <c r="AJ401" s="171">
        <f>Delivery[[#This Row],[Valor Prêmio Nespresso AAA por Kg (em US$)]]*60</f>
        <v>21.190647783598159</v>
      </c>
      <c r="AK401" s="171">
        <f>Delivery[[#This Row],[Valor Prêmio Nespresso AAA por saca (em US$)]]/1.3228/100</f>
        <v>0.16019540205320651</v>
      </c>
      <c r="AL401" s="171">
        <f>(Delivery[[#This Row],[BEN premium (total)]]/SUMIF(Allocation!C:C,Delivery[Delivery ID],Allocation!H:H))/Delivery[[#This Row],[Exchange rate for premiums VS USD]]</f>
        <v>0.11040584140435834</v>
      </c>
      <c r="AM401" s="171">
        <f>Delivery[[#This Row],[Valor Prêmio Nespresso BEN por Kg (em US$)]]*60</f>
        <v>6.6243504842615009</v>
      </c>
      <c r="AN401" s="171">
        <f>Delivery[[#This Row],[Valor Prêmio Nespresso BEN por saca (em US$)]]/1.3228/100</f>
        <v>5.0078246781535392E-2</v>
      </c>
      <c r="AO401" s="171">
        <f>SUMIF(Allocation[Delivery ID],Delivery[[#This Row],[Delivery ID]],Allocation[Quantity allocated])*16*1.3228*Delivery[[#This Row],[Exchange rate VS USD]]/60</f>
        <v>4207.364701866667</v>
      </c>
      <c r="AP401" s="171">
        <f>Delivery[[#This Row],[AAA Premium (total)]]</f>
        <v>4212.5030000000006</v>
      </c>
      <c r="AQ401" s="171">
        <f>Delivery[[#This Row],[Valor pago pelo Cluster]]-Delivery[[#This Row],[Valor efetivamente pago pela Nespresso]]</f>
        <v>5.138298133333592</v>
      </c>
    </row>
    <row r="402" spans="1:43" ht="15.75">
      <c r="A402" s="174" t="s">
        <v>69</v>
      </c>
      <c r="B402" s="232" t="s">
        <v>68</v>
      </c>
      <c r="C402" s="157">
        <v>1</v>
      </c>
      <c r="D402" s="157" t="s">
        <v>468</v>
      </c>
      <c r="E402" s="177" t="s">
        <v>468</v>
      </c>
      <c r="F402" s="233" t="s">
        <v>543</v>
      </c>
      <c r="G402" s="234">
        <v>43343</v>
      </c>
      <c r="H402" s="157" t="s">
        <v>1291</v>
      </c>
      <c r="I402" s="157" t="s">
        <v>741</v>
      </c>
      <c r="J402" s="237">
        <v>18000</v>
      </c>
      <c r="K402" s="175" t="s">
        <v>472</v>
      </c>
      <c r="L402" s="175" t="s">
        <v>439</v>
      </c>
      <c r="M402" s="175" t="s">
        <v>1343</v>
      </c>
      <c r="N402" s="180"/>
      <c r="O402" s="177"/>
      <c r="P402" s="181">
        <v>0</v>
      </c>
      <c r="Q402" s="177">
        <v>43228</v>
      </c>
      <c r="R402" s="178">
        <v>459.553</v>
      </c>
      <c r="S402" s="179">
        <v>137706.8074236</v>
      </c>
      <c r="T402" s="182" t="s">
        <v>45</v>
      </c>
      <c r="U402" s="183">
        <v>3.61</v>
      </c>
      <c r="V402" s="179">
        <v>7582.5054</v>
      </c>
      <c r="W402" s="179">
        <v>2370.3462881999999</v>
      </c>
      <c r="X402" s="184" t="s">
        <v>45</v>
      </c>
      <c r="Y402" s="183">
        <v>3.61</v>
      </c>
      <c r="Z402" s="220" t="s">
        <v>473</v>
      </c>
      <c r="AA402" s="172">
        <f>Delivery[[#This Row],[Quantity delivered]]*VLOOKUP(Delivery[[#This Row],[Unit]],Tab_Conversão[],4,FALSE)*VLOOKUP(CONCATENATE(Delivery[[#This Row],[Coffee specie]],Delivery[[#This Row],[Coffee state]]),Tab_Conversão[],4,FALSE)</f>
        <v>18000</v>
      </c>
      <c r="AB402" s="169">
        <f>SUMIF(Allocation!C:C,Delivery[[#This Row],[Delivery ID]],Allocation!D:D)/Delivery[[#This Row],[Quantity delivered]]</f>
        <v>1</v>
      </c>
      <c r="AC402" s="170">
        <f>Delivery[[#This Row],[Quantity delivered]]*Delivery[[#This Row],[Base price (Unidad)]]/60</f>
        <v>137865.9</v>
      </c>
      <c r="AD402" s="171">
        <f>Delivery[[#This Row],[Nespresso total]]-Delivery[[#This Row],[Qt. Delivery * Base Price]]</f>
        <v>-159.09257639999851</v>
      </c>
      <c r="AE402" s="171">
        <f>Delivery[[#This Row],[AAA Premium (total)]]/Delivery[[#This Row],[Quantity delivered]]*60/Delivery[[#This Row],[Exchange rate VS USD]]</f>
        <v>7.0013900277008316</v>
      </c>
      <c r="AF402" s="171">
        <f>Delivery[[#This Row],[BEN premium (total)]]/Delivery[[#This Row],[Quantity delivered]]*60/Delivery[[#This Row],[Exchange rate for premiums VS USD]]</f>
        <v>2.1886853999999998</v>
      </c>
      <c r="AG402" s="171">
        <f>COUNTIF(Delivery[Delivery ID],Delivery[[#This Row],[Delivery ID]])</f>
        <v>1</v>
      </c>
      <c r="AH402" s="171">
        <f>(Delivery[[#This Row],[Nespresso total]]/SUMIF(Allocation!C:C,Delivery[Delivery ID],Allocation!H:H))/Delivery[[#This Row],[Exchange rate VS USD]]</f>
        <v>6.338639088441048</v>
      </c>
      <c r="AI402" s="171">
        <f>(Delivery[[#This Row],[AAA Premium (total)]]/SUMIF(Allocation!C:C,Delivery[Delivery ID],Allocation!H:H))/Delivery[[#This Row],[Exchange rate VS USD]]</f>
        <v>0.34902243408279315</v>
      </c>
      <c r="AJ402" s="171">
        <f>Delivery[[#This Row],[Valor Prêmio Nespresso AAA por Kg (em US$)]]*60</f>
        <v>20.941346044967588</v>
      </c>
      <c r="AK402" s="171">
        <f>Delivery[[#This Row],[Valor Prêmio Nespresso AAA por saca (em US$)]]/1.3228/100</f>
        <v>0.15831075026434524</v>
      </c>
      <c r="AL402" s="171">
        <f>(Delivery[[#This Row],[BEN premium (total)]]/SUMIF(Allocation!C:C,Delivery[Delivery ID],Allocation!H:H))/Delivery[[#This Row],[Exchange rate for premiums VS USD]]</f>
        <v>0.10910694915254238</v>
      </c>
      <c r="AM402" s="171">
        <f>Delivery[[#This Row],[Valor Prêmio Nespresso BEN por Kg (em US$)]]*60</f>
        <v>6.5464169491525421</v>
      </c>
      <c r="AN402" s="171">
        <f>Delivery[[#This Row],[Valor Prêmio Nespresso BEN por saca (em US$)]]/1.3228/100</f>
        <v>4.9489090937046738E-2</v>
      </c>
      <c r="AO402" s="171">
        <f>SUMIF(Allocation[Delivery ID],Delivery[[#This Row],[Delivery ID]],Allocation[Quantity allocated])*16*1.3228*Delivery[[#This Row],[Exchange rate VS USD]]/60</f>
        <v>7663.4142783999996</v>
      </c>
      <c r="AP402" s="171">
        <f>Delivery[[#This Row],[AAA Premium (total)]]</f>
        <v>7582.5054</v>
      </c>
      <c r="AQ402" s="171">
        <f>Delivery[[#This Row],[Valor pago pelo Cluster]]-Delivery[[#This Row],[Valor efetivamente pago pela Nespresso]]</f>
        <v>-80.908878399999594</v>
      </c>
    </row>
    <row r="403" spans="1:43" ht="15.75">
      <c r="A403" s="174" t="s">
        <v>69</v>
      </c>
      <c r="B403" s="232" t="s">
        <v>68</v>
      </c>
      <c r="C403" s="157">
        <v>1</v>
      </c>
      <c r="D403" s="157" t="s">
        <v>468</v>
      </c>
      <c r="E403" s="177" t="s">
        <v>650</v>
      </c>
      <c r="F403" s="233" t="s">
        <v>543</v>
      </c>
      <c r="G403" s="234">
        <v>43343</v>
      </c>
      <c r="H403" s="157" t="s">
        <v>1292</v>
      </c>
      <c r="I403" s="157" t="s">
        <v>741</v>
      </c>
      <c r="J403" s="237">
        <v>5280</v>
      </c>
      <c r="K403" s="175" t="s">
        <v>61</v>
      </c>
      <c r="L403" s="175" t="s">
        <v>439</v>
      </c>
      <c r="M403" s="175" t="s">
        <v>1343</v>
      </c>
      <c r="N403" s="180"/>
      <c r="O403" s="177"/>
      <c r="P403" s="181">
        <v>0</v>
      </c>
      <c r="Q403" s="177">
        <v>43228</v>
      </c>
      <c r="R403" s="178">
        <v>459.553</v>
      </c>
      <c r="S403" s="179">
        <v>40393.996844255998</v>
      </c>
      <c r="T403" s="182" t="s">
        <v>45</v>
      </c>
      <c r="U403" s="183">
        <v>3.61</v>
      </c>
      <c r="V403" s="179">
        <v>2224.2015839999999</v>
      </c>
      <c r="W403" s="179">
        <v>695.30157787200005</v>
      </c>
      <c r="X403" s="184" t="s">
        <v>45</v>
      </c>
      <c r="Y403" s="183">
        <v>3.61</v>
      </c>
      <c r="Z403" s="220" t="s">
        <v>473</v>
      </c>
      <c r="AA403" s="172">
        <f>Delivery[[#This Row],[Quantity delivered]]*VLOOKUP(Delivery[[#This Row],[Unit]],Tab_Conversão[],4,FALSE)*VLOOKUP(CONCATENATE(Delivery[[#This Row],[Coffee specie]],Delivery[[#This Row],[Coffee state]]),Tab_Conversão[],4,FALSE)</f>
        <v>5280</v>
      </c>
      <c r="AB403" s="169">
        <f>SUMIF(Allocation!C:C,Delivery[[#This Row],[Delivery ID]],Allocation!D:D)/Delivery[[#This Row],[Quantity delivered]]</f>
        <v>1</v>
      </c>
      <c r="AC403" s="170">
        <f>Delivery[[#This Row],[Quantity delivered]]*Delivery[[#This Row],[Base price (Unidad)]]/60</f>
        <v>40440.663999999997</v>
      </c>
      <c r="AD403" s="171">
        <f>Delivery[[#This Row],[Nespresso total]]-Delivery[[#This Row],[Qt. Delivery * Base Price]]</f>
        <v>-46.667155743998592</v>
      </c>
      <c r="AE403" s="171">
        <f>Delivery[[#This Row],[AAA Premium (total)]]/Delivery[[#This Row],[Quantity delivered]]*60/Delivery[[#This Row],[Exchange rate VS USD]]</f>
        <v>7.0013900277008307</v>
      </c>
      <c r="AF403" s="171">
        <f>Delivery[[#This Row],[BEN premium (total)]]/Delivery[[#This Row],[Quantity delivered]]*60/Delivery[[#This Row],[Exchange rate for premiums VS USD]]</f>
        <v>2.1886854000000002</v>
      </c>
      <c r="AG403" s="171">
        <f>COUNTIF(Delivery[Delivery ID],Delivery[[#This Row],[Delivery ID]])</f>
        <v>1</v>
      </c>
      <c r="AH403" s="171">
        <f>(Delivery[[#This Row],[Nespresso total]]/SUMIF(Allocation!C:C,Delivery[Delivery ID],Allocation!H:H))/Delivery[[#This Row],[Exchange rate VS USD]]</f>
        <v>6.3217360508718716</v>
      </c>
      <c r="AI403" s="171">
        <f>(Delivery[[#This Row],[AAA Premium (total)]]/SUMIF(Allocation!C:C,Delivery[Delivery ID],Allocation!H:H))/Delivery[[#This Row],[Exchange rate VS USD]]</f>
        <v>0.34809170759190572</v>
      </c>
      <c r="AJ403" s="171">
        <f>Delivery[[#This Row],[Valor Prêmio Nespresso AAA por Kg (em US$)]]*60</f>
        <v>20.885502455514342</v>
      </c>
      <c r="AK403" s="171">
        <f>Delivery[[#This Row],[Valor Prêmio Nespresso AAA por saca (em US$)]]/1.3228/100</f>
        <v>0.15788858826364033</v>
      </c>
      <c r="AL403" s="171">
        <f>(Delivery[[#This Row],[BEN premium (total)]]/SUMIF(Allocation!C:C,Delivery[Delivery ID],Allocation!H:H))/Delivery[[#This Row],[Exchange rate for premiums VS USD]]</f>
        <v>0.10881599728813561</v>
      </c>
      <c r="AM403" s="171">
        <f>Delivery[[#This Row],[Valor Prêmio Nespresso BEN por Kg (em US$)]]*60</f>
        <v>6.528959837288137</v>
      </c>
      <c r="AN403" s="171">
        <f>Delivery[[#This Row],[Valor Prêmio Nespresso BEN por saca (em US$)]]/1.3228/100</f>
        <v>4.9357120027881292E-2</v>
      </c>
      <c r="AO403" s="171">
        <f>SUMIF(Allocation[Delivery ID],Delivery[[#This Row],[Delivery ID]],Allocation[Quantity allocated])*16*1.3228*Delivery[[#This Row],[Exchange rate VS USD]]/60</f>
        <v>2253.9453760000001</v>
      </c>
      <c r="AP403" s="171">
        <f>Delivery[[#This Row],[AAA Premium (total)]]</f>
        <v>2224.2015839999999</v>
      </c>
      <c r="AQ403" s="171">
        <f>Delivery[[#This Row],[Valor pago pelo Cluster]]-Delivery[[#This Row],[Valor efetivamente pago pela Nespresso]]</f>
        <v>-29.743792000000212</v>
      </c>
    </row>
    <row r="404" spans="1:43" ht="15.75">
      <c r="A404" s="174" t="s">
        <v>69</v>
      </c>
      <c r="B404" s="232" t="s">
        <v>68</v>
      </c>
      <c r="C404" s="157">
        <v>1</v>
      </c>
      <c r="D404" s="157" t="s">
        <v>468</v>
      </c>
      <c r="E404" s="177" t="s">
        <v>650</v>
      </c>
      <c r="F404" s="233" t="s">
        <v>543</v>
      </c>
      <c r="G404" s="234">
        <v>43343</v>
      </c>
      <c r="H404" s="157" t="s">
        <v>1293</v>
      </c>
      <c r="I404" s="157" t="s">
        <v>741</v>
      </c>
      <c r="J404" s="237">
        <v>3420</v>
      </c>
      <c r="K404" s="175" t="s">
        <v>61</v>
      </c>
      <c r="L404" s="175" t="s">
        <v>439</v>
      </c>
      <c r="M404" s="175" t="s">
        <v>1343</v>
      </c>
      <c r="N404" s="180"/>
      <c r="O404" s="177"/>
      <c r="P404" s="181">
        <v>0</v>
      </c>
      <c r="Q404" s="177">
        <v>43228</v>
      </c>
      <c r="R404" s="178">
        <v>459.553</v>
      </c>
      <c r="S404" s="179">
        <v>26164.293410484002</v>
      </c>
      <c r="T404" s="182" t="s">
        <v>45</v>
      </c>
      <c r="U404" s="183">
        <v>3.61</v>
      </c>
      <c r="V404" s="179">
        <v>1440.6760260000001</v>
      </c>
      <c r="W404" s="179">
        <v>450.36579475799999</v>
      </c>
      <c r="X404" s="184" t="s">
        <v>45</v>
      </c>
      <c r="Y404" s="183">
        <v>3.61</v>
      </c>
      <c r="Z404" s="220" t="s">
        <v>473</v>
      </c>
      <c r="AA404" s="172">
        <f>Delivery[[#This Row],[Quantity delivered]]*VLOOKUP(Delivery[[#This Row],[Unit]],Tab_Conversão[],4,FALSE)*VLOOKUP(CONCATENATE(Delivery[[#This Row],[Coffee specie]],Delivery[[#This Row],[Coffee state]]),Tab_Conversão[],4,FALSE)</f>
        <v>3420</v>
      </c>
      <c r="AB404" s="169">
        <f>SUMIF(Allocation!C:C,Delivery[[#This Row],[Delivery ID]],Allocation!D:D)/Delivery[[#This Row],[Quantity delivered]]</f>
        <v>1</v>
      </c>
      <c r="AC404" s="170">
        <f>Delivery[[#This Row],[Quantity delivered]]*Delivery[[#This Row],[Base price (Unidad)]]/60</f>
        <v>26194.521000000001</v>
      </c>
      <c r="AD404" s="171">
        <f>Delivery[[#This Row],[Nespresso total]]-Delivery[[#This Row],[Qt. Delivery * Base Price]]</f>
        <v>-30.227589515998261</v>
      </c>
      <c r="AE404" s="171">
        <f>Delivery[[#This Row],[AAA Premium (total)]]/Delivery[[#This Row],[Quantity delivered]]*60/Delivery[[#This Row],[Exchange rate VS USD]]</f>
        <v>7.0013900277008316</v>
      </c>
      <c r="AF404" s="171">
        <f>Delivery[[#This Row],[BEN premium (total)]]/Delivery[[#This Row],[Quantity delivered]]*60/Delivery[[#This Row],[Exchange rate for premiums VS USD]]</f>
        <v>2.1886854000000002</v>
      </c>
      <c r="AG404" s="171">
        <f>COUNTIF(Delivery[Delivery ID],Delivery[[#This Row],[Delivery ID]])</f>
        <v>1</v>
      </c>
      <c r="AH404" s="171">
        <f>(Delivery[[#This Row],[Nespresso total]]/SUMIF(Allocation!C:C,Delivery[Delivery ID],Allocation!H:H))/Delivery[[#This Row],[Exchange rate VS USD]]</f>
        <v>6.46541187020987</v>
      </c>
      <c r="AI404" s="171">
        <f>(Delivery[[#This Row],[AAA Premium (total)]]/SUMIF(Allocation!C:C,Delivery[Delivery ID],Allocation!H:H))/Delivery[[#This Row],[Exchange rate VS USD]]</f>
        <v>0.35600288276444902</v>
      </c>
      <c r="AJ404" s="171">
        <f>Delivery[[#This Row],[Valor Prêmio Nespresso AAA por Kg (em US$)]]*60</f>
        <v>21.360172965866941</v>
      </c>
      <c r="AK404" s="171">
        <f>Delivery[[#This Row],[Valor Prêmio Nespresso AAA por saca (em US$)]]/1.3228/100</f>
        <v>0.16147696526963215</v>
      </c>
      <c r="AL404" s="171">
        <f>(Delivery[[#This Row],[BEN premium (total)]]/SUMIF(Allocation!C:C,Delivery[Delivery ID],Allocation!H:H))/Delivery[[#This Row],[Exchange rate for premiums VS USD]]</f>
        <v>0.11128908813559323</v>
      </c>
      <c r="AM404" s="171">
        <f>Delivery[[#This Row],[Valor Prêmio Nespresso BEN por Kg (em US$)]]*60</f>
        <v>6.6773452881355935</v>
      </c>
      <c r="AN404" s="171">
        <f>Delivery[[#This Row],[Valor Prêmio Nespresso BEN por saca (em US$)]]/1.3228/100</f>
        <v>5.047887275578767E-2</v>
      </c>
      <c r="AO404" s="171">
        <f>SUMIF(Allocation[Delivery ID],Delivery[[#This Row],[Delivery ID]],Allocation[Quantity allocated])*16*1.3228*Delivery[[#This Row],[Exchange rate VS USD]]/60</f>
        <v>1427.4987381333333</v>
      </c>
      <c r="AP404" s="171">
        <f>Delivery[[#This Row],[AAA Premium (total)]]</f>
        <v>1440.6760260000001</v>
      </c>
      <c r="AQ404" s="171">
        <f>Delivery[[#This Row],[Valor pago pelo Cluster]]-Delivery[[#This Row],[Valor efetivamente pago pela Nespresso]]</f>
        <v>13.177287866666802</v>
      </c>
    </row>
    <row r="405" spans="1:43" ht="15.75">
      <c r="A405" s="174" t="s">
        <v>69</v>
      </c>
      <c r="B405" s="232" t="s">
        <v>68</v>
      </c>
      <c r="C405" s="157">
        <v>1</v>
      </c>
      <c r="D405" s="157" t="s">
        <v>468</v>
      </c>
      <c r="E405" s="177" t="s">
        <v>650</v>
      </c>
      <c r="F405" s="233" t="s">
        <v>543</v>
      </c>
      <c r="G405" s="234">
        <v>43343</v>
      </c>
      <c r="H405" s="157" t="s">
        <v>1294</v>
      </c>
      <c r="I405" s="157" t="s">
        <v>741</v>
      </c>
      <c r="J405" s="237">
        <v>4020</v>
      </c>
      <c r="K405" s="175" t="s">
        <v>61</v>
      </c>
      <c r="L405" s="175" t="s">
        <v>439</v>
      </c>
      <c r="M405" s="175" t="s">
        <v>1343</v>
      </c>
      <c r="N405" s="180"/>
      <c r="O405" s="177"/>
      <c r="P405" s="181">
        <v>0</v>
      </c>
      <c r="Q405" s="177">
        <v>43228</v>
      </c>
      <c r="R405" s="178">
        <v>459.553</v>
      </c>
      <c r="S405" s="179">
        <v>30754.520324604004</v>
      </c>
      <c r="T405" s="182" t="s">
        <v>45</v>
      </c>
      <c r="U405" s="183">
        <v>3.61</v>
      </c>
      <c r="V405" s="179">
        <v>1693.4262060000001</v>
      </c>
      <c r="W405" s="179">
        <v>529.37733769800002</v>
      </c>
      <c r="X405" s="184" t="s">
        <v>45</v>
      </c>
      <c r="Y405" s="183">
        <v>3.61</v>
      </c>
      <c r="Z405" s="220" t="s">
        <v>473</v>
      </c>
      <c r="AA405" s="172">
        <f>Delivery[[#This Row],[Quantity delivered]]*VLOOKUP(Delivery[[#This Row],[Unit]],Tab_Conversão[],4,FALSE)*VLOOKUP(CONCATENATE(Delivery[[#This Row],[Coffee specie]],Delivery[[#This Row],[Coffee state]]),Tab_Conversão[],4,FALSE)</f>
        <v>4020</v>
      </c>
      <c r="AB405" s="169">
        <f>SUMIF(Allocation!C:C,Delivery[[#This Row],[Delivery ID]],Allocation!D:D)/Delivery[[#This Row],[Quantity delivered]]</f>
        <v>1</v>
      </c>
      <c r="AC405" s="170">
        <f>Delivery[[#This Row],[Quantity delivered]]*Delivery[[#This Row],[Base price (Unidad)]]/60</f>
        <v>30790.050999999999</v>
      </c>
      <c r="AD405" s="171">
        <f>Delivery[[#This Row],[Nespresso total]]-Delivery[[#This Row],[Qt. Delivery * Base Price]]</f>
        <v>-35.530675395995786</v>
      </c>
      <c r="AE405" s="171">
        <f>Delivery[[#This Row],[AAA Premium (total)]]/Delivery[[#This Row],[Quantity delivered]]*60/Delivery[[#This Row],[Exchange rate VS USD]]</f>
        <v>7.0013900277008316</v>
      </c>
      <c r="AF405" s="171">
        <f>Delivery[[#This Row],[BEN premium (total)]]/Delivery[[#This Row],[Quantity delivered]]*60/Delivery[[#This Row],[Exchange rate for premiums VS USD]]</f>
        <v>2.1886854000000002</v>
      </c>
      <c r="AG405" s="171">
        <f>COUNTIF(Delivery[Delivery ID],Delivery[[#This Row],[Delivery ID]])</f>
        <v>1</v>
      </c>
      <c r="AH405" s="171">
        <f>(Delivery[[#This Row],[Nespresso total]]/SUMIF(Allocation!C:C,Delivery[Delivery ID],Allocation!H:H))/Delivery[[#This Row],[Exchange rate VS USD]]</f>
        <v>6.2780086275950913</v>
      </c>
      <c r="AI405" s="171">
        <f>(Delivery[[#This Row],[AAA Premium (total)]]/SUMIF(Allocation!C:C,Delivery[Delivery ID],Allocation!H:H))/Delivery[[#This Row],[Exchange rate VS USD]]</f>
        <v>0.3456839586263491</v>
      </c>
      <c r="AJ405" s="171">
        <f>Delivery[[#This Row],[Valor Prêmio Nespresso AAA por Kg (em US$)]]*60</f>
        <v>20.741037517580946</v>
      </c>
      <c r="AK405" s="171">
        <f>Delivery[[#This Row],[Valor Prêmio Nespresso AAA por saca (em US$)]]/1.3228/100</f>
        <v>0.1567964735226863</v>
      </c>
      <c r="AL405" s="171">
        <f>(Delivery[[#This Row],[BEN premium (total)]]/SUMIF(Allocation!C:C,Delivery[Delivery ID],Allocation!H:H))/Delivery[[#This Row],[Exchange rate for premiums VS USD]]</f>
        <v>0.10806331746499631</v>
      </c>
      <c r="AM405" s="171">
        <f>Delivery[[#This Row],[Valor Prêmio Nespresso BEN por Kg (em US$)]]*60</f>
        <v>6.4837990478997787</v>
      </c>
      <c r="AN405" s="171">
        <f>Delivery[[#This Row],[Valor Prêmio Nespresso BEN por saca (em US$)]]/1.3228/100</f>
        <v>4.9015717023735854E-2</v>
      </c>
      <c r="AO405" s="171">
        <f>SUMIF(Allocation[Delivery ID],Delivery[[#This Row],[Delivery ID]],Allocation[Quantity allocated])*16*1.3228*Delivery[[#This Row],[Exchange rate VS USD]]/60</f>
        <v>1728.0247882666667</v>
      </c>
      <c r="AP405" s="171">
        <f>Delivery[[#This Row],[AAA Premium (total)]]</f>
        <v>1693.4262060000001</v>
      </c>
      <c r="AQ405" s="171">
        <f>Delivery[[#This Row],[Valor pago pelo Cluster]]-Delivery[[#This Row],[Valor efetivamente pago pela Nespresso]]</f>
        <v>-34.598582266666654</v>
      </c>
    </row>
    <row r="406" spans="1:43" ht="15.75">
      <c r="A406" s="174" t="s">
        <v>69</v>
      </c>
      <c r="B406" s="232" t="s">
        <v>68</v>
      </c>
      <c r="C406" s="157" t="s">
        <v>1344</v>
      </c>
      <c r="D406" s="157" t="s">
        <v>468</v>
      </c>
      <c r="E406" s="177" t="s">
        <v>650</v>
      </c>
      <c r="F406" s="233" t="s">
        <v>543</v>
      </c>
      <c r="G406" s="234">
        <v>43376</v>
      </c>
      <c r="H406" s="235" t="s">
        <v>1553</v>
      </c>
      <c r="I406" s="157" t="s">
        <v>1554</v>
      </c>
      <c r="J406" s="237">
        <v>670</v>
      </c>
      <c r="K406" s="175" t="s">
        <v>61</v>
      </c>
      <c r="L406" s="175" t="s">
        <v>439</v>
      </c>
      <c r="M406" s="175" t="s">
        <v>1343</v>
      </c>
      <c r="N406" s="180"/>
      <c r="O406" s="177"/>
      <c r="P406" s="181">
        <v>0</v>
      </c>
      <c r="Q406" s="177">
        <v>43370</v>
      </c>
      <c r="R406" s="178">
        <v>394.28606500000001</v>
      </c>
      <c r="S406" s="179">
        <v>4381.5766666666668</v>
      </c>
      <c r="T406" s="182" t="s">
        <v>45</v>
      </c>
      <c r="U406" s="183">
        <v>3.9847000000000001</v>
      </c>
      <c r="V406" s="179">
        <v>444.95816666666667</v>
      </c>
      <c r="W406" s="179">
        <v>0</v>
      </c>
      <c r="X406" s="184" t="s">
        <v>45</v>
      </c>
      <c r="Y406" s="183">
        <v>3.9847000000000001</v>
      </c>
      <c r="Z406" s="220"/>
      <c r="AA406" s="172">
        <f>Delivery[[#This Row],[Quantity delivered]]*VLOOKUP(Delivery[[#This Row],[Unit]],Tab_Conversão[],4,FALSE)*VLOOKUP(CONCATENATE(Delivery[[#This Row],[Coffee specie]],Delivery[[#This Row],[Coffee state]]),Tab_Conversão[],4,FALSE)</f>
        <v>670</v>
      </c>
      <c r="AB406" s="169">
        <f>SUMIF(Allocation!C:C,Delivery[[#This Row],[Delivery ID]],Allocation!D:D)/Delivery[[#This Row],[Quantity delivered]]</f>
        <v>0.5208955223880597</v>
      </c>
      <c r="AC406" s="170">
        <f>Delivery[[#This Row],[Quantity delivered]]*Delivery[[#This Row],[Base price (Unidad)]]/60</f>
        <v>4402.8610591666666</v>
      </c>
      <c r="AD406" s="171">
        <f>Delivery[[#This Row],[Nespresso total]]-Delivery[[#This Row],[Qt. Delivery * Base Price]]</f>
        <v>-21.28439249999974</v>
      </c>
      <c r="AE406" s="171">
        <f>Delivery[[#This Row],[AAA Premium (total)]]/Delivery[[#This Row],[Quantity delivered]]*60/Delivery[[#This Row],[Exchange rate VS USD]]</f>
        <v>10</v>
      </c>
      <c r="AF406" s="171">
        <f>Delivery[[#This Row],[BEN premium (total)]]/Delivery[[#This Row],[Quantity delivered]]*60/Delivery[[#This Row],[Exchange rate for premiums VS USD]]</f>
        <v>0</v>
      </c>
      <c r="AG406" s="171">
        <f>COUNTIF(Delivery[Delivery ID],Delivery[[#This Row],[Delivery ID]])</f>
        <v>1</v>
      </c>
      <c r="AH406" s="171">
        <f>(Delivery[[#This Row],[Nespresso total]]/SUMIF(Allocation!C:C,Delivery[Delivery ID],Allocation!H:H))/Delivery[[#This Row],[Exchange rate VS USD]]</f>
        <v>7.0038225298816803</v>
      </c>
      <c r="AI406" s="171">
        <f>(Delivery[[#This Row],[AAA Premium (total)]]/SUMIF(Allocation!C:C,Delivery[Delivery ID],Allocation!H:H))/Delivery[[#This Row],[Exchange rate VS USD]]</f>
        <v>0.71125265392781312</v>
      </c>
      <c r="AJ406" s="171">
        <f>Delivery[[#This Row],[Valor Prêmio Nespresso AAA por Kg (em US$)]]*60</f>
        <v>42.675159235668787</v>
      </c>
      <c r="AK406" s="171">
        <f>Delivery[[#This Row],[Valor Prêmio Nespresso AAA por saca (em US$)]]/1.3228/100</f>
        <v>0.32261233168784992</v>
      </c>
      <c r="AL406" s="171">
        <f>(Delivery[[#This Row],[BEN premium (total)]]/SUMIF(Allocation!C:C,Delivery[Delivery ID],Allocation!H:H))/Delivery[[#This Row],[Exchange rate for premiums VS USD]]</f>
        <v>0</v>
      </c>
      <c r="AM406" s="171">
        <f>Delivery[[#This Row],[Valor Prêmio Nespresso BEN por Kg (em US$)]]*60</f>
        <v>0</v>
      </c>
      <c r="AN406" s="171">
        <f>Delivery[[#This Row],[Valor Prêmio Nespresso BEN por saca (em US$)]]/1.3228/100</f>
        <v>0</v>
      </c>
      <c r="AO406" s="171">
        <f>SUMIF(Allocation[Delivery ID],Delivery[[#This Row],[Delivery ID]],Allocation[Quantity allocated])*16*1.3228*Delivery[[#This Row],[Exchange rate VS USD]]/60</f>
        <v>220.67757389866668</v>
      </c>
      <c r="AP406" s="171">
        <f>Delivery[[#This Row],[AAA Premium (total)]]</f>
        <v>444.95816666666667</v>
      </c>
      <c r="AQ406" s="171">
        <f>Delivery[[#This Row],[Valor pago pelo Cluster]]-Delivery[[#This Row],[Valor efetivamente pago pela Nespresso]]</f>
        <v>224.28059276799999</v>
      </c>
    </row>
    <row r="407" spans="1:43" ht="15.75">
      <c r="A407" s="174" t="s">
        <v>69</v>
      </c>
      <c r="B407" s="232" t="s">
        <v>68</v>
      </c>
      <c r="C407" s="157" t="s">
        <v>1344</v>
      </c>
      <c r="D407" s="157" t="s">
        <v>468</v>
      </c>
      <c r="E407" s="177" t="s">
        <v>650</v>
      </c>
      <c r="F407" s="233" t="s">
        <v>543</v>
      </c>
      <c r="G407" s="234">
        <v>43376</v>
      </c>
      <c r="H407" s="235" t="s">
        <v>1555</v>
      </c>
      <c r="I407" s="157" t="s">
        <v>1554</v>
      </c>
      <c r="J407" s="237">
        <v>15000</v>
      </c>
      <c r="K407" s="175" t="s">
        <v>61</v>
      </c>
      <c r="L407" s="175" t="s">
        <v>439</v>
      </c>
      <c r="M407" s="175" t="s">
        <v>1343</v>
      </c>
      <c r="N407" s="180"/>
      <c r="O407" s="177"/>
      <c r="P407" s="181">
        <v>0</v>
      </c>
      <c r="Q407" s="177">
        <v>43370</v>
      </c>
      <c r="R407" s="178">
        <v>394.28606500000001</v>
      </c>
      <c r="S407" s="179">
        <v>98095</v>
      </c>
      <c r="T407" s="182" t="s">
        <v>45</v>
      </c>
      <c r="U407" s="183">
        <v>3.9847000000000001</v>
      </c>
      <c r="V407" s="179">
        <v>9961.75</v>
      </c>
      <c r="W407" s="179">
        <v>0</v>
      </c>
      <c r="X407" s="184" t="s">
        <v>45</v>
      </c>
      <c r="Y407" s="183">
        <v>3.9847000000000001</v>
      </c>
      <c r="Z407" s="220"/>
      <c r="AA407" s="172">
        <f>Delivery[[#This Row],[Quantity delivered]]*VLOOKUP(Delivery[[#This Row],[Unit]],Tab_Conversão[],4,FALSE)*VLOOKUP(CONCATENATE(Delivery[[#This Row],[Coffee specie]],Delivery[[#This Row],[Coffee state]]),Tab_Conversão[],4,FALSE)</f>
        <v>15000</v>
      </c>
      <c r="AB407" s="169">
        <f>SUMIF(Allocation!C:C,Delivery[[#This Row],[Delivery ID]],Allocation!D:D)/Delivery[[#This Row],[Quantity delivered]]</f>
        <v>0.52726666666666666</v>
      </c>
      <c r="AC407" s="170">
        <f>Delivery[[#This Row],[Quantity delivered]]*Delivery[[#This Row],[Base price (Unidad)]]/60</f>
        <v>98571.516250000015</v>
      </c>
      <c r="AD407" s="171">
        <f>Delivery[[#This Row],[Nespresso total]]-Delivery[[#This Row],[Qt. Delivery * Base Price]]</f>
        <v>-476.51625000001513</v>
      </c>
      <c r="AE407" s="171">
        <f>Delivery[[#This Row],[AAA Premium (total)]]/Delivery[[#This Row],[Quantity delivered]]*60/Delivery[[#This Row],[Exchange rate VS USD]]</f>
        <v>10</v>
      </c>
      <c r="AF407" s="171">
        <f>Delivery[[#This Row],[BEN premium (total)]]/Delivery[[#This Row],[Quantity delivered]]*60/Delivery[[#This Row],[Exchange rate for premiums VS USD]]</f>
        <v>0</v>
      </c>
      <c r="AG407" s="171">
        <f>COUNTIF(Delivery[Delivery ID],Delivery[[#This Row],[Delivery ID]])</f>
        <v>1</v>
      </c>
      <c r="AH407" s="171">
        <f>(Delivery[[#This Row],[Nespresso total]]/SUMIF(Allocation!C:C,Delivery[Delivery ID],Allocation!H:H))/Delivery[[#This Row],[Exchange rate VS USD]]</f>
        <v>6.9170872490056139</v>
      </c>
      <c r="AI407" s="171">
        <f>(Delivery[[#This Row],[AAA Premium (total)]]/SUMIF(Allocation!C:C,Delivery[Delivery ID],Allocation!H:H))/Delivery[[#This Row],[Exchange rate VS USD]]</f>
        <v>0.7024445068839561</v>
      </c>
      <c r="AJ407" s="171">
        <f>Delivery[[#This Row],[Valor Prêmio Nespresso AAA por Kg (em US$)]]*60</f>
        <v>42.146670413037363</v>
      </c>
      <c r="AK407" s="171">
        <f>Delivery[[#This Row],[Valor Prêmio Nespresso AAA por saca (em US$)]]/1.3228/100</f>
        <v>0.31861710321316422</v>
      </c>
      <c r="AL407" s="171">
        <f>(Delivery[[#This Row],[BEN premium (total)]]/SUMIF(Allocation!C:C,Delivery[Delivery ID],Allocation!H:H))/Delivery[[#This Row],[Exchange rate for premiums VS USD]]</f>
        <v>0</v>
      </c>
      <c r="AM407" s="171">
        <f>Delivery[[#This Row],[Valor Prêmio Nespresso BEN por Kg (em US$)]]*60</f>
        <v>0</v>
      </c>
      <c r="AN407" s="171">
        <f>Delivery[[#This Row],[Valor Prêmio Nespresso BEN por saca (em US$)]]/1.3228/100</f>
        <v>0</v>
      </c>
      <c r="AO407" s="171">
        <f>SUMIF(Allocation[Delivery ID],Delivery[[#This Row],[Delivery ID]],Allocation[Quantity allocated])*16*1.3228*Delivery[[#This Row],[Exchange rate VS USD]]/60</f>
        <v>5002.4935382506665</v>
      </c>
      <c r="AP407" s="171">
        <f>Delivery[[#This Row],[AAA Premium (total)]]</f>
        <v>9961.75</v>
      </c>
      <c r="AQ407" s="171">
        <f>Delivery[[#This Row],[Valor pago pelo Cluster]]-Delivery[[#This Row],[Valor efetivamente pago pela Nespresso]]</f>
        <v>4959.2564617493335</v>
      </c>
    </row>
    <row r="408" spans="1:43" ht="15.75">
      <c r="A408" s="174" t="s">
        <v>69</v>
      </c>
      <c r="B408" s="232" t="s">
        <v>68</v>
      </c>
      <c r="C408" s="157" t="s">
        <v>1344</v>
      </c>
      <c r="D408" s="157" t="s">
        <v>468</v>
      </c>
      <c r="E408" s="177" t="s">
        <v>650</v>
      </c>
      <c r="F408" s="233" t="s">
        <v>543</v>
      </c>
      <c r="G408" s="234">
        <v>43376</v>
      </c>
      <c r="H408" s="235" t="s">
        <v>1556</v>
      </c>
      <c r="I408" s="157" t="s">
        <v>1554</v>
      </c>
      <c r="J408" s="237">
        <v>1220</v>
      </c>
      <c r="K408" s="175" t="s">
        <v>61</v>
      </c>
      <c r="L408" s="175" t="s">
        <v>439</v>
      </c>
      <c r="M408" s="175" t="s">
        <v>1343</v>
      </c>
      <c r="N408" s="180"/>
      <c r="O408" s="177"/>
      <c r="P408" s="181">
        <v>0</v>
      </c>
      <c r="Q408" s="177">
        <v>43370</v>
      </c>
      <c r="R408" s="178">
        <v>394.28606500000001</v>
      </c>
      <c r="S408" s="179">
        <v>7977.0933333333323</v>
      </c>
      <c r="T408" s="182" t="s">
        <v>45</v>
      </c>
      <c r="U408" s="183">
        <v>3.9847000000000001</v>
      </c>
      <c r="V408" s="179">
        <v>810.22233333333338</v>
      </c>
      <c r="W408" s="179">
        <v>0</v>
      </c>
      <c r="X408" s="184" t="s">
        <v>45</v>
      </c>
      <c r="Y408" s="183">
        <v>3.9847000000000001</v>
      </c>
      <c r="Z408" s="220"/>
      <c r="AA408" s="172">
        <f>Delivery[[#This Row],[Quantity delivered]]*VLOOKUP(Delivery[[#This Row],[Unit]],Tab_Conversão[],4,FALSE)*VLOOKUP(CONCATENATE(Delivery[[#This Row],[Coffee specie]],Delivery[[#This Row],[Coffee state]]),Tab_Conversão[],4,FALSE)</f>
        <v>1220</v>
      </c>
      <c r="AB408" s="169">
        <f>SUMIF(Allocation!C:C,Delivery[[#This Row],[Delivery ID]],Allocation!D:D)/Delivery[[#This Row],[Quantity delivered]]</f>
        <v>0.51885245901639343</v>
      </c>
      <c r="AC408" s="170">
        <f>Delivery[[#This Row],[Quantity delivered]]*Delivery[[#This Row],[Base price (Unidad)]]/60</f>
        <v>8017.1499883333336</v>
      </c>
      <c r="AD408" s="171">
        <f>Delivery[[#This Row],[Nespresso total]]-Delivery[[#This Row],[Qt. Delivery * Base Price]]</f>
        <v>-40.056655000001228</v>
      </c>
      <c r="AE408" s="171">
        <f>Delivery[[#This Row],[AAA Premium (total)]]/Delivery[[#This Row],[Quantity delivered]]*60/Delivery[[#This Row],[Exchange rate VS USD]]</f>
        <v>10</v>
      </c>
      <c r="AF408" s="171">
        <f>Delivery[[#This Row],[BEN premium (total)]]/Delivery[[#This Row],[Quantity delivered]]*60/Delivery[[#This Row],[Exchange rate for premiums VS USD]]</f>
        <v>0</v>
      </c>
      <c r="AG408" s="171">
        <f>COUNTIF(Delivery[Delivery ID],Delivery[[#This Row],[Delivery ID]])</f>
        <v>1</v>
      </c>
      <c r="AH408" s="171">
        <f>(Delivery[[#This Row],[Nespresso total]]/SUMIF(Allocation!C:C,Delivery[Delivery ID],Allocation!H:H))/Delivery[[#This Row],[Exchange rate VS USD]]</f>
        <v>7.0243183099331539</v>
      </c>
      <c r="AI408" s="171">
        <f>(Delivery[[#This Row],[AAA Premium (total)]]/SUMIF(Allocation!C:C,Delivery[Delivery ID],Allocation!H:H))/Delivery[[#This Row],[Exchange rate VS USD]]</f>
        <v>0.71345029239766078</v>
      </c>
      <c r="AJ408" s="171">
        <f>Delivery[[#This Row],[Valor Prêmio Nespresso AAA por Kg (em US$)]]*60</f>
        <v>42.807017543859644</v>
      </c>
      <c r="AK408" s="171">
        <f>Delivery[[#This Row],[Valor Prêmio Nespresso AAA por saca (em US$)]]/1.3228/100</f>
        <v>0.32360914381508649</v>
      </c>
      <c r="AL408" s="171">
        <f>(Delivery[[#This Row],[BEN premium (total)]]/SUMIF(Allocation!C:C,Delivery[Delivery ID],Allocation!H:H))/Delivery[[#This Row],[Exchange rate for premiums VS USD]]</f>
        <v>0</v>
      </c>
      <c r="AM408" s="171">
        <f>Delivery[[#This Row],[Valor Prêmio Nespresso BEN por Kg (em US$)]]*60</f>
        <v>0</v>
      </c>
      <c r="AN408" s="171">
        <f>Delivery[[#This Row],[Valor Prêmio Nespresso BEN por saca (em US$)]]/1.3228/100</f>
        <v>0</v>
      </c>
      <c r="AO408" s="171">
        <f>SUMIF(Allocation[Delivery ID],Delivery[[#This Row],[Delivery ID]],Allocation[Quantity allocated])*16*1.3228*Delivery[[#This Row],[Exchange rate VS USD]]/60</f>
        <v>400.59304815999997</v>
      </c>
      <c r="AP408" s="171">
        <f>Delivery[[#This Row],[AAA Premium (total)]]</f>
        <v>810.22233333333338</v>
      </c>
      <c r="AQ408" s="171">
        <f>Delivery[[#This Row],[Valor pago pelo Cluster]]-Delivery[[#This Row],[Valor efetivamente pago pela Nespresso]]</f>
        <v>409.62928517333341</v>
      </c>
    </row>
    <row r="409" spans="1:43" ht="15.75">
      <c r="A409" s="174" t="s">
        <v>69</v>
      </c>
      <c r="B409" s="232" t="s">
        <v>68</v>
      </c>
      <c r="C409" s="157" t="s">
        <v>1344</v>
      </c>
      <c r="D409" s="157" t="s">
        <v>468</v>
      </c>
      <c r="E409" s="177" t="s">
        <v>650</v>
      </c>
      <c r="F409" s="233" t="s">
        <v>543</v>
      </c>
      <c r="G409" s="234">
        <v>43378</v>
      </c>
      <c r="H409" s="235" t="s">
        <v>1557</v>
      </c>
      <c r="I409" s="157" t="s">
        <v>986</v>
      </c>
      <c r="J409" s="237">
        <v>16950</v>
      </c>
      <c r="K409" s="175" t="s">
        <v>61</v>
      </c>
      <c r="L409" s="175" t="s">
        <v>439</v>
      </c>
      <c r="M409" s="175" t="s">
        <v>1343</v>
      </c>
      <c r="N409" s="180"/>
      <c r="O409" s="177"/>
      <c r="P409" s="181">
        <v>0</v>
      </c>
      <c r="Q409" s="177">
        <v>43371</v>
      </c>
      <c r="R409" s="178">
        <v>414.12339000000003</v>
      </c>
      <c r="S409" s="179">
        <v>118936.84999999999</v>
      </c>
      <c r="T409" s="182" t="s">
        <v>45</v>
      </c>
      <c r="U409" s="183">
        <v>4.0422000000000002</v>
      </c>
      <c r="V409" s="179">
        <v>7993.4504999999999</v>
      </c>
      <c r="W409" s="179">
        <v>0</v>
      </c>
      <c r="X409" s="184" t="s">
        <v>45</v>
      </c>
      <c r="Y409" s="183">
        <v>4.0422000000000002</v>
      </c>
      <c r="Z409" s="220"/>
      <c r="AA409" s="172">
        <f>Delivery[[#This Row],[Quantity delivered]]*VLOOKUP(Delivery[[#This Row],[Unit]],Tab_Conversão[],4,FALSE)*VLOOKUP(CONCATENATE(Delivery[[#This Row],[Coffee specie]],Delivery[[#This Row],[Coffee state]]),Tab_Conversão[],4,FALSE)</f>
        <v>16950</v>
      </c>
      <c r="AB409" s="169">
        <f>SUMIF(Allocation!C:C,Delivery[[#This Row],[Delivery ID]],Allocation!D:D)/Delivery[[#This Row],[Quantity delivered]]</f>
        <v>0.92365781710914452</v>
      </c>
      <c r="AC409" s="170">
        <f>Delivery[[#This Row],[Quantity delivered]]*Delivery[[#This Row],[Base price (Unidad)]]/60</f>
        <v>116989.85767500001</v>
      </c>
      <c r="AD409" s="171">
        <f>Delivery[[#This Row],[Nespresso total]]-Delivery[[#This Row],[Qt. Delivery * Base Price]]</f>
        <v>1946.9923249999847</v>
      </c>
      <c r="AE409" s="171">
        <f>Delivery[[#This Row],[AAA Premium (total)]]/Delivery[[#This Row],[Quantity delivered]]*60/Delivery[[#This Row],[Exchange rate VS USD]]</f>
        <v>7</v>
      </c>
      <c r="AF409" s="171">
        <f>Delivery[[#This Row],[BEN premium (total)]]/Delivery[[#This Row],[Quantity delivered]]*60/Delivery[[#This Row],[Exchange rate for premiums VS USD]]</f>
        <v>0</v>
      </c>
      <c r="AG409" s="171">
        <f>COUNTIF(Delivery[Delivery ID],Delivery[[#This Row],[Delivery ID]])</f>
        <v>1</v>
      </c>
      <c r="AH409" s="171">
        <f>(Delivery[[#This Row],[Nespresso total]]/SUMIF(Allocation!C:C,Delivery[Delivery ID],Allocation!H:H))/Delivery[[#This Row],[Exchange rate VS USD]]</f>
        <v>6.2643797103850094</v>
      </c>
      <c r="AI409" s="171">
        <f>(Delivery[[#This Row],[AAA Premium (total)]]/SUMIF(Allocation!C:C,Delivery[Delivery ID],Allocation!H:H))/Delivery[[#This Row],[Exchange rate VS USD]]</f>
        <v>0.42101341281669147</v>
      </c>
      <c r="AJ409" s="171">
        <f>Delivery[[#This Row],[Valor Prêmio Nespresso AAA por Kg (em US$)]]*60</f>
        <v>25.260804769001489</v>
      </c>
      <c r="AK409" s="171">
        <f>Delivery[[#This Row],[Valor Prêmio Nespresso AAA por saca (em US$)]]/1.3228/100</f>
        <v>0.19096465655429007</v>
      </c>
      <c r="AL409" s="171">
        <f>(Delivery[[#This Row],[BEN premium (total)]]/SUMIF(Allocation!C:C,Delivery[Delivery ID],Allocation!H:H))/Delivery[[#This Row],[Exchange rate for premiums VS USD]]</f>
        <v>0</v>
      </c>
      <c r="AM409" s="171">
        <f>Delivery[[#This Row],[Valor Prêmio Nespresso BEN por Kg (em US$)]]*60</f>
        <v>0</v>
      </c>
      <c r="AN409" s="171">
        <f>Delivery[[#This Row],[Valor Prêmio Nespresso BEN por saca (em US$)]]/1.3228/100</f>
        <v>0</v>
      </c>
      <c r="AO409" s="171">
        <f>SUMIF(Allocation[Delivery ID],Delivery[[#This Row],[Delivery ID]],Allocation[Quantity allocated])*16*1.3228*Delivery[[#This Row],[Exchange rate VS USD]]/60</f>
        <v>6697.3234894719999</v>
      </c>
      <c r="AP409" s="171">
        <f>Delivery[[#This Row],[AAA Premium (total)]]</f>
        <v>7993.4504999999999</v>
      </c>
      <c r="AQ409" s="171">
        <f>Delivery[[#This Row],[Valor pago pelo Cluster]]-Delivery[[#This Row],[Valor efetivamente pago pela Nespresso]]</f>
        <v>1296.127010528</v>
      </c>
    </row>
    <row r="410" spans="1:43" ht="15.75">
      <c r="A410" s="174" t="s">
        <v>69</v>
      </c>
      <c r="B410" s="232" t="s">
        <v>68</v>
      </c>
      <c r="C410" s="157" t="s">
        <v>1344</v>
      </c>
      <c r="D410" s="157" t="s">
        <v>468</v>
      </c>
      <c r="E410" s="177" t="s">
        <v>650</v>
      </c>
      <c r="F410" s="233" t="s">
        <v>543</v>
      </c>
      <c r="G410" s="234">
        <v>43378</v>
      </c>
      <c r="H410" s="235" t="s">
        <v>1558</v>
      </c>
      <c r="I410" s="157" t="s">
        <v>986</v>
      </c>
      <c r="J410" s="237">
        <v>21370</v>
      </c>
      <c r="K410" s="175" t="s">
        <v>61</v>
      </c>
      <c r="L410" s="175" t="s">
        <v>439</v>
      </c>
      <c r="M410" s="175" t="s">
        <v>1343</v>
      </c>
      <c r="N410" s="180"/>
      <c r="O410" s="177"/>
      <c r="P410" s="181">
        <v>0</v>
      </c>
      <c r="Q410" s="177">
        <v>43371</v>
      </c>
      <c r="R410" s="178">
        <v>414.12339000000003</v>
      </c>
      <c r="S410" s="179">
        <v>149951.99</v>
      </c>
      <c r="T410" s="182" t="s">
        <v>45</v>
      </c>
      <c r="U410" s="183">
        <v>4.0422000000000002</v>
      </c>
      <c r="V410" s="179">
        <v>10077.8783</v>
      </c>
      <c r="W410" s="179">
        <v>0</v>
      </c>
      <c r="X410" s="184" t="s">
        <v>45</v>
      </c>
      <c r="Y410" s="183">
        <v>4.0422000000000002</v>
      </c>
      <c r="Z410" s="220"/>
      <c r="AA410" s="172">
        <f>Delivery[[#This Row],[Quantity delivered]]*VLOOKUP(Delivery[[#This Row],[Unit]],Tab_Conversão[],4,FALSE)*VLOOKUP(CONCATENATE(Delivery[[#This Row],[Coffee specie]],Delivery[[#This Row],[Coffee state]]),Tab_Conversão[],4,FALSE)</f>
        <v>21370</v>
      </c>
      <c r="AB410" s="169">
        <f>SUMIF(Allocation!C:C,Delivery[[#This Row],[Delivery ID]],Allocation!D:D)/Delivery[[#This Row],[Quantity delivered]]</f>
        <v>0.7870846981750117</v>
      </c>
      <c r="AC410" s="170">
        <f>Delivery[[#This Row],[Quantity delivered]]*Delivery[[#This Row],[Base price (Unidad)]]/60</f>
        <v>147496.94740500001</v>
      </c>
      <c r="AD410" s="171">
        <f>Delivery[[#This Row],[Nespresso total]]-Delivery[[#This Row],[Qt. Delivery * Base Price]]</f>
        <v>2455.0425949999772</v>
      </c>
      <c r="AE410" s="171">
        <f>Delivery[[#This Row],[AAA Premium (total)]]/Delivery[[#This Row],[Quantity delivered]]*60/Delivery[[#This Row],[Exchange rate VS USD]]</f>
        <v>7</v>
      </c>
      <c r="AF410" s="171">
        <f>Delivery[[#This Row],[BEN premium (total)]]/Delivery[[#This Row],[Quantity delivered]]*60/Delivery[[#This Row],[Exchange rate for premiums VS USD]]</f>
        <v>0</v>
      </c>
      <c r="AG410" s="171">
        <f>COUNTIF(Delivery[Delivery ID],Delivery[[#This Row],[Delivery ID]])</f>
        <v>1</v>
      </c>
      <c r="AH410" s="171">
        <f>(Delivery[[#This Row],[Nespresso total]]/SUMIF(Allocation!C:C,Delivery[Delivery ID],Allocation!H:H))/Delivery[[#This Row],[Exchange rate VS USD]]</f>
        <v>7.3516900661556051</v>
      </c>
      <c r="AI410" s="171">
        <f>(Delivery[[#This Row],[AAA Premium (total)]]/SUMIF(Allocation!C:C,Delivery[Delivery ID],Allocation!H:H))/Delivery[[#This Row],[Exchange rate VS USD]]</f>
        <v>0.49408772625181663</v>
      </c>
      <c r="AJ410" s="171">
        <f>Delivery[[#This Row],[Valor Prêmio Nespresso AAA por Kg (em US$)]]*60</f>
        <v>29.645263575108999</v>
      </c>
      <c r="AK410" s="171">
        <f>Delivery[[#This Row],[Valor Prêmio Nespresso AAA por saca (em US$)]]/1.3228/100</f>
        <v>0.22410994538183399</v>
      </c>
      <c r="AL410" s="171">
        <f>(Delivery[[#This Row],[BEN premium (total)]]/SUMIF(Allocation!C:C,Delivery[Delivery ID],Allocation!H:H))/Delivery[[#This Row],[Exchange rate for premiums VS USD]]</f>
        <v>0</v>
      </c>
      <c r="AM410" s="171">
        <f>Delivery[[#This Row],[Valor Prêmio Nespresso BEN por Kg (em US$)]]*60</f>
        <v>0</v>
      </c>
      <c r="AN410" s="171">
        <f>Delivery[[#This Row],[Valor Prêmio Nespresso BEN por saca (em US$)]]/1.3228/100</f>
        <v>0</v>
      </c>
      <c r="AO410" s="171">
        <f>SUMIF(Allocation[Delivery ID],Delivery[[#This Row],[Delivery ID]],Allocation[Quantity allocated])*16*1.3228*Delivery[[#This Row],[Exchange rate VS USD]]/60</f>
        <v>7194.9530184960004</v>
      </c>
      <c r="AP410" s="171">
        <f>Delivery[[#This Row],[AAA Premium (total)]]</f>
        <v>10077.8783</v>
      </c>
      <c r="AQ410" s="171">
        <f>Delivery[[#This Row],[Valor pago pelo Cluster]]-Delivery[[#This Row],[Valor efetivamente pago pela Nespresso]]</f>
        <v>2882.9252815039999</v>
      </c>
    </row>
    <row r="411" spans="1:43" ht="15.75">
      <c r="A411" s="174" t="s">
        <v>69</v>
      </c>
      <c r="B411" s="232" t="s">
        <v>68</v>
      </c>
      <c r="C411" s="157">
        <v>1</v>
      </c>
      <c r="D411" s="157" t="s">
        <v>468</v>
      </c>
      <c r="E411" s="177" t="s">
        <v>650</v>
      </c>
      <c r="F411" s="233" t="s">
        <v>543</v>
      </c>
      <c r="G411" s="234">
        <v>43381</v>
      </c>
      <c r="H411" s="157" t="s">
        <v>1559</v>
      </c>
      <c r="I411" s="236" t="s">
        <v>590</v>
      </c>
      <c r="J411" s="237">
        <v>9930</v>
      </c>
      <c r="K411" s="175" t="s">
        <v>61</v>
      </c>
      <c r="L411" s="175" t="s">
        <v>439</v>
      </c>
      <c r="M411" s="175" t="s">
        <v>1343</v>
      </c>
      <c r="N411" s="180"/>
      <c r="O411" s="177"/>
      <c r="P411" s="181">
        <v>0</v>
      </c>
      <c r="Q411" s="177">
        <v>43371</v>
      </c>
      <c r="R411" s="178">
        <v>411.97194000000002</v>
      </c>
      <c r="S411" s="179">
        <v>68020.5</v>
      </c>
      <c r="T411" s="182" t="s">
        <v>45</v>
      </c>
      <c r="U411" s="183">
        <v>4.0212000000000003</v>
      </c>
      <c r="V411" s="179">
        <v>6654.7550000000001</v>
      </c>
      <c r="W411" s="179">
        <v>0</v>
      </c>
      <c r="X411" s="184" t="s">
        <v>45</v>
      </c>
      <c r="Y411" s="183">
        <v>4.0212000000000003</v>
      </c>
      <c r="Z411" s="220"/>
      <c r="AA411" s="172">
        <f>Delivery[[#This Row],[Quantity delivered]]*VLOOKUP(Delivery[[#This Row],[Unit]],Tab_Conversão[],4,FALSE)*VLOOKUP(CONCATENATE(Delivery[[#This Row],[Coffee specie]],Delivery[[#This Row],[Coffee state]]),Tab_Conversão[],4,FALSE)</f>
        <v>9930</v>
      </c>
      <c r="AB411" s="169">
        <f>SUMIF(Allocation!C:C,Delivery[[#This Row],[Delivery ID]],Allocation!D:D)/Delivery[[#This Row],[Quantity delivered]]</f>
        <v>0.91460221550855991</v>
      </c>
      <c r="AC411" s="170">
        <f>Delivery[[#This Row],[Quantity delivered]]*Delivery[[#This Row],[Base price (Unidad)]]/60</f>
        <v>68181.356070000009</v>
      </c>
      <c r="AD411" s="171">
        <f>Delivery[[#This Row],[Nespresso total]]-Delivery[[#This Row],[Qt. Delivery * Base Price]]</f>
        <v>-160.85607000000891</v>
      </c>
      <c r="AE411" s="171">
        <f>Delivery[[#This Row],[AAA Premium (total)]]/Delivery[[#This Row],[Quantity delivered]]*60/Delivery[[#This Row],[Exchange rate VS USD]]</f>
        <v>9.999502636029046</v>
      </c>
      <c r="AF411" s="171">
        <f>Delivery[[#This Row],[BEN premium (total)]]/Delivery[[#This Row],[Quantity delivered]]*60/Delivery[[#This Row],[Exchange rate for premiums VS USD]]</f>
        <v>0</v>
      </c>
      <c r="AG411" s="171">
        <f>COUNTIF(Delivery[Delivery ID],Delivery[[#This Row],[Delivery ID]])</f>
        <v>1</v>
      </c>
      <c r="AH411" s="171">
        <f>(Delivery[[#This Row],[Nespresso total]]/SUMIF(Allocation!C:C,Delivery[Delivery ID],Allocation!H:H))/Delivery[[#This Row],[Exchange rate VS USD]]</f>
        <v>3.7250546120097723</v>
      </c>
      <c r="AI411" s="171">
        <f>(Delivery[[#This Row],[AAA Premium (total)]]/SUMIF(Allocation!C:C,Delivery[Delivery ID],Allocation!H:H))/Delivery[[#This Row],[Exchange rate VS USD]]</f>
        <v>0.36443904123823101</v>
      </c>
      <c r="AJ411" s="171">
        <f>Delivery[[#This Row],[Valor Prêmio Nespresso AAA por Kg (em US$)]]*60</f>
        <v>21.866342474293859</v>
      </c>
      <c r="AK411" s="171">
        <f>Delivery[[#This Row],[Valor Prêmio Nespresso AAA por saca (em US$)]]/1.3228/100</f>
        <v>0.16530346593811504</v>
      </c>
      <c r="AL411" s="171">
        <f>(Delivery[[#This Row],[BEN premium (total)]]/SUMIF(Allocation!C:C,Delivery[Delivery ID],Allocation!H:H))/Delivery[[#This Row],[Exchange rate for premiums VS USD]]</f>
        <v>0</v>
      </c>
      <c r="AM411" s="171">
        <f>Delivery[[#This Row],[Valor Prêmio Nespresso BEN por Kg (em US$)]]*60</f>
        <v>0</v>
      </c>
      <c r="AN411" s="171">
        <f>Delivery[[#This Row],[Valor Prêmio Nespresso BEN por saca (em US$)]]/1.3228/100</f>
        <v>0</v>
      </c>
      <c r="AO411" s="171">
        <f>SUMIF(Allocation[Delivery ID],Delivery[[#This Row],[Delivery ID]],Allocation[Quantity allocated])*16*1.3228*Delivery[[#This Row],[Exchange rate VS USD]]/60</f>
        <v>6441.2490927360004</v>
      </c>
      <c r="AP411" s="171">
        <f>Delivery[[#This Row],[AAA Premium (total)]]</f>
        <v>6654.7550000000001</v>
      </c>
      <c r="AQ411" s="171">
        <f>Delivery[[#This Row],[Valor pago pelo Cluster]]-Delivery[[#This Row],[Valor efetivamente pago pela Nespresso]]</f>
        <v>213.50590726399969</v>
      </c>
    </row>
    <row r="412" spans="1:43" ht="15.75">
      <c r="A412" s="174" t="s">
        <v>69</v>
      </c>
      <c r="B412" s="232" t="s">
        <v>68</v>
      </c>
      <c r="C412" s="157">
        <v>1</v>
      </c>
      <c r="D412" s="157" t="s">
        <v>468</v>
      </c>
      <c r="E412" s="177" t="s">
        <v>650</v>
      </c>
      <c r="F412" s="233" t="s">
        <v>543</v>
      </c>
      <c r="G412" s="234">
        <v>43381</v>
      </c>
      <c r="H412" s="157" t="s">
        <v>1560</v>
      </c>
      <c r="I412" s="236" t="s">
        <v>590</v>
      </c>
      <c r="J412" s="237">
        <v>13760</v>
      </c>
      <c r="K412" s="175" t="s">
        <v>61</v>
      </c>
      <c r="L412" s="175" t="s">
        <v>439</v>
      </c>
      <c r="M412" s="175" t="s">
        <v>1343</v>
      </c>
      <c r="N412" s="180"/>
      <c r="O412" s="177"/>
      <c r="P412" s="181">
        <v>0</v>
      </c>
      <c r="Q412" s="177">
        <v>43371</v>
      </c>
      <c r="R412" s="178">
        <v>411.97194000000002</v>
      </c>
      <c r="S412" s="179">
        <v>94256</v>
      </c>
      <c r="T412" s="182" t="s">
        <v>45</v>
      </c>
      <c r="U412" s="183">
        <v>4.0212000000000003</v>
      </c>
      <c r="V412" s="179">
        <v>9221.4933333333338</v>
      </c>
      <c r="W412" s="179">
        <v>0</v>
      </c>
      <c r="X412" s="184" t="s">
        <v>45</v>
      </c>
      <c r="Y412" s="183">
        <v>4.0212000000000003</v>
      </c>
      <c r="Z412" s="220"/>
      <c r="AA412" s="172">
        <f>Delivery[[#This Row],[Quantity delivered]]*VLOOKUP(Delivery[[#This Row],[Unit]],Tab_Conversão[],4,FALSE)*VLOOKUP(CONCATENATE(Delivery[[#This Row],[Coffee specie]],Delivery[[#This Row],[Coffee state]]),Tab_Conversão[],4,FALSE)</f>
        <v>13760</v>
      </c>
      <c r="AB412" s="169">
        <f>SUMIF(Allocation!C:C,Delivery[[#This Row],[Delivery ID]],Allocation!D:D)/Delivery[[#This Row],[Quantity delivered]]</f>
        <v>0.9161337209302326</v>
      </c>
      <c r="AC412" s="170">
        <f>Delivery[[#This Row],[Quantity delivered]]*Delivery[[#This Row],[Base price (Unidad)]]/60</f>
        <v>94478.89824000001</v>
      </c>
      <c r="AD412" s="171">
        <f>Delivery[[#This Row],[Nespresso total]]-Delivery[[#This Row],[Qt. Delivery * Base Price]]</f>
        <v>-222.89824000000954</v>
      </c>
      <c r="AE412" s="171">
        <f>Delivery[[#This Row],[AAA Premium (total)]]/Delivery[[#This Row],[Quantity delivered]]*60/Delivery[[#This Row],[Exchange rate VS USD]]</f>
        <v>9.999502636029046</v>
      </c>
      <c r="AF412" s="171">
        <f>Delivery[[#This Row],[BEN premium (total)]]/Delivery[[#This Row],[Quantity delivered]]*60/Delivery[[#This Row],[Exchange rate for premiums VS USD]]</f>
        <v>0</v>
      </c>
      <c r="AG412" s="171">
        <f>COUNTIF(Delivery[Delivery ID],Delivery[[#This Row],[Delivery ID]])</f>
        <v>1</v>
      </c>
      <c r="AH412" s="171">
        <f>(Delivery[[#This Row],[Nespresso total]]/SUMIF(Allocation!C:C,Delivery[Delivery ID],Allocation!H:H))/Delivery[[#This Row],[Exchange rate VS USD]]</f>
        <v>3.7188274191841146</v>
      </c>
      <c r="AI412" s="171">
        <f>(Delivery[[#This Row],[AAA Premium (total)]]/SUMIF(Allocation!C:C,Delivery[Delivery ID],Allocation!H:H))/Delivery[[#This Row],[Exchange rate VS USD]]</f>
        <v>0.36382980663112718</v>
      </c>
      <c r="AJ412" s="171">
        <f>Delivery[[#This Row],[Valor Prêmio Nespresso AAA por Kg (em US$)]]*60</f>
        <v>21.829788397867631</v>
      </c>
      <c r="AK412" s="171">
        <f>Delivery[[#This Row],[Valor Prêmio Nespresso AAA por saca (em US$)]]/1.3228/100</f>
        <v>0.16502712728959504</v>
      </c>
      <c r="AL412" s="171">
        <f>(Delivery[[#This Row],[BEN premium (total)]]/SUMIF(Allocation!C:C,Delivery[Delivery ID],Allocation!H:H))/Delivery[[#This Row],[Exchange rate for premiums VS USD]]</f>
        <v>0</v>
      </c>
      <c r="AM412" s="171">
        <f>Delivery[[#This Row],[Valor Prêmio Nespresso BEN por Kg (em US$)]]*60</f>
        <v>0</v>
      </c>
      <c r="AN412" s="171">
        <f>Delivery[[#This Row],[Valor Prêmio Nespresso BEN por saca (em US$)]]/1.3228/100</f>
        <v>0</v>
      </c>
      <c r="AO412" s="171">
        <f>SUMIF(Allocation[Delivery ID],Delivery[[#This Row],[Delivery ID]],Allocation[Quantity allocated])*16*1.3228*Delivery[[#This Row],[Exchange rate VS USD]]/60</f>
        <v>8940.5842394880001</v>
      </c>
      <c r="AP412" s="171">
        <f>Delivery[[#This Row],[AAA Premium (total)]]</f>
        <v>9221.4933333333338</v>
      </c>
      <c r="AQ412" s="171">
        <f>Delivery[[#This Row],[Valor pago pelo Cluster]]-Delivery[[#This Row],[Valor efetivamente pago pela Nespresso]]</f>
        <v>280.9090938453337</v>
      </c>
    </row>
    <row r="413" spans="1:43" ht="15.75">
      <c r="A413" s="174" t="s">
        <v>69</v>
      </c>
      <c r="B413" s="232" t="s">
        <v>68</v>
      </c>
      <c r="C413" s="157" t="s">
        <v>1344</v>
      </c>
      <c r="D413" s="157" t="s">
        <v>468</v>
      </c>
      <c r="E413" s="177" t="s">
        <v>650</v>
      </c>
      <c r="F413" s="233" t="s">
        <v>543</v>
      </c>
      <c r="G413" s="234">
        <v>43397</v>
      </c>
      <c r="H413" s="235" t="s">
        <v>1561</v>
      </c>
      <c r="I413" s="157" t="s">
        <v>1562</v>
      </c>
      <c r="J413" s="237">
        <v>190</v>
      </c>
      <c r="K413" s="175" t="s">
        <v>61</v>
      </c>
      <c r="L413" s="175" t="s">
        <v>439</v>
      </c>
      <c r="M413" s="175" t="s">
        <v>1343</v>
      </c>
      <c r="N413" s="180"/>
      <c r="O413" s="177"/>
      <c r="P413" s="181">
        <v>0</v>
      </c>
      <c r="Q413" s="177">
        <v>43390</v>
      </c>
      <c r="R413" s="178">
        <v>450.23615999999998</v>
      </c>
      <c r="S413" s="179">
        <v>1476.8683333333333</v>
      </c>
      <c r="T413" s="182" t="s">
        <v>45</v>
      </c>
      <c r="U413" s="183">
        <v>3.6783999999999999</v>
      </c>
      <c r="V413" s="179">
        <v>81.537866666666673</v>
      </c>
      <c r="W413" s="179">
        <v>0</v>
      </c>
      <c r="X413" s="184" t="s">
        <v>45</v>
      </c>
      <c r="Y413" s="183">
        <v>3.6783999999999999</v>
      </c>
      <c r="Z413" s="220"/>
      <c r="AA413" s="172">
        <f>Delivery[[#This Row],[Quantity delivered]]*VLOOKUP(Delivery[[#This Row],[Unit]],Tab_Conversão[],4,FALSE)*VLOOKUP(CONCATENATE(Delivery[[#This Row],[Coffee specie]],Delivery[[#This Row],[Coffee state]]),Tab_Conversão[],4,FALSE)</f>
        <v>190</v>
      </c>
      <c r="AB413" s="169">
        <f>SUMIF(Allocation!C:C,Delivery[[#This Row],[Delivery ID]],Allocation!D:D)/Delivery[[#This Row],[Quantity delivered]]</f>
        <v>0.68421052631578949</v>
      </c>
      <c r="AC413" s="170">
        <f>Delivery[[#This Row],[Quantity delivered]]*Delivery[[#This Row],[Base price (Unidad)]]/60</f>
        <v>1425.74784</v>
      </c>
      <c r="AD413" s="171">
        <f>Delivery[[#This Row],[Nespresso total]]-Delivery[[#This Row],[Qt. Delivery * Base Price]]</f>
        <v>51.120493333333343</v>
      </c>
      <c r="AE413" s="171">
        <f>Delivery[[#This Row],[AAA Premium (total)]]/Delivery[[#This Row],[Quantity delivered]]*60/Delivery[[#This Row],[Exchange rate VS USD]]</f>
        <v>7</v>
      </c>
      <c r="AF413" s="171">
        <f>Delivery[[#This Row],[BEN premium (total)]]/Delivery[[#This Row],[Quantity delivered]]*60/Delivery[[#This Row],[Exchange rate for premiums VS USD]]</f>
        <v>0</v>
      </c>
      <c r="AG413" s="171">
        <f>COUNTIF(Delivery[Delivery ID],Delivery[[#This Row],[Delivery ID]])</f>
        <v>1</v>
      </c>
      <c r="AH413" s="171">
        <f>(Delivery[[#This Row],[Nespresso total]]/SUMIF(Allocation!C:C,Delivery[Delivery ID],Allocation!H:H))/Delivery[[#This Row],[Exchange rate VS USD]]</f>
        <v>9.3371507160174136</v>
      </c>
      <c r="AI413" s="171">
        <f>(Delivery[[#This Row],[AAA Premium (total)]]/SUMIF(Allocation!C:C,Delivery[Delivery ID],Allocation!H:H))/Delivery[[#This Row],[Exchange rate VS USD]]</f>
        <v>0.51550387596899228</v>
      </c>
      <c r="AJ413" s="171">
        <f>Delivery[[#This Row],[Valor Prêmio Nespresso AAA por Kg (em US$)]]*60</f>
        <v>30.930232558139537</v>
      </c>
      <c r="AK413" s="171">
        <f>Delivery[[#This Row],[Valor Prêmio Nespresso AAA por saca (em US$)]]/1.3228/100</f>
        <v>0.23382395341804912</v>
      </c>
      <c r="AL413" s="171">
        <f>(Delivery[[#This Row],[BEN premium (total)]]/SUMIF(Allocation!C:C,Delivery[Delivery ID],Allocation!H:H))/Delivery[[#This Row],[Exchange rate for premiums VS USD]]</f>
        <v>0</v>
      </c>
      <c r="AM413" s="171">
        <f>Delivery[[#This Row],[Valor Prêmio Nespresso BEN por Kg (em US$)]]*60</f>
        <v>0</v>
      </c>
      <c r="AN413" s="171">
        <f>Delivery[[#This Row],[Valor Prêmio Nespresso BEN por saca (em US$)]]/1.3228/100</f>
        <v>0</v>
      </c>
      <c r="AO413" s="171">
        <f>SUMIF(Allocation[Delivery ID],Delivery[[#This Row],[Delivery ID]],Allocation[Quantity allocated])*16*1.3228*Delivery[[#This Row],[Exchange rate VS USD]]/60</f>
        <v>55.794363562666668</v>
      </c>
      <c r="AP413" s="171">
        <f>Delivery[[#This Row],[AAA Premium (total)]]</f>
        <v>81.537866666666673</v>
      </c>
      <c r="AQ413" s="171">
        <f>Delivery[[#This Row],[Valor pago pelo Cluster]]-Delivery[[#This Row],[Valor efetivamente pago pela Nespresso]]</f>
        <v>25.743503104000006</v>
      </c>
    </row>
    <row r="414" spans="1:43" ht="15.75">
      <c r="A414" s="174" t="s">
        <v>69</v>
      </c>
      <c r="B414" s="232" t="s">
        <v>68</v>
      </c>
      <c r="C414" s="157" t="s">
        <v>1344</v>
      </c>
      <c r="D414" s="157" t="s">
        <v>468</v>
      </c>
      <c r="E414" s="177" t="s">
        <v>650</v>
      </c>
      <c r="F414" s="233" t="s">
        <v>543</v>
      </c>
      <c r="G414" s="234">
        <v>43397</v>
      </c>
      <c r="H414" s="235" t="s">
        <v>1563</v>
      </c>
      <c r="I414" s="157" t="s">
        <v>1562</v>
      </c>
      <c r="J414" s="237">
        <v>3000</v>
      </c>
      <c r="K414" s="175" t="s">
        <v>61</v>
      </c>
      <c r="L414" s="175" t="s">
        <v>439</v>
      </c>
      <c r="M414" s="175" t="s">
        <v>1343</v>
      </c>
      <c r="N414" s="180"/>
      <c r="O414" s="177"/>
      <c r="P414" s="181">
        <v>0</v>
      </c>
      <c r="Q414" s="177">
        <v>43390</v>
      </c>
      <c r="R414" s="178">
        <v>450.23615999999998</v>
      </c>
      <c r="S414" s="179">
        <v>23338.2</v>
      </c>
      <c r="T414" s="182" t="s">
        <v>45</v>
      </c>
      <c r="U414" s="183">
        <v>3.6783999999999999</v>
      </c>
      <c r="V414" s="179">
        <v>1287.44</v>
      </c>
      <c r="W414" s="179">
        <v>0</v>
      </c>
      <c r="X414" s="184" t="s">
        <v>45</v>
      </c>
      <c r="Y414" s="183">
        <v>3.6783999999999999</v>
      </c>
      <c r="Z414" s="220"/>
      <c r="AA414" s="172">
        <f>Delivery[[#This Row],[Quantity delivered]]*VLOOKUP(Delivery[[#This Row],[Unit]],Tab_Conversão[],4,FALSE)*VLOOKUP(CONCATENATE(Delivery[[#This Row],[Coffee specie]],Delivery[[#This Row],[Coffee state]]),Tab_Conversão[],4,FALSE)</f>
        <v>3000</v>
      </c>
      <c r="AB414" s="169">
        <f>SUMIF(Allocation!C:C,Delivery[[#This Row],[Delivery ID]],Allocation!D:D)/Delivery[[#This Row],[Quantity delivered]]</f>
        <v>0.72133333333333338</v>
      </c>
      <c r="AC414" s="170">
        <f>Delivery[[#This Row],[Quantity delivered]]*Delivery[[#This Row],[Base price (Unidad)]]/60</f>
        <v>22511.808000000001</v>
      </c>
      <c r="AD414" s="171">
        <f>Delivery[[#This Row],[Nespresso total]]-Delivery[[#This Row],[Qt. Delivery * Base Price]]</f>
        <v>826.39199999999983</v>
      </c>
      <c r="AE414" s="171">
        <f>Delivery[[#This Row],[AAA Premium (total)]]/Delivery[[#This Row],[Quantity delivered]]*60/Delivery[[#This Row],[Exchange rate VS USD]]</f>
        <v>7</v>
      </c>
      <c r="AF414" s="171">
        <f>Delivery[[#This Row],[BEN premium (total)]]/Delivery[[#This Row],[Quantity delivered]]*60/Delivery[[#This Row],[Exchange rate for premiums VS USD]]</f>
        <v>0</v>
      </c>
      <c r="AG414" s="171">
        <f>COUNTIF(Delivery[Delivery ID],Delivery[[#This Row],[Delivery ID]])</f>
        <v>1</v>
      </c>
      <c r="AH414" s="171">
        <f>(Delivery[[#This Row],[Nespresso total]]/SUMIF(Allocation!C:C,Delivery[Delivery ID],Allocation!H:H))/Delivery[[#This Row],[Exchange rate VS USD]]</f>
        <v>8.8860794426513543</v>
      </c>
      <c r="AI414" s="171">
        <f>(Delivery[[#This Row],[AAA Premium (total)]]/SUMIF(Allocation!C:C,Delivery[Delivery ID],Allocation!H:H))/Delivery[[#This Row],[Exchange rate VS USD]]</f>
        <v>0.49019607843137258</v>
      </c>
      <c r="AJ414" s="171">
        <f>Delivery[[#This Row],[Valor Prêmio Nespresso AAA por Kg (em US$)]]*60</f>
        <v>29.411764705882355</v>
      </c>
      <c r="AK414" s="171">
        <f>Delivery[[#This Row],[Valor Prêmio Nespresso AAA por saca (em US$)]]/1.3228/100</f>
        <v>0.22234475888934349</v>
      </c>
      <c r="AL414" s="171">
        <f>(Delivery[[#This Row],[BEN premium (total)]]/SUMIF(Allocation!C:C,Delivery[Delivery ID],Allocation!H:H))/Delivery[[#This Row],[Exchange rate for premiums VS USD]]</f>
        <v>0</v>
      </c>
      <c r="AM414" s="171">
        <f>Delivery[[#This Row],[Valor Prêmio Nespresso BEN por Kg (em US$)]]*60</f>
        <v>0</v>
      </c>
      <c r="AN414" s="171">
        <f>Delivery[[#This Row],[Valor Prêmio Nespresso BEN por saca (em US$)]]/1.3228/100</f>
        <v>0</v>
      </c>
      <c r="AO414" s="171">
        <f>SUMIF(Allocation[Delivery ID],Delivery[[#This Row],[Delivery ID]],Allocation[Quantity allocated])*16*1.3228*Delivery[[#This Row],[Exchange rate VS USD]]/60</f>
        <v>926.44594380799992</v>
      </c>
      <c r="AP414" s="171">
        <f>Delivery[[#This Row],[AAA Premium (total)]]</f>
        <v>1287.44</v>
      </c>
      <c r="AQ414" s="171">
        <f>Delivery[[#This Row],[Valor pago pelo Cluster]]-Delivery[[#This Row],[Valor efetivamente pago pela Nespresso]]</f>
        <v>360.99405619200013</v>
      </c>
    </row>
    <row r="415" spans="1:43" ht="15.75">
      <c r="A415" s="174" t="s">
        <v>69</v>
      </c>
      <c r="B415" s="232" t="s">
        <v>68</v>
      </c>
      <c r="C415" s="157" t="s">
        <v>1344</v>
      </c>
      <c r="D415" s="157" t="s">
        <v>468</v>
      </c>
      <c r="E415" s="177" t="s">
        <v>650</v>
      </c>
      <c r="F415" s="233" t="s">
        <v>543</v>
      </c>
      <c r="G415" s="234">
        <v>43397</v>
      </c>
      <c r="H415" s="235" t="s">
        <v>1564</v>
      </c>
      <c r="I415" s="157" t="s">
        <v>1562</v>
      </c>
      <c r="J415" s="237">
        <v>1360</v>
      </c>
      <c r="K415" s="175" t="s">
        <v>61</v>
      </c>
      <c r="L415" s="175" t="s">
        <v>439</v>
      </c>
      <c r="M415" s="175" t="s">
        <v>1343</v>
      </c>
      <c r="N415" s="180"/>
      <c r="O415" s="177"/>
      <c r="P415" s="181">
        <v>0</v>
      </c>
      <c r="Q415" s="177">
        <v>43390</v>
      </c>
      <c r="R415" s="178">
        <v>450.23615999999998</v>
      </c>
      <c r="S415" s="179">
        <v>10579.273333333334</v>
      </c>
      <c r="T415" s="182" t="s">
        <v>45</v>
      </c>
      <c r="U415" s="183">
        <v>3.6783999999999999</v>
      </c>
      <c r="V415" s="179">
        <v>583.63946666666664</v>
      </c>
      <c r="W415" s="179">
        <v>0</v>
      </c>
      <c r="X415" s="184" t="s">
        <v>45</v>
      </c>
      <c r="Y415" s="183">
        <v>3.6783999999999999</v>
      </c>
      <c r="Z415" s="220"/>
      <c r="AA415" s="172">
        <f>Delivery[[#This Row],[Quantity delivered]]*VLOOKUP(Delivery[[#This Row],[Unit]],Tab_Conversão[],4,FALSE)*VLOOKUP(CONCATENATE(Delivery[[#This Row],[Coffee specie]],Delivery[[#This Row],[Coffee state]]),Tab_Conversão[],4,FALSE)</f>
        <v>1360</v>
      </c>
      <c r="AB415" s="169">
        <f>SUMIF(Allocation!C:C,Delivery[[#This Row],[Delivery ID]],Allocation!D:D)/Delivery[[#This Row],[Quantity delivered]]</f>
        <v>0.7330882352941176</v>
      </c>
      <c r="AC415" s="170">
        <f>Delivery[[#This Row],[Quantity delivered]]*Delivery[[#This Row],[Base price (Unidad)]]/60</f>
        <v>10205.352959999998</v>
      </c>
      <c r="AD415" s="171">
        <f>Delivery[[#This Row],[Nespresso total]]-Delivery[[#This Row],[Qt. Delivery * Base Price]]</f>
        <v>373.9203733333361</v>
      </c>
      <c r="AE415" s="171">
        <f>Delivery[[#This Row],[AAA Premium (total)]]/Delivery[[#This Row],[Quantity delivered]]*60/Delivery[[#This Row],[Exchange rate VS USD]]</f>
        <v>6.9999999999999991</v>
      </c>
      <c r="AF415" s="171">
        <f>Delivery[[#This Row],[BEN premium (total)]]/Delivery[[#This Row],[Quantity delivered]]*60/Delivery[[#This Row],[Exchange rate for premiums VS USD]]</f>
        <v>0</v>
      </c>
      <c r="AG415" s="171">
        <f>COUNTIF(Delivery[Delivery ID],Delivery[[#This Row],[Delivery ID]])</f>
        <v>1</v>
      </c>
      <c r="AH415" s="171">
        <f>(Delivery[[#This Row],[Nespresso total]]/SUMIF(Allocation!C:C,Delivery[Delivery ID],Allocation!H:H))/Delivery[[#This Row],[Exchange rate VS USD]]</f>
        <v>8.7418024135422101</v>
      </c>
      <c r="AI415" s="171">
        <f>(Delivery[[#This Row],[AAA Premium (total)]]/SUMIF(Allocation!C:C,Delivery[Delivery ID],Allocation!H:H))/Delivery[[#This Row],[Exchange rate VS USD]]</f>
        <v>0.48226950354609927</v>
      </c>
      <c r="AJ415" s="171">
        <f>Delivery[[#This Row],[Valor Prêmio Nespresso AAA por Kg (em US$)]]*60</f>
        <v>28.936170212765955</v>
      </c>
      <c r="AK415" s="171">
        <f>Delivery[[#This Row],[Valor Prêmio Nespresso AAA por saca (em US$)]]/1.3228/100</f>
        <v>0.21874939683070724</v>
      </c>
      <c r="AL415" s="171">
        <f>(Delivery[[#This Row],[BEN premium (total)]]/SUMIF(Allocation!C:C,Delivery[Delivery ID],Allocation!H:H))/Delivery[[#This Row],[Exchange rate for premiums VS USD]]</f>
        <v>0</v>
      </c>
      <c r="AM415" s="171">
        <f>Delivery[[#This Row],[Valor Prêmio Nespresso BEN por Kg (em US$)]]*60</f>
        <v>0</v>
      </c>
      <c r="AN415" s="171">
        <f>Delivery[[#This Row],[Valor Prêmio Nespresso BEN por saca (em US$)]]/1.3228/100</f>
        <v>0</v>
      </c>
      <c r="AO415" s="171">
        <f>SUMIF(Allocation[Delivery ID],Delivery[[#This Row],[Delivery ID]],Allocation[Quantity allocated])*16*1.3228*Delivery[[#This Row],[Exchange rate VS USD]]/60</f>
        <v>426.89175842133329</v>
      </c>
      <c r="AP415" s="171">
        <f>Delivery[[#This Row],[AAA Premium (total)]]</f>
        <v>583.63946666666664</v>
      </c>
      <c r="AQ415" s="171">
        <f>Delivery[[#This Row],[Valor pago pelo Cluster]]-Delivery[[#This Row],[Valor efetivamente pago pela Nespresso]]</f>
        <v>156.74770824533334</v>
      </c>
    </row>
    <row r="416" spans="1:43" ht="15.75">
      <c r="A416" s="174" t="s">
        <v>69</v>
      </c>
      <c r="B416" s="232" t="s">
        <v>68</v>
      </c>
      <c r="C416" s="157" t="s">
        <v>1344</v>
      </c>
      <c r="D416" s="157" t="s">
        <v>468</v>
      </c>
      <c r="E416" s="177" t="s">
        <v>650</v>
      </c>
      <c r="F416" s="233" t="s">
        <v>543</v>
      </c>
      <c r="G416" s="234">
        <v>43397</v>
      </c>
      <c r="H416" s="235" t="s">
        <v>1565</v>
      </c>
      <c r="I416" s="157" t="s">
        <v>1562</v>
      </c>
      <c r="J416" s="237">
        <v>16230</v>
      </c>
      <c r="K416" s="175" t="s">
        <v>61</v>
      </c>
      <c r="L416" s="175" t="s">
        <v>439</v>
      </c>
      <c r="M416" s="175" t="s">
        <v>1343</v>
      </c>
      <c r="N416" s="180"/>
      <c r="O416" s="177"/>
      <c r="P416" s="181">
        <v>0</v>
      </c>
      <c r="Q416" s="177">
        <v>43390</v>
      </c>
      <c r="R416" s="178">
        <v>450.23615999999998</v>
      </c>
      <c r="S416" s="179">
        <v>126265.395</v>
      </c>
      <c r="T416" s="182" t="s">
        <v>45</v>
      </c>
      <c r="U416" s="183">
        <v>3.6783999999999999</v>
      </c>
      <c r="V416" s="179">
        <v>6965.0504000000001</v>
      </c>
      <c r="W416" s="179">
        <v>0</v>
      </c>
      <c r="X416" s="184" t="s">
        <v>45</v>
      </c>
      <c r="Y416" s="183">
        <v>3.6783999999999999</v>
      </c>
      <c r="Z416" s="220"/>
      <c r="AA416" s="172">
        <f>Delivery[[#This Row],[Quantity delivered]]*VLOOKUP(Delivery[[#This Row],[Unit]],Tab_Conversão[],4,FALSE)*VLOOKUP(CONCATENATE(Delivery[[#This Row],[Coffee specie]],Delivery[[#This Row],[Coffee state]]),Tab_Conversão[],4,FALSE)</f>
        <v>16230</v>
      </c>
      <c r="AB416" s="169">
        <f>SUMIF(Allocation!C:C,Delivery[[#This Row],[Delivery ID]],Allocation!D:D)/Delivery[[#This Row],[Quantity delivered]]</f>
        <v>0.71528034504004934</v>
      </c>
      <c r="AC416" s="170">
        <f>Delivery[[#This Row],[Quantity delivered]]*Delivery[[#This Row],[Base price (Unidad)]]/60</f>
        <v>121788.88128</v>
      </c>
      <c r="AD416" s="171">
        <f>Delivery[[#This Row],[Nespresso total]]-Delivery[[#This Row],[Qt. Delivery * Base Price]]</f>
        <v>4476.5137200000026</v>
      </c>
      <c r="AE416" s="171">
        <f>Delivery[[#This Row],[AAA Premium (total)]]/Delivery[[#This Row],[Quantity delivered]]*60/Delivery[[#This Row],[Exchange rate VS USD]]</f>
        <v>7</v>
      </c>
      <c r="AF416" s="171">
        <f>Delivery[[#This Row],[BEN premium (total)]]/Delivery[[#This Row],[Quantity delivered]]*60/Delivery[[#This Row],[Exchange rate for premiums VS USD]]</f>
        <v>0</v>
      </c>
      <c r="AG416" s="171">
        <f>COUNTIF(Delivery[Delivery ID],Delivery[[#This Row],[Delivery ID]])</f>
        <v>1</v>
      </c>
      <c r="AH416" s="171">
        <f>(Delivery[[#This Row],[Nespresso total]]/SUMIF(Allocation!C:C,Delivery[Delivery ID],Allocation!H:H))/Delivery[[#This Row],[Exchange rate VS USD]]</f>
        <v>8.9601078215546384</v>
      </c>
      <c r="AI416" s="171">
        <f>(Delivery[[#This Row],[AAA Premium (total)]]/SUMIF(Allocation!C:C,Delivery[Delivery ID],Allocation!H:H))/Delivery[[#This Row],[Exchange rate VS USD]]</f>
        <v>0.4942573740537719</v>
      </c>
      <c r="AJ416" s="171">
        <f>Delivery[[#This Row],[Valor Prêmio Nespresso AAA por Kg (em US$)]]*60</f>
        <v>29.655442443226313</v>
      </c>
      <c r="AK416" s="171">
        <f>Delivery[[#This Row],[Valor Prêmio Nespresso AAA por saca (em US$)]]/1.3228/100</f>
        <v>0.22418689479306256</v>
      </c>
      <c r="AL416" s="171">
        <f>(Delivery[[#This Row],[BEN premium (total)]]/SUMIF(Allocation!C:C,Delivery[Delivery ID],Allocation!H:H))/Delivery[[#This Row],[Exchange rate for premiums VS USD]]</f>
        <v>0</v>
      </c>
      <c r="AM416" s="171">
        <f>Delivery[[#This Row],[Valor Prêmio Nespresso BEN por Kg (em US$)]]*60</f>
        <v>0</v>
      </c>
      <c r="AN416" s="171">
        <f>Delivery[[#This Row],[Valor Prêmio Nespresso BEN por saca (em US$)]]/1.3228/100</f>
        <v>0</v>
      </c>
      <c r="AO416" s="171">
        <f>SUMIF(Allocation[Delivery ID],Delivery[[#This Row],[Delivery ID]],Allocation[Quantity allocated])*16*1.3228*Delivery[[#This Row],[Exchange rate VS USD]]/60</f>
        <v>4970.8885304319992</v>
      </c>
      <c r="AP416" s="171">
        <f>Delivery[[#This Row],[AAA Premium (total)]]</f>
        <v>6965.0504000000001</v>
      </c>
      <c r="AQ416" s="171">
        <f>Delivery[[#This Row],[Valor pago pelo Cluster]]-Delivery[[#This Row],[Valor efetivamente pago pela Nespresso]]</f>
        <v>1994.1618695680008</v>
      </c>
    </row>
    <row r="417" spans="1:43" ht="15.75">
      <c r="A417" s="174" t="s">
        <v>69</v>
      </c>
      <c r="B417" s="232" t="s">
        <v>68</v>
      </c>
      <c r="C417" s="157" t="s">
        <v>1344</v>
      </c>
      <c r="D417" s="157" t="s">
        <v>468</v>
      </c>
      <c r="E417" s="177" t="s">
        <v>650</v>
      </c>
      <c r="F417" s="233" t="s">
        <v>543</v>
      </c>
      <c r="G417" s="234">
        <v>43397</v>
      </c>
      <c r="H417" s="235" t="s">
        <v>1566</v>
      </c>
      <c r="I417" s="157" t="s">
        <v>1562</v>
      </c>
      <c r="J417" s="237">
        <v>12000</v>
      </c>
      <c r="K417" s="175" t="s">
        <v>61</v>
      </c>
      <c r="L417" s="175" t="s">
        <v>439</v>
      </c>
      <c r="M417" s="175" t="s">
        <v>1343</v>
      </c>
      <c r="N417" s="180"/>
      <c r="O417" s="177"/>
      <c r="P417" s="181">
        <v>0</v>
      </c>
      <c r="Q417" s="177">
        <v>43390</v>
      </c>
      <c r="R417" s="178">
        <v>450.23615999999998</v>
      </c>
      <c r="S417" s="179">
        <v>93356.7</v>
      </c>
      <c r="T417" s="182" t="s">
        <v>45</v>
      </c>
      <c r="U417" s="183">
        <v>3.6783999999999999</v>
      </c>
      <c r="V417" s="179">
        <v>5149.76</v>
      </c>
      <c r="W417" s="179">
        <v>0</v>
      </c>
      <c r="X417" s="184" t="s">
        <v>45</v>
      </c>
      <c r="Y417" s="183">
        <v>3.6783999999999999</v>
      </c>
      <c r="Z417" s="220"/>
      <c r="AA417" s="172">
        <f>Delivery[[#This Row],[Quantity delivered]]*VLOOKUP(Delivery[[#This Row],[Unit]],Tab_Conversão[],4,FALSE)*VLOOKUP(CONCATENATE(Delivery[[#This Row],[Coffee specie]],Delivery[[#This Row],[Coffee state]]),Tab_Conversão[],4,FALSE)</f>
        <v>12000</v>
      </c>
      <c r="AB417" s="169">
        <f>SUMIF(Allocation!C:C,Delivery[[#This Row],[Delivery ID]],Allocation!D:D)/Delivery[[#This Row],[Quantity delivered]]</f>
        <v>0.71616666666666662</v>
      </c>
      <c r="AC417" s="170">
        <f>Delivery[[#This Row],[Quantity delivered]]*Delivery[[#This Row],[Base price (Unidad)]]/60</f>
        <v>90047.232000000004</v>
      </c>
      <c r="AD417" s="171">
        <f>Delivery[[#This Row],[Nespresso total]]-Delivery[[#This Row],[Qt. Delivery * Base Price]]</f>
        <v>3309.4679999999935</v>
      </c>
      <c r="AE417" s="171">
        <f>Delivery[[#This Row],[AAA Premium (total)]]/Delivery[[#This Row],[Quantity delivered]]*60/Delivery[[#This Row],[Exchange rate VS USD]]</f>
        <v>7</v>
      </c>
      <c r="AF417" s="171">
        <f>Delivery[[#This Row],[BEN premium (total)]]/Delivery[[#This Row],[Quantity delivered]]*60/Delivery[[#This Row],[Exchange rate for premiums VS USD]]</f>
        <v>0</v>
      </c>
      <c r="AG417" s="171">
        <f>COUNTIF(Delivery[Delivery ID],Delivery[[#This Row],[Delivery ID]])</f>
        <v>1</v>
      </c>
      <c r="AH417" s="171">
        <f>(Delivery[[#This Row],[Nespresso total]]/SUMIF(Allocation!C:C,Delivery[Delivery ID],Allocation!H:H))/Delivery[[#This Row],[Exchange rate VS USD]]</f>
        <v>8.949119581028361</v>
      </c>
      <c r="AI417" s="171">
        <f>(Delivery[[#This Row],[AAA Premium (total)]]/SUMIF(Allocation!C:C,Delivery[Delivery ID],Allocation!H:H))/Delivery[[#This Row],[Exchange rate VS USD]]</f>
        <v>0.49365303244005643</v>
      </c>
      <c r="AJ417" s="171">
        <f>Delivery[[#This Row],[Valor Prêmio Nespresso AAA por Kg (em US$)]]*60</f>
        <v>29.619181946403387</v>
      </c>
      <c r="AK417" s="171">
        <f>Delivery[[#This Row],[Valor Prêmio Nespresso AAA por saca (em US$)]]/1.3228/100</f>
        <v>0.22391277552467032</v>
      </c>
      <c r="AL417" s="171">
        <f>(Delivery[[#This Row],[BEN premium (total)]]/SUMIF(Allocation!C:C,Delivery[Delivery ID],Allocation!H:H))/Delivery[[#This Row],[Exchange rate for premiums VS USD]]</f>
        <v>0</v>
      </c>
      <c r="AM417" s="171">
        <f>Delivery[[#This Row],[Valor Prêmio Nespresso BEN por Kg (em US$)]]*60</f>
        <v>0</v>
      </c>
      <c r="AN417" s="171">
        <f>Delivery[[#This Row],[Valor Prêmio Nespresso BEN por saca (em US$)]]/1.3228/100</f>
        <v>0</v>
      </c>
      <c r="AO417" s="171">
        <f>SUMIF(Allocation[Delivery ID],Delivery[[#This Row],[Delivery ID]],Allocation[Quantity allocated])*16*1.3228*Delivery[[#This Row],[Exchange rate VS USD]]/60</f>
        <v>3679.8329084586662</v>
      </c>
      <c r="AP417" s="171">
        <f>Delivery[[#This Row],[AAA Premium (total)]]</f>
        <v>5149.76</v>
      </c>
      <c r="AQ417" s="171">
        <f>Delivery[[#This Row],[Valor pago pelo Cluster]]-Delivery[[#This Row],[Valor efetivamente pago pela Nespresso]]</f>
        <v>1469.927091541334</v>
      </c>
    </row>
    <row r="418" spans="1:43" ht="15.75">
      <c r="A418" s="174" t="s">
        <v>69</v>
      </c>
      <c r="B418" s="232" t="s">
        <v>68</v>
      </c>
      <c r="C418" s="157" t="s">
        <v>1344</v>
      </c>
      <c r="D418" s="157" t="s">
        <v>468</v>
      </c>
      <c r="E418" s="177" t="s">
        <v>650</v>
      </c>
      <c r="F418" s="233" t="s">
        <v>543</v>
      </c>
      <c r="G418" s="234">
        <v>43397</v>
      </c>
      <c r="H418" s="235" t="s">
        <v>1567</v>
      </c>
      <c r="I418" s="157" t="s">
        <v>1562</v>
      </c>
      <c r="J418" s="237">
        <v>4660</v>
      </c>
      <c r="K418" s="175" t="s">
        <v>61</v>
      </c>
      <c r="L418" s="175" t="s">
        <v>439</v>
      </c>
      <c r="M418" s="175" t="s">
        <v>1343</v>
      </c>
      <c r="N418" s="180"/>
      <c r="O418" s="177"/>
      <c r="P418" s="185">
        <v>0</v>
      </c>
      <c r="Q418" s="177">
        <v>43390</v>
      </c>
      <c r="R418" s="178">
        <v>450.23615999999998</v>
      </c>
      <c r="S418" s="179">
        <v>36252.723333333328</v>
      </c>
      <c r="T418" s="182" t="s">
        <v>45</v>
      </c>
      <c r="U418" s="183">
        <v>3.6783999999999999</v>
      </c>
      <c r="V418" s="179">
        <v>1999.8234666666667</v>
      </c>
      <c r="W418" s="179">
        <v>0</v>
      </c>
      <c r="X418" s="186" t="s">
        <v>45</v>
      </c>
      <c r="Y418" s="183">
        <v>3.6783999999999999</v>
      </c>
      <c r="Z418" s="220"/>
      <c r="AA418" s="172">
        <f>Delivery[[#This Row],[Quantity delivered]]*VLOOKUP(Delivery[[#This Row],[Unit]],Tab_Conversão[],4,FALSE)*VLOOKUP(CONCATENATE(Delivery[[#This Row],[Coffee specie]],Delivery[[#This Row],[Coffee state]]),Tab_Conversão[],4,FALSE)</f>
        <v>4660</v>
      </c>
      <c r="AB418" s="169">
        <f>SUMIF(Allocation!C:C,Delivery[[#This Row],[Delivery ID]],Allocation!D:D)/Delivery[[#This Row],[Quantity delivered]]</f>
        <v>0.71931330472103006</v>
      </c>
      <c r="AC418" s="170">
        <f>Delivery[[#This Row],[Quantity delivered]]*Delivery[[#This Row],[Base price (Unidad)]]/60</f>
        <v>34968.341759999996</v>
      </c>
      <c r="AD418" s="171">
        <f>Delivery[[#This Row],[Nespresso total]]-Delivery[[#This Row],[Qt. Delivery * Base Price]]</f>
        <v>1284.3815733333322</v>
      </c>
      <c r="AE418" s="171">
        <f>Delivery[[#This Row],[AAA Premium (total)]]/Delivery[[#This Row],[Quantity delivered]]*60/Delivery[[#This Row],[Exchange rate VS USD]]</f>
        <v>7</v>
      </c>
      <c r="AF418" s="171">
        <f>Delivery[[#This Row],[BEN premium (total)]]/Delivery[[#This Row],[Quantity delivered]]*60/Delivery[[#This Row],[Exchange rate for premiums VS USD]]</f>
        <v>0</v>
      </c>
      <c r="AG418" s="171">
        <f>COUNTIF(Delivery[Delivery ID],Delivery[[#This Row],[Delivery ID]])</f>
        <v>1</v>
      </c>
      <c r="AH418" s="171">
        <f>(Delivery[[#This Row],[Nespresso total]]/SUMIF(Allocation!C:C,Delivery[Delivery ID],Allocation!H:H))/Delivery[[#This Row],[Exchange rate VS USD]]</f>
        <v>8.9110023004472154</v>
      </c>
      <c r="AI418" s="171">
        <f>(Delivery[[#This Row],[AAA Premium (total)]]/SUMIF(Allocation!C:C,Delivery[Delivery ID],Allocation!H:H))/Delivery[[#This Row],[Exchange rate VS USD]]</f>
        <v>0.4915611814345992</v>
      </c>
      <c r="AJ418" s="171">
        <f>Delivery[[#This Row],[Valor Prêmio Nespresso AAA por Kg (em US$)]]*60</f>
        <v>29.493670886075954</v>
      </c>
      <c r="AK418" s="171">
        <f>Delivery[[#This Row],[Valor Prêmio Nespresso AAA por saca (em US$)]]/1.3228/100</f>
        <v>0.22296394682549103</v>
      </c>
      <c r="AL418" s="171">
        <f>(Delivery[[#This Row],[BEN premium (total)]]/SUMIF(Allocation!C:C,Delivery[Delivery ID],Allocation!H:H))/Delivery[[#This Row],[Exchange rate for premiums VS USD]]</f>
        <v>0</v>
      </c>
      <c r="AM418" s="171">
        <f>Delivery[[#This Row],[Valor Prêmio Nespresso BEN por Kg (em US$)]]*60</f>
        <v>0</v>
      </c>
      <c r="AN418" s="171">
        <f>Delivery[[#This Row],[Valor Prêmio Nespresso BEN por saca (em US$)]]/1.3228/100</f>
        <v>0</v>
      </c>
      <c r="AO418" s="171">
        <f>SUMIF(Allocation[Delivery ID],Delivery[[#This Row],[Delivery ID]],Allocation[Quantity allocated])*16*1.3228*Delivery[[#This Row],[Exchange rate VS USD]]/60</f>
        <v>1435.0829325653331</v>
      </c>
      <c r="AP418" s="171">
        <f>Delivery[[#This Row],[AAA Premium (total)]]</f>
        <v>1999.8234666666667</v>
      </c>
      <c r="AQ418" s="171">
        <f>Delivery[[#This Row],[Valor pago pelo Cluster]]-Delivery[[#This Row],[Valor efetivamente pago pela Nespresso]]</f>
        <v>564.74053410133365</v>
      </c>
    </row>
    <row r="419" spans="1:43" ht="15.75">
      <c r="A419" s="174" t="s">
        <v>69</v>
      </c>
      <c r="B419" s="232" t="s">
        <v>68</v>
      </c>
      <c r="C419" s="157">
        <v>1</v>
      </c>
      <c r="D419" s="157" t="s">
        <v>468</v>
      </c>
      <c r="E419" s="177" t="s">
        <v>468</v>
      </c>
      <c r="F419" s="233" t="s">
        <v>543</v>
      </c>
      <c r="G419" s="234">
        <v>43398</v>
      </c>
      <c r="H419" s="235" t="s">
        <v>2174</v>
      </c>
      <c r="I419" s="157" t="s">
        <v>935</v>
      </c>
      <c r="J419" s="237">
        <v>5700</v>
      </c>
      <c r="K419" s="175" t="s">
        <v>61</v>
      </c>
      <c r="L419" s="175" t="s">
        <v>439</v>
      </c>
      <c r="M419" s="175" t="s">
        <v>1343</v>
      </c>
      <c r="N419" s="180"/>
      <c r="O419" s="177"/>
      <c r="P419" s="185">
        <v>0</v>
      </c>
      <c r="Q419" s="177">
        <v>43391</v>
      </c>
      <c r="R419" s="178">
        <v>453.95887500000003</v>
      </c>
      <c r="S419" s="179">
        <v>44138.9</v>
      </c>
      <c r="T419" s="182" t="s">
        <v>45</v>
      </c>
      <c r="U419" s="183">
        <v>3.7225000000000001</v>
      </c>
      <c r="V419" s="179">
        <v>7426.15</v>
      </c>
      <c r="W419" s="179">
        <v>0</v>
      </c>
      <c r="X419" s="186" t="s">
        <v>45</v>
      </c>
      <c r="Y419" s="183">
        <v>3.7225000000000001</v>
      </c>
      <c r="Z419" s="220"/>
      <c r="AA419" s="172">
        <f>Delivery[[#This Row],[Quantity delivered]]*VLOOKUP(Delivery[[#This Row],[Unit]],Tab_Conversão[],4,FALSE)*VLOOKUP(CONCATENATE(Delivery[[#This Row],[Coffee specie]],Delivery[[#This Row],[Coffee state]]),Tab_Conversão[],4,FALSE)</f>
        <v>5700</v>
      </c>
      <c r="AB419" s="169">
        <f>SUMIF(Allocation!C:C,Delivery[[#This Row],[Delivery ID]],Allocation!D:D)/Delivery[[#This Row],[Quantity delivered]]</f>
        <v>0.19526315789473683</v>
      </c>
      <c r="AC419" s="170">
        <f>Delivery[[#This Row],[Quantity delivered]]*Delivery[[#This Row],[Base price (Unidad)]]/60</f>
        <v>43126.093125000007</v>
      </c>
      <c r="AD419" s="171">
        <f>Delivery[[#This Row],[Nespresso total]]-Delivery[[#This Row],[Qt. Delivery * Base Price]]</f>
        <v>1012.8068749999948</v>
      </c>
      <c r="AE419" s="171">
        <f>Delivery[[#This Row],[AAA Premium (total)]]/Delivery[[#This Row],[Quantity delivered]]*60/Delivery[[#This Row],[Exchange rate VS USD]]</f>
        <v>20.999328408327738</v>
      </c>
      <c r="AF419" s="171">
        <f>Delivery[[#This Row],[BEN premium (total)]]/Delivery[[#This Row],[Quantity delivered]]*60/Delivery[[#This Row],[Exchange rate for premiums VS USD]]</f>
        <v>0</v>
      </c>
      <c r="AG419" s="171">
        <f>COUNTIF(Delivery[Delivery ID],Delivery[[#This Row],[Delivery ID]])</f>
        <v>1</v>
      </c>
      <c r="AH419" s="171">
        <f>(Delivery[[#This Row],[Nespresso total]]/SUMIF(Allocation!C:C,Delivery[Delivery ID],Allocation!H:H))/Delivery[[#This Row],[Exchange rate VS USD]]</f>
        <v>13.307886717333774</v>
      </c>
      <c r="AI419" s="171">
        <f>(Delivery[[#This Row],[AAA Premium (total)]]/SUMIF(Allocation!C:C,Delivery[Delivery ID],Allocation!H:H))/Delivery[[#This Row],[Exchange rate VS USD]]</f>
        <v>2.2389856327622164</v>
      </c>
      <c r="AJ419" s="171">
        <f>Delivery[[#This Row],[Valor Prêmio Nespresso AAA por Kg (em US$)]]*60</f>
        <v>134.33913796573299</v>
      </c>
      <c r="AK419" s="171">
        <f>Delivery[[#This Row],[Valor Prêmio Nespresso AAA por saca (em US$)]]/1.3228/100</f>
        <v>1.0155665101733671</v>
      </c>
      <c r="AL419" s="171">
        <f>(Delivery[[#This Row],[BEN premium (total)]]/SUMIF(Allocation!C:C,Delivery[Delivery ID],Allocation!H:H))/Delivery[[#This Row],[Exchange rate for premiums VS USD]]</f>
        <v>0</v>
      </c>
      <c r="AM419" s="171">
        <f>Delivery[[#This Row],[Valor Prêmio Nespresso BEN por Kg (em US$)]]*60</f>
        <v>0</v>
      </c>
      <c r="AN419" s="171">
        <f>Delivery[[#This Row],[Valor Prêmio Nespresso BEN por saca (em US$)]]/1.3228/100</f>
        <v>0</v>
      </c>
      <c r="AO419" s="171">
        <f>SUMIF(Allocation[Delivery ID],Delivery[[#This Row],[Delivery ID]],Allocation[Quantity allocated])*16*1.3228*Delivery[[#This Row],[Exchange rate VS USD]]/60</f>
        <v>1169.9716248000002</v>
      </c>
      <c r="AP419" s="171">
        <f>Delivery[[#This Row],[AAA Premium (total)]]</f>
        <v>7426.15</v>
      </c>
      <c r="AQ419" s="171">
        <f>Delivery[[#This Row],[Valor pago pelo Cluster]]-Delivery[[#This Row],[Valor efetivamente pago pela Nespresso]]</f>
        <v>6256.1783751999992</v>
      </c>
    </row>
    <row r="420" spans="1:43" ht="15.75">
      <c r="A420" s="174" t="s">
        <v>69</v>
      </c>
      <c r="B420" s="232" t="s">
        <v>68</v>
      </c>
      <c r="C420" s="157">
        <v>1</v>
      </c>
      <c r="D420" s="157" t="s">
        <v>468</v>
      </c>
      <c r="E420" s="177" t="s">
        <v>468</v>
      </c>
      <c r="F420" s="233" t="s">
        <v>543</v>
      </c>
      <c r="G420" s="234">
        <v>43398</v>
      </c>
      <c r="H420" s="235" t="s">
        <v>2175</v>
      </c>
      <c r="I420" s="157" t="s">
        <v>935</v>
      </c>
      <c r="J420" s="237">
        <v>2880</v>
      </c>
      <c r="K420" s="175" t="s">
        <v>61</v>
      </c>
      <c r="L420" s="175" t="s">
        <v>439</v>
      </c>
      <c r="M420" s="175" t="s">
        <v>1343</v>
      </c>
      <c r="N420" s="180"/>
      <c r="O420" s="177"/>
      <c r="P420" s="185">
        <v>0</v>
      </c>
      <c r="Q420" s="177">
        <v>43391</v>
      </c>
      <c r="R420" s="178">
        <v>453.95887500000003</v>
      </c>
      <c r="S420" s="179">
        <v>22301.760000000002</v>
      </c>
      <c r="T420" s="182" t="s">
        <v>45</v>
      </c>
      <c r="U420" s="183">
        <v>3.7225000000000001</v>
      </c>
      <c r="V420" s="179">
        <v>3752.16</v>
      </c>
      <c r="W420" s="179">
        <v>0</v>
      </c>
      <c r="X420" s="186" t="s">
        <v>45</v>
      </c>
      <c r="Y420" s="183">
        <v>3.7225000000000001</v>
      </c>
      <c r="Z420" s="220"/>
      <c r="AA420" s="172">
        <f>Delivery[[#This Row],[Quantity delivered]]*VLOOKUP(Delivery[[#This Row],[Unit]],Tab_Conversão[],4,FALSE)*VLOOKUP(CONCATENATE(Delivery[[#This Row],[Coffee specie]],Delivery[[#This Row],[Coffee state]]),Tab_Conversão[],4,FALSE)</f>
        <v>2880</v>
      </c>
      <c r="AB420" s="169">
        <f>SUMIF(Allocation!C:C,Delivery[[#This Row],[Delivery ID]],Allocation!D:D)/Delivery[[#This Row],[Quantity delivered]]</f>
        <v>0.19548611111111111</v>
      </c>
      <c r="AC420" s="170">
        <f>Delivery[[#This Row],[Quantity delivered]]*Delivery[[#This Row],[Base price (Unidad)]]/60</f>
        <v>21790.026000000002</v>
      </c>
      <c r="AD420" s="171">
        <f>Delivery[[#This Row],[Nespresso total]]-Delivery[[#This Row],[Qt. Delivery * Base Price]]</f>
        <v>511.73400000000038</v>
      </c>
      <c r="AE420" s="171">
        <f>Delivery[[#This Row],[AAA Premium (total)]]/Delivery[[#This Row],[Quantity delivered]]*60/Delivery[[#This Row],[Exchange rate VS USD]]</f>
        <v>20.999328408327738</v>
      </c>
      <c r="AF420" s="171">
        <f>Delivery[[#This Row],[BEN premium (total)]]/Delivery[[#This Row],[Quantity delivered]]*60/Delivery[[#This Row],[Exchange rate for premiums VS USD]]</f>
        <v>0</v>
      </c>
      <c r="AG420" s="171">
        <f>COUNTIF(Delivery[Delivery ID],Delivery[[#This Row],[Delivery ID]])</f>
        <v>1</v>
      </c>
      <c r="AH420" s="171">
        <f>(Delivery[[#This Row],[Nespresso total]]/SUMIF(Allocation!C:C,Delivery[Delivery ID],Allocation!H:H))/Delivery[[#This Row],[Exchange rate VS USD]]</f>
        <v>13.313490038056862</v>
      </c>
      <c r="AI420" s="171">
        <f>(Delivery[[#This Row],[AAA Premium (total)]]/SUMIF(Allocation!C:C,Delivery[Delivery ID],Allocation!H:H))/Delivery[[#This Row],[Exchange rate VS USD]]</f>
        <v>2.2399283635549585</v>
      </c>
      <c r="AJ420" s="171">
        <f>Delivery[[#This Row],[Valor Prêmio Nespresso AAA por Kg (em US$)]]*60</f>
        <v>134.39570181329751</v>
      </c>
      <c r="AK420" s="171">
        <f>Delivery[[#This Row],[Valor Prêmio Nespresso AAA por saca (em US$)]]/1.3228/100</f>
        <v>1.0159941171250189</v>
      </c>
      <c r="AL420" s="171">
        <f>(Delivery[[#This Row],[BEN premium (total)]]/SUMIF(Allocation!C:C,Delivery[Delivery ID],Allocation!H:H))/Delivery[[#This Row],[Exchange rate for premiums VS USD]]</f>
        <v>0</v>
      </c>
      <c r="AM420" s="171">
        <f>Delivery[[#This Row],[Valor Prêmio Nespresso BEN por Kg (em US$)]]*60</f>
        <v>0</v>
      </c>
      <c r="AN420" s="171">
        <f>Delivery[[#This Row],[Valor Prêmio Nespresso BEN por saca (em US$)]]/1.3228/100</f>
        <v>0</v>
      </c>
      <c r="AO420" s="171">
        <f>SUMIF(Allocation[Delivery ID],Delivery[[#This Row],[Delivery ID]],Allocation[Quantity allocated])*16*1.3228*Delivery[[#This Row],[Exchange rate VS USD]]/60</f>
        <v>590.89476000000002</v>
      </c>
      <c r="AP420" s="171">
        <f>Delivery[[#This Row],[AAA Premium (total)]]</f>
        <v>3752.16</v>
      </c>
      <c r="AQ420" s="171">
        <f>Delivery[[#This Row],[Valor pago pelo Cluster]]-Delivery[[#This Row],[Valor efetivamente pago pela Nespresso]]</f>
        <v>3161.2652399999997</v>
      </c>
    </row>
    <row r="421" spans="1:43" ht="15.75">
      <c r="A421" s="174" t="s">
        <v>69</v>
      </c>
      <c r="B421" s="232" t="s">
        <v>68</v>
      </c>
      <c r="C421" s="157">
        <v>1</v>
      </c>
      <c r="D421" s="157" t="s">
        <v>468</v>
      </c>
      <c r="E421" s="177" t="s">
        <v>468</v>
      </c>
      <c r="F421" s="233" t="s">
        <v>543</v>
      </c>
      <c r="G421" s="234">
        <v>43398</v>
      </c>
      <c r="H421" s="235" t="s">
        <v>2176</v>
      </c>
      <c r="I421" s="157" t="s">
        <v>935</v>
      </c>
      <c r="J421" s="237">
        <v>11280</v>
      </c>
      <c r="K421" s="175" t="s">
        <v>61</v>
      </c>
      <c r="L421" s="175" t="s">
        <v>439</v>
      </c>
      <c r="M421" s="175" t="s">
        <v>1343</v>
      </c>
      <c r="N421" s="180"/>
      <c r="O421" s="177"/>
      <c r="P421" s="185">
        <v>0</v>
      </c>
      <c r="Q421" s="177">
        <v>43391</v>
      </c>
      <c r="R421" s="178">
        <v>453.95887500000003</v>
      </c>
      <c r="S421" s="179">
        <v>87348.56</v>
      </c>
      <c r="T421" s="182" t="s">
        <v>45</v>
      </c>
      <c r="U421" s="183">
        <v>3.7225000000000001</v>
      </c>
      <c r="V421" s="179">
        <v>14695.96</v>
      </c>
      <c r="W421" s="179">
        <v>0</v>
      </c>
      <c r="X421" s="186" t="s">
        <v>45</v>
      </c>
      <c r="Y421" s="183">
        <v>3.7225000000000001</v>
      </c>
      <c r="Z421" s="220"/>
      <c r="AA421" s="172">
        <f>Delivery[[#This Row],[Quantity delivered]]*VLOOKUP(Delivery[[#This Row],[Unit]],Tab_Conversão[],4,FALSE)*VLOOKUP(CONCATENATE(Delivery[[#This Row],[Coffee specie]],Delivery[[#This Row],[Coffee state]]),Tab_Conversão[],4,FALSE)</f>
        <v>11280</v>
      </c>
      <c r="AB421" s="169">
        <f>SUMIF(Allocation!C:C,Delivery[[#This Row],[Delivery ID]],Allocation!D:D)/Delivery[[#This Row],[Quantity delivered]]</f>
        <v>0.19539007092198582</v>
      </c>
      <c r="AC421" s="170">
        <f>Delivery[[#This Row],[Quantity delivered]]*Delivery[[#This Row],[Base price (Unidad)]]/60</f>
        <v>85344.268500000006</v>
      </c>
      <c r="AD421" s="171">
        <f>Delivery[[#This Row],[Nespresso total]]-Delivery[[#This Row],[Qt. Delivery * Base Price]]</f>
        <v>2004.2914999999921</v>
      </c>
      <c r="AE421" s="171">
        <f>Delivery[[#This Row],[AAA Premium (total)]]/Delivery[[#This Row],[Quantity delivered]]*60/Delivery[[#This Row],[Exchange rate VS USD]]</f>
        <v>20.999328408327738</v>
      </c>
      <c r="AF421" s="171">
        <f>Delivery[[#This Row],[BEN premium (total)]]/Delivery[[#This Row],[Quantity delivered]]*60/Delivery[[#This Row],[Exchange rate for premiums VS USD]]</f>
        <v>0</v>
      </c>
      <c r="AG421" s="171">
        <f>COUNTIF(Delivery[Delivery ID],Delivery[[#This Row],[Delivery ID]])</f>
        <v>1</v>
      </c>
      <c r="AH421" s="171">
        <f>(Delivery[[#This Row],[Nespresso total]]/SUMIF(Allocation!C:C,Delivery[Delivery ID],Allocation!H:H))/Delivery[[#This Row],[Exchange rate VS USD]]</f>
        <v>13.309714232600804</v>
      </c>
      <c r="AI421" s="171">
        <f>(Delivery[[#This Row],[AAA Premium (total)]]/SUMIF(Allocation!C:C,Delivery[Delivery ID],Allocation!H:H))/Delivery[[#This Row],[Exchange rate VS USD]]</f>
        <v>2.2392931031001786</v>
      </c>
      <c r="AJ421" s="171">
        <f>Delivery[[#This Row],[Valor Prêmio Nespresso AAA por Kg (em US$)]]*60</f>
        <v>134.35758618601071</v>
      </c>
      <c r="AK421" s="171">
        <f>Delivery[[#This Row],[Valor Prêmio Nespresso AAA por saca (em US$)]]/1.3228/100</f>
        <v>1.0157059735864129</v>
      </c>
      <c r="AL421" s="171">
        <f>(Delivery[[#This Row],[BEN premium (total)]]/SUMIF(Allocation!C:C,Delivery[Delivery ID],Allocation!H:H))/Delivery[[#This Row],[Exchange rate for premiums VS USD]]</f>
        <v>0</v>
      </c>
      <c r="AM421" s="171">
        <f>Delivery[[#This Row],[Valor Prêmio Nespresso BEN por Kg (em US$)]]*60</f>
        <v>0</v>
      </c>
      <c r="AN421" s="171">
        <f>Delivery[[#This Row],[Valor Prêmio Nespresso BEN por saca (em US$)]]/1.3228/100</f>
        <v>0</v>
      </c>
      <c r="AO421" s="171">
        <f>SUMIF(Allocation[Delivery ID],Delivery[[#This Row],[Delivery ID]],Allocation[Quantity allocated])*16*1.3228*Delivery[[#This Row],[Exchange rate VS USD]]/60</f>
        <v>2314.9943597333331</v>
      </c>
      <c r="AP421" s="171">
        <f>Delivery[[#This Row],[AAA Premium (total)]]</f>
        <v>14695.96</v>
      </c>
      <c r="AQ421" s="171">
        <f>Delivery[[#This Row],[Valor pago pelo Cluster]]-Delivery[[#This Row],[Valor efetivamente pago pela Nespresso]]</f>
        <v>12380.965640266666</v>
      </c>
    </row>
    <row r="422" spans="1:43" ht="15.75">
      <c r="A422" s="174" t="s">
        <v>69</v>
      </c>
      <c r="B422" s="232" t="s">
        <v>68</v>
      </c>
      <c r="C422" s="157">
        <v>1</v>
      </c>
      <c r="D422" s="157" t="s">
        <v>468</v>
      </c>
      <c r="E422" s="177" t="s">
        <v>468</v>
      </c>
      <c r="F422" s="233" t="s">
        <v>543</v>
      </c>
      <c r="G422" s="234">
        <v>43416</v>
      </c>
      <c r="H422" s="235" t="s">
        <v>1568</v>
      </c>
      <c r="I422" s="157" t="s">
        <v>1107</v>
      </c>
      <c r="J422" s="237">
        <v>960</v>
      </c>
      <c r="K422" s="175" t="s">
        <v>61</v>
      </c>
      <c r="L422" s="175" t="s">
        <v>439</v>
      </c>
      <c r="M422" s="175" t="s">
        <v>1343</v>
      </c>
      <c r="N422" s="180"/>
      <c r="O422" s="177"/>
      <c r="P422" s="185">
        <v>0</v>
      </c>
      <c r="Q422" s="177">
        <v>43412</v>
      </c>
      <c r="R422" s="178">
        <v>450.89892000000003</v>
      </c>
      <c r="S422" s="179">
        <v>7472.47122566912</v>
      </c>
      <c r="T422" s="182" t="s">
        <v>45</v>
      </c>
      <c r="U422" s="183">
        <v>3.7528000000000001</v>
      </c>
      <c r="V422" s="179">
        <v>420.31360000000001</v>
      </c>
      <c r="W422" s="179">
        <v>147.34877433087999</v>
      </c>
      <c r="X422" s="186" t="s">
        <v>45</v>
      </c>
      <c r="Y422" s="183">
        <v>3.7528000000000001</v>
      </c>
      <c r="Z422" s="220" t="s">
        <v>473</v>
      </c>
      <c r="AA422" s="172">
        <f>Delivery[[#This Row],[Quantity delivered]]*VLOOKUP(Delivery[[#This Row],[Unit]],Tab_Conversão[],4,FALSE)*VLOOKUP(CONCATENATE(Delivery[[#This Row],[Coffee specie]],Delivery[[#This Row],[Coffee state]]),Tab_Conversão[],4,FALSE)</f>
        <v>960</v>
      </c>
      <c r="AB422" s="169">
        <f>SUMIF(Allocation!C:C,Delivery[[#This Row],[Delivery ID]],Allocation!D:D)/Delivery[[#This Row],[Quantity delivered]]</f>
        <v>1</v>
      </c>
      <c r="AC422" s="170">
        <f>Delivery[[#This Row],[Quantity delivered]]*Delivery[[#This Row],[Base price (Unidad)]]/60</f>
        <v>7214.3827200000005</v>
      </c>
      <c r="AD422" s="171">
        <f>Delivery[[#This Row],[Nespresso total]]-Delivery[[#This Row],[Qt. Delivery * Base Price]]</f>
        <v>258.08850566911951</v>
      </c>
      <c r="AE422" s="171">
        <f>Delivery[[#This Row],[AAA Premium (total)]]/Delivery[[#This Row],[Quantity delivered]]*60/Delivery[[#This Row],[Exchange rate VS USD]]</f>
        <v>7</v>
      </c>
      <c r="AF422" s="171">
        <f>Delivery[[#This Row],[BEN premium (total)]]/Delivery[[#This Row],[Quantity delivered]]*60/Delivery[[#This Row],[Exchange rate for premiums VS USD]]</f>
        <v>2.4539806</v>
      </c>
      <c r="AG422" s="171">
        <f>COUNTIF(Delivery[Delivery ID],Delivery[[#This Row],[Delivery ID]])</f>
        <v>1</v>
      </c>
      <c r="AH422" s="171">
        <f>(Delivery[[#This Row],[Nespresso total]]/SUMIF(Allocation!C:C,Delivery[Delivery ID],Allocation!H:H))/Delivery[[#This Row],[Exchange rate VS USD]]</f>
        <v>5.3526135794729326</v>
      </c>
      <c r="AI422" s="171">
        <f>(Delivery[[#This Row],[AAA Premium (total)]]/SUMIF(Allocation!C:C,Delivery[Delivery ID],Allocation!H:H))/Delivery[[#This Row],[Exchange rate VS USD]]</f>
        <v>0.30107526881720426</v>
      </c>
      <c r="AJ422" s="171">
        <f>Delivery[[#This Row],[Valor Prêmio Nespresso AAA por Kg (em US$)]]*60</f>
        <v>18.064516129032256</v>
      </c>
      <c r="AK422" s="171">
        <f>Delivery[[#This Row],[Valor Prêmio Nespresso AAA por saca (em US$)]]/1.3228/100</f>
        <v>0.13656271642751933</v>
      </c>
      <c r="AL422" s="171">
        <f>(Delivery[[#This Row],[BEN premium (total)]]/SUMIF(Allocation!C:C,Delivery[Delivery ID],Allocation!H:H))/Delivery[[#This Row],[Exchange rate for premiums VS USD]]</f>
        <v>0.10554755268817202</v>
      </c>
      <c r="AM422" s="171">
        <f>Delivery[[#This Row],[Valor Prêmio Nespresso BEN por Kg (em US$)]]*60</f>
        <v>6.3328531612903216</v>
      </c>
      <c r="AN422" s="171">
        <f>Delivery[[#This Row],[Valor Prêmio Nespresso BEN por saca (em US$)]]/1.3228/100</f>
        <v>4.7874608113776251E-2</v>
      </c>
      <c r="AO422" s="171">
        <f>SUMIF(Allocation[Delivery ID],Delivery[[#This Row],[Delivery ID]],Allocation[Quantity allocated])*16*1.3228*Delivery[[#This Row],[Exchange rate VS USD]]/60</f>
        <v>492.44902092800004</v>
      </c>
      <c r="AP422" s="171">
        <f>Delivery[[#This Row],[AAA Premium (total)]]</f>
        <v>420.31360000000001</v>
      </c>
      <c r="AQ422" s="171">
        <f>Delivery[[#This Row],[Valor pago pelo Cluster]]-Delivery[[#This Row],[Valor efetivamente pago pela Nespresso]]</f>
        <v>-72.13542092800003</v>
      </c>
    </row>
    <row r="423" spans="1:43" ht="15.75">
      <c r="A423" s="174" t="s">
        <v>69</v>
      </c>
      <c r="B423" s="232" t="s">
        <v>68</v>
      </c>
      <c r="C423" s="157">
        <v>1</v>
      </c>
      <c r="D423" s="157" t="s">
        <v>468</v>
      </c>
      <c r="E423" s="177" t="s">
        <v>468</v>
      </c>
      <c r="F423" s="233" t="s">
        <v>543</v>
      </c>
      <c r="G423" s="234">
        <v>43416</v>
      </c>
      <c r="H423" s="235" t="s">
        <v>1569</v>
      </c>
      <c r="I423" s="157" t="s">
        <v>1107</v>
      </c>
      <c r="J423" s="237">
        <v>31320</v>
      </c>
      <c r="K423" s="175" t="s">
        <v>61</v>
      </c>
      <c r="L423" s="175" t="s">
        <v>439</v>
      </c>
      <c r="M423" s="175" t="s">
        <v>1343</v>
      </c>
      <c r="N423" s="180"/>
      <c r="O423" s="177"/>
      <c r="P423" s="185">
        <v>0</v>
      </c>
      <c r="Q423" s="177">
        <v>43412</v>
      </c>
      <c r="R423" s="178">
        <v>450.89892000000003</v>
      </c>
      <c r="S423" s="179">
        <v>243830.48623745504</v>
      </c>
      <c r="T423" s="182" t="s">
        <v>45</v>
      </c>
      <c r="U423" s="183">
        <v>3.7528000000000001</v>
      </c>
      <c r="V423" s="179">
        <v>13712.7312</v>
      </c>
      <c r="W423" s="179">
        <v>4807.2537625449604</v>
      </c>
      <c r="X423" s="186" t="s">
        <v>45</v>
      </c>
      <c r="Y423" s="183">
        <v>3.7528000000000001</v>
      </c>
      <c r="Z423" s="220" t="s">
        <v>473</v>
      </c>
      <c r="AA423" s="172">
        <f>Delivery[[#This Row],[Quantity delivered]]*VLOOKUP(Delivery[[#This Row],[Unit]],Tab_Conversão[],4,FALSE)*VLOOKUP(CONCATENATE(Delivery[[#This Row],[Coffee specie]],Delivery[[#This Row],[Coffee state]]),Tab_Conversão[],4,FALSE)</f>
        <v>31320</v>
      </c>
      <c r="AB423" s="169">
        <f>SUMIF(Allocation!C:C,Delivery[[#This Row],[Delivery ID]],Allocation!D:D)/Delivery[[#This Row],[Quantity delivered]]</f>
        <v>1</v>
      </c>
      <c r="AC423" s="170">
        <f>Delivery[[#This Row],[Quantity delivered]]*Delivery[[#This Row],[Base price (Unidad)]]/60</f>
        <v>235369.23624000003</v>
      </c>
      <c r="AD423" s="171">
        <f>Delivery[[#This Row],[Nespresso total]]-Delivery[[#This Row],[Qt. Delivery * Base Price]]</f>
        <v>8461.2499974550155</v>
      </c>
      <c r="AE423" s="171">
        <f>Delivery[[#This Row],[AAA Premium (total)]]/Delivery[[#This Row],[Quantity delivered]]*60/Delivery[[#This Row],[Exchange rate VS USD]]</f>
        <v>7</v>
      </c>
      <c r="AF423" s="171">
        <f>Delivery[[#This Row],[BEN premium (total)]]/Delivery[[#This Row],[Quantity delivered]]*60/Delivery[[#This Row],[Exchange rate for premiums VS USD]]</f>
        <v>2.4539806</v>
      </c>
      <c r="AG423" s="171">
        <f>COUNTIF(Delivery[Delivery ID],Delivery[[#This Row],[Delivery ID]])</f>
        <v>1</v>
      </c>
      <c r="AH423" s="171">
        <f>(Delivery[[#This Row],[Nespresso total]]/SUMIF(Allocation!C:C,Delivery[Delivery ID],Allocation!H:H))/Delivery[[#This Row],[Exchange rate VS USD]]</f>
        <v>5.3577100569603893</v>
      </c>
      <c r="AI423" s="171">
        <f>(Delivery[[#This Row],[AAA Premium (total)]]/SUMIF(Allocation!C:C,Delivery[Delivery ID],Allocation!H:H))/Delivery[[#This Row],[Exchange rate VS USD]]</f>
        <v>0.30131112393831949</v>
      </c>
      <c r="AJ423" s="171">
        <f>Delivery[[#This Row],[Valor Prêmio Nespresso AAA por Kg (em US$)]]*60</f>
        <v>18.07866743629917</v>
      </c>
      <c r="AK423" s="171">
        <f>Delivery[[#This Row],[Valor Prêmio Nespresso AAA por saca (em US$)]]/1.3228/100</f>
        <v>0.13666969637359519</v>
      </c>
      <c r="AL423" s="171">
        <f>(Delivery[[#This Row],[BEN premium (total)]]/SUMIF(Allocation!C:C,Delivery[Delivery ID],Allocation!H:H))/Delivery[[#This Row],[Exchange rate for premiums VS USD]]</f>
        <v>0.10563023610126165</v>
      </c>
      <c r="AM423" s="171">
        <f>Delivery[[#This Row],[Valor Prêmio Nespresso BEN por Kg (em US$)]]*60</f>
        <v>6.3378141660756988</v>
      </c>
      <c r="AN423" s="171">
        <f>Delivery[[#This Row],[Valor Prêmio Nespresso BEN por saca (em US$)]]/1.3228/100</f>
        <v>4.7912111929813268E-2</v>
      </c>
      <c r="AO423" s="171">
        <f>SUMIF(Allocation[Delivery ID],Delivery[[#This Row],[Delivery ID]],Allocation[Quantity allocated])*16*1.3228*Delivery[[#This Row],[Exchange rate VS USD]]/60</f>
        <v>16053.573324714667</v>
      </c>
      <c r="AP423" s="171">
        <f>Delivery[[#This Row],[AAA Premium (total)]]</f>
        <v>13712.7312</v>
      </c>
      <c r="AQ423" s="171">
        <f>Delivery[[#This Row],[Valor pago pelo Cluster]]-Delivery[[#This Row],[Valor efetivamente pago pela Nespresso]]</f>
        <v>-2340.8421247146671</v>
      </c>
    </row>
    <row r="424" spans="1:43" ht="15.75">
      <c r="A424" s="174" t="s">
        <v>69</v>
      </c>
      <c r="B424" s="232" t="s">
        <v>68</v>
      </c>
      <c r="C424" s="157">
        <v>1</v>
      </c>
      <c r="D424" s="157" t="s">
        <v>468</v>
      </c>
      <c r="E424" s="177" t="s">
        <v>468</v>
      </c>
      <c r="F424" s="233" t="s">
        <v>543</v>
      </c>
      <c r="G424" s="234">
        <v>43416</v>
      </c>
      <c r="H424" s="235" t="s">
        <v>1570</v>
      </c>
      <c r="I424" s="157" t="s">
        <v>1107</v>
      </c>
      <c r="J424" s="237">
        <v>30630</v>
      </c>
      <c r="K424" s="175" t="s">
        <v>61</v>
      </c>
      <c r="L424" s="175" t="s">
        <v>439</v>
      </c>
      <c r="M424" s="175" t="s">
        <v>1343</v>
      </c>
      <c r="N424" s="180"/>
      <c r="O424" s="177"/>
      <c r="P424" s="185">
        <v>0</v>
      </c>
      <c r="Q424" s="177">
        <v>43412</v>
      </c>
      <c r="R424" s="178">
        <v>450.89892000000003</v>
      </c>
      <c r="S424" s="179">
        <v>238458.71316900535</v>
      </c>
      <c r="T424" s="182" t="s">
        <v>45</v>
      </c>
      <c r="U424" s="183">
        <v>3.7528000000000001</v>
      </c>
      <c r="V424" s="179">
        <v>13410.630800000001</v>
      </c>
      <c r="W424" s="179">
        <v>4701.3468309946402</v>
      </c>
      <c r="X424" s="186" t="s">
        <v>45</v>
      </c>
      <c r="Y424" s="183">
        <v>3.7528000000000001</v>
      </c>
      <c r="Z424" s="220" t="s">
        <v>473</v>
      </c>
      <c r="AA424" s="172">
        <f>Delivery[[#This Row],[Quantity delivered]]*VLOOKUP(Delivery[[#This Row],[Unit]],Tab_Conversão[],4,FALSE)*VLOOKUP(CONCATENATE(Delivery[[#This Row],[Coffee specie]],Delivery[[#This Row],[Coffee state]]),Tab_Conversão[],4,FALSE)</f>
        <v>30630</v>
      </c>
      <c r="AB424" s="169">
        <f>SUMIF(Allocation!C:C,Delivery[[#This Row],[Delivery ID]],Allocation!D:D)/Delivery[[#This Row],[Quantity delivered]]</f>
        <v>1</v>
      </c>
      <c r="AC424" s="170">
        <f>Delivery[[#This Row],[Quantity delivered]]*Delivery[[#This Row],[Base price (Unidad)]]/60</f>
        <v>230183.89866000001</v>
      </c>
      <c r="AD424" s="171">
        <f>Delivery[[#This Row],[Nespresso total]]-Delivery[[#This Row],[Qt. Delivery * Base Price]]</f>
        <v>8274.814509005344</v>
      </c>
      <c r="AE424" s="171">
        <f>Delivery[[#This Row],[AAA Premium (total)]]/Delivery[[#This Row],[Quantity delivered]]*60/Delivery[[#This Row],[Exchange rate VS USD]]</f>
        <v>7</v>
      </c>
      <c r="AF424" s="171">
        <f>Delivery[[#This Row],[BEN premium (total)]]/Delivery[[#This Row],[Quantity delivered]]*60/Delivery[[#This Row],[Exchange rate for premiums VS USD]]</f>
        <v>2.4539806</v>
      </c>
      <c r="AG424" s="171">
        <f>COUNTIF(Delivery[Delivery ID],Delivery[[#This Row],[Delivery ID]])</f>
        <v>1</v>
      </c>
      <c r="AH424" s="171">
        <f>(Delivery[[#This Row],[Nespresso total]]/SUMIF(Allocation!C:C,Delivery[Delivery ID],Allocation!H:H))/Delivery[[#This Row],[Exchange rate VS USD]]</f>
        <v>5.3544742415257467</v>
      </c>
      <c r="AI424" s="171">
        <f>(Delivery[[#This Row],[AAA Premium (total)]]/SUMIF(Allocation!C:C,Delivery[Delivery ID],Allocation!H:H))/Delivery[[#This Row],[Exchange rate VS USD]]</f>
        <v>0.30112918176455722</v>
      </c>
      <c r="AJ424" s="171">
        <f>Delivery[[#This Row],[Valor Prêmio Nespresso AAA por Kg (em US$)]]*60</f>
        <v>18.067750905873432</v>
      </c>
      <c r="AK424" s="171">
        <f>Delivery[[#This Row],[Valor Prêmio Nespresso AAA por saca (em US$)]]/1.3228/100</f>
        <v>0.13658717044053093</v>
      </c>
      <c r="AL424" s="171">
        <f>(Delivery[[#This Row],[BEN premium (total)]]/SUMIF(Allocation!C:C,Delivery[Delivery ID],Allocation!H:H))/Delivery[[#This Row],[Exchange rate for premiums VS USD]]</f>
        <v>0.10556645287772816</v>
      </c>
      <c r="AM424" s="171">
        <f>Delivery[[#This Row],[Valor Prêmio Nespresso BEN por Kg (em US$)]]*60</f>
        <v>6.3339871726636892</v>
      </c>
      <c r="AN424" s="171">
        <f>Delivery[[#This Row],[Valor Prêmio Nespresso BEN por saca (em US$)]]/1.3228/100</f>
        <v>4.7883180924279477E-2</v>
      </c>
      <c r="AO424" s="171">
        <f>SUMIF(Allocation[Delivery ID],Delivery[[#This Row],[Delivery ID]],Allocation[Quantity allocated])*16*1.3228*Delivery[[#This Row],[Exchange rate VS USD]]/60</f>
        <v>15709.388525141334</v>
      </c>
      <c r="AP424" s="171">
        <f>Delivery[[#This Row],[AAA Premium (total)]]</f>
        <v>13410.630800000001</v>
      </c>
      <c r="AQ424" s="171">
        <f>Delivery[[#This Row],[Valor pago pelo Cluster]]-Delivery[[#This Row],[Valor efetivamente pago pela Nespresso]]</f>
        <v>-2298.7577251413331</v>
      </c>
    </row>
    <row r="425" spans="1:43" ht="15.75">
      <c r="A425" s="174" t="s">
        <v>69</v>
      </c>
      <c r="B425" s="232" t="s">
        <v>68</v>
      </c>
      <c r="C425" s="157">
        <v>1</v>
      </c>
      <c r="D425" s="157" t="s">
        <v>468</v>
      </c>
      <c r="E425" s="177" t="s">
        <v>468</v>
      </c>
      <c r="F425" s="233" t="s">
        <v>543</v>
      </c>
      <c r="G425" s="234">
        <v>43416</v>
      </c>
      <c r="H425" s="235" t="s">
        <v>1571</v>
      </c>
      <c r="I425" s="157" t="s">
        <v>1107</v>
      </c>
      <c r="J425" s="237">
        <v>30000</v>
      </c>
      <c r="K425" s="175" t="s">
        <v>61</v>
      </c>
      <c r="L425" s="175" t="s">
        <v>439</v>
      </c>
      <c r="M425" s="175" t="s">
        <v>1343</v>
      </c>
      <c r="N425" s="180"/>
      <c r="O425" s="177"/>
      <c r="P425" s="185">
        <v>0</v>
      </c>
      <c r="Q425" s="177">
        <v>43412</v>
      </c>
      <c r="R425" s="178">
        <v>450.89892000000003</v>
      </c>
      <c r="S425" s="179">
        <v>233554.05080216003</v>
      </c>
      <c r="T425" s="182" t="s">
        <v>45</v>
      </c>
      <c r="U425" s="183">
        <v>3.7528000000000001</v>
      </c>
      <c r="V425" s="179">
        <v>13134.800000000001</v>
      </c>
      <c r="W425" s="179">
        <v>4604.6491978399999</v>
      </c>
      <c r="X425" s="186" t="s">
        <v>45</v>
      </c>
      <c r="Y425" s="183">
        <v>3.7528000000000001</v>
      </c>
      <c r="Z425" s="220" t="s">
        <v>473</v>
      </c>
      <c r="AA425" s="172">
        <f>Delivery[[#This Row],[Quantity delivered]]*VLOOKUP(Delivery[[#This Row],[Unit]],Tab_Conversão[],4,FALSE)*VLOOKUP(CONCATENATE(Delivery[[#This Row],[Coffee specie]],Delivery[[#This Row],[Coffee state]]),Tab_Conversão[],4,FALSE)</f>
        <v>30000</v>
      </c>
      <c r="AB425" s="169">
        <f>SUMIF(Allocation!C:C,Delivery[[#This Row],[Delivery ID]],Allocation!D:D)/Delivery[[#This Row],[Quantity delivered]]</f>
        <v>1</v>
      </c>
      <c r="AC425" s="170">
        <f>Delivery[[#This Row],[Quantity delivered]]*Delivery[[#This Row],[Base price (Unidad)]]/60</f>
        <v>225449.46000000002</v>
      </c>
      <c r="AD425" s="171">
        <f>Delivery[[#This Row],[Nespresso total]]-Delivery[[#This Row],[Qt. Delivery * Base Price]]</f>
        <v>8104.5908021600044</v>
      </c>
      <c r="AE425" s="171">
        <f>Delivery[[#This Row],[AAA Premium (total)]]/Delivery[[#This Row],[Quantity delivered]]*60/Delivery[[#This Row],[Exchange rate VS USD]]</f>
        <v>7</v>
      </c>
      <c r="AF425" s="171">
        <f>Delivery[[#This Row],[BEN premium (total)]]/Delivery[[#This Row],[Quantity delivered]]*60/Delivery[[#This Row],[Exchange rate for premiums VS USD]]</f>
        <v>2.4539806</v>
      </c>
      <c r="AG425" s="171">
        <f>COUNTIF(Delivery[Delivery ID],Delivery[[#This Row],[Delivery ID]])</f>
        <v>1</v>
      </c>
      <c r="AH425" s="171">
        <f>(Delivery[[#This Row],[Nespresso total]]/SUMIF(Allocation!C:C,Delivery[Delivery ID],Allocation!H:H))/Delivery[[#This Row],[Exchange rate VS USD]]</f>
        <v>5.3539755423122113</v>
      </c>
      <c r="AI425" s="171">
        <f>(Delivery[[#This Row],[AAA Premium (total)]]/SUMIF(Allocation!C:C,Delivery[Delivery ID],Allocation!H:H))/Delivery[[#This Row],[Exchange rate VS USD]]</f>
        <v>0.3011011699931177</v>
      </c>
      <c r="AJ425" s="171">
        <f>Delivery[[#This Row],[Valor Prêmio Nespresso AAA por Kg (em US$)]]*60</f>
        <v>18.066070199587063</v>
      </c>
      <c r="AK425" s="171">
        <f>Delivery[[#This Row],[Valor Prêmio Nespresso AAA por saca (em US$)]]/1.3228/100</f>
        <v>0.13657446476857471</v>
      </c>
      <c r="AL425" s="171">
        <f>(Delivery[[#This Row],[BEN premium (total)]]/SUMIF(Allocation!C:C,Delivery[Delivery ID],Allocation!H:H))/Delivery[[#This Row],[Exchange rate for premiums VS USD]]</f>
        <v>0.10555663282863043</v>
      </c>
      <c r="AM425" s="171">
        <f>Delivery[[#This Row],[Valor Prêmio Nespresso BEN por Kg (em US$)]]*60</f>
        <v>6.3333979697178258</v>
      </c>
      <c r="AN425" s="171">
        <f>Delivery[[#This Row],[Valor Prêmio Nespresso BEN por saca (em US$)]]/1.3228/100</f>
        <v>4.7878726713923694E-2</v>
      </c>
      <c r="AO425" s="171">
        <f>SUMIF(Allocation[Delivery ID],Delivery[[#This Row],[Delivery ID]],Allocation[Quantity allocated])*16*1.3228*Delivery[[#This Row],[Exchange rate VS USD]]/60</f>
        <v>15387.708116309333</v>
      </c>
      <c r="AP425" s="171">
        <f>Delivery[[#This Row],[AAA Premium (total)]]</f>
        <v>13134.800000000001</v>
      </c>
      <c r="AQ425" s="171">
        <f>Delivery[[#This Row],[Valor pago pelo Cluster]]-Delivery[[#This Row],[Valor efetivamente pago pela Nespresso]]</f>
        <v>-2252.9081163093324</v>
      </c>
    </row>
    <row r="426" spans="1:43" ht="15.75">
      <c r="A426" s="174" t="s">
        <v>69</v>
      </c>
      <c r="B426" s="232" t="s">
        <v>68</v>
      </c>
      <c r="C426" s="157">
        <v>1</v>
      </c>
      <c r="D426" s="157" t="s">
        <v>468</v>
      </c>
      <c r="E426" s="177" t="s">
        <v>468</v>
      </c>
      <c r="F426" s="233" t="s">
        <v>543</v>
      </c>
      <c r="G426" s="234">
        <v>43416</v>
      </c>
      <c r="H426" s="235" t="s">
        <v>1572</v>
      </c>
      <c r="I426" s="157" t="s">
        <v>1107</v>
      </c>
      <c r="J426" s="237">
        <v>19750</v>
      </c>
      <c r="K426" s="175" t="s">
        <v>61</v>
      </c>
      <c r="L426" s="175" t="s">
        <v>439</v>
      </c>
      <c r="M426" s="175" t="s">
        <v>1343</v>
      </c>
      <c r="N426" s="180"/>
      <c r="O426" s="177"/>
      <c r="P426" s="185">
        <v>0</v>
      </c>
      <c r="Q426" s="177">
        <v>43412</v>
      </c>
      <c r="R426" s="178">
        <v>450.89892000000003</v>
      </c>
      <c r="S426" s="179">
        <v>153755.97261142201</v>
      </c>
      <c r="T426" s="182" t="s">
        <v>45</v>
      </c>
      <c r="U426" s="183">
        <v>3.7528000000000001</v>
      </c>
      <c r="V426" s="179">
        <v>8647.0766666666677</v>
      </c>
      <c r="W426" s="179">
        <v>3031.394055244667</v>
      </c>
      <c r="X426" s="186" t="s">
        <v>45</v>
      </c>
      <c r="Y426" s="183">
        <v>3.7528000000000001</v>
      </c>
      <c r="Z426" s="220" t="s">
        <v>473</v>
      </c>
      <c r="AA426" s="172">
        <f>Delivery[[#This Row],[Quantity delivered]]*VLOOKUP(Delivery[[#This Row],[Unit]],Tab_Conversão[],4,FALSE)*VLOOKUP(CONCATENATE(Delivery[[#This Row],[Coffee specie]],Delivery[[#This Row],[Coffee state]]),Tab_Conversão[],4,FALSE)</f>
        <v>19750</v>
      </c>
      <c r="AB426" s="169">
        <f>SUMIF(Allocation!C:C,Delivery[[#This Row],[Delivery ID]],Allocation!D:D)/Delivery[[#This Row],[Quantity delivered]]</f>
        <v>1</v>
      </c>
      <c r="AC426" s="170">
        <f>Delivery[[#This Row],[Quantity delivered]]*Delivery[[#This Row],[Base price (Unidad)]]/60</f>
        <v>148420.89449999999</v>
      </c>
      <c r="AD426" s="171">
        <f>Delivery[[#This Row],[Nespresso total]]-Delivery[[#This Row],[Qt. Delivery * Base Price]]</f>
        <v>5335.0781114220154</v>
      </c>
      <c r="AE426" s="171">
        <f>Delivery[[#This Row],[AAA Premium (total)]]/Delivery[[#This Row],[Quantity delivered]]*60/Delivery[[#This Row],[Exchange rate VS USD]]</f>
        <v>7</v>
      </c>
      <c r="AF426" s="171">
        <f>Delivery[[#This Row],[BEN premium (total)]]/Delivery[[#This Row],[Quantity delivered]]*60/Delivery[[#This Row],[Exchange rate for premiums VS USD]]</f>
        <v>2.4539806000000004</v>
      </c>
      <c r="AG426" s="171">
        <f>COUNTIF(Delivery[Delivery ID],Delivery[[#This Row],[Delivery ID]])</f>
        <v>1</v>
      </c>
      <c r="AH426" s="171">
        <f>(Delivery[[#This Row],[Nespresso total]]/SUMIF(Allocation!C:C,Delivery[Delivery ID],Allocation!H:H))/Delivery[[#This Row],[Exchange rate VS USD]]</f>
        <v>5.3605915236976154</v>
      </c>
      <c r="AI426" s="171">
        <f>(Delivery[[#This Row],[AAA Premium (total)]]/SUMIF(Allocation!C:C,Delivery[Delivery ID],Allocation!H:H))/Delivery[[#This Row],[Exchange rate VS USD]]</f>
        <v>0.30147411574861532</v>
      </c>
      <c r="AJ426" s="171">
        <f>Delivery[[#This Row],[Valor Prêmio Nespresso AAA por Kg (em US$)]]*60</f>
        <v>18.088446944916921</v>
      </c>
      <c r="AK426" s="171">
        <f>Delivery[[#This Row],[Valor Prêmio Nespresso AAA por saca (em US$)]]/1.3228/100</f>
        <v>0.13674362673810797</v>
      </c>
      <c r="AL426" s="171">
        <f>(Delivery[[#This Row],[BEN premium (total)]]/SUMIF(Allocation!C:C,Delivery[Delivery ID],Allocation!H:H))/Delivery[[#This Row],[Exchange rate for premiums VS USD]]</f>
        <v>0.10568737592132235</v>
      </c>
      <c r="AM426" s="171">
        <f>Delivery[[#This Row],[Valor Prêmio Nespresso BEN por Kg (em US$)]]*60</f>
        <v>6.341242555279341</v>
      </c>
      <c r="AN426" s="171">
        <f>Delivery[[#This Row],[Valor Prêmio Nespresso BEN por saca (em US$)]]/1.3228/100</f>
        <v>4.7938029598422596E-2</v>
      </c>
      <c r="AO426" s="171">
        <f>SUMIF(Allocation[Delivery ID],Delivery[[#This Row],[Delivery ID]],Allocation[Quantity allocated])*16*1.3228*Delivery[[#This Row],[Exchange rate VS USD]]/60</f>
        <v>10117.709319765334</v>
      </c>
      <c r="AP426" s="171">
        <f>Delivery[[#This Row],[AAA Premium (total)]]</f>
        <v>8647.0766666666677</v>
      </c>
      <c r="AQ426" s="171">
        <f>Delivery[[#This Row],[Valor pago pelo Cluster]]-Delivery[[#This Row],[Valor efetivamente pago pela Nespresso]]</f>
        <v>-1470.6326530986662</v>
      </c>
    </row>
    <row r="427" spans="1:43" ht="15.75">
      <c r="A427" s="174" t="s">
        <v>69</v>
      </c>
      <c r="B427" s="232" t="s">
        <v>68</v>
      </c>
      <c r="C427" s="157">
        <v>1</v>
      </c>
      <c r="D427" s="157" t="s">
        <v>468</v>
      </c>
      <c r="E427" s="177" t="s">
        <v>468</v>
      </c>
      <c r="F427" s="233" t="s">
        <v>541</v>
      </c>
      <c r="G427" s="234">
        <v>43416</v>
      </c>
      <c r="H427" s="157" t="s">
        <v>1573</v>
      </c>
      <c r="I427" s="157" t="s">
        <v>1107</v>
      </c>
      <c r="J427" s="237">
        <v>30600</v>
      </c>
      <c r="K427" s="175" t="s">
        <v>61</v>
      </c>
      <c r="L427" s="175" t="s">
        <v>439</v>
      </c>
      <c r="M427" s="175" t="s">
        <v>1343</v>
      </c>
      <c r="N427" s="180"/>
      <c r="O427" s="177"/>
      <c r="P427" s="185">
        <v>0</v>
      </c>
      <c r="Q427" s="177">
        <v>43412</v>
      </c>
      <c r="R427" s="178">
        <v>450.89892000000003</v>
      </c>
      <c r="S427" s="179">
        <v>233529.71563640636</v>
      </c>
      <c r="T427" s="182" t="s">
        <v>45</v>
      </c>
      <c r="U427" s="183">
        <v>3.7528000000000001</v>
      </c>
      <c r="V427" s="179">
        <v>13397.496000000001</v>
      </c>
      <c r="W427" s="179">
        <v>4696.7421817968007</v>
      </c>
      <c r="X427" s="186" t="s">
        <v>45</v>
      </c>
      <c r="Y427" s="183">
        <v>3.7528000000000001</v>
      </c>
      <c r="Z427" s="220" t="s">
        <v>473</v>
      </c>
      <c r="AA427" s="172">
        <f>Delivery[[#This Row],[Quantity delivered]]*VLOOKUP(Delivery[[#This Row],[Unit]],Tab_Conversão[],4,FALSE)*VLOOKUP(CONCATENATE(Delivery[[#This Row],[Coffee specie]],Delivery[[#This Row],[Coffee state]]),Tab_Conversão[],4,FALSE)</f>
        <v>30600</v>
      </c>
      <c r="AB427" s="169">
        <f>SUMIF(Allocation!C:C,Delivery[[#This Row],[Delivery ID]],Allocation!D:D)/Delivery[[#This Row],[Quantity delivered]]</f>
        <v>0.42767973856209152</v>
      </c>
      <c r="AC427" s="170">
        <f>Delivery[[#This Row],[Quantity delivered]]*Delivery[[#This Row],[Base price (Unidad)]]/60</f>
        <v>229958.44920000003</v>
      </c>
      <c r="AD427" s="171">
        <f>Delivery[[#This Row],[Nespresso total]]-Delivery[[#This Row],[Qt. Delivery * Base Price]]</f>
        <v>3571.2664364063239</v>
      </c>
      <c r="AE427" s="171">
        <f>Delivery[[#This Row],[AAA Premium (total)]]/Delivery[[#This Row],[Quantity delivered]]*60/Delivery[[#This Row],[Exchange rate VS USD]]</f>
        <v>7</v>
      </c>
      <c r="AF427" s="171">
        <f>Delivery[[#This Row],[BEN premium (total)]]/Delivery[[#This Row],[Quantity delivered]]*60/Delivery[[#This Row],[Exchange rate for premiums VS USD]]</f>
        <v>2.4539806000000004</v>
      </c>
      <c r="AG427" s="171">
        <f>COUNTIF(Delivery[Delivery ID],Delivery[[#This Row],[Delivery ID]])</f>
        <v>1</v>
      </c>
      <c r="AH427" s="171">
        <f>(Delivery[[#This Row],[Nespresso total]]/SUMIF(Allocation!C:C,Delivery[Delivery ID],Allocation!H:H))/Delivery[[#This Row],[Exchange rate VS USD]]</f>
        <v>12.851740431245252</v>
      </c>
      <c r="AI427" s="171">
        <f>(Delivery[[#This Row],[AAA Premium (total)]]/SUMIF(Allocation!C:C,Delivery[Delivery ID],Allocation!H:H))/Delivery[[#This Row],[Exchange rate VS USD]]</f>
        <v>0.73729863692688979</v>
      </c>
      <c r="AJ427" s="171">
        <f>Delivery[[#This Row],[Valor Prêmio Nespresso AAA por Kg (em US$)]]*60</f>
        <v>44.237918215613391</v>
      </c>
      <c r="AK427" s="171">
        <f>Delivery[[#This Row],[Valor Prêmio Nespresso AAA por saca (em US$)]]/1.3228/100</f>
        <v>0.33442635482017985</v>
      </c>
      <c r="AL427" s="171">
        <f>(Delivery[[#This Row],[BEN premium (total)]]/SUMIF(Allocation!C:C,Delivery[Delivery ID],Allocation!H:H))/Delivery[[#This Row],[Exchange rate for premiums VS USD]]</f>
        <v>0.25847379306071877</v>
      </c>
      <c r="AM427" s="171">
        <f>Delivery[[#This Row],[Valor Prêmio Nespresso BEN por Kg (em US$)]]*60</f>
        <v>15.508427583643126</v>
      </c>
      <c r="AN427" s="171">
        <f>Delivery[[#This Row],[Valor Prêmio Nespresso BEN por saca (em US$)]]/1.3228/100</f>
        <v>0.11723939812249112</v>
      </c>
      <c r="AO427" s="171">
        <f>SUMIF(Allocation[Delivery ID],Delivery[[#This Row],[Delivery ID]],Allocation[Quantity allocated])*16*1.3228*Delivery[[#This Row],[Exchange rate VS USD]]/60</f>
        <v>6409.7799982080005</v>
      </c>
      <c r="AP427" s="171">
        <f>Delivery[[#This Row],[AAA Premium (total)]]</f>
        <v>13397.496000000001</v>
      </c>
      <c r="AQ427" s="171">
        <f>Delivery[[#This Row],[Valor pago pelo Cluster]]-Delivery[[#This Row],[Valor efetivamente pago pela Nespresso]]</f>
        <v>6987.7160017920005</v>
      </c>
    </row>
    <row r="428" spans="1:43" ht="15.75">
      <c r="A428" s="174" t="s">
        <v>69</v>
      </c>
      <c r="B428" s="232" t="s">
        <v>68</v>
      </c>
      <c r="C428" s="157">
        <v>1</v>
      </c>
      <c r="D428" s="157" t="s">
        <v>468</v>
      </c>
      <c r="E428" s="176" t="s">
        <v>468</v>
      </c>
      <c r="F428" s="233" t="s">
        <v>543</v>
      </c>
      <c r="G428" s="234">
        <v>43416</v>
      </c>
      <c r="H428" s="235" t="s">
        <v>1574</v>
      </c>
      <c r="I428" s="157" t="s">
        <v>1107</v>
      </c>
      <c r="J428" s="237">
        <v>29976.5</v>
      </c>
      <c r="K428" s="175" t="s">
        <v>61</v>
      </c>
      <c r="L428" s="175" t="s">
        <v>439</v>
      </c>
      <c r="M428" s="175" t="s">
        <v>1343</v>
      </c>
      <c r="N428" s="180"/>
      <c r="O428" s="177"/>
      <c r="P428" s="181">
        <v>0</v>
      </c>
      <c r="Q428" s="177">
        <v>43412</v>
      </c>
      <c r="R428" s="178">
        <v>450.89892000000003</v>
      </c>
      <c r="S428" s="179">
        <v>233371.0991106983</v>
      </c>
      <c r="T428" s="182" t="s">
        <v>45</v>
      </c>
      <c r="U428" s="183">
        <v>3.7528000000000001</v>
      </c>
      <c r="V428" s="179">
        <v>13124.511073333335</v>
      </c>
      <c r="W428" s="179">
        <v>4601.0422226350256</v>
      </c>
      <c r="X428" s="186" t="s">
        <v>45</v>
      </c>
      <c r="Y428" s="183">
        <v>3.7528000000000001</v>
      </c>
      <c r="Z428" s="220" t="s">
        <v>473</v>
      </c>
      <c r="AA428" s="172">
        <f>Delivery[[#This Row],[Quantity delivered]]*VLOOKUP(Delivery[[#This Row],[Unit]],Tab_Conversão[],4,FALSE)*VLOOKUP(CONCATENATE(Delivery[[#This Row],[Coffee specie]],Delivery[[#This Row],[Coffee state]]),Tab_Conversão[],4,FALSE)</f>
        <v>29976.5</v>
      </c>
      <c r="AB428" s="169">
        <f>SUMIF(Allocation!C:C,Delivery[[#This Row],[Delivery ID]],Allocation!D:D)/Delivery[[#This Row],[Quantity delivered]]</f>
        <v>1</v>
      </c>
      <c r="AC428" s="170">
        <f>Delivery[[#This Row],[Quantity delivered]]*Delivery[[#This Row],[Base price (Unidad)]]/60</f>
        <v>225272.85792300003</v>
      </c>
      <c r="AD428" s="171">
        <f>Delivery[[#This Row],[Nespresso total]]-Delivery[[#This Row],[Qt. Delivery * Base Price]]</f>
        <v>8098.241187698266</v>
      </c>
      <c r="AE428" s="171">
        <f>Delivery[[#This Row],[AAA Premium (total)]]/Delivery[[#This Row],[Quantity delivered]]*60/Delivery[[#This Row],[Exchange rate VS USD]]</f>
        <v>7</v>
      </c>
      <c r="AF428" s="171">
        <f>Delivery[[#This Row],[BEN premium (total)]]/Delivery[[#This Row],[Quantity delivered]]*60/Delivery[[#This Row],[Exchange rate for premiums VS USD]]</f>
        <v>2.4539806</v>
      </c>
      <c r="AG428" s="171">
        <f>COUNTIF(Delivery[Delivery ID],Delivery[[#This Row],[Delivery ID]])</f>
        <v>1</v>
      </c>
      <c r="AH428" s="171">
        <f>(Delivery[[#This Row],[Nespresso total]]/SUMIF(Allocation!C:C,Delivery[Delivery ID],Allocation!H:H))/Delivery[[#This Row],[Exchange rate VS USD]]</f>
        <v>5.3479412613217683</v>
      </c>
      <c r="AI428" s="171">
        <f>(Delivery[[#This Row],[AAA Premium (total)]]/SUMIF(Allocation!C:C,Delivery[Delivery ID],Allocation!H:H))/Delivery[[#This Row],[Exchange rate VS USD]]</f>
        <v>0.3007618105721821</v>
      </c>
      <c r="AJ428" s="171">
        <f>Delivery[[#This Row],[Valor Prêmio Nespresso AAA por Kg (em US$)]]*60</f>
        <v>18.045708634330925</v>
      </c>
      <c r="AK428" s="171">
        <f>Delivery[[#This Row],[Valor Prêmio Nespresso AAA por saca (em US$)]]/1.3228/100</f>
        <v>0.13642053699978021</v>
      </c>
      <c r="AL428" s="171">
        <f>(Delivery[[#This Row],[BEN premium (total)]]/SUMIF(Allocation!C:C,Delivery[Delivery ID],Allocation!H:H))/Delivery[[#This Row],[Exchange rate for premiums VS USD]]</f>
        <v>0.10543766405214425</v>
      </c>
      <c r="AM428" s="171">
        <f>Delivery[[#This Row],[Valor Prêmio Nespresso BEN por Kg (em US$)]]*60</f>
        <v>6.3262598431286552</v>
      </c>
      <c r="AN428" s="171">
        <f>Delivery[[#This Row],[Valor Prêmio Nespresso BEN por saca (em US$)]]/1.3228/100</f>
        <v>4.7824764462720409E-2</v>
      </c>
      <c r="AO428" s="171">
        <f>SUMIF(Allocation[Delivery ID],Delivery[[#This Row],[Delivery ID]],Allocation[Quantity allocated])*16*1.3228*Delivery[[#This Row],[Exchange rate VS USD]]/60</f>
        <v>15393.003267071999</v>
      </c>
      <c r="AP428" s="171">
        <f>Delivery[[#This Row],[AAA Premium (total)]]</f>
        <v>13124.511073333335</v>
      </c>
      <c r="AQ428" s="171">
        <f>Delivery[[#This Row],[Valor pago pelo Cluster]]-Delivery[[#This Row],[Valor efetivamente pago pela Nespresso]]</f>
        <v>-2268.4921937386644</v>
      </c>
    </row>
    <row r="429" spans="1:43" ht="15.75">
      <c r="A429" s="174" t="s">
        <v>69</v>
      </c>
      <c r="B429" s="232" t="s">
        <v>68</v>
      </c>
      <c r="C429" s="157">
        <v>1</v>
      </c>
      <c r="D429" s="157" t="s">
        <v>468</v>
      </c>
      <c r="E429" s="176" t="s">
        <v>468</v>
      </c>
      <c r="F429" s="233" t="s">
        <v>543</v>
      </c>
      <c r="G429" s="234">
        <v>43416</v>
      </c>
      <c r="H429" s="235" t="s">
        <v>1575</v>
      </c>
      <c r="I429" s="157" t="s">
        <v>1107</v>
      </c>
      <c r="J429" s="237">
        <v>7553.5</v>
      </c>
      <c r="K429" s="175" t="s">
        <v>61</v>
      </c>
      <c r="L429" s="175" t="s">
        <v>439</v>
      </c>
      <c r="M429" s="175" t="s">
        <v>1343</v>
      </c>
      <c r="N429" s="180"/>
      <c r="O429" s="177"/>
      <c r="P429" s="181">
        <v>0</v>
      </c>
      <c r="Q429" s="177">
        <v>43412</v>
      </c>
      <c r="R429" s="178">
        <v>450.89892000000003</v>
      </c>
      <c r="S429" s="179">
        <v>58804.044742803853</v>
      </c>
      <c r="T429" s="182" t="s">
        <v>45</v>
      </c>
      <c r="U429" s="183">
        <v>3.7528000000000001</v>
      </c>
      <c r="V429" s="179">
        <v>3307.1237266666667</v>
      </c>
      <c r="W429" s="179">
        <v>1159.3739238628148</v>
      </c>
      <c r="X429" s="186" t="s">
        <v>45</v>
      </c>
      <c r="Y429" s="183">
        <v>3.7528000000000001</v>
      </c>
      <c r="Z429" s="220" t="s">
        <v>473</v>
      </c>
      <c r="AA429" s="172">
        <f>Delivery[[#This Row],[Quantity delivered]]*VLOOKUP(Delivery[[#This Row],[Unit]],Tab_Conversão[],4,FALSE)*VLOOKUP(CONCATENATE(Delivery[[#This Row],[Coffee specie]],Delivery[[#This Row],[Coffee state]]),Tab_Conversão[],4,FALSE)</f>
        <v>7553.5</v>
      </c>
      <c r="AB429" s="169">
        <f>SUMIF(Allocation!C:C,Delivery[[#This Row],[Delivery ID]],Allocation!D:D)/Delivery[[#This Row],[Quantity delivered]]</f>
        <v>1</v>
      </c>
      <c r="AC429" s="170">
        <f>Delivery[[#This Row],[Quantity delivered]]*Delivery[[#This Row],[Base price (Unidad)]]/60</f>
        <v>56764.416537000005</v>
      </c>
      <c r="AD429" s="171">
        <f>Delivery[[#This Row],[Nespresso total]]-Delivery[[#This Row],[Qt. Delivery * Base Price]]</f>
        <v>2039.6282058038487</v>
      </c>
      <c r="AE429" s="171">
        <f>Delivery[[#This Row],[AAA Premium (total)]]/Delivery[[#This Row],[Quantity delivered]]*60/Delivery[[#This Row],[Exchange rate VS USD]]</f>
        <v>7</v>
      </c>
      <c r="AF429" s="171">
        <f>Delivery[[#This Row],[BEN premium (total)]]/Delivery[[#This Row],[Quantity delivered]]*60/Delivery[[#This Row],[Exchange rate for premiums VS USD]]</f>
        <v>2.4539806</v>
      </c>
      <c r="AG429" s="171">
        <f>COUNTIF(Delivery[Delivery ID],Delivery[[#This Row],[Delivery ID]])</f>
        <v>1</v>
      </c>
      <c r="AH429" s="171">
        <f>(Delivery[[#This Row],[Nespresso total]]/SUMIF(Allocation!C:C,Delivery[Delivery ID],Allocation!H:H))/Delivery[[#This Row],[Exchange rate VS USD]]</f>
        <v>5.3552217345342594</v>
      </c>
      <c r="AI429" s="171">
        <f>(Delivery[[#This Row],[AAA Premium (total)]]/SUMIF(Allocation!C:C,Delivery[Delivery ID],Allocation!H:H))/Delivery[[#This Row],[Exchange rate VS USD]]</f>
        <v>0.30117623604465704</v>
      </c>
      <c r="AJ429" s="171">
        <f>Delivery[[#This Row],[Valor Prêmio Nespresso AAA por Kg (em US$)]]*60</f>
        <v>18.070574162679421</v>
      </c>
      <c r="AK429" s="171">
        <f>Delivery[[#This Row],[Valor Prêmio Nespresso AAA por saca (em US$)]]/1.3228/100</f>
        <v>0.1366085134765605</v>
      </c>
      <c r="AL429" s="171">
        <f>(Delivery[[#This Row],[BEN premium (total)]]/SUMIF(Allocation!C:C,Delivery[Delivery ID],Allocation!H:H))/Delivery[[#This Row],[Exchange rate for premiums VS USD]]</f>
        <v>0.10558294863351561</v>
      </c>
      <c r="AM429" s="171">
        <f>Delivery[[#This Row],[Valor Prêmio Nespresso BEN por Kg (em US$)]]*60</f>
        <v>6.3349769180109368</v>
      </c>
      <c r="AN429" s="171">
        <f>Delivery[[#This Row],[Valor Prêmio Nespresso BEN por saca (em US$)]]/1.3228/100</f>
        <v>4.7890663123759732E-2</v>
      </c>
      <c r="AO429" s="171">
        <f>SUMIF(Allocation[Delivery ID],Delivery[[#This Row],[Delivery ID]],Allocation[Quantity allocated])*16*1.3228*Delivery[[#This Row],[Exchange rate VS USD]]/60</f>
        <v>3873.4027828906669</v>
      </c>
      <c r="AP429" s="171">
        <f>Delivery[[#This Row],[AAA Premium (total)]]</f>
        <v>3307.1237266666667</v>
      </c>
      <c r="AQ429" s="171">
        <f>Delivery[[#This Row],[Valor pago pelo Cluster]]-Delivery[[#This Row],[Valor efetivamente pago pela Nespresso]]</f>
        <v>-566.27905622400021</v>
      </c>
    </row>
    <row r="430" spans="1:43" ht="15.75">
      <c r="A430" s="174" t="s">
        <v>69</v>
      </c>
      <c r="B430" s="232" t="s">
        <v>68</v>
      </c>
      <c r="C430" s="157">
        <v>1</v>
      </c>
      <c r="D430" s="157" t="s">
        <v>468</v>
      </c>
      <c r="E430" s="176" t="s">
        <v>468</v>
      </c>
      <c r="F430" s="233" t="s">
        <v>543</v>
      </c>
      <c r="G430" s="234">
        <v>43416</v>
      </c>
      <c r="H430" s="235" t="s">
        <v>1576</v>
      </c>
      <c r="I430" s="157" t="s">
        <v>1107</v>
      </c>
      <c r="J430" s="237">
        <v>20506</v>
      </c>
      <c r="K430" s="175" t="s">
        <v>61</v>
      </c>
      <c r="L430" s="175" t="s">
        <v>439</v>
      </c>
      <c r="M430" s="175" t="s">
        <v>1343</v>
      </c>
      <c r="N430" s="180"/>
      <c r="O430" s="177"/>
      <c r="P430" s="181">
        <v>0</v>
      </c>
      <c r="Q430" s="177">
        <v>43412</v>
      </c>
      <c r="R430" s="178">
        <v>450.89892000000003</v>
      </c>
      <c r="S430" s="179">
        <v>159641.56745163645</v>
      </c>
      <c r="T430" s="182" t="s">
        <v>45</v>
      </c>
      <c r="U430" s="183">
        <v>3.7528000000000001</v>
      </c>
      <c r="V430" s="179">
        <v>8978.0736266666681</v>
      </c>
      <c r="W430" s="179">
        <v>3147.4312150302349</v>
      </c>
      <c r="X430" s="186" t="s">
        <v>45</v>
      </c>
      <c r="Y430" s="183">
        <v>3.7528000000000001</v>
      </c>
      <c r="Z430" s="220" t="s">
        <v>473</v>
      </c>
      <c r="AA430" s="172">
        <f>Delivery[[#This Row],[Quantity delivered]]*VLOOKUP(Delivery[[#This Row],[Unit]],Tab_Conversão[],4,FALSE)*VLOOKUP(CONCATENATE(Delivery[[#This Row],[Coffee specie]],Delivery[[#This Row],[Coffee state]]),Tab_Conversão[],4,FALSE)</f>
        <v>20506</v>
      </c>
      <c r="AB430" s="169">
        <f>SUMIF(Allocation!C:C,Delivery[[#This Row],[Delivery ID]],Allocation!D:D)/Delivery[[#This Row],[Quantity delivered]]</f>
        <v>1</v>
      </c>
      <c r="AC430" s="170">
        <f>Delivery[[#This Row],[Quantity delivered]]*Delivery[[#This Row],[Base price (Unidad)]]/60</f>
        <v>154102.22089200001</v>
      </c>
      <c r="AD430" s="171">
        <f>Delivery[[#This Row],[Nespresso total]]-Delivery[[#This Row],[Qt. Delivery * Base Price]]</f>
        <v>5539.3465596364404</v>
      </c>
      <c r="AE430" s="171">
        <f>Delivery[[#This Row],[AAA Premium (total)]]/Delivery[[#This Row],[Quantity delivered]]*60/Delivery[[#This Row],[Exchange rate VS USD]]</f>
        <v>7.0000000000000009</v>
      </c>
      <c r="AF430" s="171">
        <f>Delivery[[#This Row],[BEN premium (total)]]/Delivery[[#This Row],[Quantity delivered]]*60/Delivery[[#This Row],[Exchange rate for premiums VS USD]]</f>
        <v>2.4539806</v>
      </c>
      <c r="AG430" s="171">
        <f>COUNTIF(Delivery[Delivery ID],Delivery[[#This Row],[Delivery ID]])</f>
        <v>1</v>
      </c>
      <c r="AH430" s="171">
        <f>(Delivery[[#This Row],[Nespresso total]]/SUMIF(Allocation!C:C,Delivery[Delivery ID],Allocation!H:H))/Delivery[[#This Row],[Exchange rate VS USD]]</f>
        <v>5.3596222703842207</v>
      </c>
      <c r="AI430" s="171">
        <f>(Delivery[[#This Row],[AAA Premium (total)]]/SUMIF(Allocation!C:C,Delivery[Delivery ID],Allocation!H:H))/Delivery[[#This Row],[Exchange rate VS USD]]</f>
        <v>0.30141951199025668</v>
      </c>
      <c r="AJ430" s="171">
        <f>Delivery[[#This Row],[Valor Prêmio Nespresso AAA por Kg (em US$)]]*60</f>
        <v>18.085170719415402</v>
      </c>
      <c r="AK430" s="171">
        <f>Delivery[[#This Row],[Valor Prêmio Nespresso AAA por saca (em US$)]]/1.3228/100</f>
        <v>0.13671885938475509</v>
      </c>
      <c r="AL430" s="171">
        <f>(Delivery[[#This Row],[BEN premium (total)]]/SUMIF(Allocation!C:C,Delivery[Delivery ID],Allocation!H:H))/Delivery[[#This Row],[Exchange rate for premiums VS USD]]</f>
        <v>0.10566823355507959</v>
      </c>
      <c r="AM430" s="171">
        <f>Delivery[[#This Row],[Valor Prêmio Nespresso BEN por Kg (em US$)]]*60</f>
        <v>6.3400940133047756</v>
      </c>
      <c r="AN430" s="171">
        <f>Delivery[[#This Row],[Valor Prêmio Nespresso BEN por saca (em US$)]]/1.3228/100</f>
        <v>4.7929346940616693E-2</v>
      </c>
      <c r="AO430" s="171">
        <f>SUMIF(Allocation[Delivery ID],Delivery[[#This Row],[Delivery ID]],Allocation[Quantity allocated])*16*1.3228*Delivery[[#This Row],[Exchange rate VS USD]]/60</f>
        <v>10506.902900821333</v>
      </c>
      <c r="AP430" s="171">
        <f>Delivery[[#This Row],[AAA Premium (total)]]</f>
        <v>8978.0736266666681</v>
      </c>
      <c r="AQ430" s="171">
        <f>Delivery[[#This Row],[Valor pago pelo Cluster]]-Delivery[[#This Row],[Valor efetivamente pago pela Nespresso]]</f>
        <v>-1528.8292741546647</v>
      </c>
    </row>
    <row r="431" spans="1:43" ht="15.75">
      <c r="A431" s="174" t="s">
        <v>69</v>
      </c>
      <c r="B431" s="232" t="s">
        <v>68</v>
      </c>
      <c r="C431" s="157">
        <v>1</v>
      </c>
      <c r="D431" s="157" t="s">
        <v>468</v>
      </c>
      <c r="E431" s="176" t="s">
        <v>468</v>
      </c>
      <c r="F431" s="233" t="s">
        <v>543</v>
      </c>
      <c r="G431" s="234">
        <v>43416</v>
      </c>
      <c r="H431" s="235" t="s">
        <v>1577</v>
      </c>
      <c r="I431" s="157" t="s">
        <v>1107</v>
      </c>
      <c r="J431" s="237">
        <v>3717.5</v>
      </c>
      <c r="K431" s="175" t="s">
        <v>61</v>
      </c>
      <c r="L431" s="175" t="s">
        <v>439</v>
      </c>
      <c r="M431" s="175" t="s">
        <v>1343</v>
      </c>
      <c r="N431" s="180"/>
      <c r="O431" s="177"/>
      <c r="P431" s="181">
        <v>0</v>
      </c>
      <c r="Q431" s="177">
        <v>43412</v>
      </c>
      <c r="R431" s="178">
        <v>450.89892000000003</v>
      </c>
      <c r="S431" s="179">
        <v>28940.10055356766</v>
      </c>
      <c r="T431" s="182" t="s">
        <v>45</v>
      </c>
      <c r="U431" s="183">
        <v>3.7528000000000001</v>
      </c>
      <c r="V431" s="179">
        <v>1627.6206333333334</v>
      </c>
      <c r="W431" s="179">
        <v>570.5927797656733</v>
      </c>
      <c r="X431" s="186" t="s">
        <v>45</v>
      </c>
      <c r="Y431" s="183">
        <v>3.7528000000000001</v>
      </c>
      <c r="Z431" s="220" t="s">
        <v>473</v>
      </c>
      <c r="AA431" s="172">
        <f>Delivery[[#This Row],[Quantity delivered]]*VLOOKUP(Delivery[[#This Row],[Unit]],Tab_Conversão[],4,FALSE)*VLOOKUP(CONCATENATE(Delivery[[#This Row],[Coffee specie]],Delivery[[#This Row],[Coffee state]]),Tab_Conversão[],4,FALSE)</f>
        <v>3717.5</v>
      </c>
      <c r="AB431" s="169">
        <f>SUMIF(Allocation!C:C,Delivery[[#This Row],[Delivery ID]],Allocation!D:D)/Delivery[[#This Row],[Quantity delivered]]</f>
        <v>1</v>
      </c>
      <c r="AC431" s="170">
        <f>Delivery[[#This Row],[Quantity delivered]]*Delivery[[#This Row],[Base price (Unidad)]]/60</f>
        <v>27936.945585000001</v>
      </c>
      <c r="AD431" s="171">
        <f>Delivery[[#This Row],[Nespresso total]]-Delivery[[#This Row],[Qt. Delivery * Base Price]]</f>
        <v>1003.1549685676582</v>
      </c>
      <c r="AE431" s="171">
        <f>Delivery[[#This Row],[AAA Premium (total)]]/Delivery[[#This Row],[Quantity delivered]]*60/Delivery[[#This Row],[Exchange rate VS USD]]</f>
        <v>7</v>
      </c>
      <c r="AF431" s="171">
        <f>Delivery[[#This Row],[BEN premium (total)]]/Delivery[[#This Row],[Quantity delivered]]*60/Delivery[[#This Row],[Exchange rate for premiums VS USD]]</f>
        <v>2.4539806</v>
      </c>
      <c r="AG431" s="171">
        <f>COUNTIF(Delivery[Delivery ID],Delivery[[#This Row],[Delivery ID]])</f>
        <v>1</v>
      </c>
      <c r="AH431" s="171">
        <f>(Delivery[[#This Row],[Nespresso total]]/SUMIF(Allocation!C:C,Delivery[Delivery ID],Allocation!H:H))/Delivery[[#This Row],[Exchange rate VS USD]]</f>
        <v>5.3590008001007909</v>
      </c>
      <c r="AI431" s="171">
        <f>(Delivery[[#This Row],[AAA Premium (total)]]/SUMIF(Allocation!C:C,Delivery[Delivery ID],Allocation!H:H))/Delivery[[#This Row],[Exchange rate VS USD]]</f>
        <v>0.30139564512392863</v>
      </c>
      <c r="AJ431" s="171">
        <f>Delivery[[#This Row],[Valor Prêmio Nespresso AAA por Kg (em US$)]]*60</f>
        <v>18.083738707435717</v>
      </c>
      <c r="AK431" s="171">
        <f>Delivery[[#This Row],[Valor Prêmio Nespresso AAA por saca (em US$)]]/1.3228/100</f>
        <v>0.13670803377257118</v>
      </c>
      <c r="AL431" s="171">
        <f>(Delivery[[#This Row],[BEN premium (total)]]/SUMIF(Allocation!C:C,Delivery[Delivery ID],Allocation!H:H))/Delivery[[#This Row],[Exchange rate for premiums VS USD]]</f>
        <v>0.10565986657980078</v>
      </c>
      <c r="AM431" s="171">
        <f>Delivery[[#This Row],[Valor Prêmio Nespresso BEN por Kg (em US$)]]*60</f>
        <v>6.339591994788047</v>
      </c>
      <c r="AN431" s="171">
        <f>Delivery[[#This Row],[Valor Prêmio Nespresso BEN por saca (em US$)]]/1.3228/100</f>
        <v>4.7925551820290652E-2</v>
      </c>
      <c r="AO431" s="171">
        <f>SUMIF(Allocation[Delivery ID],Delivery[[#This Row],[Delivery ID]],Allocation[Quantity allocated])*16*1.3228*Delivery[[#This Row],[Exchange rate VS USD]]/60</f>
        <v>1904.9304868693332</v>
      </c>
      <c r="AP431" s="171">
        <f>Delivery[[#This Row],[AAA Premium (total)]]</f>
        <v>1627.6206333333334</v>
      </c>
      <c r="AQ431" s="171">
        <f>Delivery[[#This Row],[Valor pago pelo Cluster]]-Delivery[[#This Row],[Valor efetivamente pago pela Nespresso]]</f>
        <v>-277.30985353599976</v>
      </c>
    </row>
    <row r="432" spans="1:43" ht="15.75">
      <c r="A432" s="174" t="s">
        <v>69</v>
      </c>
      <c r="B432" s="232" t="s">
        <v>68</v>
      </c>
      <c r="C432" s="157">
        <v>1</v>
      </c>
      <c r="D432" s="157" t="s">
        <v>468</v>
      </c>
      <c r="E432" s="176" t="s">
        <v>468</v>
      </c>
      <c r="F432" s="233" t="s">
        <v>543</v>
      </c>
      <c r="G432" s="234">
        <v>43416</v>
      </c>
      <c r="H432" s="235" t="s">
        <v>1578</v>
      </c>
      <c r="I432" s="157" t="s">
        <v>1107</v>
      </c>
      <c r="J432" s="237">
        <v>19486.5</v>
      </c>
      <c r="K432" s="175" t="s">
        <v>61</v>
      </c>
      <c r="L432" s="175" t="s">
        <v>439</v>
      </c>
      <c r="M432" s="175" t="s">
        <v>1343</v>
      </c>
      <c r="N432" s="180"/>
      <c r="O432" s="177"/>
      <c r="P432" s="181">
        <v>0</v>
      </c>
      <c r="Q432" s="177">
        <v>43412</v>
      </c>
      <c r="R432" s="178">
        <v>450.89892000000003</v>
      </c>
      <c r="S432" s="179">
        <v>151704.57811354302</v>
      </c>
      <c r="T432" s="182" t="s">
        <v>45</v>
      </c>
      <c r="U432" s="183">
        <v>3.7528000000000001</v>
      </c>
      <c r="V432" s="179">
        <v>8531.7093400000012</v>
      </c>
      <c r="W432" s="179">
        <v>2990.9498864569719</v>
      </c>
      <c r="X432" s="186" t="s">
        <v>45</v>
      </c>
      <c r="Y432" s="183">
        <v>3.7528000000000001</v>
      </c>
      <c r="Z432" s="220" t="s">
        <v>473</v>
      </c>
      <c r="AA432" s="172">
        <f>Delivery[[#This Row],[Quantity delivered]]*VLOOKUP(Delivery[[#This Row],[Unit]],Tab_Conversão[],4,FALSE)*VLOOKUP(CONCATENATE(Delivery[[#This Row],[Coffee specie]],Delivery[[#This Row],[Coffee state]]),Tab_Conversão[],4,FALSE)</f>
        <v>19486.5</v>
      </c>
      <c r="AB432" s="169">
        <f>SUMIF(Allocation!C:C,Delivery[[#This Row],[Delivery ID]],Allocation!D:D)/Delivery[[#This Row],[Quantity delivered]]</f>
        <v>0.99997434121058171</v>
      </c>
      <c r="AC432" s="170">
        <f>Delivery[[#This Row],[Quantity delivered]]*Delivery[[#This Row],[Base price (Unidad)]]/60</f>
        <v>146440.69674300001</v>
      </c>
      <c r="AD432" s="171">
        <f>Delivery[[#This Row],[Nespresso total]]-Delivery[[#This Row],[Qt. Delivery * Base Price]]</f>
        <v>5263.8813705430075</v>
      </c>
      <c r="AE432" s="171">
        <f>Delivery[[#This Row],[AAA Premium (total)]]/Delivery[[#This Row],[Quantity delivered]]*60/Delivery[[#This Row],[Exchange rate VS USD]]</f>
        <v>7.0000000000000009</v>
      </c>
      <c r="AF432" s="171">
        <f>Delivery[[#This Row],[BEN premium (total)]]/Delivery[[#This Row],[Quantity delivered]]*60/Delivery[[#This Row],[Exchange rate for premiums VS USD]]</f>
        <v>2.4539806</v>
      </c>
      <c r="AG432" s="171">
        <f>COUNTIF(Delivery[Delivery ID],Delivery[[#This Row],[Delivery ID]])</f>
        <v>1</v>
      </c>
      <c r="AH432" s="171">
        <f>(Delivery[[#This Row],[Nespresso total]]/SUMIF(Allocation!C:C,Delivery[Delivery ID],Allocation!H:H))/Delivery[[#This Row],[Exchange rate VS USD]]</f>
        <v>5.3620335102186534</v>
      </c>
      <c r="AI432" s="171">
        <f>(Delivery[[#This Row],[AAA Premium (total)]]/SUMIF(Allocation!C:C,Delivery[Delivery ID],Allocation!H:H))/Delivery[[#This Row],[Exchange rate VS USD]]</f>
        <v>0.30155524605385337</v>
      </c>
      <c r="AJ432" s="171">
        <f>Delivery[[#This Row],[Valor Prêmio Nespresso AAA por Kg (em US$)]]*60</f>
        <v>18.093314763231202</v>
      </c>
      <c r="AK432" s="171">
        <f>Delivery[[#This Row],[Valor Prêmio Nespresso AAA por saca (em US$)]]/1.3228/100</f>
        <v>0.13678042609034777</v>
      </c>
      <c r="AL432" s="171">
        <f>(Delivery[[#This Row],[BEN premium (total)]]/SUMIF(Allocation!C:C,Delivery[Delivery ID],Allocation!H:H))/Delivery[[#This Row],[Exchange rate for premiums VS USD]]</f>
        <v>0.10571581766348322</v>
      </c>
      <c r="AM432" s="171">
        <f>Delivery[[#This Row],[Valor Prêmio Nespresso BEN por Kg (em US$)]]*60</f>
        <v>6.3429490598089933</v>
      </c>
      <c r="AN432" s="171">
        <f>Delivery[[#This Row],[Valor Prêmio Nespresso BEN por saca (em US$)]]/1.3228/100</f>
        <v>4.7950930297921024E-2</v>
      </c>
      <c r="AO432" s="171">
        <f>SUMIF(Allocation[Delivery ID],Delivery[[#This Row],[Delivery ID]],Allocation[Quantity allocated])*16*1.3228*Delivery[[#This Row],[Exchange rate VS USD]]/60</f>
        <v>9980.0353999359995</v>
      </c>
      <c r="AP432" s="171">
        <f>Delivery[[#This Row],[AAA Premium (total)]]</f>
        <v>8531.7093400000012</v>
      </c>
      <c r="AQ432" s="171">
        <f>Delivery[[#This Row],[Valor pago pelo Cluster]]-Delivery[[#This Row],[Valor efetivamente pago pela Nespresso]]</f>
        <v>-1448.3260599359983</v>
      </c>
    </row>
    <row r="433" spans="1:43" ht="15.75">
      <c r="A433" s="174" t="s">
        <v>69</v>
      </c>
      <c r="B433" s="232" t="s">
        <v>68</v>
      </c>
      <c r="C433" s="157">
        <v>1</v>
      </c>
      <c r="D433" s="157" t="s">
        <v>468</v>
      </c>
      <c r="E433" s="176" t="s">
        <v>468</v>
      </c>
      <c r="F433" s="233" t="s">
        <v>543</v>
      </c>
      <c r="G433" s="234">
        <v>43416</v>
      </c>
      <c r="H433" s="235" t="s">
        <v>1579</v>
      </c>
      <c r="I433" s="157" t="s">
        <v>1107</v>
      </c>
      <c r="J433" s="237">
        <v>30000</v>
      </c>
      <c r="K433" s="175" t="s">
        <v>61</v>
      </c>
      <c r="L433" s="175" t="s">
        <v>439</v>
      </c>
      <c r="M433" s="175" t="s">
        <v>1343</v>
      </c>
      <c r="N433" s="180"/>
      <c r="O433" s="177"/>
      <c r="P433" s="181">
        <v>0</v>
      </c>
      <c r="Q433" s="177">
        <v>43412</v>
      </c>
      <c r="R433" s="178">
        <v>450.89892000000003</v>
      </c>
      <c r="S433" s="179">
        <v>233554.05080216003</v>
      </c>
      <c r="T433" s="182" t="s">
        <v>45</v>
      </c>
      <c r="U433" s="183">
        <v>3.7528000000000001</v>
      </c>
      <c r="V433" s="179">
        <v>13134.800000000001</v>
      </c>
      <c r="W433" s="179">
        <v>4604.6491978399999</v>
      </c>
      <c r="X433" s="186" t="s">
        <v>45</v>
      </c>
      <c r="Y433" s="183">
        <v>3.7528000000000001</v>
      </c>
      <c r="Z433" s="220" t="s">
        <v>473</v>
      </c>
      <c r="AA433" s="172">
        <f>Delivery[[#This Row],[Quantity delivered]]*VLOOKUP(Delivery[[#This Row],[Unit]],Tab_Conversão[],4,FALSE)*VLOOKUP(CONCATENATE(Delivery[[#This Row],[Coffee specie]],Delivery[[#This Row],[Coffee state]]),Tab_Conversão[],4,FALSE)</f>
        <v>30000</v>
      </c>
      <c r="AB433" s="169">
        <f>SUMIF(Allocation!C:C,Delivery[[#This Row],[Delivery ID]],Allocation!D:D)/Delivery[[#This Row],[Quantity delivered]]</f>
        <v>1</v>
      </c>
      <c r="AC433" s="170">
        <f>Delivery[[#This Row],[Quantity delivered]]*Delivery[[#This Row],[Base price (Unidad)]]/60</f>
        <v>225449.46000000002</v>
      </c>
      <c r="AD433" s="171">
        <f>Delivery[[#This Row],[Nespresso total]]-Delivery[[#This Row],[Qt. Delivery * Base Price]]</f>
        <v>8104.5908021600044</v>
      </c>
      <c r="AE433" s="171">
        <f>Delivery[[#This Row],[AAA Premium (total)]]/Delivery[[#This Row],[Quantity delivered]]*60/Delivery[[#This Row],[Exchange rate VS USD]]</f>
        <v>7</v>
      </c>
      <c r="AF433" s="171">
        <f>Delivery[[#This Row],[BEN premium (total)]]/Delivery[[#This Row],[Quantity delivered]]*60/Delivery[[#This Row],[Exchange rate for premiums VS USD]]</f>
        <v>2.4539806</v>
      </c>
      <c r="AG433" s="171">
        <f>COUNTIF(Delivery[Delivery ID],Delivery[[#This Row],[Delivery ID]])</f>
        <v>1</v>
      </c>
      <c r="AH433" s="171">
        <f>(Delivery[[#This Row],[Nespresso total]]/SUMIF(Allocation!C:C,Delivery[Delivery ID],Allocation!H:H))/Delivery[[#This Row],[Exchange rate VS USD]]</f>
        <v>5.3664406056598377</v>
      </c>
      <c r="AI433" s="171">
        <f>(Delivery[[#This Row],[AAA Premium (total)]]/SUMIF(Allocation!C:C,Delivery[Delivery ID],Allocation!H:H))/Delivery[[#This Row],[Exchange rate VS USD]]</f>
        <v>0.30180219022160909</v>
      </c>
      <c r="AJ433" s="171">
        <f>Delivery[[#This Row],[Valor Prêmio Nespresso AAA por Kg (em US$)]]*60</f>
        <v>18.108131413296544</v>
      </c>
      <c r="AK433" s="171">
        <f>Delivery[[#This Row],[Valor Prêmio Nespresso AAA por saca (em US$)]]/1.3228/100</f>
        <v>0.13689243584288285</v>
      </c>
      <c r="AL433" s="171">
        <f>(Delivery[[#This Row],[BEN premium (total)]]/SUMIF(Allocation!C:C,Delivery[Delivery ID],Allocation!H:H))/Delivery[[#This Row],[Exchange rate for premiums VS USD]]</f>
        <v>0.10580238854876262</v>
      </c>
      <c r="AM433" s="171">
        <f>Delivery[[#This Row],[Valor Prêmio Nespresso BEN por Kg (em US$)]]*60</f>
        <v>6.3481433129257567</v>
      </c>
      <c r="AN433" s="171">
        <f>Delivery[[#This Row],[Valor Prêmio Nespresso BEN por saca (em US$)]]/1.3228/100</f>
        <v>4.7990197406454167E-2</v>
      </c>
      <c r="AO433" s="171">
        <f>SUMIF(Allocation[Delivery ID],Delivery[[#This Row],[Delivery ID]],Allocation[Quantity allocated])*16*1.3228*Delivery[[#This Row],[Exchange rate VS USD]]/60</f>
        <v>15351.965848661335</v>
      </c>
      <c r="AP433" s="171">
        <f>Delivery[[#This Row],[AAA Premium (total)]]</f>
        <v>13134.800000000001</v>
      </c>
      <c r="AQ433" s="171">
        <f>Delivery[[#This Row],[Valor pago pelo Cluster]]-Delivery[[#This Row],[Valor efetivamente pago pela Nespresso]]</f>
        <v>-2217.1658486613342</v>
      </c>
    </row>
    <row r="434" spans="1:43" ht="15.75">
      <c r="A434" s="174" t="s">
        <v>69</v>
      </c>
      <c r="B434" s="232" t="s">
        <v>68</v>
      </c>
      <c r="C434" s="157">
        <v>1</v>
      </c>
      <c r="D434" s="157" t="s">
        <v>468</v>
      </c>
      <c r="E434" s="176" t="s">
        <v>468</v>
      </c>
      <c r="F434" s="233" t="s">
        <v>543</v>
      </c>
      <c r="G434" s="234">
        <v>43416</v>
      </c>
      <c r="H434" s="235" t="s">
        <v>1580</v>
      </c>
      <c r="I434" s="157" t="s">
        <v>1107</v>
      </c>
      <c r="J434" s="237">
        <v>20260</v>
      </c>
      <c r="K434" s="175" t="s">
        <v>61</v>
      </c>
      <c r="L434" s="175" t="s">
        <v>439</v>
      </c>
      <c r="M434" s="175" t="s">
        <v>1343</v>
      </c>
      <c r="N434" s="180"/>
      <c r="O434" s="177"/>
      <c r="P434" s="181">
        <v>0</v>
      </c>
      <c r="Q434" s="177">
        <v>43412</v>
      </c>
      <c r="R434" s="178">
        <v>450.89892000000003</v>
      </c>
      <c r="S434" s="179">
        <v>157726.41357505872</v>
      </c>
      <c r="T434" s="182" t="s">
        <v>45</v>
      </c>
      <c r="U434" s="183">
        <v>3.7528000000000001</v>
      </c>
      <c r="V434" s="179">
        <v>8870.3682666666664</v>
      </c>
      <c r="W434" s="179">
        <v>3109.6730916079464</v>
      </c>
      <c r="X434" s="186" t="s">
        <v>45</v>
      </c>
      <c r="Y434" s="183">
        <v>3.7528000000000001</v>
      </c>
      <c r="Z434" s="220" t="s">
        <v>473</v>
      </c>
      <c r="AA434" s="172">
        <f>Delivery[[#This Row],[Quantity delivered]]*VLOOKUP(Delivery[[#This Row],[Unit]],Tab_Conversão[],4,FALSE)*VLOOKUP(CONCATENATE(Delivery[[#This Row],[Coffee specie]],Delivery[[#This Row],[Coffee state]]),Tab_Conversão[],4,FALSE)</f>
        <v>20260</v>
      </c>
      <c r="AB434" s="169">
        <f>SUMIF(Allocation!C:C,Delivery[[#This Row],[Delivery ID]],Allocation!D:D)/Delivery[[#This Row],[Quantity delivered]]</f>
        <v>1</v>
      </c>
      <c r="AC434" s="170">
        <f>Delivery[[#This Row],[Quantity delivered]]*Delivery[[#This Row],[Base price (Unidad)]]/60</f>
        <v>152253.53532</v>
      </c>
      <c r="AD434" s="171">
        <f>Delivery[[#This Row],[Nespresso total]]-Delivery[[#This Row],[Qt. Delivery * Base Price]]</f>
        <v>5472.8782550587202</v>
      </c>
      <c r="AE434" s="171">
        <f>Delivery[[#This Row],[AAA Premium (total)]]/Delivery[[#This Row],[Quantity delivered]]*60/Delivery[[#This Row],[Exchange rate VS USD]]</f>
        <v>6.9999999999999991</v>
      </c>
      <c r="AF434" s="171">
        <f>Delivery[[#This Row],[BEN premium (total)]]/Delivery[[#This Row],[Quantity delivered]]*60/Delivery[[#This Row],[Exchange rate for premiums VS USD]]</f>
        <v>2.4539805999999991</v>
      </c>
      <c r="AG434" s="171">
        <f>COUNTIF(Delivery[Delivery ID],Delivery[[#This Row],[Delivery ID]])</f>
        <v>1</v>
      </c>
      <c r="AH434" s="171">
        <f>(Delivery[[#This Row],[Nespresso total]]/SUMIF(Allocation!C:C,Delivery[Delivery ID],Allocation!H:H))/Delivery[[#This Row],[Exchange rate VS USD]]</f>
        <v>5.359474024932716</v>
      </c>
      <c r="AI434" s="171">
        <f>(Delivery[[#This Row],[AAA Premium (total)]]/SUMIF(Allocation!C:C,Delivery[Delivery ID],Allocation!H:H))/Delivery[[#This Row],[Exchange rate VS USD]]</f>
        <v>0.30141120462467053</v>
      </c>
      <c r="AJ434" s="171">
        <f>Delivery[[#This Row],[Valor Prêmio Nespresso AAA por Kg (em US$)]]*60</f>
        <v>18.08467227748023</v>
      </c>
      <c r="AK434" s="171">
        <f>Delivery[[#This Row],[Valor Prêmio Nespresso AAA por saca (em US$)]]/1.3228/100</f>
        <v>0.1367150913023906</v>
      </c>
      <c r="AL434" s="171">
        <f>(Delivery[[#This Row],[BEN premium (total)]]/SUMIF(Allocation!C:C,Delivery[Delivery ID],Allocation!H:H))/Delivery[[#This Row],[Exchange rate for premiums VS USD]]</f>
        <v>0.10566532125308169</v>
      </c>
      <c r="AM434" s="171">
        <f>Delivery[[#This Row],[Valor Prêmio Nespresso BEN por Kg (em US$)]]*60</f>
        <v>6.3399192751849016</v>
      </c>
      <c r="AN434" s="171">
        <f>Delivery[[#This Row],[Valor Prêmio Nespresso BEN por saca (em US$)]]/1.3228/100</f>
        <v>4.7928025969042193E-2</v>
      </c>
      <c r="AO434" s="171">
        <f>SUMIF(Allocation[Delivery ID],Delivery[[#This Row],[Delivery ID]],Allocation[Quantity allocated])*16*1.3228*Delivery[[#This Row],[Exchange rate VS USD]]/60</f>
        <v>10381.143070208</v>
      </c>
      <c r="AP434" s="171">
        <f>Delivery[[#This Row],[AAA Premium (total)]]</f>
        <v>8870.3682666666664</v>
      </c>
      <c r="AQ434" s="171">
        <f>Delivery[[#This Row],[Valor pago pelo Cluster]]-Delivery[[#This Row],[Valor efetivamente pago pela Nespresso]]</f>
        <v>-1510.7748035413333</v>
      </c>
    </row>
    <row r="435" spans="1:43" ht="15.75">
      <c r="A435" s="174" t="s">
        <v>69</v>
      </c>
      <c r="B435" s="232" t="s">
        <v>68</v>
      </c>
      <c r="C435" s="157">
        <v>1</v>
      </c>
      <c r="D435" s="157" t="s">
        <v>468</v>
      </c>
      <c r="E435" s="176" t="s">
        <v>468</v>
      </c>
      <c r="F435" s="233" t="s">
        <v>543</v>
      </c>
      <c r="G435" s="234">
        <v>43416</v>
      </c>
      <c r="H435" s="235" t="s">
        <v>1581</v>
      </c>
      <c r="I435" s="157" t="s">
        <v>1107</v>
      </c>
      <c r="J435" s="237">
        <v>20620</v>
      </c>
      <c r="K435" s="175" t="s">
        <v>61</v>
      </c>
      <c r="L435" s="175" t="s">
        <v>439</v>
      </c>
      <c r="M435" s="175" t="s">
        <v>1343</v>
      </c>
      <c r="N435" s="180"/>
      <c r="O435" s="177"/>
      <c r="P435" s="181">
        <v>0</v>
      </c>
      <c r="Q435" s="177">
        <v>43412</v>
      </c>
      <c r="R435" s="178">
        <v>450.89892000000003</v>
      </c>
      <c r="S435" s="179">
        <v>160529.07778468466</v>
      </c>
      <c r="T435" s="182" t="s">
        <v>45</v>
      </c>
      <c r="U435" s="183">
        <v>3.7528000000000001</v>
      </c>
      <c r="V435" s="179">
        <v>9027.9858666666678</v>
      </c>
      <c r="W435" s="179">
        <v>3164.9288819820267</v>
      </c>
      <c r="X435" s="186" t="s">
        <v>45</v>
      </c>
      <c r="Y435" s="183">
        <v>3.7528000000000001</v>
      </c>
      <c r="Z435" s="220" t="s">
        <v>473</v>
      </c>
      <c r="AA435" s="172">
        <f>Delivery[[#This Row],[Quantity delivered]]*VLOOKUP(Delivery[[#This Row],[Unit]],Tab_Conversão[],4,FALSE)*VLOOKUP(CONCATENATE(Delivery[[#This Row],[Coffee specie]],Delivery[[#This Row],[Coffee state]]),Tab_Conversão[],4,FALSE)</f>
        <v>20620</v>
      </c>
      <c r="AB435" s="169">
        <f>SUMIF(Allocation!C:C,Delivery[[#This Row],[Delivery ID]],Allocation!D:D)/Delivery[[#This Row],[Quantity delivered]]</f>
        <v>1</v>
      </c>
      <c r="AC435" s="170">
        <f>Delivery[[#This Row],[Quantity delivered]]*Delivery[[#This Row],[Base price (Unidad)]]/60</f>
        <v>154958.92884000001</v>
      </c>
      <c r="AD435" s="171">
        <f>Delivery[[#This Row],[Nespresso total]]-Delivery[[#This Row],[Qt. Delivery * Base Price]]</f>
        <v>5570.1489446846535</v>
      </c>
      <c r="AE435" s="171">
        <f>Delivery[[#This Row],[AAA Premium (total)]]/Delivery[[#This Row],[Quantity delivered]]*60/Delivery[[#This Row],[Exchange rate VS USD]]</f>
        <v>7</v>
      </c>
      <c r="AF435" s="171">
        <f>Delivery[[#This Row],[BEN premium (total)]]/Delivery[[#This Row],[Quantity delivered]]*60/Delivery[[#This Row],[Exchange rate for premiums VS USD]]</f>
        <v>2.4539806</v>
      </c>
      <c r="AG435" s="171">
        <f>COUNTIF(Delivery[Delivery ID],Delivery[[#This Row],[Delivery ID]])</f>
        <v>1</v>
      </c>
      <c r="AH435" s="171">
        <f>(Delivery[[#This Row],[Nespresso total]]/SUMIF(Allocation!C:C,Delivery[Delivery ID],Allocation!H:H))/Delivery[[#This Row],[Exchange rate VS USD]]</f>
        <v>5.35433906632427</v>
      </c>
      <c r="AI435" s="171">
        <f>(Delivery[[#This Row],[AAA Premium (total)]]/SUMIF(Allocation!C:C,Delivery[Delivery ID],Allocation!H:H))/Delivery[[#This Row],[Exchange rate VS USD]]</f>
        <v>0.30112237660115992</v>
      </c>
      <c r="AJ435" s="171">
        <f>Delivery[[#This Row],[Valor Prêmio Nespresso AAA por Kg (em US$)]]*60</f>
        <v>18.067342596069594</v>
      </c>
      <c r="AK435" s="171">
        <f>Delivery[[#This Row],[Valor Prêmio Nespresso AAA por saca (em US$)]]/1.3228/100</f>
        <v>0.13658408373200481</v>
      </c>
      <c r="AL435" s="171">
        <f>(Delivery[[#This Row],[BEN premium (total)]]/SUMIF(Allocation!C:C,Delivery[Delivery ID],Allocation!H:H))/Delivery[[#This Row],[Exchange rate for premiums VS USD]]</f>
        <v>0.10556406720073434</v>
      </c>
      <c r="AM435" s="171">
        <f>Delivery[[#This Row],[Valor Prêmio Nespresso BEN por Kg (em US$)]]*60</f>
        <v>6.3338440320440608</v>
      </c>
      <c r="AN435" s="171">
        <f>Delivery[[#This Row],[Valor Prêmio Nespresso BEN por saca (em US$)]]/1.3228/100</f>
        <v>4.7882098821016489E-2</v>
      </c>
      <c r="AO435" s="171">
        <f>SUMIF(Allocation[Delivery ID],Delivery[[#This Row],[Delivery ID]],Allocation[Quantity allocated])*16*1.3228*Delivery[[#This Row],[Exchange rate VS USD]]/60</f>
        <v>10575.739860736001</v>
      </c>
      <c r="AP435" s="171">
        <f>Delivery[[#This Row],[AAA Premium (total)]]</f>
        <v>9027.9858666666678</v>
      </c>
      <c r="AQ435" s="171">
        <f>Delivery[[#This Row],[Valor pago pelo Cluster]]-Delivery[[#This Row],[Valor efetivamente pago pela Nespresso]]</f>
        <v>-1547.7539940693332</v>
      </c>
    </row>
    <row r="436" spans="1:43" ht="15.75">
      <c r="A436" s="174" t="s">
        <v>69</v>
      </c>
      <c r="B436" s="232" t="s">
        <v>68</v>
      </c>
      <c r="C436" s="157">
        <v>1</v>
      </c>
      <c r="D436" s="157" t="s">
        <v>468</v>
      </c>
      <c r="E436" s="177" t="s">
        <v>468</v>
      </c>
      <c r="F436" s="233" t="s">
        <v>543</v>
      </c>
      <c r="G436" s="234">
        <v>43416</v>
      </c>
      <c r="H436" s="235" t="s">
        <v>1582</v>
      </c>
      <c r="I436" s="157" t="s">
        <v>1107</v>
      </c>
      <c r="J436" s="237">
        <v>22369</v>
      </c>
      <c r="K436" s="175" t="s">
        <v>61</v>
      </c>
      <c r="L436" s="175" t="s">
        <v>439</v>
      </c>
      <c r="M436" s="175" t="s">
        <v>1343</v>
      </c>
      <c r="N436" s="180"/>
      <c r="O436" s="177"/>
      <c r="P436" s="185">
        <v>0</v>
      </c>
      <c r="Q436" s="177">
        <v>43412</v>
      </c>
      <c r="R436" s="178">
        <v>450.89892000000003</v>
      </c>
      <c r="S436" s="179">
        <v>174145.35473645056</v>
      </c>
      <c r="T436" s="182" t="s">
        <v>45</v>
      </c>
      <c r="U436" s="183">
        <v>3.7528000000000001</v>
      </c>
      <c r="V436" s="179">
        <v>9793.7447066666682</v>
      </c>
      <c r="W436" s="179">
        <v>3433.3799302160987</v>
      </c>
      <c r="X436" s="186" t="s">
        <v>45</v>
      </c>
      <c r="Y436" s="183">
        <v>3.7528000000000001</v>
      </c>
      <c r="Z436" s="220" t="s">
        <v>473</v>
      </c>
      <c r="AA436" s="172">
        <f>Delivery[[#This Row],[Quantity delivered]]*VLOOKUP(Delivery[[#This Row],[Unit]],Tab_Conversão[],4,FALSE)*VLOOKUP(CONCATENATE(Delivery[[#This Row],[Coffee specie]],Delivery[[#This Row],[Coffee state]]),Tab_Conversão[],4,FALSE)</f>
        <v>22369</v>
      </c>
      <c r="AB436" s="169">
        <f>SUMIF(Allocation!C:C,Delivery[[#This Row],[Delivery ID]],Allocation!D:D)/Delivery[[#This Row],[Quantity delivered]]</f>
        <v>1</v>
      </c>
      <c r="AC436" s="170">
        <f>Delivery[[#This Row],[Quantity delivered]]*Delivery[[#This Row],[Base price (Unidad)]]/60</f>
        <v>168102.63235800003</v>
      </c>
      <c r="AD436" s="171">
        <f>Delivery[[#This Row],[Nespresso total]]-Delivery[[#This Row],[Qt. Delivery * Base Price]]</f>
        <v>6042.7223784505331</v>
      </c>
      <c r="AE436" s="171">
        <f>Delivery[[#This Row],[AAA Premium (total)]]/Delivery[[#This Row],[Quantity delivered]]*60/Delivery[[#This Row],[Exchange rate VS USD]]</f>
        <v>7.0000000000000009</v>
      </c>
      <c r="AF436" s="171">
        <f>Delivery[[#This Row],[BEN premium (total)]]/Delivery[[#This Row],[Quantity delivered]]*60/Delivery[[#This Row],[Exchange rate for premiums VS USD]]</f>
        <v>2.4539806</v>
      </c>
      <c r="AG436" s="171">
        <f>COUNTIF(Delivery[Delivery ID],Delivery[[#This Row],[Delivery ID]])</f>
        <v>1</v>
      </c>
      <c r="AH436" s="171">
        <f>(Delivery[[#This Row],[Nespresso total]]/SUMIF(Allocation!C:C,Delivery[Delivery ID],Allocation!H:H))/Delivery[[#This Row],[Exchange rate VS USD]]</f>
        <v>5.3559687048459814</v>
      </c>
      <c r="AI436" s="171">
        <f>(Delivery[[#This Row],[AAA Premium (total)]]/SUMIF(Allocation!C:C,Delivery[Delivery ID],Allocation!H:H))/Delivery[[#This Row],[Exchange rate VS USD]]</f>
        <v>0.30121383502616195</v>
      </c>
      <c r="AJ436" s="171">
        <f>Delivery[[#This Row],[Valor Prêmio Nespresso AAA por Kg (em US$)]]*60</f>
        <v>18.072830101569718</v>
      </c>
      <c r="AK436" s="171">
        <f>Delivery[[#This Row],[Valor Prêmio Nespresso AAA por saca (em US$)]]/1.3228/100</f>
        <v>0.13662556774697399</v>
      </c>
      <c r="AL436" s="171">
        <f>(Delivery[[#This Row],[BEN premium (total)]]/SUMIF(Allocation!C:C,Delivery[Delivery ID],Allocation!H:H))/Delivery[[#This Row],[Exchange rate for premiums VS USD]]</f>
        <v>0.10559612965797167</v>
      </c>
      <c r="AM436" s="171">
        <f>Delivery[[#This Row],[Valor Prêmio Nespresso BEN por Kg (em US$)]]*60</f>
        <v>6.3357677794783003</v>
      </c>
      <c r="AN436" s="171">
        <f>Delivery[[#This Row],[Valor Prêmio Nespresso BEN por saca (em US$)]]/1.3228/100</f>
        <v>4.7896641816437109E-2</v>
      </c>
      <c r="AO436" s="171">
        <f>SUMIF(Allocation[Delivery ID],Delivery[[#This Row],[Delivery ID]],Allocation[Quantity allocated])*16*1.3228*Delivery[[#This Row],[Exchange rate VS USD]]/60</f>
        <v>11469.296551935999</v>
      </c>
      <c r="AP436" s="171">
        <f>Delivery[[#This Row],[AAA Premium (total)]]</f>
        <v>9793.7447066666682</v>
      </c>
      <c r="AQ436" s="171">
        <f>Delivery[[#This Row],[Valor pago pelo Cluster]]-Delivery[[#This Row],[Valor efetivamente pago pela Nespresso]]</f>
        <v>-1675.5518452693304</v>
      </c>
    </row>
    <row r="437" spans="1:43" ht="15.75">
      <c r="A437" s="174" t="s">
        <v>69</v>
      </c>
      <c r="B437" s="232" t="s">
        <v>68</v>
      </c>
      <c r="C437" s="157">
        <v>1</v>
      </c>
      <c r="D437" s="157" t="s">
        <v>468</v>
      </c>
      <c r="E437" s="177" t="s">
        <v>468</v>
      </c>
      <c r="F437" s="233" t="s">
        <v>543</v>
      </c>
      <c r="G437" s="234">
        <v>43416</v>
      </c>
      <c r="H437" s="235" t="s">
        <v>1583</v>
      </c>
      <c r="I437" s="157" t="s">
        <v>1107</v>
      </c>
      <c r="J437" s="237">
        <v>17991</v>
      </c>
      <c r="K437" s="175" t="s">
        <v>61</v>
      </c>
      <c r="L437" s="175" t="s">
        <v>439</v>
      </c>
      <c r="M437" s="175" t="s">
        <v>1343</v>
      </c>
      <c r="N437" s="180"/>
      <c r="O437" s="177"/>
      <c r="P437" s="185">
        <v>0</v>
      </c>
      <c r="Q437" s="177">
        <v>43412</v>
      </c>
      <c r="R437" s="178">
        <v>450.89892000000003</v>
      </c>
      <c r="S437" s="179">
        <v>140061.84387605535</v>
      </c>
      <c r="T437" s="182" t="s">
        <v>45</v>
      </c>
      <c r="U437" s="183">
        <v>3.7528000000000001</v>
      </c>
      <c r="V437" s="179">
        <v>7876.9395600000007</v>
      </c>
      <c r="W437" s="179">
        <v>2761.4081239446482</v>
      </c>
      <c r="X437" s="186" t="s">
        <v>45</v>
      </c>
      <c r="Y437" s="183">
        <v>3.7528000000000001</v>
      </c>
      <c r="Z437" s="220" t="s">
        <v>473</v>
      </c>
      <c r="AA437" s="172">
        <f>Delivery[[#This Row],[Quantity delivered]]*VLOOKUP(Delivery[[#This Row],[Unit]],Tab_Conversão[],4,FALSE)*VLOOKUP(CONCATENATE(Delivery[[#This Row],[Coffee specie]],Delivery[[#This Row],[Coffee state]]),Tab_Conversão[],4,FALSE)</f>
        <v>17991</v>
      </c>
      <c r="AB437" s="169">
        <f>SUMIF(Allocation!C:C,Delivery[[#This Row],[Delivery ID]],Allocation!D:D)/Delivery[[#This Row],[Quantity delivered]]</f>
        <v>1</v>
      </c>
      <c r="AC437" s="170">
        <f>Delivery[[#This Row],[Quantity delivered]]*Delivery[[#This Row],[Base price (Unidad)]]/60</f>
        <v>135202.04116200001</v>
      </c>
      <c r="AD437" s="171">
        <f>Delivery[[#This Row],[Nespresso total]]-Delivery[[#This Row],[Qt. Delivery * Base Price]]</f>
        <v>4859.8027140553459</v>
      </c>
      <c r="AE437" s="171">
        <f>Delivery[[#This Row],[AAA Premium (total)]]/Delivery[[#This Row],[Quantity delivered]]*60/Delivery[[#This Row],[Exchange rate VS USD]]</f>
        <v>7</v>
      </c>
      <c r="AF437" s="171">
        <f>Delivery[[#This Row],[BEN premium (total)]]/Delivery[[#This Row],[Quantity delivered]]*60/Delivery[[#This Row],[Exchange rate for premiums VS USD]]</f>
        <v>2.4539806</v>
      </c>
      <c r="AG437" s="171">
        <f>COUNTIF(Delivery[Delivery ID],Delivery[[#This Row],[Delivery ID]])</f>
        <v>1</v>
      </c>
      <c r="AH437" s="171">
        <f>(Delivery[[#This Row],[Nespresso total]]/SUMIF(Allocation!C:C,Delivery[Delivery ID],Allocation!H:H))/Delivery[[#This Row],[Exchange rate VS USD]]</f>
        <v>5.3561937387575469</v>
      </c>
      <c r="AI437" s="171">
        <f>(Delivery[[#This Row],[AAA Premium (total)]]/SUMIF(Allocation!C:C,Delivery[Delivery ID],Allocation!H:H))/Delivery[[#This Row],[Exchange rate VS USD]]</f>
        <v>0.30122703788748567</v>
      </c>
      <c r="AJ437" s="171">
        <f>Delivery[[#This Row],[Valor Prêmio Nespresso AAA por Kg (em US$)]]*60</f>
        <v>18.073622273249139</v>
      </c>
      <c r="AK437" s="171">
        <f>Delivery[[#This Row],[Valor Prêmio Nespresso AAA por saca (em US$)]]/1.3228/100</f>
        <v>0.13663155634449001</v>
      </c>
      <c r="AL437" s="171">
        <f>(Delivery[[#This Row],[BEN premium (total)]]/SUMIF(Allocation!C:C,Delivery[Delivery ID],Allocation!H:H))/Delivery[[#This Row],[Exchange rate for premiums VS USD]]</f>
        <v>0.1056007581673364</v>
      </c>
      <c r="AM437" s="171">
        <f>Delivery[[#This Row],[Valor Prêmio Nespresso BEN por Kg (em US$)]]*60</f>
        <v>6.3360454900401839</v>
      </c>
      <c r="AN437" s="171">
        <f>Delivery[[#This Row],[Valor Prêmio Nespresso BEN por saca (em US$)]]/1.3228/100</f>
        <v>4.7898741231026491E-2</v>
      </c>
      <c r="AO437" s="171">
        <f>SUMIF(Allocation[Delivery ID],Delivery[[#This Row],[Delivery ID]],Allocation[Quantity allocated])*16*1.3228*Delivery[[#This Row],[Exchange rate VS USD]]/60</f>
        <v>9224.1526285653326</v>
      </c>
      <c r="AP437" s="171">
        <f>Delivery[[#This Row],[AAA Premium (total)]]</f>
        <v>7876.9395600000007</v>
      </c>
      <c r="AQ437" s="171">
        <f>Delivery[[#This Row],[Valor pago pelo Cluster]]-Delivery[[#This Row],[Valor efetivamente pago pela Nespresso]]</f>
        <v>-1347.2130685653319</v>
      </c>
    </row>
    <row r="438" spans="1:43" ht="15.75">
      <c r="A438" s="174" t="s">
        <v>69</v>
      </c>
      <c r="B438" s="232" t="s">
        <v>68</v>
      </c>
      <c r="C438" s="157">
        <v>1</v>
      </c>
      <c r="D438" s="157" t="s">
        <v>468</v>
      </c>
      <c r="E438" s="177" t="s">
        <v>468</v>
      </c>
      <c r="F438" s="233" t="s">
        <v>543</v>
      </c>
      <c r="G438" s="234">
        <v>43416</v>
      </c>
      <c r="H438" s="235" t="s">
        <v>1584</v>
      </c>
      <c r="I438" s="157" t="s">
        <v>1107</v>
      </c>
      <c r="J438" s="237">
        <v>21587.5</v>
      </c>
      <c r="K438" s="175" t="s">
        <v>61</v>
      </c>
      <c r="L438" s="175" t="s">
        <v>439</v>
      </c>
      <c r="M438" s="175" t="s">
        <v>1343</v>
      </c>
      <c r="N438" s="180"/>
      <c r="O438" s="177"/>
      <c r="P438" s="185">
        <v>0</v>
      </c>
      <c r="Q438" s="177">
        <v>43412</v>
      </c>
      <c r="R438" s="178">
        <v>450.89892000000003</v>
      </c>
      <c r="S438" s="179">
        <v>168061.2378480543</v>
      </c>
      <c r="T438" s="182" t="s">
        <v>45</v>
      </c>
      <c r="U438" s="183">
        <v>3.7528000000000001</v>
      </c>
      <c r="V438" s="179">
        <v>9451.5831666666672</v>
      </c>
      <c r="W438" s="179">
        <v>3313.4288186123667</v>
      </c>
      <c r="X438" s="186" t="s">
        <v>45</v>
      </c>
      <c r="Y438" s="183">
        <v>3.7528000000000001</v>
      </c>
      <c r="Z438" s="220" t="s">
        <v>473</v>
      </c>
      <c r="AA438" s="172">
        <f>Delivery[[#This Row],[Quantity delivered]]*VLOOKUP(Delivery[[#This Row],[Unit]],Tab_Conversão[],4,FALSE)*VLOOKUP(CONCATENATE(Delivery[[#This Row],[Coffee specie]],Delivery[[#This Row],[Coffee state]]),Tab_Conversão[],4,FALSE)</f>
        <v>21587.5</v>
      </c>
      <c r="AB438" s="169">
        <f>SUMIF(Allocation!C:C,Delivery[[#This Row],[Delivery ID]],Allocation!D:D)/Delivery[[#This Row],[Quantity delivered]]</f>
        <v>0.99997683844817598</v>
      </c>
      <c r="AC438" s="170">
        <f>Delivery[[#This Row],[Quantity delivered]]*Delivery[[#This Row],[Base price (Unidad)]]/60</f>
        <v>162229.67392500004</v>
      </c>
      <c r="AD438" s="171">
        <f>Delivery[[#This Row],[Nespresso total]]-Delivery[[#This Row],[Qt. Delivery * Base Price]]</f>
        <v>5831.5639230542583</v>
      </c>
      <c r="AE438" s="171">
        <f>Delivery[[#This Row],[AAA Premium (total)]]/Delivery[[#This Row],[Quantity delivered]]*60/Delivery[[#This Row],[Exchange rate VS USD]]</f>
        <v>7</v>
      </c>
      <c r="AF438" s="171">
        <f>Delivery[[#This Row],[BEN premium (total)]]/Delivery[[#This Row],[Quantity delivered]]*60/Delivery[[#This Row],[Exchange rate for premiums VS USD]]</f>
        <v>2.4539806</v>
      </c>
      <c r="AG438" s="171">
        <f>COUNTIF(Delivery[Delivery ID],Delivery[[#This Row],[Delivery ID]])</f>
        <v>1</v>
      </c>
      <c r="AH438" s="171">
        <f>(Delivery[[#This Row],[Nespresso total]]/SUMIF(Allocation!C:C,Delivery[Delivery ID],Allocation!H:H))/Delivery[[#This Row],[Exchange rate VS USD]]</f>
        <v>5.3574461299164771</v>
      </c>
      <c r="AI438" s="171">
        <f>(Delivery[[#This Row],[AAA Premium (total)]]/SUMIF(Allocation!C:C,Delivery[Delivery ID],Allocation!H:H))/Delivery[[#This Row],[Exchange rate VS USD]]</f>
        <v>0.30129700522391034</v>
      </c>
      <c r="AJ438" s="171">
        <f>Delivery[[#This Row],[Valor Prêmio Nespresso AAA por Kg (em US$)]]*60</f>
        <v>18.077820313434621</v>
      </c>
      <c r="AK438" s="171">
        <f>Delivery[[#This Row],[Valor Prêmio Nespresso AAA por saca (em US$)]]/1.3228/100</f>
        <v>0.13666329236040689</v>
      </c>
      <c r="AL438" s="171">
        <f>(Delivery[[#This Row],[BEN premium (total)]]/SUMIF(Allocation!C:C,Delivery[Delivery ID],Allocation!H:H))/Delivery[[#This Row],[Exchange rate for premiums VS USD]]</f>
        <v>0.10562528652251066</v>
      </c>
      <c r="AM438" s="171">
        <f>Delivery[[#This Row],[Valor Prêmio Nespresso BEN por Kg (em US$)]]*60</f>
        <v>6.3375171913506394</v>
      </c>
      <c r="AN438" s="171">
        <f>Delivery[[#This Row],[Valor Prêmio Nespresso BEN por saca (em US$)]]/1.3228/100</f>
        <v>4.7909866883509525E-2</v>
      </c>
      <c r="AO438" s="171">
        <f>SUMIF(Allocation[Delivery ID],Delivery[[#This Row],[Delivery ID]],Allocation[Quantity allocated])*16*1.3228*Delivery[[#This Row],[Exchange rate VS USD]]/60</f>
        <v>11065.541306282666</v>
      </c>
      <c r="AP438" s="171">
        <f>Delivery[[#This Row],[AAA Premium (total)]]</f>
        <v>9451.5831666666672</v>
      </c>
      <c r="AQ438" s="171">
        <f>Delivery[[#This Row],[Valor pago pelo Cluster]]-Delivery[[#This Row],[Valor efetivamente pago pela Nespresso]]</f>
        <v>-1613.9581396159992</v>
      </c>
    </row>
    <row r="439" spans="1:43" ht="15.75">
      <c r="A439" s="174" t="s">
        <v>69</v>
      </c>
      <c r="B439" s="232" t="s">
        <v>68</v>
      </c>
      <c r="C439" s="157">
        <v>1</v>
      </c>
      <c r="D439" s="157" t="s">
        <v>468</v>
      </c>
      <c r="E439" s="177" t="s">
        <v>468</v>
      </c>
      <c r="F439" s="233" t="s">
        <v>543</v>
      </c>
      <c r="G439" s="234">
        <v>43416</v>
      </c>
      <c r="H439" s="235" t="s">
        <v>1585</v>
      </c>
      <c r="I439" s="157" t="s">
        <v>1107</v>
      </c>
      <c r="J439" s="237">
        <v>29442.5</v>
      </c>
      <c r="K439" s="175" t="s">
        <v>61</v>
      </c>
      <c r="L439" s="175" t="s">
        <v>439</v>
      </c>
      <c r="M439" s="175" t="s">
        <v>1343</v>
      </c>
      <c r="N439" s="180"/>
      <c r="O439" s="177"/>
      <c r="P439" s="185">
        <v>0</v>
      </c>
      <c r="Q439" s="177">
        <v>43412</v>
      </c>
      <c r="R439" s="178">
        <v>450.89892000000003</v>
      </c>
      <c r="S439" s="179">
        <v>229213.81386641986</v>
      </c>
      <c r="T439" s="182" t="s">
        <v>45</v>
      </c>
      <c r="U439" s="183">
        <v>3.7528000000000001</v>
      </c>
      <c r="V439" s="179">
        <v>12890.711633333334</v>
      </c>
      <c r="W439" s="179">
        <v>4519.079466913473</v>
      </c>
      <c r="X439" s="186" t="s">
        <v>45</v>
      </c>
      <c r="Y439" s="183">
        <v>3.7528000000000001</v>
      </c>
      <c r="Z439" s="220" t="s">
        <v>473</v>
      </c>
      <c r="AA439" s="172">
        <f>Delivery[[#This Row],[Quantity delivered]]*VLOOKUP(Delivery[[#This Row],[Unit]],Tab_Conversão[],4,FALSE)*VLOOKUP(CONCATENATE(Delivery[[#This Row],[Coffee specie]],Delivery[[#This Row],[Coffee state]]),Tab_Conversão[],4,FALSE)</f>
        <v>29442.5</v>
      </c>
      <c r="AB439" s="169">
        <f>SUMIF(Allocation!C:C,Delivery[[#This Row],[Delivery ID]],Allocation!D:D)/Delivery[[#This Row],[Quantity delivered]]</f>
        <v>1</v>
      </c>
      <c r="AC439" s="170">
        <f>Delivery[[#This Row],[Quantity delivered]]*Delivery[[#This Row],[Base price (Unidad)]]/60</f>
        <v>221259.85753500002</v>
      </c>
      <c r="AD439" s="171">
        <f>Delivery[[#This Row],[Nespresso total]]-Delivery[[#This Row],[Qt. Delivery * Base Price]]</f>
        <v>7953.9563314198458</v>
      </c>
      <c r="AE439" s="171">
        <f>Delivery[[#This Row],[AAA Premium (total)]]/Delivery[[#This Row],[Quantity delivered]]*60/Delivery[[#This Row],[Exchange rate VS USD]]</f>
        <v>7</v>
      </c>
      <c r="AF439" s="171">
        <f>Delivery[[#This Row],[BEN premium (total)]]/Delivery[[#This Row],[Quantity delivered]]*60/Delivery[[#This Row],[Exchange rate for premiums VS USD]]</f>
        <v>2.4539806</v>
      </c>
      <c r="AG439" s="171">
        <f>COUNTIF(Delivery[Delivery ID],Delivery[[#This Row],[Delivery ID]])</f>
        <v>1</v>
      </c>
      <c r="AH439" s="171">
        <f>(Delivery[[#This Row],[Nespresso total]]/SUMIF(Allocation!C:C,Delivery[Delivery ID],Allocation!H:H))/Delivery[[#This Row],[Exchange rate VS USD]]</f>
        <v>5.1395219397726812</v>
      </c>
      <c r="AI439" s="171">
        <f>(Delivery[[#This Row],[AAA Premium (total)]]/SUMIF(Allocation!C:C,Delivery[Delivery ID],Allocation!H:H))/Delivery[[#This Row],[Exchange rate VS USD]]</f>
        <v>0.28904058678335015</v>
      </c>
      <c r="AJ439" s="171">
        <f>Delivery[[#This Row],[Valor Prêmio Nespresso AAA por Kg (em US$)]]*60</f>
        <v>17.34243520700101</v>
      </c>
      <c r="AK439" s="171">
        <f>Delivery[[#This Row],[Valor Prêmio Nespresso AAA por saca (em US$)]]/1.3228/100</f>
        <v>0.13110398553825983</v>
      </c>
      <c r="AL439" s="171">
        <f>(Delivery[[#This Row],[BEN premium (total)]]/SUMIF(Allocation!C:C,Delivery[Delivery ID],Allocation!H:H))/Delivery[[#This Row],[Exchange rate for premiums VS USD]]</f>
        <v>0.10132857036842251</v>
      </c>
      <c r="AM439" s="171">
        <f>Delivery[[#This Row],[Valor Prêmio Nespresso BEN por Kg (em US$)]]*60</f>
        <v>6.0797142221053502</v>
      </c>
      <c r="AN439" s="171">
        <f>Delivery[[#This Row],[Valor Prêmio Nespresso BEN por saca (em US$)]]/1.3228/100</f>
        <v>4.5960948156224299E-2</v>
      </c>
      <c r="AO439" s="171">
        <f>SUMIF(Allocation[Delivery ID],Delivery[[#This Row],[Delivery ID]],Allocation[Quantity allocated])*16*1.3228*Delivery[[#This Row],[Exchange rate VS USD]]/60</f>
        <v>15731.892915882667</v>
      </c>
      <c r="AP439" s="171">
        <f>Delivery[[#This Row],[AAA Premium (total)]]</f>
        <v>12890.711633333334</v>
      </c>
      <c r="AQ439" s="171">
        <f>Delivery[[#This Row],[Valor pago pelo Cluster]]-Delivery[[#This Row],[Valor efetivamente pago pela Nespresso]]</f>
        <v>-2841.1812825493325</v>
      </c>
    </row>
    <row r="440" spans="1:43" ht="15.75">
      <c r="A440" s="174" t="s">
        <v>69</v>
      </c>
      <c r="B440" s="232" t="s">
        <v>68</v>
      </c>
      <c r="C440" s="157">
        <v>1</v>
      </c>
      <c r="D440" s="157" t="s">
        <v>468</v>
      </c>
      <c r="E440" s="177" t="s">
        <v>468</v>
      </c>
      <c r="F440" s="233" t="s">
        <v>543</v>
      </c>
      <c r="G440" s="234">
        <v>43416</v>
      </c>
      <c r="H440" s="235" t="s">
        <v>1586</v>
      </c>
      <c r="I440" s="157" t="s">
        <v>1107</v>
      </c>
      <c r="J440" s="237">
        <v>24011.5</v>
      </c>
      <c r="K440" s="175" t="s">
        <v>61</v>
      </c>
      <c r="L440" s="175" t="s">
        <v>439</v>
      </c>
      <c r="M440" s="175" t="s">
        <v>1343</v>
      </c>
      <c r="N440" s="180"/>
      <c r="O440" s="177"/>
      <c r="P440" s="185">
        <v>0</v>
      </c>
      <c r="Q440" s="177">
        <v>43412</v>
      </c>
      <c r="R440" s="178">
        <v>450.89892000000003</v>
      </c>
      <c r="S440" s="179">
        <v>186932.51019286882</v>
      </c>
      <c r="T440" s="182" t="s">
        <v>45</v>
      </c>
      <c r="U440" s="183">
        <v>3.7528000000000001</v>
      </c>
      <c r="V440" s="179">
        <v>10512.875006666667</v>
      </c>
      <c r="W440" s="179">
        <v>3685.4844737978387</v>
      </c>
      <c r="X440" s="186" t="s">
        <v>45</v>
      </c>
      <c r="Y440" s="183">
        <v>3.7528000000000001</v>
      </c>
      <c r="Z440" s="220" t="s">
        <v>473</v>
      </c>
      <c r="AA440" s="172">
        <f>Delivery[[#This Row],[Quantity delivered]]*VLOOKUP(Delivery[[#This Row],[Unit]],Tab_Conversão[],4,FALSE)*VLOOKUP(CONCATENATE(Delivery[[#This Row],[Coffee specie]],Delivery[[#This Row],[Coffee state]]),Tab_Conversão[],4,FALSE)</f>
        <v>24011.5</v>
      </c>
      <c r="AB440" s="169">
        <f>SUMIF(Allocation!C:C,Delivery[[#This Row],[Delivery ID]],Allocation!D:D)/Delivery[[#This Row],[Quantity delivered]]</f>
        <v>1</v>
      </c>
      <c r="AC440" s="170">
        <f>Delivery[[#This Row],[Quantity delivered]]*Delivery[[#This Row],[Base price (Unidad)]]/60</f>
        <v>180445.99029300001</v>
      </c>
      <c r="AD440" s="171">
        <f>Delivery[[#This Row],[Nespresso total]]-Delivery[[#This Row],[Qt. Delivery * Base Price]]</f>
        <v>6486.5198998688138</v>
      </c>
      <c r="AE440" s="171">
        <f>Delivery[[#This Row],[AAA Premium (total)]]/Delivery[[#This Row],[Quantity delivered]]*60/Delivery[[#This Row],[Exchange rate VS USD]]</f>
        <v>7</v>
      </c>
      <c r="AF440" s="171">
        <f>Delivery[[#This Row],[BEN premium (total)]]/Delivery[[#This Row],[Quantity delivered]]*60/Delivery[[#This Row],[Exchange rate for premiums VS USD]]</f>
        <v>2.4539806</v>
      </c>
      <c r="AG440" s="171">
        <f>COUNTIF(Delivery[Delivery ID],Delivery[[#This Row],[Delivery ID]])</f>
        <v>1</v>
      </c>
      <c r="AH440" s="171">
        <f>(Delivery[[#This Row],[Nespresso total]]/SUMIF(Allocation!C:C,Delivery[Delivery ID],Allocation!H:H))/Delivery[[#This Row],[Exchange rate VS USD]]</f>
        <v>5.3624154177424384</v>
      </c>
      <c r="AI440" s="171">
        <f>(Delivery[[#This Row],[AAA Premium (total)]]/SUMIF(Allocation!C:C,Delivery[Delivery ID],Allocation!H:H))/Delivery[[#This Row],[Exchange rate VS USD]]</f>
        <v>0.30157623712635018</v>
      </c>
      <c r="AJ440" s="171">
        <f>Delivery[[#This Row],[Valor Prêmio Nespresso AAA por Kg (em US$)]]*60</f>
        <v>18.09457422758101</v>
      </c>
      <c r="AK440" s="171">
        <f>Delivery[[#This Row],[Valor Prêmio Nespresso AAA por saca (em US$)]]/1.3228/100</f>
        <v>0.13678994729045216</v>
      </c>
      <c r="AL440" s="171">
        <f>(Delivery[[#This Row],[BEN premium (total)]]/SUMIF(Allocation!C:C,Delivery[Delivery ID],Allocation!H:H))/Delivery[[#This Row],[Exchange rate for premiums VS USD]]</f>
        <v>0.10572317647558044</v>
      </c>
      <c r="AM440" s="171">
        <f>Delivery[[#This Row],[Valor Prêmio Nespresso BEN por Kg (em US$)]]*60</f>
        <v>6.3433905885348265</v>
      </c>
      <c r="AN440" s="171">
        <f>Delivery[[#This Row],[Valor Prêmio Nespresso BEN por saca (em US$)]]/1.3228/100</f>
        <v>4.7954268132256027E-2</v>
      </c>
      <c r="AO440" s="171">
        <f>SUMIF(Allocation[Delivery ID],Delivery[[#This Row],[Delivery ID]],Allocation[Quantity allocated])*16*1.3228*Delivery[[#This Row],[Exchange rate VS USD]]/60</f>
        <v>12296.663858602667</v>
      </c>
      <c r="AP440" s="171">
        <f>Delivery[[#This Row],[AAA Premium (total)]]</f>
        <v>10512.875006666667</v>
      </c>
      <c r="AQ440" s="171">
        <f>Delivery[[#This Row],[Valor pago pelo Cluster]]-Delivery[[#This Row],[Valor efetivamente pago pela Nespresso]]</f>
        <v>-1783.7888519360004</v>
      </c>
    </row>
    <row r="441" spans="1:43" ht="15.75">
      <c r="A441" s="174" t="s">
        <v>69</v>
      </c>
      <c r="B441" s="232" t="s">
        <v>68</v>
      </c>
      <c r="C441" s="157">
        <v>1</v>
      </c>
      <c r="D441" s="157" t="s">
        <v>468</v>
      </c>
      <c r="E441" s="177" t="s">
        <v>468</v>
      </c>
      <c r="F441" s="233" t="s">
        <v>543</v>
      </c>
      <c r="G441" s="234">
        <v>43416</v>
      </c>
      <c r="H441" s="235" t="s">
        <v>1587</v>
      </c>
      <c r="I441" s="157" t="s">
        <v>1107</v>
      </c>
      <c r="J441" s="237">
        <v>840.5</v>
      </c>
      <c r="K441" s="175" t="s">
        <v>61</v>
      </c>
      <c r="L441" s="175" t="s">
        <v>439</v>
      </c>
      <c r="M441" s="175" t="s">
        <v>1343</v>
      </c>
      <c r="N441" s="180"/>
      <c r="O441" s="177"/>
      <c r="P441" s="185">
        <v>0</v>
      </c>
      <c r="Q441" s="177">
        <v>43412</v>
      </c>
      <c r="R441" s="178">
        <v>450.89892000000003</v>
      </c>
      <c r="S441" s="179">
        <v>6542.1424116405151</v>
      </c>
      <c r="T441" s="182" t="s">
        <v>45</v>
      </c>
      <c r="U441" s="183">
        <v>3.7528000000000001</v>
      </c>
      <c r="V441" s="179">
        <v>367.99331333333333</v>
      </c>
      <c r="W441" s="179">
        <v>129.00692169281734</v>
      </c>
      <c r="X441" s="186" t="s">
        <v>45</v>
      </c>
      <c r="Y441" s="183">
        <v>3.7528000000000001</v>
      </c>
      <c r="Z441" s="220" t="s">
        <v>473</v>
      </c>
      <c r="AA441" s="172">
        <f>Delivery[[#This Row],[Quantity delivered]]*VLOOKUP(Delivery[[#This Row],[Unit]],Tab_Conversão[],4,FALSE)*VLOOKUP(CONCATENATE(Delivery[[#This Row],[Coffee specie]],Delivery[[#This Row],[Coffee state]]),Tab_Conversão[],4,FALSE)</f>
        <v>840.5</v>
      </c>
      <c r="AB441" s="169">
        <f>SUMIF(Allocation!C:C,Delivery[[#This Row],[Delivery ID]],Allocation!D:D)/Delivery[[#This Row],[Quantity delivered]]</f>
        <v>1</v>
      </c>
      <c r="AC441" s="170">
        <f>Delivery[[#This Row],[Quantity delivered]]*Delivery[[#This Row],[Base price (Unidad)]]/60</f>
        <v>6316.3423710000006</v>
      </c>
      <c r="AD441" s="171">
        <f>Delivery[[#This Row],[Nespresso total]]-Delivery[[#This Row],[Qt. Delivery * Base Price]]</f>
        <v>225.80004064051445</v>
      </c>
      <c r="AE441" s="171">
        <f>Delivery[[#This Row],[AAA Premium (total)]]/Delivery[[#This Row],[Quantity delivered]]*60/Delivery[[#This Row],[Exchange rate VS USD]]</f>
        <v>6.9999999999999991</v>
      </c>
      <c r="AF441" s="171">
        <f>Delivery[[#This Row],[BEN premium (total)]]/Delivery[[#This Row],[Quantity delivered]]*60/Delivery[[#This Row],[Exchange rate for premiums VS USD]]</f>
        <v>2.4539806</v>
      </c>
      <c r="AG441" s="171">
        <f>COUNTIF(Delivery[Delivery ID],Delivery[[#This Row],[Delivery ID]])</f>
        <v>1</v>
      </c>
      <c r="AH441" s="171">
        <f>(Delivery[[#This Row],[Nespresso total]]/SUMIF(Allocation!C:C,Delivery[Delivery ID],Allocation!H:H))/Delivery[[#This Row],[Exchange rate VS USD]]</f>
        <v>5.3804619395629167</v>
      </c>
      <c r="AI441" s="171">
        <f>(Delivery[[#This Row],[AAA Premium (total)]]/SUMIF(Allocation!C:C,Delivery[Delivery ID],Allocation!H:H))/Delivery[[#This Row],[Exchange rate VS USD]]</f>
        <v>0.30264917695473248</v>
      </c>
      <c r="AJ441" s="171">
        <f>Delivery[[#This Row],[Valor Prêmio Nespresso AAA por Kg (em US$)]]*60</f>
        <v>18.158950617283949</v>
      </c>
      <c r="AK441" s="171">
        <f>Delivery[[#This Row],[Valor Prêmio Nespresso AAA por saca (em US$)]]/1.3228/100</f>
        <v>0.1372766148872388</v>
      </c>
      <c r="AL441" s="171">
        <f>(Delivery[[#This Row],[BEN premium (total)]]/SUMIF(Allocation!C:C,Delivery[Delivery ID],Allocation!H:H))/Delivery[[#This Row],[Exchange rate for premiums VS USD]]</f>
        <v>0.10609931555041152</v>
      </c>
      <c r="AM441" s="171">
        <f>Delivery[[#This Row],[Valor Prêmio Nespresso BEN por Kg (em US$)]]*60</f>
        <v>6.3659589330246913</v>
      </c>
      <c r="AN441" s="171">
        <f>Delivery[[#This Row],[Valor Prêmio Nespresso BEN por saca (em US$)]]/1.3228/100</f>
        <v>4.8124878538136462E-2</v>
      </c>
      <c r="AO441" s="171">
        <f>SUMIF(Allocation[Delivery ID],Delivery[[#This Row],[Delivery ID]],Allocation[Quantity allocated])*16*1.3228*Delivery[[#This Row],[Exchange rate VS USD]]/60</f>
        <v>428.907211776</v>
      </c>
      <c r="AP441" s="171">
        <f>Delivery[[#This Row],[AAA Premium (total)]]</f>
        <v>367.99331333333333</v>
      </c>
      <c r="AQ441" s="171">
        <f>Delivery[[#This Row],[Valor pago pelo Cluster]]-Delivery[[#This Row],[Valor efetivamente pago pela Nespresso]]</f>
        <v>-60.913898442666664</v>
      </c>
    </row>
    <row r="442" spans="1:43" ht="15.75">
      <c r="A442" s="174" t="s">
        <v>69</v>
      </c>
      <c r="B442" s="232" t="s">
        <v>68</v>
      </c>
      <c r="C442" s="157">
        <v>1</v>
      </c>
      <c r="D442" s="157" t="s">
        <v>468</v>
      </c>
      <c r="E442" s="177" t="s">
        <v>468</v>
      </c>
      <c r="F442" s="233" t="s">
        <v>541</v>
      </c>
      <c r="G442" s="234">
        <v>43416</v>
      </c>
      <c r="H442" s="157" t="s">
        <v>1588</v>
      </c>
      <c r="I442" s="157" t="s">
        <v>1107</v>
      </c>
      <c r="J442" s="237">
        <v>18008</v>
      </c>
      <c r="K442" s="175" t="s">
        <v>61</v>
      </c>
      <c r="L442" s="175" t="s">
        <v>439</v>
      </c>
      <c r="M442" s="175" t="s">
        <v>1343</v>
      </c>
      <c r="N442" s="180"/>
      <c r="O442" s="177"/>
      <c r="P442" s="185">
        <v>0</v>
      </c>
      <c r="Q442" s="177">
        <v>43412</v>
      </c>
      <c r="R442" s="178">
        <v>450.89892000000003</v>
      </c>
      <c r="S442" s="179">
        <v>137431.47448301982</v>
      </c>
      <c r="T442" s="182" t="s">
        <v>45</v>
      </c>
      <c r="U442" s="183">
        <v>3.7528000000000001</v>
      </c>
      <c r="V442" s="179">
        <v>7884.3826133333341</v>
      </c>
      <c r="W442" s="179">
        <v>2764.0174251567573</v>
      </c>
      <c r="X442" s="186" t="s">
        <v>45</v>
      </c>
      <c r="Y442" s="183">
        <v>3.7528000000000001</v>
      </c>
      <c r="Z442" s="220" t="s">
        <v>473</v>
      </c>
      <c r="AA442" s="172">
        <f>Delivery[[#This Row],[Quantity delivered]]*VLOOKUP(Delivery[[#This Row],[Unit]],Tab_Conversão[],4,FALSE)*VLOOKUP(CONCATENATE(Delivery[[#This Row],[Coffee specie]],Delivery[[#This Row],[Coffee state]]),Tab_Conversão[],4,FALSE)</f>
        <v>18008</v>
      </c>
      <c r="AB442" s="169">
        <f>SUMIF(Allocation!C:C,Delivery[[#This Row],[Delivery ID]],Allocation!D:D)/Delivery[[#This Row],[Quantity delivered]]</f>
        <v>0.42731008440693025</v>
      </c>
      <c r="AC442" s="170">
        <f>Delivery[[#This Row],[Quantity delivered]]*Delivery[[#This Row],[Base price (Unidad)]]/60</f>
        <v>135329.79585600001</v>
      </c>
      <c r="AD442" s="171">
        <f>Delivery[[#This Row],[Nespresso total]]-Delivery[[#This Row],[Qt. Delivery * Base Price]]</f>
        <v>2101.6786270198063</v>
      </c>
      <c r="AE442" s="171">
        <f>Delivery[[#This Row],[AAA Premium (total)]]/Delivery[[#This Row],[Quantity delivered]]*60/Delivery[[#This Row],[Exchange rate VS USD]]</f>
        <v>7</v>
      </c>
      <c r="AF442" s="171">
        <f>Delivery[[#This Row],[BEN premium (total)]]/Delivery[[#This Row],[Quantity delivered]]*60/Delivery[[#This Row],[Exchange rate for premiums VS USD]]</f>
        <v>2.4539806</v>
      </c>
      <c r="AG442" s="171">
        <f>COUNTIF(Delivery[Delivery ID],Delivery[[#This Row],[Delivery ID]])</f>
        <v>1</v>
      </c>
      <c r="AH442" s="171">
        <f>(Delivery[[#This Row],[Nespresso total]]/SUMIF(Allocation!C:C,Delivery[Delivery ID],Allocation!H:H))/Delivery[[#This Row],[Exchange rate VS USD]]</f>
        <v>12.863031077811023</v>
      </c>
      <c r="AI442" s="171">
        <f>(Delivery[[#This Row],[AAA Premium (total)]]/SUMIF(Allocation!C:C,Delivery[Delivery ID],Allocation!H:H))/Delivery[[#This Row],[Exchange rate VS USD]]</f>
        <v>0.73794637630254067</v>
      </c>
      <c r="AJ442" s="171">
        <f>Delivery[[#This Row],[Valor Prêmio Nespresso AAA por Kg (em US$)]]*60</f>
        <v>44.276782578152442</v>
      </c>
      <c r="AK442" s="171">
        <f>Delivery[[#This Row],[Valor Prêmio Nespresso AAA por saca (em US$)]]/1.3228/100</f>
        <v>0.3347201585889964</v>
      </c>
      <c r="AL442" s="171">
        <f>(Delivery[[#This Row],[BEN premium (total)]]/SUMIF(Allocation!C:C,Delivery[Delivery ID],Allocation!H:H))/Delivery[[#This Row],[Exchange rate for premiums VS USD]]</f>
        <v>0.25870087018381921</v>
      </c>
      <c r="AM442" s="171">
        <f>Delivery[[#This Row],[Valor Prêmio Nespresso BEN por Kg (em US$)]]*60</f>
        <v>15.522052211029152</v>
      </c>
      <c r="AN442" s="171">
        <f>Delivery[[#This Row],[Valor Prêmio Nespresso BEN por saca (em US$)]]/1.3228/100</f>
        <v>0.11734239651518863</v>
      </c>
      <c r="AO442" s="171">
        <f>SUMIF(Allocation[Delivery ID],Delivery[[#This Row],[Delivery ID]],Allocation[Quantity allocated])*16*1.3228*Delivery[[#This Row],[Exchange rate VS USD]]/60</f>
        <v>3768.8235553280001</v>
      </c>
      <c r="AP442" s="171">
        <f>Delivery[[#This Row],[AAA Premium (total)]]</f>
        <v>7884.3826133333341</v>
      </c>
      <c r="AQ442" s="171">
        <f>Delivery[[#This Row],[Valor pago pelo Cluster]]-Delivery[[#This Row],[Valor efetivamente pago pela Nespresso]]</f>
        <v>4115.559058005334</v>
      </c>
    </row>
    <row r="443" spans="1:43" ht="15.75">
      <c r="A443" s="174" t="s">
        <v>69</v>
      </c>
      <c r="B443" s="232" t="s">
        <v>68</v>
      </c>
      <c r="C443" s="157">
        <v>1</v>
      </c>
      <c r="D443" s="157" t="s">
        <v>468</v>
      </c>
      <c r="E443" s="177" t="s">
        <v>468</v>
      </c>
      <c r="F443" s="233" t="s">
        <v>541</v>
      </c>
      <c r="G443" s="234">
        <v>43416</v>
      </c>
      <c r="H443" s="235" t="s">
        <v>1589</v>
      </c>
      <c r="I443" s="157" t="s">
        <v>1107</v>
      </c>
      <c r="J443" s="237">
        <v>19149.5</v>
      </c>
      <c r="K443" s="175" t="s">
        <v>61</v>
      </c>
      <c r="L443" s="175" t="s">
        <v>439</v>
      </c>
      <c r="M443" s="175" t="s">
        <v>1343</v>
      </c>
      <c r="N443" s="180"/>
      <c r="O443" s="177"/>
      <c r="P443" s="185">
        <v>0</v>
      </c>
      <c r="Q443" s="177">
        <v>43412</v>
      </c>
      <c r="R443" s="178">
        <v>450.89892000000003</v>
      </c>
      <c r="S443" s="179">
        <v>149080.97300619876</v>
      </c>
      <c r="T443" s="182" t="s">
        <v>45</v>
      </c>
      <c r="U443" s="183">
        <v>3.7528000000000001</v>
      </c>
      <c r="V443" s="179">
        <v>8384.1617533333338</v>
      </c>
      <c r="W443" s="179">
        <v>2939.2243271345692</v>
      </c>
      <c r="X443" s="186" t="s">
        <v>45</v>
      </c>
      <c r="Y443" s="183">
        <v>3.7528000000000001</v>
      </c>
      <c r="Z443" s="220" t="s">
        <v>473</v>
      </c>
      <c r="AA443" s="172">
        <f>Delivery[[#This Row],[Quantity delivered]]*VLOOKUP(Delivery[[#This Row],[Unit]],Tab_Conversão[],4,FALSE)*VLOOKUP(CONCATENATE(Delivery[[#This Row],[Coffee specie]],Delivery[[#This Row],[Coffee state]]),Tab_Conversão[],4,FALSE)</f>
        <v>19149.5</v>
      </c>
      <c r="AB443" s="169">
        <f>SUMIF(Allocation!C:C,Delivery[[#This Row],[Delivery ID]],Allocation!D:D)/Delivery[[#This Row],[Quantity delivered]]</f>
        <v>0.9999738896576934</v>
      </c>
      <c r="AC443" s="170">
        <f>Delivery[[#This Row],[Quantity delivered]]*Delivery[[#This Row],[Base price (Unidad)]]/60</f>
        <v>143908.14780900002</v>
      </c>
      <c r="AD443" s="171">
        <f>Delivery[[#This Row],[Nespresso total]]-Delivery[[#This Row],[Qt. Delivery * Base Price]]</f>
        <v>5172.8251971987484</v>
      </c>
      <c r="AE443" s="171">
        <f>Delivery[[#This Row],[AAA Premium (total)]]/Delivery[[#This Row],[Quantity delivered]]*60/Delivery[[#This Row],[Exchange rate VS USD]]</f>
        <v>7</v>
      </c>
      <c r="AF443" s="171">
        <f>Delivery[[#This Row],[BEN premium (total)]]/Delivery[[#This Row],[Quantity delivered]]*60/Delivery[[#This Row],[Exchange rate for premiums VS USD]]</f>
        <v>2.4539806</v>
      </c>
      <c r="AG443" s="171">
        <f>COUNTIF(Delivery[Delivery ID],Delivery[[#This Row],[Delivery ID]])</f>
        <v>1</v>
      </c>
      <c r="AH443" s="171">
        <f>(Delivery[[#This Row],[Nespresso total]]/SUMIF(Allocation!C:C,Delivery[Delivery ID],Allocation!H:H))/Delivery[[#This Row],[Exchange rate VS USD]]</f>
        <v>5.3726351912472214</v>
      </c>
      <c r="AI443" s="171">
        <f>(Delivery[[#This Row],[AAA Premium (total)]]/SUMIF(Allocation!C:C,Delivery[Delivery ID],Allocation!H:H))/Delivery[[#This Row],[Exchange rate VS USD]]</f>
        <v>0.30215151924984224</v>
      </c>
      <c r="AJ443" s="171">
        <f>Delivery[[#This Row],[Valor Prêmio Nespresso AAA por Kg (em US$)]]*60</f>
        <v>18.129091154990533</v>
      </c>
      <c r="AK443" s="171">
        <f>Delivery[[#This Row],[Valor Prêmio Nespresso AAA por saca (em US$)]]/1.3228/100</f>
        <v>0.13705088565913617</v>
      </c>
      <c r="AL443" s="171">
        <f>(Delivery[[#This Row],[BEN premium (total)]]/SUMIF(Allocation!C:C,Delivery[Delivery ID],Allocation!H:H))/Delivery[[#This Row],[Exchange rate for premiums VS USD]]</f>
        <v>0.10592485235709133</v>
      </c>
      <c r="AM443" s="171">
        <f>Delivery[[#This Row],[Valor Prêmio Nespresso BEN por Kg (em US$)]]*60</f>
        <v>6.35549114142548</v>
      </c>
      <c r="AN443" s="171">
        <f>Delivery[[#This Row],[Valor Prêmio Nespresso BEN por saca (em US$)]]/1.3228/100</f>
        <v>4.8045744945762622E-2</v>
      </c>
      <c r="AO443" s="171">
        <f>SUMIF(Allocation[Delivery ID],Delivery[[#This Row],[Delivery ID]],Allocation[Quantity allocated])*16*1.3228*Delivery[[#This Row],[Exchange rate VS USD]]/60</f>
        <v>9788.0861847893339</v>
      </c>
      <c r="AP443" s="171">
        <f>Delivery[[#This Row],[AAA Premium (total)]]</f>
        <v>8384.1617533333338</v>
      </c>
      <c r="AQ443" s="171">
        <f>Delivery[[#This Row],[Valor pago pelo Cluster]]-Delivery[[#This Row],[Valor efetivamente pago pela Nespresso]]</f>
        <v>-1403.9244314560001</v>
      </c>
    </row>
    <row r="444" spans="1:43" ht="15.75">
      <c r="A444" s="174" t="s">
        <v>69</v>
      </c>
      <c r="B444" s="232" t="s">
        <v>68</v>
      </c>
      <c r="C444" s="157">
        <v>1</v>
      </c>
      <c r="D444" s="157" t="s">
        <v>468</v>
      </c>
      <c r="E444" s="177" t="s">
        <v>468</v>
      </c>
      <c r="F444" s="233" t="s">
        <v>541</v>
      </c>
      <c r="G444" s="234">
        <v>43416</v>
      </c>
      <c r="H444" s="235" t="s">
        <v>1590</v>
      </c>
      <c r="I444" s="157" t="s">
        <v>1107</v>
      </c>
      <c r="J444" s="237">
        <v>21790.5</v>
      </c>
      <c r="K444" s="175" t="s">
        <v>61</v>
      </c>
      <c r="L444" s="175" t="s">
        <v>439</v>
      </c>
      <c r="M444" s="175" t="s">
        <v>1343</v>
      </c>
      <c r="N444" s="180"/>
      <c r="O444" s="177"/>
      <c r="P444" s="185">
        <v>0</v>
      </c>
      <c r="Q444" s="177">
        <v>43412</v>
      </c>
      <c r="R444" s="178">
        <v>450.89892000000003</v>
      </c>
      <c r="S444" s="179">
        <v>169641.62905514892</v>
      </c>
      <c r="T444" s="182" t="s">
        <v>45</v>
      </c>
      <c r="U444" s="183">
        <v>3.7528000000000001</v>
      </c>
      <c r="V444" s="179">
        <v>9540.46198</v>
      </c>
      <c r="W444" s="179">
        <v>3344.5869448510839</v>
      </c>
      <c r="X444" s="186" t="s">
        <v>45</v>
      </c>
      <c r="Y444" s="183">
        <v>3.7528000000000001</v>
      </c>
      <c r="Z444" s="220" t="s">
        <v>473</v>
      </c>
      <c r="AA444" s="172">
        <f>Delivery[[#This Row],[Quantity delivered]]*VLOOKUP(Delivery[[#This Row],[Unit]],Tab_Conversão[],4,FALSE)*VLOOKUP(CONCATENATE(Delivery[[#This Row],[Coffee specie]],Delivery[[#This Row],[Coffee state]]),Tab_Conversão[],4,FALSE)</f>
        <v>21790.5</v>
      </c>
      <c r="AB444" s="169">
        <f>SUMIF(Allocation!C:C,Delivery[[#This Row],[Delivery ID]],Allocation!D:D)/Delivery[[#This Row],[Quantity delivered]]</f>
        <v>1</v>
      </c>
      <c r="AC444" s="170">
        <f>Delivery[[#This Row],[Quantity delivered]]*Delivery[[#This Row],[Base price (Unidad)]]/60</f>
        <v>163755.21527099999</v>
      </c>
      <c r="AD444" s="171">
        <f>Delivery[[#This Row],[Nespresso total]]-Delivery[[#This Row],[Qt. Delivery * Base Price]]</f>
        <v>5886.4137841489282</v>
      </c>
      <c r="AE444" s="171">
        <f>Delivery[[#This Row],[AAA Premium (total)]]/Delivery[[#This Row],[Quantity delivered]]*60/Delivery[[#This Row],[Exchange rate VS USD]]</f>
        <v>6.9999999999999991</v>
      </c>
      <c r="AF444" s="171">
        <f>Delivery[[#This Row],[BEN premium (total)]]/Delivery[[#This Row],[Quantity delivered]]*60/Delivery[[#This Row],[Exchange rate for premiums VS USD]]</f>
        <v>2.4539806</v>
      </c>
      <c r="AG444" s="171">
        <f>COUNTIF(Delivery[Delivery ID],Delivery[[#This Row],[Delivery ID]])</f>
        <v>1</v>
      </c>
      <c r="AH444" s="171">
        <f>(Delivery[[#This Row],[Nespresso total]]/SUMIF(Allocation!C:C,Delivery[Delivery ID],Allocation!H:H))/Delivery[[#This Row],[Exchange rate VS USD]]</f>
        <v>5.3942739160535451</v>
      </c>
      <c r="AI444" s="171">
        <f>(Delivery[[#This Row],[AAA Premium (total)]]/SUMIF(Allocation!C:C,Delivery[Delivery ID],Allocation!H:H))/Delivery[[#This Row],[Exchange rate VS USD]]</f>
        <v>0.30336813842482102</v>
      </c>
      <c r="AJ444" s="171">
        <f>Delivery[[#This Row],[Valor Prêmio Nespresso AAA por Kg (em US$)]]*60</f>
        <v>18.202088305489262</v>
      </c>
      <c r="AK444" s="171">
        <f>Delivery[[#This Row],[Valor Prêmio Nespresso AAA por saca (em US$)]]/1.3228/100</f>
        <v>0.13760272380926264</v>
      </c>
      <c r="AL444" s="171">
        <f>(Delivery[[#This Row],[BEN premium (total)]]/SUMIF(Allocation!C:C,Delivery[Delivery ID],Allocation!H:H))/Delivery[[#This Row],[Exchange rate for premiums VS USD]]</f>
        <v>0.1063513609075179</v>
      </c>
      <c r="AM444" s="171">
        <f>Delivery[[#This Row],[Valor Prêmio Nespresso BEN por Kg (em US$)]]*60</f>
        <v>6.3810816544510738</v>
      </c>
      <c r="AN444" s="171">
        <f>Delivery[[#This Row],[Valor Prêmio Nespresso BEN por saca (em US$)]]/1.3228/100</f>
        <v>4.8239202105012653E-2</v>
      </c>
      <c r="AO444" s="171">
        <f>SUMIF(Allocation[Delivery ID],Delivery[[#This Row],[Delivery ID]],Allocation[Quantity allocated])*16*1.3228*Delivery[[#This Row],[Exchange rate VS USD]]/60</f>
        <v>11093.340847786667</v>
      </c>
      <c r="AP444" s="171">
        <f>Delivery[[#This Row],[AAA Premium (total)]]</f>
        <v>9540.46198</v>
      </c>
      <c r="AQ444" s="171">
        <f>Delivery[[#This Row],[Valor pago pelo Cluster]]-Delivery[[#This Row],[Valor efetivamente pago pela Nespresso]]</f>
        <v>-1552.8788677866669</v>
      </c>
    </row>
    <row r="445" spans="1:43" ht="15.75">
      <c r="A445" s="174" t="s">
        <v>69</v>
      </c>
      <c r="B445" s="232" t="s">
        <v>68</v>
      </c>
      <c r="C445" s="157">
        <v>1</v>
      </c>
      <c r="D445" s="157" t="s">
        <v>468</v>
      </c>
      <c r="E445" s="177" t="s">
        <v>468</v>
      </c>
      <c r="F445" s="233" t="s">
        <v>541</v>
      </c>
      <c r="G445" s="234">
        <v>43416</v>
      </c>
      <c r="H445" s="157" t="s">
        <v>1591</v>
      </c>
      <c r="I445" s="157" t="s">
        <v>1107</v>
      </c>
      <c r="J445" s="237">
        <v>30521</v>
      </c>
      <c r="K445" s="175" t="s">
        <v>61</v>
      </c>
      <c r="L445" s="175" t="s">
        <v>439</v>
      </c>
      <c r="M445" s="175" t="s">
        <v>1343</v>
      </c>
      <c r="N445" s="180"/>
      <c r="O445" s="177"/>
      <c r="P445" s="185">
        <v>0</v>
      </c>
      <c r="Q445" s="177">
        <v>43412</v>
      </c>
      <c r="R445" s="178">
        <v>450.89892000000003</v>
      </c>
      <c r="S445" s="179">
        <v>232926.8121221817</v>
      </c>
      <c r="T445" s="182" t="s">
        <v>45</v>
      </c>
      <c r="U445" s="183">
        <v>3.7528000000000001</v>
      </c>
      <c r="V445" s="179">
        <v>13362.907693333334</v>
      </c>
      <c r="W445" s="179">
        <v>4684.6166055758213</v>
      </c>
      <c r="X445" s="186" t="s">
        <v>45</v>
      </c>
      <c r="Y445" s="183">
        <v>3.7528000000000001</v>
      </c>
      <c r="Z445" s="220" t="s">
        <v>473</v>
      </c>
      <c r="AA445" s="172">
        <f>Delivery[[#This Row],[Quantity delivered]]*VLOOKUP(Delivery[[#This Row],[Unit]],Tab_Conversão[],4,FALSE)*VLOOKUP(CONCATENATE(Delivery[[#This Row],[Coffee specie]],Delivery[[#This Row],[Coffee state]]),Tab_Conversão[],4,FALSE)</f>
        <v>30521</v>
      </c>
      <c r="AB445" s="169">
        <f>SUMIF(Allocation!C:C,Delivery[[#This Row],[Delivery ID]],Allocation!D:D)/Delivery[[#This Row],[Quantity delivered]]</f>
        <v>0.42803315749811605</v>
      </c>
      <c r="AC445" s="170">
        <f>Delivery[[#This Row],[Quantity delivered]]*Delivery[[#This Row],[Base price (Unidad)]]/60</f>
        <v>229364.76562200004</v>
      </c>
      <c r="AD445" s="171">
        <f>Delivery[[#This Row],[Nespresso total]]-Delivery[[#This Row],[Qt. Delivery * Base Price]]</f>
        <v>3562.0465001816629</v>
      </c>
      <c r="AE445" s="171">
        <f>Delivery[[#This Row],[AAA Premium (total)]]/Delivery[[#This Row],[Quantity delivered]]*60/Delivery[[#This Row],[Exchange rate VS USD]]</f>
        <v>7</v>
      </c>
      <c r="AF445" s="171">
        <f>Delivery[[#This Row],[BEN premium (total)]]/Delivery[[#This Row],[Quantity delivered]]*60/Delivery[[#This Row],[Exchange rate for premiums VS USD]]</f>
        <v>2.4539806</v>
      </c>
      <c r="AG445" s="171">
        <f>COUNTIF(Delivery[Delivery ID],Delivery[[#This Row],[Delivery ID]])</f>
        <v>1</v>
      </c>
      <c r="AH445" s="171">
        <f>(Delivery[[#This Row],[Nespresso total]]/SUMIF(Allocation!C:C,Delivery[Delivery ID],Allocation!H:H))/Delivery[[#This Row],[Exchange rate VS USD]]</f>
        <v>12.839775104023925</v>
      </c>
      <c r="AI445" s="171">
        <f>(Delivery[[#This Row],[AAA Premium (total)]]/SUMIF(Allocation!C:C,Delivery[Delivery ID],Allocation!H:H))/Delivery[[#This Row],[Exchange rate VS USD]]</f>
        <v>0.73661219142187284</v>
      </c>
      <c r="AJ445" s="171">
        <f>Delivery[[#This Row],[Valor Prêmio Nespresso AAA por Kg (em US$)]]*60</f>
        <v>44.19673148531237</v>
      </c>
      <c r="AK445" s="171">
        <f>Delivery[[#This Row],[Valor Prêmio Nespresso AAA por saca (em US$)]]/1.3228/100</f>
        <v>0.33411499459716032</v>
      </c>
      <c r="AL445" s="171">
        <f>(Delivery[[#This Row],[BEN premium (total)]]/SUMIF(Allocation!C:C,Delivery[Delivery ID],Allocation!H:H))/Delivery[[#This Row],[Exchange rate for premiums VS USD]]</f>
        <v>0.25823314678182319</v>
      </c>
      <c r="AM445" s="171">
        <f>Delivery[[#This Row],[Valor Prêmio Nespresso BEN por Kg (em US$)]]*60</f>
        <v>15.493988806909391</v>
      </c>
      <c r="AN445" s="171">
        <f>Delivery[[#This Row],[Valor Prêmio Nespresso BEN por saca (em US$)]]/1.3228/100</f>
        <v>0.11713024498721947</v>
      </c>
      <c r="AO445" s="171">
        <f>SUMIF(Allocation[Delivery ID],Delivery[[#This Row],[Delivery ID]],Allocation[Quantity allocated])*16*1.3228*Delivery[[#This Row],[Exchange rate VS USD]]/60</f>
        <v>6399.1896966826662</v>
      </c>
      <c r="AP445" s="171">
        <f>Delivery[[#This Row],[AAA Premium (total)]]</f>
        <v>13362.907693333334</v>
      </c>
      <c r="AQ445" s="171">
        <f>Delivery[[#This Row],[Valor pago pelo Cluster]]-Delivery[[#This Row],[Valor efetivamente pago pela Nespresso]]</f>
        <v>6963.7179966506683</v>
      </c>
    </row>
    <row r="446" spans="1:43" ht="15.75">
      <c r="A446" s="174" t="s">
        <v>69</v>
      </c>
      <c r="B446" s="232" t="s">
        <v>68</v>
      </c>
      <c r="C446" s="157">
        <v>1</v>
      </c>
      <c r="D446" s="157" t="s">
        <v>468</v>
      </c>
      <c r="E446" s="177" t="s">
        <v>468</v>
      </c>
      <c r="F446" s="233" t="s">
        <v>541</v>
      </c>
      <c r="G446" s="234">
        <v>43416</v>
      </c>
      <c r="H446" s="157" t="s">
        <v>1592</v>
      </c>
      <c r="I446" s="157" t="s">
        <v>1107</v>
      </c>
      <c r="J446" s="237">
        <v>1619</v>
      </c>
      <c r="K446" s="175" t="s">
        <v>61</v>
      </c>
      <c r="L446" s="175" t="s">
        <v>439</v>
      </c>
      <c r="M446" s="175" t="s">
        <v>1343</v>
      </c>
      <c r="N446" s="180"/>
      <c r="O446" s="177"/>
      <c r="P446" s="185">
        <v>0</v>
      </c>
      <c r="Q446" s="177">
        <v>43412</v>
      </c>
      <c r="R446" s="178">
        <v>450.89892000000003</v>
      </c>
      <c r="S446" s="179">
        <v>12355.7061965798</v>
      </c>
      <c r="T446" s="182" t="s">
        <v>45</v>
      </c>
      <c r="U446" s="183">
        <v>3.7528000000000001</v>
      </c>
      <c r="V446" s="179">
        <v>708.84137333333342</v>
      </c>
      <c r="W446" s="179">
        <v>248.49756837676534</v>
      </c>
      <c r="X446" s="186" t="s">
        <v>45</v>
      </c>
      <c r="Y446" s="183">
        <v>3.7528000000000001</v>
      </c>
      <c r="Z446" s="220" t="s">
        <v>473</v>
      </c>
      <c r="AA446" s="172">
        <f>Delivery[[#This Row],[Quantity delivered]]*VLOOKUP(Delivery[[#This Row],[Unit]],Tab_Conversão[],4,FALSE)*VLOOKUP(CONCATENATE(Delivery[[#This Row],[Coffee specie]],Delivery[[#This Row],[Coffee state]]),Tab_Conversão[],4,FALSE)</f>
        <v>1619</v>
      </c>
      <c r="AB446" s="169">
        <f>SUMIF(Allocation!C:C,Delivery[[#This Row],[Delivery ID]],Allocation!D:D)/Delivery[[#This Row],[Quantity delivered]]</f>
        <v>1</v>
      </c>
      <c r="AC446" s="170">
        <f>Delivery[[#This Row],[Quantity delivered]]*Delivery[[#This Row],[Base price (Unidad)]]/60</f>
        <v>12166.755858</v>
      </c>
      <c r="AD446" s="171">
        <f>Delivery[[#This Row],[Nespresso total]]-Delivery[[#This Row],[Qt. Delivery * Base Price]]</f>
        <v>188.95033857979979</v>
      </c>
      <c r="AE446" s="171">
        <f>Delivery[[#This Row],[AAA Premium (total)]]/Delivery[[#This Row],[Quantity delivered]]*60/Delivery[[#This Row],[Exchange rate VS USD]]</f>
        <v>7</v>
      </c>
      <c r="AF446" s="171">
        <f>Delivery[[#This Row],[BEN premium (total)]]/Delivery[[#This Row],[Quantity delivered]]*60/Delivery[[#This Row],[Exchange rate for premiums VS USD]]</f>
        <v>2.4539806</v>
      </c>
      <c r="AG446" s="171">
        <f>COUNTIF(Delivery[Delivery ID],Delivery[[#This Row],[Delivery ID]])</f>
        <v>1</v>
      </c>
      <c r="AH446" s="171">
        <f>(Delivery[[#This Row],[Nespresso total]]/SUMIF(Allocation!C:C,Delivery[Delivery ID],Allocation!H:H))/Delivery[[#This Row],[Exchange rate VS USD]]</f>
        <v>5.4964885858313384</v>
      </c>
      <c r="AI446" s="171">
        <f>(Delivery[[#This Row],[AAA Premium (total)]]/SUMIF(Allocation!C:C,Delivery[Delivery ID],Allocation!H:H))/Delivery[[#This Row],[Exchange rate VS USD]]</f>
        <v>0.31533110740122428</v>
      </c>
      <c r="AJ446" s="171">
        <f>Delivery[[#This Row],[Valor Prêmio Nespresso AAA por Kg (em US$)]]*60</f>
        <v>18.919866444073456</v>
      </c>
      <c r="AK446" s="171">
        <f>Delivery[[#This Row],[Valor Prêmio Nespresso AAA por saca (em US$)]]/1.3228/100</f>
        <v>0.14302892685268714</v>
      </c>
      <c r="AL446" s="171">
        <f>(Delivery[[#This Row],[BEN premium (total)]]/SUMIF(Allocation!C:C,Delivery[Delivery ID],Allocation!H:H))/Delivery[[#This Row],[Exchange rate for premiums VS USD]]</f>
        <v>0.11054520287701726</v>
      </c>
      <c r="AM446" s="171">
        <f>Delivery[[#This Row],[Valor Prêmio Nespresso BEN por Kg (em US$)]]*60</f>
        <v>6.6327121726210354</v>
      </c>
      <c r="AN446" s="171">
        <f>Delivery[[#This Row],[Valor Prêmio Nespresso BEN por saca (em US$)]]/1.3228/100</f>
        <v>5.0141458819330478E-2</v>
      </c>
      <c r="AO446" s="171">
        <f>SUMIF(Allocation[Delivery ID],Delivery[[#This Row],[Delivery ID]],Allocation[Quantity allocated])*16*1.3228*Delivery[[#This Row],[Exchange rate VS USD]]/60</f>
        <v>792.94882670933339</v>
      </c>
      <c r="AP446" s="171">
        <f>Delivery[[#This Row],[AAA Premium (total)]]</f>
        <v>708.84137333333342</v>
      </c>
      <c r="AQ446" s="171">
        <f>Delivery[[#This Row],[Valor pago pelo Cluster]]-Delivery[[#This Row],[Valor efetivamente pago pela Nespresso]]</f>
        <v>-84.107453375999967</v>
      </c>
    </row>
    <row r="447" spans="1:43" ht="15.75">
      <c r="A447" s="174" t="s">
        <v>69</v>
      </c>
      <c r="B447" s="232" t="s">
        <v>68</v>
      </c>
      <c r="C447" s="157">
        <v>1</v>
      </c>
      <c r="D447" s="157" t="s">
        <v>468</v>
      </c>
      <c r="E447" s="177" t="s">
        <v>468</v>
      </c>
      <c r="F447" s="233" t="s">
        <v>541</v>
      </c>
      <c r="G447" s="234">
        <v>43416</v>
      </c>
      <c r="H447" s="157" t="s">
        <v>1593</v>
      </c>
      <c r="I447" s="157" t="s">
        <v>1107</v>
      </c>
      <c r="J447" s="237">
        <v>30860</v>
      </c>
      <c r="K447" s="175" t="s">
        <v>61</v>
      </c>
      <c r="L447" s="175" t="s">
        <v>439</v>
      </c>
      <c r="M447" s="175" t="s">
        <v>1343</v>
      </c>
      <c r="N447" s="180"/>
      <c r="O447" s="177"/>
      <c r="P447" s="185">
        <v>0</v>
      </c>
      <c r="Q447" s="177">
        <v>43412</v>
      </c>
      <c r="R447" s="178">
        <v>450.89892000000003</v>
      </c>
      <c r="S447" s="179">
        <v>235513.9550503105</v>
      </c>
      <c r="T447" s="182" t="s">
        <v>45</v>
      </c>
      <c r="U447" s="183">
        <v>3.7528000000000001</v>
      </c>
      <c r="V447" s="179">
        <v>13511.330933333335</v>
      </c>
      <c r="W447" s="179">
        <v>4736.6491415114133</v>
      </c>
      <c r="X447" s="186" t="s">
        <v>45</v>
      </c>
      <c r="Y447" s="183">
        <v>3.7528000000000001</v>
      </c>
      <c r="Z447" s="220" t="s">
        <v>473</v>
      </c>
      <c r="AA447" s="172">
        <f>Delivery[[#This Row],[Quantity delivered]]*VLOOKUP(Delivery[[#This Row],[Unit]],Tab_Conversão[],4,FALSE)*VLOOKUP(CONCATENATE(Delivery[[#This Row],[Coffee specie]],Delivery[[#This Row],[Coffee state]]),Tab_Conversão[],4,FALSE)</f>
        <v>30860</v>
      </c>
      <c r="AB447" s="169">
        <f>SUMIF(Allocation!C:C,Delivery[[#This Row],[Delivery ID]],Allocation!D:D)/Delivery[[#This Row],[Quantity delivered]]</f>
        <v>0.424951393389501</v>
      </c>
      <c r="AC447" s="170">
        <f>Delivery[[#This Row],[Quantity delivered]]*Delivery[[#This Row],[Base price (Unidad)]]/60</f>
        <v>231912.34452000001</v>
      </c>
      <c r="AD447" s="171">
        <f>Delivery[[#This Row],[Nespresso total]]-Delivery[[#This Row],[Qt. Delivery * Base Price]]</f>
        <v>3601.610530310485</v>
      </c>
      <c r="AE447" s="171">
        <f>Delivery[[#This Row],[AAA Premium (total)]]/Delivery[[#This Row],[Quantity delivered]]*60/Delivery[[#This Row],[Exchange rate VS USD]]</f>
        <v>7</v>
      </c>
      <c r="AF447" s="171">
        <f>Delivery[[#This Row],[BEN premium (total)]]/Delivery[[#This Row],[Quantity delivered]]*60/Delivery[[#This Row],[Exchange rate for premiums VS USD]]</f>
        <v>2.4539806</v>
      </c>
      <c r="AG447" s="171">
        <f>COUNTIF(Delivery[Delivery ID],Delivery[[#This Row],[Delivery ID]])</f>
        <v>1</v>
      </c>
      <c r="AH447" s="171">
        <f>(Delivery[[#This Row],[Nespresso total]]/SUMIF(Allocation!C:C,Delivery[Delivery ID],Allocation!H:H))/Delivery[[#This Row],[Exchange rate VS USD]]</f>
        <v>12.934225657280622</v>
      </c>
      <c r="AI447" s="171">
        <f>(Delivery[[#This Row],[AAA Premium (total)]]/SUMIF(Allocation!C:C,Delivery[Delivery ID],Allocation!H:H))/Delivery[[#This Row],[Exchange rate VS USD]]</f>
        <v>0.74203077768617753</v>
      </c>
      <c r="AJ447" s="171">
        <f>Delivery[[#This Row],[Valor Prêmio Nespresso AAA por Kg (em US$)]]*60</f>
        <v>44.521846661170649</v>
      </c>
      <c r="AK447" s="171">
        <f>Delivery[[#This Row],[Valor Prêmio Nespresso AAA por saca (em US$)]]/1.3228/100</f>
        <v>0.33657277488033449</v>
      </c>
      <c r="AL447" s="171">
        <f>(Delivery[[#This Row],[BEN premium (total)]]/SUMIF(Allocation!C:C,Delivery[Delivery ID],Allocation!H:H))/Delivery[[#This Row],[Exchange rate for premiums VS USD]]</f>
        <v>0.26013273329211323</v>
      </c>
      <c r="AM447" s="171">
        <f>Delivery[[#This Row],[Valor Prêmio Nespresso BEN por Kg (em US$)]]*60</f>
        <v>15.607963997526793</v>
      </c>
      <c r="AN447" s="171">
        <f>Delivery[[#This Row],[Valor Prêmio Nespresso BEN por saca (em US$)]]/1.3228/100</f>
        <v>0.11799186572064403</v>
      </c>
      <c r="AO447" s="171">
        <f>SUMIF(Allocation[Delivery ID],Delivery[[#This Row],[Delivery ID]],Allocation[Quantity allocated])*16*1.3228*Delivery[[#This Row],[Exchange rate VS USD]]/60</f>
        <v>6423.0178751146659</v>
      </c>
      <c r="AP447" s="171">
        <f>Delivery[[#This Row],[AAA Premium (total)]]</f>
        <v>13511.330933333335</v>
      </c>
      <c r="AQ447" s="171">
        <f>Delivery[[#This Row],[Valor pago pelo Cluster]]-Delivery[[#This Row],[Valor efetivamente pago pela Nespresso]]</f>
        <v>7088.3130582186686</v>
      </c>
    </row>
    <row r="448" spans="1:43" ht="15.75">
      <c r="A448" s="174" t="s">
        <v>69</v>
      </c>
      <c r="B448" s="232" t="s">
        <v>68</v>
      </c>
      <c r="C448" s="157">
        <v>1</v>
      </c>
      <c r="D448" s="157" t="s">
        <v>468</v>
      </c>
      <c r="E448" s="177" t="s">
        <v>468</v>
      </c>
      <c r="F448" s="233" t="s">
        <v>543</v>
      </c>
      <c r="G448" s="234">
        <v>43416</v>
      </c>
      <c r="H448" s="235" t="s">
        <v>1594</v>
      </c>
      <c r="I448" s="157" t="s">
        <v>1107</v>
      </c>
      <c r="J448" s="237">
        <v>21820</v>
      </c>
      <c r="K448" s="175" t="s">
        <v>61</v>
      </c>
      <c r="L448" s="175" t="s">
        <v>439</v>
      </c>
      <c r="M448" s="175" t="s">
        <v>1343</v>
      </c>
      <c r="N448" s="180"/>
      <c r="O448" s="177"/>
      <c r="P448" s="185">
        <v>0</v>
      </c>
      <c r="Q448" s="177">
        <v>43412</v>
      </c>
      <c r="R448" s="178">
        <v>450.89892000000003</v>
      </c>
      <c r="S448" s="179">
        <v>169871.29181677106</v>
      </c>
      <c r="T448" s="182" t="s">
        <v>45</v>
      </c>
      <c r="U448" s="183">
        <v>3.7528000000000001</v>
      </c>
      <c r="V448" s="179">
        <v>9553.3778666666676</v>
      </c>
      <c r="W448" s="179">
        <v>3349.1148498956268</v>
      </c>
      <c r="X448" s="186" t="s">
        <v>45</v>
      </c>
      <c r="Y448" s="183">
        <v>3.7528000000000001</v>
      </c>
      <c r="Z448" s="220" t="s">
        <v>473</v>
      </c>
      <c r="AA448" s="172">
        <f>Delivery[[#This Row],[Quantity delivered]]*VLOOKUP(Delivery[[#This Row],[Unit]],Tab_Conversão[],4,FALSE)*VLOOKUP(CONCATENATE(Delivery[[#This Row],[Coffee specie]],Delivery[[#This Row],[Coffee state]]),Tab_Conversão[],4,FALSE)</f>
        <v>21820</v>
      </c>
      <c r="AB448" s="169">
        <f>SUMIF(Allocation!C:C,Delivery[[#This Row],[Delivery ID]],Allocation!D:D)/Delivery[[#This Row],[Quantity delivered]]</f>
        <v>1</v>
      </c>
      <c r="AC448" s="170">
        <f>Delivery[[#This Row],[Quantity delivered]]*Delivery[[#This Row],[Base price (Unidad)]]/60</f>
        <v>163976.90724000003</v>
      </c>
      <c r="AD448" s="171">
        <f>Delivery[[#This Row],[Nespresso total]]-Delivery[[#This Row],[Qt. Delivery * Base Price]]</f>
        <v>5894.38457677103</v>
      </c>
      <c r="AE448" s="171">
        <f>Delivery[[#This Row],[AAA Premium (total)]]/Delivery[[#This Row],[Quantity delivered]]*60/Delivery[[#This Row],[Exchange rate VS USD]]</f>
        <v>7</v>
      </c>
      <c r="AF448" s="171">
        <f>Delivery[[#This Row],[BEN premium (total)]]/Delivery[[#This Row],[Quantity delivered]]*60/Delivery[[#This Row],[Exchange rate for premiums VS USD]]</f>
        <v>2.4539806</v>
      </c>
      <c r="AG448" s="171">
        <f>COUNTIF(Delivery[Delivery ID],Delivery[[#This Row],[Delivery ID]])</f>
        <v>1</v>
      </c>
      <c r="AH448" s="171">
        <f>(Delivery[[#This Row],[Nespresso total]]/SUMIF(Allocation!C:C,Delivery[Delivery ID],Allocation!H:H))/Delivery[[#This Row],[Exchange rate VS USD]]</f>
        <v>5.3771932912020306</v>
      </c>
      <c r="AI448" s="171">
        <f>(Delivery[[#This Row],[AAA Premium (total)]]/SUMIF(Allocation!C:C,Delivery[Delivery ID],Allocation!H:H))/Delivery[[#This Row],[Exchange rate VS USD]]</f>
        <v>0.30240753939969911</v>
      </c>
      <c r="AJ448" s="171">
        <f>Delivery[[#This Row],[Valor Prêmio Nespresso AAA por Kg (em US$)]]*60</f>
        <v>18.144452363981948</v>
      </c>
      <c r="AK448" s="171">
        <f>Delivery[[#This Row],[Valor Prêmio Nespresso AAA por saca (em US$)]]/1.3228/100</f>
        <v>0.13716701212565729</v>
      </c>
      <c r="AL448" s="171">
        <f>(Delivery[[#This Row],[BEN premium (total)]]/SUMIF(Allocation!C:C,Delivery[Delivery ID],Allocation!H:H))/Delivery[[#This Row],[Exchange rate for premiums VS USD]]</f>
        <v>0.10601460499722816</v>
      </c>
      <c r="AM448" s="171">
        <f>Delivery[[#This Row],[Valor Prêmio Nespresso BEN por Kg (em US$)]]*60</f>
        <v>6.3608762998336896</v>
      </c>
      <c r="AN448" s="171">
        <f>Delivery[[#This Row],[Valor Prêmio Nespresso BEN por saca (em US$)]]/1.3228/100</f>
        <v>4.8086455245189674E-2</v>
      </c>
      <c r="AO448" s="171">
        <f>SUMIF(Allocation[Delivery ID],Delivery[[#This Row],[Delivery ID]],Allocation[Quantity allocated])*16*1.3228*Delivery[[#This Row],[Exchange rate VS USD]]/60</f>
        <v>11143.644780031998</v>
      </c>
      <c r="AP448" s="171">
        <f>Delivery[[#This Row],[AAA Premium (total)]]</f>
        <v>9553.3778666666676</v>
      </c>
      <c r="AQ448" s="171">
        <f>Delivery[[#This Row],[Valor pago pelo Cluster]]-Delivery[[#This Row],[Valor efetivamente pago pela Nespresso]]</f>
        <v>-1590.2669133653308</v>
      </c>
    </row>
    <row r="449" spans="1:43" ht="15.75">
      <c r="A449" s="174" t="s">
        <v>69</v>
      </c>
      <c r="B449" s="232" t="s">
        <v>68</v>
      </c>
      <c r="C449" s="157">
        <v>1</v>
      </c>
      <c r="D449" s="157" t="s">
        <v>468</v>
      </c>
      <c r="E449" s="177" t="s">
        <v>468</v>
      </c>
      <c r="F449" s="233" t="s">
        <v>543</v>
      </c>
      <c r="G449" s="234">
        <v>43416</v>
      </c>
      <c r="H449" s="235" t="s">
        <v>1595</v>
      </c>
      <c r="I449" s="157" t="s">
        <v>1107</v>
      </c>
      <c r="J449" s="237">
        <v>21520</v>
      </c>
      <c r="K449" s="175" t="s">
        <v>61</v>
      </c>
      <c r="L449" s="175" t="s">
        <v>439</v>
      </c>
      <c r="M449" s="175" t="s">
        <v>1343</v>
      </c>
      <c r="N449" s="180"/>
      <c r="O449" s="177"/>
      <c r="P449" s="185">
        <v>0</v>
      </c>
      <c r="Q449" s="177">
        <v>43412</v>
      </c>
      <c r="R449" s="178">
        <v>450.89892000000003</v>
      </c>
      <c r="S449" s="179">
        <v>167535.73830874945</v>
      </c>
      <c r="T449" s="182" t="s">
        <v>45</v>
      </c>
      <c r="U449" s="183">
        <v>3.7528000000000001</v>
      </c>
      <c r="V449" s="179">
        <v>9422.0298666666677</v>
      </c>
      <c r="W449" s="179">
        <v>3303.0683579172269</v>
      </c>
      <c r="X449" s="186" t="s">
        <v>45</v>
      </c>
      <c r="Y449" s="183">
        <v>3.7528000000000001</v>
      </c>
      <c r="Z449" s="220" t="s">
        <v>473</v>
      </c>
      <c r="AA449" s="172">
        <f>Delivery[[#This Row],[Quantity delivered]]*VLOOKUP(Delivery[[#This Row],[Unit]],Tab_Conversão[],4,FALSE)*VLOOKUP(CONCATENATE(Delivery[[#This Row],[Coffee specie]],Delivery[[#This Row],[Coffee state]]),Tab_Conversão[],4,FALSE)</f>
        <v>21520</v>
      </c>
      <c r="AB449" s="169">
        <f>SUMIF(Allocation!C:C,Delivery[[#This Row],[Delivery ID]],Allocation!D:D)/Delivery[[#This Row],[Quantity delivered]]</f>
        <v>1</v>
      </c>
      <c r="AC449" s="170">
        <f>Delivery[[#This Row],[Quantity delivered]]*Delivery[[#This Row],[Base price (Unidad)]]/60</f>
        <v>161722.41264000002</v>
      </c>
      <c r="AD449" s="171">
        <f>Delivery[[#This Row],[Nespresso total]]-Delivery[[#This Row],[Qt. Delivery * Base Price]]</f>
        <v>5813.3256687494286</v>
      </c>
      <c r="AE449" s="171">
        <f>Delivery[[#This Row],[AAA Premium (total)]]/Delivery[[#This Row],[Quantity delivered]]*60/Delivery[[#This Row],[Exchange rate VS USD]]</f>
        <v>7</v>
      </c>
      <c r="AF449" s="171">
        <f>Delivery[[#This Row],[BEN premium (total)]]/Delivery[[#This Row],[Quantity delivered]]*60/Delivery[[#This Row],[Exchange rate for premiums VS USD]]</f>
        <v>2.4539806</v>
      </c>
      <c r="AG449" s="171">
        <f>COUNTIF(Delivery[Delivery ID],Delivery[[#This Row],[Delivery ID]])</f>
        <v>1</v>
      </c>
      <c r="AH449" s="171">
        <f>(Delivery[[#This Row],[Nespresso total]]/SUMIF(Allocation!C:C,Delivery[Delivery ID],Allocation!H:H))/Delivery[[#This Row],[Exchange rate VS USD]]</f>
        <v>5.3490131253558797</v>
      </c>
      <c r="AI449" s="171">
        <f>(Delivery[[#This Row],[AAA Premium (total)]]/SUMIF(Allocation!C:C,Delivery[Delivery ID],Allocation!H:H))/Delivery[[#This Row],[Exchange rate VS USD]]</f>
        <v>0.30082274942088028</v>
      </c>
      <c r="AJ449" s="171">
        <f>Delivery[[#This Row],[Valor Prêmio Nespresso AAA por Kg (em US$)]]*60</f>
        <v>18.049364965252817</v>
      </c>
      <c r="AK449" s="171">
        <f>Delivery[[#This Row],[Valor Prêmio Nespresso AAA por saca (em US$)]]/1.3228/100</f>
        <v>0.13644817784436664</v>
      </c>
      <c r="AL449" s="171">
        <f>(Delivery[[#This Row],[BEN premium (total)]]/SUMIF(Allocation!C:C,Delivery[Delivery ID],Allocation!H:H))/Delivery[[#This Row],[Exchange rate for premiums VS USD]]</f>
        <v>0.1054590273025002</v>
      </c>
      <c r="AM449" s="171">
        <f>Delivery[[#This Row],[Valor Prêmio Nespresso BEN por Kg (em US$)]]*60</f>
        <v>6.327541638150012</v>
      </c>
      <c r="AN449" s="171">
        <f>Delivery[[#This Row],[Valor Prêmio Nespresso BEN por saca (em US$)]]/1.3228/100</f>
        <v>4.783445447648936E-2</v>
      </c>
      <c r="AO449" s="171">
        <f>SUMIF(Allocation[Delivery ID],Delivery[[#This Row],[Delivery ID]],Allocation[Quantity allocated])*16*1.3228*Delivery[[#This Row],[Exchange rate VS USD]]/60</f>
        <v>11048.332066303999</v>
      </c>
      <c r="AP449" s="171">
        <f>Delivery[[#This Row],[AAA Premium (total)]]</f>
        <v>9422.0298666666677</v>
      </c>
      <c r="AQ449" s="171">
        <f>Delivery[[#This Row],[Valor pago pelo Cluster]]-Delivery[[#This Row],[Valor efetivamente pago pela Nespresso]]</f>
        <v>-1626.3021996373318</v>
      </c>
    </row>
    <row r="450" spans="1:43" ht="15.75">
      <c r="A450" s="174" t="s">
        <v>69</v>
      </c>
      <c r="B450" s="232" t="s">
        <v>68</v>
      </c>
      <c r="C450" s="157">
        <v>1</v>
      </c>
      <c r="D450" s="157" t="s">
        <v>468</v>
      </c>
      <c r="E450" s="177" t="s">
        <v>468</v>
      </c>
      <c r="F450" s="233" t="s">
        <v>543</v>
      </c>
      <c r="G450" s="234">
        <v>43416</v>
      </c>
      <c r="H450" s="235" t="s">
        <v>1596</v>
      </c>
      <c r="I450" s="157" t="s">
        <v>1107</v>
      </c>
      <c r="J450" s="237">
        <v>1858.5</v>
      </c>
      <c r="K450" s="175" t="s">
        <v>61</v>
      </c>
      <c r="L450" s="175" t="s">
        <v>439</v>
      </c>
      <c r="M450" s="175" t="s">
        <v>1343</v>
      </c>
      <c r="N450" s="180"/>
      <c r="O450" s="177"/>
      <c r="P450" s="185">
        <v>0</v>
      </c>
      <c r="Q450" s="177">
        <v>43412</v>
      </c>
      <c r="R450" s="178">
        <v>450.89892000000003</v>
      </c>
      <c r="S450" s="179">
        <v>14467.453982193812</v>
      </c>
      <c r="T450" s="182" t="s">
        <v>45</v>
      </c>
      <c r="U450" s="183">
        <v>3.7528000000000001</v>
      </c>
      <c r="V450" s="179">
        <v>813.70086000000003</v>
      </c>
      <c r="W450" s="179">
        <v>285.25801780618804</v>
      </c>
      <c r="X450" s="186" t="s">
        <v>45</v>
      </c>
      <c r="Y450" s="183">
        <v>3.7528000000000001</v>
      </c>
      <c r="Z450" s="220" t="s">
        <v>473</v>
      </c>
      <c r="AA450" s="172">
        <f>Delivery[[#This Row],[Quantity delivered]]*VLOOKUP(Delivery[[#This Row],[Unit]],Tab_Conversão[],4,FALSE)*VLOOKUP(CONCATENATE(Delivery[[#This Row],[Coffee specie]],Delivery[[#This Row],[Coffee state]]),Tab_Conversão[],4,FALSE)</f>
        <v>1858.5</v>
      </c>
      <c r="AB450" s="169">
        <f>SUMIF(Allocation!C:C,Delivery[[#This Row],[Delivery ID]],Allocation!D:D)/Delivery[[#This Row],[Quantity delivered]]</f>
        <v>1</v>
      </c>
      <c r="AC450" s="170">
        <f>Delivery[[#This Row],[Quantity delivered]]*Delivery[[#This Row],[Base price (Unidad)]]/60</f>
        <v>13966.594047000001</v>
      </c>
      <c r="AD450" s="171">
        <f>Delivery[[#This Row],[Nespresso total]]-Delivery[[#This Row],[Qt. Delivery * Base Price]]</f>
        <v>500.85993519381191</v>
      </c>
      <c r="AE450" s="171">
        <f>Delivery[[#This Row],[AAA Premium (total)]]/Delivery[[#This Row],[Quantity delivered]]*60/Delivery[[#This Row],[Exchange rate VS USD]]</f>
        <v>7</v>
      </c>
      <c r="AF450" s="171">
        <f>Delivery[[#This Row],[BEN premium (total)]]/Delivery[[#This Row],[Quantity delivered]]*60/Delivery[[#This Row],[Exchange rate for premiums VS USD]]</f>
        <v>2.4539806000000004</v>
      </c>
      <c r="AG450" s="171">
        <f>COUNTIF(Delivery[Delivery ID],Delivery[[#This Row],[Delivery ID]])</f>
        <v>1</v>
      </c>
      <c r="AH450" s="171">
        <f>(Delivery[[#This Row],[Nespresso total]]/SUMIF(Allocation!C:C,Delivery[Delivery ID],Allocation!H:H))/Delivery[[#This Row],[Exchange rate VS USD]]</f>
        <v>5.3543183986304346</v>
      </c>
      <c r="AI450" s="171">
        <f>(Delivery[[#This Row],[AAA Premium (total)]]/SUMIF(Allocation!C:C,Delivery[Delivery ID],Allocation!H:H))/Delivery[[#This Row],[Exchange rate VS USD]]</f>
        <v>0.30114583333333339</v>
      </c>
      <c r="AJ450" s="171">
        <f>Delivery[[#This Row],[Valor Prêmio Nespresso AAA por Kg (em US$)]]*60</f>
        <v>18.068750000000005</v>
      </c>
      <c r="AK450" s="171">
        <f>Delivery[[#This Row],[Valor Prêmio Nespresso AAA por saca (em US$)]]/1.3228/100</f>
        <v>0.13659472331418207</v>
      </c>
      <c r="AL450" s="171">
        <f>(Delivery[[#This Row],[BEN premium (total)]]/SUMIF(Allocation!C:C,Delivery[Delivery ID],Allocation!H:H))/Delivery[[#This Row],[Exchange rate for premiums VS USD]]</f>
        <v>0.10557229039583335</v>
      </c>
      <c r="AM450" s="171">
        <f>Delivery[[#This Row],[Valor Prêmio Nespresso BEN por Kg (em US$)]]*60</f>
        <v>6.334337423750001</v>
      </c>
      <c r="AN450" s="171">
        <f>Delivery[[#This Row],[Valor Prêmio Nespresso BEN por saca (em US$)]]/1.3228/100</f>
        <v>4.7885828725052926E-2</v>
      </c>
      <c r="AO450" s="171">
        <f>SUMIF(Allocation[Delivery ID],Delivery[[#This Row],[Delivery ID]],Allocation[Quantity allocated])*16*1.3228*Delivery[[#This Row],[Exchange rate VS USD]]/60</f>
        <v>953.12713727999994</v>
      </c>
      <c r="AP450" s="171">
        <f>Delivery[[#This Row],[AAA Premium (total)]]</f>
        <v>813.70086000000003</v>
      </c>
      <c r="AQ450" s="171">
        <f>Delivery[[#This Row],[Valor pago pelo Cluster]]-Delivery[[#This Row],[Valor efetivamente pago pela Nespresso]]</f>
        <v>-139.42627727999991</v>
      </c>
    </row>
    <row r="451" spans="1:43" ht="15.75">
      <c r="A451" s="174" t="s">
        <v>69</v>
      </c>
      <c r="B451" s="232" t="s">
        <v>68</v>
      </c>
      <c r="C451" s="157">
        <v>1</v>
      </c>
      <c r="D451" s="157" t="s">
        <v>468</v>
      </c>
      <c r="E451" s="177" t="s">
        <v>468</v>
      </c>
      <c r="F451" s="233" t="s">
        <v>543</v>
      </c>
      <c r="G451" s="234">
        <v>43416</v>
      </c>
      <c r="H451" s="235" t="s">
        <v>1597</v>
      </c>
      <c r="I451" s="157" t="s">
        <v>1107</v>
      </c>
      <c r="J451" s="237">
        <v>30931.5</v>
      </c>
      <c r="K451" s="175" t="s">
        <v>61</v>
      </c>
      <c r="L451" s="175" t="s">
        <v>439</v>
      </c>
      <c r="M451" s="175" t="s">
        <v>1343</v>
      </c>
      <c r="N451" s="180"/>
      <c r="O451" s="177"/>
      <c r="P451" s="185">
        <v>0</v>
      </c>
      <c r="Q451" s="177">
        <v>43412</v>
      </c>
      <c r="R451" s="178">
        <v>450.89892000000003</v>
      </c>
      <c r="S451" s="179">
        <v>240805.94444456708</v>
      </c>
      <c r="T451" s="182" t="s">
        <v>45</v>
      </c>
      <c r="U451" s="183">
        <v>3.7528000000000001</v>
      </c>
      <c r="V451" s="179">
        <v>13542.635540000001</v>
      </c>
      <c r="W451" s="179">
        <v>4747.6235554329323</v>
      </c>
      <c r="X451" s="186" t="s">
        <v>45</v>
      </c>
      <c r="Y451" s="183">
        <v>3.7528000000000001</v>
      </c>
      <c r="Z451" s="220" t="s">
        <v>473</v>
      </c>
      <c r="AA451" s="172">
        <f>Delivery[[#This Row],[Quantity delivered]]*VLOOKUP(Delivery[[#This Row],[Unit]],Tab_Conversão[],4,FALSE)*VLOOKUP(CONCATENATE(Delivery[[#This Row],[Coffee specie]],Delivery[[#This Row],[Coffee state]]),Tab_Conversão[],4,FALSE)</f>
        <v>30931.5</v>
      </c>
      <c r="AB451" s="169">
        <f>SUMIF(Allocation!C:C,Delivery[[#This Row],[Delivery ID]],Allocation!D:D)/Delivery[[#This Row],[Quantity delivered]]</f>
        <v>1</v>
      </c>
      <c r="AC451" s="170">
        <f>Delivery[[#This Row],[Quantity delivered]]*Delivery[[#This Row],[Base price (Unidad)]]/60</f>
        <v>232449.665733</v>
      </c>
      <c r="AD451" s="171">
        <f>Delivery[[#This Row],[Nespresso total]]-Delivery[[#This Row],[Qt. Delivery * Base Price]]</f>
        <v>8356.2787115670799</v>
      </c>
      <c r="AE451" s="171">
        <f>Delivery[[#This Row],[AAA Premium (total)]]/Delivery[[#This Row],[Quantity delivered]]*60/Delivery[[#This Row],[Exchange rate VS USD]]</f>
        <v>7</v>
      </c>
      <c r="AF451" s="171">
        <f>Delivery[[#This Row],[BEN premium (total)]]/Delivery[[#This Row],[Quantity delivered]]*60/Delivery[[#This Row],[Exchange rate for premiums VS USD]]</f>
        <v>2.4539806</v>
      </c>
      <c r="AG451" s="171">
        <f>COUNTIF(Delivery[Delivery ID],Delivery[[#This Row],[Delivery ID]])</f>
        <v>1</v>
      </c>
      <c r="AH451" s="171">
        <f>(Delivery[[#This Row],[Nespresso total]]/SUMIF(Allocation!C:C,Delivery[Delivery ID],Allocation!H:H))/Delivery[[#This Row],[Exchange rate VS USD]]</f>
        <v>5.3597566950559772</v>
      </c>
      <c r="AI451" s="171">
        <f>(Delivery[[#This Row],[AAA Premium (total)]]/SUMIF(Allocation!C:C,Delivery[Delivery ID],Allocation!H:H))/Delivery[[#This Row],[Exchange rate VS USD]]</f>
        <v>0.30142624457066491</v>
      </c>
      <c r="AJ451" s="171">
        <f>Delivery[[#This Row],[Valor Prêmio Nespresso AAA por Kg (em US$)]]*60</f>
        <v>18.085574674239894</v>
      </c>
      <c r="AK451" s="171">
        <f>Delivery[[#This Row],[Valor Prêmio Nespresso AAA por saca (em US$)]]/1.3228/100</f>
        <v>0.13672191317084892</v>
      </c>
      <c r="AL451" s="171">
        <f>(Delivery[[#This Row],[BEN premium (total)]]/SUMIF(Allocation!C:C,Delivery[Delivery ID],Allocation!H:H))/Delivery[[#This Row],[Exchange rate for premiums VS USD]]</f>
        <v>0.10567059378675242</v>
      </c>
      <c r="AM451" s="171">
        <f>Delivery[[#This Row],[Valor Prêmio Nespresso BEN por Kg (em US$)]]*60</f>
        <v>6.3402356272051454</v>
      </c>
      <c r="AN451" s="171">
        <f>Delivery[[#This Row],[Valor Prêmio Nespresso BEN por saca (em US$)]]/1.3228/100</f>
        <v>4.7930417502306817E-2</v>
      </c>
      <c r="AO451" s="171">
        <f>SUMIF(Allocation[Delivery ID],Delivery[[#This Row],[Delivery ID]],Allocation[Quantity allocated])*16*1.3228*Delivery[[#This Row],[Exchange rate VS USD]]/60</f>
        <v>15848.386232661334</v>
      </c>
      <c r="AP451" s="171">
        <f>Delivery[[#This Row],[AAA Premium (total)]]</f>
        <v>13542.635540000001</v>
      </c>
      <c r="AQ451" s="171">
        <f>Delivery[[#This Row],[Valor pago pelo Cluster]]-Delivery[[#This Row],[Valor efetivamente pago pela Nespresso]]</f>
        <v>-2305.7506926613332</v>
      </c>
    </row>
    <row r="452" spans="1:43" ht="15.75">
      <c r="A452" s="174" t="s">
        <v>69</v>
      </c>
      <c r="B452" s="232" t="s">
        <v>68</v>
      </c>
      <c r="C452" s="157">
        <v>1</v>
      </c>
      <c r="D452" s="157" t="s">
        <v>468</v>
      </c>
      <c r="E452" s="177" t="s">
        <v>468</v>
      </c>
      <c r="F452" s="233" t="s">
        <v>469</v>
      </c>
      <c r="G452" s="234">
        <v>42646</v>
      </c>
      <c r="H452" s="235" t="s">
        <v>598</v>
      </c>
      <c r="I452" s="157" t="s">
        <v>599</v>
      </c>
      <c r="J452" s="237">
        <v>30840</v>
      </c>
      <c r="K452" s="175" t="s">
        <v>61</v>
      </c>
      <c r="L452" s="175" t="s">
        <v>439</v>
      </c>
      <c r="M452" s="175" t="s">
        <v>1343</v>
      </c>
      <c r="N452" s="180"/>
      <c r="O452" s="177"/>
      <c r="P452" s="185">
        <v>0</v>
      </c>
      <c r="Q452" s="177">
        <v>42013</v>
      </c>
      <c r="R452" s="178">
        <v>597.1513934135437</v>
      </c>
      <c r="S452" s="179">
        <v>272191.79175581556</v>
      </c>
      <c r="T452" s="182" t="s">
        <v>45</v>
      </c>
      <c r="U452" s="183">
        <v>3.0780999660491943</v>
      </c>
      <c r="V452" s="179">
        <v>11075.003677845001</v>
      </c>
      <c r="W452" s="179">
        <v>3462.8141220922375</v>
      </c>
      <c r="X452" s="186" t="s">
        <v>45</v>
      </c>
      <c r="Y452" s="183">
        <v>3.0780999660491943</v>
      </c>
      <c r="Z452" s="220" t="s">
        <v>473</v>
      </c>
      <c r="AA452" s="172">
        <f>Delivery[[#This Row],[Quantity delivered]]*VLOOKUP(Delivery[[#This Row],[Unit]],Tab_Conversão[],4,FALSE)*VLOOKUP(CONCATENATE(Delivery[[#This Row],[Coffee specie]],Delivery[[#This Row],[Coffee state]]),Tab_Conversão[],4,FALSE)</f>
        <v>30840</v>
      </c>
      <c r="AB452" s="169">
        <f>SUMIF(Allocation!C:C,Delivery[[#This Row],[Delivery ID]],Allocation!D:D)/Delivery[[#This Row],[Quantity delivered]]</f>
        <v>3.2425421530479896E-5</v>
      </c>
      <c r="AC452" s="170">
        <f>Delivery[[#This Row],[Quantity delivered]]*Delivery[[#This Row],[Base price (Unidad)]]/60</f>
        <v>306935.81621456146</v>
      </c>
      <c r="AD452" s="171">
        <f>Delivery[[#This Row],[Nespresso total]]-Delivery[[#This Row],[Qt. Delivery * Base Price]]</f>
        <v>-34744.024458745902</v>
      </c>
      <c r="AE452" s="171">
        <f>Delivery[[#This Row],[AAA Premium (total)]]/Delivery[[#This Row],[Quantity delivered]]*60/Delivery[[#This Row],[Exchange rate VS USD]]</f>
        <v>7</v>
      </c>
      <c r="AF452" s="171">
        <f>Delivery[[#This Row],[BEN premium (total)]]/Delivery[[#This Row],[Quantity delivered]]*60/Delivery[[#This Row],[Exchange rate for premiums VS USD]]</f>
        <v>2.1886854000000002</v>
      </c>
      <c r="AG452" s="171">
        <f>COUNTIF(Delivery[Delivery ID],Delivery[[#This Row],[Delivery ID]])</f>
        <v>1</v>
      </c>
      <c r="AH452" s="171">
        <f>(Delivery[[#This Row],[Nespresso total]]/SUMIF(Allocation!C:C,Delivery[Delivery ID],Allocation!H:H))/Delivery[[#This Row],[Exchange rate VS USD]]</f>
        <v>267965.17997430009</v>
      </c>
      <c r="AI452" s="171">
        <f>(Delivery[[#This Row],[AAA Premium (total)]]/SUMIF(Allocation!C:C,Delivery[Delivery ID],Allocation!H:H))/Delivery[[#This Row],[Exchange rate VS USD]]</f>
        <v>10903.030303030302</v>
      </c>
      <c r="AJ452" s="171">
        <f>Delivery[[#This Row],[Valor Prêmio Nespresso AAA por Kg (em US$)]]*60</f>
        <v>654181.81818181812</v>
      </c>
      <c r="AK452" s="171">
        <f>Delivery[[#This Row],[Valor Prêmio Nespresso AAA por saca (em US$)]]/1.3228/100</f>
        <v>4945.4325535365751</v>
      </c>
      <c r="AL452" s="171">
        <f>(Delivery[[#This Row],[BEN premium (total)]]/SUMIF(Allocation!C:C,Delivery[Delivery ID],Allocation!H:H))/Delivery[[#This Row],[Exchange rate for premiums VS USD]]</f>
        <v>3409.0433200000002</v>
      </c>
      <c r="AM452" s="171">
        <f>Delivery[[#This Row],[Valor Prêmio Nespresso BEN por Kg (em US$)]]*60</f>
        <v>204542.59920000003</v>
      </c>
      <c r="AN452" s="171">
        <f>Delivery[[#This Row],[Valor Prêmio Nespresso BEN por saca (em US$)]]/1.3228/100</f>
        <v>1546.285146658603</v>
      </c>
      <c r="AO452" s="171">
        <f>SUMIF(Allocation[Delivery ID],Delivery[[#This Row],[Delivery ID]],Allocation[Quantity allocated])*16*1.3228*Delivery[[#This Row],[Exchange rate VS USD]]/60</f>
        <v>0.35831053588790895</v>
      </c>
      <c r="AP452" s="171">
        <f>Delivery[[#This Row],[AAA Premium (total)]]</f>
        <v>11075.003677845001</v>
      </c>
      <c r="AQ452" s="171">
        <f>Delivery[[#This Row],[Valor pago pelo Cluster]]-Delivery[[#This Row],[Valor efetivamente pago pela Nespresso]]</f>
        <v>11074.645367309113</v>
      </c>
    </row>
    <row r="453" spans="1:43" ht="15.75">
      <c r="A453" s="174" t="s">
        <v>69</v>
      </c>
      <c r="B453" s="232" t="s">
        <v>68</v>
      </c>
      <c r="C453" s="157">
        <v>1</v>
      </c>
      <c r="D453" s="157" t="s">
        <v>468</v>
      </c>
      <c r="E453" s="177" t="s">
        <v>468</v>
      </c>
      <c r="F453" s="233" t="s">
        <v>469</v>
      </c>
      <c r="G453" s="234">
        <v>42698</v>
      </c>
      <c r="H453" s="238" t="s">
        <v>600</v>
      </c>
      <c r="I453" s="157" t="s">
        <v>480</v>
      </c>
      <c r="J453" s="237">
        <v>18540</v>
      </c>
      <c r="K453" s="175" t="s">
        <v>61</v>
      </c>
      <c r="L453" s="175" t="s">
        <v>439</v>
      </c>
      <c r="M453" s="175" t="s">
        <v>1343</v>
      </c>
      <c r="N453" s="180"/>
      <c r="O453" s="177"/>
      <c r="P453" s="185">
        <v>0</v>
      </c>
      <c r="Q453" s="177">
        <v>42695</v>
      </c>
      <c r="R453" s="178">
        <v>546.7020149230957</v>
      </c>
      <c r="S453" s="179">
        <v>165725.44406223626</v>
      </c>
      <c r="T453" s="182" t="s">
        <v>45</v>
      </c>
      <c r="U453" s="183">
        <v>3.3540000915527344</v>
      </c>
      <c r="V453" s="179">
        <v>7254.7021980285645</v>
      </c>
      <c r="W453" s="179">
        <v>2268.3229688818615</v>
      </c>
      <c r="X453" s="186" t="s">
        <v>45</v>
      </c>
      <c r="Y453" s="183">
        <v>3.3540000915527344</v>
      </c>
      <c r="Z453" s="220" t="s">
        <v>473</v>
      </c>
      <c r="AA453" s="172">
        <f>Delivery[[#This Row],[Quantity delivered]]*VLOOKUP(Delivery[[#This Row],[Unit]],Tab_Conversão[],4,FALSE)*VLOOKUP(CONCATENATE(Delivery[[#This Row],[Coffee specie]],Delivery[[#This Row],[Coffee state]]),Tab_Conversão[],4,FALSE)</f>
        <v>18540</v>
      </c>
      <c r="AB453" s="169">
        <f>SUMIF(Allocation!C:C,Delivery[[#This Row],[Delivery ID]],Allocation!D:D)/Delivery[[#This Row],[Quantity delivered]]</f>
        <v>5.3937432578209278E-5</v>
      </c>
      <c r="AC453" s="170">
        <f>Delivery[[#This Row],[Quantity delivered]]*Delivery[[#This Row],[Base price (Unidad)]]/60</f>
        <v>168930.92261123657</v>
      </c>
      <c r="AD453" s="171">
        <f>Delivery[[#This Row],[Nespresso total]]-Delivery[[#This Row],[Qt. Delivery * Base Price]]</f>
        <v>-3205.4785490003123</v>
      </c>
      <c r="AE453" s="171">
        <f>Delivery[[#This Row],[AAA Premium (total)]]/Delivery[[#This Row],[Quantity delivered]]*60/Delivery[[#This Row],[Exchange rate VS USD]]</f>
        <v>7</v>
      </c>
      <c r="AF453" s="171">
        <f>Delivery[[#This Row],[BEN premium (total)]]/Delivery[[#This Row],[Quantity delivered]]*60/Delivery[[#This Row],[Exchange rate for premiums VS USD]]</f>
        <v>2.1886854000000007</v>
      </c>
      <c r="AG453" s="171">
        <f>COUNTIF(Delivery[Delivery ID],Delivery[[#This Row],[Delivery ID]])</f>
        <v>1</v>
      </c>
      <c r="AH453" s="171">
        <f>(Delivery[[#This Row],[Nespresso total]]/SUMIF(Allocation!C:C,Delivery[Delivery ID],Allocation!H:H))/Delivery[[#This Row],[Exchange rate VS USD]]</f>
        <v>149731.15731419588</v>
      </c>
      <c r="AI453" s="171">
        <f>(Delivery[[#This Row],[AAA Premium (total)]]/SUMIF(Allocation!C:C,Delivery[Delivery ID],Allocation!H:H))/Delivery[[#This Row],[Exchange rate VS USD]]</f>
        <v>6554.545454545454</v>
      </c>
      <c r="AJ453" s="171">
        <f>Delivery[[#This Row],[Valor Prêmio Nespresso AAA por Kg (em US$)]]*60</f>
        <v>393272.72727272724</v>
      </c>
      <c r="AK453" s="171">
        <f>Delivery[[#This Row],[Valor Prêmio Nespresso AAA por saca (em US$)]]/1.3228/100</f>
        <v>2973.0324105891086</v>
      </c>
      <c r="AL453" s="171">
        <f>(Delivery[[#This Row],[BEN premium (total)]]/SUMIF(Allocation!C:C,Delivery[Delivery ID],Allocation!H:H))/Delivery[[#This Row],[Exchange rate for premiums VS USD]]</f>
        <v>2049.4054200000005</v>
      </c>
      <c r="AM453" s="171">
        <f>Delivery[[#This Row],[Valor Prêmio Nespresso BEN por Kg (em US$)]]*60</f>
        <v>122964.32520000004</v>
      </c>
      <c r="AN453" s="171">
        <f>Delivery[[#This Row],[Valor Prêmio Nespresso BEN por saca (em US$)]]/1.3228/100</f>
        <v>929.57609011188413</v>
      </c>
      <c r="AO453" s="171">
        <f>SUMIF(Allocation[Delivery ID],Delivery[[#This Row],[Delivery ID]],Allocation[Quantity allocated])*16*1.3228*Delivery[[#This Row],[Exchange rate VS USD]]/60</f>
        <v>0.3904270762573242</v>
      </c>
      <c r="AP453" s="171">
        <f>Delivery[[#This Row],[AAA Premium (total)]]</f>
        <v>7254.7021980285645</v>
      </c>
      <c r="AQ453" s="171">
        <f>Delivery[[#This Row],[Valor pago pelo Cluster]]-Delivery[[#This Row],[Valor efetivamente pago pela Nespresso]]</f>
        <v>7254.3117709523067</v>
      </c>
    </row>
    <row r="454" spans="1:43" ht="15.75">
      <c r="A454" s="174" t="s">
        <v>69</v>
      </c>
      <c r="B454" s="232" t="s">
        <v>68</v>
      </c>
      <c r="C454" s="157">
        <v>1</v>
      </c>
      <c r="D454" s="157" t="s">
        <v>468</v>
      </c>
      <c r="E454" s="177" t="s">
        <v>468</v>
      </c>
      <c r="F454" s="233" t="s">
        <v>469</v>
      </c>
      <c r="G454" s="234">
        <v>42821</v>
      </c>
      <c r="H454" s="157" t="s">
        <v>601</v>
      </c>
      <c r="I454" s="157" t="s">
        <v>477</v>
      </c>
      <c r="J454" s="237">
        <v>10262</v>
      </c>
      <c r="K454" s="175" t="s">
        <v>61</v>
      </c>
      <c r="L454" s="175" t="s">
        <v>439</v>
      </c>
      <c r="M454" s="175" t="s">
        <v>1343</v>
      </c>
      <c r="N454" s="180"/>
      <c r="O454" s="177"/>
      <c r="P454" s="185">
        <v>0</v>
      </c>
      <c r="Q454" s="177">
        <v>42817</v>
      </c>
      <c r="R454" s="178">
        <v>439.16085000000004</v>
      </c>
      <c r="S454" s="179">
        <v>82009.402429201567</v>
      </c>
      <c r="T454" s="182" t="s">
        <v>45</v>
      </c>
      <c r="U454" s="183">
        <v>3.1257000000000001</v>
      </c>
      <c r="V454" s="179">
        <v>3742.1922299999997</v>
      </c>
      <c r="W454" s="179">
        <v>1170.068785399206</v>
      </c>
      <c r="X454" s="186" t="s">
        <v>45</v>
      </c>
      <c r="Y454" s="183">
        <v>3.1257000000000001</v>
      </c>
      <c r="Z454" s="220" t="s">
        <v>473</v>
      </c>
      <c r="AA454" s="172">
        <f>Delivery[[#This Row],[Quantity delivered]]*VLOOKUP(Delivery[[#This Row],[Unit]],Tab_Conversão[],4,FALSE)*VLOOKUP(CONCATENATE(Delivery[[#This Row],[Coffee specie]],Delivery[[#This Row],[Coffee state]]),Tab_Conversão[],4,FALSE)</f>
        <v>10262</v>
      </c>
      <c r="AB454" s="169">
        <f>SUMIF(Allocation!C:C,Delivery[[#This Row],[Delivery ID]],Allocation!D:D)/Delivery[[#This Row],[Quantity delivered]]</f>
        <v>5.281621516273631E-2</v>
      </c>
      <c r="AC454" s="170">
        <f>Delivery[[#This Row],[Quantity delivered]]*Delivery[[#This Row],[Base price (Unidad)]]/60</f>
        <v>75111.144045000008</v>
      </c>
      <c r="AD454" s="171">
        <f>Delivery[[#This Row],[Nespresso total]]-Delivery[[#This Row],[Qt. Delivery * Base Price]]</f>
        <v>6898.2583842015592</v>
      </c>
      <c r="AE454" s="171">
        <f>Delivery[[#This Row],[AAA Premium (total)]]/Delivery[[#This Row],[Quantity delivered]]*60/Delivery[[#This Row],[Exchange rate VS USD]]</f>
        <v>6.9999999999999991</v>
      </c>
      <c r="AF454" s="171">
        <f>Delivery[[#This Row],[BEN premium (total)]]/Delivery[[#This Row],[Quantity delivered]]*60/Delivery[[#This Row],[Exchange rate for premiums VS USD]]</f>
        <v>2.1886854000000002</v>
      </c>
      <c r="AG454" s="171">
        <f>COUNTIF(Delivery[Delivery ID],Delivery[[#This Row],[Delivery ID]])</f>
        <v>1</v>
      </c>
      <c r="AH454" s="171">
        <f>(Delivery[[#This Row],[Nespresso total]]/SUMIF(Allocation!C:C,Delivery[Delivery ID],Allocation!H:H))/Delivery[[#This Row],[Exchange rate VS USD]]</f>
        <v>146.57615452431673</v>
      </c>
      <c r="AI454" s="171">
        <f>(Delivery[[#This Row],[AAA Premium (total)]]/SUMIF(Allocation!C:C,Delivery[Delivery ID],Allocation!H:H))/Delivery[[#This Row],[Exchange rate VS USD]]</f>
        <v>6.6884543761638726</v>
      </c>
      <c r="AJ454" s="171">
        <f>Delivery[[#This Row],[Valor Prêmio Nespresso AAA por Kg (em US$)]]*60</f>
        <v>401.30726256983235</v>
      </c>
      <c r="AK454" s="171">
        <f>Delivery[[#This Row],[Valor Prêmio Nespresso AAA por saca (em US$)]]/1.3228/100</f>
        <v>3.033771262245482</v>
      </c>
      <c r="AL454" s="171">
        <f>(Delivery[[#This Row],[BEN premium (total)]]/SUMIF(Allocation!C:C,Delivery[Delivery ID],Allocation!H:H))/Delivery[[#This Row],[Exchange rate for premiums VS USD]]</f>
        <v>2.0912746345251398</v>
      </c>
      <c r="AM454" s="171">
        <f>Delivery[[#This Row],[Valor Prêmio Nespresso BEN por Kg (em US$)]]*60</f>
        <v>125.4764780715084</v>
      </c>
      <c r="AN454" s="171">
        <f>Delivery[[#This Row],[Valor Prêmio Nespresso BEN por saca (em US$)]]/1.3228/100</f>
        <v>0.9485672669451799</v>
      </c>
      <c r="AO454" s="171">
        <f>SUMIF(Allocation[Delivery ID],Delivery[[#This Row],[Delivery ID]],Allocation[Quantity allocated])*16*1.3228*Delivery[[#This Row],[Exchange rate VS USD]]/60</f>
        <v>197.36186582399998</v>
      </c>
      <c r="AP454" s="171">
        <f>Delivery[[#This Row],[AAA Premium (total)]]</f>
        <v>3742.1922299999997</v>
      </c>
      <c r="AQ454" s="171">
        <f>Delivery[[#This Row],[Valor pago pelo Cluster]]-Delivery[[#This Row],[Valor efetivamente pago pela Nespresso]]</f>
        <v>3544.8303641759999</v>
      </c>
    </row>
    <row r="455" spans="1:43" ht="15.75">
      <c r="A455" s="174" t="s">
        <v>69</v>
      </c>
      <c r="B455" s="232" t="s">
        <v>68</v>
      </c>
      <c r="C455" s="157">
        <v>1</v>
      </c>
      <c r="D455" s="157" t="s">
        <v>468</v>
      </c>
      <c r="E455" s="177" t="s">
        <v>468</v>
      </c>
      <c r="F455" s="233" t="s">
        <v>469</v>
      </c>
      <c r="G455" s="234">
        <v>42821</v>
      </c>
      <c r="H455" s="157" t="s">
        <v>602</v>
      </c>
      <c r="I455" s="157" t="s">
        <v>477</v>
      </c>
      <c r="J455" s="237">
        <v>4922</v>
      </c>
      <c r="K455" s="175" t="s">
        <v>61</v>
      </c>
      <c r="L455" s="175" t="s">
        <v>439</v>
      </c>
      <c r="M455" s="175" t="s">
        <v>1343</v>
      </c>
      <c r="N455" s="180"/>
      <c r="O455" s="177"/>
      <c r="P455" s="185">
        <v>0</v>
      </c>
      <c r="Q455" s="177">
        <v>42817</v>
      </c>
      <c r="R455" s="178">
        <v>439.16085000000004</v>
      </c>
      <c r="S455" s="179">
        <v>39318.351393152428</v>
      </c>
      <c r="T455" s="182" t="s">
        <v>45</v>
      </c>
      <c r="U455" s="183">
        <v>3.1257000000000001</v>
      </c>
      <c r="V455" s="179">
        <v>1794.8811299999998</v>
      </c>
      <c r="W455" s="179">
        <v>561.20430342378609</v>
      </c>
      <c r="X455" s="186" t="s">
        <v>45</v>
      </c>
      <c r="Y455" s="183">
        <v>3.1257000000000001</v>
      </c>
      <c r="Z455" s="220" t="s">
        <v>473</v>
      </c>
      <c r="AA455" s="172">
        <f>Delivery[[#This Row],[Quantity delivered]]*VLOOKUP(Delivery[[#This Row],[Unit]],Tab_Conversão[],4,FALSE)*VLOOKUP(CONCATENATE(Delivery[[#This Row],[Coffee specie]],Delivery[[#This Row],[Coffee state]]),Tab_Conversão[],4,FALSE)</f>
        <v>4922</v>
      </c>
      <c r="AB455" s="169">
        <f>SUMIF(Allocation!C:C,Delivery[[#This Row],[Delivery ID]],Allocation!D:D)/Delivery[[#This Row],[Quantity delivered]]</f>
        <v>0.11011783827712313</v>
      </c>
      <c r="AC455" s="170">
        <f>Delivery[[#This Row],[Quantity delivered]]*Delivery[[#This Row],[Base price (Unidad)]]/60</f>
        <v>36025.828395000004</v>
      </c>
      <c r="AD455" s="171">
        <f>Delivery[[#This Row],[Nespresso total]]-Delivery[[#This Row],[Qt. Delivery * Base Price]]</f>
        <v>3292.5229981524244</v>
      </c>
      <c r="AE455" s="171">
        <f>Delivery[[#This Row],[AAA Premium (total)]]/Delivery[[#This Row],[Quantity delivered]]*60/Delivery[[#This Row],[Exchange rate VS USD]]</f>
        <v>6.9999999999999991</v>
      </c>
      <c r="AF455" s="171">
        <f>Delivery[[#This Row],[BEN premium (total)]]/Delivery[[#This Row],[Quantity delivered]]*60/Delivery[[#This Row],[Exchange rate for premiums VS USD]]</f>
        <v>2.1886854000000002</v>
      </c>
      <c r="AG455" s="171">
        <f>COUNTIF(Delivery[Delivery ID],Delivery[[#This Row],[Delivery ID]])</f>
        <v>1</v>
      </c>
      <c r="AH455" s="171">
        <f>(Delivery[[#This Row],[Nespresso total]]/SUMIF(Allocation!C:C,Delivery[Delivery ID],Allocation!H:H))/Delivery[[#This Row],[Exchange rate VS USD]]</f>
        <v>70.274048813114902</v>
      </c>
      <c r="AI455" s="171">
        <f>(Delivery[[#This Row],[AAA Premium (total)]]/SUMIF(Allocation!C:C,Delivery[Delivery ID],Allocation!H:H))/Delivery[[#This Row],[Exchange rate VS USD]]</f>
        <v>3.2080074487895711</v>
      </c>
      <c r="AJ455" s="171">
        <f>Delivery[[#This Row],[Valor Prêmio Nespresso AAA por Kg (em US$)]]*60</f>
        <v>192.48044692737426</v>
      </c>
      <c r="AK455" s="171">
        <f>Delivery[[#This Row],[Valor Prêmio Nespresso AAA por saca (em US$)]]/1.3228/100</f>
        <v>1.4550986311413234</v>
      </c>
      <c r="AL455" s="171">
        <f>(Delivery[[#This Row],[BEN premium (total)]]/SUMIF(Allocation!C:C,Delivery[Delivery ID],Allocation!H:H))/Delivery[[#This Row],[Exchange rate for premiums VS USD]]</f>
        <v>1.0030455808938548</v>
      </c>
      <c r="AM455" s="171">
        <f>Delivery[[#This Row],[Valor Prêmio Nespresso BEN por Kg (em US$)]]*60</f>
        <v>60.182734853631288</v>
      </c>
      <c r="AN455" s="171">
        <f>Delivery[[#This Row],[Valor Prêmio Nespresso BEN por saca (em US$)]]/1.3228/100</f>
        <v>0.4549647327912858</v>
      </c>
      <c r="AO455" s="171">
        <f>SUMIF(Allocation[Delivery ID],Delivery[[#This Row],[Delivery ID]],Allocation[Quantity allocated])*16*1.3228*Delivery[[#This Row],[Exchange rate VS USD]]/60</f>
        <v>197.36186582399998</v>
      </c>
      <c r="AP455" s="171">
        <f>Delivery[[#This Row],[AAA Premium (total)]]</f>
        <v>1794.8811299999998</v>
      </c>
      <c r="AQ455" s="171">
        <f>Delivery[[#This Row],[Valor pago pelo Cluster]]-Delivery[[#This Row],[Valor efetivamente pago pela Nespresso]]</f>
        <v>1597.5192641759998</v>
      </c>
    </row>
    <row r="456" spans="1:43" ht="15.75">
      <c r="A456" s="174" t="s">
        <v>69</v>
      </c>
      <c r="B456" s="232" t="s">
        <v>68</v>
      </c>
      <c r="C456" s="157">
        <v>1</v>
      </c>
      <c r="D456" s="157" t="s">
        <v>468</v>
      </c>
      <c r="E456" s="177" t="s">
        <v>468</v>
      </c>
      <c r="F456" s="233" t="s">
        <v>541</v>
      </c>
      <c r="G456" s="234">
        <v>43130</v>
      </c>
      <c r="H456" s="157" t="s">
        <v>603</v>
      </c>
      <c r="I456" s="157" t="s">
        <v>477</v>
      </c>
      <c r="J456" s="237">
        <v>7395</v>
      </c>
      <c r="K456" s="175" t="s">
        <v>61</v>
      </c>
      <c r="L456" s="175" t="s">
        <v>439</v>
      </c>
      <c r="M456" s="175" t="s">
        <v>1343</v>
      </c>
      <c r="N456" s="180"/>
      <c r="O456" s="177"/>
      <c r="P456" s="185">
        <v>0</v>
      </c>
      <c r="Q456" s="177">
        <v>43126</v>
      </c>
      <c r="R456" s="178">
        <v>391.99932000000001</v>
      </c>
      <c r="S456" s="179">
        <v>53534.129649673603</v>
      </c>
      <c r="T456" s="182" t="s">
        <v>45</v>
      </c>
      <c r="U456" s="183">
        <v>3.1448</v>
      </c>
      <c r="V456" s="179">
        <v>3875.9659999999999</v>
      </c>
      <c r="W456" s="179">
        <v>1028.2751751631999</v>
      </c>
      <c r="X456" s="186" t="s">
        <v>45</v>
      </c>
      <c r="Y456" s="183">
        <v>3.1448</v>
      </c>
      <c r="Z456" s="220" t="s">
        <v>473</v>
      </c>
      <c r="AA456" s="172">
        <f>Delivery[[#This Row],[Quantity delivered]]*VLOOKUP(Delivery[[#This Row],[Unit]],Tab_Conversão[],4,FALSE)*VLOOKUP(CONCATENATE(Delivery[[#This Row],[Coffee specie]],Delivery[[#This Row],[Coffee state]]),Tab_Conversão[],4,FALSE)</f>
        <v>7395</v>
      </c>
      <c r="AB456" s="169">
        <f>SUMIF(Allocation!C:C,Delivery[[#This Row],[Delivery ID]],Allocation!D:D)/Delivery[[#This Row],[Quantity delivered]]</f>
        <v>2.0013522650439486E-2</v>
      </c>
      <c r="AC456" s="170">
        <f>Delivery[[#This Row],[Quantity delivered]]*Delivery[[#This Row],[Base price (Unidad)]]/60</f>
        <v>48313.916190000004</v>
      </c>
      <c r="AD456" s="171">
        <f>Delivery[[#This Row],[Nespresso total]]-Delivery[[#This Row],[Qt. Delivery * Base Price]]</f>
        <v>5220.2134596735996</v>
      </c>
      <c r="AE456" s="171">
        <f>Delivery[[#This Row],[AAA Premium (total)]]/Delivery[[#This Row],[Quantity delivered]]*60/Delivery[[#This Row],[Exchange rate VS USD]]</f>
        <v>10</v>
      </c>
      <c r="AF456" s="171">
        <f>Delivery[[#This Row],[BEN premium (total)]]/Delivery[[#This Row],[Quantity delivered]]*60/Delivery[[#This Row],[Exchange rate for premiums VS USD]]</f>
        <v>2.652952</v>
      </c>
      <c r="AG456" s="171">
        <f>COUNTIF(Delivery[Delivery ID],Delivery[[#This Row],[Delivery ID]])</f>
        <v>1</v>
      </c>
      <c r="AH456" s="171">
        <f>(Delivery[[#This Row],[Nespresso total]]/SUMIF(Allocation!C:C,Delivery[Delivery ID],Allocation!H:H))/Delivery[[#This Row],[Exchange rate VS USD]]</f>
        <v>288.52649760095551</v>
      </c>
      <c r="AI456" s="171">
        <f>(Delivery[[#This Row],[AAA Premium (total)]]/SUMIF(Allocation!C:C,Delivery[Delivery ID],Allocation!H:H))/Delivery[[#This Row],[Exchange rate VS USD]]</f>
        <v>20.889830508474574</v>
      </c>
      <c r="AJ456" s="171">
        <f>Delivery[[#This Row],[Valor Prêmio Nespresso AAA por Kg (em US$)]]*60</f>
        <v>1253.3898305084745</v>
      </c>
      <c r="AK456" s="171">
        <f>Delivery[[#This Row],[Valor Prêmio Nespresso AAA por saca (em US$)]]/1.3228/100</f>
        <v>9.4752784283979015</v>
      </c>
      <c r="AL456" s="171">
        <f>(Delivery[[#This Row],[BEN premium (total)]]/SUMIF(Allocation!C:C,Delivery[Delivery ID],Allocation!H:H))/Delivery[[#This Row],[Exchange rate for premiums VS USD]]</f>
        <v>5.5419717627118636</v>
      </c>
      <c r="AM456" s="171">
        <f>Delivery[[#This Row],[Valor Prêmio Nespresso BEN por Kg (em US$)]]*60</f>
        <v>332.5183057627118</v>
      </c>
      <c r="AN456" s="171">
        <f>Delivery[[#This Row],[Valor Prêmio Nespresso BEN por saca (em US$)]]/1.3228/100</f>
        <v>2.5137458857175066</v>
      </c>
      <c r="AO456" s="171">
        <f>SUMIF(Allocation[Delivery ID],Delivery[[#This Row],[Delivery ID]],Allocation[Quantity allocated])*16*1.3228*Delivery[[#This Row],[Exchange rate VS USD]]/60</f>
        <v>65.449745322666658</v>
      </c>
      <c r="AP456" s="171">
        <f>Delivery[[#This Row],[AAA Premium (total)]]</f>
        <v>3875.9659999999999</v>
      </c>
      <c r="AQ456" s="171">
        <f>Delivery[[#This Row],[Valor pago pelo Cluster]]-Delivery[[#This Row],[Valor efetivamente pago pela Nespresso]]</f>
        <v>3810.5162546773331</v>
      </c>
    </row>
    <row r="457" spans="1:43" ht="15.75">
      <c r="A457" s="174" t="s">
        <v>69</v>
      </c>
      <c r="B457" s="232" t="s">
        <v>68</v>
      </c>
      <c r="C457" s="157">
        <v>1</v>
      </c>
      <c r="D457" s="157" t="s">
        <v>468</v>
      </c>
      <c r="E457" s="177" t="s">
        <v>468</v>
      </c>
      <c r="F457" s="233" t="s">
        <v>543</v>
      </c>
      <c r="G457" s="234">
        <v>43356</v>
      </c>
      <c r="H457" s="157" t="s">
        <v>1598</v>
      </c>
      <c r="I457" s="157" t="s">
        <v>556</v>
      </c>
      <c r="J457" s="237">
        <v>12110</v>
      </c>
      <c r="K457" s="175" t="s">
        <v>61</v>
      </c>
      <c r="L457" s="175" t="s">
        <v>439</v>
      </c>
      <c r="M457" s="175" t="s">
        <v>1343</v>
      </c>
      <c r="N457" s="180"/>
      <c r="O457" s="177"/>
      <c r="P457" s="185">
        <v>0</v>
      </c>
      <c r="Q457" s="177">
        <v>43353</v>
      </c>
      <c r="R457" s="178">
        <v>419.66478000000001</v>
      </c>
      <c r="S457" s="179">
        <v>81701.173818686118</v>
      </c>
      <c r="T457" s="182" t="s">
        <v>45</v>
      </c>
      <c r="U457" s="183">
        <v>4.0903</v>
      </c>
      <c r="V457" s="179">
        <v>8254.98</v>
      </c>
      <c r="W457" s="179">
        <v>2190.1680906569336</v>
      </c>
      <c r="X457" s="186" t="s">
        <v>45</v>
      </c>
      <c r="Y457" s="183">
        <v>4.0903</v>
      </c>
      <c r="Z457" s="220" t="s">
        <v>473</v>
      </c>
      <c r="AA457" s="172">
        <f>Delivery[[#This Row],[Quantity delivered]]*VLOOKUP(Delivery[[#This Row],[Unit]],Tab_Conversão[],4,FALSE)*VLOOKUP(CONCATENATE(Delivery[[#This Row],[Coffee specie]],Delivery[[#This Row],[Coffee state]]),Tab_Conversão[],4,FALSE)</f>
        <v>12110</v>
      </c>
      <c r="AB457" s="169">
        <f>SUMIF(Allocation!C:C,Delivery[[#This Row],[Delivery ID]],Allocation!D:D)/Delivery[[#This Row],[Quantity delivered]]</f>
        <v>0.85904211395540875</v>
      </c>
      <c r="AC457" s="170">
        <f>Delivery[[#This Row],[Quantity delivered]]*Delivery[[#This Row],[Base price (Unidad)]]/60</f>
        <v>84702.34143</v>
      </c>
      <c r="AD457" s="171">
        <f>Delivery[[#This Row],[Nespresso total]]-Delivery[[#This Row],[Qt. Delivery * Base Price]]</f>
        <v>-3001.1676113138819</v>
      </c>
      <c r="AE457" s="171">
        <f>Delivery[[#This Row],[AAA Premium (total)]]/Delivery[[#This Row],[Quantity delivered]]*60/Delivery[[#This Row],[Exchange rate VS USD]]</f>
        <v>9.9992625197964369</v>
      </c>
      <c r="AF457" s="171">
        <f>Delivery[[#This Row],[BEN premium (total)]]/Delivery[[#This Row],[Quantity delivered]]*60/Delivery[[#This Row],[Exchange rate for premiums VS USD]]</f>
        <v>2.652952</v>
      </c>
      <c r="AG457" s="171">
        <f>COUNTIF(Delivery[Delivery ID],Delivery[[#This Row],[Delivery ID]])</f>
        <v>1</v>
      </c>
      <c r="AH457" s="171">
        <f>(Delivery[[#This Row],[Nespresso total]]/SUMIF(Allocation!C:C,Delivery[Delivery ID],Allocation!H:H))/Delivery[[#This Row],[Exchange rate VS USD]]</f>
        <v>4.8003777953910207</v>
      </c>
      <c r="AI457" s="171">
        <f>(Delivery[[#This Row],[AAA Premium (total)]]/SUMIF(Allocation!C:C,Delivery[Delivery ID],Allocation!H:H))/Delivery[[#This Row],[Exchange rate VS USD]]</f>
        <v>0.48502390897514563</v>
      </c>
      <c r="AJ457" s="171">
        <f>Delivery[[#This Row],[Valor Prêmio Nespresso AAA por Kg (em US$)]]*60</f>
        <v>29.101434538508737</v>
      </c>
      <c r="AK457" s="171">
        <f>Delivery[[#This Row],[Valor Prêmio Nespresso AAA por saca (em US$)]]/1.3228/100</f>
        <v>0.21999874915715709</v>
      </c>
      <c r="AL457" s="171">
        <f>(Delivery[[#This Row],[BEN premium (total)]]/SUMIF(Allocation!C:C,Delivery[Delivery ID],Allocation!H:H))/Delivery[[#This Row],[Exchange rate for premiums VS USD]]</f>
        <v>0.1286840051269727</v>
      </c>
      <c r="AM457" s="171">
        <f>Delivery[[#This Row],[Valor Prêmio Nespresso BEN por Kg (em US$)]]*60</f>
        <v>7.7210403076183622</v>
      </c>
      <c r="AN457" s="171">
        <f>Delivery[[#This Row],[Valor Prêmio Nespresso BEN por saca (em US$)]]/1.3228/100</f>
        <v>5.836891674945844E-2</v>
      </c>
      <c r="AO457" s="171">
        <f>SUMIF(Allocation[Delivery ID],Delivery[[#This Row],[Delivery ID]],Allocation[Quantity allocated])*16*1.3228*Delivery[[#This Row],[Exchange rate VS USD]]/60</f>
        <v>6003.655952864</v>
      </c>
      <c r="AP457" s="171">
        <f>Delivery[[#This Row],[AAA Premium (total)]]</f>
        <v>8254.98</v>
      </c>
      <c r="AQ457" s="171">
        <f>Delivery[[#This Row],[Valor pago pelo Cluster]]-Delivery[[#This Row],[Valor efetivamente pago pela Nespresso]]</f>
        <v>2251.3240471359995</v>
      </c>
    </row>
    <row r="458" spans="1:43" ht="15.75">
      <c r="A458" s="174" t="s">
        <v>69</v>
      </c>
      <c r="B458" s="232" t="s">
        <v>68</v>
      </c>
      <c r="C458" s="157">
        <v>1</v>
      </c>
      <c r="D458" s="157" t="s">
        <v>468</v>
      </c>
      <c r="E458" s="177" t="s">
        <v>468</v>
      </c>
      <c r="F458" s="240" t="s">
        <v>543</v>
      </c>
      <c r="G458" s="234">
        <v>43397</v>
      </c>
      <c r="H458" s="157" t="s">
        <v>2024</v>
      </c>
      <c r="I458" s="236" t="s">
        <v>471</v>
      </c>
      <c r="J458" s="237">
        <v>240</v>
      </c>
      <c r="K458" s="175" t="s">
        <v>61</v>
      </c>
      <c r="L458" s="175" t="s">
        <v>439</v>
      </c>
      <c r="M458" s="175" t="s">
        <v>1343</v>
      </c>
      <c r="N458" s="180"/>
      <c r="O458" s="177"/>
      <c r="P458" s="185">
        <v>0</v>
      </c>
      <c r="Q458" s="177">
        <v>43390</v>
      </c>
      <c r="R458" s="178">
        <v>450.71345000000002</v>
      </c>
      <c r="S458" s="179">
        <v>1814.7744542319999</v>
      </c>
      <c r="T458" s="182" t="s">
        <v>45</v>
      </c>
      <c r="U458" s="183">
        <v>3.6718000000000002</v>
      </c>
      <c r="V458" s="179">
        <v>146.87200000000001</v>
      </c>
      <c r="W458" s="179">
        <v>48.705545768</v>
      </c>
      <c r="X458" s="186" t="s">
        <v>45</v>
      </c>
      <c r="Y458" s="183">
        <v>3.6718000000000002</v>
      </c>
      <c r="Z458" s="220" t="s">
        <v>473</v>
      </c>
      <c r="AA458" s="172">
        <f>Delivery[[#This Row],[Quantity delivered]]*VLOOKUP(Delivery[[#This Row],[Unit]],Tab_Conversão[],4,FALSE)*VLOOKUP(CONCATENATE(Delivery[[#This Row],[Coffee specie]],Delivery[[#This Row],[Coffee state]]),Tab_Conversão[],4,FALSE)</f>
        <v>240</v>
      </c>
      <c r="AB458" s="169">
        <f>SUMIF(Allocation!C:C,Delivery[[#This Row],[Delivery ID]],Allocation!D:D)/Delivery[[#This Row],[Quantity delivered]]</f>
        <v>1</v>
      </c>
      <c r="AC458" s="170">
        <f>Delivery[[#This Row],[Quantity delivered]]*Delivery[[#This Row],[Base price (Unidad)]]/60</f>
        <v>1802.8538000000001</v>
      </c>
      <c r="AD458" s="171">
        <f>Delivery[[#This Row],[Nespresso total]]-Delivery[[#This Row],[Qt. Delivery * Base Price]]</f>
        <v>11.920654231999833</v>
      </c>
      <c r="AE458" s="171">
        <f>Delivery[[#This Row],[AAA Premium (total)]]/Delivery[[#This Row],[Quantity delivered]]*60/Delivery[[#This Row],[Exchange rate VS USD]]</f>
        <v>10</v>
      </c>
      <c r="AF458" s="171">
        <f>Delivery[[#This Row],[BEN premium (total)]]/Delivery[[#This Row],[Quantity delivered]]*60/Delivery[[#This Row],[Exchange rate for premiums VS USD]]</f>
        <v>3.3161899999999997</v>
      </c>
      <c r="AG458" s="171">
        <f>COUNTIF(Delivery[Delivery ID],Delivery[[#This Row],[Delivery ID]])</f>
        <v>1</v>
      </c>
      <c r="AH458" s="171">
        <f>(Delivery[[#This Row],[Nespresso total]]/SUMIF(Allocation!C:C,Delivery[Delivery ID],Allocation!H:H))/Delivery[[#This Row],[Exchange rate VS USD]]</f>
        <v>4.1187211863209683</v>
      </c>
      <c r="AI458" s="171">
        <f>(Delivery[[#This Row],[AAA Premium (total)]]/SUMIF(Allocation!C:C,Delivery[Delivery ID],Allocation!H:H))/Delivery[[#This Row],[Exchange rate VS USD]]</f>
        <v>0.33333333333333337</v>
      </c>
      <c r="AJ458" s="171">
        <f>Delivery[[#This Row],[Valor Prêmio Nespresso AAA por Kg (em US$)]]*60</f>
        <v>20.000000000000004</v>
      </c>
      <c r="AK458" s="171">
        <f>Delivery[[#This Row],[Valor Prêmio Nespresso AAA por saca (em US$)]]/1.3228/100</f>
        <v>0.15119443604475358</v>
      </c>
      <c r="AL458" s="171">
        <f>(Delivery[[#This Row],[BEN premium (total)]]/SUMIF(Allocation!C:C,Delivery[Delivery ID],Allocation!H:H))/Delivery[[#This Row],[Exchange rate for premiums VS USD]]</f>
        <v>0.11053966666666666</v>
      </c>
      <c r="AM458" s="171">
        <f>Delivery[[#This Row],[Valor Prêmio Nespresso BEN por Kg (em US$)]]*60</f>
        <v>6.6323799999999995</v>
      </c>
      <c r="AN458" s="171">
        <f>Delivery[[#This Row],[Valor Prêmio Nespresso BEN por saca (em US$)]]/1.3228/100</f>
        <v>5.0138947686725131E-2</v>
      </c>
      <c r="AO458" s="171">
        <f>SUMIF(Allocation[Delivery ID],Delivery[[#This Row],[Delivery ID]],Allocation[Quantity allocated])*16*1.3228*Delivery[[#This Row],[Exchange rate VS USD]]/60</f>
        <v>155.42582528</v>
      </c>
      <c r="AP458" s="171">
        <f>Delivery[[#This Row],[AAA Premium (total)]]</f>
        <v>146.87200000000001</v>
      </c>
      <c r="AQ458" s="171">
        <f>Delivery[[#This Row],[Valor pago pelo Cluster]]-Delivery[[#This Row],[Valor efetivamente pago pela Nespresso]]</f>
        <v>-8.5538252799999839</v>
      </c>
    </row>
    <row r="459" spans="1:43" ht="15.75">
      <c r="A459" s="174" t="s">
        <v>69</v>
      </c>
      <c r="B459" s="232" t="s">
        <v>68</v>
      </c>
      <c r="C459" s="157">
        <v>1</v>
      </c>
      <c r="D459" s="157" t="s">
        <v>468</v>
      </c>
      <c r="E459" s="177" t="s">
        <v>468</v>
      </c>
      <c r="F459" s="240" t="s">
        <v>543</v>
      </c>
      <c r="G459" s="234">
        <v>43397</v>
      </c>
      <c r="H459" s="157" t="s">
        <v>2025</v>
      </c>
      <c r="I459" s="236" t="s">
        <v>471</v>
      </c>
      <c r="J459" s="237">
        <v>14550</v>
      </c>
      <c r="K459" s="175" t="s">
        <v>61</v>
      </c>
      <c r="L459" s="175" t="s">
        <v>439</v>
      </c>
      <c r="M459" s="175" t="s">
        <v>1343</v>
      </c>
      <c r="N459" s="180"/>
      <c r="O459" s="177"/>
      <c r="P459" s="185">
        <v>0</v>
      </c>
      <c r="Q459" s="177">
        <v>43390</v>
      </c>
      <c r="R459" s="178">
        <v>450.71345000000002</v>
      </c>
      <c r="S459" s="179">
        <v>110020.70128781501</v>
      </c>
      <c r="T459" s="182" t="s">
        <v>45</v>
      </c>
      <c r="U459" s="183">
        <v>3.6718000000000002</v>
      </c>
      <c r="V459" s="179">
        <v>8904.1150000000016</v>
      </c>
      <c r="W459" s="179">
        <v>2952.773712185</v>
      </c>
      <c r="X459" s="186" t="s">
        <v>45</v>
      </c>
      <c r="Y459" s="183">
        <v>3.6718000000000002</v>
      </c>
      <c r="Z459" s="220" t="s">
        <v>473</v>
      </c>
      <c r="AA459" s="172">
        <f>Delivery[[#This Row],[Quantity delivered]]*VLOOKUP(Delivery[[#This Row],[Unit]],Tab_Conversão[],4,FALSE)*VLOOKUP(CONCATENATE(Delivery[[#This Row],[Coffee specie]],Delivery[[#This Row],[Coffee state]]),Tab_Conversão[],4,FALSE)</f>
        <v>14550</v>
      </c>
      <c r="AB459" s="169">
        <f>SUMIF(Allocation!C:C,Delivery[[#This Row],[Delivery ID]],Allocation!D:D)/Delivery[[#This Row],[Quantity delivered]]</f>
        <v>1</v>
      </c>
      <c r="AC459" s="170">
        <f>Delivery[[#This Row],[Quantity delivered]]*Delivery[[#This Row],[Base price (Unidad)]]/60</f>
        <v>109298.01162500001</v>
      </c>
      <c r="AD459" s="171">
        <f>Delivery[[#This Row],[Nespresso total]]-Delivery[[#This Row],[Qt. Delivery * Base Price]]</f>
        <v>722.68966281499888</v>
      </c>
      <c r="AE459" s="171">
        <f>Delivery[[#This Row],[AAA Premium (total)]]/Delivery[[#This Row],[Quantity delivered]]*60/Delivery[[#This Row],[Exchange rate VS USD]]</f>
        <v>10</v>
      </c>
      <c r="AF459" s="171">
        <f>Delivery[[#This Row],[BEN premium (total)]]/Delivery[[#This Row],[Quantity delivered]]*60/Delivery[[#This Row],[Exchange rate for premiums VS USD]]</f>
        <v>3.3161899999999997</v>
      </c>
      <c r="AG459" s="171">
        <f>COUNTIF(Delivery[Delivery ID],Delivery[[#This Row],[Delivery ID]])</f>
        <v>1</v>
      </c>
      <c r="AH459" s="171">
        <f>(Delivery[[#This Row],[Nespresso total]]/SUMIF(Allocation!C:C,Delivery[Delivery ID],Allocation!H:H))/Delivery[[#This Row],[Exchange rate VS USD]]</f>
        <v>4.1046159767787742</v>
      </c>
      <c r="AI459" s="171">
        <f>(Delivery[[#This Row],[AAA Premium (total)]]/SUMIF(Allocation!C:C,Delivery[Delivery ID],Allocation!H:H))/Delivery[[#This Row],[Exchange rate VS USD]]</f>
        <v>0.33219178082191786</v>
      </c>
      <c r="AJ459" s="171">
        <f>Delivery[[#This Row],[Valor Prêmio Nespresso AAA por Kg (em US$)]]*60</f>
        <v>19.93150684931507</v>
      </c>
      <c r="AK459" s="171">
        <f>Delivery[[#This Row],[Valor Prêmio Nespresso AAA por saca (em US$)]]/1.3228/100</f>
        <v>0.15067664688021673</v>
      </c>
      <c r="AL459" s="171">
        <f>(Delivery[[#This Row],[BEN premium (total)]]/SUMIF(Allocation!C:C,Delivery[Delivery ID],Allocation!H:H))/Delivery[[#This Row],[Exchange rate for premiums VS USD]]</f>
        <v>0.11016110616438356</v>
      </c>
      <c r="AM459" s="171">
        <f>Delivery[[#This Row],[Valor Prêmio Nespresso BEN por Kg (em US$)]]*60</f>
        <v>6.6096663698630138</v>
      </c>
      <c r="AN459" s="171">
        <f>Delivery[[#This Row],[Valor Prêmio Nespresso BEN por saca (em US$)]]/1.3228/100</f>
        <v>4.9967238961770591E-2</v>
      </c>
      <c r="AO459" s="171">
        <f>SUMIF(Allocation[Delivery ID],Delivery[[#This Row],[Delivery ID]],Allocation[Quantity allocated])*16*1.3228*Delivery[[#This Row],[Exchange rate VS USD]]/60</f>
        <v>9455.0710378666681</v>
      </c>
      <c r="AP459" s="171">
        <f>Delivery[[#This Row],[AAA Premium (total)]]</f>
        <v>8904.1150000000016</v>
      </c>
      <c r="AQ459" s="171">
        <f>Delivery[[#This Row],[Valor pago pelo Cluster]]-Delivery[[#This Row],[Valor efetivamente pago pela Nespresso]]</f>
        <v>-550.95603786666652</v>
      </c>
    </row>
    <row r="460" spans="1:43" ht="15.75">
      <c r="A460" s="174" t="s">
        <v>69</v>
      </c>
      <c r="B460" s="232" t="s">
        <v>68</v>
      </c>
      <c r="C460" s="157">
        <v>1</v>
      </c>
      <c r="D460" s="157" t="s">
        <v>468</v>
      </c>
      <c r="E460" s="177" t="s">
        <v>468</v>
      </c>
      <c r="F460" s="233" t="s">
        <v>543</v>
      </c>
      <c r="G460" s="234">
        <v>43404</v>
      </c>
      <c r="H460" s="157" t="s">
        <v>604</v>
      </c>
      <c r="I460" s="157" t="s">
        <v>545</v>
      </c>
      <c r="J460" s="237">
        <v>38330</v>
      </c>
      <c r="K460" s="175" t="s">
        <v>61</v>
      </c>
      <c r="L460" s="175" t="s">
        <v>439</v>
      </c>
      <c r="M460" s="175" t="s">
        <v>1343</v>
      </c>
      <c r="N460" s="180"/>
      <c r="O460" s="177"/>
      <c r="P460" s="185">
        <v>0</v>
      </c>
      <c r="Q460" s="177">
        <v>43396</v>
      </c>
      <c r="R460" s="178">
        <v>448.23675000000003</v>
      </c>
      <c r="S460" s="179">
        <v>292152.01123439329</v>
      </c>
      <c r="T460" s="182" t="s">
        <v>45</v>
      </c>
      <c r="U460" s="183">
        <v>3.7075</v>
      </c>
      <c r="V460" s="179">
        <v>23731.200000000001</v>
      </c>
      <c r="W460" s="179">
        <v>6283.4493828033337</v>
      </c>
      <c r="X460" s="186" t="s">
        <v>45</v>
      </c>
      <c r="Y460" s="183">
        <v>3.7075</v>
      </c>
      <c r="Z460" s="220" t="s">
        <v>473</v>
      </c>
      <c r="AA460" s="172">
        <f>Delivery[[#This Row],[Quantity delivered]]*VLOOKUP(Delivery[[#This Row],[Unit]],Tab_Conversão[],4,FALSE)*VLOOKUP(CONCATENATE(Delivery[[#This Row],[Coffee specie]],Delivery[[#This Row],[Coffee state]]),Tab_Conversão[],4,FALSE)</f>
        <v>38330</v>
      </c>
      <c r="AB460" s="169">
        <f>SUMIF(Allocation!C:C,Delivery[[#This Row],[Delivery ID]],Allocation!D:D)/Delivery[[#This Row],[Quantity delivered]]</f>
        <v>1</v>
      </c>
      <c r="AC460" s="170">
        <f>Delivery[[#This Row],[Quantity delivered]]*Delivery[[#This Row],[Base price (Unidad)]]/60</f>
        <v>286348.57712500001</v>
      </c>
      <c r="AD460" s="171">
        <f>Delivery[[#This Row],[Nespresso total]]-Delivery[[#This Row],[Qt. Delivery * Base Price]]</f>
        <v>5803.4341093932744</v>
      </c>
      <c r="AE460" s="171">
        <f>Delivery[[#This Row],[AAA Premium (total)]]/Delivery[[#This Row],[Quantity delivered]]*60/Delivery[[#This Row],[Exchange rate VS USD]]</f>
        <v>10.019613538179199</v>
      </c>
      <c r="AF460" s="171">
        <f>Delivery[[#This Row],[BEN premium (total)]]/Delivery[[#This Row],[Quantity delivered]]*60/Delivery[[#This Row],[Exchange rate for premiums VS USD]]</f>
        <v>2.6529520000000004</v>
      </c>
      <c r="AG460" s="171">
        <f>COUNTIF(Delivery[Delivery ID],Delivery[[#This Row],[Delivery ID]])</f>
        <v>1</v>
      </c>
      <c r="AH460" s="171">
        <f>(Delivery[[#This Row],[Nespresso total]]/SUMIF(Allocation!C:C,Delivery[Delivery ID],Allocation!H:H))/Delivery[[#This Row],[Exchange rate VS USD]]</f>
        <v>5.1178978212452835</v>
      </c>
      <c r="AI460" s="171">
        <f>(Delivery[[#This Row],[AAA Premium (total)]]/SUMIF(Allocation!C:C,Delivery[Delivery ID],Allocation!H:H))/Delivery[[#This Row],[Exchange rate VS USD]]</f>
        <v>0.4157214467303248</v>
      </c>
      <c r="AJ460" s="171">
        <f>Delivery[[#This Row],[Valor Prêmio Nespresso AAA por Kg (em US$)]]*60</f>
        <v>24.943286803819486</v>
      </c>
      <c r="AK460" s="171">
        <f>Delivery[[#This Row],[Valor Prêmio Nespresso AAA por saca (em US$)]]/1.3228/100</f>
        <v>0.18856430907030153</v>
      </c>
      <c r="AL460" s="171">
        <f>(Delivery[[#This Row],[BEN premium (total)]]/SUMIF(Allocation!C:C,Delivery[Delivery ID],Allocation!H:H))/Delivery[[#This Row],[Exchange rate for premiums VS USD]]</f>
        <v>0.11007301223182006</v>
      </c>
      <c r="AM460" s="171">
        <f>Delivery[[#This Row],[Valor Prêmio Nespresso BEN por Kg (em US$)]]*60</f>
        <v>6.6043807339092035</v>
      </c>
      <c r="AN460" s="171">
        <f>Delivery[[#This Row],[Valor Prêmio Nespresso BEN por saca (em US$)]]/1.3228/100</f>
        <v>4.9927281024411886E-2</v>
      </c>
      <c r="AO460" s="171">
        <f>SUMIF(Allocation[Delivery ID],Delivery[[#This Row],[Delivery ID]],Allocation[Quantity allocated])*16*1.3228*Delivery[[#This Row],[Exchange rate VS USD]]/60</f>
        <v>20136.323881866665</v>
      </c>
      <c r="AP460" s="171">
        <f>Delivery[[#This Row],[AAA Premium (total)]]</f>
        <v>23731.200000000001</v>
      </c>
      <c r="AQ460" s="171">
        <f>Delivery[[#This Row],[Valor pago pelo Cluster]]-Delivery[[#This Row],[Valor efetivamente pago pela Nespresso]]</f>
        <v>3594.8761181333357</v>
      </c>
    </row>
    <row r="461" spans="1:43" ht="15.75">
      <c r="A461" s="174" t="s">
        <v>69</v>
      </c>
      <c r="B461" s="232" t="s">
        <v>68</v>
      </c>
      <c r="C461" s="157">
        <v>1</v>
      </c>
      <c r="D461" s="157" t="s">
        <v>468</v>
      </c>
      <c r="E461" s="177" t="s">
        <v>468</v>
      </c>
      <c r="F461" s="233" t="s">
        <v>543</v>
      </c>
      <c r="G461" s="234">
        <v>43404</v>
      </c>
      <c r="H461" s="157" t="s">
        <v>605</v>
      </c>
      <c r="I461" s="157" t="s">
        <v>545</v>
      </c>
      <c r="J461" s="237">
        <v>50950</v>
      </c>
      <c r="K461" s="175" t="s">
        <v>61</v>
      </c>
      <c r="L461" s="175" t="s">
        <v>439</v>
      </c>
      <c r="M461" s="175" t="s">
        <v>1343</v>
      </c>
      <c r="N461" s="180"/>
      <c r="O461" s="177"/>
      <c r="P461" s="185">
        <v>0</v>
      </c>
      <c r="Q461" s="177">
        <v>43396</v>
      </c>
      <c r="R461" s="178">
        <v>448.23675000000003</v>
      </c>
      <c r="S461" s="179">
        <v>387526.59981456667</v>
      </c>
      <c r="T461" s="182" t="s">
        <v>45</v>
      </c>
      <c r="U461" s="183">
        <v>3.7075</v>
      </c>
      <c r="V461" s="179">
        <v>31518</v>
      </c>
      <c r="W461" s="179">
        <v>8352.2500927166675</v>
      </c>
      <c r="X461" s="186" t="s">
        <v>45</v>
      </c>
      <c r="Y461" s="183">
        <v>3.7075</v>
      </c>
      <c r="Z461" s="220" t="s">
        <v>473</v>
      </c>
      <c r="AA461" s="172">
        <f>Delivery[[#This Row],[Quantity delivered]]*VLOOKUP(Delivery[[#This Row],[Unit]],Tab_Conversão[],4,FALSE)*VLOOKUP(CONCATENATE(Delivery[[#This Row],[Coffee specie]],Delivery[[#This Row],[Coffee state]]),Tab_Conversão[],4,FALSE)</f>
        <v>50950</v>
      </c>
      <c r="AB461" s="169">
        <f>SUMIF(Allocation!C:C,Delivery[[#This Row],[Delivery ID]],Allocation!D:D)/Delivery[[#This Row],[Quantity delivered]]</f>
        <v>1</v>
      </c>
      <c r="AC461" s="170">
        <f>Delivery[[#This Row],[Quantity delivered]]*Delivery[[#This Row],[Base price (Unidad)]]/60</f>
        <v>380627.70687500003</v>
      </c>
      <c r="AD461" s="171">
        <f>Delivery[[#This Row],[Nespresso total]]-Delivery[[#This Row],[Qt. Delivery * Base Price]]</f>
        <v>6898.8929395666346</v>
      </c>
      <c r="AE461" s="171">
        <f>Delivery[[#This Row],[AAA Premium (total)]]/Delivery[[#This Row],[Quantity delivered]]*60/Delivery[[#This Row],[Exchange rate VS USD]]</f>
        <v>10.011163483827508</v>
      </c>
      <c r="AF461" s="171">
        <f>Delivery[[#This Row],[BEN premium (total)]]/Delivery[[#This Row],[Quantity delivered]]*60/Delivery[[#This Row],[Exchange rate for premiums VS USD]]</f>
        <v>2.6529520000000004</v>
      </c>
      <c r="AG461" s="171">
        <f>COUNTIF(Delivery[Delivery ID],Delivery[[#This Row],[Delivery ID]])</f>
        <v>1</v>
      </c>
      <c r="AH461" s="171">
        <f>(Delivery[[#This Row],[Nespresso total]]/SUMIF(Allocation!C:C,Delivery[Delivery ID],Allocation!H:H))/Delivery[[#This Row],[Exchange rate VS USD]]</f>
        <v>5.1114990356525229</v>
      </c>
      <c r="AI461" s="171">
        <f>(Delivery[[#This Row],[AAA Premium (total)]]/SUMIF(Allocation!C:C,Delivery[Delivery ID],Allocation!H:H))/Delivery[[#This Row],[Exchange rate VS USD]]</f>
        <v>0.41572430559033974</v>
      </c>
      <c r="AJ461" s="171">
        <f>Delivery[[#This Row],[Valor Prêmio Nespresso AAA por Kg (em US$)]]*60</f>
        <v>24.943458335420384</v>
      </c>
      <c r="AK461" s="171">
        <f>Delivery[[#This Row],[Valor Prêmio Nespresso AAA por saca (em US$)]]/1.3228/100</f>
        <v>0.1885656058014846</v>
      </c>
      <c r="AL461" s="171">
        <f>(Delivery[[#This Row],[BEN premium (total)]]/SUMIF(Allocation!C:C,Delivery[Delivery ID],Allocation!H:H))/Delivery[[#This Row],[Exchange rate for premiums VS USD]]</f>
        <v>0.11016667840318191</v>
      </c>
      <c r="AM461" s="171">
        <f>Delivery[[#This Row],[Valor Prêmio Nespresso BEN por Kg (em US$)]]*60</f>
        <v>6.6100007041909148</v>
      </c>
      <c r="AN461" s="171">
        <f>Delivery[[#This Row],[Valor Prêmio Nespresso BEN por saca (em US$)]]/1.3228/100</f>
        <v>4.9969766436278464E-2</v>
      </c>
      <c r="AO461" s="171">
        <f>SUMIF(Allocation[Delivery ID],Delivery[[#This Row],[Delivery ID]],Allocation[Quantity allocated])*16*1.3228*Delivery[[#This Row],[Exchange rate VS USD]]/60</f>
        <v>26743.371245066668</v>
      </c>
      <c r="AP461" s="171">
        <f>Delivery[[#This Row],[AAA Premium (total)]]</f>
        <v>31518</v>
      </c>
      <c r="AQ461" s="171">
        <f>Delivery[[#This Row],[Valor pago pelo Cluster]]-Delivery[[#This Row],[Valor efetivamente pago pela Nespresso]]</f>
        <v>4774.6287549333319</v>
      </c>
    </row>
    <row r="462" spans="1:43" ht="15.75">
      <c r="A462" s="174" t="s">
        <v>69</v>
      </c>
      <c r="B462" s="232" t="s">
        <v>68</v>
      </c>
      <c r="C462" s="157">
        <v>1</v>
      </c>
      <c r="D462" s="157" t="s">
        <v>468</v>
      </c>
      <c r="E462" s="177" t="s">
        <v>468</v>
      </c>
      <c r="F462" s="233" t="s">
        <v>543</v>
      </c>
      <c r="G462" s="234">
        <v>43405</v>
      </c>
      <c r="H462" s="157" t="s">
        <v>606</v>
      </c>
      <c r="I462" s="157" t="s">
        <v>545</v>
      </c>
      <c r="J462" s="237">
        <v>37760</v>
      </c>
      <c r="K462" s="175" t="s">
        <v>61</v>
      </c>
      <c r="L462" s="175" t="s">
        <v>439</v>
      </c>
      <c r="M462" s="175" t="s">
        <v>1343</v>
      </c>
      <c r="N462" s="180"/>
      <c r="O462" s="177"/>
      <c r="P462" s="185">
        <v>0</v>
      </c>
      <c r="Q462" s="177">
        <v>43396</v>
      </c>
      <c r="R462" s="178">
        <v>448.23675000000003</v>
      </c>
      <c r="S462" s="179">
        <v>287226.56180565333</v>
      </c>
      <c r="T462" s="182" t="s">
        <v>45</v>
      </c>
      <c r="U462" s="183">
        <v>3.7075</v>
      </c>
      <c r="V462" s="179">
        <v>23360.400000000001</v>
      </c>
      <c r="W462" s="179">
        <v>6190.0090971733334</v>
      </c>
      <c r="X462" s="186" t="s">
        <v>45</v>
      </c>
      <c r="Y462" s="183">
        <v>3.7075</v>
      </c>
      <c r="Z462" s="220" t="s">
        <v>473</v>
      </c>
      <c r="AA462" s="172">
        <f>Delivery[[#This Row],[Quantity delivered]]*VLOOKUP(Delivery[[#This Row],[Unit]],Tab_Conversão[],4,FALSE)*VLOOKUP(CONCATENATE(Delivery[[#This Row],[Coffee specie]],Delivery[[#This Row],[Coffee state]]),Tab_Conversão[],4,FALSE)</f>
        <v>37760</v>
      </c>
      <c r="AB462" s="169">
        <f>SUMIF(Allocation!C:C,Delivery[[#This Row],[Delivery ID]],Allocation!D:D)/Delivery[[#This Row],[Quantity delivered]]</f>
        <v>1</v>
      </c>
      <c r="AC462" s="170">
        <f>Delivery[[#This Row],[Quantity delivered]]*Delivery[[#This Row],[Base price (Unidad)]]/60</f>
        <v>282090.32799999998</v>
      </c>
      <c r="AD462" s="171">
        <f>Delivery[[#This Row],[Nespresso total]]-Delivery[[#This Row],[Qt. Delivery * Base Price]]</f>
        <v>5136.2338056533481</v>
      </c>
      <c r="AE462" s="171">
        <f>Delivery[[#This Row],[AAA Premium (total)]]/Delivery[[#This Row],[Quantity delivered]]*60/Delivery[[#This Row],[Exchange rate VS USD]]</f>
        <v>10.011943266626286</v>
      </c>
      <c r="AF462" s="171">
        <f>Delivery[[#This Row],[BEN premium (total)]]/Delivery[[#This Row],[Quantity delivered]]*60/Delivery[[#This Row],[Exchange rate for premiums VS USD]]</f>
        <v>2.6529520000000004</v>
      </c>
      <c r="AG462" s="171">
        <f>COUNTIF(Delivery[Delivery ID],Delivery[[#This Row],[Delivery ID]])</f>
        <v>1</v>
      </c>
      <c r="AH462" s="171">
        <f>(Delivery[[#This Row],[Nespresso total]]/SUMIF(Allocation!C:C,Delivery[Delivery ID],Allocation!H:H))/Delivery[[#This Row],[Exchange rate VS USD]]</f>
        <v>5.1112860810396397</v>
      </c>
      <c r="AI462" s="171">
        <f>(Delivery[[#This Row],[AAA Premium (total)]]/SUMIF(Allocation!C:C,Delivery[Delivery ID],Allocation!H:H))/Delivery[[#This Row],[Exchange rate VS USD]]</f>
        <v>0.41570559009897357</v>
      </c>
      <c r="AJ462" s="171">
        <f>Delivery[[#This Row],[Valor Prêmio Nespresso AAA por Kg (em US$)]]*60</f>
        <v>24.942335405938415</v>
      </c>
      <c r="AK462" s="171">
        <f>Delivery[[#This Row],[Valor Prêmio Nespresso AAA por saca (em US$)]]/1.3228/100</f>
        <v>0.18855711676699741</v>
      </c>
      <c r="AL462" s="171">
        <f>(Delivery[[#This Row],[BEN premium (total)]]/SUMIF(Allocation!C:C,Delivery[Delivery ID],Allocation!H:H))/Delivery[[#This Row],[Exchange rate for premiums VS USD]]</f>
        <v>0.11015313883574146</v>
      </c>
      <c r="AM462" s="171">
        <f>Delivery[[#This Row],[Valor Prêmio Nespresso BEN por Kg (em US$)]]*60</f>
        <v>6.6091883301444874</v>
      </c>
      <c r="AN462" s="171">
        <f>Delivery[[#This Row],[Valor Prêmio Nespresso BEN por saca (em US$)]]/1.3228/100</f>
        <v>4.9963625114488111E-2</v>
      </c>
      <c r="AO462" s="171">
        <f>SUMIF(Allocation[Delivery ID],Delivery[[#This Row],[Delivery ID]],Allocation[Quantity allocated])*16*1.3228*Delivery[[#This Row],[Exchange rate VS USD]]/60</f>
        <v>19822.449897866663</v>
      </c>
      <c r="AP462" s="171">
        <f>Delivery[[#This Row],[AAA Premium (total)]]</f>
        <v>23360.400000000001</v>
      </c>
      <c r="AQ462" s="171">
        <f>Delivery[[#This Row],[Valor pago pelo Cluster]]-Delivery[[#This Row],[Valor efetivamente pago pela Nespresso]]</f>
        <v>3537.9501021333381</v>
      </c>
    </row>
    <row r="463" spans="1:43" ht="15.75">
      <c r="A463" s="174" t="s">
        <v>69</v>
      </c>
      <c r="B463" s="232" t="s">
        <v>68</v>
      </c>
      <c r="C463" s="157">
        <v>1</v>
      </c>
      <c r="D463" s="157" t="s">
        <v>468</v>
      </c>
      <c r="E463" s="177" t="s">
        <v>468</v>
      </c>
      <c r="F463" s="233" t="s">
        <v>543</v>
      </c>
      <c r="G463" s="234">
        <v>43405</v>
      </c>
      <c r="H463" s="157" t="s">
        <v>607</v>
      </c>
      <c r="I463" s="157" t="s">
        <v>545</v>
      </c>
      <c r="J463" s="237">
        <v>38300</v>
      </c>
      <c r="K463" s="175" t="s">
        <v>61</v>
      </c>
      <c r="L463" s="175" t="s">
        <v>439</v>
      </c>
      <c r="M463" s="175" t="s">
        <v>1343</v>
      </c>
      <c r="N463" s="180"/>
      <c r="O463" s="177"/>
      <c r="P463" s="185">
        <v>0</v>
      </c>
      <c r="Q463" s="177">
        <v>43396</v>
      </c>
      <c r="R463" s="178">
        <v>448.23675000000003</v>
      </c>
      <c r="S463" s="179">
        <v>287049.51705393335</v>
      </c>
      <c r="T463" s="182" t="s">
        <v>45</v>
      </c>
      <c r="U463" s="183">
        <v>3.7075</v>
      </c>
      <c r="V463" s="179">
        <v>23360.400000000001</v>
      </c>
      <c r="W463" s="179">
        <v>6278.5314730333339</v>
      </c>
      <c r="X463" s="186" t="s">
        <v>45</v>
      </c>
      <c r="Y463" s="183">
        <v>3.7075</v>
      </c>
      <c r="Z463" s="220" t="s">
        <v>473</v>
      </c>
      <c r="AA463" s="172">
        <f>Delivery[[#This Row],[Quantity delivered]]*VLOOKUP(Delivery[[#This Row],[Unit]],Tab_Conversão[],4,FALSE)*VLOOKUP(CONCATENATE(Delivery[[#This Row],[Coffee specie]],Delivery[[#This Row],[Coffee state]]),Tab_Conversão[],4,FALSE)</f>
        <v>38300</v>
      </c>
      <c r="AB463" s="169">
        <f>SUMIF(Allocation!C:C,Delivery[[#This Row],[Delivery ID]],Allocation!D:D)/Delivery[[#This Row],[Quantity delivered]]</f>
        <v>1</v>
      </c>
      <c r="AC463" s="170">
        <f>Delivery[[#This Row],[Quantity delivered]]*Delivery[[#This Row],[Base price (Unidad)]]/60</f>
        <v>286124.45875000005</v>
      </c>
      <c r="AD463" s="171">
        <f>Delivery[[#This Row],[Nespresso total]]-Delivery[[#This Row],[Qt. Delivery * Base Price]]</f>
        <v>925.05830393329961</v>
      </c>
      <c r="AE463" s="171">
        <f>Delivery[[#This Row],[AAA Premium (total)]]/Delivery[[#This Row],[Quantity delivered]]*60/Delivery[[#This Row],[Exchange rate VS USD]]</f>
        <v>9.8707827088200659</v>
      </c>
      <c r="AF463" s="171">
        <f>Delivery[[#This Row],[BEN premium (total)]]/Delivery[[#This Row],[Quantity delivered]]*60/Delivery[[#This Row],[Exchange rate for premiums VS USD]]</f>
        <v>2.6529520000000004</v>
      </c>
      <c r="AG463" s="171">
        <f>COUNTIF(Delivery[Delivery ID],Delivery[[#This Row],[Delivery ID]])</f>
        <v>1</v>
      </c>
      <c r="AH463" s="171">
        <f>(Delivery[[#This Row],[Nespresso total]]/SUMIF(Allocation!C:C,Delivery[Delivery ID],Allocation!H:H))/Delivery[[#This Row],[Exchange rate VS USD]]</f>
        <v>5.0285126969096465</v>
      </c>
      <c r="AI463" s="171">
        <f>(Delivery[[#This Row],[AAA Premium (total)]]/SUMIF(Allocation!C:C,Delivery[Delivery ID],Allocation!H:H))/Delivery[[#This Row],[Exchange rate VS USD]]</f>
        <v>0.40922579912516344</v>
      </c>
      <c r="AJ463" s="171">
        <f>Delivery[[#This Row],[Valor Prêmio Nespresso AAA por Kg (em US$)]]*60</f>
        <v>24.553547947509806</v>
      </c>
      <c r="AK463" s="171">
        <f>Delivery[[#This Row],[Valor Prêmio Nespresso AAA por saca (em US$)]]/1.3228/100</f>
        <v>0.18561799174107807</v>
      </c>
      <c r="AL463" s="171">
        <f>(Delivery[[#This Row],[BEN premium (total)]]/SUMIF(Allocation!C:C,Delivery[Delivery ID],Allocation!H:H))/Delivery[[#This Row],[Exchange rate for premiums VS USD]]</f>
        <v>0.10998686064384838</v>
      </c>
      <c r="AM463" s="171">
        <f>Delivery[[#This Row],[Valor Prêmio Nespresso BEN por Kg (em US$)]]*60</f>
        <v>6.5992116386309032</v>
      </c>
      <c r="AN463" s="171">
        <f>Delivery[[#This Row],[Valor Prêmio Nespresso BEN por saca (em US$)]]/1.3228/100</f>
        <v>4.9888204102138671E-2</v>
      </c>
      <c r="AO463" s="171">
        <f>SUMIF(Allocation[Delivery ID],Delivery[[#This Row],[Delivery ID]],Allocation[Quantity allocated])*16*1.3228*Delivery[[#This Row],[Exchange rate VS USD]]/60</f>
        <v>20136.323881866665</v>
      </c>
      <c r="AP463" s="171">
        <f>Delivery[[#This Row],[AAA Premium (total)]]</f>
        <v>23360.400000000001</v>
      </c>
      <c r="AQ463" s="171">
        <f>Delivery[[#This Row],[Valor pago pelo Cluster]]-Delivery[[#This Row],[Valor efetivamente pago pela Nespresso]]</f>
        <v>3224.0761181333364</v>
      </c>
    </row>
    <row r="464" spans="1:43" ht="15.75">
      <c r="A464" s="174" t="s">
        <v>69</v>
      </c>
      <c r="B464" s="232" t="s">
        <v>68</v>
      </c>
      <c r="C464" s="157">
        <v>1</v>
      </c>
      <c r="D464" s="157" t="s">
        <v>468</v>
      </c>
      <c r="E464" s="177" t="s">
        <v>468</v>
      </c>
      <c r="F464" s="233" t="s">
        <v>543</v>
      </c>
      <c r="G464" s="234">
        <v>43404</v>
      </c>
      <c r="H464" s="157" t="s">
        <v>608</v>
      </c>
      <c r="I464" s="157" t="s">
        <v>545</v>
      </c>
      <c r="J464" s="237">
        <v>37740</v>
      </c>
      <c r="K464" s="175" t="s">
        <v>61</v>
      </c>
      <c r="L464" s="175" t="s">
        <v>439</v>
      </c>
      <c r="M464" s="175" t="s">
        <v>1343</v>
      </c>
      <c r="N464" s="180"/>
      <c r="O464" s="177"/>
      <c r="P464" s="185">
        <v>0</v>
      </c>
      <c r="Q464" s="177">
        <v>43396</v>
      </c>
      <c r="R464" s="178">
        <v>448.23675000000003</v>
      </c>
      <c r="S464" s="179">
        <v>287233.11901868001</v>
      </c>
      <c r="T464" s="182" t="s">
        <v>45</v>
      </c>
      <c r="U464" s="183">
        <v>3.7075</v>
      </c>
      <c r="V464" s="179">
        <v>23360.400000000001</v>
      </c>
      <c r="W464" s="179">
        <v>6186.7304906600002</v>
      </c>
      <c r="X464" s="186" t="s">
        <v>45</v>
      </c>
      <c r="Y464" s="183">
        <v>3.7075</v>
      </c>
      <c r="Z464" s="220" t="s">
        <v>473</v>
      </c>
      <c r="AA464" s="172">
        <f>Delivery[[#This Row],[Quantity delivered]]*VLOOKUP(Delivery[[#This Row],[Unit]],Tab_Conversão[],4,FALSE)*VLOOKUP(CONCATENATE(Delivery[[#This Row],[Coffee specie]],Delivery[[#This Row],[Coffee state]]),Tab_Conversão[],4,FALSE)</f>
        <v>37740</v>
      </c>
      <c r="AB464" s="169">
        <f>SUMIF(Allocation!C:C,Delivery[[#This Row],[Delivery ID]],Allocation!D:D)/Delivery[[#This Row],[Quantity delivered]]</f>
        <v>1</v>
      </c>
      <c r="AC464" s="170">
        <f>Delivery[[#This Row],[Quantity delivered]]*Delivery[[#This Row],[Base price (Unidad)]]/60</f>
        <v>281940.91574999999</v>
      </c>
      <c r="AD464" s="171">
        <f>Delivery[[#This Row],[Nespresso total]]-Delivery[[#This Row],[Qt. Delivery * Base Price]]</f>
        <v>5292.203268680023</v>
      </c>
      <c r="AE464" s="171">
        <f>Delivery[[#This Row],[AAA Premium (total)]]/Delivery[[#This Row],[Quantity delivered]]*60/Delivery[[#This Row],[Exchange rate VS USD]]</f>
        <v>10.017249012925506</v>
      </c>
      <c r="AF464" s="171">
        <f>Delivery[[#This Row],[BEN premium (total)]]/Delivery[[#This Row],[Quantity delivered]]*60/Delivery[[#This Row],[Exchange rate for premiums VS USD]]</f>
        <v>2.6529520000000004</v>
      </c>
      <c r="AG464" s="171">
        <f>COUNTIF(Delivery[Delivery ID],Delivery[[#This Row],[Delivery ID]])</f>
        <v>1</v>
      </c>
      <c r="AH464" s="171">
        <f>(Delivery[[#This Row],[Nespresso total]]/SUMIF(Allocation!C:C,Delivery[Delivery ID],Allocation!H:H))/Delivery[[#This Row],[Exchange rate VS USD]]</f>
        <v>5.1114027686867116</v>
      </c>
      <c r="AI464" s="171">
        <f>(Delivery[[#This Row],[AAA Premium (total)]]/SUMIF(Allocation!C:C,Delivery[Delivery ID],Allocation!H:H))/Delivery[[#This Row],[Exchange rate VS USD]]</f>
        <v>0.41570559009897357</v>
      </c>
      <c r="AJ464" s="171">
        <f>Delivery[[#This Row],[Valor Prêmio Nespresso AAA por Kg (em US$)]]*60</f>
        <v>24.942335405938415</v>
      </c>
      <c r="AK464" s="171">
        <f>Delivery[[#This Row],[Valor Prêmio Nespresso AAA por saca (em US$)]]/1.3228/100</f>
        <v>0.18855711676699741</v>
      </c>
      <c r="AL464" s="171">
        <f>(Delivery[[#This Row],[BEN premium (total)]]/SUMIF(Allocation!C:C,Delivery[Delivery ID],Allocation!H:H))/Delivery[[#This Row],[Exchange rate for premiums VS USD]]</f>
        <v>0.11009479501220558</v>
      </c>
      <c r="AM464" s="171">
        <f>Delivery[[#This Row],[Valor Prêmio Nespresso BEN por Kg (em US$)]]*60</f>
        <v>6.6056877007323349</v>
      </c>
      <c r="AN464" s="171">
        <f>Delivery[[#This Row],[Valor Prêmio Nespresso BEN por saca (em US$)]]/1.3228/100</f>
        <v>4.9937161329999508E-2</v>
      </c>
      <c r="AO464" s="171">
        <f>SUMIF(Allocation[Delivery ID],Delivery[[#This Row],[Delivery ID]],Allocation[Quantity allocated])*16*1.3228*Delivery[[#This Row],[Exchange rate VS USD]]/60</f>
        <v>19822.449897866663</v>
      </c>
      <c r="AP464" s="171">
        <f>Delivery[[#This Row],[AAA Premium (total)]]</f>
        <v>23360.400000000001</v>
      </c>
      <c r="AQ464" s="171">
        <f>Delivery[[#This Row],[Valor pago pelo Cluster]]-Delivery[[#This Row],[Valor efetivamente pago pela Nespresso]]</f>
        <v>3537.9501021333381</v>
      </c>
    </row>
    <row r="465" spans="1:43" ht="15.75">
      <c r="A465" s="174" t="s">
        <v>69</v>
      </c>
      <c r="B465" s="232" t="s">
        <v>68</v>
      </c>
      <c r="C465" s="157">
        <v>1</v>
      </c>
      <c r="D465" s="157" t="s">
        <v>468</v>
      </c>
      <c r="E465" s="177" t="s">
        <v>468</v>
      </c>
      <c r="F465" s="233" t="s">
        <v>543</v>
      </c>
      <c r="G465" s="234">
        <v>43404</v>
      </c>
      <c r="H465" s="157" t="s">
        <v>609</v>
      </c>
      <c r="I465" s="157" t="s">
        <v>545</v>
      </c>
      <c r="J465" s="237">
        <v>34750</v>
      </c>
      <c r="K465" s="175" t="s">
        <v>61</v>
      </c>
      <c r="L465" s="175" t="s">
        <v>439</v>
      </c>
      <c r="M465" s="175" t="s">
        <v>1343</v>
      </c>
      <c r="N465" s="180"/>
      <c r="O465" s="177"/>
      <c r="P465" s="185">
        <v>0</v>
      </c>
      <c r="Q465" s="177">
        <v>43396</v>
      </c>
      <c r="R465" s="178">
        <v>448.23675000000003</v>
      </c>
      <c r="S465" s="179">
        <v>264435.12236616667</v>
      </c>
      <c r="T465" s="182" t="s">
        <v>45</v>
      </c>
      <c r="U465" s="183">
        <v>3.7075</v>
      </c>
      <c r="V465" s="179">
        <v>21506.400000000001</v>
      </c>
      <c r="W465" s="179">
        <v>5696.5788169166672</v>
      </c>
      <c r="X465" s="186" t="s">
        <v>45</v>
      </c>
      <c r="Y465" s="183">
        <v>3.7075</v>
      </c>
      <c r="Z465" s="220" t="s">
        <v>473</v>
      </c>
      <c r="AA465" s="172">
        <f>Delivery[[#This Row],[Quantity delivered]]*VLOOKUP(Delivery[[#This Row],[Unit]],Tab_Conversão[],4,FALSE)*VLOOKUP(CONCATENATE(Delivery[[#This Row],[Coffee specie]],Delivery[[#This Row],[Coffee state]]),Tab_Conversão[],4,FALSE)</f>
        <v>34750</v>
      </c>
      <c r="AB465" s="169">
        <f>SUMIF(Allocation!C:C,Delivery[[#This Row],[Delivery ID]],Allocation!D:D)/Delivery[[#This Row],[Quantity delivered]]</f>
        <v>1</v>
      </c>
      <c r="AC465" s="170">
        <f>Delivery[[#This Row],[Quantity delivered]]*Delivery[[#This Row],[Base price (Unidad)]]/60</f>
        <v>259603.78437500002</v>
      </c>
      <c r="AD465" s="171">
        <f>Delivery[[#This Row],[Nespresso total]]-Delivery[[#This Row],[Qt. Delivery * Base Price]]</f>
        <v>4831.3379911666561</v>
      </c>
      <c r="AE465" s="171">
        <f>Delivery[[#This Row],[AAA Premium (total)]]/Delivery[[#This Row],[Quantity delivered]]*60/Delivery[[#This Row],[Exchange rate VS USD]]</f>
        <v>10.0157390473326</v>
      </c>
      <c r="AF465" s="171">
        <f>Delivery[[#This Row],[BEN premium (total)]]/Delivery[[#This Row],[Quantity delivered]]*60/Delivery[[#This Row],[Exchange rate for premiums VS USD]]</f>
        <v>2.6529520000000004</v>
      </c>
      <c r="AG465" s="171">
        <f>COUNTIF(Delivery[Delivery ID],Delivery[[#This Row],[Delivery ID]])</f>
        <v>1</v>
      </c>
      <c r="AH465" s="171">
        <f>(Delivery[[#This Row],[Nespresso total]]/SUMIF(Allocation!C:C,Delivery[Delivery ID],Allocation!H:H))/Delivery[[#This Row],[Exchange rate VS USD]]</f>
        <v>5.1113928302939824</v>
      </c>
      <c r="AI465" s="171">
        <f>(Delivery[[#This Row],[AAA Premium (total)]]/SUMIF(Allocation!C:C,Delivery[Delivery ID],Allocation!H:H))/Delivery[[#This Row],[Exchange rate VS USD]]</f>
        <v>0.41570748160002846</v>
      </c>
      <c r="AJ465" s="171">
        <f>Delivery[[#This Row],[Valor Prêmio Nespresso AAA por Kg (em US$)]]*60</f>
        <v>24.942448896001707</v>
      </c>
      <c r="AK465" s="171">
        <f>Delivery[[#This Row],[Valor Prêmio Nespresso AAA por saca (em US$)]]/1.3228/100</f>
        <v>0.18855797472030322</v>
      </c>
      <c r="AL465" s="171">
        <f>(Delivery[[#This Row],[BEN premium (total)]]/SUMIF(Allocation!C:C,Delivery[Delivery ID],Allocation!H:H))/Delivery[[#This Row],[Exchange rate for premiums VS USD]]</f>
        <v>0.11011189384167026</v>
      </c>
      <c r="AM465" s="171">
        <f>Delivery[[#This Row],[Valor Prêmio Nespresso BEN por Kg (em US$)]]*60</f>
        <v>6.6067136305002157</v>
      </c>
      <c r="AN465" s="171">
        <f>Delivery[[#This Row],[Valor Prêmio Nespresso BEN por saca (em US$)]]/1.3228/100</f>
        <v>4.9944917073633327E-2</v>
      </c>
      <c r="AO465" s="171">
        <f>SUMIF(Allocation[Delivery ID],Delivery[[#This Row],[Delivery ID]],Allocation[Quantity allocated])*16*1.3228*Delivery[[#This Row],[Exchange rate VS USD]]/60</f>
        <v>18249.15655306667</v>
      </c>
      <c r="AP465" s="171">
        <f>Delivery[[#This Row],[AAA Premium (total)]]</f>
        <v>21506.400000000001</v>
      </c>
      <c r="AQ465" s="171">
        <f>Delivery[[#This Row],[Valor pago pelo Cluster]]-Delivery[[#This Row],[Valor efetivamente pago pela Nespresso]]</f>
        <v>3257.2434469333311</v>
      </c>
    </row>
    <row r="466" spans="1:43" ht="15.75">
      <c r="A466" s="174" t="s">
        <v>69</v>
      </c>
      <c r="B466" s="232" t="s">
        <v>68</v>
      </c>
      <c r="C466" s="157">
        <v>1</v>
      </c>
      <c r="D466" s="157" t="s">
        <v>468</v>
      </c>
      <c r="E466" s="177" t="s">
        <v>468</v>
      </c>
      <c r="F466" s="233" t="s">
        <v>543</v>
      </c>
      <c r="G466" s="234">
        <v>43405</v>
      </c>
      <c r="H466" s="157" t="s">
        <v>610</v>
      </c>
      <c r="I466" s="157" t="s">
        <v>545</v>
      </c>
      <c r="J466" s="237">
        <v>37720</v>
      </c>
      <c r="K466" s="175" t="s">
        <v>61</v>
      </c>
      <c r="L466" s="175" t="s">
        <v>439</v>
      </c>
      <c r="M466" s="175" t="s">
        <v>1343</v>
      </c>
      <c r="N466" s="180"/>
      <c r="O466" s="177"/>
      <c r="P466" s="185">
        <v>0</v>
      </c>
      <c r="Q466" s="177">
        <v>43396</v>
      </c>
      <c r="R466" s="178">
        <v>448.23675000000003</v>
      </c>
      <c r="S466" s="179">
        <v>287239.67623170669</v>
      </c>
      <c r="T466" s="182" t="s">
        <v>45</v>
      </c>
      <c r="U466" s="183">
        <v>3.7075</v>
      </c>
      <c r="V466" s="179">
        <v>23360.400000000001</v>
      </c>
      <c r="W466" s="179">
        <v>6183.451884146667</v>
      </c>
      <c r="X466" s="186" t="s">
        <v>45</v>
      </c>
      <c r="Y466" s="183">
        <v>3.7075</v>
      </c>
      <c r="Z466" s="220" t="s">
        <v>473</v>
      </c>
      <c r="AA466" s="172">
        <f>Delivery[[#This Row],[Quantity delivered]]*VLOOKUP(Delivery[[#This Row],[Unit]],Tab_Conversão[],4,FALSE)*VLOOKUP(CONCATENATE(Delivery[[#This Row],[Coffee specie]],Delivery[[#This Row],[Coffee state]]),Tab_Conversão[],4,FALSE)</f>
        <v>37720</v>
      </c>
      <c r="AB466" s="169">
        <f>SUMIF(Allocation!C:C,Delivery[[#This Row],[Delivery ID]],Allocation!D:D)/Delivery[[#This Row],[Quantity delivered]]</f>
        <v>1</v>
      </c>
      <c r="AC466" s="170">
        <f>Delivery[[#This Row],[Quantity delivered]]*Delivery[[#This Row],[Base price (Unidad)]]/60</f>
        <v>281791.50349999999</v>
      </c>
      <c r="AD466" s="171">
        <f>Delivery[[#This Row],[Nespresso total]]-Delivery[[#This Row],[Qt. Delivery * Base Price]]</f>
        <v>5448.172731706698</v>
      </c>
      <c r="AE466" s="171">
        <f>Delivery[[#This Row],[AAA Premium (total)]]/Delivery[[#This Row],[Quantity delivered]]*60/Delivery[[#This Row],[Exchange rate VS USD]]</f>
        <v>10.022560385678911</v>
      </c>
      <c r="AF466" s="171">
        <f>Delivery[[#This Row],[BEN premium (total)]]/Delivery[[#This Row],[Quantity delivered]]*60/Delivery[[#This Row],[Exchange rate for premiums VS USD]]</f>
        <v>2.6529520000000004</v>
      </c>
      <c r="AG466" s="171">
        <f>COUNTIF(Delivery[Delivery ID],Delivery[[#This Row],[Delivery ID]])</f>
        <v>1</v>
      </c>
      <c r="AH466" s="171">
        <f>(Delivery[[#This Row],[Nespresso total]]/SUMIF(Allocation!C:C,Delivery[Delivery ID],Allocation!H:H))/Delivery[[#This Row],[Exchange rate VS USD]]</f>
        <v>5.1115194563337845</v>
      </c>
      <c r="AI466" s="171">
        <f>(Delivery[[#This Row],[AAA Premium (total)]]/SUMIF(Allocation!C:C,Delivery[Delivery ID],Allocation!H:H))/Delivery[[#This Row],[Exchange rate VS USD]]</f>
        <v>0.41570559009897357</v>
      </c>
      <c r="AJ466" s="171">
        <f>Delivery[[#This Row],[Valor Prêmio Nespresso AAA por Kg (em US$)]]*60</f>
        <v>24.942335405938415</v>
      </c>
      <c r="AK466" s="171">
        <f>Delivery[[#This Row],[Valor Prêmio Nespresso AAA por saca (em US$)]]/1.3228/100</f>
        <v>0.18855711676699741</v>
      </c>
      <c r="AL466" s="171">
        <f>(Delivery[[#This Row],[BEN premium (total)]]/SUMIF(Allocation!C:C,Delivery[Delivery ID],Allocation!H:H))/Delivery[[#This Row],[Exchange rate for premiums VS USD]]</f>
        <v>0.11003645118866971</v>
      </c>
      <c r="AM466" s="171">
        <f>Delivery[[#This Row],[Valor Prêmio Nespresso BEN por Kg (em US$)]]*60</f>
        <v>6.6021870713201825</v>
      </c>
      <c r="AN466" s="171">
        <f>Delivery[[#This Row],[Valor Prêmio Nespresso BEN por saca (em US$)]]/1.3228/100</f>
        <v>4.9910697545510904E-2</v>
      </c>
      <c r="AO466" s="171">
        <f>SUMIF(Allocation[Delivery ID],Delivery[[#This Row],[Delivery ID]],Allocation[Quantity allocated])*16*1.3228*Delivery[[#This Row],[Exchange rate VS USD]]/60</f>
        <v>19822.449897866663</v>
      </c>
      <c r="AP466" s="171">
        <f>Delivery[[#This Row],[AAA Premium (total)]]</f>
        <v>23360.400000000001</v>
      </c>
      <c r="AQ466" s="171">
        <f>Delivery[[#This Row],[Valor pago pelo Cluster]]-Delivery[[#This Row],[Valor efetivamente pago pela Nespresso]]</f>
        <v>3537.9501021333381</v>
      </c>
    </row>
    <row r="467" spans="1:43" ht="15.75">
      <c r="A467" s="174" t="s">
        <v>69</v>
      </c>
      <c r="B467" s="232" t="s">
        <v>68</v>
      </c>
      <c r="C467" s="157">
        <v>1</v>
      </c>
      <c r="D467" s="157" t="s">
        <v>468</v>
      </c>
      <c r="E467" s="177" t="s">
        <v>468</v>
      </c>
      <c r="F467" s="233" t="s">
        <v>543</v>
      </c>
      <c r="G467" s="234">
        <v>43404</v>
      </c>
      <c r="H467" s="157" t="s">
        <v>611</v>
      </c>
      <c r="I467" s="157" t="s">
        <v>545</v>
      </c>
      <c r="J467" s="237">
        <v>28370</v>
      </c>
      <c r="K467" s="175" t="s">
        <v>61</v>
      </c>
      <c r="L467" s="175" t="s">
        <v>439</v>
      </c>
      <c r="M467" s="175" t="s">
        <v>1343</v>
      </c>
      <c r="N467" s="180"/>
      <c r="O467" s="177"/>
      <c r="P467" s="185">
        <v>0</v>
      </c>
      <c r="Q467" s="177">
        <v>43396</v>
      </c>
      <c r="R467" s="178">
        <v>448.23675000000003</v>
      </c>
      <c r="S467" s="179">
        <v>216116.87332167334</v>
      </c>
      <c r="T467" s="182" t="s">
        <v>45</v>
      </c>
      <c r="U467" s="183">
        <v>3.7075</v>
      </c>
      <c r="V467" s="179">
        <v>17575.919999999998</v>
      </c>
      <c r="W467" s="179">
        <v>4650.7033391633331</v>
      </c>
      <c r="X467" s="186" t="s">
        <v>45</v>
      </c>
      <c r="Y467" s="183">
        <v>3.7075</v>
      </c>
      <c r="Z467" s="220" t="s">
        <v>473</v>
      </c>
      <c r="AA467" s="172">
        <f>Delivery[[#This Row],[Quantity delivered]]*VLOOKUP(Delivery[[#This Row],[Unit]],Tab_Conversão[],4,FALSE)*VLOOKUP(CONCATENATE(Delivery[[#This Row],[Coffee specie]],Delivery[[#This Row],[Coffee state]]),Tab_Conversão[],4,FALSE)</f>
        <v>28370</v>
      </c>
      <c r="AB467" s="169">
        <f>SUMIF(Allocation!C:C,Delivery[[#This Row],[Delivery ID]],Allocation!D:D)/Delivery[[#This Row],[Quantity delivered]]</f>
        <v>1</v>
      </c>
      <c r="AC467" s="170">
        <f>Delivery[[#This Row],[Quantity delivered]]*Delivery[[#This Row],[Base price (Unidad)]]/60</f>
        <v>211941.276625</v>
      </c>
      <c r="AD467" s="171">
        <f>Delivery[[#This Row],[Nespresso total]]-Delivery[[#This Row],[Qt. Delivery * Base Price]]</f>
        <v>4175.5966966733395</v>
      </c>
      <c r="AE467" s="171">
        <f>Delivery[[#This Row],[AAA Premium (total)]]/Delivery[[#This Row],[Quantity delivered]]*60/Delivery[[#This Row],[Exchange rate VS USD]]</f>
        <v>10.026025896596629</v>
      </c>
      <c r="AF467" s="171">
        <f>Delivery[[#This Row],[BEN premium (total)]]/Delivery[[#This Row],[Quantity delivered]]*60/Delivery[[#This Row],[Exchange rate for premiums VS USD]]</f>
        <v>2.652952</v>
      </c>
      <c r="AG467" s="171">
        <f>COUNTIF(Delivery[Delivery ID],Delivery[[#This Row],[Delivery ID]])</f>
        <v>1</v>
      </c>
      <c r="AH467" s="171">
        <f>(Delivery[[#This Row],[Nespresso total]]/SUMIF(Allocation!C:C,Delivery[Delivery ID],Allocation!H:H))/Delivery[[#This Row],[Exchange rate VS USD]]</f>
        <v>5.1115228599604903</v>
      </c>
      <c r="AI467" s="171">
        <f>(Delivery[[#This Row],[AAA Premium (total)]]/SUMIF(Allocation!C:C,Delivery[Delivery ID],Allocation!H:H))/Delivery[[#This Row],[Exchange rate VS USD]]</f>
        <v>0.41569968824746634</v>
      </c>
      <c r="AJ467" s="171">
        <f>Delivery[[#This Row],[Valor Prêmio Nespresso AAA por Kg (em US$)]]*60</f>
        <v>24.941981294847981</v>
      </c>
      <c r="AK467" s="171">
        <f>Delivery[[#This Row],[Valor Prêmio Nespresso AAA por saca (em US$)]]/1.3228/100</f>
        <v>0.18855443978566661</v>
      </c>
      <c r="AL467" s="171">
        <f>(Delivery[[#This Row],[BEN premium (total)]]/SUMIF(Allocation!C:C,Delivery[Delivery ID],Allocation!H:H))/Delivery[[#This Row],[Exchange rate for premiums VS USD]]</f>
        <v>0.10999685525546592</v>
      </c>
      <c r="AM467" s="171">
        <f>Delivery[[#This Row],[Valor Prêmio Nespresso BEN por Kg (em US$)]]*60</f>
        <v>6.5998113153279547</v>
      </c>
      <c r="AN467" s="171">
        <f>Delivery[[#This Row],[Valor Prêmio Nespresso BEN por saca (em US$)]]/1.3228/100</f>
        <v>4.9892737491139663E-2</v>
      </c>
      <c r="AO467" s="171">
        <f>SUMIF(Allocation[Delivery ID],Delivery[[#This Row],[Delivery ID]],Allocation[Quantity allocated])*16*1.3228*Delivery[[#This Row],[Exchange rate VS USD]]/60</f>
        <v>14914.245473066667</v>
      </c>
      <c r="AP467" s="171">
        <f>Delivery[[#This Row],[AAA Premium (total)]]</f>
        <v>17575.919999999998</v>
      </c>
      <c r="AQ467" s="171">
        <f>Delivery[[#This Row],[Valor pago pelo Cluster]]-Delivery[[#This Row],[Valor efetivamente pago pela Nespresso]]</f>
        <v>2661.6745269333314</v>
      </c>
    </row>
    <row r="468" spans="1:43" ht="15.75">
      <c r="A468" s="174" t="s">
        <v>69</v>
      </c>
      <c r="B468" s="232" t="s">
        <v>68</v>
      </c>
      <c r="C468" s="157">
        <v>1</v>
      </c>
      <c r="D468" s="157" t="s">
        <v>468</v>
      </c>
      <c r="E468" s="177" t="s">
        <v>468</v>
      </c>
      <c r="F468" s="233" t="s">
        <v>543</v>
      </c>
      <c r="G468" s="234">
        <v>43405</v>
      </c>
      <c r="H468" s="157" t="s">
        <v>612</v>
      </c>
      <c r="I468" s="157" t="s">
        <v>545</v>
      </c>
      <c r="J468" s="237">
        <v>9340</v>
      </c>
      <c r="K468" s="175" t="s">
        <v>61</v>
      </c>
      <c r="L468" s="175" t="s">
        <v>439</v>
      </c>
      <c r="M468" s="175" t="s">
        <v>1343</v>
      </c>
      <c r="N468" s="180"/>
      <c r="O468" s="177"/>
      <c r="P468" s="185">
        <v>0</v>
      </c>
      <c r="Q468" s="177">
        <v>43396</v>
      </c>
      <c r="R468" s="178">
        <v>448.23675000000003</v>
      </c>
      <c r="S468" s="179">
        <v>71126.081516546677</v>
      </c>
      <c r="T468" s="182" t="s">
        <v>45</v>
      </c>
      <c r="U468" s="183">
        <v>3.7075</v>
      </c>
      <c r="V468" s="179">
        <v>5784.48</v>
      </c>
      <c r="W468" s="179">
        <v>1531.1092417266668</v>
      </c>
      <c r="X468" s="186" t="s">
        <v>45</v>
      </c>
      <c r="Y468" s="183">
        <v>3.7075</v>
      </c>
      <c r="Z468" s="220" t="s">
        <v>473</v>
      </c>
      <c r="AA468" s="172">
        <f>Delivery[[#This Row],[Quantity delivered]]*VLOOKUP(Delivery[[#This Row],[Unit]],Tab_Conversão[],4,FALSE)*VLOOKUP(CONCATENATE(Delivery[[#This Row],[Coffee specie]],Delivery[[#This Row],[Coffee state]]),Tab_Conversão[],4,FALSE)</f>
        <v>9340</v>
      </c>
      <c r="AB468" s="169">
        <f>SUMIF(Allocation!C:C,Delivery[[#This Row],[Delivery ID]],Allocation!D:D)/Delivery[[#This Row],[Quantity delivered]]</f>
        <v>1</v>
      </c>
      <c r="AC468" s="170">
        <f>Delivery[[#This Row],[Quantity delivered]]*Delivery[[#This Row],[Base price (Unidad)]]/60</f>
        <v>69775.520749999996</v>
      </c>
      <c r="AD468" s="171">
        <f>Delivery[[#This Row],[Nespresso total]]-Delivery[[#This Row],[Qt. Delivery * Base Price]]</f>
        <v>1350.5607665466814</v>
      </c>
      <c r="AE468" s="171">
        <f>Delivery[[#This Row],[AAA Premium (total)]]/Delivery[[#This Row],[Quantity delivered]]*60/Delivery[[#This Row],[Exchange rate VS USD]]</f>
        <v>10.022764781730416</v>
      </c>
      <c r="AF468" s="171">
        <f>Delivery[[#This Row],[BEN premium (total)]]/Delivery[[#This Row],[Quantity delivered]]*60/Delivery[[#This Row],[Exchange rate for premiums VS USD]]</f>
        <v>2.6529520000000004</v>
      </c>
      <c r="AG468" s="171">
        <f>COUNTIF(Delivery[Delivery ID],Delivery[[#This Row],[Delivery ID]])</f>
        <v>1</v>
      </c>
      <c r="AH468" s="171">
        <f>(Delivery[[#This Row],[Nespresso total]]/SUMIF(Allocation!C:C,Delivery[Delivery ID],Allocation!H:H))/Delivery[[#This Row],[Exchange rate VS USD]]</f>
        <v>5.1117447434039587</v>
      </c>
      <c r="AI468" s="171">
        <f>(Delivery[[#This Row],[AAA Premium (total)]]/SUMIF(Allocation!C:C,Delivery[Delivery ID],Allocation!H:H))/Delivery[[#This Row],[Exchange rate VS USD]]</f>
        <v>0.4157235236760019</v>
      </c>
      <c r="AJ468" s="171">
        <f>Delivery[[#This Row],[Valor Prêmio Nespresso AAA por Kg (em US$)]]*60</f>
        <v>24.943411420560114</v>
      </c>
      <c r="AK468" s="171">
        <f>Delivery[[#This Row],[Valor Prêmio Nespresso AAA por saca (em US$)]]/1.3228/100</f>
        <v>0.18856525113819259</v>
      </c>
      <c r="AL468" s="171">
        <f>(Delivery[[#This Row],[BEN premium (total)]]/SUMIF(Allocation!C:C,Delivery[Delivery ID],Allocation!H:H))/Delivery[[#This Row],[Exchange rate for premiums VS USD]]</f>
        <v>0.11003895408117952</v>
      </c>
      <c r="AM468" s="171">
        <f>Delivery[[#This Row],[Valor Prêmio Nespresso BEN por Kg (em US$)]]*60</f>
        <v>6.6023372448707711</v>
      </c>
      <c r="AN468" s="171">
        <f>Delivery[[#This Row],[Valor Prêmio Nespresso BEN por saca (em US$)]]/1.3228/100</f>
        <v>4.9911832815775409E-2</v>
      </c>
      <c r="AO468" s="171">
        <f>SUMIF(Allocation[Delivery ID],Delivery[[#This Row],[Delivery ID]],Allocation[Quantity allocated])*16*1.3228*Delivery[[#This Row],[Exchange rate VS USD]]/60</f>
        <v>4908.2044248000002</v>
      </c>
      <c r="AP468" s="171">
        <f>Delivery[[#This Row],[AAA Premium (total)]]</f>
        <v>5784.48</v>
      </c>
      <c r="AQ468" s="171">
        <f>Delivery[[#This Row],[Valor pago pelo Cluster]]-Delivery[[#This Row],[Valor efetivamente pago pela Nespresso]]</f>
        <v>876.27557519999937</v>
      </c>
    </row>
    <row r="469" spans="1:43" ht="15.75">
      <c r="A469" s="174" t="s">
        <v>69</v>
      </c>
      <c r="B469" s="232" t="s">
        <v>68</v>
      </c>
      <c r="C469" s="157">
        <v>1</v>
      </c>
      <c r="D469" s="157" t="s">
        <v>468</v>
      </c>
      <c r="E469" s="177" t="s">
        <v>468</v>
      </c>
      <c r="F469" s="233" t="s">
        <v>543</v>
      </c>
      <c r="G469" s="234">
        <v>43409</v>
      </c>
      <c r="H469" s="157" t="s">
        <v>613</v>
      </c>
      <c r="I469" s="157" t="s">
        <v>545</v>
      </c>
      <c r="J469" s="237">
        <v>37790</v>
      </c>
      <c r="K469" s="175" t="s">
        <v>61</v>
      </c>
      <c r="L469" s="175" t="s">
        <v>439</v>
      </c>
      <c r="M469" s="175" t="s">
        <v>1343</v>
      </c>
      <c r="N469" s="180"/>
      <c r="O469" s="177"/>
      <c r="P469" s="185">
        <v>0</v>
      </c>
      <c r="Q469" s="177">
        <v>43396</v>
      </c>
      <c r="R469" s="178">
        <v>448.23675000000003</v>
      </c>
      <c r="S469" s="179">
        <v>287216.73598611337</v>
      </c>
      <c r="T469" s="182" t="s">
        <v>45</v>
      </c>
      <c r="U469" s="183">
        <v>3.7075</v>
      </c>
      <c r="V469" s="179">
        <v>23360.400000000001</v>
      </c>
      <c r="W469" s="179">
        <v>6194.9270069433342</v>
      </c>
      <c r="X469" s="186" t="s">
        <v>45</v>
      </c>
      <c r="Y469" s="183">
        <v>3.7075</v>
      </c>
      <c r="Z469" s="220" t="s">
        <v>473</v>
      </c>
      <c r="AA469" s="172">
        <f>Delivery[[#This Row],[Quantity delivered]]*VLOOKUP(Delivery[[#This Row],[Unit]],Tab_Conversão[],4,FALSE)*VLOOKUP(CONCATENATE(Delivery[[#This Row],[Coffee specie]],Delivery[[#This Row],[Coffee state]]),Tab_Conversão[],4,FALSE)</f>
        <v>37790</v>
      </c>
      <c r="AB469" s="169">
        <f>SUMIF(Allocation!C:C,Delivery[[#This Row],[Delivery ID]],Allocation!D:D)/Delivery[[#This Row],[Quantity delivered]]</f>
        <v>1</v>
      </c>
      <c r="AC469" s="170">
        <f>Delivery[[#This Row],[Quantity delivered]]*Delivery[[#This Row],[Base price (Unidad)]]/60</f>
        <v>282314.44637500006</v>
      </c>
      <c r="AD469" s="171">
        <f>Delivery[[#This Row],[Nespresso total]]-Delivery[[#This Row],[Qt. Delivery * Base Price]]</f>
        <v>4902.2896111133159</v>
      </c>
      <c r="AE469" s="171">
        <f>Delivery[[#This Row],[AAA Premium (total)]]/Delivery[[#This Row],[Quantity delivered]]*60/Delivery[[#This Row],[Exchange rate VS USD]]</f>
        <v>10.003995177237591</v>
      </c>
      <c r="AF469" s="171">
        <f>Delivery[[#This Row],[BEN premium (total)]]/Delivery[[#This Row],[Quantity delivered]]*60/Delivery[[#This Row],[Exchange rate for premiums VS USD]]</f>
        <v>2.6529520000000004</v>
      </c>
      <c r="AG469" s="171">
        <f>COUNTIF(Delivery[Delivery ID],Delivery[[#This Row],[Delivery ID]])</f>
        <v>1</v>
      </c>
      <c r="AH469" s="171">
        <f>(Delivery[[#This Row],[Nespresso total]]/SUMIF(Allocation!C:C,Delivery[Delivery ID],Allocation!H:H))/Delivery[[#This Row],[Exchange rate VS USD]]</f>
        <v>5.1111112275221462</v>
      </c>
      <c r="AI469" s="171">
        <f>(Delivery[[#This Row],[AAA Premium (total)]]/SUMIF(Allocation!C:C,Delivery[Delivery ID],Allocation!H:H))/Delivery[[#This Row],[Exchange rate VS USD]]</f>
        <v>0.41570559009897357</v>
      </c>
      <c r="AJ469" s="171">
        <f>Delivery[[#This Row],[Valor Prêmio Nespresso AAA por Kg (em US$)]]*60</f>
        <v>24.942335405938415</v>
      </c>
      <c r="AK469" s="171">
        <f>Delivery[[#This Row],[Valor Prêmio Nespresso AAA por saca (em US$)]]/1.3228/100</f>
        <v>0.18855711676699741</v>
      </c>
      <c r="AL469" s="171">
        <f>(Delivery[[#This Row],[BEN premium (total)]]/SUMIF(Allocation!C:C,Delivery[Delivery ID],Allocation!H:H))/Delivery[[#This Row],[Exchange rate for premiums VS USD]]</f>
        <v>0.1102406545710453</v>
      </c>
      <c r="AM469" s="171">
        <f>Delivery[[#This Row],[Valor Prêmio Nespresso BEN por Kg (em US$)]]*60</f>
        <v>6.6144392742627183</v>
      </c>
      <c r="AN469" s="171">
        <f>Delivery[[#This Row],[Valor Prêmio Nespresso BEN por saca (em US$)]]/1.3228/100</f>
        <v>5.0003320791221037E-2</v>
      </c>
      <c r="AO469" s="171">
        <f>SUMIF(Allocation[Delivery ID],Delivery[[#This Row],[Delivery ID]],Allocation[Quantity allocated])*16*1.3228*Delivery[[#This Row],[Exchange rate VS USD]]/60</f>
        <v>19822.449897866663</v>
      </c>
      <c r="AP469" s="171">
        <f>Delivery[[#This Row],[AAA Premium (total)]]</f>
        <v>23360.400000000001</v>
      </c>
      <c r="AQ469" s="171">
        <f>Delivery[[#This Row],[Valor pago pelo Cluster]]-Delivery[[#This Row],[Valor efetivamente pago pela Nespresso]]</f>
        <v>3537.9501021333381</v>
      </c>
    </row>
    <row r="470" spans="1:43" ht="15.75">
      <c r="A470" s="174" t="s">
        <v>69</v>
      </c>
      <c r="B470" s="232" t="s">
        <v>68</v>
      </c>
      <c r="C470" s="157">
        <v>1</v>
      </c>
      <c r="D470" s="157" t="s">
        <v>468</v>
      </c>
      <c r="E470" s="177" t="s">
        <v>468</v>
      </c>
      <c r="F470" s="233" t="s">
        <v>543</v>
      </c>
      <c r="G470" s="234">
        <v>43409</v>
      </c>
      <c r="H470" s="157" t="s">
        <v>614</v>
      </c>
      <c r="I470" s="157" t="s">
        <v>545</v>
      </c>
      <c r="J470" s="237">
        <v>34720</v>
      </c>
      <c r="K470" s="175" t="s">
        <v>61</v>
      </c>
      <c r="L470" s="175" t="s">
        <v>439</v>
      </c>
      <c r="M470" s="175" t="s">
        <v>1343</v>
      </c>
      <c r="N470" s="180"/>
      <c r="O470" s="177"/>
      <c r="P470" s="185">
        <v>0</v>
      </c>
      <c r="Q470" s="177">
        <v>43396</v>
      </c>
      <c r="R470" s="178">
        <v>448.23675000000003</v>
      </c>
      <c r="S470" s="179">
        <v>264444.95818570664</v>
      </c>
      <c r="T470" s="182" t="s">
        <v>45</v>
      </c>
      <c r="U470" s="183">
        <v>3.7075</v>
      </c>
      <c r="V470" s="179">
        <v>21454.066666666666</v>
      </c>
      <c r="W470" s="179">
        <v>5691.6609071466673</v>
      </c>
      <c r="X470" s="186" t="s">
        <v>45</v>
      </c>
      <c r="Y470" s="183">
        <v>3.7075</v>
      </c>
      <c r="Z470" s="220" t="s">
        <v>473</v>
      </c>
      <c r="AA470" s="172">
        <f>Delivery[[#This Row],[Quantity delivered]]*VLOOKUP(Delivery[[#This Row],[Unit]],Tab_Conversão[],4,FALSE)*VLOOKUP(CONCATENATE(Delivery[[#This Row],[Coffee specie]],Delivery[[#This Row],[Coffee state]]),Tab_Conversão[],4,FALSE)</f>
        <v>34720</v>
      </c>
      <c r="AB470" s="169">
        <f>SUMIF(Allocation!C:C,Delivery[[#This Row],[Delivery ID]],Allocation!D:D)/Delivery[[#This Row],[Quantity delivered]]</f>
        <v>1</v>
      </c>
      <c r="AC470" s="170">
        <f>Delivery[[#This Row],[Quantity delivered]]*Delivery[[#This Row],[Base price (Unidad)]]/60</f>
        <v>259379.66600000003</v>
      </c>
      <c r="AD470" s="171">
        <f>Delivery[[#This Row],[Nespresso total]]-Delivery[[#This Row],[Qt. Delivery * Base Price]]</f>
        <v>5065.2921857066103</v>
      </c>
      <c r="AE470" s="171">
        <f>Delivery[[#This Row],[AAA Premium (total)]]/Delivery[[#This Row],[Quantity delivered]]*60/Delivery[[#This Row],[Exchange rate VS USD]]</f>
        <v>10</v>
      </c>
      <c r="AF470" s="171">
        <f>Delivery[[#This Row],[BEN premium (total)]]/Delivery[[#This Row],[Quantity delivered]]*60/Delivery[[#This Row],[Exchange rate for premiums VS USD]]</f>
        <v>2.6529520000000004</v>
      </c>
      <c r="AG470" s="171">
        <f>COUNTIF(Delivery[Delivery ID],Delivery[[#This Row],[Delivery ID]])</f>
        <v>1</v>
      </c>
      <c r="AH470" s="171">
        <f>(Delivery[[#This Row],[Nespresso total]]/SUMIF(Allocation!C:C,Delivery[Delivery ID],Allocation!H:H))/Delivery[[#This Row],[Exchange rate VS USD]]</f>
        <v>5.1115829515495363</v>
      </c>
      <c r="AI470" s="171">
        <f>(Delivery[[#This Row],[AAA Premium (total)]]/SUMIF(Allocation!C:C,Delivery[Delivery ID],Allocation!H:H))/Delivery[[#This Row],[Exchange rate VS USD]]</f>
        <v>0.41469590559457264</v>
      </c>
      <c r="AJ470" s="171">
        <f>Delivery[[#This Row],[Valor Prêmio Nespresso AAA por Kg (em US$)]]*60</f>
        <v>24.881754335674358</v>
      </c>
      <c r="AK470" s="171">
        <f>Delivery[[#This Row],[Valor Prêmio Nespresso AAA por saca (em US$)]]/1.3228/100</f>
        <v>0.18809914072931933</v>
      </c>
      <c r="AL470" s="171">
        <f>(Delivery[[#This Row],[BEN premium (total)]]/SUMIF(Allocation!C:C,Delivery[Delivery ID],Allocation!H:H))/Delivery[[#This Row],[Exchange rate for premiums VS USD]]</f>
        <v>0.11001683321389329</v>
      </c>
      <c r="AM470" s="171">
        <f>Delivery[[#This Row],[Valor Prêmio Nespresso BEN por Kg (em US$)]]*60</f>
        <v>6.601009992833597</v>
      </c>
      <c r="AN470" s="171">
        <f>Delivery[[#This Row],[Valor Prêmio Nespresso BEN por saca (em US$)]]/1.3228/100</f>
        <v>4.9901799159612924E-2</v>
      </c>
      <c r="AO470" s="171">
        <f>SUMIF(Allocation[Delivery ID],Delivery[[#This Row],[Delivery ID]],Allocation[Quantity allocated])*16*1.3228*Delivery[[#This Row],[Exchange rate VS USD]]/60</f>
        <v>18249.15655306667</v>
      </c>
      <c r="AP470" s="171">
        <f>Delivery[[#This Row],[AAA Premium (total)]]</f>
        <v>21454.066666666666</v>
      </c>
      <c r="AQ470" s="171">
        <f>Delivery[[#This Row],[Valor pago pelo Cluster]]-Delivery[[#This Row],[Valor efetivamente pago pela Nespresso]]</f>
        <v>3204.9101135999954</v>
      </c>
    </row>
    <row r="471" spans="1:43" ht="15.75">
      <c r="A471" s="174" t="s">
        <v>69</v>
      </c>
      <c r="B471" s="232" t="s">
        <v>68</v>
      </c>
      <c r="C471" s="157">
        <v>1</v>
      </c>
      <c r="D471" s="157" t="s">
        <v>468</v>
      </c>
      <c r="E471" s="177" t="s">
        <v>468</v>
      </c>
      <c r="F471" s="233" t="s">
        <v>543</v>
      </c>
      <c r="G471" s="234">
        <v>43410</v>
      </c>
      <c r="H471" s="157" t="s">
        <v>615</v>
      </c>
      <c r="I471" s="157" t="s">
        <v>545</v>
      </c>
      <c r="J471" s="237">
        <v>37790</v>
      </c>
      <c r="K471" s="175" t="s">
        <v>61</v>
      </c>
      <c r="L471" s="175" t="s">
        <v>439</v>
      </c>
      <c r="M471" s="175" t="s">
        <v>1343</v>
      </c>
      <c r="N471" s="180"/>
      <c r="O471" s="177"/>
      <c r="P471" s="185">
        <v>0</v>
      </c>
      <c r="Q471" s="177">
        <v>43396</v>
      </c>
      <c r="R471" s="178">
        <v>448.23675000000003</v>
      </c>
      <c r="S471" s="179">
        <v>287692.29598611337</v>
      </c>
      <c r="T471" s="182" t="s">
        <v>45</v>
      </c>
      <c r="U471" s="183">
        <v>3.7075</v>
      </c>
      <c r="V471" s="179">
        <v>23397.48</v>
      </c>
      <c r="W471" s="179">
        <v>6194.9270069433342</v>
      </c>
      <c r="X471" s="186" t="s">
        <v>45</v>
      </c>
      <c r="Y471" s="183">
        <v>3.7075</v>
      </c>
      <c r="Z471" s="220" t="s">
        <v>473</v>
      </c>
      <c r="AA471" s="172">
        <f>Delivery[[#This Row],[Quantity delivered]]*VLOOKUP(Delivery[[#This Row],[Unit]],Tab_Conversão[],4,FALSE)*VLOOKUP(CONCATENATE(Delivery[[#This Row],[Coffee specie]],Delivery[[#This Row],[Coffee state]]),Tab_Conversão[],4,FALSE)</f>
        <v>37790</v>
      </c>
      <c r="AB471" s="169">
        <f>SUMIF(Allocation!C:C,Delivery[[#This Row],[Delivery ID]],Allocation!D:D)/Delivery[[#This Row],[Quantity delivered]]</f>
        <v>1</v>
      </c>
      <c r="AC471" s="170">
        <f>Delivery[[#This Row],[Quantity delivered]]*Delivery[[#This Row],[Base price (Unidad)]]/60</f>
        <v>282314.44637500006</v>
      </c>
      <c r="AD471" s="171">
        <f>Delivery[[#This Row],[Nespresso total]]-Delivery[[#This Row],[Qt. Delivery * Base Price]]</f>
        <v>5377.8496111133136</v>
      </c>
      <c r="AE471" s="171">
        <f>Delivery[[#This Row],[AAA Premium (total)]]/Delivery[[#This Row],[Quantity delivered]]*60/Delivery[[#This Row],[Exchange rate VS USD]]</f>
        <v>10.019874534661776</v>
      </c>
      <c r="AF471" s="171">
        <f>Delivery[[#This Row],[BEN premium (total)]]/Delivery[[#This Row],[Quantity delivered]]*60/Delivery[[#This Row],[Exchange rate for premiums VS USD]]</f>
        <v>2.6529520000000004</v>
      </c>
      <c r="AG471" s="171">
        <f>COUNTIF(Delivery[Delivery ID],Delivery[[#This Row],[Delivery ID]])</f>
        <v>1</v>
      </c>
      <c r="AH471" s="171">
        <f>(Delivery[[#This Row],[Nespresso total]]/SUMIF(Allocation!C:C,Delivery[Delivery ID],Allocation!H:H))/Delivery[[#This Row],[Exchange rate VS USD]]</f>
        <v>5.1094608941256698</v>
      </c>
      <c r="AI471" s="171">
        <f>(Delivery[[#This Row],[AAA Premium (total)]]/SUMIF(Allocation!C:C,Delivery[Delivery ID],Allocation!H:H))/Delivery[[#This Row],[Exchange rate VS USD]]</f>
        <v>0.41554296291221493</v>
      </c>
      <c r="AJ471" s="171">
        <f>Delivery[[#This Row],[Valor Prêmio Nespresso AAA por Kg (em US$)]]*60</f>
        <v>24.932577774732895</v>
      </c>
      <c r="AK471" s="171">
        <f>Delivery[[#This Row],[Valor Prêmio Nespresso AAA por saca (em US$)]]/1.3228/100</f>
        <v>0.18848335178963485</v>
      </c>
      <c r="AL471" s="171">
        <f>(Delivery[[#This Row],[BEN premium (total)]]/SUMIF(Allocation!C:C,Delivery[Delivery ID],Allocation!H:H))/Delivery[[#This Row],[Exchange rate for premiums VS USD]]</f>
        <v>0.11002288808410704</v>
      </c>
      <c r="AM471" s="171">
        <f>Delivery[[#This Row],[Valor Prêmio Nespresso BEN por Kg (em US$)]]*60</f>
        <v>6.6013732850464226</v>
      </c>
      <c r="AN471" s="171">
        <f>Delivery[[#This Row],[Valor Prêmio Nespresso BEN por saca (em US$)]]/1.3228/100</f>
        <v>4.9904545547674803E-2</v>
      </c>
      <c r="AO471" s="171">
        <f>SUMIF(Allocation[Delivery ID],Delivery[[#This Row],[Delivery ID]],Allocation[Quantity allocated])*16*1.3228*Delivery[[#This Row],[Exchange rate VS USD]]/60</f>
        <v>19861.684145866668</v>
      </c>
      <c r="AP471" s="171">
        <f>Delivery[[#This Row],[AAA Premium (total)]]</f>
        <v>23397.48</v>
      </c>
      <c r="AQ471" s="171">
        <f>Delivery[[#This Row],[Valor pago pelo Cluster]]-Delivery[[#This Row],[Valor efetivamente pago pela Nespresso]]</f>
        <v>3535.7958541333319</v>
      </c>
    </row>
    <row r="472" spans="1:43" ht="15.75">
      <c r="A472" s="174" t="s">
        <v>69</v>
      </c>
      <c r="B472" s="232" t="s">
        <v>68</v>
      </c>
      <c r="C472" s="157">
        <v>1</v>
      </c>
      <c r="D472" s="157" t="s">
        <v>468</v>
      </c>
      <c r="E472" s="177" t="s">
        <v>468</v>
      </c>
      <c r="F472" s="233" t="s">
        <v>543</v>
      </c>
      <c r="G472" s="234">
        <v>43409</v>
      </c>
      <c r="H472" s="157" t="s">
        <v>616</v>
      </c>
      <c r="I472" s="157" t="s">
        <v>545</v>
      </c>
      <c r="J472" s="237">
        <v>37850</v>
      </c>
      <c r="K472" s="175" t="s">
        <v>61</v>
      </c>
      <c r="L472" s="175" t="s">
        <v>439</v>
      </c>
      <c r="M472" s="175" t="s">
        <v>1343</v>
      </c>
      <c r="N472" s="180"/>
      <c r="O472" s="177"/>
      <c r="P472" s="185">
        <v>0</v>
      </c>
      <c r="Q472" s="177">
        <v>43396</v>
      </c>
      <c r="R472" s="178">
        <v>448.23675000000003</v>
      </c>
      <c r="S472" s="179">
        <v>287197.05434703332</v>
      </c>
      <c r="T472" s="182" t="s">
        <v>45</v>
      </c>
      <c r="U472" s="183">
        <v>3.7075</v>
      </c>
      <c r="V472" s="179">
        <v>23360.400000000001</v>
      </c>
      <c r="W472" s="179">
        <v>6204.7628264833338</v>
      </c>
      <c r="X472" s="186" t="s">
        <v>45</v>
      </c>
      <c r="Y472" s="183">
        <v>3.7075</v>
      </c>
      <c r="Z472" s="220" t="s">
        <v>473</v>
      </c>
      <c r="AA472" s="172">
        <f>Delivery[[#This Row],[Quantity delivered]]*VLOOKUP(Delivery[[#This Row],[Unit]],Tab_Conversão[],4,FALSE)*VLOOKUP(CONCATENATE(Delivery[[#This Row],[Coffee specie]],Delivery[[#This Row],[Coffee state]]),Tab_Conversão[],4,FALSE)</f>
        <v>37850</v>
      </c>
      <c r="AB472" s="169">
        <f>SUMIF(Allocation!C:C,Delivery[[#This Row],[Delivery ID]],Allocation!D:D)/Delivery[[#This Row],[Quantity delivered]]</f>
        <v>1</v>
      </c>
      <c r="AC472" s="170">
        <f>Delivery[[#This Row],[Quantity delivered]]*Delivery[[#This Row],[Base price (Unidad)]]/60</f>
        <v>282762.68312500004</v>
      </c>
      <c r="AD472" s="171">
        <f>Delivery[[#This Row],[Nespresso total]]-Delivery[[#This Row],[Qt. Delivery * Base Price]]</f>
        <v>4434.3712220332818</v>
      </c>
      <c r="AE472" s="171">
        <f>Delivery[[#This Row],[AAA Premium (total)]]/Delivery[[#This Row],[Quantity delivered]]*60/Delivery[[#This Row],[Exchange rate VS USD]]</f>
        <v>9.9881367965074901</v>
      </c>
      <c r="AF472" s="171">
        <f>Delivery[[#This Row],[BEN premium (total)]]/Delivery[[#This Row],[Quantity delivered]]*60/Delivery[[#This Row],[Exchange rate for premiums VS USD]]</f>
        <v>2.6529520000000004</v>
      </c>
      <c r="AG472" s="171">
        <f>COUNTIF(Delivery[Delivery ID],Delivery[[#This Row],[Delivery ID]])</f>
        <v>1</v>
      </c>
      <c r="AH472" s="171">
        <f>(Delivery[[#This Row],[Nespresso total]]/SUMIF(Allocation!C:C,Delivery[Delivery ID],Allocation!H:H))/Delivery[[#This Row],[Exchange rate VS USD]]</f>
        <v>5.1107609866278167</v>
      </c>
      <c r="AI472" s="171">
        <f>(Delivery[[#This Row],[AAA Premium (total)]]/SUMIF(Allocation!C:C,Delivery[Delivery ID],Allocation!H:H))/Delivery[[#This Row],[Exchange rate VS USD]]</f>
        <v>0.41570559009897357</v>
      </c>
      <c r="AJ472" s="171">
        <f>Delivery[[#This Row],[Valor Prêmio Nespresso AAA por Kg (em US$)]]*60</f>
        <v>24.942335405938415</v>
      </c>
      <c r="AK472" s="171">
        <f>Delivery[[#This Row],[Valor Prêmio Nespresso AAA por saca (em US$)]]/1.3228/100</f>
        <v>0.18855711676699741</v>
      </c>
      <c r="AL472" s="171">
        <f>(Delivery[[#This Row],[BEN premium (total)]]/SUMIF(Allocation!C:C,Delivery[Delivery ID],Allocation!H:H))/Delivery[[#This Row],[Exchange rate for premiums VS USD]]</f>
        <v>0.11041568604165293</v>
      </c>
      <c r="AM472" s="171">
        <f>Delivery[[#This Row],[Valor Prêmio Nespresso BEN por Kg (em US$)]]*60</f>
        <v>6.6249411624991756</v>
      </c>
      <c r="AN472" s="171">
        <f>Delivery[[#This Row],[Valor Prêmio Nespresso BEN por saca (em US$)]]/1.3228/100</f>
        <v>5.008271214468684E-2</v>
      </c>
      <c r="AO472" s="171">
        <f>SUMIF(Allocation[Delivery ID],Delivery[[#This Row],[Delivery ID]],Allocation[Quantity allocated])*16*1.3228*Delivery[[#This Row],[Exchange rate VS USD]]/60</f>
        <v>19822.449897866663</v>
      </c>
      <c r="AP472" s="171">
        <f>Delivery[[#This Row],[AAA Premium (total)]]</f>
        <v>23360.400000000001</v>
      </c>
      <c r="AQ472" s="171">
        <f>Delivery[[#This Row],[Valor pago pelo Cluster]]-Delivery[[#This Row],[Valor efetivamente pago pela Nespresso]]</f>
        <v>3537.9501021333381</v>
      </c>
    </row>
    <row r="473" spans="1:43" ht="15.75">
      <c r="A473" s="174" t="s">
        <v>69</v>
      </c>
      <c r="B473" s="232" t="s">
        <v>68</v>
      </c>
      <c r="C473" s="157">
        <v>1</v>
      </c>
      <c r="D473" s="157" t="s">
        <v>468</v>
      </c>
      <c r="E473" s="177" t="s">
        <v>468</v>
      </c>
      <c r="F473" s="233" t="s">
        <v>543</v>
      </c>
      <c r="G473" s="234">
        <v>43409</v>
      </c>
      <c r="H473" s="157" t="s">
        <v>617</v>
      </c>
      <c r="I473" s="157" t="s">
        <v>545</v>
      </c>
      <c r="J473" s="237">
        <v>34800</v>
      </c>
      <c r="K473" s="175" t="s">
        <v>61</v>
      </c>
      <c r="L473" s="175" t="s">
        <v>439</v>
      </c>
      <c r="M473" s="175" t="s">
        <v>1343</v>
      </c>
      <c r="N473" s="180"/>
      <c r="O473" s="177"/>
      <c r="P473" s="185">
        <v>0</v>
      </c>
      <c r="Q473" s="177">
        <v>43396</v>
      </c>
      <c r="R473" s="178">
        <v>448.23675000000003</v>
      </c>
      <c r="S473" s="179">
        <v>264418.72933360003</v>
      </c>
      <c r="T473" s="182" t="s">
        <v>45</v>
      </c>
      <c r="U473" s="183">
        <v>3.7075</v>
      </c>
      <c r="V473" s="179">
        <v>21503.5</v>
      </c>
      <c r="W473" s="179">
        <v>5704.7753332000002</v>
      </c>
      <c r="X473" s="186" t="s">
        <v>45</v>
      </c>
      <c r="Y473" s="183">
        <v>3.7075</v>
      </c>
      <c r="Z473" s="220" t="s">
        <v>473</v>
      </c>
      <c r="AA473" s="172">
        <f>Delivery[[#This Row],[Quantity delivered]]*VLOOKUP(Delivery[[#This Row],[Unit]],Tab_Conversão[],4,FALSE)*VLOOKUP(CONCATENATE(Delivery[[#This Row],[Coffee specie]],Delivery[[#This Row],[Coffee state]]),Tab_Conversão[],4,FALSE)</f>
        <v>34800</v>
      </c>
      <c r="AB473" s="169">
        <f>SUMIF(Allocation!C:C,Delivery[[#This Row],[Delivery ID]],Allocation!D:D)/Delivery[[#This Row],[Quantity delivered]]</f>
        <v>1</v>
      </c>
      <c r="AC473" s="170">
        <f>Delivery[[#This Row],[Quantity delivered]]*Delivery[[#This Row],[Base price (Unidad)]]/60</f>
        <v>259977.315</v>
      </c>
      <c r="AD473" s="171">
        <f>Delivery[[#This Row],[Nespresso total]]-Delivery[[#This Row],[Qt. Delivery * Base Price]]</f>
        <v>4441.414333600027</v>
      </c>
      <c r="AE473" s="171">
        <f>Delivery[[#This Row],[AAA Premium (total)]]/Delivery[[#This Row],[Quantity delivered]]*60/Delivery[[#This Row],[Exchange rate VS USD]]</f>
        <v>10</v>
      </c>
      <c r="AF473" s="171">
        <f>Delivery[[#This Row],[BEN premium (total)]]/Delivery[[#This Row],[Quantity delivered]]*60/Delivery[[#This Row],[Exchange rate for premiums VS USD]]</f>
        <v>2.6529520000000004</v>
      </c>
      <c r="AG473" s="171">
        <f>COUNTIF(Delivery[Delivery ID],Delivery[[#This Row],[Delivery ID]])</f>
        <v>1</v>
      </c>
      <c r="AH473" s="171">
        <f>(Delivery[[#This Row],[Nespresso total]]/SUMIF(Allocation!C:C,Delivery[Delivery ID],Allocation!H:H))/Delivery[[#This Row],[Exchange rate VS USD]]</f>
        <v>5.1110759615347261</v>
      </c>
      <c r="AI473" s="171">
        <f>(Delivery[[#This Row],[AAA Premium (total)]]/SUMIF(Allocation!C:C,Delivery[Delivery ID],Allocation!H:H))/Delivery[[#This Row],[Exchange rate VS USD]]</f>
        <v>0.41565142611437578</v>
      </c>
      <c r="AJ473" s="171">
        <f>Delivery[[#This Row],[Valor Prêmio Nespresso AAA por Kg (em US$)]]*60</f>
        <v>24.939085566862545</v>
      </c>
      <c r="AK473" s="171">
        <f>Delivery[[#This Row],[Valor Prêmio Nespresso AAA por saca (em US$)]]/1.3228/100</f>
        <v>0.18853254888768178</v>
      </c>
      <c r="AL473" s="171">
        <f>(Delivery[[#This Row],[BEN premium (total)]]/SUMIF(Allocation!C:C,Delivery[Delivery ID],Allocation!H:H))/Delivery[[#This Row],[Exchange rate for premiums VS USD]]</f>
        <v>0.11027032822129855</v>
      </c>
      <c r="AM473" s="171">
        <f>Delivery[[#This Row],[Valor Prêmio Nespresso BEN por Kg (em US$)]]*60</f>
        <v>6.6162196932779134</v>
      </c>
      <c r="AN473" s="171">
        <f>Delivery[[#This Row],[Valor Prêmio Nespresso BEN por saca (em US$)]]/1.3228/100</f>
        <v>5.0016780263667321E-2</v>
      </c>
      <c r="AO473" s="171">
        <f>SUMIF(Allocation[Delivery ID],Delivery[[#This Row],[Delivery ID]],Allocation[Quantity allocated])*16*1.3228*Delivery[[#This Row],[Exchange rate VS USD]]/60</f>
        <v>18249.15655306667</v>
      </c>
      <c r="AP473" s="171">
        <f>Delivery[[#This Row],[AAA Premium (total)]]</f>
        <v>21503.5</v>
      </c>
      <c r="AQ473" s="171">
        <f>Delivery[[#This Row],[Valor pago pelo Cluster]]-Delivery[[#This Row],[Valor efetivamente pago pela Nespresso]]</f>
        <v>3254.3434469333297</v>
      </c>
    </row>
    <row r="474" spans="1:43" ht="15.75">
      <c r="A474" s="174" t="s">
        <v>69</v>
      </c>
      <c r="B474" s="232" t="s">
        <v>68</v>
      </c>
      <c r="C474" s="157">
        <v>1</v>
      </c>
      <c r="D474" s="157" t="s">
        <v>468</v>
      </c>
      <c r="E474" s="177" t="s">
        <v>468</v>
      </c>
      <c r="F474" s="233" t="s">
        <v>543</v>
      </c>
      <c r="G474" s="234">
        <v>43409</v>
      </c>
      <c r="H474" s="157" t="s">
        <v>618</v>
      </c>
      <c r="I474" s="157" t="s">
        <v>545</v>
      </c>
      <c r="J474" s="237">
        <v>38080</v>
      </c>
      <c r="K474" s="175" t="s">
        <v>61</v>
      </c>
      <c r="L474" s="175" t="s">
        <v>439</v>
      </c>
      <c r="M474" s="175" t="s">
        <v>1343</v>
      </c>
      <c r="N474" s="180"/>
      <c r="O474" s="177"/>
      <c r="P474" s="185">
        <v>0</v>
      </c>
      <c r="Q474" s="177">
        <v>43396</v>
      </c>
      <c r="R474" s="178">
        <v>448.23675000000003</v>
      </c>
      <c r="S474" s="179">
        <v>289023.90639722667</v>
      </c>
      <c r="T474" s="182" t="s">
        <v>45</v>
      </c>
      <c r="U474" s="183">
        <v>3.7075</v>
      </c>
      <c r="V474" s="179">
        <v>23508.720000000001</v>
      </c>
      <c r="W474" s="179">
        <v>6242.4668013866676</v>
      </c>
      <c r="X474" s="186" t="s">
        <v>45</v>
      </c>
      <c r="Y474" s="183">
        <v>3.7075</v>
      </c>
      <c r="Z474" s="220" t="s">
        <v>473</v>
      </c>
      <c r="AA474" s="172">
        <f>Delivery[[#This Row],[Quantity delivered]]*VLOOKUP(Delivery[[#This Row],[Unit]],Tab_Conversão[],4,FALSE)*VLOOKUP(CONCATENATE(Delivery[[#This Row],[Coffee specie]],Delivery[[#This Row],[Coffee state]]),Tab_Conversão[],4,FALSE)</f>
        <v>38080</v>
      </c>
      <c r="AB474" s="169">
        <f>SUMIF(Allocation!C:C,Delivery[[#This Row],[Delivery ID]],Allocation!D:D)/Delivery[[#This Row],[Quantity delivered]]</f>
        <v>1</v>
      </c>
      <c r="AC474" s="170">
        <f>Delivery[[#This Row],[Quantity delivered]]*Delivery[[#This Row],[Base price (Unidad)]]/60</f>
        <v>284480.924</v>
      </c>
      <c r="AD474" s="171">
        <f>Delivery[[#This Row],[Nespresso total]]-Delivery[[#This Row],[Qt. Delivery * Base Price]]</f>
        <v>4542.9823972266749</v>
      </c>
      <c r="AE474" s="171">
        <f>Delivery[[#This Row],[AAA Premium (total)]]/Delivery[[#This Row],[Quantity delivered]]*60/Delivery[[#This Row],[Exchange rate VS USD]]</f>
        <v>9.9908429993710239</v>
      </c>
      <c r="AF474" s="171">
        <f>Delivery[[#This Row],[BEN premium (total)]]/Delivery[[#This Row],[Quantity delivered]]*60/Delivery[[#This Row],[Exchange rate for premiums VS USD]]</f>
        <v>2.6529520000000004</v>
      </c>
      <c r="AG474" s="171">
        <f>COUNTIF(Delivery[Delivery ID],Delivery[[#This Row],[Delivery ID]])</f>
        <v>1</v>
      </c>
      <c r="AH474" s="171">
        <f>(Delivery[[#This Row],[Nespresso total]]/SUMIF(Allocation!C:C,Delivery[Delivery ID],Allocation!H:H))/Delivery[[#This Row],[Exchange rate VS USD]]</f>
        <v>5.1108994469452131</v>
      </c>
      <c r="AI474" s="171">
        <f>(Delivery[[#This Row],[AAA Premium (total)]]/SUMIF(Allocation!C:C,Delivery[Delivery ID],Allocation!H:H))/Delivery[[#This Row],[Exchange rate VS USD]]</f>
        <v>0.41571199263101094</v>
      </c>
      <c r="AJ474" s="171">
        <f>Delivery[[#This Row],[Valor Prêmio Nespresso AAA por Kg (em US$)]]*60</f>
        <v>24.942719557860656</v>
      </c>
      <c r="AK474" s="171">
        <f>Delivery[[#This Row],[Valor Prêmio Nespresso AAA por saca (em US$)]]/1.3228/100</f>
        <v>0.1885600208486593</v>
      </c>
      <c r="AL474" s="171">
        <f>(Delivery[[#This Row],[BEN premium (total)]]/SUMIF(Allocation!C:C,Delivery[Delivery ID],Allocation!H:H))/Delivery[[#This Row],[Exchange rate for premiums VS USD]]</f>
        <v>0.11038747804803428</v>
      </c>
      <c r="AM474" s="171">
        <f>Delivery[[#This Row],[Valor Prêmio Nespresso BEN por Kg (em US$)]]*60</f>
        <v>6.6232486828820569</v>
      </c>
      <c r="AN474" s="171">
        <f>Delivery[[#This Row],[Valor Prêmio Nespresso BEN por saca (em US$)]]/1.3228/100</f>
        <v>5.0069917469625469E-2</v>
      </c>
      <c r="AO474" s="171">
        <f>SUMIF(Allocation[Delivery ID],Delivery[[#This Row],[Delivery ID]],Allocation[Quantity allocated])*16*1.3228*Delivery[[#This Row],[Exchange rate VS USD]]/60</f>
        <v>19947.999491466668</v>
      </c>
      <c r="AP474" s="171">
        <f>Delivery[[#This Row],[AAA Premium (total)]]</f>
        <v>23508.720000000001</v>
      </c>
      <c r="AQ474" s="171">
        <f>Delivery[[#This Row],[Valor pago pelo Cluster]]-Delivery[[#This Row],[Valor efetivamente pago pela Nespresso]]</f>
        <v>3560.7205085333335</v>
      </c>
    </row>
    <row r="475" spans="1:43" ht="15.75">
      <c r="A475" s="174" t="s">
        <v>69</v>
      </c>
      <c r="B475" s="232" t="s">
        <v>68</v>
      </c>
      <c r="C475" s="157">
        <v>1</v>
      </c>
      <c r="D475" s="157" t="s">
        <v>468</v>
      </c>
      <c r="E475" s="177" t="s">
        <v>468</v>
      </c>
      <c r="F475" s="233" t="s">
        <v>543</v>
      </c>
      <c r="G475" s="234">
        <v>43410</v>
      </c>
      <c r="H475" s="157" t="s">
        <v>619</v>
      </c>
      <c r="I475" s="157" t="s">
        <v>545</v>
      </c>
      <c r="J475" s="237">
        <v>37830</v>
      </c>
      <c r="K475" s="175" t="s">
        <v>61</v>
      </c>
      <c r="L475" s="175" t="s">
        <v>439</v>
      </c>
      <c r="M475" s="175" t="s">
        <v>1343</v>
      </c>
      <c r="N475" s="180"/>
      <c r="O475" s="177"/>
      <c r="P475" s="185">
        <v>0</v>
      </c>
      <c r="Q475" s="177">
        <v>43396</v>
      </c>
      <c r="R475" s="178">
        <v>448.23675000000003</v>
      </c>
      <c r="S475" s="179">
        <v>287679.18156006001</v>
      </c>
      <c r="T475" s="182" t="s">
        <v>45</v>
      </c>
      <c r="U475" s="183">
        <v>3.7075</v>
      </c>
      <c r="V475" s="179">
        <v>23397.48</v>
      </c>
      <c r="W475" s="179">
        <v>6201.4842199700006</v>
      </c>
      <c r="X475" s="186" t="s">
        <v>45</v>
      </c>
      <c r="Y475" s="183">
        <v>3.7075</v>
      </c>
      <c r="Z475" s="220" t="s">
        <v>473</v>
      </c>
      <c r="AA475" s="172">
        <f>Delivery[[#This Row],[Quantity delivered]]*VLOOKUP(Delivery[[#This Row],[Unit]],Tab_Conversão[],4,FALSE)*VLOOKUP(CONCATENATE(Delivery[[#This Row],[Coffee specie]],Delivery[[#This Row],[Coffee state]]),Tab_Conversão[],4,FALSE)</f>
        <v>37830</v>
      </c>
      <c r="AB475" s="169">
        <f>SUMIF(Allocation!C:C,Delivery[[#This Row],[Delivery ID]],Allocation!D:D)/Delivery[[#This Row],[Quantity delivered]]</f>
        <v>1</v>
      </c>
      <c r="AC475" s="170">
        <f>Delivery[[#This Row],[Quantity delivered]]*Delivery[[#This Row],[Base price (Unidad)]]/60</f>
        <v>282613.27087500005</v>
      </c>
      <c r="AD475" s="171">
        <f>Delivery[[#This Row],[Nespresso total]]-Delivery[[#This Row],[Qt. Delivery * Base Price]]</f>
        <v>5065.9106850599637</v>
      </c>
      <c r="AE475" s="171">
        <f>Delivery[[#This Row],[AAA Premium (total)]]/Delivery[[#This Row],[Quantity delivered]]*60/Delivery[[#This Row],[Exchange rate VS USD]]</f>
        <v>10.009279901265357</v>
      </c>
      <c r="AF475" s="171">
        <f>Delivery[[#This Row],[BEN premium (total)]]/Delivery[[#This Row],[Quantity delivered]]*60/Delivery[[#This Row],[Exchange rate for premiums VS USD]]</f>
        <v>2.6529520000000004</v>
      </c>
      <c r="AG475" s="171">
        <f>COUNTIF(Delivery[Delivery ID],Delivery[[#This Row],[Delivery ID]])</f>
        <v>1</v>
      </c>
      <c r="AH475" s="171">
        <f>(Delivery[[#This Row],[Nespresso total]]/SUMIF(Allocation!C:C,Delivery[Delivery ID],Allocation!H:H))/Delivery[[#This Row],[Exchange rate VS USD]]</f>
        <v>5.1173148670944544</v>
      </c>
      <c r="AI475" s="171">
        <f>(Delivery[[#This Row],[AAA Premium (total)]]/SUMIF(Allocation!C:C,Delivery[Delivery ID],Allocation!H:H))/Delivery[[#This Row],[Exchange rate VS USD]]</f>
        <v>0.41620068441257063</v>
      </c>
      <c r="AJ475" s="171">
        <f>Delivery[[#This Row],[Valor Prêmio Nespresso AAA por Kg (em US$)]]*60</f>
        <v>24.972041064754237</v>
      </c>
      <c r="AK475" s="171">
        <f>Delivery[[#This Row],[Valor Prêmio Nespresso AAA por saca (em US$)]]/1.3228/100</f>
        <v>0.18878168328359721</v>
      </c>
      <c r="AL475" s="171">
        <f>(Delivery[[#This Row],[BEN premium (total)]]/SUMIF(Allocation!C:C,Delivery[Delivery ID],Allocation!H:H))/Delivery[[#This Row],[Exchange rate for premiums VS USD]]</f>
        <v>0.11031367381125108</v>
      </c>
      <c r="AM475" s="171">
        <f>Delivery[[#This Row],[Valor Prêmio Nespresso BEN por Kg (em US$)]]*60</f>
        <v>6.6188204286750647</v>
      </c>
      <c r="AN475" s="171">
        <f>Delivery[[#This Row],[Valor Prêmio Nespresso BEN por saca (em US$)]]/1.3228/100</f>
        <v>5.0036441099751021E-2</v>
      </c>
      <c r="AO475" s="171">
        <f>SUMIF(Allocation[Delivery ID],Delivery[[#This Row],[Delivery ID]],Allocation[Quantity allocated])*16*1.3228*Delivery[[#This Row],[Exchange rate VS USD]]/60</f>
        <v>19830.296747466666</v>
      </c>
      <c r="AP475" s="171">
        <f>Delivery[[#This Row],[AAA Premium (total)]]</f>
        <v>23397.48</v>
      </c>
      <c r="AQ475" s="171">
        <f>Delivery[[#This Row],[Valor pago pelo Cluster]]-Delivery[[#This Row],[Valor efetivamente pago pela Nespresso]]</f>
        <v>3567.1832525333339</v>
      </c>
    </row>
    <row r="476" spans="1:43" ht="15.75">
      <c r="A476" s="174" t="s">
        <v>69</v>
      </c>
      <c r="B476" s="232" t="s">
        <v>68</v>
      </c>
      <c r="C476" s="157">
        <v>1</v>
      </c>
      <c r="D476" s="157" t="s">
        <v>468</v>
      </c>
      <c r="E476" s="177" t="s">
        <v>468</v>
      </c>
      <c r="F476" s="233" t="s">
        <v>543</v>
      </c>
      <c r="G476" s="234">
        <v>43410</v>
      </c>
      <c r="H476" s="157" t="s">
        <v>620</v>
      </c>
      <c r="I476" s="157" t="s">
        <v>545</v>
      </c>
      <c r="J476" s="237">
        <v>38360</v>
      </c>
      <c r="K476" s="175" t="s">
        <v>61</v>
      </c>
      <c r="L476" s="175" t="s">
        <v>439</v>
      </c>
      <c r="M476" s="175" t="s">
        <v>1343</v>
      </c>
      <c r="N476" s="180"/>
      <c r="O476" s="177"/>
      <c r="P476" s="185">
        <v>0</v>
      </c>
      <c r="Q476" s="177">
        <v>43396</v>
      </c>
      <c r="R476" s="178">
        <v>448.23675000000003</v>
      </c>
      <c r="S476" s="179">
        <v>291785.50541485334</v>
      </c>
      <c r="T476" s="182" t="s">
        <v>45</v>
      </c>
      <c r="U476" s="183">
        <v>3.7075</v>
      </c>
      <c r="V476" s="179">
        <v>23731.200000000001</v>
      </c>
      <c r="W476" s="179">
        <v>6288.3672925733335</v>
      </c>
      <c r="X476" s="186" t="s">
        <v>45</v>
      </c>
      <c r="Y476" s="183">
        <v>3.7075</v>
      </c>
      <c r="Z476" s="220" t="s">
        <v>473</v>
      </c>
      <c r="AA476" s="172">
        <f>Delivery[[#This Row],[Quantity delivered]]*VLOOKUP(Delivery[[#This Row],[Unit]],Tab_Conversão[],4,FALSE)*VLOOKUP(CONCATENATE(Delivery[[#This Row],[Coffee specie]],Delivery[[#This Row],[Coffee state]]),Tab_Conversão[],4,FALSE)</f>
        <v>38360</v>
      </c>
      <c r="AB476" s="169">
        <f>SUMIF(Allocation!C:C,Delivery[[#This Row],[Delivery ID]],Allocation!D:D)/Delivery[[#This Row],[Quantity delivered]]</f>
        <v>1</v>
      </c>
      <c r="AC476" s="170">
        <f>Delivery[[#This Row],[Quantity delivered]]*Delivery[[#This Row],[Base price (Unidad)]]/60</f>
        <v>286572.69550000003</v>
      </c>
      <c r="AD476" s="171">
        <f>Delivery[[#This Row],[Nespresso total]]-Delivery[[#This Row],[Qt. Delivery * Base Price]]</f>
        <v>5212.8099148533074</v>
      </c>
      <c r="AE476" s="171">
        <f>Delivery[[#This Row],[AAA Premium (total)]]/Delivery[[#This Row],[Quantity delivered]]*60/Delivery[[#This Row],[Exchange rate VS USD]]</f>
        <v>10.011777552617534</v>
      </c>
      <c r="AF476" s="171">
        <f>Delivery[[#This Row],[BEN premium (total)]]/Delivery[[#This Row],[Quantity delivered]]*60/Delivery[[#This Row],[Exchange rate for premiums VS USD]]</f>
        <v>2.6529520000000004</v>
      </c>
      <c r="AG476" s="171">
        <f>COUNTIF(Delivery[Delivery ID],Delivery[[#This Row],[Delivery ID]])</f>
        <v>1</v>
      </c>
      <c r="AH476" s="171">
        <f>(Delivery[[#This Row],[Nespresso total]]/SUMIF(Allocation!C:C,Delivery[Delivery ID],Allocation!H:H))/Delivery[[#This Row],[Exchange rate VS USD]]</f>
        <v>5.1114773987831139</v>
      </c>
      <c r="AI476" s="171">
        <f>(Delivery[[#This Row],[AAA Premium (total)]]/SUMIF(Allocation!C:C,Delivery[Delivery ID],Allocation!H:H))/Delivery[[#This Row],[Exchange rate VS USD]]</f>
        <v>0.4157214467303248</v>
      </c>
      <c r="AJ476" s="171">
        <f>Delivery[[#This Row],[Valor Prêmio Nespresso AAA por Kg (em US$)]]*60</f>
        <v>24.943286803819486</v>
      </c>
      <c r="AK476" s="171">
        <f>Delivery[[#This Row],[Valor Prêmio Nespresso AAA por saca (em US$)]]/1.3228/100</f>
        <v>0.18856430907030153</v>
      </c>
      <c r="AL476" s="171">
        <f>(Delivery[[#This Row],[BEN premium (total)]]/SUMIF(Allocation!C:C,Delivery[Delivery ID],Allocation!H:H))/Delivery[[#This Row],[Exchange rate for premiums VS USD]]</f>
        <v>0.11015916381979174</v>
      </c>
      <c r="AM476" s="171">
        <f>Delivery[[#This Row],[Valor Prêmio Nespresso BEN por Kg (em US$)]]*60</f>
        <v>6.6095498291875039</v>
      </c>
      <c r="AN476" s="171">
        <f>Delivery[[#This Row],[Valor Prêmio Nespresso BEN por saca (em US$)]]/1.3228/100</f>
        <v>4.9966357946685094E-2</v>
      </c>
      <c r="AO476" s="171">
        <f>SUMIF(Allocation[Delivery ID],Delivery[[#This Row],[Delivery ID]],Allocation[Quantity allocated])*16*1.3228*Delivery[[#This Row],[Exchange rate VS USD]]/60</f>
        <v>20136.323881866665</v>
      </c>
      <c r="AP476" s="171">
        <f>Delivery[[#This Row],[AAA Premium (total)]]</f>
        <v>23731.200000000001</v>
      </c>
      <c r="AQ476" s="171">
        <f>Delivery[[#This Row],[Valor pago pelo Cluster]]-Delivery[[#This Row],[Valor efetivamente pago pela Nespresso]]</f>
        <v>3594.8761181333357</v>
      </c>
    </row>
    <row r="477" spans="1:43" ht="15.75">
      <c r="A477" s="174" t="s">
        <v>69</v>
      </c>
      <c r="B477" s="232" t="s">
        <v>68</v>
      </c>
      <c r="C477" s="157">
        <v>1</v>
      </c>
      <c r="D477" s="157" t="s">
        <v>468</v>
      </c>
      <c r="E477" s="177" t="s">
        <v>468</v>
      </c>
      <c r="F477" s="233" t="s">
        <v>543</v>
      </c>
      <c r="G477" s="234">
        <v>43410</v>
      </c>
      <c r="H477" s="157" t="s">
        <v>621</v>
      </c>
      <c r="I477" s="157" t="s">
        <v>545</v>
      </c>
      <c r="J477" s="237">
        <v>34720</v>
      </c>
      <c r="K477" s="175" t="s">
        <v>61</v>
      </c>
      <c r="L477" s="175" t="s">
        <v>439</v>
      </c>
      <c r="M477" s="175" t="s">
        <v>1343</v>
      </c>
      <c r="N477" s="180"/>
      <c r="O477" s="177"/>
      <c r="P477" s="185">
        <v>0</v>
      </c>
      <c r="Q477" s="177">
        <v>43396</v>
      </c>
      <c r="R477" s="178">
        <v>448.23675000000003</v>
      </c>
      <c r="S477" s="179">
        <v>264444.95818570664</v>
      </c>
      <c r="T477" s="182" t="s">
        <v>45</v>
      </c>
      <c r="U477" s="183">
        <v>3.7075</v>
      </c>
      <c r="V477" s="179">
        <v>21506.400000000001</v>
      </c>
      <c r="W477" s="179">
        <v>5691.6609071466673</v>
      </c>
      <c r="X477" s="186" t="s">
        <v>45</v>
      </c>
      <c r="Y477" s="183">
        <v>3.7075</v>
      </c>
      <c r="Z477" s="220" t="s">
        <v>473</v>
      </c>
      <c r="AA477" s="172">
        <f>Delivery[[#This Row],[Quantity delivered]]*VLOOKUP(Delivery[[#This Row],[Unit]],Tab_Conversão[],4,FALSE)*VLOOKUP(CONCATENATE(Delivery[[#This Row],[Coffee specie]],Delivery[[#This Row],[Coffee state]]),Tab_Conversão[],4,FALSE)</f>
        <v>34720</v>
      </c>
      <c r="AB477" s="169">
        <f>SUMIF(Allocation!C:C,Delivery[[#This Row],[Delivery ID]],Allocation!D:D)/Delivery[[#This Row],[Quantity delivered]]</f>
        <v>1</v>
      </c>
      <c r="AC477" s="170">
        <f>Delivery[[#This Row],[Quantity delivered]]*Delivery[[#This Row],[Base price (Unidad)]]/60</f>
        <v>259379.66600000003</v>
      </c>
      <c r="AD477" s="171">
        <f>Delivery[[#This Row],[Nespresso total]]-Delivery[[#This Row],[Qt. Delivery * Base Price]]</f>
        <v>5065.2921857066103</v>
      </c>
      <c r="AE477" s="171">
        <f>Delivery[[#This Row],[AAA Premium (total)]]/Delivery[[#This Row],[Quantity delivered]]*60/Delivery[[#This Row],[Exchange rate VS USD]]</f>
        <v>10.024393199735249</v>
      </c>
      <c r="AF477" s="171">
        <f>Delivery[[#This Row],[BEN premium (total)]]/Delivery[[#This Row],[Quantity delivered]]*60/Delivery[[#This Row],[Exchange rate for premiums VS USD]]</f>
        <v>2.6529520000000004</v>
      </c>
      <c r="AG477" s="171">
        <f>COUNTIF(Delivery[Delivery ID],Delivery[[#This Row],[Delivery ID]])</f>
        <v>1</v>
      </c>
      <c r="AH477" s="171">
        <f>(Delivery[[#This Row],[Nespresso total]]/SUMIF(Allocation!C:C,Delivery[Delivery ID],Allocation!H:H))/Delivery[[#This Row],[Exchange rate VS USD]]</f>
        <v>5.1358747484102985</v>
      </c>
      <c r="AI477" s="171">
        <f>(Delivery[[#This Row],[AAA Premium (total)]]/SUMIF(Allocation!C:C,Delivery[Delivery ID],Allocation!H:H))/Delivery[[#This Row],[Exchange rate VS USD]]</f>
        <v>0.41768304998896871</v>
      </c>
      <c r="AJ477" s="171">
        <f>Delivery[[#This Row],[Valor Prêmio Nespresso AAA por Kg (em US$)]]*60</f>
        <v>25.060982999338123</v>
      </c>
      <c r="AK477" s="171">
        <f>Delivery[[#This Row],[Valor Prêmio Nespresso AAA por saca (em US$)]]/1.3228/100</f>
        <v>0.18945405956560421</v>
      </c>
      <c r="AL477" s="171">
        <f>(Delivery[[#This Row],[BEN premium (total)]]/SUMIF(Allocation!C:C,Delivery[Delivery ID],Allocation!H:H))/Delivery[[#This Row],[Exchange rate for premiums VS USD]]</f>
        <v>0.11053966666666667</v>
      </c>
      <c r="AM477" s="171">
        <f>Delivery[[#This Row],[Valor Prêmio Nespresso BEN por Kg (em US$)]]*60</f>
        <v>6.6323800000000004</v>
      </c>
      <c r="AN477" s="171">
        <f>Delivery[[#This Row],[Valor Prêmio Nespresso BEN por saca (em US$)]]/1.3228/100</f>
        <v>5.0138947686725131E-2</v>
      </c>
      <c r="AO477" s="171">
        <f>SUMIF(Allocation[Delivery ID],Delivery[[#This Row],[Delivery ID]],Allocation[Quantity allocated])*16*1.3228*Delivery[[#This Row],[Exchange rate VS USD]]/60</f>
        <v>18162.841207466667</v>
      </c>
      <c r="AP477" s="171">
        <f>Delivery[[#This Row],[AAA Premium (total)]]</f>
        <v>21506.400000000001</v>
      </c>
      <c r="AQ477" s="171">
        <f>Delivery[[#This Row],[Valor pago pelo Cluster]]-Delivery[[#This Row],[Valor efetivamente pago pela Nespresso]]</f>
        <v>3343.5587925333348</v>
      </c>
    </row>
    <row r="478" spans="1:43" ht="15.75">
      <c r="A478" s="174" t="s">
        <v>69</v>
      </c>
      <c r="B478" s="232" t="s">
        <v>68</v>
      </c>
      <c r="C478" s="157">
        <v>1</v>
      </c>
      <c r="D478" s="157" t="s">
        <v>468</v>
      </c>
      <c r="E478" s="177" t="s">
        <v>468</v>
      </c>
      <c r="F478" s="233" t="s">
        <v>543</v>
      </c>
      <c r="G478" s="234">
        <v>43410</v>
      </c>
      <c r="H478" s="157" t="s">
        <v>622</v>
      </c>
      <c r="I478" s="157" t="s">
        <v>545</v>
      </c>
      <c r="J478" s="237">
        <v>50980</v>
      </c>
      <c r="K478" s="175" t="s">
        <v>61</v>
      </c>
      <c r="L478" s="175" t="s">
        <v>439</v>
      </c>
      <c r="M478" s="175" t="s">
        <v>1343</v>
      </c>
      <c r="N478" s="180"/>
      <c r="O478" s="177"/>
      <c r="P478" s="185">
        <v>0</v>
      </c>
      <c r="Q478" s="177">
        <v>43396</v>
      </c>
      <c r="R478" s="178">
        <v>448.23675000000003</v>
      </c>
      <c r="S478" s="179">
        <v>387516.76399502659</v>
      </c>
      <c r="T478" s="182" t="s">
        <v>45</v>
      </c>
      <c r="U478" s="183">
        <v>3.7075</v>
      </c>
      <c r="V478" s="179">
        <v>31518</v>
      </c>
      <c r="W478" s="179">
        <v>8357.1680024866673</v>
      </c>
      <c r="X478" s="186" t="s">
        <v>45</v>
      </c>
      <c r="Y478" s="183">
        <v>3.7075</v>
      </c>
      <c r="Z478" s="220" t="s">
        <v>473</v>
      </c>
      <c r="AA478" s="172">
        <f>Delivery[[#This Row],[Quantity delivered]]*VLOOKUP(Delivery[[#This Row],[Unit]],Tab_Conversão[],4,FALSE)*VLOOKUP(CONCATENATE(Delivery[[#This Row],[Coffee specie]],Delivery[[#This Row],[Coffee state]]),Tab_Conversão[],4,FALSE)</f>
        <v>50980</v>
      </c>
      <c r="AB478" s="169">
        <f>SUMIF(Allocation!C:C,Delivery[[#This Row],[Delivery ID]],Allocation!D:D)/Delivery[[#This Row],[Quantity delivered]]</f>
        <v>1</v>
      </c>
      <c r="AC478" s="170">
        <f>Delivery[[#This Row],[Quantity delivered]]*Delivery[[#This Row],[Base price (Unidad)]]/60</f>
        <v>380851.82524999999</v>
      </c>
      <c r="AD478" s="171">
        <f>Delivery[[#This Row],[Nespresso total]]-Delivery[[#This Row],[Qt. Delivery * Base Price]]</f>
        <v>6664.9387450265931</v>
      </c>
      <c r="AE478" s="171">
        <f>Delivery[[#This Row],[AAA Premium (total)]]/Delivery[[#This Row],[Quantity delivered]]*60/Delivery[[#This Row],[Exchange rate VS USD]]</f>
        <v>10.005272253844868</v>
      </c>
      <c r="AF478" s="171">
        <f>Delivery[[#This Row],[BEN premium (total)]]/Delivery[[#This Row],[Quantity delivered]]*60/Delivery[[#This Row],[Exchange rate for premiums VS USD]]</f>
        <v>2.6529520000000004</v>
      </c>
      <c r="AG478" s="171">
        <f>COUNTIF(Delivery[Delivery ID],Delivery[[#This Row],[Delivery ID]])</f>
        <v>1</v>
      </c>
      <c r="AH478" s="171">
        <f>(Delivery[[#This Row],[Nespresso total]]/SUMIF(Allocation!C:C,Delivery[Delivery ID],Allocation!H:H))/Delivery[[#This Row],[Exchange rate VS USD]]</f>
        <v>5.1256566706580244</v>
      </c>
      <c r="AI478" s="171">
        <f>(Delivery[[#This Row],[AAA Premium (total)]]/SUMIF(Allocation!C:C,Delivery[Delivery ID],Allocation!H:H))/Delivery[[#This Row],[Exchange rate VS USD]]</f>
        <v>0.41688634391020291</v>
      </c>
      <c r="AJ478" s="171">
        <f>Delivery[[#This Row],[Valor Prêmio Nespresso AAA por Kg (em US$)]]*60</f>
        <v>25.013180634612173</v>
      </c>
      <c r="AK478" s="171">
        <f>Delivery[[#This Row],[Valor Prêmio Nespresso AAA por saca (em US$)]]/1.3228/100</f>
        <v>0.18909268698678691</v>
      </c>
      <c r="AL478" s="171">
        <f>(Delivery[[#This Row],[BEN premium (total)]]/SUMIF(Allocation!C:C,Delivery[Delivery ID],Allocation!H:H))/Delivery[[#This Row],[Exchange rate for premiums VS USD]]</f>
        <v>0.11053966666666667</v>
      </c>
      <c r="AM478" s="171">
        <f>Delivery[[#This Row],[Valor Prêmio Nespresso BEN por Kg (em US$)]]*60</f>
        <v>6.6323800000000004</v>
      </c>
      <c r="AN478" s="171">
        <f>Delivery[[#This Row],[Valor Prêmio Nespresso BEN por saca (em US$)]]/1.3228/100</f>
        <v>5.0138947686725131E-2</v>
      </c>
      <c r="AO478" s="171">
        <f>SUMIF(Allocation[Delivery ID],Delivery[[#This Row],[Delivery ID]],Allocation[Quantity allocated])*16*1.3228*Delivery[[#This Row],[Exchange rate VS USD]]/60</f>
        <v>26668.82617386667</v>
      </c>
      <c r="AP478" s="171">
        <f>Delivery[[#This Row],[AAA Premium (total)]]</f>
        <v>31518</v>
      </c>
      <c r="AQ478" s="171">
        <f>Delivery[[#This Row],[Valor pago pelo Cluster]]-Delivery[[#This Row],[Valor efetivamente pago pela Nespresso]]</f>
        <v>4849.1738261333303</v>
      </c>
    </row>
    <row r="479" spans="1:43" ht="15.75">
      <c r="A479" s="174" t="s">
        <v>69</v>
      </c>
      <c r="B479" s="232" t="s">
        <v>68</v>
      </c>
      <c r="C479" s="157">
        <v>1</v>
      </c>
      <c r="D479" s="157" t="s">
        <v>468</v>
      </c>
      <c r="E479" s="177" t="s">
        <v>468</v>
      </c>
      <c r="F479" s="233" t="s">
        <v>543</v>
      </c>
      <c r="G479" s="234">
        <v>43410</v>
      </c>
      <c r="H479" s="157" t="s">
        <v>623</v>
      </c>
      <c r="I479" s="157" t="s">
        <v>545</v>
      </c>
      <c r="J479" s="237">
        <v>51000</v>
      </c>
      <c r="K479" s="175" t="s">
        <v>61</v>
      </c>
      <c r="L479" s="175" t="s">
        <v>439</v>
      </c>
      <c r="M479" s="175" t="s">
        <v>1343</v>
      </c>
      <c r="N479" s="180"/>
      <c r="O479" s="177"/>
      <c r="P479" s="185">
        <v>0</v>
      </c>
      <c r="Q479" s="177">
        <v>43396</v>
      </c>
      <c r="R479" s="178">
        <v>448.23675000000003</v>
      </c>
      <c r="S479" s="179">
        <v>387510.20678200002</v>
      </c>
      <c r="T479" s="182" t="s">
        <v>45</v>
      </c>
      <c r="U479" s="183">
        <v>3.7075</v>
      </c>
      <c r="V479" s="179">
        <v>31518</v>
      </c>
      <c r="W479" s="179">
        <v>8360.4466090000005</v>
      </c>
      <c r="X479" s="186" t="s">
        <v>45</v>
      </c>
      <c r="Y479" s="183">
        <v>3.7075</v>
      </c>
      <c r="Z479" s="220" t="s">
        <v>473</v>
      </c>
      <c r="AA479" s="172">
        <f>Delivery[[#This Row],[Quantity delivered]]*VLOOKUP(Delivery[[#This Row],[Unit]],Tab_Conversão[],4,FALSE)*VLOOKUP(CONCATENATE(Delivery[[#This Row],[Coffee specie]],Delivery[[#This Row],[Coffee state]]),Tab_Conversão[],4,FALSE)</f>
        <v>51000</v>
      </c>
      <c r="AB479" s="169">
        <f>SUMIF(Allocation!C:C,Delivery[[#This Row],[Delivery ID]],Allocation!D:D)/Delivery[[#This Row],[Quantity delivered]]</f>
        <v>1</v>
      </c>
      <c r="AC479" s="170">
        <f>Delivery[[#This Row],[Quantity delivered]]*Delivery[[#This Row],[Base price (Unidad)]]/60</f>
        <v>381001.23749999999</v>
      </c>
      <c r="AD479" s="171">
        <f>Delivery[[#This Row],[Nespresso total]]-Delivery[[#This Row],[Qt. Delivery * Base Price]]</f>
        <v>6508.9692820000346</v>
      </c>
      <c r="AE479" s="171">
        <f>Delivery[[#This Row],[AAA Premium (total)]]/Delivery[[#This Row],[Quantity delivered]]*60/Delivery[[#This Row],[Exchange rate VS USD]]</f>
        <v>10.00134861766689</v>
      </c>
      <c r="AF479" s="171">
        <f>Delivery[[#This Row],[BEN premium (total)]]/Delivery[[#This Row],[Quantity delivered]]*60/Delivery[[#This Row],[Exchange rate for premiums VS USD]]</f>
        <v>2.6529520000000004</v>
      </c>
      <c r="AG479" s="171">
        <f>COUNTIF(Delivery[Delivery ID],Delivery[[#This Row],[Delivery ID]])</f>
        <v>1</v>
      </c>
      <c r="AH479" s="171">
        <f>(Delivery[[#This Row],[Nespresso total]]/SUMIF(Allocation!C:C,Delivery[Delivery ID],Allocation!H:H))/Delivery[[#This Row],[Exchange rate VS USD]]</f>
        <v>5.1095337403887262</v>
      </c>
      <c r="AI479" s="171">
        <f>(Delivery[[#This Row],[AAA Premium (total)]]/SUMIF(Allocation!C:C,Delivery[Delivery ID],Allocation!H:H))/Delivery[[#This Row],[Exchange rate VS USD]]</f>
        <v>0.415582045610914</v>
      </c>
      <c r="AJ479" s="171">
        <f>Delivery[[#This Row],[Valor Prêmio Nespresso AAA por Kg (em US$)]]*60</f>
        <v>24.93492273665484</v>
      </c>
      <c r="AK479" s="171">
        <f>Delivery[[#This Row],[Valor Prêmio Nespresso AAA por saca (em US$)]]/1.3228/100</f>
        <v>0.18850107904940161</v>
      </c>
      <c r="AL479" s="171">
        <f>(Delivery[[#This Row],[BEN premium (total)]]/SUMIF(Allocation!C:C,Delivery[Delivery ID],Allocation!H:H))/Delivery[[#This Row],[Exchange rate for premiums VS USD]]</f>
        <v>0.11023705514274541</v>
      </c>
      <c r="AM479" s="171">
        <f>Delivery[[#This Row],[Valor Prêmio Nespresso BEN por Kg (em US$)]]*60</f>
        <v>6.6142233085647248</v>
      </c>
      <c r="AN479" s="171">
        <f>Delivery[[#This Row],[Valor Prêmio Nespresso BEN por saca (em US$)]]/1.3228/100</f>
        <v>5.0001688150625376E-2</v>
      </c>
      <c r="AO479" s="171">
        <f>SUMIF(Allocation[Delivery ID],Delivery[[#This Row],[Delivery ID]],Allocation[Quantity allocated])*16*1.3228*Delivery[[#This Row],[Exchange rate VS USD]]/60</f>
        <v>26752.525902933332</v>
      </c>
      <c r="AP479" s="171">
        <f>Delivery[[#This Row],[AAA Premium (total)]]</f>
        <v>31518</v>
      </c>
      <c r="AQ479" s="171">
        <f>Delivery[[#This Row],[Valor pago pelo Cluster]]-Delivery[[#This Row],[Valor efetivamente pago pela Nespresso]]</f>
        <v>4765.474097066668</v>
      </c>
    </row>
    <row r="480" spans="1:43" ht="15.75">
      <c r="A480" s="174" t="s">
        <v>69</v>
      </c>
      <c r="B480" s="232" t="s">
        <v>68</v>
      </c>
      <c r="C480" s="157">
        <v>1</v>
      </c>
      <c r="D480" s="157" t="s">
        <v>468</v>
      </c>
      <c r="E480" s="177" t="s">
        <v>468</v>
      </c>
      <c r="F480" s="233" t="s">
        <v>543</v>
      </c>
      <c r="G480" s="234">
        <v>43410</v>
      </c>
      <c r="H480" s="157" t="s">
        <v>624</v>
      </c>
      <c r="I480" s="157" t="s">
        <v>545</v>
      </c>
      <c r="J480" s="237">
        <v>37920</v>
      </c>
      <c r="K480" s="175" t="s">
        <v>61</v>
      </c>
      <c r="L480" s="175" t="s">
        <v>439</v>
      </c>
      <c r="M480" s="175" t="s">
        <v>1343</v>
      </c>
      <c r="N480" s="180"/>
      <c r="O480" s="177"/>
      <c r="P480" s="185">
        <v>0</v>
      </c>
      <c r="Q480" s="177">
        <v>43396</v>
      </c>
      <c r="R480" s="178">
        <v>448.23675000000003</v>
      </c>
      <c r="S480" s="179">
        <v>288125.23410144</v>
      </c>
      <c r="T480" s="182" t="s">
        <v>45</v>
      </c>
      <c r="U480" s="183">
        <v>3.7075</v>
      </c>
      <c r="V480" s="179">
        <v>23434.560000000001</v>
      </c>
      <c r="W480" s="179">
        <v>6216.237949280001</v>
      </c>
      <c r="X480" s="186" t="s">
        <v>45</v>
      </c>
      <c r="Y480" s="183">
        <v>3.7075</v>
      </c>
      <c r="Z480" s="220" t="s">
        <v>473</v>
      </c>
      <c r="AA480" s="172">
        <f>Delivery[[#This Row],[Quantity delivered]]*VLOOKUP(Delivery[[#This Row],[Unit]],Tab_Conversão[],4,FALSE)*VLOOKUP(CONCATENATE(Delivery[[#This Row],[Coffee specie]],Delivery[[#This Row],[Coffee state]]),Tab_Conversão[],4,FALSE)</f>
        <v>37920</v>
      </c>
      <c r="AB480" s="169">
        <f>SUMIF(Allocation!C:C,Delivery[[#This Row],[Delivery ID]],Allocation!D:D)/Delivery[[#This Row],[Quantity delivered]]</f>
        <v>1</v>
      </c>
      <c r="AC480" s="170">
        <f>Delivery[[#This Row],[Quantity delivered]]*Delivery[[#This Row],[Base price (Unidad)]]/60</f>
        <v>283285.62600000005</v>
      </c>
      <c r="AD480" s="171">
        <f>Delivery[[#This Row],[Nespresso total]]-Delivery[[#This Row],[Qt. Delivery * Base Price]]</f>
        <v>4839.6081014399533</v>
      </c>
      <c r="AE480" s="171">
        <f>Delivery[[#This Row],[AAA Premium (total)]]/Delivery[[#This Row],[Quantity delivered]]*60/Delivery[[#This Row],[Exchange rate VS USD]]</f>
        <v>10.00134861766689</v>
      </c>
      <c r="AF480" s="171">
        <f>Delivery[[#This Row],[BEN premium (total)]]/Delivery[[#This Row],[Quantity delivered]]*60/Delivery[[#This Row],[Exchange rate for premiums VS USD]]</f>
        <v>2.6529520000000004</v>
      </c>
      <c r="AG480" s="171">
        <f>COUNTIF(Delivery[Delivery ID],Delivery[[#This Row],[Delivery ID]])</f>
        <v>1</v>
      </c>
      <c r="AH480" s="171">
        <f>(Delivery[[#This Row],[Nespresso total]]/SUMIF(Allocation!C:C,Delivery[Delivery ID],Allocation!H:H))/Delivery[[#This Row],[Exchange rate VS USD]]</f>
        <v>5.105384062362802</v>
      </c>
      <c r="AI480" s="171">
        <f>(Delivery[[#This Row],[AAA Premium (total)]]/SUMIF(Allocation!C:C,Delivery[Delivery ID],Allocation!H:H))/Delivery[[#This Row],[Exchange rate VS USD]]</f>
        <v>0.41524453595884087</v>
      </c>
      <c r="AJ480" s="171">
        <f>Delivery[[#This Row],[Valor Prêmio Nespresso AAA por Kg (em US$)]]*60</f>
        <v>24.91467215753045</v>
      </c>
      <c r="AK480" s="171">
        <f>Delivery[[#This Row],[Valor Prêmio Nespresso AAA por saca (em US$)]]/1.3228/100</f>
        <v>0.188347990304887</v>
      </c>
      <c r="AL480" s="171">
        <f>(Delivery[[#This Row],[BEN premium (total)]]/SUMIF(Allocation!C:C,Delivery[Delivery ID],Allocation!H:H))/Delivery[[#This Row],[Exchange rate for premiums VS USD]]</f>
        <v>0.11014752752594931</v>
      </c>
      <c r="AM480" s="171">
        <f>Delivery[[#This Row],[Valor Prêmio Nespresso BEN por Kg (em US$)]]*60</f>
        <v>6.6088516515569582</v>
      </c>
      <c r="AN480" s="171">
        <f>Delivery[[#This Row],[Valor Prêmio Nespresso BEN por saca (em US$)]]/1.3228/100</f>
        <v>4.9961079918029616E-2</v>
      </c>
      <c r="AO480" s="171">
        <f>SUMIF(Allocation[Delivery ID],Delivery[[#This Row],[Delivery ID]],Allocation[Quantity allocated])*16*1.3228*Delivery[[#This Row],[Exchange rate VS USD]]/60</f>
        <v>19907.457435199998</v>
      </c>
      <c r="AP480" s="171">
        <f>Delivery[[#This Row],[AAA Premium (total)]]</f>
        <v>23434.560000000001</v>
      </c>
      <c r="AQ480" s="171">
        <f>Delivery[[#This Row],[Valor pago pelo Cluster]]-Delivery[[#This Row],[Valor efetivamente pago pela Nespresso]]</f>
        <v>3527.1025648000032</v>
      </c>
    </row>
    <row r="481" spans="1:43" ht="15.75">
      <c r="A481" s="174" t="s">
        <v>69</v>
      </c>
      <c r="B481" s="232" t="s">
        <v>68</v>
      </c>
      <c r="C481" s="157">
        <v>1</v>
      </c>
      <c r="D481" s="157" t="s">
        <v>468</v>
      </c>
      <c r="E481" s="177" t="s">
        <v>468</v>
      </c>
      <c r="F481" s="233" t="s">
        <v>543</v>
      </c>
      <c r="G481" s="234">
        <v>43410</v>
      </c>
      <c r="H481" s="157" t="s">
        <v>625</v>
      </c>
      <c r="I481" s="157" t="s">
        <v>545</v>
      </c>
      <c r="J481" s="237">
        <v>51010</v>
      </c>
      <c r="K481" s="175" t="s">
        <v>61</v>
      </c>
      <c r="L481" s="175" t="s">
        <v>439</v>
      </c>
      <c r="M481" s="175" t="s">
        <v>1343</v>
      </c>
      <c r="N481" s="180"/>
      <c r="O481" s="177"/>
      <c r="P481" s="185">
        <v>0</v>
      </c>
      <c r="Q481" s="177">
        <v>43396</v>
      </c>
      <c r="R481" s="178">
        <v>448.23675000000003</v>
      </c>
      <c r="S481" s="179">
        <v>387506.92817548662</v>
      </c>
      <c r="T481" s="182" t="s">
        <v>45</v>
      </c>
      <c r="U481" s="183">
        <v>3.7075</v>
      </c>
      <c r="V481" s="179">
        <v>31518</v>
      </c>
      <c r="W481" s="179">
        <v>8362.0859122566671</v>
      </c>
      <c r="X481" s="186" t="s">
        <v>45</v>
      </c>
      <c r="Y481" s="183">
        <v>3.7075</v>
      </c>
      <c r="Z481" s="220" t="s">
        <v>473</v>
      </c>
      <c r="AA481" s="172">
        <f>Delivery[[#This Row],[Quantity delivered]]*VLOOKUP(Delivery[[#This Row],[Unit]],Tab_Conversão[],4,FALSE)*VLOOKUP(CONCATENATE(Delivery[[#This Row],[Coffee specie]],Delivery[[#This Row],[Coffee state]]),Tab_Conversão[],4,FALSE)</f>
        <v>51010</v>
      </c>
      <c r="AB481" s="169">
        <f>SUMIF(Allocation!C:C,Delivery[[#This Row],[Delivery ID]],Allocation!D:D)/Delivery[[#This Row],[Quantity delivered]]</f>
        <v>1</v>
      </c>
      <c r="AC481" s="170">
        <f>Delivery[[#This Row],[Quantity delivered]]*Delivery[[#This Row],[Base price (Unidad)]]/60</f>
        <v>381075.94362500001</v>
      </c>
      <c r="AD481" s="171">
        <f>Delivery[[#This Row],[Nespresso total]]-Delivery[[#This Row],[Qt. Delivery * Base Price]]</f>
        <v>6430.9845504866098</v>
      </c>
      <c r="AE481" s="171">
        <f>Delivery[[#This Row],[AAA Premium (total)]]/Delivery[[#This Row],[Quantity delivered]]*60/Delivery[[#This Row],[Exchange rate VS USD]]</f>
        <v>9.9993879533623105</v>
      </c>
      <c r="AF481" s="171">
        <f>Delivery[[#This Row],[BEN premium (total)]]/Delivery[[#This Row],[Quantity delivered]]*60/Delivery[[#This Row],[Exchange rate for premiums VS USD]]</f>
        <v>2.6529520000000004</v>
      </c>
      <c r="AG481" s="171">
        <f>COUNTIF(Delivery[Delivery ID],Delivery[[#This Row],[Delivery ID]])</f>
        <v>1</v>
      </c>
      <c r="AH481" s="171">
        <f>(Delivery[[#This Row],[Nespresso total]]/SUMIF(Allocation!C:C,Delivery[Delivery ID],Allocation!H:H))/Delivery[[#This Row],[Exchange rate VS USD]]</f>
        <v>5.111489528367489</v>
      </c>
      <c r="AI481" s="171">
        <f>(Delivery[[#This Row],[AAA Premium (total)]]/SUMIF(Allocation!C:C,Delivery[Delivery ID],Allocation!H:H))/Delivery[[#This Row],[Exchange rate VS USD]]</f>
        <v>0.41574463639558185</v>
      </c>
      <c r="AJ481" s="171">
        <f>Delivery[[#This Row],[Valor Prêmio Nespresso AAA por Kg (em US$)]]*60</f>
        <v>24.944678183734911</v>
      </c>
      <c r="AK481" s="171">
        <f>Delivery[[#This Row],[Valor Prêmio Nespresso AAA por saca (em US$)]]/1.3228/100</f>
        <v>0.18857482751538338</v>
      </c>
      <c r="AL481" s="171">
        <f>(Delivery[[#This Row],[BEN premium (total)]]/SUMIF(Allocation!C:C,Delivery[Delivery ID],Allocation!H:H))/Delivery[[#This Row],[Exchange rate for premiums VS USD]]</f>
        <v>0.11030180744653105</v>
      </c>
      <c r="AM481" s="171">
        <f>Delivery[[#This Row],[Valor Prêmio Nespresso BEN por Kg (em US$)]]*60</f>
        <v>6.6181084467918634</v>
      </c>
      <c r="AN481" s="171">
        <f>Delivery[[#This Row],[Valor Prêmio Nespresso BEN por saca (em US$)]]/1.3228/100</f>
        <v>5.0031058714785789E-2</v>
      </c>
      <c r="AO481" s="171">
        <f>SUMIF(Allocation[Delivery ID],Delivery[[#This Row],[Delivery ID]],Allocation[Quantity allocated])*16*1.3228*Delivery[[#This Row],[Exchange rate VS USD]]/60</f>
        <v>26742.063436799996</v>
      </c>
      <c r="AP481" s="171">
        <f>Delivery[[#This Row],[AAA Premium (total)]]</f>
        <v>31518</v>
      </c>
      <c r="AQ481" s="171">
        <f>Delivery[[#This Row],[Valor pago pelo Cluster]]-Delivery[[#This Row],[Valor efetivamente pago pela Nespresso]]</f>
        <v>4775.9365632000045</v>
      </c>
    </row>
    <row r="482" spans="1:43" ht="15.75">
      <c r="A482" s="174" t="s">
        <v>69</v>
      </c>
      <c r="B482" s="232" t="s">
        <v>68</v>
      </c>
      <c r="C482" s="157">
        <v>1</v>
      </c>
      <c r="D482" s="157" t="s">
        <v>468</v>
      </c>
      <c r="E482" s="177" t="s">
        <v>468</v>
      </c>
      <c r="F482" s="233" t="s">
        <v>543</v>
      </c>
      <c r="G482" s="234">
        <v>43412</v>
      </c>
      <c r="H482" s="157" t="s">
        <v>626</v>
      </c>
      <c r="I482" s="157" t="s">
        <v>545</v>
      </c>
      <c r="J482" s="237">
        <v>33020</v>
      </c>
      <c r="K482" s="175" t="s">
        <v>61</v>
      </c>
      <c r="L482" s="175" t="s">
        <v>439</v>
      </c>
      <c r="M482" s="175" t="s">
        <v>1343</v>
      </c>
      <c r="N482" s="180"/>
      <c r="O482" s="177"/>
      <c r="P482" s="185">
        <v>0</v>
      </c>
      <c r="Q482" s="177">
        <v>43396</v>
      </c>
      <c r="R482" s="178">
        <v>448.23675000000003</v>
      </c>
      <c r="S482" s="179">
        <v>250735.34129297332</v>
      </c>
      <c r="T482" s="182" t="s">
        <v>45</v>
      </c>
      <c r="U482" s="183">
        <v>3.7075</v>
      </c>
      <c r="V482" s="179">
        <v>20394</v>
      </c>
      <c r="W482" s="179">
        <v>5412.979353513334</v>
      </c>
      <c r="X482" s="186" t="s">
        <v>45</v>
      </c>
      <c r="Y482" s="183">
        <v>3.7075</v>
      </c>
      <c r="Z482" s="220" t="s">
        <v>473</v>
      </c>
      <c r="AA482" s="172">
        <f>Delivery[[#This Row],[Quantity delivered]]*VLOOKUP(Delivery[[#This Row],[Unit]],Tab_Conversão[],4,FALSE)*VLOOKUP(CONCATENATE(Delivery[[#This Row],[Coffee specie]],Delivery[[#This Row],[Coffee state]]),Tab_Conversão[],4,FALSE)</f>
        <v>33020</v>
      </c>
      <c r="AB482" s="169">
        <f>SUMIF(Allocation!C:C,Delivery[[#This Row],[Delivery ID]],Allocation!D:D)/Delivery[[#This Row],[Quantity delivered]]</f>
        <v>1</v>
      </c>
      <c r="AC482" s="170">
        <f>Delivery[[#This Row],[Quantity delivered]]*Delivery[[#This Row],[Base price (Unidad)]]/60</f>
        <v>246679.62475000002</v>
      </c>
      <c r="AD482" s="171">
        <f>Delivery[[#This Row],[Nespresso total]]-Delivery[[#This Row],[Qt. Delivery * Base Price]]</f>
        <v>4055.7165429732995</v>
      </c>
      <c r="AE482" s="171">
        <f>Delivery[[#This Row],[AAA Premium (total)]]/Delivery[[#This Row],[Quantity delivered]]*60/Delivery[[#This Row],[Exchange rate VS USD]]</f>
        <v>9.9952908656271191</v>
      </c>
      <c r="AF482" s="171">
        <f>Delivery[[#This Row],[BEN premium (total)]]/Delivery[[#This Row],[Quantity delivered]]*60/Delivery[[#This Row],[Exchange rate for premiums VS USD]]</f>
        <v>2.6529520000000004</v>
      </c>
      <c r="AG482" s="171">
        <f>COUNTIF(Delivery[Delivery ID],Delivery[[#This Row],[Delivery ID]])</f>
        <v>1</v>
      </c>
      <c r="AH482" s="171">
        <f>(Delivery[[#This Row],[Nespresso total]]/SUMIF(Allocation!C:C,Delivery[Delivery ID],Allocation!H:H))/Delivery[[#This Row],[Exchange rate VS USD]]</f>
        <v>5.1203226980883958</v>
      </c>
      <c r="AI482" s="171">
        <f>(Delivery[[#This Row],[AAA Premium (total)]]/SUMIF(Allocation!C:C,Delivery[Delivery ID],Allocation!H:H))/Delivery[[#This Row],[Exchange rate VS USD]]</f>
        <v>0.4164704527344632</v>
      </c>
      <c r="AJ482" s="171">
        <f>Delivery[[#This Row],[Valor Prêmio Nespresso AAA por Kg (em US$)]]*60</f>
        <v>24.988227164067791</v>
      </c>
      <c r="AK482" s="171">
        <f>Delivery[[#This Row],[Valor Prêmio Nespresso AAA por saca (em US$)]]/1.3228/100</f>
        <v>0.18890404569147104</v>
      </c>
      <c r="AL482" s="171">
        <f>(Delivery[[#This Row],[BEN premium (total)]]/SUMIF(Allocation!C:C,Delivery[Delivery ID],Allocation!H:H))/Delivery[[#This Row],[Exchange rate for premiums VS USD]]</f>
        <v>0.11053966666666667</v>
      </c>
      <c r="AM482" s="171">
        <f>Delivery[[#This Row],[Valor Prêmio Nespresso BEN por Kg (em US$)]]*60</f>
        <v>6.6323800000000004</v>
      </c>
      <c r="AN482" s="171">
        <f>Delivery[[#This Row],[Valor Prêmio Nespresso BEN por saca (em US$)]]/1.3228/100</f>
        <v>5.0138947686725131E-2</v>
      </c>
      <c r="AO482" s="171">
        <f>SUMIF(Allocation[Delivery ID],Delivery[[#This Row],[Delivery ID]],Allocation[Quantity allocated])*16*1.3228*Delivery[[#This Row],[Exchange rate VS USD]]/60</f>
        <v>17273.531586133333</v>
      </c>
      <c r="AP482" s="171">
        <f>Delivery[[#This Row],[AAA Premium (total)]]</f>
        <v>20394</v>
      </c>
      <c r="AQ482" s="171">
        <f>Delivery[[#This Row],[Valor pago pelo Cluster]]-Delivery[[#This Row],[Valor efetivamente pago pela Nespresso]]</f>
        <v>3120.4684138666671</v>
      </c>
    </row>
    <row r="483" spans="1:43" ht="15.75">
      <c r="A483" s="174" t="s">
        <v>69</v>
      </c>
      <c r="B483" s="232" t="s">
        <v>68</v>
      </c>
      <c r="C483" s="157">
        <v>1</v>
      </c>
      <c r="D483" s="157" t="s">
        <v>468</v>
      </c>
      <c r="E483" s="177" t="s">
        <v>468</v>
      </c>
      <c r="F483" s="233" t="s">
        <v>543</v>
      </c>
      <c r="G483" s="234">
        <v>43412</v>
      </c>
      <c r="H483" s="157" t="s">
        <v>627</v>
      </c>
      <c r="I483" s="157" t="s">
        <v>545</v>
      </c>
      <c r="J483" s="237">
        <v>33000</v>
      </c>
      <c r="K483" s="175" t="s">
        <v>61</v>
      </c>
      <c r="L483" s="175" t="s">
        <v>439</v>
      </c>
      <c r="M483" s="175" t="s">
        <v>1343</v>
      </c>
      <c r="N483" s="180"/>
      <c r="O483" s="177"/>
      <c r="P483" s="185">
        <v>0</v>
      </c>
      <c r="Q483" s="177">
        <v>43396</v>
      </c>
      <c r="R483" s="178">
        <v>448.23675000000003</v>
      </c>
      <c r="S483" s="179">
        <v>250741.898506</v>
      </c>
      <c r="T483" s="182" t="s">
        <v>45</v>
      </c>
      <c r="U483" s="183">
        <v>3.7075</v>
      </c>
      <c r="V483" s="179">
        <v>20394</v>
      </c>
      <c r="W483" s="179">
        <v>5409.7007470000008</v>
      </c>
      <c r="X483" s="186" t="s">
        <v>45</v>
      </c>
      <c r="Y483" s="183">
        <v>3.7075</v>
      </c>
      <c r="Z483" s="220" t="s">
        <v>473</v>
      </c>
      <c r="AA483" s="172">
        <f>Delivery[[#This Row],[Quantity delivered]]*VLOOKUP(Delivery[[#This Row],[Unit]],Tab_Conversão[],4,FALSE)*VLOOKUP(CONCATENATE(Delivery[[#This Row],[Coffee specie]],Delivery[[#This Row],[Coffee state]]),Tab_Conversão[],4,FALSE)</f>
        <v>33000</v>
      </c>
      <c r="AB483" s="169">
        <f>SUMIF(Allocation!C:C,Delivery[[#This Row],[Delivery ID]],Allocation!D:D)/Delivery[[#This Row],[Quantity delivered]]</f>
        <v>1</v>
      </c>
      <c r="AC483" s="170">
        <f>Delivery[[#This Row],[Quantity delivered]]*Delivery[[#This Row],[Base price (Unidad)]]/60</f>
        <v>246530.21250000002</v>
      </c>
      <c r="AD483" s="171">
        <f>Delivery[[#This Row],[Nespresso total]]-Delivery[[#This Row],[Qt. Delivery * Base Price]]</f>
        <v>4211.6860059999744</v>
      </c>
      <c r="AE483" s="171">
        <f>Delivery[[#This Row],[AAA Premium (total)]]/Delivery[[#This Row],[Quantity delivered]]*60/Delivery[[#This Row],[Exchange rate VS USD]]</f>
        <v>10.00134861766689</v>
      </c>
      <c r="AF483" s="171">
        <f>Delivery[[#This Row],[BEN premium (total)]]/Delivery[[#This Row],[Quantity delivered]]*60/Delivery[[#This Row],[Exchange rate for premiums VS USD]]</f>
        <v>2.6529520000000004</v>
      </c>
      <c r="AG483" s="171">
        <f>COUNTIF(Delivery[Delivery ID],Delivery[[#This Row],[Delivery ID]])</f>
        <v>1</v>
      </c>
      <c r="AH483" s="171">
        <f>(Delivery[[#This Row],[Nespresso total]]/SUMIF(Allocation!C:C,Delivery[Delivery ID],Allocation!H:H))/Delivery[[#This Row],[Exchange rate VS USD]]</f>
        <v>5.1235599114407728</v>
      </c>
      <c r="AI483" s="171">
        <f>(Delivery[[#This Row],[AAA Premium (total)]]/SUMIF(Allocation!C:C,Delivery[Delivery ID],Allocation!H:H))/Delivery[[#This Row],[Exchange rate VS USD]]</f>
        <v>0.41672285906945378</v>
      </c>
      <c r="AJ483" s="171">
        <f>Delivery[[#This Row],[Valor Prêmio Nespresso AAA por Kg (em US$)]]*60</f>
        <v>25.003371544167226</v>
      </c>
      <c r="AK483" s="171">
        <f>Delivery[[#This Row],[Valor Prêmio Nespresso AAA por saca (em US$)]]/1.3228/100</f>
        <v>0.18901853299189014</v>
      </c>
      <c r="AL483" s="171">
        <f>(Delivery[[#This Row],[BEN premium (total)]]/SUMIF(Allocation!C:C,Delivery[Delivery ID],Allocation!H:H))/Delivery[[#This Row],[Exchange rate for premiums VS USD]]</f>
        <v>0.11053966666666669</v>
      </c>
      <c r="AM483" s="171">
        <f>Delivery[[#This Row],[Valor Prêmio Nespresso BEN por Kg (em US$)]]*60</f>
        <v>6.6323800000000013</v>
      </c>
      <c r="AN483" s="171">
        <f>Delivery[[#This Row],[Valor Prêmio Nespresso BEN por saca (em US$)]]/1.3228/100</f>
        <v>5.0138947686725138E-2</v>
      </c>
      <c r="AO483" s="171">
        <f>SUMIF(Allocation[Delivery ID],Delivery[[#This Row],[Delivery ID]],Allocation[Quantity allocated])*16*1.3228*Delivery[[#This Row],[Exchange rate VS USD]]/60</f>
        <v>17263.06912</v>
      </c>
      <c r="AP483" s="171">
        <f>Delivery[[#This Row],[AAA Premium (total)]]</f>
        <v>20394</v>
      </c>
      <c r="AQ483" s="171">
        <f>Delivery[[#This Row],[Valor pago pelo Cluster]]-Delivery[[#This Row],[Valor efetivamente pago pela Nespresso]]</f>
        <v>3130.9308799999999</v>
      </c>
    </row>
    <row r="484" spans="1:43" ht="15.75">
      <c r="A484" s="174" t="s">
        <v>69</v>
      </c>
      <c r="B484" s="232" t="s">
        <v>68</v>
      </c>
      <c r="C484" s="157">
        <v>1</v>
      </c>
      <c r="D484" s="157" t="s">
        <v>468</v>
      </c>
      <c r="E484" s="177" t="s">
        <v>468</v>
      </c>
      <c r="F484" s="233" t="s">
        <v>543</v>
      </c>
      <c r="G484" s="234">
        <v>43412</v>
      </c>
      <c r="H484" s="157" t="s">
        <v>628</v>
      </c>
      <c r="I484" s="157" t="s">
        <v>545</v>
      </c>
      <c r="J484" s="237">
        <v>33020</v>
      </c>
      <c r="K484" s="175" t="s">
        <v>61</v>
      </c>
      <c r="L484" s="175" t="s">
        <v>439</v>
      </c>
      <c r="M484" s="175" t="s">
        <v>1343</v>
      </c>
      <c r="N484" s="180"/>
      <c r="O484" s="177"/>
      <c r="P484" s="185">
        <v>0</v>
      </c>
      <c r="Q484" s="177">
        <v>43396</v>
      </c>
      <c r="R484" s="178">
        <v>448.23675000000003</v>
      </c>
      <c r="S484" s="179">
        <v>250735.34129297332</v>
      </c>
      <c r="T484" s="182" t="s">
        <v>45</v>
      </c>
      <c r="U484" s="183">
        <v>3.7075</v>
      </c>
      <c r="V484" s="179">
        <v>20394</v>
      </c>
      <c r="W484" s="179">
        <v>5412.979353513334</v>
      </c>
      <c r="X484" s="186" t="s">
        <v>45</v>
      </c>
      <c r="Y484" s="183">
        <v>3.7075</v>
      </c>
      <c r="Z484" s="220" t="s">
        <v>473</v>
      </c>
      <c r="AA484" s="172">
        <f>Delivery[[#This Row],[Quantity delivered]]*VLOOKUP(Delivery[[#This Row],[Unit]],Tab_Conversão[],4,FALSE)*VLOOKUP(CONCATENATE(Delivery[[#This Row],[Coffee specie]],Delivery[[#This Row],[Coffee state]]),Tab_Conversão[],4,FALSE)</f>
        <v>33020</v>
      </c>
      <c r="AB484" s="169">
        <f>SUMIF(Allocation!C:C,Delivery[[#This Row],[Delivery ID]],Allocation!D:D)/Delivery[[#This Row],[Quantity delivered]]</f>
        <v>1</v>
      </c>
      <c r="AC484" s="170">
        <f>Delivery[[#This Row],[Quantity delivered]]*Delivery[[#This Row],[Base price (Unidad)]]/60</f>
        <v>246679.62475000002</v>
      </c>
      <c r="AD484" s="171">
        <f>Delivery[[#This Row],[Nespresso total]]-Delivery[[#This Row],[Qt. Delivery * Base Price]]</f>
        <v>4055.7165429732995</v>
      </c>
      <c r="AE484" s="171">
        <f>Delivery[[#This Row],[AAA Premium (total)]]/Delivery[[#This Row],[Quantity delivered]]*60/Delivery[[#This Row],[Exchange rate VS USD]]</f>
        <v>9.9952908656271191</v>
      </c>
      <c r="AF484" s="171">
        <f>Delivery[[#This Row],[BEN premium (total)]]/Delivery[[#This Row],[Quantity delivered]]*60/Delivery[[#This Row],[Exchange rate for premiums VS USD]]</f>
        <v>2.6529520000000004</v>
      </c>
      <c r="AG484" s="171">
        <f>COUNTIF(Delivery[Delivery ID],Delivery[[#This Row],[Delivery ID]])</f>
        <v>1</v>
      </c>
      <c r="AH484" s="171">
        <f>(Delivery[[#This Row],[Nespresso total]]/SUMIF(Allocation!C:C,Delivery[Delivery ID],Allocation!H:H))/Delivery[[#This Row],[Exchange rate VS USD]]</f>
        <v>5.1203226980883958</v>
      </c>
      <c r="AI484" s="171">
        <f>(Delivery[[#This Row],[AAA Premium (total)]]/SUMIF(Allocation!C:C,Delivery[Delivery ID],Allocation!H:H))/Delivery[[#This Row],[Exchange rate VS USD]]</f>
        <v>0.4164704527344632</v>
      </c>
      <c r="AJ484" s="171">
        <f>Delivery[[#This Row],[Valor Prêmio Nespresso AAA por Kg (em US$)]]*60</f>
        <v>24.988227164067791</v>
      </c>
      <c r="AK484" s="171">
        <f>Delivery[[#This Row],[Valor Prêmio Nespresso AAA por saca (em US$)]]/1.3228/100</f>
        <v>0.18890404569147104</v>
      </c>
      <c r="AL484" s="171">
        <f>(Delivery[[#This Row],[BEN premium (total)]]/SUMIF(Allocation!C:C,Delivery[Delivery ID],Allocation!H:H))/Delivery[[#This Row],[Exchange rate for premiums VS USD]]</f>
        <v>0.11053966666666667</v>
      </c>
      <c r="AM484" s="171">
        <f>Delivery[[#This Row],[Valor Prêmio Nespresso BEN por Kg (em US$)]]*60</f>
        <v>6.6323800000000004</v>
      </c>
      <c r="AN484" s="171">
        <f>Delivery[[#This Row],[Valor Prêmio Nespresso BEN por saca (em US$)]]/1.3228/100</f>
        <v>5.0138947686725131E-2</v>
      </c>
      <c r="AO484" s="171">
        <f>SUMIF(Allocation[Delivery ID],Delivery[[#This Row],[Delivery ID]],Allocation[Quantity allocated])*16*1.3228*Delivery[[#This Row],[Exchange rate VS USD]]/60</f>
        <v>17273.531586133333</v>
      </c>
      <c r="AP484" s="171">
        <f>Delivery[[#This Row],[AAA Premium (total)]]</f>
        <v>20394</v>
      </c>
      <c r="AQ484" s="171">
        <f>Delivery[[#This Row],[Valor pago pelo Cluster]]-Delivery[[#This Row],[Valor efetivamente pago pela Nespresso]]</f>
        <v>3120.4684138666671</v>
      </c>
    </row>
    <row r="485" spans="1:43" ht="15.75">
      <c r="A485" s="174" t="s">
        <v>69</v>
      </c>
      <c r="B485" s="232" t="s">
        <v>68</v>
      </c>
      <c r="C485" s="157">
        <v>1</v>
      </c>
      <c r="D485" s="157" t="s">
        <v>468</v>
      </c>
      <c r="E485" s="177" t="s">
        <v>468</v>
      </c>
      <c r="F485" s="233" t="s">
        <v>543</v>
      </c>
      <c r="G485" s="234">
        <v>43412</v>
      </c>
      <c r="H485" s="157" t="s">
        <v>629</v>
      </c>
      <c r="I485" s="157" t="s">
        <v>545</v>
      </c>
      <c r="J485" s="237">
        <v>37180</v>
      </c>
      <c r="K485" s="175" t="s">
        <v>61</v>
      </c>
      <c r="L485" s="175" t="s">
        <v>439</v>
      </c>
      <c r="M485" s="175" t="s">
        <v>1343</v>
      </c>
      <c r="N485" s="180"/>
      <c r="O485" s="177"/>
      <c r="P485" s="185">
        <v>0</v>
      </c>
      <c r="Q485" s="177">
        <v>43396</v>
      </c>
      <c r="R485" s="178">
        <v>448.23675000000003</v>
      </c>
      <c r="S485" s="179">
        <v>282661.06098342669</v>
      </c>
      <c r="T485" s="182" t="s">
        <v>45</v>
      </c>
      <c r="U485" s="183">
        <v>3.7075</v>
      </c>
      <c r="V485" s="179">
        <v>22989.599999999999</v>
      </c>
      <c r="W485" s="179">
        <v>6094.9295082866674</v>
      </c>
      <c r="X485" s="186" t="s">
        <v>45</v>
      </c>
      <c r="Y485" s="183">
        <v>3.7075</v>
      </c>
      <c r="Z485" s="220" t="s">
        <v>473</v>
      </c>
      <c r="AA485" s="172">
        <f>Delivery[[#This Row],[Quantity delivered]]*VLOOKUP(Delivery[[#This Row],[Unit]],Tab_Conversão[],4,FALSE)*VLOOKUP(CONCATENATE(Delivery[[#This Row],[Coffee specie]],Delivery[[#This Row],[Coffee state]]),Tab_Conversão[],4,FALSE)</f>
        <v>37180</v>
      </c>
      <c r="AB485" s="169">
        <f>SUMIF(Allocation!C:C,Delivery[[#This Row],[Delivery ID]],Allocation!D:D)/Delivery[[#This Row],[Quantity delivered]]</f>
        <v>1</v>
      </c>
      <c r="AC485" s="170">
        <f>Delivery[[#This Row],[Quantity delivered]]*Delivery[[#This Row],[Base price (Unidad)]]/60</f>
        <v>277757.37274999998</v>
      </c>
      <c r="AD485" s="171">
        <f>Delivery[[#This Row],[Nespresso total]]-Delivery[[#This Row],[Qt. Delivery * Base Price]]</f>
        <v>4903.6882334267139</v>
      </c>
      <c r="AE485" s="171">
        <f>Delivery[[#This Row],[AAA Premium (total)]]/Delivery[[#This Row],[Quantity delivered]]*60/Delivery[[#This Row],[Exchange rate VS USD]]</f>
        <v>10.006728579268648</v>
      </c>
      <c r="AF485" s="171">
        <f>Delivery[[#This Row],[BEN premium (total)]]/Delivery[[#This Row],[Quantity delivered]]*60/Delivery[[#This Row],[Exchange rate for premiums VS USD]]</f>
        <v>2.6529520000000004</v>
      </c>
      <c r="AG485" s="171">
        <f>COUNTIF(Delivery[Delivery ID],Delivery[[#This Row],[Delivery ID]])</f>
        <v>1</v>
      </c>
      <c r="AH485" s="171">
        <f>(Delivery[[#This Row],[Nespresso total]]/SUMIF(Allocation!C:C,Delivery[Delivery ID],Allocation!H:H))/Delivery[[#This Row],[Exchange rate VS USD]]</f>
        <v>5.1075460653115412</v>
      </c>
      <c r="AI485" s="171">
        <f>(Delivery[[#This Row],[AAA Premium (total)]]/SUMIF(Allocation!C:C,Delivery[Delivery ID],Allocation!H:H))/Delivery[[#This Row],[Exchange rate VS USD]]</f>
        <v>0.4154107418070257</v>
      </c>
      <c r="AJ485" s="171">
        <f>Delivery[[#This Row],[Valor Prêmio Nespresso AAA por Kg (em US$)]]*60</f>
        <v>24.92464450842154</v>
      </c>
      <c r="AK485" s="171">
        <f>Delivery[[#This Row],[Valor Prêmio Nespresso AAA por saca (em US$)]]/1.3228/100</f>
        <v>0.1884233785033379</v>
      </c>
      <c r="AL485" s="171">
        <f>(Delivery[[#This Row],[BEN premium (total)]]/SUMIF(Allocation!C:C,Delivery[Delivery ID],Allocation!H:H))/Delivery[[#This Row],[Exchange rate for premiums VS USD]]</f>
        <v>0.11013237239007617</v>
      </c>
      <c r="AM485" s="171">
        <f>Delivery[[#This Row],[Valor Prêmio Nespresso BEN por Kg (em US$)]]*60</f>
        <v>6.6079423434045701</v>
      </c>
      <c r="AN485" s="171">
        <f>Delivery[[#This Row],[Valor Prêmio Nespresso BEN por saca (em US$)]]/1.3228/100</f>
        <v>4.9954205801365059E-2</v>
      </c>
      <c r="AO485" s="171">
        <f>SUMIF(Allocation[Delivery ID],Delivery[[#This Row],[Delivery ID]],Allocation[Quantity allocated])*16*1.3228*Delivery[[#This Row],[Exchange rate VS USD]]/60</f>
        <v>19521.653996533332</v>
      </c>
      <c r="AP485" s="171">
        <f>Delivery[[#This Row],[AAA Premium (total)]]</f>
        <v>22989.599999999999</v>
      </c>
      <c r="AQ485" s="171">
        <f>Delivery[[#This Row],[Valor pago pelo Cluster]]-Delivery[[#This Row],[Valor efetivamente pago pela Nespresso]]</f>
        <v>3467.9460034666663</v>
      </c>
    </row>
    <row r="486" spans="1:43" ht="15.75">
      <c r="A486" s="174" t="s">
        <v>69</v>
      </c>
      <c r="B486" s="232" t="s">
        <v>68</v>
      </c>
      <c r="C486" s="157">
        <v>1</v>
      </c>
      <c r="D486" s="157" t="s">
        <v>468</v>
      </c>
      <c r="E486" s="177" t="s">
        <v>468</v>
      </c>
      <c r="F486" s="233" t="s">
        <v>543</v>
      </c>
      <c r="G486" s="234">
        <v>43412</v>
      </c>
      <c r="H486" s="157" t="s">
        <v>630</v>
      </c>
      <c r="I486" s="157" t="s">
        <v>545</v>
      </c>
      <c r="J486" s="237">
        <v>37170</v>
      </c>
      <c r="K486" s="175" t="s">
        <v>61</v>
      </c>
      <c r="L486" s="175" t="s">
        <v>439</v>
      </c>
      <c r="M486" s="175" t="s">
        <v>1343</v>
      </c>
      <c r="N486" s="180"/>
      <c r="O486" s="177"/>
      <c r="P486" s="185">
        <v>0</v>
      </c>
      <c r="Q486" s="177">
        <v>43396</v>
      </c>
      <c r="R486" s="178">
        <v>448.23675000000003</v>
      </c>
      <c r="S486" s="179">
        <v>282664.33958993998</v>
      </c>
      <c r="T486" s="182" t="s">
        <v>45</v>
      </c>
      <c r="U486" s="183">
        <v>3.7075</v>
      </c>
      <c r="V486" s="179">
        <v>22989.599999999999</v>
      </c>
      <c r="W486" s="179">
        <v>6093.2902050300008</v>
      </c>
      <c r="X486" s="186" t="s">
        <v>45</v>
      </c>
      <c r="Y486" s="183">
        <v>3.7075</v>
      </c>
      <c r="Z486" s="220" t="s">
        <v>473</v>
      </c>
      <c r="AA486" s="172">
        <f>Delivery[[#This Row],[Quantity delivered]]*VLOOKUP(Delivery[[#This Row],[Unit]],Tab_Conversão[],4,FALSE)*VLOOKUP(CONCATENATE(Delivery[[#This Row],[Coffee specie]],Delivery[[#This Row],[Coffee state]]),Tab_Conversão[],4,FALSE)</f>
        <v>37170</v>
      </c>
      <c r="AB486" s="169">
        <f>SUMIF(Allocation!C:C,Delivery[[#This Row],[Delivery ID]],Allocation!D:D)/Delivery[[#This Row],[Quantity delivered]]</f>
        <v>1</v>
      </c>
      <c r="AC486" s="170">
        <f>Delivery[[#This Row],[Quantity delivered]]*Delivery[[#This Row],[Base price (Unidad)]]/60</f>
        <v>277682.66662500001</v>
      </c>
      <c r="AD486" s="171">
        <f>Delivery[[#This Row],[Nespresso total]]-Delivery[[#This Row],[Qt. Delivery * Base Price]]</f>
        <v>4981.672964939964</v>
      </c>
      <c r="AE486" s="171">
        <f>Delivery[[#This Row],[AAA Premium (total)]]/Delivery[[#This Row],[Quantity delivered]]*60/Delivery[[#This Row],[Exchange rate VS USD]]</f>
        <v>10.009420731159761</v>
      </c>
      <c r="AF486" s="171">
        <f>Delivery[[#This Row],[BEN premium (total)]]/Delivery[[#This Row],[Quantity delivered]]*60/Delivery[[#This Row],[Exchange rate for premiums VS USD]]</f>
        <v>2.6529520000000004</v>
      </c>
      <c r="AG486" s="171">
        <f>COUNTIF(Delivery[Delivery ID],Delivery[[#This Row],[Delivery ID]])</f>
        <v>1</v>
      </c>
      <c r="AH486" s="171">
        <f>(Delivery[[#This Row],[Nespresso total]]/SUMIF(Allocation!C:C,Delivery[Delivery ID],Allocation!H:H))/Delivery[[#This Row],[Exchange rate VS USD]]</f>
        <v>5.1275287130431568</v>
      </c>
      <c r="AI486" s="171">
        <f>(Delivery[[#This Row],[AAA Premium (total)]]/SUMIF(Allocation!C:C,Delivery[Delivery ID],Allocation!H:H))/Delivery[[#This Row],[Exchange rate VS USD]]</f>
        <v>0.41703114822472742</v>
      </c>
      <c r="AJ486" s="171">
        <f>Delivery[[#This Row],[Valor Prêmio Nespresso AAA por Kg (em US$)]]*60</f>
        <v>25.021868893483646</v>
      </c>
      <c r="AK486" s="171">
        <f>Delivery[[#This Row],[Valor Prêmio Nespresso AAA por saca (em US$)]]/1.3228/100</f>
        <v>0.18915836780680106</v>
      </c>
      <c r="AL486" s="171">
        <f>(Delivery[[#This Row],[BEN premium (total)]]/SUMIF(Allocation!C:C,Delivery[Delivery ID],Allocation!H:H))/Delivery[[#This Row],[Exchange rate for premiums VS USD]]</f>
        <v>0.11053223242988769</v>
      </c>
      <c r="AM486" s="171">
        <f>Delivery[[#This Row],[Valor Prêmio Nespresso BEN por Kg (em US$)]]*60</f>
        <v>6.6319339457932616</v>
      </c>
      <c r="AN486" s="171">
        <f>Delivery[[#This Row],[Valor Prêmio Nespresso BEN por saca (em US$)]]/1.3228/100</f>
        <v>5.0135575641013466E-2</v>
      </c>
      <c r="AO486" s="171">
        <f>SUMIF(Allocation[Delivery ID],Delivery[[#This Row],[Delivery ID]],Allocation[Quantity allocated])*16*1.3228*Delivery[[#This Row],[Exchange rate VS USD]]/60</f>
        <v>19445.801117066665</v>
      </c>
      <c r="AP486" s="171">
        <f>Delivery[[#This Row],[AAA Premium (total)]]</f>
        <v>22989.599999999999</v>
      </c>
      <c r="AQ486" s="171">
        <f>Delivery[[#This Row],[Valor pago pelo Cluster]]-Delivery[[#This Row],[Valor efetivamente pago pela Nespresso]]</f>
        <v>3543.7988829333335</v>
      </c>
    </row>
    <row r="487" spans="1:43" ht="15.75">
      <c r="A487" s="174" t="s">
        <v>69</v>
      </c>
      <c r="B487" s="232" t="s">
        <v>68</v>
      </c>
      <c r="C487" s="157">
        <v>1</v>
      </c>
      <c r="D487" s="157" t="s">
        <v>468</v>
      </c>
      <c r="E487" s="177" t="s">
        <v>468</v>
      </c>
      <c r="F487" s="233" t="s">
        <v>543</v>
      </c>
      <c r="G487" s="234">
        <v>43413</v>
      </c>
      <c r="H487" s="157" t="s">
        <v>631</v>
      </c>
      <c r="I487" s="157" t="s">
        <v>545</v>
      </c>
      <c r="J487" s="237">
        <v>49860</v>
      </c>
      <c r="K487" s="175" t="s">
        <v>61</v>
      </c>
      <c r="L487" s="175" t="s">
        <v>439</v>
      </c>
      <c r="M487" s="175" t="s">
        <v>1343</v>
      </c>
      <c r="N487" s="180"/>
      <c r="O487" s="177"/>
      <c r="P487" s="185">
        <v>0</v>
      </c>
      <c r="Q487" s="177">
        <v>43396</v>
      </c>
      <c r="R487" s="178">
        <v>448.23675000000003</v>
      </c>
      <c r="S487" s="179">
        <v>373141.41792452004</v>
      </c>
      <c r="T487" s="182" t="s">
        <v>45</v>
      </c>
      <c r="U487" s="183">
        <v>3.7075</v>
      </c>
      <c r="V487" s="179">
        <v>30368.52</v>
      </c>
      <c r="W487" s="179">
        <v>8173.5660377400018</v>
      </c>
      <c r="X487" s="186" t="s">
        <v>45</v>
      </c>
      <c r="Y487" s="183">
        <v>3.7075</v>
      </c>
      <c r="Z487" s="220" t="s">
        <v>473</v>
      </c>
      <c r="AA487" s="172">
        <f>Delivery[[#This Row],[Quantity delivered]]*VLOOKUP(Delivery[[#This Row],[Unit]],Tab_Conversão[],4,FALSE)*VLOOKUP(CONCATENATE(Delivery[[#This Row],[Coffee specie]],Delivery[[#This Row],[Coffee state]]),Tab_Conversão[],4,FALSE)</f>
        <v>49860</v>
      </c>
      <c r="AB487" s="169">
        <f>SUMIF(Allocation!C:C,Delivery[[#This Row],[Delivery ID]],Allocation!D:D)/Delivery[[#This Row],[Quantity delivered]]</f>
        <v>1</v>
      </c>
      <c r="AC487" s="170">
        <f>Delivery[[#This Row],[Quantity delivered]]*Delivery[[#This Row],[Base price (Unidad)]]/60</f>
        <v>372484.73924999998</v>
      </c>
      <c r="AD487" s="171">
        <f>Delivery[[#This Row],[Nespresso total]]-Delivery[[#This Row],[Qt. Delivery * Base Price]]</f>
        <v>656.67867452005157</v>
      </c>
      <c r="AE487" s="171">
        <f>Delivery[[#This Row],[AAA Premium (total)]]/Delivery[[#This Row],[Quantity delivered]]*60/Delivery[[#This Row],[Exchange rate VS USD]]</f>
        <v>9.8569248109135792</v>
      </c>
      <c r="AF487" s="171">
        <f>Delivery[[#This Row],[BEN premium (total)]]/Delivery[[#This Row],[Quantity delivered]]*60/Delivery[[#This Row],[Exchange rate for premiums VS USD]]</f>
        <v>2.6529520000000009</v>
      </c>
      <c r="AG487" s="171">
        <f>COUNTIF(Delivery[Delivery ID],Delivery[[#This Row],[Delivery ID]])</f>
        <v>1</v>
      </c>
      <c r="AH487" s="171">
        <f>(Delivery[[#This Row],[Nespresso total]]/SUMIF(Allocation!C:C,Delivery[Delivery ID],Allocation!H:H))/Delivery[[#This Row],[Exchange rate VS USD]]</f>
        <v>5.046633991495046</v>
      </c>
      <c r="AI487" s="171">
        <f>(Delivery[[#This Row],[AAA Premium (total)]]/SUMIF(Allocation!C:C,Delivery[Delivery ID],Allocation!H:H))/Delivery[[#This Row],[Exchange rate VS USD]]</f>
        <v>0.41072579440752066</v>
      </c>
      <c r="AJ487" s="171">
        <f>Delivery[[#This Row],[Valor Prêmio Nespresso AAA por Kg (em US$)]]*60</f>
        <v>24.643547664451241</v>
      </c>
      <c r="AK487" s="171">
        <f>Delivery[[#This Row],[Valor Prêmio Nespresso AAA por saca (em US$)]]/1.3228/100</f>
        <v>0.18629836456343543</v>
      </c>
      <c r="AL487" s="171">
        <f>(Delivery[[#This Row],[BEN premium (total)]]/SUMIF(Allocation!C:C,Delivery[Delivery ID],Allocation!H:H))/Delivery[[#This Row],[Exchange rate for premiums VS USD]]</f>
        <v>0.11054520944692375</v>
      </c>
      <c r="AM487" s="171">
        <f>Delivery[[#This Row],[Valor Prêmio Nespresso BEN por Kg (em US$)]]*60</f>
        <v>6.6327125668154254</v>
      </c>
      <c r="AN487" s="171">
        <f>Delivery[[#This Row],[Valor Prêmio Nespresso BEN por saca (em US$)]]/1.3228/100</f>
        <v>5.0141461799330406E-2</v>
      </c>
      <c r="AO487" s="171">
        <f>SUMIF(Allocation[Delivery ID],Delivery[[#This Row],[Delivery ID]],Allocation[Quantity allocated])*16*1.3228*Delivery[[#This Row],[Exchange rate VS USD]]/60</f>
        <v>26081.620262133332</v>
      </c>
      <c r="AP487" s="171">
        <f>Delivery[[#This Row],[AAA Premium (total)]]</f>
        <v>30368.52</v>
      </c>
      <c r="AQ487" s="171">
        <f>Delivery[[#This Row],[Valor pago pelo Cluster]]-Delivery[[#This Row],[Valor efetivamente pago pela Nespresso]]</f>
        <v>4286.8997378666681</v>
      </c>
    </row>
    <row r="488" spans="1:43" ht="15.75">
      <c r="A488" s="174" t="s">
        <v>69</v>
      </c>
      <c r="B488" s="232" t="s">
        <v>68</v>
      </c>
      <c r="C488" s="157">
        <v>1</v>
      </c>
      <c r="D488" s="157" t="s">
        <v>468</v>
      </c>
      <c r="E488" s="177" t="s">
        <v>468</v>
      </c>
      <c r="F488" s="233" t="s">
        <v>469</v>
      </c>
      <c r="G488" s="234">
        <v>42746</v>
      </c>
      <c r="H488" s="157" t="s">
        <v>632</v>
      </c>
      <c r="I488" s="157" t="s">
        <v>511</v>
      </c>
      <c r="J488" s="237">
        <v>30000</v>
      </c>
      <c r="K488" s="175" t="s">
        <v>61</v>
      </c>
      <c r="L488" s="175" t="s">
        <v>439</v>
      </c>
      <c r="M488" s="175" t="s">
        <v>1343</v>
      </c>
      <c r="N488" s="180"/>
      <c r="O488" s="189"/>
      <c r="P488" s="185">
        <v>0</v>
      </c>
      <c r="Q488" s="189">
        <v>42741</v>
      </c>
      <c r="R488" s="190">
        <v>459.90935999999999</v>
      </c>
      <c r="S488" s="191">
        <v>254716.30446239997</v>
      </c>
      <c r="T488" s="192" t="s">
        <v>45</v>
      </c>
      <c r="U488" s="193">
        <v>3.2183999999999999</v>
      </c>
      <c r="V488" s="191">
        <v>11264.4</v>
      </c>
      <c r="W488" s="191">
        <v>3201.8477687999994</v>
      </c>
      <c r="X488" s="194" t="s">
        <v>45</v>
      </c>
      <c r="Y488" s="183">
        <v>3.2183999999999999</v>
      </c>
      <c r="Z488" s="220" t="s">
        <v>473</v>
      </c>
      <c r="AA488" s="172">
        <f>Delivery[[#This Row],[Quantity delivered]]*VLOOKUP(Delivery[[#This Row],[Unit]],Tab_Conversão[],4,FALSE)*VLOOKUP(CONCATENATE(Delivery[[#This Row],[Coffee specie]],Delivery[[#This Row],[Coffee state]]),Tab_Conversão[],4,FALSE)</f>
        <v>30000</v>
      </c>
      <c r="AB488" s="169">
        <f>SUMIF(Allocation!C:C,Delivery[[#This Row],[Delivery ID]],Allocation!D:D)/Delivery[[#This Row],[Quantity delivered]]</f>
        <v>1.9900000000000001E-2</v>
      </c>
      <c r="AC488" s="170">
        <f>Delivery[[#This Row],[Quantity delivered]]*Delivery[[#This Row],[Base price (Unidad)]]/60</f>
        <v>229954.68</v>
      </c>
      <c r="AD488" s="171">
        <f>Delivery[[#This Row],[Nespresso total]]-Delivery[[#This Row],[Qt. Delivery * Base Price]]</f>
        <v>24761.624462399981</v>
      </c>
      <c r="AE488" s="171">
        <f>Delivery[[#This Row],[AAA Premium (total)]]/Delivery[[#This Row],[Quantity delivered]]*60/Delivery[[#This Row],[Exchange rate VS USD]]</f>
        <v>7</v>
      </c>
      <c r="AF488" s="171">
        <f>Delivery[[#This Row],[BEN premium (total)]]/Delivery[[#This Row],[Quantity delivered]]*60/Delivery[[#This Row],[Exchange rate for premiums VS USD]]</f>
        <v>1.9897139999999995</v>
      </c>
      <c r="AG488" s="171">
        <f>COUNTIF(Delivery[Delivery ID],Delivery[[#This Row],[Delivery ID]])</f>
        <v>1</v>
      </c>
      <c r="AH488" s="171">
        <f>(Delivery[[#This Row],[Nespresso total]]/SUMIF(Allocation!C:C,Delivery[Delivery ID],Allocation!H:H))/Delivery[[#This Row],[Exchange rate VS USD]]</f>
        <v>442.14395796516391</v>
      </c>
      <c r="AI488" s="171">
        <f>(Delivery[[#This Row],[AAA Premium (total)]]/SUMIF(Allocation!C:C,Delivery[Delivery ID],Allocation!H:H))/Delivery[[#This Row],[Exchange rate VS USD]]</f>
        <v>19.553072625698324</v>
      </c>
      <c r="AJ488" s="171">
        <f>Delivery[[#This Row],[Valor Prêmio Nespresso AAA por Kg (em US$)]]*60</f>
        <v>1173.1843575418993</v>
      </c>
      <c r="AK488" s="171">
        <f>Delivery[[#This Row],[Valor Prêmio Nespresso AAA por saca (em US$)]]/1.3228/100</f>
        <v>8.8689473657536997</v>
      </c>
      <c r="AL488" s="171">
        <f>(Delivery[[#This Row],[BEN premium (total)]]/SUMIF(Allocation!C:C,Delivery[Delivery ID],Allocation!H:H))/Delivery[[#This Row],[Exchange rate for premiums VS USD]]</f>
        <v>5.5578603351955298</v>
      </c>
      <c r="AM488" s="171">
        <f>Delivery[[#This Row],[Valor Prêmio Nespresso BEN por Kg (em US$)]]*60</f>
        <v>333.4716201117318</v>
      </c>
      <c r="AN488" s="171">
        <f>Delivery[[#This Row],[Valor Prêmio Nespresso BEN por saca (em US$)]]/1.3228/100</f>
        <v>2.5209526769861794</v>
      </c>
      <c r="AO488" s="171">
        <f>SUMIF(Allocation[Delivery ID],Delivery[[#This Row],[Delivery ID]],Allocation[Quantity allocated])*16*1.3228*Delivery[[#This Row],[Exchange rate VS USD]]/60</f>
        <v>203.21509708799996</v>
      </c>
      <c r="AP488" s="171">
        <f>Delivery[[#This Row],[AAA Premium (total)]]</f>
        <v>11264.4</v>
      </c>
      <c r="AQ488" s="171">
        <f>Delivery[[#This Row],[Valor pago pelo Cluster]]-Delivery[[#This Row],[Valor efetivamente pago pela Nespresso]]</f>
        <v>11061.184902912</v>
      </c>
    </row>
    <row r="489" spans="1:43" ht="15.75">
      <c r="A489" s="174" t="s">
        <v>69</v>
      </c>
      <c r="B489" s="232" t="s">
        <v>68</v>
      </c>
      <c r="C489" s="157">
        <v>1</v>
      </c>
      <c r="D489" s="157" t="s">
        <v>468</v>
      </c>
      <c r="E489" s="177" t="s">
        <v>468</v>
      </c>
      <c r="F489" s="233" t="s">
        <v>469</v>
      </c>
      <c r="G489" s="234">
        <v>42752</v>
      </c>
      <c r="H489" s="157" t="s">
        <v>633</v>
      </c>
      <c r="I489" s="157" t="s">
        <v>634</v>
      </c>
      <c r="J489" s="237">
        <v>30584</v>
      </c>
      <c r="K489" s="175" t="s">
        <v>61</v>
      </c>
      <c r="L489" s="175" t="s">
        <v>439</v>
      </c>
      <c r="M489" s="175" t="s">
        <v>1343</v>
      </c>
      <c r="N489" s="180"/>
      <c r="O489" s="177"/>
      <c r="P489" s="185">
        <v>0</v>
      </c>
      <c r="Q489" s="177">
        <v>42747</v>
      </c>
      <c r="R489" s="178">
        <v>476.42717000000005</v>
      </c>
      <c r="S489" s="179">
        <v>264928.87658461265</v>
      </c>
      <c r="T489" s="182" t="s">
        <v>45</v>
      </c>
      <c r="U489" s="183">
        <v>3.1783000000000001</v>
      </c>
      <c r="V489" s="179">
        <v>11340.598173333334</v>
      </c>
      <c r="W489" s="179">
        <v>3223.5067076936798</v>
      </c>
      <c r="X489" s="186" t="s">
        <v>45</v>
      </c>
      <c r="Y489" s="183">
        <v>3.1783000000000001</v>
      </c>
      <c r="Z489" s="220" t="s">
        <v>473</v>
      </c>
      <c r="AA489" s="172">
        <f>Delivery[[#This Row],[Quantity delivered]]*VLOOKUP(Delivery[[#This Row],[Unit]],Tab_Conversão[],4,FALSE)*VLOOKUP(CONCATENATE(Delivery[[#This Row],[Coffee specie]],Delivery[[#This Row],[Coffee state]]),Tab_Conversão[],4,FALSE)</f>
        <v>30584</v>
      </c>
      <c r="AB489" s="169">
        <f>SUMIF(Allocation!C:C,Delivery[[#This Row],[Delivery ID]],Allocation!D:D)/Delivery[[#This Row],[Quantity delivered]]</f>
        <v>1.9520010462987184E-2</v>
      </c>
      <c r="AC489" s="170">
        <f>Delivery[[#This Row],[Quantity delivered]]*Delivery[[#This Row],[Base price (Unidad)]]/60</f>
        <v>242850.80945466671</v>
      </c>
      <c r="AD489" s="171">
        <f>Delivery[[#This Row],[Nespresso total]]-Delivery[[#This Row],[Qt. Delivery * Base Price]]</f>
        <v>22078.067129945935</v>
      </c>
      <c r="AE489" s="171">
        <f>Delivery[[#This Row],[AAA Premium (total)]]/Delivery[[#This Row],[Quantity delivered]]*60/Delivery[[#This Row],[Exchange rate VS USD]]</f>
        <v>7</v>
      </c>
      <c r="AF489" s="171">
        <f>Delivery[[#This Row],[BEN premium (total)]]/Delivery[[#This Row],[Quantity delivered]]*60/Delivery[[#This Row],[Exchange rate for premiums VS USD]]</f>
        <v>1.9897139999999995</v>
      </c>
      <c r="AG489" s="171">
        <f>COUNTIF(Delivery[Delivery ID],Delivery[[#This Row],[Delivery ID]])</f>
        <v>1</v>
      </c>
      <c r="AH489" s="171">
        <f>(Delivery[[#This Row],[Nespresso total]]/SUMIF(Allocation!C:C,Delivery[Delivery ID],Allocation!H:H))/Delivery[[#This Row],[Exchange rate VS USD]]</f>
        <v>465.67334419600763</v>
      </c>
      <c r="AI489" s="171">
        <f>(Delivery[[#This Row],[AAA Premium (total)]]/SUMIF(Allocation!C:C,Delivery[Delivery ID],Allocation!H:H))/Delivery[[#This Row],[Exchange rate VS USD]]</f>
        <v>19.933705772811919</v>
      </c>
      <c r="AJ489" s="171">
        <f>Delivery[[#This Row],[Valor Prêmio Nespresso AAA por Kg (em US$)]]*60</f>
        <v>1196.0223463687153</v>
      </c>
      <c r="AK489" s="171">
        <f>Delivery[[#This Row],[Valor Prêmio Nespresso AAA por saca (em US$)]]/1.3228/100</f>
        <v>9.0415962078070393</v>
      </c>
      <c r="AL489" s="171">
        <f>(Delivery[[#This Row],[BEN premium (total)]]/SUMIF(Allocation!C:C,Delivery[Delivery ID],Allocation!H:H))/Delivery[[#This Row],[Exchange rate for premiums VS USD]]</f>
        <v>5.66605334972067</v>
      </c>
      <c r="AM489" s="171">
        <f>Delivery[[#This Row],[Valor Prêmio Nespresso BEN por Kg (em US$)]]*60</f>
        <v>339.9632009832402</v>
      </c>
      <c r="AN489" s="171">
        <f>Delivery[[#This Row],[Valor Prêmio Nespresso BEN por saca (em US$)]]/1.3228/100</f>
        <v>2.5700272224315102</v>
      </c>
      <c r="AO489" s="171">
        <f>SUMIF(Allocation[Delivery ID],Delivery[[#This Row],[Delivery ID]],Allocation[Quantity allocated])*16*1.3228*Delivery[[#This Row],[Exchange rate VS USD]]/60</f>
        <v>200.68311678933333</v>
      </c>
      <c r="AP489" s="171">
        <f>Delivery[[#This Row],[AAA Premium (total)]]</f>
        <v>11340.598173333334</v>
      </c>
      <c r="AQ489" s="171">
        <f>Delivery[[#This Row],[Valor pago pelo Cluster]]-Delivery[[#This Row],[Valor efetivamente pago pela Nespresso]]</f>
        <v>11139.915056544</v>
      </c>
    </row>
    <row r="490" spans="1:43" ht="15.75">
      <c r="A490" s="174" t="s">
        <v>69</v>
      </c>
      <c r="B490" s="232" t="s">
        <v>68</v>
      </c>
      <c r="C490" s="157">
        <v>1</v>
      </c>
      <c r="D490" s="157" t="s">
        <v>468</v>
      </c>
      <c r="E490" s="177" t="s">
        <v>468</v>
      </c>
      <c r="F490" s="233" t="s">
        <v>469</v>
      </c>
      <c r="G490" s="234">
        <v>42752</v>
      </c>
      <c r="H490" s="157" t="s">
        <v>635</v>
      </c>
      <c r="I490" s="157" t="s">
        <v>634</v>
      </c>
      <c r="J490" s="237">
        <v>30300</v>
      </c>
      <c r="K490" s="175" t="s">
        <v>61</v>
      </c>
      <c r="L490" s="175" t="s">
        <v>439</v>
      </c>
      <c r="M490" s="175" t="s">
        <v>1343</v>
      </c>
      <c r="N490" s="180"/>
      <c r="O490" s="177"/>
      <c r="P490" s="185">
        <v>0</v>
      </c>
      <c r="Q490" s="177">
        <v>42747</v>
      </c>
      <c r="R490" s="178">
        <v>476.42717000000005</v>
      </c>
      <c r="S490" s="179">
        <v>264988.74291373801</v>
      </c>
      <c r="T490" s="182" t="s">
        <v>45</v>
      </c>
      <c r="U490" s="183">
        <v>3.1783000000000001</v>
      </c>
      <c r="V490" s="179">
        <v>11235.290500000001</v>
      </c>
      <c r="W490" s="179">
        <v>3193.573543131</v>
      </c>
      <c r="X490" s="186" t="s">
        <v>45</v>
      </c>
      <c r="Y490" s="183">
        <v>3.1783000000000001</v>
      </c>
      <c r="Z490" s="220" t="s">
        <v>473</v>
      </c>
      <c r="AA490" s="172">
        <f>Delivery[[#This Row],[Quantity delivered]]*VLOOKUP(Delivery[[#This Row],[Unit]],Tab_Conversão[],4,FALSE)*VLOOKUP(CONCATENATE(Delivery[[#This Row],[Coffee specie]],Delivery[[#This Row],[Coffee state]]),Tab_Conversão[],4,FALSE)</f>
        <v>30300</v>
      </c>
      <c r="AB490" s="169">
        <f>SUMIF(Allocation!C:C,Delivery[[#This Row],[Delivery ID]],Allocation!D:D)/Delivery[[#This Row],[Quantity delivered]]</f>
        <v>1.9702970297029703E-2</v>
      </c>
      <c r="AC490" s="170">
        <f>Delivery[[#This Row],[Quantity delivered]]*Delivery[[#This Row],[Base price (Unidad)]]/60</f>
        <v>240595.72085000004</v>
      </c>
      <c r="AD490" s="171">
        <f>Delivery[[#This Row],[Nespresso total]]-Delivery[[#This Row],[Qt. Delivery * Base Price]]</f>
        <v>24393.022063737968</v>
      </c>
      <c r="AE490" s="171">
        <f>Delivery[[#This Row],[AAA Premium (total)]]/Delivery[[#This Row],[Quantity delivered]]*60/Delivery[[#This Row],[Exchange rate VS USD]]</f>
        <v>7</v>
      </c>
      <c r="AF490" s="171">
        <f>Delivery[[#This Row],[BEN premium (total)]]/Delivery[[#This Row],[Quantity delivered]]*60/Delivery[[#This Row],[Exchange rate for premiums VS USD]]</f>
        <v>1.989714</v>
      </c>
      <c r="AG490" s="171">
        <f>COUNTIF(Delivery[Delivery ID],Delivery[[#This Row],[Delivery ID]])</f>
        <v>1</v>
      </c>
      <c r="AH490" s="171">
        <f>(Delivery[[#This Row],[Nespresso total]]/SUMIF(Allocation!C:C,Delivery[Delivery ID],Allocation!H:H))/Delivery[[#This Row],[Exchange rate VS USD]]</f>
        <v>465.77857301835405</v>
      </c>
      <c r="AI490" s="171">
        <f>(Delivery[[#This Row],[AAA Premium (total)]]/SUMIF(Allocation!C:C,Delivery[Delivery ID],Allocation!H:H))/Delivery[[#This Row],[Exchange rate VS USD]]</f>
        <v>19.748603351955307</v>
      </c>
      <c r="AJ490" s="171">
        <f>Delivery[[#This Row],[Valor Prêmio Nespresso AAA por Kg (em US$)]]*60</f>
        <v>1184.9162011173185</v>
      </c>
      <c r="AK490" s="171">
        <f>Delivery[[#This Row],[Valor Prêmio Nespresso AAA por saca (em US$)]]/1.3228/100</f>
        <v>8.9576368394112382</v>
      </c>
      <c r="AL490" s="171">
        <f>(Delivery[[#This Row],[BEN premium (total)]]/SUMIF(Allocation!C:C,Delivery[Delivery ID],Allocation!H:H))/Delivery[[#This Row],[Exchange rate for premiums VS USD]]</f>
        <v>5.6134389385474863</v>
      </c>
      <c r="AM490" s="171">
        <f>Delivery[[#This Row],[Valor Prêmio Nespresso BEN por Kg (em US$)]]*60</f>
        <v>336.80633631284917</v>
      </c>
      <c r="AN490" s="171">
        <f>Delivery[[#This Row],[Valor Prêmio Nespresso BEN por saca (em US$)]]/1.3228/100</f>
        <v>2.5461622037560416</v>
      </c>
      <c r="AO490" s="171">
        <f>SUMIF(Allocation[Delivery ID],Delivery[[#This Row],[Delivery ID]],Allocation[Quantity allocated])*16*1.3228*Delivery[[#This Row],[Exchange rate VS USD]]/60</f>
        <v>200.68311678933333</v>
      </c>
      <c r="AP490" s="171">
        <f>Delivery[[#This Row],[AAA Premium (total)]]</f>
        <v>11235.290500000001</v>
      </c>
      <c r="AQ490" s="171">
        <f>Delivery[[#This Row],[Valor pago pelo Cluster]]-Delivery[[#This Row],[Valor efetivamente pago pela Nespresso]]</f>
        <v>11034.607383210667</v>
      </c>
    </row>
    <row r="491" spans="1:43" ht="15.75">
      <c r="A491" s="174" t="s">
        <v>69</v>
      </c>
      <c r="B491" s="232" t="s">
        <v>68</v>
      </c>
      <c r="C491" s="157">
        <v>1</v>
      </c>
      <c r="D491" s="157" t="s">
        <v>468</v>
      </c>
      <c r="E491" s="177" t="s">
        <v>468</v>
      </c>
      <c r="F491" s="233" t="s">
        <v>469</v>
      </c>
      <c r="G491" s="234">
        <v>42752</v>
      </c>
      <c r="H491" s="157" t="s">
        <v>636</v>
      </c>
      <c r="I491" s="157" t="s">
        <v>634</v>
      </c>
      <c r="J491" s="237">
        <v>30434</v>
      </c>
      <c r="K491" s="175" t="s">
        <v>61</v>
      </c>
      <c r="L491" s="175" t="s">
        <v>439</v>
      </c>
      <c r="M491" s="175" t="s">
        <v>1343</v>
      </c>
      <c r="N491" s="180"/>
      <c r="O491" s="177"/>
      <c r="P491" s="185">
        <v>0</v>
      </c>
      <c r="Q491" s="177">
        <v>42747</v>
      </c>
      <c r="R491" s="178">
        <v>476.42717000000005</v>
      </c>
      <c r="S491" s="179">
        <v>264960.4961246436</v>
      </c>
      <c r="T491" s="182" t="s">
        <v>45</v>
      </c>
      <c r="U491" s="183">
        <v>3.1783000000000001</v>
      </c>
      <c r="V491" s="179">
        <v>11284.977923333334</v>
      </c>
      <c r="W491" s="179">
        <v>3207.6969376781799</v>
      </c>
      <c r="X491" s="186" t="s">
        <v>45</v>
      </c>
      <c r="Y491" s="183">
        <v>3.1783000000000001</v>
      </c>
      <c r="Z491" s="220" t="s">
        <v>473</v>
      </c>
      <c r="AA491" s="172">
        <f>Delivery[[#This Row],[Quantity delivered]]*VLOOKUP(Delivery[[#This Row],[Unit]],Tab_Conversão[],4,FALSE)*VLOOKUP(CONCATENATE(Delivery[[#This Row],[Coffee specie]],Delivery[[#This Row],[Coffee state]]),Tab_Conversão[],4,FALSE)</f>
        <v>30434</v>
      </c>
      <c r="AB491" s="169">
        <f>SUMIF(Allocation!C:C,Delivery[[#This Row],[Delivery ID]],Allocation!D:D)/Delivery[[#This Row],[Quantity delivered]]</f>
        <v>0.15673260169547218</v>
      </c>
      <c r="AC491" s="170">
        <f>Delivery[[#This Row],[Quantity delivered]]*Delivery[[#This Row],[Base price (Unidad)]]/60</f>
        <v>241659.7415296667</v>
      </c>
      <c r="AD491" s="171">
        <f>Delivery[[#This Row],[Nespresso total]]-Delivery[[#This Row],[Qt. Delivery * Base Price]]</f>
        <v>23300.754594976897</v>
      </c>
      <c r="AE491" s="171">
        <f>Delivery[[#This Row],[AAA Premium (total)]]/Delivery[[#This Row],[Quantity delivered]]*60/Delivery[[#This Row],[Exchange rate VS USD]]</f>
        <v>7</v>
      </c>
      <c r="AF491" s="171">
        <f>Delivery[[#This Row],[BEN premium (total)]]/Delivery[[#This Row],[Quantity delivered]]*60/Delivery[[#This Row],[Exchange rate for premiums VS USD]]</f>
        <v>1.9897139999999995</v>
      </c>
      <c r="AG491" s="171">
        <f>COUNTIF(Delivery[Delivery ID],Delivery[[#This Row],[Delivery ID]])</f>
        <v>1</v>
      </c>
      <c r="AH491" s="171">
        <f>(Delivery[[#This Row],[Nespresso total]]/SUMIF(Allocation!C:C,Delivery[Delivery ID],Allocation!H:H))/Delivery[[#This Row],[Exchange rate VS USD]]</f>
        <v>58.256797471058945</v>
      </c>
      <c r="AI491" s="171">
        <f>(Delivery[[#This Row],[AAA Premium (total)]]/SUMIF(Allocation!C:C,Delivery[Delivery ID],Allocation!H:H))/Delivery[[#This Row],[Exchange rate VS USD]]</f>
        <v>2.4812252504076402</v>
      </c>
      <c r="AJ491" s="171">
        <f>Delivery[[#This Row],[Valor Prêmio Nespresso AAA por Kg (em US$)]]*60</f>
        <v>148.87351502445841</v>
      </c>
      <c r="AK491" s="171">
        <f>Delivery[[#This Row],[Valor Prêmio Nespresso AAA por saca (em US$)]]/1.3228/100</f>
        <v>1.1254423573061567</v>
      </c>
      <c r="AL491" s="171">
        <f>(Delivery[[#This Row],[BEN premium (total)]]/SUMIF(Allocation!C:C,Delivery[Delivery ID],Allocation!H:H))/Delivery[[#This Row],[Exchange rate for premiums VS USD]]</f>
        <v>0.70527551684136969</v>
      </c>
      <c r="AM491" s="171">
        <f>Delivery[[#This Row],[Valor Prêmio Nespresso BEN por Kg (em US$)]]*60</f>
        <v>42.31653101048218</v>
      </c>
      <c r="AN491" s="171">
        <f>Delivery[[#This Row],[Valor Prêmio Nespresso BEN por saca (em US$)]]/1.3228/100</f>
        <v>0.31990120207500894</v>
      </c>
      <c r="AO491" s="171">
        <f>SUMIF(Allocation[Delivery ID],Delivery[[#This Row],[Delivery ID]],Allocation[Quantity allocated])*16*1.3228*Delivery[[#This Row],[Exchange rate VS USD]]/60</f>
        <v>1604.343799584</v>
      </c>
      <c r="AP491" s="171">
        <f>Delivery[[#This Row],[AAA Premium (total)]]</f>
        <v>11284.977923333334</v>
      </c>
      <c r="AQ491" s="171">
        <f>Delivery[[#This Row],[Valor pago pelo Cluster]]-Delivery[[#This Row],[Valor efetivamente pago pela Nespresso]]</f>
        <v>9680.6341237493343</v>
      </c>
    </row>
    <row r="492" spans="1:43" ht="15.75">
      <c r="A492" s="174" t="s">
        <v>69</v>
      </c>
      <c r="B492" s="232" t="s">
        <v>68</v>
      </c>
      <c r="C492" s="157">
        <v>1</v>
      </c>
      <c r="D492" s="157" t="s">
        <v>468</v>
      </c>
      <c r="E492" s="177" t="s">
        <v>468</v>
      </c>
      <c r="F492" s="233" t="s">
        <v>469</v>
      </c>
      <c r="G492" s="234">
        <v>42752</v>
      </c>
      <c r="H492" s="157" t="s">
        <v>637</v>
      </c>
      <c r="I492" s="157" t="s">
        <v>634</v>
      </c>
      <c r="J492" s="237">
        <v>30264</v>
      </c>
      <c r="K492" s="175" t="s">
        <v>61</v>
      </c>
      <c r="L492" s="175" t="s">
        <v>439</v>
      </c>
      <c r="M492" s="175" t="s">
        <v>1343</v>
      </c>
      <c r="N492" s="180"/>
      <c r="O492" s="177"/>
      <c r="P492" s="185">
        <v>0</v>
      </c>
      <c r="Q492" s="177">
        <v>42747</v>
      </c>
      <c r="R492" s="178">
        <v>476.42717000000005</v>
      </c>
      <c r="S492" s="179">
        <v>264996.33160334546</v>
      </c>
      <c r="T492" s="182" t="s">
        <v>45</v>
      </c>
      <c r="U492" s="183">
        <v>3.1783000000000001</v>
      </c>
      <c r="V492" s="179">
        <v>11221.941640000001</v>
      </c>
      <c r="W492" s="179">
        <v>3189.7791983272805</v>
      </c>
      <c r="X492" s="186" t="s">
        <v>45</v>
      </c>
      <c r="Y492" s="183">
        <v>3.1783000000000001</v>
      </c>
      <c r="Z492" s="220" t="s">
        <v>473</v>
      </c>
      <c r="AA492" s="172">
        <f>Delivery[[#This Row],[Quantity delivered]]*VLOOKUP(Delivery[[#This Row],[Unit]],Tab_Conversão[],4,FALSE)*VLOOKUP(CONCATENATE(Delivery[[#This Row],[Coffee specie]],Delivery[[#This Row],[Coffee state]]),Tab_Conversão[],4,FALSE)</f>
        <v>30264</v>
      </c>
      <c r="AB492" s="169">
        <f>SUMIF(Allocation!C:C,Delivery[[#This Row],[Delivery ID]],Allocation!D:D)/Delivery[[#This Row],[Quantity delivered]]</f>
        <v>0.1312780861749934</v>
      </c>
      <c r="AC492" s="170">
        <f>Delivery[[#This Row],[Quantity delivered]]*Delivery[[#This Row],[Base price (Unidad)]]/60</f>
        <v>240309.86454800001</v>
      </c>
      <c r="AD492" s="171">
        <f>Delivery[[#This Row],[Nespresso total]]-Delivery[[#This Row],[Qt. Delivery * Base Price]]</f>
        <v>24686.467055345449</v>
      </c>
      <c r="AE492" s="171">
        <f>Delivery[[#This Row],[AAA Premium (total)]]/Delivery[[#This Row],[Quantity delivered]]*60/Delivery[[#This Row],[Exchange rate VS USD]]</f>
        <v>7</v>
      </c>
      <c r="AF492" s="171">
        <f>Delivery[[#This Row],[BEN premium (total)]]/Delivery[[#This Row],[Quantity delivered]]*60/Delivery[[#This Row],[Exchange rate for premiums VS USD]]</f>
        <v>1.9897140000000002</v>
      </c>
      <c r="AG492" s="171">
        <f>COUNTIF(Delivery[Delivery ID],Delivery[[#This Row],[Delivery ID]])</f>
        <v>1</v>
      </c>
      <c r="AH492" s="171">
        <f>(Delivery[[#This Row],[Nespresso total]]/SUMIF(Allocation!C:C,Delivery[Delivery ID],Allocation!H:H))/Delivery[[#This Row],[Exchange rate VS USD]]</f>
        <v>69.946939787823297</v>
      </c>
      <c r="AI492" s="171">
        <f>(Delivery[[#This Row],[AAA Premium (total)]]/SUMIF(Allocation!C:C,Delivery[Delivery ID],Allocation!H:H))/Delivery[[#This Row],[Exchange rate VS USD]]</f>
        <v>2.9620805369127519</v>
      </c>
      <c r="AJ492" s="171">
        <f>Delivery[[#This Row],[Valor Prêmio Nespresso AAA por Kg (em US$)]]*60</f>
        <v>177.72483221476512</v>
      </c>
      <c r="AK492" s="171">
        <f>Delivery[[#This Row],[Valor Prêmio Nespresso AAA por saca (em US$)]]/1.3228/100</f>
        <v>1.3435502888929929</v>
      </c>
      <c r="AL492" s="171">
        <f>(Delivery[[#This Row],[BEN premium (total)]]/SUMIF(Allocation!C:C,Delivery[Delivery ID],Allocation!H:H))/Delivery[[#This Row],[Exchange rate for premiums VS USD]]</f>
        <v>0.84195615906040278</v>
      </c>
      <c r="AM492" s="171">
        <f>Delivery[[#This Row],[Valor Prêmio Nespresso BEN por Kg (em US$)]]*60</f>
        <v>50.51736954362417</v>
      </c>
      <c r="AN492" s="171">
        <f>Delivery[[#This Row],[Valor Prêmio Nespresso BEN por saca (em US$)]]/1.3228/100</f>
        <v>0.38189725993063328</v>
      </c>
      <c r="AO492" s="171">
        <f>SUMIF(Allocation[Delivery ID],Delivery[[#This Row],[Delivery ID]],Allocation[Quantity allocated])*16*1.3228*Delivery[[#This Row],[Exchange rate VS USD]]/60</f>
        <v>1336.3925989546665</v>
      </c>
      <c r="AP492" s="171">
        <f>Delivery[[#This Row],[AAA Premium (total)]]</f>
        <v>11221.941640000001</v>
      </c>
      <c r="AQ492" s="171">
        <f>Delivery[[#This Row],[Valor pago pelo Cluster]]-Delivery[[#This Row],[Valor efetivamente pago pela Nespresso]]</f>
        <v>9885.5490410453349</v>
      </c>
    </row>
    <row r="493" spans="1:43" ht="15.75">
      <c r="A493" s="174" t="s">
        <v>69</v>
      </c>
      <c r="B493" s="232" t="s">
        <v>68</v>
      </c>
      <c r="C493" s="157">
        <v>1</v>
      </c>
      <c r="D493" s="157" t="s">
        <v>468</v>
      </c>
      <c r="E493" s="177" t="s">
        <v>468</v>
      </c>
      <c r="F493" s="233" t="s">
        <v>469</v>
      </c>
      <c r="G493" s="234">
        <v>42752</v>
      </c>
      <c r="H493" s="157" t="s">
        <v>638</v>
      </c>
      <c r="I493" s="157" t="s">
        <v>634</v>
      </c>
      <c r="J493" s="237">
        <v>30498</v>
      </c>
      <c r="K493" s="175" t="s">
        <v>61</v>
      </c>
      <c r="L493" s="175" t="s">
        <v>439</v>
      </c>
      <c r="M493" s="175" t="s">
        <v>1343</v>
      </c>
      <c r="N493" s="180"/>
      <c r="O493" s="177"/>
      <c r="P493" s="185">
        <v>0</v>
      </c>
      <c r="Q493" s="177">
        <v>42747</v>
      </c>
      <c r="R493" s="178">
        <v>476.42717000000005</v>
      </c>
      <c r="S493" s="179">
        <v>264947.00512089708</v>
      </c>
      <c r="T493" s="182" t="s">
        <v>45</v>
      </c>
      <c r="U493" s="183">
        <v>3.1783000000000001</v>
      </c>
      <c r="V493" s="179">
        <v>11308.70923</v>
      </c>
      <c r="W493" s="179">
        <v>3214.4424395514602</v>
      </c>
      <c r="X493" s="186" t="s">
        <v>45</v>
      </c>
      <c r="Y493" s="183">
        <v>3.1783000000000001</v>
      </c>
      <c r="Z493" s="220" t="s">
        <v>473</v>
      </c>
      <c r="AA493" s="172">
        <f>Delivery[[#This Row],[Quantity delivered]]*VLOOKUP(Delivery[[#This Row],[Unit]],Tab_Conversão[],4,FALSE)*VLOOKUP(CONCATENATE(Delivery[[#This Row],[Coffee specie]],Delivery[[#This Row],[Coffee state]]),Tab_Conversão[],4,FALSE)</f>
        <v>30498</v>
      </c>
      <c r="AB493" s="169">
        <f>SUMIF(Allocation!C:C,Delivery[[#This Row],[Delivery ID]],Allocation!D:D)/Delivery[[#This Row],[Quantity delivered]]</f>
        <v>9.7711325332808713E-2</v>
      </c>
      <c r="AC493" s="170">
        <f>Delivery[[#This Row],[Quantity delivered]]*Delivery[[#This Row],[Base price (Unidad)]]/60</f>
        <v>242167.93051100004</v>
      </c>
      <c r="AD493" s="171">
        <f>Delivery[[#This Row],[Nespresso total]]-Delivery[[#This Row],[Qt. Delivery * Base Price]]</f>
        <v>22779.074609897041</v>
      </c>
      <c r="AE493" s="171">
        <f>Delivery[[#This Row],[AAA Premium (total)]]/Delivery[[#This Row],[Quantity delivered]]*60/Delivery[[#This Row],[Exchange rate VS USD]]</f>
        <v>7</v>
      </c>
      <c r="AF493" s="171">
        <f>Delivery[[#This Row],[BEN premium (total)]]/Delivery[[#This Row],[Quantity delivered]]*60/Delivery[[#This Row],[Exchange rate for premiums VS USD]]</f>
        <v>1.989714</v>
      </c>
      <c r="AG493" s="171">
        <f>COUNTIF(Delivery[Delivery ID],Delivery[[#This Row],[Delivery ID]])</f>
        <v>1</v>
      </c>
      <c r="AH493" s="171">
        <f>(Delivery[[#This Row],[Nespresso total]]/SUMIF(Allocation!C:C,Delivery[Delivery ID],Allocation!H:H))/Delivery[[#This Row],[Exchange rate VS USD]]</f>
        <v>93.245226462959025</v>
      </c>
      <c r="AI493" s="171">
        <f>(Delivery[[#This Row],[AAA Premium (total)]]/SUMIF(Allocation!C:C,Delivery[Delivery ID],Allocation!H:H))/Delivery[[#This Row],[Exchange rate VS USD]]</f>
        <v>3.9799776286353468</v>
      </c>
      <c r="AJ493" s="171">
        <f>Delivery[[#This Row],[Valor Prêmio Nespresso AAA por Kg (em US$)]]*60</f>
        <v>238.79865771812081</v>
      </c>
      <c r="AK493" s="171">
        <f>Delivery[[#This Row],[Valor Prêmio Nespresso AAA por saca (em US$)]]/1.3228/100</f>
        <v>1.8052514190967706</v>
      </c>
      <c r="AL493" s="171">
        <f>(Delivery[[#This Row],[BEN premium (total)]]/SUMIF(Allocation!C:C,Delivery[Delivery ID],Allocation!H:H))/Delivery[[#This Row],[Exchange rate for premiums VS USD]]</f>
        <v>1.1312881724832216</v>
      </c>
      <c r="AM493" s="171">
        <f>Delivery[[#This Row],[Valor Prêmio Nespresso BEN por Kg (em US$)]]*60</f>
        <v>67.877290348993299</v>
      </c>
      <c r="AN493" s="171">
        <f>Delivery[[#This Row],[Valor Prêmio Nespresso BEN por saca (em US$)]]/1.3228/100</f>
        <v>0.51313343172810177</v>
      </c>
      <c r="AO493" s="171">
        <f>SUMIF(Allocation[Delivery ID],Delivery[[#This Row],[Delivery ID]],Allocation[Quantity allocated])*16*1.3228*Delivery[[#This Row],[Exchange rate VS USD]]/60</f>
        <v>1002.2944492160001</v>
      </c>
      <c r="AP493" s="171">
        <f>Delivery[[#This Row],[AAA Premium (total)]]</f>
        <v>11308.70923</v>
      </c>
      <c r="AQ493" s="171">
        <f>Delivery[[#This Row],[Valor pago pelo Cluster]]-Delivery[[#This Row],[Valor efetivamente pago pela Nespresso]]</f>
        <v>10306.414780784</v>
      </c>
    </row>
    <row r="494" spans="1:43" ht="15.75">
      <c r="A494" s="174" t="s">
        <v>69</v>
      </c>
      <c r="B494" s="232" t="s">
        <v>68</v>
      </c>
      <c r="C494" s="157">
        <v>1</v>
      </c>
      <c r="D494" s="157" t="s">
        <v>468</v>
      </c>
      <c r="E494" s="177" t="s">
        <v>468</v>
      </c>
      <c r="F494" s="233" t="s">
        <v>469</v>
      </c>
      <c r="G494" s="234">
        <v>42752</v>
      </c>
      <c r="H494" s="157" t="s">
        <v>639</v>
      </c>
      <c r="I494" s="157" t="s">
        <v>634</v>
      </c>
      <c r="J494" s="237">
        <v>30300</v>
      </c>
      <c r="K494" s="175" t="s">
        <v>61</v>
      </c>
      <c r="L494" s="175" t="s">
        <v>439</v>
      </c>
      <c r="M494" s="175" t="s">
        <v>1343</v>
      </c>
      <c r="N494" s="180"/>
      <c r="O494" s="177"/>
      <c r="P494" s="185">
        <v>0</v>
      </c>
      <c r="Q494" s="177">
        <v>42747</v>
      </c>
      <c r="R494" s="178">
        <v>476.42717000000005</v>
      </c>
      <c r="S494" s="179">
        <v>264988.74291373801</v>
      </c>
      <c r="T494" s="182" t="s">
        <v>45</v>
      </c>
      <c r="U494" s="183">
        <v>3.1783000000000001</v>
      </c>
      <c r="V494" s="179">
        <v>11235.290500000001</v>
      </c>
      <c r="W494" s="179">
        <v>3193.573543131</v>
      </c>
      <c r="X494" s="186" t="s">
        <v>45</v>
      </c>
      <c r="Y494" s="183">
        <v>3.1783000000000001</v>
      </c>
      <c r="Z494" s="220" t="s">
        <v>473</v>
      </c>
      <c r="AA494" s="172">
        <f>Delivery[[#This Row],[Quantity delivered]]*VLOOKUP(Delivery[[#This Row],[Unit]],Tab_Conversão[],4,FALSE)*VLOOKUP(CONCATENATE(Delivery[[#This Row],[Coffee specie]],Delivery[[#This Row],[Coffee state]]),Tab_Conversão[],4,FALSE)</f>
        <v>30300</v>
      </c>
      <c r="AB494" s="169">
        <f>SUMIF(Allocation!C:C,Delivery[[#This Row],[Delivery ID]],Allocation!D:D)/Delivery[[#This Row],[Quantity delivered]]</f>
        <v>6.5577557755775576E-2</v>
      </c>
      <c r="AC494" s="170">
        <f>Delivery[[#This Row],[Quantity delivered]]*Delivery[[#This Row],[Base price (Unidad)]]/60</f>
        <v>240595.72085000004</v>
      </c>
      <c r="AD494" s="171">
        <f>Delivery[[#This Row],[Nespresso total]]-Delivery[[#This Row],[Qt. Delivery * Base Price]]</f>
        <v>24393.022063737968</v>
      </c>
      <c r="AE494" s="171">
        <f>Delivery[[#This Row],[AAA Premium (total)]]/Delivery[[#This Row],[Quantity delivered]]*60/Delivery[[#This Row],[Exchange rate VS USD]]</f>
        <v>7</v>
      </c>
      <c r="AF494" s="171">
        <f>Delivery[[#This Row],[BEN premium (total)]]/Delivery[[#This Row],[Quantity delivered]]*60/Delivery[[#This Row],[Exchange rate for premiums VS USD]]</f>
        <v>1.989714</v>
      </c>
      <c r="AG494" s="171">
        <f>COUNTIF(Delivery[Delivery ID],Delivery[[#This Row],[Delivery ID]])</f>
        <v>1</v>
      </c>
      <c r="AH494" s="171">
        <f>(Delivery[[#This Row],[Nespresso total]]/SUMIF(Allocation!C:C,Delivery[Delivery ID],Allocation!H:H))/Delivery[[#This Row],[Exchange rate VS USD]]</f>
        <v>139.88987344007612</v>
      </c>
      <c r="AI494" s="171">
        <f>(Delivery[[#This Row],[AAA Premium (total)]]/SUMIF(Allocation!C:C,Delivery[Delivery ID],Allocation!H:H))/Delivery[[#This Row],[Exchange rate VS USD]]</f>
        <v>5.9312080536912761</v>
      </c>
      <c r="AJ494" s="171">
        <f>Delivery[[#This Row],[Valor Prêmio Nespresso AAA por Kg (em US$)]]*60</f>
        <v>355.87248322147656</v>
      </c>
      <c r="AK494" s="171">
        <f>Delivery[[#This Row],[Valor Prêmio Nespresso AAA por saca (em US$)]]/1.3228/100</f>
        <v>2.6902969702258588</v>
      </c>
      <c r="AL494" s="171">
        <f>(Delivery[[#This Row],[BEN premium (total)]]/SUMIF(Allocation!C:C,Delivery[Delivery ID],Allocation!H:H))/Delivery[[#This Row],[Exchange rate for premiums VS USD]]</f>
        <v>1.6859153859060401</v>
      </c>
      <c r="AM494" s="171">
        <f>Delivery[[#This Row],[Valor Prêmio Nespresso BEN por Kg (em US$)]]*60</f>
        <v>101.15492315436241</v>
      </c>
      <c r="AN494" s="171">
        <f>Delivery[[#This Row],[Valor Prêmio Nespresso BEN por saca (em US$)]]/1.3228/100</f>
        <v>0.7647030779737104</v>
      </c>
      <c r="AO494" s="171">
        <f>SUMIF(Allocation[Delivery ID],Delivery[[#This Row],[Delivery ID]],Allocation[Quantity allocated])*16*1.3228*Delivery[[#This Row],[Exchange rate VS USD]]/60</f>
        <v>668.19629947733324</v>
      </c>
      <c r="AP494" s="171">
        <f>Delivery[[#This Row],[AAA Premium (total)]]</f>
        <v>11235.290500000001</v>
      </c>
      <c r="AQ494" s="171">
        <f>Delivery[[#This Row],[Valor pago pelo Cluster]]-Delivery[[#This Row],[Valor efetivamente pago pela Nespresso]]</f>
        <v>10567.094200522668</v>
      </c>
    </row>
    <row r="495" spans="1:43" ht="15.75">
      <c r="A495" s="174" t="s">
        <v>69</v>
      </c>
      <c r="B495" s="232" t="s">
        <v>68</v>
      </c>
      <c r="C495" s="157">
        <v>1</v>
      </c>
      <c r="D495" s="157" t="s">
        <v>468</v>
      </c>
      <c r="E495" s="177" t="s">
        <v>468</v>
      </c>
      <c r="F495" s="233" t="s">
        <v>469</v>
      </c>
      <c r="G495" s="234">
        <v>42752</v>
      </c>
      <c r="H495" s="157" t="s">
        <v>640</v>
      </c>
      <c r="I495" s="157" t="s">
        <v>634</v>
      </c>
      <c r="J495" s="237">
        <v>30300</v>
      </c>
      <c r="K495" s="175" t="s">
        <v>61</v>
      </c>
      <c r="L495" s="175" t="s">
        <v>439</v>
      </c>
      <c r="M495" s="175" t="s">
        <v>1343</v>
      </c>
      <c r="N495" s="180"/>
      <c r="O495" s="177"/>
      <c r="P495" s="185">
        <v>0</v>
      </c>
      <c r="Q495" s="177">
        <v>42747</v>
      </c>
      <c r="R495" s="178">
        <v>476.42717000000005</v>
      </c>
      <c r="S495" s="179">
        <v>264988.74291373801</v>
      </c>
      <c r="T495" s="182" t="s">
        <v>45</v>
      </c>
      <c r="U495" s="183">
        <v>3.1783000000000001</v>
      </c>
      <c r="V495" s="179">
        <v>11235.290500000001</v>
      </c>
      <c r="W495" s="179">
        <v>3193.573543131</v>
      </c>
      <c r="X495" s="186" t="s">
        <v>45</v>
      </c>
      <c r="Y495" s="183">
        <v>3.1783000000000001</v>
      </c>
      <c r="Z495" s="220" t="s">
        <v>473</v>
      </c>
      <c r="AA495" s="172">
        <f>Delivery[[#This Row],[Quantity delivered]]*VLOOKUP(Delivery[[#This Row],[Unit]],Tab_Conversão[],4,FALSE)*VLOOKUP(CONCATENATE(Delivery[[#This Row],[Coffee specie]],Delivery[[#This Row],[Coffee state]]),Tab_Conversão[],4,FALSE)</f>
        <v>30300</v>
      </c>
      <c r="AB495" s="169">
        <f>SUMIF(Allocation!C:C,Delivery[[#This Row],[Delivery ID]],Allocation!D:D)/Delivery[[#This Row],[Quantity delivered]]</f>
        <v>8.5280528052805282E-2</v>
      </c>
      <c r="AC495" s="170">
        <f>Delivery[[#This Row],[Quantity delivered]]*Delivery[[#This Row],[Base price (Unidad)]]/60</f>
        <v>240595.72085000004</v>
      </c>
      <c r="AD495" s="171">
        <f>Delivery[[#This Row],[Nespresso total]]-Delivery[[#This Row],[Qt. Delivery * Base Price]]</f>
        <v>24393.022063737968</v>
      </c>
      <c r="AE495" s="171">
        <f>Delivery[[#This Row],[AAA Premium (total)]]/Delivery[[#This Row],[Quantity delivered]]*60/Delivery[[#This Row],[Exchange rate VS USD]]</f>
        <v>7</v>
      </c>
      <c r="AF495" s="171">
        <f>Delivery[[#This Row],[BEN premium (total)]]/Delivery[[#This Row],[Quantity delivered]]*60/Delivery[[#This Row],[Exchange rate for premiums VS USD]]</f>
        <v>1.989714</v>
      </c>
      <c r="AG495" s="171">
        <f>COUNTIF(Delivery[Delivery ID],Delivery[[#This Row],[Delivery ID]])</f>
        <v>1</v>
      </c>
      <c r="AH495" s="171">
        <f>(Delivery[[#This Row],[Nespresso total]]/SUMIF(Allocation!C:C,Delivery[Delivery ID],Allocation!H:H))/Delivery[[#This Row],[Exchange rate VS USD]]</f>
        <v>107.53403656544357</v>
      </c>
      <c r="AI495" s="171">
        <f>(Delivery[[#This Row],[AAA Premium (total)]]/SUMIF(Allocation!C:C,Delivery[Delivery ID],Allocation!H:H))/Delivery[[#This Row],[Exchange rate VS USD]]</f>
        <v>4.5593489223943351</v>
      </c>
      <c r="AJ495" s="171">
        <f>Delivery[[#This Row],[Valor Prêmio Nespresso AAA por Kg (em US$)]]*60</f>
        <v>273.56093534366011</v>
      </c>
      <c r="AK495" s="171">
        <f>Delivery[[#This Row],[Valor Prêmio Nespresso AAA por saca (em US$)]]/1.3228/100</f>
        <v>2.0680445671579992</v>
      </c>
      <c r="AL495" s="171">
        <f>(Delivery[[#This Row],[BEN premium (total)]]/SUMIF(Allocation!C:C,Delivery[Delivery ID],Allocation!H:H))/Delivery[[#This Row],[Exchange rate for premiums VS USD]]</f>
        <v>1.2959714831104174</v>
      </c>
      <c r="AM495" s="171">
        <f>Delivery[[#This Row],[Valor Prêmio Nespresso BEN por Kg (em US$)]]*60</f>
        <v>77.758288986625047</v>
      </c>
      <c r="AN495" s="171">
        <f>Delivery[[#This Row],[Valor Prêmio Nespresso BEN por saca (em US$)]]/1.3228/100</f>
        <v>0.58783103255688729</v>
      </c>
      <c r="AO495" s="171">
        <f>SUMIF(Allocation[Delivery ID],Delivery[[#This Row],[Delivery ID]],Allocation[Quantity allocated])*16*1.3228*Delivery[[#This Row],[Exchange rate VS USD]]/60</f>
        <v>869.24939072778682</v>
      </c>
      <c r="AP495" s="171">
        <f>Delivery[[#This Row],[AAA Premium (total)]]</f>
        <v>11235.290500000001</v>
      </c>
      <c r="AQ495" s="171">
        <f>Delivery[[#This Row],[Valor pago pelo Cluster]]-Delivery[[#This Row],[Valor efetivamente pago pela Nespresso]]</f>
        <v>10366.041109272213</v>
      </c>
    </row>
    <row r="496" spans="1:43" ht="15.75">
      <c r="A496" s="174" t="s">
        <v>69</v>
      </c>
      <c r="B496" s="232" t="s">
        <v>68</v>
      </c>
      <c r="C496" s="157">
        <v>1</v>
      </c>
      <c r="D496" s="157" t="s">
        <v>468</v>
      </c>
      <c r="E496" s="177" t="s">
        <v>468</v>
      </c>
      <c r="F496" s="233" t="s">
        <v>469</v>
      </c>
      <c r="G496" s="234">
        <v>42754</v>
      </c>
      <c r="H496" s="157" t="s">
        <v>641</v>
      </c>
      <c r="I496" s="157" t="s">
        <v>634</v>
      </c>
      <c r="J496" s="237">
        <v>22005</v>
      </c>
      <c r="K496" s="175" t="s">
        <v>61</v>
      </c>
      <c r="L496" s="175" t="s">
        <v>439</v>
      </c>
      <c r="M496" s="175" t="s">
        <v>1343</v>
      </c>
      <c r="N496" s="180"/>
      <c r="O496" s="177"/>
      <c r="P496" s="185">
        <v>0</v>
      </c>
      <c r="Q496" s="177">
        <v>42747</v>
      </c>
      <c r="R496" s="178">
        <v>476.42717000000005</v>
      </c>
      <c r="S496" s="179">
        <v>192767.21347745229</v>
      </c>
      <c r="T496" s="182" t="s">
        <v>45</v>
      </c>
      <c r="U496" s="183">
        <v>3.1783000000000001</v>
      </c>
      <c r="V496" s="179">
        <v>8159.4906750000009</v>
      </c>
      <c r="W496" s="179">
        <v>2319.29326127385</v>
      </c>
      <c r="X496" s="186" t="s">
        <v>45</v>
      </c>
      <c r="Y496" s="183">
        <v>3.1783000000000001</v>
      </c>
      <c r="Z496" s="220" t="s">
        <v>473</v>
      </c>
      <c r="AA496" s="172">
        <f>Delivery[[#This Row],[Quantity delivered]]*VLOOKUP(Delivery[[#This Row],[Unit]],Tab_Conversão[],4,FALSE)*VLOOKUP(CONCATENATE(Delivery[[#This Row],[Coffee specie]],Delivery[[#This Row],[Coffee state]]),Tab_Conversão[],4,FALSE)</f>
        <v>22005</v>
      </c>
      <c r="AB496" s="169">
        <f>SUMIF(Allocation!C:C,Delivery[[#This Row],[Delivery ID]],Allocation!D:D)/Delivery[[#This Row],[Quantity delivered]]</f>
        <v>8.1345148829811406E-2</v>
      </c>
      <c r="AC496" s="170">
        <f>Delivery[[#This Row],[Quantity delivered]]*Delivery[[#This Row],[Base price (Unidad)]]/60</f>
        <v>174729.66459750003</v>
      </c>
      <c r="AD496" s="171">
        <f>Delivery[[#This Row],[Nespresso total]]-Delivery[[#This Row],[Qt. Delivery * Base Price]]</f>
        <v>18037.548879952257</v>
      </c>
      <c r="AE496" s="171">
        <f>Delivery[[#This Row],[AAA Premium (total)]]/Delivery[[#This Row],[Quantity delivered]]*60/Delivery[[#This Row],[Exchange rate VS USD]]</f>
        <v>7</v>
      </c>
      <c r="AF496" s="171">
        <f>Delivery[[#This Row],[BEN premium (total)]]/Delivery[[#This Row],[Quantity delivered]]*60/Delivery[[#This Row],[Exchange rate for premiums VS USD]]</f>
        <v>1.989714</v>
      </c>
      <c r="AG496" s="171">
        <f>COUNTIF(Delivery[Delivery ID],Delivery[[#This Row],[Delivery ID]])</f>
        <v>1</v>
      </c>
      <c r="AH496" s="171">
        <f>(Delivery[[#This Row],[Nespresso total]]/SUMIF(Allocation!C:C,Delivery[Delivery ID],Allocation!H:H))/Delivery[[#This Row],[Exchange rate VS USD]]</f>
        <v>112.94421620956747</v>
      </c>
      <c r="AI496" s="171">
        <f>(Delivery[[#This Row],[AAA Premium (total)]]/SUMIF(Allocation!C:C,Delivery[Delivery ID],Allocation!H:H))/Delivery[[#This Row],[Exchange rate VS USD]]</f>
        <v>4.7807262569832405</v>
      </c>
      <c r="AJ496" s="171">
        <f>Delivery[[#This Row],[Valor Prêmio Nespresso AAA por Kg (em US$)]]*60</f>
        <v>286.84357541899442</v>
      </c>
      <c r="AK496" s="171">
        <f>Delivery[[#This Row],[Valor Prêmio Nespresso AAA por saca (em US$)]]/1.3228/100</f>
        <v>2.1684576309267798</v>
      </c>
      <c r="AL496" s="171">
        <f>(Delivery[[#This Row],[BEN premium (total)]]/SUMIF(Allocation!C:C,Delivery[Delivery ID],Allocation!H:H))/Delivery[[#This Row],[Exchange rate for premiums VS USD]]</f>
        <v>1.3588968519553071</v>
      </c>
      <c r="AM496" s="171">
        <f>Delivery[[#This Row],[Valor Prêmio Nespresso BEN por Kg (em US$)]]*60</f>
        <v>81.533811117318422</v>
      </c>
      <c r="AN496" s="171">
        <f>Delivery[[#This Row],[Valor Prêmio Nespresso BEN por saca (em US$)]]/1.3228/100</f>
        <v>0.61637292952312084</v>
      </c>
      <c r="AO496" s="171">
        <f>SUMIF(Allocation[Delivery ID],Delivery[[#This Row],[Delivery ID]],Allocation[Quantity allocated])*16*1.3228*Delivery[[#This Row],[Exchange rate VS USD]]/60</f>
        <v>602.04935036800009</v>
      </c>
      <c r="AP496" s="171">
        <f>Delivery[[#This Row],[AAA Premium (total)]]</f>
        <v>8159.4906750000009</v>
      </c>
      <c r="AQ496" s="171">
        <f>Delivery[[#This Row],[Valor pago pelo Cluster]]-Delivery[[#This Row],[Valor efetivamente pago pela Nespresso]]</f>
        <v>7557.4413246320009</v>
      </c>
    </row>
    <row r="497" spans="1:43" ht="15.75">
      <c r="A497" s="174" t="s">
        <v>69</v>
      </c>
      <c r="B497" s="232" t="s">
        <v>68</v>
      </c>
      <c r="C497" s="157">
        <v>1</v>
      </c>
      <c r="D497" s="157" t="s">
        <v>468</v>
      </c>
      <c r="E497" s="177" t="s">
        <v>468</v>
      </c>
      <c r="F497" s="233" t="s">
        <v>469</v>
      </c>
      <c r="G497" s="234">
        <v>42754</v>
      </c>
      <c r="H497" s="157" t="s">
        <v>642</v>
      </c>
      <c r="I497" s="157" t="s">
        <v>634</v>
      </c>
      <c r="J497" s="237">
        <v>30558</v>
      </c>
      <c r="K497" s="175" t="s">
        <v>61</v>
      </c>
      <c r="L497" s="175" t="s">
        <v>439</v>
      </c>
      <c r="M497" s="175" t="s">
        <v>1343</v>
      </c>
      <c r="N497" s="180"/>
      <c r="O497" s="177"/>
      <c r="P497" s="185">
        <v>0</v>
      </c>
      <c r="Q497" s="177">
        <v>42747</v>
      </c>
      <c r="R497" s="178">
        <v>476.42717000000005</v>
      </c>
      <c r="S497" s="179">
        <v>264934.3573048847</v>
      </c>
      <c r="T497" s="182" t="s">
        <v>45</v>
      </c>
      <c r="U497" s="183">
        <v>3.1783000000000001</v>
      </c>
      <c r="V497" s="179">
        <v>11330.957330000001</v>
      </c>
      <c r="W497" s="179">
        <v>3220.7663475576596</v>
      </c>
      <c r="X497" s="186" t="s">
        <v>45</v>
      </c>
      <c r="Y497" s="183">
        <v>3.1783000000000001</v>
      </c>
      <c r="Z497" s="220" t="s">
        <v>473</v>
      </c>
      <c r="AA497" s="172">
        <f>Delivery[[#This Row],[Quantity delivered]]*VLOOKUP(Delivery[[#This Row],[Unit]],Tab_Conversão[],4,FALSE)*VLOOKUP(CONCATENATE(Delivery[[#This Row],[Coffee specie]],Delivery[[#This Row],[Coffee state]]),Tab_Conversão[],4,FALSE)</f>
        <v>30558</v>
      </c>
      <c r="AB497" s="169">
        <f>SUMIF(Allocation!C:C,Delivery[[#This Row],[Delivery ID]],Allocation!D:D)/Delivery[[#This Row],[Quantity delivered]]</f>
        <v>1.9536618888670726E-2</v>
      </c>
      <c r="AC497" s="170">
        <f>Delivery[[#This Row],[Quantity delivered]]*Delivery[[#This Row],[Base price (Unidad)]]/60</f>
        <v>242644.35768100002</v>
      </c>
      <c r="AD497" s="171">
        <f>Delivery[[#This Row],[Nespresso total]]-Delivery[[#This Row],[Qt. Delivery * Base Price]]</f>
        <v>22289.99962388468</v>
      </c>
      <c r="AE497" s="171">
        <f>Delivery[[#This Row],[AAA Premium (total)]]/Delivery[[#This Row],[Quantity delivered]]*60/Delivery[[#This Row],[Exchange rate VS USD]]</f>
        <v>7</v>
      </c>
      <c r="AF497" s="171">
        <f>Delivery[[#This Row],[BEN premium (total)]]/Delivery[[#This Row],[Quantity delivered]]*60/Delivery[[#This Row],[Exchange rate for premiums VS USD]]</f>
        <v>1.9897139999999995</v>
      </c>
      <c r="AG497" s="171">
        <f>COUNTIF(Delivery[Delivery ID],Delivery[[#This Row],[Delivery ID]])</f>
        <v>1</v>
      </c>
      <c r="AH497" s="171">
        <f>(Delivery[[#This Row],[Nespresso total]]/SUMIF(Allocation!C:C,Delivery[Delivery ID],Allocation!H:H))/Delivery[[#This Row],[Exchange rate VS USD]]</f>
        <v>465.68297782058875</v>
      </c>
      <c r="AI497" s="171">
        <f>(Delivery[[#This Row],[AAA Premium (total)]]/SUMIF(Allocation!C:C,Delivery[Delivery ID],Allocation!H:H))/Delivery[[#This Row],[Exchange rate VS USD]]</f>
        <v>19.916759776536313</v>
      </c>
      <c r="AJ497" s="171">
        <f>Delivery[[#This Row],[Valor Prêmio Nespresso AAA por Kg (em US$)]]*60</f>
        <v>1195.0055865921788</v>
      </c>
      <c r="AK497" s="171">
        <f>Delivery[[#This Row],[Valor Prêmio Nespresso AAA por saca (em US$)]]/1.3228/100</f>
        <v>9.0339097867567197</v>
      </c>
      <c r="AL497" s="171">
        <f>(Delivery[[#This Row],[BEN premium (total)]]/SUMIF(Allocation!C:C,Delivery[Delivery ID],Allocation!H:H))/Delivery[[#This Row],[Exchange rate for premiums VS USD]]</f>
        <v>5.6612365374301667</v>
      </c>
      <c r="AM497" s="171">
        <f>Delivery[[#This Row],[Valor Prêmio Nespresso BEN por Kg (em US$)]]*60</f>
        <v>339.67419224580999</v>
      </c>
      <c r="AN497" s="171">
        <f>Delivery[[#This Row],[Valor Prêmio Nespresso BEN por saca (em US$)]]/1.3228/100</f>
        <v>2.5678423967781221</v>
      </c>
      <c r="AO497" s="171">
        <f>SUMIF(Allocation[Delivery ID],Delivery[[#This Row],[Delivery ID]],Allocation[Quantity allocated])*16*1.3228*Delivery[[#This Row],[Exchange rate VS USD]]/60</f>
        <v>200.68311678933333</v>
      </c>
      <c r="AP497" s="171">
        <f>Delivery[[#This Row],[AAA Premium (total)]]</f>
        <v>11330.957330000001</v>
      </c>
      <c r="AQ497" s="171">
        <f>Delivery[[#This Row],[Valor pago pelo Cluster]]-Delivery[[#This Row],[Valor efetivamente pago pela Nespresso]]</f>
        <v>11130.274213210669</v>
      </c>
    </row>
    <row r="498" spans="1:43" ht="15.75">
      <c r="A498" s="174" t="s">
        <v>69</v>
      </c>
      <c r="B498" s="232" t="s">
        <v>68</v>
      </c>
      <c r="C498" s="157">
        <v>1</v>
      </c>
      <c r="D498" s="157" t="s">
        <v>468</v>
      </c>
      <c r="E498" s="177" t="s">
        <v>468</v>
      </c>
      <c r="F498" s="233" t="s">
        <v>469</v>
      </c>
      <c r="G498" s="234">
        <v>42754</v>
      </c>
      <c r="H498" s="157" t="s">
        <v>643</v>
      </c>
      <c r="I498" s="157" t="s">
        <v>634</v>
      </c>
      <c r="J498" s="237">
        <v>30300</v>
      </c>
      <c r="K498" s="175" t="s">
        <v>61</v>
      </c>
      <c r="L498" s="175" t="s">
        <v>439</v>
      </c>
      <c r="M498" s="175" t="s">
        <v>1343</v>
      </c>
      <c r="N498" s="180"/>
      <c r="O498" s="177"/>
      <c r="P498" s="185">
        <v>0</v>
      </c>
      <c r="Q498" s="177">
        <v>42747</v>
      </c>
      <c r="R498" s="178">
        <v>476.42717000000005</v>
      </c>
      <c r="S498" s="179">
        <v>264988.74291373801</v>
      </c>
      <c r="T498" s="182" t="s">
        <v>45</v>
      </c>
      <c r="U498" s="183">
        <v>3.1783000000000001</v>
      </c>
      <c r="V498" s="179">
        <v>11235.290500000001</v>
      </c>
      <c r="W498" s="179">
        <v>3193.573543131</v>
      </c>
      <c r="X498" s="186" t="s">
        <v>45</v>
      </c>
      <c r="Y498" s="183">
        <v>3.1783000000000001</v>
      </c>
      <c r="Z498" s="220" t="s">
        <v>473</v>
      </c>
      <c r="AA498" s="172">
        <f>Delivery[[#This Row],[Quantity delivered]]*VLOOKUP(Delivery[[#This Row],[Unit]],Tab_Conversão[],4,FALSE)*VLOOKUP(CONCATENATE(Delivery[[#This Row],[Coffee specie]],Delivery[[#This Row],[Coffee state]]),Tab_Conversão[],4,FALSE)</f>
        <v>30300</v>
      </c>
      <c r="AB498" s="169">
        <f>SUMIF(Allocation!C:C,Delivery[[#This Row],[Delivery ID]],Allocation!D:D)/Delivery[[#This Row],[Quantity delivered]]</f>
        <v>1.9702970297029703E-2</v>
      </c>
      <c r="AC498" s="170">
        <f>Delivery[[#This Row],[Quantity delivered]]*Delivery[[#This Row],[Base price (Unidad)]]/60</f>
        <v>240595.72085000004</v>
      </c>
      <c r="AD498" s="171">
        <f>Delivery[[#This Row],[Nespresso total]]-Delivery[[#This Row],[Qt. Delivery * Base Price]]</f>
        <v>24393.022063737968</v>
      </c>
      <c r="AE498" s="171">
        <f>Delivery[[#This Row],[AAA Premium (total)]]/Delivery[[#This Row],[Quantity delivered]]*60/Delivery[[#This Row],[Exchange rate VS USD]]</f>
        <v>7</v>
      </c>
      <c r="AF498" s="171">
        <f>Delivery[[#This Row],[BEN premium (total)]]/Delivery[[#This Row],[Quantity delivered]]*60/Delivery[[#This Row],[Exchange rate for premiums VS USD]]</f>
        <v>1.989714</v>
      </c>
      <c r="AG498" s="171">
        <f>COUNTIF(Delivery[Delivery ID],Delivery[[#This Row],[Delivery ID]])</f>
        <v>1</v>
      </c>
      <c r="AH498" s="171">
        <f>(Delivery[[#This Row],[Nespresso total]]/SUMIF(Allocation!C:C,Delivery[Delivery ID],Allocation!H:H))/Delivery[[#This Row],[Exchange rate VS USD]]</f>
        <v>465.77857301835405</v>
      </c>
      <c r="AI498" s="171">
        <f>(Delivery[[#This Row],[AAA Premium (total)]]/SUMIF(Allocation!C:C,Delivery[Delivery ID],Allocation!H:H))/Delivery[[#This Row],[Exchange rate VS USD]]</f>
        <v>19.748603351955307</v>
      </c>
      <c r="AJ498" s="171">
        <f>Delivery[[#This Row],[Valor Prêmio Nespresso AAA por Kg (em US$)]]*60</f>
        <v>1184.9162011173185</v>
      </c>
      <c r="AK498" s="171">
        <f>Delivery[[#This Row],[Valor Prêmio Nespresso AAA por saca (em US$)]]/1.3228/100</f>
        <v>8.9576368394112382</v>
      </c>
      <c r="AL498" s="171">
        <f>(Delivery[[#This Row],[BEN premium (total)]]/SUMIF(Allocation!C:C,Delivery[Delivery ID],Allocation!H:H))/Delivery[[#This Row],[Exchange rate for premiums VS USD]]</f>
        <v>5.6134389385474863</v>
      </c>
      <c r="AM498" s="171">
        <f>Delivery[[#This Row],[Valor Prêmio Nespresso BEN por Kg (em US$)]]*60</f>
        <v>336.80633631284917</v>
      </c>
      <c r="AN498" s="171">
        <f>Delivery[[#This Row],[Valor Prêmio Nespresso BEN por saca (em US$)]]/1.3228/100</f>
        <v>2.5461622037560416</v>
      </c>
      <c r="AO498" s="171">
        <f>SUMIF(Allocation[Delivery ID],Delivery[[#This Row],[Delivery ID]],Allocation[Quantity allocated])*16*1.3228*Delivery[[#This Row],[Exchange rate VS USD]]/60</f>
        <v>200.68311678933333</v>
      </c>
      <c r="AP498" s="171">
        <f>Delivery[[#This Row],[AAA Premium (total)]]</f>
        <v>11235.290500000001</v>
      </c>
      <c r="AQ498" s="171">
        <f>Delivery[[#This Row],[Valor pago pelo Cluster]]-Delivery[[#This Row],[Valor efetivamente pago pela Nespresso]]</f>
        <v>11034.607383210667</v>
      </c>
    </row>
    <row r="499" spans="1:43" ht="15.75">
      <c r="A499" s="174" t="s">
        <v>69</v>
      </c>
      <c r="B499" s="232" t="s">
        <v>68</v>
      </c>
      <c r="C499" s="157">
        <v>1</v>
      </c>
      <c r="D499" s="157" t="s">
        <v>468</v>
      </c>
      <c r="E499" s="177" t="s">
        <v>468</v>
      </c>
      <c r="F499" s="233" t="s">
        <v>469</v>
      </c>
      <c r="G499" s="234">
        <v>42754</v>
      </c>
      <c r="H499" s="157" t="s">
        <v>644</v>
      </c>
      <c r="I499" s="157" t="s">
        <v>634</v>
      </c>
      <c r="J499" s="237">
        <v>30468</v>
      </c>
      <c r="K499" s="175" t="s">
        <v>61</v>
      </c>
      <c r="L499" s="175" t="s">
        <v>439</v>
      </c>
      <c r="M499" s="175" t="s">
        <v>1343</v>
      </c>
      <c r="N499" s="180"/>
      <c r="O499" s="177"/>
      <c r="P499" s="185">
        <v>0</v>
      </c>
      <c r="Q499" s="177">
        <v>42747</v>
      </c>
      <c r="R499" s="178">
        <v>476.42717000000005</v>
      </c>
      <c r="S499" s="179">
        <v>264953.32902890327</v>
      </c>
      <c r="T499" s="182" t="s">
        <v>45</v>
      </c>
      <c r="U499" s="183">
        <v>3.1783000000000001</v>
      </c>
      <c r="V499" s="179">
        <v>11297.58518</v>
      </c>
      <c r="W499" s="179">
        <v>3211.28048554836</v>
      </c>
      <c r="X499" s="186" t="s">
        <v>45</v>
      </c>
      <c r="Y499" s="183">
        <v>3.1783000000000001</v>
      </c>
      <c r="Z499" s="220" t="s">
        <v>473</v>
      </c>
      <c r="AA499" s="172">
        <f>Delivery[[#This Row],[Quantity delivered]]*VLOOKUP(Delivery[[#This Row],[Unit]],Tab_Conversão[],4,FALSE)*VLOOKUP(CONCATENATE(Delivery[[#This Row],[Coffee specie]],Delivery[[#This Row],[Coffee state]]),Tab_Conversão[],4,FALSE)</f>
        <v>30468</v>
      </c>
      <c r="AB499" s="169">
        <f>SUMIF(Allocation!C:C,Delivery[[#This Row],[Delivery ID]],Allocation!D:D)/Delivery[[#This Row],[Quantity delivered]]</f>
        <v>1.9594328475777866E-2</v>
      </c>
      <c r="AC499" s="170">
        <f>Delivery[[#This Row],[Quantity delivered]]*Delivery[[#This Row],[Base price (Unidad)]]/60</f>
        <v>241929.71692600002</v>
      </c>
      <c r="AD499" s="171">
        <f>Delivery[[#This Row],[Nespresso total]]-Delivery[[#This Row],[Qt. Delivery * Base Price]]</f>
        <v>23023.612102903251</v>
      </c>
      <c r="AE499" s="171">
        <f>Delivery[[#This Row],[AAA Premium (total)]]/Delivery[[#This Row],[Quantity delivered]]*60/Delivery[[#This Row],[Exchange rate VS USD]]</f>
        <v>6.9999999999999991</v>
      </c>
      <c r="AF499" s="171">
        <f>Delivery[[#This Row],[BEN premium (total)]]/Delivery[[#This Row],[Quantity delivered]]*60/Delivery[[#This Row],[Exchange rate for premiums VS USD]]</f>
        <v>1.989714</v>
      </c>
      <c r="AG499" s="171">
        <f>COUNTIF(Delivery[Delivery ID],Delivery[[#This Row],[Delivery ID]])</f>
        <v>1</v>
      </c>
      <c r="AH499" s="171">
        <f>(Delivery[[#This Row],[Nespresso total]]/SUMIF(Allocation!C:C,Delivery[Delivery ID],Allocation!H:H))/Delivery[[#This Row],[Exchange rate VS USD]]</f>
        <v>465.71632498259982</v>
      </c>
      <c r="AI499" s="171">
        <f>(Delivery[[#This Row],[AAA Premium (total)]]/SUMIF(Allocation!C:C,Delivery[Delivery ID],Allocation!H:H))/Delivery[[#This Row],[Exchange rate VS USD]]</f>
        <v>19.858100558659217</v>
      </c>
      <c r="AJ499" s="171">
        <f>Delivery[[#This Row],[Valor Prêmio Nespresso AAA por Kg (em US$)]]*60</f>
        <v>1191.4860335195531</v>
      </c>
      <c r="AK499" s="171">
        <f>Delivery[[#This Row],[Valor Prêmio Nespresso AAA por saca (em US$)]]/1.3228/100</f>
        <v>9.0073029446594575</v>
      </c>
      <c r="AL499" s="171">
        <f>(Delivery[[#This Row],[BEN premium (total)]]/SUMIF(Allocation!C:C,Delivery[Delivery ID],Allocation!H:H))/Delivery[[#This Row],[Exchange rate for premiums VS USD]]</f>
        <v>5.6445629564245801</v>
      </c>
      <c r="AM499" s="171">
        <f>Delivery[[#This Row],[Valor Prêmio Nespresso BEN por Kg (em US$)]]*60</f>
        <v>338.67377738547481</v>
      </c>
      <c r="AN499" s="171">
        <f>Delivery[[#This Row],[Valor Prêmio Nespresso BEN por saca (em US$)]]/1.3228/100</f>
        <v>2.5602795387471637</v>
      </c>
      <c r="AO499" s="171">
        <f>SUMIF(Allocation[Delivery ID],Delivery[[#This Row],[Delivery ID]],Allocation[Quantity allocated])*16*1.3228*Delivery[[#This Row],[Exchange rate VS USD]]/60</f>
        <v>200.68311678933333</v>
      </c>
      <c r="AP499" s="171">
        <f>Delivery[[#This Row],[AAA Premium (total)]]</f>
        <v>11297.58518</v>
      </c>
      <c r="AQ499" s="171">
        <f>Delivery[[#This Row],[Valor pago pelo Cluster]]-Delivery[[#This Row],[Valor efetivamente pago pela Nespresso]]</f>
        <v>11096.902063210666</v>
      </c>
    </row>
    <row r="500" spans="1:43" ht="15.75">
      <c r="A500" s="174" t="s">
        <v>69</v>
      </c>
      <c r="B500" s="232" t="s">
        <v>68</v>
      </c>
      <c r="C500" s="157">
        <v>1</v>
      </c>
      <c r="D500" s="157" t="s">
        <v>468</v>
      </c>
      <c r="E500" s="177" t="s">
        <v>468</v>
      </c>
      <c r="F500" s="233" t="s">
        <v>469</v>
      </c>
      <c r="G500" s="234">
        <v>42754</v>
      </c>
      <c r="H500" s="157" t="s">
        <v>645</v>
      </c>
      <c r="I500" s="157" t="s">
        <v>634</v>
      </c>
      <c r="J500" s="237">
        <v>12455</v>
      </c>
      <c r="K500" s="175" t="s">
        <v>61</v>
      </c>
      <c r="L500" s="175" t="s">
        <v>439</v>
      </c>
      <c r="M500" s="175" t="s">
        <v>1343</v>
      </c>
      <c r="N500" s="180"/>
      <c r="O500" s="177"/>
      <c r="P500" s="185">
        <v>0</v>
      </c>
      <c r="Q500" s="177">
        <v>42747</v>
      </c>
      <c r="R500" s="178">
        <v>476.42717000000005</v>
      </c>
      <c r="S500" s="179">
        <v>109686.5241927593</v>
      </c>
      <c r="T500" s="182" t="s">
        <v>45</v>
      </c>
      <c r="U500" s="183">
        <v>3.1783000000000001</v>
      </c>
      <c r="V500" s="179">
        <v>4618.3347583333334</v>
      </c>
      <c r="W500" s="179">
        <v>1312.7379036203502</v>
      </c>
      <c r="X500" s="186" t="s">
        <v>45</v>
      </c>
      <c r="Y500" s="183">
        <v>3.1783000000000001</v>
      </c>
      <c r="Z500" s="220" t="s">
        <v>473</v>
      </c>
      <c r="AA500" s="172">
        <f>Delivery[[#This Row],[Quantity delivered]]*VLOOKUP(Delivery[[#This Row],[Unit]],Tab_Conversão[],4,FALSE)*VLOOKUP(CONCATENATE(Delivery[[#This Row],[Coffee specie]],Delivery[[#This Row],[Coffee state]]),Tab_Conversão[],4,FALSE)</f>
        <v>12455</v>
      </c>
      <c r="AB500" s="169">
        <f>SUMIF(Allocation!C:C,Delivery[[#This Row],[Delivery ID]],Allocation!D:D)/Delivery[[#This Row],[Quantity delivered]]</f>
        <v>4.793255720594139E-2</v>
      </c>
      <c r="AC500" s="170">
        <f>Delivery[[#This Row],[Quantity delivered]]*Delivery[[#This Row],[Base price (Unidad)]]/60</f>
        <v>98898.34003916668</v>
      </c>
      <c r="AD500" s="171">
        <f>Delivery[[#This Row],[Nespresso total]]-Delivery[[#This Row],[Qt. Delivery * Base Price]]</f>
        <v>10788.184153592621</v>
      </c>
      <c r="AE500" s="171">
        <f>Delivery[[#This Row],[AAA Premium (total)]]/Delivery[[#This Row],[Quantity delivered]]*60/Delivery[[#This Row],[Exchange rate VS USD]]</f>
        <v>7</v>
      </c>
      <c r="AF500" s="171">
        <f>Delivery[[#This Row],[BEN premium (total)]]/Delivery[[#This Row],[Quantity delivered]]*60/Delivery[[#This Row],[Exchange rate for premiums VS USD]]</f>
        <v>1.9897140000000002</v>
      </c>
      <c r="AG500" s="171">
        <f>COUNTIF(Delivery[Delivery ID],Delivery[[#This Row],[Delivery ID]])</f>
        <v>1</v>
      </c>
      <c r="AH500" s="171">
        <f>(Delivery[[#This Row],[Nespresso total]]/SUMIF(Allocation!C:C,Delivery[Delivery ID],Allocation!H:H))/Delivery[[#This Row],[Exchange rate VS USD]]</f>
        <v>192.79925688948168</v>
      </c>
      <c r="AI500" s="171">
        <f>(Delivery[[#This Row],[AAA Premium (total)]]/SUMIF(Allocation!C:C,Delivery[Delivery ID],Allocation!H:H))/Delivery[[#This Row],[Exchange rate VS USD]]</f>
        <v>8.1177839851024203</v>
      </c>
      <c r="AJ500" s="171">
        <f>Delivery[[#This Row],[Valor Prêmio Nespresso AAA por Kg (em US$)]]*60</f>
        <v>487.06703910614522</v>
      </c>
      <c r="AK500" s="171">
        <f>Delivery[[#This Row],[Valor Prêmio Nespresso AAA por saca (em US$)]]/1.3228/100</f>
        <v>3.6820913146820775</v>
      </c>
      <c r="AL500" s="171">
        <f>(Delivery[[#This Row],[BEN premium (total)]]/SUMIF(Allocation!C:C,Delivery[Delivery ID],Allocation!H:H))/Delivery[[#This Row],[Exchange rate for premiums VS USD]]</f>
        <v>2.3074383491620112</v>
      </c>
      <c r="AM500" s="171">
        <f>Delivery[[#This Row],[Valor Prêmio Nespresso BEN por Kg (em US$)]]*60</f>
        <v>138.44630094972067</v>
      </c>
      <c r="AN500" s="171">
        <f>Delivery[[#This Row],[Valor Prêmio Nespresso BEN por saca (em US$)]]/1.3228/100</f>
        <v>1.0466155197287623</v>
      </c>
      <c r="AO500" s="171">
        <f>SUMIF(Allocation[Delivery ID],Delivery[[#This Row],[Delivery ID]],Allocation[Quantity allocated])*16*1.3228*Delivery[[#This Row],[Exchange rate VS USD]]/60</f>
        <v>200.68311678933333</v>
      </c>
      <c r="AP500" s="171">
        <f>Delivery[[#This Row],[AAA Premium (total)]]</f>
        <v>4618.3347583333334</v>
      </c>
      <c r="AQ500" s="171">
        <f>Delivery[[#This Row],[Valor pago pelo Cluster]]-Delivery[[#This Row],[Valor efetivamente pago pela Nespresso]]</f>
        <v>4417.6516415440001</v>
      </c>
    </row>
    <row r="501" spans="1:43" ht="15.75">
      <c r="A501" s="174" t="s">
        <v>69</v>
      </c>
      <c r="B501" s="232" t="s">
        <v>68</v>
      </c>
      <c r="C501" s="157">
        <v>1</v>
      </c>
      <c r="D501" s="157" t="s">
        <v>468</v>
      </c>
      <c r="E501" s="177" t="s">
        <v>468</v>
      </c>
      <c r="F501" s="233" t="s">
        <v>469</v>
      </c>
      <c r="G501" s="234">
        <v>42755</v>
      </c>
      <c r="H501" s="157" t="s">
        <v>646</v>
      </c>
      <c r="I501" s="157" t="s">
        <v>634</v>
      </c>
      <c r="J501" s="237">
        <v>17400</v>
      </c>
      <c r="K501" s="175" t="s">
        <v>61</v>
      </c>
      <c r="L501" s="175" t="s">
        <v>439</v>
      </c>
      <c r="M501" s="175" t="s">
        <v>1343</v>
      </c>
      <c r="N501" s="180"/>
      <c r="O501" s="177"/>
      <c r="P501" s="185">
        <v>0</v>
      </c>
      <c r="Q501" s="177">
        <v>42747</v>
      </c>
      <c r="R501" s="178">
        <v>476.42717000000005</v>
      </c>
      <c r="S501" s="179">
        <v>152959.90335640401</v>
      </c>
      <c r="T501" s="182" t="s">
        <v>45</v>
      </c>
      <c r="U501" s="183">
        <v>3.1783000000000001</v>
      </c>
      <c r="V501" s="179">
        <v>6451.9490000000005</v>
      </c>
      <c r="W501" s="179">
        <v>1833.933321798</v>
      </c>
      <c r="X501" s="186" t="s">
        <v>45</v>
      </c>
      <c r="Y501" s="183">
        <v>3.1783000000000001</v>
      </c>
      <c r="Z501" s="220" t="s">
        <v>473</v>
      </c>
      <c r="AA501" s="172">
        <f>Delivery[[#This Row],[Quantity delivered]]*VLOOKUP(Delivery[[#This Row],[Unit]],Tab_Conversão[],4,FALSE)*VLOOKUP(CONCATENATE(Delivery[[#This Row],[Coffee specie]],Delivery[[#This Row],[Coffee state]]),Tab_Conversão[],4,FALSE)</f>
        <v>17400</v>
      </c>
      <c r="AB501" s="169">
        <f>SUMIF(Allocation!C:C,Delivery[[#This Row],[Delivery ID]],Allocation!D:D)/Delivery[[#This Row],[Quantity delivered]]</f>
        <v>3.4310344827586207E-2</v>
      </c>
      <c r="AC501" s="170">
        <f>Delivery[[#This Row],[Quantity delivered]]*Delivery[[#This Row],[Base price (Unidad)]]/60</f>
        <v>138163.8793</v>
      </c>
      <c r="AD501" s="171">
        <f>Delivery[[#This Row],[Nespresso total]]-Delivery[[#This Row],[Qt. Delivery * Base Price]]</f>
        <v>14796.024056404014</v>
      </c>
      <c r="AE501" s="171">
        <f>Delivery[[#This Row],[AAA Premium (total)]]/Delivery[[#This Row],[Quantity delivered]]*60/Delivery[[#This Row],[Exchange rate VS USD]]</f>
        <v>7</v>
      </c>
      <c r="AF501" s="171">
        <f>Delivery[[#This Row],[BEN premium (total)]]/Delivery[[#This Row],[Quantity delivered]]*60/Delivery[[#This Row],[Exchange rate for premiums VS USD]]</f>
        <v>1.9897139999999995</v>
      </c>
      <c r="AG501" s="171">
        <f>COUNTIF(Delivery[Delivery ID],Delivery[[#This Row],[Delivery ID]])</f>
        <v>1</v>
      </c>
      <c r="AH501" s="171">
        <f>(Delivery[[#This Row],[Nespresso total]]/SUMIF(Allocation!C:C,Delivery[Delivery ID],Allocation!H:H))/Delivery[[#This Row],[Exchange rate VS USD]]</f>
        <v>268.86215893919609</v>
      </c>
      <c r="AI501" s="171">
        <f>(Delivery[[#This Row],[AAA Premium (total)]]/SUMIF(Allocation!C:C,Delivery[Delivery ID],Allocation!H:H))/Delivery[[#This Row],[Exchange rate VS USD]]</f>
        <v>11.340782122905027</v>
      </c>
      <c r="AJ501" s="171">
        <f>Delivery[[#This Row],[Valor Prêmio Nespresso AAA por Kg (em US$)]]*60</f>
        <v>680.44692737430159</v>
      </c>
      <c r="AK501" s="171">
        <f>Delivery[[#This Row],[Valor Prêmio Nespresso AAA por saca (em US$)]]/1.3228/100</f>
        <v>5.1439894721371457</v>
      </c>
      <c r="AL501" s="171">
        <f>(Delivery[[#This Row],[BEN premium (total)]]/SUMIF(Allocation!C:C,Delivery[Delivery ID],Allocation!H:H))/Delivery[[#This Row],[Exchange rate for premiums VS USD]]</f>
        <v>3.2235589944134078</v>
      </c>
      <c r="AM501" s="171">
        <f>Delivery[[#This Row],[Valor Prêmio Nespresso BEN por Kg (em US$)]]*60</f>
        <v>193.41353966480446</v>
      </c>
      <c r="AN501" s="171">
        <f>Delivery[[#This Row],[Valor Prêmio Nespresso BEN por saca (em US$)]]/1.3228/100</f>
        <v>1.4621525526519841</v>
      </c>
      <c r="AO501" s="171">
        <f>SUMIF(Allocation[Delivery ID],Delivery[[#This Row],[Delivery ID]],Allocation[Quantity allocated])*16*1.3228*Delivery[[#This Row],[Exchange rate VS USD]]/60</f>
        <v>200.68311678933333</v>
      </c>
      <c r="AP501" s="171">
        <f>Delivery[[#This Row],[AAA Premium (total)]]</f>
        <v>6451.9490000000005</v>
      </c>
      <c r="AQ501" s="171">
        <f>Delivery[[#This Row],[Valor pago pelo Cluster]]-Delivery[[#This Row],[Valor efetivamente pago pela Nespresso]]</f>
        <v>6251.2658832106672</v>
      </c>
    </row>
    <row r="502" spans="1:43" ht="15.75">
      <c r="A502" s="174" t="s">
        <v>69</v>
      </c>
      <c r="B502" s="232" t="s">
        <v>68</v>
      </c>
      <c r="C502" s="157">
        <v>1</v>
      </c>
      <c r="D502" s="157" t="s">
        <v>468</v>
      </c>
      <c r="E502" s="177" t="s">
        <v>468</v>
      </c>
      <c r="F502" s="233" t="s">
        <v>469</v>
      </c>
      <c r="G502" s="234">
        <v>42755</v>
      </c>
      <c r="H502" s="157" t="s">
        <v>647</v>
      </c>
      <c r="I502" s="157" t="s">
        <v>634</v>
      </c>
      <c r="J502" s="237">
        <v>13020</v>
      </c>
      <c r="K502" s="175" t="s">
        <v>61</v>
      </c>
      <c r="L502" s="175" t="s">
        <v>439</v>
      </c>
      <c r="M502" s="175" t="s">
        <v>1343</v>
      </c>
      <c r="N502" s="180"/>
      <c r="O502" s="177"/>
      <c r="P502" s="185">
        <v>0</v>
      </c>
      <c r="Q502" s="177">
        <v>42747</v>
      </c>
      <c r="R502" s="178">
        <v>476.42717000000005</v>
      </c>
      <c r="S502" s="179">
        <v>113866.45392530921</v>
      </c>
      <c r="T502" s="182" t="s">
        <v>45</v>
      </c>
      <c r="U502" s="183">
        <v>3.1783000000000001</v>
      </c>
      <c r="V502" s="179">
        <v>4827.8377</v>
      </c>
      <c r="W502" s="179">
        <v>1372.2880373454</v>
      </c>
      <c r="X502" s="186" t="s">
        <v>45</v>
      </c>
      <c r="Y502" s="183">
        <v>3.1783000000000001</v>
      </c>
      <c r="Z502" s="220" t="s">
        <v>473</v>
      </c>
      <c r="AA502" s="172">
        <f>Delivery[[#This Row],[Quantity delivered]]*VLOOKUP(Delivery[[#This Row],[Unit]],Tab_Conversão[],4,FALSE)*VLOOKUP(CONCATENATE(Delivery[[#This Row],[Coffee specie]],Delivery[[#This Row],[Coffee state]]),Tab_Conversão[],4,FALSE)</f>
        <v>13020</v>
      </c>
      <c r="AB502" s="169">
        <f>SUMIF(Allocation!C:C,Delivery[[#This Row],[Delivery ID]],Allocation!D:D)/Delivery[[#This Row],[Quantity delivered]]</f>
        <v>3.0491551459293394E-2</v>
      </c>
      <c r="AC502" s="170">
        <f>Delivery[[#This Row],[Quantity delivered]]*Delivery[[#This Row],[Base price (Unidad)]]/60</f>
        <v>103384.69589000002</v>
      </c>
      <c r="AD502" s="171">
        <f>Delivery[[#This Row],[Nespresso total]]-Delivery[[#This Row],[Qt. Delivery * Base Price]]</f>
        <v>10481.758035309191</v>
      </c>
      <c r="AE502" s="171">
        <f>Delivery[[#This Row],[AAA Premium (total)]]/Delivery[[#This Row],[Quantity delivered]]*60/Delivery[[#This Row],[Exchange rate VS USD]]</f>
        <v>7</v>
      </c>
      <c r="AF502" s="171">
        <f>Delivery[[#This Row],[BEN premium (total)]]/Delivery[[#This Row],[Quantity delivered]]*60/Delivery[[#This Row],[Exchange rate for premiums VS USD]]</f>
        <v>1.989714</v>
      </c>
      <c r="AG502" s="171">
        <f>COUNTIF(Delivery[Delivery ID],Delivery[[#This Row],[Delivery ID]])</f>
        <v>1</v>
      </c>
      <c r="AH502" s="171">
        <f>(Delivery[[#This Row],[Nespresso total]]/SUMIF(Allocation!C:C,Delivery[Delivery ID],Allocation!H:H))/Delivery[[#This Row],[Exchange rate VS USD]]</f>
        <v>301.06061647910502</v>
      </c>
      <c r="AI502" s="171">
        <f>(Delivery[[#This Row],[AAA Premium (total)]]/SUMIF(Allocation!C:C,Delivery[Delivery ID],Allocation!H:H))/Delivery[[#This Row],[Exchange rate VS USD]]</f>
        <v>12.76470588235294</v>
      </c>
      <c r="AJ502" s="171">
        <f>Delivery[[#This Row],[Valor Prêmio Nespresso AAA por Kg (em US$)]]*60</f>
        <v>765.88235294117646</v>
      </c>
      <c r="AK502" s="171">
        <f>Delivery[[#This Row],[Valor Prêmio Nespresso AAA por saca (em US$)]]/1.3228/100</f>
        <v>5.7898575214785035</v>
      </c>
      <c r="AL502" s="171">
        <f>(Delivery[[#This Row],[BEN premium (total)]]/SUMIF(Allocation!C:C,Delivery[Delivery ID],Allocation!H:H))/Delivery[[#This Row],[Exchange rate for premiums VS USD]]</f>
        <v>3.6283020000000001</v>
      </c>
      <c r="AM502" s="171">
        <f>Delivery[[#This Row],[Valor Prêmio Nespresso BEN por Kg (em US$)]]*60</f>
        <v>217.69812000000002</v>
      </c>
      <c r="AN502" s="171">
        <f>Delivery[[#This Row],[Valor Prêmio Nespresso BEN por saca (em US$)]]/1.3228/100</f>
        <v>1.6457372240701542</v>
      </c>
      <c r="AO502" s="171">
        <f>SUMIF(Allocation[Delivery ID],Delivery[[#This Row],[Delivery ID]],Allocation[Quantity allocated])*16*1.3228*Delivery[[#This Row],[Exchange rate VS USD]]/60</f>
        <v>133.41503294933332</v>
      </c>
      <c r="AP502" s="171">
        <f>Delivery[[#This Row],[AAA Premium (total)]]</f>
        <v>4827.8377</v>
      </c>
      <c r="AQ502" s="171">
        <f>Delivery[[#This Row],[Valor pago pelo Cluster]]-Delivery[[#This Row],[Valor efetivamente pago pela Nespresso]]</f>
        <v>4694.4226670506669</v>
      </c>
    </row>
    <row r="503" spans="1:43" ht="15.75">
      <c r="A503" s="174" t="s">
        <v>69</v>
      </c>
      <c r="B503" s="232" t="s">
        <v>68</v>
      </c>
      <c r="C503" s="157">
        <v>1</v>
      </c>
      <c r="D503" s="157" t="s">
        <v>468</v>
      </c>
      <c r="E503" s="177" t="s">
        <v>468</v>
      </c>
      <c r="F503" s="233" t="s">
        <v>469</v>
      </c>
      <c r="G503" s="234">
        <v>42755</v>
      </c>
      <c r="H503" s="157" t="s">
        <v>648</v>
      </c>
      <c r="I503" s="157" t="s">
        <v>634</v>
      </c>
      <c r="J503" s="237">
        <v>18480</v>
      </c>
      <c r="K503" s="175" t="s">
        <v>61</v>
      </c>
      <c r="L503" s="175" t="s">
        <v>439</v>
      </c>
      <c r="M503" s="175" t="s">
        <v>1343</v>
      </c>
      <c r="N503" s="180"/>
      <c r="O503" s="177"/>
      <c r="P503" s="185">
        <v>0</v>
      </c>
      <c r="Q503" s="177">
        <v>42747</v>
      </c>
      <c r="R503" s="178">
        <v>476.42717000000005</v>
      </c>
      <c r="S503" s="179">
        <v>161616.89266818084</v>
      </c>
      <c r="T503" s="182" t="s">
        <v>45</v>
      </c>
      <c r="U503" s="183">
        <v>3.1783000000000001</v>
      </c>
      <c r="V503" s="179">
        <v>6852.4148000000005</v>
      </c>
      <c r="W503" s="179">
        <v>1947.7636659096001</v>
      </c>
      <c r="X503" s="186" t="s">
        <v>45</v>
      </c>
      <c r="Y503" s="183">
        <v>3.1783000000000001</v>
      </c>
      <c r="Z503" s="220" t="s">
        <v>473</v>
      </c>
      <c r="AA503" s="172">
        <f>Delivery[[#This Row],[Quantity delivered]]*VLOOKUP(Delivery[[#This Row],[Unit]],Tab_Conversão[],4,FALSE)*VLOOKUP(CONCATENATE(Delivery[[#This Row],[Coffee specie]],Delivery[[#This Row],[Coffee state]]),Tab_Conversão[],4,FALSE)</f>
        <v>18480</v>
      </c>
      <c r="AB503" s="169">
        <f>SUMIF(Allocation!C:C,Delivery[[#This Row],[Delivery ID]],Allocation!D:D)/Delivery[[#This Row],[Quantity delivered]]</f>
        <v>3.2305194805194802E-2</v>
      </c>
      <c r="AC503" s="170">
        <f>Delivery[[#This Row],[Quantity delivered]]*Delivery[[#This Row],[Base price (Unidad)]]/60</f>
        <v>146739.56836</v>
      </c>
      <c r="AD503" s="171">
        <f>Delivery[[#This Row],[Nespresso total]]-Delivery[[#This Row],[Qt. Delivery * Base Price]]</f>
        <v>14877.324308180832</v>
      </c>
      <c r="AE503" s="171">
        <f>Delivery[[#This Row],[AAA Premium (total)]]/Delivery[[#This Row],[Quantity delivered]]*60/Delivery[[#This Row],[Exchange rate VS USD]]</f>
        <v>7</v>
      </c>
      <c r="AF503" s="171">
        <f>Delivery[[#This Row],[BEN premium (total)]]/Delivery[[#This Row],[Quantity delivered]]*60/Delivery[[#This Row],[Exchange rate for premiums VS USD]]</f>
        <v>1.989714</v>
      </c>
      <c r="AG503" s="171">
        <f>COUNTIF(Delivery[Delivery ID],Delivery[[#This Row],[Delivery ID]])</f>
        <v>1</v>
      </c>
      <c r="AH503" s="171">
        <f>(Delivery[[#This Row],[Nespresso total]]/SUMIF(Allocation!C:C,Delivery[Delivery ID],Allocation!H:H))/Delivery[[#This Row],[Exchange rate VS USD]]</f>
        <v>284.07880581987951</v>
      </c>
      <c r="AI503" s="171">
        <f>(Delivery[[#This Row],[AAA Premium (total)]]/SUMIF(Allocation!C:C,Delivery[Delivery ID],Allocation!H:H))/Delivery[[#This Row],[Exchange rate VS USD]]</f>
        <v>12.044692737430168</v>
      </c>
      <c r="AJ503" s="171">
        <f>Delivery[[#This Row],[Valor Prêmio Nespresso AAA por Kg (em US$)]]*60</f>
        <v>722.68156424581002</v>
      </c>
      <c r="AK503" s="171">
        <f>Delivery[[#This Row],[Valor Prêmio Nespresso AAA por saca (em US$)]]/1.3228/100</f>
        <v>5.4632715773042788</v>
      </c>
      <c r="AL503" s="171">
        <f>(Delivery[[#This Row],[BEN premium (total)]]/SUMIF(Allocation!C:C,Delivery[Delivery ID],Allocation!H:H))/Delivery[[#This Row],[Exchange rate for premiums VS USD]]</f>
        <v>3.4236419664804472</v>
      </c>
      <c r="AM503" s="171">
        <f>Delivery[[#This Row],[Valor Prêmio Nespresso BEN por Kg (em US$)]]*60</f>
        <v>205.41851798882684</v>
      </c>
      <c r="AN503" s="171">
        <f>Delivery[[#This Row],[Valor Prêmio Nespresso BEN por saca (em US$)]]/1.3228/100</f>
        <v>1.552906849023487</v>
      </c>
      <c r="AO503" s="171">
        <f>SUMIF(Allocation[Delivery ID],Delivery[[#This Row],[Delivery ID]],Allocation[Quantity allocated])*16*1.3228*Delivery[[#This Row],[Exchange rate VS USD]]/60</f>
        <v>200.68311678933333</v>
      </c>
      <c r="AP503" s="171">
        <f>Delivery[[#This Row],[AAA Premium (total)]]</f>
        <v>6852.4148000000005</v>
      </c>
      <c r="AQ503" s="171">
        <f>Delivery[[#This Row],[Valor pago pelo Cluster]]-Delivery[[#This Row],[Valor efetivamente pago pela Nespresso]]</f>
        <v>6651.7316832106671</v>
      </c>
    </row>
    <row r="504" spans="1:43" ht="15.75">
      <c r="A504" s="174" t="s">
        <v>69</v>
      </c>
      <c r="B504" s="232" t="s">
        <v>68</v>
      </c>
      <c r="C504" s="157">
        <v>1</v>
      </c>
      <c r="D504" s="157" t="s">
        <v>468</v>
      </c>
      <c r="E504" s="177" t="s">
        <v>468</v>
      </c>
      <c r="F504" s="233" t="s">
        <v>469</v>
      </c>
      <c r="G504" s="234">
        <v>42755</v>
      </c>
      <c r="H504" s="157" t="s">
        <v>649</v>
      </c>
      <c r="I504" s="157" t="s">
        <v>634</v>
      </c>
      <c r="J504" s="237">
        <v>30300</v>
      </c>
      <c r="K504" s="175" t="s">
        <v>61</v>
      </c>
      <c r="L504" s="175" t="s">
        <v>439</v>
      </c>
      <c r="M504" s="175" t="s">
        <v>1343</v>
      </c>
      <c r="N504" s="180"/>
      <c r="O504" s="177"/>
      <c r="P504" s="185">
        <v>0</v>
      </c>
      <c r="Q504" s="177">
        <v>42747</v>
      </c>
      <c r="R504" s="178">
        <v>476.42717000000005</v>
      </c>
      <c r="S504" s="179">
        <v>264988.74291373801</v>
      </c>
      <c r="T504" s="182" t="s">
        <v>45</v>
      </c>
      <c r="U504" s="183">
        <v>3.1783000000000001</v>
      </c>
      <c r="V504" s="179">
        <v>11235.290500000001</v>
      </c>
      <c r="W504" s="179">
        <v>3193.573543131</v>
      </c>
      <c r="X504" s="186" t="s">
        <v>45</v>
      </c>
      <c r="Y504" s="183">
        <v>3.1783000000000001</v>
      </c>
      <c r="Z504" s="220" t="s">
        <v>473</v>
      </c>
      <c r="AA504" s="172">
        <f>Delivery[[#This Row],[Quantity delivered]]*VLOOKUP(Delivery[[#This Row],[Unit]],Tab_Conversão[],4,FALSE)*VLOOKUP(CONCATENATE(Delivery[[#This Row],[Coffee specie]],Delivery[[#This Row],[Coffee state]]),Tab_Conversão[],4,FALSE)</f>
        <v>30300</v>
      </c>
      <c r="AB504" s="169">
        <f>SUMIF(Allocation!C:C,Delivery[[#This Row],[Delivery ID]],Allocation!D:D)/Delivery[[#This Row],[Quantity delivered]]</f>
        <v>1.9735973597359735E-2</v>
      </c>
      <c r="AC504" s="170">
        <f>Delivery[[#This Row],[Quantity delivered]]*Delivery[[#This Row],[Base price (Unidad)]]/60</f>
        <v>240595.72085000004</v>
      </c>
      <c r="AD504" s="171">
        <f>Delivery[[#This Row],[Nespresso total]]-Delivery[[#This Row],[Qt. Delivery * Base Price]]</f>
        <v>24393.022063737968</v>
      </c>
      <c r="AE504" s="171">
        <f>Delivery[[#This Row],[AAA Premium (total)]]/Delivery[[#This Row],[Quantity delivered]]*60/Delivery[[#This Row],[Exchange rate VS USD]]</f>
        <v>7</v>
      </c>
      <c r="AF504" s="171">
        <f>Delivery[[#This Row],[BEN premium (total)]]/Delivery[[#This Row],[Quantity delivered]]*60/Delivery[[#This Row],[Exchange rate for premiums VS USD]]</f>
        <v>1.989714</v>
      </c>
      <c r="AG504" s="171">
        <f>COUNTIF(Delivery[Delivery ID],Delivery[[#This Row],[Delivery ID]])</f>
        <v>1</v>
      </c>
      <c r="AH504" s="171">
        <f>(Delivery[[#This Row],[Nespresso total]]/SUMIF(Allocation!C:C,Delivery[Delivery ID],Allocation!H:H))/Delivery[[#This Row],[Exchange rate VS USD]]</f>
        <v>464.92145525168888</v>
      </c>
      <c r="AI504" s="171">
        <f>(Delivery[[#This Row],[AAA Premium (total)]]/SUMIF(Allocation!C:C,Delivery[Delivery ID],Allocation!H:H))/Delivery[[#This Row],[Exchange rate VS USD]]</f>
        <v>19.712262309708358</v>
      </c>
      <c r="AJ504" s="171">
        <f>Delivery[[#This Row],[Valor Prêmio Nespresso AAA por Kg (em US$)]]*60</f>
        <v>1182.7357385825014</v>
      </c>
      <c r="AK504" s="171">
        <f>Delivery[[#This Row],[Valor Prêmio Nespresso AAA por saca (em US$)]]/1.3228/100</f>
        <v>8.9411531492478176</v>
      </c>
      <c r="AL504" s="171">
        <f>(Delivery[[#This Row],[BEN premium (total)]]/SUMIF(Allocation!C:C,Delivery[Delivery ID],Allocation!H:H))/Delivery[[#This Row],[Exchange rate for premiums VS USD]]</f>
        <v>5.6031091841855796</v>
      </c>
      <c r="AM504" s="171">
        <f>Delivery[[#This Row],[Valor Prêmio Nespresso BEN por Kg (em US$)]]*60</f>
        <v>336.18655105113476</v>
      </c>
      <c r="AN504" s="171">
        <f>Delivery[[#This Row],[Valor Prêmio Nespresso BEN por saca (em US$)]]/1.3228/100</f>
        <v>2.5414767996003538</v>
      </c>
      <c r="AO504" s="171">
        <f>SUMIF(Allocation[Delivery ID],Delivery[[#This Row],[Delivery ID]],Allocation[Quantity allocated])*16*1.3228*Delivery[[#This Row],[Exchange rate VS USD]]/60</f>
        <v>201.05309125045335</v>
      </c>
      <c r="AP504" s="171">
        <f>Delivery[[#This Row],[AAA Premium (total)]]</f>
        <v>11235.290500000001</v>
      </c>
      <c r="AQ504" s="171">
        <f>Delivery[[#This Row],[Valor pago pelo Cluster]]-Delivery[[#This Row],[Valor efetivamente pago pela Nespresso]]</f>
        <v>11034.237408749548</v>
      </c>
    </row>
    <row r="505" spans="1:43" ht="15.75">
      <c r="A505" s="174" t="s">
        <v>69</v>
      </c>
      <c r="B505" s="232" t="s">
        <v>68</v>
      </c>
      <c r="C505" s="157">
        <v>2</v>
      </c>
      <c r="D505" s="157" t="s">
        <v>650</v>
      </c>
      <c r="E505" s="157" t="s">
        <v>650</v>
      </c>
      <c r="F505" s="233" t="s">
        <v>469</v>
      </c>
      <c r="G505" s="234">
        <v>42759</v>
      </c>
      <c r="H505" s="157" t="s">
        <v>651</v>
      </c>
      <c r="I505" s="157" t="s">
        <v>545</v>
      </c>
      <c r="J505" s="237">
        <v>30240</v>
      </c>
      <c r="K505" s="175" t="s">
        <v>61</v>
      </c>
      <c r="L505" s="175" t="s">
        <v>439</v>
      </c>
      <c r="M505" s="175" t="s">
        <v>1343</v>
      </c>
      <c r="N505" s="180"/>
      <c r="O505" s="177"/>
      <c r="P505" s="185">
        <v>0</v>
      </c>
      <c r="Q505" s="177">
        <v>42752</v>
      </c>
      <c r="R505" s="178">
        <v>481.39499999999998</v>
      </c>
      <c r="S505" s="179">
        <v>274567.87342490692</v>
      </c>
      <c r="T505" s="182" t="s">
        <v>45</v>
      </c>
      <c r="U505" s="183">
        <v>3.2092999999999998</v>
      </c>
      <c r="V505" s="179">
        <v>11322.410400000001</v>
      </c>
      <c r="W505" s="179">
        <v>4934.7832875465592</v>
      </c>
      <c r="X505" s="186" t="s">
        <v>45</v>
      </c>
      <c r="Y505" s="183">
        <v>3.2092999999999998</v>
      </c>
      <c r="Z505" s="220" t="s">
        <v>473</v>
      </c>
      <c r="AA505" s="172">
        <f>Delivery[[#This Row],[Quantity delivered]]*VLOOKUP(Delivery[[#This Row],[Unit]],Tab_Conversão[],4,FALSE)*VLOOKUP(CONCATENATE(Delivery[[#This Row],[Coffee specie]],Delivery[[#This Row],[Coffee state]]),Tab_Conversão[],4,FALSE)</f>
        <v>30240</v>
      </c>
      <c r="AB505" s="169">
        <f>SUMIF(Allocation!C:C,Delivery[[#This Row],[Delivery ID]],Allocation!D:D)/Delivery[[#This Row],[Quantity delivered]]</f>
        <v>1.7096560846560846E-2</v>
      </c>
      <c r="AC505" s="170">
        <f>Delivery[[#This Row],[Quantity delivered]]*Delivery[[#This Row],[Base price (Unidad)]]/60</f>
        <v>242623.08</v>
      </c>
      <c r="AD505" s="171">
        <f>Delivery[[#This Row],[Nespresso total]]-Delivery[[#This Row],[Qt. Delivery * Base Price]]</f>
        <v>31944.793424906937</v>
      </c>
      <c r="AE505" s="171">
        <f>Delivery[[#This Row],[AAA Premium (total)]]/Delivery[[#This Row],[Quantity delivered]]*60/Delivery[[#This Row],[Exchange rate VS USD]]</f>
        <v>7</v>
      </c>
      <c r="AF505" s="171">
        <f>Delivery[[#This Row],[BEN premium (total)]]/Delivery[[#This Row],[Quantity delivered]]*60/Delivery[[#This Row],[Exchange rate for premiums VS USD]]</f>
        <v>3.0508948</v>
      </c>
      <c r="AG505" s="171">
        <f>COUNTIF(Delivery[Delivery ID],Delivery[[#This Row],[Delivery ID]])</f>
        <v>1</v>
      </c>
      <c r="AH505" s="171">
        <f>(Delivery[[#This Row],[Nespresso total]]/SUMIF(Allocation!C:C,Delivery[Delivery ID],Allocation!H:H))/Delivery[[#This Row],[Exchange rate VS USD]]</f>
        <v>359.46983049119973</v>
      </c>
      <c r="AI505" s="171">
        <f>(Delivery[[#This Row],[AAA Premium (total)]]/SUMIF(Allocation!C:C,Delivery[Delivery ID],Allocation!H:H))/Delivery[[#This Row],[Exchange rate VS USD]]</f>
        <v>14.823529411764708</v>
      </c>
      <c r="AJ505" s="171">
        <f>Delivery[[#This Row],[Valor Prêmio Nespresso AAA por Kg (em US$)]]*60</f>
        <v>889.41176470588255</v>
      </c>
      <c r="AK505" s="171">
        <f>Delivery[[#This Row],[Valor Prêmio Nespresso AAA por saca (em US$)]]/1.3228/100</f>
        <v>6.7237055088137483</v>
      </c>
      <c r="AL505" s="171">
        <f>(Delivery[[#This Row],[BEN premium (total)]]/SUMIF(Allocation!C:C,Delivery[Delivery ID],Allocation!H:H))/Delivery[[#This Row],[Exchange rate for premiums VS USD]]</f>
        <v>6.4607183999999993</v>
      </c>
      <c r="AM505" s="171">
        <f>Delivery[[#This Row],[Valor Prêmio Nespresso BEN por Kg (em US$)]]*60</f>
        <v>387.64310399999994</v>
      </c>
      <c r="AN505" s="171">
        <f>Delivery[[#This Row],[Valor Prêmio Nespresso BEN por saca (em US$)]]/1.3228/100</f>
        <v>2.9304740247958869</v>
      </c>
      <c r="AO505" s="171">
        <f>SUMIF(Allocation[Delivery ID],Delivery[[#This Row],[Delivery ID]],Allocation[Quantity allocated])*16*1.3228*Delivery[[#This Row],[Exchange rate VS USD]]/60</f>
        <v>269.4326308053333</v>
      </c>
      <c r="AP505" s="171">
        <f>Delivery[[#This Row],[AAA Premium (total)]]</f>
        <v>11322.410400000001</v>
      </c>
      <c r="AQ505" s="171">
        <f>Delivery[[#This Row],[Valor pago pelo Cluster]]-Delivery[[#This Row],[Valor efetivamente pago pela Nespresso]]</f>
        <v>11052.977769194667</v>
      </c>
    </row>
    <row r="506" spans="1:43" ht="15.75">
      <c r="A506" s="174" t="s">
        <v>69</v>
      </c>
      <c r="B506" s="232" t="s">
        <v>68</v>
      </c>
      <c r="C506" s="157">
        <v>2</v>
      </c>
      <c r="D506" s="157" t="s">
        <v>650</v>
      </c>
      <c r="E506" s="157" t="s">
        <v>650</v>
      </c>
      <c r="F506" s="233" t="s">
        <v>469</v>
      </c>
      <c r="G506" s="234">
        <v>42759</v>
      </c>
      <c r="H506" s="157" t="s">
        <v>652</v>
      </c>
      <c r="I506" s="157" t="s">
        <v>545</v>
      </c>
      <c r="J506" s="237">
        <v>30240</v>
      </c>
      <c r="K506" s="175" t="s">
        <v>61</v>
      </c>
      <c r="L506" s="175" t="s">
        <v>439</v>
      </c>
      <c r="M506" s="175" t="s">
        <v>1343</v>
      </c>
      <c r="N506" s="180"/>
      <c r="O506" s="177"/>
      <c r="P506" s="185">
        <v>0</v>
      </c>
      <c r="Q506" s="177">
        <v>42752</v>
      </c>
      <c r="R506" s="178">
        <v>481.39499999999998</v>
      </c>
      <c r="S506" s="179">
        <v>274567.87342490692</v>
      </c>
      <c r="T506" s="182" t="s">
        <v>45</v>
      </c>
      <c r="U506" s="183">
        <v>3.2092999999999998</v>
      </c>
      <c r="V506" s="179">
        <v>11322.410400000001</v>
      </c>
      <c r="W506" s="179">
        <v>4934.7832875465592</v>
      </c>
      <c r="X506" s="186" t="s">
        <v>45</v>
      </c>
      <c r="Y506" s="183">
        <v>3.2092999999999998</v>
      </c>
      <c r="Z506" s="220" t="s">
        <v>473</v>
      </c>
      <c r="AA506" s="172">
        <f>Delivery[[#This Row],[Quantity delivered]]*VLOOKUP(Delivery[[#This Row],[Unit]],Tab_Conversão[],4,FALSE)*VLOOKUP(CONCATENATE(Delivery[[#This Row],[Coffee specie]],Delivery[[#This Row],[Coffee state]]),Tab_Conversão[],4,FALSE)</f>
        <v>30240</v>
      </c>
      <c r="AB506" s="169">
        <f>SUMIF(Allocation!C:C,Delivery[[#This Row],[Delivery ID]],Allocation!D:D)/Delivery[[#This Row],[Quantity delivered]]</f>
        <v>1.7096560846560846E-2</v>
      </c>
      <c r="AC506" s="170">
        <f>Delivery[[#This Row],[Quantity delivered]]*Delivery[[#This Row],[Base price (Unidad)]]/60</f>
        <v>242623.08</v>
      </c>
      <c r="AD506" s="171">
        <f>Delivery[[#This Row],[Nespresso total]]-Delivery[[#This Row],[Qt. Delivery * Base Price]]</f>
        <v>31944.793424906937</v>
      </c>
      <c r="AE506" s="171">
        <f>Delivery[[#This Row],[AAA Premium (total)]]/Delivery[[#This Row],[Quantity delivered]]*60/Delivery[[#This Row],[Exchange rate VS USD]]</f>
        <v>7</v>
      </c>
      <c r="AF506" s="171">
        <f>Delivery[[#This Row],[BEN premium (total)]]/Delivery[[#This Row],[Quantity delivered]]*60/Delivery[[#This Row],[Exchange rate for premiums VS USD]]</f>
        <v>3.0508948</v>
      </c>
      <c r="AG506" s="171">
        <f>COUNTIF(Delivery[Delivery ID],Delivery[[#This Row],[Delivery ID]])</f>
        <v>1</v>
      </c>
      <c r="AH506" s="171">
        <f>(Delivery[[#This Row],[Nespresso total]]/SUMIF(Allocation!C:C,Delivery[Delivery ID],Allocation!H:H))/Delivery[[#This Row],[Exchange rate VS USD]]</f>
        <v>359.46983049119973</v>
      </c>
      <c r="AI506" s="171">
        <f>(Delivery[[#This Row],[AAA Premium (total)]]/SUMIF(Allocation!C:C,Delivery[Delivery ID],Allocation!H:H))/Delivery[[#This Row],[Exchange rate VS USD]]</f>
        <v>14.823529411764708</v>
      </c>
      <c r="AJ506" s="171">
        <f>Delivery[[#This Row],[Valor Prêmio Nespresso AAA por Kg (em US$)]]*60</f>
        <v>889.41176470588255</v>
      </c>
      <c r="AK506" s="171">
        <f>Delivery[[#This Row],[Valor Prêmio Nespresso AAA por saca (em US$)]]/1.3228/100</f>
        <v>6.7237055088137483</v>
      </c>
      <c r="AL506" s="171">
        <f>(Delivery[[#This Row],[BEN premium (total)]]/SUMIF(Allocation!C:C,Delivery[Delivery ID],Allocation!H:H))/Delivery[[#This Row],[Exchange rate for premiums VS USD]]</f>
        <v>6.4607183999999993</v>
      </c>
      <c r="AM506" s="171">
        <f>Delivery[[#This Row],[Valor Prêmio Nespresso BEN por Kg (em US$)]]*60</f>
        <v>387.64310399999994</v>
      </c>
      <c r="AN506" s="171">
        <f>Delivery[[#This Row],[Valor Prêmio Nespresso BEN por saca (em US$)]]/1.3228/100</f>
        <v>2.9304740247958869</v>
      </c>
      <c r="AO506" s="171">
        <f>SUMIF(Allocation[Delivery ID],Delivery[[#This Row],[Delivery ID]],Allocation[Quantity allocated])*16*1.3228*Delivery[[#This Row],[Exchange rate VS USD]]/60</f>
        <v>269.4326308053333</v>
      </c>
      <c r="AP506" s="171">
        <f>Delivery[[#This Row],[AAA Premium (total)]]</f>
        <v>11322.410400000001</v>
      </c>
      <c r="AQ506" s="171">
        <f>Delivery[[#This Row],[Valor pago pelo Cluster]]-Delivery[[#This Row],[Valor efetivamente pago pela Nespresso]]</f>
        <v>11052.977769194667</v>
      </c>
    </row>
    <row r="507" spans="1:43" ht="15.75">
      <c r="A507" s="174" t="s">
        <v>69</v>
      </c>
      <c r="B507" s="232" t="s">
        <v>68</v>
      </c>
      <c r="C507" s="157">
        <v>2</v>
      </c>
      <c r="D507" s="157" t="s">
        <v>650</v>
      </c>
      <c r="E507" s="157" t="s">
        <v>650</v>
      </c>
      <c r="F507" s="233" t="s">
        <v>469</v>
      </c>
      <c r="G507" s="234">
        <v>42759</v>
      </c>
      <c r="H507" s="157" t="s">
        <v>653</v>
      </c>
      <c r="I507" s="157" t="s">
        <v>545</v>
      </c>
      <c r="J507" s="237">
        <v>30240</v>
      </c>
      <c r="K507" s="175" t="s">
        <v>61</v>
      </c>
      <c r="L507" s="175" t="s">
        <v>439</v>
      </c>
      <c r="M507" s="175" t="s">
        <v>1343</v>
      </c>
      <c r="N507" s="180"/>
      <c r="O507" s="177"/>
      <c r="P507" s="185">
        <v>0</v>
      </c>
      <c r="Q507" s="177">
        <v>42752</v>
      </c>
      <c r="R507" s="178">
        <v>481.39499999999998</v>
      </c>
      <c r="S507" s="179">
        <v>274567.87342490692</v>
      </c>
      <c r="T507" s="182" t="s">
        <v>45</v>
      </c>
      <c r="U507" s="183">
        <v>3.2092999999999998</v>
      </c>
      <c r="V507" s="179">
        <v>11322.410400000001</v>
      </c>
      <c r="W507" s="179">
        <v>4934.7832875465592</v>
      </c>
      <c r="X507" s="186" t="s">
        <v>45</v>
      </c>
      <c r="Y507" s="183">
        <v>3.2092999999999998</v>
      </c>
      <c r="Z507" s="220" t="s">
        <v>473</v>
      </c>
      <c r="AA507" s="172">
        <f>Delivery[[#This Row],[Quantity delivered]]*VLOOKUP(Delivery[[#This Row],[Unit]],Tab_Conversão[],4,FALSE)*VLOOKUP(CONCATENATE(Delivery[[#This Row],[Coffee specie]],Delivery[[#This Row],[Coffee state]]),Tab_Conversão[],4,FALSE)</f>
        <v>30240</v>
      </c>
      <c r="AB507" s="169">
        <f>SUMIF(Allocation!C:C,Delivery[[#This Row],[Delivery ID]],Allocation!D:D)/Delivery[[#This Row],[Quantity delivered]]</f>
        <v>1.7096560846560846E-2</v>
      </c>
      <c r="AC507" s="170">
        <f>Delivery[[#This Row],[Quantity delivered]]*Delivery[[#This Row],[Base price (Unidad)]]/60</f>
        <v>242623.08</v>
      </c>
      <c r="AD507" s="171">
        <f>Delivery[[#This Row],[Nespresso total]]-Delivery[[#This Row],[Qt. Delivery * Base Price]]</f>
        <v>31944.793424906937</v>
      </c>
      <c r="AE507" s="171">
        <f>Delivery[[#This Row],[AAA Premium (total)]]/Delivery[[#This Row],[Quantity delivered]]*60/Delivery[[#This Row],[Exchange rate VS USD]]</f>
        <v>7</v>
      </c>
      <c r="AF507" s="171">
        <f>Delivery[[#This Row],[BEN premium (total)]]/Delivery[[#This Row],[Quantity delivered]]*60/Delivery[[#This Row],[Exchange rate for premiums VS USD]]</f>
        <v>3.0508948</v>
      </c>
      <c r="AG507" s="171">
        <f>COUNTIF(Delivery[Delivery ID],Delivery[[#This Row],[Delivery ID]])</f>
        <v>1</v>
      </c>
      <c r="AH507" s="171">
        <f>(Delivery[[#This Row],[Nespresso total]]/SUMIF(Allocation!C:C,Delivery[Delivery ID],Allocation!H:H))/Delivery[[#This Row],[Exchange rate VS USD]]</f>
        <v>359.46983049119973</v>
      </c>
      <c r="AI507" s="171">
        <f>(Delivery[[#This Row],[AAA Premium (total)]]/SUMIF(Allocation!C:C,Delivery[Delivery ID],Allocation!H:H))/Delivery[[#This Row],[Exchange rate VS USD]]</f>
        <v>14.823529411764708</v>
      </c>
      <c r="AJ507" s="171">
        <f>Delivery[[#This Row],[Valor Prêmio Nespresso AAA por Kg (em US$)]]*60</f>
        <v>889.41176470588255</v>
      </c>
      <c r="AK507" s="171">
        <f>Delivery[[#This Row],[Valor Prêmio Nespresso AAA por saca (em US$)]]/1.3228/100</f>
        <v>6.7237055088137483</v>
      </c>
      <c r="AL507" s="171">
        <f>(Delivery[[#This Row],[BEN premium (total)]]/SUMIF(Allocation!C:C,Delivery[Delivery ID],Allocation!H:H))/Delivery[[#This Row],[Exchange rate for premiums VS USD]]</f>
        <v>6.4607183999999993</v>
      </c>
      <c r="AM507" s="171">
        <f>Delivery[[#This Row],[Valor Prêmio Nespresso BEN por Kg (em US$)]]*60</f>
        <v>387.64310399999994</v>
      </c>
      <c r="AN507" s="171">
        <f>Delivery[[#This Row],[Valor Prêmio Nespresso BEN por saca (em US$)]]/1.3228/100</f>
        <v>2.9304740247958869</v>
      </c>
      <c r="AO507" s="171">
        <f>SUMIF(Allocation[Delivery ID],Delivery[[#This Row],[Delivery ID]],Allocation[Quantity allocated])*16*1.3228*Delivery[[#This Row],[Exchange rate VS USD]]/60</f>
        <v>269.4326308053333</v>
      </c>
      <c r="AP507" s="171">
        <f>Delivery[[#This Row],[AAA Premium (total)]]</f>
        <v>11322.410400000001</v>
      </c>
      <c r="AQ507" s="171">
        <f>Delivery[[#This Row],[Valor pago pelo Cluster]]-Delivery[[#This Row],[Valor efetivamente pago pela Nespresso]]</f>
        <v>11052.977769194667</v>
      </c>
    </row>
    <row r="508" spans="1:43" ht="15.75">
      <c r="A508" s="174" t="s">
        <v>69</v>
      </c>
      <c r="B508" s="232" t="s">
        <v>68</v>
      </c>
      <c r="C508" s="157">
        <v>2</v>
      </c>
      <c r="D508" s="157" t="s">
        <v>650</v>
      </c>
      <c r="E508" s="157" t="s">
        <v>650</v>
      </c>
      <c r="F508" s="233" t="s">
        <v>469</v>
      </c>
      <c r="G508" s="234">
        <v>42759</v>
      </c>
      <c r="H508" s="157" t="s">
        <v>654</v>
      </c>
      <c r="I508" s="157" t="s">
        <v>545</v>
      </c>
      <c r="J508" s="237">
        <v>22140</v>
      </c>
      <c r="K508" s="175" t="s">
        <v>61</v>
      </c>
      <c r="L508" s="175" t="s">
        <v>439</v>
      </c>
      <c r="M508" s="175" t="s">
        <v>1343</v>
      </c>
      <c r="N508" s="180"/>
      <c r="O508" s="177"/>
      <c r="P508" s="185">
        <v>0</v>
      </c>
      <c r="Q508" s="177">
        <v>42752</v>
      </c>
      <c r="R508" s="178">
        <v>481.39499999999998</v>
      </c>
      <c r="S508" s="179">
        <v>201022.90732894969</v>
      </c>
      <c r="T508" s="182" t="s">
        <v>45</v>
      </c>
      <c r="U508" s="183">
        <v>3.2092999999999998</v>
      </c>
      <c r="V508" s="179">
        <v>8289.6219000000001</v>
      </c>
      <c r="W508" s="179">
        <v>3612.9663355251596</v>
      </c>
      <c r="X508" s="186" t="s">
        <v>45</v>
      </c>
      <c r="Y508" s="183">
        <v>3.2092999999999998</v>
      </c>
      <c r="Z508" s="220" t="s">
        <v>473</v>
      </c>
      <c r="AA508" s="172">
        <f>Delivery[[#This Row],[Quantity delivered]]*VLOOKUP(Delivery[[#This Row],[Unit]],Tab_Conversão[],4,FALSE)*VLOOKUP(CONCATENATE(Delivery[[#This Row],[Coffee specie]],Delivery[[#This Row],[Coffee state]]),Tab_Conversão[],4,FALSE)</f>
        <v>22140</v>
      </c>
      <c r="AB508" s="169">
        <f>SUMIF(Allocation!C:C,Delivery[[#This Row],[Delivery ID]],Allocation!D:D)/Delivery[[#This Row],[Quantity delivered]]</f>
        <v>2.3351400180668475E-2</v>
      </c>
      <c r="AC508" s="170">
        <f>Delivery[[#This Row],[Quantity delivered]]*Delivery[[#This Row],[Base price (Unidad)]]/60</f>
        <v>177634.75499999998</v>
      </c>
      <c r="AD508" s="171">
        <f>Delivery[[#This Row],[Nespresso total]]-Delivery[[#This Row],[Qt. Delivery * Base Price]]</f>
        <v>23388.152328949713</v>
      </c>
      <c r="AE508" s="171">
        <f>Delivery[[#This Row],[AAA Premium (total)]]/Delivery[[#This Row],[Quantity delivered]]*60/Delivery[[#This Row],[Exchange rate VS USD]]</f>
        <v>7</v>
      </c>
      <c r="AF508" s="171">
        <f>Delivery[[#This Row],[BEN premium (total)]]/Delivery[[#This Row],[Quantity delivered]]*60/Delivery[[#This Row],[Exchange rate for premiums VS USD]]</f>
        <v>3.0508948</v>
      </c>
      <c r="AG508" s="171">
        <f>COUNTIF(Delivery[Delivery ID],Delivery[[#This Row],[Delivery ID]])</f>
        <v>1</v>
      </c>
      <c r="AH508" s="171">
        <f>(Delivery[[#This Row],[Nespresso total]]/SUMIF(Allocation!C:C,Delivery[Delivery ID],Allocation!H:H))/Delivery[[#This Row],[Exchange rate VS USD]]</f>
        <v>263.1832687524855</v>
      </c>
      <c r="AI508" s="171">
        <f>(Delivery[[#This Row],[AAA Premium (total)]]/SUMIF(Allocation!C:C,Delivery[Delivery ID],Allocation!H:H))/Delivery[[#This Row],[Exchange rate VS USD]]</f>
        <v>10.852941176470589</v>
      </c>
      <c r="AJ508" s="171">
        <f>Delivery[[#This Row],[Valor Prêmio Nespresso AAA por Kg (em US$)]]*60</f>
        <v>651.17647058823536</v>
      </c>
      <c r="AK508" s="171">
        <f>Delivery[[#This Row],[Valor Prêmio Nespresso AAA por saca (em US$)]]/1.3228/100</f>
        <v>4.9227129618100651</v>
      </c>
      <c r="AL508" s="171">
        <f>(Delivery[[#This Row],[BEN premium (total)]]/SUMIF(Allocation!C:C,Delivery[Delivery ID],Allocation!H:H))/Delivery[[#This Row],[Exchange rate for premiums VS USD]]</f>
        <v>4.7301688285714283</v>
      </c>
      <c r="AM508" s="171">
        <f>Delivery[[#This Row],[Valor Prêmio Nespresso BEN por Kg (em US$)]]*60</f>
        <v>283.81012971428572</v>
      </c>
      <c r="AN508" s="171">
        <f>Delivery[[#This Row],[Valor Prêmio Nespresso BEN por saca (em US$)]]/1.3228/100</f>
        <v>2.145525625296989</v>
      </c>
      <c r="AO508" s="171">
        <f>SUMIF(Allocation[Delivery ID],Delivery[[#This Row],[Delivery ID]],Allocation[Quantity allocated])*16*1.3228*Delivery[[#This Row],[Exchange rate VS USD]]/60</f>
        <v>269.4326308053333</v>
      </c>
      <c r="AP508" s="171">
        <f>Delivery[[#This Row],[AAA Premium (total)]]</f>
        <v>8289.6219000000001</v>
      </c>
      <c r="AQ508" s="171">
        <f>Delivery[[#This Row],[Valor pago pelo Cluster]]-Delivery[[#This Row],[Valor efetivamente pago pela Nespresso]]</f>
        <v>8020.1892691946668</v>
      </c>
    </row>
    <row r="509" spans="1:43" ht="15.75">
      <c r="A509" s="174" t="s">
        <v>69</v>
      </c>
      <c r="B509" s="232" t="s">
        <v>68</v>
      </c>
      <c r="C509" s="157">
        <v>2</v>
      </c>
      <c r="D509" s="157" t="s">
        <v>650</v>
      </c>
      <c r="E509" s="157" t="s">
        <v>650</v>
      </c>
      <c r="F509" s="233" t="s">
        <v>469</v>
      </c>
      <c r="G509" s="234">
        <v>42759</v>
      </c>
      <c r="H509" s="157" t="s">
        <v>655</v>
      </c>
      <c r="I509" s="157" t="s">
        <v>545</v>
      </c>
      <c r="J509" s="237">
        <v>30434</v>
      </c>
      <c r="K509" s="175" t="s">
        <v>61</v>
      </c>
      <c r="L509" s="175" t="s">
        <v>439</v>
      </c>
      <c r="M509" s="175" t="s">
        <v>1343</v>
      </c>
      <c r="N509" s="180"/>
      <c r="O509" s="177"/>
      <c r="P509" s="185">
        <v>0</v>
      </c>
      <c r="Q509" s="177">
        <v>42752</v>
      </c>
      <c r="R509" s="178">
        <v>481.39499999999998</v>
      </c>
      <c r="S509" s="179">
        <v>279569.11593726231</v>
      </c>
      <c r="T509" s="182" t="s">
        <v>45</v>
      </c>
      <c r="U509" s="183">
        <v>3.2092999999999998</v>
      </c>
      <c r="V509" s="179">
        <v>11395.047556666666</v>
      </c>
      <c r="W509" s="179">
        <v>3562.8820313688575</v>
      </c>
      <c r="X509" s="186" t="s">
        <v>45</v>
      </c>
      <c r="Y509" s="183">
        <v>3.2092999999999998</v>
      </c>
      <c r="Z509" s="220" t="s">
        <v>473</v>
      </c>
      <c r="AA509" s="172">
        <f>Delivery[[#This Row],[Quantity delivered]]*VLOOKUP(Delivery[[#This Row],[Unit]],Tab_Conversão[],4,FALSE)*VLOOKUP(CONCATENATE(Delivery[[#This Row],[Coffee specie]],Delivery[[#This Row],[Coffee state]]),Tab_Conversão[],4,FALSE)</f>
        <v>30434</v>
      </c>
      <c r="AB509" s="169">
        <f>SUMIF(Allocation!C:C,Delivery[[#This Row],[Delivery ID]],Allocation!D:D)/Delivery[[#This Row],[Quantity delivered]]</f>
        <v>2.1719129920483669E-2</v>
      </c>
      <c r="AC509" s="170">
        <f>Delivery[[#This Row],[Quantity delivered]]*Delivery[[#This Row],[Base price (Unidad)]]/60</f>
        <v>244179.59049999999</v>
      </c>
      <c r="AD509" s="171">
        <f>Delivery[[#This Row],[Nespresso total]]-Delivery[[#This Row],[Qt. Delivery * Base Price]]</f>
        <v>35389.525437262317</v>
      </c>
      <c r="AE509" s="171">
        <f>Delivery[[#This Row],[AAA Premium (total)]]/Delivery[[#This Row],[Quantity delivered]]*60/Delivery[[#This Row],[Exchange rate VS USD]]</f>
        <v>7</v>
      </c>
      <c r="AF509" s="171">
        <f>Delivery[[#This Row],[BEN premium (total)]]/Delivery[[#This Row],[Quantity delivered]]*60/Delivery[[#This Row],[Exchange rate for premiums VS USD]]</f>
        <v>2.1886853999999998</v>
      </c>
      <c r="AG509" s="171">
        <f>COUNTIF(Delivery[Delivery ID],Delivery[[#This Row],[Delivery ID]])</f>
        <v>1</v>
      </c>
      <c r="AH509" s="171">
        <f>(Delivery[[#This Row],[Nespresso total]]/SUMIF(Allocation!C:C,Delivery[Delivery ID],Allocation!H:H))/Delivery[[#This Row],[Exchange rate VS USD]]</f>
        <v>399.59715119399601</v>
      </c>
      <c r="AI509" s="171">
        <f>(Delivery[[#This Row],[AAA Premium (total)]]/SUMIF(Allocation!C:C,Delivery[Delivery ID],Allocation!H:H))/Delivery[[#This Row],[Exchange rate VS USD]]</f>
        <v>16.28730886850153</v>
      </c>
      <c r="AJ509" s="171">
        <f>Delivery[[#This Row],[Valor Prêmio Nespresso AAA por Kg (em US$)]]*60</f>
        <v>977.2385321100918</v>
      </c>
      <c r="AK509" s="171">
        <f>Delivery[[#This Row],[Valor Prêmio Nespresso AAA por saca (em US$)]]/1.3228/100</f>
        <v>7.3876514371794064</v>
      </c>
      <c r="AL509" s="171">
        <f>(Delivery[[#This Row],[BEN premium (total)]]/SUMIF(Allocation!C:C,Delivery[Delivery ID],Allocation!H:H))/Delivery[[#This Row],[Exchange rate for premiums VS USD]]</f>
        <v>5.0925421608256878</v>
      </c>
      <c r="AM509" s="171">
        <f>Delivery[[#This Row],[Valor Prêmio Nespresso BEN por Kg (em US$)]]*60</f>
        <v>305.55252964954127</v>
      </c>
      <c r="AN509" s="171">
        <f>Delivery[[#This Row],[Valor Prêmio Nespresso BEN por saca (em US$)]]/1.3228/100</f>
        <v>2.3098921201205114</v>
      </c>
      <c r="AO509" s="171">
        <f>SUMIF(Allocation[Delivery ID],Delivery[[#This Row],[Delivery ID]],Allocation[Quantity allocated])*16*1.3228*Delivery[[#This Row],[Exchange rate VS USD]]/60</f>
        <v>246.79123325866667</v>
      </c>
      <c r="AP509" s="171">
        <f>Delivery[[#This Row],[AAA Premium (total)]]</f>
        <v>11395.047556666666</v>
      </c>
      <c r="AQ509" s="171">
        <f>Delivery[[#This Row],[Valor pago pelo Cluster]]-Delivery[[#This Row],[Valor efetivamente pago pela Nespresso]]</f>
        <v>11148.256323407999</v>
      </c>
    </row>
    <row r="510" spans="1:43" ht="15.75">
      <c r="A510" s="174" t="s">
        <v>69</v>
      </c>
      <c r="B510" s="232" t="s">
        <v>68</v>
      </c>
      <c r="C510" s="157">
        <v>2</v>
      </c>
      <c r="D510" s="157" t="s">
        <v>650</v>
      </c>
      <c r="E510" s="157" t="s">
        <v>650</v>
      </c>
      <c r="F510" s="233" t="s">
        <v>469</v>
      </c>
      <c r="G510" s="234">
        <v>42759</v>
      </c>
      <c r="H510" s="157" t="s">
        <v>656</v>
      </c>
      <c r="I510" s="157" t="s">
        <v>545</v>
      </c>
      <c r="J510" s="237">
        <v>30470</v>
      </c>
      <c r="K510" s="175" t="s">
        <v>61</v>
      </c>
      <c r="L510" s="175" t="s">
        <v>439</v>
      </c>
      <c r="M510" s="175" t="s">
        <v>1343</v>
      </c>
      <c r="N510" s="180"/>
      <c r="O510" s="177"/>
      <c r="P510" s="185">
        <v>0</v>
      </c>
      <c r="Q510" s="177">
        <v>42752</v>
      </c>
      <c r="R510" s="178">
        <v>481.39499999999998</v>
      </c>
      <c r="S510" s="179">
        <v>280209.24996327015</v>
      </c>
      <c r="T510" s="182" t="s">
        <v>45</v>
      </c>
      <c r="U510" s="183">
        <v>3.2092999999999998</v>
      </c>
      <c r="V510" s="179">
        <v>11408.526616666668</v>
      </c>
      <c r="W510" s="179">
        <v>3242.8150183648991</v>
      </c>
      <c r="X510" s="186" t="s">
        <v>45</v>
      </c>
      <c r="Y510" s="183">
        <v>3.2092999999999998</v>
      </c>
      <c r="Z510" s="220" t="s">
        <v>473</v>
      </c>
      <c r="AA510" s="172">
        <f>Delivery[[#This Row],[Quantity delivered]]*VLOOKUP(Delivery[[#This Row],[Unit]],Tab_Conversão[],4,FALSE)*VLOOKUP(CONCATENATE(Delivery[[#This Row],[Coffee specie]],Delivery[[#This Row],[Coffee state]]),Tab_Conversão[],4,FALSE)</f>
        <v>30470</v>
      </c>
      <c r="AB510" s="169">
        <f>SUMIF(Allocation!C:C,Delivery[[#This Row],[Delivery ID]],Allocation!D:D)/Delivery[[#This Row],[Quantity delivered]]</f>
        <v>2.3859533967837215E-2</v>
      </c>
      <c r="AC510" s="170">
        <f>Delivery[[#This Row],[Quantity delivered]]*Delivery[[#This Row],[Base price (Unidad)]]/60</f>
        <v>244468.42750000002</v>
      </c>
      <c r="AD510" s="171">
        <f>Delivery[[#This Row],[Nespresso total]]-Delivery[[#This Row],[Qt. Delivery * Base Price]]</f>
        <v>35740.822463270131</v>
      </c>
      <c r="AE510" s="171">
        <f>Delivery[[#This Row],[AAA Premium (total)]]/Delivery[[#This Row],[Quantity delivered]]*60/Delivery[[#This Row],[Exchange rate VS USD]]</f>
        <v>7</v>
      </c>
      <c r="AF510" s="171">
        <f>Delivery[[#This Row],[BEN premium (total)]]/Delivery[[#This Row],[Quantity delivered]]*60/Delivery[[#This Row],[Exchange rate for premiums VS USD]]</f>
        <v>1.9897139999999998</v>
      </c>
      <c r="AG510" s="171">
        <f>COUNTIF(Delivery[Delivery ID],Delivery[[#This Row],[Delivery ID]])</f>
        <v>1</v>
      </c>
      <c r="AH510" s="171">
        <f>(Delivery[[#This Row],[Nespresso total]]/SUMIF(Allocation!C:C,Delivery[Delivery ID],Allocation!H:H))/Delivery[[#This Row],[Exchange rate VS USD]]</f>
        <v>400.5121153963812</v>
      </c>
      <c r="AI510" s="171">
        <f>(Delivery[[#This Row],[AAA Premium (total)]]/SUMIF(Allocation!C:C,Delivery[Delivery ID],Allocation!H:H))/Delivery[[#This Row],[Exchange rate VS USD]]</f>
        <v>16.306574923547402</v>
      </c>
      <c r="AJ510" s="171">
        <f>Delivery[[#This Row],[Valor Prêmio Nespresso AAA por Kg (em US$)]]*60</f>
        <v>978.39449541284409</v>
      </c>
      <c r="AK510" s="171">
        <f>Delivery[[#This Row],[Valor Prêmio Nespresso AAA por saca (em US$)]]/1.3228/100</f>
        <v>7.3963901981618099</v>
      </c>
      <c r="AL510" s="171">
        <f>(Delivery[[#This Row],[BEN premium (total)]]/SUMIF(Allocation!C:C,Delivery[Delivery ID],Allocation!H:H))/Delivery[[#This Row],[Exchange rate for premiums VS USD]]</f>
        <v>4.6350600596330258</v>
      </c>
      <c r="AM510" s="171">
        <f>Delivery[[#This Row],[Valor Prêmio Nespresso BEN por Kg (em US$)]]*60</f>
        <v>278.10360357798157</v>
      </c>
      <c r="AN510" s="171">
        <f>Delivery[[#This Row],[Valor Prêmio Nespresso BEN por saca (em US$)]]/1.3228/100</f>
        <v>2.1023858752493316</v>
      </c>
      <c r="AO510" s="171">
        <f>SUMIF(Allocation[Delivery ID],Delivery[[#This Row],[Delivery ID]],Allocation[Quantity allocated])*16*1.3228*Delivery[[#This Row],[Exchange rate VS USD]]/60</f>
        <v>246.79123325866667</v>
      </c>
      <c r="AP510" s="171">
        <f>Delivery[[#This Row],[AAA Premium (total)]]</f>
        <v>11408.526616666668</v>
      </c>
      <c r="AQ510" s="171">
        <f>Delivery[[#This Row],[Valor pago pelo Cluster]]-Delivery[[#This Row],[Valor efetivamente pago pela Nespresso]]</f>
        <v>11161.735383408</v>
      </c>
    </row>
    <row r="511" spans="1:43" ht="15.75">
      <c r="A511" s="174" t="s">
        <v>69</v>
      </c>
      <c r="B511" s="232" t="s">
        <v>68</v>
      </c>
      <c r="C511" s="157">
        <v>2</v>
      </c>
      <c r="D511" s="157" t="s">
        <v>650</v>
      </c>
      <c r="E511" s="157" t="s">
        <v>650</v>
      </c>
      <c r="F511" s="233" t="s">
        <v>469</v>
      </c>
      <c r="G511" s="234">
        <v>42760</v>
      </c>
      <c r="H511" s="157" t="s">
        <v>657</v>
      </c>
      <c r="I511" s="157" t="s">
        <v>545</v>
      </c>
      <c r="J511" s="237">
        <v>25080</v>
      </c>
      <c r="K511" s="175" t="s">
        <v>61</v>
      </c>
      <c r="L511" s="175" t="s">
        <v>439</v>
      </c>
      <c r="M511" s="175" t="s">
        <v>1343</v>
      </c>
      <c r="N511" s="180"/>
      <c r="O511" s="177"/>
      <c r="P511" s="185">
        <v>0</v>
      </c>
      <c r="Q511" s="177">
        <v>42752</v>
      </c>
      <c r="R511" s="178">
        <v>481.39499999999998</v>
      </c>
      <c r="S511" s="179">
        <v>230564.12747879283</v>
      </c>
      <c r="T511" s="182" t="s">
        <v>45</v>
      </c>
      <c r="U511" s="183">
        <v>3.2092999999999998</v>
      </c>
      <c r="V511" s="179">
        <v>9390.4117999999999</v>
      </c>
      <c r="W511" s="179">
        <v>2669.1762606035995</v>
      </c>
      <c r="X511" s="186" t="s">
        <v>45</v>
      </c>
      <c r="Y511" s="183">
        <v>3.2092999999999998</v>
      </c>
      <c r="Z511" s="220" t="s">
        <v>473</v>
      </c>
      <c r="AA511" s="172">
        <f>Delivery[[#This Row],[Quantity delivered]]*VLOOKUP(Delivery[[#This Row],[Unit]],Tab_Conversão[],4,FALSE)*VLOOKUP(CONCATENATE(Delivery[[#This Row],[Coffee specie]],Delivery[[#This Row],[Coffee state]]),Tab_Conversão[],4,FALSE)</f>
        <v>25080</v>
      </c>
      <c r="AB511" s="169">
        <f>SUMIF(Allocation!C:C,Delivery[[#This Row],[Delivery ID]],Allocation!D:D)/Delivery[[#This Row],[Quantity delivered]]</f>
        <v>2.3803827751196171E-2</v>
      </c>
      <c r="AC511" s="170">
        <f>Delivery[[#This Row],[Quantity delivered]]*Delivery[[#This Row],[Base price (Unidad)]]/60</f>
        <v>201223.11</v>
      </c>
      <c r="AD511" s="171">
        <f>Delivery[[#This Row],[Nespresso total]]-Delivery[[#This Row],[Qt. Delivery * Base Price]]</f>
        <v>29341.017478792841</v>
      </c>
      <c r="AE511" s="171">
        <f>Delivery[[#This Row],[AAA Premium (total)]]/Delivery[[#This Row],[Quantity delivered]]*60/Delivery[[#This Row],[Exchange rate VS USD]]</f>
        <v>7</v>
      </c>
      <c r="AF511" s="171">
        <f>Delivery[[#This Row],[BEN premium (total)]]/Delivery[[#This Row],[Quantity delivered]]*60/Delivery[[#This Row],[Exchange rate for premiums VS USD]]</f>
        <v>1.989714</v>
      </c>
      <c r="AG511" s="171">
        <f>COUNTIF(Delivery[Delivery ID],Delivery[[#This Row],[Delivery ID]])</f>
        <v>1</v>
      </c>
      <c r="AH511" s="171">
        <f>(Delivery[[#This Row],[Nespresso total]]/SUMIF(Allocation!C:C,Delivery[Delivery ID],Allocation!H:H))/Delivery[[#This Row],[Exchange rate VS USD]]</f>
        <v>401.35473507561534</v>
      </c>
      <c r="AI511" s="171">
        <f>(Delivery[[#This Row],[AAA Premium (total)]]/SUMIF(Allocation!C:C,Delivery[Delivery ID],Allocation!H:H))/Delivery[[#This Row],[Exchange rate VS USD]]</f>
        <v>16.346368715083798</v>
      </c>
      <c r="AJ511" s="171">
        <f>Delivery[[#This Row],[Valor Prêmio Nespresso AAA por Kg (em US$)]]*60</f>
        <v>980.7821229050279</v>
      </c>
      <c r="AK511" s="171">
        <f>Delivery[[#This Row],[Valor Prêmio Nespresso AAA por saca (em US$)]]/1.3228/100</f>
        <v>7.4144399977700939</v>
      </c>
      <c r="AL511" s="171">
        <f>(Delivery[[#This Row],[BEN premium (total)]]/SUMIF(Allocation!C:C,Delivery[Delivery ID],Allocation!H:H))/Delivery[[#This Row],[Exchange rate for premiums VS USD]]</f>
        <v>4.6463712402234636</v>
      </c>
      <c r="AM511" s="171">
        <f>Delivery[[#This Row],[Valor Prêmio Nespresso BEN por Kg (em US$)]]*60</f>
        <v>278.78227441340783</v>
      </c>
      <c r="AN511" s="171">
        <f>Delivery[[#This Row],[Valor Prêmio Nespresso BEN por saca (em US$)]]/1.3228/100</f>
        <v>2.1075164379604461</v>
      </c>
      <c r="AO511" s="171">
        <f>SUMIF(Allocation[Delivery ID],Delivery[[#This Row],[Delivery ID]],Allocation[Quantity allocated])*16*1.3228*Delivery[[#This Row],[Exchange rate VS USD]]/60</f>
        <v>202.64050804266665</v>
      </c>
      <c r="AP511" s="171">
        <f>Delivery[[#This Row],[AAA Premium (total)]]</f>
        <v>9390.4117999999999</v>
      </c>
      <c r="AQ511" s="171">
        <f>Delivery[[#This Row],[Valor pago pelo Cluster]]-Delivery[[#This Row],[Valor efetivamente pago pela Nespresso]]</f>
        <v>9187.7712919573332</v>
      </c>
    </row>
    <row r="512" spans="1:43" ht="15.75">
      <c r="A512" s="174" t="s">
        <v>69</v>
      </c>
      <c r="B512" s="232" t="s">
        <v>68</v>
      </c>
      <c r="C512" s="157">
        <v>2</v>
      </c>
      <c r="D512" s="157" t="s">
        <v>650</v>
      </c>
      <c r="E512" s="157" t="s">
        <v>650</v>
      </c>
      <c r="F512" s="233" t="s">
        <v>469</v>
      </c>
      <c r="G512" s="234">
        <v>42759</v>
      </c>
      <c r="H512" s="157" t="s">
        <v>658</v>
      </c>
      <c r="I512" s="157" t="s">
        <v>545</v>
      </c>
      <c r="J512" s="237">
        <v>30480</v>
      </c>
      <c r="K512" s="175" t="s">
        <v>61</v>
      </c>
      <c r="L512" s="175" t="s">
        <v>439</v>
      </c>
      <c r="M512" s="175" t="s">
        <v>1343</v>
      </c>
      <c r="N512" s="180"/>
      <c r="O512" s="177"/>
      <c r="P512" s="185">
        <v>0</v>
      </c>
      <c r="Q512" s="177">
        <v>42752</v>
      </c>
      <c r="R512" s="178">
        <v>481.39499999999998</v>
      </c>
      <c r="S512" s="179">
        <v>280207.12143355678</v>
      </c>
      <c r="T512" s="182" t="s">
        <v>45</v>
      </c>
      <c r="U512" s="183">
        <v>3.2092999999999998</v>
      </c>
      <c r="V512" s="179">
        <v>11412.2708</v>
      </c>
      <c r="W512" s="179">
        <v>3243.8792832215991</v>
      </c>
      <c r="X512" s="186" t="s">
        <v>45</v>
      </c>
      <c r="Y512" s="183">
        <v>3.2092999999999998</v>
      </c>
      <c r="Z512" s="220" t="s">
        <v>473</v>
      </c>
      <c r="AA512" s="172">
        <f>Delivery[[#This Row],[Quantity delivered]]*VLOOKUP(Delivery[[#This Row],[Unit]],Tab_Conversão[],4,FALSE)*VLOOKUP(CONCATENATE(Delivery[[#This Row],[Coffee specie]],Delivery[[#This Row],[Coffee state]]),Tab_Conversão[],4,FALSE)</f>
        <v>30480</v>
      </c>
      <c r="AB512" s="169">
        <f>SUMIF(Allocation!C:C,Delivery[[#This Row],[Delivery ID]],Allocation!D:D)/Delivery[[#This Row],[Quantity delivered]]</f>
        <v>2.6049868766404201E-2</v>
      </c>
      <c r="AC512" s="170">
        <f>Delivery[[#This Row],[Quantity delivered]]*Delivery[[#This Row],[Base price (Unidad)]]/60</f>
        <v>244548.66</v>
      </c>
      <c r="AD512" s="171">
        <f>Delivery[[#This Row],[Nespresso total]]-Delivery[[#This Row],[Qt. Delivery * Base Price]]</f>
        <v>35658.461433556775</v>
      </c>
      <c r="AE512" s="171">
        <f>Delivery[[#This Row],[AAA Premium (total)]]/Delivery[[#This Row],[Quantity delivered]]*60/Delivery[[#This Row],[Exchange rate VS USD]]</f>
        <v>7</v>
      </c>
      <c r="AF512" s="171">
        <f>Delivery[[#This Row],[BEN premium (total)]]/Delivery[[#This Row],[Quantity delivered]]*60/Delivery[[#This Row],[Exchange rate for premiums VS USD]]</f>
        <v>1.9897139999999998</v>
      </c>
      <c r="AG512" s="171">
        <f>COUNTIF(Delivery[Delivery ID],Delivery[[#This Row],[Delivery ID]])</f>
        <v>1</v>
      </c>
      <c r="AH512" s="171">
        <f>(Delivery[[#This Row],[Nespresso total]]/SUMIF(Allocation!C:C,Delivery[Delivery ID],Allocation!H:H))/Delivery[[#This Row],[Exchange rate VS USD]]</f>
        <v>366.85284839668532</v>
      </c>
      <c r="AI512" s="171">
        <f>(Delivery[[#This Row],[AAA Premium (total)]]/SUMIF(Allocation!C:C,Delivery[Delivery ID],Allocation!H:H))/Delivery[[#This Row],[Exchange rate VS USD]]</f>
        <v>14.941176470588236</v>
      </c>
      <c r="AJ512" s="171">
        <f>Delivery[[#This Row],[Valor Prêmio Nespresso AAA por Kg (em US$)]]*60</f>
        <v>896.47058823529414</v>
      </c>
      <c r="AK512" s="171">
        <f>Delivery[[#This Row],[Valor Prêmio Nespresso AAA por saca (em US$)]]/1.3228/100</f>
        <v>6.7770682509471882</v>
      </c>
      <c r="AL512" s="171">
        <f>(Delivery[[#This Row],[BEN premium (total)]]/SUMIF(Allocation!C:C,Delivery[Delivery ID],Allocation!H:H))/Delivery[[#This Row],[Exchange rate for premiums VS USD]]</f>
        <v>4.2469525714285705</v>
      </c>
      <c r="AM512" s="171">
        <f>Delivery[[#This Row],[Valor Prêmio Nespresso BEN por Kg (em US$)]]*60</f>
        <v>254.81715428571422</v>
      </c>
      <c r="AN512" s="171">
        <f>Delivery[[#This Row],[Valor Prêmio Nespresso BEN por saca (em US$)]]/1.3228/100</f>
        <v>1.926346796837876</v>
      </c>
      <c r="AO512" s="171">
        <f>SUMIF(Allocation[Delivery ID],Delivery[[#This Row],[Delivery ID]],Allocation[Quantity allocated])*16*1.3228*Delivery[[#This Row],[Exchange rate VS USD]]/60</f>
        <v>269.4326308053333</v>
      </c>
      <c r="AP512" s="171">
        <f>Delivery[[#This Row],[AAA Premium (total)]]</f>
        <v>11412.2708</v>
      </c>
      <c r="AQ512" s="171">
        <f>Delivery[[#This Row],[Valor pago pelo Cluster]]-Delivery[[#This Row],[Valor efetivamente pago pela Nespresso]]</f>
        <v>11142.838169194667</v>
      </c>
    </row>
    <row r="513" spans="1:43" ht="15.75">
      <c r="A513" s="174" t="s">
        <v>69</v>
      </c>
      <c r="B513" s="232" t="s">
        <v>68</v>
      </c>
      <c r="C513" s="157">
        <v>2</v>
      </c>
      <c r="D513" s="157" t="s">
        <v>650</v>
      </c>
      <c r="E513" s="157" t="s">
        <v>650</v>
      </c>
      <c r="F513" s="233" t="s">
        <v>469</v>
      </c>
      <c r="G513" s="234">
        <v>42759</v>
      </c>
      <c r="H513" s="157" t="s">
        <v>659</v>
      </c>
      <c r="I513" s="157" t="s">
        <v>545</v>
      </c>
      <c r="J513" s="237">
        <v>30540</v>
      </c>
      <c r="K513" s="175" t="s">
        <v>61</v>
      </c>
      <c r="L513" s="175" t="s">
        <v>439</v>
      </c>
      <c r="M513" s="175" t="s">
        <v>1343</v>
      </c>
      <c r="N513" s="180"/>
      <c r="O513" s="177"/>
      <c r="P513" s="185">
        <v>0</v>
      </c>
      <c r="Q513" s="177">
        <v>42752</v>
      </c>
      <c r="R513" s="178">
        <v>481.39499999999998</v>
      </c>
      <c r="S513" s="179">
        <v>280758.71025527641</v>
      </c>
      <c r="T513" s="182" t="s">
        <v>45</v>
      </c>
      <c r="U513" s="183">
        <v>3.2092999999999998</v>
      </c>
      <c r="V513" s="179">
        <v>11434.735900000001</v>
      </c>
      <c r="W513" s="179">
        <v>3250.264872361799</v>
      </c>
      <c r="X513" s="186" t="s">
        <v>45</v>
      </c>
      <c r="Y513" s="193">
        <v>3.2092999999999998</v>
      </c>
      <c r="Z513" s="220" t="s">
        <v>473</v>
      </c>
      <c r="AA513" s="172">
        <f>Delivery[[#This Row],[Quantity delivered]]*VLOOKUP(Delivery[[#This Row],[Unit]],Tab_Conversão[],4,FALSE)*VLOOKUP(CONCATENATE(Delivery[[#This Row],[Coffee specie]],Delivery[[#This Row],[Coffee state]]),Tab_Conversão[],4,FALSE)</f>
        <v>30540</v>
      </c>
      <c r="AB513" s="169">
        <f>SUMIF(Allocation!C:C,Delivery[[#This Row],[Delivery ID]],Allocation!D:D)/Delivery[[#This Row],[Quantity delivered]]</f>
        <v>2.5998690242305174E-2</v>
      </c>
      <c r="AC513" s="170">
        <f>Delivery[[#This Row],[Quantity delivered]]*Delivery[[#This Row],[Base price (Unidad)]]/60</f>
        <v>245030.05499999999</v>
      </c>
      <c r="AD513" s="171">
        <f>Delivery[[#This Row],[Nespresso total]]-Delivery[[#This Row],[Qt. Delivery * Base Price]]</f>
        <v>35728.655255276419</v>
      </c>
      <c r="AE513" s="171">
        <f>Delivery[[#This Row],[AAA Premium (total)]]/Delivery[[#This Row],[Quantity delivered]]*60/Delivery[[#This Row],[Exchange rate VS USD]]</f>
        <v>7.0000000000000018</v>
      </c>
      <c r="AF513" s="171">
        <f>Delivery[[#This Row],[BEN premium (total)]]/Delivery[[#This Row],[Quantity delivered]]*60/Delivery[[#This Row],[Exchange rate for premiums VS USD]]</f>
        <v>1.9897139999999998</v>
      </c>
      <c r="AG513" s="171">
        <f>COUNTIF(Delivery[Delivery ID],Delivery[[#This Row],[Delivery ID]])</f>
        <v>1</v>
      </c>
      <c r="AH513" s="171">
        <f>(Delivery[[#This Row],[Nespresso total]]/SUMIF(Allocation!C:C,Delivery[Delivery ID],Allocation!H:H))/Delivery[[#This Row],[Exchange rate VS USD]]</f>
        <v>367.57499967305682</v>
      </c>
      <c r="AI513" s="171">
        <f>(Delivery[[#This Row],[AAA Premium (total)]]/SUMIF(Allocation!C:C,Delivery[Delivery ID],Allocation!H:H))/Delivery[[#This Row],[Exchange rate VS USD]]</f>
        <v>14.97058823529412</v>
      </c>
      <c r="AJ513" s="171">
        <f>Delivery[[#This Row],[Valor Prêmio Nespresso AAA por Kg (em US$)]]*60</f>
        <v>898.23529411764719</v>
      </c>
      <c r="AK513" s="171">
        <f>Delivery[[#This Row],[Valor Prêmio Nespresso AAA por saca (em US$)]]/1.3228/100</f>
        <v>6.7904089364805511</v>
      </c>
      <c r="AL513" s="171">
        <f>(Delivery[[#This Row],[BEN premium (total)]]/SUMIF(Allocation!C:C,Delivery[Delivery ID],Allocation!H:H))/Delivery[[#This Row],[Exchange rate for premiums VS USD]]</f>
        <v>4.2553127142857132</v>
      </c>
      <c r="AM513" s="171">
        <f>Delivery[[#This Row],[Valor Prêmio Nespresso BEN por Kg (em US$)]]*60</f>
        <v>255.31876285714279</v>
      </c>
      <c r="AN513" s="171">
        <f>Delivery[[#This Row],[Valor Prêmio Nespresso BEN por saca (em US$)]]/1.3228/100</f>
        <v>1.9301388180914938</v>
      </c>
      <c r="AO513" s="171">
        <f>SUMIF(Allocation[Delivery ID],Delivery[[#This Row],[Delivery ID]],Allocation[Quantity allocated])*16*1.3228*Delivery[[#This Row],[Exchange rate VS USD]]/60</f>
        <v>269.4326308053333</v>
      </c>
      <c r="AP513" s="171">
        <f>Delivery[[#This Row],[AAA Premium (total)]]</f>
        <v>11434.735900000001</v>
      </c>
      <c r="AQ513" s="171">
        <f>Delivery[[#This Row],[Valor pago pelo Cluster]]-Delivery[[#This Row],[Valor efetivamente pago pela Nespresso]]</f>
        <v>11165.303269194668</v>
      </c>
    </row>
    <row r="514" spans="1:43" ht="15.75">
      <c r="A514" s="174" t="s">
        <v>69</v>
      </c>
      <c r="B514" s="232" t="s">
        <v>68</v>
      </c>
      <c r="C514" s="157">
        <v>2</v>
      </c>
      <c r="D514" s="157" t="s">
        <v>650</v>
      </c>
      <c r="E514" s="157" t="s">
        <v>650</v>
      </c>
      <c r="F514" s="233" t="s">
        <v>469</v>
      </c>
      <c r="G514" s="234">
        <v>42759</v>
      </c>
      <c r="H514" s="157" t="s">
        <v>660</v>
      </c>
      <c r="I514" s="157" t="s">
        <v>545</v>
      </c>
      <c r="J514" s="237">
        <v>30240</v>
      </c>
      <c r="K514" s="175" t="s">
        <v>61</v>
      </c>
      <c r="L514" s="175" t="s">
        <v>439</v>
      </c>
      <c r="M514" s="175" t="s">
        <v>1343</v>
      </c>
      <c r="N514" s="180"/>
      <c r="O514" s="177"/>
      <c r="P514" s="185">
        <v>0</v>
      </c>
      <c r="Q514" s="177">
        <v>42752</v>
      </c>
      <c r="R514" s="178">
        <v>481.39499999999998</v>
      </c>
      <c r="S514" s="179">
        <v>274567.87342490692</v>
      </c>
      <c r="T514" s="182" t="s">
        <v>45</v>
      </c>
      <c r="U514" s="183">
        <v>3.2092999999999998</v>
      </c>
      <c r="V514" s="179">
        <v>11322.410400000001</v>
      </c>
      <c r="W514" s="179">
        <v>4934.7832875465592</v>
      </c>
      <c r="X514" s="186" t="s">
        <v>45</v>
      </c>
      <c r="Y514" s="183">
        <v>3.2092999999999998</v>
      </c>
      <c r="Z514" s="220" t="s">
        <v>473</v>
      </c>
      <c r="AA514" s="172">
        <f>Delivery[[#This Row],[Quantity delivered]]*VLOOKUP(Delivery[[#This Row],[Unit]],Tab_Conversão[],4,FALSE)*VLOOKUP(CONCATENATE(Delivery[[#This Row],[Coffee specie]],Delivery[[#This Row],[Coffee state]]),Tab_Conversão[],4,FALSE)</f>
        <v>30240</v>
      </c>
      <c r="AB514" s="169">
        <f>SUMIF(Allocation!C:C,Delivery[[#This Row],[Delivery ID]],Allocation!D:D)/Delivery[[#This Row],[Quantity delivered]]</f>
        <v>1.7096560846560846E-2</v>
      </c>
      <c r="AC514" s="170">
        <f>Delivery[[#This Row],[Quantity delivered]]*Delivery[[#This Row],[Base price (Unidad)]]/60</f>
        <v>242623.08</v>
      </c>
      <c r="AD514" s="171">
        <f>Delivery[[#This Row],[Nespresso total]]-Delivery[[#This Row],[Qt. Delivery * Base Price]]</f>
        <v>31944.793424906937</v>
      </c>
      <c r="AE514" s="171">
        <f>Delivery[[#This Row],[AAA Premium (total)]]/Delivery[[#This Row],[Quantity delivered]]*60/Delivery[[#This Row],[Exchange rate VS USD]]</f>
        <v>7</v>
      </c>
      <c r="AF514" s="171">
        <f>Delivery[[#This Row],[BEN premium (total)]]/Delivery[[#This Row],[Quantity delivered]]*60/Delivery[[#This Row],[Exchange rate for premiums VS USD]]</f>
        <v>3.0508948</v>
      </c>
      <c r="AG514" s="171">
        <f>COUNTIF(Delivery[Delivery ID],Delivery[[#This Row],[Delivery ID]])</f>
        <v>1</v>
      </c>
      <c r="AH514" s="171">
        <f>(Delivery[[#This Row],[Nespresso total]]/SUMIF(Allocation!C:C,Delivery[Delivery ID],Allocation!H:H))/Delivery[[#This Row],[Exchange rate VS USD]]</f>
        <v>359.46983049119973</v>
      </c>
      <c r="AI514" s="171">
        <f>(Delivery[[#This Row],[AAA Premium (total)]]/SUMIF(Allocation!C:C,Delivery[Delivery ID],Allocation!H:H))/Delivery[[#This Row],[Exchange rate VS USD]]</f>
        <v>14.823529411764708</v>
      </c>
      <c r="AJ514" s="171">
        <f>Delivery[[#This Row],[Valor Prêmio Nespresso AAA por Kg (em US$)]]*60</f>
        <v>889.41176470588255</v>
      </c>
      <c r="AK514" s="171">
        <f>Delivery[[#This Row],[Valor Prêmio Nespresso AAA por saca (em US$)]]/1.3228/100</f>
        <v>6.7237055088137483</v>
      </c>
      <c r="AL514" s="171">
        <f>(Delivery[[#This Row],[BEN premium (total)]]/SUMIF(Allocation!C:C,Delivery[Delivery ID],Allocation!H:H))/Delivery[[#This Row],[Exchange rate for premiums VS USD]]</f>
        <v>6.4607183999999993</v>
      </c>
      <c r="AM514" s="171">
        <f>Delivery[[#This Row],[Valor Prêmio Nespresso BEN por Kg (em US$)]]*60</f>
        <v>387.64310399999994</v>
      </c>
      <c r="AN514" s="171">
        <f>Delivery[[#This Row],[Valor Prêmio Nespresso BEN por saca (em US$)]]/1.3228/100</f>
        <v>2.9304740247958869</v>
      </c>
      <c r="AO514" s="171">
        <f>SUMIF(Allocation[Delivery ID],Delivery[[#This Row],[Delivery ID]],Allocation[Quantity allocated])*16*1.3228*Delivery[[#This Row],[Exchange rate VS USD]]/60</f>
        <v>269.4326308053333</v>
      </c>
      <c r="AP514" s="171">
        <f>Delivery[[#This Row],[AAA Premium (total)]]</f>
        <v>11322.410400000001</v>
      </c>
      <c r="AQ514" s="171">
        <f>Delivery[[#This Row],[Valor pago pelo Cluster]]-Delivery[[#This Row],[Valor efetivamente pago pela Nespresso]]</f>
        <v>11052.977769194667</v>
      </c>
    </row>
    <row r="515" spans="1:43" ht="15.75">
      <c r="A515" s="174" t="s">
        <v>69</v>
      </c>
      <c r="B515" s="232" t="s">
        <v>68</v>
      </c>
      <c r="C515" s="157">
        <v>2</v>
      </c>
      <c r="D515" s="157" t="s">
        <v>650</v>
      </c>
      <c r="E515" s="157" t="s">
        <v>650</v>
      </c>
      <c r="F515" s="233" t="s">
        <v>469</v>
      </c>
      <c r="G515" s="234">
        <v>42760</v>
      </c>
      <c r="H515" s="157" t="s">
        <v>661</v>
      </c>
      <c r="I515" s="157" t="s">
        <v>545</v>
      </c>
      <c r="J515" s="237">
        <v>30120</v>
      </c>
      <c r="K515" s="175" t="s">
        <v>61</v>
      </c>
      <c r="L515" s="175" t="s">
        <v>439</v>
      </c>
      <c r="M515" s="175" t="s">
        <v>1343</v>
      </c>
      <c r="N515" s="180"/>
      <c r="O515" s="177"/>
      <c r="P515" s="185">
        <v>0</v>
      </c>
      <c r="Q515" s="177">
        <v>42752</v>
      </c>
      <c r="R515" s="178">
        <v>481.39499999999998</v>
      </c>
      <c r="S515" s="179">
        <v>276256.47535356309</v>
      </c>
      <c r="T515" s="182" t="s">
        <v>45</v>
      </c>
      <c r="U515" s="183">
        <v>3.2092999999999998</v>
      </c>
      <c r="V515" s="179">
        <v>11277.4802</v>
      </c>
      <c r="W515" s="179">
        <v>3526.1223232184393</v>
      </c>
      <c r="X515" s="186" t="s">
        <v>45</v>
      </c>
      <c r="Y515" s="183">
        <v>3.2092999999999998</v>
      </c>
      <c r="Z515" s="220" t="s">
        <v>473</v>
      </c>
      <c r="AA515" s="172">
        <f>Delivery[[#This Row],[Quantity delivered]]*VLOOKUP(Delivery[[#This Row],[Unit]],Tab_Conversão[],4,FALSE)*VLOOKUP(CONCATENATE(Delivery[[#This Row],[Coffee specie]],Delivery[[#This Row],[Coffee state]]),Tab_Conversão[],4,FALSE)</f>
        <v>30120</v>
      </c>
      <c r="AB515" s="169">
        <f>SUMIF(Allocation!C:C,Delivery[[#This Row],[Delivery ID]],Allocation!D:D)/Delivery[[#This Row],[Quantity delivered]]</f>
        <v>2.3937583001328023E-2</v>
      </c>
      <c r="AC515" s="170">
        <f>Delivery[[#This Row],[Quantity delivered]]*Delivery[[#This Row],[Base price (Unidad)]]/60</f>
        <v>241660.29</v>
      </c>
      <c r="AD515" s="171">
        <f>Delivery[[#This Row],[Nespresso total]]-Delivery[[#This Row],[Qt. Delivery * Base Price]]</f>
        <v>34596.18535356308</v>
      </c>
      <c r="AE515" s="171">
        <f>Delivery[[#This Row],[AAA Premium (total)]]/Delivery[[#This Row],[Quantity delivered]]*60/Delivery[[#This Row],[Exchange rate VS USD]]</f>
        <v>7</v>
      </c>
      <c r="AF515" s="171">
        <f>Delivery[[#This Row],[BEN premium (total)]]/Delivery[[#This Row],[Quantity delivered]]*60/Delivery[[#This Row],[Exchange rate for premiums VS USD]]</f>
        <v>2.1886853999999998</v>
      </c>
      <c r="AG515" s="171">
        <f>COUNTIF(Delivery[Delivery ID],Delivery[[#This Row],[Delivery ID]])</f>
        <v>1</v>
      </c>
      <c r="AH515" s="171">
        <f>(Delivery[[#This Row],[Nespresso total]]/SUMIF(Allocation!C:C,Delivery[Delivery ID],Allocation!H:H))/Delivery[[#This Row],[Exchange rate VS USD]]</f>
        <v>361.68058239559963</v>
      </c>
      <c r="AI515" s="171">
        <f>(Delivery[[#This Row],[AAA Premium (total)]]/SUMIF(Allocation!C:C,Delivery[Delivery ID],Allocation!H:H))/Delivery[[#This Row],[Exchange rate VS USD]]</f>
        <v>14.764705882352942</v>
      </c>
      <c r="AJ515" s="171">
        <f>Delivery[[#This Row],[Valor Prêmio Nespresso AAA por Kg (em US$)]]*60</f>
        <v>885.88235294117658</v>
      </c>
      <c r="AK515" s="171">
        <f>Delivery[[#This Row],[Valor Prêmio Nespresso AAA por saca (em US$)]]/1.3228/100</f>
        <v>6.6970241377470252</v>
      </c>
      <c r="AL515" s="171">
        <f>(Delivery[[#This Row],[BEN premium (total)]]/SUMIF(Allocation!C:C,Delivery[Delivery ID],Allocation!H:H))/Delivery[[#This Row],[Exchange rate for premiums VS USD]]</f>
        <v>4.6164708857142847</v>
      </c>
      <c r="AM515" s="171">
        <f>Delivery[[#This Row],[Valor Prêmio Nespresso BEN por Kg (em US$)]]*60</f>
        <v>276.9882531428571</v>
      </c>
      <c r="AN515" s="171">
        <f>Delivery[[#This Row],[Valor Prêmio Nespresso BEN por saca (em US$)]]/1.3228/100</f>
        <v>2.0939541362477856</v>
      </c>
      <c r="AO515" s="171">
        <f>SUMIF(Allocation[Delivery ID],Delivery[[#This Row],[Delivery ID]],Allocation[Quantity allocated])*16*1.3228*Delivery[[#This Row],[Exchange rate VS USD]]/60</f>
        <v>269.4326308053333</v>
      </c>
      <c r="AP515" s="171">
        <f>Delivery[[#This Row],[AAA Premium (total)]]</f>
        <v>11277.4802</v>
      </c>
      <c r="AQ515" s="171">
        <f>Delivery[[#This Row],[Valor pago pelo Cluster]]-Delivery[[#This Row],[Valor efetivamente pago pela Nespresso]]</f>
        <v>11008.047569194667</v>
      </c>
    </row>
    <row r="516" spans="1:43" ht="15.75">
      <c r="A516" s="174" t="s">
        <v>69</v>
      </c>
      <c r="B516" s="232" t="s">
        <v>68</v>
      </c>
      <c r="C516" s="157">
        <v>2</v>
      </c>
      <c r="D516" s="157" t="s">
        <v>650</v>
      </c>
      <c r="E516" s="157" t="s">
        <v>650</v>
      </c>
      <c r="F516" s="233" t="s">
        <v>469</v>
      </c>
      <c r="G516" s="234">
        <v>42762</v>
      </c>
      <c r="H516" s="157" t="s">
        <v>662</v>
      </c>
      <c r="I516" s="157" t="s">
        <v>545</v>
      </c>
      <c r="J516" s="237">
        <v>30068</v>
      </c>
      <c r="K516" s="175" t="s">
        <v>61</v>
      </c>
      <c r="L516" s="175" t="s">
        <v>439</v>
      </c>
      <c r="M516" s="175" t="s">
        <v>1343</v>
      </c>
      <c r="N516" s="180"/>
      <c r="O516" s="177"/>
      <c r="P516" s="185">
        <v>0</v>
      </c>
      <c r="Q516" s="177">
        <v>42752</v>
      </c>
      <c r="R516" s="178">
        <v>481.39499999999998</v>
      </c>
      <c r="S516" s="179">
        <v>276268.65054352372</v>
      </c>
      <c r="T516" s="182" t="s">
        <v>45</v>
      </c>
      <c r="U516" s="183">
        <v>3.2092999999999998</v>
      </c>
      <c r="V516" s="179">
        <v>11258.010446666667</v>
      </c>
      <c r="W516" s="179">
        <v>3520.0347282381153</v>
      </c>
      <c r="X516" s="186" t="s">
        <v>45</v>
      </c>
      <c r="Y516" s="183">
        <v>3.2092999999999998</v>
      </c>
      <c r="Z516" s="220" t="s">
        <v>473</v>
      </c>
      <c r="AA516" s="172">
        <f>Delivery[[#This Row],[Quantity delivered]]*VLOOKUP(Delivery[[#This Row],[Unit]],Tab_Conversão[],4,FALSE)*VLOOKUP(CONCATENATE(Delivery[[#This Row],[Coffee specie]],Delivery[[#This Row],[Coffee state]]),Tab_Conversão[],4,FALSE)</f>
        <v>30068</v>
      </c>
      <c r="AB516" s="169">
        <f>SUMIF(Allocation!C:C,Delivery[[#This Row],[Delivery ID]],Allocation!D:D)/Delivery[[#This Row],[Quantity delivered]]</f>
        <v>2.1783956365571372E-2</v>
      </c>
      <c r="AC516" s="170">
        <f>Delivery[[#This Row],[Quantity delivered]]*Delivery[[#This Row],[Base price (Unidad)]]/60</f>
        <v>241243.08099999998</v>
      </c>
      <c r="AD516" s="171">
        <f>Delivery[[#This Row],[Nespresso total]]-Delivery[[#This Row],[Qt. Delivery * Base Price]]</f>
        <v>35025.569543523743</v>
      </c>
      <c r="AE516" s="171">
        <f>Delivery[[#This Row],[AAA Premium (total)]]/Delivery[[#This Row],[Quantity delivered]]*60/Delivery[[#This Row],[Exchange rate VS USD]]</f>
        <v>7</v>
      </c>
      <c r="AF516" s="171">
        <f>Delivery[[#This Row],[BEN premium (total)]]/Delivery[[#This Row],[Quantity delivered]]*60/Delivery[[#This Row],[Exchange rate for premiums VS USD]]</f>
        <v>2.1886853999999998</v>
      </c>
      <c r="AG516" s="171">
        <f>COUNTIF(Delivery[Delivery ID],Delivery[[#This Row],[Delivery ID]])</f>
        <v>1</v>
      </c>
      <c r="AH516" s="171">
        <f>(Delivery[[#This Row],[Nespresso total]]/SUMIF(Allocation!C:C,Delivery[Delivery ID],Allocation!H:H))/Delivery[[#This Row],[Exchange rate VS USD]]</f>
        <v>398.53598301626255</v>
      </c>
      <c r="AI516" s="171">
        <f>(Delivery[[#This Row],[AAA Premium (total)]]/SUMIF(Allocation!C:C,Delivery[Delivery ID],Allocation!H:H))/Delivery[[#This Row],[Exchange rate VS USD]]</f>
        <v>16.240432098765435</v>
      </c>
      <c r="AJ516" s="171">
        <f>Delivery[[#This Row],[Valor Prêmio Nespresso AAA por Kg (em US$)]]*60</f>
        <v>974.42592592592609</v>
      </c>
      <c r="AK516" s="171">
        <f>Delivery[[#This Row],[Valor Prêmio Nespresso AAA por saca (em US$)]]/1.3228/100</f>
        <v>7.3663889168878596</v>
      </c>
      <c r="AL516" s="171">
        <f>(Delivery[[#This Row],[BEN premium (total)]]/SUMIF(Allocation!C:C,Delivery[Delivery ID],Allocation!H:H))/Delivery[[#This Row],[Exchange rate for premiums VS USD]]</f>
        <v>5.077885232037036</v>
      </c>
      <c r="AM516" s="171">
        <f>Delivery[[#This Row],[Valor Prêmio Nespresso BEN por Kg (em US$)]]*60</f>
        <v>304.67311392222217</v>
      </c>
      <c r="AN516" s="171">
        <f>Delivery[[#This Row],[Valor Prêmio Nespresso BEN por saca (em US$)]]/1.3228/100</f>
        <v>2.3032439818734667</v>
      </c>
      <c r="AO516" s="171">
        <f>SUMIF(Allocation[Delivery ID],Delivery[[#This Row],[Delivery ID]],Allocation[Quantity allocated])*16*1.3228*Delivery[[#This Row],[Exchange rate VS USD]]/60</f>
        <v>244.52709350399999</v>
      </c>
      <c r="AP516" s="171">
        <f>Delivery[[#This Row],[AAA Premium (total)]]</f>
        <v>11258.010446666667</v>
      </c>
      <c r="AQ516" s="171">
        <f>Delivery[[#This Row],[Valor pago pelo Cluster]]-Delivery[[#This Row],[Valor efetivamente pago pela Nespresso]]</f>
        <v>11013.483353162666</v>
      </c>
    </row>
    <row r="517" spans="1:43" ht="15.75">
      <c r="A517" s="174" t="s">
        <v>69</v>
      </c>
      <c r="B517" s="232" t="s">
        <v>68</v>
      </c>
      <c r="C517" s="157">
        <v>2</v>
      </c>
      <c r="D517" s="157" t="s">
        <v>650</v>
      </c>
      <c r="E517" s="157" t="s">
        <v>650</v>
      </c>
      <c r="F517" s="233" t="s">
        <v>469</v>
      </c>
      <c r="G517" s="234">
        <v>42762</v>
      </c>
      <c r="H517" s="157" t="s">
        <v>663</v>
      </c>
      <c r="I517" s="157" t="s">
        <v>545</v>
      </c>
      <c r="J517" s="237">
        <v>30120</v>
      </c>
      <c r="K517" s="175" t="s">
        <v>61</v>
      </c>
      <c r="L517" s="175" t="s">
        <v>439</v>
      </c>
      <c r="M517" s="175" t="s">
        <v>1343</v>
      </c>
      <c r="N517" s="180"/>
      <c r="O517" s="177"/>
      <c r="P517" s="185">
        <v>0</v>
      </c>
      <c r="Q517" s="177">
        <v>42752</v>
      </c>
      <c r="R517" s="178">
        <v>481.39499999999998</v>
      </c>
      <c r="S517" s="179">
        <v>276256.47535356309</v>
      </c>
      <c r="T517" s="182" t="s">
        <v>45</v>
      </c>
      <c r="U517" s="183">
        <v>3.2092999999999998</v>
      </c>
      <c r="V517" s="179">
        <v>11277.4802</v>
      </c>
      <c r="W517" s="179">
        <v>3526.1223232184393</v>
      </c>
      <c r="X517" s="186" t="s">
        <v>45</v>
      </c>
      <c r="Y517" s="183">
        <v>3.2092999999999998</v>
      </c>
      <c r="Z517" s="220" t="s">
        <v>473</v>
      </c>
      <c r="AA517" s="172">
        <f>Delivery[[#This Row],[Quantity delivered]]*VLOOKUP(Delivery[[#This Row],[Unit]],Tab_Conversão[],4,FALSE)*VLOOKUP(CONCATENATE(Delivery[[#This Row],[Coffee specie]],Delivery[[#This Row],[Coffee state]]),Tab_Conversão[],4,FALSE)</f>
        <v>30120</v>
      </c>
      <c r="AB517" s="169">
        <f>SUMIF(Allocation!C:C,Delivery[[#This Row],[Delivery ID]],Allocation!D:D)/Delivery[[#This Row],[Quantity delivered]]</f>
        <v>2.3937583001328023E-2</v>
      </c>
      <c r="AC517" s="170">
        <f>Delivery[[#This Row],[Quantity delivered]]*Delivery[[#This Row],[Base price (Unidad)]]/60</f>
        <v>241660.29</v>
      </c>
      <c r="AD517" s="171">
        <f>Delivery[[#This Row],[Nespresso total]]-Delivery[[#This Row],[Qt. Delivery * Base Price]]</f>
        <v>34596.18535356308</v>
      </c>
      <c r="AE517" s="171">
        <f>Delivery[[#This Row],[AAA Premium (total)]]/Delivery[[#This Row],[Quantity delivered]]*60/Delivery[[#This Row],[Exchange rate VS USD]]</f>
        <v>7</v>
      </c>
      <c r="AF517" s="171">
        <f>Delivery[[#This Row],[BEN premium (total)]]/Delivery[[#This Row],[Quantity delivered]]*60/Delivery[[#This Row],[Exchange rate for premiums VS USD]]</f>
        <v>2.1886853999999998</v>
      </c>
      <c r="AG517" s="171">
        <f>COUNTIF(Delivery[Delivery ID],Delivery[[#This Row],[Delivery ID]])</f>
        <v>1</v>
      </c>
      <c r="AH517" s="171">
        <f>(Delivery[[#This Row],[Nespresso total]]/SUMIF(Allocation!C:C,Delivery[Delivery ID],Allocation!H:H))/Delivery[[#This Row],[Exchange rate VS USD]]</f>
        <v>361.68058239559963</v>
      </c>
      <c r="AI517" s="171">
        <f>(Delivery[[#This Row],[AAA Premium (total)]]/SUMIF(Allocation!C:C,Delivery[Delivery ID],Allocation!H:H))/Delivery[[#This Row],[Exchange rate VS USD]]</f>
        <v>14.764705882352942</v>
      </c>
      <c r="AJ517" s="171">
        <f>Delivery[[#This Row],[Valor Prêmio Nespresso AAA por Kg (em US$)]]*60</f>
        <v>885.88235294117658</v>
      </c>
      <c r="AK517" s="171">
        <f>Delivery[[#This Row],[Valor Prêmio Nespresso AAA por saca (em US$)]]/1.3228/100</f>
        <v>6.6970241377470252</v>
      </c>
      <c r="AL517" s="171">
        <f>(Delivery[[#This Row],[BEN premium (total)]]/SUMIF(Allocation!C:C,Delivery[Delivery ID],Allocation!H:H))/Delivery[[#This Row],[Exchange rate for premiums VS USD]]</f>
        <v>4.6164708857142847</v>
      </c>
      <c r="AM517" s="171">
        <f>Delivery[[#This Row],[Valor Prêmio Nespresso BEN por Kg (em US$)]]*60</f>
        <v>276.9882531428571</v>
      </c>
      <c r="AN517" s="171">
        <f>Delivery[[#This Row],[Valor Prêmio Nespresso BEN por saca (em US$)]]/1.3228/100</f>
        <v>2.0939541362477856</v>
      </c>
      <c r="AO517" s="171">
        <f>SUMIF(Allocation[Delivery ID],Delivery[[#This Row],[Delivery ID]],Allocation[Quantity allocated])*16*1.3228*Delivery[[#This Row],[Exchange rate VS USD]]/60</f>
        <v>269.4326308053333</v>
      </c>
      <c r="AP517" s="171">
        <f>Delivery[[#This Row],[AAA Premium (total)]]</f>
        <v>11277.4802</v>
      </c>
      <c r="AQ517" s="171">
        <f>Delivery[[#This Row],[Valor pago pelo Cluster]]-Delivery[[#This Row],[Valor efetivamente pago pela Nespresso]]</f>
        <v>11008.047569194667</v>
      </c>
    </row>
    <row r="518" spans="1:43" ht="15.75">
      <c r="A518" s="174" t="s">
        <v>69</v>
      </c>
      <c r="B518" s="232" t="s">
        <v>68</v>
      </c>
      <c r="C518" s="157">
        <v>2</v>
      </c>
      <c r="D518" s="157" t="s">
        <v>650</v>
      </c>
      <c r="E518" s="157" t="s">
        <v>650</v>
      </c>
      <c r="F518" s="233" t="s">
        <v>469</v>
      </c>
      <c r="G518" s="234">
        <v>42762</v>
      </c>
      <c r="H518" s="157" t="s">
        <v>664</v>
      </c>
      <c r="I518" s="157" t="s">
        <v>545</v>
      </c>
      <c r="J518" s="237">
        <v>30120</v>
      </c>
      <c r="K518" s="175" t="s">
        <v>61</v>
      </c>
      <c r="L518" s="175" t="s">
        <v>439</v>
      </c>
      <c r="M518" s="175" t="s">
        <v>1343</v>
      </c>
      <c r="N518" s="180"/>
      <c r="O518" s="177"/>
      <c r="P518" s="185">
        <v>0</v>
      </c>
      <c r="Q518" s="177">
        <v>42752</v>
      </c>
      <c r="R518" s="178">
        <v>481.39499999999998</v>
      </c>
      <c r="S518" s="179">
        <v>276256.47535356309</v>
      </c>
      <c r="T518" s="182" t="s">
        <v>45</v>
      </c>
      <c r="U518" s="183">
        <v>3.2092999999999998</v>
      </c>
      <c r="V518" s="179">
        <v>11277.4802</v>
      </c>
      <c r="W518" s="179">
        <v>3526.1223232184393</v>
      </c>
      <c r="X518" s="186" t="s">
        <v>45</v>
      </c>
      <c r="Y518" s="183">
        <v>3.2092999999999998</v>
      </c>
      <c r="Z518" s="220" t="s">
        <v>473</v>
      </c>
      <c r="AA518" s="172">
        <f>Delivery[[#This Row],[Quantity delivered]]*VLOOKUP(Delivery[[#This Row],[Unit]],Tab_Conversão[],4,FALSE)*VLOOKUP(CONCATENATE(Delivery[[#This Row],[Coffee specie]],Delivery[[#This Row],[Coffee state]]),Tab_Conversão[],4,FALSE)</f>
        <v>30120</v>
      </c>
      <c r="AB518" s="169">
        <f>SUMIF(Allocation!C:C,Delivery[[#This Row],[Delivery ID]],Allocation!D:D)/Delivery[[#This Row],[Quantity delivered]]</f>
        <v>2.3937583001328023E-2</v>
      </c>
      <c r="AC518" s="170">
        <f>Delivery[[#This Row],[Quantity delivered]]*Delivery[[#This Row],[Base price (Unidad)]]/60</f>
        <v>241660.29</v>
      </c>
      <c r="AD518" s="171">
        <f>Delivery[[#This Row],[Nespresso total]]-Delivery[[#This Row],[Qt. Delivery * Base Price]]</f>
        <v>34596.18535356308</v>
      </c>
      <c r="AE518" s="171">
        <f>Delivery[[#This Row],[AAA Premium (total)]]/Delivery[[#This Row],[Quantity delivered]]*60/Delivery[[#This Row],[Exchange rate VS USD]]</f>
        <v>7</v>
      </c>
      <c r="AF518" s="171">
        <f>Delivery[[#This Row],[BEN premium (total)]]/Delivery[[#This Row],[Quantity delivered]]*60/Delivery[[#This Row],[Exchange rate for premiums VS USD]]</f>
        <v>2.1886853999999998</v>
      </c>
      <c r="AG518" s="171">
        <f>COUNTIF(Delivery[Delivery ID],Delivery[[#This Row],[Delivery ID]])</f>
        <v>1</v>
      </c>
      <c r="AH518" s="171">
        <f>(Delivery[[#This Row],[Nespresso total]]/SUMIF(Allocation!C:C,Delivery[Delivery ID],Allocation!H:H))/Delivery[[#This Row],[Exchange rate VS USD]]</f>
        <v>361.68058239559963</v>
      </c>
      <c r="AI518" s="171">
        <f>(Delivery[[#This Row],[AAA Premium (total)]]/SUMIF(Allocation!C:C,Delivery[Delivery ID],Allocation!H:H))/Delivery[[#This Row],[Exchange rate VS USD]]</f>
        <v>14.764705882352942</v>
      </c>
      <c r="AJ518" s="171">
        <f>Delivery[[#This Row],[Valor Prêmio Nespresso AAA por Kg (em US$)]]*60</f>
        <v>885.88235294117658</v>
      </c>
      <c r="AK518" s="171">
        <f>Delivery[[#This Row],[Valor Prêmio Nespresso AAA por saca (em US$)]]/1.3228/100</f>
        <v>6.6970241377470252</v>
      </c>
      <c r="AL518" s="171">
        <f>(Delivery[[#This Row],[BEN premium (total)]]/SUMIF(Allocation!C:C,Delivery[Delivery ID],Allocation!H:H))/Delivery[[#This Row],[Exchange rate for premiums VS USD]]</f>
        <v>4.6164708857142847</v>
      </c>
      <c r="AM518" s="171">
        <f>Delivery[[#This Row],[Valor Prêmio Nespresso BEN por Kg (em US$)]]*60</f>
        <v>276.9882531428571</v>
      </c>
      <c r="AN518" s="171">
        <f>Delivery[[#This Row],[Valor Prêmio Nespresso BEN por saca (em US$)]]/1.3228/100</f>
        <v>2.0939541362477856</v>
      </c>
      <c r="AO518" s="171">
        <f>SUMIF(Allocation[Delivery ID],Delivery[[#This Row],[Delivery ID]],Allocation[Quantity allocated])*16*1.3228*Delivery[[#This Row],[Exchange rate VS USD]]/60</f>
        <v>269.4326308053333</v>
      </c>
      <c r="AP518" s="171">
        <f>Delivery[[#This Row],[AAA Premium (total)]]</f>
        <v>11277.4802</v>
      </c>
      <c r="AQ518" s="171">
        <f>Delivery[[#This Row],[Valor pago pelo Cluster]]-Delivery[[#This Row],[Valor efetivamente pago pela Nespresso]]</f>
        <v>11008.047569194667</v>
      </c>
    </row>
    <row r="519" spans="1:43" ht="15.75">
      <c r="A519" s="174" t="s">
        <v>69</v>
      </c>
      <c r="B519" s="232" t="s">
        <v>68</v>
      </c>
      <c r="C519" s="157">
        <v>2</v>
      </c>
      <c r="D519" s="157" t="s">
        <v>650</v>
      </c>
      <c r="E519" s="157" t="s">
        <v>650</v>
      </c>
      <c r="F519" s="233" t="s">
        <v>469</v>
      </c>
      <c r="G519" s="234">
        <v>42762</v>
      </c>
      <c r="H519" s="157" t="s">
        <v>665</v>
      </c>
      <c r="I519" s="157" t="s">
        <v>545</v>
      </c>
      <c r="J519" s="237">
        <v>30120</v>
      </c>
      <c r="K519" s="175" t="s">
        <v>61</v>
      </c>
      <c r="L519" s="175" t="s">
        <v>439</v>
      </c>
      <c r="M519" s="175" t="s">
        <v>1343</v>
      </c>
      <c r="N519" s="180"/>
      <c r="O519" s="177"/>
      <c r="P519" s="185">
        <v>0</v>
      </c>
      <c r="Q519" s="177">
        <v>42752</v>
      </c>
      <c r="R519" s="178">
        <v>481.39499999999998</v>
      </c>
      <c r="S519" s="179">
        <v>276256.47535356309</v>
      </c>
      <c r="T519" s="182" t="s">
        <v>45</v>
      </c>
      <c r="U519" s="183">
        <v>3.2092999999999998</v>
      </c>
      <c r="V519" s="179">
        <v>11277.4802</v>
      </c>
      <c r="W519" s="179">
        <v>3526.1223232184393</v>
      </c>
      <c r="X519" s="186" t="s">
        <v>45</v>
      </c>
      <c r="Y519" s="183">
        <v>3.2092999999999998</v>
      </c>
      <c r="Z519" s="220" t="s">
        <v>473</v>
      </c>
      <c r="AA519" s="172">
        <f>Delivery[[#This Row],[Quantity delivered]]*VLOOKUP(Delivery[[#This Row],[Unit]],Tab_Conversão[],4,FALSE)*VLOOKUP(CONCATENATE(Delivery[[#This Row],[Coffee specie]],Delivery[[#This Row],[Coffee state]]),Tab_Conversão[],4,FALSE)</f>
        <v>30120</v>
      </c>
      <c r="AB519" s="169">
        <f>SUMIF(Allocation!C:C,Delivery[[#This Row],[Delivery ID]],Allocation!D:D)/Delivery[[#This Row],[Quantity delivered]]</f>
        <v>2.3937583001328023E-2</v>
      </c>
      <c r="AC519" s="170">
        <f>Delivery[[#This Row],[Quantity delivered]]*Delivery[[#This Row],[Base price (Unidad)]]/60</f>
        <v>241660.29</v>
      </c>
      <c r="AD519" s="171">
        <f>Delivery[[#This Row],[Nespresso total]]-Delivery[[#This Row],[Qt. Delivery * Base Price]]</f>
        <v>34596.18535356308</v>
      </c>
      <c r="AE519" s="171">
        <f>Delivery[[#This Row],[AAA Premium (total)]]/Delivery[[#This Row],[Quantity delivered]]*60/Delivery[[#This Row],[Exchange rate VS USD]]</f>
        <v>7</v>
      </c>
      <c r="AF519" s="171">
        <f>Delivery[[#This Row],[BEN premium (total)]]/Delivery[[#This Row],[Quantity delivered]]*60/Delivery[[#This Row],[Exchange rate for premiums VS USD]]</f>
        <v>2.1886853999999998</v>
      </c>
      <c r="AG519" s="171">
        <f>COUNTIF(Delivery[Delivery ID],Delivery[[#This Row],[Delivery ID]])</f>
        <v>1</v>
      </c>
      <c r="AH519" s="171">
        <f>(Delivery[[#This Row],[Nespresso total]]/SUMIF(Allocation!C:C,Delivery[Delivery ID],Allocation!H:H))/Delivery[[#This Row],[Exchange rate VS USD]]</f>
        <v>361.68058239559963</v>
      </c>
      <c r="AI519" s="171">
        <f>(Delivery[[#This Row],[AAA Premium (total)]]/SUMIF(Allocation!C:C,Delivery[Delivery ID],Allocation!H:H))/Delivery[[#This Row],[Exchange rate VS USD]]</f>
        <v>14.764705882352942</v>
      </c>
      <c r="AJ519" s="171">
        <f>Delivery[[#This Row],[Valor Prêmio Nespresso AAA por Kg (em US$)]]*60</f>
        <v>885.88235294117658</v>
      </c>
      <c r="AK519" s="171">
        <f>Delivery[[#This Row],[Valor Prêmio Nespresso AAA por saca (em US$)]]/1.3228/100</f>
        <v>6.6970241377470252</v>
      </c>
      <c r="AL519" s="171">
        <f>(Delivery[[#This Row],[BEN premium (total)]]/SUMIF(Allocation!C:C,Delivery[Delivery ID],Allocation!H:H))/Delivery[[#This Row],[Exchange rate for premiums VS USD]]</f>
        <v>4.6164708857142847</v>
      </c>
      <c r="AM519" s="171">
        <f>Delivery[[#This Row],[Valor Prêmio Nespresso BEN por Kg (em US$)]]*60</f>
        <v>276.9882531428571</v>
      </c>
      <c r="AN519" s="171">
        <f>Delivery[[#This Row],[Valor Prêmio Nespresso BEN por saca (em US$)]]/1.3228/100</f>
        <v>2.0939541362477856</v>
      </c>
      <c r="AO519" s="171">
        <f>SUMIF(Allocation[Delivery ID],Delivery[[#This Row],[Delivery ID]],Allocation[Quantity allocated])*16*1.3228*Delivery[[#This Row],[Exchange rate VS USD]]/60</f>
        <v>269.4326308053333</v>
      </c>
      <c r="AP519" s="171">
        <f>Delivery[[#This Row],[AAA Premium (total)]]</f>
        <v>11277.4802</v>
      </c>
      <c r="AQ519" s="171">
        <f>Delivery[[#This Row],[Valor pago pelo Cluster]]-Delivery[[#This Row],[Valor efetivamente pago pela Nespresso]]</f>
        <v>11008.047569194667</v>
      </c>
    </row>
    <row r="520" spans="1:43" ht="15.75">
      <c r="A520" s="174" t="s">
        <v>69</v>
      </c>
      <c r="B520" s="232" t="s">
        <v>68</v>
      </c>
      <c r="C520" s="157">
        <v>2</v>
      </c>
      <c r="D520" s="157" t="s">
        <v>650</v>
      </c>
      <c r="E520" s="157" t="s">
        <v>650</v>
      </c>
      <c r="F520" s="233" t="s">
        <v>469</v>
      </c>
      <c r="G520" s="234">
        <v>42766</v>
      </c>
      <c r="H520" s="157" t="s">
        <v>666</v>
      </c>
      <c r="I520" s="157" t="s">
        <v>545</v>
      </c>
      <c r="J520" s="237">
        <v>29760</v>
      </c>
      <c r="K520" s="175" t="s">
        <v>61</v>
      </c>
      <c r="L520" s="175" t="s">
        <v>439</v>
      </c>
      <c r="M520" s="175" t="s">
        <v>1343</v>
      </c>
      <c r="N520" s="180"/>
      <c r="O520" s="177"/>
      <c r="P520" s="185">
        <v>0</v>
      </c>
      <c r="Q520" s="177">
        <v>42752</v>
      </c>
      <c r="R520" s="178">
        <v>481.39499999999998</v>
      </c>
      <c r="S520" s="179">
        <v>272954.60513021372</v>
      </c>
      <c r="T520" s="182" t="s">
        <v>45</v>
      </c>
      <c r="U520" s="183">
        <v>3.2092999999999998</v>
      </c>
      <c r="V520" s="179">
        <v>11142.6896</v>
      </c>
      <c r="W520" s="179">
        <v>3483.9774348931192</v>
      </c>
      <c r="X520" s="186" t="s">
        <v>45</v>
      </c>
      <c r="Y520" s="183">
        <v>3.2092999999999998</v>
      </c>
      <c r="Z520" s="220" t="s">
        <v>473</v>
      </c>
      <c r="AA520" s="172">
        <f>Delivery[[#This Row],[Quantity delivered]]*VLOOKUP(Delivery[[#This Row],[Unit]],Tab_Conversão[],4,FALSE)*VLOOKUP(CONCATENATE(Delivery[[#This Row],[Coffee specie]],Delivery[[#This Row],[Coffee state]]),Tab_Conversão[],4,FALSE)</f>
        <v>29760</v>
      </c>
      <c r="AB520" s="169">
        <f>SUMIF(Allocation!C:C,Delivery[[#This Row],[Delivery ID]],Allocation!D:D)/Delivery[[#This Row],[Quantity delivered]]</f>
        <v>2.4227150537634409E-2</v>
      </c>
      <c r="AC520" s="170">
        <f>Delivery[[#This Row],[Quantity delivered]]*Delivery[[#This Row],[Base price (Unidad)]]/60</f>
        <v>238771.91999999998</v>
      </c>
      <c r="AD520" s="171">
        <f>Delivery[[#This Row],[Nespresso total]]-Delivery[[#This Row],[Qt. Delivery * Base Price]]</f>
        <v>34182.685130213737</v>
      </c>
      <c r="AE520" s="171">
        <f>Delivery[[#This Row],[AAA Premium (total)]]/Delivery[[#This Row],[Quantity delivered]]*60/Delivery[[#This Row],[Exchange rate VS USD]]</f>
        <v>7</v>
      </c>
      <c r="AF520" s="171">
        <f>Delivery[[#This Row],[BEN premium (total)]]/Delivery[[#This Row],[Quantity delivered]]*60/Delivery[[#This Row],[Exchange rate for premiums VS USD]]</f>
        <v>2.1886853999999993</v>
      </c>
      <c r="AG520" s="171">
        <f>COUNTIF(Delivery[Delivery ID],Delivery[[#This Row],[Delivery ID]])</f>
        <v>1</v>
      </c>
      <c r="AH520" s="171">
        <f>(Delivery[[#This Row],[Nespresso total]]/SUMIF(Allocation!C:C,Delivery[Delivery ID],Allocation!H:H))/Delivery[[#This Row],[Exchange rate VS USD]]</f>
        <v>357.35770690879963</v>
      </c>
      <c r="AI520" s="171">
        <f>(Delivery[[#This Row],[AAA Premium (total)]]/SUMIF(Allocation!C:C,Delivery[Delivery ID],Allocation!H:H))/Delivery[[#This Row],[Exchange rate VS USD]]</f>
        <v>14.588235294117647</v>
      </c>
      <c r="AJ520" s="171">
        <f>Delivery[[#This Row],[Valor Prêmio Nespresso AAA por Kg (em US$)]]*60</f>
        <v>875.29411764705878</v>
      </c>
      <c r="AK520" s="171">
        <f>Delivery[[#This Row],[Valor Prêmio Nespresso AAA por saca (em US$)]]/1.3228/100</f>
        <v>6.6169800245468613</v>
      </c>
      <c r="AL520" s="171">
        <f>(Delivery[[#This Row],[BEN premium (total)]]/SUMIF(Allocation!C:C,Delivery[Delivery ID],Allocation!H:H))/Delivery[[#This Row],[Exchange rate for premiums VS USD]]</f>
        <v>4.5612939428571417</v>
      </c>
      <c r="AM520" s="171">
        <f>Delivery[[#This Row],[Valor Prêmio Nespresso BEN por Kg (em US$)]]*60</f>
        <v>273.67763657142848</v>
      </c>
      <c r="AN520" s="171">
        <f>Delivery[[#This Row],[Valor Prêmio Nespresso BEN por saca (em US$)]]/1.3228/100</f>
        <v>2.0689267959739075</v>
      </c>
      <c r="AO520" s="171">
        <f>SUMIF(Allocation[Delivery ID],Delivery[[#This Row],[Delivery ID]],Allocation[Quantity allocated])*16*1.3228*Delivery[[#This Row],[Exchange rate VS USD]]/60</f>
        <v>269.4326308053333</v>
      </c>
      <c r="AP520" s="171">
        <f>Delivery[[#This Row],[AAA Premium (total)]]</f>
        <v>11142.6896</v>
      </c>
      <c r="AQ520" s="171">
        <f>Delivery[[#This Row],[Valor pago pelo Cluster]]-Delivery[[#This Row],[Valor efetivamente pago pela Nespresso]]</f>
        <v>10873.256969194666</v>
      </c>
    </row>
    <row r="521" spans="1:43" ht="15.75">
      <c r="A521" s="174" t="s">
        <v>69</v>
      </c>
      <c r="B521" s="232" t="s">
        <v>68</v>
      </c>
      <c r="C521" s="157">
        <v>1</v>
      </c>
      <c r="D521" s="157" t="s">
        <v>468</v>
      </c>
      <c r="E521" s="177" t="s">
        <v>468</v>
      </c>
      <c r="F521" s="233" t="s">
        <v>469</v>
      </c>
      <c r="G521" s="234">
        <v>42766</v>
      </c>
      <c r="H521" s="157" t="s">
        <v>667</v>
      </c>
      <c r="I521" s="157" t="s">
        <v>668</v>
      </c>
      <c r="J521" s="237">
        <v>24600</v>
      </c>
      <c r="K521" s="175" t="s">
        <v>61</v>
      </c>
      <c r="L521" s="175" t="s">
        <v>439</v>
      </c>
      <c r="M521" s="175" t="s">
        <v>1343</v>
      </c>
      <c r="N521" s="180"/>
      <c r="O521" s="177"/>
      <c r="P521" s="185">
        <v>0</v>
      </c>
      <c r="Q521" s="177">
        <v>42755</v>
      </c>
      <c r="R521" s="178">
        <v>485.70801999999998</v>
      </c>
      <c r="S521" s="179">
        <v>219158.50066171202</v>
      </c>
      <c r="T521" s="182" t="s">
        <v>45</v>
      </c>
      <c r="U521" s="183">
        <v>3.1756000000000002</v>
      </c>
      <c r="V521" s="179">
        <v>9073.2999999999993</v>
      </c>
      <c r="W521" s="179">
        <v>2590.5996691439996</v>
      </c>
      <c r="X521" s="186" t="s">
        <v>45</v>
      </c>
      <c r="Y521" s="183">
        <v>3.1756000000000002</v>
      </c>
      <c r="Z521" s="220" t="s">
        <v>473</v>
      </c>
      <c r="AA521" s="172">
        <f>Delivery[[#This Row],[Quantity delivered]]*VLOOKUP(Delivery[[#This Row],[Unit]],Tab_Conversão[],4,FALSE)*VLOOKUP(CONCATENATE(Delivery[[#This Row],[Coffee specie]],Delivery[[#This Row],[Coffee state]]),Tab_Conversão[],4,FALSE)</f>
        <v>24600</v>
      </c>
      <c r="AB521" s="169">
        <f>SUMIF(Allocation!C:C,Delivery[[#This Row],[Delivery ID]],Allocation!D:D)/Delivery[[#This Row],[Quantity delivered]]</f>
        <v>2.426829268292683E-2</v>
      </c>
      <c r="AC521" s="170">
        <f>Delivery[[#This Row],[Quantity delivered]]*Delivery[[#This Row],[Base price (Unidad)]]/60</f>
        <v>199140.28819999998</v>
      </c>
      <c r="AD521" s="171">
        <f>Delivery[[#This Row],[Nespresso total]]-Delivery[[#This Row],[Qt. Delivery * Base Price]]</f>
        <v>20018.212461712043</v>
      </c>
      <c r="AE521" s="171">
        <f>Delivery[[#This Row],[AAA Premium (total)]]/Delivery[[#This Row],[Quantity delivered]]*60/Delivery[[#This Row],[Exchange rate VS USD]]</f>
        <v>6.9687618087920384</v>
      </c>
      <c r="AF521" s="171">
        <f>Delivery[[#This Row],[BEN premium (total)]]/Delivery[[#This Row],[Quantity delivered]]*60/Delivery[[#This Row],[Exchange rate for premiums VS USD]]</f>
        <v>1.9897139999999993</v>
      </c>
      <c r="AG521" s="171">
        <f>COUNTIF(Delivery[Delivery ID],Delivery[[#This Row],[Delivery ID]])</f>
        <v>1</v>
      </c>
      <c r="AH521" s="171">
        <f>(Delivery[[#This Row],[Nespresso total]]/SUMIF(Allocation!C:C,Delivery[Delivery ID],Allocation!H:H))/Delivery[[#This Row],[Exchange rate VS USD]]</f>
        <v>385.54892483558649</v>
      </c>
      <c r="AI521" s="171">
        <f>(Delivery[[#This Row],[AAA Premium (total)]]/SUMIF(Allocation!C:C,Delivery[Delivery ID],Allocation!H:H))/Delivery[[#This Row],[Exchange rate VS USD]]</f>
        <v>15.961968388853274</v>
      </c>
      <c r="AJ521" s="171">
        <f>Delivery[[#This Row],[Valor Prêmio Nespresso AAA por Kg (em US$)]]*60</f>
        <v>957.7181033311964</v>
      </c>
      <c r="AK521" s="171">
        <f>Delivery[[#This Row],[Valor Prêmio Nespresso AAA por saca (em US$)]]/1.3228/100</f>
        <v>7.2400824261505621</v>
      </c>
      <c r="AL521" s="171">
        <f>(Delivery[[#This Row],[BEN premium (total)]]/SUMIF(Allocation!C:C,Delivery[Delivery ID],Allocation!H:H))/Delivery[[#This Row],[Exchange rate for premiums VS USD]]</f>
        <v>4.5574454748603346</v>
      </c>
      <c r="AM521" s="171">
        <f>Delivery[[#This Row],[Valor Prêmio Nespresso BEN por Kg (em US$)]]*60</f>
        <v>273.44672849162009</v>
      </c>
      <c r="AN521" s="171">
        <f>Delivery[[#This Row],[Valor Prêmio Nespresso BEN por saca (em US$)]]/1.3228/100</f>
        <v>2.0671811951286672</v>
      </c>
      <c r="AO521" s="171">
        <f>SUMIF(Allocation[Delivery ID],Delivery[[#This Row],[Delivery ID]],Allocation[Quantity allocated])*16*1.3228*Delivery[[#This Row],[Exchange rate VS USD]]/60</f>
        <v>200.51263432533332</v>
      </c>
      <c r="AP521" s="171">
        <f>Delivery[[#This Row],[AAA Premium (total)]]</f>
        <v>9073.2999999999993</v>
      </c>
      <c r="AQ521" s="171">
        <f>Delivery[[#This Row],[Valor pago pelo Cluster]]-Delivery[[#This Row],[Valor efetivamente pago pela Nespresso]]</f>
        <v>8872.7873656746651</v>
      </c>
    </row>
    <row r="522" spans="1:43" ht="15.75">
      <c r="A522" s="174" t="s">
        <v>69</v>
      </c>
      <c r="B522" s="232" t="s">
        <v>68</v>
      </c>
      <c r="C522" s="157">
        <v>1</v>
      </c>
      <c r="D522" s="157" t="s">
        <v>468</v>
      </c>
      <c r="E522" s="177" t="s">
        <v>468</v>
      </c>
      <c r="F522" s="233" t="s">
        <v>469</v>
      </c>
      <c r="G522" s="234">
        <v>42766</v>
      </c>
      <c r="H522" s="157" t="s">
        <v>669</v>
      </c>
      <c r="I522" s="157" t="s">
        <v>668</v>
      </c>
      <c r="J522" s="237">
        <v>30000</v>
      </c>
      <c r="K522" s="175" t="s">
        <v>61</v>
      </c>
      <c r="L522" s="175" t="s">
        <v>439</v>
      </c>
      <c r="M522" s="175" t="s">
        <v>1343</v>
      </c>
      <c r="N522" s="180"/>
      <c r="O522" s="177"/>
      <c r="P522" s="185">
        <v>0</v>
      </c>
      <c r="Q522" s="177">
        <v>42755</v>
      </c>
      <c r="R522" s="178">
        <v>485.70801999999998</v>
      </c>
      <c r="S522" s="179">
        <v>267266.46422159998</v>
      </c>
      <c r="T522" s="182" t="s">
        <v>45</v>
      </c>
      <c r="U522" s="183">
        <v>3.1756000000000002</v>
      </c>
      <c r="V522" s="179">
        <v>11065</v>
      </c>
      <c r="W522" s="179">
        <v>3159.2678891999994</v>
      </c>
      <c r="X522" s="186" t="s">
        <v>45</v>
      </c>
      <c r="Y522" s="183">
        <v>3.1756000000000002</v>
      </c>
      <c r="Z522" s="220" t="s">
        <v>473</v>
      </c>
      <c r="AA522" s="172">
        <f>Delivery[[#This Row],[Quantity delivered]]*VLOOKUP(Delivery[[#This Row],[Unit]],Tab_Conversão[],4,FALSE)*VLOOKUP(CONCATENATE(Delivery[[#This Row],[Coffee specie]],Delivery[[#This Row],[Coffee state]]),Tab_Conversão[],4,FALSE)</f>
        <v>30000</v>
      </c>
      <c r="AB522" s="169">
        <f>SUMIF(Allocation!C:C,Delivery[[#This Row],[Delivery ID]],Allocation!D:D)/Delivery[[#This Row],[Quantity delivered]]</f>
        <v>1.9900000000000001E-2</v>
      </c>
      <c r="AC522" s="170">
        <f>Delivery[[#This Row],[Quantity delivered]]*Delivery[[#This Row],[Base price (Unidad)]]/60</f>
        <v>242854.00999999998</v>
      </c>
      <c r="AD522" s="171">
        <f>Delivery[[#This Row],[Nespresso total]]-Delivery[[#This Row],[Qt. Delivery * Base Price]]</f>
        <v>24412.454221599997</v>
      </c>
      <c r="AE522" s="171">
        <f>Delivery[[#This Row],[AAA Premium (total)]]/Delivery[[#This Row],[Quantity delivered]]*60/Delivery[[#This Row],[Exchange rate VS USD]]</f>
        <v>6.9687618087920393</v>
      </c>
      <c r="AF522" s="171">
        <f>Delivery[[#This Row],[BEN premium (total)]]/Delivery[[#This Row],[Quantity delivered]]*60/Delivery[[#This Row],[Exchange rate for premiums VS USD]]</f>
        <v>1.9897139999999993</v>
      </c>
      <c r="AG522" s="171">
        <f>COUNTIF(Delivery[Delivery ID],Delivery[[#This Row],[Delivery ID]])</f>
        <v>1</v>
      </c>
      <c r="AH522" s="171">
        <f>(Delivery[[#This Row],[Nespresso total]]/SUMIF(Allocation!C:C,Delivery[Delivery ID],Allocation!H:H))/Delivery[[#This Row],[Exchange rate VS USD]]</f>
        <v>470.1816156531541</v>
      </c>
      <c r="AI522" s="171">
        <f>(Delivery[[#This Row],[AAA Premium (total)]]/SUMIF(Allocation!C:C,Delivery[Delivery ID],Allocation!H:H))/Delivery[[#This Row],[Exchange rate VS USD]]</f>
        <v>19.465815108357649</v>
      </c>
      <c r="AJ522" s="171">
        <f>Delivery[[#This Row],[Valor Prêmio Nespresso AAA por Kg (em US$)]]*60</f>
        <v>1167.9489065014589</v>
      </c>
      <c r="AK522" s="171">
        <f>Delivery[[#This Row],[Valor Prêmio Nespresso AAA por saca (em US$)]]/1.3228/100</f>
        <v>8.8293688123787337</v>
      </c>
      <c r="AL522" s="171">
        <f>(Delivery[[#This Row],[BEN premium (total)]]/SUMIF(Allocation!C:C,Delivery[Delivery ID],Allocation!H:H))/Delivery[[#This Row],[Exchange rate for premiums VS USD]]</f>
        <v>5.5578603351955298</v>
      </c>
      <c r="AM522" s="171">
        <f>Delivery[[#This Row],[Valor Prêmio Nespresso BEN por Kg (em US$)]]*60</f>
        <v>333.4716201117318</v>
      </c>
      <c r="AN522" s="171">
        <f>Delivery[[#This Row],[Valor Prêmio Nespresso BEN por saca (em US$)]]/1.3228/100</f>
        <v>2.5209526769861794</v>
      </c>
      <c r="AO522" s="171">
        <f>SUMIF(Allocation[Delivery ID],Delivery[[#This Row],[Delivery ID]],Allocation[Quantity allocated])*16*1.3228*Delivery[[#This Row],[Exchange rate VS USD]]/60</f>
        <v>200.51263432533332</v>
      </c>
      <c r="AP522" s="171">
        <f>Delivery[[#This Row],[AAA Premium (total)]]</f>
        <v>11065</v>
      </c>
      <c r="AQ522" s="171">
        <f>Delivery[[#This Row],[Valor pago pelo Cluster]]-Delivery[[#This Row],[Valor efetivamente pago pela Nespresso]]</f>
        <v>10864.487365674666</v>
      </c>
    </row>
    <row r="523" spans="1:43" ht="15.75">
      <c r="A523" s="174" t="s">
        <v>69</v>
      </c>
      <c r="B523" s="232" t="s">
        <v>68</v>
      </c>
      <c r="C523" s="157">
        <v>1</v>
      </c>
      <c r="D523" s="157" t="s">
        <v>468</v>
      </c>
      <c r="E523" s="177" t="s">
        <v>468</v>
      </c>
      <c r="F523" s="233" t="s">
        <v>469</v>
      </c>
      <c r="G523" s="234">
        <v>42766</v>
      </c>
      <c r="H523" s="157" t="s">
        <v>670</v>
      </c>
      <c r="I523" s="157" t="s">
        <v>668</v>
      </c>
      <c r="J523" s="237">
        <v>30000</v>
      </c>
      <c r="K523" s="175" t="s">
        <v>61</v>
      </c>
      <c r="L523" s="175" t="s">
        <v>439</v>
      </c>
      <c r="M523" s="175" t="s">
        <v>1343</v>
      </c>
      <c r="N523" s="180"/>
      <c r="O523" s="177"/>
      <c r="P523" s="185">
        <v>0</v>
      </c>
      <c r="Q523" s="177">
        <v>42755</v>
      </c>
      <c r="R523" s="178">
        <v>485.70801999999998</v>
      </c>
      <c r="S523" s="179">
        <v>267266.46422159998</v>
      </c>
      <c r="T523" s="182" t="s">
        <v>45</v>
      </c>
      <c r="U523" s="183">
        <v>3.1756000000000002</v>
      </c>
      <c r="V523" s="179">
        <v>11065</v>
      </c>
      <c r="W523" s="179">
        <v>3159.2678891999994</v>
      </c>
      <c r="X523" s="186" t="s">
        <v>45</v>
      </c>
      <c r="Y523" s="183">
        <v>3.1756000000000002</v>
      </c>
      <c r="Z523" s="220" t="s">
        <v>473</v>
      </c>
      <c r="AA523" s="172">
        <f>Delivery[[#This Row],[Quantity delivered]]*VLOOKUP(Delivery[[#This Row],[Unit]],Tab_Conversão[],4,FALSE)*VLOOKUP(CONCATENATE(Delivery[[#This Row],[Coffee specie]],Delivery[[#This Row],[Coffee state]]),Tab_Conversão[],4,FALSE)</f>
        <v>30000</v>
      </c>
      <c r="AB523" s="169">
        <f>SUMIF(Allocation!C:C,Delivery[[#This Row],[Delivery ID]],Allocation!D:D)/Delivery[[#This Row],[Quantity delivered]]</f>
        <v>1.9900000000000001E-2</v>
      </c>
      <c r="AC523" s="170">
        <f>Delivery[[#This Row],[Quantity delivered]]*Delivery[[#This Row],[Base price (Unidad)]]/60</f>
        <v>242854.00999999998</v>
      </c>
      <c r="AD523" s="171">
        <f>Delivery[[#This Row],[Nespresso total]]-Delivery[[#This Row],[Qt. Delivery * Base Price]]</f>
        <v>24412.454221599997</v>
      </c>
      <c r="AE523" s="171">
        <f>Delivery[[#This Row],[AAA Premium (total)]]/Delivery[[#This Row],[Quantity delivered]]*60/Delivery[[#This Row],[Exchange rate VS USD]]</f>
        <v>6.9687618087920393</v>
      </c>
      <c r="AF523" s="171">
        <f>Delivery[[#This Row],[BEN premium (total)]]/Delivery[[#This Row],[Quantity delivered]]*60/Delivery[[#This Row],[Exchange rate for premiums VS USD]]</f>
        <v>1.9897139999999993</v>
      </c>
      <c r="AG523" s="171">
        <f>COUNTIF(Delivery[Delivery ID],Delivery[[#This Row],[Delivery ID]])</f>
        <v>1</v>
      </c>
      <c r="AH523" s="171">
        <f>(Delivery[[#This Row],[Nespresso total]]/SUMIF(Allocation!C:C,Delivery[Delivery ID],Allocation!H:H))/Delivery[[#This Row],[Exchange rate VS USD]]</f>
        <v>470.1816156531541</v>
      </c>
      <c r="AI523" s="171">
        <f>(Delivery[[#This Row],[AAA Premium (total)]]/SUMIF(Allocation!C:C,Delivery[Delivery ID],Allocation!H:H))/Delivery[[#This Row],[Exchange rate VS USD]]</f>
        <v>19.465815108357649</v>
      </c>
      <c r="AJ523" s="171">
        <f>Delivery[[#This Row],[Valor Prêmio Nespresso AAA por Kg (em US$)]]*60</f>
        <v>1167.9489065014589</v>
      </c>
      <c r="AK523" s="171">
        <f>Delivery[[#This Row],[Valor Prêmio Nespresso AAA por saca (em US$)]]/1.3228/100</f>
        <v>8.8293688123787337</v>
      </c>
      <c r="AL523" s="171">
        <f>(Delivery[[#This Row],[BEN premium (total)]]/SUMIF(Allocation!C:C,Delivery[Delivery ID],Allocation!H:H))/Delivery[[#This Row],[Exchange rate for premiums VS USD]]</f>
        <v>5.5578603351955298</v>
      </c>
      <c r="AM523" s="171">
        <f>Delivery[[#This Row],[Valor Prêmio Nespresso BEN por Kg (em US$)]]*60</f>
        <v>333.4716201117318</v>
      </c>
      <c r="AN523" s="171">
        <f>Delivery[[#This Row],[Valor Prêmio Nespresso BEN por saca (em US$)]]/1.3228/100</f>
        <v>2.5209526769861794</v>
      </c>
      <c r="AO523" s="171">
        <f>SUMIF(Allocation[Delivery ID],Delivery[[#This Row],[Delivery ID]],Allocation[Quantity allocated])*16*1.3228*Delivery[[#This Row],[Exchange rate VS USD]]/60</f>
        <v>200.51263432533332</v>
      </c>
      <c r="AP523" s="171">
        <f>Delivery[[#This Row],[AAA Premium (total)]]</f>
        <v>11065</v>
      </c>
      <c r="AQ523" s="171">
        <f>Delivery[[#This Row],[Valor pago pelo Cluster]]-Delivery[[#This Row],[Valor efetivamente pago pela Nespresso]]</f>
        <v>10864.487365674666</v>
      </c>
    </row>
    <row r="524" spans="1:43" ht="15.75">
      <c r="A524" s="174" t="s">
        <v>69</v>
      </c>
      <c r="B524" s="232" t="s">
        <v>68</v>
      </c>
      <c r="C524" s="157">
        <v>1</v>
      </c>
      <c r="D524" s="157" t="s">
        <v>468</v>
      </c>
      <c r="E524" s="177" t="s">
        <v>468</v>
      </c>
      <c r="F524" s="233" t="s">
        <v>469</v>
      </c>
      <c r="G524" s="234">
        <v>42769</v>
      </c>
      <c r="H524" s="157" t="s">
        <v>671</v>
      </c>
      <c r="I524" s="157" t="s">
        <v>672</v>
      </c>
      <c r="J524" s="237">
        <v>30960</v>
      </c>
      <c r="K524" s="175" t="s">
        <v>61</v>
      </c>
      <c r="L524" s="175" t="s">
        <v>439</v>
      </c>
      <c r="M524" s="175" t="s">
        <v>1343</v>
      </c>
      <c r="N524" s="180"/>
      <c r="O524" s="177"/>
      <c r="P524" s="185">
        <v>0</v>
      </c>
      <c r="Q524" s="177">
        <v>42761</v>
      </c>
      <c r="R524" s="178">
        <v>485.70801999999998</v>
      </c>
      <c r="S524" s="179">
        <v>281713.53107669123</v>
      </c>
      <c r="T524" s="182" t="s">
        <v>45</v>
      </c>
      <c r="U524" s="183">
        <v>3.1756000000000002</v>
      </c>
      <c r="V524" s="179">
        <v>11470.68</v>
      </c>
      <c r="W524" s="179">
        <v>3260.3644616543997</v>
      </c>
      <c r="X524" s="186" t="s">
        <v>45</v>
      </c>
      <c r="Y524" s="183">
        <v>3.1756000000000002</v>
      </c>
      <c r="Z524" s="220" t="s">
        <v>473</v>
      </c>
      <c r="AA524" s="172">
        <f>Delivery[[#This Row],[Quantity delivered]]*VLOOKUP(Delivery[[#This Row],[Unit]],Tab_Conversão[],4,FALSE)*VLOOKUP(CONCATENATE(Delivery[[#This Row],[Coffee specie]],Delivery[[#This Row],[Coffee state]]),Tab_Conversão[],4,FALSE)</f>
        <v>30960</v>
      </c>
      <c r="AB524" s="169">
        <f>SUMIF(Allocation!C:C,Delivery[[#This Row],[Delivery ID]],Allocation!D:D)/Delivery[[#This Row],[Quantity delivered]]</f>
        <v>1.9282945736434107E-2</v>
      </c>
      <c r="AC524" s="170">
        <f>Delivery[[#This Row],[Quantity delivered]]*Delivery[[#This Row],[Base price (Unidad)]]/60</f>
        <v>250625.33831999998</v>
      </c>
      <c r="AD524" s="171">
        <f>Delivery[[#This Row],[Nespresso total]]-Delivery[[#This Row],[Qt. Delivery * Base Price]]</f>
        <v>31088.192756691249</v>
      </c>
      <c r="AE524" s="171">
        <f>Delivery[[#This Row],[AAA Premium (total)]]/Delivery[[#This Row],[Quantity delivered]]*60/Delivery[[#This Row],[Exchange rate VS USD]]</f>
        <v>7.0002519208968383</v>
      </c>
      <c r="AF524" s="171">
        <f>Delivery[[#This Row],[BEN premium (total)]]/Delivery[[#This Row],[Quantity delivered]]*60/Delivery[[#This Row],[Exchange rate for premiums VS USD]]</f>
        <v>1.9897139999999998</v>
      </c>
      <c r="AG524" s="171">
        <f>COUNTIF(Delivery[Delivery ID],Delivery[[#This Row],[Delivery ID]])</f>
        <v>1</v>
      </c>
      <c r="AH524" s="171">
        <f>(Delivery[[#This Row],[Nespresso total]]/SUMIF(Allocation!C:C,Delivery[Delivery ID],Allocation!H:H))/Delivery[[#This Row],[Exchange rate VS USD]]</f>
        <v>495.5972444158553</v>
      </c>
      <c r="AI524" s="171">
        <f>(Delivery[[#This Row],[AAA Premium (total)]]/SUMIF(Allocation!C:C,Delivery[Delivery ID],Allocation!H:H))/Delivery[[#This Row],[Exchange rate VS USD]]</f>
        <v>20.179497157445631</v>
      </c>
      <c r="AJ524" s="171">
        <f>Delivery[[#This Row],[Valor Prêmio Nespresso AAA por Kg (em US$)]]*60</f>
        <v>1210.769829446738</v>
      </c>
      <c r="AK524" s="171">
        <f>Delivery[[#This Row],[Valor Prêmio Nespresso AAA por saca (em US$)]]/1.3228/100</f>
        <v>9.1530830771600993</v>
      </c>
      <c r="AL524" s="171">
        <f>(Delivery[[#This Row],[BEN premium (total)]]/SUMIF(Allocation!C:C,Delivery[Delivery ID],Allocation!H:H))/Delivery[[#This Row],[Exchange rate for premiums VS USD]]</f>
        <v>5.7357118659217869</v>
      </c>
      <c r="AM524" s="171">
        <f>Delivery[[#This Row],[Valor Prêmio Nespresso BEN por Kg (em US$)]]*60</f>
        <v>344.14271195530722</v>
      </c>
      <c r="AN524" s="171">
        <f>Delivery[[#This Row],[Valor Prêmio Nespresso BEN por saca (em US$)]]/1.3228/100</f>
        <v>2.6016231626497368</v>
      </c>
      <c r="AO524" s="171">
        <f>SUMIF(Allocation[Delivery ID],Delivery[[#This Row],[Delivery ID]],Allocation[Quantity allocated])*16*1.3228*Delivery[[#This Row],[Exchange rate VS USD]]/60</f>
        <v>200.51263432533332</v>
      </c>
      <c r="AP524" s="171">
        <f>Delivery[[#This Row],[AAA Premium (total)]]</f>
        <v>11470.68</v>
      </c>
      <c r="AQ524" s="171">
        <f>Delivery[[#This Row],[Valor pago pelo Cluster]]-Delivery[[#This Row],[Valor efetivamente pago pela Nespresso]]</f>
        <v>11270.167365674666</v>
      </c>
    </row>
    <row r="525" spans="1:43" ht="15.75">
      <c r="A525" s="174" t="s">
        <v>69</v>
      </c>
      <c r="B525" s="232" t="s">
        <v>68</v>
      </c>
      <c r="C525" s="157">
        <v>1</v>
      </c>
      <c r="D525" s="157" t="s">
        <v>468</v>
      </c>
      <c r="E525" s="177" t="s">
        <v>468</v>
      </c>
      <c r="F525" s="233" t="s">
        <v>469</v>
      </c>
      <c r="G525" s="234">
        <v>42770</v>
      </c>
      <c r="H525" s="157" t="s">
        <v>673</v>
      </c>
      <c r="I525" s="157" t="s">
        <v>672</v>
      </c>
      <c r="J525" s="237">
        <v>14400</v>
      </c>
      <c r="K525" s="175" t="s">
        <v>61</v>
      </c>
      <c r="L525" s="175" t="s">
        <v>439</v>
      </c>
      <c r="M525" s="175" t="s">
        <v>1343</v>
      </c>
      <c r="N525" s="180"/>
      <c r="O525" s="177"/>
      <c r="P525" s="185">
        <v>0</v>
      </c>
      <c r="Q525" s="177">
        <v>42761</v>
      </c>
      <c r="R525" s="178">
        <v>485.70801999999998</v>
      </c>
      <c r="S525" s="179">
        <v>131126.782826368</v>
      </c>
      <c r="T525" s="182" t="s">
        <v>45</v>
      </c>
      <c r="U525" s="183">
        <v>3.1756000000000002</v>
      </c>
      <c r="V525" s="179">
        <v>5335.0080000000007</v>
      </c>
      <c r="W525" s="179">
        <v>1516.4485868159998</v>
      </c>
      <c r="X525" s="186" t="s">
        <v>45</v>
      </c>
      <c r="Y525" s="183">
        <v>3.1756000000000002</v>
      </c>
      <c r="Z525" s="220" t="s">
        <v>473</v>
      </c>
      <c r="AA525" s="172">
        <f>Delivery[[#This Row],[Quantity delivered]]*VLOOKUP(Delivery[[#This Row],[Unit]],Tab_Conversão[],4,FALSE)*VLOOKUP(CONCATENATE(Delivery[[#This Row],[Coffee specie]],Delivery[[#This Row],[Coffee state]]),Tab_Conversão[],4,FALSE)</f>
        <v>14400</v>
      </c>
      <c r="AB525" s="169">
        <f>SUMIF(Allocation!C:C,Delivery[[#This Row],[Delivery ID]],Allocation!D:D)/Delivery[[#This Row],[Quantity delivered]]</f>
        <v>4.1458333333333333E-2</v>
      </c>
      <c r="AC525" s="170">
        <f>Delivery[[#This Row],[Quantity delivered]]*Delivery[[#This Row],[Base price (Unidad)]]/60</f>
        <v>116569.92479999999</v>
      </c>
      <c r="AD525" s="171">
        <f>Delivery[[#This Row],[Nespresso total]]-Delivery[[#This Row],[Qt. Delivery * Base Price]]</f>
        <v>14556.858026368005</v>
      </c>
      <c r="AE525" s="171">
        <f>Delivery[[#This Row],[AAA Premium (total)]]/Delivery[[#This Row],[Quantity delivered]]*60/Delivery[[#This Row],[Exchange rate VS USD]]</f>
        <v>7.0000000000000018</v>
      </c>
      <c r="AF525" s="171">
        <f>Delivery[[#This Row],[BEN premium (total)]]/Delivery[[#This Row],[Quantity delivered]]*60/Delivery[[#This Row],[Exchange rate for premiums VS USD]]</f>
        <v>1.9897139999999993</v>
      </c>
      <c r="AG525" s="171">
        <f>COUNTIF(Delivery[Delivery ID],Delivery[[#This Row],[Delivery ID]])</f>
        <v>1</v>
      </c>
      <c r="AH525" s="171">
        <f>(Delivery[[#This Row],[Nespresso total]]/SUMIF(Allocation!C:C,Delivery[Delivery ID],Allocation!H:H))/Delivery[[#This Row],[Exchange rate VS USD]]</f>
        <v>230.68140173988672</v>
      </c>
      <c r="AI525" s="171">
        <f>(Delivery[[#This Row],[AAA Premium (total)]]/SUMIF(Allocation!C:C,Delivery[Delivery ID],Allocation!H:H))/Delivery[[#This Row],[Exchange rate VS USD]]</f>
        <v>9.3854748603351954</v>
      </c>
      <c r="AJ525" s="171">
        <f>Delivery[[#This Row],[Valor Prêmio Nespresso AAA por Kg (em US$)]]*60</f>
        <v>563.12849162011173</v>
      </c>
      <c r="AK525" s="171">
        <f>Delivery[[#This Row],[Valor Prêmio Nespresso AAA por saca (em US$)]]/1.3228/100</f>
        <v>4.2570947355617763</v>
      </c>
      <c r="AL525" s="171">
        <f>(Delivery[[#This Row],[BEN premium (total)]]/SUMIF(Allocation!C:C,Delivery[Delivery ID],Allocation!H:H))/Delivery[[#This Row],[Exchange rate for premiums VS USD]]</f>
        <v>2.6677729608938541</v>
      </c>
      <c r="AM525" s="171">
        <f>Delivery[[#This Row],[Valor Prêmio Nespresso BEN por Kg (em US$)]]*60</f>
        <v>160.06637765363124</v>
      </c>
      <c r="AN525" s="171">
        <f>Delivery[[#This Row],[Valor Prêmio Nespresso BEN por saca (em US$)]]/1.3228/100</f>
        <v>1.2100572849533657</v>
      </c>
      <c r="AO525" s="171">
        <f>SUMIF(Allocation[Delivery ID],Delivery[[#This Row],[Delivery ID]],Allocation[Quantity allocated])*16*1.3228*Delivery[[#This Row],[Exchange rate VS USD]]/60</f>
        <v>200.51263432533332</v>
      </c>
      <c r="AP525" s="171">
        <f>Delivery[[#This Row],[AAA Premium (total)]]</f>
        <v>5335.0080000000007</v>
      </c>
      <c r="AQ525" s="171">
        <f>Delivery[[#This Row],[Valor pago pelo Cluster]]-Delivery[[#This Row],[Valor efetivamente pago pela Nespresso]]</f>
        <v>5134.4953656746675</v>
      </c>
    </row>
    <row r="526" spans="1:43" ht="15.75">
      <c r="A526" s="174" t="s">
        <v>69</v>
      </c>
      <c r="B526" s="232" t="s">
        <v>68</v>
      </c>
      <c r="C526" s="157">
        <v>1</v>
      </c>
      <c r="D526" s="157" t="s">
        <v>468</v>
      </c>
      <c r="E526" s="177" t="s">
        <v>468</v>
      </c>
      <c r="F526" s="233" t="s">
        <v>469</v>
      </c>
      <c r="G526" s="234">
        <v>42770</v>
      </c>
      <c r="H526" s="157" t="s">
        <v>674</v>
      </c>
      <c r="I526" s="157" t="s">
        <v>672</v>
      </c>
      <c r="J526" s="237">
        <v>16687.5</v>
      </c>
      <c r="K526" s="175" t="s">
        <v>61</v>
      </c>
      <c r="L526" s="175" t="s">
        <v>439</v>
      </c>
      <c r="M526" s="175" t="s">
        <v>1343</v>
      </c>
      <c r="N526" s="180"/>
      <c r="O526" s="177"/>
      <c r="P526" s="185">
        <v>0</v>
      </c>
      <c r="Q526" s="177">
        <v>42761</v>
      </c>
      <c r="R526" s="178">
        <v>485.70801999999998</v>
      </c>
      <c r="S526" s="179">
        <v>151956.82447326503</v>
      </c>
      <c r="T526" s="182" t="s">
        <v>45</v>
      </c>
      <c r="U526" s="183">
        <v>3.1756000000000002</v>
      </c>
      <c r="V526" s="179">
        <v>6180.1362500000005</v>
      </c>
      <c r="W526" s="179">
        <v>1757.3427633674999</v>
      </c>
      <c r="X526" s="186" t="s">
        <v>45</v>
      </c>
      <c r="Y526" s="183">
        <v>3.1756000000000002</v>
      </c>
      <c r="Z526" s="220" t="s">
        <v>473</v>
      </c>
      <c r="AA526" s="172">
        <f>Delivery[[#This Row],[Quantity delivered]]*VLOOKUP(Delivery[[#This Row],[Unit]],Tab_Conversão[],4,FALSE)*VLOOKUP(CONCATENATE(Delivery[[#This Row],[Coffee specie]],Delivery[[#This Row],[Coffee state]]),Tab_Conversão[],4,FALSE)</f>
        <v>16687.5</v>
      </c>
      <c r="AB526" s="169">
        <f>SUMIF(Allocation!C:C,Delivery[[#This Row],[Delivery ID]],Allocation!D:D)/Delivery[[#This Row],[Quantity delivered]]</f>
        <v>3.5835205992509361E-2</v>
      </c>
      <c r="AC526" s="170">
        <f>Delivery[[#This Row],[Quantity delivered]]*Delivery[[#This Row],[Base price (Unidad)]]/60</f>
        <v>135087.54306249999</v>
      </c>
      <c r="AD526" s="171">
        <f>Delivery[[#This Row],[Nespresso total]]-Delivery[[#This Row],[Qt. Delivery * Base Price]]</f>
        <v>16869.281410765048</v>
      </c>
      <c r="AE526" s="171">
        <f>Delivery[[#This Row],[AAA Premium (total)]]/Delivery[[#This Row],[Quantity delivered]]*60/Delivery[[#This Row],[Exchange rate VS USD]]</f>
        <v>6.9973279401503881</v>
      </c>
      <c r="AF526" s="171">
        <f>Delivery[[#This Row],[BEN premium (total)]]/Delivery[[#This Row],[Quantity delivered]]*60/Delivery[[#This Row],[Exchange rate for premiums VS USD]]</f>
        <v>1.9897139999999998</v>
      </c>
      <c r="AG526" s="171">
        <f>COUNTIF(Delivery[Delivery ID],Delivery[[#This Row],[Delivery ID]])</f>
        <v>1</v>
      </c>
      <c r="AH526" s="171">
        <f>(Delivery[[#This Row],[Nespresso total]]/SUMIF(Allocation!C:C,Delivery[Delivery ID],Allocation!H:H))/Delivery[[#This Row],[Exchange rate VS USD]]</f>
        <v>266.83418489669288</v>
      </c>
      <c r="AI526" s="171">
        <f>(Delivery[[#This Row],[AAA Premium (total)]]/SUMIF(Allocation!C:C,Delivery[Delivery ID],Allocation!H:H))/Delivery[[#This Row],[Exchange rate VS USD]]</f>
        <v>10.852237959930445</v>
      </c>
      <c r="AJ526" s="171">
        <f>Delivery[[#This Row],[Valor Prêmio Nespresso AAA por Kg (em US$)]]*60</f>
        <v>651.13427759582669</v>
      </c>
      <c r="AK526" s="171">
        <f>Delivery[[#This Row],[Valor Prêmio Nespresso AAA por saca (em US$)]]/1.3228/100</f>
        <v>4.9223939945254509</v>
      </c>
      <c r="AL526" s="171">
        <f>(Delivery[[#This Row],[BEN premium (total)]]/SUMIF(Allocation!C:C,Delivery[Delivery ID],Allocation!H:H))/Delivery[[#This Row],[Exchange rate for premiums VS USD]]</f>
        <v>3.08587077594379</v>
      </c>
      <c r="AM526" s="171">
        <f>Delivery[[#This Row],[Valor Prêmio Nespresso BEN por Kg (em US$)]]*60</f>
        <v>185.1522465566274</v>
      </c>
      <c r="AN526" s="171">
        <f>Delivery[[#This Row],[Valor Prêmio Nespresso BEN por saca (em US$)]]/1.3228/100</f>
        <v>1.3996994750274223</v>
      </c>
      <c r="AO526" s="171">
        <f>SUMIF(Allocation[Delivery ID],Delivery[[#This Row],[Delivery ID]],Allocation[Quantity allocated])*16*1.3228*Delivery[[#This Row],[Exchange rate VS USD]]/60</f>
        <v>200.88229448917338</v>
      </c>
      <c r="AP526" s="171">
        <f>Delivery[[#This Row],[AAA Premium (total)]]</f>
        <v>6180.1362500000005</v>
      </c>
      <c r="AQ526" s="171">
        <f>Delivery[[#This Row],[Valor pago pelo Cluster]]-Delivery[[#This Row],[Valor efetivamente pago pela Nespresso]]</f>
        <v>5979.2539555108269</v>
      </c>
    </row>
    <row r="527" spans="1:43" ht="15.75">
      <c r="A527" s="174" t="s">
        <v>69</v>
      </c>
      <c r="B527" s="232" t="s">
        <v>68</v>
      </c>
      <c r="C527" s="157">
        <v>1</v>
      </c>
      <c r="D527" s="157" t="s">
        <v>468</v>
      </c>
      <c r="E527" s="177" t="s">
        <v>468</v>
      </c>
      <c r="F527" s="233" t="s">
        <v>469</v>
      </c>
      <c r="G527" s="234">
        <v>42772</v>
      </c>
      <c r="H527" s="157" t="s">
        <v>675</v>
      </c>
      <c r="I527" s="157" t="s">
        <v>672</v>
      </c>
      <c r="J527" s="237">
        <v>31320</v>
      </c>
      <c r="K527" s="175" t="s">
        <v>61</v>
      </c>
      <c r="L527" s="175" t="s">
        <v>439</v>
      </c>
      <c r="M527" s="175" t="s">
        <v>1343</v>
      </c>
      <c r="N527" s="180"/>
      <c r="O527" s="177"/>
      <c r="P527" s="185">
        <v>0</v>
      </c>
      <c r="Q527" s="177">
        <v>42761</v>
      </c>
      <c r="R527" s="178">
        <v>485.70801999999998</v>
      </c>
      <c r="S527" s="179">
        <v>284897.21864735044</v>
      </c>
      <c r="T527" s="182" t="s">
        <v>45</v>
      </c>
      <c r="U527" s="183">
        <v>3.1756000000000002</v>
      </c>
      <c r="V527" s="179">
        <v>11604.06</v>
      </c>
      <c r="W527" s="179">
        <v>3298.2756763247999</v>
      </c>
      <c r="X527" s="186" t="s">
        <v>45</v>
      </c>
      <c r="Y527" s="183">
        <v>3.1756000000000002</v>
      </c>
      <c r="Z527" s="220" t="s">
        <v>473</v>
      </c>
      <c r="AA527" s="172">
        <f>Delivery[[#This Row],[Quantity delivered]]*VLOOKUP(Delivery[[#This Row],[Unit]],Tab_Conversão[],4,FALSE)*VLOOKUP(CONCATENATE(Delivery[[#This Row],[Coffee specie]],Delivery[[#This Row],[Coffee state]]),Tab_Conversão[],4,FALSE)</f>
        <v>31320</v>
      </c>
      <c r="AB527" s="169">
        <f>SUMIF(Allocation!C:C,Delivery[[#This Row],[Delivery ID]],Allocation!D:D)/Delivery[[#This Row],[Quantity delivered]]</f>
        <v>1.9061302681992336E-2</v>
      </c>
      <c r="AC527" s="170">
        <f>Delivery[[#This Row],[Quantity delivered]]*Delivery[[#This Row],[Base price (Unidad)]]/60</f>
        <v>253539.58644000001</v>
      </c>
      <c r="AD527" s="171">
        <f>Delivery[[#This Row],[Nespresso total]]-Delivery[[#This Row],[Qt. Delivery * Base Price]]</f>
        <v>31357.632207350427</v>
      </c>
      <c r="AE527" s="171">
        <f>Delivery[[#This Row],[AAA Premium (total)]]/Delivery[[#This Row],[Quantity delivered]]*60/Delivery[[#This Row],[Exchange rate VS USD]]</f>
        <v>7.0002519208968383</v>
      </c>
      <c r="AF527" s="171">
        <f>Delivery[[#This Row],[BEN premium (total)]]/Delivery[[#This Row],[Quantity delivered]]*60/Delivery[[#This Row],[Exchange rate for premiums VS USD]]</f>
        <v>1.9897139999999998</v>
      </c>
      <c r="AG527" s="171">
        <f>COUNTIF(Delivery[Delivery ID],Delivery[[#This Row],[Delivery ID]])</f>
        <v>1</v>
      </c>
      <c r="AH527" s="171">
        <f>(Delivery[[#This Row],[Nespresso total]]/SUMIF(Allocation!C:C,Delivery[Delivery ID],Allocation!H:H))/Delivery[[#This Row],[Exchange rate VS USD]]</f>
        <v>501.19806444416326</v>
      </c>
      <c r="AI527" s="171">
        <f>(Delivery[[#This Row],[AAA Premium (total)]]/SUMIF(Allocation!C:C,Delivery[Delivery ID],Allocation!H:H))/Delivery[[#This Row],[Exchange rate VS USD]]</f>
        <v>20.414142473229884</v>
      </c>
      <c r="AJ527" s="171">
        <f>Delivery[[#This Row],[Valor Prêmio Nespresso AAA por Kg (em US$)]]*60</f>
        <v>1224.848548393793</v>
      </c>
      <c r="AK527" s="171">
        <f>Delivery[[#This Row],[Valor Prêmio Nespresso AAA por saca (em US$)]]/1.3228/100</f>
        <v>9.2595142757317284</v>
      </c>
      <c r="AL527" s="171">
        <f>(Delivery[[#This Row],[BEN premium (total)]]/SUMIF(Allocation!C:C,Delivery[Delivery ID],Allocation!H:H))/Delivery[[#This Row],[Exchange rate for premiums VS USD]]</f>
        <v>5.8024061899441337</v>
      </c>
      <c r="AM527" s="171">
        <f>Delivery[[#This Row],[Valor Prêmio Nespresso BEN por Kg (em US$)]]*60</f>
        <v>348.14437139664801</v>
      </c>
      <c r="AN527" s="171">
        <f>Delivery[[#This Row],[Valor Prêmio Nespresso BEN por saca (em US$)]]/1.3228/100</f>
        <v>2.6318745947735716</v>
      </c>
      <c r="AO527" s="171">
        <f>SUMIF(Allocation[Delivery ID],Delivery[[#This Row],[Delivery ID]],Allocation[Quantity allocated])*16*1.3228*Delivery[[#This Row],[Exchange rate VS USD]]/60</f>
        <v>200.51263432533332</v>
      </c>
      <c r="AP527" s="171">
        <f>Delivery[[#This Row],[AAA Premium (total)]]</f>
        <v>11604.06</v>
      </c>
      <c r="AQ527" s="171">
        <f>Delivery[[#This Row],[Valor pago pelo Cluster]]-Delivery[[#This Row],[Valor efetivamente pago pela Nespresso]]</f>
        <v>11403.547365674665</v>
      </c>
    </row>
    <row r="528" spans="1:43" ht="15.75">
      <c r="A528" s="174" t="s">
        <v>69</v>
      </c>
      <c r="B528" s="232" t="s">
        <v>68</v>
      </c>
      <c r="C528" s="157">
        <v>1</v>
      </c>
      <c r="D528" s="157" t="s">
        <v>468</v>
      </c>
      <c r="E528" s="177" t="s">
        <v>468</v>
      </c>
      <c r="F528" s="233" t="s">
        <v>469</v>
      </c>
      <c r="G528" s="234">
        <v>42772</v>
      </c>
      <c r="H528" s="157" t="s">
        <v>676</v>
      </c>
      <c r="I528" s="157" t="s">
        <v>672</v>
      </c>
      <c r="J528" s="237">
        <v>31380</v>
      </c>
      <c r="K528" s="175" t="s">
        <v>61</v>
      </c>
      <c r="L528" s="175" t="s">
        <v>439</v>
      </c>
      <c r="M528" s="175" t="s">
        <v>1343</v>
      </c>
      <c r="N528" s="180"/>
      <c r="O528" s="177"/>
      <c r="P528" s="185">
        <v>0</v>
      </c>
      <c r="Q528" s="177">
        <v>42761</v>
      </c>
      <c r="R528" s="178">
        <v>485.70801999999998</v>
      </c>
      <c r="S528" s="179">
        <v>285628.81157579354</v>
      </c>
      <c r="T528" s="182" t="s">
        <v>45</v>
      </c>
      <c r="U528" s="183">
        <v>3.1756000000000002</v>
      </c>
      <c r="V528" s="179">
        <v>11626.29</v>
      </c>
      <c r="W528" s="179">
        <v>3304.5942121031999</v>
      </c>
      <c r="X528" s="186" t="s">
        <v>45</v>
      </c>
      <c r="Y528" s="183">
        <v>3.1756000000000002</v>
      </c>
      <c r="Z528" s="220" t="s">
        <v>473</v>
      </c>
      <c r="AA528" s="172">
        <f>Delivery[[#This Row],[Quantity delivered]]*VLOOKUP(Delivery[[#This Row],[Unit]],Tab_Conversão[],4,FALSE)*VLOOKUP(CONCATENATE(Delivery[[#This Row],[Coffee specie]],Delivery[[#This Row],[Coffee state]]),Tab_Conversão[],4,FALSE)</f>
        <v>31380</v>
      </c>
      <c r="AB528" s="169">
        <f>SUMIF(Allocation!C:C,Delivery[[#This Row],[Delivery ID]],Allocation!D:D)/Delivery[[#This Row],[Quantity delivered]]</f>
        <v>1.9056724028043339E-2</v>
      </c>
      <c r="AC528" s="170">
        <f>Delivery[[#This Row],[Quantity delivered]]*Delivery[[#This Row],[Base price (Unidad)]]/60</f>
        <v>254025.29445999998</v>
      </c>
      <c r="AD528" s="171">
        <f>Delivery[[#This Row],[Nespresso total]]-Delivery[[#This Row],[Qt. Delivery * Base Price]]</f>
        <v>31603.517115793569</v>
      </c>
      <c r="AE528" s="171">
        <f>Delivery[[#This Row],[AAA Premium (total)]]/Delivery[[#This Row],[Quantity delivered]]*60/Delivery[[#This Row],[Exchange rate VS USD]]</f>
        <v>7.0002519208968392</v>
      </c>
      <c r="AF528" s="171">
        <f>Delivery[[#This Row],[BEN premium (total)]]/Delivery[[#This Row],[Quantity delivered]]*60/Delivery[[#This Row],[Exchange rate for premiums VS USD]]</f>
        <v>1.9897139999999998</v>
      </c>
      <c r="AG528" s="171">
        <f>COUNTIF(Delivery[Delivery ID],Delivery[[#This Row],[Delivery ID]])</f>
        <v>1</v>
      </c>
      <c r="AH528" s="171">
        <f>(Delivery[[#This Row],[Nespresso total]]/SUMIF(Allocation!C:C,Delivery[Delivery ID],Allocation!H:H))/Delivery[[#This Row],[Exchange rate VS USD]]</f>
        <v>501.56043589373076</v>
      </c>
      <c r="AI528" s="171">
        <f>(Delivery[[#This Row],[AAA Premium (total)]]/SUMIF(Allocation!C:C,Delivery[Delivery ID],Allocation!H:H))/Delivery[[#This Row],[Exchange rate VS USD]]</f>
        <v>20.415612304851649</v>
      </c>
      <c r="AJ528" s="171">
        <f>Delivery[[#This Row],[Valor Prêmio Nespresso AAA por Kg (em US$)]]*60</f>
        <v>1224.9367382910989</v>
      </c>
      <c r="AK528" s="171">
        <f>Delivery[[#This Row],[Valor Prêmio Nespresso AAA por saca (em US$)]]/1.3228/100</f>
        <v>9.2601809668211281</v>
      </c>
      <c r="AL528" s="171">
        <f>(Delivery[[#This Row],[BEN premium (total)]]/SUMIF(Allocation!C:C,Delivery[Delivery ID],Allocation!H:H))/Delivery[[#This Row],[Exchange rate for premiums VS USD]]</f>
        <v>5.8028239669882327</v>
      </c>
      <c r="AM528" s="171">
        <f>Delivery[[#This Row],[Valor Prêmio Nespresso BEN por Kg (em US$)]]*60</f>
        <v>348.16943801929398</v>
      </c>
      <c r="AN528" s="171">
        <f>Delivery[[#This Row],[Valor Prêmio Nespresso BEN por saca (em US$)]]/1.3228/100</f>
        <v>2.6320640914672966</v>
      </c>
      <c r="AO528" s="171">
        <f>SUMIF(Allocation[Delivery ID],Delivery[[#This Row],[Delivery ID]],Allocation[Quantity allocated])*16*1.3228*Delivery[[#This Row],[Exchange rate VS USD]]/60</f>
        <v>200.88229448917338</v>
      </c>
      <c r="AP528" s="171">
        <f>Delivery[[#This Row],[AAA Premium (total)]]</f>
        <v>11626.29</v>
      </c>
      <c r="AQ528" s="171">
        <f>Delivery[[#This Row],[Valor pago pelo Cluster]]-Delivery[[#This Row],[Valor efetivamente pago pela Nespresso]]</f>
        <v>11425.407705510828</v>
      </c>
    </row>
    <row r="529" spans="1:43" ht="15.75">
      <c r="A529" s="174" t="s">
        <v>69</v>
      </c>
      <c r="B529" s="232" t="s">
        <v>68</v>
      </c>
      <c r="C529" s="157">
        <v>1</v>
      </c>
      <c r="D529" s="157" t="s">
        <v>468</v>
      </c>
      <c r="E529" s="177" t="s">
        <v>468</v>
      </c>
      <c r="F529" s="233" t="s">
        <v>469</v>
      </c>
      <c r="G529" s="234">
        <v>42772</v>
      </c>
      <c r="H529" s="157" t="s">
        <v>677</v>
      </c>
      <c r="I529" s="157" t="s">
        <v>672</v>
      </c>
      <c r="J529" s="237">
        <v>7865</v>
      </c>
      <c r="K529" s="175" t="s">
        <v>61</v>
      </c>
      <c r="L529" s="175" t="s">
        <v>439</v>
      </c>
      <c r="M529" s="175" t="s">
        <v>1343</v>
      </c>
      <c r="N529" s="180"/>
      <c r="O529" s="177"/>
      <c r="P529" s="185">
        <v>0</v>
      </c>
      <c r="Q529" s="177">
        <v>42761</v>
      </c>
      <c r="R529" s="178">
        <v>485.70801999999998</v>
      </c>
      <c r="S529" s="179">
        <v>70780.140536762818</v>
      </c>
      <c r="T529" s="182" t="s">
        <v>45</v>
      </c>
      <c r="U529" s="183">
        <v>3.1756000000000002</v>
      </c>
      <c r="V529" s="179">
        <v>2913.8776333333335</v>
      </c>
      <c r="W529" s="179">
        <v>828.25473161859986</v>
      </c>
      <c r="X529" s="186" t="s">
        <v>45</v>
      </c>
      <c r="Y529" s="183">
        <v>3.1756000000000002</v>
      </c>
      <c r="Z529" s="220" t="s">
        <v>473</v>
      </c>
      <c r="AA529" s="172">
        <f>Delivery[[#This Row],[Quantity delivered]]*VLOOKUP(Delivery[[#This Row],[Unit]],Tab_Conversão[],4,FALSE)*VLOOKUP(CONCATENATE(Delivery[[#This Row],[Coffee specie]],Delivery[[#This Row],[Coffee state]]),Tab_Conversão[],4,FALSE)</f>
        <v>7865</v>
      </c>
      <c r="AB529" s="169">
        <f>SUMIF(Allocation!C:C,Delivery[[#This Row],[Delivery ID]],Allocation!D:D)/Delivery[[#This Row],[Quantity delivered]]</f>
        <v>7.5905912269548639E-2</v>
      </c>
      <c r="AC529" s="170">
        <f>Delivery[[#This Row],[Quantity delivered]]*Delivery[[#This Row],[Base price (Unidad)]]/60</f>
        <v>63668.226288333331</v>
      </c>
      <c r="AD529" s="171">
        <f>Delivery[[#This Row],[Nespresso total]]-Delivery[[#This Row],[Qt. Delivery * Base Price]]</f>
        <v>7111.9142484294862</v>
      </c>
      <c r="AE529" s="171">
        <f>Delivery[[#This Row],[AAA Premium (total)]]/Delivery[[#This Row],[Quantity delivered]]*60/Delivery[[#This Row],[Exchange rate VS USD]]</f>
        <v>7</v>
      </c>
      <c r="AF529" s="171">
        <f>Delivery[[#This Row],[BEN premium (total)]]/Delivery[[#This Row],[Quantity delivered]]*60/Delivery[[#This Row],[Exchange rate for premiums VS USD]]</f>
        <v>1.9897139999999993</v>
      </c>
      <c r="AG529" s="171">
        <f>COUNTIF(Delivery[Delivery ID],Delivery[[#This Row],[Delivery ID]])</f>
        <v>1</v>
      </c>
      <c r="AH529" s="171">
        <f>(Delivery[[#This Row],[Nespresso total]]/SUMIF(Allocation!C:C,Delivery[Delivery ID],Allocation!H:H))/Delivery[[#This Row],[Exchange rate VS USD]]</f>
        <v>124.51813186011708</v>
      </c>
      <c r="AI529" s="171">
        <f>(Delivery[[#This Row],[AAA Premium (total)]]/SUMIF(Allocation!C:C,Delivery[Delivery ID],Allocation!H:H))/Delivery[[#This Row],[Exchange rate VS USD]]</f>
        <v>5.1261638733705777</v>
      </c>
      <c r="AJ529" s="171">
        <f>Delivery[[#This Row],[Valor Prêmio Nespresso AAA por Kg (em US$)]]*60</f>
        <v>307.56983240223468</v>
      </c>
      <c r="AK529" s="171">
        <f>Delivery[[#This Row],[Valor Prêmio Nespresso AAA por saca (em US$)]]/1.3228/100</f>
        <v>2.325142367721762</v>
      </c>
      <c r="AL529" s="171">
        <f>(Delivery[[#This Row],[BEN premium (total)]]/SUMIF(Allocation!C:C,Delivery[Delivery ID],Allocation!H:H))/Delivery[[#This Row],[Exchange rate for premiums VS USD]]</f>
        <v>1.4570857178770948</v>
      </c>
      <c r="AM529" s="171">
        <f>Delivery[[#This Row],[Valor Prêmio Nespresso BEN por Kg (em US$)]]*60</f>
        <v>87.425143072625687</v>
      </c>
      <c r="AN529" s="171">
        <f>Delivery[[#This Row],[Valor Prêmio Nespresso BEN por saca (em US$)]]/1.3228/100</f>
        <v>0.66090976014987679</v>
      </c>
      <c r="AO529" s="171">
        <f>SUMIF(Allocation[Delivery ID],Delivery[[#This Row],[Delivery ID]],Allocation[Quantity allocated])*16*1.3228*Delivery[[#This Row],[Exchange rate VS USD]]/60</f>
        <v>200.51263432533332</v>
      </c>
      <c r="AP529" s="171">
        <f>Delivery[[#This Row],[AAA Premium (total)]]</f>
        <v>2913.8776333333335</v>
      </c>
      <c r="AQ529" s="171">
        <f>Delivery[[#This Row],[Valor pago pelo Cluster]]-Delivery[[#This Row],[Valor efetivamente pago pela Nespresso]]</f>
        <v>2713.3649990080003</v>
      </c>
    </row>
    <row r="530" spans="1:43" ht="15.75">
      <c r="A530" s="174" t="s">
        <v>69</v>
      </c>
      <c r="B530" s="232" t="s">
        <v>68</v>
      </c>
      <c r="C530" s="157">
        <v>1</v>
      </c>
      <c r="D530" s="157" t="s">
        <v>468</v>
      </c>
      <c r="E530" s="177" t="s">
        <v>468</v>
      </c>
      <c r="F530" s="233" t="s">
        <v>469</v>
      </c>
      <c r="G530" s="234">
        <v>42773</v>
      </c>
      <c r="H530" s="157" t="s">
        <v>678</v>
      </c>
      <c r="I530" s="157" t="s">
        <v>672</v>
      </c>
      <c r="J530" s="237">
        <v>30586</v>
      </c>
      <c r="K530" s="175" t="s">
        <v>61</v>
      </c>
      <c r="L530" s="175" t="s">
        <v>439</v>
      </c>
      <c r="M530" s="175" t="s">
        <v>1343</v>
      </c>
      <c r="N530" s="180"/>
      <c r="O530" s="177"/>
      <c r="P530" s="185">
        <v>0</v>
      </c>
      <c r="Q530" s="177">
        <v>42761</v>
      </c>
      <c r="R530" s="178">
        <v>485.70801999999998</v>
      </c>
      <c r="S530" s="179">
        <v>279091.55215606198</v>
      </c>
      <c r="T530" s="182" t="s">
        <v>45</v>
      </c>
      <c r="U530" s="183">
        <v>3.1756000000000002</v>
      </c>
      <c r="V530" s="179">
        <v>11359.53</v>
      </c>
      <c r="W530" s="179">
        <v>3220.9789219690397</v>
      </c>
      <c r="X530" s="186" t="s">
        <v>45</v>
      </c>
      <c r="Y530" s="183">
        <v>3.1756000000000002</v>
      </c>
      <c r="Z530" s="220" t="s">
        <v>473</v>
      </c>
      <c r="AA530" s="172">
        <f>Delivery[[#This Row],[Quantity delivered]]*VLOOKUP(Delivery[[#This Row],[Unit]],Tab_Conversão[],4,FALSE)*VLOOKUP(CONCATENATE(Delivery[[#This Row],[Coffee specie]],Delivery[[#This Row],[Coffee state]]),Tab_Conversão[],4,FALSE)</f>
        <v>30586</v>
      </c>
      <c r="AB530" s="169">
        <f>SUMIF(Allocation!C:C,Delivery[[#This Row],[Delivery ID]],Allocation!D:D)/Delivery[[#This Row],[Quantity delivered]]</f>
        <v>1.7426273458445041E-2</v>
      </c>
      <c r="AC530" s="170">
        <f>Delivery[[#This Row],[Quantity delivered]]*Delivery[[#This Row],[Base price (Unidad)]]/60</f>
        <v>247597.75832866665</v>
      </c>
      <c r="AD530" s="171">
        <f>Delivery[[#This Row],[Nespresso total]]-Delivery[[#This Row],[Qt. Delivery * Base Price]]</f>
        <v>31493.793827395333</v>
      </c>
      <c r="AE530" s="171">
        <f>Delivery[[#This Row],[AAA Premium (total)]]/Delivery[[#This Row],[Quantity delivered]]*60/Delivery[[#This Row],[Exchange rate VS USD]]</f>
        <v>7.0171883834008062</v>
      </c>
      <c r="AF530" s="171">
        <f>Delivery[[#This Row],[BEN premium (total)]]/Delivery[[#This Row],[Quantity delivered]]*60/Delivery[[#This Row],[Exchange rate for premiums VS USD]]</f>
        <v>1.9897139999999998</v>
      </c>
      <c r="AG530" s="171">
        <f>COUNTIF(Delivery[Delivery ID],Delivery[[#This Row],[Delivery ID]])</f>
        <v>1</v>
      </c>
      <c r="AH530" s="171">
        <f>(Delivery[[#This Row],[Nespresso total]]/SUMIF(Allocation!C:C,Delivery[Delivery ID],Allocation!H:H))/Delivery[[#This Row],[Exchange rate VS USD]]</f>
        <v>549.28901655604841</v>
      </c>
      <c r="AI530" s="171">
        <f>(Delivery[[#This Row],[AAA Premium (total)]]/SUMIF(Allocation!C:C,Delivery[Delivery ID],Allocation!H:H))/Delivery[[#This Row],[Exchange rate VS USD]]</f>
        <v>22.357054572364277</v>
      </c>
      <c r="AJ530" s="171">
        <f>Delivery[[#This Row],[Valor Prêmio Nespresso AAA por Kg (em US$)]]*60</f>
        <v>1341.4232743418565</v>
      </c>
      <c r="AK530" s="171">
        <f>Delivery[[#This Row],[Valor Prêmio Nespresso AAA por saca (em US$)]]/1.3228/100</f>
        <v>10.140786773071188</v>
      </c>
      <c r="AL530" s="171">
        <f>(Delivery[[#This Row],[BEN premium (total)]]/SUMIF(Allocation!C:C,Delivery[Delivery ID],Allocation!H:H))/Delivery[[#This Row],[Exchange rate for premiums VS USD]]</f>
        <v>6.3393117087499986</v>
      </c>
      <c r="AM530" s="171">
        <f>Delivery[[#This Row],[Valor Prêmio Nespresso BEN por Kg (em US$)]]*60</f>
        <v>380.3587025249999</v>
      </c>
      <c r="AN530" s="171">
        <f>Delivery[[#This Row],[Valor Prêmio Nespresso BEN por saca (em US$)]]/1.3228/100</f>
        <v>2.8754059761490769</v>
      </c>
      <c r="AO530" s="171">
        <f>SUMIF(Allocation[Delivery ID],Delivery[[#This Row],[Delivery ID]],Allocation[Quantity allocated])*16*1.3228*Delivery[[#This Row],[Exchange rate VS USD]]/60</f>
        <v>179.22917034666668</v>
      </c>
      <c r="AP530" s="171">
        <f>Delivery[[#This Row],[AAA Premium (total)]]</f>
        <v>11359.53</v>
      </c>
      <c r="AQ530" s="171">
        <f>Delivery[[#This Row],[Valor pago pelo Cluster]]-Delivery[[#This Row],[Valor efetivamente pago pela Nespresso]]</f>
        <v>11180.300829653333</v>
      </c>
    </row>
    <row r="531" spans="1:43" ht="15.75">
      <c r="A531" s="174" t="s">
        <v>69</v>
      </c>
      <c r="B531" s="232" t="s">
        <v>68</v>
      </c>
      <c r="C531" s="157">
        <v>1</v>
      </c>
      <c r="D531" s="157" t="s">
        <v>468</v>
      </c>
      <c r="E531" s="177" t="s">
        <v>468</v>
      </c>
      <c r="F531" s="233" t="s">
        <v>469</v>
      </c>
      <c r="G531" s="234">
        <v>42773</v>
      </c>
      <c r="H531" s="157" t="s">
        <v>679</v>
      </c>
      <c r="I531" s="157" t="s">
        <v>672</v>
      </c>
      <c r="J531" s="237">
        <v>30642</v>
      </c>
      <c r="K531" s="175" t="s">
        <v>61</v>
      </c>
      <c r="L531" s="175" t="s">
        <v>439</v>
      </c>
      <c r="M531" s="175" t="s">
        <v>1343</v>
      </c>
      <c r="N531" s="180"/>
      <c r="O531" s="177"/>
      <c r="P531" s="185">
        <v>0</v>
      </c>
      <c r="Q531" s="177">
        <v>42761</v>
      </c>
      <c r="R531" s="178">
        <v>485.70801999999998</v>
      </c>
      <c r="S531" s="179">
        <v>279452.2775559423</v>
      </c>
      <c r="T531" s="182" t="s">
        <v>45</v>
      </c>
      <c r="U531" s="183">
        <v>3.1756000000000002</v>
      </c>
      <c r="V531" s="179">
        <v>11359.53</v>
      </c>
      <c r="W531" s="179">
        <v>3226.87622202888</v>
      </c>
      <c r="X531" s="186" t="s">
        <v>45</v>
      </c>
      <c r="Y531" s="183">
        <v>3.1756000000000002</v>
      </c>
      <c r="Z531" s="220" t="s">
        <v>473</v>
      </c>
      <c r="AA531" s="172">
        <f>Delivery[[#This Row],[Quantity delivered]]*VLOOKUP(Delivery[[#This Row],[Unit]],Tab_Conversão[],4,FALSE)*VLOOKUP(CONCATENATE(Delivery[[#This Row],[Coffee specie]],Delivery[[#This Row],[Coffee state]]),Tab_Conversão[],4,FALSE)</f>
        <v>30642</v>
      </c>
      <c r="AB531" s="169">
        <f>SUMIF(Allocation!C:C,Delivery[[#This Row],[Delivery ID]],Allocation!D:D)/Delivery[[#This Row],[Quantity delivered]]</f>
        <v>1.7524965733307224E-2</v>
      </c>
      <c r="AC531" s="170">
        <f>Delivery[[#This Row],[Quantity delivered]]*Delivery[[#This Row],[Base price (Unidad)]]/60</f>
        <v>248051.08581399999</v>
      </c>
      <c r="AD531" s="171">
        <f>Delivery[[#This Row],[Nespresso total]]-Delivery[[#This Row],[Qt. Delivery * Base Price]]</f>
        <v>31401.191741942312</v>
      </c>
      <c r="AE531" s="171">
        <f>Delivery[[#This Row],[AAA Premium (total)]]/Delivery[[#This Row],[Quantity delivered]]*60/Delivery[[#This Row],[Exchange rate VS USD]]</f>
        <v>7.0043640720154388</v>
      </c>
      <c r="AF531" s="171">
        <f>Delivery[[#This Row],[BEN premium (total)]]/Delivery[[#This Row],[Quantity delivered]]*60/Delivery[[#This Row],[Exchange rate for premiums VS USD]]</f>
        <v>1.9897139999999998</v>
      </c>
      <c r="AG531" s="171">
        <f>COUNTIF(Delivery[Delivery ID],Delivery[[#This Row],[Delivery ID]])</f>
        <v>1</v>
      </c>
      <c r="AH531" s="171">
        <f>(Delivery[[#This Row],[Nespresso total]]/SUMIF(Allocation!C:C,Delivery[Delivery ID],Allocation!H:H))/Delivery[[#This Row],[Exchange rate VS USD]]</f>
        <v>546.58282907938224</v>
      </c>
      <c r="AI531" s="171">
        <f>(Delivery[[#This Row],[AAA Premium (total)]]/SUMIF(Allocation!C:C,Delivery[Delivery ID],Allocation!H:H))/Delivery[[#This Row],[Exchange rate VS USD]]</f>
        <v>22.218190879368226</v>
      </c>
      <c r="AJ531" s="171">
        <f>Delivery[[#This Row],[Valor Prêmio Nespresso AAA por Kg (em US$)]]*60</f>
        <v>1333.0914527620935</v>
      </c>
      <c r="AK531" s="171">
        <f>Delivery[[#This Row],[Valor Prêmio Nespresso AAA por saca (em US$)]]/1.3228/100</f>
        <v>10.077800519822297</v>
      </c>
      <c r="AL531" s="171">
        <f>(Delivery[[#This Row],[BEN premium (total)]]/SUMIF(Allocation!C:C,Delivery[Delivery ID],Allocation!H:H))/Delivery[[#This Row],[Exchange rate for premiums VS USD]]</f>
        <v>6.3114716757763967</v>
      </c>
      <c r="AM531" s="171">
        <f>Delivery[[#This Row],[Valor Prêmio Nespresso BEN por Kg (em US$)]]*60</f>
        <v>378.68830054658378</v>
      </c>
      <c r="AN531" s="171">
        <f>Delivery[[#This Row],[Valor Prêmio Nespresso BEN por saca (em US$)]]/1.3228/100</f>
        <v>2.8627782018943435</v>
      </c>
      <c r="AO531" s="171">
        <f>SUMIF(Allocation[Delivery ID],Delivery[[#This Row],[Delivery ID]],Allocation[Quantity allocated])*16*1.3228*Delivery[[#This Row],[Exchange rate VS USD]]/60</f>
        <v>180.34935266133334</v>
      </c>
      <c r="AP531" s="171">
        <f>Delivery[[#This Row],[AAA Premium (total)]]</f>
        <v>11359.53</v>
      </c>
      <c r="AQ531" s="171">
        <f>Delivery[[#This Row],[Valor pago pelo Cluster]]-Delivery[[#This Row],[Valor efetivamente pago pela Nespresso]]</f>
        <v>11179.180647338668</v>
      </c>
    </row>
    <row r="532" spans="1:43" ht="15.75">
      <c r="A532" s="174" t="s">
        <v>69</v>
      </c>
      <c r="B532" s="232" t="s">
        <v>68</v>
      </c>
      <c r="C532" s="157">
        <v>1</v>
      </c>
      <c r="D532" s="157" t="s">
        <v>468</v>
      </c>
      <c r="E532" s="177" t="s">
        <v>468</v>
      </c>
      <c r="F532" s="233" t="s">
        <v>469</v>
      </c>
      <c r="G532" s="234">
        <v>42766</v>
      </c>
      <c r="H532" s="157" t="s">
        <v>680</v>
      </c>
      <c r="I532" s="157" t="s">
        <v>668</v>
      </c>
      <c r="J532" s="237">
        <v>30000</v>
      </c>
      <c r="K532" s="175" t="s">
        <v>61</v>
      </c>
      <c r="L532" s="175" t="s">
        <v>439</v>
      </c>
      <c r="M532" s="175" t="s">
        <v>1343</v>
      </c>
      <c r="N532" s="180"/>
      <c r="O532" s="177"/>
      <c r="P532" s="185">
        <v>0</v>
      </c>
      <c r="Q532" s="177">
        <v>42755</v>
      </c>
      <c r="R532" s="178">
        <v>485.70801999999998</v>
      </c>
      <c r="S532" s="179">
        <v>267266.46422159998</v>
      </c>
      <c r="T532" s="182" t="s">
        <v>45</v>
      </c>
      <c r="U532" s="183">
        <v>3.1756000000000002</v>
      </c>
      <c r="V532" s="179">
        <v>11065</v>
      </c>
      <c r="W532" s="179">
        <v>3159.2678891999994</v>
      </c>
      <c r="X532" s="186" t="s">
        <v>45</v>
      </c>
      <c r="Y532" s="183">
        <v>3.1756000000000002</v>
      </c>
      <c r="Z532" s="220" t="s">
        <v>473</v>
      </c>
      <c r="AA532" s="172">
        <f>Delivery[[#This Row],[Quantity delivered]]*VLOOKUP(Delivery[[#This Row],[Unit]],Tab_Conversão[],4,FALSE)*VLOOKUP(CONCATENATE(Delivery[[#This Row],[Coffee specie]],Delivery[[#This Row],[Coffee state]]),Tab_Conversão[],4,FALSE)</f>
        <v>30000</v>
      </c>
      <c r="AB532" s="169">
        <f>SUMIF(Allocation!C:C,Delivery[[#This Row],[Delivery ID]],Allocation!D:D)/Delivery[[#This Row],[Quantity delivered]]</f>
        <v>1.9900000000000001E-2</v>
      </c>
      <c r="AC532" s="170">
        <f>Delivery[[#This Row],[Quantity delivered]]*Delivery[[#This Row],[Base price (Unidad)]]/60</f>
        <v>242854.00999999998</v>
      </c>
      <c r="AD532" s="171">
        <f>Delivery[[#This Row],[Nespresso total]]-Delivery[[#This Row],[Qt. Delivery * Base Price]]</f>
        <v>24412.454221599997</v>
      </c>
      <c r="AE532" s="171">
        <f>Delivery[[#This Row],[AAA Premium (total)]]/Delivery[[#This Row],[Quantity delivered]]*60/Delivery[[#This Row],[Exchange rate VS USD]]</f>
        <v>6.9687618087920393</v>
      </c>
      <c r="AF532" s="171">
        <f>Delivery[[#This Row],[BEN premium (total)]]/Delivery[[#This Row],[Quantity delivered]]*60/Delivery[[#This Row],[Exchange rate for premiums VS USD]]</f>
        <v>1.9897139999999993</v>
      </c>
      <c r="AG532" s="171">
        <f>COUNTIF(Delivery[Delivery ID],Delivery[[#This Row],[Delivery ID]])</f>
        <v>1</v>
      </c>
      <c r="AH532" s="171">
        <f>(Delivery[[#This Row],[Nespresso total]]/SUMIF(Allocation!C:C,Delivery[Delivery ID],Allocation!H:H))/Delivery[[#This Row],[Exchange rate VS USD]]</f>
        <v>470.1816156531541</v>
      </c>
      <c r="AI532" s="171">
        <f>(Delivery[[#This Row],[AAA Premium (total)]]/SUMIF(Allocation!C:C,Delivery[Delivery ID],Allocation!H:H))/Delivery[[#This Row],[Exchange rate VS USD]]</f>
        <v>19.465815108357649</v>
      </c>
      <c r="AJ532" s="171">
        <f>Delivery[[#This Row],[Valor Prêmio Nespresso AAA por Kg (em US$)]]*60</f>
        <v>1167.9489065014589</v>
      </c>
      <c r="AK532" s="171">
        <f>Delivery[[#This Row],[Valor Prêmio Nespresso AAA por saca (em US$)]]/1.3228/100</f>
        <v>8.8293688123787337</v>
      </c>
      <c r="AL532" s="171">
        <f>(Delivery[[#This Row],[BEN premium (total)]]/SUMIF(Allocation!C:C,Delivery[Delivery ID],Allocation!H:H))/Delivery[[#This Row],[Exchange rate for premiums VS USD]]</f>
        <v>5.5578603351955298</v>
      </c>
      <c r="AM532" s="171">
        <f>Delivery[[#This Row],[Valor Prêmio Nespresso BEN por Kg (em US$)]]*60</f>
        <v>333.4716201117318</v>
      </c>
      <c r="AN532" s="171">
        <f>Delivery[[#This Row],[Valor Prêmio Nespresso BEN por saca (em US$)]]/1.3228/100</f>
        <v>2.5209526769861794</v>
      </c>
      <c r="AO532" s="171">
        <f>SUMIF(Allocation[Delivery ID],Delivery[[#This Row],[Delivery ID]],Allocation[Quantity allocated])*16*1.3228*Delivery[[#This Row],[Exchange rate VS USD]]/60</f>
        <v>200.51263432533332</v>
      </c>
      <c r="AP532" s="171">
        <f>Delivery[[#This Row],[AAA Premium (total)]]</f>
        <v>11065</v>
      </c>
      <c r="AQ532" s="171">
        <f>Delivery[[#This Row],[Valor pago pelo Cluster]]-Delivery[[#This Row],[Valor efetivamente pago pela Nespresso]]</f>
        <v>10864.487365674666</v>
      </c>
    </row>
    <row r="533" spans="1:43" ht="15.75">
      <c r="A533" s="174" t="s">
        <v>69</v>
      </c>
      <c r="B533" s="232" t="s">
        <v>68</v>
      </c>
      <c r="C533" s="157">
        <v>1</v>
      </c>
      <c r="D533" s="157" t="s">
        <v>468</v>
      </c>
      <c r="E533" s="177" t="s">
        <v>468</v>
      </c>
      <c r="F533" s="233" t="s">
        <v>469</v>
      </c>
      <c r="G533" s="234">
        <v>42766</v>
      </c>
      <c r="H533" s="157" t="s">
        <v>681</v>
      </c>
      <c r="I533" s="157" t="s">
        <v>668</v>
      </c>
      <c r="J533" s="237">
        <v>30000</v>
      </c>
      <c r="K533" s="175" t="s">
        <v>61</v>
      </c>
      <c r="L533" s="175" t="s">
        <v>439</v>
      </c>
      <c r="M533" s="175" t="s">
        <v>1343</v>
      </c>
      <c r="N533" s="180"/>
      <c r="O533" s="177"/>
      <c r="P533" s="185">
        <v>0</v>
      </c>
      <c r="Q533" s="177">
        <v>42755</v>
      </c>
      <c r="R533" s="178">
        <v>485.70801999999998</v>
      </c>
      <c r="S533" s="179">
        <v>267266.46422159998</v>
      </c>
      <c r="T533" s="182" t="s">
        <v>45</v>
      </c>
      <c r="U533" s="183">
        <v>3.1756000000000002</v>
      </c>
      <c r="V533" s="179">
        <v>11065</v>
      </c>
      <c r="W533" s="179">
        <v>3159.2678891999994</v>
      </c>
      <c r="X533" s="186" t="s">
        <v>45</v>
      </c>
      <c r="Y533" s="183">
        <v>3.1756000000000002</v>
      </c>
      <c r="Z533" s="220" t="s">
        <v>473</v>
      </c>
      <c r="AA533" s="172">
        <f>Delivery[[#This Row],[Quantity delivered]]*VLOOKUP(Delivery[[#This Row],[Unit]],Tab_Conversão[],4,FALSE)*VLOOKUP(CONCATENATE(Delivery[[#This Row],[Coffee specie]],Delivery[[#This Row],[Coffee state]]),Tab_Conversão[],4,FALSE)</f>
        <v>30000</v>
      </c>
      <c r="AB533" s="169">
        <f>SUMIF(Allocation!C:C,Delivery[[#This Row],[Delivery ID]],Allocation!D:D)/Delivery[[#This Row],[Quantity delivered]]</f>
        <v>1.9900000000000001E-2</v>
      </c>
      <c r="AC533" s="170">
        <f>Delivery[[#This Row],[Quantity delivered]]*Delivery[[#This Row],[Base price (Unidad)]]/60</f>
        <v>242854.00999999998</v>
      </c>
      <c r="AD533" s="171">
        <f>Delivery[[#This Row],[Nespresso total]]-Delivery[[#This Row],[Qt. Delivery * Base Price]]</f>
        <v>24412.454221599997</v>
      </c>
      <c r="AE533" s="171">
        <f>Delivery[[#This Row],[AAA Premium (total)]]/Delivery[[#This Row],[Quantity delivered]]*60/Delivery[[#This Row],[Exchange rate VS USD]]</f>
        <v>6.9687618087920393</v>
      </c>
      <c r="AF533" s="171">
        <f>Delivery[[#This Row],[BEN premium (total)]]/Delivery[[#This Row],[Quantity delivered]]*60/Delivery[[#This Row],[Exchange rate for premiums VS USD]]</f>
        <v>1.9897139999999993</v>
      </c>
      <c r="AG533" s="171">
        <f>COUNTIF(Delivery[Delivery ID],Delivery[[#This Row],[Delivery ID]])</f>
        <v>1</v>
      </c>
      <c r="AH533" s="171">
        <f>(Delivery[[#This Row],[Nespresso total]]/SUMIF(Allocation!C:C,Delivery[Delivery ID],Allocation!H:H))/Delivery[[#This Row],[Exchange rate VS USD]]</f>
        <v>470.1816156531541</v>
      </c>
      <c r="AI533" s="171">
        <f>(Delivery[[#This Row],[AAA Premium (total)]]/SUMIF(Allocation!C:C,Delivery[Delivery ID],Allocation!H:H))/Delivery[[#This Row],[Exchange rate VS USD]]</f>
        <v>19.465815108357649</v>
      </c>
      <c r="AJ533" s="171">
        <f>Delivery[[#This Row],[Valor Prêmio Nespresso AAA por Kg (em US$)]]*60</f>
        <v>1167.9489065014589</v>
      </c>
      <c r="AK533" s="171">
        <f>Delivery[[#This Row],[Valor Prêmio Nespresso AAA por saca (em US$)]]/1.3228/100</f>
        <v>8.8293688123787337</v>
      </c>
      <c r="AL533" s="171">
        <f>(Delivery[[#This Row],[BEN premium (total)]]/SUMIF(Allocation!C:C,Delivery[Delivery ID],Allocation!H:H))/Delivery[[#This Row],[Exchange rate for premiums VS USD]]</f>
        <v>5.5578603351955298</v>
      </c>
      <c r="AM533" s="171">
        <f>Delivery[[#This Row],[Valor Prêmio Nespresso BEN por Kg (em US$)]]*60</f>
        <v>333.4716201117318</v>
      </c>
      <c r="AN533" s="171">
        <f>Delivery[[#This Row],[Valor Prêmio Nespresso BEN por saca (em US$)]]/1.3228/100</f>
        <v>2.5209526769861794</v>
      </c>
      <c r="AO533" s="171">
        <f>SUMIF(Allocation[Delivery ID],Delivery[[#This Row],[Delivery ID]],Allocation[Quantity allocated])*16*1.3228*Delivery[[#This Row],[Exchange rate VS USD]]/60</f>
        <v>200.51263432533332</v>
      </c>
      <c r="AP533" s="171">
        <f>Delivery[[#This Row],[AAA Premium (total)]]</f>
        <v>11065</v>
      </c>
      <c r="AQ533" s="171">
        <f>Delivery[[#This Row],[Valor pago pelo Cluster]]-Delivery[[#This Row],[Valor efetivamente pago pela Nespresso]]</f>
        <v>10864.487365674666</v>
      </c>
    </row>
    <row r="534" spans="1:43" ht="15.75">
      <c r="A534" s="174" t="s">
        <v>69</v>
      </c>
      <c r="B534" s="232" t="s">
        <v>68</v>
      </c>
      <c r="C534" s="157">
        <v>1</v>
      </c>
      <c r="D534" s="157" t="s">
        <v>468</v>
      </c>
      <c r="E534" s="177" t="s">
        <v>468</v>
      </c>
      <c r="F534" s="233" t="s">
        <v>469</v>
      </c>
      <c r="G534" s="234">
        <v>42774</v>
      </c>
      <c r="H534" s="157" t="s">
        <v>682</v>
      </c>
      <c r="I534" s="157" t="s">
        <v>672</v>
      </c>
      <c r="J534" s="237">
        <v>31080</v>
      </c>
      <c r="K534" s="175" t="s">
        <v>61</v>
      </c>
      <c r="L534" s="175" t="s">
        <v>439</v>
      </c>
      <c r="M534" s="175" t="s">
        <v>1343</v>
      </c>
      <c r="N534" s="180"/>
      <c r="O534" s="177"/>
      <c r="P534" s="185">
        <v>0</v>
      </c>
      <c r="Q534" s="177">
        <v>42761</v>
      </c>
      <c r="R534" s="178">
        <v>485.70801999999998</v>
      </c>
      <c r="S534" s="179">
        <v>283178.31693357759</v>
      </c>
      <c r="T534" s="182" t="s">
        <v>45</v>
      </c>
      <c r="U534" s="183">
        <v>3.1756000000000002</v>
      </c>
      <c r="V534" s="179">
        <v>11514.14</v>
      </c>
      <c r="W534" s="179">
        <v>3273.0015332111998</v>
      </c>
      <c r="X534" s="186" t="s">
        <v>45</v>
      </c>
      <c r="Y534" s="183">
        <v>3.1756000000000002</v>
      </c>
      <c r="Z534" s="220" t="s">
        <v>473</v>
      </c>
      <c r="AA534" s="172">
        <f>Delivery[[#This Row],[Quantity delivered]]*VLOOKUP(Delivery[[#This Row],[Unit]],Tab_Conversão[],4,FALSE)*VLOOKUP(CONCATENATE(Delivery[[#This Row],[Coffee specie]],Delivery[[#This Row],[Coffee state]]),Tab_Conversão[],4,FALSE)</f>
        <v>31080</v>
      </c>
      <c r="AB534" s="169">
        <f>SUMIF(Allocation!C:C,Delivery[[#This Row],[Delivery ID]],Allocation!D:D)/Delivery[[#This Row],[Quantity delivered]]</f>
        <v>1.9208494208494208E-2</v>
      </c>
      <c r="AC534" s="170">
        <f>Delivery[[#This Row],[Quantity delivered]]*Delivery[[#This Row],[Base price (Unidad)]]/60</f>
        <v>251596.75435999999</v>
      </c>
      <c r="AD534" s="171">
        <f>Delivery[[#This Row],[Nespresso total]]-Delivery[[#This Row],[Qt. Delivery * Base Price]]</f>
        <v>31581.562573577598</v>
      </c>
      <c r="AE534" s="171">
        <f>Delivery[[#This Row],[AAA Premium (total)]]/Delivery[[#This Row],[Quantity delivered]]*60/Delivery[[#This Row],[Exchange rate VS USD]]</f>
        <v>6.9996440036747369</v>
      </c>
      <c r="AF534" s="171">
        <f>Delivery[[#This Row],[BEN premium (total)]]/Delivery[[#This Row],[Quantity delivered]]*60/Delivery[[#This Row],[Exchange rate for premiums VS USD]]</f>
        <v>1.9897139999999998</v>
      </c>
      <c r="AG534" s="171">
        <f>COUNTIF(Delivery[Delivery ID],Delivery[[#This Row],[Delivery ID]])</f>
        <v>1</v>
      </c>
      <c r="AH534" s="171">
        <f>(Delivery[[#This Row],[Nespresso total]]/SUMIF(Allocation!C:C,Delivery[Delivery ID],Allocation!H:H))/Delivery[[#This Row],[Exchange rate VS USD]]</f>
        <v>498.17413105512207</v>
      </c>
      <c r="AI534" s="171">
        <f>(Delivery[[#This Row],[AAA Premium (total)]]/SUMIF(Allocation!C:C,Delivery[Delivery ID],Allocation!H:H))/Delivery[[#This Row],[Exchange rate VS USD]]</f>
        <v>20.255953038567117</v>
      </c>
      <c r="AJ534" s="171">
        <f>Delivery[[#This Row],[Valor Prêmio Nespresso AAA por Kg (em US$)]]*60</f>
        <v>1215.3571823140271</v>
      </c>
      <c r="AK534" s="171">
        <f>Delivery[[#This Row],[Valor Prêmio Nespresso AAA por saca (em US$)]]/1.3228/100</f>
        <v>9.1877621886455021</v>
      </c>
      <c r="AL534" s="171">
        <f>(Delivery[[#This Row],[BEN premium (total)]]/SUMIF(Allocation!C:C,Delivery[Delivery ID],Allocation!H:H))/Delivery[[#This Row],[Exchange rate for premiums VS USD]]</f>
        <v>5.7579433072625683</v>
      </c>
      <c r="AM534" s="171">
        <f>Delivery[[#This Row],[Valor Prêmio Nespresso BEN por Kg (em US$)]]*60</f>
        <v>345.47659843575411</v>
      </c>
      <c r="AN534" s="171">
        <f>Delivery[[#This Row],[Valor Prêmio Nespresso BEN por saca (em US$)]]/1.3228/100</f>
        <v>2.6117069733576819</v>
      </c>
      <c r="AO534" s="171">
        <f>SUMIF(Allocation[Delivery ID],Delivery[[#This Row],[Delivery ID]],Allocation[Quantity allocated])*16*1.3228*Delivery[[#This Row],[Exchange rate VS USD]]/60</f>
        <v>200.51263432533332</v>
      </c>
      <c r="AP534" s="171">
        <f>Delivery[[#This Row],[AAA Premium (total)]]</f>
        <v>11514.14</v>
      </c>
      <c r="AQ534" s="171">
        <f>Delivery[[#This Row],[Valor pago pelo Cluster]]-Delivery[[#This Row],[Valor efetivamente pago pela Nespresso]]</f>
        <v>11313.627365674665</v>
      </c>
    </row>
    <row r="535" spans="1:43" ht="15.75">
      <c r="A535" s="174" t="s">
        <v>69</v>
      </c>
      <c r="B535" s="232" t="s">
        <v>68</v>
      </c>
      <c r="C535" s="157">
        <v>1</v>
      </c>
      <c r="D535" s="157" t="s">
        <v>468</v>
      </c>
      <c r="E535" s="177" t="s">
        <v>468</v>
      </c>
      <c r="F535" s="233" t="s">
        <v>469</v>
      </c>
      <c r="G535" s="234">
        <v>42788</v>
      </c>
      <c r="H535" s="157" t="s">
        <v>683</v>
      </c>
      <c r="I535" s="157" t="s">
        <v>480</v>
      </c>
      <c r="J535" s="237">
        <v>5094.5</v>
      </c>
      <c r="K535" s="175" t="s">
        <v>61</v>
      </c>
      <c r="L535" s="175" t="s">
        <v>439</v>
      </c>
      <c r="M535" s="175" t="s">
        <v>1343</v>
      </c>
      <c r="N535" s="180"/>
      <c r="O535" s="177"/>
      <c r="P535" s="185">
        <v>0</v>
      </c>
      <c r="Q535" s="177">
        <v>42782</v>
      </c>
      <c r="R535" s="178">
        <v>454.40796</v>
      </c>
      <c r="S535" s="179">
        <v>43708.714050249415</v>
      </c>
      <c r="T535" s="182" t="s">
        <v>45</v>
      </c>
      <c r="U535" s="183">
        <v>3.0724</v>
      </c>
      <c r="V535" s="179">
        <v>2608.7236333333335</v>
      </c>
      <c r="W535" s="179">
        <v>813.19618320862469</v>
      </c>
      <c r="X535" s="186" t="s">
        <v>45</v>
      </c>
      <c r="Y535" s="183">
        <v>3.0724</v>
      </c>
      <c r="Z535" s="220" t="s">
        <v>473</v>
      </c>
      <c r="AA535" s="172">
        <f>Delivery[[#This Row],[Quantity delivered]]*VLOOKUP(Delivery[[#This Row],[Unit]],Tab_Conversão[],4,FALSE)*VLOOKUP(CONCATENATE(Delivery[[#This Row],[Coffee specie]],Delivery[[#This Row],[Coffee state]]),Tab_Conversão[],4,FALSE)</f>
        <v>5094.5</v>
      </c>
      <c r="AB535" s="169">
        <f>SUMIF(Allocation!C:C,Delivery[[#This Row],[Delivery ID]],Allocation!D:D)/Delivery[[#This Row],[Quantity delivered]]</f>
        <v>4.9661399548532728E-2</v>
      </c>
      <c r="AC535" s="170">
        <f>Delivery[[#This Row],[Quantity delivered]]*Delivery[[#This Row],[Base price (Unidad)]]/60</f>
        <v>38583.022537000004</v>
      </c>
      <c r="AD535" s="171">
        <f>Delivery[[#This Row],[Nespresso total]]-Delivery[[#This Row],[Qt. Delivery * Base Price]]</f>
        <v>5125.6915132494105</v>
      </c>
      <c r="AE535" s="171">
        <f>Delivery[[#This Row],[AAA Premium (total)]]/Delivery[[#This Row],[Quantity delivered]]*60/Delivery[[#This Row],[Exchange rate VS USD]]</f>
        <v>10</v>
      </c>
      <c r="AF535" s="171">
        <f>Delivery[[#This Row],[BEN premium (total)]]/Delivery[[#This Row],[Quantity delivered]]*60/Delivery[[#This Row],[Exchange rate for premiums VS USD]]</f>
        <v>3.1172186000000006</v>
      </c>
      <c r="AG535" s="171">
        <f>COUNTIF(Delivery[Delivery ID],Delivery[[#This Row],[Delivery ID]])</f>
        <v>1</v>
      </c>
      <c r="AH535" s="171">
        <f>(Delivery[[#This Row],[Nespresso total]]/SUMIF(Allocation!C:C,Delivery[Delivery ID],Allocation!H:H))/Delivery[[#This Row],[Exchange rate VS USD]]</f>
        <v>119.54827433580354</v>
      </c>
      <c r="AI535" s="171">
        <f>(Delivery[[#This Row],[AAA Premium (total)]]/SUMIF(Allocation!C:C,Delivery[Delivery ID],Allocation!H:H))/Delivery[[#This Row],[Exchange rate VS USD]]</f>
        <v>7.1351540616246512</v>
      </c>
      <c r="AJ535" s="171">
        <f>Delivery[[#This Row],[Valor Prêmio Nespresso AAA por Kg (em US$)]]*60</f>
        <v>428.10924369747909</v>
      </c>
      <c r="AK535" s="171">
        <f>Delivery[[#This Row],[Valor Prêmio Nespresso AAA por saca (em US$)]]/1.3228/100</f>
        <v>3.2363867833193161</v>
      </c>
      <c r="AL535" s="171">
        <f>(Delivery[[#This Row],[BEN premium (total)]]/SUMIF(Allocation!C:C,Delivery[Delivery ID],Allocation!H:H))/Delivery[[#This Row],[Exchange rate for premiums VS USD]]</f>
        <v>2.2241834954761903</v>
      </c>
      <c r="AM535" s="171">
        <f>Delivery[[#This Row],[Valor Prêmio Nespresso BEN por Kg (em US$)]]*60</f>
        <v>133.45100972857142</v>
      </c>
      <c r="AN535" s="171">
        <f>Delivery[[#This Row],[Valor Prêmio Nespresso BEN por saca (em US$)]]/1.3228/100</f>
        <v>1.0088525077757138</v>
      </c>
      <c r="AO535" s="171">
        <f>SUMIF(Allocation[Delivery ID],Delivery[[#This Row],[Delivery ID]],Allocation[Quantity allocated])*16*1.3228*Delivery[[#This Row],[Exchange rate VS USD]]/60</f>
        <v>128.96968418133332</v>
      </c>
      <c r="AP535" s="171">
        <f>Delivery[[#This Row],[AAA Premium (total)]]</f>
        <v>2608.7236333333335</v>
      </c>
      <c r="AQ535" s="171">
        <f>Delivery[[#This Row],[Valor pago pelo Cluster]]-Delivery[[#This Row],[Valor efetivamente pago pela Nespresso]]</f>
        <v>2479.7539491520001</v>
      </c>
    </row>
    <row r="536" spans="1:43" ht="15.75">
      <c r="A536" s="174" t="s">
        <v>69</v>
      </c>
      <c r="B536" s="232" t="s">
        <v>68</v>
      </c>
      <c r="C536" s="157">
        <v>1</v>
      </c>
      <c r="D536" s="157" t="s">
        <v>468</v>
      </c>
      <c r="E536" s="177" t="s">
        <v>468</v>
      </c>
      <c r="F536" s="233" t="s">
        <v>469</v>
      </c>
      <c r="G536" s="234">
        <v>42788</v>
      </c>
      <c r="H536" s="157" t="s">
        <v>684</v>
      </c>
      <c r="I536" s="157" t="s">
        <v>480</v>
      </c>
      <c r="J536" s="237">
        <v>12576.5</v>
      </c>
      <c r="K536" s="175" t="s">
        <v>61</v>
      </c>
      <c r="L536" s="175" t="s">
        <v>439</v>
      </c>
      <c r="M536" s="175" t="s">
        <v>1343</v>
      </c>
      <c r="N536" s="180"/>
      <c r="O536" s="177"/>
      <c r="P536" s="185">
        <v>0</v>
      </c>
      <c r="Q536" s="177">
        <v>42782</v>
      </c>
      <c r="R536" s="178">
        <v>454.40796</v>
      </c>
      <c r="S536" s="179">
        <v>104901.31524895482</v>
      </c>
      <c r="T536" s="182" t="s">
        <v>45</v>
      </c>
      <c r="U536" s="183">
        <v>3.0724</v>
      </c>
      <c r="V536" s="179">
        <v>4508.0045033333327</v>
      </c>
      <c r="W536" s="179">
        <v>1452.2273755225854</v>
      </c>
      <c r="X536" s="186" t="s">
        <v>45</v>
      </c>
      <c r="Y536" s="183">
        <v>3.0724</v>
      </c>
      <c r="Z536" s="220" t="s">
        <v>473</v>
      </c>
      <c r="AA536" s="172">
        <f>Delivery[[#This Row],[Quantity delivered]]*VLOOKUP(Delivery[[#This Row],[Unit]],Tab_Conversão[],4,FALSE)*VLOOKUP(CONCATENATE(Delivery[[#This Row],[Coffee specie]],Delivery[[#This Row],[Coffee state]]),Tab_Conversão[],4,FALSE)</f>
        <v>12576.5</v>
      </c>
      <c r="AB536" s="169">
        <f>SUMIF(Allocation!C:C,Delivery[[#This Row],[Delivery ID]],Allocation!D:D)/Delivery[[#This Row],[Quantity delivered]]</f>
        <v>4.1824036894207453E-2</v>
      </c>
      <c r="AC536" s="170">
        <f>Delivery[[#This Row],[Quantity delivered]]*Delivery[[#This Row],[Base price (Unidad)]]/60</f>
        <v>95247.695149000006</v>
      </c>
      <c r="AD536" s="171">
        <f>Delivery[[#This Row],[Nespresso total]]-Delivery[[#This Row],[Qt. Delivery * Base Price]]</f>
        <v>9653.6200999548164</v>
      </c>
      <c r="AE536" s="171">
        <f>Delivery[[#This Row],[AAA Premium (total)]]/Delivery[[#This Row],[Quantity delivered]]*60/Delivery[[#This Row],[Exchange rate VS USD]]</f>
        <v>6.9999999999999991</v>
      </c>
      <c r="AF536" s="171">
        <f>Delivery[[#This Row],[BEN premium (total)]]/Delivery[[#This Row],[Quantity delivered]]*60/Delivery[[#This Row],[Exchange rate for premiums VS USD]]</f>
        <v>2.2550091999999999</v>
      </c>
      <c r="AG536" s="171">
        <f>COUNTIF(Delivery[Delivery ID],Delivery[[#This Row],[Delivery ID]])</f>
        <v>1</v>
      </c>
      <c r="AH536" s="171">
        <f>(Delivery[[#This Row],[Nespresso total]]/SUMIF(Allocation!C:C,Delivery[Delivery ID],Allocation!H:H))/Delivery[[#This Row],[Exchange rate VS USD]]</f>
        <v>190.74367507896002</v>
      </c>
      <c r="AI536" s="171">
        <f>(Delivery[[#This Row],[AAA Premium (total)]]/SUMIF(Allocation!C:C,Delivery[Delivery ID],Allocation!H:H))/Delivery[[#This Row],[Exchange rate VS USD]]</f>
        <v>8.1969739292364974</v>
      </c>
      <c r="AJ536" s="171">
        <f>Delivery[[#This Row],[Valor Prêmio Nespresso AAA por Kg (em US$)]]*60</f>
        <v>491.81843575418986</v>
      </c>
      <c r="AK536" s="171">
        <f>Delivery[[#This Row],[Valor Prêmio Nespresso AAA por saca (em US$)]]/1.3228/100</f>
        <v>3.7180105515133794</v>
      </c>
      <c r="AL536" s="171">
        <f>(Delivery[[#This Row],[BEN premium (total)]]/SUMIF(Allocation!C:C,Delivery[Delivery ID],Allocation!H:H))/Delivery[[#This Row],[Exchange rate for premiums VS USD]]</f>
        <v>2.6406073746554934</v>
      </c>
      <c r="AM536" s="171">
        <f>Delivery[[#This Row],[Valor Prêmio Nespresso BEN por Kg (em US$)]]*60</f>
        <v>158.4364424793296</v>
      </c>
      <c r="AN536" s="171">
        <f>Delivery[[#This Row],[Valor Prêmio Nespresso BEN por saca (em US$)]]/1.3228/100</f>
        <v>1.1977354284799637</v>
      </c>
      <c r="AO536" s="171">
        <f>SUMIF(Allocation[Delivery ID],Delivery[[#This Row],[Delivery ID]],Allocation[Quantity allocated])*16*1.3228*Delivery[[#This Row],[Exchange rate VS USD]]/60</f>
        <v>193.99641570133332</v>
      </c>
      <c r="AP536" s="171">
        <f>Delivery[[#This Row],[AAA Premium (total)]]</f>
        <v>4508.0045033333327</v>
      </c>
      <c r="AQ536" s="171">
        <f>Delivery[[#This Row],[Valor pago pelo Cluster]]-Delivery[[#This Row],[Valor efetivamente pago pela Nespresso]]</f>
        <v>4314.0080876319989</v>
      </c>
    </row>
    <row r="537" spans="1:43" ht="15.75">
      <c r="A537" s="174" t="s">
        <v>69</v>
      </c>
      <c r="B537" s="232" t="s">
        <v>68</v>
      </c>
      <c r="C537" s="157">
        <v>1</v>
      </c>
      <c r="D537" s="157" t="s">
        <v>468</v>
      </c>
      <c r="E537" s="177" t="s">
        <v>468</v>
      </c>
      <c r="F537" s="233" t="s">
        <v>469</v>
      </c>
      <c r="G537" s="234">
        <v>42788</v>
      </c>
      <c r="H537" s="157" t="s">
        <v>685</v>
      </c>
      <c r="I537" s="157" t="s">
        <v>480</v>
      </c>
      <c r="J537" s="237">
        <v>17367.5</v>
      </c>
      <c r="K537" s="175" t="s">
        <v>61</v>
      </c>
      <c r="L537" s="175" t="s">
        <v>439</v>
      </c>
      <c r="M537" s="175" t="s">
        <v>1343</v>
      </c>
      <c r="N537" s="180"/>
      <c r="O537" s="177"/>
      <c r="P537" s="185">
        <v>0</v>
      </c>
      <c r="Q537" s="177">
        <v>42782</v>
      </c>
      <c r="R537" s="178">
        <v>454.40796</v>
      </c>
      <c r="S537" s="179">
        <v>144863.32729346186</v>
      </c>
      <c r="T537" s="182" t="s">
        <v>45</v>
      </c>
      <c r="U537" s="183">
        <v>3.0724</v>
      </c>
      <c r="V537" s="179">
        <v>6225.3224833333325</v>
      </c>
      <c r="W537" s="179">
        <v>2005.4513532690733</v>
      </c>
      <c r="X537" s="186" t="s">
        <v>45</v>
      </c>
      <c r="Y537" s="183">
        <v>3.0724</v>
      </c>
      <c r="Z537" s="220" t="s">
        <v>473</v>
      </c>
      <c r="AA537" s="172">
        <f>Delivery[[#This Row],[Quantity delivered]]*VLOOKUP(Delivery[[#This Row],[Unit]],Tab_Conversão[],4,FALSE)*VLOOKUP(CONCATENATE(Delivery[[#This Row],[Coffee specie]],Delivery[[#This Row],[Coffee state]]),Tab_Conversão[],4,FALSE)</f>
        <v>17367.5</v>
      </c>
      <c r="AB537" s="169">
        <f>SUMIF(Allocation!C:C,Delivery[[#This Row],[Delivery ID]],Allocation!D:D)/Delivery[[#This Row],[Quantity delivered]]</f>
        <v>3.0286454584712824E-2</v>
      </c>
      <c r="AC537" s="170">
        <f>Delivery[[#This Row],[Quantity delivered]]*Delivery[[#This Row],[Base price (Unidad)]]/60</f>
        <v>131532.170755</v>
      </c>
      <c r="AD537" s="171">
        <f>Delivery[[#This Row],[Nespresso total]]-Delivery[[#This Row],[Qt. Delivery * Base Price]]</f>
        <v>13331.156538461859</v>
      </c>
      <c r="AE537" s="171">
        <f>Delivery[[#This Row],[AAA Premium (total)]]/Delivery[[#This Row],[Quantity delivered]]*60/Delivery[[#This Row],[Exchange rate VS USD]]</f>
        <v>6.9999999999999991</v>
      </c>
      <c r="AF537" s="171">
        <f>Delivery[[#This Row],[BEN premium (total)]]/Delivery[[#This Row],[Quantity delivered]]*60/Delivery[[#This Row],[Exchange rate for premiums VS USD]]</f>
        <v>2.2550091999999999</v>
      </c>
      <c r="AG537" s="171">
        <f>COUNTIF(Delivery[Delivery ID],Delivery[[#This Row],[Delivery ID]])</f>
        <v>1</v>
      </c>
      <c r="AH537" s="171">
        <f>(Delivery[[#This Row],[Nespresso total]]/SUMIF(Allocation!C:C,Delivery[Delivery ID],Allocation!H:H))/Delivery[[#This Row],[Exchange rate VS USD]]</f>
        <v>263.40721626363438</v>
      </c>
      <c r="AI537" s="171">
        <f>(Delivery[[#This Row],[AAA Premium (total)]]/SUMIF(Allocation!C:C,Delivery[Delivery ID],Allocation!H:H))/Delivery[[#This Row],[Exchange rate VS USD]]</f>
        <v>11.319599627560519</v>
      </c>
      <c r="AJ537" s="171">
        <f>Delivery[[#This Row],[Valor Prêmio Nespresso AAA por Kg (em US$)]]*60</f>
        <v>679.17597765363121</v>
      </c>
      <c r="AK537" s="171">
        <f>Delivery[[#This Row],[Valor Prêmio Nespresso AAA por saca (em US$)]]/1.3228/100</f>
        <v>5.1343814458242454</v>
      </c>
      <c r="AL537" s="171">
        <f>(Delivery[[#This Row],[BEN premium (total)]]/SUMIF(Allocation!C:C,Delivery[Delivery ID],Allocation!H:H))/Delivery[[#This Row],[Exchange rate for premiums VS USD]]</f>
        <v>3.6465430429236498</v>
      </c>
      <c r="AM537" s="171">
        <f>Delivery[[#This Row],[Valor Prêmio Nespresso BEN por Kg (em US$)]]*60</f>
        <v>218.79258257541898</v>
      </c>
      <c r="AN537" s="171">
        <f>Delivery[[#This Row],[Valor Prêmio Nespresso BEN por saca (em US$)]]/1.3228/100</f>
        <v>1.6540110566632822</v>
      </c>
      <c r="AO537" s="171">
        <f>SUMIF(Allocation[Delivery ID],Delivery[[#This Row],[Delivery ID]],Allocation[Quantity allocated])*16*1.3228*Delivery[[#This Row],[Exchange rate VS USD]]/60</f>
        <v>193.99641570133332</v>
      </c>
      <c r="AP537" s="171">
        <f>Delivery[[#This Row],[AAA Premium (total)]]</f>
        <v>6225.3224833333325</v>
      </c>
      <c r="AQ537" s="171">
        <f>Delivery[[#This Row],[Valor pago pelo Cluster]]-Delivery[[#This Row],[Valor efetivamente pago pela Nespresso]]</f>
        <v>6031.3260676319987</v>
      </c>
    </row>
    <row r="538" spans="1:43" ht="15.75">
      <c r="A538" s="174" t="s">
        <v>69</v>
      </c>
      <c r="B538" s="232" t="s">
        <v>68</v>
      </c>
      <c r="C538" s="157">
        <v>1</v>
      </c>
      <c r="D538" s="157" t="s">
        <v>468</v>
      </c>
      <c r="E538" s="177" t="s">
        <v>468</v>
      </c>
      <c r="F538" s="233" t="s">
        <v>469</v>
      </c>
      <c r="G538" s="234">
        <v>42788</v>
      </c>
      <c r="H538" s="157" t="s">
        <v>686</v>
      </c>
      <c r="I538" s="157" t="s">
        <v>480</v>
      </c>
      <c r="J538" s="237">
        <v>4801</v>
      </c>
      <c r="K538" s="175" t="s">
        <v>61</v>
      </c>
      <c r="L538" s="175" t="s">
        <v>439</v>
      </c>
      <c r="M538" s="175" t="s">
        <v>1343</v>
      </c>
      <c r="N538" s="180"/>
      <c r="O538" s="177"/>
      <c r="P538" s="185">
        <v>0</v>
      </c>
      <c r="Q538" s="177">
        <v>42782</v>
      </c>
      <c r="R538" s="178">
        <v>454.40796</v>
      </c>
      <c r="S538" s="179">
        <v>39960.042614418329</v>
      </c>
      <c r="T538" s="182" t="s">
        <v>45</v>
      </c>
      <c r="U538" s="183">
        <v>3.0724</v>
      </c>
      <c r="V538" s="179">
        <v>1720.9024466666665</v>
      </c>
      <c r="W538" s="179">
        <v>554.37869279083463</v>
      </c>
      <c r="X538" s="186" t="s">
        <v>45</v>
      </c>
      <c r="Y538" s="183">
        <v>3.0724</v>
      </c>
      <c r="Z538" s="220" t="s">
        <v>473</v>
      </c>
      <c r="AA538" s="172">
        <f>Delivery[[#This Row],[Quantity delivered]]*VLOOKUP(Delivery[[#This Row],[Unit]],References!$U:$X,4,FALSE)*VLOOKUP(CONCATENATE(Delivery[[#This Row],[Coffee specie]],Delivery[[#This Row],[Coffee state]]),References!$U:$X,4,FALSE)</f>
        <v>4801</v>
      </c>
      <c r="AB538" s="169">
        <f>SUMIF(Allocation!C:C,Delivery[[#This Row],[Delivery ID]],Allocation!D:D)/Delivery[[#This Row],[Quantity delivered]]</f>
        <v>0.10956050822745261</v>
      </c>
      <c r="AC538" s="170">
        <f>Delivery[[#This Row],[Quantity delivered]]*Delivery[[#This Row],[Base price (Unidad)]]/60</f>
        <v>36360.210266000002</v>
      </c>
      <c r="AD538" s="171">
        <f>Delivery[[#This Row],[Nespresso total]]-Delivery[[#This Row],[Qt. Delivery * Base Price]]</f>
        <v>3599.8323484183275</v>
      </c>
      <c r="AE538" s="171">
        <f>Delivery[[#This Row],[AAA Premium (total)]]/Delivery[[#This Row],[Quantity delivered]]*60/Delivery[[#This Row],[Exchange rate VS USD]]</f>
        <v>6.9999999999999991</v>
      </c>
      <c r="AF538" s="171">
        <f>Delivery[[#This Row],[BEN premium (total)]]/Delivery[[#This Row],[Quantity delivered]]*60/Delivery[[#This Row],[Exchange rate for premiums VS USD]]</f>
        <v>2.2550091999999999</v>
      </c>
      <c r="AG538" s="171">
        <f>COUNTIF(Delivery[Delivery ID],Delivery[[#This Row],[Delivery ID]])</f>
        <v>1</v>
      </c>
      <c r="AH538" s="171">
        <f>(Delivery[[#This Row],[Nespresso total]]/SUMIF(Allocation!C:C,Delivery[Delivery ID],Allocation!H:H))/Delivery[[#This Row],[Exchange rate VS USD]]</f>
        <v>72.659960139650863</v>
      </c>
      <c r="AI538" s="171">
        <f>(Delivery[[#This Row],[AAA Premium (total)]]/SUMIF(Allocation!C:C,Delivery[Delivery ID],Allocation!H:H))/Delivery[[#This Row],[Exchange rate VS USD]]</f>
        <v>3.1291433891992546</v>
      </c>
      <c r="AJ538" s="171">
        <f>Delivery[[#This Row],[Valor Prêmio Nespresso AAA por Kg (em US$)]]*60</f>
        <v>187.74860335195527</v>
      </c>
      <c r="AK538" s="171">
        <f>Delivery[[#This Row],[Valor Prêmio Nespresso AAA por saca (em US$)]]/1.3228/100</f>
        <v>1.4193272100994503</v>
      </c>
      <c r="AL538" s="171">
        <f>(Delivery[[#This Row],[BEN premium (total)]]/SUMIF(Allocation!C:C,Delivery[Delivery ID],Allocation!H:H))/Delivery[[#This Row],[Exchange rate for premiums VS USD]]</f>
        <v>1.0080353043947858</v>
      </c>
      <c r="AM538" s="171">
        <f>Delivery[[#This Row],[Valor Prêmio Nespresso BEN por Kg (em US$)]]*60</f>
        <v>60.482118263687148</v>
      </c>
      <c r="AN538" s="171">
        <f>Delivery[[#This Row],[Valor Prêmio Nespresso BEN por saca (em US$)]]/1.3228/100</f>
        <v>0.45722798808351334</v>
      </c>
      <c r="AO538" s="171">
        <f>SUMIF(Allocation[Delivery ID],Delivery[[#This Row],[Delivery ID]],Allocation[Quantity allocated])*16*1.3228*Delivery[[#This Row],[Exchange rate VS USD]]/60</f>
        <v>193.99641570133332</v>
      </c>
      <c r="AP538" s="171">
        <f>Delivery[[#This Row],[AAA Premium (total)]]</f>
        <v>1720.9024466666665</v>
      </c>
      <c r="AQ538" s="171">
        <f>Delivery[[#This Row],[Valor pago pelo Cluster]]-Delivery[[#This Row],[Valor efetivamente pago pela Nespresso]]</f>
        <v>1526.9060309653332</v>
      </c>
    </row>
    <row r="539" spans="1:43" ht="15.75">
      <c r="A539" s="174" t="s">
        <v>69</v>
      </c>
      <c r="B539" s="232" t="s">
        <v>68</v>
      </c>
      <c r="C539" s="157">
        <v>1</v>
      </c>
      <c r="D539" s="157" t="s">
        <v>468</v>
      </c>
      <c r="E539" s="177" t="s">
        <v>468</v>
      </c>
      <c r="F539" s="233" t="s">
        <v>469</v>
      </c>
      <c r="G539" s="234">
        <v>42788</v>
      </c>
      <c r="H539" s="157" t="s">
        <v>687</v>
      </c>
      <c r="I539" s="157" t="s">
        <v>480</v>
      </c>
      <c r="J539" s="237">
        <v>5403</v>
      </c>
      <c r="K539" s="175" t="s">
        <v>61</v>
      </c>
      <c r="L539" s="175" t="s">
        <v>439</v>
      </c>
      <c r="M539" s="175" t="s">
        <v>1343</v>
      </c>
      <c r="N539" s="180"/>
      <c r="O539" s="177"/>
      <c r="P539" s="185">
        <v>0</v>
      </c>
      <c r="Q539" s="177">
        <v>42782</v>
      </c>
      <c r="R539" s="178">
        <v>454.40796</v>
      </c>
      <c r="S539" s="179">
        <v>46341.205710171882</v>
      </c>
      <c r="T539" s="182" t="s">
        <v>45</v>
      </c>
      <c r="U539" s="183">
        <v>3.0724</v>
      </c>
      <c r="V539" s="179">
        <v>2766.6961999999999</v>
      </c>
      <c r="W539" s="179">
        <v>862.43968551893192</v>
      </c>
      <c r="X539" s="186" t="s">
        <v>45</v>
      </c>
      <c r="Y539" s="183">
        <v>3.0724</v>
      </c>
      <c r="Z539" s="220" t="s">
        <v>473</v>
      </c>
      <c r="AA539" s="172">
        <f>Delivery[[#This Row],[Quantity delivered]]*VLOOKUP(Delivery[[#This Row],[Unit]],References!$U:$X,4,FALSE)*VLOOKUP(CONCATENATE(Delivery[[#This Row],[Coffee specie]],Delivery[[#This Row],[Coffee state]]),References!$U:$X,4,FALSE)</f>
        <v>5403</v>
      </c>
      <c r="AB539" s="169">
        <f>SUMIF(Allocation!C:C,Delivery[[#This Row],[Delivery ID]],Allocation!D:D)/Delivery[[#This Row],[Quantity delivered]]</f>
        <v>7.0516379789006114E-2</v>
      </c>
      <c r="AC539" s="170">
        <f>Delivery[[#This Row],[Quantity delivered]]*Delivery[[#This Row],[Base price (Unidad)]]/60</f>
        <v>40919.436798000002</v>
      </c>
      <c r="AD539" s="171">
        <f>Delivery[[#This Row],[Nespresso total]]-Delivery[[#This Row],[Qt. Delivery * Base Price]]</f>
        <v>5421.7689121718795</v>
      </c>
      <c r="AE539" s="171">
        <f>Delivery[[#This Row],[AAA Premium (total)]]/Delivery[[#This Row],[Quantity delivered]]*60/Delivery[[#This Row],[Exchange rate VS USD]]</f>
        <v>10</v>
      </c>
      <c r="AF539" s="171">
        <f>Delivery[[#This Row],[BEN premium (total)]]/Delivery[[#This Row],[Quantity delivered]]*60/Delivery[[#This Row],[Exchange rate for premiums VS USD]]</f>
        <v>3.1172185999999997</v>
      </c>
      <c r="AG539" s="171">
        <f>COUNTIF(Delivery[Delivery ID],Delivery[[#This Row],[Delivery ID]])</f>
        <v>1</v>
      </c>
      <c r="AH539" s="171">
        <f>(Delivery[[#This Row],[Nespresso total]]/SUMIF(Allocation!C:C,Delivery[Delivery ID],Allocation!H:H))/Delivery[[#This Row],[Exchange rate VS USD]]</f>
        <v>84.262927149870436</v>
      </c>
      <c r="AI539" s="171">
        <f>(Delivery[[#This Row],[AAA Premium (total)]]/SUMIF(Allocation!C:C,Delivery[Delivery ID],Allocation!H:H))/Delivery[[#This Row],[Exchange rate VS USD]]</f>
        <v>5.0307262569832396</v>
      </c>
      <c r="AJ539" s="171">
        <f>Delivery[[#This Row],[Valor Prêmio Nespresso AAA por Kg (em US$)]]*60</f>
        <v>301.84357541899436</v>
      </c>
      <c r="AK539" s="171">
        <f>Delivery[[#This Row],[Valor Prêmio Nespresso AAA por saca (em US$)]]/1.3228/100</f>
        <v>2.2818534579603447</v>
      </c>
      <c r="AL539" s="171">
        <f>(Delivery[[#This Row],[BEN premium (total)]]/SUMIF(Allocation!C:C,Delivery[Delivery ID],Allocation!H:H))/Delivery[[#This Row],[Exchange rate for premiums VS USD]]</f>
        <v>1.5681873459776534</v>
      </c>
      <c r="AM539" s="171">
        <f>Delivery[[#This Row],[Valor Prêmio Nespresso BEN por Kg (em US$)]]*60</f>
        <v>94.091240758659211</v>
      </c>
      <c r="AN539" s="171">
        <f>Delivery[[#This Row],[Valor Prêmio Nespresso BEN por saca (em US$)]]/1.3228/100</f>
        <v>0.71130360416283045</v>
      </c>
      <c r="AO539" s="171">
        <f>SUMIF(Allocation[Delivery ID],Delivery[[#This Row],[Delivery ID]],Allocation[Quantity allocated])*16*1.3228*Delivery[[#This Row],[Exchange rate VS USD]]/60</f>
        <v>193.99641570133332</v>
      </c>
      <c r="AP539" s="171">
        <f>Delivery[[#This Row],[AAA Premium (total)]]</f>
        <v>2766.6961999999999</v>
      </c>
      <c r="AQ539" s="171">
        <f>Delivery[[#This Row],[Valor pago pelo Cluster]]-Delivery[[#This Row],[Valor efetivamente pago pela Nespresso]]</f>
        <v>2572.6997842986666</v>
      </c>
    </row>
    <row r="540" spans="1:43" ht="15.75">
      <c r="A540" s="174" t="s">
        <v>69</v>
      </c>
      <c r="B540" s="232" t="s">
        <v>68</v>
      </c>
      <c r="C540" s="157">
        <v>1</v>
      </c>
      <c r="D540" s="157" t="s">
        <v>468</v>
      </c>
      <c r="E540" s="177" t="s">
        <v>468</v>
      </c>
      <c r="F540" s="233" t="s">
        <v>469</v>
      </c>
      <c r="G540" s="234">
        <v>42789</v>
      </c>
      <c r="H540" s="157" t="s">
        <v>688</v>
      </c>
      <c r="I540" s="157" t="s">
        <v>480</v>
      </c>
      <c r="J540" s="237">
        <v>17150</v>
      </c>
      <c r="K540" s="175" t="s">
        <v>61</v>
      </c>
      <c r="L540" s="175" t="s">
        <v>439</v>
      </c>
      <c r="M540" s="175" t="s">
        <v>1343</v>
      </c>
      <c r="N540" s="180"/>
      <c r="O540" s="177"/>
      <c r="P540" s="185">
        <v>0</v>
      </c>
      <c r="Q540" s="177">
        <v>42782</v>
      </c>
      <c r="R540" s="178">
        <v>454.40796</v>
      </c>
      <c r="S540" s="179">
        <v>134348.38888049198</v>
      </c>
      <c r="T540" s="182" t="s">
        <v>45</v>
      </c>
      <c r="U540" s="183">
        <v>3.0724</v>
      </c>
      <c r="V540" s="179">
        <v>6147.3603333333331</v>
      </c>
      <c r="W540" s="179">
        <v>1747.3555597540001</v>
      </c>
      <c r="X540" s="186" t="s">
        <v>45</v>
      </c>
      <c r="Y540" s="183">
        <v>3.0724</v>
      </c>
      <c r="Z540" s="220" t="s">
        <v>473</v>
      </c>
      <c r="AA540" s="172">
        <f>Delivery[[#This Row],[Quantity delivered]]*VLOOKUP(Delivery[[#This Row],[Unit]],References!$U:$X,4,FALSE)*VLOOKUP(CONCATENATE(Delivery[[#This Row],[Coffee specie]],Delivery[[#This Row],[Coffee state]]),References!$U:$X,4,FALSE)</f>
        <v>17150</v>
      </c>
      <c r="AB540" s="169">
        <f>SUMIF(Allocation!C:C,Delivery[[#This Row],[Delivery ID]],Allocation!D:D)/Delivery[[#This Row],[Quantity delivered]]</f>
        <v>3.481049562682216E-2</v>
      </c>
      <c r="AC540" s="170">
        <f>Delivery[[#This Row],[Quantity delivered]]*Delivery[[#This Row],[Base price (Unidad)]]/60</f>
        <v>129884.94190000001</v>
      </c>
      <c r="AD540" s="171">
        <f>Delivery[[#This Row],[Nespresso total]]-Delivery[[#This Row],[Qt. Delivery * Base Price]]</f>
        <v>4463.446980491979</v>
      </c>
      <c r="AE540" s="171">
        <f>Delivery[[#This Row],[AAA Premium (total)]]/Delivery[[#This Row],[Quantity delivered]]*60/Delivery[[#This Row],[Exchange rate VS USD]]</f>
        <v>6.9999999999999991</v>
      </c>
      <c r="AF540" s="171">
        <f>Delivery[[#This Row],[BEN premium (total)]]/Delivery[[#This Row],[Quantity delivered]]*60/Delivery[[#This Row],[Exchange rate for premiums VS USD]]</f>
        <v>1.989714</v>
      </c>
      <c r="AG540" s="171">
        <f>COUNTIF(Delivery[Delivery ID],Delivery[[#This Row],[Delivery ID]])</f>
        <v>1</v>
      </c>
      <c r="AH540" s="171">
        <f>(Delivery[[#This Row],[Nespresso total]]/SUMIF(Allocation!C:C,Delivery[Delivery ID],Allocation!H:H))/Delivery[[#This Row],[Exchange rate VS USD]]</f>
        <v>244.28774200958031</v>
      </c>
      <c r="AI540" s="171">
        <f>(Delivery[[#This Row],[AAA Premium (total)]]/SUMIF(Allocation!C:C,Delivery[Delivery ID],Allocation!H:H))/Delivery[[#This Row],[Exchange rate VS USD]]</f>
        <v>11.177839851024208</v>
      </c>
      <c r="AJ540" s="171">
        <f>Delivery[[#This Row],[Valor Prêmio Nespresso AAA por Kg (em US$)]]*60</f>
        <v>670.67039106145251</v>
      </c>
      <c r="AK540" s="171">
        <f>Delivery[[#This Row],[Valor Prêmio Nespresso AAA por saca (em US$)]]/1.3228/100</f>
        <v>5.0700815774225312</v>
      </c>
      <c r="AL540" s="171">
        <f>(Delivery[[#This Row],[BEN premium (total)]]/SUMIF(Allocation!C:C,Delivery[Delivery ID],Allocation!H:H))/Delivery[[#This Row],[Exchange rate for premiums VS USD]]</f>
        <v>3.1772434916201115</v>
      </c>
      <c r="AM540" s="171">
        <f>Delivery[[#This Row],[Valor Prêmio Nespresso BEN por Kg (em US$)]]*60</f>
        <v>190.6346094972067</v>
      </c>
      <c r="AN540" s="171">
        <f>Delivery[[#This Row],[Valor Prêmio Nespresso BEN por saca (em US$)]]/1.3228/100</f>
        <v>1.4411446136770993</v>
      </c>
      <c r="AO540" s="171">
        <f>SUMIF(Allocation[Delivery ID],Delivery[[#This Row],[Delivery ID]],Allocation[Quantity allocated])*16*1.3228*Delivery[[#This Row],[Exchange rate VS USD]]/60</f>
        <v>193.99641570133332</v>
      </c>
      <c r="AP540" s="171">
        <f>Delivery[[#This Row],[AAA Premium (total)]]</f>
        <v>6147.3603333333331</v>
      </c>
      <c r="AQ540" s="171">
        <f>Delivery[[#This Row],[Valor pago pelo Cluster]]-Delivery[[#This Row],[Valor efetivamente pago pela Nespresso]]</f>
        <v>5953.3639176319994</v>
      </c>
    </row>
    <row r="541" spans="1:43" ht="15.75">
      <c r="A541" s="174" t="s">
        <v>69</v>
      </c>
      <c r="B541" s="232" t="s">
        <v>68</v>
      </c>
      <c r="C541" s="157">
        <v>1</v>
      </c>
      <c r="D541" s="157" t="s">
        <v>468</v>
      </c>
      <c r="E541" s="177" t="s">
        <v>468</v>
      </c>
      <c r="F541" s="233" t="s">
        <v>469</v>
      </c>
      <c r="G541" s="234">
        <v>42788</v>
      </c>
      <c r="H541" s="157" t="s">
        <v>689</v>
      </c>
      <c r="I541" s="157" t="s">
        <v>480</v>
      </c>
      <c r="J541" s="237">
        <v>13980</v>
      </c>
      <c r="K541" s="175" t="s">
        <v>61</v>
      </c>
      <c r="L541" s="175" t="s">
        <v>439</v>
      </c>
      <c r="M541" s="175" t="s">
        <v>1343</v>
      </c>
      <c r="N541" s="180"/>
      <c r="O541" s="177"/>
      <c r="P541" s="185">
        <v>0</v>
      </c>
      <c r="Q541" s="177">
        <v>42782</v>
      </c>
      <c r="R541" s="178">
        <v>454.40796</v>
      </c>
      <c r="S541" s="179">
        <v>119942.64842918575</v>
      </c>
      <c r="T541" s="182" t="s">
        <v>45</v>
      </c>
      <c r="U541" s="183">
        <v>3.0724</v>
      </c>
      <c r="V541" s="179">
        <v>7158.692</v>
      </c>
      <c r="W541" s="179">
        <v>2231.52078540712</v>
      </c>
      <c r="X541" s="186" t="s">
        <v>45</v>
      </c>
      <c r="Y541" s="183">
        <v>3.0724</v>
      </c>
      <c r="Z541" s="220" t="s">
        <v>473</v>
      </c>
      <c r="AA541" s="172">
        <f>Delivery[[#This Row],[Quantity delivered]]*VLOOKUP(Delivery[[#This Row],[Unit]],References!$U:$X,4,FALSE)*VLOOKUP(CONCATENATE(Delivery[[#This Row],[Coffee specie]],Delivery[[#This Row],[Coffee state]]),References!$U:$X,4,FALSE)</f>
        <v>13980</v>
      </c>
      <c r="AB541" s="169">
        <f>SUMIF(Allocation!C:C,Delivery[[#This Row],[Delivery ID]],Allocation!D:D)/Delivery[[#This Row],[Quantity delivered]]</f>
        <v>2.7253218884120172E-2</v>
      </c>
      <c r="AC541" s="170">
        <f>Delivery[[#This Row],[Quantity delivered]]*Delivery[[#This Row],[Base price (Unidad)]]/60</f>
        <v>105877.05468</v>
      </c>
      <c r="AD541" s="171">
        <f>Delivery[[#This Row],[Nespresso total]]-Delivery[[#This Row],[Qt. Delivery * Base Price]]</f>
        <v>14065.593749185748</v>
      </c>
      <c r="AE541" s="171">
        <f>Delivery[[#This Row],[AAA Premium (total)]]/Delivery[[#This Row],[Quantity delivered]]*60/Delivery[[#This Row],[Exchange rate VS USD]]</f>
        <v>10</v>
      </c>
      <c r="AF541" s="171">
        <f>Delivery[[#This Row],[BEN premium (total)]]/Delivery[[#This Row],[Quantity delivered]]*60/Delivery[[#This Row],[Exchange rate for premiums VS USD]]</f>
        <v>3.1172185999999997</v>
      </c>
      <c r="AG541" s="171">
        <f>COUNTIF(Delivery[Delivery ID],Delivery[[#This Row],[Delivery ID]])</f>
        <v>1</v>
      </c>
      <c r="AH541" s="171">
        <f>(Delivery[[#This Row],[Nespresso total]]/SUMIF(Allocation!C:C,Delivery[Delivery ID],Allocation!H:H))/Delivery[[#This Row],[Exchange rate VS USD]]</f>
        <v>218.09356256202409</v>
      </c>
      <c r="AI541" s="171">
        <f>(Delivery[[#This Row],[AAA Premium (total)]]/SUMIF(Allocation!C:C,Delivery[Delivery ID],Allocation!H:H))/Delivery[[#This Row],[Exchange rate VS USD]]</f>
        <v>13.016759776536313</v>
      </c>
      <c r="AJ541" s="171">
        <f>Delivery[[#This Row],[Valor Prêmio Nespresso AAA por Kg (em US$)]]*60</f>
        <v>781.00558659217882</v>
      </c>
      <c r="AK541" s="171">
        <f>Delivery[[#This Row],[Valor Prêmio Nespresso AAA por saca (em US$)]]/1.3228/100</f>
        <v>5.9041849606303209</v>
      </c>
      <c r="AL541" s="171">
        <f>(Delivery[[#This Row],[BEN premium (total)]]/SUMIF(Allocation!C:C,Delivery[Delivery ID],Allocation!H:H))/Delivery[[#This Row],[Exchange rate for premiums VS USD]]</f>
        <v>4.057608568715084</v>
      </c>
      <c r="AM541" s="171">
        <f>Delivery[[#This Row],[Valor Prêmio Nespresso BEN por Kg (em US$)]]*60</f>
        <v>243.45651412290505</v>
      </c>
      <c r="AN541" s="171">
        <f>Delivery[[#This Row],[Valor Prêmio Nespresso BEN por saca (em US$)]]/1.3228/100</f>
        <v>1.8404635177117104</v>
      </c>
      <c r="AO541" s="171">
        <f>SUMIF(Allocation[Delivery ID],Delivery[[#This Row],[Delivery ID]],Allocation[Quantity allocated])*16*1.3228*Delivery[[#This Row],[Exchange rate VS USD]]/60</f>
        <v>193.99641570133332</v>
      </c>
      <c r="AP541" s="171">
        <f>Delivery[[#This Row],[AAA Premium (total)]]</f>
        <v>7158.692</v>
      </c>
      <c r="AQ541" s="171">
        <f>Delivery[[#This Row],[Valor pago pelo Cluster]]-Delivery[[#This Row],[Valor efetivamente pago pela Nespresso]]</f>
        <v>6964.6955842986663</v>
      </c>
    </row>
    <row r="542" spans="1:43" ht="15.75">
      <c r="A542" s="174" t="s">
        <v>69</v>
      </c>
      <c r="B542" s="232" t="s">
        <v>68</v>
      </c>
      <c r="C542" s="157">
        <v>1</v>
      </c>
      <c r="D542" s="157" t="s">
        <v>468</v>
      </c>
      <c r="E542" s="177" t="s">
        <v>468</v>
      </c>
      <c r="F542" s="233" t="s">
        <v>469</v>
      </c>
      <c r="G542" s="234">
        <v>42788</v>
      </c>
      <c r="H542" s="157" t="s">
        <v>690</v>
      </c>
      <c r="I542" s="157" t="s">
        <v>480</v>
      </c>
      <c r="J542" s="237">
        <v>9441.5</v>
      </c>
      <c r="K542" s="175" t="s">
        <v>61</v>
      </c>
      <c r="L542" s="175" t="s">
        <v>439</v>
      </c>
      <c r="M542" s="175" t="s">
        <v>1343</v>
      </c>
      <c r="N542" s="180"/>
      <c r="O542" s="177"/>
      <c r="P542" s="185">
        <v>0</v>
      </c>
      <c r="Q542" s="177">
        <v>42782</v>
      </c>
      <c r="R542" s="178">
        <v>454.40796</v>
      </c>
      <c r="S542" s="179">
        <v>80945.743279966191</v>
      </c>
      <c r="T542" s="182" t="s">
        <v>45</v>
      </c>
      <c r="U542" s="183">
        <v>3.0724</v>
      </c>
      <c r="V542" s="179">
        <v>4834.6774333333333</v>
      </c>
      <c r="W542" s="179">
        <v>1507.0746420186924</v>
      </c>
      <c r="X542" s="186" t="s">
        <v>45</v>
      </c>
      <c r="Y542" s="183">
        <v>3.0724</v>
      </c>
      <c r="Z542" s="220" t="s">
        <v>473</v>
      </c>
      <c r="AA542" s="172">
        <f>Delivery[[#This Row],[Quantity delivered]]*VLOOKUP(Delivery[[#This Row],[Unit]],References!$U:$X,4,FALSE)*VLOOKUP(CONCATENATE(Delivery[[#This Row],[Coffee specie]],Delivery[[#This Row],[Coffee state]]),References!$U:$X,4,FALSE)</f>
        <v>9441.5</v>
      </c>
      <c r="AB542" s="169">
        <f>SUMIF(Allocation!C:C,Delivery[[#This Row],[Delivery ID]],Allocation!D:D)/Delivery[[#This Row],[Quantity delivered]]</f>
        <v>4.0353757347879042E-2</v>
      </c>
      <c r="AC542" s="170">
        <f>Delivery[[#This Row],[Quantity delivered]]*Delivery[[#This Row],[Base price (Unidad)]]/60</f>
        <v>71504.879239000002</v>
      </c>
      <c r="AD542" s="171">
        <f>Delivery[[#This Row],[Nespresso total]]-Delivery[[#This Row],[Qt. Delivery * Base Price]]</f>
        <v>9440.8640409661894</v>
      </c>
      <c r="AE542" s="171">
        <f>Delivery[[#This Row],[AAA Premium (total)]]/Delivery[[#This Row],[Quantity delivered]]*60/Delivery[[#This Row],[Exchange rate VS USD]]</f>
        <v>10</v>
      </c>
      <c r="AF542" s="171">
        <f>Delivery[[#This Row],[BEN premium (total)]]/Delivery[[#This Row],[Quantity delivered]]*60/Delivery[[#This Row],[Exchange rate for premiums VS USD]]</f>
        <v>3.1172185999999997</v>
      </c>
      <c r="AG542" s="171">
        <f>COUNTIF(Delivery[Delivery ID],Delivery[[#This Row],[Delivery ID]])</f>
        <v>1</v>
      </c>
      <c r="AH542" s="171">
        <f>(Delivery[[#This Row],[Nespresso total]]/SUMIF(Allocation!C:C,Delivery[Delivery ID],Allocation!H:H))/Delivery[[#This Row],[Exchange rate VS USD]]</f>
        <v>147.18489009004696</v>
      </c>
      <c r="AI542" s="171">
        <f>(Delivery[[#This Row],[AAA Premium (total)]]/SUMIF(Allocation!C:C,Delivery[Delivery ID],Allocation!H:H))/Delivery[[#This Row],[Exchange rate VS USD]]</f>
        <v>8.7909683426443195</v>
      </c>
      <c r="AJ542" s="171">
        <f>Delivery[[#This Row],[Valor Prêmio Nespresso AAA por Kg (em US$)]]*60</f>
        <v>527.45810055865923</v>
      </c>
      <c r="AK542" s="171">
        <f>Delivery[[#This Row],[Valor Prêmio Nespresso AAA por saca (em US$)]]/1.3228/100</f>
        <v>3.9874365025601697</v>
      </c>
      <c r="AL542" s="171">
        <f>(Delivery[[#This Row],[BEN premium (total)]]/SUMIF(Allocation!C:C,Delivery[Delivery ID],Allocation!H:H))/Delivery[[#This Row],[Exchange rate for premiums VS USD]]</f>
        <v>2.7403370029702043</v>
      </c>
      <c r="AM542" s="171">
        <f>Delivery[[#This Row],[Valor Prêmio Nespresso BEN por Kg (em US$)]]*60</f>
        <v>164.42022017821225</v>
      </c>
      <c r="AN542" s="171">
        <f>Delivery[[#This Row],[Valor Prêmio Nespresso BEN por saca (em US$)]]/1.3228/100</f>
        <v>1.2429711232099505</v>
      </c>
      <c r="AO542" s="171">
        <f>SUMIF(Allocation[Delivery ID],Delivery[[#This Row],[Delivery ID]],Allocation[Quantity allocated])*16*1.3228*Delivery[[#This Row],[Exchange rate VS USD]]/60</f>
        <v>193.99641570133332</v>
      </c>
      <c r="AP542" s="171">
        <f>Delivery[[#This Row],[AAA Premium (total)]]</f>
        <v>4834.6774333333333</v>
      </c>
      <c r="AQ542" s="171">
        <f>Delivery[[#This Row],[Valor pago pelo Cluster]]-Delivery[[#This Row],[Valor efetivamente pago pela Nespresso]]</f>
        <v>4640.6810176319996</v>
      </c>
    </row>
    <row r="543" spans="1:43" ht="15.75">
      <c r="A543" s="174" t="s">
        <v>69</v>
      </c>
      <c r="B543" s="232" t="s">
        <v>68</v>
      </c>
      <c r="C543" s="157">
        <v>1</v>
      </c>
      <c r="D543" s="157" t="s">
        <v>468</v>
      </c>
      <c r="E543" s="177" t="s">
        <v>468</v>
      </c>
      <c r="F543" s="233" t="s">
        <v>469</v>
      </c>
      <c r="G543" s="234">
        <v>42789</v>
      </c>
      <c r="H543" s="157" t="s">
        <v>691</v>
      </c>
      <c r="I543" s="157" t="s">
        <v>480</v>
      </c>
      <c r="J543" s="237">
        <v>29340</v>
      </c>
      <c r="K543" s="175" t="s">
        <v>61</v>
      </c>
      <c r="L543" s="175" t="s">
        <v>439</v>
      </c>
      <c r="M543" s="175" t="s">
        <v>1343</v>
      </c>
      <c r="N543" s="180"/>
      <c r="O543" s="177"/>
      <c r="P543" s="185">
        <v>0</v>
      </c>
      <c r="Q543" s="177">
        <v>42782</v>
      </c>
      <c r="R543" s="178">
        <v>454.40796</v>
      </c>
      <c r="S543" s="179">
        <v>230232.77304685922</v>
      </c>
      <c r="T543" s="182" t="s">
        <v>45</v>
      </c>
      <c r="U543" s="183">
        <v>3.0724</v>
      </c>
      <c r="V543" s="179">
        <v>10516.825199999999</v>
      </c>
      <c r="W543" s="179">
        <v>2989.3534765703994</v>
      </c>
      <c r="X543" s="186" t="s">
        <v>45</v>
      </c>
      <c r="Y543" s="183">
        <v>3.0724</v>
      </c>
      <c r="Z543" s="220" t="s">
        <v>473</v>
      </c>
      <c r="AA543" s="172">
        <f>Delivery[[#This Row],[Quantity delivered]]*VLOOKUP(Delivery[[#This Row],[Unit]],References!$U:$X,4,FALSE)*VLOOKUP(CONCATENATE(Delivery[[#This Row],[Coffee specie]],Delivery[[#This Row],[Coffee state]]),References!$U:$X,4,FALSE)</f>
        <v>29340</v>
      </c>
      <c r="AB543" s="169">
        <f>SUMIF(Allocation!C:C,Delivery[[#This Row],[Delivery ID]],Allocation!D:D)/Delivery[[#This Row],[Quantity delivered]]</f>
        <v>2.0347648261758691E-2</v>
      </c>
      <c r="AC543" s="170">
        <f>Delivery[[#This Row],[Quantity delivered]]*Delivery[[#This Row],[Base price (Unidad)]]/60</f>
        <v>222205.49244</v>
      </c>
      <c r="AD543" s="171">
        <f>Delivery[[#This Row],[Nespresso total]]-Delivery[[#This Row],[Qt. Delivery * Base Price]]</f>
        <v>8027.2806068592181</v>
      </c>
      <c r="AE543" s="171">
        <f>Delivery[[#This Row],[AAA Premium (total)]]/Delivery[[#This Row],[Quantity delivered]]*60/Delivery[[#This Row],[Exchange rate VS USD]]</f>
        <v>6.9999999999999991</v>
      </c>
      <c r="AF543" s="171">
        <f>Delivery[[#This Row],[BEN premium (total)]]/Delivery[[#This Row],[Quantity delivered]]*60/Delivery[[#This Row],[Exchange rate for premiums VS USD]]</f>
        <v>1.9897139999999993</v>
      </c>
      <c r="AG543" s="171">
        <f>COUNTIF(Delivery[Delivery ID],Delivery[[#This Row],[Delivery ID]])</f>
        <v>1</v>
      </c>
      <c r="AH543" s="171">
        <f>(Delivery[[#This Row],[Nespresso total]]/SUMIF(Allocation!C:C,Delivery[Delivery ID],Allocation!H:H))/Delivery[[#This Row],[Exchange rate VS USD]]</f>
        <v>418.63579260523721</v>
      </c>
      <c r="AI543" s="171">
        <f>(Delivery[[#This Row],[AAA Premium (total)]]/SUMIF(Allocation!C:C,Delivery[Delivery ID],Allocation!H:H))/Delivery[[#This Row],[Exchange rate VS USD]]</f>
        <v>19.122905027932962</v>
      </c>
      <c r="AJ543" s="171">
        <f>Delivery[[#This Row],[Valor Prêmio Nespresso AAA por Kg (em US$)]]*60</f>
        <v>1147.3743016759777</v>
      </c>
      <c r="AK543" s="171">
        <f>Delivery[[#This Row],[Valor Prêmio Nespresso AAA por saca (em US$)]]/1.3228/100</f>
        <v>8.6738305237071192</v>
      </c>
      <c r="AL543" s="171">
        <f>(Delivery[[#This Row],[BEN premium (total)]]/SUMIF(Allocation!C:C,Delivery[Delivery ID],Allocation!H:H))/Delivery[[#This Row],[Exchange rate for premiums VS USD]]</f>
        <v>5.4355874078212283</v>
      </c>
      <c r="AM543" s="171">
        <f>Delivery[[#This Row],[Valor Prêmio Nespresso BEN por Kg (em US$)]]*60</f>
        <v>326.13524446927369</v>
      </c>
      <c r="AN543" s="171">
        <f>Delivery[[#This Row],[Valor Prêmio Nespresso BEN por saca (em US$)]]/1.3228/100</f>
        <v>2.4654917180924834</v>
      </c>
      <c r="AO543" s="171">
        <f>SUMIF(Allocation[Delivery ID],Delivery[[#This Row],[Delivery ID]],Allocation[Quantity allocated])*16*1.3228*Delivery[[#This Row],[Exchange rate VS USD]]/60</f>
        <v>193.99641570133332</v>
      </c>
      <c r="AP543" s="171">
        <f>Delivery[[#This Row],[AAA Premium (total)]]</f>
        <v>10516.825199999999</v>
      </c>
      <c r="AQ543" s="171">
        <f>Delivery[[#This Row],[Valor pago pelo Cluster]]-Delivery[[#This Row],[Valor efetivamente pago pela Nespresso]]</f>
        <v>10322.828784298667</v>
      </c>
    </row>
    <row r="544" spans="1:43" ht="15.75">
      <c r="A544" s="174" t="s">
        <v>69</v>
      </c>
      <c r="B544" s="232" t="s">
        <v>68</v>
      </c>
      <c r="C544" s="157">
        <v>1</v>
      </c>
      <c r="D544" s="157" t="s">
        <v>468</v>
      </c>
      <c r="E544" s="177" t="s">
        <v>468</v>
      </c>
      <c r="F544" s="233" t="s">
        <v>469</v>
      </c>
      <c r="G544" s="234">
        <v>42807</v>
      </c>
      <c r="H544" s="157" t="s">
        <v>692</v>
      </c>
      <c r="I544" s="157" t="s">
        <v>672</v>
      </c>
      <c r="J544" s="237">
        <v>29994</v>
      </c>
      <c r="K544" s="175" t="s">
        <v>61</v>
      </c>
      <c r="L544" s="175" t="s">
        <v>439</v>
      </c>
      <c r="M544" s="175" t="s">
        <v>1343</v>
      </c>
      <c r="N544" s="180"/>
      <c r="O544" s="177"/>
      <c r="P544" s="185">
        <v>0</v>
      </c>
      <c r="Q544" s="177">
        <v>42802</v>
      </c>
      <c r="R544" s="178">
        <v>444.71349000000004</v>
      </c>
      <c r="S544" s="179">
        <v>257091.92813049187</v>
      </c>
      <c r="T544" s="182" t="s">
        <v>45</v>
      </c>
      <c r="U544" s="183">
        <v>3.1473</v>
      </c>
      <c r="V544" s="179">
        <v>11020</v>
      </c>
      <c r="W544" s="179">
        <v>3443.535934754058</v>
      </c>
      <c r="X544" s="186" t="s">
        <v>45</v>
      </c>
      <c r="Y544" s="183">
        <v>3.1473</v>
      </c>
      <c r="Z544" s="220" t="s">
        <v>473</v>
      </c>
      <c r="AA544" s="172">
        <f>Delivery[[#This Row],[Quantity delivered]]*VLOOKUP(Delivery[[#This Row],[Unit]],References!$U:$X,4,FALSE)*VLOOKUP(CONCATENATE(Delivery[[#This Row],[Coffee specie]],Delivery[[#This Row],[Coffee state]]),References!$U:$X,4,FALSE)</f>
        <v>29994</v>
      </c>
      <c r="AB544" s="169">
        <f>SUMIF(Allocation!C:C,Delivery[[#This Row],[Delivery ID]],Allocation!D:D)/Delivery[[#This Row],[Quantity delivered]]</f>
        <v>1.8103620724144828E-2</v>
      </c>
      <c r="AC544" s="170">
        <f>Delivery[[#This Row],[Quantity delivered]]*Delivery[[#This Row],[Base price (Unidad)]]/60</f>
        <v>222312.27365100002</v>
      </c>
      <c r="AD544" s="171">
        <f>Delivery[[#This Row],[Nespresso total]]-Delivery[[#This Row],[Qt. Delivery * Base Price]]</f>
        <v>34779.654479491845</v>
      </c>
      <c r="AE544" s="171">
        <f>Delivery[[#This Row],[AAA Premium (total)]]/Delivery[[#This Row],[Quantity delivered]]*60/Delivery[[#This Row],[Exchange rate VS USD]]</f>
        <v>7.004228666404968</v>
      </c>
      <c r="AF544" s="171">
        <f>Delivery[[#This Row],[BEN premium (total)]]/Delivery[[#This Row],[Quantity delivered]]*60/Delivery[[#This Row],[Exchange rate for premiums VS USD]]</f>
        <v>2.1886853999999998</v>
      </c>
      <c r="AG544" s="171">
        <f>COUNTIF(Delivery[Delivery ID],Delivery[[#This Row],[Delivery ID]])</f>
        <v>1</v>
      </c>
      <c r="AH544" s="171">
        <f>(Delivery[[#This Row],[Nespresso total]]/SUMIF(Allocation!C:C,Delivery[Delivery ID],Allocation!H:H))/Delivery[[#This Row],[Exchange rate VS USD]]</f>
        <v>455.58562254662826</v>
      </c>
      <c r="AI544" s="171">
        <f>(Delivery[[#This Row],[AAA Premium (total)]]/SUMIF(Allocation!C:C,Delivery[Delivery ID],Allocation!H:H))/Delivery[[#This Row],[Exchange rate VS USD]]</f>
        <v>19.528242667796114</v>
      </c>
      <c r="AJ544" s="171">
        <f>Delivery[[#This Row],[Valor Prêmio Nespresso AAA por Kg (em US$)]]*60</f>
        <v>1171.6945600677668</v>
      </c>
      <c r="AK544" s="171">
        <f>Delivery[[#This Row],[Valor Prêmio Nespresso AAA por saca (em US$)]]/1.3228/100</f>
        <v>8.8576849113075813</v>
      </c>
      <c r="AL544" s="171">
        <f>(Delivery[[#This Row],[BEN premium (total)]]/SUMIF(Allocation!C:C,Delivery[Delivery ID],Allocation!H:H))/Delivery[[#This Row],[Exchange rate for premiums VS USD]]</f>
        <v>6.1021964944785267</v>
      </c>
      <c r="AM544" s="171">
        <f>Delivery[[#This Row],[Valor Prêmio Nespresso BEN por Kg (em US$)]]*60</f>
        <v>366.13178966871158</v>
      </c>
      <c r="AN544" s="171">
        <f>Delivery[[#This Row],[Valor Prêmio Nespresso BEN por saca (em US$)]]/1.3228/100</f>
        <v>2.7678544728508587</v>
      </c>
      <c r="AO544" s="171">
        <f>SUMIF(Allocation[Delivery ID],Delivery[[#This Row],[Delivery ID]],Allocation[Quantity allocated])*16*1.3228*Delivery[[#This Row],[Exchange rate VS USD]]/60</f>
        <v>199.05878541120001</v>
      </c>
      <c r="AP544" s="171">
        <f>Delivery[[#This Row],[AAA Premium (total)]]</f>
        <v>11020</v>
      </c>
      <c r="AQ544" s="171">
        <f>Delivery[[#This Row],[Valor pago pelo Cluster]]-Delivery[[#This Row],[Valor efetivamente pago pela Nespresso]]</f>
        <v>10820.9412145888</v>
      </c>
    </row>
    <row r="545" spans="1:43" ht="15.75">
      <c r="A545" s="174" t="s">
        <v>69</v>
      </c>
      <c r="B545" s="232" t="s">
        <v>68</v>
      </c>
      <c r="C545" s="157">
        <v>1</v>
      </c>
      <c r="D545" s="157" t="s">
        <v>468</v>
      </c>
      <c r="E545" s="177" t="s">
        <v>468</v>
      </c>
      <c r="F545" s="233" t="s">
        <v>469</v>
      </c>
      <c r="G545" s="234">
        <v>42808</v>
      </c>
      <c r="H545" s="238" t="s">
        <v>693</v>
      </c>
      <c r="I545" s="157" t="s">
        <v>672</v>
      </c>
      <c r="J545" s="237">
        <v>17344</v>
      </c>
      <c r="K545" s="175" t="s">
        <v>61</v>
      </c>
      <c r="L545" s="175" t="s">
        <v>439</v>
      </c>
      <c r="M545" s="175" t="s">
        <v>1343</v>
      </c>
      <c r="N545" s="180"/>
      <c r="O545" s="177"/>
      <c r="P545" s="185">
        <v>0</v>
      </c>
      <c r="Q545" s="177">
        <v>42802</v>
      </c>
      <c r="R545" s="178">
        <v>444.71349070072176</v>
      </c>
      <c r="S545" s="179">
        <v>148633.19502177229</v>
      </c>
      <c r="T545" s="182" t="s">
        <v>45</v>
      </c>
      <c r="U545" s="183">
        <v>3.1473000049591064</v>
      </c>
      <c r="V545" s="179">
        <v>6368.4566500345863</v>
      </c>
      <c r="W545" s="179">
        <v>1991.2211557805153</v>
      </c>
      <c r="X545" s="186" t="s">
        <v>45</v>
      </c>
      <c r="Y545" s="183">
        <v>3.1473000049591064</v>
      </c>
      <c r="Z545" s="220" t="s">
        <v>473</v>
      </c>
      <c r="AA545" s="172">
        <f>Delivery[[#This Row],[Quantity delivered]]*VLOOKUP(Delivery[[#This Row],[Unit]],References!$U:$X,4,FALSE)*VLOOKUP(CONCATENATE(Delivery[[#This Row],[Coffee specie]],Delivery[[#This Row],[Coffee state]]),References!$U:$X,4,FALSE)</f>
        <v>17344</v>
      </c>
      <c r="AB545" s="169">
        <f>SUMIF(Allocation!C:C,Delivery[[#This Row],[Delivery ID]],Allocation!D:D)/Delivery[[#This Row],[Quantity delivered]]</f>
        <v>5.7656826568265681E-5</v>
      </c>
      <c r="AC545" s="170">
        <f>Delivery[[#This Row],[Quantity delivered]]*Delivery[[#This Row],[Base price (Unidad)]]/60</f>
        <v>128551.8463785553</v>
      </c>
      <c r="AD545" s="171">
        <f>Delivery[[#This Row],[Nespresso total]]-Delivery[[#This Row],[Qt. Delivery * Base Price]]</f>
        <v>20081.348643216988</v>
      </c>
      <c r="AE545" s="171">
        <f>Delivery[[#This Row],[AAA Premium (total)]]/Delivery[[#This Row],[Quantity delivered]]*60/Delivery[[#This Row],[Exchange rate VS USD]]</f>
        <v>7</v>
      </c>
      <c r="AF545" s="171">
        <f>Delivery[[#This Row],[BEN premium (total)]]/Delivery[[#This Row],[Quantity delivered]]*60/Delivery[[#This Row],[Exchange rate for premiums VS USD]]</f>
        <v>2.1886853999999998</v>
      </c>
      <c r="AG545" s="171">
        <f>COUNTIF(Delivery[Delivery ID],Delivery[[#This Row],[Delivery ID]])</f>
        <v>1</v>
      </c>
      <c r="AH545" s="171">
        <f>(Delivery[[#This Row],[Nespresso total]]/SUMIF(Allocation!C:C,Delivery[Delivery ID],Allocation!H:H))/Delivery[[#This Row],[Exchange rate VS USD]]</f>
        <v>143107.94031976943</v>
      </c>
      <c r="AI545" s="171">
        <f>(Delivery[[#This Row],[AAA Premium (total)]]/SUMIF(Allocation!C:C,Delivery[Delivery ID],Allocation!H:H))/Delivery[[#This Row],[Exchange rate VS USD]]</f>
        <v>6131.7171717171714</v>
      </c>
      <c r="AJ545" s="171">
        <f>Delivery[[#This Row],[Valor Prêmio Nespresso AAA por Kg (em US$)]]*60</f>
        <v>367903.03030303027</v>
      </c>
      <c r="AK545" s="171">
        <f>Delivery[[#This Row],[Valor Prêmio Nespresso AAA por saca (em US$)]]/1.3228/100</f>
        <v>2781.2445592911267</v>
      </c>
      <c r="AL545" s="171">
        <f>(Delivery[[#This Row],[BEN premium (total)]]/SUMIF(Allocation!C:C,Delivery[Delivery ID],Allocation!H:H))/Delivery[[#This Row],[Exchange rate for premiums VS USD]]</f>
        <v>1917.1999786666665</v>
      </c>
      <c r="AM545" s="171">
        <f>Delivery[[#This Row],[Valor Prêmio Nespresso BEN por Kg (em US$)]]*60</f>
        <v>115031.99871999999</v>
      </c>
      <c r="AN545" s="171">
        <f>Delivery[[#This Row],[Valor Prêmio Nespresso BEN por saca (em US$)]]/1.3228/100</f>
        <v>869.6099086785606</v>
      </c>
      <c r="AO545" s="171">
        <f>SUMIF(Allocation[Delivery ID],Delivery[[#This Row],[Delivery ID]],Allocation[Quantity allocated])*16*1.3228*Delivery[[#This Row],[Exchange rate VS USD]]/60</f>
        <v>0.36636586329727178</v>
      </c>
      <c r="AP545" s="171">
        <f>Delivery[[#This Row],[AAA Premium (total)]]</f>
        <v>6368.4566500345863</v>
      </c>
      <c r="AQ545" s="171">
        <f>Delivery[[#This Row],[Valor pago pelo Cluster]]-Delivery[[#This Row],[Valor efetivamente pago pela Nespresso]]</f>
        <v>6368.0902841712887</v>
      </c>
    </row>
    <row r="546" spans="1:43" ht="15.75">
      <c r="A546" s="174" t="s">
        <v>69</v>
      </c>
      <c r="B546" s="232" t="s">
        <v>68</v>
      </c>
      <c r="C546" s="157">
        <v>1</v>
      </c>
      <c r="D546" s="157" t="s">
        <v>468</v>
      </c>
      <c r="E546" s="177" t="s">
        <v>468</v>
      </c>
      <c r="F546" s="233" t="s">
        <v>469</v>
      </c>
      <c r="G546" s="234">
        <v>42807</v>
      </c>
      <c r="H546" s="157" t="s">
        <v>694</v>
      </c>
      <c r="I546" s="157" t="s">
        <v>672</v>
      </c>
      <c r="J546" s="237">
        <v>21380</v>
      </c>
      <c r="K546" s="175" t="s">
        <v>61</v>
      </c>
      <c r="L546" s="175" t="s">
        <v>439</v>
      </c>
      <c r="M546" s="175" t="s">
        <v>1343</v>
      </c>
      <c r="N546" s="180"/>
      <c r="O546" s="177"/>
      <c r="P546" s="185">
        <v>0</v>
      </c>
      <c r="Q546" s="177">
        <v>42802</v>
      </c>
      <c r="R546" s="178">
        <v>444.71349000000004</v>
      </c>
      <c r="S546" s="179">
        <v>183220.57828065337</v>
      </c>
      <c r="T546" s="182" t="s">
        <v>45</v>
      </c>
      <c r="U546" s="183">
        <v>3.1473</v>
      </c>
      <c r="V546" s="179">
        <v>7850.4152999999997</v>
      </c>
      <c r="W546" s="179">
        <v>2454.5841930066604</v>
      </c>
      <c r="X546" s="186" t="s">
        <v>45</v>
      </c>
      <c r="Y546" s="183">
        <v>3.1473</v>
      </c>
      <c r="Z546" s="220" t="s">
        <v>473</v>
      </c>
      <c r="AA546" s="172">
        <f>Delivery[[#This Row],[Quantity delivered]]*VLOOKUP(Delivery[[#This Row],[Unit]],References!$U:$X,4,FALSE)*VLOOKUP(CONCATENATE(Delivery[[#This Row],[Coffee specie]],Delivery[[#This Row],[Coffee state]]),References!$U:$X,4,FALSE)</f>
        <v>21380</v>
      </c>
      <c r="AB546" s="169">
        <f>SUMIF(Allocation!C:C,Delivery[[#This Row],[Delivery ID]],Allocation!D:D)/Delivery[[#This Row],[Quantity delivered]]</f>
        <v>2.5397567820392892E-2</v>
      </c>
      <c r="AC546" s="170">
        <f>Delivery[[#This Row],[Quantity delivered]]*Delivery[[#This Row],[Base price (Unidad)]]/60</f>
        <v>158466.24027000001</v>
      </c>
      <c r="AD546" s="171">
        <f>Delivery[[#This Row],[Nespresso total]]-Delivery[[#This Row],[Qt. Delivery * Base Price]]</f>
        <v>24754.338010653359</v>
      </c>
      <c r="AE546" s="171">
        <f>Delivery[[#This Row],[AAA Premium (total)]]/Delivery[[#This Row],[Quantity delivered]]*60/Delivery[[#This Row],[Exchange rate VS USD]]</f>
        <v>7</v>
      </c>
      <c r="AF546" s="171">
        <f>Delivery[[#This Row],[BEN premium (total)]]/Delivery[[#This Row],[Quantity delivered]]*60/Delivery[[#This Row],[Exchange rate for premiums VS USD]]</f>
        <v>2.1886854000000007</v>
      </c>
      <c r="AG546" s="171">
        <f>COUNTIF(Delivery[Delivery ID],Delivery[[#This Row],[Delivery ID]])</f>
        <v>1</v>
      </c>
      <c r="AH546" s="171">
        <f>(Delivery[[#This Row],[Nespresso total]]/SUMIF(Allocation!C:C,Delivery[Delivery ID],Allocation!H:H))/Delivery[[#This Row],[Exchange rate VS USD]]</f>
        <v>324.6258944751587</v>
      </c>
      <c r="AI546" s="171">
        <f>(Delivery[[#This Row],[AAA Premium (total)]]/SUMIF(Allocation!C:C,Delivery[Delivery ID],Allocation!H:H))/Delivery[[#This Row],[Exchange rate VS USD]]</f>
        <v>13.909180468038437</v>
      </c>
      <c r="AJ546" s="171">
        <f>Delivery[[#This Row],[Valor Prêmio Nespresso AAA por Kg (em US$)]]*60</f>
        <v>834.55082808230623</v>
      </c>
      <c r="AK546" s="171">
        <f>Delivery[[#This Row],[Valor Prêmio Nespresso AAA por saca (em US$)]]/1.3228/100</f>
        <v>6.3089720901293189</v>
      </c>
      <c r="AL546" s="171">
        <f>(Delivery[[#This Row],[BEN premium (total)]]/SUMIF(Allocation!C:C,Delivery[Delivery ID],Allocation!H:H))/Delivery[[#This Row],[Exchange rate for premiums VS USD]]</f>
        <v>4.3489743166229857</v>
      </c>
      <c r="AM546" s="171">
        <f>Delivery[[#This Row],[Valor Prêmio Nespresso BEN por Kg (em US$)]]*60</f>
        <v>260.93845899737914</v>
      </c>
      <c r="AN546" s="171">
        <f>Delivery[[#This Row],[Valor Prêmio Nespresso BEN por saca (em US$)]]/1.3228/100</f>
        <v>1.9726221575247893</v>
      </c>
      <c r="AO546" s="171">
        <f>SUMIF(Allocation[Delivery ID],Delivery[[#This Row],[Delivery ID]],Allocation[Quantity allocated])*16*1.3228*Delivery[[#This Row],[Exchange rate VS USD]]/60</f>
        <v>199.09209139872002</v>
      </c>
      <c r="AP546" s="171">
        <f>Delivery[[#This Row],[AAA Premium (total)]]</f>
        <v>7850.4152999999997</v>
      </c>
      <c r="AQ546" s="171">
        <f>Delivery[[#This Row],[Valor pago pelo Cluster]]-Delivery[[#This Row],[Valor efetivamente pago pela Nespresso]]</f>
        <v>7651.3232086012795</v>
      </c>
    </row>
    <row r="547" spans="1:43" ht="15.75">
      <c r="A547" s="174" t="s">
        <v>69</v>
      </c>
      <c r="B547" s="232" t="s">
        <v>68</v>
      </c>
      <c r="C547" s="157">
        <v>1</v>
      </c>
      <c r="D547" s="157" t="s">
        <v>468</v>
      </c>
      <c r="E547" s="177" t="s">
        <v>468</v>
      </c>
      <c r="F547" s="233" t="s">
        <v>469</v>
      </c>
      <c r="G547" s="234">
        <v>42807</v>
      </c>
      <c r="H547" s="157" t="s">
        <v>695</v>
      </c>
      <c r="I547" s="157" t="s">
        <v>672</v>
      </c>
      <c r="J547" s="237">
        <v>5240</v>
      </c>
      <c r="K547" s="175" t="s">
        <v>61</v>
      </c>
      <c r="L547" s="175" t="s">
        <v>439</v>
      </c>
      <c r="M547" s="175" t="s">
        <v>1343</v>
      </c>
      <c r="N547" s="180"/>
      <c r="O547" s="177"/>
      <c r="P547" s="185">
        <v>0</v>
      </c>
      <c r="Q547" s="177">
        <v>42802</v>
      </c>
      <c r="R547" s="178">
        <v>444.71349000000004</v>
      </c>
      <c r="S547" s="179">
        <v>44905.324143621314</v>
      </c>
      <c r="T547" s="182" t="s">
        <v>45</v>
      </c>
      <c r="U547" s="183">
        <v>3.1473</v>
      </c>
      <c r="V547" s="179">
        <v>1924.0493999999999</v>
      </c>
      <c r="W547" s="179">
        <v>601.59126152268004</v>
      </c>
      <c r="X547" s="186" t="s">
        <v>45</v>
      </c>
      <c r="Y547" s="183">
        <v>3.1473</v>
      </c>
      <c r="Z547" s="220" t="s">
        <v>473</v>
      </c>
      <c r="AA547" s="172">
        <f>Delivery[[#This Row],[Quantity delivered]]*VLOOKUP(Delivery[[#This Row],[Unit]],References!$U:$X,4,FALSE)*VLOOKUP(CONCATENATE(Delivery[[#This Row],[Coffee specie]],Delivery[[#This Row],[Coffee state]]),References!$U:$X,4,FALSE)</f>
        <v>5240</v>
      </c>
      <c r="AB547" s="169">
        <f>SUMIF(Allocation!C:C,Delivery[[#This Row],[Delivery ID]],Allocation!D:D)/Delivery[[#This Row],[Quantity delivered]]</f>
        <v>0.10343511450381679</v>
      </c>
      <c r="AC547" s="170">
        <f>Delivery[[#This Row],[Quantity delivered]]*Delivery[[#This Row],[Base price (Unidad)]]/60</f>
        <v>38838.311460000004</v>
      </c>
      <c r="AD547" s="171">
        <f>Delivery[[#This Row],[Nespresso total]]-Delivery[[#This Row],[Qt. Delivery * Base Price]]</f>
        <v>6067.0126836213094</v>
      </c>
      <c r="AE547" s="171">
        <f>Delivery[[#This Row],[AAA Premium (total)]]/Delivery[[#This Row],[Quantity delivered]]*60/Delivery[[#This Row],[Exchange rate VS USD]]</f>
        <v>7</v>
      </c>
      <c r="AF547" s="171">
        <f>Delivery[[#This Row],[BEN premium (total)]]/Delivery[[#This Row],[Quantity delivered]]*60/Delivery[[#This Row],[Exchange rate for premiums VS USD]]</f>
        <v>2.1886854000000002</v>
      </c>
      <c r="AG547" s="171">
        <f>COUNTIF(Delivery[Delivery ID],Delivery[[#This Row],[Delivery ID]])</f>
        <v>1</v>
      </c>
      <c r="AH547" s="171">
        <f>(Delivery[[#This Row],[Nespresso total]]/SUMIF(Allocation!C:C,Delivery[Delivery ID],Allocation!H:H))/Delivery[[#This Row],[Exchange rate VS USD]]</f>
        <v>79.70887193655804</v>
      </c>
      <c r="AI547" s="171">
        <f>(Delivery[[#This Row],[AAA Premium (total)]]/SUMIF(Allocation!C:C,Delivery[Delivery ID],Allocation!H:H))/Delivery[[#This Row],[Exchange rate VS USD]]</f>
        <v>3.4152700186219738</v>
      </c>
      <c r="AJ547" s="171">
        <f>Delivery[[#This Row],[Valor Prêmio Nespresso AAA por Kg (em US$)]]*60</f>
        <v>204.91620111731842</v>
      </c>
      <c r="AK547" s="171">
        <f>Delivery[[#This Row],[Valor Prêmio Nespresso AAA por saca (em US$)]]/1.3228/100</f>
        <v>1.5491094732183128</v>
      </c>
      <c r="AL547" s="171">
        <f>(Delivery[[#This Row],[BEN premium (total)]]/SUMIF(Allocation!C:C,Delivery[Delivery ID],Allocation!H:H))/Delivery[[#This Row],[Exchange rate for premiums VS USD]]</f>
        <v>1.0678502324022348</v>
      </c>
      <c r="AM547" s="171">
        <f>Delivery[[#This Row],[Valor Prêmio Nespresso BEN por Kg (em US$)]]*60</f>
        <v>64.07101394413408</v>
      </c>
      <c r="AN547" s="171">
        <f>Delivery[[#This Row],[Valor Prêmio Nespresso BEN por saca (em US$)]]/1.3228/100</f>
        <v>0.4843590410049447</v>
      </c>
      <c r="AO547" s="171">
        <f>SUMIF(Allocation[Delivery ID],Delivery[[#This Row],[Delivery ID]],Allocation[Quantity allocated])*16*1.3228*Delivery[[#This Row],[Exchange rate VS USD]]/60</f>
        <v>198.725725536</v>
      </c>
      <c r="AP547" s="171">
        <f>Delivery[[#This Row],[AAA Premium (total)]]</f>
        <v>1924.0493999999999</v>
      </c>
      <c r="AQ547" s="171">
        <f>Delivery[[#This Row],[Valor pago pelo Cluster]]-Delivery[[#This Row],[Valor efetivamente pago pela Nespresso]]</f>
        <v>1725.3236744639999</v>
      </c>
    </row>
    <row r="548" spans="1:43" ht="15.75">
      <c r="A548" s="174" t="s">
        <v>69</v>
      </c>
      <c r="B548" s="232" t="s">
        <v>68</v>
      </c>
      <c r="C548" s="157">
        <v>1</v>
      </c>
      <c r="D548" s="157" t="s">
        <v>468</v>
      </c>
      <c r="E548" s="177" t="s">
        <v>468</v>
      </c>
      <c r="F548" s="233" t="s">
        <v>469</v>
      </c>
      <c r="G548" s="234">
        <v>42807</v>
      </c>
      <c r="H548" s="157" t="s">
        <v>696</v>
      </c>
      <c r="I548" s="157" t="s">
        <v>672</v>
      </c>
      <c r="J548" s="237">
        <v>17533.5</v>
      </c>
      <c r="K548" s="175" t="s">
        <v>61</v>
      </c>
      <c r="L548" s="175" t="s">
        <v>439</v>
      </c>
      <c r="M548" s="175" t="s">
        <v>1343</v>
      </c>
      <c r="N548" s="180"/>
      <c r="O548" s="177"/>
      <c r="P548" s="185">
        <v>0</v>
      </c>
      <c r="Q548" s="177">
        <v>42802</v>
      </c>
      <c r="R548" s="178">
        <v>444.71349000000004</v>
      </c>
      <c r="S548" s="179">
        <v>150257.156654997</v>
      </c>
      <c r="T548" s="182" t="s">
        <v>45</v>
      </c>
      <c r="U548" s="183">
        <v>3.1473</v>
      </c>
      <c r="V548" s="179">
        <v>6438.0381975</v>
      </c>
      <c r="W548" s="179">
        <v>2012.9771725015096</v>
      </c>
      <c r="X548" s="186" t="s">
        <v>45</v>
      </c>
      <c r="Y548" s="183">
        <v>3.1473</v>
      </c>
      <c r="Z548" s="220" t="s">
        <v>473</v>
      </c>
      <c r="AA548" s="172">
        <f>Delivery[[#This Row],[Quantity delivered]]*VLOOKUP(Delivery[[#This Row],[Unit]],References!$U:$X,4,FALSE)*VLOOKUP(CONCATENATE(Delivery[[#This Row],[Coffee specie]],Delivery[[#This Row],[Coffee state]]),References!$U:$X,4,FALSE)</f>
        <v>17533.5</v>
      </c>
      <c r="AB548" s="169">
        <f>SUMIF(Allocation!C:C,Delivery[[#This Row],[Delivery ID]],Allocation!D:D)/Delivery[[#This Row],[Quantity delivered]]</f>
        <v>3.0912253685801465E-2</v>
      </c>
      <c r="AC548" s="170">
        <f>Delivery[[#This Row],[Quantity delivered]]*Delivery[[#This Row],[Base price (Unidad)]]/60</f>
        <v>129956.39961525002</v>
      </c>
      <c r="AD548" s="171">
        <f>Delivery[[#This Row],[Nespresso total]]-Delivery[[#This Row],[Qt. Delivery * Base Price]]</f>
        <v>20300.757039746983</v>
      </c>
      <c r="AE548" s="171">
        <f>Delivery[[#This Row],[AAA Premium (total)]]/Delivery[[#This Row],[Quantity delivered]]*60/Delivery[[#This Row],[Exchange rate VS USD]]</f>
        <v>7</v>
      </c>
      <c r="AF548" s="171">
        <f>Delivery[[#This Row],[BEN premium (total)]]/Delivery[[#This Row],[Quantity delivered]]*60/Delivery[[#This Row],[Exchange rate for premiums VS USD]]</f>
        <v>2.1886854000000002</v>
      </c>
      <c r="AG548" s="171">
        <f>COUNTIF(Delivery[Delivery ID],Delivery[[#This Row],[Delivery ID]])</f>
        <v>1</v>
      </c>
      <c r="AH548" s="171">
        <f>(Delivery[[#This Row],[Nespresso total]]/SUMIF(Allocation!C:C,Delivery[Delivery ID],Allocation!H:H))/Delivery[[#This Row],[Exchange rate VS USD]]</f>
        <v>266.71288284344286</v>
      </c>
      <c r="AI548" s="171">
        <f>(Delivery[[#This Row],[AAA Premium (total)]]/SUMIF(Allocation!C:C,Delivery[Delivery ID],Allocation!H:H))/Delivery[[#This Row],[Exchange rate VS USD]]</f>
        <v>11.427793296089385</v>
      </c>
      <c r="AJ548" s="171">
        <f>Delivery[[#This Row],[Valor Prêmio Nespresso AAA por Kg (em US$)]]*60</f>
        <v>685.6675977653631</v>
      </c>
      <c r="AK548" s="171">
        <f>Delivery[[#This Row],[Valor Prêmio Nespresso AAA por saca (em US$)]]/1.3228/100</f>
        <v>5.1834562879147494</v>
      </c>
      <c r="AL548" s="171">
        <f>(Delivery[[#This Row],[BEN premium (total)]]/SUMIF(Allocation!C:C,Delivery[Delivery ID],Allocation!H:H))/Delivery[[#This Row],[Exchange rate for premiums VS USD]]</f>
        <v>3.5731206201955308</v>
      </c>
      <c r="AM548" s="171">
        <f>Delivery[[#This Row],[Valor Prêmio Nespresso BEN por Kg (em US$)]]*60</f>
        <v>214.38723721173184</v>
      </c>
      <c r="AN548" s="171">
        <f>Delivery[[#This Row],[Valor Prêmio Nespresso BEN por saca (em US$)]]/1.3228/100</f>
        <v>1.6207078712710299</v>
      </c>
      <c r="AO548" s="171">
        <f>SUMIF(Allocation[Delivery ID],Delivery[[#This Row],[Delivery ID]],Allocation[Quantity allocated])*16*1.3228*Delivery[[#This Row],[Exchange rate VS USD]]/60</f>
        <v>198.725725536</v>
      </c>
      <c r="AP548" s="171">
        <f>Delivery[[#This Row],[AAA Premium (total)]]</f>
        <v>6438.0381975</v>
      </c>
      <c r="AQ548" s="171">
        <f>Delivery[[#This Row],[Valor pago pelo Cluster]]-Delivery[[#This Row],[Valor efetivamente pago pela Nespresso]]</f>
        <v>6239.312471964</v>
      </c>
    </row>
    <row r="549" spans="1:43" ht="15.75">
      <c r="A549" s="174" t="s">
        <v>69</v>
      </c>
      <c r="B549" s="232" t="s">
        <v>68</v>
      </c>
      <c r="C549" s="157">
        <v>1</v>
      </c>
      <c r="D549" s="157" t="s">
        <v>468</v>
      </c>
      <c r="E549" s="177" t="s">
        <v>468</v>
      </c>
      <c r="F549" s="233" t="s">
        <v>469</v>
      </c>
      <c r="G549" s="234">
        <v>42807</v>
      </c>
      <c r="H549" s="157" t="s">
        <v>697</v>
      </c>
      <c r="I549" s="157" t="s">
        <v>672</v>
      </c>
      <c r="J549" s="237">
        <v>12489.5</v>
      </c>
      <c r="K549" s="175" t="s">
        <v>61</v>
      </c>
      <c r="L549" s="175" t="s">
        <v>439</v>
      </c>
      <c r="M549" s="175" t="s">
        <v>1343</v>
      </c>
      <c r="N549" s="180"/>
      <c r="O549" s="177"/>
      <c r="P549" s="185">
        <v>0</v>
      </c>
      <c r="Q549" s="177">
        <v>42802</v>
      </c>
      <c r="R549" s="178">
        <v>444.71349000000004</v>
      </c>
      <c r="S549" s="179">
        <v>107031.49730758746</v>
      </c>
      <c r="T549" s="182" t="s">
        <v>45</v>
      </c>
      <c r="U549" s="183">
        <v>3.1473</v>
      </c>
      <c r="V549" s="179">
        <v>4585.9570574999998</v>
      </c>
      <c r="W549" s="179">
        <v>1433.8881795396017</v>
      </c>
      <c r="X549" s="186" t="s">
        <v>45</v>
      </c>
      <c r="Y549" s="183">
        <v>3.1473</v>
      </c>
      <c r="Z549" s="220" t="s">
        <v>473</v>
      </c>
      <c r="AA549" s="172">
        <f>Delivery[[#This Row],[Quantity delivered]]*VLOOKUP(Delivery[[#This Row],[Unit]],References!$U:$X,4,FALSE)*VLOOKUP(CONCATENATE(Delivery[[#This Row],[Coffee specie]],Delivery[[#This Row],[Coffee state]]),References!$U:$X,4,FALSE)</f>
        <v>12489.5</v>
      </c>
      <c r="AB549" s="169">
        <f>SUMIF(Allocation!C:C,Delivery[[#This Row],[Delivery ID]],Allocation!D:D)/Delivery[[#This Row],[Quantity delivered]]</f>
        <v>4.3396453020537254E-2</v>
      </c>
      <c r="AC549" s="170">
        <f>Delivery[[#This Row],[Quantity delivered]]*Delivery[[#This Row],[Base price (Unidad)]]/60</f>
        <v>92570.818889250004</v>
      </c>
      <c r="AD549" s="171">
        <f>Delivery[[#This Row],[Nespresso total]]-Delivery[[#This Row],[Qt. Delivery * Base Price]]</f>
        <v>14460.678418337455</v>
      </c>
      <c r="AE549" s="171">
        <f>Delivery[[#This Row],[AAA Premium (total)]]/Delivery[[#This Row],[Quantity delivered]]*60/Delivery[[#This Row],[Exchange rate VS USD]]</f>
        <v>7</v>
      </c>
      <c r="AF549" s="171">
        <f>Delivery[[#This Row],[BEN premium (total)]]/Delivery[[#This Row],[Quantity delivered]]*60/Delivery[[#This Row],[Exchange rate for premiums VS USD]]</f>
        <v>2.1886854000000002</v>
      </c>
      <c r="AG549" s="171">
        <f>COUNTIF(Delivery[Delivery ID],Delivery[[#This Row],[Delivery ID]])</f>
        <v>1</v>
      </c>
      <c r="AH549" s="171">
        <f>(Delivery[[#This Row],[Nespresso total]]/SUMIF(Allocation!C:C,Delivery[Delivery ID],Allocation!H:H))/Delivery[[#This Row],[Exchange rate VS USD]]</f>
        <v>189.98548779611477</v>
      </c>
      <c r="AI549" s="171">
        <f>(Delivery[[#This Row],[AAA Premium (total)]]/SUMIF(Allocation!C:C,Delivery[Delivery ID],Allocation!H:H))/Delivery[[#This Row],[Exchange rate VS USD]]</f>
        <v>8.1402700186219725</v>
      </c>
      <c r="AJ549" s="171">
        <f>Delivery[[#This Row],[Valor Prêmio Nespresso AAA por Kg (em US$)]]*60</f>
        <v>488.41620111731834</v>
      </c>
      <c r="AK549" s="171">
        <f>Delivery[[#This Row],[Valor Prêmio Nespresso AAA por saca (em US$)]]/1.3228/100</f>
        <v>3.6922906041526939</v>
      </c>
      <c r="AL549" s="171">
        <f>(Delivery[[#This Row],[BEN premium (total)]]/SUMIF(Allocation!C:C,Delivery[Delivery ID],Allocation!H:H))/Delivery[[#This Row],[Exchange rate for premiums VS USD]]</f>
        <v>2.5452128774022347</v>
      </c>
      <c r="AM549" s="171">
        <f>Delivery[[#This Row],[Valor Prêmio Nespresso BEN por Kg (em US$)]]*60</f>
        <v>152.71277264413408</v>
      </c>
      <c r="AN549" s="171">
        <f>Delivery[[#This Row],[Valor Prêmio Nespresso BEN por saca (em US$)]]/1.3228/100</f>
        <v>1.1544660768380259</v>
      </c>
      <c r="AO549" s="171">
        <f>SUMIF(Allocation[Delivery ID],Delivery[[#This Row],[Delivery ID]],Allocation[Quantity allocated])*16*1.3228*Delivery[[#This Row],[Exchange rate VS USD]]/60</f>
        <v>198.725725536</v>
      </c>
      <c r="AP549" s="171">
        <f>Delivery[[#This Row],[AAA Premium (total)]]</f>
        <v>4585.9570574999998</v>
      </c>
      <c r="AQ549" s="171">
        <f>Delivery[[#This Row],[Valor pago pelo Cluster]]-Delivery[[#This Row],[Valor efetivamente pago pela Nespresso]]</f>
        <v>4387.2313319639998</v>
      </c>
    </row>
    <row r="550" spans="1:43" ht="15.75">
      <c r="A550" s="174" t="s">
        <v>69</v>
      </c>
      <c r="B550" s="232" t="s">
        <v>68</v>
      </c>
      <c r="C550" s="157">
        <v>1</v>
      </c>
      <c r="D550" s="157" t="s">
        <v>468</v>
      </c>
      <c r="E550" s="177" t="s">
        <v>468</v>
      </c>
      <c r="F550" s="233" t="s">
        <v>469</v>
      </c>
      <c r="G550" s="234">
        <v>42807</v>
      </c>
      <c r="H550" s="157" t="s">
        <v>698</v>
      </c>
      <c r="I550" s="157" t="s">
        <v>699</v>
      </c>
      <c r="J550" s="237">
        <v>31709.5</v>
      </c>
      <c r="K550" s="175" t="s">
        <v>61</v>
      </c>
      <c r="L550" s="175" t="s">
        <v>439</v>
      </c>
      <c r="M550" s="175" t="s">
        <v>1343</v>
      </c>
      <c r="N550" s="180"/>
      <c r="O550" s="195"/>
      <c r="P550" s="185">
        <v>0</v>
      </c>
      <c r="Q550" s="177">
        <v>42801</v>
      </c>
      <c r="R550" s="178">
        <v>438.43526999999995</v>
      </c>
      <c r="S550" s="179">
        <v>251157.70282141172</v>
      </c>
      <c r="T550" s="182" t="s">
        <v>45</v>
      </c>
      <c r="U550" s="183">
        <v>3.1160999999999999</v>
      </c>
      <c r="V550" s="179">
        <v>16468.328825000001</v>
      </c>
      <c r="W550" s="179">
        <v>4368.9685892941388</v>
      </c>
      <c r="X550" s="186" t="s">
        <v>45</v>
      </c>
      <c r="Y550" s="183">
        <v>3.1160999999999999</v>
      </c>
      <c r="Z550" s="220" t="s">
        <v>473</v>
      </c>
      <c r="AA550" s="172">
        <f>Delivery[[#This Row],[Quantity delivered]]*VLOOKUP(Delivery[[#This Row],[Unit]],References!$U:$X,4,FALSE)*VLOOKUP(CONCATENATE(Delivery[[#This Row],[Coffee specie]],Delivery[[#This Row],[Coffee state]]),References!$U:$X,4,FALSE)</f>
        <v>31709.5</v>
      </c>
      <c r="AB550" s="169">
        <f>SUMIF(Allocation!C:C,Delivery[[#This Row],[Delivery ID]],Allocation!D:D)/Delivery[[#This Row],[Quantity delivered]]</f>
        <v>1.7975685520112271E-2</v>
      </c>
      <c r="AC550" s="170">
        <f>Delivery[[#This Row],[Quantity delivered]]*Delivery[[#This Row],[Base price (Unidad)]]/60</f>
        <v>231709.38656774999</v>
      </c>
      <c r="AD550" s="171">
        <f>Delivery[[#This Row],[Nespresso total]]-Delivery[[#This Row],[Qt. Delivery * Base Price]]</f>
        <v>19448.316253661731</v>
      </c>
      <c r="AE550" s="171">
        <f>Delivery[[#This Row],[AAA Premium (total)]]/Delivery[[#This Row],[Quantity delivered]]*60/Delivery[[#This Row],[Exchange rate VS USD]]</f>
        <v>10</v>
      </c>
      <c r="AF550" s="171">
        <f>Delivery[[#This Row],[BEN premium (total)]]/Delivery[[#This Row],[Quantity delivered]]*60/Delivery[[#This Row],[Exchange rate for premiums VS USD]]</f>
        <v>2.6529519999999991</v>
      </c>
      <c r="AG550" s="171">
        <f>COUNTIF(Delivery[Delivery ID],Delivery[[#This Row],[Delivery ID]])</f>
        <v>1</v>
      </c>
      <c r="AH550" s="171">
        <f>(Delivery[[#This Row],[Nespresso total]]/SUMIF(Allocation!C:C,Delivery[Delivery ID],Allocation!H:H))/Delivery[[#This Row],[Exchange rate VS USD]]</f>
        <v>353.50883220170584</v>
      </c>
      <c r="AI550" s="171">
        <f>(Delivery[[#This Row],[AAA Premium (total)]]/SUMIF(Allocation!C:C,Delivery[Delivery ID],Allocation!H:H))/Delivery[[#This Row],[Exchange rate VS USD]]</f>
        <v>23.179459064327485</v>
      </c>
      <c r="AJ550" s="171">
        <f>Delivery[[#This Row],[Valor Prêmio Nespresso AAA por Kg (em US$)]]*60</f>
        <v>1390.7675438596491</v>
      </c>
      <c r="AK550" s="171">
        <f>Delivery[[#This Row],[Valor Prêmio Nespresso AAA por saca (em US$)]]/1.3228/100</f>
        <v>10.513815723160334</v>
      </c>
      <c r="AL550" s="171">
        <f>(Delivery[[#This Row],[BEN premium (total)]]/SUMIF(Allocation!C:C,Delivery[Delivery ID],Allocation!H:H))/Delivery[[#This Row],[Exchange rate for premiums VS USD]]</f>
        <v>6.1493992283625714</v>
      </c>
      <c r="AM550" s="171">
        <f>Delivery[[#This Row],[Valor Prêmio Nespresso BEN por Kg (em US$)]]*60</f>
        <v>368.96395370175429</v>
      </c>
      <c r="AN550" s="171">
        <f>Delivery[[#This Row],[Valor Prêmio Nespresso BEN por saca (em US$)]]/1.3228/100</f>
        <v>2.7892648450389652</v>
      </c>
      <c r="AO550" s="171">
        <f>SUMIF(Allocation[Delivery ID],Delivery[[#This Row],[Delivery ID]],Allocation[Quantity allocated])*16*1.3228*Delivery[[#This Row],[Exchange rate VS USD]]/60</f>
        <v>250.61620646399996</v>
      </c>
      <c r="AP550" s="171">
        <f>Delivery[[#This Row],[AAA Premium (total)]]</f>
        <v>16468.328825000001</v>
      </c>
      <c r="AQ550" s="171">
        <f>Delivery[[#This Row],[Valor pago pelo Cluster]]-Delivery[[#This Row],[Valor efetivamente pago pela Nespresso]]</f>
        <v>16217.712618536001</v>
      </c>
    </row>
    <row r="551" spans="1:43" ht="15.75">
      <c r="A551" s="174" t="s">
        <v>69</v>
      </c>
      <c r="B551" s="232" t="s">
        <v>68</v>
      </c>
      <c r="C551" s="157">
        <v>1</v>
      </c>
      <c r="D551" s="157" t="s">
        <v>468</v>
      </c>
      <c r="E551" s="177" t="s">
        <v>468</v>
      </c>
      <c r="F551" s="233" t="s">
        <v>469</v>
      </c>
      <c r="G551" s="234">
        <v>42808</v>
      </c>
      <c r="H551" s="157" t="s">
        <v>700</v>
      </c>
      <c r="I551" s="157" t="s">
        <v>672</v>
      </c>
      <c r="J551" s="237">
        <v>11669</v>
      </c>
      <c r="K551" s="175" t="s">
        <v>61</v>
      </c>
      <c r="L551" s="175" t="s">
        <v>439</v>
      </c>
      <c r="M551" s="175" t="s">
        <v>1343</v>
      </c>
      <c r="N551" s="180"/>
      <c r="O551" s="195"/>
      <c r="P551" s="185">
        <v>0</v>
      </c>
      <c r="Q551" s="177">
        <v>42802</v>
      </c>
      <c r="R551" s="178">
        <v>444.71349000000004</v>
      </c>
      <c r="S551" s="179">
        <v>100000.04340303762</v>
      </c>
      <c r="T551" s="182" t="s">
        <v>45</v>
      </c>
      <c r="U551" s="183">
        <v>3.1473</v>
      </c>
      <c r="V551" s="179">
        <v>4284.6817649999994</v>
      </c>
      <c r="W551" s="179">
        <v>1339.688631814533</v>
      </c>
      <c r="X551" s="186" t="s">
        <v>45</v>
      </c>
      <c r="Y551" s="183">
        <v>3.1473</v>
      </c>
      <c r="Z551" s="220" t="s">
        <v>473</v>
      </c>
      <c r="AA551" s="172">
        <f>Delivery[[#This Row],[Quantity delivered]]*VLOOKUP(Delivery[[#This Row],[Unit]],References!$U:$X,4,FALSE)*VLOOKUP(CONCATENATE(Delivery[[#This Row],[Coffee specie]],Delivery[[#This Row],[Coffee state]]),References!$U:$X,4,FALSE)</f>
        <v>11669</v>
      </c>
      <c r="AB551" s="169">
        <f>SUMIF(Allocation!C:C,Delivery[[#This Row],[Delivery ID]],Allocation!D:D)/Delivery[[#This Row],[Quantity delivered]]</f>
        <v>3.0936669808895364E-2</v>
      </c>
      <c r="AC551" s="170">
        <f>Delivery[[#This Row],[Quantity delivered]]*Delivery[[#This Row],[Base price (Unidad)]]/60</f>
        <v>86489.361913500019</v>
      </c>
      <c r="AD551" s="171">
        <f>Delivery[[#This Row],[Nespresso total]]-Delivery[[#This Row],[Qt. Delivery * Base Price]]</f>
        <v>13510.681489537601</v>
      </c>
      <c r="AE551" s="171">
        <f>Delivery[[#This Row],[AAA Premium (total)]]/Delivery[[#This Row],[Quantity delivered]]*60/Delivery[[#This Row],[Exchange rate VS USD]]</f>
        <v>6.9999999999999982</v>
      </c>
      <c r="AF551" s="171">
        <f>Delivery[[#This Row],[BEN premium (total)]]/Delivery[[#This Row],[Quantity delivered]]*60/Delivery[[#This Row],[Exchange rate for premiums VS USD]]</f>
        <v>2.1886853999999998</v>
      </c>
      <c r="AG551" s="171">
        <f>COUNTIF(Delivery[Delivery ID],Delivery[[#This Row],[Delivery ID]])</f>
        <v>1</v>
      </c>
      <c r="AH551" s="171">
        <f>(Delivery[[#This Row],[Nespresso total]]/SUMIF(Allocation!C:C,Delivery[Delivery ID],Allocation!H:H))/Delivery[[#This Row],[Exchange rate VS USD]]</f>
        <v>267.00235096279033</v>
      </c>
      <c r="AI551" s="171">
        <f>(Delivery[[#This Row],[AAA Premium (total)]]/SUMIF(Allocation!C:C,Delivery[Delivery ID],Allocation!H:H))/Delivery[[#This Row],[Exchange rate VS USD]]</f>
        <v>11.44019607843137</v>
      </c>
      <c r="AJ551" s="171">
        <f>Delivery[[#This Row],[Valor Prêmio Nespresso AAA por Kg (em US$)]]*60</f>
        <v>686.41176470588221</v>
      </c>
      <c r="AK551" s="171">
        <f>Delivery[[#This Row],[Valor Prêmio Nespresso AAA por saca (em US$)]]/1.3228/100</f>
        <v>5.1890819829594967</v>
      </c>
      <c r="AL551" s="171">
        <f>(Delivery[[#This Row],[BEN premium (total)]]/SUMIF(Allocation!C:C,Delivery[Delivery ID],Allocation!H:H))/Delivery[[#This Row],[Exchange rate for premiums VS USD]]</f>
        <v>3.5769985900000001</v>
      </c>
      <c r="AM551" s="171">
        <f>Delivery[[#This Row],[Valor Prêmio Nespresso BEN por Kg (em US$)]]*60</f>
        <v>214.6199154</v>
      </c>
      <c r="AN551" s="171">
        <f>Delivery[[#This Row],[Valor Prêmio Nespresso BEN por saca (em US$)]]/1.3228/100</f>
        <v>1.6224668536437858</v>
      </c>
      <c r="AO551" s="171">
        <f>SUMIF(Allocation[Delivery ID],Delivery[[#This Row],[Delivery ID]],Allocation[Quantity allocated])*16*1.3228*Delivery[[#This Row],[Exchange rate VS USD]]/60</f>
        <v>132.11375049599999</v>
      </c>
      <c r="AP551" s="171">
        <f>Delivery[[#This Row],[AAA Premium (total)]]</f>
        <v>4284.6817649999994</v>
      </c>
      <c r="AQ551" s="171">
        <f>Delivery[[#This Row],[Valor pago pelo Cluster]]-Delivery[[#This Row],[Valor efetivamente pago pela Nespresso]]</f>
        <v>4152.5680145039996</v>
      </c>
    </row>
    <row r="552" spans="1:43" ht="15.75">
      <c r="A552" s="174" t="s">
        <v>69</v>
      </c>
      <c r="B552" s="232" t="s">
        <v>68</v>
      </c>
      <c r="C552" s="157">
        <v>1</v>
      </c>
      <c r="D552" s="157" t="s">
        <v>468</v>
      </c>
      <c r="E552" s="177" t="s">
        <v>468</v>
      </c>
      <c r="F552" s="233" t="s">
        <v>469</v>
      </c>
      <c r="G552" s="234">
        <v>42808</v>
      </c>
      <c r="H552" s="157" t="s">
        <v>701</v>
      </c>
      <c r="I552" s="157" t="s">
        <v>672</v>
      </c>
      <c r="J552" s="237">
        <v>26837.5</v>
      </c>
      <c r="K552" s="175" t="s">
        <v>61</v>
      </c>
      <c r="L552" s="175" t="s">
        <v>439</v>
      </c>
      <c r="M552" s="175" t="s">
        <v>1343</v>
      </c>
      <c r="N552" s="180"/>
      <c r="O552" s="177"/>
      <c r="P552" s="185">
        <v>0</v>
      </c>
      <c r="Q552" s="177">
        <v>42802</v>
      </c>
      <c r="R552" s="178">
        <v>444.71349000000004</v>
      </c>
      <c r="S552" s="179">
        <v>229989.81616496888</v>
      </c>
      <c r="T552" s="182" t="s">
        <v>45</v>
      </c>
      <c r="U552" s="183">
        <v>3.1473</v>
      </c>
      <c r="V552" s="179">
        <v>9854.3274375000001</v>
      </c>
      <c r="W552" s="179">
        <v>3081.1460841822377</v>
      </c>
      <c r="X552" s="186" t="s">
        <v>45</v>
      </c>
      <c r="Y552" s="183">
        <v>3.1473</v>
      </c>
      <c r="Z552" s="220" t="s">
        <v>473</v>
      </c>
      <c r="AA552" s="172">
        <f>Delivery[[#This Row],[Quantity delivered]]*VLOOKUP(Delivery[[#This Row],[Unit]],References!$U:$X,4,FALSE)*VLOOKUP(CONCATENATE(Delivery[[#This Row],[Coffee specie]],Delivery[[#This Row],[Coffee state]]),References!$U:$X,4,FALSE)</f>
        <v>26837.5</v>
      </c>
      <c r="AB552" s="169">
        <f>SUMIF(Allocation!C:C,Delivery[[#This Row],[Delivery ID]],Allocation!D:D)/Delivery[[#This Row],[Quantity delivered]]</f>
        <v>1.799720540288775E-2</v>
      </c>
      <c r="AC552" s="170">
        <f>Delivery[[#This Row],[Quantity delivered]]*Delivery[[#This Row],[Base price (Unidad)]]/60</f>
        <v>198916.63813125002</v>
      </c>
      <c r="AD552" s="171">
        <f>Delivery[[#This Row],[Nespresso total]]-Delivery[[#This Row],[Qt. Delivery * Base Price]]</f>
        <v>31073.178033718868</v>
      </c>
      <c r="AE552" s="171">
        <f>Delivery[[#This Row],[AAA Premium (total)]]/Delivery[[#This Row],[Quantity delivered]]*60/Delivery[[#This Row],[Exchange rate VS USD]]</f>
        <v>7</v>
      </c>
      <c r="AF552" s="171">
        <f>Delivery[[#This Row],[BEN premium (total)]]/Delivery[[#This Row],[Quantity delivered]]*60/Delivery[[#This Row],[Exchange rate for premiums VS USD]]</f>
        <v>2.1886854000000002</v>
      </c>
      <c r="AG552" s="171">
        <f>COUNTIF(Delivery[Delivery ID],Delivery[[#This Row],[Delivery ID]])</f>
        <v>1</v>
      </c>
      <c r="AH552" s="171">
        <f>(Delivery[[#This Row],[Nespresso total]]/SUMIF(Allocation!C:C,Delivery[Delivery ID],Allocation!H:H))/Delivery[[#This Row],[Exchange rate VS USD]]</f>
        <v>458.64103435154072</v>
      </c>
      <c r="AI552" s="171">
        <f>(Delivery[[#This Row],[AAA Premium (total)]]/SUMIF(Allocation!C:C,Delivery[Delivery ID],Allocation!H:H))/Delivery[[#This Row],[Exchange rate VS USD]]</f>
        <v>19.651300236406616</v>
      </c>
      <c r="AJ552" s="171">
        <f>Delivery[[#This Row],[Valor Prêmio Nespresso AAA por Kg (em US$)]]*60</f>
        <v>1179.078014184397</v>
      </c>
      <c r="AK552" s="171">
        <f>Delivery[[#This Row],[Valor Prêmio Nespresso AAA por saca (em US$)]]/1.3228/100</f>
        <v>8.9135017703688924</v>
      </c>
      <c r="AL552" s="171">
        <f>(Delivery[[#This Row],[BEN premium (total)]]/SUMIF(Allocation!C:C,Delivery[Delivery ID],Allocation!H:H))/Delivery[[#This Row],[Exchange rate for premiums VS USD]]</f>
        <v>6.1443591312056736</v>
      </c>
      <c r="AM552" s="171">
        <f>Delivery[[#This Row],[Valor Prêmio Nespresso BEN por Kg (em US$)]]*60</f>
        <v>368.66154787234041</v>
      </c>
      <c r="AN552" s="171">
        <f>Delivery[[#This Row],[Valor Prêmio Nespresso BEN por saca (em US$)]]/1.3228/100</f>
        <v>2.7869787410972213</v>
      </c>
      <c r="AO552" s="171">
        <f>SUMIF(Allocation[Delivery ID],Delivery[[#This Row],[Delivery ID]],Allocation[Quantity allocated])*16*1.3228*Delivery[[#This Row],[Exchange rate VS USD]]/60</f>
        <v>176.88809971871999</v>
      </c>
      <c r="AP552" s="171">
        <f>Delivery[[#This Row],[AAA Premium (total)]]</f>
        <v>9854.3274375000001</v>
      </c>
      <c r="AQ552" s="171">
        <f>Delivery[[#This Row],[Valor pago pelo Cluster]]-Delivery[[#This Row],[Valor efetivamente pago pela Nespresso]]</f>
        <v>9677.4393377812794</v>
      </c>
    </row>
    <row r="553" spans="1:43" ht="15.75">
      <c r="A553" s="174" t="s">
        <v>69</v>
      </c>
      <c r="B553" s="232" t="s">
        <v>68</v>
      </c>
      <c r="C553" s="157">
        <v>1</v>
      </c>
      <c r="D553" s="157" t="s">
        <v>468</v>
      </c>
      <c r="E553" s="177" t="s">
        <v>468</v>
      </c>
      <c r="F553" s="233" t="s">
        <v>469</v>
      </c>
      <c r="G553" s="234">
        <v>42807</v>
      </c>
      <c r="H553" s="157" t="s">
        <v>702</v>
      </c>
      <c r="I553" s="157" t="s">
        <v>699</v>
      </c>
      <c r="J553" s="237">
        <v>18031</v>
      </c>
      <c r="K553" s="175" t="s">
        <v>61</v>
      </c>
      <c r="L553" s="175" t="s">
        <v>439</v>
      </c>
      <c r="M553" s="175" t="s">
        <v>1343</v>
      </c>
      <c r="N553" s="180"/>
      <c r="O553" s="195"/>
      <c r="P553" s="185">
        <v>0</v>
      </c>
      <c r="Q553" s="177">
        <v>42801</v>
      </c>
      <c r="R553" s="178">
        <v>438.43526999999995</v>
      </c>
      <c r="S553" s="179">
        <v>146262.99933782857</v>
      </c>
      <c r="T553" s="182" t="s">
        <v>45</v>
      </c>
      <c r="U553" s="183">
        <v>3.1160999999999999</v>
      </c>
      <c r="V553" s="179">
        <v>9364.3998499999998</v>
      </c>
      <c r="W553" s="179">
        <v>2484.3303310857195</v>
      </c>
      <c r="X553" s="186" t="s">
        <v>45</v>
      </c>
      <c r="Y553" s="183">
        <v>3.1160999999999999</v>
      </c>
      <c r="Z553" s="220" t="s">
        <v>473</v>
      </c>
      <c r="AA553" s="172">
        <f>Delivery[[#This Row],[Quantity delivered]]*VLOOKUP(Delivery[[#This Row],[Unit]],References!$U:$X,4,FALSE)*VLOOKUP(CONCATENATE(Delivery[[#This Row],[Coffee specie]],Delivery[[#This Row],[Coffee state]]),References!$U:$X,4,FALSE)</f>
        <v>18031</v>
      </c>
      <c r="AB553" s="169">
        <f>SUMIF(Allocation!C:C,Delivery[[#This Row],[Delivery ID]],Allocation!D:D)/Delivery[[#This Row],[Quantity delivered]]</f>
        <v>1.6527092230048251E-2</v>
      </c>
      <c r="AC553" s="170">
        <f>Delivery[[#This Row],[Quantity delivered]]*Delivery[[#This Row],[Base price (Unidad)]]/60</f>
        <v>131757.10588949997</v>
      </c>
      <c r="AD553" s="171">
        <f>Delivery[[#This Row],[Nespresso total]]-Delivery[[#This Row],[Qt. Delivery * Base Price]]</f>
        <v>14505.893448328599</v>
      </c>
      <c r="AE553" s="171">
        <f>Delivery[[#This Row],[AAA Premium (total)]]/Delivery[[#This Row],[Quantity delivered]]*60/Delivery[[#This Row],[Exchange rate VS USD]]</f>
        <v>10</v>
      </c>
      <c r="AF553" s="171">
        <f>Delivery[[#This Row],[BEN premium (total)]]/Delivery[[#This Row],[Quantity delivered]]*60/Delivery[[#This Row],[Exchange rate for premiums VS USD]]</f>
        <v>2.6529519999999991</v>
      </c>
      <c r="AG553" s="171">
        <f>COUNTIF(Delivery[Delivery ID],Delivery[[#This Row],[Delivery ID]])</f>
        <v>1</v>
      </c>
      <c r="AH553" s="171">
        <f>(Delivery[[#This Row],[Nespresso total]]/SUMIF(Allocation!C:C,Delivery[Delivery ID],Allocation!H:H))/Delivery[[#This Row],[Exchange rate VS USD]]</f>
        <v>394.43561977204473</v>
      </c>
      <c r="AI553" s="171">
        <f>(Delivery[[#This Row],[AAA Premium (total)]]/SUMIF(Allocation!C:C,Delivery[Delivery ID],Allocation!H:H))/Delivery[[#This Row],[Exchange rate VS USD]]</f>
        <v>25.253501400560221</v>
      </c>
      <c r="AJ553" s="171">
        <f>Delivery[[#This Row],[Valor Prêmio Nespresso AAA por Kg (em US$)]]*60</f>
        <v>1515.2100840336134</v>
      </c>
      <c r="AK553" s="171">
        <f>Delivery[[#This Row],[Valor Prêmio Nespresso AAA por saca (em US$)]]/1.3228/100</f>
        <v>11.454566707239291</v>
      </c>
      <c r="AL553" s="171">
        <f>(Delivery[[#This Row],[BEN premium (total)]]/SUMIF(Allocation!C:C,Delivery[Delivery ID],Allocation!H:H))/Delivery[[#This Row],[Exchange rate for premiums VS USD]]</f>
        <v>6.6996327047619042</v>
      </c>
      <c r="AM553" s="171">
        <f>Delivery[[#This Row],[Valor Prêmio Nespresso BEN por Kg (em US$)]]*60</f>
        <v>401.97796228571423</v>
      </c>
      <c r="AN553" s="171">
        <f>Delivery[[#This Row],[Valor Prêmio Nespresso BEN por saca (em US$)]]/1.3228/100</f>
        <v>3.0388415655103889</v>
      </c>
      <c r="AO553" s="171">
        <f>SUMIF(Allocation[Delivery ID],Delivery[[#This Row],[Delivery ID]],Allocation[Quantity allocated])*16*1.3228*Delivery[[#This Row],[Exchange rate VS USD]]/60</f>
        <v>130.80407267199999</v>
      </c>
      <c r="AP553" s="171">
        <f>Delivery[[#This Row],[AAA Premium (total)]]</f>
        <v>9364.3998499999998</v>
      </c>
      <c r="AQ553" s="171">
        <f>Delivery[[#This Row],[Valor pago pelo Cluster]]-Delivery[[#This Row],[Valor efetivamente pago pela Nespresso]]</f>
        <v>9233.5957773280006</v>
      </c>
    </row>
    <row r="554" spans="1:43" ht="15.75">
      <c r="A554" s="174" t="s">
        <v>69</v>
      </c>
      <c r="B554" s="232" t="s">
        <v>68</v>
      </c>
      <c r="C554" s="157">
        <v>1</v>
      </c>
      <c r="D554" s="157" t="s">
        <v>468</v>
      </c>
      <c r="E554" s="176" t="s">
        <v>468</v>
      </c>
      <c r="F554" s="233" t="s">
        <v>469</v>
      </c>
      <c r="G554" s="234">
        <v>42807</v>
      </c>
      <c r="H554" s="157" t="s">
        <v>703</v>
      </c>
      <c r="I554" s="157" t="s">
        <v>672</v>
      </c>
      <c r="J554" s="237">
        <v>14108.5</v>
      </c>
      <c r="K554" s="175" t="s">
        <v>61</v>
      </c>
      <c r="L554" s="175" t="s">
        <v>439</v>
      </c>
      <c r="M554" s="175" t="s">
        <v>1343</v>
      </c>
      <c r="N554" s="180"/>
      <c r="O554" s="177"/>
      <c r="P554" s="181">
        <v>0</v>
      </c>
      <c r="Q554" s="177">
        <v>42802</v>
      </c>
      <c r="R554" s="178">
        <v>444.71349000000004</v>
      </c>
      <c r="S554" s="179">
        <v>120905.87131303077</v>
      </c>
      <c r="T554" s="182" t="s">
        <v>45</v>
      </c>
      <c r="U554" s="183">
        <v>3.1473</v>
      </c>
      <c r="V554" s="179">
        <v>5180.4295725000002</v>
      </c>
      <c r="W554" s="179">
        <v>1619.7615101512847</v>
      </c>
      <c r="X554" s="186" t="s">
        <v>45</v>
      </c>
      <c r="Y554" s="183">
        <v>3.1473</v>
      </c>
      <c r="Z554" s="220" t="s">
        <v>473</v>
      </c>
      <c r="AA554" s="172">
        <f>Delivery[[#This Row],[Quantity delivered]]*VLOOKUP(Delivery[[#This Row],[Unit]],References!$U:$X,4,FALSE)*VLOOKUP(CONCATENATE(Delivery[[#This Row],[Coffee specie]],Delivery[[#This Row],[Coffee state]]),References!$U:$X,4,FALSE)</f>
        <v>14108.5</v>
      </c>
      <c r="AB554" s="169">
        <f>SUMIF(Allocation!C:C,Delivery[[#This Row],[Delivery ID]],Allocation!D:D)/Delivery[[#This Row],[Quantity delivered]]</f>
        <v>2.5587411843923876E-2</v>
      </c>
      <c r="AC554" s="170">
        <f>Delivery[[#This Row],[Quantity delivered]]*Delivery[[#This Row],[Base price (Unidad)]]/60</f>
        <v>104570.67122775</v>
      </c>
      <c r="AD554" s="171">
        <f>Delivery[[#This Row],[Nespresso total]]-Delivery[[#This Row],[Qt. Delivery * Base Price]]</f>
        <v>16335.200085280769</v>
      </c>
      <c r="AE554" s="171">
        <f>Delivery[[#This Row],[AAA Premium (total)]]/Delivery[[#This Row],[Quantity delivered]]*60/Delivery[[#This Row],[Exchange rate VS USD]]</f>
        <v>7.0000000000000009</v>
      </c>
      <c r="AF554" s="171">
        <f>Delivery[[#This Row],[BEN premium (total)]]/Delivery[[#This Row],[Quantity delivered]]*60/Delivery[[#This Row],[Exchange rate for premiums VS USD]]</f>
        <v>2.1886854000000007</v>
      </c>
      <c r="AG554" s="171">
        <f>COUNTIF(Delivery[Delivery ID],Delivery[[#This Row],[Delivery ID]])</f>
        <v>1</v>
      </c>
      <c r="AH554" s="171">
        <f>(Delivery[[#This Row],[Nespresso total]]/SUMIF(Allocation!C:C,Delivery[Delivery ID],Allocation!H:H))/Delivery[[#This Row],[Exchange rate VS USD]]</f>
        <v>322.82137874355362</v>
      </c>
      <c r="AI554" s="171">
        <f>(Delivery[[#This Row],[AAA Premium (total)]]/SUMIF(Allocation!C:C,Delivery[Delivery ID],Allocation!H:H))/Delivery[[#This Row],[Exchange rate VS USD]]</f>
        <v>13.831862745098039</v>
      </c>
      <c r="AJ554" s="171">
        <f>Delivery[[#This Row],[Valor Prêmio Nespresso AAA por Kg (em US$)]]*60</f>
        <v>829.91176470588232</v>
      </c>
      <c r="AK554" s="171">
        <f>Delivery[[#This Row],[Valor Prêmio Nespresso AAA por saca (em US$)]]/1.3228/100</f>
        <v>6.2739020615806043</v>
      </c>
      <c r="AL554" s="171">
        <f>(Delivery[[#This Row],[BEN premium (total)]]/SUMIF(Allocation!C:C,Delivery[Delivery ID],Allocation!H:H))/Delivery[[#This Row],[Exchange rate for premiums VS USD]]</f>
        <v>4.324799435000001</v>
      </c>
      <c r="AM554" s="171">
        <f>Delivery[[#This Row],[Valor Prêmio Nespresso BEN por Kg (em US$)]]*60</f>
        <v>259.48796610000005</v>
      </c>
      <c r="AN554" s="171">
        <f>Delivery[[#This Row],[Valor Prêmio Nespresso BEN por saca (em US$)]]/1.3228/100</f>
        <v>1.9616568347444818</v>
      </c>
      <c r="AO554" s="171">
        <f>SUMIF(Allocation[Delivery ID],Delivery[[#This Row],[Delivery ID]],Allocation[Quantity allocated])*16*1.3228*Delivery[[#This Row],[Exchange rate VS USD]]/60</f>
        <v>132.11375049599999</v>
      </c>
      <c r="AP554" s="171">
        <f>Delivery[[#This Row],[AAA Premium (total)]]</f>
        <v>5180.4295725000002</v>
      </c>
      <c r="AQ554" s="171">
        <f>Delivery[[#This Row],[Valor pago pelo Cluster]]-Delivery[[#This Row],[Valor efetivamente pago pela Nespresso]]</f>
        <v>5048.3158220040004</v>
      </c>
    </row>
    <row r="555" spans="1:43" ht="15.75">
      <c r="A555" s="174" t="s">
        <v>69</v>
      </c>
      <c r="B555" s="232" t="s">
        <v>68</v>
      </c>
      <c r="C555" s="157">
        <v>1</v>
      </c>
      <c r="D555" s="157" t="s">
        <v>468</v>
      </c>
      <c r="E555" s="177" t="s">
        <v>468</v>
      </c>
      <c r="F555" s="233" t="s">
        <v>469</v>
      </c>
      <c r="G555" s="234">
        <v>42810</v>
      </c>
      <c r="H555" s="238" t="s">
        <v>704</v>
      </c>
      <c r="I555" s="157" t="s">
        <v>672</v>
      </c>
      <c r="J555" s="237">
        <v>15910</v>
      </c>
      <c r="K555" s="175" t="s">
        <v>61</v>
      </c>
      <c r="L555" s="175" t="s">
        <v>439</v>
      </c>
      <c r="M555" s="175" t="s">
        <v>1343</v>
      </c>
      <c r="N555" s="180"/>
      <c r="O555" s="195"/>
      <c r="P555" s="185">
        <v>0</v>
      </c>
      <c r="Q555" s="177">
        <v>42802</v>
      </c>
      <c r="R555" s="178">
        <v>444.71349070072176</v>
      </c>
      <c r="S555" s="179">
        <v>136344.21891123141</v>
      </c>
      <c r="T555" s="182" t="s">
        <v>45</v>
      </c>
      <c r="U555" s="183">
        <v>3.1473000049591064</v>
      </c>
      <c r="V555" s="179">
        <v>5841.9133592049275</v>
      </c>
      <c r="W555" s="179">
        <v>1826.5872110509688</v>
      </c>
      <c r="X555" s="186" t="s">
        <v>45</v>
      </c>
      <c r="Y555" s="183">
        <v>3.1473000049591064</v>
      </c>
      <c r="Z555" s="220" t="s">
        <v>473</v>
      </c>
      <c r="AA555" s="172">
        <f>Delivery[[#This Row],[Quantity delivered]]*VLOOKUP(Delivery[[#This Row],[Unit]],References!$U:$X,4,FALSE)*VLOOKUP(CONCATENATE(Delivery[[#This Row],[Coffee specie]],Delivery[[#This Row],[Coffee state]]),References!$U:$X,4,FALSE)</f>
        <v>15910</v>
      </c>
      <c r="AB555" s="169">
        <f>SUMIF(Allocation!C:C,Delivery[[#This Row],[Delivery ID]],Allocation!D:D)/Delivery[[#This Row],[Quantity delivered]]</f>
        <v>6.2853551225644248E-5</v>
      </c>
      <c r="AC555" s="170">
        <f>Delivery[[#This Row],[Quantity delivered]]*Delivery[[#This Row],[Base price (Unidad)]]/60</f>
        <v>117923.19395080805</v>
      </c>
      <c r="AD555" s="171">
        <f>Delivery[[#This Row],[Nespresso total]]-Delivery[[#This Row],[Qt. Delivery * Base Price]]</f>
        <v>18421.024960423354</v>
      </c>
      <c r="AE555" s="171">
        <f>Delivery[[#This Row],[AAA Premium (total)]]/Delivery[[#This Row],[Quantity delivered]]*60/Delivery[[#This Row],[Exchange rate VS USD]]</f>
        <v>7</v>
      </c>
      <c r="AF555" s="171">
        <f>Delivery[[#This Row],[BEN premium (total)]]/Delivery[[#This Row],[Quantity delivered]]*60/Delivery[[#This Row],[Exchange rate for premiums VS USD]]</f>
        <v>2.1886853999999998</v>
      </c>
      <c r="AG555" s="171">
        <f>COUNTIF(Delivery[Delivery ID],Delivery[[#This Row],[Delivery ID]])</f>
        <v>1</v>
      </c>
      <c r="AH555" s="171">
        <f>(Delivery[[#This Row],[Nespresso total]]/SUMIF(Allocation!C:C,Delivery[Delivery ID],Allocation!H:H))/Delivery[[#This Row],[Exchange rate VS USD]]</f>
        <v>131275.79165633832</v>
      </c>
      <c r="AI555" s="171">
        <f>(Delivery[[#This Row],[AAA Premium (total)]]/SUMIF(Allocation!C:C,Delivery[Delivery ID],Allocation!H:H))/Delivery[[#This Row],[Exchange rate VS USD]]</f>
        <v>5624.7474747474735</v>
      </c>
      <c r="AJ555" s="171">
        <f>Delivery[[#This Row],[Valor Prêmio Nespresso AAA por Kg (em US$)]]*60</f>
        <v>337484.84848484839</v>
      </c>
      <c r="AK555" s="171">
        <f>Delivery[[#This Row],[Valor Prêmio Nespresso AAA por saca (em US$)]]/1.3228/100</f>
        <v>2551.2915670157877</v>
      </c>
      <c r="AL555" s="171">
        <f>(Delivery[[#This Row],[BEN premium (total)]]/SUMIF(Allocation!C:C,Delivery[Delivery ID],Allocation!H:H))/Delivery[[#This Row],[Exchange rate for premiums VS USD]]</f>
        <v>1758.6860966666666</v>
      </c>
      <c r="AM555" s="171">
        <f>Delivery[[#This Row],[Valor Prêmio Nespresso BEN por Kg (em US$)]]*60</f>
        <v>105521.16579999999</v>
      </c>
      <c r="AN555" s="171">
        <f>Delivery[[#This Row],[Valor Prêmio Nespresso BEN por saca (em US$)]]/1.3228/100</f>
        <v>797.71065769579673</v>
      </c>
      <c r="AO555" s="171">
        <f>SUMIF(Allocation[Delivery ID],Delivery[[#This Row],[Delivery ID]],Allocation[Quantity allocated])*16*1.3228*Delivery[[#This Row],[Exchange rate VS USD]]/60</f>
        <v>0.36636586329727178</v>
      </c>
      <c r="AP555" s="171">
        <f>Delivery[[#This Row],[AAA Premium (total)]]</f>
        <v>5841.9133592049275</v>
      </c>
      <c r="AQ555" s="171">
        <f>Delivery[[#This Row],[Valor pago pelo Cluster]]-Delivery[[#This Row],[Valor efetivamente pago pela Nespresso]]</f>
        <v>5841.5469933416298</v>
      </c>
    </row>
    <row r="556" spans="1:43" ht="15.75">
      <c r="A556" s="174" t="s">
        <v>69</v>
      </c>
      <c r="B556" s="232" t="s">
        <v>68</v>
      </c>
      <c r="C556" s="157">
        <v>1</v>
      </c>
      <c r="D556" s="157" t="s">
        <v>468</v>
      </c>
      <c r="E556" s="176" t="s">
        <v>468</v>
      </c>
      <c r="F556" s="233" t="s">
        <v>469</v>
      </c>
      <c r="G556" s="234">
        <v>42902</v>
      </c>
      <c r="H556" s="157" t="s">
        <v>705</v>
      </c>
      <c r="I556" s="157" t="s">
        <v>706</v>
      </c>
      <c r="J556" s="237">
        <v>25517.5</v>
      </c>
      <c r="K556" s="175" t="s">
        <v>61</v>
      </c>
      <c r="L556" s="175" t="s">
        <v>439</v>
      </c>
      <c r="M556" s="175" t="s">
        <v>1343</v>
      </c>
      <c r="N556" s="180"/>
      <c r="O556" s="177"/>
      <c r="P556" s="181">
        <v>0</v>
      </c>
      <c r="Q556" s="177">
        <v>42802</v>
      </c>
      <c r="R556" s="178">
        <v>444.43089000000009</v>
      </c>
      <c r="S556" s="179">
        <v>196276.22902808757</v>
      </c>
      <c r="T556" s="182" t="s">
        <v>45</v>
      </c>
      <c r="U556" s="183">
        <v>3.1453000000000002</v>
      </c>
      <c r="V556" s="179">
        <v>9363.6891541666682</v>
      </c>
      <c r="W556" s="179">
        <v>2661.5804859562254</v>
      </c>
      <c r="X556" s="186" t="s">
        <v>45</v>
      </c>
      <c r="Y556" s="183">
        <v>3.1453000000000002</v>
      </c>
      <c r="Z556" s="220" t="s">
        <v>473</v>
      </c>
      <c r="AA556" s="172">
        <f>Delivery[[#This Row],[Quantity delivered]]*VLOOKUP(Delivery[[#This Row],[Unit]],References!$U:$X,4,FALSE)*VLOOKUP(CONCATENATE(Delivery[[#This Row],[Coffee specie]],Delivery[[#This Row],[Coffee state]]),References!$U:$X,4,FALSE)</f>
        <v>25517.5</v>
      </c>
      <c r="AB556" s="169">
        <f>SUMIF(Allocation!C:C,Delivery[[#This Row],[Delivery ID]],Allocation!D:D)/Delivery[[#This Row],[Quantity delivered]]</f>
        <v>2.3238953659253454E-2</v>
      </c>
      <c r="AC556" s="170">
        <f>Delivery[[#This Row],[Quantity delivered]]*Delivery[[#This Row],[Base price (Unidad)]]/60</f>
        <v>189012.75392625004</v>
      </c>
      <c r="AD556" s="171">
        <f>Delivery[[#This Row],[Nespresso total]]-Delivery[[#This Row],[Qt. Delivery * Base Price]]</f>
        <v>7263.4751018375391</v>
      </c>
      <c r="AE556" s="171">
        <f>Delivery[[#This Row],[AAA Premium (total)]]/Delivery[[#This Row],[Quantity delivered]]*60/Delivery[[#This Row],[Exchange rate VS USD]]</f>
        <v>7</v>
      </c>
      <c r="AF556" s="171">
        <f>Delivery[[#This Row],[BEN premium (total)]]/Delivery[[#This Row],[Quantity delivered]]*60/Delivery[[#This Row],[Exchange rate for premiums VS USD]]</f>
        <v>1.9897140000000002</v>
      </c>
      <c r="AG556" s="171">
        <f>COUNTIF(Delivery[Delivery ID],Delivery[[#This Row],[Delivery ID]])</f>
        <v>1</v>
      </c>
      <c r="AH556" s="171">
        <f>(Delivery[[#This Row],[Nespresso total]]/SUMIF(Allocation!C:C,Delivery[Delivery ID],Allocation!H:H))/Delivery[[#This Row],[Exchange rate VS USD]]</f>
        <v>350.57878230312525</v>
      </c>
      <c r="AI556" s="171">
        <f>(Delivery[[#This Row],[AAA Premium (total)]]/SUMIF(Allocation!C:C,Delivery[Delivery ID],Allocation!H:H))/Delivery[[#This Row],[Exchange rate VS USD]]</f>
        <v>16.724953183520601</v>
      </c>
      <c r="AJ556" s="171">
        <f>Delivery[[#This Row],[Valor Prêmio Nespresso AAA por Kg (em US$)]]*60</f>
        <v>1003.4971910112361</v>
      </c>
      <c r="AK556" s="171">
        <f>Delivery[[#This Row],[Valor Prêmio Nespresso AAA por saca (em US$)]]/1.3228/100</f>
        <v>7.5861595933719084</v>
      </c>
      <c r="AL556" s="171">
        <f>(Delivery[[#This Row],[BEN premium (total)]]/SUMIF(Allocation!C:C,Delivery[Delivery ID],Allocation!H:H))/Delivery[[#This Row],[Exchange rate for premiums VS USD]]</f>
        <v>4.7539819283707869</v>
      </c>
      <c r="AM556" s="171">
        <f>Delivery[[#This Row],[Valor Prêmio Nespresso BEN por Kg (em US$)]]*60</f>
        <v>285.2389157022472</v>
      </c>
      <c r="AN556" s="171">
        <f>Delivery[[#This Row],[Valor Prêmio Nespresso BEN por saca (em US$)]]/1.3228/100</f>
        <v>2.1563268498809132</v>
      </c>
      <c r="AO556" s="171">
        <f>SUMIF(Allocation[Delivery ID],Delivery[[#This Row],[Delivery ID]],Allocation[Quantity allocated])*16*1.3228*Delivery[[#This Row],[Exchange rate VS USD]]/60</f>
        <v>197.48994813866665</v>
      </c>
      <c r="AP556" s="171">
        <f>Delivery[[#This Row],[AAA Premium (total)]]</f>
        <v>9363.6891541666682</v>
      </c>
      <c r="AQ556" s="171">
        <f>Delivery[[#This Row],[Valor pago pelo Cluster]]-Delivery[[#This Row],[Valor efetivamente pago pela Nespresso]]</f>
        <v>9166.1992060280008</v>
      </c>
    </row>
    <row r="557" spans="1:43" ht="15.75">
      <c r="A557" s="174" t="s">
        <v>69</v>
      </c>
      <c r="B557" s="232" t="s">
        <v>68</v>
      </c>
      <c r="C557" s="157">
        <v>1</v>
      </c>
      <c r="D557" s="157" t="s">
        <v>468</v>
      </c>
      <c r="E557" s="177" t="s">
        <v>468</v>
      </c>
      <c r="F557" s="233" t="s">
        <v>469</v>
      </c>
      <c r="G557" s="234">
        <v>42809</v>
      </c>
      <c r="H557" s="157" t="s">
        <v>707</v>
      </c>
      <c r="I557" s="157" t="s">
        <v>672</v>
      </c>
      <c r="J557" s="237">
        <v>29992.5</v>
      </c>
      <c r="K557" s="175" t="s">
        <v>61</v>
      </c>
      <c r="L557" s="175" t="s">
        <v>439</v>
      </c>
      <c r="M557" s="175" t="s">
        <v>1343</v>
      </c>
      <c r="N557" s="180"/>
      <c r="O557" s="195"/>
      <c r="P557" s="185">
        <v>0</v>
      </c>
      <c r="Q557" s="177">
        <v>42802</v>
      </c>
      <c r="R557" s="178">
        <v>444.71349000000004</v>
      </c>
      <c r="S557" s="179">
        <v>257027.27755296987</v>
      </c>
      <c r="T557" s="182" t="s">
        <v>45</v>
      </c>
      <c r="U557" s="183">
        <v>3.1473</v>
      </c>
      <c r="V557" s="179">
        <v>11012.7961125</v>
      </c>
      <c r="W557" s="179">
        <v>3443.3637235150727</v>
      </c>
      <c r="X557" s="186" t="s">
        <v>45</v>
      </c>
      <c r="Y557" s="183">
        <v>3.1473</v>
      </c>
      <c r="Z557" s="220" t="s">
        <v>473</v>
      </c>
      <c r="AA557" s="172">
        <f>Delivery[[#This Row],[Quantity delivered]]*VLOOKUP(Delivery[[#This Row],[Unit]],References!$U:$X,4,FALSE)*VLOOKUP(CONCATENATE(Delivery[[#This Row],[Coffee specie]],Delivery[[#This Row],[Coffee state]]),References!$U:$X,4,FALSE)</f>
        <v>29992.5</v>
      </c>
      <c r="AB557" s="169">
        <f>SUMIF(Allocation!C:C,Delivery[[#This Row],[Delivery ID]],Allocation!D:D)/Delivery[[#This Row],[Quantity delivered]]</f>
        <v>1.8271234475285489E-2</v>
      </c>
      <c r="AC557" s="170">
        <f>Delivery[[#This Row],[Quantity delivered]]*Delivery[[#This Row],[Base price (Unidad)]]/60</f>
        <v>222301.15581375</v>
      </c>
      <c r="AD557" s="171">
        <f>Delivery[[#This Row],[Nespresso total]]-Delivery[[#This Row],[Qt. Delivery * Base Price]]</f>
        <v>34726.121739219874</v>
      </c>
      <c r="AE557" s="171">
        <f>Delivery[[#This Row],[AAA Premium (total)]]/Delivery[[#This Row],[Quantity delivered]]*60/Delivery[[#This Row],[Exchange rate VS USD]]</f>
        <v>7</v>
      </c>
      <c r="AF557" s="171">
        <f>Delivery[[#This Row],[BEN premium (total)]]/Delivery[[#This Row],[Quantity delivered]]*60/Delivery[[#This Row],[Exchange rate for premiums VS USD]]</f>
        <v>2.1886854000000002</v>
      </c>
      <c r="AG557" s="171">
        <f>COUNTIF(Delivery[Delivery ID],Delivery[[#This Row],[Delivery ID]])</f>
        <v>1</v>
      </c>
      <c r="AH557" s="171">
        <f>(Delivery[[#This Row],[Nespresso total]]/SUMIF(Allocation!C:C,Delivery[Delivery ID],Allocation!H:H))/Delivery[[#This Row],[Exchange rate VS USD]]</f>
        <v>451.19315205889859</v>
      </c>
      <c r="AI557" s="171">
        <f>(Delivery[[#This Row],[AAA Premium (total)]]/SUMIF(Allocation!C:C,Delivery[Delivery ID],Allocation!H:H))/Delivery[[#This Row],[Exchange rate VS USD]]</f>
        <v>19.332182320441987</v>
      </c>
      <c r="AJ557" s="171">
        <f>Delivery[[#This Row],[Valor Prêmio Nespresso AAA por Kg (em US$)]]*60</f>
        <v>1159.9309392265193</v>
      </c>
      <c r="AK557" s="171">
        <f>Delivery[[#This Row],[Valor Prêmio Nespresso AAA por saca (em US$)]]/1.3228/100</f>
        <v>8.7687552103607445</v>
      </c>
      <c r="AL557" s="171">
        <f>(Delivery[[#This Row],[BEN premium (total)]]/SUMIF(Allocation!C:C,Delivery[Delivery ID],Allocation!H:H))/Delivery[[#This Row],[Exchange rate for premiums VS USD]]</f>
        <v>6.0445807421270725</v>
      </c>
      <c r="AM557" s="171">
        <f>Delivery[[#This Row],[Valor Prêmio Nespresso BEN por Kg (em US$)]]*60</f>
        <v>362.67484452762437</v>
      </c>
      <c r="AN557" s="171">
        <f>Delivery[[#This Row],[Valor Prêmio Nespresso BEN por saca (em US$)]]/1.3228/100</f>
        <v>2.7417209292986424</v>
      </c>
      <c r="AO557" s="171">
        <f>SUMIF(Allocation[Delivery ID],Delivery[[#This Row],[Delivery ID]],Allocation[Quantity allocated])*16*1.3228*Delivery[[#This Row],[Exchange rate VS USD]]/60</f>
        <v>200.94612470399997</v>
      </c>
      <c r="AP557" s="171">
        <f>Delivery[[#This Row],[AAA Premium (total)]]</f>
        <v>11012.7961125</v>
      </c>
      <c r="AQ557" s="171">
        <f>Delivery[[#This Row],[Valor pago pelo Cluster]]-Delivery[[#This Row],[Valor efetivamente pago pela Nespresso]]</f>
        <v>10811.849987796</v>
      </c>
    </row>
    <row r="558" spans="1:43" ht="15.75">
      <c r="A558" s="174" t="s">
        <v>69</v>
      </c>
      <c r="B558" s="232" t="s">
        <v>68</v>
      </c>
      <c r="C558" s="157">
        <v>1</v>
      </c>
      <c r="D558" s="157" t="s">
        <v>468</v>
      </c>
      <c r="E558" s="177" t="s">
        <v>468</v>
      </c>
      <c r="F558" s="233" t="s">
        <v>469</v>
      </c>
      <c r="G558" s="234">
        <v>42809</v>
      </c>
      <c r="H558" s="157" t="s">
        <v>708</v>
      </c>
      <c r="I558" s="157" t="s">
        <v>672</v>
      </c>
      <c r="J558" s="237">
        <v>30385.5</v>
      </c>
      <c r="K558" s="175" t="s">
        <v>61</v>
      </c>
      <c r="L558" s="175" t="s">
        <v>439</v>
      </c>
      <c r="M558" s="175" t="s">
        <v>1343</v>
      </c>
      <c r="N558" s="180"/>
      <c r="O558" s="177"/>
      <c r="P558" s="185">
        <v>0</v>
      </c>
      <c r="Q558" s="177">
        <v>42802</v>
      </c>
      <c r="R558" s="178">
        <v>444.71349000000004</v>
      </c>
      <c r="S558" s="179">
        <v>260395.17686374142</v>
      </c>
      <c r="T558" s="182" t="s">
        <v>45</v>
      </c>
      <c r="U558" s="183">
        <v>3.1473</v>
      </c>
      <c r="V558" s="179">
        <v>11157.099817499999</v>
      </c>
      <c r="W558" s="179">
        <v>3488.4830681292738</v>
      </c>
      <c r="X558" s="186" t="s">
        <v>45</v>
      </c>
      <c r="Y558" s="183">
        <v>3.1473</v>
      </c>
      <c r="Z558" s="220" t="s">
        <v>473</v>
      </c>
      <c r="AA558" s="172">
        <f>Delivery[[#This Row],[Quantity delivered]]*VLOOKUP(Delivery[[#This Row],[Unit]],References!$U:$X,4,FALSE)*VLOOKUP(CONCATENATE(Delivery[[#This Row],[Coffee specie]],Delivery[[#This Row],[Coffee state]]),References!$U:$X,4,FALSE)</f>
        <v>30385.5</v>
      </c>
      <c r="AB558" s="169">
        <f>SUMIF(Allocation!C:C,Delivery[[#This Row],[Delivery ID]],Allocation!D:D)/Delivery[[#This Row],[Quantity delivered]]</f>
        <v>3.6004015072978887E-2</v>
      </c>
      <c r="AC558" s="170">
        <f>Delivery[[#This Row],[Quantity delivered]]*Delivery[[#This Row],[Base price (Unidad)]]/60</f>
        <v>225214.02917325002</v>
      </c>
      <c r="AD558" s="171">
        <f>Delivery[[#This Row],[Nespresso total]]-Delivery[[#This Row],[Qt. Delivery * Base Price]]</f>
        <v>35181.147690491402</v>
      </c>
      <c r="AE558" s="171">
        <f>Delivery[[#This Row],[AAA Premium (total)]]/Delivery[[#This Row],[Quantity delivered]]*60/Delivery[[#This Row],[Exchange rate VS USD]]</f>
        <v>6.9999999999999982</v>
      </c>
      <c r="AF558" s="171">
        <f>Delivery[[#This Row],[BEN premium (total)]]/Delivery[[#This Row],[Quantity delivered]]*60/Delivery[[#This Row],[Exchange rate for premiums VS USD]]</f>
        <v>2.1886854000000002</v>
      </c>
      <c r="AG558" s="171">
        <f>COUNTIF(Delivery[Delivery ID],Delivery[[#This Row],[Delivery ID]])</f>
        <v>1</v>
      </c>
      <c r="AH558" s="171">
        <f>(Delivery[[#This Row],[Nespresso total]]/SUMIF(Allocation!C:C,Delivery[Delivery ID],Allocation!H:H))/Delivery[[#This Row],[Exchange rate VS USD]]</f>
        <v>229.18573996789178</v>
      </c>
      <c r="AI558" s="171">
        <f>(Delivery[[#This Row],[AAA Premium (total)]]/SUMIF(Allocation!C:C,Delivery[Delivery ID],Allocation!H:H))/Delivery[[#This Row],[Exchange rate VS USD]]</f>
        <v>9.8198753462603872</v>
      </c>
      <c r="AJ558" s="171">
        <f>Delivery[[#This Row],[Valor Prêmio Nespresso AAA por Kg (em US$)]]*60</f>
        <v>589.19252077562328</v>
      </c>
      <c r="AK558" s="171">
        <f>Delivery[[#This Row],[Valor Prêmio Nespresso AAA por saca (em US$)]]/1.3228/100</f>
        <v>4.4541315450228556</v>
      </c>
      <c r="AL558" s="171">
        <f>(Delivery[[#This Row],[BEN premium (total)]]/SUMIF(Allocation!C:C,Delivery[Delivery ID],Allocation!H:H))/Delivery[[#This Row],[Exchange rate for premiums VS USD]]</f>
        <v>3.0703739714542939</v>
      </c>
      <c r="AM558" s="171">
        <f>Delivery[[#This Row],[Valor Prêmio Nespresso BEN por Kg (em US$)]]*60</f>
        <v>184.22243828725763</v>
      </c>
      <c r="AN558" s="171">
        <f>Delivery[[#This Row],[Valor Prêmio Nespresso BEN por saca (em US$)]]/1.3228/100</f>
        <v>1.3926703831815666</v>
      </c>
      <c r="AO558" s="171">
        <f>SUMIF(Allocation[Delivery ID],Delivery[[#This Row],[Delivery ID]],Allocation[Quantity allocated])*16*1.3228*Delivery[[#This Row],[Exchange rate VS USD]]/60</f>
        <v>400.78204982400001</v>
      </c>
      <c r="AP558" s="171">
        <f>Delivery[[#This Row],[AAA Premium (total)]]</f>
        <v>11157.099817499999</v>
      </c>
      <c r="AQ558" s="171">
        <f>Delivery[[#This Row],[Valor pago pelo Cluster]]-Delivery[[#This Row],[Valor efetivamente pago pela Nespresso]]</f>
        <v>10756.317767675999</v>
      </c>
    </row>
    <row r="559" spans="1:43" ht="15.75">
      <c r="A559" s="174" t="s">
        <v>69</v>
      </c>
      <c r="B559" s="232" t="s">
        <v>68</v>
      </c>
      <c r="C559" s="157">
        <v>1</v>
      </c>
      <c r="D559" s="157" t="s">
        <v>468</v>
      </c>
      <c r="E559" s="176" t="s">
        <v>468</v>
      </c>
      <c r="F559" s="233" t="s">
        <v>469</v>
      </c>
      <c r="G559" s="234">
        <v>42811</v>
      </c>
      <c r="H559" s="157" t="s">
        <v>709</v>
      </c>
      <c r="I559" s="157" t="s">
        <v>710</v>
      </c>
      <c r="J559" s="237">
        <v>31170</v>
      </c>
      <c r="K559" s="175" t="s">
        <v>61</v>
      </c>
      <c r="L559" s="175" t="s">
        <v>439</v>
      </c>
      <c r="M559" s="175" t="s">
        <v>1343</v>
      </c>
      <c r="N559" s="180"/>
      <c r="O559" s="177"/>
      <c r="P559" s="181">
        <v>0</v>
      </c>
      <c r="Q559" s="177">
        <v>42804</v>
      </c>
      <c r="R559" s="178">
        <v>446.11251000000004</v>
      </c>
      <c r="S559" s="179">
        <v>257191.01230701897</v>
      </c>
      <c r="T559" s="182" t="s">
        <v>45</v>
      </c>
      <c r="U559" s="183">
        <v>3.1494</v>
      </c>
      <c r="V559" s="179">
        <v>22932</v>
      </c>
      <c r="W559" s="179">
        <v>8138.4938464904999</v>
      </c>
      <c r="X559" s="186" t="s">
        <v>45</v>
      </c>
      <c r="Y559" s="183">
        <v>3.1494</v>
      </c>
      <c r="Z559" s="220" t="s">
        <v>473</v>
      </c>
      <c r="AA559" s="172">
        <f>Delivery[[#This Row],[Quantity delivered]]*VLOOKUP(Delivery[[#This Row],[Unit]],References!$U:$X,4,FALSE)*VLOOKUP(CONCATENATE(Delivery[[#This Row],[Coffee specie]],Delivery[[#This Row],[Coffee state]]),References!$U:$X,4,FALSE)</f>
        <v>31170</v>
      </c>
      <c r="AB559" s="169">
        <f>SUMIF(Allocation!C:C,Delivery[[#This Row],[Delivery ID]],Allocation!D:D)/Delivery[[#This Row],[Quantity delivered]]</f>
        <v>3.2242540904716073E-2</v>
      </c>
      <c r="AC559" s="170">
        <f>Delivery[[#This Row],[Quantity delivered]]*Delivery[[#This Row],[Base price (Unidad)]]/60</f>
        <v>231755.44894500001</v>
      </c>
      <c r="AD559" s="171">
        <f>Delivery[[#This Row],[Nespresso total]]-Delivery[[#This Row],[Qt. Delivery * Base Price]]</f>
        <v>25435.563362018962</v>
      </c>
      <c r="AE559" s="171">
        <f>Delivery[[#This Row],[AAA Premium (total)]]/Delivery[[#This Row],[Quantity delivered]]*60/Delivery[[#This Row],[Exchange rate VS USD]]</f>
        <v>14.016144236465777</v>
      </c>
      <c r="AF559" s="171">
        <f>Delivery[[#This Row],[BEN premium (total)]]/Delivery[[#This Row],[Quantity delivered]]*60/Delivery[[#This Row],[Exchange rate for premiums VS USD]]</f>
        <v>4.974285000000001</v>
      </c>
      <c r="AG559" s="171">
        <f>COUNTIF(Delivery[Delivery ID],Delivery[[#This Row],[Delivery ID]])</f>
        <v>1</v>
      </c>
      <c r="AH559" s="171">
        <f>(Delivery[[#This Row],[Nespresso total]]/SUMIF(Allocation!C:C,Delivery[Delivery ID],Allocation!H:H))/Delivery[[#This Row],[Exchange rate VS USD]]</f>
        <v>108.30702303239393</v>
      </c>
      <c r="AI559" s="171">
        <f>(Delivery[[#This Row],[AAA Premium (total)]]/SUMIF(Allocation!C:C,Delivery[Delivery ID],Allocation!H:H))/Delivery[[#This Row],[Exchange rate VS USD]]</f>
        <v>9.6570118446206514</v>
      </c>
      <c r="AJ559" s="171">
        <f>Delivery[[#This Row],[Valor Prêmio Nespresso AAA por Kg (em US$)]]*60</f>
        <v>579.42071067723907</v>
      </c>
      <c r="AK559" s="171">
        <f>Delivery[[#This Row],[Valor Prêmio Nespresso AAA por saca (em US$)]]/1.3228/100</f>
        <v>4.3802593791747739</v>
      </c>
      <c r="AL559" s="171">
        <f>(Delivery[[#This Row],[BEN premium (total)]]/SUMIF(Allocation!C:C,Delivery[Delivery ID],Allocation!H:H))/Delivery[[#This Row],[Exchange rate for premiums VS USD]]</f>
        <v>3.4272427818302384</v>
      </c>
      <c r="AM559" s="171">
        <f>Delivery[[#This Row],[Valor Prêmio Nespresso BEN por Kg (em US$)]]*60</f>
        <v>205.63456690981431</v>
      </c>
      <c r="AN559" s="171">
        <f>Delivery[[#This Row],[Valor Prêmio Nespresso BEN por saca (em US$)]]/1.3228/100</f>
        <v>1.554540118761826</v>
      </c>
      <c r="AO559" s="171">
        <f>SUMIF(Allocation[Delivery ID],Delivery[[#This Row],[Delivery ID]],Allocation[Quantity allocated])*16*1.3228*Delivery[[#This Row],[Exchange rate VS USD]]/60</f>
        <v>837.64902540800006</v>
      </c>
      <c r="AP559" s="171">
        <f>Delivery[[#This Row],[AAA Premium (total)]]</f>
        <v>22932</v>
      </c>
      <c r="AQ559" s="171">
        <f>Delivery[[#This Row],[Valor pago pelo Cluster]]-Delivery[[#This Row],[Valor efetivamente pago pela Nespresso]]</f>
        <v>22094.350974591998</v>
      </c>
    </row>
    <row r="560" spans="1:43" ht="15.75">
      <c r="A560" s="174" t="s">
        <v>69</v>
      </c>
      <c r="B560" s="232" t="s">
        <v>68</v>
      </c>
      <c r="C560" s="157">
        <v>1</v>
      </c>
      <c r="D560" s="157" t="s">
        <v>468</v>
      </c>
      <c r="E560" s="177" t="s">
        <v>468</v>
      </c>
      <c r="F560" s="233" t="s">
        <v>469</v>
      </c>
      <c r="G560" s="234">
        <v>42815</v>
      </c>
      <c r="H560" s="157" t="s">
        <v>711</v>
      </c>
      <c r="I560" s="157" t="s">
        <v>710</v>
      </c>
      <c r="J560" s="237">
        <v>31100</v>
      </c>
      <c r="K560" s="175" t="s">
        <v>61</v>
      </c>
      <c r="L560" s="175" t="s">
        <v>439</v>
      </c>
      <c r="M560" s="175" t="s">
        <v>1343</v>
      </c>
      <c r="N560" s="180"/>
      <c r="O560" s="177"/>
      <c r="P560" s="185">
        <v>0</v>
      </c>
      <c r="Q560" s="177">
        <v>42804</v>
      </c>
      <c r="R560" s="178">
        <v>446.11251000000004</v>
      </c>
      <c r="S560" s="179">
        <v>257227.56633777</v>
      </c>
      <c r="T560" s="182" t="s">
        <v>45</v>
      </c>
      <c r="U560" s="183">
        <v>3.1494</v>
      </c>
      <c r="V560" s="179">
        <v>22932</v>
      </c>
      <c r="W560" s="179">
        <v>8120.2168311149999</v>
      </c>
      <c r="X560" s="186" t="s">
        <v>45</v>
      </c>
      <c r="Y560" s="183">
        <v>3.1494</v>
      </c>
      <c r="Z560" s="220" t="s">
        <v>473</v>
      </c>
      <c r="AA560" s="172">
        <f>Delivery[[#This Row],[Quantity delivered]]*VLOOKUP(Delivery[[#This Row],[Unit]],References!$U:$X,4,FALSE)*VLOOKUP(CONCATENATE(Delivery[[#This Row],[Coffee specie]],Delivery[[#This Row],[Coffee state]]),References!$U:$X,4,FALSE)</f>
        <v>31100</v>
      </c>
      <c r="AB560" s="169">
        <f>SUMIF(Allocation!C:C,Delivery[[#This Row],[Delivery ID]],Allocation!D:D)/Delivery[[#This Row],[Quantity delivered]]</f>
        <v>8.7459807073954985E-3</v>
      </c>
      <c r="AC560" s="170">
        <f>Delivery[[#This Row],[Quantity delivered]]*Delivery[[#This Row],[Base price (Unidad)]]/60</f>
        <v>231234.98435000001</v>
      </c>
      <c r="AD560" s="171">
        <f>Delivery[[#This Row],[Nespresso total]]-Delivery[[#This Row],[Qt. Delivery * Base Price]]</f>
        <v>25992.581987769983</v>
      </c>
      <c r="AE560" s="171">
        <f>Delivery[[#This Row],[AAA Premium (total)]]/Delivery[[#This Row],[Quantity delivered]]*60/Delivery[[#This Row],[Exchange rate VS USD]]</f>
        <v>14.047691827994798</v>
      </c>
      <c r="AF560" s="171">
        <f>Delivery[[#This Row],[BEN premium (total)]]/Delivery[[#This Row],[Quantity delivered]]*60/Delivery[[#This Row],[Exchange rate for premiums VS USD]]</f>
        <v>4.974285000000001</v>
      </c>
      <c r="AG560" s="171">
        <f>COUNTIF(Delivery[Delivery ID],Delivery[[#This Row],[Delivery ID]])</f>
        <v>1</v>
      </c>
      <c r="AH560" s="171">
        <f>(Delivery[[#This Row],[Nespresso total]]/SUMIF(Allocation!C:C,Delivery[Delivery ID],Allocation!H:H))/Delivery[[#This Row],[Exchange rate VS USD]]</f>
        <v>400.36814721286783</v>
      </c>
      <c r="AI560" s="171">
        <f>(Delivery[[#This Row],[AAA Premium (total)]]/SUMIF(Allocation!C:C,Delivery[Delivery ID],Allocation!H:H))/Delivery[[#This Row],[Exchange rate VS USD]]</f>
        <v>35.693073190411617</v>
      </c>
      <c r="AJ560" s="171">
        <f>Delivery[[#This Row],[Valor Prêmio Nespresso AAA por Kg (em US$)]]*60</f>
        <v>2141.5843914246971</v>
      </c>
      <c r="AK560" s="171">
        <f>Delivery[[#This Row],[Valor Prêmio Nespresso AAA por saca (em US$)]]/1.3228/100</f>
        <v>16.18978221518519</v>
      </c>
      <c r="AL560" s="171">
        <f>(Delivery[[#This Row],[BEN premium (total)]]/SUMIF(Allocation!C:C,Delivery[Delivery ID],Allocation!H:H))/Delivery[[#This Row],[Exchange rate for premiums VS USD]]</f>
        <v>12.638910416666667</v>
      </c>
      <c r="AM560" s="171">
        <f>Delivery[[#This Row],[Valor Prêmio Nespresso BEN por Kg (em US$)]]*60</f>
        <v>758.33462499999996</v>
      </c>
      <c r="AN560" s="171">
        <f>Delivery[[#This Row],[Valor Prêmio Nespresso BEN por saca (em US$)]]/1.3228/100</f>
        <v>5.7327987980042341</v>
      </c>
      <c r="AO560" s="171">
        <f>SUMIF(Allocation[Delivery ID],Delivery[[#This Row],[Delivery ID]],Allocation[Quantity allocated])*16*1.3228*Delivery[[#This Row],[Exchange rate VS USD]]/60</f>
        <v>226.63183180799999</v>
      </c>
      <c r="AP560" s="171">
        <f>Delivery[[#This Row],[AAA Premium (total)]]</f>
        <v>22932</v>
      </c>
      <c r="AQ560" s="171">
        <f>Delivery[[#This Row],[Valor pago pelo Cluster]]-Delivery[[#This Row],[Valor efetivamente pago pela Nespresso]]</f>
        <v>22705.368168191999</v>
      </c>
    </row>
    <row r="561" spans="1:43" ht="15.75">
      <c r="A561" s="174" t="s">
        <v>69</v>
      </c>
      <c r="B561" s="232" t="s">
        <v>68</v>
      </c>
      <c r="C561" s="157">
        <v>1</v>
      </c>
      <c r="D561" s="157" t="s">
        <v>468</v>
      </c>
      <c r="E561" s="177" t="s">
        <v>468</v>
      </c>
      <c r="F561" s="233" t="s">
        <v>469</v>
      </c>
      <c r="G561" s="234">
        <v>42809</v>
      </c>
      <c r="H561" s="157" t="s">
        <v>712</v>
      </c>
      <c r="I561" s="157" t="s">
        <v>672</v>
      </c>
      <c r="J561" s="237">
        <v>30329</v>
      </c>
      <c r="K561" s="175" t="s">
        <v>61</v>
      </c>
      <c r="L561" s="175" t="s">
        <v>439</v>
      </c>
      <c r="M561" s="175" t="s">
        <v>1343</v>
      </c>
      <c r="N561" s="180"/>
      <c r="O561" s="177"/>
      <c r="P561" s="185">
        <v>0</v>
      </c>
      <c r="Q561" s="177">
        <v>42802</v>
      </c>
      <c r="R561" s="178">
        <v>444.71349000000004</v>
      </c>
      <c r="S561" s="179">
        <v>260182.75711041168</v>
      </c>
      <c r="T561" s="182" t="s">
        <v>45</v>
      </c>
      <c r="U561" s="183">
        <v>3.1473</v>
      </c>
      <c r="V561" s="179">
        <v>11152.24</v>
      </c>
      <c r="W561" s="179">
        <v>3481.9964447941529</v>
      </c>
      <c r="X561" s="186" t="s">
        <v>45</v>
      </c>
      <c r="Y561" s="183">
        <v>3.1473</v>
      </c>
      <c r="Z561" s="220" t="s">
        <v>473</v>
      </c>
      <c r="AA561" s="172">
        <f>Delivery[[#This Row],[Quantity delivered]]*VLOOKUP(Delivery[[#This Row],[Unit]],References!$U:$X,4,FALSE)*VLOOKUP(CONCATENATE(Delivery[[#This Row],[Coffee specie]],Delivery[[#This Row],[Coffee state]]),References!$U:$X,4,FALSE)</f>
        <v>30329</v>
      </c>
      <c r="AB561" s="169">
        <f>SUMIF(Allocation!C:C,Delivery[[#This Row],[Delivery ID]],Allocation!D:D)/Delivery[[#This Row],[Quantity delivered]]</f>
        <v>1.8101487025619045E-2</v>
      </c>
      <c r="AC561" s="170">
        <f>Delivery[[#This Row],[Quantity delivered]]*Delivery[[#This Row],[Base price (Unidad)]]/60</f>
        <v>224795.25730350002</v>
      </c>
      <c r="AD561" s="171">
        <f>Delivery[[#This Row],[Nespresso total]]-Delivery[[#This Row],[Qt. Delivery * Base Price]]</f>
        <v>35387.499806911655</v>
      </c>
      <c r="AE561" s="171">
        <f>Delivery[[#This Row],[AAA Premium (total)]]/Delivery[[#This Row],[Quantity delivered]]*60/Delivery[[#This Row],[Exchange rate VS USD]]</f>
        <v>7.0099855793330619</v>
      </c>
      <c r="AF561" s="171">
        <f>Delivery[[#This Row],[BEN premium (total)]]/Delivery[[#This Row],[Quantity delivered]]*60/Delivery[[#This Row],[Exchange rate for premiums VS USD]]</f>
        <v>2.1886853999999998</v>
      </c>
      <c r="AG561" s="171">
        <f>COUNTIF(Delivery[Delivery ID],Delivery[[#This Row],[Delivery ID]])</f>
        <v>1</v>
      </c>
      <c r="AH561" s="171">
        <f>(Delivery[[#This Row],[Nespresso total]]/SUMIF(Allocation!C:C,Delivery[Delivery ID],Allocation!H:H))/Delivery[[#This Row],[Exchange rate VS USD]]</f>
        <v>455.90117153919442</v>
      </c>
      <c r="AI561" s="171">
        <f>(Delivery[[#This Row],[AAA Premium (total)]]/SUMIF(Allocation!C:C,Delivery[Delivery ID],Allocation!H:H))/Delivery[[#This Row],[Exchange rate VS USD]]</f>
        <v>19.541338318313976</v>
      </c>
      <c r="AJ561" s="171">
        <f>Delivery[[#This Row],[Valor Prêmio Nespresso AAA por Kg (em US$)]]*60</f>
        <v>1172.4802990988385</v>
      </c>
      <c r="AK561" s="171">
        <f>Delivery[[#This Row],[Valor Prêmio Nespresso AAA por saca (em US$)]]/1.3228/100</f>
        <v>8.8636248797916419</v>
      </c>
      <c r="AL561" s="171">
        <f>(Delivery[[#This Row],[BEN premium (total)]]/SUMIF(Allocation!C:C,Delivery[Delivery ID],Allocation!H:H))/Delivery[[#This Row],[Exchange rate for premiums VS USD]]</f>
        <v>6.1012738742072461</v>
      </c>
      <c r="AM561" s="171">
        <f>Delivery[[#This Row],[Valor Prêmio Nespresso BEN por Kg (em US$)]]*60</f>
        <v>366.07643245243474</v>
      </c>
      <c r="AN561" s="171">
        <f>Delivery[[#This Row],[Valor Prêmio Nespresso BEN por saca (em US$)]]/1.3228/100</f>
        <v>2.7674359876960595</v>
      </c>
      <c r="AO561" s="171">
        <f>SUMIF(Allocation[Delivery ID],Delivery[[#This Row],[Delivery ID]],Allocation[Quantity allocated])*16*1.3228*Delivery[[#This Row],[Exchange rate VS USD]]/60</f>
        <v>201.31249056672002</v>
      </c>
      <c r="AP561" s="171">
        <f>Delivery[[#This Row],[AAA Premium (total)]]</f>
        <v>11152.24</v>
      </c>
      <c r="AQ561" s="171">
        <f>Delivery[[#This Row],[Valor pago pelo Cluster]]-Delivery[[#This Row],[Valor efetivamente pago pela Nespresso]]</f>
        <v>10950.927509433281</v>
      </c>
    </row>
    <row r="562" spans="1:43" ht="15.75">
      <c r="A562" s="174" t="s">
        <v>69</v>
      </c>
      <c r="B562" s="232" t="s">
        <v>68</v>
      </c>
      <c r="C562" s="157">
        <v>1</v>
      </c>
      <c r="D562" s="157" t="s">
        <v>468</v>
      </c>
      <c r="E562" s="176" t="s">
        <v>468</v>
      </c>
      <c r="F562" s="233" t="s">
        <v>469</v>
      </c>
      <c r="G562" s="234">
        <v>42811</v>
      </c>
      <c r="H562" s="157" t="s">
        <v>713</v>
      </c>
      <c r="I562" s="157" t="s">
        <v>706</v>
      </c>
      <c r="J562" s="237">
        <v>30000</v>
      </c>
      <c r="K562" s="175" t="s">
        <v>61</v>
      </c>
      <c r="L562" s="175" t="s">
        <v>439</v>
      </c>
      <c r="M562" s="175" t="s">
        <v>1343</v>
      </c>
      <c r="N562" s="180"/>
      <c r="O562" s="177"/>
      <c r="P562" s="181">
        <v>0</v>
      </c>
      <c r="Q562" s="177">
        <v>42802</v>
      </c>
      <c r="R562" s="178">
        <v>443.81794500000001</v>
      </c>
      <c r="S562" s="179">
        <v>273046.86495074001</v>
      </c>
      <c r="T562" s="182" t="s">
        <v>45</v>
      </c>
      <c r="U562" s="183">
        <v>3.1442999999999999</v>
      </c>
      <c r="V562" s="179">
        <v>11005.05</v>
      </c>
      <c r="W562" s="179">
        <v>4066.5675246300002</v>
      </c>
      <c r="X562" s="186" t="s">
        <v>45</v>
      </c>
      <c r="Y562" s="183">
        <v>3.1442999999999999</v>
      </c>
      <c r="Z562" s="220" t="s">
        <v>473</v>
      </c>
      <c r="AA562" s="172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562" s="169">
        <f>SUMIF(Allocation!C:C,Delivery[[#This Row],[Delivery ID]],Allocation!D:D)/Delivery[[#This Row],[Quantity delivered]]</f>
        <v>4.2299999999999997E-2</v>
      </c>
      <c r="AC562" s="170">
        <f>Delivery[[#This Row],[Quantity delivered]]*Delivery[[#This Row],[Base price (Unidad)]]/60</f>
        <v>221908.9725</v>
      </c>
      <c r="AD562" s="171">
        <f>Delivery[[#This Row],[Nespresso total]]-Delivery[[#This Row],[Qt. Delivery * Base Price]]</f>
        <v>51137.892450740008</v>
      </c>
      <c r="AE562" s="171">
        <f>Delivery[[#This Row],[AAA Premium (total)]]/Delivery[[#This Row],[Quantity delivered]]*60/Delivery[[#This Row],[Exchange rate VS USD]]</f>
        <v>7</v>
      </c>
      <c r="AF562" s="171">
        <f>Delivery[[#This Row],[BEN premium (total)]]/Delivery[[#This Row],[Quantity delivered]]*60/Delivery[[#This Row],[Exchange rate for premiums VS USD]]</f>
        <v>2.5866282000000003</v>
      </c>
      <c r="AG562" s="171">
        <f>COUNTIF(Delivery[Delivery ID],Delivery[[#This Row],[Delivery ID]])</f>
        <v>1</v>
      </c>
      <c r="AH562" s="171">
        <f>(Delivery[[#This Row],[Nespresso total]]/SUMIF(Allocation!C:C,Delivery[Delivery ID],Allocation!H:H))/Delivery[[#This Row],[Exchange rate VS USD]]</f>
        <v>175.43167896934554</v>
      </c>
      <c r="AI562" s="171">
        <f>(Delivery[[#This Row],[AAA Premium (total)]]/SUMIF(Allocation!C:C,Delivery[Delivery ID],Allocation!H:H))/Delivery[[#This Row],[Exchange rate VS USD]]</f>
        <v>7.0707070707070701</v>
      </c>
      <c r="AJ562" s="171">
        <f>Delivery[[#This Row],[Valor Prêmio Nespresso AAA por Kg (em US$)]]*60</f>
        <v>424.24242424242419</v>
      </c>
      <c r="AK562" s="171">
        <f>Delivery[[#This Row],[Valor Prêmio Nespresso AAA por saca (em US$)]]/1.3228/100</f>
        <v>3.2071547039796204</v>
      </c>
      <c r="AL562" s="171">
        <f>(Delivery[[#This Row],[BEN premium (total)]]/SUMIF(Allocation!C:C,Delivery[Delivery ID],Allocation!H:H))/Delivery[[#This Row],[Exchange rate for premiums VS USD]]</f>
        <v>2.6127557575757581</v>
      </c>
      <c r="AM562" s="171">
        <f>Delivery[[#This Row],[Valor Prêmio Nespresso BEN por Kg (em US$)]]*60</f>
        <v>156.7653454545455</v>
      </c>
      <c r="AN562" s="171">
        <f>Delivery[[#This Row],[Valor Prêmio Nespresso BEN por saca (em US$)]]/1.3228/100</f>
        <v>1.1851023998680488</v>
      </c>
      <c r="AO562" s="171">
        <f>SUMIF(Allocation[Delivery ID],Delivery[[#This Row],[Delivery ID]],Allocation[Quantity allocated])*16*1.3228*Delivery[[#This Row],[Exchange rate VS USD]]/60</f>
        <v>549.02496527999995</v>
      </c>
      <c r="AP562" s="171">
        <f>Delivery[[#This Row],[AAA Premium (total)]]</f>
        <v>11005.05</v>
      </c>
      <c r="AQ562" s="171">
        <f>Delivery[[#This Row],[Valor pago pelo Cluster]]-Delivery[[#This Row],[Valor efetivamente pago pela Nespresso]]</f>
        <v>10456.02503472</v>
      </c>
    </row>
    <row r="563" spans="1:43" ht="15.75">
      <c r="A563" s="174" t="s">
        <v>69</v>
      </c>
      <c r="B563" s="232" t="s">
        <v>68</v>
      </c>
      <c r="C563" s="157">
        <v>1</v>
      </c>
      <c r="D563" s="157" t="s">
        <v>468</v>
      </c>
      <c r="E563" s="177" t="s">
        <v>468</v>
      </c>
      <c r="F563" s="233" t="s">
        <v>469</v>
      </c>
      <c r="G563" s="234">
        <v>42812</v>
      </c>
      <c r="H563" s="157" t="s">
        <v>714</v>
      </c>
      <c r="I563" s="157" t="s">
        <v>710</v>
      </c>
      <c r="J563" s="237">
        <v>38368</v>
      </c>
      <c r="K563" s="175" t="s">
        <v>61</v>
      </c>
      <c r="L563" s="175" t="s">
        <v>439</v>
      </c>
      <c r="M563" s="175" t="s">
        <v>1343</v>
      </c>
      <c r="N563" s="180"/>
      <c r="O563" s="177"/>
      <c r="P563" s="185">
        <v>0</v>
      </c>
      <c r="Q563" s="177">
        <v>42804</v>
      </c>
      <c r="R563" s="178">
        <v>446.11251000000004</v>
      </c>
      <c r="S563" s="179">
        <v>316540.21354493755</v>
      </c>
      <c r="T563" s="182" t="s">
        <v>45</v>
      </c>
      <c r="U563" s="183">
        <v>3.1494</v>
      </c>
      <c r="V563" s="179">
        <v>28244</v>
      </c>
      <c r="W563" s="179">
        <v>10017.8932275312</v>
      </c>
      <c r="X563" s="186" t="s">
        <v>45</v>
      </c>
      <c r="Y563" s="183">
        <v>3.1494</v>
      </c>
      <c r="Z563" s="220" t="s">
        <v>473</v>
      </c>
      <c r="AA563" s="172">
        <f>Delivery[[#This Row],[Quantity delivered]]*VLOOKUP(Delivery[[#This Row],[Unit]],References!$U:$X,4,FALSE)*VLOOKUP(CONCATENATE(Delivery[[#This Row],[Coffee specie]],Delivery[[#This Row],[Coffee state]]),References!$U:$X,4,FALSE)</f>
        <v>38368</v>
      </c>
      <c r="AB563" s="169">
        <f>SUMIF(Allocation!C:C,Delivery[[#This Row],[Delivery ID]],Allocation!D:D)/Delivery[[#This Row],[Quantity delivered]]</f>
        <v>3.224040867389491E-2</v>
      </c>
      <c r="AC563" s="170">
        <f>Delivery[[#This Row],[Quantity delivered]]*Delivery[[#This Row],[Base price (Unidad)]]/60</f>
        <v>285274.07972800004</v>
      </c>
      <c r="AD563" s="171">
        <f>Delivery[[#This Row],[Nespresso total]]-Delivery[[#This Row],[Qt. Delivery * Base Price]]</f>
        <v>31266.133816937509</v>
      </c>
      <c r="AE563" s="171">
        <f>Delivery[[#This Row],[AAA Premium (total)]]/Delivery[[#This Row],[Quantity delivered]]*60/Delivery[[#This Row],[Exchange rate VS USD]]</f>
        <v>14.024276596789317</v>
      </c>
      <c r="AF563" s="171">
        <f>Delivery[[#This Row],[BEN premium (total)]]/Delivery[[#This Row],[Quantity delivered]]*60/Delivery[[#This Row],[Exchange rate for premiums VS USD]]</f>
        <v>4.974285000000001</v>
      </c>
      <c r="AG563" s="171">
        <f>COUNTIF(Delivery[Delivery ID],Delivery[[#This Row],[Delivery ID]])</f>
        <v>1</v>
      </c>
      <c r="AH563" s="171">
        <f>(Delivery[[#This Row],[Nespresso total]]/SUMIF(Allocation!C:C,Delivery[Delivery ID],Allocation!H:H))/Delivery[[#This Row],[Exchange rate VS USD]]</f>
        <v>108.30614340639924</v>
      </c>
      <c r="AI563" s="171">
        <f>(Delivery[[#This Row],[AAA Premium (total)]]/SUMIF(Allocation!C:C,Delivery[Delivery ID],Allocation!H:H))/Delivery[[#This Row],[Exchange rate VS USD]]</f>
        <v>9.6638549652588459</v>
      </c>
      <c r="AJ563" s="171">
        <f>Delivery[[#This Row],[Valor Prêmio Nespresso AAA por Kg (em US$)]]*60</f>
        <v>579.83129791553074</v>
      </c>
      <c r="AK563" s="171">
        <f>Delivery[[#This Row],[Valor Prêmio Nespresso AAA por saca (em US$)]]/1.3228/100</f>
        <v>4.3833633044718079</v>
      </c>
      <c r="AL563" s="171">
        <f>(Delivery[[#This Row],[BEN premium (total)]]/SUMIF(Allocation!C:C,Delivery[Delivery ID],Allocation!H:H))/Delivery[[#This Row],[Exchange rate for premiums VS USD]]</f>
        <v>3.4276825948275857</v>
      </c>
      <c r="AM563" s="171">
        <f>Delivery[[#This Row],[Valor Prêmio Nespresso BEN por Kg (em US$)]]*60</f>
        <v>205.66095568965514</v>
      </c>
      <c r="AN563" s="171">
        <f>Delivery[[#This Row],[Valor Prêmio Nespresso BEN por saca (em US$)]]/1.3228/100</f>
        <v>1.5547396105961229</v>
      </c>
      <c r="AO563" s="171">
        <f>SUMIF(Allocation[Delivery ID],Delivery[[#This Row],[Delivery ID]],Allocation[Quantity allocated])*16*1.3228*Delivery[[#This Row],[Exchange rate VS USD]]/60</f>
        <v>1030.9526466559998</v>
      </c>
      <c r="AP563" s="171">
        <f>Delivery[[#This Row],[AAA Premium (total)]]</f>
        <v>28244</v>
      </c>
      <c r="AQ563" s="171">
        <f>Delivery[[#This Row],[Valor pago pelo Cluster]]-Delivery[[#This Row],[Valor efetivamente pago pela Nespresso]]</f>
        <v>27213.047353344002</v>
      </c>
    </row>
    <row r="564" spans="1:43" ht="15.75">
      <c r="A564" s="174" t="s">
        <v>69</v>
      </c>
      <c r="B564" s="232" t="s">
        <v>68</v>
      </c>
      <c r="C564" s="157">
        <v>1</v>
      </c>
      <c r="D564" s="157" t="s">
        <v>468</v>
      </c>
      <c r="E564" s="176" t="s">
        <v>468</v>
      </c>
      <c r="F564" s="233" t="s">
        <v>469</v>
      </c>
      <c r="G564" s="234">
        <v>42807</v>
      </c>
      <c r="H564" s="157" t="s">
        <v>715</v>
      </c>
      <c r="I564" s="157" t="s">
        <v>672</v>
      </c>
      <c r="J564" s="237">
        <v>29890</v>
      </c>
      <c r="K564" s="175" t="s">
        <v>61</v>
      </c>
      <c r="L564" s="175" t="s">
        <v>439</v>
      </c>
      <c r="M564" s="175" t="s">
        <v>1343</v>
      </c>
      <c r="N564" s="180"/>
      <c r="O564" s="177"/>
      <c r="P564" s="181">
        <v>0</v>
      </c>
      <c r="Q564" s="177">
        <v>42802</v>
      </c>
      <c r="R564" s="178">
        <v>444.71349000000004</v>
      </c>
      <c r="S564" s="179">
        <v>256148.88142229785</v>
      </c>
      <c r="T564" s="182" t="s">
        <v>45</v>
      </c>
      <c r="U564" s="183">
        <v>3.1473</v>
      </c>
      <c r="V564" s="179">
        <v>10975.15965</v>
      </c>
      <c r="W564" s="179">
        <v>3431.5959555177305</v>
      </c>
      <c r="X564" s="186" t="s">
        <v>45</v>
      </c>
      <c r="Y564" s="183">
        <v>3.1473</v>
      </c>
      <c r="Z564" s="220" t="s">
        <v>473</v>
      </c>
      <c r="AA564" s="172">
        <f>Delivery[[#This Row],[Quantity delivered]]*VLOOKUP(Delivery[[#This Row],[Unit]],References!$U:$X,4,FALSE)*VLOOKUP(CONCATENATE(Delivery[[#This Row],[Coffee specie]],Delivery[[#This Row],[Coffee state]]),References!$U:$X,4,FALSE)</f>
        <v>29890</v>
      </c>
      <c r="AB564" s="169">
        <f>SUMIF(Allocation!C:C,Delivery[[#This Row],[Delivery ID]],Allocation!D:D)/Delivery[[#This Row],[Quantity delivered]]</f>
        <v>1.8066242890598862E-2</v>
      </c>
      <c r="AC564" s="170">
        <f>Delivery[[#This Row],[Quantity delivered]]*Delivery[[#This Row],[Base price (Unidad)]]/60</f>
        <v>221541.43693500003</v>
      </c>
      <c r="AD564" s="171">
        <f>Delivery[[#This Row],[Nespresso total]]-Delivery[[#This Row],[Qt. Delivery * Base Price]]</f>
        <v>34607.44448729782</v>
      </c>
      <c r="AE564" s="171">
        <f>Delivery[[#This Row],[AAA Premium (total)]]/Delivery[[#This Row],[Quantity delivered]]*60/Delivery[[#This Row],[Exchange rate VS USD]]</f>
        <v>7</v>
      </c>
      <c r="AF564" s="171">
        <f>Delivery[[#This Row],[BEN premium (total)]]/Delivery[[#This Row],[Quantity delivered]]*60/Delivery[[#This Row],[Exchange rate for premiums VS USD]]</f>
        <v>2.1886854000000007</v>
      </c>
      <c r="AG564" s="171">
        <f>COUNTIF(Delivery[Delivery ID],Delivery[[#This Row],[Delivery ID]])</f>
        <v>1</v>
      </c>
      <c r="AH564" s="171">
        <f>(Delivery[[#This Row],[Nespresso total]]/SUMIF(Allocation!C:C,Delivery[Delivery ID],Allocation!H:H))/Delivery[[#This Row],[Exchange rate VS USD]]</f>
        <v>456.38347660941412</v>
      </c>
      <c r="AI564" s="171">
        <f>(Delivery[[#This Row],[AAA Premium (total)]]/SUMIF(Allocation!C:C,Delivery[Delivery ID],Allocation!H:H))/Delivery[[#This Row],[Exchange rate VS USD]]</f>
        <v>19.554571113478755</v>
      </c>
      <c r="AJ564" s="171">
        <f>Delivery[[#This Row],[Valor Prêmio Nespresso AAA por Kg (em US$)]]*60</f>
        <v>1173.2742668087253</v>
      </c>
      <c r="AK564" s="171">
        <f>Delivery[[#This Row],[Valor Prêmio Nespresso AAA por saca (em US$)]]/1.3228/100</f>
        <v>8.8696270547983467</v>
      </c>
      <c r="AL564" s="171">
        <f>(Delivery[[#This Row],[BEN premium (total)]]/SUMIF(Allocation!C:C,Delivery[Delivery ID],Allocation!H:H))/Delivery[[#This Row],[Exchange rate for premiums VS USD]]</f>
        <v>6.1141148999046715</v>
      </c>
      <c r="AM564" s="171">
        <f>Delivery[[#This Row],[Valor Prêmio Nespresso BEN por Kg (em US$)]]*60</f>
        <v>366.84689399428026</v>
      </c>
      <c r="AN564" s="171">
        <f>Delivery[[#This Row],[Valor Prêmio Nespresso BEN por saca (em US$)]]/1.3228/100</f>
        <v>2.7732604626117348</v>
      </c>
      <c r="AO564" s="171">
        <f>SUMIF(Allocation[Delivery ID],Delivery[[#This Row],[Delivery ID]],Allocation[Quantity allocated])*16*1.3228*Delivery[[#This Row],[Exchange rate VS USD]]/60</f>
        <v>197.98189181472</v>
      </c>
      <c r="AP564" s="171">
        <f>Delivery[[#This Row],[AAA Premium (total)]]</f>
        <v>10975.15965</v>
      </c>
      <c r="AQ564" s="171">
        <f>Delivery[[#This Row],[Valor pago pelo Cluster]]-Delivery[[#This Row],[Valor efetivamente pago pela Nespresso]]</f>
        <v>10777.17775818528</v>
      </c>
    </row>
    <row r="565" spans="1:43" ht="15.75">
      <c r="A565" s="174" t="s">
        <v>69</v>
      </c>
      <c r="B565" s="232" t="s">
        <v>68</v>
      </c>
      <c r="C565" s="157">
        <v>1</v>
      </c>
      <c r="D565" s="157" t="s">
        <v>468</v>
      </c>
      <c r="E565" s="177" t="s">
        <v>468</v>
      </c>
      <c r="F565" s="233" t="s">
        <v>469</v>
      </c>
      <c r="G565" s="234">
        <v>42809</v>
      </c>
      <c r="H565" s="157" t="s">
        <v>716</v>
      </c>
      <c r="I565" s="157" t="s">
        <v>672</v>
      </c>
      <c r="J565" s="237">
        <v>30170</v>
      </c>
      <c r="K565" s="175" t="s">
        <v>61</v>
      </c>
      <c r="L565" s="175" t="s">
        <v>439</v>
      </c>
      <c r="M565" s="175" t="s">
        <v>1343</v>
      </c>
      <c r="N565" s="180"/>
      <c r="O565" s="177"/>
      <c r="P565" s="185">
        <v>0</v>
      </c>
      <c r="Q565" s="177">
        <v>42802</v>
      </c>
      <c r="R565" s="178">
        <v>444.71349000000004</v>
      </c>
      <c r="S565" s="179">
        <v>258548.40255974326</v>
      </c>
      <c r="T565" s="182" t="s">
        <v>45</v>
      </c>
      <c r="U565" s="183">
        <v>3.1473</v>
      </c>
      <c r="V565" s="179">
        <v>11077.971449999999</v>
      </c>
      <c r="W565" s="179">
        <v>3463.7420534616904</v>
      </c>
      <c r="X565" s="186" t="s">
        <v>45</v>
      </c>
      <c r="Y565" s="183">
        <v>3.1473</v>
      </c>
      <c r="Z565" s="220" t="s">
        <v>473</v>
      </c>
      <c r="AA565" s="172">
        <f>Delivery[[#This Row],[Quantity delivered]]*VLOOKUP(Delivery[[#This Row],[Unit]],References!$U:$X,4,FALSE)*VLOOKUP(CONCATENATE(Delivery[[#This Row],[Coffee specie]],Delivery[[#This Row],[Coffee state]]),References!$U:$X,4,FALSE)</f>
        <v>30170</v>
      </c>
      <c r="AB565" s="169">
        <f>SUMIF(Allocation!C:C,Delivery[[#This Row],[Delivery ID]],Allocation!D:D)/Delivery[[#This Row],[Quantity delivered]]</f>
        <v>1.7964865760689428E-2</v>
      </c>
      <c r="AC565" s="170">
        <f>Delivery[[#This Row],[Quantity delivered]]*Delivery[[#This Row],[Base price (Unidad)]]/60</f>
        <v>223616.76655500001</v>
      </c>
      <c r="AD565" s="171">
        <f>Delivery[[#This Row],[Nespresso total]]-Delivery[[#This Row],[Qt. Delivery * Base Price]]</f>
        <v>34931.636004743254</v>
      </c>
      <c r="AE565" s="171">
        <f>Delivery[[#This Row],[AAA Premium (total)]]/Delivery[[#This Row],[Quantity delivered]]*60/Delivery[[#This Row],[Exchange rate VS USD]]</f>
        <v>7</v>
      </c>
      <c r="AF565" s="171">
        <f>Delivery[[#This Row],[BEN premium (total)]]/Delivery[[#This Row],[Quantity delivered]]*60/Delivery[[#This Row],[Exchange rate for premiums VS USD]]</f>
        <v>2.1886854000000002</v>
      </c>
      <c r="AG565" s="171">
        <f>COUNTIF(Delivery[Delivery ID],Delivery[[#This Row],[Delivery ID]])</f>
        <v>1</v>
      </c>
      <c r="AH565" s="171">
        <f>(Delivery[[#This Row],[Nespresso total]]/SUMIF(Allocation!C:C,Delivery[Delivery ID],Allocation!H:H))/Delivery[[#This Row],[Exchange rate VS USD]]</f>
        <v>458.93447830648006</v>
      </c>
      <c r="AI565" s="171">
        <f>(Delivery[[#This Row],[AAA Premium (total)]]/SUMIF(Allocation!C:C,Delivery[Delivery ID],Allocation!H:H))/Delivery[[#This Row],[Exchange rate VS USD]]</f>
        <v>19.663873370577278</v>
      </c>
      <c r="AJ565" s="171">
        <f>Delivery[[#This Row],[Valor Prêmio Nespresso AAA por Kg (em US$)]]*60</f>
        <v>1179.8324022346367</v>
      </c>
      <c r="AK565" s="171">
        <f>Delivery[[#This Row],[Valor Prêmio Nespresso AAA por saca (em US$)]]/1.3228/100</f>
        <v>8.9192047341596368</v>
      </c>
      <c r="AL565" s="171">
        <f>(Delivery[[#This Row],[BEN premium (total)]]/SUMIF(Allocation!C:C,Delivery[Delivery ID],Allocation!H:H))/Delivery[[#This Row],[Exchange rate for premiums VS USD]]</f>
        <v>6.1482903648044704</v>
      </c>
      <c r="AM565" s="171">
        <f>Delivery[[#This Row],[Valor Prêmio Nespresso BEN por Kg (em US$)]]*60</f>
        <v>368.89742188826824</v>
      </c>
      <c r="AN565" s="171">
        <f>Delivery[[#This Row],[Valor Prêmio Nespresso BEN por saca (em US$)]]/1.3228/100</f>
        <v>2.7887618830380121</v>
      </c>
      <c r="AO565" s="171">
        <f>SUMIF(Allocation[Delivery ID],Delivery[[#This Row],[Delivery ID]],Allocation[Quantity allocated])*16*1.3228*Delivery[[#This Row],[Exchange rate VS USD]]/60</f>
        <v>198.725725536</v>
      </c>
      <c r="AP565" s="171">
        <f>Delivery[[#This Row],[AAA Premium (total)]]</f>
        <v>11077.971449999999</v>
      </c>
      <c r="AQ565" s="171">
        <f>Delivery[[#This Row],[Valor pago pelo Cluster]]-Delivery[[#This Row],[Valor efetivamente pago pela Nespresso]]</f>
        <v>10879.245724463999</v>
      </c>
    </row>
    <row r="566" spans="1:43" ht="15.75">
      <c r="A566" s="174" t="s">
        <v>69</v>
      </c>
      <c r="B566" s="232" t="s">
        <v>68</v>
      </c>
      <c r="C566" s="157">
        <v>1</v>
      </c>
      <c r="D566" s="157" t="s">
        <v>468</v>
      </c>
      <c r="E566" s="177" t="s">
        <v>468</v>
      </c>
      <c r="F566" s="233" t="s">
        <v>469</v>
      </c>
      <c r="G566" s="234">
        <v>42809</v>
      </c>
      <c r="H566" s="157" t="s">
        <v>717</v>
      </c>
      <c r="I566" s="157" t="s">
        <v>672</v>
      </c>
      <c r="J566" s="237">
        <v>28108</v>
      </c>
      <c r="K566" s="175" t="s">
        <v>61</v>
      </c>
      <c r="L566" s="175" t="s">
        <v>439</v>
      </c>
      <c r="M566" s="175" t="s">
        <v>1343</v>
      </c>
      <c r="N566" s="180"/>
      <c r="O566" s="177"/>
      <c r="P566" s="185">
        <v>0</v>
      </c>
      <c r="Q566" s="177">
        <v>42802</v>
      </c>
      <c r="R566" s="178">
        <v>444.71349000000004</v>
      </c>
      <c r="S566" s="179">
        <v>240877.64332612741</v>
      </c>
      <c r="T566" s="182" t="s">
        <v>45</v>
      </c>
      <c r="U566" s="183">
        <v>3.1473</v>
      </c>
      <c r="V566" s="179">
        <v>10320.83598</v>
      </c>
      <c r="W566" s="179">
        <v>3227.0090036029565</v>
      </c>
      <c r="X566" s="186" t="s">
        <v>45</v>
      </c>
      <c r="Y566" s="183">
        <v>3.1473</v>
      </c>
      <c r="Z566" s="220" t="s">
        <v>473</v>
      </c>
      <c r="AA566" s="172">
        <f>Delivery[[#This Row],[Quantity delivered]]*VLOOKUP(Delivery[[#This Row],[Unit]],References!$U:$X,4,FALSE)*VLOOKUP(CONCATENATE(Delivery[[#This Row],[Coffee specie]],Delivery[[#This Row],[Coffee state]]),References!$U:$X,4,FALSE)</f>
        <v>28108</v>
      </c>
      <c r="AB566" s="169">
        <f>SUMIF(Allocation!C:C,Delivery[[#This Row],[Delivery ID]],Allocation!D:D)/Delivery[[#This Row],[Quantity delivered]]</f>
        <v>1.8037569375266828E-2</v>
      </c>
      <c r="AC566" s="170">
        <f>Delivery[[#This Row],[Quantity delivered]]*Delivery[[#This Row],[Base price (Unidad)]]/60</f>
        <v>208333.44628199999</v>
      </c>
      <c r="AD566" s="171">
        <f>Delivery[[#This Row],[Nespresso total]]-Delivery[[#This Row],[Qt. Delivery * Base Price]]</f>
        <v>32544.197044127417</v>
      </c>
      <c r="AE566" s="171">
        <f>Delivery[[#This Row],[AAA Premium (total)]]/Delivery[[#This Row],[Quantity delivered]]*60/Delivery[[#This Row],[Exchange rate VS USD]]</f>
        <v>7</v>
      </c>
      <c r="AF566" s="171">
        <f>Delivery[[#This Row],[BEN premium (total)]]/Delivery[[#This Row],[Quantity delivered]]*60/Delivery[[#This Row],[Exchange rate for premiums VS USD]]</f>
        <v>2.1886854000000007</v>
      </c>
      <c r="AG566" s="171">
        <f>COUNTIF(Delivery[Delivery ID],Delivery[[#This Row],[Delivery ID]])</f>
        <v>1</v>
      </c>
      <c r="AH566" s="171">
        <f>(Delivery[[#This Row],[Nespresso total]]/SUMIF(Allocation!C:C,Delivery[Delivery ID],Allocation!H:H))/Delivery[[#This Row],[Exchange rate VS USD]]</f>
        <v>457.38776242118166</v>
      </c>
      <c r="AI566" s="171">
        <f>(Delivery[[#This Row],[AAA Premium (total)]]/SUMIF(Allocation!C:C,Delivery[Delivery ID],Allocation!H:H))/Delivery[[#This Row],[Exchange rate VS USD]]</f>
        <v>19.597601545847525</v>
      </c>
      <c r="AJ566" s="171">
        <f>Delivery[[#This Row],[Valor Prêmio Nespresso AAA por Kg (em US$)]]*60</f>
        <v>1175.8560927508515</v>
      </c>
      <c r="AK566" s="171">
        <f>Delivery[[#This Row],[Valor Prêmio Nespresso AAA por saca (em US$)]]/1.3228/100</f>
        <v>8.8891449406626215</v>
      </c>
      <c r="AL566" s="171">
        <f>(Delivery[[#This Row],[BEN premium (total)]]/SUMIF(Allocation!C:C,Delivery[Delivery ID],Allocation!H:H))/Delivery[[#This Row],[Exchange rate for premiums VS USD]]</f>
        <v>6.1275691969162729</v>
      </c>
      <c r="AM566" s="171">
        <f>Delivery[[#This Row],[Valor Prêmio Nespresso BEN por Kg (em US$)]]*60</f>
        <v>367.65415181497639</v>
      </c>
      <c r="AN566" s="171">
        <f>Delivery[[#This Row],[Valor Prêmio Nespresso BEN por saca (em US$)]]/1.3228/100</f>
        <v>2.7793631071588782</v>
      </c>
      <c r="AO566" s="171">
        <f>SUMIF(Allocation[Delivery ID],Delivery[[#This Row],[Delivery ID]],Allocation[Quantity allocated])*16*1.3228*Delivery[[#This Row],[Exchange rate VS USD]]/60</f>
        <v>185.76969639072001</v>
      </c>
      <c r="AP566" s="171">
        <f>Delivery[[#This Row],[AAA Premium (total)]]</f>
        <v>10320.83598</v>
      </c>
      <c r="AQ566" s="171">
        <f>Delivery[[#This Row],[Valor pago pelo Cluster]]-Delivery[[#This Row],[Valor efetivamente pago pela Nespresso]]</f>
        <v>10135.06628360928</v>
      </c>
    </row>
    <row r="567" spans="1:43" ht="15.75">
      <c r="A567" s="174" t="s">
        <v>69</v>
      </c>
      <c r="B567" s="232" t="s">
        <v>68</v>
      </c>
      <c r="C567" s="157">
        <v>1</v>
      </c>
      <c r="D567" s="157" t="s">
        <v>468</v>
      </c>
      <c r="E567" s="177" t="s">
        <v>468</v>
      </c>
      <c r="F567" s="233" t="s">
        <v>469</v>
      </c>
      <c r="G567" s="234">
        <v>42814</v>
      </c>
      <c r="H567" s="157" t="s">
        <v>718</v>
      </c>
      <c r="I567" s="157" t="s">
        <v>706</v>
      </c>
      <c r="J567" s="237">
        <v>30076</v>
      </c>
      <c r="K567" s="175" t="s">
        <v>61</v>
      </c>
      <c r="L567" s="175" t="s">
        <v>439</v>
      </c>
      <c r="M567" s="175" t="s">
        <v>1343</v>
      </c>
      <c r="N567" s="180"/>
      <c r="O567" s="195"/>
      <c r="P567" s="185">
        <v>0</v>
      </c>
      <c r="Q567" s="177">
        <v>42802</v>
      </c>
      <c r="R567" s="178">
        <v>443.81794500000001</v>
      </c>
      <c r="S567" s="179">
        <v>273027.26100861526</v>
      </c>
      <c r="T567" s="182" t="s">
        <v>45</v>
      </c>
      <c r="U567" s="183">
        <v>3.1442999999999999</v>
      </c>
      <c r="V567" s="179">
        <v>11032.929459999999</v>
      </c>
      <c r="W567" s="179">
        <v>4076.869495692396</v>
      </c>
      <c r="X567" s="186" t="s">
        <v>45</v>
      </c>
      <c r="Y567" s="183">
        <v>3.1442999999999999</v>
      </c>
      <c r="Z567" s="220" t="s">
        <v>473</v>
      </c>
      <c r="AA567" s="172">
        <f>Delivery[[#This Row],[Quantity delivered]]*VLOOKUP(Delivery[[#This Row],[Unit]],References!$U:$X,4,FALSE)*VLOOKUP(CONCATENATE(Delivery[[#This Row],[Coffee specie]],Delivery[[#This Row],[Coffee state]]),References!$U:$X,4,FALSE)</f>
        <v>30076</v>
      </c>
      <c r="AB567" s="169">
        <f>SUMIF(Allocation!C:C,Delivery[[#This Row],[Delivery ID]],Allocation!D:D)/Delivery[[#This Row],[Quantity delivered]]</f>
        <v>4.2193110786008778E-2</v>
      </c>
      <c r="AC567" s="170">
        <f>Delivery[[#This Row],[Quantity delivered]]*Delivery[[#This Row],[Base price (Unidad)]]/60</f>
        <v>222471.14189699999</v>
      </c>
      <c r="AD567" s="171">
        <f>Delivery[[#This Row],[Nespresso total]]-Delivery[[#This Row],[Qt. Delivery * Base Price]]</f>
        <v>50556.119111615262</v>
      </c>
      <c r="AE567" s="171">
        <f>Delivery[[#This Row],[AAA Premium (total)]]/Delivery[[#This Row],[Quantity delivered]]*60/Delivery[[#This Row],[Exchange rate VS USD]]</f>
        <v>7</v>
      </c>
      <c r="AF567" s="171">
        <f>Delivery[[#This Row],[BEN premium (total)]]/Delivery[[#This Row],[Quantity delivered]]*60/Delivery[[#This Row],[Exchange rate for premiums VS USD]]</f>
        <v>2.5866282000000003</v>
      </c>
      <c r="AG567" s="171">
        <f>COUNTIF(Delivery[Delivery ID],Delivery[[#This Row],[Delivery ID]])</f>
        <v>1</v>
      </c>
      <c r="AH567" s="171">
        <f>(Delivery[[#This Row],[Nespresso total]]/SUMIF(Allocation!C:C,Delivery[Delivery ID],Allocation!H:H))/Delivery[[#This Row],[Exchange rate VS USD]]</f>
        <v>175.41908350342806</v>
      </c>
      <c r="AI567" s="171">
        <f>(Delivery[[#This Row],[AAA Premium (total)]]/SUMIF(Allocation!C:C,Delivery[Delivery ID],Allocation!H:H))/Delivery[[#This Row],[Exchange rate VS USD]]</f>
        <v>7.088619528619529</v>
      </c>
      <c r="AJ567" s="171">
        <f>Delivery[[#This Row],[Valor Prêmio Nespresso AAA por Kg (em US$)]]*60</f>
        <v>425.31717171717173</v>
      </c>
      <c r="AK567" s="171">
        <f>Delivery[[#This Row],[Valor Prêmio Nespresso AAA por saca (em US$)]]/1.3228/100</f>
        <v>3.2152794958963695</v>
      </c>
      <c r="AL567" s="171">
        <f>(Delivery[[#This Row],[BEN premium (total)]]/SUMIF(Allocation!C:C,Delivery[Delivery ID],Allocation!H:H))/Delivery[[#This Row],[Exchange rate for premiums VS USD]]</f>
        <v>2.6193747388282831</v>
      </c>
      <c r="AM567" s="171">
        <f>Delivery[[#This Row],[Valor Prêmio Nespresso BEN por Kg (em US$)]]*60</f>
        <v>157.16248432969698</v>
      </c>
      <c r="AN567" s="171">
        <f>Delivery[[#This Row],[Valor Prêmio Nespresso BEN por saca (em US$)]]/1.3228/100</f>
        <v>1.1881046592810476</v>
      </c>
      <c r="AO567" s="171">
        <f>SUMIF(Allocation[Delivery ID],Delivery[[#This Row],[Delivery ID]],Allocation[Quantity allocated])*16*1.3228*Delivery[[#This Row],[Exchange rate VS USD]]/60</f>
        <v>549.02496527999995</v>
      </c>
      <c r="AP567" s="171">
        <f>Delivery[[#This Row],[AAA Premium (total)]]</f>
        <v>11032.929459999999</v>
      </c>
      <c r="AQ567" s="171">
        <f>Delivery[[#This Row],[Valor pago pelo Cluster]]-Delivery[[#This Row],[Valor efetivamente pago pela Nespresso]]</f>
        <v>10483.90449472</v>
      </c>
    </row>
    <row r="568" spans="1:43" ht="15.75">
      <c r="A568" s="174" t="s">
        <v>69</v>
      </c>
      <c r="B568" s="232" t="s">
        <v>68</v>
      </c>
      <c r="C568" s="157">
        <v>1</v>
      </c>
      <c r="D568" s="157" t="s">
        <v>468</v>
      </c>
      <c r="E568" s="177" t="s">
        <v>468</v>
      </c>
      <c r="F568" s="233" t="s">
        <v>469</v>
      </c>
      <c r="G568" s="234">
        <v>42814</v>
      </c>
      <c r="H568" s="157" t="s">
        <v>719</v>
      </c>
      <c r="I568" s="157" t="s">
        <v>706</v>
      </c>
      <c r="J568" s="237">
        <v>30010</v>
      </c>
      <c r="K568" s="175" t="s">
        <v>61</v>
      </c>
      <c r="L568" s="175" t="s">
        <v>439</v>
      </c>
      <c r="M568" s="175" t="s">
        <v>1343</v>
      </c>
      <c r="N568" s="180"/>
      <c r="O568" s="195"/>
      <c r="P568" s="185">
        <v>0</v>
      </c>
      <c r="Q568" s="177">
        <v>42802</v>
      </c>
      <c r="R568" s="178">
        <v>443.81794500000001</v>
      </c>
      <c r="S568" s="179">
        <v>273045.15390572359</v>
      </c>
      <c r="T568" s="182" t="s">
        <v>45</v>
      </c>
      <c r="U568" s="183">
        <v>3.1442999999999999</v>
      </c>
      <c r="V568" s="179">
        <v>11008.718349999999</v>
      </c>
      <c r="W568" s="179">
        <v>4067.9230471382098</v>
      </c>
      <c r="X568" s="186" t="s">
        <v>45</v>
      </c>
      <c r="Y568" s="183">
        <v>3.1442999999999999</v>
      </c>
      <c r="Z568" s="220" t="s">
        <v>473</v>
      </c>
      <c r="AA568" s="172">
        <f>Delivery[[#This Row],[Quantity delivered]]*VLOOKUP(Delivery[[#This Row],[Unit]],References!$U:$X,4,FALSE)*VLOOKUP(CONCATENATE(Delivery[[#This Row],[Coffee specie]],Delivery[[#This Row],[Coffee state]]),References!$U:$X,4,FALSE)</f>
        <v>30010</v>
      </c>
      <c r="AB568" s="169">
        <f>SUMIF(Allocation!C:C,Delivery[[#This Row],[Delivery ID]],Allocation!D:D)/Delivery[[#This Row],[Quantity delivered]]</f>
        <v>4.2285904698433859E-2</v>
      </c>
      <c r="AC568" s="170">
        <f>Delivery[[#This Row],[Quantity delivered]]*Delivery[[#This Row],[Base price (Unidad)]]/60</f>
        <v>221982.94215749999</v>
      </c>
      <c r="AD568" s="171">
        <f>Delivery[[#This Row],[Nespresso total]]-Delivery[[#This Row],[Qt. Delivery * Base Price]]</f>
        <v>51062.211748223606</v>
      </c>
      <c r="AE568" s="171">
        <f>Delivery[[#This Row],[AAA Premium (total)]]/Delivery[[#This Row],[Quantity delivered]]*60/Delivery[[#This Row],[Exchange rate VS USD]]</f>
        <v>7</v>
      </c>
      <c r="AF568" s="171">
        <f>Delivery[[#This Row],[BEN premium (total)]]/Delivery[[#This Row],[Quantity delivered]]*60/Delivery[[#This Row],[Exchange rate for premiums VS USD]]</f>
        <v>2.5866282000000003</v>
      </c>
      <c r="AG568" s="171">
        <f>COUNTIF(Delivery[Delivery ID],Delivery[[#This Row],[Delivery ID]])</f>
        <v>1</v>
      </c>
      <c r="AH568" s="171">
        <f>(Delivery[[#This Row],[Nespresso total]]/SUMIF(Allocation!C:C,Delivery[Delivery ID],Allocation!H:H))/Delivery[[#This Row],[Exchange rate VS USD]]</f>
        <v>175.43057962876139</v>
      </c>
      <c r="AI568" s="171">
        <f>(Delivery[[#This Row],[AAA Premium (total)]]/SUMIF(Allocation!C:C,Delivery[Delivery ID],Allocation!H:H))/Delivery[[#This Row],[Exchange rate VS USD]]</f>
        <v>7.0730639730639728</v>
      </c>
      <c r="AJ568" s="171">
        <f>Delivery[[#This Row],[Valor Prêmio Nespresso AAA por Kg (em US$)]]*60</f>
        <v>424.38383838383839</v>
      </c>
      <c r="AK568" s="171">
        <f>Delivery[[#This Row],[Valor Prêmio Nespresso AAA por saca (em US$)]]/1.3228/100</f>
        <v>3.2082237555476145</v>
      </c>
      <c r="AL568" s="171">
        <f>(Delivery[[#This Row],[BEN premium (total)]]/SUMIF(Allocation!C:C,Delivery[Delivery ID],Allocation!H:H))/Delivery[[#This Row],[Exchange rate for premiums VS USD]]</f>
        <v>2.613626676161616</v>
      </c>
      <c r="AM568" s="171">
        <f>Delivery[[#This Row],[Valor Prêmio Nespresso BEN por Kg (em US$)]]*60</f>
        <v>156.81760056969696</v>
      </c>
      <c r="AN568" s="171">
        <f>Delivery[[#This Row],[Valor Prêmio Nespresso BEN por saca (em US$)]]/1.3228/100</f>
        <v>1.1854974340013378</v>
      </c>
      <c r="AO568" s="171">
        <f>SUMIF(Allocation[Delivery ID],Delivery[[#This Row],[Delivery ID]],Allocation[Quantity allocated])*16*1.3228*Delivery[[#This Row],[Exchange rate VS USD]]/60</f>
        <v>549.02496527999995</v>
      </c>
      <c r="AP568" s="171">
        <f>Delivery[[#This Row],[AAA Premium (total)]]</f>
        <v>11008.718349999999</v>
      </c>
      <c r="AQ568" s="171">
        <f>Delivery[[#This Row],[Valor pago pelo Cluster]]-Delivery[[#This Row],[Valor efetivamente pago pela Nespresso]]</f>
        <v>10459.69338472</v>
      </c>
    </row>
    <row r="569" spans="1:43" ht="15.75">
      <c r="A569" s="174" t="s">
        <v>69</v>
      </c>
      <c r="B569" s="232" t="s">
        <v>68</v>
      </c>
      <c r="C569" s="157">
        <v>1</v>
      </c>
      <c r="D569" s="157" t="s">
        <v>468</v>
      </c>
      <c r="E569" s="176" t="s">
        <v>468</v>
      </c>
      <c r="F569" s="233" t="s">
        <v>469</v>
      </c>
      <c r="G569" s="234">
        <v>42809</v>
      </c>
      <c r="H569" s="157" t="s">
        <v>720</v>
      </c>
      <c r="I569" s="157" t="s">
        <v>672</v>
      </c>
      <c r="J569" s="237">
        <v>18047</v>
      </c>
      <c r="K569" s="175" t="s">
        <v>61</v>
      </c>
      <c r="L569" s="175" t="s">
        <v>439</v>
      </c>
      <c r="M569" s="175" t="s">
        <v>1343</v>
      </c>
      <c r="N569" s="180"/>
      <c r="O569" s="177"/>
      <c r="P569" s="181">
        <v>0</v>
      </c>
      <c r="Q569" s="177">
        <v>42802</v>
      </c>
      <c r="R569" s="178">
        <v>444.71349000000004</v>
      </c>
      <c r="S569" s="179">
        <v>154657.70702670488</v>
      </c>
      <c r="T569" s="182" t="s">
        <v>45</v>
      </c>
      <c r="U569" s="183">
        <v>3.1473</v>
      </c>
      <c r="V569" s="179">
        <v>6626.5876949999993</v>
      </c>
      <c r="W569" s="179">
        <v>2071.9308199808793</v>
      </c>
      <c r="X569" s="186" t="s">
        <v>45</v>
      </c>
      <c r="Y569" s="183">
        <v>3.1473</v>
      </c>
      <c r="Z569" s="220" t="s">
        <v>473</v>
      </c>
      <c r="AA569" s="172">
        <f>Delivery[[#This Row],[Quantity delivered]]*VLOOKUP(Delivery[[#This Row],[Unit]],References!$U:$X,4,FALSE)*VLOOKUP(CONCATENATE(Delivery[[#This Row],[Coffee specie]],Delivery[[#This Row],[Coffee state]]),References!$U:$X,4,FALSE)</f>
        <v>18047</v>
      </c>
      <c r="AB569" s="169">
        <f>SUMIF(Allocation!C:C,Delivery[[#This Row],[Delivery ID]],Allocation!D:D)/Delivery[[#This Row],[Quantity delivered]]</f>
        <v>2.0003324652296782E-2</v>
      </c>
      <c r="AC569" s="170">
        <f>Delivery[[#This Row],[Quantity delivered]]*Delivery[[#This Row],[Base price (Unidad)]]/60</f>
        <v>133762.40590050002</v>
      </c>
      <c r="AD569" s="171">
        <f>Delivery[[#This Row],[Nespresso total]]-Delivery[[#This Row],[Qt. Delivery * Base Price]]</f>
        <v>20895.301126204868</v>
      </c>
      <c r="AE569" s="171">
        <f>Delivery[[#This Row],[AAA Premium (total)]]/Delivery[[#This Row],[Quantity delivered]]*60/Delivery[[#This Row],[Exchange rate VS USD]]</f>
        <v>7</v>
      </c>
      <c r="AF569" s="171">
        <f>Delivery[[#This Row],[BEN premium (total)]]/Delivery[[#This Row],[Quantity delivered]]*60/Delivery[[#This Row],[Exchange rate for premiums VS USD]]</f>
        <v>2.1886854000000007</v>
      </c>
      <c r="AG569" s="171">
        <f>COUNTIF(Delivery[Delivery ID],Delivery[[#This Row],[Delivery ID]])</f>
        <v>1</v>
      </c>
      <c r="AH569" s="171">
        <f>(Delivery[[#This Row],[Nespresso total]]/SUMIF(Allocation!C:C,Delivery[Delivery ID],Allocation!H:H))/Delivery[[#This Row],[Exchange rate VS USD]]</f>
        <v>412.93953447814516</v>
      </c>
      <c r="AI569" s="171">
        <f>(Delivery[[#This Row],[AAA Premium (total)]]/SUMIF(Allocation!C:C,Delivery[Delivery ID],Allocation!H:H))/Delivery[[#This Row],[Exchange rate VS USD]]</f>
        <v>17.693137254901959</v>
      </c>
      <c r="AJ569" s="171">
        <f>Delivery[[#This Row],[Valor Prêmio Nespresso AAA por Kg (em US$)]]*60</f>
        <v>1061.5882352941176</v>
      </c>
      <c r="AK569" s="171">
        <f>Delivery[[#This Row],[Valor Prêmio Nespresso AAA por saca (em US$)]]/1.3228/100</f>
        <v>8.0253117273519621</v>
      </c>
      <c r="AL569" s="171">
        <f>(Delivery[[#This Row],[BEN premium (total)]]/SUMIF(Allocation!C:C,Delivery[Delivery ID],Allocation!H:H))/Delivery[[#This Row],[Exchange rate for premiums VS USD]]</f>
        <v>5.5321015985714288</v>
      </c>
      <c r="AM569" s="171">
        <f>Delivery[[#This Row],[Valor Prêmio Nespresso BEN por Kg (em US$)]]*60</f>
        <v>331.92609591428572</v>
      </c>
      <c r="AN569" s="171">
        <f>Delivery[[#This Row],[Valor Prêmio Nespresso BEN por saca (em US$)]]/1.3228/100</f>
        <v>2.5092689440148606</v>
      </c>
      <c r="AO569" s="171">
        <f>SUMIF(Allocation[Delivery ID],Delivery[[#This Row],[Delivery ID]],Allocation[Quantity allocated])*16*1.3228*Delivery[[#This Row],[Exchange rate VS USD]]/60</f>
        <v>132.11375049599999</v>
      </c>
      <c r="AP569" s="171">
        <f>Delivery[[#This Row],[AAA Premium (total)]]</f>
        <v>6626.5876949999993</v>
      </c>
      <c r="AQ569" s="171">
        <f>Delivery[[#This Row],[Valor pago pelo Cluster]]-Delivery[[#This Row],[Valor efetivamente pago pela Nespresso]]</f>
        <v>6494.4739445039995</v>
      </c>
    </row>
    <row r="570" spans="1:43" ht="15.75">
      <c r="A570" s="174" t="s">
        <v>69</v>
      </c>
      <c r="B570" s="232" t="s">
        <v>68</v>
      </c>
      <c r="C570" s="157">
        <v>1</v>
      </c>
      <c r="D570" s="157" t="s">
        <v>468</v>
      </c>
      <c r="E570" s="176" t="s">
        <v>468</v>
      </c>
      <c r="F570" s="233" t="s">
        <v>469</v>
      </c>
      <c r="G570" s="234">
        <v>42809</v>
      </c>
      <c r="H570" s="157" t="s">
        <v>721</v>
      </c>
      <c r="I570" s="157" t="s">
        <v>672</v>
      </c>
      <c r="J570" s="237">
        <v>11811</v>
      </c>
      <c r="K570" s="175" t="s">
        <v>61</v>
      </c>
      <c r="L570" s="175" t="s">
        <v>439</v>
      </c>
      <c r="M570" s="175" t="s">
        <v>1343</v>
      </c>
      <c r="N570" s="180"/>
      <c r="O570" s="177"/>
      <c r="P570" s="181">
        <v>0</v>
      </c>
      <c r="Q570" s="177">
        <v>42802</v>
      </c>
      <c r="R570" s="178">
        <v>444.71349000000004</v>
      </c>
      <c r="S570" s="179">
        <v>101216.94340845633</v>
      </c>
      <c r="T570" s="182" t="s">
        <v>45</v>
      </c>
      <c r="U570" s="183">
        <v>3.1473</v>
      </c>
      <c r="V570" s="179">
        <v>4336.8220350000001</v>
      </c>
      <c r="W570" s="179">
        <v>1355.991295771827</v>
      </c>
      <c r="X570" s="186" t="s">
        <v>45</v>
      </c>
      <c r="Y570" s="183">
        <v>3.1473</v>
      </c>
      <c r="Z570" s="220" t="s">
        <v>473</v>
      </c>
      <c r="AA570" s="172">
        <f>Delivery[[#This Row],[Quantity delivered]]*VLOOKUP(Delivery[[#This Row],[Unit]],References!$U:$X,4,FALSE)*VLOOKUP(CONCATENATE(Delivery[[#This Row],[Coffee specie]],Delivery[[#This Row],[Coffee state]]),References!$U:$X,4,FALSE)</f>
        <v>11811</v>
      </c>
      <c r="AB570" s="169">
        <f>SUMIF(Allocation!C:C,Delivery[[#This Row],[Delivery ID]],Allocation!D:D)/Delivery[[#This Row],[Quantity delivered]]</f>
        <v>3.0564727796122258E-2</v>
      </c>
      <c r="AC570" s="170">
        <f>Delivery[[#This Row],[Quantity delivered]]*Delivery[[#This Row],[Base price (Unidad)]]/60</f>
        <v>87541.850506500006</v>
      </c>
      <c r="AD570" s="171">
        <f>Delivery[[#This Row],[Nespresso total]]-Delivery[[#This Row],[Qt. Delivery * Base Price]]</f>
        <v>13675.092901956319</v>
      </c>
      <c r="AE570" s="171">
        <f>Delivery[[#This Row],[AAA Premium (total)]]/Delivery[[#This Row],[Quantity delivered]]*60/Delivery[[#This Row],[Exchange rate VS USD]]</f>
        <v>7.0000000000000009</v>
      </c>
      <c r="AF570" s="171">
        <f>Delivery[[#This Row],[BEN premium (total)]]/Delivery[[#This Row],[Quantity delivered]]*60/Delivery[[#This Row],[Exchange rate for premiums VS USD]]</f>
        <v>2.1886854000000002</v>
      </c>
      <c r="AG570" s="171">
        <f>COUNTIF(Delivery[Delivery ID],Delivery[[#This Row],[Delivery ID]])</f>
        <v>1</v>
      </c>
      <c r="AH570" s="171">
        <f>(Delivery[[#This Row],[Nespresso total]]/SUMIF(Allocation!C:C,Delivery[Delivery ID],Allocation!H:H))/Delivery[[#This Row],[Exchange rate VS USD]]</f>
        <v>270.25150117589476</v>
      </c>
      <c r="AI570" s="171">
        <f>(Delivery[[#This Row],[AAA Premium (total)]]/SUMIF(Allocation!C:C,Delivery[Delivery ID],Allocation!H:H))/Delivery[[#This Row],[Exchange rate VS USD]]</f>
        <v>11.579411764705885</v>
      </c>
      <c r="AJ570" s="171">
        <f>Delivery[[#This Row],[Valor Prêmio Nespresso AAA por Kg (em US$)]]*60</f>
        <v>694.76470588235304</v>
      </c>
      <c r="AK570" s="171">
        <f>Delivery[[#This Row],[Valor Prêmio Nespresso AAA por saca (em US$)]]/1.3228/100</f>
        <v>5.2522278944840721</v>
      </c>
      <c r="AL570" s="171">
        <f>(Delivery[[#This Row],[BEN premium (total)]]/SUMIF(Allocation!C:C,Delivery[Delivery ID],Allocation!H:H))/Delivery[[#This Row],[Exchange rate for premiums VS USD]]</f>
        <v>3.6205270671428575</v>
      </c>
      <c r="AM570" s="171">
        <f>Delivery[[#This Row],[Valor Prêmio Nespresso BEN por Kg (em US$)]]*60</f>
        <v>217.23162402857145</v>
      </c>
      <c r="AN570" s="171">
        <f>Delivery[[#This Row],[Valor Prêmio Nespresso BEN por saca (em US$)]]/1.3228/100</f>
        <v>1.6422106443042899</v>
      </c>
      <c r="AO570" s="171">
        <f>SUMIF(Allocation[Delivery ID],Delivery[[#This Row],[Delivery ID]],Allocation[Quantity allocated])*16*1.3228*Delivery[[#This Row],[Exchange rate VS USD]]/60</f>
        <v>132.11375049599999</v>
      </c>
      <c r="AP570" s="171">
        <f>Delivery[[#This Row],[AAA Premium (total)]]</f>
        <v>4336.8220350000001</v>
      </c>
      <c r="AQ570" s="171">
        <f>Delivery[[#This Row],[Valor pago pelo Cluster]]-Delivery[[#This Row],[Valor efetivamente pago pela Nespresso]]</f>
        <v>4204.7082845040004</v>
      </c>
    </row>
    <row r="571" spans="1:43" ht="15.75">
      <c r="A571" s="174" t="s">
        <v>69</v>
      </c>
      <c r="B571" s="232" t="s">
        <v>68</v>
      </c>
      <c r="C571" s="157">
        <v>1</v>
      </c>
      <c r="D571" s="157" t="s">
        <v>468</v>
      </c>
      <c r="E571" s="176" t="s">
        <v>468</v>
      </c>
      <c r="F571" s="233" t="s">
        <v>469</v>
      </c>
      <c r="G571" s="234">
        <v>42809</v>
      </c>
      <c r="H571" s="157" t="s">
        <v>722</v>
      </c>
      <c r="I571" s="157" t="s">
        <v>672</v>
      </c>
      <c r="J571" s="237">
        <v>8477.5</v>
      </c>
      <c r="K571" s="175" t="s">
        <v>61</v>
      </c>
      <c r="L571" s="175" t="s">
        <v>439</v>
      </c>
      <c r="M571" s="175" t="s">
        <v>1343</v>
      </c>
      <c r="N571" s="180"/>
      <c r="O571" s="177"/>
      <c r="P571" s="181">
        <v>0</v>
      </c>
      <c r="Q571" s="177">
        <v>42802</v>
      </c>
      <c r="R571" s="178">
        <v>444.71349000000004</v>
      </c>
      <c r="S571" s="179">
        <v>72649.787295333896</v>
      </c>
      <c r="T571" s="182" t="s">
        <v>45</v>
      </c>
      <c r="U571" s="183">
        <v>3.1473</v>
      </c>
      <c r="V571" s="179">
        <v>3112.8108374999997</v>
      </c>
      <c r="W571" s="179">
        <v>973.28051899971751</v>
      </c>
      <c r="X571" s="186" t="s">
        <v>45</v>
      </c>
      <c r="Y571" s="183">
        <v>3.1473</v>
      </c>
      <c r="Z571" s="220" t="s">
        <v>473</v>
      </c>
      <c r="AA571" s="172">
        <f>Delivery[[#This Row],[Quantity delivered]]*VLOOKUP(Delivery[[#This Row],[Unit]],References!$U:$X,4,FALSE)*VLOOKUP(CONCATENATE(Delivery[[#This Row],[Coffee specie]],Delivery[[#This Row],[Coffee state]]),References!$U:$X,4,FALSE)</f>
        <v>8477.5</v>
      </c>
      <c r="AB571" s="169">
        <f>SUMIF(Allocation!C:C,Delivery[[#This Row],[Delivery ID]],Allocation!D:D)/Delivery[[#This Row],[Quantity delivered]]</f>
        <v>4.2583308758478322E-2</v>
      </c>
      <c r="AC571" s="170">
        <f>Delivery[[#This Row],[Quantity delivered]]*Delivery[[#This Row],[Base price (Unidad)]]/60</f>
        <v>62834.310191250006</v>
      </c>
      <c r="AD571" s="171">
        <f>Delivery[[#This Row],[Nespresso total]]-Delivery[[#This Row],[Qt. Delivery * Base Price]]</f>
        <v>9815.4771040838896</v>
      </c>
      <c r="AE571" s="171">
        <f>Delivery[[#This Row],[AAA Premium (total)]]/Delivery[[#This Row],[Quantity delivered]]*60/Delivery[[#This Row],[Exchange rate VS USD]]</f>
        <v>7</v>
      </c>
      <c r="AF571" s="171">
        <f>Delivery[[#This Row],[BEN premium (total)]]/Delivery[[#This Row],[Quantity delivered]]*60/Delivery[[#This Row],[Exchange rate for premiums VS USD]]</f>
        <v>2.1886854000000002</v>
      </c>
      <c r="AG571" s="171">
        <f>COUNTIF(Delivery[Delivery ID],Delivery[[#This Row],[Delivery ID]])</f>
        <v>1</v>
      </c>
      <c r="AH571" s="171">
        <f>(Delivery[[#This Row],[Nespresso total]]/SUMIF(Allocation!C:C,Delivery[Delivery ID],Allocation!H:H))/Delivery[[#This Row],[Exchange rate VS USD]]</f>
        <v>193.97655585629059</v>
      </c>
      <c r="AI571" s="171">
        <f>(Delivery[[#This Row],[AAA Premium (total)]]/SUMIF(Allocation!C:C,Delivery[Delivery ID],Allocation!H:H))/Delivery[[#This Row],[Exchange rate VS USD]]</f>
        <v>8.3112745098039209</v>
      </c>
      <c r="AJ571" s="171">
        <f>Delivery[[#This Row],[Valor Prêmio Nespresso AAA por Kg (em US$)]]*60</f>
        <v>498.67647058823525</v>
      </c>
      <c r="AK571" s="171">
        <f>Delivery[[#This Row],[Valor Prêmio Nespresso AAA por saca (em US$)]]/1.3228/100</f>
        <v>3.7698553869688181</v>
      </c>
      <c r="AL571" s="171">
        <f>(Delivery[[#This Row],[BEN premium (total)]]/SUMIF(Allocation!C:C,Delivery[Delivery ID],Allocation!H:H))/Delivery[[#This Row],[Exchange rate for premiums VS USD]]</f>
        <v>2.5986807392857147</v>
      </c>
      <c r="AM571" s="171">
        <f>Delivery[[#This Row],[Valor Prêmio Nespresso BEN por Kg (em US$)]]*60</f>
        <v>155.9208443571429</v>
      </c>
      <c r="AN571" s="171">
        <f>Delivery[[#This Row],[Valor Prêmio Nespresso BEN por saca (em US$)]]/1.3228/100</f>
        <v>1.1787182065100008</v>
      </c>
      <c r="AO571" s="171">
        <f>SUMIF(Allocation[Delivery ID],Delivery[[#This Row],[Delivery ID]],Allocation[Quantity allocated])*16*1.3228*Delivery[[#This Row],[Exchange rate VS USD]]/60</f>
        <v>132.11375049599999</v>
      </c>
      <c r="AP571" s="171">
        <f>Delivery[[#This Row],[AAA Premium (total)]]</f>
        <v>3112.8108374999997</v>
      </c>
      <c r="AQ571" s="171">
        <f>Delivery[[#This Row],[Valor pago pelo Cluster]]-Delivery[[#This Row],[Valor efetivamente pago pela Nespresso]]</f>
        <v>2980.6970870039995</v>
      </c>
    </row>
    <row r="572" spans="1:43" ht="15.75">
      <c r="A572" s="174" t="s">
        <v>69</v>
      </c>
      <c r="B572" s="232" t="s">
        <v>68</v>
      </c>
      <c r="C572" s="157">
        <v>1</v>
      </c>
      <c r="D572" s="157" t="s">
        <v>468</v>
      </c>
      <c r="E572" s="177" t="s">
        <v>468</v>
      </c>
      <c r="F572" s="233" t="s">
        <v>469</v>
      </c>
      <c r="G572" s="234">
        <v>42815</v>
      </c>
      <c r="H572" s="157" t="s">
        <v>723</v>
      </c>
      <c r="I572" s="157" t="s">
        <v>710</v>
      </c>
      <c r="J572" s="237">
        <v>30864</v>
      </c>
      <c r="K572" s="175" t="s">
        <v>61</v>
      </c>
      <c r="L572" s="175" t="s">
        <v>439</v>
      </c>
      <c r="M572" s="175" t="s">
        <v>1343</v>
      </c>
      <c r="N572" s="180"/>
      <c r="O572" s="195"/>
      <c r="P572" s="185">
        <v>0</v>
      </c>
      <c r="Q572" s="177">
        <v>42804</v>
      </c>
      <c r="R572" s="178">
        <v>446.11251000000004</v>
      </c>
      <c r="S572" s="179">
        <v>254721.30564144478</v>
      </c>
      <c r="T572" s="182" t="s">
        <v>45</v>
      </c>
      <c r="U572" s="183">
        <v>3.1494</v>
      </c>
      <c r="V572" s="179">
        <v>22711.5</v>
      </c>
      <c r="W572" s="179">
        <v>8058.5971792775999</v>
      </c>
      <c r="X572" s="186" t="s">
        <v>45</v>
      </c>
      <c r="Y572" s="183">
        <v>3.1494</v>
      </c>
      <c r="Z572" s="220" t="s">
        <v>473</v>
      </c>
      <c r="AA572" s="172">
        <f>Delivery[[#This Row],[Quantity delivered]]*VLOOKUP(Delivery[[#This Row],[Unit]],References!$U:$X,4,FALSE)*VLOOKUP(CONCATENATE(Delivery[[#This Row],[Coffee specie]],Delivery[[#This Row],[Coffee state]]),References!$U:$X,4,FALSE)</f>
        <v>30864</v>
      </c>
      <c r="AB572" s="169">
        <f>SUMIF(Allocation!C:C,Delivery[[#This Row],[Delivery ID]],Allocation!D:D)/Delivery[[#This Row],[Quantity delivered]]</f>
        <v>8.7156557801969931E-3</v>
      </c>
      <c r="AC572" s="170">
        <f>Delivery[[#This Row],[Quantity delivered]]*Delivery[[#This Row],[Base price (Unidad)]]/60</f>
        <v>229480.27514400001</v>
      </c>
      <c r="AD572" s="171">
        <f>Delivery[[#This Row],[Nespresso total]]-Delivery[[#This Row],[Qt. Delivery * Base Price]]</f>
        <v>25241.030497444764</v>
      </c>
      <c r="AE572" s="171">
        <f>Delivery[[#This Row],[AAA Premium (total)]]/Delivery[[#This Row],[Quantity delivered]]*60/Delivery[[#This Row],[Exchange rate VS USD]]</f>
        <v>14.018999990222532</v>
      </c>
      <c r="AF572" s="171">
        <f>Delivery[[#This Row],[BEN premium (total)]]/Delivery[[#This Row],[Quantity delivered]]*60/Delivery[[#This Row],[Exchange rate for premiums VS USD]]</f>
        <v>4.974285000000001</v>
      </c>
      <c r="AG572" s="171">
        <f>COUNTIF(Delivery[Delivery ID],Delivery[[#This Row],[Delivery ID]])</f>
        <v>1</v>
      </c>
      <c r="AH572" s="171">
        <f>(Delivery[[#This Row],[Nespresso total]]/SUMIF(Allocation!C:C,Delivery[Delivery ID],Allocation!H:H))/Delivery[[#This Row],[Exchange rate VS USD]]</f>
        <v>400.39263433714666</v>
      </c>
      <c r="AI572" s="171">
        <f>(Delivery[[#This Row],[AAA Premium (total)]]/SUMIF(Allocation!C:C,Delivery[Delivery ID],Allocation!H:H))/Delivery[[#This Row],[Exchange rate VS USD]]</f>
        <v>35.699869282032033</v>
      </c>
      <c r="AJ572" s="171">
        <f>Delivery[[#This Row],[Valor Prêmio Nespresso AAA por Kg (em US$)]]*60</f>
        <v>2141.9921569219218</v>
      </c>
      <c r="AK572" s="171">
        <f>Delivery[[#This Row],[Valor Prêmio Nespresso AAA por saca (em US$)]]/1.3228/100</f>
        <v>16.192864808904762</v>
      </c>
      <c r="AL572" s="171">
        <f>(Delivery[[#This Row],[BEN premium (total)]]/SUMIF(Allocation!C:C,Delivery[Delivery ID],Allocation!H:H))/Delivery[[#This Row],[Exchange rate for premiums VS USD]]</f>
        <v>12.667189128712872</v>
      </c>
      <c r="AM572" s="171">
        <f>Delivery[[#This Row],[Valor Prêmio Nespresso BEN por Kg (em US$)]]*60</f>
        <v>760.03134772277235</v>
      </c>
      <c r="AN572" s="171">
        <f>Delivery[[#This Row],[Valor Prêmio Nespresso BEN por saca (em US$)]]/1.3228/100</f>
        <v>5.7456255497639281</v>
      </c>
      <c r="AO572" s="171">
        <f>SUMIF(Allocation[Delivery ID],Delivery[[#This Row],[Delivery ID]],Allocation[Quantity allocated])*16*1.3228*Delivery[[#This Row],[Exchange rate VS USD]]/60</f>
        <v>224.40995110399999</v>
      </c>
      <c r="AP572" s="171">
        <f>Delivery[[#This Row],[AAA Premium (total)]]</f>
        <v>22711.5</v>
      </c>
      <c r="AQ572" s="171">
        <f>Delivery[[#This Row],[Valor pago pelo Cluster]]-Delivery[[#This Row],[Valor efetivamente pago pela Nespresso]]</f>
        <v>22487.090048896</v>
      </c>
    </row>
    <row r="573" spans="1:43" ht="15.75">
      <c r="A573" s="174" t="s">
        <v>69</v>
      </c>
      <c r="B573" s="232" t="s">
        <v>68</v>
      </c>
      <c r="C573" s="157">
        <v>1</v>
      </c>
      <c r="D573" s="157" t="s">
        <v>468</v>
      </c>
      <c r="E573" s="177" t="s">
        <v>468</v>
      </c>
      <c r="F573" s="233" t="s">
        <v>469</v>
      </c>
      <c r="G573" s="234">
        <v>42815</v>
      </c>
      <c r="H573" s="157" t="s">
        <v>724</v>
      </c>
      <c r="I573" s="157" t="s">
        <v>706</v>
      </c>
      <c r="J573" s="237">
        <v>30052.5</v>
      </c>
      <c r="K573" s="175" t="s">
        <v>61</v>
      </c>
      <c r="L573" s="175" t="s">
        <v>439</v>
      </c>
      <c r="M573" s="175" t="s">
        <v>1343</v>
      </c>
      <c r="N573" s="180"/>
      <c r="O573" s="195"/>
      <c r="P573" s="185">
        <v>0</v>
      </c>
      <c r="Q573" s="177">
        <v>42802</v>
      </c>
      <c r="R573" s="178">
        <v>443.81794500000001</v>
      </c>
      <c r="S573" s="179">
        <v>273033.63196440379</v>
      </c>
      <c r="T573" s="182" t="s">
        <v>45</v>
      </c>
      <c r="U573" s="183">
        <v>3.1442999999999999</v>
      </c>
      <c r="V573" s="179">
        <v>11024.308837499999</v>
      </c>
      <c r="W573" s="179">
        <v>4073.6840177981026</v>
      </c>
      <c r="X573" s="186" t="s">
        <v>45</v>
      </c>
      <c r="Y573" s="183">
        <v>3.1442999999999999</v>
      </c>
      <c r="Z573" s="220" t="s">
        <v>473</v>
      </c>
      <c r="AA573" s="172">
        <f>Delivery[[#This Row],[Quantity delivered]]*VLOOKUP(Delivery[[#This Row],[Unit]],References!$U:$X,4,FALSE)*VLOOKUP(CONCATENATE(Delivery[[#This Row],[Coffee specie]],Delivery[[#This Row],[Coffee state]]),References!$U:$X,4,FALSE)</f>
        <v>30052.5</v>
      </c>
      <c r="AB573" s="169">
        <f>SUMIF(Allocation!C:C,Delivery[[#This Row],[Delivery ID]],Allocation!D:D)/Delivery[[#This Row],[Quantity delivered]]</f>
        <v>4.2226104317444474E-2</v>
      </c>
      <c r="AC573" s="170">
        <f>Delivery[[#This Row],[Quantity delivered]]*Delivery[[#This Row],[Base price (Unidad)]]/60</f>
        <v>222297.31320187499</v>
      </c>
      <c r="AD573" s="171">
        <f>Delivery[[#This Row],[Nespresso total]]-Delivery[[#This Row],[Qt. Delivery * Base Price]]</f>
        <v>50736.318762528797</v>
      </c>
      <c r="AE573" s="171">
        <f>Delivery[[#This Row],[AAA Premium (total)]]/Delivery[[#This Row],[Quantity delivered]]*60/Delivery[[#This Row],[Exchange rate VS USD]]</f>
        <v>7</v>
      </c>
      <c r="AF573" s="171">
        <f>Delivery[[#This Row],[BEN premium (total)]]/Delivery[[#This Row],[Quantity delivered]]*60/Delivery[[#This Row],[Exchange rate for premiums VS USD]]</f>
        <v>2.5866282000000003</v>
      </c>
      <c r="AG573" s="171">
        <f>COUNTIF(Delivery[Delivery ID],Delivery[[#This Row],[Delivery ID]])</f>
        <v>1</v>
      </c>
      <c r="AH573" s="171">
        <f>(Delivery[[#This Row],[Nespresso total]]/SUMIF(Allocation!C:C,Delivery[Delivery ID],Allocation!H:H))/Delivery[[#This Row],[Exchange rate VS USD]]</f>
        <v>175.42317682078158</v>
      </c>
      <c r="AI573" s="171">
        <f>(Delivery[[#This Row],[AAA Premium (total)]]/SUMIF(Allocation!C:C,Delivery[Delivery ID],Allocation!H:H))/Delivery[[#This Row],[Exchange rate VS USD]]</f>
        <v>7.0830808080808074</v>
      </c>
      <c r="AJ573" s="171">
        <f>Delivery[[#This Row],[Valor Prêmio Nespresso AAA por Kg (em US$)]]*60</f>
        <v>424.98484848484844</v>
      </c>
      <c r="AK573" s="171">
        <f>Delivery[[#This Row],[Valor Prêmio Nespresso AAA por saca (em US$)]]/1.3228/100</f>
        <v>3.2127672247115853</v>
      </c>
      <c r="AL573" s="171">
        <f>(Delivery[[#This Row],[BEN premium (total)]]/SUMIF(Allocation!C:C,Delivery[Delivery ID],Allocation!H:H))/Delivery[[#This Row],[Exchange rate for premiums VS USD]]</f>
        <v>2.6173280801515153</v>
      </c>
      <c r="AM573" s="171">
        <f>Delivery[[#This Row],[Valor Prêmio Nespresso BEN por Kg (em US$)]]*60</f>
        <v>157.03968480909091</v>
      </c>
      <c r="AN573" s="171">
        <f>Delivery[[#This Row],[Valor Prêmio Nespresso BEN por saca (em US$)]]/1.3228/100</f>
        <v>1.1871763290678177</v>
      </c>
      <c r="AO573" s="171">
        <f>SUMIF(Allocation[Delivery ID],Delivery[[#This Row],[Delivery ID]],Allocation[Quantity allocated])*16*1.3228*Delivery[[#This Row],[Exchange rate VS USD]]/60</f>
        <v>549.02496527999995</v>
      </c>
      <c r="AP573" s="171">
        <f>Delivery[[#This Row],[AAA Premium (total)]]</f>
        <v>11024.308837499999</v>
      </c>
      <c r="AQ573" s="171">
        <f>Delivery[[#This Row],[Valor pago pelo Cluster]]-Delivery[[#This Row],[Valor efetivamente pago pela Nespresso]]</f>
        <v>10475.283872219999</v>
      </c>
    </row>
    <row r="574" spans="1:43" ht="15.75">
      <c r="A574" s="174" t="s">
        <v>69</v>
      </c>
      <c r="B574" s="232" t="s">
        <v>68</v>
      </c>
      <c r="C574" s="157">
        <v>1</v>
      </c>
      <c r="D574" s="157" t="s">
        <v>468</v>
      </c>
      <c r="E574" s="177" t="s">
        <v>468</v>
      </c>
      <c r="F574" s="233" t="s">
        <v>469</v>
      </c>
      <c r="G574" s="234">
        <v>42815</v>
      </c>
      <c r="H574" s="157" t="s">
        <v>725</v>
      </c>
      <c r="I574" s="157" t="s">
        <v>706</v>
      </c>
      <c r="J574" s="237">
        <v>30036</v>
      </c>
      <c r="K574" s="175" t="s">
        <v>61</v>
      </c>
      <c r="L574" s="175" t="s">
        <v>439</v>
      </c>
      <c r="M574" s="175" t="s">
        <v>1343</v>
      </c>
      <c r="N574" s="180"/>
      <c r="O574" s="195"/>
      <c r="P574" s="185">
        <v>0</v>
      </c>
      <c r="Q574" s="177">
        <v>42802</v>
      </c>
      <c r="R574" s="178">
        <v>443.81794500000001</v>
      </c>
      <c r="S574" s="179">
        <v>273038.10518868093</v>
      </c>
      <c r="T574" s="182" t="s">
        <v>45</v>
      </c>
      <c r="U574" s="183">
        <v>3.1442999999999999</v>
      </c>
      <c r="V574" s="179">
        <v>11018.25606</v>
      </c>
      <c r="W574" s="179">
        <v>4071.4474056595559</v>
      </c>
      <c r="X574" s="186" t="s">
        <v>45</v>
      </c>
      <c r="Y574" s="183">
        <v>3.1442999999999999</v>
      </c>
      <c r="Z574" s="220" t="s">
        <v>473</v>
      </c>
      <c r="AA574" s="172">
        <f>Delivery[[#This Row],[Quantity delivered]]*VLOOKUP(Delivery[[#This Row],[Unit]],References!$U:$X,4,FALSE)*VLOOKUP(CONCATENATE(Delivery[[#This Row],[Coffee specie]],Delivery[[#This Row],[Coffee state]]),References!$U:$X,4,FALSE)</f>
        <v>30036</v>
      </c>
      <c r="AB574" s="169">
        <f>SUMIF(Allocation!C:C,Delivery[[#This Row],[Delivery ID]],Allocation!D:D)/Delivery[[#This Row],[Quantity delivered]]</f>
        <v>4.2249300838993205E-2</v>
      </c>
      <c r="AC574" s="170">
        <f>Delivery[[#This Row],[Quantity delivered]]*Delivery[[#This Row],[Base price (Unidad)]]/60</f>
        <v>222175.26326700003</v>
      </c>
      <c r="AD574" s="171">
        <f>Delivery[[#This Row],[Nespresso total]]-Delivery[[#This Row],[Qt. Delivery * Base Price]]</f>
        <v>50862.841921680898</v>
      </c>
      <c r="AE574" s="171">
        <f>Delivery[[#This Row],[AAA Premium (total)]]/Delivery[[#This Row],[Quantity delivered]]*60/Delivery[[#This Row],[Exchange rate VS USD]]</f>
        <v>7</v>
      </c>
      <c r="AF574" s="171">
        <f>Delivery[[#This Row],[BEN premium (total)]]/Delivery[[#This Row],[Quantity delivered]]*60/Delivery[[#This Row],[Exchange rate for premiums VS USD]]</f>
        <v>2.5866282000000003</v>
      </c>
      <c r="AG574" s="171">
        <f>COUNTIF(Delivery[Delivery ID],Delivery[[#This Row],[Delivery ID]])</f>
        <v>1</v>
      </c>
      <c r="AH574" s="171">
        <f>(Delivery[[#This Row],[Nespresso total]]/SUMIF(Allocation!C:C,Delivery[Delivery ID],Allocation!H:H))/Delivery[[#This Row],[Exchange rate VS USD]]</f>
        <v>175.42605085211494</v>
      </c>
      <c r="AI574" s="171">
        <f>(Delivery[[#This Row],[AAA Premium (total)]]/SUMIF(Allocation!C:C,Delivery[Delivery ID],Allocation!H:H))/Delivery[[#This Row],[Exchange rate VS USD]]</f>
        <v>7.0791919191919197</v>
      </c>
      <c r="AJ574" s="171">
        <f>Delivery[[#This Row],[Valor Prêmio Nespresso AAA por Kg (em US$)]]*60</f>
        <v>424.75151515151521</v>
      </c>
      <c r="AK574" s="171">
        <f>Delivery[[#This Row],[Valor Prêmio Nespresso AAA por saca (em US$)]]/1.3228/100</f>
        <v>3.2110032896243967</v>
      </c>
      <c r="AL574" s="171">
        <f>(Delivery[[#This Row],[BEN premium (total)]]/SUMIF(Allocation!C:C,Delivery[Delivery ID],Allocation!H:H))/Delivery[[#This Row],[Exchange rate for premiums VS USD]]</f>
        <v>2.6158910644848485</v>
      </c>
      <c r="AM574" s="171">
        <f>Delivery[[#This Row],[Valor Prêmio Nespresso BEN por Kg (em US$)]]*60</f>
        <v>156.95346386909091</v>
      </c>
      <c r="AN574" s="171">
        <f>Delivery[[#This Row],[Valor Prêmio Nespresso BEN por saca (em US$)]]/1.3228/100</f>
        <v>1.1865245227478902</v>
      </c>
      <c r="AO574" s="171">
        <f>SUMIF(Allocation[Delivery ID],Delivery[[#This Row],[Delivery ID]],Allocation[Quantity allocated])*16*1.3228*Delivery[[#This Row],[Exchange rate VS USD]]/60</f>
        <v>549.02496527999995</v>
      </c>
      <c r="AP574" s="171">
        <f>Delivery[[#This Row],[AAA Premium (total)]]</f>
        <v>11018.25606</v>
      </c>
      <c r="AQ574" s="171">
        <f>Delivery[[#This Row],[Valor pago pelo Cluster]]-Delivery[[#This Row],[Valor efetivamente pago pela Nespresso]]</f>
        <v>10469.23109472</v>
      </c>
    </row>
    <row r="575" spans="1:43" ht="15.75">
      <c r="A575" s="174" t="s">
        <v>69</v>
      </c>
      <c r="B575" s="232" t="s">
        <v>68</v>
      </c>
      <c r="C575" s="157">
        <v>1</v>
      </c>
      <c r="D575" s="157" t="s">
        <v>468</v>
      </c>
      <c r="E575" s="177" t="s">
        <v>468</v>
      </c>
      <c r="F575" s="233" t="s">
        <v>469</v>
      </c>
      <c r="G575" s="234">
        <v>42816</v>
      </c>
      <c r="H575" s="157" t="s">
        <v>726</v>
      </c>
      <c r="I575" s="157" t="s">
        <v>710</v>
      </c>
      <c r="J575" s="237">
        <v>37416</v>
      </c>
      <c r="K575" s="175" t="s">
        <v>61</v>
      </c>
      <c r="L575" s="175" t="s">
        <v>439</v>
      </c>
      <c r="M575" s="175" t="s">
        <v>1343</v>
      </c>
      <c r="N575" s="180"/>
      <c r="O575" s="195"/>
      <c r="P575" s="185">
        <v>0</v>
      </c>
      <c r="Q575" s="177">
        <v>42804</v>
      </c>
      <c r="R575" s="178">
        <v>446.11251000000004</v>
      </c>
      <c r="S575" s="179">
        <v>309148.84836315119</v>
      </c>
      <c r="T575" s="182" t="s">
        <v>45</v>
      </c>
      <c r="U575" s="183">
        <v>3.1494</v>
      </c>
      <c r="V575" s="179">
        <v>27495.52176</v>
      </c>
      <c r="W575" s="179">
        <v>9769.3258184243987</v>
      </c>
      <c r="X575" s="186" t="s">
        <v>45</v>
      </c>
      <c r="Y575" s="183">
        <v>3.1494</v>
      </c>
      <c r="Z575" s="220" t="s">
        <v>473</v>
      </c>
      <c r="AA575" s="172">
        <f>Delivery[[#This Row],[Quantity delivered]]*VLOOKUP(Delivery[[#This Row],[Unit]],References!$U:$X,4,FALSE)*VLOOKUP(CONCATENATE(Delivery[[#This Row],[Coffee specie]],Delivery[[#This Row],[Coffee state]]),References!$U:$X,4,FALSE)</f>
        <v>37416</v>
      </c>
      <c r="AB575" s="169">
        <f>SUMIF(Allocation!C:C,Delivery[[#This Row],[Delivery ID]],Allocation!D:D)/Delivery[[#This Row],[Quantity delivered]]</f>
        <v>1.5902287791319223E-2</v>
      </c>
      <c r="AC575" s="170">
        <f>Delivery[[#This Row],[Quantity delivered]]*Delivery[[#This Row],[Base price (Unidad)]]/60</f>
        <v>278195.76123600005</v>
      </c>
      <c r="AD575" s="171">
        <f>Delivery[[#This Row],[Nespresso total]]-Delivery[[#This Row],[Qt. Delivery * Base Price]]</f>
        <v>30953.087127151142</v>
      </c>
      <c r="AE575" s="171">
        <f>Delivery[[#This Row],[AAA Premium (total)]]/Delivery[[#This Row],[Quantity delivered]]*60/Delivery[[#This Row],[Exchange rate VS USD]]</f>
        <v>14</v>
      </c>
      <c r="AF575" s="171">
        <f>Delivery[[#This Row],[BEN premium (total)]]/Delivery[[#This Row],[Quantity delivered]]*60/Delivery[[#This Row],[Exchange rate for premiums VS USD]]</f>
        <v>4.9742849999999992</v>
      </c>
      <c r="AG575" s="171">
        <f>COUNTIF(Delivery[Delivery ID],Delivery[[#This Row],[Delivery ID]])</f>
        <v>1</v>
      </c>
      <c r="AH575" s="171">
        <f>(Delivery[[#This Row],[Nespresso total]]/SUMIF(Allocation!C:C,Delivery[Delivery ID],Allocation!H:H))/Delivery[[#This Row],[Exchange rate VS USD]]</f>
        <v>220.0923518232608</v>
      </c>
      <c r="AI575" s="171">
        <f>(Delivery[[#This Row],[AAA Premium (total)]]/SUMIF(Allocation!C:C,Delivery[Delivery ID],Allocation!H:H))/Delivery[[#This Row],[Exchange rate VS USD]]</f>
        <v>19.574887892376683</v>
      </c>
      <c r="AJ575" s="171">
        <f>Delivery[[#This Row],[Valor Prêmio Nespresso AAA por Kg (em US$)]]*60</f>
        <v>1174.4932735426009</v>
      </c>
      <c r="AK575" s="171">
        <f>Delivery[[#This Row],[Valor Prêmio Nespresso AAA por saca (em US$)]]/1.3228/100</f>
        <v>8.8788424065815015</v>
      </c>
      <c r="AL575" s="171">
        <f>(Delivery[[#This Row],[BEN premium (total)]]/SUMIF(Allocation!C:C,Delivery[Delivery ID],Allocation!H:H))/Delivery[[#This Row],[Exchange rate for premiums VS USD]]</f>
        <v>6.9550765156950662</v>
      </c>
      <c r="AM575" s="171">
        <f>Delivery[[#This Row],[Valor Prêmio Nespresso BEN por Kg (em US$)]]*60</f>
        <v>417.30459094170396</v>
      </c>
      <c r="AN575" s="171">
        <f>Delivery[[#This Row],[Valor Prêmio Nespresso BEN por saca (em US$)]]/1.3228/100</f>
        <v>3.1547066143158755</v>
      </c>
      <c r="AO575" s="171">
        <f>SUMIF(Allocation[Delivery ID],Delivery[[#This Row],[Delivery ID]],Allocation[Quantity allocated])*16*1.3228*Delivery[[#This Row],[Exchange rate VS USD]]/60</f>
        <v>495.47939699199998</v>
      </c>
      <c r="AP575" s="171">
        <f>Delivery[[#This Row],[AAA Premium (total)]]</f>
        <v>27495.52176</v>
      </c>
      <c r="AQ575" s="171">
        <f>Delivery[[#This Row],[Valor pago pelo Cluster]]-Delivery[[#This Row],[Valor efetivamente pago pela Nespresso]]</f>
        <v>27000.042363008</v>
      </c>
    </row>
    <row r="576" spans="1:43" ht="15.75">
      <c r="A576" s="174" t="s">
        <v>69</v>
      </c>
      <c r="B576" s="232" t="s">
        <v>68</v>
      </c>
      <c r="C576" s="157">
        <v>1</v>
      </c>
      <c r="D576" s="157" t="s">
        <v>468</v>
      </c>
      <c r="E576" s="177" t="s">
        <v>468</v>
      </c>
      <c r="F576" s="233" t="s">
        <v>469</v>
      </c>
      <c r="G576" s="234">
        <v>42816</v>
      </c>
      <c r="H576" s="157" t="s">
        <v>727</v>
      </c>
      <c r="I576" s="157" t="s">
        <v>710</v>
      </c>
      <c r="J576" s="237">
        <v>37635</v>
      </c>
      <c r="K576" s="175" t="s">
        <v>61</v>
      </c>
      <c r="L576" s="175" t="s">
        <v>439</v>
      </c>
      <c r="M576" s="175" t="s">
        <v>1343</v>
      </c>
      <c r="N576" s="180"/>
      <c r="O576" s="177"/>
      <c r="P576" s="185">
        <v>0</v>
      </c>
      <c r="Q576" s="177">
        <v>42804</v>
      </c>
      <c r="R576" s="178">
        <v>446.11251000000004</v>
      </c>
      <c r="S576" s="179">
        <v>309560.38646694447</v>
      </c>
      <c r="T576" s="182" t="s">
        <v>45</v>
      </c>
      <c r="U576" s="183">
        <v>3.1494</v>
      </c>
      <c r="V576" s="179">
        <v>27606.6</v>
      </c>
      <c r="W576" s="179">
        <v>9826.5067665277493</v>
      </c>
      <c r="X576" s="186" t="s">
        <v>45</v>
      </c>
      <c r="Y576" s="183">
        <v>3.1494</v>
      </c>
      <c r="Z576" s="220" t="s">
        <v>473</v>
      </c>
      <c r="AA576" s="172">
        <f>Delivery[[#This Row],[Quantity delivered]]*VLOOKUP(Delivery[[#This Row],[Unit]],References!$U:$X,4,FALSE)*VLOOKUP(CONCATENATE(Delivery[[#This Row],[Coffee specie]],Delivery[[#This Row],[Coffee state]]),References!$U:$X,4,FALSE)</f>
        <v>37635</v>
      </c>
      <c r="AB576" s="169">
        <f>SUMIF(Allocation!C:C,Delivery[[#This Row],[Delivery ID]],Allocation!D:D)/Delivery[[#This Row],[Quantity delivered]]</f>
        <v>1.5836322572073867E-2</v>
      </c>
      <c r="AC576" s="170">
        <f>Delivery[[#This Row],[Quantity delivered]]*Delivery[[#This Row],[Base price (Unidad)]]/60</f>
        <v>279824.07189750002</v>
      </c>
      <c r="AD576" s="171">
        <f>Delivery[[#This Row],[Nespresso total]]-Delivery[[#This Row],[Qt. Delivery * Base Price]]</f>
        <v>29736.314569444454</v>
      </c>
      <c r="AE576" s="171">
        <f>Delivery[[#This Row],[AAA Premium (total)]]/Delivery[[#This Row],[Quantity delivered]]*60/Delivery[[#This Row],[Exchange rate VS USD]]</f>
        <v>13.974762297906999</v>
      </c>
      <c r="AF576" s="171">
        <f>Delivery[[#This Row],[BEN premium (total)]]/Delivery[[#This Row],[Quantity delivered]]*60/Delivery[[#This Row],[Exchange rate for premiums VS USD]]</f>
        <v>4.9742849999999992</v>
      </c>
      <c r="AG576" s="171">
        <f>COUNTIF(Delivery[Delivery ID],Delivery[[#This Row],[Delivery ID]])</f>
        <v>1</v>
      </c>
      <c r="AH576" s="171">
        <f>(Delivery[[#This Row],[Nespresso total]]/SUMIF(Allocation!C:C,Delivery[Delivery ID],Allocation!H:H))/Delivery[[#This Row],[Exchange rate VS USD]]</f>
        <v>219.89230608532125</v>
      </c>
      <c r="AI576" s="171">
        <f>(Delivery[[#This Row],[AAA Premium (total)]]/SUMIF(Allocation!C:C,Delivery[Delivery ID],Allocation!H:H))/Delivery[[#This Row],[Exchange rate VS USD]]</f>
        <v>19.609999220049584</v>
      </c>
      <c r="AJ576" s="171">
        <f>Delivery[[#This Row],[Valor Prêmio Nespresso AAA por Kg (em US$)]]*60</f>
        <v>1176.599953202975</v>
      </c>
      <c r="AK576" s="171">
        <f>Delivery[[#This Row],[Valor Prêmio Nespresso AAA por saca (em US$)]]/1.3228/100</f>
        <v>8.8947683187403612</v>
      </c>
      <c r="AL576" s="171">
        <f>(Delivery[[#This Row],[BEN premium (total)]]/SUMIF(Allocation!C:C,Delivery[Delivery ID],Allocation!H:H))/Delivery[[#This Row],[Exchange rate for premiums VS USD]]</f>
        <v>6.9801348238255025</v>
      </c>
      <c r="AM576" s="171">
        <f>Delivery[[#This Row],[Valor Prêmio Nespresso BEN por Kg (em US$)]]*60</f>
        <v>418.80808942953013</v>
      </c>
      <c r="AN576" s="171">
        <f>Delivery[[#This Row],[Valor Prêmio Nespresso BEN por saca (em US$)]]/1.3228/100</f>
        <v>3.166072644613926</v>
      </c>
      <c r="AO576" s="171">
        <f>SUMIF(Allocation[Delivery ID],Delivery[[#This Row],[Delivery ID]],Allocation[Quantity allocated])*16*1.3228*Delivery[[#This Row],[Exchange rate VS USD]]/60</f>
        <v>496.59033734399998</v>
      </c>
      <c r="AP576" s="171">
        <f>Delivery[[#This Row],[AAA Premium (total)]]</f>
        <v>27606.6</v>
      </c>
      <c r="AQ576" s="171">
        <f>Delivery[[#This Row],[Valor pago pelo Cluster]]-Delivery[[#This Row],[Valor efetivamente pago pela Nespresso]]</f>
        <v>27110.009662655997</v>
      </c>
    </row>
    <row r="577" spans="1:43" ht="15.75">
      <c r="A577" s="174" t="s">
        <v>69</v>
      </c>
      <c r="B577" s="232" t="s">
        <v>68</v>
      </c>
      <c r="C577" s="157">
        <v>1</v>
      </c>
      <c r="D577" s="157" t="s">
        <v>468</v>
      </c>
      <c r="E577" s="177" t="s">
        <v>468</v>
      </c>
      <c r="F577" s="233" t="s">
        <v>469</v>
      </c>
      <c r="G577" s="234">
        <v>42817</v>
      </c>
      <c r="H577" s="157" t="s">
        <v>728</v>
      </c>
      <c r="I577" s="157" t="s">
        <v>706</v>
      </c>
      <c r="J577" s="237">
        <v>26985</v>
      </c>
      <c r="K577" s="175" t="s">
        <v>61</v>
      </c>
      <c r="L577" s="175" t="s">
        <v>439</v>
      </c>
      <c r="M577" s="175" t="s">
        <v>1343</v>
      </c>
      <c r="N577" s="180"/>
      <c r="O577" s="195"/>
      <c r="P577" s="185">
        <v>0</v>
      </c>
      <c r="Q577" s="177">
        <v>42802</v>
      </c>
      <c r="R577" s="178">
        <v>443.81794500000001</v>
      </c>
      <c r="S577" s="179">
        <v>245605.65502319066</v>
      </c>
      <c r="T577" s="182" t="s">
        <v>45</v>
      </c>
      <c r="U577" s="183">
        <v>3.1442999999999999</v>
      </c>
      <c r="V577" s="179">
        <v>9899.0424749999984</v>
      </c>
      <c r="W577" s="179">
        <v>3657.8774884046852</v>
      </c>
      <c r="X577" s="186" t="s">
        <v>45</v>
      </c>
      <c r="Y577" s="183">
        <v>3.1442999999999999</v>
      </c>
      <c r="Z577" s="220" t="s">
        <v>473</v>
      </c>
      <c r="AA577" s="172">
        <f>Delivery[[#This Row],[Quantity delivered]]*VLOOKUP(Delivery[[#This Row],[Unit]],References!$U:$X,4,FALSE)*VLOOKUP(CONCATENATE(Delivery[[#This Row],[Coffee specie]],Delivery[[#This Row],[Coffee state]]),References!$U:$X,4,FALSE)</f>
        <v>26985</v>
      </c>
      <c r="AB577" s="169">
        <f>SUMIF(Allocation!C:C,Delivery[[#This Row],[Delivery ID]],Allocation!D:D)/Delivery[[#This Row],[Quantity delivered]]</f>
        <v>4.2393922549564575E-2</v>
      </c>
      <c r="AC577" s="170">
        <f>Delivery[[#This Row],[Quantity delivered]]*Delivery[[#This Row],[Base price (Unidad)]]/60</f>
        <v>199607.12076374999</v>
      </c>
      <c r="AD577" s="171">
        <f>Delivery[[#This Row],[Nespresso total]]-Delivery[[#This Row],[Qt. Delivery * Base Price]]</f>
        <v>45998.534259440668</v>
      </c>
      <c r="AE577" s="171">
        <f>Delivery[[#This Row],[AAA Premium (total)]]/Delivery[[#This Row],[Quantity delivered]]*60/Delivery[[#This Row],[Exchange rate VS USD]]</f>
        <v>7</v>
      </c>
      <c r="AF577" s="171">
        <f>Delivery[[#This Row],[BEN premium (total)]]/Delivery[[#This Row],[Quantity delivered]]*60/Delivery[[#This Row],[Exchange rate for premiums VS USD]]</f>
        <v>2.5866282000000003</v>
      </c>
      <c r="AG577" s="171">
        <f>COUNTIF(Delivery[Delivery ID],Delivery[[#This Row],[Delivery ID]])</f>
        <v>1</v>
      </c>
      <c r="AH577" s="171">
        <f>(Delivery[[#This Row],[Nespresso total]]/SUMIF(Allocation!C:C,Delivery[Delivery ID],Allocation!H:H))/Delivery[[#This Row],[Exchange rate VS USD]]</f>
        <v>175.13765390201465</v>
      </c>
      <c r="AI577" s="171">
        <f>(Delivery[[#This Row],[AAA Premium (total)]]/SUMIF(Allocation!C:C,Delivery[Delivery ID],Allocation!H:H))/Delivery[[#This Row],[Exchange rate VS USD]]</f>
        <v>7.0588565022421514</v>
      </c>
      <c r="AJ577" s="171">
        <f>Delivery[[#This Row],[Valor Prêmio Nespresso AAA por Kg (em US$)]]*60</f>
        <v>423.53139013452909</v>
      </c>
      <c r="AK577" s="171">
        <f>Delivery[[#This Row],[Valor Prêmio Nespresso AAA por saca (em US$)]]/1.3228/100</f>
        <v>3.201779483932031</v>
      </c>
      <c r="AL577" s="171">
        <f>(Delivery[[#This Row],[BEN premium (total)]]/SUMIF(Allocation!C:C,Delivery[Delivery ID],Allocation!H:H))/Delivery[[#This Row],[Exchange rate for premiums VS USD]]</f>
        <v>2.608376755493274</v>
      </c>
      <c r="AM577" s="171">
        <f>Delivery[[#This Row],[Valor Prêmio Nespresso BEN por Kg (em US$)]]*60</f>
        <v>156.50260532959643</v>
      </c>
      <c r="AN577" s="171">
        <f>Delivery[[#This Row],[Valor Prêmio Nespresso BEN por saca (em US$)]]/1.3228/100</f>
        <v>1.1831161576171487</v>
      </c>
      <c r="AO577" s="171">
        <f>SUMIF(Allocation[Delivery ID],Delivery[[#This Row],[Delivery ID]],Allocation[Quantity allocated])*16*1.3228*Delivery[[#This Row],[Exchange rate VS USD]]/60</f>
        <v>494.67703942399999</v>
      </c>
      <c r="AP577" s="171">
        <f>Delivery[[#This Row],[AAA Premium (total)]]</f>
        <v>9899.0424749999984</v>
      </c>
      <c r="AQ577" s="171">
        <f>Delivery[[#This Row],[Valor pago pelo Cluster]]-Delivery[[#This Row],[Valor efetivamente pago pela Nespresso]]</f>
        <v>9404.3654355759991</v>
      </c>
    </row>
    <row r="578" spans="1:43" ht="15.75">
      <c r="A578" s="174" t="s">
        <v>69</v>
      </c>
      <c r="B578" s="232" t="s">
        <v>68</v>
      </c>
      <c r="C578" s="157">
        <v>1</v>
      </c>
      <c r="D578" s="157" t="s">
        <v>468</v>
      </c>
      <c r="E578" s="176" t="s">
        <v>468</v>
      </c>
      <c r="F578" s="233" t="s">
        <v>469</v>
      </c>
      <c r="G578" s="234">
        <v>42817</v>
      </c>
      <c r="H578" s="157" t="s">
        <v>729</v>
      </c>
      <c r="I578" s="157" t="s">
        <v>706</v>
      </c>
      <c r="J578" s="237">
        <v>30000</v>
      </c>
      <c r="K578" s="175" t="s">
        <v>61</v>
      </c>
      <c r="L578" s="175" t="s">
        <v>439</v>
      </c>
      <c r="M578" s="175" t="s">
        <v>1343</v>
      </c>
      <c r="N578" s="180"/>
      <c r="O578" s="177"/>
      <c r="P578" s="181">
        <v>0</v>
      </c>
      <c r="Q578" s="177">
        <v>42802</v>
      </c>
      <c r="R578" s="178">
        <v>443.81794500000001</v>
      </c>
      <c r="S578" s="179">
        <v>273047.86495074001</v>
      </c>
      <c r="T578" s="182" t="s">
        <v>45</v>
      </c>
      <c r="U578" s="183">
        <v>3.1442999999999999</v>
      </c>
      <c r="V578" s="179">
        <v>11005.05</v>
      </c>
      <c r="W578" s="179">
        <v>4066.5675246300002</v>
      </c>
      <c r="X578" s="186" t="s">
        <v>45</v>
      </c>
      <c r="Y578" s="183">
        <v>3.1442999999999999</v>
      </c>
      <c r="Z578" s="220" t="s">
        <v>473</v>
      </c>
      <c r="AA578" s="172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578" s="169">
        <f>SUMIF(Allocation!C:C,Delivery[[#This Row],[Delivery ID]],Allocation!D:D)/Delivery[[#This Row],[Quantity delivered]]</f>
        <v>4.016666666666667E-2</v>
      </c>
      <c r="AC578" s="170">
        <f>Delivery[[#This Row],[Quantity delivered]]*Delivery[[#This Row],[Base price (Unidad)]]/60</f>
        <v>221908.9725</v>
      </c>
      <c r="AD578" s="171">
        <f>Delivery[[#This Row],[Nespresso total]]-Delivery[[#This Row],[Qt. Delivery * Base Price]]</f>
        <v>51138.892450740008</v>
      </c>
      <c r="AE578" s="171">
        <f>Delivery[[#This Row],[AAA Premium (total)]]/Delivery[[#This Row],[Quantity delivered]]*60/Delivery[[#This Row],[Exchange rate VS USD]]</f>
        <v>7</v>
      </c>
      <c r="AF578" s="171">
        <f>Delivery[[#This Row],[BEN premium (total)]]/Delivery[[#This Row],[Quantity delivered]]*60/Delivery[[#This Row],[Exchange rate for premiums VS USD]]</f>
        <v>2.5866282000000003</v>
      </c>
      <c r="AG578" s="171">
        <f>COUNTIF(Delivery[Delivery ID],Delivery[[#This Row],[Delivery ID]])</f>
        <v>1</v>
      </c>
      <c r="AH578" s="171">
        <f>(Delivery[[#This Row],[Nespresso total]]/SUMIF(Allocation!C:C,Delivery[Delivery ID],Allocation!H:H))/Delivery[[#This Row],[Exchange rate VS USD]]</f>
        <v>184.76382792688696</v>
      </c>
      <c r="AI578" s="171">
        <f>(Delivery[[#This Row],[AAA Premium (total)]]/SUMIF(Allocation!C:C,Delivery[Delivery ID],Allocation!H:H))/Delivery[[#This Row],[Exchange rate VS USD]]</f>
        <v>7.4468085106382977</v>
      </c>
      <c r="AJ578" s="171">
        <f>Delivery[[#This Row],[Valor Prêmio Nespresso AAA por Kg (em US$)]]*60</f>
        <v>446.80851063829789</v>
      </c>
      <c r="AK578" s="171">
        <f>Delivery[[#This Row],[Valor Prêmio Nespresso AAA por saca (em US$)]]/1.3228/100</f>
        <v>3.377748039297686</v>
      </c>
      <c r="AL578" s="171">
        <f>(Delivery[[#This Row],[BEN premium (total)]]/SUMIF(Allocation!C:C,Delivery[Delivery ID],Allocation!H:H))/Delivery[[#This Row],[Exchange rate for premiums VS USD]]</f>
        <v>2.751732127659575</v>
      </c>
      <c r="AM578" s="171">
        <f>Delivery[[#This Row],[Valor Prêmio Nespresso BEN por Kg (em US$)]]*60</f>
        <v>165.10392765957451</v>
      </c>
      <c r="AN578" s="171">
        <f>Delivery[[#This Row],[Valor Prêmio Nespresso BEN por saca (em US$)]]/1.3228/100</f>
        <v>1.2481397615631578</v>
      </c>
      <c r="AO578" s="171">
        <f>SUMIF(Allocation[Delivery ID],Delivery[[#This Row],[Delivery ID]],Allocation[Quantity allocated])*16*1.3228*Delivery[[#This Row],[Exchange rate VS USD]]/60</f>
        <v>521.29643167999996</v>
      </c>
      <c r="AP578" s="171">
        <f>Delivery[[#This Row],[AAA Premium (total)]]</f>
        <v>11005.05</v>
      </c>
      <c r="AQ578" s="171">
        <f>Delivery[[#This Row],[Valor pago pelo Cluster]]-Delivery[[#This Row],[Valor efetivamente pago pela Nespresso]]</f>
        <v>10483.753568319999</v>
      </c>
    </row>
    <row r="579" spans="1:43" ht="15.75">
      <c r="A579" s="174" t="s">
        <v>69</v>
      </c>
      <c r="B579" s="232" t="s">
        <v>68</v>
      </c>
      <c r="C579" s="157">
        <v>1</v>
      </c>
      <c r="D579" s="157" t="s">
        <v>468</v>
      </c>
      <c r="E579" s="177" t="s">
        <v>468</v>
      </c>
      <c r="F579" s="233" t="s">
        <v>469</v>
      </c>
      <c r="G579" s="234">
        <v>42817</v>
      </c>
      <c r="H579" s="157" t="s">
        <v>730</v>
      </c>
      <c r="I579" s="157" t="s">
        <v>706</v>
      </c>
      <c r="J579" s="237">
        <v>18661</v>
      </c>
      <c r="K579" s="175" t="s">
        <v>61</v>
      </c>
      <c r="L579" s="175" t="s">
        <v>439</v>
      </c>
      <c r="M579" s="175" t="s">
        <v>1343</v>
      </c>
      <c r="N579" s="180"/>
      <c r="O579" s="177"/>
      <c r="P579" s="185">
        <v>0</v>
      </c>
      <c r="Q579" s="177">
        <v>42802</v>
      </c>
      <c r="R579" s="178">
        <v>443.81794500000001</v>
      </c>
      <c r="S579" s="179">
        <v>169835.49889485861</v>
      </c>
      <c r="T579" s="182" t="s">
        <v>45</v>
      </c>
      <c r="U579" s="183">
        <v>3.1442999999999999</v>
      </c>
      <c r="V579" s="179">
        <v>6845.5079349999996</v>
      </c>
      <c r="W579" s="179">
        <v>2529.540552570681</v>
      </c>
      <c r="X579" s="186" t="s">
        <v>45</v>
      </c>
      <c r="Y579" s="183">
        <v>3.1442999999999999</v>
      </c>
      <c r="Z579" s="220" t="s">
        <v>473</v>
      </c>
      <c r="AA579" s="172">
        <f>Delivery[[#This Row],[Quantity delivered]]*VLOOKUP(Delivery[[#This Row],[Unit]],References!$U:$X,4,FALSE)*VLOOKUP(CONCATENATE(Delivery[[#This Row],[Coffee specie]],Delivery[[#This Row],[Coffee state]]),References!$U:$X,4,FALSE)</f>
        <v>18661</v>
      </c>
      <c r="AB579" s="169">
        <f>SUMIF(Allocation!C:C,Delivery[[#This Row],[Delivery ID]],Allocation!D:D)/Delivery[[#This Row],[Quantity delivered]]</f>
        <v>4.2334280049300684E-2</v>
      </c>
      <c r="AC579" s="170">
        <f>Delivery[[#This Row],[Quantity delivered]]*Delivery[[#This Row],[Base price (Unidad)]]/60</f>
        <v>138034.77786075001</v>
      </c>
      <c r="AD579" s="171">
        <f>Delivery[[#This Row],[Nespresso total]]-Delivery[[#This Row],[Qt. Delivery * Base Price]]</f>
        <v>31800.721034108603</v>
      </c>
      <c r="AE579" s="171">
        <f>Delivery[[#This Row],[AAA Premium (total)]]/Delivery[[#This Row],[Quantity delivered]]*60/Delivery[[#This Row],[Exchange rate VS USD]]</f>
        <v>7</v>
      </c>
      <c r="AF579" s="171">
        <f>Delivery[[#This Row],[BEN premium (total)]]/Delivery[[#This Row],[Quantity delivered]]*60/Delivery[[#This Row],[Exchange rate for premiums VS USD]]</f>
        <v>2.5866282000000003</v>
      </c>
      <c r="AG579" s="171">
        <f>COUNTIF(Delivery[Delivery ID],Delivery[[#This Row],[Delivery ID]])</f>
        <v>1</v>
      </c>
      <c r="AH579" s="171">
        <f>(Delivery[[#This Row],[Nespresso total]]/SUMIF(Allocation!C:C,Delivery[Delivery ID],Allocation!H:H))/Delivery[[#This Row],[Exchange rate VS USD]]</f>
        <v>175.36938506212502</v>
      </c>
      <c r="AI579" s="171">
        <f>(Delivery[[#This Row],[AAA Premium (total)]]/SUMIF(Allocation!C:C,Delivery[Delivery ID],Allocation!H:H))/Delivery[[#This Row],[Exchange rate VS USD]]</f>
        <v>7.0685606060606059</v>
      </c>
      <c r="AJ579" s="171">
        <f>Delivery[[#This Row],[Valor Prêmio Nespresso AAA por Kg (em US$)]]*60</f>
        <v>424.11363636363637</v>
      </c>
      <c r="AK579" s="171">
        <f>Delivery[[#This Row],[Valor Prêmio Nespresso AAA por saca (em US$)]]/1.3228/100</f>
        <v>3.2061811034444845</v>
      </c>
      <c r="AL579" s="171">
        <f>(Delivery[[#This Row],[BEN premium (total)]]/SUMIF(Allocation!C:C,Delivery[Delivery ID],Allocation!H:H))/Delivery[[#This Row],[Exchange rate for premiums VS USD]]</f>
        <v>2.6119625995779221</v>
      </c>
      <c r="AM579" s="171">
        <f>Delivery[[#This Row],[Valor Prêmio Nespresso BEN por Kg (em US$)]]*60</f>
        <v>156.71775597467533</v>
      </c>
      <c r="AN579" s="171">
        <f>Delivery[[#This Row],[Valor Prêmio Nespresso BEN por saca (em US$)]]/1.3228/100</f>
        <v>1.1847426366395171</v>
      </c>
      <c r="AO579" s="171">
        <f>SUMIF(Allocation[Delivery ID],Delivery[[#This Row],[Delivery ID]],Allocation[Quantity allocated])*16*1.3228*Delivery[[#This Row],[Exchange rate VS USD]]/60</f>
        <v>341.61553395199996</v>
      </c>
      <c r="AP579" s="171">
        <f>Delivery[[#This Row],[AAA Premium (total)]]</f>
        <v>6845.5079349999996</v>
      </c>
      <c r="AQ579" s="171">
        <f>Delivery[[#This Row],[Valor pago pelo Cluster]]-Delivery[[#This Row],[Valor efetivamente pago pela Nespresso]]</f>
        <v>6503.8924010479996</v>
      </c>
    </row>
    <row r="580" spans="1:43" ht="15.75">
      <c r="A580" s="174" t="s">
        <v>69</v>
      </c>
      <c r="B580" s="232" t="s">
        <v>68</v>
      </c>
      <c r="C580" s="157">
        <v>1</v>
      </c>
      <c r="D580" s="157" t="s">
        <v>468</v>
      </c>
      <c r="E580" s="177" t="s">
        <v>468</v>
      </c>
      <c r="F580" s="233" t="s">
        <v>469</v>
      </c>
      <c r="G580" s="234">
        <v>42817</v>
      </c>
      <c r="H580" s="157" t="s">
        <v>731</v>
      </c>
      <c r="I580" s="157" t="s">
        <v>706</v>
      </c>
      <c r="J580" s="237">
        <v>11335.5</v>
      </c>
      <c r="K580" s="175" t="s">
        <v>61</v>
      </c>
      <c r="L580" s="175" t="s">
        <v>439</v>
      </c>
      <c r="M580" s="175" t="s">
        <v>1343</v>
      </c>
      <c r="N580" s="180"/>
      <c r="O580" s="177"/>
      <c r="P580" s="185">
        <v>0</v>
      </c>
      <c r="Q580" s="177">
        <v>42802</v>
      </c>
      <c r="R580" s="178">
        <v>443.81794500000001</v>
      </c>
      <c r="S580" s="179">
        <v>103213.31492163711</v>
      </c>
      <c r="T580" s="182" t="s">
        <v>45</v>
      </c>
      <c r="U580" s="183">
        <v>3.1442999999999999</v>
      </c>
      <c r="V580" s="179">
        <v>4158.2581424999998</v>
      </c>
      <c r="W580" s="179">
        <v>1536.5525391814456</v>
      </c>
      <c r="X580" s="186" t="s">
        <v>45</v>
      </c>
      <c r="Y580" s="183">
        <v>3.1442999999999999</v>
      </c>
      <c r="Z580" s="220" t="s">
        <v>473</v>
      </c>
      <c r="AA580" s="172">
        <f>Delivery[[#This Row],[Quantity delivered]]*VLOOKUP(Delivery[[#This Row],[Unit]],References!$U:$X,4,FALSE)*VLOOKUP(CONCATENATE(Delivery[[#This Row],[Coffee specie]],Delivery[[#This Row],[Coffee state]]),References!$U:$X,4,FALSE)</f>
        <v>11335.5</v>
      </c>
      <c r="AB580" s="169">
        <f>SUMIF(Allocation!C:C,Delivery[[#This Row],[Delivery ID]],Allocation!D:D)/Delivery[[#This Row],[Quantity delivered]]</f>
        <v>4.2344845838295619E-2</v>
      </c>
      <c r="AC580" s="170">
        <f>Delivery[[#This Row],[Quantity delivered]]*Delivery[[#This Row],[Base price (Unidad)]]/60</f>
        <v>83848.305259125002</v>
      </c>
      <c r="AD580" s="171">
        <f>Delivery[[#This Row],[Nespresso total]]-Delivery[[#This Row],[Qt. Delivery * Base Price]]</f>
        <v>19365.009662512108</v>
      </c>
      <c r="AE580" s="171">
        <f>Delivery[[#This Row],[AAA Premium (total)]]/Delivery[[#This Row],[Quantity delivered]]*60/Delivery[[#This Row],[Exchange rate VS USD]]</f>
        <v>7</v>
      </c>
      <c r="AF580" s="171">
        <f>Delivery[[#This Row],[BEN premium (total)]]/Delivery[[#This Row],[Quantity delivered]]*60/Delivery[[#This Row],[Exchange rate for premiums VS USD]]</f>
        <v>2.5866282000000003</v>
      </c>
      <c r="AG580" s="171">
        <f>COUNTIF(Delivery[Delivery ID],Delivery[[#This Row],[Delivery ID]])</f>
        <v>1</v>
      </c>
      <c r="AH580" s="171">
        <f>(Delivery[[#This Row],[Nespresso total]]/SUMIF(Allocation!C:C,Delivery[Delivery ID],Allocation!H:H))/Delivery[[#This Row],[Exchange rate VS USD]]</f>
        <v>175.22836865313809</v>
      </c>
      <c r="AI580" s="171">
        <f>(Delivery[[#This Row],[AAA Premium (total)]]/SUMIF(Allocation!C:C,Delivery[Delivery ID],Allocation!H:H))/Delivery[[#This Row],[Exchange rate VS USD]]</f>
        <v>7.0596007046388722</v>
      </c>
      <c r="AJ580" s="171">
        <f>Delivery[[#This Row],[Valor Prêmio Nespresso AAA por Kg (em US$)]]*60</f>
        <v>423.57604227833235</v>
      </c>
      <c r="AK580" s="171">
        <f>Delivery[[#This Row],[Valor Prêmio Nespresso AAA por saca (em US$)]]/1.3228/100</f>
        <v>3.2021170417170572</v>
      </c>
      <c r="AL580" s="171">
        <f>(Delivery[[#This Row],[BEN premium (total)]]/SUMIF(Allocation!C:C,Delivery[Delivery ID],Allocation!H:H))/Delivery[[#This Row],[Exchange rate for premiums VS USD]]</f>
        <v>2.6086517519083974</v>
      </c>
      <c r="AM580" s="171">
        <f>Delivery[[#This Row],[Valor Prêmio Nespresso BEN por Kg (em US$)]]*60</f>
        <v>156.51910511450384</v>
      </c>
      <c r="AN580" s="171">
        <f>Delivery[[#This Row],[Valor Prêmio Nespresso BEN por saca (em US$)]]/1.3228/100</f>
        <v>1.1832408914008454</v>
      </c>
      <c r="AO580" s="171">
        <f>SUMIF(Allocation[Delivery ID],Delivery[[#This Row],[Delivery ID]],Allocation[Quantity allocated])*16*1.3228*Delivery[[#This Row],[Exchange rate VS USD]]/60</f>
        <v>207.77544797152001</v>
      </c>
      <c r="AP580" s="171">
        <f>Delivery[[#This Row],[AAA Premium (total)]]</f>
        <v>4158.2581424999998</v>
      </c>
      <c r="AQ580" s="171">
        <f>Delivery[[#This Row],[Valor pago pelo Cluster]]-Delivery[[#This Row],[Valor efetivamente pago pela Nespresso]]</f>
        <v>3950.4826945284799</v>
      </c>
    </row>
    <row r="581" spans="1:43" ht="15.75">
      <c r="A581" s="174" t="s">
        <v>69</v>
      </c>
      <c r="B581" s="232" t="s">
        <v>68</v>
      </c>
      <c r="C581" s="157">
        <v>1</v>
      </c>
      <c r="D581" s="157" t="s">
        <v>468</v>
      </c>
      <c r="E581" s="176" t="s">
        <v>468</v>
      </c>
      <c r="F581" s="233" t="s">
        <v>469</v>
      </c>
      <c r="G581" s="234">
        <v>42817</v>
      </c>
      <c r="H581" s="157" t="s">
        <v>732</v>
      </c>
      <c r="I581" s="157" t="s">
        <v>706</v>
      </c>
      <c r="J581" s="237">
        <v>30000</v>
      </c>
      <c r="K581" s="175" t="s">
        <v>61</v>
      </c>
      <c r="L581" s="175" t="s">
        <v>439</v>
      </c>
      <c r="M581" s="175" t="s">
        <v>1343</v>
      </c>
      <c r="N581" s="180"/>
      <c r="O581" s="177"/>
      <c r="P581" s="181">
        <v>0</v>
      </c>
      <c r="Q581" s="177">
        <v>42802</v>
      </c>
      <c r="R581" s="178">
        <v>443.81794500000001</v>
      </c>
      <c r="S581" s="179">
        <v>273047.86495074001</v>
      </c>
      <c r="T581" s="182" t="s">
        <v>45</v>
      </c>
      <c r="U581" s="183">
        <v>3.1442999999999999</v>
      </c>
      <c r="V581" s="179">
        <v>11005.05</v>
      </c>
      <c r="W581" s="179">
        <v>4066.5675246300002</v>
      </c>
      <c r="X581" s="186" t="s">
        <v>45</v>
      </c>
      <c r="Y581" s="183">
        <v>3.1442999999999999</v>
      </c>
      <c r="Z581" s="220" t="s">
        <v>473</v>
      </c>
      <c r="AA581" s="172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581" s="169">
        <f>SUMIF(Allocation!C:C,Delivery[[#This Row],[Delivery ID]],Allocation!D:D)/Delivery[[#This Row],[Quantity delivered]]</f>
        <v>4.2299999999999997E-2</v>
      </c>
      <c r="AC581" s="170">
        <f>Delivery[[#This Row],[Quantity delivered]]*Delivery[[#This Row],[Base price (Unidad)]]/60</f>
        <v>221908.9725</v>
      </c>
      <c r="AD581" s="171">
        <f>Delivery[[#This Row],[Nespresso total]]-Delivery[[#This Row],[Qt. Delivery * Base Price]]</f>
        <v>51138.892450740008</v>
      </c>
      <c r="AE581" s="171">
        <f>Delivery[[#This Row],[AAA Premium (total)]]/Delivery[[#This Row],[Quantity delivered]]*60/Delivery[[#This Row],[Exchange rate VS USD]]</f>
        <v>7</v>
      </c>
      <c r="AF581" s="171">
        <f>Delivery[[#This Row],[BEN premium (total)]]/Delivery[[#This Row],[Quantity delivered]]*60/Delivery[[#This Row],[Exchange rate for premiums VS USD]]</f>
        <v>2.5866282000000003</v>
      </c>
      <c r="AG581" s="171">
        <f>COUNTIF(Delivery[Delivery ID],Delivery[[#This Row],[Delivery ID]])</f>
        <v>1</v>
      </c>
      <c r="AH581" s="171">
        <f>(Delivery[[#This Row],[Nespresso total]]/SUMIF(Allocation!C:C,Delivery[Delivery ID],Allocation!H:H))/Delivery[[#This Row],[Exchange rate VS USD]]</f>
        <v>175.43232146593309</v>
      </c>
      <c r="AI581" s="171">
        <f>(Delivery[[#This Row],[AAA Premium (total)]]/SUMIF(Allocation!C:C,Delivery[Delivery ID],Allocation!H:H))/Delivery[[#This Row],[Exchange rate VS USD]]</f>
        <v>7.0707070707070701</v>
      </c>
      <c r="AJ581" s="171">
        <f>Delivery[[#This Row],[Valor Prêmio Nespresso AAA por Kg (em US$)]]*60</f>
        <v>424.24242424242419</v>
      </c>
      <c r="AK581" s="171">
        <f>Delivery[[#This Row],[Valor Prêmio Nespresso AAA por saca (em US$)]]/1.3228/100</f>
        <v>3.2071547039796204</v>
      </c>
      <c r="AL581" s="171">
        <f>(Delivery[[#This Row],[BEN premium (total)]]/SUMIF(Allocation!C:C,Delivery[Delivery ID],Allocation!H:H))/Delivery[[#This Row],[Exchange rate for premiums VS USD]]</f>
        <v>2.6127557575757581</v>
      </c>
      <c r="AM581" s="171">
        <f>Delivery[[#This Row],[Valor Prêmio Nespresso BEN por Kg (em US$)]]*60</f>
        <v>156.7653454545455</v>
      </c>
      <c r="AN581" s="171">
        <f>Delivery[[#This Row],[Valor Prêmio Nespresso BEN por saca (em US$)]]/1.3228/100</f>
        <v>1.1851023998680488</v>
      </c>
      <c r="AO581" s="171">
        <f>SUMIF(Allocation[Delivery ID],Delivery[[#This Row],[Delivery ID]],Allocation[Quantity allocated])*16*1.3228*Delivery[[#This Row],[Exchange rate VS USD]]/60</f>
        <v>549.02496527999995</v>
      </c>
      <c r="AP581" s="171">
        <f>Delivery[[#This Row],[AAA Premium (total)]]</f>
        <v>11005.05</v>
      </c>
      <c r="AQ581" s="171">
        <f>Delivery[[#This Row],[Valor pago pelo Cluster]]-Delivery[[#This Row],[Valor efetivamente pago pela Nespresso]]</f>
        <v>10456.02503472</v>
      </c>
    </row>
    <row r="582" spans="1:43" ht="15.75">
      <c r="A582" s="174" t="s">
        <v>69</v>
      </c>
      <c r="B582" s="232" t="s">
        <v>68</v>
      </c>
      <c r="C582" s="157">
        <v>1</v>
      </c>
      <c r="D582" s="157" t="s">
        <v>468</v>
      </c>
      <c r="E582" s="176" t="s">
        <v>468</v>
      </c>
      <c r="F582" s="233" t="s">
        <v>469</v>
      </c>
      <c r="G582" s="234">
        <v>42817</v>
      </c>
      <c r="H582" s="157" t="s">
        <v>733</v>
      </c>
      <c r="I582" s="157" t="s">
        <v>710</v>
      </c>
      <c r="J582" s="237">
        <v>23471</v>
      </c>
      <c r="K582" s="175" t="s">
        <v>61</v>
      </c>
      <c r="L582" s="175" t="s">
        <v>439</v>
      </c>
      <c r="M582" s="175" t="s">
        <v>1343</v>
      </c>
      <c r="N582" s="180"/>
      <c r="O582" s="177"/>
      <c r="P582" s="181">
        <v>0</v>
      </c>
      <c r="Q582" s="177">
        <v>42804</v>
      </c>
      <c r="R582" s="178">
        <v>446.11251000000004</v>
      </c>
      <c r="S582" s="179">
        <v>193370.33348918971</v>
      </c>
      <c r="T582" s="182" t="s">
        <v>45</v>
      </c>
      <c r="U582" s="183">
        <v>3.1494</v>
      </c>
      <c r="V582" s="179">
        <v>17243.099999999999</v>
      </c>
      <c r="W582" s="179">
        <v>6128.2832554051502</v>
      </c>
      <c r="X582" s="186" t="s">
        <v>45</v>
      </c>
      <c r="Y582" s="183">
        <v>3.1494</v>
      </c>
      <c r="Z582" s="220" t="s">
        <v>473</v>
      </c>
      <c r="AA582" s="172">
        <f>Delivery[[#This Row],[Quantity delivered]]*VLOOKUP(Delivery[[#This Row],[Unit]],References!$U:$X,4,FALSE)*VLOOKUP(CONCATENATE(Delivery[[#This Row],[Coffee specie]],Delivery[[#This Row],[Coffee state]]),References!$U:$X,4,FALSE)</f>
        <v>23471</v>
      </c>
      <c r="AB582" s="169">
        <f>SUMIF(Allocation!C:C,Delivery[[#This Row],[Delivery ID]],Allocation!D:D)/Delivery[[#This Row],[Quantity delivered]]</f>
        <v>8.6915768395040682E-3</v>
      </c>
      <c r="AC582" s="170">
        <f>Delivery[[#This Row],[Quantity delivered]]*Delivery[[#This Row],[Base price (Unidad)]]/60</f>
        <v>174511.77870350002</v>
      </c>
      <c r="AD582" s="171">
        <f>Delivery[[#This Row],[Nespresso total]]-Delivery[[#This Row],[Qt. Delivery * Base Price]]</f>
        <v>18858.554785689688</v>
      </c>
      <c r="AE582" s="171">
        <f>Delivery[[#This Row],[AAA Premium (total)]]/Delivery[[#This Row],[Quantity delivered]]*60/Delivery[[#This Row],[Exchange rate VS USD]]</f>
        <v>13.996104636294177</v>
      </c>
      <c r="AF582" s="171">
        <f>Delivery[[#This Row],[BEN premium (total)]]/Delivery[[#This Row],[Quantity delivered]]*60/Delivery[[#This Row],[Exchange rate for premiums VS USD]]</f>
        <v>4.974285000000001</v>
      </c>
      <c r="AG582" s="171">
        <f>COUNTIF(Delivery[Delivery ID],Delivery[[#This Row],[Delivery ID]])</f>
        <v>1</v>
      </c>
      <c r="AH582" s="171">
        <f>(Delivery[[#This Row],[Nespresso total]]/SUMIF(Allocation!C:C,Delivery[Delivery ID],Allocation!H:H))/Delivery[[#This Row],[Exchange rate VS USD]]</f>
        <v>401.30132368649055</v>
      </c>
      <c r="AI582" s="171">
        <f>(Delivery[[#This Row],[AAA Premium (total)]]/SUMIF(Allocation!C:C,Delivery[Delivery ID],Allocation!H:H))/Delivery[[#This Row],[Exchange rate VS USD]]</f>
        <v>35.784593890899849</v>
      </c>
      <c r="AJ582" s="171">
        <f>Delivery[[#This Row],[Valor Prêmio Nespresso AAA por Kg (em US$)]]*60</f>
        <v>2147.075633453991</v>
      </c>
      <c r="AK582" s="171">
        <f>Delivery[[#This Row],[Valor Prêmio Nespresso AAA por saca (em US$)]]/1.3228/100</f>
        <v>16.231294477275409</v>
      </c>
      <c r="AL582" s="171">
        <f>(Delivery[[#This Row],[BEN premium (total)]]/SUMIF(Allocation!C:C,Delivery[Delivery ID],Allocation!H:H))/Delivery[[#This Row],[Exchange rate for premiums VS USD]]</f>
        <v>12.718022138888889</v>
      </c>
      <c r="AM582" s="171">
        <f>Delivery[[#This Row],[Valor Prêmio Nespresso BEN por Kg (em US$)]]*60</f>
        <v>763.08132833333332</v>
      </c>
      <c r="AN582" s="171">
        <f>Delivery[[#This Row],[Valor Prêmio Nespresso BEN por saca (em US$)]]/1.3228/100</f>
        <v>5.7686825546819875</v>
      </c>
      <c r="AO582" s="171">
        <f>SUMIF(Allocation[Delivery ID],Delivery[[#This Row],[Delivery ID]],Allocation[Quantity allocated])*16*1.3228*Delivery[[#This Row],[Exchange rate VS USD]]/60</f>
        <v>169.97387385599998</v>
      </c>
      <c r="AP582" s="171">
        <f>Delivery[[#This Row],[AAA Premium (total)]]</f>
        <v>17243.099999999999</v>
      </c>
      <c r="AQ582" s="171">
        <f>Delivery[[#This Row],[Valor pago pelo Cluster]]-Delivery[[#This Row],[Valor efetivamente pago pela Nespresso]]</f>
        <v>17073.126126143998</v>
      </c>
    </row>
    <row r="583" spans="1:43" ht="15.75">
      <c r="A583" s="174" t="s">
        <v>69</v>
      </c>
      <c r="B583" s="232" t="s">
        <v>68</v>
      </c>
      <c r="C583" s="157">
        <v>1</v>
      </c>
      <c r="D583" s="157" t="s">
        <v>468</v>
      </c>
      <c r="E583" s="176" t="s">
        <v>468</v>
      </c>
      <c r="F583" s="233" t="s">
        <v>469</v>
      </c>
      <c r="G583" s="234">
        <v>42818</v>
      </c>
      <c r="H583" s="157" t="s">
        <v>734</v>
      </c>
      <c r="I583" s="157" t="s">
        <v>710</v>
      </c>
      <c r="J583" s="237">
        <v>31252.5</v>
      </c>
      <c r="K583" s="175" t="s">
        <v>61</v>
      </c>
      <c r="L583" s="175" t="s">
        <v>439</v>
      </c>
      <c r="M583" s="175" t="s">
        <v>1343</v>
      </c>
      <c r="N583" s="180"/>
      <c r="O583" s="177"/>
      <c r="P583" s="181">
        <v>0</v>
      </c>
      <c r="Q583" s="177">
        <v>42804</v>
      </c>
      <c r="R583" s="178">
        <v>446.11251000000004</v>
      </c>
      <c r="S583" s="179">
        <v>257147.93077077673</v>
      </c>
      <c r="T583" s="182" t="s">
        <v>45</v>
      </c>
      <c r="U583" s="183">
        <v>3.1494</v>
      </c>
      <c r="V583" s="179">
        <v>22932</v>
      </c>
      <c r="W583" s="179">
        <v>8160.0346146116244</v>
      </c>
      <c r="X583" s="186" t="s">
        <v>45</v>
      </c>
      <c r="Y583" s="183">
        <v>3.1494</v>
      </c>
      <c r="Z583" s="220" t="s">
        <v>473</v>
      </c>
      <c r="AA583" s="172">
        <f>Delivery[[#This Row],[Quantity delivered]]*VLOOKUP(Delivery[[#This Row],[Unit]],References!$U:$X,4,FALSE)*VLOOKUP(CONCATENATE(Delivery[[#This Row],[Coffee specie]],Delivery[[#This Row],[Coffee state]]),References!$U:$X,4,FALSE)</f>
        <v>31252.5</v>
      </c>
      <c r="AB583" s="169">
        <f>SUMIF(Allocation!C:C,Delivery[[#This Row],[Delivery ID]],Allocation!D:D)/Delivery[[#This Row],[Quantity delivered]]</f>
        <v>8.7033037357011431E-3</v>
      </c>
      <c r="AC583" s="170">
        <f>Delivery[[#This Row],[Quantity delivered]]*Delivery[[#This Row],[Base price (Unidad)]]/60</f>
        <v>232368.85364625001</v>
      </c>
      <c r="AD583" s="171">
        <f>Delivery[[#This Row],[Nespresso total]]-Delivery[[#This Row],[Qt. Delivery * Base Price]]</f>
        <v>24779.077124526724</v>
      </c>
      <c r="AE583" s="171">
        <f>Delivery[[#This Row],[AAA Premium (total)]]/Delivery[[#This Row],[Quantity delivered]]*60/Delivery[[#This Row],[Exchange rate VS USD]]</f>
        <v>13.97914457565437</v>
      </c>
      <c r="AF583" s="171">
        <f>Delivery[[#This Row],[BEN premium (total)]]/Delivery[[#This Row],[Quantity delivered]]*60/Delivery[[#This Row],[Exchange rate for premiums VS USD]]</f>
        <v>4.9742849999999992</v>
      </c>
      <c r="AG583" s="171">
        <f>COUNTIF(Delivery[Delivery ID],Delivery[[#This Row],[Delivery ID]])</f>
        <v>1</v>
      </c>
      <c r="AH583" s="171">
        <f>(Delivery[[#This Row],[Nespresso total]]/SUMIF(Allocation!C:C,Delivery[Delivery ID],Allocation!H:H))/Delivery[[#This Row],[Exchange rate VS USD]]</f>
        <v>400.24419648370116</v>
      </c>
      <c r="AI583" s="171">
        <f>(Delivery[[#This Row],[AAA Premium (total)]]/SUMIF(Allocation!C:C,Delivery[Delivery ID],Allocation!H:H))/Delivery[[#This Row],[Exchange rate VS USD]]</f>
        <v>35.693073190411617</v>
      </c>
      <c r="AJ583" s="171">
        <f>Delivery[[#This Row],[Valor Prêmio Nespresso AAA por Kg (em US$)]]*60</f>
        <v>2141.5843914246971</v>
      </c>
      <c r="AK583" s="171">
        <f>Delivery[[#This Row],[Valor Prêmio Nespresso AAA por saca (em US$)]]/1.3228/100</f>
        <v>16.18978221518519</v>
      </c>
      <c r="AL583" s="171">
        <f>(Delivery[[#This Row],[BEN premium (total)]]/SUMIF(Allocation!C:C,Delivery[Delivery ID],Allocation!H:H))/Delivery[[#This Row],[Exchange rate for premiums VS USD]]</f>
        <v>12.700885781249999</v>
      </c>
      <c r="AM583" s="171">
        <f>Delivery[[#This Row],[Valor Prêmio Nespresso BEN por Kg (em US$)]]*60</f>
        <v>762.05314687499992</v>
      </c>
      <c r="AN583" s="171">
        <f>Delivery[[#This Row],[Valor Prêmio Nespresso BEN por saca (em US$)]]/1.3228/100</f>
        <v>5.760909788894768</v>
      </c>
      <c r="AO583" s="171">
        <f>SUMIF(Allocation[Delivery ID],Delivery[[#This Row],[Delivery ID]],Allocation[Quantity allocated])*16*1.3228*Delivery[[#This Row],[Exchange rate VS USD]]/60</f>
        <v>226.63183180799999</v>
      </c>
      <c r="AP583" s="171">
        <f>Delivery[[#This Row],[AAA Premium (total)]]</f>
        <v>22932</v>
      </c>
      <c r="AQ583" s="171">
        <f>Delivery[[#This Row],[Valor pago pelo Cluster]]-Delivery[[#This Row],[Valor efetivamente pago pela Nespresso]]</f>
        <v>22705.368168191999</v>
      </c>
    </row>
    <row r="584" spans="1:43" ht="15.75">
      <c r="A584" s="174" t="s">
        <v>69</v>
      </c>
      <c r="B584" s="232" t="s">
        <v>68</v>
      </c>
      <c r="C584" s="157">
        <v>1</v>
      </c>
      <c r="D584" s="157" t="s">
        <v>468</v>
      </c>
      <c r="E584" s="176" t="s">
        <v>468</v>
      </c>
      <c r="F584" s="233" t="s">
        <v>469</v>
      </c>
      <c r="G584" s="234">
        <v>42817</v>
      </c>
      <c r="H584" s="157" t="s">
        <v>735</v>
      </c>
      <c r="I584" s="157" t="s">
        <v>706</v>
      </c>
      <c r="J584" s="237">
        <v>3273</v>
      </c>
      <c r="K584" s="175" t="s">
        <v>61</v>
      </c>
      <c r="L584" s="175" t="s">
        <v>439</v>
      </c>
      <c r="M584" s="175" t="s">
        <v>1343</v>
      </c>
      <c r="N584" s="180"/>
      <c r="O584" s="177"/>
      <c r="P584" s="181">
        <v>0</v>
      </c>
      <c r="Q584" s="177">
        <v>42802</v>
      </c>
      <c r="R584" s="178">
        <v>444.43089000000009</v>
      </c>
      <c r="S584" s="179">
        <v>24872.075203837776</v>
      </c>
      <c r="T584" s="182" t="s">
        <v>45</v>
      </c>
      <c r="U584" s="183">
        <v>3.1453000000000002</v>
      </c>
      <c r="V584" s="179">
        <v>1201.0328050000003</v>
      </c>
      <c r="W584" s="179">
        <v>341.38739808111001</v>
      </c>
      <c r="X584" s="186" t="s">
        <v>45</v>
      </c>
      <c r="Y584" s="183">
        <v>3.1453000000000002</v>
      </c>
      <c r="Z584" s="220" t="s">
        <v>473</v>
      </c>
      <c r="AA584" s="172">
        <f>Delivery[[#This Row],[Quantity delivered]]*VLOOKUP(Delivery[[#This Row],[Unit]],References!$U:$X,4,FALSE)*VLOOKUP(CONCATENATE(Delivery[[#This Row],[Coffee specie]],Delivery[[#This Row],[Coffee state]]),References!$U:$X,4,FALSE)</f>
        <v>3273</v>
      </c>
      <c r="AB584" s="169">
        <f>SUMIF(Allocation!C:C,Delivery[[#This Row],[Delivery ID]],Allocation!D:D)/Delivery[[#This Row],[Quantity delivered]]</f>
        <v>0.12129544760158875</v>
      </c>
      <c r="AC584" s="170">
        <f>Delivery[[#This Row],[Quantity delivered]]*Delivery[[#This Row],[Base price (Unidad)]]/60</f>
        <v>24243.705049500004</v>
      </c>
      <c r="AD584" s="171">
        <f>Delivery[[#This Row],[Nespresso total]]-Delivery[[#This Row],[Qt. Delivery * Base Price]]</f>
        <v>628.37015433777196</v>
      </c>
      <c r="AE584" s="171">
        <f>Delivery[[#This Row],[AAA Premium (total)]]/Delivery[[#This Row],[Quantity delivered]]*60/Delivery[[#This Row],[Exchange rate VS USD]]</f>
        <v>7</v>
      </c>
      <c r="AF584" s="171">
        <f>Delivery[[#This Row],[BEN premium (total)]]/Delivery[[#This Row],[Quantity delivered]]*60/Delivery[[#This Row],[Exchange rate for premiums VS USD]]</f>
        <v>1.989714</v>
      </c>
      <c r="AG584" s="171">
        <f>COUNTIF(Delivery[Delivery ID],Delivery[[#This Row],[Delivery ID]])</f>
        <v>1</v>
      </c>
      <c r="AH584" s="171">
        <f>(Delivery[[#This Row],[Nespresso total]]/SUMIF(Allocation!C:C,Delivery[Delivery ID],Allocation!H:H))/Delivery[[#This Row],[Exchange rate VS USD]]</f>
        <v>66.451224152344082</v>
      </c>
      <c r="AI584" s="171">
        <f>(Delivery[[#This Row],[AAA Premium (total)]]/SUMIF(Allocation!C:C,Delivery[Delivery ID],Allocation!H:H))/Delivery[[#This Row],[Exchange rate VS USD]]</f>
        <v>3.2088235294117653</v>
      </c>
      <c r="AJ584" s="171">
        <f>Delivery[[#This Row],[Valor Prêmio Nespresso AAA por Kg (em US$)]]*60</f>
        <v>192.52941176470591</v>
      </c>
      <c r="AK584" s="171">
        <f>Delivery[[#This Row],[Valor Prêmio Nespresso AAA por saca (em US$)]]/1.3228/100</f>
        <v>1.4554687916896427</v>
      </c>
      <c r="AL584" s="171">
        <f>(Delivery[[#This Row],[BEN premium (total)]]/SUMIF(Allocation!C:C,Delivery[Delivery ID],Allocation!H:H))/Delivery[[#This Row],[Exchange rate for premiums VS USD]]</f>
        <v>0.91209158571428572</v>
      </c>
      <c r="AM584" s="171">
        <f>Delivery[[#This Row],[Valor Prêmio Nespresso BEN por Kg (em US$)]]*60</f>
        <v>54.725495142857142</v>
      </c>
      <c r="AN584" s="171">
        <f>Delivery[[#This Row],[Valor Prêmio Nespresso BEN por saca (em US$)]]/1.3228/100</f>
        <v>0.41370951876970929</v>
      </c>
      <c r="AO584" s="171">
        <f>SUMIF(Allocation[Delivery ID],Delivery[[#This Row],[Delivery ID]],Allocation[Quantity allocated])*16*1.3228*Delivery[[#This Row],[Exchange rate VS USD]]/60</f>
        <v>132.02979678933332</v>
      </c>
      <c r="AP584" s="171">
        <f>Delivery[[#This Row],[AAA Premium (total)]]</f>
        <v>1201.0328050000003</v>
      </c>
      <c r="AQ584" s="171">
        <f>Delivery[[#This Row],[Valor pago pelo Cluster]]-Delivery[[#This Row],[Valor efetivamente pago pela Nespresso]]</f>
        <v>1069.0030082106668</v>
      </c>
    </row>
    <row r="585" spans="1:43" ht="15.75">
      <c r="A585" s="174" t="s">
        <v>69</v>
      </c>
      <c r="B585" s="232" t="s">
        <v>68</v>
      </c>
      <c r="C585" s="157">
        <v>1</v>
      </c>
      <c r="D585" s="157" t="s">
        <v>468</v>
      </c>
      <c r="E585" s="177" t="s">
        <v>468</v>
      </c>
      <c r="F585" s="233" t="s">
        <v>469</v>
      </c>
      <c r="G585" s="234">
        <v>42822</v>
      </c>
      <c r="H585" s="157" t="s">
        <v>736</v>
      </c>
      <c r="I585" s="157" t="s">
        <v>737</v>
      </c>
      <c r="J585" s="237">
        <v>25208</v>
      </c>
      <c r="K585" s="175" t="s">
        <v>61</v>
      </c>
      <c r="L585" s="175" t="s">
        <v>439</v>
      </c>
      <c r="M585" s="175" t="s">
        <v>1343</v>
      </c>
      <c r="N585" s="180"/>
      <c r="O585" s="177"/>
      <c r="P585" s="185">
        <v>0</v>
      </c>
      <c r="Q585" s="177">
        <v>42815</v>
      </c>
      <c r="R585" s="178">
        <v>446.5103405714035</v>
      </c>
      <c r="S585" s="179">
        <v>216325.44495522857</v>
      </c>
      <c r="T585" s="182" t="s">
        <v>45</v>
      </c>
      <c r="U585" s="183">
        <v>3.0847001075744629</v>
      </c>
      <c r="V585" s="179">
        <v>9071.8973697026577</v>
      </c>
      <c r="W585" s="179">
        <v>2836.5041890523726</v>
      </c>
      <c r="X585" s="186" t="s">
        <v>45</v>
      </c>
      <c r="Y585" s="183">
        <v>3.0847001075744629</v>
      </c>
      <c r="Z585" s="222" t="s">
        <v>473</v>
      </c>
      <c r="AA585" s="172">
        <f>Delivery[[#This Row],[Quantity delivered]]*VLOOKUP(Delivery[[#This Row],[Unit]],References!$U:$X,4,FALSE)*VLOOKUP(CONCATENATE(Delivery[[#This Row],[Coffee specie]],Delivery[[#This Row],[Coffee state]]),References!$U:$X,4,FALSE)</f>
        <v>25208</v>
      </c>
      <c r="AB585" s="169">
        <f>SUMIF(Allocation!C:C,Delivery[[#This Row],[Delivery ID]],Allocation!D:D)/Delivery[[#This Row],[Quantity delivered]]</f>
        <v>7.1009203427483342E-3</v>
      </c>
      <c r="AC585" s="170">
        <f>Delivery[[#This Row],[Quantity delivered]]*Delivery[[#This Row],[Base price (Unidad)]]/60</f>
        <v>187593.87775206566</v>
      </c>
      <c r="AD585" s="171">
        <f>Delivery[[#This Row],[Nespresso total]]-Delivery[[#This Row],[Qt. Delivery * Base Price]]</f>
        <v>28731.567203162907</v>
      </c>
      <c r="AE585" s="171">
        <f>Delivery[[#This Row],[AAA Premium (total)]]/Delivery[[#This Row],[Quantity delivered]]*60/Delivery[[#This Row],[Exchange rate VS USD]]</f>
        <v>7</v>
      </c>
      <c r="AF585" s="171">
        <f>Delivery[[#This Row],[BEN premium (total)]]/Delivery[[#This Row],[Quantity delivered]]*60/Delivery[[#This Row],[Exchange rate for premiums VS USD]]</f>
        <v>2.1886854000000002</v>
      </c>
      <c r="AG585" s="171">
        <f>COUNTIF(Delivery[Delivery ID],Delivery[[#This Row],[Delivery ID]])</f>
        <v>1</v>
      </c>
      <c r="AH585" s="171">
        <f>(Delivery[[#This Row],[Nespresso total]]/SUMIF(Allocation!C:C,Delivery[Delivery ID],Allocation!H:H))/Delivery[[#This Row],[Exchange rate VS USD]]</f>
        <v>1188.618937814962</v>
      </c>
      <c r="AI585" s="171">
        <f>(Delivery[[#This Row],[AAA Premium (total)]]/SUMIF(Allocation!C:C,Delivery[Delivery ID],Allocation!H:H))/Delivery[[#This Row],[Exchange rate VS USD]]</f>
        <v>49.846327683615819</v>
      </c>
      <c r="AJ585" s="171">
        <f>Delivery[[#This Row],[Valor Prêmio Nespresso AAA por Kg (em US$)]]*60</f>
        <v>2990.7796610169489</v>
      </c>
      <c r="AK585" s="171">
        <f>Delivery[[#This Row],[Valor Prêmio Nespresso AAA por saca (em US$)]]/1.3228/100</f>
        <v>22.609462209078838</v>
      </c>
      <c r="AL585" s="171">
        <f>(Delivery[[#This Row],[BEN premium (total)]]/SUMIF(Allocation!C:C,Delivery[Delivery ID],Allocation!H:H))/Delivery[[#This Row],[Exchange rate for premiums VS USD]]</f>
        <v>15.585418520677967</v>
      </c>
      <c r="AM585" s="171">
        <f>Delivery[[#This Row],[Valor Prêmio Nespresso BEN por Kg (em US$)]]*60</f>
        <v>935.12511124067805</v>
      </c>
      <c r="AN585" s="171">
        <f>Delivery[[#This Row],[Valor Prêmio Nespresso BEN por saca (em US$)]]/1.3228/100</f>
        <v>7.0692856912660877</v>
      </c>
      <c r="AO585" s="171">
        <f>SUMIF(Allocation[Delivery ID],Delivery[[#This Row],[Delivery ID]],Allocation[Quantity allocated])*16*1.3228*Delivery[[#This Row],[Exchange rate VS USD]]/60</f>
        <v>64.198943156178785</v>
      </c>
      <c r="AP585" s="171">
        <f>Delivery[[#This Row],[AAA Premium (total)]]</f>
        <v>9071.8973697026577</v>
      </c>
      <c r="AQ585" s="171">
        <f>Delivery[[#This Row],[Valor pago pelo Cluster]]-Delivery[[#This Row],[Valor efetivamente pago pela Nespresso]]</f>
        <v>9007.698426546478</v>
      </c>
    </row>
    <row r="586" spans="1:43" ht="15.75">
      <c r="A586" s="174" t="s">
        <v>69</v>
      </c>
      <c r="B586" s="232" t="s">
        <v>68</v>
      </c>
      <c r="C586" s="157">
        <v>1</v>
      </c>
      <c r="D586" s="157" t="s">
        <v>468</v>
      </c>
      <c r="E586" s="177" t="s">
        <v>468</v>
      </c>
      <c r="F586" s="233" t="s">
        <v>469</v>
      </c>
      <c r="G586" s="234">
        <v>42821</v>
      </c>
      <c r="H586" s="238" t="s">
        <v>738</v>
      </c>
      <c r="I586" s="157" t="s">
        <v>737</v>
      </c>
      <c r="J586" s="237">
        <v>31339</v>
      </c>
      <c r="K586" s="175" t="s">
        <v>61</v>
      </c>
      <c r="L586" s="175" t="s">
        <v>439</v>
      </c>
      <c r="M586" s="175" t="s">
        <v>1343</v>
      </c>
      <c r="N586" s="180"/>
      <c r="O586" s="177"/>
      <c r="P586" s="185">
        <v>0</v>
      </c>
      <c r="Q586" s="177">
        <v>42815</v>
      </c>
      <c r="R586" s="178">
        <v>446.51032500000002</v>
      </c>
      <c r="S586" s="179">
        <v>268939.3496370975</v>
      </c>
      <c r="T586" s="182" t="s">
        <v>45</v>
      </c>
      <c r="U586" s="183">
        <v>3.0847000000000002</v>
      </c>
      <c r="V586" s="179">
        <v>11278.331551666666</v>
      </c>
      <c r="W586" s="179">
        <v>3526.3885147845976</v>
      </c>
      <c r="X586" s="186" t="s">
        <v>45</v>
      </c>
      <c r="Y586" s="183">
        <v>3.0847000000000002</v>
      </c>
      <c r="Z586" s="222" t="s">
        <v>473</v>
      </c>
      <c r="AA586" s="172">
        <f>Delivery[[#This Row],[Quantity delivered]]*VLOOKUP(Delivery[[#This Row],[Unit]],References!$U:$X,4,FALSE)*VLOOKUP(CONCATENATE(Delivery[[#This Row],[Coffee specie]],Delivery[[#This Row],[Coffee state]]),References!$U:$X,4,FALSE)</f>
        <v>31339</v>
      </c>
      <c r="AB586" s="169">
        <f>SUMIF(Allocation!C:C,Delivery[[#This Row],[Delivery ID]],Allocation!D:D)/Delivery[[#This Row],[Quantity delivered]]</f>
        <v>5.711732984460257E-3</v>
      </c>
      <c r="AC586" s="170">
        <f>Delivery[[#This Row],[Quantity delivered]]*Delivery[[#This Row],[Base price (Unidad)]]/60</f>
        <v>233219.78458625</v>
      </c>
      <c r="AD586" s="171">
        <f>Delivery[[#This Row],[Nespresso total]]-Delivery[[#This Row],[Qt. Delivery * Base Price]]</f>
        <v>35719.565050847508</v>
      </c>
      <c r="AE586" s="171">
        <f>Delivery[[#This Row],[AAA Premium (total)]]/Delivery[[#This Row],[Quantity delivered]]*60/Delivery[[#This Row],[Exchange rate VS USD]]</f>
        <v>7</v>
      </c>
      <c r="AF586" s="171">
        <f>Delivery[[#This Row],[BEN premium (total)]]/Delivery[[#This Row],[Quantity delivered]]*60/Delivery[[#This Row],[Exchange rate for premiums VS USD]]</f>
        <v>2.1886854000000002</v>
      </c>
      <c r="AG586" s="171">
        <f>COUNTIF(Delivery[Delivery ID],Delivery[[#This Row],[Delivery ID]])</f>
        <v>1</v>
      </c>
      <c r="AH586" s="171">
        <f>(Delivery[[#This Row],[Nespresso total]]/SUMIF(Allocation!C:C,Delivery[Delivery ID],Allocation!H:H))/Delivery[[#This Row],[Exchange rate VS USD]]</f>
        <v>1477.7106563509321</v>
      </c>
      <c r="AI586" s="171">
        <f>(Delivery[[#This Row],[AAA Premium (total)]]/SUMIF(Allocation!C:C,Delivery[Delivery ID],Allocation!H:H))/Delivery[[#This Row],[Exchange rate VS USD]]</f>
        <v>61.969774011299428</v>
      </c>
      <c r="AJ586" s="171">
        <f>Delivery[[#This Row],[Valor Prêmio Nespresso AAA por Kg (em US$)]]*60</f>
        <v>3718.1864406779655</v>
      </c>
      <c r="AK586" s="171">
        <f>Delivery[[#This Row],[Valor Prêmio Nespresso AAA por saca (em US$)]]/1.3228/100</f>
        <v>28.108455100377729</v>
      </c>
      <c r="AL586" s="171">
        <f>(Delivery[[#This Row],[BEN premium (total)]]/SUMIF(Allocation!C:C,Delivery[Delivery ID],Allocation!H:H))/Delivery[[#This Row],[Exchange rate for premiums VS USD]]</f>
        <v>19.376048517118647</v>
      </c>
      <c r="AM586" s="171">
        <f>Delivery[[#This Row],[Valor Prêmio Nespresso BEN por Kg (em US$)]]*60</f>
        <v>1162.5629110271188</v>
      </c>
      <c r="AN586" s="171">
        <f>Delivery[[#This Row],[Valor Prêmio Nespresso BEN por saca (em US$)]]/1.3228/100</f>
        <v>8.7886521849646115</v>
      </c>
      <c r="AO586" s="171">
        <f>SUMIF(Allocation[Delivery ID],Delivery[[#This Row],[Delivery ID]],Allocation[Quantity allocated])*16*1.3228*Delivery[[#This Row],[Exchange rate VS USD]]/60</f>
        <v>64.198940917333331</v>
      </c>
      <c r="AP586" s="171">
        <f>Delivery[[#This Row],[AAA Premium (total)]]</f>
        <v>11278.331551666666</v>
      </c>
      <c r="AQ586" s="171">
        <f>Delivery[[#This Row],[Valor pago pelo Cluster]]-Delivery[[#This Row],[Valor efetivamente pago pela Nespresso]]</f>
        <v>11214.132610749333</v>
      </c>
    </row>
    <row r="587" spans="1:43" ht="15.75">
      <c r="A587" s="174" t="s">
        <v>69</v>
      </c>
      <c r="B587" s="232" t="s">
        <v>68</v>
      </c>
      <c r="C587" s="157">
        <v>1</v>
      </c>
      <c r="D587" s="157" t="s">
        <v>468</v>
      </c>
      <c r="E587" s="177" t="s">
        <v>468</v>
      </c>
      <c r="F587" s="233" t="s">
        <v>469</v>
      </c>
      <c r="G587" s="234">
        <v>42821</v>
      </c>
      <c r="H587" s="157" t="s">
        <v>739</v>
      </c>
      <c r="I587" s="157" t="s">
        <v>511</v>
      </c>
      <c r="J587" s="237">
        <v>29956</v>
      </c>
      <c r="K587" s="175" t="s">
        <v>61</v>
      </c>
      <c r="L587" s="175" t="s">
        <v>439</v>
      </c>
      <c r="M587" s="175" t="s">
        <v>1343</v>
      </c>
      <c r="N587" s="180"/>
      <c r="O587" s="177"/>
      <c r="P587" s="185">
        <v>0</v>
      </c>
      <c r="Q587" s="177">
        <v>42816</v>
      </c>
      <c r="R587" s="178">
        <v>438.07972000000001</v>
      </c>
      <c r="S587" s="179">
        <v>244901.38447570789</v>
      </c>
      <c r="T587" s="182" t="s">
        <v>45</v>
      </c>
      <c r="U587" s="183">
        <v>3.0916000000000001</v>
      </c>
      <c r="V587" s="179">
        <v>10804.729786666669</v>
      </c>
      <c r="W587" s="179">
        <v>3378.3077621460643</v>
      </c>
      <c r="X587" s="186" t="s">
        <v>45</v>
      </c>
      <c r="Y587" s="183">
        <v>3.0916000000000001</v>
      </c>
      <c r="Z587" s="222" t="s">
        <v>473</v>
      </c>
      <c r="AA587" s="172">
        <f>Delivery[[#This Row],[Quantity delivered]]*VLOOKUP(Delivery[[#This Row],[Unit]],References!$U:$X,4,FALSE)*VLOOKUP(CONCATENATE(Delivery[[#This Row],[Coffee specie]],Delivery[[#This Row],[Coffee state]]),References!$U:$X,4,FALSE)</f>
        <v>29956</v>
      </c>
      <c r="AB587" s="169">
        <f>SUMIF(Allocation!C:C,Delivery[[#This Row],[Delivery ID]],Allocation!D:D)/Delivery[[#This Row],[Quantity delivered]]</f>
        <v>5.0073441046868741E-2</v>
      </c>
      <c r="AC587" s="170">
        <f>Delivery[[#This Row],[Quantity delivered]]*Delivery[[#This Row],[Base price (Unidad)]]/60</f>
        <v>218718.60153866667</v>
      </c>
      <c r="AD587" s="171">
        <f>Delivery[[#This Row],[Nespresso total]]-Delivery[[#This Row],[Qt. Delivery * Base Price]]</f>
        <v>26182.782937041222</v>
      </c>
      <c r="AE587" s="171">
        <f>Delivery[[#This Row],[AAA Premium (total)]]/Delivery[[#This Row],[Quantity delivered]]*60/Delivery[[#This Row],[Exchange rate VS USD]]</f>
        <v>7</v>
      </c>
      <c r="AF587" s="171">
        <f>Delivery[[#This Row],[BEN premium (total)]]/Delivery[[#This Row],[Quantity delivered]]*60/Delivery[[#This Row],[Exchange rate for premiums VS USD]]</f>
        <v>2.1886854000000002</v>
      </c>
      <c r="AG587" s="171">
        <f>COUNTIF(Delivery[Delivery ID],Delivery[[#This Row],[Delivery ID]])</f>
        <v>1</v>
      </c>
      <c r="AH587" s="171">
        <f>(Delivery[[#This Row],[Nespresso total]]/SUMIF(Allocation!C:C,Delivery[Delivery ID],Allocation!H:H))/Delivery[[#This Row],[Exchange rate VS USD]]</f>
        <v>160.03049284127854</v>
      </c>
      <c r="AI587" s="171">
        <f>(Delivery[[#This Row],[AAA Premium (total)]]/SUMIF(Allocation!C:C,Delivery[Delivery ID],Allocation!H:H))/Delivery[[#This Row],[Exchange rate VS USD]]</f>
        <v>7.060336700336701</v>
      </c>
      <c r="AJ587" s="171">
        <f>Delivery[[#This Row],[Valor Prêmio Nespresso AAA por Kg (em US$)]]*60</f>
        <v>423.62020202020204</v>
      </c>
      <c r="AK587" s="171">
        <f>Delivery[[#This Row],[Valor Prêmio Nespresso AAA por saca (em US$)]]/1.3228/100</f>
        <v>3.2024508770804512</v>
      </c>
      <c r="AL587" s="171">
        <f>(Delivery[[#This Row],[BEN premium (total)]]/SUMIF(Allocation!C:C,Delivery[Delivery ID],Allocation!H:H))/Delivery[[#This Row],[Exchange rate for premiums VS USD]]</f>
        <v>2.2075508364444447</v>
      </c>
      <c r="AM587" s="171">
        <f>Delivery[[#This Row],[Valor Prêmio Nespresso BEN por Kg (em US$)]]*60</f>
        <v>132.45305018666667</v>
      </c>
      <c r="AN587" s="171">
        <f>Delivery[[#This Row],[Valor Prêmio Nespresso BEN por saca (em US$)]]/1.3228/100</f>
        <v>1.0013082112690253</v>
      </c>
      <c r="AO587" s="171">
        <f>SUMIF(Allocation[Delivery ID],Delivery[[#This Row],[Delivery ID]],Allocation[Quantity allocated])*16*1.3228*Delivery[[#This Row],[Exchange rate VS USD]]/60</f>
        <v>539.82303935999994</v>
      </c>
      <c r="AP587" s="171">
        <f>Delivery[[#This Row],[AAA Premium (total)]]</f>
        <v>10804.729786666669</v>
      </c>
      <c r="AQ587" s="171">
        <f>Delivery[[#This Row],[Valor pago pelo Cluster]]-Delivery[[#This Row],[Valor efetivamente pago pela Nespresso]]</f>
        <v>10264.906747306668</v>
      </c>
    </row>
    <row r="588" spans="1:43" ht="15.75">
      <c r="A588" s="174" t="s">
        <v>69</v>
      </c>
      <c r="B588" s="232" t="s">
        <v>68</v>
      </c>
      <c r="C588" s="157">
        <v>1</v>
      </c>
      <c r="D588" s="157" t="s">
        <v>468</v>
      </c>
      <c r="E588" s="176" t="s">
        <v>468</v>
      </c>
      <c r="F588" s="233" t="s">
        <v>469</v>
      </c>
      <c r="G588" s="234">
        <v>42822</v>
      </c>
      <c r="H588" s="157" t="s">
        <v>740</v>
      </c>
      <c r="I588" s="157" t="s">
        <v>741</v>
      </c>
      <c r="J588" s="237">
        <v>31622</v>
      </c>
      <c r="K588" s="175" t="s">
        <v>61</v>
      </c>
      <c r="L588" s="175" t="s">
        <v>439</v>
      </c>
      <c r="M588" s="175" t="s">
        <v>1343</v>
      </c>
      <c r="N588" s="180"/>
      <c r="O588" s="177"/>
      <c r="P588" s="181">
        <v>0</v>
      </c>
      <c r="Q588" s="177">
        <v>42815</v>
      </c>
      <c r="R588" s="178">
        <v>446.67791999999997</v>
      </c>
      <c r="S588" s="179">
        <v>266498.18984423735</v>
      </c>
      <c r="T588" s="182" t="s">
        <v>45</v>
      </c>
      <c r="U588" s="183">
        <v>3.0815999999999999</v>
      </c>
      <c r="V588" s="179">
        <v>22740.2</v>
      </c>
      <c r="W588" s="179">
        <v>6893.8800778813429</v>
      </c>
      <c r="X588" s="186" t="s">
        <v>45</v>
      </c>
      <c r="Y588" s="183">
        <v>3.0815999999999999</v>
      </c>
      <c r="Z588" s="222" t="s">
        <v>473</v>
      </c>
      <c r="AA588" s="172">
        <f>Delivery[[#This Row],[Quantity delivered]]*VLOOKUP(Delivery[[#This Row],[Unit]],References!$U:$X,4,FALSE)*VLOOKUP(CONCATENATE(Delivery[[#This Row],[Coffee specie]],Delivery[[#This Row],[Coffee state]]),References!$U:$X,4,FALSE)</f>
        <v>31622</v>
      </c>
      <c r="AB588" s="169">
        <f>SUMIF(Allocation!C:C,Delivery[[#This Row],[Delivery ID]],Allocation!D:D)/Delivery[[#This Row],[Quantity delivered]]</f>
        <v>2.1504016191259249E-2</v>
      </c>
      <c r="AC588" s="170">
        <f>Delivery[[#This Row],[Quantity delivered]]*Delivery[[#This Row],[Base price (Unidad)]]/60</f>
        <v>235414.15310399997</v>
      </c>
      <c r="AD588" s="171">
        <f>Delivery[[#This Row],[Nespresso total]]-Delivery[[#This Row],[Qt. Delivery * Base Price]]</f>
        <v>31084.036740237381</v>
      </c>
      <c r="AE588" s="171">
        <f>Delivery[[#This Row],[AAA Premium (total)]]/Delivery[[#This Row],[Quantity delivered]]*60/Delivery[[#This Row],[Exchange rate VS USD]]</f>
        <v>14.001672994332784</v>
      </c>
      <c r="AF588" s="171">
        <f>Delivery[[#This Row],[BEN premium (total)]]/Delivery[[#This Row],[Quantity delivered]]*60/Delivery[[#This Row],[Exchange rate for premiums VS USD]]</f>
        <v>4.2447231999999993</v>
      </c>
      <c r="AG588" s="171">
        <f>COUNTIF(Delivery[Delivery ID],Delivery[[#This Row],[Delivery ID]])</f>
        <v>1</v>
      </c>
      <c r="AH588" s="171">
        <f>(Delivery[[#This Row],[Nespresso total]]/SUMIF(Allocation!C:C,Delivery[Delivery ID],Allocation!H:H))/Delivery[[#This Row],[Exchange rate VS USD]]</f>
        <v>198.80565838632668</v>
      </c>
      <c r="AI588" s="171">
        <f>(Delivery[[#This Row],[AAA Premium (total)]]/SUMIF(Allocation!C:C,Delivery[Delivery ID],Allocation!H:H))/Delivery[[#This Row],[Exchange rate VS USD]]</f>
        <v>16.964019288382808</v>
      </c>
      <c r="AJ588" s="171">
        <f>Delivery[[#This Row],[Valor Prêmio Nespresso AAA por Kg (em US$)]]*60</f>
        <v>1017.8411573029684</v>
      </c>
      <c r="AK588" s="171">
        <f>Delivery[[#This Row],[Valor Prêmio Nespresso AAA por saca (em US$)]]/1.3228/100</f>
        <v>7.6945959880780803</v>
      </c>
      <c r="AL588" s="171">
        <f>(Delivery[[#This Row],[BEN premium (total)]]/SUMIF(Allocation!C:C,Delivery[Delivery ID],Allocation!H:H))/Delivery[[#This Row],[Exchange rate for premiums VS USD]]</f>
        <v>5.1427830279846738</v>
      </c>
      <c r="AM588" s="171">
        <f>Delivery[[#This Row],[Valor Prêmio Nespresso BEN por Kg (em US$)]]*60</f>
        <v>308.56698167908041</v>
      </c>
      <c r="AN588" s="171">
        <f>Delivery[[#This Row],[Valor Prêmio Nespresso BEN por saca (em US$)]]/1.3228/100</f>
        <v>2.3326805388500182</v>
      </c>
      <c r="AO588" s="171">
        <f>SUMIF(Allocation[Delivery ID],Delivery[[#This Row],[Delivery ID]],Allocation[Quantity allocated])*16*1.3228*Delivery[[#This Row],[Exchange rate VS USD]]/60</f>
        <v>472.85549567999999</v>
      </c>
      <c r="AP588" s="171">
        <f>Delivery[[#This Row],[AAA Premium (total)]]</f>
        <v>22740.2</v>
      </c>
      <c r="AQ588" s="171">
        <f>Delivery[[#This Row],[Valor pago pelo Cluster]]-Delivery[[#This Row],[Valor efetivamente pago pela Nespresso]]</f>
        <v>22267.344504320001</v>
      </c>
    </row>
    <row r="589" spans="1:43" ht="15.75">
      <c r="A589" s="174" t="s">
        <v>69</v>
      </c>
      <c r="B589" s="232" t="s">
        <v>68</v>
      </c>
      <c r="C589" s="157">
        <v>1</v>
      </c>
      <c r="D589" s="157" t="s">
        <v>468</v>
      </c>
      <c r="E589" s="177" t="s">
        <v>468</v>
      </c>
      <c r="F589" s="233" t="s">
        <v>469</v>
      </c>
      <c r="G589" s="234">
        <v>42828</v>
      </c>
      <c r="H589" s="157" t="s">
        <v>742</v>
      </c>
      <c r="I589" s="157" t="s">
        <v>737</v>
      </c>
      <c r="J589" s="237">
        <v>15000</v>
      </c>
      <c r="K589" s="175" t="s">
        <v>61</v>
      </c>
      <c r="L589" s="175" t="s">
        <v>439</v>
      </c>
      <c r="M589" s="175" t="s">
        <v>1343</v>
      </c>
      <c r="N589" s="180"/>
      <c r="O589" s="177"/>
      <c r="P589" s="185">
        <v>0</v>
      </c>
      <c r="Q589" s="177">
        <v>42822</v>
      </c>
      <c r="R589" s="178">
        <v>435.98899999999998</v>
      </c>
      <c r="S589" s="179">
        <v>124298.12209200001</v>
      </c>
      <c r="T589" s="182" t="s">
        <v>45</v>
      </c>
      <c r="U589" s="183">
        <v>3.14</v>
      </c>
      <c r="V589" s="179">
        <v>5495</v>
      </c>
      <c r="W589" s="179">
        <v>1978.4389540000002</v>
      </c>
      <c r="X589" s="186" t="s">
        <v>45</v>
      </c>
      <c r="Y589" s="183">
        <v>3.14</v>
      </c>
      <c r="Z589" s="222" t="s">
        <v>473</v>
      </c>
      <c r="AA589" s="172">
        <f>Delivery[[#This Row],[Quantity delivered]]*VLOOKUP(Delivery[[#This Row],[Unit]],References!$U:$X,4,FALSE)*VLOOKUP(CONCATENATE(Delivery[[#This Row],[Coffee specie]],Delivery[[#This Row],[Coffee state]]),References!$U:$X,4,FALSE)</f>
        <v>15000</v>
      </c>
      <c r="AB589" s="169">
        <f>SUMIF(Allocation!C:C,Delivery[[#This Row],[Delivery ID]],Allocation!D:D)/Delivery[[#This Row],[Quantity delivered]]</f>
        <v>2.0866666666666665E-2</v>
      </c>
      <c r="AC589" s="170">
        <f>Delivery[[#This Row],[Quantity delivered]]*Delivery[[#This Row],[Base price (Unidad)]]/60</f>
        <v>108997.25</v>
      </c>
      <c r="AD589" s="171">
        <f>Delivery[[#This Row],[Nespresso total]]-Delivery[[#This Row],[Qt. Delivery * Base Price]]</f>
        <v>15300.872092000005</v>
      </c>
      <c r="AE589" s="171">
        <f>Delivery[[#This Row],[AAA Premium (total)]]/Delivery[[#This Row],[Quantity delivered]]*60/Delivery[[#This Row],[Exchange rate VS USD]]</f>
        <v>7</v>
      </c>
      <c r="AF589" s="171">
        <f>Delivery[[#This Row],[BEN premium (total)]]/Delivery[[#This Row],[Quantity delivered]]*60/Delivery[[#This Row],[Exchange rate for premiums VS USD]]</f>
        <v>2.5203044000000001</v>
      </c>
      <c r="AG589" s="171">
        <f>COUNTIF(Delivery[Delivery ID],Delivery[[#This Row],[Delivery ID]])</f>
        <v>1</v>
      </c>
      <c r="AH589" s="171">
        <f>(Delivery[[#This Row],[Nespresso total]]/SUMIF(Allocation!C:C,Delivery[Delivery ID],Allocation!H:H))/Delivery[[#This Row],[Exchange rate VS USD]]</f>
        <v>332.65032942246961</v>
      </c>
      <c r="AI589" s="171">
        <f>(Delivery[[#This Row],[AAA Premium (total)]]/SUMIF(Allocation!C:C,Delivery[Delivery ID],Allocation!H:H))/Delivery[[#This Row],[Exchange rate VS USD]]</f>
        <v>14.705882352941178</v>
      </c>
      <c r="AJ589" s="171">
        <f>Delivery[[#This Row],[Valor Prêmio Nespresso AAA por Kg (em US$)]]*60</f>
        <v>882.35294117647061</v>
      </c>
      <c r="AK589" s="171">
        <f>Delivery[[#This Row],[Valor Prêmio Nespresso AAA por saca (em US$)]]/1.3228/100</f>
        <v>6.6703427666803039</v>
      </c>
      <c r="AL589" s="171">
        <f>(Delivery[[#This Row],[BEN premium (total)]]/SUMIF(Allocation!C:C,Delivery[Delivery ID],Allocation!H:H))/Delivery[[#This Row],[Exchange rate for premiums VS USD]]</f>
        <v>5.2947571428571436</v>
      </c>
      <c r="AM589" s="171">
        <f>Delivery[[#This Row],[Valor Prêmio Nespresso BEN por Kg (em US$)]]*60</f>
        <v>317.68542857142859</v>
      </c>
      <c r="AN589" s="171">
        <f>Delivery[[#This Row],[Valor Prêmio Nespresso BEN por saca (em US$)]]/1.3228/100</f>
        <v>2.4016134606246493</v>
      </c>
      <c r="AO589" s="171">
        <f>SUMIF(Allocation[Delivery ID],Delivery[[#This Row],[Delivery ID]],Allocation[Quantity allocated])*16*1.3228*Delivery[[#This Row],[Exchange rate VS USD]]/60</f>
        <v>131.80731946666666</v>
      </c>
      <c r="AP589" s="171">
        <f>Delivery[[#This Row],[AAA Premium (total)]]</f>
        <v>5495</v>
      </c>
      <c r="AQ589" s="171">
        <f>Delivery[[#This Row],[Valor pago pelo Cluster]]-Delivery[[#This Row],[Valor efetivamente pago pela Nespresso]]</f>
        <v>5363.1926805333333</v>
      </c>
    </row>
    <row r="590" spans="1:43" ht="15.75">
      <c r="A590" s="174" t="s">
        <v>69</v>
      </c>
      <c r="B590" s="232" t="s">
        <v>68</v>
      </c>
      <c r="C590" s="157">
        <v>1</v>
      </c>
      <c r="D590" s="157" t="s">
        <v>468</v>
      </c>
      <c r="E590" s="177" t="s">
        <v>468</v>
      </c>
      <c r="F590" s="233" t="s">
        <v>469</v>
      </c>
      <c r="G590" s="234">
        <v>42828</v>
      </c>
      <c r="H590" s="238" t="s">
        <v>743</v>
      </c>
      <c r="I590" s="157" t="s">
        <v>744</v>
      </c>
      <c r="J590" s="237">
        <v>17383</v>
      </c>
      <c r="K590" s="175" t="s">
        <v>61</v>
      </c>
      <c r="L590" s="175" t="s">
        <v>439</v>
      </c>
      <c r="M590" s="175" t="s">
        <v>1343</v>
      </c>
      <c r="N590" s="180"/>
      <c r="O590" s="177"/>
      <c r="P590" s="185">
        <v>0</v>
      </c>
      <c r="Q590" s="177">
        <v>42817</v>
      </c>
      <c r="R590" s="178">
        <v>442.16047716140747</v>
      </c>
      <c r="S590" s="179">
        <v>146158.01301401397</v>
      </c>
      <c r="T590" s="182" t="s">
        <v>45</v>
      </c>
      <c r="U590" s="183">
        <v>3.1215000152587891</v>
      </c>
      <c r="V590" s="179">
        <v>6330.4540559450788</v>
      </c>
      <c r="W590" s="179">
        <v>1979.338909659682</v>
      </c>
      <c r="X590" s="186" t="s">
        <v>45</v>
      </c>
      <c r="Y590" s="183">
        <v>3.1215000152587891</v>
      </c>
      <c r="Z590" s="222" t="s">
        <v>473</v>
      </c>
      <c r="AA590" s="172">
        <f>Delivery[[#This Row],[Quantity delivered]]*VLOOKUP(Delivery[[#This Row],[Unit]],References!$U:$X,4,FALSE)*VLOOKUP(CONCATENATE(Delivery[[#This Row],[Coffee specie]],Delivery[[#This Row],[Coffee state]]),References!$U:$X,4,FALSE)</f>
        <v>17383</v>
      </c>
      <c r="AB590" s="169">
        <f>SUMIF(Allocation!C:C,Delivery[[#This Row],[Delivery ID]],Allocation!D:D)/Delivery[[#This Row],[Quantity delivered]]</f>
        <v>5.7527469366622561E-5</v>
      </c>
      <c r="AC590" s="170">
        <f>Delivery[[#This Row],[Quantity delivered]]*Delivery[[#This Row],[Base price (Unidad)]]/60</f>
        <v>128101.25957494577</v>
      </c>
      <c r="AD590" s="171">
        <f>Delivery[[#This Row],[Nespresso total]]-Delivery[[#This Row],[Qt. Delivery * Base Price]]</f>
        <v>18056.753439068198</v>
      </c>
      <c r="AE590" s="171">
        <f>Delivery[[#This Row],[AAA Premium (total)]]/Delivery[[#This Row],[Quantity delivered]]*60/Delivery[[#This Row],[Exchange rate VS USD]]</f>
        <v>7</v>
      </c>
      <c r="AF590" s="171">
        <f>Delivery[[#This Row],[BEN premium (total)]]/Delivery[[#This Row],[Quantity delivered]]*60/Delivery[[#This Row],[Exchange rate for premiums VS USD]]</f>
        <v>2.1886853999999993</v>
      </c>
      <c r="AG590" s="171">
        <f>COUNTIF(Delivery[Delivery ID],Delivery[[#This Row],[Delivery ID]])</f>
        <v>1</v>
      </c>
      <c r="AH590" s="171">
        <f>(Delivery[[#This Row],[Nespresso total]]/SUMIF(Allocation!C:C,Delivery[Delivery ID],Allocation!H:H))/Delivery[[#This Row],[Exchange rate VS USD]]</f>
        <v>141887.89606740311</v>
      </c>
      <c r="AI590" s="171">
        <f>(Delivery[[#This Row],[AAA Premium (total)]]/SUMIF(Allocation!C:C,Delivery[Delivery ID],Allocation!H:H))/Delivery[[#This Row],[Exchange rate VS USD]]</f>
        <v>6145.5050505050503</v>
      </c>
      <c r="AJ590" s="171">
        <f>Delivery[[#This Row],[Valor Prêmio Nespresso AAA por Kg (em US$)]]*60</f>
        <v>368730.30303030304</v>
      </c>
      <c r="AK590" s="171">
        <f>Delivery[[#This Row],[Valor Prêmio Nespresso AAA por saca (em US$)]]/1.3228/100</f>
        <v>2787.4985109638878</v>
      </c>
      <c r="AL590" s="171">
        <f>(Delivery[[#This Row],[BEN premium (total)]]/SUMIF(Allocation!C:C,Delivery[Delivery ID],Allocation!H:H))/Delivery[[#This Row],[Exchange rate for premiums VS USD]]</f>
        <v>1921.5110256666662</v>
      </c>
      <c r="AM590" s="171">
        <f>Delivery[[#This Row],[Valor Prêmio Nespresso BEN por Kg (em US$)]]*60</f>
        <v>115290.66153999997</v>
      </c>
      <c r="AN590" s="171">
        <f>Delivery[[#This Row],[Valor Prêmio Nespresso BEN por saca (em US$)]]/1.3228/100</f>
        <v>871.56532763834275</v>
      </c>
      <c r="AO590" s="171">
        <f>SUMIF(Allocation[Delivery ID],Delivery[[#This Row],[Delivery ID]],Allocation[Quantity allocated])*16*1.3228*Delivery[[#This Row],[Exchange rate VS USD]]/60</f>
        <v>0.36336257937622068</v>
      </c>
      <c r="AP590" s="171">
        <f>Delivery[[#This Row],[AAA Premium (total)]]</f>
        <v>6330.4540559450788</v>
      </c>
      <c r="AQ590" s="171">
        <f>Delivery[[#This Row],[Valor pago pelo Cluster]]-Delivery[[#This Row],[Valor efetivamente pago pela Nespresso]]</f>
        <v>6330.0906933657025</v>
      </c>
    </row>
    <row r="591" spans="1:43" ht="15.75">
      <c r="A591" s="174" t="s">
        <v>69</v>
      </c>
      <c r="B591" s="232" t="s">
        <v>68</v>
      </c>
      <c r="C591" s="157">
        <v>1</v>
      </c>
      <c r="D591" s="157" t="s">
        <v>468</v>
      </c>
      <c r="E591" s="177" t="s">
        <v>468</v>
      </c>
      <c r="F591" s="233" t="s">
        <v>469</v>
      </c>
      <c r="G591" s="234">
        <v>42828</v>
      </c>
      <c r="H591" s="238" t="s">
        <v>745</v>
      </c>
      <c r="I591" s="157" t="s">
        <v>744</v>
      </c>
      <c r="J591" s="237">
        <v>19536</v>
      </c>
      <c r="K591" s="175" t="s">
        <v>61</v>
      </c>
      <c r="L591" s="175" t="s">
        <v>439</v>
      </c>
      <c r="M591" s="175" t="s">
        <v>1343</v>
      </c>
      <c r="N591" s="180"/>
      <c r="O591" s="177"/>
      <c r="P591" s="185">
        <v>0</v>
      </c>
      <c r="Q591" s="177">
        <v>42817</v>
      </c>
      <c r="R591" s="178">
        <v>442.16047716140747</v>
      </c>
      <c r="S591" s="179">
        <v>164260.65364101573</v>
      </c>
      <c r="T591" s="182" t="s">
        <v>45</v>
      </c>
      <c r="U591" s="183">
        <v>3.1215000152587891</v>
      </c>
      <c r="V591" s="179">
        <v>7114.522834777832</v>
      </c>
      <c r="W591" s="179">
        <v>2224.4931794921213</v>
      </c>
      <c r="X591" s="186" t="s">
        <v>45</v>
      </c>
      <c r="Y591" s="183">
        <v>3.1215000152587891</v>
      </c>
      <c r="Z591" s="222" t="s">
        <v>473</v>
      </c>
      <c r="AA591" s="172">
        <f>Delivery[[#This Row],[Quantity delivered]]*VLOOKUP(Delivery[[#This Row],[Unit]],References!$U:$X,4,FALSE)*VLOOKUP(CONCATENATE(Delivery[[#This Row],[Coffee specie]],Delivery[[#This Row],[Coffee state]]),References!$U:$X,4,FALSE)</f>
        <v>19536</v>
      </c>
      <c r="AB591" s="169">
        <f>SUMIF(Allocation!C:C,Delivery[[#This Row],[Delivery ID]],Allocation!D:D)/Delivery[[#This Row],[Quantity delivered]]</f>
        <v>5.1187551187551191E-5</v>
      </c>
      <c r="AC591" s="170">
        <f>Delivery[[#This Row],[Quantity delivered]]*Delivery[[#This Row],[Base price (Unidad)]]/60</f>
        <v>143967.45136375428</v>
      </c>
      <c r="AD591" s="171">
        <f>Delivery[[#This Row],[Nespresso total]]-Delivery[[#This Row],[Qt. Delivery * Base Price]]</f>
        <v>20293.202277261444</v>
      </c>
      <c r="AE591" s="171">
        <f>Delivery[[#This Row],[AAA Premium (total)]]/Delivery[[#This Row],[Quantity delivered]]*60/Delivery[[#This Row],[Exchange rate VS USD]]</f>
        <v>7</v>
      </c>
      <c r="AF591" s="171">
        <f>Delivery[[#This Row],[BEN premium (total)]]/Delivery[[#This Row],[Quantity delivered]]*60/Delivery[[#This Row],[Exchange rate for premiums VS USD]]</f>
        <v>2.1886853999999993</v>
      </c>
      <c r="AG591" s="171">
        <f>COUNTIF(Delivery[Delivery ID],Delivery[[#This Row],[Delivery ID]])</f>
        <v>1</v>
      </c>
      <c r="AH591" s="171">
        <f>(Delivery[[#This Row],[Nespresso total]]/SUMIF(Allocation!C:C,Delivery[Delivery ID],Allocation!H:H))/Delivery[[#This Row],[Exchange rate VS USD]]</f>
        <v>159461.65435038751</v>
      </c>
      <c r="AI591" s="171">
        <f>(Delivery[[#This Row],[AAA Premium (total)]]/SUMIF(Allocation!C:C,Delivery[Delivery ID],Allocation!H:H))/Delivery[[#This Row],[Exchange rate VS USD]]</f>
        <v>6906.6666666666661</v>
      </c>
      <c r="AJ591" s="171">
        <f>Delivery[[#This Row],[Valor Prêmio Nespresso AAA por Kg (em US$)]]*60</f>
        <v>414399.99999999994</v>
      </c>
      <c r="AK591" s="171">
        <f>Delivery[[#This Row],[Valor Prêmio Nespresso AAA por saca (em US$)]]/1.3228/100</f>
        <v>3132.7487148472933</v>
      </c>
      <c r="AL591" s="171">
        <f>(Delivery[[#This Row],[BEN premium (total)]]/SUMIF(Allocation!C:C,Delivery[Delivery ID],Allocation!H:H))/Delivery[[#This Row],[Exchange rate for premiums VS USD]]</f>
        <v>2159.5029279999994</v>
      </c>
      <c r="AM591" s="171">
        <f>Delivery[[#This Row],[Valor Prêmio Nespresso BEN por Kg (em US$)]]*60</f>
        <v>129570.17567999997</v>
      </c>
      <c r="AN591" s="171">
        <f>Delivery[[#This Row],[Valor Prêmio Nespresso BEN por saca (em US$)]]/1.3228/100</f>
        <v>979.51448200786194</v>
      </c>
      <c r="AO591" s="171">
        <f>SUMIF(Allocation[Delivery ID],Delivery[[#This Row],[Delivery ID]],Allocation[Quantity allocated])*16*1.3228*Delivery[[#This Row],[Exchange rate VS USD]]/60</f>
        <v>0.36336257937622068</v>
      </c>
      <c r="AP591" s="171">
        <f>Delivery[[#This Row],[AAA Premium (total)]]</f>
        <v>7114.522834777832</v>
      </c>
      <c r="AQ591" s="171">
        <f>Delivery[[#This Row],[Valor pago pelo Cluster]]-Delivery[[#This Row],[Valor efetivamente pago pela Nespresso]]</f>
        <v>7114.1594721984557</v>
      </c>
    </row>
    <row r="592" spans="1:43" ht="15.75">
      <c r="A592" s="174" t="s">
        <v>69</v>
      </c>
      <c r="B592" s="232" t="s">
        <v>68</v>
      </c>
      <c r="C592" s="157">
        <v>1</v>
      </c>
      <c r="D592" s="157" t="s">
        <v>468</v>
      </c>
      <c r="E592" s="177" t="s">
        <v>468</v>
      </c>
      <c r="F592" s="233" t="s">
        <v>469</v>
      </c>
      <c r="G592" s="234">
        <v>42828</v>
      </c>
      <c r="H592" s="157" t="s">
        <v>746</v>
      </c>
      <c r="I592" s="157" t="s">
        <v>737</v>
      </c>
      <c r="J592" s="237">
        <v>31596.5</v>
      </c>
      <c r="K592" s="175" t="s">
        <v>61</v>
      </c>
      <c r="L592" s="175" t="s">
        <v>439</v>
      </c>
      <c r="M592" s="175" t="s">
        <v>1343</v>
      </c>
      <c r="N592" s="180"/>
      <c r="O592" s="177"/>
      <c r="P592" s="185">
        <v>0</v>
      </c>
      <c r="Q592" s="177">
        <v>42822</v>
      </c>
      <c r="R592" s="178">
        <v>435.98899999999998</v>
      </c>
      <c r="S592" s="179">
        <v>262026.64047865852</v>
      </c>
      <c r="T592" s="182" t="s">
        <v>45</v>
      </c>
      <c r="U592" s="183">
        <v>3.14</v>
      </c>
      <c r="V592" s="179">
        <v>11583.46</v>
      </c>
      <c r="W592" s="179">
        <v>4167.4497606707337</v>
      </c>
      <c r="X592" s="186" t="s">
        <v>45</v>
      </c>
      <c r="Y592" s="183">
        <v>3.14</v>
      </c>
      <c r="Z592" s="222" t="s">
        <v>473</v>
      </c>
      <c r="AA592" s="172">
        <f>Delivery[[#This Row],[Quantity delivered]]*VLOOKUP(Delivery[[#This Row],[Unit]],References!$U:$X,4,FALSE)*VLOOKUP(CONCATENATE(Delivery[[#This Row],[Coffee specie]],Delivery[[#This Row],[Coffee state]]),References!$U:$X,4,FALSE)</f>
        <v>31596.5</v>
      </c>
      <c r="AB592" s="169">
        <f>SUMIF(Allocation!C:C,Delivery[[#This Row],[Delivery ID]],Allocation!D:D)/Delivery[[#This Row],[Quantity delivered]]</f>
        <v>1.481176712610574E-2</v>
      </c>
      <c r="AC592" s="170">
        <f>Delivery[[#This Row],[Quantity delivered]]*Delivery[[#This Row],[Base price (Unidad)]]/60</f>
        <v>229595.44064166668</v>
      </c>
      <c r="AD592" s="171">
        <f>Delivery[[#This Row],[Nespresso total]]-Delivery[[#This Row],[Qt. Delivery * Base Price]]</f>
        <v>32431.199836991844</v>
      </c>
      <c r="AE592" s="171">
        <f>Delivery[[#This Row],[AAA Premium (total)]]/Delivery[[#This Row],[Quantity delivered]]*60/Delivery[[#This Row],[Exchange rate VS USD]]</f>
        <v>7.0052062728466753</v>
      </c>
      <c r="AF592" s="171">
        <f>Delivery[[#This Row],[BEN premium (total)]]/Delivery[[#This Row],[Quantity delivered]]*60/Delivery[[#This Row],[Exchange rate for premiums VS USD]]</f>
        <v>2.5203044000000001</v>
      </c>
      <c r="AG592" s="171">
        <f>COUNTIF(Delivery[Delivery ID],Delivery[[#This Row],[Delivery ID]])</f>
        <v>1</v>
      </c>
      <c r="AH592" s="171">
        <f>(Delivery[[#This Row],[Nespresso total]]/SUMIF(Allocation!C:C,Delivery[Delivery ID],Allocation!H:H))/Delivery[[#This Row],[Exchange rate VS USD]]</f>
        <v>468.80884648725851</v>
      </c>
      <c r="AI592" s="171">
        <f>(Delivery[[#This Row],[AAA Premium (total)]]/SUMIF(Allocation!C:C,Delivery[Delivery ID],Allocation!H:H))/Delivery[[#This Row],[Exchange rate VS USD]]</f>
        <v>20.724719101123593</v>
      </c>
      <c r="AJ592" s="171">
        <f>Delivery[[#This Row],[Valor Prêmio Nespresso AAA por Kg (em US$)]]*60</f>
        <v>1243.4831460674156</v>
      </c>
      <c r="AK592" s="171">
        <f>Delivery[[#This Row],[Valor Prêmio Nespresso AAA por saca (em US$)]]/1.3228/100</f>
        <v>9.4003866500409412</v>
      </c>
      <c r="AL592" s="171">
        <f>(Delivery[[#This Row],[BEN premium (total)]]/SUMIF(Allocation!C:C,Delivery[Delivery ID],Allocation!H:H))/Delivery[[#This Row],[Exchange rate for premiums VS USD]]</f>
        <v>7.4562544920037457</v>
      </c>
      <c r="AM592" s="171">
        <f>Delivery[[#This Row],[Valor Prêmio Nespresso BEN por Kg (em US$)]]*60</f>
        <v>447.37526952022472</v>
      </c>
      <c r="AN592" s="171">
        <f>Delivery[[#This Row],[Valor Prêmio Nespresso BEN por saca (em US$)]]/1.3228/100</f>
        <v>3.382032578774</v>
      </c>
      <c r="AO592" s="171">
        <f>SUMIF(Allocation[Delivery ID],Delivery[[#This Row],[Delivery ID]],Allocation[Quantity allocated])*16*1.3228*Delivery[[#This Row],[Exchange rate VS USD]]/60</f>
        <v>197.15716693333334</v>
      </c>
      <c r="AP592" s="171">
        <f>Delivery[[#This Row],[AAA Premium (total)]]</f>
        <v>11583.46</v>
      </c>
      <c r="AQ592" s="171">
        <f>Delivery[[#This Row],[Valor pago pelo Cluster]]-Delivery[[#This Row],[Valor efetivamente pago pela Nespresso]]</f>
        <v>11386.302833066666</v>
      </c>
    </row>
    <row r="593" spans="1:43" ht="15.75">
      <c r="A593" s="174" t="s">
        <v>69</v>
      </c>
      <c r="B593" s="232" t="s">
        <v>68</v>
      </c>
      <c r="C593" s="157">
        <v>1</v>
      </c>
      <c r="D593" s="157" t="s">
        <v>468</v>
      </c>
      <c r="E593" s="177" t="s">
        <v>468</v>
      </c>
      <c r="F593" s="233" t="s">
        <v>469</v>
      </c>
      <c r="G593" s="234">
        <v>42828</v>
      </c>
      <c r="H593" s="238" t="s">
        <v>747</v>
      </c>
      <c r="I593" s="157" t="s">
        <v>748</v>
      </c>
      <c r="J593" s="237">
        <v>14750</v>
      </c>
      <c r="K593" s="175" t="s">
        <v>61</v>
      </c>
      <c r="L593" s="175" t="s">
        <v>439</v>
      </c>
      <c r="M593" s="175" t="s">
        <v>1343</v>
      </c>
      <c r="N593" s="180"/>
      <c r="O593" s="177"/>
      <c r="P593" s="185">
        <v>0</v>
      </c>
      <c r="Q593" s="177">
        <v>42817</v>
      </c>
      <c r="R593" s="178">
        <v>442.16047716140747</v>
      </c>
      <c r="S593" s="179">
        <v>124019.48409116411</v>
      </c>
      <c r="T593" s="182" t="s">
        <v>45</v>
      </c>
      <c r="U593" s="183">
        <v>3.1215000152587891</v>
      </c>
      <c r="V593" s="179">
        <v>5371.5812762578335</v>
      </c>
      <c r="W593" s="179">
        <v>1679.528787751269</v>
      </c>
      <c r="X593" s="186" t="s">
        <v>45</v>
      </c>
      <c r="Y593" s="183">
        <v>3.1215000152587891</v>
      </c>
      <c r="Z593" s="222" t="s">
        <v>473</v>
      </c>
      <c r="AA593" s="172">
        <f>Delivery[[#This Row],[Quantity delivered]]*VLOOKUP(Delivery[[#This Row],[Unit]],References!$U:$X,4,FALSE)*VLOOKUP(CONCATENATE(Delivery[[#This Row],[Coffee specie]],Delivery[[#This Row],[Coffee state]]),References!$U:$X,4,FALSE)</f>
        <v>14750</v>
      </c>
      <c r="AB593" s="169">
        <f>SUMIF(Allocation!C:C,Delivery[[#This Row],[Delivery ID]],Allocation!D:D)/Delivery[[#This Row],[Quantity delivered]]</f>
        <v>6.7796610169491525E-5</v>
      </c>
      <c r="AC593" s="170">
        <f>Delivery[[#This Row],[Quantity delivered]]*Delivery[[#This Row],[Base price (Unidad)]]/60</f>
        <v>108697.78396884601</v>
      </c>
      <c r="AD593" s="171">
        <f>Delivery[[#This Row],[Nespresso total]]-Delivery[[#This Row],[Qt. Delivery * Base Price]]</f>
        <v>15321.7001223181</v>
      </c>
      <c r="AE593" s="171">
        <f>Delivery[[#This Row],[AAA Premium (total)]]/Delivery[[#This Row],[Quantity delivered]]*60/Delivery[[#This Row],[Exchange rate VS USD]]</f>
        <v>7</v>
      </c>
      <c r="AF593" s="171">
        <f>Delivery[[#This Row],[BEN premium (total)]]/Delivery[[#This Row],[Quantity delivered]]*60/Delivery[[#This Row],[Exchange rate for premiums VS USD]]</f>
        <v>2.1886853999999993</v>
      </c>
      <c r="AG593" s="171">
        <f>COUNTIF(Delivery[Delivery ID],Delivery[[#This Row],[Delivery ID]])</f>
        <v>1</v>
      </c>
      <c r="AH593" s="171">
        <f>(Delivery[[#This Row],[Nespresso total]]/SUMIF(Allocation!C:C,Delivery[Delivery ID],Allocation!H:H))/Delivery[[#This Row],[Exchange rate VS USD]]</f>
        <v>120396.16101905284</v>
      </c>
      <c r="AI593" s="171">
        <f>(Delivery[[#This Row],[AAA Premium (total)]]/SUMIF(Allocation!C:C,Delivery[Delivery ID],Allocation!H:H))/Delivery[[#This Row],[Exchange rate VS USD]]</f>
        <v>5214.6464646464647</v>
      </c>
      <c r="AJ593" s="171">
        <f>Delivery[[#This Row],[Valor Prêmio Nespresso AAA por Kg (em US$)]]*60</f>
        <v>312878.7878787879</v>
      </c>
      <c r="AK593" s="171">
        <f>Delivery[[#This Row],[Valor Prêmio Nespresso AAA por saca (em US$)]]/1.3228/100</f>
        <v>2365.2765941849707</v>
      </c>
      <c r="AL593" s="171">
        <f>(Delivery[[#This Row],[BEN premium (total)]]/SUMIF(Allocation!C:C,Delivery[Delivery ID],Allocation!H:H))/Delivery[[#This Row],[Exchange rate for premiums VS USD]]</f>
        <v>1630.4600833333329</v>
      </c>
      <c r="AM593" s="171">
        <f>Delivery[[#This Row],[Valor Prêmio Nespresso BEN por Kg (em US$)]]*60</f>
        <v>97827.604999999981</v>
      </c>
      <c r="AN593" s="171">
        <f>Delivery[[#This Row],[Valor Prêmio Nespresso BEN por saca (em US$)]]/1.3228/100</f>
        <v>739.54947837919553</v>
      </c>
      <c r="AO593" s="171">
        <f>SUMIF(Allocation[Delivery ID],Delivery[[#This Row],[Delivery ID]],Allocation[Quantity allocated])*16*1.3228*Delivery[[#This Row],[Exchange rate VS USD]]/60</f>
        <v>0.36336257937622068</v>
      </c>
      <c r="AP593" s="171">
        <f>Delivery[[#This Row],[AAA Premium (total)]]</f>
        <v>5371.5812762578335</v>
      </c>
      <c r="AQ593" s="171">
        <f>Delivery[[#This Row],[Valor pago pelo Cluster]]-Delivery[[#This Row],[Valor efetivamente pago pela Nespresso]]</f>
        <v>5371.2179136784571</v>
      </c>
    </row>
    <row r="594" spans="1:43" ht="15.75">
      <c r="A594" s="174" t="s">
        <v>69</v>
      </c>
      <c r="B594" s="232" t="s">
        <v>68</v>
      </c>
      <c r="C594" s="157">
        <v>1</v>
      </c>
      <c r="D594" s="157" t="s">
        <v>468</v>
      </c>
      <c r="E594" s="177" t="s">
        <v>468</v>
      </c>
      <c r="F594" s="233" t="s">
        <v>469</v>
      </c>
      <c r="G594" s="234">
        <v>42828</v>
      </c>
      <c r="H594" s="157" t="s">
        <v>749</v>
      </c>
      <c r="I594" s="157" t="s">
        <v>737</v>
      </c>
      <c r="J594" s="237">
        <v>31636.5</v>
      </c>
      <c r="K594" s="175" t="s">
        <v>61</v>
      </c>
      <c r="L594" s="175" t="s">
        <v>439</v>
      </c>
      <c r="M594" s="175" t="s">
        <v>1343</v>
      </c>
      <c r="N594" s="180"/>
      <c r="O594" s="177"/>
      <c r="P594" s="185">
        <v>0</v>
      </c>
      <c r="Q594" s="177">
        <v>42822</v>
      </c>
      <c r="R594" s="178">
        <v>435.98899999999998</v>
      </c>
      <c r="S594" s="179">
        <v>262016.08880423717</v>
      </c>
      <c r="T594" s="182" t="s">
        <v>45</v>
      </c>
      <c r="U594" s="183">
        <v>3.14</v>
      </c>
      <c r="V594" s="179">
        <v>11583.46</v>
      </c>
      <c r="W594" s="179">
        <v>4172.7255978814001</v>
      </c>
      <c r="X594" s="186" t="s">
        <v>45</v>
      </c>
      <c r="Y594" s="183">
        <v>3.14</v>
      </c>
      <c r="Z594" s="222" t="s">
        <v>473</v>
      </c>
      <c r="AA594" s="172">
        <f>Delivery[[#This Row],[Quantity delivered]]*VLOOKUP(Delivery[[#This Row],[Unit]],References!$U:$X,4,FALSE)*VLOOKUP(CONCATENATE(Delivery[[#This Row],[Coffee specie]],Delivery[[#This Row],[Coffee state]]),References!$U:$X,4,FALSE)</f>
        <v>31636.5</v>
      </c>
      <c r="AB594" s="169">
        <f>SUMIF(Allocation!C:C,Delivery[[#This Row],[Delivery ID]],Allocation!D:D)/Delivery[[#This Row],[Quantity delivered]]</f>
        <v>1.4793039685173771E-2</v>
      </c>
      <c r="AC594" s="170">
        <f>Delivery[[#This Row],[Quantity delivered]]*Delivery[[#This Row],[Base price (Unidad)]]/60</f>
        <v>229886.09997499999</v>
      </c>
      <c r="AD594" s="171">
        <f>Delivery[[#This Row],[Nespresso total]]-Delivery[[#This Row],[Qt. Delivery * Base Price]]</f>
        <v>32129.988829237176</v>
      </c>
      <c r="AE594" s="171">
        <f>Delivery[[#This Row],[AAA Premium (total)]]/Delivery[[#This Row],[Quantity delivered]]*60/Delivery[[#This Row],[Exchange rate VS USD]]</f>
        <v>6.99634915366744</v>
      </c>
      <c r="AF594" s="171">
        <f>Delivery[[#This Row],[BEN premium (total)]]/Delivery[[#This Row],[Quantity delivered]]*60/Delivery[[#This Row],[Exchange rate for premiums VS USD]]</f>
        <v>2.5203043999999997</v>
      </c>
      <c r="AG594" s="171">
        <f>COUNTIF(Delivery[Delivery ID],Delivery[[#This Row],[Delivery ID]])</f>
        <v>1</v>
      </c>
      <c r="AH594" s="171">
        <f>(Delivery[[#This Row],[Nespresso total]]/SUMIF(Allocation!C:C,Delivery[Delivery ID],Allocation!H:H))/Delivery[[#This Row],[Exchange rate VS USD]]</f>
        <v>468.78996780261429</v>
      </c>
      <c r="AI594" s="171">
        <f>(Delivery[[#This Row],[AAA Premium (total)]]/SUMIF(Allocation!C:C,Delivery[Delivery ID],Allocation!H:H))/Delivery[[#This Row],[Exchange rate VS USD]]</f>
        <v>20.724719101123593</v>
      </c>
      <c r="AJ594" s="171">
        <f>Delivery[[#This Row],[Valor Prêmio Nespresso AAA por Kg (em US$)]]*60</f>
        <v>1243.4831460674156</v>
      </c>
      <c r="AK594" s="171">
        <f>Delivery[[#This Row],[Valor Prêmio Nespresso AAA por saca (em US$)]]/1.3228/100</f>
        <v>9.4003866500409412</v>
      </c>
      <c r="AL594" s="171">
        <f>(Delivery[[#This Row],[BEN premium (total)]]/SUMIF(Allocation!C:C,Delivery[Delivery ID],Allocation!H:H))/Delivery[[#This Row],[Exchange rate for premiums VS USD]]</f>
        <v>7.465693834325843</v>
      </c>
      <c r="AM594" s="171">
        <f>Delivery[[#This Row],[Valor Prêmio Nespresso BEN por Kg (em US$)]]*60</f>
        <v>447.94163005955056</v>
      </c>
      <c r="AN594" s="171">
        <f>Delivery[[#This Row],[Valor Prêmio Nespresso BEN por saca (em US$)]]/1.3228/100</f>
        <v>3.3863141068910689</v>
      </c>
      <c r="AO594" s="171">
        <f>SUMIF(Allocation[Delivery ID],Delivery[[#This Row],[Delivery ID]],Allocation[Quantity allocated])*16*1.3228*Delivery[[#This Row],[Exchange rate VS USD]]/60</f>
        <v>197.15716693333334</v>
      </c>
      <c r="AP594" s="171">
        <f>Delivery[[#This Row],[AAA Premium (total)]]</f>
        <v>11583.46</v>
      </c>
      <c r="AQ594" s="171">
        <f>Delivery[[#This Row],[Valor pago pelo Cluster]]-Delivery[[#This Row],[Valor efetivamente pago pela Nespresso]]</f>
        <v>11386.302833066666</v>
      </c>
    </row>
    <row r="595" spans="1:43" ht="15.75">
      <c r="A595" s="174" t="s">
        <v>69</v>
      </c>
      <c r="B595" s="232" t="s">
        <v>68</v>
      </c>
      <c r="C595" s="157">
        <v>1</v>
      </c>
      <c r="D595" s="157" t="s">
        <v>468</v>
      </c>
      <c r="E595" s="177" t="s">
        <v>468</v>
      </c>
      <c r="F595" s="233" t="s">
        <v>469</v>
      </c>
      <c r="G595" s="234">
        <v>42828</v>
      </c>
      <c r="H595" s="238" t="s">
        <v>750</v>
      </c>
      <c r="I595" s="157" t="s">
        <v>748</v>
      </c>
      <c r="J595" s="237">
        <v>16487</v>
      </c>
      <c r="K595" s="175" t="s">
        <v>61</v>
      </c>
      <c r="L595" s="175" t="s">
        <v>439</v>
      </c>
      <c r="M595" s="175" t="s">
        <v>1343</v>
      </c>
      <c r="N595" s="180"/>
      <c r="O595" s="177"/>
      <c r="P595" s="185">
        <v>0</v>
      </c>
      <c r="Q595" s="177">
        <v>42817</v>
      </c>
      <c r="R595" s="178">
        <v>442.16047716140747</v>
      </c>
      <c r="S595" s="179">
        <v>138624.35486176427</v>
      </c>
      <c r="T595" s="182" t="s">
        <v>45</v>
      </c>
      <c r="U595" s="183">
        <v>3.1215000152587891</v>
      </c>
      <c r="V595" s="179">
        <v>6004.1532543500271</v>
      </c>
      <c r="W595" s="179">
        <v>1877.3146524511983</v>
      </c>
      <c r="X595" s="186" t="s">
        <v>45</v>
      </c>
      <c r="Y595" s="183">
        <v>3.1215000152587891</v>
      </c>
      <c r="Z595" s="222" t="s">
        <v>473</v>
      </c>
      <c r="AA595" s="172">
        <f>Delivery[[#This Row],[Quantity delivered]]*VLOOKUP(Delivery[[#This Row],[Unit]],References!$U:$X,4,FALSE)*VLOOKUP(CONCATENATE(Delivery[[#This Row],[Coffee specie]],Delivery[[#This Row],[Coffee state]]),References!$U:$X,4,FALSE)</f>
        <v>16487</v>
      </c>
      <c r="AB595" s="169">
        <f>SUMIF(Allocation!C:C,Delivery[[#This Row],[Delivery ID]],Allocation!D:D)/Delivery[[#This Row],[Quantity delivered]]</f>
        <v>6.065384848668648E-5</v>
      </c>
      <c r="AC595" s="170">
        <f>Delivery[[#This Row],[Quantity delivered]]*Delivery[[#This Row],[Base price (Unidad)]]/60</f>
        <v>121498.32978266875</v>
      </c>
      <c r="AD595" s="171">
        <f>Delivery[[#This Row],[Nespresso total]]-Delivery[[#This Row],[Qt. Delivery * Base Price]]</f>
        <v>17126.025079095518</v>
      </c>
      <c r="AE595" s="171">
        <f>Delivery[[#This Row],[AAA Premium (total)]]/Delivery[[#This Row],[Quantity delivered]]*60/Delivery[[#This Row],[Exchange rate VS USD]]</f>
        <v>7</v>
      </c>
      <c r="AF595" s="171">
        <f>Delivery[[#This Row],[BEN premium (total)]]/Delivery[[#This Row],[Quantity delivered]]*60/Delivery[[#This Row],[Exchange rate for premiums VS USD]]</f>
        <v>2.1886853999999998</v>
      </c>
      <c r="AG595" s="171">
        <f>COUNTIF(Delivery[Delivery ID],Delivery[[#This Row],[Delivery ID]])</f>
        <v>1</v>
      </c>
      <c r="AH595" s="171">
        <f>(Delivery[[#This Row],[Nespresso total]]/SUMIF(Allocation!C:C,Delivery[Delivery ID],Allocation!H:H))/Delivery[[#This Row],[Exchange rate VS USD]]</f>
        <v>134574.33943872029</v>
      </c>
      <c r="AI595" s="171">
        <f>(Delivery[[#This Row],[AAA Premium (total)]]/SUMIF(Allocation!C:C,Delivery[Delivery ID],Allocation!H:H))/Delivery[[#This Row],[Exchange rate VS USD]]</f>
        <v>5828.7373737373737</v>
      </c>
      <c r="AJ595" s="171">
        <f>Delivery[[#This Row],[Valor Prêmio Nespresso AAA por Kg (em US$)]]*60</f>
        <v>349724.24242424243</v>
      </c>
      <c r="AK595" s="171">
        <f>Delivery[[#This Row],[Valor Prêmio Nespresso AAA por saca (em US$)]]/1.3228/100</f>
        <v>2643.8179802256009</v>
      </c>
      <c r="AL595" s="171">
        <f>(Delivery[[#This Row],[BEN premium (total)]]/SUMIF(Allocation!C:C,Delivery[Delivery ID],Allocation!H:H))/Delivery[[#This Row],[Exchange rate for premiums VS USD]]</f>
        <v>1822.467484333333</v>
      </c>
      <c r="AM595" s="171">
        <f>Delivery[[#This Row],[Valor Prêmio Nespresso BEN por Kg (em US$)]]*60</f>
        <v>109348.04905999998</v>
      </c>
      <c r="AN595" s="171">
        <f>Delivery[[#This Row],[Valor Prêmio Nespresso BEN por saca (em US$)]]/1.3228/100</f>
        <v>826.64083051103705</v>
      </c>
      <c r="AO595" s="171">
        <f>SUMIF(Allocation[Delivery ID],Delivery[[#This Row],[Delivery ID]],Allocation[Quantity allocated])*16*1.3228*Delivery[[#This Row],[Exchange rate VS USD]]/60</f>
        <v>0.36336257937622068</v>
      </c>
      <c r="AP595" s="171">
        <f>Delivery[[#This Row],[AAA Premium (total)]]</f>
        <v>6004.1532543500271</v>
      </c>
      <c r="AQ595" s="171">
        <f>Delivery[[#This Row],[Valor pago pelo Cluster]]-Delivery[[#This Row],[Valor efetivamente pago pela Nespresso]]</f>
        <v>6003.7898917706507</v>
      </c>
    </row>
    <row r="596" spans="1:43" ht="15.75">
      <c r="A596" s="174" t="s">
        <v>69</v>
      </c>
      <c r="B596" s="232" t="s">
        <v>68</v>
      </c>
      <c r="C596" s="157">
        <v>1</v>
      </c>
      <c r="D596" s="157" t="s">
        <v>468</v>
      </c>
      <c r="E596" s="177" t="s">
        <v>468</v>
      </c>
      <c r="F596" s="233" t="s">
        <v>469</v>
      </c>
      <c r="G596" s="234">
        <v>42828</v>
      </c>
      <c r="H596" s="157" t="s">
        <v>751</v>
      </c>
      <c r="I596" s="157" t="s">
        <v>737</v>
      </c>
      <c r="J596" s="237">
        <v>31646.5</v>
      </c>
      <c r="K596" s="175" t="s">
        <v>61</v>
      </c>
      <c r="L596" s="175" t="s">
        <v>439</v>
      </c>
      <c r="M596" s="175" t="s">
        <v>1343</v>
      </c>
      <c r="N596" s="180"/>
      <c r="O596" s="177"/>
      <c r="P596" s="185">
        <v>0</v>
      </c>
      <c r="Q596" s="177">
        <v>42822</v>
      </c>
      <c r="R596" s="178">
        <v>435.98899999999998</v>
      </c>
      <c r="S596" s="179">
        <v>262013.45088563187</v>
      </c>
      <c r="T596" s="182" t="s">
        <v>45</v>
      </c>
      <c r="U596" s="183">
        <v>3.14</v>
      </c>
      <c r="V596" s="179">
        <v>11583.46</v>
      </c>
      <c r="W596" s="179">
        <v>4174.0445571840673</v>
      </c>
      <c r="X596" s="186" t="s">
        <v>45</v>
      </c>
      <c r="Y596" s="183">
        <v>3.14</v>
      </c>
      <c r="Z596" s="222" t="s">
        <v>473</v>
      </c>
      <c r="AA596" s="172">
        <f>Delivery[[#This Row],[Quantity delivered]]*VLOOKUP(Delivery[[#This Row],[Unit]],References!$U:$X,4,FALSE)*VLOOKUP(CONCATENATE(Delivery[[#This Row],[Coffee specie]],Delivery[[#This Row],[Coffee state]]),References!$U:$X,4,FALSE)</f>
        <v>31646.5</v>
      </c>
      <c r="AB596" s="169">
        <f>SUMIF(Allocation!C:C,Delivery[[#This Row],[Delivery ID]],Allocation!D:D)/Delivery[[#This Row],[Quantity delivered]]</f>
        <v>1.4788365222062472E-2</v>
      </c>
      <c r="AC596" s="170">
        <f>Delivery[[#This Row],[Quantity delivered]]*Delivery[[#This Row],[Base price (Unidad)]]/60</f>
        <v>229958.76480833333</v>
      </c>
      <c r="AD596" s="171">
        <f>Delivery[[#This Row],[Nespresso total]]-Delivery[[#This Row],[Qt. Delivery * Base Price]]</f>
        <v>32054.686077298538</v>
      </c>
      <c r="AE596" s="171">
        <f>Delivery[[#This Row],[AAA Premium (total)]]/Delivery[[#This Row],[Quantity delivered]]*60/Delivery[[#This Row],[Exchange rate VS USD]]</f>
        <v>6.9941383723318538</v>
      </c>
      <c r="AF596" s="171">
        <f>Delivery[[#This Row],[BEN premium (total)]]/Delivery[[#This Row],[Quantity delivered]]*60/Delivery[[#This Row],[Exchange rate for premiums VS USD]]</f>
        <v>2.5203044000000001</v>
      </c>
      <c r="AG596" s="171">
        <f>COUNTIF(Delivery[Delivery ID],Delivery[[#This Row],[Delivery ID]])</f>
        <v>1</v>
      </c>
      <c r="AH596" s="171">
        <f>(Delivery[[#This Row],[Nespresso total]]/SUMIF(Allocation!C:C,Delivery[Delivery ID],Allocation!H:H))/Delivery[[#This Row],[Exchange rate VS USD]]</f>
        <v>468.78524813145327</v>
      </c>
      <c r="AI596" s="171">
        <f>(Delivery[[#This Row],[AAA Premium (total)]]/SUMIF(Allocation!C:C,Delivery[Delivery ID],Allocation!H:H))/Delivery[[#This Row],[Exchange rate VS USD]]</f>
        <v>20.724719101123593</v>
      </c>
      <c r="AJ596" s="171">
        <f>Delivery[[#This Row],[Valor Prêmio Nespresso AAA por Kg (em US$)]]*60</f>
        <v>1243.4831460674156</v>
      </c>
      <c r="AK596" s="171">
        <f>Delivery[[#This Row],[Valor Prêmio Nespresso AAA por saca (em US$)]]/1.3228/100</f>
        <v>9.4003866500409412</v>
      </c>
      <c r="AL596" s="171">
        <f>(Delivery[[#This Row],[BEN premium (total)]]/SUMIF(Allocation!C:C,Delivery[Delivery ID],Allocation!H:H))/Delivery[[#This Row],[Exchange rate for premiums VS USD]]</f>
        <v>7.468053669906368</v>
      </c>
      <c r="AM596" s="171">
        <f>Delivery[[#This Row],[Valor Prêmio Nespresso BEN por Kg (em US$)]]*60</f>
        <v>448.08322019438208</v>
      </c>
      <c r="AN596" s="171">
        <f>Delivery[[#This Row],[Valor Prêmio Nespresso BEN por saca (em US$)]]/1.3228/100</f>
        <v>3.3873844889203366</v>
      </c>
      <c r="AO596" s="171">
        <f>SUMIF(Allocation[Delivery ID],Delivery[[#This Row],[Delivery ID]],Allocation[Quantity allocated])*16*1.3228*Delivery[[#This Row],[Exchange rate VS USD]]/60</f>
        <v>197.15716693333334</v>
      </c>
      <c r="AP596" s="171">
        <f>Delivery[[#This Row],[AAA Premium (total)]]</f>
        <v>11583.46</v>
      </c>
      <c r="AQ596" s="171">
        <f>Delivery[[#This Row],[Valor pago pelo Cluster]]-Delivery[[#This Row],[Valor efetivamente pago pela Nespresso]]</f>
        <v>11386.302833066666</v>
      </c>
    </row>
    <row r="597" spans="1:43" ht="15.75">
      <c r="A597" s="174" t="s">
        <v>69</v>
      </c>
      <c r="B597" s="232" t="s">
        <v>68</v>
      </c>
      <c r="C597" s="157">
        <v>1</v>
      </c>
      <c r="D597" s="157" t="s">
        <v>468</v>
      </c>
      <c r="E597" s="177" t="s">
        <v>468</v>
      </c>
      <c r="F597" s="233" t="s">
        <v>469</v>
      </c>
      <c r="G597" s="234">
        <v>42828</v>
      </c>
      <c r="H597" s="238" t="s">
        <v>752</v>
      </c>
      <c r="I597" s="157" t="s">
        <v>744</v>
      </c>
      <c r="J597" s="237">
        <v>10318</v>
      </c>
      <c r="K597" s="175" t="s">
        <v>61</v>
      </c>
      <c r="L597" s="175" t="s">
        <v>439</v>
      </c>
      <c r="M597" s="175" t="s">
        <v>1343</v>
      </c>
      <c r="N597" s="180"/>
      <c r="O597" s="177"/>
      <c r="P597" s="185">
        <v>0</v>
      </c>
      <c r="Q597" s="177">
        <v>42817</v>
      </c>
      <c r="R597" s="178">
        <v>442.16047716140747</v>
      </c>
      <c r="S597" s="179">
        <v>86754.782159500435</v>
      </c>
      <c r="T597" s="182" t="s">
        <v>45</v>
      </c>
      <c r="U597" s="183">
        <v>3.1215000152587891</v>
      </c>
      <c r="V597" s="179">
        <v>3757.557668368022</v>
      </c>
      <c r="W597" s="179">
        <v>1174.8730869164469</v>
      </c>
      <c r="X597" s="186" t="s">
        <v>45</v>
      </c>
      <c r="Y597" s="183">
        <v>3.1215000152587891</v>
      </c>
      <c r="Z597" s="220" t="s">
        <v>473</v>
      </c>
      <c r="AA597" s="172">
        <f>Delivery[[#This Row],[Quantity delivered]]*VLOOKUP(Delivery[[#This Row],[Unit]],References!$U:$X,4,FALSE)*VLOOKUP(CONCATENATE(Delivery[[#This Row],[Coffee specie]],Delivery[[#This Row],[Coffee state]]),References!$U:$X,4,FALSE)</f>
        <v>10318</v>
      </c>
      <c r="AB597" s="169">
        <f>SUMIF(Allocation!C:C,Delivery[[#This Row],[Delivery ID]],Allocation!D:D)/Delivery[[#This Row],[Quantity delivered]]</f>
        <v>9.6918007365768554E-5</v>
      </c>
      <c r="AC597" s="170">
        <f>Delivery[[#This Row],[Quantity delivered]]*Delivery[[#This Row],[Base price (Unidad)]]/60</f>
        <v>76036.863389190039</v>
      </c>
      <c r="AD597" s="171">
        <f>Delivery[[#This Row],[Nespresso total]]-Delivery[[#This Row],[Qt. Delivery * Base Price]]</f>
        <v>10717.918770310396</v>
      </c>
      <c r="AE597" s="171">
        <f>Delivery[[#This Row],[AAA Premium (total)]]/Delivery[[#This Row],[Quantity delivered]]*60/Delivery[[#This Row],[Exchange rate VS USD]]</f>
        <v>7</v>
      </c>
      <c r="AF597" s="171">
        <f>Delivery[[#This Row],[BEN premium (total)]]/Delivery[[#This Row],[Quantity delivered]]*60/Delivery[[#This Row],[Exchange rate for premiums VS USD]]</f>
        <v>2.1886853999999993</v>
      </c>
      <c r="AG597" s="171">
        <f>COUNTIF(Delivery[Delivery ID],Delivery[[#This Row],[Delivery ID]])</f>
        <v>1</v>
      </c>
      <c r="AH597" s="171">
        <f>(Delivery[[#This Row],[Nespresso total]]/SUMIF(Allocation!C:C,Delivery[Delivery ID],Allocation!H:H))/Delivery[[#This Row],[Exchange rate VS USD]]</f>
        <v>84220.175552175409</v>
      </c>
      <c r="AI597" s="171">
        <f>(Delivery[[#This Row],[AAA Premium (total)]]/SUMIF(Allocation!C:C,Delivery[Delivery ID],Allocation!H:H))/Delivery[[#This Row],[Exchange rate VS USD]]</f>
        <v>3647.7777777777778</v>
      </c>
      <c r="AJ597" s="171">
        <f>Delivery[[#This Row],[Valor Prêmio Nespresso AAA por Kg (em US$)]]*60</f>
        <v>218866.66666666666</v>
      </c>
      <c r="AK597" s="171">
        <f>Delivery[[#This Row],[Valor Prêmio Nespresso AAA por saca (em US$)]]/1.3228/100</f>
        <v>1654.5711117830863</v>
      </c>
      <c r="AL597" s="171">
        <f>(Delivery[[#This Row],[BEN premium (total)]]/SUMIF(Allocation!C:C,Delivery[Delivery ID],Allocation!H:H))/Delivery[[#This Row],[Exchange rate for premiums VS USD]]</f>
        <v>1140.5482806666664</v>
      </c>
      <c r="AM597" s="171">
        <f>Delivery[[#This Row],[Valor Prêmio Nespresso BEN por Kg (em US$)]]*60</f>
        <v>68432.896839999987</v>
      </c>
      <c r="AN597" s="171">
        <f>Delivery[[#This Row],[Valor Prêmio Nespresso BEN por saca (em US$)]]/1.3228/100</f>
        <v>517.33366223162977</v>
      </c>
      <c r="AO597" s="171">
        <f>SUMIF(Allocation[Delivery ID],Delivery[[#This Row],[Delivery ID]],Allocation[Quantity allocated])*16*1.3228*Delivery[[#This Row],[Exchange rate VS USD]]/60</f>
        <v>0.36336257937622068</v>
      </c>
      <c r="AP597" s="171">
        <f>Delivery[[#This Row],[AAA Premium (total)]]</f>
        <v>3757.557668368022</v>
      </c>
      <c r="AQ597" s="171">
        <f>Delivery[[#This Row],[Valor pago pelo Cluster]]-Delivery[[#This Row],[Valor efetivamente pago pela Nespresso]]</f>
        <v>3757.1943057886456</v>
      </c>
    </row>
    <row r="598" spans="1:43" ht="15.75">
      <c r="A598" s="174" t="s">
        <v>69</v>
      </c>
      <c r="B598" s="232" t="s">
        <v>68</v>
      </c>
      <c r="C598" s="157">
        <v>1</v>
      </c>
      <c r="D598" s="157" t="s">
        <v>468</v>
      </c>
      <c r="E598" s="177" t="s">
        <v>468</v>
      </c>
      <c r="F598" s="233" t="s">
        <v>469</v>
      </c>
      <c r="G598" s="234">
        <v>42828</v>
      </c>
      <c r="H598" s="238" t="s">
        <v>753</v>
      </c>
      <c r="I598" s="157" t="s">
        <v>744</v>
      </c>
      <c r="J598" s="237">
        <v>19675</v>
      </c>
      <c r="K598" s="175" t="s">
        <v>61</v>
      </c>
      <c r="L598" s="175" t="s">
        <v>439</v>
      </c>
      <c r="M598" s="175" t="s">
        <v>1343</v>
      </c>
      <c r="N598" s="180"/>
      <c r="O598" s="177"/>
      <c r="P598" s="185">
        <v>0</v>
      </c>
      <c r="Q598" s="177">
        <v>42817</v>
      </c>
      <c r="R598" s="178">
        <v>442.16047716140747</v>
      </c>
      <c r="S598" s="179">
        <v>165429.37962668843</v>
      </c>
      <c r="T598" s="182" t="s">
        <v>45</v>
      </c>
      <c r="U598" s="183">
        <v>3.1215000152587891</v>
      </c>
      <c r="V598" s="179">
        <v>7165.143160025279</v>
      </c>
      <c r="W598" s="179">
        <v>2240.3206033224556</v>
      </c>
      <c r="X598" s="186" t="s">
        <v>45</v>
      </c>
      <c r="Y598" s="183">
        <v>3.1215000152587891</v>
      </c>
      <c r="Z598" s="220" t="s">
        <v>473</v>
      </c>
      <c r="AA598" s="172">
        <f>Delivery[[#This Row],[Quantity delivered]]*VLOOKUP(Delivery[[#This Row],[Unit]],References!$U:$X,4,FALSE)*VLOOKUP(CONCATENATE(Delivery[[#This Row],[Coffee specie]],Delivery[[#This Row],[Coffee state]]),References!$U:$X,4,FALSE)</f>
        <v>19675</v>
      </c>
      <c r="AB598" s="169">
        <f>SUMIF(Allocation!C:C,Delivery[[#This Row],[Delivery ID]],Allocation!D:D)/Delivery[[#This Row],[Quantity delivered]]</f>
        <v>5.0825921219822107E-5</v>
      </c>
      <c r="AC598" s="170">
        <f>Delivery[[#This Row],[Quantity delivered]]*Delivery[[#This Row],[Base price (Unidad)]]/60</f>
        <v>144991.78980251154</v>
      </c>
      <c r="AD598" s="171">
        <f>Delivery[[#This Row],[Nespresso total]]-Delivery[[#This Row],[Qt. Delivery * Base Price]]</f>
        <v>20437.589824176888</v>
      </c>
      <c r="AE598" s="171">
        <f>Delivery[[#This Row],[AAA Premium (total)]]/Delivery[[#This Row],[Quantity delivered]]*60/Delivery[[#This Row],[Exchange rate VS USD]]</f>
        <v>7</v>
      </c>
      <c r="AF598" s="171">
        <f>Delivery[[#This Row],[BEN premium (total)]]/Delivery[[#This Row],[Quantity delivered]]*60/Delivery[[#This Row],[Exchange rate for premiums VS USD]]</f>
        <v>2.1886853999999993</v>
      </c>
      <c r="AG598" s="171">
        <f>COUNTIF(Delivery[Delivery ID],Delivery[[#This Row],[Delivery ID]])</f>
        <v>1</v>
      </c>
      <c r="AH598" s="171">
        <f>(Delivery[[#This Row],[Nespresso total]]/SUMIF(Allocation!C:C,Delivery[Delivery ID],Allocation!H:H))/Delivery[[#This Row],[Exchange rate VS USD]]</f>
        <v>160596.23512202472</v>
      </c>
      <c r="AI598" s="171">
        <f>(Delivery[[#This Row],[AAA Premium (total)]]/SUMIF(Allocation!C:C,Delivery[Delivery ID],Allocation!H:H))/Delivery[[#This Row],[Exchange rate VS USD]]</f>
        <v>6955.8080808080813</v>
      </c>
      <c r="AJ598" s="171">
        <f>Delivery[[#This Row],[Valor Prêmio Nespresso AAA por Kg (em US$)]]*60</f>
        <v>417348.48484848486</v>
      </c>
      <c r="AK598" s="171">
        <f>Delivery[[#This Row],[Valor Prêmio Nespresso AAA por saca (em US$)]]/1.3228/100</f>
        <v>3155.0384400399525</v>
      </c>
      <c r="AL598" s="171">
        <f>(Delivery[[#This Row],[BEN premium (total)]]/SUMIF(Allocation!C:C,Delivery[Delivery ID],Allocation!H:H))/Delivery[[#This Row],[Exchange rate for premiums VS USD]]</f>
        <v>2174.8679416666664</v>
      </c>
      <c r="AM598" s="171">
        <f>Delivery[[#This Row],[Valor Prêmio Nespresso BEN por Kg (em US$)]]*60</f>
        <v>130492.07649999998</v>
      </c>
      <c r="AN598" s="171">
        <f>Delivery[[#This Row],[Valor Prêmio Nespresso BEN por saca (em US$)]]/1.3228/100</f>
        <v>986.48379573631678</v>
      </c>
      <c r="AO598" s="171">
        <f>SUMIF(Allocation[Delivery ID],Delivery[[#This Row],[Delivery ID]],Allocation[Quantity allocated])*16*1.3228*Delivery[[#This Row],[Exchange rate VS USD]]/60</f>
        <v>0.36336257937622068</v>
      </c>
      <c r="AP598" s="171">
        <f>Delivery[[#This Row],[AAA Premium (total)]]</f>
        <v>7165.143160025279</v>
      </c>
      <c r="AQ598" s="171">
        <f>Delivery[[#This Row],[Valor pago pelo Cluster]]-Delivery[[#This Row],[Valor efetivamente pago pela Nespresso]]</f>
        <v>7164.7797974459027</v>
      </c>
    </row>
    <row r="599" spans="1:43" ht="15.75">
      <c r="A599" s="174" t="s">
        <v>69</v>
      </c>
      <c r="B599" s="232" t="s">
        <v>68</v>
      </c>
      <c r="C599" s="157">
        <v>1</v>
      </c>
      <c r="D599" s="157" t="s">
        <v>468</v>
      </c>
      <c r="E599" s="177" t="s">
        <v>468</v>
      </c>
      <c r="F599" s="233" t="s">
        <v>469</v>
      </c>
      <c r="G599" s="234">
        <v>42828</v>
      </c>
      <c r="H599" s="157" t="s">
        <v>754</v>
      </c>
      <c r="I599" s="157" t="s">
        <v>737</v>
      </c>
      <c r="J599" s="237">
        <v>31646.5</v>
      </c>
      <c r="K599" s="175" t="s">
        <v>61</v>
      </c>
      <c r="L599" s="175" t="s">
        <v>439</v>
      </c>
      <c r="M599" s="175" t="s">
        <v>1343</v>
      </c>
      <c r="N599" s="180"/>
      <c r="O599" s="177"/>
      <c r="P599" s="185">
        <v>0</v>
      </c>
      <c r="Q599" s="177">
        <v>42822</v>
      </c>
      <c r="R599" s="178">
        <v>435.98899999999998</v>
      </c>
      <c r="S599" s="179">
        <v>262013.45088563187</v>
      </c>
      <c r="T599" s="182" t="s">
        <v>45</v>
      </c>
      <c r="U599" s="183">
        <v>3.14</v>
      </c>
      <c r="V599" s="179">
        <v>11583.46</v>
      </c>
      <c r="W599" s="179">
        <v>4174.0445571840673</v>
      </c>
      <c r="X599" s="186" t="s">
        <v>45</v>
      </c>
      <c r="Y599" s="183">
        <v>3.14</v>
      </c>
      <c r="Z599" s="220" t="s">
        <v>473</v>
      </c>
      <c r="AA599" s="172">
        <f>Delivery[[#This Row],[Quantity delivered]]*VLOOKUP(Delivery[[#This Row],[Unit]],References!$U:$X,4,FALSE)*VLOOKUP(CONCATENATE(Delivery[[#This Row],[Coffee specie]],Delivery[[#This Row],[Coffee state]]),References!$U:$X,4,FALSE)</f>
        <v>31646.5</v>
      </c>
      <c r="AB599" s="169">
        <f>SUMIF(Allocation!C:C,Delivery[[#This Row],[Delivery ID]],Allocation!D:D)/Delivery[[#This Row],[Quantity delivered]]</f>
        <v>1.4788365222062472E-2</v>
      </c>
      <c r="AC599" s="170">
        <f>Delivery[[#This Row],[Quantity delivered]]*Delivery[[#This Row],[Base price (Unidad)]]/60</f>
        <v>229958.76480833333</v>
      </c>
      <c r="AD599" s="171">
        <f>Delivery[[#This Row],[Nespresso total]]-Delivery[[#This Row],[Qt. Delivery * Base Price]]</f>
        <v>32054.686077298538</v>
      </c>
      <c r="AE599" s="171">
        <f>Delivery[[#This Row],[AAA Premium (total)]]/Delivery[[#This Row],[Quantity delivered]]*60/Delivery[[#This Row],[Exchange rate VS USD]]</f>
        <v>6.9941383723318538</v>
      </c>
      <c r="AF599" s="171">
        <f>Delivery[[#This Row],[BEN premium (total)]]/Delivery[[#This Row],[Quantity delivered]]*60/Delivery[[#This Row],[Exchange rate for premiums VS USD]]</f>
        <v>2.5203044000000001</v>
      </c>
      <c r="AG599" s="171">
        <f>COUNTIF(Delivery[Delivery ID],Delivery[[#This Row],[Delivery ID]])</f>
        <v>1</v>
      </c>
      <c r="AH599" s="171">
        <f>(Delivery[[#This Row],[Nespresso total]]/SUMIF(Allocation!C:C,Delivery[Delivery ID],Allocation!H:H))/Delivery[[#This Row],[Exchange rate VS USD]]</f>
        <v>468.78524813145327</v>
      </c>
      <c r="AI599" s="171">
        <f>(Delivery[[#This Row],[AAA Premium (total)]]/SUMIF(Allocation!C:C,Delivery[Delivery ID],Allocation!H:H))/Delivery[[#This Row],[Exchange rate VS USD]]</f>
        <v>20.724719101123593</v>
      </c>
      <c r="AJ599" s="171">
        <f>Delivery[[#This Row],[Valor Prêmio Nespresso AAA por Kg (em US$)]]*60</f>
        <v>1243.4831460674156</v>
      </c>
      <c r="AK599" s="171">
        <f>Delivery[[#This Row],[Valor Prêmio Nespresso AAA por saca (em US$)]]/1.3228/100</f>
        <v>9.4003866500409412</v>
      </c>
      <c r="AL599" s="171">
        <f>(Delivery[[#This Row],[BEN premium (total)]]/SUMIF(Allocation!C:C,Delivery[Delivery ID],Allocation!H:H))/Delivery[[#This Row],[Exchange rate for premiums VS USD]]</f>
        <v>7.468053669906368</v>
      </c>
      <c r="AM599" s="171">
        <f>Delivery[[#This Row],[Valor Prêmio Nespresso BEN por Kg (em US$)]]*60</f>
        <v>448.08322019438208</v>
      </c>
      <c r="AN599" s="171">
        <f>Delivery[[#This Row],[Valor Prêmio Nespresso BEN por saca (em US$)]]/1.3228/100</f>
        <v>3.3873844889203366</v>
      </c>
      <c r="AO599" s="171">
        <f>SUMIF(Allocation[Delivery ID],Delivery[[#This Row],[Delivery ID]],Allocation[Quantity allocated])*16*1.3228*Delivery[[#This Row],[Exchange rate VS USD]]/60</f>
        <v>197.15716693333334</v>
      </c>
      <c r="AP599" s="171">
        <f>Delivery[[#This Row],[AAA Premium (total)]]</f>
        <v>11583.46</v>
      </c>
      <c r="AQ599" s="171">
        <f>Delivery[[#This Row],[Valor pago pelo Cluster]]-Delivery[[#This Row],[Valor efetivamente pago pela Nespresso]]</f>
        <v>11386.302833066666</v>
      </c>
    </row>
    <row r="600" spans="1:43" ht="15.75">
      <c r="A600" s="174" t="s">
        <v>69</v>
      </c>
      <c r="B600" s="232" t="s">
        <v>68</v>
      </c>
      <c r="C600" s="157">
        <v>1</v>
      </c>
      <c r="D600" s="157" t="s">
        <v>468</v>
      </c>
      <c r="E600" s="177" t="s">
        <v>468</v>
      </c>
      <c r="F600" s="233" t="s">
        <v>469</v>
      </c>
      <c r="G600" s="234">
        <v>42828</v>
      </c>
      <c r="H600" s="157" t="s">
        <v>755</v>
      </c>
      <c r="I600" s="157" t="s">
        <v>737</v>
      </c>
      <c r="J600" s="237">
        <v>31517</v>
      </c>
      <c r="K600" s="175" t="s">
        <v>61</v>
      </c>
      <c r="L600" s="175" t="s">
        <v>439</v>
      </c>
      <c r="M600" s="175" t="s">
        <v>1343</v>
      </c>
      <c r="N600" s="180"/>
      <c r="O600" s="177"/>
      <c r="P600" s="185">
        <v>0</v>
      </c>
      <c r="Q600" s="177">
        <v>42822</v>
      </c>
      <c r="R600" s="178">
        <v>435.98899999999998</v>
      </c>
      <c r="S600" s="179">
        <v>261534.59193157093</v>
      </c>
      <c r="T600" s="182" t="s">
        <v>45</v>
      </c>
      <c r="U600" s="183">
        <v>3.14</v>
      </c>
      <c r="V600" s="179">
        <v>11561.48</v>
      </c>
      <c r="W600" s="179">
        <v>4156.9640342145331</v>
      </c>
      <c r="X600" s="186" t="s">
        <v>45</v>
      </c>
      <c r="Y600" s="183">
        <v>3.14</v>
      </c>
      <c r="Z600" s="220" t="s">
        <v>473</v>
      </c>
      <c r="AA600" s="172">
        <f>Delivery[[#This Row],[Quantity delivered]]*VLOOKUP(Delivery[[#This Row],[Unit]],References!$U:$X,4,FALSE)*VLOOKUP(CONCATENATE(Delivery[[#This Row],[Coffee specie]],Delivery[[#This Row],[Coffee state]]),References!$U:$X,4,FALSE)</f>
        <v>31517</v>
      </c>
      <c r="AB600" s="169">
        <f>SUMIF(Allocation!C:C,Delivery[[#This Row],[Delivery ID]],Allocation!D:D)/Delivery[[#This Row],[Quantity delivered]]</f>
        <v>1.4849129041469683E-2</v>
      </c>
      <c r="AC600" s="170">
        <f>Delivery[[#This Row],[Quantity delivered]]*Delivery[[#This Row],[Base price (Unidad)]]/60</f>
        <v>229017.75521666664</v>
      </c>
      <c r="AD600" s="171">
        <f>Delivery[[#This Row],[Nespresso total]]-Delivery[[#This Row],[Qt. Delivery * Base Price]]</f>
        <v>32516.83671490429</v>
      </c>
      <c r="AE600" s="171">
        <f>Delivery[[#This Row],[AAA Premium (total)]]/Delivery[[#This Row],[Quantity delivered]]*60/Delivery[[#This Row],[Exchange rate VS USD]]</f>
        <v>7.0095504013706886</v>
      </c>
      <c r="AF600" s="171">
        <f>Delivery[[#This Row],[BEN premium (total)]]/Delivery[[#This Row],[Quantity delivered]]*60/Delivery[[#This Row],[Exchange rate for premiums VS USD]]</f>
        <v>2.5203043999999997</v>
      </c>
      <c r="AG600" s="171">
        <f>COUNTIF(Delivery[Delivery ID],Delivery[[#This Row],[Delivery ID]])</f>
        <v>1</v>
      </c>
      <c r="AH600" s="171">
        <f>(Delivery[[#This Row],[Nespresso total]]/SUMIF(Allocation!C:C,Delivery[Delivery ID],Allocation!H:H))/Delivery[[#This Row],[Exchange rate VS USD]]</f>
        <v>467.92849053812876</v>
      </c>
      <c r="AI600" s="171">
        <f>(Delivery[[#This Row],[AAA Premium (total)]]/SUMIF(Allocation!C:C,Delivery[Delivery ID],Allocation!H:H))/Delivery[[#This Row],[Exchange rate VS USD]]</f>
        <v>20.685393258426963</v>
      </c>
      <c r="AJ600" s="171">
        <f>Delivery[[#This Row],[Valor Prêmio Nespresso AAA por Kg (em US$)]]*60</f>
        <v>1241.1235955056177</v>
      </c>
      <c r="AK600" s="171">
        <f>Delivery[[#This Row],[Valor Prêmio Nespresso AAA por saca (em US$)]]/1.3228/100</f>
        <v>9.3825491042154354</v>
      </c>
      <c r="AL600" s="171">
        <f>(Delivery[[#This Row],[BEN premium (total)]]/SUMIF(Allocation!C:C,Delivery[Delivery ID],Allocation!H:H))/Delivery[[#This Row],[Exchange rate for premiums VS USD]]</f>
        <v>7.4374937991385766</v>
      </c>
      <c r="AM600" s="171">
        <f>Delivery[[#This Row],[Valor Prêmio Nespresso BEN por Kg (em US$)]]*60</f>
        <v>446.24962794831458</v>
      </c>
      <c r="AN600" s="171">
        <f>Delivery[[#This Row],[Valor Prêmio Nespresso BEN por saca (em US$)]]/1.3228/100</f>
        <v>3.373523041641326</v>
      </c>
      <c r="AO600" s="171">
        <f>SUMIF(Allocation[Delivery ID],Delivery[[#This Row],[Delivery ID]],Allocation[Quantity allocated])*16*1.3228*Delivery[[#This Row],[Exchange rate VS USD]]/60</f>
        <v>197.15716693333334</v>
      </c>
      <c r="AP600" s="171">
        <f>Delivery[[#This Row],[AAA Premium (total)]]</f>
        <v>11561.48</v>
      </c>
      <c r="AQ600" s="171">
        <f>Delivery[[#This Row],[Valor pago pelo Cluster]]-Delivery[[#This Row],[Valor efetivamente pago pela Nespresso]]</f>
        <v>11364.322833066666</v>
      </c>
    </row>
    <row r="601" spans="1:43" ht="15.75">
      <c r="A601" s="174" t="s">
        <v>69</v>
      </c>
      <c r="B601" s="232" t="s">
        <v>68</v>
      </c>
      <c r="C601" s="157">
        <v>1</v>
      </c>
      <c r="D601" s="157" t="s">
        <v>468</v>
      </c>
      <c r="E601" s="177" t="s">
        <v>468</v>
      </c>
      <c r="F601" s="233" t="s">
        <v>469</v>
      </c>
      <c r="G601" s="234">
        <v>42828</v>
      </c>
      <c r="H601" s="157" t="s">
        <v>756</v>
      </c>
      <c r="I601" s="157" t="s">
        <v>737</v>
      </c>
      <c r="J601" s="237">
        <v>31497</v>
      </c>
      <c r="K601" s="175" t="s">
        <v>61</v>
      </c>
      <c r="L601" s="175" t="s">
        <v>439</v>
      </c>
      <c r="M601" s="175" t="s">
        <v>1343</v>
      </c>
      <c r="N601" s="180"/>
      <c r="O601" s="177"/>
      <c r="P601" s="185">
        <v>0</v>
      </c>
      <c r="Q601" s="177">
        <v>42822</v>
      </c>
      <c r="R601" s="178">
        <v>435.98899999999998</v>
      </c>
      <c r="S601" s="179">
        <v>261539.86776878161</v>
      </c>
      <c r="T601" s="182" t="s">
        <v>45</v>
      </c>
      <c r="U601" s="183">
        <v>3.14</v>
      </c>
      <c r="V601" s="179">
        <v>11561.48</v>
      </c>
      <c r="W601" s="179">
        <v>4154.3261156092003</v>
      </c>
      <c r="X601" s="186" t="s">
        <v>45</v>
      </c>
      <c r="Y601" s="183">
        <v>3.14</v>
      </c>
      <c r="Z601" s="220" t="s">
        <v>473</v>
      </c>
      <c r="AA601" s="172">
        <f>Delivery[[#This Row],[Quantity delivered]]*VLOOKUP(Delivery[[#This Row],[Unit]],References!$U:$X,4,FALSE)*VLOOKUP(CONCATENATE(Delivery[[#This Row],[Coffee specie]],Delivery[[#This Row],[Coffee state]]),References!$U:$X,4,FALSE)</f>
        <v>31497</v>
      </c>
      <c r="AB601" s="169">
        <f>SUMIF(Allocation!C:C,Delivery[[#This Row],[Delivery ID]],Allocation!D:D)/Delivery[[#This Row],[Quantity delivered]]</f>
        <v>1.4858557957900753E-2</v>
      </c>
      <c r="AC601" s="170">
        <f>Delivery[[#This Row],[Quantity delivered]]*Delivery[[#This Row],[Base price (Unidad)]]/60</f>
        <v>228872.42554999999</v>
      </c>
      <c r="AD601" s="171">
        <f>Delivery[[#This Row],[Nespresso total]]-Delivery[[#This Row],[Qt. Delivery * Base Price]]</f>
        <v>32667.442218781624</v>
      </c>
      <c r="AE601" s="171">
        <f>Delivery[[#This Row],[AAA Premium (total)]]/Delivery[[#This Row],[Quantity delivered]]*60/Delivery[[#This Row],[Exchange rate VS USD]]</f>
        <v>7.0140013334603291</v>
      </c>
      <c r="AF601" s="171">
        <f>Delivery[[#This Row],[BEN premium (total)]]/Delivery[[#This Row],[Quantity delivered]]*60/Delivery[[#This Row],[Exchange rate for premiums VS USD]]</f>
        <v>2.5203044000000001</v>
      </c>
      <c r="AG601" s="171">
        <f>COUNTIF(Delivery[Delivery ID],Delivery[[#This Row],[Delivery ID]])</f>
        <v>1</v>
      </c>
      <c r="AH601" s="171">
        <f>(Delivery[[#This Row],[Nespresso total]]/SUMIF(Allocation!C:C,Delivery[Delivery ID],Allocation!H:H))/Delivery[[#This Row],[Exchange rate VS USD]]</f>
        <v>467.93792988045089</v>
      </c>
      <c r="AI601" s="171">
        <f>(Delivery[[#This Row],[AAA Premium (total)]]/SUMIF(Allocation!C:C,Delivery[Delivery ID],Allocation!H:H))/Delivery[[#This Row],[Exchange rate VS USD]]</f>
        <v>20.685393258426963</v>
      </c>
      <c r="AJ601" s="171">
        <f>Delivery[[#This Row],[Valor Prêmio Nespresso AAA por Kg (em US$)]]*60</f>
        <v>1241.1235955056177</v>
      </c>
      <c r="AK601" s="171">
        <f>Delivery[[#This Row],[Valor Prêmio Nespresso AAA por saca (em US$)]]/1.3228/100</f>
        <v>9.3825491042154354</v>
      </c>
      <c r="AL601" s="171">
        <f>(Delivery[[#This Row],[BEN premium (total)]]/SUMIF(Allocation!C:C,Delivery[Delivery ID],Allocation!H:H))/Delivery[[#This Row],[Exchange rate for premiums VS USD]]</f>
        <v>7.4327741279775283</v>
      </c>
      <c r="AM601" s="171">
        <f>Delivery[[#This Row],[Valor Prêmio Nespresso BEN por Kg (em US$)]]*60</f>
        <v>445.96644767865172</v>
      </c>
      <c r="AN601" s="171">
        <f>Delivery[[#This Row],[Valor Prêmio Nespresso BEN por saca (em US$)]]/1.3228/100</f>
        <v>3.371382277582792</v>
      </c>
      <c r="AO601" s="171">
        <f>SUMIF(Allocation[Delivery ID],Delivery[[#This Row],[Delivery ID]],Allocation[Quantity allocated])*16*1.3228*Delivery[[#This Row],[Exchange rate VS USD]]/60</f>
        <v>197.15716693333334</v>
      </c>
      <c r="AP601" s="171">
        <f>Delivery[[#This Row],[AAA Premium (total)]]</f>
        <v>11561.48</v>
      </c>
      <c r="AQ601" s="171">
        <f>Delivery[[#This Row],[Valor pago pelo Cluster]]-Delivery[[#This Row],[Valor efetivamente pago pela Nespresso]]</f>
        <v>11364.322833066666</v>
      </c>
    </row>
    <row r="602" spans="1:43" ht="15.75">
      <c r="A602" s="174" t="s">
        <v>69</v>
      </c>
      <c r="B602" s="232" t="s">
        <v>68</v>
      </c>
      <c r="C602" s="157">
        <v>1</v>
      </c>
      <c r="D602" s="157" t="s">
        <v>468</v>
      </c>
      <c r="E602" s="177" t="s">
        <v>468</v>
      </c>
      <c r="F602" s="233" t="s">
        <v>469</v>
      </c>
      <c r="G602" s="234">
        <v>42828</v>
      </c>
      <c r="H602" s="157" t="s">
        <v>757</v>
      </c>
      <c r="I602" s="157" t="s">
        <v>737</v>
      </c>
      <c r="J602" s="237">
        <v>31656.5</v>
      </c>
      <c r="K602" s="175" t="s">
        <v>61</v>
      </c>
      <c r="L602" s="175" t="s">
        <v>439</v>
      </c>
      <c r="M602" s="175" t="s">
        <v>1343</v>
      </c>
      <c r="N602" s="180"/>
      <c r="O602" s="177"/>
      <c r="P602" s="185">
        <v>0</v>
      </c>
      <c r="Q602" s="177">
        <v>42822</v>
      </c>
      <c r="R602" s="178">
        <v>435.98899999999998</v>
      </c>
      <c r="S602" s="179">
        <v>262010.81296702652</v>
      </c>
      <c r="T602" s="182" t="s">
        <v>45</v>
      </c>
      <c r="U602" s="183">
        <v>3.14</v>
      </c>
      <c r="V602" s="179">
        <v>11583.46</v>
      </c>
      <c r="W602" s="179">
        <v>4175.3635164867328</v>
      </c>
      <c r="X602" s="186" t="s">
        <v>45</v>
      </c>
      <c r="Y602" s="183">
        <v>3.14</v>
      </c>
      <c r="Z602" s="220" t="s">
        <v>473</v>
      </c>
      <c r="AA602" s="172">
        <f>Delivery[[#This Row],[Quantity delivered]]*VLOOKUP(Delivery[[#This Row],[Unit]],References!$U:$X,4,FALSE)*VLOOKUP(CONCATENATE(Delivery[[#This Row],[Coffee specie]],Delivery[[#This Row],[Coffee state]]),References!$U:$X,4,FALSE)</f>
        <v>31656.5</v>
      </c>
      <c r="AB602" s="169">
        <f>SUMIF(Allocation!C:C,Delivery[[#This Row],[Delivery ID]],Allocation!D:D)/Delivery[[#This Row],[Quantity delivered]]</f>
        <v>1.478369371219181E-2</v>
      </c>
      <c r="AC602" s="170">
        <f>Delivery[[#This Row],[Quantity delivered]]*Delivery[[#This Row],[Base price (Unidad)]]/60</f>
        <v>230031.42964166668</v>
      </c>
      <c r="AD602" s="171">
        <f>Delivery[[#This Row],[Nespresso total]]-Delivery[[#This Row],[Qt. Delivery * Base Price]]</f>
        <v>31979.383325359842</v>
      </c>
      <c r="AE602" s="171">
        <f>Delivery[[#This Row],[AAA Premium (total)]]/Delivery[[#This Row],[Quantity delivered]]*60/Delivery[[#This Row],[Exchange rate VS USD]]</f>
        <v>6.9919289877276372</v>
      </c>
      <c r="AF602" s="171">
        <f>Delivery[[#This Row],[BEN premium (total)]]/Delivery[[#This Row],[Quantity delivered]]*60/Delivery[[#This Row],[Exchange rate for premiums VS USD]]</f>
        <v>2.5203043999999997</v>
      </c>
      <c r="AG602" s="171">
        <f>COUNTIF(Delivery[Delivery ID],Delivery[[#This Row],[Delivery ID]])</f>
        <v>1</v>
      </c>
      <c r="AH602" s="171">
        <f>(Delivery[[#This Row],[Nespresso total]]/SUMIF(Allocation!C:C,Delivery[Delivery ID],Allocation!H:H))/Delivery[[#This Row],[Exchange rate VS USD]]</f>
        <v>468.78052846029215</v>
      </c>
      <c r="AI602" s="171">
        <f>(Delivery[[#This Row],[AAA Premium (total)]]/SUMIF(Allocation!C:C,Delivery[Delivery ID],Allocation!H:H))/Delivery[[#This Row],[Exchange rate VS USD]]</f>
        <v>20.724719101123593</v>
      </c>
      <c r="AJ602" s="171">
        <f>Delivery[[#This Row],[Valor Prêmio Nespresso AAA por Kg (em US$)]]*60</f>
        <v>1243.4831460674156</v>
      </c>
      <c r="AK602" s="171">
        <f>Delivery[[#This Row],[Valor Prêmio Nespresso AAA por saca (em US$)]]/1.3228/100</f>
        <v>9.4003866500409412</v>
      </c>
      <c r="AL602" s="171">
        <f>(Delivery[[#This Row],[BEN premium (total)]]/SUMIF(Allocation!C:C,Delivery[Delivery ID],Allocation!H:H))/Delivery[[#This Row],[Exchange rate for premiums VS USD]]</f>
        <v>7.4704135054868903</v>
      </c>
      <c r="AM602" s="171">
        <f>Delivery[[#This Row],[Valor Prêmio Nespresso BEN por Kg (em US$)]]*60</f>
        <v>448.22481032921343</v>
      </c>
      <c r="AN602" s="171">
        <f>Delivery[[#This Row],[Valor Prêmio Nespresso BEN por saca (em US$)]]/1.3228/100</f>
        <v>3.388454870949603</v>
      </c>
      <c r="AO602" s="171">
        <f>SUMIF(Allocation[Delivery ID],Delivery[[#This Row],[Delivery ID]],Allocation[Quantity allocated])*16*1.3228*Delivery[[#This Row],[Exchange rate VS USD]]/60</f>
        <v>197.15716693333334</v>
      </c>
      <c r="AP602" s="171">
        <f>Delivery[[#This Row],[AAA Premium (total)]]</f>
        <v>11583.46</v>
      </c>
      <c r="AQ602" s="171">
        <f>Delivery[[#This Row],[Valor pago pelo Cluster]]-Delivery[[#This Row],[Valor efetivamente pago pela Nespresso]]</f>
        <v>11386.302833066666</v>
      </c>
    </row>
    <row r="603" spans="1:43" ht="15.75">
      <c r="A603" s="174" t="s">
        <v>69</v>
      </c>
      <c r="B603" s="232" t="s">
        <v>68</v>
      </c>
      <c r="C603" s="157">
        <v>1</v>
      </c>
      <c r="D603" s="157" t="s">
        <v>468</v>
      </c>
      <c r="E603" s="177" t="s">
        <v>468</v>
      </c>
      <c r="F603" s="233" t="s">
        <v>469</v>
      </c>
      <c r="G603" s="234">
        <v>42829</v>
      </c>
      <c r="H603" s="157" t="s">
        <v>758</v>
      </c>
      <c r="I603" s="157" t="s">
        <v>759</v>
      </c>
      <c r="J603" s="237">
        <v>11789.5</v>
      </c>
      <c r="K603" s="175" t="s">
        <v>61</v>
      </c>
      <c r="L603" s="175" t="s">
        <v>439</v>
      </c>
      <c r="M603" s="175" t="s">
        <v>1343</v>
      </c>
      <c r="N603" s="180"/>
      <c r="O603" s="177"/>
      <c r="P603" s="185">
        <v>0</v>
      </c>
      <c r="Q603" s="177">
        <v>42822</v>
      </c>
      <c r="R603" s="178">
        <v>436.20368999999999</v>
      </c>
      <c r="S603" s="179">
        <v>91572.701395185039</v>
      </c>
      <c r="T603" s="182" t="s">
        <v>45</v>
      </c>
      <c r="U603" s="183">
        <v>3.1358999999999999</v>
      </c>
      <c r="V603" s="179">
        <v>4302.2</v>
      </c>
      <c r="W603" s="179">
        <v>1062.549302407489</v>
      </c>
      <c r="X603" s="186" t="s">
        <v>45</v>
      </c>
      <c r="Y603" s="183">
        <v>3.1358999999999999</v>
      </c>
      <c r="Z603" s="220" t="s">
        <v>473</v>
      </c>
      <c r="AA603" s="172">
        <f>Delivery[[#This Row],[Quantity delivered]]*VLOOKUP(Delivery[[#This Row],[Unit]],References!$U:$X,4,FALSE)*VLOOKUP(CONCATENATE(Delivery[[#This Row],[Coffee specie]],Delivery[[#This Row],[Coffee state]]),References!$U:$X,4,FALSE)</f>
        <v>11789.5</v>
      </c>
      <c r="AB603" s="169">
        <f>SUMIF(Allocation!C:C,Delivery[[#This Row],[Delivery ID]],Allocation!D:D)/Delivery[[#This Row],[Quantity delivered]]</f>
        <v>3.8848127571143816E-2</v>
      </c>
      <c r="AC603" s="170">
        <f>Delivery[[#This Row],[Quantity delivered]]*Delivery[[#This Row],[Base price (Unidad)]]/60</f>
        <v>85710.39005424999</v>
      </c>
      <c r="AD603" s="171">
        <f>Delivery[[#This Row],[Nespresso total]]-Delivery[[#This Row],[Qt. Delivery * Base Price]]</f>
        <v>5862.3113409350481</v>
      </c>
      <c r="AE603" s="171">
        <f>Delivery[[#This Row],[AAA Premium (total)]]/Delivery[[#This Row],[Quantity delivered]]*60/Delivery[[#This Row],[Exchange rate VS USD]]</f>
        <v>6.9820708973698826</v>
      </c>
      <c r="AF603" s="171">
        <f>Delivery[[#This Row],[BEN premium (total)]]/Delivery[[#This Row],[Quantity delivered]]*60/Delivery[[#This Row],[Exchange rate for premiums VS USD]]</f>
        <v>1.7244187999999998</v>
      </c>
      <c r="AG603" s="171">
        <f>COUNTIF(Delivery[Delivery ID],Delivery[[#This Row],[Delivery ID]])</f>
        <v>1</v>
      </c>
      <c r="AH603" s="171">
        <f>(Delivery[[#This Row],[Nespresso total]]/SUMIF(Allocation!C:C,Delivery[Delivery ID],Allocation!H:H))/Delivery[[#This Row],[Exchange rate VS USD]]</f>
        <v>245.38999940023663</v>
      </c>
      <c r="AI603" s="171">
        <f>(Delivery[[#This Row],[AAA Premium (total)]]/SUMIF(Allocation!C:C,Delivery[Delivery ID],Allocation!H:H))/Delivery[[#This Row],[Exchange rate VS USD]]</f>
        <v>11.528728969823842</v>
      </c>
      <c r="AJ603" s="171">
        <f>Delivery[[#This Row],[Valor Prêmio Nespresso AAA por Kg (em US$)]]*60</f>
        <v>691.72373818943049</v>
      </c>
      <c r="AK603" s="171">
        <f>Delivery[[#This Row],[Valor Prêmio Nespresso AAA por saca (em US$)]]/1.3228/100</f>
        <v>5.2292390247159846</v>
      </c>
      <c r="AL603" s="171">
        <f>(Delivery[[#This Row],[BEN premium (total)]]/SUMIF(Allocation!C:C,Delivery[Delivery ID],Allocation!H:H))/Delivery[[#This Row],[Exchange rate for premiums VS USD]]</f>
        <v>2.8473438995238096</v>
      </c>
      <c r="AM603" s="171">
        <f>Delivery[[#This Row],[Valor Prêmio Nespresso BEN por Kg (em US$)]]*60</f>
        <v>170.84063397142859</v>
      </c>
      <c r="AN603" s="171">
        <f>Delivery[[#This Row],[Valor Prêmio Nespresso BEN por saca (em US$)]]/1.3228/100</f>
        <v>1.2915076653419155</v>
      </c>
      <c r="AO603" s="171">
        <f>SUMIF(Allocation[Delivery ID],Delivery[[#This Row],[Delivery ID]],Allocation[Quantity allocated])*16*1.3228*Delivery[[#This Row],[Exchange rate VS USD]]/60</f>
        <v>131.63521436799999</v>
      </c>
      <c r="AP603" s="171">
        <f>Delivery[[#This Row],[AAA Premium (total)]]</f>
        <v>4302.2</v>
      </c>
      <c r="AQ603" s="171">
        <f>Delivery[[#This Row],[Valor pago pelo Cluster]]-Delivery[[#This Row],[Valor efetivamente pago pela Nespresso]]</f>
        <v>4170.5647856320002</v>
      </c>
    </row>
    <row r="604" spans="1:43" ht="15.75">
      <c r="A604" s="174" t="s">
        <v>69</v>
      </c>
      <c r="B604" s="232" t="s">
        <v>68</v>
      </c>
      <c r="C604" s="157">
        <v>1</v>
      </c>
      <c r="D604" s="157" t="s">
        <v>468</v>
      </c>
      <c r="E604" s="177" t="s">
        <v>468</v>
      </c>
      <c r="F604" s="233" t="s">
        <v>469</v>
      </c>
      <c r="G604" s="234">
        <v>42829</v>
      </c>
      <c r="H604" s="157" t="s">
        <v>760</v>
      </c>
      <c r="I604" s="157" t="s">
        <v>759</v>
      </c>
      <c r="J604" s="237">
        <v>16773</v>
      </c>
      <c r="K604" s="175" t="s">
        <v>61</v>
      </c>
      <c r="L604" s="175" t="s">
        <v>439</v>
      </c>
      <c r="M604" s="175" t="s">
        <v>1343</v>
      </c>
      <c r="N604" s="180"/>
      <c r="O604" s="177"/>
      <c r="P604" s="185">
        <v>0</v>
      </c>
      <c r="Q604" s="177">
        <v>42822</v>
      </c>
      <c r="R604" s="178">
        <v>436.20368999999999</v>
      </c>
      <c r="S604" s="179">
        <v>130352.55809206824</v>
      </c>
      <c r="T604" s="182" t="s">
        <v>45</v>
      </c>
      <c r="U604" s="183">
        <v>3.1358999999999999</v>
      </c>
      <c r="V604" s="179">
        <v>6124.06</v>
      </c>
      <c r="W604" s="179">
        <v>1511.6959539658858</v>
      </c>
      <c r="X604" s="186" t="s">
        <v>45</v>
      </c>
      <c r="Y604" s="183">
        <v>3.1358999999999999</v>
      </c>
      <c r="Z604" s="220" t="s">
        <v>473</v>
      </c>
      <c r="AA604" s="172">
        <f>Delivery[[#This Row],[Quantity delivered]]*VLOOKUP(Delivery[[#This Row],[Unit]],References!$U:$X,4,FALSE)*VLOOKUP(CONCATENATE(Delivery[[#This Row],[Coffee specie]],Delivery[[#This Row],[Coffee state]]),References!$U:$X,4,FALSE)</f>
        <v>16773</v>
      </c>
      <c r="AB604" s="169">
        <f>SUMIF(Allocation!C:C,Delivery[[#This Row],[Delivery ID]],Allocation!D:D)/Delivery[[#This Row],[Quantity delivered]]</f>
        <v>4.5609014487569308E-2</v>
      </c>
      <c r="AC604" s="170">
        <f>Delivery[[#This Row],[Quantity delivered]]*Delivery[[#This Row],[Base price (Unidad)]]/60</f>
        <v>121940.7415395</v>
      </c>
      <c r="AD604" s="171">
        <f>Delivery[[#This Row],[Nespresso total]]-Delivery[[#This Row],[Qt. Delivery * Base Price]]</f>
        <v>8411.8165525682416</v>
      </c>
      <c r="AE604" s="171">
        <f>Delivery[[#This Row],[AAA Premium (total)]]/Delivery[[#This Row],[Quantity delivered]]*60/Delivery[[#This Row],[Exchange rate VS USD]]</f>
        <v>6.9858255349715099</v>
      </c>
      <c r="AF604" s="171">
        <f>Delivery[[#This Row],[BEN premium (total)]]/Delivery[[#This Row],[Quantity delivered]]*60/Delivery[[#This Row],[Exchange rate for premiums VS USD]]</f>
        <v>1.7244187999999996</v>
      </c>
      <c r="AG604" s="171">
        <f>COUNTIF(Delivery[Delivery ID],Delivery[[#This Row],[Delivery ID]])</f>
        <v>1</v>
      </c>
      <c r="AH604" s="171">
        <f>(Delivery[[#This Row],[Nespresso total]]/SUMIF(Allocation!C:C,Delivery[Delivery ID],Allocation!H:H))/Delivery[[#This Row],[Exchange rate VS USD]]</f>
        <v>208.88356783129308</v>
      </c>
      <c r="AI604" s="171">
        <f>(Delivery[[#This Row],[AAA Premium (total)]]/SUMIF(Allocation!C:C,Delivery[Delivery ID],Allocation!H:H))/Delivery[[#This Row],[Exchange rate VS USD]]</f>
        <v>9.8135051673431413</v>
      </c>
      <c r="AJ604" s="171">
        <f>Delivery[[#This Row],[Valor Prêmio Nespresso AAA por Kg (em US$)]]*60</f>
        <v>588.81031004058843</v>
      </c>
      <c r="AK604" s="171">
        <f>Delivery[[#This Row],[Valor Prêmio Nespresso AAA por saca (em US$)]]/1.3228/100</f>
        <v>4.4512421381961635</v>
      </c>
      <c r="AL604" s="171">
        <f>(Delivery[[#This Row],[BEN premium (total)]]/SUMIF(Allocation!C:C,Delivery[Delivery ID],Allocation!H:H))/Delivery[[#This Row],[Exchange rate for premiums VS USD]]</f>
        <v>2.4224184700502511</v>
      </c>
      <c r="AM604" s="171">
        <f>Delivery[[#This Row],[Valor Prêmio Nespresso BEN por Kg (em US$)]]*60</f>
        <v>145.34510820301506</v>
      </c>
      <c r="AN604" s="171">
        <f>Delivery[[#This Row],[Valor Prêmio Nespresso BEN por saca (em US$)]]/1.3228/100</f>
        <v>1.0987685833309273</v>
      </c>
      <c r="AO604" s="171">
        <f>SUMIF(Allocation[Delivery ID],Delivery[[#This Row],[Delivery ID]],Allocation[Quantity allocated])*16*1.3228*Delivery[[#This Row],[Exchange rate VS USD]]/60</f>
        <v>220.12947612799996</v>
      </c>
      <c r="AP604" s="171">
        <f>Delivery[[#This Row],[AAA Premium (total)]]</f>
        <v>6124.06</v>
      </c>
      <c r="AQ604" s="171">
        <f>Delivery[[#This Row],[Valor pago pelo Cluster]]-Delivery[[#This Row],[Valor efetivamente pago pela Nespresso]]</f>
        <v>5903.9305238720008</v>
      </c>
    </row>
    <row r="605" spans="1:43" ht="15.75">
      <c r="A605" s="174" t="s">
        <v>69</v>
      </c>
      <c r="B605" s="232" t="s">
        <v>68</v>
      </c>
      <c r="C605" s="157">
        <v>1</v>
      </c>
      <c r="D605" s="157" t="s">
        <v>468</v>
      </c>
      <c r="E605" s="177" t="s">
        <v>468</v>
      </c>
      <c r="F605" s="233" t="s">
        <v>469</v>
      </c>
      <c r="G605" s="234">
        <v>42845</v>
      </c>
      <c r="H605" s="157" t="s">
        <v>761</v>
      </c>
      <c r="I605" s="157" t="s">
        <v>710</v>
      </c>
      <c r="J605" s="237">
        <v>30760</v>
      </c>
      <c r="K605" s="175" t="s">
        <v>61</v>
      </c>
      <c r="L605" s="175" t="s">
        <v>439</v>
      </c>
      <c r="M605" s="175" t="s">
        <v>1343</v>
      </c>
      <c r="N605" s="180"/>
      <c r="O605" s="177"/>
      <c r="P605" s="181">
        <v>0</v>
      </c>
      <c r="Q605" s="177">
        <v>42837</v>
      </c>
      <c r="R605" s="178">
        <v>443.10089999999997</v>
      </c>
      <c r="S605" s="179">
        <v>227839.771551782</v>
      </c>
      <c r="T605" s="182" t="s">
        <v>45</v>
      </c>
      <c r="U605" s="183">
        <v>3.1515</v>
      </c>
      <c r="V605" s="179">
        <v>33950.339999999997</v>
      </c>
      <c r="W605" s="179">
        <v>10179.944224108998</v>
      </c>
      <c r="X605" s="196" t="s">
        <v>45</v>
      </c>
      <c r="Y605" s="183">
        <v>3.1515</v>
      </c>
      <c r="Z605" s="220" t="s">
        <v>473</v>
      </c>
      <c r="AA605" s="172">
        <f>Delivery[[#This Row],[Quantity delivered]]*VLOOKUP(Delivery[[#This Row],[Unit]],References!$U:$X,4,FALSE)*VLOOKUP(CONCATENATE(Delivery[[#This Row],[Coffee specie]],Delivery[[#This Row],[Coffee state]]),References!$U:$X,4,FALSE)</f>
        <v>30760</v>
      </c>
      <c r="AB605" s="173">
        <f>SUMIF(Allocation!C:C,Delivery[[#This Row],[Delivery ID]],Allocation!D:D)/Delivery[[#This Row],[Quantity delivered]]</f>
        <v>2.5455136540962289E-2</v>
      </c>
      <c r="AC605" s="170">
        <f>Delivery[[#This Row],[Quantity delivered]]*Delivery[[#This Row],[Base price (Unidad)]]/60</f>
        <v>227163.06139999998</v>
      </c>
      <c r="AD605" s="171">
        <f>Delivery[[#This Row],[Nespresso total]]-Delivery[[#This Row],[Qt. Delivery * Base Price]]</f>
        <v>676.71015178202651</v>
      </c>
      <c r="AE605" s="171">
        <f>Delivery[[#This Row],[AAA Premium (total)]]/Delivery[[#This Row],[Quantity delivered]]*60/Delivery[[#This Row],[Exchange rate VS USD]]</f>
        <v>21.013177822932793</v>
      </c>
      <c r="AF605" s="171">
        <f>Delivery[[#This Row],[BEN premium (total)]]/Delivery[[#This Row],[Quantity delivered]]*60/Delivery[[#This Row],[Exchange rate for premiums VS USD]]</f>
        <v>6.3007609999999987</v>
      </c>
      <c r="AG605" s="171">
        <f>COUNTIF(Delivery[Delivery ID],Delivery[[#This Row],[Delivery ID]])</f>
        <v>1</v>
      </c>
      <c r="AH605" s="171">
        <f>(Delivery[[#This Row],[Nespresso total]]/SUMIF(Allocation!C:C,Delivery[Delivery ID],Allocation!H:H))/Delivery[[#This Row],[Exchange rate VS USD]]</f>
        <v>97.17158562136396</v>
      </c>
      <c r="AI605" s="171">
        <f>(Delivery[[#This Row],[AAA Premium (total)]]/SUMIF(Allocation!C:C,Delivery[Delivery ID],Allocation!H:H))/Delivery[[#This Row],[Exchange rate VS USD]]</f>
        <v>14.479510524942038</v>
      </c>
      <c r="AJ605" s="171">
        <f>Delivery[[#This Row],[Valor Prêmio Nespresso AAA por Kg (em US$)]]*60</f>
        <v>868.77063149652224</v>
      </c>
      <c r="AK605" s="171">
        <f>Delivery[[#This Row],[Valor Prêmio Nespresso AAA por saca (em US$)]]/1.3228/100</f>
        <v>6.5676642840680541</v>
      </c>
      <c r="AL605" s="171">
        <f>(Delivery[[#This Row],[BEN premium (total)]]/SUMIF(Allocation!C:C,Delivery[Delivery ID],Allocation!H:H))/Delivery[[#This Row],[Exchange rate for premiums VS USD]]</f>
        <v>4.3416534130824367</v>
      </c>
      <c r="AM605" s="171">
        <f>Delivery[[#This Row],[Valor Prêmio Nespresso BEN por Kg (em US$)]]*60</f>
        <v>260.49920478494619</v>
      </c>
      <c r="AN605" s="171">
        <f>Delivery[[#This Row],[Valor Prêmio Nespresso BEN por saca (em US$)]]/1.3228/100</f>
        <v>1.9693015178783353</v>
      </c>
      <c r="AO605" s="171">
        <f>SUMIF(Allocation[Delivery ID],Delivery[[#This Row],[Delivery ID]],Allocation[Quantity allocated])*16*1.3228*Delivery[[#This Row],[Exchange rate VS USD]]/60</f>
        <v>827.09075327999994</v>
      </c>
      <c r="AP605" s="171">
        <f>Delivery[[#This Row],[AAA Premium (total)]]</f>
        <v>33950.339999999997</v>
      </c>
      <c r="AQ605" s="171">
        <f>Delivery[[#This Row],[Valor pago pelo Cluster]]-Delivery[[#This Row],[Valor efetivamente pago pela Nespresso]]</f>
        <v>33123.249246719999</v>
      </c>
    </row>
    <row r="606" spans="1:43" ht="15.75">
      <c r="A606" s="174" t="s">
        <v>69</v>
      </c>
      <c r="B606" s="232" t="s">
        <v>68</v>
      </c>
      <c r="C606" s="157">
        <v>1</v>
      </c>
      <c r="D606" s="157" t="s">
        <v>468</v>
      </c>
      <c r="E606" s="177" t="s">
        <v>468</v>
      </c>
      <c r="F606" s="233" t="s">
        <v>469</v>
      </c>
      <c r="G606" s="234">
        <v>42845</v>
      </c>
      <c r="H606" s="157" t="s">
        <v>762</v>
      </c>
      <c r="I606" s="157" t="s">
        <v>710</v>
      </c>
      <c r="J606" s="237">
        <v>30743</v>
      </c>
      <c r="K606" s="175" t="s">
        <v>61</v>
      </c>
      <c r="L606" s="175" t="s">
        <v>439</v>
      </c>
      <c r="M606" s="175" t="s">
        <v>1343</v>
      </c>
      <c r="N606" s="180"/>
      <c r="O606" s="177"/>
      <c r="P606" s="181">
        <v>0</v>
      </c>
      <c r="Q606" s="177">
        <v>42837</v>
      </c>
      <c r="R606" s="178">
        <v>443.10089999999997</v>
      </c>
      <c r="S606" s="179">
        <v>227851.02376581388</v>
      </c>
      <c r="T606" s="182" t="s">
        <v>45</v>
      </c>
      <c r="U606" s="183">
        <v>3.1515</v>
      </c>
      <c r="V606" s="179">
        <v>33950.339999999997</v>
      </c>
      <c r="W606" s="179">
        <v>10174.318117093075</v>
      </c>
      <c r="X606" s="196" t="s">
        <v>45</v>
      </c>
      <c r="Y606" s="183">
        <v>3.1515</v>
      </c>
      <c r="Z606" s="220" t="s">
        <v>473</v>
      </c>
      <c r="AA606" s="172">
        <f>Delivery[[#This Row],[Quantity delivered]]*VLOOKUP(Delivery[[#This Row],[Unit]],References!$U:$X,4,FALSE)*VLOOKUP(CONCATENATE(Delivery[[#This Row],[Coffee specie]],Delivery[[#This Row],[Coffee state]]),References!$U:$X,4,FALSE)</f>
        <v>30743</v>
      </c>
      <c r="AB606" s="173">
        <f>SUMIF(Allocation!C:C,Delivery[[#This Row],[Delivery ID]],Allocation!D:D)/Delivery[[#This Row],[Quantity delivered]]</f>
        <v>2.5469212503659369E-2</v>
      </c>
      <c r="AC606" s="170">
        <f>Delivery[[#This Row],[Quantity delivered]]*Delivery[[#This Row],[Base price (Unidad)]]/60</f>
        <v>227037.51614499997</v>
      </c>
      <c r="AD606" s="171">
        <f>Delivery[[#This Row],[Nespresso total]]-Delivery[[#This Row],[Qt. Delivery * Base Price]]</f>
        <v>813.50762081390712</v>
      </c>
      <c r="AE606" s="171">
        <f>Delivery[[#This Row],[AAA Premium (total)]]/Delivery[[#This Row],[Quantity delivered]]*60/Delivery[[#This Row],[Exchange rate VS USD]]</f>
        <v>21.024797509462722</v>
      </c>
      <c r="AF606" s="171">
        <f>Delivery[[#This Row],[BEN premium (total)]]/Delivery[[#This Row],[Quantity delivered]]*60/Delivery[[#This Row],[Exchange rate for premiums VS USD]]</f>
        <v>6.3007610000000005</v>
      </c>
      <c r="AG606" s="171">
        <f>COUNTIF(Delivery[Delivery ID],Delivery[[#This Row],[Delivery ID]])</f>
        <v>1</v>
      </c>
      <c r="AH606" s="171">
        <f>(Delivery[[#This Row],[Nespresso total]]/SUMIF(Allocation!C:C,Delivery[Delivery ID],Allocation!H:H))/Delivery[[#This Row],[Exchange rate VS USD]]</f>
        <v>97.176384588075436</v>
      </c>
      <c r="AI606" s="171">
        <f>(Delivery[[#This Row],[AAA Premium (total)]]/SUMIF(Allocation!C:C,Delivery[Delivery ID],Allocation!H:H))/Delivery[[#This Row],[Exchange rate VS USD]]</f>
        <v>14.479510524942038</v>
      </c>
      <c r="AJ606" s="171">
        <f>Delivery[[#This Row],[Valor Prêmio Nespresso AAA por Kg (em US$)]]*60</f>
        <v>868.77063149652224</v>
      </c>
      <c r="AK606" s="171">
        <f>Delivery[[#This Row],[Valor Prêmio Nespresso AAA por saca (em US$)]]/1.3228/100</f>
        <v>6.5676642840680541</v>
      </c>
      <c r="AL606" s="171">
        <f>(Delivery[[#This Row],[BEN premium (total)]]/SUMIF(Allocation!C:C,Delivery[Delivery ID],Allocation!H:H))/Delivery[[#This Row],[Exchange rate for premiums VS USD]]</f>
        <v>4.339253929726703</v>
      </c>
      <c r="AM606" s="171">
        <f>Delivery[[#This Row],[Valor Prêmio Nespresso BEN por Kg (em US$)]]*60</f>
        <v>260.35523578360215</v>
      </c>
      <c r="AN606" s="171">
        <f>Delivery[[#This Row],[Valor Prêmio Nespresso BEN por saca (em US$)]]/1.3228/100</f>
        <v>1.9682131522800284</v>
      </c>
      <c r="AO606" s="171">
        <f>SUMIF(Allocation[Delivery ID],Delivery[[#This Row],[Delivery ID]],Allocation[Quantity allocated])*16*1.3228*Delivery[[#This Row],[Exchange rate VS USD]]/60</f>
        <v>827.09075327999994</v>
      </c>
      <c r="AP606" s="171">
        <f>Delivery[[#This Row],[AAA Premium (total)]]</f>
        <v>33950.339999999997</v>
      </c>
      <c r="AQ606" s="171">
        <f>Delivery[[#This Row],[Valor pago pelo Cluster]]-Delivery[[#This Row],[Valor efetivamente pago pela Nespresso]]</f>
        <v>33123.249246719999</v>
      </c>
    </row>
    <row r="607" spans="1:43" ht="15.75">
      <c r="A607" s="174" t="s">
        <v>69</v>
      </c>
      <c r="B607" s="232" t="s">
        <v>68</v>
      </c>
      <c r="C607" s="157">
        <v>1</v>
      </c>
      <c r="D607" s="157" t="s">
        <v>468</v>
      </c>
      <c r="E607" s="177" t="s">
        <v>468</v>
      </c>
      <c r="F607" s="233" t="s">
        <v>469</v>
      </c>
      <c r="G607" s="234">
        <v>42845</v>
      </c>
      <c r="H607" s="157" t="s">
        <v>763</v>
      </c>
      <c r="I607" s="157" t="s">
        <v>710</v>
      </c>
      <c r="J607" s="237">
        <v>30773</v>
      </c>
      <c r="K607" s="175" t="s">
        <v>61</v>
      </c>
      <c r="L607" s="175" t="s">
        <v>439</v>
      </c>
      <c r="M607" s="175" t="s">
        <v>1343</v>
      </c>
      <c r="N607" s="180"/>
      <c r="O607" s="177"/>
      <c r="P607" s="181">
        <v>0</v>
      </c>
      <c r="Q607" s="177">
        <v>42837</v>
      </c>
      <c r="R607" s="178">
        <v>443.10089999999997</v>
      </c>
      <c r="S607" s="179">
        <v>227831.16691752235</v>
      </c>
      <c r="T607" s="182" t="s">
        <v>45</v>
      </c>
      <c r="U607" s="183">
        <v>3.1515</v>
      </c>
      <c r="V607" s="179">
        <v>33950.339999999997</v>
      </c>
      <c r="W607" s="179">
        <v>10184.246541238825</v>
      </c>
      <c r="X607" s="196" t="s">
        <v>45</v>
      </c>
      <c r="Y607" s="183">
        <v>3.1515</v>
      </c>
      <c r="Z607" s="220" t="s">
        <v>473</v>
      </c>
      <c r="AA607" s="172">
        <f>Delivery[[#This Row],[Quantity delivered]]*VLOOKUP(Delivery[[#This Row],[Unit]],References!$U:$X,4,FALSE)*VLOOKUP(CONCATENATE(Delivery[[#This Row],[Coffee specie]],Delivery[[#This Row],[Coffee state]]),References!$U:$X,4,FALSE)</f>
        <v>30773</v>
      </c>
      <c r="AB607" s="173">
        <f>SUMIF(Allocation!C:C,Delivery[[#This Row],[Delivery ID]],Allocation!D:D)/Delivery[[#This Row],[Quantity delivered]]</f>
        <v>2.5444383063074772E-2</v>
      </c>
      <c r="AC607" s="170">
        <f>Delivery[[#This Row],[Quantity delivered]]*Delivery[[#This Row],[Base price (Unidad)]]/60</f>
        <v>227259.06659500001</v>
      </c>
      <c r="AD607" s="171">
        <f>Delivery[[#This Row],[Nespresso total]]-Delivery[[#This Row],[Qt. Delivery * Base Price]]</f>
        <v>572.10032252233941</v>
      </c>
      <c r="AE607" s="171">
        <f>Delivery[[#This Row],[AAA Premium (total)]]/Delivery[[#This Row],[Quantity delivered]]*60/Delivery[[#This Row],[Exchange rate VS USD]]</f>
        <v>21.004300842732679</v>
      </c>
      <c r="AF607" s="171">
        <f>Delivery[[#This Row],[BEN premium (total)]]/Delivery[[#This Row],[Quantity delivered]]*60/Delivery[[#This Row],[Exchange rate for premiums VS USD]]</f>
        <v>6.3007610000000005</v>
      </c>
      <c r="AG607" s="171">
        <f>COUNTIF(Delivery[Delivery ID],Delivery[[#This Row],[Delivery ID]])</f>
        <v>1</v>
      </c>
      <c r="AH607" s="171">
        <f>(Delivery[[#This Row],[Nespresso total]]/SUMIF(Allocation!C:C,Delivery[Delivery ID],Allocation!H:H))/Delivery[[#This Row],[Exchange rate VS USD]]</f>
        <v>97.167915823290471</v>
      </c>
      <c r="AI607" s="171">
        <f>(Delivery[[#This Row],[AAA Premium (total)]]/SUMIF(Allocation!C:C,Delivery[Delivery ID],Allocation!H:H))/Delivery[[#This Row],[Exchange rate VS USD]]</f>
        <v>14.479510524942038</v>
      </c>
      <c r="AJ607" s="171">
        <f>Delivery[[#This Row],[Valor Prêmio Nespresso AAA por Kg (em US$)]]*60</f>
        <v>868.77063149652224</v>
      </c>
      <c r="AK607" s="171">
        <f>Delivery[[#This Row],[Valor Prêmio Nespresso AAA por saca (em US$)]]/1.3228/100</f>
        <v>6.5676642840680541</v>
      </c>
      <c r="AL607" s="171">
        <f>(Delivery[[#This Row],[BEN premium (total)]]/SUMIF(Allocation!C:C,Delivery[Delivery ID],Allocation!H:H))/Delivery[[#This Row],[Exchange rate for premiums VS USD]]</f>
        <v>4.3434883121191756</v>
      </c>
      <c r="AM607" s="171">
        <f>Delivery[[#This Row],[Valor Prêmio Nespresso BEN por Kg (em US$)]]*60</f>
        <v>260.60929872715053</v>
      </c>
      <c r="AN607" s="171">
        <f>Delivery[[#This Row],[Valor Prêmio Nespresso BEN por saca (em US$)]]/1.3228/100</f>
        <v>1.9701337974535118</v>
      </c>
      <c r="AO607" s="171">
        <f>SUMIF(Allocation[Delivery ID],Delivery[[#This Row],[Delivery ID]],Allocation[Quantity allocated])*16*1.3228*Delivery[[#This Row],[Exchange rate VS USD]]/60</f>
        <v>827.09075327999994</v>
      </c>
      <c r="AP607" s="171">
        <f>Delivery[[#This Row],[AAA Premium (total)]]</f>
        <v>33950.339999999997</v>
      </c>
      <c r="AQ607" s="171">
        <f>Delivery[[#This Row],[Valor pago pelo Cluster]]-Delivery[[#This Row],[Valor efetivamente pago pela Nespresso]]</f>
        <v>33123.249246719999</v>
      </c>
    </row>
    <row r="608" spans="1:43" ht="15.75">
      <c r="A608" s="174" t="s">
        <v>69</v>
      </c>
      <c r="B608" s="232" t="s">
        <v>68</v>
      </c>
      <c r="C608" s="157">
        <v>1</v>
      </c>
      <c r="D608" s="157" t="s">
        <v>468</v>
      </c>
      <c r="E608" s="177" t="s">
        <v>468</v>
      </c>
      <c r="F608" s="233" t="s">
        <v>469</v>
      </c>
      <c r="G608" s="234">
        <v>42845</v>
      </c>
      <c r="H608" s="157" t="s">
        <v>764</v>
      </c>
      <c r="I608" s="157" t="s">
        <v>710</v>
      </c>
      <c r="J608" s="237">
        <v>37995.5</v>
      </c>
      <c r="K608" s="175" t="s">
        <v>61</v>
      </c>
      <c r="L608" s="175" t="s">
        <v>439</v>
      </c>
      <c r="M608" s="175" t="s">
        <v>1343</v>
      </c>
      <c r="N608" s="180"/>
      <c r="O608" s="177"/>
      <c r="P608" s="181">
        <v>0</v>
      </c>
      <c r="Q608" s="177">
        <v>42837</v>
      </c>
      <c r="R608" s="178">
        <v>443.10089999999997</v>
      </c>
      <c r="S608" s="179">
        <v>282076.67069134378</v>
      </c>
      <c r="T608" s="182" t="s">
        <v>45</v>
      </c>
      <c r="U608" s="183">
        <v>3.1515</v>
      </c>
      <c r="V608" s="179">
        <v>42024.3</v>
      </c>
      <c r="W608" s="179">
        <v>12574.514654328137</v>
      </c>
      <c r="X608" s="196" t="s">
        <v>45</v>
      </c>
      <c r="Y608" s="183">
        <v>3.1515</v>
      </c>
      <c r="Z608" s="220" t="s">
        <v>473</v>
      </c>
      <c r="AA608" s="172">
        <f>Delivery[[#This Row],[Quantity delivered]]*VLOOKUP(Delivery[[#This Row],[Unit]],References!$U:$X,4,FALSE)*VLOOKUP(CONCATENATE(Delivery[[#This Row],[Coffee specie]],Delivery[[#This Row],[Coffee state]]),References!$U:$X,4,FALSE)</f>
        <v>37995.5</v>
      </c>
      <c r="AB608" s="173">
        <f>SUMIF(Allocation!C:C,Delivery[[#This Row],[Delivery ID]],Allocation!D:D)/Delivery[[#This Row],[Quantity delivered]]</f>
        <v>2.5503020094484873E-2</v>
      </c>
      <c r="AC608" s="170">
        <f>Delivery[[#This Row],[Quantity delivered]]*Delivery[[#This Row],[Base price (Unidad)]]/60</f>
        <v>280597.33743249997</v>
      </c>
      <c r="AD608" s="171">
        <f>Delivery[[#This Row],[Nespresso total]]-Delivery[[#This Row],[Qt. Delivery * Base Price]]</f>
        <v>1479.3332588438061</v>
      </c>
      <c r="AE608" s="171">
        <f>Delivery[[#This Row],[AAA Premium (total)]]/Delivery[[#This Row],[Quantity delivered]]*60/Delivery[[#This Row],[Exchange rate VS USD]]</f>
        <v>21.057279566743457</v>
      </c>
      <c r="AF608" s="171">
        <f>Delivery[[#This Row],[BEN premium (total)]]/Delivery[[#This Row],[Quantity delivered]]*60/Delivery[[#This Row],[Exchange rate for premiums VS USD]]</f>
        <v>6.3007610000000005</v>
      </c>
      <c r="AG608" s="171">
        <f>COUNTIF(Delivery[Delivery ID],Delivery[[#This Row],[Delivery ID]])</f>
        <v>1</v>
      </c>
      <c r="AH608" s="171">
        <f>(Delivery[[#This Row],[Nespresso total]]/SUMIF(Allocation!C:C,Delivery[Delivery ID],Allocation!H:H))/Delivery[[#This Row],[Exchange rate VS USD]]</f>
        <v>97.182983437507488</v>
      </c>
      <c r="AI608" s="171">
        <f>(Delivery[[#This Row],[AAA Premium (total)]]/SUMIF(Allocation!C:C,Delivery[Delivery ID],Allocation!H:H))/Delivery[[#This Row],[Exchange rate VS USD]]</f>
        <v>14.478499199750287</v>
      </c>
      <c r="AJ608" s="171">
        <f>Delivery[[#This Row],[Valor Prêmio Nespresso AAA por Kg (em US$)]]*60</f>
        <v>868.70995198501726</v>
      </c>
      <c r="AK608" s="171">
        <f>Delivery[[#This Row],[Valor Prêmio Nespresso AAA por saca (em US$)]]/1.3228/100</f>
        <v>6.5672055638419806</v>
      </c>
      <c r="AL608" s="171">
        <f>(Delivery[[#This Row],[BEN premium (total)]]/SUMIF(Allocation!C:C,Delivery[Delivery ID],Allocation!H:H))/Delivery[[#This Row],[Exchange rate for premiums VS USD]]</f>
        <v>4.3322577737151651</v>
      </c>
      <c r="AM608" s="171">
        <f>Delivery[[#This Row],[Valor Prêmio Nespresso BEN por Kg (em US$)]]*60</f>
        <v>259.93546642290988</v>
      </c>
      <c r="AN608" s="171">
        <f>Delivery[[#This Row],[Valor Prêmio Nespresso BEN por saca (em US$)]]/1.3228/100</f>
        <v>1.9650398126920916</v>
      </c>
      <c r="AO608" s="171">
        <f>SUMIF(Allocation[Delivery ID],Delivery[[#This Row],[Delivery ID]],Allocation[Quantity allocated])*16*1.3228*Delivery[[#This Row],[Exchange rate VS USD]]/60</f>
        <v>1023.85831152</v>
      </c>
      <c r="AP608" s="171">
        <f>Delivery[[#This Row],[AAA Premium (total)]]</f>
        <v>42024.3</v>
      </c>
      <c r="AQ608" s="171">
        <f>Delivery[[#This Row],[Valor pago pelo Cluster]]-Delivery[[#This Row],[Valor efetivamente pago pela Nespresso]]</f>
        <v>41000.441688480001</v>
      </c>
    </row>
    <row r="609" spans="1:43" ht="15.75">
      <c r="A609" s="174" t="s">
        <v>69</v>
      </c>
      <c r="B609" s="232" t="s">
        <v>68</v>
      </c>
      <c r="C609" s="157">
        <v>1</v>
      </c>
      <c r="D609" s="157" t="s">
        <v>468</v>
      </c>
      <c r="E609" s="177" t="s">
        <v>468</v>
      </c>
      <c r="F609" s="233" t="s">
        <v>469</v>
      </c>
      <c r="G609" s="234">
        <v>42865</v>
      </c>
      <c r="H609" s="157" t="s">
        <v>765</v>
      </c>
      <c r="I609" s="157" t="s">
        <v>699</v>
      </c>
      <c r="J609" s="237">
        <v>5590</v>
      </c>
      <c r="K609" s="175" t="s">
        <v>61</v>
      </c>
      <c r="L609" s="175" t="s">
        <v>439</v>
      </c>
      <c r="M609" s="175" t="s">
        <v>1343</v>
      </c>
      <c r="N609" s="180"/>
      <c r="O609" s="177"/>
      <c r="P609" s="181">
        <v>0</v>
      </c>
      <c r="Q609" s="177">
        <v>42860</v>
      </c>
      <c r="R609" s="178">
        <v>431.72178000000002</v>
      </c>
      <c r="S609" s="179">
        <v>43053.064721970404</v>
      </c>
      <c r="T609" s="182" t="s">
        <v>45</v>
      </c>
      <c r="U609" s="183">
        <v>3.1791</v>
      </c>
      <c r="V609" s="179">
        <v>2961.8615000000004</v>
      </c>
      <c r="W609" s="179">
        <v>785.76763901480012</v>
      </c>
      <c r="X609" s="196" t="s">
        <v>45</v>
      </c>
      <c r="Y609" s="183">
        <v>3.1791</v>
      </c>
      <c r="Z609" s="220" t="s">
        <v>473</v>
      </c>
      <c r="AA609" s="172">
        <f>Delivery[[#This Row],[Quantity delivered]]*VLOOKUP(Delivery[[#This Row],[Unit]],References!$U:$X,4,FALSE)*VLOOKUP(CONCATENATE(Delivery[[#This Row],[Coffee specie]],Delivery[[#This Row],[Coffee state]]),References!$U:$X,4,FALSE)</f>
        <v>5590</v>
      </c>
      <c r="AB609" s="173">
        <f>SUMIF(Allocation!C:C,Delivery[[#This Row],[Delivery ID]],Allocation!D:D)/Delivery[[#This Row],[Quantity delivered]]</f>
        <v>5.3309481216457962E-2</v>
      </c>
      <c r="AC609" s="170">
        <f>Delivery[[#This Row],[Quantity delivered]]*Delivery[[#This Row],[Base price (Unidad)]]/60</f>
        <v>40222.079170000005</v>
      </c>
      <c r="AD609" s="171">
        <f>Delivery[[#This Row],[Nespresso total]]-Delivery[[#This Row],[Qt. Delivery * Base Price]]</f>
        <v>2830.9855519703997</v>
      </c>
      <c r="AE609" s="171">
        <f>Delivery[[#This Row],[AAA Premium (total)]]/Delivery[[#This Row],[Quantity delivered]]*60/Delivery[[#This Row],[Exchange rate VS USD]]</f>
        <v>10.000000000000002</v>
      </c>
      <c r="AF609" s="171">
        <f>Delivery[[#This Row],[BEN premium (total)]]/Delivery[[#This Row],[Quantity delivered]]*60/Delivery[[#This Row],[Exchange rate for premiums VS USD]]</f>
        <v>2.6529520000000004</v>
      </c>
      <c r="AG609" s="171">
        <f>COUNTIF(Delivery[Delivery ID],Delivery[[#This Row],[Delivery ID]])</f>
        <v>1</v>
      </c>
      <c r="AH609" s="171">
        <f>(Delivery[[#This Row],[Nespresso total]]/SUMIF(Allocation!C:C,Delivery[Delivery ID],Allocation!H:H))/Delivery[[#This Row],[Exchange rate VS USD]]</f>
        <v>113.80279319571287</v>
      </c>
      <c r="AI609" s="171">
        <f>(Delivery[[#This Row],[AAA Premium (total)]]/SUMIF(Allocation!C:C,Delivery[Delivery ID],Allocation!H:H))/Delivery[[#This Row],[Exchange rate VS USD]]</f>
        <v>7.8291316526610659</v>
      </c>
      <c r="AJ609" s="171">
        <f>Delivery[[#This Row],[Valor Prêmio Nespresso AAA por Kg (em US$)]]*60</f>
        <v>469.74789915966397</v>
      </c>
      <c r="AK609" s="171">
        <f>Delivery[[#This Row],[Valor Prêmio Nespresso AAA por saca (em US$)]]/1.3228/100</f>
        <v>3.5511634348326577</v>
      </c>
      <c r="AL609" s="171">
        <f>(Delivery[[#This Row],[BEN premium (total)]]/SUMIF(Allocation!C:C,Delivery[Delivery ID],Allocation!H:H))/Delivery[[#This Row],[Exchange rate for premiums VS USD]]</f>
        <v>2.0770310476190481</v>
      </c>
      <c r="AM609" s="171">
        <f>Delivery[[#This Row],[Valor Prêmio Nespresso BEN por Kg (em US$)]]*60</f>
        <v>124.62186285714289</v>
      </c>
      <c r="AN609" s="171">
        <f>Delivery[[#This Row],[Valor Prêmio Nespresso BEN por saca (em US$)]]/1.3228/100</f>
        <v>0.94210661367661697</v>
      </c>
      <c r="AO609" s="171">
        <f>SUMIF(Allocation[Delivery ID],Delivery[[#This Row],[Delivery ID]],Allocation[Quantity allocated])*16*1.3228*Delivery[[#This Row],[Exchange rate VS USD]]/60</f>
        <v>133.448614432</v>
      </c>
      <c r="AP609" s="171">
        <f>Delivery[[#This Row],[AAA Premium (total)]]</f>
        <v>2961.8615000000004</v>
      </c>
      <c r="AQ609" s="171">
        <f>Delivery[[#This Row],[Valor pago pelo Cluster]]-Delivery[[#This Row],[Valor efetivamente pago pela Nespresso]]</f>
        <v>2828.4128855680005</v>
      </c>
    </row>
    <row r="610" spans="1:43" ht="15.75">
      <c r="A610" s="174" t="s">
        <v>69</v>
      </c>
      <c r="B610" s="232" t="s">
        <v>68</v>
      </c>
      <c r="C610" s="157">
        <v>1</v>
      </c>
      <c r="D610" s="157" t="s">
        <v>468</v>
      </c>
      <c r="E610" s="177" t="s">
        <v>468</v>
      </c>
      <c r="F610" s="233" t="s">
        <v>469</v>
      </c>
      <c r="G610" s="234">
        <v>42865</v>
      </c>
      <c r="H610" s="157" t="s">
        <v>766</v>
      </c>
      <c r="I610" s="157" t="s">
        <v>699</v>
      </c>
      <c r="J610" s="237">
        <v>5104</v>
      </c>
      <c r="K610" s="175" t="s">
        <v>61</v>
      </c>
      <c r="L610" s="175" t="s">
        <v>439</v>
      </c>
      <c r="M610" s="175" t="s">
        <v>1343</v>
      </c>
      <c r="N610" s="180"/>
      <c r="O610" s="177"/>
      <c r="P610" s="181">
        <v>0</v>
      </c>
      <c r="Q610" s="177">
        <v>42860</v>
      </c>
      <c r="R610" s="178">
        <v>431.72178000000002</v>
      </c>
      <c r="S610" s="179">
        <v>39309.295517162238</v>
      </c>
      <c r="T610" s="182" t="s">
        <v>45</v>
      </c>
      <c r="U610" s="183">
        <v>3.1791</v>
      </c>
      <c r="V610" s="179">
        <v>2704.3544000000002</v>
      </c>
      <c r="W610" s="179">
        <v>717.45224141888002</v>
      </c>
      <c r="X610" s="196" t="s">
        <v>45</v>
      </c>
      <c r="Y610" s="183">
        <v>3.1791</v>
      </c>
      <c r="Z610" s="220" t="s">
        <v>473</v>
      </c>
      <c r="AA610" s="172">
        <f>Delivery[[#This Row],[Quantity delivered]]*VLOOKUP(Delivery[[#This Row],[Unit]],References!$U:$X,4,FALSE)*VLOOKUP(CONCATENATE(Delivery[[#This Row],[Coffee specie]],Delivery[[#This Row],[Coffee state]]),References!$U:$X,4,FALSE)</f>
        <v>5104</v>
      </c>
      <c r="AB610" s="173">
        <f>SUMIF(Allocation!C:C,Delivery[[#This Row],[Delivery ID]],Allocation!D:D)/Delivery[[#This Row],[Quantity delivered]]</f>
        <v>5.8385579937304075E-2</v>
      </c>
      <c r="AC610" s="170">
        <f>Delivery[[#This Row],[Quantity delivered]]*Delivery[[#This Row],[Base price (Unidad)]]/60</f>
        <v>36725.132752000005</v>
      </c>
      <c r="AD610" s="171">
        <f>Delivery[[#This Row],[Nespresso total]]-Delivery[[#This Row],[Qt. Delivery * Base Price]]</f>
        <v>2584.162765162233</v>
      </c>
      <c r="AE610" s="171">
        <f>Delivery[[#This Row],[AAA Premium (total)]]/Delivery[[#This Row],[Quantity delivered]]*60/Delivery[[#This Row],[Exchange rate VS USD]]</f>
        <v>10.000000000000002</v>
      </c>
      <c r="AF610" s="171">
        <f>Delivery[[#This Row],[BEN premium (total)]]/Delivery[[#This Row],[Quantity delivered]]*60/Delivery[[#This Row],[Exchange rate for premiums VS USD]]</f>
        <v>2.6529520000000004</v>
      </c>
      <c r="AG610" s="171">
        <f>COUNTIF(Delivery[Delivery ID],Delivery[[#This Row],[Delivery ID]])</f>
        <v>1</v>
      </c>
      <c r="AH610" s="171">
        <f>(Delivery[[#This Row],[Nespresso total]]/SUMIF(Allocation!C:C,Delivery[Delivery ID],Allocation!H:H))/Delivery[[#This Row],[Exchange rate VS USD]]</f>
        <v>103.90683351575439</v>
      </c>
      <c r="AI610" s="171">
        <f>(Delivery[[#This Row],[AAA Premium (total)]]/SUMIF(Allocation!C:C,Delivery[Delivery ID],Allocation!H:H))/Delivery[[#This Row],[Exchange rate VS USD]]</f>
        <v>7.1484593837535018</v>
      </c>
      <c r="AJ610" s="171">
        <f>Delivery[[#This Row],[Valor Prêmio Nespresso AAA por Kg (em US$)]]*60</f>
        <v>428.9075630252101</v>
      </c>
      <c r="AK610" s="171">
        <f>Delivery[[#This Row],[Valor Prêmio Nespresso AAA por saca (em US$)]]/1.3228/100</f>
        <v>3.2424218553463118</v>
      </c>
      <c r="AL610" s="171">
        <f>(Delivery[[#This Row],[BEN premium (total)]]/SUMIF(Allocation!C:C,Delivery[Delivery ID],Allocation!H:H))/Delivery[[#This Row],[Exchange rate for premiums VS USD]]</f>
        <v>1.896451961904762</v>
      </c>
      <c r="AM610" s="171">
        <f>Delivery[[#This Row],[Valor Prêmio Nespresso BEN por Kg (em US$)]]*60</f>
        <v>113.78711771428571</v>
      </c>
      <c r="AN610" s="171">
        <f>Delivery[[#This Row],[Valor Prêmio Nespresso BEN por saca (em US$)]]/1.3228/100</f>
        <v>0.86019895459847073</v>
      </c>
      <c r="AO610" s="171">
        <f>SUMIF(Allocation[Delivery ID],Delivery[[#This Row],[Delivery ID]],Allocation[Quantity allocated])*16*1.3228*Delivery[[#This Row],[Exchange rate VS USD]]/60</f>
        <v>133.448614432</v>
      </c>
      <c r="AP610" s="171">
        <f>Delivery[[#This Row],[AAA Premium (total)]]</f>
        <v>2704.3544000000002</v>
      </c>
      <c r="AQ610" s="171">
        <f>Delivery[[#This Row],[Valor pago pelo Cluster]]-Delivery[[#This Row],[Valor efetivamente pago pela Nespresso]]</f>
        <v>2570.9057855680003</v>
      </c>
    </row>
    <row r="611" spans="1:43" ht="15.75">
      <c r="A611" s="174" t="s">
        <v>69</v>
      </c>
      <c r="B611" s="232" t="s">
        <v>68</v>
      </c>
      <c r="C611" s="157">
        <v>1</v>
      </c>
      <c r="D611" s="157" t="s">
        <v>468</v>
      </c>
      <c r="E611" s="177" t="s">
        <v>468</v>
      </c>
      <c r="F611" s="233" t="s">
        <v>469</v>
      </c>
      <c r="G611" s="234">
        <v>42865</v>
      </c>
      <c r="H611" s="157" t="s">
        <v>767</v>
      </c>
      <c r="I611" s="157" t="s">
        <v>699</v>
      </c>
      <c r="J611" s="237">
        <v>9114.5</v>
      </c>
      <c r="K611" s="175" t="s">
        <v>61</v>
      </c>
      <c r="L611" s="175" t="s">
        <v>439</v>
      </c>
      <c r="M611" s="175" t="s">
        <v>1343</v>
      </c>
      <c r="N611" s="180"/>
      <c r="O611" s="177"/>
      <c r="P611" s="181">
        <v>0</v>
      </c>
      <c r="Q611" s="177">
        <v>42860</v>
      </c>
      <c r="R611" s="178">
        <v>431.72178000000002</v>
      </c>
      <c r="S611" s="179">
        <v>70195.110323506116</v>
      </c>
      <c r="T611" s="182" t="s">
        <v>45</v>
      </c>
      <c r="U611" s="183">
        <v>3.1791</v>
      </c>
      <c r="V611" s="179">
        <v>4829.3178250000001</v>
      </c>
      <c r="W611" s="179">
        <v>1281.1948382469402</v>
      </c>
      <c r="X611" s="196" t="s">
        <v>45</v>
      </c>
      <c r="Y611" s="183">
        <v>3.1791</v>
      </c>
      <c r="Z611" s="220" t="s">
        <v>473</v>
      </c>
      <c r="AA611" s="172">
        <f>Delivery[[#This Row],[Quantity delivered]]*VLOOKUP(Delivery[[#This Row],[Unit]],References!$U:$X,4,FALSE)*VLOOKUP(CONCATENATE(Delivery[[#This Row],[Coffee specie]],Delivery[[#This Row],[Coffee state]]),References!$U:$X,4,FALSE)</f>
        <v>9114.5</v>
      </c>
      <c r="AB611" s="173">
        <f>SUMIF(Allocation!C:C,Delivery[[#This Row],[Delivery ID]],Allocation!D:D)/Delivery[[#This Row],[Quantity delivered]]</f>
        <v>3.2695156069998357E-2</v>
      </c>
      <c r="AC611" s="170">
        <f>Delivery[[#This Row],[Quantity delivered]]*Delivery[[#This Row],[Base price (Unidad)]]/60</f>
        <v>65582.136063500002</v>
      </c>
      <c r="AD611" s="171">
        <f>Delivery[[#This Row],[Nespresso total]]-Delivery[[#This Row],[Qt. Delivery * Base Price]]</f>
        <v>4612.9742600061145</v>
      </c>
      <c r="AE611" s="171">
        <f>Delivery[[#This Row],[AAA Premium (total)]]/Delivery[[#This Row],[Quantity delivered]]*60/Delivery[[#This Row],[Exchange rate VS USD]]</f>
        <v>10.000000000000002</v>
      </c>
      <c r="AF611" s="171">
        <f>Delivery[[#This Row],[BEN premium (total)]]/Delivery[[#This Row],[Quantity delivered]]*60/Delivery[[#This Row],[Exchange rate for premiums VS USD]]</f>
        <v>2.6529520000000004</v>
      </c>
      <c r="AG611" s="171">
        <f>COUNTIF(Delivery[Delivery ID],Delivery[[#This Row],[Delivery ID]])</f>
        <v>1</v>
      </c>
      <c r="AH611" s="171">
        <f>(Delivery[[#This Row],[Nespresso total]]/SUMIF(Allocation!C:C,Delivery[Delivery ID],Allocation!H:H))/Delivery[[#This Row],[Exchange rate VS USD]]</f>
        <v>185.54775775160223</v>
      </c>
      <c r="AI611" s="171">
        <f>(Delivery[[#This Row],[AAA Premium (total)]]/SUMIF(Allocation!C:C,Delivery[Delivery ID],Allocation!H:H))/Delivery[[#This Row],[Exchange rate VS USD]]</f>
        <v>12.765406162464986</v>
      </c>
      <c r="AJ611" s="171">
        <f>Delivery[[#This Row],[Valor Prêmio Nespresso AAA por Kg (em US$)]]*60</f>
        <v>765.92436974789916</v>
      </c>
      <c r="AK611" s="171">
        <f>Delivery[[#This Row],[Valor Prêmio Nespresso AAA por saca (em US$)]]/1.3228/100</f>
        <v>5.7901751568483464</v>
      </c>
      <c r="AL611" s="171">
        <f>(Delivery[[#This Row],[BEN premium (total)]]/SUMIF(Allocation!C:C,Delivery[Delivery ID],Allocation!H:H))/Delivery[[#This Row],[Exchange rate for premiums VS USD]]</f>
        <v>3.3866009809523816</v>
      </c>
      <c r="AM611" s="171">
        <f>Delivery[[#This Row],[Valor Prêmio Nespresso BEN por Kg (em US$)]]*60</f>
        <v>203.1960588571429</v>
      </c>
      <c r="AN611" s="171">
        <f>Delivery[[#This Row],[Valor Prêmio Nespresso BEN por saca (em US$)]]/1.3228/100</f>
        <v>1.5361056762711136</v>
      </c>
      <c r="AO611" s="171">
        <f>SUMIF(Allocation[Delivery ID],Delivery[[#This Row],[Delivery ID]],Allocation[Quantity allocated])*16*1.3228*Delivery[[#This Row],[Exchange rate VS USD]]/60</f>
        <v>133.448614432</v>
      </c>
      <c r="AP611" s="171">
        <f>Delivery[[#This Row],[AAA Premium (total)]]</f>
        <v>4829.3178250000001</v>
      </c>
      <c r="AQ611" s="171">
        <f>Delivery[[#This Row],[Valor pago pelo Cluster]]-Delivery[[#This Row],[Valor efetivamente pago pela Nespresso]]</f>
        <v>4695.8692105680002</v>
      </c>
    </row>
    <row r="612" spans="1:43" ht="15.75">
      <c r="A612" s="174" t="s">
        <v>69</v>
      </c>
      <c r="B612" s="232" t="s">
        <v>68</v>
      </c>
      <c r="C612" s="157">
        <v>1</v>
      </c>
      <c r="D612" s="157" t="s">
        <v>468</v>
      </c>
      <c r="E612" s="176" t="s">
        <v>468</v>
      </c>
      <c r="F612" s="233" t="s">
        <v>469</v>
      </c>
      <c r="G612" s="234">
        <v>42865</v>
      </c>
      <c r="H612" s="157" t="s">
        <v>768</v>
      </c>
      <c r="I612" s="157" t="s">
        <v>699</v>
      </c>
      <c r="J612" s="237">
        <v>6562.5</v>
      </c>
      <c r="K612" s="175" t="s">
        <v>61</v>
      </c>
      <c r="L612" s="175" t="s">
        <v>439</v>
      </c>
      <c r="M612" s="175" t="s">
        <v>1343</v>
      </c>
      <c r="N612" s="180"/>
      <c r="O612" s="177"/>
      <c r="P612" s="181">
        <v>0</v>
      </c>
      <c r="Q612" s="177">
        <v>42860</v>
      </c>
      <c r="R612" s="178">
        <v>431.72178000000002</v>
      </c>
      <c r="S612" s="179">
        <v>50540.462564925001</v>
      </c>
      <c r="T612" s="182" t="s">
        <v>45</v>
      </c>
      <c r="U612" s="183">
        <v>3.1791</v>
      </c>
      <c r="V612" s="179">
        <v>3477.1406250000005</v>
      </c>
      <c r="W612" s="179">
        <v>922.46871753750008</v>
      </c>
      <c r="X612" s="196" t="s">
        <v>45</v>
      </c>
      <c r="Y612" s="183">
        <v>3.1791</v>
      </c>
      <c r="Z612" s="220" t="s">
        <v>473</v>
      </c>
      <c r="AA612" s="172">
        <f>Delivery[[#This Row],[Quantity delivered]]*VLOOKUP(Delivery[[#This Row],[Unit]],References!$U:$X,4,FALSE)*VLOOKUP(CONCATENATE(Delivery[[#This Row],[Coffee specie]],Delivery[[#This Row],[Coffee state]]),References!$U:$X,4,FALSE)</f>
        <v>6562.5</v>
      </c>
      <c r="AB612" s="173">
        <f>SUMIF(Allocation!C:C,Delivery[[#This Row],[Delivery ID]],Allocation!D:D)/Delivery[[#This Row],[Quantity delivered]]</f>
        <v>4.5409523809523809E-2</v>
      </c>
      <c r="AC612" s="170">
        <f>Delivery[[#This Row],[Quantity delivered]]*Delivery[[#This Row],[Base price (Unidad)]]/60</f>
        <v>47219.569687500007</v>
      </c>
      <c r="AD612" s="171">
        <f>Delivery[[#This Row],[Nespresso total]]-Delivery[[#This Row],[Qt. Delivery * Base Price]]</f>
        <v>3320.8928774249944</v>
      </c>
      <c r="AE612" s="171">
        <f>Delivery[[#This Row],[AAA Premium (total)]]/Delivery[[#This Row],[Quantity delivered]]*60/Delivery[[#This Row],[Exchange rate VS USD]]</f>
        <v>10.000000000000002</v>
      </c>
      <c r="AF612" s="171">
        <f>Delivery[[#This Row],[BEN premium (total)]]/Delivery[[#This Row],[Quantity delivered]]*60/Delivery[[#This Row],[Exchange rate for premiums VS USD]]</f>
        <v>2.6529520000000004</v>
      </c>
      <c r="AG612" s="171">
        <f>COUNTIF(Delivery[Delivery ID],Delivery[[#This Row],[Delivery ID]])</f>
        <v>1</v>
      </c>
      <c r="AH612" s="171">
        <f>(Delivery[[#This Row],[Nespresso total]]/SUMIF(Allocation!C:C,Delivery[Delivery ID],Allocation!H:H))/Delivery[[#This Row],[Exchange rate VS USD]]</f>
        <v>133.59434099372504</v>
      </c>
      <c r="AI612" s="171">
        <f>(Delivery[[#This Row],[AAA Premium (total)]]/SUMIF(Allocation!C:C,Delivery[Delivery ID],Allocation!H:H))/Delivery[[#This Row],[Exchange rate VS USD]]</f>
        <v>9.1911764705882355</v>
      </c>
      <c r="AJ612" s="171">
        <f>Delivery[[#This Row],[Valor Prêmio Nespresso AAA por Kg (em US$)]]*60</f>
        <v>551.47058823529414</v>
      </c>
      <c r="AK612" s="171">
        <f>Delivery[[#This Row],[Valor Prêmio Nespresso AAA por saca (em US$)]]/1.3228/100</f>
        <v>4.1689642291751907</v>
      </c>
      <c r="AL612" s="171">
        <f>(Delivery[[#This Row],[BEN premium (total)]]/SUMIF(Allocation!C:C,Delivery[Delivery ID],Allocation!H:H))/Delivery[[#This Row],[Exchange rate for premiums VS USD]]</f>
        <v>2.4383750000000002</v>
      </c>
      <c r="AM612" s="171">
        <f>Delivery[[#This Row],[Valor Prêmio Nespresso BEN por Kg (em US$)]]*60</f>
        <v>146.30250000000001</v>
      </c>
      <c r="AN612" s="171">
        <f>Delivery[[#This Row],[Valor Prêmio Nespresso BEN por saca (em US$)]]/1.3228/100</f>
        <v>1.1060061989718779</v>
      </c>
      <c r="AO612" s="171">
        <f>SUMIF(Allocation[Delivery ID],Delivery[[#This Row],[Delivery ID]],Allocation[Quantity allocated])*16*1.3228*Delivery[[#This Row],[Exchange rate VS USD]]/60</f>
        <v>133.448614432</v>
      </c>
      <c r="AP612" s="171">
        <f>Delivery[[#This Row],[AAA Premium (total)]]</f>
        <v>3477.1406250000005</v>
      </c>
      <c r="AQ612" s="171">
        <f>Delivery[[#This Row],[Valor pago pelo Cluster]]-Delivery[[#This Row],[Valor efetivamente pago pela Nespresso]]</f>
        <v>3343.6920105680006</v>
      </c>
    </row>
    <row r="613" spans="1:43" ht="15.75">
      <c r="A613" s="174" t="s">
        <v>69</v>
      </c>
      <c r="B613" s="232" t="s">
        <v>68</v>
      </c>
      <c r="C613" s="157">
        <v>1</v>
      </c>
      <c r="D613" s="157" t="s">
        <v>468</v>
      </c>
      <c r="E613" s="176" t="s">
        <v>468</v>
      </c>
      <c r="F613" s="233" t="s">
        <v>469</v>
      </c>
      <c r="G613" s="234">
        <v>42865</v>
      </c>
      <c r="H613" s="157" t="s">
        <v>769</v>
      </c>
      <c r="I613" s="157" t="s">
        <v>699</v>
      </c>
      <c r="J613" s="237">
        <v>5574</v>
      </c>
      <c r="K613" s="175" t="s">
        <v>61</v>
      </c>
      <c r="L613" s="175" t="s">
        <v>439</v>
      </c>
      <c r="M613" s="175" t="s">
        <v>1343</v>
      </c>
      <c r="N613" s="180"/>
      <c r="O613" s="177"/>
      <c r="P613" s="181">
        <v>0</v>
      </c>
      <c r="Q613" s="177">
        <v>42860</v>
      </c>
      <c r="R613" s="178">
        <v>431.72178000000002</v>
      </c>
      <c r="S613" s="179">
        <v>43736.632855145435</v>
      </c>
      <c r="T613" s="182" t="s">
        <v>45</v>
      </c>
      <c r="U613" s="183">
        <v>3.1791</v>
      </c>
      <c r="V613" s="179">
        <v>2953.3839000000003</v>
      </c>
      <c r="W613" s="179">
        <v>783.51857242728011</v>
      </c>
      <c r="X613" s="196" t="s">
        <v>45</v>
      </c>
      <c r="Y613" s="183">
        <v>3.1791</v>
      </c>
      <c r="Z613" s="220" t="s">
        <v>473</v>
      </c>
      <c r="AA613" s="172">
        <f>Delivery[[#This Row],[Quantity delivered]]*VLOOKUP(Delivery[[#This Row],[Unit]],References!$U:$X,4,FALSE)*VLOOKUP(CONCATENATE(Delivery[[#This Row],[Coffee specie]],Delivery[[#This Row],[Coffee state]]),References!$U:$X,4,FALSE)</f>
        <v>5574</v>
      </c>
      <c r="AB613" s="173">
        <f>SUMIF(Allocation!C:C,Delivery[[#This Row],[Delivery ID]],Allocation!D:D)/Delivery[[#This Row],[Quantity delivered]]</f>
        <v>5.346250448510944E-2</v>
      </c>
      <c r="AC613" s="170">
        <f>Delivery[[#This Row],[Quantity delivered]]*Delivery[[#This Row],[Base price (Unidad)]]/60</f>
        <v>40106.953362000007</v>
      </c>
      <c r="AD613" s="171">
        <f>Delivery[[#This Row],[Nespresso total]]-Delivery[[#This Row],[Qt. Delivery * Base Price]]</f>
        <v>3629.6794931454278</v>
      </c>
      <c r="AE613" s="171">
        <f>Delivery[[#This Row],[AAA Premium (total)]]/Delivery[[#This Row],[Quantity delivered]]*60/Delivery[[#This Row],[Exchange rate VS USD]]</f>
        <v>10.000000000000002</v>
      </c>
      <c r="AF613" s="171">
        <f>Delivery[[#This Row],[BEN premium (total)]]/Delivery[[#This Row],[Quantity delivered]]*60/Delivery[[#This Row],[Exchange rate for premiums VS USD]]</f>
        <v>2.6529520000000004</v>
      </c>
      <c r="AG613" s="171">
        <f>COUNTIF(Delivery[Delivery ID],Delivery[[#This Row],[Delivery ID]])</f>
        <v>1</v>
      </c>
      <c r="AH613" s="171">
        <f>(Delivery[[#This Row],[Nespresso total]]/SUMIF(Allocation!C:C,Delivery[Delivery ID],Allocation!H:H))/Delivery[[#This Row],[Exchange rate VS USD]]</f>
        <v>115.60967880065796</v>
      </c>
      <c r="AI613" s="171">
        <f>(Delivery[[#This Row],[AAA Premium (total)]]/SUMIF(Allocation!C:C,Delivery[Delivery ID],Allocation!H:H))/Delivery[[#This Row],[Exchange rate VS USD]]</f>
        <v>7.8067226890756309</v>
      </c>
      <c r="AJ613" s="171">
        <f>Delivery[[#This Row],[Valor Prêmio Nespresso AAA por Kg (em US$)]]*60</f>
        <v>468.40336134453787</v>
      </c>
      <c r="AK613" s="171">
        <f>Delivery[[#This Row],[Valor Prêmio Nespresso AAA por saca (em US$)]]/1.3228/100</f>
        <v>3.5409991029977159</v>
      </c>
      <c r="AL613" s="171">
        <f>(Delivery[[#This Row],[BEN premium (total)]]/SUMIF(Allocation!C:C,Delivery[Delivery ID],Allocation!H:H))/Delivery[[#This Row],[Exchange rate for premiums VS USD]]</f>
        <v>2.0710860571428573</v>
      </c>
      <c r="AM613" s="171">
        <f>Delivery[[#This Row],[Valor Prêmio Nespresso BEN por Kg (em US$)]]*60</f>
        <v>124.26516342857144</v>
      </c>
      <c r="AN613" s="171">
        <f>Delivery[[#This Row],[Valor Prêmio Nespresso BEN por saca (em US$)]]/1.3228/100</f>
        <v>0.93941006522959969</v>
      </c>
      <c r="AO613" s="171">
        <f>SUMIF(Allocation[Delivery ID],Delivery[[#This Row],[Delivery ID]],Allocation[Quantity allocated])*16*1.3228*Delivery[[#This Row],[Exchange rate VS USD]]/60</f>
        <v>133.448614432</v>
      </c>
      <c r="AP613" s="171">
        <f>Delivery[[#This Row],[AAA Premium (total)]]</f>
        <v>2953.3839000000003</v>
      </c>
      <c r="AQ613" s="171">
        <f>Delivery[[#This Row],[Valor pago pelo Cluster]]-Delivery[[#This Row],[Valor efetivamente pago pela Nespresso]]</f>
        <v>2819.9352855680004</v>
      </c>
    </row>
    <row r="614" spans="1:43" ht="15.75">
      <c r="A614" s="174" t="s">
        <v>69</v>
      </c>
      <c r="B614" s="232" t="s">
        <v>68</v>
      </c>
      <c r="C614" s="157">
        <v>1</v>
      </c>
      <c r="D614" s="157" t="s">
        <v>468</v>
      </c>
      <c r="E614" s="176" t="s">
        <v>468</v>
      </c>
      <c r="F614" s="233" t="s">
        <v>469</v>
      </c>
      <c r="G614" s="234">
        <v>42865</v>
      </c>
      <c r="H614" s="157" t="s">
        <v>770</v>
      </c>
      <c r="I614" s="157" t="s">
        <v>699</v>
      </c>
      <c r="J614" s="237">
        <v>9089.5</v>
      </c>
      <c r="K614" s="175" t="s">
        <v>61</v>
      </c>
      <c r="L614" s="175" t="s">
        <v>439</v>
      </c>
      <c r="M614" s="175" t="s">
        <v>1343</v>
      </c>
      <c r="N614" s="180"/>
      <c r="O614" s="177"/>
      <c r="P614" s="181">
        <v>0</v>
      </c>
      <c r="Q614" s="177">
        <v>42860</v>
      </c>
      <c r="R614" s="178">
        <v>431.72178000000002</v>
      </c>
      <c r="S614" s="179">
        <v>70606.343656592115</v>
      </c>
      <c r="T614" s="182" t="s">
        <v>45</v>
      </c>
      <c r="U614" s="183">
        <v>3.1791</v>
      </c>
      <c r="V614" s="179">
        <v>4816.0715749999999</v>
      </c>
      <c r="W614" s="179">
        <v>1277.6806717039401</v>
      </c>
      <c r="X614" s="196" t="s">
        <v>45</v>
      </c>
      <c r="Y614" s="183">
        <v>3.1791</v>
      </c>
      <c r="Z614" s="220" t="s">
        <v>473</v>
      </c>
      <c r="AA614" s="172">
        <f>Delivery[[#This Row],[Quantity delivered]]*VLOOKUP(Delivery[[#This Row],[Unit]],References!$U:$X,4,FALSE)*VLOOKUP(CONCATENATE(Delivery[[#This Row],[Coffee specie]],Delivery[[#This Row],[Coffee state]]),References!$U:$X,4,FALSE)</f>
        <v>9089.5</v>
      </c>
      <c r="AB614" s="173">
        <f>SUMIF(Allocation!C:C,Delivery[[#This Row],[Delivery ID]],Allocation!D:D)/Delivery[[#This Row],[Quantity delivered]]</f>
        <v>3.2785081687661588E-2</v>
      </c>
      <c r="AC614" s="170">
        <f>Delivery[[#This Row],[Quantity delivered]]*Delivery[[#This Row],[Base price (Unidad)]]/60</f>
        <v>65402.251988500007</v>
      </c>
      <c r="AD614" s="171">
        <f>Delivery[[#This Row],[Nespresso total]]-Delivery[[#This Row],[Qt. Delivery * Base Price]]</f>
        <v>5204.0916680921073</v>
      </c>
      <c r="AE614" s="171">
        <f>Delivery[[#This Row],[AAA Premium (total)]]/Delivery[[#This Row],[Quantity delivered]]*60/Delivery[[#This Row],[Exchange rate VS USD]]</f>
        <v>10.000000000000002</v>
      </c>
      <c r="AF614" s="171">
        <f>Delivery[[#This Row],[BEN premium (total)]]/Delivery[[#This Row],[Quantity delivered]]*60/Delivery[[#This Row],[Exchange rate for premiums VS USD]]</f>
        <v>2.6529520000000004</v>
      </c>
      <c r="AG614" s="171">
        <f>COUNTIF(Delivery[Delivery ID],Delivery[[#This Row],[Delivery ID]])</f>
        <v>1</v>
      </c>
      <c r="AH614" s="171">
        <f>(Delivery[[#This Row],[Nespresso total]]/SUMIF(Allocation!C:C,Delivery[Delivery ID],Allocation!H:H))/Delivery[[#This Row],[Exchange rate VS USD]]</f>
        <v>186.6347768119779</v>
      </c>
      <c r="AI614" s="171">
        <f>(Delivery[[#This Row],[AAA Premium (total)]]/SUMIF(Allocation!C:C,Delivery[Delivery ID],Allocation!H:H))/Delivery[[#This Row],[Exchange rate VS USD]]</f>
        <v>12.730392156862745</v>
      </c>
      <c r="AJ614" s="171">
        <f>Delivery[[#This Row],[Valor Prêmio Nespresso AAA por Kg (em US$)]]*60</f>
        <v>763.82352941176475</v>
      </c>
      <c r="AK614" s="171">
        <f>Delivery[[#This Row],[Valor Prêmio Nespresso AAA por saca (em US$)]]/1.3228/100</f>
        <v>5.7742933883562504</v>
      </c>
      <c r="AL614" s="171">
        <f>(Delivery[[#This Row],[BEN premium (total)]]/SUMIF(Allocation!C:C,Delivery[Delivery ID],Allocation!H:H))/Delivery[[#This Row],[Exchange rate for premiums VS USD]]</f>
        <v>3.3773119333333335</v>
      </c>
      <c r="AM614" s="171">
        <f>Delivery[[#This Row],[Valor Prêmio Nespresso BEN por Kg (em US$)]]*60</f>
        <v>202.63871600000002</v>
      </c>
      <c r="AN614" s="171">
        <f>Delivery[[#This Row],[Valor Prêmio Nespresso BEN por saca (em US$)]]/1.3228/100</f>
        <v>1.531892319322649</v>
      </c>
      <c r="AO614" s="171">
        <f>SUMIF(Allocation[Delivery ID],Delivery[[#This Row],[Delivery ID]],Allocation[Quantity allocated])*16*1.3228*Delivery[[#This Row],[Exchange rate VS USD]]/60</f>
        <v>133.448614432</v>
      </c>
      <c r="AP614" s="171">
        <f>Delivery[[#This Row],[AAA Premium (total)]]</f>
        <v>4816.0715749999999</v>
      </c>
      <c r="AQ614" s="171">
        <f>Delivery[[#This Row],[Valor pago pelo Cluster]]-Delivery[[#This Row],[Valor efetivamente pago pela Nespresso]]</f>
        <v>4682.6229605680001</v>
      </c>
    </row>
    <row r="615" spans="1:43" ht="15.75">
      <c r="A615" s="174" t="s">
        <v>69</v>
      </c>
      <c r="B615" s="232" t="s">
        <v>68</v>
      </c>
      <c r="C615" s="157">
        <v>1</v>
      </c>
      <c r="D615" s="157" t="s">
        <v>468</v>
      </c>
      <c r="E615" s="176" t="s">
        <v>468</v>
      </c>
      <c r="F615" s="233" t="s">
        <v>469</v>
      </c>
      <c r="G615" s="234">
        <v>42865</v>
      </c>
      <c r="H615" s="157" t="s">
        <v>771</v>
      </c>
      <c r="I615" s="157" t="s">
        <v>699</v>
      </c>
      <c r="J615" s="237">
        <v>9089.5</v>
      </c>
      <c r="K615" s="175" t="s">
        <v>61</v>
      </c>
      <c r="L615" s="175" t="s">
        <v>439</v>
      </c>
      <c r="M615" s="175" t="s">
        <v>1343</v>
      </c>
      <c r="N615" s="180"/>
      <c r="O615" s="177"/>
      <c r="P615" s="181">
        <v>0</v>
      </c>
      <c r="Q615" s="177">
        <v>42860</v>
      </c>
      <c r="R615" s="178">
        <v>431.72178000000002</v>
      </c>
      <c r="S615" s="179">
        <v>70606.343656592115</v>
      </c>
      <c r="T615" s="182" t="s">
        <v>45</v>
      </c>
      <c r="U615" s="183">
        <v>3.1791</v>
      </c>
      <c r="V615" s="179">
        <v>4816.0715749999999</v>
      </c>
      <c r="W615" s="179">
        <v>1277.6806717039401</v>
      </c>
      <c r="X615" s="196" t="s">
        <v>45</v>
      </c>
      <c r="Y615" s="183">
        <v>3.1791</v>
      </c>
      <c r="Z615" s="220" t="s">
        <v>473</v>
      </c>
      <c r="AA615" s="172">
        <f>Delivery[[#This Row],[Quantity delivered]]*VLOOKUP(Delivery[[#This Row],[Unit]],References!$U:$X,4,FALSE)*VLOOKUP(CONCATENATE(Delivery[[#This Row],[Coffee specie]],Delivery[[#This Row],[Coffee state]]),References!$U:$X,4,FALSE)</f>
        <v>9089.5</v>
      </c>
      <c r="AB615" s="173">
        <f>SUMIF(Allocation!C:C,Delivery[[#This Row],[Delivery ID]],Allocation!D:D)/Delivery[[#This Row],[Quantity delivered]]</f>
        <v>3.2785081687661588E-2</v>
      </c>
      <c r="AC615" s="170">
        <f>Delivery[[#This Row],[Quantity delivered]]*Delivery[[#This Row],[Base price (Unidad)]]/60</f>
        <v>65402.251988500007</v>
      </c>
      <c r="AD615" s="171">
        <f>Delivery[[#This Row],[Nespresso total]]-Delivery[[#This Row],[Qt. Delivery * Base Price]]</f>
        <v>5204.0916680921073</v>
      </c>
      <c r="AE615" s="171">
        <f>Delivery[[#This Row],[AAA Premium (total)]]/Delivery[[#This Row],[Quantity delivered]]*60/Delivery[[#This Row],[Exchange rate VS USD]]</f>
        <v>10.000000000000002</v>
      </c>
      <c r="AF615" s="171">
        <f>Delivery[[#This Row],[BEN premium (total)]]/Delivery[[#This Row],[Quantity delivered]]*60/Delivery[[#This Row],[Exchange rate for premiums VS USD]]</f>
        <v>2.6529520000000004</v>
      </c>
      <c r="AG615" s="171">
        <f>COUNTIF(Delivery[Delivery ID],Delivery[[#This Row],[Delivery ID]])</f>
        <v>1</v>
      </c>
      <c r="AH615" s="171">
        <f>(Delivery[[#This Row],[Nespresso total]]/SUMIF(Allocation!C:C,Delivery[Delivery ID],Allocation!H:H))/Delivery[[#This Row],[Exchange rate VS USD]]</f>
        <v>186.6347768119779</v>
      </c>
      <c r="AI615" s="171">
        <f>(Delivery[[#This Row],[AAA Premium (total)]]/SUMIF(Allocation!C:C,Delivery[Delivery ID],Allocation!H:H))/Delivery[[#This Row],[Exchange rate VS USD]]</f>
        <v>12.730392156862745</v>
      </c>
      <c r="AJ615" s="171">
        <f>Delivery[[#This Row],[Valor Prêmio Nespresso AAA por Kg (em US$)]]*60</f>
        <v>763.82352941176475</v>
      </c>
      <c r="AK615" s="171">
        <f>Delivery[[#This Row],[Valor Prêmio Nespresso AAA por saca (em US$)]]/1.3228/100</f>
        <v>5.7742933883562504</v>
      </c>
      <c r="AL615" s="171">
        <f>(Delivery[[#This Row],[BEN premium (total)]]/SUMIF(Allocation!C:C,Delivery[Delivery ID],Allocation!H:H))/Delivery[[#This Row],[Exchange rate for premiums VS USD]]</f>
        <v>3.3773119333333335</v>
      </c>
      <c r="AM615" s="171">
        <f>Delivery[[#This Row],[Valor Prêmio Nespresso BEN por Kg (em US$)]]*60</f>
        <v>202.63871600000002</v>
      </c>
      <c r="AN615" s="171">
        <f>Delivery[[#This Row],[Valor Prêmio Nespresso BEN por saca (em US$)]]/1.3228/100</f>
        <v>1.531892319322649</v>
      </c>
      <c r="AO615" s="171">
        <f>SUMIF(Allocation[Delivery ID],Delivery[[#This Row],[Delivery ID]],Allocation[Quantity allocated])*16*1.3228*Delivery[[#This Row],[Exchange rate VS USD]]/60</f>
        <v>133.448614432</v>
      </c>
      <c r="AP615" s="171">
        <f>Delivery[[#This Row],[AAA Premium (total)]]</f>
        <v>4816.0715749999999</v>
      </c>
      <c r="AQ615" s="171">
        <f>Delivery[[#This Row],[Valor pago pelo Cluster]]-Delivery[[#This Row],[Valor efetivamente pago pela Nespresso]]</f>
        <v>4682.6229605680001</v>
      </c>
    </row>
    <row r="616" spans="1:43" ht="15.75">
      <c r="A616" s="174" t="s">
        <v>69</v>
      </c>
      <c r="B616" s="232" t="s">
        <v>68</v>
      </c>
      <c r="C616" s="157">
        <v>1</v>
      </c>
      <c r="D616" s="157" t="s">
        <v>468</v>
      </c>
      <c r="E616" s="176" t="s">
        <v>468</v>
      </c>
      <c r="F616" s="233" t="s">
        <v>469</v>
      </c>
      <c r="G616" s="234">
        <v>42870</v>
      </c>
      <c r="H616" s="157" t="s">
        <v>772</v>
      </c>
      <c r="I616" s="157" t="s">
        <v>744</v>
      </c>
      <c r="J616" s="237">
        <v>30759.5</v>
      </c>
      <c r="K616" s="175" t="s">
        <v>61</v>
      </c>
      <c r="L616" s="175" t="s">
        <v>439</v>
      </c>
      <c r="M616" s="175" t="s">
        <v>1343</v>
      </c>
      <c r="N616" s="180"/>
      <c r="O616" s="177"/>
      <c r="P616" s="181">
        <v>0</v>
      </c>
      <c r="Q616" s="177">
        <v>42864</v>
      </c>
      <c r="R616" s="178">
        <v>430.35814499999998</v>
      </c>
      <c r="S616" s="179">
        <v>241045.8549349597</v>
      </c>
      <c r="T616" s="182" t="s">
        <v>45</v>
      </c>
      <c r="U616" s="183">
        <v>3.1842999999999999</v>
      </c>
      <c r="V616" s="179">
        <v>11412.48</v>
      </c>
      <c r="W616" s="179">
        <v>4330.8325325201531</v>
      </c>
      <c r="X616" s="196" t="s">
        <v>45</v>
      </c>
      <c r="Y616" s="183">
        <v>3.1842999999999999</v>
      </c>
      <c r="Z616" s="220" t="s">
        <v>473</v>
      </c>
      <c r="AA616" s="172">
        <f>Delivery[[#This Row],[Quantity delivered]]*VLOOKUP(Delivery[[#This Row],[Unit]],References!$U:$X,4,FALSE)*VLOOKUP(CONCATENATE(Delivery[[#This Row],[Coffee specie]],Delivery[[#This Row],[Coffee state]]),References!$U:$X,4,FALSE)</f>
        <v>30759.5</v>
      </c>
      <c r="AB616" s="173">
        <f>SUMIF(Allocation!C:C,Delivery[[#This Row],[Delivery ID]],Allocation!D:D)/Delivery[[#This Row],[Quantity delivered]]</f>
        <v>2.2139501617386498E-2</v>
      </c>
      <c r="AC616" s="170">
        <f>Delivery[[#This Row],[Quantity delivered]]*Delivery[[#This Row],[Base price (Unidad)]]/60</f>
        <v>220626.68935212499</v>
      </c>
      <c r="AD616" s="171">
        <f>Delivery[[#This Row],[Nespresso total]]-Delivery[[#This Row],[Qt. Delivery * Base Price]]</f>
        <v>20419.165582834714</v>
      </c>
      <c r="AE616" s="171">
        <f>Delivery[[#This Row],[AAA Premium (total)]]/Delivery[[#This Row],[Quantity delivered]]*60/Delivery[[#This Row],[Exchange rate VS USD]]</f>
        <v>6.990979543450889</v>
      </c>
      <c r="AF616" s="171">
        <f>Delivery[[#This Row],[BEN premium (total)]]/Delivery[[#This Row],[Quantity delivered]]*60/Delivery[[#This Row],[Exchange rate for premiums VS USD]]</f>
        <v>2.652952</v>
      </c>
      <c r="AG616" s="171">
        <f>COUNTIF(Delivery[Delivery ID],Delivery[[#This Row],[Delivery ID]])</f>
        <v>1</v>
      </c>
      <c r="AH616" s="171">
        <f>(Delivery[[#This Row],[Nespresso total]]/SUMIF(Allocation!C:C,Delivery[Delivery ID],Allocation!H:H))/Delivery[[#This Row],[Exchange rate VS USD]]</f>
        <v>278.30229440831914</v>
      </c>
      <c r="AI616" s="171">
        <f>(Delivery[[#This Row],[AAA Premium (total)]]/SUMIF(Allocation!C:C,Delivery[Delivery ID],Allocation!H:H))/Delivery[[#This Row],[Exchange rate VS USD]]</f>
        <v>13.17641147468</v>
      </c>
      <c r="AJ616" s="171">
        <f>Delivery[[#This Row],[Valor Prêmio Nespresso AAA por Kg (em US$)]]*60</f>
        <v>790.58468848079997</v>
      </c>
      <c r="AK616" s="171">
        <f>Delivery[[#This Row],[Valor Prêmio Nespresso AAA por saca (em US$)]]/1.3228/100</f>
        <v>5.9766003060235855</v>
      </c>
      <c r="AL616" s="171">
        <f>(Delivery[[#This Row],[BEN premium (total)]]/SUMIF(Allocation!C:C,Delivery[Delivery ID],Allocation!H:H))/Delivery[[#This Row],[Exchange rate for premiums VS USD]]</f>
        <v>5.0002130541666663</v>
      </c>
      <c r="AM616" s="171">
        <f>Delivery[[#This Row],[Valor Prêmio Nespresso BEN por Kg (em US$)]]*60</f>
        <v>300.01278324999998</v>
      </c>
      <c r="AN616" s="171">
        <f>Delivery[[#This Row],[Valor Prêmio Nespresso BEN por saca (em US$)]]/1.3228/100</f>
        <v>2.2680131784850319</v>
      </c>
      <c r="AO616" s="171">
        <f>SUMIF(Allocation[Delivery ID],Delivery[[#This Row],[Delivery ID]],Allocation[Quantity allocated])*16*1.3228*Delivery[[#This Row],[Exchange rate VS USD]]/60</f>
        <v>305.52432930133335</v>
      </c>
      <c r="AP616" s="171">
        <f>Delivery[[#This Row],[AAA Premium (total)]]</f>
        <v>11412.48</v>
      </c>
      <c r="AQ616" s="171">
        <f>Delivery[[#This Row],[Valor pago pelo Cluster]]-Delivery[[#This Row],[Valor efetivamente pago pela Nespresso]]</f>
        <v>11106.955670698666</v>
      </c>
    </row>
    <row r="617" spans="1:43" ht="15.75">
      <c r="A617" s="174" t="s">
        <v>69</v>
      </c>
      <c r="B617" s="232" t="s">
        <v>68</v>
      </c>
      <c r="C617" s="157">
        <v>1</v>
      </c>
      <c r="D617" s="157" t="s">
        <v>468</v>
      </c>
      <c r="E617" s="176" t="s">
        <v>468</v>
      </c>
      <c r="F617" s="233" t="s">
        <v>469</v>
      </c>
      <c r="G617" s="234">
        <v>42870</v>
      </c>
      <c r="H617" s="157" t="s">
        <v>773</v>
      </c>
      <c r="I617" s="157" t="s">
        <v>744</v>
      </c>
      <c r="J617" s="237">
        <v>30769.5</v>
      </c>
      <c r="K617" s="175" t="s">
        <v>61</v>
      </c>
      <c r="L617" s="175" t="s">
        <v>439</v>
      </c>
      <c r="M617" s="175" t="s">
        <v>1343</v>
      </c>
      <c r="N617" s="180"/>
      <c r="O617" s="177"/>
      <c r="P617" s="181">
        <v>0</v>
      </c>
      <c r="Q617" s="177">
        <v>42864</v>
      </c>
      <c r="R617" s="178">
        <v>430.35814499999998</v>
      </c>
      <c r="S617" s="179">
        <v>241043.03900327513</v>
      </c>
      <c r="T617" s="182" t="s">
        <v>45</v>
      </c>
      <c r="U617" s="183">
        <v>3.1842999999999999</v>
      </c>
      <c r="V617" s="179">
        <v>11412.48</v>
      </c>
      <c r="W617" s="179">
        <v>4332.2404983624201</v>
      </c>
      <c r="X617" s="196" t="s">
        <v>45</v>
      </c>
      <c r="Y617" s="183">
        <v>3.1842999999999999</v>
      </c>
      <c r="Z617" s="220" t="s">
        <v>473</v>
      </c>
      <c r="AA617" s="172">
        <f>Delivery[[#This Row],[Quantity delivered]]*VLOOKUP(Delivery[[#This Row],[Unit]],References!$U:$X,4,FALSE)*VLOOKUP(CONCATENATE(Delivery[[#This Row],[Coffee specie]],Delivery[[#This Row],[Coffee state]]),References!$U:$X,4,FALSE)</f>
        <v>30769.5</v>
      </c>
      <c r="AB617" s="173">
        <f>SUMIF(Allocation!C:C,Delivery[[#This Row],[Delivery ID]],Allocation!D:D)/Delivery[[#This Row],[Quantity delivered]]</f>
        <v>2.3497294398674012E-2</v>
      </c>
      <c r="AC617" s="170">
        <f>Delivery[[#This Row],[Quantity delivered]]*Delivery[[#This Row],[Base price (Unidad)]]/60</f>
        <v>220698.415709625</v>
      </c>
      <c r="AD617" s="171">
        <f>Delivery[[#This Row],[Nespresso total]]-Delivery[[#This Row],[Qt. Delivery * Base Price]]</f>
        <v>20344.623293650133</v>
      </c>
      <c r="AE617" s="171">
        <f>Delivery[[#This Row],[AAA Premium (total)]]/Delivery[[#This Row],[Quantity delivered]]*60/Delivery[[#This Row],[Exchange rate VS USD]]</f>
        <v>6.9887074949796917</v>
      </c>
      <c r="AF617" s="171">
        <f>Delivery[[#This Row],[BEN premium (total)]]/Delivery[[#This Row],[Quantity delivered]]*60/Delivery[[#This Row],[Exchange rate for premiums VS USD]]</f>
        <v>2.652952</v>
      </c>
      <c r="AG617" s="171">
        <f>COUNTIF(Delivery[Delivery ID],Delivery[[#This Row],[Delivery ID]])</f>
        <v>1</v>
      </c>
      <c r="AH617" s="171">
        <f>(Delivery[[#This Row],[Nespresso total]]/SUMIF(Allocation!C:C,Delivery[Delivery ID],Allocation!H:H))/Delivery[[#This Row],[Exchange rate VS USD]]</f>
        <v>261.92851128626114</v>
      </c>
      <c r="AI617" s="171">
        <f>(Delivery[[#This Row],[AAA Premium (total)]]/SUMIF(Allocation!C:C,Delivery[Delivery ID],Allocation!H:H))/Delivery[[#This Row],[Exchange rate VS USD]]</f>
        <v>12.401328446757649</v>
      </c>
      <c r="AJ617" s="171">
        <f>Delivery[[#This Row],[Valor Prêmio Nespresso AAA por Kg (em US$)]]*60</f>
        <v>744.07970680545895</v>
      </c>
      <c r="AK617" s="171">
        <f>Delivery[[#This Row],[Valor Prêmio Nespresso AAA por saca (em US$)]]/1.3228/100</f>
        <v>5.625035582139847</v>
      </c>
      <c r="AL617" s="171">
        <f>(Delivery[[#This Row],[BEN premium (total)]]/SUMIF(Allocation!C:C,Delivery[Delivery ID],Allocation!H:H))/Delivery[[#This Row],[Exchange rate for premiums VS USD]]</f>
        <v>4.7076128352941176</v>
      </c>
      <c r="AM617" s="171">
        <f>Delivery[[#This Row],[Valor Prêmio Nespresso BEN por Kg (em US$)]]*60</f>
        <v>282.45677011764707</v>
      </c>
      <c r="AN617" s="171">
        <f>Delivery[[#This Row],[Valor Prêmio Nespresso BEN por saca (em US$)]]/1.3228/100</f>
        <v>2.135294603248012</v>
      </c>
      <c r="AO617" s="171">
        <f>SUMIF(Allocation[Delivery ID],Delivery[[#This Row],[Delivery ID]],Allocation[Quantity allocated])*16*1.3228*Delivery[[#This Row],[Exchange rate VS USD]]/60</f>
        <v>324.61959988266665</v>
      </c>
      <c r="AP617" s="171">
        <f>Delivery[[#This Row],[AAA Premium (total)]]</f>
        <v>11412.48</v>
      </c>
      <c r="AQ617" s="171">
        <f>Delivery[[#This Row],[Valor pago pelo Cluster]]-Delivery[[#This Row],[Valor efetivamente pago pela Nespresso]]</f>
        <v>11087.860400117333</v>
      </c>
    </row>
    <row r="618" spans="1:43" ht="15.75">
      <c r="A618" s="174" t="s">
        <v>69</v>
      </c>
      <c r="B618" s="232" t="s">
        <v>68</v>
      </c>
      <c r="C618" s="157">
        <v>1</v>
      </c>
      <c r="D618" s="157" t="s">
        <v>468</v>
      </c>
      <c r="E618" s="177" t="s">
        <v>468</v>
      </c>
      <c r="F618" s="233" t="s">
        <v>469</v>
      </c>
      <c r="G618" s="234">
        <v>42870</v>
      </c>
      <c r="H618" s="157" t="s">
        <v>774</v>
      </c>
      <c r="I618" s="157" t="s">
        <v>744</v>
      </c>
      <c r="J618" s="237">
        <v>24047</v>
      </c>
      <c r="K618" s="175" t="s">
        <v>61</v>
      </c>
      <c r="L618" s="175" t="s">
        <v>439</v>
      </c>
      <c r="M618" s="175" t="s">
        <v>1343</v>
      </c>
      <c r="N618" s="180"/>
      <c r="O618" s="177"/>
      <c r="P618" s="181">
        <v>0</v>
      </c>
      <c r="Q618" s="177">
        <v>42864</v>
      </c>
      <c r="R618" s="178">
        <v>430.35814499999998</v>
      </c>
      <c r="S618" s="179">
        <v>188068.66907820269</v>
      </c>
      <c r="T618" s="182" t="s">
        <v>45</v>
      </c>
      <c r="U618" s="183">
        <v>3.1842999999999999</v>
      </c>
      <c r="V618" s="179">
        <v>8904.85</v>
      </c>
      <c r="W618" s="179">
        <v>3385.7354608986534</v>
      </c>
      <c r="X618" s="196" t="s">
        <v>45</v>
      </c>
      <c r="Y618" s="183">
        <v>3.1842999999999999</v>
      </c>
      <c r="Z618" s="220" t="s">
        <v>473</v>
      </c>
      <c r="AA618" s="172">
        <f>Delivery[[#This Row],[Quantity delivered]]*VLOOKUP(Delivery[[#This Row],[Unit]],References!$U:$X,4,FALSE)*VLOOKUP(CONCATENATE(Delivery[[#This Row],[Coffee specie]],Delivery[[#This Row],[Coffee state]]),References!$U:$X,4,FALSE)</f>
        <v>24047</v>
      </c>
      <c r="AB618" s="173">
        <f>SUMIF(Allocation!C:C,Delivery[[#This Row],[Delivery ID]],Allocation!D:D)/Delivery[[#This Row],[Quantity delivered]]</f>
        <v>2.3412483885723791E-2</v>
      </c>
      <c r="AC618" s="170">
        <f>Delivery[[#This Row],[Quantity delivered]]*Delivery[[#This Row],[Base price (Unidad)]]/60</f>
        <v>172480.37188024999</v>
      </c>
      <c r="AD618" s="171">
        <f>Delivery[[#This Row],[Nespresso total]]-Delivery[[#This Row],[Qt. Delivery * Base Price]]</f>
        <v>15588.297197952692</v>
      </c>
      <c r="AE618" s="171">
        <f>Delivery[[#This Row],[AAA Premium (total)]]/Delivery[[#This Row],[Quantity delivered]]*60/Delivery[[#This Row],[Exchange rate VS USD]]</f>
        <v>6.9775503402529875</v>
      </c>
      <c r="AF618" s="171">
        <f>Delivery[[#This Row],[BEN premium (total)]]/Delivery[[#This Row],[Quantity delivered]]*60/Delivery[[#This Row],[Exchange rate for premiums VS USD]]</f>
        <v>2.652952</v>
      </c>
      <c r="AG618" s="171">
        <f>COUNTIF(Delivery[Delivery ID],Delivery[[#This Row],[Delivery ID]])</f>
        <v>1</v>
      </c>
      <c r="AH618" s="171">
        <f>(Delivery[[#This Row],[Nespresso total]]/SUMIF(Allocation!C:C,Delivery[Delivery ID],Allocation!H:H))/Delivery[[#This Row],[Exchange rate VS USD]]</f>
        <v>262.49434772435973</v>
      </c>
      <c r="AI618" s="171">
        <f>(Delivery[[#This Row],[AAA Premium (total)]]/SUMIF(Allocation!C:C,Delivery[Delivery ID],Allocation!H:H))/Delivery[[#This Row],[Exchange rate VS USD]]</f>
        <v>12.428826150523228</v>
      </c>
      <c r="AJ618" s="171">
        <f>Delivery[[#This Row],[Valor Prêmio Nespresso AAA por Kg (em US$)]]*60</f>
        <v>745.72956903139368</v>
      </c>
      <c r="AK618" s="171">
        <f>Delivery[[#This Row],[Valor Prêmio Nespresso AAA por saca (em US$)]]/1.3228/100</f>
        <v>5.6375080815799343</v>
      </c>
      <c r="AL618" s="171">
        <f>(Delivery[[#This Row],[BEN premium (total)]]/SUMIF(Allocation!C:C,Delivery[Delivery ID],Allocation!H:H))/Delivery[[#This Row],[Exchange rate for premiums VS USD]]</f>
        <v>4.7255953143703699</v>
      </c>
      <c r="AM618" s="171">
        <f>Delivery[[#This Row],[Valor Prêmio Nespresso BEN por Kg (em US$)]]*60</f>
        <v>283.53571886222221</v>
      </c>
      <c r="AN618" s="171">
        <f>Delivery[[#This Row],[Valor Prêmio Nespresso BEN por saca (em US$)]]/1.3228/100</f>
        <v>2.1434511555958742</v>
      </c>
      <c r="AO618" s="171">
        <f>SUMIF(Allocation[Delivery ID],Delivery[[#This Row],[Delivery ID]],Allocation[Quantity allocated])*16*1.3228*Delivery[[#This Row],[Exchange rate VS USD]]/60</f>
        <v>252.73152239999999</v>
      </c>
      <c r="AP618" s="171">
        <f>Delivery[[#This Row],[AAA Premium (total)]]</f>
        <v>8904.85</v>
      </c>
      <c r="AQ618" s="171">
        <f>Delivery[[#This Row],[Valor pago pelo Cluster]]-Delivery[[#This Row],[Valor efetivamente pago pela Nespresso]]</f>
        <v>8652.1184776000009</v>
      </c>
    </row>
    <row r="619" spans="1:43" ht="15.75">
      <c r="A619" s="174" t="s">
        <v>69</v>
      </c>
      <c r="B619" s="232" t="s">
        <v>68</v>
      </c>
      <c r="C619" s="157">
        <v>1</v>
      </c>
      <c r="D619" s="157" t="s">
        <v>468</v>
      </c>
      <c r="E619" s="176" t="s">
        <v>468</v>
      </c>
      <c r="F619" s="233" t="s">
        <v>469</v>
      </c>
      <c r="G619" s="234">
        <v>42870</v>
      </c>
      <c r="H619" s="157" t="s">
        <v>775</v>
      </c>
      <c r="I619" s="157" t="s">
        <v>744</v>
      </c>
      <c r="J619" s="237">
        <v>3846.5</v>
      </c>
      <c r="K619" s="175" t="s">
        <v>61</v>
      </c>
      <c r="L619" s="175" t="s">
        <v>439</v>
      </c>
      <c r="M619" s="175" t="s">
        <v>1343</v>
      </c>
      <c r="N619" s="180"/>
      <c r="O619" s="177"/>
      <c r="P619" s="181">
        <v>0</v>
      </c>
      <c r="Q619" s="177">
        <v>42864</v>
      </c>
      <c r="R619" s="178">
        <v>430.35814499999998</v>
      </c>
      <c r="S619" s="179">
        <v>30374.151877544253</v>
      </c>
      <c r="T619" s="182" t="s">
        <v>45</v>
      </c>
      <c r="U619" s="183">
        <v>3.1842999999999999</v>
      </c>
      <c r="V619" s="179">
        <v>1437.7</v>
      </c>
      <c r="W619" s="179">
        <v>541.57406122787324</v>
      </c>
      <c r="X619" s="196" t="s">
        <v>45</v>
      </c>
      <c r="Y619" s="183">
        <v>3.1842999999999999</v>
      </c>
      <c r="Z619" s="220" t="s">
        <v>473</v>
      </c>
      <c r="AA619" s="172">
        <f>Delivery[[#This Row],[Quantity delivered]]*VLOOKUP(Delivery[[#This Row],[Unit]],References!$U:$X,4,FALSE)*VLOOKUP(CONCATENATE(Delivery[[#This Row],[Coffee specie]],Delivery[[#This Row],[Coffee state]]),References!$U:$X,4,FALSE)</f>
        <v>3846.5</v>
      </c>
      <c r="AB619" s="173">
        <f>SUMIF(Allocation!C:C,Delivery[[#This Row],[Delivery ID]],Allocation!D:D)/Delivery[[#This Row],[Quantity delivered]]</f>
        <v>7.7473027427531524E-2</v>
      </c>
      <c r="AC619" s="170">
        <f>Delivery[[#This Row],[Quantity delivered]]*Delivery[[#This Row],[Base price (Unidad)]]/60</f>
        <v>27589.543412374998</v>
      </c>
      <c r="AD619" s="171">
        <f>Delivery[[#This Row],[Nespresso total]]-Delivery[[#This Row],[Qt. Delivery * Base Price]]</f>
        <v>2784.6084651692545</v>
      </c>
      <c r="AE619" s="171">
        <f>Delivery[[#This Row],[AAA Premium (total)]]/Delivery[[#This Row],[Quantity delivered]]*60/Delivery[[#This Row],[Exchange rate VS USD]]</f>
        <v>7.0427100621334127</v>
      </c>
      <c r="AF619" s="171">
        <f>Delivery[[#This Row],[BEN premium (total)]]/Delivery[[#This Row],[Quantity delivered]]*60/Delivery[[#This Row],[Exchange rate for premiums VS USD]]</f>
        <v>2.6529519999999995</v>
      </c>
      <c r="AG619" s="171">
        <f>COUNTIF(Delivery[Delivery ID],Delivery[[#This Row],[Delivery ID]])</f>
        <v>1</v>
      </c>
      <c r="AH619" s="171">
        <f>(Delivery[[#This Row],[Nespresso total]]/SUMIF(Allocation!C:C,Delivery[Delivery ID],Allocation!H:H))/Delivery[[#This Row],[Exchange rate VS USD]]</f>
        <v>80.157326181853492</v>
      </c>
      <c r="AI619" s="171">
        <f>(Delivery[[#This Row],[AAA Premium (total)]]/SUMIF(Allocation!C:C,Delivery[Delivery ID],Allocation!H:H))/Delivery[[#This Row],[Exchange rate VS USD]]</f>
        <v>3.7940874305316763</v>
      </c>
      <c r="AJ619" s="171">
        <f>Delivery[[#This Row],[Valor Prêmio Nespresso AAA por Kg (em US$)]]*60</f>
        <v>227.64524583190058</v>
      </c>
      <c r="AK619" s="171">
        <f>Delivery[[#This Row],[Valor Prêmio Nespresso AAA por saca (em US$)]]/1.3228/100</f>
        <v>1.7209347280911746</v>
      </c>
      <c r="AL619" s="171">
        <f>(Delivery[[#This Row],[BEN premium (total)]]/SUMIF(Allocation!C:C,Delivery[Delivery ID],Allocation!H:H))/Delivery[[#This Row],[Exchange rate for premiums VS USD]]</f>
        <v>1.4292128666666666</v>
      </c>
      <c r="AM619" s="171">
        <f>Delivery[[#This Row],[Valor Prêmio Nespresso BEN por Kg (em US$)]]*60</f>
        <v>85.752771999999993</v>
      </c>
      <c r="AN619" s="171">
        <f>Delivery[[#This Row],[Valor Prêmio Nespresso BEN por saca (em US$)]]/1.3228/100</f>
        <v>0.64826710009071664</v>
      </c>
      <c r="AO619" s="171">
        <f>SUMIF(Allocation[Delivery ID],Delivery[[#This Row],[Delivery ID]],Allocation[Quantity allocated])*16*1.3228*Delivery[[#This Row],[Exchange rate VS USD]]/60</f>
        <v>133.66689406933332</v>
      </c>
      <c r="AP619" s="171">
        <f>Delivery[[#This Row],[AAA Premium (total)]]</f>
        <v>1437.7</v>
      </c>
      <c r="AQ619" s="171">
        <f>Delivery[[#This Row],[Valor pago pelo Cluster]]-Delivery[[#This Row],[Valor efetivamente pago pela Nespresso]]</f>
        <v>1304.0331059306668</v>
      </c>
    </row>
    <row r="620" spans="1:43" ht="15.75">
      <c r="A620" s="174" t="s">
        <v>69</v>
      </c>
      <c r="B620" s="232" t="s">
        <v>68</v>
      </c>
      <c r="C620" s="157">
        <v>1</v>
      </c>
      <c r="D620" s="157" t="s">
        <v>468</v>
      </c>
      <c r="E620" s="177" t="s">
        <v>468</v>
      </c>
      <c r="F620" s="233" t="s">
        <v>469</v>
      </c>
      <c r="G620" s="234">
        <v>42871</v>
      </c>
      <c r="H620" s="157" t="s">
        <v>776</v>
      </c>
      <c r="I620" s="157" t="s">
        <v>737</v>
      </c>
      <c r="J620" s="237">
        <v>32440</v>
      </c>
      <c r="K620" s="175" t="s">
        <v>61</v>
      </c>
      <c r="L620" s="175" t="s">
        <v>439</v>
      </c>
      <c r="M620" s="175" t="s">
        <v>1343</v>
      </c>
      <c r="N620" s="180"/>
      <c r="O620" s="177"/>
      <c r="P620" s="181">
        <v>0</v>
      </c>
      <c r="Q620" s="177">
        <v>42865</v>
      </c>
      <c r="R620" s="178">
        <v>431.11385999999993</v>
      </c>
      <c r="S620" s="179">
        <v>250547.68930378824</v>
      </c>
      <c r="T620" s="182" t="s">
        <v>45</v>
      </c>
      <c r="U620" s="183">
        <v>3.1652999999999998</v>
      </c>
      <c r="V620" s="179">
        <v>11916.7</v>
      </c>
      <c r="W620" s="179">
        <v>3745.6553481058795</v>
      </c>
      <c r="X620" s="196" t="s">
        <v>45</v>
      </c>
      <c r="Y620" s="183">
        <v>3.1652999999999998</v>
      </c>
      <c r="Z620" s="220" t="s">
        <v>473</v>
      </c>
      <c r="AA620" s="172">
        <f>Delivery[[#This Row],[Quantity delivered]]*VLOOKUP(Delivery[[#This Row],[Unit]],References!$U:$X,4,FALSE)*VLOOKUP(CONCATENATE(Delivery[[#This Row],[Coffee specie]],Delivery[[#This Row],[Coffee state]]),References!$U:$X,4,FALSE)</f>
        <v>32440</v>
      </c>
      <c r="AB620" s="173">
        <f>SUMIF(Allocation!C:C,Delivery[[#This Row],[Delivery ID]],Allocation!D:D)/Delivery[[#This Row],[Quantity delivered]]</f>
        <v>2.222564734895191E-2</v>
      </c>
      <c r="AC620" s="170">
        <f>Delivery[[#This Row],[Quantity delivered]]*Delivery[[#This Row],[Base price (Unidad)]]/60</f>
        <v>233088.89363999997</v>
      </c>
      <c r="AD620" s="171">
        <f>Delivery[[#This Row],[Nespresso total]]-Delivery[[#This Row],[Qt. Delivery * Base Price]]</f>
        <v>17458.795663788274</v>
      </c>
      <c r="AE620" s="171">
        <f>Delivery[[#This Row],[AAA Premium (total)]]/Delivery[[#This Row],[Quantity delivered]]*60/Delivery[[#This Row],[Exchange rate VS USD]]</f>
        <v>6.9632427124853384</v>
      </c>
      <c r="AF620" s="171">
        <f>Delivery[[#This Row],[BEN premium (total)]]/Delivery[[#This Row],[Quantity delivered]]*60/Delivery[[#This Row],[Exchange rate for premiums VS USD]]</f>
        <v>2.1886853999999998</v>
      </c>
      <c r="AG620" s="171">
        <f>COUNTIF(Delivery[Delivery ID],Delivery[[#This Row],[Delivery ID]])</f>
        <v>1</v>
      </c>
      <c r="AH620" s="171">
        <f>(Delivery[[#This Row],[Nespresso total]]/SUMIF(Allocation!C:C,Delivery[Delivery ID],Allocation!H:H))/Delivery[[#This Row],[Exchange rate VS USD]]</f>
        <v>332.58186700450591</v>
      </c>
      <c r="AI620" s="171">
        <f>(Delivery[[#This Row],[AAA Premium (total)]]/SUMIF(Allocation!C:C,Delivery[Delivery ID],Allocation!H:H))/Delivery[[#This Row],[Exchange rate VS USD]]</f>
        <v>15.818458935085742</v>
      </c>
      <c r="AJ620" s="171">
        <f>Delivery[[#This Row],[Valor Prêmio Nespresso AAA por Kg (em US$)]]*60</f>
        <v>949.1075361051445</v>
      </c>
      <c r="AK620" s="171">
        <f>Delivery[[#This Row],[Valor Prêmio Nespresso AAA por saca (em US$)]]/1.3228/100</f>
        <v>7.1749889333621448</v>
      </c>
      <c r="AL620" s="171">
        <f>(Delivery[[#This Row],[BEN premium (total)]]/SUMIF(Allocation!C:C,Delivery[Delivery ID],Allocation!H:H))/Delivery[[#This Row],[Exchange rate for premiums VS USD]]</f>
        <v>4.9720556285714288</v>
      </c>
      <c r="AM620" s="171">
        <f>Delivery[[#This Row],[Valor Prêmio Nespresso BEN por Kg (em US$)]]*60</f>
        <v>298.32333771428574</v>
      </c>
      <c r="AN620" s="171">
        <f>Delivery[[#This Row],[Valor Prêmio Nespresso BEN por saca (em US$)]]/1.3228/100</f>
        <v>2.2552414402349994</v>
      </c>
      <c r="AO620" s="171">
        <f>SUMIF(Allocation[Delivery ID],Delivery[[#This Row],[Delivery ID]],Allocation[Quantity allocated])*16*1.3228*Delivery[[#This Row],[Exchange rate VS USD]]/60</f>
        <v>265.73866771199999</v>
      </c>
      <c r="AP620" s="171">
        <f>Delivery[[#This Row],[AAA Premium (total)]]</f>
        <v>11916.7</v>
      </c>
      <c r="AQ620" s="171">
        <f>Delivery[[#This Row],[Valor pago pelo Cluster]]-Delivery[[#This Row],[Valor efetivamente pago pela Nespresso]]</f>
        <v>11650.961332288001</v>
      </c>
    </row>
    <row r="621" spans="1:43" ht="15.75">
      <c r="A621" s="174" t="s">
        <v>69</v>
      </c>
      <c r="B621" s="232" t="s">
        <v>68</v>
      </c>
      <c r="C621" s="157">
        <v>1</v>
      </c>
      <c r="D621" s="157" t="s">
        <v>468</v>
      </c>
      <c r="E621" s="177" t="s">
        <v>468</v>
      </c>
      <c r="F621" s="233" t="s">
        <v>469</v>
      </c>
      <c r="G621" s="234">
        <v>42870</v>
      </c>
      <c r="H621" s="157" t="s">
        <v>777</v>
      </c>
      <c r="I621" s="157" t="s">
        <v>744</v>
      </c>
      <c r="J621" s="237">
        <v>30375.5</v>
      </c>
      <c r="K621" s="175" t="s">
        <v>61</v>
      </c>
      <c r="L621" s="175" t="s">
        <v>439</v>
      </c>
      <c r="M621" s="175" t="s">
        <v>1343</v>
      </c>
      <c r="N621" s="180"/>
      <c r="O621" s="177"/>
      <c r="P621" s="181">
        <v>0</v>
      </c>
      <c r="Q621" s="177">
        <v>42864</v>
      </c>
      <c r="R621" s="178">
        <v>430.35814499999998</v>
      </c>
      <c r="S621" s="179">
        <v>241153.98671164576</v>
      </c>
      <c r="T621" s="182" t="s">
        <v>45</v>
      </c>
      <c r="U621" s="183">
        <v>3.1842999999999999</v>
      </c>
      <c r="V621" s="179">
        <v>11412.48</v>
      </c>
      <c r="W621" s="179">
        <v>4276.7666441771134</v>
      </c>
      <c r="X621" s="196" t="s">
        <v>45</v>
      </c>
      <c r="Y621" s="183">
        <v>3.1842999999999999</v>
      </c>
      <c r="Z621" s="220" t="s">
        <v>473</v>
      </c>
      <c r="AA621" s="172">
        <f>Delivery[[#This Row],[Quantity delivered]]*VLOOKUP(Delivery[[#This Row],[Unit]],References!$U:$X,4,FALSE)*VLOOKUP(CONCATENATE(Delivery[[#This Row],[Coffee specie]],Delivery[[#This Row],[Coffee state]]),References!$U:$X,4,FALSE)</f>
        <v>30375.5</v>
      </c>
      <c r="AB621" s="173">
        <f>SUMIF(Allocation!C:C,Delivery[[#This Row],[Delivery ID]],Allocation!D:D)/Delivery[[#This Row],[Quantity delivered]]</f>
        <v>2.3802077332060377E-2</v>
      </c>
      <c r="AC621" s="170">
        <f>Delivery[[#This Row],[Quantity delivered]]*Delivery[[#This Row],[Base price (Unidad)]]/60</f>
        <v>217872.39722412499</v>
      </c>
      <c r="AD621" s="171">
        <f>Delivery[[#This Row],[Nespresso total]]-Delivery[[#This Row],[Qt. Delivery * Base Price]]</f>
        <v>23281.589487520774</v>
      </c>
      <c r="AE621" s="171">
        <f>Delivery[[#This Row],[AAA Premium (total)]]/Delivery[[#This Row],[Quantity delivered]]*60/Delivery[[#This Row],[Exchange rate VS USD]]</f>
        <v>7.0793578794349932</v>
      </c>
      <c r="AF621" s="171">
        <f>Delivery[[#This Row],[BEN premium (total)]]/Delivery[[#This Row],[Quantity delivered]]*60/Delivery[[#This Row],[Exchange rate for premiums VS USD]]</f>
        <v>2.652952</v>
      </c>
      <c r="AG621" s="171">
        <f>COUNTIF(Delivery[Delivery ID],Delivery[[#This Row],[Delivery ID]])</f>
        <v>1</v>
      </c>
      <c r="AH621" s="171">
        <f>(Delivery[[#This Row],[Nespresso total]]/SUMIF(Allocation!C:C,Delivery[Delivery ID],Allocation!H:H))/Delivery[[#This Row],[Exchange rate VS USD]]</f>
        <v>262.04907219606508</v>
      </c>
      <c r="AI621" s="171">
        <f>(Delivery[[#This Row],[AAA Premium (total)]]/SUMIF(Allocation!C:C,Delivery[Delivery ID],Allocation!H:H))/Delivery[[#This Row],[Exchange rate VS USD]]</f>
        <v>12.401328446757649</v>
      </c>
      <c r="AJ621" s="171">
        <f>Delivery[[#This Row],[Valor Prêmio Nespresso AAA por Kg (em US$)]]*60</f>
        <v>744.07970680545895</v>
      </c>
      <c r="AK621" s="171">
        <f>Delivery[[#This Row],[Valor Prêmio Nespresso AAA por saca (em US$)]]/1.3228/100</f>
        <v>5.625035582139847</v>
      </c>
      <c r="AL621" s="171">
        <f>(Delivery[[#This Row],[BEN premium (total)]]/SUMIF(Allocation!C:C,Delivery[Delivery ID],Allocation!H:H))/Delivery[[#This Row],[Exchange rate for premiums VS USD]]</f>
        <v>4.6473323803921573</v>
      </c>
      <c r="AM621" s="171">
        <f>Delivery[[#This Row],[Valor Prêmio Nespresso BEN por Kg (em US$)]]*60</f>
        <v>278.83994282352944</v>
      </c>
      <c r="AN621" s="171">
        <f>Delivery[[#This Row],[Valor Prêmio Nespresso BEN por saca (em US$)]]/1.3228/100</f>
        <v>2.107952395097743</v>
      </c>
      <c r="AO621" s="171">
        <f>SUMIF(Allocation[Delivery ID],Delivery[[#This Row],[Delivery ID]],Allocation[Quantity allocated])*16*1.3228*Delivery[[#This Row],[Exchange rate VS USD]]/60</f>
        <v>324.61959988266665</v>
      </c>
      <c r="AP621" s="171">
        <f>Delivery[[#This Row],[AAA Premium (total)]]</f>
        <v>11412.48</v>
      </c>
      <c r="AQ621" s="171">
        <f>Delivery[[#This Row],[Valor pago pelo Cluster]]-Delivery[[#This Row],[Valor efetivamente pago pela Nespresso]]</f>
        <v>11087.860400117333</v>
      </c>
    </row>
    <row r="622" spans="1:43" ht="15.75">
      <c r="A622" s="174" t="s">
        <v>69</v>
      </c>
      <c r="B622" s="232" t="s">
        <v>68</v>
      </c>
      <c r="C622" s="157">
        <v>1</v>
      </c>
      <c r="D622" s="157" t="s">
        <v>468</v>
      </c>
      <c r="E622" s="177" t="s">
        <v>468</v>
      </c>
      <c r="F622" s="233" t="s">
        <v>469</v>
      </c>
      <c r="G622" s="234">
        <v>42871</v>
      </c>
      <c r="H622" s="157" t="s">
        <v>778</v>
      </c>
      <c r="I622" s="157" t="s">
        <v>737</v>
      </c>
      <c r="J622" s="237">
        <v>32321</v>
      </c>
      <c r="K622" s="175" t="s">
        <v>61</v>
      </c>
      <c r="L622" s="175" t="s">
        <v>439</v>
      </c>
      <c r="M622" s="175" t="s">
        <v>1343</v>
      </c>
      <c r="N622" s="180"/>
      <c r="O622" s="177"/>
      <c r="P622" s="181">
        <v>0</v>
      </c>
      <c r="Q622" s="177">
        <v>42865</v>
      </c>
      <c r="R622" s="178">
        <v>431.11385999999993</v>
      </c>
      <c r="S622" s="179">
        <v>249619.46975917817</v>
      </c>
      <c r="T622" s="182" t="s">
        <v>45</v>
      </c>
      <c r="U622" s="183">
        <v>3.1652999999999998</v>
      </c>
      <c r="V622" s="179">
        <v>11916.7</v>
      </c>
      <c r="W622" s="179">
        <v>3731.9151204109162</v>
      </c>
      <c r="X622" s="196" t="s">
        <v>45</v>
      </c>
      <c r="Y622" s="183">
        <v>3.1652999999999998</v>
      </c>
      <c r="Z622" s="220" t="s">
        <v>473</v>
      </c>
      <c r="AA622" s="172">
        <f>Delivery[[#This Row],[Quantity delivered]]*VLOOKUP(Delivery[[#This Row],[Unit]],References!$U:$X,4,FALSE)*VLOOKUP(CONCATENATE(Delivery[[#This Row],[Coffee specie]],Delivery[[#This Row],[Coffee state]]),References!$U:$X,4,FALSE)</f>
        <v>32321</v>
      </c>
      <c r="AB622" s="173">
        <f>SUMIF(Allocation!C:C,Delivery[[#This Row],[Delivery ID]],Allocation!D:D)/Delivery[[#This Row],[Quantity delivered]]</f>
        <v>2.2214659199900993E-2</v>
      </c>
      <c r="AC622" s="170">
        <f>Delivery[[#This Row],[Quantity delivered]]*Delivery[[#This Row],[Base price (Unidad)]]/60</f>
        <v>232233.85115099995</v>
      </c>
      <c r="AD622" s="171">
        <f>Delivery[[#This Row],[Nespresso total]]-Delivery[[#This Row],[Qt. Delivery * Base Price]]</f>
        <v>17385.618608178222</v>
      </c>
      <c r="AE622" s="171">
        <f>Delivery[[#This Row],[AAA Premium (total)]]/Delivery[[#This Row],[Quantity delivered]]*60/Delivery[[#This Row],[Exchange rate VS USD]]</f>
        <v>6.9888800963158433</v>
      </c>
      <c r="AF622" s="171">
        <f>Delivery[[#This Row],[BEN premium (total)]]/Delivery[[#This Row],[Quantity delivered]]*60/Delivery[[#This Row],[Exchange rate for premiums VS USD]]</f>
        <v>2.1886853999999998</v>
      </c>
      <c r="AG622" s="171">
        <f>COUNTIF(Delivery[Delivery ID],Delivery[[#This Row],[Delivery ID]])</f>
        <v>1</v>
      </c>
      <c r="AH622" s="171">
        <f>(Delivery[[#This Row],[Nespresso total]]/SUMIF(Allocation!C:C,Delivery[Delivery ID],Allocation!H:H))/Delivery[[#This Row],[Exchange rate VS USD]]</f>
        <v>332.74783048830562</v>
      </c>
      <c r="AI622" s="171">
        <f>(Delivery[[#This Row],[AAA Premium (total)]]/SUMIF(Allocation!C:C,Delivery[Delivery ID],Allocation!H:H))/Delivery[[#This Row],[Exchange rate VS USD]]</f>
        <v>15.885203487554458</v>
      </c>
      <c r="AJ622" s="171">
        <f>Delivery[[#This Row],[Valor Prêmio Nespresso AAA por Kg (em US$)]]*60</f>
        <v>953.11220925326745</v>
      </c>
      <c r="AK622" s="171">
        <f>Delivery[[#This Row],[Valor Prêmio Nespresso AAA por saca (em US$)]]/1.3228/100</f>
        <v>7.2052631482708458</v>
      </c>
      <c r="AL622" s="171">
        <f>(Delivery[[#This Row],[BEN premium (total)]]/SUMIF(Allocation!C:C,Delivery[Delivery ID],Allocation!H:H))/Delivery[[#This Row],[Exchange rate for premiums VS USD]]</f>
        <v>4.9747187632489442</v>
      </c>
      <c r="AM622" s="171">
        <f>Delivery[[#This Row],[Valor Prêmio Nespresso BEN por Kg (em US$)]]*60</f>
        <v>298.48312579493665</v>
      </c>
      <c r="AN622" s="171">
        <f>Delivery[[#This Row],[Valor Prêmio Nespresso BEN por saca (em US$)]]/1.3228/100</f>
        <v>2.256449393672034</v>
      </c>
      <c r="AO622" s="171">
        <f>SUMIF(Allocation[Delivery ID],Delivery[[#This Row],[Delivery ID]],Allocation[Quantity allocated])*16*1.3228*Delivery[[#This Row],[Exchange rate VS USD]]/60</f>
        <v>264.622118688</v>
      </c>
      <c r="AP622" s="171">
        <f>Delivery[[#This Row],[AAA Premium (total)]]</f>
        <v>11916.7</v>
      </c>
      <c r="AQ622" s="171">
        <f>Delivery[[#This Row],[Valor pago pelo Cluster]]-Delivery[[#This Row],[Valor efetivamente pago pela Nespresso]]</f>
        <v>11652.077881312001</v>
      </c>
    </row>
    <row r="623" spans="1:43" ht="15.75">
      <c r="A623" s="174" t="s">
        <v>69</v>
      </c>
      <c r="B623" s="232" t="s">
        <v>68</v>
      </c>
      <c r="C623" s="157">
        <v>1</v>
      </c>
      <c r="D623" s="157" t="s">
        <v>468</v>
      </c>
      <c r="E623" s="177" t="s">
        <v>468</v>
      </c>
      <c r="F623" s="233" t="s">
        <v>469</v>
      </c>
      <c r="G623" s="234">
        <v>42871</v>
      </c>
      <c r="H623" s="157" t="s">
        <v>779</v>
      </c>
      <c r="I623" s="157" t="s">
        <v>737</v>
      </c>
      <c r="J623" s="237">
        <v>32311</v>
      </c>
      <c r="K623" s="175" t="s">
        <v>61</v>
      </c>
      <c r="L623" s="175" t="s">
        <v>439</v>
      </c>
      <c r="M623" s="175" t="s">
        <v>1343</v>
      </c>
      <c r="N623" s="180"/>
      <c r="O623" s="177"/>
      <c r="P623" s="181">
        <v>0</v>
      </c>
      <c r="Q623" s="177">
        <v>42865</v>
      </c>
      <c r="R623" s="178">
        <v>431.11385999999993</v>
      </c>
      <c r="S623" s="179">
        <v>249621.77904114372</v>
      </c>
      <c r="T623" s="182" t="s">
        <v>45</v>
      </c>
      <c r="U623" s="183">
        <v>3.1652999999999998</v>
      </c>
      <c r="V623" s="179">
        <v>11916.7</v>
      </c>
      <c r="W623" s="179">
        <v>3730.760479428146</v>
      </c>
      <c r="X623" s="196" t="s">
        <v>45</v>
      </c>
      <c r="Y623" s="183">
        <v>3.1652999999999998</v>
      </c>
      <c r="Z623" s="220" t="s">
        <v>473</v>
      </c>
      <c r="AA623" s="172">
        <f>Delivery[[#This Row],[Quantity delivered]]*VLOOKUP(Delivery[[#This Row],[Unit]],References!$U:$X,4,FALSE)*VLOOKUP(CONCATENATE(Delivery[[#This Row],[Coffee specie]],Delivery[[#This Row],[Coffee state]]),References!$U:$X,4,FALSE)</f>
        <v>32311</v>
      </c>
      <c r="AB623" s="173">
        <f>SUMIF(Allocation!C:C,Delivery[[#This Row],[Delivery ID]],Allocation!D:D)/Delivery[[#This Row],[Quantity delivered]]</f>
        <v>2.2221534461947943E-2</v>
      </c>
      <c r="AC623" s="170">
        <f>Delivery[[#This Row],[Quantity delivered]]*Delivery[[#This Row],[Base price (Unidad)]]/60</f>
        <v>232161.99884099996</v>
      </c>
      <c r="AD623" s="171">
        <f>Delivery[[#This Row],[Nespresso total]]-Delivery[[#This Row],[Qt. Delivery * Base Price]]</f>
        <v>17459.780200143752</v>
      </c>
      <c r="AE623" s="171">
        <f>Delivery[[#This Row],[AAA Premium (total)]]/Delivery[[#This Row],[Quantity delivered]]*60/Delivery[[#This Row],[Exchange rate VS USD]]</f>
        <v>6.9910430996572179</v>
      </c>
      <c r="AF623" s="171">
        <f>Delivery[[#This Row],[BEN premium (total)]]/Delivery[[#This Row],[Quantity delivered]]*60/Delivery[[#This Row],[Exchange rate for premiums VS USD]]</f>
        <v>2.1886853999999998</v>
      </c>
      <c r="AG623" s="171">
        <f>COUNTIF(Delivery[Delivery ID],Delivery[[#This Row],[Delivery ID]])</f>
        <v>1</v>
      </c>
      <c r="AH623" s="171">
        <f>(Delivery[[#This Row],[Nespresso total]]/SUMIF(Allocation!C:C,Delivery[Delivery ID],Allocation!H:H))/Delivery[[#This Row],[Exchange rate VS USD]]</f>
        <v>332.75090880813678</v>
      </c>
      <c r="AI623" s="171">
        <f>(Delivery[[#This Row],[AAA Premium (total)]]/SUMIF(Allocation!C:C,Delivery[Delivery ID],Allocation!H:H))/Delivery[[#This Row],[Exchange rate VS USD]]</f>
        <v>15.885203487554458</v>
      </c>
      <c r="AJ623" s="171">
        <f>Delivery[[#This Row],[Valor Prêmio Nespresso AAA por Kg (em US$)]]*60</f>
        <v>953.11220925326745</v>
      </c>
      <c r="AK623" s="171">
        <f>Delivery[[#This Row],[Valor Prêmio Nespresso AAA por saca (em US$)]]/1.3228/100</f>
        <v>7.2052631482708458</v>
      </c>
      <c r="AL623" s="171">
        <f>(Delivery[[#This Row],[BEN premium (total)]]/SUMIF(Allocation!C:C,Delivery[Delivery ID],Allocation!H:H))/Delivery[[#This Row],[Exchange rate for premiums VS USD]]</f>
        <v>4.9731796033333326</v>
      </c>
      <c r="AM623" s="171">
        <f>Delivery[[#This Row],[Valor Prêmio Nespresso BEN por Kg (em US$)]]*60</f>
        <v>298.39077619999995</v>
      </c>
      <c r="AN623" s="171">
        <f>Delivery[[#This Row],[Valor Prêmio Nespresso BEN por saca (em US$)]]/1.3228/100</f>
        <v>2.2557512564257634</v>
      </c>
      <c r="AO623" s="171">
        <f>SUMIF(Allocation[Delivery ID],Delivery[[#This Row],[Delivery ID]],Allocation[Quantity allocated])*16*1.3228*Delivery[[#This Row],[Exchange rate VS USD]]/60</f>
        <v>264.622118688</v>
      </c>
      <c r="AP623" s="171">
        <f>Delivery[[#This Row],[AAA Premium (total)]]</f>
        <v>11916.7</v>
      </c>
      <c r="AQ623" s="171">
        <f>Delivery[[#This Row],[Valor pago pelo Cluster]]-Delivery[[#This Row],[Valor efetivamente pago pela Nespresso]]</f>
        <v>11652.077881312001</v>
      </c>
    </row>
    <row r="624" spans="1:43" ht="15.75">
      <c r="A624" s="174" t="s">
        <v>69</v>
      </c>
      <c r="B624" s="232" t="s">
        <v>68</v>
      </c>
      <c r="C624" s="157">
        <v>1</v>
      </c>
      <c r="D624" s="157" t="s">
        <v>468</v>
      </c>
      <c r="E624" s="177" t="s">
        <v>468</v>
      </c>
      <c r="F624" s="233" t="s">
        <v>469</v>
      </c>
      <c r="G624" s="234">
        <v>42871</v>
      </c>
      <c r="H624" s="157" t="s">
        <v>780</v>
      </c>
      <c r="I624" s="157" t="s">
        <v>737</v>
      </c>
      <c r="J624" s="237">
        <v>32301</v>
      </c>
      <c r="K624" s="175" t="s">
        <v>61</v>
      </c>
      <c r="L624" s="175" t="s">
        <v>439</v>
      </c>
      <c r="M624" s="175" t="s">
        <v>1343</v>
      </c>
      <c r="N624" s="180"/>
      <c r="O624" s="177"/>
      <c r="P624" s="181">
        <v>0</v>
      </c>
      <c r="Q624" s="177">
        <v>42865</v>
      </c>
      <c r="R624" s="178">
        <v>431.11385999999993</v>
      </c>
      <c r="S624" s="179">
        <v>249624.08832310926</v>
      </c>
      <c r="T624" s="182" t="s">
        <v>45</v>
      </c>
      <c r="U624" s="183">
        <v>3.1652999999999998</v>
      </c>
      <c r="V624" s="179">
        <v>11916.7</v>
      </c>
      <c r="W624" s="179">
        <v>3729.6058384453768</v>
      </c>
      <c r="X624" s="196" t="s">
        <v>45</v>
      </c>
      <c r="Y624" s="183">
        <v>3.1652999999999998</v>
      </c>
      <c r="Z624" s="220" t="s">
        <v>473</v>
      </c>
      <c r="AA624" s="172">
        <f>Delivery[[#This Row],[Quantity delivered]]*VLOOKUP(Delivery[[#This Row],[Unit]],References!$U:$X,4,FALSE)*VLOOKUP(CONCATENATE(Delivery[[#This Row],[Coffee specie]],Delivery[[#This Row],[Coffee state]]),References!$U:$X,4,FALSE)</f>
        <v>32301</v>
      </c>
      <c r="AB624" s="173">
        <f>SUMIF(Allocation!C:C,Delivery[[#This Row],[Delivery ID]],Allocation!D:D)/Delivery[[#This Row],[Quantity delivered]]</f>
        <v>2.2228413980991301E-2</v>
      </c>
      <c r="AC624" s="170">
        <f>Delivery[[#This Row],[Quantity delivered]]*Delivery[[#This Row],[Base price (Unidad)]]/60</f>
        <v>232090.14653099995</v>
      </c>
      <c r="AD624" s="171">
        <f>Delivery[[#This Row],[Nespresso total]]-Delivery[[#This Row],[Qt. Delivery * Base Price]]</f>
        <v>17533.941792109312</v>
      </c>
      <c r="AE624" s="171">
        <f>Delivery[[#This Row],[AAA Premium (total)]]/Delivery[[#This Row],[Quantity delivered]]*60/Delivery[[#This Row],[Exchange rate VS USD]]</f>
        <v>6.9932074422780834</v>
      </c>
      <c r="AF624" s="171">
        <f>Delivery[[#This Row],[BEN premium (total)]]/Delivery[[#This Row],[Quantity delivered]]*60/Delivery[[#This Row],[Exchange rate for premiums VS USD]]</f>
        <v>2.1886853999999998</v>
      </c>
      <c r="AG624" s="171">
        <f>COUNTIF(Delivery[Delivery ID],Delivery[[#This Row],[Delivery ID]])</f>
        <v>1</v>
      </c>
      <c r="AH624" s="171">
        <f>(Delivery[[#This Row],[Nespresso total]]/SUMIF(Allocation!C:C,Delivery[Delivery ID],Allocation!H:H))/Delivery[[#This Row],[Exchange rate VS USD]]</f>
        <v>332.75398712796806</v>
      </c>
      <c r="AI624" s="171">
        <f>(Delivery[[#This Row],[AAA Premium (total)]]/SUMIF(Allocation!C:C,Delivery[Delivery ID],Allocation!H:H))/Delivery[[#This Row],[Exchange rate VS USD]]</f>
        <v>15.885203487554458</v>
      </c>
      <c r="AJ624" s="171">
        <f>Delivery[[#This Row],[Valor Prêmio Nespresso AAA por Kg (em US$)]]*60</f>
        <v>953.11220925326745</v>
      </c>
      <c r="AK624" s="171">
        <f>Delivery[[#This Row],[Valor Prêmio Nespresso AAA por saca (em US$)]]/1.3228/100</f>
        <v>7.2052631482708458</v>
      </c>
      <c r="AL624" s="171">
        <f>(Delivery[[#This Row],[BEN premium (total)]]/SUMIF(Allocation!C:C,Delivery[Delivery ID],Allocation!H:H))/Delivery[[#This Row],[Exchange rate for premiums VS USD]]</f>
        <v>4.971640443417721</v>
      </c>
      <c r="AM624" s="171">
        <f>Delivery[[#This Row],[Valor Prêmio Nespresso BEN por Kg (em US$)]]*60</f>
        <v>298.29842660506324</v>
      </c>
      <c r="AN624" s="171">
        <f>Delivery[[#This Row],[Valor Prêmio Nespresso BEN por saca (em US$)]]/1.3228/100</f>
        <v>2.2550531191794922</v>
      </c>
      <c r="AO624" s="171">
        <f>SUMIF(Allocation[Delivery ID],Delivery[[#This Row],[Delivery ID]],Allocation[Quantity allocated])*16*1.3228*Delivery[[#This Row],[Exchange rate VS USD]]/60</f>
        <v>264.622118688</v>
      </c>
      <c r="AP624" s="171">
        <f>Delivery[[#This Row],[AAA Premium (total)]]</f>
        <v>11916.7</v>
      </c>
      <c r="AQ624" s="171">
        <f>Delivery[[#This Row],[Valor pago pelo Cluster]]-Delivery[[#This Row],[Valor efetivamente pago pela Nespresso]]</f>
        <v>11652.077881312001</v>
      </c>
    </row>
    <row r="625" spans="1:43" ht="15.75">
      <c r="A625" s="174" t="s">
        <v>69</v>
      </c>
      <c r="B625" s="232" t="s">
        <v>68</v>
      </c>
      <c r="C625" s="157">
        <v>1</v>
      </c>
      <c r="D625" s="157" t="s">
        <v>468</v>
      </c>
      <c r="E625" s="177" t="s">
        <v>468</v>
      </c>
      <c r="F625" s="233" t="s">
        <v>469</v>
      </c>
      <c r="G625" s="234">
        <v>42879</v>
      </c>
      <c r="H625" s="157" t="s">
        <v>781</v>
      </c>
      <c r="I625" s="157" t="s">
        <v>737</v>
      </c>
      <c r="J625" s="237">
        <v>13755.5</v>
      </c>
      <c r="K625" s="175" t="s">
        <v>61</v>
      </c>
      <c r="L625" s="175" t="s">
        <v>439</v>
      </c>
      <c r="M625" s="175" t="s">
        <v>1343</v>
      </c>
      <c r="N625" s="180"/>
      <c r="O625" s="177"/>
      <c r="P625" s="181">
        <v>0</v>
      </c>
      <c r="Q625" s="177">
        <v>42873</v>
      </c>
      <c r="R625" s="178">
        <v>437.76322500000003</v>
      </c>
      <c r="S625" s="179">
        <v>105697.95769968277</v>
      </c>
      <c r="T625" s="182" t="s">
        <v>45</v>
      </c>
      <c r="U625" s="183">
        <v>3.3765000000000001</v>
      </c>
      <c r="V625" s="179">
        <v>5413.56</v>
      </c>
      <c r="W625" s="179">
        <v>1694.2411501586175</v>
      </c>
      <c r="X625" s="196" t="s">
        <v>45</v>
      </c>
      <c r="Y625" s="183">
        <v>3.3765000000000001</v>
      </c>
      <c r="Z625" s="220" t="s">
        <v>473</v>
      </c>
      <c r="AA625" s="172">
        <f>Delivery[[#This Row],[Quantity delivered]]*VLOOKUP(Delivery[[#This Row],[Unit]],References!$U:$X,4,FALSE)*VLOOKUP(CONCATENATE(Delivery[[#This Row],[Coffee specie]],Delivery[[#This Row],[Coffee state]]),References!$U:$X,4,FALSE)</f>
        <v>13755.5</v>
      </c>
      <c r="AB625" s="173">
        <f>SUMIF(Allocation!C:C,Delivery[[#This Row],[Delivery ID]],Allocation!D:D)/Delivery[[#This Row],[Quantity delivered]]</f>
        <v>2.8424993638908075E-2</v>
      </c>
      <c r="AC625" s="170">
        <f>Delivery[[#This Row],[Quantity delivered]]*Delivery[[#This Row],[Base price (Unidad)]]/60</f>
        <v>100360.867358125</v>
      </c>
      <c r="AD625" s="171">
        <f>Delivery[[#This Row],[Nespresso total]]-Delivery[[#This Row],[Qt. Delivery * Base Price]]</f>
        <v>5337.0903415577632</v>
      </c>
      <c r="AE625" s="171">
        <f>Delivery[[#This Row],[AAA Premium (total)]]/Delivery[[#This Row],[Quantity delivered]]*60/Delivery[[#This Row],[Exchange rate VS USD]]</f>
        <v>6.9934434852528033</v>
      </c>
      <c r="AF625" s="171">
        <f>Delivery[[#This Row],[BEN premium (total)]]/Delivery[[#This Row],[Quantity delivered]]*60/Delivery[[#This Row],[Exchange rate for premiums VS USD]]</f>
        <v>2.1886854000000002</v>
      </c>
      <c r="AG625" s="171">
        <f>COUNTIF(Delivery[Delivery ID],Delivery[[#This Row],[Delivery ID]])</f>
        <v>1</v>
      </c>
      <c r="AH625" s="171">
        <f>(Delivery[[#This Row],[Nespresso total]]/SUMIF(Allocation!C:C,Delivery[Delivery ID],Allocation!H:H))/Delivery[[#This Row],[Exchange rate VS USD]]</f>
        <v>242.6666705688836</v>
      </c>
      <c r="AI625" s="171">
        <f>(Delivery[[#This Row],[AAA Premium (total)]]/SUMIF(Allocation!C:C,Delivery[Delivery ID],Allocation!H:H))/Delivery[[#This Row],[Exchange rate VS USD]]</f>
        <v>12.428722462712525</v>
      </c>
      <c r="AJ625" s="171">
        <f>Delivery[[#This Row],[Valor Prêmio Nespresso AAA por Kg (em US$)]]*60</f>
        <v>745.72334776275147</v>
      </c>
      <c r="AK625" s="171">
        <f>Delivery[[#This Row],[Valor Prêmio Nespresso AAA por saca (em US$)]]/1.3228/100</f>
        <v>5.6374610505197413</v>
      </c>
      <c r="AL625" s="171">
        <f>(Delivery[[#This Row],[BEN premium (total)]]/SUMIF(Allocation!C:C,Delivery[Delivery ID],Allocation!H:H))/Delivery[[#This Row],[Exchange rate for premiums VS USD]]</f>
        <v>3.8897237751550389</v>
      </c>
      <c r="AM625" s="171">
        <f>Delivery[[#This Row],[Valor Prêmio Nespresso BEN por Kg (em US$)]]*60</f>
        <v>233.38342650930232</v>
      </c>
      <c r="AN625" s="171">
        <f>Delivery[[#This Row],[Valor Prêmio Nespresso BEN por saca (em US$)]]/1.3228/100</f>
        <v>1.7643137776633078</v>
      </c>
      <c r="AO625" s="171">
        <f>SUMIF(Allocation[Delivery ID],Delivery[[#This Row],[Delivery ID]],Allocation[Quantity allocated])*16*1.3228*Delivery[[#This Row],[Exchange rate VS USD]]/60</f>
        <v>153.64533648</v>
      </c>
      <c r="AP625" s="171">
        <f>Delivery[[#This Row],[AAA Premium (total)]]</f>
        <v>5413.56</v>
      </c>
      <c r="AQ625" s="171">
        <f>Delivery[[#This Row],[Valor pago pelo Cluster]]-Delivery[[#This Row],[Valor efetivamente pago pela Nespresso]]</f>
        <v>5259.9146635200004</v>
      </c>
    </row>
    <row r="626" spans="1:43" ht="15.75">
      <c r="A626" s="174" t="s">
        <v>69</v>
      </c>
      <c r="B626" s="232" t="s">
        <v>68</v>
      </c>
      <c r="C626" s="157">
        <v>1</v>
      </c>
      <c r="D626" s="157" t="s">
        <v>468</v>
      </c>
      <c r="E626" s="176" t="s">
        <v>468</v>
      </c>
      <c r="F626" s="233" t="s">
        <v>469</v>
      </c>
      <c r="G626" s="234">
        <v>42881</v>
      </c>
      <c r="H626" s="157" t="s">
        <v>782</v>
      </c>
      <c r="I626" s="157" t="s">
        <v>744</v>
      </c>
      <c r="J626" s="237">
        <v>3548</v>
      </c>
      <c r="K626" s="175" t="s">
        <v>61</v>
      </c>
      <c r="L626" s="175" t="s">
        <v>439</v>
      </c>
      <c r="M626" s="175" t="s">
        <v>1343</v>
      </c>
      <c r="N626" s="180"/>
      <c r="O626" s="177"/>
      <c r="P626" s="181">
        <v>0</v>
      </c>
      <c r="Q626" s="177">
        <v>42874</v>
      </c>
      <c r="R626" s="178">
        <v>437.40215999999992</v>
      </c>
      <c r="S626" s="179">
        <v>27998.27873723584</v>
      </c>
      <c r="T626" s="182" t="s">
        <v>45</v>
      </c>
      <c r="U626" s="183">
        <v>3.2837999999999998</v>
      </c>
      <c r="V626" s="179">
        <v>1359.2742800000001</v>
      </c>
      <c r="W626" s="179">
        <v>515.15563138207995</v>
      </c>
      <c r="X626" s="196" t="s">
        <v>45</v>
      </c>
      <c r="Y626" s="183">
        <v>3.2837999999999998</v>
      </c>
      <c r="Z626" s="220" t="s">
        <v>473</v>
      </c>
      <c r="AA626" s="172">
        <f>Delivery[[#This Row],[Quantity delivered]]*VLOOKUP(Delivery[[#This Row],[Unit]],References!$U:$X,4,FALSE)*VLOOKUP(CONCATENATE(Delivery[[#This Row],[Coffee specie]],Delivery[[#This Row],[Coffee state]]),References!$U:$X,4,FALSE)</f>
        <v>3548</v>
      </c>
      <c r="AB626" s="173">
        <f>SUMIF(Allocation!C:C,Delivery[[#This Row],[Delivery ID]],Allocation!D:D)/Delivery[[#This Row],[Quantity delivered]]</f>
        <v>8.3990980834272824E-2</v>
      </c>
      <c r="AC626" s="170">
        <f>Delivery[[#This Row],[Quantity delivered]]*Delivery[[#This Row],[Base price (Unidad)]]/60</f>
        <v>25865.047727999994</v>
      </c>
      <c r="AD626" s="171">
        <f>Delivery[[#This Row],[Nespresso total]]-Delivery[[#This Row],[Qt. Delivery * Base Price]]</f>
        <v>2133.2310092358457</v>
      </c>
      <c r="AE626" s="171">
        <f>Delivery[[#This Row],[AAA Premium (total)]]/Delivery[[#This Row],[Quantity delivered]]*60/Delivery[[#This Row],[Exchange rate VS USD]]</f>
        <v>7</v>
      </c>
      <c r="AF626" s="171">
        <f>Delivery[[#This Row],[BEN premium (total)]]/Delivery[[#This Row],[Quantity delivered]]*60/Delivery[[#This Row],[Exchange rate for premiums VS USD]]</f>
        <v>2.6529519999999995</v>
      </c>
      <c r="AG626" s="171">
        <f>COUNTIF(Delivery[Delivery ID],Delivery[[#This Row],[Delivery ID]])</f>
        <v>1</v>
      </c>
      <c r="AH626" s="171">
        <f>(Delivery[[#This Row],[Nespresso total]]/SUMIF(Allocation!C:C,Delivery[Delivery ID],Allocation!H:H))/Delivery[[#This Row],[Exchange rate VS USD]]</f>
        <v>71.648594084317779</v>
      </c>
      <c r="AI626" s="171">
        <f>(Delivery[[#This Row],[AAA Premium (total)]]/SUMIF(Allocation!C:C,Delivery[Delivery ID],Allocation!H:H))/Delivery[[#This Row],[Exchange rate VS USD]]</f>
        <v>3.4784313725490197</v>
      </c>
      <c r="AJ626" s="171">
        <f>Delivery[[#This Row],[Valor Prêmio Nespresso AAA por Kg (em US$)]]*60</f>
        <v>208.70588235294119</v>
      </c>
      <c r="AK626" s="171">
        <f>Delivery[[#This Row],[Valor Prêmio Nespresso AAA por saca (em US$)]]/1.3228/100</f>
        <v>1.5777584090787813</v>
      </c>
      <c r="AL626" s="171">
        <f>(Delivery[[#This Row],[BEN premium (total)]]/SUMIF(Allocation!C:C,Delivery[Delivery ID],Allocation!H:H))/Delivery[[#This Row],[Exchange rate for premiums VS USD]]</f>
        <v>1.3183016380952379</v>
      </c>
      <c r="AM626" s="171">
        <f>Delivery[[#This Row],[Valor Prêmio Nespresso BEN por Kg (em US$)]]*60</f>
        <v>79.098098285714272</v>
      </c>
      <c r="AN626" s="171">
        <f>Delivery[[#This Row],[Valor Prêmio Nespresso BEN por saca (em US$)]]/1.3228/100</f>
        <v>0.59795961812605281</v>
      </c>
      <c r="AO626" s="171">
        <f>SUMIF(Allocation[Delivery ID],Delivery[[#This Row],[Delivery ID]],Allocation[Quantity allocated])*16*1.3228*Delivery[[#This Row],[Exchange rate VS USD]]/60</f>
        <v>137.843590976</v>
      </c>
      <c r="AP626" s="171">
        <f>Delivery[[#This Row],[AAA Premium (total)]]</f>
        <v>1359.2742800000001</v>
      </c>
      <c r="AQ626" s="171">
        <f>Delivery[[#This Row],[Valor pago pelo Cluster]]-Delivery[[#This Row],[Valor efetivamente pago pela Nespresso]]</f>
        <v>1221.430689024</v>
      </c>
    </row>
    <row r="627" spans="1:43" ht="15.75">
      <c r="A627" s="174" t="s">
        <v>69</v>
      </c>
      <c r="B627" s="232" t="s">
        <v>68</v>
      </c>
      <c r="C627" s="157">
        <v>1</v>
      </c>
      <c r="D627" s="157" t="s">
        <v>468</v>
      </c>
      <c r="E627" s="176" t="s">
        <v>468</v>
      </c>
      <c r="F627" s="233" t="s">
        <v>469</v>
      </c>
      <c r="G627" s="234">
        <v>42881</v>
      </c>
      <c r="H627" s="157" t="s">
        <v>783</v>
      </c>
      <c r="I627" s="157" t="s">
        <v>744</v>
      </c>
      <c r="J627" s="237">
        <v>13831</v>
      </c>
      <c r="K627" s="175" t="s">
        <v>61</v>
      </c>
      <c r="L627" s="175" t="s">
        <v>439</v>
      </c>
      <c r="M627" s="175" t="s">
        <v>1343</v>
      </c>
      <c r="N627" s="180"/>
      <c r="O627" s="177"/>
      <c r="P627" s="181">
        <v>0</v>
      </c>
      <c r="Q627" s="177">
        <v>42874</v>
      </c>
      <c r="R627" s="178">
        <v>437.40215999999992</v>
      </c>
      <c r="S627" s="179">
        <v>109145.88650640049</v>
      </c>
      <c r="T627" s="182" t="s">
        <v>45</v>
      </c>
      <c r="U627" s="183">
        <v>3.2837999999999998</v>
      </c>
      <c r="V627" s="179">
        <v>5298.7944100000004</v>
      </c>
      <c r="W627" s="179">
        <v>2008.2067467997597</v>
      </c>
      <c r="X627" s="196" t="s">
        <v>45</v>
      </c>
      <c r="Y627" s="183">
        <v>3.2837999999999998</v>
      </c>
      <c r="Z627" s="220" t="s">
        <v>473</v>
      </c>
      <c r="AA627" s="172">
        <f>Delivery[[#This Row],[Quantity delivered]]*VLOOKUP(Delivery[[#This Row],[Unit]],References!$U:$X,4,FALSE)*VLOOKUP(CONCATENATE(Delivery[[#This Row],[Coffee specie]],Delivery[[#This Row],[Coffee state]]),References!$U:$X,4,FALSE)</f>
        <v>13831</v>
      </c>
      <c r="AB627" s="173">
        <f>SUMIF(Allocation!C:C,Delivery[[#This Row],[Delivery ID]],Allocation!D:D)/Delivery[[#This Row],[Quantity delivered]]</f>
        <v>2.1545802906514352E-2</v>
      </c>
      <c r="AC627" s="170">
        <f>Delivery[[#This Row],[Quantity delivered]]*Delivery[[#This Row],[Base price (Unidad)]]/60</f>
        <v>100828.48791599998</v>
      </c>
      <c r="AD627" s="171">
        <f>Delivery[[#This Row],[Nespresso total]]-Delivery[[#This Row],[Qt. Delivery * Base Price]]</f>
        <v>8317.3985904005094</v>
      </c>
      <c r="AE627" s="171">
        <f>Delivery[[#This Row],[AAA Premium (total)]]/Delivery[[#This Row],[Quantity delivered]]*60/Delivery[[#This Row],[Exchange rate VS USD]]</f>
        <v>7</v>
      </c>
      <c r="AF627" s="171">
        <f>Delivery[[#This Row],[BEN premium (total)]]/Delivery[[#This Row],[Quantity delivered]]*60/Delivery[[#This Row],[Exchange rate for premiums VS USD]]</f>
        <v>2.6529519999999995</v>
      </c>
      <c r="AG627" s="171">
        <f>COUNTIF(Delivery[Delivery ID],Delivery[[#This Row],[Delivery ID]])</f>
        <v>1</v>
      </c>
      <c r="AH627" s="171">
        <f>(Delivery[[#This Row],[Nespresso total]]/SUMIF(Allocation!C:C,Delivery[Delivery ID],Allocation!H:H))/Delivery[[#This Row],[Exchange rate VS USD]]</f>
        <v>279.30821718228805</v>
      </c>
      <c r="AI627" s="171">
        <f>(Delivery[[#This Row],[AAA Premium (total)]]/SUMIF(Allocation!C:C,Delivery[Delivery ID],Allocation!H:H))/Delivery[[#This Row],[Exchange rate VS USD]]</f>
        <v>13.55980392156863</v>
      </c>
      <c r="AJ627" s="171">
        <f>Delivery[[#This Row],[Valor Prêmio Nespresso AAA por Kg (em US$)]]*60</f>
        <v>813.58823529411779</v>
      </c>
      <c r="AK627" s="171">
        <f>Delivery[[#This Row],[Valor Prêmio Nespresso AAA por saca (em US$)]]/1.3228/100</f>
        <v>6.1505007203970203</v>
      </c>
      <c r="AL627" s="171">
        <f>(Delivery[[#This Row],[BEN premium (total)]]/SUMIF(Allocation!C:C,Delivery[Delivery ID],Allocation!H:H))/Delivery[[#This Row],[Exchange rate for premiums VS USD]]</f>
        <v>5.1390727047619045</v>
      </c>
      <c r="AM627" s="171">
        <f>Delivery[[#This Row],[Valor Prêmio Nespresso BEN por Kg (em US$)]]*60</f>
        <v>308.34436228571428</v>
      </c>
      <c r="AN627" s="171">
        <f>Delivery[[#This Row],[Valor Prêmio Nespresso BEN por saca (em US$)]]/1.3228/100</f>
        <v>2.3309975981683873</v>
      </c>
      <c r="AO627" s="171">
        <f>SUMIF(Allocation[Delivery ID],Delivery[[#This Row],[Delivery ID]],Allocation[Quantity allocated])*16*1.3228*Delivery[[#This Row],[Exchange rate VS USD]]/60</f>
        <v>137.843590976</v>
      </c>
      <c r="AP627" s="171">
        <f>Delivery[[#This Row],[AAA Premium (total)]]</f>
        <v>5298.7944100000004</v>
      </c>
      <c r="AQ627" s="171">
        <f>Delivery[[#This Row],[Valor pago pelo Cluster]]-Delivery[[#This Row],[Valor efetivamente pago pela Nespresso]]</f>
        <v>5160.9508190240003</v>
      </c>
    </row>
    <row r="628" spans="1:43" ht="15.75">
      <c r="A628" s="174" t="s">
        <v>69</v>
      </c>
      <c r="B628" s="232" t="s">
        <v>68</v>
      </c>
      <c r="C628" s="157">
        <v>1</v>
      </c>
      <c r="D628" s="157" t="s">
        <v>468</v>
      </c>
      <c r="E628" s="177" t="s">
        <v>468</v>
      </c>
      <c r="F628" s="233" t="s">
        <v>469</v>
      </c>
      <c r="G628" s="234">
        <v>42881</v>
      </c>
      <c r="H628" s="157" t="s">
        <v>784</v>
      </c>
      <c r="I628" s="157" t="s">
        <v>744</v>
      </c>
      <c r="J628" s="237">
        <v>13170</v>
      </c>
      <c r="K628" s="175" t="s">
        <v>61</v>
      </c>
      <c r="L628" s="175" t="s">
        <v>439</v>
      </c>
      <c r="M628" s="175" t="s">
        <v>1343</v>
      </c>
      <c r="N628" s="180"/>
      <c r="O628" s="177"/>
      <c r="P628" s="181">
        <v>0</v>
      </c>
      <c r="Q628" s="177">
        <v>42874</v>
      </c>
      <c r="R628" s="178">
        <v>437.40215999999992</v>
      </c>
      <c r="S628" s="179">
        <v>103925.72570163361</v>
      </c>
      <c r="T628" s="182" t="s">
        <v>45</v>
      </c>
      <c r="U628" s="183">
        <v>3.2837999999999998</v>
      </c>
      <c r="V628" s="179">
        <v>5045.5587000000005</v>
      </c>
      <c r="W628" s="179">
        <v>1912.2321491831999</v>
      </c>
      <c r="X628" s="196" t="s">
        <v>45</v>
      </c>
      <c r="Y628" s="183">
        <v>3.2837999999999998</v>
      </c>
      <c r="Z628" s="220" t="s">
        <v>473</v>
      </c>
      <c r="AA628" s="172">
        <f>Delivery[[#This Row],[Quantity delivered]]*VLOOKUP(Delivery[[#This Row],[Unit]],References!$U:$X,4,FALSE)*VLOOKUP(CONCATENATE(Delivery[[#This Row],[Coffee specie]],Delivery[[#This Row],[Coffee state]]),References!$U:$X,4,FALSE)</f>
        <v>13170</v>
      </c>
      <c r="AB628" s="173">
        <f>SUMIF(Allocation!C:C,Delivery[[#This Row],[Delivery ID]],Allocation!D:D)/Delivery[[#This Row],[Quantity delivered]]</f>
        <v>2.2627182991647683E-2</v>
      </c>
      <c r="AC628" s="170">
        <f>Delivery[[#This Row],[Quantity delivered]]*Delivery[[#This Row],[Base price (Unidad)]]/60</f>
        <v>96009.774119999987</v>
      </c>
      <c r="AD628" s="171">
        <f>Delivery[[#This Row],[Nespresso total]]-Delivery[[#This Row],[Qt. Delivery * Base Price]]</f>
        <v>7915.9515816336207</v>
      </c>
      <c r="AE628" s="171">
        <f>Delivery[[#This Row],[AAA Premium (total)]]/Delivery[[#This Row],[Quantity delivered]]*60/Delivery[[#This Row],[Exchange rate VS USD]]</f>
        <v>7.0000000000000009</v>
      </c>
      <c r="AF628" s="171">
        <f>Delivery[[#This Row],[BEN premium (total)]]/Delivery[[#This Row],[Quantity delivered]]*60/Delivery[[#This Row],[Exchange rate for premiums VS USD]]</f>
        <v>2.6529519999999995</v>
      </c>
      <c r="AG628" s="171">
        <f>COUNTIF(Delivery[Delivery ID],Delivery[[#This Row],[Delivery ID]])</f>
        <v>1</v>
      </c>
      <c r="AH628" s="171">
        <f>(Delivery[[#This Row],[Nespresso total]]/SUMIF(Allocation!C:C,Delivery[Delivery ID],Allocation!H:H))/Delivery[[#This Row],[Exchange rate VS USD]]</f>
        <v>265.94963946164444</v>
      </c>
      <c r="AI628" s="171">
        <f>(Delivery[[#This Row],[AAA Premium (total)]]/SUMIF(Allocation!C:C,Delivery[Delivery ID],Allocation!H:H))/Delivery[[#This Row],[Exchange rate VS USD]]</f>
        <v>12.911764705882355</v>
      </c>
      <c r="AJ628" s="171">
        <f>Delivery[[#This Row],[Valor Prêmio Nespresso AAA por Kg (em US$)]]*60</f>
        <v>774.70588235294133</v>
      </c>
      <c r="AK628" s="171">
        <f>Delivery[[#This Row],[Valor Prêmio Nespresso AAA por saca (em US$)]]/1.3228/100</f>
        <v>5.8565609491453081</v>
      </c>
      <c r="AL628" s="171">
        <f>(Delivery[[#This Row],[BEN premium (total)]]/SUMIF(Allocation!C:C,Delivery[Delivery ID],Allocation!H:H))/Delivery[[#This Row],[Exchange rate for premiums VS USD]]</f>
        <v>4.8934702857142858</v>
      </c>
      <c r="AM628" s="171">
        <f>Delivery[[#This Row],[Valor Prêmio Nespresso BEN por Kg (em US$)]]*60</f>
        <v>293.60821714285714</v>
      </c>
      <c r="AN628" s="171">
        <f>Delivery[[#This Row],[Valor Prêmio Nespresso BEN por saca (em US$)]]/1.3228/100</f>
        <v>2.2195964404509914</v>
      </c>
      <c r="AO628" s="171">
        <f>SUMIF(Allocation[Delivery ID],Delivery[[#This Row],[Delivery ID]],Allocation[Quantity allocated])*16*1.3228*Delivery[[#This Row],[Exchange rate VS USD]]/60</f>
        <v>137.843590976</v>
      </c>
      <c r="AP628" s="171">
        <f>Delivery[[#This Row],[AAA Premium (total)]]</f>
        <v>5045.5587000000005</v>
      </c>
      <c r="AQ628" s="171">
        <f>Delivery[[#This Row],[Valor pago pelo Cluster]]-Delivery[[#This Row],[Valor efetivamente pago pela Nespresso]]</f>
        <v>4907.7151090240004</v>
      </c>
    </row>
    <row r="629" spans="1:43" ht="15.75">
      <c r="A629" s="174" t="s">
        <v>69</v>
      </c>
      <c r="B629" s="232" t="s">
        <v>68</v>
      </c>
      <c r="C629" s="157">
        <v>1</v>
      </c>
      <c r="D629" s="157" t="s">
        <v>468</v>
      </c>
      <c r="E629" s="177" t="s">
        <v>468</v>
      </c>
      <c r="F629" s="233" t="s">
        <v>469</v>
      </c>
      <c r="G629" s="234">
        <v>42881</v>
      </c>
      <c r="H629" s="157" t="s">
        <v>785</v>
      </c>
      <c r="I629" s="157" t="s">
        <v>744</v>
      </c>
      <c r="J629" s="237">
        <v>20689</v>
      </c>
      <c r="K629" s="175" t="s">
        <v>61</v>
      </c>
      <c r="L629" s="175" t="s">
        <v>439</v>
      </c>
      <c r="M629" s="175" t="s">
        <v>1343</v>
      </c>
      <c r="N629" s="180"/>
      <c r="O629" s="177"/>
      <c r="P629" s="181">
        <v>0</v>
      </c>
      <c r="Q629" s="177">
        <v>42874</v>
      </c>
      <c r="R629" s="178">
        <v>437.40215999999992</v>
      </c>
      <c r="S629" s="179">
        <v>163243.51730684109</v>
      </c>
      <c r="T629" s="182" t="s">
        <v>45</v>
      </c>
      <c r="U629" s="183">
        <v>3.2837999999999998</v>
      </c>
      <c r="V629" s="179">
        <v>7926.1627900000003</v>
      </c>
      <c r="W629" s="179">
        <v>3003.9613465794396</v>
      </c>
      <c r="X629" s="196" t="s">
        <v>45</v>
      </c>
      <c r="Y629" s="183">
        <v>3.2837999999999998</v>
      </c>
      <c r="Z629" s="220" t="s">
        <v>473</v>
      </c>
      <c r="AA629" s="172">
        <f>Delivery[[#This Row],[Quantity delivered]]*VLOOKUP(Delivery[[#This Row],[Unit]],References!$U:$X,4,FALSE)*VLOOKUP(CONCATENATE(Delivery[[#This Row],[Coffee specie]],Delivery[[#This Row],[Coffee state]]),References!$U:$X,4,FALSE)</f>
        <v>20689</v>
      </c>
      <c r="AB629" s="173">
        <f>SUMIF(Allocation!C:C,Delivery[[#This Row],[Delivery ID]],Allocation!D:D)/Delivery[[#This Row],[Quantity delivered]]</f>
        <v>2.3442409009618637E-2</v>
      </c>
      <c r="AC629" s="170">
        <f>Delivery[[#This Row],[Quantity delivered]]*Delivery[[#This Row],[Base price (Unidad)]]/60</f>
        <v>150823.55480399998</v>
      </c>
      <c r="AD629" s="171">
        <f>Delivery[[#This Row],[Nespresso total]]-Delivery[[#This Row],[Qt. Delivery * Base Price]]</f>
        <v>12419.96250284111</v>
      </c>
      <c r="AE629" s="171">
        <f>Delivery[[#This Row],[AAA Premium (total)]]/Delivery[[#This Row],[Quantity delivered]]*60/Delivery[[#This Row],[Exchange rate VS USD]]</f>
        <v>7</v>
      </c>
      <c r="AF629" s="171">
        <f>Delivery[[#This Row],[BEN premium (total)]]/Delivery[[#This Row],[Quantity delivered]]*60/Delivery[[#This Row],[Exchange rate for premiums VS USD]]</f>
        <v>2.6529519999999995</v>
      </c>
      <c r="AG629" s="171">
        <f>COUNTIF(Delivery[Delivery ID],Delivery[[#This Row],[Delivery ID]])</f>
        <v>1</v>
      </c>
      <c r="AH629" s="171">
        <f>(Delivery[[#This Row],[Nespresso total]]/SUMIF(Allocation!C:C,Delivery[Delivery ID],Allocation!H:H))/Delivery[[#This Row],[Exchange rate VS USD]]</f>
        <v>256.24624807135228</v>
      </c>
      <c r="AI629" s="171">
        <f>(Delivery[[#This Row],[AAA Premium (total)]]/SUMIF(Allocation!C:C,Delivery[Delivery ID],Allocation!H:H))/Delivery[[#This Row],[Exchange rate VS USD]]</f>
        <v>12.441838487972511</v>
      </c>
      <c r="AJ629" s="171">
        <f>Delivery[[#This Row],[Valor Prêmio Nespresso AAA por Kg (em US$)]]*60</f>
        <v>746.51030927835063</v>
      </c>
      <c r="AK629" s="171">
        <f>Delivery[[#This Row],[Valor Prêmio Nespresso AAA por saca (em US$)]]/1.3228/100</f>
        <v>5.6434102606467391</v>
      </c>
      <c r="AL629" s="171">
        <f>(Delivery[[#This Row],[BEN premium (total)]]/SUMIF(Allocation!C:C,Delivery[Delivery ID],Allocation!H:H))/Delivery[[#This Row],[Exchange rate for premiums VS USD]]</f>
        <v>4.7153714714776633</v>
      </c>
      <c r="AM629" s="171">
        <f>Delivery[[#This Row],[Valor Prêmio Nespresso BEN por Kg (em US$)]]*60</f>
        <v>282.92228828865979</v>
      </c>
      <c r="AN629" s="171">
        <f>Delivery[[#This Row],[Valor Prêmio Nespresso BEN por saca (em US$)]]/1.3228/100</f>
        <v>2.1388137911147549</v>
      </c>
      <c r="AO629" s="171">
        <f>SUMIF(Allocation[Delivery ID],Delivery[[#This Row],[Delivery ID]],Allocation[Quantity allocated])*16*1.3228*Delivery[[#This Row],[Exchange rate VS USD]]/60</f>
        <v>224.71980377599999</v>
      </c>
      <c r="AP629" s="171">
        <f>Delivery[[#This Row],[AAA Premium (total)]]</f>
        <v>7926.1627900000003</v>
      </c>
      <c r="AQ629" s="171">
        <f>Delivery[[#This Row],[Valor pago pelo Cluster]]-Delivery[[#This Row],[Valor efetivamente pago pela Nespresso]]</f>
        <v>7701.4429862240004</v>
      </c>
    </row>
    <row r="630" spans="1:43" ht="15.75">
      <c r="A630" s="174" t="s">
        <v>69</v>
      </c>
      <c r="B630" s="232" t="s">
        <v>68</v>
      </c>
      <c r="C630" s="157">
        <v>1</v>
      </c>
      <c r="D630" s="157" t="s">
        <v>468</v>
      </c>
      <c r="E630" s="177" t="s">
        <v>468</v>
      </c>
      <c r="F630" s="233" t="s">
        <v>469</v>
      </c>
      <c r="G630" s="234">
        <v>42881</v>
      </c>
      <c r="H630" s="157" t="s">
        <v>786</v>
      </c>
      <c r="I630" s="157" t="s">
        <v>744</v>
      </c>
      <c r="J630" s="237">
        <v>14073</v>
      </c>
      <c r="K630" s="175" t="s">
        <v>61</v>
      </c>
      <c r="L630" s="175" t="s">
        <v>439</v>
      </c>
      <c r="M630" s="175" t="s">
        <v>1343</v>
      </c>
      <c r="N630" s="180"/>
      <c r="O630" s="177"/>
      <c r="P630" s="181">
        <v>0</v>
      </c>
      <c r="Q630" s="177">
        <v>42874</v>
      </c>
      <c r="R630" s="178">
        <v>437.40215999999992</v>
      </c>
      <c r="S630" s="179">
        <v>111043.65161192784</v>
      </c>
      <c r="T630" s="182" t="s">
        <v>45</v>
      </c>
      <c r="U630" s="183">
        <v>3.2837999999999998</v>
      </c>
      <c r="V630" s="179">
        <v>5391.5070299999998</v>
      </c>
      <c r="W630" s="179">
        <v>2043.3441940360799</v>
      </c>
      <c r="X630" s="196" t="s">
        <v>45</v>
      </c>
      <c r="Y630" s="183">
        <v>3.2837999999999998</v>
      </c>
      <c r="Z630" s="220" t="s">
        <v>473</v>
      </c>
      <c r="AA630" s="172">
        <f>Delivery[[#This Row],[Quantity delivered]]*VLOOKUP(Delivery[[#This Row],[Unit]],References!$U:$X,4,FALSE)*VLOOKUP(CONCATENATE(Delivery[[#This Row],[Coffee specie]],Delivery[[#This Row],[Coffee state]]),References!$U:$X,4,FALSE)</f>
        <v>14073</v>
      </c>
      <c r="AB630" s="173">
        <f>SUMIF(Allocation!C:C,Delivery[[#This Row],[Delivery ID]],Allocation!D:D)/Delivery[[#This Row],[Quantity delivered]]</f>
        <v>2.1175300220279969E-2</v>
      </c>
      <c r="AC630" s="170">
        <f>Delivery[[#This Row],[Quantity delivered]]*Delivery[[#This Row],[Base price (Unidad)]]/60</f>
        <v>102592.67662799997</v>
      </c>
      <c r="AD630" s="171">
        <f>Delivery[[#This Row],[Nespresso total]]-Delivery[[#This Row],[Qt. Delivery * Base Price]]</f>
        <v>8450.9749839278666</v>
      </c>
      <c r="AE630" s="171">
        <f>Delivery[[#This Row],[AAA Premium (total)]]/Delivery[[#This Row],[Quantity delivered]]*60/Delivery[[#This Row],[Exchange rate VS USD]]</f>
        <v>7</v>
      </c>
      <c r="AF630" s="171">
        <f>Delivery[[#This Row],[BEN premium (total)]]/Delivery[[#This Row],[Quantity delivered]]*60/Delivery[[#This Row],[Exchange rate for premiums VS USD]]</f>
        <v>2.6529519999999995</v>
      </c>
      <c r="AG630" s="171">
        <f>COUNTIF(Delivery[Delivery ID],Delivery[[#This Row],[Delivery ID]])</f>
        <v>1</v>
      </c>
      <c r="AH630" s="171">
        <f>(Delivery[[#This Row],[Nespresso total]]/SUMIF(Allocation!C:C,Delivery[Delivery ID],Allocation!H:H))/Delivery[[#This Row],[Exchange rate VS USD]]</f>
        <v>284.16466578719735</v>
      </c>
      <c r="AI630" s="171">
        <f>(Delivery[[#This Row],[AAA Premium (total)]]/SUMIF(Allocation!C:C,Delivery[Delivery ID],Allocation!H:H))/Delivery[[#This Row],[Exchange rate VS USD]]</f>
        <v>13.797058823529412</v>
      </c>
      <c r="AJ630" s="171">
        <f>Delivery[[#This Row],[Valor Prêmio Nespresso AAA por Kg (em US$)]]*60</f>
        <v>827.82352941176464</v>
      </c>
      <c r="AK630" s="171">
        <f>Delivery[[#This Row],[Valor Prêmio Nespresso AAA por saca (em US$)]]/1.3228/100</f>
        <v>6.2581155836994604</v>
      </c>
      <c r="AL630" s="171">
        <f>(Delivery[[#This Row],[BEN premium (total)]]/SUMIF(Allocation!C:C,Delivery[Delivery ID],Allocation!H:H))/Delivery[[#This Row],[Exchange rate for premiums VS USD]]</f>
        <v>5.2289906857142858</v>
      </c>
      <c r="AM630" s="171">
        <f>Delivery[[#This Row],[Valor Prêmio Nespresso BEN por Kg (em US$)]]*60</f>
        <v>313.73944114285717</v>
      </c>
      <c r="AN630" s="171">
        <f>Delivery[[#This Row],[Valor Prêmio Nespresso BEN por saca (em US$)]]/1.3228/100</f>
        <v>2.371782893429522</v>
      </c>
      <c r="AO630" s="171">
        <f>SUMIF(Allocation[Delivery ID],Delivery[[#This Row],[Delivery ID]],Allocation[Quantity allocated])*16*1.3228*Delivery[[#This Row],[Exchange rate VS USD]]/60</f>
        <v>137.843590976</v>
      </c>
      <c r="AP630" s="171">
        <f>Delivery[[#This Row],[AAA Premium (total)]]</f>
        <v>5391.5070299999998</v>
      </c>
      <c r="AQ630" s="171">
        <f>Delivery[[#This Row],[Valor pago pelo Cluster]]-Delivery[[#This Row],[Valor efetivamente pago pela Nespresso]]</f>
        <v>5253.6634390239997</v>
      </c>
    </row>
    <row r="631" spans="1:43" ht="15.75">
      <c r="A631" s="174" t="s">
        <v>69</v>
      </c>
      <c r="B631" s="232" t="s">
        <v>68</v>
      </c>
      <c r="C631" s="157">
        <v>1</v>
      </c>
      <c r="D631" s="157" t="s">
        <v>468</v>
      </c>
      <c r="E631" s="177" t="s">
        <v>468</v>
      </c>
      <c r="F631" s="233" t="s">
        <v>469</v>
      </c>
      <c r="G631" s="234">
        <v>42907</v>
      </c>
      <c r="H631" s="238" t="s">
        <v>787</v>
      </c>
      <c r="I631" s="157" t="s">
        <v>737</v>
      </c>
      <c r="J631" s="237">
        <v>30545</v>
      </c>
      <c r="K631" s="175" t="s">
        <v>61</v>
      </c>
      <c r="L631" s="175" t="s">
        <v>439</v>
      </c>
      <c r="M631" s="175" t="s">
        <v>1343</v>
      </c>
      <c r="N631" s="180"/>
      <c r="O631" s="177"/>
      <c r="P631" s="181">
        <v>0</v>
      </c>
      <c r="Q631" s="177">
        <v>42898</v>
      </c>
      <c r="R631" s="178">
        <v>429.62402764892613</v>
      </c>
      <c r="S631" s="179">
        <v>240434.46633165242</v>
      </c>
      <c r="T631" s="182" t="s">
        <v>45</v>
      </c>
      <c r="U631" s="183">
        <v>3.315000057220459</v>
      </c>
      <c r="V631" s="179">
        <v>11813.278953909874</v>
      </c>
      <c r="W631" s="179">
        <v>3693.6501675071167</v>
      </c>
      <c r="X631" s="196" t="s">
        <v>45</v>
      </c>
      <c r="Y631" s="183">
        <v>3.315000057220459</v>
      </c>
      <c r="Z631" s="220" t="s">
        <v>473</v>
      </c>
      <c r="AA631" s="172">
        <f>Delivery[[#This Row],[Quantity delivered]]*VLOOKUP(Delivery[[#This Row],[Unit]],References!$U:$X,4,FALSE)*VLOOKUP(CONCATENATE(Delivery[[#This Row],[Coffee specie]],Delivery[[#This Row],[Coffee state]]),References!$U:$X,4,FALSE)</f>
        <v>30545</v>
      </c>
      <c r="AB631" s="173">
        <f>SUMIF(Allocation!C:C,Delivery[[#This Row],[Delivery ID]],Allocation!D:D)/Delivery[[#This Row],[Quantity delivered]]</f>
        <v>5.8602062530692424E-3</v>
      </c>
      <c r="AC631" s="170">
        <f>Delivery[[#This Row],[Quantity delivered]]*Delivery[[#This Row],[Base price (Unidad)]]/60</f>
        <v>218714.43207560747</v>
      </c>
      <c r="AD631" s="171">
        <f>Delivery[[#This Row],[Nespresso total]]-Delivery[[#This Row],[Qt. Delivery * Base Price]]</f>
        <v>21720.03425604495</v>
      </c>
      <c r="AE631" s="171">
        <f>Delivery[[#This Row],[AAA Premium (total)]]/Delivery[[#This Row],[Quantity delivered]]*60/Delivery[[#This Row],[Exchange rate VS USD]]</f>
        <v>7</v>
      </c>
      <c r="AF631" s="171">
        <f>Delivery[[#This Row],[BEN premium (total)]]/Delivery[[#This Row],[Quantity delivered]]*60/Delivery[[#This Row],[Exchange rate for premiums VS USD]]</f>
        <v>2.1886854000000002</v>
      </c>
      <c r="AG631" s="171">
        <f>COUNTIF(Delivery[Delivery ID],Delivery[[#This Row],[Delivery ID]])</f>
        <v>1</v>
      </c>
      <c r="AH631" s="171">
        <f>(Delivery[[#This Row],[Nespresso total]]/SUMIF(Allocation!C:C,Delivery[Delivery ID],Allocation!H:H))/Delivery[[#This Row],[Exchange rate VS USD]]</f>
        <v>1229.309314014344</v>
      </c>
      <c r="AI631" s="171">
        <f>(Delivery[[#This Row],[AAA Premium (total)]]/SUMIF(Allocation!C:C,Delivery[Delivery ID],Allocation!H:H))/Delivery[[#This Row],[Exchange rate VS USD]]</f>
        <v>60.399717514124291</v>
      </c>
      <c r="AJ631" s="171">
        <f>Delivery[[#This Row],[Valor Prêmio Nespresso AAA por Kg (em US$)]]*60</f>
        <v>3623.9830508474574</v>
      </c>
      <c r="AK631" s="171">
        <f>Delivery[[#This Row],[Valor Prêmio Nespresso AAA por saca (em US$)]]/1.3228/100</f>
        <v>27.396303680431338</v>
      </c>
      <c r="AL631" s="171">
        <f>(Delivery[[#This Row],[BEN premium (total)]]/SUMIF(Allocation!C:C,Delivery[Delivery ID],Allocation!H:H))/Delivery[[#This Row],[Exchange rate for premiums VS USD]]</f>
        <v>18.885139983898306</v>
      </c>
      <c r="AM631" s="171">
        <f>Delivery[[#This Row],[Valor Prêmio Nespresso BEN por Kg (em US$)]]*60</f>
        <v>1133.1083990338984</v>
      </c>
      <c r="AN631" s="171">
        <f>Delivery[[#This Row],[Valor Prêmio Nespresso BEN por saca (em US$)]]/1.3228/100</f>
        <v>8.5659842684751926</v>
      </c>
      <c r="AO631" s="171">
        <f>SUMIF(Allocation[Delivery ID],Delivery[[#This Row],[Delivery ID]],Allocation[Quantity allocated])*16*1.3228*Delivery[[#This Row],[Exchange rate VS USD]]/60</f>
        <v>68.99195799087525</v>
      </c>
      <c r="AP631" s="171">
        <f>Delivery[[#This Row],[AAA Premium (total)]]</f>
        <v>11813.278953909874</v>
      </c>
      <c r="AQ631" s="171">
        <f>Delivery[[#This Row],[Valor pago pelo Cluster]]-Delivery[[#This Row],[Valor efetivamente pago pela Nespresso]]</f>
        <v>11744.286995918999</v>
      </c>
    </row>
    <row r="632" spans="1:43" ht="15.75">
      <c r="A632" s="174" t="s">
        <v>69</v>
      </c>
      <c r="B632" s="232" t="s">
        <v>68</v>
      </c>
      <c r="C632" s="157">
        <v>1</v>
      </c>
      <c r="D632" s="157" t="s">
        <v>468</v>
      </c>
      <c r="E632" s="177" t="s">
        <v>468</v>
      </c>
      <c r="F632" s="233" t="s">
        <v>469</v>
      </c>
      <c r="G632" s="234">
        <v>42907</v>
      </c>
      <c r="H632" s="238" t="s">
        <v>788</v>
      </c>
      <c r="I632" s="157" t="s">
        <v>737</v>
      </c>
      <c r="J632" s="237">
        <v>30565</v>
      </c>
      <c r="K632" s="175" t="s">
        <v>61</v>
      </c>
      <c r="L632" s="175" t="s">
        <v>439</v>
      </c>
      <c r="M632" s="175" t="s">
        <v>1343</v>
      </c>
      <c r="N632" s="180"/>
      <c r="O632" s="177"/>
      <c r="P632" s="181">
        <v>0</v>
      </c>
      <c r="Q632" s="177">
        <v>42898</v>
      </c>
      <c r="R632" s="178">
        <v>429.62402764892613</v>
      </c>
      <c r="S632" s="179">
        <v>240591.89600350161</v>
      </c>
      <c r="T632" s="182" t="s">
        <v>45</v>
      </c>
      <c r="U632" s="183">
        <v>3.315000057220459</v>
      </c>
      <c r="V632" s="179">
        <v>11821.013954043388</v>
      </c>
      <c r="W632" s="179">
        <v>3696.0686649158624</v>
      </c>
      <c r="X632" s="196" t="s">
        <v>45</v>
      </c>
      <c r="Y632" s="183">
        <v>3.315000057220459</v>
      </c>
      <c r="Z632" s="220" t="s">
        <v>473</v>
      </c>
      <c r="AA632" s="172">
        <f>Delivery[[#This Row],[Quantity delivered]]*VLOOKUP(Delivery[[#This Row],[Unit]],References!$U:$X,4,FALSE)*VLOOKUP(CONCATENATE(Delivery[[#This Row],[Coffee specie]],Delivery[[#This Row],[Coffee state]]),References!$U:$X,4,FALSE)</f>
        <v>30565</v>
      </c>
      <c r="AB632" s="173">
        <f>SUMIF(Allocation!C:C,Delivery[[#This Row],[Delivery ID]],Allocation!D:D)/Delivery[[#This Row],[Quantity delivered]]</f>
        <v>5.8563716669393093E-3</v>
      </c>
      <c r="AC632" s="170">
        <f>Delivery[[#This Row],[Quantity delivered]]*Delivery[[#This Row],[Base price (Unidad)]]/60</f>
        <v>218857.64008482377</v>
      </c>
      <c r="AD632" s="171">
        <f>Delivery[[#This Row],[Nespresso total]]-Delivery[[#This Row],[Qt. Delivery * Base Price]]</f>
        <v>21734.255918677838</v>
      </c>
      <c r="AE632" s="171">
        <f>Delivery[[#This Row],[AAA Premium (total)]]/Delivery[[#This Row],[Quantity delivered]]*60/Delivery[[#This Row],[Exchange rate VS USD]]</f>
        <v>7</v>
      </c>
      <c r="AF632" s="171">
        <f>Delivery[[#This Row],[BEN premium (total)]]/Delivery[[#This Row],[Quantity delivered]]*60/Delivery[[#This Row],[Exchange rate for premiums VS USD]]</f>
        <v>2.1886854000000002</v>
      </c>
      <c r="AG632" s="171">
        <f>COUNTIF(Delivery[Delivery ID],Delivery[[#This Row],[Delivery ID]])</f>
        <v>1</v>
      </c>
      <c r="AH632" s="171">
        <f>(Delivery[[#This Row],[Nespresso total]]/SUMIF(Allocation!C:C,Delivery[Delivery ID],Allocation!H:H))/Delivery[[#This Row],[Exchange rate VS USD]]</f>
        <v>1230.1142309002596</v>
      </c>
      <c r="AI632" s="171">
        <f>(Delivery[[#This Row],[AAA Premium (total)]]/SUMIF(Allocation!C:C,Delivery[Delivery ID],Allocation!H:H))/Delivery[[#This Row],[Exchange rate VS USD]]</f>
        <v>60.43926553672317</v>
      </c>
      <c r="AJ632" s="171">
        <f>Delivery[[#This Row],[Valor Prêmio Nespresso AAA por Kg (em US$)]]*60</f>
        <v>3626.3559322033902</v>
      </c>
      <c r="AK632" s="171">
        <f>Delivery[[#This Row],[Valor Prêmio Nespresso AAA por saca (em US$)]]/1.3228/100</f>
        <v>27.414242003351905</v>
      </c>
      <c r="AL632" s="171">
        <f>(Delivery[[#This Row],[BEN premium (total)]]/SUMIF(Allocation!C:C,Delivery[Delivery ID],Allocation!H:H))/Delivery[[#This Row],[Exchange rate for premiums VS USD]]</f>
        <v>18.897505438135596</v>
      </c>
      <c r="AM632" s="171">
        <f>Delivery[[#This Row],[Valor Prêmio Nespresso BEN por Kg (em US$)]]*60</f>
        <v>1133.8503262881359</v>
      </c>
      <c r="AN632" s="171">
        <f>Delivery[[#This Row],[Valor Prêmio Nespresso BEN por saca (em US$)]]/1.3228/100</f>
        <v>8.5715930321147251</v>
      </c>
      <c r="AO632" s="171">
        <f>SUMIF(Allocation[Delivery ID],Delivery[[#This Row],[Delivery ID]],Allocation[Quantity allocated])*16*1.3228*Delivery[[#This Row],[Exchange rate VS USD]]/60</f>
        <v>68.99195799087525</v>
      </c>
      <c r="AP632" s="171">
        <f>Delivery[[#This Row],[AAA Premium (total)]]</f>
        <v>11821.013954043388</v>
      </c>
      <c r="AQ632" s="171">
        <f>Delivery[[#This Row],[Valor pago pelo Cluster]]-Delivery[[#This Row],[Valor efetivamente pago pela Nespresso]]</f>
        <v>11752.021996052514</v>
      </c>
    </row>
    <row r="633" spans="1:43" ht="15.75">
      <c r="A633" s="174" t="s">
        <v>69</v>
      </c>
      <c r="B633" s="232" t="s">
        <v>68</v>
      </c>
      <c r="C633" s="157">
        <v>1</v>
      </c>
      <c r="D633" s="157" t="s">
        <v>468</v>
      </c>
      <c r="E633" s="177" t="s">
        <v>468</v>
      </c>
      <c r="F633" s="233" t="s">
        <v>469</v>
      </c>
      <c r="G633" s="234">
        <v>42907</v>
      </c>
      <c r="H633" s="238" t="s">
        <v>789</v>
      </c>
      <c r="I633" s="157" t="s">
        <v>737</v>
      </c>
      <c r="J633" s="237">
        <v>30675</v>
      </c>
      <c r="K633" s="175" t="s">
        <v>61</v>
      </c>
      <c r="L633" s="175" t="s">
        <v>439</v>
      </c>
      <c r="M633" s="175" t="s">
        <v>1343</v>
      </c>
      <c r="N633" s="180"/>
      <c r="O633" s="177"/>
      <c r="P633" s="181">
        <v>0</v>
      </c>
      <c r="Q633" s="177">
        <v>42898</v>
      </c>
      <c r="R633" s="178">
        <v>429.62402764892613</v>
      </c>
      <c r="S633" s="179">
        <v>241457.75919867208</v>
      </c>
      <c r="T633" s="182" t="s">
        <v>45</v>
      </c>
      <c r="U633" s="183">
        <v>3.315000057220459</v>
      </c>
      <c r="V633" s="179">
        <v>11863.556454777718</v>
      </c>
      <c r="W633" s="179">
        <v>3709.3704006639646</v>
      </c>
      <c r="X633" s="196" t="s">
        <v>45</v>
      </c>
      <c r="Y633" s="183">
        <v>3.315000057220459</v>
      </c>
      <c r="Z633" s="220" t="s">
        <v>473</v>
      </c>
      <c r="AA633" s="172">
        <f>Delivery[[#This Row],[Quantity delivered]]*VLOOKUP(Delivery[[#This Row],[Unit]],References!$U:$X,4,FALSE)*VLOOKUP(CONCATENATE(Delivery[[#This Row],[Coffee specie]],Delivery[[#This Row],[Coffee state]]),References!$U:$X,4,FALSE)</f>
        <v>30675</v>
      </c>
      <c r="AB633" s="173">
        <f>SUMIF(Allocation!C:C,Delivery[[#This Row],[Delivery ID]],Allocation!D:D)/Delivery[[#This Row],[Quantity delivered]]</f>
        <v>5.8353708231458842E-3</v>
      </c>
      <c r="AC633" s="170">
        <f>Delivery[[#This Row],[Quantity delivered]]*Delivery[[#This Row],[Base price (Unidad)]]/60</f>
        <v>219645.28413551347</v>
      </c>
      <c r="AD633" s="171">
        <f>Delivery[[#This Row],[Nespresso total]]-Delivery[[#This Row],[Qt. Delivery * Base Price]]</f>
        <v>21812.475063158607</v>
      </c>
      <c r="AE633" s="171">
        <f>Delivery[[#This Row],[AAA Premium (total)]]/Delivery[[#This Row],[Quantity delivered]]*60/Delivery[[#This Row],[Exchange rate VS USD]]</f>
        <v>7</v>
      </c>
      <c r="AF633" s="171">
        <f>Delivery[[#This Row],[BEN premium (total)]]/Delivery[[#This Row],[Quantity delivered]]*60/Delivery[[#This Row],[Exchange rate for premiums VS USD]]</f>
        <v>2.1886854000000002</v>
      </c>
      <c r="AG633" s="171">
        <f>COUNTIF(Delivery[Delivery ID],Delivery[[#This Row],[Delivery ID]])</f>
        <v>1</v>
      </c>
      <c r="AH633" s="171">
        <f>(Delivery[[#This Row],[Nespresso total]]/SUMIF(Allocation!C:C,Delivery[Delivery ID],Allocation!H:H))/Delivery[[#This Row],[Exchange rate VS USD]]</f>
        <v>1234.5412737727945</v>
      </c>
      <c r="AI633" s="171">
        <f>(Delivery[[#This Row],[AAA Premium (total)]]/SUMIF(Allocation!C:C,Delivery[Delivery ID],Allocation!H:H))/Delivery[[#This Row],[Exchange rate VS USD]]</f>
        <v>60.656779661016948</v>
      </c>
      <c r="AJ633" s="171">
        <f>Delivery[[#This Row],[Valor Prêmio Nespresso AAA por Kg (em US$)]]*60</f>
        <v>3639.406779661017</v>
      </c>
      <c r="AK633" s="171">
        <f>Delivery[[#This Row],[Valor Prêmio Nespresso AAA por saca (em US$)]]/1.3228/100</f>
        <v>27.512902779415008</v>
      </c>
      <c r="AL633" s="171">
        <f>(Delivery[[#This Row],[BEN premium (total)]]/SUMIF(Allocation!C:C,Delivery[Delivery ID],Allocation!H:H))/Delivery[[#This Row],[Exchange rate for premiums VS USD]]</f>
        <v>18.965515436440679</v>
      </c>
      <c r="AM633" s="171">
        <f>Delivery[[#This Row],[Valor Prêmio Nespresso BEN por Kg (em US$)]]*60</f>
        <v>1137.9309261864407</v>
      </c>
      <c r="AN633" s="171">
        <f>Delivery[[#This Row],[Valor Prêmio Nespresso BEN por saca (em US$)]]/1.3228/100</f>
        <v>8.6024412321321488</v>
      </c>
      <c r="AO633" s="171">
        <f>SUMIF(Allocation[Delivery ID],Delivery[[#This Row],[Delivery ID]],Allocation[Quantity allocated])*16*1.3228*Delivery[[#This Row],[Exchange rate VS USD]]/60</f>
        <v>68.99195799087525</v>
      </c>
      <c r="AP633" s="171">
        <f>Delivery[[#This Row],[AAA Premium (total)]]</f>
        <v>11863.556454777718</v>
      </c>
      <c r="AQ633" s="171">
        <f>Delivery[[#This Row],[Valor pago pelo Cluster]]-Delivery[[#This Row],[Valor efetivamente pago pela Nespresso]]</f>
        <v>11794.564496786843</v>
      </c>
    </row>
    <row r="634" spans="1:43" ht="15.75">
      <c r="A634" s="174" t="s">
        <v>69</v>
      </c>
      <c r="B634" s="232" t="s">
        <v>68</v>
      </c>
      <c r="C634" s="157">
        <v>1</v>
      </c>
      <c r="D634" s="157" t="s">
        <v>468</v>
      </c>
      <c r="E634" s="177" t="s">
        <v>468</v>
      </c>
      <c r="F634" s="233" t="s">
        <v>469</v>
      </c>
      <c r="G634" s="234">
        <v>42907</v>
      </c>
      <c r="H634" s="238" t="s">
        <v>790</v>
      </c>
      <c r="I634" s="157" t="s">
        <v>737</v>
      </c>
      <c r="J634" s="237">
        <v>30298</v>
      </c>
      <c r="K634" s="175" t="s">
        <v>61</v>
      </c>
      <c r="L634" s="175" t="s">
        <v>439</v>
      </c>
      <c r="M634" s="175" t="s">
        <v>1343</v>
      </c>
      <c r="N634" s="180"/>
      <c r="O634" s="177"/>
      <c r="P634" s="181">
        <v>0</v>
      </c>
      <c r="Q634" s="177">
        <v>42898</v>
      </c>
      <c r="R634" s="178">
        <v>429.62402764892613</v>
      </c>
      <c r="S634" s="179">
        <v>238490.20988431512</v>
      </c>
      <c r="T634" s="182" t="s">
        <v>45</v>
      </c>
      <c r="U634" s="183">
        <v>3.315000057220459</v>
      </c>
      <c r="V634" s="179">
        <v>11717.751702260972</v>
      </c>
      <c r="W634" s="179">
        <v>3663.7817245091055</v>
      </c>
      <c r="X634" s="196" t="s">
        <v>45</v>
      </c>
      <c r="Y634" s="183">
        <v>3.315000057220459</v>
      </c>
      <c r="Z634" s="220" t="s">
        <v>473</v>
      </c>
      <c r="AA634" s="172">
        <f>Delivery[[#This Row],[Quantity delivered]]*VLOOKUP(Delivery[[#This Row],[Unit]],References!$U:$X,4,FALSE)*VLOOKUP(CONCATENATE(Delivery[[#This Row],[Coffee specie]],Delivery[[#This Row],[Coffee state]]),References!$U:$X,4,FALSE)</f>
        <v>30298</v>
      </c>
      <c r="AB634" s="173">
        <f>SUMIF(Allocation!C:C,Delivery[[#This Row],[Delivery ID]],Allocation!D:D)/Delivery[[#This Row],[Quantity delivered]]</f>
        <v>5.9079807248003172E-3</v>
      </c>
      <c r="AC634" s="170">
        <f>Delivery[[#This Row],[Quantity delivered]]*Delivery[[#This Row],[Base price (Unidad)]]/60</f>
        <v>216945.81316178606</v>
      </c>
      <c r="AD634" s="171">
        <f>Delivery[[#This Row],[Nespresso total]]-Delivery[[#This Row],[Qt. Delivery * Base Price]]</f>
        <v>21544.396722529054</v>
      </c>
      <c r="AE634" s="171">
        <f>Delivery[[#This Row],[AAA Premium (total)]]/Delivery[[#This Row],[Quantity delivered]]*60/Delivery[[#This Row],[Exchange rate VS USD]]</f>
        <v>7</v>
      </c>
      <c r="AF634" s="171">
        <f>Delivery[[#This Row],[BEN premium (total)]]/Delivery[[#This Row],[Quantity delivered]]*60/Delivery[[#This Row],[Exchange rate for premiums VS USD]]</f>
        <v>2.1886854000000002</v>
      </c>
      <c r="AG634" s="171">
        <f>COUNTIF(Delivery[Delivery ID],Delivery[[#This Row],[Delivery ID]])</f>
        <v>1</v>
      </c>
      <c r="AH634" s="171">
        <f>(Delivery[[#This Row],[Nespresso total]]/SUMIF(Allocation!C:C,Delivery[Delivery ID],Allocation!H:H))/Delivery[[#This Row],[Exchange rate VS USD]]</f>
        <v>1219.3685904732884</v>
      </c>
      <c r="AI634" s="171">
        <f>(Delivery[[#This Row],[AAA Premium (total)]]/SUMIF(Allocation!C:C,Delivery[Delivery ID],Allocation!H:H))/Delivery[[#This Row],[Exchange rate VS USD]]</f>
        <v>59.911299435028255</v>
      </c>
      <c r="AJ634" s="171">
        <f>Delivery[[#This Row],[Valor Prêmio Nespresso AAA por Kg (em US$)]]*60</f>
        <v>3594.6779661016953</v>
      </c>
      <c r="AK634" s="171">
        <f>Delivery[[#This Row],[Valor Prêmio Nespresso AAA por saca (em US$)]]/1.3228/100</f>
        <v>27.174765392362378</v>
      </c>
      <c r="AL634" s="171">
        <f>(Delivery[[#This Row],[BEN premium (total)]]/SUMIF(Allocation!C:C,Delivery[Delivery ID],Allocation!H:H))/Delivery[[#This Row],[Exchange rate for premiums VS USD]]</f>
        <v>18.732426624067799</v>
      </c>
      <c r="AM634" s="171">
        <f>Delivery[[#This Row],[Valor Prêmio Nespresso BEN por Kg (em US$)]]*60</f>
        <v>1123.945597444068</v>
      </c>
      <c r="AN634" s="171">
        <f>Delivery[[#This Row],[Valor Prêmio Nespresso BEN por saca (em US$)]]/1.3228/100</f>
        <v>8.4967160375269728</v>
      </c>
      <c r="AO634" s="171">
        <f>SUMIF(Allocation[Delivery ID],Delivery[[#This Row],[Delivery ID]],Allocation[Quantity allocated])*16*1.3228*Delivery[[#This Row],[Exchange rate VS USD]]/60</f>
        <v>68.99195799087525</v>
      </c>
      <c r="AP634" s="171">
        <f>Delivery[[#This Row],[AAA Premium (total)]]</f>
        <v>11717.751702260972</v>
      </c>
      <c r="AQ634" s="171">
        <f>Delivery[[#This Row],[Valor pago pelo Cluster]]-Delivery[[#This Row],[Valor efetivamente pago pela Nespresso]]</f>
        <v>11648.759744270097</v>
      </c>
    </row>
    <row r="635" spans="1:43" ht="15.75">
      <c r="A635" s="174" t="s">
        <v>69</v>
      </c>
      <c r="B635" s="232" t="s">
        <v>68</v>
      </c>
      <c r="C635" s="157">
        <v>1</v>
      </c>
      <c r="D635" s="157" t="s">
        <v>468</v>
      </c>
      <c r="E635" s="176" t="s">
        <v>468</v>
      </c>
      <c r="F635" s="233" t="s">
        <v>469</v>
      </c>
      <c r="G635" s="234">
        <v>42907</v>
      </c>
      <c r="H635" s="238" t="s">
        <v>791</v>
      </c>
      <c r="I635" s="157" t="s">
        <v>737</v>
      </c>
      <c r="J635" s="237">
        <v>30288</v>
      </c>
      <c r="K635" s="175" t="s">
        <v>61</v>
      </c>
      <c r="L635" s="175" t="s">
        <v>439</v>
      </c>
      <c r="M635" s="175" t="s">
        <v>1343</v>
      </c>
      <c r="N635" s="180"/>
      <c r="O635" s="177"/>
      <c r="P635" s="181">
        <v>0</v>
      </c>
      <c r="Q635" s="177">
        <v>42898</v>
      </c>
      <c r="R635" s="178">
        <v>429.62402764892613</v>
      </c>
      <c r="S635" s="179">
        <v>238411.4950483905</v>
      </c>
      <c r="T635" s="182" t="s">
        <v>45</v>
      </c>
      <c r="U635" s="183">
        <v>3.315000057220459</v>
      </c>
      <c r="V635" s="179">
        <v>11713.884202194215</v>
      </c>
      <c r="W635" s="179">
        <v>3662.5724758047322</v>
      </c>
      <c r="X635" s="196" t="s">
        <v>45</v>
      </c>
      <c r="Y635" s="183">
        <v>3.315000057220459</v>
      </c>
      <c r="Z635" s="220" t="s">
        <v>473</v>
      </c>
      <c r="AA635" s="172">
        <f>Delivery[[#This Row],[Quantity delivered]]*VLOOKUP(Delivery[[#This Row],[Unit]],References!$U:$X,4,FALSE)*VLOOKUP(CONCATENATE(Delivery[[#This Row],[Coffee specie]],Delivery[[#This Row],[Coffee state]]),References!$U:$X,4,FALSE)</f>
        <v>30288</v>
      </c>
      <c r="AB635" s="173">
        <f>SUMIF(Allocation!C:C,Delivery[[#This Row],[Delivery ID]],Allocation!D:D)/Delivery[[#This Row],[Quantity delivered]]</f>
        <v>5.9099313259376651E-3</v>
      </c>
      <c r="AC635" s="170">
        <f>Delivery[[#This Row],[Quantity delivered]]*Delivery[[#This Row],[Base price (Unidad)]]/60</f>
        <v>216874.20915717789</v>
      </c>
      <c r="AD635" s="171">
        <f>Delivery[[#This Row],[Nespresso total]]-Delivery[[#This Row],[Qt. Delivery * Base Price]]</f>
        <v>21537.28589121261</v>
      </c>
      <c r="AE635" s="171">
        <f>Delivery[[#This Row],[AAA Premium (total)]]/Delivery[[#This Row],[Quantity delivered]]*60/Delivery[[#This Row],[Exchange rate VS USD]]</f>
        <v>7</v>
      </c>
      <c r="AF635" s="171">
        <f>Delivery[[#This Row],[BEN premium (total)]]/Delivery[[#This Row],[Quantity delivered]]*60/Delivery[[#This Row],[Exchange rate for premiums VS USD]]</f>
        <v>2.1886854000000002</v>
      </c>
      <c r="AG635" s="171">
        <f>COUNTIF(Delivery[Delivery ID],Delivery[[#This Row],[Delivery ID]])</f>
        <v>1</v>
      </c>
      <c r="AH635" s="171">
        <f>(Delivery[[#This Row],[Nespresso total]]/SUMIF(Allocation!C:C,Delivery[Delivery ID],Allocation!H:H))/Delivery[[#This Row],[Exchange rate VS USD]]</f>
        <v>1218.9661320303305</v>
      </c>
      <c r="AI635" s="171">
        <f>(Delivery[[#This Row],[AAA Premium (total)]]/SUMIF(Allocation!C:C,Delivery[Delivery ID],Allocation!H:H))/Delivery[[#This Row],[Exchange rate VS USD]]</f>
        <v>59.891525423728815</v>
      </c>
      <c r="AJ635" s="171">
        <f>Delivery[[#This Row],[Valor Prêmio Nespresso AAA por Kg (em US$)]]*60</f>
        <v>3593.4915254237289</v>
      </c>
      <c r="AK635" s="171">
        <f>Delivery[[#This Row],[Valor Prêmio Nespresso AAA por saca (em US$)]]/1.3228/100</f>
        <v>27.165796230902092</v>
      </c>
      <c r="AL635" s="171">
        <f>(Delivery[[#This Row],[BEN premium (total)]]/SUMIF(Allocation!C:C,Delivery[Delivery ID],Allocation!H:H))/Delivery[[#This Row],[Exchange rate for premiums VS USD]]</f>
        <v>18.726243896949153</v>
      </c>
      <c r="AM635" s="171">
        <f>Delivery[[#This Row],[Valor Prêmio Nespresso BEN por Kg (em US$)]]*60</f>
        <v>1123.5746338169492</v>
      </c>
      <c r="AN635" s="171">
        <f>Delivery[[#This Row],[Valor Prêmio Nespresso BEN por saca (em US$)]]/1.3228/100</f>
        <v>8.4939116557072065</v>
      </c>
      <c r="AO635" s="171">
        <f>SUMIF(Allocation[Delivery ID],Delivery[[#This Row],[Delivery ID]],Allocation[Quantity allocated])*16*1.3228*Delivery[[#This Row],[Exchange rate VS USD]]/60</f>
        <v>68.99195799087525</v>
      </c>
      <c r="AP635" s="171">
        <f>Delivery[[#This Row],[AAA Premium (total)]]</f>
        <v>11713.884202194215</v>
      </c>
      <c r="AQ635" s="171">
        <f>Delivery[[#This Row],[Valor pago pelo Cluster]]-Delivery[[#This Row],[Valor efetivamente pago pela Nespresso]]</f>
        <v>11644.89224420334</v>
      </c>
    </row>
    <row r="636" spans="1:43" ht="15.75">
      <c r="A636" s="174" t="s">
        <v>69</v>
      </c>
      <c r="B636" s="232" t="s">
        <v>68</v>
      </c>
      <c r="C636" s="157">
        <v>1</v>
      </c>
      <c r="D636" s="157" t="s">
        <v>468</v>
      </c>
      <c r="E636" s="177" t="s">
        <v>468</v>
      </c>
      <c r="F636" s="233" t="s">
        <v>469</v>
      </c>
      <c r="G636" s="234">
        <v>42908</v>
      </c>
      <c r="H636" s="238" t="s">
        <v>792</v>
      </c>
      <c r="I636" s="157" t="s">
        <v>737</v>
      </c>
      <c r="J636" s="237">
        <v>30585</v>
      </c>
      <c r="K636" s="175" t="s">
        <v>61</v>
      </c>
      <c r="L636" s="175" t="s">
        <v>439</v>
      </c>
      <c r="M636" s="175" t="s">
        <v>1343</v>
      </c>
      <c r="N636" s="180"/>
      <c r="O636" s="177"/>
      <c r="P636" s="181">
        <v>0</v>
      </c>
      <c r="Q636" s="177">
        <v>42898</v>
      </c>
      <c r="R636" s="178">
        <v>429.62402764892613</v>
      </c>
      <c r="S636" s="179">
        <v>240749.32567535079</v>
      </c>
      <c r="T636" s="182" t="s">
        <v>45</v>
      </c>
      <c r="U636" s="183">
        <v>3.315000057220459</v>
      </c>
      <c r="V636" s="179">
        <v>11828.748954176903</v>
      </c>
      <c r="W636" s="179">
        <v>3698.4871623246081</v>
      </c>
      <c r="X636" s="196" t="s">
        <v>45</v>
      </c>
      <c r="Y636" s="183">
        <v>3.315000057220459</v>
      </c>
      <c r="Z636" s="220" t="s">
        <v>473</v>
      </c>
      <c r="AA636" s="172">
        <f>Delivery[[#This Row],[Quantity delivered]]*VLOOKUP(Delivery[[#This Row],[Unit]],References!$U:$X,4,FALSE)*VLOOKUP(CONCATENATE(Delivery[[#This Row],[Coffee specie]],Delivery[[#This Row],[Coffee state]]),References!$U:$X,4,FALSE)</f>
        <v>30585</v>
      </c>
      <c r="AB636" s="173">
        <f>SUMIF(Allocation!C:C,Delivery[[#This Row],[Delivery ID]],Allocation!D:D)/Delivery[[#This Row],[Quantity delivered]]</f>
        <v>5.8525420957985944E-3</v>
      </c>
      <c r="AC636" s="170">
        <f>Delivery[[#This Row],[Quantity delivered]]*Delivery[[#This Row],[Base price (Unidad)]]/60</f>
        <v>219000.84809404009</v>
      </c>
      <c r="AD636" s="171">
        <f>Delivery[[#This Row],[Nespresso total]]-Delivery[[#This Row],[Qt. Delivery * Base Price]]</f>
        <v>21748.477581310697</v>
      </c>
      <c r="AE636" s="171">
        <f>Delivery[[#This Row],[AAA Premium (total)]]/Delivery[[#This Row],[Quantity delivered]]*60/Delivery[[#This Row],[Exchange rate VS USD]]</f>
        <v>7</v>
      </c>
      <c r="AF636" s="171">
        <f>Delivery[[#This Row],[BEN premium (total)]]/Delivery[[#This Row],[Quantity delivered]]*60/Delivery[[#This Row],[Exchange rate for premiums VS USD]]</f>
        <v>2.1886854000000002</v>
      </c>
      <c r="AG636" s="171">
        <f>COUNTIF(Delivery[Delivery ID],Delivery[[#This Row],[Delivery ID]])</f>
        <v>1</v>
      </c>
      <c r="AH636" s="171">
        <f>(Delivery[[#This Row],[Nespresso total]]/SUMIF(Allocation!C:C,Delivery[Delivery ID],Allocation!H:H))/Delivery[[#This Row],[Exchange rate VS USD]]</f>
        <v>1230.919147786175</v>
      </c>
      <c r="AI636" s="171">
        <f>(Delivery[[#This Row],[AAA Premium (total)]]/SUMIF(Allocation!C:C,Delivery[Delivery ID],Allocation!H:H))/Delivery[[#This Row],[Exchange rate VS USD]]</f>
        <v>60.478813559322035</v>
      </c>
      <c r="AJ636" s="171">
        <f>Delivery[[#This Row],[Valor Prêmio Nespresso AAA por Kg (em US$)]]*60</f>
        <v>3628.7288135593221</v>
      </c>
      <c r="AK636" s="171">
        <f>Delivery[[#This Row],[Valor Prêmio Nespresso AAA por saca (em US$)]]/1.3228/100</f>
        <v>27.432180326272469</v>
      </c>
      <c r="AL636" s="171">
        <f>(Delivery[[#This Row],[BEN premium (total)]]/SUMIF(Allocation!C:C,Delivery[Delivery ID],Allocation!H:H))/Delivery[[#This Row],[Exchange rate for premiums VS USD]]</f>
        <v>18.909870892372883</v>
      </c>
      <c r="AM636" s="171">
        <f>Delivery[[#This Row],[Valor Prêmio Nespresso BEN por Kg (em US$)]]*60</f>
        <v>1134.5922535423729</v>
      </c>
      <c r="AN636" s="171">
        <f>Delivery[[#This Row],[Valor Prêmio Nespresso BEN por saca (em US$)]]/1.3228/100</f>
        <v>8.5772017957542559</v>
      </c>
      <c r="AO636" s="171">
        <f>SUMIF(Allocation[Delivery ID],Delivery[[#This Row],[Delivery ID]],Allocation[Quantity allocated])*16*1.3228*Delivery[[#This Row],[Exchange rate VS USD]]/60</f>
        <v>68.99195799087525</v>
      </c>
      <c r="AP636" s="171">
        <f>Delivery[[#This Row],[AAA Premium (total)]]</f>
        <v>11828.748954176903</v>
      </c>
      <c r="AQ636" s="171">
        <f>Delivery[[#This Row],[Valor pago pelo Cluster]]-Delivery[[#This Row],[Valor efetivamente pago pela Nespresso]]</f>
        <v>11759.756996186028</v>
      </c>
    </row>
    <row r="637" spans="1:43" ht="15.75">
      <c r="A637" s="174" t="s">
        <v>69</v>
      </c>
      <c r="B637" s="232" t="s">
        <v>68</v>
      </c>
      <c r="C637" s="157">
        <v>1</v>
      </c>
      <c r="D637" s="157" t="s">
        <v>468</v>
      </c>
      <c r="E637" s="177" t="s">
        <v>468</v>
      </c>
      <c r="F637" s="233" t="s">
        <v>469</v>
      </c>
      <c r="G637" s="234">
        <v>42908</v>
      </c>
      <c r="H637" s="238" t="s">
        <v>793</v>
      </c>
      <c r="I637" s="157" t="s">
        <v>737</v>
      </c>
      <c r="J637" s="237">
        <v>30585</v>
      </c>
      <c r="K637" s="175" t="s">
        <v>61</v>
      </c>
      <c r="L637" s="175" t="s">
        <v>439</v>
      </c>
      <c r="M637" s="175" t="s">
        <v>1343</v>
      </c>
      <c r="N637" s="180"/>
      <c r="O637" s="177"/>
      <c r="P637" s="181">
        <v>0</v>
      </c>
      <c r="Q637" s="177">
        <v>42898</v>
      </c>
      <c r="R637" s="178">
        <v>429.62402764892613</v>
      </c>
      <c r="S637" s="179">
        <v>240749.32567535079</v>
      </c>
      <c r="T637" s="182" t="s">
        <v>45</v>
      </c>
      <c r="U637" s="183">
        <v>3.315000057220459</v>
      </c>
      <c r="V637" s="179">
        <v>11828.748954176903</v>
      </c>
      <c r="W637" s="179">
        <v>3698.4871623246081</v>
      </c>
      <c r="X637" s="196" t="s">
        <v>45</v>
      </c>
      <c r="Y637" s="183">
        <v>3.315000057220459</v>
      </c>
      <c r="Z637" s="220" t="s">
        <v>473</v>
      </c>
      <c r="AA637" s="172">
        <f>Delivery[[#This Row],[Quantity delivered]]*VLOOKUP(Delivery[[#This Row],[Unit]],References!$U:$X,4,FALSE)*VLOOKUP(CONCATENATE(Delivery[[#This Row],[Coffee specie]],Delivery[[#This Row],[Coffee state]]),References!$U:$X,4,FALSE)</f>
        <v>30585</v>
      </c>
      <c r="AB637" s="173">
        <f>SUMIF(Allocation!C:C,Delivery[[#This Row],[Delivery ID]],Allocation!D:D)/Delivery[[#This Row],[Quantity delivered]]</f>
        <v>5.8525420957985944E-3</v>
      </c>
      <c r="AC637" s="170">
        <f>Delivery[[#This Row],[Quantity delivered]]*Delivery[[#This Row],[Base price (Unidad)]]/60</f>
        <v>219000.84809404009</v>
      </c>
      <c r="AD637" s="171">
        <f>Delivery[[#This Row],[Nespresso total]]-Delivery[[#This Row],[Qt. Delivery * Base Price]]</f>
        <v>21748.477581310697</v>
      </c>
      <c r="AE637" s="171">
        <f>Delivery[[#This Row],[AAA Premium (total)]]/Delivery[[#This Row],[Quantity delivered]]*60/Delivery[[#This Row],[Exchange rate VS USD]]</f>
        <v>7</v>
      </c>
      <c r="AF637" s="171">
        <f>Delivery[[#This Row],[BEN premium (total)]]/Delivery[[#This Row],[Quantity delivered]]*60/Delivery[[#This Row],[Exchange rate for premiums VS USD]]</f>
        <v>2.1886854000000002</v>
      </c>
      <c r="AG637" s="171">
        <f>COUNTIF(Delivery[Delivery ID],Delivery[[#This Row],[Delivery ID]])</f>
        <v>1</v>
      </c>
      <c r="AH637" s="171">
        <f>(Delivery[[#This Row],[Nespresso total]]/SUMIF(Allocation!C:C,Delivery[Delivery ID],Allocation!H:H))/Delivery[[#This Row],[Exchange rate VS USD]]</f>
        <v>1230.919147786175</v>
      </c>
      <c r="AI637" s="171">
        <f>(Delivery[[#This Row],[AAA Premium (total)]]/SUMIF(Allocation!C:C,Delivery[Delivery ID],Allocation!H:H))/Delivery[[#This Row],[Exchange rate VS USD]]</f>
        <v>60.478813559322035</v>
      </c>
      <c r="AJ637" s="171">
        <f>Delivery[[#This Row],[Valor Prêmio Nespresso AAA por Kg (em US$)]]*60</f>
        <v>3628.7288135593221</v>
      </c>
      <c r="AK637" s="171">
        <f>Delivery[[#This Row],[Valor Prêmio Nespresso AAA por saca (em US$)]]/1.3228/100</f>
        <v>27.432180326272469</v>
      </c>
      <c r="AL637" s="171">
        <f>(Delivery[[#This Row],[BEN premium (total)]]/SUMIF(Allocation!C:C,Delivery[Delivery ID],Allocation!H:H))/Delivery[[#This Row],[Exchange rate for premiums VS USD]]</f>
        <v>18.909870892372883</v>
      </c>
      <c r="AM637" s="171">
        <f>Delivery[[#This Row],[Valor Prêmio Nespresso BEN por Kg (em US$)]]*60</f>
        <v>1134.5922535423729</v>
      </c>
      <c r="AN637" s="171">
        <f>Delivery[[#This Row],[Valor Prêmio Nespresso BEN por saca (em US$)]]/1.3228/100</f>
        <v>8.5772017957542559</v>
      </c>
      <c r="AO637" s="171">
        <f>SUMIF(Allocation[Delivery ID],Delivery[[#This Row],[Delivery ID]],Allocation[Quantity allocated])*16*1.3228*Delivery[[#This Row],[Exchange rate VS USD]]/60</f>
        <v>68.99195799087525</v>
      </c>
      <c r="AP637" s="171">
        <f>Delivery[[#This Row],[AAA Premium (total)]]</f>
        <v>11828.748954176903</v>
      </c>
      <c r="AQ637" s="171">
        <f>Delivery[[#This Row],[Valor pago pelo Cluster]]-Delivery[[#This Row],[Valor efetivamente pago pela Nespresso]]</f>
        <v>11759.756996186028</v>
      </c>
    </row>
    <row r="638" spans="1:43" ht="15.75">
      <c r="A638" s="174" t="s">
        <v>69</v>
      </c>
      <c r="B638" s="232" t="s">
        <v>68</v>
      </c>
      <c r="C638" s="157">
        <v>1</v>
      </c>
      <c r="D638" s="157" t="s">
        <v>468</v>
      </c>
      <c r="E638" s="177" t="s">
        <v>468</v>
      </c>
      <c r="F638" s="233" t="s">
        <v>469</v>
      </c>
      <c r="G638" s="234">
        <v>42908</v>
      </c>
      <c r="H638" s="238" t="s">
        <v>794</v>
      </c>
      <c r="I638" s="157" t="s">
        <v>737</v>
      </c>
      <c r="J638" s="237">
        <v>30605</v>
      </c>
      <c r="K638" s="175" t="s">
        <v>61</v>
      </c>
      <c r="L638" s="175" t="s">
        <v>439</v>
      </c>
      <c r="M638" s="175" t="s">
        <v>1343</v>
      </c>
      <c r="N638" s="180"/>
      <c r="O638" s="177"/>
      <c r="P638" s="181">
        <v>0</v>
      </c>
      <c r="Q638" s="177">
        <v>42898</v>
      </c>
      <c r="R638" s="178">
        <v>429.62402764892613</v>
      </c>
      <c r="S638" s="179">
        <v>240906.75534719997</v>
      </c>
      <c r="T638" s="182" t="s">
        <v>45</v>
      </c>
      <c r="U638" s="183">
        <v>3.315000057220459</v>
      </c>
      <c r="V638" s="179">
        <v>11836.483954310417</v>
      </c>
      <c r="W638" s="179">
        <v>3700.9056597333542</v>
      </c>
      <c r="X638" s="196" t="s">
        <v>45</v>
      </c>
      <c r="Y638" s="183">
        <v>3.315000057220459</v>
      </c>
      <c r="Z638" s="220" t="s">
        <v>473</v>
      </c>
      <c r="AA638" s="172">
        <f>Delivery[[#This Row],[Quantity delivered]]*VLOOKUP(Delivery[[#This Row],[Unit]],References!$U:$X,4,FALSE)*VLOOKUP(CONCATENATE(Delivery[[#This Row],[Coffee specie]],Delivery[[#This Row],[Coffee state]]),References!$U:$X,4,FALSE)</f>
        <v>30605</v>
      </c>
      <c r="AB638" s="173">
        <f>SUMIF(Allocation!C:C,Delivery[[#This Row],[Delivery ID]],Allocation!D:D)/Delivery[[#This Row],[Quantity delivered]]</f>
        <v>5.8487175298153893E-3</v>
      </c>
      <c r="AC638" s="170">
        <f>Delivery[[#This Row],[Quantity delivered]]*Delivery[[#This Row],[Base price (Unidad)]]/60</f>
        <v>219144.05610325641</v>
      </c>
      <c r="AD638" s="171">
        <f>Delivery[[#This Row],[Nespresso total]]-Delivery[[#This Row],[Qt. Delivery * Base Price]]</f>
        <v>21762.699243943556</v>
      </c>
      <c r="AE638" s="171">
        <f>Delivery[[#This Row],[AAA Premium (total)]]/Delivery[[#This Row],[Quantity delivered]]*60/Delivery[[#This Row],[Exchange rate VS USD]]</f>
        <v>7</v>
      </c>
      <c r="AF638" s="171">
        <f>Delivery[[#This Row],[BEN premium (total)]]/Delivery[[#This Row],[Quantity delivered]]*60/Delivery[[#This Row],[Exchange rate for premiums VS USD]]</f>
        <v>2.1886854000000002</v>
      </c>
      <c r="AG638" s="171">
        <f>COUNTIF(Delivery[Delivery ID],Delivery[[#This Row],[Delivery ID]])</f>
        <v>1</v>
      </c>
      <c r="AH638" s="171">
        <f>(Delivery[[#This Row],[Nespresso total]]/SUMIF(Allocation!C:C,Delivery[Delivery ID],Allocation!H:H))/Delivery[[#This Row],[Exchange rate VS USD]]</f>
        <v>1231.7240646720904</v>
      </c>
      <c r="AI638" s="171">
        <f>(Delivery[[#This Row],[AAA Premium (total)]]/SUMIF(Allocation!C:C,Delivery[Delivery ID],Allocation!H:H))/Delivery[[#This Row],[Exchange rate VS USD]]</f>
        <v>60.518361581920907</v>
      </c>
      <c r="AJ638" s="171">
        <f>Delivery[[#This Row],[Valor Prêmio Nespresso AAA por Kg (em US$)]]*60</f>
        <v>3631.1016949152545</v>
      </c>
      <c r="AK638" s="171">
        <f>Delivery[[#This Row],[Valor Prêmio Nespresso AAA por saca (em US$)]]/1.3228/100</f>
        <v>27.450118649193033</v>
      </c>
      <c r="AL638" s="171">
        <f>(Delivery[[#This Row],[BEN premium (total)]]/SUMIF(Allocation!C:C,Delivery[Delivery ID],Allocation!H:H))/Delivery[[#This Row],[Exchange rate for premiums VS USD]]</f>
        <v>18.92223634661017</v>
      </c>
      <c r="AM638" s="171">
        <f>Delivery[[#This Row],[Valor Prêmio Nespresso BEN por Kg (em US$)]]*60</f>
        <v>1135.3341807966101</v>
      </c>
      <c r="AN638" s="171">
        <f>Delivery[[#This Row],[Valor Prêmio Nespresso BEN por saca (em US$)]]/1.3228/100</f>
        <v>8.5828105593937867</v>
      </c>
      <c r="AO638" s="171">
        <f>SUMIF(Allocation[Delivery ID],Delivery[[#This Row],[Delivery ID]],Allocation[Quantity allocated])*16*1.3228*Delivery[[#This Row],[Exchange rate VS USD]]/60</f>
        <v>68.99195799087525</v>
      </c>
      <c r="AP638" s="171">
        <f>Delivery[[#This Row],[AAA Premium (total)]]</f>
        <v>11836.483954310417</v>
      </c>
      <c r="AQ638" s="171">
        <f>Delivery[[#This Row],[Valor pago pelo Cluster]]-Delivery[[#This Row],[Valor efetivamente pago pela Nespresso]]</f>
        <v>11767.491996319543</v>
      </c>
    </row>
    <row r="639" spans="1:43" ht="15.75">
      <c r="A639" s="174" t="s">
        <v>69</v>
      </c>
      <c r="B639" s="232" t="s">
        <v>68</v>
      </c>
      <c r="C639" s="157">
        <v>1</v>
      </c>
      <c r="D639" s="157" t="s">
        <v>468</v>
      </c>
      <c r="E639" s="177" t="s">
        <v>468</v>
      </c>
      <c r="F639" s="233" t="s">
        <v>469</v>
      </c>
      <c r="G639" s="234">
        <v>42908</v>
      </c>
      <c r="H639" s="238" t="s">
        <v>795</v>
      </c>
      <c r="I639" s="157" t="s">
        <v>737</v>
      </c>
      <c r="J639" s="237">
        <v>30605</v>
      </c>
      <c r="K639" s="175" t="s">
        <v>61</v>
      </c>
      <c r="L639" s="175" t="s">
        <v>439</v>
      </c>
      <c r="M639" s="175" t="s">
        <v>1343</v>
      </c>
      <c r="N639" s="180"/>
      <c r="O639" s="177"/>
      <c r="P639" s="181">
        <v>0</v>
      </c>
      <c r="Q639" s="177">
        <v>42898</v>
      </c>
      <c r="R639" s="178">
        <v>429.62402764892613</v>
      </c>
      <c r="S639" s="179">
        <v>240906.75534719997</v>
      </c>
      <c r="T639" s="182" t="s">
        <v>45</v>
      </c>
      <c r="U639" s="183">
        <v>3.315000057220459</v>
      </c>
      <c r="V639" s="179">
        <v>11836.483954310417</v>
      </c>
      <c r="W639" s="179">
        <v>3700.9056597333542</v>
      </c>
      <c r="X639" s="196" t="s">
        <v>45</v>
      </c>
      <c r="Y639" s="183">
        <v>3.315000057220459</v>
      </c>
      <c r="Z639" s="220" t="s">
        <v>473</v>
      </c>
      <c r="AA639" s="172">
        <f>Delivery[[#This Row],[Quantity delivered]]*VLOOKUP(Delivery[[#This Row],[Unit]],References!$U:$X,4,FALSE)*VLOOKUP(CONCATENATE(Delivery[[#This Row],[Coffee specie]],Delivery[[#This Row],[Coffee state]]),References!$U:$X,4,FALSE)</f>
        <v>30605</v>
      </c>
      <c r="AB639" s="173">
        <f>SUMIF(Allocation!C:C,Delivery[[#This Row],[Delivery ID]],Allocation!D:D)/Delivery[[#This Row],[Quantity delivered]]</f>
        <v>5.8487175298153893E-3</v>
      </c>
      <c r="AC639" s="170">
        <f>Delivery[[#This Row],[Quantity delivered]]*Delivery[[#This Row],[Base price (Unidad)]]/60</f>
        <v>219144.05610325641</v>
      </c>
      <c r="AD639" s="171">
        <f>Delivery[[#This Row],[Nespresso total]]-Delivery[[#This Row],[Qt. Delivery * Base Price]]</f>
        <v>21762.699243943556</v>
      </c>
      <c r="AE639" s="171">
        <f>Delivery[[#This Row],[AAA Premium (total)]]/Delivery[[#This Row],[Quantity delivered]]*60/Delivery[[#This Row],[Exchange rate VS USD]]</f>
        <v>7</v>
      </c>
      <c r="AF639" s="171">
        <f>Delivery[[#This Row],[BEN premium (total)]]/Delivery[[#This Row],[Quantity delivered]]*60/Delivery[[#This Row],[Exchange rate for premiums VS USD]]</f>
        <v>2.1886854000000002</v>
      </c>
      <c r="AG639" s="171">
        <f>COUNTIF(Delivery[Delivery ID],Delivery[[#This Row],[Delivery ID]])</f>
        <v>1</v>
      </c>
      <c r="AH639" s="171">
        <f>(Delivery[[#This Row],[Nespresso total]]/SUMIF(Allocation!C:C,Delivery[Delivery ID],Allocation!H:H))/Delivery[[#This Row],[Exchange rate VS USD]]</f>
        <v>1231.7240646720904</v>
      </c>
      <c r="AI639" s="171">
        <f>(Delivery[[#This Row],[AAA Premium (total)]]/SUMIF(Allocation!C:C,Delivery[Delivery ID],Allocation!H:H))/Delivery[[#This Row],[Exchange rate VS USD]]</f>
        <v>60.518361581920907</v>
      </c>
      <c r="AJ639" s="171">
        <f>Delivery[[#This Row],[Valor Prêmio Nespresso AAA por Kg (em US$)]]*60</f>
        <v>3631.1016949152545</v>
      </c>
      <c r="AK639" s="171">
        <f>Delivery[[#This Row],[Valor Prêmio Nespresso AAA por saca (em US$)]]/1.3228/100</f>
        <v>27.450118649193033</v>
      </c>
      <c r="AL639" s="171">
        <f>(Delivery[[#This Row],[BEN premium (total)]]/SUMIF(Allocation!C:C,Delivery[Delivery ID],Allocation!H:H))/Delivery[[#This Row],[Exchange rate for premiums VS USD]]</f>
        <v>18.92223634661017</v>
      </c>
      <c r="AM639" s="171">
        <f>Delivery[[#This Row],[Valor Prêmio Nespresso BEN por Kg (em US$)]]*60</f>
        <v>1135.3341807966101</v>
      </c>
      <c r="AN639" s="171">
        <f>Delivery[[#This Row],[Valor Prêmio Nespresso BEN por saca (em US$)]]/1.3228/100</f>
        <v>8.5828105593937867</v>
      </c>
      <c r="AO639" s="171">
        <f>SUMIF(Allocation[Delivery ID],Delivery[[#This Row],[Delivery ID]],Allocation[Quantity allocated])*16*1.3228*Delivery[[#This Row],[Exchange rate VS USD]]/60</f>
        <v>68.99195799087525</v>
      </c>
      <c r="AP639" s="171">
        <f>Delivery[[#This Row],[AAA Premium (total)]]</f>
        <v>11836.483954310417</v>
      </c>
      <c r="AQ639" s="171">
        <f>Delivery[[#This Row],[Valor pago pelo Cluster]]-Delivery[[#This Row],[Valor efetivamente pago pela Nespresso]]</f>
        <v>11767.491996319543</v>
      </c>
    </row>
    <row r="640" spans="1:43" ht="15.75">
      <c r="A640" s="174" t="s">
        <v>69</v>
      </c>
      <c r="B640" s="232" t="s">
        <v>68</v>
      </c>
      <c r="C640" s="157">
        <v>1</v>
      </c>
      <c r="D640" s="157" t="s">
        <v>468</v>
      </c>
      <c r="E640" s="177" t="s">
        <v>468</v>
      </c>
      <c r="F640" s="233" t="s">
        <v>469</v>
      </c>
      <c r="G640" s="234">
        <v>42908</v>
      </c>
      <c r="H640" s="238" t="s">
        <v>796</v>
      </c>
      <c r="I640" s="157" t="s">
        <v>737</v>
      </c>
      <c r="J640" s="237">
        <v>30635</v>
      </c>
      <c r="K640" s="175" t="s">
        <v>61</v>
      </c>
      <c r="L640" s="175" t="s">
        <v>439</v>
      </c>
      <c r="M640" s="175" t="s">
        <v>1343</v>
      </c>
      <c r="N640" s="180"/>
      <c r="O640" s="177"/>
      <c r="P640" s="181">
        <v>0</v>
      </c>
      <c r="Q640" s="177">
        <v>42898</v>
      </c>
      <c r="R640" s="178">
        <v>429.62402764892613</v>
      </c>
      <c r="S640" s="179">
        <v>241142.89985497372</v>
      </c>
      <c r="T640" s="182" t="s">
        <v>45</v>
      </c>
      <c r="U640" s="183">
        <v>3.315000057220459</v>
      </c>
      <c r="V640" s="179">
        <v>11848.086454510689</v>
      </c>
      <c r="W640" s="179">
        <v>3704.5334058464728</v>
      </c>
      <c r="X640" s="196" t="s">
        <v>45</v>
      </c>
      <c r="Y640" s="183">
        <v>3.315000057220459</v>
      </c>
      <c r="Z640" s="220" t="s">
        <v>473</v>
      </c>
      <c r="AA640" s="172">
        <f>Delivery[[#This Row],[Quantity delivered]]*VLOOKUP(Delivery[[#This Row],[Unit]],References!$U:$X,4,FALSE)*VLOOKUP(CONCATENATE(Delivery[[#This Row],[Coffee specie]],Delivery[[#This Row],[Coffee state]]),References!$U:$X,4,FALSE)</f>
        <v>30635</v>
      </c>
      <c r="AB640" s="173">
        <f>SUMIF(Allocation!C:C,Delivery[[#This Row],[Delivery ID]],Allocation!D:D)/Delivery[[#This Row],[Quantity delivered]]</f>
        <v>5.8429900440672431E-3</v>
      </c>
      <c r="AC640" s="170">
        <f>Delivery[[#This Row],[Quantity delivered]]*Delivery[[#This Row],[Base price (Unidad)]]/60</f>
        <v>219358.86811708088</v>
      </c>
      <c r="AD640" s="171">
        <f>Delivery[[#This Row],[Nespresso total]]-Delivery[[#This Row],[Qt. Delivery * Base Price]]</f>
        <v>21784.03173789283</v>
      </c>
      <c r="AE640" s="171">
        <f>Delivery[[#This Row],[AAA Premium (total)]]/Delivery[[#This Row],[Quantity delivered]]*60/Delivery[[#This Row],[Exchange rate VS USD]]</f>
        <v>7</v>
      </c>
      <c r="AF640" s="171">
        <f>Delivery[[#This Row],[BEN premium (total)]]/Delivery[[#This Row],[Quantity delivered]]*60/Delivery[[#This Row],[Exchange rate for premiums VS USD]]</f>
        <v>2.1886854000000002</v>
      </c>
      <c r="AG640" s="171">
        <f>COUNTIF(Delivery[Delivery ID],Delivery[[#This Row],[Delivery ID]])</f>
        <v>1</v>
      </c>
      <c r="AH640" s="171">
        <f>(Delivery[[#This Row],[Nespresso total]]/SUMIF(Allocation!C:C,Delivery[Delivery ID],Allocation!H:H))/Delivery[[#This Row],[Exchange rate VS USD]]</f>
        <v>1232.9314400009634</v>
      </c>
      <c r="AI640" s="171">
        <f>(Delivery[[#This Row],[AAA Premium (total)]]/SUMIF(Allocation!C:C,Delivery[Delivery ID],Allocation!H:H))/Delivery[[#This Row],[Exchange rate VS USD]]</f>
        <v>60.577683615819211</v>
      </c>
      <c r="AJ640" s="171">
        <f>Delivery[[#This Row],[Valor Prêmio Nespresso AAA por Kg (em US$)]]*60</f>
        <v>3634.6610169491528</v>
      </c>
      <c r="AK640" s="171">
        <f>Delivery[[#This Row],[Valor Prêmio Nespresso AAA por saca (em US$)]]/1.3228/100</f>
        <v>27.477026133573883</v>
      </c>
      <c r="AL640" s="171">
        <f>(Delivery[[#This Row],[BEN premium (total)]]/SUMIF(Allocation!C:C,Delivery[Delivery ID],Allocation!H:H))/Delivery[[#This Row],[Exchange rate for premiums VS USD]]</f>
        <v>18.940784527966102</v>
      </c>
      <c r="AM640" s="171">
        <f>Delivery[[#This Row],[Valor Prêmio Nespresso BEN por Kg (em US$)]]*60</f>
        <v>1136.4470716779661</v>
      </c>
      <c r="AN640" s="171">
        <f>Delivery[[#This Row],[Valor Prêmio Nespresso BEN por saca (em US$)]]/1.3228/100</f>
        <v>8.5912237048530855</v>
      </c>
      <c r="AO640" s="171">
        <f>SUMIF(Allocation[Delivery ID],Delivery[[#This Row],[Delivery ID]],Allocation[Quantity allocated])*16*1.3228*Delivery[[#This Row],[Exchange rate VS USD]]/60</f>
        <v>68.99195799087525</v>
      </c>
      <c r="AP640" s="171">
        <f>Delivery[[#This Row],[AAA Premium (total)]]</f>
        <v>11848.086454510689</v>
      </c>
      <c r="AQ640" s="171">
        <f>Delivery[[#This Row],[Valor pago pelo Cluster]]-Delivery[[#This Row],[Valor efetivamente pago pela Nespresso]]</f>
        <v>11779.094496519814</v>
      </c>
    </row>
    <row r="641" spans="1:43" ht="15.75">
      <c r="A641" s="174" t="s">
        <v>69</v>
      </c>
      <c r="B641" s="232" t="s">
        <v>68</v>
      </c>
      <c r="C641" s="157">
        <v>1</v>
      </c>
      <c r="D641" s="157" t="s">
        <v>468</v>
      </c>
      <c r="E641" s="177" t="s">
        <v>468</v>
      </c>
      <c r="F641" s="233" t="s">
        <v>469</v>
      </c>
      <c r="G641" s="234">
        <v>42908</v>
      </c>
      <c r="H641" s="238" t="s">
        <v>797</v>
      </c>
      <c r="I641" s="157" t="s">
        <v>737</v>
      </c>
      <c r="J641" s="237">
        <v>30555</v>
      </c>
      <c r="K641" s="175" t="s">
        <v>61</v>
      </c>
      <c r="L641" s="175" t="s">
        <v>439</v>
      </c>
      <c r="M641" s="175" t="s">
        <v>1343</v>
      </c>
      <c r="N641" s="180"/>
      <c r="O641" s="177"/>
      <c r="P641" s="181">
        <v>0</v>
      </c>
      <c r="Q641" s="177">
        <v>42898</v>
      </c>
      <c r="R641" s="178">
        <v>429.62402764892613</v>
      </c>
      <c r="S641" s="179">
        <v>240513.18116757702</v>
      </c>
      <c r="T641" s="182" t="s">
        <v>45</v>
      </c>
      <c r="U641" s="183">
        <v>3.315000057220459</v>
      </c>
      <c r="V641" s="179">
        <v>11817.146453976631</v>
      </c>
      <c r="W641" s="179">
        <v>3694.8594162114896</v>
      </c>
      <c r="X641" s="196" t="s">
        <v>45</v>
      </c>
      <c r="Y641" s="183">
        <v>3.315000057220459</v>
      </c>
      <c r="Z641" s="220" t="s">
        <v>473</v>
      </c>
      <c r="AA641" s="172">
        <f>Delivery[[#This Row],[Quantity delivered]]*VLOOKUP(Delivery[[#This Row],[Unit]],References!$U:$X,4,FALSE)*VLOOKUP(CONCATENATE(Delivery[[#This Row],[Coffee specie]],Delivery[[#This Row],[Coffee state]]),References!$U:$X,4,FALSE)</f>
        <v>30555</v>
      </c>
      <c r="AB641" s="173">
        <f>SUMIF(Allocation!C:C,Delivery[[#This Row],[Delivery ID]],Allocation!D:D)/Delivery[[#This Row],[Quantity delivered]]</f>
        <v>5.8582883325151366E-3</v>
      </c>
      <c r="AC641" s="170">
        <f>Delivery[[#This Row],[Quantity delivered]]*Delivery[[#This Row],[Base price (Unidad)]]/60</f>
        <v>218786.03608021562</v>
      </c>
      <c r="AD641" s="171">
        <f>Delivery[[#This Row],[Nespresso total]]-Delivery[[#This Row],[Qt. Delivery * Base Price]]</f>
        <v>21727.145087361394</v>
      </c>
      <c r="AE641" s="171">
        <f>Delivery[[#This Row],[AAA Premium (total)]]/Delivery[[#This Row],[Quantity delivered]]*60/Delivery[[#This Row],[Exchange rate VS USD]]</f>
        <v>7</v>
      </c>
      <c r="AF641" s="171">
        <f>Delivery[[#This Row],[BEN premium (total)]]/Delivery[[#This Row],[Quantity delivered]]*60/Delivery[[#This Row],[Exchange rate for premiums VS USD]]</f>
        <v>2.1886854000000002</v>
      </c>
      <c r="AG641" s="171">
        <f>COUNTIF(Delivery[Delivery ID],Delivery[[#This Row],[Delivery ID]])</f>
        <v>1</v>
      </c>
      <c r="AH641" s="171">
        <f>(Delivery[[#This Row],[Nespresso total]]/SUMIF(Allocation!C:C,Delivery[Delivery ID],Allocation!H:H))/Delivery[[#This Row],[Exchange rate VS USD]]</f>
        <v>1229.7117724573018</v>
      </c>
      <c r="AI641" s="171">
        <f>(Delivery[[#This Row],[AAA Premium (total)]]/SUMIF(Allocation!C:C,Delivery[Delivery ID],Allocation!H:H))/Delivery[[#This Row],[Exchange rate VS USD]]</f>
        <v>60.41949152542373</v>
      </c>
      <c r="AJ641" s="171">
        <f>Delivery[[#This Row],[Valor Prêmio Nespresso AAA por Kg (em US$)]]*60</f>
        <v>3625.1694915254238</v>
      </c>
      <c r="AK641" s="171">
        <f>Delivery[[#This Row],[Valor Prêmio Nespresso AAA por saca (em US$)]]/1.3228/100</f>
        <v>27.405272841891623</v>
      </c>
      <c r="AL641" s="171">
        <f>(Delivery[[#This Row],[BEN premium (total)]]/SUMIF(Allocation!C:C,Delivery[Delivery ID],Allocation!H:H))/Delivery[[#This Row],[Exchange rate for premiums VS USD]]</f>
        <v>18.891322711016951</v>
      </c>
      <c r="AM641" s="171">
        <f>Delivery[[#This Row],[Valor Prêmio Nespresso BEN por Kg (em US$)]]*60</f>
        <v>1133.4793626610171</v>
      </c>
      <c r="AN641" s="171">
        <f>Delivery[[#This Row],[Valor Prêmio Nespresso BEN por saca (em US$)]]/1.3228/100</f>
        <v>8.5687886502949588</v>
      </c>
      <c r="AO641" s="171">
        <f>SUMIF(Allocation[Delivery ID],Delivery[[#This Row],[Delivery ID]],Allocation[Quantity allocated])*16*1.3228*Delivery[[#This Row],[Exchange rate VS USD]]/60</f>
        <v>68.99195799087525</v>
      </c>
      <c r="AP641" s="171">
        <f>Delivery[[#This Row],[AAA Premium (total)]]</f>
        <v>11817.146453976631</v>
      </c>
      <c r="AQ641" s="171">
        <f>Delivery[[#This Row],[Valor pago pelo Cluster]]-Delivery[[#This Row],[Valor efetivamente pago pela Nespresso]]</f>
        <v>11748.154495985757</v>
      </c>
    </row>
    <row r="642" spans="1:43" ht="15.75">
      <c r="A642" s="174" t="s">
        <v>69</v>
      </c>
      <c r="B642" s="232" t="s">
        <v>68</v>
      </c>
      <c r="C642" s="157">
        <v>1</v>
      </c>
      <c r="D642" s="157" t="s">
        <v>468</v>
      </c>
      <c r="E642" s="177" t="s">
        <v>468</v>
      </c>
      <c r="F642" s="233" t="s">
        <v>469</v>
      </c>
      <c r="G642" s="234">
        <v>42909</v>
      </c>
      <c r="H642" s="238" t="s">
        <v>798</v>
      </c>
      <c r="I642" s="157" t="s">
        <v>737</v>
      </c>
      <c r="J642" s="237">
        <v>28137</v>
      </c>
      <c r="K642" s="175" t="s">
        <v>61</v>
      </c>
      <c r="L642" s="175" t="s">
        <v>439</v>
      </c>
      <c r="M642" s="175" t="s">
        <v>1343</v>
      </c>
      <c r="N642" s="180"/>
      <c r="O642" s="177"/>
      <c r="P642" s="181">
        <v>0</v>
      </c>
      <c r="Q642" s="177">
        <v>42898</v>
      </c>
      <c r="R642" s="178">
        <v>429.62402764892613</v>
      </c>
      <c r="S642" s="179">
        <v>221479.93384101178</v>
      </c>
      <c r="T642" s="182" t="s">
        <v>45</v>
      </c>
      <c r="U642" s="183">
        <v>3.315000057220459</v>
      </c>
      <c r="V642" s="179">
        <v>10881.984937834741</v>
      </c>
      <c r="W642" s="179">
        <v>3402.4630794941145</v>
      </c>
      <c r="X642" s="196" t="s">
        <v>45</v>
      </c>
      <c r="Y642" s="183">
        <v>3.315000057220459</v>
      </c>
      <c r="Z642" s="220" t="s">
        <v>473</v>
      </c>
      <c r="AA642" s="172">
        <f>Delivery[[#This Row],[Quantity delivered]]*VLOOKUP(Delivery[[#This Row],[Unit]],References!$U:$X,4,FALSE)*VLOOKUP(CONCATENATE(Delivery[[#This Row],[Coffee specie]],Delivery[[#This Row],[Coffee state]]),References!$U:$X,4,FALSE)</f>
        <v>28137</v>
      </c>
      <c r="AB642" s="173">
        <f>SUMIF(Allocation!C:C,Delivery[[#This Row],[Delivery ID]],Allocation!D:D)/Delivery[[#This Row],[Quantity delivered]]</f>
        <v>6.3617301062657708E-3</v>
      </c>
      <c r="AC642" s="170">
        <f>Delivery[[#This Row],[Quantity delivered]]*Delivery[[#This Row],[Base price (Unidad)]]/60</f>
        <v>201472.1877659639</v>
      </c>
      <c r="AD642" s="171">
        <f>Delivery[[#This Row],[Nespresso total]]-Delivery[[#This Row],[Qt. Delivery * Base Price]]</f>
        <v>20007.746075047879</v>
      </c>
      <c r="AE642" s="171">
        <f>Delivery[[#This Row],[AAA Premium (total)]]/Delivery[[#This Row],[Quantity delivered]]*60/Delivery[[#This Row],[Exchange rate VS USD]]</f>
        <v>7</v>
      </c>
      <c r="AF642" s="171">
        <f>Delivery[[#This Row],[BEN premium (total)]]/Delivery[[#This Row],[Quantity delivered]]*60/Delivery[[#This Row],[Exchange rate for premiums VS USD]]</f>
        <v>2.1886854000000002</v>
      </c>
      <c r="AG642" s="171">
        <f>COUNTIF(Delivery[Delivery ID],Delivery[[#This Row],[Delivery ID]])</f>
        <v>1</v>
      </c>
      <c r="AH642" s="171">
        <f>(Delivery[[#This Row],[Nespresso total]]/SUMIF(Allocation!C:C,Delivery[Delivery ID],Allocation!H:H))/Delivery[[#This Row],[Exchange rate VS USD]]</f>
        <v>1132.397320950126</v>
      </c>
      <c r="AI642" s="171">
        <f>(Delivery[[#This Row],[AAA Premium (total)]]/SUMIF(Allocation!C:C,Delivery[Delivery ID],Allocation!H:H))/Delivery[[#This Row],[Exchange rate VS USD]]</f>
        <v>55.638135593220348</v>
      </c>
      <c r="AJ642" s="171">
        <f>Delivery[[#This Row],[Valor Prêmio Nespresso AAA por Kg (em US$)]]*60</f>
        <v>3338.2881355932209</v>
      </c>
      <c r="AK642" s="171">
        <f>Delivery[[#This Row],[Valor Prêmio Nespresso AAA por saca (em US$)]]/1.3228/100</f>
        <v>25.236529600795443</v>
      </c>
      <c r="AL642" s="171">
        <f>(Delivery[[#This Row],[BEN premium (total)]]/SUMIF(Allocation!C:C,Delivery[Delivery ID],Allocation!H:H))/Delivery[[#This Row],[Exchange rate for premiums VS USD]]</f>
        <v>17.396339293728815</v>
      </c>
      <c r="AM642" s="171">
        <f>Delivery[[#This Row],[Valor Prêmio Nespresso BEN por Kg (em US$)]]*60</f>
        <v>1043.7803576237288</v>
      </c>
      <c r="AN642" s="171">
        <f>Delivery[[#This Row],[Valor Prêmio Nespresso BEN por saca (em US$)]]/1.3228/100</f>
        <v>7.8906891262755439</v>
      </c>
      <c r="AO642" s="171">
        <f>SUMIF(Allocation[Delivery ID],Delivery[[#This Row],[Delivery ID]],Allocation[Quantity allocated])*16*1.3228*Delivery[[#This Row],[Exchange rate VS USD]]/60</f>
        <v>68.99195799087525</v>
      </c>
      <c r="AP642" s="171">
        <f>Delivery[[#This Row],[AAA Premium (total)]]</f>
        <v>10881.984937834741</v>
      </c>
      <c r="AQ642" s="171">
        <f>Delivery[[#This Row],[Valor pago pelo Cluster]]-Delivery[[#This Row],[Valor efetivamente pago pela Nespresso]]</f>
        <v>10812.992979843866</v>
      </c>
    </row>
    <row r="643" spans="1:43" ht="15.75">
      <c r="A643" s="174" t="s">
        <v>69</v>
      </c>
      <c r="B643" s="232" t="s">
        <v>68</v>
      </c>
      <c r="C643" s="157">
        <v>1</v>
      </c>
      <c r="D643" s="157" t="s">
        <v>468</v>
      </c>
      <c r="E643" s="177" t="s">
        <v>468</v>
      </c>
      <c r="F643" s="233" t="s">
        <v>541</v>
      </c>
      <c r="G643" s="234">
        <v>42926</v>
      </c>
      <c r="H643" s="157" t="s">
        <v>799</v>
      </c>
      <c r="I643" s="157" t="s">
        <v>706</v>
      </c>
      <c r="J643" s="237">
        <v>11271</v>
      </c>
      <c r="K643" s="175" t="s">
        <v>61</v>
      </c>
      <c r="L643" s="175" t="s">
        <v>439</v>
      </c>
      <c r="M643" s="175" t="s">
        <v>1343</v>
      </c>
      <c r="N643" s="180"/>
      <c r="O643" s="177"/>
      <c r="P643" s="181">
        <v>0</v>
      </c>
      <c r="Q643" s="177">
        <v>42919</v>
      </c>
      <c r="R643" s="178">
        <v>424.34662000000003</v>
      </c>
      <c r="S643" s="179">
        <v>87827.43982931033</v>
      </c>
      <c r="T643" s="182" t="s">
        <v>45</v>
      </c>
      <c r="U643" s="183">
        <v>3.3178000000000001</v>
      </c>
      <c r="V643" s="179">
        <v>6232.4872999999989</v>
      </c>
      <c r="W643" s="179">
        <v>1860.1300853448304</v>
      </c>
      <c r="X643" s="196" t="s">
        <v>45</v>
      </c>
      <c r="Y643" s="183">
        <v>3.3178000000000001</v>
      </c>
      <c r="Z643" s="220" t="s">
        <v>473</v>
      </c>
      <c r="AA643" s="172">
        <f>Delivery[[#This Row],[Quantity delivered]]*VLOOKUP(Delivery[[#This Row],[Unit]],References!$U:$X,4,FALSE)*VLOOKUP(CONCATENATE(Delivery[[#This Row],[Coffee specie]],Delivery[[#This Row],[Coffee state]]),References!$U:$X,4,FALSE)</f>
        <v>11271</v>
      </c>
      <c r="AB643" s="173">
        <f>SUMIF(Allocation!C:C,Delivery[[#This Row],[Delivery ID]],Allocation!D:D)/Delivery[[#This Row],[Quantity delivered]]</f>
        <v>4.2942063703309379E-2</v>
      </c>
      <c r="AC643" s="170">
        <f>Delivery[[#This Row],[Quantity delivered]]*Delivery[[#This Row],[Base price (Unidad)]]/60</f>
        <v>79713.512566999998</v>
      </c>
      <c r="AD643" s="171">
        <f>Delivery[[#This Row],[Nespresso total]]-Delivery[[#This Row],[Qt. Delivery * Base Price]]</f>
        <v>8113.9272623103316</v>
      </c>
      <c r="AE643" s="171">
        <f>Delivery[[#This Row],[AAA Premium (total)]]/Delivery[[#This Row],[Quantity delivered]]*60/Delivery[[#This Row],[Exchange rate VS USD]]</f>
        <v>9.9999999999999982</v>
      </c>
      <c r="AF643" s="171">
        <f>Delivery[[#This Row],[BEN premium (total)]]/Delivery[[#This Row],[Quantity delivered]]*60/Delivery[[#This Row],[Exchange rate for premiums VS USD]]</f>
        <v>2.9845710000000008</v>
      </c>
      <c r="AG643" s="171">
        <f>COUNTIF(Delivery[Delivery ID],Delivery[[#This Row],[Delivery ID]])</f>
        <v>1</v>
      </c>
      <c r="AH643" s="171">
        <f>(Delivery[[#This Row],[Nespresso total]]/SUMIF(Allocation!C:C,Delivery[Delivery ID],Allocation!H:H))/Delivery[[#This Row],[Exchange rate VS USD]]</f>
        <v>121.42930989047998</v>
      </c>
      <c r="AI643" s="171">
        <f>(Delivery[[#This Row],[AAA Premium (total)]]/SUMIF(Allocation!C:C,Delivery[Delivery ID],Allocation!H:H))/Delivery[[#This Row],[Exchange rate VS USD]]</f>
        <v>8.616972477064218</v>
      </c>
      <c r="AJ643" s="171">
        <f>Delivery[[#This Row],[Valor Prêmio Nespresso AAA por Kg (em US$)]]*60</f>
        <v>517.01834862385306</v>
      </c>
      <c r="AK643" s="171">
        <f>Delivery[[#This Row],[Valor Prêmio Nespresso AAA por saca (em US$)]]/1.3228/100</f>
        <v>3.9085148822486619</v>
      </c>
      <c r="AL643" s="171">
        <f>(Delivery[[#This Row],[BEN premium (total)]]/SUMIF(Allocation!C:C,Delivery[Delivery ID],Allocation!H:H))/Delivery[[#This Row],[Exchange rate for premiums VS USD]]</f>
        <v>2.5717966162844039</v>
      </c>
      <c r="AM643" s="171">
        <f>Delivery[[#This Row],[Valor Prêmio Nespresso BEN por Kg (em US$)]]*60</f>
        <v>154.30779697706424</v>
      </c>
      <c r="AN643" s="171">
        <f>Delivery[[#This Row],[Valor Prêmio Nespresso BEN por saca (em US$)]]/1.3228/100</f>
        <v>1.1665240170627778</v>
      </c>
      <c r="AO643" s="171">
        <f>SUMIF(Allocation[Delivery ID],Delivery[[#This Row],[Delivery ID]],Allocation[Quantity allocated])*16*1.3228*Delivery[[#This Row],[Exchange rate VS USD]]/60</f>
        <v>255.13475016533337</v>
      </c>
      <c r="AP643" s="171">
        <f>Delivery[[#This Row],[AAA Premium (total)]]</f>
        <v>6232.4872999999989</v>
      </c>
      <c r="AQ643" s="171">
        <f>Delivery[[#This Row],[Valor pago pelo Cluster]]-Delivery[[#This Row],[Valor efetivamente pago pela Nespresso]]</f>
        <v>5977.3525498346653</v>
      </c>
    </row>
    <row r="644" spans="1:43" ht="15.75">
      <c r="A644" s="174" t="s">
        <v>69</v>
      </c>
      <c r="B644" s="232" t="s">
        <v>68</v>
      </c>
      <c r="C644" s="157">
        <v>1</v>
      </c>
      <c r="D644" s="157" t="s">
        <v>468</v>
      </c>
      <c r="E644" s="177" t="s">
        <v>468</v>
      </c>
      <c r="F644" s="233" t="s">
        <v>541</v>
      </c>
      <c r="G644" s="234">
        <v>42926</v>
      </c>
      <c r="H644" s="157" t="s">
        <v>800</v>
      </c>
      <c r="I644" s="157" t="s">
        <v>706</v>
      </c>
      <c r="J644" s="237">
        <v>18389.5</v>
      </c>
      <c r="K644" s="175" t="s">
        <v>61</v>
      </c>
      <c r="L644" s="175" t="s">
        <v>439</v>
      </c>
      <c r="M644" s="175" t="s">
        <v>1343</v>
      </c>
      <c r="N644" s="180"/>
      <c r="O644" s="177"/>
      <c r="P644" s="181">
        <v>0</v>
      </c>
      <c r="Q644" s="177">
        <v>42919</v>
      </c>
      <c r="R644" s="178">
        <v>424.34662000000003</v>
      </c>
      <c r="S644" s="179">
        <v>143297.41051291832</v>
      </c>
      <c r="T644" s="182" t="s">
        <v>45</v>
      </c>
      <c r="U644" s="183">
        <v>3.3178000000000001</v>
      </c>
      <c r="V644" s="179">
        <v>10168.780516666666</v>
      </c>
      <c r="W644" s="179">
        <v>3034.9447435408356</v>
      </c>
      <c r="X644" s="196" t="s">
        <v>45</v>
      </c>
      <c r="Y644" s="183">
        <v>3.3178000000000001</v>
      </c>
      <c r="Z644" s="220" t="s">
        <v>473</v>
      </c>
      <c r="AA644" s="172">
        <f>Delivery[[#This Row],[Quantity delivered]]*VLOOKUP(Delivery[[#This Row],[Unit]],References!$U:$X,4,FALSE)*VLOOKUP(CONCATENATE(Delivery[[#This Row],[Coffee specie]],Delivery[[#This Row],[Coffee state]]),References!$U:$X,4,FALSE)</f>
        <v>18389.5</v>
      </c>
      <c r="AB644" s="173">
        <f>SUMIF(Allocation!C:C,Delivery[[#This Row],[Delivery ID]],Allocation!D:D)/Delivery[[#This Row],[Quantity delivered]]</f>
        <v>4.5460724870170478E-2</v>
      </c>
      <c r="AC644" s="170">
        <f>Delivery[[#This Row],[Quantity delivered]]*Delivery[[#This Row],[Base price (Unidad)]]/60</f>
        <v>130058.70280816668</v>
      </c>
      <c r="AD644" s="171">
        <f>Delivery[[#This Row],[Nespresso total]]-Delivery[[#This Row],[Qt. Delivery * Base Price]]</f>
        <v>13238.707704751636</v>
      </c>
      <c r="AE644" s="171">
        <f>Delivery[[#This Row],[AAA Premium (total)]]/Delivery[[#This Row],[Quantity delivered]]*60/Delivery[[#This Row],[Exchange rate VS USD]]</f>
        <v>9.9999999999999982</v>
      </c>
      <c r="AF644" s="171">
        <f>Delivery[[#This Row],[BEN premium (total)]]/Delivery[[#This Row],[Quantity delivered]]*60/Delivery[[#This Row],[Exchange rate for premiums VS USD]]</f>
        <v>2.9845710000000008</v>
      </c>
      <c r="AG644" s="171">
        <f>COUNTIF(Delivery[Delivery ID],Delivery[[#This Row],[Delivery ID]])</f>
        <v>1</v>
      </c>
      <c r="AH644" s="171">
        <f>(Delivery[[#This Row],[Nespresso total]]/SUMIF(Allocation!C:C,Delivery[Delivery ID],Allocation!H:H))/Delivery[[#This Row],[Exchange rate VS USD]]</f>
        <v>114.86832670530708</v>
      </c>
      <c r="AI644" s="171">
        <f>(Delivery[[#This Row],[AAA Premium (total)]]/SUMIF(Allocation!C:C,Delivery[Delivery ID],Allocation!H:H))/Delivery[[#This Row],[Exchange rate VS USD]]</f>
        <v>8.1513741134751765</v>
      </c>
      <c r="AJ644" s="171">
        <f>Delivery[[#This Row],[Valor Prêmio Nespresso AAA por Kg (em US$)]]*60</f>
        <v>489.08244680851061</v>
      </c>
      <c r="AK644" s="171">
        <f>Delivery[[#This Row],[Valor Prêmio Nespresso AAA por saca (em US$)]]/1.3228/100</f>
        <v>3.6973272362300467</v>
      </c>
      <c r="AL644" s="171">
        <f>(Delivery[[#This Row],[BEN premium (total)]]/SUMIF(Allocation!C:C,Delivery[Delivery ID],Allocation!H:H))/Delivery[[#This Row],[Exchange rate for premiums VS USD]]</f>
        <v>2.4328354789228723</v>
      </c>
      <c r="AM644" s="171">
        <f>Delivery[[#This Row],[Valor Prêmio Nespresso BEN por Kg (em US$)]]*60</f>
        <v>145.97012873537233</v>
      </c>
      <c r="AN644" s="171">
        <f>Delivery[[#This Row],[Valor Prêmio Nespresso BEN por saca (em US$)]]/1.3228/100</f>
        <v>1.1034935646762347</v>
      </c>
      <c r="AO644" s="171">
        <f>SUMIF(Allocation[Delivery ID],Delivery[[#This Row],[Delivery ID]],Allocation[Quantity allocated])*16*1.3228*Delivery[[#This Row],[Exchange rate VS USD]]/60</f>
        <v>440.04892689066668</v>
      </c>
      <c r="AP644" s="171">
        <f>Delivery[[#This Row],[AAA Premium (total)]]</f>
        <v>10168.780516666666</v>
      </c>
      <c r="AQ644" s="171">
        <f>Delivery[[#This Row],[Valor pago pelo Cluster]]-Delivery[[#This Row],[Valor efetivamente pago pela Nespresso]]</f>
        <v>9728.731589776</v>
      </c>
    </row>
    <row r="645" spans="1:43" ht="15.75">
      <c r="A645" s="174" t="s">
        <v>69</v>
      </c>
      <c r="B645" s="232" t="s">
        <v>68</v>
      </c>
      <c r="C645" s="157">
        <v>1</v>
      </c>
      <c r="D645" s="157" t="s">
        <v>468</v>
      </c>
      <c r="E645" s="177" t="s">
        <v>468</v>
      </c>
      <c r="F645" s="233" t="s">
        <v>469</v>
      </c>
      <c r="G645" s="234">
        <v>42940</v>
      </c>
      <c r="H645" s="157" t="s">
        <v>801</v>
      </c>
      <c r="I645" s="157" t="s">
        <v>802</v>
      </c>
      <c r="J645" s="237">
        <v>30170</v>
      </c>
      <c r="K645" s="175" t="s">
        <v>61</v>
      </c>
      <c r="L645" s="175" t="s">
        <v>439</v>
      </c>
      <c r="M645" s="175" t="s">
        <v>1343</v>
      </c>
      <c r="N645" s="180"/>
      <c r="O645" s="177"/>
      <c r="P645" s="181">
        <v>0</v>
      </c>
      <c r="Q645" s="177">
        <v>42937</v>
      </c>
      <c r="R645" s="178">
        <v>428.20366205034225</v>
      </c>
      <c r="S645" s="179">
        <v>234241.54722405085</v>
      </c>
      <c r="T645" s="182" t="s">
        <v>45</v>
      </c>
      <c r="U645" s="183">
        <v>3.1289999485015869</v>
      </c>
      <c r="V645" s="179">
        <v>15733.654741048813</v>
      </c>
      <c r="W645" s="179">
        <v>3234.8988879745571</v>
      </c>
      <c r="X645" s="196" t="s">
        <v>45</v>
      </c>
      <c r="Y645" s="183">
        <v>3.1289999485015869</v>
      </c>
      <c r="Z645" s="220" t="s">
        <v>473</v>
      </c>
      <c r="AA645" s="172">
        <f>Delivery[[#This Row],[Quantity delivered]]*VLOOKUP(Delivery[[#This Row],[Unit]],References!$U:$X,4,FALSE)*VLOOKUP(CONCATENATE(Delivery[[#This Row],[Coffee specie]],Delivery[[#This Row],[Coffee state]]),References!$U:$X,4,FALSE)</f>
        <v>30170</v>
      </c>
      <c r="AB645" s="173">
        <f>SUMIF(Allocation!C:C,Delivery[[#This Row],[Delivery ID]],Allocation!D:D)/Delivery[[#This Row],[Quantity delivered]]</f>
        <v>6.2976466688763671E-3</v>
      </c>
      <c r="AC645" s="170">
        <f>Delivery[[#This Row],[Quantity delivered]]*Delivery[[#This Row],[Base price (Unidad)]]/60</f>
        <v>215315.07473431376</v>
      </c>
      <c r="AD645" s="171">
        <f>Delivery[[#This Row],[Nespresso total]]-Delivery[[#This Row],[Qt. Delivery * Base Price]]</f>
        <v>18926.472489737091</v>
      </c>
      <c r="AE645" s="171">
        <f>Delivery[[#This Row],[AAA Premium (total)]]/Delivery[[#This Row],[Quantity delivered]]*60/Delivery[[#This Row],[Exchange rate VS USD]]</f>
        <v>10</v>
      </c>
      <c r="AF645" s="171">
        <f>Delivery[[#This Row],[BEN premium (total)]]/Delivery[[#This Row],[Quantity delivered]]*60/Delivery[[#This Row],[Exchange rate for premiums VS USD]]</f>
        <v>2.0560377999999999</v>
      </c>
      <c r="AG645" s="171">
        <f>COUNTIF(Delivery[Delivery ID],Delivery[[#This Row],[Delivery ID]])</f>
        <v>1</v>
      </c>
      <c r="AH645" s="171">
        <f>(Delivery[[#This Row],[Nespresso total]]/SUMIF(Allocation!C:C,Delivery[Delivery ID],Allocation!H:H))/Delivery[[#This Row],[Exchange rate VS USD]]</f>
        <v>1268.8385365947747</v>
      </c>
      <c r="AI645" s="171">
        <f>(Delivery[[#This Row],[AAA Premium (total)]]/SUMIF(Allocation!C:C,Delivery[Delivery ID],Allocation!H:H))/Delivery[[#This Row],[Exchange rate VS USD]]</f>
        <v>85.225988700564969</v>
      </c>
      <c r="AJ645" s="171">
        <f>Delivery[[#This Row],[Valor Prêmio Nespresso AAA por Kg (em US$)]]*60</f>
        <v>5113.5593220338978</v>
      </c>
      <c r="AK645" s="171">
        <f>Delivery[[#This Row],[Valor Prêmio Nespresso AAA por saca (em US$)]]/1.3228/100</f>
        <v>38.657085893815378</v>
      </c>
      <c r="AL645" s="171">
        <f>(Delivery[[#This Row],[BEN premium (total)]]/SUMIF(Allocation!C:C,Delivery[Delivery ID],Allocation!H:H))/Delivery[[#This Row],[Exchange rate for premiums VS USD]]</f>
        <v>17.522785431073444</v>
      </c>
      <c r="AM645" s="171">
        <f>Delivery[[#This Row],[Valor Prêmio Nespresso BEN por Kg (em US$)]]*60</f>
        <v>1051.3671258644067</v>
      </c>
      <c r="AN645" s="171">
        <f>Delivery[[#This Row],[Valor Prêmio Nespresso BEN por saca (em US$)]]/1.3228/100</f>
        <v>7.9480429835531199</v>
      </c>
      <c r="AO645" s="171">
        <f>SUMIF(Allocation[Delivery ID],Delivery[[#This Row],[Delivery ID]],Allocation[Quantity allocated])*16*1.3228*Delivery[[#This Row],[Exchange rate VS USD]]/60</f>
        <v>65.120913808212279</v>
      </c>
      <c r="AP645" s="171">
        <f>Delivery[[#This Row],[AAA Premium (total)]]</f>
        <v>15733.654741048813</v>
      </c>
      <c r="AQ645" s="171">
        <f>Delivery[[#This Row],[Valor pago pelo Cluster]]-Delivery[[#This Row],[Valor efetivamente pago pela Nespresso]]</f>
        <v>15668.533827240601</v>
      </c>
    </row>
    <row r="646" spans="1:43" ht="15.75">
      <c r="A646" s="174" t="s">
        <v>69</v>
      </c>
      <c r="B646" s="232" t="s">
        <v>68</v>
      </c>
      <c r="C646" s="157">
        <v>1</v>
      </c>
      <c r="D646" s="157" t="s">
        <v>468</v>
      </c>
      <c r="E646" s="177" t="s">
        <v>468</v>
      </c>
      <c r="F646" s="233" t="s">
        <v>469</v>
      </c>
      <c r="G646" s="234">
        <v>42940</v>
      </c>
      <c r="H646" s="157" t="s">
        <v>803</v>
      </c>
      <c r="I646" s="157" t="s">
        <v>802</v>
      </c>
      <c r="J646" s="237">
        <v>8845</v>
      </c>
      <c r="K646" s="175" t="s">
        <v>61</v>
      </c>
      <c r="L646" s="175" t="s">
        <v>439</v>
      </c>
      <c r="M646" s="175" t="s">
        <v>1343</v>
      </c>
      <c r="N646" s="180"/>
      <c r="O646" s="177"/>
      <c r="P646" s="181">
        <v>0</v>
      </c>
      <c r="Q646" s="177">
        <v>42937</v>
      </c>
      <c r="R646" s="178">
        <v>428.20366205034225</v>
      </c>
      <c r="S646" s="179">
        <v>68673.068783451425</v>
      </c>
      <c r="T646" s="182" t="s">
        <v>45</v>
      </c>
      <c r="U646" s="183">
        <v>3.1289999485015869</v>
      </c>
      <c r="V646" s="179">
        <v>4612.667424082756</v>
      </c>
      <c r="W646" s="179">
        <v>948.38185827427753</v>
      </c>
      <c r="X646" s="196" t="s">
        <v>45</v>
      </c>
      <c r="Y646" s="183">
        <v>3.1289999485015869</v>
      </c>
      <c r="Z646" s="220" t="s">
        <v>473</v>
      </c>
      <c r="AA646" s="172">
        <f>Delivery[[#This Row],[Quantity delivered]]*VLOOKUP(Delivery[[#This Row],[Unit]],References!$U:$X,4,FALSE)*VLOOKUP(CONCATENATE(Delivery[[#This Row],[Coffee specie]],Delivery[[#This Row],[Coffee state]]),References!$U:$X,4,FALSE)</f>
        <v>8845</v>
      </c>
      <c r="AB646" s="173">
        <f>SUMIF(Allocation!C:C,Delivery[[#This Row],[Delivery ID]],Allocation!D:D)/Delivery[[#This Row],[Quantity delivered]]</f>
        <v>2.1481062747314868E-2</v>
      </c>
      <c r="AC646" s="170">
        <f>Delivery[[#This Row],[Quantity delivered]]*Delivery[[#This Row],[Base price (Unidad)]]/60</f>
        <v>63124.356513921288</v>
      </c>
      <c r="AD646" s="171">
        <f>Delivery[[#This Row],[Nespresso total]]-Delivery[[#This Row],[Qt. Delivery * Base Price]]</f>
        <v>5548.7122695301368</v>
      </c>
      <c r="AE646" s="171">
        <f>Delivery[[#This Row],[AAA Premium (total)]]/Delivery[[#This Row],[Quantity delivered]]*60/Delivery[[#This Row],[Exchange rate VS USD]]</f>
        <v>10</v>
      </c>
      <c r="AF646" s="171">
        <f>Delivery[[#This Row],[BEN premium (total)]]/Delivery[[#This Row],[Quantity delivered]]*60/Delivery[[#This Row],[Exchange rate for premiums VS USD]]</f>
        <v>2.0560377999999999</v>
      </c>
      <c r="AG646" s="171">
        <f>COUNTIF(Delivery[Delivery ID],Delivery[[#This Row],[Delivery ID]])</f>
        <v>1</v>
      </c>
      <c r="AH646" s="171">
        <f>(Delivery[[#This Row],[Nespresso total]]/SUMIF(Allocation!C:C,Delivery[Delivery ID],Allocation!H:H))/Delivery[[#This Row],[Exchange rate VS USD]]</f>
        <v>371.98796341335031</v>
      </c>
      <c r="AI646" s="171">
        <f>(Delivery[[#This Row],[AAA Premium (total)]]/SUMIF(Allocation!C:C,Delivery[Delivery ID],Allocation!H:H))/Delivery[[#This Row],[Exchange rate VS USD]]</f>
        <v>24.985875706214692</v>
      </c>
      <c r="AJ646" s="171">
        <f>Delivery[[#This Row],[Valor Prêmio Nespresso AAA por Kg (em US$)]]*60</f>
        <v>1499.1525423728815</v>
      </c>
      <c r="AK646" s="171">
        <f>Delivery[[#This Row],[Valor Prêmio Nespresso AAA por saca (em US$)]]/1.3228/100</f>
        <v>11.333176159456317</v>
      </c>
      <c r="AL646" s="171">
        <f>(Delivery[[#This Row],[BEN premium (total)]]/SUMIF(Allocation!C:C,Delivery[Delivery ID],Allocation!H:H))/Delivery[[#This Row],[Exchange rate for premiums VS USD]]</f>
        <v>5.1371904918079094</v>
      </c>
      <c r="AM646" s="171">
        <f>Delivery[[#This Row],[Valor Prêmio Nespresso BEN por Kg (em US$)]]*60</f>
        <v>308.23142950847455</v>
      </c>
      <c r="AN646" s="171">
        <f>Delivery[[#This Row],[Valor Prêmio Nespresso BEN por saca (em US$)]]/1.3228/100</f>
        <v>2.3301438577901008</v>
      </c>
      <c r="AO646" s="171">
        <f>SUMIF(Allocation[Delivery ID],Delivery[[#This Row],[Delivery ID]],Allocation[Quantity allocated])*16*1.3228*Delivery[[#This Row],[Exchange rate VS USD]]/60</f>
        <v>65.120913808212279</v>
      </c>
      <c r="AP646" s="171">
        <f>Delivery[[#This Row],[AAA Premium (total)]]</f>
        <v>4612.667424082756</v>
      </c>
      <c r="AQ646" s="171">
        <f>Delivery[[#This Row],[Valor pago pelo Cluster]]-Delivery[[#This Row],[Valor efetivamente pago pela Nespresso]]</f>
        <v>4547.5465102745438</v>
      </c>
    </row>
    <row r="647" spans="1:43" ht="15.75">
      <c r="A647" s="174" t="s">
        <v>69</v>
      </c>
      <c r="B647" s="232" t="s">
        <v>68</v>
      </c>
      <c r="C647" s="157">
        <v>1</v>
      </c>
      <c r="D647" s="157" t="s">
        <v>468</v>
      </c>
      <c r="E647" s="177" t="s">
        <v>468</v>
      </c>
      <c r="F647" s="233" t="s">
        <v>469</v>
      </c>
      <c r="G647" s="234">
        <v>42940</v>
      </c>
      <c r="H647" s="157" t="s">
        <v>804</v>
      </c>
      <c r="I647" s="157" t="s">
        <v>802</v>
      </c>
      <c r="J647" s="237">
        <v>30110</v>
      </c>
      <c r="K647" s="175" t="s">
        <v>61</v>
      </c>
      <c r="L647" s="175" t="s">
        <v>439</v>
      </c>
      <c r="M647" s="175" t="s">
        <v>1343</v>
      </c>
      <c r="N647" s="180"/>
      <c r="O647" s="177"/>
      <c r="P647" s="181">
        <v>0</v>
      </c>
      <c r="Q647" s="177">
        <v>42937</v>
      </c>
      <c r="R647" s="178">
        <v>428.20366205034225</v>
      </c>
      <c r="S647" s="179">
        <v>233775.7039083915</v>
      </c>
      <c r="T647" s="182" t="s">
        <v>45</v>
      </c>
      <c r="U647" s="183">
        <v>3.1289999485015869</v>
      </c>
      <c r="V647" s="179">
        <v>15702.364741563797</v>
      </c>
      <c r="W647" s="179">
        <v>3228.4655458042398</v>
      </c>
      <c r="X647" s="196" t="s">
        <v>45</v>
      </c>
      <c r="Y647" s="183">
        <v>3.1289999485015869</v>
      </c>
      <c r="Z647" s="220" t="s">
        <v>473</v>
      </c>
      <c r="AA647" s="172">
        <f>Delivery[[#This Row],[Quantity delivered]]*VLOOKUP(Delivery[[#This Row],[Unit]],References!$U:$X,4,FALSE)*VLOOKUP(CONCATENATE(Delivery[[#This Row],[Coffee specie]],Delivery[[#This Row],[Coffee state]]),References!$U:$X,4,FALSE)</f>
        <v>30110</v>
      </c>
      <c r="AB647" s="173">
        <f>SUMIF(Allocation!C:C,Delivery[[#This Row],[Delivery ID]],Allocation!D:D)/Delivery[[#This Row],[Quantity delivered]]</f>
        <v>6.3101959481899703E-3</v>
      </c>
      <c r="AC647" s="170">
        <f>Delivery[[#This Row],[Quantity delivered]]*Delivery[[#This Row],[Base price (Unidad)]]/60</f>
        <v>214886.87107226343</v>
      </c>
      <c r="AD647" s="171">
        <f>Delivery[[#This Row],[Nespresso total]]-Delivery[[#This Row],[Qt. Delivery * Base Price]]</f>
        <v>18888.832836128073</v>
      </c>
      <c r="AE647" s="171">
        <f>Delivery[[#This Row],[AAA Premium (total)]]/Delivery[[#This Row],[Quantity delivered]]*60/Delivery[[#This Row],[Exchange rate VS USD]]</f>
        <v>10</v>
      </c>
      <c r="AF647" s="171">
        <f>Delivery[[#This Row],[BEN premium (total)]]/Delivery[[#This Row],[Quantity delivered]]*60/Delivery[[#This Row],[Exchange rate for premiums VS USD]]</f>
        <v>2.0560377999999999</v>
      </c>
      <c r="AG647" s="171">
        <f>COUNTIF(Delivery[Delivery ID],Delivery[[#This Row],[Delivery ID]])</f>
        <v>1</v>
      </c>
      <c r="AH647" s="171">
        <f>(Delivery[[#This Row],[Nespresso total]]/SUMIF(Allocation!C:C,Delivery[Delivery ID],Allocation!H:H))/Delivery[[#This Row],[Exchange rate VS USD]]</f>
        <v>1266.3151586631975</v>
      </c>
      <c r="AI647" s="171">
        <f>(Delivery[[#This Row],[AAA Premium (total)]]/SUMIF(Allocation!C:C,Delivery[Delivery ID],Allocation!H:H))/Delivery[[#This Row],[Exchange rate VS USD]]</f>
        <v>85.056497175141232</v>
      </c>
      <c r="AJ647" s="171">
        <f>Delivery[[#This Row],[Valor Prêmio Nespresso AAA por Kg (em US$)]]*60</f>
        <v>5103.389830508474</v>
      </c>
      <c r="AK647" s="171">
        <f>Delivery[[#This Row],[Valor Prêmio Nespresso AAA por saca (em US$)]]/1.3228/100</f>
        <v>38.58020736701296</v>
      </c>
      <c r="AL647" s="171">
        <f>(Delivery[[#This Row],[BEN premium (total)]]/SUMIF(Allocation!C:C,Delivery[Delivery ID],Allocation!H:H))/Delivery[[#This Row],[Exchange rate for premiums VS USD]]</f>
        <v>17.487937332768361</v>
      </c>
      <c r="AM647" s="171">
        <f>Delivery[[#This Row],[Valor Prêmio Nespresso BEN por Kg (em US$)]]*60</f>
        <v>1049.2762399661017</v>
      </c>
      <c r="AN647" s="171">
        <f>Delivery[[#This Row],[Valor Prêmio Nespresso BEN por saca (em US$)]]/1.3228/100</f>
        <v>7.9322364678417125</v>
      </c>
      <c r="AO647" s="171">
        <f>SUMIF(Allocation[Delivery ID],Delivery[[#This Row],[Delivery ID]],Allocation[Quantity allocated])*16*1.3228*Delivery[[#This Row],[Exchange rate VS USD]]/60</f>
        <v>65.120913808212279</v>
      </c>
      <c r="AP647" s="171">
        <f>Delivery[[#This Row],[AAA Premium (total)]]</f>
        <v>15702.364741563797</v>
      </c>
      <c r="AQ647" s="171">
        <f>Delivery[[#This Row],[Valor pago pelo Cluster]]-Delivery[[#This Row],[Valor efetivamente pago pela Nespresso]]</f>
        <v>15637.243827755585</v>
      </c>
    </row>
    <row r="648" spans="1:43" ht="15.75">
      <c r="A648" s="174" t="s">
        <v>69</v>
      </c>
      <c r="B648" s="232" t="s">
        <v>68</v>
      </c>
      <c r="C648" s="157">
        <v>1</v>
      </c>
      <c r="D648" s="157" t="s">
        <v>468</v>
      </c>
      <c r="E648" s="177" t="s">
        <v>468</v>
      </c>
      <c r="F648" s="233" t="s">
        <v>469</v>
      </c>
      <c r="G648" s="234">
        <v>42940</v>
      </c>
      <c r="H648" s="157" t="s">
        <v>805</v>
      </c>
      <c r="I648" s="157" t="s">
        <v>802</v>
      </c>
      <c r="J648" s="237">
        <v>30060</v>
      </c>
      <c r="K648" s="175" t="s">
        <v>61</v>
      </c>
      <c r="L648" s="175" t="s">
        <v>439</v>
      </c>
      <c r="M648" s="175" t="s">
        <v>1343</v>
      </c>
      <c r="N648" s="180"/>
      <c r="O648" s="177"/>
      <c r="P648" s="181">
        <v>0</v>
      </c>
      <c r="Q648" s="177">
        <v>42937</v>
      </c>
      <c r="R648" s="178">
        <v>428.20366205034225</v>
      </c>
      <c r="S648" s="179">
        <v>233387.50114534204</v>
      </c>
      <c r="T648" s="182" t="s">
        <v>45</v>
      </c>
      <c r="U648" s="183">
        <v>3.1289999485015869</v>
      </c>
      <c r="V648" s="179">
        <v>15676.28974199295</v>
      </c>
      <c r="W648" s="179">
        <v>3223.1044273289754</v>
      </c>
      <c r="X648" s="196" t="s">
        <v>45</v>
      </c>
      <c r="Y648" s="183">
        <v>3.1289999485015869</v>
      </c>
      <c r="Z648" s="220" t="s">
        <v>473</v>
      </c>
      <c r="AA648" s="172">
        <f>Delivery[[#This Row],[Quantity delivered]]*VLOOKUP(Delivery[[#This Row],[Unit]],References!$U:$X,4,FALSE)*VLOOKUP(CONCATENATE(Delivery[[#This Row],[Coffee specie]],Delivery[[#This Row],[Coffee state]]),References!$U:$X,4,FALSE)</f>
        <v>30060</v>
      </c>
      <c r="AB648" s="173">
        <f>SUMIF(Allocation!C:C,Delivery[[#This Row],[Delivery ID]],Allocation!D:D)/Delivery[[#This Row],[Quantity delivered]]</f>
        <v>6.320691949434464E-3</v>
      </c>
      <c r="AC648" s="170">
        <f>Delivery[[#This Row],[Quantity delivered]]*Delivery[[#This Row],[Base price (Unidad)]]/60</f>
        <v>214530.03468722146</v>
      </c>
      <c r="AD648" s="171">
        <f>Delivery[[#This Row],[Nespresso total]]-Delivery[[#This Row],[Qt. Delivery * Base Price]]</f>
        <v>18857.466458120587</v>
      </c>
      <c r="AE648" s="171">
        <f>Delivery[[#This Row],[AAA Premium (total)]]/Delivery[[#This Row],[Quantity delivered]]*60/Delivery[[#This Row],[Exchange rate VS USD]]</f>
        <v>10</v>
      </c>
      <c r="AF648" s="171">
        <f>Delivery[[#This Row],[BEN premium (total)]]/Delivery[[#This Row],[Quantity delivered]]*60/Delivery[[#This Row],[Exchange rate for premiums VS USD]]</f>
        <v>2.0560377999999999</v>
      </c>
      <c r="AG648" s="171">
        <f>COUNTIF(Delivery[Delivery ID],Delivery[[#This Row],[Delivery ID]])</f>
        <v>1</v>
      </c>
      <c r="AH648" s="171">
        <f>(Delivery[[#This Row],[Nespresso total]]/SUMIF(Allocation!C:C,Delivery[Delivery ID],Allocation!H:H))/Delivery[[#This Row],[Exchange rate VS USD]]</f>
        <v>1264.2123437202165</v>
      </c>
      <c r="AI648" s="171">
        <f>(Delivery[[#This Row],[AAA Premium (total)]]/SUMIF(Allocation!C:C,Delivery[Delivery ID],Allocation!H:H))/Delivery[[#This Row],[Exchange rate VS USD]]</f>
        <v>84.915254237288138</v>
      </c>
      <c r="AJ648" s="171">
        <f>Delivery[[#This Row],[Valor Prêmio Nespresso AAA por Kg (em US$)]]*60</f>
        <v>5094.9152542372885</v>
      </c>
      <c r="AK648" s="171">
        <f>Delivery[[#This Row],[Valor Prêmio Nespresso AAA por saca (em US$)]]/1.3228/100</f>
        <v>38.516141928010953</v>
      </c>
      <c r="AL648" s="171">
        <f>(Delivery[[#This Row],[BEN premium (total)]]/SUMIF(Allocation!C:C,Delivery[Delivery ID],Allocation!H:H))/Delivery[[#This Row],[Exchange rate for premiums VS USD]]</f>
        <v>17.458897250847457</v>
      </c>
      <c r="AM648" s="171">
        <f>Delivery[[#This Row],[Valor Prêmio Nespresso BEN por Kg (em US$)]]*60</f>
        <v>1047.5338350508473</v>
      </c>
      <c r="AN648" s="171">
        <f>Delivery[[#This Row],[Valor Prêmio Nespresso BEN por saca (em US$)]]/1.3228/100</f>
        <v>7.9190643714155371</v>
      </c>
      <c r="AO648" s="171">
        <f>SUMIF(Allocation[Delivery ID],Delivery[[#This Row],[Delivery ID]],Allocation[Quantity allocated])*16*1.3228*Delivery[[#This Row],[Exchange rate VS USD]]/60</f>
        <v>65.120913808212279</v>
      </c>
      <c r="AP648" s="171">
        <f>Delivery[[#This Row],[AAA Premium (total)]]</f>
        <v>15676.28974199295</v>
      </c>
      <c r="AQ648" s="171">
        <f>Delivery[[#This Row],[Valor pago pelo Cluster]]-Delivery[[#This Row],[Valor efetivamente pago pela Nespresso]]</f>
        <v>15611.168828184738</v>
      </c>
    </row>
    <row r="649" spans="1:43" ht="15.75">
      <c r="A649" s="174" t="s">
        <v>69</v>
      </c>
      <c r="B649" s="232" t="s">
        <v>68</v>
      </c>
      <c r="C649" s="157">
        <v>1</v>
      </c>
      <c r="D649" s="157" t="s">
        <v>468</v>
      </c>
      <c r="E649" s="177" t="s">
        <v>468</v>
      </c>
      <c r="F649" s="233" t="s">
        <v>469</v>
      </c>
      <c r="G649" s="234">
        <v>42940</v>
      </c>
      <c r="H649" s="157" t="s">
        <v>806</v>
      </c>
      <c r="I649" s="157" t="s">
        <v>802</v>
      </c>
      <c r="J649" s="237">
        <v>30260</v>
      </c>
      <c r="K649" s="175" t="s">
        <v>61</v>
      </c>
      <c r="L649" s="175" t="s">
        <v>439</v>
      </c>
      <c r="M649" s="175" t="s">
        <v>1343</v>
      </c>
      <c r="N649" s="180"/>
      <c r="O649" s="177"/>
      <c r="P649" s="181">
        <v>0</v>
      </c>
      <c r="Q649" s="177">
        <v>42937</v>
      </c>
      <c r="R649" s="178">
        <v>428.20366205034225</v>
      </c>
      <c r="S649" s="179">
        <v>234940.3121975399</v>
      </c>
      <c r="T649" s="182" t="s">
        <v>45</v>
      </c>
      <c r="U649" s="183">
        <v>3.1289999485015869</v>
      </c>
      <c r="V649" s="179">
        <v>15780.589740276337</v>
      </c>
      <c r="W649" s="179">
        <v>3244.5489012300332</v>
      </c>
      <c r="X649" s="196" t="s">
        <v>45</v>
      </c>
      <c r="Y649" s="183">
        <v>3.1289999485015869</v>
      </c>
      <c r="Z649" s="220" t="s">
        <v>473</v>
      </c>
      <c r="AA649" s="172">
        <f>Delivery[[#This Row],[Quantity delivered]]*VLOOKUP(Delivery[[#This Row],[Unit]],References!$U:$X,4,FALSE)*VLOOKUP(CONCATENATE(Delivery[[#This Row],[Coffee specie]],Delivery[[#This Row],[Coffee state]]),References!$U:$X,4,FALSE)</f>
        <v>30260</v>
      </c>
      <c r="AB649" s="173">
        <f>SUMIF(Allocation!C:C,Delivery[[#This Row],[Delivery ID]],Allocation!D:D)/Delivery[[#This Row],[Quantity delivered]]</f>
        <v>6.278916060806345E-3</v>
      </c>
      <c r="AC649" s="170">
        <f>Delivery[[#This Row],[Quantity delivered]]*Delivery[[#This Row],[Base price (Unidad)]]/60</f>
        <v>215957.38022738928</v>
      </c>
      <c r="AD649" s="171">
        <f>Delivery[[#This Row],[Nespresso total]]-Delivery[[#This Row],[Qt. Delivery * Base Price]]</f>
        <v>18982.931970150617</v>
      </c>
      <c r="AE649" s="171">
        <f>Delivery[[#This Row],[AAA Premium (total)]]/Delivery[[#This Row],[Quantity delivered]]*60/Delivery[[#This Row],[Exchange rate VS USD]]</f>
        <v>10</v>
      </c>
      <c r="AF649" s="171">
        <f>Delivery[[#This Row],[BEN premium (total)]]/Delivery[[#This Row],[Quantity delivered]]*60/Delivery[[#This Row],[Exchange rate for premiums VS USD]]</f>
        <v>2.0560377999999999</v>
      </c>
      <c r="AG649" s="171">
        <f>COUNTIF(Delivery[Delivery ID],Delivery[[#This Row],[Delivery ID]])</f>
        <v>1</v>
      </c>
      <c r="AH649" s="171">
        <f>(Delivery[[#This Row],[Nespresso total]]/SUMIF(Allocation!C:C,Delivery[Delivery ID],Allocation!H:H))/Delivery[[#This Row],[Exchange rate VS USD]]</f>
        <v>1272.6236034921405</v>
      </c>
      <c r="AI649" s="171">
        <f>(Delivery[[#This Row],[AAA Premium (total)]]/SUMIF(Allocation!C:C,Delivery[Delivery ID],Allocation!H:H))/Delivery[[#This Row],[Exchange rate VS USD]]</f>
        <v>85.480225988700568</v>
      </c>
      <c r="AJ649" s="171">
        <f>Delivery[[#This Row],[Valor Prêmio Nespresso AAA por Kg (em US$)]]*60</f>
        <v>5128.8135593220341</v>
      </c>
      <c r="AK649" s="171">
        <f>Delivery[[#This Row],[Valor Prêmio Nespresso AAA por saca (em US$)]]/1.3228/100</f>
        <v>38.772403684019004</v>
      </c>
      <c r="AL649" s="171">
        <f>(Delivery[[#This Row],[BEN premium (total)]]/SUMIF(Allocation!C:C,Delivery[Delivery ID],Allocation!H:H))/Delivery[[#This Row],[Exchange rate for premiums VS USD]]</f>
        <v>17.575057578531073</v>
      </c>
      <c r="AM649" s="171">
        <f>Delivery[[#This Row],[Valor Prêmio Nespresso BEN por Kg (em US$)]]*60</f>
        <v>1054.5034547118644</v>
      </c>
      <c r="AN649" s="171">
        <f>Delivery[[#This Row],[Valor Prêmio Nespresso BEN por saca (em US$)]]/1.3228/100</f>
        <v>7.9717527571202336</v>
      </c>
      <c r="AO649" s="171">
        <f>SUMIF(Allocation[Delivery ID],Delivery[[#This Row],[Delivery ID]],Allocation[Quantity allocated])*16*1.3228*Delivery[[#This Row],[Exchange rate VS USD]]/60</f>
        <v>65.120913808212279</v>
      </c>
      <c r="AP649" s="171">
        <f>Delivery[[#This Row],[AAA Premium (total)]]</f>
        <v>15780.589740276337</v>
      </c>
      <c r="AQ649" s="171">
        <f>Delivery[[#This Row],[Valor pago pelo Cluster]]-Delivery[[#This Row],[Valor efetivamente pago pela Nespresso]]</f>
        <v>15715.468826468124</v>
      </c>
    </row>
    <row r="650" spans="1:43" ht="15.75">
      <c r="A650" s="174" t="s">
        <v>69</v>
      </c>
      <c r="B650" s="232" t="s">
        <v>68</v>
      </c>
      <c r="C650" s="157">
        <v>1</v>
      </c>
      <c r="D650" s="157" t="s">
        <v>468</v>
      </c>
      <c r="E650" s="177" t="s">
        <v>468</v>
      </c>
      <c r="F650" s="233" t="s">
        <v>469</v>
      </c>
      <c r="G650" s="234">
        <v>42940</v>
      </c>
      <c r="H650" s="157" t="s">
        <v>807</v>
      </c>
      <c r="I650" s="157" t="s">
        <v>802</v>
      </c>
      <c r="J650" s="237">
        <v>30280</v>
      </c>
      <c r="K650" s="175" t="s">
        <v>61</v>
      </c>
      <c r="L650" s="175" t="s">
        <v>439</v>
      </c>
      <c r="M650" s="175" t="s">
        <v>1343</v>
      </c>
      <c r="N650" s="180"/>
      <c r="O650" s="177"/>
      <c r="P650" s="181">
        <v>0</v>
      </c>
      <c r="Q650" s="177">
        <v>42937</v>
      </c>
      <c r="R650" s="178">
        <v>428.20366205034225</v>
      </c>
      <c r="S650" s="179">
        <v>235095.59330275969</v>
      </c>
      <c r="T650" s="182" t="s">
        <v>45</v>
      </c>
      <c r="U650" s="183">
        <v>3.1289999485015869</v>
      </c>
      <c r="V650" s="179">
        <v>15791.019740104675</v>
      </c>
      <c r="W650" s="179">
        <v>3246.6933486201387</v>
      </c>
      <c r="X650" s="196" t="s">
        <v>45</v>
      </c>
      <c r="Y650" s="183">
        <v>3.1289999485015869</v>
      </c>
      <c r="Z650" s="220" t="s">
        <v>473</v>
      </c>
      <c r="AA650" s="172">
        <f>Delivery[[#This Row],[Quantity delivered]]*VLOOKUP(Delivery[[#This Row],[Unit]],References!$U:$X,4,FALSE)*VLOOKUP(CONCATENATE(Delivery[[#This Row],[Coffee specie]],Delivery[[#This Row],[Coffee state]]),References!$U:$X,4,FALSE)</f>
        <v>30280</v>
      </c>
      <c r="AB650" s="173">
        <f>SUMIF(Allocation!C:C,Delivery[[#This Row],[Delivery ID]],Allocation!D:D)/Delivery[[#This Row],[Quantity delivered]]</f>
        <v>6.2747688243064729E-3</v>
      </c>
      <c r="AC650" s="170">
        <f>Delivery[[#This Row],[Quantity delivered]]*Delivery[[#This Row],[Base price (Unidad)]]/60</f>
        <v>216100.11478140607</v>
      </c>
      <c r="AD650" s="171">
        <f>Delivery[[#This Row],[Nespresso total]]-Delivery[[#This Row],[Qt. Delivery * Base Price]]</f>
        <v>18995.478521353623</v>
      </c>
      <c r="AE650" s="171">
        <f>Delivery[[#This Row],[AAA Premium (total)]]/Delivery[[#This Row],[Quantity delivered]]*60/Delivery[[#This Row],[Exchange rate VS USD]]</f>
        <v>10</v>
      </c>
      <c r="AF650" s="171">
        <f>Delivery[[#This Row],[BEN premium (total)]]/Delivery[[#This Row],[Quantity delivered]]*60/Delivery[[#This Row],[Exchange rate for premiums VS USD]]</f>
        <v>2.0560377999999999</v>
      </c>
      <c r="AG650" s="171">
        <f>COUNTIF(Delivery[Delivery ID],Delivery[[#This Row],[Delivery ID]])</f>
        <v>1</v>
      </c>
      <c r="AH650" s="171">
        <f>(Delivery[[#This Row],[Nespresso total]]/SUMIF(Allocation!C:C,Delivery[Delivery ID],Allocation!H:H))/Delivery[[#This Row],[Exchange rate VS USD]]</f>
        <v>1273.464729469333</v>
      </c>
      <c r="AI650" s="171">
        <f>(Delivery[[#This Row],[AAA Premium (total)]]/SUMIF(Allocation!C:C,Delivery[Delivery ID],Allocation!H:H))/Delivery[[#This Row],[Exchange rate VS USD]]</f>
        <v>85.536723163841799</v>
      </c>
      <c r="AJ650" s="171">
        <f>Delivery[[#This Row],[Valor Prêmio Nespresso AAA por Kg (em US$)]]*60</f>
        <v>5132.2033898305081</v>
      </c>
      <c r="AK650" s="171">
        <f>Delivery[[#This Row],[Valor Prêmio Nespresso AAA por saca (em US$)]]/1.3228/100</f>
        <v>38.798029859619803</v>
      </c>
      <c r="AL650" s="171">
        <f>(Delivery[[#This Row],[BEN premium (total)]]/SUMIF(Allocation!C:C,Delivery[Delivery ID],Allocation!H:H))/Delivery[[#This Row],[Exchange rate for premiums VS USD]]</f>
        <v>17.586673611299435</v>
      </c>
      <c r="AM650" s="171">
        <f>Delivery[[#This Row],[Valor Prêmio Nespresso BEN por Kg (em US$)]]*60</f>
        <v>1055.2004166779661</v>
      </c>
      <c r="AN650" s="171">
        <f>Delivery[[#This Row],[Valor Prêmio Nespresso BEN por saca (em US$)]]/1.3228/100</f>
        <v>7.9770215956907036</v>
      </c>
      <c r="AO650" s="171">
        <f>SUMIF(Allocation[Delivery ID],Delivery[[#This Row],[Delivery ID]],Allocation[Quantity allocated])*16*1.3228*Delivery[[#This Row],[Exchange rate VS USD]]/60</f>
        <v>65.120913808212279</v>
      </c>
      <c r="AP650" s="171">
        <f>Delivery[[#This Row],[AAA Premium (total)]]</f>
        <v>15791.019740104675</v>
      </c>
      <c r="AQ650" s="171">
        <f>Delivery[[#This Row],[Valor pago pelo Cluster]]-Delivery[[#This Row],[Valor efetivamente pago pela Nespresso]]</f>
        <v>15725.898826296463</v>
      </c>
    </row>
    <row r="651" spans="1:43" ht="15.75">
      <c r="A651" s="174" t="s">
        <v>69</v>
      </c>
      <c r="B651" s="232" t="s">
        <v>68</v>
      </c>
      <c r="C651" s="157">
        <v>1</v>
      </c>
      <c r="D651" s="157" t="s">
        <v>468</v>
      </c>
      <c r="E651" s="177" t="s">
        <v>468</v>
      </c>
      <c r="F651" s="233" t="s">
        <v>469</v>
      </c>
      <c r="G651" s="234">
        <v>42940</v>
      </c>
      <c r="H651" s="157" t="s">
        <v>808</v>
      </c>
      <c r="I651" s="157" t="s">
        <v>802</v>
      </c>
      <c r="J651" s="237">
        <v>30280</v>
      </c>
      <c r="K651" s="175" t="s">
        <v>61</v>
      </c>
      <c r="L651" s="175" t="s">
        <v>439</v>
      </c>
      <c r="M651" s="175" t="s">
        <v>1343</v>
      </c>
      <c r="N651" s="180"/>
      <c r="O651" s="177"/>
      <c r="P651" s="181">
        <v>0</v>
      </c>
      <c r="Q651" s="177">
        <v>42937</v>
      </c>
      <c r="R651" s="178">
        <v>428.20366205034225</v>
      </c>
      <c r="S651" s="179">
        <v>235095.59330275969</v>
      </c>
      <c r="T651" s="182" t="s">
        <v>45</v>
      </c>
      <c r="U651" s="183">
        <v>3.1289999485015869</v>
      </c>
      <c r="V651" s="179">
        <v>15791.019740104675</v>
      </c>
      <c r="W651" s="179">
        <v>3246.6933486201387</v>
      </c>
      <c r="X651" s="196" t="s">
        <v>45</v>
      </c>
      <c r="Y651" s="183">
        <v>3.1289999485015869</v>
      </c>
      <c r="Z651" s="220" t="s">
        <v>473</v>
      </c>
      <c r="AA651" s="172">
        <f>Delivery[[#This Row],[Quantity delivered]]*VLOOKUP(Delivery[[#This Row],[Unit]],References!$U:$X,4,FALSE)*VLOOKUP(CONCATENATE(Delivery[[#This Row],[Coffee specie]],Delivery[[#This Row],[Coffee state]]),References!$U:$X,4,FALSE)</f>
        <v>30280</v>
      </c>
      <c r="AB651" s="173">
        <f>SUMIF(Allocation!C:C,Delivery[[#This Row],[Delivery ID]],Allocation!D:D)/Delivery[[#This Row],[Quantity delivered]]</f>
        <v>6.2747688243064729E-3</v>
      </c>
      <c r="AC651" s="170">
        <f>Delivery[[#This Row],[Quantity delivered]]*Delivery[[#This Row],[Base price (Unidad)]]/60</f>
        <v>216100.11478140607</v>
      </c>
      <c r="AD651" s="171">
        <f>Delivery[[#This Row],[Nespresso total]]-Delivery[[#This Row],[Qt. Delivery * Base Price]]</f>
        <v>18995.478521353623</v>
      </c>
      <c r="AE651" s="171">
        <f>Delivery[[#This Row],[AAA Premium (total)]]/Delivery[[#This Row],[Quantity delivered]]*60/Delivery[[#This Row],[Exchange rate VS USD]]</f>
        <v>10</v>
      </c>
      <c r="AF651" s="171">
        <f>Delivery[[#This Row],[BEN premium (total)]]/Delivery[[#This Row],[Quantity delivered]]*60/Delivery[[#This Row],[Exchange rate for premiums VS USD]]</f>
        <v>2.0560377999999999</v>
      </c>
      <c r="AG651" s="171">
        <f>COUNTIF(Delivery[Delivery ID],Delivery[[#This Row],[Delivery ID]])</f>
        <v>1</v>
      </c>
      <c r="AH651" s="171">
        <f>(Delivery[[#This Row],[Nespresso total]]/SUMIF(Allocation!C:C,Delivery[Delivery ID],Allocation!H:H))/Delivery[[#This Row],[Exchange rate VS USD]]</f>
        <v>1273.464729469333</v>
      </c>
      <c r="AI651" s="171">
        <f>(Delivery[[#This Row],[AAA Premium (total)]]/SUMIF(Allocation!C:C,Delivery[Delivery ID],Allocation!H:H))/Delivery[[#This Row],[Exchange rate VS USD]]</f>
        <v>85.536723163841799</v>
      </c>
      <c r="AJ651" s="171">
        <f>Delivery[[#This Row],[Valor Prêmio Nespresso AAA por Kg (em US$)]]*60</f>
        <v>5132.2033898305081</v>
      </c>
      <c r="AK651" s="171">
        <f>Delivery[[#This Row],[Valor Prêmio Nespresso AAA por saca (em US$)]]/1.3228/100</f>
        <v>38.798029859619803</v>
      </c>
      <c r="AL651" s="171">
        <f>(Delivery[[#This Row],[BEN premium (total)]]/SUMIF(Allocation!C:C,Delivery[Delivery ID],Allocation!H:H))/Delivery[[#This Row],[Exchange rate for premiums VS USD]]</f>
        <v>17.586673611299435</v>
      </c>
      <c r="AM651" s="171">
        <f>Delivery[[#This Row],[Valor Prêmio Nespresso BEN por Kg (em US$)]]*60</f>
        <v>1055.2004166779661</v>
      </c>
      <c r="AN651" s="171">
        <f>Delivery[[#This Row],[Valor Prêmio Nespresso BEN por saca (em US$)]]/1.3228/100</f>
        <v>7.9770215956907036</v>
      </c>
      <c r="AO651" s="171">
        <f>SUMIF(Allocation[Delivery ID],Delivery[[#This Row],[Delivery ID]],Allocation[Quantity allocated])*16*1.3228*Delivery[[#This Row],[Exchange rate VS USD]]/60</f>
        <v>65.120913808212279</v>
      </c>
      <c r="AP651" s="171">
        <f>Delivery[[#This Row],[AAA Premium (total)]]</f>
        <v>15791.019740104675</v>
      </c>
      <c r="AQ651" s="171">
        <f>Delivery[[#This Row],[Valor pago pelo Cluster]]-Delivery[[#This Row],[Valor efetivamente pago pela Nespresso]]</f>
        <v>15725.898826296463</v>
      </c>
    </row>
    <row r="652" spans="1:43" ht="15.75">
      <c r="A652" s="174" t="s">
        <v>69</v>
      </c>
      <c r="B652" s="232" t="s">
        <v>68</v>
      </c>
      <c r="C652" s="157">
        <v>1</v>
      </c>
      <c r="D652" s="157" t="s">
        <v>468</v>
      </c>
      <c r="E652" s="177" t="s">
        <v>468</v>
      </c>
      <c r="F652" s="233" t="s">
        <v>469</v>
      </c>
      <c r="G652" s="234">
        <v>42940</v>
      </c>
      <c r="H652" s="157" t="s">
        <v>809</v>
      </c>
      <c r="I652" s="157" t="s">
        <v>802</v>
      </c>
      <c r="J652" s="237">
        <v>30210</v>
      </c>
      <c r="K652" s="175" t="s">
        <v>61</v>
      </c>
      <c r="L652" s="175" t="s">
        <v>439</v>
      </c>
      <c r="M652" s="175" t="s">
        <v>1343</v>
      </c>
      <c r="N652" s="180"/>
      <c r="O652" s="177"/>
      <c r="P652" s="181">
        <v>0</v>
      </c>
      <c r="Q652" s="177">
        <v>42937</v>
      </c>
      <c r="R652" s="178">
        <v>428.20366205034225</v>
      </c>
      <c r="S652" s="179">
        <v>234552.10943449044</v>
      </c>
      <c r="T652" s="182" t="s">
        <v>45</v>
      </c>
      <c r="U652" s="183">
        <v>3.1289999485015869</v>
      </c>
      <c r="V652" s="179">
        <v>15754.51474070549</v>
      </c>
      <c r="W652" s="179">
        <v>3239.1877827547687</v>
      </c>
      <c r="X652" s="196" t="s">
        <v>45</v>
      </c>
      <c r="Y652" s="183">
        <v>3.1289999485015869</v>
      </c>
      <c r="Z652" s="220" t="s">
        <v>473</v>
      </c>
      <c r="AA652" s="172">
        <f>Delivery[[#This Row],[Quantity delivered]]*VLOOKUP(Delivery[[#This Row],[Unit]],References!$U:$X,4,FALSE)*VLOOKUP(CONCATENATE(Delivery[[#This Row],[Coffee specie]],Delivery[[#This Row],[Coffee state]]),References!$U:$X,4,FALSE)</f>
        <v>30210</v>
      </c>
      <c r="AB652" s="173">
        <f>SUMIF(Allocation!C:C,Delivery[[#This Row],[Delivery ID]],Allocation!D:D)/Delivery[[#This Row],[Quantity delivered]]</f>
        <v>6.2893081761006293E-3</v>
      </c>
      <c r="AC652" s="170">
        <f>Delivery[[#This Row],[Quantity delivered]]*Delivery[[#This Row],[Base price (Unidad)]]/60</f>
        <v>215600.54384234731</v>
      </c>
      <c r="AD652" s="171">
        <f>Delivery[[#This Row],[Nespresso total]]-Delivery[[#This Row],[Qt. Delivery * Base Price]]</f>
        <v>18951.565592143132</v>
      </c>
      <c r="AE652" s="171">
        <f>Delivery[[#This Row],[AAA Premium (total)]]/Delivery[[#This Row],[Quantity delivered]]*60/Delivery[[#This Row],[Exchange rate VS USD]]</f>
        <v>10</v>
      </c>
      <c r="AF652" s="171">
        <f>Delivery[[#This Row],[BEN premium (total)]]/Delivery[[#This Row],[Quantity delivered]]*60/Delivery[[#This Row],[Exchange rate for premiums VS USD]]</f>
        <v>2.0560377999999999</v>
      </c>
      <c r="AG652" s="171">
        <f>COUNTIF(Delivery[Delivery ID],Delivery[[#This Row],[Delivery ID]])</f>
        <v>1</v>
      </c>
      <c r="AH652" s="171">
        <f>(Delivery[[#This Row],[Nespresso total]]/SUMIF(Allocation!C:C,Delivery[Delivery ID],Allocation!H:H))/Delivery[[#This Row],[Exchange rate VS USD]]</f>
        <v>1270.5207885491595</v>
      </c>
      <c r="AI652" s="171">
        <f>(Delivery[[#This Row],[AAA Premium (total)]]/SUMIF(Allocation!C:C,Delivery[Delivery ID],Allocation!H:H))/Delivery[[#This Row],[Exchange rate VS USD]]</f>
        <v>85.338983050847446</v>
      </c>
      <c r="AJ652" s="171">
        <f>Delivery[[#This Row],[Valor Prêmio Nespresso AAA por Kg (em US$)]]*60</f>
        <v>5120.3389830508468</v>
      </c>
      <c r="AK652" s="171">
        <f>Delivery[[#This Row],[Valor Prêmio Nespresso AAA por saca (em US$)]]/1.3228/100</f>
        <v>38.708338245016982</v>
      </c>
      <c r="AL652" s="171">
        <f>(Delivery[[#This Row],[BEN premium (total)]]/SUMIF(Allocation!C:C,Delivery[Delivery ID],Allocation!H:H))/Delivery[[#This Row],[Exchange rate for premiums VS USD]]</f>
        <v>17.546017496610169</v>
      </c>
      <c r="AM652" s="171">
        <f>Delivery[[#This Row],[Valor Prêmio Nespresso BEN por Kg (em US$)]]*60</f>
        <v>1052.7610497966102</v>
      </c>
      <c r="AN652" s="171">
        <f>Delivery[[#This Row],[Valor Prêmio Nespresso BEN por saca (em US$)]]/1.3228/100</f>
        <v>7.958580660694059</v>
      </c>
      <c r="AO652" s="171">
        <f>SUMIF(Allocation[Delivery ID],Delivery[[#This Row],[Delivery ID]],Allocation[Quantity allocated])*16*1.3228*Delivery[[#This Row],[Exchange rate VS USD]]/60</f>
        <v>65.120913808212279</v>
      </c>
      <c r="AP652" s="171">
        <f>Delivery[[#This Row],[AAA Premium (total)]]</f>
        <v>15754.51474070549</v>
      </c>
      <c r="AQ652" s="171">
        <f>Delivery[[#This Row],[Valor pago pelo Cluster]]-Delivery[[#This Row],[Valor efetivamente pago pela Nespresso]]</f>
        <v>15689.393826897278</v>
      </c>
    </row>
    <row r="653" spans="1:43" ht="15.75">
      <c r="A653" s="174" t="s">
        <v>69</v>
      </c>
      <c r="B653" s="232" t="s">
        <v>68</v>
      </c>
      <c r="C653" s="157">
        <v>1</v>
      </c>
      <c r="D653" s="157" t="s">
        <v>468</v>
      </c>
      <c r="E653" s="177" t="s">
        <v>468</v>
      </c>
      <c r="F653" s="233" t="s">
        <v>469</v>
      </c>
      <c r="G653" s="234">
        <v>42940</v>
      </c>
      <c r="H653" s="157" t="s">
        <v>810</v>
      </c>
      <c r="I653" s="157" t="s">
        <v>802</v>
      </c>
      <c r="J653" s="237">
        <v>28450</v>
      </c>
      <c r="K653" s="175" t="s">
        <v>61</v>
      </c>
      <c r="L653" s="175" t="s">
        <v>439</v>
      </c>
      <c r="M653" s="175" t="s">
        <v>1343</v>
      </c>
      <c r="N653" s="180"/>
      <c r="O653" s="177"/>
      <c r="P653" s="181">
        <v>0</v>
      </c>
      <c r="Q653" s="177">
        <v>42937</v>
      </c>
      <c r="R653" s="178">
        <v>428.20366205034225</v>
      </c>
      <c r="S653" s="179">
        <v>220887.37217514907</v>
      </c>
      <c r="T653" s="182" t="s">
        <v>45</v>
      </c>
      <c r="U653" s="183">
        <v>3.1289999485015869</v>
      </c>
      <c r="V653" s="179">
        <v>14836.674755811691</v>
      </c>
      <c r="W653" s="179">
        <v>3050.4764124254607</v>
      </c>
      <c r="X653" s="196" t="s">
        <v>45</v>
      </c>
      <c r="Y653" s="183">
        <v>3.1289999485015869</v>
      </c>
      <c r="Z653" s="220" t="s">
        <v>473</v>
      </c>
      <c r="AA653" s="172">
        <f>Delivery[[#This Row],[Quantity delivered]]*VLOOKUP(Delivery[[#This Row],[Unit]],References!$U:$X,4,FALSE)*VLOOKUP(CONCATENATE(Delivery[[#This Row],[Coffee specie]],Delivery[[#This Row],[Coffee state]]),References!$U:$X,4,FALSE)</f>
        <v>28450</v>
      </c>
      <c r="AB653" s="173">
        <f>SUMIF(Allocation!C:C,Delivery[[#This Row],[Delivery ID]],Allocation!D:D)/Delivery[[#This Row],[Quantity delivered]]</f>
        <v>6.678383128295255E-3</v>
      </c>
      <c r="AC653" s="170">
        <f>Delivery[[#This Row],[Quantity delivered]]*Delivery[[#This Row],[Base price (Unidad)]]/60</f>
        <v>203039.9030888706</v>
      </c>
      <c r="AD653" s="171">
        <f>Delivery[[#This Row],[Nespresso total]]-Delivery[[#This Row],[Qt. Delivery * Base Price]]</f>
        <v>17847.469086278463</v>
      </c>
      <c r="AE653" s="171">
        <f>Delivery[[#This Row],[AAA Premium (total)]]/Delivery[[#This Row],[Quantity delivered]]*60/Delivery[[#This Row],[Exchange rate VS USD]]</f>
        <v>10</v>
      </c>
      <c r="AF653" s="171">
        <f>Delivery[[#This Row],[BEN premium (total)]]/Delivery[[#This Row],[Quantity delivered]]*60/Delivery[[#This Row],[Exchange rate for premiums VS USD]]</f>
        <v>2.0560377999999999</v>
      </c>
      <c r="AG653" s="171">
        <f>COUNTIF(Delivery[Delivery ID],Delivery[[#This Row],[Delivery ID]])</f>
        <v>1</v>
      </c>
      <c r="AH653" s="171">
        <f>(Delivery[[#This Row],[Nespresso total]]/SUMIF(Allocation!C:C,Delivery[Delivery ID],Allocation!H:H))/Delivery[[#This Row],[Exchange rate VS USD]]</f>
        <v>1196.5017025562263</v>
      </c>
      <c r="AI653" s="171">
        <f>(Delivery[[#This Row],[AAA Premium (total)]]/SUMIF(Allocation!C:C,Delivery[Delivery ID],Allocation!H:H))/Delivery[[#This Row],[Exchange rate VS USD]]</f>
        <v>80.367231638418076</v>
      </c>
      <c r="AJ653" s="171">
        <f>Delivery[[#This Row],[Valor Prêmio Nespresso AAA por Kg (em US$)]]*60</f>
        <v>4822.0338983050842</v>
      </c>
      <c r="AK653" s="171">
        <f>Delivery[[#This Row],[Valor Prêmio Nespresso AAA por saca (em US$)]]/1.3228/100</f>
        <v>36.453234792146084</v>
      </c>
      <c r="AL653" s="171">
        <f>(Delivery[[#This Row],[BEN premium (total)]]/SUMIF(Allocation!C:C,Delivery[Delivery ID],Allocation!H:H))/Delivery[[#This Row],[Exchange rate for premiums VS USD]]</f>
        <v>16.523806612994349</v>
      </c>
      <c r="AM653" s="171">
        <f>Delivery[[#This Row],[Valor Prêmio Nespresso BEN por Kg (em US$)]]*60</f>
        <v>991.42839677966094</v>
      </c>
      <c r="AN653" s="171">
        <f>Delivery[[#This Row],[Valor Prêmio Nespresso BEN por saca (em US$)]]/1.3228/100</f>
        <v>7.4949228664927503</v>
      </c>
      <c r="AO653" s="171">
        <f>SUMIF(Allocation[Delivery ID],Delivery[[#This Row],[Delivery ID]],Allocation[Quantity allocated])*16*1.3228*Delivery[[#This Row],[Exchange rate VS USD]]/60</f>
        <v>65.120913808212279</v>
      </c>
      <c r="AP653" s="171">
        <f>Delivery[[#This Row],[AAA Premium (total)]]</f>
        <v>14836.674755811691</v>
      </c>
      <c r="AQ653" s="171">
        <f>Delivery[[#This Row],[Valor pago pelo Cluster]]-Delivery[[#This Row],[Valor efetivamente pago pela Nespresso]]</f>
        <v>14771.553842003479</v>
      </c>
    </row>
    <row r="654" spans="1:43" ht="15.75">
      <c r="A654" s="174" t="s">
        <v>69</v>
      </c>
      <c r="B654" s="232" t="s">
        <v>68</v>
      </c>
      <c r="C654" s="157">
        <v>1</v>
      </c>
      <c r="D654" s="157" t="s">
        <v>468</v>
      </c>
      <c r="E654" s="177" t="s">
        <v>468</v>
      </c>
      <c r="F654" s="233" t="s">
        <v>541</v>
      </c>
      <c r="G654" s="234">
        <v>42951</v>
      </c>
      <c r="H654" s="157" t="s">
        <v>811</v>
      </c>
      <c r="I654" s="157" t="s">
        <v>812</v>
      </c>
      <c r="J654" s="237">
        <v>30816.5</v>
      </c>
      <c r="K654" s="175" t="s">
        <v>61</v>
      </c>
      <c r="L654" s="175" t="s">
        <v>439</v>
      </c>
      <c r="M654" s="175" t="s">
        <v>1343</v>
      </c>
      <c r="N654" s="180"/>
      <c r="O654" s="177"/>
      <c r="P654" s="181">
        <v>0</v>
      </c>
      <c r="Q654" s="177">
        <v>42944</v>
      </c>
      <c r="R654" s="178">
        <v>434.54249999999996</v>
      </c>
      <c r="S654" s="179">
        <v>239657.32989486196</v>
      </c>
      <c r="T654" s="182" t="s">
        <v>45</v>
      </c>
      <c r="U654" s="183">
        <v>3.15</v>
      </c>
      <c r="V654" s="179">
        <v>11325.063749999999</v>
      </c>
      <c r="W654" s="179">
        <v>3004.4850525689999</v>
      </c>
      <c r="X654" s="196" t="s">
        <v>45</v>
      </c>
      <c r="Y654" s="183">
        <v>3.15</v>
      </c>
      <c r="Z654" s="220" t="s">
        <v>473</v>
      </c>
      <c r="AA654" s="172">
        <f>Delivery[[#This Row],[Quantity delivered]]*VLOOKUP(Delivery[[#This Row],[Unit]],References!$U:$X,4,FALSE)*VLOOKUP(CONCATENATE(Delivery[[#This Row],[Coffee specie]],Delivery[[#This Row],[Coffee state]]),References!$U:$X,4,FALSE)</f>
        <v>30816.5</v>
      </c>
      <c r="AB654" s="173">
        <f>SUMIF(Allocation!C:C,Delivery[[#This Row],[Delivery ID]],Allocation!D:D)/Delivery[[#This Row],[Quantity delivered]]</f>
        <v>7.2331380916067695E-2</v>
      </c>
      <c r="AC654" s="170">
        <f>Delivery[[#This Row],[Quantity delivered]]*Delivery[[#This Row],[Base price (Unidad)]]/60</f>
        <v>223184.64918749998</v>
      </c>
      <c r="AD654" s="171">
        <f>Delivery[[#This Row],[Nespresso total]]-Delivery[[#This Row],[Qt. Delivery * Base Price]]</f>
        <v>16472.680707361986</v>
      </c>
      <c r="AE654" s="171">
        <f>Delivery[[#This Row],[AAA Premium (total)]]/Delivery[[#This Row],[Quantity delivered]]*60/Delivery[[#This Row],[Exchange rate VS USD]]</f>
        <v>7</v>
      </c>
      <c r="AF654" s="171">
        <f>Delivery[[#This Row],[BEN premium (total)]]/Delivery[[#This Row],[Quantity delivered]]*60/Delivery[[#This Row],[Exchange rate for premiums VS USD]]</f>
        <v>1.8570663999999999</v>
      </c>
      <c r="AG654" s="171">
        <f>COUNTIF(Delivery[Delivery ID],Delivery[[#This Row],[Delivery ID]])</f>
        <v>1</v>
      </c>
      <c r="AH654" s="171">
        <f>(Delivery[[#This Row],[Nespresso total]]/SUMIF(Allocation!C:C,Delivery[Delivery ID],Allocation!H:H))/Delivery[[#This Row],[Exchange rate VS USD]]</f>
        <v>121.92578850979953</v>
      </c>
      <c r="AI654" s="171">
        <f>(Delivery[[#This Row],[AAA Premium (total)]]/SUMIF(Allocation!C:C,Delivery[Delivery ID],Allocation!H:H))/Delivery[[#This Row],[Exchange rate VS USD]]</f>
        <v>5.7616319444444439</v>
      </c>
      <c r="AJ654" s="171">
        <f>Delivery[[#This Row],[Valor Prêmio Nespresso AAA por Kg (em US$)]]*60</f>
        <v>345.69791666666663</v>
      </c>
      <c r="AK654" s="171">
        <f>Delivery[[#This Row],[Valor Prêmio Nespresso AAA por saca (em US$)]]/1.3228/100</f>
        <v>2.6133800776131437</v>
      </c>
      <c r="AL654" s="171">
        <f>(Delivery[[#This Row],[BEN premium (total)]]/SUMIF(Allocation!C:C,Delivery[Delivery ID],Allocation!H:H))/Delivery[[#This Row],[Exchange rate for premiums VS USD]]</f>
        <v>1.5285332990277778</v>
      </c>
      <c r="AM654" s="171">
        <f>Delivery[[#This Row],[Valor Prêmio Nespresso BEN por Kg (em US$)]]*60</f>
        <v>91.711997941666667</v>
      </c>
      <c r="AN654" s="171">
        <f>Delivery[[#This Row],[Valor Prêmio Nespresso BEN por saca (em US$)]]/1.3228/100</f>
        <v>0.69331719036639461</v>
      </c>
      <c r="AO654" s="171">
        <f>SUMIF(Allocation[Delivery ID],Delivery[[#This Row],[Delivery ID]],Allocation[Quantity allocated])*16*1.3228*Delivery[[#This Row],[Exchange rate VS USD]]/60</f>
        <v>693.35884799999997</v>
      </c>
      <c r="AP654" s="171">
        <f>Delivery[[#This Row],[AAA Premium (total)]]</f>
        <v>11325.063749999999</v>
      </c>
      <c r="AQ654" s="171">
        <f>Delivery[[#This Row],[Valor pago pelo Cluster]]-Delivery[[#This Row],[Valor efetivamente pago pela Nespresso]]</f>
        <v>10631.704901999999</v>
      </c>
    </row>
    <row r="655" spans="1:43" ht="15.75">
      <c r="A655" s="174" t="s">
        <v>69</v>
      </c>
      <c r="B655" s="232" t="s">
        <v>68</v>
      </c>
      <c r="C655" s="157">
        <v>1</v>
      </c>
      <c r="D655" s="157" t="s">
        <v>468</v>
      </c>
      <c r="E655" s="176" t="s">
        <v>468</v>
      </c>
      <c r="F655" s="233" t="s">
        <v>541</v>
      </c>
      <c r="G655" s="234">
        <v>42963</v>
      </c>
      <c r="H655" s="157" t="s">
        <v>813</v>
      </c>
      <c r="I655" s="157" t="s">
        <v>812</v>
      </c>
      <c r="J655" s="237">
        <v>29700</v>
      </c>
      <c r="K655" s="175" t="s">
        <v>61</v>
      </c>
      <c r="L655" s="175" t="s">
        <v>439</v>
      </c>
      <c r="M655" s="175" t="s">
        <v>1343</v>
      </c>
      <c r="N655" s="180"/>
      <c r="O655" s="177"/>
      <c r="P655" s="181">
        <v>0</v>
      </c>
      <c r="Q655" s="177">
        <v>42956</v>
      </c>
      <c r="R655" s="178">
        <v>459.54293999999999</v>
      </c>
      <c r="S655" s="179">
        <v>247794.13804855599</v>
      </c>
      <c r="T655" s="182" t="s">
        <v>45</v>
      </c>
      <c r="U655" s="183">
        <v>3.1454</v>
      </c>
      <c r="V655" s="179">
        <v>10898.811000000002</v>
      </c>
      <c r="W655" s="179">
        <v>3097.9309757219994</v>
      </c>
      <c r="X655" s="196" t="s">
        <v>45</v>
      </c>
      <c r="Y655" s="183">
        <v>3.1454</v>
      </c>
      <c r="Z655" s="220" t="s">
        <v>473</v>
      </c>
      <c r="AA655" s="172">
        <f>Delivery[[#This Row],[Quantity delivered]]*VLOOKUP(Delivery[[#This Row],[Unit]],References!$U:$X,4,FALSE)*VLOOKUP(CONCATENATE(Delivery[[#This Row],[Coffee specie]],Delivery[[#This Row],[Coffee state]]),References!$U:$X,4,FALSE)</f>
        <v>29700</v>
      </c>
      <c r="AB655" s="173">
        <f>SUMIF(Allocation!C:C,Delivery[[#This Row],[Delivery ID]],Allocation!D:D)/Delivery[[#This Row],[Quantity delivered]]</f>
        <v>6.4309764309764303E-2</v>
      </c>
      <c r="AC655" s="170">
        <f>Delivery[[#This Row],[Quantity delivered]]*Delivery[[#This Row],[Base price (Unidad)]]/60</f>
        <v>227473.75529999999</v>
      </c>
      <c r="AD655" s="171">
        <f>Delivery[[#This Row],[Nespresso total]]-Delivery[[#This Row],[Qt. Delivery * Base Price]]</f>
        <v>20320.382748556003</v>
      </c>
      <c r="AE655" s="171">
        <f>Delivery[[#This Row],[AAA Premium (total)]]/Delivery[[#This Row],[Quantity delivered]]*60/Delivery[[#This Row],[Exchange rate VS USD]]</f>
        <v>7</v>
      </c>
      <c r="AF655" s="171">
        <f>Delivery[[#This Row],[BEN premium (total)]]/Delivery[[#This Row],[Quantity delivered]]*60/Delivery[[#This Row],[Exchange rate for premiums VS USD]]</f>
        <v>1.9897139999999998</v>
      </c>
      <c r="AG655" s="171">
        <f>COUNTIF(Delivery[Delivery ID],Delivery[[#This Row],[Delivery ID]])</f>
        <v>1</v>
      </c>
      <c r="AH655" s="171">
        <f>(Delivery[[#This Row],[Nespresso total]]/SUMIF(Allocation!C:C,Delivery[Delivery ID],Allocation!H:H))/Delivery[[#This Row],[Exchange rate VS USD]]</f>
        <v>137.48664802649614</v>
      </c>
      <c r="AI655" s="171">
        <f>(Delivery[[#This Row],[AAA Premium (total)]]/SUMIF(Allocation!C:C,Delivery[Delivery ID],Allocation!H:H))/Delivery[[#This Row],[Exchange rate VS USD]]</f>
        <v>6.0471204188481682</v>
      </c>
      <c r="AJ655" s="171">
        <f>Delivery[[#This Row],[Valor Prêmio Nespresso AAA por Kg (em US$)]]*60</f>
        <v>362.8272251308901</v>
      </c>
      <c r="AK655" s="171">
        <f>Delivery[[#This Row],[Valor Prêmio Nespresso AAA por saca (em US$)]]/1.3228/100</f>
        <v>2.7428728842673884</v>
      </c>
      <c r="AL655" s="171">
        <f>(Delivery[[#This Row],[BEN premium (total)]]/SUMIF(Allocation!C:C,Delivery[Delivery ID],Allocation!H:H))/Delivery[[#This Row],[Exchange rate for premiums VS USD]]</f>
        <v>1.7188628795811516</v>
      </c>
      <c r="AM655" s="171">
        <f>Delivery[[#This Row],[Valor Prêmio Nespresso BEN por Kg (em US$)]]*60</f>
        <v>103.13177277486909</v>
      </c>
      <c r="AN655" s="171">
        <f>Delivery[[#This Row],[Valor Prêmio Nespresso BEN por saca (em US$)]]/1.3228/100</f>
        <v>0.77964751114960007</v>
      </c>
      <c r="AO655" s="171">
        <f>SUMIF(Allocation[Delivery ID],Delivery[[#This Row],[Delivery ID]],Allocation[Quantity allocated])*16*1.3228*Delivery[[#This Row],[Exchange rate VS USD]]/60</f>
        <v>635.76032633599993</v>
      </c>
      <c r="AP655" s="171">
        <f>Delivery[[#This Row],[AAA Premium (total)]]</f>
        <v>10898.811000000002</v>
      </c>
      <c r="AQ655" s="171">
        <f>Delivery[[#This Row],[Valor pago pelo Cluster]]-Delivery[[#This Row],[Valor efetivamente pago pela Nespresso]]</f>
        <v>10263.050673664002</v>
      </c>
    </row>
    <row r="656" spans="1:43" ht="15.75">
      <c r="A656" s="174" t="s">
        <v>69</v>
      </c>
      <c r="B656" s="232" t="s">
        <v>68</v>
      </c>
      <c r="C656" s="157">
        <v>1</v>
      </c>
      <c r="D656" s="157" t="s">
        <v>468</v>
      </c>
      <c r="E656" s="177" t="s">
        <v>468</v>
      </c>
      <c r="F656" s="233" t="s">
        <v>541</v>
      </c>
      <c r="G656" s="234">
        <v>42963</v>
      </c>
      <c r="H656" s="157" t="s">
        <v>814</v>
      </c>
      <c r="I656" s="157" t="s">
        <v>812</v>
      </c>
      <c r="J656" s="237">
        <v>29900</v>
      </c>
      <c r="K656" s="175" t="s">
        <v>61</v>
      </c>
      <c r="L656" s="175" t="s">
        <v>439</v>
      </c>
      <c r="M656" s="175" t="s">
        <v>1343</v>
      </c>
      <c r="N656" s="180"/>
      <c r="O656" s="177"/>
      <c r="P656" s="181">
        <v>0</v>
      </c>
      <c r="Q656" s="177">
        <v>42956</v>
      </c>
      <c r="R656" s="178">
        <v>459.54293999999999</v>
      </c>
      <c r="S656" s="179">
        <v>247752.41507245199</v>
      </c>
      <c r="T656" s="182" t="s">
        <v>45</v>
      </c>
      <c r="U656" s="183">
        <v>3.1454</v>
      </c>
      <c r="V656" s="179">
        <v>10972.203666666668</v>
      </c>
      <c r="W656" s="179">
        <v>3118.7924637739993</v>
      </c>
      <c r="X656" s="196" t="s">
        <v>45</v>
      </c>
      <c r="Y656" s="183">
        <v>3.1454</v>
      </c>
      <c r="Z656" s="220" t="s">
        <v>473</v>
      </c>
      <c r="AA656" s="172">
        <f>Delivery[[#This Row],[Quantity delivered]]*VLOOKUP(Delivery[[#This Row],[Unit]],References!$U:$X,4,FALSE)*VLOOKUP(CONCATENATE(Delivery[[#This Row],[Coffee specie]],Delivery[[#This Row],[Coffee state]]),References!$U:$X,4,FALSE)</f>
        <v>29900</v>
      </c>
      <c r="AB656" s="173">
        <f>SUMIF(Allocation!C:C,Delivery[[#This Row],[Delivery ID]],Allocation!D:D)/Delivery[[#This Row],[Quantity delivered]]</f>
        <v>6.3879598662207354E-2</v>
      </c>
      <c r="AC656" s="170">
        <f>Delivery[[#This Row],[Quantity delivered]]*Delivery[[#This Row],[Base price (Unidad)]]/60</f>
        <v>229005.56509999998</v>
      </c>
      <c r="AD656" s="171">
        <f>Delivery[[#This Row],[Nespresso total]]-Delivery[[#This Row],[Qt. Delivery * Base Price]]</f>
        <v>18746.849972452008</v>
      </c>
      <c r="AE656" s="171">
        <f>Delivery[[#This Row],[AAA Premium (total)]]/Delivery[[#This Row],[Quantity delivered]]*60/Delivery[[#This Row],[Exchange rate VS USD]]</f>
        <v>7</v>
      </c>
      <c r="AF656" s="171">
        <f>Delivery[[#This Row],[BEN premium (total)]]/Delivery[[#This Row],[Quantity delivered]]*60/Delivery[[#This Row],[Exchange rate for premiums VS USD]]</f>
        <v>1.9897139999999998</v>
      </c>
      <c r="AG656" s="171">
        <f>COUNTIF(Delivery[Delivery ID],Delivery[[#This Row],[Delivery ID]])</f>
        <v>1</v>
      </c>
      <c r="AH656" s="171">
        <f>(Delivery[[#This Row],[Nespresso total]]/SUMIF(Allocation!C:C,Delivery[Delivery ID],Allocation!H:H))/Delivery[[#This Row],[Exchange rate VS USD]]</f>
        <v>137.46349835808428</v>
      </c>
      <c r="AI656" s="171">
        <f>(Delivery[[#This Row],[AAA Premium (total)]]/SUMIF(Allocation!C:C,Delivery[Delivery ID],Allocation!H:H))/Delivery[[#This Row],[Exchange rate VS USD]]</f>
        <v>6.0878417684700414</v>
      </c>
      <c r="AJ656" s="171">
        <f>Delivery[[#This Row],[Valor Prêmio Nespresso AAA por Kg (em US$)]]*60</f>
        <v>365.27050610820248</v>
      </c>
      <c r="AK656" s="171">
        <f>Delivery[[#This Row],[Valor Prêmio Nespresso AAA por saca (em US$)]]/1.3228/100</f>
        <v>2.7613434087405695</v>
      </c>
      <c r="AL656" s="171">
        <f>(Delivery[[#This Row],[BEN premium (total)]]/SUMIF(Allocation!C:C,Delivery[Delivery ID],Allocation!H:H))/Delivery[[#This Row],[Exchange rate for premiums VS USD]]</f>
        <v>1.730437713787085</v>
      </c>
      <c r="AM656" s="171">
        <f>Delivery[[#This Row],[Valor Prêmio Nespresso BEN por Kg (em US$)]]*60</f>
        <v>103.82626282722509</v>
      </c>
      <c r="AN656" s="171">
        <f>Delivery[[#This Row],[Valor Prêmio Nespresso BEN por saca (em US$)]]/1.3228/100</f>
        <v>0.78489766273983297</v>
      </c>
      <c r="AO656" s="171">
        <f>SUMIF(Allocation[Delivery ID],Delivery[[#This Row],[Delivery ID]],Allocation[Quantity allocated])*16*1.3228*Delivery[[#This Row],[Exchange rate VS USD]]/60</f>
        <v>635.76032633599993</v>
      </c>
      <c r="AP656" s="171">
        <f>Delivery[[#This Row],[AAA Premium (total)]]</f>
        <v>10972.203666666668</v>
      </c>
      <c r="AQ656" s="171">
        <f>Delivery[[#This Row],[Valor pago pelo Cluster]]-Delivery[[#This Row],[Valor efetivamente pago pela Nespresso]]</f>
        <v>10336.443340330668</v>
      </c>
    </row>
    <row r="657" spans="1:43" ht="15.75">
      <c r="A657" s="174" t="s">
        <v>69</v>
      </c>
      <c r="B657" s="232" t="s">
        <v>68</v>
      </c>
      <c r="C657" s="157">
        <v>1</v>
      </c>
      <c r="D657" s="157" t="s">
        <v>468</v>
      </c>
      <c r="E657" s="177" t="s">
        <v>468</v>
      </c>
      <c r="F657" s="233" t="s">
        <v>541</v>
      </c>
      <c r="G657" s="234">
        <v>42963</v>
      </c>
      <c r="H657" s="157" t="s">
        <v>815</v>
      </c>
      <c r="I657" s="157" t="s">
        <v>812</v>
      </c>
      <c r="J657" s="237">
        <v>29740</v>
      </c>
      <c r="K657" s="175" t="s">
        <v>61</v>
      </c>
      <c r="L657" s="175" t="s">
        <v>439</v>
      </c>
      <c r="M657" s="175" t="s">
        <v>1343</v>
      </c>
      <c r="N657" s="180"/>
      <c r="O657" s="177"/>
      <c r="P657" s="181">
        <v>0</v>
      </c>
      <c r="Q657" s="177">
        <v>42956</v>
      </c>
      <c r="R657" s="178">
        <v>459.54293999999999</v>
      </c>
      <c r="S657" s="179">
        <v>247785.79345333518</v>
      </c>
      <c r="T657" s="182" t="s">
        <v>45</v>
      </c>
      <c r="U657" s="183">
        <v>3.1454</v>
      </c>
      <c r="V657" s="179">
        <v>10913.489533333333</v>
      </c>
      <c r="W657" s="179">
        <v>3102.1032733323996</v>
      </c>
      <c r="X657" s="196" t="s">
        <v>45</v>
      </c>
      <c r="Y657" s="183">
        <v>3.1454</v>
      </c>
      <c r="Z657" s="220" t="s">
        <v>473</v>
      </c>
      <c r="AA657" s="172">
        <f>Delivery[[#This Row],[Quantity delivered]]*VLOOKUP(Delivery[[#This Row],[Unit]],References!$U:$X,4,FALSE)*VLOOKUP(CONCATENATE(Delivery[[#This Row],[Coffee specie]],Delivery[[#This Row],[Coffee state]]),References!$U:$X,4,FALSE)</f>
        <v>29740</v>
      </c>
      <c r="AB657" s="173">
        <f>SUMIF(Allocation!C:C,Delivery[[#This Row],[Delivery ID]],Allocation!D:D)/Delivery[[#This Row],[Quantity delivered]]</f>
        <v>6.4223268325487554E-2</v>
      </c>
      <c r="AC657" s="170">
        <f>Delivery[[#This Row],[Quantity delivered]]*Delivery[[#This Row],[Base price (Unidad)]]/60</f>
        <v>227780.11726</v>
      </c>
      <c r="AD657" s="171">
        <f>Delivery[[#This Row],[Nespresso total]]-Delivery[[#This Row],[Qt. Delivery * Base Price]]</f>
        <v>20005.676193335181</v>
      </c>
      <c r="AE657" s="171">
        <f>Delivery[[#This Row],[AAA Premium (total)]]/Delivery[[#This Row],[Quantity delivered]]*60/Delivery[[#This Row],[Exchange rate VS USD]]</f>
        <v>6.9999999999999991</v>
      </c>
      <c r="AF657" s="171">
        <f>Delivery[[#This Row],[BEN premium (total)]]/Delivery[[#This Row],[Quantity delivered]]*60/Delivery[[#This Row],[Exchange rate for premiums VS USD]]</f>
        <v>1.9897139999999998</v>
      </c>
      <c r="AG657" s="171">
        <f>COUNTIF(Delivery[Delivery ID],Delivery[[#This Row],[Delivery ID]])</f>
        <v>1</v>
      </c>
      <c r="AH657" s="171">
        <f>(Delivery[[#This Row],[Nespresso total]]/SUMIF(Allocation!C:C,Delivery[Delivery ID],Allocation!H:H))/Delivery[[#This Row],[Exchange rate VS USD]]</f>
        <v>137.48201809281377</v>
      </c>
      <c r="AI657" s="171">
        <f>(Delivery[[#This Row],[AAA Premium (total)]]/SUMIF(Allocation!C:C,Delivery[Delivery ID],Allocation!H:H))/Delivery[[#This Row],[Exchange rate VS USD]]</f>
        <v>6.0552646887725414</v>
      </c>
      <c r="AJ657" s="171">
        <f>Delivery[[#This Row],[Valor Prêmio Nespresso AAA por Kg (em US$)]]*60</f>
        <v>363.3158813263525</v>
      </c>
      <c r="AK657" s="171">
        <f>Delivery[[#This Row],[Valor Prêmio Nespresso AAA por saca (em US$)]]/1.3228/100</f>
        <v>2.7465669891620239</v>
      </c>
      <c r="AL657" s="171">
        <f>(Delivery[[#This Row],[BEN premium (total)]]/SUMIF(Allocation!C:C,Delivery[Delivery ID],Allocation!H:H))/Delivery[[#This Row],[Exchange rate for premiums VS USD]]</f>
        <v>1.7211778464223384</v>
      </c>
      <c r="AM657" s="171">
        <f>Delivery[[#This Row],[Valor Prêmio Nespresso BEN por Kg (em US$)]]*60</f>
        <v>103.2706707853403</v>
      </c>
      <c r="AN657" s="171">
        <f>Delivery[[#This Row],[Valor Prêmio Nespresso BEN por saca (em US$)]]/1.3228/100</f>
        <v>0.78069754146764669</v>
      </c>
      <c r="AO657" s="171">
        <f>SUMIF(Allocation[Delivery ID],Delivery[[#This Row],[Delivery ID]],Allocation[Quantity allocated])*16*1.3228*Delivery[[#This Row],[Exchange rate VS USD]]/60</f>
        <v>635.76032633599993</v>
      </c>
      <c r="AP657" s="171">
        <f>Delivery[[#This Row],[AAA Premium (total)]]</f>
        <v>10913.489533333333</v>
      </c>
      <c r="AQ657" s="171">
        <f>Delivery[[#This Row],[Valor pago pelo Cluster]]-Delivery[[#This Row],[Valor efetivamente pago pela Nespresso]]</f>
        <v>10277.729206997334</v>
      </c>
    </row>
    <row r="658" spans="1:43" ht="15.75">
      <c r="A658" s="174" t="s">
        <v>69</v>
      </c>
      <c r="B658" s="232" t="s">
        <v>68</v>
      </c>
      <c r="C658" s="157">
        <v>1</v>
      </c>
      <c r="D658" s="157" t="s">
        <v>468</v>
      </c>
      <c r="E658" s="176" t="s">
        <v>468</v>
      </c>
      <c r="F658" s="233" t="s">
        <v>541</v>
      </c>
      <c r="G658" s="234">
        <v>42964</v>
      </c>
      <c r="H658" s="157" t="s">
        <v>816</v>
      </c>
      <c r="I658" s="157" t="s">
        <v>812</v>
      </c>
      <c r="J658" s="237">
        <v>20058.5</v>
      </c>
      <c r="K658" s="175" t="s">
        <v>61</v>
      </c>
      <c r="L658" s="175" t="s">
        <v>439</v>
      </c>
      <c r="M658" s="175" t="s">
        <v>1343</v>
      </c>
      <c r="N658" s="180"/>
      <c r="O658" s="177"/>
      <c r="P658" s="181">
        <v>0</v>
      </c>
      <c r="Q658" s="177">
        <v>42956</v>
      </c>
      <c r="R658" s="178">
        <v>459.54293999999999</v>
      </c>
      <c r="S658" s="179">
        <v>161924.95841908958</v>
      </c>
      <c r="T658" s="182" t="s">
        <v>45</v>
      </c>
      <c r="U658" s="183">
        <v>3.1454</v>
      </c>
      <c r="V658" s="179">
        <v>7360.7340216666671</v>
      </c>
      <c r="W658" s="179">
        <v>2092.2507904552099</v>
      </c>
      <c r="X658" s="196" t="s">
        <v>45</v>
      </c>
      <c r="Y658" s="183">
        <v>3.1454</v>
      </c>
      <c r="Z658" s="220" t="s">
        <v>473</v>
      </c>
      <c r="AA658" s="172">
        <f>Delivery[[#This Row],[Quantity delivered]]*VLOOKUP(Delivery[[#This Row],[Unit]],References!$U:$X,4,FALSE)*VLOOKUP(CONCATENATE(Delivery[[#This Row],[Coffee specie]],Delivery[[#This Row],[Coffee state]]),References!$U:$X,4,FALSE)</f>
        <v>20058.5</v>
      </c>
      <c r="AB658" s="173">
        <f>SUMIF(Allocation!C:C,Delivery[[#This Row],[Delivery ID]],Allocation!D:D)/Delivery[[#This Row],[Quantity delivered]]</f>
        <v>4.6364384176284371E-2</v>
      </c>
      <c r="AC658" s="170">
        <f>Delivery[[#This Row],[Quantity delivered]]*Delivery[[#This Row],[Base price (Unidad)]]/60</f>
        <v>153629.03436650001</v>
      </c>
      <c r="AD658" s="171">
        <f>Delivery[[#This Row],[Nespresso total]]-Delivery[[#This Row],[Qt. Delivery * Base Price]]</f>
        <v>8295.924052589573</v>
      </c>
      <c r="AE658" s="171">
        <f>Delivery[[#This Row],[AAA Premium (total)]]/Delivery[[#This Row],[Quantity delivered]]*60/Delivery[[#This Row],[Exchange rate VS USD]]</f>
        <v>7</v>
      </c>
      <c r="AF658" s="171">
        <f>Delivery[[#This Row],[BEN premium (total)]]/Delivery[[#This Row],[Quantity delivered]]*60/Delivery[[#This Row],[Exchange rate for premiums VS USD]]</f>
        <v>1.989714</v>
      </c>
      <c r="AG658" s="171">
        <f>COUNTIF(Delivery[Delivery ID],Delivery[[#This Row],[Delivery ID]])</f>
        <v>1</v>
      </c>
      <c r="AH658" s="171">
        <f>(Delivery[[#This Row],[Nespresso total]]/SUMIF(Allocation!C:C,Delivery[Delivery ID],Allocation!H:H))/Delivery[[#This Row],[Exchange rate VS USD]]</f>
        <v>184.51586286338789</v>
      </c>
      <c r="AI658" s="171">
        <f>(Delivery[[#This Row],[AAA Premium (total)]]/SUMIF(Allocation!C:C,Delivery[Delivery ID],Allocation!H:H))/Delivery[[#This Row],[Exchange rate VS USD]]</f>
        <v>8.3876642771804075</v>
      </c>
      <c r="AJ658" s="171">
        <f>Delivery[[#This Row],[Valor Prêmio Nespresso AAA por Kg (em US$)]]*60</f>
        <v>503.25985663082446</v>
      </c>
      <c r="AK658" s="171">
        <f>Delivery[[#This Row],[Valor Prêmio Nespresso AAA por saca (em US$)]]/1.3228/100</f>
        <v>3.8045045103630515</v>
      </c>
      <c r="AL658" s="171">
        <f>(Delivery[[#This Row],[BEN premium (total)]]/SUMIF(Allocation!C:C,Delivery[Delivery ID],Allocation!H:H))/Delivery[[#This Row],[Exchange rate for premiums VS USD]]</f>
        <v>2.3841504342293907</v>
      </c>
      <c r="AM658" s="171">
        <f>Delivery[[#This Row],[Valor Prêmio Nespresso BEN por Kg (em US$)]]*60</f>
        <v>143.04902605376344</v>
      </c>
      <c r="AN658" s="171">
        <f>Delivery[[#This Row],[Valor Prêmio Nespresso BEN por saca (em US$)]]/1.3228/100</f>
        <v>1.081410841047501</v>
      </c>
      <c r="AO658" s="171">
        <f>SUMIF(Allocation[Delivery ID],Delivery[[#This Row],[Delivery ID]],Allocation[Quantity allocated])*16*1.3228*Delivery[[#This Row],[Exchange rate VS USD]]/60</f>
        <v>309.55869292799997</v>
      </c>
      <c r="AP658" s="171">
        <f>Delivery[[#This Row],[AAA Premium (total)]]</f>
        <v>7360.7340216666671</v>
      </c>
      <c r="AQ658" s="171">
        <f>Delivery[[#This Row],[Valor pago pelo Cluster]]-Delivery[[#This Row],[Valor efetivamente pago pela Nespresso]]</f>
        <v>7051.1753287386673</v>
      </c>
    </row>
    <row r="659" spans="1:43" ht="15.75">
      <c r="A659" s="174" t="s">
        <v>69</v>
      </c>
      <c r="B659" s="232" t="s">
        <v>68</v>
      </c>
      <c r="C659" s="157">
        <v>1</v>
      </c>
      <c r="D659" s="157" t="s">
        <v>468</v>
      </c>
      <c r="E659" s="177" t="s">
        <v>468</v>
      </c>
      <c r="F659" s="233" t="s">
        <v>541</v>
      </c>
      <c r="G659" s="234">
        <v>42982</v>
      </c>
      <c r="H659" s="157" t="s">
        <v>817</v>
      </c>
      <c r="I659" s="157" t="s">
        <v>480</v>
      </c>
      <c r="J659" s="237">
        <v>10847</v>
      </c>
      <c r="K659" s="175" t="s">
        <v>61</v>
      </c>
      <c r="L659" s="175" t="s">
        <v>439</v>
      </c>
      <c r="M659" s="175" t="s">
        <v>1343</v>
      </c>
      <c r="N659" s="180"/>
      <c r="O659" s="177"/>
      <c r="P659" s="181">
        <v>0</v>
      </c>
      <c r="Q659" s="177">
        <v>42635</v>
      </c>
      <c r="R659" s="178">
        <v>581.15199999999993</v>
      </c>
      <c r="S659" s="179">
        <v>107452.85799070078</v>
      </c>
      <c r="T659" s="182" t="s">
        <v>45</v>
      </c>
      <c r="U659" s="183">
        <v>3.52</v>
      </c>
      <c r="V659" s="179">
        <v>4460</v>
      </c>
      <c r="W659" s="179">
        <v>1392.7860046496</v>
      </c>
      <c r="X659" s="196" t="s">
        <v>45</v>
      </c>
      <c r="Y659" s="183">
        <v>3.52</v>
      </c>
      <c r="Z659" s="220" t="s">
        <v>473</v>
      </c>
      <c r="AA659" s="172">
        <f>Delivery[[#This Row],[Quantity delivered]]*VLOOKUP(Delivery[[#This Row],[Unit]],References!$U:$X,4,FALSE)*VLOOKUP(CONCATENATE(Delivery[[#This Row],[Coffee specie]],Delivery[[#This Row],[Coffee state]]),References!$U:$X,4,FALSE)</f>
        <v>10847</v>
      </c>
      <c r="AB659" s="173">
        <f>SUMIF(Allocation!C:C,Delivery[[#This Row],[Delivery ID]],Allocation!D:D)/Delivery[[#This Row],[Quantity delivered]]</f>
        <v>4.3329952982391444E-2</v>
      </c>
      <c r="AC659" s="170">
        <f>Delivery[[#This Row],[Quantity delivered]]*Delivery[[#This Row],[Base price (Unidad)]]/60</f>
        <v>105062.59573333332</v>
      </c>
      <c r="AD659" s="171">
        <f>Delivery[[#This Row],[Nespresso total]]-Delivery[[#This Row],[Qt. Delivery * Base Price]]</f>
        <v>2390.2622573674598</v>
      </c>
      <c r="AE659" s="171">
        <f>Delivery[[#This Row],[AAA Premium (total)]]/Delivery[[#This Row],[Quantity delivered]]*60/Delivery[[#This Row],[Exchange rate VS USD]]</f>
        <v>7.0086408474902981</v>
      </c>
      <c r="AF659" s="171">
        <f>Delivery[[#This Row],[BEN premium (total)]]/Delivery[[#This Row],[Quantity delivered]]*60/Delivery[[#This Row],[Exchange rate for premiums VS USD]]</f>
        <v>2.1886854000000002</v>
      </c>
      <c r="AG659" s="171">
        <f>COUNTIF(Delivery[Delivery ID],Delivery[[#This Row],[Delivery ID]])</f>
        <v>1</v>
      </c>
      <c r="AH659" s="171">
        <f>(Delivery[[#This Row],[Nespresso total]]/SUMIF(Allocation!C:C,Delivery[Delivery ID],Allocation!H:H))/Delivery[[#This Row],[Exchange rate VS USD]]</f>
        <v>196.944387812868</v>
      </c>
      <c r="AI659" s="171">
        <f>(Delivery[[#This Row],[AAA Premium (total)]]/SUMIF(Allocation!C:C,Delivery[Delivery ID],Allocation!H:H))/Delivery[[#This Row],[Exchange rate VS USD]]</f>
        <v>8.174486803519061</v>
      </c>
      <c r="AJ659" s="171">
        <f>Delivery[[#This Row],[Valor Prêmio Nespresso AAA por Kg (em US$)]]*60</f>
        <v>490.46920821114367</v>
      </c>
      <c r="AK659" s="171">
        <f>Delivery[[#This Row],[Valor Prêmio Nespresso AAA por saca (em US$)]]/1.3228/100</f>
        <v>3.7078107666400335</v>
      </c>
      <c r="AL659" s="171">
        <f>(Delivery[[#This Row],[BEN premium (total)]]/SUMIF(Allocation!C:C,Delivery[Delivery ID],Allocation!H:H))/Delivery[[#This Row],[Exchange rate for premiums VS USD]]</f>
        <v>2.552760272451613</v>
      </c>
      <c r="AM659" s="171">
        <f>Delivery[[#This Row],[Valor Prêmio Nespresso BEN por Kg (em US$)]]*60</f>
        <v>153.16561634709677</v>
      </c>
      <c r="AN659" s="171">
        <f>Delivery[[#This Row],[Valor Prêmio Nespresso BEN por saca (em US$)]]/1.3228/100</f>
        <v>1.1578894492523191</v>
      </c>
      <c r="AO659" s="171">
        <f>SUMIF(Allocation[Delivery ID],Delivery[[#This Row],[Delivery ID]],Allocation[Quantity allocated])*16*1.3228*Delivery[[#This Row],[Exchange rate VS USD]]/60</f>
        <v>192.45858133333331</v>
      </c>
      <c r="AP659" s="171">
        <f>Delivery[[#This Row],[AAA Premium (total)]]</f>
        <v>4460</v>
      </c>
      <c r="AQ659" s="171">
        <f>Delivery[[#This Row],[Valor pago pelo Cluster]]-Delivery[[#This Row],[Valor efetivamente pago pela Nespresso]]</f>
        <v>4267.5414186666667</v>
      </c>
    </row>
    <row r="660" spans="1:43" ht="15.75">
      <c r="A660" s="174" t="s">
        <v>69</v>
      </c>
      <c r="B660" s="232" t="s">
        <v>68</v>
      </c>
      <c r="C660" s="157">
        <v>1</v>
      </c>
      <c r="D660" s="157" t="s">
        <v>468</v>
      </c>
      <c r="E660" s="177" t="s">
        <v>468</v>
      </c>
      <c r="F660" s="233" t="s">
        <v>541</v>
      </c>
      <c r="G660" s="234">
        <v>42982</v>
      </c>
      <c r="H660" s="157" t="s">
        <v>818</v>
      </c>
      <c r="I660" s="157" t="s">
        <v>480</v>
      </c>
      <c r="J660" s="237">
        <v>19116</v>
      </c>
      <c r="K660" s="175" t="s">
        <v>61</v>
      </c>
      <c r="L660" s="175" t="s">
        <v>439</v>
      </c>
      <c r="M660" s="175" t="s">
        <v>1343</v>
      </c>
      <c r="N660" s="180"/>
      <c r="O660" s="177"/>
      <c r="P660" s="181">
        <v>0</v>
      </c>
      <c r="Q660" s="177">
        <v>42635</v>
      </c>
      <c r="R660" s="178">
        <v>581.15199999999993</v>
      </c>
      <c r="S660" s="179">
        <v>189367.47121418238</v>
      </c>
      <c r="T660" s="182" t="s">
        <v>45</v>
      </c>
      <c r="U660" s="183">
        <v>3.52</v>
      </c>
      <c r="V660" s="179">
        <v>7860</v>
      </c>
      <c r="W660" s="179">
        <v>2454.5493929087997</v>
      </c>
      <c r="X660" s="196" t="s">
        <v>45</v>
      </c>
      <c r="Y660" s="183">
        <v>3.52</v>
      </c>
      <c r="Z660" s="220" t="s">
        <v>473</v>
      </c>
      <c r="AA660" s="172">
        <f>Delivery[[#This Row],[Quantity delivered]]*VLOOKUP(Delivery[[#This Row],[Unit]],References!$U:$X,4,FALSE)*VLOOKUP(CONCATENATE(Delivery[[#This Row],[Coffee specie]],Delivery[[#This Row],[Coffee state]]),References!$U:$X,4,FALSE)</f>
        <v>19116</v>
      </c>
      <c r="AB660" s="173">
        <f>SUMIF(Allocation!C:C,Delivery[[#This Row],[Delivery ID]],Allocation!D:D)/Delivery[[#This Row],[Quantity delivered]]</f>
        <v>5.1056706423938066E-2</v>
      </c>
      <c r="AC660" s="170">
        <f>Delivery[[#This Row],[Quantity delivered]]*Delivery[[#This Row],[Base price (Unidad)]]/60</f>
        <v>185155.02719999998</v>
      </c>
      <c r="AD660" s="171">
        <f>Delivery[[#This Row],[Nespresso total]]-Delivery[[#This Row],[Qt. Delivery * Base Price]]</f>
        <v>4212.4440141824016</v>
      </c>
      <c r="AE660" s="171">
        <f>Delivery[[#This Row],[AAA Premium (total)]]/Delivery[[#This Row],[Quantity delivered]]*60/Delivery[[#This Row],[Exchange rate VS USD]]</f>
        <v>7.0086457798322215</v>
      </c>
      <c r="AF660" s="171">
        <f>Delivery[[#This Row],[BEN premium (total)]]/Delivery[[#This Row],[Quantity delivered]]*60/Delivery[[#This Row],[Exchange rate for premiums VS USD]]</f>
        <v>2.1886853999999998</v>
      </c>
      <c r="AG660" s="171">
        <f>COUNTIF(Delivery[Delivery ID],Delivery[[#This Row],[Delivery ID]])</f>
        <v>1</v>
      </c>
      <c r="AH660" s="171">
        <f>(Delivery[[#This Row],[Nespresso total]]/SUMIF(Allocation!C:C,Delivery[Delivery ID],Allocation!H:H))/Delivery[[#This Row],[Exchange rate VS USD]]</f>
        <v>167.07322065057028</v>
      </c>
      <c r="AI660" s="171">
        <f>(Delivery[[#This Row],[AAA Premium (total)]]/SUMIF(Allocation!C:C,Delivery[Delivery ID],Allocation!H:H))/Delivery[[#This Row],[Exchange rate VS USD]]</f>
        <v>6.9346414455110112</v>
      </c>
      <c r="AJ660" s="171">
        <f>Delivery[[#This Row],[Valor Prêmio Nespresso AAA por Kg (em US$)]]*60</f>
        <v>416.0784867306607</v>
      </c>
      <c r="AK660" s="171">
        <f>Delivery[[#This Row],[Valor Prêmio Nespresso AAA por saca (em US$)]]/1.3228/100</f>
        <v>3.145437607579836</v>
      </c>
      <c r="AL660" s="171">
        <f>(Delivery[[#This Row],[BEN premium (total)]]/SUMIF(Allocation!C:C,Delivery[Delivery ID],Allocation!H:H))/Delivery[[#This Row],[Exchange rate for premiums VS USD]]</f>
        <v>2.1655750572670804</v>
      </c>
      <c r="AM660" s="171">
        <f>Delivery[[#This Row],[Valor Prêmio Nespresso BEN por Kg (em US$)]]*60</f>
        <v>129.93450343602484</v>
      </c>
      <c r="AN660" s="171">
        <f>Delivery[[#This Row],[Valor Prêmio Nespresso BEN por saca (em US$)]]/1.3228/100</f>
        <v>0.9822686984882435</v>
      </c>
      <c r="AO660" s="171">
        <f>SUMIF(Allocation[Delivery ID],Delivery[[#This Row],[Delivery ID]],Allocation[Quantity allocated])*16*1.3228*Delivery[[#This Row],[Exchange rate VS USD]]/60</f>
        <v>399.81718186666666</v>
      </c>
      <c r="AP660" s="171">
        <f>Delivery[[#This Row],[AAA Premium (total)]]</f>
        <v>7860</v>
      </c>
      <c r="AQ660" s="171">
        <f>Delivery[[#This Row],[Valor pago pelo Cluster]]-Delivery[[#This Row],[Valor efetivamente pago pela Nespresso]]</f>
        <v>7460.1828181333331</v>
      </c>
    </row>
    <row r="661" spans="1:43" ht="15.75">
      <c r="A661" s="174" t="s">
        <v>69</v>
      </c>
      <c r="B661" s="232" t="s">
        <v>68</v>
      </c>
      <c r="C661" s="157">
        <v>1</v>
      </c>
      <c r="D661" s="157" t="s">
        <v>468</v>
      </c>
      <c r="E661" s="177" t="s">
        <v>468</v>
      </c>
      <c r="F661" s="233" t="s">
        <v>541</v>
      </c>
      <c r="G661" s="234">
        <v>42982</v>
      </c>
      <c r="H661" s="157" t="s">
        <v>819</v>
      </c>
      <c r="I661" s="157" t="s">
        <v>480</v>
      </c>
      <c r="J661" s="237">
        <v>10497</v>
      </c>
      <c r="K661" s="175" t="s">
        <v>61</v>
      </c>
      <c r="L661" s="175" t="s">
        <v>439</v>
      </c>
      <c r="M661" s="175" t="s">
        <v>1343</v>
      </c>
      <c r="N661" s="180"/>
      <c r="O661" s="177"/>
      <c r="P661" s="181">
        <v>0</v>
      </c>
      <c r="Q661" s="177">
        <v>42635</v>
      </c>
      <c r="R661" s="178">
        <v>581.15199999999993</v>
      </c>
      <c r="S661" s="179">
        <v>103854.10850446079</v>
      </c>
      <c r="T661" s="182" t="s">
        <v>45</v>
      </c>
      <c r="U661" s="183">
        <v>3.52</v>
      </c>
      <c r="V661" s="179">
        <v>4310.768</v>
      </c>
      <c r="W661" s="179">
        <v>1347.8449977696</v>
      </c>
      <c r="X661" s="196" t="s">
        <v>45</v>
      </c>
      <c r="Y661" s="183">
        <v>3.52</v>
      </c>
      <c r="Z661" s="220" t="s">
        <v>473</v>
      </c>
      <c r="AA661" s="201">
        <f>Delivery[[#This Row],[Quantity delivered]]*VLOOKUP(Delivery[[#This Row],[Unit]],References!$U:$X,4,FALSE)*VLOOKUP(CONCATENATE(Delivery[[#This Row],[Coffee specie]],Delivery[[#This Row],[Coffee state]]),References!$U:$X,4,FALSE)</f>
        <v>10497</v>
      </c>
      <c r="AB661" s="202">
        <f>SUMIF(Allocation!C:C,Delivery[[#This Row],[Delivery ID]],Allocation!D:D)/Delivery[[#This Row],[Quantity delivered]]</f>
        <v>5.1062208249976183E-2</v>
      </c>
      <c r="AC661" s="203">
        <f>Delivery[[#This Row],[Quantity delivered]]*Delivery[[#This Row],[Base price (Unidad)]]/60</f>
        <v>101672.54239999998</v>
      </c>
      <c r="AD661" s="204">
        <f>Delivery[[#This Row],[Nespresso total]]-Delivery[[#This Row],[Qt. Delivery * Base Price]]</f>
        <v>2181.5661044608132</v>
      </c>
      <c r="AE661" s="204">
        <f>Delivery[[#This Row],[AAA Premium (total)]]/Delivery[[#This Row],[Quantity delivered]]*60/Delivery[[#This Row],[Exchange rate VS USD]]</f>
        <v>7</v>
      </c>
      <c r="AF661" s="204">
        <f>Delivery[[#This Row],[BEN premium (total)]]/Delivery[[#This Row],[Quantity delivered]]*60/Delivery[[#This Row],[Exchange rate for premiums VS USD]]</f>
        <v>2.1886854000000002</v>
      </c>
      <c r="AG661" s="204">
        <f>COUNTIF(Delivery[Delivery ID],Delivery[[#This Row],[Delivery ID]])</f>
        <v>1</v>
      </c>
      <c r="AH661" s="204">
        <f>(Delivery[[#This Row],[Nespresso total]]/SUMIF(Allocation!C:C,Delivery[Delivery ID],Allocation!H:H))/Delivery[[#This Row],[Exchange rate VS USD]]</f>
        <v>166.68931128733436</v>
      </c>
      <c r="AI661" s="204">
        <f>(Delivery[[#This Row],[AAA Premium (total)]]/SUMIF(Allocation!C:C,Delivery[Delivery ID],Allocation!H:H))/Delivery[[#This Row],[Exchange rate VS USD]]</f>
        <v>6.9189265536723159</v>
      </c>
      <c r="AJ661" s="204">
        <f>Delivery[[#This Row],[Valor Prêmio Nespresso AAA por Kg (em US$)]]*60</f>
        <v>415.13559322033893</v>
      </c>
      <c r="AK661" s="204">
        <f>Delivery[[#This Row],[Valor Prêmio Nespresso AAA por saca (em US$)]]/1.3228/100</f>
        <v>3.138309594952668</v>
      </c>
      <c r="AL661" s="204">
        <f>(Delivery[[#This Row],[BEN premium (total)]]/SUMIF(Allocation!C:C,Delivery[Delivery ID],Allocation!H:H))/Delivery[[#This Row],[Exchange rate for premiums VS USD]]</f>
        <v>2.1633362188135594</v>
      </c>
      <c r="AM661" s="204">
        <f>Delivery[[#This Row],[Valor Prêmio Nespresso BEN por Kg (em US$)]]*60</f>
        <v>129.80017312881355</v>
      </c>
      <c r="AN661" s="204">
        <f>Delivery[[#This Row],[Valor Prêmio Nespresso BEN por saca (em US$)]]/1.3228/100</f>
        <v>0.98125319873611705</v>
      </c>
      <c r="AO661" s="204">
        <f>SUMIF(Allocation[Delivery ID],Delivery[[#This Row],[Delivery ID]],Allocation[Quantity allocated])*16*1.3228*Delivery[[#This Row],[Exchange rate VS USD]]/60</f>
        <v>219.77528319999999</v>
      </c>
      <c r="AP661" s="204">
        <f>Delivery[[#This Row],[AAA Premium (total)]]</f>
        <v>4310.768</v>
      </c>
      <c r="AQ661" s="204">
        <f>Delivery[[#This Row],[Valor pago pelo Cluster]]-Delivery[[#This Row],[Valor efetivamente pago pela Nespresso]]</f>
        <v>4090.9927167999999</v>
      </c>
    </row>
    <row r="662" spans="1:43" ht="15.75">
      <c r="A662" s="174" t="s">
        <v>69</v>
      </c>
      <c r="B662" s="232" t="s">
        <v>68</v>
      </c>
      <c r="C662" s="157">
        <v>1</v>
      </c>
      <c r="D662" s="157" t="s">
        <v>468</v>
      </c>
      <c r="E662" s="177" t="s">
        <v>468</v>
      </c>
      <c r="F662" s="233" t="s">
        <v>541</v>
      </c>
      <c r="G662" s="234">
        <v>42982</v>
      </c>
      <c r="H662" s="157" t="s">
        <v>820</v>
      </c>
      <c r="I662" s="157" t="s">
        <v>480</v>
      </c>
      <c r="J662" s="237">
        <v>19613</v>
      </c>
      <c r="K662" s="175" t="s">
        <v>61</v>
      </c>
      <c r="L662" s="175" t="s">
        <v>439</v>
      </c>
      <c r="M662" s="175" t="s">
        <v>1343</v>
      </c>
      <c r="N662" s="180"/>
      <c r="O662" s="177"/>
      <c r="P662" s="181">
        <v>0</v>
      </c>
      <c r="Q662" s="177">
        <v>42635</v>
      </c>
      <c r="R662" s="178">
        <v>581.15199999999993</v>
      </c>
      <c r="S662" s="179">
        <v>194045.0252546432</v>
      </c>
      <c r="T662" s="182" t="s">
        <v>45</v>
      </c>
      <c r="U662" s="183">
        <v>3.52</v>
      </c>
      <c r="V662" s="179">
        <v>8054.4053333333331</v>
      </c>
      <c r="W662" s="179">
        <v>2518.3656226783996</v>
      </c>
      <c r="X662" s="196" t="s">
        <v>45</v>
      </c>
      <c r="Y662" s="183">
        <v>3.52</v>
      </c>
      <c r="Z662" s="220" t="s">
        <v>473</v>
      </c>
      <c r="AA662" s="201">
        <f>Delivery[[#This Row],[Quantity delivered]]*VLOOKUP(Delivery[[#This Row],[Unit]],References!$U:$X,4,FALSE)*VLOOKUP(CONCATENATE(Delivery[[#This Row],[Coffee specie]],Delivery[[#This Row],[Coffee state]]),References!$U:$X,4,FALSE)</f>
        <v>19613</v>
      </c>
      <c r="AB662" s="202">
        <f>SUMIF(Allocation!C:C,Delivery[[#This Row],[Delivery ID]],Allocation!D:D)/Delivery[[#This Row],[Quantity delivered]]</f>
        <v>5.098659052669148E-2</v>
      </c>
      <c r="AC662" s="203">
        <f>Delivery[[#This Row],[Quantity delivered]]*Delivery[[#This Row],[Base price (Unidad)]]/60</f>
        <v>189968.90293333333</v>
      </c>
      <c r="AD662" s="204">
        <f>Delivery[[#This Row],[Nespresso total]]-Delivery[[#This Row],[Qt. Delivery * Base Price]]</f>
        <v>4076.122321309871</v>
      </c>
      <c r="AE662" s="204">
        <f>Delivery[[#This Row],[AAA Premium (total)]]/Delivery[[#This Row],[Quantity delivered]]*60/Delivery[[#This Row],[Exchange rate VS USD]]</f>
        <v>7</v>
      </c>
      <c r="AF662" s="204">
        <f>Delivery[[#This Row],[BEN premium (total)]]/Delivery[[#This Row],[Quantity delivered]]*60/Delivery[[#This Row],[Exchange rate for premiums VS USD]]</f>
        <v>2.1886853999999998</v>
      </c>
      <c r="AG662" s="204">
        <f>COUNTIF(Delivery[Delivery ID],Delivery[[#This Row],[Delivery ID]])</f>
        <v>1</v>
      </c>
      <c r="AH662" s="204">
        <f>(Delivery[[#This Row],[Nespresso total]]/SUMIF(Allocation!C:C,Delivery[Delivery ID],Allocation!H:H))/Delivery[[#This Row],[Exchange rate VS USD]]</f>
        <v>167.04978069442424</v>
      </c>
      <c r="AI662" s="204">
        <f>(Delivery[[#This Row],[AAA Premium (total)]]/SUMIF(Allocation!C:C,Delivery[Delivery ID],Allocation!H:H))/Delivery[[#This Row],[Exchange rate VS USD]]</f>
        <v>6.9338888888888892</v>
      </c>
      <c r="AJ662" s="204">
        <f>Delivery[[#This Row],[Valor Prêmio Nespresso AAA por Kg (em US$)]]*60</f>
        <v>416.03333333333336</v>
      </c>
      <c r="AK662" s="204">
        <f>Delivery[[#This Row],[Valor Prêmio Nespresso AAA por saca (em US$)]]/1.3228/100</f>
        <v>3.1450962604576151</v>
      </c>
      <c r="AL662" s="204">
        <f>(Delivery[[#This Row],[BEN premium (total)]]/SUMIF(Allocation!C:C,Delivery[Delivery ID],Allocation!H:H))/Delivery[[#This Row],[Exchange rate for premiums VS USD]]</f>
        <v>2.1680144823333332</v>
      </c>
      <c r="AM662" s="204">
        <f>Delivery[[#This Row],[Valor Prêmio Nespresso BEN por Kg (em US$)]]*60</f>
        <v>130.08086893999999</v>
      </c>
      <c r="AN662" s="204">
        <f>Delivery[[#This Row],[Valor Prêmio Nespresso BEN por saca (em US$)]]/1.3228/100</f>
        <v>0.98337518097973986</v>
      </c>
      <c r="AO662" s="204">
        <f>SUMIF(Allocation[Delivery ID],Delivery[[#This Row],[Delivery ID]],Allocation[Quantity allocated])*16*1.3228*Delivery[[#This Row],[Exchange rate VS USD]]/60</f>
        <v>409.75052799999997</v>
      </c>
      <c r="AP662" s="204">
        <f>Delivery[[#This Row],[AAA Premium (total)]]</f>
        <v>8054.4053333333331</v>
      </c>
      <c r="AQ662" s="204">
        <f>Delivery[[#This Row],[Valor pago pelo Cluster]]-Delivery[[#This Row],[Valor efetivamente pago pela Nespresso]]</f>
        <v>7644.6548053333336</v>
      </c>
    </row>
    <row r="663" spans="1:43" ht="15.75">
      <c r="A663" s="174" t="s">
        <v>69</v>
      </c>
      <c r="B663" s="232" t="s">
        <v>68</v>
      </c>
      <c r="C663" s="157">
        <v>1</v>
      </c>
      <c r="D663" s="157" t="s">
        <v>468</v>
      </c>
      <c r="E663" s="177" t="s">
        <v>468</v>
      </c>
      <c r="F663" s="233" t="s">
        <v>541</v>
      </c>
      <c r="G663" s="234">
        <v>42982</v>
      </c>
      <c r="H663" s="157" t="s">
        <v>821</v>
      </c>
      <c r="I663" s="157" t="s">
        <v>480</v>
      </c>
      <c r="J663" s="237">
        <v>18168</v>
      </c>
      <c r="K663" s="175" t="s">
        <v>61</v>
      </c>
      <c r="L663" s="175" t="s">
        <v>439</v>
      </c>
      <c r="M663" s="175" t="s">
        <v>1343</v>
      </c>
      <c r="N663" s="180"/>
      <c r="O663" s="177"/>
      <c r="P663" s="181">
        <v>0</v>
      </c>
      <c r="Q663" s="177">
        <v>42635</v>
      </c>
      <c r="R663" s="178">
        <v>581.15199999999993</v>
      </c>
      <c r="S663" s="179">
        <v>179748.63706859521</v>
      </c>
      <c r="T663" s="182" t="s">
        <v>45</v>
      </c>
      <c r="U663" s="183">
        <v>3.52</v>
      </c>
      <c r="V663" s="179">
        <v>7460.9920000000002</v>
      </c>
      <c r="W663" s="179">
        <v>2332.8234657024</v>
      </c>
      <c r="X663" s="196" t="s">
        <v>45</v>
      </c>
      <c r="Y663" s="183">
        <v>3.52</v>
      </c>
      <c r="Z663" s="220" t="s">
        <v>473</v>
      </c>
      <c r="AA663" s="201">
        <f>Delivery[[#This Row],[Quantity delivered]]*VLOOKUP(Delivery[[#This Row],[Unit]],References!$U:$X,4,FALSE)*VLOOKUP(CONCATENATE(Delivery[[#This Row],[Coffee specie]],Delivery[[#This Row],[Coffee state]]),References!$U:$X,4,FALSE)</f>
        <v>18168</v>
      </c>
      <c r="AB663" s="202">
        <f>SUMIF(Allocation!C:C,Delivery[[#This Row],[Delivery ID]],Allocation!D:D)/Delivery[[#This Row],[Quantity delivered]]</f>
        <v>0.4078049317481286</v>
      </c>
      <c r="AC663" s="203">
        <f>Delivery[[#This Row],[Quantity delivered]]*Delivery[[#This Row],[Base price (Unidad)]]/60</f>
        <v>175972.82559999998</v>
      </c>
      <c r="AD663" s="204">
        <f>Delivery[[#This Row],[Nespresso total]]-Delivery[[#This Row],[Qt. Delivery * Base Price]]</f>
        <v>3775.8114685952314</v>
      </c>
      <c r="AE663" s="204">
        <f>Delivery[[#This Row],[AAA Premium (total)]]/Delivery[[#This Row],[Quantity delivered]]*60/Delivery[[#This Row],[Exchange rate VS USD]]</f>
        <v>7</v>
      </c>
      <c r="AF663" s="204">
        <f>Delivery[[#This Row],[BEN premium (total)]]/Delivery[[#This Row],[Quantity delivered]]*60/Delivery[[#This Row],[Exchange rate for premiums VS USD]]</f>
        <v>2.1886854000000002</v>
      </c>
      <c r="AG663" s="204">
        <f>COUNTIF(Delivery[Delivery ID],Delivery[[#This Row],[Delivery ID]])</f>
        <v>1</v>
      </c>
      <c r="AH663" s="204">
        <f>(Delivery[[#This Row],[Nespresso total]]/SUMIF(Allocation!C:C,Delivery[Delivery ID],Allocation!H:H))/Delivery[[#This Row],[Exchange rate VS USD]]</f>
        <v>20.885461641173457</v>
      </c>
      <c r="AI663" s="204">
        <f>(Delivery[[#This Row],[AAA Premium (total)]]/SUMIF(Allocation!C:C,Delivery[Delivery ID],Allocation!H:H))/Delivery[[#This Row],[Exchange rate VS USD]]</f>
        <v>0.86691206543967281</v>
      </c>
      <c r="AJ663" s="204">
        <f>Delivery[[#This Row],[Valor Prêmio Nespresso AAA por Kg (em US$)]]*60</f>
        <v>52.01472392638037</v>
      </c>
      <c r="AK663" s="204">
        <f>Delivery[[#This Row],[Valor Prêmio Nespresso AAA por saca (em US$)]]/1.3228/100</f>
        <v>0.39321684250363148</v>
      </c>
      <c r="AL663" s="204">
        <f>(Delivery[[#This Row],[BEN premium (total)]]/SUMIF(Allocation!C:C,Delivery[Delivery ID],Allocation!H:H))/Delivery[[#This Row],[Exchange rate for premiums VS USD]]</f>
        <v>0.27105682581595092</v>
      </c>
      <c r="AM663" s="204">
        <f>Delivery[[#This Row],[Valor Prêmio Nespresso BEN por Kg (em US$)]]*60</f>
        <v>16.263409548957057</v>
      </c>
      <c r="AN663" s="204">
        <f>Delivery[[#This Row],[Valor Prêmio Nespresso BEN por saca (em US$)]]/1.3228/100</f>
        <v>0.1229468517459711</v>
      </c>
      <c r="AO663" s="204">
        <f>SUMIF(Allocation[Delivery ID],Delivery[[#This Row],[Delivery ID]],Allocation[Quantity allocated])*16*1.3228*Delivery[[#This Row],[Exchange rate VS USD]]/60</f>
        <v>3035.8789120000001</v>
      </c>
      <c r="AP663" s="204">
        <f>Delivery[[#This Row],[AAA Premium (total)]]</f>
        <v>7460.9920000000002</v>
      </c>
      <c r="AQ663" s="204">
        <f>Delivery[[#This Row],[Valor pago pelo Cluster]]-Delivery[[#This Row],[Valor efetivamente pago pela Nespresso]]</f>
        <v>4425.1130880000001</v>
      </c>
    </row>
    <row r="664" spans="1:43" ht="15.75">
      <c r="A664" s="174" t="s">
        <v>69</v>
      </c>
      <c r="B664" s="232" t="s">
        <v>68</v>
      </c>
      <c r="C664" s="157">
        <v>1</v>
      </c>
      <c r="D664" s="157" t="s">
        <v>468</v>
      </c>
      <c r="E664" s="177" t="s">
        <v>468</v>
      </c>
      <c r="F664" s="233" t="s">
        <v>541</v>
      </c>
      <c r="G664" s="234">
        <v>42982</v>
      </c>
      <c r="H664" s="157" t="s">
        <v>822</v>
      </c>
      <c r="I664" s="157" t="s">
        <v>480</v>
      </c>
      <c r="J664" s="237">
        <v>9414</v>
      </c>
      <c r="K664" s="175" t="s">
        <v>61</v>
      </c>
      <c r="L664" s="175" t="s">
        <v>439</v>
      </c>
      <c r="M664" s="175" t="s">
        <v>1343</v>
      </c>
      <c r="N664" s="180"/>
      <c r="O664" s="177"/>
      <c r="P664" s="181">
        <v>0</v>
      </c>
      <c r="Q664" s="177">
        <v>42635</v>
      </c>
      <c r="R664" s="178">
        <v>581.15199999999993</v>
      </c>
      <c r="S664" s="179">
        <v>93139.237635609592</v>
      </c>
      <c r="T664" s="182" t="s">
        <v>45</v>
      </c>
      <c r="U664" s="183">
        <v>3.52</v>
      </c>
      <c r="V664" s="179">
        <v>3866.0160000000001</v>
      </c>
      <c r="W664" s="179">
        <v>1208.7846821952</v>
      </c>
      <c r="X664" s="196" t="s">
        <v>45</v>
      </c>
      <c r="Y664" s="183">
        <v>3.52</v>
      </c>
      <c r="Z664" s="220" t="s">
        <v>473</v>
      </c>
      <c r="AA664" s="201">
        <f>Delivery[[#This Row],[Quantity delivered]]*VLOOKUP(Delivery[[#This Row],[Unit]],References!$U:$X,4,FALSE)*VLOOKUP(CONCATENATE(Delivery[[#This Row],[Coffee specie]],Delivery[[#This Row],[Coffee state]]),References!$U:$X,4,FALSE)</f>
        <v>9414</v>
      </c>
      <c r="AB664" s="202">
        <f>SUMIF(Allocation!C:C,Delivery[[#This Row],[Delivery ID]],Allocation!D:D)/Delivery[[#This Row],[Quantity delivered]]</f>
        <v>1</v>
      </c>
      <c r="AC664" s="203">
        <f>Delivery[[#This Row],[Quantity delivered]]*Delivery[[#This Row],[Base price (Unidad)]]/60</f>
        <v>91182.748799999987</v>
      </c>
      <c r="AD664" s="204">
        <f>Delivery[[#This Row],[Nespresso total]]-Delivery[[#This Row],[Qt. Delivery * Base Price]]</f>
        <v>1956.4888356096053</v>
      </c>
      <c r="AE664" s="204">
        <f>Delivery[[#This Row],[AAA Premium (total)]]/Delivery[[#This Row],[Quantity delivered]]*60/Delivery[[#This Row],[Exchange rate VS USD]]</f>
        <v>7</v>
      </c>
      <c r="AF664" s="204">
        <f>Delivery[[#This Row],[BEN premium (total)]]/Delivery[[#This Row],[Quantity delivered]]*60/Delivery[[#This Row],[Exchange rate for premiums VS USD]]</f>
        <v>2.1886854000000002</v>
      </c>
      <c r="AG664" s="204">
        <f>COUNTIF(Delivery[Delivery ID],Delivery[[#This Row],[Delivery ID]])</f>
        <v>1</v>
      </c>
      <c r="AH664" s="204">
        <f>(Delivery[[#This Row],[Nespresso total]]/SUMIF(Allocation!C:C,Delivery[Delivery ID],Allocation!H:H))/Delivery[[#This Row],[Exchange rate VS USD]]</f>
        <v>8.373421105042576</v>
      </c>
      <c r="AI664" s="204">
        <f>(Delivery[[#This Row],[AAA Premium (total)]]/SUMIF(Allocation!C:C,Delivery[Delivery ID],Allocation!H:H))/Delivery[[#This Row],[Exchange rate VS USD]]</f>
        <v>0.3475632911392405</v>
      </c>
      <c r="AJ664" s="204">
        <f>Delivery[[#This Row],[Valor Prêmio Nespresso AAA por Kg (em US$)]]*60</f>
        <v>20.853797468354429</v>
      </c>
      <c r="AK664" s="204">
        <f>Delivery[[#This Row],[Valor Prêmio Nespresso AAA por saca (em US$)]]/1.3228/100</f>
        <v>0.15764890738096787</v>
      </c>
      <c r="AL664" s="204">
        <f>(Delivery[[#This Row],[BEN premium (total)]]/SUMIF(Allocation!C:C,Delivery[Delivery ID],Allocation!H:H))/Delivery[[#This Row],[Exchange rate for premiums VS USD]]</f>
        <v>0.10867238584177215</v>
      </c>
      <c r="AM664" s="204">
        <f>Delivery[[#This Row],[Valor Prêmio Nespresso BEN por Kg (em US$)]]*60</f>
        <v>6.5203431505063287</v>
      </c>
      <c r="AN664" s="204">
        <f>Delivery[[#This Row],[Valor Prêmio Nespresso BEN por saca (em US$)]]/1.3228/100</f>
        <v>4.9291980272953798E-2</v>
      </c>
      <c r="AO664" s="204">
        <f>SUMIF(Allocation[Delivery ID],Delivery[[#This Row],[Delivery ID]],Allocation[Quantity allocated])*16*1.3228*Delivery[[#This Row],[Exchange rate VS USD]]/60</f>
        <v>3923.6717226666665</v>
      </c>
      <c r="AP664" s="204">
        <f>Delivery[[#This Row],[AAA Premium (total)]]</f>
        <v>3866.0160000000001</v>
      </c>
      <c r="AQ664" s="204">
        <f>Delivery[[#This Row],[Valor pago pelo Cluster]]-Delivery[[#This Row],[Valor efetivamente pago pela Nespresso]]</f>
        <v>-57.655722666666406</v>
      </c>
    </row>
    <row r="665" spans="1:43" ht="15.75">
      <c r="A665" s="174" t="s">
        <v>69</v>
      </c>
      <c r="B665" s="232" t="s">
        <v>68</v>
      </c>
      <c r="C665" s="157">
        <v>1</v>
      </c>
      <c r="D665" s="157" t="s">
        <v>468</v>
      </c>
      <c r="E665" s="177" t="s">
        <v>468</v>
      </c>
      <c r="F665" s="233" t="s">
        <v>541</v>
      </c>
      <c r="G665" s="234">
        <v>42982</v>
      </c>
      <c r="H665" s="157" t="s">
        <v>823</v>
      </c>
      <c r="I665" s="157" t="s">
        <v>480</v>
      </c>
      <c r="J665" s="237">
        <v>17160</v>
      </c>
      <c r="K665" s="175" t="s">
        <v>61</v>
      </c>
      <c r="L665" s="175" t="s">
        <v>439</v>
      </c>
      <c r="M665" s="175" t="s">
        <v>1343</v>
      </c>
      <c r="N665" s="180"/>
      <c r="O665" s="177"/>
      <c r="P665" s="181">
        <v>0</v>
      </c>
      <c r="Q665" s="177">
        <v>42635</v>
      </c>
      <c r="R665" s="178">
        <v>581.15199999999993</v>
      </c>
      <c r="S665" s="179">
        <v>169775.79326822396</v>
      </c>
      <c r="T665" s="182" t="s">
        <v>45</v>
      </c>
      <c r="U665" s="183">
        <v>3.52</v>
      </c>
      <c r="V665" s="179">
        <v>7047.04</v>
      </c>
      <c r="W665" s="179">
        <v>2203.3933658880001</v>
      </c>
      <c r="X665" s="196" t="s">
        <v>45</v>
      </c>
      <c r="Y665" s="183">
        <v>3.52</v>
      </c>
      <c r="Z665" s="220" t="s">
        <v>473</v>
      </c>
      <c r="AA665" s="201">
        <f>Delivery[[#This Row],[Quantity delivered]]*VLOOKUP(Delivery[[#This Row],[Unit]],References!$U:$X,4,FALSE)*VLOOKUP(CONCATENATE(Delivery[[#This Row],[Coffee specie]],Delivery[[#This Row],[Coffee state]]),References!$U:$X,4,FALSE)</f>
        <v>17160</v>
      </c>
      <c r="AB665" s="202">
        <f>SUMIF(Allocation!C:C,Delivery[[#This Row],[Delivery ID]],Allocation!D:D)/Delivery[[#This Row],[Quantity delivered]]</f>
        <v>0.4737762237762238</v>
      </c>
      <c r="AC665" s="203">
        <f>Delivery[[#This Row],[Quantity delivered]]*Delivery[[#This Row],[Base price (Unidad)]]/60</f>
        <v>166209.47199999998</v>
      </c>
      <c r="AD665" s="204">
        <f>Delivery[[#This Row],[Nespresso total]]-Delivery[[#This Row],[Qt. Delivery * Base Price]]</f>
        <v>3566.3212682239828</v>
      </c>
      <c r="AE665" s="204">
        <f>Delivery[[#This Row],[AAA Premium (total)]]/Delivery[[#This Row],[Quantity delivered]]*60/Delivery[[#This Row],[Exchange rate VS USD]]</f>
        <v>7</v>
      </c>
      <c r="AF665" s="204">
        <f>Delivery[[#This Row],[BEN premium (total)]]/Delivery[[#This Row],[Quantity delivered]]*60/Delivery[[#This Row],[Exchange rate for premiums VS USD]]</f>
        <v>2.1886854000000002</v>
      </c>
      <c r="AG665" s="204">
        <f>COUNTIF(Delivery[Delivery ID],Delivery[[#This Row],[Delivery ID]])</f>
        <v>1</v>
      </c>
      <c r="AH665" s="204">
        <f>(Delivery[[#This Row],[Nespresso total]]/SUMIF(Allocation!C:C,Delivery[Delivery ID],Allocation!H:H))/Delivery[[#This Row],[Exchange rate VS USD]]</f>
        <v>17.976801882668649</v>
      </c>
      <c r="AI665" s="204">
        <f>(Delivery[[#This Row],[AAA Premium (total)]]/SUMIF(Allocation!C:C,Delivery[Delivery ID],Allocation!H:H))/Delivery[[#This Row],[Exchange rate VS USD]]</f>
        <v>0.74617964964591876</v>
      </c>
      <c r="AJ665" s="204">
        <f>Delivery[[#This Row],[Valor Prêmio Nespresso AAA por Kg (em US$)]]*60</f>
        <v>44.770778978755125</v>
      </c>
      <c r="AK665" s="204">
        <f>Delivery[[#This Row],[Valor Prêmio Nespresso AAA por saca (em US$)]]/1.3228/100</f>
        <v>0.33845463394885944</v>
      </c>
      <c r="AL665" s="204">
        <f>(Delivery[[#This Row],[BEN premium (total)]]/SUMIF(Allocation!C:C,Delivery[Delivery ID],Allocation!H:H))/Delivery[[#This Row],[Exchange rate for premiums VS USD]]</f>
        <v>0.23330750070816253</v>
      </c>
      <c r="AM665" s="204">
        <f>Delivery[[#This Row],[Valor Prêmio Nespresso BEN por Kg (em US$)]]*60</f>
        <v>13.998450042489752</v>
      </c>
      <c r="AN665" s="204">
        <f>Delivery[[#This Row],[Valor Prêmio Nespresso BEN por saca (em US$)]]/1.3228/100</f>
        <v>0.10582438798374472</v>
      </c>
      <c r="AO665" s="204">
        <f>SUMIF(Allocation[Delivery ID],Delivery[[#This Row],[Delivery ID]],Allocation[Quantity allocated])*16*1.3228*Delivery[[#This Row],[Exchange rate VS USD]]/60</f>
        <v>3331.3959594666667</v>
      </c>
      <c r="AP665" s="204">
        <f>Delivery[[#This Row],[AAA Premium (total)]]</f>
        <v>7047.04</v>
      </c>
      <c r="AQ665" s="204">
        <f>Delivery[[#This Row],[Valor pago pelo Cluster]]-Delivery[[#This Row],[Valor efetivamente pago pela Nespresso]]</f>
        <v>3715.6440405333333</v>
      </c>
    </row>
    <row r="666" spans="1:43" ht="15.75">
      <c r="A666" s="174" t="s">
        <v>69</v>
      </c>
      <c r="B666" s="232" t="s">
        <v>68</v>
      </c>
      <c r="C666" s="157">
        <v>1</v>
      </c>
      <c r="D666" s="157" t="s">
        <v>468</v>
      </c>
      <c r="E666" s="177" t="s">
        <v>468</v>
      </c>
      <c r="F666" s="233" t="s">
        <v>541</v>
      </c>
      <c r="G666" s="234">
        <v>42983</v>
      </c>
      <c r="H666" s="157" t="s">
        <v>824</v>
      </c>
      <c r="I666" s="157" t="s">
        <v>480</v>
      </c>
      <c r="J666" s="237">
        <v>17469</v>
      </c>
      <c r="K666" s="175" t="s">
        <v>61</v>
      </c>
      <c r="L666" s="175" t="s">
        <v>439</v>
      </c>
      <c r="M666" s="175" t="s">
        <v>1343</v>
      </c>
      <c r="N666" s="180"/>
      <c r="O666" s="177"/>
      <c r="P666" s="181">
        <v>0</v>
      </c>
      <c r="Q666" s="177">
        <v>42635</v>
      </c>
      <c r="R666" s="178">
        <v>581.15199999999993</v>
      </c>
      <c r="S666" s="179">
        <v>172832.94479036162</v>
      </c>
      <c r="T666" s="182" t="s">
        <v>45</v>
      </c>
      <c r="U666" s="183">
        <v>3.52</v>
      </c>
      <c r="V666" s="179">
        <v>7173.9360000000006</v>
      </c>
      <c r="W666" s="179">
        <v>2243.0698548191999</v>
      </c>
      <c r="X666" s="196" t="s">
        <v>45</v>
      </c>
      <c r="Y666" s="183">
        <v>3.52</v>
      </c>
      <c r="Z666" s="220" t="s">
        <v>473</v>
      </c>
      <c r="AA666" s="201">
        <f>Delivery[[#This Row],[Quantity delivered]]*VLOOKUP(Delivery[[#This Row],[Unit]],References!$U:$X,4,FALSE)*VLOOKUP(CONCATENATE(Delivery[[#This Row],[Coffee specie]],Delivery[[#This Row],[Coffee state]]),References!$U:$X,4,FALSE)</f>
        <v>17469</v>
      </c>
      <c r="AB666" s="202">
        <f>SUMIF(Allocation!C:C,Delivery[[#This Row],[Delivery ID]],Allocation!D:D)/Delivery[[#This Row],[Quantity delivered]]</f>
        <v>0.23784990554696891</v>
      </c>
      <c r="AC666" s="203">
        <f>Delivery[[#This Row],[Quantity delivered]]*Delivery[[#This Row],[Base price (Unidad)]]/60</f>
        <v>169202.40479999999</v>
      </c>
      <c r="AD666" s="204">
        <f>Delivery[[#This Row],[Nespresso total]]-Delivery[[#This Row],[Qt. Delivery * Base Price]]</f>
        <v>3630.5399903616344</v>
      </c>
      <c r="AE666" s="204">
        <f>Delivery[[#This Row],[AAA Premium (total)]]/Delivery[[#This Row],[Quantity delivered]]*60/Delivery[[#This Row],[Exchange rate VS USD]]</f>
        <v>7</v>
      </c>
      <c r="AF666" s="204">
        <f>Delivery[[#This Row],[BEN premium (total)]]/Delivery[[#This Row],[Quantity delivered]]*60/Delivery[[#This Row],[Exchange rate for premiums VS USD]]</f>
        <v>2.1886853999999998</v>
      </c>
      <c r="AG666" s="204">
        <f>COUNTIF(Delivery[Delivery ID],Delivery[[#This Row],[Delivery ID]])</f>
        <v>1</v>
      </c>
      <c r="AH666" s="204">
        <f>(Delivery[[#This Row],[Nespresso total]]/SUMIF(Allocation!C:C,Delivery[Delivery ID],Allocation!H:H))/Delivery[[#This Row],[Exchange rate VS USD]]</f>
        <v>35.813470755910089</v>
      </c>
      <c r="AI666" s="204">
        <f>(Delivery[[#This Row],[AAA Premium (total)]]/SUMIF(Allocation!C:C,Delivery[Delivery ID],Allocation!H:H))/Delivery[[#This Row],[Exchange rate VS USD]]</f>
        <v>1.4865426695842452</v>
      </c>
      <c r="AJ666" s="204">
        <f>Delivery[[#This Row],[Valor Prêmio Nespresso AAA por Kg (em US$)]]*60</f>
        <v>89.192560175054709</v>
      </c>
      <c r="AK666" s="204">
        <f>Delivery[[#This Row],[Valor Prêmio Nespresso AAA por saca (em US$)]]/1.3228/100</f>
        <v>0.67427094175275715</v>
      </c>
      <c r="AL666" s="204">
        <f>(Delivery[[#This Row],[BEN premium (total)]]/SUMIF(Allocation!C:C,Delivery[Delivery ID],Allocation!H:H))/Delivery[[#This Row],[Exchange rate for premiums VS USD]]</f>
        <v>0.46479631962800871</v>
      </c>
      <c r="AM666" s="204">
        <f>Delivery[[#This Row],[Valor Prêmio Nespresso BEN por Kg (em US$)]]*60</f>
        <v>27.887779177680521</v>
      </c>
      <c r="AN666" s="204">
        <f>Delivery[[#This Row],[Valor Prêmio Nespresso BEN por saca (em US$)]]/1.3228/100</f>
        <v>0.21082385226550138</v>
      </c>
      <c r="AO666" s="204">
        <f>SUMIF(Allocation[Delivery ID],Delivery[[#This Row],[Delivery ID]],Allocation[Quantity allocated])*16*1.3228*Delivery[[#This Row],[Exchange rate VS USD]]/60</f>
        <v>1702.3271935999999</v>
      </c>
      <c r="AP666" s="204">
        <f>Delivery[[#This Row],[AAA Premium (total)]]</f>
        <v>7173.9360000000006</v>
      </c>
      <c r="AQ666" s="204">
        <f>Delivery[[#This Row],[Valor pago pelo Cluster]]-Delivery[[#This Row],[Valor efetivamente pago pela Nespresso]]</f>
        <v>5471.6088064000005</v>
      </c>
    </row>
    <row r="667" spans="1:43" ht="15.75">
      <c r="A667" s="174" t="s">
        <v>69</v>
      </c>
      <c r="B667" s="232" t="s">
        <v>68</v>
      </c>
      <c r="C667" s="157">
        <v>1</v>
      </c>
      <c r="D667" s="157" t="s">
        <v>468</v>
      </c>
      <c r="E667" s="177" t="s">
        <v>468</v>
      </c>
      <c r="F667" s="233" t="s">
        <v>541</v>
      </c>
      <c r="G667" s="234">
        <v>42983</v>
      </c>
      <c r="H667" s="157" t="s">
        <v>825</v>
      </c>
      <c r="I667" s="157" t="s">
        <v>480</v>
      </c>
      <c r="J667" s="237">
        <v>12444</v>
      </c>
      <c r="K667" s="175" t="s">
        <v>61</v>
      </c>
      <c r="L667" s="175" t="s">
        <v>439</v>
      </c>
      <c r="M667" s="175" t="s">
        <v>1343</v>
      </c>
      <c r="N667" s="180"/>
      <c r="O667" s="177"/>
      <c r="P667" s="181">
        <v>0</v>
      </c>
      <c r="Q667" s="177">
        <v>42635</v>
      </c>
      <c r="R667" s="178">
        <v>581.15199999999993</v>
      </c>
      <c r="S667" s="179">
        <v>123117.13120220159</v>
      </c>
      <c r="T667" s="182" t="s">
        <v>45</v>
      </c>
      <c r="U667" s="183">
        <v>3.52</v>
      </c>
      <c r="V667" s="179">
        <v>5110.3360000000002</v>
      </c>
      <c r="W667" s="179">
        <v>1597.8453988992001</v>
      </c>
      <c r="X667" s="196" t="s">
        <v>45</v>
      </c>
      <c r="Y667" s="183">
        <v>3.52</v>
      </c>
      <c r="Z667" s="220" t="s">
        <v>473</v>
      </c>
      <c r="AA667" s="201">
        <f>Delivery[[#This Row],[Quantity delivered]]*VLOOKUP(Delivery[[#This Row],[Unit]],References!$U:$X,4,FALSE)*VLOOKUP(CONCATENATE(Delivery[[#This Row],[Coffee specie]],Delivery[[#This Row],[Coffee state]]),References!$U:$X,4,FALSE)</f>
        <v>12444</v>
      </c>
      <c r="AB667" s="202">
        <f>SUMIF(Allocation!C:C,Delivery[[#This Row],[Delivery ID]],Allocation!D:D)/Delivery[[#This Row],[Quantity delivered]]</f>
        <v>0.78415300546448086</v>
      </c>
      <c r="AC667" s="203">
        <f>Delivery[[#This Row],[Quantity delivered]]*Delivery[[#This Row],[Base price (Unidad)]]/60</f>
        <v>120530.92479999998</v>
      </c>
      <c r="AD667" s="204">
        <f>Delivery[[#This Row],[Nespresso total]]-Delivery[[#This Row],[Qt. Delivery * Base Price]]</f>
        <v>2586.2064022016129</v>
      </c>
      <c r="AE667" s="204">
        <f>Delivery[[#This Row],[AAA Premium (total)]]/Delivery[[#This Row],[Quantity delivered]]*60/Delivery[[#This Row],[Exchange rate VS USD]]</f>
        <v>7</v>
      </c>
      <c r="AF667" s="204">
        <f>Delivery[[#This Row],[BEN premium (total)]]/Delivery[[#This Row],[Quantity delivered]]*60/Delivery[[#This Row],[Exchange rate for premiums VS USD]]</f>
        <v>2.1886854000000002</v>
      </c>
      <c r="AG667" s="204">
        <f>COUNTIF(Delivery[Delivery ID],Delivery[[#This Row],[Delivery ID]])</f>
        <v>1</v>
      </c>
      <c r="AH667" s="204">
        <f>(Delivery[[#This Row],[Nespresso total]]/SUMIF(Allocation!C:C,Delivery[Delivery ID],Allocation!H:H))/Delivery[[#This Row],[Exchange rate VS USD]]</f>
        <v>10.86225395276341</v>
      </c>
      <c r="AI667" s="204">
        <f>(Delivery[[#This Row],[AAA Premium (total)]]/SUMIF(Allocation!C:C,Delivery[Delivery ID],Allocation!H:H))/Delivery[[#This Row],[Exchange rate VS USD]]</f>
        <v>0.45086956521739135</v>
      </c>
      <c r="AJ667" s="204">
        <f>Delivery[[#This Row],[Valor Prêmio Nespresso AAA por Kg (em US$)]]*60</f>
        <v>27.052173913043482</v>
      </c>
      <c r="AK667" s="204">
        <f>Delivery[[#This Row],[Valor Prêmio Nespresso AAA por saca (em US$)]]/1.3228/100</f>
        <v>0.20450690892836018</v>
      </c>
      <c r="AL667" s="204">
        <f>(Delivery[[#This Row],[BEN premium (total)]]/SUMIF(Allocation!C:C,Delivery[Delivery ID],Allocation!H:H))/Delivery[[#This Row],[Exchange rate for premiums VS USD]]</f>
        <v>0.14097309067080746</v>
      </c>
      <c r="AM667" s="204">
        <f>Delivery[[#This Row],[Valor Prêmio Nespresso BEN por Kg (em US$)]]*60</f>
        <v>8.4583854402484473</v>
      </c>
      <c r="AN667" s="204">
        <f>Delivery[[#This Row],[Valor Prêmio Nespresso BEN por saca (em US$)]]/1.3228/100</f>
        <v>6.3943040824375921E-2</v>
      </c>
      <c r="AO667" s="204">
        <f>SUMIF(Allocation[Delivery ID],Delivery[[#This Row],[Delivery ID]],Allocation[Quantity allocated])*16*1.3228*Delivery[[#This Row],[Exchange rate VS USD]]/60</f>
        <v>3998.1718186666671</v>
      </c>
      <c r="AP667" s="204">
        <f>Delivery[[#This Row],[AAA Premium (total)]]</f>
        <v>5110.3360000000002</v>
      </c>
      <c r="AQ667" s="204">
        <f>Delivery[[#This Row],[Valor pago pelo Cluster]]-Delivery[[#This Row],[Valor efetivamente pago pela Nespresso]]</f>
        <v>1112.1641813333331</v>
      </c>
    </row>
    <row r="668" spans="1:43" ht="15.75">
      <c r="A668" s="174" t="s">
        <v>69</v>
      </c>
      <c r="B668" s="232" t="s">
        <v>68</v>
      </c>
      <c r="C668" s="157">
        <v>1</v>
      </c>
      <c r="D668" s="157" t="s">
        <v>468</v>
      </c>
      <c r="E668" s="177" t="s">
        <v>468</v>
      </c>
      <c r="F668" s="233" t="s">
        <v>541</v>
      </c>
      <c r="G668" s="234">
        <v>42983</v>
      </c>
      <c r="H668" s="157" t="s">
        <v>826</v>
      </c>
      <c r="I668" s="157" t="s">
        <v>480</v>
      </c>
      <c r="J668" s="237">
        <v>19807</v>
      </c>
      <c r="K668" s="175" t="s">
        <v>61</v>
      </c>
      <c r="L668" s="175" t="s">
        <v>439</v>
      </c>
      <c r="M668" s="175" t="s">
        <v>1343</v>
      </c>
      <c r="N668" s="180"/>
      <c r="O668" s="177"/>
      <c r="P668" s="181">
        <v>0</v>
      </c>
      <c r="Q668" s="177">
        <v>42635</v>
      </c>
      <c r="R668" s="178">
        <v>581.15199999999993</v>
      </c>
      <c r="S668" s="179">
        <v>195964.40193844479</v>
      </c>
      <c r="T668" s="182" t="s">
        <v>45</v>
      </c>
      <c r="U668" s="183">
        <v>3.52</v>
      </c>
      <c r="V668" s="179">
        <v>8134.0746666666673</v>
      </c>
      <c r="W668" s="179">
        <v>2543.2757807776002</v>
      </c>
      <c r="X668" s="196" t="s">
        <v>45</v>
      </c>
      <c r="Y668" s="183">
        <v>3.52</v>
      </c>
      <c r="Z668" s="220" t="s">
        <v>473</v>
      </c>
      <c r="AA668" s="201">
        <f>Delivery[[#This Row],[Quantity delivered]]*VLOOKUP(Delivery[[#This Row],[Unit]],References!$U:$X,4,FALSE)*VLOOKUP(CONCATENATE(Delivery[[#This Row],[Coffee specie]],Delivery[[#This Row],[Coffee state]]),References!$U:$X,4,FALSE)</f>
        <v>19807</v>
      </c>
      <c r="AB668" s="202">
        <f>SUMIF(Allocation!C:C,Delivery[[#This Row],[Delivery ID]],Allocation!D:D)/Delivery[[#This Row],[Quantity delivered]]</f>
        <v>0.22810117635179483</v>
      </c>
      <c r="AC668" s="203">
        <f>Delivery[[#This Row],[Quantity delivered]]*Delivery[[#This Row],[Base price (Unidad)]]/60</f>
        <v>191847.96106666664</v>
      </c>
      <c r="AD668" s="204">
        <f>Delivery[[#This Row],[Nespresso total]]-Delivery[[#This Row],[Qt. Delivery * Base Price]]</f>
        <v>4116.440871778148</v>
      </c>
      <c r="AE668" s="204">
        <f>Delivery[[#This Row],[AAA Premium (total)]]/Delivery[[#This Row],[Quantity delivered]]*60/Delivery[[#This Row],[Exchange rate VS USD]]</f>
        <v>7</v>
      </c>
      <c r="AF668" s="204">
        <f>Delivery[[#This Row],[BEN premium (total)]]/Delivery[[#This Row],[Quantity delivered]]*60/Delivery[[#This Row],[Exchange rate for premiums VS USD]]</f>
        <v>2.1886854000000002</v>
      </c>
      <c r="AG668" s="204">
        <f>COUNTIF(Delivery[Delivery ID],Delivery[[#This Row],[Delivery ID]])</f>
        <v>1</v>
      </c>
      <c r="AH668" s="204">
        <f>(Delivery[[#This Row],[Nespresso total]]/SUMIF(Allocation!C:C,Delivery[Delivery ID],Allocation!H:H))/Delivery[[#This Row],[Exchange rate VS USD]]</f>
        <v>37.338501070522526</v>
      </c>
      <c r="AI668" s="204">
        <f>(Delivery[[#This Row],[AAA Premium (total)]]/SUMIF(Allocation!C:C,Delivery[Delivery ID],Allocation!H:H))/Delivery[[#This Row],[Exchange rate VS USD]]</f>
        <v>1.5498435054773085</v>
      </c>
      <c r="AJ668" s="204">
        <f>Delivery[[#This Row],[Valor Prêmio Nespresso AAA por Kg (em US$)]]*60</f>
        <v>92.99061032863851</v>
      </c>
      <c r="AK668" s="204">
        <f>Delivery[[#This Row],[Valor Prêmio Nespresso AAA por saca (em US$)]]/1.3228/100</f>
        <v>0.7029831443047968</v>
      </c>
      <c r="AL668" s="204">
        <f>(Delivery[[#This Row],[BEN premium (total)]]/SUMIF(Allocation!C:C,Delivery[Delivery ID],Allocation!H:H))/Delivery[[#This Row],[Exchange rate for premiums VS USD]]</f>
        <v>0.48458855038900073</v>
      </c>
      <c r="AM668" s="204">
        <f>Delivery[[#This Row],[Valor Prêmio Nespresso BEN por Kg (em US$)]]*60</f>
        <v>29.075313023340044</v>
      </c>
      <c r="AN668" s="204">
        <f>Delivery[[#This Row],[Valor Prêmio Nespresso BEN por saca (em US$)]]/1.3228/100</f>
        <v>0.21980127776942882</v>
      </c>
      <c r="AO668" s="204">
        <f>SUMIF(Allocation[Delivery ID],Delivery[[#This Row],[Delivery ID]],Allocation[Quantity allocated])*16*1.3228*Delivery[[#This Row],[Exchange rate VS USD]]/60</f>
        <v>1851.3273856000001</v>
      </c>
      <c r="AP668" s="204">
        <f>Delivery[[#This Row],[AAA Premium (total)]]</f>
        <v>8134.0746666666673</v>
      </c>
      <c r="AQ668" s="204">
        <f>Delivery[[#This Row],[Valor pago pelo Cluster]]-Delivery[[#This Row],[Valor efetivamente pago pela Nespresso]]</f>
        <v>6282.7472810666677</v>
      </c>
    </row>
    <row r="669" spans="1:43" ht="15.75">
      <c r="A669" s="174" t="s">
        <v>69</v>
      </c>
      <c r="B669" s="232" t="s">
        <v>68</v>
      </c>
      <c r="C669" s="157">
        <v>1</v>
      </c>
      <c r="D669" s="157" t="s">
        <v>468</v>
      </c>
      <c r="E669" s="177" t="s">
        <v>468</v>
      </c>
      <c r="F669" s="233" t="s">
        <v>541</v>
      </c>
      <c r="G669" s="234">
        <v>42983</v>
      </c>
      <c r="H669" s="157" t="s">
        <v>827</v>
      </c>
      <c r="I669" s="157" t="s">
        <v>480</v>
      </c>
      <c r="J669" s="237">
        <v>10667</v>
      </c>
      <c r="K669" s="175" t="s">
        <v>61</v>
      </c>
      <c r="L669" s="175" t="s">
        <v>439</v>
      </c>
      <c r="M669" s="175" t="s">
        <v>1343</v>
      </c>
      <c r="N669" s="180"/>
      <c r="O669" s="177"/>
      <c r="P669" s="181">
        <v>0</v>
      </c>
      <c r="Q669" s="177">
        <v>42635</v>
      </c>
      <c r="R669" s="178">
        <v>581.15199999999993</v>
      </c>
      <c r="S669" s="179">
        <v>105536.03652634879</v>
      </c>
      <c r="T669" s="182" t="s">
        <v>45</v>
      </c>
      <c r="U669" s="183">
        <v>3.52</v>
      </c>
      <c r="V669" s="179">
        <v>4380.5813333333335</v>
      </c>
      <c r="W669" s="179">
        <v>1369.6734868256001</v>
      </c>
      <c r="X669" s="196" t="s">
        <v>45</v>
      </c>
      <c r="Y669" s="183">
        <v>3.52</v>
      </c>
      <c r="Z669" s="220" t="s">
        <v>473</v>
      </c>
      <c r="AA669" s="201">
        <f>Delivery[[#This Row],[Quantity delivered]]*VLOOKUP(Delivery[[#This Row],[Unit]],References!$U:$X,4,FALSE)*VLOOKUP(CONCATENATE(Delivery[[#This Row],[Coffee specie]],Delivery[[#This Row],[Coffee state]]),References!$U:$X,4,FALSE)</f>
        <v>10667</v>
      </c>
      <c r="AB669" s="202">
        <f>SUMIF(Allocation!C:C,Delivery[[#This Row],[Delivery ID]],Allocation!D:D)/Delivery[[#This Row],[Quantity delivered]]</f>
        <v>0.25396081372457113</v>
      </c>
      <c r="AC669" s="203">
        <f>Delivery[[#This Row],[Quantity delivered]]*Delivery[[#This Row],[Base price (Unidad)]]/60</f>
        <v>103319.13973333333</v>
      </c>
      <c r="AD669" s="204">
        <f>Delivery[[#This Row],[Nespresso total]]-Delivery[[#This Row],[Qt. Delivery * Base Price]]</f>
        <v>2216.8967930154613</v>
      </c>
      <c r="AE669" s="204">
        <f>Delivery[[#This Row],[AAA Premium (total)]]/Delivery[[#This Row],[Quantity delivered]]*60/Delivery[[#This Row],[Exchange rate VS USD]]</f>
        <v>7</v>
      </c>
      <c r="AF669" s="204">
        <f>Delivery[[#This Row],[BEN premium (total)]]/Delivery[[#This Row],[Quantity delivered]]*60/Delivery[[#This Row],[Exchange rate for premiums VS USD]]</f>
        <v>2.1886854000000002</v>
      </c>
      <c r="AG669" s="204">
        <f>COUNTIF(Delivery[Delivery ID],Delivery[[#This Row],[Delivery ID]])</f>
        <v>1</v>
      </c>
      <c r="AH669" s="204">
        <f>(Delivery[[#This Row],[Nespresso total]]/SUMIF(Allocation!C:C,Delivery[Delivery ID],Allocation!H:H))/Delivery[[#This Row],[Exchange rate VS USD]]</f>
        <v>33.53672098279845</v>
      </c>
      <c r="AI669" s="204">
        <f>(Delivery[[#This Row],[AAA Premium (total)]]/SUMIF(Allocation!C:C,Delivery[Delivery ID],Allocation!H:H))/Delivery[[#This Row],[Exchange rate VS USD]]</f>
        <v>1.3920395227442208</v>
      </c>
      <c r="AJ669" s="204">
        <f>Delivery[[#This Row],[Valor Prêmio Nespresso AAA por Kg (em US$)]]*60</f>
        <v>83.522371364653253</v>
      </c>
      <c r="AK669" s="204">
        <f>Delivery[[#This Row],[Valor Prêmio Nespresso AAA por saca (em US$)]]/1.3228/100</f>
        <v>0.63140589177996109</v>
      </c>
      <c r="AL669" s="204">
        <f>(Delivery[[#This Row],[BEN premium (total)]]/SUMIF(Allocation!C:C,Delivery[Delivery ID],Allocation!H:H))/Delivery[[#This Row],[Exchange rate for premiums VS USD]]</f>
        <v>0.4352480828076063</v>
      </c>
      <c r="AM669" s="204">
        <f>Delivery[[#This Row],[Valor Prêmio Nespresso BEN por Kg (em US$)]]*60</f>
        <v>26.114884968456376</v>
      </c>
      <c r="AN669" s="204">
        <f>Delivery[[#This Row],[Valor Prêmio Nespresso BEN por saca (em US$)]]/1.3228/100</f>
        <v>0.19742126525896869</v>
      </c>
      <c r="AO669" s="204">
        <f>SUMIF(Allocation[Delivery ID],Delivery[[#This Row],[Delivery ID]],Allocation[Quantity allocated])*16*1.3228*Delivery[[#This Row],[Exchange rate VS USD]]/60</f>
        <v>1110.0514304000001</v>
      </c>
      <c r="AP669" s="204">
        <f>Delivery[[#This Row],[AAA Premium (total)]]</f>
        <v>4380.5813333333335</v>
      </c>
      <c r="AQ669" s="204">
        <f>Delivery[[#This Row],[Valor pago pelo Cluster]]-Delivery[[#This Row],[Valor efetivamente pago pela Nespresso]]</f>
        <v>3270.5299029333337</v>
      </c>
    </row>
    <row r="670" spans="1:43" ht="15.75">
      <c r="A670" s="174" t="s">
        <v>69</v>
      </c>
      <c r="B670" s="232" t="s">
        <v>68</v>
      </c>
      <c r="C670" s="157">
        <v>1</v>
      </c>
      <c r="D670" s="157" t="s">
        <v>468</v>
      </c>
      <c r="E670" s="177" t="s">
        <v>468</v>
      </c>
      <c r="F670" s="233" t="s">
        <v>541</v>
      </c>
      <c r="G670" s="234">
        <v>42983</v>
      </c>
      <c r="H670" s="157" t="s">
        <v>828</v>
      </c>
      <c r="I670" s="157" t="s">
        <v>480</v>
      </c>
      <c r="J670" s="237">
        <v>18757</v>
      </c>
      <c r="K670" s="175" t="s">
        <v>61</v>
      </c>
      <c r="L670" s="175" t="s">
        <v>439</v>
      </c>
      <c r="M670" s="175" t="s">
        <v>1343</v>
      </c>
      <c r="N670" s="180"/>
      <c r="O670" s="177"/>
      <c r="P670" s="181">
        <v>0</v>
      </c>
      <c r="Q670" s="177">
        <v>42635</v>
      </c>
      <c r="R670" s="178">
        <v>581.15199999999993</v>
      </c>
      <c r="S670" s="179">
        <v>185576.0229797248</v>
      </c>
      <c r="T670" s="182" t="s">
        <v>45</v>
      </c>
      <c r="U670" s="183">
        <v>3.52</v>
      </c>
      <c r="V670" s="179">
        <v>7702.8746666666666</v>
      </c>
      <c r="W670" s="179">
        <v>2408.4527601375999</v>
      </c>
      <c r="X670" s="196" t="s">
        <v>45</v>
      </c>
      <c r="Y670" s="183">
        <v>3.52</v>
      </c>
      <c r="Z670" s="220" t="s">
        <v>473</v>
      </c>
      <c r="AA670" s="201">
        <f>Delivery[[#This Row],[Quantity delivered]]*VLOOKUP(Delivery[[#This Row],[Unit]],References!$U:$X,4,FALSE)*VLOOKUP(CONCATENATE(Delivery[[#This Row],[Coffee specie]],Delivery[[#This Row],[Coffee state]]),References!$U:$X,4,FALSE)</f>
        <v>18757</v>
      </c>
      <c r="AB670" s="202">
        <f>SUMIF(Allocation!C:C,Delivery[[#This Row],[Delivery ID]],Allocation!D:D)/Delivery[[#This Row],[Quantity delivered]]</f>
        <v>0.38529615610172202</v>
      </c>
      <c r="AC670" s="203">
        <f>Delivery[[#This Row],[Quantity delivered]]*Delivery[[#This Row],[Base price (Unidad)]]/60</f>
        <v>181677.80106666667</v>
      </c>
      <c r="AD670" s="204">
        <f>Delivery[[#This Row],[Nespresso total]]-Delivery[[#This Row],[Qt. Delivery * Base Price]]</f>
        <v>3898.2219130581361</v>
      </c>
      <c r="AE670" s="204">
        <f>Delivery[[#This Row],[AAA Premium (total)]]/Delivery[[#This Row],[Quantity delivered]]*60/Delivery[[#This Row],[Exchange rate VS USD]]</f>
        <v>7</v>
      </c>
      <c r="AF670" s="204">
        <f>Delivery[[#This Row],[BEN premium (total)]]/Delivery[[#This Row],[Quantity delivered]]*60/Delivery[[#This Row],[Exchange rate for premiums VS USD]]</f>
        <v>2.1886853999999998</v>
      </c>
      <c r="AG670" s="204">
        <f>COUNTIF(Delivery[Delivery ID],Delivery[[#This Row],[Delivery ID]])</f>
        <v>1</v>
      </c>
      <c r="AH670" s="204">
        <f>(Delivery[[#This Row],[Nespresso total]]/SUMIF(Allocation!C:C,Delivery[Delivery ID],Allocation!H:H))/Delivery[[#This Row],[Exchange rate VS USD]]</f>
        <v>22.105015125276918</v>
      </c>
      <c r="AI670" s="204">
        <f>(Delivery[[#This Row],[AAA Premium (total)]]/SUMIF(Allocation!C:C,Delivery[Delivery ID],Allocation!H:H))/Delivery[[#This Row],[Exchange rate VS USD]]</f>
        <v>0.91753319357092944</v>
      </c>
      <c r="AJ670" s="204">
        <f>Delivery[[#This Row],[Valor Prêmio Nespresso AAA por Kg (em US$)]]*60</f>
        <v>55.051991614255769</v>
      </c>
      <c r="AK670" s="204">
        <f>Delivery[[#This Row],[Valor Prêmio Nespresso AAA por saca (em US$)]]/1.3228/100</f>
        <v>0.4161777412628952</v>
      </c>
      <c r="AL670" s="204">
        <f>(Delivery[[#This Row],[BEN premium (total)]]/SUMIF(Allocation!C:C,Delivery[Delivery ID],Allocation!H:H))/Delivery[[#This Row],[Exchange rate for premiums VS USD]]</f>
        <v>0.28688450068343813</v>
      </c>
      <c r="AM670" s="204">
        <f>Delivery[[#This Row],[Valor Prêmio Nespresso BEN por Kg (em US$)]]*60</f>
        <v>17.213070041006286</v>
      </c>
      <c r="AN670" s="204">
        <f>Delivery[[#This Row],[Valor Prêmio Nespresso BEN por saca (em US$)]]/1.3228/100</f>
        <v>0.13012602087243944</v>
      </c>
      <c r="AO670" s="204">
        <f>SUMIF(Allocation[Delivery ID],Delivery[[#This Row],[Delivery ID]],Allocation[Quantity allocated])*16*1.3228*Delivery[[#This Row],[Exchange rate VS USD]]/60</f>
        <v>2961.3788159999999</v>
      </c>
      <c r="AP670" s="204">
        <f>Delivery[[#This Row],[AAA Premium (total)]]</f>
        <v>7702.8746666666666</v>
      </c>
      <c r="AQ670" s="204">
        <f>Delivery[[#This Row],[Valor pago pelo Cluster]]-Delivery[[#This Row],[Valor efetivamente pago pela Nespresso]]</f>
        <v>4741.4958506666662</v>
      </c>
    </row>
    <row r="671" spans="1:43" ht="15.75">
      <c r="A671" s="174" t="s">
        <v>69</v>
      </c>
      <c r="B671" s="232" t="s">
        <v>68</v>
      </c>
      <c r="C671" s="157">
        <v>1</v>
      </c>
      <c r="D671" s="157" t="s">
        <v>468</v>
      </c>
      <c r="E671" s="177" t="s">
        <v>468</v>
      </c>
      <c r="F671" s="233" t="s">
        <v>541</v>
      </c>
      <c r="G671" s="234">
        <v>42984</v>
      </c>
      <c r="H671" s="157" t="s">
        <v>829</v>
      </c>
      <c r="I671" s="157" t="s">
        <v>480</v>
      </c>
      <c r="J671" s="237">
        <v>10843</v>
      </c>
      <c r="K671" s="175" t="s">
        <v>61</v>
      </c>
      <c r="L671" s="175" t="s">
        <v>439</v>
      </c>
      <c r="M671" s="175" t="s">
        <v>1343</v>
      </c>
      <c r="N671" s="180"/>
      <c r="O671" s="177"/>
      <c r="P671" s="181">
        <v>0</v>
      </c>
      <c r="Q671" s="177">
        <v>42635</v>
      </c>
      <c r="R671" s="178">
        <v>581.15199999999993</v>
      </c>
      <c r="S671" s="179">
        <v>107277.3267137152</v>
      </c>
      <c r="T671" s="182" t="s">
        <v>45</v>
      </c>
      <c r="U671" s="183">
        <v>3.52</v>
      </c>
      <c r="V671" s="179">
        <v>4452.858666666667</v>
      </c>
      <c r="W671" s="179">
        <v>1392.2723931424</v>
      </c>
      <c r="X671" s="196" t="s">
        <v>45</v>
      </c>
      <c r="Y671" s="183">
        <v>3.52</v>
      </c>
      <c r="Z671" s="220" t="s">
        <v>473</v>
      </c>
      <c r="AA671" s="201">
        <f>Delivery[[#This Row],[Quantity delivered]]*VLOOKUP(Delivery[[#This Row],[Unit]],References!$U:$X,4,FALSE)*VLOOKUP(CONCATENATE(Delivery[[#This Row],[Coffee specie]],Delivery[[#This Row],[Coffee state]]),References!$U:$X,4,FALSE)</f>
        <v>10843</v>
      </c>
      <c r="AB671" s="202">
        <f>SUMIF(Allocation!C:C,Delivery[[#This Row],[Delivery ID]],Allocation!D:D)/Delivery[[#This Row],[Quantity delivered]]</f>
        <v>5.1185096375541826E-2</v>
      </c>
      <c r="AC671" s="203">
        <f>Delivery[[#This Row],[Quantity delivered]]*Delivery[[#This Row],[Base price (Unidad)]]/60</f>
        <v>105023.85226666665</v>
      </c>
      <c r="AD671" s="204">
        <f>Delivery[[#This Row],[Nespresso total]]-Delivery[[#This Row],[Qt. Delivery * Base Price]]</f>
        <v>2253.4744470485457</v>
      </c>
      <c r="AE671" s="204">
        <f>Delivery[[#This Row],[AAA Premium (total)]]/Delivery[[#This Row],[Quantity delivered]]*60/Delivery[[#This Row],[Exchange rate VS USD]]</f>
        <v>7</v>
      </c>
      <c r="AF671" s="204">
        <f>Delivery[[#This Row],[BEN premium (total)]]/Delivery[[#This Row],[Quantity delivered]]*60/Delivery[[#This Row],[Exchange rate for premiums VS USD]]</f>
        <v>2.1886854000000002</v>
      </c>
      <c r="AG671" s="204">
        <f>COUNTIF(Delivery[Delivery ID],Delivery[[#This Row],[Delivery ID]])</f>
        <v>1</v>
      </c>
      <c r="AH671" s="204">
        <f>(Delivery[[#This Row],[Nespresso total]]/SUMIF(Allocation!C:C,Delivery[Delivery ID],Allocation!H:H))/Delivery[[#This Row],[Exchange rate VS USD]]</f>
        <v>166.53832388492796</v>
      </c>
      <c r="AI671" s="204">
        <f>(Delivery[[#This Row],[AAA Premium (total)]]/SUMIF(Allocation!C:C,Delivery[Delivery ID],Allocation!H:H))/Delivery[[#This Row],[Exchange rate VS USD]]</f>
        <v>6.9126593806921681</v>
      </c>
      <c r="AJ671" s="204">
        <f>Delivery[[#This Row],[Valor Prêmio Nespresso AAA por Kg (em US$)]]*60</f>
        <v>414.75956284153011</v>
      </c>
      <c r="AK671" s="204">
        <f>Delivery[[#This Row],[Valor Prêmio Nespresso AAA por saca (em US$)]]/1.3228/100</f>
        <v>3.1354669098996832</v>
      </c>
      <c r="AL671" s="204">
        <f>(Delivery[[#This Row],[BEN premium (total)]]/SUMIF(Allocation!C:C,Delivery[Delivery ID],Allocation!H:H))/Delivery[[#This Row],[Exchange rate for premiums VS USD]]</f>
        <v>2.1613766659562841</v>
      </c>
      <c r="AM671" s="204">
        <f>Delivery[[#This Row],[Valor Prêmio Nespresso BEN por Kg (em US$)]]*60</f>
        <v>129.68259995737705</v>
      </c>
      <c r="AN671" s="204">
        <f>Delivery[[#This Row],[Valor Prêmio Nespresso BEN por saca (em US$)]]/1.3228/100</f>
        <v>0.9803643782686503</v>
      </c>
      <c r="AO671" s="204">
        <f>SUMIF(Allocation[Delivery ID],Delivery[[#This Row],[Delivery ID]],Allocation[Quantity allocated])*16*1.3228*Delivery[[#This Row],[Exchange rate VS USD]]/60</f>
        <v>227.22529279999998</v>
      </c>
      <c r="AP671" s="204">
        <f>Delivery[[#This Row],[AAA Premium (total)]]</f>
        <v>4452.858666666667</v>
      </c>
      <c r="AQ671" s="204">
        <f>Delivery[[#This Row],[Valor pago pelo Cluster]]-Delivery[[#This Row],[Valor efetivamente pago pela Nespresso]]</f>
        <v>4225.6333738666672</v>
      </c>
    </row>
    <row r="672" spans="1:43" ht="15.75">
      <c r="A672" s="174" t="s">
        <v>69</v>
      </c>
      <c r="B672" s="232" t="s">
        <v>68</v>
      </c>
      <c r="C672" s="157">
        <v>1</v>
      </c>
      <c r="D672" s="157" t="s">
        <v>468</v>
      </c>
      <c r="E672" s="177" t="s">
        <v>468</v>
      </c>
      <c r="F672" s="233" t="s">
        <v>541</v>
      </c>
      <c r="G672" s="234">
        <v>42984</v>
      </c>
      <c r="H672" s="157" t="s">
        <v>830</v>
      </c>
      <c r="I672" s="157" t="s">
        <v>480</v>
      </c>
      <c r="J672" s="237">
        <v>17612.5</v>
      </c>
      <c r="K672" s="175" t="s">
        <v>61</v>
      </c>
      <c r="L672" s="175" t="s">
        <v>439</v>
      </c>
      <c r="M672" s="175" t="s">
        <v>1343</v>
      </c>
      <c r="N672" s="180"/>
      <c r="O672" s="177"/>
      <c r="P672" s="181">
        <v>0</v>
      </c>
      <c r="Q672" s="177">
        <v>42635</v>
      </c>
      <c r="R672" s="178">
        <v>581.15199999999993</v>
      </c>
      <c r="S672" s="179">
        <v>174252.68991471999</v>
      </c>
      <c r="T672" s="182" t="s">
        <v>45</v>
      </c>
      <c r="U672" s="183">
        <v>3.52</v>
      </c>
      <c r="V672" s="179">
        <v>7232.8666666666668</v>
      </c>
      <c r="W672" s="179">
        <v>2261.4956676400002</v>
      </c>
      <c r="X672" s="196" t="s">
        <v>45</v>
      </c>
      <c r="Y672" s="183">
        <v>3.52</v>
      </c>
      <c r="Z672" s="220" t="s">
        <v>473</v>
      </c>
      <c r="AA672" s="201">
        <f>Delivery[[#This Row],[Quantity delivered]]*VLOOKUP(Delivery[[#This Row],[Unit]],References!$U:$X,4,FALSE)*VLOOKUP(CONCATENATE(Delivery[[#This Row],[Coffee specie]],Delivery[[#This Row],[Coffee state]]),References!$U:$X,4,FALSE)</f>
        <v>17612.5</v>
      </c>
      <c r="AB672" s="202">
        <f>SUMIF(Allocation!C:C,Delivery[[#This Row],[Delivery ID]],Allocation!D:D)/Delivery[[#This Row],[Quantity delivered]]</f>
        <v>5.1100070972320798E-2</v>
      </c>
      <c r="AC672" s="203">
        <f>Delivery[[#This Row],[Quantity delivered]]*Delivery[[#This Row],[Base price (Unidad)]]/60</f>
        <v>170592.32666666666</v>
      </c>
      <c r="AD672" s="204">
        <f>Delivery[[#This Row],[Nespresso total]]-Delivery[[#This Row],[Qt. Delivery * Base Price]]</f>
        <v>3660.363248053327</v>
      </c>
      <c r="AE672" s="204">
        <f>Delivery[[#This Row],[AAA Premium (total)]]/Delivery[[#This Row],[Quantity delivered]]*60/Delivery[[#This Row],[Exchange rate VS USD]]</f>
        <v>7</v>
      </c>
      <c r="AF672" s="204">
        <f>Delivery[[#This Row],[BEN premium (total)]]/Delivery[[#This Row],[Quantity delivered]]*60/Delivery[[#This Row],[Exchange rate for premiums VS USD]]</f>
        <v>2.1886854000000002</v>
      </c>
      <c r="AG672" s="204">
        <f>COUNTIF(Delivery[Delivery ID],Delivery[[#This Row],[Delivery ID]])</f>
        <v>1</v>
      </c>
      <c r="AH672" s="204">
        <f>(Delivery[[#This Row],[Nespresso total]]/SUMIF(Allocation!C:C,Delivery[Delivery ID],Allocation!H:H))/Delivery[[#This Row],[Exchange rate VS USD]]</f>
        <v>166.67880501484541</v>
      </c>
      <c r="AI672" s="204">
        <f>(Delivery[[#This Row],[AAA Premium (total)]]/SUMIF(Allocation!C:C,Delivery[Delivery ID],Allocation!H:H))/Delivery[[#This Row],[Exchange rate VS USD]]</f>
        <v>6.9184904601571269</v>
      </c>
      <c r="AJ672" s="204">
        <f>Delivery[[#This Row],[Valor Prêmio Nespresso AAA por Kg (em US$)]]*60</f>
        <v>415.1094276094276</v>
      </c>
      <c r="AK672" s="204">
        <f>Delivery[[#This Row],[Valor Prêmio Nespresso AAA por saca (em US$)]]/1.3228/100</f>
        <v>3.1381117902133928</v>
      </c>
      <c r="AL672" s="204">
        <f>(Delivery[[#This Row],[BEN premium (total)]]/SUMIF(Allocation!C:C,Delivery[Delivery ID],Allocation!H:H))/Delivery[[#This Row],[Exchange rate for premiums VS USD]]</f>
        <v>2.163199865740741</v>
      </c>
      <c r="AM672" s="204">
        <f>Delivery[[#This Row],[Valor Prêmio Nespresso BEN por Kg (em US$)]]*60</f>
        <v>129.79199194444445</v>
      </c>
      <c r="AN672" s="204">
        <f>Delivery[[#This Row],[Valor Prêmio Nespresso BEN por saca (em US$)]]/1.3228/100</f>
        <v>0.98119135125827373</v>
      </c>
      <c r="AO672" s="204">
        <f>SUMIF(Allocation[Delivery ID],Delivery[[#This Row],[Delivery ID]],Allocation[Quantity allocated])*16*1.3228*Delivery[[#This Row],[Exchange rate VS USD]]/60</f>
        <v>368.77547520000002</v>
      </c>
      <c r="AP672" s="204">
        <f>Delivery[[#This Row],[AAA Premium (total)]]</f>
        <v>7232.8666666666668</v>
      </c>
      <c r="AQ672" s="204">
        <f>Delivery[[#This Row],[Valor pago pelo Cluster]]-Delivery[[#This Row],[Valor efetivamente pago pela Nespresso]]</f>
        <v>6864.0911914666667</v>
      </c>
    </row>
    <row r="673" spans="1:43" ht="15.75">
      <c r="A673" s="174" t="s">
        <v>69</v>
      </c>
      <c r="B673" s="232" t="s">
        <v>68</v>
      </c>
      <c r="C673" s="157">
        <v>1</v>
      </c>
      <c r="D673" s="157" t="s">
        <v>468</v>
      </c>
      <c r="E673" s="177" t="s">
        <v>468</v>
      </c>
      <c r="F673" s="233" t="s">
        <v>541</v>
      </c>
      <c r="G673" s="234">
        <v>42984</v>
      </c>
      <c r="H673" s="157" t="s">
        <v>831</v>
      </c>
      <c r="I673" s="157" t="s">
        <v>480</v>
      </c>
      <c r="J673" s="237">
        <v>11625.5</v>
      </c>
      <c r="K673" s="175" t="s">
        <v>61</v>
      </c>
      <c r="L673" s="175" t="s">
        <v>439</v>
      </c>
      <c r="M673" s="175" t="s">
        <v>1343</v>
      </c>
      <c r="N673" s="180"/>
      <c r="O673" s="177"/>
      <c r="P673" s="181">
        <v>0</v>
      </c>
      <c r="Q673" s="177">
        <v>42635</v>
      </c>
      <c r="R673" s="178">
        <v>581.15199999999993</v>
      </c>
      <c r="S673" s="179">
        <v>115019.14246152318</v>
      </c>
      <c r="T673" s="182" t="s">
        <v>45</v>
      </c>
      <c r="U673" s="183">
        <v>3.52</v>
      </c>
      <c r="V673" s="179">
        <v>4774.2053333333333</v>
      </c>
      <c r="W673" s="179">
        <v>1492.7476442384</v>
      </c>
      <c r="X673" s="196" t="s">
        <v>45</v>
      </c>
      <c r="Y673" s="183">
        <v>3.52</v>
      </c>
      <c r="Z673" s="220" t="s">
        <v>473</v>
      </c>
      <c r="AA673" s="201">
        <f>Delivery[[#This Row],[Quantity delivered]]*VLOOKUP(Delivery[[#This Row],[Unit]],References!$U:$X,4,FALSE)*VLOOKUP(CONCATENATE(Delivery[[#This Row],[Coffee specie]],Delivery[[#This Row],[Coffee state]]),References!$U:$X,4,FALSE)</f>
        <v>11625.5</v>
      </c>
      <c r="AB673" s="202">
        <f>SUMIF(Allocation!C:C,Delivery[[#This Row],[Delivery ID]],Allocation!D:D)/Delivery[[#This Row],[Quantity delivered]]</f>
        <v>4.326695625994581E-2</v>
      </c>
      <c r="AC673" s="203">
        <f>Delivery[[#This Row],[Quantity delivered]]*Delivery[[#This Row],[Base price (Unidad)]]/60</f>
        <v>112603.04293333333</v>
      </c>
      <c r="AD673" s="204">
        <f>Delivery[[#This Row],[Nespresso total]]-Delivery[[#This Row],[Qt. Delivery * Base Price]]</f>
        <v>2416.0995281898504</v>
      </c>
      <c r="AE673" s="204">
        <f>Delivery[[#This Row],[AAA Premium (total)]]/Delivery[[#This Row],[Quantity delivered]]*60/Delivery[[#This Row],[Exchange rate VS USD]]</f>
        <v>7</v>
      </c>
      <c r="AF673" s="204">
        <f>Delivery[[#This Row],[BEN premium (total)]]/Delivery[[#This Row],[Quantity delivered]]*60/Delivery[[#This Row],[Exchange rate for premiums VS USD]]</f>
        <v>2.1886854000000002</v>
      </c>
      <c r="AG673" s="204">
        <f>COUNTIF(Delivery[Delivery ID],Delivery[[#This Row],[Delivery ID]])</f>
        <v>1</v>
      </c>
      <c r="AH673" s="204">
        <f>(Delivery[[#This Row],[Nespresso total]]/SUMIF(Allocation!C:C,Delivery[Delivery ID],Allocation!H:H))/Delivery[[#This Row],[Exchange rate VS USD]]</f>
        <v>196.84272737801749</v>
      </c>
      <c r="AI673" s="204">
        <f>(Delivery[[#This Row],[AAA Premium (total)]]/SUMIF(Allocation!C:C,Delivery[Delivery ID],Allocation!H:H))/Delivery[[#This Row],[Exchange rate VS USD]]</f>
        <v>8.170532128514056</v>
      </c>
      <c r="AJ673" s="204">
        <f>Delivery[[#This Row],[Valor Prêmio Nespresso AAA por Kg (em US$)]]*60</f>
        <v>490.23192771084337</v>
      </c>
      <c r="AK673" s="204">
        <f>Delivery[[#This Row],[Valor Prêmio Nespresso AAA por saca (em US$)]]/1.3228/100</f>
        <v>3.7060169920686676</v>
      </c>
      <c r="AL673" s="204">
        <f>(Delivery[[#This Row],[BEN premium (total)]]/SUMIF(Allocation!C:C,Delivery[Delivery ID],Allocation!H:H))/Delivery[[#This Row],[Exchange rate for premiums VS USD]]</f>
        <v>2.5546749114156628</v>
      </c>
      <c r="AM673" s="204">
        <f>Delivery[[#This Row],[Valor Prêmio Nespresso BEN por Kg (em US$)]]*60</f>
        <v>153.28049468493978</v>
      </c>
      <c r="AN673" s="204">
        <f>Delivery[[#This Row],[Valor Prêmio Nespresso BEN por saca (em US$)]]/1.3228/100</f>
        <v>1.1587578975275157</v>
      </c>
      <c r="AO673" s="204">
        <f>SUMIF(Allocation[Delivery ID],Delivery[[#This Row],[Delivery ID]],Allocation[Quantity allocated])*16*1.3228*Delivery[[#This Row],[Exchange rate VS USD]]/60</f>
        <v>206.11693226666665</v>
      </c>
      <c r="AP673" s="204">
        <f>Delivery[[#This Row],[AAA Premium (total)]]</f>
        <v>4774.2053333333333</v>
      </c>
      <c r="AQ673" s="204">
        <f>Delivery[[#This Row],[Valor pago pelo Cluster]]-Delivery[[#This Row],[Valor efetivamente pago pela Nespresso]]</f>
        <v>4568.0884010666668</v>
      </c>
    </row>
    <row r="674" spans="1:43" ht="15.75">
      <c r="A674" s="174" t="s">
        <v>69</v>
      </c>
      <c r="B674" s="232" t="s">
        <v>68</v>
      </c>
      <c r="C674" s="157">
        <v>1</v>
      </c>
      <c r="D674" s="157" t="s">
        <v>468</v>
      </c>
      <c r="E674" s="177" t="s">
        <v>468</v>
      </c>
      <c r="F674" s="233" t="s">
        <v>541</v>
      </c>
      <c r="G674" s="234">
        <v>42984</v>
      </c>
      <c r="H674" s="157" t="s">
        <v>832</v>
      </c>
      <c r="I674" s="157" t="s">
        <v>480</v>
      </c>
      <c r="J674" s="237">
        <v>20427.5</v>
      </c>
      <c r="K674" s="175" t="s">
        <v>61</v>
      </c>
      <c r="L674" s="175" t="s">
        <v>439</v>
      </c>
      <c r="M674" s="175" t="s">
        <v>1343</v>
      </c>
      <c r="N674" s="180"/>
      <c r="O674" s="177"/>
      <c r="P674" s="181">
        <v>0</v>
      </c>
      <c r="Q674" s="177">
        <v>42667</v>
      </c>
      <c r="R674" s="178">
        <v>576.64</v>
      </c>
      <c r="S674" s="179">
        <v>197646.25745669997</v>
      </c>
      <c r="T674" s="182" t="s">
        <v>45</v>
      </c>
      <c r="U674" s="183">
        <v>3.4</v>
      </c>
      <c r="V674" s="179">
        <v>8102.9083333333338</v>
      </c>
      <c r="W674" s="179">
        <v>2303.2100216499998</v>
      </c>
      <c r="X674" s="196" t="s">
        <v>45</v>
      </c>
      <c r="Y674" s="183">
        <v>3.4</v>
      </c>
      <c r="Z674" s="220" t="s">
        <v>473</v>
      </c>
      <c r="AA674" s="201">
        <f>Delivery[[#This Row],[Quantity delivered]]*VLOOKUP(Delivery[[#This Row],[Unit]],References!$U:$X,4,FALSE)*VLOOKUP(CONCATENATE(Delivery[[#This Row],[Coffee specie]],Delivery[[#This Row],[Coffee state]]),References!$U:$X,4,FALSE)</f>
        <v>20427.5</v>
      </c>
      <c r="AB674" s="202">
        <f>SUMIF(Allocation!C:C,Delivery[[#This Row],[Delivery ID]],Allocation!D:D)/Delivery[[#This Row],[Quantity delivered]]</f>
        <v>9.3354546567127647E-2</v>
      </c>
      <c r="AC674" s="203">
        <f>Delivery[[#This Row],[Quantity delivered]]*Delivery[[#This Row],[Base price (Unidad)]]/60</f>
        <v>196321.89333333334</v>
      </c>
      <c r="AD674" s="204">
        <f>Delivery[[#This Row],[Nespresso total]]-Delivery[[#This Row],[Qt. Delivery * Base Price]]</f>
        <v>1324.3641233666276</v>
      </c>
      <c r="AE674" s="204">
        <f>Delivery[[#This Row],[AAA Premium (total)]]/Delivery[[#This Row],[Quantity delivered]]*60/Delivery[[#This Row],[Exchange rate VS USD]]</f>
        <v>7</v>
      </c>
      <c r="AF674" s="204">
        <f>Delivery[[#This Row],[BEN premium (total)]]/Delivery[[#This Row],[Quantity delivered]]*60/Delivery[[#This Row],[Exchange rate for premiums VS USD]]</f>
        <v>1.989714</v>
      </c>
      <c r="AG674" s="204">
        <f>COUNTIF(Delivery[Delivery ID],Delivery[[#This Row],[Delivery ID]])</f>
        <v>1</v>
      </c>
      <c r="AH674" s="204">
        <f>(Delivery[[#This Row],[Nespresso total]]/SUMIF(Allocation!C:C,Delivery[Delivery ID],Allocation!H:H))/Delivery[[#This Row],[Exchange rate VS USD]]</f>
        <v>101.6280632747326</v>
      </c>
      <c r="AI674" s="204">
        <f>(Delivery[[#This Row],[AAA Premium (total)]]/SUMIF(Allocation!C:C,Delivery[Delivery ID],Allocation!H:H))/Delivery[[#This Row],[Exchange rate VS USD]]</f>
        <v>4.1664481351981353</v>
      </c>
      <c r="AJ674" s="204">
        <f>Delivery[[#This Row],[Valor Prêmio Nespresso AAA por Kg (em US$)]]*60</f>
        <v>249.98688811188811</v>
      </c>
      <c r="AK674" s="204">
        <f>Delivery[[#This Row],[Valor Prêmio Nespresso AAA por saca (em US$)]]/1.3228/100</f>
        <v>1.8898313283329915</v>
      </c>
      <c r="AL674" s="204">
        <f>(Delivery[[#This Row],[BEN premium (total)]]/SUMIF(Allocation!C:C,Delivery[Delivery ID],Allocation!H:H))/Delivery[[#This Row],[Exchange rate for premiums VS USD]]</f>
        <v>1.1842914549825174</v>
      </c>
      <c r="AM674" s="204">
        <f>Delivery[[#This Row],[Valor Prêmio Nespresso BEN por Kg (em US$)]]*60</f>
        <v>71.057487298951045</v>
      </c>
      <c r="AN674" s="204">
        <f>Delivery[[#This Row],[Valor Prêmio Nespresso BEN por saca (em US$)]]/1.3228/100</f>
        <v>0.53717483594610715</v>
      </c>
      <c r="AO674" s="204">
        <f>SUMIF(Allocation[Delivery ID],Delivery[[#This Row],[Delivery ID]],Allocation[Quantity allocated])*16*1.3228*Delivery[[#This Row],[Exchange rate VS USD]]/60</f>
        <v>686.0217173333333</v>
      </c>
      <c r="AP674" s="204">
        <f>Delivery[[#This Row],[AAA Premium (total)]]</f>
        <v>8102.9083333333338</v>
      </c>
      <c r="AQ674" s="204">
        <f>Delivery[[#This Row],[Valor pago pelo Cluster]]-Delivery[[#This Row],[Valor efetivamente pago pela Nespresso]]</f>
        <v>7416.8866160000007</v>
      </c>
    </row>
    <row r="675" spans="1:43" ht="15.75">
      <c r="A675" s="174" t="s">
        <v>69</v>
      </c>
      <c r="B675" s="232" t="s">
        <v>68</v>
      </c>
      <c r="C675" s="157">
        <v>1</v>
      </c>
      <c r="D675" s="157" t="s">
        <v>468</v>
      </c>
      <c r="E675" s="177" t="s">
        <v>468</v>
      </c>
      <c r="F675" s="233" t="s">
        <v>541</v>
      </c>
      <c r="G675" s="234">
        <v>42984</v>
      </c>
      <c r="H675" s="157" t="s">
        <v>833</v>
      </c>
      <c r="I675" s="157" t="s">
        <v>480</v>
      </c>
      <c r="J675" s="237">
        <v>18042</v>
      </c>
      <c r="K675" s="175" t="s">
        <v>61</v>
      </c>
      <c r="L675" s="175" t="s">
        <v>439</v>
      </c>
      <c r="M675" s="175" t="s">
        <v>1343</v>
      </c>
      <c r="N675" s="180"/>
      <c r="O675" s="177"/>
      <c r="P675" s="181">
        <v>0</v>
      </c>
      <c r="Q675" s="177">
        <v>42667</v>
      </c>
      <c r="R675" s="178">
        <v>576.64</v>
      </c>
      <c r="S675" s="179">
        <v>174565.35440136003</v>
      </c>
      <c r="T675" s="182" t="s">
        <v>45</v>
      </c>
      <c r="U675" s="183">
        <v>3.4</v>
      </c>
      <c r="V675" s="179">
        <v>7156.66</v>
      </c>
      <c r="W675" s="179">
        <v>2034.2437993199997</v>
      </c>
      <c r="X675" s="196" t="s">
        <v>45</v>
      </c>
      <c r="Y675" s="183">
        <v>3.4</v>
      </c>
      <c r="Z675" s="220" t="s">
        <v>473</v>
      </c>
      <c r="AA675" s="201">
        <f>Delivery[[#This Row],[Quantity delivered]]*VLOOKUP(Delivery[[#This Row],[Unit]],References!$U:$X,4,FALSE)*VLOOKUP(CONCATENATE(Delivery[[#This Row],[Coffee specie]],Delivery[[#This Row],[Coffee state]]),References!$U:$X,4,FALSE)</f>
        <v>18042</v>
      </c>
      <c r="AB675" s="202">
        <f>SUMIF(Allocation!C:C,Delivery[[#This Row],[Delivery ID]],Allocation!D:D)/Delivery[[#This Row],[Quantity delivered]]</f>
        <v>9.3282341203857672E-2</v>
      </c>
      <c r="AC675" s="203">
        <f>Delivery[[#This Row],[Quantity delivered]]*Delivery[[#This Row],[Base price (Unidad)]]/60</f>
        <v>173395.64799999999</v>
      </c>
      <c r="AD675" s="204">
        <f>Delivery[[#This Row],[Nespresso total]]-Delivery[[#This Row],[Qt. Delivery * Base Price]]</f>
        <v>1169.7064013600466</v>
      </c>
      <c r="AE675" s="204">
        <f>Delivery[[#This Row],[AAA Premium (total)]]/Delivery[[#This Row],[Quantity delivered]]*60/Delivery[[#This Row],[Exchange rate VS USD]]</f>
        <v>7</v>
      </c>
      <c r="AF675" s="204">
        <f>Delivery[[#This Row],[BEN premium (total)]]/Delivery[[#This Row],[Quantity delivered]]*60/Delivery[[#This Row],[Exchange rate for premiums VS USD]]</f>
        <v>1.9897139999999998</v>
      </c>
      <c r="AG675" s="204">
        <f>COUNTIF(Delivery[Delivery ID],Delivery[[#This Row],[Delivery ID]])</f>
        <v>1</v>
      </c>
      <c r="AH675" s="204">
        <f>(Delivery[[#This Row],[Nespresso total]]/SUMIF(Allocation!C:C,Delivery[Delivery ID],Allocation!H:H))/Delivery[[#This Row],[Exchange rate VS USD]]</f>
        <v>101.66881444458943</v>
      </c>
      <c r="AI675" s="204">
        <f>(Delivery[[#This Row],[AAA Premium (total)]]/SUMIF(Allocation!C:C,Delivery[Delivery ID],Allocation!H:H))/Delivery[[#This Row],[Exchange rate VS USD]]</f>
        <v>4.1681188118811878</v>
      </c>
      <c r="AJ675" s="204">
        <f>Delivery[[#This Row],[Valor Prêmio Nespresso AAA por Kg (em US$)]]*60</f>
        <v>250.08712871287128</v>
      </c>
      <c r="AK675" s="204">
        <f>Delivery[[#This Row],[Valor Prêmio Nespresso AAA por saca (em US$)]]/1.3228/100</f>
        <v>1.8905891193897133</v>
      </c>
      <c r="AL675" s="204">
        <f>(Delivery[[#This Row],[BEN premium (total)]]/SUMIF(Allocation!C:C,Delivery[Delivery ID],Allocation!H:H))/Delivery[[#This Row],[Exchange rate for premiums VS USD]]</f>
        <v>1.1847663362376237</v>
      </c>
      <c r="AM675" s="204">
        <f>Delivery[[#This Row],[Valor Prêmio Nespresso BEN por Kg (em US$)]]*60</f>
        <v>71.085980174257429</v>
      </c>
      <c r="AN675" s="204">
        <f>Delivery[[#This Row],[Valor Prêmio Nespresso BEN por saca (em US$)]]/1.3228/100</f>
        <v>0.53739023415676923</v>
      </c>
      <c r="AO675" s="204">
        <f>SUMIF(Allocation[Delivery ID],Delivery[[#This Row],[Delivery ID]],Allocation[Quantity allocated])*16*1.3228*Delivery[[#This Row],[Exchange rate VS USD]]/60</f>
        <v>605.66602666666665</v>
      </c>
      <c r="AP675" s="204">
        <f>Delivery[[#This Row],[AAA Premium (total)]]</f>
        <v>7156.66</v>
      </c>
      <c r="AQ675" s="204">
        <f>Delivery[[#This Row],[Valor pago pelo Cluster]]-Delivery[[#This Row],[Valor efetivamente pago pela Nespresso]]</f>
        <v>6550.9939733333331</v>
      </c>
    </row>
    <row r="676" spans="1:43" ht="15.75">
      <c r="A676" s="174" t="s">
        <v>69</v>
      </c>
      <c r="B676" s="232" t="s">
        <v>68</v>
      </c>
      <c r="C676" s="157">
        <v>1</v>
      </c>
      <c r="D676" s="157" t="s">
        <v>468</v>
      </c>
      <c r="E676" s="177" t="s">
        <v>468</v>
      </c>
      <c r="F676" s="233" t="s">
        <v>541</v>
      </c>
      <c r="G676" s="234">
        <v>42984</v>
      </c>
      <c r="H676" s="157" t="s">
        <v>834</v>
      </c>
      <c r="I676" s="157" t="s">
        <v>480</v>
      </c>
      <c r="J676" s="237">
        <v>11928</v>
      </c>
      <c r="K676" s="175" t="s">
        <v>61</v>
      </c>
      <c r="L676" s="175" t="s">
        <v>439</v>
      </c>
      <c r="M676" s="175" t="s">
        <v>1343</v>
      </c>
      <c r="N676" s="180"/>
      <c r="O676" s="177"/>
      <c r="P676" s="181">
        <v>0</v>
      </c>
      <c r="Q676" s="177">
        <v>42667</v>
      </c>
      <c r="R676" s="178">
        <v>576.64</v>
      </c>
      <c r="S676" s="179">
        <v>115409.35302623999</v>
      </c>
      <c r="T676" s="182" t="s">
        <v>45</v>
      </c>
      <c r="U676" s="183">
        <v>3.4</v>
      </c>
      <c r="V676" s="179">
        <v>4731.4399999999996</v>
      </c>
      <c r="W676" s="179">
        <v>1344.8874868800001</v>
      </c>
      <c r="X676" s="196" t="s">
        <v>45</v>
      </c>
      <c r="Y676" s="183">
        <v>3.4</v>
      </c>
      <c r="Z676" s="220" t="s">
        <v>473</v>
      </c>
      <c r="AA676" s="201">
        <f>Delivery[[#This Row],[Quantity delivered]]*VLOOKUP(Delivery[[#This Row],[Unit]],References!$U:$X,4,FALSE)*VLOOKUP(CONCATENATE(Delivery[[#This Row],[Coffee specie]],Delivery[[#This Row],[Coffee state]]),References!$U:$X,4,FALSE)</f>
        <v>11928</v>
      </c>
      <c r="AB676" s="202">
        <f>SUMIF(Allocation!C:C,Delivery[[#This Row],[Delivery ID]],Allocation!D:D)/Delivery[[#This Row],[Quantity delivered]]</f>
        <v>9.3309859154929578E-2</v>
      </c>
      <c r="AC676" s="203">
        <f>Delivery[[#This Row],[Quantity delivered]]*Delivery[[#This Row],[Base price (Unidad)]]/60</f>
        <v>114636.03199999999</v>
      </c>
      <c r="AD676" s="204">
        <f>Delivery[[#This Row],[Nespresso total]]-Delivery[[#This Row],[Qt. Delivery * Base Price]]</f>
        <v>773.32102623999526</v>
      </c>
      <c r="AE676" s="204">
        <f>Delivery[[#This Row],[AAA Premium (total)]]/Delivery[[#This Row],[Quantity delivered]]*60/Delivery[[#This Row],[Exchange rate VS USD]]</f>
        <v>6.9999999999999991</v>
      </c>
      <c r="AF676" s="204">
        <f>Delivery[[#This Row],[BEN premium (total)]]/Delivery[[#This Row],[Quantity delivered]]*60/Delivery[[#This Row],[Exchange rate for premiums VS USD]]</f>
        <v>1.9897140000000002</v>
      </c>
      <c r="AG676" s="204">
        <f>COUNTIF(Delivery[Delivery ID],Delivery[[#This Row],[Delivery ID]])</f>
        <v>1</v>
      </c>
      <c r="AH676" s="204">
        <f>(Delivery[[#This Row],[Nespresso total]]/SUMIF(Allocation!C:C,Delivery[Delivery ID],Allocation!H:H))/Delivery[[#This Row],[Exchange rate VS USD]]</f>
        <v>101.62852503191264</v>
      </c>
      <c r="AI676" s="204">
        <f>(Delivery[[#This Row],[AAA Premium (total)]]/SUMIF(Allocation!C:C,Delivery[Delivery ID],Allocation!H:H))/Delivery[[#This Row],[Exchange rate VS USD]]</f>
        <v>4.1664670658682628</v>
      </c>
      <c r="AJ676" s="204">
        <f>Delivery[[#This Row],[Valor Prêmio Nespresso AAA por Kg (em US$)]]*60</f>
        <v>249.98802395209577</v>
      </c>
      <c r="AK676" s="204">
        <f>Delivery[[#This Row],[Valor Prêmio Nespresso AAA por saca (em US$)]]/1.3228/100</f>
        <v>1.8898399149689731</v>
      </c>
      <c r="AL676" s="204">
        <f>(Delivery[[#This Row],[BEN premium (total)]]/SUMIF(Allocation!C:C,Delivery[Delivery ID],Allocation!H:H))/Delivery[[#This Row],[Exchange rate for premiums VS USD]]</f>
        <v>1.1842968359281438</v>
      </c>
      <c r="AM676" s="204">
        <f>Delivery[[#This Row],[Valor Prêmio Nespresso BEN por Kg (em US$)]]*60</f>
        <v>71.057810155688628</v>
      </c>
      <c r="AN676" s="204">
        <f>Delivery[[#This Row],[Valor Prêmio Nespresso BEN por saca (em US$)]]/1.3228/100</f>
        <v>0.53717727665322523</v>
      </c>
      <c r="AO676" s="204">
        <f>SUMIF(Allocation[Delivery ID],Delivery[[#This Row],[Delivery ID]],Allocation[Quantity allocated])*16*1.3228*Delivery[[#This Row],[Exchange rate VS USD]]/60</f>
        <v>400.57911466666667</v>
      </c>
      <c r="AP676" s="204">
        <f>Delivery[[#This Row],[AAA Premium (total)]]</f>
        <v>4731.4399999999996</v>
      </c>
      <c r="AQ676" s="204">
        <f>Delivery[[#This Row],[Valor pago pelo Cluster]]-Delivery[[#This Row],[Valor efetivamente pago pela Nespresso]]</f>
        <v>4330.8608853333326</v>
      </c>
    </row>
    <row r="677" spans="1:43" ht="15.75">
      <c r="A677" s="174" t="s">
        <v>69</v>
      </c>
      <c r="B677" s="232" t="s">
        <v>68</v>
      </c>
      <c r="C677" s="157">
        <v>1</v>
      </c>
      <c r="D677" s="157" t="s">
        <v>468</v>
      </c>
      <c r="E677" s="177" t="s">
        <v>468</v>
      </c>
      <c r="F677" s="233" t="s">
        <v>541</v>
      </c>
      <c r="G677" s="234">
        <v>42984</v>
      </c>
      <c r="H677" s="157" t="s">
        <v>835</v>
      </c>
      <c r="I677" s="157" t="s">
        <v>480</v>
      </c>
      <c r="J677" s="237">
        <v>13131</v>
      </c>
      <c r="K677" s="175" t="s">
        <v>61</v>
      </c>
      <c r="L677" s="175" t="s">
        <v>439</v>
      </c>
      <c r="M677" s="175" t="s">
        <v>1343</v>
      </c>
      <c r="N677" s="180"/>
      <c r="O677" s="177"/>
      <c r="P677" s="181">
        <v>0</v>
      </c>
      <c r="Q677" s="177">
        <v>42667</v>
      </c>
      <c r="R677" s="178">
        <v>576.64</v>
      </c>
      <c r="S677" s="179">
        <v>127048.97841948002</v>
      </c>
      <c r="T677" s="182" t="s">
        <v>45</v>
      </c>
      <c r="U677" s="183">
        <v>3.4</v>
      </c>
      <c r="V677" s="179">
        <v>5208.63</v>
      </c>
      <c r="W677" s="179">
        <v>1480.52629026</v>
      </c>
      <c r="X677" s="196" t="s">
        <v>45</v>
      </c>
      <c r="Y677" s="183">
        <v>3.4</v>
      </c>
      <c r="Z677" s="220" t="s">
        <v>473</v>
      </c>
      <c r="AA677" s="201">
        <f>Delivery[[#This Row],[Quantity delivered]]*VLOOKUP(Delivery[[#This Row],[Unit]],References!$U:$X,4,FALSE)*VLOOKUP(CONCATENATE(Delivery[[#This Row],[Coffee specie]],Delivery[[#This Row],[Coffee state]]),References!$U:$X,4,FALSE)</f>
        <v>13131</v>
      </c>
      <c r="AB677" s="202">
        <f>SUMIF(Allocation!C:C,Delivery[[#This Row],[Delivery ID]],Allocation!D:D)/Delivery[[#This Row],[Quantity delivered]]</f>
        <v>9.3442997486863147E-2</v>
      </c>
      <c r="AC677" s="203">
        <f>Delivery[[#This Row],[Quantity delivered]]*Delivery[[#This Row],[Base price (Unidad)]]/60</f>
        <v>126197.664</v>
      </c>
      <c r="AD677" s="204">
        <f>Delivery[[#This Row],[Nespresso total]]-Delivery[[#This Row],[Qt. Delivery * Base Price]]</f>
        <v>851.31441948001157</v>
      </c>
      <c r="AE677" s="204">
        <f>Delivery[[#This Row],[AAA Premium (total)]]/Delivery[[#This Row],[Quantity delivered]]*60/Delivery[[#This Row],[Exchange rate VS USD]]</f>
        <v>7</v>
      </c>
      <c r="AF677" s="204">
        <f>Delivery[[#This Row],[BEN premium (total)]]/Delivery[[#This Row],[Quantity delivered]]*60/Delivery[[#This Row],[Exchange rate for premiums VS USD]]</f>
        <v>1.989714</v>
      </c>
      <c r="AG677" s="204">
        <f>COUNTIF(Delivery[Delivery ID],Delivery[[#This Row],[Delivery ID]])</f>
        <v>1</v>
      </c>
      <c r="AH677" s="204">
        <f>(Delivery[[#This Row],[Nespresso total]]/SUMIF(Allocation!C:C,Delivery[Delivery ID],Allocation!H:H))/Delivery[[#This Row],[Exchange rate VS USD]]</f>
        <v>101.54170270099107</v>
      </c>
      <c r="AI677" s="204">
        <f>(Delivery[[#This Row],[AAA Premium (total)]]/SUMIF(Allocation!C:C,Delivery[Delivery ID],Allocation!H:H))/Delivery[[#This Row],[Exchange rate VS USD]]</f>
        <v>4.1629076086956518</v>
      </c>
      <c r="AJ677" s="204">
        <f>Delivery[[#This Row],[Valor Prêmio Nespresso AAA por Kg (em US$)]]*60</f>
        <v>249.7744565217391</v>
      </c>
      <c r="AK677" s="204">
        <f>Delivery[[#This Row],[Valor Prêmio Nespresso AAA por saca (em US$)]]/1.3228/100</f>
        <v>1.888225404609458</v>
      </c>
      <c r="AL677" s="204">
        <f>(Delivery[[#This Row],[BEN premium (total)]]/SUMIF(Allocation!C:C,Delivery[Delivery ID],Allocation!H:H))/Delivery[[#This Row],[Exchange rate for premiums VS USD]]</f>
        <v>1.1832850785326088</v>
      </c>
      <c r="AM677" s="204">
        <f>Delivery[[#This Row],[Valor Prêmio Nespresso BEN por Kg (em US$)]]*60</f>
        <v>70.997104711956524</v>
      </c>
      <c r="AN677" s="204">
        <f>Delivery[[#This Row],[Valor Prêmio Nespresso BEN por saca (em US$)]]/1.3228/100</f>
        <v>0.53671836038672904</v>
      </c>
      <c r="AO677" s="204">
        <f>SUMIF(Allocation[Delivery ID],Delivery[[#This Row],[Delivery ID]],Allocation[Quantity allocated])*16*1.3228*Delivery[[#This Row],[Exchange rate VS USD]]/60</f>
        <v>441.35662933333333</v>
      </c>
      <c r="AP677" s="204">
        <f>Delivery[[#This Row],[AAA Premium (total)]]</f>
        <v>5208.63</v>
      </c>
      <c r="AQ677" s="204">
        <f>Delivery[[#This Row],[Valor pago pelo Cluster]]-Delivery[[#This Row],[Valor efetivamente pago pela Nespresso]]</f>
        <v>4767.2733706666668</v>
      </c>
    </row>
    <row r="678" spans="1:43" ht="15.75">
      <c r="A678" s="174" t="s">
        <v>69</v>
      </c>
      <c r="B678" s="232" t="s">
        <v>68</v>
      </c>
      <c r="C678" s="157">
        <v>1</v>
      </c>
      <c r="D678" s="157" t="s">
        <v>468</v>
      </c>
      <c r="E678" s="177" t="s">
        <v>468</v>
      </c>
      <c r="F678" s="233" t="s">
        <v>541</v>
      </c>
      <c r="G678" s="234">
        <v>42984</v>
      </c>
      <c r="H678" s="157" t="s">
        <v>836</v>
      </c>
      <c r="I678" s="157" t="s">
        <v>480</v>
      </c>
      <c r="J678" s="237">
        <v>16848.5</v>
      </c>
      <c r="K678" s="175" t="s">
        <v>61</v>
      </c>
      <c r="L678" s="175" t="s">
        <v>439</v>
      </c>
      <c r="M678" s="175" t="s">
        <v>1343</v>
      </c>
      <c r="N678" s="180"/>
      <c r="O678" s="177"/>
      <c r="P678" s="181">
        <v>0</v>
      </c>
      <c r="Q678" s="177">
        <v>42667</v>
      </c>
      <c r="R678" s="178">
        <v>576.64</v>
      </c>
      <c r="S678" s="179">
        <v>163017.64624937996</v>
      </c>
      <c r="T678" s="182" t="s">
        <v>45</v>
      </c>
      <c r="U678" s="183">
        <v>3.4</v>
      </c>
      <c r="V678" s="179">
        <v>6683.2383333333337</v>
      </c>
      <c r="W678" s="179">
        <v>1899.6761253099999</v>
      </c>
      <c r="X678" s="196" t="s">
        <v>45</v>
      </c>
      <c r="Y678" s="183">
        <v>3.4</v>
      </c>
      <c r="Z678" s="220" t="s">
        <v>473</v>
      </c>
      <c r="AA678" s="201">
        <f>Delivery[[#This Row],[Quantity delivered]]*VLOOKUP(Delivery[[#This Row],[Unit]],References!$U:$X,4,FALSE)*VLOOKUP(CONCATENATE(Delivery[[#This Row],[Coffee specie]],Delivery[[#This Row],[Coffee state]]),References!$U:$X,4,FALSE)</f>
        <v>16848.5</v>
      </c>
      <c r="AB678" s="202">
        <f>SUMIF(Allocation!C:C,Delivery[[#This Row],[Delivery ID]],Allocation!D:D)/Delivery[[#This Row],[Quantity delivered]]</f>
        <v>9.3361426833249245E-2</v>
      </c>
      <c r="AC678" s="203">
        <f>Delivery[[#This Row],[Quantity delivered]]*Delivery[[#This Row],[Base price (Unidad)]]/60</f>
        <v>161925.31733333331</v>
      </c>
      <c r="AD678" s="204">
        <f>Delivery[[#This Row],[Nespresso total]]-Delivery[[#This Row],[Qt. Delivery * Base Price]]</f>
        <v>1092.328916046652</v>
      </c>
      <c r="AE678" s="204">
        <f>Delivery[[#This Row],[AAA Premium (total)]]/Delivery[[#This Row],[Quantity delivered]]*60/Delivery[[#This Row],[Exchange rate VS USD]]</f>
        <v>7</v>
      </c>
      <c r="AF678" s="204">
        <f>Delivery[[#This Row],[BEN premium (total)]]/Delivery[[#This Row],[Quantity delivered]]*60/Delivery[[#This Row],[Exchange rate for premiums VS USD]]</f>
        <v>1.989714</v>
      </c>
      <c r="AG678" s="204">
        <f>COUNTIF(Delivery[Delivery ID],Delivery[[#This Row],[Delivery ID]])</f>
        <v>1</v>
      </c>
      <c r="AH678" s="204">
        <f>(Delivery[[#This Row],[Nespresso total]]/SUMIF(Allocation!C:C,Delivery[Delivery ID],Allocation!H:H))/Delivery[[#This Row],[Exchange rate VS USD]]</f>
        <v>101.58128505071035</v>
      </c>
      <c r="AI678" s="204">
        <f>(Delivery[[#This Row],[AAA Premium (total)]]/SUMIF(Allocation!C:C,Delivery[Delivery ID],Allocation!H:H))/Delivery[[#This Row],[Exchange rate VS USD]]</f>
        <v>4.1645303672316389</v>
      </c>
      <c r="AJ678" s="204">
        <f>Delivery[[#This Row],[Valor Prêmio Nespresso AAA por Kg (em US$)]]*60</f>
        <v>249.87182203389833</v>
      </c>
      <c r="AK678" s="204">
        <f>Delivery[[#This Row],[Valor Prêmio Nespresso AAA por saca (em US$)]]/1.3228/100</f>
        <v>1.8889614607945142</v>
      </c>
      <c r="AL678" s="204">
        <f>(Delivery[[#This Row],[BEN premium (total)]]/SUMIF(Allocation!C:C,Delivery[Delivery ID],Allocation!H:H))/Delivery[[#This Row],[Exchange rate for premiums VS USD]]</f>
        <v>1.1837463393008474</v>
      </c>
      <c r="AM678" s="204">
        <f>Delivery[[#This Row],[Valor Prêmio Nespresso BEN por Kg (em US$)]]*60</f>
        <v>71.024780358050847</v>
      </c>
      <c r="AN678" s="204">
        <f>Delivery[[#This Row],[Valor Prêmio Nespresso BEN por saca (em US$)]]/1.3228/100</f>
        <v>0.53692758057189938</v>
      </c>
      <c r="AO678" s="204">
        <f>SUMIF(Allocation[Delivery ID],Delivery[[#This Row],[Delivery ID]],Allocation[Quantity allocated])*16*1.3228*Delivery[[#This Row],[Exchange rate VS USD]]/60</f>
        <v>566.08785066666667</v>
      </c>
      <c r="AP678" s="204">
        <f>Delivery[[#This Row],[AAA Premium (total)]]</f>
        <v>6683.2383333333337</v>
      </c>
      <c r="AQ678" s="204">
        <f>Delivery[[#This Row],[Valor pago pelo Cluster]]-Delivery[[#This Row],[Valor efetivamente pago pela Nespresso]]</f>
        <v>6117.1504826666669</v>
      </c>
    </row>
    <row r="679" spans="1:43" ht="15.75">
      <c r="A679" s="174" t="s">
        <v>69</v>
      </c>
      <c r="B679" s="232" t="s">
        <v>68</v>
      </c>
      <c r="C679" s="157">
        <v>1</v>
      </c>
      <c r="D679" s="157" t="s">
        <v>468</v>
      </c>
      <c r="E679" s="177" t="s">
        <v>468</v>
      </c>
      <c r="F679" s="233" t="s">
        <v>541</v>
      </c>
      <c r="G679" s="234">
        <v>42984</v>
      </c>
      <c r="H679" s="157" t="s">
        <v>837</v>
      </c>
      <c r="I679" s="157" t="s">
        <v>480</v>
      </c>
      <c r="J679" s="237">
        <v>14155.5</v>
      </c>
      <c r="K679" s="175" t="s">
        <v>61</v>
      </c>
      <c r="L679" s="175" t="s">
        <v>439</v>
      </c>
      <c r="M679" s="175" t="s">
        <v>1343</v>
      </c>
      <c r="N679" s="180"/>
      <c r="O679" s="177"/>
      <c r="P679" s="181">
        <v>0</v>
      </c>
      <c r="Q679" s="177">
        <v>42667</v>
      </c>
      <c r="R679" s="178">
        <v>576.64</v>
      </c>
      <c r="S679" s="179">
        <v>136961.52722694003</v>
      </c>
      <c r="T679" s="182" t="s">
        <v>45</v>
      </c>
      <c r="U679" s="183">
        <v>3.4</v>
      </c>
      <c r="V679" s="179">
        <v>5615.0150000000003</v>
      </c>
      <c r="W679" s="179">
        <v>1596.03913653</v>
      </c>
      <c r="X679" s="196" t="s">
        <v>45</v>
      </c>
      <c r="Y679" s="183">
        <v>3.4</v>
      </c>
      <c r="Z679" s="220" t="s">
        <v>473</v>
      </c>
      <c r="AA679" s="201">
        <f>Delivery[[#This Row],[Quantity delivered]]*VLOOKUP(Delivery[[#This Row],[Unit]],References!$U:$X,4,FALSE)*VLOOKUP(CONCATENATE(Delivery[[#This Row],[Coffee specie]],Delivery[[#This Row],[Coffee state]]),References!$U:$X,4,FALSE)</f>
        <v>14155.5</v>
      </c>
      <c r="AB679" s="202">
        <f>SUMIF(Allocation!C:C,Delivery[[#This Row],[Delivery ID]],Allocation!D:D)/Delivery[[#This Row],[Quantity delivered]]</f>
        <v>9.3249973508530259E-2</v>
      </c>
      <c r="AC679" s="203">
        <f>Delivery[[#This Row],[Quantity delivered]]*Delivery[[#This Row],[Base price (Unidad)]]/60</f>
        <v>136043.79199999999</v>
      </c>
      <c r="AD679" s="204">
        <f>Delivery[[#This Row],[Nespresso total]]-Delivery[[#This Row],[Qt. Delivery * Base Price]]</f>
        <v>917.7352269400435</v>
      </c>
      <c r="AE679" s="204">
        <f>Delivery[[#This Row],[AAA Premium (total)]]/Delivery[[#This Row],[Quantity delivered]]*60/Delivery[[#This Row],[Exchange rate VS USD]]</f>
        <v>7</v>
      </c>
      <c r="AF679" s="204">
        <f>Delivery[[#This Row],[BEN premium (total)]]/Delivery[[#This Row],[Quantity delivered]]*60/Delivery[[#This Row],[Exchange rate for premiums VS USD]]</f>
        <v>1.989714</v>
      </c>
      <c r="AG679" s="204">
        <f>COUNTIF(Delivery[Delivery ID],Delivery[[#This Row],[Delivery ID]])</f>
        <v>1</v>
      </c>
      <c r="AH679" s="204">
        <f>(Delivery[[#This Row],[Nespresso total]]/SUMIF(Allocation!C:C,Delivery[Delivery ID],Allocation!H:H))/Delivery[[#This Row],[Exchange rate VS USD]]</f>
        <v>101.72424779184495</v>
      </c>
      <c r="AI679" s="204">
        <f>(Delivery[[#This Row],[AAA Premium (total)]]/SUMIF(Allocation!C:C,Delivery[Delivery ID],Allocation!H:H))/Delivery[[#This Row],[Exchange rate VS USD]]</f>
        <v>4.1703914141414149</v>
      </c>
      <c r="AJ679" s="204">
        <f>Delivery[[#This Row],[Valor Prêmio Nespresso AAA por Kg (em US$)]]*60</f>
        <v>250.2234848484849</v>
      </c>
      <c r="AK679" s="204">
        <f>Delivery[[#This Row],[Valor Prêmio Nespresso AAA por saca (em US$)]]/1.3228/100</f>
        <v>1.8916199338409805</v>
      </c>
      <c r="AL679" s="204">
        <f>(Delivery[[#This Row],[BEN premium (total)]]/SUMIF(Allocation!C:C,Delivery[Delivery ID],Allocation!H:H))/Delivery[[#This Row],[Exchange rate for premiums VS USD]]</f>
        <v>1.1854123117424242</v>
      </c>
      <c r="AM679" s="204">
        <f>Delivery[[#This Row],[Valor Prêmio Nespresso BEN por Kg (em US$)]]*60</f>
        <v>71.12473870454545</v>
      </c>
      <c r="AN679" s="204">
        <f>Delivery[[#This Row],[Valor Prêmio Nespresso BEN por saca (em US$)]]/1.3228/100</f>
        <v>0.53768323786321026</v>
      </c>
      <c r="AO679" s="204">
        <f>SUMIF(Allocation[Delivery ID],Delivery[[#This Row],[Delivery ID]],Allocation[Quantity allocated])*16*1.3228*Delivery[[#This Row],[Exchange rate VS USD]]/60</f>
        <v>474.93811199999999</v>
      </c>
      <c r="AP679" s="204">
        <f>Delivery[[#This Row],[AAA Premium (total)]]</f>
        <v>5615.0150000000003</v>
      </c>
      <c r="AQ679" s="204">
        <f>Delivery[[#This Row],[Valor pago pelo Cluster]]-Delivery[[#This Row],[Valor efetivamente pago pela Nespresso]]</f>
        <v>5140.0768880000005</v>
      </c>
    </row>
    <row r="680" spans="1:43" ht="15.75">
      <c r="A680" s="174" t="s">
        <v>69</v>
      </c>
      <c r="B680" s="232" t="s">
        <v>68</v>
      </c>
      <c r="C680" s="157">
        <v>1</v>
      </c>
      <c r="D680" s="157" t="s">
        <v>468</v>
      </c>
      <c r="E680" s="177" t="s">
        <v>468</v>
      </c>
      <c r="F680" s="233" t="s">
        <v>541</v>
      </c>
      <c r="G680" s="234">
        <v>42984</v>
      </c>
      <c r="H680" s="157" t="s">
        <v>838</v>
      </c>
      <c r="I680" s="157" t="s">
        <v>480</v>
      </c>
      <c r="J680" s="237">
        <v>15834.5</v>
      </c>
      <c r="K680" s="175" t="s">
        <v>61</v>
      </c>
      <c r="L680" s="175" t="s">
        <v>439</v>
      </c>
      <c r="M680" s="175" t="s">
        <v>1343</v>
      </c>
      <c r="N680" s="180"/>
      <c r="O680" s="177"/>
      <c r="P680" s="181">
        <v>0</v>
      </c>
      <c r="Q680" s="177">
        <v>42667</v>
      </c>
      <c r="R680" s="178">
        <v>576.64</v>
      </c>
      <c r="S680" s="179">
        <v>153206.69018226</v>
      </c>
      <c r="T680" s="182" t="s">
        <v>45</v>
      </c>
      <c r="U680" s="183">
        <v>3.4</v>
      </c>
      <c r="V680" s="179">
        <v>6281.0183333333334</v>
      </c>
      <c r="W680" s="179">
        <v>1785.3471588699997</v>
      </c>
      <c r="X680" s="196" t="s">
        <v>45</v>
      </c>
      <c r="Y680" s="183">
        <v>3.4</v>
      </c>
      <c r="Z680" s="220" t="s">
        <v>473</v>
      </c>
      <c r="AA680" s="201">
        <f>Delivery[[#This Row],[Quantity delivered]]*VLOOKUP(Delivery[[#This Row],[Unit]],References!$U:$X,4,FALSE)*VLOOKUP(CONCATENATE(Delivery[[#This Row],[Coffee specie]],Delivery[[#This Row],[Coffee state]]),References!$U:$X,4,FALSE)</f>
        <v>15834.5</v>
      </c>
      <c r="AB680" s="202">
        <f>SUMIF(Allocation!C:C,Delivery[[#This Row],[Delivery ID]],Allocation!D:D)/Delivery[[#This Row],[Quantity delivered]]</f>
        <v>9.3277337459345105E-2</v>
      </c>
      <c r="AC680" s="203">
        <f>Delivery[[#This Row],[Quantity delivered]]*Delivery[[#This Row],[Base price (Unidad)]]/60</f>
        <v>152180.10133333332</v>
      </c>
      <c r="AD680" s="204">
        <f>Delivery[[#This Row],[Nespresso total]]-Delivery[[#This Row],[Qt. Delivery * Base Price]]</f>
        <v>1026.5888489266799</v>
      </c>
      <c r="AE680" s="204">
        <f>Delivery[[#This Row],[AAA Premium (total)]]/Delivery[[#This Row],[Quantity delivered]]*60/Delivery[[#This Row],[Exchange rate VS USD]]</f>
        <v>7</v>
      </c>
      <c r="AF680" s="204">
        <f>Delivery[[#This Row],[BEN premium (total)]]/Delivery[[#This Row],[Quantity delivered]]*60/Delivery[[#This Row],[Exchange rate for premiums VS USD]]</f>
        <v>1.9897139999999998</v>
      </c>
      <c r="AG680" s="204">
        <f>COUNTIF(Delivery[Delivery ID],Delivery[[#This Row],[Delivery ID]])</f>
        <v>1</v>
      </c>
      <c r="AH680" s="204">
        <f>(Delivery[[#This Row],[Nespresso total]]/SUMIF(Allocation!C:C,Delivery[Delivery ID],Allocation!H:H))/Delivery[[#This Row],[Exchange rate VS USD]]</f>
        <v>101.71736169317489</v>
      </c>
      <c r="AI680" s="204">
        <f>(Delivery[[#This Row],[AAA Premium (total)]]/SUMIF(Allocation!C:C,Delivery[Delivery ID],Allocation!H:H))/Delivery[[#This Row],[Exchange rate VS USD]]</f>
        <v>4.1701091045899172</v>
      </c>
      <c r="AJ680" s="204">
        <f>Delivery[[#This Row],[Valor Prêmio Nespresso AAA por Kg (em US$)]]*60</f>
        <v>250.20654627539503</v>
      </c>
      <c r="AK680" s="204">
        <f>Delivery[[#This Row],[Valor Prêmio Nespresso AAA por saca (em US$)]]/1.3228/100</f>
        <v>1.8914918829406944</v>
      </c>
      <c r="AL680" s="204">
        <f>(Delivery[[#This Row],[BEN premium (total)]]/SUMIF(Allocation!C:C,Delivery[Delivery ID],Allocation!H:H))/Delivery[[#This Row],[Exchange rate for premiums VS USD]]</f>
        <v>1.1853320667042886</v>
      </c>
      <c r="AM680" s="204">
        <f>Delivery[[#This Row],[Valor Prêmio Nespresso BEN por Kg (em US$)]]*60</f>
        <v>71.119924002257321</v>
      </c>
      <c r="AN680" s="204">
        <f>Delivery[[#This Row],[Valor Prêmio Nespresso BEN por saca (em US$)]]/1.3228/100</f>
        <v>0.53764684005335139</v>
      </c>
      <c r="AO680" s="204">
        <f>SUMIF(Allocation[Delivery ID],Delivery[[#This Row],[Delivery ID]],Allocation[Quantity allocated])*16*1.3228*Delivery[[#This Row],[Exchange rate VS USD]]/60</f>
        <v>531.30702933333339</v>
      </c>
      <c r="AP680" s="204">
        <f>Delivery[[#This Row],[AAA Premium (total)]]</f>
        <v>6281.0183333333334</v>
      </c>
      <c r="AQ680" s="204">
        <f>Delivery[[#This Row],[Valor pago pelo Cluster]]-Delivery[[#This Row],[Valor efetivamente pago pela Nespresso]]</f>
        <v>5749.7113040000004</v>
      </c>
    </row>
    <row r="681" spans="1:43" ht="15.75">
      <c r="A681" s="174" t="s">
        <v>69</v>
      </c>
      <c r="B681" s="232" t="s">
        <v>68</v>
      </c>
      <c r="C681" s="157">
        <v>1</v>
      </c>
      <c r="D681" s="157" t="s">
        <v>468</v>
      </c>
      <c r="E681" s="177" t="s">
        <v>468</v>
      </c>
      <c r="F681" s="233" t="s">
        <v>541</v>
      </c>
      <c r="G681" s="234">
        <v>42984</v>
      </c>
      <c r="H681" s="157" t="s">
        <v>839</v>
      </c>
      <c r="I681" s="157" t="s">
        <v>480</v>
      </c>
      <c r="J681" s="237">
        <v>20681</v>
      </c>
      <c r="K681" s="175" t="s">
        <v>61</v>
      </c>
      <c r="L681" s="175" t="s">
        <v>439</v>
      </c>
      <c r="M681" s="175" t="s">
        <v>1343</v>
      </c>
      <c r="N681" s="180"/>
      <c r="O681" s="177"/>
      <c r="P681" s="181">
        <v>0</v>
      </c>
      <c r="Q681" s="177">
        <v>42667</v>
      </c>
      <c r="R681" s="178">
        <v>576.64</v>
      </c>
      <c r="S681" s="179">
        <v>200098.99647348002</v>
      </c>
      <c r="T681" s="182" t="s">
        <v>45</v>
      </c>
      <c r="U681" s="183">
        <v>3.4</v>
      </c>
      <c r="V681" s="179">
        <v>8203.4633333333331</v>
      </c>
      <c r="W681" s="179">
        <v>2331.7922632599998</v>
      </c>
      <c r="X681" s="196" t="s">
        <v>45</v>
      </c>
      <c r="Y681" s="183">
        <v>3.4</v>
      </c>
      <c r="Z681" s="220" t="s">
        <v>473</v>
      </c>
      <c r="AA681" s="201">
        <f>Delivery[[#This Row],[Quantity delivered]]*VLOOKUP(Delivery[[#This Row],[Unit]],References!$U:$X,4,FALSE)*VLOOKUP(CONCATENATE(Delivery[[#This Row],[Coffee specie]],Delivery[[#This Row],[Coffee state]]),References!$U:$X,4,FALSE)</f>
        <v>20681</v>
      </c>
      <c r="AB681" s="202">
        <f>SUMIF(Allocation!C:C,Delivery[[#This Row],[Delivery ID]],Allocation!D:D)/Delivery[[#This Row],[Quantity delivered]]</f>
        <v>9.3322373192785649E-2</v>
      </c>
      <c r="AC681" s="203">
        <f>Delivery[[#This Row],[Quantity delivered]]*Delivery[[#This Row],[Base price (Unidad)]]/60</f>
        <v>198758.19733333334</v>
      </c>
      <c r="AD681" s="204">
        <f>Delivery[[#This Row],[Nespresso total]]-Delivery[[#This Row],[Qt. Delivery * Base Price]]</f>
        <v>1340.7991401466716</v>
      </c>
      <c r="AE681" s="204">
        <f>Delivery[[#This Row],[AAA Premium (total)]]/Delivery[[#This Row],[Quantity delivered]]*60/Delivery[[#This Row],[Exchange rate VS USD]]</f>
        <v>7</v>
      </c>
      <c r="AF681" s="204">
        <f>Delivery[[#This Row],[BEN premium (total)]]/Delivery[[#This Row],[Quantity delivered]]*60/Delivery[[#This Row],[Exchange rate for premiums VS USD]]</f>
        <v>1.989714</v>
      </c>
      <c r="AG681" s="204">
        <f>COUNTIF(Delivery[Delivery ID],Delivery[[#This Row],[Delivery ID]])</f>
        <v>1</v>
      </c>
      <c r="AH681" s="204">
        <f>(Delivery[[#This Row],[Nespresso total]]/SUMIF(Allocation!C:C,Delivery[Delivery ID],Allocation!H:H))/Delivery[[#This Row],[Exchange rate VS USD]]</f>
        <v>101.64532991642793</v>
      </c>
      <c r="AI681" s="204">
        <f>(Delivery[[#This Row],[AAA Premium (total)]]/SUMIF(Allocation!C:C,Delivery[Delivery ID],Allocation!H:H))/Delivery[[#This Row],[Exchange rate VS USD]]</f>
        <v>4.1671560161197467</v>
      </c>
      <c r="AJ681" s="204">
        <f>Delivery[[#This Row],[Valor Prêmio Nespresso AAA por Kg (em US$)]]*60</f>
        <v>250.0293609671848</v>
      </c>
      <c r="AK681" s="204">
        <f>Delivery[[#This Row],[Valor Prêmio Nespresso AAA por saca (em US$)]]/1.3228/100</f>
        <v>1.8901524113031811</v>
      </c>
      <c r="AL681" s="204">
        <f>(Delivery[[#This Row],[BEN premium (total)]]/SUMIF(Allocation!C:C,Delivery[Delivery ID],Allocation!H:H))/Delivery[[#This Row],[Exchange rate for premiums VS USD]]</f>
        <v>1.184492666493955</v>
      </c>
      <c r="AM681" s="204">
        <f>Delivery[[#This Row],[Valor Prêmio Nespresso BEN por Kg (em US$)]]*60</f>
        <v>71.069559989637298</v>
      </c>
      <c r="AN681" s="204">
        <f>Delivery[[#This Row],[Valor Prêmio Nespresso BEN por saca (em US$)]]/1.3228/100</f>
        <v>0.53726610212909964</v>
      </c>
      <c r="AO681" s="204">
        <f>SUMIF(Allocation[Delivery ID],Delivery[[#This Row],[Delivery ID]],Allocation[Quantity allocated])*16*1.3228*Delivery[[#This Row],[Exchange rate VS USD]]/60</f>
        <v>694.41708800000004</v>
      </c>
      <c r="AP681" s="204">
        <f>Delivery[[#This Row],[AAA Premium (total)]]</f>
        <v>8203.4633333333331</v>
      </c>
      <c r="AQ681" s="204">
        <f>Delivery[[#This Row],[Valor pago pelo Cluster]]-Delivery[[#This Row],[Valor efetivamente pago pela Nespresso]]</f>
        <v>7509.046245333333</v>
      </c>
    </row>
    <row r="682" spans="1:43" ht="15.75">
      <c r="A682" s="174" t="s">
        <v>69</v>
      </c>
      <c r="B682" s="232" t="s">
        <v>68</v>
      </c>
      <c r="C682" s="157">
        <v>1</v>
      </c>
      <c r="D682" s="157" t="s">
        <v>468</v>
      </c>
      <c r="E682" s="177" t="s">
        <v>468</v>
      </c>
      <c r="F682" s="233" t="s">
        <v>541</v>
      </c>
      <c r="G682" s="234">
        <v>42984</v>
      </c>
      <c r="H682" s="157" t="s">
        <v>840</v>
      </c>
      <c r="I682" s="157" t="s">
        <v>480</v>
      </c>
      <c r="J682" s="237">
        <v>6174.5</v>
      </c>
      <c r="K682" s="175" t="s">
        <v>61</v>
      </c>
      <c r="L682" s="175" t="s">
        <v>439</v>
      </c>
      <c r="M682" s="175" t="s">
        <v>1343</v>
      </c>
      <c r="N682" s="180"/>
      <c r="O682" s="177"/>
      <c r="P682" s="181">
        <v>0</v>
      </c>
      <c r="Q682" s="177">
        <v>42667</v>
      </c>
      <c r="R682" s="178">
        <v>576.64</v>
      </c>
      <c r="S682" s="179">
        <v>59741.369069459994</v>
      </c>
      <c r="T682" s="182" t="s">
        <v>45</v>
      </c>
      <c r="U682" s="183">
        <v>3.4</v>
      </c>
      <c r="V682" s="179">
        <v>2449.2183333333332</v>
      </c>
      <c r="W682" s="179">
        <v>696.17771526999991</v>
      </c>
      <c r="X682" s="196" t="s">
        <v>45</v>
      </c>
      <c r="Y682" s="183">
        <v>3.4</v>
      </c>
      <c r="Z682" s="220" t="s">
        <v>473</v>
      </c>
      <c r="AA682" s="201">
        <f>Delivery[[#This Row],[Quantity delivered]]*VLOOKUP(Delivery[[#This Row],[Unit]],References!$U:$X,4,FALSE)*VLOOKUP(CONCATENATE(Delivery[[#This Row],[Coffee specie]],Delivery[[#This Row],[Coffee state]]),References!$U:$X,4,FALSE)</f>
        <v>6174.5</v>
      </c>
      <c r="AB682" s="202">
        <f>SUMIF(Allocation!C:C,Delivery[[#This Row],[Delivery ID]],Allocation!D:D)/Delivery[[#This Row],[Quantity delivered]]</f>
        <v>9.3448862256053117E-2</v>
      </c>
      <c r="AC682" s="203">
        <f>Delivery[[#This Row],[Quantity delivered]]*Delivery[[#This Row],[Base price (Unidad)]]/60</f>
        <v>59341.061333333331</v>
      </c>
      <c r="AD682" s="204">
        <f>Delivery[[#This Row],[Nespresso total]]-Delivery[[#This Row],[Qt. Delivery * Base Price]]</f>
        <v>400.30773612666235</v>
      </c>
      <c r="AE682" s="204">
        <f>Delivery[[#This Row],[AAA Premium (total)]]/Delivery[[#This Row],[Quantity delivered]]*60/Delivery[[#This Row],[Exchange rate VS USD]]</f>
        <v>7</v>
      </c>
      <c r="AF682" s="204">
        <f>Delivery[[#This Row],[BEN premium (total)]]/Delivery[[#This Row],[Quantity delivered]]*60/Delivery[[#This Row],[Exchange rate for premiums VS USD]]</f>
        <v>1.9897139999999998</v>
      </c>
      <c r="AG682" s="204">
        <f>COUNTIF(Delivery[Delivery ID],Delivery[[#This Row],[Delivery ID]])</f>
        <v>1</v>
      </c>
      <c r="AH682" s="204">
        <f>(Delivery[[#This Row],[Nespresso total]]/SUMIF(Allocation!C:C,Delivery[Delivery ID],Allocation!H:H))/Delivery[[#This Row],[Exchange rate VS USD]]</f>
        <v>101.56642140336619</v>
      </c>
      <c r="AI682" s="204">
        <f>(Delivery[[#This Row],[AAA Premium (total)]]/SUMIF(Allocation!C:C,Delivery[Delivery ID],Allocation!H:H))/Delivery[[#This Row],[Exchange rate VS USD]]</f>
        <v>4.1639210019267825</v>
      </c>
      <c r="AJ682" s="204">
        <f>Delivery[[#This Row],[Valor Prêmio Nespresso AAA por Kg (em US$)]]*60</f>
        <v>249.83526011560696</v>
      </c>
      <c r="AK682" s="204">
        <f>Delivery[[#This Row],[Valor Prêmio Nespresso AAA por saca (em US$)]]/1.3228/100</f>
        <v>1.8886850628636753</v>
      </c>
      <c r="AL682" s="204">
        <f>(Delivery[[#This Row],[BEN premium (total)]]/SUMIF(Allocation!C:C,Delivery[Delivery ID],Allocation!H:H))/Delivery[[#This Row],[Exchange rate for premiums VS USD]]</f>
        <v>1.1835731303468207</v>
      </c>
      <c r="AM682" s="204">
        <f>Delivery[[#This Row],[Valor Prêmio Nespresso BEN por Kg (em US$)]]*60</f>
        <v>71.014387820809233</v>
      </c>
      <c r="AN682" s="204">
        <f>Delivery[[#This Row],[Valor Prêmio Nespresso BEN por saca (em US$)]]/1.3228/100</f>
        <v>0.53684901588153333</v>
      </c>
      <c r="AO682" s="204">
        <f>SUMIF(Allocation[Delivery ID],Delivery[[#This Row],[Delivery ID]],Allocation[Quantity allocated])*16*1.3228*Delivery[[#This Row],[Exchange rate VS USD]]/60</f>
        <v>207.48558933333334</v>
      </c>
      <c r="AP682" s="204">
        <f>Delivery[[#This Row],[AAA Premium (total)]]</f>
        <v>2449.2183333333332</v>
      </c>
      <c r="AQ682" s="204">
        <f>Delivery[[#This Row],[Valor pago pelo Cluster]]-Delivery[[#This Row],[Valor efetivamente pago pela Nespresso]]</f>
        <v>2241.7327439999999</v>
      </c>
    </row>
    <row r="683" spans="1:43" ht="15.75">
      <c r="A683" s="174" t="s">
        <v>69</v>
      </c>
      <c r="B683" s="232" t="s">
        <v>68</v>
      </c>
      <c r="C683" s="157">
        <v>1</v>
      </c>
      <c r="D683" s="157" t="s">
        <v>468</v>
      </c>
      <c r="E683" s="177" t="s">
        <v>468</v>
      </c>
      <c r="F683" s="233" t="s">
        <v>541</v>
      </c>
      <c r="G683" s="234">
        <v>42984</v>
      </c>
      <c r="H683" s="157" t="s">
        <v>841</v>
      </c>
      <c r="I683" s="157" t="s">
        <v>480</v>
      </c>
      <c r="J683" s="237">
        <v>8096</v>
      </c>
      <c r="K683" s="175" t="s">
        <v>61</v>
      </c>
      <c r="L683" s="175" t="s">
        <v>439</v>
      </c>
      <c r="M683" s="175" t="s">
        <v>1343</v>
      </c>
      <c r="N683" s="180"/>
      <c r="O683" s="177"/>
      <c r="P683" s="181">
        <v>0</v>
      </c>
      <c r="Q683" s="177">
        <v>42667</v>
      </c>
      <c r="R683" s="178">
        <v>576.64</v>
      </c>
      <c r="S683" s="179">
        <v>78332.840551679998</v>
      </c>
      <c r="T683" s="182" t="s">
        <v>45</v>
      </c>
      <c r="U683" s="183">
        <v>3.4</v>
      </c>
      <c r="V683" s="179">
        <v>3211.4133333333334</v>
      </c>
      <c r="W683" s="179">
        <v>912.82772416</v>
      </c>
      <c r="X683" s="196" t="s">
        <v>45</v>
      </c>
      <c r="Y683" s="183">
        <v>3.4</v>
      </c>
      <c r="Z683" s="220" t="s">
        <v>473</v>
      </c>
      <c r="AA683" s="201">
        <f>Delivery[[#This Row],[Quantity delivered]]*VLOOKUP(Delivery[[#This Row],[Unit]],References!$U:$X,4,FALSE)*VLOOKUP(CONCATENATE(Delivery[[#This Row],[Coffee specie]],Delivery[[#This Row],[Coffee state]]),References!$U:$X,4,FALSE)</f>
        <v>8096</v>
      </c>
      <c r="AB683" s="202">
        <f>SUMIF(Allocation!C:C,Delivery[[#This Row],[Delivery ID]],Allocation!D:D)/Delivery[[#This Row],[Quantity delivered]]</f>
        <v>9.3502964426877472E-2</v>
      </c>
      <c r="AC683" s="203">
        <f>Delivery[[#This Row],[Quantity delivered]]*Delivery[[#This Row],[Base price (Unidad)]]/60</f>
        <v>77807.957333333325</v>
      </c>
      <c r="AD683" s="204">
        <f>Delivery[[#This Row],[Nespresso total]]-Delivery[[#This Row],[Qt. Delivery * Base Price]]</f>
        <v>524.88321834667295</v>
      </c>
      <c r="AE683" s="204">
        <f>Delivery[[#This Row],[AAA Premium (total)]]/Delivery[[#This Row],[Quantity delivered]]*60/Delivery[[#This Row],[Exchange rate VS USD]]</f>
        <v>7</v>
      </c>
      <c r="AF683" s="204">
        <f>Delivery[[#This Row],[BEN premium (total)]]/Delivery[[#This Row],[Quantity delivered]]*60/Delivery[[#This Row],[Exchange rate for premiums VS USD]]</f>
        <v>1.989714</v>
      </c>
      <c r="AG683" s="204">
        <f>COUNTIF(Delivery[Delivery ID],Delivery[[#This Row],[Delivery ID]])</f>
        <v>1</v>
      </c>
      <c r="AH683" s="204">
        <f>(Delivery[[#This Row],[Nespresso total]]/SUMIF(Allocation!C:C,Delivery[Delivery ID],Allocation!H:H))/Delivery[[#This Row],[Exchange rate VS USD]]</f>
        <v>101.49370374667012</v>
      </c>
      <c r="AI683" s="204">
        <f>(Delivery[[#This Row],[AAA Premium (total)]]/SUMIF(Allocation!C:C,Delivery[Delivery ID],Allocation!H:H))/Delivery[[#This Row],[Exchange rate VS USD]]</f>
        <v>4.1609397944199706</v>
      </c>
      <c r="AJ683" s="204">
        <f>Delivery[[#This Row],[Valor Prêmio Nespresso AAA por Kg (em US$)]]*60</f>
        <v>249.65638766519822</v>
      </c>
      <c r="AK683" s="204">
        <f>Delivery[[#This Row],[Valor Prêmio Nespresso AAA por saca (em US$)]]/1.3228/100</f>
        <v>1.8873328369005007</v>
      </c>
      <c r="AL683" s="204">
        <f>(Delivery[[#This Row],[BEN premium (total)]]/SUMIF(Allocation!C:C,Delivery[Delivery ID],Allocation!H:H))/Delivery[[#This Row],[Exchange rate for premiums VS USD]]</f>
        <v>1.182725737444934</v>
      </c>
      <c r="AM683" s="204">
        <f>Delivery[[#This Row],[Valor Prêmio Nespresso BEN por Kg (em US$)]]*60</f>
        <v>70.963544246696046</v>
      </c>
      <c r="AN683" s="204">
        <f>Delivery[[#This Row],[Valor Prêmio Nespresso BEN por saca (em US$)]]/1.3228/100</f>
        <v>0.53646465260580622</v>
      </c>
      <c r="AO683" s="204">
        <f>SUMIF(Allocation[Delivery ID],Delivery[[#This Row],[Delivery ID]],Allocation[Quantity allocated])*16*1.3228*Delivery[[#This Row],[Exchange rate VS USD]]/60</f>
        <v>272.2498773333333</v>
      </c>
      <c r="AP683" s="204">
        <f>Delivery[[#This Row],[AAA Premium (total)]]</f>
        <v>3211.4133333333334</v>
      </c>
      <c r="AQ683" s="204">
        <f>Delivery[[#This Row],[Valor pago pelo Cluster]]-Delivery[[#This Row],[Valor efetivamente pago pela Nespresso]]</f>
        <v>2939.1634560000002</v>
      </c>
    </row>
    <row r="684" spans="1:43" ht="15.75">
      <c r="A684" s="174" t="s">
        <v>69</v>
      </c>
      <c r="B684" s="232" t="s">
        <v>68</v>
      </c>
      <c r="C684" s="157">
        <v>1</v>
      </c>
      <c r="D684" s="157" t="s">
        <v>468</v>
      </c>
      <c r="E684" s="177" t="s">
        <v>468</v>
      </c>
      <c r="F684" s="233" t="s">
        <v>541</v>
      </c>
      <c r="G684" s="234">
        <v>42984</v>
      </c>
      <c r="H684" s="157" t="s">
        <v>842</v>
      </c>
      <c r="I684" s="157" t="s">
        <v>480</v>
      </c>
      <c r="J684" s="237">
        <v>20640</v>
      </c>
      <c r="K684" s="175" t="s">
        <v>61</v>
      </c>
      <c r="L684" s="175" t="s">
        <v>439</v>
      </c>
      <c r="M684" s="175" t="s">
        <v>1343</v>
      </c>
      <c r="N684" s="180"/>
      <c r="O684" s="177"/>
      <c r="P684" s="181">
        <v>0</v>
      </c>
      <c r="Q684" s="177">
        <v>42667</v>
      </c>
      <c r="R684" s="178">
        <v>576.64</v>
      </c>
      <c r="S684" s="179">
        <v>199702.30101119998</v>
      </c>
      <c r="T684" s="182" t="s">
        <v>45</v>
      </c>
      <c r="U684" s="183">
        <v>3.4</v>
      </c>
      <c r="V684" s="179">
        <v>8187.2</v>
      </c>
      <c r="W684" s="179">
        <v>2327.1694944000001</v>
      </c>
      <c r="X684" s="196" t="s">
        <v>45</v>
      </c>
      <c r="Y684" s="183">
        <v>3.4</v>
      </c>
      <c r="Z684" s="220" t="s">
        <v>473</v>
      </c>
      <c r="AA684" s="201">
        <f>Delivery[[#This Row],[Quantity delivered]]*VLOOKUP(Delivery[[#This Row],[Unit]],References!$U:$X,4,FALSE)*VLOOKUP(CONCATENATE(Delivery[[#This Row],[Coffee specie]],Delivery[[#This Row],[Coffee state]]),References!$U:$X,4,FALSE)</f>
        <v>20640</v>
      </c>
      <c r="AB684" s="202">
        <f>SUMIF(Allocation!C:C,Delivery[[#This Row],[Delivery ID]],Allocation!D:D)/Delivery[[#This Row],[Quantity delivered]]</f>
        <v>9.3168604651162792E-2</v>
      </c>
      <c r="AC684" s="203">
        <f>Delivery[[#This Row],[Quantity delivered]]*Delivery[[#This Row],[Base price (Unidad)]]/60</f>
        <v>198364.16</v>
      </c>
      <c r="AD684" s="204">
        <f>Delivery[[#This Row],[Nespresso total]]-Delivery[[#This Row],[Qt. Delivery * Base Price]]</f>
        <v>1338.1410111999721</v>
      </c>
      <c r="AE684" s="204">
        <f>Delivery[[#This Row],[AAA Premium (total)]]/Delivery[[#This Row],[Quantity delivered]]*60/Delivery[[#This Row],[Exchange rate VS USD]]</f>
        <v>7</v>
      </c>
      <c r="AF684" s="204">
        <f>Delivery[[#This Row],[BEN premium (total)]]/Delivery[[#This Row],[Quantity delivered]]*60/Delivery[[#This Row],[Exchange rate for premiums VS USD]]</f>
        <v>1.989714</v>
      </c>
      <c r="AG684" s="204">
        <f>COUNTIF(Delivery[Delivery ID],Delivery[[#This Row],[Delivery ID]])</f>
        <v>1</v>
      </c>
      <c r="AH684" s="204">
        <f>(Delivery[[#This Row],[Nespresso total]]/SUMIF(Allocation!C:C,Delivery[Delivery ID],Allocation!H:H))/Delivery[[#This Row],[Exchange rate VS USD]]</f>
        <v>101.79544347599143</v>
      </c>
      <c r="AI684" s="204">
        <f>(Delivery[[#This Row],[AAA Premium (total)]]/SUMIF(Allocation!C:C,Delivery[Delivery ID],Allocation!H:H))/Delivery[[#This Row],[Exchange rate VS USD]]</f>
        <v>4.1733102253032932</v>
      </c>
      <c r="AJ684" s="204">
        <f>Delivery[[#This Row],[Valor Prêmio Nespresso AAA por Kg (em US$)]]*60</f>
        <v>250.39861351819758</v>
      </c>
      <c r="AK684" s="204">
        <f>Delivery[[#This Row],[Valor Prêmio Nespresso AAA por saca (em US$)]]/1.3228/100</f>
        <v>1.8929438578636044</v>
      </c>
      <c r="AL684" s="204">
        <f>(Delivery[[#This Row],[BEN premium (total)]]/SUMIF(Allocation!C:C,Delivery[Delivery ID],Allocation!H:H))/Delivery[[#This Row],[Exchange rate for premiums VS USD]]</f>
        <v>1.1862419688041597</v>
      </c>
      <c r="AM684" s="204">
        <f>Delivery[[#This Row],[Valor Prêmio Nespresso BEN por Kg (em US$)]]*60</f>
        <v>71.174518128249574</v>
      </c>
      <c r="AN684" s="204">
        <f>Delivery[[#This Row],[Valor Prêmio Nespresso BEN por saca (em US$)]]/1.3228/100</f>
        <v>0.53805955645788917</v>
      </c>
      <c r="AO684" s="204">
        <f>SUMIF(Allocation[Delivery ID],Delivery[[#This Row],[Delivery ID]],Allocation[Quantity allocated])*16*1.3228*Delivery[[#This Row],[Exchange rate VS USD]]/60</f>
        <v>692.01841066666668</v>
      </c>
      <c r="AP684" s="204">
        <f>Delivery[[#This Row],[AAA Premium (total)]]</f>
        <v>8187.2</v>
      </c>
      <c r="AQ684" s="204">
        <f>Delivery[[#This Row],[Valor pago pelo Cluster]]-Delivery[[#This Row],[Valor efetivamente pago pela Nespresso]]</f>
        <v>7495.1815893333332</v>
      </c>
    </row>
    <row r="685" spans="1:43" ht="15.75">
      <c r="A685" s="174" t="s">
        <v>69</v>
      </c>
      <c r="B685" s="232" t="s">
        <v>68</v>
      </c>
      <c r="C685" s="157">
        <v>1</v>
      </c>
      <c r="D685" s="157" t="s">
        <v>468</v>
      </c>
      <c r="E685" s="177" t="s">
        <v>468</v>
      </c>
      <c r="F685" s="233" t="s">
        <v>541</v>
      </c>
      <c r="G685" s="234">
        <v>42984</v>
      </c>
      <c r="H685" s="157" t="s">
        <v>843</v>
      </c>
      <c r="I685" s="157" t="s">
        <v>480</v>
      </c>
      <c r="J685" s="237">
        <v>7020</v>
      </c>
      <c r="K685" s="175" t="s">
        <v>61</v>
      </c>
      <c r="L685" s="175" t="s">
        <v>439</v>
      </c>
      <c r="M685" s="175" t="s">
        <v>1343</v>
      </c>
      <c r="N685" s="180"/>
      <c r="O685" s="177"/>
      <c r="P685" s="181">
        <v>0</v>
      </c>
      <c r="Q685" s="177">
        <v>42667</v>
      </c>
      <c r="R685" s="178">
        <v>576.64</v>
      </c>
      <c r="S685" s="179">
        <v>67922.003541600003</v>
      </c>
      <c r="T685" s="182" t="s">
        <v>45</v>
      </c>
      <c r="U685" s="183">
        <v>3.4</v>
      </c>
      <c r="V685" s="179">
        <v>2784.6</v>
      </c>
      <c r="W685" s="179">
        <v>791.50822919999996</v>
      </c>
      <c r="X685" s="196" t="s">
        <v>45</v>
      </c>
      <c r="Y685" s="183">
        <v>3.4</v>
      </c>
      <c r="Z685" s="220" t="s">
        <v>473</v>
      </c>
      <c r="AA685" s="201">
        <f>Delivery[[#This Row],[Quantity delivered]]*VLOOKUP(Delivery[[#This Row],[Unit]],References!$U:$X,4,FALSE)*VLOOKUP(CONCATENATE(Delivery[[#This Row],[Coffee specie]],Delivery[[#This Row],[Coffee state]]),References!$U:$X,4,FALSE)</f>
        <v>7020</v>
      </c>
      <c r="AB685" s="202">
        <f>SUMIF(Allocation!C:C,Delivery[[#This Row],[Delivery ID]],Allocation!D:D)/Delivery[[#This Row],[Quantity delivered]]</f>
        <v>9.3019943019943013E-2</v>
      </c>
      <c r="AC685" s="203">
        <f>Delivery[[#This Row],[Quantity delivered]]*Delivery[[#This Row],[Base price (Unidad)]]/60</f>
        <v>67466.87999999999</v>
      </c>
      <c r="AD685" s="204">
        <f>Delivery[[#This Row],[Nespresso total]]-Delivery[[#This Row],[Qt. Delivery * Base Price]]</f>
        <v>455.12354160001269</v>
      </c>
      <c r="AE685" s="204">
        <f>Delivery[[#This Row],[AAA Premium (total)]]/Delivery[[#This Row],[Quantity delivered]]*60/Delivery[[#This Row],[Exchange rate VS USD]]</f>
        <v>7</v>
      </c>
      <c r="AF685" s="204">
        <f>Delivery[[#This Row],[BEN premium (total)]]/Delivery[[#This Row],[Quantity delivered]]*60/Delivery[[#This Row],[Exchange rate for premiums VS USD]]</f>
        <v>1.989714</v>
      </c>
      <c r="AG685" s="204">
        <f>COUNTIF(Delivery[Delivery ID],Delivery[[#This Row],[Delivery ID]])</f>
        <v>1</v>
      </c>
      <c r="AH685" s="204">
        <f>(Delivery[[#This Row],[Nespresso total]]/SUMIF(Allocation!C:C,Delivery[Delivery ID],Allocation!H:H))/Delivery[[#This Row],[Exchange rate VS USD]]</f>
        <v>101.92377482232895</v>
      </c>
      <c r="AI685" s="204">
        <f>(Delivery[[#This Row],[AAA Premium (total)]]/SUMIF(Allocation!C:C,Delivery[Delivery ID],Allocation!H:H))/Delivery[[#This Row],[Exchange rate VS USD]]</f>
        <v>4.1785714285714288</v>
      </c>
      <c r="AJ685" s="204">
        <f>Delivery[[#This Row],[Valor Prêmio Nespresso AAA por Kg (em US$)]]*60</f>
        <v>250.71428571428572</v>
      </c>
      <c r="AK685" s="204">
        <f>Delivery[[#This Row],[Valor Prêmio Nespresso AAA por saca (em US$)]]/1.3228/100</f>
        <v>1.8953302518467323</v>
      </c>
      <c r="AL685" s="204">
        <f>(Delivery[[#This Row],[BEN premium (total)]]/SUMIF(Allocation!C:C,Delivery[Delivery ID],Allocation!H:H))/Delivery[[#This Row],[Exchange rate for premiums VS USD]]</f>
        <v>1.1877374387755102</v>
      </c>
      <c r="AM685" s="204">
        <f>Delivery[[#This Row],[Valor Prêmio Nespresso BEN por Kg (em US$)]]*60</f>
        <v>71.264246326530611</v>
      </c>
      <c r="AN685" s="204">
        <f>Delivery[[#This Row],[Valor Prêmio Nespresso BEN por saca (em US$)]]/1.3228/100</f>
        <v>0.53873787667470974</v>
      </c>
      <c r="AO685" s="204">
        <f>SUMIF(Allocation[Delivery ID],Delivery[[#This Row],[Delivery ID]],Allocation[Quantity allocated])*16*1.3228*Delivery[[#This Row],[Exchange rate VS USD]]/60</f>
        <v>235.07037866666667</v>
      </c>
      <c r="AP685" s="204">
        <f>Delivery[[#This Row],[AAA Premium (total)]]</f>
        <v>2784.6</v>
      </c>
      <c r="AQ685" s="204">
        <f>Delivery[[#This Row],[Valor pago pelo Cluster]]-Delivery[[#This Row],[Valor efetivamente pago pela Nespresso]]</f>
        <v>2549.5296213333331</v>
      </c>
    </row>
    <row r="686" spans="1:43" ht="15.75">
      <c r="A686" s="174" t="s">
        <v>69</v>
      </c>
      <c r="B686" s="232" t="s">
        <v>68</v>
      </c>
      <c r="C686" s="157">
        <v>1</v>
      </c>
      <c r="D686" s="157" t="s">
        <v>468</v>
      </c>
      <c r="E686" s="177" t="s">
        <v>468</v>
      </c>
      <c r="F686" s="233" t="s">
        <v>541</v>
      </c>
      <c r="G686" s="234">
        <v>42986</v>
      </c>
      <c r="H686" s="157" t="s">
        <v>844</v>
      </c>
      <c r="I686" s="157" t="s">
        <v>480</v>
      </c>
      <c r="J686" s="237">
        <v>10421.5</v>
      </c>
      <c r="K686" s="175" t="s">
        <v>61</v>
      </c>
      <c r="L686" s="175" t="s">
        <v>439</v>
      </c>
      <c r="M686" s="175" t="s">
        <v>1343</v>
      </c>
      <c r="N686" s="180"/>
      <c r="O686" s="177"/>
      <c r="P686" s="181">
        <v>0</v>
      </c>
      <c r="Q686" s="177">
        <v>42667</v>
      </c>
      <c r="R686" s="178">
        <v>576.64</v>
      </c>
      <c r="S686" s="179">
        <v>100833.21366221999</v>
      </c>
      <c r="T686" s="182" t="s">
        <v>45</v>
      </c>
      <c r="U686" s="183">
        <v>3.4</v>
      </c>
      <c r="V686" s="179">
        <v>4133.8616666666667</v>
      </c>
      <c r="W686" s="179">
        <v>1175.0289188899999</v>
      </c>
      <c r="X686" s="196" t="s">
        <v>45</v>
      </c>
      <c r="Y686" s="183">
        <v>3.4</v>
      </c>
      <c r="Z686" s="220" t="s">
        <v>473</v>
      </c>
      <c r="AA686" s="201">
        <f>Delivery[[#This Row],[Quantity delivered]]*VLOOKUP(Delivery[[#This Row],[Unit]],References!$U:$X,4,FALSE)*VLOOKUP(CONCATENATE(Delivery[[#This Row],[Coffee specie]],Delivery[[#This Row],[Coffee state]]),References!$U:$X,4,FALSE)</f>
        <v>10421.5</v>
      </c>
      <c r="AB686" s="202">
        <f>SUMIF(Allocation!C:C,Delivery[[#This Row],[Delivery ID]],Allocation!D:D)/Delivery[[#This Row],[Quantity delivered]]</f>
        <v>9.336467878904188E-2</v>
      </c>
      <c r="AC686" s="203">
        <f>Delivery[[#This Row],[Quantity delivered]]*Delivery[[#This Row],[Base price (Unidad)]]/60</f>
        <v>100157.56266666666</v>
      </c>
      <c r="AD686" s="204">
        <f>Delivery[[#This Row],[Nespresso total]]-Delivery[[#This Row],[Qt. Delivery * Base Price]]</f>
        <v>675.65099555332563</v>
      </c>
      <c r="AE686" s="204">
        <f>Delivery[[#This Row],[AAA Premium (total)]]/Delivery[[#This Row],[Quantity delivered]]*60/Delivery[[#This Row],[Exchange rate VS USD]]</f>
        <v>7</v>
      </c>
      <c r="AF686" s="204">
        <f>Delivery[[#This Row],[BEN premium (total)]]/Delivery[[#This Row],[Quantity delivered]]*60/Delivery[[#This Row],[Exchange rate for premiums VS USD]]</f>
        <v>1.9897139999999998</v>
      </c>
      <c r="AG686" s="204">
        <f>COUNTIF(Delivery[Delivery ID],Delivery[[#This Row],[Delivery ID]])</f>
        <v>1</v>
      </c>
      <c r="AH686" s="204">
        <f>(Delivery[[#This Row],[Nespresso total]]/SUMIF(Allocation!C:C,Delivery[Delivery ID],Allocation!H:H))/Delivery[[#This Row],[Exchange rate VS USD]]</f>
        <v>101.56447790312247</v>
      </c>
      <c r="AI686" s="204">
        <f>(Delivery[[#This Row],[AAA Premium (total)]]/SUMIF(Allocation!C:C,Delivery[Delivery ID],Allocation!H:H))/Delivery[[#This Row],[Exchange rate VS USD]]</f>
        <v>4.1638413242009138</v>
      </c>
      <c r="AJ686" s="204">
        <f>Delivery[[#This Row],[Valor Prêmio Nespresso AAA por Kg (em US$)]]*60</f>
        <v>249.83047945205482</v>
      </c>
      <c r="AK686" s="204">
        <f>Delivery[[#This Row],[Valor Prêmio Nespresso AAA por saca (em US$)]]/1.3228/100</f>
        <v>1.888648922377191</v>
      </c>
      <c r="AL686" s="204">
        <f>(Delivery[[#This Row],[BEN premium (total)]]/SUMIF(Allocation!C:C,Delivery[Delivery ID],Allocation!H:H))/Delivery[[#This Row],[Exchange rate for premiums VS USD]]</f>
        <v>1.1835504823630136</v>
      </c>
      <c r="AM686" s="204">
        <f>Delivery[[#This Row],[Valor Prêmio Nespresso BEN por Kg (em US$)]]*60</f>
        <v>71.013028941780817</v>
      </c>
      <c r="AN686" s="204">
        <f>Delivery[[#This Row],[Valor Prêmio Nespresso BEN por saca (em US$)]]/1.3228/100</f>
        <v>0.53683874313411561</v>
      </c>
      <c r="AO686" s="204">
        <f>SUMIF(Allocation[Delivery ID],Delivery[[#This Row],[Delivery ID]],Allocation[Quantity allocated])*16*1.3228*Delivery[[#This Row],[Exchange rate VS USD]]/60</f>
        <v>350.2068906666666</v>
      </c>
      <c r="AP686" s="204">
        <f>Delivery[[#This Row],[AAA Premium (total)]]</f>
        <v>4133.8616666666667</v>
      </c>
      <c r="AQ686" s="204">
        <f>Delivery[[#This Row],[Valor pago pelo Cluster]]-Delivery[[#This Row],[Valor efetivamente pago pela Nespresso]]</f>
        <v>3783.6547760000003</v>
      </c>
    </row>
    <row r="687" spans="1:43" ht="15.75">
      <c r="A687" s="174" t="s">
        <v>69</v>
      </c>
      <c r="B687" s="232" t="s">
        <v>68</v>
      </c>
      <c r="C687" s="157">
        <v>1</v>
      </c>
      <c r="D687" s="157" t="s">
        <v>468</v>
      </c>
      <c r="E687" s="177" t="s">
        <v>468</v>
      </c>
      <c r="F687" s="233" t="s">
        <v>541</v>
      </c>
      <c r="G687" s="234">
        <v>42986</v>
      </c>
      <c r="H687" s="157" t="s">
        <v>845</v>
      </c>
      <c r="I687" s="157" t="s">
        <v>480</v>
      </c>
      <c r="J687" s="237">
        <v>19585</v>
      </c>
      <c r="K687" s="175" t="s">
        <v>61</v>
      </c>
      <c r="L687" s="175" t="s">
        <v>439</v>
      </c>
      <c r="M687" s="175" t="s">
        <v>1343</v>
      </c>
      <c r="N687" s="180"/>
      <c r="O687" s="177"/>
      <c r="P687" s="181">
        <v>0</v>
      </c>
      <c r="Q687" s="177">
        <v>42667</v>
      </c>
      <c r="R687" s="178">
        <v>576.64</v>
      </c>
      <c r="S687" s="179">
        <v>189494.64948180001</v>
      </c>
      <c r="T687" s="182" t="s">
        <v>45</v>
      </c>
      <c r="U687" s="183">
        <v>3.4</v>
      </c>
      <c r="V687" s="179">
        <v>7768.7166666666662</v>
      </c>
      <c r="W687" s="179">
        <v>2208.2177591</v>
      </c>
      <c r="X687" s="196" t="s">
        <v>45</v>
      </c>
      <c r="Y687" s="183">
        <v>3.4</v>
      </c>
      <c r="Z687" s="220" t="s">
        <v>473</v>
      </c>
      <c r="AA687" s="201">
        <f>Delivery[[#This Row],[Quantity delivered]]*VLOOKUP(Delivery[[#This Row],[Unit]],References!$U:$X,4,FALSE)*VLOOKUP(CONCATENATE(Delivery[[#This Row],[Coffee specie]],Delivery[[#This Row],[Coffee state]]),References!$U:$X,4,FALSE)</f>
        <v>19585</v>
      </c>
      <c r="AB687" s="202">
        <f>SUMIF(Allocation!C:C,Delivery[[#This Row],[Delivery ID]],Allocation!D:D)/Delivery[[#This Row],[Quantity delivered]]</f>
        <v>9.3438856267551704E-2</v>
      </c>
      <c r="AC687" s="203">
        <f>Delivery[[#This Row],[Quantity delivered]]*Delivery[[#This Row],[Base price (Unidad)]]/60</f>
        <v>188224.90666666668</v>
      </c>
      <c r="AD687" s="204">
        <f>Delivery[[#This Row],[Nespresso total]]-Delivery[[#This Row],[Qt. Delivery * Base Price]]</f>
        <v>1269.7428151333297</v>
      </c>
      <c r="AE687" s="204">
        <f>Delivery[[#This Row],[AAA Premium (total)]]/Delivery[[#This Row],[Quantity delivered]]*60/Delivery[[#This Row],[Exchange rate VS USD]]</f>
        <v>7</v>
      </c>
      <c r="AF687" s="204">
        <f>Delivery[[#This Row],[BEN premium (total)]]/Delivery[[#This Row],[Quantity delivered]]*60/Delivery[[#This Row],[Exchange rate for premiums VS USD]]</f>
        <v>1.989714</v>
      </c>
      <c r="AG687" s="204">
        <f>COUNTIF(Delivery[Delivery ID],Delivery[[#This Row],[Delivery ID]])</f>
        <v>1</v>
      </c>
      <c r="AH687" s="204">
        <f>(Delivery[[#This Row],[Nespresso total]]/SUMIF(Allocation!C:C,Delivery[Delivery ID],Allocation!H:H))/Delivery[[#This Row],[Exchange rate VS USD]]</f>
        <v>101.51861645869495</v>
      </c>
      <c r="AI687" s="204">
        <f>(Delivery[[#This Row],[AAA Premium (total)]]/SUMIF(Allocation!C:C,Delivery[Delivery ID],Allocation!H:H))/Delivery[[#This Row],[Exchange rate VS USD]]</f>
        <v>4.1619611414693383</v>
      </c>
      <c r="AJ687" s="204">
        <f>Delivery[[#This Row],[Valor Prêmio Nespresso AAA por Kg (em US$)]]*60</f>
        <v>249.71766848816029</v>
      </c>
      <c r="AK687" s="204">
        <f>Delivery[[#This Row],[Valor Prêmio Nespresso AAA por saca (em US$)]]/1.3228/100</f>
        <v>1.8877961028739059</v>
      </c>
      <c r="AL687" s="204">
        <f>(Delivery[[#This Row],[BEN premium (total)]]/SUMIF(Allocation!C:C,Delivery[Delivery ID],Allocation!H:H))/Delivery[[#This Row],[Exchange rate for premiums VS USD]]</f>
        <v>1.1830160500910747</v>
      </c>
      <c r="AM687" s="204">
        <f>Delivery[[#This Row],[Valor Prêmio Nespresso BEN por Kg (em US$)]]*60</f>
        <v>70.980963005464474</v>
      </c>
      <c r="AN687" s="204">
        <f>Delivery[[#This Row],[Valor Prêmio Nespresso BEN por saca (em US$)]]/1.3228/100</f>
        <v>0.53659633357623582</v>
      </c>
      <c r="AO687" s="204">
        <f>SUMIF(Allocation[Delivery ID],Delivery[[#This Row],[Delivery ID]],Allocation[Quantity allocated])*16*1.3228*Delivery[[#This Row],[Exchange rate VS USD]]/60</f>
        <v>658.43692799999985</v>
      </c>
      <c r="AP687" s="204">
        <f>Delivery[[#This Row],[AAA Premium (total)]]</f>
        <v>7768.7166666666662</v>
      </c>
      <c r="AQ687" s="204">
        <f>Delivery[[#This Row],[Valor pago pelo Cluster]]-Delivery[[#This Row],[Valor efetivamente pago pela Nespresso]]</f>
        <v>7110.2797386666662</v>
      </c>
    </row>
    <row r="688" spans="1:43" ht="15.75">
      <c r="A688" s="174" t="s">
        <v>69</v>
      </c>
      <c r="B688" s="232" t="s">
        <v>68</v>
      </c>
      <c r="C688" s="157">
        <v>1</v>
      </c>
      <c r="D688" s="157" t="s">
        <v>468</v>
      </c>
      <c r="E688" s="177" t="s">
        <v>468</v>
      </c>
      <c r="F688" s="233" t="s">
        <v>541</v>
      </c>
      <c r="G688" s="234">
        <v>42986</v>
      </c>
      <c r="H688" s="157" t="s">
        <v>846</v>
      </c>
      <c r="I688" s="157" t="s">
        <v>480</v>
      </c>
      <c r="J688" s="237">
        <v>17794</v>
      </c>
      <c r="K688" s="175" t="s">
        <v>61</v>
      </c>
      <c r="L688" s="175" t="s">
        <v>439</v>
      </c>
      <c r="M688" s="175" t="s">
        <v>1343</v>
      </c>
      <c r="N688" s="180"/>
      <c r="O688" s="177"/>
      <c r="P688" s="181">
        <v>0</v>
      </c>
      <c r="Q688" s="177">
        <v>42667</v>
      </c>
      <c r="R688" s="178">
        <v>576.64</v>
      </c>
      <c r="S688" s="179">
        <v>172165.83062951997</v>
      </c>
      <c r="T688" s="182" t="s">
        <v>45</v>
      </c>
      <c r="U688" s="183">
        <v>3.4</v>
      </c>
      <c r="V688" s="179">
        <v>7058.2866666666669</v>
      </c>
      <c r="W688" s="179">
        <v>2006.2816852399999</v>
      </c>
      <c r="X688" s="196" t="s">
        <v>45</v>
      </c>
      <c r="Y688" s="183">
        <v>3.4</v>
      </c>
      <c r="Z688" s="220" t="s">
        <v>473</v>
      </c>
      <c r="AA688" s="201">
        <f>Delivery[[#This Row],[Quantity delivered]]*VLOOKUP(Delivery[[#This Row],[Unit]],References!$U:$X,4,FALSE)*VLOOKUP(CONCATENATE(Delivery[[#This Row],[Coffee specie]],Delivery[[#This Row],[Coffee state]]),References!$U:$X,4,FALSE)</f>
        <v>17794</v>
      </c>
      <c r="AB688" s="202">
        <f>SUMIF(Allocation!C:C,Delivery[[#This Row],[Delivery ID]],Allocation!D:D)/Delivery[[#This Row],[Quantity delivered]]</f>
        <v>9.345846914690345E-2</v>
      </c>
      <c r="AC688" s="203">
        <f>Delivery[[#This Row],[Quantity delivered]]*Delivery[[#This Row],[Base price (Unidad)]]/60</f>
        <v>171012.20266666668</v>
      </c>
      <c r="AD688" s="204">
        <f>Delivery[[#This Row],[Nespresso total]]-Delivery[[#This Row],[Qt. Delivery * Base Price]]</f>
        <v>1153.6279628532939</v>
      </c>
      <c r="AE688" s="204">
        <f>Delivery[[#This Row],[AAA Premium (total)]]/Delivery[[#This Row],[Quantity delivered]]*60/Delivery[[#This Row],[Exchange rate VS USD]]</f>
        <v>7</v>
      </c>
      <c r="AF688" s="204">
        <f>Delivery[[#This Row],[BEN premium (total)]]/Delivery[[#This Row],[Quantity delivered]]*60/Delivery[[#This Row],[Exchange rate for premiums VS USD]]</f>
        <v>1.989714</v>
      </c>
      <c r="AG688" s="204">
        <f>COUNTIF(Delivery[Delivery ID],Delivery[[#This Row],[Delivery ID]])</f>
        <v>1</v>
      </c>
      <c r="AH688" s="204">
        <f>(Delivery[[#This Row],[Nespresso total]]/SUMIF(Allocation!C:C,Delivery[Delivery ID],Allocation!H:H))/Delivery[[#This Row],[Exchange rate VS USD]]</f>
        <v>101.47697196128726</v>
      </c>
      <c r="AI688" s="204">
        <f>(Delivery[[#This Row],[AAA Premium (total)]]/SUMIF(Allocation!C:C,Delivery[Delivery ID],Allocation!H:H))/Delivery[[#This Row],[Exchange rate VS USD]]</f>
        <v>4.160253841015364</v>
      </c>
      <c r="AJ688" s="204">
        <f>Delivery[[#This Row],[Valor Prêmio Nespresso AAA por Kg (em US$)]]*60</f>
        <v>249.61523046092185</v>
      </c>
      <c r="AK688" s="204">
        <f>Delivery[[#This Row],[Valor Prêmio Nespresso AAA por saca (em US$)]]/1.3228/100</f>
        <v>1.8870216998860136</v>
      </c>
      <c r="AL688" s="204">
        <f>(Delivery[[#This Row],[BEN premium (total)]]/SUMIF(Allocation!C:C,Delivery[Delivery ID],Allocation!H:H))/Delivery[[#This Row],[Exchange rate for premiums VS USD]]</f>
        <v>1.182530758717435</v>
      </c>
      <c r="AM688" s="204">
        <f>Delivery[[#This Row],[Valor Prêmio Nespresso BEN por Kg (em US$)]]*60</f>
        <v>70.951845523046103</v>
      </c>
      <c r="AN688" s="204">
        <f>Delivery[[#This Row],[Valor Prêmio Nespresso BEN por saca (em US$)]]/1.3228/100</f>
        <v>0.53637621350957143</v>
      </c>
      <c r="AO688" s="204">
        <f>SUMIF(Allocation[Delivery ID],Delivery[[#This Row],[Delivery ID]],Allocation[Quantity allocated])*16*1.3228*Delivery[[#This Row],[Exchange rate VS USD]]/60</f>
        <v>598.46999466666659</v>
      </c>
      <c r="AP688" s="204">
        <f>Delivery[[#This Row],[AAA Premium (total)]]</f>
        <v>7058.2866666666669</v>
      </c>
      <c r="AQ688" s="204">
        <f>Delivery[[#This Row],[Valor pago pelo Cluster]]-Delivery[[#This Row],[Valor efetivamente pago pela Nespresso]]</f>
        <v>6459.8166719999999</v>
      </c>
    </row>
    <row r="689" spans="1:43" ht="15.75">
      <c r="A689" s="174" t="s">
        <v>69</v>
      </c>
      <c r="B689" s="232" t="s">
        <v>68</v>
      </c>
      <c r="C689" s="157">
        <v>1</v>
      </c>
      <c r="D689" s="157" t="s">
        <v>468</v>
      </c>
      <c r="E689" s="177" t="s">
        <v>468</v>
      </c>
      <c r="F689" s="233" t="s">
        <v>541</v>
      </c>
      <c r="G689" s="234">
        <v>42986</v>
      </c>
      <c r="H689" s="157" t="s">
        <v>847</v>
      </c>
      <c r="I689" s="157" t="s">
        <v>480</v>
      </c>
      <c r="J689" s="237">
        <v>9586</v>
      </c>
      <c r="K689" s="175" t="s">
        <v>61</v>
      </c>
      <c r="L689" s="175" t="s">
        <v>439</v>
      </c>
      <c r="M689" s="175" t="s">
        <v>1343</v>
      </c>
      <c r="N689" s="180"/>
      <c r="O689" s="177"/>
      <c r="P689" s="181">
        <v>0</v>
      </c>
      <c r="Q689" s="177">
        <v>42667</v>
      </c>
      <c r="R689" s="178">
        <v>576.64</v>
      </c>
      <c r="S689" s="179">
        <v>92749.334180880018</v>
      </c>
      <c r="T689" s="182" t="s">
        <v>45</v>
      </c>
      <c r="U689" s="183">
        <v>3.4</v>
      </c>
      <c r="V689" s="179">
        <v>3802.4466666666667</v>
      </c>
      <c r="W689" s="179">
        <v>1080.8259095599999</v>
      </c>
      <c r="X689" s="196" t="s">
        <v>45</v>
      </c>
      <c r="Y689" s="183">
        <v>3.4</v>
      </c>
      <c r="Z689" s="220" t="s">
        <v>473</v>
      </c>
      <c r="AA689" s="201">
        <f>Delivery[[#This Row],[Quantity delivered]]*VLOOKUP(Delivery[[#This Row],[Unit]],References!$U:$X,4,FALSE)*VLOOKUP(CONCATENATE(Delivery[[#This Row],[Coffee specie]],Delivery[[#This Row],[Coffee state]]),References!$U:$X,4,FALSE)</f>
        <v>9586</v>
      </c>
      <c r="AB689" s="202">
        <f>SUMIF(Allocation!C:C,Delivery[[#This Row],[Delivery ID]],Allocation!D:D)/Delivery[[#This Row],[Quantity delivered]]</f>
        <v>9.3573962027957439E-2</v>
      </c>
      <c r="AC689" s="203">
        <f>Delivery[[#This Row],[Quantity delivered]]*Delivery[[#This Row],[Base price (Unidad)]]/60</f>
        <v>92127.850666666665</v>
      </c>
      <c r="AD689" s="204">
        <f>Delivery[[#This Row],[Nespresso total]]-Delivery[[#This Row],[Qt. Delivery * Base Price]]</f>
        <v>621.48351421335246</v>
      </c>
      <c r="AE689" s="204">
        <f>Delivery[[#This Row],[AAA Premium (total)]]/Delivery[[#This Row],[Quantity delivered]]*60/Delivery[[#This Row],[Exchange rate VS USD]]</f>
        <v>7</v>
      </c>
      <c r="AF689" s="204">
        <f>Delivery[[#This Row],[BEN premium (total)]]/Delivery[[#This Row],[Quantity delivered]]*60/Delivery[[#This Row],[Exchange rate for premiums VS USD]]</f>
        <v>1.9897139999999998</v>
      </c>
      <c r="AG689" s="204">
        <f>COUNTIF(Delivery[Delivery ID],Delivery[[#This Row],[Delivery ID]])</f>
        <v>1</v>
      </c>
      <c r="AH689" s="204">
        <f>(Delivery[[#This Row],[Nespresso total]]/SUMIF(Allocation!C:C,Delivery[Delivery ID],Allocation!H:H))/Delivery[[#This Row],[Exchange rate VS USD]]</f>
        <v>101.40972466748308</v>
      </c>
      <c r="AI689" s="204">
        <f>(Delivery[[#This Row],[AAA Premium (total)]]/SUMIF(Allocation!C:C,Delivery[Delivery ID],Allocation!H:H))/Delivery[[#This Row],[Exchange rate VS USD]]</f>
        <v>4.1574969021065673</v>
      </c>
      <c r="AJ689" s="204">
        <f>Delivery[[#This Row],[Valor Prêmio Nespresso AAA por Kg (em US$)]]*60</f>
        <v>249.44981412639405</v>
      </c>
      <c r="AK689" s="204">
        <f>Delivery[[#This Row],[Valor Prêmio Nespresso AAA por saca (em US$)]]/1.3228/100</f>
        <v>1.8857711984154373</v>
      </c>
      <c r="AL689" s="204">
        <f>(Delivery[[#This Row],[BEN premium (total)]]/SUMIF(Allocation!C:C,Delivery[Delivery ID],Allocation!H:H))/Delivery[[#This Row],[Exchange rate for premiums VS USD]]</f>
        <v>1.1817471130111523</v>
      </c>
      <c r="AM689" s="204">
        <f>Delivery[[#This Row],[Valor Prêmio Nespresso BEN por Kg (em US$)]]*60</f>
        <v>70.90482678066914</v>
      </c>
      <c r="AN689" s="204">
        <f>Delivery[[#This Row],[Valor Prêmio Nespresso BEN por saca (em US$)]]/1.3228/100</f>
        <v>0.53602076489771056</v>
      </c>
      <c r="AO689" s="204">
        <f>SUMIF(Allocation[Delivery ID],Delivery[[#This Row],[Delivery ID]],Allocation[Quantity allocated])*16*1.3228*Delivery[[#This Row],[Exchange rate VS USD]]/60</f>
        <v>322.62210133333332</v>
      </c>
      <c r="AP689" s="204">
        <f>Delivery[[#This Row],[AAA Premium (total)]]</f>
        <v>3802.4466666666667</v>
      </c>
      <c r="AQ689" s="204">
        <f>Delivery[[#This Row],[Valor pago pelo Cluster]]-Delivery[[#This Row],[Valor efetivamente pago pela Nespresso]]</f>
        <v>3479.8245653333333</v>
      </c>
    </row>
    <row r="690" spans="1:43" ht="15.75">
      <c r="A690" s="174" t="s">
        <v>69</v>
      </c>
      <c r="B690" s="232" t="s">
        <v>68</v>
      </c>
      <c r="C690" s="157">
        <v>1</v>
      </c>
      <c r="D690" s="157" t="s">
        <v>468</v>
      </c>
      <c r="E690" s="177" t="s">
        <v>468</v>
      </c>
      <c r="F690" s="233" t="s">
        <v>541</v>
      </c>
      <c r="G690" s="234">
        <v>42986</v>
      </c>
      <c r="H690" s="157" t="s">
        <v>848</v>
      </c>
      <c r="I690" s="157" t="s">
        <v>480</v>
      </c>
      <c r="J690" s="237">
        <v>7136</v>
      </c>
      <c r="K690" s="175" t="s">
        <v>61</v>
      </c>
      <c r="L690" s="175" t="s">
        <v>439</v>
      </c>
      <c r="M690" s="175" t="s">
        <v>1343</v>
      </c>
      <c r="N690" s="180"/>
      <c r="O690" s="177"/>
      <c r="P690" s="181">
        <v>0</v>
      </c>
      <c r="Q690" s="177">
        <v>42667</v>
      </c>
      <c r="R690" s="178">
        <v>576.64</v>
      </c>
      <c r="S690" s="179">
        <v>69044.361434880004</v>
      </c>
      <c r="T690" s="182" t="s">
        <v>45</v>
      </c>
      <c r="U690" s="183">
        <v>3.4</v>
      </c>
      <c r="V690" s="179">
        <v>2830.6133333333332</v>
      </c>
      <c r="W690" s="179">
        <v>804.58728255999995</v>
      </c>
      <c r="X690" s="196" t="s">
        <v>45</v>
      </c>
      <c r="Y690" s="183">
        <v>3.4</v>
      </c>
      <c r="Z690" s="220" t="s">
        <v>473</v>
      </c>
      <c r="AA690" s="201">
        <f>Delivery[[#This Row],[Quantity delivered]]*VLOOKUP(Delivery[[#This Row],[Unit]],References!$U:$X,4,FALSE)*VLOOKUP(CONCATENATE(Delivery[[#This Row],[Coffee specie]],Delivery[[#This Row],[Coffee state]]),References!$U:$X,4,FALSE)</f>
        <v>7136</v>
      </c>
      <c r="AB690" s="202">
        <f>SUMIF(Allocation!C:C,Delivery[[#This Row],[Delivery ID]],Allocation!D:D)/Delivery[[#This Row],[Quantity delivered]]</f>
        <v>9.3469730941704035E-2</v>
      </c>
      <c r="AC690" s="203">
        <f>Delivery[[#This Row],[Quantity delivered]]*Delivery[[#This Row],[Base price (Unidad)]]/60</f>
        <v>68581.717333333334</v>
      </c>
      <c r="AD690" s="204">
        <f>Delivery[[#This Row],[Nespresso total]]-Delivery[[#This Row],[Qt. Delivery * Base Price]]</f>
        <v>462.64410154666984</v>
      </c>
      <c r="AE690" s="204">
        <f>Delivery[[#This Row],[AAA Premium (total)]]/Delivery[[#This Row],[Quantity delivered]]*60/Delivery[[#This Row],[Exchange rate VS USD]]</f>
        <v>7</v>
      </c>
      <c r="AF690" s="204">
        <f>Delivery[[#This Row],[BEN premium (total)]]/Delivery[[#This Row],[Quantity delivered]]*60/Delivery[[#This Row],[Exchange rate for premiums VS USD]]</f>
        <v>1.989714</v>
      </c>
      <c r="AG690" s="204">
        <f>COUNTIF(Delivery[Delivery ID],Delivery[[#This Row],[Delivery ID]])</f>
        <v>1</v>
      </c>
      <c r="AH690" s="204">
        <f>(Delivery[[#This Row],[Nespresso total]]/SUMIF(Allocation!C:C,Delivery[Delivery ID],Allocation!H:H))/Delivery[[#This Row],[Exchange rate VS USD]]</f>
        <v>101.53582563952942</v>
      </c>
      <c r="AI690" s="204">
        <f>(Delivery[[#This Row],[AAA Premium (total)]]/SUMIF(Allocation!C:C,Delivery[Delivery ID],Allocation!H:H))/Delivery[[#This Row],[Exchange rate VS USD]]</f>
        <v>4.1626666666666665</v>
      </c>
      <c r="AJ690" s="204">
        <f>Delivery[[#This Row],[Valor Prêmio Nespresso AAA por Kg (em US$)]]*60</f>
        <v>249.76</v>
      </c>
      <c r="AK690" s="204">
        <f>Delivery[[#This Row],[Valor Prêmio Nespresso AAA por saca (em US$)]]/1.3228/100</f>
        <v>1.8881161173268821</v>
      </c>
      <c r="AL690" s="204">
        <f>(Delivery[[#This Row],[BEN premium (total)]]/SUMIF(Allocation!C:C,Delivery[Delivery ID],Allocation!H:H))/Delivery[[#This Row],[Exchange rate for premiums VS USD]]</f>
        <v>1.183216592</v>
      </c>
      <c r="AM690" s="204">
        <f>Delivery[[#This Row],[Valor Prêmio Nespresso BEN por Kg (em US$)]]*60</f>
        <v>70.992995519999994</v>
      </c>
      <c r="AN690" s="204">
        <f>Delivery[[#This Row],[Valor Prêmio Nespresso BEN por saca (em US$)]]/1.3228/100</f>
        <v>0.53668729603870569</v>
      </c>
      <c r="AO690" s="204">
        <f>SUMIF(Allocation[Delivery ID],Delivery[[#This Row],[Delivery ID]],Allocation[Quantity allocated])*16*1.3228*Delivery[[#This Row],[Exchange rate VS USD]]/60</f>
        <v>239.86773333333335</v>
      </c>
      <c r="AP690" s="204">
        <f>Delivery[[#This Row],[AAA Premium (total)]]</f>
        <v>2830.6133333333332</v>
      </c>
      <c r="AQ690" s="204">
        <f>Delivery[[#This Row],[Valor pago pelo Cluster]]-Delivery[[#This Row],[Valor efetivamente pago pela Nespresso]]</f>
        <v>2590.7455999999997</v>
      </c>
    </row>
    <row r="691" spans="1:43" ht="15.75">
      <c r="A691" s="174" t="s">
        <v>69</v>
      </c>
      <c r="B691" s="232" t="s">
        <v>68</v>
      </c>
      <c r="C691" s="157">
        <v>1</v>
      </c>
      <c r="D691" s="157" t="s">
        <v>468</v>
      </c>
      <c r="E691" s="177" t="s">
        <v>468</v>
      </c>
      <c r="F691" s="233" t="s">
        <v>541</v>
      </c>
      <c r="G691" s="234">
        <v>42986</v>
      </c>
      <c r="H691" s="157" t="s">
        <v>849</v>
      </c>
      <c r="I691" s="157" t="s">
        <v>480</v>
      </c>
      <c r="J691" s="237">
        <v>20148.5</v>
      </c>
      <c r="K691" s="175" t="s">
        <v>61</v>
      </c>
      <c r="L691" s="175" t="s">
        <v>439</v>
      </c>
      <c r="M691" s="175" t="s">
        <v>1343</v>
      </c>
      <c r="N691" s="180"/>
      <c r="O691" s="177"/>
      <c r="P691" s="181">
        <v>0</v>
      </c>
      <c r="Q691" s="177">
        <v>42667</v>
      </c>
      <c r="R691" s="178">
        <v>576.64</v>
      </c>
      <c r="S691" s="179">
        <v>194946.79321338001</v>
      </c>
      <c r="T691" s="182" t="s">
        <v>45</v>
      </c>
      <c r="U691" s="183">
        <v>3.4</v>
      </c>
      <c r="V691" s="179">
        <v>7992.2383333333337</v>
      </c>
      <c r="W691" s="179">
        <v>2271.7526433099997</v>
      </c>
      <c r="X691" s="196" t="s">
        <v>45</v>
      </c>
      <c r="Y691" s="183">
        <v>3.4</v>
      </c>
      <c r="Z691" s="220" t="s">
        <v>473</v>
      </c>
      <c r="AA691" s="201">
        <f>Delivery[[#This Row],[Quantity delivered]]*VLOOKUP(Delivery[[#This Row],[Unit]],References!$U:$X,4,FALSE)*VLOOKUP(CONCATENATE(Delivery[[#This Row],[Coffee specie]],Delivery[[#This Row],[Coffee state]]),References!$U:$X,4,FALSE)</f>
        <v>20148.5</v>
      </c>
      <c r="AB691" s="202">
        <f>SUMIF(Allocation!C:C,Delivery[[#This Row],[Delivery ID]],Allocation!D:D)/Delivery[[#This Row],[Quantity delivered]]</f>
        <v>9.3307194083926848E-2</v>
      </c>
      <c r="AC691" s="203">
        <f>Delivery[[#This Row],[Quantity delivered]]*Delivery[[#This Row],[Base price (Unidad)]]/60</f>
        <v>193640.51733333332</v>
      </c>
      <c r="AD691" s="204">
        <f>Delivery[[#This Row],[Nespresso total]]-Delivery[[#This Row],[Qt. Delivery * Base Price]]</f>
        <v>1306.2758800466836</v>
      </c>
      <c r="AE691" s="204">
        <f>Delivery[[#This Row],[AAA Premium (total)]]/Delivery[[#This Row],[Quantity delivered]]*60/Delivery[[#This Row],[Exchange rate VS USD]]</f>
        <v>7</v>
      </c>
      <c r="AF691" s="204">
        <f>Delivery[[#This Row],[BEN premium (total)]]/Delivery[[#This Row],[Quantity delivered]]*60/Delivery[[#This Row],[Exchange rate for premiums VS USD]]</f>
        <v>1.9897139999999998</v>
      </c>
      <c r="AG691" s="204">
        <f>COUNTIF(Delivery[Delivery ID],Delivery[[#This Row],[Delivery ID]])</f>
        <v>1</v>
      </c>
      <c r="AH691" s="204">
        <f>(Delivery[[#This Row],[Nespresso total]]/SUMIF(Allocation!C:C,Delivery[Delivery ID],Allocation!H:H))/Delivery[[#This Row],[Exchange rate VS USD]]</f>
        <v>101.66186546379851</v>
      </c>
      <c r="AI691" s="204">
        <f>(Delivery[[#This Row],[AAA Premium (total)]]/SUMIF(Allocation!C:C,Delivery[Delivery ID],Allocation!H:H))/Delivery[[#This Row],[Exchange rate VS USD]]</f>
        <v>4.1678339243498819</v>
      </c>
      <c r="AJ691" s="204">
        <f>Delivery[[#This Row],[Valor Prêmio Nespresso AAA por Kg (em US$)]]*60</f>
        <v>250.07003546099293</v>
      </c>
      <c r="AK691" s="204">
        <f>Delivery[[#This Row],[Valor Prêmio Nespresso AAA por saca (em US$)]]/1.3228/100</f>
        <v>1.8904598991608175</v>
      </c>
      <c r="AL691" s="204">
        <f>(Delivery[[#This Row],[BEN premium (total)]]/SUMIF(Allocation!C:C,Delivery[Delivery ID],Allocation!H:H))/Delivery[[#This Row],[Exchange rate for premiums VS USD]]</f>
        <v>1.1846853584219859</v>
      </c>
      <c r="AM691" s="204">
        <f>Delivery[[#This Row],[Valor Prêmio Nespresso BEN por Kg (em US$)]]*60</f>
        <v>71.081121505319146</v>
      </c>
      <c r="AN691" s="204">
        <f>Delivery[[#This Row],[Valor Prêmio Nespresso BEN por saca (em US$)]]/1.3228/100</f>
        <v>0.53735350397126658</v>
      </c>
      <c r="AO691" s="204">
        <f>SUMIF(Allocation[Delivery ID],Delivery[[#This Row],[Delivery ID]],Allocation[Quantity allocated])*16*1.3228*Delivery[[#This Row],[Exchange rate VS USD]]/60</f>
        <v>676.427008</v>
      </c>
      <c r="AP691" s="204">
        <f>Delivery[[#This Row],[AAA Premium (total)]]</f>
        <v>7992.2383333333337</v>
      </c>
      <c r="AQ691" s="204">
        <f>Delivery[[#This Row],[Valor pago pelo Cluster]]-Delivery[[#This Row],[Valor efetivamente pago pela Nespresso]]</f>
        <v>7315.811325333334</v>
      </c>
    </row>
    <row r="692" spans="1:43" ht="15.75">
      <c r="A692" s="174" t="s">
        <v>69</v>
      </c>
      <c r="B692" s="232" t="s">
        <v>68</v>
      </c>
      <c r="C692" s="157">
        <v>1</v>
      </c>
      <c r="D692" s="157" t="s">
        <v>468</v>
      </c>
      <c r="E692" s="177" t="s">
        <v>468</v>
      </c>
      <c r="F692" s="233" t="s">
        <v>541</v>
      </c>
      <c r="G692" s="234">
        <v>42986</v>
      </c>
      <c r="H692" s="157" t="s">
        <v>850</v>
      </c>
      <c r="I692" s="157" t="s">
        <v>480</v>
      </c>
      <c r="J692" s="237">
        <v>12412</v>
      </c>
      <c r="K692" s="175" t="s">
        <v>61</v>
      </c>
      <c r="L692" s="175" t="s">
        <v>439</v>
      </c>
      <c r="M692" s="175" t="s">
        <v>1343</v>
      </c>
      <c r="N692" s="180"/>
      <c r="O692" s="177"/>
      <c r="P692" s="181">
        <v>0</v>
      </c>
      <c r="Q692" s="177">
        <v>42667</v>
      </c>
      <c r="R692" s="178">
        <v>576.64</v>
      </c>
      <c r="S692" s="179">
        <v>120092.29458096001</v>
      </c>
      <c r="T692" s="182" t="s">
        <v>45</v>
      </c>
      <c r="U692" s="183">
        <v>3.4</v>
      </c>
      <c r="V692" s="179">
        <v>4923.4266666666663</v>
      </c>
      <c r="W692" s="179">
        <v>1399.45870952</v>
      </c>
      <c r="X692" s="196" t="s">
        <v>45</v>
      </c>
      <c r="Y692" s="183">
        <v>3.4</v>
      </c>
      <c r="Z692" s="220" t="s">
        <v>473</v>
      </c>
      <c r="AA692" s="201">
        <f>Delivery[[#This Row],[Quantity delivered]]*VLOOKUP(Delivery[[#This Row],[Unit]],References!$U:$X,4,FALSE)*VLOOKUP(CONCATENATE(Delivery[[#This Row],[Coffee specie]],Delivery[[#This Row],[Coffee state]]),References!$U:$X,4,FALSE)</f>
        <v>12412</v>
      </c>
      <c r="AB692" s="202">
        <f>SUMIF(Allocation!C:C,Delivery[[#This Row],[Delivery ID]],Allocation!D:D)/Delivery[[#This Row],[Quantity delivered]]</f>
        <v>9.3216242346116668E-2</v>
      </c>
      <c r="AC692" s="203">
        <f>Delivery[[#This Row],[Quantity delivered]]*Delivery[[#This Row],[Base price (Unidad)]]/60</f>
        <v>119287.59466666666</v>
      </c>
      <c r="AD692" s="204">
        <f>Delivery[[#This Row],[Nespresso total]]-Delivery[[#This Row],[Qt. Delivery * Base Price]]</f>
        <v>804.69991429334914</v>
      </c>
      <c r="AE692" s="204">
        <f>Delivery[[#This Row],[AAA Premium (total)]]/Delivery[[#This Row],[Quantity delivered]]*60/Delivery[[#This Row],[Exchange rate VS USD]]</f>
        <v>6.9999999999999991</v>
      </c>
      <c r="AF692" s="204">
        <f>Delivery[[#This Row],[BEN premium (total)]]/Delivery[[#This Row],[Quantity delivered]]*60/Delivery[[#This Row],[Exchange rate for premiums VS USD]]</f>
        <v>1.989714</v>
      </c>
      <c r="AG692" s="204">
        <f>COUNTIF(Delivery[Delivery ID],Delivery[[#This Row],[Delivery ID]])</f>
        <v>1</v>
      </c>
      <c r="AH692" s="204">
        <f>(Delivery[[#This Row],[Nespresso total]]/SUMIF(Allocation!C:C,Delivery[Delivery ID],Allocation!H:H))/Delivery[[#This Row],[Exchange rate VS USD]]</f>
        <v>101.79038360820479</v>
      </c>
      <c r="AI692" s="204">
        <f>(Delivery[[#This Row],[AAA Premium (total)]]/SUMIF(Allocation!C:C,Delivery[Delivery ID],Allocation!H:H))/Delivery[[#This Row],[Exchange rate VS USD]]</f>
        <v>4.1731027857829002</v>
      </c>
      <c r="AJ692" s="204">
        <f>Delivery[[#This Row],[Valor Prêmio Nespresso AAA por Kg (em US$)]]*60</f>
        <v>250.386167146974</v>
      </c>
      <c r="AK692" s="204">
        <f>Delivery[[#This Row],[Valor Prêmio Nespresso AAA por saca (em US$)]]/1.3228/100</f>
        <v>1.8928497667597068</v>
      </c>
      <c r="AL692" s="204">
        <f>(Delivery[[#This Row],[BEN premium (total)]]/SUMIF(Allocation!C:C,Delivery[Delivery ID],Allocation!H:H))/Delivery[[#This Row],[Exchange rate for premiums VS USD]]</f>
        <v>1.1861830051873197</v>
      </c>
      <c r="AM692" s="204">
        <f>Delivery[[#This Row],[Valor Prêmio Nespresso BEN por Kg (em US$)]]*60</f>
        <v>71.170980311239177</v>
      </c>
      <c r="AN692" s="204">
        <f>Delivery[[#This Row],[Valor Prêmio Nespresso BEN por saca (em US$)]]/1.3228/100</f>
        <v>0.53803281154550331</v>
      </c>
      <c r="AO692" s="204">
        <f>SUMIF(Allocation[Delivery ID],Delivery[[#This Row],[Delivery ID]],Allocation[Quantity allocated])*16*1.3228*Delivery[[#This Row],[Exchange rate VS USD]]/60</f>
        <v>416.17051733333329</v>
      </c>
      <c r="AP692" s="204">
        <f>Delivery[[#This Row],[AAA Premium (total)]]</f>
        <v>4923.4266666666663</v>
      </c>
      <c r="AQ692" s="204">
        <f>Delivery[[#This Row],[Valor pago pelo Cluster]]-Delivery[[#This Row],[Valor efetivamente pago pela Nespresso]]</f>
        <v>4507.2561493333333</v>
      </c>
    </row>
    <row r="693" spans="1:43" ht="15.75">
      <c r="A693" s="174" t="s">
        <v>69</v>
      </c>
      <c r="B693" s="232" t="s">
        <v>68</v>
      </c>
      <c r="C693" s="157">
        <v>1</v>
      </c>
      <c r="D693" s="157" t="s">
        <v>468</v>
      </c>
      <c r="E693" s="177" t="s">
        <v>468</v>
      </c>
      <c r="F693" s="233" t="s">
        <v>541</v>
      </c>
      <c r="G693" s="234">
        <v>42986</v>
      </c>
      <c r="H693" s="157" t="s">
        <v>851</v>
      </c>
      <c r="I693" s="157" t="s">
        <v>480</v>
      </c>
      <c r="J693" s="237">
        <v>13791</v>
      </c>
      <c r="K693" s="175" t="s">
        <v>61</v>
      </c>
      <c r="L693" s="175" t="s">
        <v>439</v>
      </c>
      <c r="M693" s="175" t="s">
        <v>1343</v>
      </c>
      <c r="N693" s="180"/>
      <c r="O693" s="177"/>
      <c r="P693" s="181">
        <v>0</v>
      </c>
      <c r="Q693" s="177">
        <v>42667</v>
      </c>
      <c r="R693" s="178">
        <v>576.64</v>
      </c>
      <c r="S693" s="179">
        <v>133434.80781227996</v>
      </c>
      <c r="T693" s="182" t="s">
        <v>45</v>
      </c>
      <c r="U693" s="183">
        <v>3.4</v>
      </c>
      <c r="V693" s="179">
        <v>5470.43</v>
      </c>
      <c r="W693" s="179">
        <v>1554.94159386</v>
      </c>
      <c r="X693" s="196" t="s">
        <v>45</v>
      </c>
      <c r="Y693" s="183">
        <v>3.4</v>
      </c>
      <c r="Z693" s="220" t="s">
        <v>473</v>
      </c>
      <c r="AA693" s="201">
        <f>Delivery[[#This Row],[Quantity delivered]]*VLOOKUP(Delivery[[#This Row],[Unit]],References!$U:$X,4,FALSE)*VLOOKUP(CONCATENATE(Delivery[[#This Row],[Coffee specie]],Delivery[[#This Row],[Coffee state]]),References!$U:$X,4,FALSE)</f>
        <v>13791</v>
      </c>
      <c r="AB693" s="202">
        <f>SUMIF(Allocation!C:C,Delivery[[#This Row],[Delivery ID]],Allocation!D:D)/Delivery[[#This Row],[Quantity delivered]]</f>
        <v>9.3321731564063523E-2</v>
      </c>
      <c r="AC693" s="203">
        <f>Delivery[[#This Row],[Quantity delivered]]*Delivery[[#This Row],[Base price (Unidad)]]/60</f>
        <v>132540.704</v>
      </c>
      <c r="AD693" s="204">
        <f>Delivery[[#This Row],[Nespresso total]]-Delivery[[#This Row],[Qt. Delivery * Base Price]]</f>
        <v>894.1038122799655</v>
      </c>
      <c r="AE693" s="204">
        <f>Delivery[[#This Row],[AAA Premium (total)]]/Delivery[[#This Row],[Quantity delivered]]*60/Delivery[[#This Row],[Exchange rate VS USD]]</f>
        <v>7</v>
      </c>
      <c r="AF693" s="204">
        <f>Delivery[[#This Row],[BEN premium (total)]]/Delivery[[#This Row],[Quantity delivered]]*60/Delivery[[#This Row],[Exchange rate for premiums VS USD]]</f>
        <v>1.989714</v>
      </c>
      <c r="AG693" s="204">
        <f>COUNTIF(Delivery[Delivery ID],Delivery[[#This Row],[Delivery ID]])</f>
        <v>1</v>
      </c>
      <c r="AH693" s="204">
        <f>(Delivery[[#This Row],[Nespresso total]]/SUMIF(Allocation!C:C,Delivery[Delivery ID],Allocation!H:H))/Delivery[[#This Row],[Exchange rate VS USD]]</f>
        <v>101.67236194169458</v>
      </c>
      <c r="AI693" s="204">
        <f>(Delivery[[#This Row],[AAA Premium (total)]]/SUMIF(Allocation!C:C,Delivery[Delivery ID],Allocation!H:H))/Delivery[[#This Row],[Exchange rate VS USD]]</f>
        <v>4.1682642487046637</v>
      </c>
      <c r="AJ693" s="204">
        <f>Delivery[[#This Row],[Valor Prêmio Nespresso AAA por Kg (em US$)]]*60</f>
        <v>250.09585492227981</v>
      </c>
      <c r="AK693" s="204">
        <f>Delivery[[#This Row],[Valor Prêmio Nespresso AAA por saca (em US$)]]/1.3228/100</f>
        <v>1.8906550871052301</v>
      </c>
      <c r="AL693" s="204">
        <f>(Delivery[[#This Row],[BEN premium (total)]]/SUMIF(Allocation!C:C,Delivery[Delivery ID],Allocation!H:H))/Delivery[[#This Row],[Exchange rate for premiums VS USD]]</f>
        <v>1.1848076759067359</v>
      </c>
      <c r="AM693" s="204">
        <f>Delivery[[#This Row],[Valor Prêmio Nespresso BEN por Kg (em US$)]]*60</f>
        <v>71.088460554404151</v>
      </c>
      <c r="AN693" s="204">
        <f>Delivery[[#This Row],[Valor Prêmio Nespresso BEN por saca (em US$)]]/1.3228/100</f>
        <v>0.53740898514064217</v>
      </c>
      <c r="AO693" s="204">
        <f>SUMIF(Allocation[Delivery ID],Delivery[[#This Row],[Delivery ID]],Allocation[Quantity allocated])*16*1.3228*Delivery[[#This Row],[Exchange rate VS USD]]/60</f>
        <v>462.94472533333334</v>
      </c>
      <c r="AP693" s="204">
        <f>Delivery[[#This Row],[AAA Premium (total)]]</f>
        <v>5470.43</v>
      </c>
      <c r="AQ693" s="204">
        <f>Delivery[[#This Row],[Valor pago pelo Cluster]]-Delivery[[#This Row],[Valor efetivamente pago pela Nespresso]]</f>
        <v>5007.4852746666666</v>
      </c>
    </row>
    <row r="694" spans="1:43" ht="15.75">
      <c r="A694" s="174" t="s">
        <v>69</v>
      </c>
      <c r="B694" s="232" t="s">
        <v>68</v>
      </c>
      <c r="C694" s="157">
        <v>1</v>
      </c>
      <c r="D694" s="157" t="s">
        <v>468</v>
      </c>
      <c r="E694" s="177" t="s">
        <v>468</v>
      </c>
      <c r="F694" s="233" t="s">
        <v>541</v>
      </c>
      <c r="G694" s="234">
        <v>42990</v>
      </c>
      <c r="H694" s="157" t="s">
        <v>852</v>
      </c>
      <c r="I694" s="157" t="s">
        <v>480</v>
      </c>
      <c r="J694" s="237">
        <v>17609</v>
      </c>
      <c r="K694" s="175" t="s">
        <v>61</v>
      </c>
      <c r="L694" s="175" t="s">
        <v>439</v>
      </c>
      <c r="M694" s="175" t="s">
        <v>1343</v>
      </c>
      <c r="N694" s="180"/>
      <c r="O694" s="177"/>
      <c r="P694" s="181">
        <v>0</v>
      </c>
      <c r="Q694" s="177">
        <v>42667</v>
      </c>
      <c r="R694" s="178">
        <v>576.64</v>
      </c>
      <c r="S694" s="179">
        <v>170375.86329972002</v>
      </c>
      <c r="T694" s="182" t="s">
        <v>45</v>
      </c>
      <c r="U694" s="183">
        <v>3.4</v>
      </c>
      <c r="V694" s="179">
        <v>6984.9033333333336</v>
      </c>
      <c r="W694" s="179">
        <v>1985.4228501399998</v>
      </c>
      <c r="X694" s="196" t="s">
        <v>45</v>
      </c>
      <c r="Y694" s="183">
        <v>3.4</v>
      </c>
      <c r="Z694" s="220" t="s">
        <v>473</v>
      </c>
      <c r="AA694" s="201">
        <f>Delivery[[#This Row],[Quantity delivered]]*VLOOKUP(Delivery[[#This Row],[Unit]],References!$U:$X,4,FALSE)*VLOOKUP(CONCATENATE(Delivery[[#This Row],[Coffee specie]],Delivery[[#This Row],[Coffee state]]),References!$U:$X,4,FALSE)</f>
        <v>17609</v>
      </c>
      <c r="AB694" s="202">
        <f>SUMIF(Allocation!C:C,Delivery[[#This Row],[Delivery ID]],Allocation!D:D)/Delivery[[#This Row],[Quantity delivered]]</f>
        <v>6.7579078880118118E-2</v>
      </c>
      <c r="AC694" s="203">
        <f>Delivery[[#This Row],[Quantity delivered]]*Delivery[[#This Row],[Base price (Unidad)]]/60</f>
        <v>169234.22933333332</v>
      </c>
      <c r="AD694" s="204">
        <f>Delivery[[#This Row],[Nespresso total]]-Delivery[[#This Row],[Qt. Delivery * Base Price]]</f>
        <v>1141.6339663866966</v>
      </c>
      <c r="AE694" s="204">
        <f>Delivery[[#This Row],[AAA Premium (total)]]/Delivery[[#This Row],[Quantity delivered]]*60/Delivery[[#This Row],[Exchange rate VS USD]]</f>
        <v>7</v>
      </c>
      <c r="AF694" s="204">
        <f>Delivery[[#This Row],[BEN premium (total)]]/Delivery[[#This Row],[Quantity delivered]]*60/Delivery[[#This Row],[Exchange rate for premiums VS USD]]</f>
        <v>1.9897139999999998</v>
      </c>
      <c r="AG694" s="204">
        <f>COUNTIF(Delivery[Delivery ID],Delivery[[#This Row],[Delivery ID]])</f>
        <v>1</v>
      </c>
      <c r="AH694" s="204">
        <f>(Delivery[[#This Row],[Nespresso total]]/SUMIF(Allocation!C:C,Delivery[Delivery ID],Allocation!H:H))/Delivery[[#This Row],[Exchange rate VS USD]]</f>
        <v>140.36568075442415</v>
      </c>
      <c r="AI694" s="204">
        <f>(Delivery[[#This Row],[AAA Premium (total)]]/SUMIF(Allocation!C:C,Delivery[Delivery ID],Allocation!H:H))/Delivery[[#This Row],[Exchange rate VS USD]]</f>
        <v>5.7545751633986928</v>
      </c>
      <c r="AJ694" s="204">
        <f>Delivery[[#This Row],[Valor Prêmio Nespresso AAA por Kg (em US$)]]*60</f>
        <v>345.27450980392155</v>
      </c>
      <c r="AK694" s="204">
        <f>Delivery[[#This Row],[Valor Prêmio Nespresso AAA por saca (em US$)]]/1.3228/100</f>
        <v>2.6101792395216323</v>
      </c>
      <c r="AL694" s="204">
        <f>(Delivery[[#This Row],[BEN premium (total)]]/SUMIF(Allocation!C:C,Delivery[Delivery ID],Allocation!H:H))/Delivery[[#This Row],[Exchange rate for premiums VS USD]]</f>
        <v>1.6357083952380951</v>
      </c>
      <c r="AM694" s="204">
        <f>Delivery[[#This Row],[Valor Prêmio Nespresso BEN por Kg (em US$)]]*60</f>
        <v>98.142503714285709</v>
      </c>
      <c r="AN694" s="204">
        <f>Delivery[[#This Row],[Valor Prêmio Nespresso BEN por saca (em US$)]]/1.3228/100</f>
        <v>0.74193002505507788</v>
      </c>
      <c r="AO694" s="204">
        <f>SUMIF(Allocation[Delivery ID],Delivery[[#This Row],[Delivery ID]],Allocation[Quantity allocated])*16*1.3228*Delivery[[#This Row],[Exchange rate VS USD]]/60</f>
        <v>428.163904</v>
      </c>
      <c r="AP694" s="204">
        <f>Delivery[[#This Row],[AAA Premium (total)]]</f>
        <v>6984.9033333333336</v>
      </c>
      <c r="AQ694" s="204">
        <f>Delivery[[#This Row],[Valor pago pelo Cluster]]-Delivery[[#This Row],[Valor efetivamente pago pela Nespresso]]</f>
        <v>6556.7394293333336</v>
      </c>
    </row>
    <row r="695" spans="1:43" ht="15.75">
      <c r="A695" s="174" t="s">
        <v>69</v>
      </c>
      <c r="B695" s="232" t="s">
        <v>68</v>
      </c>
      <c r="C695" s="157">
        <v>1</v>
      </c>
      <c r="D695" s="157" t="s">
        <v>468</v>
      </c>
      <c r="E695" s="177" t="s">
        <v>468</v>
      </c>
      <c r="F695" s="233" t="s">
        <v>541</v>
      </c>
      <c r="G695" s="234">
        <v>42990</v>
      </c>
      <c r="H695" s="157" t="s">
        <v>853</v>
      </c>
      <c r="I695" s="157" t="s">
        <v>480</v>
      </c>
      <c r="J695" s="237">
        <v>10959</v>
      </c>
      <c r="K695" s="175" t="s">
        <v>61</v>
      </c>
      <c r="L695" s="175" t="s">
        <v>439</v>
      </c>
      <c r="M695" s="175" t="s">
        <v>1343</v>
      </c>
      <c r="N695" s="180"/>
      <c r="O695" s="177"/>
      <c r="P695" s="181">
        <v>0</v>
      </c>
      <c r="Q695" s="177">
        <v>42667</v>
      </c>
      <c r="R695" s="178">
        <v>576.64</v>
      </c>
      <c r="S695" s="179">
        <v>106033.79441771998</v>
      </c>
      <c r="T695" s="182" t="s">
        <v>45</v>
      </c>
      <c r="U695" s="183">
        <v>3.4</v>
      </c>
      <c r="V695" s="179">
        <v>4347.07</v>
      </c>
      <c r="W695" s="179">
        <v>1235.63229114</v>
      </c>
      <c r="X695" s="196" t="s">
        <v>45</v>
      </c>
      <c r="Y695" s="183">
        <v>3.4</v>
      </c>
      <c r="Z695" s="220" t="s">
        <v>473</v>
      </c>
      <c r="AA695" s="201">
        <f>Delivery[[#This Row],[Quantity delivered]]*VLOOKUP(Delivery[[#This Row],[Unit]],References!$U:$X,4,FALSE)*VLOOKUP(CONCATENATE(Delivery[[#This Row],[Coffee specie]],Delivery[[#This Row],[Coffee state]]),References!$U:$X,4,FALSE)</f>
        <v>10959</v>
      </c>
      <c r="AB695" s="202">
        <f>SUMIF(Allocation!C:C,Delivery[[#This Row],[Delivery ID]],Allocation!D:D)/Delivery[[#This Row],[Quantity delivered]]</f>
        <v>4.7540834017702344E-2</v>
      </c>
      <c r="AC695" s="203">
        <f>Delivery[[#This Row],[Quantity delivered]]*Delivery[[#This Row],[Base price (Unidad)]]/60</f>
        <v>105323.296</v>
      </c>
      <c r="AD695" s="204">
        <f>Delivery[[#This Row],[Nespresso total]]-Delivery[[#This Row],[Qt. Delivery * Base Price]]</f>
        <v>710.49841771998035</v>
      </c>
      <c r="AE695" s="204">
        <f>Delivery[[#This Row],[AAA Premium (total)]]/Delivery[[#This Row],[Quantity delivered]]*60/Delivery[[#This Row],[Exchange rate VS USD]]</f>
        <v>7</v>
      </c>
      <c r="AF695" s="204">
        <f>Delivery[[#This Row],[BEN premium (total)]]/Delivery[[#This Row],[Quantity delivered]]*60/Delivery[[#This Row],[Exchange rate for premiums VS USD]]</f>
        <v>1.989714</v>
      </c>
      <c r="AG695" s="204">
        <f>COUNTIF(Delivery[Delivery ID],Delivery[[#This Row],[Delivery ID]])</f>
        <v>1</v>
      </c>
      <c r="AH695" s="204">
        <f>(Delivery[[#This Row],[Nespresso total]]/SUMIF(Allocation!C:C,Delivery[Delivery ID],Allocation!H:H))/Delivery[[#This Row],[Exchange rate VS USD]]</f>
        <v>199.49088545294453</v>
      </c>
      <c r="AI695" s="204">
        <f>(Delivery[[#This Row],[AAA Premium (total)]]/SUMIF(Allocation!C:C,Delivery[Delivery ID],Allocation!H:H))/Delivery[[#This Row],[Exchange rate VS USD]]</f>
        <v>8.1785325913132461</v>
      </c>
      <c r="AJ695" s="204">
        <f>Delivery[[#This Row],[Valor Prêmio Nespresso AAA por Kg (em US$)]]*60</f>
        <v>490.71195547879478</v>
      </c>
      <c r="AK695" s="204">
        <f>Delivery[[#This Row],[Valor Prêmio Nespresso AAA por saca (em US$)]]/1.3228/100</f>
        <v>3.7096458684517297</v>
      </c>
      <c r="AL695" s="204">
        <f>(Delivery[[#This Row],[BEN premium (total)]]/SUMIF(Allocation!C:C,Delivery[Delivery ID],Allocation!H:H))/Delivery[[#This Row],[Exchange rate for premiums VS USD]]</f>
        <v>2.3247058280560351</v>
      </c>
      <c r="AM695" s="204">
        <f>Delivery[[#This Row],[Valor Prêmio Nespresso BEN por Kg (em US$)]]*60</f>
        <v>139.48234968336212</v>
      </c>
      <c r="AN695" s="204">
        <f>Delivery[[#This Row],[Valor Prêmio Nespresso BEN por saca (em US$)]]/1.3228/100</f>
        <v>1.0544477599286521</v>
      </c>
      <c r="AO695" s="204">
        <f>SUMIF(Allocation[Delivery ID],Delivery[[#This Row],[Delivery ID]],Allocation[Quantity allocated])*16*1.3228*Delivery[[#This Row],[Exchange rate VS USD]]/60</f>
        <v>187.49261376000001</v>
      </c>
      <c r="AP695" s="204">
        <f>Delivery[[#This Row],[AAA Premium (total)]]</f>
        <v>4347.07</v>
      </c>
      <c r="AQ695" s="204">
        <f>Delivery[[#This Row],[Valor pago pelo Cluster]]-Delivery[[#This Row],[Valor efetivamente pago pela Nespresso]]</f>
        <v>4159.5773862400001</v>
      </c>
    </row>
    <row r="696" spans="1:43" ht="15.75">
      <c r="A696" s="174" t="s">
        <v>69</v>
      </c>
      <c r="B696" s="232" t="s">
        <v>68</v>
      </c>
      <c r="C696" s="157">
        <v>1</v>
      </c>
      <c r="D696" s="157" t="s">
        <v>468</v>
      </c>
      <c r="E696" s="177" t="s">
        <v>468</v>
      </c>
      <c r="F696" s="233" t="s">
        <v>541</v>
      </c>
      <c r="G696" s="234">
        <v>42991</v>
      </c>
      <c r="H696" s="157" t="s">
        <v>854</v>
      </c>
      <c r="I696" s="157" t="s">
        <v>480</v>
      </c>
      <c r="J696" s="237">
        <v>19650.5</v>
      </c>
      <c r="K696" s="175" t="s">
        <v>61</v>
      </c>
      <c r="L696" s="175" t="s">
        <v>439</v>
      </c>
      <c r="M696" s="175" t="s">
        <v>1343</v>
      </c>
      <c r="N696" s="180"/>
      <c r="O696" s="177"/>
      <c r="P696" s="181">
        <v>0</v>
      </c>
      <c r="Q696" s="177">
        <v>42667</v>
      </c>
      <c r="R696" s="178">
        <v>576.64</v>
      </c>
      <c r="S696" s="179">
        <v>190128.39467154001</v>
      </c>
      <c r="T696" s="182" t="s">
        <v>45</v>
      </c>
      <c r="U696" s="183">
        <v>3.4</v>
      </c>
      <c r="V696" s="179">
        <v>7794.6983333333337</v>
      </c>
      <c r="W696" s="179">
        <v>2215.6029142299999</v>
      </c>
      <c r="X696" s="196" t="s">
        <v>45</v>
      </c>
      <c r="Y696" s="183">
        <v>3.4</v>
      </c>
      <c r="Z696" s="220" t="s">
        <v>473</v>
      </c>
      <c r="AA696" s="201">
        <f>Delivery[[#This Row],[Quantity delivered]]*VLOOKUP(Delivery[[#This Row],[Unit]],References!$U:$X,4,FALSE)*VLOOKUP(CONCATENATE(Delivery[[#This Row],[Coffee specie]],Delivery[[#This Row],[Coffee state]]),References!$U:$X,4,FALSE)</f>
        <v>19650.5</v>
      </c>
      <c r="AB696" s="202">
        <f>SUMIF(Allocation!C:C,Delivery[[#This Row],[Delivery ID]],Allocation!D:D)/Delivery[[#This Row],[Quantity delivered]]</f>
        <v>4.74797078954734E-2</v>
      </c>
      <c r="AC696" s="203">
        <f>Delivery[[#This Row],[Quantity delivered]]*Delivery[[#This Row],[Base price (Unidad)]]/60</f>
        <v>188854.40533333333</v>
      </c>
      <c r="AD696" s="204">
        <f>Delivery[[#This Row],[Nespresso total]]-Delivery[[#This Row],[Qt. Delivery * Base Price]]</f>
        <v>1273.9893382066803</v>
      </c>
      <c r="AE696" s="204">
        <f>Delivery[[#This Row],[AAA Premium (total)]]/Delivery[[#This Row],[Quantity delivered]]*60/Delivery[[#This Row],[Exchange rate VS USD]]</f>
        <v>7</v>
      </c>
      <c r="AF696" s="204">
        <f>Delivery[[#This Row],[BEN premium (total)]]/Delivery[[#This Row],[Quantity delivered]]*60/Delivery[[#This Row],[Exchange rate for premiums VS USD]]</f>
        <v>1.989714</v>
      </c>
      <c r="AG696" s="204">
        <f>COUNTIF(Delivery[Delivery ID],Delivery[[#This Row],[Delivery ID]])</f>
        <v>1</v>
      </c>
      <c r="AH696" s="204">
        <f>(Delivery[[#This Row],[Nespresso total]]/SUMIF(Allocation!C:C,Delivery[Delivery ID],Allocation!H:H))/Delivery[[#This Row],[Exchange rate VS USD]]</f>
        <v>199.71470028523109</v>
      </c>
      <c r="AI696" s="204">
        <f>(Delivery[[#This Row],[AAA Premium (total)]]/SUMIF(Allocation!C:C,Delivery[Delivery ID],Allocation!H:H))/Delivery[[#This Row],[Exchange rate VS USD]]</f>
        <v>8.1877083333333331</v>
      </c>
      <c r="AJ696" s="204">
        <f>Delivery[[#This Row],[Valor Prêmio Nespresso AAA por Kg (em US$)]]*60</f>
        <v>491.26249999999999</v>
      </c>
      <c r="AK696" s="204">
        <f>Delivery[[#This Row],[Valor Prêmio Nespresso AAA por saca (em US$)]]/1.3228/100</f>
        <v>3.7138078318717875</v>
      </c>
      <c r="AL696" s="204">
        <f>(Delivery[[#This Row],[BEN premium (total)]]/SUMIF(Allocation!C:C,Delivery[Delivery ID],Allocation!H:H))/Delivery[[#This Row],[Exchange rate for premiums VS USD]]</f>
        <v>2.3273139855357141</v>
      </c>
      <c r="AM696" s="204">
        <f>Delivery[[#This Row],[Valor Prêmio Nespresso BEN por Kg (em US$)]]*60</f>
        <v>139.63883913214283</v>
      </c>
      <c r="AN696" s="204">
        <f>Delivery[[#This Row],[Valor Prêmio Nespresso BEN por saca (em US$)]]/1.3228/100</f>
        <v>1.0556307766264199</v>
      </c>
      <c r="AO696" s="204">
        <f>SUMIF(Allocation[Delivery ID],Delivery[[#This Row],[Delivery ID]],Allocation[Quantity allocated])*16*1.3228*Delivery[[#This Row],[Exchange rate VS USD]]/60</f>
        <v>335.81482666666665</v>
      </c>
      <c r="AP696" s="204">
        <f>Delivery[[#This Row],[AAA Premium (total)]]</f>
        <v>7794.6983333333337</v>
      </c>
      <c r="AQ696" s="204">
        <f>Delivery[[#This Row],[Valor pago pelo Cluster]]-Delivery[[#This Row],[Valor efetivamente pago pela Nespresso]]</f>
        <v>7458.883506666667</v>
      </c>
    </row>
    <row r="697" spans="1:43" ht="15.75">
      <c r="A697" s="174" t="s">
        <v>69</v>
      </c>
      <c r="B697" s="232" t="s">
        <v>68</v>
      </c>
      <c r="C697" s="157">
        <v>1</v>
      </c>
      <c r="D697" s="157" t="s">
        <v>468</v>
      </c>
      <c r="E697" s="177" t="s">
        <v>468</v>
      </c>
      <c r="F697" s="233" t="s">
        <v>541</v>
      </c>
      <c r="G697" s="234">
        <v>42992</v>
      </c>
      <c r="H697" s="157" t="s">
        <v>855</v>
      </c>
      <c r="I697" s="157" t="s">
        <v>480</v>
      </c>
      <c r="J697" s="237">
        <v>14570</v>
      </c>
      <c r="K697" s="175" t="s">
        <v>61</v>
      </c>
      <c r="L697" s="175" t="s">
        <v>439</v>
      </c>
      <c r="M697" s="175" t="s">
        <v>1343</v>
      </c>
      <c r="N697" s="180"/>
      <c r="O697" s="177"/>
      <c r="P697" s="181">
        <v>0</v>
      </c>
      <c r="Q697" s="177">
        <v>42667</v>
      </c>
      <c r="R697" s="178">
        <v>576.64</v>
      </c>
      <c r="S697" s="179">
        <v>140972.0215956</v>
      </c>
      <c r="T697" s="182" t="s">
        <v>45</v>
      </c>
      <c r="U697" s="183">
        <v>3.4</v>
      </c>
      <c r="V697" s="179">
        <v>5779.4333333333334</v>
      </c>
      <c r="W697" s="179">
        <v>1642.7742021999998</v>
      </c>
      <c r="X697" s="196" t="s">
        <v>45</v>
      </c>
      <c r="Y697" s="183">
        <v>3.4</v>
      </c>
      <c r="Z697" s="220" t="s">
        <v>473</v>
      </c>
      <c r="AA697" s="201">
        <f>Delivery[[#This Row],[Quantity delivered]]*VLOOKUP(Delivery[[#This Row],[Unit]],References!$U:$X,4,FALSE)*VLOOKUP(CONCATENATE(Delivery[[#This Row],[Coffee specie]],Delivery[[#This Row],[Coffee state]]),References!$U:$X,4,FALSE)</f>
        <v>14570</v>
      </c>
      <c r="AB697" s="202">
        <f>SUMIF(Allocation!C:C,Delivery[[#This Row],[Delivery ID]],Allocation!D:D)/Delivery[[#This Row],[Quantity delivered]]</f>
        <v>4.7563486616334937E-2</v>
      </c>
      <c r="AC697" s="203">
        <f>Delivery[[#This Row],[Quantity delivered]]*Delivery[[#This Row],[Base price (Unidad)]]/60</f>
        <v>140027.4133333333</v>
      </c>
      <c r="AD697" s="204">
        <f>Delivery[[#This Row],[Nespresso total]]-Delivery[[#This Row],[Qt. Delivery * Base Price]]</f>
        <v>944.60826226670179</v>
      </c>
      <c r="AE697" s="204">
        <f>Delivery[[#This Row],[AAA Premium (total)]]/Delivery[[#This Row],[Quantity delivered]]*60/Delivery[[#This Row],[Exchange rate VS USD]]</f>
        <v>7</v>
      </c>
      <c r="AF697" s="204">
        <f>Delivery[[#This Row],[BEN premium (total)]]/Delivery[[#This Row],[Quantity delivered]]*60/Delivery[[#This Row],[Exchange rate for premiums VS USD]]</f>
        <v>1.9897139999999998</v>
      </c>
      <c r="AG697" s="204">
        <f>COUNTIF(Delivery[Delivery ID],Delivery[[#This Row],[Delivery ID]])</f>
        <v>1</v>
      </c>
      <c r="AH697" s="204">
        <f>(Delivery[[#This Row],[Nespresso total]]/SUMIF(Allocation!C:C,Delivery[Delivery ID],Allocation!H:H))/Delivery[[#This Row],[Exchange rate VS USD]]</f>
        <v>199.33826583088236</v>
      </c>
      <c r="AI697" s="204">
        <f>(Delivery[[#This Row],[AAA Premium (total)]]/SUMIF(Allocation!C:C,Delivery[Delivery ID],Allocation!H:H))/Delivery[[#This Row],[Exchange rate VS USD]]</f>
        <v>8.1722756410256405</v>
      </c>
      <c r="AJ697" s="204">
        <f>Delivery[[#This Row],[Valor Prêmio Nespresso AAA por Kg (em US$)]]*60</f>
        <v>490.33653846153845</v>
      </c>
      <c r="AK697" s="204">
        <f>Delivery[[#This Row],[Valor Prêmio Nespresso AAA por saca (em US$)]]/1.3228/100</f>
        <v>3.7068078202414458</v>
      </c>
      <c r="AL697" s="204">
        <f>(Delivery[[#This Row],[BEN premium (total)]]/SUMIF(Allocation!C:C,Delivery[Delivery ID],Allocation!H:H))/Delivery[[#This Row],[Exchange rate for premiums VS USD]]</f>
        <v>2.3229273221153841</v>
      </c>
      <c r="AM697" s="204">
        <f>Delivery[[#This Row],[Valor Prêmio Nespresso BEN por Kg (em US$)]]*60</f>
        <v>139.37563932692305</v>
      </c>
      <c r="AN697" s="204">
        <f>Delivery[[#This Row],[Valor Prêmio Nespresso BEN por saca (em US$)]]/1.3228/100</f>
        <v>1.0536410593205552</v>
      </c>
      <c r="AO697" s="204">
        <f>SUMIF(Allocation[Delivery ID],Delivery[[#This Row],[Delivery ID]],Allocation[Quantity allocated])*16*1.3228*Delivery[[#This Row],[Exchange rate VS USD]]/60</f>
        <v>249.46244266666665</v>
      </c>
      <c r="AP697" s="204">
        <f>Delivery[[#This Row],[AAA Premium (total)]]</f>
        <v>5779.4333333333334</v>
      </c>
      <c r="AQ697" s="204">
        <f>Delivery[[#This Row],[Valor pago pelo Cluster]]-Delivery[[#This Row],[Valor efetivamente pago pela Nespresso]]</f>
        <v>5529.9708906666665</v>
      </c>
    </row>
    <row r="698" spans="1:43" ht="15.75">
      <c r="A698" s="174" t="s">
        <v>69</v>
      </c>
      <c r="B698" s="232" t="s">
        <v>68</v>
      </c>
      <c r="C698" s="157">
        <v>1</v>
      </c>
      <c r="D698" s="157" t="s">
        <v>468</v>
      </c>
      <c r="E698" s="177" t="s">
        <v>468</v>
      </c>
      <c r="F698" s="233" t="s">
        <v>541</v>
      </c>
      <c r="G698" s="234">
        <v>42992</v>
      </c>
      <c r="H698" s="157" t="s">
        <v>856</v>
      </c>
      <c r="I698" s="157" t="s">
        <v>480</v>
      </c>
      <c r="J698" s="237">
        <v>12741.5</v>
      </c>
      <c r="K698" s="175" t="s">
        <v>61</v>
      </c>
      <c r="L698" s="175" t="s">
        <v>439</v>
      </c>
      <c r="M698" s="175" t="s">
        <v>1343</v>
      </c>
      <c r="N698" s="180"/>
      <c r="O698" s="177"/>
      <c r="P698" s="181">
        <v>0</v>
      </c>
      <c r="Q698" s="177">
        <v>42667</v>
      </c>
      <c r="R698" s="178">
        <v>576.64</v>
      </c>
      <c r="S698" s="179">
        <v>123280.37152782</v>
      </c>
      <c r="T698" s="182" t="s">
        <v>45</v>
      </c>
      <c r="U698" s="183">
        <v>3.4</v>
      </c>
      <c r="V698" s="179">
        <v>5054.1283333333331</v>
      </c>
      <c r="W698" s="179">
        <v>1436.6099860899999</v>
      </c>
      <c r="X698" s="196" t="s">
        <v>45</v>
      </c>
      <c r="Y698" s="183">
        <v>3.4</v>
      </c>
      <c r="Z698" s="220" t="s">
        <v>473</v>
      </c>
      <c r="AA698" s="201">
        <f>Delivery[[#This Row],[Quantity delivered]]*VLOOKUP(Delivery[[#This Row],[Unit]],References!$U:$X,4,FALSE)*VLOOKUP(CONCATENATE(Delivery[[#This Row],[Coffee specie]],Delivery[[#This Row],[Coffee state]]),References!$U:$X,4,FALSE)</f>
        <v>12741.5</v>
      </c>
      <c r="AB698" s="202">
        <f>SUMIF(Allocation!C:C,Delivery[[#This Row],[Delivery ID]],Allocation!D:D)/Delivery[[#This Row],[Quantity delivered]]</f>
        <v>6.7731428795667695E-2</v>
      </c>
      <c r="AC698" s="203">
        <f>Delivery[[#This Row],[Quantity delivered]]*Delivery[[#This Row],[Base price (Unidad)]]/60</f>
        <v>122454.30933333332</v>
      </c>
      <c r="AD698" s="204">
        <f>Delivery[[#This Row],[Nespresso total]]-Delivery[[#This Row],[Qt. Delivery * Base Price]]</f>
        <v>826.06219448667252</v>
      </c>
      <c r="AE698" s="204">
        <f>Delivery[[#This Row],[AAA Premium (total)]]/Delivery[[#This Row],[Quantity delivered]]*60/Delivery[[#This Row],[Exchange rate VS USD]]</f>
        <v>7</v>
      </c>
      <c r="AF698" s="204">
        <f>Delivery[[#This Row],[BEN premium (total)]]/Delivery[[#This Row],[Quantity delivered]]*60/Delivery[[#This Row],[Exchange rate for premiums VS USD]]</f>
        <v>1.989714</v>
      </c>
      <c r="AG698" s="204">
        <f>COUNTIF(Delivery[Delivery ID],Delivery[[#This Row],[Delivery ID]])</f>
        <v>1</v>
      </c>
      <c r="AH698" s="204">
        <f>(Delivery[[#This Row],[Nespresso total]]/SUMIF(Allocation!C:C,Delivery[Delivery ID],Allocation!H:H))/Delivery[[#This Row],[Exchange rate VS USD]]</f>
        <v>139.99587954555983</v>
      </c>
      <c r="AI698" s="204">
        <f>(Delivery[[#This Row],[AAA Premium (total)]]/SUMIF(Allocation!C:C,Delivery[Delivery ID],Allocation!H:H))/Delivery[[#This Row],[Exchange rate VS USD]]</f>
        <v>5.7394144144144148</v>
      </c>
      <c r="AJ698" s="204">
        <f>Delivery[[#This Row],[Valor Prêmio Nespresso AAA por Kg (em US$)]]*60</f>
        <v>344.3648648648649</v>
      </c>
      <c r="AK698" s="204">
        <f>Delivery[[#This Row],[Valor Prêmio Nespresso AAA por saca (em US$)]]/1.3228/100</f>
        <v>2.6033025768435509</v>
      </c>
      <c r="AL698" s="204">
        <f>(Delivery[[#This Row],[BEN premium (total)]]/SUMIF(Allocation!C:C,Delivery[Delivery ID],Allocation!H:H))/Delivery[[#This Row],[Exchange rate for premiums VS USD]]</f>
        <v>1.6313990303088801</v>
      </c>
      <c r="AM698" s="204">
        <f>Delivery[[#This Row],[Valor Prêmio Nespresso BEN por Kg (em US$)]]*60</f>
        <v>97.883941818532804</v>
      </c>
      <c r="AN698" s="204">
        <f>Delivery[[#This Row],[Valor Prêmio Nespresso BEN por saca (em US$)]]/1.3228/100</f>
        <v>0.73997536905452677</v>
      </c>
      <c r="AO698" s="204">
        <f>SUMIF(Allocation[Delivery ID],Delivery[[#This Row],[Delivery ID]],Allocation[Quantity allocated])*16*1.3228*Delivery[[#This Row],[Exchange rate VS USD]]/60</f>
        <v>310.62871466666661</v>
      </c>
      <c r="AP698" s="204">
        <f>Delivery[[#This Row],[AAA Premium (total)]]</f>
        <v>5054.1283333333331</v>
      </c>
      <c r="AQ698" s="204">
        <f>Delivery[[#This Row],[Valor pago pelo Cluster]]-Delivery[[#This Row],[Valor efetivamente pago pela Nespresso]]</f>
        <v>4743.4996186666667</v>
      </c>
    </row>
    <row r="699" spans="1:43" ht="15.75">
      <c r="A699" s="174" t="s">
        <v>69</v>
      </c>
      <c r="B699" s="232" t="s">
        <v>68</v>
      </c>
      <c r="C699" s="157">
        <v>1</v>
      </c>
      <c r="D699" s="157" t="s">
        <v>468</v>
      </c>
      <c r="E699" s="177" t="s">
        <v>468</v>
      </c>
      <c r="F699" s="233" t="s">
        <v>541</v>
      </c>
      <c r="G699" s="234">
        <v>42992</v>
      </c>
      <c r="H699" s="157" t="s">
        <v>857</v>
      </c>
      <c r="I699" s="157" t="s">
        <v>480</v>
      </c>
      <c r="J699" s="237">
        <v>16014</v>
      </c>
      <c r="K699" s="175" t="s">
        <v>61</v>
      </c>
      <c r="L699" s="175" t="s">
        <v>439</v>
      </c>
      <c r="M699" s="175" t="s">
        <v>1343</v>
      </c>
      <c r="N699" s="180"/>
      <c r="O699" s="177"/>
      <c r="P699" s="181">
        <v>0</v>
      </c>
      <c r="Q699" s="177">
        <v>42667</v>
      </c>
      <c r="R699" s="178">
        <v>576.64</v>
      </c>
      <c r="S699" s="179">
        <v>154943.44226712</v>
      </c>
      <c r="T699" s="182" t="s">
        <v>45</v>
      </c>
      <c r="U699" s="183">
        <v>3.4</v>
      </c>
      <c r="V699" s="179">
        <v>6352.22</v>
      </c>
      <c r="W699" s="179">
        <v>1805.5858664399998</v>
      </c>
      <c r="X699" s="196" t="s">
        <v>45</v>
      </c>
      <c r="Y699" s="183">
        <v>3.4</v>
      </c>
      <c r="Z699" s="220" t="s">
        <v>473</v>
      </c>
      <c r="AA699" s="201">
        <f>Delivery[[#This Row],[Quantity delivered]]*VLOOKUP(Delivery[[#This Row],[Unit]],References!$U:$X,4,FALSE)*VLOOKUP(CONCATENATE(Delivery[[#This Row],[Coffee specie]],Delivery[[#This Row],[Coffee state]]),References!$U:$X,4,FALSE)</f>
        <v>16014</v>
      </c>
      <c r="AB699" s="202">
        <f>SUMIF(Allocation!C:C,Delivery[[#This Row],[Delivery ID]],Allocation!D:D)/Delivery[[#This Row],[Quantity delivered]]</f>
        <v>6.7440989134507301E-2</v>
      </c>
      <c r="AC699" s="203">
        <f>Delivery[[#This Row],[Quantity delivered]]*Delivery[[#This Row],[Base price (Unidad)]]/60</f>
        <v>153905.21599999999</v>
      </c>
      <c r="AD699" s="204">
        <f>Delivery[[#This Row],[Nespresso total]]-Delivery[[#This Row],[Qt. Delivery * Base Price]]</f>
        <v>1038.2262671200151</v>
      </c>
      <c r="AE699" s="204">
        <f>Delivery[[#This Row],[AAA Premium (total)]]/Delivery[[#This Row],[Quantity delivered]]*60/Delivery[[#This Row],[Exchange rate VS USD]]</f>
        <v>7</v>
      </c>
      <c r="AF699" s="204">
        <f>Delivery[[#This Row],[BEN premium (total)]]/Delivery[[#This Row],[Quantity delivered]]*60/Delivery[[#This Row],[Exchange rate for premiums VS USD]]</f>
        <v>1.9897139999999998</v>
      </c>
      <c r="AG699" s="204">
        <f>COUNTIF(Delivery[Delivery ID],Delivery[[#This Row],[Delivery ID]])</f>
        <v>1</v>
      </c>
      <c r="AH699" s="204">
        <f>(Delivery[[#This Row],[Nespresso total]]/SUMIF(Allocation!C:C,Delivery[Delivery ID],Allocation!H:H))/Delivery[[#This Row],[Exchange rate VS USD]]</f>
        <v>140.65308847777777</v>
      </c>
      <c r="AI699" s="204">
        <f>(Delivery[[#This Row],[AAA Premium (total)]]/SUMIF(Allocation!C:C,Delivery[Delivery ID],Allocation!H:H))/Delivery[[#This Row],[Exchange rate VS USD]]</f>
        <v>5.7663580246913586</v>
      </c>
      <c r="AJ699" s="204">
        <f>Delivery[[#This Row],[Valor Prêmio Nespresso AAA por Kg (em US$)]]*60</f>
        <v>345.98148148148152</v>
      </c>
      <c r="AK699" s="204">
        <f>Delivery[[#This Row],[Valor Prêmio Nespresso AAA por saca (em US$)]]/1.3228/100</f>
        <v>2.6155237487260474</v>
      </c>
      <c r="AL699" s="204">
        <f>(Delivery[[#This Row],[BEN premium (total)]]/SUMIF(Allocation!C:C,Delivery[Delivery ID],Allocation!H:H))/Delivery[[#This Row],[Exchange rate for premiums VS USD]]</f>
        <v>1.6390576129629628</v>
      </c>
      <c r="AM699" s="204">
        <f>Delivery[[#This Row],[Valor Prêmio Nespresso BEN por Kg (em US$)]]*60</f>
        <v>98.343456777777774</v>
      </c>
      <c r="AN699" s="204">
        <f>Delivery[[#This Row],[Valor Prêmio Nespresso BEN por saca (em US$)]]/1.3228/100</f>
        <v>0.74344917431038537</v>
      </c>
      <c r="AO699" s="204">
        <f>SUMIF(Allocation[Delivery ID],Delivery[[#This Row],[Delivery ID]],Allocation[Quantity allocated])*16*1.3228*Delivery[[#This Row],[Exchange rate VS USD]]/60</f>
        <v>388.58572799999996</v>
      </c>
      <c r="AP699" s="204">
        <f>Delivery[[#This Row],[AAA Premium (total)]]</f>
        <v>6352.22</v>
      </c>
      <c r="AQ699" s="204">
        <f>Delivery[[#This Row],[Valor pago pelo Cluster]]-Delivery[[#This Row],[Valor efetivamente pago pela Nespresso]]</f>
        <v>5963.6342720000002</v>
      </c>
    </row>
    <row r="700" spans="1:43" ht="15.75">
      <c r="A700" s="174" t="s">
        <v>69</v>
      </c>
      <c r="B700" s="232" t="s">
        <v>68</v>
      </c>
      <c r="C700" s="157">
        <v>1</v>
      </c>
      <c r="D700" s="157" t="s">
        <v>468</v>
      </c>
      <c r="E700" s="177" t="s">
        <v>468</v>
      </c>
      <c r="F700" s="233" t="s">
        <v>541</v>
      </c>
      <c r="G700" s="234">
        <v>42993</v>
      </c>
      <c r="H700" s="157" t="s">
        <v>858</v>
      </c>
      <c r="I700" s="157" t="s">
        <v>480</v>
      </c>
      <c r="J700" s="237">
        <v>8445</v>
      </c>
      <c r="K700" s="175" t="s">
        <v>61</v>
      </c>
      <c r="L700" s="175" t="s">
        <v>439</v>
      </c>
      <c r="M700" s="175" t="s">
        <v>1343</v>
      </c>
      <c r="N700" s="180"/>
      <c r="O700" s="177"/>
      <c r="P700" s="181">
        <v>0</v>
      </c>
      <c r="Q700" s="177">
        <v>42635</v>
      </c>
      <c r="R700" s="178">
        <v>581.15199999999993</v>
      </c>
      <c r="S700" s="179">
        <v>83693.225410848012</v>
      </c>
      <c r="T700" s="182" t="s">
        <v>45</v>
      </c>
      <c r="U700" s="183">
        <v>3.52</v>
      </c>
      <c r="V700" s="179">
        <v>3468.08</v>
      </c>
      <c r="W700" s="179">
        <v>1084.3622945760001</v>
      </c>
      <c r="X700" s="196" t="s">
        <v>45</v>
      </c>
      <c r="Y700" s="183">
        <v>3.52</v>
      </c>
      <c r="Z700" s="220" t="s">
        <v>473</v>
      </c>
      <c r="AA700" s="201">
        <f>Delivery[[#This Row],[Quantity delivered]]*VLOOKUP(Delivery[[#This Row],[Unit]],References!$U:$X,4,FALSE)*VLOOKUP(CONCATENATE(Delivery[[#This Row],[Coffee specie]],Delivery[[#This Row],[Coffee state]]),References!$U:$X,4,FALSE)</f>
        <v>8445</v>
      </c>
      <c r="AB700" s="202">
        <f>SUMIF(Allocation!C:C,Delivery[[#This Row],[Delivery ID]],Allocation!D:D)/Delivery[[#This Row],[Quantity delivered]]</f>
        <v>4.274718768502072E-2</v>
      </c>
      <c r="AC700" s="203">
        <f>Delivery[[#This Row],[Quantity delivered]]*Delivery[[#This Row],[Base price (Unidad)]]/60</f>
        <v>81797.144</v>
      </c>
      <c r="AD700" s="204">
        <f>Delivery[[#This Row],[Nespresso total]]-Delivery[[#This Row],[Qt. Delivery * Base Price]]</f>
        <v>1896.0814108480117</v>
      </c>
      <c r="AE700" s="204">
        <f>Delivery[[#This Row],[AAA Premium (total)]]/Delivery[[#This Row],[Quantity delivered]]*60/Delivery[[#This Row],[Exchange rate VS USD]]</f>
        <v>7</v>
      </c>
      <c r="AF700" s="204">
        <f>Delivery[[#This Row],[BEN premium (total)]]/Delivery[[#This Row],[Quantity delivered]]*60/Delivery[[#This Row],[Exchange rate for premiums VS USD]]</f>
        <v>2.1886854000000002</v>
      </c>
      <c r="AG700" s="204">
        <f>COUNTIF(Delivery[Delivery ID],Delivery[[#This Row],[Delivery ID]])</f>
        <v>1</v>
      </c>
      <c r="AH700" s="204">
        <f>(Delivery[[#This Row],[Nespresso total]]/SUMIF(Allocation!C:C,Delivery[Delivery ID],Allocation!H:H))/Delivery[[#This Row],[Exchange rate VS USD]]</f>
        <v>199.80239068670741</v>
      </c>
      <c r="AI700" s="204">
        <f>(Delivery[[#This Row],[AAA Premium (total)]]/SUMIF(Allocation!C:C,Delivery[Delivery ID],Allocation!H:H))/Delivery[[#This Row],[Exchange rate VS USD]]</f>
        <v>8.2794117647058822</v>
      </c>
      <c r="AJ700" s="204">
        <f>Delivery[[#This Row],[Valor Prêmio Nespresso AAA por Kg (em US$)]]*60</f>
        <v>496.76470588235293</v>
      </c>
      <c r="AK700" s="204">
        <f>Delivery[[#This Row],[Valor Prêmio Nespresso AAA por saca (em US$)]]/1.3228/100</f>
        <v>3.7554029776410114</v>
      </c>
      <c r="AL700" s="204">
        <f>(Delivery[[#This Row],[BEN premium (total)]]/SUMIF(Allocation!C:C,Delivery[Delivery ID],Allocation!H:H))/Delivery[[#This Row],[Exchange rate for premiums VS USD]]</f>
        <v>2.5887182357142859</v>
      </c>
      <c r="AM700" s="204">
        <f>Delivery[[#This Row],[Valor Prêmio Nespresso BEN por Kg (em US$)]]*60</f>
        <v>155.32309414285714</v>
      </c>
      <c r="AN700" s="204">
        <f>Delivery[[#This Row],[Valor Prêmio Nespresso BEN por saca (em US$)]]/1.3228/100</f>
        <v>1.1741993811827725</v>
      </c>
      <c r="AO700" s="204">
        <f>SUMIF(Allocation[Delivery ID],Delivery[[#This Row],[Delivery ID]],Allocation[Quantity allocated])*16*1.3228*Delivery[[#This Row],[Exchange rate VS USD]]/60</f>
        <v>147.75852373333333</v>
      </c>
      <c r="AP700" s="204">
        <f>Delivery[[#This Row],[AAA Premium (total)]]</f>
        <v>3468.08</v>
      </c>
      <c r="AQ700" s="204">
        <f>Delivery[[#This Row],[Valor pago pelo Cluster]]-Delivery[[#This Row],[Valor efetivamente pago pela Nespresso]]</f>
        <v>3320.3214762666667</v>
      </c>
    </row>
    <row r="701" spans="1:43" ht="15.75">
      <c r="A701" s="174" t="s">
        <v>69</v>
      </c>
      <c r="B701" s="232" t="s">
        <v>68</v>
      </c>
      <c r="C701" s="157">
        <v>1</v>
      </c>
      <c r="D701" s="157" t="s">
        <v>468</v>
      </c>
      <c r="E701" s="177" t="s">
        <v>468</v>
      </c>
      <c r="F701" s="233" t="s">
        <v>541</v>
      </c>
      <c r="G701" s="234">
        <v>42993</v>
      </c>
      <c r="H701" s="157" t="s">
        <v>859</v>
      </c>
      <c r="I701" s="157" t="s">
        <v>480</v>
      </c>
      <c r="J701" s="237">
        <v>20663</v>
      </c>
      <c r="K701" s="175" t="s">
        <v>61</v>
      </c>
      <c r="L701" s="175" t="s">
        <v>439</v>
      </c>
      <c r="M701" s="175" t="s">
        <v>1343</v>
      </c>
      <c r="N701" s="180"/>
      <c r="O701" s="177"/>
      <c r="P701" s="181">
        <v>0</v>
      </c>
      <c r="Q701" s="177">
        <v>42635</v>
      </c>
      <c r="R701" s="178">
        <v>581.15199999999993</v>
      </c>
      <c r="S701" s="179">
        <v>204781.37271336323</v>
      </c>
      <c r="T701" s="182" t="s">
        <v>45</v>
      </c>
      <c r="U701" s="183">
        <v>3.52</v>
      </c>
      <c r="V701" s="179">
        <v>8485.605333333333</v>
      </c>
      <c r="W701" s="179">
        <v>2653.1886433184</v>
      </c>
      <c r="X701" s="196" t="s">
        <v>45</v>
      </c>
      <c r="Y701" s="183">
        <v>3.52</v>
      </c>
      <c r="Z701" s="220" t="s">
        <v>473</v>
      </c>
      <c r="AA701" s="201">
        <f>Delivery[[#This Row],[Quantity delivered]]*VLOOKUP(Delivery[[#This Row],[Unit]],References!$U:$X,4,FALSE)*VLOOKUP(CONCATENATE(Delivery[[#This Row],[Coffee specie]],Delivery[[#This Row],[Coffee state]]),References!$U:$X,4,FALSE)</f>
        <v>20663</v>
      </c>
      <c r="AB701" s="202">
        <f>SUMIF(Allocation!C:C,Delivery[[#This Row],[Delivery ID]],Allocation!D:D)/Delivery[[#This Row],[Quantity delivered]]</f>
        <v>4.3701301843875523E-2</v>
      </c>
      <c r="AC701" s="203">
        <f>Delivery[[#This Row],[Quantity delivered]]*Delivery[[#This Row],[Base price (Unidad)]]/60</f>
        <v>200139.06293333331</v>
      </c>
      <c r="AD701" s="204">
        <f>Delivery[[#This Row],[Nespresso total]]-Delivery[[#This Row],[Qt. Delivery * Base Price]]</f>
        <v>4642.3097800299292</v>
      </c>
      <c r="AE701" s="204">
        <f>Delivery[[#This Row],[AAA Premium (total)]]/Delivery[[#This Row],[Quantity delivered]]*60/Delivery[[#This Row],[Exchange rate VS USD]]</f>
        <v>6.9999999999999991</v>
      </c>
      <c r="AF701" s="204">
        <f>Delivery[[#This Row],[BEN premium (total)]]/Delivery[[#This Row],[Quantity delivered]]*60/Delivery[[#This Row],[Exchange rate for premiums VS USD]]</f>
        <v>2.1886854000000002</v>
      </c>
      <c r="AG701" s="204">
        <f>COUNTIF(Delivery[Delivery ID],Delivery[[#This Row],[Delivery ID]])</f>
        <v>1</v>
      </c>
      <c r="AH701" s="204">
        <f>(Delivery[[#This Row],[Nespresso total]]/SUMIF(Allocation!C:C,Delivery[Delivery ID],Allocation!H:H))/Delivery[[#This Row],[Exchange rate VS USD]]</f>
        <v>195.2232427484015</v>
      </c>
      <c r="AI701" s="204">
        <f>(Delivery[[#This Row],[AAA Premium (total)]]/SUMIF(Allocation!C:C,Delivery[Delivery ID],Allocation!H:H))/Delivery[[#This Row],[Exchange rate VS USD]]</f>
        <v>8.0895413870246085</v>
      </c>
      <c r="AJ701" s="204">
        <f>Delivery[[#This Row],[Valor Prêmio Nespresso AAA por Kg (em US$)]]*60</f>
        <v>485.3724832214765</v>
      </c>
      <c r="AK701" s="204">
        <f>Delivery[[#This Row],[Valor Prêmio Nespresso AAA por saca (em US$)]]/1.3228/100</f>
        <v>3.6692809436156377</v>
      </c>
      <c r="AL701" s="204">
        <f>(Delivery[[#This Row],[BEN premium (total)]]/SUMIF(Allocation!C:C,Delivery[Delivery ID],Allocation!H:H))/Delivery[[#This Row],[Exchange rate for premiums VS USD]]</f>
        <v>2.5293515894966445</v>
      </c>
      <c r="AM701" s="204">
        <f>Delivery[[#This Row],[Valor Prêmio Nespresso BEN por Kg (em US$)]]*60</f>
        <v>151.76109536979868</v>
      </c>
      <c r="AN701" s="204">
        <f>Delivery[[#This Row],[Valor Prêmio Nespresso BEN por saca (em US$)]]/1.3228/100</f>
        <v>1.1472716613985385</v>
      </c>
      <c r="AO701" s="204">
        <f>SUMIF(Allocation[Delivery ID],Delivery[[#This Row],[Delivery ID]],Allocation[Quantity allocated])*16*1.3228*Delivery[[#This Row],[Exchange rate VS USD]]/60</f>
        <v>370.0171434666666</v>
      </c>
      <c r="AP701" s="204">
        <f>Delivery[[#This Row],[AAA Premium (total)]]</f>
        <v>8485.605333333333</v>
      </c>
      <c r="AQ701" s="204">
        <f>Delivery[[#This Row],[Valor pago pelo Cluster]]-Delivery[[#This Row],[Valor efetivamente pago pela Nespresso]]</f>
        <v>8115.5881898666667</v>
      </c>
    </row>
    <row r="702" spans="1:43" ht="15.75">
      <c r="A702" s="174" t="s">
        <v>69</v>
      </c>
      <c r="B702" s="232" t="s">
        <v>68</v>
      </c>
      <c r="C702" s="157">
        <v>1</v>
      </c>
      <c r="D702" s="157" t="s">
        <v>468</v>
      </c>
      <c r="E702" s="177" t="s">
        <v>468</v>
      </c>
      <c r="F702" s="233" t="s">
        <v>541</v>
      </c>
      <c r="G702" s="234">
        <v>42993</v>
      </c>
      <c r="H702" s="157" t="s">
        <v>860</v>
      </c>
      <c r="I702" s="157" t="s">
        <v>480</v>
      </c>
      <c r="J702" s="237">
        <v>31126</v>
      </c>
      <c r="K702" s="175" t="s">
        <v>61</v>
      </c>
      <c r="L702" s="175" t="s">
        <v>439</v>
      </c>
      <c r="M702" s="175" t="s">
        <v>1343</v>
      </c>
      <c r="N702" s="198"/>
      <c r="O702" s="199"/>
      <c r="P702" s="181">
        <v>0</v>
      </c>
      <c r="Q702" s="177">
        <v>42667</v>
      </c>
      <c r="R702" s="178">
        <v>576.64</v>
      </c>
      <c r="S702" s="179">
        <v>301159.58436408004</v>
      </c>
      <c r="T702" s="182" t="s">
        <v>45</v>
      </c>
      <c r="U702" s="183">
        <v>3.4</v>
      </c>
      <c r="V702" s="179">
        <v>12346.646666666667</v>
      </c>
      <c r="W702" s="179">
        <v>3509.4708179599997</v>
      </c>
      <c r="X702" s="196" t="s">
        <v>45</v>
      </c>
      <c r="Y702" s="200">
        <v>3.4</v>
      </c>
      <c r="Z702" s="220" t="s">
        <v>473</v>
      </c>
      <c r="AA702" s="201">
        <f>Delivery[[#This Row],[Quantity delivered]]*VLOOKUP(Delivery[[#This Row],[Unit]],References!$U:$X,4,FALSE)*VLOOKUP(CONCATENATE(Delivery[[#This Row],[Coffee specie]],Delivery[[#This Row],[Coffee state]]),References!$U:$X,4,FALSE)</f>
        <v>31126</v>
      </c>
      <c r="AB702" s="202">
        <f>SUMIF(Allocation!C:C,Delivery[[#This Row],[Delivery ID]],Allocation!D:D)/Delivery[[#This Row],[Quantity delivered]]</f>
        <v>4.7548673134999678E-2</v>
      </c>
      <c r="AC702" s="203">
        <f>Delivery[[#This Row],[Quantity delivered]]*Delivery[[#This Row],[Base price (Unidad)]]/60</f>
        <v>299141.6106666667</v>
      </c>
      <c r="AD702" s="204">
        <f>Delivery[[#This Row],[Nespresso total]]-Delivery[[#This Row],[Qt. Delivery * Base Price]]</f>
        <v>2017.9736974133411</v>
      </c>
      <c r="AE702" s="204">
        <f>Delivery[[#This Row],[AAA Premium (total)]]/Delivery[[#This Row],[Quantity delivered]]*60/Delivery[[#This Row],[Exchange rate VS USD]]</f>
        <v>7</v>
      </c>
      <c r="AF702" s="204">
        <f>Delivery[[#This Row],[BEN premium (total)]]/Delivery[[#This Row],[Quantity delivered]]*60/Delivery[[#This Row],[Exchange rate for premiums VS USD]]</f>
        <v>1.989714</v>
      </c>
      <c r="AG702" s="204">
        <f>COUNTIF(Delivery[Delivery ID],Delivery[[#This Row],[Delivery ID]])</f>
        <v>1</v>
      </c>
      <c r="AH702" s="204">
        <f>(Delivery[[#This Row],[Nespresso total]]/SUMIF(Allocation!C:C,Delivery[Delivery ID],Allocation!H:H))/Delivery[[#This Row],[Exchange rate VS USD]]</f>
        <v>199.4962800503975</v>
      </c>
      <c r="AI702" s="204">
        <f>(Delivery[[#This Row],[AAA Premium (total)]]/SUMIF(Allocation!C:C,Delivery[Delivery ID],Allocation!H:H))/Delivery[[#This Row],[Exchange rate VS USD]]</f>
        <v>8.1787537537537549</v>
      </c>
      <c r="AJ702" s="204">
        <f>Delivery[[#This Row],[Valor Prêmio Nespresso AAA por Kg (em US$)]]*60</f>
        <v>490.7252252252253</v>
      </c>
      <c r="AK702" s="204">
        <f>Delivery[[#This Row],[Valor Prêmio Nespresso AAA por saca (em US$)]]/1.3228/100</f>
        <v>3.7097461840431305</v>
      </c>
      <c r="AL702" s="204">
        <f>(Delivery[[#This Row],[BEN premium (total)]]/SUMIF(Allocation!C:C,Delivery[Delivery ID],Allocation!H:H))/Delivery[[#This Row],[Exchange rate for premiums VS USD]]</f>
        <v>2.3247686923423423</v>
      </c>
      <c r="AM702" s="204">
        <f>Delivery[[#This Row],[Valor Prêmio Nespresso BEN por Kg (em US$)]]*60</f>
        <v>139.48612154054052</v>
      </c>
      <c r="AN702" s="204">
        <f>Delivery[[#This Row],[Valor Prêmio Nespresso BEN por saca (em US$)]]/1.3228/100</f>
        <v>1.0544762741195988</v>
      </c>
      <c r="AO702" s="204">
        <f>SUMIF(Allocation[Delivery ID],Delivery[[#This Row],[Delivery ID]],Allocation[Quantity allocated])*16*1.3228*Delivery[[#This Row],[Exchange rate VS USD]]/60</f>
        <v>532.50636800000007</v>
      </c>
      <c r="AP702" s="204">
        <f>Delivery[[#This Row],[AAA Premium (total)]]</f>
        <v>12346.646666666667</v>
      </c>
      <c r="AQ702" s="204">
        <f>Delivery[[#This Row],[Valor pago pelo Cluster]]-Delivery[[#This Row],[Valor efetivamente pago pela Nespresso]]</f>
        <v>11814.140298666667</v>
      </c>
    </row>
    <row r="703" spans="1:43" ht="15.75">
      <c r="A703" s="174" t="s">
        <v>69</v>
      </c>
      <c r="B703" s="232" t="s">
        <v>68</v>
      </c>
      <c r="C703" s="157">
        <v>1</v>
      </c>
      <c r="D703" s="157" t="s">
        <v>468</v>
      </c>
      <c r="E703" s="177" t="s">
        <v>468</v>
      </c>
      <c r="F703" s="233" t="s">
        <v>541</v>
      </c>
      <c r="G703" s="234">
        <v>42993</v>
      </c>
      <c r="H703" s="157" t="s">
        <v>861</v>
      </c>
      <c r="I703" s="157" t="s">
        <v>480</v>
      </c>
      <c r="J703" s="237">
        <v>10303</v>
      </c>
      <c r="K703" s="175" t="s">
        <v>61</v>
      </c>
      <c r="L703" s="175" t="s">
        <v>439</v>
      </c>
      <c r="M703" s="175" t="s">
        <v>1343</v>
      </c>
      <c r="N703" s="198"/>
      <c r="O703" s="199"/>
      <c r="P703" s="181">
        <v>0</v>
      </c>
      <c r="Q703" s="177">
        <v>42635</v>
      </c>
      <c r="R703" s="178">
        <v>581.15199999999993</v>
      </c>
      <c r="S703" s="179">
        <v>102093.53032065921</v>
      </c>
      <c r="T703" s="182" t="s">
        <v>45</v>
      </c>
      <c r="U703" s="183">
        <v>3.52</v>
      </c>
      <c r="V703" s="179">
        <v>4231.0986666666668</v>
      </c>
      <c r="W703" s="179">
        <v>1322.9348396703999</v>
      </c>
      <c r="X703" s="196" t="s">
        <v>45</v>
      </c>
      <c r="Y703" s="200">
        <v>3.52</v>
      </c>
      <c r="Z703" s="220" t="s">
        <v>473</v>
      </c>
      <c r="AA703" s="201">
        <f>Delivery[[#This Row],[Quantity delivered]]*VLOOKUP(Delivery[[#This Row],[Unit]],References!$U:$X,4,FALSE)*VLOOKUP(CONCATENATE(Delivery[[#This Row],[Coffee specie]],Delivery[[#This Row],[Coffee state]]),References!$U:$X,4,FALSE)</f>
        <v>10303</v>
      </c>
      <c r="AB703" s="202">
        <f>SUMIF(Allocation!C:C,Delivery[[#This Row],[Delivery ID]],Allocation!D:D)/Delivery[[#This Row],[Quantity delivered]]</f>
        <v>3.5038338348053963E-2</v>
      </c>
      <c r="AC703" s="203">
        <f>Delivery[[#This Row],[Quantity delivered]]*Delivery[[#This Row],[Base price (Unidad)]]/60</f>
        <v>99793.484266666652</v>
      </c>
      <c r="AD703" s="204">
        <f>Delivery[[#This Row],[Nespresso total]]-Delivery[[#This Row],[Qt. Delivery * Base Price]]</f>
        <v>2300.0460539925552</v>
      </c>
      <c r="AE703" s="204">
        <f>Delivery[[#This Row],[AAA Premium (total)]]/Delivery[[#This Row],[Quantity delivered]]*60/Delivery[[#This Row],[Exchange rate VS USD]]</f>
        <v>7</v>
      </c>
      <c r="AF703" s="204">
        <f>Delivery[[#This Row],[BEN premium (total)]]/Delivery[[#This Row],[Quantity delivered]]*60/Delivery[[#This Row],[Exchange rate for premiums VS USD]]</f>
        <v>2.1886853999999998</v>
      </c>
      <c r="AG703" s="204">
        <f>COUNTIF(Delivery[Delivery ID],Delivery[[#This Row],[Delivery ID]])</f>
        <v>1</v>
      </c>
      <c r="AH703" s="204">
        <f>(Delivery[[#This Row],[Nespresso total]]/SUMIF(Allocation!C:C,Delivery[Delivery ID],Allocation!H:H))/Delivery[[#This Row],[Exchange rate VS USD]]</f>
        <v>243.72978017728036</v>
      </c>
      <c r="AI703" s="204">
        <f>(Delivery[[#This Row],[AAA Premium (total)]]/SUMIF(Allocation!C:C,Delivery[Delivery ID],Allocation!H:H))/Delivery[[#This Row],[Exchange rate VS USD]]</f>
        <v>10.100980392156863</v>
      </c>
      <c r="AJ703" s="204">
        <f>Delivery[[#This Row],[Valor Prêmio Nespresso AAA por Kg (em US$)]]*60</f>
        <v>606.05882352941182</v>
      </c>
      <c r="AK703" s="204">
        <f>Delivery[[#This Row],[Valor Prêmio Nespresso AAA por saca (em US$)]]/1.3228/100</f>
        <v>4.5816361016738121</v>
      </c>
      <c r="AL703" s="204">
        <f>(Delivery[[#This Row],[BEN premium (total)]]/SUMIF(Allocation!C:C,Delivery[Delivery ID],Allocation!H:H))/Delivery[[#This Row],[Exchange rate for premiums VS USD]]</f>
        <v>3.1582669014285711</v>
      </c>
      <c r="AM703" s="204">
        <f>Delivery[[#This Row],[Valor Prêmio Nespresso BEN por Kg (em US$)]]*60</f>
        <v>189.49601408571428</v>
      </c>
      <c r="AN703" s="204">
        <f>Delivery[[#This Row],[Valor Prêmio Nespresso BEN por saca (em US$)]]/1.3228/100</f>
        <v>1.4325371491209122</v>
      </c>
      <c r="AO703" s="204">
        <f>SUMIF(Allocation[Delivery ID],Delivery[[#This Row],[Delivery ID]],Allocation[Quantity allocated])*16*1.3228*Delivery[[#This Row],[Exchange rate VS USD]]/60</f>
        <v>147.75852373333333</v>
      </c>
      <c r="AP703" s="204">
        <f>Delivery[[#This Row],[AAA Premium (total)]]</f>
        <v>4231.0986666666668</v>
      </c>
      <c r="AQ703" s="204">
        <f>Delivery[[#This Row],[Valor pago pelo Cluster]]-Delivery[[#This Row],[Valor efetivamente pago pela Nespresso]]</f>
        <v>4083.3401429333335</v>
      </c>
    </row>
    <row r="704" spans="1:43" ht="15.75">
      <c r="A704" s="174" t="s">
        <v>69</v>
      </c>
      <c r="B704" s="232" t="s">
        <v>68</v>
      </c>
      <c r="C704" s="157">
        <v>1</v>
      </c>
      <c r="D704" s="157" t="s">
        <v>468</v>
      </c>
      <c r="E704" s="177" t="s">
        <v>468</v>
      </c>
      <c r="F704" s="233" t="s">
        <v>541</v>
      </c>
      <c r="G704" s="234">
        <v>42993</v>
      </c>
      <c r="H704" s="157" t="s">
        <v>862</v>
      </c>
      <c r="I704" s="157" t="s">
        <v>480</v>
      </c>
      <c r="J704" s="237">
        <v>19647</v>
      </c>
      <c r="K704" s="175" t="s">
        <v>61</v>
      </c>
      <c r="L704" s="175" t="s">
        <v>439</v>
      </c>
      <c r="M704" s="175" t="s">
        <v>1343</v>
      </c>
      <c r="N704" s="198"/>
      <c r="O704" s="199"/>
      <c r="P704" s="181">
        <v>0</v>
      </c>
      <c r="Q704" s="177">
        <v>42635</v>
      </c>
      <c r="R704" s="178">
        <v>581.15199999999993</v>
      </c>
      <c r="S704" s="179">
        <v>194690.13735902079</v>
      </c>
      <c r="T704" s="182" t="s">
        <v>45</v>
      </c>
      <c r="U704" s="183">
        <v>3.52</v>
      </c>
      <c r="V704" s="179">
        <v>8068.3680000000004</v>
      </c>
      <c r="W704" s="179">
        <v>2522.7313204896</v>
      </c>
      <c r="X704" s="196" t="s">
        <v>45</v>
      </c>
      <c r="Y704" s="200">
        <v>3.52</v>
      </c>
      <c r="Z704" s="220" t="s">
        <v>473</v>
      </c>
      <c r="AA704" s="201">
        <f>Delivery[[#This Row],[Quantity delivered]]*VLOOKUP(Delivery[[#This Row],[Unit]],References!$U:$X,4,FALSE)*VLOOKUP(CONCATENATE(Delivery[[#This Row],[Coffee specie]],Delivery[[#This Row],[Coffee state]]),References!$U:$X,4,FALSE)</f>
        <v>19647</v>
      </c>
      <c r="AB704" s="202">
        <f>SUMIF(Allocation!C:C,Delivery[[#This Row],[Delivery ID]],Allocation!D:D)/Delivery[[#This Row],[Quantity delivered]]</f>
        <v>4.3823484501450606E-2</v>
      </c>
      <c r="AC704" s="203">
        <f>Delivery[[#This Row],[Quantity delivered]]*Delivery[[#This Row],[Base price (Unidad)]]/60</f>
        <v>190298.22239999997</v>
      </c>
      <c r="AD704" s="204">
        <f>Delivery[[#This Row],[Nespresso total]]-Delivery[[#This Row],[Qt. Delivery * Base Price]]</f>
        <v>4391.9149590208253</v>
      </c>
      <c r="AE704" s="204">
        <f>Delivery[[#This Row],[AAA Premium (total)]]/Delivery[[#This Row],[Quantity delivered]]*60/Delivery[[#This Row],[Exchange rate VS USD]]</f>
        <v>7</v>
      </c>
      <c r="AF704" s="204">
        <f>Delivery[[#This Row],[BEN premium (total)]]/Delivery[[#This Row],[Quantity delivered]]*60/Delivery[[#This Row],[Exchange rate for premiums VS USD]]</f>
        <v>2.1886854000000002</v>
      </c>
      <c r="AG704" s="204">
        <f>COUNTIF(Delivery[Delivery ID],Delivery[[#This Row],[Delivery ID]])</f>
        <v>1</v>
      </c>
      <c r="AH704" s="204">
        <f>(Delivery[[#This Row],[Nespresso total]]/SUMIF(Allocation!C:C,Delivery[Delivery ID],Allocation!H:H))/Delivery[[#This Row],[Exchange rate VS USD]]</f>
        <v>194.7524581456274</v>
      </c>
      <c r="AI704" s="204">
        <f>(Delivery[[#This Row],[AAA Premium (total)]]/SUMIF(Allocation!C:C,Delivery[Delivery ID],Allocation!H:H))/Delivery[[#This Row],[Exchange rate VS USD]]</f>
        <v>8.0709507042253534</v>
      </c>
      <c r="AJ704" s="204">
        <f>Delivery[[#This Row],[Valor Prêmio Nespresso AAA por Kg (em US$)]]*60</f>
        <v>484.25704225352121</v>
      </c>
      <c r="AK704" s="204">
        <f>Delivery[[#This Row],[Valor Prêmio Nespresso AAA por saca (em US$)]]/1.3228/100</f>
        <v>3.660848520211077</v>
      </c>
      <c r="AL704" s="204">
        <f>(Delivery[[#This Row],[BEN premium (total)]]/SUMIF(Allocation!C:C,Delivery[Delivery ID],Allocation!H:H))/Delivery[[#This Row],[Exchange rate for premiums VS USD]]</f>
        <v>2.5235388529225351</v>
      </c>
      <c r="AM704" s="204">
        <f>Delivery[[#This Row],[Valor Prêmio Nespresso BEN por Kg (em US$)]]*60</f>
        <v>151.41233117535211</v>
      </c>
      <c r="AN704" s="204">
        <f>Delivery[[#This Row],[Valor Prêmio Nespresso BEN por saca (em US$)]]/1.3228/100</f>
        <v>1.1446351011139411</v>
      </c>
      <c r="AO704" s="204">
        <f>SUMIF(Allocation[Delivery ID],Delivery[[#This Row],[Delivery ID]],Allocation[Quantity allocated])*16*1.3228*Delivery[[#This Row],[Exchange rate VS USD]]/60</f>
        <v>352.63378773333335</v>
      </c>
      <c r="AP704" s="204">
        <f>Delivery[[#This Row],[AAA Premium (total)]]</f>
        <v>8068.3680000000004</v>
      </c>
      <c r="AQ704" s="204">
        <f>Delivery[[#This Row],[Valor pago pelo Cluster]]-Delivery[[#This Row],[Valor efetivamente pago pela Nespresso]]</f>
        <v>7715.7342122666669</v>
      </c>
    </row>
    <row r="705" spans="1:43" ht="15.75">
      <c r="A705" s="174" t="s">
        <v>69</v>
      </c>
      <c r="B705" s="232" t="s">
        <v>68</v>
      </c>
      <c r="C705" s="157">
        <v>1</v>
      </c>
      <c r="D705" s="157" t="s">
        <v>468</v>
      </c>
      <c r="E705" s="177" t="s">
        <v>468</v>
      </c>
      <c r="F705" s="233" t="s">
        <v>541</v>
      </c>
      <c r="G705" s="234">
        <v>42993</v>
      </c>
      <c r="H705" s="157" t="s">
        <v>863</v>
      </c>
      <c r="I705" s="157" t="s">
        <v>480</v>
      </c>
      <c r="J705" s="237">
        <v>9947</v>
      </c>
      <c r="K705" s="175" t="s">
        <v>61</v>
      </c>
      <c r="L705" s="175" t="s">
        <v>439</v>
      </c>
      <c r="M705" s="175" t="s">
        <v>1343</v>
      </c>
      <c r="N705" s="198"/>
      <c r="O705" s="199"/>
      <c r="P705" s="181">
        <v>0</v>
      </c>
      <c r="Q705" s="177">
        <v>42635</v>
      </c>
      <c r="R705" s="178">
        <v>581.15199999999993</v>
      </c>
      <c r="S705" s="179">
        <v>98531.253168940806</v>
      </c>
      <c r="T705" s="182" t="s">
        <v>45</v>
      </c>
      <c r="U705" s="183">
        <v>3.52</v>
      </c>
      <c r="V705" s="179">
        <v>4084.9013333333332</v>
      </c>
      <c r="W705" s="179">
        <v>1277.2234155296001</v>
      </c>
      <c r="X705" s="196" t="s">
        <v>45</v>
      </c>
      <c r="Y705" s="200">
        <v>3.52</v>
      </c>
      <c r="Z705" s="220" t="s">
        <v>473</v>
      </c>
      <c r="AA705" s="201">
        <f>Delivery[[#This Row],[Quantity delivered]]*VLOOKUP(Delivery[[#This Row],[Unit]],References!$U:$X,4,FALSE)*VLOOKUP(CONCATENATE(Delivery[[#This Row],[Coffee specie]],Delivery[[#This Row],[Coffee state]]),References!$U:$X,4,FALSE)</f>
        <v>9947</v>
      </c>
      <c r="AB705" s="202">
        <f>SUMIF(Allocation!C:C,Delivery[[#This Row],[Delivery ID]],Allocation!D:D)/Delivery[[#This Row],[Quantity delivered]]</f>
        <v>3.6292349452096112E-2</v>
      </c>
      <c r="AC705" s="203">
        <f>Delivery[[#This Row],[Quantity delivered]]*Delivery[[#This Row],[Base price (Unidad)]]/60</f>
        <v>96345.315733333322</v>
      </c>
      <c r="AD705" s="204">
        <f>Delivery[[#This Row],[Nespresso total]]-Delivery[[#This Row],[Qt. Delivery * Base Price]]</f>
        <v>2185.9374356074841</v>
      </c>
      <c r="AE705" s="204">
        <f>Delivery[[#This Row],[AAA Premium (total)]]/Delivery[[#This Row],[Quantity delivered]]*60/Delivery[[#This Row],[Exchange rate VS USD]]</f>
        <v>7</v>
      </c>
      <c r="AF705" s="204">
        <f>Delivery[[#This Row],[BEN premium (total)]]/Delivery[[#This Row],[Quantity delivered]]*60/Delivery[[#This Row],[Exchange rate for premiums VS USD]]</f>
        <v>2.1886854000000002</v>
      </c>
      <c r="AG705" s="204">
        <f>COUNTIF(Delivery[Delivery ID],Delivery[[#This Row],[Delivery ID]])</f>
        <v>1</v>
      </c>
      <c r="AH705" s="204">
        <f>(Delivery[[#This Row],[Nespresso total]]/SUMIF(Allocation!C:C,Delivery[Delivery ID],Allocation!H:H))/Delivery[[#This Row],[Exchange rate VS USD]]</f>
        <v>235.22548980362109</v>
      </c>
      <c r="AI705" s="204">
        <f>(Delivery[[#This Row],[AAA Premium (total)]]/SUMIF(Allocation!C:C,Delivery[Delivery ID],Allocation!H:H))/Delivery[[#This Row],[Exchange rate VS USD]]</f>
        <v>9.7519607843137255</v>
      </c>
      <c r="AJ705" s="204">
        <f>Delivery[[#This Row],[Valor Prêmio Nespresso AAA por Kg (em US$)]]*60</f>
        <v>585.11764705882354</v>
      </c>
      <c r="AK705" s="204">
        <f>Delivery[[#This Row],[Valor Prêmio Nespresso AAA por saca (em US$)]]/1.3228/100</f>
        <v>4.4233266333445984</v>
      </c>
      <c r="AL705" s="204">
        <f>(Delivery[[#This Row],[BEN premium (total)]]/SUMIF(Allocation!C:C,Delivery[Delivery ID],Allocation!H:H))/Delivery[[#This Row],[Exchange rate for premiums VS USD]]</f>
        <v>3.0491391700000001</v>
      </c>
      <c r="AM705" s="204">
        <f>Delivery[[#This Row],[Valor Prêmio Nespresso BEN por Kg (em US$)]]*60</f>
        <v>182.94835019999999</v>
      </c>
      <c r="AN705" s="204">
        <f>Delivery[[#This Row],[Valor Prêmio Nespresso BEN por saca (em US$)]]/1.3228/100</f>
        <v>1.3830386316903536</v>
      </c>
      <c r="AO705" s="204">
        <f>SUMIF(Allocation[Delivery ID],Delivery[[#This Row],[Delivery ID]],Allocation[Quantity allocated])*16*1.3228*Delivery[[#This Row],[Exchange rate VS USD]]/60</f>
        <v>147.75852373333333</v>
      </c>
      <c r="AP705" s="204">
        <f>Delivery[[#This Row],[AAA Premium (total)]]</f>
        <v>4084.9013333333332</v>
      </c>
      <c r="AQ705" s="204">
        <f>Delivery[[#This Row],[Valor pago pelo Cluster]]-Delivery[[#This Row],[Valor efetivamente pago pela Nespresso]]</f>
        <v>3937.1428096</v>
      </c>
    </row>
    <row r="706" spans="1:43" ht="15.75">
      <c r="A706" s="174" t="s">
        <v>69</v>
      </c>
      <c r="B706" s="232" t="s">
        <v>68</v>
      </c>
      <c r="C706" s="157">
        <v>1</v>
      </c>
      <c r="D706" s="157" t="s">
        <v>468</v>
      </c>
      <c r="E706" s="177" t="s">
        <v>468</v>
      </c>
      <c r="F706" s="233" t="s">
        <v>541</v>
      </c>
      <c r="G706" s="234">
        <v>42993</v>
      </c>
      <c r="H706" s="157" t="s">
        <v>864</v>
      </c>
      <c r="I706" s="157" t="s">
        <v>480</v>
      </c>
      <c r="J706" s="237">
        <v>20013</v>
      </c>
      <c r="K706" s="175" t="s">
        <v>61</v>
      </c>
      <c r="L706" s="175" t="s">
        <v>439</v>
      </c>
      <c r="M706" s="175" t="s">
        <v>1343</v>
      </c>
      <c r="N706" s="198"/>
      <c r="O706" s="199"/>
      <c r="P706" s="181">
        <v>0</v>
      </c>
      <c r="Q706" s="177">
        <v>42635</v>
      </c>
      <c r="R706" s="178">
        <v>581.15199999999993</v>
      </c>
      <c r="S706" s="179">
        <v>198249.84645320321</v>
      </c>
      <c r="T706" s="182" t="s">
        <v>45</v>
      </c>
      <c r="U706" s="183">
        <v>3.52</v>
      </c>
      <c r="V706" s="179">
        <v>8218.6720000000005</v>
      </c>
      <c r="W706" s="179">
        <v>2569.7267733983999</v>
      </c>
      <c r="X706" s="196" t="s">
        <v>45</v>
      </c>
      <c r="Y706" s="200">
        <v>3.52</v>
      </c>
      <c r="Z706" s="220" t="s">
        <v>473</v>
      </c>
      <c r="AA706" s="201">
        <f>Delivery[[#This Row],[Quantity delivered]]*VLOOKUP(Delivery[[#This Row],[Unit]],References!$U:$X,4,FALSE)*VLOOKUP(CONCATENATE(Delivery[[#This Row],[Coffee specie]],Delivery[[#This Row],[Coffee state]]),References!$U:$X,4,FALSE)</f>
        <v>20013</v>
      </c>
      <c r="AB706" s="202">
        <f>SUMIF(Allocation!C:C,Delivery[[#This Row],[Delivery ID]],Allocation!D:D)/Delivery[[#This Row],[Quantity delivered]]</f>
        <v>4.3771548493479237E-2</v>
      </c>
      <c r="AC706" s="203">
        <f>Delivery[[#This Row],[Quantity delivered]]*Delivery[[#This Row],[Base price (Unidad)]]/60</f>
        <v>193843.24959999995</v>
      </c>
      <c r="AD706" s="204">
        <f>Delivery[[#This Row],[Nespresso total]]-Delivery[[#This Row],[Qt. Delivery * Base Price]]</f>
        <v>4406.5968532032566</v>
      </c>
      <c r="AE706" s="204">
        <f>Delivery[[#This Row],[AAA Premium (total)]]/Delivery[[#This Row],[Quantity delivered]]*60/Delivery[[#This Row],[Exchange rate VS USD]]</f>
        <v>7</v>
      </c>
      <c r="AF706" s="204">
        <f>Delivery[[#This Row],[BEN premium (total)]]/Delivery[[#This Row],[Quantity delivered]]*60/Delivery[[#This Row],[Exchange rate for premiums VS USD]]</f>
        <v>2.1886854000000002</v>
      </c>
      <c r="AG706" s="204">
        <f>COUNTIF(Delivery[Delivery ID],Delivery[[#This Row],[Delivery ID]])</f>
        <v>1</v>
      </c>
      <c r="AH706" s="204">
        <f>(Delivery[[#This Row],[Nespresso total]]/SUMIF(Allocation!C:C,Delivery[Delivery ID],Allocation!H:H))/Delivery[[#This Row],[Exchange rate VS USD]]</f>
        <v>194.88228064368042</v>
      </c>
      <c r="AI706" s="204">
        <f>(Delivery[[#This Row],[AAA Premium (total)]]/SUMIF(Allocation!C:C,Delivery[Delivery ID],Allocation!H:H))/Delivery[[#This Row],[Exchange rate VS USD]]</f>
        <v>8.0790657439446374</v>
      </c>
      <c r="AJ706" s="204">
        <f>Delivery[[#This Row],[Valor Prêmio Nespresso AAA por Kg (em US$)]]*60</f>
        <v>484.74394463667824</v>
      </c>
      <c r="AK706" s="204">
        <f>Delivery[[#This Row],[Valor Prêmio Nespresso AAA por saca (em US$)]]/1.3228/100</f>
        <v>3.66452936677259</v>
      </c>
      <c r="AL706" s="204">
        <f>(Delivery[[#This Row],[BEN premium (total)]]/SUMIF(Allocation!C:C,Delivery[Delivery ID],Allocation!H:H))/Delivery[[#This Row],[Exchange rate for premiums VS USD]]</f>
        <v>2.5260761770588234</v>
      </c>
      <c r="AM706" s="204">
        <f>Delivery[[#This Row],[Valor Prêmio Nespresso BEN por Kg (em US$)]]*60</f>
        <v>151.56457062352939</v>
      </c>
      <c r="AN706" s="204">
        <f>Delivery[[#This Row],[Valor Prêmio Nespresso BEN por saca (em US$)]]/1.3228/100</f>
        <v>1.1457859889894875</v>
      </c>
      <c r="AO706" s="204">
        <f>SUMIF(Allocation[Delivery ID],Delivery[[#This Row],[Delivery ID]],Allocation[Quantity allocated])*16*1.3228*Delivery[[#This Row],[Exchange rate VS USD]]/60</f>
        <v>358.84212906666664</v>
      </c>
      <c r="AP706" s="204">
        <f>Delivery[[#This Row],[AAA Premium (total)]]</f>
        <v>8218.6720000000005</v>
      </c>
      <c r="AQ706" s="204">
        <f>Delivery[[#This Row],[Valor pago pelo Cluster]]-Delivery[[#This Row],[Valor efetivamente pago pela Nespresso]]</f>
        <v>7859.829870933334</v>
      </c>
    </row>
    <row r="707" spans="1:43" ht="15.75">
      <c r="A707" s="174" t="s">
        <v>69</v>
      </c>
      <c r="B707" s="232" t="s">
        <v>68</v>
      </c>
      <c r="C707" s="157">
        <v>1</v>
      </c>
      <c r="D707" s="157" t="s">
        <v>468</v>
      </c>
      <c r="E707" s="177" t="s">
        <v>468</v>
      </c>
      <c r="F707" s="233" t="s">
        <v>541</v>
      </c>
      <c r="G707" s="234">
        <v>42993</v>
      </c>
      <c r="H707" s="157" t="s">
        <v>865</v>
      </c>
      <c r="I707" s="157" t="s">
        <v>480</v>
      </c>
      <c r="J707" s="237">
        <v>19523</v>
      </c>
      <c r="K707" s="175" t="s">
        <v>61</v>
      </c>
      <c r="L707" s="175" t="s">
        <v>439</v>
      </c>
      <c r="M707" s="175" t="s">
        <v>1343</v>
      </c>
      <c r="N707" s="198"/>
      <c r="O707" s="199"/>
      <c r="P707" s="181">
        <v>0</v>
      </c>
      <c r="Q707" s="177">
        <v>42635</v>
      </c>
      <c r="R707" s="178">
        <v>581.15199999999993</v>
      </c>
      <c r="S707" s="179">
        <v>193154.59277246718</v>
      </c>
      <c r="T707" s="182" t="s">
        <v>45</v>
      </c>
      <c r="U707" s="183">
        <v>3.52</v>
      </c>
      <c r="V707" s="179">
        <v>8017.445333333334</v>
      </c>
      <c r="W707" s="179">
        <v>2506.8093637663997</v>
      </c>
      <c r="X707" s="196" t="s">
        <v>45</v>
      </c>
      <c r="Y707" s="200">
        <v>3.52</v>
      </c>
      <c r="Z707" s="220" t="s">
        <v>473</v>
      </c>
      <c r="AA707" s="201">
        <f>Delivery[[#This Row],[Quantity delivered]]*VLOOKUP(Delivery[[#This Row],[Unit]],References!$U:$X,4,FALSE)*VLOOKUP(CONCATENATE(Delivery[[#This Row],[Coffee specie]],Delivery[[#This Row],[Coffee state]]),References!$U:$X,4,FALSE)</f>
        <v>19523</v>
      </c>
      <c r="AB707" s="202">
        <f>SUMIF(Allocation!C:C,Delivery[[#This Row],[Delivery ID]],Allocation!D:D)/Delivery[[#This Row],[Quantity delivered]]</f>
        <v>6.1465963222865336E-2</v>
      </c>
      <c r="AC707" s="203">
        <f>Delivery[[#This Row],[Quantity delivered]]*Delivery[[#This Row],[Base price (Unidad)]]/60</f>
        <v>189097.17493333333</v>
      </c>
      <c r="AD707" s="204">
        <f>Delivery[[#This Row],[Nespresso total]]-Delivery[[#This Row],[Qt. Delivery * Base Price]]</f>
        <v>4057.4178391338501</v>
      </c>
      <c r="AE707" s="204">
        <f>Delivery[[#This Row],[AAA Premium (total)]]/Delivery[[#This Row],[Quantity delivered]]*60/Delivery[[#This Row],[Exchange rate VS USD]]</f>
        <v>7</v>
      </c>
      <c r="AF707" s="204">
        <f>Delivery[[#This Row],[BEN premium (total)]]/Delivery[[#This Row],[Quantity delivered]]*60/Delivery[[#This Row],[Exchange rate for premiums VS USD]]</f>
        <v>2.1886853999999998</v>
      </c>
      <c r="AG707" s="204">
        <f>COUNTIF(Delivery[Delivery ID],Delivery[[#This Row],[Delivery ID]])</f>
        <v>1</v>
      </c>
      <c r="AH707" s="204">
        <f>(Delivery[[#This Row],[Nespresso total]]/SUMIF(Allocation!C:C,Delivery[Delivery ID],Allocation!H:H))/Delivery[[#This Row],[Exchange rate VS USD]]</f>
        <v>138.56935317124882</v>
      </c>
      <c r="AI707" s="204">
        <f>(Delivery[[#This Row],[AAA Premium (total)]]/SUMIF(Allocation!C:C,Delivery[Delivery ID],Allocation!H:H))/Delivery[[#This Row],[Exchange rate VS USD]]</f>
        <v>5.7517255892255896</v>
      </c>
      <c r="AJ707" s="204">
        <f>Delivery[[#This Row],[Valor Prêmio Nespresso AAA por Kg (em US$)]]*60</f>
        <v>345.10353535353539</v>
      </c>
      <c r="AK707" s="204">
        <f>Delivery[[#This Row],[Valor Prêmio Nespresso AAA por saca (em US$)]]/1.3228/100</f>
        <v>2.608886720241423</v>
      </c>
      <c r="AL707" s="204">
        <f>(Delivery[[#This Row],[BEN premium (total)]]/SUMIF(Allocation!C:C,Delivery[Delivery ID],Allocation!H:H))/Delivery[[#This Row],[Exchange rate for premiums VS USD]]</f>
        <v>1.7983882602777777</v>
      </c>
      <c r="AM707" s="204">
        <f>Delivery[[#This Row],[Valor Prêmio Nespresso BEN por Kg (em US$)]]*60</f>
        <v>107.90329561666665</v>
      </c>
      <c r="AN707" s="204">
        <f>Delivery[[#This Row],[Valor Prêmio Nespresso BEN por saca (em US$)]]/1.3228/100</f>
        <v>0.8157188964066121</v>
      </c>
      <c r="AO707" s="204">
        <f>SUMIF(Allocation[Delivery ID],Delivery[[#This Row],[Delivery ID]],Allocation[Quantity allocated])*16*1.3228*Delivery[[#This Row],[Exchange rate VS USD]]/60</f>
        <v>491.7006336</v>
      </c>
      <c r="AP707" s="204">
        <f>Delivery[[#This Row],[AAA Premium (total)]]</f>
        <v>8017.445333333334</v>
      </c>
      <c r="AQ707" s="204">
        <f>Delivery[[#This Row],[Valor pago pelo Cluster]]-Delivery[[#This Row],[Valor efetivamente pago pela Nespresso]]</f>
        <v>7525.7446997333336</v>
      </c>
    </row>
    <row r="708" spans="1:43" ht="15.75">
      <c r="A708" s="174" t="s">
        <v>69</v>
      </c>
      <c r="B708" s="232" t="s">
        <v>68</v>
      </c>
      <c r="C708" s="157">
        <v>1</v>
      </c>
      <c r="D708" s="157" t="s">
        <v>468</v>
      </c>
      <c r="E708" s="177" t="s">
        <v>468</v>
      </c>
      <c r="F708" s="233" t="s">
        <v>541</v>
      </c>
      <c r="G708" s="234">
        <v>42993</v>
      </c>
      <c r="H708" s="157" t="s">
        <v>866</v>
      </c>
      <c r="I708" s="157" t="s">
        <v>480</v>
      </c>
      <c r="J708" s="237">
        <v>10420</v>
      </c>
      <c r="K708" s="175" t="s">
        <v>61</v>
      </c>
      <c r="L708" s="175" t="s">
        <v>439</v>
      </c>
      <c r="M708" s="175" t="s">
        <v>1343</v>
      </c>
      <c r="N708" s="198"/>
      <c r="O708" s="199"/>
      <c r="P708" s="181">
        <v>0</v>
      </c>
      <c r="Q708" s="177">
        <v>42635</v>
      </c>
      <c r="R708" s="178">
        <v>581.15199999999993</v>
      </c>
      <c r="S708" s="179">
        <v>103092.29404748799</v>
      </c>
      <c r="T708" s="182" t="s">
        <v>45</v>
      </c>
      <c r="U708" s="183">
        <v>3.52</v>
      </c>
      <c r="V708" s="179">
        <v>4279.1466666666665</v>
      </c>
      <c r="W708" s="179">
        <v>1337.9579762559999</v>
      </c>
      <c r="X708" s="196" t="s">
        <v>45</v>
      </c>
      <c r="Y708" s="200">
        <v>3.52</v>
      </c>
      <c r="Z708" s="220" t="s">
        <v>473</v>
      </c>
      <c r="AA708" s="201">
        <f>Delivery[[#This Row],[Quantity delivered]]*VLOOKUP(Delivery[[#This Row],[Unit]],References!$U:$X,4,FALSE)*VLOOKUP(CONCATENATE(Delivery[[#This Row],[Coffee specie]],Delivery[[#This Row],[Coffee state]]),References!$U:$X,4,FALSE)</f>
        <v>10420</v>
      </c>
      <c r="AB708" s="202">
        <f>SUMIF(Allocation!C:C,Delivery[[#This Row],[Delivery ID]],Allocation!D:D)/Delivery[[#This Row],[Quantity delivered]]</f>
        <v>6.1324376199616122E-2</v>
      </c>
      <c r="AC708" s="203">
        <f>Delivery[[#This Row],[Quantity delivered]]*Delivery[[#This Row],[Base price (Unidad)]]/60</f>
        <v>100926.73066666666</v>
      </c>
      <c r="AD708" s="204">
        <f>Delivery[[#This Row],[Nespresso total]]-Delivery[[#This Row],[Qt. Delivery * Base Price]]</f>
        <v>2165.5633808213315</v>
      </c>
      <c r="AE708" s="204">
        <f>Delivery[[#This Row],[AAA Premium (total)]]/Delivery[[#This Row],[Quantity delivered]]*60/Delivery[[#This Row],[Exchange rate VS USD]]</f>
        <v>7</v>
      </c>
      <c r="AF708" s="204">
        <f>Delivery[[#This Row],[BEN premium (total)]]/Delivery[[#This Row],[Quantity delivered]]*60/Delivery[[#This Row],[Exchange rate for premiums VS USD]]</f>
        <v>2.1886853999999998</v>
      </c>
      <c r="AG708" s="204">
        <f>COUNTIF(Delivery[Delivery ID],Delivery[[#This Row],[Delivery ID]])</f>
        <v>1</v>
      </c>
      <c r="AH708" s="204">
        <f>(Delivery[[#This Row],[Nespresso total]]/SUMIF(Allocation!C:C,Delivery[Delivery ID],Allocation!H:H))/Delivery[[#This Row],[Exchange rate VS USD]]</f>
        <v>138.8037134417923</v>
      </c>
      <c r="AI708" s="204">
        <f>(Delivery[[#This Row],[AAA Premium (total)]]/SUMIF(Allocation!C:C,Delivery[Delivery ID],Allocation!H:H))/Delivery[[#This Row],[Exchange rate VS USD]]</f>
        <v>5.7614533965244865</v>
      </c>
      <c r="AJ708" s="204">
        <f>Delivery[[#This Row],[Valor Prêmio Nespresso AAA por Kg (em US$)]]*60</f>
        <v>345.68720379146919</v>
      </c>
      <c r="AK708" s="204">
        <f>Delivery[[#This Row],[Valor Prêmio Nespresso AAA por saca (em US$)]]/1.3228/100</f>
        <v>2.6132990912569487</v>
      </c>
      <c r="AL708" s="204">
        <f>(Delivery[[#This Row],[BEN premium (total)]]/SUMIF(Allocation!C:C,Delivery[Delivery ID],Allocation!H:H))/Delivery[[#This Row],[Exchange rate for premiums VS USD]]</f>
        <v>1.801429847393365</v>
      </c>
      <c r="AM708" s="204">
        <f>Delivery[[#This Row],[Valor Prêmio Nespresso BEN por Kg (em US$)]]*60</f>
        <v>108.0857908436019</v>
      </c>
      <c r="AN708" s="204">
        <f>Delivery[[#This Row],[Valor Prêmio Nespresso BEN por saca (em US$)]]/1.3228/100</f>
        <v>0.81709850955247887</v>
      </c>
      <c r="AO708" s="204">
        <f>SUMIF(Allocation[Delivery ID],Delivery[[#This Row],[Delivery ID]],Allocation[Quantity allocated])*16*1.3228*Delivery[[#This Row],[Exchange rate VS USD]]/60</f>
        <v>261.99200426666664</v>
      </c>
      <c r="AP708" s="204">
        <f>Delivery[[#This Row],[AAA Premium (total)]]</f>
        <v>4279.1466666666665</v>
      </c>
      <c r="AQ708" s="204">
        <f>Delivery[[#This Row],[Valor pago pelo Cluster]]-Delivery[[#This Row],[Valor efetivamente pago pela Nespresso]]</f>
        <v>4017.1546623999998</v>
      </c>
    </row>
    <row r="709" spans="1:43" ht="15.75">
      <c r="A709" s="174" t="s">
        <v>69</v>
      </c>
      <c r="B709" s="232" t="s">
        <v>68</v>
      </c>
      <c r="C709" s="157">
        <v>1</v>
      </c>
      <c r="D709" s="157" t="s">
        <v>468</v>
      </c>
      <c r="E709" s="177" t="s">
        <v>468</v>
      </c>
      <c r="F709" s="233" t="s">
        <v>541</v>
      </c>
      <c r="G709" s="234">
        <v>42993</v>
      </c>
      <c r="H709" s="157" t="s">
        <v>867</v>
      </c>
      <c r="I709" s="157" t="s">
        <v>480</v>
      </c>
      <c r="J709" s="237">
        <v>31136</v>
      </c>
      <c r="K709" s="175" t="s">
        <v>61</v>
      </c>
      <c r="L709" s="175" t="s">
        <v>439</v>
      </c>
      <c r="M709" s="175" t="s">
        <v>1343</v>
      </c>
      <c r="N709" s="198"/>
      <c r="O709" s="199"/>
      <c r="P709" s="181">
        <v>0</v>
      </c>
      <c r="Q709" s="177">
        <v>42667</v>
      </c>
      <c r="R709" s="178">
        <v>576.64</v>
      </c>
      <c r="S709" s="179">
        <v>301256.33935487998</v>
      </c>
      <c r="T709" s="182" t="s">
        <v>45</v>
      </c>
      <c r="U709" s="183">
        <v>3.4</v>
      </c>
      <c r="V709" s="179">
        <v>12350.613333333333</v>
      </c>
      <c r="W709" s="179">
        <v>3510.5983225599998</v>
      </c>
      <c r="X709" s="196" t="s">
        <v>45</v>
      </c>
      <c r="Y709" s="200">
        <v>3.4</v>
      </c>
      <c r="Z709" s="220" t="s">
        <v>473</v>
      </c>
      <c r="AA709" s="201">
        <f>Delivery[[#This Row],[Quantity delivered]]*VLOOKUP(Delivery[[#This Row],[Unit]],References!$U:$X,4,FALSE)*VLOOKUP(CONCATENATE(Delivery[[#This Row],[Coffee specie]],Delivery[[#This Row],[Coffee state]]),References!$U:$X,4,FALSE)</f>
        <v>31136</v>
      </c>
      <c r="AB709" s="202">
        <f>SUMIF(Allocation!C:C,Delivery[[#This Row],[Delivery ID]],Allocation!D:D)/Delivery[[#This Row],[Quantity delivered]]</f>
        <v>4.7533401849948614E-2</v>
      </c>
      <c r="AC709" s="203">
        <f>Delivery[[#This Row],[Quantity delivered]]*Delivery[[#This Row],[Base price (Unidad)]]/60</f>
        <v>299237.71733333333</v>
      </c>
      <c r="AD709" s="204">
        <f>Delivery[[#This Row],[Nespresso total]]-Delivery[[#This Row],[Qt. Delivery * Base Price]]</f>
        <v>2018.6220215466456</v>
      </c>
      <c r="AE709" s="204">
        <f>Delivery[[#This Row],[AAA Premium (total)]]/Delivery[[#This Row],[Quantity delivered]]*60/Delivery[[#This Row],[Exchange rate VS USD]]</f>
        <v>7</v>
      </c>
      <c r="AF709" s="204">
        <f>Delivery[[#This Row],[BEN premium (total)]]/Delivery[[#This Row],[Quantity delivered]]*60/Delivery[[#This Row],[Exchange rate for premiums VS USD]]</f>
        <v>1.989714</v>
      </c>
      <c r="AG709" s="204">
        <f>COUNTIF(Delivery[Delivery ID],Delivery[[#This Row],[Delivery ID]])</f>
        <v>1</v>
      </c>
      <c r="AH709" s="204">
        <f>(Delivery[[#This Row],[Nespresso total]]/SUMIF(Allocation!C:C,Delivery[Delivery ID],Allocation!H:H))/Delivery[[#This Row],[Exchange rate VS USD]]</f>
        <v>199.56037318155802</v>
      </c>
      <c r="AI709" s="204">
        <f>(Delivery[[#This Row],[AAA Premium (total)]]/SUMIF(Allocation!C:C,Delivery[Delivery ID],Allocation!H:H))/Delivery[[#This Row],[Exchange rate VS USD]]</f>
        <v>8.1813813813813816</v>
      </c>
      <c r="AJ709" s="204">
        <f>Delivery[[#This Row],[Valor Prêmio Nespresso AAA por Kg (em US$)]]*60</f>
        <v>490.88288288288288</v>
      </c>
      <c r="AK709" s="204">
        <f>Delivery[[#This Row],[Valor Prêmio Nespresso AAA por saca (em US$)]]/1.3228/100</f>
        <v>3.7109380320750143</v>
      </c>
      <c r="AL709" s="204">
        <f>(Delivery[[#This Row],[BEN premium (total)]]/SUMIF(Allocation!C:C,Delivery[Delivery ID],Allocation!H:H))/Delivery[[#This Row],[Exchange rate for premiums VS USD]]</f>
        <v>2.3255155819819819</v>
      </c>
      <c r="AM709" s="204">
        <f>Delivery[[#This Row],[Valor Prêmio Nespresso BEN por Kg (em US$)]]*60</f>
        <v>139.53093491891892</v>
      </c>
      <c r="AN709" s="204">
        <f>Delivery[[#This Row],[Valor Prêmio Nespresso BEN por saca (em US$)]]/1.3228/100</f>
        <v>1.0548150507931577</v>
      </c>
      <c r="AO709" s="204">
        <f>SUMIF(Allocation[Delivery ID],Delivery[[#This Row],[Delivery ID]],Allocation[Quantity allocated])*16*1.3228*Delivery[[#This Row],[Exchange rate VS USD]]/60</f>
        <v>532.50636800000007</v>
      </c>
      <c r="AP709" s="204">
        <f>Delivery[[#This Row],[AAA Premium (total)]]</f>
        <v>12350.613333333333</v>
      </c>
      <c r="AQ709" s="204">
        <f>Delivery[[#This Row],[Valor pago pelo Cluster]]-Delivery[[#This Row],[Valor efetivamente pago pela Nespresso]]</f>
        <v>11818.106965333332</v>
      </c>
    </row>
    <row r="710" spans="1:43" ht="15.75">
      <c r="A710" s="174" t="s">
        <v>69</v>
      </c>
      <c r="B710" s="232" t="s">
        <v>68</v>
      </c>
      <c r="C710" s="157">
        <v>1</v>
      </c>
      <c r="D710" s="157" t="s">
        <v>468</v>
      </c>
      <c r="E710" s="177" t="s">
        <v>468</v>
      </c>
      <c r="F710" s="233" t="s">
        <v>541</v>
      </c>
      <c r="G710" s="234">
        <v>42994</v>
      </c>
      <c r="H710" s="157" t="s">
        <v>868</v>
      </c>
      <c r="I710" s="157" t="s">
        <v>480</v>
      </c>
      <c r="J710" s="237">
        <v>11816</v>
      </c>
      <c r="K710" s="175" t="s">
        <v>61</v>
      </c>
      <c r="L710" s="175" t="s">
        <v>439</v>
      </c>
      <c r="M710" s="175" t="s">
        <v>1343</v>
      </c>
      <c r="N710" s="198"/>
      <c r="O710" s="199"/>
      <c r="P710" s="181">
        <v>0</v>
      </c>
      <c r="Q710" s="177">
        <v>42635</v>
      </c>
      <c r="R710" s="178">
        <v>581.15199999999993</v>
      </c>
      <c r="S710" s="179">
        <v>116928.7332154624</v>
      </c>
      <c r="T710" s="182" t="s">
        <v>45</v>
      </c>
      <c r="U710" s="183">
        <v>3.52</v>
      </c>
      <c r="V710" s="179">
        <v>4852.4373333333333</v>
      </c>
      <c r="W710" s="179">
        <v>1517.2083922688</v>
      </c>
      <c r="X710" s="196" t="s">
        <v>45</v>
      </c>
      <c r="Y710" s="200">
        <v>3.52</v>
      </c>
      <c r="Z710" s="220" t="s">
        <v>473</v>
      </c>
      <c r="AA710" s="201">
        <f>Delivery[[#This Row],[Quantity delivered]]*VLOOKUP(Delivery[[#This Row],[Unit]],References!$U:$X,4,FALSE)*VLOOKUP(CONCATENATE(Delivery[[#This Row],[Coffee specie]],Delivery[[#This Row],[Coffee state]]),References!$U:$X,4,FALSE)</f>
        <v>11816</v>
      </c>
      <c r="AB710" s="202">
        <f>SUMIF(Allocation!C:C,Delivery[[#This Row],[Delivery ID]],Allocation!D:D)/Delivery[[#This Row],[Quantity delivered]]</f>
        <v>4.3584969532836831E-2</v>
      </c>
      <c r="AC710" s="203">
        <f>Delivery[[#This Row],[Quantity delivered]]*Delivery[[#This Row],[Base price (Unidad)]]/60</f>
        <v>114448.20053333331</v>
      </c>
      <c r="AD710" s="204">
        <f>Delivery[[#This Row],[Nespresso total]]-Delivery[[#This Row],[Qt. Delivery * Base Price]]</f>
        <v>2480.5326821290946</v>
      </c>
      <c r="AE710" s="204">
        <f>Delivery[[#This Row],[AAA Premium (total)]]/Delivery[[#This Row],[Quantity delivered]]*60/Delivery[[#This Row],[Exchange rate VS USD]]</f>
        <v>7</v>
      </c>
      <c r="AF710" s="204">
        <f>Delivery[[#This Row],[BEN premium (total)]]/Delivery[[#This Row],[Quantity delivered]]*60/Delivery[[#This Row],[Exchange rate for premiums VS USD]]</f>
        <v>2.1886854000000002</v>
      </c>
      <c r="AG710" s="204">
        <f>COUNTIF(Delivery[Delivery ID],Delivery[[#This Row],[Delivery ID]])</f>
        <v>1</v>
      </c>
      <c r="AH710" s="204">
        <f>(Delivery[[#This Row],[Nespresso total]]/SUMIF(Allocation!C:C,Delivery[Delivery ID],Allocation!H:H))/Delivery[[#This Row],[Exchange rate VS USD]]</f>
        <v>195.40229481193583</v>
      </c>
      <c r="AI710" s="204">
        <f>(Delivery[[#This Row],[AAA Premium (total)]]/SUMIF(Allocation!C:C,Delivery[Delivery ID],Allocation!H:H))/Delivery[[#This Row],[Exchange rate VS USD]]</f>
        <v>8.1090196078431376</v>
      </c>
      <c r="AJ710" s="204">
        <f>Delivery[[#This Row],[Valor Prêmio Nespresso AAA por Kg (em US$)]]*60</f>
        <v>486.54117647058825</v>
      </c>
      <c r="AK710" s="204">
        <f>Delivery[[#This Row],[Valor Prêmio Nespresso AAA por saca (em US$)]]/1.3228/100</f>
        <v>3.6781159394510756</v>
      </c>
      <c r="AL710" s="204">
        <f>(Delivery[[#This Row],[BEN premium (total)]]/SUMIF(Allocation!C:C,Delivery[Delivery ID],Allocation!H:H))/Delivery[[#This Row],[Exchange rate for premiums VS USD]]</f>
        <v>2.5354418320000001</v>
      </c>
      <c r="AM710" s="204">
        <f>Delivery[[#This Row],[Valor Prêmio Nespresso BEN por Kg (em US$)]]*60</f>
        <v>152.12650991999999</v>
      </c>
      <c r="AN710" s="204">
        <f>Delivery[[#This Row],[Valor Prêmio Nespresso BEN por saca (em US$)]]/1.3228/100</f>
        <v>1.1500340937405502</v>
      </c>
      <c r="AO710" s="204">
        <f>SUMIF(Allocation[Delivery ID],Delivery[[#This Row],[Delivery ID]],Allocation[Quantity allocated])*16*1.3228*Delivery[[#This Row],[Exchange rate VS USD]]/60</f>
        <v>211.08360533333334</v>
      </c>
      <c r="AP710" s="204">
        <f>Delivery[[#This Row],[AAA Premium (total)]]</f>
        <v>4852.4373333333333</v>
      </c>
      <c r="AQ710" s="204">
        <f>Delivery[[#This Row],[Valor pago pelo Cluster]]-Delivery[[#This Row],[Valor efetivamente pago pela Nespresso]]</f>
        <v>4641.353728</v>
      </c>
    </row>
    <row r="711" spans="1:43" ht="15.75">
      <c r="A711" s="174" t="s">
        <v>69</v>
      </c>
      <c r="B711" s="232" t="s">
        <v>68</v>
      </c>
      <c r="C711" s="157">
        <v>1</v>
      </c>
      <c r="D711" s="157" t="s">
        <v>468</v>
      </c>
      <c r="E711" s="177" t="s">
        <v>468</v>
      </c>
      <c r="F711" s="233" t="s">
        <v>541</v>
      </c>
      <c r="G711" s="234">
        <v>42994</v>
      </c>
      <c r="H711" s="157" t="s">
        <v>869</v>
      </c>
      <c r="I711" s="157" t="s">
        <v>480</v>
      </c>
      <c r="J711" s="237">
        <v>18174</v>
      </c>
      <c r="K711" s="175" t="s">
        <v>61</v>
      </c>
      <c r="L711" s="175" t="s">
        <v>439</v>
      </c>
      <c r="M711" s="175" t="s">
        <v>1343</v>
      </c>
      <c r="N711" s="198"/>
      <c r="O711" s="199"/>
      <c r="P711" s="181">
        <v>0</v>
      </c>
      <c r="Q711" s="177">
        <v>42635</v>
      </c>
      <c r="R711" s="178">
        <v>581.15199999999993</v>
      </c>
      <c r="S711" s="179">
        <v>179844.66223407359</v>
      </c>
      <c r="T711" s="182" t="s">
        <v>45</v>
      </c>
      <c r="U711" s="183">
        <v>3.52</v>
      </c>
      <c r="V711" s="179">
        <v>7463.4560000000001</v>
      </c>
      <c r="W711" s="179">
        <v>2333.5938829632</v>
      </c>
      <c r="X711" s="196" t="s">
        <v>45</v>
      </c>
      <c r="Y711" s="200">
        <v>3.52</v>
      </c>
      <c r="Z711" s="220" t="s">
        <v>473</v>
      </c>
      <c r="AA711" s="201">
        <f>Delivery[[#This Row],[Quantity delivered]]*VLOOKUP(Delivery[[#This Row],[Unit]],References!$U:$X,4,FALSE)*VLOOKUP(CONCATENATE(Delivery[[#This Row],[Coffee specie]],Delivery[[#This Row],[Coffee state]]),References!$U:$X,4,FALSE)</f>
        <v>18174</v>
      </c>
      <c r="AB711" s="202">
        <f>SUMIF(Allocation!C:C,Delivery[[#This Row],[Delivery ID]],Allocation!D:D)/Delivery[[#This Row],[Quantity delivered]]</f>
        <v>4.3688786178056563E-2</v>
      </c>
      <c r="AC711" s="203">
        <f>Delivery[[#This Row],[Quantity delivered]]*Delivery[[#This Row],[Base price (Unidad)]]/60</f>
        <v>176030.94079999998</v>
      </c>
      <c r="AD711" s="204">
        <f>Delivery[[#This Row],[Nespresso total]]-Delivery[[#This Row],[Qt. Delivery * Base Price]]</f>
        <v>3813.72143407361</v>
      </c>
      <c r="AE711" s="204">
        <f>Delivery[[#This Row],[AAA Premium (total)]]/Delivery[[#This Row],[Quantity delivered]]*60/Delivery[[#This Row],[Exchange rate VS USD]]</f>
        <v>7</v>
      </c>
      <c r="AF711" s="204">
        <f>Delivery[[#This Row],[BEN premium (total)]]/Delivery[[#This Row],[Quantity delivered]]*60/Delivery[[#This Row],[Exchange rate for premiums VS USD]]</f>
        <v>2.1886854000000002</v>
      </c>
      <c r="AG711" s="204">
        <f>COUNTIF(Delivery[Delivery ID],Delivery[[#This Row],[Delivery ID]])</f>
        <v>1</v>
      </c>
      <c r="AH711" s="204">
        <f>(Delivery[[#This Row],[Nespresso total]]/SUMIF(Allocation!C:C,Delivery[Delivery ID],Allocation!H:H))/Delivery[[#This Row],[Exchange rate VS USD]]</f>
        <v>195.00852514971547</v>
      </c>
      <c r="AI711" s="204">
        <f>(Delivery[[#This Row],[AAA Premium (total)]]/SUMIF(Allocation!C:C,Delivery[Delivery ID],Allocation!H:H))/Delivery[[#This Row],[Exchange rate VS USD]]</f>
        <v>8.0927480916030543</v>
      </c>
      <c r="AJ711" s="204">
        <f>Delivery[[#This Row],[Valor Prêmio Nespresso AAA por Kg (em US$)]]*60</f>
        <v>485.56488549618325</v>
      </c>
      <c r="AK711" s="204">
        <f>Delivery[[#This Row],[Valor Prêmio Nespresso AAA por saca (em US$)]]/1.3228/100</f>
        <v>3.670735451286538</v>
      </c>
      <c r="AL711" s="204">
        <f>(Delivery[[#This Row],[BEN premium (total)]]/SUMIF(Allocation!C:C,Delivery[Delivery ID],Allocation!H:H))/Delivery[[#This Row],[Exchange rate for premiums VS USD]]</f>
        <v>2.5303542277099234</v>
      </c>
      <c r="AM711" s="204">
        <f>Delivery[[#This Row],[Valor Prêmio Nespresso BEN por Kg (em US$)]]*60</f>
        <v>151.82125366259541</v>
      </c>
      <c r="AN711" s="204">
        <f>Delivery[[#This Row],[Valor Prêmio Nespresso BEN por saca (em US$)]]/1.3228/100</f>
        <v>1.1477264413561794</v>
      </c>
      <c r="AO711" s="204">
        <f>SUMIF(Allocation[Delivery ID],Delivery[[#This Row],[Delivery ID]],Allocation[Quantity allocated])*16*1.3228*Delivery[[#This Row],[Exchange rate VS USD]]/60</f>
        <v>325.31708586666662</v>
      </c>
      <c r="AP711" s="204">
        <f>Delivery[[#This Row],[AAA Premium (total)]]</f>
        <v>7463.4560000000001</v>
      </c>
      <c r="AQ711" s="204">
        <f>Delivery[[#This Row],[Valor pago pelo Cluster]]-Delivery[[#This Row],[Valor efetivamente pago pela Nespresso]]</f>
        <v>7138.1389141333339</v>
      </c>
    </row>
    <row r="712" spans="1:43" ht="15.75">
      <c r="A712" s="174" t="s">
        <v>69</v>
      </c>
      <c r="B712" s="232" t="s">
        <v>68</v>
      </c>
      <c r="C712" s="157">
        <v>1</v>
      </c>
      <c r="D712" s="157" t="s">
        <v>468</v>
      </c>
      <c r="E712" s="177" t="s">
        <v>468</v>
      </c>
      <c r="F712" s="233" t="s">
        <v>541</v>
      </c>
      <c r="G712" s="234">
        <v>42994</v>
      </c>
      <c r="H712" s="157" t="s">
        <v>870</v>
      </c>
      <c r="I712" s="157" t="s">
        <v>480</v>
      </c>
      <c r="J712" s="237">
        <v>10085</v>
      </c>
      <c r="K712" s="175" t="s">
        <v>61</v>
      </c>
      <c r="L712" s="175" t="s">
        <v>439</v>
      </c>
      <c r="M712" s="175" t="s">
        <v>1343</v>
      </c>
      <c r="N712" s="198"/>
      <c r="O712" s="199"/>
      <c r="P712" s="181">
        <v>0</v>
      </c>
      <c r="Q712" s="177">
        <v>42635</v>
      </c>
      <c r="R712" s="178">
        <v>581.15199999999993</v>
      </c>
      <c r="S712" s="179">
        <v>100322.66397494399</v>
      </c>
      <c r="T712" s="182" t="s">
        <v>45</v>
      </c>
      <c r="U712" s="183">
        <v>3.52</v>
      </c>
      <c r="V712" s="179">
        <v>4141.5733333333337</v>
      </c>
      <c r="W712" s="179">
        <v>1294.9430125280001</v>
      </c>
      <c r="X712" s="196" t="s">
        <v>45</v>
      </c>
      <c r="Y712" s="200">
        <v>3.52</v>
      </c>
      <c r="Z712" s="220" t="s">
        <v>473</v>
      </c>
      <c r="AA712" s="201">
        <f>Delivery[[#This Row],[Quantity delivered]]*VLOOKUP(Delivery[[#This Row],[Unit]],References!$U:$X,4,FALSE)*VLOOKUP(CONCATENATE(Delivery[[#This Row],[Coffee specie]],Delivery[[#This Row],[Coffee state]]),References!$U:$X,4,FALSE)</f>
        <v>10085</v>
      </c>
      <c r="AB712" s="202">
        <f>SUMIF(Allocation!C:C,Delivery[[#This Row],[Delivery ID]],Allocation!D:D)/Delivery[[#This Row],[Quantity delivered]]</f>
        <v>3.5795736241943481E-2</v>
      </c>
      <c r="AC712" s="203">
        <f>Delivery[[#This Row],[Quantity delivered]]*Delivery[[#This Row],[Base price (Unidad)]]/60</f>
        <v>97681.965333333312</v>
      </c>
      <c r="AD712" s="204">
        <f>Delivery[[#This Row],[Nespresso total]]-Delivery[[#This Row],[Qt. Delivery * Base Price]]</f>
        <v>2640.6986416106811</v>
      </c>
      <c r="AE712" s="204">
        <f>Delivery[[#This Row],[AAA Premium (total)]]/Delivery[[#This Row],[Quantity delivered]]*60/Delivery[[#This Row],[Exchange rate VS USD]]</f>
        <v>7</v>
      </c>
      <c r="AF712" s="204">
        <f>Delivery[[#This Row],[BEN premium (total)]]/Delivery[[#This Row],[Quantity delivered]]*60/Delivery[[#This Row],[Exchange rate for premiums VS USD]]</f>
        <v>2.1886854000000002</v>
      </c>
      <c r="AG712" s="204">
        <f>COUNTIF(Delivery[Delivery ID],Delivery[[#This Row],[Delivery ID]])</f>
        <v>1</v>
      </c>
      <c r="AH712" s="204">
        <f>(Delivery[[#This Row],[Nespresso total]]/SUMIF(Allocation!C:C,Delivery[Delivery ID],Allocation!H:H))/Delivery[[#This Row],[Exchange rate VS USD]]</f>
        <v>239.50215807616499</v>
      </c>
      <c r="AI712" s="204">
        <f>(Delivery[[#This Row],[AAA Premium (total)]]/SUMIF(Allocation!C:C,Delivery[Delivery ID],Allocation!H:H))/Delivery[[#This Row],[Exchange rate VS USD]]</f>
        <v>9.8872549019607838</v>
      </c>
      <c r="AJ712" s="204">
        <f>Delivery[[#This Row],[Valor Prêmio Nespresso AAA por Kg (em US$)]]*60</f>
        <v>593.23529411764707</v>
      </c>
      <c r="AK712" s="204">
        <f>Delivery[[#This Row],[Valor Prêmio Nespresso AAA por saca (em US$)]]/1.3228/100</f>
        <v>4.4846937867980579</v>
      </c>
      <c r="AL712" s="204">
        <f>(Delivery[[#This Row],[BEN premium (total)]]/SUMIF(Allocation!C:C,Delivery[Delivery ID],Allocation!H:H))/Delivery[[#This Row],[Exchange rate for premiums VS USD]]</f>
        <v>3.0914414928571428</v>
      </c>
      <c r="AM712" s="204">
        <f>Delivery[[#This Row],[Valor Prêmio Nespresso BEN por Kg (em US$)]]*60</f>
        <v>185.48648957142856</v>
      </c>
      <c r="AN712" s="204">
        <f>Delivery[[#This Row],[Valor Prêmio Nespresso BEN por saca (em US$)]]/1.3228/100</f>
        <v>1.4022262592336603</v>
      </c>
      <c r="AO712" s="204">
        <f>SUMIF(Allocation[Delivery ID],Delivery[[#This Row],[Delivery ID]],Allocation[Quantity allocated])*16*1.3228*Delivery[[#This Row],[Exchange rate VS USD]]/60</f>
        <v>147.75852373333333</v>
      </c>
      <c r="AP712" s="204">
        <f>Delivery[[#This Row],[AAA Premium (total)]]</f>
        <v>4141.5733333333337</v>
      </c>
      <c r="AQ712" s="204">
        <f>Delivery[[#This Row],[Valor pago pelo Cluster]]-Delivery[[#This Row],[Valor efetivamente pago pela Nespresso]]</f>
        <v>3993.8148096000004</v>
      </c>
    </row>
    <row r="713" spans="1:43" ht="15.75">
      <c r="A713" s="174" t="s">
        <v>69</v>
      </c>
      <c r="B713" s="232" t="s">
        <v>68</v>
      </c>
      <c r="C713" s="157">
        <v>1</v>
      </c>
      <c r="D713" s="157" t="s">
        <v>468</v>
      </c>
      <c r="E713" s="177" t="s">
        <v>468</v>
      </c>
      <c r="F713" s="233" t="s">
        <v>541</v>
      </c>
      <c r="G713" s="234">
        <v>42994</v>
      </c>
      <c r="H713" s="157" t="s">
        <v>871</v>
      </c>
      <c r="I713" s="157" t="s">
        <v>480</v>
      </c>
      <c r="J713" s="237">
        <v>19811.5</v>
      </c>
      <c r="K713" s="175" t="s">
        <v>61</v>
      </c>
      <c r="L713" s="175" t="s">
        <v>439</v>
      </c>
      <c r="M713" s="175" t="s">
        <v>1343</v>
      </c>
      <c r="N713" s="198"/>
      <c r="O713" s="199"/>
      <c r="P713" s="181">
        <v>0</v>
      </c>
      <c r="Q713" s="177">
        <v>42635</v>
      </c>
      <c r="R713" s="178">
        <v>581.15199999999993</v>
      </c>
      <c r="S713" s="179">
        <v>197083.69281255361</v>
      </c>
      <c r="T713" s="182" t="s">
        <v>45</v>
      </c>
      <c r="U713" s="183">
        <v>3.52</v>
      </c>
      <c r="V713" s="179">
        <v>8135.9226666666673</v>
      </c>
      <c r="W713" s="179">
        <v>2543.8535937232</v>
      </c>
      <c r="X713" s="196" t="s">
        <v>45</v>
      </c>
      <c r="Y713" s="200">
        <v>3.52</v>
      </c>
      <c r="Z713" s="220" t="s">
        <v>473</v>
      </c>
      <c r="AA713" s="201">
        <f>Delivery[[#This Row],[Quantity delivered]]*VLOOKUP(Delivery[[#This Row],[Unit]],References!$U:$X,4,FALSE)*VLOOKUP(CONCATENATE(Delivery[[#This Row],[Coffee specie]],Delivery[[#This Row],[Coffee state]]),References!$U:$X,4,FALSE)</f>
        <v>19811.5</v>
      </c>
      <c r="AB713" s="202">
        <f>SUMIF(Allocation!C:C,Delivery[[#This Row],[Delivery ID]],Allocation!D:D)/Delivery[[#This Row],[Quantity delivered]]</f>
        <v>4.3913888398152585E-2</v>
      </c>
      <c r="AC713" s="203">
        <f>Delivery[[#This Row],[Quantity delivered]]*Delivery[[#This Row],[Base price (Unidad)]]/60</f>
        <v>191891.54746666664</v>
      </c>
      <c r="AD713" s="204">
        <f>Delivery[[#This Row],[Nespresso total]]-Delivery[[#This Row],[Qt. Delivery * Base Price]]</f>
        <v>5192.1453458869655</v>
      </c>
      <c r="AE713" s="204">
        <f>Delivery[[#This Row],[AAA Premium (total)]]/Delivery[[#This Row],[Quantity delivered]]*60/Delivery[[#This Row],[Exchange rate VS USD]]</f>
        <v>7</v>
      </c>
      <c r="AF713" s="204">
        <f>Delivery[[#This Row],[BEN premium (total)]]/Delivery[[#This Row],[Quantity delivered]]*60/Delivery[[#This Row],[Exchange rate for premiums VS USD]]</f>
        <v>2.1886854000000002</v>
      </c>
      <c r="AG713" s="204">
        <f>COUNTIF(Delivery[Delivery ID],Delivery[[#This Row],[Delivery ID]])</f>
        <v>1</v>
      </c>
      <c r="AH713" s="204">
        <f>(Delivery[[#This Row],[Nespresso total]]/SUMIF(Allocation!C:C,Delivery[Delivery ID],Allocation!H:H))/Delivery[[#This Row],[Exchange rate VS USD]]</f>
        <v>195.08601204917011</v>
      </c>
      <c r="AI713" s="204">
        <f>(Delivery[[#This Row],[AAA Premium (total)]]/SUMIF(Allocation!C:C,Delivery[Delivery ID],Allocation!H:H))/Delivery[[#This Row],[Exchange rate VS USD]]</f>
        <v>8.0534552845528466</v>
      </c>
      <c r="AJ713" s="204">
        <f>Delivery[[#This Row],[Valor Prêmio Nespresso AAA por Kg (em US$)]]*60</f>
        <v>483.20731707317077</v>
      </c>
      <c r="AK713" s="204">
        <f>Delivery[[#This Row],[Valor Prêmio Nespresso AAA por saca (em US$)]]/1.3228/100</f>
        <v>3.6529128898788237</v>
      </c>
      <c r="AL713" s="204">
        <f>(Delivery[[#This Row],[BEN premium (total)]]/SUMIF(Allocation!C:C,Delivery[Delivery ID],Allocation!H:H))/Delivery[[#This Row],[Exchange rate for premiums VS USD]]</f>
        <v>2.5180685715505224</v>
      </c>
      <c r="AM713" s="204">
        <f>Delivery[[#This Row],[Valor Prêmio Nespresso BEN por Kg (em US$)]]*60</f>
        <v>151.08411429303135</v>
      </c>
      <c r="AN713" s="204">
        <f>Delivery[[#This Row],[Valor Prêmio Nespresso BEN por saca (em US$)]]/1.3228/100</f>
        <v>1.1421538727927982</v>
      </c>
      <c r="AO713" s="204">
        <f>SUMIF(Allocation[Delivery ID],Delivery[[#This Row],[Delivery ID]],Allocation[Quantity allocated])*16*1.3228*Delivery[[#This Row],[Exchange rate VS USD]]/60</f>
        <v>356.35879253333331</v>
      </c>
      <c r="AP713" s="204">
        <f>Delivery[[#This Row],[AAA Premium (total)]]</f>
        <v>8135.9226666666673</v>
      </c>
      <c r="AQ713" s="204">
        <f>Delivery[[#This Row],[Valor pago pelo Cluster]]-Delivery[[#This Row],[Valor efetivamente pago pela Nespresso]]</f>
        <v>7779.5638741333341</v>
      </c>
    </row>
    <row r="714" spans="1:43" ht="15.75">
      <c r="A714" s="174" t="s">
        <v>69</v>
      </c>
      <c r="B714" s="232" t="s">
        <v>68</v>
      </c>
      <c r="C714" s="157">
        <v>1</v>
      </c>
      <c r="D714" s="157" t="s">
        <v>468</v>
      </c>
      <c r="E714" s="177" t="s">
        <v>468</v>
      </c>
      <c r="F714" s="233" t="s">
        <v>541</v>
      </c>
      <c r="G714" s="234">
        <v>42994</v>
      </c>
      <c r="H714" s="157" t="s">
        <v>872</v>
      </c>
      <c r="I714" s="157" t="s">
        <v>480</v>
      </c>
      <c r="J714" s="237">
        <v>11434.5</v>
      </c>
      <c r="K714" s="175" t="s">
        <v>61</v>
      </c>
      <c r="L714" s="175" t="s">
        <v>439</v>
      </c>
      <c r="M714" s="175" t="s">
        <v>1343</v>
      </c>
      <c r="N714" s="198"/>
      <c r="O714" s="199"/>
      <c r="P714" s="181">
        <v>0</v>
      </c>
      <c r="Q714" s="177">
        <v>42635</v>
      </c>
      <c r="R714" s="178">
        <v>581.15199999999993</v>
      </c>
      <c r="S714" s="179">
        <v>112764.05461046081</v>
      </c>
      <c r="T714" s="182" t="s">
        <v>45</v>
      </c>
      <c r="U714" s="183">
        <v>3.52</v>
      </c>
      <c r="V714" s="179">
        <v>4695.768</v>
      </c>
      <c r="W714" s="179">
        <v>1468.2226947695999</v>
      </c>
      <c r="X714" s="196" t="s">
        <v>45</v>
      </c>
      <c r="Y714" s="200">
        <v>3.52</v>
      </c>
      <c r="Z714" s="220" t="s">
        <v>473</v>
      </c>
      <c r="AA714" s="201">
        <f>Delivery[[#This Row],[Quantity delivered]]*VLOOKUP(Delivery[[#This Row],[Unit]],References!$U:$X,4,FALSE)*VLOOKUP(CONCATENATE(Delivery[[#This Row],[Coffee specie]],Delivery[[#This Row],[Coffee state]]),References!$U:$X,4,FALSE)</f>
        <v>11434.5</v>
      </c>
      <c r="AB714" s="202">
        <f>SUMIF(Allocation!C:C,Delivery[[#This Row],[Delivery ID]],Allocation!D:D)/Delivery[[#This Row],[Quantity delivered]]</f>
        <v>4.346495255586165E-2</v>
      </c>
      <c r="AC714" s="203">
        <f>Delivery[[#This Row],[Quantity delivered]]*Delivery[[#This Row],[Base price (Unidad)]]/60</f>
        <v>110753.04239999998</v>
      </c>
      <c r="AD714" s="204">
        <f>Delivery[[#This Row],[Nespresso total]]-Delivery[[#This Row],[Qt. Delivery * Base Price]]</f>
        <v>2011.0122104608308</v>
      </c>
      <c r="AE714" s="204">
        <f>Delivery[[#This Row],[AAA Premium (total)]]/Delivery[[#This Row],[Quantity delivered]]*60/Delivery[[#This Row],[Exchange rate VS USD]]</f>
        <v>7</v>
      </c>
      <c r="AF714" s="204">
        <f>Delivery[[#This Row],[BEN premium (total)]]/Delivery[[#This Row],[Quantity delivered]]*60/Delivery[[#This Row],[Exchange rate for premiums VS USD]]</f>
        <v>2.1886853999999998</v>
      </c>
      <c r="AG714" s="204">
        <f>COUNTIF(Delivery[Delivery ID],Delivery[[#This Row],[Delivery ID]])</f>
        <v>1</v>
      </c>
      <c r="AH714" s="204">
        <f>(Delivery[[#This Row],[Nespresso total]]/SUMIF(Allocation!C:C,Delivery[Delivery ID],Allocation!H:H))/Delivery[[#This Row],[Exchange rate VS USD]]</f>
        <v>195.33684626257761</v>
      </c>
      <c r="AI714" s="204">
        <f>(Delivery[[#This Row],[AAA Premium (total)]]/SUMIF(Allocation!C:C,Delivery[Delivery ID],Allocation!H:H))/Delivery[[#This Row],[Exchange rate VS USD]]</f>
        <v>8.1342987804878053</v>
      </c>
      <c r="AJ714" s="204">
        <f>Delivery[[#This Row],[Valor Prêmio Nespresso AAA por Kg (em US$)]]*60</f>
        <v>488.0579268292683</v>
      </c>
      <c r="AK714" s="204">
        <f>Delivery[[#This Row],[Valor Prêmio Nespresso AAA por saca (em US$)]]/1.3228/100</f>
        <v>3.689582150206141</v>
      </c>
      <c r="AL714" s="204">
        <f>(Delivery[[#This Row],[BEN premium (total)]]/SUMIF(Allocation!C:C,Delivery[Delivery ID],Allocation!H:H))/Delivery[[#This Row],[Exchange rate for premiums VS USD]]</f>
        <v>2.5433458542987801</v>
      </c>
      <c r="AM714" s="204">
        <f>Delivery[[#This Row],[Valor Prêmio Nespresso BEN por Kg (em US$)]]*60</f>
        <v>152.60075125792682</v>
      </c>
      <c r="AN714" s="204">
        <f>Delivery[[#This Row],[Valor Prêmio Nespresso BEN por saca (em US$)]]/1.3228/100</f>
        <v>1.1536192263223981</v>
      </c>
      <c r="AO714" s="204">
        <f>SUMIF(Allocation[Delivery ID],Delivery[[#This Row],[Delivery ID]],Allocation[Quantity allocated])*16*1.3228*Delivery[[#This Row],[Exchange rate VS USD]]/60</f>
        <v>203.63359573333335</v>
      </c>
      <c r="AP714" s="204">
        <f>Delivery[[#This Row],[AAA Premium (total)]]</f>
        <v>4695.768</v>
      </c>
      <c r="AQ714" s="204">
        <f>Delivery[[#This Row],[Valor pago pelo Cluster]]-Delivery[[#This Row],[Valor efetivamente pago pela Nespresso]]</f>
        <v>4492.1344042666669</v>
      </c>
    </row>
    <row r="715" spans="1:43" ht="15.75">
      <c r="A715" s="174" t="s">
        <v>69</v>
      </c>
      <c r="B715" s="232" t="s">
        <v>68</v>
      </c>
      <c r="C715" s="157">
        <v>1</v>
      </c>
      <c r="D715" s="157" t="s">
        <v>468</v>
      </c>
      <c r="E715" s="177" t="s">
        <v>468</v>
      </c>
      <c r="F715" s="233" t="s">
        <v>541</v>
      </c>
      <c r="G715" s="234">
        <v>42994</v>
      </c>
      <c r="H715" s="157" t="s">
        <v>873</v>
      </c>
      <c r="I715" s="157" t="s">
        <v>480</v>
      </c>
      <c r="J715" s="237">
        <v>18595.5</v>
      </c>
      <c r="K715" s="175" t="s">
        <v>61</v>
      </c>
      <c r="L715" s="175" t="s">
        <v>439</v>
      </c>
      <c r="M715" s="175" t="s">
        <v>1343</v>
      </c>
      <c r="N715" s="198"/>
      <c r="O715" s="199"/>
      <c r="P715" s="181">
        <v>0</v>
      </c>
      <c r="Q715" s="177">
        <v>42635</v>
      </c>
      <c r="R715" s="178">
        <v>581.15199999999993</v>
      </c>
      <c r="S715" s="179">
        <v>183390.11860893123</v>
      </c>
      <c r="T715" s="182" t="s">
        <v>45</v>
      </c>
      <c r="U715" s="183">
        <v>3.52</v>
      </c>
      <c r="V715" s="179">
        <v>7636.5520000000006</v>
      </c>
      <c r="W715" s="179">
        <v>2387.7156955343999</v>
      </c>
      <c r="X715" s="196" t="s">
        <v>45</v>
      </c>
      <c r="Y715" s="200">
        <v>3.52</v>
      </c>
      <c r="Z715" s="220" t="s">
        <v>473</v>
      </c>
      <c r="AA715" s="201">
        <f>Delivery[[#This Row],[Quantity delivered]]*VLOOKUP(Delivery[[#This Row],[Unit]],References!$U:$X,4,FALSE)*VLOOKUP(CONCATENATE(Delivery[[#This Row],[Coffee specie]],Delivery[[#This Row],[Coffee state]]),References!$U:$X,4,FALSE)</f>
        <v>18595.5</v>
      </c>
      <c r="AB715" s="202">
        <f>SUMIF(Allocation!C:C,Delivery[[#This Row],[Delivery ID]],Allocation!D:D)/Delivery[[#This Row],[Quantity delivered]]</f>
        <v>4.3505149095211207E-2</v>
      </c>
      <c r="AC715" s="203">
        <f>Delivery[[#This Row],[Quantity delivered]]*Delivery[[#This Row],[Base price (Unidad)]]/60</f>
        <v>180113.5336</v>
      </c>
      <c r="AD715" s="204">
        <f>Delivery[[#This Row],[Nespresso total]]-Delivery[[#This Row],[Qt. Delivery * Base Price]]</f>
        <v>3276.5850089312298</v>
      </c>
      <c r="AE715" s="204">
        <f>Delivery[[#This Row],[AAA Premium (total)]]/Delivery[[#This Row],[Quantity delivered]]*60/Delivery[[#This Row],[Exchange rate VS USD]]</f>
        <v>7</v>
      </c>
      <c r="AF715" s="204">
        <f>Delivery[[#This Row],[BEN premium (total)]]/Delivery[[#This Row],[Quantity delivered]]*60/Delivery[[#This Row],[Exchange rate for premiums VS USD]]</f>
        <v>2.1886853999999998</v>
      </c>
      <c r="AG715" s="204">
        <f>COUNTIF(Delivery[Delivery ID],Delivery[[#This Row],[Delivery ID]])</f>
        <v>1</v>
      </c>
      <c r="AH715" s="204">
        <f>(Delivery[[#This Row],[Nespresso total]]/SUMIF(Allocation!C:C,Delivery[Delivery ID],Allocation!H:H))/Delivery[[#This Row],[Exchange rate VS USD]]</f>
        <v>195.12908432172628</v>
      </c>
      <c r="AI715" s="204">
        <f>(Delivery[[#This Row],[AAA Premium (total)]]/SUMIF(Allocation!C:C,Delivery[Delivery ID],Allocation!H:H))/Delivery[[#This Row],[Exchange rate VS USD]]</f>
        <v>8.125374531835206</v>
      </c>
      <c r="AJ715" s="204">
        <f>Delivery[[#This Row],[Valor Prêmio Nespresso AAA por Kg (em US$)]]*60</f>
        <v>487.52247191011236</v>
      </c>
      <c r="AK715" s="204">
        <f>Delivery[[#This Row],[Valor Prêmio Nespresso AAA por saca (em US$)]]/1.3228/100</f>
        <v>3.6855342599796823</v>
      </c>
      <c r="AL715" s="204">
        <f>(Delivery[[#This Row],[BEN premium (total)]]/SUMIF(Allocation!C:C,Delivery[Delivery ID],Allocation!H:H))/Delivery[[#This Row],[Exchange rate for premiums VS USD]]</f>
        <v>2.5405555153370782</v>
      </c>
      <c r="AM715" s="204">
        <f>Delivery[[#This Row],[Valor Prêmio Nespresso BEN por Kg (em US$)]]*60</f>
        <v>152.43333092022471</v>
      </c>
      <c r="AN715" s="204">
        <f>Delivery[[#This Row],[Valor Prêmio Nespresso BEN por saca (em US$)]]/1.3228/100</f>
        <v>1.1523535751453335</v>
      </c>
      <c r="AO715" s="204">
        <f>SUMIF(Allocation[Delivery ID],Delivery[[#This Row],[Delivery ID]],Allocation[Quantity allocated])*16*1.3228*Delivery[[#This Row],[Exchange rate VS USD]]/60</f>
        <v>331.52542719999997</v>
      </c>
      <c r="AP715" s="204">
        <f>Delivery[[#This Row],[AAA Premium (total)]]</f>
        <v>7636.5520000000006</v>
      </c>
      <c r="AQ715" s="204">
        <f>Delivery[[#This Row],[Valor pago pelo Cluster]]-Delivery[[#This Row],[Valor efetivamente pago pela Nespresso]]</f>
        <v>7305.0265728000004</v>
      </c>
    </row>
    <row r="716" spans="1:43" ht="15.75">
      <c r="A716" s="174" t="s">
        <v>69</v>
      </c>
      <c r="B716" s="232" t="s">
        <v>68</v>
      </c>
      <c r="C716" s="157">
        <v>1</v>
      </c>
      <c r="D716" s="157" t="s">
        <v>468</v>
      </c>
      <c r="E716" s="177" t="s">
        <v>468</v>
      </c>
      <c r="F716" s="233" t="s">
        <v>541</v>
      </c>
      <c r="G716" s="234">
        <v>42994</v>
      </c>
      <c r="H716" s="157" t="s">
        <v>874</v>
      </c>
      <c r="I716" s="157" t="s">
        <v>480</v>
      </c>
      <c r="J716" s="237">
        <v>10556.5</v>
      </c>
      <c r="K716" s="175" t="s">
        <v>61</v>
      </c>
      <c r="L716" s="175" t="s">
        <v>439</v>
      </c>
      <c r="M716" s="175" t="s">
        <v>1343</v>
      </c>
      <c r="N716" s="198"/>
      <c r="O716" s="199"/>
      <c r="P716" s="181">
        <v>0</v>
      </c>
      <c r="Q716" s="177">
        <v>42635</v>
      </c>
      <c r="R716" s="178">
        <v>581.15199999999993</v>
      </c>
      <c r="S716" s="179">
        <v>104464.23006212161</v>
      </c>
      <c r="T716" s="182" t="s">
        <v>45</v>
      </c>
      <c r="U716" s="183">
        <v>3.52</v>
      </c>
      <c r="V716" s="179">
        <v>4335.202666666667</v>
      </c>
      <c r="W716" s="179">
        <v>1355.4849689391999</v>
      </c>
      <c r="X716" s="196" t="s">
        <v>45</v>
      </c>
      <c r="Y716" s="200">
        <v>3.52</v>
      </c>
      <c r="Z716" s="220" t="s">
        <v>473</v>
      </c>
      <c r="AA716" s="201">
        <f>Delivery[[#This Row],[Quantity delivered]]*VLOOKUP(Delivery[[#This Row],[Unit]],References!$U:$X,4,FALSE)*VLOOKUP(CONCATENATE(Delivery[[#This Row],[Coffee specie]],Delivery[[#This Row],[Coffee state]]),References!$U:$X,4,FALSE)</f>
        <v>10556.5</v>
      </c>
      <c r="AB716" s="202">
        <f>SUMIF(Allocation!C:C,Delivery[[#This Row],[Delivery ID]],Allocation!D:D)/Delivery[[#This Row],[Quantity delivered]]</f>
        <v>4.3669776914697103E-2</v>
      </c>
      <c r="AC716" s="203">
        <f>Delivery[[#This Row],[Quantity delivered]]*Delivery[[#This Row],[Base price (Unidad)]]/60</f>
        <v>102248.85146666666</v>
      </c>
      <c r="AD716" s="204">
        <f>Delivery[[#This Row],[Nespresso total]]-Delivery[[#This Row],[Qt. Delivery * Base Price]]</f>
        <v>2215.378595454953</v>
      </c>
      <c r="AE716" s="204">
        <f>Delivery[[#This Row],[AAA Premium (total)]]/Delivery[[#This Row],[Quantity delivered]]*60/Delivery[[#This Row],[Exchange rate VS USD]]</f>
        <v>7</v>
      </c>
      <c r="AF716" s="204">
        <f>Delivery[[#This Row],[BEN premium (total)]]/Delivery[[#This Row],[Quantity delivered]]*60/Delivery[[#This Row],[Exchange rate for premiums VS USD]]</f>
        <v>2.1886853999999998</v>
      </c>
      <c r="AG716" s="204">
        <f>COUNTIF(Delivery[Delivery ID],Delivery[[#This Row],[Delivery ID]])</f>
        <v>1</v>
      </c>
      <c r="AH716" s="204">
        <f>(Delivery[[#This Row],[Nespresso total]]/SUMIF(Allocation!C:C,Delivery[Delivery ID],Allocation!H:H))/Delivery[[#This Row],[Exchange rate VS USD]]</f>
        <v>195.24564530151318</v>
      </c>
      <c r="AI716" s="204">
        <f>(Delivery[[#This Row],[AAA Premium (total)]]/SUMIF(Allocation!C:C,Delivery[Delivery ID],Allocation!H:H))/Delivery[[#This Row],[Exchange rate VS USD]]</f>
        <v>8.1025767543859661</v>
      </c>
      <c r="AJ716" s="204">
        <f>Delivery[[#This Row],[Valor Prêmio Nespresso AAA por Kg (em US$)]]*60</f>
        <v>486.15460526315798</v>
      </c>
      <c r="AK716" s="204">
        <f>Delivery[[#This Row],[Valor Prêmio Nespresso AAA por saca (em US$)]]/1.3228/100</f>
        <v>3.6751935686661477</v>
      </c>
      <c r="AL716" s="204">
        <f>(Delivery[[#This Row],[BEN premium (total)]]/SUMIF(Allocation!C:C,Delivery[Delivery ID],Allocation!H:H))/Delivery[[#This Row],[Exchange rate for premiums VS USD]]</f>
        <v>2.5334273492434209</v>
      </c>
      <c r="AM716" s="204">
        <f>Delivery[[#This Row],[Valor Prêmio Nespresso BEN por Kg (em US$)]]*60</f>
        <v>152.00564095460527</v>
      </c>
      <c r="AN716" s="204">
        <f>Delivery[[#This Row],[Valor Prêmio Nespresso BEN por saca (em US$)]]/1.3228/100</f>
        <v>1.1491203579876419</v>
      </c>
      <c r="AO716" s="204">
        <f>SUMIF(Allocation[Delivery ID],Delivery[[#This Row],[Delivery ID]],Allocation[Quantity allocated])*16*1.3228*Delivery[[#This Row],[Exchange rate VS USD]]/60</f>
        <v>188.73357653333332</v>
      </c>
      <c r="AP716" s="204">
        <f>Delivery[[#This Row],[AAA Premium (total)]]</f>
        <v>4335.202666666667</v>
      </c>
      <c r="AQ716" s="204">
        <f>Delivery[[#This Row],[Valor pago pelo Cluster]]-Delivery[[#This Row],[Valor efetivamente pago pela Nespresso]]</f>
        <v>4146.4690901333333</v>
      </c>
    </row>
    <row r="717" spans="1:43" ht="15.75">
      <c r="A717" s="174" t="s">
        <v>69</v>
      </c>
      <c r="B717" s="232" t="s">
        <v>68</v>
      </c>
      <c r="C717" s="157">
        <v>1</v>
      </c>
      <c r="D717" s="157" t="s">
        <v>468</v>
      </c>
      <c r="E717" s="177" t="s">
        <v>468</v>
      </c>
      <c r="F717" s="233" t="s">
        <v>541</v>
      </c>
      <c r="G717" s="234">
        <v>42994</v>
      </c>
      <c r="H717" s="157" t="s">
        <v>875</v>
      </c>
      <c r="I717" s="157" t="s">
        <v>480</v>
      </c>
      <c r="J717" s="237">
        <v>19433.5</v>
      </c>
      <c r="K717" s="175" t="s">
        <v>61</v>
      </c>
      <c r="L717" s="175" t="s">
        <v>439</v>
      </c>
      <c r="M717" s="175" t="s">
        <v>1343</v>
      </c>
      <c r="N717" s="198"/>
      <c r="O717" s="199"/>
      <c r="P717" s="181">
        <v>0</v>
      </c>
      <c r="Q717" s="177">
        <v>42635</v>
      </c>
      <c r="R717" s="178">
        <v>581.15199999999993</v>
      </c>
      <c r="S717" s="179">
        <v>192309.16538741442</v>
      </c>
      <c r="T717" s="182" t="s">
        <v>45</v>
      </c>
      <c r="U717" s="183">
        <v>3.52</v>
      </c>
      <c r="V717" s="179">
        <v>7980.6906666666673</v>
      </c>
      <c r="W717" s="179">
        <v>2495.3173062927999</v>
      </c>
      <c r="X717" s="196" t="s">
        <v>45</v>
      </c>
      <c r="Y717" s="200">
        <v>3.52</v>
      </c>
      <c r="Z717" s="220" t="s">
        <v>473</v>
      </c>
      <c r="AA717" s="201">
        <f>Delivery[[#This Row],[Quantity delivered]]*VLOOKUP(Delivery[[#This Row],[Unit]],References!$U:$X,4,FALSE)*VLOOKUP(CONCATENATE(Delivery[[#This Row],[Coffee specie]],Delivery[[#This Row],[Coffee state]]),References!$U:$X,4,FALSE)</f>
        <v>19433.5</v>
      </c>
      <c r="AB717" s="202">
        <f>SUMIF(Allocation!C:C,Delivery[[#This Row],[Delivery ID]],Allocation!D:D)/Delivery[[#This Row],[Quantity delivered]]</f>
        <v>4.363598939974786E-2</v>
      </c>
      <c r="AC717" s="203">
        <f>Delivery[[#This Row],[Quantity delivered]]*Delivery[[#This Row],[Base price (Unidad)]]/60</f>
        <v>188230.28986666666</v>
      </c>
      <c r="AD717" s="204">
        <f>Delivery[[#This Row],[Nespresso total]]-Delivery[[#This Row],[Qt. Delivery * Base Price]]</f>
        <v>4078.8755207477661</v>
      </c>
      <c r="AE717" s="204">
        <f>Delivery[[#This Row],[AAA Premium (total)]]/Delivery[[#This Row],[Quantity delivered]]*60/Delivery[[#This Row],[Exchange rate VS USD]]</f>
        <v>7</v>
      </c>
      <c r="AF717" s="204">
        <f>Delivery[[#This Row],[BEN premium (total)]]/Delivery[[#This Row],[Quantity delivered]]*60/Delivery[[#This Row],[Exchange rate for premiums VS USD]]</f>
        <v>2.1886853999999998</v>
      </c>
      <c r="AG717" s="204">
        <f>COUNTIF(Delivery[Delivery ID],Delivery[[#This Row],[Delivery ID]])</f>
        <v>1</v>
      </c>
      <c r="AH717" s="204">
        <f>(Delivery[[#This Row],[Nespresso total]]/SUMIF(Allocation!C:C,Delivery[Delivery ID],Allocation!H:H))/Delivery[[#This Row],[Exchange rate VS USD]]</f>
        <v>195.11887721937339</v>
      </c>
      <c r="AI717" s="204">
        <f>(Delivery[[#This Row],[AAA Premium (total)]]/SUMIF(Allocation!C:C,Delivery[Delivery ID],Allocation!H:H))/Delivery[[#This Row],[Exchange rate VS USD]]</f>
        <v>8.097291666666667</v>
      </c>
      <c r="AJ717" s="204">
        <f>Delivery[[#This Row],[Valor Prêmio Nespresso AAA por Kg (em US$)]]*60</f>
        <v>485.83750000000003</v>
      </c>
      <c r="AK717" s="204">
        <f>Delivery[[#This Row],[Valor Prêmio Nespresso AAA por saca (em US$)]]/1.3228/100</f>
        <v>3.6727963410946476</v>
      </c>
      <c r="AL717" s="204">
        <f>(Delivery[[#This Row],[BEN premium (total)]]/SUMIF(Allocation!C:C,Delivery[Delivery ID],Allocation!H:H))/Delivery[[#This Row],[Exchange rate for premiums VS USD]]</f>
        <v>2.5317748643392859</v>
      </c>
      <c r="AM717" s="204">
        <f>Delivery[[#This Row],[Valor Prêmio Nespresso BEN por Kg (em US$)]]*60</f>
        <v>151.90649186035716</v>
      </c>
      <c r="AN717" s="204">
        <f>Delivery[[#This Row],[Valor Prêmio Nespresso BEN por saca (em US$)]]/1.3228/100</f>
        <v>1.1483708184181822</v>
      </c>
      <c r="AO717" s="204">
        <f>SUMIF(Allocation[Delivery ID],Delivery[[#This Row],[Delivery ID]],Allocation[Quantity allocated])*16*1.3228*Delivery[[#This Row],[Exchange rate VS USD]]/60</f>
        <v>347.66711466666669</v>
      </c>
      <c r="AP717" s="204">
        <f>Delivery[[#This Row],[AAA Premium (total)]]</f>
        <v>7980.6906666666673</v>
      </c>
      <c r="AQ717" s="204">
        <f>Delivery[[#This Row],[Valor pago pelo Cluster]]-Delivery[[#This Row],[Valor efetivamente pago pela Nespresso]]</f>
        <v>7633.0235520000006</v>
      </c>
    </row>
    <row r="718" spans="1:43" ht="15.75">
      <c r="A718" s="174" t="s">
        <v>69</v>
      </c>
      <c r="B718" s="232" t="s">
        <v>68</v>
      </c>
      <c r="C718" s="157">
        <v>1</v>
      </c>
      <c r="D718" s="157" t="s">
        <v>468</v>
      </c>
      <c r="E718" s="177" t="s">
        <v>468</v>
      </c>
      <c r="F718" s="233" t="s">
        <v>541</v>
      </c>
      <c r="G718" s="234">
        <v>42996</v>
      </c>
      <c r="H718" s="157" t="s">
        <v>876</v>
      </c>
      <c r="I718" s="157" t="s">
        <v>480</v>
      </c>
      <c r="J718" s="237">
        <v>31156</v>
      </c>
      <c r="K718" s="175" t="s">
        <v>61</v>
      </c>
      <c r="L718" s="175" t="s">
        <v>439</v>
      </c>
      <c r="M718" s="175" t="s">
        <v>1343</v>
      </c>
      <c r="N718" s="198"/>
      <c r="O718" s="199"/>
      <c r="P718" s="181">
        <v>0</v>
      </c>
      <c r="Q718" s="177">
        <v>42667</v>
      </c>
      <c r="R718" s="178">
        <v>576.64</v>
      </c>
      <c r="S718" s="179">
        <v>301449.84933648002</v>
      </c>
      <c r="T718" s="182" t="s">
        <v>45</v>
      </c>
      <c r="U718" s="183">
        <v>3.4</v>
      </c>
      <c r="V718" s="179">
        <v>12358.546666666667</v>
      </c>
      <c r="W718" s="179">
        <v>3512.8533317599999</v>
      </c>
      <c r="X718" s="196" t="s">
        <v>45</v>
      </c>
      <c r="Y718" s="200">
        <v>3.4</v>
      </c>
      <c r="Z718" s="220" t="s">
        <v>473</v>
      </c>
      <c r="AA718" s="201">
        <f>Delivery[[#This Row],[Quantity delivered]]*VLOOKUP(Delivery[[#This Row],[Unit]],References!$U:$X,4,FALSE)*VLOOKUP(CONCATENATE(Delivery[[#This Row],[Coffee specie]],Delivery[[#This Row],[Coffee state]]),References!$U:$X,4,FALSE)</f>
        <v>31156</v>
      </c>
      <c r="AB718" s="202">
        <f>SUMIF(Allocation!C:C,Delivery[[#This Row],[Delivery ID]],Allocation!D:D)/Delivery[[#This Row],[Quantity delivered]]</f>
        <v>4.7502888689177042E-2</v>
      </c>
      <c r="AC718" s="203">
        <f>Delivery[[#This Row],[Quantity delivered]]*Delivery[[#This Row],[Base price (Unidad)]]/60</f>
        <v>299429.93066666665</v>
      </c>
      <c r="AD718" s="204">
        <f>Delivery[[#This Row],[Nespresso total]]-Delivery[[#This Row],[Qt. Delivery * Base Price]]</f>
        <v>2019.9186698133708</v>
      </c>
      <c r="AE718" s="204">
        <f>Delivery[[#This Row],[AAA Premium (total)]]/Delivery[[#This Row],[Quantity delivered]]*60/Delivery[[#This Row],[Exchange rate VS USD]]</f>
        <v>7</v>
      </c>
      <c r="AF718" s="204">
        <f>Delivery[[#This Row],[BEN premium (total)]]/Delivery[[#This Row],[Quantity delivered]]*60/Delivery[[#This Row],[Exchange rate for premiums VS USD]]</f>
        <v>1.989714</v>
      </c>
      <c r="AG718" s="204">
        <f>COUNTIF(Delivery[Delivery ID],Delivery[[#This Row],[Delivery ID]])</f>
        <v>1</v>
      </c>
      <c r="AH718" s="204">
        <f>(Delivery[[#This Row],[Nespresso total]]/SUMIF(Allocation!C:C,Delivery[Delivery ID],Allocation!H:H))/Delivery[[#This Row],[Exchange rate VS USD]]</f>
        <v>199.6885594438792</v>
      </c>
      <c r="AI718" s="204">
        <f>(Delivery[[#This Row],[AAA Premium (total)]]/SUMIF(Allocation!C:C,Delivery[Delivery ID],Allocation!H:H))/Delivery[[#This Row],[Exchange rate VS USD]]</f>
        <v>8.1866366366366368</v>
      </c>
      <c r="AJ718" s="204">
        <f>Delivery[[#This Row],[Valor Prêmio Nespresso AAA por Kg (em US$)]]*60</f>
        <v>491.19819819819821</v>
      </c>
      <c r="AK718" s="204">
        <f>Delivery[[#This Row],[Valor Prêmio Nespresso AAA por saca (em US$)]]/1.3228/100</f>
        <v>3.7133217281387827</v>
      </c>
      <c r="AL718" s="204">
        <f>(Delivery[[#This Row],[BEN premium (total)]]/SUMIF(Allocation!C:C,Delivery[Delivery ID],Allocation!H:H))/Delivery[[#This Row],[Exchange rate for premiums VS USD]]</f>
        <v>2.3270093612612612</v>
      </c>
      <c r="AM718" s="204">
        <f>Delivery[[#This Row],[Valor Prêmio Nespresso BEN por Kg (em US$)]]*60</f>
        <v>139.62056167567567</v>
      </c>
      <c r="AN718" s="204">
        <f>Delivery[[#This Row],[Valor Prêmio Nespresso BEN por saca (em US$)]]/1.3228/100</f>
        <v>1.0554926041402757</v>
      </c>
      <c r="AO718" s="204">
        <f>SUMIF(Allocation[Delivery ID],Delivery[[#This Row],[Delivery ID]],Allocation[Quantity allocated])*16*1.3228*Delivery[[#This Row],[Exchange rate VS USD]]/60</f>
        <v>532.50636800000007</v>
      </c>
      <c r="AP718" s="204">
        <f>Delivery[[#This Row],[AAA Premium (total)]]</f>
        <v>12358.546666666667</v>
      </c>
      <c r="AQ718" s="204">
        <f>Delivery[[#This Row],[Valor pago pelo Cluster]]-Delivery[[#This Row],[Valor efetivamente pago pela Nespresso]]</f>
        <v>11826.040298666667</v>
      </c>
    </row>
    <row r="719" spans="1:43" ht="15.75">
      <c r="A719" s="174" t="s">
        <v>69</v>
      </c>
      <c r="B719" s="232" t="s">
        <v>68</v>
      </c>
      <c r="C719" s="157">
        <v>1</v>
      </c>
      <c r="D719" s="157" t="s">
        <v>468</v>
      </c>
      <c r="E719" s="177" t="s">
        <v>468</v>
      </c>
      <c r="F719" s="233" t="s">
        <v>541</v>
      </c>
      <c r="G719" s="234">
        <v>42996</v>
      </c>
      <c r="H719" s="157" t="s">
        <v>877</v>
      </c>
      <c r="I719" s="157" t="s">
        <v>480</v>
      </c>
      <c r="J719" s="237">
        <v>9721</v>
      </c>
      <c r="K719" s="175" t="s">
        <v>61</v>
      </c>
      <c r="L719" s="175" t="s">
        <v>439</v>
      </c>
      <c r="M719" s="175" t="s">
        <v>1343</v>
      </c>
      <c r="N719" s="198"/>
      <c r="O719" s="199"/>
      <c r="P719" s="181">
        <v>0</v>
      </c>
      <c r="Q719" s="177">
        <v>42635</v>
      </c>
      <c r="R719" s="178">
        <v>581.15199999999993</v>
      </c>
      <c r="S719" s="179">
        <v>96153.491269254402</v>
      </c>
      <c r="T719" s="182" t="s">
        <v>45</v>
      </c>
      <c r="U719" s="183">
        <v>3.52</v>
      </c>
      <c r="V719" s="179">
        <v>3992.0906666666669</v>
      </c>
      <c r="W719" s="179">
        <v>1248.2043653727999</v>
      </c>
      <c r="X719" s="196" t="s">
        <v>45</v>
      </c>
      <c r="Y719" s="200">
        <v>3.52</v>
      </c>
      <c r="Z719" s="220" t="s">
        <v>473</v>
      </c>
      <c r="AA719" s="201">
        <f>Delivery[[#This Row],[Quantity delivered]]*VLOOKUP(Delivery[[#This Row],[Unit]],References!$U:$X,4,FALSE)*VLOOKUP(CONCATENATE(Delivery[[#This Row],[Coffee specie]],Delivery[[#This Row],[Coffee state]]),References!$U:$X,4,FALSE)</f>
        <v>9721</v>
      </c>
      <c r="AB719" s="202">
        <f>SUMIF(Allocation!C:C,Delivery[[#This Row],[Delivery ID]],Allocation!D:D)/Delivery[[#This Row],[Quantity delivered]]</f>
        <v>3.7136097109350889E-2</v>
      </c>
      <c r="AC719" s="203">
        <f>Delivery[[#This Row],[Quantity delivered]]*Delivery[[#This Row],[Base price (Unidad)]]/60</f>
        <v>94156.309866666648</v>
      </c>
      <c r="AD719" s="204">
        <f>Delivery[[#This Row],[Nespresso total]]-Delivery[[#This Row],[Qt. Delivery * Base Price]]</f>
        <v>1997.1814025877538</v>
      </c>
      <c r="AE719" s="204">
        <f>Delivery[[#This Row],[AAA Premium (total)]]/Delivery[[#This Row],[Quantity delivered]]*60/Delivery[[#This Row],[Exchange rate VS USD]]</f>
        <v>7</v>
      </c>
      <c r="AF719" s="204">
        <f>Delivery[[#This Row],[BEN premium (total)]]/Delivery[[#This Row],[Quantity delivered]]*60/Delivery[[#This Row],[Exchange rate for premiums VS USD]]</f>
        <v>2.1886853999999998</v>
      </c>
      <c r="AG719" s="204">
        <f>COUNTIF(Delivery[Delivery ID],Delivery[[#This Row],[Delivery ID]])</f>
        <v>1</v>
      </c>
      <c r="AH719" s="204">
        <f>(Delivery[[#This Row],[Nespresso total]]/SUMIF(Allocation!C:C,Delivery[Delivery ID],Allocation!H:H))/Delivery[[#This Row],[Exchange rate VS USD]]</f>
        <v>229.54901468022919</v>
      </c>
      <c r="AI719" s="204">
        <f>(Delivery[[#This Row],[AAA Premium (total)]]/SUMIF(Allocation!C:C,Delivery[Delivery ID],Allocation!H:H))/Delivery[[#This Row],[Exchange rate VS USD]]</f>
        <v>9.5303921568627459</v>
      </c>
      <c r="AJ719" s="204">
        <f>Delivery[[#This Row],[Valor Prêmio Nespresso AAA por Kg (em US$)]]*60</f>
        <v>571.82352941176475</v>
      </c>
      <c r="AK719" s="204">
        <f>Delivery[[#This Row],[Valor Prêmio Nespresso AAA por saca (em US$)]]/1.3228/100</f>
        <v>4.3228268023266159</v>
      </c>
      <c r="AL719" s="204">
        <f>(Delivery[[#This Row],[BEN premium (total)]]/SUMIF(Allocation!C:C,Delivery[Delivery ID],Allocation!H:H))/Delivery[[#This Row],[Exchange rate for premiums VS USD]]</f>
        <v>2.9798614528571425</v>
      </c>
      <c r="AM719" s="204">
        <f>Delivery[[#This Row],[Valor Prêmio Nespresso BEN por Kg (em US$)]]*60</f>
        <v>178.79168717142855</v>
      </c>
      <c r="AN719" s="204">
        <f>Delivery[[#This Row],[Valor Prêmio Nespresso BEN por saca (em US$)]]/1.3228/100</f>
        <v>1.351615415568707</v>
      </c>
      <c r="AO719" s="204">
        <f>SUMIF(Allocation[Delivery ID],Delivery[[#This Row],[Delivery ID]],Allocation[Quantity allocated])*16*1.3228*Delivery[[#This Row],[Exchange rate VS USD]]/60</f>
        <v>147.75852373333333</v>
      </c>
      <c r="AP719" s="204">
        <f>Delivery[[#This Row],[AAA Premium (total)]]</f>
        <v>3992.0906666666669</v>
      </c>
      <c r="AQ719" s="204">
        <f>Delivery[[#This Row],[Valor pago pelo Cluster]]-Delivery[[#This Row],[Valor efetivamente pago pela Nespresso]]</f>
        <v>3844.3321429333337</v>
      </c>
    </row>
    <row r="720" spans="1:43" ht="15.75">
      <c r="A720" s="174" t="s">
        <v>69</v>
      </c>
      <c r="B720" s="232" t="s">
        <v>68</v>
      </c>
      <c r="C720" s="157">
        <v>1</v>
      </c>
      <c r="D720" s="157" t="s">
        <v>468</v>
      </c>
      <c r="E720" s="177" t="s">
        <v>468</v>
      </c>
      <c r="F720" s="233" t="s">
        <v>541</v>
      </c>
      <c r="G720" s="234">
        <v>42996</v>
      </c>
      <c r="H720" s="157" t="s">
        <v>878</v>
      </c>
      <c r="I720" s="157" t="s">
        <v>480</v>
      </c>
      <c r="J720" s="237">
        <v>20282.5</v>
      </c>
      <c r="K720" s="175" t="s">
        <v>61</v>
      </c>
      <c r="L720" s="175" t="s">
        <v>439</v>
      </c>
      <c r="M720" s="175" t="s">
        <v>1343</v>
      </c>
      <c r="N720" s="198"/>
      <c r="O720" s="199"/>
      <c r="P720" s="181">
        <v>0</v>
      </c>
      <c r="Q720" s="177">
        <v>42635</v>
      </c>
      <c r="R720" s="178">
        <v>581.15199999999993</v>
      </c>
      <c r="S720" s="179">
        <v>200616.43730260801</v>
      </c>
      <c r="T720" s="182" t="s">
        <v>45</v>
      </c>
      <c r="U720" s="183">
        <v>3.52</v>
      </c>
      <c r="V720" s="179">
        <v>8329.3466666666664</v>
      </c>
      <c r="W720" s="179">
        <v>2604.3313486960001</v>
      </c>
      <c r="X720" s="196" t="s">
        <v>45</v>
      </c>
      <c r="Y720" s="200">
        <v>3.52</v>
      </c>
      <c r="Z720" s="220" t="s">
        <v>473</v>
      </c>
      <c r="AA720" s="201">
        <f>Delivery[[#This Row],[Quantity delivered]]*VLOOKUP(Delivery[[#This Row],[Unit]],References!$U:$X,4,FALSE)*VLOOKUP(CONCATENATE(Delivery[[#This Row],[Coffee specie]],Delivery[[#This Row],[Coffee state]]),References!$U:$X,4,FALSE)</f>
        <v>20282.5</v>
      </c>
      <c r="AB720" s="202">
        <f>SUMIF(Allocation!C:C,Delivery[[#This Row],[Delivery ID]],Allocation!D:D)/Delivery[[#This Row],[Quantity delivered]]</f>
        <v>4.363367434980895E-2</v>
      </c>
      <c r="AC720" s="203">
        <f>Delivery[[#This Row],[Quantity delivered]]*Delivery[[#This Row],[Base price (Unidad)]]/60</f>
        <v>196453.59066666666</v>
      </c>
      <c r="AD720" s="204">
        <f>Delivery[[#This Row],[Nespresso total]]-Delivery[[#This Row],[Qt. Delivery * Base Price]]</f>
        <v>4162.8466359413578</v>
      </c>
      <c r="AE720" s="204">
        <f>Delivery[[#This Row],[AAA Premium (total)]]/Delivery[[#This Row],[Quantity delivered]]*60/Delivery[[#This Row],[Exchange rate VS USD]]</f>
        <v>6.9999999999999991</v>
      </c>
      <c r="AF720" s="204">
        <f>Delivery[[#This Row],[BEN premium (total)]]/Delivery[[#This Row],[Quantity delivered]]*60/Delivery[[#This Row],[Exchange rate for premiums VS USD]]</f>
        <v>2.1886854000000002</v>
      </c>
      <c r="AG720" s="204">
        <f>COUNTIF(Delivery[Delivery ID],Delivery[[#This Row],[Delivery ID]])</f>
        <v>1</v>
      </c>
      <c r="AH720" s="204">
        <f>(Delivery[[#This Row],[Nespresso total]]/SUMIF(Allocation!C:C,Delivery[Delivery ID],Allocation!H:H))/Delivery[[#This Row],[Exchange rate VS USD]]</f>
        <v>195.18255497218246</v>
      </c>
      <c r="AI720" s="204">
        <f>(Delivery[[#This Row],[AAA Premium (total)]]/SUMIF(Allocation!C:C,Delivery[Delivery ID],Allocation!H:H))/Delivery[[#This Row],[Exchange rate VS USD]]</f>
        <v>8.1037385844748862</v>
      </c>
      <c r="AJ720" s="204">
        <f>Delivery[[#This Row],[Valor Prêmio Nespresso AAA por Kg (em US$)]]*60</f>
        <v>486.22431506849318</v>
      </c>
      <c r="AK720" s="204">
        <f>Delivery[[#This Row],[Valor Prêmio Nespresso AAA por saca (em US$)]]/1.3228/100</f>
        <v>3.6757205554013699</v>
      </c>
      <c r="AL720" s="204">
        <f>(Delivery[[#This Row],[BEN premium (total)]]/SUMIF(Allocation!C:C,Delivery[Delivery ID],Allocation!H:H))/Delivery[[#This Row],[Exchange rate for premiums VS USD]]</f>
        <v>2.5337906178938354</v>
      </c>
      <c r="AM720" s="204">
        <f>Delivery[[#This Row],[Valor Prêmio Nespresso BEN por Kg (em US$)]]*60</f>
        <v>152.02743707363013</v>
      </c>
      <c r="AN720" s="204">
        <f>Delivery[[#This Row],[Valor Prêmio Nespresso BEN por saca (em US$)]]/1.3228/100</f>
        <v>1.1492851305838383</v>
      </c>
      <c r="AO720" s="204">
        <f>SUMIF(Allocation[Delivery ID],Delivery[[#This Row],[Delivery ID]],Allocation[Quantity allocated])*16*1.3228*Delivery[[#This Row],[Exchange rate VS USD]]/60</f>
        <v>362.56713386666667</v>
      </c>
      <c r="AP720" s="204">
        <f>Delivery[[#This Row],[AAA Premium (total)]]</f>
        <v>8329.3466666666664</v>
      </c>
      <c r="AQ720" s="204">
        <f>Delivery[[#This Row],[Valor pago pelo Cluster]]-Delivery[[#This Row],[Valor efetivamente pago pela Nespresso]]</f>
        <v>7966.7795327999993</v>
      </c>
    </row>
    <row r="721" spans="1:43" ht="15.75">
      <c r="A721" s="174" t="s">
        <v>69</v>
      </c>
      <c r="B721" s="232" t="s">
        <v>68</v>
      </c>
      <c r="C721" s="157">
        <v>1</v>
      </c>
      <c r="D721" s="157" t="s">
        <v>468</v>
      </c>
      <c r="E721" s="177" t="s">
        <v>468</v>
      </c>
      <c r="F721" s="233" t="s">
        <v>541</v>
      </c>
      <c r="G721" s="234">
        <v>42997</v>
      </c>
      <c r="H721" s="157" t="s">
        <v>879</v>
      </c>
      <c r="I721" s="157" t="s">
        <v>480</v>
      </c>
      <c r="J721" s="237">
        <v>20684</v>
      </c>
      <c r="K721" s="175" t="s">
        <v>61</v>
      </c>
      <c r="L721" s="175" t="s">
        <v>439</v>
      </c>
      <c r="M721" s="175" t="s">
        <v>1343</v>
      </c>
      <c r="N721" s="198"/>
      <c r="O721" s="199"/>
      <c r="P721" s="181">
        <v>0</v>
      </c>
      <c r="Q721" s="177">
        <v>42635</v>
      </c>
      <c r="R721" s="178">
        <v>581.15199999999993</v>
      </c>
      <c r="S721" s="179">
        <v>204775.9797925376</v>
      </c>
      <c r="T721" s="182" t="s">
        <v>45</v>
      </c>
      <c r="U721" s="183">
        <v>3.52</v>
      </c>
      <c r="V721" s="179">
        <v>8494.2293333333328</v>
      </c>
      <c r="W721" s="179">
        <v>2655.8851037311997</v>
      </c>
      <c r="X721" s="196" t="s">
        <v>45</v>
      </c>
      <c r="Y721" s="200">
        <v>3.52</v>
      </c>
      <c r="Z721" s="220" t="s">
        <v>473</v>
      </c>
      <c r="AA721" s="201">
        <f>Delivery[[#This Row],[Quantity delivered]]*VLOOKUP(Delivery[[#This Row],[Unit]],References!$U:$X,4,FALSE)*VLOOKUP(CONCATENATE(Delivery[[#This Row],[Coffee specie]],Delivery[[#This Row],[Coffee state]]),References!$U:$X,4,FALSE)</f>
        <v>20684</v>
      </c>
      <c r="AB721" s="202">
        <f>SUMIF(Allocation!C:C,Delivery[[#This Row],[Delivery ID]],Allocation!D:D)/Delivery[[#This Row],[Quantity delivered]]</f>
        <v>0.1746277315799652</v>
      </c>
      <c r="AC721" s="203">
        <f>Delivery[[#This Row],[Quantity delivered]]*Delivery[[#This Row],[Base price (Unidad)]]/60</f>
        <v>200342.46613333331</v>
      </c>
      <c r="AD721" s="204">
        <f>Delivery[[#This Row],[Nespresso total]]-Delivery[[#This Row],[Qt. Delivery * Base Price]]</f>
        <v>4433.5136592042982</v>
      </c>
      <c r="AE721" s="204">
        <f>Delivery[[#This Row],[AAA Premium (total)]]/Delivery[[#This Row],[Quantity delivered]]*60/Delivery[[#This Row],[Exchange rate VS USD]]</f>
        <v>6.9999999999999991</v>
      </c>
      <c r="AF721" s="204">
        <f>Delivery[[#This Row],[BEN premium (total)]]/Delivery[[#This Row],[Quantity delivered]]*60/Delivery[[#This Row],[Exchange rate for premiums VS USD]]</f>
        <v>2.1886853999999998</v>
      </c>
      <c r="AG721" s="204">
        <f>COUNTIF(Delivery[Delivery ID],Delivery[[#This Row],[Delivery ID]])</f>
        <v>1</v>
      </c>
      <c r="AH721" s="204">
        <f>(Delivery[[#This Row],[Nespresso total]]/SUMIF(Allocation!C:C,Delivery[Delivery ID],Allocation!H:H))/Delivery[[#This Row],[Exchange rate VS USD]]</f>
        <v>48.804525385271511</v>
      </c>
      <c r="AI721" s="204">
        <f>(Delivery[[#This Row],[AAA Premium (total)]]/SUMIF(Allocation!C:C,Delivery[Delivery ID],Allocation!H:H))/Delivery[[#This Row],[Exchange rate VS USD]]</f>
        <v>2.024440715883669</v>
      </c>
      <c r="AJ721" s="204">
        <f>Delivery[[#This Row],[Valor Prêmio Nespresso AAA por Kg (em US$)]]*60</f>
        <v>121.46644295302013</v>
      </c>
      <c r="AK721" s="204">
        <f>Delivery[[#This Row],[Valor Prêmio Nespresso AAA por saca (em US$)]]/1.3228/100</f>
        <v>0.91825251703220545</v>
      </c>
      <c r="AL721" s="204">
        <f>(Delivery[[#This Row],[BEN premium (total)]]/SUMIF(Allocation!C:C,Delivery[Delivery ID],Allocation!H:H))/Delivery[[#This Row],[Exchange rate for premiums VS USD]]</f>
        <v>0.63298054828859052</v>
      </c>
      <c r="AM721" s="204">
        <f>Delivery[[#This Row],[Valor Prêmio Nespresso BEN por Kg (em US$)]]*60</f>
        <v>37.978832897315428</v>
      </c>
      <c r="AN721" s="204">
        <f>Delivery[[#This Row],[Valor Prêmio Nespresso BEN por saca (em US$)]]/1.3228/100</f>
        <v>0.28710941107737697</v>
      </c>
      <c r="AO721" s="204">
        <f>SUMIF(Allocation[Delivery ID],Delivery[[#This Row],[Delivery ID]],Allocation[Quantity allocated])*16*1.3228*Delivery[[#This Row],[Exchange rate VS USD]]/60</f>
        <v>1480.0685738666664</v>
      </c>
      <c r="AP721" s="204">
        <f>Delivery[[#This Row],[AAA Premium (total)]]</f>
        <v>8494.2293333333328</v>
      </c>
      <c r="AQ721" s="204">
        <f>Delivery[[#This Row],[Valor pago pelo Cluster]]-Delivery[[#This Row],[Valor efetivamente pago pela Nespresso]]</f>
        <v>7014.1607594666666</v>
      </c>
    </row>
    <row r="722" spans="1:43" ht="15.75">
      <c r="A722" s="174" t="s">
        <v>69</v>
      </c>
      <c r="B722" s="232" t="s">
        <v>68</v>
      </c>
      <c r="C722" s="157">
        <v>1</v>
      </c>
      <c r="D722" s="157" t="s">
        <v>468</v>
      </c>
      <c r="E722" s="177" t="s">
        <v>468</v>
      </c>
      <c r="F722" s="233" t="s">
        <v>541</v>
      </c>
      <c r="G722" s="234">
        <v>42997</v>
      </c>
      <c r="H722" s="157" t="s">
        <v>880</v>
      </c>
      <c r="I722" s="157" t="s">
        <v>480</v>
      </c>
      <c r="J722" s="237">
        <v>9292.5</v>
      </c>
      <c r="K722" s="175" t="s">
        <v>61</v>
      </c>
      <c r="L722" s="175" t="s">
        <v>439</v>
      </c>
      <c r="M722" s="175" t="s">
        <v>1343</v>
      </c>
      <c r="N722" s="198"/>
      <c r="O722" s="199"/>
      <c r="P722" s="181">
        <v>0</v>
      </c>
      <c r="Q722" s="177">
        <v>42635</v>
      </c>
      <c r="R722" s="178">
        <v>581.15199999999993</v>
      </c>
      <c r="S722" s="179">
        <v>92000.882534672011</v>
      </c>
      <c r="T722" s="182" t="s">
        <v>45</v>
      </c>
      <c r="U722" s="183">
        <v>3.52</v>
      </c>
      <c r="V722" s="179">
        <v>3816.1200000000003</v>
      </c>
      <c r="W722" s="179">
        <v>1193.183732664</v>
      </c>
      <c r="X722" s="196" t="s">
        <v>45</v>
      </c>
      <c r="Y722" s="200">
        <v>3.52</v>
      </c>
      <c r="Z722" s="220" t="s">
        <v>473</v>
      </c>
      <c r="AA722" s="201">
        <f>Delivery[[#This Row],[Quantity delivered]]*VLOOKUP(Delivery[[#This Row],[Unit]],References!$U:$X,4,FALSE)*VLOOKUP(CONCATENATE(Delivery[[#This Row],[Coffee specie]],Delivery[[#This Row],[Coffee state]]),References!$U:$X,4,FALSE)</f>
        <v>9292.5</v>
      </c>
      <c r="AB722" s="202">
        <f>SUMIF(Allocation!C:C,Delivery[[#This Row],[Delivery ID]],Allocation!D:D)/Delivery[[#This Row],[Quantity delivered]]</f>
        <v>0.81657250470809795</v>
      </c>
      <c r="AC722" s="203">
        <f>Delivery[[#This Row],[Quantity delivered]]*Delivery[[#This Row],[Base price (Unidad)]]/60</f>
        <v>90005.915999999983</v>
      </c>
      <c r="AD722" s="204">
        <f>Delivery[[#This Row],[Nespresso total]]-Delivery[[#This Row],[Qt. Delivery * Base Price]]</f>
        <v>1994.9665346720285</v>
      </c>
      <c r="AE722" s="204">
        <f>Delivery[[#This Row],[AAA Premium (total)]]/Delivery[[#This Row],[Quantity delivered]]*60/Delivery[[#This Row],[Exchange rate VS USD]]</f>
        <v>7</v>
      </c>
      <c r="AF722" s="204">
        <f>Delivery[[#This Row],[BEN premium (total)]]/Delivery[[#This Row],[Quantity delivered]]*60/Delivery[[#This Row],[Exchange rate for premiums VS USD]]</f>
        <v>2.1886854000000002</v>
      </c>
      <c r="AG722" s="204">
        <f>COUNTIF(Delivery[Delivery ID],Delivery[[#This Row],[Delivery ID]])</f>
        <v>1</v>
      </c>
      <c r="AH722" s="204">
        <f>(Delivery[[#This Row],[Nespresso total]]/SUMIF(Allocation!C:C,Delivery[Delivery ID],Allocation!H:H))/Delivery[[#This Row],[Exchange rate VS USD]]</f>
        <v>10.437945030527521</v>
      </c>
      <c r="AI722" s="204">
        <f>(Delivery[[#This Row],[AAA Premium (total)]]/SUMIF(Allocation!C:C,Delivery[Delivery ID],Allocation!H:H))/Delivery[[#This Row],[Exchange rate VS USD]]</f>
        <v>0.43295726837060711</v>
      </c>
      <c r="AJ722" s="204">
        <f>Delivery[[#This Row],[Valor Prêmio Nespresso AAA por Kg (em US$)]]*60</f>
        <v>25.977436102236425</v>
      </c>
      <c r="AK722" s="204">
        <f>Delivery[[#This Row],[Valor Prêmio Nespresso AAA por saca (em US$)]]/1.3228/100</f>
        <v>0.19638219006831284</v>
      </c>
      <c r="AL722" s="204">
        <f>(Delivery[[#This Row],[BEN premium (total)]]/SUMIF(Allocation!C:C,Delivery[Delivery ID],Allocation!H:H))/Delivery[[#This Row],[Exchange rate for premiums VS USD]]</f>
        <v>0.13537246458666136</v>
      </c>
      <c r="AM722" s="204">
        <f>Delivery[[#This Row],[Valor Prêmio Nespresso BEN por Kg (em US$)]]*60</f>
        <v>8.1223478751996812</v>
      </c>
      <c r="AN722" s="204">
        <f>Delivery[[#This Row],[Valor Prêmio Nespresso BEN por saca (em US$)]]/1.3228/100</f>
        <v>6.1402690317505906E-2</v>
      </c>
      <c r="AO722" s="204">
        <f>SUMIF(Allocation[Delivery ID],Delivery[[#This Row],[Delivery ID]],Allocation[Quantity allocated])*16*1.3228*Delivery[[#This Row],[Exchange rate VS USD]]/60</f>
        <v>3109.1373397333332</v>
      </c>
      <c r="AP722" s="204">
        <f>Delivery[[#This Row],[AAA Premium (total)]]</f>
        <v>3816.1200000000003</v>
      </c>
      <c r="AQ722" s="204">
        <f>Delivery[[#This Row],[Valor pago pelo Cluster]]-Delivery[[#This Row],[Valor efetivamente pago pela Nespresso]]</f>
        <v>706.98266026666715</v>
      </c>
    </row>
    <row r="723" spans="1:43" ht="15.75">
      <c r="A723" s="174" t="s">
        <v>69</v>
      </c>
      <c r="B723" s="232" t="s">
        <v>68</v>
      </c>
      <c r="C723" s="157">
        <v>1</v>
      </c>
      <c r="D723" s="157" t="s">
        <v>468</v>
      </c>
      <c r="E723" s="177" t="s">
        <v>468</v>
      </c>
      <c r="F723" s="233" t="s">
        <v>541</v>
      </c>
      <c r="G723" s="234">
        <v>42997</v>
      </c>
      <c r="H723" s="157" t="s">
        <v>881</v>
      </c>
      <c r="I723" s="157" t="s">
        <v>480</v>
      </c>
      <c r="J723" s="237">
        <v>4314</v>
      </c>
      <c r="K723" s="175" t="s">
        <v>61</v>
      </c>
      <c r="L723" s="175" t="s">
        <v>439</v>
      </c>
      <c r="M723" s="175" t="s">
        <v>1343</v>
      </c>
      <c r="N723" s="198"/>
      <c r="O723" s="199"/>
      <c r="P723" s="181">
        <v>0</v>
      </c>
      <c r="Q723" s="177">
        <v>42635</v>
      </c>
      <c r="R723" s="178">
        <v>581.15199999999993</v>
      </c>
      <c r="S723" s="179">
        <v>42736.539978969602</v>
      </c>
      <c r="T723" s="182" t="s">
        <v>45</v>
      </c>
      <c r="U723" s="183">
        <v>3.52</v>
      </c>
      <c r="V723" s="179">
        <v>1771.616</v>
      </c>
      <c r="W723" s="179">
        <v>553.93001051520002</v>
      </c>
      <c r="X723" s="196" t="s">
        <v>45</v>
      </c>
      <c r="Y723" s="200">
        <v>3.52</v>
      </c>
      <c r="Z723" s="220" t="s">
        <v>473</v>
      </c>
      <c r="AA723" s="201">
        <f>Delivery[[#This Row],[Quantity delivered]]*VLOOKUP(Delivery[[#This Row],[Unit]],References!$U:$X,4,FALSE)*VLOOKUP(CONCATENATE(Delivery[[#This Row],[Coffee specie]],Delivery[[#This Row],[Coffee state]]),References!$U:$X,4,FALSE)</f>
        <v>4314</v>
      </c>
      <c r="AB723" s="202">
        <f>SUMIF(Allocation!C:C,Delivery[[#This Row],[Delivery ID]],Allocation!D:D)/Delivery[[#This Row],[Quantity delivered]]</f>
        <v>1</v>
      </c>
      <c r="AC723" s="203">
        <f>Delivery[[#This Row],[Quantity delivered]]*Delivery[[#This Row],[Base price (Unidad)]]/60</f>
        <v>41784.828799999996</v>
      </c>
      <c r="AD723" s="204">
        <f>Delivery[[#This Row],[Nespresso total]]-Delivery[[#This Row],[Qt. Delivery * Base Price]]</f>
        <v>951.71117896960641</v>
      </c>
      <c r="AE723" s="204">
        <f>Delivery[[#This Row],[AAA Premium (total)]]/Delivery[[#This Row],[Quantity delivered]]*60/Delivery[[#This Row],[Exchange rate VS USD]]</f>
        <v>7</v>
      </c>
      <c r="AF723" s="204">
        <f>Delivery[[#This Row],[BEN premium (total)]]/Delivery[[#This Row],[Quantity delivered]]*60/Delivery[[#This Row],[Exchange rate for premiums VS USD]]</f>
        <v>2.1886854000000002</v>
      </c>
      <c r="AG723" s="204">
        <f>COUNTIF(Delivery[Delivery ID],Delivery[[#This Row],[Delivery ID]])</f>
        <v>1</v>
      </c>
      <c r="AH723" s="204">
        <f>(Delivery[[#This Row],[Nespresso total]]/SUMIF(Allocation!C:C,Delivery[Delivery ID],Allocation!H:H))/Delivery[[#This Row],[Exchange rate VS USD]]</f>
        <v>8.142899057025792</v>
      </c>
      <c r="AI723" s="204">
        <f>(Delivery[[#This Row],[AAA Premium (total)]]/SUMIF(Allocation!C:C,Delivery[Delivery ID],Allocation!H:H))/Delivery[[#This Row],[Exchange rate VS USD]]</f>
        <v>0.33755868544600942</v>
      </c>
      <c r="AJ723" s="204">
        <f>Delivery[[#This Row],[Valor Prêmio Nespresso AAA por Kg (em US$)]]*60</f>
        <v>20.253521126760564</v>
      </c>
      <c r="AK723" s="204">
        <f>Delivery[[#This Row],[Valor Prêmio Nespresso AAA por saca (em US$)]]/1.3228/100</f>
        <v>0.15311098523405325</v>
      </c>
      <c r="AL723" s="204">
        <f>(Delivery[[#This Row],[BEN premium (total)]]/SUMIF(Allocation!C:C,Delivery[Delivery ID],Allocation!H:H))/Delivery[[#This Row],[Exchange rate for premiums VS USD]]</f>
        <v>0.10554425235412475</v>
      </c>
      <c r="AM723" s="204">
        <f>Delivery[[#This Row],[Valor Prêmio Nespresso BEN por Kg (em US$)]]*60</f>
        <v>6.3326551412474847</v>
      </c>
      <c r="AN723" s="204">
        <f>Delivery[[#This Row],[Valor Prêmio Nespresso BEN por saca (em US$)]]/1.3228/100</f>
        <v>4.7873111137341134E-2</v>
      </c>
      <c r="AO723" s="204">
        <f>SUMIF(Allocation[Delivery ID],Delivery[[#This Row],[Delivery ID]],Allocation[Quantity allocated])*16*1.3228*Delivery[[#This Row],[Exchange rate VS USD]]/60</f>
        <v>1851.3273856000001</v>
      </c>
      <c r="AP723" s="204">
        <f>Delivery[[#This Row],[AAA Premium (total)]]</f>
        <v>1771.616</v>
      </c>
      <c r="AQ723" s="204">
        <f>Delivery[[#This Row],[Valor pago pelo Cluster]]-Delivery[[#This Row],[Valor efetivamente pago pela Nespresso]]</f>
        <v>-79.711385600000085</v>
      </c>
    </row>
    <row r="724" spans="1:43" ht="15.75">
      <c r="A724" s="174" t="s">
        <v>69</v>
      </c>
      <c r="B724" s="232" t="s">
        <v>68</v>
      </c>
      <c r="C724" s="157">
        <v>1</v>
      </c>
      <c r="D724" s="157" t="s">
        <v>468</v>
      </c>
      <c r="E724" s="177" t="s">
        <v>468</v>
      </c>
      <c r="F724" s="233" t="s">
        <v>541</v>
      </c>
      <c r="G724" s="234">
        <v>42997</v>
      </c>
      <c r="H724" s="157" t="s">
        <v>882</v>
      </c>
      <c r="I724" s="157" t="s">
        <v>480</v>
      </c>
      <c r="J724" s="237">
        <v>5512</v>
      </c>
      <c r="K724" s="175" t="s">
        <v>61</v>
      </c>
      <c r="L724" s="175" t="s">
        <v>439</v>
      </c>
      <c r="M724" s="175" t="s">
        <v>1343</v>
      </c>
      <c r="N724" s="198"/>
      <c r="O724" s="199"/>
      <c r="P724" s="181">
        <v>0</v>
      </c>
      <c r="Q724" s="177">
        <v>42635</v>
      </c>
      <c r="R724" s="178">
        <v>581.15199999999993</v>
      </c>
      <c r="S724" s="179">
        <v>54607.886686156802</v>
      </c>
      <c r="T724" s="182" t="s">
        <v>45</v>
      </c>
      <c r="U724" s="183">
        <v>3.52</v>
      </c>
      <c r="V724" s="179">
        <v>2263.5946666666669</v>
      </c>
      <c r="W724" s="179">
        <v>707.75665692159998</v>
      </c>
      <c r="X724" s="196" t="s">
        <v>45</v>
      </c>
      <c r="Y724" s="200">
        <v>3.52</v>
      </c>
      <c r="Z724" s="220" t="s">
        <v>473</v>
      </c>
      <c r="AA724" s="201">
        <f>Delivery[[#This Row],[Quantity delivered]]*VLOOKUP(Delivery[[#This Row],[Unit]],References!$U:$X,4,FALSE)*VLOOKUP(CONCATENATE(Delivery[[#This Row],[Coffee specie]],Delivery[[#This Row],[Coffee state]]),References!$U:$X,4,FALSE)</f>
        <v>5512</v>
      </c>
      <c r="AB724" s="202">
        <f>SUMIF(Allocation!C:C,Delivery[[#This Row],[Delivery ID]],Allocation!D:D)/Delivery[[#This Row],[Quantity delivered]]</f>
        <v>1</v>
      </c>
      <c r="AC724" s="203">
        <f>Delivery[[#This Row],[Quantity delivered]]*Delivery[[#This Row],[Base price (Unidad)]]/60</f>
        <v>53388.497066666656</v>
      </c>
      <c r="AD724" s="204">
        <f>Delivery[[#This Row],[Nespresso total]]-Delivery[[#This Row],[Qt. Delivery * Base Price]]</f>
        <v>1219.3896194901463</v>
      </c>
      <c r="AE724" s="204">
        <f>Delivery[[#This Row],[AAA Premium (total)]]/Delivery[[#This Row],[Quantity delivered]]*60/Delivery[[#This Row],[Exchange rate VS USD]]</f>
        <v>7</v>
      </c>
      <c r="AF724" s="204">
        <f>Delivery[[#This Row],[BEN premium (total)]]/Delivery[[#This Row],[Quantity delivered]]*60/Delivery[[#This Row],[Exchange rate for premiums VS USD]]</f>
        <v>2.1886854000000002</v>
      </c>
      <c r="AG724" s="204">
        <f>COUNTIF(Delivery[Delivery ID],Delivery[[#This Row],[Delivery ID]])</f>
        <v>1</v>
      </c>
      <c r="AH724" s="204">
        <f>(Delivery[[#This Row],[Nespresso total]]/SUMIF(Allocation!C:C,Delivery[Delivery ID],Allocation!H:H))/Delivery[[#This Row],[Exchange rate VS USD]]</f>
        <v>8.3948074524911451</v>
      </c>
      <c r="AI724" s="204">
        <f>(Delivery[[#This Row],[AAA Premium (total)]]/SUMIF(Allocation!C:C,Delivery[Delivery ID],Allocation!H:H))/Delivery[[#This Row],[Exchange rate VS USD]]</f>
        <v>0.347979797979798</v>
      </c>
      <c r="AJ724" s="204">
        <f>Delivery[[#This Row],[Valor Prêmio Nespresso AAA por Kg (em US$)]]*60</f>
        <v>20.878787878787879</v>
      </c>
      <c r="AK724" s="204">
        <f>Delivery[[#This Row],[Valor Prêmio Nespresso AAA por saca (em US$)]]/1.3228/100</f>
        <v>0.1578378279315685</v>
      </c>
      <c r="AL724" s="204">
        <f>(Delivery[[#This Row],[BEN premium (total)]]/SUMIF(Allocation!C:C,Delivery[Delivery ID],Allocation!H:H))/Delivery[[#This Row],[Exchange rate for premiums VS USD]]</f>
        <v>0.10880261476190477</v>
      </c>
      <c r="AM724" s="204">
        <f>Delivery[[#This Row],[Valor Prêmio Nespresso BEN por Kg (em US$)]]*60</f>
        <v>6.528156885714286</v>
      </c>
      <c r="AN724" s="204">
        <f>Delivery[[#This Row],[Valor Prêmio Nespresso BEN por saca (em US$)]]/1.3228/100</f>
        <v>4.9351049937362307E-2</v>
      </c>
      <c r="AO724" s="204">
        <f>SUMIF(Allocation[Delivery ID],Delivery[[#This Row],[Delivery ID]],Allocation[Quantity allocated])*16*1.3228*Delivery[[#This Row],[Exchange rate VS USD]]/60</f>
        <v>2294.6029567999999</v>
      </c>
      <c r="AP724" s="204">
        <f>Delivery[[#This Row],[AAA Premium (total)]]</f>
        <v>2263.5946666666669</v>
      </c>
      <c r="AQ724" s="204">
        <f>Delivery[[#This Row],[Valor pago pelo Cluster]]-Delivery[[#This Row],[Valor efetivamente pago pela Nespresso]]</f>
        <v>-31.008290133333048</v>
      </c>
    </row>
    <row r="725" spans="1:43" ht="15.75">
      <c r="A725" s="174" t="s">
        <v>69</v>
      </c>
      <c r="B725" s="232" t="s">
        <v>68</v>
      </c>
      <c r="C725" s="157">
        <v>1</v>
      </c>
      <c r="D725" s="157" t="s">
        <v>468</v>
      </c>
      <c r="E725" s="177" t="s">
        <v>468</v>
      </c>
      <c r="F725" s="233" t="s">
        <v>541</v>
      </c>
      <c r="G725" s="234">
        <v>42997</v>
      </c>
      <c r="H725" s="157" t="s">
        <v>883</v>
      </c>
      <c r="I725" s="157" t="s">
        <v>480</v>
      </c>
      <c r="J725" s="237">
        <v>19591.5</v>
      </c>
      <c r="K725" s="175" t="s">
        <v>61</v>
      </c>
      <c r="L725" s="175" t="s">
        <v>439</v>
      </c>
      <c r="M725" s="175" t="s">
        <v>1343</v>
      </c>
      <c r="N725" s="198"/>
      <c r="O725" s="199"/>
      <c r="P725" s="181">
        <v>0</v>
      </c>
      <c r="Q725" s="177">
        <v>42635</v>
      </c>
      <c r="R725" s="178">
        <v>581.15199999999993</v>
      </c>
      <c r="S725" s="179">
        <v>194095.44007834565</v>
      </c>
      <c r="T725" s="182" t="s">
        <v>45</v>
      </c>
      <c r="U725" s="183">
        <v>3.52</v>
      </c>
      <c r="V725" s="179">
        <v>8045.576</v>
      </c>
      <c r="W725" s="179">
        <v>2515.6049608271996</v>
      </c>
      <c r="X725" s="196" t="s">
        <v>45</v>
      </c>
      <c r="Y725" s="200">
        <v>3.52</v>
      </c>
      <c r="Z725" s="220" t="s">
        <v>473</v>
      </c>
      <c r="AA725" s="201">
        <f>Delivery[[#This Row],[Quantity delivered]]*VLOOKUP(Delivery[[#This Row],[Unit]],References!$U:$X,4,FALSE)*VLOOKUP(CONCATENATE(Delivery[[#This Row],[Coffee specie]],Delivery[[#This Row],[Coffee state]]),References!$U:$X,4,FALSE)</f>
        <v>19591.5</v>
      </c>
      <c r="AB725" s="202">
        <f>SUMIF(Allocation!C:C,Delivery[[#This Row],[Delivery ID]],Allocation!D:D)/Delivery[[#This Row],[Quantity delivered]]</f>
        <v>4.3794502718015466E-2</v>
      </c>
      <c r="AC725" s="203">
        <f>Delivery[[#This Row],[Quantity delivered]]*Delivery[[#This Row],[Base price (Unidad)]]/60</f>
        <v>189760.65679999997</v>
      </c>
      <c r="AD725" s="204">
        <f>Delivery[[#This Row],[Nespresso total]]-Delivery[[#This Row],[Qt. Delivery * Base Price]]</f>
        <v>4334.7832783456834</v>
      </c>
      <c r="AE725" s="204">
        <f>Delivery[[#This Row],[AAA Premium (total)]]/Delivery[[#This Row],[Quantity delivered]]*60/Delivery[[#This Row],[Exchange rate VS USD]]</f>
        <v>7</v>
      </c>
      <c r="AF725" s="204">
        <f>Delivery[[#This Row],[BEN premium (total)]]/Delivery[[#This Row],[Quantity delivered]]*60/Delivery[[#This Row],[Exchange rate for premiums VS USD]]</f>
        <v>2.1886853999999998</v>
      </c>
      <c r="AG725" s="204">
        <f>COUNTIF(Delivery[Delivery ID],Delivery[[#This Row],[Delivery ID]])</f>
        <v>1</v>
      </c>
      <c r="AH725" s="204">
        <f>(Delivery[[#This Row],[Nespresso total]]/SUMIF(Allocation!C:C,Delivery[Delivery ID],Allocation!H:H))/Delivery[[#This Row],[Exchange rate VS USD]]</f>
        <v>194.84363965461941</v>
      </c>
      <c r="AI725" s="204">
        <f>(Delivery[[#This Row],[AAA Premium (total)]]/SUMIF(Allocation!C:C,Delivery[Delivery ID],Allocation!H:H))/Delivery[[#This Row],[Exchange rate VS USD]]</f>
        <v>8.0765901060070675</v>
      </c>
      <c r="AJ725" s="204">
        <f>Delivery[[#This Row],[Valor Prêmio Nespresso AAA por Kg (em US$)]]*60</f>
        <v>484.59540636042402</v>
      </c>
      <c r="AK725" s="204">
        <f>Delivery[[#This Row],[Valor Prêmio Nespresso AAA por saca (em US$)]]/1.3228/100</f>
        <v>3.6634064587271244</v>
      </c>
      <c r="AL725" s="204">
        <f>(Delivery[[#This Row],[BEN premium (total)]]/SUMIF(Allocation!C:C,Delivery[Delivery ID],Allocation!H:H))/Delivery[[#This Row],[Exchange rate for premiums VS USD]]</f>
        <v>2.5253021209717312</v>
      </c>
      <c r="AM725" s="204">
        <f>Delivery[[#This Row],[Valor Prêmio Nespresso BEN por Kg (em US$)]]*60</f>
        <v>151.51812725830388</v>
      </c>
      <c r="AN725" s="204">
        <f>Delivery[[#This Row],[Valor Prêmio Nespresso BEN por saca (em US$)]]/1.3228/100</f>
        <v>1.1454348900688229</v>
      </c>
      <c r="AO725" s="204">
        <f>SUMIF(Allocation[Delivery ID],Delivery[[#This Row],[Delivery ID]],Allocation[Quantity allocated])*16*1.3228*Delivery[[#This Row],[Exchange rate VS USD]]/60</f>
        <v>351.39211946666666</v>
      </c>
      <c r="AP725" s="204">
        <f>Delivery[[#This Row],[AAA Premium (total)]]</f>
        <v>8045.576</v>
      </c>
      <c r="AQ725" s="204">
        <f>Delivery[[#This Row],[Valor pago pelo Cluster]]-Delivery[[#This Row],[Valor efetivamente pago pela Nespresso]]</f>
        <v>7694.1838805333336</v>
      </c>
    </row>
    <row r="726" spans="1:43" ht="15.75">
      <c r="A726" s="174" t="s">
        <v>69</v>
      </c>
      <c r="B726" s="232" t="s">
        <v>68</v>
      </c>
      <c r="C726" s="157">
        <v>1</v>
      </c>
      <c r="D726" s="157" t="s">
        <v>468</v>
      </c>
      <c r="E726" s="177" t="s">
        <v>468</v>
      </c>
      <c r="F726" s="233" t="s">
        <v>469</v>
      </c>
      <c r="G726" s="234">
        <v>43014</v>
      </c>
      <c r="H726" s="157" t="s">
        <v>884</v>
      </c>
      <c r="I726" s="157" t="s">
        <v>885</v>
      </c>
      <c r="J726" s="237">
        <v>23290</v>
      </c>
      <c r="K726" s="175" t="s">
        <v>61</v>
      </c>
      <c r="L726" s="175" t="s">
        <v>439</v>
      </c>
      <c r="M726" s="175" t="s">
        <v>1343</v>
      </c>
      <c r="N726" s="198"/>
      <c r="O726" s="199"/>
      <c r="P726" s="181">
        <v>0</v>
      </c>
      <c r="Q726" s="177">
        <v>43007</v>
      </c>
      <c r="R726" s="178">
        <v>405.06057944065105</v>
      </c>
      <c r="S726" s="179">
        <v>170914.85387093402</v>
      </c>
      <c r="T726" s="182" t="s">
        <v>45</v>
      </c>
      <c r="U726" s="183">
        <v>3.1633000373840332</v>
      </c>
      <c r="V726" s="179">
        <v>8595.2134182453156</v>
      </c>
      <c r="W726" s="179">
        <v>2687.4597311996595</v>
      </c>
      <c r="X726" s="196" t="s">
        <v>45</v>
      </c>
      <c r="Y726" s="200">
        <v>3.1633000373840332</v>
      </c>
      <c r="Z726" s="220" t="s">
        <v>473</v>
      </c>
      <c r="AA726" s="201">
        <f>Delivery[[#This Row],[Quantity delivered]]*VLOOKUP(Delivery[[#This Row],[Unit]],References!$U:$X,4,FALSE)*VLOOKUP(CONCATENATE(Delivery[[#This Row],[Coffee specie]],Delivery[[#This Row],[Coffee state]]),References!$U:$X,4,FALSE)</f>
        <v>23290</v>
      </c>
      <c r="AB726" s="202">
        <f>SUMIF(Allocation!C:C,Delivery[[#This Row],[Delivery ID]],Allocation!D:D)/Delivery[[#This Row],[Quantity delivered]]</f>
        <v>1.2881064834693002E-3</v>
      </c>
      <c r="AC726" s="203">
        <f>Delivery[[#This Row],[Quantity delivered]]*Delivery[[#This Row],[Base price (Unidad)]]/60</f>
        <v>157231.01491954605</v>
      </c>
      <c r="AD726" s="204">
        <f>Delivery[[#This Row],[Nespresso total]]-Delivery[[#This Row],[Qt. Delivery * Base Price]]</f>
        <v>13683.838951387967</v>
      </c>
      <c r="AE726" s="204">
        <f>Delivery[[#This Row],[AAA Premium (total)]]/Delivery[[#This Row],[Quantity delivered]]*60/Delivery[[#This Row],[Exchange rate VS USD]]</f>
        <v>7</v>
      </c>
      <c r="AF726" s="204">
        <f>Delivery[[#This Row],[BEN premium (total)]]/Delivery[[#This Row],[Quantity delivered]]*60/Delivery[[#This Row],[Exchange rate for premiums VS USD]]</f>
        <v>2.1886853999999998</v>
      </c>
      <c r="AG726" s="204">
        <f>COUNTIF(Delivery[Delivery ID],Delivery[[#This Row],[Delivery ID]])</f>
        <v>1</v>
      </c>
      <c r="AH726" s="204">
        <f>(Delivery[[#This Row],[Nespresso total]]/SUMIF(Allocation!C:C,Delivery[Delivery ID],Allocation!H:H))/Delivery[[#This Row],[Exchange rate VS USD]]</f>
        <v>5403.0554121029936</v>
      </c>
      <c r="AI726" s="204">
        <f>(Delivery[[#This Row],[AAA Premium (total)]]/SUMIF(Allocation!C:C,Delivery[Delivery ID],Allocation!H:H))/Delivery[[#This Row],[Exchange rate VS USD]]</f>
        <v>271.71666666666664</v>
      </c>
      <c r="AJ726" s="204">
        <f>Delivery[[#This Row],[Valor Prêmio Nespresso AAA por Kg (em US$)]]*60</f>
        <v>16302.999999999998</v>
      </c>
      <c r="AK726" s="204">
        <f>Delivery[[#This Row],[Valor Prêmio Nespresso AAA por saca (em US$)]]/1.3228/100</f>
        <v>123.24614454188084</v>
      </c>
      <c r="AL726" s="204">
        <f>(Delivery[[#This Row],[BEN premium (total)]]/SUMIF(Allocation!C:C,Delivery[Delivery ID],Allocation!H:H))/Delivery[[#This Row],[Exchange rate for premiums VS USD]]</f>
        <v>84.957471609999999</v>
      </c>
      <c r="AM726" s="204">
        <f>Delivery[[#This Row],[Valor Prêmio Nespresso BEN por Kg (em US$)]]*60</f>
        <v>5097.4482965999996</v>
      </c>
      <c r="AN726" s="204">
        <f>Delivery[[#This Row],[Valor Prêmio Nespresso BEN por saca (em US$)]]/1.3228/100</f>
        <v>38.535291023586325</v>
      </c>
      <c r="AO726" s="204">
        <f>SUMIF(Allocation[Delivery ID],Delivery[[#This Row],[Delivery ID]],Allocation[Quantity allocated])*16*1.3228*Delivery[[#This Row],[Exchange rate VS USD]]/60</f>
        <v>11.158435438537598</v>
      </c>
      <c r="AP726" s="204">
        <f>Delivery[[#This Row],[AAA Premium (total)]]</f>
        <v>8595.2134182453156</v>
      </c>
      <c r="AQ726" s="204">
        <f>Delivery[[#This Row],[Valor pago pelo Cluster]]-Delivery[[#This Row],[Valor efetivamente pago pela Nespresso]]</f>
        <v>8584.0549828067778</v>
      </c>
    </row>
    <row r="727" spans="1:43" ht="15.75">
      <c r="A727" s="174" t="s">
        <v>69</v>
      </c>
      <c r="B727" s="232" t="s">
        <v>68</v>
      </c>
      <c r="C727" s="157">
        <v>1</v>
      </c>
      <c r="D727" s="157" t="s">
        <v>468</v>
      </c>
      <c r="E727" s="177" t="s">
        <v>468</v>
      </c>
      <c r="F727" s="233" t="s">
        <v>541</v>
      </c>
      <c r="G727" s="234">
        <v>43195</v>
      </c>
      <c r="H727" s="157" t="s">
        <v>886</v>
      </c>
      <c r="I727" s="157" t="s">
        <v>887</v>
      </c>
      <c r="J727" s="237">
        <v>13845</v>
      </c>
      <c r="K727" s="175" t="s">
        <v>61</v>
      </c>
      <c r="L727" s="175" t="s">
        <v>439</v>
      </c>
      <c r="M727" s="175" t="s">
        <v>1343</v>
      </c>
      <c r="N727" s="198"/>
      <c r="O727" s="199"/>
      <c r="P727" s="181">
        <v>0</v>
      </c>
      <c r="Q727" s="177">
        <v>43186</v>
      </c>
      <c r="R727" s="178">
        <v>398.27896792976389</v>
      </c>
      <c r="S727" s="179">
        <v>100088.66114203515</v>
      </c>
      <c r="T727" s="182" t="s">
        <v>45</v>
      </c>
      <c r="U727" s="183">
        <v>3.328700065612793</v>
      </c>
      <c r="V727" s="179">
        <v>5376.6827809810638</v>
      </c>
      <c r="W727" s="179">
        <v>1528.2944289824225</v>
      </c>
      <c r="X727" s="196" t="s">
        <v>45</v>
      </c>
      <c r="Y727" s="200">
        <v>3.328700065612793</v>
      </c>
      <c r="Z727" s="220" t="s">
        <v>473</v>
      </c>
      <c r="AA727" s="201">
        <f>Delivery[[#This Row],[Quantity delivered]]*VLOOKUP(Delivery[[#This Row],[Unit]],References!$U:$X,4,FALSE)*VLOOKUP(CONCATENATE(Delivery[[#This Row],[Coffee specie]],Delivery[[#This Row],[Coffee state]]),References!$U:$X,4,FALSE)</f>
        <v>13845</v>
      </c>
      <c r="AB727" s="202">
        <f>SUMIF(Allocation!C:C,Delivery[[#This Row],[Delivery ID]],Allocation!D:D)/Delivery[[#This Row],[Quantity delivered]]</f>
        <v>1.4228963524738172E-2</v>
      </c>
      <c r="AC727" s="203">
        <f>Delivery[[#This Row],[Quantity delivered]]*Delivery[[#This Row],[Base price (Unidad)]]/60</f>
        <v>91902.871849793024</v>
      </c>
      <c r="AD727" s="204">
        <f>Delivery[[#This Row],[Nespresso total]]-Delivery[[#This Row],[Qt. Delivery * Base Price]]</f>
        <v>8185.7892922421306</v>
      </c>
      <c r="AE727" s="204">
        <f>Delivery[[#This Row],[AAA Premium (total)]]/Delivery[[#This Row],[Quantity delivered]]*60/Delivery[[#This Row],[Exchange rate VS USD]]</f>
        <v>7</v>
      </c>
      <c r="AF727" s="204">
        <f>Delivery[[#This Row],[BEN premium (total)]]/Delivery[[#This Row],[Quantity delivered]]*60/Delivery[[#This Row],[Exchange rate for premiums VS USD]]</f>
        <v>1.989714</v>
      </c>
      <c r="AG727" s="204">
        <f>COUNTIF(Delivery[Delivery ID],Delivery[[#This Row],[Delivery ID]])</f>
        <v>1</v>
      </c>
      <c r="AH727" s="204">
        <f>(Delivery[[#This Row],[Nespresso total]]/SUMIF(Allocation!C:C,Delivery[Delivery ID],Allocation!H:H))/Delivery[[#This Row],[Exchange rate VS USD]]</f>
        <v>509.6337765553302</v>
      </c>
      <c r="AI727" s="204">
        <f>(Delivery[[#This Row],[AAA Premium (total)]]/SUMIF(Allocation!C:C,Delivery[Delivery ID],Allocation!H:H))/Delivery[[#This Row],[Exchange rate VS USD]]</f>
        <v>27.377118644067796</v>
      </c>
      <c r="AJ727" s="204">
        <f>Delivery[[#This Row],[Valor Prêmio Nespresso AAA por Kg (em US$)]]*60</f>
        <v>1642.6271186440677</v>
      </c>
      <c r="AK727" s="204">
        <f>Delivery[[#This Row],[Valor Prêmio Nespresso AAA por saca (em US$)]]/1.3228/100</f>
        <v>12.417804041760414</v>
      </c>
      <c r="AL727" s="204">
        <f>(Delivery[[#This Row],[BEN premium (total)]]/SUMIF(Allocation!C:C,Delivery[Delivery ID],Allocation!H:H))/Delivery[[#This Row],[Exchange rate for premiums VS USD]]</f>
        <v>7.7818051779661017</v>
      </c>
      <c r="AM727" s="204">
        <f>Delivery[[#This Row],[Valor Prêmio Nespresso BEN por Kg (em US$)]]*60</f>
        <v>466.90831067796609</v>
      </c>
      <c r="AN727" s="204">
        <f>Delivery[[#This Row],[Valor Prêmio Nespresso BEN por saca (em US$)]]/1.3228/100</f>
        <v>3.5296969358781833</v>
      </c>
      <c r="AO727" s="204">
        <f>SUMIF(Allocation[Delivery ID],Delivery[[#This Row],[Delivery ID]],Allocation[Quantity allocated])*16*1.3228*Delivery[[#This Row],[Exchange rate VS USD]]/60</f>
        <v>69.2770832962036</v>
      </c>
      <c r="AP727" s="204">
        <f>Delivery[[#This Row],[AAA Premium (total)]]</f>
        <v>5376.6827809810638</v>
      </c>
      <c r="AQ727" s="204">
        <f>Delivery[[#This Row],[Valor pago pelo Cluster]]-Delivery[[#This Row],[Valor efetivamente pago pela Nespresso]]</f>
        <v>5307.4056976848606</v>
      </c>
    </row>
    <row r="728" spans="1:43" ht="15.75">
      <c r="A728" s="174" t="s">
        <v>69</v>
      </c>
      <c r="B728" s="232" t="s">
        <v>68</v>
      </c>
      <c r="C728" s="157">
        <v>1</v>
      </c>
      <c r="D728" s="157" t="s">
        <v>468</v>
      </c>
      <c r="E728" s="177" t="s">
        <v>468</v>
      </c>
      <c r="F728" s="233" t="s">
        <v>541</v>
      </c>
      <c r="G728" s="234">
        <v>43195</v>
      </c>
      <c r="H728" s="157" t="s">
        <v>888</v>
      </c>
      <c r="I728" s="157" t="s">
        <v>887</v>
      </c>
      <c r="J728" s="237">
        <v>31180</v>
      </c>
      <c r="K728" s="175" t="s">
        <v>61</v>
      </c>
      <c r="L728" s="175" t="s">
        <v>439</v>
      </c>
      <c r="M728" s="175" t="s">
        <v>1343</v>
      </c>
      <c r="N728" s="198"/>
      <c r="O728" s="199"/>
      <c r="P728" s="181">
        <v>0</v>
      </c>
      <c r="Q728" s="177">
        <v>43186</v>
      </c>
      <c r="R728" s="178">
        <v>398.27896792976389</v>
      </c>
      <c r="S728" s="179">
        <v>225407.3278735035</v>
      </c>
      <c r="T728" s="182" t="s">
        <v>45</v>
      </c>
      <c r="U728" s="183">
        <v>3.328700065612793</v>
      </c>
      <c r="V728" s="179">
        <v>12108.701272010803</v>
      </c>
      <c r="W728" s="179">
        <v>3441.8360632482436</v>
      </c>
      <c r="X728" s="196" t="s">
        <v>45</v>
      </c>
      <c r="Y728" s="200">
        <v>3.328700065612793</v>
      </c>
      <c r="Z728" s="220" t="s">
        <v>473</v>
      </c>
      <c r="AA728" s="201">
        <f>Delivery[[#This Row],[Quantity delivered]]*VLOOKUP(Delivery[[#This Row],[Unit]],References!$U:$X,4,FALSE)*VLOOKUP(CONCATENATE(Delivery[[#This Row],[Coffee specie]],Delivery[[#This Row],[Coffee state]]),References!$U:$X,4,FALSE)</f>
        <v>31180</v>
      </c>
      <c r="AB728" s="202">
        <f>SUMIF(Allocation!C:C,Delivery[[#This Row],[Delivery ID]],Allocation!D:D)/Delivery[[#This Row],[Quantity delivered]]</f>
        <v>6.3181526619627967E-3</v>
      </c>
      <c r="AC728" s="203">
        <f>Delivery[[#This Row],[Quantity delivered]]*Delivery[[#This Row],[Base price (Unidad)]]/60</f>
        <v>206972.30366750064</v>
      </c>
      <c r="AD728" s="204">
        <f>Delivery[[#This Row],[Nespresso total]]-Delivery[[#This Row],[Qt. Delivery * Base Price]]</f>
        <v>18435.024206002854</v>
      </c>
      <c r="AE728" s="204">
        <f>Delivery[[#This Row],[AAA Premium (total)]]/Delivery[[#This Row],[Quantity delivered]]*60/Delivery[[#This Row],[Exchange rate VS USD]]</f>
        <v>7</v>
      </c>
      <c r="AF728" s="204">
        <f>Delivery[[#This Row],[BEN premium (total)]]/Delivery[[#This Row],[Quantity delivered]]*60/Delivery[[#This Row],[Exchange rate for premiums VS USD]]</f>
        <v>1.989714</v>
      </c>
      <c r="AG728" s="204">
        <f>COUNTIF(Delivery[Delivery ID],Delivery[[#This Row],[Delivery ID]])</f>
        <v>1</v>
      </c>
      <c r="AH728" s="204">
        <f>(Delivery[[#This Row],[Nespresso total]]/SUMIF(Allocation!C:C,Delivery[Delivery ID],Allocation!H:H))/Delivery[[#This Row],[Exchange rate VS USD]]</f>
        <v>1147.7342833510434</v>
      </c>
      <c r="AI728" s="204">
        <f>(Delivery[[#This Row],[AAA Premium (total)]]/SUMIF(Allocation!C:C,Delivery[Delivery ID],Allocation!H:H))/Delivery[[#This Row],[Exchange rate VS USD]]</f>
        <v>61.655367231638422</v>
      </c>
      <c r="AJ728" s="204">
        <f>Delivery[[#This Row],[Valor Prêmio Nespresso AAA por Kg (em US$)]]*60</f>
        <v>3699.3220338983056</v>
      </c>
      <c r="AK728" s="204">
        <f>Delivery[[#This Row],[Valor Prêmio Nespresso AAA por saca (em US$)]]/1.3228/100</f>
        <v>27.965845433159252</v>
      </c>
      <c r="AL728" s="204">
        <f>(Delivery[[#This Row],[BEN premium (total)]]/SUMIF(Allocation!C:C,Delivery[Delivery ID],Allocation!H:H))/Delivery[[#This Row],[Exchange rate for premiums VS USD]]</f>
        <v>17.52522105084746</v>
      </c>
      <c r="AM728" s="204">
        <f>Delivery[[#This Row],[Valor Prêmio Nespresso BEN por Kg (em US$)]]*60</f>
        <v>1051.5132630508476</v>
      </c>
      <c r="AN728" s="204">
        <f>Delivery[[#This Row],[Valor Prêmio Nespresso BEN por saca (em US$)]]/1.3228/100</f>
        <v>7.9491477400275752</v>
      </c>
      <c r="AO728" s="204">
        <f>SUMIF(Allocation[Delivery ID],Delivery[[#This Row],[Delivery ID]],Allocation[Quantity allocated])*16*1.3228*Delivery[[#This Row],[Exchange rate VS USD]]/60</f>
        <v>69.2770832962036</v>
      </c>
      <c r="AP728" s="204">
        <f>Delivery[[#This Row],[AAA Premium (total)]]</f>
        <v>12108.701272010803</v>
      </c>
      <c r="AQ728" s="204">
        <f>Delivery[[#This Row],[Valor pago pelo Cluster]]-Delivery[[#This Row],[Valor efetivamente pago pela Nespresso]]</f>
        <v>12039.4241887146</v>
      </c>
    </row>
    <row r="729" spans="1:43" ht="15.75">
      <c r="A729" s="174" t="s">
        <v>69</v>
      </c>
      <c r="B729" s="232" t="s">
        <v>68</v>
      </c>
      <c r="C729" s="157">
        <v>1</v>
      </c>
      <c r="D729" s="157" t="s">
        <v>468</v>
      </c>
      <c r="E729" s="177" t="s">
        <v>468</v>
      </c>
      <c r="F729" s="233" t="s">
        <v>541</v>
      </c>
      <c r="G729" s="234">
        <v>43199</v>
      </c>
      <c r="H729" s="157" t="s">
        <v>889</v>
      </c>
      <c r="I729" s="157" t="s">
        <v>887</v>
      </c>
      <c r="J729" s="237">
        <v>30818.5</v>
      </c>
      <c r="K729" s="175" t="s">
        <v>61</v>
      </c>
      <c r="L729" s="175" t="s">
        <v>439</v>
      </c>
      <c r="M729" s="175" t="s">
        <v>1343</v>
      </c>
      <c r="N729" s="198"/>
      <c r="O729" s="199"/>
      <c r="P729" s="181">
        <v>0</v>
      </c>
      <c r="Q729" s="177">
        <v>43186</v>
      </c>
      <c r="R729" s="178">
        <v>398.27896792976389</v>
      </c>
      <c r="S729" s="179">
        <v>222793.96196502785</v>
      </c>
      <c r="T729" s="182" t="s">
        <v>45</v>
      </c>
      <c r="U729" s="183">
        <v>3.328700065612793</v>
      </c>
      <c r="V729" s="179">
        <v>11968.313346743584</v>
      </c>
      <c r="W729" s="179">
        <v>3401.9315174860803</v>
      </c>
      <c r="X729" s="196" t="s">
        <v>45</v>
      </c>
      <c r="Y729" s="200">
        <v>3.328700065612793</v>
      </c>
      <c r="Z729" s="220" t="s">
        <v>473</v>
      </c>
      <c r="AA729" s="201">
        <f>Delivery[[#This Row],[Quantity delivered]]*VLOOKUP(Delivery[[#This Row],[Unit]],References!$U:$X,4,FALSE)*VLOOKUP(CONCATENATE(Delivery[[#This Row],[Coffee specie]],Delivery[[#This Row],[Coffee state]]),References!$U:$X,4,FALSE)</f>
        <v>30818.5</v>
      </c>
      <c r="AB729" s="202">
        <f>SUMIF(Allocation!C:C,Delivery[[#This Row],[Delivery ID]],Allocation!D:D)/Delivery[[#This Row],[Quantity delivered]]</f>
        <v>6.3922643866508753E-3</v>
      </c>
      <c r="AC729" s="203">
        <f>Delivery[[#This Row],[Quantity delivered]]*Delivery[[#This Row],[Base price (Unidad)]]/60</f>
        <v>204572.67288572382</v>
      </c>
      <c r="AD729" s="204">
        <f>Delivery[[#This Row],[Nespresso total]]-Delivery[[#This Row],[Qt. Delivery * Base Price]]</f>
        <v>18221.289079304028</v>
      </c>
      <c r="AE729" s="204">
        <f>Delivery[[#This Row],[AAA Premium (total)]]/Delivery[[#This Row],[Quantity delivered]]*60/Delivery[[#This Row],[Exchange rate VS USD]]</f>
        <v>7</v>
      </c>
      <c r="AF729" s="204">
        <f>Delivery[[#This Row],[BEN premium (total)]]/Delivery[[#This Row],[Quantity delivered]]*60/Delivery[[#This Row],[Exchange rate for premiums VS USD]]</f>
        <v>1.9897139999999998</v>
      </c>
      <c r="AG729" s="204">
        <f>COUNTIF(Delivery[Delivery ID],Delivery[[#This Row],[Delivery ID]])</f>
        <v>1</v>
      </c>
      <c r="AH729" s="204">
        <f>(Delivery[[#This Row],[Nespresso total]]/SUMIF(Allocation!C:C,Delivery[Delivery ID],Allocation!H:H))/Delivery[[#This Row],[Exchange rate VS USD]]</f>
        <v>1134.4274859350264</v>
      </c>
      <c r="AI729" s="204">
        <f>(Delivery[[#This Row],[AAA Premium (total)]]/SUMIF(Allocation!C:C,Delivery[Delivery ID],Allocation!H:H))/Delivery[[#This Row],[Exchange rate VS USD]]</f>
        <v>60.940536723163845</v>
      </c>
      <c r="AJ729" s="204">
        <f>Delivery[[#This Row],[Valor Prêmio Nespresso AAA por Kg (em US$)]]*60</f>
        <v>3656.4322033898306</v>
      </c>
      <c r="AK729" s="204">
        <f>Delivery[[#This Row],[Valor Prêmio Nespresso AAA por saca (em US$)]]/1.3228/100</f>
        <v>27.641610246370057</v>
      </c>
      <c r="AL729" s="204">
        <f>(Delivery[[#This Row],[BEN premium (total)]]/SUMIF(Allocation!C:C,Delivery[Delivery ID],Allocation!H:H))/Delivery[[#This Row],[Exchange rate for premiums VS USD]]</f>
        <v>17.322034155084744</v>
      </c>
      <c r="AM729" s="204">
        <f>Delivery[[#This Row],[Valor Prêmio Nespresso BEN por Kg (em US$)]]*60</f>
        <v>1039.3220493050846</v>
      </c>
      <c r="AN729" s="204">
        <f>Delivery[[#This Row],[Valor Prêmio Nespresso BEN por saca (em US$)]]/1.3228/100</f>
        <v>7.8569855556779906</v>
      </c>
      <c r="AO729" s="204">
        <f>SUMIF(Allocation[Delivery ID],Delivery[[#This Row],[Delivery ID]],Allocation[Quantity allocated])*16*1.3228*Delivery[[#This Row],[Exchange rate VS USD]]/60</f>
        <v>69.2770832962036</v>
      </c>
      <c r="AP729" s="204">
        <f>Delivery[[#This Row],[AAA Premium (total)]]</f>
        <v>11968.313346743584</v>
      </c>
      <c r="AQ729" s="204">
        <f>Delivery[[#This Row],[Valor pago pelo Cluster]]-Delivery[[#This Row],[Valor efetivamente pago pela Nespresso]]</f>
        <v>11899.03626344738</v>
      </c>
    </row>
    <row r="730" spans="1:43" ht="15.75">
      <c r="A730" s="174" t="s">
        <v>69</v>
      </c>
      <c r="B730" s="232" t="s">
        <v>68</v>
      </c>
      <c r="C730" s="157">
        <v>1</v>
      </c>
      <c r="D730" s="157" t="s">
        <v>468</v>
      </c>
      <c r="E730" s="177" t="s">
        <v>468</v>
      </c>
      <c r="F730" s="233" t="s">
        <v>543</v>
      </c>
      <c r="G730" s="234">
        <v>43207</v>
      </c>
      <c r="H730" s="235" t="s">
        <v>1599</v>
      </c>
      <c r="I730" s="157" t="s">
        <v>737</v>
      </c>
      <c r="J730" s="237">
        <v>31617</v>
      </c>
      <c r="K730" s="175" t="s">
        <v>61</v>
      </c>
      <c r="L730" s="175" t="s">
        <v>439</v>
      </c>
      <c r="M730" s="175" t="s">
        <v>1343</v>
      </c>
      <c r="N730" s="198"/>
      <c r="O730" s="199"/>
      <c r="P730" s="181">
        <v>0</v>
      </c>
      <c r="Q730" s="177">
        <v>43201</v>
      </c>
      <c r="R730" s="178">
        <v>406.90104000000002</v>
      </c>
      <c r="S730" s="179">
        <v>230381.57298876412</v>
      </c>
      <c r="T730" s="182" t="s">
        <v>45</v>
      </c>
      <c r="U730" s="183">
        <v>3.3852000000000002</v>
      </c>
      <c r="V730" s="179">
        <v>12460.94</v>
      </c>
      <c r="W730" s="179">
        <v>4377.4870112358831</v>
      </c>
      <c r="X730" s="196" t="s">
        <v>45</v>
      </c>
      <c r="Y730" s="200">
        <v>3.3852000000000002</v>
      </c>
      <c r="Z730" s="220" t="s">
        <v>473</v>
      </c>
      <c r="AA730" s="201">
        <f>Delivery[[#This Row],[Quantity delivered]]*VLOOKUP(Delivery[[#This Row],[Unit]],References!$U:$X,4,FALSE)*VLOOKUP(CONCATENATE(Delivery[[#This Row],[Coffee specie]],Delivery[[#This Row],[Coffee state]]),References!$U:$X,4,FALSE)</f>
        <v>31617</v>
      </c>
      <c r="AB730" s="202">
        <f>SUMIF(Allocation!C:C,Delivery[[#This Row],[Delivery ID]],Allocation!D:D)/Delivery[[#This Row],[Quantity delivered]]</f>
        <v>0.44662681468830062</v>
      </c>
      <c r="AC730" s="203">
        <f>Delivery[[#This Row],[Quantity delivered]]*Delivery[[#This Row],[Base price (Unidad)]]/60</f>
        <v>214416.50302800004</v>
      </c>
      <c r="AD730" s="204">
        <f>Delivery[[#This Row],[Nespresso total]]-Delivery[[#This Row],[Qt. Delivery * Base Price]]</f>
        <v>15965.069960764085</v>
      </c>
      <c r="AE730" s="204">
        <f>Delivery[[#This Row],[AAA Premium (total)]]/Delivery[[#This Row],[Quantity delivered]]*60/Delivery[[#This Row],[Exchange rate VS USD]]</f>
        <v>6.9854930327093623</v>
      </c>
      <c r="AF730" s="204">
        <f>Delivery[[#This Row],[BEN premium (total)]]/Delivery[[#This Row],[Quantity delivered]]*60/Delivery[[#This Row],[Exchange rate for premiums VS USD]]</f>
        <v>2.4539805999999995</v>
      </c>
      <c r="AG730" s="204">
        <f>COUNTIF(Delivery[Delivery ID],Delivery[[#This Row],[Delivery ID]])</f>
        <v>1</v>
      </c>
      <c r="AH730" s="204">
        <f>(Delivery[[#This Row],[Nespresso total]]/SUMIF(Allocation!C:C,Delivery[Delivery ID],Allocation!H:H))/Delivery[[#This Row],[Exchange rate VS USD]]</f>
        <v>13.024981412970961</v>
      </c>
      <c r="AI730" s="204">
        <f>(Delivery[[#This Row],[AAA Premium (total)]]/SUMIF(Allocation!C:C,Delivery[Delivery ID],Allocation!H:H))/Delivery[[#This Row],[Exchange rate VS USD]]</f>
        <v>0.70449867054281312</v>
      </c>
      <c r="AJ730" s="204">
        <f>Delivery[[#This Row],[Valor Prêmio Nespresso AAA por Kg (em US$)]]*60</f>
        <v>42.269920232568786</v>
      </c>
      <c r="AK730" s="204">
        <f>Delivery[[#This Row],[Valor Prêmio Nespresso AAA por saca (em US$)]]/1.3228/100</f>
        <v>0.31954883756099778</v>
      </c>
      <c r="AL730" s="204">
        <f>(Delivery[[#This Row],[BEN premium (total)]]/SUMIF(Allocation!C:C,Delivery[Delivery ID],Allocation!H:H))/Delivery[[#This Row],[Exchange rate for premiums VS USD]]</f>
        <v>0.24748805304688987</v>
      </c>
      <c r="AM730" s="204">
        <f>Delivery[[#This Row],[Valor Prêmio Nespresso BEN por Kg (em US$)]]*60</f>
        <v>14.849283182813393</v>
      </c>
      <c r="AN730" s="204">
        <f>Delivery[[#This Row],[Valor Prêmio Nespresso BEN por saca (em US$)]]/1.3228/100</f>
        <v>0.11225644982471569</v>
      </c>
      <c r="AO730" s="204">
        <f>SUMIF(Allocation[Delivery ID],Delivery[[#This Row],[Delivery ID]],Allocation[Quantity allocated])*16*1.3228*Delivery[[#This Row],[Exchange rate VS USD]]/60</f>
        <v>6239.2666336000002</v>
      </c>
      <c r="AP730" s="204">
        <f>Delivery[[#This Row],[AAA Premium (total)]]</f>
        <v>12460.94</v>
      </c>
      <c r="AQ730" s="204">
        <f>Delivery[[#This Row],[Valor pago pelo Cluster]]-Delivery[[#This Row],[Valor efetivamente pago pela Nespresso]]</f>
        <v>6221.6733664000003</v>
      </c>
    </row>
    <row r="731" spans="1:43" ht="15.75">
      <c r="A731" s="174" t="s">
        <v>69</v>
      </c>
      <c r="B731" s="232" t="s">
        <v>68</v>
      </c>
      <c r="C731" s="157">
        <v>1</v>
      </c>
      <c r="D731" s="157" t="s">
        <v>468</v>
      </c>
      <c r="E731" s="177" t="s">
        <v>468</v>
      </c>
      <c r="F731" s="233" t="s">
        <v>543</v>
      </c>
      <c r="G731" s="234">
        <v>43207</v>
      </c>
      <c r="H731" s="235" t="s">
        <v>1600</v>
      </c>
      <c r="I731" s="157" t="s">
        <v>737</v>
      </c>
      <c r="J731" s="237">
        <v>31637</v>
      </c>
      <c r="K731" s="175" t="s">
        <v>61</v>
      </c>
      <c r="L731" s="175" t="s">
        <v>439</v>
      </c>
      <c r="M731" s="175" t="s">
        <v>1343</v>
      </c>
      <c r="N731" s="198"/>
      <c r="O731" s="199"/>
      <c r="P731" s="181">
        <v>0</v>
      </c>
      <c r="Q731" s="177">
        <v>43201</v>
      </c>
      <c r="R731" s="178">
        <v>406.90104000000002</v>
      </c>
      <c r="S731" s="179">
        <v>230378.80391705508</v>
      </c>
      <c r="T731" s="182" t="s">
        <v>45</v>
      </c>
      <c r="U731" s="183">
        <v>3.3852000000000002</v>
      </c>
      <c r="V731" s="179">
        <v>12460.94</v>
      </c>
      <c r="W731" s="179">
        <v>4380.2560829449239</v>
      </c>
      <c r="X731" s="196" t="s">
        <v>45</v>
      </c>
      <c r="Y731" s="200">
        <v>3.3852000000000002</v>
      </c>
      <c r="Z731" s="220" t="s">
        <v>473</v>
      </c>
      <c r="AA731" s="201">
        <f>Delivery[[#This Row],[Quantity delivered]]*VLOOKUP(Delivery[[#This Row],[Unit]],References!$U:$X,4,FALSE)*VLOOKUP(CONCATENATE(Delivery[[#This Row],[Coffee specie]],Delivery[[#This Row],[Coffee state]]),References!$U:$X,4,FALSE)</f>
        <v>31637</v>
      </c>
      <c r="AB731" s="202">
        <f>SUMIF(Allocation!C:C,Delivery[[#This Row],[Delivery ID]],Allocation!D:D)/Delivery[[#This Row],[Quantity delivered]]</f>
        <v>0.44662894711887979</v>
      </c>
      <c r="AC731" s="203">
        <f>Delivery[[#This Row],[Quantity delivered]]*Delivery[[#This Row],[Base price (Unidad)]]/60</f>
        <v>214552.13670800003</v>
      </c>
      <c r="AD731" s="204">
        <f>Delivery[[#This Row],[Nespresso total]]-Delivery[[#This Row],[Qt. Delivery * Base Price]]</f>
        <v>15826.667209055042</v>
      </c>
      <c r="AE731" s="204">
        <f>Delivery[[#This Row],[AAA Premium (total)]]/Delivery[[#This Row],[Quantity delivered]]*60/Delivery[[#This Row],[Exchange rate VS USD]]</f>
        <v>6.9810770052524553</v>
      </c>
      <c r="AF731" s="204">
        <f>Delivery[[#This Row],[BEN premium (total)]]/Delivery[[#This Row],[Quantity delivered]]*60/Delivery[[#This Row],[Exchange rate for premiums VS USD]]</f>
        <v>2.4539806</v>
      </c>
      <c r="AG731" s="204">
        <f>COUNTIF(Delivery[Delivery ID],Delivery[[#This Row],[Delivery ID]])</f>
        <v>1</v>
      </c>
      <c r="AH731" s="204">
        <f>(Delivery[[#This Row],[Nespresso total]]/SUMIF(Allocation!C:C,Delivery[Delivery ID],Allocation!H:H))/Delivery[[#This Row],[Exchange rate VS USD]]</f>
        <v>13.017350782180557</v>
      </c>
      <c r="AI731" s="204">
        <f>(Delivery[[#This Row],[AAA Premium (total)]]/SUMIF(Allocation!C:C,Delivery[Delivery ID],Allocation!H:H))/Delivery[[#This Row],[Exchange rate VS USD]]</f>
        <v>0.70409440581220328</v>
      </c>
      <c r="AJ731" s="204">
        <f>Delivery[[#This Row],[Valor Prêmio Nespresso AAA por Kg (em US$)]]*60</f>
        <v>42.245664348732198</v>
      </c>
      <c r="AK731" s="204">
        <f>Delivery[[#This Row],[Valor Prêmio Nespresso AAA por saca (em US$)]]/1.3228/100</f>
        <v>0.31936546982712577</v>
      </c>
      <c r="AL731" s="204">
        <f>(Delivery[[#This Row],[BEN premium (total)]]/SUMIF(Allocation!C:C,Delivery[Delivery ID],Allocation!H:H))/Delivery[[#This Row],[Exchange rate for premiums VS USD]]</f>
        <v>0.24750250013453201</v>
      </c>
      <c r="AM731" s="204">
        <f>Delivery[[#This Row],[Valor Prêmio Nespresso BEN por Kg (em US$)]]*60</f>
        <v>14.850150008071921</v>
      </c>
      <c r="AN731" s="204">
        <f>Delivery[[#This Row],[Valor Prêmio Nespresso BEN por saca (em US$)]]/1.3228/100</f>
        <v>0.11226300278252133</v>
      </c>
      <c r="AO731" s="204">
        <f>SUMIF(Allocation[Delivery ID],Delivery[[#This Row],[Delivery ID]],Allocation[Quantity allocated])*16*1.3228*Delivery[[#This Row],[Exchange rate VS USD]]/60</f>
        <v>6242.8489876480007</v>
      </c>
      <c r="AP731" s="204">
        <f>Delivery[[#This Row],[AAA Premium (total)]]</f>
        <v>12460.94</v>
      </c>
      <c r="AQ731" s="204">
        <f>Delivery[[#This Row],[Valor pago pelo Cluster]]-Delivery[[#This Row],[Valor efetivamente pago pela Nespresso]]</f>
        <v>6218.0910123519998</v>
      </c>
    </row>
    <row r="732" spans="1:43" ht="15.75">
      <c r="A732" s="174" t="s">
        <v>69</v>
      </c>
      <c r="B732" s="232" t="s">
        <v>68</v>
      </c>
      <c r="C732" s="157">
        <v>1</v>
      </c>
      <c r="D732" s="157" t="s">
        <v>468</v>
      </c>
      <c r="E732" s="177" t="s">
        <v>468</v>
      </c>
      <c r="F732" s="233" t="s">
        <v>543</v>
      </c>
      <c r="G732" s="234">
        <v>43207</v>
      </c>
      <c r="H732" s="235" t="s">
        <v>1601</v>
      </c>
      <c r="I732" s="157" t="s">
        <v>737</v>
      </c>
      <c r="J732" s="237">
        <v>31597</v>
      </c>
      <c r="K732" s="175" t="s">
        <v>61</v>
      </c>
      <c r="L732" s="175" t="s">
        <v>439</v>
      </c>
      <c r="M732" s="175" t="s">
        <v>1343</v>
      </c>
      <c r="N732" s="198"/>
      <c r="O732" s="199"/>
      <c r="P732" s="181">
        <v>0</v>
      </c>
      <c r="Q732" s="177">
        <v>43201</v>
      </c>
      <c r="R732" s="178">
        <v>406.90104000000002</v>
      </c>
      <c r="S732" s="179">
        <v>230384.34206047317</v>
      </c>
      <c r="T732" s="182" t="s">
        <v>45</v>
      </c>
      <c r="U732" s="183">
        <v>3.3852000000000002</v>
      </c>
      <c r="V732" s="179">
        <v>12460.94</v>
      </c>
      <c r="W732" s="179">
        <v>4374.717939526844</v>
      </c>
      <c r="X732" s="196" t="s">
        <v>45</v>
      </c>
      <c r="Y732" s="200">
        <v>3.3852000000000002</v>
      </c>
      <c r="Z732" s="220" t="s">
        <v>473</v>
      </c>
      <c r="AA732" s="201">
        <f>Delivery[[#This Row],[Quantity delivered]]*VLOOKUP(Delivery[[#This Row],[Unit]],References!$U:$X,4,FALSE)*VLOOKUP(CONCATENATE(Delivery[[#This Row],[Coffee specie]],Delivery[[#This Row],[Coffee state]]),References!$U:$X,4,FALSE)</f>
        <v>31597</v>
      </c>
      <c r="AB732" s="202">
        <f>SUMIF(Allocation!C:C,Delivery[[#This Row],[Delivery ID]],Allocation!D:D)/Delivery[[#This Row],[Quantity delivered]]</f>
        <v>0.4465930309839542</v>
      </c>
      <c r="AC732" s="203">
        <f>Delivery[[#This Row],[Quantity delivered]]*Delivery[[#This Row],[Base price (Unidad)]]/60</f>
        <v>214280.86934800001</v>
      </c>
      <c r="AD732" s="204">
        <f>Delivery[[#This Row],[Nespresso total]]-Delivery[[#This Row],[Qt. Delivery * Base Price]]</f>
        <v>16103.472712473158</v>
      </c>
      <c r="AE732" s="204">
        <f>Delivery[[#This Row],[AAA Premium (total)]]/Delivery[[#This Row],[Quantity delivered]]*60/Delivery[[#This Row],[Exchange rate VS USD]]</f>
        <v>6.989914650605181</v>
      </c>
      <c r="AF732" s="204">
        <f>Delivery[[#This Row],[BEN premium (total)]]/Delivery[[#This Row],[Quantity delivered]]*60/Delivery[[#This Row],[Exchange rate for premiums VS USD]]</f>
        <v>2.4539806</v>
      </c>
      <c r="AG732" s="204">
        <f>COUNTIF(Delivery[Delivery ID],Delivery[[#This Row],[Delivery ID]])</f>
        <v>1</v>
      </c>
      <c r="AH732" s="204">
        <f>(Delivery[[#This Row],[Nespresso total]]/SUMIF(Allocation!C:C,Delivery[Delivery ID],Allocation!H:H))/Delivery[[#This Row],[Exchange rate VS USD]]</f>
        <v>13.035117003697877</v>
      </c>
      <c r="AI732" s="204">
        <f>(Delivery[[#This Row],[AAA Premium (total)]]/SUMIF(Allocation!C:C,Delivery[Delivery ID],Allocation!H:H))/Delivery[[#This Row],[Exchange rate VS USD]]</f>
        <v>0.70503841286845415</v>
      </c>
      <c r="AJ732" s="204">
        <f>Delivery[[#This Row],[Valor Prêmio Nespresso AAA por Kg (em US$)]]*60</f>
        <v>42.302304772107249</v>
      </c>
      <c r="AK732" s="204">
        <f>Delivery[[#This Row],[Valor Prêmio Nespresso AAA por saca (em US$)]]/1.3228/100</f>
        <v>0.31979365567060214</v>
      </c>
      <c r="AL732" s="204">
        <f>(Delivery[[#This Row],[BEN premium (total)]]/SUMIF(Allocation!C:C,Delivery[Delivery ID],Allocation!H:H))/Delivery[[#This Row],[Exchange rate for premiums VS USD]]</f>
        <v>0.24752098901296046</v>
      </c>
      <c r="AM732" s="204">
        <f>Delivery[[#This Row],[Valor Prêmio Nespresso BEN por Kg (em US$)]]*60</f>
        <v>14.851259340777627</v>
      </c>
      <c r="AN732" s="204">
        <f>Delivery[[#This Row],[Valor Prêmio Nespresso BEN por saca (em US$)]]/1.3228/100</f>
        <v>0.11227138902916259</v>
      </c>
      <c r="AO732" s="204">
        <f>SUMIF(Allocation[Delivery ID],Delivery[[#This Row],[Delivery ID]],Allocation[Quantity allocated])*16*1.3228*Delivery[[#This Row],[Exchange rate VS USD]]/60</f>
        <v>6234.4901615359995</v>
      </c>
      <c r="AP732" s="204">
        <f>Delivery[[#This Row],[AAA Premium (total)]]</f>
        <v>12460.94</v>
      </c>
      <c r="AQ732" s="204">
        <f>Delivery[[#This Row],[Valor pago pelo Cluster]]-Delivery[[#This Row],[Valor efetivamente pago pela Nespresso]]</f>
        <v>6226.449838464001</v>
      </c>
    </row>
    <row r="733" spans="1:43" ht="15.75">
      <c r="A733" s="174" t="s">
        <v>69</v>
      </c>
      <c r="B733" s="232" t="s">
        <v>68</v>
      </c>
      <c r="C733" s="157">
        <v>1</v>
      </c>
      <c r="D733" s="157" t="s">
        <v>468</v>
      </c>
      <c r="E733" s="177" t="s">
        <v>468</v>
      </c>
      <c r="F733" s="233" t="s">
        <v>543</v>
      </c>
      <c r="G733" s="234">
        <v>43207</v>
      </c>
      <c r="H733" s="235" t="s">
        <v>1602</v>
      </c>
      <c r="I733" s="157" t="s">
        <v>737</v>
      </c>
      <c r="J733" s="237">
        <v>31617</v>
      </c>
      <c r="K733" s="175" t="s">
        <v>61</v>
      </c>
      <c r="L733" s="175" t="s">
        <v>439</v>
      </c>
      <c r="M733" s="175" t="s">
        <v>1343</v>
      </c>
      <c r="N733" s="198"/>
      <c r="O733" s="199"/>
      <c r="P733" s="181">
        <v>0</v>
      </c>
      <c r="Q733" s="177">
        <v>43201</v>
      </c>
      <c r="R733" s="178">
        <v>406.90104000000002</v>
      </c>
      <c r="S733" s="179">
        <v>230381.57298876412</v>
      </c>
      <c r="T733" s="182" t="s">
        <v>45</v>
      </c>
      <c r="U733" s="183">
        <v>3.3852000000000002</v>
      </c>
      <c r="V733" s="179">
        <v>12460.94</v>
      </c>
      <c r="W733" s="179">
        <v>4377.4870112358831</v>
      </c>
      <c r="X733" s="196" t="s">
        <v>45</v>
      </c>
      <c r="Y733" s="200">
        <v>3.3852000000000002</v>
      </c>
      <c r="Z733" s="220" t="s">
        <v>473</v>
      </c>
      <c r="AA733" s="201">
        <f>Delivery[[#This Row],[Quantity delivered]]*VLOOKUP(Delivery[[#This Row],[Unit]],References!$U:$X,4,FALSE)*VLOOKUP(CONCATENATE(Delivery[[#This Row],[Coffee specie]],Delivery[[#This Row],[Coffee state]]),References!$U:$X,4,FALSE)</f>
        <v>31617</v>
      </c>
      <c r="AB733" s="202">
        <f>SUMIF(Allocation!C:C,Delivery[[#This Row],[Delivery ID]],Allocation!D:D)/Delivery[[#This Row],[Quantity delivered]]</f>
        <v>0.44672170035107694</v>
      </c>
      <c r="AC733" s="203">
        <f>Delivery[[#This Row],[Quantity delivered]]*Delivery[[#This Row],[Base price (Unidad)]]/60</f>
        <v>214416.50302800004</v>
      </c>
      <c r="AD733" s="204">
        <f>Delivery[[#This Row],[Nespresso total]]-Delivery[[#This Row],[Qt. Delivery * Base Price]]</f>
        <v>15965.069960764085</v>
      </c>
      <c r="AE733" s="204">
        <f>Delivery[[#This Row],[AAA Premium (total)]]/Delivery[[#This Row],[Quantity delivered]]*60/Delivery[[#This Row],[Exchange rate VS USD]]</f>
        <v>6.9854930327093623</v>
      </c>
      <c r="AF733" s="204">
        <f>Delivery[[#This Row],[BEN premium (total)]]/Delivery[[#This Row],[Quantity delivered]]*60/Delivery[[#This Row],[Exchange rate for premiums VS USD]]</f>
        <v>2.4539805999999995</v>
      </c>
      <c r="AG733" s="204">
        <f>COUNTIF(Delivery[Delivery ID],Delivery[[#This Row],[Delivery ID]])</f>
        <v>1</v>
      </c>
      <c r="AH733" s="204">
        <f>(Delivery[[#This Row],[Nespresso total]]/SUMIF(Allocation!C:C,Delivery[Delivery ID],Allocation!H:H))/Delivery[[#This Row],[Exchange rate VS USD]]</f>
        <v>13.022489070565113</v>
      </c>
      <c r="AI733" s="204">
        <f>(Delivery[[#This Row],[AAA Premium (total)]]/SUMIF(Allocation!C:C,Delivery[Delivery ID],Allocation!H:H))/Delivery[[#This Row],[Exchange rate VS USD]]</f>
        <v>0.70436386406165297</v>
      </c>
      <c r="AJ733" s="204">
        <f>Delivery[[#This Row],[Valor Prêmio Nespresso AAA por Kg (em US$)]]*60</f>
        <v>42.261831843699177</v>
      </c>
      <c r="AK733" s="204">
        <f>Delivery[[#This Row],[Valor Prêmio Nespresso AAA por saca (em US$)]]/1.3228/100</f>
        <v>0.31948769159131524</v>
      </c>
      <c r="AL733" s="204">
        <f>(Delivery[[#This Row],[BEN premium (total)]]/SUMIF(Allocation!C:C,Delivery[Delivery ID],Allocation!H:H))/Delivery[[#This Row],[Exchange rate for premiums VS USD]]</f>
        <v>0.24744069597588972</v>
      </c>
      <c r="AM733" s="204">
        <f>Delivery[[#This Row],[Valor Prêmio Nespresso BEN por Kg (em US$)]]*60</f>
        <v>14.846441758553382</v>
      </c>
      <c r="AN733" s="204">
        <f>Delivery[[#This Row],[Valor Prêmio Nespresso BEN por saca (em US$)]]/1.3228/100</f>
        <v>0.11223496944778789</v>
      </c>
      <c r="AO733" s="204">
        <f>SUMIF(Allocation[Delivery ID],Delivery[[#This Row],[Delivery ID]],Allocation[Quantity allocated])*16*1.3228*Delivery[[#This Row],[Exchange rate VS USD]]/60</f>
        <v>6240.4607516160004</v>
      </c>
      <c r="AP733" s="204">
        <f>Delivery[[#This Row],[AAA Premium (total)]]</f>
        <v>12460.94</v>
      </c>
      <c r="AQ733" s="204">
        <f>Delivery[[#This Row],[Valor pago pelo Cluster]]-Delivery[[#This Row],[Valor efetivamente pago pela Nespresso]]</f>
        <v>6220.4792483840001</v>
      </c>
    </row>
    <row r="734" spans="1:43" ht="15.75">
      <c r="A734" s="174" t="s">
        <v>69</v>
      </c>
      <c r="B734" s="232" t="s">
        <v>68</v>
      </c>
      <c r="C734" s="157">
        <v>1</v>
      </c>
      <c r="D734" s="157" t="s">
        <v>468</v>
      </c>
      <c r="E734" s="177" t="s">
        <v>468</v>
      </c>
      <c r="F734" s="233" t="s">
        <v>543</v>
      </c>
      <c r="G734" s="234">
        <v>43207</v>
      </c>
      <c r="H734" s="235" t="s">
        <v>1603</v>
      </c>
      <c r="I734" s="157" t="s">
        <v>737</v>
      </c>
      <c r="J734" s="237">
        <v>31597</v>
      </c>
      <c r="K734" s="175" t="s">
        <v>61</v>
      </c>
      <c r="L734" s="175" t="s">
        <v>439</v>
      </c>
      <c r="M734" s="175" t="s">
        <v>1343</v>
      </c>
      <c r="N734" s="198"/>
      <c r="O734" s="199"/>
      <c r="P734" s="181">
        <v>0</v>
      </c>
      <c r="Q734" s="177">
        <v>43201</v>
      </c>
      <c r="R734" s="178">
        <v>406.90104000000002</v>
      </c>
      <c r="S734" s="179">
        <v>230384.34206047317</v>
      </c>
      <c r="T734" s="182" t="s">
        <v>45</v>
      </c>
      <c r="U734" s="183">
        <v>3.3852000000000002</v>
      </c>
      <c r="V734" s="179">
        <v>12460.94</v>
      </c>
      <c r="W734" s="179">
        <v>4374.717939526844</v>
      </c>
      <c r="X734" s="196" t="s">
        <v>45</v>
      </c>
      <c r="Y734" s="200">
        <v>3.3852000000000002</v>
      </c>
      <c r="Z734" s="220" t="s">
        <v>473</v>
      </c>
      <c r="AA734" s="201">
        <f>Delivery[[#This Row],[Quantity delivered]]*VLOOKUP(Delivery[[#This Row],[Unit]],References!$U:$X,4,FALSE)*VLOOKUP(CONCATENATE(Delivery[[#This Row],[Coffee specie]],Delivery[[#This Row],[Coffee state]]),References!$U:$X,4,FALSE)</f>
        <v>31597</v>
      </c>
      <c r="AB734" s="202">
        <f>SUMIF(Allocation!C:C,Delivery[[#This Row],[Delivery ID]],Allocation!D:D)/Delivery[[#This Row],[Quantity delivered]]</f>
        <v>0.4465930309839542</v>
      </c>
      <c r="AC734" s="203">
        <f>Delivery[[#This Row],[Quantity delivered]]*Delivery[[#This Row],[Base price (Unidad)]]/60</f>
        <v>214280.86934800001</v>
      </c>
      <c r="AD734" s="204">
        <f>Delivery[[#This Row],[Nespresso total]]-Delivery[[#This Row],[Qt. Delivery * Base Price]]</f>
        <v>16103.472712473158</v>
      </c>
      <c r="AE734" s="204">
        <f>Delivery[[#This Row],[AAA Premium (total)]]/Delivery[[#This Row],[Quantity delivered]]*60/Delivery[[#This Row],[Exchange rate VS USD]]</f>
        <v>6.989914650605181</v>
      </c>
      <c r="AF734" s="204">
        <f>Delivery[[#This Row],[BEN premium (total)]]/Delivery[[#This Row],[Quantity delivered]]*60/Delivery[[#This Row],[Exchange rate for premiums VS USD]]</f>
        <v>2.4539806</v>
      </c>
      <c r="AG734" s="204">
        <f>COUNTIF(Delivery[Delivery ID],Delivery[[#This Row],[Delivery ID]])</f>
        <v>1</v>
      </c>
      <c r="AH734" s="204">
        <f>(Delivery[[#This Row],[Nespresso total]]/SUMIF(Allocation!C:C,Delivery[Delivery ID],Allocation!H:H))/Delivery[[#This Row],[Exchange rate VS USD]]</f>
        <v>13.035117003697877</v>
      </c>
      <c r="AI734" s="204">
        <f>(Delivery[[#This Row],[AAA Premium (total)]]/SUMIF(Allocation!C:C,Delivery[Delivery ID],Allocation!H:H))/Delivery[[#This Row],[Exchange rate VS USD]]</f>
        <v>0.70503841286845415</v>
      </c>
      <c r="AJ734" s="204">
        <f>Delivery[[#This Row],[Valor Prêmio Nespresso AAA por Kg (em US$)]]*60</f>
        <v>42.302304772107249</v>
      </c>
      <c r="AK734" s="204">
        <f>Delivery[[#This Row],[Valor Prêmio Nespresso AAA por saca (em US$)]]/1.3228/100</f>
        <v>0.31979365567060214</v>
      </c>
      <c r="AL734" s="204">
        <f>(Delivery[[#This Row],[BEN premium (total)]]/SUMIF(Allocation!C:C,Delivery[Delivery ID],Allocation!H:H))/Delivery[[#This Row],[Exchange rate for premiums VS USD]]</f>
        <v>0.24752098901296046</v>
      </c>
      <c r="AM734" s="204">
        <f>Delivery[[#This Row],[Valor Prêmio Nespresso BEN por Kg (em US$)]]*60</f>
        <v>14.851259340777627</v>
      </c>
      <c r="AN734" s="204">
        <f>Delivery[[#This Row],[Valor Prêmio Nespresso BEN por saca (em US$)]]/1.3228/100</f>
        <v>0.11227138902916259</v>
      </c>
      <c r="AO734" s="204">
        <f>SUMIF(Allocation[Delivery ID],Delivery[[#This Row],[Delivery ID]],Allocation[Quantity allocated])*16*1.3228*Delivery[[#This Row],[Exchange rate VS USD]]/60</f>
        <v>6234.4901615359995</v>
      </c>
      <c r="AP734" s="204">
        <f>Delivery[[#This Row],[AAA Premium (total)]]</f>
        <v>12460.94</v>
      </c>
      <c r="AQ734" s="204">
        <f>Delivery[[#This Row],[Valor pago pelo Cluster]]-Delivery[[#This Row],[Valor efetivamente pago pela Nespresso]]</f>
        <v>6226.449838464001</v>
      </c>
    </row>
    <row r="735" spans="1:43" ht="15.75">
      <c r="A735" s="174" t="s">
        <v>69</v>
      </c>
      <c r="B735" s="232" t="s">
        <v>68</v>
      </c>
      <c r="C735" s="157">
        <v>1</v>
      </c>
      <c r="D735" s="157" t="s">
        <v>468</v>
      </c>
      <c r="E735" s="177" t="s">
        <v>468</v>
      </c>
      <c r="F735" s="233" t="s">
        <v>543</v>
      </c>
      <c r="G735" s="234">
        <v>43207</v>
      </c>
      <c r="H735" s="235" t="s">
        <v>1604</v>
      </c>
      <c r="I735" s="157" t="s">
        <v>737</v>
      </c>
      <c r="J735" s="237">
        <v>25541</v>
      </c>
      <c r="K735" s="175" t="s">
        <v>61</v>
      </c>
      <c r="L735" s="175" t="s">
        <v>439</v>
      </c>
      <c r="M735" s="175" t="s">
        <v>1343</v>
      </c>
      <c r="N735" s="198"/>
      <c r="O735" s="199"/>
      <c r="P735" s="181">
        <v>0</v>
      </c>
      <c r="Q735" s="177">
        <v>43201</v>
      </c>
      <c r="R735" s="178">
        <v>406.90104000000002</v>
      </c>
      <c r="S735" s="179">
        <v>186591.81697397048</v>
      </c>
      <c r="T735" s="182" t="s">
        <v>45</v>
      </c>
      <c r="U735" s="183">
        <v>3.3852000000000002</v>
      </c>
      <c r="V735" s="179">
        <v>10091.94</v>
      </c>
      <c r="W735" s="179">
        <v>3536.2430260295318</v>
      </c>
      <c r="X735" s="196" t="s">
        <v>45</v>
      </c>
      <c r="Y735" s="200">
        <v>3.3852000000000002</v>
      </c>
      <c r="Z735" s="220" t="s">
        <v>473</v>
      </c>
      <c r="AA735" s="201">
        <f>Delivery[[#This Row],[Quantity delivered]]*VLOOKUP(Delivery[[#This Row],[Unit]],References!$U:$X,4,FALSE)*VLOOKUP(CONCATENATE(Delivery[[#This Row],[Coffee specie]],Delivery[[#This Row],[Coffee state]]),References!$U:$X,4,FALSE)</f>
        <v>25541</v>
      </c>
      <c r="AB735" s="202">
        <f>SUMIF(Allocation!C:C,Delivery[[#This Row],[Delivery ID]],Allocation!D:D)/Delivery[[#This Row],[Quantity delivered]]</f>
        <v>0.43776672800595123</v>
      </c>
      <c r="AC735" s="203">
        <f>Delivery[[#This Row],[Quantity delivered]]*Delivery[[#This Row],[Base price (Unidad)]]/60</f>
        <v>173210.99104399999</v>
      </c>
      <c r="AD735" s="204">
        <f>Delivery[[#This Row],[Nespresso total]]-Delivery[[#This Row],[Qt. Delivery * Base Price]]</f>
        <v>13380.825929970481</v>
      </c>
      <c r="AE735" s="204">
        <f>Delivery[[#This Row],[AAA Premium (total)]]/Delivery[[#This Row],[Quantity delivered]]*60/Delivery[[#This Row],[Exchange rate VS USD]]</f>
        <v>7.0033153247870636</v>
      </c>
      <c r="AF735" s="204">
        <f>Delivery[[#This Row],[BEN premium (total)]]/Delivery[[#This Row],[Quantity delivered]]*60/Delivery[[#This Row],[Exchange rate for premiums VS USD]]</f>
        <v>2.4539805999999995</v>
      </c>
      <c r="AG735" s="204">
        <f>COUNTIF(Delivery[Delivery ID],Delivery[[#This Row],[Delivery ID]])</f>
        <v>1</v>
      </c>
      <c r="AH735" s="204">
        <f>(Delivery[[#This Row],[Nespresso total]]/SUMIF(Allocation!C:C,Delivery[Delivery ID],Allocation!H:H))/Delivery[[#This Row],[Exchange rate VS USD]]</f>
        <v>13.323635427381593</v>
      </c>
      <c r="AI735" s="204">
        <f>(Delivery[[#This Row],[AAA Premium (total)]]/SUMIF(Allocation!C:C,Delivery[Delivery ID],Allocation!H:H))/Delivery[[#This Row],[Exchange rate VS USD]]</f>
        <v>0.72061750346622511</v>
      </c>
      <c r="AJ735" s="204">
        <f>Delivery[[#This Row],[Valor Prêmio Nespresso AAA por Kg (em US$)]]*60</f>
        <v>43.237050207973503</v>
      </c>
      <c r="AK735" s="204">
        <f>Delivery[[#This Row],[Valor Prêmio Nespresso AAA por saca (em US$)]]/1.3228/100</f>
        <v>0.32686007112166243</v>
      </c>
      <c r="AL735" s="204">
        <f>(Delivery[[#This Row],[BEN premium (total)]]/SUMIF(Allocation!C:C,Delivery[Delivery ID],Allocation!H:H))/Delivery[[#This Row],[Exchange rate for premiums VS USD]]</f>
        <v>0.2525063190097494</v>
      </c>
      <c r="AM735" s="204">
        <f>Delivery[[#This Row],[Valor Prêmio Nespresso BEN por Kg (em US$)]]*60</f>
        <v>15.150379140584963</v>
      </c>
      <c r="AN735" s="204">
        <f>Delivery[[#This Row],[Valor Prêmio Nespresso BEN por saca (em US$)]]/1.3228/100</f>
        <v>0.11453265150124707</v>
      </c>
      <c r="AO735" s="204">
        <f>SUMIF(Allocation[Delivery ID],Delivery[[#This Row],[Delivery ID]],Allocation[Quantity allocated])*16*1.3228*Delivery[[#This Row],[Exchange rate VS USD]]/60</f>
        <v>4940.0662321919999</v>
      </c>
      <c r="AP735" s="204">
        <f>Delivery[[#This Row],[AAA Premium (total)]]</f>
        <v>10091.94</v>
      </c>
      <c r="AQ735" s="204">
        <f>Delivery[[#This Row],[Valor pago pelo Cluster]]-Delivery[[#This Row],[Valor efetivamente pago pela Nespresso]]</f>
        <v>5151.8737678080006</v>
      </c>
    </row>
    <row r="736" spans="1:43" ht="15.75">
      <c r="A736" s="174" t="s">
        <v>69</v>
      </c>
      <c r="B736" s="232" t="s">
        <v>68</v>
      </c>
      <c r="C736" s="157">
        <v>1</v>
      </c>
      <c r="D736" s="157" t="s">
        <v>468</v>
      </c>
      <c r="E736" s="177" t="s">
        <v>468</v>
      </c>
      <c r="F736" s="233" t="s">
        <v>543</v>
      </c>
      <c r="G736" s="234">
        <v>43207</v>
      </c>
      <c r="H736" s="235" t="s">
        <v>1605</v>
      </c>
      <c r="I736" s="157" t="s">
        <v>737</v>
      </c>
      <c r="J736" s="237">
        <v>31610</v>
      </c>
      <c r="K736" s="175" t="s">
        <v>61</v>
      </c>
      <c r="L736" s="175" t="s">
        <v>439</v>
      </c>
      <c r="M736" s="175" t="s">
        <v>1343</v>
      </c>
      <c r="N736" s="198"/>
      <c r="O736" s="199"/>
      <c r="P736" s="181">
        <v>0</v>
      </c>
      <c r="Q736" s="177">
        <v>43201</v>
      </c>
      <c r="R736" s="178">
        <v>406.90104000000002</v>
      </c>
      <c r="S736" s="179">
        <v>230382.54216386226</v>
      </c>
      <c r="T736" s="182" t="s">
        <v>45</v>
      </c>
      <c r="U736" s="183">
        <v>3.3852000000000002</v>
      </c>
      <c r="V736" s="179">
        <v>12460.94</v>
      </c>
      <c r="W736" s="179">
        <v>4376.5178361377193</v>
      </c>
      <c r="X736" s="196" t="s">
        <v>45</v>
      </c>
      <c r="Y736" s="200">
        <v>3.3852000000000002</v>
      </c>
      <c r="Z736" s="220" t="s">
        <v>473</v>
      </c>
      <c r="AA736" s="201">
        <f>Delivery[[#This Row],[Quantity delivered]]*VLOOKUP(Delivery[[#This Row],[Unit]],References!$U:$X,4,FALSE)*VLOOKUP(CONCATENATE(Delivery[[#This Row],[Coffee specie]],Delivery[[#This Row],[Coffee state]]),References!$U:$X,4,FALSE)</f>
        <v>31610</v>
      </c>
      <c r="AB736" s="202">
        <f>SUMIF(Allocation!C:C,Delivery[[#This Row],[Delivery ID]],Allocation!D:D)/Delivery[[#This Row],[Quantity delivered]]</f>
        <v>0.52499209111040812</v>
      </c>
      <c r="AC736" s="203">
        <f>Delivery[[#This Row],[Quantity delivered]]*Delivery[[#This Row],[Base price (Unidad)]]/60</f>
        <v>214369.03124000001</v>
      </c>
      <c r="AD736" s="204">
        <f>Delivery[[#This Row],[Nespresso total]]-Delivery[[#This Row],[Qt. Delivery * Base Price]]</f>
        <v>16013.510923862254</v>
      </c>
      <c r="AE736" s="204">
        <f>Delivery[[#This Row],[AAA Premium (total)]]/Delivery[[#This Row],[Quantity delivered]]*60/Delivery[[#This Row],[Exchange rate VS USD]]</f>
        <v>6.9870399625173016</v>
      </c>
      <c r="AF736" s="204">
        <f>Delivery[[#This Row],[BEN premium (total)]]/Delivery[[#This Row],[Quantity delivered]]*60/Delivery[[#This Row],[Exchange rate for premiums VS USD]]</f>
        <v>2.4539805999999995</v>
      </c>
      <c r="AG736" s="204">
        <f>COUNTIF(Delivery[Delivery ID],Delivery[[#This Row],[Delivery ID]])</f>
        <v>1</v>
      </c>
      <c r="AH736" s="204">
        <f>(Delivery[[#This Row],[Nespresso total]]/SUMIF(Allocation!C:C,Delivery[Delivery ID],Allocation!H:H))/Delivery[[#This Row],[Exchange rate VS USD]]</f>
        <v>11.084008824187288</v>
      </c>
      <c r="AI736" s="204">
        <f>(Delivery[[#This Row],[AAA Premium (total)]]/SUMIF(Allocation!C:C,Delivery[Delivery ID],Allocation!H:H))/Delivery[[#This Row],[Exchange rate VS USD]]</f>
        <v>0.59951230514433207</v>
      </c>
      <c r="AJ736" s="204">
        <f>Delivery[[#This Row],[Valor Prêmio Nespresso AAA por Kg (em US$)]]*60</f>
        <v>35.970738308659925</v>
      </c>
      <c r="AK736" s="204">
        <f>Delivery[[#This Row],[Valor Prêmio Nespresso AAA por saca (em US$)]]/1.3228/100</f>
        <v>0.2719287746345625</v>
      </c>
      <c r="AL736" s="204">
        <f>(Delivery[[#This Row],[BEN premium (total)]]/SUMIF(Allocation!C:C,Delivery[Delivery ID],Allocation!H:H))/Delivery[[#This Row],[Exchange rate for premiums VS USD]]</f>
        <v>0.21056006179695977</v>
      </c>
      <c r="AM736" s="204">
        <f>Delivery[[#This Row],[Valor Prêmio Nespresso BEN por Kg (em US$)]]*60</f>
        <v>12.633603707817587</v>
      </c>
      <c r="AN736" s="204">
        <f>Delivery[[#This Row],[Valor Prêmio Nespresso BEN por saca (em US$)]]/1.3228/100</f>
        <v>9.550652939081937E-2</v>
      </c>
      <c r="AO736" s="204">
        <f>SUMIF(Allocation[Delivery ID],Delivery[[#This Row],[Delivery ID]],Allocation[Quantity allocated])*16*1.3228*Delivery[[#This Row],[Exchange rate VS USD]]/60</f>
        <v>7331.8846182400002</v>
      </c>
      <c r="AP736" s="204">
        <f>Delivery[[#This Row],[AAA Premium (total)]]</f>
        <v>12460.94</v>
      </c>
      <c r="AQ736" s="204">
        <f>Delivery[[#This Row],[Valor pago pelo Cluster]]-Delivery[[#This Row],[Valor efetivamente pago pela Nespresso]]</f>
        <v>5129.0553817600003</v>
      </c>
    </row>
    <row r="737" spans="1:43" ht="15.75">
      <c r="A737" s="174" t="s">
        <v>69</v>
      </c>
      <c r="B737" s="232" t="s">
        <v>68</v>
      </c>
      <c r="C737" s="157">
        <v>1</v>
      </c>
      <c r="D737" s="157" t="s">
        <v>468</v>
      </c>
      <c r="E737" s="177" t="s">
        <v>468</v>
      </c>
      <c r="F737" s="233" t="s">
        <v>541</v>
      </c>
      <c r="G737" s="234">
        <v>43223</v>
      </c>
      <c r="H737" s="157" t="s">
        <v>890</v>
      </c>
      <c r="I737" s="157" t="s">
        <v>887</v>
      </c>
      <c r="J737" s="237">
        <v>31727</v>
      </c>
      <c r="K737" s="175" t="s">
        <v>61</v>
      </c>
      <c r="L737" s="175" t="s">
        <v>439</v>
      </c>
      <c r="M737" s="175" t="s">
        <v>1343</v>
      </c>
      <c r="N737" s="198"/>
      <c r="O737" s="199"/>
      <c r="P737" s="181">
        <v>0</v>
      </c>
      <c r="Q737" s="177">
        <v>43214</v>
      </c>
      <c r="R737" s="178">
        <v>418.32284537448868</v>
      </c>
      <c r="S737" s="179">
        <v>231263.09807701793</v>
      </c>
      <c r="T737" s="182" t="s">
        <v>45</v>
      </c>
      <c r="U737" s="183">
        <v>3.4730000495910645</v>
      </c>
      <c r="V737" s="179">
        <v>12855.251800227166</v>
      </c>
      <c r="W737" s="179">
        <v>3654.0392114910273</v>
      </c>
      <c r="X737" s="196" t="s">
        <v>45</v>
      </c>
      <c r="Y737" s="200">
        <v>3.4730000495910645</v>
      </c>
      <c r="Z737" s="220" t="s">
        <v>473</v>
      </c>
      <c r="AA737" s="201">
        <f>Delivery[[#This Row],[Quantity delivered]]*VLOOKUP(Delivery[[#This Row],[Unit]],References!$U:$X,4,FALSE)*VLOOKUP(CONCATENATE(Delivery[[#This Row],[Coffee specie]],Delivery[[#This Row],[Coffee state]]),References!$U:$X,4,FALSE)</f>
        <v>31727</v>
      </c>
      <c r="AB737" s="202">
        <f>SUMIF(Allocation!C:C,Delivery[[#This Row],[Delivery ID]],Allocation!D:D)/Delivery[[#This Row],[Quantity delivered]]</f>
        <v>6.2092224288460935E-3</v>
      </c>
      <c r="AC737" s="203">
        <f>Delivery[[#This Row],[Quantity delivered]]*Delivery[[#This Row],[Base price (Unidad)]]/60</f>
        <v>221202.14858660669</v>
      </c>
      <c r="AD737" s="204">
        <f>Delivery[[#This Row],[Nespresso total]]-Delivery[[#This Row],[Qt. Delivery * Base Price]]</f>
        <v>10060.949490411236</v>
      </c>
      <c r="AE737" s="204">
        <f>Delivery[[#This Row],[AAA Premium (total)]]/Delivery[[#This Row],[Quantity delivered]]*60/Delivery[[#This Row],[Exchange rate VS USD]]</f>
        <v>7</v>
      </c>
      <c r="AF737" s="204">
        <f>Delivery[[#This Row],[BEN premium (total)]]/Delivery[[#This Row],[Quantity delivered]]*60/Delivery[[#This Row],[Exchange rate for premiums VS USD]]</f>
        <v>1.989714</v>
      </c>
      <c r="AG737" s="204">
        <f>COUNTIF(Delivery[Delivery ID],Delivery[[#This Row],[Delivery ID]])</f>
        <v>1</v>
      </c>
      <c r="AH737" s="204">
        <f>(Delivery[[#This Row],[Nespresso total]]/SUMIF(Allocation!C:C,Delivery[Delivery ID],Allocation!H:H))/Delivery[[#This Row],[Exchange rate VS USD]]</f>
        <v>1128.6246676531582</v>
      </c>
      <c r="AI737" s="204">
        <f>(Delivery[[#This Row],[AAA Premium (total)]]/SUMIF(Allocation!C:C,Delivery[Delivery ID],Allocation!H:H))/Delivery[[#This Row],[Exchange rate VS USD]]</f>
        <v>62.737005649717524</v>
      </c>
      <c r="AJ737" s="204">
        <f>Delivery[[#This Row],[Valor Prêmio Nespresso AAA por Kg (em US$)]]*60</f>
        <v>3764.2203389830515</v>
      </c>
      <c r="AK737" s="204">
        <f>Delivery[[#This Row],[Valor Prêmio Nespresso AAA por saca (em US$)]]/1.3228/100</f>
        <v>28.456458565036677</v>
      </c>
      <c r="AL737" s="204">
        <f>(Delivery[[#This Row],[BEN premium (total)]]/SUMIF(Allocation!C:C,Delivery[Delivery ID],Allocation!H:H))/Delivery[[#This Row],[Exchange rate for premiums VS USD]]</f>
        <v>17.832671208474572</v>
      </c>
      <c r="AM737" s="204">
        <f>Delivery[[#This Row],[Valor Prêmio Nespresso BEN por Kg (em US$)]]*60</f>
        <v>1069.9602725084744</v>
      </c>
      <c r="AN737" s="204">
        <f>Delivery[[#This Row],[Valor Prêmio Nespresso BEN por saca (em US$)]]/1.3228/100</f>
        <v>8.0886019996104821</v>
      </c>
      <c r="AO737" s="204">
        <f>SUMIF(Allocation[Delivery ID],Delivery[[#This Row],[Delivery ID]],Allocation[Quantity allocated])*16*1.3228*Delivery[[#This Row],[Exchange rate VS USD]]/60</f>
        <v>72.28026225875854</v>
      </c>
      <c r="AP737" s="204">
        <f>Delivery[[#This Row],[AAA Premium (total)]]</f>
        <v>12855.251800227166</v>
      </c>
      <c r="AQ737" s="204">
        <f>Delivery[[#This Row],[Valor pago pelo Cluster]]-Delivery[[#This Row],[Valor efetivamente pago pela Nespresso]]</f>
        <v>12782.971537968408</v>
      </c>
    </row>
    <row r="738" spans="1:43" ht="15.75">
      <c r="A738" s="174" t="s">
        <v>69</v>
      </c>
      <c r="B738" s="232" t="s">
        <v>68</v>
      </c>
      <c r="C738" s="157">
        <v>1</v>
      </c>
      <c r="D738" s="157" t="s">
        <v>468</v>
      </c>
      <c r="E738" s="177" t="s">
        <v>468</v>
      </c>
      <c r="F738" s="233" t="s">
        <v>541</v>
      </c>
      <c r="G738" s="234">
        <v>43223</v>
      </c>
      <c r="H738" s="157" t="s">
        <v>891</v>
      </c>
      <c r="I738" s="157" t="s">
        <v>887</v>
      </c>
      <c r="J738" s="237">
        <v>31547.5</v>
      </c>
      <c r="K738" s="175" t="s">
        <v>61</v>
      </c>
      <c r="L738" s="175" t="s">
        <v>439</v>
      </c>
      <c r="M738" s="175" t="s">
        <v>1343</v>
      </c>
      <c r="N738" s="198"/>
      <c r="O738" s="199"/>
      <c r="P738" s="181">
        <v>0</v>
      </c>
      <c r="Q738" s="177">
        <v>43214</v>
      </c>
      <c r="R738" s="178">
        <v>418.32284537448868</v>
      </c>
      <c r="S738" s="179">
        <v>229954.6943166616</v>
      </c>
      <c r="T738" s="182" t="s">
        <v>45</v>
      </c>
      <c r="U738" s="183">
        <v>3.4730000495910645</v>
      </c>
      <c r="V738" s="179">
        <v>12782.521390855312</v>
      </c>
      <c r="W738" s="179">
        <v>3633.3659666691838</v>
      </c>
      <c r="X738" s="196" t="s">
        <v>45</v>
      </c>
      <c r="Y738" s="200">
        <v>3.4730000495910645</v>
      </c>
      <c r="Z738" s="220" t="s">
        <v>473</v>
      </c>
      <c r="AA738" s="201">
        <f>Delivery[[#This Row],[Quantity delivered]]*VLOOKUP(Delivery[[#This Row],[Unit]],References!$U:$X,4,FALSE)*VLOOKUP(CONCATENATE(Delivery[[#This Row],[Coffee specie]],Delivery[[#This Row],[Coffee state]]),References!$U:$X,4,FALSE)</f>
        <v>31547.5</v>
      </c>
      <c r="AB738" s="202">
        <f>SUMIF(Allocation!C:C,Delivery[[#This Row],[Delivery ID]],Allocation!D:D)/Delivery[[#This Row],[Quantity delivered]]</f>
        <v>6.2445518662334575E-3</v>
      </c>
      <c r="AC738" s="203">
        <f>Delivery[[#This Row],[Quantity delivered]]*Delivery[[#This Row],[Base price (Unidad)]]/60</f>
        <v>219950.66607419468</v>
      </c>
      <c r="AD738" s="204">
        <f>Delivery[[#This Row],[Nespresso total]]-Delivery[[#This Row],[Qt. Delivery * Base Price]]</f>
        <v>10004.028242466913</v>
      </c>
      <c r="AE738" s="204">
        <f>Delivery[[#This Row],[AAA Premium (total)]]/Delivery[[#This Row],[Quantity delivered]]*60/Delivery[[#This Row],[Exchange rate VS USD]]</f>
        <v>7</v>
      </c>
      <c r="AF738" s="204">
        <f>Delivery[[#This Row],[BEN premium (total)]]/Delivery[[#This Row],[Quantity delivered]]*60/Delivery[[#This Row],[Exchange rate for premiums VS USD]]</f>
        <v>1.989714</v>
      </c>
      <c r="AG738" s="204">
        <f>COUNTIF(Delivery[Delivery ID],Delivery[[#This Row],[Delivery ID]])</f>
        <v>1</v>
      </c>
      <c r="AH738" s="204">
        <f>(Delivery[[#This Row],[Nespresso total]]/SUMIF(Allocation!C:C,Delivery[Delivery ID],Allocation!H:H))/Delivery[[#This Row],[Exchange rate VS USD]]</f>
        <v>1122.2393136063292</v>
      </c>
      <c r="AI738" s="204">
        <f>(Delivery[[#This Row],[AAA Premium (total)]]/SUMIF(Allocation!C:C,Delivery[Delivery ID],Allocation!H:H))/Delivery[[#This Row],[Exchange rate VS USD]]</f>
        <v>62.382062146892657</v>
      </c>
      <c r="AJ738" s="204">
        <f>Delivery[[#This Row],[Valor Prêmio Nespresso AAA por Kg (em US$)]]*60</f>
        <v>3742.9237288135596</v>
      </c>
      <c r="AK738" s="204">
        <f>Delivery[[#This Row],[Valor Prêmio Nespresso AAA por saca (em US$)]]/1.3228/100</f>
        <v>28.295462116824609</v>
      </c>
      <c r="AL738" s="204">
        <f>(Delivery[[#This Row],[BEN premium (total)]]/SUMIF(Allocation!C:C,Delivery[Delivery ID],Allocation!H:H))/Delivery[[#This Row],[Exchange rate for premiums VS USD]]</f>
        <v>17.73178034322034</v>
      </c>
      <c r="AM738" s="204">
        <f>Delivery[[#This Row],[Valor Prêmio Nespresso BEN por Kg (em US$)]]*60</f>
        <v>1063.9068205932203</v>
      </c>
      <c r="AN738" s="204">
        <f>Delivery[[#This Row],[Valor Prêmio Nespresso BEN por saca (em US$)]]/1.3228/100</f>
        <v>8.0428395871879381</v>
      </c>
      <c r="AO738" s="204">
        <f>SUMIF(Allocation[Delivery ID],Delivery[[#This Row],[Delivery ID]],Allocation[Quantity allocated])*16*1.3228*Delivery[[#This Row],[Exchange rate VS USD]]/60</f>
        <v>72.28026225875854</v>
      </c>
      <c r="AP738" s="204">
        <f>Delivery[[#This Row],[AAA Premium (total)]]</f>
        <v>12782.521390855312</v>
      </c>
      <c r="AQ738" s="204">
        <f>Delivery[[#This Row],[Valor pago pelo Cluster]]-Delivery[[#This Row],[Valor efetivamente pago pela Nespresso]]</f>
        <v>12710.241128596554</v>
      </c>
    </row>
    <row r="739" spans="1:43" ht="15.75">
      <c r="A739" s="174" t="s">
        <v>69</v>
      </c>
      <c r="B739" s="232" t="s">
        <v>68</v>
      </c>
      <c r="C739" s="157">
        <v>1</v>
      </c>
      <c r="D739" s="157" t="s">
        <v>468</v>
      </c>
      <c r="E739" s="177" t="s">
        <v>468</v>
      </c>
      <c r="F739" s="233" t="s">
        <v>541</v>
      </c>
      <c r="G739" s="234">
        <v>43227</v>
      </c>
      <c r="H739" s="157" t="s">
        <v>892</v>
      </c>
      <c r="I739" s="157" t="s">
        <v>887</v>
      </c>
      <c r="J739" s="237">
        <v>31317.5</v>
      </c>
      <c r="K739" s="175" t="s">
        <v>61</v>
      </c>
      <c r="L739" s="175" t="s">
        <v>439</v>
      </c>
      <c r="M739" s="175" t="s">
        <v>1343</v>
      </c>
      <c r="N739" s="198"/>
      <c r="O739" s="199"/>
      <c r="P739" s="181">
        <v>0</v>
      </c>
      <c r="Q739" s="177">
        <v>43214</v>
      </c>
      <c r="R739" s="178">
        <v>418.32284537448868</v>
      </c>
      <c r="S739" s="179">
        <v>228278.18810562012</v>
      </c>
      <c r="T739" s="182" t="s">
        <v>45</v>
      </c>
      <c r="U739" s="183">
        <v>3.4730000495910645</v>
      </c>
      <c r="V739" s="179">
        <v>12689.329222857952</v>
      </c>
      <c r="W739" s="179">
        <v>3606.8765721899413</v>
      </c>
      <c r="X739" s="196" t="s">
        <v>45</v>
      </c>
      <c r="Y739" s="200">
        <v>3.4730000495910645</v>
      </c>
      <c r="Z739" s="220" t="s">
        <v>473</v>
      </c>
      <c r="AA739" s="201">
        <f>Delivery[[#This Row],[Quantity delivered]]*VLOOKUP(Delivery[[#This Row],[Unit]],References!$U:$X,4,FALSE)*VLOOKUP(CONCATENATE(Delivery[[#This Row],[Coffee specie]],Delivery[[#This Row],[Coffee state]]),References!$U:$X,4,FALSE)</f>
        <v>31317.5</v>
      </c>
      <c r="AB739" s="202">
        <f>SUMIF(Allocation!C:C,Delivery[[#This Row],[Delivery ID]],Allocation!D:D)/Delivery[[#This Row],[Quantity delivered]]</f>
        <v>6.2904127085495328E-3</v>
      </c>
      <c r="AC739" s="203">
        <f>Delivery[[#This Row],[Quantity delivered]]*Delivery[[#This Row],[Base price (Unidad)]]/60</f>
        <v>218347.09516692581</v>
      </c>
      <c r="AD739" s="204">
        <f>Delivery[[#This Row],[Nespresso total]]-Delivery[[#This Row],[Qt. Delivery * Base Price]]</f>
        <v>9931.0929386943171</v>
      </c>
      <c r="AE739" s="204">
        <f>Delivery[[#This Row],[AAA Premium (total)]]/Delivery[[#This Row],[Quantity delivered]]*60/Delivery[[#This Row],[Exchange rate VS USD]]</f>
        <v>7</v>
      </c>
      <c r="AF739" s="204">
        <f>Delivery[[#This Row],[BEN premium (total)]]/Delivery[[#This Row],[Quantity delivered]]*60/Delivery[[#This Row],[Exchange rate for premiums VS USD]]</f>
        <v>1.9897140000000002</v>
      </c>
      <c r="AG739" s="204">
        <f>COUNTIF(Delivery[Delivery ID],Delivery[[#This Row],[Delivery ID]])</f>
        <v>1</v>
      </c>
      <c r="AH739" s="204">
        <f>(Delivery[[#This Row],[Nespresso total]]/SUMIF(Allocation!C:C,Delivery[Delivery ID],Allocation!H:H))/Delivery[[#This Row],[Exchange rate VS USD]]</f>
        <v>1114.0575229056572</v>
      </c>
      <c r="AI739" s="204">
        <f>(Delivery[[#This Row],[AAA Premium (total)]]/SUMIF(Allocation!C:C,Delivery[Delivery ID],Allocation!H:H))/Delivery[[#This Row],[Exchange rate VS USD]]</f>
        <v>61.927259887005654</v>
      </c>
      <c r="AJ739" s="204">
        <f>Delivery[[#This Row],[Valor Prêmio Nespresso AAA por Kg (em US$)]]*60</f>
        <v>3715.6355932203392</v>
      </c>
      <c r="AK739" s="204">
        <f>Delivery[[#This Row],[Valor Prêmio Nespresso AAA por saca (em US$)]]/1.3228/100</f>
        <v>28.089171403238126</v>
      </c>
      <c r="AL739" s="204">
        <f>(Delivery[[#This Row],[BEN premium (total)]]/SUMIF(Allocation!C:C,Delivery[Delivery ID],Allocation!H:H))/Delivery[[#This Row],[Exchange rate for premiums VS USD]]</f>
        <v>17.602505139830509</v>
      </c>
      <c r="AM739" s="204">
        <f>Delivery[[#This Row],[Valor Prêmio Nespresso BEN por Kg (em US$)]]*60</f>
        <v>1056.1503083898306</v>
      </c>
      <c r="AN739" s="204">
        <f>Delivery[[#This Row],[Valor Prêmio Nespresso BEN por saca (em US$)]]/1.3228/100</f>
        <v>7.9842025127746492</v>
      </c>
      <c r="AO739" s="204">
        <f>SUMIF(Allocation[Delivery ID],Delivery[[#This Row],[Delivery ID]],Allocation[Quantity allocated])*16*1.3228*Delivery[[#This Row],[Exchange rate VS USD]]/60</f>
        <v>72.28026225875854</v>
      </c>
      <c r="AP739" s="204">
        <f>Delivery[[#This Row],[AAA Premium (total)]]</f>
        <v>12689.329222857952</v>
      </c>
      <c r="AQ739" s="204">
        <f>Delivery[[#This Row],[Valor pago pelo Cluster]]-Delivery[[#This Row],[Valor efetivamente pago pela Nespresso]]</f>
        <v>12617.048960599193</v>
      </c>
    </row>
    <row r="740" spans="1:43" ht="15.75">
      <c r="A740" s="174" t="s">
        <v>69</v>
      </c>
      <c r="B740" s="232" t="s">
        <v>68</v>
      </c>
      <c r="C740" s="157">
        <v>1</v>
      </c>
      <c r="D740" s="157" t="s">
        <v>468</v>
      </c>
      <c r="E740" s="177" t="s">
        <v>468</v>
      </c>
      <c r="F740" s="233" t="s">
        <v>541</v>
      </c>
      <c r="G740" s="234">
        <v>43227</v>
      </c>
      <c r="H740" s="157" t="s">
        <v>893</v>
      </c>
      <c r="I740" s="157" t="s">
        <v>699</v>
      </c>
      <c r="J740" s="237">
        <v>32259</v>
      </c>
      <c r="K740" s="175" t="s">
        <v>61</v>
      </c>
      <c r="L740" s="175" t="s">
        <v>439</v>
      </c>
      <c r="M740" s="175" t="s">
        <v>1343</v>
      </c>
      <c r="N740" s="198"/>
      <c r="O740" s="199"/>
      <c r="P740" s="181">
        <v>0</v>
      </c>
      <c r="Q740" s="177">
        <v>43220</v>
      </c>
      <c r="R740" s="178">
        <v>426.65029839588169</v>
      </c>
      <c r="S740" s="179">
        <v>238126.73226256334</v>
      </c>
      <c r="T740" s="182" t="s">
        <v>45</v>
      </c>
      <c r="U740" s="183">
        <v>3.478600025177002</v>
      </c>
      <c r="V740" s="179">
        <v>13091.885124754906</v>
      </c>
      <c r="W740" s="179">
        <v>4093.4311187183207</v>
      </c>
      <c r="X740" s="196" t="s">
        <v>45</v>
      </c>
      <c r="Y740" s="200">
        <v>3.478600025177002</v>
      </c>
      <c r="Z740" s="220" t="s">
        <v>473</v>
      </c>
      <c r="AA740" s="201">
        <f>Delivery[[#This Row],[Quantity delivered]]*VLOOKUP(Delivery[[#This Row],[Unit]],References!$U:$X,4,FALSE)*VLOOKUP(CONCATENATE(Delivery[[#This Row],[Coffee specie]],Delivery[[#This Row],[Coffee state]]),References!$U:$X,4,FALSE)</f>
        <v>32259</v>
      </c>
      <c r="AB740" s="202">
        <f>SUMIF(Allocation!C:C,Delivery[[#This Row],[Delivery ID]],Allocation!D:D)/Delivery[[#This Row],[Quantity delivered]]</f>
        <v>5.5488390836665735E-3</v>
      </c>
      <c r="AC740" s="203">
        <f>Delivery[[#This Row],[Quantity delivered]]*Delivery[[#This Row],[Base price (Unidad)]]/60</f>
        <v>229388.53293254582</v>
      </c>
      <c r="AD740" s="204">
        <f>Delivery[[#This Row],[Nespresso total]]-Delivery[[#This Row],[Qt. Delivery * Base Price]]</f>
        <v>8738.1993300175236</v>
      </c>
      <c r="AE740" s="204">
        <f>Delivery[[#This Row],[AAA Premium (total)]]/Delivery[[#This Row],[Quantity delivered]]*60/Delivery[[#This Row],[Exchange rate VS USD]]</f>
        <v>7</v>
      </c>
      <c r="AF740" s="204">
        <f>Delivery[[#This Row],[BEN premium (total)]]/Delivery[[#This Row],[Quantity delivered]]*60/Delivery[[#This Row],[Exchange rate for premiums VS USD]]</f>
        <v>2.1886854000000002</v>
      </c>
      <c r="AG740" s="204">
        <f>COUNTIF(Delivery[Delivery ID],Delivery[[#This Row],[Delivery ID]])</f>
        <v>1</v>
      </c>
      <c r="AH740" s="204">
        <f>(Delivery[[#This Row],[Nespresso total]]/SUMIF(Allocation!C:C,Delivery[Delivery ID],Allocation!H:H))/Delivery[[#This Row],[Exchange rate VS USD]]</f>
        <v>1160.2501812002963</v>
      </c>
      <c r="AI740" s="204">
        <f>(Delivery[[#This Row],[AAA Premium (total)]]/SUMIF(Allocation!C:C,Delivery[Delivery ID],Allocation!H:H))/Delivery[[#This Row],[Exchange rate VS USD]]</f>
        <v>63.788983050847463</v>
      </c>
      <c r="AJ740" s="204">
        <f>Delivery[[#This Row],[Valor Prêmio Nespresso AAA por Kg (em US$)]]*60</f>
        <v>3827.3389830508477</v>
      </c>
      <c r="AK740" s="204">
        <f>Delivery[[#This Row],[Valor Prêmio Nespresso AAA por saca (em US$)]]/1.3228/100</f>
        <v>28.933617954723676</v>
      </c>
      <c r="AL740" s="204">
        <f>(Delivery[[#This Row],[BEN premium (total)]]/SUMIF(Allocation!C:C,Delivery[Delivery ID],Allocation!H:H))/Delivery[[#This Row],[Exchange rate for premiums VS USD]]</f>
        <v>19.9448594120339</v>
      </c>
      <c r="AM740" s="204">
        <f>Delivery[[#This Row],[Valor Prêmio Nespresso BEN por Kg (em US$)]]*60</f>
        <v>1196.6915647220339</v>
      </c>
      <c r="AN740" s="204">
        <f>Delivery[[#This Row],[Valor Prêmio Nespresso BEN por saca (em US$)]]/1.3228/100</f>
        <v>9.0466553123830806</v>
      </c>
      <c r="AO740" s="204">
        <f>SUMIF(Allocation[Delivery ID],Delivery[[#This Row],[Delivery ID]],Allocation[Quantity allocated])*16*1.3228*Delivery[[#This Row],[Exchange rate VS USD]]/60</f>
        <v>72.396809249318437</v>
      </c>
      <c r="AP740" s="204">
        <f>Delivery[[#This Row],[AAA Premium (total)]]</f>
        <v>13091.885124754906</v>
      </c>
      <c r="AQ740" s="204">
        <f>Delivery[[#This Row],[Valor pago pelo Cluster]]-Delivery[[#This Row],[Valor efetivamente pago pela Nespresso]]</f>
        <v>13019.488315505589</v>
      </c>
    </row>
    <row r="741" spans="1:43" ht="15.75">
      <c r="A741" s="174" t="s">
        <v>69</v>
      </c>
      <c r="B741" s="232" t="s">
        <v>68</v>
      </c>
      <c r="C741" s="157">
        <v>1</v>
      </c>
      <c r="D741" s="157" t="s">
        <v>468</v>
      </c>
      <c r="E741" s="177" t="s">
        <v>468</v>
      </c>
      <c r="F741" s="233" t="s">
        <v>541</v>
      </c>
      <c r="G741" s="234">
        <v>43227</v>
      </c>
      <c r="H741" s="157" t="s">
        <v>894</v>
      </c>
      <c r="I741" s="157" t="s">
        <v>699</v>
      </c>
      <c r="J741" s="237">
        <v>32056</v>
      </c>
      <c r="K741" s="175" t="s">
        <v>61</v>
      </c>
      <c r="L741" s="175" t="s">
        <v>439</v>
      </c>
      <c r="M741" s="175" t="s">
        <v>1343</v>
      </c>
      <c r="N741" s="198"/>
      <c r="O741" s="199"/>
      <c r="P741" s="181">
        <v>0</v>
      </c>
      <c r="Q741" s="177">
        <v>43220</v>
      </c>
      <c r="R741" s="178">
        <v>426.65029839588169</v>
      </c>
      <c r="S741" s="179">
        <v>236628.24419258907</v>
      </c>
      <c r="T741" s="182" t="s">
        <v>45</v>
      </c>
      <c r="U741" s="183">
        <v>3.478600025177002</v>
      </c>
      <c r="V741" s="179">
        <v>13009.500280825298</v>
      </c>
      <c r="W741" s="179">
        <v>4067.6719037054613</v>
      </c>
      <c r="X741" s="196" t="s">
        <v>45</v>
      </c>
      <c r="Y741" s="200">
        <v>3.478600025177002</v>
      </c>
      <c r="Z741" s="220" t="s">
        <v>473</v>
      </c>
      <c r="AA741" s="201">
        <f>Delivery[[#This Row],[Quantity delivered]]*VLOOKUP(Delivery[[#This Row],[Unit]],References!$U:$X,4,FALSE)*VLOOKUP(CONCATENATE(Delivery[[#This Row],[Coffee specie]],Delivery[[#This Row],[Coffee state]]),References!$U:$X,4,FALSE)</f>
        <v>32056</v>
      </c>
      <c r="AB741" s="202">
        <f>SUMIF(Allocation!C:C,Delivery[[#This Row],[Delivery ID]],Allocation!D:D)/Delivery[[#This Row],[Quantity delivered]]</f>
        <v>5.583978038432743E-3</v>
      </c>
      <c r="AC741" s="203">
        <f>Delivery[[#This Row],[Quantity delivered]]*Delivery[[#This Row],[Base price (Unidad)]]/60</f>
        <v>227945.03275630638</v>
      </c>
      <c r="AD741" s="204">
        <f>Delivery[[#This Row],[Nespresso total]]-Delivery[[#This Row],[Qt. Delivery * Base Price]]</f>
        <v>8683.2114362826978</v>
      </c>
      <c r="AE741" s="204">
        <f>Delivery[[#This Row],[AAA Premium (total)]]/Delivery[[#This Row],[Quantity delivered]]*60/Delivery[[#This Row],[Exchange rate VS USD]]</f>
        <v>7</v>
      </c>
      <c r="AF741" s="204">
        <f>Delivery[[#This Row],[BEN premium (total)]]/Delivery[[#This Row],[Quantity delivered]]*60/Delivery[[#This Row],[Exchange rate for premiums VS USD]]</f>
        <v>2.1886854000000002</v>
      </c>
      <c r="AG741" s="204">
        <f>COUNTIF(Delivery[Delivery ID],Delivery[[#This Row],[Delivery ID]])</f>
        <v>1</v>
      </c>
      <c r="AH741" s="204">
        <f>(Delivery[[#This Row],[Nespresso total]]/SUMIF(Allocation!C:C,Delivery[Delivery ID],Allocation!H:H))/Delivery[[#This Row],[Exchange rate VS USD]]</f>
        <v>1152.9489385460399</v>
      </c>
      <c r="AI741" s="204">
        <f>(Delivery[[#This Row],[AAA Premium (total)]]/SUMIF(Allocation!C:C,Delivery[Delivery ID],Allocation!H:H))/Delivery[[#This Row],[Exchange rate VS USD]]</f>
        <v>63.387570621468925</v>
      </c>
      <c r="AJ741" s="204">
        <f>Delivery[[#This Row],[Valor Prêmio Nespresso AAA por Kg (em US$)]]*60</f>
        <v>3803.2542372881353</v>
      </c>
      <c r="AK741" s="204">
        <f>Delivery[[#This Row],[Valor Prêmio Nespresso AAA por saca (em US$)]]/1.3228/100</f>
        <v>28.751543977079947</v>
      </c>
      <c r="AL741" s="204">
        <f>(Delivery[[#This Row],[BEN premium (total)]]/SUMIF(Allocation!C:C,Delivery[Delivery ID],Allocation!H:H))/Delivery[[#This Row],[Exchange rate for premiums VS USD]]</f>
        <v>19.819350051525426</v>
      </c>
      <c r="AM741" s="204">
        <f>Delivery[[#This Row],[Valor Prêmio Nespresso BEN por Kg (em US$)]]*60</f>
        <v>1189.1610030915256</v>
      </c>
      <c r="AN741" s="204">
        <f>Delivery[[#This Row],[Valor Prêmio Nespresso BEN por saca (em US$)]]/1.3228/100</f>
        <v>8.9897263614418321</v>
      </c>
      <c r="AO741" s="204">
        <f>SUMIF(Allocation[Delivery ID],Delivery[[#This Row],[Delivery ID]],Allocation[Quantity allocated])*16*1.3228*Delivery[[#This Row],[Exchange rate VS USD]]/60</f>
        <v>72.396809249318437</v>
      </c>
      <c r="AP741" s="204">
        <f>Delivery[[#This Row],[AAA Premium (total)]]</f>
        <v>13009.500280825298</v>
      </c>
      <c r="AQ741" s="204">
        <f>Delivery[[#This Row],[Valor pago pelo Cluster]]-Delivery[[#This Row],[Valor efetivamente pago pela Nespresso]]</f>
        <v>12937.10347157598</v>
      </c>
    </row>
    <row r="742" spans="1:43" ht="15.75">
      <c r="A742" s="174" t="s">
        <v>69</v>
      </c>
      <c r="B742" s="232" t="s">
        <v>68</v>
      </c>
      <c r="C742" s="157">
        <v>1</v>
      </c>
      <c r="D742" s="157" t="s">
        <v>468</v>
      </c>
      <c r="E742" s="177" t="s">
        <v>468</v>
      </c>
      <c r="F742" s="233" t="s">
        <v>541</v>
      </c>
      <c r="G742" s="234">
        <v>43231</v>
      </c>
      <c r="H742" s="157" t="s">
        <v>895</v>
      </c>
      <c r="I742" s="157" t="s">
        <v>887</v>
      </c>
      <c r="J742" s="237">
        <v>30049.5</v>
      </c>
      <c r="K742" s="175" t="s">
        <v>61</v>
      </c>
      <c r="L742" s="175" t="s">
        <v>439</v>
      </c>
      <c r="M742" s="175" t="s">
        <v>1343</v>
      </c>
      <c r="N742" s="198"/>
      <c r="O742" s="199"/>
      <c r="P742" s="181">
        <v>0</v>
      </c>
      <c r="Q742" s="177">
        <v>43222</v>
      </c>
      <c r="R742" s="178">
        <v>442.05929008239764</v>
      </c>
      <c r="S742" s="179">
        <v>227836.6936030064</v>
      </c>
      <c r="T742" s="182" t="s">
        <v>45</v>
      </c>
      <c r="U742" s="183">
        <v>3.5265998840332031</v>
      </c>
      <c r="V742" s="179">
        <v>12363.465708446502</v>
      </c>
      <c r="W742" s="179">
        <v>3865.676698496788</v>
      </c>
      <c r="X742" s="196" t="s">
        <v>45</v>
      </c>
      <c r="Y742" s="200">
        <v>3.5265998840332031</v>
      </c>
      <c r="Z742" s="220" t="s">
        <v>473</v>
      </c>
      <c r="AA742" s="201">
        <f>Delivery[[#This Row],[Quantity delivered]]*VLOOKUP(Delivery[[#This Row],[Unit]],References!$U:$X,4,FALSE)*VLOOKUP(CONCATENATE(Delivery[[#This Row],[Coffee specie]],Delivery[[#This Row],[Coffee state]]),References!$U:$X,4,FALSE)</f>
        <v>30049.5</v>
      </c>
      <c r="AB742" s="202">
        <f>SUMIF(Allocation!C:C,Delivery[[#This Row],[Delivery ID]],Allocation!D:D)/Delivery[[#This Row],[Quantity delivered]]</f>
        <v>5.9568378841578064E-3</v>
      </c>
      <c r="AC742" s="203">
        <f>Delivery[[#This Row],[Quantity delivered]]*Delivery[[#This Row],[Base price (Unidad)]]/60</f>
        <v>221394.34395551679</v>
      </c>
      <c r="AD742" s="204">
        <f>Delivery[[#This Row],[Nespresso total]]-Delivery[[#This Row],[Qt. Delivery * Base Price]]</f>
        <v>6442.3496474896092</v>
      </c>
      <c r="AE742" s="204">
        <f>Delivery[[#This Row],[AAA Premium (total)]]/Delivery[[#This Row],[Quantity delivered]]*60/Delivery[[#This Row],[Exchange rate VS USD]]</f>
        <v>7</v>
      </c>
      <c r="AF742" s="204">
        <f>Delivery[[#This Row],[BEN premium (total)]]/Delivery[[#This Row],[Quantity delivered]]*60/Delivery[[#This Row],[Exchange rate for premiums VS USD]]</f>
        <v>2.1886854000000002</v>
      </c>
      <c r="AG742" s="204">
        <f>COUNTIF(Delivery[Delivery ID],Delivery[[#This Row],[Delivery ID]])</f>
        <v>1</v>
      </c>
      <c r="AH742" s="204">
        <f>(Delivery[[#This Row],[Nespresso total]]/SUMIF(Allocation!C:C,Delivery[Delivery ID],Allocation!H:H))/Delivery[[#This Row],[Exchange rate VS USD]]</f>
        <v>1095.0034031677151</v>
      </c>
      <c r="AI742" s="204">
        <f>(Delivery[[#This Row],[AAA Premium (total)]]/SUMIF(Allocation!C:C,Delivery[Delivery ID],Allocation!H:H))/Delivery[[#This Row],[Exchange rate VS USD]]</f>
        <v>59.419915254237281</v>
      </c>
      <c r="AJ742" s="204">
        <f>Delivery[[#This Row],[Valor Prêmio Nespresso AAA por Kg (em US$)]]*60</f>
        <v>3565.194915254237</v>
      </c>
      <c r="AK742" s="204">
        <f>Delivery[[#This Row],[Valor Prêmio Nespresso AAA por saca (em US$)]]/1.3228/100</f>
        <v>26.951881730074366</v>
      </c>
      <c r="AL742" s="204">
        <f>(Delivery[[#This Row],[BEN premium (total)]]/SUMIF(Allocation!C:C,Delivery[Delivery ID],Allocation!H:H))/Delivery[[#This Row],[Exchange rate for premiums VS USD]]</f>
        <v>18.578785855169492</v>
      </c>
      <c r="AM742" s="204">
        <f>Delivery[[#This Row],[Valor Prêmio Nespresso BEN por Kg (em US$)]]*60</f>
        <v>1114.7271513101696</v>
      </c>
      <c r="AN742" s="204">
        <f>Delivery[[#This Row],[Valor Prêmio Nespresso BEN por saca (em US$)]]/1.3228/100</f>
        <v>8.427027149305788</v>
      </c>
      <c r="AO742" s="204">
        <f>SUMIF(Allocation[Delivery ID],Delivery[[#This Row],[Delivery ID]],Allocation[Quantity allocated])*16*1.3228*Delivery[[#This Row],[Exchange rate VS USD]]/60</f>
        <v>73.395784871826166</v>
      </c>
      <c r="AP742" s="204">
        <f>Delivery[[#This Row],[AAA Premium (total)]]</f>
        <v>12363.465708446502</v>
      </c>
      <c r="AQ742" s="204">
        <f>Delivery[[#This Row],[Valor pago pelo Cluster]]-Delivery[[#This Row],[Valor efetivamente pago pela Nespresso]]</f>
        <v>12290.069923574676</v>
      </c>
    </row>
    <row r="743" spans="1:43" ht="15.75">
      <c r="A743" s="174" t="s">
        <v>69</v>
      </c>
      <c r="B743" s="232" t="s">
        <v>68</v>
      </c>
      <c r="C743" s="157">
        <v>1</v>
      </c>
      <c r="D743" s="157" t="s">
        <v>468</v>
      </c>
      <c r="E743" s="177" t="s">
        <v>468</v>
      </c>
      <c r="F743" s="233" t="s">
        <v>541</v>
      </c>
      <c r="G743" s="234">
        <v>43231</v>
      </c>
      <c r="H743" s="157" t="s">
        <v>896</v>
      </c>
      <c r="I743" s="157" t="s">
        <v>887</v>
      </c>
      <c r="J743" s="237">
        <v>22830.5</v>
      </c>
      <c r="K743" s="175" t="s">
        <v>61</v>
      </c>
      <c r="L743" s="175" t="s">
        <v>439</v>
      </c>
      <c r="M743" s="175" t="s">
        <v>1343</v>
      </c>
      <c r="N743" s="198"/>
      <c r="O743" s="199"/>
      <c r="P743" s="181">
        <v>0</v>
      </c>
      <c r="Q743" s="177">
        <v>43222</v>
      </c>
      <c r="R743" s="178">
        <v>442.05929008239764</v>
      </c>
      <c r="S743" s="179">
        <v>173101.90297021376</v>
      </c>
      <c r="T743" s="182" t="s">
        <v>45</v>
      </c>
      <c r="U743" s="183">
        <v>3.5265998840332031</v>
      </c>
      <c r="V743" s="179">
        <v>9393.3045094490044</v>
      </c>
      <c r="W743" s="179">
        <v>2936.998348226457</v>
      </c>
      <c r="X743" s="196" t="s">
        <v>45</v>
      </c>
      <c r="Y743" s="200">
        <v>3.5265998840332031</v>
      </c>
      <c r="Z743" s="220" t="s">
        <v>473</v>
      </c>
      <c r="AA743" s="201">
        <f>Delivery[[#This Row],[Quantity delivered]]*VLOOKUP(Delivery[[#This Row],[Unit]],References!$U:$X,4,FALSE)*VLOOKUP(CONCATENATE(Delivery[[#This Row],[Coffee specie]],Delivery[[#This Row],[Coffee state]]),References!$U:$X,4,FALSE)</f>
        <v>22830.5</v>
      </c>
      <c r="AB743" s="202">
        <f>SUMIF(Allocation!C:C,Delivery[[#This Row],[Delivery ID]],Allocation!D:D)/Delivery[[#This Row],[Quantity delivered]]</f>
        <v>7.840388953373776E-3</v>
      </c>
      <c r="AC743" s="203">
        <f>Delivery[[#This Row],[Quantity delivered]]*Delivery[[#This Row],[Base price (Unidad)]]/60</f>
        <v>168207.24370376964</v>
      </c>
      <c r="AD743" s="204">
        <f>Delivery[[#This Row],[Nespresso total]]-Delivery[[#This Row],[Qt. Delivery * Base Price]]</f>
        <v>4894.6592664441268</v>
      </c>
      <c r="AE743" s="204">
        <f>Delivery[[#This Row],[AAA Premium (total)]]/Delivery[[#This Row],[Quantity delivered]]*60/Delivery[[#This Row],[Exchange rate VS USD]]</f>
        <v>7</v>
      </c>
      <c r="AF743" s="204">
        <f>Delivery[[#This Row],[BEN premium (total)]]/Delivery[[#This Row],[Quantity delivered]]*60/Delivery[[#This Row],[Exchange rate for premiums VS USD]]</f>
        <v>2.1886854000000002</v>
      </c>
      <c r="AG743" s="204">
        <f>COUNTIF(Delivery[Delivery ID],Delivery[[#This Row],[Delivery ID]])</f>
        <v>1</v>
      </c>
      <c r="AH743" s="204">
        <f>(Delivery[[#This Row],[Nespresso total]]/SUMIF(Allocation!C:C,Delivery[Delivery ID],Allocation!H:H))/Delivery[[#This Row],[Exchange rate VS USD]]</f>
        <v>831.94313369675115</v>
      </c>
      <c r="AI743" s="204">
        <f>(Delivery[[#This Row],[AAA Premium (total)]]/SUMIF(Allocation!C:C,Delivery[Delivery ID],Allocation!H:H))/Delivery[[#This Row],[Exchange rate VS USD]]</f>
        <v>45.14505649717514</v>
      </c>
      <c r="AJ743" s="204">
        <f>Delivery[[#This Row],[Valor Prêmio Nespresso AAA por Kg (em US$)]]*60</f>
        <v>2708.7033898305085</v>
      </c>
      <c r="AK743" s="204">
        <f>Delivery[[#This Row],[Valor Prêmio Nespresso AAA por saca (em US$)]]/1.3228/100</f>
        <v>20.477044071896799</v>
      </c>
      <c r="AL743" s="204">
        <f>(Delivery[[#This Row],[BEN premium (total)]]/SUMIF(Allocation!C:C,Delivery[Delivery ID],Allocation!H:H))/Delivery[[#This Row],[Exchange rate for premiums VS USD]]</f>
        <v>14.115475148220339</v>
      </c>
      <c r="AM743" s="204">
        <f>Delivery[[#This Row],[Valor Prêmio Nespresso BEN por Kg (em US$)]]*60</f>
        <v>846.9285088932204</v>
      </c>
      <c r="AN743" s="204">
        <f>Delivery[[#This Row],[Valor Prêmio Nespresso BEN por saca (em US$)]]/1.3228/100</f>
        <v>6.4025439136167259</v>
      </c>
      <c r="AO743" s="204">
        <f>SUMIF(Allocation[Delivery ID],Delivery[[#This Row],[Delivery ID]],Allocation[Quantity allocated])*16*1.3228*Delivery[[#This Row],[Exchange rate VS USD]]/60</f>
        <v>73.395784871826166</v>
      </c>
      <c r="AP743" s="204">
        <f>Delivery[[#This Row],[AAA Premium (total)]]</f>
        <v>9393.3045094490044</v>
      </c>
      <c r="AQ743" s="204">
        <f>Delivery[[#This Row],[Valor pago pelo Cluster]]-Delivery[[#This Row],[Valor efetivamente pago pela Nespresso]]</f>
        <v>9319.9087245771789</v>
      </c>
    </row>
    <row r="744" spans="1:43" ht="15.75">
      <c r="A744" s="174" t="s">
        <v>69</v>
      </c>
      <c r="B744" s="232" t="s">
        <v>68</v>
      </c>
      <c r="C744" s="157">
        <v>1</v>
      </c>
      <c r="D744" s="157" t="s">
        <v>468</v>
      </c>
      <c r="E744" s="177" t="s">
        <v>468</v>
      </c>
      <c r="F744" s="233" t="s">
        <v>541</v>
      </c>
      <c r="G744" s="234">
        <v>43231</v>
      </c>
      <c r="H744" s="157" t="s">
        <v>897</v>
      </c>
      <c r="I744" s="157" t="s">
        <v>887</v>
      </c>
      <c r="J744" s="237">
        <v>7209.5</v>
      </c>
      <c r="K744" s="175" t="s">
        <v>61</v>
      </c>
      <c r="L744" s="175" t="s">
        <v>439</v>
      </c>
      <c r="M744" s="175" t="s">
        <v>1343</v>
      </c>
      <c r="N744" s="198"/>
      <c r="O744" s="199"/>
      <c r="P744" s="181">
        <v>0</v>
      </c>
      <c r="Q744" s="177">
        <v>43222</v>
      </c>
      <c r="R744" s="178">
        <v>442.05929008239764</v>
      </c>
      <c r="S744" s="179">
        <v>54662.761195057319</v>
      </c>
      <c r="T744" s="182" t="s">
        <v>45</v>
      </c>
      <c r="U744" s="183">
        <v>3.5265998840332031</v>
      </c>
      <c r="V744" s="179">
        <v>2966.2525507926939</v>
      </c>
      <c r="W744" s="179">
        <v>927.45623580467543</v>
      </c>
      <c r="X744" s="196" t="s">
        <v>45</v>
      </c>
      <c r="Y744" s="200">
        <v>3.5265998840332031</v>
      </c>
      <c r="Z744" s="220" t="s">
        <v>473</v>
      </c>
      <c r="AA744" s="201">
        <f>Delivery[[#This Row],[Quantity delivered]]*VLOOKUP(Delivery[[#This Row],[Unit]],References!$U:$X,4,FALSE)*VLOOKUP(CONCATENATE(Delivery[[#This Row],[Coffee specie]],Delivery[[#This Row],[Coffee state]]),References!$U:$X,4,FALSE)</f>
        <v>7209.5</v>
      </c>
      <c r="AB744" s="202">
        <f>SUMIF(Allocation!C:C,Delivery[[#This Row],[Delivery ID]],Allocation!D:D)/Delivery[[#This Row],[Quantity delivered]]</f>
        <v>2.4828351480685205E-2</v>
      </c>
      <c r="AC744" s="203">
        <f>Delivery[[#This Row],[Quantity delivered]]*Delivery[[#This Row],[Base price (Unidad)]]/60</f>
        <v>53117.107530817426</v>
      </c>
      <c r="AD744" s="204">
        <f>Delivery[[#This Row],[Nespresso total]]-Delivery[[#This Row],[Qt. Delivery * Base Price]]</f>
        <v>1545.6536642398933</v>
      </c>
      <c r="AE744" s="204">
        <f>Delivery[[#This Row],[AAA Premium (total)]]/Delivery[[#This Row],[Quantity delivered]]*60/Delivery[[#This Row],[Exchange rate VS USD]]</f>
        <v>7</v>
      </c>
      <c r="AF744" s="204">
        <f>Delivery[[#This Row],[BEN premium (total)]]/Delivery[[#This Row],[Quantity delivered]]*60/Delivery[[#This Row],[Exchange rate for premiums VS USD]]</f>
        <v>2.1886854000000002</v>
      </c>
      <c r="AG744" s="204">
        <f>COUNTIF(Delivery[Delivery ID],Delivery[[#This Row],[Delivery ID]])</f>
        <v>1</v>
      </c>
      <c r="AH744" s="204">
        <f>(Delivery[[#This Row],[Nespresso total]]/SUMIF(Allocation!C:C,Delivery[Delivery ID],Allocation!H:H))/Delivery[[#This Row],[Exchange rate VS USD]]</f>
        <v>262.71408959009779</v>
      </c>
      <c r="AI744" s="204">
        <f>(Delivery[[#This Row],[AAA Premium (total)]]/SUMIF(Allocation!C:C,Delivery[Delivery ID],Allocation!H:H))/Delivery[[#This Row],[Exchange rate VS USD]]</f>
        <v>14.256073446327683</v>
      </c>
      <c r="AJ744" s="204">
        <f>Delivery[[#This Row],[Valor Prêmio Nespresso AAA por Kg (em US$)]]*60</f>
        <v>855.36440677966095</v>
      </c>
      <c r="AK744" s="204">
        <f>Delivery[[#This Row],[Valor Prêmio Nespresso AAA por saca (em US$)]]/1.3228/100</f>
        <v>6.466316954790301</v>
      </c>
      <c r="AL744" s="204">
        <f>(Delivery[[#This Row],[BEN premium (total)]]/SUMIF(Allocation!C:C,Delivery[Delivery ID],Allocation!H:H))/Delivery[[#This Row],[Exchange rate for premiums VS USD]]</f>
        <v>4.4574371161864406</v>
      </c>
      <c r="AM744" s="204">
        <f>Delivery[[#This Row],[Valor Prêmio Nespresso BEN por Kg (em US$)]]*60</f>
        <v>267.44622697118643</v>
      </c>
      <c r="AN744" s="204">
        <f>Delivery[[#This Row],[Valor Prêmio Nespresso BEN por saca (em US$)]]/1.3228/100</f>
        <v>2.0218190729602843</v>
      </c>
      <c r="AO744" s="204">
        <f>SUMIF(Allocation[Delivery ID],Delivery[[#This Row],[Delivery ID]],Allocation[Quantity allocated])*16*1.3228*Delivery[[#This Row],[Exchange rate VS USD]]/60</f>
        <v>73.395784871826166</v>
      </c>
      <c r="AP744" s="204">
        <f>Delivery[[#This Row],[AAA Premium (total)]]</f>
        <v>2966.2525507926939</v>
      </c>
      <c r="AQ744" s="204">
        <f>Delivery[[#This Row],[Valor pago pelo Cluster]]-Delivery[[#This Row],[Valor efetivamente pago pela Nespresso]]</f>
        <v>2892.8567659208679</v>
      </c>
    </row>
    <row r="745" spans="1:43" ht="15.75">
      <c r="A745" s="174" t="s">
        <v>69</v>
      </c>
      <c r="B745" s="232" t="s">
        <v>68</v>
      </c>
      <c r="C745" s="157">
        <v>1</v>
      </c>
      <c r="D745" s="157" t="s">
        <v>468</v>
      </c>
      <c r="E745" s="177" t="s">
        <v>468</v>
      </c>
      <c r="F745" s="233" t="s">
        <v>541</v>
      </c>
      <c r="G745" s="234">
        <v>43231</v>
      </c>
      <c r="H745" s="157" t="s">
        <v>898</v>
      </c>
      <c r="I745" s="157" t="s">
        <v>887</v>
      </c>
      <c r="J745" s="237">
        <v>18268.5</v>
      </c>
      <c r="K745" s="175" t="s">
        <v>61</v>
      </c>
      <c r="L745" s="175" t="s">
        <v>439</v>
      </c>
      <c r="M745" s="175" t="s">
        <v>1343</v>
      </c>
      <c r="N745" s="198"/>
      <c r="O745" s="199"/>
      <c r="P745" s="181">
        <v>0</v>
      </c>
      <c r="Q745" s="177">
        <v>43222</v>
      </c>
      <c r="R745" s="178">
        <v>442.05929008239764</v>
      </c>
      <c r="S745" s="179">
        <v>138512.60876508837</v>
      </c>
      <c r="T745" s="182" t="s">
        <v>45</v>
      </c>
      <c r="U745" s="183">
        <v>3.5265998840332031</v>
      </c>
      <c r="V745" s="179">
        <v>7516.3304978370661</v>
      </c>
      <c r="W745" s="179">
        <v>2350.1261174558167</v>
      </c>
      <c r="X745" s="196" t="s">
        <v>45</v>
      </c>
      <c r="Y745" s="200">
        <v>3.5265998840332031</v>
      </c>
      <c r="Z745" s="220" t="s">
        <v>473</v>
      </c>
      <c r="AA745" s="201">
        <f>Delivery[[#This Row],[Quantity delivered]]*VLOOKUP(Delivery[[#This Row],[Unit]],References!$U:$X,4,FALSE)*VLOOKUP(CONCATENATE(Delivery[[#This Row],[Coffee specie]],Delivery[[#This Row],[Coffee state]]),References!$U:$X,4,FALSE)</f>
        <v>18268.5</v>
      </c>
      <c r="AB745" s="202">
        <f>SUMIF(Allocation!C:C,Delivery[[#This Row],[Delivery ID]],Allocation!D:D)/Delivery[[#This Row],[Quantity delivered]]</f>
        <v>9.7982866683088369E-3</v>
      </c>
      <c r="AC745" s="203">
        <f>Delivery[[#This Row],[Quantity delivered]]*Delivery[[#This Row],[Base price (Unidad)]]/60</f>
        <v>134596.00234783802</v>
      </c>
      <c r="AD745" s="204">
        <f>Delivery[[#This Row],[Nespresso total]]-Delivery[[#This Row],[Qt. Delivery * Base Price]]</f>
        <v>3916.6064172503538</v>
      </c>
      <c r="AE745" s="204">
        <f>Delivery[[#This Row],[AAA Premium (total)]]/Delivery[[#This Row],[Quantity delivered]]*60/Delivery[[#This Row],[Exchange rate VS USD]]</f>
        <v>7</v>
      </c>
      <c r="AF745" s="204">
        <f>Delivery[[#This Row],[BEN premium (total)]]/Delivery[[#This Row],[Quantity delivered]]*60/Delivery[[#This Row],[Exchange rate for premiums VS USD]]</f>
        <v>2.1886853999999993</v>
      </c>
      <c r="AG745" s="204">
        <f>COUNTIF(Delivery[Delivery ID],Delivery[[#This Row],[Delivery ID]])</f>
        <v>1</v>
      </c>
      <c r="AH745" s="204">
        <f>(Delivery[[#This Row],[Nespresso total]]/SUMIF(Allocation!C:C,Delivery[Delivery ID],Allocation!H:H))/Delivery[[#This Row],[Exchange rate VS USD]]</f>
        <v>665.70391090598537</v>
      </c>
      <c r="AI745" s="204">
        <f>(Delivery[[#This Row],[AAA Premium (total)]]/SUMIF(Allocation!C:C,Delivery[Delivery ID],Allocation!H:H))/Delivery[[#This Row],[Exchange rate VS USD]]</f>
        <v>36.124152542372876</v>
      </c>
      <c r="AJ745" s="204">
        <f>Delivery[[#This Row],[Valor Prêmio Nespresso AAA por Kg (em US$)]]*60</f>
        <v>2167.4491525423728</v>
      </c>
      <c r="AK745" s="204">
        <f>Delivery[[#This Row],[Valor Prêmio Nespresso AAA por saca (em US$)]]/1.3228/100</f>
        <v>16.385312613716152</v>
      </c>
      <c r="AL745" s="204">
        <f>(Delivery[[#This Row],[BEN premium (total)]]/SUMIF(Allocation!C:C,Delivery[Delivery ID],Allocation!H:H))/Delivery[[#This Row],[Exchange rate for premiums VS USD]]</f>
        <v>11.294915036694915</v>
      </c>
      <c r="AM745" s="204">
        <f>Delivery[[#This Row],[Valor Prêmio Nespresso BEN por Kg (em US$)]]*60</f>
        <v>677.69490220169496</v>
      </c>
      <c r="AN745" s="204">
        <f>Delivery[[#This Row],[Valor Prêmio Nespresso BEN por saca (em US$)]]/1.3228/100</f>
        <v>5.1231849274394845</v>
      </c>
      <c r="AO745" s="204">
        <f>SUMIF(Allocation[Delivery ID],Delivery[[#This Row],[Delivery ID]],Allocation[Quantity allocated])*16*1.3228*Delivery[[#This Row],[Exchange rate VS USD]]/60</f>
        <v>73.395784871826166</v>
      </c>
      <c r="AP745" s="204">
        <f>Delivery[[#This Row],[AAA Premium (total)]]</f>
        <v>7516.3304978370661</v>
      </c>
      <c r="AQ745" s="204">
        <f>Delivery[[#This Row],[Valor pago pelo Cluster]]-Delivery[[#This Row],[Valor efetivamente pago pela Nespresso]]</f>
        <v>7442.9347129652397</v>
      </c>
    </row>
    <row r="746" spans="1:43" ht="15.75">
      <c r="A746" s="174" t="s">
        <v>69</v>
      </c>
      <c r="B746" s="232" t="s">
        <v>68</v>
      </c>
      <c r="C746" s="157">
        <v>1</v>
      </c>
      <c r="D746" s="157" t="s">
        <v>468</v>
      </c>
      <c r="E746" s="177" t="s">
        <v>468</v>
      </c>
      <c r="F746" s="233" t="s">
        <v>541</v>
      </c>
      <c r="G746" s="234">
        <v>43231</v>
      </c>
      <c r="H746" s="157" t="s">
        <v>899</v>
      </c>
      <c r="I746" s="157" t="s">
        <v>887</v>
      </c>
      <c r="J746" s="237">
        <v>11979</v>
      </c>
      <c r="K746" s="175" t="s">
        <v>61</v>
      </c>
      <c r="L746" s="175" t="s">
        <v>439</v>
      </c>
      <c r="M746" s="175" t="s">
        <v>1343</v>
      </c>
      <c r="N746" s="198"/>
      <c r="O746" s="199"/>
      <c r="P746" s="181">
        <v>0</v>
      </c>
      <c r="Q746" s="177">
        <v>43222</v>
      </c>
      <c r="R746" s="178">
        <v>442.05929008239764</v>
      </c>
      <c r="S746" s="179">
        <v>90825.32996124441</v>
      </c>
      <c r="T746" s="182" t="s">
        <v>45</v>
      </c>
      <c r="U746" s="183">
        <v>3.5265998840332031</v>
      </c>
      <c r="V746" s="179">
        <v>4928.5996679306027</v>
      </c>
      <c r="W746" s="179">
        <v>1541.0220193777941</v>
      </c>
      <c r="X746" s="196" t="s">
        <v>45</v>
      </c>
      <c r="Y746" s="200">
        <v>3.5265998840332031</v>
      </c>
      <c r="Z746" s="220" t="s">
        <v>473</v>
      </c>
      <c r="AA746" s="201">
        <f>Delivery[[#This Row],[Quantity delivered]]*VLOOKUP(Delivery[[#This Row],[Unit]],References!$U:$X,4,FALSE)*VLOOKUP(CONCATENATE(Delivery[[#This Row],[Coffee specie]],Delivery[[#This Row],[Coffee state]]),References!$U:$X,4,FALSE)</f>
        <v>11979</v>
      </c>
      <c r="AB746" s="202">
        <f>SUMIF(Allocation!C:C,Delivery[[#This Row],[Delivery ID]],Allocation!D:D)/Delivery[[#This Row],[Quantity delivered]]</f>
        <v>1.4942816595709158E-2</v>
      </c>
      <c r="AC746" s="203">
        <f>Delivery[[#This Row],[Quantity delivered]]*Delivery[[#This Row],[Base price (Unidad)]]/60</f>
        <v>88257.137264950681</v>
      </c>
      <c r="AD746" s="204">
        <f>Delivery[[#This Row],[Nespresso total]]-Delivery[[#This Row],[Qt. Delivery * Base Price]]</f>
        <v>2568.1926962937287</v>
      </c>
      <c r="AE746" s="204">
        <f>Delivery[[#This Row],[AAA Premium (total)]]/Delivery[[#This Row],[Quantity delivered]]*60/Delivery[[#This Row],[Exchange rate VS USD]]</f>
        <v>7</v>
      </c>
      <c r="AF746" s="204">
        <f>Delivery[[#This Row],[BEN premium (total)]]/Delivery[[#This Row],[Quantity delivered]]*60/Delivery[[#This Row],[Exchange rate for premiums VS USD]]</f>
        <v>2.1886854000000002</v>
      </c>
      <c r="AG746" s="204">
        <f>COUNTIF(Delivery[Delivery ID],Delivery[[#This Row],[Delivery ID]])</f>
        <v>1</v>
      </c>
      <c r="AH746" s="204">
        <f>(Delivery[[#This Row],[Nespresso total]]/SUMIF(Allocation!C:C,Delivery[Delivery ID],Allocation!H:H))/Delivery[[#This Row],[Exchange rate VS USD]]</f>
        <v>436.51460977873381</v>
      </c>
      <c r="AI746" s="204">
        <f>(Delivery[[#This Row],[AAA Premium (total)]]/SUMIF(Allocation!C:C,Delivery[Delivery ID],Allocation!H:H))/Delivery[[#This Row],[Exchange rate VS USD]]</f>
        <v>23.687288135593217</v>
      </c>
      <c r="AJ746" s="204">
        <f>Delivery[[#This Row],[Valor Prêmio Nespresso AAA por Kg (em US$)]]*60</f>
        <v>1421.237288135593</v>
      </c>
      <c r="AK746" s="204">
        <f>Delivery[[#This Row],[Valor Prêmio Nespresso AAA por saca (em US$)]]/1.3228/100</f>
        <v>10.744158513271795</v>
      </c>
      <c r="AL746" s="204">
        <f>(Delivery[[#This Row],[BEN premium (total)]]/SUMIF(Allocation!C:C,Delivery[Delivery ID],Allocation!H:H))/Delivery[[#This Row],[Exchange rate for premiums VS USD]]</f>
        <v>7.4062888154237285</v>
      </c>
      <c r="AM746" s="204">
        <f>Delivery[[#This Row],[Valor Prêmio Nespresso BEN por Kg (em US$)]]*60</f>
        <v>444.37732892542374</v>
      </c>
      <c r="AN746" s="204">
        <f>Delivery[[#This Row],[Valor Prêmio Nespresso BEN por saca (em US$)]]/1.3228/100</f>
        <v>3.3593689818976697</v>
      </c>
      <c r="AO746" s="204">
        <f>SUMIF(Allocation[Delivery ID],Delivery[[#This Row],[Delivery ID]],Allocation[Quantity allocated])*16*1.3228*Delivery[[#This Row],[Exchange rate VS USD]]/60</f>
        <v>73.395784871826166</v>
      </c>
      <c r="AP746" s="204">
        <f>Delivery[[#This Row],[AAA Premium (total)]]</f>
        <v>4928.5996679306027</v>
      </c>
      <c r="AQ746" s="204">
        <f>Delivery[[#This Row],[Valor pago pelo Cluster]]-Delivery[[#This Row],[Valor efetivamente pago pela Nespresso]]</f>
        <v>4855.2038830587762</v>
      </c>
    </row>
    <row r="747" spans="1:43" ht="15.75">
      <c r="A747" s="174" t="s">
        <v>69</v>
      </c>
      <c r="B747" s="232" t="s">
        <v>68</v>
      </c>
      <c r="C747" s="157">
        <v>1</v>
      </c>
      <c r="D747" s="157" t="s">
        <v>468</v>
      </c>
      <c r="E747" s="177" t="s">
        <v>468</v>
      </c>
      <c r="F747" s="233" t="s">
        <v>541</v>
      </c>
      <c r="G747" s="234">
        <v>43231</v>
      </c>
      <c r="H747" s="157" t="s">
        <v>900</v>
      </c>
      <c r="I747" s="157" t="s">
        <v>887</v>
      </c>
      <c r="J747" s="237">
        <v>6606</v>
      </c>
      <c r="K747" s="175" t="s">
        <v>61</v>
      </c>
      <c r="L747" s="175" t="s">
        <v>439</v>
      </c>
      <c r="M747" s="175" t="s">
        <v>1343</v>
      </c>
      <c r="N747" s="198"/>
      <c r="O747" s="199"/>
      <c r="P747" s="181">
        <v>0</v>
      </c>
      <c r="Q747" s="177">
        <v>43222</v>
      </c>
      <c r="R747" s="178">
        <v>442.05929008239764</v>
      </c>
      <c r="S747" s="179">
        <v>50086.996387342893</v>
      </c>
      <c r="T747" s="182" t="s">
        <v>45</v>
      </c>
      <c r="U747" s="183">
        <v>3.5265998840332031</v>
      </c>
      <c r="V747" s="179">
        <v>2717.9505306243896</v>
      </c>
      <c r="W747" s="179">
        <v>849.81980632855061</v>
      </c>
      <c r="X747" s="196" t="s">
        <v>45</v>
      </c>
      <c r="Y747" s="200">
        <v>3.5265998840332031</v>
      </c>
      <c r="Z747" s="220" t="s">
        <v>473</v>
      </c>
      <c r="AA747" s="201">
        <f>Delivery[[#This Row],[Quantity delivered]]*VLOOKUP(Delivery[[#This Row],[Unit]],References!$U:$X,4,FALSE)*VLOOKUP(CONCATENATE(Delivery[[#This Row],[Coffee specie]],Delivery[[#This Row],[Coffee state]]),References!$U:$X,4,FALSE)</f>
        <v>6606</v>
      </c>
      <c r="AB747" s="202">
        <f>SUMIF(Allocation!C:C,Delivery[[#This Row],[Delivery ID]],Allocation!D:D)/Delivery[[#This Row],[Quantity delivered]]</f>
        <v>2.7096578867696033E-2</v>
      </c>
      <c r="AC747" s="203">
        <f>Delivery[[#This Row],[Quantity delivered]]*Delivery[[#This Row],[Base price (Unidad)]]/60</f>
        <v>48670.72783807198</v>
      </c>
      <c r="AD747" s="204">
        <f>Delivery[[#This Row],[Nespresso total]]-Delivery[[#This Row],[Qt. Delivery * Base Price]]</f>
        <v>1416.2685492709134</v>
      </c>
      <c r="AE747" s="204">
        <f>Delivery[[#This Row],[AAA Premium (total)]]/Delivery[[#This Row],[Quantity delivered]]*60/Delivery[[#This Row],[Exchange rate VS USD]]</f>
        <v>7</v>
      </c>
      <c r="AF747" s="204">
        <f>Delivery[[#This Row],[BEN premium (total)]]/Delivery[[#This Row],[Quantity delivered]]*60/Delivery[[#This Row],[Exchange rate for premiums VS USD]]</f>
        <v>2.1886854000000002</v>
      </c>
      <c r="AG747" s="204">
        <f>COUNTIF(Delivery[Delivery ID],Delivery[[#This Row],[Delivery ID]])</f>
        <v>1</v>
      </c>
      <c r="AH747" s="204">
        <f>(Delivery[[#This Row],[Nespresso total]]/SUMIF(Allocation!C:C,Delivery[Delivery ID],Allocation!H:H))/Delivery[[#This Row],[Exchange rate VS USD]]</f>
        <v>240.72255715821984</v>
      </c>
      <c r="AI747" s="204">
        <f>(Delivery[[#This Row],[AAA Premium (total)]]/SUMIF(Allocation!C:C,Delivery[Delivery ID],Allocation!H:H))/Delivery[[#This Row],[Exchange rate VS USD]]</f>
        <v>13.062711864406779</v>
      </c>
      <c r="AJ747" s="204">
        <f>Delivery[[#This Row],[Valor Prêmio Nespresso AAA por Kg (em US$)]]*60</f>
        <v>783.76271186440681</v>
      </c>
      <c r="AK747" s="204">
        <f>Delivery[[#This Row],[Valor Prêmio Nespresso AAA por saca (em US$)]]/1.3228/100</f>
        <v>5.9250280606622834</v>
      </c>
      <c r="AL747" s="204">
        <f>(Delivery[[#This Row],[BEN premium (total)]]/SUMIF(Allocation!C:C,Delivery[Delivery ID],Allocation!H:H))/Delivery[[#This Row],[Exchange rate for premiums VS USD]]</f>
        <v>4.0843095345762714</v>
      </c>
      <c r="AM747" s="204">
        <f>Delivery[[#This Row],[Valor Prêmio Nespresso BEN por Kg (em US$)]]*60</f>
        <v>245.05857207457629</v>
      </c>
      <c r="AN747" s="204">
        <f>Delivery[[#This Row],[Valor Prêmio Nespresso BEN por saca (em US$)]]/1.3228/100</f>
        <v>1.8525746301374075</v>
      </c>
      <c r="AO747" s="204">
        <f>SUMIF(Allocation[Delivery ID],Delivery[[#This Row],[Delivery ID]],Allocation[Quantity allocated])*16*1.3228*Delivery[[#This Row],[Exchange rate VS USD]]/60</f>
        <v>73.395784871826166</v>
      </c>
      <c r="AP747" s="204">
        <f>Delivery[[#This Row],[AAA Premium (total)]]</f>
        <v>2717.9505306243896</v>
      </c>
      <c r="AQ747" s="204">
        <f>Delivery[[#This Row],[Valor pago pelo Cluster]]-Delivery[[#This Row],[Valor efetivamente pago pela Nespresso]]</f>
        <v>2644.5547457525636</v>
      </c>
    </row>
    <row r="748" spans="1:43" ht="15.75">
      <c r="A748" s="174" t="s">
        <v>69</v>
      </c>
      <c r="B748" s="232" t="s">
        <v>68</v>
      </c>
      <c r="C748" s="157">
        <v>1</v>
      </c>
      <c r="D748" s="157" t="s">
        <v>468</v>
      </c>
      <c r="E748" s="177" t="s">
        <v>468</v>
      </c>
      <c r="F748" s="233" t="s">
        <v>541</v>
      </c>
      <c r="G748" s="234">
        <v>43231</v>
      </c>
      <c r="H748" s="157" t="s">
        <v>901</v>
      </c>
      <c r="I748" s="157" t="s">
        <v>887</v>
      </c>
      <c r="J748" s="237">
        <v>23721.5</v>
      </c>
      <c r="K748" s="175" t="s">
        <v>61</v>
      </c>
      <c r="L748" s="175" t="s">
        <v>439</v>
      </c>
      <c r="M748" s="175" t="s">
        <v>1343</v>
      </c>
      <c r="N748" s="198"/>
      <c r="O748" s="199"/>
      <c r="P748" s="181">
        <v>0</v>
      </c>
      <c r="Q748" s="177">
        <v>43222</v>
      </c>
      <c r="R748" s="178">
        <v>442.05929008239764</v>
      </c>
      <c r="S748" s="179">
        <v>179857.50602518232</v>
      </c>
      <c r="T748" s="182" t="s">
        <v>45</v>
      </c>
      <c r="U748" s="183">
        <v>3.5265998840332031</v>
      </c>
      <c r="V748" s="179">
        <v>9759.8945673942562</v>
      </c>
      <c r="W748" s="179">
        <v>3051.6198207421608</v>
      </c>
      <c r="X748" s="196" t="s">
        <v>45</v>
      </c>
      <c r="Y748" s="200">
        <v>3.5265998840332031</v>
      </c>
      <c r="Z748" s="220" t="s">
        <v>473</v>
      </c>
      <c r="AA748" s="201">
        <f>Delivery[[#This Row],[Quantity delivered]]*VLOOKUP(Delivery[[#This Row],[Unit]],References!$U:$X,4,FALSE)*VLOOKUP(CONCATENATE(Delivery[[#This Row],[Coffee specie]],Delivery[[#This Row],[Coffee state]]),References!$U:$X,4,FALSE)</f>
        <v>23721.5</v>
      </c>
      <c r="AB748" s="202">
        <f>SUMIF(Allocation!C:C,Delivery[[#This Row],[Delivery ID]],Allocation!D:D)/Delivery[[#This Row],[Quantity delivered]]</f>
        <v>7.5458971818814155E-3</v>
      </c>
      <c r="AC748" s="203">
        <f>Delivery[[#This Row],[Quantity delivered]]*Delivery[[#This Row],[Base price (Unidad)]]/60</f>
        <v>174771.82416149325</v>
      </c>
      <c r="AD748" s="204">
        <f>Delivery[[#This Row],[Nespresso total]]-Delivery[[#This Row],[Qt. Delivery * Base Price]]</f>
        <v>5085.6818636890675</v>
      </c>
      <c r="AE748" s="204">
        <f>Delivery[[#This Row],[AAA Premium (total)]]/Delivery[[#This Row],[Quantity delivered]]*60/Delivery[[#This Row],[Exchange rate VS USD]]</f>
        <v>7</v>
      </c>
      <c r="AF748" s="204">
        <f>Delivery[[#This Row],[BEN premium (total)]]/Delivery[[#This Row],[Quantity delivered]]*60/Delivery[[#This Row],[Exchange rate for premiums VS USD]]</f>
        <v>2.1886854000000002</v>
      </c>
      <c r="AG748" s="204">
        <f>COUNTIF(Delivery[Delivery ID],Delivery[[#This Row],[Delivery ID]])</f>
        <v>1</v>
      </c>
      <c r="AH748" s="204">
        <f>(Delivery[[#This Row],[Nespresso total]]/SUMIF(Allocation!C:C,Delivery[Delivery ID],Allocation!H:H))/Delivery[[#This Row],[Exchange rate VS USD]]</f>
        <v>864.41116252326844</v>
      </c>
      <c r="AI748" s="204">
        <f>(Delivery[[#This Row],[AAA Premium (total)]]/SUMIF(Allocation!C:C,Delivery[Delivery ID],Allocation!H:H))/Delivery[[#This Row],[Exchange rate VS USD]]</f>
        <v>46.906920903954806</v>
      </c>
      <c r="AJ748" s="204">
        <f>Delivery[[#This Row],[Valor Prêmio Nespresso AAA por Kg (em US$)]]*60</f>
        <v>2814.4152542372885</v>
      </c>
      <c r="AK748" s="204">
        <f>Delivery[[#This Row],[Valor Prêmio Nespresso AAA por saca (em US$)]]/1.3228/100</f>
        <v>21.27619635800793</v>
      </c>
      <c r="AL748" s="204">
        <f>(Delivery[[#This Row],[BEN premium (total)]]/SUMIF(Allocation!C:C,Delivery[Delivery ID],Allocation!H:H))/Delivery[[#This Row],[Exchange rate for premiums VS USD]]</f>
        <v>14.666356134491526</v>
      </c>
      <c r="AM748" s="204">
        <f>Delivery[[#This Row],[Valor Prêmio Nespresso BEN por Kg (em US$)]]*60</f>
        <v>879.98136806949151</v>
      </c>
      <c r="AN748" s="204">
        <f>Delivery[[#This Row],[Valor Prêmio Nespresso BEN por saca (em US$)]]/1.3228/100</f>
        <v>6.6524143337578732</v>
      </c>
      <c r="AO748" s="204">
        <f>SUMIF(Allocation[Delivery ID],Delivery[[#This Row],[Delivery ID]],Allocation[Quantity allocated])*16*1.3228*Delivery[[#This Row],[Exchange rate VS USD]]/60</f>
        <v>73.395784871826166</v>
      </c>
      <c r="AP748" s="204">
        <f>Delivery[[#This Row],[AAA Premium (total)]]</f>
        <v>9759.8945673942562</v>
      </c>
      <c r="AQ748" s="204">
        <f>Delivery[[#This Row],[Valor pago pelo Cluster]]-Delivery[[#This Row],[Valor efetivamente pago pela Nespresso]]</f>
        <v>9686.4987825224307</v>
      </c>
    </row>
    <row r="749" spans="1:43" ht="15.75">
      <c r="A749" s="174" t="s">
        <v>69</v>
      </c>
      <c r="B749" s="232" t="s">
        <v>68</v>
      </c>
      <c r="C749" s="157">
        <v>1</v>
      </c>
      <c r="D749" s="157" t="s">
        <v>468</v>
      </c>
      <c r="E749" s="177" t="s">
        <v>468</v>
      </c>
      <c r="F749" s="233" t="s">
        <v>541</v>
      </c>
      <c r="G749" s="234">
        <v>43234</v>
      </c>
      <c r="H749" s="157" t="s">
        <v>902</v>
      </c>
      <c r="I749" s="157" t="s">
        <v>887</v>
      </c>
      <c r="J749" s="237">
        <v>9240</v>
      </c>
      <c r="K749" s="175" t="s">
        <v>61</v>
      </c>
      <c r="L749" s="175" t="s">
        <v>439</v>
      </c>
      <c r="M749" s="175" t="s">
        <v>1343</v>
      </c>
      <c r="N749" s="198"/>
      <c r="O749" s="199"/>
      <c r="P749" s="181">
        <v>0</v>
      </c>
      <c r="Q749" s="177">
        <v>43222</v>
      </c>
      <c r="R749" s="178">
        <v>442.05929008239764</v>
      </c>
      <c r="S749" s="179">
        <v>70058.105755229859</v>
      </c>
      <c r="T749" s="182" t="s">
        <v>45</v>
      </c>
      <c r="U749" s="183">
        <v>3.5265998840332031</v>
      </c>
      <c r="V749" s="179">
        <v>3801.674674987793</v>
      </c>
      <c r="W749" s="179">
        <v>1188.6671223850753</v>
      </c>
      <c r="X749" s="196" t="s">
        <v>45</v>
      </c>
      <c r="Y749" s="200">
        <v>3.5265998840332031</v>
      </c>
      <c r="Z749" s="220" t="s">
        <v>473</v>
      </c>
      <c r="AA749" s="201">
        <f>Delivery[[#This Row],[Quantity delivered]]*VLOOKUP(Delivery[[#This Row],[Unit]],References!$U:$X,4,FALSE)*VLOOKUP(CONCATENATE(Delivery[[#This Row],[Coffee specie]],Delivery[[#This Row],[Coffee state]]),References!$U:$X,4,FALSE)</f>
        <v>9240</v>
      </c>
      <c r="AB749" s="202">
        <f>SUMIF(Allocation!C:C,Delivery[[#This Row],[Delivery ID]],Allocation!D:D)/Delivery[[#This Row],[Quantity delivered]]</f>
        <v>1.9372294372294371E-2</v>
      </c>
      <c r="AC749" s="203">
        <f>Delivery[[#This Row],[Quantity delivered]]*Delivery[[#This Row],[Base price (Unidad)]]/60</f>
        <v>68077.130672689236</v>
      </c>
      <c r="AD749" s="204">
        <f>Delivery[[#This Row],[Nespresso total]]-Delivery[[#This Row],[Qt. Delivery * Base Price]]</f>
        <v>1980.9750825406227</v>
      </c>
      <c r="AE749" s="204">
        <f>Delivery[[#This Row],[AAA Premium (total)]]/Delivery[[#This Row],[Quantity delivered]]*60/Delivery[[#This Row],[Exchange rate VS USD]]</f>
        <v>7</v>
      </c>
      <c r="AF749" s="204">
        <f>Delivery[[#This Row],[BEN premium (total)]]/Delivery[[#This Row],[Quantity delivered]]*60/Delivery[[#This Row],[Exchange rate for premiums VS USD]]</f>
        <v>2.1886854000000002</v>
      </c>
      <c r="AG749" s="204">
        <f>COUNTIF(Delivery[Delivery ID],Delivery[[#This Row],[Delivery ID]])</f>
        <v>1</v>
      </c>
      <c r="AH749" s="204">
        <f>(Delivery[[#This Row],[Nespresso total]]/SUMIF(Allocation!C:C,Delivery[Delivery ID],Allocation!H:H))/Delivery[[#This Row],[Exchange rate VS USD]]</f>
        <v>336.70548412684701</v>
      </c>
      <c r="AI749" s="204">
        <f>(Delivery[[#This Row],[AAA Premium (total)]]/SUMIF(Allocation!C:C,Delivery[Delivery ID],Allocation!H:H))/Delivery[[#This Row],[Exchange rate VS USD]]</f>
        <v>18.271186440677965</v>
      </c>
      <c r="AJ749" s="204">
        <f>Delivery[[#This Row],[Valor Prêmio Nespresso AAA por Kg (em US$)]]*60</f>
        <v>1096.2711864406779</v>
      </c>
      <c r="AK749" s="204">
        <f>Delivery[[#This Row],[Valor Prêmio Nespresso AAA por saca (em US$)]]/1.3228/100</f>
        <v>8.2875051893005587</v>
      </c>
      <c r="AL749" s="204">
        <f>(Delivery[[#This Row],[BEN premium (total)]]/SUMIF(Allocation!C:C,Delivery[Delivery ID],Allocation!H:H))/Delivery[[#This Row],[Exchange rate for premiums VS USD]]</f>
        <v>5.7128398576271184</v>
      </c>
      <c r="AM749" s="204">
        <f>Delivery[[#This Row],[Valor Prêmio Nespresso BEN por Kg (em US$)]]*60</f>
        <v>342.77039145762711</v>
      </c>
      <c r="AN749" s="204">
        <f>Delivery[[#This Row],[Valor Prêmio Nespresso BEN por saca (em US$)]]/1.3228/100</f>
        <v>2.5912488014637671</v>
      </c>
      <c r="AO749" s="204">
        <f>SUMIF(Allocation[Delivery ID],Delivery[[#This Row],[Delivery ID]],Allocation[Quantity allocated])*16*1.3228*Delivery[[#This Row],[Exchange rate VS USD]]/60</f>
        <v>73.395784871826166</v>
      </c>
      <c r="AP749" s="204">
        <f>Delivery[[#This Row],[AAA Premium (total)]]</f>
        <v>3801.674674987793</v>
      </c>
      <c r="AQ749" s="204">
        <f>Delivery[[#This Row],[Valor pago pelo Cluster]]-Delivery[[#This Row],[Valor efetivamente pago pela Nespresso]]</f>
        <v>3728.278890115967</v>
      </c>
    </row>
    <row r="750" spans="1:43" ht="15.75">
      <c r="A750" s="174" t="s">
        <v>69</v>
      </c>
      <c r="B750" s="232" t="s">
        <v>68</v>
      </c>
      <c r="C750" s="157">
        <v>1</v>
      </c>
      <c r="D750" s="157" t="s">
        <v>468</v>
      </c>
      <c r="E750" s="177" t="s">
        <v>468</v>
      </c>
      <c r="F750" s="233" t="s">
        <v>541</v>
      </c>
      <c r="G750" s="234">
        <v>43234</v>
      </c>
      <c r="H750" s="157" t="s">
        <v>903</v>
      </c>
      <c r="I750" s="157" t="s">
        <v>887</v>
      </c>
      <c r="J750" s="237">
        <v>9960</v>
      </c>
      <c r="K750" s="175" t="s">
        <v>61</v>
      </c>
      <c r="L750" s="175" t="s">
        <v>439</v>
      </c>
      <c r="M750" s="175" t="s">
        <v>1343</v>
      </c>
      <c r="N750" s="198"/>
      <c r="O750" s="199"/>
      <c r="P750" s="181">
        <v>0</v>
      </c>
      <c r="Q750" s="177">
        <v>43222</v>
      </c>
      <c r="R750" s="178">
        <v>442.05929008239764</v>
      </c>
      <c r="S750" s="179">
        <v>75517.178930962036</v>
      </c>
      <c r="T750" s="182" t="s">
        <v>45</v>
      </c>
      <c r="U750" s="183">
        <v>3.5265998840332031</v>
      </c>
      <c r="V750" s="179">
        <v>4097.909065246582</v>
      </c>
      <c r="W750" s="179">
        <v>1281.2905345189772</v>
      </c>
      <c r="X750" s="196" t="s">
        <v>45</v>
      </c>
      <c r="Y750" s="200">
        <v>3.5265998840332031</v>
      </c>
      <c r="Z750" s="220" t="s">
        <v>473</v>
      </c>
      <c r="AA750" s="201">
        <f>Delivery[[#This Row],[Quantity delivered]]*VLOOKUP(Delivery[[#This Row],[Unit]],References!$U:$X,4,FALSE)*VLOOKUP(CONCATENATE(Delivery[[#This Row],[Coffee specie]],Delivery[[#This Row],[Coffee state]]),References!$U:$X,4,FALSE)</f>
        <v>9960</v>
      </c>
      <c r="AB750" s="202">
        <f>SUMIF(Allocation!C:C,Delivery[[#This Row],[Delivery ID]],Allocation!D:D)/Delivery[[#This Row],[Quantity delivered]]</f>
        <v>1.7971887550200804E-2</v>
      </c>
      <c r="AC750" s="203">
        <f>Delivery[[#This Row],[Quantity delivered]]*Delivery[[#This Row],[Base price (Unidad)]]/60</f>
        <v>73381.842153678008</v>
      </c>
      <c r="AD750" s="204">
        <f>Delivery[[#This Row],[Nespresso total]]-Delivery[[#This Row],[Qt. Delivery * Base Price]]</f>
        <v>2135.3367772840284</v>
      </c>
      <c r="AE750" s="204">
        <f>Delivery[[#This Row],[AAA Premium (total)]]/Delivery[[#This Row],[Quantity delivered]]*60/Delivery[[#This Row],[Exchange rate VS USD]]</f>
        <v>7</v>
      </c>
      <c r="AF750" s="204">
        <f>Delivery[[#This Row],[BEN premium (total)]]/Delivery[[#This Row],[Quantity delivered]]*60/Delivery[[#This Row],[Exchange rate for premiums VS USD]]</f>
        <v>2.1886853999999993</v>
      </c>
      <c r="AG750" s="204">
        <f>COUNTIF(Delivery[Delivery ID],Delivery[[#This Row],[Delivery ID]])</f>
        <v>1</v>
      </c>
      <c r="AH750" s="204">
        <f>(Delivery[[#This Row],[Nespresso total]]/SUMIF(Allocation!C:C,Delivery[Delivery ID],Allocation!H:H))/Delivery[[#This Row],[Exchange rate VS USD]]</f>
        <v>362.94227509777011</v>
      </c>
      <c r="AI750" s="204">
        <f>(Delivery[[#This Row],[AAA Premium (total)]]/SUMIF(Allocation!C:C,Delivery[Delivery ID],Allocation!H:H))/Delivery[[#This Row],[Exchange rate VS USD]]</f>
        <v>19.694915254237287</v>
      </c>
      <c r="AJ750" s="204">
        <f>Delivery[[#This Row],[Valor Prêmio Nespresso AAA por Kg (em US$)]]*60</f>
        <v>1181.6949152542372</v>
      </c>
      <c r="AK750" s="204">
        <f>Delivery[[#This Row],[Valor Prêmio Nespresso AAA por saca (em US$)]]/1.3228/100</f>
        <v>8.9332848144408619</v>
      </c>
      <c r="AL750" s="204">
        <f>(Delivery[[#This Row],[BEN premium (total)]]/SUMIF(Allocation!C:C,Delivery[Delivery ID],Allocation!H:H))/Delivery[[#This Row],[Exchange rate for premiums VS USD]]</f>
        <v>6.1579962101694905</v>
      </c>
      <c r="AM750" s="204">
        <f>Delivery[[#This Row],[Valor Prêmio Nespresso BEN por Kg (em US$)]]*60</f>
        <v>369.47977261016945</v>
      </c>
      <c r="AN750" s="204">
        <f>Delivery[[#This Row],[Valor Prêmio Nespresso BEN por saca (em US$)]]/1.3228/100</f>
        <v>2.7931642924869173</v>
      </c>
      <c r="AO750" s="204">
        <f>SUMIF(Allocation[Delivery ID],Delivery[[#This Row],[Delivery ID]],Allocation[Quantity allocated])*16*1.3228*Delivery[[#This Row],[Exchange rate VS USD]]/60</f>
        <v>73.395784871826166</v>
      </c>
      <c r="AP750" s="204">
        <f>Delivery[[#This Row],[AAA Premium (total)]]</f>
        <v>4097.909065246582</v>
      </c>
      <c r="AQ750" s="204">
        <f>Delivery[[#This Row],[Valor pago pelo Cluster]]-Delivery[[#This Row],[Valor efetivamente pago pela Nespresso]]</f>
        <v>4024.5132803747561</v>
      </c>
    </row>
    <row r="751" spans="1:43" ht="15.75">
      <c r="A751" s="174" t="s">
        <v>69</v>
      </c>
      <c r="B751" s="232" t="s">
        <v>68</v>
      </c>
      <c r="C751" s="157">
        <v>1</v>
      </c>
      <c r="D751" s="157" t="s">
        <v>468</v>
      </c>
      <c r="E751" s="177" t="s">
        <v>468</v>
      </c>
      <c r="F751" s="233" t="s">
        <v>541</v>
      </c>
      <c r="G751" s="234">
        <v>43258</v>
      </c>
      <c r="H751" s="157" t="s">
        <v>904</v>
      </c>
      <c r="I751" s="157" t="s">
        <v>802</v>
      </c>
      <c r="J751" s="237">
        <v>30528</v>
      </c>
      <c r="K751" s="175" t="s">
        <v>61</v>
      </c>
      <c r="L751" s="175" t="s">
        <v>439</v>
      </c>
      <c r="M751" s="175" t="s">
        <v>1343</v>
      </c>
      <c r="N751" s="198"/>
      <c r="O751" s="199"/>
      <c r="P751" s="181">
        <v>0</v>
      </c>
      <c r="Q751" s="177">
        <v>43249</v>
      </c>
      <c r="R751" s="178">
        <v>449.83938021966969</v>
      </c>
      <c r="S751" s="179">
        <v>232713.69915602964</v>
      </c>
      <c r="T751" s="182" t="s">
        <v>45</v>
      </c>
      <c r="U751" s="183">
        <v>3.7471001148223877</v>
      </c>
      <c r="V751" s="179">
        <v>13345.671768951417</v>
      </c>
      <c r="W751" s="179">
        <v>4172.7824219851618</v>
      </c>
      <c r="X751" s="196" t="s">
        <v>45</v>
      </c>
      <c r="Y751" s="200">
        <v>3.7471001148223877</v>
      </c>
      <c r="Z751" s="220" t="s">
        <v>473</v>
      </c>
      <c r="AA751" s="201">
        <f>Delivery[[#This Row],[Quantity delivered]]*VLOOKUP(Delivery[[#This Row],[Unit]],References!$U:$X,4,FALSE)*VLOOKUP(CONCATENATE(Delivery[[#This Row],[Coffee specie]],Delivery[[#This Row],[Coffee state]]),References!$U:$X,4,FALSE)</f>
        <v>30528</v>
      </c>
      <c r="AB751" s="202">
        <f>SUMIF(Allocation!C:C,Delivery[[#This Row],[Delivery ID]],Allocation!D:D)/Delivery[[#This Row],[Quantity delivered]]</f>
        <v>2.3421121593291405E-2</v>
      </c>
      <c r="AC751" s="203">
        <f>Delivery[[#This Row],[Quantity delivered]]*Delivery[[#This Row],[Base price (Unidad)]]/60</f>
        <v>228878.27665576796</v>
      </c>
      <c r="AD751" s="204">
        <f>Delivery[[#This Row],[Nespresso total]]-Delivery[[#This Row],[Qt. Delivery * Base Price]]</f>
        <v>3835.4225002616877</v>
      </c>
      <c r="AE751" s="204">
        <f>Delivery[[#This Row],[AAA Premium (total)]]/Delivery[[#This Row],[Quantity delivered]]*60/Delivery[[#This Row],[Exchange rate VS USD]]</f>
        <v>7</v>
      </c>
      <c r="AF751" s="204">
        <f>Delivery[[#This Row],[BEN premium (total)]]/Delivery[[#This Row],[Quantity delivered]]*60/Delivery[[#This Row],[Exchange rate for premiums VS USD]]</f>
        <v>2.1886853999999998</v>
      </c>
      <c r="AG751" s="204">
        <f>COUNTIF(Delivery[Delivery ID],Delivery[[#This Row],[Delivery ID]])</f>
        <v>1</v>
      </c>
      <c r="AH751" s="204">
        <f>(Delivery[[#This Row],[Nespresso total]]/SUMIF(Allocation!C:C,Delivery[Delivery ID],Allocation!H:H))/Delivery[[#This Row],[Exchange rate VS USD]]</f>
        <v>263.15683227230619</v>
      </c>
      <c r="AI751" s="204">
        <f>(Delivery[[#This Row],[AAA Premium (total)]]/SUMIF(Allocation!C:C,Delivery[Delivery ID],Allocation!H:H))/Delivery[[#This Row],[Exchange rate VS USD]]</f>
        <v>15.091525423728815</v>
      </c>
      <c r="AJ751" s="204">
        <f>Delivery[[#This Row],[Valor Prêmio Nespresso AAA por Kg (em US$)]]*60</f>
        <v>905.49152542372883</v>
      </c>
      <c r="AK751" s="204">
        <f>Delivery[[#This Row],[Valor Prêmio Nespresso AAA por saca (em US$)]]/1.3228/100</f>
        <v>6.8452640264872153</v>
      </c>
      <c r="AL751" s="204">
        <f>(Delivery[[#This Row],[BEN premium (total)]]/SUMIF(Allocation!C:C,Delivery[Delivery ID],Allocation!H:H))/Delivery[[#This Row],[Exchange rate for premiums VS USD]]</f>
        <v>4.7186573369491516</v>
      </c>
      <c r="AM751" s="204">
        <f>Delivery[[#This Row],[Valor Prêmio Nespresso BEN por Kg (em US$)]]*60</f>
        <v>283.1194402169491</v>
      </c>
      <c r="AN751" s="204">
        <f>Delivery[[#This Row],[Valor Prêmio Nespresso BEN por saca (em US$)]]/1.3228/100</f>
        <v>2.1403042048453971</v>
      </c>
      <c r="AO751" s="204">
        <f>SUMIF(Allocation[Delivery ID],Delivery[[#This Row],[Delivery ID]],Allocation[Quantity allocated])*16*1.3228*Delivery[[#This Row],[Exchange rate VS USD]]/60</f>
        <v>311.93938974009194</v>
      </c>
      <c r="AP751" s="204">
        <f>Delivery[[#This Row],[AAA Premium (total)]]</f>
        <v>13345.671768951417</v>
      </c>
      <c r="AQ751" s="204">
        <f>Delivery[[#This Row],[Valor pago pelo Cluster]]-Delivery[[#This Row],[Valor efetivamente pago pela Nespresso]]</f>
        <v>13033.732379211326</v>
      </c>
    </row>
    <row r="752" spans="1:43" ht="15.75">
      <c r="A752" s="174" t="s">
        <v>69</v>
      </c>
      <c r="B752" s="232" t="s">
        <v>68</v>
      </c>
      <c r="C752" s="157">
        <v>1</v>
      </c>
      <c r="D752" s="157" t="s">
        <v>468</v>
      </c>
      <c r="E752" s="177" t="s">
        <v>468</v>
      </c>
      <c r="F752" s="233" t="s">
        <v>541</v>
      </c>
      <c r="G752" s="234">
        <v>43258</v>
      </c>
      <c r="H752" s="157" t="s">
        <v>905</v>
      </c>
      <c r="I752" s="157" t="s">
        <v>802</v>
      </c>
      <c r="J752" s="237">
        <v>30548</v>
      </c>
      <c r="K752" s="175" t="s">
        <v>61</v>
      </c>
      <c r="L752" s="175" t="s">
        <v>439</v>
      </c>
      <c r="M752" s="175" t="s">
        <v>1343</v>
      </c>
      <c r="N752" s="198"/>
      <c r="O752" s="199"/>
      <c r="P752" s="181">
        <v>0</v>
      </c>
      <c r="Q752" s="177">
        <v>43249</v>
      </c>
      <c r="R752" s="178">
        <v>449.83938021966969</v>
      </c>
      <c r="S752" s="179">
        <v>232866.15834048722</v>
      </c>
      <c r="T752" s="182" t="s">
        <v>45</v>
      </c>
      <c r="U752" s="183">
        <v>3.7471001148223877</v>
      </c>
      <c r="V752" s="179">
        <v>13354.415002552669</v>
      </c>
      <c r="W752" s="179">
        <v>4175.5161630897128</v>
      </c>
      <c r="X752" s="196" t="s">
        <v>45</v>
      </c>
      <c r="Y752" s="200">
        <v>3.7471001148223877</v>
      </c>
      <c r="Z752" s="220" t="s">
        <v>473</v>
      </c>
      <c r="AA752" s="201">
        <f>Delivery[[#This Row],[Quantity delivered]]*VLOOKUP(Delivery[[#This Row],[Unit]],References!$U:$X,4,FALSE)*VLOOKUP(CONCATENATE(Delivery[[#This Row],[Coffee specie]],Delivery[[#This Row],[Coffee state]]),References!$U:$X,4,FALSE)</f>
        <v>30548</v>
      </c>
      <c r="AB752" s="202">
        <f>SUMIF(Allocation!C:C,Delivery[[#This Row],[Delivery ID]],Allocation!D:D)/Delivery[[#This Row],[Quantity delivered]]</f>
        <v>2.3405787612937018E-2</v>
      </c>
      <c r="AC752" s="203">
        <f>Delivery[[#This Row],[Quantity delivered]]*Delivery[[#This Row],[Base price (Unidad)]]/60</f>
        <v>229028.22311584119</v>
      </c>
      <c r="AD752" s="204">
        <f>Delivery[[#This Row],[Nespresso total]]-Delivery[[#This Row],[Qt. Delivery * Base Price]]</f>
        <v>3837.935224646033</v>
      </c>
      <c r="AE752" s="204">
        <f>Delivery[[#This Row],[AAA Premium (total)]]/Delivery[[#This Row],[Quantity delivered]]*60/Delivery[[#This Row],[Exchange rate VS USD]]</f>
        <v>7</v>
      </c>
      <c r="AF752" s="204">
        <f>Delivery[[#This Row],[BEN premium (total)]]/Delivery[[#This Row],[Quantity delivered]]*60/Delivery[[#This Row],[Exchange rate for premiums VS USD]]</f>
        <v>2.1886854000000002</v>
      </c>
      <c r="AG752" s="204">
        <f>COUNTIF(Delivery[Delivery ID],Delivery[[#This Row],[Delivery ID]])</f>
        <v>1</v>
      </c>
      <c r="AH752" s="204">
        <f>(Delivery[[#This Row],[Nespresso total]]/SUMIF(Allocation!C:C,Delivery[Delivery ID],Allocation!H:H))/Delivery[[#This Row],[Exchange rate VS USD]]</f>
        <v>263.3292358573903</v>
      </c>
      <c r="AI752" s="204">
        <f>(Delivery[[#This Row],[AAA Premium (total)]]/SUMIF(Allocation!C:C,Delivery[Delivery ID],Allocation!H:H))/Delivery[[#This Row],[Exchange rate VS USD]]</f>
        <v>15.101412429378531</v>
      </c>
      <c r="AJ752" s="204">
        <f>Delivery[[#This Row],[Valor Prêmio Nespresso AAA por Kg (em US$)]]*60</f>
        <v>906.0847457627118</v>
      </c>
      <c r="AK752" s="204">
        <f>Delivery[[#This Row],[Valor Prêmio Nespresso AAA por saca (em US$)]]/1.3228/100</f>
        <v>6.8497486072173555</v>
      </c>
      <c r="AL752" s="204">
        <f>(Delivery[[#This Row],[BEN premium (total)]]/SUMIF(Allocation!C:C,Delivery[Delivery ID],Allocation!H:H))/Delivery[[#This Row],[Exchange rate for premiums VS USD]]</f>
        <v>4.7217487005084751</v>
      </c>
      <c r="AM752" s="204">
        <f>Delivery[[#This Row],[Valor Prêmio Nespresso BEN por Kg (em US$)]]*60</f>
        <v>283.30492203050852</v>
      </c>
      <c r="AN752" s="204">
        <f>Delivery[[#This Row],[Valor Prêmio Nespresso BEN por saca (em US$)]]/1.3228/100</f>
        <v>2.1417063957552807</v>
      </c>
      <c r="AO752" s="204">
        <f>SUMIF(Allocation[Delivery ID],Delivery[[#This Row],[Delivery ID]],Allocation[Quantity allocated])*16*1.3228*Delivery[[#This Row],[Exchange rate VS USD]]/60</f>
        <v>311.93938974009194</v>
      </c>
      <c r="AP752" s="204">
        <f>Delivery[[#This Row],[AAA Premium (total)]]</f>
        <v>13354.415002552669</v>
      </c>
      <c r="AQ752" s="204">
        <f>Delivery[[#This Row],[Valor pago pelo Cluster]]-Delivery[[#This Row],[Valor efetivamente pago pela Nespresso]]</f>
        <v>13042.475612812577</v>
      </c>
    </row>
    <row r="753" spans="1:43" ht="15.75">
      <c r="A753" s="174" t="s">
        <v>69</v>
      </c>
      <c r="B753" s="232" t="s">
        <v>68</v>
      </c>
      <c r="C753" s="157">
        <v>1</v>
      </c>
      <c r="D753" s="157" t="s">
        <v>468</v>
      </c>
      <c r="E753" s="177" t="s">
        <v>468</v>
      </c>
      <c r="F753" s="233" t="s">
        <v>541</v>
      </c>
      <c r="G753" s="234">
        <v>43258</v>
      </c>
      <c r="H753" s="157" t="s">
        <v>906</v>
      </c>
      <c r="I753" s="157" t="s">
        <v>802</v>
      </c>
      <c r="J753" s="237">
        <v>30378</v>
      </c>
      <c r="K753" s="175" t="s">
        <v>61</v>
      </c>
      <c r="L753" s="175" t="s">
        <v>439</v>
      </c>
      <c r="M753" s="175" t="s">
        <v>1343</v>
      </c>
      <c r="N753" s="198"/>
      <c r="O753" s="199"/>
      <c r="P753" s="181">
        <v>0</v>
      </c>
      <c r="Q753" s="177">
        <v>43249</v>
      </c>
      <c r="R753" s="178">
        <v>449.83938021966969</v>
      </c>
      <c r="S753" s="179">
        <v>231570.25527259792</v>
      </c>
      <c r="T753" s="182" t="s">
        <v>45</v>
      </c>
      <c r="U753" s="183">
        <v>3.7471001148223877</v>
      </c>
      <c r="V753" s="179">
        <v>13280.097516942025</v>
      </c>
      <c r="W753" s="179">
        <v>4152.2793637010373</v>
      </c>
      <c r="X753" s="196" t="s">
        <v>45</v>
      </c>
      <c r="Y753" s="200">
        <v>3.7471001148223877</v>
      </c>
      <c r="Z753" s="220" t="s">
        <v>473</v>
      </c>
      <c r="AA753" s="201">
        <f>Delivery[[#This Row],[Quantity delivered]]*VLOOKUP(Delivery[[#This Row],[Unit]],References!$U:$X,4,FALSE)*VLOOKUP(CONCATENATE(Delivery[[#This Row],[Coffee specie]],Delivery[[#This Row],[Coffee state]]),References!$U:$X,4,FALSE)</f>
        <v>30378</v>
      </c>
      <c r="AB753" s="202">
        <f>SUMIF(Allocation!C:C,Delivery[[#This Row],[Delivery ID]],Allocation!D:D)/Delivery[[#This Row],[Quantity delivered]]</f>
        <v>2.3536770030943444E-2</v>
      </c>
      <c r="AC753" s="203">
        <f>Delivery[[#This Row],[Quantity delivered]]*Delivery[[#This Row],[Base price (Unidad)]]/60</f>
        <v>227753.67820521875</v>
      </c>
      <c r="AD753" s="204">
        <f>Delivery[[#This Row],[Nespresso total]]-Delivery[[#This Row],[Qt. Delivery * Base Price]]</f>
        <v>3816.5770673791703</v>
      </c>
      <c r="AE753" s="204">
        <f>Delivery[[#This Row],[AAA Premium (total)]]/Delivery[[#This Row],[Quantity delivered]]*60/Delivery[[#This Row],[Exchange rate VS USD]]</f>
        <v>7</v>
      </c>
      <c r="AF753" s="204">
        <f>Delivery[[#This Row],[BEN premium (total)]]/Delivery[[#This Row],[Quantity delivered]]*60/Delivery[[#This Row],[Exchange rate for premiums VS USD]]</f>
        <v>2.1886853999999998</v>
      </c>
      <c r="AG753" s="204">
        <f>COUNTIF(Delivery[Delivery ID],Delivery[[#This Row],[Delivery ID]])</f>
        <v>1</v>
      </c>
      <c r="AH753" s="204">
        <f>(Delivery[[#This Row],[Nespresso total]]/SUMIF(Allocation!C:C,Delivery[Delivery ID],Allocation!H:H))/Delivery[[#This Row],[Exchange rate VS USD]]</f>
        <v>261.86380538417581</v>
      </c>
      <c r="AI753" s="204">
        <f>(Delivery[[#This Row],[AAA Premium (total)]]/SUMIF(Allocation!C:C,Delivery[Delivery ID],Allocation!H:H))/Delivery[[#This Row],[Exchange rate VS USD]]</f>
        <v>15.017372881355934</v>
      </c>
      <c r="AJ753" s="204">
        <f>Delivery[[#This Row],[Valor Prêmio Nespresso AAA por Kg (em US$)]]*60</f>
        <v>901.04237288135607</v>
      </c>
      <c r="AK753" s="204">
        <f>Delivery[[#This Row],[Valor Prêmio Nespresso AAA por saca (em US$)]]/1.3228/100</f>
        <v>6.8116296710111586</v>
      </c>
      <c r="AL753" s="204">
        <f>(Delivery[[#This Row],[BEN premium (total)]]/SUMIF(Allocation!C:C,Delivery[Delivery ID],Allocation!H:H))/Delivery[[#This Row],[Exchange rate for premiums VS USD]]</f>
        <v>4.6954721102542374</v>
      </c>
      <c r="AM753" s="204">
        <f>Delivery[[#This Row],[Valor Prêmio Nespresso BEN por Kg (em US$)]]*60</f>
        <v>281.72832661525422</v>
      </c>
      <c r="AN753" s="204">
        <f>Delivery[[#This Row],[Valor Prêmio Nespresso BEN por saca (em US$)]]/1.3228/100</f>
        <v>2.1297877730212749</v>
      </c>
      <c r="AO753" s="204">
        <f>SUMIF(Allocation[Delivery ID],Delivery[[#This Row],[Delivery ID]],Allocation[Quantity allocated])*16*1.3228*Delivery[[#This Row],[Exchange rate VS USD]]/60</f>
        <v>311.93938974009194</v>
      </c>
      <c r="AP753" s="204">
        <f>Delivery[[#This Row],[AAA Premium (total)]]</f>
        <v>13280.097516942025</v>
      </c>
      <c r="AQ753" s="204">
        <f>Delivery[[#This Row],[Valor pago pelo Cluster]]-Delivery[[#This Row],[Valor efetivamente pago pela Nespresso]]</f>
        <v>12968.158127201934</v>
      </c>
    </row>
    <row r="754" spans="1:43" ht="15.75">
      <c r="A754" s="174" t="s">
        <v>69</v>
      </c>
      <c r="B754" s="232" t="s">
        <v>68</v>
      </c>
      <c r="C754" s="157">
        <v>1</v>
      </c>
      <c r="D754" s="157" t="s">
        <v>468</v>
      </c>
      <c r="E754" s="177" t="s">
        <v>468</v>
      </c>
      <c r="F754" s="233" t="s">
        <v>541</v>
      </c>
      <c r="G754" s="234">
        <v>43259</v>
      </c>
      <c r="H754" s="157" t="s">
        <v>907</v>
      </c>
      <c r="I754" s="157" t="s">
        <v>802</v>
      </c>
      <c r="J754" s="237">
        <v>30578.5</v>
      </c>
      <c r="K754" s="175" t="s">
        <v>61</v>
      </c>
      <c r="L754" s="175" t="s">
        <v>439</v>
      </c>
      <c r="M754" s="175" t="s">
        <v>1343</v>
      </c>
      <c r="N754" s="198"/>
      <c r="O754" s="199"/>
      <c r="P754" s="181">
        <v>0</v>
      </c>
      <c r="Q754" s="177">
        <v>43249</v>
      </c>
      <c r="R754" s="178">
        <v>449.83938021966969</v>
      </c>
      <c r="S754" s="179">
        <v>233098.65859678501</v>
      </c>
      <c r="T754" s="182" t="s">
        <v>45</v>
      </c>
      <c r="U754" s="183">
        <v>3.7471001148223877</v>
      </c>
      <c r="V754" s="179">
        <v>13367.748433794579</v>
      </c>
      <c r="W754" s="179">
        <v>4179.6851182741511</v>
      </c>
      <c r="X754" s="196" t="s">
        <v>45</v>
      </c>
      <c r="Y754" s="200">
        <v>3.7471001148223877</v>
      </c>
      <c r="Z754" s="220" t="s">
        <v>473</v>
      </c>
      <c r="AA754" s="201">
        <f>Delivery[[#This Row],[Quantity delivered]]*VLOOKUP(Delivery[[#This Row],[Unit]],References!$U:$X,4,FALSE)*VLOOKUP(CONCATENATE(Delivery[[#This Row],[Coffee specie]],Delivery[[#This Row],[Coffee state]]),References!$U:$X,4,FALSE)</f>
        <v>30578.5</v>
      </c>
      <c r="AB754" s="202">
        <f>SUMIF(Allocation!C:C,Delivery[[#This Row],[Delivery ID]],Allocation!D:D)/Delivery[[#This Row],[Quantity delivered]]</f>
        <v>1.7528655754860442E-2</v>
      </c>
      <c r="AC754" s="203">
        <f>Delivery[[#This Row],[Quantity delivered]]*Delivery[[#This Row],[Base price (Unidad)]]/60</f>
        <v>229256.89146745284</v>
      </c>
      <c r="AD754" s="204">
        <f>Delivery[[#This Row],[Nespresso total]]-Delivery[[#This Row],[Qt. Delivery * Base Price]]</f>
        <v>3841.7671293321764</v>
      </c>
      <c r="AE754" s="204">
        <f>Delivery[[#This Row],[AAA Premium (total)]]/Delivery[[#This Row],[Quantity delivered]]*60/Delivery[[#This Row],[Exchange rate VS USD]]</f>
        <v>7</v>
      </c>
      <c r="AF754" s="204">
        <f>Delivery[[#This Row],[BEN premium (total)]]/Delivery[[#This Row],[Quantity delivered]]*60/Delivery[[#This Row],[Exchange rate for premiums VS USD]]</f>
        <v>2.1886853999999998</v>
      </c>
      <c r="AG754" s="204">
        <f>COUNTIF(Delivery[Delivery ID],Delivery[[#This Row],[Delivery ID]])</f>
        <v>1</v>
      </c>
      <c r="AH754" s="204">
        <f>(Delivery[[#This Row],[Nespresso total]]/SUMIF(Allocation!C:C,Delivery[Delivery ID],Allocation!H:H))/Delivery[[#This Row],[Exchange rate VS USD]]</f>
        <v>351.45620176619133</v>
      </c>
      <c r="AI754" s="204">
        <f>(Delivery[[#This Row],[AAA Premium (total)]]/SUMIF(Allocation!C:C,Delivery[Delivery ID],Allocation!H:H))/Delivery[[#This Row],[Exchange rate VS USD]]</f>
        <v>20.155320150659133</v>
      </c>
      <c r="AJ754" s="204">
        <f>Delivery[[#This Row],[Valor Prêmio Nespresso AAA por Kg (em US$)]]*60</f>
        <v>1209.319209039548</v>
      </c>
      <c r="AK754" s="204">
        <f>Delivery[[#This Row],[Valor Prêmio Nespresso AAA por saca (em US$)]]/1.3228/100</f>
        <v>9.1421167904410954</v>
      </c>
      <c r="AL754" s="204">
        <f>(Delivery[[#This Row],[BEN premium (total)]]/SUMIF(Allocation!C:C,Delivery[Delivery ID],Allocation!H:H))/Delivery[[#This Row],[Exchange rate for premiums VS USD]]</f>
        <v>6.3019507065819207</v>
      </c>
      <c r="AM754" s="204">
        <f>Delivery[[#This Row],[Valor Prêmio Nespresso BEN por Kg (em US$)]]*60</f>
        <v>378.11704239491525</v>
      </c>
      <c r="AN754" s="204">
        <f>Delivery[[#This Row],[Valor Prêmio Nespresso BEN por saca (em US$)]]/1.3228/100</f>
        <v>2.8584596491904692</v>
      </c>
      <c r="AO754" s="204">
        <f>SUMIF(Allocation[Delivery ID],Delivery[[#This Row],[Delivery ID]],Allocation[Quantity allocated])*16*1.3228*Delivery[[#This Row],[Exchange rate VS USD]]/60</f>
        <v>233.95454230506897</v>
      </c>
      <c r="AP754" s="204">
        <f>Delivery[[#This Row],[AAA Premium (total)]]</f>
        <v>13367.748433794579</v>
      </c>
      <c r="AQ754" s="204">
        <f>Delivery[[#This Row],[Valor pago pelo Cluster]]-Delivery[[#This Row],[Valor efetivamente pago pela Nespresso]]</f>
        <v>13133.793891489509</v>
      </c>
    </row>
    <row r="755" spans="1:43" ht="15.75">
      <c r="A755" s="174" t="s">
        <v>69</v>
      </c>
      <c r="B755" s="232" t="s">
        <v>68</v>
      </c>
      <c r="C755" s="157">
        <v>1</v>
      </c>
      <c r="D755" s="157" t="s">
        <v>468</v>
      </c>
      <c r="E755" s="177" t="s">
        <v>468</v>
      </c>
      <c r="F755" s="233" t="s">
        <v>541</v>
      </c>
      <c r="G755" s="234">
        <v>43259</v>
      </c>
      <c r="H755" s="157" t="s">
        <v>908</v>
      </c>
      <c r="I755" s="157" t="s">
        <v>802</v>
      </c>
      <c r="J755" s="237">
        <v>19779.5</v>
      </c>
      <c r="K755" s="175" t="s">
        <v>61</v>
      </c>
      <c r="L755" s="175" t="s">
        <v>439</v>
      </c>
      <c r="M755" s="175" t="s">
        <v>1343</v>
      </c>
      <c r="N755" s="198"/>
      <c r="O755" s="199"/>
      <c r="P755" s="181">
        <v>0</v>
      </c>
      <c r="Q755" s="177">
        <v>43249</v>
      </c>
      <c r="R755" s="178">
        <v>449.83938021966969</v>
      </c>
      <c r="S755" s="179">
        <v>150778.32194892195</v>
      </c>
      <c r="T755" s="182" t="s">
        <v>45</v>
      </c>
      <c r="U755" s="183">
        <v>3.7471001148223877</v>
      </c>
      <c r="V755" s="179">
        <v>8646.8394507984322</v>
      </c>
      <c r="W755" s="179">
        <v>2703.6016088723636</v>
      </c>
      <c r="X755" s="196" t="s">
        <v>45</v>
      </c>
      <c r="Y755" s="200">
        <v>3.7471001148223877</v>
      </c>
      <c r="Z755" s="220" t="s">
        <v>473</v>
      </c>
      <c r="AA755" s="201">
        <f>Delivery[[#This Row],[Quantity delivered]]*VLOOKUP(Delivery[[#This Row],[Unit]],References!$U:$X,4,FALSE)*VLOOKUP(CONCATENATE(Delivery[[#This Row],[Coffee specie]],Delivery[[#This Row],[Coffee state]]),References!$U:$X,4,FALSE)</f>
        <v>19779.5</v>
      </c>
      <c r="AB755" s="202">
        <f>SUMIF(Allocation!C:C,Delivery[[#This Row],[Delivery ID]],Allocation!D:D)/Delivery[[#This Row],[Quantity delivered]]</f>
        <v>1.8099547511312219E-2</v>
      </c>
      <c r="AC755" s="203">
        <f>Delivery[[#This Row],[Quantity delivered]]*Delivery[[#This Row],[Base price (Unidad)]]/60</f>
        <v>148293.30035091596</v>
      </c>
      <c r="AD755" s="204">
        <f>Delivery[[#This Row],[Nespresso total]]-Delivery[[#This Row],[Qt. Delivery * Base Price]]</f>
        <v>2485.0215980059875</v>
      </c>
      <c r="AE755" s="204">
        <f>Delivery[[#This Row],[AAA Premium (total)]]/Delivery[[#This Row],[Quantity delivered]]*60/Delivery[[#This Row],[Exchange rate VS USD]]</f>
        <v>7</v>
      </c>
      <c r="AF755" s="204">
        <f>Delivery[[#This Row],[BEN premium (total)]]/Delivery[[#This Row],[Quantity delivered]]*60/Delivery[[#This Row],[Exchange rate for premiums VS USD]]</f>
        <v>2.1886853999999998</v>
      </c>
      <c r="AG755" s="204">
        <f>COUNTIF(Delivery[Delivery ID],Delivery[[#This Row],[Delivery ID]])</f>
        <v>1</v>
      </c>
      <c r="AH755" s="204">
        <f>(Delivery[[#This Row],[Nespresso total]]/SUMIF(Allocation!C:C,Delivery[Delivery ID],Allocation!H:H))/Delivery[[#This Row],[Exchange rate VS USD]]</f>
        <v>341.0056711170127</v>
      </c>
      <c r="AI755" s="204">
        <f>(Delivery[[#This Row],[AAA Premium (total)]]/SUMIF(Allocation!C:C,Delivery[Delivery ID],Allocation!H:H))/Delivery[[#This Row],[Exchange rate VS USD]]</f>
        <v>19.556002824858759</v>
      </c>
      <c r="AJ755" s="204">
        <f>Delivery[[#This Row],[Valor Prêmio Nespresso AAA por Kg (em US$)]]*60</f>
        <v>1173.3601694915255</v>
      </c>
      <c r="AK755" s="204">
        <f>Delivery[[#This Row],[Valor Prêmio Nespresso AAA por saca (em US$)]]/1.3228/100</f>
        <v>8.8702764551823829</v>
      </c>
      <c r="AL755" s="204">
        <f>(Delivery[[#This Row],[BEN premium (total)]]/SUMIF(Allocation!C:C,Delivery[Delivery ID],Allocation!H:H))/Delivery[[#This Row],[Exchange rate for premiums VS USD]]</f>
        <v>6.1145625521610167</v>
      </c>
      <c r="AM755" s="204">
        <f>Delivery[[#This Row],[Valor Prêmio Nespresso BEN por Kg (em US$)]]*60</f>
        <v>366.873753129661</v>
      </c>
      <c r="AN755" s="204">
        <f>Delivery[[#This Row],[Valor Prêmio Nespresso BEN por saca (em US$)]]/1.3228/100</f>
        <v>2.7734635102030616</v>
      </c>
      <c r="AO755" s="204">
        <f>SUMIF(Allocation[Delivery ID],Delivery[[#This Row],[Delivery ID]],Allocation[Quantity allocated])*16*1.3228*Delivery[[#This Row],[Exchange rate VS USD]]/60</f>
        <v>155.96969487004597</v>
      </c>
      <c r="AP755" s="204">
        <f>Delivery[[#This Row],[AAA Premium (total)]]</f>
        <v>8646.8394507984322</v>
      </c>
      <c r="AQ755" s="204">
        <f>Delivery[[#This Row],[Valor pago pelo Cluster]]-Delivery[[#This Row],[Valor efetivamente pago pela Nespresso]]</f>
        <v>8490.8697559283864</v>
      </c>
    </row>
    <row r="756" spans="1:43" ht="15.75">
      <c r="A756" s="174" t="s">
        <v>69</v>
      </c>
      <c r="B756" s="232" t="s">
        <v>68</v>
      </c>
      <c r="C756" s="157">
        <v>1</v>
      </c>
      <c r="D756" s="157" t="s">
        <v>468</v>
      </c>
      <c r="E756" s="177" t="s">
        <v>468</v>
      </c>
      <c r="F756" s="233" t="s">
        <v>541</v>
      </c>
      <c r="G756" s="234">
        <v>43259</v>
      </c>
      <c r="H756" s="157" t="s">
        <v>909</v>
      </c>
      <c r="I756" s="157" t="s">
        <v>802</v>
      </c>
      <c r="J756" s="237">
        <v>30548</v>
      </c>
      <c r="K756" s="175" t="s">
        <v>61</v>
      </c>
      <c r="L756" s="175" t="s">
        <v>439</v>
      </c>
      <c r="M756" s="175" t="s">
        <v>1343</v>
      </c>
      <c r="N756" s="198"/>
      <c r="O756" s="199"/>
      <c r="P756" s="181">
        <v>0</v>
      </c>
      <c r="Q756" s="177">
        <v>43249</v>
      </c>
      <c r="R756" s="178">
        <v>449.83938021966969</v>
      </c>
      <c r="S756" s="179">
        <v>232866.15834048722</v>
      </c>
      <c r="T756" s="182" t="s">
        <v>45</v>
      </c>
      <c r="U756" s="183">
        <v>3.7471001148223877</v>
      </c>
      <c r="V756" s="179">
        <v>13354.415002552669</v>
      </c>
      <c r="W756" s="179">
        <v>4175.5161630897128</v>
      </c>
      <c r="X756" s="196" t="s">
        <v>45</v>
      </c>
      <c r="Y756" s="200">
        <v>3.7471001148223877</v>
      </c>
      <c r="Z756" s="220" t="s">
        <v>473</v>
      </c>
      <c r="AA756" s="201">
        <f>Delivery[[#This Row],[Quantity delivered]]*VLOOKUP(Delivery[[#This Row],[Unit]],References!$U:$X,4,FALSE)*VLOOKUP(CONCATENATE(Delivery[[#This Row],[Coffee specie]],Delivery[[#This Row],[Coffee state]]),References!$U:$X,4,FALSE)</f>
        <v>30548</v>
      </c>
      <c r="AB756" s="202">
        <f>SUMIF(Allocation!C:C,Delivery[[#This Row],[Delivery ID]],Allocation!D:D)/Delivery[[#This Row],[Quantity delivered]]</f>
        <v>2.3405787612937018E-2</v>
      </c>
      <c r="AC756" s="203">
        <f>Delivery[[#This Row],[Quantity delivered]]*Delivery[[#This Row],[Base price (Unidad)]]/60</f>
        <v>229028.22311584119</v>
      </c>
      <c r="AD756" s="204">
        <f>Delivery[[#This Row],[Nespresso total]]-Delivery[[#This Row],[Qt. Delivery * Base Price]]</f>
        <v>3837.935224646033</v>
      </c>
      <c r="AE756" s="204">
        <f>Delivery[[#This Row],[AAA Premium (total)]]/Delivery[[#This Row],[Quantity delivered]]*60/Delivery[[#This Row],[Exchange rate VS USD]]</f>
        <v>7</v>
      </c>
      <c r="AF756" s="204">
        <f>Delivery[[#This Row],[BEN premium (total)]]/Delivery[[#This Row],[Quantity delivered]]*60/Delivery[[#This Row],[Exchange rate for premiums VS USD]]</f>
        <v>2.1886854000000002</v>
      </c>
      <c r="AG756" s="204">
        <f>COUNTIF(Delivery[Delivery ID],Delivery[[#This Row],[Delivery ID]])</f>
        <v>1</v>
      </c>
      <c r="AH756" s="204">
        <f>(Delivery[[#This Row],[Nespresso total]]/SUMIF(Allocation!C:C,Delivery[Delivery ID],Allocation!H:H))/Delivery[[#This Row],[Exchange rate VS USD]]</f>
        <v>263.3292358573903</v>
      </c>
      <c r="AI756" s="204">
        <f>(Delivery[[#This Row],[AAA Premium (total)]]/SUMIF(Allocation!C:C,Delivery[Delivery ID],Allocation!H:H))/Delivery[[#This Row],[Exchange rate VS USD]]</f>
        <v>15.101412429378531</v>
      </c>
      <c r="AJ756" s="204">
        <f>Delivery[[#This Row],[Valor Prêmio Nespresso AAA por Kg (em US$)]]*60</f>
        <v>906.0847457627118</v>
      </c>
      <c r="AK756" s="204">
        <f>Delivery[[#This Row],[Valor Prêmio Nespresso AAA por saca (em US$)]]/1.3228/100</f>
        <v>6.8497486072173555</v>
      </c>
      <c r="AL756" s="204">
        <f>(Delivery[[#This Row],[BEN premium (total)]]/SUMIF(Allocation!C:C,Delivery[Delivery ID],Allocation!H:H))/Delivery[[#This Row],[Exchange rate for premiums VS USD]]</f>
        <v>4.7217487005084751</v>
      </c>
      <c r="AM756" s="204">
        <f>Delivery[[#This Row],[Valor Prêmio Nespresso BEN por Kg (em US$)]]*60</f>
        <v>283.30492203050852</v>
      </c>
      <c r="AN756" s="204">
        <f>Delivery[[#This Row],[Valor Prêmio Nespresso BEN por saca (em US$)]]/1.3228/100</f>
        <v>2.1417063957552807</v>
      </c>
      <c r="AO756" s="204">
        <f>SUMIF(Allocation[Delivery ID],Delivery[[#This Row],[Delivery ID]],Allocation[Quantity allocated])*16*1.3228*Delivery[[#This Row],[Exchange rate VS USD]]/60</f>
        <v>311.93938974009194</v>
      </c>
      <c r="AP756" s="204">
        <f>Delivery[[#This Row],[AAA Premium (total)]]</f>
        <v>13354.415002552669</v>
      </c>
      <c r="AQ756" s="204">
        <f>Delivery[[#This Row],[Valor pago pelo Cluster]]-Delivery[[#This Row],[Valor efetivamente pago pela Nespresso]]</f>
        <v>13042.475612812577</v>
      </c>
    </row>
    <row r="757" spans="1:43" ht="15.75">
      <c r="A757" s="174" t="s">
        <v>69</v>
      </c>
      <c r="B757" s="232" t="s">
        <v>68</v>
      </c>
      <c r="C757" s="157">
        <v>1</v>
      </c>
      <c r="D757" s="157" t="s">
        <v>468</v>
      </c>
      <c r="E757" s="177" t="s">
        <v>468</v>
      </c>
      <c r="F757" s="233" t="s">
        <v>543</v>
      </c>
      <c r="G757" s="234">
        <v>43259</v>
      </c>
      <c r="H757" s="157" t="s">
        <v>910</v>
      </c>
      <c r="I757" s="157" t="s">
        <v>511</v>
      </c>
      <c r="J757" s="237">
        <v>29980</v>
      </c>
      <c r="K757" s="175" t="s">
        <v>61</v>
      </c>
      <c r="L757" s="175" t="s">
        <v>439</v>
      </c>
      <c r="M757" s="175" t="s">
        <v>1343</v>
      </c>
      <c r="N757" s="198"/>
      <c r="O757" s="199"/>
      <c r="P757" s="181">
        <v>0</v>
      </c>
      <c r="Q757" s="177">
        <v>43252</v>
      </c>
      <c r="R757" s="178">
        <v>455.21008908748627</v>
      </c>
      <c r="S757" s="179">
        <v>229956.80443243729</v>
      </c>
      <c r="T757" s="182" t="s">
        <v>45</v>
      </c>
      <c r="U757" s="183">
        <v>3.723599910736084</v>
      </c>
      <c r="V757" s="179">
        <v>13023.911287784576</v>
      </c>
      <c r="W757" s="179">
        <v>4072.1777837813288</v>
      </c>
      <c r="X757" s="196" t="s">
        <v>45</v>
      </c>
      <c r="Y757" s="200">
        <v>3.723599910736084</v>
      </c>
      <c r="Z757" s="220" t="s">
        <v>473</v>
      </c>
      <c r="AA757" s="201">
        <f>Delivery[[#This Row],[Quantity delivered]]*VLOOKUP(Delivery[[#This Row],[Unit]],References!$U:$X,4,FALSE)*VLOOKUP(CONCATENATE(Delivery[[#This Row],[Coffee specie]],Delivery[[#This Row],[Coffee state]]),References!$U:$X,4,FALSE)</f>
        <v>29980</v>
      </c>
      <c r="AB757" s="202">
        <f>SUMIF(Allocation!C:C,Delivery[[#This Row],[Delivery ID]],Allocation!D:D)/Delivery[[#This Row],[Quantity delivered]]</f>
        <v>2.3849232821881255E-2</v>
      </c>
      <c r="AC757" s="203">
        <f>Delivery[[#This Row],[Quantity delivered]]*Delivery[[#This Row],[Base price (Unidad)]]/60</f>
        <v>227453.30784738064</v>
      </c>
      <c r="AD757" s="204">
        <f>Delivery[[#This Row],[Nespresso total]]-Delivery[[#This Row],[Qt. Delivery * Base Price]]</f>
        <v>2503.4965850566514</v>
      </c>
      <c r="AE757" s="204">
        <f>Delivery[[#This Row],[AAA Premium (total)]]/Delivery[[#This Row],[Quantity delivered]]*60/Delivery[[#This Row],[Exchange rate VS USD]]</f>
        <v>7</v>
      </c>
      <c r="AF757" s="204">
        <f>Delivery[[#This Row],[BEN premium (total)]]/Delivery[[#This Row],[Quantity delivered]]*60/Delivery[[#This Row],[Exchange rate for premiums VS USD]]</f>
        <v>2.1886853999999998</v>
      </c>
      <c r="AG757" s="204">
        <f>COUNTIF(Delivery[Delivery ID],Delivery[[#This Row],[Delivery ID]])</f>
        <v>1</v>
      </c>
      <c r="AH757" s="204">
        <f>(Delivery[[#This Row],[Nespresso total]]/SUMIF(Allocation!C:C,Delivery[Delivery ID],Allocation!H:H))/Delivery[[#This Row],[Exchange rate VS USD]]</f>
        <v>261.68043358016899</v>
      </c>
      <c r="AI757" s="204">
        <f>(Delivery[[#This Row],[AAA Premium (total)]]/SUMIF(Allocation!C:C,Delivery[Delivery ID],Allocation!H:H))/Delivery[[#This Row],[Exchange rate VS USD]]</f>
        <v>14.820621468926554</v>
      </c>
      <c r="AJ757" s="204">
        <f>Delivery[[#This Row],[Valor Prêmio Nespresso AAA por Kg (em US$)]]*60</f>
        <v>889.23728813559319</v>
      </c>
      <c r="AK757" s="204">
        <f>Delivery[[#This Row],[Valor Prêmio Nespresso AAA por saca (em US$)]]/1.3228/100</f>
        <v>6.7223865144813519</v>
      </c>
      <c r="AL757" s="204">
        <f>(Delivery[[#This Row],[BEN premium (total)]]/SUMIF(Allocation!C:C,Delivery[Delivery ID],Allocation!H:H))/Delivery[[#This Row],[Exchange rate for premiums VS USD]]</f>
        <v>4.6339539754237293</v>
      </c>
      <c r="AM757" s="204">
        <f>Delivery[[#This Row],[Valor Prêmio Nespresso BEN por Kg (em US$)]]*60</f>
        <v>278.03723852542373</v>
      </c>
      <c r="AN757" s="204">
        <f>Delivery[[#This Row],[Valor Prêmio Nespresso BEN por saca (em US$)]]/1.3228/100</f>
        <v>2.1018841739146037</v>
      </c>
      <c r="AO757" s="204">
        <f>SUMIF(Allocation[Delivery ID],Delivery[[#This Row],[Delivery ID]],Allocation[Quantity allocated])*16*1.3228*Delivery[[#This Row],[Exchange rate VS USD]]/60</f>
        <v>309.98303973693845</v>
      </c>
      <c r="AP757" s="204">
        <f>Delivery[[#This Row],[AAA Premium (total)]]</f>
        <v>13023.911287784576</v>
      </c>
      <c r="AQ757" s="204">
        <f>Delivery[[#This Row],[Valor pago pelo Cluster]]-Delivery[[#This Row],[Valor efetivamente pago pela Nespresso]]</f>
        <v>12713.928248047638</v>
      </c>
    </row>
    <row r="758" spans="1:43" ht="15.75">
      <c r="A758" s="174" t="s">
        <v>69</v>
      </c>
      <c r="B758" s="232" t="s">
        <v>68</v>
      </c>
      <c r="C758" s="157">
        <v>1</v>
      </c>
      <c r="D758" s="157" t="s">
        <v>468</v>
      </c>
      <c r="E758" s="177" t="s">
        <v>468</v>
      </c>
      <c r="F758" s="233" t="s">
        <v>541</v>
      </c>
      <c r="G758" s="234">
        <v>43260</v>
      </c>
      <c r="H758" s="157" t="s">
        <v>911</v>
      </c>
      <c r="I758" s="157" t="s">
        <v>802</v>
      </c>
      <c r="J758" s="237">
        <v>28928</v>
      </c>
      <c r="K758" s="175" t="s">
        <v>61</v>
      </c>
      <c r="L758" s="175" t="s">
        <v>439</v>
      </c>
      <c r="M758" s="175" t="s">
        <v>1343</v>
      </c>
      <c r="N758" s="198"/>
      <c r="O758" s="199"/>
      <c r="P758" s="181">
        <v>0</v>
      </c>
      <c r="Q758" s="177">
        <v>43249</v>
      </c>
      <c r="R758" s="178">
        <v>449.83938021966969</v>
      </c>
      <c r="S758" s="179">
        <v>220516.96439942432</v>
      </c>
      <c r="T758" s="182" t="s">
        <v>45</v>
      </c>
      <c r="U758" s="183">
        <v>3.7471001148223877</v>
      </c>
      <c r="V758" s="179">
        <v>12646.213080851237</v>
      </c>
      <c r="W758" s="179">
        <v>3954.08313362116</v>
      </c>
      <c r="X758" s="196" t="s">
        <v>45</v>
      </c>
      <c r="Y758" s="200">
        <v>3.7471001148223877</v>
      </c>
      <c r="Z758" s="220" t="s">
        <v>473</v>
      </c>
      <c r="AA758" s="201">
        <f>Delivery[[#This Row],[Quantity delivered]]*VLOOKUP(Delivery[[#This Row],[Unit]],References!$U:$X,4,FALSE)*VLOOKUP(CONCATENATE(Delivery[[#This Row],[Coffee specie]],Delivery[[#This Row],[Coffee state]]),References!$U:$X,4,FALSE)</f>
        <v>28928</v>
      </c>
      <c r="AB758" s="202">
        <f>SUMIF(Allocation!C:C,Delivery[[#This Row],[Delivery ID]],Allocation!D:D)/Delivery[[#This Row],[Quantity delivered]]</f>
        <v>2.4716537610619468E-2</v>
      </c>
      <c r="AC758" s="203">
        <f>Delivery[[#This Row],[Quantity delivered]]*Delivery[[#This Row],[Base price (Unidad)]]/60</f>
        <v>216882.55984991006</v>
      </c>
      <c r="AD758" s="204">
        <f>Delivery[[#This Row],[Nespresso total]]-Delivery[[#This Row],[Qt. Delivery * Base Price]]</f>
        <v>3634.4045495142636</v>
      </c>
      <c r="AE758" s="204">
        <f>Delivery[[#This Row],[AAA Premium (total)]]/Delivery[[#This Row],[Quantity delivered]]*60/Delivery[[#This Row],[Exchange rate VS USD]]</f>
        <v>7</v>
      </c>
      <c r="AF758" s="204">
        <f>Delivery[[#This Row],[BEN premium (total)]]/Delivery[[#This Row],[Quantity delivered]]*60/Delivery[[#This Row],[Exchange rate for premiums VS USD]]</f>
        <v>2.1886853999999998</v>
      </c>
      <c r="AG758" s="204">
        <f>COUNTIF(Delivery[Delivery ID],Delivery[[#This Row],[Delivery ID]])</f>
        <v>1</v>
      </c>
      <c r="AH758" s="204">
        <f>(Delivery[[#This Row],[Nespresso total]]/SUMIF(Allocation!C:C,Delivery[Delivery ID],Allocation!H:H))/Delivery[[#This Row],[Exchange rate VS USD]]</f>
        <v>249.36454546558159</v>
      </c>
      <c r="AI758" s="204">
        <f>(Delivery[[#This Row],[AAA Premium (total)]]/SUMIF(Allocation!C:C,Delivery[Delivery ID],Allocation!H:H))/Delivery[[#This Row],[Exchange rate VS USD]]</f>
        <v>14.300564971751413</v>
      </c>
      <c r="AJ758" s="204">
        <f>Delivery[[#This Row],[Valor Prêmio Nespresso AAA por Kg (em US$)]]*60</f>
        <v>858.03389830508479</v>
      </c>
      <c r="AK758" s="204">
        <f>Delivery[[#This Row],[Valor Prêmio Nespresso AAA por saca (em US$)]]/1.3228/100</f>
        <v>6.4864975680759356</v>
      </c>
      <c r="AL758" s="204">
        <f>(Delivery[[#This Row],[BEN premium (total)]]/SUMIF(Allocation!C:C,Delivery[Delivery ID],Allocation!H:H))/Delivery[[#This Row],[Exchange rate for premiums VS USD]]</f>
        <v>4.4713482522033896</v>
      </c>
      <c r="AM758" s="204">
        <f>Delivery[[#This Row],[Valor Prêmio Nespresso BEN por Kg (em US$)]]*60</f>
        <v>268.2808951322034</v>
      </c>
      <c r="AN758" s="204">
        <f>Delivery[[#This Row],[Valor Prêmio Nespresso BEN por saca (em US$)]]/1.3228/100</f>
        <v>2.028128932054758</v>
      </c>
      <c r="AO758" s="204">
        <f>SUMIF(Allocation[Delivery ID],Delivery[[#This Row],[Delivery ID]],Allocation[Quantity allocated])*16*1.3228*Delivery[[#This Row],[Exchange rate VS USD]]/60</f>
        <v>311.93938974009194</v>
      </c>
      <c r="AP758" s="204">
        <f>Delivery[[#This Row],[AAA Premium (total)]]</f>
        <v>12646.213080851237</v>
      </c>
      <c r="AQ758" s="204">
        <f>Delivery[[#This Row],[Valor pago pelo Cluster]]-Delivery[[#This Row],[Valor efetivamente pago pela Nespresso]]</f>
        <v>12334.273691111146</v>
      </c>
    </row>
    <row r="759" spans="1:43" ht="15.75">
      <c r="A759" s="174" t="s">
        <v>69</v>
      </c>
      <c r="B759" s="232" t="s">
        <v>68</v>
      </c>
      <c r="C759" s="157">
        <v>1</v>
      </c>
      <c r="D759" s="157" t="s">
        <v>468</v>
      </c>
      <c r="E759" s="177" t="s">
        <v>468</v>
      </c>
      <c r="F759" s="233" t="s">
        <v>543</v>
      </c>
      <c r="G759" s="234">
        <v>43269</v>
      </c>
      <c r="H759" s="157" t="s">
        <v>912</v>
      </c>
      <c r="I759" s="157" t="s">
        <v>511</v>
      </c>
      <c r="J759" s="237">
        <v>29797.5</v>
      </c>
      <c r="K759" s="175" t="s">
        <v>61</v>
      </c>
      <c r="L759" s="175" t="s">
        <v>439</v>
      </c>
      <c r="M759" s="175" t="s">
        <v>1343</v>
      </c>
      <c r="N759" s="198"/>
      <c r="O759" s="199"/>
      <c r="P759" s="181">
        <v>0</v>
      </c>
      <c r="Q759" s="177">
        <v>43123</v>
      </c>
      <c r="R759" s="178">
        <v>434.94000378608689</v>
      </c>
      <c r="S759" s="179">
        <v>217375.08500094517</v>
      </c>
      <c r="T759" s="182" t="s">
        <v>45</v>
      </c>
      <c r="U759" s="183">
        <v>3.2999999523162842</v>
      </c>
      <c r="V759" s="179">
        <v>11472.037334233522</v>
      </c>
      <c r="W759" s="179">
        <v>3586.9543745274036</v>
      </c>
      <c r="X759" s="196" t="s">
        <v>45</v>
      </c>
      <c r="Y759" s="200">
        <v>3.2999999523162842</v>
      </c>
      <c r="Z759" s="220" t="s">
        <v>473</v>
      </c>
      <c r="AA759" s="201">
        <f>Delivery[[#This Row],[Quantity delivered]]*VLOOKUP(Delivery[[#This Row],[Unit]],References!$U:$X,4,FALSE)*VLOOKUP(CONCATENATE(Delivery[[#This Row],[Coffee specie]],Delivery[[#This Row],[Coffee state]]),References!$U:$X,4,FALSE)</f>
        <v>29797.5</v>
      </c>
      <c r="AB759" s="202">
        <f>SUMIF(Allocation!C:C,Delivery[[#This Row],[Delivery ID]],Allocation!D:D)/Delivery[[#This Row],[Quantity delivered]]</f>
        <v>1.7988086248846381E-2</v>
      </c>
      <c r="AC759" s="203">
        <f>Delivery[[#This Row],[Quantity delivered]]*Delivery[[#This Row],[Base price (Unidad)]]/60</f>
        <v>216002.07938026541</v>
      </c>
      <c r="AD759" s="204">
        <f>Delivery[[#This Row],[Nespresso total]]-Delivery[[#This Row],[Qt. Delivery * Base Price]]</f>
        <v>1373.0056206797599</v>
      </c>
      <c r="AE759" s="204">
        <f>Delivery[[#This Row],[AAA Premium (total)]]/Delivery[[#This Row],[Quantity delivered]]*60/Delivery[[#This Row],[Exchange rate VS USD]]</f>
        <v>7</v>
      </c>
      <c r="AF759" s="204">
        <f>Delivery[[#This Row],[BEN premium (total)]]/Delivery[[#This Row],[Quantity delivered]]*60/Delivery[[#This Row],[Exchange rate for premiums VS USD]]</f>
        <v>2.1886853999999998</v>
      </c>
      <c r="AG759" s="204">
        <f>COUNTIF(Delivery[Delivery ID],Delivery[[#This Row],[Delivery ID]])</f>
        <v>1</v>
      </c>
      <c r="AH759" s="204">
        <f>(Delivery[[#This Row],[Nespresso total]]/SUMIF(Allocation!C:C,Delivery[Delivery ID],Allocation!H:H))/Delivery[[#This Row],[Exchange rate VS USD]]</f>
        <v>372.15389169993256</v>
      </c>
      <c r="AI759" s="204">
        <f>(Delivery[[#This Row],[AAA Premium (total)]]/SUMIF(Allocation!C:C,Delivery[Delivery ID],Allocation!H:H))/Delivery[[#This Row],[Exchange rate VS USD]]</f>
        <v>19.640536723163844</v>
      </c>
      <c r="AJ759" s="204">
        <f>Delivery[[#This Row],[Valor Prêmio Nespresso AAA por Kg (em US$)]]*60</f>
        <v>1178.4322033898306</v>
      </c>
      <c r="AK759" s="204">
        <f>Delivery[[#This Row],[Valor Prêmio Nespresso AAA por saca (em US$)]]/1.3228/100</f>
        <v>8.9086196204250889</v>
      </c>
      <c r="AL759" s="204">
        <f>(Delivery[[#This Row],[BEN premium (total)]]/SUMIF(Allocation!C:C,Delivery[Delivery ID],Allocation!H:H))/Delivery[[#This Row],[Exchange rate for premiums VS USD]]</f>
        <v>6.1409937105932189</v>
      </c>
      <c r="AM759" s="204">
        <f>Delivery[[#This Row],[Valor Prêmio Nespresso BEN por Kg (em US$)]]*60</f>
        <v>368.45962263559312</v>
      </c>
      <c r="AN759" s="204">
        <f>Delivery[[#This Row],[Valor Prêmio Nespresso BEN por saca (em US$)]]/1.3228/100</f>
        <v>2.785452242482561</v>
      </c>
      <c r="AO759" s="204">
        <f>SUMIF(Allocation[Delivery ID],Delivery[[#This Row],[Delivery ID]],Allocation[Quantity allocated])*16*1.3228*Delivery[[#This Row],[Exchange rate VS USD]]/60</f>
        <v>206.03932502281185</v>
      </c>
      <c r="AP759" s="204">
        <f>Delivery[[#This Row],[AAA Premium (total)]]</f>
        <v>11472.037334233522</v>
      </c>
      <c r="AQ759" s="204">
        <f>Delivery[[#This Row],[Valor pago pelo Cluster]]-Delivery[[#This Row],[Valor efetivamente pago pela Nespresso]]</f>
        <v>11265.998009210711</v>
      </c>
    </row>
    <row r="760" spans="1:43" ht="15.75">
      <c r="A760" s="174" t="s">
        <v>69</v>
      </c>
      <c r="B760" s="232" t="s">
        <v>68</v>
      </c>
      <c r="C760" s="157">
        <v>1</v>
      </c>
      <c r="D760" s="157" t="s">
        <v>468</v>
      </c>
      <c r="E760" s="177" t="s">
        <v>468</v>
      </c>
      <c r="F760" s="233" t="s">
        <v>543</v>
      </c>
      <c r="G760" s="234">
        <v>43269</v>
      </c>
      <c r="H760" s="157" t="s">
        <v>913</v>
      </c>
      <c r="I760" s="157" t="s">
        <v>511</v>
      </c>
      <c r="J760" s="237">
        <v>14080</v>
      </c>
      <c r="K760" s="175" t="s">
        <v>61</v>
      </c>
      <c r="L760" s="175" t="s">
        <v>439</v>
      </c>
      <c r="M760" s="175" t="s">
        <v>1343</v>
      </c>
      <c r="N760" s="198"/>
      <c r="O760" s="199"/>
      <c r="P760" s="181">
        <v>0</v>
      </c>
      <c r="Q760" s="177">
        <v>43123</v>
      </c>
      <c r="R760" s="178">
        <v>434.94000378608689</v>
      </c>
      <c r="S760" s="179">
        <v>102714.69743479515</v>
      </c>
      <c r="T760" s="182" t="s">
        <v>45</v>
      </c>
      <c r="U760" s="183">
        <v>3.2999999523162842</v>
      </c>
      <c r="V760" s="179">
        <v>5420.7999216715489</v>
      </c>
      <c r="W760" s="179">
        <v>1694.9179492690948</v>
      </c>
      <c r="X760" s="196" t="s">
        <v>45</v>
      </c>
      <c r="Y760" s="200">
        <v>3.2999999523162842</v>
      </c>
      <c r="Z760" s="220" t="s">
        <v>473</v>
      </c>
      <c r="AA760" s="201">
        <f>Delivery[[#This Row],[Quantity delivered]]*VLOOKUP(Delivery[[#This Row],[Unit]],References!$U:$X,4,FALSE)*VLOOKUP(CONCATENATE(Delivery[[#This Row],[Coffee specie]],Delivery[[#This Row],[Coffee state]]),References!$U:$X,4,FALSE)</f>
        <v>14080</v>
      </c>
      <c r="AB760" s="202">
        <f>SUMIF(Allocation!C:C,Delivery[[#This Row],[Delivery ID]],Allocation!D:D)/Delivery[[#This Row],[Quantity delivered]]</f>
        <v>2.5426136363636363E-2</v>
      </c>
      <c r="AC760" s="203">
        <f>Delivery[[#This Row],[Quantity delivered]]*Delivery[[#This Row],[Base price (Unidad)]]/60</f>
        <v>102065.92088846839</v>
      </c>
      <c r="AD760" s="204">
        <f>Delivery[[#This Row],[Nespresso total]]-Delivery[[#This Row],[Qt. Delivery * Base Price]]</f>
        <v>648.77654632675694</v>
      </c>
      <c r="AE760" s="204">
        <f>Delivery[[#This Row],[AAA Premium (total)]]/Delivery[[#This Row],[Quantity delivered]]*60/Delivery[[#This Row],[Exchange rate VS USD]]</f>
        <v>6.9999999999999991</v>
      </c>
      <c r="AF760" s="204">
        <f>Delivery[[#This Row],[BEN premium (total)]]/Delivery[[#This Row],[Quantity delivered]]*60/Delivery[[#This Row],[Exchange rate for premiums VS USD]]</f>
        <v>2.1886854000000002</v>
      </c>
      <c r="AG760" s="204">
        <f>COUNTIF(Delivery[Delivery ID],Delivery[[#This Row],[Delivery ID]])</f>
        <v>1</v>
      </c>
      <c r="AH760" s="204">
        <f>(Delivery[[#This Row],[Nespresso total]]/SUMIF(Allocation!C:C,Delivery[Delivery ID],Allocation!H:H))/Delivery[[#This Row],[Exchange rate VS USD]]</f>
        <v>263.77683338208158</v>
      </c>
      <c r="AI760" s="204">
        <f>(Delivery[[#This Row],[AAA Premium (total)]]/SUMIF(Allocation!C:C,Delivery[Delivery ID],Allocation!H:H))/Delivery[[#This Row],[Exchange rate VS USD]]</f>
        <v>13.92090395480226</v>
      </c>
      <c r="AJ760" s="204">
        <f>Delivery[[#This Row],[Valor Prêmio Nespresso AAA por Kg (em US$)]]*60</f>
        <v>835.25423728813553</v>
      </c>
      <c r="AK760" s="204">
        <f>Delivery[[#This Row],[Valor Prêmio Nespresso AAA por saca (em US$)]]/1.3228/100</f>
        <v>6.314289668038521</v>
      </c>
      <c r="AL760" s="204">
        <f>(Delivery[[#This Row],[BEN premium (total)]]/SUMIF(Allocation!C:C,Delivery[Delivery ID],Allocation!H:H))/Delivery[[#This Row],[Exchange rate for premiums VS USD]]</f>
        <v>4.3526398915254232</v>
      </c>
      <c r="AM760" s="204">
        <f>Delivery[[#This Row],[Valor Prêmio Nespresso BEN por Kg (em US$)]]*60</f>
        <v>261.15839349152537</v>
      </c>
      <c r="AN760" s="204">
        <f>Delivery[[#This Row],[Valor Prêmio Nespresso BEN por saca (em US$)]]/1.3228/100</f>
        <v>1.974284801115251</v>
      </c>
      <c r="AO760" s="204">
        <f>SUMIF(Allocation[Delivery ID],Delivery[[#This Row],[Delivery ID]],Allocation[Quantity allocated])*16*1.3228*Delivery[[#This Row],[Exchange rate VS USD]]/60</f>
        <v>137.3595500152079</v>
      </c>
      <c r="AP760" s="204">
        <f>Delivery[[#This Row],[AAA Premium (total)]]</f>
        <v>5420.7999216715489</v>
      </c>
      <c r="AQ760" s="204">
        <f>Delivery[[#This Row],[Valor pago pelo Cluster]]-Delivery[[#This Row],[Valor efetivamente pago pela Nespresso]]</f>
        <v>5283.4403716563411</v>
      </c>
    </row>
    <row r="761" spans="1:43" ht="15.75">
      <c r="A761" s="174" t="s">
        <v>69</v>
      </c>
      <c r="B761" s="232" t="s">
        <v>68</v>
      </c>
      <c r="C761" s="157">
        <v>1</v>
      </c>
      <c r="D761" s="157" t="s">
        <v>468</v>
      </c>
      <c r="E761" s="177" t="s">
        <v>468</v>
      </c>
      <c r="F761" s="233" t="s">
        <v>543</v>
      </c>
      <c r="G761" s="234">
        <v>43270</v>
      </c>
      <c r="H761" s="157" t="s">
        <v>914</v>
      </c>
      <c r="I761" s="157" t="s">
        <v>511</v>
      </c>
      <c r="J761" s="237">
        <v>31060.5</v>
      </c>
      <c r="K761" s="175" t="s">
        <v>61</v>
      </c>
      <c r="L761" s="175" t="s">
        <v>439</v>
      </c>
      <c r="M761" s="175" t="s">
        <v>1343</v>
      </c>
      <c r="N761" s="198"/>
      <c r="O761" s="199"/>
      <c r="P761" s="181">
        <v>0</v>
      </c>
      <c r="Q761" s="177">
        <v>43123</v>
      </c>
      <c r="R761" s="178">
        <v>434.94000378608689</v>
      </c>
      <c r="S761" s="179">
        <v>226588.76844271692</v>
      </c>
      <c r="T761" s="182" t="s">
        <v>45</v>
      </c>
      <c r="U761" s="183">
        <v>3.2999999523162842</v>
      </c>
      <c r="V761" s="179">
        <v>11958.292327207326</v>
      </c>
      <c r="W761" s="179">
        <v>3738.991403641528</v>
      </c>
      <c r="X761" s="196" t="s">
        <v>45</v>
      </c>
      <c r="Y761" s="200">
        <v>3.2999999523162842</v>
      </c>
      <c r="Z761" s="220" t="s">
        <v>473</v>
      </c>
      <c r="AA761" s="201">
        <f>Delivery[[#This Row],[Quantity delivered]]*VLOOKUP(Delivery[[#This Row],[Unit]],References!$U:$X,4,FALSE)*VLOOKUP(CONCATENATE(Delivery[[#This Row],[Coffee specie]],Delivery[[#This Row],[Coffee state]]),References!$U:$X,4,FALSE)</f>
        <v>31060.5</v>
      </c>
      <c r="AB761" s="202">
        <f>SUMIF(Allocation!C:C,Delivery[[#This Row],[Delivery ID]],Allocation!D:D)/Delivery[[#This Row],[Quantity delivered]]</f>
        <v>2.3051786030488883E-2</v>
      </c>
      <c r="AC761" s="203">
        <f>Delivery[[#This Row],[Quantity delivered]]*Delivery[[#This Row],[Base price (Unidad)]]/60</f>
        <v>225157.56645996255</v>
      </c>
      <c r="AD761" s="204">
        <f>Delivery[[#This Row],[Nespresso total]]-Delivery[[#This Row],[Qt. Delivery * Base Price]]</f>
        <v>1431.20198275437</v>
      </c>
      <c r="AE761" s="204">
        <f>Delivery[[#This Row],[AAA Premium (total)]]/Delivery[[#This Row],[Quantity delivered]]*60/Delivery[[#This Row],[Exchange rate VS USD]]</f>
        <v>7</v>
      </c>
      <c r="AF761" s="204">
        <f>Delivery[[#This Row],[BEN premium (total)]]/Delivery[[#This Row],[Quantity delivered]]*60/Delivery[[#This Row],[Exchange rate for premiums VS USD]]</f>
        <v>2.1886853999999998</v>
      </c>
      <c r="AG761" s="204">
        <f>COUNTIF(Delivery[Delivery ID],Delivery[[#This Row],[Delivery ID]])</f>
        <v>1</v>
      </c>
      <c r="AH761" s="204">
        <f>(Delivery[[#This Row],[Nespresso total]]/SUMIF(Allocation!C:C,Delivery[Delivery ID],Allocation!H:H))/Delivery[[#This Row],[Exchange rate VS USD]]</f>
        <v>290.79817108511401</v>
      </c>
      <c r="AI761" s="204">
        <f>(Delivery[[#This Row],[AAA Premium (total)]]/SUMIF(Allocation!C:C,Delivery[Delivery ID],Allocation!H:H))/Delivery[[#This Row],[Exchange rate VS USD]]</f>
        <v>15.346963408436388</v>
      </c>
      <c r="AJ761" s="204">
        <f>Delivery[[#This Row],[Valor Prêmio Nespresso AAA por Kg (em US$)]]*60</f>
        <v>920.81780450618328</v>
      </c>
      <c r="AK761" s="204">
        <f>Delivery[[#This Row],[Valor Prêmio Nespresso AAA por saca (em US$)]]/1.3228/100</f>
        <v>6.9611264326140256</v>
      </c>
      <c r="AL761" s="204">
        <f>(Delivery[[#This Row],[BEN premium (total)]]/SUMIF(Allocation!C:C,Delivery[Delivery ID],Allocation!H:H))/Delivery[[#This Row],[Exchange rate for premiums VS USD]]</f>
        <v>4.798524963768422</v>
      </c>
      <c r="AM761" s="204">
        <f>Delivery[[#This Row],[Valor Prêmio Nespresso BEN por Kg (em US$)]]*60</f>
        <v>287.91149782610535</v>
      </c>
      <c r="AN761" s="204">
        <f>Delivery[[#This Row],[Valor Prêmio Nespresso BEN por saca (em US$)]]/1.3228/100</f>
        <v>2.1765308272309145</v>
      </c>
      <c r="AO761" s="204">
        <f>SUMIF(Allocation[Delivery ID],Delivery[[#This Row],[Delivery ID]],Allocation[Quantity allocated])*16*1.3228*Delivery[[#This Row],[Exchange rate VS USD]]/60</f>
        <v>274.85878770839741</v>
      </c>
      <c r="AP761" s="204">
        <f>Delivery[[#This Row],[AAA Premium (total)]]</f>
        <v>11958.292327207326</v>
      </c>
      <c r="AQ761" s="204">
        <f>Delivery[[#This Row],[Valor pago pelo Cluster]]-Delivery[[#This Row],[Valor efetivamente pago pela Nespresso]]</f>
        <v>11683.433539498928</v>
      </c>
    </row>
    <row r="762" spans="1:43" ht="15.75">
      <c r="A762" s="174" t="s">
        <v>69</v>
      </c>
      <c r="B762" s="232" t="s">
        <v>68</v>
      </c>
      <c r="C762" s="157">
        <v>1</v>
      </c>
      <c r="D762" s="157" t="s">
        <v>468</v>
      </c>
      <c r="E762" s="177" t="s">
        <v>468</v>
      </c>
      <c r="F762" s="233" t="s">
        <v>543</v>
      </c>
      <c r="G762" s="234">
        <v>43272</v>
      </c>
      <c r="H762" s="157" t="s">
        <v>915</v>
      </c>
      <c r="I762" s="157" t="s">
        <v>511</v>
      </c>
      <c r="J762" s="237">
        <v>24916.5</v>
      </c>
      <c r="K762" s="175" t="s">
        <v>61</v>
      </c>
      <c r="L762" s="175" t="s">
        <v>439</v>
      </c>
      <c r="M762" s="175" t="s">
        <v>1343</v>
      </c>
      <c r="N762" s="198"/>
      <c r="O762" s="199"/>
      <c r="P762" s="181">
        <v>0</v>
      </c>
      <c r="Q762" s="177">
        <v>43123</v>
      </c>
      <c r="R762" s="178">
        <v>434.94000378608689</v>
      </c>
      <c r="S762" s="179">
        <v>181767.80956207908</v>
      </c>
      <c r="T762" s="182" t="s">
        <v>45</v>
      </c>
      <c r="U762" s="183">
        <v>3.2999999523162842</v>
      </c>
      <c r="V762" s="179">
        <v>9592.8523613870148</v>
      </c>
      <c r="W762" s="179">
        <v>2999.3908439604684</v>
      </c>
      <c r="X762" s="196" t="s">
        <v>45</v>
      </c>
      <c r="Y762" s="200">
        <v>3.2999999523162842</v>
      </c>
      <c r="Z762" s="220" t="s">
        <v>473</v>
      </c>
      <c r="AA762" s="201">
        <f>Delivery[[#This Row],[Quantity delivered]]*VLOOKUP(Delivery[[#This Row],[Unit]],References!$U:$X,4,FALSE)*VLOOKUP(CONCATENATE(Delivery[[#This Row],[Coffee specie]],Delivery[[#This Row],[Coffee state]]),References!$U:$X,4,FALSE)</f>
        <v>24916.5</v>
      </c>
      <c r="AB762" s="202">
        <f>SUMIF(Allocation!C:C,Delivery[[#This Row],[Delivery ID]],Allocation!D:D)/Delivery[[#This Row],[Quantity delivered]]</f>
        <v>2.1511849577589146E-2</v>
      </c>
      <c r="AC762" s="203">
        <f>Delivery[[#This Row],[Quantity delivered]]*Delivery[[#This Row],[Base price (Unidad)]]/60</f>
        <v>180619.71007226725</v>
      </c>
      <c r="AD762" s="204">
        <f>Delivery[[#This Row],[Nespresso total]]-Delivery[[#This Row],[Qt. Delivery * Base Price]]</f>
        <v>1148.099489811837</v>
      </c>
      <c r="AE762" s="204">
        <f>Delivery[[#This Row],[AAA Premium (total)]]/Delivery[[#This Row],[Quantity delivered]]*60/Delivery[[#This Row],[Exchange rate VS USD]]</f>
        <v>7.0000000000000009</v>
      </c>
      <c r="AF762" s="204">
        <f>Delivery[[#This Row],[BEN premium (total)]]/Delivery[[#This Row],[Quantity delivered]]*60/Delivery[[#This Row],[Exchange rate for premiums VS USD]]</f>
        <v>2.1886853999999998</v>
      </c>
      <c r="AG762" s="204">
        <f>COUNTIF(Delivery[Delivery ID],Delivery[[#This Row],[Delivery ID]])</f>
        <v>1</v>
      </c>
      <c r="AH762" s="204">
        <f>(Delivery[[#This Row],[Nespresso total]]/SUMIF(Allocation!C:C,Delivery[Delivery ID],Allocation!H:H))/Delivery[[#This Row],[Exchange rate VS USD]]</f>
        <v>311.19296728052257</v>
      </c>
      <c r="AI762" s="204">
        <f>(Delivery[[#This Row],[AAA Premium (total)]]/SUMIF(Allocation!C:C,Delivery[Delivery ID],Allocation!H:H))/Delivery[[#This Row],[Exchange rate VS USD]]</f>
        <v>16.423305084745763</v>
      </c>
      <c r="AJ762" s="204">
        <f>Delivery[[#This Row],[Valor Prêmio Nespresso AAA por Kg (em US$)]]*60</f>
        <v>985.39830508474574</v>
      </c>
      <c r="AK762" s="204">
        <f>Delivery[[#This Row],[Valor Prêmio Nespresso AAA por saca (em US$)]]/1.3228/100</f>
        <v>7.4493370508372072</v>
      </c>
      <c r="AL762" s="204">
        <f>(Delivery[[#This Row],[BEN premium (total)]]/SUMIF(Allocation!C:C,Delivery[Delivery ID],Allocation!H:H))/Delivery[[#This Row],[Exchange rate for premiums VS USD]]</f>
        <v>5.13506400838983</v>
      </c>
      <c r="AM762" s="204">
        <f>Delivery[[#This Row],[Valor Prêmio Nespresso BEN por Kg (em US$)]]*60</f>
        <v>308.10384050338979</v>
      </c>
      <c r="AN762" s="204">
        <f>Delivery[[#This Row],[Valor Prêmio Nespresso BEN por saca (em US$)]]/1.3228/100</f>
        <v>2.3291793204066362</v>
      </c>
      <c r="AO762" s="204">
        <f>SUMIF(Allocation[Delivery ID],Delivery[[#This Row],[Delivery ID]],Allocation[Quantity allocated])*16*1.3228*Delivery[[#This Row],[Exchange rate VS USD]]/60</f>
        <v>206.03932502281185</v>
      </c>
      <c r="AP762" s="204">
        <f>Delivery[[#This Row],[AAA Premium (total)]]</f>
        <v>9592.8523613870148</v>
      </c>
      <c r="AQ762" s="204">
        <f>Delivery[[#This Row],[Valor pago pelo Cluster]]-Delivery[[#This Row],[Valor efetivamente pago pela Nespresso]]</f>
        <v>9386.8130363642031</v>
      </c>
    </row>
    <row r="763" spans="1:43" ht="15.75">
      <c r="A763" s="174" t="s">
        <v>69</v>
      </c>
      <c r="B763" s="232" t="s">
        <v>68</v>
      </c>
      <c r="C763" s="157">
        <v>1</v>
      </c>
      <c r="D763" s="157" t="s">
        <v>468</v>
      </c>
      <c r="E763" s="177" t="s">
        <v>468</v>
      </c>
      <c r="F763" s="233" t="s">
        <v>543</v>
      </c>
      <c r="G763" s="234">
        <v>43279</v>
      </c>
      <c r="H763" s="157" t="s">
        <v>916</v>
      </c>
      <c r="I763" s="157" t="s">
        <v>917</v>
      </c>
      <c r="J763" s="237">
        <v>15769.5</v>
      </c>
      <c r="K763" s="175" t="s">
        <v>61</v>
      </c>
      <c r="L763" s="175" t="s">
        <v>439</v>
      </c>
      <c r="M763" s="175" t="s">
        <v>1343</v>
      </c>
      <c r="N763" s="198"/>
      <c r="O763" s="199"/>
      <c r="P763" s="181">
        <v>0</v>
      </c>
      <c r="Q763" s="177">
        <v>43271</v>
      </c>
      <c r="R763" s="178">
        <v>440.05045436462387</v>
      </c>
      <c r="S763" s="179">
        <v>117158.66100287587</v>
      </c>
      <c r="T763" s="182" t="s">
        <v>45</v>
      </c>
      <c r="U763" s="183">
        <v>3.77239990234375</v>
      </c>
      <c r="V763" s="179">
        <v>6940.3670303344725</v>
      </c>
      <c r="W763" s="179">
        <v>2170.0399985620597</v>
      </c>
      <c r="X763" s="196" t="s">
        <v>45</v>
      </c>
      <c r="Y763" s="200">
        <v>3.77239990234375</v>
      </c>
      <c r="Z763" s="220" t="s">
        <v>473</v>
      </c>
      <c r="AA763" s="201">
        <f>Delivery[[#This Row],[Quantity delivered]]*VLOOKUP(Delivery[[#This Row],[Unit]],References!$U:$X,4,FALSE)*VLOOKUP(CONCATENATE(Delivery[[#This Row],[Coffee specie]],Delivery[[#This Row],[Coffee state]]),References!$U:$X,4,FALSE)</f>
        <v>15769.5</v>
      </c>
      <c r="AB763" s="202">
        <f>SUMIF(Allocation!C:C,Delivery[[#This Row],[Delivery ID]],Allocation!D:D)/Delivery[[#This Row],[Quantity delivered]]</f>
        <v>2.2702051428390248E-2</v>
      </c>
      <c r="AC763" s="203">
        <f>Delivery[[#This Row],[Quantity delivered]]*Delivery[[#This Row],[Base price (Unidad)]]/60</f>
        <v>115656.26066838227</v>
      </c>
      <c r="AD763" s="204">
        <f>Delivery[[#This Row],[Nespresso total]]-Delivery[[#This Row],[Qt. Delivery * Base Price]]</f>
        <v>1502.4003344936064</v>
      </c>
      <c r="AE763" s="204">
        <f>Delivery[[#This Row],[AAA Premium (total)]]/Delivery[[#This Row],[Quantity delivered]]*60/Delivery[[#This Row],[Exchange rate VS USD]]</f>
        <v>7</v>
      </c>
      <c r="AF763" s="204">
        <f>Delivery[[#This Row],[BEN premium (total)]]/Delivery[[#This Row],[Quantity delivered]]*60/Delivery[[#This Row],[Exchange rate for premiums VS USD]]</f>
        <v>2.1886853999999998</v>
      </c>
      <c r="AG763" s="204">
        <f>COUNTIF(Delivery[Delivery ID],Delivery[[#This Row],[Delivery ID]])</f>
        <v>1</v>
      </c>
      <c r="AH763" s="204">
        <f>(Delivery[[#This Row],[Nespresso total]]/SUMIF(Allocation!C:C,Delivery[Delivery ID],Allocation!H:H))/Delivery[[#This Row],[Exchange rate VS USD]]</f>
        <v>263.19320172871625</v>
      </c>
      <c r="AI763" s="204">
        <f>(Delivery[[#This Row],[AAA Premium (total)]]/SUMIF(Allocation!C:C,Delivery[Delivery ID],Allocation!H:H))/Delivery[[#This Row],[Exchange rate VS USD]]</f>
        <v>15.591313559322034</v>
      </c>
      <c r="AJ763" s="204">
        <f>Delivery[[#This Row],[Valor Prêmio Nespresso AAA por Kg (em US$)]]*60</f>
        <v>935.47881355932202</v>
      </c>
      <c r="AK763" s="204">
        <f>Delivery[[#This Row],[Valor Prêmio Nespresso AAA por saca (em US$)]]/1.3228/100</f>
        <v>7.0719595823958423</v>
      </c>
      <c r="AL763" s="204">
        <f>(Delivery[[#This Row],[BEN premium (total)]]/SUMIF(Allocation!C:C,Delivery[Delivery ID],Allocation!H:H))/Delivery[[#This Row],[Exchange rate for premiums VS USD]]</f>
        <v>4.8749257648728817</v>
      </c>
      <c r="AM763" s="204">
        <f>Delivery[[#This Row],[Valor Prêmio Nespresso BEN por Kg (em US$)]]*60</f>
        <v>292.49554589237289</v>
      </c>
      <c r="AN763" s="204">
        <f>Delivery[[#This Row],[Valor Prêmio Nespresso BEN por saca (em US$)]]/1.3228/100</f>
        <v>2.2111849553399825</v>
      </c>
      <c r="AO763" s="204">
        <f>SUMIF(Allocation[Delivery ID],Delivery[[#This Row],[Delivery ID]],Allocation[Quantity allocated])*16*1.3228*Delivery[[#This Row],[Exchange rate VS USD]]/60</f>
        <v>157.02277592447913</v>
      </c>
      <c r="AP763" s="204">
        <f>Delivery[[#This Row],[AAA Premium (total)]]</f>
        <v>6940.3670303344725</v>
      </c>
      <c r="AQ763" s="204">
        <f>Delivery[[#This Row],[Valor pago pelo Cluster]]-Delivery[[#This Row],[Valor efetivamente pago pela Nespresso]]</f>
        <v>6783.3442544099935</v>
      </c>
    </row>
    <row r="764" spans="1:43" ht="15.75">
      <c r="A764" s="174" t="s">
        <v>69</v>
      </c>
      <c r="B764" s="232" t="s">
        <v>68</v>
      </c>
      <c r="C764" s="157">
        <v>1</v>
      </c>
      <c r="D764" s="157" t="s">
        <v>468</v>
      </c>
      <c r="E764" s="177" t="s">
        <v>468</v>
      </c>
      <c r="F764" s="233" t="s">
        <v>543</v>
      </c>
      <c r="G764" s="234">
        <v>43280</v>
      </c>
      <c r="H764" s="157" t="s">
        <v>918</v>
      </c>
      <c r="I764" s="157" t="s">
        <v>919</v>
      </c>
      <c r="J764" s="237">
        <v>30050</v>
      </c>
      <c r="K764" s="175" t="s">
        <v>61</v>
      </c>
      <c r="L764" s="175" t="s">
        <v>439</v>
      </c>
      <c r="M764" s="175" t="s">
        <v>1343</v>
      </c>
      <c r="N764" s="198"/>
      <c r="O764" s="199"/>
      <c r="P764" s="181">
        <v>0</v>
      </c>
      <c r="Q764" s="177">
        <v>42537</v>
      </c>
      <c r="R764" s="178">
        <v>651.55001497268677</v>
      </c>
      <c r="S764" s="179">
        <v>303577.07530690613</v>
      </c>
      <c r="T764" s="182" t="s">
        <v>45</v>
      </c>
      <c r="U764" s="183">
        <v>4.1500000953674316</v>
      </c>
      <c r="V764" s="179">
        <v>14549.208667675655</v>
      </c>
      <c r="W764" s="179">
        <v>4549.0915132135933</v>
      </c>
      <c r="X764" s="196" t="s">
        <v>45</v>
      </c>
      <c r="Y764" s="200">
        <v>4.1500000953674316</v>
      </c>
      <c r="Z764" s="220" t="s">
        <v>473</v>
      </c>
      <c r="AA764" s="201">
        <f>Delivery[[#This Row],[Quantity delivered]]*VLOOKUP(Delivery[[#This Row],[Unit]],References!$U:$X,4,FALSE)*VLOOKUP(CONCATENATE(Delivery[[#This Row],[Coffee specie]],Delivery[[#This Row],[Coffee state]]),References!$U:$X,4,FALSE)</f>
        <v>30050</v>
      </c>
      <c r="AB764" s="202">
        <f>SUMIF(Allocation!C:C,Delivery[[#This Row],[Delivery ID]],Allocation!D:D)/Delivery[[#This Row],[Quantity delivered]]</f>
        <v>1.78369384359401E-2</v>
      </c>
      <c r="AC764" s="203">
        <f>Delivery[[#This Row],[Quantity delivered]]*Delivery[[#This Row],[Base price (Unidad)]]/60</f>
        <v>326317.96583215398</v>
      </c>
      <c r="AD764" s="204">
        <f>Delivery[[#This Row],[Nespresso total]]-Delivery[[#This Row],[Qt. Delivery * Base Price]]</f>
        <v>-22740.890525247843</v>
      </c>
      <c r="AE764" s="204">
        <f>Delivery[[#This Row],[AAA Premium (total)]]/Delivery[[#This Row],[Quantity delivered]]*60/Delivery[[#This Row],[Exchange rate VS USD]]</f>
        <v>7</v>
      </c>
      <c r="AF764" s="204">
        <f>Delivery[[#This Row],[BEN premium (total)]]/Delivery[[#This Row],[Quantity delivered]]*60/Delivery[[#This Row],[Exchange rate for premiums VS USD]]</f>
        <v>2.1886853999999998</v>
      </c>
      <c r="AG764" s="204">
        <f>COUNTIF(Delivery[Delivery ID],Delivery[[#This Row],[Delivery ID]])</f>
        <v>1</v>
      </c>
      <c r="AH764" s="204">
        <f>(Delivery[[#This Row],[Nespresso total]]/SUMIF(Allocation!C:C,Delivery[Delivery ID],Allocation!H:H))/Delivery[[#This Row],[Exchange rate VS USD]]</f>
        <v>413.28305538176238</v>
      </c>
      <c r="AI764" s="204">
        <f>(Delivery[[#This Row],[AAA Premium (total)]]/SUMIF(Allocation!C:C,Delivery[Delivery ID],Allocation!H:H))/Delivery[[#This Row],[Exchange rate VS USD]]</f>
        <v>19.80696798493409</v>
      </c>
      <c r="AJ764" s="204">
        <f>Delivery[[#This Row],[Valor Prêmio Nespresso AAA por Kg (em US$)]]*60</f>
        <v>1188.4180790960454</v>
      </c>
      <c r="AK764" s="204">
        <f>Delivery[[#This Row],[Valor Prêmio Nespresso AAA por saca (em US$)]]/1.3228/100</f>
        <v>8.9841100627157964</v>
      </c>
      <c r="AL764" s="204">
        <f>(Delivery[[#This Row],[BEN premium (total)]]/SUMIF(Allocation!C:C,Delivery[Delivery ID],Allocation!H:H))/Delivery[[#This Row],[Exchange rate for premiums VS USD]]</f>
        <v>6.1930316638418077</v>
      </c>
      <c r="AM764" s="204">
        <f>Delivery[[#This Row],[Valor Prêmio Nespresso BEN por Kg (em US$)]]*60</f>
        <v>371.58189983050846</v>
      </c>
      <c r="AN764" s="204">
        <f>Delivery[[#This Row],[Valor Prêmio Nespresso BEN por saca (em US$)]]/1.3228/100</f>
        <v>2.8090557894655914</v>
      </c>
      <c r="AO764" s="204">
        <f>SUMIF(Allocation[Delivery ID],Delivery[[#This Row],[Delivery ID]],Allocation[Quantity allocated])*16*1.3228*Delivery[[#This Row],[Exchange rate VS USD]]/60</f>
        <v>259.11006995437617</v>
      </c>
      <c r="AP764" s="204">
        <f>Delivery[[#This Row],[AAA Premium (total)]]</f>
        <v>14549.208667675655</v>
      </c>
      <c r="AQ764" s="204">
        <f>Delivery[[#This Row],[Valor pago pelo Cluster]]-Delivery[[#This Row],[Valor efetivamente pago pela Nespresso]]</f>
        <v>14290.098597721279</v>
      </c>
    </row>
    <row r="765" spans="1:43" ht="15.75">
      <c r="A765" s="174" t="s">
        <v>69</v>
      </c>
      <c r="B765" s="232" t="s">
        <v>68</v>
      </c>
      <c r="C765" s="157">
        <v>1</v>
      </c>
      <c r="D765" s="157" t="s">
        <v>468</v>
      </c>
      <c r="E765" s="177" t="s">
        <v>468</v>
      </c>
      <c r="F765" s="233" t="s">
        <v>543</v>
      </c>
      <c r="G765" s="234">
        <v>43283</v>
      </c>
      <c r="H765" s="157" t="s">
        <v>920</v>
      </c>
      <c r="I765" s="157" t="s">
        <v>919</v>
      </c>
      <c r="J765" s="237">
        <v>30050</v>
      </c>
      <c r="K765" s="175" t="s">
        <v>61</v>
      </c>
      <c r="L765" s="175" t="s">
        <v>439</v>
      </c>
      <c r="M765" s="175" t="s">
        <v>1343</v>
      </c>
      <c r="N765" s="198"/>
      <c r="O765" s="199"/>
      <c r="P765" s="181">
        <v>0</v>
      </c>
      <c r="Q765" s="177">
        <v>42537</v>
      </c>
      <c r="R765" s="178">
        <v>646.55153051948582</v>
      </c>
      <c r="S765" s="179">
        <v>303691.03859593743</v>
      </c>
      <c r="T765" s="182" t="s">
        <v>45</v>
      </c>
      <c r="U765" s="183">
        <v>4.130000114440918</v>
      </c>
      <c r="V765" s="179">
        <v>14479.092067877453</v>
      </c>
      <c r="W765" s="179">
        <v>4527.1682020313119</v>
      </c>
      <c r="X765" s="196" t="s">
        <v>45</v>
      </c>
      <c r="Y765" s="200">
        <v>4.130000114440918</v>
      </c>
      <c r="Z765" s="220" t="s">
        <v>473</v>
      </c>
      <c r="AA765" s="201">
        <f>Delivery[[#This Row],[Quantity delivered]]*VLOOKUP(Delivery[[#This Row],[Unit]],References!$U:$X,4,FALSE)*VLOOKUP(CONCATENATE(Delivery[[#This Row],[Coffee specie]],Delivery[[#This Row],[Coffee state]]),References!$U:$X,4,FALSE)</f>
        <v>30050</v>
      </c>
      <c r="AB765" s="202">
        <f>SUMIF(Allocation!C:C,Delivery[[#This Row],[Delivery ID]],Allocation!D:D)/Delivery[[#This Row],[Quantity delivered]]</f>
        <v>1.78369384359401E-2</v>
      </c>
      <c r="AC765" s="203">
        <f>Delivery[[#This Row],[Quantity delivered]]*Delivery[[#This Row],[Base price (Unidad)]]/60</f>
        <v>323814.55820184253</v>
      </c>
      <c r="AD765" s="204">
        <f>Delivery[[#This Row],[Nespresso total]]-Delivery[[#This Row],[Qt. Delivery * Base Price]]</f>
        <v>-20123.519605905109</v>
      </c>
      <c r="AE765" s="204">
        <f>Delivery[[#This Row],[AAA Premium (total)]]/Delivery[[#This Row],[Quantity delivered]]*60/Delivery[[#This Row],[Exchange rate VS USD]]</f>
        <v>7</v>
      </c>
      <c r="AF765" s="204">
        <f>Delivery[[#This Row],[BEN premium (total)]]/Delivery[[#This Row],[Quantity delivered]]*60/Delivery[[#This Row],[Exchange rate for premiums VS USD]]</f>
        <v>2.1886853999999998</v>
      </c>
      <c r="AG765" s="204">
        <f>COUNTIF(Delivery[Delivery ID],Delivery[[#This Row],[Delivery ID]])</f>
        <v>1</v>
      </c>
      <c r="AH765" s="204">
        <f>(Delivery[[#This Row],[Nespresso total]]/SUMIF(Allocation!C:C,Delivery[Delivery ID],Allocation!H:H))/Delivery[[#This Row],[Exchange rate VS USD]]</f>
        <v>415.44032254108777</v>
      </c>
      <c r="AI765" s="204">
        <f>(Delivery[[#This Row],[AAA Premium (total)]]/SUMIF(Allocation!C:C,Delivery[Delivery ID],Allocation!H:H))/Delivery[[#This Row],[Exchange rate VS USD]]</f>
        <v>19.806967984934087</v>
      </c>
      <c r="AJ765" s="204">
        <f>Delivery[[#This Row],[Valor Prêmio Nespresso AAA por Kg (em US$)]]*60</f>
        <v>1188.4180790960452</v>
      </c>
      <c r="AK765" s="204">
        <f>Delivery[[#This Row],[Valor Prêmio Nespresso AAA por saca (em US$)]]/1.3228/100</f>
        <v>8.9841100627157928</v>
      </c>
      <c r="AL765" s="204">
        <f>(Delivery[[#This Row],[BEN premium (total)]]/SUMIF(Allocation!C:C,Delivery[Delivery ID],Allocation!H:H))/Delivery[[#This Row],[Exchange rate for premiums VS USD]]</f>
        <v>6.1930316638418068</v>
      </c>
      <c r="AM765" s="204">
        <f>Delivery[[#This Row],[Valor Prêmio Nespresso BEN por Kg (em US$)]]*60</f>
        <v>371.58189983050841</v>
      </c>
      <c r="AN765" s="204">
        <f>Delivery[[#This Row],[Valor Prêmio Nespresso BEN por saca (em US$)]]/1.3228/100</f>
        <v>2.809055789465591</v>
      </c>
      <c r="AO765" s="204">
        <f>SUMIF(Allocation[Delivery ID],Delivery[[#This Row],[Delivery ID]],Allocation[Quantity allocated])*16*1.3228*Delivery[[#This Row],[Exchange rate VS USD]]/60</f>
        <v>257.86134794525145</v>
      </c>
      <c r="AP765" s="204">
        <f>Delivery[[#This Row],[AAA Premium (total)]]</f>
        <v>14479.092067877453</v>
      </c>
      <c r="AQ765" s="204">
        <f>Delivery[[#This Row],[Valor pago pelo Cluster]]-Delivery[[#This Row],[Valor efetivamente pago pela Nespresso]]</f>
        <v>14221.230719932202</v>
      </c>
    </row>
    <row r="766" spans="1:43" ht="15.75">
      <c r="A766" s="174" t="s">
        <v>69</v>
      </c>
      <c r="B766" s="232" t="s">
        <v>68</v>
      </c>
      <c r="C766" s="157" t="s">
        <v>1344</v>
      </c>
      <c r="D766" s="157" t="s">
        <v>468</v>
      </c>
      <c r="E766" s="177" t="s">
        <v>468</v>
      </c>
      <c r="F766" s="233" t="s">
        <v>543</v>
      </c>
      <c r="G766" s="234">
        <v>43284</v>
      </c>
      <c r="H766" s="157" t="s">
        <v>1606</v>
      </c>
      <c r="I766" s="157" t="s">
        <v>935</v>
      </c>
      <c r="J766" s="237">
        <v>18220</v>
      </c>
      <c r="K766" s="175" t="s">
        <v>61</v>
      </c>
      <c r="L766" s="175" t="s">
        <v>439</v>
      </c>
      <c r="M766" s="175" t="s">
        <v>1343</v>
      </c>
      <c r="N766" s="198"/>
      <c r="O766" s="199"/>
      <c r="P766" s="181">
        <v>0</v>
      </c>
      <c r="Q766" s="177">
        <v>43280</v>
      </c>
      <c r="R766" s="178">
        <v>444.72038999999995</v>
      </c>
      <c r="S766" s="179">
        <v>137033.47</v>
      </c>
      <c r="T766" s="182" t="s">
        <v>45</v>
      </c>
      <c r="U766" s="183">
        <v>3.8553999999999999</v>
      </c>
      <c r="V766" s="179">
        <v>8204.9599999999991</v>
      </c>
      <c r="W766" s="179">
        <v>0</v>
      </c>
      <c r="X766" s="196" t="s">
        <v>45</v>
      </c>
      <c r="Y766" s="200">
        <v>3.8553999999999999</v>
      </c>
      <c r="Z766" s="220"/>
      <c r="AA766" s="201">
        <f>Delivery[[#This Row],[Quantity delivered]]*VLOOKUP(Delivery[[#This Row],[Unit]],References!$U:$X,4,FALSE)*VLOOKUP(CONCATENATE(Delivery[[#This Row],[Coffee specie]],Delivery[[#This Row],[Coffee state]]),References!$U:$X,4,FALSE)</f>
        <v>18220</v>
      </c>
      <c r="AB766" s="202">
        <f>SUMIF(Allocation!C:C,Delivery[[#This Row],[Delivery ID]],Allocation!D:D)/Delivery[[#This Row],[Quantity delivered]]</f>
        <v>0.29319429198682767</v>
      </c>
      <c r="AC766" s="203">
        <f>Delivery[[#This Row],[Quantity delivered]]*Delivery[[#This Row],[Base price (Unidad)]]/60</f>
        <v>135046.75842999999</v>
      </c>
      <c r="AD766" s="204">
        <f>Delivery[[#This Row],[Nespresso total]]-Delivery[[#This Row],[Qt. Delivery * Base Price]]</f>
        <v>1986.711570000014</v>
      </c>
      <c r="AE766" s="204">
        <f>Delivery[[#This Row],[AAA Premium (total)]]/Delivery[[#This Row],[Quantity delivered]]*60/Delivery[[#This Row],[Exchange rate VS USD]]</f>
        <v>7.0082551184712649</v>
      </c>
      <c r="AF766" s="204">
        <f>Delivery[[#This Row],[BEN premium (total)]]/Delivery[[#This Row],[Quantity delivered]]*60/Delivery[[#This Row],[Exchange rate for premiums VS USD]]</f>
        <v>0</v>
      </c>
      <c r="AG766" s="204">
        <f>COUNTIF(Delivery[Delivery ID],Delivery[[#This Row],[Delivery ID]])</f>
        <v>1</v>
      </c>
      <c r="AH766" s="204">
        <f>(Delivery[[#This Row],[Nespresso total]]/SUMIF(Allocation!C:C,Delivery[Delivery ID],Allocation!H:H))/Delivery[[#This Row],[Exchange rate VS USD]]</f>
        <v>20.160667165097102</v>
      </c>
      <c r="AI766" s="204">
        <f>(Delivery[[#This Row],[AAA Premium (total)]]/SUMIF(Allocation!C:C,Delivery[Delivery ID],Allocation!H:H))/Delivery[[#This Row],[Exchange rate VS USD]]</f>
        <v>1.2071318610185899</v>
      </c>
      <c r="AJ766" s="204">
        <f>Delivery[[#This Row],[Valor Prêmio Nespresso AAA por Kg (em US$)]]*60</f>
        <v>72.427911661115402</v>
      </c>
      <c r="AK766" s="204">
        <f>Delivery[[#This Row],[Valor Prêmio Nespresso AAA por saca (em US$)]]/1.3228/100</f>
        <v>0.54753486287507858</v>
      </c>
      <c r="AL766" s="204">
        <f>(Delivery[[#This Row],[BEN premium (total)]]/SUMIF(Allocation!C:C,Delivery[Delivery ID],Allocation!H:H))/Delivery[[#This Row],[Exchange rate for premiums VS USD]]</f>
        <v>0</v>
      </c>
      <c r="AM766" s="204">
        <f>Delivery[[#This Row],[Valor Prêmio Nespresso BEN por Kg (em US$)]]*60</f>
        <v>0</v>
      </c>
      <c r="AN766" s="204">
        <f>Delivery[[#This Row],[Valor Prêmio Nespresso BEN por saca (em US$)]]/1.3228/100</f>
        <v>0</v>
      </c>
      <c r="AO766" s="204">
        <f>SUMIF(Allocation[Delivery ID],Delivery[[#This Row],[Delivery ID]],Allocation[Quantity allocated])*16*1.3228*Delivery[[#This Row],[Exchange rate VS USD]]/60</f>
        <v>2397.6438561493333</v>
      </c>
      <c r="AP766" s="204">
        <f>Delivery[[#This Row],[AAA Premium (total)]]</f>
        <v>8204.9599999999991</v>
      </c>
      <c r="AQ766" s="204">
        <f>Delivery[[#This Row],[Valor pago pelo Cluster]]-Delivery[[#This Row],[Valor efetivamente pago pela Nespresso]]</f>
        <v>5807.3161438506659</v>
      </c>
    </row>
    <row r="767" spans="1:43" ht="15.75">
      <c r="A767" s="174" t="s">
        <v>69</v>
      </c>
      <c r="B767" s="232" t="s">
        <v>68</v>
      </c>
      <c r="C767" s="157" t="s">
        <v>1344</v>
      </c>
      <c r="D767" s="157" t="s">
        <v>468</v>
      </c>
      <c r="E767" s="177" t="s">
        <v>468</v>
      </c>
      <c r="F767" s="233" t="s">
        <v>543</v>
      </c>
      <c r="G767" s="234">
        <v>43284</v>
      </c>
      <c r="H767" s="157" t="s">
        <v>1607</v>
      </c>
      <c r="I767" s="157" t="s">
        <v>940</v>
      </c>
      <c r="J767" s="237">
        <v>14500</v>
      </c>
      <c r="K767" s="175" t="s">
        <v>61</v>
      </c>
      <c r="L767" s="175" t="s">
        <v>439</v>
      </c>
      <c r="M767" s="175" t="s">
        <v>1343</v>
      </c>
      <c r="N767" s="198"/>
      <c r="O767" s="199"/>
      <c r="P767" s="181">
        <v>0</v>
      </c>
      <c r="Q767" s="177">
        <v>43278</v>
      </c>
      <c r="R767" s="178">
        <v>449.70430500000003</v>
      </c>
      <c r="S767" s="179">
        <v>112360.6</v>
      </c>
      <c r="T767" s="182" t="s">
        <v>45</v>
      </c>
      <c r="U767" s="183">
        <v>3.8289</v>
      </c>
      <c r="V767" s="179">
        <v>9266.18</v>
      </c>
      <c r="W767" s="179">
        <v>0</v>
      </c>
      <c r="X767" s="196" t="s">
        <v>45</v>
      </c>
      <c r="Y767" s="200">
        <v>3.8289</v>
      </c>
      <c r="Z767" s="220"/>
      <c r="AA767" s="201">
        <f>Delivery[[#This Row],[Quantity delivered]]*VLOOKUP(Delivery[[#This Row],[Unit]],References!$U:$X,4,FALSE)*VLOOKUP(CONCATENATE(Delivery[[#This Row],[Coffee specie]],Delivery[[#This Row],[Coffee state]]),References!$U:$X,4,FALSE)</f>
        <v>14500</v>
      </c>
      <c r="AB767" s="202">
        <f>SUMIF(Allocation!C:C,Delivery[[#This Row],[Delivery ID]],Allocation!D:D)/Delivery[[#This Row],[Quantity delivered]]</f>
        <v>0.23620689655172414</v>
      </c>
      <c r="AC767" s="203">
        <f>Delivery[[#This Row],[Quantity delivered]]*Delivery[[#This Row],[Base price (Unidad)]]/60</f>
        <v>108678.54037500001</v>
      </c>
      <c r="AD767" s="204">
        <f>Delivery[[#This Row],[Nespresso total]]-Delivery[[#This Row],[Qt. Delivery * Base Price]]</f>
        <v>3682.0596249999944</v>
      </c>
      <c r="AE767" s="204">
        <f>Delivery[[#This Row],[AAA Premium (total)]]/Delivery[[#This Row],[Quantity delivered]]*60/Delivery[[#This Row],[Exchange rate VS USD]]</f>
        <v>10.014054635300857</v>
      </c>
      <c r="AF767" s="204">
        <f>Delivery[[#This Row],[BEN premium (total)]]/Delivery[[#This Row],[Quantity delivered]]*60/Delivery[[#This Row],[Exchange rate for premiums VS USD]]</f>
        <v>0</v>
      </c>
      <c r="AG767" s="204">
        <f>COUNTIF(Delivery[Delivery ID],Delivery[[#This Row],[Delivery ID]])</f>
        <v>1</v>
      </c>
      <c r="AH767" s="204">
        <f>(Delivery[[#This Row],[Nespresso total]]/SUMIF(Allocation!C:C,Delivery[Delivery ID],Allocation!H:H))/Delivery[[#This Row],[Exchange rate VS USD]]</f>
        <v>20.901281668081534</v>
      </c>
      <c r="AI767" s="204">
        <f>(Delivery[[#This Row],[AAA Premium (total)]]/SUMIF(Allocation!C:C,Delivery[Delivery ID],Allocation!H:H))/Delivery[[#This Row],[Exchange rate VS USD]]</f>
        <v>1.723691740406724</v>
      </c>
      <c r="AJ767" s="204">
        <f>Delivery[[#This Row],[Valor Prêmio Nespresso AAA por Kg (em US$)]]*60</f>
        <v>103.42150442440344</v>
      </c>
      <c r="AK767" s="204">
        <f>Delivery[[#This Row],[Valor Prêmio Nespresso AAA por saca (em US$)]]/1.3228/100</f>
        <v>0.78183780181738316</v>
      </c>
      <c r="AL767" s="204">
        <f>(Delivery[[#This Row],[BEN premium (total)]]/SUMIF(Allocation!C:C,Delivery[Delivery ID],Allocation!H:H))/Delivery[[#This Row],[Exchange rate for premiums VS USD]]</f>
        <v>0</v>
      </c>
      <c r="AM767" s="204">
        <f>Delivery[[#This Row],[Valor Prêmio Nespresso BEN por Kg (em US$)]]*60</f>
        <v>0</v>
      </c>
      <c r="AN767" s="204">
        <f>Delivery[[#This Row],[Valor Prêmio Nespresso BEN por saca (em US$)]]/1.3228/100</f>
        <v>0</v>
      </c>
      <c r="AO767" s="204">
        <f>SUMIF(Allocation[Delivery ID],Delivery[[#This Row],[Delivery ID]],Allocation[Quantity allocated])*16*1.3228*Delivery[[#This Row],[Exchange rate VS USD]]/60</f>
        <v>1896.2869236479999</v>
      </c>
      <c r="AP767" s="204">
        <f>Delivery[[#This Row],[AAA Premium (total)]]</f>
        <v>9266.18</v>
      </c>
      <c r="AQ767" s="204">
        <f>Delivery[[#This Row],[Valor pago pelo Cluster]]-Delivery[[#This Row],[Valor efetivamente pago pela Nespresso]]</f>
        <v>7369.8930763520002</v>
      </c>
    </row>
    <row r="768" spans="1:43" ht="15.75">
      <c r="A768" s="174" t="s">
        <v>69</v>
      </c>
      <c r="B768" s="232" t="s">
        <v>68</v>
      </c>
      <c r="C768" s="157" t="s">
        <v>1344</v>
      </c>
      <c r="D768" s="157" t="s">
        <v>468</v>
      </c>
      <c r="E768" s="177" t="s">
        <v>468</v>
      </c>
      <c r="F768" s="233" t="s">
        <v>543</v>
      </c>
      <c r="G768" s="234">
        <v>43284</v>
      </c>
      <c r="H768" s="157" t="s">
        <v>1608</v>
      </c>
      <c r="I768" s="157" t="s">
        <v>940</v>
      </c>
      <c r="J768" s="237">
        <v>4199.5</v>
      </c>
      <c r="K768" s="175" t="s">
        <v>61</v>
      </c>
      <c r="L768" s="175" t="s">
        <v>439</v>
      </c>
      <c r="M768" s="175" t="s">
        <v>1343</v>
      </c>
      <c r="N768" s="198"/>
      <c r="O768" s="199"/>
      <c r="P768" s="181">
        <v>0</v>
      </c>
      <c r="Q768" s="177">
        <v>43278</v>
      </c>
      <c r="R768" s="178">
        <v>449.70430500000003</v>
      </c>
      <c r="S768" s="179">
        <v>32501</v>
      </c>
      <c r="T768" s="182" t="s">
        <v>45</v>
      </c>
      <c r="U768" s="183">
        <v>3.8289</v>
      </c>
      <c r="V768" s="179">
        <v>2680.3</v>
      </c>
      <c r="W768" s="179">
        <v>0</v>
      </c>
      <c r="X768" s="196" t="s">
        <v>45</v>
      </c>
      <c r="Y768" s="200">
        <v>3.8289</v>
      </c>
      <c r="Z768" s="220"/>
      <c r="AA768" s="201">
        <f>Delivery[[#This Row],[Quantity delivered]]*VLOOKUP(Delivery[[#This Row],[Unit]],References!$U:$X,4,FALSE)*VLOOKUP(CONCATENATE(Delivery[[#This Row],[Coffee specie]],Delivery[[#This Row],[Coffee state]]),References!$U:$X,4,FALSE)</f>
        <v>4199.5</v>
      </c>
      <c r="AB768" s="202">
        <f>SUMIF(Allocation!C:C,Delivery[[#This Row],[Delivery ID]],Allocation!D:D)/Delivery[[#This Row],[Quantity delivered]]</f>
        <v>0.19430884629122513</v>
      </c>
      <c r="AC768" s="203">
        <f>Delivery[[#This Row],[Quantity delivered]]*Delivery[[#This Row],[Base price (Unidad)]]/60</f>
        <v>31475.553814125004</v>
      </c>
      <c r="AD768" s="204">
        <f>Delivery[[#This Row],[Nespresso total]]-Delivery[[#This Row],[Qt. Delivery * Base Price]]</f>
        <v>1025.4461858749964</v>
      </c>
      <c r="AE768" s="204">
        <f>Delivery[[#This Row],[AAA Premium (total)]]/Delivery[[#This Row],[Quantity delivered]]*60/Delivery[[#This Row],[Exchange rate VS USD]]</f>
        <v>10.001451820642137</v>
      </c>
      <c r="AF768" s="204">
        <f>Delivery[[#This Row],[BEN premium (total)]]/Delivery[[#This Row],[Quantity delivered]]*60/Delivery[[#This Row],[Exchange rate for premiums VS USD]]</f>
        <v>0</v>
      </c>
      <c r="AG768" s="204">
        <f>COUNTIF(Delivery[Delivery ID],Delivery[[#This Row],[Delivery ID]])</f>
        <v>1</v>
      </c>
      <c r="AH768" s="204">
        <f>(Delivery[[#This Row],[Nespresso total]]/SUMIF(Allocation!C:C,Delivery[Delivery ID],Allocation!H:H))/Delivery[[#This Row],[Exchange rate VS USD]]</f>
        <v>25.3383244398551</v>
      </c>
      <c r="AI768" s="204">
        <f>(Delivery[[#This Row],[AAA Premium (total)]]/SUMIF(Allocation!C:C,Delivery[Delivery ID],Allocation!H:H))/Delivery[[#This Row],[Exchange rate VS USD]]</f>
        <v>2.0896068119794351</v>
      </c>
      <c r="AJ768" s="204">
        <f>Delivery[[#This Row],[Valor Prêmio Nespresso AAA por Kg (em US$)]]*60</f>
        <v>125.3764087187661</v>
      </c>
      <c r="AK768" s="204">
        <f>Delivery[[#This Row],[Valor Prêmio Nespresso AAA por saca (em US$)]]/1.3228/100</f>
        <v>0.94781077047751827</v>
      </c>
      <c r="AL768" s="204">
        <f>(Delivery[[#This Row],[BEN premium (total)]]/SUMIF(Allocation!C:C,Delivery[Delivery ID],Allocation!H:H))/Delivery[[#This Row],[Exchange rate for premiums VS USD]]</f>
        <v>0</v>
      </c>
      <c r="AM768" s="204">
        <f>Delivery[[#This Row],[Valor Prêmio Nespresso BEN por Kg (em US$)]]*60</f>
        <v>0</v>
      </c>
      <c r="AN768" s="204">
        <f>Delivery[[#This Row],[Valor Prêmio Nespresso BEN por saca (em US$)]]/1.3228/100</f>
        <v>0</v>
      </c>
      <c r="AO768" s="204">
        <f>SUMIF(Allocation[Delivery ID],Delivery[[#This Row],[Delivery ID]],Allocation[Quantity allocated])*16*1.3228*Delivery[[#This Row],[Exchange rate VS USD]]/60</f>
        <v>452.46162351999999</v>
      </c>
      <c r="AP768" s="204">
        <f>Delivery[[#This Row],[AAA Premium (total)]]</f>
        <v>2680.3</v>
      </c>
      <c r="AQ768" s="204">
        <f>Delivery[[#This Row],[Valor pago pelo Cluster]]-Delivery[[#This Row],[Valor efetivamente pago pela Nespresso]]</f>
        <v>2227.8383764800001</v>
      </c>
    </row>
    <row r="769" spans="1:43" ht="15.75">
      <c r="A769" s="174" t="s">
        <v>69</v>
      </c>
      <c r="B769" s="232" t="s">
        <v>68</v>
      </c>
      <c r="C769" s="157" t="s">
        <v>1344</v>
      </c>
      <c r="D769" s="157" t="s">
        <v>468</v>
      </c>
      <c r="E769" s="177" t="s">
        <v>468</v>
      </c>
      <c r="F769" s="233" t="s">
        <v>543</v>
      </c>
      <c r="G769" s="234">
        <v>43285</v>
      </c>
      <c r="H769" s="157" t="s">
        <v>1609</v>
      </c>
      <c r="I769" s="157" t="s">
        <v>988</v>
      </c>
      <c r="J769" s="237">
        <v>30850</v>
      </c>
      <c r="K769" s="175" t="s">
        <v>61</v>
      </c>
      <c r="L769" s="175" t="s">
        <v>439</v>
      </c>
      <c r="M769" s="175" t="s">
        <v>1343</v>
      </c>
      <c r="N769" s="198"/>
      <c r="O769" s="199"/>
      <c r="P769" s="181">
        <v>0</v>
      </c>
      <c r="Q769" s="177">
        <v>43280</v>
      </c>
      <c r="R769" s="178">
        <v>443.64375999999999</v>
      </c>
      <c r="S769" s="179">
        <v>238798.37</v>
      </c>
      <c r="T769" s="182" t="s">
        <v>45</v>
      </c>
      <c r="U769" s="183">
        <v>3.8443999999999998</v>
      </c>
      <c r="V769" s="179">
        <v>19719.72</v>
      </c>
      <c r="W769" s="179">
        <v>0</v>
      </c>
      <c r="X769" s="196" t="s">
        <v>45</v>
      </c>
      <c r="Y769" s="200">
        <v>3.8443999999999998</v>
      </c>
      <c r="Z769" s="220"/>
      <c r="AA769" s="201">
        <f>Delivery[[#This Row],[Quantity delivered]]*VLOOKUP(Delivery[[#This Row],[Unit]],References!$U:$X,4,FALSE)*VLOOKUP(CONCATENATE(Delivery[[#This Row],[Coffee specie]],Delivery[[#This Row],[Coffee state]]),References!$U:$X,4,FALSE)</f>
        <v>30850</v>
      </c>
      <c r="AB769" s="202">
        <f>SUMIF(Allocation!C:C,Delivery[[#This Row],[Delivery ID]],Allocation!D:D)/Delivery[[#This Row],[Quantity delivered]]</f>
        <v>0.78188006482982175</v>
      </c>
      <c r="AC769" s="203">
        <f>Delivery[[#This Row],[Quantity delivered]]*Delivery[[#This Row],[Base price (Unidad)]]/60</f>
        <v>228106.83326666665</v>
      </c>
      <c r="AD769" s="204">
        <f>Delivery[[#This Row],[Nespresso total]]-Delivery[[#This Row],[Qt. Delivery * Base Price]]</f>
        <v>10691.536733333342</v>
      </c>
      <c r="AE769" s="204">
        <f>Delivery[[#This Row],[AAA Premium (total)]]/Delivery[[#This Row],[Quantity delivered]]*60/Delivery[[#This Row],[Exchange rate VS USD]]</f>
        <v>9.9762714488244253</v>
      </c>
      <c r="AF769" s="204">
        <f>Delivery[[#This Row],[BEN premium (total)]]/Delivery[[#This Row],[Quantity delivered]]*60/Delivery[[#This Row],[Exchange rate for premiums VS USD]]</f>
        <v>0</v>
      </c>
      <c r="AG769" s="204">
        <f>COUNTIF(Delivery[Delivery ID],Delivery[[#This Row],[Delivery ID]])</f>
        <v>1</v>
      </c>
      <c r="AH769" s="204">
        <f>(Delivery[[#This Row],[Nespresso total]]/SUMIF(Allocation!C:C,Delivery[Delivery ID],Allocation!H:H))/Delivery[[#This Row],[Exchange rate VS USD]]</f>
        <v>4.5178486472382868</v>
      </c>
      <c r="AI769" s="204">
        <f>(Delivery[[#This Row],[AAA Premium (total)]]/SUMIF(Allocation!C:C,Delivery[Delivery ID],Allocation!H:H))/Delivery[[#This Row],[Exchange rate VS USD]]</f>
        <v>0.37307922296922624</v>
      </c>
      <c r="AJ769" s="204">
        <f>Delivery[[#This Row],[Valor Prêmio Nespresso AAA por Kg (em US$)]]*60</f>
        <v>22.384753378153576</v>
      </c>
      <c r="AK769" s="204">
        <f>Delivery[[#This Row],[Valor Prêmio Nespresso AAA por saca (em US$)]]/1.3228/100</f>
        <v>0.1692225081505411</v>
      </c>
      <c r="AL769" s="204">
        <f>(Delivery[[#This Row],[BEN premium (total)]]/SUMIF(Allocation!C:C,Delivery[Delivery ID],Allocation!H:H))/Delivery[[#This Row],[Exchange rate for premiums VS USD]]</f>
        <v>0</v>
      </c>
      <c r="AM769" s="204">
        <f>Delivery[[#This Row],[Valor Prêmio Nespresso BEN por Kg (em US$)]]*60</f>
        <v>0</v>
      </c>
      <c r="AN769" s="204">
        <f>Delivery[[#This Row],[Valor Prêmio Nespresso BEN por saca (em US$)]]/1.3228/100</f>
        <v>0</v>
      </c>
      <c r="AO769" s="204">
        <f>SUMIF(Allocation[Delivery ID],Delivery[[#This Row],[Delivery ID]],Allocation[Quantity allocated])*16*1.3228*Delivery[[#This Row],[Exchange rate VS USD]]/60</f>
        <v>18645.009074047997</v>
      </c>
      <c r="AP769" s="204">
        <f>Delivery[[#This Row],[AAA Premium (total)]]</f>
        <v>19719.72</v>
      </c>
      <c r="AQ769" s="204">
        <f>Delivery[[#This Row],[Valor pago pelo Cluster]]-Delivery[[#This Row],[Valor efetivamente pago pela Nespresso]]</f>
        <v>1074.7109259520039</v>
      </c>
    </row>
    <row r="770" spans="1:43" ht="15.75">
      <c r="A770" s="174" t="s">
        <v>69</v>
      </c>
      <c r="B770" s="232" t="s">
        <v>68</v>
      </c>
      <c r="C770" s="157">
        <v>1</v>
      </c>
      <c r="D770" s="157" t="s">
        <v>468</v>
      </c>
      <c r="E770" s="177" t="s">
        <v>468</v>
      </c>
      <c r="F770" s="233" t="s">
        <v>543</v>
      </c>
      <c r="G770" s="234">
        <v>43286</v>
      </c>
      <c r="H770" s="235" t="s">
        <v>2026</v>
      </c>
      <c r="I770" s="236" t="s">
        <v>1086</v>
      </c>
      <c r="J770" s="237">
        <v>30130</v>
      </c>
      <c r="K770" s="175" t="s">
        <v>61</v>
      </c>
      <c r="L770" s="175" t="s">
        <v>439</v>
      </c>
      <c r="M770" s="175" t="s">
        <v>1343</v>
      </c>
      <c r="N770" s="198"/>
      <c r="O770" s="199"/>
      <c r="P770" s="181">
        <v>0</v>
      </c>
      <c r="Q770" s="177">
        <v>43279</v>
      </c>
      <c r="R770" s="178">
        <v>445.8227</v>
      </c>
      <c r="S770" s="179">
        <v>242189.47</v>
      </c>
      <c r="T770" s="182" t="s">
        <v>45</v>
      </c>
      <c r="U770" s="183">
        <v>3.8515999999999999</v>
      </c>
      <c r="V770" s="179">
        <v>19370.53</v>
      </c>
      <c r="W770" s="179">
        <v>0</v>
      </c>
      <c r="X770" s="196" t="s">
        <v>45</v>
      </c>
      <c r="Y770" s="200">
        <v>3.8515999999999999</v>
      </c>
      <c r="Z770" s="220"/>
      <c r="AA770" s="201">
        <f>Delivery[[#This Row],[Quantity delivered]]*VLOOKUP(Delivery[[#This Row],[Unit]],References!$U:$X,4,FALSE)*VLOOKUP(CONCATENATE(Delivery[[#This Row],[Coffee specie]],Delivery[[#This Row],[Coffee state]]),References!$U:$X,4,FALSE)</f>
        <v>30130</v>
      </c>
      <c r="AB770" s="202">
        <f>SUMIF(Allocation!C:C,Delivery[[#This Row],[Delivery ID]],Allocation!D:D)/Delivery[[#This Row],[Quantity delivered]]</f>
        <v>0.13109857285097909</v>
      </c>
      <c r="AC770" s="203">
        <f>Delivery[[#This Row],[Quantity delivered]]*Delivery[[#This Row],[Base price (Unidad)]]/60</f>
        <v>223877.29918333332</v>
      </c>
      <c r="AD770" s="204">
        <f>Delivery[[#This Row],[Nespresso total]]-Delivery[[#This Row],[Qt. Delivery * Base Price]]</f>
        <v>18312.170816666679</v>
      </c>
      <c r="AE770" s="204">
        <f>Delivery[[#This Row],[AAA Premium (total)]]/Delivery[[#This Row],[Quantity delivered]]*60/Delivery[[#This Row],[Exchange rate VS USD]]</f>
        <v>10.01503437677221</v>
      </c>
      <c r="AF770" s="204">
        <f>Delivery[[#This Row],[BEN premium (total)]]/Delivery[[#This Row],[Quantity delivered]]*60/Delivery[[#This Row],[Exchange rate for premiums VS USD]]</f>
        <v>0</v>
      </c>
      <c r="AG770" s="204">
        <f>COUNTIF(Delivery[Delivery ID],Delivery[[#This Row],[Delivery ID]])</f>
        <v>1</v>
      </c>
      <c r="AH770" s="204">
        <f>(Delivery[[#This Row],[Nespresso total]]/SUMIF(Allocation!C:C,Delivery[Delivery ID],Allocation!H:H))/Delivery[[#This Row],[Exchange rate VS USD]]</f>
        <v>31.838088001566994</v>
      </c>
      <c r="AI770" s="204">
        <f>(Delivery[[#This Row],[AAA Premium (total)]]/SUMIF(Allocation!C:C,Delivery[Delivery ID],Allocation!H:H))/Delivery[[#This Row],[Exchange rate VS USD]]</f>
        <v>2.5464386984991276</v>
      </c>
      <c r="AJ770" s="204">
        <f>Delivery[[#This Row],[Valor Prêmio Nespresso AAA por Kg (em US$)]]*60</f>
        <v>152.78632190994765</v>
      </c>
      <c r="AK770" s="204">
        <f>Delivery[[#This Row],[Valor Prêmio Nespresso AAA por saca (em US$)]]/1.3228/100</f>
        <v>1.1550220888263354</v>
      </c>
      <c r="AL770" s="204">
        <f>(Delivery[[#This Row],[BEN premium (total)]]/SUMIF(Allocation!C:C,Delivery[Delivery ID],Allocation!H:H))/Delivery[[#This Row],[Exchange rate for premiums VS USD]]</f>
        <v>0</v>
      </c>
      <c r="AM770" s="204">
        <f>Delivery[[#This Row],[Valor Prêmio Nespresso BEN por Kg (em US$)]]*60</f>
        <v>0</v>
      </c>
      <c r="AN770" s="204">
        <f>Delivery[[#This Row],[Valor Prêmio Nespresso BEN por saca (em US$)]]/1.3228/100</f>
        <v>0</v>
      </c>
      <c r="AO770" s="204">
        <f>SUMIF(Allocation[Delivery ID],Delivery[[#This Row],[Delivery ID]],Allocation[Quantity allocated])*16*1.3228*Delivery[[#This Row],[Exchange rate VS USD]]/60</f>
        <v>2683.312146133333</v>
      </c>
      <c r="AP770" s="204">
        <f>Delivery[[#This Row],[AAA Premium (total)]]</f>
        <v>19370.53</v>
      </c>
      <c r="AQ770" s="204">
        <f>Delivery[[#This Row],[Valor pago pelo Cluster]]-Delivery[[#This Row],[Valor efetivamente pago pela Nespresso]]</f>
        <v>16687.217853866667</v>
      </c>
    </row>
    <row r="771" spans="1:43" ht="15.75">
      <c r="A771" s="174" t="s">
        <v>69</v>
      </c>
      <c r="B771" s="232" t="s">
        <v>68</v>
      </c>
      <c r="C771" s="157" t="s">
        <v>1344</v>
      </c>
      <c r="D771" s="157" t="s">
        <v>468</v>
      </c>
      <c r="E771" s="177" t="s">
        <v>468</v>
      </c>
      <c r="F771" s="233" t="s">
        <v>543</v>
      </c>
      <c r="G771" s="234">
        <v>43287</v>
      </c>
      <c r="H771" s="157" t="s">
        <v>1610</v>
      </c>
      <c r="I771" s="157" t="s">
        <v>958</v>
      </c>
      <c r="J771" s="237">
        <v>15055</v>
      </c>
      <c r="K771" s="175" t="s">
        <v>61</v>
      </c>
      <c r="L771" s="175" t="s">
        <v>439</v>
      </c>
      <c r="M771" s="175" t="s">
        <v>1343</v>
      </c>
      <c r="N771" s="198"/>
      <c r="O771" s="199"/>
      <c r="P771" s="181">
        <v>0</v>
      </c>
      <c r="Q771" s="177">
        <v>43283</v>
      </c>
      <c r="R771" s="178">
        <v>440.79593999999997</v>
      </c>
      <c r="S771" s="179">
        <v>113800.5</v>
      </c>
      <c r="T771" s="182" t="s">
        <v>45</v>
      </c>
      <c r="U771" s="183">
        <v>3.8974000000000002</v>
      </c>
      <c r="V771" s="179">
        <v>6820</v>
      </c>
      <c r="W771" s="179">
        <v>0</v>
      </c>
      <c r="X771" s="196" t="s">
        <v>45</v>
      </c>
      <c r="Y771" s="200">
        <v>3.8974000000000002</v>
      </c>
      <c r="Z771" s="220"/>
      <c r="AA771" s="201">
        <f>Delivery[[#This Row],[Quantity delivered]]*VLOOKUP(Delivery[[#This Row],[Unit]],References!$U:$X,4,FALSE)*VLOOKUP(CONCATENATE(Delivery[[#This Row],[Coffee specie]],Delivery[[#This Row],[Coffee state]]),References!$U:$X,4,FALSE)</f>
        <v>15055</v>
      </c>
      <c r="AB771" s="202">
        <f>SUMIF(Allocation!C:C,Delivery[[#This Row],[Delivery ID]],Allocation!D:D)/Delivery[[#This Row],[Quantity delivered]]</f>
        <v>0.3123879109930256</v>
      </c>
      <c r="AC771" s="203">
        <f>Delivery[[#This Row],[Quantity delivered]]*Delivery[[#This Row],[Base price (Unidad)]]/60</f>
        <v>110603.047945</v>
      </c>
      <c r="AD771" s="204">
        <f>Delivery[[#This Row],[Nespresso total]]-Delivery[[#This Row],[Qt. Delivery * Base Price]]</f>
        <v>3197.4520550000016</v>
      </c>
      <c r="AE771" s="204">
        <f>Delivery[[#This Row],[AAA Premium (total)]]/Delivery[[#This Row],[Quantity delivered]]*60/Delivery[[#This Row],[Exchange rate VS USD]]</f>
        <v>6.9739669415219749</v>
      </c>
      <c r="AF771" s="204">
        <f>Delivery[[#This Row],[BEN premium (total)]]/Delivery[[#This Row],[Quantity delivered]]*60/Delivery[[#This Row],[Exchange rate for premiums VS USD]]</f>
        <v>0</v>
      </c>
      <c r="AG771" s="204">
        <f>COUNTIF(Delivery[Delivery ID],Delivery[[#This Row],[Delivery ID]])</f>
        <v>1</v>
      </c>
      <c r="AH771" s="204">
        <f>(Delivery[[#This Row],[Nespresso total]]/SUMIF(Allocation!C:C,Delivery[Delivery ID],Allocation!H:H))/Delivery[[#This Row],[Exchange rate VS USD]]</f>
        <v>20.026804827783256</v>
      </c>
      <c r="AI771" s="204">
        <f>(Delivery[[#This Row],[AAA Premium (total)]]/SUMIF(Allocation!C:C,Delivery[Delivery ID],Allocation!H:H))/Delivery[[#This Row],[Exchange rate VS USD]]</f>
        <v>1.2001951566599602</v>
      </c>
      <c r="AJ771" s="204">
        <f>Delivery[[#This Row],[Valor Prêmio Nespresso AAA por Kg (em US$)]]*60</f>
        <v>72.011709399597621</v>
      </c>
      <c r="AK771" s="204">
        <f>Delivery[[#This Row],[Valor Prêmio Nespresso AAA por saca (em US$)]]/1.3228/100</f>
        <v>0.544388489564542</v>
      </c>
      <c r="AL771" s="204">
        <f>(Delivery[[#This Row],[BEN premium (total)]]/SUMIF(Allocation!C:C,Delivery[Delivery ID],Allocation!H:H))/Delivery[[#This Row],[Exchange rate for premiums VS USD]]</f>
        <v>0</v>
      </c>
      <c r="AM771" s="204">
        <f>Delivery[[#This Row],[Valor Prêmio Nespresso BEN por Kg (em US$)]]*60</f>
        <v>0</v>
      </c>
      <c r="AN771" s="204">
        <f>Delivery[[#This Row],[Valor Prêmio Nespresso BEN por saca (em US$)]]/1.3228/100</f>
        <v>0</v>
      </c>
      <c r="AO771" s="204">
        <f>SUMIF(Allocation[Delivery ID],Delivery[[#This Row],[Delivery ID]],Allocation[Quantity allocated])*16*1.3228*Delivery[[#This Row],[Exchange rate VS USD]]/60</f>
        <v>2004.4509039360003</v>
      </c>
      <c r="AP771" s="204">
        <f>Delivery[[#This Row],[AAA Premium (total)]]</f>
        <v>6820</v>
      </c>
      <c r="AQ771" s="204">
        <f>Delivery[[#This Row],[Valor pago pelo Cluster]]-Delivery[[#This Row],[Valor efetivamente pago pela Nespresso]]</f>
        <v>4815.549096064</v>
      </c>
    </row>
    <row r="772" spans="1:43" ht="15.75">
      <c r="A772" s="174" t="s">
        <v>69</v>
      </c>
      <c r="B772" s="232" t="s">
        <v>68</v>
      </c>
      <c r="C772" s="157">
        <v>1</v>
      </c>
      <c r="D772" s="157" t="s">
        <v>468</v>
      </c>
      <c r="E772" s="177" t="s">
        <v>468</v>
      </c>
      <c r="F772" s="233" t="s">
        <v>543</v>
      </c>
      <c r="G772" s="234">
        <v>43294</v>
      </c>
      <c r="H772" s="157" t="s">
        <v>921</v>
      </c>
      <c r="I772" s="157" t="s">
        <v>511</v>
      </c>
      <c r="J772" s="237">
        <v>31720</v>
      </c>
      <c r="K772" s="175" t="s">
        <v>61</v>
      </c>
      <c r="L772" s="175" t="s">
        <v>439</v>
      </c>
      <c r="M772" s="175" t="s">
        <v>1343</v>
      </c>
      <c r="N772" s="198"/>
      <c r="O772" s="199"/>
      <c r="P772" s="181">
        <v>0</v>
      </c>
      <c r="Q772" s="177">
        <v>43123</v>
      </c>
      <c r="R772" s="178">
        <v>434.94000378608689</v>
      </c>
      <c r="S772" s="179">
        <v>231399.8723460015</v>
      </c>
      <c r="T772" s="182" t="s">
        <v>45</v>
      </c>
      <c r="U772" s="183">
        <v>3.2999999523162842</v>
      </c>
      <c r="V772" s="179">
        <v>12212.199823538462</v>
      </c>
      <c r="W772" s="179">
        <v>3818.3804936658867</v>
      </c>
      <c r="X772" s="196" t="s">
        <v>45</v>
      </c>
      <c r="Y772" s="200">
        <v>3.2999999523162842</v>
      </c>
      <c r="Z772" s="220" t="s">
        <v>473</v>
      </c>
      <c r="AA772" s="201">
        <f>Delivery[[#This Row],[Quantity delivered]]*VLOOKUP(Delivery[[#This Row],[Unit]],References!$U:$X,4,FALSE)*VLOOKUP(CONCATENATE(Delivery[[#This Row],[Coffee specie]],Delivery[[#This Row],[Coffee state]]),References!$U:$X,4,FALSE)</f>
        <v>31720</v>
      </c>
      <c r="AB772" s="202">
        <f>SUMIF(Allocation!C:C,Delivery[[#This Row],[Delivery ID]],Allocation!D:D)/Delivery[[#This Row],[Quantity delivered]]</f>
        <v>1.6897856242118536E-2</v>
      </c>
      <c r="AC772" s="203">
        <f>Delivery[[#This Row],[Quantity delivered]]*Delivery[[#This Row],[Base price (Unidad)]]/60</f>
        <v>229938.28200157793</v>
      </c>
      <c r="AD772" s="204">
        <f>Delivery[[#This Row],[Nespresso total]]-Delivery[[#This Row],[Qt. Delivery * Base Price]]</f>
        <v>1461.5903444235737</v>
      </c>
      <c r="AE772" s="204">
        <f>Delivery[[#This Row],[AAA Premium (total)]]/Delivery[[#This Row],[Quantity delivered]]*60/Delivery[[#This Row],[Exchange rate VS USD]]</f>
        <v>7</v>
      </c>
      <c r="AF772" s="204">
        <f>Delivery[[#This Row],[BEN premium (total)]]/Delivery[[#This Row],[Quantity delivered]]*60/Delivery[[#This Row],[Exchange rate for premiums VS USD]]</f>
        <v>2.1886853999999998</v>
      </c>
      <c r="AG772" s="204">
        <f>COUNTIF(Delivery[Delivery ID],Delivery[[#This Row],[Delivery ID]])</f>
        <v>1</v>
      </c>
      <c r="AH772" s="204">
        <f>(Delivery[[#This Row],[Nespresso total]]/SUMIF(Allocation!C:C,Delivery[Delivery ID],Allocation!H:H))/Delivery[[#This Row],[Exchange rate VS USD]]</f>
        <v>396.16482740907321</v>
      </c>
      <c r="AI772" s="204">
        <f>(Delivery[[#This Row],[AAA Premium (total)]]/SUMIF(Allocation!C:C,Delivery[Delivery ID],Allocation!H:H))/Delivery[[#This Row],[Exchange rate VS USD]]</f>
        <v>20.907721280602637</v>
      </c>
      <c r="AJ772" s="204">
        <f>Delivery[[#This Row],[Valor Prêmio Nespresso AAA por Kg (em US$)]]*60</f>
        <v>1254.4632768361582</v>
      </c>
      <c r="AK772" s="204">
        <f>Delivery[[#This Row],[Valor Prêmio Nespresso AAA por saca (em US$)]]/1.3228/100</f>
        <v>9.4833933840048239</v>
      </c>
      <c r="AL772" s="204">
        <f>(Delivery[[#This Row],[BEN premium (total)]]/SUMIF(Allocation!C:C,Delivery[Delivery ID],Allocation!H:H))/Delivery[[#This Row],[Exchange rate for premiums VS USD]]</f>
        <v>6.5372034734463274</v>
      </c>
      <c r="AM772" s="204">
        <f>Delivery[[#This Row],[Valor Prêmio Nespresso BEN por Kg (em US$)]]*60</f>
        <v>392.23220840677965</v>
      </c>
      <c r="AN772" s="204">
        <f>Delivery[[#This Row],[Valor Prêmio Nespresso BEN por saca (em US$)]]/1.3228/100</f>
        <v>2.9651663774325647</v>
      </c>
      <c r="AO772" s="204">
        <f>SUMIF(Allocation[Delivery ID],Delivery[[#This Row],[Delivery ID]],Allocation[Quantity allocated])*16*1.3228*Delivery[[#This Row],[Exchange rate VS USD]]/60</f>
        <v>206.03932502281185</v>
      </c>
      <c r="AP772" s="204">
        <f>Delivery[[#This Row],[AAA Premium (total)]]</f>
        <v>12212.199823538462</v>
      </c>
      <c r="AQ772" s="204">
        <f>Delivery[[#This Row],[Valor pago pelo Cluster]]-Delivery[[#This Row],[Valor efetivamente pago pela Nespresso]]</f>
        <v>12006.16049851565</v>
      </c>
    </row>
    <row r="773" spans="1:43" ht="15.75">
      <c r="A773" s="174" t="s">
        <v>69</v>
      </c>
      <c r="B773" s="232" t="s">
        <v>68</v>
      </c>
      <c r="C773" s="157">
        <v>1</v>
      </c>
      <c r="D773" s="157" t="s">
        <v>468</v>
      </c>
      <c r="E773" s="177" t="s">
        <v>468</v>
      </c>
      <c r="F773" s="233" t="s">
        <v>543</v>
      </c>
      <c r="G773" s="234">
        <v>43295</v>
      </c>
      <c r="H773" s="157" t="s">
        <v>922</v>
      </c>
      <c r="I773" s="157" t="s">
        <v>511</v>
      </c>
      <c r="J773" s="237">
        <v>32020</v>
      </c>
      <c r="K773" s="175" t="s">
        <v>61</v>
      </c>
      <c r="L773" s="175" t="s">
        <v>439</v>
      </c>
      <c r="M773" s="175" t="s">
        <v>1343</v>
      </c>
      <c r="N773" s="198"/>
      <c r="O773" s="199"/>
      <c r="P773" s="181">
        <v>0</v>
      </c>
      <c r="Q773" s="177">
        <v>43123</v>
      </c>
      <c r="R773" s="178">
        <v>434.94000378608689</v>
      </c>
      <c r="S773" s="179">
        <v>233588.39572884515</v>
      </c>
      <c r="T773" s="182" t="s">
        <v>45</v>
      </c>
      <c r="U773" s="183">
        <v>3.2999999523162842</v>
      </c>
      <c r="V773" s="179">
        <v>12327.699821869532</v>
      </c>
      <c r="W773" s="179">
        <v>3854.4938022440638</v>
      </c>
      <c r="X773" s="196" t="s">
        <v>45</v>
      </c>
      <c r="Y773" s="200">
        <v>3.2999999523162842</v>
      </c>
      <c r="Z773" s="220" t="s">
        <v>473</v>
      </c>
      <c r="AA773" s="201">
        <f>Delivery[[#This Row],[Quantity delivered]]*VLOOKUP(Delivery[[#This Row],[Unit]],References!$U:$X,4,FALSE)*VLOOKUP(CONCATENATE(Delivery[[#This Row],[Coffee specie]],Delivery[[#This Row],[Coffee state]]),References!$U:$X,4,FALSE)</f>
        <v>32020</v>
      </c>
      <c r="AB773" s="202">
        <f>SUMIF(Allocation!C:C,Delivery[[#This Row],[Delivery ID]],Allocation!D:D)/Delivery[[#This Row],[Quantity delivered]]</f>
        <v>1.6739537788881948E-2</v>
      </c>
      <c r="AC773" s="203">
        <f>Delivery[[#This Row],[Quantity delivered]]*Delivery[[#This Row],[Base price (Unidad)]]/60</f>
        <v>232112.98202050838</v>
      </c>
      <c r="AD773" s="204">
        <f>Delivery[[#This Row],[Nespresso total]]-Delivery[[#This Row],[Qt. Delivery * Base Price]]</f>
        <v>1475.4137083367677</v>
      </c>
      <c r="AE773" s="204">
        <f>Delivery[[#This Row],[AAA Premium (total)]]/Delivery[[#This Row],[Quantity delivered]]*60/Delivery[[#This Row],[Exchange rate VS USD]]</f>
        <v>7</v>
      </c>
      <c r="AF773" s="204">
        <f>Delivery[[#This Row],[BEN premium (total)]]/Delivery[[#This Row],[Quantity delivered]]*60/Delivery[[#This Row],[Exchange rate for premiums VS USD]]</f>
        <v>2.1886854000000002</v>
      </c>
      <c r="AG773" s="204">
        <f>COUNTIF(Delivery[Delivery ID],Delivery[[#This Row],[Delivery ID]])</f>
        <v>1</v>
      </c>
      <c r="AH773" s="204">
        <f>(Delivery[[#This Row],[Nespresso total]]/SUMIF(Allocation!C:C,Delivery[Delivery ID],Allocation!H:H))/Delivery[[#This Row],[Exchange rate VS USD]]</f>
        <v>399.91165742870504</v>
      </c>
      <c r="AI773" s="204">
        <f>(Delivery[[#This Row],[AAA Premium (total)]]/SUMIF(Allocation!C:C,Delivery[Delivery ID],Allocation!H:H))/Delivery[[#This Row],[Exchange rate VS USD]]</f>
        <v>21.105461393596986</v>
      </c>
      <c r="AJ773" s="204">
        <f>Delivery[[#This Row],[Valor Prêmio Nespresso AAA por Kg (em US$)]]*60</f>
        <v>1266.3276836158191</v>
      </c>
      <c r="AK773" s="204">
        <f>Delivery[[#This Row],[Valor Prêmio Nespresso AAA por saca (em US$)]]/1.3228/100</f>
        <v>9.5730849986076443</v>
      </c>
      <c r="AL773" s="204">
        <f>(Delivery[[#This Row],[BEN premium (total)]]/SUMIF(Allocation!C:C,Delivery[Delivery ID],Allocation!H:H))/Delivery[[#This Row],[Exchange rate for premiums VS USD]]</f>
        <v>6.5990307446327678</v>
      </c>
      <c r="AM773" s="204">
        <f>Delivery[[#This Row],[Valor Prêmio Nespresso BEN por Kg (em US$)]]*60</f>
        <v>395.94184467796606</v>
      </c>
      <c r="AN773" s="204">
        <f>Delivery[[#This Row],[Valor Prêmio Nespresso BEN por saca (em US$)]]/1.3228/100</f>
        <v>2.9932101956302244</v>
      </c>
      <c r="AO773" s="204">
        <f>SUMIF(Allocation[Delivery ID],Delivery[[#This Row],[Delivery ID]],Allocation[Quantity allocated])*16*1.3228*Delivery[[#This Row],[Exchange rate VS USD]]/60</f>
        <v>206.03932502281185</v>
      </c>
      <c r="AP773" s="204">
        <f>Delivery[[#This Row],[AAA Premium (total)]]</f>
        <v>12327.699821869532</v>
      </c>
      <c r="AQ773" s="204">
        <f>Delivery[[#This Row],[Valor pago pelo Cluster]]-Delivery[[#This Row],[Valor efetivamente pago pela Nespresso]]</f>
        <v>12121.66049684672</v>
      </c>
    </row>
    <row r="774" spans="1:43" ht="15.75">
      <c r="A774" s="174" t="s">
        <v>69</v>
      </c>
      <c r="B774" s="232" t="s">
        <v>68</v>
      </c>
      <c r="C774" s="157">
        <v>1</v>
      </c>
      <c r="D774" s="157" t="s">
        <v>468</v>
      </c>
      <c r="E774" s="177" t="s">
        <v>468</v>
      </c>
      <c r="F774" s="233" t="s">
        <v>543</v>
      </c>
      <c r="G774" s="234">
        <v>43293</v>
      </c>
      <c r="H774" s="235" t="s">
        <v>2027</v>
      </c>
      <c r="I774" s="236" t="s">
        <v>1086</v>
      </c>
      <c r="J774" s="237">
        <v>35850</v>
      </c>
      <c r="K774" s="175" t="s">
        <v>61</v>
      </c>
      <c r="L774" s="175" t="s">
        <v>439</v>
      </c>
      <c r="M774" s="175" t="s">
        <v>1343</v>
      </c>
      <c r="N774" s="198"/>
      <c r="O774" s="199"/>
      <c r="P774" s="181">
        <v>0</v>
      </c>
      <c r="Q774" s="177">
        <v>43290</v>
      </c>
      <c r="R774" s="178">
        <v>442.42646499999995</v>
      </c>
      <c r="S774" s="179">
        <v>274782</v>
      </c>
      <c r="T774" s="182" t="s">
        <v>45</v>
      </c>
      <c r="U774" s="183">
        <v>3.8622999999999998</v>
      </c>
      <c r="V774" s="179">
        <v>16218</v>
      </c>
      <c r="W774" s="179">
        <v>0</v>
      </c>
      <c r="X774" s="196" t="s">
        <v>45</v>
      </c>
      <c r="Y774" s="200">
        <v>3.8622999999999998</v>
      </c>
      <c r="Z774" s="220"/>
      <c r="AA774" s="201">
        <f>Delivery[[#This Row],[Quantity delivered]]*VLOOKUP(Delivery[[#This Row],[Unit]],References!$U:$X,4,FALSE)*VLOOKUP(CONCATENATE(Delivery[[#This Row],[Coffee specie]],Delivery[[#This Row],[Coffee state]]),References!$U:$X,4,FALSE)</f>
        <v>35850</v>
      </c>
      <c r="AB774" s="202">
        <f>SUMIF(Allocation!C:C,Delivery[[#This Row],[Delivery ID]],Allocation!D:D)/Delivery[[#This Row],[Quantity delivered]]</f>
        <v>0.14225941422594143</v>
      </c>
      <c r="AC774" s="203">
        <f>Delivery[[#This Row],[Quantity delivered]]*Delivery[[#This Row],[Base price (Unidad)]]/60</f>
        <v>264349.81283749995</v>
      </c>
      <c r="AD774" s="204">
        <f>Delivery[[#This Row],[Nespresso total]]-Delivery[[#This Row],[Qt. Delivery * Base Price]]</f>
        <v>10432.187162500049</v>
      </c>
      <c r="AE774" s="204">
        <f>Delivery[[#This Row],[AAA Premium (total)]]/Delivery[[#This Row],[Quantity delivered]]*60/Delivery[[#This Row],[Exchange rate VS USD]]</f>
        <v>7.0277027248814505</v>
      </c>
      <c r="AF774" s="204">
        <f>Delivery[[#This Row],[BEN premium (total)]]/Delivery[[#This Row],[Quantity delivered]]*60/Delivery[[#This Row],[Exchange rate for premiums VS USD]]</f>
        <v>0</v>
      </c>
      <c r="AG774" s="204">
        <f>COUNTIF(Delivery[Delivery ID],Delivery[[#This Row],[Delivery ID]])</f>
        <v>1</v>
      </c>
      <c r="AH774" s="204">
        <f>(Delivery[[#This Row],[Nespresso total]]/SUMIF(Allocation!C:C,Delivery[Delivery ID],Allocation!H:H))/Delivery[[#This Row],[Exchange rate VS USD]]</f>
        <v>36.71034816274716</v>
      </c>
      <c r="AI774" s="204">
        <f>(Delivery[[#This Row],[AAA Premium (total)]]/SUMIF(Allocation!C:C,Delivery[Delivery ID],Allocation!H:H))/Delivery[[#This Row],[Exchange rate VS USD]]</f>
        <v>2.1666936935586514</v>
      </c>
      <c r="AJ774" s="204">
        <f>Delivery[[#This Row],[Valor Prêmio Nespresso AAA por Kg (em US$)]]*60</f>
        <v>130.00162161351909</v>
      </c>
      <c r="AK774" s="204">
        <f>Delivery[[#This Row],[Valor Prêmio Nespresso AAA por saca (em US$)]]/1.3228/100</f>
        <v>0.98277609323797321</v>
      </c>
      <c r="AL774" s="204">
        <f>(Delivery[[#This Row],[BEN premium (total)]]/SUMIF(Allocation!C:C,Delivery[Delivery ID],Allocation!H:H))/Delivery[[#This Row],[Exchange rate for premiums VS USD]]</f>
        <v>0</v>
      </c>
      <c r="AM774" s="204">
        <f>Delivery[[#This Row],[Valor Prêmio Nespresso BEN por Kg (em US$)]]*60</f>
        <v>0</v>
      </c>
      <c r="AN774" s="204">
        <f>Delivery[[#This Row],[Valor Prêmio Nespresso BEN por saca (em US$)]]/1.3228/100</f>
        <v>0</v>
      </c>
      <c r="AO774" s="204">
        <f>SUMIF(Allocation[Delivery ID],Delivery[[#This Row],[Delivery ID]],Allocation[Quantity allocated])*16*1.3228*Delivery[[#This Row],[Exchange rate VS USD]]/60</f>
        <v>2640.3572673919998</v>
      </c>
      <c r="AP774" s="204">
        <f>Delivery[[#This Row],[AAA Premium (total)]]</f>
        <v>16218</v>
      </c>
      <c r="AQ774" s="204">
        <f>Delivery[[#This Row],[Valor pago pelo Cluster]]-Delivery[[#This Row],[Valor efetivamente pago pela Nespresso]]</f>
        <v>13577.642732608001</v>
      </c>
    </row>
    <row r="775" spans="1:43" ht="15.75">
      <c r="A775" s="174" t="s">
        <v>69</v>
      </c>
      <c r="B775" s="232" t="s">
        <v>68</v>
      </c>
      <c r="C775" s="157">
        <v>1</v>
      </c>
      <c r="D775" s="157" t="s">
        <v>468</v>
      </c>
      <c r="E775" s="177" t="s">
        <v>468</v>
      </c>
      <c r="F775" s="233" t="s">
        <v>543</v>
      </c>
      <c r="G775" s="234">
        <v>43293</v>
      </c>
      <c r="H775" s="235" t="s">
        <v>2028</v>
      </c>
      <c r="I775" s="236" t="s">
        <v>1086</v>
      </c>
      <c r="J775" s="237">
        <v>13770</v>
      </c>
      <c r="K775" s="175" t="s">
        <v>61</v>
      </c>
      <c r="L775" s="175" t="s">
        <v>439</v>
      </c>
      <c r="M775" s="175" t="s">
        <v>1343</v>
      </c>
      <c r="N775" s="198"/>
      <c r="O775" s="199"/>
      <c r="P775" s="181">
        <v>0</v>
      </c>
      <c r="Q775" s="177">
        <v>43290</v>
      </c>
      <c r="R775" s="178">
        <v>442.42646499999995</v>
      </c>
      <c r="S775" s="179">
        <v>99583.15</v>
      </c>
      <c r="T775" s="182" t="s">
        <v>45</v>
      </c>
      <c r="U775" s="183">
        <v>3.8622999999999998</v>
      </c>
      <c r="V775" s="179">
        <v>6216.9</v>
      </c>
      <c r="W775" s="179">
        <v>0</v>
      </c>
      <c r="X775" s="196" t="s">
        <v>45</v>
      </c>
      <c r="Y775" s="200">
        <v>3.8622999999999998</v>
      </c>
      <c r="Z775" s="220"/>
      <c r="AA775" s="201">
        <f>Delivery[[#This Row],[Quantity delivered]]*VLOOKUP(Delivery[[#This Row],[Unit]],References!$U:$X,4,FALSE)*VLOOKUP(CONCATENATE(Delivery[[#This Row],[Coffee specie]],Delivery[[#This Row],[Coffee state]]),References!$U:$X,4,FALSE)</f>
        <v>13770</v>
      </c>
      <c r="AB775" s="202">
        <f>SUMIF(Allocation!C:C,Delivery[[#This Row],[Delivery ID]],Allocation!D:D)/Delivery[[#This Row],[Quantity delivered]]</f>
        <v>0.13180827886710239</v>
      </c>
      <c r="AC775" s="203">
        <f>Delivery[[#This Row],[Quantity delivered]]*Delivery[[#This Row],[Base price (Unidad)]]/60</f>
        <v>101536.87371749998</v>
      </c>
      <c r="AD775" s="204">
        <f>Delivery[[#This Row],[Nespresso total]]-Delivery[[#This Row],[Qt. Delivery * Base Price]]</f>
        <v>-1953.72371749999</v>
      </c>
      <c r="AE775" s="204">
        <f>Delivery[[#This Row],[AAA Premium (total)]]/Delivery[[#This Row],[Quantity delivered]]*60/Delivery[[#This Row],[Exchange rate VS USD]]</f>
        <v>7.0136677339639295</v>
      </c>
      <c r="AF775" s="204">
        <f>Delivery[[#This Row],[BEN premium (total)]]/Delivery[[#This Row],[Quantity delivered]]*60/Delivery[[#This Row],[Exchange rate for premiums VS USD]]</f>
        <v>0</v>
      </c>
      <c r="AG775" s="204">
        <f>COUNTIF(Delivery[Delivery ID],Delivery[[#This Row],[Delivery ID]])</f>
        <v>1</v>
      </c>
      <c r="AH775" s="204">
        <f>(Delivery[[#This Row],[Nespresso total]]/SUMIF(Allocation!C:C,Delivery[Delivery ID],Allocation!H:H))/Delivery[[#This Row],[Exchange rate VS USD]]</f>
        <v>34.655081141411365</v>
      </c>
      <c r="AI775" s="204">
        <f>(Delivery[[#This Row],[AAA Premium (total)]]/SUMIF(Allocation!C:C,Delivery[Delivery ID],Allocation!H:H))/Delivery[[#This Row],[Exchange rate VS USD]]</f>
        <v>2.1634902485816156</v>
      </c>
      <c r="AJ775" s="204">
        <f>Delivery[[#This Row],[Valor Prêmio Nespresso AAA por Kg (em US$)]]*60</f>
        <v>129.80941491489693</v>
      </c>
      <c r="AK775" s="204">
        <f>Delivery[[#This Row],[Valor Prêmio Nespresso AAA por saca (em US$)]]/1.3228/100</f>
        <v>0.98132306406786318</v>
      </c>
      <c r="AL775" s="204">
        <f>(Delivery[[#This Row],[BEN premium (total)]]/SUMIF(Allocation!C:C,Delivery[Delivery ID],Allocation!H:H))/Delivery[[#This Row],[Exchange rate for premiums VS USD]]</f>
        <v>0</v>
      </c>
      <c r="AM775" s="204">
        <f>Delivery[[#This Row],[Valor Prêmio Nespresso BEN por Kg (em US$)]]*60</f>
        <v>0</v>
      </c>
      <c r="AN775" s="204">
        <f>Delivery[[#This Row],[Valor Prêmio Nespresso BEN por saca (em US$)]]/1.3228/100</f>
        <v>0</v>
      </c>
      <c r="AO775" s="204">
        <f>SUMIF(Allocation[Delivery ID],Delivery[[#This Row],[Delivery ID]],Allocation[Quantity allocated])*16*1.3228*Delivery[[#This Row],[Exchange rate VS USD]]/60</f>
        <v>1013.635607296</v>
      </c>
      <c r="AP775" s="204">
        <f>Delivery[[#This Row],[AAA Premium (total)]]</f>
        <v>6216.9</v>
      </c>
      <c r="AQ775" s="204">
        <f>Delivery[[#This Row],[Valor pago pelo Cluster]]-Delivery[[#This Row],[Valor efetivamente pago pela Nespresso]]</f>
        <v>5203.2643927039999</v>
      </c>
    </row>
    <row r="776" spans="1:43" ht="15.75">
      <c r="A776" s="174" t="s">
        <v>69</v>
      </c>
      <c r="B776" s="232" t="s">
        <v>68</v>
      </c>
      <c r="C776" s="157">
        <v>1</v>
      </c>
      <c r="D776" s="157" t="s">
        <v>468</v>
      </c>
      <c r="E776" s="177" t="s">
        <v>468</v>
      </c>
      <c r="F776" s="233" t="s">
        <v>543</v>
      </c>
      <c r="G776" s="234">
        <v>43297</v>
      </c>
      <c r="H776" s="157" t="s">
        <v>923</v>
      </c>
      <c r="I776" s="157" t="s">
        <v>511</v>
      </c>
      <c r="J776" s="237">
        <v>31900</v>
      </c>
      <c r="K776" s="175" t="s">
        <v>61</v>
      </c>
      <c r="L776" s="175" t="s">
        <v>439</v>
      </c>
      <c r="M776" s="175" t="s">
        <v>1343</v>
      </c>
      <c r="N776" s="198"/>
      <c r="O776" s="199"/>
      <c r="P776" s="181">
        <v>0</v>
      </c>
      <c r="Q776" s="177">
        <v>43123</v>
      </c>
      <c r="R776" s="178">
        <v>434.94000378608689</v>
      </c>
      <c r="S776" s="179">
        <v>232712.98637570773</v>
      </c>
      <c r="T776" s="182" t="s">
        <v>45</v>
      </c>
      <c r="U776" s="183">
        <v>3.2999999523162842</v>
      </c>
      <c r="V776" s="179">
        <v>12281.499822537104</v>
      </c>
      <c r="W776" s="179">
        <v>3840.0484788127928</v>
      </c>
      <c r="X776" s="196" t="s">
        <v>45</v>
      </c>
      <c r="Y776" s="200">
        <v>3.2999999523162842</v>
      </c>
      <c r="Z776" s="220" t="s">
        <v>473</v>
      </c>
      <c r="AA776" s="201">
        <f>Delivery[[#This Row],[Quantity delivered]]*VLOOKUP(Delivery[[#This Row],[Unit]],References!$U:$X,4,FALSE)*VLOOKUP(CONCATENATE(Delivery[[#This Row],[Coffee specie]],Delivery[[#This Row],[Coffee state]]),References!$U:$X,4,FALSE)</f>
        <v>31900</v>
      </c>
      <c r="AB776" s="202">
        <f>SUMIF(Allocation!C:C,Delivery[[#This Row],[Delivery ID]],Allocation!D:D)/Delivery[[#This Row],[Quantity delivered]]</f>
        <v>1.6802507836990596E-2</v>
      </c>
      <c r="AC776" s="203">
        <f>Delivery[[#This Row],[Quantity delivered]]*Delivery[[#This Row],[Base price (Unidad)]]/60</f>
        <v>231243.1020129362</v>
      </c>
      <c r="AD776" s="204">
        <f>Delivery[[#This Row],[Nespresso total]]-Delivery[[#This Row],[Qt. Delivery * Base Price]]</f>
        <v>1469.884362771525</v>
      </c>
      <c r="AE776" s="204">
        <f>Delivery[[#This Row],[AAA Premium (total)]]/Delivery[[#This Row],[Quantity delivered]]*60/Delivery[[#This Row],[Exchange rate VS USD]]</f>
        <v>7</v>
      </c>
      <c r="AF776" s="204">
        <f>Delivery[[#This Row],[BEN premium (total)]]/Delivery[[#This Row],[Quantity delivered]]*60/Delivery[[#This Row],[Exchange rate for premiums VS USD]]</f>
        <v>2.1886853999999998</v>
      </c>
      <c r="AG776" s="204">
        <f>COUNTIF(Delivery[Delivery ID],Delivery[[#This Row],[Delivery ID]])</f>
        <v>1</v>
      </c>
      <c r="AH776" s="204">
        <f>(Delivery[[#This Row],[Nespresso total]]/SUMIF(Allocation!C:C,Delivery[Delivery ID],Allocation!H:H))/Delivery[[#This Row],[Exchange rate VS USD]]</f>
        <v>398.41292542085239</v>
      </c>
      <c r="AI776" s="204">
        <f>(Delivery[[#This Row],[AAA Premium (total)]]/SUMIF(Allocation!C:C,Delivery[Delivery ID],Allocation!H:H))/Delivery[[#This Row],[Exchange rate VS USD]]</f>
        <v>21.026365348399249</v>
      </c>
      <c r="AJ776" s="204">
        <f>Delivery[[#This Row],[Valor Prêmio Nespresso AAA por Kg (em US$)]]*60</f>
        <v>1261.5819209039551</v>
      </c>
      <c r="AK776" s="204">
        <f>Delivery[[#This Row],[Valor Prêmio Nespresso AAA por saca (em US$)]]/1.3228/100</f>
        <v>9.5372083527665197</v>
      </c>
      <c r="AL776" s="204">
        <f>(Delivery[[#This Row],[BEN premium (total)]]/SUMIF(Allocation!C:C,Delivery[Delivery ID],Allocation!H:H))/Delivery[[#This Row],[Exchange rate for premiums VS USD]]</f>
        <v>6.5742998361581915</v>
      </c>
      <c r="AM776" s="204">
        <f>Delivery[[#This Row],[Valor Prêmio Nespresso BEN por Kg (em US$)]]*60</f>
        <v>394.4579901694915</v>
      </c>
      <c r="AN776" s="204">
        <f>Delivery[[#This Row],[Valor Prêmio Nespresso BEN por saca (em US$)]]/1.3228/100</f>
        <v>2.9819926683511602</v>
      </c>
      <c r="AO776" s="204">
        <f>SUMIF(Allocation[Delivery ID],Delivery[[#This Row],[Delivery ID]],Allocation[Quantity allocated])*16*1.3228*Delivery[[#This Row],[Exchange rate VS USD]]/60</f>
        <v>206.03932502281185</v>
      </c>
      <c r="AP776" s="204">
        <f>Delivery[[#This Row],[AAA Premium (total)]]</f>
        <v>12281.499822537104</v>
      </c>
      <c r="AQ776" s="204">
        <f>Delivery[[#This Row],[Valor pago pelo Cluster]]-Delivery[[#This Row],[Valor efetivamente pago pela Nespresso]]</f>
        <v>12075.460497514292</v>
      </c>
    </row>
    <row r="777" spans="1:43" ht="15.75">
      <c r="A777" s="174" t="s">
        <v>69</v>
      </c>
      <c r="B777" s="232" t="s">
        <v>68</v>
      </c>
      <c r="C777" s="157">
        <v>1</v>
      </c>
      <c r="D777" s="157" t="s">
        <v>468</v>
      </c>
      <c r="E777" s="177" t="s">
        <v>468</v>
      </c>
      <c r="F777" s="233" t="s">
        <v>543</v>
      </c>
      <c r="G777" s="234">
        <v>43297</v>
      </c>
      <c r="H777" s="157" t="s">
        <v>924</v>
      </c>
      <c r="I777" s="157" t="s">
        <v>511</v>
      </c>
      <c r="J777" s="237">
        <v>32150</v>
      </c>
      <c r="K777" s="175" t="s">
        <v>61</v>
      </c>
      <c r="L777" s="175" t="s">
        <v>439</v>
      </c>
      <c r="M777" s="175" t="s">
        <v>1343</v>
      </c>
      <c r="N777" s="198"/>
      <c r="O777" s="199"/>
      <c r="P777" s="181">
        <v>0</v>
      </c>
      <c r="Q777" s="177">
        <v>43123</v>
      </c>
      <c r="R777" s="178">
        <v>434.94000378608689</v>
      </c>
      <c r="S777" s="179">
        <v>234536.75586141078</v>
      </c>
      <c r="T777" s="182" t="s">
        <v>45</v>
      </c>
      <c r="U777" s="183">
        <v>3.2999999523162842</v>
      </c>
      <c r="V777" s="179">
        <v>12377.749821146328</v>
      </c>
      <c r="W777" s="179">
        <v>3870.1429026279397</v>
      </c>
      <c r="X777" s="196" t="s">
        <v>45</v>
      </c>
      <c r="Y777" s="200">
        <v>3.2999999523162842</v>
      </c>
      <c r="Z777" s="220" t="s">
        <v>473</v>
      </c>
      <c r="AA777" s="201">
        <f>Delivery[[#This Row],[Quantity delivered]]*VLOOKUP(Delivery[[#This Row],[Unit]],References!$U:$X,4,FALSE)*VLOOKUP(CONCATENATE(Delivery[[#This Row],[Coffee specie]],Delivery[[#This Row],[Coffee state]]),References!$U:$X,4,FALSE)</f>
        <v>32150</v>
      </c>
      <c r="AB777" s="202">
        <f>SUMIF(Allocation!C:C,Delivery[[#This Row],[Delivery ID]],Allocation!D:D)/Delivery[[#This Row],[Quantity delivered]]</f>
        <v>1.6671850699844479E-2</v>
      </c>
      <c r="AC777" s="203">
        <f>Delivery[[#This Row],[Quantity delivered]]*Delivery[[#This Row],[Base price (Unidad)]]/60</f>
        <v>233055.35202871155</v>
      </c>
      <c r="AD777" s="204">
        <f>Delivery[[#This Row],[Nespresso total]]-Delivery[[#This Row],[Qt. Delivery * Base Price]]</f>
        <v>1481.4038326992304</v>
      </c>
      <c r="AE777" s="204">
        <f>Delivery[[#This Row],[AAA Premium (total)]]/Delivery[[#This Row],[Quantity delivered]]*60/Delivery[[#This Row],[Exchange rate VS USD]]</f>
        <v>7</v>
      </c>
      <c r="AF777" s="204">
        <f>Delivery[[#This Row],[BEN premium (total)]]/Delivery[[#This Row],[Quantity delivered]]*60/Delivery[[#This Row],[Exchange rate for premiums VS USD]]</f>
        <v>2.1886853999999998</v>
      </c>
      <c r="AG777" s="204">
        <f>COUNTIF(Delivery[Delivery ID],Delivery[[#This Row],[Delivery ID]])</f>
        <v>1</v>
      </c>
      <c r="AH777" s="204">
        <f>(Delivery[[#This Row],[Nespresso total]]/SUMIF(Allocation!C:C,Delivery[Delivery ID],Allocation!H:H))/Delivery[[#This Row],[Exchange rate VS USD]]</f>
        <v>401.53528377054556</v>
      </c>
      <c r="AI777" s="204">
        <f>(Delivery[[#This Row],[AAA Premium (total)]]/SUMIF(Allocation!C:C,Delivery[Delivery ID],Allocation!H:H))/Delivery[[#This Row],[Exchange rate VS USD]]</f>
        <v>21.191148775894536</v>
      </c>
      <c r="AJ777" s="204">
        <f>Delivery[[#This Row],[Valor Prêmio Nespresso AAA por Kg (em US$)]]*60</f>
        <v>1271.4689265536722</v>
      </c>
      <c r="AK777" s="204">
        <f>Delivery[[#This Row],[Valor Prêmio Nespresso AAA por saca (em US$)]]/1.3228/100</f>
        <v>9.6119513649355319</v>
      </c>
      <c r="AL777" s="204">
        <f>(Delivery[[#This Row],[BEN premium (total)]]/SUMIF(Allocation!C:C,Delivery[Delivery ID],Allocation!H:H))/Delivery[[#This Row],[Exchange rate for premiums VS USD]]</f>
        <v>6.625822562146892</v>
      </c>
      <c r="AM777" s="204">
        <f>Delivery[[#This Row],[Valor Prêmio Nespresso BEN por Kg (em US$)]]*60</f>
        <v>397.54935372881351</v>
      </c>
      <c r="AN777" s="204">
        <f>Delivery[[#This Row],[Valor Prêmio Nespresso BEN por saca (em US$)]]/1.3228/100</f>
        <v>3.00536251684921</v>
      </c>
      <c r="AO777" s="204">
        <f>SUMIF(Allocation[Delivery ID],Delivery[[#This Row],[Delivery ID]],Allocation[Quantity allocated])*16*1.3228*Delivery[[#This Row],[Exchange rate VS USD]]/60</f>
        <v>206.03932502281185</v>
      </c>
      <c r="AP777" s="204">
        <f>Delivery[[#This Row],[AAA Premium (total)]]</f>
        <v>12377.749821146328</v>
      </c>
      <c r="AQ777" s="204">
        <f>Delivery[[#This Row],[Valor pago pelo Cluster]]-Delivery[[#This Row],[Valor efetivamente pago pela Nespresso]]</f>
        <v>12171.710496123516</v>
      </c>
    </row>
    <row r="778" spans="1:43" ht="15.75">
      <c r="A778" s="174" t="s">
        <v>69</v>
      </c>
      <c r="B778" s="232" t="s">
        <v>68</v>
      </c>
      <c r="C778" s="157">
        <v>1</v>
      </c>
      <c r="D778" s="157" t="s">
        <v>468</v>
      </c>
      <c r="E778" s="177" t="s">
        <v>468</v>
      </c>
      <c r="F778" s="233" t="s">
        <v>543</v>
      </c>
      <c r="G778" s="234">
        <v>43298</v>
      </c>
      <c r="H778" s="157" t="s">
        <v>925</v>
      </c>
      <c r="I778" s="157" t="s">
        <v>511</v>
      </c>
      <c r="J778" s="237">
        <v>31700</v>
      </c>
      <c r="K778" s="175" t="s">
        <v>61</v>
      </c>
      <c r="L778" s="175" t="s">
        <v>439</v>
      </c>
      <c r="M778" s="175" t="s">
        <v>1343</v>
      </c>
      <c r="N778" s="198"/>
      <c r="O778" s="199"/>
      <c r="P778" s="181">
        <v>0</v>
      </c>
      <c r="Q778" s="177">
        <v>43123</v>
      </c>
      <c r="R778" s="178">
        <v>434.94000378608689</v>
      </c>
      <c r="S778" s="179">
        <v>231253.97078714528</v>
      </c>
      <c r="T778" s="182" t="s">
        <v>45</v>
      </c>
      <c r="U778" s="183">
        <v>3.2999999523162842</v>
      </c>
      <c r="V778" s="179">
        <v>12204.499823649723</v>
      </c>
      <c r="W778" s="179">
        <v>3815.9729397606743</v>
      </c>
      <c r="X778" s="196" t="s">
        <v>45</v>
      </c>
      <c r="Y778" s="200">
        <v>3.2999999523162842</v>
      </c>
      <c r="Z778" s="220" t="s">
        <v>473</v>
      </c>
      <c r="AA778" s="201">
        <f>Delivery[[#This Row],[Quantity delivered]]*VLOOKUP(Delivery[[#This Row],[Unit]],References!$U:$X,4,FALSE)*VLOOKUP(CONCATENATE(Delivery[[#This Row],[Coffee specie]],Delivery[[#This Row],[Coffee state]]),References!$U:$X,4,FALSE)</f>
        <v>31700</v>
      </c>
      <c r="AB778" s="202">
        <f>SUMIF(Allocation!C:C,Delivery[[#This Row],[Delivery ID]],Allocation!D:D)/Delivery[[#This Row],[Quantity delivered]]</f>
        <v>1.6908517350157727E-2</v>
      </c>
      <c r="AC778" s="203">
        <f>Delivery[[#This Row],[Quantity delivered]]*Delivery[[#This Row],[Base price (Unidad)]]/60</f>
        <v>229793.30200031592</v>
      </c>
      <c r="AD778" s="204">
        <f>Delivery[[#This Row],[Nespresso total]]-Delivery[[#This Row],[Qt. Delivery * Base Price]]</f>
        <v>1460.6687868293666</v>
      </c>
      <c r="AE778" s="204">
        <f>Delivery[[#This Row],[AAA Premium (total)]]/Delivery[[#This Row],[Quantity delivered]]*60/Delivery[[#This Row],[Exchange rate VS USD]]</f>
        <v>7</v>
      </c>
      <c r="AF778" s="204">
        <f>Delivery[[#This Row],[BEN premium (total)]]/Delivery[[#This Row],[Quantity delivered]]*60/Delivery[[#This Row],[Exchange rate for premiums VS USD]]</f>
        <v>2.1886853999999998</v>
      </c>
      <c r="AG778" s="204">
        <f>COUNTIF(Delivery[Delivery ID],Delivery[[#This Row],[Delivery ID]])</f>
        <v>1</v>
      </c>
      <c r="AH778" s="204">
        <f>(Delivery[[#This Row],[Nespresso total]]/SUMIF(Allocation!C:C,Delivery[Delivery ID],Allocation!H:H))/Delivery[[#This Row],[Exchange rate VS USD]]</f>
        <v>395.91503874109782</v>
      </c>
      <c r="AI778" s="204">
        <f>(Delivery[[#This Row],[AAA Premium (total)]]/SUMIF(Allocation!C:C,Delivery[Delivery ID],Allocation!H:H))/Delivery[[#This Row],[Exchange rate VS USD]]</f>
        <v>20.89453860640301</v>
      </c>
      <c r="AJ778" s="204">
        <f>Delivery[[#This Row],[Valor Prêmio Nespresso AAA por Kg (em US$)]]*60</f>
        <v>1253.6723163841807</v>
      </c>
      <c r="AK778" s="204">
        <f>Delivery[[#This Row],[Valor Prêmio Nespresso AAA por saca (em US$)]]/1.3228/100</f>
        <v>9.4774139430313031</v>
      </c>
      <c r="AL778" s="204">
        <f>(Delivery[[#This Row],[BEN premium (total)]]/SUMIF(Allocation!C:C,Delivery[Delivery ID],Allocation!H:H))/Delivery[[#This Row],[Exchange rate for premiums VS USD]]</f>
        <v>6.53308165536723</v>
      </c>
      <c r="AM778" s="204">
        <f>Delivery[[#This Row],[Valor Prêmio Nespresso BEN por Kg (em US$)]]*60</f>
        <v>391.98489932203381</v>
      </c>
      <c r="AN778" s="204">
        <f>Delivery[[#This Row],[Valor Prêmio Nespresso BEN por saca (em US$)]]/1.3228/100</f>
        <v>2.9632967895527202</v>
      </c>
      <c r="AO778" s="204">
        <f>SUMIF(Allocation[Delivery ID],Delivery[[#This Row],[Delivery ID]],Allocation[Quantity allocated])*16*1.3228*Delivery[[#This Row],[Exchange rate VS USD]]/60</f>
        <v>206.03932502281185</v>
      </c>
      <c r="AP778" s="204">
        <f>Delivery[[#This Row],[AAA Premium (total)]]</f>
        <v>12204.499823649723</v>
      </c>
      <c r="AQ778" s="204">
        <f>Delivery[[#This Row],[Valor pago pelo Cluster]]-Delivery[[#This Row],[Valor efetivamente pago pela Nespresso]]</f>
        <v>11998.460498626911</v>
      </c>
    </row>
    <row r="779" spans="1:43" ht="15.75">
      <c r="A779" s="174" t="s">
        <v>69</v>
      </c>
      <c r="B779" s="232" t="s">
        <v>68</v>
      </c>
      <c r="C779" s="157" t="s">
        <v>1344</v>
      </c>
      <c r="D779" s="157" t="s">
        <v>468</v>
      </c>
      <c r="E779" s="177" t="s">
        <v>468</v>
      </c>
      <c r="F779" s="233" t="s">
        <v>543</v>
      </c>
      <c r="G779" s="234">
        <v>43298</v>
      </c>
      <c r="H779" s="157" t="s">
        <v>1611</v>
      </c>
      <c r="I779" s="157" t="s">
        <v>1612</v>
      </c>
      <c r="J779" s="237">
        <v>33460</v>
      </c>
      <c r="K779" s="175" t="s">
        <v>61</v>
      </c>
      <c r="L779" s="175" t="s">
        <v>439</v>
      </c>
      <c r="M779" s="175" t="s">
        <v>1343</v>
      </c>
      <c r="N779" s="198"/>
      <c r="O779" s="199"/>
      <c r="P779" s="181">
        <v>0</v>
      </c>
      <c r="Q779" s="177">
        <v>43292</v>
      </c>
      <c r="R779" s="178">
        <v>433.46542499999998</v>
      </c>
      <c r="S779" s="179">
        <v>244381.68</v>
      </c>
      <c r="T779" s="182" t="s">
        <v>45</v>
      </c>
      <c r="U779" s="183">
        <v>3.8685</v>
      </c>
      <c r="V779" s="179">
        <v>15088.32</v>
      </c>
      <c r="W779" s="179">
        <v>0</v>
      </c>
      <c r="X779" s="196" t="s">
        <v>45</v>
      </c>
      <c r="Y779" s="200">
        <v>3.8685</v>
      </c>
      <c r="Z779" s="220"/>
      <c r="AA779" s="201">
        <f>Delivery[[#This Row],[Quantity delivered]]*VLOOKUP(Delivery[[#This Row],[Unit]],References!$U:$X,4,FALSE)*VLOOKUP(CONCATENATE(Delivery[[#This Row],[Coffee specie]],Delivery[[#This Row],[Coffee state]]),References!$U:$X,4,FALSE)</f>
        <v>33460</v>
      </c>
      <c r="AB779" s="202">
        <f>SUMIF(Allocation!C:C,Delivery[[#This Row],[Delivery ID]],Allocation!D:D)/Delivery[[#This Row],[Quantity delivered]]</f>
        <v>0.65406455469216973</v>
      </c>
      <c r="AC779" s="203">
        <f>Delivery[[#This Row],[Quantity delivered]]*Delivery[[#This Row],[Base price (Unidad)]]/60</f>
        <v>241729.21867500001</v>
      </c>
      <c r="AD779" s="204">
        <f>Delivery[[#This Row],[Nespresso total]]-Delivery[[#This Row],[Qt. Delivery * Base Price]]</f>
        <v>2652.461324999982</v>
      </c>
      <c r="AE779" s="204">
        <f>Delivery[[#This Row],[AAA Premium (total)]]/Delivery[[#This Row],[Quantity delivered]]*60/Delivery[[#This Row],[Exchange rate VS USD]]</f>
        <v>6.9939673212324385</v>
      </c>
      <c r="AF779" s="204">
        <f>Delivery[[#This Row],[BEN premium (total)]]/Delivery[[#This Row],[Quantity delivered]]*60/Delivery[[#This Row],[Exchange rate for premiums VS USD]]</f>
        <v>0</v>
      </c>
      <c r="AG779" s="204">
        <f>COUNTIF(Delivery[Delivery ID],Delivery[[#This Row],[Delivery ID]])</f>
        <v>1</v>
      </c>
      <c r="AH779" s="204">
        <f>(Delivery[[#This Row],[Nespresso total]]/SUMIF(Allocation!C:C,Delivery[Delivery ID],Allocation!H:H))/Delivery[[#This Row],[Exchange rate VS USD]]</f>
        <v>9.31194078441988</v>
      </c>
      <c r="AI779" s="204">
        <f>(Delivery[[#This Row],[AAA Premium (total)]]/SUMIF(Allocation!C:C,Delivery[Delivery ID],Allocation!H:H))/Delivery[[#This Row],[Exchange rate VS USD]]</f>
        <v>0.57492665725343295</v>
      </c>
      <c r="AJ779" s="204">
        <f>Delivery[[#This Row],[Valor Prêmio Nespresso AAA por Kg (em US$)]]*60</f>
        <v>34.495599435205975</v>
      </c>
      <c r="AK779" s="204">
        <f>Delivery[[#This Row],[Valor Prêmio Nespresso AAA por saca (em US$)]]/1.3228/100</f>
        <v>0.26077713513158435</v>
      </c>
      <c r="AL779" s="204">
        <f>(Delivery[[#This Row],[BEN premium (total)]]/SUMIF(Allocation!C:C,Delivery[Delivery ID],Allocation!H:H))/Delivery[[#This Row],[Exchange rate for premiums VS USD]]</f>
        <v>0</v>
      </c>
      <c r="AM779" s="204">
        <f>Delivery[[#This Row],[Valor Prêmio Nespresso BEN por Kg (em US$)]]*60</f>
        <v>0</v>
      </c>
      <c r="AN779" s="204">
        <f>Delivery[[#This Row],[Valor Prêmio Nespresso BEN por saca (em US$)]]/1.3228/100</f>
        <v>0</v>
      </c>
      <c r="AO779" s="204">
        <f>SUMIF(Allocation[Delivery ID],Delivery[[#This Row],[Delivery ID]],Allocation[Quantity allocated])*16*1.3228*Delivery[[#This Row],[Exchange rate VS USD]]/60</f>
        <v>9257.4496563200009</v>
      </c>
      <c r="AP779" s="204">
        <f>Delivery[[#This Row],[AAA Premium (total)]]</f>
        <v>15088.32</v>
      </c>
      <c r="AQ779" s="204">
        <f>Delivery[[#This Row],[Valor pago pelo Cluster]]-Delivery[[#This Row],[Valor efetivamente pago pela Nespresso]]</f>
        <v>5830.8703436799988</v>
      </c>
    </row>
    <row r="780" spans="1:43" ht="15.75">
      <c r="A780" s="174" t="s">
        <v>69</v>
      </c>
      <c r="B780" s="232" t="s">
        <v>68</v>
      </c>
      <c r="C780" s="157">
        <v>1</v>
      </c>
      <c r="D780" s="157" t="s">
        <v>468</v>
      </c>
      <c r="E780" s="177" t="s">
        <v>468</v>
      </c>
      <c r="F780" s="233" t="s">
        <v>543</v>
      </c>
      <c r="G780" s="234">
        <v>43300</v>
      </c>
      <c r="H780" s="157" t="s">
        <v>926</v>
      </c>
      <c r="I780" s="157" t="s">
        <v>927</v>
      </c>
      <c r="J780" s="237">
        <v>31170</v>
      </c>
      <c r="K780" s="175" t="s">
        <v>61</v>
      </c>
      <c r="L780" s="175" t="s">
        <v>439</v>
      </c>
      <c r="M780" s="175" t="s">
        <v>1343</v>
      </c>
      <c r="N780" s="198"/>
      <c r="O780" s="199"/>
      <c r="P780" s="181">
        <v>0</v>
      </c>
      <c r="Q780" s="177">
        <v>43237</v>
      </c>
      <c r="R780" s="178">
        <v>460.84499716758728</v>
      </c>
      <c r="S780" s="179">
        <v>239083.5997096943</v>
      </c>
      <c r="T780" s="182" t="s">
        <v>45</v>
      </c>
      <c r="U780" s="183">
        <v>3.7239999771118164</v>
      </c>
      <c r="V780" s="179">
        <v>13542.32591676712</v>
      </c>
      <c r="W780" s="179">
        <v>4234.2701451528301</v>
      </c>
      <c r="X780" s="196" t="s">
        <v>45</v>
      </c>
      <c r="Y780" s="200">
        <v>3.7239999771118164</v>
      </c>
      <c r="Z780" s="220" t="s">
        <v>473</v>
      </c>
      <c r="AA780" s="201">
        <f>Delivery[[#This Row],[Quantity delivered]]*VLOOKUP(Delivery[[#This Row],[Unit]],References!$U:$X,4,FALSE)*VLOOKUP(CONCATENATE(Delivery[[#This Row],[Coffee specie]],Delivery[[#This Row],[Coffee state]]),References!$U:$X,4,FALSE)</f>
        <v>31170</v>
      </c>
      <c r="AB780" s="202">
        <f>SUMIF(Allocation!C:C,Delivery[[#This Row],[Delivery ID]],Allocation!D:D)/Delivery[[#This Row],[Quantity delivered]]</f>
        <v>1.7196021815848572E-2</v>
      </c>
      <c r="AC780" s="203">
        <f>Delivery[[#This Row],[Quantity delivered]]*Delivery[[#This Row],[Base price (Unidad)]]/60</f>
        <v>239408.97602856159</v>
      </c>
      <c r="AD780" s="204">
        <f>Delivery[[#This Row],[Nespresso total]]-Delivery[[#This Row],[Qt. Delivery * Base Price]]</f>
        <v>-325.37631886728923</v>
      </c>
      <c r="AE780" s="204">
        <f>Delivery[[#This Row],[AAA Premium (total)]]/Delivery[[#This Row],[Quantity delivered]]*60/Delivery[[#This Row],[Exchange rate VS USD]]</f>
        <v>7</v>
      </c>
      <c r="AF780" s="204">
        <f>Delivery[[#This Row],[BEN premium (total)]]/Delivery[[#This Row],[Quantity delivered]]*60/Delivery[[#This Row],[Exchange rate for premiums VS USD]]</f>
        <v>2.1886854000000002</v>
      </c>
      <c r="AG780" s="204">
        <f>COUNTIF(Delivery[Delivery ID],Delivery[[#This Row],[Delivery ID]])</f>
        <v>1</v>
      </c>
      <c r="AH780" s="204">
        <f>(Delivery[[#This Row],[Nespresso total]]/SUMIF(Allocation!C:C,Delivery[Delivery ID],Allocation!H:H))/Delivery[[#This Row],[Exchange rate VS USD]]</f>
        <v>362.71611410355933</v>
      </c>
      <c r="AI780" s="204">
        <f>(Delivery[[#This Row],[AAA Premium (total)]]/SUMIF(Allocation!C:C,Delivery[Delivery ID],Allocation!H:H))/Delivery[[#This Row],[Exchange rate VS USD]]</f>
        <v>20.545197740112993</v>
      </c>
      <c r="AJ780" s="204">
        <f>Delivery[[#This Row],[Valor Prêmio Nespresso AAA por Kg (em US$)]]*60</f>
        <v>1232.7118644067796</v>
      </c>
      <c r="AK780" s="204">
        <f>Delivery[[#This Row],[Valor Prêmio Nespresso AAA por saca (em US$)]]/1.3228/100</f>
        <v>9.3189587572329877</v>
      </c>
      <c r="AL780" s="204">
        <f>(Delivery[[#This Row],[BEN premium (total)]]/SUMIF(Allocation!C:C,Delivery[Delivery ID],Allocation!H:H))/Delivery[[#This Row],[Exchange rate for premiums VS USD]]</f>
        <v>6.4238534762711863</v>
      </c>
      <c r="AM780" s="204">
        <f>Delivery[[#This Row],[Valor Prêmio Nespresso BEN por Kg (em US$)]]*60</f>
        <v>385.43120857627116</v>
      </c>
      <c r="AN780" s="204">
        <f>Delivery[[#This Row],[Valor Prêmio Nespresso BEN por saca (em US$)]]/1.3228/100</f>
        <v>2.9137527107368548</v>
      </c>
      <c r="AO780" s="204">
        <f>SUMIF(Allocation[Delivery ID],Delivery[[#This Row],[Delivery ID]],Allocation[Quantity allocated])*16*1.3228*Delivery[[#This Row],[Exchange rate VS USD]]/60</f>
        <v>232.51225841094967</v>
      </c>
      <c r="AP780" s="204">
        <f>Delivery[[#This Row],[AAA Premium (total)]]</f>
        <v>13542.32591676712</v>
      </c>
      <c r="AQ780" s="204">
        <f>Delivery[[#This Row],[Valor pago pelo Cluster]]-Delivery[[#This Row],[Valor efetivamente pago pela Nespresso]]</f>
        <v>13309.81365835617</v>
      </c>
    </row>
    <row r="781" spans="1:43" ht="15.75">
      <c r="A781" s="174" t="s">
        <v>69</v>
      </c>
      <c r="B781" s="232" t="s">
        <v>68</v>
      </c>
      <c r="C781" s="157">
        <v>1</v>
      </c>
      <c r="D781" s="157" t="s">
        <v>468</v>
      </c>
      <c r="E781" s="177" t="s">
        <v>468</v>
      </c>
      <c r="F781" s="233" t="s">
        <v>543</v>
      </c>
      <c r="G781" s="234">
        <v>43300</v>
      </c>
      <c r="H781" s="157" t="s">
        <v>928</v>
      </c>
      <c r="I781" s="157" t="s">
        <v>927</v>
      </c>
      <c r="J781" s="237">
        <v>31180</v>
      </c>
      <c r="K781" s="175" t="s">
        <v>61</v>
      </c>
      <c r="L781" s="175" t="s">
        <v>439</v>
      </c>
      <c r="M781" s="175" t="s">
        <v>1343</v>
      </c>
      <c r="N781" s="198"/>
      <c r="O781" s="199"/>
      <c r="P781" s="181">
        <v>0</v>
      </c>
      <c r="Q781" s="177">
        <v>43237</v>
      </c>
      <c r="R781" s="178">
        <v>460.84499716758728</v>
      </c>
      <c r="S781" s="179">
        <v>239160.30282156781</v>
      </c>
      <c r="T781" s="182" t="s">
        <v>45</v>
      </c>
      <c r="U781" s="183">
        <v>3.7239999771118164</v>
      </c>
      <c r="V781" s="179">
        <v>13546.670583407084</v>
      </c>
      <c r="W781" s="179">
        <v>4235.6285892160813</v>
      </c>
      <c r="X781" s="196" t="s">
        <v>45</v>
      </c>
      <c r="Y781" s="200">
        <v>3.7239999771118164</v>
      </c>
      <c r="Z781" s="220" t="s">
        <v>473</v>
      </c>
      <c r="AA781" s="201">
        <f>Delivery[[#This Row],[Quantity delivered]]*VLOOKUP(Delivery[[#This Row],[Unit]],References!$U:$X,4,FALSE)*VLOOKUP(CONCATENATE(Delivery[[#This Row],[Coffee specie]],Delivery[[#This Row],[Coffee state]]),References!$U:$X,4,FALSE)</f>
        <v>31180</v>
      </c>
      <c r="AB781" s="202">
        <f>SUMIF(Allocation!C:C,Delivery[[#This Row],[Delivery ID]],Allocation!D:D)/Delivery[[#This Row],[Quantity delivered]]</f>
        <v>1.7190506735086594E-2</v>
      </c>
      <c r="AC781" s="203">
        <f>Delivery[[#This Row],[Quantity delivered]]*Delivery[[#This Row],[Base price (Unidad)]]/60</f>
        <v>239485.78352808952</v>
      </c>
      <c r="AD781" s="204">
        <f>Delivery[[#This Row],[Nespresso total]]-Delivery[[#This Row],[Qt. Delivery * Base Price]]</f>
        <v>-325.48070652171737</v>
      </c>
      <c r="AE781" s="204">
        <f>Delivery[[#This Row],[AAA Premium (total)]]/Delivery[[#This Row],[Quantity delivered]]*60/Delivery[[#This Row],[Exchange rate VS USD]]</f>
        <v>7</v>
      </c>
      <c r="AF781" s="204">
        <f>Delivery[[#This Row],[BEN premium (total)]]/Delivery[[#This Row],[Quantity delivered]]*60/Delivery[[#This Row],[Exchange rate for premiums VS USD]]</f>
        <v>2.1886854000000002</v>
      </c>
      <c r="AG781" s="204">
        <f>COUNTIF(Delivery[Delivery ID],Delivery[[#This Row],[Delivery ID]])</f>
        <v>1</v>
      </c>
      <c r="AH781" s="204">
        <f>(Delivery[[#This Row],[Nespresso total]]/SUMIF(Allocation!C:C,Delivery[Delivery ID],Allocation!H:H))/Delivery[[#This Row],[Exchange rate VS USD]]</f>
        <v>362.83248115973623</v>
      </c>
      <c r="AI781" s="204">
        <f>(Delivery[[#This Row],[AAA Premium (total)]]/SUMIF(Allocation!C:C,Delivery[Delivery ID],Allocation!H:H))/Delivery[[#This Row],[Exchange rate VS USD]]</f>
        <v>20.551789077212806</v>
      </c>
      <c r="AJ781" s="204">
        <f>Delivery[[#This Row],[Valor Prêmio Nespresso AAA por Kg (em US$)]]*60</f>
        <v>1233.1073446327684</v>
      </c>
      <c r="AK781" s="204">
        <f>Delivery[[#This Row],[Valor Prêmio Nespresso AAA por saca (em US$)]]/1.3228/100</f>
        <v>9.3219484777197508</v>
      </c>
      <c r="AL781" s="204">
        <f>(Delivery[[#This Row],[BEN premium (total)]]/SUMIF(Allocation!C:C,Delivery[Delivery ID],Allocation!H:H))/Delivery[[#This Row],[Exchange rate for premiums VS USD]]</f>
        <v>6.425914385310735</v>
      </c>
      <c r="AM781" s="204">
        <f>Delivery[[#This Row],[Valor Prêmio Nespresso BEN por Kg (em US$)]]*60</f>
        <v>385.55486311864411</v>
      </c>
      <c r="AN781" s="204">
        <f>Delivery[[#This Row],[Valor Prêmio Nespresso BEN por saca (em US$)]]/1.3228/100</f>
        <v>2.9146875046767775</v>
      </c>
      <c r="AO781" s="204">
        <f>SUMIF(Allocation[Delivery ID],Delivery[[#This Row],[Delivery ID]],Allocation[Quantity allocated])*16*1.3228*Delivery[[#This Row],[Exchange rate VS USD]]/60</f>
        <v>232.51225841094967</v>
      </c>
      <c r="AP781" s="204">
        <f>Delivery[[#This Row],[AAA Premium (total)]]</f>
        <v>13546.670583407084</v>
      </c>
      <c r="AQ781" s="204">
        <f>Delivery[[#This Row],[Valor pago pelo Cluster]]-Delivery[[#This Row],[Valor efetivamente pago pela Nespresso]]</f>
        <v>13314.158324996133</v>
      </c>
    </row>
    <row r="782" spans="1:43" ht="15.75">
      <c r="A782" s="174" t="s">
        <v>69</v>
      </c>
      <c r="B782" s="232" t="s">
        <v>68</v>
      </c>
      <c r="C782" s="157">
        <v>1</v>
      </c>
      <c r="D782" s="157" t="s">
        <v>468</v>
      </c>
      <c r="E782" s="177" t="s">
        <v>468</v>
      </c>
      <c r="F782" s="233" t="s">
        <v>543</v>
      </c>
      <c r="G782" s="234">
        <v>43300</v>
      </c>
      <c r="H782" s="157" t="s">
        <v>929</v>
      </c>
      <c r="I782" s="157" t="s">
        <v>927</v>
      </c>
      <c r="J782" s="237">
        <v>31200</v>
      </c>
      <c r="K782" s="175" t="s">
        <v>61</v>
      </c>
      <c r="L782" s="175" t="s">
        <v>439</v>
      </c>
      <c r="M782" s="175" t="s">
        <v>1343</v>
      </c>
      <c r="N782" s="198"/>
      <c r="O782" s="199"/>
      <c r="P782" s="181">
        <v>0</v>
      </c>
      <c r="Q782" s="177">
        <v>43237</v>
      </c>
      <c r="R782" s="178">
        <v>460.84499716758728</v>
      </c>
      <c r="S782" s="179">
        <v>239313.70904531481</v>
      </c>
      <c r="T782" s="182" t="s">
        <v>45</v>
      </c>
      <c r="U782" s="183">
        <v>3.7239999771118164</v>
      </c>
      <c r="V782" s="179">
        <v>13555.359916687012</v>
      </c>
      <c r="W782" s="179">
        <v>4238.3454773425829</v>
      </c>
      <c r="X782" s="196" t="s">
        <v>45</v>
      </c>
      <c r="Y782" s="200">
        <v>3.7239999771118164</v>
      </c>
      <c r="Z782" s="220" t="s">
        <v>473</v>
      </c>
      <c r="AA782" s="201">
        <f>Delivery[[#This Row],[Quantity delivered]]*VLOOKUP(Delivery[[#This Row],[Unit]],References!$U:$X,4,FALSE)*VLOOKUP(CONCATENATE(Delivery[[#This Row],[Coffee specie]],Delivery[[#This Row],[Coffee state]]),References!$U:$X,4,FALSE)</f>
        <v>31200</v>
      </c>
      <c r="AB782" s="202">
        <f>SUMIF(Allocation!C:C,Delivery[[#This Row],[Delivery ID]],Allocation!D:D)/Delivery[[#This Row],[Quantity delivered]]</f>
        <v>1.7179487179487179E-2</v>
      </c>
      <c r="AC782" s="203">
        <f>Delivery[[#This Row],[Quantity delivered]]*Delivery[[#This Row],[Base price (Unidad)]]/60</f>
        <v>239639.39852714539</v>
      </c>
      <c r="AD782" s="204">
        <f>Delivery[[#This Row],[Nespresso total]]-Delivery[[#This Row],[Qt. Delivery * Base Price]]</f>
        <v>-325.68948183057364</v>
      </c>
      <c r="AE782" s="204">
        <f>Delivery[[#This Row],[AAA Premium (total)]]/Delivery[[#This Row],[Quantity delivered]]*60/Delivery[[#This Row],[Exchange rate VS USD]]</f>
        <v>7</v>
      </c>
      <c r="AF782" s="204">
        <f>Delivery[[#This Row],[BEN premium (total)]]/Delivery[[#This Row],[Quantity delivered]]*60/Delivery[[#This Row],[Exchange rate for premiums VS USD]]</f>
        <v>2.1886854000000002</v>
      </c>
      <c r="AG782" s="204">
        <f>COUNTIF(Delivery[Delivery ID],Delivery[[#This Row],[Delivery ID]])</f>
        <v>1</v>
      </c>
      <c r="AH782" s="204">
        <f>(Delivery[[#This Row],[Nespresso total]]/SUMIF(Allocation!C:C,Delivery[Delivery ID],Allocation!H:H))/Delivery[[#This Row],[Exchange rate VS USD]]</f>
        <v>363.0652152720902</v>
      </c>
      <c r="AI782" s="204">
        <f>(Delivery[[#This Row],[AAA Premium (total)]]/SUMIF(Allocation!C:C,Delivery[Delivery ID],Allocation!H:H))/Delivery[[#This Row],[Exchange rate VS USD]]</f>
        <v>20.564971751412429</v>
      </c>
      <c r="AJ782" s="204">
        <f>Delivery[[#This Row],[Valor Prêmio Nespresso AAA por Kg (em US$)]]*60</f>
        <v>1233.8983050847457</v>
      </c>
      <c r="AK782" s="204">
        <f>Delivery[[#This Row],[Valor Prêmio Nespresso AAA por saca (em US$)]]/1.3228/100</f>
        <v>9.3279279186932698</v>
      </c>
      <c r="AL782" s="204">
        <f>(Delivery[[#This Row],[BEN premium (total)]]/SUMIF(Allocation!C:C,Delivery[Delivery ID],Allocation!H:H))/Delivery[[#This Row],[Exchange rate for premiums VS USD]]</f>
        <v>6.4300362033898306</v>
      </c>
      <c r="AM782" s="204">
        <f>Delivery[[#This Row],[Valor Prêmio Nespresso BEN por Kg (em US$)]]*60</f>
        <v>385.80217220338983</v>
      </c>
      <c r="AN782" s="204">
        <f>Delivery[[#This Row],[Valor Prêmio Nespresso BEN por saca (em US$)]]/1.3228/100</f>
        <v>2.9165570925566211</v>
      </c>
      <c r="AO782" s="204">
        <f>SUMIF(Allocation[Delivery ID],Delivery[[#This Row],[Delivery ID]],Allocation[Quantity allocated])*16*1.3228*Delivery[[#This Row],[Exchange rate VS USD]]/60</f>
        <v>232.51225841094967</v>
      </c>
      <c r="AP782" s="204">
        <f>Delivery[[#This Row],[AAA Premium (total)]]</f>
        <v>13555.359916687012</v>
      </c>
      <c r="AQ782" s="204">
        <f>Delivery[[#This Row],[Valor pago pelo Cluster]]-Delivery[[#This Row],[Valor efetivamente pago pela Nespresso]]</f>
        <v>13322.847658276061</v>
      </c>
    </row>
    <row r="783" spans="1:43" ht="15.75">
      <c r="A783" s="174" t="s">
        <v>69</v>
      </c>
      <c r="B783" s="232" t="s">
        <v>68</v>
      </c>
      <c r="C783" s="157">
        <v>1</v>
      </c>
      <c r="D783" s="157" t="s">
        <v>468</v>
      </c>
      <c r="E783" s="177" t="s">
        <v>468</v>
      </c>
      <c r="F783" s="233" t="s">
        <v>543</v>
      </c>
      <c r="G783" s="234">
        <v>43300</v>
      </c>
      <c r="H783" s="157" t="s">
        <v>930</v>
      </c>
      <c r="I783" s="157" t="s">
        <v>927</v>
      </c>
      <c r="J783" s="237">
        <v>31100</v>
      </c>
      <c r="K783" s="175" t="s">
        <v>61</v>
      </c>
      <c r="L783" s="175" t="s">
        <v>439</v>
      </c>
      <c r="M783" s="175" t="s">
        <v>1343</v>
      </c>
      <c r="N783" s="198"/>
      <c r="O783" s="199"/>
      <c r="P783" s="181">
        <v>0</v>
      </c>
      <c r="Q783" s="177">
        <v>43237</v>
      </c>
      <c r="R783" s="178">
        <v>460.84499716758728</v>
      </c>
      <c r="S783" s="179">
        <v>238546.67792657981</v>
      </c>
      <c r="T783" s="182" t="s">
        <v>45</v>
      </c>
      <c r="U783" s="183">
        <v>3.7239999771118164</v>
      </c>
      <c r="V783" s="179">
        <v>13511.913250287373</v>
      </c>
      <c r="W783" s="179">
        <v>4224.7610367100742</v>
      </c>
      <c r="X783" s="196" t="s">
        <v>45</v>
      </c>
      <c r="Y783" s="200">
        <v>3.7239999771118164</v>
      </c>
      <c r="Z783" s="220" t="s">
        <v>473</v>
      </c>
      <c r="AA783" s="201">
        <f>Delivery[[#This Row],[Quantity delivered]]*VLOOKUP(Delivery[[#This Row],[Unit]],References!$U:$X,4,FALSE)*VLOOKUP(CONCATENATE(Delivery[[#This Row],[Coffee specie]],Delivery[[#This Row],[Coffee state]]),References!$U:$X,4,FALSE)</f>
        <v>31100</v>
      </c>
      <c r="AB783" s="202">
        <f>SUMIF(Allocation!C:C,Delivery[[#This Row],[Delivery ID]],Allocation!D:D)/Delivery[[#This Row],[Quantity delivered]]</f>
        <v>1.7234726688102893E-2</v>
      </c>
      <c r="AC783" s="203">
        <f>Delivery[[#This Row],[Quantity delivered]]*Delivery[[#This Row],[Base price (Unidad)]]/60</f>
        <v>238871.32353186607</v>
      </c>
      <c r="AD783" s="204">
        <f>Delivery[[#This Row],[Nespresso total]]-Delivery[[#This Row],[Qt. Delivery * Base Price]]</f>
        <v>-324.64560528626316</v>
      </c>
      <c r="AE783" s="204">
        <f>Delivery[[#This Row],[AAA Premium (total)]]/Delivery[[#This Row],[Quantity delivered]]*60/Delivery[[#This Row],[Exchange rate VS USD]]</f>
        <v>7</v>
      </c>
      <c r="AF783" s="204">
        <f>Delivery[[#This Row],[BEN premium (total)]]/Delivery[[#This Row],[Quantity delivered]]*60/Delivery[[#This Row],[Exchange rate for premiums VS USD]]</f>
        <v>2.1886854000000002</v>
      </c>
      <c r="AG783" s="204">
        <f>COUNTIF(Delivery[Delivery ID],Delivery[[#This Row],[Delivery ID]])</f>
        <v>1</v>
      </c>
      <c r="AH783" s="204">
        <f>(Delivery[[#This Row],[Nespresso total]]/SUMIF(Allocation!C:C,Delivery[Delivery ID],Allocation!H:H))/Delivery[[#This Row],[Exchange rate VS USD]]</f>
        <v>361.90154471032065</v>
      </c>
      <c r="AI783" s="204">
        <f>(Delivery[[#This Row],[AAA Premium (total)]]/SUMIF(Allocation!C:C,Delivery[Delivery ID],Allocation!H:H))/Delivery[[#This Row],[Exchange rate VS USD]]</f>
        <v>20.499058380414311</v>
      </c>
      <c r="AJ783" s="204">
        <f>Delivery[[#This Row],[Valor Prêmio Nespresso AAA por Kg (em US$)]]*60</f>
        <v>1229.9435028248586</v>
      </c>
      <c r="AK783" s="204">
        <f>Delivery[[#This Row],[Valor Prêmio Nespresso AAA por saca (em US$)]]/1.3228/100</f>
        <v>9.2980307138256624</v>
      </c>
      <c r="AL783" s="204">
        <f>(Delivery[[#This Row],[BEN premium (total)]]/SUMIF(Allocation!C:C,Delivery[Delivery ID],Allocation!H:H))/Delivery[[#This Row],[Exchange rate for premiums VS USD]]</f>
        <v>6.4094271129943499</v>
      </c>
      <c r="AM783" s="204">
        <f>Delivery[[#This Row],[Valor Prêmio Nespresso BEN por Kg (em US$)]]*60</f>
        <v>384.56562677966099</v>
      </c>
      <c r="AN783" s="204">
        <f>Delivery[[#This Row],[Valor Prêmio Nespresso BEN por saca (em US$)]]/1.3228/100</f>
        <v>2.9072091531574014</v>
      </c>
      <c r="AO783" s="204">
        <f>SUMIF(Allocation[Delivery ID],Delivery[[#This Row],[Delivery ID]],Allocation[Quantity allocated])*16*1.3228*Delivery[[#This Row],[Exchange rate VS USD]]/60</f>
        <v>232.51225841094967</v>
      </c>
      <c r="AP783" s="204">
        <f>Delivery[[#This Row],[AAA Premium (total)]]</f>
        <v>13511.913250287373</v>
      </c>
      <c r="AQ783" s="204">
        <f>Delivery[[#This Row],[Valor pago pelo Cluster]]-Delivery[[#This Row],[Valor efetivamente pago pela Nespresso]]</f>
        <v>13279.400991876422</v>
      </c>
    </row>
    <row r="784" spans="1:43" ht="15.75">
      <c r="A784" s="174" t="s">
        <v>69</v>
      </c>
      <c r="B784" s="232" t="s">
        <v>68</v>
      </c>
      <c r="C784" s="157">
        <v>1</v>
      </c>
      <c r="D784" s="157" t="s">
        <v>468</v>
      </c>
      <c r="E784" s="177" t="s">
        <v>468</v>
      </c>
      <c r="F784" s="233" t="s">
        <v>543</v>
      </c>
      <c r="G784" s="234">
        <v>43301</v>
      </c>
      <c r="H784" s="157" t="s">
        <v>931</v>
      </c>
      <c r="I784" s="157" t="s">
        <v>919</v>
      </c>
      <c r="J784" s="237">
        <v>31790</v>
      </c>
      <c r="K784" s="175" t="s">
        <v>61</v>
      </c>
      <c r="L784" s="175" t="s">
        <v>439</v>
      </c>
      <c r="M784" s="175" t="s">
        <v>1343</v>
      </c>
      <c r="N784" s="198"/>
      <c r="O784" s="199"/>
      <c r="P784" s="181">
        <v>0</v>
      </c>
      <c r="Q784" s="177">
        <v>42537</v>
      </c>
      <c r="R784" s="178">
        <v>646.55153051948582</v>
      </c>
      <c r="S784" s="179">
        <v>305301.33588069375</v>
      </c>
      <c r="T784" s="182" t="s">
        <v>45</v>
      </c>
      <c r="U784" s="183">
        <v>4.130000114440918</v>
      </c>
      <c r="V784" s="179">
        <v>15317.482091108959</v>
      </c>
      <c r="W784" s="179">
        <v>4789.3070596530924</v>
      </c>
      <c r="X784" s="196" t="s">
        <v>45</v>
      </c>
      <c r="Y784" s="200">
        <v>4.130000114440918</v>
      </c>
      <c r="Z784" s="220" t="s">
        <v>473</v>
      </c>
      <c r="AA784" s="201">
        <f>Delivery[[#This Row],[Quantity delivered]]*VLOOKUP(Delivery[[#This Row],[Unit]],References!$U:$X,4,FALSE)*VLOOKUP(CONCATENATE(Delivery[[#This Row],[Coffee specie]],Delivery[[#This Row],[Coffee state]]),References!$U:$X,4,FALSE)</f>
        <v>31790</v>
      </c>
      <c r="AB784" s="202">
        <f>SUMIF(Allocation!C:C,Delivery[[#This Row],[Delivery ID]],Allocation!D:D)/Delivery[[#This Row],[Quantity delivered]]</f>
        <v>3.1456432840515883E-5</v>
      </c>
      <c r="AC784" s="203">
        <f>Delivery[[#This Row],[Quantity delivered]]*Delivery[[#This Row],[Base price (Unidad)]]/60</f>
        <v>342564.55258690758</v>
      </c>
      <c r="AD784" s="204">
        <f>Delivery[[#This Row],[Nespresso total]]-Delivery[[#This Row],[Qt. Delivery * Base Price]]</f>
        <v>-37263.216706213832</v>
      </c>
      <c r="AE784" s="204">
        <f>Delivery[[#This Row],[AAA Premium (total)]]/Delivery[[#This Row],[Quantity delivered]]*60/Delivery[[#This Row],[Exchange rate VS USD]]</f>
        <v>7</v>
      </c>
      <c r="AF784" s="204">
        <f>Delivery[[#This Row],[BEN premium (total)]]/Delivery[[#This Row],[Quantity delivered]]*60/Delivery[[#This Row],[Exchange rate for premiums VS USD]]</f>
        <v>2.1886854000000002</v>
      </c>
      <c r="AG784" s="204">
        <f>COUNTIF(Delivery[Delivery ID],Delivery[[#This Row],[Delivery ID]])</f>
        <v>1</v>
      </c>
      <c r="AH784" s="204">
        <f>(Delivery[[#This Row],[Nespresso total]]/SUMIF(Allocation!C:C,Delivery[Delivery ID],Allocation!H:H))/Delivery[[#This Row],[Exchange rate VS USD]]</f>
        <v>224008.60475522498</v>
      </c>
      <c r="AI784" s="204">
        <f>(Delivery[[#This Row],[AAA Premium (total)]]/SUMIF(Allocation!C:C,Delivery[Delivery ID],Allocation!H:H))/Delivery[[#This Row],[Exchange rate VS USD]]</f>
        <v>11238.888888888891</v>
      </c>
      <c r="AJ784" s="204">
        <f>Delivery[[#This Row],[Valor Prêmio Nespresso AAA por Kg (em US$)]]*60</f>
        <v>674333.33333333349</v>
      </c>
      <c r="AK784" s="204">
        <f>Delivery[[#This Row],[Valor Prêmio Nespresso AAA por saca (em US$)]]/1.3228/100</f>
        <v>5097.7724019756088</v>
      </c>
      <c r="AL784" s="204">
        <f>(Delivery[[#This Row],[BEN premium (total)]]/SUMIF(Allocation!C:C,Delivery[Delivery ID],Allocation!H:H))/Delivery[[#This Row],[Exchange rate for premiums VS USD]]</f>
        <v>3514.0560033333331</v>
      </c>
      <c r="AM784" s="204">
        <f>Delivery[[#This Row],[Valor Prêmio Nespresso BEN por Kg (em US$)]]*60</f>
        <v>210843.3602</v>
      </c>
      <c r="AN784" s="204">
        <f>Delivery[[#This Row],[Valor Prêmio Nespresso BEN por saca (em US$)]]/1.3228/100</f>
        <v>1593.9171469609919</v>
      </c>
      <c r="AO784" s="204">
        <f>SUMIF(Allocation[Delivery ID],Delivery[[#This Row],[Delivery ID]],Allocation[Quantity allocated])*16*1.3228*Delivery[[#This Row],[Exchange rate VS USD]]/60</f>
        <v>0.48075844532165529</v>
      </c>
      <c r="AP784" s="204">
        <f>Delivery[[#This Row],[AAA Premium (total)]]</f>
        <v>15317.482091108959</v>
      </c>
      <c r="AQ784" s="204">
        <f>Delivery[[#This Row],[Valor pago pelo Cluster]]-Delivery[[#This Row],[Valor efetivamente pago pela Nespresso]]</f>
        <v>15317.001332663638</v>
      </c>
    </row>
    <row r="785" spans="1:43" ht="15.75">
      <c r="A785" s="174" t="s">
        <v>69</v>
      </c>
      <c r="B785" s="232" t="s">
        <v>68</v>
      </c>
      <c r="C785" s="157">
        <v>1</v>
      </c>
      <c r="D785" s="157" t="s">
        <v>468</v>
      </c>
      <c r="E785" s="177" t="s">
        <v>468</v>
      </c>
      <c r="F785" s="233" t="s">
        <v>543</v>
      </c>
      <c r="G785" s="234">
        <v>43301</v>
      </c>
      <c r="H785" s="157" t="s">
        <v>1295</v>
      </c>
      <c r="I785" s="157" t="s">
        <v>741</v>
      </c>
      <c r="J785" s="237">
        <v>29990</v>
      </c>
      <c r="K785" s="175" t="s">
        <v>61</v>
      </c>
      <c r="L785" s="175" t="s">
        <v>439</v>
      </c>
      <c r="M785" s="175" t="s">
        <v>1343</v>
      </c>
      <c r="N785" s="198"/>
      <c r="O785" s="199"/>
      <c r="P785" s="181">
        <v>0</v>
      </c>
      <c r="Q785" s="177">
        <v>43228</v>
      </c>
      <c r="R785" s="178">
        <v>459.553</v>
      </c>
      <c r="S785" s="179">
        <v>229466.57942409799</v>
      </c>
      <c r="T785" s="182" t="s">
        <v>45</v>
      </c>
      <c r="U785" s="183">
        <v>3.61</v>
      </c>
      <c r="V785" s="179">
        <v>12635</v>
      </c>
      <c r="W785" s="179">
        <v>3949.260287951</v>
      </c>
      <c r="X785" s="196" t="s">
        <v>45</v>
      </c>
      <c r="Y785" s="200">
        <v>3.61</v>
      </c>
      <c r="Z785" s="220" t="s">
        <v>473</v>
      </c>
      <c r="AA785" s="201">
        <f>Delivery[[#This Row],[Quantity delivered]]*VLOOKUP(Delivery[[#This Row],[Unit]],References!$U:$X,4,FALSE)*VLOOKUP(CONCATENATE(Delivery[[#This Row],[Coffee specie]],Delivery[[#This Row],[Coffee state]]),References!$U:$X,4,FALSE)</f>
        <v>29990</v>
      </c>
      <c r="AB785" s="202">
        <f>SUMIF(Allocation!C:C,Delivery[[#This Row],[Delivery ID]],Allocation!D:D)/Delivery[[#This Row],[Quantity delivered]]</f>
        <v>1</v>
      </c>
      <c r="AC785" s="203">
        <f>Delivery[[#This Row],[Quantity delivered]]*Delivery[[#This Row],[Base price (Unidad)]]/60</f>
        <v>229699.90783333333</v>
      </c>
      <c r="AD785" s="204">
        <f>Delivery[[#This Row],[Nespresso total]]-Delivery[[#This Row],[Qt. Delivery * Base Price]]</f>
        <v>-233.32840923534241</v>
      </c>
      <c r="AE785" s="204">
        <f>Delivery[[#This Row],[AAA Premium (total)]]/Delivery[[#This Row],[Quantity delivered]]*60/Delivery[[#This Row],[Exchange rate VS USD]]</f>
        <v>7.002334111370458</v>
      </c>
      <c r="AF785" s="204">
        <f>Delivery[[#This Row],[BEN premium (total)]]/Delivery[[#This Row],[Quantity delivered]]*60/Delivery[[#This Row],[Exchange rate for premiums VS USD]]</f>
        <v>2.1886854000000002</v>
      </c>
      <c r="AG785" s="204">
        <f>COUNTIF(Delivery[Delivery ID],Delivery[[#This Row],[Delivery ID]])</f>
        <v>1</v>
      </c>
      <c r="AH785" s="204">
        <f>(Delivery[[#This Row],[Nespresso total]]/SUMIF(Allocation!C:C,Delivery[Delivery ID],Allocation!H:H))/Delivery[[#This Row],[Exchange rate VS USD]]</f>
        <v>6.3374027342929109</v>
      </c>
      <c r="AI785" s="204">
        <f>(Delivery[[#This Row],[AAA Premium (total)]]/SUMIF(Allocation!C:C,Delivery[Delivery ID],Allocation!H:H))/Delivery[[#This Row],[Exchange rate VS USD]]</f>
        <v>0.34895314057826526</v>
      </c>
      <c r="AJ785" s="204">
        <f>Delivery[[#This Row],[Valor Prêmio Nespresso AAA por Kg (em US$)]]*60</f>
        <v>20.937188434695916</v>
      </c>
      <c r="AK785" s="204">
        <f>Delivery[[#This Row],[Valor Prêmio Nespresso AAA por saca (em US$)]]/1.3228/100</f>
        <v>0.15827931988732927</v>
      </c>
      <c r="AL785" s="204">
        <f>(Delivery[[#This Row],[BEN premium (total)]]/SUMIF(Allocation!C:C,Delivery[Delivery ID],Allocation!H:H))/Delivery[[#This Row],[Exchange rate for premiums VS USD]]</f>
        <v>0.10907058016949152</v>
      </c>
      <c r="AM785" s="204">
        <f>Delivery[[#This Row],[Valor Prêmio Nespresso BEN por Kg (em US$)]]*60</f>
        <v>6.5442348101694909</v>
      </c>
      <c r="AN785" s="204">
        <f>Delivery[[#This Row],[Valor Prêmio Nespresso BEN por saca (em US$)]]/1.3228/100</f>
        <v>4.9472594573401051E-2</v>
      </c>
      <c r="AO785" s="204">
        <f>SUMIF(Allocation[Delivery ID],Delivery[[#This Row],[Delivery ID]],Allocation[Quantity allocated])*16*1.3228*Delivery[[#This Row],[Exchange rate VS USD]]/60</f>
        <v>12772.357130666665</v>
      </c>
      <c r="AP785" s="204">
        <f>Delivery[[#This Row],[AAA Premium (total)]]</f>
        <v>12635</v>
      </c>
      <c r="AQ785" s="204">
        <f>Delivery[[#This Row],[Valor pago pelo Cluster]]-Delivery[[#This Row],[Valor efetivamente pago pela Nespresso]]</f>
        <v>-137.3571306666654</v>
      </c>
    </row>
    <row r="786" spans="1:43" ht="15.75">
      <c r="A786" s="174" t="s">
        <v>69</v>
      </c>
      <c r="B786" s="232" t="s">
        <v>68</v>
      </c>
      <c r="C786" s="157" t="s">
        <v>1344</v>
      </c>
      <c r="D786" s="157" t="s">
        <v>468</v>
      </c>
      <c r="E786" s="177" t="s">
        <v>468</v>
      </c>
      <c r="F786" s="233" t="s">
        <v>543</v>
      </c>
      <c r="G786" s="234">
        <v>43301</v>
      </c>
      <c r="H786" s="157" t="s">
        <v>1613</v>
      </c>
      <c r="I786" s="157" t="s">
        <v>935</v>
      </c>
      <c r="J786" s="237">
        <v>35335.5</v>
      </c>
      <c r="K786" s="175" t="s">
        <v>61</v>
      </c>
      <c r="L786" s="175" t="s">
        <v>439</v>
      </c>
      <c r="M786" s="175" t="s">
        <v>1343</v>
      </c>
      <c r="N786" s="198"/>
      <c r="O786" s="199"/>
      <c r="P786" s="181">
        <v>0</v>
      </c>
      <c r="Q786" s="177">
        <v>43300</v>
      </c>
      <c r="R786" s="178">
        <v>418.71675999999997</v>
      </c>
      <c r="S786" s="179">
        <v>249465.06</v>
      </c>
      <c r="T786" s="182" t="s">
        <v>45</v>
      </c>
      <c r="U786" s="183">
        <v>3.8841999999999999</v>
      </c>
      <c r="V786" s="179">
        <v>22876.76</v>
      </c>
      <c r="W786" s="179">
        <v>0</v>
      </c>
      <c r="X786" s="196" t="s">
        <v>45</v>
      </c>
      <c r="Y786" s="200">
        <v>3.8841999999999999</v>
      </c>
      <c r="Z786" s="220"/>
      <c r="AA786" s="201">
        <f>Delivery[[#This Row],[Quantity delivered]]*VLOOKUP(Delivery[[#This Row],[Unit]],References!$U:$X,4,FALSE)*VLOOKUP(CONCATENATE(Delivery[[#This Row],[Coffee specie]],Delivery[[#This Row],[Coffee state]]),References!$U:$X,4,FALSE)</f>
        <v>35335.5</v>
      </c>
      <c r="AB786" s="202">
        <f>SUMIF(Allocation!C:C,Delivery[[#This Row],[Delivery ID]],Allocation!D:D)/Delivery[[#This Row],[Quantity delivered]]</f>
        <v>0.48381938843372813</v>
      </c>
      <c r="AC786" s="203">
        <f>Delivery[[#This Row],[Quantity delivered]]*Delivery[[#This Row],[Base price (Unidad)]]/60</f>
        <v>246592.76788299996</v>
      </c>
      <c r="AD786" s="204">
        <f>Delivery[[#This Row],[Nespresso total]]-Delivery[[#This Row],[Qt. Delivery * Base Price]]</f>
        <v>2872.2921170000336</v>
      </c>
      <c r="AE786" s="204">
        <f>Delivery[[#This Row],[AAA Premium (total)]]/Delivery[[#This Row],[Quantity delivered]]*60/Delivery[[#This Row],[Exchange rate VS USD]]</f>
        <v>10.000758534695098</v>
      </c>
      <c r="AF786" s="204">
        <f>Delivery[[#This Row],[BEN premium (total)]]/Delivery[[#This Row],[Quantity delivered]]*60/Delivery[[#This Row],[Exchange rate for premiums VS USD]]</f>
        <v>0</v>
      </c>
      <c r="AG786" s="204">
        <f>COUNTIF(Delivery[Delivery ID],Delivery[[#This Row],[Delivery ID]])</f>
        <v>1</v>
      </c>
      <c r="AH786" s="204">
        <f>(Delivery[[#This Row],[Nespresso total]]/SUMIF(Allocation!C:C,Delivery[Delivery ID],Allocation!H:H))/Delivery[[#This Row],[Exchange rate VS USD]]</f>
        <v>7.5135231638190474</v>
      </c>
      <c r="AI786" s="204">
        <f>(Delivery[[#This Row],[AAA Premium (total)]]/SUMIF(Allocation!C:C,Delivery[Delivery ID],Allocation!H:H))/Delivery[[#This Row],[Exchange rate VS USD]]</f>
        <v>0.68901459055279723</v>
      </c>
      <c r="AJ786" s="204">
        <f>Delivery[[#This Row],[Valor Prêmio Nespresso AAA por Kg (em US$)]]*60</f>
        <v>41.340875433167831</v>
      </c>
      <c r="AK786" s="204">
        <f>Delivery[[#This Row],[Valor Prêmio Nespresso AAA por saca (em US$)]]/1.3228/100</f>
        <v>0.31252551733571088</v>
      </c>
      <c r="AL786" s="204">
        <f>(Delivery[[#This Row],[BEN premium (total)]]/SUMIF(Allocation!C:C,Delivery[Delivery ID],Allocation!H:H))/Delivery[[#This Row],[Exchange rate for premiums VS USD]]</f>
        <v>0</v>
      </c>
      <c r="AM786" s="204">
        <f>Delivery[[#This Row],[Valor Prêmio Nespresso BEN por Kg (em US$)]]*60</f>
        <v>0</v>
      </c>
      <c r="AN786" s="204">
        <f>Delivery[[#This Row],[Valor Prêmio Nespresso BEN por saca (em US$)]]/1.3228/100</f>
        <v>0</v>
      </c>
      <c r="AO786" s="204">
        <f>SUMIF(Allocation[Delivery ID],Delivery[[#This Row],[Delivery ID]],Allocation[Quantity allocated])*16*1.3228*Delivery[[#This Row],[Exchange rate VS USD]]/60</f>
        <v>11711.944775594666</v>
      </c>
      <c r="AP786" s="204">
        <f>Delivery[[#This Row],[AAA Premium (total)]]</f>
        <v>22876.76</v>
      </c>
      <c r="AQ786" s="204">
        <f>Delivery[[#This Row],[Valor pago pelo Cluster]]-Delivery[[#This Row],[Valor efetivamente pago pela Nespresso]]</f>
        <v>11164.815224405333</v>
      </c>
    </row>
    <row r="787" spans="1:43" ht="15.75">
      <c r="A787" s="174" t="s">
        <v>69</v>
      </c>
      <c r="B787" s="232" t="s">
        <v>68</v>
      </c>
      <c r="C787" s="157">
        <v>1</v>
      </c>
      <c r="D787" s="157" t="s">
        <v>468</v>
      </c>
      <c r="E787" s="177" t="s">
        <v>468</v>
      </c>
      <c r="F787" s="233" t="s">
        <v>543</v>
      </c>
      <c r="G787" s="234">
        <v>43300</v>
      </c>
      <c r="H787" s="235" t="s">
        <v>2029</v>
      </c>
      <c r="I787" s="236" t="s">
        <v>1086</v>
      </c>
      <c r="J787" s="237">
        <v>35970</v>
      </c>
      <c r="K787" s="175" t="s">
        <v>61</v>
      </c>
      <c r="L787" s="175" t="s">
        <v>439</v>
      </c>
      <c r="M787" s="175" t="s">
        <v>1343</v>
      </c>
      <c r="N787" s="198"/>
      <c r="O787" s="199"/>
      <c r="P787" s="181">
        <v>0</v>
      </c>
      <c r="Q787" s="177">
        <v>43297</v>
      </c>
      <c r="R787" s="178">
        <v>426.21583999999996</v>
      </c>
      <c r="S787" s="179">
        <v>250764</v>
      </c>
      <c r="T787" s="182" t="s">
        <v>45</v>
      </c>
      <c r="U787" s="183">
        <v>3.8624000000000001</v>
      </c>
      <c r="V787" s="179">
        <v>16236</v>
      </c>
      <c r="W787" s="179">
        <v>0</v>
      </c>
      <c r="X787" s="196" t="s">
        <v>45</v>
      </c>
      <c r="Y787" s="200">
        <v>3.8624000000000001</v>
      </c>
      <c r="Z787" s="220"/>
      <c r="AA787" s="201">
        <f>Delivery[[#This Row],[Quantity delivered]]*VLOOKUP(Delivery[[#This Row],[Unit]],References!$U:$X,4,FALSE)*VLOOKUP(CONCATENATE(Delivery[[#This Row],[Coffee specie]],Delivery[[#This Row],[Coffee state]]),References!$U:$X,4,FALSE)</f>
        <v>35970</v>
      </c>
      <c r="AB787" s="202">
        <f>SUMIF(Allocation!C:C,Delivery[[#This Row],[Delivery ID]],Allocation!D:D)/Delivery[[#This Row],[Quantity delivered]]</f>
        <v>0.18015012510425354</v>
      </c>
      <c r="AC787" s="203">
        <f>Delivery[[#This Row],[Quantity delivered]]*Delivery[[#This Row],[Base price (Unidad)]]/60</f>
        <v>255516.39607999998</v>
      </c>
      <c r="AD787" s="204">
        <f>Delivery[[#This Row],[Nespresso total]]-Delivery[[#This Row],[Qt. Delivery * Base Price]]</f>
        <v>-4752.3960799999768</v>
      </c>
      <c r="AE787" s="204">
        <f>Delivery[[#This Row],[AAA Premium (total)]]/Delivery[[#This Row],[Quantity delivered]]*60/Delivery[[#This Row],[Exchange rate VS USD]]</f>
        <v>7.011849836200148</v>
      </c>
      <c r="AF787" s="204">
        <f>Delivery[[#This Row],[BEN premium (total)]]/Delivery[[#This Row],[Quantity delivered]]*60/Delivery[[#This Row],[Exchange rate for premiums VS USD]]</f>
        <v>0</v>
      </c>
      <c r="AG787" s="204">
        <f>COUNTIF(Delivery[Delivery ID],Delivery[[#This Row],[Delivery ID]])</f>
        <v>1</v>
      </c>
      <c r="AH787" s="204">
        <f>(Delivery[[#This Row],[Nespresso total]]/SUMIF(Allocation!C:C,Delivery[Delivery ID],Allocation!H:H))/Delivery[[#This Row],[Exchange rate VS USD]]</f>
        <v>33.397324761933987</v>
      </c>
      <c r="AI787" s="204">
        <f>(Delivery[[#This Row],[AAA Premium (total)]]/SUMIF(Allocation!C:C,Delivery[Delivery ID],Allocation!H:H))/Delivery[[#This Row],[Exchange rate VS USD]]</f>
        <v>2.1623477246923808</v>
      </c>
      <c r="AJ787" s="204">
        <f>Delivery[[#This Row],[Valor Prêmio Nespresso AAA por Kg (em US$)]]*60</f>
        <v>129.74086348154285</v>
      </c>
      <c r="AK787" s="204">
        <f>Delivery[[#This Row],[Valor Prêmio Nespresso AAA por saca (em US$)]]/1.3228/100</f>
        <v>0.98080483430256171</v>
      </c>
      <c r="AL787" s="204">
        <f>(Delivery[[#This Row],[BEN premium (total)]]/SUMIF(Allocation!C:C,Delivery[Delivery ID],Allocation!H:H))/Delivery[[#This Row],[Exchange rate for premiums VS USD]]</f>
        <v>0</v>
      </c>
      <c r="AM787" s="204">
        <f>Delivery[[#This Row],[Valor Prêmio Nespresso BEN por Kg (em US$)]]*60</f>
        <v>0</v>
      </c>
      <c r="AN787" s="204">
        <f>Delivery[[#This Row],[Valor Prêmio Nespresso BEN por saca (em US$)]]/1.3228/100</f>
        <v>0</v>
      </c>
      <c r="AO787" s="204">
        <f>SUMIF(Allocation[Delivery ID],Delivery[[#This Row],[Delivery ID]],Allocation[Quantity allocated])*16*1.3228*Delivery[[#This Row],[Exchange rate VS USD]]/60</f>
        <v>2648.6003220480002</v>
      </c>
      <c r="AP787" s="204">
        <f>Delivery[[#This Row],[AAA Premium (total)]]</f>
        <v>16236</v>
      </c>
      <c r="AQ787" s="204">
        <f>Delivery[[#This Row],[Valor pago pelo Cluster]]-Delivery[[#This Row],[Valor efetivamente pago pela Nespresso]]</f>
        <v>13587.399677952</v>
      </c>
    </row>
    <row r="788" spans="1:43" ht="15.75">
      <c r="A788" s="174" t="s">
        <v>69</v>
      </c>
      <c r="B788" s="232" t="s">
        <v>68</v>
      </c>
      <c r="C788" s="157">
        <v>1</v>
      </c>
      <c r="D788" s="157" t="s">
        <v>468</v>
      </c>
      <c r="E788" s="177" t="s">
        <v>468</v>
      </c>
      <c r="F788" s="233" t="s">
        <v>543</v>
      </c>
      <c r="G788" s="234">
        <v>43304</v>
      </c>
      <c r="H788" s="157" t="s">
        <v>932</v>
      </c>
      <c r="I788" s="157" t="s">
        <v>919</v>
      </c>
      <c r="J788" s="237">
        <v>10200</v>
      </c>
      <c r="K788" s="175" t="s">
        <v>61</v>
      </c>
      <c r="L788" s="175" t="s">
        <v>439</v>
      </c>
      <c r="M788" s="175" t="s">
        <v>1343</v>
      </c>
      <c r="N788" s="198"/>
      <c r="O788" s="199"/>
      <c r="P788" s="181">
        <v>0</v>
      </c>
      <c r="Q788" s="177">
        <v>42537</v>
      </c>
      <c r="R788" s="178">
        <v>646.55153051948582</v>
      </c>
      <c r="S788" s="179">
        <v>97957.647876158444</v>
      </c>
      <c r="T788" s="182" t="s">
        <v>45</v>
      </c>
      <c r="U788" s="183">
        <v>4.130000114440918</v>
      </c>
      <c r="V788" s="179">
        <v>4914.7001361846924</v>
      </c>
      <c r="W788" s="179">
        <v>1536.6760619207782</v>
      </c>
      <c r="X788" s="196" t="s">
        <v>45</v>
      </c>
      <c r="Y788" s="200">
        <v>4.130000114440918</v>
      </c>
      <c r="Z788" s="220" t="s">
        <v>473</v>
      </c>
      <c r="AA788" s="201">
        <f>Delivery[[#This Row],[Quantity delivered]]*VLOOKUP(Delivery[[#This Row],[Unit]],References!$U:$X,4,FALSE)*VLOOKUP(CONCATENATE(Delivery[[#This Row],[Coffee specie]],Delivery[[#This Row],[Coffee state]]),References!$U:$X,4,FALSE)</f>
        <v>10200</v>
      </c>
      <c r="AB788" s="202">
        <f>SUMIF(Allocation!C:C,Delivery[[#This Row],[Delivery ID]],Allocation!D:D)/Delivery[[#This Row],[Quantity delivered]]</f>
        <v>9.8039215686274506E-5</v>
      </c>
      <c r="AC788" s="203">
        <f>Delivery[[#This Row],[Quantity delivered]]*Delivery[[#This Row],[Base price (Unidad)]]/60</f>
        <v>109913.76018831259</v>
      </c>
      <c r="AD788" s="204">
        <f>Delivery[[#This Row],[Nespresso total]]-Delivery[[#This Row],[Qt. Delivery * Base Price]]</f>
        <v>-11956.112312154146</v>
      </c>
      <c r="AE788" s="204">
        <f>Delivery[[#This Row],[AAA Premium (total)]]/Delivery[[#This Row],[Quantity delivered]]*60/Delivery[[#This Row],[Exchange rate VS USD]]</f>
        <v>7</v>
      </c>
      <c r="AF788" s="204">
        <f>Delivery[[#This Row],[BEN premium (total)]]/Delivery[[#This Row],[Quantity delivered]]*60/Delivery[[#This Row],[Exchange rate for premiums VS USD]]</f>
        <v>2.1886854000000002</v>
      </c>
      <c r="AG788" s="204">
        <f>COUNTIF(Delivery[Delivery ID],Delivery[[#This Row],[Delivery ID]])</f>
        <v>1</v>
      </c>
      <c r="AH788" s="204">
        <f>(Delivery[[#This Row],[Nespresso total]]/SUMIF(Allocation!C:C,Delivery[Delivery ID],Allocation!H:H))/Delivery[[#This Row],[Exchange rate VS USD]]</f>
        <v>71874.418638040122</v>
      </c>
      <c r="AI788" s="204">
        <f>(Delivery[[#This Row],[AAA Premium (total)]]/SUMIF(Allocation!C:C,Delivery[Delivery ID],Allocation!H:H))/Delivery[[#This Row],[Exchange rate VS USD]]</f>
        <v>3606.0606060606056</v>
      </c>
      <c r="AJ788" s="204">
        <f>Delivery[[#This Row],[Valor Prêmio Nespresso AAA por Kg (em US$)]]*60</f>
        <v>216363.63636363632</v>
      </c>
      <c r="AK788" s="204">
        <f>Delivery[[#This Row],[Valor Prêmio Nespresso AAA por saca (em US$)]]/1.3228/100</f>
        <v>1635.6488990296064</v>
      </c>
      <c r="AL788" s="204">
        <f>(Delivery[[#This Row],[BEN premium (total)]]/SUMIF(Allocation!C:C,Delivery[Delivery ID],Allocation!H:H))/Delivery[[#This Row],[Exchange rate for premiums VS USD]]</f>
        <v>1127.5046</v>
      </c>
      <c r="AM788" s="204">
        <f>Delivery[[#This Row],[Valor Prêmio Nespresso BEN por Kg (em US$)]]*60</f>
        <v>67650.275999999998</v>
      </c>
      <c r="AN788" s="204">
        <f>Delivery[[#This Row],[Valor Prêmio Nespresso BEN por saca (em US$)]]/1.3228/100</f>
        <v>511.41726640459632</v>
      </c>
      <c r="AO788" s="204">
        <f>SUMIF(Allocation[Delivery ID],Delivery[[#This Row],[Delivery ID]],Allocation[Quantity allocated])*16*1.3228*Delivery[[#This Row],[Exchange rate VS USD]]/60</f>
        <v>0.48075844532165529</v>
      </c>
      <c r="AP788" s="204">
        <f>Delivery[[#This Row],[AAA Premium (total)]]</f>
        <v>4914.7001361846924</v>
      </c>
      <c r="AQ788" s="204">
        <f>Delivery[[#This Row],[Valor pago pelo Cluster]]-Delivery[[#This Row],[Valor efetivamente pago pela Nespresso]]</f>
        <v>4914.2193777393704</v>
      </c>
    </row>
    <row r="789" spans="1:43" ht="15.75">
      <c r="A789" s="174" t="s">
        <v>69</v>
      </c>
      <c r="B789" s="232" t="s">
        <v>68</v>
      </c>
      <c r="C789" s="157">
        <v>1</v>
      </c>
      <c r="D789" s="157" t="s">
        <v>468</v>
      </c>
      <c r="E789" s="177" t="s">
        <v>468</v>
      </c>
      <c r="F789" s="233" t="s">
        <v>543</v>
      </c>
      <c r="G789" s="234">
        <v>43304</v>
      </c>
      <c r="H789" s="157" t="s">
        <v>933</v>
      </c>
      <c r="I789" s="157" t="s">
        <v>741</v>
      </c>
      <c r="J789" s="237">
        <v>30050</v>
      </c>
      <c r="K789" s="175" t="s">
        <v>61</v>
      </c>
      <c r="L789" s="175" t="s">
        <v>439</v>
      </c>
      <c r="M789" s="175" t="s">
        <v>1343</v>
      </c>
      <c r="N789" s="198"/>
      <c r="O789" s="199"/>
      <c r="P789" s="181">
        <v>0</v>
      </c>
      <c r="Q789" s="177">
        <v>43228</v>
      </c>
      <c r="R789" s="178">
        <v>459.55299766254393</v>
      </c>
      <c r="S789" s="179">
        <v>229846.28567882825</v>
      </c>
      <c r="T789" s="182" t="s">
        <v>45</v>
      </c>
      <c r="U789" s="183">
        <v>3.6099998950958252</v>
      </c>
      <c r="V789" s="179">
        <v>12656.057965556782</v>
      </c>
      <c r="W789" s="179">
        <v>3957.1613272525474</v>
      </c>
      <c r="X789" s="196" t="s">
        <v>45</v>
      </c>
      <c r="Y789" s="200">
        <v>3.6099998950958252</v>
      </c>
      <c r="Z789" s="220" t="s">
        <v>473</v>
      </c>
      <c r="AA789" s="201">
        <f>Delivery[[#This Row],[Quantity delivered]]*VLOOKUP(Delivery[[#This Row],[Unit]],References!$U:$X,4,FALSE)*VLOOKUP(CONCATENATE(Delivery[[#This Row],[Coffee specie]],Delivery[[#This Row],[Coffee state]]),References!$U:$X,4,FALSE)</f>
        <v>30050</v>
      </c>
      <c r="AB789" s="202">
        <f>SUMIF(Allocation!C:C,Delivery[[#This Row],[Delivery ID]],Allocation!D:D)/Delivery[[#This Row],[Quantity delivered]]</f>
        <v>3.3277870216306153E-5</v>
      </c>
      <c r="AC789" s="203">
        <f>Delivery[[#This Row],[Quantity delivered]]*Delivery[[#This Row],[Base price (Unidad)]]/60</f>
        <v>230159.45966265741</v>
      </c>
      <c r="AD789" s="204">
        <f>Delivery[[#This Row],[Nespresso total]]-Delivery[[#This Row],[Qt. Delivery * Base Price]]</f>
        <v>-313.17398382915417</v>
      </c>
      <c r="AE789" s="204">
        <f>Delivery[[#This Row],[AAA Premium (total)]]/Delivery[[#This Row],[Quantity delivered]]*60/Delivery[[#This Row],[Exchange rate VS USD]]</f>
        <v>7</v>
      </c>
      <c r="AF789" s="204">
        <f>Delivery[[#This Row],[BEN premium (total)]]/Delivery[[#This Row],[Quantity delivered]]*60/Delivery[[#This Row],[Exchange rate for premiums VS USD]]</f>
        <v>2.1886854000000002</v>
      </c>
      <c r="AG789" s="204">
        <f>COUNTIF(Delivery[Delivery ID],Delivery[[#This Row],[Delivery ID]])</f>
        <v>1</v>
      </c>
      <c r="AH789" s="204">
        <f>(Delivery[[#This Row],[Nespresso total]]/SUMIF(Allocation!C:C,Delivery[Delivery ID],Allocation!H:H))/Delivery[[#This Row],[Exchange rate VS USD]]</f>
        <v>192937.37291866622</v>
      </c>
      <c r="AI789" s="204">
        <f>(Delivery[[#This Row],[AAA Premium (total)]]/SUMIF(Allocation!C:C,Delivery[Delivery ID],Allocation!H:H))/Delivery[[#This Row],[Exchange rate VS USD]]</f>
        <v>10623.737373737375</v>
      </c>
      <c r="AJ789" s="204">
        <f>Delivery[[#This Row],[Valor Prêmio Nespresso AAA por Kg (em US$)]]*60</f>
        <v>637424.24242424243</v>
      </c>
      <c r="AK789" s="204">
        <f>Delivery[[#This Row],[Valor Prêmio Nespresso AAA por saca (em US$)]]/1.3228/100</f>
        <v>4818.7499427293806</v>
      </c>
      <c r="AL789" s="204">
        <f>(Delivery[[#This Row],[BEN premium (total)]]/SUMIF(Allocation!C:C,Delivery[Delivery ID],Allocation!H:H))/Delivery[[#This Row],[Exchange rate for premiums VS USD]]</f>
        <v>3321.7169833333332</v>
      </c>
      <c r="AM789" s="204">
        <f>Delivery[[#This Row],[Valor Prêmio Nespresso BEN por Kg (em US$)]]*60</f>
        <v>199303.019</v>
      </c>
      <c r="AN789" s="204">
        <f>Delivery[[#This Row],[Valor Prêmio Nespresso BEN por saca (em US$)]]/1.3228/100</f>
        <v>1506.6753779860901</v>
      </c>
      <c r="AO789" s="204">
        <f>SUMIF(Allocation[Delivery ID],Delivery[[#This Row],[Delivery ID]],Allocation[Quantity allocated])*16*1.3228*Delivery[[#This Row],[Exchange rate VS USD]]/60</f>
        <v>0.42022709178848267</v>
      </c>
      <c r="AP789" s="204">
        <f>Delivery[[#This Row],[AAA Premium (total)]]</f>
        <v>12656.057965556782</v>
      </c>
      <c r="AQ789" s="204">
        <f>Delivery[[#This Row],[Valor pago pelo Cluster]]-Delivery[[#This Row],[Valor efetivamente pago pela Nespresso]]</f>
        <v>12655.637738464993</v>
      </c>
    </row>
    <row r="790" spans="1:43" ht="15.75">
      <c r="A790" s="174" t="s">
        <v>69</v>
      </c>
      <c r="B790" s="232" t="s">
        <v>68</v>
      </c>
      <c r="C790" s="157" t="s">
        <v>1344</v>
      </c>
      <c r="D790" s="157" t="s">
        <v>468</v>
      </c>
      <c r="E790" s="177" t="s">
        <v>468</v>
      </c>
      <c r="F790" s="233" t="s">
        <v>543</v>
      </c>
      <c r="G790" s="234">
        <v>43306</v>
      </c>
      <c r="H790" s="157" t="s">
        <v>1614</v>
      </c>
      <c r="I790" s="157" t="s">
        <v>1615</v>
      </c>
      <c r="J790" s="237">
        <v>30010</v>
      </c>
      <c r="K790" s="175" t="s">
        <v>61</v>
      </c>
      <c r="L790" s="175" t="s">
        <v>439</v>
      </c>
      <c r="M790" s="175" t="s">
        <v>1343</v>
      </c>
      <c r="N790" s="198"/>
      <c r="O790" s="199"/>
      <c r="P790" s="181">
        <v>0</v>
      </c>
      <c r="Q790" s="177">
        <v>43244</v>
      </c>
      <c r="R790" s="178">
        <v>464.85250000000002</v>
      </c>
      <c r="S790" s="179">
        <v>229615</v>
      </c>
      <c r="T790" s="182" t="s">
        <v>45</v>
      </c>
      <c r="U790" s="183">
        <v>3.6819999999999999</v>
      </c>
      <c r="V790" s="179">
        <v>12885</v>
      </c>
      <c r="W790" s="179">
        <v>0</v>
      </c>
      <c r="X790" s="196" t="s">
        <v>45</v>
      </c>
      <c r="Y790" s="200">
        <v>3.6819999999999999</v>
      </c>
      <c r="Z790" s="220"/>
      <c r="AA790" s="201">
        <f>Delivery[[#This Row],[Quantity delivered]]*VLOOKUP(Delivery[[#This Row],[Unit]],References!$U:$X,4,FALSE)*VLOOKUP(CONCATENATE(Delivery[[#This Row],[Coffee specie]],Delivery[[#This Row],[Coffee state]]),References!$U:$X,4,FALSE)</f>
        <v>30010</v>
      </c>
      <c r="AB790" s="202">
        <f>SUMIF(Allocation!C:C,Delivery[[#This Row],[Delivery ID]],Allocation!D:D)/Delivery[[#This Row],[Quantity delivered]]</f>
        <v>0.61422859046984335</v>
      </c>
      <c r="AC790" s="203">
        <f>Delivery[[#This Row],[Quantity delivered]]*Delivery[[#This Row],[Base price (Unidad)]]/60</f>
        <v>232503.72541666668</v>
      </c>
      <c r="AD790" s="204">
        <f>Delivery[[#This Row],[Nespresso total]]-Delivery[[#This Row],[Qt. Delivery * Base Price]]</f>
        <v>-2888.7254166666826</v>
      </c>
      <c r="AE790" s="204">
        <f>Delivery[[#This Row],[AAA Premium (total)]]/Delivery[[#This Row],[Quantity delivered]]*60/Delivery[[#This Row],[Exchange rate VS USD]]</f>
        <v>6.9965814400812629</v>
      </c>
      <c r="AF790" s="204">
        <f>Delivery[[#This Row],[BEN premium (total)]]/Delivery[[#This Row],[Quantity delivered]]*60/Delivery[[#This Row],[Exchange rate for premiums VS USD]]</f>
        <v>0</v>
      </c>
      <c r="AG790" s="204">
        <f>COUNTIF(Delivery[Delivery ID],Delivery[[#This Row],[Delivery ID]])</f>
        <v>1</v>
      </c>
      <c r="AH790" s="204">
        <f>(Delivery[[#This Row],[Nespresso total]]/SUMIF(Allocation!C:C,Delivery[Delivery ID],Allocation!H:H))/Delivery[[#This Row],[Exchange rate VS USD]]</f>
        <v>10.251765300273611</v>
      </c>
      <c r="AI790" s="204">
        <f>(Delivery[[#This Row],[AAA Premium (total)]]/SUMIF(Allocation!C:C,Delivery[Delivery ID],Allocation!H:H))/Delivery[[#This Row],[Exchange rate VS USD]]</f>
        <v>0.57528469783779568</v>
      </c>
      <c r="AJ790" s="204">
        <f>Delivery[[#This Row],[Valor Prêmio Nespresso AAA por Kg (em US$)]]*60</f>
        <v>34.517081870267738</v>
      </c>
      <c r="AK790" s="204">
        <f>Delivery[[#This Row],[Valor Prêmio Nespresso AAA por saca (em US$)]]/1.3228/100</f>
        <v>0.26093953636428591</v>
      </c>
      <c r="AL790" s="204">
        <f>(Delivery[[#This Row],[BEN premium (total)]]/SUMIF(Allocation!C:C,Delivery[Delivery ID],Allocation!H:H))/Delivery[[#This Row],[Exchange rate for premiums VS USD]]</f>
        <v>0</v>
      </c>
      <c r="AM790" s="204">
        <f>Delivery[[#This Row],[Valor Prêmio Nespresso BEN por Kg (em US$)]]*60</f>
        <v>0</v>
      </c>
      <c r="AN790" s="204">
        <f>Delivery[[#This Row],[Valor Prêmio Nespresso BEN por saca (em US$)]]/1.3228/100</f>
        <v>0</v>
      </c>
      <c r="AO790" s="204">
        <f>SUMIF(Allocation[Delivery ID],Delivery[[#This Row],[Delivery ID]],Allocation[Quantity allocated])*16*1.3228*Delivery[[#This Row],[Exchange rate VS USD]]/60</f>
        <v>7900.6808578133332</v>
      </c>
      <c r="AP790" s="204">
        <f>Delivery[[#This Row],[AAA Premium (total)]]</f>
        <v>12885</v>
      </c>
      <c r="AQ790" s="204">
        <f>Delivery[[#This Row],[Valor pago pelo Cluster]]-Delivery[[#This Row],[Valor efetivamente pago pela Nespresso]]</f>
        <v>4984.3191421866668</v>
      </c>
    </row>
    <row r="791" spans="1:43" ht="15.75">
      <c r="A791" s="174" t="s">
        <v>69</v>
      </c>
      <c r="B791" s="232" t="s">
        <v>68</v>
      </c>
      <c r="C791" s="157" t="s">
        <v>1344</v>
      </c>
      <c r="D791" s="157" t="s">
        <v>468</v>
      </c>
      <c r="E791" s="177" t="s">
        <v>468</v>
      </c>
      <c r="F791" s="233" t="s">
        <v>543</v>
      </c>
      <c r="G791" s="234">
        <v>43306</v>
      </c>
      <c r="H791" s="157" t="s">
        <v>1616</v>
      </c>
      <c r="I791" s="157" t="s">
        <v>1615</v>
      </c>
      <c r="J791" s="237">
        <v>30020</v>
      </c>
      <c r="K791" s="175" t="s">
        <v>61</v>
      </c>
      <c r="L791" s="175" t="s">
        <v>439</v>
      </c>
      <c r="M791" s="175" t="s">
        <v>1343</v>
      </c>
      <c r="N791" s="198"/>
      <c r="O791" s="199"/>
      <c r="P791" s="181">
        <v>0</v>
      </c>
      <c r="Q791" s="177">
        <v>43244</v>
      </c>
      <c r="R791" s="178">
        <v>464.85250000000002</v>
      </c>
      <c r="S791" s="179">
        <v>229615</v>
      </c>
      <c r="T791" s="182" t="s">
        <v>45</v>
      </c>
      <c r="U791" s="183">
        <v>3.6819999999999999</v>
      </c>
      <c r="V791" s="179">
        <v>12885</v>
      </c>
      <c r="W791" s="179">
        <v>0</v>
      </c>
      <c r="X791" s="196" t="s">
        <v>45</v>
      </c>
      <c r="Y791" s="200">
        <v>3.6819999999999999</v>
      </c>
      <c r="Z791" s="220"/>
      <c r="AA791" s="201">
        <f>Delivery[[#This Row],[Quantity delivered]]*VLOOKUP(Delivery[[#This Row],[Unit]],References!$U:$X,4,FALSE)*VLOOKUP(CONCATENATE(Delivery[[#This Row],[Coffee specie]],Delivery[[#This Row],[Coffee state]]),References!$U:$X,4,FALSE)</f>
        <v>30020</v>
      </c>
      <c r="AB791" s="202">
        <f>SUMIF(Allocation!C:C,Delivery[[#This Row],[Delivery ID]],Allocation!D:D)/Delivery[[#This Row],[Quantity delivered]]</f>
        <v>0.61432378414390409</v>
      </c>
      <c r="AC791" s="203">
        <f>Delivery[[#This Row],[Quantity delivered]]*Delivery[[#This Row],[Base price (Unidad)]]/60</f>
        <v>232581.20083333334</v>
      </c>
      <c r="AD791" s="204">
        <f>Delivery[[#This Row],[Nespresso total]]-Delivery[[#This Row],[Qt. Delivery * Base Price]]</f>
        <v>-2966.200833333336</v>
      </c>
      <c r="AE791" s="204">
        <f>Delivery[[#This Row],[AAA Premium (total)]]/Delivery[[#This Row],[Quantity delivered]]*60/Delivery[[#This Row],[Exchange rate VS USD]]</f>
        <v>6.9942508000279373</v>
      </c>
      <c r="AF791" s="204">
        <f>Delivery[[#This Row],[BEN premium (total)]]/Delivery[[#This Row],[Quantity delivered]]*60/Delivery[[#This Row],[Exchange rate for premiums VS USD]]</f>
        <v>0</v>
      </c>
      <c r="AG791" s="204">
        <f>COUNTIF(Delivery[Delivery ID],Delivery[[#This Row],[Delivery ID]])</f>
        <v>1</v>
      </c>
      <c r="AH791" s="204">
        <f>(Delivery[[#This Row],[Nespresso total]]/SUMIF(Allocation!C:C,Delivery[Delivery ID],Allocation!H:H))/Delivery[[#This Row],[Exchange rate VS USD]]</f>
        <v>10.246711850404925</v>
      </c>
      <c r="AI791" s="204">
        <f>(Delivery[[#This Row],[AAA Premium (total)]]/SUMIF(Allocation!C:C,Delivery[Delivery ID],Allocation!H:H))/Delivery[[#This Row],[Exchange rate VS USD]]</f>
        <v>0.57500112010307447</v>
      </c>
      <c r="AJ791" s="204">
        <f>Delivery[[#This Row],[Valor Prêmio Nespresso AAA por Kg (em US$)]]*60</f>
        <v>34.500067206184468</v>
      </c>
      <c r="AK791" s="204">
        <f>Delivery[[#This Row],[Valor Prêmio Nespresso AAA por saca (em US$)]]/1.3228/100</f>
        <v>0.26081091023725789</v>
      </c>
      <c r="AL791" s="204">
        <f>(Delivery[[#This Row],[BEN premium (total)]]/SUMIF(Allocation!C:C,Delivery[Delivery ID],Allocation!H:H))/Delivery[[#This Row],[Exchange rate for premiums VS USD]]</f>
        <v>0</v>
      </c>
      <c r="AM791" s="204">
        <f>Delivery[[#This Row],[Valor Prêmio Nespresso BEN por Kg (em US$)]]*60</f>
        <v>0</v>
      </c>
      <c r="AN791" s="204">
        <f>Delivery[[#This Row],[Valor Prêmio Nespresso BEN por saca (em US$)]]/1.3228/100</f>
        <v>0</v>
      </c>
      <c r="AO791" s="204">
        <f>SUMIF(Allocation[Delivery ID],Delivery[[#This Row],[Delivery ID]],Allocation[Quantity allocated])*16*1.3228*Delivery[[#This Row],[Exchange rate VS USD]]/60</f>
        <v>7904.5772974933334</v>
      </c>
      <c r="AP791" s="204">
        <f>Delivery[[#This Row],[AAA Premium (total)]]</f>
        <v>12885</v>
      </c>
      <c r="AQ791" s="204">
        <f>Delivery[[#This Row],[Valor pago pelo Cluster]]-Delivery[[#This Row],[Valor efetivamente pago pela Nespresso]]</f>
        <v>4980.4227025066666</v>
      </c>
    </row>
    <row r="792" spans="1:43" ht="15.75">
      <c r="A792" s="174" t="s">
        <v>69</v>
      </c>
      <c r="B792" s="232" t="s">
        <v>68</v>
      </c>
      <c r="C792" s="157" t="s">
        <v>1344</v>
      </c>
      <c r="D792" s="157" t="s">
        <v>468</v>
      </c>
      <c r="E792" s="177" t="s">
        <v>468</v>
      </c>
      <c r="F792" s="233" t="s">
        <v>543</v>
      </c>
      <c r="G792" s="234">
        <v>43308</v>
      </c>
      <c r="H792" s="157" t="s">
        <v>1617</v>
      </c>
      <c r="I792" s="157" t="s">
        <v>1032</v>
      </c>
      <c r="J792" s="237">
        <v>30110</v>
      </c>
      <c r="K792" s="175" t="s">
        <v>61</v>
      </c>
      <c r="L792" s="175" t="s">
        <v>439</v>
      </c>
      <c r="M792" s="175" t="s">
        <v>1343</v>
      </c>
      <c r="N792" s="198"/>
      <c r="O792" s="199"/>
      <c r="P792" s="181">
        <v>0</v>
      </c>
      <c r="Q792" s="177">
        <v>43305</v>
      </c>
      <c r="R792" s="178">
        <v>414.76744499999995</v>
      </c>
      <c r="S792" s="179">
        <v>219660.44</v>
      </c>
      <c r="T792" s="182" t="s">
        <v>45</v>
      </c>
      <c r="U792" s="183">
        <v>3.7416999999999998</v>
      </c>
      <c r="V792" s="179">
        <v>18728.939999999999</v>
      </c>
      <c r="W792" s="179">
        <v>0</v>
      </c>
      <c r="X792" s="196" t="s">
        <v>45</v>
      </c>
      <c r="Y792" s="200">
        <v>3.7416999999999998</v>
      </c>
      <c r="Z792" s="220"/>
      <c r="AA792" s="201">
        <f>Delivery[[#This Row],[Quantity delivered]]*VLOOKUP(Delivery[[#This Row],[Unit]],References!$U:$X,4,FALSE)*VLOOKUP(CONCATENATE(Delivery[[#This Row],[Coffee specie]],Delivery[[#This Row],[Coffee state]]),References!$U:$X,4,FALSE)</f>
        <v>30110</v>
      </c>
      <c r="AB792" s="202">
        <f>SUMIF(Allocation!C:C,Delivery[[#This Row],[Delivery ID]],Allocation!D:D)/Delivery[[#This Row],[Quantity delivered]]</f>
        <v>0.81687147127200266</v>
      </c>
      <c r="AC792" s="203">
        <f>Delivery[[#This Row],[Quantity delivered]]*Delivery[[#This Row],[Base price (Unidad)]]/60</f>
        <v>208144.12948249996</v>
      </c>
      <c r="AD792" s="204">
        <f>Delivery[[#This Row],[Nespresso total]]-Delivery[[#This Row],[Qt. Delivery * Base Price]]</f>
        <v>11516.310517500038</v>
      </c>
      <c r="AE792" s="204">
        <f>Delivery[[#This Row],[AAA Premium (total)]]/Delivery[[#This Row],[Quantity delivered]]*60/Delivery[[#This Row],[Exchange rate VS USD]]</f>
        <v>9.9743528878845993</v>
      </c>
      <c r="AF792" s="204">
        <f>Delivery[[#This Row],[BEN premium (total)]]/Delivery[[#This Row],[Quantity delivered]]*60/Delivery[[#This Row],[Exchange rate for premiums VS USD]]</f>
        <v>0</v>
      </c>
      <c r="AG792" s="204">
        <f>COUNTIF(Delivery[Delivery ID],Delivery[[#This Row],[Delivery ID]])</f>
        <v>1</v>
      </c>
      <c r="AH792" s="204">
        <f>(Delivery[[#This Row],[Nespresso total]]/SUMIF(Allocation!C:C,Delivery[Delivery ID],Allocation!H:H))/Delivery[[#This Row],[Exchange rate VS USD]]</f>
        <v>5.9672751980268348</v>
      </c>
      <c r="AI792" s="204">
        <f>(Delivery[[#This Row],[AAA Premium (total)]]/SUMIF(Allocation!C:C,Delivery[Delivery ID],Allocation!H:H))/Delivery[[#This Row],[Exchange rate VS USD]]</f>
        <v>0.50878865191808176</v>
      </c>
      <c r="AJ792" s="204">
        <f>Delivery[[#This Row],[Valor Prêmio Nespresso AAA por Kg (em US$)]]*60</f>
        <v>30.527319115084907</v>
      </c>
      <c r="AK792" s="204">
        <f>Delivery[[#This Row],[Valor Prêmio Nespresso AAA por saca (em US$)]]/1.3228/100</f>
        <v>0.23077803987817438</v>
      </c>
      <c r="AL792" s="204">
        <f>(Delivery[[#This Row],[BEN premium (total)]]/SUMIF(Allocation!C:C,Delivery[Delivery ID],Allocation!H:H))/Delivery[[#This Row],[Exchange rate for premiums VS USD]]</f>
        <v>0</v>
      </c>
      <c r="AM792" s="204">
        <f>Delivery[[#This Row],[Valor Prêmio Nespresso BEN por Kg (em US$)]]*60</f>
        <v>0</v>
      </c>
      <c r="AN792" s="204">
        <f>Delivery[[#This Row],[Valor Prêmio Nespresso BEN por saca (em US$)]]/1.3228/100</f>
        <v>0</v>
      </c>
      <c r="AO792" s="204">
        <f>SUMIF(Allocation[Delivery ID],Delivery[[#This Row],[Delivery ID]],Allocation[Quantity allocated])*16*1.3228*Delivery[[#This Row],[Exchange rate VS USD]]/60</f>
        <v>12984.902729834665</v>
      </c>
      <c r="AP792" s="204">
        <f>Delivery[[#This Row],[AAA Premium (total)]]</f>
        <v>18728.939999999999</v>
      </c>
      <c r="AQ792" s="204">
        <f>Delivery[[#This Row],[Valor pago pelo Cluster]]-Delivery[[#This Row],[Valor efetivamente pago pela Nespresso]]</f>
        <v>5744.0372701653341</v>
      </c>
    </row>
    <row r="793" spans="1:43" ht="15.75">
      <c r="A793" s="174" t="s">
        <v>69</v>
      </c>
      <c r="B793" s="232" t="s">
        <v>68</v>
      </c>
      <c r="C793" s="157" t="s">
        <v>1344</v>
      </c>
      <c r="D793" s="157" t="s">
        <v>468</v>
      </c>
      <c r="E793" s="177" t="s">
        <v>468</v>
      </c>
      <c r="F793" s="233" t="s">
        <v>543</v>
      </c>
      <c r="G793" s="234">
        <v>43307</v>
      </c>
      <c r="H793" s="157" t="s">
        <v>1618</v>
      </c>
      <c r="I793" s="157" t="s">
        <v>1615</v>
      </c>
      <c r="J793" s="237">
        <v>30010</v>
      </c>
      <c r="K793" s="175" t="s">
        <v>61</v>
      </c>
      <c r="L793" s="175" t="s">
        <v>439</v>
      </c>
      <c r="M793" s="175" t="s">
        <v>1343</v>
      </c>
      <c r="N793" s="198"/>
      <c r="O793" s="199"/>
      <c r="P793" s="181">
        <v>0</v>
      </c>
      <c r="Q793" s="177">
        <v>43244</v>
      </c>
      <c r="R793" s="178">
        <v>464.85250000000002</v>
      </c>
      <c r="S793" s="179">
        <v>229615</v>
      </c>
      <c r="T793" s="182" t="s">
        <v>45</v>
      </c>
      <c r="U793" s="183">
        <v>3.6819999999999999</v>
      </c>
      <c r="V793" s="179">
        <v>12885</v>
      </c>
      <c r="W793" s="179">
        <v>0</v>
      </c>
      <c r="X793" s="196" t="s">
        <v>45</v>
      </c>
      <c r="Y793" s="200">
        <v>3.6819999999999999</v>
      </c>
      <c r="Z793" s="220"/>
      <c r="AA793" s="201">
        <f>Delivery[[#This Row],[Quantity delivered]]*VLOOKUP(Delivery[[#This Row],[Unit]],References!$U:$X,4,FALSE)*VLOOKUP(CONCATENATE(Delivery[[#This Row],[Coffee specie]],Delivery[[#This Row],[Coffee state]]),References!$U:$X,4,FALSE)</f>
        <v>30010</v>
      </c>
      <c r="AB793" s="202">
        <f>SUMIF(Allocation!C:C,Delivery[[#This Row],[Delivery ID]],Allocation!D:D)/Delivery[[#This Row],[Quantity delivered]]</f>
        <v>0.61422859046984335</v>
      </c>
      <c r="AC793" s="203">
        <f>Delivery[[#This Row],[Quantity delivered]]*Delivery[[#This Row],[Base price (Unidad)]]/60</f>
        <v>232503.72541666668</v>
      </c>
      <c r="AD793" s="204">
        <f>Delivery[[#This Row],[Nespresso total]]-Delivery[[#This Row],[Qt. Delivery * Base Price]]</f>
        <v>-2888.7254166666826</v>
      </c>
      <c r="AE793" s="204">
        <f>Delivery[[#This Row],[AAA Premium (total)]]/Delivery[[#This Row],[Quantity delivered]]*60/Delivery[[#This Row],[Exchange rate VS USD]]</f>
        <v>6.9965814400812629</v>
      </c>
      <c r="AF793" s="204">
        <f>Delivery[[#This Row],[BEN premium (total)]]/Delivery[[#This Row],[Quantity delivered]]*60/Delivery[[#This Row],[Exchange rate for premiums VS USD]]</f>
        <v>0</v>
      </c>
      <c r="AG793" s="204">
        <f>COUNTIF(Delivery[Delivery ID],Delivery[[#This Row],[Delivery ID]])</f>
        <v>1</v>
      </c>
      <c r="AH793" s="204">
        <f>(Delivery[[#This Row],[Nespresso total]]/SUMIF(Allocation!C:C,Delivery[Delivery ID],Allocation!H:H))/Delivery[[#This Row],[Exchange rate VS USD]]</f>
        <v>10.251765300273611</v>
      </c>
      <c r="AI793" s="204">
        <f>(Delivery[[#This Row],[AAA Premium (total)]]/SUMIF(Allocation!C:C,Delivery[Delivery ID],Allocation!H:H))/Delivery[[#This Row],[Exchange rate VS USD]]</f>
        <v>0.57528469783779568</v>
      </c>
      <c r="AJ793" s="204">
        <f>Delivery[[#This Row],[Valor Prêmio Nespresso AAA por Kg (em US$)]]*60</f>
        <v>34.517081870267738</v>
      </c>
      <c r="AK793" s="204">
        <f>Delivery[[#This Row],[Valor Prêmio Nespresso AAA por saca (em US$)]]/1.3228/100</f>
        <v>0.26093953636428591</v>
      </c>
      <c r="AL793" s="204">
        <f>(Delivery[[#This Row],[BEN premium (total)]]/SUMIF(Allocation!C:C,Delivery[Delivery ID],Allocation!H:H))/Delivery[[#This Row],[Exchange rate for premiums VS USD]]</f>
        <v>0</v>
      </c>
      <c r="AM793" s="204">
        <f>Delivery[[#This Row],[Valor Prêmio Nespresso BEN por Kg (em US$)]]*60</f>
        <v>0</v>
      </c>
      <c r="AN793" s="204">
        <f>Delivery[[#This Row],[Valor Prêmio Nespresso BEN por saca (em US$)]]/1.3228/100</f>
        <v>0</v>
      </c>
      <c r="AO793" s="204">
        <f>SUMIF(Allocation[Delivery ID],Delivery[[#This Row],[Delivery ID]],Allocation[Quantity allocated])*16*1.3228*Delivery[[#This Row],[Exchange rate VS USD]]/60</f>
        <v>7900.6808578133332</v>
      </c>
      <c r="AP793" s="204">
        <f>Delivery[[#This Row],[AAA Premium (total)]]</f>
        <v>12885</v>
      </c>
      <c r="AQ793" s="204">
        <f>Delivery[[#This Row],[Valor pago pelo Cluster]]-Delivery[[#This Row],[Valor efetivamente pago pela Nespresso]]</f>
        <v>4984.3191421866668</v>
      </c>
    </row>
    <row r="794" spans="1:43" ht="15.75">
      <c r="A794" s="174" t="s">
        <v>69</v>
      </c>
      <c r="B794" s="232" t="s">
        <v>68</v>
      </c>
      <c r="C794" s="157" t="s">
        <v>1344</v>
      </c>
      <c r="D794" s="157" t="s">
        <v>468</v>
      </c>
      <c r="E794" s="177" t="s">
        <v>468</v>
      </c>
      <c r="F794" s="233" t="s">
        <v>543</v>
      </c>
      <c r="G794" s="234">
        <v>43307</v>
      </c>
      <c r="H794" s="157" t="s">
        <v>1619</v>
      </c>
      <c r="I794" s="157" t="s">
        <v>1615</v>
      </c>
      <c r="J794" s="237">
        <v>30040</v>
      </c>
      <c r="K794" s="175" t="s">
        <v>61</v>
      </c>
      <c r="L794" s="175" t="s">
        <v>439</v>
      </c>
      <c r="M794" s="175" t="s">
        <v>1343</v>
      </c>
      <c r="N794" s="198"/>
      <c r="O794" s="199"/>
      <c r="P794" s="181">
        <v>0</v>
      </c>
      <c r="Q794" s="177">
        <v>43244</v>
      </c>
      <c r="R794" s="178">
        <v>464.85250000000002</v>
      </c>
      <c r="S794" s="179">
        <v>229615</v>
      </c>
      <c r="T794" s="182" t="s">
        <v>45</v>
      </c>
      <c r="U794" s="183">
        <v>3.6819999999999999</v>
      </c>
      <c r="V794" s="179">
        <v>12885</v>
      </c>
      <c r="W794" s="179">
        <v>0</v>
      </c>
      <c r="X794" s="196" t="s">
        <v>45</v>
      </c>
      <c r="Y794" s="200">
        <v>3.6819999999999999</v>
      </c>
      <c r="Z794" s="220"/>
      <c r="AA794" s="201">
        <f>Delivery[[#This Row],[Quantity delivered]]*VLOOKUP(Delivery[[#This Row],[Unit]],References!$U:$X,4,FALSE)*VLOOKUP(CONCATENATE(Delivery[[#This Row],[Coffee specie]],Delivery[[#This Row],[Coffee state]]),References!$U:$X,4,FALSE)</f>
        <v>30040</v>
      </c>
      <c r="AB794" s="202">
        <f>SUMIF(Allocation!C:C,Delivery[[#This Row],[Delivery ID]],Allocation!D:D)/Delivery[[#This Row],[Quantity delivered]]</f>
        <v>0.61431424766977361</v>
      </c>
      <c r="AC794" s="203">
        <f>Delivery[[#This Row],[Quantity delivered]]*Delivery[[#This Row],[Base price (Unidad)]]/60</f>
        <v>232736.1516666667</v>
      </c>
      <c r="AD794" s="204">
        <f>Delivery[[#This Row],[Nespresso total]]-Delivery[[#This Row],[Qt. Delivery * Base Price]]</f>
        <v>-3121.1516666667012</v>
      </c>
      <c r="AE794" s="204">
        <f>Delivery[[#This Row],[AAA Premium (total)]]/Delivery[[#This Row],[Quantity delivered]]*60/Delivery[[#This Row],[Exchange rate VS USD]]</f>
        <v>6.9895941749946298</v>
      </c>
      <c r="AF794" s="204">
        <f>Delivery[[#This Row],[BEN premium (total)]]/Delivery[[#This Row],[Quantity delivered]]*60/Delivery[[#This Row],[Exchange rate for premiums VS USD]]</f>
        <v>0</v>
      </c>
      <c r="AG794" s="204">
        <f>COUNTIF(Delivery[Delivery ID],Delivery[[#This Row],[Delivery ID]])</f>
        <v>1</v>
      </c>
      <c r="AH794" s="204">
        <f>(Delivery[[#This Row],[Nespresso total]]/SUMIF(Allocation!C:C,Delivery[Delivery ID],Allocation!H:H))/Delivery[[#This Row],[Exchange rate VS USD]]</f>
        <v>10.239981661997433</v>
      </c>
      <c r="AI794" s="204">
        <f>(Delivery[[#This Row],[AAA Premium (total)]]/SUMIF(Allocation!C:C,Delivery[Delivery ID],Allocation!H:H))/Delivery[[#This Row],[Exchange rate VS USD]]</f>
        <v>0.57462345105867174</v>
      </c>
      <c r="AJ794" s="204">
        <f>Delivery[[#This Row],[Valor Prêmio Nespresso AAA por Kg (em US$)]]*60</f>
        <v>34.477407063520303</v>
      </c>
      <c r="AK794" s="204">
        <f>Delivery[[#This Row],[Valor Prêmio Nespresso AAA por saca (em US$)]]/1.3228/100</f>
        <v>0.26063960586271778</v>
      </c>
      <c r="AL794" s="204">
        <f>(Delivery[[#This Row],[BEN premium (total)]]/SUMIF(Allocation!C:C,Delivery[Delivery ID],Allocation!H:H))/Delivery[[#This Row],[Exchange rate for premiums VS USD]]</f>
        <v>0</v>
      </c>
      <c r="AM794" s="204">
        <f>Delivery[[#This Row],[Valor Prêmio Nespresso BEN por Kg (em US$)]]*60</f>
        <v>0</v>
      </c>
      <c r="AN794" s="204">
        <f>Delivery[[#This Row],[Valor Prêmio Nespresso BEN por saca (em US$)]]/1.3228/100</f>
        <v>0</v>
      </c>
      <c r="AO794" s="204">
        <f>SUMIF(Allocation[Delivery ID],Delivery[[#This Row],[Delivery ID]],Allocation[Quantity allocated])*16*1.3228*Delivery[[#This Row],[Exchange rate VS USD]]/60</f>
        <v>7909.7725504</v>
      </c>
      <c r="AP794" s="204">
        <f>Delivery[[#This Row],[AAA Premium (total)]]</f>
        <v>12885</v>
      </c>
      <c r="AQ794" s="204">
        <f>Delivery[[#This Row],[Valor pago pelo Cluster]]-Delivery[[#This Row],[Valor efetivamente pago pela Nespresso]]</f>
        <v>4975.2274496</v>
      </c>
    </row>
    <row r="795" spans="1:43" ht="15.75">
      <c r="A795" s="174" t="s">
        <v>69</v>
      </c>
      <c r="B795" s="232" t="s">
        <v>68</v>
      </c>
      <c r="C795" s="157">
        <v>1</v>
      </c>
      <c r="D795" s="157" t="s">
        <v>468</v>
      </c>
      <c r="E795" s="177" t="s">
        <v>468</v>
      </c>
      <c r="F795" s="233" t="s">
        <v>543</v>
      </c>
      <c r="G795" s="234">
        <v>43307</v>
      </c>
      <c r="H795" s="235" t="s">
        <v>2030</v>
      </c>
      <c r="I795" s="236" t="s">
        <v>1015</v>
      </c>
      <c r="J795" s="237">
        <v>8267</v>
      </c>
      <c r="K795" s="175" t="s">
        <v>61</v>
      </c>
      <c r="L795" s="175" t="s">
        <v>439</v>
      </c>
      <c r="M795" s="175" t="s">
        <v>1343</v>
      </c>
      <c r="N795" s="198"/>
      <c r="O795" s="199"/>
      <c r="P795" s="181">
        <v>0</v>
      </c>
      <c r="Q795" s="177">
        <v>43304</v>
      </c>
      <c r="R795" s="178">
        <v>423.07492000000002</v>
      </c>
      <c r="S795" s="179">
        <v>61342.38</v>
      </c>
      <c r="T795" s="182" t="s">
        <v>45</v>
      </c>
      <c r="U795" s="183">
        <v>3.7978000000000001</v>
      </c>
      <c r="V795" s="179">
        <v>5241.24</v>
      </c>
      <c r="W795" s="179">
        <v>0</v>
      </c>
      <c r="X795" s="196" t="s">
        <v>45</v>
      </c>
      <c r="Y795" s="200">
        <v>3.7978000000000001</v>
      </c>
      <c r="Z795" s="220"/>
      <c r="AA795" s="201">
        <f>Delivery[[#This Row],[Quantity delivered]]*VLOOKUP(Delivery[[#This Row],[Unit]],References!$U:$X,4,FALSE)*VLOOKUP(CONCATENATE(Delivery[[#This Row],[Coffee specie]],Delivery[[#This Row],[Coffee state]]),References!$U:$X,4,FALSE)</f>
        <v>8267</v>
      </c>
      <c r="AB795" s="202">
        <f>SUMIF(Allocation!C:C,Delivery[[#This Row],[Delivery ID]],Allocation!D:D)/Delivery[[#This Row],[Quantity delivered]]</f>
        <v>0.58606507802104757</v>
      </c>
      <c r="AC795" s="203">
        <f>Delivery[[#This Row],[Quantity delivered]]*Delivery[[#This Row],[Base price (Unidad)]]/60</f>
        <v>58292.672727333338</v>
      </c>
      <c r="AD795" s="204">
        <f>Delivery[[#This Row],[Nespresso total]]-Delivery[[#This Row],[Qt. Delivery * Base Price]]</f>
        <v>3049.7072726666593</v>
      </c>
      <c r="AE795" s="204">
        <f>Delivery[[#This Row],[AAA Premium (total)]]/Delivery[[#This Row],[Quantity delivered]]*60/Delivery[[#This Row],[Exchange rate VS USD]]</f>
        <v>10.016252621167299</v>
      </c>
      <c r="AF795" s="204">
        <f>Delivery[[#This Row],[BEN premium (total)]]/Delivery[[#This Row],[Quantity delivered]]*60/Delivery[[#This Row],[Exchange rate for premiums VS USD]]</f>
        <v>0</v>
      </c>
      <c r="AG795" s="204">
        <f>COUNTIF(Delivery[Delivery ID],Delivery[[#This Row],[Delivery ID]])</f>
        <v>1</v>
      </c>
      <c r="AH795" s="204">
        <f>(Delivery[[#This Row],[Nespresso total]]/SUMIF(Allocation!C:C,Delivery[Delivery ID],Allocation!H:H))/Delivery[[#This Row],[Exchange rate VS USD]]</f>
        <v>5.5562720277847024</v>
      </c>
      <c r="AI795" s="204">
        <f>(Delivery[[#This Row],[AAA Premium (total)]]/SUMIF(Allocation!C:C,Delivery[Delivery ID],Allocation!H:H))/Delivery[[#This Row],[Exchange rate VS USD]]</f>
        <v>0.47474120180707519</v>
      </c>
      <c r="AJ795" s="204">
        <f>Delivery[[#This Row],[Valor Prêmio Nespresso AAA por Kg (em US$)]]*60</f>
        <v>28.484472108424512</v>
      </c>
      <c r="AK795" s="204">
        <f>Delivery[[#This Row],[Valor Prêmio Nespresso AAA por saca (em US$)]]/1.3228/100</f>
        <v>0.21533468482328783</v>
      </c>
      <c r="AL795" s="204">
        <f>(Delivery[[#This Row],[BEN premium (total)]]/SUMIF(Allocation!C:C,Delivery[Delivery ID],Allocation!H:H))/Delivery[[#This Row],[Exchange rate for premiums VS USD]]</f>
        <v>0</v>
      </c>
      <c r="AM795" s="204">
        <f>Delivery[[#This Row],[Valor Prêmio Nespresso BEN por Kg (em US$)]]*60</f>
        <v>0</v>
      </c>
      <c r="AN795" s="204">
        <f>Delivery[[#This Row],[Valor Prêmio Nespresso BEN por saca (em US$)]]/1.3228/100</f>
        <v>0</v>
      </c>
      <c r="AO795" s="204">
        <f>SUMIF(Allocation[Delivery ID],Delivery[[#This Row],[Delivery ID]],Allocation[Quantity allocated])*16*1.3228*Delivery[[#This Row],[Exchange rate VS USD]]/60</f>
        <v>3894.3953719679998</v>
      </c>
      <c r="AP795" s="204">
        <f>Delivery[[#This Row],[AAA Premium (total)]]</f>
        <v>5241.24</v>
      </c>
      <c r="AQ795" s="204">
        <f>Delivery[[#This Row],[Valor pago pelo Cluster]]-Delivery[[#This Row],[Valor efetivamente pago pela Nespresso]]</f>
        <v>1346.8446280319999</v>
      </c>
    </row>
    <row r="796" spans="1:43" ht="15.75">
      <c r="A796" s="174" t="s">
        <v>69</v>
      </c>
      <c r="B796" s="232" t="s">
        <v>68</v>
      </c>
      <c r="C796" s="157">
        <v>1</v>
      </c>
      <c r="D796" s="157" t="s">
        <v>468</v>
      </c>
      <c r="E796" s="177" t="s">
        <v>468</v>
      </c>
      <c r="F796" s="233" t="s">
        <v>543</v>
      </c>
      <c r="G796" s="234">
        <v>43307</v>
      </c>
      <c r="H796" s="235" t="s">
        <v>2031</v>
      </c>
      <c r="I796" s="236" t="s">
        <v>1015</v>
      </c>
      <c r="J796" s="237">
        <v>6589</v>
      </c>
      <c r="K796" s="175" t="s">
        <v>61</v>
      </c>
      <c r="L796" s="175" t="s">
        <v>439</v>
      </c>
      <c r="M796" s="175" t="s">
        <v>1343</v>
      </c>
      <c r="N796" s="198"/>
      <c r="O796" s="199"/>
      <c r="P796" s="181">
        <v>0</v>
      </c>
      <c r="Q796" s="177">
        <v>43304</v>
      </c>
      <c r="R796" s="178">
        <v>423.07492000000002</v>
      </c>
      <c r="S796" s="179">
        <v>48896.1</v>
      </c>
      <c r="T796" s="182" t="s">
        <v>45</v>
      </c>
      <c r="U796" s="183">
        <v>3.7978000000000001</v>
      </c>
      <c r="V796" s="179">
        <v>4177.7999999999993</v>
      </c>
      <c r="W796" s="179">
        <v>0</v>
      </c>
      <c r="X796" s="196" t="s">
        <v>45</v>
      </c>
      <c r="Y796" s="200">
        <v>3.7978000000000001</v>
      </c>
      <c r="Z796" s="220"/>
      <c r="AA796" s="201">
        <f>Delivery[[#This Row],[Quantity delivered]]*VLOOKUP(Delivery[[#This Row],[Unit]],References!$U:$X,4,FALSE)*VLOOKUP(CONCATENATE(Delivery[[#This Row],[Coffee specie]],Delivery[[#This Row],[Coffee state]]),References!$U:$X,4,FALSE)</f>
        <v>6589</v>
      </c>
      <c r="AB796" s="202">
        <f>SUMIF(Allocation!C:C,Delivery[[#This Row],[Delivery ID]],Allocation!D:D)/Delivery[[#This Row],[Quantity delivered]]</f>
        <v>0.58597662771285475</v>
      </c>
      <c r="AC796" s="203">
        <f>Delivery[[#This Row],[Quantity delivered]]*Delivery[[#This Row],[Base price (Unidad)]]/60</f>
        <v>46460.677464666667</v>
      </c>
      <c r="AD796" s="204">
        <f>Delivery[[#This Row],[Nespresso total]]-Delivery[[#This Row],[Qt. Delivery * Base Price]]</f>
        <v>2435.4225353333313</v>
      </c>
      <c r="AE796" s="204">
        <f>Delivery[[#This Row],[AAA Premium (total)]]/Delivery[[#This Row],[Quantity delivered]]*60/Delivery[[#This Row],[Exchange rate VS USD]]</f>
        <v>10.017221990659559</v>
      </c>
      <c r="AF796" s="204">
        <f>Delivery[[#This Row],[BEN premium (total)]]/Delivery[[#This Row],[Quantity delivered]]*60/Delivery[[#This Row],[Exchange rate for premiums VS USD]]</f>
        <v>0</v>
      </c>
      <c r="AG796" s="204">
        <f>COUNTIF(Delivery[Delivery ID],Delivery[[#This Row],[Delivery ID]])</f>
        <v>1</v>
      </c>
      <c r="AH796" s="204">
        <f>(Delivery[[#This Row],[Nespresso total]]/SUMIF(Allocation!C:C,Delivery[Delivery ID],Allocation!H:H))/Delivery[[#This Row],[Exchange rate VS USD]]</f>
        <v>5.5566890792213641</v>
      </c>
      <c r="AI796" s="204">
        <f>(Delivery[[#This Row],[AAA Premium (total)]]/SUMIF(Allocation!C:C,Delivery[Delivery ID],Allocation!H:H))/Delivery[[#This Row],[Exchange rate VS USD]]</f>
        <v>0.47477683568159851</v>
      </c>
      <c r="AJ796" s="204">
        <f>Delivery[[#This Row],[Valor Prêmio Nespresso AAA por Kg (em US$)]]*60</f>
        <v>28.486610140895909</v>
      </c>
      <c r="AK796" s="204">
        <f>Delivery[[#This Row],[Valor Prêmio Nespresso AAA por saca (em US$)]]/1.3228/100</f>
        <v>0.21535084775397573</v>
      </c>
      <c r="AL796" s="204">
        <f>(Delivery[[#This Row],[BEN premium (total)]]/SUMIF(Allocation!C:C,Delivery[Delivery ID],Allocation!H:H))/Delivery[[#This Row],[Exchange rate for premiums VS USD]]</f>
        <v>0</v>
      </c>
      <c r="AM796" s="204">
        <f>Delivery[[#This Row],[Valor Prêmio Nespresso BEN por Kg (em US$)]]*60</f>
        <v>0</v>
      </c>
      <c r="AN796" s="204">
        <f>Delivery[[#This Row],[Valor Prêmio Nespresso BEN por saca (em US$)]]/1.3228/100</f>
        <v>0</v>
      </c>
      <c r="AO796" s="204">
        <f>SUMIF(Allocation[Delivery ID],Delivery[[#This Row],[Delivery ID]],Allocation[Quantity allocated])*16*1.3228*Delivery[[#This Row],[Exchange rate VS USD]]/60</f>
        <v>3103.9952104746667</v>
      </c>
      <c r="AP796" s="204">
        <f>Delivery[[#This Row],[AAA Premium (total)]]</f>
        <v>4177.7999999999993</v>
      </c>
      <c r="AQ796" s="204">
        <f>Delivery[[#This Row],[Valor pago pelo Cluster]]-Delivery[[#This Row],[Valor efetivamente pago pela Nespresso]]</f>
        <v>1073.8047895253326</v>
      </c>
    </row>
    <row r="797" spans="1:43" ht="15.75">
      <c r="A797" s="174" t="s">
        <v>69</v>
      </c>
      <c r="B797" s="232" t="s">
        <v>68</v>
      </c>
      <c r="C797" s="157">
        <v>1</v>
      </c>
      <c r="D797" s="157" t="s">
        <v>468</v>
      </c>
      <c r="E797" s="177" t="s">
        <v>468</v>
      </c>
      <c r="F797" s="233" t="s">
        <v>543</v>
      </c>
      <c r="G797" s="234">
        <v>43311</v>
      </c>
      <c r="H797" s="157" t="s">
        <v>934</v>
      </c>
      <c r="I797" s="157" t="s">
        <v>935</v>
      </c>
      <c r="J797" s="237">
        <v>31231</v>
      </c>
      <c r="K797" s="175" t="s">
        <v>61</v>
      </c>
      <c r="L797" s="175" t="s">
        <v>439</v>
      </c>
      <c r="M797" s="175" t="s">
        <v>1343</v>
      </c>
      <c r="N797" s="198"/>
      <c r="O797" s="199"/>
      <c r="P797" s="181">
        <v>0</v>
      </c>
      <c r="Q797" s="177">
        <v>43306</v>
      </c>
      <c r="R797" s="178">
        <v>411.02190000000002</v>
      </c>
      <c r="S797" s="179">
        <v>220879.34</v>
      </c>
      <c r="T797" s="182" t="s">
        <v>45</v>
      </c>
      <c r="U797" s="183">
        <v>3.7029000000000001</v>
      </c>
      <c r="V797" s="179">
        <v>13426.56</v>
      </c>
      <c r="W797" s="179">
        <v>0</v>
      </c>
      <c r="X797" s="196" t="s">
        <v>45</v>
      </c>
      <c r="Y797" s="200">
        <v>3.7029000000000001</v>
      </c>
      <c r="Z797" s="220"/>
      <c r="AA797" s="201">
        <f>Delivery[[#This Row],[Quantity delivered]]*VLOOKUP(Delivery[[#This Row],[Unit]],References!$U:$X,4,FALSE)*VLOOKUP(CONCATENATE(Delivery[[#This Row],[Coffee specie]],Delivery[[#This Row],[Coffee state]]),References!$U:$X,4,FALSE)</f>
        <v>31231</v>
      </c>
      <c r="AB797" s="202">
        <f>SUMIF(Allocation!C:C,Delivery[[#This Row],[Delivery ID]],Allocation!D:D)/Delivery[[#This Row],[Quantity delivered]]</f>
        <v>0.96525887739745764</v>
      </c>
      <c r="AC797" s="203">
        <f>Delivery[[#This Row],[Quantity delivered]]*Delivery[[#This Row],[Base price (Unidad)]]/60</f>
        <v>213943.74931500002</v>
      </c>
      <c r="AD797" s="204">
        <f>Delivery[[#This Row],[Nespresso total]]-Delivery[[#This Row],[Qt. Delivery * Base Price]]</f>
        <v>6935.5906849999737</v>
      </c>
      <c r="AE797" s="204">
        <f>Delivery[[#This Row],[AAA Premium (total)]]/Delivery[[#This Row],[Quantity delivered]]*60/Delivery[[#This Row],[Exchange rate VS USD]]</f>
        <v>6.9660747966311769</v>
      </c>
      <c r="AF797" s="204">
        <f>Delivery[[#This Row],[BEN premium (total)]]/Delivery[[#This Row],[Quantity delivered]]*60/Delivery[[#This Row],[Exchange rate for premiums VS USD]]</f>
        <v>0</v>
      </c>
      <c r="AG797" s="204">
        <f>COUNTIF(Delivery[Delivery ID],Delivery[[#This Row],[Delivery ID]])</f>
        <v>1</v>
      </c>
      <c r="AH797" s="204">
        <f>(Delivery[[#This Row],[Nespresso total]]/SUMIF(Allocation!C:C,Delivery[Delivery ID],Allocation!H:H))/Delivery[[#This Row],[Exchange rate VS USD]]</f>
        <v>5.9962169209295011</v>
      </c>
      <c r="AI797" s="204">
        <f>(Delivery[[#This Row],[AAA Premium (total)]]/SUMIF(Allocation!C:C,Delivery[Delivery ID],Allocation!H:H))/Delivery[[#This Row],[Exchange rate VS USD]]</f>
        <v>0.3644911573073118</v>
      </c>
      <c r="AJ797" s="204">
        <f>Delivery[[#This Row],[Valor Prêmio Nespresso AAA por Kg (em US$)]]*60</f>
        <v>21.869469438438706</v>
      </c>
      <c r="AK797" s="204">
        <f>Delivery[[#This Row],[Valor Prêmio Nespresso AAA por saca (em US$)]]/1.3228/100</f>
        <v>0.16532710491713565</v>
      </c>
      <c r="AL797" s="204">
        <f>(Delivery[[#This Row],[BEN premium (total)]]/SUMIF(Allocation!C:C,Delivery[Delivery ID],Allocation!H:H))/Delivery[[#This Row],[Exchange rate for premiums VS USD]]</f>
        <v>0</v>
      </c>
      <c r="AM797" s="204">
        <f>Delivery[[#This Row],[Valor Prêmio Nespresso BEN por Kg (em US$)]]*60</f>
        <v>0</v>
      </c>
      <c r="AN797" s="204">
        <f>Delivery[[#This Row],[Valor Prêmio Nespresso BEN por saca (em US$)]]/1.3228/100</f>
        <v>0</v>
      </c>
      <c r="AO797" s="204">
        <f>SUMIF(Allocation[Delivery ID],Delivery[[#This Row],[Delivery ID]],Allocation[Quantity allocated])*16*1.3228*Delivery[[#This Row],[Exchange rate VS USD]]/60</f>
        <v>12993.934667136</v>
      </c>
      <c r="AP797" s="204">
        <f>Delivery[[#This Row],[AAA Premium (total)]]</f>
        <v>13426.56</v>
      </c>
      <c r="AQ797" s="204">
        <f>Delivery[[#This Row],[Valor pago pelo Cluster]]-Delivery[[#This Row],[Valor efetivamente pago pela Nespresso]]</f>
        <v>432.62533286399957</v>
      </c>
    </row>
    <row r="798" spans="1:43" ht="15.75">
      <c r="A798" s="174" t="s">
        <v>69</v>
      </c>
      <c r="B798" s="232" t="s">
        <v>68</v>
      </c>
      <c r="C798" s="157">
        <v>1</v>
      </c>
      <c r="D798" s="157" t="s">
        <v>468</v>
      </c>
      <c r="E798" s="177" t="s">
        <v>468</v>
      </c>
      <c r="F798" s="233" t="s">
        <v>543</v>
      </c>
      <c r="G798" s="234">
        <v>43311</v>
      </c>
      <c r="H798" s="157" t="s">
        <v>936</v>
      </c>
      <c r="I798" s="157" t="s">
        <v>935</v>
      </c>
      <c r="J798" s="237">
        <v>31011.5</v>
      </c>
      <c r="K798" s="175" t="s">
        <v>61</v>
      </c>
      <c r="L798" s="175" t="s">
        <v>439</v>
      </c>
      <c r="M798" s="175" t="s">
        <v>1343</v>
      </c>
      <c r="N798" s="198"/>
      <c r="O798" s="199"/>
      <c r="P798" s="181">
        <v>0</v>
      </c>
      <c r="Q798" s="177">
        <v>43306</v>
      </c>
      <c r="R798" s="178">
        <v>411.02190000000002</v>
      </c>
      <c r="S798" s="179">
        <v>220452.93</v>
      </c>
      <c r="T798" s="182" t="s">
        <v>45</v>
      </c>
      <c r="U798" s="183">
        <v>3.7029000000000001</v>
      </c>
      <c r="V798" s="179">
        <v>13400.64</v>
      </c>
      <c r="W798" s="179">
        <v>0</v>
      </c>
      <c r="X798" s="196" t="s">
        <v>45</v>
      </c>
      <c r="Y798" s="200">
        <v>3.7029000000000001</v>
      </c>
      <c r="Z798" s="220"/>
      <c r="AA798" s="201">
        <f>Delivery[[#This Row],[Quantity delivered]]*VLOOKUP(Delivery[[#This Row],[Unit]],References!$U:$X,4,FALSE)*VLOOKUP(CONCATENATE(Delivery[[#This Row],[Coffee specie]],Delivery[[#This Row],[Coffee state]]),References!$U:$X,4,FALSE)</f>
        <v>31011.5</v>
      </c>
      <c r="AB798" s="202">
        <f>SUMIF(Allocation!C:C,Delivery[[#This Row],[Delivery ID]],Allocation!D:D)/Delivery[[#This Row],[Quantity delivered]]</f>
        <v>0.96747980587846449</v>
      </c>
      <c r="AC798" s="203">
        <f>Delivery[[#This Row],[Quantity delivered]]*Delivery[[#This Row],[Base price (Unidad)]]/60</f>
        <v>212440.0941975</v>
      </c>
      <c r="AD798" s="204">
        <f>Delivery[[#This Row],[Nespresso total]]-Delivery[[#This Row],[Qt. Delivery * Base Price]]</f>
        <v>8012.8358024999907</v>
      </c>
      <c r="AE798" s="204">
        <f>Delivery[[#This Row],[AAA Premium (total)]]/Delivery[[#This Row],[Quantity delivered]]*60/Delivery[[#This Row],[Exchange rate VS USD]]</f>
        <v>7.0018376032969423</v>
      </c>
      <c r="AF798" s="204">
        <f>Delivery[[#This Row],[BEN premium (total)]]/Delivery[[#This Row],[Quantity delivered]]*60/Delivery[[#This Row],[Exchange rate for premiums VS USD]]</f>
        <v>0</v>
      </c>
      <c r="AG798" s="204">
        <f>COUNTIF(Delivery[Delivery ID],Delivery[[#This Row],[Delivery ID]])</f>
        <v>1</v>
      </c>
      <c r="AH798" s="204">
        <f>(Delivery[[#This Row],[Nespresso total]]/SUMIF(Allocation!C:C,Delivery[Delivery ID],Allocation!H:H))/Delivery[[#This Row],[Exchange rate VS USD]]</f>
        <v>6.0130502212526222</v>
      </c>
      <c r="AI798" s="204">
        <f>(Delivery[[#This Row],[AAA Premium (total)]]/SUMIF(Allocation!C:C,Delivery[Delivery ID],Allocation!H:H))/Delivery[[#This Row],[Exchange rate VS USD]]</f>
        <v>0.36551440399057855</v>
      </c>
      <c r="AJ798" s="204">
        <f>Delivery[[#This Row],[Valor Prêmio Nespresso AAA por Kg (em US$)]]*60</f>
        <v>21.930864239434712</v>
      </c>
      <c r="AK798" s="204">
        <f>Delivery[[#This Row],[Valor Prêmio Nespresso AAA por saca (em US$)]]/1.3228/100</f>
        <v>0.16579123253276923</v>
      </c>
      <c r="AL798" s="204">
        <f>(Delivery[[#This Row],[BEN premium (total)]]/SUMIF(Allocation!C:C,Delivery[Delivery ID],Allocation!H:H))/Delivery[[#This Row],[Exchange rate for premiums VS USD]]</f>
        <v>0</v>
      </c>
      <c r="AM798" s="204">
        <f>Delivery[[#This Row],[Valor Prêmio Nespresso BEN por Kg (em US$)]]*60</f>
        <v>0</v>
      </c>
      <c r="AN798" s="204">
        <f>Delivery[[#This Row],[Valor Prêmio Nespresso BEN por saca (em US$)]]/1.3228/100</f>
        <v>0</v>
      </c>
      <c r="AO798" s="204">
        <f>SUMIF(Allocation[Delivery ID],Delivery[[#This Row],[Delivery ID]],Allocation[Quantity allocated])*16*1.3228*Delivery[[#This Row],[Exchange rate VS USD]]/60</f>
        <v>12932.543942431999</v>
      </c>
      <c r="AP798" s="204">
        <f>Delivery[[#This Row],[AAA Premium (total)]]</f>
        <v>13400.64</v>
      </c>
      <c r="AQ798" s="204">
        <f>Delivery[[#This Row],[Valor pago pelo Cluster]]-Delivery[[#This Row],[Valor efetivamente pago pela Nespresso]]</f>
        <v>468.09605756800011</v>
      </c>
    </row>
    <row r="799" spans="1:43" ht="15.75">
      <c r="A799" s="174" t="s">
        <v>69</v>
      </c>
      <c r="B799" s="232" t="s">
        <v>68</v>
      </c>
      <c r="C799" s="157">
        <v>1</v>
      </c>
      <c r="D799" s="157" t="s">
        <v>468</v>
      </c>
      <c r="E799" s="177" t="s">
        <v>468</v>
      </c>
      <c r="F799" s="233" t="s">
        <v>543</v>
      </c>
      <c r="G799" s="234">
        <v>43311</v>
      </c>
      <c r="H799" s="157" t="s">
        <v>937</v>
      </c>
      <c r="I799" s="157" t="s">
        <v>938</v>
      </c>
      <c r="J799" s="237">
        <v>30030</v>
      </c>
      <c r="K799" s="175" t="s">
        <v>61</v>
      </c>
      <c r="L799" s="175" t="s">
        <v>439</v>
      </c>
      <c r="M799" s="175" t="s">
        <v>1343</v>
      </c>
      <c r="N799" s="198"/>
      <c r="O799" s="199"/>
      <c r="P799" s="181">
        <v>0</v>
      </c>
      <c r="Q799" s="177">
        <v>43305</v>
      </c>
      <c r="R799" s="178">
        <v>414.87829499999998</v>
      </c>
      <c r="S799" s="179">
        <v>219785</v>
      </c>
      <c r="T799" s="182" t="s">
        <v>45</v>
      </c>
      <c r="U799" s="183">
        <v>3.7427000000000001</v>
      </c>
      <c r="V799" s="179">
        <v>18715</v>
      </c>
      <c r="W799" s="179">
        <v>0</v>
      </c>
      <c r="X799" s="196" t="s">
        <v>45</v>
      </c>
      <c r="Y799" s="200">
        <v>3.7427000000000001</v>
      </c>
      <c r="Z799" s="220"/>
      <c r="AA799" s="201">
        <f>Delivery[[#This Row],[Quantity delivered]]*VLOOKUP(Delivery[[#This Row],[Unit]],References!$U:$X,4,FALSE)*VLOOKUP(CONCATENATE(Delivery[[#This Row],[Coffee specie]],Delivery[[#This Row],[Coffee state]]),References!$U:$X,4,FALSE)</f>
        <v>30030</v>
      </c>
      <c r="AB799" s="202">
        <f>SUMIF(Allocation!C:C,Delivery[[#This Row],[Delivery ID]],Allocation!D:D)/Delivery[[#This Row],[Quantity delivered]]</f>
        <v>0.77825507825507823</v>
      </c>
      <c r="AC799" s="203">
        <f>Delivery[[#This Row],[Quantity delivered]]*Delivery[[#This Row],[Base price (Unidad)]]/60</f>
        <v>207646.58664749999</v>
      </c>
      <c r="AD799" s="204">
        <f>Delivery[[#This Row],[Nespresso total]]-Delivery[[#This Row],[Qt. Delivery * Base Price]]</f>
        <v>12138.413352500007</v>
      </c>
      <c r="AE799" s="204">
        <f>Delivery[[#This Row],[AAA Premium (total)]]/Delivery[[#This Row],[Quantity delivered]]*60/Delivery[[#This Row],[Exchange rate VS USD]]</f>
        <v>9.9908107496212342</v>
      </c>
      <c r="AF799" s="204">
        <f>Delivery[[#This Row],[BEN premium (total)]]/Delivery[[#This Row],[Quantity delivered]]*60/Delivery[[#This Row],[Exchange rate for premiums VS USD]]</f>
        <v>0</v>
      </c>
      <c r="AG799" s="204">
        <f>COUNTIF(Delivery[Delivery ID],Delivery[[#This Row],[Delivery ID]])</f>
        <v>1</v>
      </c>
      <c r="AH799" s="204">
        <f>(Delivery[[#This Row],[Nespresso total]]/SUMIF(Allocation!C:C,Delivery[Delivery ID],Allocation!H:H))/Delivery[[#This Row],[Exchange rate VS USD]]</f>
        <v>6.1285377481536347</v>
      </c>
      <c r="AI799" s="204">
        <f>(Delivery[[#This Row],[AAA Premium (total)]]/SUMIF(Allocation!C:C,Delivery[Delivery ID],Allocation!H:H))/Delivery[[#This Row],[Exchange rate VS USD]]</f>
        <v>0.52185355668810562</v>
      </c>
      <c r="AJ799" s="204">
        <f>Delivery[[#This Row],[Valor Prêmio Nespresso AAA por Kg (em US$)]]*60</f>
        <v>31.311213401286338</v>
      </c>
      <c r="AK799" s="204">
        <f>Delivery[[#This Row],[Valor Prêmio Nespresso AAA por saca (em US$)]]/1.3228/100</f>
        <v>0.23670406260422086</v>
      </c>
      <c r="AL799" s="204">
        <f>(Delivery[[#This Row],[BEN premium (total)]]/SUMIF(Allocation!C:C,Delivery[Delivery ID],Allocation!H:H))/Delivery[[#This Row],[Exchange rate for premiums VS USD]]</f>
        <v>0</v>
      </c>
      <c r="AM799" s="204">
        <f>Delivery[[#This Row],[Valor Prêmio Nespresso BEN por Kg (em US$)]]*60</f>
        <v>0</v>
      </c>
      <c r="AN799" s="204">
        <f>Delivery[[#This Row],[Valor Prêmio Nespresso BEN por saca (em US$)]]/1.3228/100</f>
        <v>0</v>
      </c>
      <c r="AO799" s="204">
        <f>SUMIF(Allocation[Delivery ID],Delivery[[#This Row],[Delivery ID]],Allocation[Quantity allocated])*16*1.3228*Delivery[[#This Row],[Exchange rate VS USD]]/60</f>
        <v>12650.395464511999</v>
      </c>
      <c r="AP799" s="204">
        <f>Delivery[[#This Row],[AAA Premium (total)]]</f>
        <v>18715</v>
      </c>
      <c r="AQ799" s="204">
        <f>Delivery[[#This Row],[Valor pago pelo Cluster]]-Delivery[[#This Row],[Valor efetivamente pago pela Nespresso]]</f>
        <v>6064.6045354880007</v>
      </c>
    </row>
    <row r="800" spans="1:43" ht="15.75">
      <c r="A800" s="174" t="s">
        <v>69</v>
      </c>
      <c r="B800" s="232" t="s">
        <v>68</v>
      </c>
      <c r="C800" s="157">
        <v>1</v>
      </c>
      <c r="D800" s="157" t="s">
        <v>468</v>
      </c>
      <c r="E800" s="177" t="s">
        <v>468</v>
      </c>
      <c r="F800" s="233" t="s">
        <v>543</v>
      </c>
      <c r="G800" s="234">
        <v>43311</v>
      </c>
      <c r="H800" s="157" t="s">
        <v>939</v>
      </c>
      <c r="I800" s="157" t="s">
        <v>940</v>
      </c>
      <c r="J800" s="237">
        <v>13750</v>
      </c>
      <c r="K800" s="175" t="s">
        <v>61</v>
      </c>
      <c r="L800" s="175" t="s">
        <v>439</v>
      </c>
      <c r="M800" s="175" t="s">
        <v>1343</v>
      </c>
      <c r="N800" s="198"/>
      <c r="O800" s="199"/>
      <c r="P800" s="181">
        <v>0</v>
      </c>
      <c r="Q800" s="177">
        <v>43249</v>
      </c>
      <c r="R800" s="178">
        <v>475.25954999999999</v>
      </c>
      <c r="S800" s="179">
        <v>107198.39999999999</v>
      </c>
      <c r="T800" s="182" t="s">
        <v>45</v>
      </c>
      <c r="U800" s="183">
        <v>3.7793999999999999</v>
      </c>
      <c r="V800" s="179">
        <v>6085.8</v>
      </c>
      <c r="W800" s="179">
        <v>0</v>
      </c>
      <c r="X800" s="196" t="s">
        <v>45</v>
      </c>
      <c r="Y800" s="200">
        <v>3.7793999999999999</v>
      </c>
      <c r="Z800" s="220"/>
      <c r="AA800" s="201">
        <f>Delivery[[#This Row],[Quantity delivered]]*VLOOKUP(Delivery[[#This Row],[Unit]],References!$U:$X,4,FALSE)*VLOOKUP(CONCATENATE(Delivery[[#This Row],[Coffee specie]],Delivery[[#This Row],[Coffee state]]),References!$U:$X,4,FALSE)</f>
        <v>13750</v>
      </c>
      <c r="AB800" s="202">
        <f>SUMIF(Allocation!C:C,Delivery[[#This Row],[Delivery ID]],Allocation!D:D)/Delivery[[#This Row],[Quantity delivered]]</f>
        <v>1</v>
      </c>
      <c r="AC800" s="203">
        <f>Delivery[[#This Row],[Quantity delivered]]*Delivery[[#This Row],[Base price (Unidad)]]/60</f>
        <v>108913.64687500001</v>
      </c>
      <c r="AD800" s="204">
        <f>Delivery[[#This Row],[Nespresso total]]-Delivery[[#This Row],[Qt. Delivery * Base Price]]</f>
        <v>-1715.2468750000116</v>
      </c>
      <c r="AE800" s="204">
        <f>Delivery[[#This Row],[AAA Premium (total)]]/Delivery[[#This Row],[Quantity delivered]]*60/Delivery[[#This Row],[Exchange rate VS USD]]</f>
        <v>7.0265698740059754</v>
      </c>
      <c r="AF800" s="204">
        <f>Delivery[[#This Row],[BEN premium (total)]]/Delivery[[#This Row],[Quantity delivered]]*60/Delivery[[#This Row],[Exchange rate for premiums VS USD]]</f>
        <v>0</v>
      </c>
      <c r="AG800" s="204">
        <f>COUNTIF(Delivery[Delivery ID],Delivery[[#This Row],[Delivery ID]])</f>
        <v>1</v>
      </c>
      <c r="AH800" s="204">
        <f>(Delivery[[#This Row],[Nespresso total]]/SUMIF(Allocation!C:C,Delivery[Delivery ID],Allocation!H:H))/Delivery[[#This Row],[Exchange rate VS USD]]</f>
        <v>6.2503012958397353</v>
      </c>
      <c r="AI800" s="204">
        <f>(Delivery[[#This Row],[AAA Premium (total)]]/SUMIF(Allocation!C:C,Delivery[Delivery ID],Allocation!H:H))/Delivery[[#This Row],[Exchange rate VS USD]]</f>
        <v>0.35483816573961424</v>
      </c>
      <c r="AJ800" s="204">
        <f>Delivery[[#This Row],[Valor Prêmio Nespresso AAA por Kg (em US$)]]*60</f>
        <v>21.290289944376855</v>
      </c>
      <c r="AK800" s="204">
        <f>Delivery[[#This Row],[Valor Prêmio Nespresso AAA por saca (em US$)]]/1.3228/100</f>
        <v>0.16094866906846733</v>
      </c>
      <c r="AL800" s="204">
        <f>(Delivery[[#This Row],[BEN premium (total)]]/SUMIF(Allocation!C:C,Delivery[Delivery ID],Allocation!H:H))/Delivery[[#This Row],[Exchange rate for premiums VS USD]]</f>
        <v>0</v>
      </c>
      <c r="AM800" s="204">
        <f>Delivery[[#This Row],[Valor Prêmio Nespresso BEN por Kg (em US$)]]*60</f>
        <v>0</v>
      </c>
      <c r="AN800" s="204">
        <f>Delivery[[#This Row],[Valor Prêmio Nespresso BEN por saca (em US$)]]/1.3228/100</f>
        <v>0</v>
      </c>
      <c r="AO800" s="204">
        <f>SUMIF(Allocation[Delivery ID],Delivery[[#This Row],[Delivery ID]],Allocation[Quantity allocated])*16*1.3228*Delivery[[#This Row],[Exchange rate VS USD]]/60</f>
        <v>6049.9288725759998</v>
      </c>
      <c r="AP800" s="204">
        <f>Delivery[[#This Row],[AAA Premium (total)]]</f>
        <v>6085.8</v>
      </c>
      <c r="AQ800" s="204">
        <f>Delivery[[#This Row],[Valor pago pelo Cluster]]-Delivery[[#This Row],[Valor efetivamente pago pela Nespresso]]</f>
        <v>35.871127424000406</v>
      </c>
    </row>
    <row r="801" spans="1:43" ht="15.75">
      <c r="A801" s="174" t="s">
        <v>69</v>
      </c>
      <c r="B801" s="232" t="s">
        <v>68</v>
      </c>
      <c r="C801" s="157">
        <v>1</v>
      </c>
      <c r="D801" s="157" t="s">
        <v>468</v>
      </c>
      <c r="E801" s="177" t="s">
        <v>468</v>
      </c>
      <c r="F801" s="233" t="s">
        <v>543</v>
      </c>
      <c r="G801" s="234">
        <v>43311</v>
      </c>
      <c r="H801" s="157" t="s">
        <v>941</v>
      </c>
      <c r="I801" s="157" t="s">
        <v>942</v>
      </c>
      <c r="J801" s="237">
        <v>30050</v>
      </c>
      <c r="K801" s="175" t="s">
        <v>61</v>
      </c>
      <c r="L801" s="175" t="s">
        <v>439</v>
      </c>
      <c r="M801" s="175" t="s">
        <v>1343</v>
      </c>
      <c r="N801" s="198"/>
      <c r="O801" s="199"/>
      <c r="P801" s="181">
        <v>0</v>
      </c>
      <c r="Q801" s="177">
        <v>43304</v>
      </c>
      <c r="R801" s="178">
        <v>423.09499499999998</v>
      </c>
      <c r="S801" s="179">
        <v>220265</v>
      </c>
      <c r="T801" s="182" t="s">
        <v>45</v>
      </c>
      <c r="U801" s="183">
        <v>3.7827000000000002</v>
      </c>
      <c r="V801" s="179">
        <v>13235</v>
      </c>
      <c r="W801" s="179">
        <v>0</v>
      </c>
      <c r="X801" s="196" t="s">
        <v>45</v>
      </c>
      <c r="Y801" s="200">
        <v>3.7827000000000002</v>
      </c>
      <c r="Z801" s="220"/>
      <c r="AA801" s="201">
        <f>Delivery[[#This Row],[Quantity delivered]]*VLOOKUP(Delivery[[#This Row],[Unit]],References!$U:$X,4,FALSE)*VLOOKUP(CONCATENATE(Delivery[[#This Row],[Coffee specie]],Delivery[[#This Row],[Coffee state]]),References!$U:$X,4,FALSE)</f>
        <v>30050</v>
      </c>
      <c r="AB801" s="202">
        <f>SUMIF(Allocation!C:C,Delivery[[#This Row],[Delivery ID]],Allocation!D:D)/Delivery[[#This Row],[Quantity delivered]]</f>
        <v>1</v>
      </c>
      <c r="AC801" s="203">
        <f>Delivery[[#This Row],[Quantity delivered]]*Delivery[[#This Row],[Base price (Unidad)]]/60</f>
        <v>211900.07666249998</v>
      </c>
      <c r="AD801" s="204">
        <f>Delivery[[#This Row],[Nespresso total]]-Delivery[[#This Row],[Qt. Delivery * Base Price]]</f>
        <v>8364.9233375000185</v>
      </c>
      <c r="AE801" s="204">
        <f>Delivery[[#This Row],[AAA Premium (total)]]/Delivery[[#This Row],[Quantity delivered]]*60/Delivery[[#This Row],[Exchange rate VS USD]]</f>
        <v>6.9860038434897609</v>
      </c>
      <c r="AF801" s="204">
        <f>Delivery[[#This Row],[BEN premium (total)]]/Delivery[[#This Row],[Quantity delivered]]*60/Delivery[[#This Row],[Exchange rate for premiums VS USD]]</f>
        <v>0</v>
      </c>
      <c r="AG801" s="204">
        <f>COUNTIF(Delivery[Delivery ID],Delivery[[#This Row],[Delivery ID]])</f>
        <v>1</v>
      </c>
      <c r="AH801" s="204">
        <f>(Delivery[[#This Row],[Nespresso total]]/SUMIF(Allocation!C:C,Delivery[Delivery ID],Allocation!H:H))/Delivery[[#This Row],[Exchange rate VS USD]]</f>
        <v>6.4513152526162134</v>
      </c>
      <c r="AI801" s="204">
        <f>(Delivery[[#This Row],[AAA Premium (total)]]/SUMIF(Allocation!C:C,Delivery[Delivery ID],Allocation!H:H))/Delivery[[#This Row],[Exchange rate VS USD]]</f>
        <v>0.38763833277359355</v>
      </c>
      <c r="AJ801" s="204">
        <f>Delivery[[#This Row],[Valor Prêmio Nespresso AAA por Kg (em US$)]]*60</f>
        <v>23.258299966415613</v>
      </c>
      <c r="AK801" s="204">
        <f>Delivery[[#This Row],[Valor Prêmio Nespresso AAA por saca (em US$)]]/1.3228/100</f>
        <v>0.17582627733909598</v>
      </c>
      <c r="AL801" s="204">
        <f>(Delivery[[#This Row],[BEN premium (total)]]/SUMIF(Allocation!C:C,Delivery[Delivery ID],Allocation!H:H))/Delivery[[#This Row],[Exchange rate for premiums VS USD]]</f>
        <v>0</v>
      </c>
      <c r="AM801" s="204">
        <f>Delivery[[#This Row],[Valor Prêmio Nespresso BEN por Kg (em US$)]]*60</f>
        <v>0</v>
      </c>
      <c r="AN801" s="204">
        <f>Delivery[[#This Row],[Valor Prêmio Nespresso BEN por saca (em US$)]]/1.3228/100</f>
        <v>0</v>
      </c>
      <c r="AO801" s="204">
        <f>SUMIF(Allocation[Delivery ID],Delivery[[#This Row],[Delivery ID]],Allocation[Quantity allocated])*16*1.3228*Delivery[[#This Row],[Exchange rate VS USD]]/60</f>
        <v>12043.706049216002</v>
      </c>
      <c r="AP801" s="204">
        <f>Delivery[[#This Row],[AAA Premium (total)]]</f>
        <v>13235</v>
      </c>
      <c r="AQ801" s="204">
        <f>Delivery[[#This Row],[Valor pago pelo Cluster]]-Delivery[[#This Row],[Valor efetivamente pago pela Nespresso]]</f>
        <v>1191.2939507839983</v>
      </c>
    </row>
    <row r="802" spans="1:43" ht="15.75">
      <c r="A802" s="174" t="s">
        <v>69</v>
      </c>
      <c r="B802" s="232" t="s">
        <v>68</v>
      </c>
      <c r="C802" s="157">
        <v>1</v>
      </c>
      <c r="D802" s="157" t="s">
        <v>468</v>
      </c>
      <c r="E802" s="177" t="s">
        <v>468</v>
      </c>
      <c r="F802" s="233" t="s">
        <v>543</v>
      </c>
      <c r="G802" s="234">
        <v>43311</v>
      </c>
      <c r="H802" s="157" t="s">
        <v>943</v>
      </c>
      <c r="I802" s="157" t="s">
        <v>942</v>
      </c>
      <c r="J802" s="237">
        <v>30020</v>
      </c>
      <c r="K802" s="175" t="s">
        <v>61</v>
      </c>
      <c r="L802" s="175" t="s">
        <v>439</v>
      </c>
      <c r="M802" s="175" t="s">
        <v>1343</v>
      </c>
      <c r="N802" s="198"/>
      <c r="O802" s="199"/>
      <c r="P802" s="181">
        <v>0</v>
      </c>
      <c r="Q802" s="177">
        <v>43304</v>
      </c>
      <c r="R802" s="178">
        <v>423.09499499999998</v>
      </c>
      <c r="S802" s="179">
        <v>220265</v>
      </c>
      <c r="T802" s="182" t="s">
        <v>45</v>
      </c>
      <c r="U802" s="183">
        <v>3.7827000000000002</v>
      </c>
      <c r="V802" s="179">
        <v>13235</v>
      </c>
      <c r="W802" s="179">
        <v>0</v>
      </c>
      <c r="X802" s="196" t="s">
        <v>45</v>
      </c>
      <c r="Y802" s="200">
        <v>3.7827000000000002</v>
      </c>
      <c r="Z802" s="220"/>
      <c r="AA802" s="201">
        <f>Delivery[[#This Row],[Quantity delivered]]*VLOOKUP(Delivery[[#This Row],[Unit]],References!$U:$X,4,FALSE)*VLOOKUP(CONCATENATE(Delivery[[#This Row],[Coffee specie]],Delivery[[#This Row],[Coffee state]]),References!$U:$X,4,FALSE)</f>
        <v>30020</v>
      </c>
      <c r="AB802" s="202">
        <f>SUMIF(Allocation!C:C,Delivery[[#This Row],[Delivery ID]],Allocation!D:D)/Delivery[[#This Row],[Quantity delivered]]</f>
        <v>1</v>
      </c>
      <c r="AC802" s="203">
        <f>Delivery[[#This Row],[Quantity delivered]]*Delivery[[#This Row],[Base price (Unidad)]]/60</f>
        <v>211688.52916500001</v>
      </c>
      <c r="AD802" s="204">
        <f>Delivery[[#This Row],[Nespresso total]]-Delivery[[#This Row],[Qt. Delivery * Base Price]]</f>
        <v>8576.4708349999855</v>
      </c>
      <c r="AE802" s="204">
        <f>Delivery[[#This Row],[AAA Premium (total)]]/Delivery[[#This Row],[Quantity delivered]]*60/Delivery[[#This Row],[Exchange rate VS USD]]</f>
        <v>6.9929851931001776</v>
      </c>
      <c r="AF802" s="204">
        <f>Delivery[[#This Row],[BEN premium (total)]]/Delivery[[#This Row],[Quantity delivered]]*60/Delivery[[#This Row],[Exchange rate for premiums VS USD]]</f>
        <v>0</v>
      </c>
      <c r="AG802" s="204">
        <f>COUNTIF(Delivery[Delivery ID],Delivery[[#This Row],[Delivery ID]])</f>
        <v>1</v>
      </c>
      <c r="AH802" s="204">
        <f>(Delivery[[#This Row],[Nespresso total]]/SUMIF(Allocation!C:C,Delivery[Delivery ID],Allocation!H:H))/Delivery[[#This Row],[Exchange rate VS USD]]</f>
        <v>6.4541755120942073</v>
      </c>
      <c r="AI802" s="204">
        <f>(Delivery[[#This Row],[AAA Premium (total)]]/SUMIF(Allocation!C:C,Delivery[Delivery ID],Allocation!H:H))/Delivery[[#This Row],[Exchange rate VS USD]]</f>
        <v>0.38781019636604469</v>
      </c>
      <c r="AJ802" s="204">
        <f>Delivery[[#This Row],[Valor Prêmio Nespresso AAA por Kg (em US$)]]*60</f>
        <v>23.268611781962683</v>
      </c>
      <c r="AK802" s="204">
        <f>Delivery[[#This Row],[Valor Prêmio Nespresso AAA por saca (em US$)]]/1.3228/100</f>
        <v>0.17590423179590778</v>
      </c>
      <c r="AL802" s="204">
        <f>(Delivery[[#This Row],[BEN premium (total)]]/SUMIF(Allocation!C:C,Delivery[Delivery ID],Allocation!H:H))/Delivery[[#This Row],[Exchange rate for premiums VS USD]]</f>
        <v>0</v>
      </c>
      <c r="AM802" s="204">
        <f>Delivery[[#This Row],[Valor Prêmio Nespresso BEN por Kg (em US$)]]*60</f>
        <v>0</v>
      </c>
      <c r="AN802" s="204">
        <f>Delivery[[#This Row],[Valor Prêmio Nespresso BEN por saca (em US$)]]/1.3228/100</f>
        <v>0</v>
      </c>
      <c r="AO802" s="204">
        <f>SUMIF(Allocation[Delivery ID],Delivery[[#This Row],[Delivery ID]],Allocation[Quantity allocated])*16*1.3228*Delivery[[#This Row],[Exchange rate VS USD]]/60</f>
        <v>12038.368709952001</v>
      </c>
      <c r="AP802" s="204">
        <f>Delivery[[#This Row],[AAA Premium (total)]]</f>
        <v>13235</v>
      </c>
      <c r="AQ802" s="204">
        <f>Delivery[[#This Row],[Valor pago pelo Cluster]]-Delivery[[#This Row],[Valor efetivamente pago pela Nespresso]]</f>
        <v>1196.6312900479988</v>
      </c>
    </row>
    <row r="803" spans="1:43" ht="15.75">
      <c r="A803" s="174" t="s">
        <v>69</v>
      </c>
      <c r="B803" s="232" t="s">
        <v>68</v>
      </c>
      <c r="C803" s="157">
        <v>1</v>
      </c>
      <c r="D803" s="157" t="s">
        <v>468</v>
      </c>
      <c r="E803" s="177" t="s">
        <v>468</v>
      </c>
      <c r="F803" s="233" t="s">
        <v>543</v>
      </c>
      <c r="G803" s="234">
        <v>43311</v>
      </c>
      <c r="H803" s="157" t="s">
        <v>944</v>
      </c>
      <c r="I803" s="157" t="s">
        <v>942</v>
      </c>
      <c r="J803" s="237">
        <v>29990</v>
      </c>
      <c r="K803" s="175" t="s">
        <v>61</v>
      </c>
      <c r="L803" s="175" t="s">
        <v>439</v>
      </c>
      <c r="M803" s="175" t="s">
        <v>1343</v>
      </c>
      <c r="N803" s="198"/>
      <c r="O803" s="199"/>
      <c r="P803" s="181">
        <v>0</v>
      </c>
      <c r="Q803" s="177">
        <v>43304</v>
      </c>
      <c r="R803" s="178">
        <v>423.09499499999998</v>
      </c>
      <c r="S803" s="179">
        <v>220265</v>
      </c>
      <c r="T803" s="182" t="s">
        <v>45</v>
      </c>
      <c r="U803" s="183">
        <v>3.7827000000000002</v>
      </c>
      <c r="V803" s="179">
        <v>13235</v>
      </c>
      <c r="W803" s="179">
        <v>0</v>
      </c>
      <c r="X803" s="196" t="s">
        <v>45</v>
      </c>
      <c r="Y803" s="200">
        <v>3.7827000000000002</v>
      </c>
      <c r="Z803" s="220"/>
      <c r="AA803" s="201">
        <f>Delivery[[#This Row],[Quantity delivered]]*VLOOKUP(Delivery[[#This Row],[Unit]],References!$U:$X,4,FALSE)*VLOOKUP(CONCATENATE(Delivery[[#This Row],[Coffee specie]],Delivery[[#This Row],[Coffee state]]),References!$U:$X,4,FALSE)</f>
        <v>29990</v>
      </c>
      <c r="AB803" s="202">
        <f>SUMIF(Allocation!C:C,Delivery[[#This Row],[Delivery ID]],Allocation!D:D)/Delivery[[#This Row],[Quantity delivered]]</f>
        <v>1</v>
      </c>
      <c r="AC803" s="203">
        <f>Delivery[[#This Row],[Quantity delivered]]*Delivery[[#This Row],[Base price (Unidad)]]/60</f>
        <v>211476.98166749999</v>
      </c>
      <c r="AD803" s="204">
        <f>Delivery[[#This Row],[Nespresso total]]-Delivery[[#This Row],[Qt. Delivery * Base Price]]</f>
        <v>8788.0183325000107</v>
      </c>
      <c r="AE803" s="204">
        <f>Delivery[[#This Row],[AAA Premium (total)]]/Delivery[[#This Row],[Quantity delivered]]*60/Delivery[[#This Row],[Exchange rate VS USD]]</f>
        <v>6.9999805100655985</v>
      </c>
      <c r="AF803" s="204">
        <f>Delivery[[#This Row],[BEN premium (total)]]/Delivery[[#This Row],[Quantity delivered]]*60/Delivery[[#This Row],[Exchange rate for premiums VS USD]]</f>
        <v>0</v>
      </c>
      <c r="AG803" s="204">
        <f>COUNTIF(Delivery[Delivery ID],Delivery[[#This Row],[Delivery ID]])</f>
        <v>1</v>
      </c>
      <c r="AH803" s="204">
        <f>(Delivery[[#This Row],[Nespresso total]]/SUMIF(Allocation!C:C,Delivery[Delivery ID],Allocation!H:H))/Delivery[[#This Row],[Exchange rate VS USD]]</f>
        <v>6.4563223716724618</v>
      </c>
      <c r="AI803" s="204">
        <f>(Delivery[[#This Row],[AAA Premium (total)]]/SUMIF(Allocation!C:C,Delivery[Delivery ID],Allocation!H:H))/Delivery[[#This Row],[Exchange rate VS USD]]</f>
        <v>0.38793919410294431</v>
      </c>
      <c r="AJ803" s="204">
        <f>Delivery[[#This Row],[Valor Prêmio Nespresso AAA por Kg (em US$)]]*60</f>
        <v>23.276351646176657</v>
      </c>
      <c r="AK803" s="204">
        <f>Delivery[[#This Row],[Valor Prêmio Nespresso AAA por saca (em US$)]]/1.3228/100</f>
        <v>0.17596274301615253</v>
      </c>
      <c r="AL803" s="204">
        <f>(Delivery[[#This Row],[BEN premium (total)]]/SUMIF(Allocation!C:C,Delivery[Delivery ID],Allocation!H:H))/Delivery[[#This Row],[Exchange rate for premiums VS USD]]</f>
        <v>0</v>
      </c>
      <c r="AM803" s="204">
        <f>Delivery[[#This Row],[Valor Prêmio Nespresso BEN por Kg (em US$)]]*60</f>
        <v>0</v>
      </c>
      <c r="AN803" s="204">
        <f>Delivery[[#This Row],[Valor Prêmio Nespresso BEN por saca (em US$)]]/1.3228/100</f>
        <v>0</v>
      </c>
      <c r="AO803" s="204">
        <f>SUMIF(Allocation[Delivery ID],Delivery[[#This Row],[Delivery ID]],Allocation[Quantity allocated])*16*1.3228*Delivery[[#This Row],[Exchange rate VS USD]]/60</f>
        <v>12034.365705503998</v>
      </c>
      <c r="AP803" s="204">
        <f>Delivery[[#This Row],[AAA Premium (total)]]</f>
        <v>13235</v>
      </c>
      <c r="AQ803" s="204">
        <f>Delivery[[#This Row],[Valor pago pelo Cluster]]-Delivery[[#This Row],[Valor efetivamente pago pela Nespresso]]</f>
        <v>1200.6342944960015</v>
      </c>
    </row>
    <row r="804" spans="1:43" ht="15.75">
      <c r="A804" s="174" t="s">
        <v>69</v>
      </c>
      <c r="B804" s="232" t="s">
        <v>68</v>
      </c>
      <c r="C804" s="157">
        <v>1</v>
      </c>
      <c r="D804" s="157" t="s">
        <v>468</v>
      </c>
      <c r="E804" s="177" t="s">
        <v>468</v>
      </c>
      <c r="F804" s="233" t="s">
        <v>543</v>
      </c>
      <c r="G804" s="234">
        <v>43311</v>
      </c>
      <c r="H804" s="157" t="s">
        <v>945</v>
      </c>
      <c r="I804" s="157" t="s">
        <v>511</v>
      </c>
      <c r="J804" s="237">
        <v>30030</v>
      </c>
      <c r="K804" s="175" t="s">
        <v>61</v>
      </c>
      <c r="L804" s="175" t="s">
        <v>439</v>
      </c>
      <c r="M804" s="175" t="s">
        <v>1343</v>
      </c>
      <c r="N804" s="198"/>
      <c r="O804" s="199"/>
      <c r="P804" s="181">
        <v>0</v>
      </c>
      <c r="Q804" s="177">
        <v>43123</v>
      </c>
      <c r="R804" s="178">
        <v>434.94</v>
      </c>
      <c r="S804" s="179">
        <v>218844.11551818001</v>
      </c>
      <c r="T804" s="182" t="s">
        <v>45</v>
      </c>
      <c r="U804" s="183">
        <v>3.3</v>
      </c>
      <c r="V804" s="179">
        <v>11550</v>
      </c>
      <c r="W804" s="179">
        <v>3614.9422409099993</v>
      </c>
      <c r="X804" s="196" t="s">
        <v>45</v>
      </c>
      <c r="Y804" s="200">
        <v>3.3</v>
      </c>
      <c r="Z804" s="220" t="s">
        <v>473</v>
      </c>
      <c r="AA804" s="201">
        <f>Delivery[[#This Row],[Quantity delivered]]*VLOOKUP(Delivery[[#This Row],[Unit]],References!$U:$X,4,FALSE)*VLOOKUP(CONCATENATE(Delivery[[#This Row],[Coffee specie]],Delivery[[#This Row],[Coffee state]]),References!$U:$X,4,FALSE)</f>
        <v>30030</v>
      </c>
      <c r="AB804" s="202">
        <f>SUMIF(Allocation!C:C,Delivery[[#This Row],[Delivery ID]],Allocation!D:D)/Delivery[[#This Row],[Quantity delivered]]</f>
        <v>0.71778221778221774</v>
      </c>
      <c r="AC804" s="203">
        <f>Delivery[[#This Row],[Quantity delivered]]*Delivery[[#This Row],[Base price (Unidad)]]/60</f>
        <v>217687.47</v>
      </c>
      <c r="AD804" s="204">
        <f>Delivery[[#This Row],[Nespresso total]]-Delivery[[#This Row],[Qt. Delivery * Base Price]]</f>
        <v>1156.645518180012</v>
      </c>
      <c r="AE804" s="204">
        <f>Delivery[[#This Row],[AAA Premium (total)]]/Delivery[[#This Row],[Quantity delivered]]*60/Delivery[[#This Row],[Exchange rate VS USD]]</f>
        <v>6.9930069930069934</v>
      </c>
      <c r="AF804" s="204">
        <f>Delivery[[#This Row],[BEN premium (total)]]/Delivery[[#This Row],[Quantity delivered]]*60/Delivery[[#This Row],[Exchange rate for premiums VS USD]]</f>
        <v>2.1886853999999998</v>
      </c>
      <c r="AG804" s="204">
        <f>COUNTIF(Delivery[Delivery ID],Delivery[[#This Row],[Delivery ID]])</f>
        <v>1</v>
      </c>
      <c r="AH804" s="204">
        <f>(Delivery[[#This Row],[Nespresso total]]/SUMIF(Allocation!C:C,Delivery[Delivery ID],Allocation!H:H))/Delivery[[#This Row],[Exchange rate VS USD]]</f>
        <v>9.3232670661988948</v>
      </c>
      <c r="AI804" s="204">
        <f>(Delivery[[#This Row],[AAA Premium (total)]]/SUMIF(Allocation!C:C,Delivery[Delivery ID],Allocation!H:H))/Delivery[[#This Row],[Exchange rate VS USD]]</f>
        <v>0.49205679741318714</v>
      </c>
      <c r="AJ804" s="204">
        <f>Delivery[[#This Row],[Valor Prêmio Nespresso AAA por Kg (em US$)]]*60</f>
        <v>29.52340784479123</v>
      </c>
      <c r="AK804" s="204">
        <f>Delivery[[#This Row],[Valor Prêmio Nespresso AAA por saca (em US$)]]/1.3228/100</f>
        <v>0.22318874996062316</v>
      </c>
      <c r="AL804" s="204">
        <f>(Delivery[[#This Row],[BEN premium (total)]]/SUMIF(Allocation!C:C,Delivery[Delivery ID],Allocation!H:H))/Delivery[[#This Row],[Exchange rate for premiums VS USD]]</f>
        <v>0.15400492657106704</v>
      </c>
      <c r="AM804" s="204">
        <f>Delivery[[#This Row],[Valor Prêmio Nespresso BEN por Kg (em US$)]]*60</f>
        <v>9.2402955942640226</v>
      </c>
      <c r="AN804" s="204">
        <f>Delivery[[#This Row],[Valor Prêmio Nespresso BEN por saca (em US$)]]/1.3228/100</f>
        <v>6.9854064063078494E-2</v>
      </c>
      <c r="AO804" s="204">
        <f>SUMIF(Allocation[Delivery ID],Delivery[[#This Row],[Delivery ID]],Allocation[Quantity allocated])*16*1.3228*Delivery[[#This Row],[Exchange rate VS USD]]/60</f>
        <v>8279.9872319999995</v>
      </c>
      <c r="AP804" s="204">
        <f>Delivery[[#This Row],[AAA Premium (total)]]</f>
        <v>11550</v>
      </c>
      <c r="AQ804" s="204">
        <f>Delivery[[#This Row],[Valor pago pelo Cluster]]-Delivery[[#This Row],[Valor efetivamente pago pela Nespresso]]</f>
        <v>3270.0127680000005</v>
      </c>
    </row>
    <row r="805" spans="1:43" ht="15.75">
      <c r="A805" s="174" t="s">
        <v>69</v>
      </c>
      <c r="B805" s="232" t="s">
        <v>68</v>
      </c>
      <c r="C805" s="157">
        <v>1</v>
      </c>
      <c r="D805" s="157" t="s">
        <v>468</v>
      </c>
      <c r="E805" s="177" t="s">
        <v>468</v>
      </c>
      <c r="F805" s="233" t="s">
        <v>543</v>
      </c>
      <c r="G805" s="234">
        <v>43311</v>
      </c>
      <c r="H805" s="157" t="s">
        <v>946</v>
      </c>
      <c r="I805" s="157" t="s">
        <v>947</v>
      </c>
      <c r="J805" s="237">
        <v>27170</v>
      </c>
      <c r="K805" s="175" t="s">
        <v>61</v>
      </c>
      <c r="L805" s="175" t="s">
        <v>439</v>
      </c>
      <c r="M805" s="175" t="s">
        <v>1343</v>
      </c>
      <c r="N805" s="198"/>
      <c r="O805" s="199"/>
      <c r="P805" s="181">
        <v>0</v>
      </c>
      <c r="Q805" s="177">
        <v>43306</v>
      </c>
      <c r="R805" s="178">
        <v>415.28217500000005</v>
      </c>
      <c r="S805" s="179">
        <v>192498.2530485545</v>
      </c>
      <c r="T805" s="182" t="s">
        <v>45</v>
      </c>
      <c r="U805" s="183">
        <v>3.7195</v>
      </c>
      <c r="V805" s="179">
        <v>16888.8</v>
      </c>
      <c r="W805" s="179">
        <v>5026.9534757227493</v>
      </c>
      <c r="X805" s="196" t="s">
        <v>45</v>
      </c>
      <c r="Y805" s="200">
        <v>3.7195</v>
      </c>
      <c r="Z805" s="220" t="s">
        <v>473</v>
      </c>
      <c r="AA805" s="201">
        <f>Delivery[[#This Row],[Quantity delivered]]*VLOOKUP(Delivery[[#This Row],[Unit]],References!$U:$X,4,FALSE)*VLOOKUP(CONCATENATE(Delivery[[#This Row],[Coffee specie]],Delivery[[#This Row],[Coffee state]]),References!$U:$X,4,FALSE)</f>
        <v>27170</v>
      </c>
      <c r="AB805" s="202">
        <f>SUMIF(Allocation!C:C,Delivery[[#This Row],[Delivery ID]],Allocation!D:D)/Delivery[[#This Row],[Quantity delivered]]</f>
        <v>1</v>
      </c>
      <c r="AC805" s="203">
        <f>Delivery[[#This Row],[Quantity delivered]]*Delivery[[#This Row],[Base price (Unidad)]]/60</f>
        <v>188053.6115791667</v>
      </c>
      <c r="AD805" s="204">
        <f>Delivery[[#This Row],[Nespresso total]]-Delivery[[#This Row],[Qt. Delivery * Base Price]]</f>
        <v>4444.6414693878032</v>
      </c>
      <c r="AE805" s="204">
        <f>Delivery[[#This Row],[AAA Premium (total)]]/Delivery[[#This Row],[Quantity delivered]]*60/Delivery[[#This Row],[Exchange rate VS USD]]</f>
        <v>10.027111440006495</v>
      </c>
      <c r="AF805" s="204">
        <f>Delivery[[#This Row],[BEN premium (total)]]/Delivery[[#This Row],[Quantity delivered]]*60/Delivery[[#This Row],[Exchange rate for premiums VS USD]]</f>
        <v>2.9845709999999999</v>
      </c>
      <c r="AG805" s="204">
        <f>COUNTIF(Delivery[Delivery ID],Delivery[[#This Row],[Delivery ID]])</f>
        <v>1</v>
      </c>
      <c r="AH805" s="204">
        <f>(Delivery[[#This Row],[Nespresso total]]/SUMIF(Allocation!C:C,Delivery[Delivery ID],Allocation!H:H))/Delivery[[#This Row],[Exchange rate VS USD]]</f>
        <v>4.1743667021333009</v>
      </c>
      <c r="AI805" s="204">
        <f>(Delivery[[#This Row],[AAA Premium (total)]]/SUMIF(Allocation!C:C,Delivery[Delivery ID],Allocation!H:H))/Delivery[[#This Row],[Exchange rate VS USD]]</f>
        <v>0.36623732030028566</v>
      </c>
      <c r="AJ805" s="204">
        <f>Delivery[[#This Row],[Valor Prêmio Nespresso AAA por Kg (em US$)]]*60</f>
        <v>21.974239218017139</v>
      </c>
      <c r="AK805" s="204">
        <f>Delivery[[#This Row],[Valor Prêmio Nespresso AAA por saca (em US$)]]/1.3228/100</f>
        <v>0.16611913530403041</v>
      </c>
      <c r="AL805" s="204">
        <f>(Delivery[[#This Row],[BEN premium (total)]]/SUMIF(Allocation!C:C,Delivery[Delivery ID],Allocation!H:H))/Delivery[[#This Row],[Exchange rate for premiums VS USD]]</f>
        <v>0.10901058513469912</v>
      </c>
      <c r="AM805" s="204">
        <f>Delivery[[#This Row],[Valor Prêmio Nespresso BEN por Kg (em US$)]]*60</f>
        <v>6.5406351080819469</v>
      </c>
      <c r="AN805" s="204">
        <f>Delivery[[#This Row],[Valor Prêmio Nespresso BEN por saca (em US$)]]/1.3228/100</f>
        <v>4.9445381827048288E-2</v>
      </c>
      <c r="AO805" s="204">
        <f>SUMIF(Allocation[Delivery ID],Delivery[[#This Row],[Delivery ID]],Allocation[Quantity allocated])*16*1.3228*Delivery[[#This Row],[Exchange rate VS USD]]/60</f>
        <v>16266.687128213334</v>
      </c>
      <c r="AP805" s="204">
        <f>Delivery[[#This Row],[AAA Premium (total)]]</f>
        <v>16888.8</v>
      </c>
      <c r="AQ805" s="204">
        <f>Delivery[[#This Row],[Valor pago pelo Cluster]]-Delivery[[#This Row],[Valor efetivamente pago pela Nespresso]]</f>
        <v>622.11287178666498</v>
      </c>
    </row>
    <row r="806" spans="1:43" ht="15.75">
      <c r="A806" s="174" t="s">
        <v>69</v>
      </c>
      <c r="B806" s="232" t="s">
        <v>68</v>
      </c>
      <c r="C806" s="157" t="s">
        <v>1344</v>
      </c>
      <c r="D806" s="157" t="s">
        <v>468</v>
      </c>
      <c r="E806" s="177" t="s">
        <v>468</v>
      </c>
      <c r="F806" s="233" t="s">
        <v>543</v>
      </c>
      <c r="G806" s="234">
        <v>43311</v>
      </c>
      <c r="H806" s="157" t="s">
        <v>1620</v>
      </c>
      <c r="I806" s="157" t="s">
        <v>940</v>
      </c>
      <c r="J806" s="237">
        <v>4266</v>
      </c>
      <c r="K806" s="175" t="s">
        <v>61</v>
      </c>
      <c r="L806" s="175" t="s">
        <v>439</v>
      </c>
      <c r="M806" s="175" t="s">
        <v>1343</v>
      </c>
      <c r="N806" s="198"/>
      <c r="O806" s="199"/>
      <c r="P806" s="181">
        <v>0</v>
      </c>
      <c r="Q806" s="177">
        <v>43249</v>
      </c>
      <c r="R806" s="178">
        <v>475.25954999999999</v>
      </c>
      <c r="S806" s="179">
        <v>32625.599999999999</v>
      </c>
      <c r="T806" s="182" t="s">
        <v>45</v>
      </c>
      <c r="U806" s="183">
        <v>3.7793999999999999</v>
      </c>
      <c r="V806" s="179">
        <v>1881.00738</v>
      </c>
      <c r="W806" s="179">
        <v>0</v>
      </c>
      <c r="X806" s="196" t="s">
        <v>45</v>
      </c>
      <c r="Y806" s="200">
        <v>3.7793999999999999</v>
      </c>
      <c r="Z806" s="220"/>
      <c r="AA806" s="201">
        <f>Delivery[[#This Row],[Quantity delivered]]*VLOOKUP(Delivery[[#This Row],[Unit]],References!$U:$X,4,FALSE)*VLOOKUP(CONCATENATE(Delivery[[#This Row],[Coffee specie]],Delivery[[#This Row],[Coffee state]]),References!$U:$X,4,FALSE)</f>
        <v>4266</v>
      </c>
      <c r="AB806" s="202">
        <f>SUMIF(Allocation!C:C,Delivery[[#This Row],[Delivery ID]],Allocation!D:D)/Delivery[[#This Row],[Quantity delivered]]</f>
        <v>0.13947491795593062</v>
      </c>
      <c r="AC806" s="203">
        <f>Delivery[[#This Row],[Quantity delivered]]*Delivery[[#This Row],[Base price (Unidad)]]/60</f>
        <v>33790.954005</v>
      </c>
      <c r="AD806" s="204">
        <f>Delivery[[#This Row],[Nespresso total]]-Delivery[[#This Row],[Qt. Delivery * Base Price]]</f>
        <v>-1165.3540050000011</v>
      </c>
      <c r="AE806" s="204">
        <f>Delivery[[#This Row],[AAA Premium (total)]]/Delivery[[#This Row],[Quantity delivered]]*60/Delivery[[#This Row],[Exchange rate VS USD]]</f>
        <v>7</v>
      </c>
      <c r="AF806" s="204">
        <f>Delivery[[#This Row],[BEN premium (total)]]/Delivery[[#This Row],[Quantity delivered]]*60/Delivery[[#This Row],[Exchange rate for premiums VS USD]]</f>
        <v>0</v>
      </c>
      <c r="AG806" s="204">
        <f>COUNTIF(Delivery[Delivery ID],Delivery[[#This Row],[Delivery ID]])</f>
        <v>1</v>
      </c>
      <c r="AH806" s="204">
        <f>(Delivery[[#This Row],[Nespresso total]]/SUMIF(Allocation!C:C,Delivery[Delivery ID],Allocation!H:H))/Delivery[[#This Row],[Exchange rate VS USD]]</f>
        <v>44.043272174721615</v>
      </c>
      <c r="AI806" s="204">
        <f>(Delivery[[#This Row],[AAA Premium (total)]]/SUMIF(Allocation!C:C,Delivery[Delivery ID],Allocation!H:H))/Delivery[[#This Row],[Exchange rate VS USD]]</f>
        <v>2.5392857142857146</v>
      </c>
      <c r="AJ806" s="204">
        <f>Delivery[[#This Row],[Valor Prêmio Nespresso AAA por Kg (em US$)]]*60</f>
        <v>152.35714285714289</v>
      </c>
      <c r="AK806" s="204">
        <f>Delivery[[#This Row],[Valor Prêmio Nespresso AAA por saca (em US$)]]/1.3228/100</f>
        <v>1.1517776145837835</v>
      </c>
      <c r="AL806" s="204">
        <f>(Delivery[[#This Row],[BEN premium (total)]]/SUMIF(Allocation!C:C,Delivery[Delivery ID],Allocation!H:H))/Delivery[[#This Row],[Exchange rate for premiums VS USD]]</f>
        <v>0</v>
      </c>
      <c r="AM806" s="204">
        <f>Delivery[[#This Row],[Valor Prêmio Nespresso BEN por Kg (em US$)]]*60</f>
        <v>0</v>
      </c>
      <c r="AN806" s="204">
        <f>Delivery[[#This Row],[Valor Prêmio Nespresso BEN por saca (em US$)]]/1.3228/100</f>
        <v>0</v>
      </c>
      <c r="AO806" s="204">
        <f>SUMIF(Allocation[Delivery ID],Delivery[[#This Row],[Delivery ID]],Allocation[Quantity allocated])*16*1.3228*Delivery[[#This Row],[Exchange rate VS USD]]/60</f>
        <v>261.30146739200001</v>
      </c>
      <c r="AP806" s="204">
        <f>Delivery[[#This Row],[AAA Premium (total)]]</f>
        <v>1881.00738</v>
      </c>
      <c r="AQ806" s="204">
        <f>Delivery[[#This Row],[Valor pago pelo Cluster]]-Delivery[[#This Row],[Valor efetivamente pago pela Nespresso]]</f>
        <v>1619.7059126080001</v>
      </c>
    </row>
    <row r="807" spans="1:43" ht="15.75">
      <c r="A807" s="174" t="s">
        <v>69</v>
      </c>
      <c r="B807" s="232" t="s">
        <v>68</v>
      </c>
      <c r="C807" s="157">
        <v>1</v>
      </c>
      <c r="D807" s="157" t="s">
        <v>468</v>
      </c>
      <c r="E807" s="177" t="s">
        <v>468</v>
      </c>
      <c r="F807" s="233" t="s">
        <v>543</v>
      </c>
      <c r="G807" s="234">
        <v>43311</v>
      </c>
      <c r="H807" s="157" t="s">
        <v>948</v>
      </c>
      <c r="I807" s="157" t="s">
        <v>511</v>
      </c>
      <c r="J807" s="237">
        <v>29850</v>
      </c>
      <c r="K807" s="175" t="s">
        <v>61</v>
      </c>
      <c r="L807" s="175" t="s">
        <v>439</v>
      </c>
      <c r="M807" s="175" t="s">
        <v>1343</v>
      </c>
      <c r="N807" s="198"/>
      <c r="O807" s="199"/>
      <c r="P807" s="181">
        <v>0</v>
      </c>
      <c r="Q807" s="177">
        <v>43123</v>
      </c>
      <c r="R807" s="178">
        <v>434.94</v>
      </c>
      <c r="S807" s="179">
        <v>218887.4514891</v>
      </c>
      <c r="T807" s="182" t="s">
        <v>45</v>
      </c>
      <c r="U807" s="183">
        <v>3.3</v>
      </c>
      <c r="V807" s="179">
        <v>11550</v>
      </c>
      <c r="W807" s="179">
        <v>3593.2742554499991</v>
      </c>
      <c r="X807" s="196" t="s">
        <v>45</v>
      </c>
      <c r="Y807" s="200">
        <v>3.3</v>
      </c>
      <c r="Z807" s="220" t="s">
        <v>473</v>
      </c>
      <c r="AA807" s="201">
        <f>Delivery[[#This Row],[Quantity delivered]]*VLOOKUP(Delivery[[#This Row],[Unit]],References!$U:$X,4,FALSE)*VLOOKUP(CONCATENATE(Delivery[[#This Row],[Coffee specie]],Delivery[[#This Row],[Coffee state]]),References!$U:$X,4,FALSE)</f>
        <v>29850</v>
      </c>
      <c r="AB807" s="202">
        <f>SUMIF(Allocation!C:C,Delivery[[#This Row],[Delivery ID]],Allocation!D:D)/Delivery[[#This Row],[Quantity delivered]]</f>
        <v>0.72211055276381908</v>
      </c>
      <c r="AC807" s="203">
        <f>Delivery[[#This Row],[Quantity delivered]]*Delivery[[#This Row],[Base price (Unidad)]]/60</f>
        <v>216382.65</v>
      </c>
      <c r="AD807" s="204">
        <f>Delivery[[#This Row],[Nespresso total]]-Delivery[[#This Row],[Qt. Delivery * Base Price]]</f>
        <v>2504.8014891000057</v>
      </c>
      <c r="AE807" s="204">
        <f>Delivery[[#This Row],[AAA Premium (total)]]/Delivery[[#This Row],[Quantity delivered]]*60/Delivery[[#This Row],[Exchange rate VS USD]]</f>
        <v>7.0351758793969852</v>
      </c>
      <c r="AF807" s="204">
        <f>Delivery[[#This Row],[BEN premium (total)]]/Delivery[[#This Row],[Quantity delivered]]*60/Delivery[[#This Row],[Exchange rate for premiums VS USD]]</f>
        <v>2.1886853999999998</v>
      </c>
      <c r="AG807" s="204">
        <f>COUNTIF(Delivery[Delivery ID],Delivery[[#This Row],[Delivery ID]])</f>
        <v>1</v>
      </c>
      <c r="AH807" s="204">
        <f>(Delivery[[#This Row],[Nespresso total]]/SUMIF(Allocation!C:C,Delivery[Delivery ID],Allocation!H:H))/Delivery[[#This Row],[Exchange rate VS USD]]</f>
        <v>9.3251132791048406</v>
      </c>
      <c r="AI807" s="204">
        <f>(Delivery[[#This Row],[AAA Premium (total)]]/SUMIF(Allocation!C:C,Delivery[Delivery ID],Allocation!H:H))/Delivery[[#This Row],[Exchange rate VS USD]]</f>
        <v>0.49205679741318714</v>
      </c>
      <c r="AJ807" s="204">
        <f>Delivery[[#This Row],[Valor Prêmio Nespresso AAA por Kg (em US$)]]*60</f>
        <v>29.52340784479123</v>
      </c>
      <c r="AK807" s="204">
        <f>Delivery[[#This Row],[Valor Prêmio Nespresso AAA por saca (em US$)]]/1.3228/100</f>
        <v>0.22318874996062316</v>
      </c>
      <c r="AL807" s="204">
        <f>(Delivery[[#This Row],[BEN premium (total)]]/SUMIF(Allocation!C:C,Delivery[Delivery ID],Allocation!H:H))/Delivery[[#This Row],[Exchange rate for premiums VS USD]]</f>
        <v>0.1530818201180936</v>
      </c>
      <c r="AM807" s="204">
        <f>Delivery[[#This Row],[Valor Prêmio Nespresso BEN por Kg (em US$)]]*60</f>
        <v>9.1849092070856155</v>
      </c>
      <c r="AN807" s="204">
        <f>Delivery[[#This Row],[Valor Prêmio Nespresso BEN por saca (em US$)]]/1.3228/100</f>
        <v>6.9435358384378712E-2</v>
      </c>
      <c r="AO807" s="204">
        <f>SUMIF(Allocation[Delivery ID],Delivery[[#This Row],[Delivery ID]],Allocation[Quantity allocated])*16*1.3228*Delivery[[#This Row],[Exchange rate VS USD]]/60</f>
        <v>8279.9872319999995</v>
      </c>
      <c r="AP807" s="204">
        <f>Delivery[[#This Row],[AAA Premium (total)]]</f>
        <v>11550</v>
      </c>
      <c r="AQ807" s="204">
        <f>Delivery[[#This Row],[Valor pago pelo Cluster]]-Delivery[[#This Row],[Valor efetivamente pago pela Nespresso]]</f>
        <v>3270.0127680000005</v>
      </c>
    </row>
    <row r="808" spans="1:43" ht="15.75">
      <c r="A808" s="174" t="s">
        <v>69</v>
      </c>
      <c r="B808" s="232" t="s">
        <v>68</v>
      </c>
      <c r="C808" s="157">
        <v>1</v>
      </c>
      <c r="D808" s="157" t="s">
        <v>468</v>
      </c>
      <c r="E808" s="177" t="s">
        <v>468</v>
      </c>
      <c r="F808" s="233" t="s">
        <v>543</v>
      </c>
      <c r="G808" s="234">
        <v>43313</v>
      </c>
      <c r="H808" s="235" t="s">
        <v>2032</v>
      </c>
      <c r="I808" s="236" t="s">
        <v>1015</v>
      </c>
      <c r="J808" s="237">
        <v>12099.5</v>
      </c>
      <c r="K808" s="175" t="s">
        <v>61</v>
      </c>
      <c r="L808" s="175" t="s">
        <v>439</v>
      </c>
      <c r="M808" s="175" t="s">
        <v>1343</v>
      </c>
      <c r="N808" s="198"/>
      <c r="O808" s="199"/>
      <c r="P808" s="181">
        <v>0</v>
      </c>
      <c r="Q808" s="177">
        <v>43311</v>
      </c>
      <c r="R808" s="178">
        <v>417.45132000000001</v>
      </c>
      <c r="S808" s="179">
        <v>93540.97</v>
      </c>
      <c r="T808" s="182" t="s">
        <v>45</v>
      </c>
      <c r="U808" s="183">
        <v>3.7206000000000001</v>
      </c>
      <c r="V808" s="179">
        <v>7479.21</v>
      </c>
      <c r="W808" s="179">
        <v>0</v>
      </c>
      <c r="X808" s="196" t="s">
        <v>45</v>
      </c>
      <c r="Y808" s="200">
        <v>3.7206000000000001</v>
      </c>
      <c r="Z808" s="220"/>
      <c r="AA808" s="201">
        <f>Delivery[[#This Row],[Quantity delivered]]*VLOOKUP(Delivery[[#This Row],[Unit]],References!$U:$X,4,FALSE)*VLOOKUP(CONCATENATE(Delivery[[#This Row],[Coffee specie]],Delivery[[#This Row],[Coffee state]]),References!$U:$X,4,FALSE)</f>
        <v>12099.5</v>
      </c>
      <c r="AB808" s="202">
        <f>SUMIF(Allocation!C:C,Delivery[[#This Row],[Delivery ID]],Allocation!D:D)/Delivery[[#This Row],[Quantity delivered]]</f>
        <v>0.70333484854746064</v>
      </c>
      <c r="AC808" s="203">
        <f>Delivery[[#This Row],[Quantity delivered]]*Delivery[[#This Row],[Base price (Unidad)]]/60</f>
        <v>84182.537439000007</v>
      </c>
      <c r="AD808" s="204">
        <f>Delivery[[#This Row],[Nespresso total]]-Delivery[[#This Row],[Qt. Delivery * Base Price]]</f>
        <v>9358.4325609999942</v>
      </c>
      <c r="AE808" s="204">
        <f>Delivery[[#This Row],[AAA Premium (total)]]/Delivery[[#This Row],[Quantity delivered]]*60/Delivery[[#This Row],[Exchange rate VS USD]]</f>
        <v>9.9684256085541971</v>
      </c>
      <c r="AF808" s="204">
        <f>Delivery[[#This Row],[BEN premium (total)]]/Delivery[[#This Row],[Quantity delivered]]*60/Delivery[[#This Row],[Exchange rate for premiums VS USD]]</f>
        <v>0</v>
      </c>
      <c r="AG808" s="204">
        <f>COUNTIF(Delivery[Delivery ID],Delivery[[#This Row],[Delivery ID]])</f>
        <v>1</v>
      </c>
      <c r="AH808" s="204">
        <f>(Delivery[[#This Row],[Nespresso total]]/SUMIF(Allocation!C:C,Delivery[Delivery ID],Allocation!H:H))/Delivery[[#This Row],[Exchange rate VS USD]]</f>
        <v>5.9086643910269832</v>
      </c>
      <c r="AI808" s="204">
        <f>(Delivery[[#This Row],[AAA Premium (total)]]/SUMIF(Allocation!C:C,Delivery[Delivery ID],Allocation!H:H))/Delivery[[#This Row],[Exchange rate VS USD]]</f>
        <v>0.47243621484802784</v>
      </c>
      <c r="AJ808" s="204">
        <f>Delivery[[#This Row],[Valor Prêmio Nespresso AAA por Kg (em US$)]]*60</f>
        <v>28.346172890881672</v>
      </c>
      <c r="AK808" s="204">
        <f>Delivery[[#This Row],[Valor Prêmio Nespresso AAA por saca (em US$)]]/1.3228/100</f>
        <v>0.21428918121319679</v>
      </c>
      <c r="AL808" s="204">
        <f>(Delivery[[#This Row],[BEN premium (total)]]/SUMIF(Allocation!C:C,Delivery[Delivery ID],Allocation!H:H))/Delivery[[#This Row],[Exchange rate for premiums VS USD]]</f>
        <v>0</v>
      </c>
      <c r="AM808" s="204">
        <f>Delivery[[#This Row],[Valor Prêmio Nespresso BEN por Kg (em US$)]]*60</f>
        <v>0</v>
      </c>
      <c r="AN808" s="204">
        <f>Delivery[[#This Row],[Valor Prêmio Nespresso BEN por saca (em US$)]]/1.3228/100</f>
        <v>0</v>
      </c>
      <c r="AO808" s="204">
        <f>SUMIF(Allocation[Delivery ID],Delivery[[#This Row],[Delivery ID]],Allocation[Quantity allocated])*16*1.3228*Delivery[[#This Row],[Exchange rate VS USD]]/60</f>
        <v>5584.3864502400002</v>
      </c>
      <c r="AP808" s="204">
        <f>Delivery[[#This Row],[AAA Premium (total)]]</f>
        <v>7479.21</v>
      </c>
      <c r="AQ808" s="204">
        <f>Delivery[[#This Row],[Valor pago pelo Cluster]]-Delivery[[#This Row],[Valor efetivamente pago pela Nespresso]]</f>
        <v>1894.8235497599999</v>
      </c>
    </row>
    <row r="809" spans="1:43" ht="15.75">
      <c r="A809" s="174" t="s">
        <v>69</v>
      </c>
      <c r="B809" s="232" t="s">
        <v>68</v>
      </c>
      <c r="C809" s="157">
        <v>1</v>
      </c>
      <c r="D809" s="157" t="s">
        <v>468</v>
      </c>
      <c r="E809" s="177" t="s">
        <v>468</v>
      </c>
      <c r="F809" s="233" t="s">
        <v>541</v>
      </c>
      <c r="G809" s="234">
        <v>43313</v>
      </c>
      <c r="H809" s="157" t="s">
        <v>949</v>
      </c>
      <c r="I809" s="157" t="s">
        <v>509</v>
      </c>
      <c r="J809" s="237">
        <v>30700</v>
      </c>
      <c r="K809" s="175" t="s">
        <v>61</v>
      </c>
      <c r="L809" s="175" t="s">
        <v>439</v>
      </c>
      <c r="M809" s="175" t="s">
        <v>1343</v>
      </c>
      <c r="N809" s="198"/>
      <c r="O809" s="199"/>
      <c r="P809" s="181">
        <v>0</v>
      </c>
      <c r="Q809" s="177">
        <v>43160</v>
      </c>
      <c r="R809" s="178">
        <v>438.01680000000005</v>
      </c>
      <c r="S809" s="179">
        <v>228279.94475824002</v>
      </c>
      <c r="T809" s="182" t="s">
        <v>45</v>
      </c>
      <c r="U809" s="183">
        <v>3.3359999999999999</v>
      </c>
      <c r="V809" s="179">
        <v>11955.5</v>
      </c>
      <c r="W809" s="179">
        <v>3396.2826208799993</v>
      </c>
      <c r="X809" s="196" t="s">
        <v>45</v>
      </c>
      <c r="Y809" s="200">
        <v>3.3359999999999999</v>
      </c>
      <c r="Z809" s="220" t="s">
        <v>473</v>
      </c>
      <c r="AA809" s="201">
        <f>Delivery[[#This Row],[Quantity delivered]]*VLOOKUP(Delivery[[#This Row],[Unit]],References!$U:$X,4,FALSE)*VLOOKUP(CONCATENATE(Delivery[[#This Row],[Coffee specie]],Delivery[[#This Row],[Coffee state]]),References!$U:$X,4,FALSE)</f>
        <v>30700</v>
      </c>
      <c r="AB809" s="202">
        <f>SUMIF(Allocation!C:C,Delivery[[#This Row],[Delivery ID]],Allocation!D:D)/Delivery[[#This Row],[Quantity delivered]]</f>
        <v>1</v>
      </c>
      <c r="AC809" s="203">
        <f>Delivery[[#This Row],[Quantity delivered]]*Delivery[[#This Row],[Base price (Unidad)]]/60</f>
        <v>224118.59600000002</v>
      </c>
      <c r="AD809" s="204">
        <f>Delivery[[#This Row],[Nespresso total]]-Delivery[[#This Row],[Qt. Delivery * Base Price]]</f>
        <v>4161.3487582399976</v>
      </c>
      <c r="AE809" s="204">
        <f>Delivery[[#This Row],[AAA Premium (total)]]/Delivery[[#This Row],[Quantity delivered]]*60/Delivery[[#This Row],[Exchange rate VS USD]]</f>
        <v>7.0041361047969444</v>
      </c>
      <c r="AF809" s="204">
        <f>Delivery[[#This Row],[BEN premium (total)]]/Delivery[[#This Row],[Quantity delivered]]*60/Delivery[[#This Row],[Exchange rate for premiums VS USD]]</f>
        <v>1.9897139999999998</v>
      </c>
      <c r="AG809" s="204">
        <f>COUNTIF(Delivery[Delivery ID],Delivery[[#This Row],[Delivery ID]])</f>
        <v>1</v>
      </c>
      <c r="AH809" s="204">
        <f>(Delivery[[#This Row],[Nespresso total]]/SUMIF(Allocation!C:C,Delivery[Delivery ID],Allocation!H:H))/Delivery[[#This Row],[Exchange rate VS USD]]</f>
        <v>7.40415927671972</v>
      </c>
      <c r="AI809" s="204">
        <f>(Delivery[[#This Row],[AAA Premium (total)]]/SUMIF(Allocation!C:C,Delivery[Delivery ID],Allocation!H:H))/Delivery[[#This Row],[Exchange rate VS USD]]</f>
        <v>0.38777136697912828</v>
      </c>
      <c r="AJ809" s="204">
        <f>Delivery[[#This Row],[Valor Prêmio Nespresso AAA por Kg (em US$)]]*60</f>
        <v>23.266282018747695</v>
      </c>
      <c r="AK809" s="204">
        <f>Delivery[[#This Row],[Valor Prêmio Nespresso AAA por saca (em US$)]]/1.3228/100</f>
        <v>0.17588661943413741</v>
      </c>
      <c r="AL809" s="204">
        <f>(Delivery[[#This Row],[BEN premium (total)]]/SUMIF(Allocation!C:C,Delivery[Delivery ID],Allocation!H:H))/Delivery[[#This Row],[Exchange rate for premiums VS USD]]</f>
        <v>0.11015692815407918</v>
      </c>
      <c r="AM809" s="204">
        <f>Delivery[[#This Row],[Valor Prêmio Nespresso BEN por Kg (em US$)]]*60</f>
        <v>6.6094156892447504</v>
      </c>
      <c r="AN809" s="204">
        <f>Delivery[[#This Row],[Valor Prêmio Nespresso BEN por saca (em US$)]]/1.3228/100</f>
        <v>4.996534388603531E-2</v>
      </c>
      <c r="AO809" s="204">
        <f>SUMIF(Allocation[Delivery ID],Delivery[[#This Row],[Delivery ID]],Allocation[Quantity allocated])*16*1.3228*Delivery[[#This Row],[Exchange rate VS USD]]/60</f>
        <v>10875.642536959998</v>
      </c>
      <c r="AP809" s="204">
        <f>Delivery[[#This Row],[AAA Premium (total)]]</f>
        <v>11955.5</v>
      </c>
      <c r="AQ809" s="204">
        <f>Delivery[[#This Row],[Valor pago pelo Cluster]]-Delivery[[#This Row],[Valor efetivamente pago pela Nespresso]]</f>
        <v>1079.8574630400017</v>
      </c>
    </row>
    <row r="810" spans="1:43" ht="15.75">
      <c r="A810" s="174" t="s">
        <v>69</v>
      </c>
      <c r="B810" s="232" t="s">
        <v>68</v>
      </c>
      <c r="C810" s="157">
        <v>1</v>
      </c>
      <c r="D810" s="157" t="s">
        <v>468</v>
      </c>
      <c r="E810" s="177" t="s">
        <v>468</v>
      </c>
      <c r="F810" s="233" t="s">
        <v>541</v>
      </c>
      <c r="G810" s="234">
        <v>43313</v>
      </c>
      <c r="H810" s="157" t="s">
        <v>950</v>
      </c>
      <c r="I810" s="157" t="s">
        <v>509</v>
      </c>
      <c r="J810" s="237">
        <v>30680</v>
      </c>
      <c r="K810" s="175" t="s">
        <v>61</v>
      </c>
      <c r="L810" s="175" t="s">
        <v>439</v>
      </c>
      <c r="M810" s="175" t="s">
        <v>1343</v>
      </c>
      <c r="N810" s="198"/>
      <c r="O810" s="199"/>
      <c r="P810" s="181">
        <v>0</v>
      </c>
      <c r="Q810" s="177">
        <v>43160</v>
      </c>
      <c r="R810" s="178">
        <v>438.01680000000005</v>
      </c>
      <c r="S810" s="179">
        <v>227825.24988217599</v>
      </c>
      <c r="T810" s="182" t="s">
        <v>45</v>
      </c>
      <c r="U810" s="183">
        <v>3.3359999999999999</v>
      </c>
      <c r="V810" s="179">
        <v>11931.85</v>
      </c>
      <c r="W810" s="179">
        <v>3394.0700589119992</v>
      </c>
      <c r="X810" s="196" t="s">
        <v>45</v>
      </c>
      <c r="Y810" s="200">
        <v>3.3359999999999999</v>
      </c>
      <c r="Z810" s="220" t="s">
        <v>473</v>
      </c>
      <c r="AA810" s="201">
        <f>Delivery[[#This Row],[Quantity delivered]]*VLOOKUP(Delivery[[#This Row],[Unit]],References!$U:$X,4,FALSE)*VLOOKUP(CONCATENATE(Delivery[[#This Row],[Coffee specie]],Delivery[[#This Row],[Coffee state]]),References!$U:$X,4,FALSE)</f>
        <v>30680</v>
      </c>
      <c r="AB810" s="202">
        <f>SUMIF(Allocation!C:C,Delivery[[#This Row],[Delivery ID]],Allocation!D:D)/Delivery[[#This Row],[Quantity delivered]]</f>
        <v>1</v>
      </c>
      <c r="AC810" s="203">
        <f>Delivery[[#This Row],[Quantity delivered]]*Delivery[[#This Row],[Base price (Unidad)]]/60</f>
        <v>223972.59040000002</v>
      </c>
      <c r="AD810" s="204">
        <f>Delivery[[#This Row],[Nespresso total]]-Delivery[[#This Row],[Qt. Delivery * Base Price]]</f>
        <v>3852.6594821759791</v>
      </c>
      <c r="AE810" s="204">
        <f>Delivery[[#This Row],[AAA Premium (total)]]/Delivery[[#This Row],[Quantity delivered]]*60/Delivery[[#This Row],[Exchange rate VS USD]]</f>
        <v>6.9948376370611474</v>
      </c>
      <c r="AF810" s="204">
        <f>Delivery[[#This Row],[BEN premium (total)]]/Delivery[[#This Row],[Quantity delivered]]*60/Delivery[[#This Row],[Exchange rate for premiums VS USD]]</f>
        <v>1.9897139999999998</v>
      </c>
      <c r="AG810" s="204">
        <f>COUNTIF(Delivery[Delivery ID],Delivery[[#This Row],[Delivery ID]])</f>
        <v>1</v>
      </c>
      <c r="AH810" s="204">
        <f>(Delivery[[#This Row],[Nespresso total]]/SUMIF(Allocation!C:C,Delivery[Delivery ID],Allocation!H:H))/Delivery[[#This Row],[Exchange rate VS USD]]</f>
        <v>7.3894114490546494</v>
      </c>
      <c r="AI810" s="204">
        <f>(Delivery[[#This Row],[AAA Premium (total)]]/SUMIF(Allocation!C:C,Delivery[Delivery ID],Allocation!H:H))/Delivery[[#This Row],[Exchange rate VS USD]]</f>
        <v>0.38700428966500033</v>
      </c>
      <c r="AJ810" s="204">
        <f>Delivery[[#This Row],[Valor Prêmio Nespresso AAA por Kg (em US$)]]*60</f>
        <v>23.220257379900019</v>
      </c>
      <c r="AK810" s="204">
        <f>Delivery[[#This Row],[Valor Prêmio Nespresso AAA por saca (em US$)]]/1.3228/100</f>
        <v>0.1755386859684005</v>
      </c>
      <c r="AL810" s="204">
        <f>(Delivery[[#This Row],[BEN premium (total)]]/SUMIF(Allocation!C:C,Delivery[Delivery ID],Allocation!H:H))/Delivery[[#This Row],[Exchange rate for premiums VS USD]]</f>
        <v>0.11008516468296903</v>
      </c>
      <c r="AM810" s="204">
        <f>Delivery[[#This Row],[Valor Prêmio Nespresso BEN por Kg (em US$)]]*60</f>
        <v>6.6051098809781417</v>
      </c>
      <c r="AN810" s="204">
        <f>Delivery[[#This Row],[Valor Prêmio Nespresso BEN por saca (em US$)]]/1.3228/100</f>
        <v>4.9932793173405966E-2</v>
      </c>
      <c r="AO810" s="204">
        <f>SUMIF(Allocation[Delivery ID],Delivery[[#This Row],[Delivery ID]],Allocation[Quantity allocated])*16*1.3228*Delivery[[#This Row],[Exchange rate VS USD]]/60</f>
        <v>10875.642536959998</v>
      </c>
      <c r="AP810" s="204">
        <f>Delivery[[#This Row],[AAA Premium (total)]]</f>
        <v>11931.85</v>
      </c>
      <c r="AQ810" s="204">
        <f>Delivery[[#This Row],[Valor pago pelo Cluster]]-Delivery[[#This Row],[Valor efetivamente pago pela Nespresso]]</f>
        <v>1056.207463040002</v>
      </c>
    </row>
    <row r="811" spans="1:43" ht="15.75">
      <c r="A811" s="174" t="s">
        <v>69</v>
      </c>
      <c r="B811" s="232" t="s">
        <v>68</v>
      </c>
      <c r="C811" s="157">
        <v>1</v>
      </c>
      <c r="D811" s="157" t="s">
        <v>468</v>
      </c>
      <c r="E811" s="177" t="s">
        <v>468</v>
      </c>
      <c r="F811" s="233" t="s">
        <v>541</v>
      </c>
      <c r="G811" s="234">
        <v>43313</v>
      </c>
      <c r="H811" s="157" t="s">
        <v>951</v>
      </c>
      <c r="I811" s="157" t="s">
        <v>509</v>
      </c>
      <c r="J811" s="237">
        <v>30750</v>
      </c>
      <c r="K811" s="175" t="s">
        <v>61</v>
      </c>
      <c r="L811" s="175" t="s">
        <v>439</v>
      </c>
      <c r="M811" s="175" t="s">
        <v>1343</v>
      </c>
      <c r="N811" s="198"/>
      <c r="O811" s="199"/>
      <c r="P811" s="181">
        <v>0</v>
      </c>
      <c r="Q811" s="177">
        <v>43160</v>
      </c>
      <c r="R811" s="178">
        <v>438.01680000000005</v>
      </c>
      <c r="S811" s="179">
        <v>228268.8819484</v>
      </c>
      <c r="T811" s="182" t="s">
        <v>45</v>
      </c>
      <c r="U811" s="183">
        <v>3.3359999999999999</v>
      </c>
      <c r="V811" s="179">
        <v>11955.5</v>
      </c>
      <c r="W811" s="179">
        <v>3401.8140257999989</v>
      </c>
      <c r="X811" s="196" t="s">
        <v>45</v>
      </c>
      <c r="Y811" s="200">
        <v>3.3359999999999999</v>
      </c>
      <c r="Z811" s="220" t="s">
        <v>473</v>
      </c>
      <c r="AA811" s="201">
        <f>Delivery[[#This Row],[Quantity delivered]]*VLOOKUP(Delivery[[#This Row],[Unit]],References!$U:$X,4,FALSE)*VLOOKUP(CONCATENATE(Delivery[[#This Row],[Coffee specie]],Delivery[[#This Row],[Coffee state]]),References!$U:$X,4,FALSE)</f>
        <v>30750</v>
      </c>
      <c r="AB811" s="202">
        <f>SUMIF(Allocation!C:C,Delivery[[#This Row],[Delivery ID]],Allocation!D:D)/Delivery[[#This Row],[Quantity delivered]]</f>
        <v>1</v>
      </c>
      <c r="AC811" s="203">
        <f>Delivery[[#This Row],[Quantity delivered]]*Delivery[[#This Row],[Base price (Unidad)]]/60</f>
        <v>224483.61000000002</v>
      </c>
      <c r="AD811" s="204">
        <f>Delivery[[#This Row],[Nespresso total]]-Delivery[[#This Row],[Qt. Delivery * Base Price]]</f>
        <v>3785.2719483999826</v>
      </c>
      <c r="AE811" s="204">
        <f>Delivery[[#This Row],[AAA Premium (total)]]/Delivery[[#This Row],[Quantity delivered]]*60/Delivery[[#This Row],[Exchange rate VS USD]]</f>
        <v>6.9927472656021532</v>
      </c>
      <c r="AF811" s="204">
        <f>Delivery[[#This Row],[BEN premium (total)]]/Delivery[[#This Row],[Quantity delivered]]*60/Delivery[[#This Row],[Exchange rate for premiums VS USD]]</f>
        <v>1.9897139999999998</v>
      </c>
      <c r="AG811" s="204">
        <f>COUNTIF(Delivery[Delivery ID],Delivery[[#This Row],[Delivery ID]])</f>
        <v>1</v>
      </c>
      <c r="AH811" s="204">
        <f>(Delivery[[#This Row],[Nespresso total]]/SUMIF(Allocation!C:C,Delivery[Delivery ID],Allocation!H:H))/Delivery[[#This Row],[Exchange rate VS USD]]</f>
        <v>7.4038004593641684</v>
      </c>
      <c r="AI811" s="204">
        <f>(Delivery[[#This Row],[AAA Premium (total)]]/SUMIF(Allocation!C:C,Delivery[Delivery ID],Allocation!H:H))/Delivery[[#This Row],[Exchange rate VS USD]]</f>
        <v>0.38777136697912828</v>
      </c>
      <c r="AJ811" s="204">
        <f>Delivery[[#This Row],[Valor Prêmio Nespresso AAA por Kg (em US$)]]*60</f>
        <v>23.266282018747695</v>
      </c>
      <c r="AK811" s="204">
        <f>Delivery[[#This Row],[Valor Prêmio Nespresso AAA por saca (em US$)]]/1.3228/100</f>
        <v>0.17588661943413741</v>
      </c>
      <c r="AL811" s="204">
        <f>(Delivery[[#This Row],[BEN premium (total)]]/SUMIF(Allocation!C:C,Delivery[Delivery ID],Allocation!H:H))/Delivery[[#This Row],[Exchange rate for premiums VS USD]]</f>
        <v>0.11033633683185454</v>
      </c>
      <c r="AM811" s="204">
        <f>Delivery[[#This Row],[Valor Prêmio Nespresso BEN por Kg (em US$)]]*60</f>
        <v>6.6201802099112719</v>
      </c>
      <c r="AN811" s="204">
        <f>Delivery[[#This Row],[Valor Prêmio Nespresso BEN por saca (em US$)]]/1.3228/100</f>
        <v>5.0046720667608645E-2</v>
      </c>
      <c r="AO811" s="204">
        <f>SUMIF(Allocation[Delivery ID],Delivery[[#This Row],[Delivery ID]],Allocation[Quantity allocated])*16*1.3228*Delivery[[#This Row],[Exchange rate VS USD]]/60</f>
        <v>10875.642536959998</v>
      </c>
      <c r="AP811" s="204">
        <f>Delivery[[#This Row],[AAA Premium (total)]]</f>
        <v>11955.5</v>
      </c>
      <c r="AQ811" s="204">
        <f>Delivery[[#This Row],[Valor pago pelo Cluster]]-Delivery[[#This Row],[Valor efetivamente pago pela Nespresso]]</f>
        <v>1079.8574630400017</v>
      </c>
    </row>
    <row r="812" spans="1:43" ht="15.75">
      <c r="A812" s="174" t="s">
        <v>69</v>
      </c>
      <c r="B812" s="232" t="s">
        <v>68</v>
      </c>
      <c r="C812" s="157">
        <v>1</v>
      </c>
      <c r="D812" s="157" t="s">
        <v>468</v>
      </c>
      <c r="E812" s="177" t="s">
        <v>468</v>
      </c>
      <c r="F812" s="233" t="s">
        <v>541</v>
      </c>
      <c r="G812" s="234">
        <v>43313</v>
      </c>
      <c r="H812" s="157" t="s">
        <v>952</v>
      </c>
      <c r="I812" s="157" t="s">
        <v>509</v>
      </c>
      <c r="J812" s="237">
        <v>30730</v>
      </c>
      <c r="K812" s="175" t="s">
        <v>61</v>
      </c>
      <c r="L812" s="175" t="s">
        <v>439</v>
      </c>
      <c r="M812" s="175" t="s">
        <v>1343</v>
      </c>
      <c r="N812" s="198"/>
      <c r="O812" s="199"/>
      <c r="P812" s="181">
        <v>0</v>
      </c>
      <c r="Q812" s="177">
        <v>43160</v>
      </c>
      <c r="R812" s="178">
        <v>438.01680000000005</v>
      </c>
      <c r="S812" s="179">
        <v>228273.30707233603</v>
      </c>
      <c r="T812" s="182" t="s">
        <v>45</v>
      </c>
      <c r="U812" s="183">
        <v>3.3359999999999999</v>
      </c>
      <c r="V812" s="179">
        <v>11955.5</v>
      </c>
      <c r="W812" s="179">
        <v>3399.6014638319989</v>
      </c>
      <c r="X812" s="196" t="s">
        <v>45</v>
      </c>
      <c r="Y812" s="200">
        <v>3.3359999999999999</v>
      </c>
      <c r="Z812" s="220" t="s">
        <v>473</v>
      </c>
      <c r="AA812" s="201">
        <f>Delivery[[#This Row],[Quantity delivered]]*VLOOKUP(Delivery[[#This Row],[Unit]],References!$U:$X,4,FALSE)*VLOOKUP(CONCATENATE(Delivery[[#This Row],[Coffee specie]],Delivery[[#This Row],[Coffee state]]),References!$U:$X,4,FALSE)</f>
        <v>30730</v>
      </c>
      <c r="AB812" s="202">
        <f>SUMIF(Allocation!C:C,Delivery[[#This Row],[Delivery ID]],Allocation!D:D)/Delivery[[#This Row],[Quantity delivered]]</f>
        <v>1</v>
      </c>
      <c r="AC812" s="203">
        <f>Delivery[[#This Row],[Quantity delivered]]*Delivery[[#This Row],[Base price (Unidad)]]/60</f>
        <v>224337.60440000004</v>
      </c>
      <c r="AD812" s="204">
        <f>Delivery[[#This Row],[Nespresso total]]-Delivery[[#This Row],[Qt. Delivery * Base Price]]</f>
        <v>3935.7026723359886</v>
      </c>
      <c r="AE812" s="204">
        <f>Delivery[[#This Row],[AAA Premium (total)]]/Delivery[[#This Row],[Quantity delivered]]*60/Delivery[[#This Row],[Exchange rate VS USD]]</f>
        <v>6.9972983539624538</v>
      </c>
      <c r="AF812" s="204">
        <f>Delivery[[#This Row],[BEN premium (total)]]/Delivery[[#This Row],[Quantity delivered]]*60/Delivery[[#This Row],[Exchange rate for premiums VS USD]]</f>
        <v>1.9897139999999995</v>
      </c>
      <c r="AG812" s="204">
        <f>COUNTIF(Delivery[Delivery ID],Delivery[[#This Row],[Delivery ID]])</f>
        <v>1</v>
      </c>
      <c r="AH812" s="204">
        <f>(Delivery[[#This Row],[Nespresso total]]/SUMIF(Allocation!C:C,Delivery[Delivery ID],Allocation!H:H))/Delivery[[#This Row],[Exchange rate VS USD]]</f>
        <v>7.4039439863063903</v>
      </c>
      <c r="AI812" s="204">
        <f>(Delivery[[#This Row],[AAA Premium (total)]]/SUMIF(Allocation!C:C,Delivery[Delivery ID],Allocation!H:H))/Delivery[[#This Row],[Exchange rate VS USD]]</f>
        <v>0.38777136697912828</v>
      </c>
      <c r="AJ812" s="204">
        <f>Delivery[[#This Row],[Valor Prêmio Nespresso AAA por Kg (em US$)]]*60</f>
        <v>23.266282018747695</v>
      </c>
      <c r="AK812" s="204">
        <f>Delivery[[#This Row],[Valor Prêmio Nespresso AAA por saca (em US$)]]/1.3228/100</f>
        <v>0.17588661943413741</v>
      </c>
      <c r="AL812" s="204">
        <f>(Delivery[[#This Row],[BEN premium (total)]]/SUMIF(Allocation!C:C,Delivery[Delivery ID],Allocation!H:H))/Delivery[[#This Row],[Exchange rate for premiums VS USD]]</f>
        <v>0.1102645733607444</v>
      </c>
      <c r="AM812" s="204">
        <f>Delivery[[#This Row],[Valor Prêmio Nespresso BEN por Kg (em US$)]]*60</f>
        <v>6.615874401644664</v>
      </c>
      <c r="AN812" s="204">
        <f>Delivery[[#This Row],[Valor Prêmio Nespresso BEN por saca (em US$)]]/1.3228/100</f>
        <v>5.0014169954979322E-2</v>
      </c>
      <c r="AO812" s="204">
        <f>SUMIF(Allocation[Delivery ID],Delivery[[#This Row],[Delivery ID]],Allocation[Quantity allocated])*16*1.3228*Delivery[[#This Row],[Exchange rate VS USD]]/60</f>
        <v>10875.642536959998</v>
      </c>
      <c r="AP812" s="204">
        <f>Delivery[[#This Row],[AAA Premium (total)]]</f>
        <v>11955.5</v>
      </c>
      <c r="AQ812" s="204">
        <f>Delivery[[#This Row],[Valor pago pelo Cluster]]-Delivery[[#This Row],[Valor efetivamente pago pela Nespresso]]</f>
        <v>1079.8574630400017</v>
      </c>
    </row>
    <row r="813" spans="1:43" ht="15.75">
      <c r="A813" s="174" t="s">
        <v>69</v>
      </c>
      <c r="B813" s="232" t="s">
        <v>68</v>
      </c>
      <c r="C813" s="157">
        <v>1</v>
      </c>
      <c r="D813" s="157" t="s">
        <v>468</v>
      </c>
      <c r="E813" s="177" t="s">
        <v>468</v>
      </c>
      <c r="F813" s="233" t="s">
        <v>541</v>
      </c>
      <c r="G813" s="234">
        <v>43313</v>
      </c>
      <c r="H813" s="157" t="s">
        <v>953</v>
      </c>
      <c r="I813" s="157" t="s">
        <v>509</v>
      </c>
      <c r="J813" s="237">
        <v>30680</v>
      </c>
      <c r="K813" s="175" t="s">
        <v>61</v>
      </c>
      <c r="L813" s="175" t="s">
        <v>439</v>
      </c>
      <c r="M813" s="175" t="s">
        <v>1343</v>
      </c>
      <c r="N813" s="198"/>
      <c r="O813" s="199"/>
      <c r="P813" s="181">
        <v>0</v>
      </c>
      <c r="Q813" s="177">
        <v>43160</v>
      </c>
      <c r="R813" s="178">
        <v>438.01680000000005</v>
      </c>
      <c r="S813" s="179">
        <v>227825.24988217599</v>
      </c>
      <c r="T813" s="182" t="s">
        <v>45</v>
      </c>
      <c r="U813" s="183">
        <v>3.3359999999999999</v>
      </c>
      <c r="V813" s="179">
        <v>11931.85</v>
      </c>
      <c r="W813" s="179">
        <v>3394.0700589119992</v>
      </c>
      <c r="X813" s="196" t="s">
        <v>45</v>
      </c>
      <c r="Y813" s="200">
        <v>3.3359999999999999</v>
      </c>
      <c r="Z813" s="220" t="s">
        <v>473</v>
      </c>
      <c r="AA813" s="201">
        <f>Delivery[[#This Row],[Quantity delivered]]*VLOOKUP(Delivery[[#This Row],[Unit]],References!$U:$X,4,FALSE)*VLOOKUP(CONCATENATE(Delivery[[#This Row],[Coffee specie]],Delivery[[#This Row],[Coffee state]]),References!$U:$X,4,FALSE)</f>
        <v>30680</v>
      </c>
      <c r="AB813" s="202">
        <f>SUMIF(Allocation!C:C,Delivery[[#This Row],[Delivery ID]],Allocation!D:D)/Delivery[[#This Row],[Quantity delivered]]</f>
        <v>1</v>
      </c>
      <c r="AC813" s="203">
        <f>Delivery[[#This Row],[Quantity delivered]]*Delivery[[#This Row],[Base price (Unidad)]]/60</f>
        <v>223972.59040000002</v>
      </c>
      <c r="AD813" s="204">
        <f>Delivery[[#This Row],[Nespresso total]]-Delivery[[#This Row],[Qt. Delivery * Base Price]]</f>
        <v>3852.6594821759791</v>
      </c>
      <c r="AE813" s="204">
        <f>Delivery[[#This Row],[AAA Premium (total)]]/Delivery[[#This Row],[Quantity delivered]]*60/Delivery[[#This Row],[Exchange rate VS USD]]</f>
        <v>6.9948376370611474</v>
      </c>
      <c r="AF813" s="204">
        <f>Delivery[[#This Row],[BEN premium (total)]]/Delivery[[#This Row],[Quantity delivered]]*60/Delivery[[#This Row],[Exchange rate for premiums VS USD]]</f>
        <v>1.9897139999999998</v>
      </c>
      <c r="AG813" s="204">
        <f>COUNTIF(Delivery[Delivery ID],Delivery[[#This Row],[Delivery ID]])</f>
        <v>1</v>
      </c>
      <c r="AH813" s="204">
        <f>(Delivery[[#This Row],[Nespresso total]]/SUMIF(Allocation!C:C,Delivery[Delivery ID],Allocation!H:H))/Delivery[[#This Row],[Exchange rate VS USD]]</f>
        <v>7.3894114490546494</v>
      </c>
      <c r="AI813" s="204">
        <f>(Delivery[[#This Row],[AAA Premium (total)]]/SUMIF(Allocation!C:C,Delivery[Delivery ID],Allocation!H:H))/Delivery[[#This Row],[Exchange rate VS USD]]</f>
        <v>0.38700428966500033</v>
      </c>
      <c r="AJ813" s="204">
        <f>Delivery[[#This Row],[Valor Prêmio Nespresso AAA por Kg (em US$)]]*60</f>
        <v>23.220257379900019</v>
      </c>
      <c r="AK813" s="204">
        <f>Delivery[[#This Row],[Valor Prêmio Nespresso AAA por saca (em US$)]]/1.3228/100</f>
        <v>0.1755386859684005</v>
      </c>
      <c r="AL813" s="204">
        <f>(Delivery[[#This Row],[BEN premium (total)]]/SUMIF(Allocation!C:C,Delivery[Delivery ID],Allocation!H:H))/Delivery[[#This Row],[Exchange rate for premiums VS USD]]</f>
        <v>0.11008516468296903</v>
      </c>
      <c r="AM813" s="204">
        <f>Delivery[[#This Row],[Valor Prêmio Nespresso BEN por Kg (em US$)]]*60</f>
        <v>6.6051098809781417</v>
      </c>
      <c r="AN813" s="204">
        <f>Delivery[[#This Row],[Valor Prêmio Nespresso BEN por saca (em US$)]]/1.3228/100</f>
        <v>4.9932793173405966E-2</v>
      </c>
      <c r="AO813" s="204">
        <f>SUMIF(Allocation[Delivery ID],Delivery[[#This Row],[Delivery ID]],Allocation[Quantity allocated])*16*1.3228*Delivery[[#This Row],[Exchange rate VS USD]]/60</f>
        <v>10875.642536959998</v>
      </c>
      <c r="AP813" s="204">
        <f>Delivery[[#This Row],[AAA Premium (total)]]</f>
        <v>11931.85</v>
      </c>
      <c r="AQ813" s="204">
        <f>Delivery[[#This Row],[Valor pago pelo Cluster]]-Delivery[[#This Row],[Valor efetivamente pago pela Nespresso]]</f>
        <v>1056.207463040002</v>
      </c>
    </row>
    <row r="814" spans="1:43" ht="15.75">
      <c r="A814" s="174" t="s">
        <v>69</v>
      </c>
      <c r="B814" s="232" t="s">
        <v>68</v>
      </c>
      <c r="C814" s="157">
        <v>1</v>
      </c>
      <c r="D814" s="157" t="s">
        <v>468</v>
      </c>
      <c r="E814" s="177" t="s">
        <v>468</v>
      </c>
      <c r="F814" s="233" t="s">
        <v>541</v>
      </c>
      <c r="G814" s="234">
        <v>43313</v>
      </c>
      <c r="H814" s="157" t="s">
        <v>954</v>
      </c>
      <c r="I814" s="157" t="s">
        <v>509</v>
      </c>
      <c r="J814" s="237">
        <v>30700</v>
      </c>
      <c r="K814" s="175" t="s">
        <v>61</v>
      </c>
      <c r="L814" s="175" t="s">
        <v>439</v>
      </c>
      <c r="M814" s="175" t="s">
        <v>1343</v>
      </c>
      <c r="N814" s="198"/>
      <c r="O814" s="199"/>
      <c r="P814" s="181">
        <v>0</v>
      </c>
      <c r="Q814" s="177">
        <v>43160</v>
      </c>
      <c r="R814" s="178">
        <v>438.01680000000005</v>
      </c>
      <c r="S814" s="179">
        <v>227820.82475824002</v>
      </c>
      <c r="T814" s="182" t="s">
        <v>45</v>
      </c>
      <c r="U814" s="183">
        <v>3.3359999999999999</v>
      </c>
      <c r="V814" s="179">
        <v>11931.85</v>
      </c>
      <c r="W814" s="179">
        <v>3396.2826208799993</v>
      </c>
      <c r="X814" s="196" t="s">
        <v>45</v>
      </c>
      <c r="Y814" s="200">
        <v>3.3359999999999999</v>
      </c>
      <c r="Z814" s="220" t="s">
        <v>473</v>
      </c>
      <c r="AA814" s="201">
        <f>Delivery[[#This Row],[Quantity delivered]]*VLOOKUP(Delivery[[#This Row],[Unit]],References!$U:$X,4,FALSE)*VLOOKUP(CONCATENATE(Delivery[[#This Row],[Coffee specie]],Delivery[[#This Row],[Coffee state]]),References!$U:$X,4,FALSE)</f>
        <v>30700</v>
      </c>
      <c r="AB814" s="202">
        <f>SUMIF(Allocation!C:C,Delivery[[#This Row],[Delivery ID]],Allocation!D:D)/Delivery[[#This Row],[Quantity delivered]]</f>
        <v>1</v>
      </c>
      <c r="AC814" s="203">
        <f>Delivery[[#This Row],[Quantity delivered]]*Delivery[[#This Row],[Base price (Unidad)]]/60</f>
        <v>224118.59600000002</v>
      </c>
      <c r="AD814" s="204">
        <f>Delivery[[#This Row],[Nespresso total]]-Delivery[[#This Row],[Qt. Delivery * Base Price]]</f>
        <v>3702.2287582400022</v>
      </c>
      <c r="AE814" s="204">
        <f>Delivery[[#This Row],[AAA Premium (total)]]/Delivery[[#This Row],[Quantity delivered]]*60/Delivery[[#This Row],[Exchange rate VS USD]]</f>
        <v>6.9902807395777193</v>
      </c>
      <c r="AF814" s="204">
        <f>Delivery[[#This Row],[BEN premium (total)]]/Delivery[[#This Row],[Quantity delivered]]*60/Delivery[[#This Row],[Exchange rate for premiums VS USD]]</f>
        <v>1.9897139999999998</v>
      </c>
      <c r="AG814" s="204">
        <f>COUNTIF(Delivery[Delivery ID],Delivery[[#This Row],[Delivery ID]])</f>
        <v>1</v>
      </c>
      <c r="AH814" s="204">
        <f>(Delivery[[#This Row],[Nespresso total]]/SUMIF(Allocation!C:C,Delivery[Delivery ID],Allocation!H:H))/Delivery[[#This Row],[Exchange rate VS USD]]</f>
        <v>7.3892679221124302</v>
      </c>
      <c r="AI814" s="204">
        <f>(Delivery[[#This Row],[AAA Premium (total)]]/SUMIF(Allocation!C:C,Delivery[Delivery ID],Allocation!H:H))/Delivery[[#This Row],[Exchange rate VS USD]]</f>
        <v>0.38700428966500033</v>
      </c>
      <c r="AJ814" s="204">
        <f>Delivery[[#This Row],[Valor Prêmio Nespresso AAA por Kg (em US$)]]*60</f>
        <v>23.220257379900019</v>
      </c>
      <c r="AK814" s="204">
        <f>Delivery[[#This Row],[Valor Prêmio Nespresso AAA por saca (em US$)]]/1.3228/100</f>
        <v>0.1755386859684005</v>
      </c>
      <c r="AL814" s="204">
        <f>(Delivery[[#This Row],[BEN premium (total)]]/SUMIF(Allocation!C:C,Delivery[Delivery ID],Allocation!H:H))/Delivery[[#This Row],[Exchange rate for premiums VS USD]]</f>
        <v>0.11015692815407918</v>
      </c>
      <c r="AM814" s="204">
        <f>Delivery[[#This Row],[Valor Prêmio Nespresso BEN por Kg (em US$)]]*60</f>
        <v>6.6094156892447504</v>
      </c>
      <c r="AN814" s="204">
        <f>Delivery[[#This Row],[Valor Prêmio Nespresso BEN por saca (em US$)]]/1.3228/100</f>
        <v>4.996534388603531E-2</v>
      </c>
      <c r="AO814" s="204">
        <f>SUMIF(Allocation[Delivery ID],Delivery[[#This Row],[Delivery ID]],Allocation[Quantity allocated])*16*1.3228*Delivery[[#This Row],[Exchange rate VS USD]]/60</f>
        <v>10875.642536959998</v>
      </c>
      <c r="AP814" s="204">
        <f>Delivery[[#This Row],[AAA Premium (total)]]</f>
        <v>11931.85</v>
      </c>
      <c r="AQ814" s="204">
        <f>Delivery[[#This Row],[Valor pago pelo Cluster]]-Delivery[[#This Row],[Valor efetivamente pago pela Nespresso]]</f>
        <v>1056.207463040002</v>
      </c>
    </row>
    <row r="815" spans="1:43" ht="15.75">
      <c r="A815" s="174" t="s">
        <v>69</v>
      </c>
      <c r="B815" s="232" t="s">
        <v>68</v>
      </c>
      <c r="C815" s="157">
        <v>1</v>
      </c>
      <c r="D815" s="157" t="s">
        <v>468</v>
      </c>
      <c r="E815" s="177" t="s">
        <v>468</v>
      </c>
      <c r="F815" s="233" t="s">
        <v>541</v>
      </c>
      <c r="G815" s="234">
        <v>43313</v>
      </c>
      <c r="H815" s="157" t="s">
        <v>955</v>
      </c>
      <c r="I815" s="157" t="s">
        <v>509</v>
      </c>
      <c r="J815" s="237">
        <v>30760</v>
      </c>
      <c r="K815" s="175" t="s">
        <v>61</v>
      </c>
      <c r="L815" s="175" t="s">
        <v>439</v>
      </c>
      <c r="M815" s="175" t="s">
        <v>1343</v>
      </c>
      <c r="N815" s="198"/>
      <c r="O815" s="199"/>
      <c r="P815" s="181">
        <v>0</v>
      </c>
      <c r="Q815" s="177">
        <v>43160</v>
      </c>
      <c r="R815" s="178">
        <v>438.01680000000005</v>
      </c>
      <c r="S815" s="179">
        <v>228266.66938643204</v>
      </c>
      <c r="T815" s="182" t="s">
        <v>45</v>
      </c>
      <c r="U815" s="183">
        <v>3.3359999999999999</v>
      </c>
      <c r="V815" s="179">
        <v>11955.2</v>
      </c>
      <c r="W815" s="179">
        <v>3402.920306783999</v>
      </c>
      <c r="X815" s="196" t="s">
        <v>45</v>
      </c>
      <c r="Y815" s="200">
        <v>3.3359999999999999</v>
      </c>
      <c r="Z815" s="220" t="s">
        <v>473</v>
      </c>
      <c r="AA815" s="201">
        <f>Delivery[[#This Row],[Quantity delivered]]*VLOOKUP(Delivery[[#This Row],[Unit]],References!$U:$X,4,FALSE)*VLOOKUP(CONCATENATE(Delivery[[#This Row],[Coffee specie]],Delivery[[#This Row],[Coffee state]]),References!$U:$X,4,FALSE)</f>
        <v>30760</v>
      </c>
      <c r="AB815" s="202">
        <f>SUMIF(Allocation!C:C,Delivery[[#This Row],[Delivery ID]],Allocation!D:D)/Delivery[[#This Row],[Quantity delivered]]</f>
        <v>1</v>
      </c>
      <c r="AC815" s="203">
        <f>Delivery[[#This Row],[Quantity delivered]]*Delivery[[#This Row],[Base price (Unidad)]]/60</f>
        <v>224556.61280000003</v>
      </c>
      <c r="AD815" s="204">
        <f>Delivery[[#This Row],[Nespresso total]]-Delivery[[#This Row],[Qt. Delivery * Base Price]]</f>
        <v>3710.0565864320088</v>
      </c>
      <c r="AE815" s="204">
        <f>Delivery[[#This Row],[AAA Premium (total)]]/Delivery[[#This Row],[Quantity delivered]]*60/Delivery[[#This Row],[Exchange rate VS USD]]</f>
        <v>6.9902985284074433</v>
      </c>
      <c r="AF815" s="204">
        <f>Delivery[[#This Row],[BEN premium (total)]]/Delivery[[#This Row],[Quantity delivered]]*60/Delivery[[#This Row],[Exchange rate for premiums VS USD]]</f>
        <v>1.9897139999999998</v>
      </c>
      <c r="AG815" s="204">
        <f>COUNTIF(Delivery[Delivery ID],Delivery[[#This Row],[Delivery ID]])</f>
        <v>1</v>
      </c>
      <c r="AH815" s="204">
        <f>(Delivery[[#This Row],[Nespresso total]]/SUMIF(Allocation!C:C,Delivery[Delivery ID],Allocation!H:H))/Delivery[[#This Row],[Exchange rate VS USD]]</f>
        <v>7.3567638541494098</v>
      </c>
      <c r="AI815" s="204">
        <f>(Delivery[[#This Row],[AAA Premium (total)]]/SUMIF(Allocation!C:C,Delivery[Delivery ID],Allocation!H:H))/Delivery[[#This Row],[Exchange rate VS USD]]</f>
        <v>0.38530190791996016</v>
      </c>
      <c r="AJ815" s="204">
        <f>Delivery[[#This Row],[Valor Prêmio Nespresso AAA por Kg (em US$)]]*60</f>
        <v>23.118114475197611</v>
      </c>
      <c r="AK815" s="204">
        <f>Delivery[[#This Row],[Valor Prêmio Nespresso AAA por saca (em US$)]]/1.3228/100</f>
        <v>0.17476651402477786</v>
      </c>
      <c r="AL815" s="204">
        <f>(Delivery[[#This Row],[BEN premium (total)]]/SUMIF(Allocation!C:C,Delivery[Delivery ID],Allocation!H:H))/Delivery[[#This Row],[Exchange rate for premiums VS USD]]</f>
        <v>0.10967208300182772</v>
      </c>
      <c r="AM815" s="204">
        <f>Delivery[[#This Row],[Valor Prêmio Nespresso BEN por Kg (em US$)]]*60</f>
        <v>6.5803249801096637</v>
      </c>
      <c r="AN815" s="204">
        <f>Delivery[[#This Row],[Valor Prêmio Nespresso BEN por saca (em US$)]]/1.3228/100</f>
        <v>4.9745426217944234E-2</v>
      </c>
      <c r="AO815" s="204">
        <f>SUMIF(Allocation[Delivery ID],Delivery[[#This Row],[Delivery ID]],Allocation[Quantity allocated])*16*1.3228*Delivery[[#This Row],[Exchange rate VS USD]]/60</f>
        <v>10945.071546879999</v>
      </c>
      <c r="AP815" s="204">
        <f>Delivery[[#This Row],[AAA Premium (total)]]</f>
        <v>11955.2</v>
      </c>
      <c r="AQ815" s="204">
        <f>Delivery[[#This Row],[Valor pago pelo Cluster]]-Delivery[[#This Row],[Valor efetivamente pago pela Nespresso]]</f>
        <v>1010.1284531200017</v>
      </c>
    </row>
    <row r="816" spans="1:43" ht="15.75">
      <c r="A816" s="174" t="s">
        <v>69</v>
      </c>
      <c r="B816" s="232" t="s">
        <v>68</v>
      </c>
      <c r="C816" s="157">
        <v>1</v>
      </c>
      <c r="D816" s="157" t="s">
        <v>468</v>
      </c>
      <c r="E816" s="177" t="s">
        <v>468</v>
      </c>
      <c r="F816" s="233" t="s">
        <v>541</v>
      </c>
      <c r="G816" s="234">
        <v>43313</v>
      </c>
      <c r="H816" s="157" t="s">
        <v>956</v>
      </c>
      <c r="I816" s="157" t="s">
        <v>509</v>
      </c>
      <c r="J816" s="237">
        <v>13810</v>
      </c>
      <c r="K816" s="175" t="s">
        <v>61</v>
      </c>
      <c r="L816" s="175" t="s">
        <v>439</v>
      </c>
      <c r="M816" s="175" t="s">
        <v>1343</v>
      </c>
      <c r="N816" s="198"/>
      <c r="O816" s="199"/>
      <c r="P816" s="181">
        <v>0</v>
      </c>
      <c r="Q816" s="177">
        <v>43160</v>
      </c>
      <c r="R816" s="178">
        <v>438.01680000000005</v>
      </c>
      <c r="S816" s="179">
        <v>102543.431922192</v>
      </c>
      <c r="T816" s="182" t="s">
        <v>45</v>
      </c>
      <c r="U816" s="183">
        <v>3.3359999999999999</v>
      </c>
      <c r="V816" s="179">
        <v>5370.5</v>
      </c>
      <c r="W816" s="179">
        <v>1527.7740389039998</v>
      </c>
      <c r="X816" s="196" t="s">
        <v>45</v>
      </c>
      <c r="Y816" s="200">
        <v>3.3359999999999999</v>
      </c>
      <c r="Z816" s="220" t="s">
        <v>473</v>
      </c>
      <c r="AA816" s="201">
        <f>Delivery[[#This Row],[Quantity delivered]]*VLOOKUP(Delivery[[#This Row],[Unit]],References!$U:$X,4,FALSE)*VLOOKUP(CONCATENATE(Delivery[[#This Row],[Coffee specie]],Delivery[[#This Row],[Coffee state]]),References!$U:$X,4,FALSE)</f>
        <v>13810</v>
      </c>
      <c r="AB816" s="202">
        <f>SUMIF(Allocation!C:C,Delivery[[#This Row],[Delivery ID]],Allocation!D:D)/Delivery[[#This Row],[Quantity delivered]]</f>
        <v>1</v>
      </c>
      <c r="AC816" s="203">
        <f>Delivery[[#This Row],[Quantity delivered]]*Delivery[[#This Row],[Base price (Unidad)]]/60</f>
        <v>100816.8668</v>
      </c>
      <c r="AD816" s="204">
        <f>Delivery[[#This Row],[Nespresso total]]-Delivery[[#This Row],[Qt. Delivery * Base Price]]</f>
        <v>1726.5651221919979</v>
      </c>
      <c r="AE816" s="204">
        <f>Delivery[[#This Row],[AAA Premium (total)]]/Delivery[[#This Row],[Quantity delivered]]*60/Delivery[[#This Row],[Exchange rate VS USD]]</f>
        <v>6.9943321230054343</v>
      </c>
      <c r="AF816" s="204">
        <f>Delivery[[#This Row],[BEN premium (total)]]/Delivery[[#This Row],[Quantity delivered]]*60/Delivery[[#This Row],[Exchange rate for premiums VS USD]]</f>
        <v>1.989714</v>
      </c>
      <c r="AG816" s="204">
        <f>COUNTIF(Delivery[Delivery ID],Delivery[[#This Row],[Delivery ID]])</f>
        <v>1</v>
      </c>
      <c r="AH816" s="204">
        <f>(Delivery[[#This Row],[Nespresso total]]/SUMIF(Allocation!C:C,Delivery[Delivery ID],Allocation!H:H))/Delivery[[#This Row],[Exchange rate VS USD]]</f>
        <v>7.3642642131282043</v>
      </c>
      <c r="AI816" s="204">
        <f>(Delivery[[#This Row],[AAA Premium (total)]]/SUMIF(Allocation!C:C,Delivery[Delivery ID],Allocation!H:H))/Delivery[[#This Row],[Exchange rate VS USD]]</f>
        <v>0.38568809542686888</v>
      </c>
      <c r="AJ816" s="204">
        <f>Delivery[[#This Row],[Valor Prêmio Nespresso AAA por Kg (em US$)]]*60</f>
        <v>23.141285725612132</v>
      </c>
      <c r="AK816" s="204">
        <f>Delivery[[#This Row],[Valor Prêmio Nespresso AAA por saca (em US$)]]/1.3228/100</f>
        <v>0.1749416822317216</v>
      </c>
      <c r="AL816" s="204">
        <f>(Delivery[[#This Row],[BEN premium (total)]]/SUMIF(Allocation!C:C,Delivery[Delivery ID],Allocation!H:H))/Delivery[[#This Row],[Exchange rate for premiums VS USD]]</f>
        <v>0.10971869645424052</v>
      </c>
      <c r="AM816" s="204">
        <f>Delivery[[#This Row],[Valor Prêmio Nespresso BEN por Kg (em US$)]]*60</f>
        <v>6.5831217872544316</v>
      </c>
      <c r="AN816" s="204">
        <f>Delivery[[#This Row],[Valor Prêmio Nespresso BEN por saca (em US$)]]/1.3228/100</f>
        <v>4.9766569301893195E-2</v>
      </c>
      <c r="AO816" s="204">
        <f>SUMIF(Allocation[Delivery ID],Delivery[[#This Row],[Delivery ID]],Allocation[Quantity allocated])*16*1.3228*Delivery[[#This Row],[Exchange rate VS USD]]/60</f>
        <v>4911.8082611199989</v>
      </c>
      <c r="AP816" s="204">
        <f>Delivery[[#This Row],[AAA Premium (total)]]</f>
        <v>5370.5</v>
      </c>
      <c r="AQ816" s="204">
        <f>Delivery[[#This Row],[Valor pago pelo Cluster]]-Delivery[[#This Row],[Valor efetivamente pago pela Nespresso]]</f>
        <v>458.69173888000114</v>
      </c>
    </row>
    <row r="817" spans="1:43" ht="15.75">
      <c r="A817" s="174" t="s">
        <v>69</v>
      </c>
      <c r="B817" s="232" t="s">
        <v>68</v>
      </c>
      <c r="C817" s="157">
        <v>1</v>
      </c>
      <c r="D817" s="157" t="s">
        <v>468</v>
      </c>
      <c r="E817" s="177" t="s">
        <v>468</v>
      </c>
      <c r="F817" s="233" t="s">
        <v>543</v>
      </c>
      <c r="G817" s="234">
        <v>43313</v>
      </c>
      <c r="H817" s="157" t="s">
        <v>957</v>
      </c>
      <c r="I817" s="157" t="s">
        <v>958</v>
      </c>
      <c r="J817" s="237">
        <v>24170</v>
      </c>
      <c r="K817" s="175" t="s">
        <v>61</v>
      </c>
      <c r="L817" s="175" t="s">
        <v>439</v>
      </c>
      <c r="M817" s="175" t="s">
        <v>1343</v>
      </c>
      <c r="N817" s="198"/>
      <c r="O817" s="199"/>
      <c r="P817" s="181">
        <v>0</v>
      </c>
      <c r="Q817" s="177">
        <v>43308</v>
      </c>
      <c r="R817" s="178">
        <v>410.85511999999994</v>
      </c>
      <c r="S817" s="179">
        <v>170508</v>
      </c>
      <c r="T817" s="182" t="s">
        <v>45</v>
      </c>
      <c r="U817" s="183">
        <v>3.7231999999999998</v>
      </c>
      <c r="V817" s="179">
        <v>10424</v>
      </c>
      <c r="W817" s="179">
        <v>0</v>
      </c>
      <c r="X817" s="196" t="s">
        <v>45</v>
      </c>
      <c r="Y817" s="200">
        <v>3.7231999999999998</v>
      </c>
      <c r="Z817" s="220"/>
      <c r="AA817" s="201">
        <f>Delivery[[#This Row],[Quantity delivered]]*VLOOKUP(Delivery[[#This Row],[Unit]],References!$U:$X,4,FALSE)*VLOOKUP(CONCATENATE(Delivery[[#This Row],[Coffee specie]],Delivery[[#This Row],[Coffee state]]),References!$U:$X,4,FALSE)</f>
        <v>24170</v>
      </c>
      <c r="AB817" s="202">
        <f>SUMIF(Allocation!C:C,Delivery[[#This Row],[Delivery ID]],Allocation!D:D)/Delivery[[#This Row],[Quantity delivered]]</f>
        <v>1</v>
      </c>
      <c r="AC817" s="203">
        <f>Delivery[[#This Row],[Quantity delivered]]*Delivery[[#This Row],[Base price (Unidad)]]/60</f>
        <v>165506.13750666665</v>
      </c>
      <c r="AD817" s="204">
        <f>Delivery[[#This Row],[Nespresso total]]-Delivery[[#This Row],[Qt. Delivery * Base Price]]</f>
        <v>5001.8624933333485</v>
      </c>
      <c r="AE817" s="204">
        <f>Delivery[[#This Row],[AAA Premium (total)]]/Delivery[[#This Row],[Quantity delivered]]*60/Delivery[[#This Row],[Exchange rate VS USD]]</f>
        <v>6.9501253387274895</v>
      </c>
      <c r="AF817" s="204">
        <f>Delivery[[#This Row],[BEN premium (total)]]/Delivery[[#This Row],[Quantity delivered]]*60/Delivery[[#This Row],[Exchange rate for premiums VS USD]]</f>
        <v>0</v>
      </c>
      <c r="AG817" s="204">
        <f>COUNTIF(Delivery[Delivery ID],Delivery[[#This Row],[Delivery ID]])</f>
        <v>1</v>
      </c>
      <c r="AH817" s="204">
        <f>(Delivery[[#This Row],[Nespresso total]]/SUMIF(Allocation!C:C,Delivery[Delivery ID],Allocation!H:H))/Delivery[[#This Row],[Exchange rate VS USD]]</f>
        <v>5.7323932138534062</v>
      </c>
      <c r="AI817" s="204">
        <f>(Delivery[[#This Row],[AAA Premium (total)]]/SUMIF(Allocation!C:C,Delivery[Delivery ID],Allocation!H:H))/Delivery[[#This Row],[Exchange rate VS USD]]</f>
        <v>0.35044963791263695</v>
      </c>
      <c r="AJ817" s="204">
        <f>Delivery[[#This Row],[Valor Prêmio Nespresso AAA por Kg (em US$)]]*60</f>
        <v>21.026978274758218</v>
      </c>
      <c r="AK817" s="204">
        <f>Delivery[[#This Row],[Valor Prêmio Nespresso AAA por saca (em US$)]]/1.3228/100</f>
        <v>0.15895810609886771</v>
      </c>
      <c r="AL817" s="204">
        <f>(Delivery[[#This Row],[BEN premium (total)]]/SUMIF(Allocation!C:C,Delivery[Delivery ID],Allocation!H:H))/Delivery[[#This Row],[Exchange rate for premiums VS USD]]</f>
        <v>0</v>
      </c>
      <c r="AM817" s="204">
        <f>Delivery[[#This Row],[Valor Prêmio Nespresso BEN por Kg (em US$)]]*60</f>
        <v>0</v>
      </c>
      <c r="AN817" s="204">
        <f>Delivery[[#This Row],[Valor Prêmio Nespresso BEN por saca (em US$)]]/1.3228/100</f>
        <v>0</v>
      </c>
      <c r="AO817" s="204">
        <f>SUMIF(Allocation[Delivery ID],Delivery[[#This Row],[Delivery ID]],Allocation[Quantity allocated])*16*1.3228*Delivery[[#This Row],[Exchange rate VS USD]]/60</f>
        <v>10492.324304384001</v>
      </c>
      <c r="AP817" s="204">
        <f>Delivery[[#This Row],[AAA Premium (total)]]</f>
        <v>10424</v>
      </c>
      <c r="AQ817" s="204">
        <f>Delivery[[#This Row],[Valor pago pelo Cluster]]-Delivery[[#This Row],[Valor efetivamente pago pela Nespresso]]</f>
        <v>-68.324304384001152</v>
      </c>
    </row>
    <row r="818" spans="1:43" ht="15.75">
      <c r="A818" s="174" t="s">
        <v>69</v>
      </c>
      <c r="B818" s="232" t="s">
        <v>68</v>
      </c>
      <c r="C818" s="157">
        <v>1</v>
      </c>
      <c r="D818" s="157" t="s">
        <v>468</v>
      </c>
      <c r="E818" s="177" t="s">
        <v>468</v>
      </c>
      <c r="F818" s="233" t="s">
        <v>543</v>
      </c>
      <c r="G818" s="234">
        <v>43318</v>
      </c>
      <c r="H818" s="157" t="s">
        <v>959</v>
      </c>
      <c r="I818" s="157" t="s">
        <v>960</v>
      </c>
      <c r="J818" s="237">
        <v>9046.5</v>
      </c>
      <c r="K818" s="175" t="s">
        <v>61</v>
      </c>
      <c r="L818" s="175" t="s">
        <v>439</v>
      </c>
      <c r="M818" s="175" t="s">
        <v>1343</v>
      </c>
      <c r="N818" s="198"/>
      <c r="O818" s="199"/>
      <c r="P818" s="181">
        <v>0</v>
      </c>
      <c r="Q818" s="177">
        <v>43312</v>
      </c>
      <c r="R818" s="178">
        <v>413.12700000000001</v>
      </c>
      <c r="S818" s="179">
        <v>65250</v>
      </c>
      <c r="T818" s="182" t="s">
        <v>45</v>
      </c>
      <c r="U818" s="183">
        <v>3.7557</v>
      </c>
      <c r="V818" s="179">
        <v>3957</v>
      </c>
      <c r="W818" s="179">
        <v>0</v>
      </c>
      <c r="X818" s="196" t="s">
        <v>45</v>
      </c>
      <c r="Y818" s="200">
        <v>3.7557</v>
      </c>
      <c r="Z818" s="220"/>
      <c r="AA818" s="201">
        <f>Delivery[[#This Row],[Quantity delivered]]*VLOOKUP(Delivery[[#This Row],[Unit]],References!$U:$X,4,FALSE)*VLOOKUP(CONCATENATE(Delivery[[#This Row],[Coffee specie]],Delivery[[#This Row],[Coffee state]]),References!$U:$X,4,FALSE)</f>
        <v>9046.5</v>
      </c>
      <c r="AB818" s="202">
        <f>SUMIF(Allocation!C:C,Delivery[[#This Row],[Delivery ID]],Allocation!D:D)/Delivery[[#This Row],[Quantity delivered]]</f>
        <v>1</v>
      </c>
      <c r="AC818" s="203">
        <f>Delivery[[#This Row],[Quantity delivered]]*Delivery[[#This Row],[Base price (Unidad)]]/60</f>
        <v>62289.223424999996</v>
      </c>
      <c r="AD818" s="204">
        <f>Delivery[[#This Row],[Nespresso total]]-Delivery[[#This Row],[Qt. Delivery * Base Price]]</f>
        <v>2960.7765750000035</v>
      </c>
      <c r="AE818" s="204">
        <f>Delivery[[#This Row],[AAA Premium (total)]]/Delivery[[#This Row],[Quantity delivered]]*60/Delivery[[#This Row],[Exchange rate VS USD]]</f>
        <v>6.9878861232568017</v>
      </c>
      <c r="AF818" s="204">
        <f>Delivery[[#This Row],[BEN premium (total)]]/Delivery[[#This Row],[Quantity delivered]]*60/Delivery[[#This Row],[Exchange rate for premiums VS USD]]</f>
        <v>0</v>
      </c>
      <c r="AG818" s="204">
        <f>COUNTIF(Delivery[Delivery ID],Delivery[[#This Row],[Delivery ID]])</f>
        <v>1</v>
      </c>
      <c r="AH818" s="204">
        <f>(Delivery[[#This Row],[Nespresso total]]/SUMIF(Allocation!C:C,Delivery[Delivery ID],Allocation!H:H))/Delivery[[#This Row],[Exchange rate VS USD]]</f>
        <v>5.1676359726196548</v>
      </c>
      <c r="AI818" s="204">
        <f>(Delivery[[#This Row],[AAA Premium (total)]]/SUMIF(Allocation!C:C,Delivery[Delivery ID],Allocation!H:H))/Delivery[[#This Row],[Exchange rate VS USD]]</f>
        <v>0.31338445277633675</v>
      </c>
      <c r="AJ818" s="204">
        <f>Delivery[[#This Row],[Valor Prêmio Nespresso AAA por Kg (em US$)]]*60</f>
        <v>18.803067166580206</v>
      </c>
      <c r="AK818" s="204">
        <f>Delivery[[#This Row],[Valor Prêmio Nespresso AAA por saca (em US$)]]/1.3228/100</f>
        <v>0.14214595680813583</v>
      </c>
      <c r="AL818" s="204">
        <f>(Delivery[[#This Row],[BEN premium (total)]]/SUMIF(Allocation!C:C,Delivery[Delivery ID],Allocation!H:H))/Delivery[[#This Row],[Exchange rate for premiums VS USD]]</f>
        <v>0</v>
      </c>
      <c r="AM818" s="204">
        <f>Delivery[[#This Row],[Valor Prêmio Nespresso BEN por Kg (em US$)]]*60</f>
        <v>0</v>
      </c>
      <c r="AN818" s="204">
        <f>Delivery[[#This Row],[Valor Prêmio Nespresso BEN por saca (em US$)]]/1.3228/100</f>
        <v>0</v>
      </c>
      <c r="AO818" s="204">
        <f>SUMIF(Allocation[Delivery ID],Delivery[[#This Row],[Delivery ID]],Allocation[Quantity allocated])*16*1.3228*Delivery[[#This Row],[Exchange rate VS USD]]/60</f>
        <v>4454.0134254720006</v>
      </c>
      <c r="AP818" s="204">
        <f>Delivery[[#This Row],[AAA Premium (total)]]</f>
        <v>3957</v>
      </c>
      <c r="AQ818" s="204">
        <f>Delivery[[#This Row],[Valor pago pelo Cluster]]-Delivery[[#This Row],[Valor efetivamente pago pela Nespresso]]</f>
        <v>-497.01342547200056</v>
      </c>
    </row>
    <row r="819" spans="1:43" ht="15.75">
      <c r="A819" s="174" t="s">
        <v>69</v>
      </c>
      <c r="B819" s="232" t="s">
        <v>68</v>
      </c>
      <c r="C819" s="157">
        <v>1</v>
      </c>
      <c r="D819" s="157" t="s">
        <v>468</v>
      </c>
      <c r="E819" s="177" t="s">
        <v>468</v>
      </c>
      <c r="F819" s="233" t="s">
        <v>543</v>
      </c>
      <c r="G819" s="234">
        <v>43318</v>
      </c>
      <c r="H819" s="157" t="s">
        <v>961</v>
      </c>
      <c r="I819" s="157" t="s">
        <v>962</v>
      </c>
      <c r="J819" s="237">
        <v>6031</v>
      </c>
      <c r="K819" s="175" t="s">
        <v>61</v>
      </c>
      <c r="L819" s="175" t="s">
        <v>439</v>
      </c>
      <c r="M819" s="175" t="s">
        <v>1343</v>
      </c>
      <c r="N819" s="198"/>
      <c r="O819" s="199"/>
      <c r="P819" s="181">
        <v>0</v>
      </c>
      <c r="Q819" s="177">
        <v>43312</v>
      </c>
      <c r="R819" s="178">
        <v>413.12700000000001</v>
      </c>
      <c r="S819" s="179">
        <v>44000</v>
      </c>
      <c r="T819" s="182" t="s">
        <v>45</v>
      </c>
      <c r="U819" s="183">
        <v>3.7557</v>
      </c>
      <c r="V819" s="179">
        <v>2638</v>
      </c>
      <c r="W819" s="179">
        <v>0</v>
      </c>
      <c r="X819" s="196" t="s">
        <v>45</v>
      </c>
      <c r="Y819" s="200">
        <v>3.7557</v>
      </c>
      <c r="Z819" s="220"/>
      <c r="AA819" s="201">
        <f>Delivery[[#This Row],[Quantity delivered]]*VLOOKUP(Delivery[[#This Row],[Unit]],References!$U:$X,4,FALSE)*VLOOKUP(CONCATENATE(Delivery[[#This Row],[Coffee specie]],Delivery[[#This Row],[Coffee state]]),References!$U:$X,4,FALSE)</f>
        <v>6031</v>
      </c>
      <c r="AB819" s="202">
        <f>SUMIF(Allocation!C:C,Delivery[[#This Row],[Delivery ID]],Allocation!D:D)/Delivery[[#This Row],[Quantity delivered]]</f>
        <v>0.46692090863870006</v>
      </c>
      <c r="AC819" s="203">
        <f>Delivery[[#This Row],[Quantity delivered]]*Delivery[[#This Row],[Base price (Unidad)]]/60</f>
        <v>41526.148949999995</v>
      </c>
      <c r="AD819" s="204">
        <f>Delivery[[#This Row],[Nespresso total]]-Delivery[[#This Row],[Qt. Delivery * Base Price]]</f>
        <v>2473.8510500000048</v>
      </c>
      <c r="AE819" s="204">
        <f>Delivery[[#This Row],[AAA Premium (total)]]/Delivery[[#This Row],[Quantity delivered]]*60/Delivery[[#This Row],[Exchange rate VS USD]]</f>
        <v>6.9878861232568017</v>
      </c>
      <c r="AF819" s="204">
        <f>Delivery[[#This Row],[BEN premium (total)]]/Delivery[[#This Row],[Quantity delivered]]*60/Delivery[[#This Row],[Exchange rate for premiums VS USD]]</f>
        <v>0</v>
      </c>
      <c r="AG819" s="204">
        <f>COUNTIF(Delivery[Delivery ID],Delivery[[#This Row],[Delivery ID]])</f>
        <v>1</v>
      </c>
      <c r="AH819" s="204">
        <f>(Delivery[[#This Row],[Nespresso total]]/SUMIF(Allocation!C:C,Delivery[Delivery ID],Allocation!H:H))/Delivery[[#This Row],[Exchange rate VS USD]]</f>
        <v>11.243306846657701</v>
      </c>
      <c r="AI819" s="204">
        <f>(Delivery[[#This Row],[AAA Premium (total)]]/SUMIF(Allocation!C:C,Delivery[Delivery ID],Allocation!H:H))/Delivery[[#This Row],[Exchange rate VS USD]]</f>
        <v>0.67408735139734111</v>
      </c>
      <c r="AJ819" s="204">
        <f>Delivery[[#This Row],[Valor Prêmio Nespresso AAA por Kg (em US$)]]*60</f>
        <v>40.445241083840465</v>
      </c>
      <c r="AK819" s="204">
        <f>Delivery[[#This Row],[Valor Prêmio Nespresso AAA por saca (em US$)]]/1.3228/100</f>
        <v>0.3057547708182678</v>
      </c>
      <c r="AL819" s="204">
        <f>(Delivery[[#This Row],[BEN premium (total)]]/SUMIF(Allocation!C:C,Delivery[Delivery ID],Allocation!H:H))/Delivery[[#This Row],[Exchange rate for premiums VS USD]]</f>
        <v>0</v>
      </c>
      <c r="AM819" s="204">
        <f>Delivery[[#This Row],[Valor Prêmio Nespresso BEN por Kg (em US$)]]*60</f>
        <v>0</v>
      </c>
      <c r="AN819" s="204">
        <f>Delivery[[#This Row],[Valor Prêmio Nespresso BEN por saca (em US$)]]/1.3228/100</f>
        <v>0</v>
      </c>
      <c r="AO819" s="204">
        <f>SUMIF(Allocation[Delivery ID],Delivery[[#This Row],[Delivery ID]],Allocation[Quantity allocated])*16*1.3228*Delivery[[#This Row],[Exchange rate VS USD]]/60</f>
        <v>1380.452703552</v>
      </c>
      <c r="AP819" s="204">
        <f>Delivery[[#This Row],[AAA Premium (total)]]</f>
        <v>2638</v>
      </c>
      <c r="AQ819" s="204">
        <f>Delivery[[#This Row],[Valor pago pelo Cluster]]-Delivery[[#This Row],[Valor efetivamente pago pela Nespresso]]</f>
        <v>1257.547296448</v>
      </c>
    </row>
    <row r="820" spans="1:43" ht="15.75">
      <c r="A820" s="174" t="s">
        <v>69</v>
      </c>
      <c r="B820" s="232" t="s">
        <v>68</v>
      </c>
      <c r="C820" s="157">
        <v>1</v>
      </c>
      <c r="D820" s="157" t="s">
        <v>468</v>
      </c>
      <c r="E820" s="177" t="s">
        <v>468</v>
      </c>
      <c r="F820" s="233" t="s">
        <v>543</v>
      </c>
      <c r="G820" s="234">
        <v>43318</v>
      </c>
      <c r="H820" s="157" t="s">
        <v>963</v>
      </c>
      <c r="I820" s="157" t="s">
        <v>964</v>
      </c>
      <c r="J820" s="237">
        <v>6031</v>
      </c>
      <c r="K820" s="175" t="s">
        <v>61</v>
      </c>
      <c r="L820" s="175" t="s">
        <v>439</v>
      </c>
      <c r="M820" s="175" t="s">
        <v>1343</v>
      </c>
      <c r="N820" s="198"/>
      <c r="O820" s="199"/>
      <c r="P820" s="181">
        <v>0</v>
      </c>
      <c r="Q820" s="177">
        <v>43312</v>
      </c>
      <c r="R820" s="178">
        <v>413.12700000000001</v>
      </c>
      <c r="S820" s="179">
        <v>44000</v>
      </c>
      <c r="T820" s="182" t="s">
        <v>45</v>
      </c>
      <c r="U820" s="183">
        <v>3.7557</v>
      </c>
      <c r="V820" s="179">
        <v>2638</v>
      </c>
      <c r="W820" s="179">
        <v>0</v>
      </c>
      <c r="X820" s="196" t="s">
        <v>45</v>
      </c>
      <c r="Y820" s="200">
        <v>3.7557</v>
      </c>
      <c r="Z820" s="220"/>
      <c r="AA820" s="201">
        <f>Delivery[[#This Row],[Quantity delivered]]*VLOOKUP(Delivery[[#This Row],[Unit]],References!$U:$X,4,FALSE)*VLOOKUP(CONCATENATE(Delivery[[#This Row],[Coffee specie]],Delivery[[#This Row],[Coffee state]]),References!$U:$X,4,FALSE)</f>
        <v>6031</v>
      </c>
      <c r="AB820" s="202">
        <f>SUMIF(Allocation!C:C,Delivery[[#This Row],[Delivery ID]],Allocation!D:D)/Delivery[[#This Row],[Quantity delivered]]</f>
        <v>0.22848615486652296</v>
      </c>
      <c r="AC820" s="203">
        <f>Delivery[[#This Row],[Quantity delivered]]*Delivery[[#This Row],[Base price (Unidad)]]/60</f>
        <v>41526.148949999995</v>
      </c>
      <c r="AD820" s="204">
        <f>Delivery[[#This Row],[Nespresso total]]-Delivery[[#This Row],[Qt. Delivery * Base Price]]</f>
        <v>2473.8510500000048</v>
      </c>
      <c r="AE820" s="204">
        <f>Delivery[[#This Row],[AAA Premium (total)]]/Delivery[[#This Row],[Quantity delivered]]*60/Delivery[[#This Row],[Exchange rate VS USD]]</f>
        <v>6.9878861232568017</v>
      </c>
      <c r="AF820" s="204">
        <f>Delivery[[#This Row],[BEN premium (total)]]/Delivery[[#This Row],[Quantity delivered]]*60/Delivery[[#This Row],[Exchange rate for premiums VS USD]]</f>
        <v>0</v>
      </c>
      <c r="AG820" s="204">
        <f>COUNTIF(Delivery[Delivery ID],Delivery[[#This Row],[Delivery ID]])</f>
        <v>1</v>
      </c>
      <c r="AH820" s="204">
        <f>(Delivery[[#This Row],[Nespresso total]]/SUMIF(Allocation!C:C,Delivery[Delivery ID],Allocation!H:H))/Delivery[[#This Row],[Exchange rate VS USD]]</f>
        <v>22.971619086700635</v>
      </c>
      <c r="AI820" s="204">
        <f>(Delivery[[#This Row],[AAA Premium (total)]]/SUMIF(Allocation!C:C,Delivery[Delivery ID],Allocation!H:H))/Delivery[[#This Row],[Exchange rate VS USD]]</f>
        <v>1.3772529806980971</v>
      </c>
      <c r="AJ820" s="204">
        <f>Delivery[[#This Row],[Valor Prêmio Nespresso AAA por Kg (em US$)]]*60</f>
        <v>82.635178841885832</v>
      </c>
      <c r="AK820" s="204">
        <f>Delivery[[#This Row],[Valor Prêmio Nespresso AAA por saca (em US$)]]/1.3228/100</f>
        <v>0.62469896312281403</v>
      </c>
      <c r="AL820" s="204">
        <f>(Delivery[[#This Row],[BEN premium (total)]]/SUMIF(Allocation!C:C,Delivery[Delivery ID],Allocation!H:H))/Delivery[[#This Row],[Exchange rate for premiums VS USD]]</f>
        <v>0</v>
      </c>
      <c r="AM820" s="204">
        <f>Delivery[[#This Row],[Valor Prêmio Nespresso BEN por Kg (em US$)]]*60</f>
        <v>0</v>
      </c>
      <c r="AN820" s="204">
        <f>Delivery[[#This Row],[Valor Prêmio Nespresso BEN por saca (em US$)]]/1.3228/100</f>
        <v>0</v>
      </c>
      <c r="AO820" s="204">
        <f>SUMIF(Allocation[Delivery ID],Delivery[[#This Row],[Delivery ID]],Allocation[Quantity allocated])*16*1.3228*Delivery[[#This Row],[Exchange rate VS USD]]/60</f>
        <v>675.65343456000005</v>
      </c>
      <c r="AP820" s="204">
        <f>Delivery[[#This Row],[AAA Premium (total)]]</f>
        <v>2638</v>
      </c>
      <c r="AQ820" s="204">
        <f>Delivery[[#This Row],[Valor pago pelo Cluster]]-Delivery[[#This Row],[Valor efetivamente pago pela Nespresso]]</f>
        <v>1962.3465654399999</v>
      </c>
    </row>
    <row r="821" spans="1:43" ht="15.75">
      <c r="A821" s="174" t="s">
        <v>69</v>
      </c>
      <c r="B821" s="232" t="s">
        <v>68</v>
      </c>
      <c r="C821" s="157">
        <v>1</v>
      </c>
      <c r="D821" s="157" t="s">
        <v>468</v>
      </c>
      <c r="E821" s="177" t="s">
        <v>468</v>
      </c>
      <c r="F821" s="233" t="s">
        <v>543</v>
      </c>
      <c r="G821" s="234">
        <v>43318</v>
      </c>
      <c r="H821" s="157" t="s">
        <v>965</v>
      </c>
      <c r="I821" s="157" t="s">
        <v>966</v>
      </c>
      <c r="J821" s="237">
        <v>1930</v>
      </c>
      <c r="K821" s="175" t="s">
        <v>61</v>
      </c>
      <c r="L821" s="175" t="s">
        <v>439</v>
      </c>
      <c r="M821" s="175" t="s">
        <v>1343</v>
      </c>
      <c r="N821" s="198"/>
      <c r="O821" s="199"/>
      <c r="P821" s="181">
        <v>0</v>
      </c>
      <c r="Q821" s="177">
        <v>43312</v>
      </c>
      <c r="R821" s="178">
        <v>413.12700000000001</v>
      </c>
      <c r="S821" s="179">
        <v>14016</v>
      </c>
      <c r="T821" s="182" t="s">
        <v>45</v>
      </c>
      <c r="U821" s="183">
        <v>3.7557</v>
      </c>
      <c r="V821" s="179">
        <v>844.16</v>
      </c>
      <c r="W821" s="179">
        <v>0</v>
      </c>
      <c r="X821" s="196" t="s">
        <v>45</v>
      </c>
      <c r="Y821" s="200">
        <v>3.7557</v>
      </c>
      <c r="Z821" s="220"/>
      <c r="AA821" s="201">
        <f>Delivery[[#This Row],[Quantity delivered]]*VLOOKUP(Delivery[[#This Row],[Unit]],References!$U:$X,4,FALSE)*VLOOKUP(CONCATENATE(Delivery[[#This Row],[Coffee specie]],Delivery[[#This Row],[Coffee state]]),References!$U:$X,4,FALSE)</f>
        <v>1930</v>
      </c>
      <c r="AB821" s="202">
        <f>SUMIF(Allocation!C:C,Delivery[[#This Row],[Delivery ID]],Allocation!D:D)/Delivery[[#This Row],[Quantity delivered]]</f>
        <v>1</v>
      </c>
      <c r="AC821" s="203">
        <f>Delivery[[#This Row],[Quantity delivered]]*Delivery[[#This Row],[Base price (Unidad)]]/60</f>
        <v>13288.9185</v>
      </c>
      <c r="AD821" s="204">
        <f>Delivery[[#This Row],[Nespresso total]]-Delivery[[#This Row],[Qt. Delivery * Base Price]]</f>
        <v>727.08150000000023</v>
      </c>
      <c r="AE821" s="204">
        <f>Delivery[[#This Row],[AAA Premium (total)]]/Delivery[[#This Row],[Quantity delivered]]*60/Delivery[[#This Row],[Exchange rate VS USD]]</f>
        <v>6.9875964699459931</v>
      </c>
      <c r="AF821" s="204">
        <f>Delivery[[#This Row],[BEN premium (total)]]/Delivery[[#This Row],[Quantity delivered]]*60/Delivery[[#This Row],[Exchange rate for premiums VS USD]]</f>
        <v>0</v>
      </c>
      <c r="AG821" s="204">
        <f>COUNTIF(Delivery[Delivery ID],Delivery[[#This Row],[Delivery ID]])</f>
        <v>1</v>
      </c>
      <c r="AH821" s="204">
        <f>(Delivery[[#This Row],[Nespresso total]]/SUMIF(Allocation!C:C,Delivery[Delivery ID],Allocation!H:H))/Delivery[[#This Row],[Exchange rate VS USD]]</f>
        <v>4.9958868410243999</v>
      </c>
      <c r="AI821" s="204">
        <f>(Delivery[[#This Row],[AAA Premium (total)]]/SUMIF(Allocation!C:C,Delivery[Delivery ID],Allocation!H:H))/Delivery[[#This Row],[Exchange rate VS USD]]</f>
        <v>0.30089382389548786</v>
      </c>
      <c r="AJ821" s="204">
        <f>Delivery[[#This Row],[Valor Prêmio Nespresso AAA por Kg (em US$)]]*60</f>
        <v>18.05362943372927</v>
      </c>
      <c r="AK821" s="204">
        <f>Delivery[[#This Row],[Valor Prêmio Nespresso AAA por saca (em US$)]]/1.3228/100</f>
        <v>0.13648041603968303</v>
      </c>
      <c r="AL821" s="204">
        <f>(Delivery[[#This Row],[BEN premium (total)]]/SUMIF(Allocation!C:C,Delivery[Delivery ID],Allocation!H:H))/Delivery[[#This Row],[Exchange rate for premiums VS USD]]</f>
        <v>0</v>
      </c>
      <c r="AM821" s="204">
        <f>Delivery[[#This Row],[Valor Prêmio Nespresso BEN por Kg (em US$)]]*60</f>
        <v>0</v>
      </c>
      <c r="AN821" s="204">
        <f>Delivery[[#This Row],[Valor Prêmio Nespresso BEN por saca (em US$)]]/1.3228/100</f>
        <v>0</v>
      </c>
      <c r="AO821" s="204">
        <f>SUMIF(Allocation[Delivery ID],Delivery[[#This Row],[Delivery ID]],Allocation[Quantity allocated])*16*1.3228*Delivery[[#This Row],[Exchange rate VS USD]]/60</f>
        <v>989.63356003199999</v>
      </c>
      <c r="AP821" s="204">
        <f>Delivery[[#This Row],[AAA Premium (total)]]</f>
        <v>844.16</v>
      </c>
      <c r="AQ821" s="204">
        <f>Delivery[[#This Row],[Valor pago pelo Cluster]]-Delivery[[#This Row],[Valor efetivamente pago pela Nespresso]]</f>
        <v>-145.47356003200002</v>
      </c>
    </row>
    <row r="822" spans="1:43" ht="15.75">
      <c r="A822" s="174" t="s">
        <v>69</v>
      </c>
      <c r="B822" s="232" t="s">
        <v>68</v>
      </c>
      <c r="C822" s="157" t="s">
        <v>1344</v>
      </c>
      <c r="D822" s="157" t="s">
        <v>468</v>
      </c>
      <c r="E822" s="177" t="s">
        <v>468</v>
      </c>
      <c r="F822" s="233" t="s">
        <v>543</v>
      </c>
      <c r="G822" s="234">
        <v>43320</v>
      </c>
      <c r="H822" s="157" t="s">
        <v>1621</v>
      </c>
      <c r="I822" s="157" t="s">
        <v>1622</v>
      </c>
      <c r="J822" s="237">
        <v>5968</v>
      </c>
      <c r="K822" s="175" t="s">
        <v>61</v>
      </c>
      <c r="L822" s="175" t="s">
        <v>439</v>
      </c>
      <c r="M822" s="175" t="s">
        <v>1343</v>
      </c>
      <c r="N822" s="198"/>
      <c r="O822" s="199"/>
      <c r="P822" s="181">
        <v>0</v>
      </c>
      <c r="Q822" s="177">
        <v>43314</v>
      </c>
      <c r="R822" s="178">
        <v>412.27135999999996</v>
      </c>
      <c r="S822" s="179">
        <v>43367</v>
      </c>
      <c r="T822" s="182" t="s">
        <v>45</v>
      </c>
      <c r="U822" s="183">
        <v>3.7616000000000001</v>
      </c>
      <c r="V822" s="179">
        <v>2633</v>
      </c>
      <c r="W822" s="179">
        <v>0</v>
      </c>
      <c r="X822" s="196" t="s">
        <v>45</v>
      </c>
      <c r="Y822" s="200">
        <v>3.7616000000000001</v>
      </c>
      <c r="Z822" s="220"/>
      <c r="AA822" s="201">
        <f>Delivery[[#This Row],[Quantity delivered]]*VLOOKUP(Delivery[[#This Row],[Unit]],References!$U:$X,4,FALSE)*VLOOKUP(CONCATENATE(Delivery[[#This Row],[Coffee specie]],Delivery[[#This Row],[Coffee state]]),References!$U:$X,4,FALSE)</f>
        <v>5968</v>
      </c>
      <c r="AB822" s="202">
        <f>SUMIF(Allocation!C:C,Delivery[[#This Row],[Delivery ID]],Allocation!D:D)/Delivery[[#This Row],[Quantity delivered]]</f>
        <v>0.13957774798927614</v>
      </c>
      <c r="AC822" s="203">
        <f>Delivery[[#This Row],[Quantity delivered]]*Delivery[[#This Row],[Base price (Unidad)]]/60</f>
        <v>41007.25794133333</v>
      </c>
      <c r="AD822" s="204">
        <f>Delivery[[#This Row],[Nespresso total]]-Delivery[[#This Row],[Qt. Delivery * Base Price]]</f>
        <v>2359.7420586666703</v>
      </c>
      <c r="AE822" s="204">
        <f>Delivery[[#This Row],[AAA Premium (total)]]/Delivery[[#This Row],[Quantity delivered]]*60/Delivery[[#This Row],[Exchange rate VS USD]]</f>
        <v>7.0372127883519981</v>
      </c>
      <c r="AF822" s="204">
        <f>Delivery[[#This Row],[BEN premium (total)]]/Delivery[[#This Row],[Quantity delivered]]*60/Delivery[[#This Row],[Exchange rate for premiums VS USD]]</f>
        <v>0</v>
      </c>
      <c r="AG822" s="204">
        <f>COUNTIF(Delivery[Delivery ID],Delivery[[#This Row],[Delivery ID]])</f>
        <v>1</v>
      </c>
      <c r="AH822" s="204">
        <f>(Delivery[[#This Row],[Nespresso total]]/SUMIF(Allocation!C:C,Delivery[Delivery ID],Allocation!H:H))/Delivery[[#This Row],[Exchange rate VS USD]]</f>
        <v>41.92316615753451</v>
      </c>
      <c r="AI822" s="204">
        <f>(Delivery[[#This Row],[AAA Premium (total)]]/SUMIF(Allocation!C:C,Delivery[Delivery ID],Allocation!H:H))/Delivery[[#This Row],[Exchange rate VS USD]]</f>
        <v>2.5453385406596807</v>
      </c>
      <c r="AJ822" s="204">
        <f>Delivery[[#This Row],[Valor Prêmio Nespresso AAA por Kg (em US$)]]*60</f>
        <v>152.72031243958085</v>
      </c>
      <c r="AK822" s="204">
        <f>Delivery[[#This Row],[Valor Prêmio Nespresso AAA por saca (em US$)]]/1.3228/100</f>
        <v>1.1545230755940494</v>
      </c>
      <c r="AL822" s="204">
        <f>(Delivery[[#This Row],[BEN premium (total)]]/SUMIF(Allocation!C:C,Delivery[Delivery ID],Allocation!H:H))/Delivery[[#This Row],[Exchange rate for premiums VS USD]]</f>
        <v>0</v>
      </c>
      <c r="AM822" s="204">
        <f>Delivery[[#This Row],[Valor Prêmio Nespresso BEN por Kg (em US$)]]*60</f>
        <v>0</v>
      </c>
      <c r="AN822" s="204">
        <f>Delivery[[#This Row],[Valor Prêmio Nespresso BEN por saca (em US$)]]/1.3228/100</f>
        <v>0</v>
      </c>
      <c r="AO822" s="204">
        <f>SUMIF(Allocation[Delivery ID],Delivery[[#This Row],[Delivery ID]],Allocation[Quantity allocated])*16*1.3228*Delivery[[#This Row],[Exchange rate VS USD]]/60</f>
        <v>364.8952618666666</v>
      </c>
      <c r="AP822" s="204">
        <f>Delivery[[#This Row],[AAA Premium (total)]]</f>
        <v>2633</v>
      </c>
      <c r="AQ822" s="204">
        <f>Delivery[[#This Row],[Valor pago pelo Cluster]]-Delivery[[#This Row],[Valor efetivamente pago pela Nespresso]]</f>
        <v>2268.1047381333333</v>
      </c>
    </row>
    <row r="823" spans="1:43" ht="15.75">
      <c r="A823" s="174" t="s">
        <v>69</v>
      </c>
      <c r="B823" s="232" t="s">
        <v>68</v>
      </c>
      <c r="C823" s="157">
        <v>1</v>
      </c>
      <c r="D823" s="157" t="s">
        <v>468</v>
      </c>
      <c r="E823" s="177" t="s">
        <v>468</v>
      </c>
      <c r="F823" s="233" t="s">
        <v>543</v>
      </c>
      <c r="G823" s="234">
        <v>43318</v>
      </c>
      <c r="H823" s="157" t="s">
        <v>967</v>
      </c>
      <c r="I823" s="157" t="s">
        <v>968</v>
      </c>
      <c r="J823" s="237">
        <v>13980</v>
      </c>
      <c r="K823" s="175" t="s">
        <v>61</v>
      </c>
      <c r="L823" s="175" t="s">
        <v>439</v>
      </c>
      <c r="M823" s="175" t="s">
        <v>1343</v>
      </c>
      <c r="N823" s="198"/>
      <c r="O823" s="199"/>
      <c r="P823" s="181">
        <v>0</v>
      </c>
      <c r="Q823" s="177">
        <v>43311</v>
      </c>
      <c r="R823" s="178">
        <v>420.25645999999995</v>
      </c>
      <c r="S823" s="179">
        <v>101687.72</v>
      </c>
      <c r="T823" s="182" t="s">
        <v>45</v>
      </c>
      <c r="U823" s="183">
        <v>3.7075999999999998</v>
      </c>
      <c r="V823" s="179">
        <v>6029.05</v>
      </c>
      <c r="W823" s="179">
        <v>0</v>
      </c>
      <c r="X823" s="196" t="s">
        <v>45</v>
      </c>
      <c r="Y823" s="200">
        <v>3.7075999999999998</v>
      </c>
      <c r="Z823" s="220"/>
      <c r="AA823" s="201">
        <f>Delivery[[#This Row],[Quantity delivered]]*VLOOKUP(Delivery[[#This Row],[Unit]],References!$U:$X,4,FALSE)*VLOOKUP(CONCATENATE(Delivery[[#This Row],[Coffee specie]],Delivery[[#This Row],[Coffee state]]),References!$U:$X,4,FALSE)</f>
        <v>13980</v>
      </c>
      <c r="AB823" s="202">
        <f>SUMIF(Allocation!C:C,Delivery[[#This Row],[Delivery ID]],Allocation!D:D)/Delivery[[#This Row],[Quantity delivered]]</f>
        <v>1</v>
      </c>
      <c r="AC823" s="203">
        <f>Delivery[[#This Row],[Quantity delivered]]*Delivery[[#This Row],[Base price (Unidad)]]/60</f>
        <v>97919.755179999993</v>
      </c>
      <c r="AD823" s="204">
        <f>Delivery[[#This Row],[Nespresso total]]-Delivery[[#This Row],[Qt. Delivery * Base Price]]</f>
        <v>3767.9648200000083</v>
      </c>
      <c r="AE823" s="204">
        <f>Delivery[[#This Row],[AAA Premium (total)]]/Delivery[[#This Row],[Quantity delivered]]*60/Delivery[[#This Row],[Exchange rate VS USD]]</f>
        <v>6.9791107651746067</v>
      </c>
      <c r="AF823" s="204">
        <f>Delivery[[#This Row],[BEN premium (total)]]/Delivery[[#This Row],[Quantity delivered]]*60/Delivery[[#This Row],[Exchange rate for premiums VS USD]]</f>
        <v>0</v>
      </c>
      <c r="AG823" s="204">
        <f>COUNTIF(Delivery[Delivery ID],Delivery[[#This Row],[Delivery ID]])</f>
        <v>1</v>
      </c>
      <c r="AH823" s="204">
        <f>(Delivery[[#This Row],[Nespresso total]]/SUMIF(Allocation!C:C,Delivery[Delivery ID],Allocation!H:H))/Delivery[[#This Row],[Exchange rate VS USD]]</f>
        <v>5.9250013768406111</v>
      </c>
      <c r="AI823" s="204">
        <f>(Delivery[[#This Row],[AAA Premium (total)]]/SUMIF(Allocation!C:C,Delivery[Delivery ID],Allocation!H:H))/Delivery[[#This Row],[Exchange rate VS USD]]</f>
        <v>0.35129246236458922</v>
      </c>
      <c r="AJ823" s="204">
        <f>Delivery[[#This Row],[Valor Prêmio Nespresso AAA por Kg (em US$)]]*60</f>
        <v>21.077547741875353</v>
      </c>
      <c r="AK823" s="204">
        <f>Delivery[[#This Row],[Valor Prêmio Nespresso AAA por saca (em US$)]]/1.3228/100</f>
        <v>0.15934039720196064</v>
      </c>
      <c r="AL823" s="204">
        <f>(Delivery[[#This Row],[BEN premium (total)]]/SUMIF(Allocation!C:C,Delivery[Delivery ID],Allocation!H:H))/Delivery[[#This Row],[Exchange rate for premiums VS USD]]</f>
        <v>0</v>
      </c>
      <c r="AM823" s="204">
        <f>Delivery[[#This Row],[Valor Prêmio Nespresso BEN por Kg (em US$)]]*60</f>
        <v>0</v>
      </c>
      <c r="AN823" s="204">
        <f>Delivery[[#This Row],[Valor Prêmio Nespresso BEN por saca (em US$)]]/1.3228/100</f>
        <v>0</v>
      </c>
      <c r="AO823" s="204">
        <f>SUMIF(Allocation[Delivery ID],Delivery[[#This Row],[Delivery ID]],Allocation[Quantity allocated])*16*1.3228*Delivery[[#This Row],[Exchange rate VS USD]]/60</f>
        <v>6054.0077528319989</v>
      </c>
      <c r="AP823" s="204">
        <f>Delivery[[#This Row],[AAA Premium (total)]]</f>
        <v>6029.05</v>
      </c>
      <c r="AQ823" s="204">
        <f>Delivery[[#This Row],[Valor pago pelo Cluster]]-Delivery[[#This Row],[Valor efetivamente pago pela Nespresso]]</f>
        <v>-24.957752831998732</v>
      </c>
    </row>
    <row r="824" spans="1:43" ht="15.75">
      <c r="A824" s="174" t="s">
        <v>69</v>
      </c>
      <c r="B824" s="232" t="s">
        <v>68</v>
      </c>
      <c r="C824" s="157">
        <v>1</v>
      </c>
      <c r="D824" s="157" t="s">
        <v>468</v>
      </c>
      <c r="E824" s="177" t="s">
        <v>468</v>
      </c>
      <c r="F824" s="233" t="s">
        <v>543</v>
      </c>
      <c r="G824" s="234">
        <v>43319</v>
      </c>
      <c r="H824" s="157" t="s">
        <v>969</v>
      </c>
      <c r="I824" s="157" t="s">
        <v>970</v>
      </c>
      <c r="J824" s="237">
        <v>18000</v>
      </c>
      <c r="K824" s="175" t="s">
        <v>61</v>
      </c>
      <c r="L824" s="175" t="s">
        <v>439</v>
      </c>
      <c r="M824" s="175" t="s">
        <v>1343</v>
      </c>
      <c r="N824" s="198"/>
      <c r="O824" s="199"/>
      <c r="P824" s="181">
        <v>0</v>
      </c>
      <c r="Q824" s="177">
        <v>42692</v>
      </c>
      <c r="R824" s="178">
        <v>700.72899999999993</v>
      </c>
      <c r="S824" s="179">
        <v>200224.3738572</v>
      </c>
      <c r="T824" s="182" t="s">
        <v>45</v>
      </c>
      <c r="U824" s="183">
        <v>3.94</v>
      </c>
      <c r="V824" s="179">
        <v>8273.9999999999982</v>
      </c>
      <c r="W824" s="179">
        <v>2587.0261427999999</v>
      </c>
      <c r="X824" s="196" t="s">
        <v>45</v>
      </c>
      <c r="Y824" s="200">
        <v>3.94</v>
      </c>
      <c r="Z824" s="220" t="s">
        <v>473</v>
      </c>
      <c r="AA824" s="201">
        <f>Delivery[[#This Row],[Quantity delivered]]*VLOOKUP(Delivery[[#This Row],[Unit]],References!$U:$X,4,FALSE)*VLOOKUP(CONCATENATE(Delivery[[#This Row],[Coffee specie]],Delivery[[#This Row],[Coffee state]]),References!$U:$X,4,FALSE)</f>
        <v>18000</v>
      </c>
      <c r="AB824" s="202">
        <f>SUMIF(Allocation!C:C,Delivery[[#This Row],[Delivery ID]],Allocation!D:D)/Delivery[[#This Row],[Quantity delivered]]</f>
        <v>1</v>
      </c>
      <c r="AC824" s="203">
        <f>Delivery[[#This Row],[Quantity delivered]]*Delivery[[#This Row],[Base price (Unidad)]]/60</f>
        <v>210218.69999999998</v>
      </c>
      <c r="AD824" s="204">
        <f>Delivery[[#This Row],[Nespresso total]]-Delivery[[#This Row],[Qt. Delivery * Base Price]]</f>
        <v>-9994.3261427999823</v>
      </c>
      <c r="AE824" s="204">
        <f>Delivery[[#This Row],[AAA Premium (total)]]/Delivery[[#This Row],[Quantity delivered]]*60/Delivery[[#This Row],[Exchange rate VS USD]]</f>
        <v>6.9999999999999991</v>
      </c>
      <c r="AF824" s="204">
        <f>Delivery[[#This Row],[BEN premium (total)]]/Delivery[[#This Row],[Quantity delivered]]*60/Delivery[[#This Row],[Exchange rate for premiums VS USD]]</f>
        <v>2.1886853999999998</v>
      </c>
      <c r="AG824" s="204">
        <f>COUNTIF(Delivery[Delivery ID],Delivery[[#This Row],[Delivery ID]])</f>
        <v>1</v>
      </c>
      <c r="AH824" s="204">
        <f>(Delivery[[#This Row],[Nespresso total]]/SUMIF(Allocation!C:C,Delivery[Delivery ID],Allocation!H:H))/Delivery[[#This Row],[Exchange rate VS USD]]</f>
        <v>8.5051663597136962</v>
      </c>
      <c r="AI824" s="204">
        <f>(Delivery[[#This Row],[AAA Premium (total)]]/SUMIF(Allocation!C:C,Delivery[Delivery ID],Allocation!H:H))/Delivery[[#This Row],[Exchange rate VS USD]]</f>
        <v>0.35146443514644343</v>
      </c>
      <c r="AJ824" s="204">
        <f>Delivery[[#This Row],[Valor Prêmio Nespresso AAA por Kg (em US$)]]*60</f>
        <v>21.087866108786606</v>
      </c>
      <c r="AK824" s="204">
        <f>Delivery[[#This Row],[Valor Prêmio Nespresso AAA por saca (em US$)]]/1.3228/100</f>
        <v>0.15941840118526313</v>
      </c>
      <c r="AL824" s="204">
        <f>(Delivery[[#This Row],[BEN premium (total)]]/SUMIF(Allocation!C:C,Delivery[Delivery ID],Allocation!H:H))/Delivery[[#This Row],[Exchange rate for premiums VS USD]]</f>
        <v>0.10989215397489539</v>
      </c>
      <c r="AM824" s="204">
        <f>Delivery[[#This Row],[Valor Prêmio Nespresso BEN por Kg (em US$)]]*60</f>
        <v>6.5935292384937236</v>
      </c>
      <c r="AN824" s="204">
        <f>Delivery[[#This Row],[Valor Prêmio Nespresso BEN por saca (em US$)]]/1.3228/100</f>
        <v>4.98452467379326E-2</v>
      </c>
      <c r="AO824" s="204">
        <f>SUMIF(Allocation[Delivery ID],Delivery[[#This Row],[Delivery ID]],Allocation[Quantity allocated])*16*1.3228*Delivery[[#This Row],[Exchange rate VS USD]]/60</f>
        <v>8304.1856533333321</v>
      </c>
      <c r="AP824" s="204">
        <f>Delivery[[#This Row],[AAA Premium (total)]]</f>
        <v>8273.9999999999982</v>
      </c>
      <c r="AQ824" s="204">
        <f>Delivery[[#This Row],[Valor pago pelo Cluster]]-Delivery[[#This Row],[Valor efetivamente pago pela Nespresso]]</f>
        <v>-30.185653333333903</v>
      </c>
    </row>
    <row r="825" spans="1:43" ht="15.75">
      <c r="A825" s="174" t="s">
        <v>69</v>
      </c>
      <c r="B825" s="232" t="s">
        <v>68</v>
      </c>
      <c r="C825" s="157">
        <v>1</v>
      </c>
      <c r="D825" s="157" t="s">
        <v>468</v>
      </c>
      <c r="E825" s="177" t="s">
        <v>468</v>
      </c>
      <c r="F825" s="233" t="s">
        <v>543</v>
      </c>
      <c r="G825" s="234">
        <v>43320</v>
      </c>
      <c r="H825" s="157" t="s">
        <v>971</v>
      </c>
      <c r="I825" s="157" t="s">
        <v>511</v>
      </c>
      <c r="J825" s="237">
        <v>31180</v>
      </c>
      <c r="K825" s="175" t="s">
        <v>61</v>
      </c>
      <c r="L825" s="175" t="s">
        <v>439</v>
      </c>
      <c r="M825" s="175" t="s">
        <v>1343</v>
      </c>
      <c r="N825" s="198"/>
      <c r="O825" s="199"/>
      <c r="P825" s="181">
        <v>0</v>
      </c>
      <c r="Q825" s="177">
        <v>43123</v>
      </c>
      <c r="R825" s="178">
        <v>434.94</v>
      </c>
      <c r="S825" s="179">
        <v>227610.20681507999</v>
      </c>
      <c r="T825" s="182" t="s">
        <v>45</v>
      </c>
      <c r="U825" s="183">
        <v>3.3</v>
      </c>
      <c r="V825" s="179">
        <v>12012</v>
      </c>
      <c r="W825" s="179">
        <v>3753.3765924599993</v>
      </c>
      <c r="X825" s="196" t="s">
        <v>45</v>
      </c>
      <c r="Y825" s="200">
        <v>3.3</v>
      </c>
      <c r="Z825" s="220" t="s">
        <v>473</v>
      </c>
      <c r="AA825" s="201">
        <f>Delivery[[#This Row],[Quantity delivered]]*VLOOKUP(Delivery[[#This Row],[Unit]],References!$U:$X,4,FALSE)*VLOOKUP(CONCATENATE(Delivery[[#This Row],[Coffee specie]],Delivery[[#This Row],[Coffee state]]),References!$U:$X,4,FALSE)</f>
        <v>31180</v>
      </c>
      <c r="AB825" s="202">
        <f>SUMIF(Allocation!C:C,Delivery[[#This Row],[Delivery ID]],Allocation!D:D)/Delivery[[#This Row],[Quantity delivered]]</f>
        <v>0.71889031430404104</v>
      </c>
      <c r="AC825" s="203">
        <f>Delivery[[#This Row],[Quantity delivered]]*Delivery[[#This Row],[Base price (Unidad)]]/60</f>
        <v>226023.81999999998</v>
      </c>
      <c r="AD825" s="204">
        <f>Delivery[[#This Row],[Nespresso total]]-Delivery[[#This Row],[Qt. Delivery * Base Price]]</f>
        <v>1586.3868150800117</v>
      </c>
      <c r="AE825" s="204">
        <f>Delivery[[#This Row],[AAA Premium (total)]]/Delivery[[#This Row],[Quantity delivered]]*60/Delivery[[#This Row],[Exchange rate VS USD]]</f>
        <v>7.0044900577293134</v>
      </c>
      <c r="AF825" s="204">
        <f>Delivery[[#This Row],[BEN premium (total)]]/Delivery[[#This Row],[Quantity delivered]]*60/Delivery[[#This Row],[Exchange rate for premiums VS USD]]</f>
        <v>2.1886853999999998</v>
      </c>
      <c r="AG825" s="204">
        <f>COUNTIF(Delivery[Delivery ID],Delivery[[#This Row],[Delivery ID]])</f>
        <v>1</v>
      </c>
      <c r="AH825" s="204">
        <f>(Delivery[[#This Row],[Nespresso total]]/SUMIF(Allocation!C:C,Delivery[Delivery ID],Allocation!H:H))/Delivery[[#This Row],[Exchange rate VS USD]]</f>
        <v>9.3244274630206352</v>
      </c>
      <c r="AI825" s="204">
        <f>(Delivery[[#This Row],[AAA Premium (total)]]/SUMIF(Allocation!C:C,Delivery[Delivery ID],Allocation!H:H))/Delivery[[#This Row],[Exchange rate VS USD]]</f>
        <v>0.49209138840070304</v>
      </c>
      <c r="AJ825" s="204">
        <f>Delivery[[#This Row],[Valor Prêmio Nespresso AAA por Kg (em US$)]]*60</f>
        <v>29.525483304042183</v>
      </c>
      <c r="AK825" s="204">
        <f>Delivery[[#This Row],[Valor Prêmio Nespresso AAA por saca (em US$)]]/1.3228/100</f>
        <v>0.22320443985517222</v>
      </c>
      <c r="AL825" s="204">
        <f>(Delivery[[#This Row],[BEN premium (total)]]/SUMIF(Allocation!C:C,Delivery[Delivery ID],Allocation!H:H))/Delivery[[#This Row],[Exchange rate for premiums VS USD]]</f>
        <v>0.15376326161957549</v>
      </c>
      <c r="AM825" s="204">
        <f>Delivery[[#This Row],[Valor Prêmio Nespresso BEN por Kg (em US$)]]*60</f>
        <v>9.2257956971745294</v>
      </c>
      <c r="AN825" s="204">
        <f>Delivery[[#This Row],[Valor Prêmio Nespresso BEN por saca (em US$)]]/1.3228/100</f>
        <v>6.9744448874920845E-2</v>
      </c>
      <c r="AO825" s="204">
        <f>SUMIF(Allocation[Delivery ID],Delivery[[#This Row],[Delivery ID]],Allocation[Quantity allocated])*16*1.3228*Delivery[[#This Row],[Exchange rate VS USD]]/60</f>
        <v>8610.581408</v>
      </c>
      <c r="AP825" s="204">
        <f>Delivery[[#This Row],[AAA Premium (total)]]</f>
        <v>12012</v>
      </c>
      <c r="AQ825" s="204">
        <f>Delivery[[#This Row],[Valor pago pelo Cluster]]-Delivery[[#This Row],[Valor efetivamente pago pela Nespresso]]</f>
        <v>3401.418592</v>
      </c>
    </row>
    <row r="826" spans="1:43" ht="15.75">
      <c r="A826" s="174" t="s">
        <v>69</v>
      </c>
      <c r="B826" s="232" t="s">
        <v>68</v>
      </c>
      <c r="C826" s="157">
        <v>1</v>
      </c>
      <c r="D826" s="157" t="s">
        <v>468</v>
      </c>
      <c r="E826" s="177" t="s">
        <v>468</v>
      </c>
      <c r="F826" s="233" t="s">
        <v>543</v>
      </c>
      <c r="G826" s="234">
        <v>43320</v>
      </c>
      <c r="H826" s="157" t="s">
        <v>972</v>
      </c>
      <c r="I826" s="157" t="s">
        <v>511</v>
      </c>
      <c r="J826" s="237">
        <v>31200</v>
      </c>
      <c r="K826" s="175" t="s">
        <v>61</v>
      </c>
      <c r="L826" s="175" t="s">
        <v>439</v>
      </c>
      <c r="M826" s="175" t="s">
        <v>1343</v>
      </c>
      <c r="N826" s="198"/>
      <c r="O826" s="199"/>
      <c r="P826" s="181">
        <v>0</v>
      </c>
      <c r="Q826" s="177">
        <v>43123</v>
      </c>
      <c r="R826" s="178">
        <v>434.94</v>
      </c>
      <c r="S826" s="179">
        <v>227605.3917072</v>
      </c>
      <c r="T826" s="182" t="s">
        <v>45</v>
      </c>
      <c r="U826" s="183">
        <v>3.3</v>
      </c>
      <c r="V826" s="179">
        <v>12012</v>
      </c>
      <c r="W826" s="179">
        <v>3755.7841463999989</v>
      </c>
      <c r="X826" s="196" t="s">
        <v>45</v>
      </c>
      <c r="Y826" s="200">
        <v>3.3</v>
      </c>
      <c r="Z826" s="220" t="s">
        <v>473</v>
      </c>
      <c r="AA826" s="201">
        <f>Delivery[[#This Row],[Quantity delivered]]*VLOOKUP(Delivery[[#This Row],[Unit]],References!$U:$X,4,FALSE)*VLOOKUP(CONCATENATE(Delivery[[#This Row],[Coffee specie]],Delivery[[#This Row],[Coffee state]]),References!$U:$X,4,FALSE)</f>
        <v>31200</v>
      </c>
      <c r="AB826" s="202">
        <f>SUMIF(Allocation!C:C,Delivery[[#This Row],[Delivery ID]],Allocation!D:D)/Delivery[[#This Row],[Quantity delivered]]</f>
        <v>0.71842948717948718</v>
      </c>
      <c r="AC826" s="203">
        <f>Delivery[[#This Row],[Quantity delivered]]*Delivery[[#This Row],[Base price (Unidad)]]/60</f>
        <v>226168.8</v>
      </c>
      <c r="AD826" s="204">
        <f>Delivery[[#This Row],[Nespresso total]]-Delivery[[#This Row],[Qt. Delivery * Base Price]]</f>
        <v>1436.5917072000157</v>
      </c>
      <c r="AE826" s="204">
        <f>Delivery[[#This Row],[AAA Premium (total)]]/Delivery[[#This Row],[Quantity delivered]]*60/Delivery[[#This Row],[Exchange rate VS USD]]</f>
        <v>7.0000000000000009</v>
      </c>
      <c r="AF826" s="204">
        <f>Delivery[[#This Row],[BEN premium (total)]]/Delivery[[#This Row],[Quantity delivered]]*60/Delivery[[#This Row],[Exchange rate for premiums VS USD]]</f>
        <v>2.1886853999999993</v>
      </c>
      <c r="AG826" s="204">
        <f>COUNTIF(Delivery[Delivery ID],Delivery[[#This Row],[Delivery ID]])</f>
        <v>1</v>
      </c>
      <c r="AH826" s="204">
        <f>(Delivery[[#This Row],[Nespresso total]]/SUMIF(Allocation!C:C,Delivery[Delivery ID],Allocation!H:H))/Delivery[[#This Row],[Exchange rate VS USD]]</f>
        <v>9.324230204185973</v>
      </c>
      <c r="AI826" s="204">
        <f>(Delivery[[#This Row],[AAA Premium (total)]]/SUMIF(Allocation!C:C,Delivery[Delivery ID],Allocation!H:H))/Delivery[[#This Row],[Exchange rate VS USD]]</f>
        <v>0.49209138840070304</v>
      </c>
      <c r="AJ826" s="204">
        <f>Delivery[[#This Row],[Valor Prêmio Nespresso AAA por Kg (em US$)]]*60</f>
        <v>29.525483304042183</v>
      </c>
      <c r="AK826" s="204">
        <f>Delivery[[#This Row],[Valor Prêmio Nespresso AAA por saca (em US$)]]/1.3228/100</f>
        <v>0.22320443985517222</v>
      </c>
      <c r="AL826" s="204">
        <f>(Delivery[[#This Row],[BEN premium (total)]]/SUMIF(Allocation!C:C,Delivery[Delivery ID],Allocation!H:H))/Delivery[[#This Row],[Exchange rate for premiums VS USD]]</f>
        <v>0.15386189103690681</v>
      </c>
      <c r="AM826" s="204">
        <f>Delivery[[#This Row],[Valor Prêmio Nespresso BEN por Kg (em US$)]]*60</f>
        <v>9.2317134622144081</v>
      </c>
      <c r="AN826" s="204">
        <f>Delivery[[#This Row],[Valor Prêmio Nespresso BEN por saca (em US$)]]/1.3228/100</f>
        <v>6.9789185532313336E-2</v>
      </c>
      <c r="AO826" s="204">
        <f>SUMIF(Allocation[Delivery ID],Delivery[[#This Row],[Delivery ID]],Allocation[Quantity allocated])*16*1.3228*Delivery[[#This Row],[Exchange rate VS USD]]/60</f>
        <v>8610.581408</v>
      </c>
      <c r="AP826" s="204">
        <f>Delivery[[#This Row],[AAA Premium (total)]]</f>
        <v>12012</v>
      </c>
      <c r="AQ826" s="204">
        <f>Delivery[[#This Row],[Valor pago pelo Cluster]]-Delivery[[#This Row],[Valor efetivamente pago pela Nespresso]]</f>
        <v>3401.418592</v>
      </c>
    </row>
    <row r="827" spans="1:43" ht="15.75">
      <c r="A827" s="174" t="s">
        <v>69</v>
      </c>
      <c r="B827" s="232" t="s">
        <v>68</v>
      </c>
      <c r="C827" s="157">
        <v>1</v>
      </c>
      <c r="D827" s="157" t="s">
        <v>468</v>
      </c>
      <c r="E827" s="177" t="s">
        <v>468</v>
      </c>
      <c r="F827" s="233" t="s">
        <v>543</v>
      </c>
      <c r="G827" s="234">
        <v>43320</v>
      </c>
      <c r="H827" s="157" t="s">
        <v>973</v>
      </c>
      <c r="I827" s="157" t="s">
        <v>974</v>
      </c>
      <c r="J827" s="237">
        <v>30050</v>
      </c>
      <c r="K827" s="175" t="s">
        <v>61</v>
      </c>
      <c r="L827" s="175" t="s">
        <v>439</v>
      </c>
      <c r="M827" s="175" t="s">
        <v>1343</v>
      </c>
      <c r="N827" s="198"/>
      <c r="O827" s="199"/>
      <c r="P827" s="181">
        <v>0</v>
      </c>
      <c r="Q827" s="177">
        <v>43314</v>
      </c>
      <c r="R827" s="178">
        <v>413.59190999999998</v>
      </c>
      <c r="S827" s="179">
        <v>211880</v>
      </c>
      <c r="T827" s="182" t="s">
        <v>45</v>
      </c>
      <c r="U827" s="183">
        <v>3.7496999999999998</v>
      </c>
      <c r="V827" s="179">
        <v>13120</v>
      </c>
      <c r="W827" s="179">
        <v>0</v>
      </c>
      <c r="X827" s="196" t="s">
        <v>45</v>
      </c>
      <c r="Y827" s="200">
        <v>3.7496999999999998</v>
      </c>
      <c r="Z827" s="220"/>
      <c r="AA827" s="201">
        <f>Delivery[[#This Row],[Quantity delivered]]*VLOOKUP(Delivery[[#This Row],[Unit]],References!$U:$X,4,FALSE)*VLOOKUP(CONCATENATE(Delivery[[#This Row],[Coffee specie]],Delivery[[#This Row],[Coffee state]]),References!$U:$X,4,FALSE)</f>
        <v>30050</v>
      </c>
      <c r="AB827" s="202">
        <f>SUMIF(Allocation!C:C,Delivery[[#This Row],[Delivery ID]],Allocation!D:D)/Delivery[[#This Row],[Quantity delivered]]</f>
        <v>0.63174708818635605</v>
      </c>
      <c r="AC827" s="203">
        <f>Delivery[[#This Row],[Quantity delivered]]*Delivery[[#This Row],[Base price (Unidad)]]/60</f>
        <v>207140.61492499997</v>
      </c>
      <c r="AD827" s="204">
        <f>Delivery[[#This Row],[Nespresso total]]-Delivery[[#This Row],[Qt. Delivery * Base Price]]</f>
        <v>4739.3850750000274</v>
      </c>
      <c r="AE827" s="204">
        <f>Delivery[[#This Row],[AAA Premium (total)]]/Delivery[[#This Row],[Quantity delivered]]*60/Delivery[[#This Row],[Exchange rate VS USD]]</f>
        <v>6.9862494157602493</v>
      </c>
      <c r="AF827" s="204">
        <f>Delivery[[#This Row],[BEN premium (total)]]/Delivery[[#This Row],[Quantity delivered]]*60/Delivery[[#This Row],[Exchange rate for premiums VS USD]]</f>
        <v>0</v>
      </c>
      <c r="AG827" s="204">
        <f>COUNTIF(Delivery[Delivery ID],Delivery[[#This Row],[Delivery ID]])</f>
        <v>1</v>
      </c>
      <c r="AH827" s="204">
        <f>(Delivery[[#This Row],[Nespresso total]]/SUMIF(Allocation!C:C,Delivery[Delivery ID],Allocation!H:H))/Delivery[[#This Row],[Exchange rate VS USD]]</f>
        <v>7.631800891631209</v>
      </c>
      <c r="AI827" s="204">
        <f>(Delivery[[#This Row],[AAA Premium (total)]]/SUMIF(Allocation!C:C,Delivery[Delivery ID],Allocation!H:H))/Delivery[[#This Row],[Exchange rate VS USD]]</f>
        <v>0.4725751732027631</v>
      </c>
      <c r="AJ827" s="204">
        <f>Delivery[[#This Row],[Valor Prêmio Nespresso AAA por Kg (em US$)]]*60</f>
        <v>28.354510392165786</v>
      </c>
      <c r="AK827" s="204">
        <f>Delivery[[#This Row],[Valor Prêmio Nespresso AAA por saca (em US$)]]/1.3228/100</f>
        <v>0.21435221040343047</v>
      </c>
      <c r="AL827" s="204">
        <f>(Delivery[[#This Row],[BEN premium (total)]]/SUMIF(Allocation!C:C,Delivery[Delivery ID],Allocation!H:H))/Delivery[[#This Row],[Exchange rate for premiums VS USD]]</f>
        <v>0</v>
      </c>
      <c r="AM827" s="204">
        <f>Delivery[[#This Row],[Valor Prêmio Nespresso BEN por Kg (em US$)]]*60</f>
        <v>0</v>
      </c>
      <c r="AN827" s="204">
        <f>Delivery[[#This Row],[Valor Prêmio Nespresso BEN por saca (em US$)]]/1.3228/100</f>
        <v>0</v>
      </c>
      <c r="AO827" s="204">
        <f>SUMIF(Allocation[Delivery ID],Delivery[[#This Row],[Delivery ID]],Allocation[Quantity allocated])*16*1.3228*Delivery[[#This Row],[Exchange rate VS USD]]/60</f>
        <v>9793.2276791039985</v>
      </c>
      <c r="AP827" s="204">
        <f>Delivery[[#This Row],[AAA Premium (total)]]</f>
        <v>13120</v>
      </c>
      <c r="AQ827" s="204">
        <f>Delivery[[#This Row],[Valor pago pelo Cluster]]-Delivery[[#This Row],[Valor efetivamente pago pela Nespresso]]</f>
        <v>3326.7723208960015</v>
      </c>
    </row>
    <row r="828" spans="1:43" ht="15.75">
      <c r="A828" s="174" t="s">
        <v>69</v>
      </c>
      <c r="B828" s="232" t="s">
        <v>68</v>
      </c>
      <c r="C828" s="157">
        <v>1</v>
      </c>
      <c r="D828" s="157" t="s">
        <v>468</v>
      </c>
      <c r="E828" s="177" t="s">
        <v>468</v>
      </c>
      <c r="F828" s="233" t="s">
        <v>543</v>
      </c>
      <c r="G828" s="234">
        <v>43320</v>
      </c>
      <c r="H828" s="157" t="s">
        <v>976</v>
      </c>
      <c r="I828" s="157" t="s">
        <v>977</v>
      </c>
      <c r="J828" s="237">
        <v>10195</v>
      </c>
      <c r="K828" s="175" t="s">
        <v>61</v>
      </c>
      <c r="L828" s="175" t="s">
        <v>439</v>
      </c>
      <c r="M828" s="175" t="s">
        <v>1343</v>
      </c>
      <c r="N828" s="198"/>
      <c r="O828" s="199"/>
      <c r="P828" s="181">
        <v>0</v>
      </c>
      <c r="Q828" s="177">
        <v>43314</v>
      </c>
      <c r="R828" s="178">
        <v>413.59190999999998</v>
      </c>
      <c r="S828" s="179">
        <v>42799.76</v>
      </c>
      <c r="T828" s="182" t="s">
        <v>45</v>
      </c>
      <c r="U828" s="183">
        <v>3.7496999999999998</v>
      </c>
      <c r="V828" s="179">
        <v>4459.9556749999992</v>
      </c>
      <c r="W828" s="179">
        <v>0</v>
      </c>
      <c r="X828" s="196" t="s">
        <v>45</v>
      </c>
      <c r="Y828" s="200">
        <v>3.7496999999999998</v>
      </c>
      <c r="Z828" s="220"/>
      <c r="AA828" s="201">
        <f>Delivery[[#This Row],[Quantity delivered]]*VLOOKUP(Delivery[[#This Row],[Unit]],References!$U:$X,4,FALSE)*VLOOKUP(CONCATENATE(Delivery[[#This Row],[Coffee specie]],Delivery[[#This Row],[Coffee state]]),References!$U:$X,4,FALSE)</f>
        <v>10195</v>
      </c>
      <c r="AB828" s="202">
        <f>SUMIF(Allocation!C:C,Delivery[[#This Row],[Delivery ID]],Allocation!D:D)/Delivery[[#This Row],[Quantity delivered]]</f>
        <v>0.56517900931829324</v>
      </c>
      <c r="AC828" s="203">
        <f>Delivery[[#This Row],[Quantity delivered]]*Delivery[[#This Row],[Base price (Unidad)]]/60</f>
        <v>70276.158707499999</v>
      </c>
      <c r="AD828" s="204">
        <f>Delivery[[#This Row],[Nespresso total]]-Delivery[[#This Row],[Qt. Delivery * Base Price]]</f>
        <v>-27476.398707499997</v>
      </c>
      <c r="AE828" s="204">
        <f>Delivery[[#This Row],[AAA Premium (total)]]/Delivery[[#This Row],[Quantity delivered]]*60/Delivery[[#This Row],[Exchange rate VS USD]]</f>
        <v>7</v>
      </c>
      <c r="AF828" s="204">
        <f>Delivery[[#This Row],[BEN premium (total)]]/Delivery[[#This Row],[Quantity delivered]]*60/Delivery[[#This Row],[Exchange rate for premiums VS USD]]</f>
        <v>0</v>
      </c>
      <c r="AG828" s="204">
        <f>COUNTIF(Delivery[Delivery ID],Delivery[[#This Row],[Delivery ID]])</f>
        <v>1</v>
      </c>
      <c r="AH828" s="204">
        <f>(Delivery[[#This Row],[Nespresso total]]/SUMIF(Allocation!C:C,Delivery[Delivery ID],Allocation!H:H))/Delivery[[#This Row],[Exchange rate VS USD]]</f>
        <v>5.0797429763821853</v>
      </c>
      <c r="AI828" s="204">
        <f>(Delivery[[#This Row],[AAA Premium (total)]]/SUMIF(Allocation!C:C,Delivery[Delivery ID],Allocation!H:H))/Delivery[[#This Row],[Exchange rate VS USD]]</f>
        <v>0.52933541017653163</v>
      </c>
      <c r="AJ828" s="204">
        <f>Delivery[[#This Row],[Valor Prêmio Nespresso AAA por Kg (em US$)]]*60</f>
        <v>31.760124610591898</v>
      </c>
      <c r="AK828" s="204">
        <f>Delivery[[#This Row],[Valor Prêmio Nespresso AAA por saca (em US$)]]/1.3228/100</f>
        <v>0.24009770646047701</v>
      </c>
      <c r="AL828" s="204">
        <f>(Delivery[[#This Row],[BEN premium (total)]]/SUMIF(Allocation!C:C,Delivery[Delivery ID],Allocation!H:H))/Delivery[[#This Row],[Exchange rate for premiums VS USD]]</f>
        <v>0</v>
      </c>
      <c r="AM828" s="204">
        <f>Delivery[[#This Row],[Valor Prêmio Nespresso BEN por Kg (em US$)]]*60</f>
        <v>0</v>
      </c>
      <c r="AN828" s="204">
        <f>Delivery[[#This Row],[Valor Prêmio Nespresso BEN por saca (em US$)]]/1.3228/100</f>
        <v>0</v>
      </c>
      <c r="AO828" s="204">
        <f>SUMIF(Allocation[Delivery ID],Delivery[[#This Row],[Delivery ID]],Allocation[Quantity allocated])*16*1.3228*Delivery[[#This Row],[Exchange rate VS USD]]/60</f>
        <v>2972.0938134719995</v>
      </c>
      <c r="AP828" s="204">
        <f>Delivery[[#This Row],[AAA Premium (total)]]</f>
        <v>4459.9556749999992</v>
      </c>
      <c r="AQ828" s="204">
        <f>Delivery[[#This Row],[Valor pago pelo Cluster]]-Delivery[[#This Row],[Valor efetivamente pago pela Nespresso]]</f>
        <v>1487.8618615279997</v>
      </c>
    </row>
    <row r="829" spans="1:43" ht="15.75">
      <c r="A829" s="174" t="s">
        <v>69</v>
      </c>
      <c r="B829" s="232" t="s">
        <v>68</v>
      </c>
      <c r="C829" s="157">
        <v>1</v>
      </c>
      <c r="D829" s="157" t="s">
        <v>468</v>
      </c>
      <c r="E829" s="177" t="s">
        <v>468</v>
      </c>
      <c r="F829" s="233" t="s">
        <v>543</v>
      </c>
      <c r="G829" s="234">
        <v>43320</v>
      </c>
      <c r="H829" s="157" t="s">
        <v>978</v>
      </c>
      <c r="I829" s="157" t="s">
        <v>979</v>
      </c>
      <c r="J829" s="237">
        <v>15015</v>
      </c>
      <c r="K829" s="175" t="s">
        <v>61</v>
      </c>
      <c r="L829" s="175" t="s">
        <v>439</v>
      </c>
      <c r="M829" s="175" t="s">
        <v>1343</v>
      </c>
      <c r="N829" s="198"/>
      <c r="O829" s="199"/>
      <c r="P829" s="181">
        <v>0</v>
      </c>
      <c r="Q829" s="177">
        <v>43252</v>
      </c>
      <c r="R829" s="178">
        <v>482.76668000000001</v>
      </c>
      <c r="S829" s="179">
        <v>118407.5</v>
      </c>
      <c r="T829" s="182" t="s">
        <v>45</v>
      </c>
      <c r="U829" s="183">
        <v>3.7671999999999999</v>
      </c>
      <c r="V829" s="179">
        <v>6592.5</v>
      </c>
      <c r="W829" s="179">
        <v>0</v>
      </c>
      <c r="X829" s="196" t="s">
        <v>45</v>
      </c>
      <c r="Y829" s="200">
        <v>3.7671999999999999</v>
      </c>
      <c r="Z829" s="220"/>
      <c r="AA829" s="201">
        <f>Delivery[[#This Row],[Quantity delivered]]*VLOOKUP(Delivery[[#This Row],[Unit]],References!$U:$X,4,FALSE)*VLOOKUP(CONCATENATE(Delivery[[#This Row],[Coffee specie]],Delivery[[#This Row],[Coffee state]]),References!$U:$X,4,FALSE)</f>
        <v>15015</v>
      </c>
      <c r="AB829" s="202">
        <f>SUMIF(Allocation!C:C,Delivery[[#This Row],[Delivery ID]],Allocation!D:D)/Delivery[[#This Row],[Quantity delivered]]</f>
        <v>0.72807192807192811</v>
      </c>
      <c r="AC829" s="203">
        <f>Delivery[[#This Row],[Quantity delivered]]*Delivery[[#This Row],[Base price (Unidad)]]/60</f>
        <v>120812.36167</v>
      </c>
      <c r="AD829" s="204">
        <f>Delivery[[#This Row],[Nespresso total]]-Delivery[[#This Row],[Qt. Delivery * Base Price]]</f>
        <v>-2404.8616699999984</v>
      </c>
      <c r="AE829" s="204">
        <f>Delivery[[#This Row],[AAA Premium (total)]]/Delivery[[#This Row],[Quantity delivered]]*60/Delivery[[#This Row],[Exchange rate VS USD]]</f>
        <v>6.9929009194245983</v>
      </c>
      <c r="AF829" s="204">
        <f>Delivery[[#This Row],[BEN premium (total)]]/Delivery[[#This Row],[Quantity delivered]]*60/Delivery[[#This Row],[Exchange rate for premiums VS USD]]</f>
        <v>0</v>
      </c>
      <c r="AG829" s="204">
        <f>COUNTIF(Delivery[Delivery ID],Delivery[[#This Row],[Delivery ID]])</f>
        <v>1</v>
      </c>
      <c r="AH829" s="204">
        <f>(Delivery[[#This Row],[Nespresso total]]/SUMIF(Allocation!C:C,Delivery[Delivery ID],Allocation!H:H))/Delivery[[#This Row],[Exchange rate VS USD]]</f>
        <v>9.4133480197700869</v>
      </c>
      <c r="AI829" s="204">
        <f>(Delivery[[#This Row],[AAA Premium (total)]]/SUMIF(Allocation!C:C,Delivery[Delivery ID],Allocation!H:H))/Delivery[[#This Row],[Exchange rate VS USD]]</f>
        <v>0.52410106471578488</v>
      </c>
      <c r="AJ829" s="204">
        <f>Delivery[[#This Row],[Valor Prêmio Nespresso AAA por Kg (em US$)]]*60</f>
        <v>31.446063882947094</v>
      </c>
      <c r="AK829" s="204">
        <f>Delivery[[#This Row],[Valor Prêmio Nespresso AAA por saca (em US$)]]/1.3228/100</f>
        <v>0.23772349473047394</v>
      </c>
      <c r="AL829" s="204">
        <f>(Delivery[[#This Row],[BEN premium (total)]]/SUMIF(Allocation!C:C,Delivery[Delivery ID],Allocation!H:H))/Delivery[[#This Row],[Exchange rate for premiums VS USD]]</f>
        <v>0</v>
      </c>
      <c r="AM829" s="204">
        <f>Delivery[[#This Row],[Valor Prêmio Nespresso BEN por Kg (em US$)]]*60</f>
        <v>0</v>
      </c>
      <c r="AN829" s="204">
        <f>Delivery[[#This Row],[Valor Prêmio Nespresso BEN por saca (em US$)]]/1.3228/100</f>
        <v>0</v>
      </c>
      <c r="AO829" s="204">
        <f>SUMIF(Allocation[Delivery ID],Delivery[[#This Row],[Delivery ID]],Allocation[Quantity allocated])*16*1.3228*Delivery[[#This Row],[Exchange rate VS USD]]/60</f>
        <v>4437.0877232640005</v>
      </c>
      <c r="AP829" s="204">
        <f>Delivery[[#This Row],[AAA Premium (total)]]</f>
        <v>6592.5</v>
      </c>
      <c r="AQ829" s="204">
        <f>Delivery[[#This Row],[Valor pago pelo Cluster]]-Delivery[[#This Row],[Valor efetivamente pago pela Nespresso]]</f>
        <v>2155.4122767359995</v>
      </c>
    </row>
    <row r="830" spans="1:43" ht="15.75">
      <c r="A830" s="174" t="s">
        <v>69</v>
      </c>
      <c r="B830" s="232" t="s">
        <v>68</v>
      </c>
      <c r="C830" s="157">
        <v>1</v>
      </c>
      <c r="D830" s="157" t="s">
        <v>468</v>
      </c>
      <c r="E830" s="177" t="s">
        <v>468</v>
      </c>
      <c r="F830" s="233" t="s">
        <v>543</v>
      </c>
      <c r="G830" s="234">
        <v>43320</v>
      </c>
      <c r="H830" s="157" t="s">
        <v>980</v>
      </c>
      <c r="I830" s="157" t="s">
        <v>511</v>
      </c>
      <c r="J830" s="237">
        <v>31000</v>
      </c>
      <c r="K830" s="175" t="s">
        <v>61</v>
      </c>
      <c r="L830" s="175" t="s">
        <v>439</v>
      </c>
      <c r="M830" s="175" t="s">
        <v>1343</v>
      </c>
      <c r="N830" s="198"/>
      <c r="O830" s="199"/>
      <c r="P830" s="181">
        <v>0</v>
      </c>
      <c r="Q830" s="177">
        <v>43123</v>
      </c>
      <c r="R830" s="178">
        <v>434.94</v>
      </c>
      <c r="S830" s="179">
        <v>227201.39278599998</v>
      </c>
      <c r="T830" s="182" t="s">
        <v>45</v>
      </c>
      <c r="U830" s="183">
        <v>3.3</v>
      </c>
      <c r="V830" s="179">
        <v>11988.9</v>
      </c>
      <c r="W830" s="179">
        <v>3731.7086069999996</v>
      </c>
      <c r="X830" s="196" t="s">
        <v>45</v>
      </c>
      <c r="Y830" s="200">
        <v>3.3</v>
      </c>
      <c r="Z830" s="220" t="s">
        <v>473</v>
      </c>
      <c r="AA830" s="201">
        <f>Delivery[[#This Row],[Quantity delivered]]*VLOOKUP(Delivery[[#This Row],[Unit]],References!$U:$X,4,FALSE)*VLOOKUP(CONCATENATE(Delivery[[#This Row],[Coffee specie]],Delivery[[#This Row],[Coffee state]]),References!$U:$X,4,FALSE)</f>
        <v>31000</v>
      </c>
      <c r="AB830" s="202">
        <f>SUMIF(Allocation!C:C,Delivery[[#This Row],[Delivery ID]],Allocation!D:D)/Delivery[[#This Row],[Quantity delivered]]</f>
        <v>0.72170967741935488</v>
      </c>
      <c r="AC830" s="203">
        <f>Delivery[[#This Row],[Quantity delivered]]*Delivery[[#This Row],[Base price (Unidad)]]/60</f>
        <v>224719</v>
      </c>
      <c r="AD830" s="204">
        <f>Delivery[[#This Row],[Nespresso total]]-Delivery[[#This Row],[Qt. Delivery * Base Price]]</f>
        <v>2482.3927859999822</v>
      </c>
      <c r="AE830" s="204">
        <f>Delivery[[#This Row],[AAA Premium (total)]]/Delivery[[#This Row],[Quantity delivered]]*60/Delivery[[#This Row],[Exchange rate VS USD]]</f>
        <v>7.031612903225807</v>
      </c>
      <c r="AF830" s="204">
        <f>Delivery[[#This Row],[BEN premium (total)]]/Delivery[[#This Row],[Quantity delivered]]*60/Delivery[[#This Row],[Exchange rate for premiums VS USD]]</f>
        <v>2.1886854000000002</v>
      </c>
      <c r="AG830" s="204">
        <f>COUNTIF(Delivery[Delivery ID],Delivery[[#This Row],[Delivery ID]])</f>
        <v>1</v>
      </c>
      <c r="AH830" s="204">
        <f>(Delivery[[#This Row],[Nespresso total]]/SUMIF(Allocation!C:C,Delivery[Delivery ID],Allocation!H:H))/Delivery[[#This Row],[Exchange rate VS USD]]</f>
        <v>9.3253293925028427</v>
      </c>
      <c r="AI830" s="204">
        <f>(Delivery[[#This Row],[AAA Premium (total)]]/SUMIF(Allocation!C:C,Delivery[Delivery ID],Allocation!H:H))/Delivery[[#This Row],[Exchange rate VS USD]]</f>
        <v>0.49207639171068673</v>
      </c>
      <c r="AJ830" s="204">
        <f>Delivery[[#This Row],[Valor Prêmio Nespresso AAA por Kg (em US$)]]*60</f>
        <v>29.524583502641203</v>
      </c>
      <c r="AK830" s="204">
        <f>Delivery[[#This Row],[Valor Prêmio Nespresso AAA por saca (em US$)]]/1.3228/100</f>
        <v>0.22319763760690356</v>
      </c>
      <c r="AL830" s="204">
        <f>(Delivery[[#This Row],[BEN premium (total)]]/SUMIF(Allocation!C:C,Delivery[Delivery ID],Allocation!H:H))/Delivery[[#This Row],[Exchange rate for premiums VS USD]]</f>
        <v>0.15316548692943247</v>
      </c>
      <c r="AM830" s="204">
        <f>Delivery[[#This Row],[Valor Prêmio Nespresso BEN por Kg (em US$)]]*60</f>
        <v>9.1899292157659485</v>
      </c>
      <c r="AN830" s="204">
        <f>Delivery[[#This Row],[Valor Prêmio Nespresso BEN por saca (em US$)]]/1.3228/100</f>
        <v>6.9473308253446844E-2</v>
      </c>
      <c r="AO830" s="204">
        <f>SUMIF(Allocation[Delivery ID],Delivery[[#This Row],[Delivery ID]],Allocation[Quantity allocated])*16*1.3228*Delivery[[#This Row],[Exchange rate VS USD]]/60</f>
        <v>8594.2845119999984</v>
      </c>
      <c r="AP830" s="204">
        <f>Delivery[[#This Row],[AAA Premium (total)]]</f>
        <v>11988.9</v>
      </c>
      <c r="AQ830" s="204">
        <f>Delivery[[#This Row],[Valor pago pelo Cluster]]-Delivery[[#This Row],[Valor efetivamente pago pela Nespresso]]</f>
        <v>3394.6154880000013</v>
      </c>
    </row>
    <row r="831" spans="1:43" ht="15.75">
      <c r="A831" s="174" t="s">
        <v>69</v>
      </c>
      <c r="B831" s="232" t="s">
        <v>68</v>
      </c>
      <c r="C831" s="157">
        <v>1</v>
      </c>
      <c r="D831" s="157" t="s">
        <v>468</v>
      </c>
      <c r="E831" s="177" t="s">
        <v>468</v>
      </c>
      <c r="F831" s="233" t="s">
        <v>543</v>
      </c>
      <c r="G831" s="234">
        <v>43321</v>
      </c>
      <c r="H831" s="157" t="s">
        <v>981</v>
      </c>
      <c r="I831" s="157" t="s">
        <v>982</v>
      </c>
      <c r="J831" s="237">
        <v>30430</v>
      </c>
      <c r="K831" s="175" t="s">
        <v>61</v>
      </c>
      <c r="L831" s="175" t="s">
        <v>439</v>
      </c>
      <c r="M831" s="175" t="s">
        <v>1343</v>
      </c>
      <c r="N831" s="198"/>
      <c r="O831" s="199"/>
      <c r="P831" s="181">
        <v>0</v>
      </c>
      <c r="Q831" s="177">
        <v>43249</v>
      </c>
      <c r="R831" s="178">
        <v>473.763125</v>
      </c>
      <c r="S831" s="179">
        <v>229745.93691999553</v>
      </c>
      <c r="T831" s="182" t="s">
        <v>45</v>
      </c>
      <c r="U831" s="183">
        <v>3.7675000000000001</v>
      </c>
      <c r="V831" s="179">
        <v>13185</v>
      </c>
      <c r="W831" s="179">
        <v>4182.03154000225</v>
      </c>
      <c r="X831" s="196" t="s">
        <v>45</v>
      </c>
      <c r="Y831" s="200">
        <v>3.7675000000000001</v>
      </c>
      <c r="Z831" s="220" t="s">
        <v>473</v>
      </c>
      <c r="AA831" s="201">
        <f>Delivery[[#This Row],[Quantity delivered]]*VLOOKUP(Delivery[[#This Row],[Unit]],References!$U:$X,4,FALSE)*VLOOKUP(CONCATENATE(Delivery[[#This Row],[Coffee specie]],Delivery[[#This Row],[Coffee state]]),References!$U:$X,4,FALSE)</f>
        <v>30430</v>
      </c>
      <c r="AB831" s="202">
        <f>SUMIF(Allocation!C:C,Delivery[[#This Row],[Delivery ID]],Allocation!D:D)/Delivery[[#This Row],[Quantity delivered]]</f>
        <v>1</v>
      </c>
      <c r="AC831" s="203">
        <f>Delivery[[#This Row],[Quantity delivered]]*Delivery[[#This Row],[Base price (Unidad)]]/60</f>
        <v>240276.86489583334</v>
      </c>
      <c r="AD831" s="204">
        <f>Delivery[[#This Row],[Nespresso total]]-Delivery[[#This Row],[Qt. Delivery * Base Price]]</f>
        <v>-10530.927975837811</v>
      </c>
      <c r="AE831" s="204">
        <f>Delivery[[#This Row],[AAA Premium (total)]]/Delivery[[#This Row],[Quantity delivered]]*60/Delivery[[#This Row],[Exchange rate VS USD]]</f>
        <v>6.9004302628919136</v>
      </c>
      <c r="AF831" s="204">
        <f>Delivery[[#This Row],[BEN premium (total)]]/Delivery[[#This Row],[Quantity delivered]]*60/Delivery[[#This Row],[Exchange rate for premiums VS USD]]</f>
        <v>2.1886854000000002</v>
      </c>
      <c r="AG831" s="204">
        <f>COUNTIF(Delivery[Delivery ID],Delivery[[#This Row],[Delivery ID]])</f>
        <v>1</v>
      </c>
      <c r="AH831" s="204">
        <f>(Delivery[[#This Row],[Nespresso total]]/SUMIF(Allocation!C:C,Delivery[Delivery ID],Allocation!H:H))/Delivery[[#This Row],[Exchange rate VS USD]]</f>
        <v>6.0665544324125174</v>
      </c>
      <c r="AI831" s="204">
        <f>(Delivery[[#This Row],[AAA Premium (total)]]/SUMIF(Allocation!C:C,Delivery[Delivery ID],Allocation!H:H))/Delivery[[#This Row],[Exchange rate VS USD]]</f>
        <v>0.34815640817714699</v>
      </c>
      <c r="AJ831" s="204">
        <f>Delivery[[#This Row],[Valor Prêmio Nespresso AAA por Kg (em US$)]]*60</f>
        <v>20.889384490628821</v>
      </c>
      <c r="AK831" s="204">
        <f>Delivery[[#This Row],[Valor Prêmio Nespresso AAA por saca (em US$)]]/1.3228/100</f>
        <v>0.15791793536913232</v>
      </c>
      <c r="AL831" s="204">
        <f>(Delivery[[#This Row],[BEN premium (total)]]/SUMIF(Allocation!C:C,Delivery[Delivery ID],Allocation!H:H))/Delivery[[#This Row],[Exchange rate for premiums VS USD]]</f>
        <v>0.11042859915439712</v>
      </c>
      <c r="AM831" s="204">
        <f>Delivery[[#This Row],[Valor Prêmio Nespresso BEN por Kg (em US$)]]*60</f>
        <v>6.6257159492638271</v>
      </c>
      <c r="AN831" s="204">
        <f>Delivery[[#This Row],[Valor Prêmio Nespresso BEN por saca (em US$)]]/1.3228/100</f>
        <v>5.0088569317083664E-2</v>
      </c>
      <c r="AO831" s="204">
        <f>SUMIF(Allocation[Delivery ID],Delivery[[#This Row],[Delivery ID]],Allocation[Quantity allocated])*16*1.3228*Delivery[[#This Row],[Exchange rate VS USD]]/60</f>
        <v>13358.837266133334</v>
      </c>
      <c r="AP831" s="204">
        <f>Delivery[[#This Row],[AAA Premium (total)]]</f>
        <v>13185</v>
      </c>
      <c r="AQ831" s="204">
        <f>Delivery[[#This Row],[Valor pago pelo Cluster]]-Delivery[[#This Row],[Valor efetivamente pago pela Nespresso]]</f>
        <v>-173.8372661333342</v>
      </c>
    </row>
    <row r="832" spans="1:43" ht="15.75">
      <c r="A832" s="174" t="s">
        <v>69</v>
      </c>
      <c r="B832" s="232" t="s">
        <v>68</v>
      </c>
      <c r="C832" s="157">
        <v>1</v>
      </c>
      <c r="D832" s="157" t="s">
        <v>468</v>
      </c>
      <c r="E832" s="177" t="s">
        <v>468</v>
      </c>
      <c r="F832" s="233" t="s">
        <v>543</v>
      </c>
      <c r="G832" s="234">
        <v>43321</v>
      </c>
      <c r="H832" s="235" t="s">
        <v>2033</v>
      </c>
      <c r="I832" s="236" t="s">
        <v>1086</v>
      </c>
      <c r="J832" s="237">
        <v>30610</v>
      </c>
      <c r="K832" s="175" t="s">
        <v>61</v>
      </c>
      <c r="L832" s="175" t="s">
        <v>439</v>
      </c>
      <c r="M832" s="175" t="s">
        <v>1343</v>
      </c>
      <c r="N832" s="198"/>
      <c r="O832" s="199"/>
      <c r="P832" s="181">
        <v>0</v>
      </c>
      <c r="Q832" s="177">
        <v>43314</v>
      </c>
      <c r="R832" s="178">
        <v>413.74397999999997</v>
      </c>
      <c r="S832" s="179">
        <v>215429.2</v>
      </c>
      <c r="T832" s="182" t="s">
        <v>45</v>
      </c>
      <c r="U832" s="183">
        <v>3.7595999999999998</v>
      </c>
      <c r="V832" s="179">
        <v>19170.900000000001</v>
      </c>
      <c r="W832" s="179">
        <v>0</v>
      </c>
      <c r="X832" s="196" t="s">
        <v>45</v>
      </c>
      <c r="Y832" s="200">
        <v>3.7595999999999998</v>
      </c>
      <c r="Z832" s="220"/>
      <c r="AA832" s="201">
        <f>Delivery[[#This Row],[Quantity delivered]]*VLOOKUP(Delivery[[#This Row],[Unit]],References!$U:$X,4,FALSE)*VLOOKUP(CONCATENATE(Delivery[[#This Row],[Coffee specie]],Delivery[[#This Row],[Coffee state]]),References!$U:$X,4,FALSE)</f>
        <v>30610</v>
      </c>
      <c r="AB832" s="202">
        <f>SUMIF(Allocation!C:C,Delivery[[#This Row],[Delivery ID]],Allocation!D:D)/Delivery[[#This Row],[Quantity delivered]]</f>
        <v>0.85779157138190132</v>
      </c>
      <c r="AC832" s="203">
        <f>Delivery[[#This Row],[Quantity delivered]]*Delivery[[#This Row],[Base price (Unidad)]]/60</f>
        <v>211078.38712999999</v>
      </c>
      <c r="AD832" s="204">
        <f>Delivery[[#This Row],[Nespresso total]]-Delivery[[#This Row],[Qt. Delivery * Base Price]]</f>
        <v>4350.8128700000234</v>
      </c>
      <c r="AE832" s="204">
        <f>Delivery[[#This Row],[AAA Premium (total)]]/Delivery[[#This Row],[Quantity delivered]]*60/Delivery[[#This Row],[Exchange rate VS USD]]</f>
        <v>9.9951377006715152</v>
      </c>
      <c r="AF832" s="204">
        <f>Delivery[[#This Row],[BEN premium (total)]]/Delivery[[#This Row],[Quantity delivered]]*60/Delivery[[#This Row],[Exchange rate for premiums VS USD]]</f>
        <v>0</v>
      </c>
      <c r="AG832" s="204">
        <f>COUNTIF(Delivery[Delivery ID],Delivery[[#This Row],[Delivery ID]])</f>
        <v>1</v>
      </c>
      <c r="AH832" s="204">
        <f>(Delivery[[#This Row],[Nespresso total]]/SUMIF(Allocation!C:C,Delivery[Delivery ID],Allocation!H:H))/Delivery[[#This Row],[Exchange rate VS USD]]</f>
        <v>5.3229071863689583</v>
      </c>
      <c r="AI832" s="204">
        <f>(Delivery[[#This Row],[AAA Premium (total)]]/SUMIF(Allocation!C:C,Delivery[Delivery ID],Allocation!H:H))/Delivery[[#This Row],[Exchange rate VS USD]]</f>
        <v>0.47368193995596081</v>
      </c>
      <c r="AJ832" s="204">
        <f>Delivery[[#This Row],[Valor Prêmio Nespresso AAA por Kg (em US$)]]*60</f>
        <v>28.420916397357647</v>
      </c>
      <c r="AK832" s="204">
        <f>Delivery[[#This Row],[Valor Prêmio Nespresso AAA por saca (em US$)]]/1.3228/100</f>
        <v>0.21485422132867893</v>
      </c>
      <c r="AL832" s="204">
        <f>(Delivery[[#This Row],[BEN premium (total)]]/SUMIF(Allocation!C:C,Delivery[Delivery ID],Allocation!H:H))/Delivery[[#This Row],[Exchange rate for premiums VS USD]]</f>
        <v>0</v>
      </c>
      <c r="AM832" s="204">
        <f>Delivery[[#This Row],[Valor Prêmio Nespresso BEN por Kg (em US$)]]*60</f>
        <v>0</v>
      </c>
      <c r="AN832" s="204">
        <f>Delivery[[#This Row],[Valor Prêmio Nespresso BEN por saca (em US$)]]/1.3228/100</f>
        <v>0</v>
      </c>
      <c r="AO832" s="204">
        <f>SUMIF(Allocation[Delivery ID],Delivery[[#This Row],[Delivery ID]],Allocation[Quantity allocated])*16*1.3228*Delivery[[#This Row],[Exchange rate VS USD]]/60</f>
        <v>14276.396251519998</v>
      </c>
      <c r="AP832" s="204">
        <f>Delivery[[#This Row],[AAA Premium (total)]]</f>
        <v>19170.900000000001</v>
      </c>
      <c r="AQ832" s="204">
        <f>Delivery[[#This Row],[Valor pago pelo Cluster]]-Delivery[[#This Row],[Valor efetivamente pago pela Nespresso]]</f>
        <v>4894.5037484800032</v>
      </c>
    </row>
    <row r="833" spans="1:43" ht="15.75">
      <c r="A833" s="174" t="s">
        <v>69</v>
      </c>
      <c r="B833" s="232" t="s">
        <v>68</v>
      </c>
      <c r="C833" s="157">
        <v>1</v>
      </c>
      <c r="D833" s="157" t="s">
        <v>468</v>
      </c>
      <c r="E833" s="177" t="s">
        <v>468</v>
      </c>
      <c r="F833" s="233" t="s">
        <v>543</v>
      </c>
      <c r="G833" s="234">
        <v>43321</v>
      </c>
      <c r="H833" s="235" t="s">
        <v>2034</v>
      </c>
      <c r="I833" s="236" t="s">
        <v>1086</v>
      </c>
      <c r="J833" s="237">
        <v>30620</v>
      </c>
      <c r="K833" s="175" t="s">
        <v>61</v>
      </c>
      <c r="L833" s="175" t="s">
        <v>439</v>
      </c>
      <c r="M833" s="175" t="s">
        <v>1343</v>
      </c>
      <c r="N833" s="198"/>
      <c r="O833" s="199"/>
      <c r="P833" s="181">
        <v>0</v>
      </c>
      <c r="Q833" s="177">
        <v>43314</v>
      </c>
      <c r="R833" s="178">
        <v>413.74397999999997</v>
      </c>
      <c r="S833" s="179">
        <v>215429.1</v>
      </c>
      <c r="T833" s="182" t="s">
        <v>45</v>
      </c>
      <c r="U833" s="183">
        <v>3.7595999999999998</v>
      </c>
      <c r="V833" s="179">
        <v>19170.900000000001</v>
      </c>
      <c r="W833" s="179">
        <v>0</v>
      </c>
      <c r="X833" s="196" t="s">
        <v>45</v>
      </c>
      <c r="Y833" s="200">
        <v>3.7595999999999998</v>
      </c>
      <c r="Z833" s="220"/>
      <c r="AA833" s="201">
        <f>Delivery[[#This Row],[Quantity delivered]]*VLOOKUP(Delivery[[#This Row],[Unit]],References!$U:$X,4,FALSE)*VLOOKUP(CONCATENATE(Delivery[[#This Row],[Coffee specie]],Delivery[[#This Row],[Coffee state]]),References!$U:$X,4,FALSE)</f>
        <v>30620</v>
      </c>
      <c r="AB833" s="202">
        <f>SUMIF(Allocation!C:C,Delivery[[#This Row],[Delivery ID]],Allocation!D:D)/Delivery[[#This Row],[Quantity delivered]]</f>
        <v>0.8577400391900718</v>
      </c>
      <c r="AC833" s="203">
        <f>Delivery[[#This Row],[Quantity delivered]]*Delivery[[#This Row],[Base price (Unidad)]]/60</f>
        <v>211147.34445999996</v>
      </c>
      <c r="AD833" s="204">
        <f>Delivery[[#This Row],[Nespresso total]]-Delivery[[#This Row],[Qt. Delivery * Base Price]]</f>
        <v>4281.7555400000419</v>
      </c>
      <c r="AE833" s="204">
        <f>Delivery[[#This Row],[AAA Premium (total)]]/Delivery[[#This Row],[Quantity delivered]]*60/Delivery[[#This Row],[Exchange rate VS USD]]</f>
        <v>9.9918734492996428</v>
      </c>
      <c r="AF833" s="204">
        <f>Delivery[[#This Row],[BEN premium (total)]]/Delivery[[#This Row],[Quantity delivered]]*60/Delivery[[#This Row],[Exchange rate for premiums VS USD]]</f>
        <v>0</v>
      </c>
      <c r="AG833" s="204">
        <f>COUNTIF(Delivery[Delivery ID],Delivery[[#This Row],[Delivery ID]])</f>
        <v>1</v>
      </c>
      <c r="AH833" s="204">
        <f>(Delivery[[#This Row],[Nespresso total]]/SUMIF(Allocation!C:C,Delivery[Delivery ID],Allocation!H:H))/Delivery[[#This Row],[Exchange rate VS USD]]</f>
        <v>5.320927594269433</v>
      </c>
      <c r="AI833" s="204">
        <f>(Delivery[[#This Row],[AAA Premium (total)]]/SUMIF(Allocation!C:C,Delivery[Delivery ID],Allocation!H:H))/Delivery[[#This Row],[Exchange rate VS USD]]</f>
        <v>0.47350599717948916</v>
      </c>
      <c r="AJ833" s="204">
        <f>Delivery[[#This Row],[Valor Prêmio Nespresso AAA por Kg (em US$)]]*60</f>
        <v>28.410359830769348</v>
      </c>
      <c r="AK833" s="204">
        <f>Delivery[[#This Row],[Valor Prêmio Nespresso AAA por saca (em US$)]]/1.3228/100</f>
        <v>0.2147744166220846</v>
      </c>
      <c r="AL833" s="204">
        <f>(Delivery[[#This Row],[BEN premium (total)]]/SUMIF(Allocation!C:C,Delivery[Delivery ID],Allocation!H:H))/Delivery[[#This Row],[Exchange rate for premiums VS USD]]</f>
        <v>0</v>
      </c>
      <c r="AM833" s="204">
        <f>Delivery[[#This Row],[Valor Prêmio Nespresso BEN por Kg (em US$)]]*60</f>
        <v>0</v>
      </c>
      <c r="AN833" s="204">
        <f>Delivery[[#This Row],[Valor Prêmio Nespresso BEN por saca (em US$)]]/1.3228/100</f>
        <v>0</v>
      </c>
      <c r="AO833" s="204">
        <f>SUMIF(Allocation[Delivery ID],Delivery[[#This Row],[Delivery ID]],Allocation[Quantity allocated])*16*1.3228*Delivery[[#This Row],[Exchange rate VS USD]]/60</f>
        <v>14281.700996992</v>
      </c>
      <c r="AP833" s="204">
        <f>Delivery[[#This Row],[AAA Premium (total)]]</f>
        <v>19170.900000000001</v>
      </c>
      <c r="AQ833" s="204">
        <f>Delivery[[#This Row],[Valor pago pelo Cluster]]-Delivery[[#This Row],[Valor efetivamente pago pela Nespresso]]</f>
        <v>4889.1990030080015</v>
      </c>
    </row>
    <row r="834" spans="1:43" ht="15.75">
      <c r="A834" s="174" t="s">
        <v>69</v>
      </c>
      <c r="B834" s="232" t="s">
        <v>68</v>
      </c>
      <c r="C834" s="157">
        <v>1</v>
      </c>
      <c r="D834" s="157" t="s">
        <v>468</v>
      </c>
      <c r="E834" s="177" t="s">
        <v>468</v>
      </c>
      <c r="F834" s="233" t="s">
        <v>543</v>
      </c>
      <c r="G834" s="234">
        <v>43321</v>
      </c>
      <c r="H834" s="157" t="s">
        <v>983</v>
      </c>
      <c r="I834" s="157" t="s">
        <v>982</v>
      </c>
      <c r="J834" s="237">
        <v>30130</v>
      </c>
      <c r="K834" s="175" t="s">
        <v>61</v>
      </c>
      <c r="L834" s="175" t="s">
        <v>439</v>
      </c>
      <c r="M834" s="175" t="s">
        <v>1343</v>
      </c>
      <c r="N834" s="198"/>
      <c r="O834" s="199"/>
      <c r="P834" s="181">
        <v>0</v>
      </c>
      <c r="Q834" s="177">
        <v>43249</v>
      </c>
      <c r="R834" s="178">
        <v>473.763125</v>
      </c>
      <c r="S834" s="179">
        <v>229828.39564244048</v>
      </c>
      <c r="T834" s="182" t="s">
        <v>45</v>
      </c>
      <c r="U834" s="183">
        <v>3.7675000000000001</v>
      </c>
      <c r="V834" s="179">
        <v>13185</v>
      </c>
      <c r="W834" s="179">
        <v>4140.8021787797497</v>
      </c>
      <c r="X834" s="196" t="s">
        <v>45</v>
      </c>
      <c r="Y834" s="200">
        <v>3.7675000000000001</v>
      </c>
      <c r="Z834" s="220" t="s">
        <v>473</v>
      </c>
      <c r="AA834" s="201">
        <f>Delivery[[#This Row],[Quantity delivered]]*VLOOKUP(Delivery[[#This Row],[Unit]],References!$U:$X,4,FALSE)*VLOOKUP(CONCATENATE(Delivery[[#This Row],[Coffee specie]],Delivery[[#This Row],[Coffee state]]),References!$U:$X,4,FALSE)</f>
        <v>30130</v>
      </c>
      <c r="AB834" s="202">
        <f>SUMIF(Allocation!C:C,Delivery[[#This Row],[Delivery ID]],Allocation!D:D)/Delivery[[#This Row],[Quantity delivered]]</f>
        <v>1</v>
      </c>
      <c r="AC834" s="203">
        <f>Delivery[[#This Row],[Quantity delivered]]*Delivery[[#This Row],[Base price (Unidad)]]/60</f>
        <v>237908.04927083335</v>
      </c>
      <c r="AD834" s="204">
        <f>Delivery[[#This Row],[Nespresso total]]-Delivery[[#This Row],[Qt. Delivery * Base Price]]</f>
        <v>-8079.6536283928726</v>
      </c>
      <c r="AE834" s="204">
        <f>Delivery[[#This Row],[AAA Premium (total)]]/Delivery[[#This Row],[Quantity delivered]]*60/Delivery[[#This Row],[Exchange rate VS USD]]</f>
        <v>6.969136837032889</v>
      </c>
      <c r="AF834" s="204">
        <f>Delivery[[#This Row],[BEN premium (total)]]/Delivery[[#This Row],[Quantity delivered]]*60/Delivery[[#This Row],[Exchange rate for premiums VS USD]]</f>
        <v>2.1886853999999998</v>
      </c>
      <c r="AG834" s="204">
        <f>COUNTIF(Delivery[Delivery ID],Delivery[[#This Row],[Delivery ID]])</f>
        <v>1</v>
      </c>
      <c r="AH834" s="204">
        <f>(Delivery[[#This Row],[Nespresso total]]/SUMIF(Allocation!C:C,Delivery[Delivery ID],Allocation!H:H))/Delivery[[#This Row],[Exchange rate VS USD]]</f>
        <v>6.105173339532687</v>
      </c>
      <c r="AI834" s="204">
        <f>(Delivery[[#This Row],[AAA Premium (total)]]/SUMIF(Allocation!C:C,Delivery[Delivery ID],Allocation!H:H))/Delivery[[#This Row],[Exchange rate VS USD]]</f>
        <v>0.35024701911496015</v>
      </c>
      <c r="AJ834" s="204">
        <f>Delivery[[#This Row],[Valor Prêmio Nespresso AAA por Kg (em US$)]]*60</f>
        <v>21.01482114689761</v>
      </c>
      <c r="AK834" s="204">
        <f>Delivery[[#This Row],[Valor Prêmio Nespresso AAA por saca (em US$)]]/1.3228/100</f>
        <v>0.15886620159432727</v>
      </c>
      <c r="AL834" s="204">
        <f>(Delivery[[#This Row],[BEN premium (total)]]/SUMIF(Allocation!C:C,Delivery[Delivery ID],Allocation!H:H))/Delivery[[#This Row],[Exchange rate for premiums VS USD]]</f>
        <v>0.1099964823558847</v>
      </c>
      <c r="AM834" s="204">
        <f>Delivery[[#This Row],[Valor Prêmio Nespresso BEN por Kg (em US$)]]*60</f>
        <v>6.5997889413530819</v>
      </c>
      <c r="AN834" s="204">
        <f>Delivery[[#This Row],[Valor Prêmio Nespresso BEN por saca (em US$)]]/1.3228/100</f>
        <v>4.9892568350114012E-2</v>
      </c>
      <c r="AO834" s="204">
        <f>SUMIF(Allocation[Delivery ID],Delivery[[#This Row],[Delivery ID]],Allocation[Quantity allocated])*16*1.3228*Delivery[[#This Row],[Exchange rate VS USD]]/60</f>
        <v>13279.098882133334</v>
      </c>
      <c r="AP834" s="204">
        <f>Delivery[[#This Row],[AAA Premium (total)]]</f>
        <v>13185</v>
      </c>
      <c r="AQ834" s="204">
        <f>Delivery[[#This Row],[Valor pago pelo Cluster]]-Delivery[[#This Row],[Valor efetivamente pago pela Nespresso]]</f>
        <v>-94.098882133333973</v>
      </c>
    </row>
    <row r="835" spans="1:43" ht="15.75">
      <c r="A835" s="174" t="s">
        <v>69</v>
      </c>
      <c r="B835" s="232" t="s">
        <v>68</v>
      </c>
      <c r="C835" s="157">
        <v>1</v>
      </c>
      <c r="D835" s="157" t="s">
        <v>468</v>
      </c>
      <c r="E835" s="177" t="s">
        <v>468</v>
      </c>
      <c r="F835" s="233" t="s">
        <v>543</v>
      </c>
      <c r="G835" s="234">
        <v>43321</v>
      </c>
      <c r="H835" s="157" t="s">
        <v>984</v>
      </c>
      <c r="I835" s="157" t="s">
        <v>570</v>
      </c>
      <c r="J835" s="237">
        <v>23950</v>
      </c>
      <c r="K835" s="175" t="s">
        <v>61</v>
      </c>
      <c r="L835" s="175" t="s">
        <v>439</v>
      </c>
      <c r="M835" s="175" t="s">
        <v>1343</v>
      </c>
      <c r="N835" s="198"/>
      <c r="O835" s="199"/>
      <c r="P835" s="181">
        <v>0</v>
      </c>
      <c r="Q835" s="177">
        <v>43318</v>
      </c>
      <c r="R835" s="178">
        <v>417.35343</v>
      </c>
      <c r="S835" s="179">
        <v>168480</v>
      </c>
      <c r="T835" s="182" t="s">
        <v>45</v>
      </c>
      <c r="U835" s="183">
        <v>3.7296999999999998</v>
      </c>
      <c r="V835" s="179">
        <v>10444</v>
      </c>
      <c r="W835" s="179">
        <v>0</v>
      </c>
      <c r="X835" s="196" t="s">
        <v>45</v>
      </c>
      <c r="Y835" s="200">
        <v>3.7296999999999998</v>
      </c>
      <c r="Z835" s="220"/>
      <c r="AA835" s="201">
        <f>Delivery[[#This Row],[Quantity delivered]]*VLOOKUP(Delivery[[#This Row],[Unit]],References!$U:$X,4,FALSE)*VLOOKUP(CONCATENATE(Delivery[[#This Row],[Coffee specie]],Delivery[[#This Row],[Coffee state]]),References!$U:$X,4,FALSE)</f>
        <v>23950</v>
      </c>
      <c r="AB835" s="202">
        <f>SUMIF(Allocation!C:C,Delivery[[#This Row],[Delivery ID]],Allocation!D:D)/Delivery[[#This Row],[Quantity delivered]]</f>
        <v>0.675741127348643</v>
      </c>
      <c r="AC835" s="203">
        <f>Delivery[[#This Row],[Quantity delivered]]*Delivery[[#This Row],[Base price (Unidad)]]/60</f>
        <v>166593.577475</v>
      </c>
      <c r="AD835" s="204">
        <f>Delivery[[#This Row],[Nespresso total]]-Delivery[[#This Row],[Qt. Delivery * Base Price]]</f>
        <v>1886.4225250000018</v>
      </c>
      <c r="AE835" s="204">
        <f>Delivery[[#This Row],[AAA Premium (total)]]/Delivery[[#This Row],[Quantity delivered]]*60/Delivery[[#This Row],[Exchange rate VS USD]]</f>
        <v>7.0151780021374446</v>
      </c>
      <c r="AF835" s="204">
        <f>Delivery[[#This Row],[BEN premium (total)]]/Delivery[[#This Row],[Quantity delivered]]*60/Delivery[[#This Row],[Exchange rate for premiums VS USD]]</f>
        <v>0</v>
      </c>
      <c r="AG835" s="204">
        <f>COUNTIF(Delivery[Delivery ID],Delivery[[#This Row],[Delivery ID]])</f>
        <v>1</v>
      </c>
      <c r="AH835" s="204">
        <f>(Delivery[[#This Row],[Nespresso total]]/SUMIF(Allocation!C:C,Delivery[Delivery ID],Allocation!H:H))/Delivery[[#This Row],[Exchange rate VS USD]]</f>
        <v>8.457692189471361</v>
      </c>
      <c r="AI835" s="204">
        <f>(Delivery[[#This Row],[AAA Premium (total)]]/SUMIF(Allocation!C:C,Delivery[Delivery ID],Allocation!H:H))/Delivery[[#This Row],[Exchange rate VS USD]]</f>
        <v>0.52428856378703048</v>
      </c>
      <c r="AJ835" s="204">
        <f>Delivery[[#This Row],[Valor Prêmio Nespresso AAA por Kg (em US$)]]*60</f>
        <v>31.457313827221828</v>
      </c>
      <c r="AK835" s="204">
        <f>Delivery[[#This Row],[Valor Prêmio Nespresso AAA por saca (em US$)]]/1.3228/100</f>
        <v>0.23780854117948164</v>
      </c>
      <c r="AL835" s="204">
        <f>(Delivery[[#This Row],[BEN premium (total)]]/SUMIF(Allocation!C:C,Delivery[Delivery ID],Allocation!H:H))/Delivery[[#This Row],[Exchange rate for premiums VS USD]]</f>
        <v>0</v>
      </c>
      <c r="AM835" s="204">
        <f>Delivery[[#This Row],[Valor Prêmio Nespresso BEN por Kg (em US$)]]*60</f>
        <v>0</v>
      </c>
      <c r="AN835" s="204">
        <f>Delivery[[#This Row],[Valor Prêmio Nespresso BEN por saca (em US$)]]/1.3228/100</f>
        <v>0</v>
      </c>
      <c r="AO835" s="204">
        <f>SUMIF(Allocation[Delivery ID],Delivery[[#This Row],[Delivery ID]],Allocation[Quantity allocated])*16*1.3228*Delivery[[#This Row],[Exchange rate VS USD]]/60</f>
        <v>7026.829195082667</v>
      </c>
      <c r="AP835" s="204">
        <f>Delivery[[#This Row],[AAA Premium (total)]]</f>
        <v>10444</v>
      </c>
      <c r="AQ835" s="204">
        <f>Delivery[[#This Row],[Valor pago pelo Cluster]]-Delivery[[#This Row],[Valor efetivamente pago pela Nespresso]]</f>
        <v>3417.170804917333</v>
      </c>
    </row>
    <row r="836" spans="1:43" ht="15.75">
      <c r="A836" s="174" t="s">
        <v>69</v>
      </c>
      <c r="B836" s="232" t="s">
        <v>68</v>
      </c>
      <c r="C836" s="157">
        <v>1</v>
      </c>
      <c r="D836" s="157" t="s">
        <v>468</v>
      </c>
      <c r="E836" s="177" t="s">
        <v>468</v>
      </c>
      <c r="F836" s="233" t="s">
        <v>543</v>
      </c>
      <c r="G836" s="234">
        <v>43321</v>
      </c>
      <c r="H836" s="157" t="s">
        <v>985</v>
      </c>
      <c r="I836" s="157" t="s">
        <v>986</v>
      </c>
      <c r="J836" s="237">
        <v>11060</v>
      </c>
      <c r="K836" s="175" t="s">
        <v>61</v>
      </c>
      <c r="L836" s="175" t="s">
        <v>439</v>
      </c>
      <c r="M836" s="175" t="s">
        <v>1343</v>
      </c>
      <c r="N836" s="198"/>
      <c r="O836" s="199"/>
      <c r="P836" s="181">
        <v>0</v>
      </c>
      <c r="Q836" s="177">
        <v>43319</v>
      </c>
      <c r="R836" s="178">
        <v>417.58848</v>
      </c>
      <c r="S836" s="179">
        <v>80582.62</v>
      </c>
      <c r="T836" s="182" t="s">
        <v>45</v>
      </c>
      <c r="U836" s="183">
        <v>3.7151999999999998</v>
      </c>
      <c r="V836" s="179">
        <v>4808.72</v>
      </c>
      <c r="W836" s="179">
        <v>0</v>
      </c>
      <c r="X836" s="196" t="s">
        <v>45</v>
      </c>
      <c r="Y836" s="200">
        <v>3.7151999999999998</v>
      </c>
      <c r="Z836" s="220"/>
      <c r="AA836" s="201">
        <f>Delivery[[#This Row],[Quantity delivered]]*VLOOKUP(Delivery[[#This Row],[Unit]],References!$U:$X,4,FALSE)*VLOOKUP(CONCATENATE(Delivery[[#This Row],[Coffee specie]],Delivery[[#This Row],[Coffee state]]),References!$U:$X,4,FALSE)</f>
        <v>11060</v>
      </c>
      <c r="AB836" s="202">
        <f>SUMIF(Allocation!C:C,Delivery[[#This Row],[Delivery ID]],Allocation!D:D)/Delivery[[#This Row],[Quantity delivered]]</f>
        <v>0.63770343580470168</v>
      </c>
      <c r="AC836" s="203">
        <f>Delivery[[#This Row],[Quantity delivered]]*Delivery[[#This Row],[Base price (Unidad)]]/60</f>
        <v>76975.476479999998</v>
      </c>
      <c r="AD836" s="204">
        <f>Delivery[[#This Row],[Nespresso total]]-Delivery[[#This Row],[Qt. Delivery * Base Price]]</f>
        <v>3607.1435199999978</v>
      </c>
      <c r="AE836" s="204">
        <f>Delivery[[#This Row],[AAA Premium (total)]]/Delivery[[#This Row],[Quantity delivered]]*60/Delivery[[#This Row],[Exchange rate VS USD]]</f>
        <v>7.0217185097962265</v>
      </c>
      <c r="AF836" s="204">
        <f>Delivery[[#This Row],[BEN premium (total)]]/Delivery[[#This Row],[Quantity delivered]]*60/Delivery[[#This Row],[Exchange rate for premiums VS USD]]</f>
        <v>0</v>
      </c>
      <c r="AG836" s="204">
        <f>COUNTIF(Delivery[Delivery ID],Delivery[[#This Row],[Delivery ID]])</f>
        <v>1</v>
      </c>
      <c r="AH836" s="204">
        <f>(Delivery[[#This Row],[Nespresso total]]/SUMIF(Allocation!C:C,Delivery[Delivery ID],Allocation!H:H))/Delivery[[#This Row],[Exchange rate VS USD]]</f>
        <v>8.7849257581259987</v>
      </c>
      <c r="AI836" s="204">
        <f>(Delivery[[#This Row],[AAA Premium (total)]]/SUMIF(Allocation!C:C,Delivery[Delivery ID],Allocation!H:H))/Delivery[[#This Row],[Exchange rate VS USD]]</f>
        <v>0.52423522828639302</v>
      </c>
      <c r="AJ836" s="204">
        <f>Delivery[[#This Row],[Valor Prêmio Nespresso AAA por Kg (em US$)]]*60</f>
        <v>31.45411369718358</v>
      </c>
      <c r="AK836" s="204">
        <f>Delivery[[#This Row],[Valor Prêmio Nespresso AAA por saca (em US$)]]/1.3228/100</f>
        <v>0.23778434908666149</v>
      </c>
      <c r="AL836" s="204">
        <f>(Delivery[[#This Row],[BEN premium (total)]]/SUMIF(Allocation!C:C,Delivery[Delivery ID],Allocation!H:H))/Delivery[[#This Row],[Exchange rate for premiums VS USD]]</f>
        <v>0</v>
      </c>
      <c r="AM836" s="204">
        <f>Delivery[[#This Row],[Valor Prêmio Nespresso BEN por Kg (em US$)]]*60</f>
        <v>0</v>
      </c>
      <c r="AN836" s="204">
        <f>Delivery[[#This Row],[Valor Prêmio Nespresso BEN por saca (em US$)]]/1.3228/100</f>
        <v>0</v>
      </c>
      <c r="AO836" s="204">
        <f>SUMIF(Allocation[Delivery ID],Delivery[[#This Row],[Delivery ID]],Allocation[Quantity allocated])*16*1.3228*Delivery[[#This Row],[Exchange rate VS USD]]/60</f>
        <v>3235.6847831039995</v>
      </c>
      <c r="AP836" s="204">
        <f>Delivery[[#This Row],[AAA Premium (total)]]</f>
        <v>4808.72</v>
      </c>
      <c r="AQ836" s="204">
        <f>Delivery[[#This Row],[Valor pago pelo Cluster]]-Delivery[[#This Row],[Valor efetivamente pago pela Nespresso]]</f>
        <v>1573.0352168960007</v>
      </c>
    </row>
    <row r="837" spans="1:43" ht="15.75">
      <c r="A837" s="174" t="s">
        <v>69</v>
      </c>
      <c r="B837" s="232" t="s">
        <v>68</v>
      </c>
      <c r="C837" s="157">
        <v>1</v>
      </c>
      <c r="D837" s="157" t="s">
        <v>468</v>
      </c>
      <c r="E837" s="177" t="s">
        <v>468</v>
      </c>
      <c r="F837" s="233" t="s">
        <v>543</v>
      </c>
      <c r="G837" s="234">
        <v>43322</v>
      </c>
      <c r="H837" s="157" t="s">
        <v>987</v>
      </c>
      <c r="I837" s="157" t="s">
        <v>988</v>
      </c>
      <c r="J837" s="237">
        <v>5092</v>
      </c>
      <c r="K837" s="175" t="s">
        <v>61</v>
      </c>
      <c r="L837" s="175" t="s">
        <v>439</v>
      </c>
      <c r="M837" s="175" t="s">
        <v>1343</v>
      </c>
      <c r="N837" s="198"/>
      <c r="O837" s="199"/>
      <c r="P837" s="181">
        <v>0</v>
      </c>
      <c r="Q837" s="177">
        <v>43320</v>
      </c>
      <c r="R837" s="178">
        <v>415.98679499999997</v>
      </c>
      <c r="S837" s="179">
        <v>36215.417620399996</v>
      </c>
      <c r="T837" s="182" t="s">
        <v>45</v>
      </c>
      <c r="U837" s="183">
        <v>3.7526999999999999</v>
      </c>
      <c r="V837" s="179">
        <v>2232.9698091999999</v>
      </c>
      <c r="W837" s="179">
        <v>0</v>
      </c>
      <c r="X837" s="196" t="s">
        <v>45</v>
      </c>
      <c r="Y837" s="200">
        <v>3.7526999999999999</v>
      </c>
      <c r="Z837" s="220"/>
      <c r="AA837" s="201">
        <f>Delivery[[#This Row],[Quantity delivered]]*VLOOKUP(Delivery[[#This Row],[Unit]],References!$U:$X,4,FALSE)*VLOOKUP(CONCATENATE(Delivery[[#This Row],[Coffee specie]],Delivery[[#This Row],[Coffee state]]),References!$U:$X,4,FALSE)</f>
        <v>5092</v>
      </c>
      <c r="AB837" s="202">
        <f>SUMIF(Allocation!C:C,Delivery[[#This Row],[Delivery ID]],Allocation!D:D)/Delivery[[#This Row],[Quantity delivered]]</f>
        <v>0.65573448546739987</v>
      </c>
      <c r="AC837" s="203">
        <f>Delivery[[#This Row],[Quantity delivered]]*Delivery[[#This Row],[Base price (Unidad)]]/60</f>
        <v>35303.412668999998</v>
      </c>
      <c r="AD837" s="204">
        <f>Delivery[[#This Row],[Nespresso total]]-Delivery[[#This Row],[Qt. Delivery * Base Price]]</f>
        <v>912.00495139999839</v>
      </c>
      <c r="AE837" s="204">
        <f>Delivery[[#This Row],[AAA Premium (total)]]/Delivery[[#This Row],[Quantity delivered]]*60/Delivery[[#This Row],[Exchange rate VS USD]]</f>
        <v>7.0113534255336161</v>
      </c>
      <c r="AF837" s="204">
        <f>Delivery[[#This Row],[BEN premium (total)]]/Delivery[[#This Row],[Quantity delivered]]*60/Delivery[[#This Row],[Exchange rate for premiums VS USD]]</f>
        <v>0</v>
      </c>
      <c r="AG837" s="204">
        <f>COUNTIF(Delivery[Delivery ID],Delivery[[#This Row],[Delivery ID]])</f>
        <v>1</v>
      </c>
      <c r="AH837" s="204">
        <f>(Delivery[[#This Row],[Nespresso total]]/SUMIF(Allocation!C:C,Delivery[Delivery ID],Allocation!H:H))/Delivery[[#This Row],[Exchange rate VS USD]]</f>
        <v>8.5026399483766681</v>
      </c>
      <c r="AI837" s="204">
        <f>(Delivery[[#This Row],[AAA Premium (total)]]/SUMIF(Allocation!C:C,Delivery[Delivery ID],Allocation!H:H))/Delivery[[#This Row],[Exchange rate VS USD]]</f>
        <v>0.52425567757440772</v>
      </c>
      <c r="AJ837" s="204">
        <f>Delivery[[#This Row],[Valor Prêmio Nespresso AAA por Kg (em US$)]]*60</f>
        <v>31.455340654464464</v>
      </c>
      <c r="AK837" s="204">
        <f>Delivery[[#This Row],[Valor Prêmio Nespresso AAA por saca (em US$)]]/1.3228/100</f>
        <v>0.23779362454236821</v>
      </c>
      <c r="AL837" s="204">
        <f>(Delivery[[#This Row],[BEN premium (total)]]/SUMIF(Allocation!C:C,Delivery[Delivery ID],Allocation!H:H))/Delivery[[#This Row],[Exchange rate for premiums VS USD]]</f>
        <v>0</v>
      </c>
      <c r="AM837" s="204">
        <f>Delivery[[#This Row],[Valor Prêmio Nespresso BEN por Kg (em US$)]]*60</f>
        <v>0</v>
      </c>
      <c r="AN837" s="204">
        <f>Delivery[[#This Row],[Valor Prêmio Nespresso BEN por saca (em US$)]]/1.3228/100</f>
        <v>0</v>
      </c>
      <c r="AO837" s="204">
        <f>SUMIF(Allocation[Delivery ID],Delivery[[#This Row],[Delivery ID]],Allocation[Quantity allocated])*16*1.3228*Delivery[[#This Row],[Exchange rate VS USD]]/60</f>
        <v>1502.4589921599998</v>
      </c>
      <c r="AP837" s="204">
        <f>Delivery[[#This Row],[AAA Premium (total)]]</f>
        <v>2232.9698091999999</v>
      </c>
      <c r="AQ837" s="204">
        <f>Delivery[[#This Row],[Valor pago pelo Cluster]]-Delivery[[#This Row],[Valor efetivamente pago pela Nespresso]]</f>
        <v>730.51081704000012</v>
      </c>
    </row>
    <row r="838" spans="1:43" ht="15.75">
      <c r="A838" s="174" t="s">
        <v>69</v>
      </c>
      <c r="B838" s="232" t="s">
        <v>68</v>
      </c>
      <c r="C838" s="157">
        <v>1</v>
      </c>
      <c r="D838" s="157" t="s">
        <v>468</v>
      </c>
      <c r="E838" s="177" t="s">
        <v>468</v>
      </c>
      <c r="F838" s="233" t="s">
        <v>543</v>
      </c>
      <c r="G838" s="234">
        <v>43322</v>
      </c>
      <c r="H838" s="157" t="s">
        <v>989</v>
      </c>
      <c r="I838" s="157" t="s">
        <v>988</v>
      </c>
      <c r="J838" s="237">
        <v>5212</v>
      </c>
      <c r="K838" s="175" t="s">
        <v>61</v>
      </c>
      <c r="L838" s="175" t="s">
        <v>439</v>
      </c>
      <c r="M838" s="175" t="s">
        <v>1343</v>
      </c>
      <c r="N838" s="198"/>
      <c r="O838" s="199"/>
      <c r="P838" s="181">
        <v>0</v>
      </c>
      <c r="Q838" s="177">
        <v>43320</v>
      </c>
      <c r="R838" s="178">
        <v>415.98679499999997</v>
      </c>
      <c r="S838" s="179">
        <v>37068.883864399999</v>
      </c>
      <c r="T838" s="182" t="s">
        <v>45</v>
      </c>
      <c r="U838" s="183">
        <v>3.7526999999999999</v>
      </c>
      <c r="V838" s="179">
        <v>2285.5928211999999</v>
      </c>
      <c r="W838" s="179">
        <v>0</v>
      </c>
      <c r="X838" s="196" t="s">
        <v>45</v>
      </c>
      <c r="Y838" s="200">
        <v>3.7526999999999999</v>
      </c>
      <c r="Z838" s="220"/>
      <c r="AA838" s="201">
        <f>Delivery[[#This Row],[Quantity delivered]]*VLOOKUP(Delivery[[#This Row],[Unit]],References!$U:$X,4,FALSE)*VLOOKUP(CONCATENATE(Delivery[[#This Row],[Coffee specie]],Delivery[[#This Row],[Coffee state]]),References!$U:$X,4,FALSE)</f>
        <v>5212</v>
      </c>
      <c r="AB838" s="202">
        <f>SUMIF(Allocation!C:C,Delivery[[#This Row],[Delivery ID]],Allocation!D:D)/Delivery[[#This Row],[Quantity delivered]]</f>
        <v>0.65521872601688413</v>
      </c>
      <c r="AC838" s="203">
        <f>Delivery[[#This Row],[Quantity delivered]]*Delivery[[#This Row],[Base price (Unidad)]]/60</f>
        <v>36135.386258999999</v>
      </c>
      <c r="AD838" s="204">
        <f>Delivery[[#This Row],[Nespresso total]]-Delivery[[#This Row],[Qt. Delivery * Base Price]]</f>
        <v>933.49760539999988</v>
      </c>
      <c r="AE838" s="204">
        <f>Delivery[[#This Row],[AAA Premium (total)]]/Delivery[[#This Row],[Quantity delivered]]*60/Delivery[[#This Row],[Exchange rate VS USD]]</f>
        <v>7.0113534255336161</v>
      </c>
      <c r="AF838" s="204">
        <f>Delivery[[#This Row],[BEN premium (total)]]/Delivery[[#This Row],[Quantity delivered]]*60/Delivery[[#This Row],[Exchange rate for premiums VS USD]]</f>
        <v>0</v>
      </c>
      <c r="AG838" s="204">
        <f>COUNTIF(Delivery[Delivery ID],Delivery[[#This Row],[Delivery ID]])</f>
        <v>1</v>
      </c>
      <c r="AH838" s="204">
        <f>(Delivery[[#This Row],[Nespresso total]]/SUMIF(Allocation!C:C,Delivery[Delivery ID],Allocation!H:H))/Delivery[[#This Row],[Exchange rate VS USD]]</f>
        <v>8.5081167891360536</v>
      </c>
      <c r="AI838" s="204">
        <f>(Delivery[[#This Row],[AAA Premium (total)]]/SUMIF(Allocation!C:C,Delivery[Delivery ID],Allocation!H:H))/Delivery[[#This Row],[Exchange rate VS USD]]</f>
        <v>0.52459336855987948</v>
      </c>
      <c r="AJ838" s="204">
        <f>Delivery[[#This Row],[Valor Prêmio Nespresso AAA por Kg (em US$)]]*60</f>
        <v>31.475602113592767</v>
      </c>
      <c r="AK838" s="204">
        <f>Delivery[[#This Row],[Valor Prêmio Nespresso AAA por saca (em US$)]]/1.3228/100</f>
        <v>0.23794679553668557</v>
      </c>
      <c r="AL838" s="204">
        <f>(Delivery[[#This Row],[BEN premium (total)]]/SUMIF(Allocation!C:C,Delivery[Delivery ID],Allocation!H:H))/Delivery[[#This Row],[Exchange rate for premiums VS USD]]</f>
        <v>0</v>
      </c>
      <c r="AM838" s="204">
        <f>Delivery[[#This Row],[Valor Prêmio Nespresso BEN por Kg (em US$)]]*60</f>
        <v>0</v>
      </c>
      <c r="AN838" s="204">
        <f>Delivery[[#This Row],[Valor Prêmio Nespresso BEN por saca (em US$)]]/1.3228/100</f>
        <v>0</v>
      </c>
      <c r="AO838" s="204">
        <f>SUMIF(Allocation[Delivery ID],Delivery[[#This Row],[Delivery ID]],Allocation[Quantity allocated])*16*1.3228*Delivery[[#This Row],[Exchange rate VS USD]]/60</f>
        <v>1536.8765549759999</v>
      </c>
      <c r="AP838" s="204">
        <f>Delivery[[#This Row],[AAA Premium (total)]]</f>
        <v>2285.5928211999999</v>
      </c>
      <c r="AQ838" s="204">
        <f>Delivery[[#This Row],[Valor pago pelo Cluster]]-Delivery[[#This Row],[Valor efetivamente pago pela Nespresso]]</f>
        <v>748.71626622400004</v>
      </c>
    </row>
    <row r="839" spans="1:43" ht="15.75">
      <c r="A839" s="174" t="s">
        <v>69</v>
      </c>
      <c r="B839" s="232" t="s">
        <v>68</v>
      </c>
      <c r="C839" s="157">
        <v>1</v>
      </c>
      <c r="D839" s="157" t="s">
        <v>468</v>
      </c>
      <c r="E839" s="177" t="s">
        <v>468</v>
      </c>
      <c r="F839" s="233" t="s">
        <v>543</v>
      </c>
      <c r="G839" s="234">
        <v>43322</v>
      </c>
      <c r="H839" s="157" t="s">
        <v>990</v>
      </c>
      <c r="I839" s="157" t="s">
        <v>988</v>
      </c>
      <c r="J839" s="237">
        <v>6469.5</v>
      </c>
      <c r="K839" s="175" t="s">
        <v>61</v>
      </c>
      <c r="L839" s="175" t="s">
        <v>439</v>
      </c>
      <c r="M839" s="175" t="s">
        <v>1343</v>
      </c>
      <c r="N839" s="198"/>
      <c r="O839" s="199"/>
      <c r="P839" s="181">
        <v>0</v>
      </c>
      <c r="Q839" s="177">
        <v>43320</v>
      </c>
      <c r="R839" s="178">
        <v>415.98679499999997</v>
      </c>
      <c r="S839" s="179">
        <v>46012.498879649997</v>
      </c>
      <c r="T839" s="182" t="s">
        <v>45</v>
      </c>
      <c r="U839" s="183">
        <v>3.7526999999999999</v>
      </c>
      <c r="V839" s="179">
        <v>2837.0381344500001</v>
      </c>
      <c r="W839" s="179">
        <v>0</v>
      </c>
      <c r="X839" s="196" t="s">
        <v>45</v>
      </c>
      <c r="Y839" s="200">
        <v>3.7526999999999999</v>
      </c>
      <c r="Z839" s="220"/>
      <c r="AA839" s="201">
        <f>Delivery[[#This Row],[Quantity delivered]]*VLOOKUP(Delivery[[#This Row],[Unit]],References!$U:$X,4,FALSE)*VLOOKUP(CONCATENATE(Delivery[[#This Row],[Coffee specie]],Delivery[[#This Row],[Coffee state]]),References!$U:$X,4,FALSE)</f>
        <v>6469.5</v>
      </c>
      <c r="AB839" s="202">
        <f>SUMIF(Allocation!C:C,Delivery[[#This Row],[Delivery ID]],Allocation!D:D)/Delivery[[#This Row],[Quantity delivered]]</f>
        <v>0.65584666512095213</v>
      </c>
      <c r="AC839" s="203">
        <f>Delivery[[#This Row],[Quantity delivered]]*Delivery[[#This Row],[Base price (Unidad)]]/60</f>
        <v>44853.776170874997</v>
      </c>
      <c r="AD839" s="204">
        <f>Delivery[[#This Row],[Nespresso total]]-Delivery[[#This Row],[Qt. Delivery * Base Price]]</f>
        <v>1158.7227087749998</v>
      </c>
      <c r="AE839" s="204">
        <f>Delivery[[#This Row],[AAA Premium (total)]]/Delivery[[#This Row],[Quantity delivered]]*60/Delivery[[#This Row],[Exchange rate VS USD]]</f>
        <v>7.0113534255336161</v>
      </c>
      <c r="AF839" s="204">
        <f>Delivery[[#This Row],[BEN premium (total)]]/Delivery[[#This Row],[Quantity delivered]]*60/Delivery[[#This Row],[Exchange rate for premiums VS USD]]</f>
        <v>0</v>
      </c>
      <c r="AG839" s="204">
        <f>COUNTIF(Delivery[Delivery ID],Delivery[[#This Row],[Delivery ID]])</f>
        <v>1</v>
      </c>
      <c r="AH839" s="204">
        <f>(Delivery[[#This Row],[Nespresso total]]/SUMIF(Allocation!C:C,Delivery[Delivery ID],Allocation!H:H))/Delivery[[#This Row],[Exchange rate VS USD]]</f>
        <v>8.5028929664677495</v>
      </c>
      <c r="AI839" s="204">
        <f>(Delivery[[#This Row],[AAA Premium (total)]]/SUMIF(Allocation!C:C,Delivery[Delivery ID],Allocation!H:H))/Delivery[[#This Row],[Exchange rate VS USD]]</f>
        <v>0.52427127816100005</v>
      </c>
      <c r="AJ839" s="204">
        <f>Delivery[[#This Row],[Valor Prêmio Nespresso AAA por Kg (em US$)]]*60</f>
        <v>31.456276689660005</v>
      </c>
      <c r="AK839" s="204">
        <f>Delivery[[#This Row],[Valor Prêmio Nespresso AAA por saca (em US$)]]/1.3228/100</f>
        <v>0.2378007007080436</v>
      </c>
      <c r="AL839" s="204">
        <f>(Delivery[[#This Row],[BEN premium (total)]]/SUMIF(Allocation!C:C,Delivery[Delivery ID],Allocation!H:H))/Delivery[[#This Row],[Exchange rate for premiums VS USD]]</f>
        <v>0</v>
      </c>
      <c r="AM839" s="204">
        <f>Delivery[[#This Row],[Valor Prêmio Nespresso BEN por Kg (em US$)]]*60</f>
        <v>0</v>
      </c>
      <c r="AN839" s="204">
        <f>Delivery[[#This Row],[Valor Prêmio Nespresso BEN por saca (em US$)]]/1.3228/100</f>
        <v>0</v>
      </c>
      <c r="AO839" s="204">
        <f>SUMIF(Allocation[Delivery ID],Delivery[[#This Row],[Delivery ID]],Allocation[Quantity allocated])*16*1.3228*Delivery[[#This Row],[Exchange rate VS USD]]/60</f>
        <v>1908.8509838719999</v>
      </c>
      <c r="AP839" s="204">
        <f>Delivery[[#This Row],[AAA Premium (total)]]</f>
        <v>2837.0381344500001</v>
      </c>
      <c r="AQ839" s="204">
        <f>Delivery[[#This Row],[Valor pago pelo Cluster]]-Delivery[[#This Row],[Valor efetivamente pago pela Nespresso]]</f>
        <v>928.18715057800023</v>
      </c>
    </row>
    <row r="840" spans="1:43" ht="15.75">
      <c r="A840" s="174" t="s">
        <v>69</v>
      </c>
      <c r="B840" s="232" t="s">
        <v>68</v>
      </c>
      <c r="C840" s="157">
        <v>1</v>
      </c>
      <c r="D840" s="157" t="s">
        <v>468</v>
      </c>
      <c r="E840" s="177" t="s">
        <v>468</v>
      </c>
      <c r="F840" s="233" t="s">
        <v>543</v>
      </c>
      <c r="G840" s="234">
        <v>43325</v>
      </c>
      <c r="H840" s="157" t="s">
        <v>991</v>
      </c>
      <c r="I840" s="157" t="s">
        <v>992</v>
      </c>
      <c r="J840" s="237">
        <v>25620</v>
      </c>
      <c r="K840" s="175" t="s">
        <v>61</v>
      </c>
      <c r="L840" s="175" t="s">
        <v>439</v>
      </c>
      <c r="M840" s="175" t="s">
        <v>1343</v>
      </c>
      <c r="N840" s="198"/>
      <c r="O840" s="199"/>
      <c r="P840" s="181">
        <v>0</v>
      </c>
      <c r="Q840" s="177">
        <v>43319</v>
      </c>
      <c r="R840" s="178">
        <v>418.42716000000001</v>
      </c>
      <c r="S840" s="179">
        <v>183183</v>
      </c>
      <c r="T840" s="182" t="s">
        <v>45</v>
      </c>
      <c r="U840" s="183">
        <v>3.7143999999999999</v>
      </c>
      <c r="V840" s="179">
        <v>11102</v>
      </c>
      <c r="W840" s="179">
        <v>0</v>
      </c>
      <c r="X840" s="196" t="s">
        <v>45</v>
      </c>
      <c r="Y840" s="200">
        <v>3.7143999999999999</v>
      </c>
      <c r="Z840" s="220"/>
      <c r="AA840" s="201">
        <f>Delivery[[#This Row],[Quantity delivered]]*VLOOKUP(Delivery[[#This Row],[Unit]],References!$U:$X,4,FALSE)*VLOOKUP(CONCATENATE(Delivery[[#This Row],[Coffee specie]],Delivery[[#This Row],[Coffee state]]),References!$U:$X,4,FALSE)</f>
        <v>25620</v>
      </c>
      <c r="AB840" s="202">
        <f>SUMIF(Allocation!C:C,Delivery[[#This Row],[Delivery ID]],Allocation!D:D)/Delivery[[#This Row],[Quantity delivered]]</f>
        <v>1</v>
      </c>
      <c r="AC840" s="203">
        <f>Delivery[[#This Row],[Quantity delivered]]*Delivery[[#This Row],[Base price (Unidad)]]/60</f>
        <v>178668.39732000002</v>
      </c>
      <c r="AD840" s="204">
        <f>Delivery[[#This Row],[Nespresso total]]-Delivery[[#This Row],[Qt. Delivery * Base Price]]</f>
        <v>4514.6026799999818</v>
      </c>
      <c r="AE840" s="204">
        <f>Delivery[[#This Row],[AAA Premium (total)]]/Delivery[[#This Row],[Quantity delivered]]*60/Delivery[[#This Row],[Exchange rate VS USD]]</f>
        <v>6.9997846220116307</v>
      </c>
      <c r="AF840" s="204">
        <f>Delivery[[#This Row],[BEN premium (total)]]/Delivery[[#This Row],[Quantity delivered]]*60/Delivery[[#This Row],[Exchange rate for premiums VS USD]]</f>
        <v>0</v>
      </c>
      <c r="AG840" s="204">
        <f>COUNTIF(Delivery[Delivery ID],Delivery[[#This Row],[Delivery ID]])</f>
        <v>1</v>
      </c>
      <c r="AH840" s="204">
        <f>(Delivery[[#This Row],[Nespresso total]]/SUMIF(Allocation!C:C,Delivery[Delivery ID],Allocation!H:H))/Delivery[[#This Row],[Exchange rate VS USD]]</f>
        <v>5.8294305619837994</v>
      </c>
      <c r="AI840" s="204">
        <f>(Delivery[[#This Row],[AAA Premium (total)]]/SUMIF(Allocation!C:C,Delivery[Delivery ID],Allocation!H:H))/Delivery[[#This Row],[Exchange rate VS USD]]</f>
        <v>0.35329882193841211</v>
      </c>
      <c r="AJ840" s="204">
        <f>Delivery[[#This Row],[Valor Prêmio Nespresso AAA por Kg (em US$)]]*60</f>
        <v>21.197929316304727</v>
      </c>
      <c r="AK840" s="204">
        <f>Delivery[[#This Row],[Valor Prêmio Nespresso AAA por saca (em US$)]]/1.3228/100</f>
        <v>0.1602504484147621</v>
      </c>
      <c r="AL840" s="204">
        <f>(Delivery[[#This Row],[BEN premium (total)]]/SUMIF(Allocation!C:C,Delivery[Delivery ID],Allocation!H:H))/Delivery[[#This Row],[Exchange rate for premiums VS USD]]</f>
        <v>0</v>
      </c>
      <c r="AM840" s="204">
        <f>Delivery[[#This Row],[Valor Prêmio Nespresso BEN por Kg (em US$)]]*60</f>
        <v>0</v>
      </c>
      <c r="AN840" s="204">
        <f>Delivery[[#This Row],[Valor Prêmio Nespresso BEN por saca (em US$)]]/1.3228/100</f>
        <v>0</v>
      </c>
      <c r="AO840" s="204">
        <f>SUMIF(Allocation[Delivery ID],Delivery[[#This Row],[Delivery ID]],Allocation[Quantity allocated])*16*1.3228*Delivery[[#This Row],[Exchange rate VS USD]]/60</f>
        <v>11084.64916992</v>
      </c>
      <c r="AP840" s="204">
        <f>Delivery[[#This Row],[AAA Premium (total)]]</f>
        <v>11102</v>
      </c>
      <c r="AQ840" s="204">
        <f>Delivery[[#This Row],[Valor pago pelo Cluster]]-Delivery[[#This Row],[Valor efetivamente pago pela Nespresso]]</f>
        <v>17.350830080000378</v>
      </c>
    </row>
    <row r="841" spans="1:43" ht="15.75">
      <c r="A841" s="174" t="s">
        <v>69</v>
      </c>
      <c r="B841" s="232" t="s">
        <v>68</v>
      </c>
      <c r="C841" s="157" t="s">
        <v>1344</v>
      </c>
      <c r="D841" s="157" t="s">
        <v>468</v>
      </c>
      <c r="E841" s="177" t="s">
        <v>468</v>
      </c>
      <c r="F841" s="233" t="s">
        <v>543</v>
      </c>
      <c r="G841" s="234">
        <v>43322</v>
      </c>
      <c r="H841" s="157" t="s">
        <v>1623</v>
      </c>
      <c r="I841" s="157" t="s">
        <v>1624</v>
      </c>
      <c r="J841" s="237">
        <v>31560</v>
      </c>
      <c r="K841" s="175" t="s">
        <v>61</v>
      </c>
      <c r="L841" s="175" t="s">
        <v>439</v>
      </c>
      <c r="M841" s="175" t="s">
        <v>1343</v>
      </c>
      <c r="N841" s="198"/>
      <c r="O841" s="199"/>
      <c r="P841" s="181">
        <v>0</v>
      </c>
      <c r="Q841" s="177">
        <v>43319</v>
      </c>
      <c r="R841" s="178">
        <v>420.31075500000003</v>
      </c>
      <c r="S841" s="179">
        <v>217293.66</v>
      </c>
      <c r="T841" s="182" t="s">
        <v>45</v>
      </c>
      <c r="U841" s="183">
        <v>3.7511000000000001</v>
      </c>
      <c r="V841" s="179">
        <v>13392.59</v>
      </c>
      <c r="W841" s="179">
        <v>0</v>
      </c>
      <c r="X841" s="196" t="s">
        <v>45</v>
      </c>
      <c r="Y841" s="200">
        <v>3.7511000000000001</v>
      </c>
      <c r="Z841" s="220"/>
      <c r="AA841" s="201">
        <f>Delivery[[#This Row],[Quantity delivered]]*VLOOKUP(Delivery[[#This Row],[Unit]],References!$U:$X,4,FALSE)*VLOOKUP(CONCATENATE(Delivery[[#This Row],[Coffee specie]],Delivery[[#This Row],[Coffee state]]),References!$U:$X,4,FALSE)</f>
        <v>31560</v>
      </c>
      <c r="AB841" s="202">
        <f>SUMIF(Allocation!C:C,Delivery[[#This Row],[Delivery ID]],Allocation!D:D)/Delivery[[#This Row],[Quantity delivered]]</f>
        <v>0.41815589353612165</v>
      </c>
      <c r="AC841" s="203">
        <f>Delivery[[#This Row],[Quantity delivered]]*Delivery[[#This Row],[Base price (Unidad)]]/60</f>
        <v>221083.45713000002</v>
      </c>
      <c r="AD841" s="204">
        <f>Delivery[[#This Row],[Nespresso total]]-Delivery[[#This Row],[Qt. Delivery * Base Price]]</f>
        <v>-3789.7971300000208</v>
      </c>
      <c r="AE841" s="204">
        <f>Delivery[[#This Row],[AAA Premium (total)]]/Delivery[[#This Row],[Quantity delivered]]*60/Delivery[[#This Row],[Exchange rate VS USD]]</f>
        <v>6.7876616775429008</v>
      </c>
      <c r="AF841" s="204">
        <f>Delivery[[#This Row],[BEN premium (total)]]/Delivery[[#This Row],[Quantity delivered]]*60/Delivery[[#This Row],[Exchange rate for premiums VS USD]]</f>
        <v>0</v>
      </c>
      <c r="AG841" s="204">
        <f>COUNTIF(Delivery[Delivery ID],Delivery[[#This Row],[Delivery ID]])</f>
        <v>1</v>
      </c>
      <c r="AH841" s="204">
        <f>(Delivery[[#This Row],[Nespresso total]]/SUMIF(Allocation!C:C,Delivery[Delivery ID],Allocation!H:H))/Delivery[[#This Row],[Exchange rate VS USD]]</f>
        <v>13.301488815481328</v>
      </c>
      <c r="AI841" s="204">
        <f>(Delivery[[#This Row],[AAA Premium (total)]]/SUMIF(Allocation!C:C,Delivery[Delivery ID],Allocation!H:H))/Delivery[[#This Row],[Exchange rate VS USD]]</f>
        <v>0.81981860904421722</v>
      </c>
      <c r="AJ841" s="204">
        <f>Delivery[[#This Row],[Valor Prêmio Nespresso AAA por Kg (em US$)]]*60</f>
        <v>49.189116542653032</v>
      </c>
      <c r="AK841" s="204">
        <f>Delivery[[#This Row],[Valor Prêmio Nespresso AAA por saca (em US$)]]/1.3228/100</f>
        <v>0.37185603676030415</v>
      </c>
      <c r="AL841" s="204">
        <f>(Delivery[[#This Row],[BEN premium (total)]]/SUMIF(Allocation!C:C,Delivery[Delivery ID],Allocation!H:H))/Delivery[[#This Row],[Exchange rate for premiums VS USD]]</f>
        <v>0</v>
      </c>
      <c r="AM841" s="204">
        <f>Delivery[[#This Row],[Valor Prêmio Nespresso BEN por Kg (em US$)]]*60</f>
        <v>0</v>
      </c>
      <c r="AN841" s="204">
        <f>Delivery[[#This Row],[Valor Prêmio Nespresso BEN por saca (em US$)]]/1.3228/100</f>
        <v>0</v>
      </c>
      <c r="AO841" s="204">
        <f>SUMIF(Allocation[Delivery ID],Delivery[[#This Row],[Delivery ID]],Allocation[Quantity allocated])*16*1.3228*Delivery[[#This Row],[Exchange rate VS USD]]/60</f>
        <v>5762.483832906667</v>
      </c>
      <c r="AP841" s="204">
        <f>Delivery[[#This Row],[AAA Premium (total)]]</f>
        <v>13392.59</v>
      </c>
      <c r="AQ841" s="204">
        <f>Delivery[[#This Row],[Valor pago pelo Cluster]]-Delivery[[#This Row],[Valor efetivamente pago pela Nespresso]]</f>
        <v>7630.1061670933332</v>
      </c>
    </row>
    <row r="842" spans="1:43" ht="15.75">
      <c r="A842" s="174" t="s">
        <v>69</v>
      </c>
      <c r="B842" s="232" t="s">
        <v>68</v>
      </c>
      <c r="C842" s="157" t="s">
        <v>1344</v>
      </c>
      <c r="D842" s="157" t="s">
        <v>468</v>
      </c>
      <c r="E842" s="177" t="s">
        <v>468</v>
      </c>
      <c r="F842" s="233" t="s">
        <v>543</v>
      </c>
      <c r="G842" s="234">
        <v>43691</v>
      </c>
      <c r="H842" s="157" t="s">
        <v>1625</v>
      </c>
      <c r="I842" s="157" t="s">
        <v>1626</v>
      </c>
      <c r="J842" s="237">
        <v>26290</v>
      </c>
      <c r="K842" s="175" t="s">
        <v>61</v>
      </c>
      <c r="L842" s="175" t="s">
        <v>439</v>
      </c>
      <c r="M842" s="175" t="s">
        <v>1343</v>
      </c>
      <c r="N842" s="198"/>
      <c r="O842" s="199"/>
      <c r="P842" s="181">
        <v>0</v>
      </c>
      <c r="Q842" s="177">
        <v>43321</v>
      </c>
      <c r="R842" s="178">
        <v>422.15188000000001</v>
      </c>
      <c r="S842" s="179">
        <v>187271.04000000001</v>
      </c>
      <c r="T842" s="182" t="s">
        <v>45</v>
      </c>
      <c r="U842" s="183">
        <v>3.8151999999999999</v>
      </c>
      <c r="V842" s="179">
        <v>11752.4</v>
      </c>
      <c r="W842" s="179">
        <v>0</v>
      </c>
      <c r="X842" s="196" t="s">
        <v>45</v>
      </c>
      <c r="Y842" s="200">
        <v>3.8151999999999999</v>
      </c>
      <c r="Z842" s="220"/>
      <c r="AA842" s="201">
        <f>Delivery[[#This Row],[Quantity delivered]]*VLOOKUP(Delivery[[#This Row],[Unit]],References!$U:$X,4,FALSE)*VLOOKUP(CONCATENATE(Delivery[[#This Row],[Coffee specie]],Delivery[[#This Row],[Coffee state]]),References!$U:$X,4,FALSE)</f>
        <v>26290</v>
      </c>
      <c r="AB842" s="202">
        <f>SUMIF(Allocation!C:C,Delivery[[#This Row],[Delivery ID]],Allocation!D:D)/Delivery[[#This Row],[Quantity delivered]]</f>
        <v>0.3507417268923545</v>
      </c>
      <c r="AC842" s="203">
        <f>Delivery[[#This Row],[Quantity delivered]]*Delivery[[#This Row],[Base price (Unidad)]]/60</f>
        <v>184972.88208666668</v>
      </c>
      <c r="AD842" s="204">
        <f>Delivery[[#This Row],[Nespresso total]]-Delivery[[#This Row],[Qt. Delivery * Base Price]]</f>
        <v>2298.1579133333289</v>
      </c>
      <c r="AE842" s="204">
        <f>Delivery[[#This Row],[AAA Premium (total)]]/Delivery[[#This Row],[Quantity delivered]]*60/Delivery[[#This Row],[Exchange rate VS USD]]</f>
        <v>7.0302362450659812</v>
      </c>
      <c r="AF842" s="204">
        <f>Delivery[[#This Row],[BEN premium (total)]]/Delivery[[#This Row],[Quantity delivered]]*60/Delivery[[#This Row],[Exchange rate for premiums VS USD]]</f>
        <v>0</v>
      </c>
      <c r="AG842" s="204">
        <f>COUNTIF(Delivery[Delivery ID],Delivery[[#This Row],[Delivery ID]])</f>
        <v>1</v>
      </c>
      <c r="AH842" s="204">
        <f>(Delivery[[#This Row],[Nespresso total]]/SUMIF(Allocation!C:C,Delivery[Delivery ID],Allocation!H:H))/Delivery[[#This Row],[Exchange rate VS USD]]</f>
        <v>16.130631149925094</v>
      </c>
      <c r="AI842" s="204">
        <f>(Delivery[[#This Row],[AAA Premium (total)]]/SUMIF(Allocation!C:C,Delivery[Delivery ID],Allocation!H:H))/Delivery[[#This Row],[Exchange rate VS USD]]</f>
        <v>1.0122954917449043</v>
      </c>
      <c r="AJ842" s="204">
        <f>Delivery[[#This Row],[Valor Prêmio Nespresso AAA por Kg (em US$)]]*60</f>
        <v>60.737729504694258</v>
      </c>
      <c r="AK842" s="204">
        <f>Delivery[[#This Row],[Valor Prêmio Nespresso AAA por saca (em US$)]]/1.3228/100</f>
        <v>0.45916033795505184</v>
      </c>
      <c r="AL842" s="204">
        <f>(Delivery[[#This Row],[BEN premium (total)]]/SUMIF(Allocation!C:C,Delivery[Delivery ID],Allocation!H:H))/Delivery[[#This Row],[Exchange rate for premiums VS USD]]</f>
        <v>0</v>
      </c>
      <c r="AM842" s="204">
        <f>Delivery[[#This Row],[Valor Prêmio Nespresso BEN por Kg (em US$)]]*60</f>
        <v>0</v>
      </c>
      <c r="AN842" s="204">
        <f>Delivery[[#This Row],[Valor Prêmio Nespresso BEN por saca (em US$)]]/1.3228/100</f>
        <v>0</v>
      </c>
      <c r="AO842" s="204">
        <f>SUMIF(Allocation[Delivery ID],Delivery[[#This Row],[Delivery ID]],Allocation[Quantity allocated])*16*1.3228*Delivery[[#This Row],[Exchange rate VS USD]]/60</f>
        <v>4095.2666085546666</v>
      </c>
      <c r="AP842" s="204">
        <f>Delivery[[#This Row],[AAA Premium (total)]]</f>
        <v>11752.4</v>
      </c>
      <c r="AQ842" s="204">
        <f>Delivery[[#This Row],[Valor pago pelo Cluster]]-Delivery[[#This Row],[Valor efetivamente pago pela Nespresso]]</f>
        <v>7657.1333914453335</v>
      </c>
    </row>
    <row r="843" spans="1:43" ht="15.75">
      <c r="A843" s="174" t="s">
        <v>69</v>
      </c>
      <c r="B843" s="232" t="s">
        <v>68</v>
      </c>
      <c r="C843" s="157" t="s">
        <v>1344</v>
      </c>
      <c r="D843" s="157" t="s">
        <v>468</v>
      </c>
      <c r="E843" s="177" t="s">
        <v>468</v>
      </c>
      <c r="F843" s="233" t="s">
        <v>543</v>
      </c>
      <c r="G843" s="234">
        <v>43321</v>
      </c>
      <c r="H843" s="157" t="s">
        <v>1627</v>
      </c>
      <c r="I843" s="157" t="s">
        <v>1356</v>
      </c>
      <c r="J843" s="237">
        <v>29970</v>
      </c>
      <c r="K843" s="175" t="s">
        <v>61</v>
      </c>
      <c r="L843" s="175" t="s">
        <v>439</v>
      </c>
      <c r="M843" s="175" t="s">
        <v>1343</v>
      </c>
      <c r="N843" s="198"/>
      <c r="O843" s="199"/>
      <c r="P843" s="181">
        <v>0</v>
      </c>
      <c r="Q843" s="177">
        <v>43319</v>
      </c>
      <c r="R843" s="178">
        <v>417.92066</v>
      </c>
      <c r="S843" s="179">
        <v>218195</v>
      </c>
      <c r="T843" s="182" t="s">
        <v>45</v>
      </c>
      <c r="U843" s="183">
        <v>3.7132000000000001</v>
      </c>
      <c r="V843" s="179">
        <v>12995</v>
      </c>
      <c r="W843" s="179">
        <v>0</v>
      </c>
      <c r="X843" s="196" t="s">
        <v>45</v>
      </c>
      <c r="Y843" s="200">
        <v>3.7132000000000001</v>
      </c>
      <c r="Z843" s="220"/>
      <c r="AA843" s="201">
        <f>Delivery[[#This Row],[Quantity delivered]]*VLOOKUP(Delivery[[#This Row],[Unit]],References!$U:$X,4,FALSE)*VLOOKUP(CONCATENATE(Delivery[[#This Row],[Coffee specie]],Delivery[[#This Row],[Coffee state]]),References!$U:$X,4,FALSE)</f>
        <v>29970</v>
      </c>
      <c r="AB843" s="202">
        <f>SUMIF(Allocation!C:C,Delivery[[#This Row],[Delivery ID]],Allocation!D:D)/Delivery[[#This Row],[Quantity delivered]]</f>
        <v>0.42729396062729397</v>
      </c>
      <c r="AC843" s="203">
        <f>Delivery[[#This Row],[Quantity delivered]]*Delivery[[#This Row],[Base price (Unidad)]]/60</f>
        <v>208751.36966999999</v>
      </c>
      <c r="AD843" s="204">
        <f>Delivery[[#This Row],[Nespresso total]]-Delivery[[#This Row],[Qt. Delivery * Base Price]]</f>
        <v>9443.6303300000145</v>
      </c>
      <c r="AE843" s="204">
        <f>Delivery[[#This Row],[AAA Premium (total)]]/Delivery[[#This Row],[Quantity delivered]]*60/Delivery[[#This Row],[Exchange rate VS USD]]</f>
        <v>7.0063600172401213</v>
      </c>
      <c r="AF843" s="204">
        <f>Delivery[[#This Row],[BEN premium (total)]]/Delivery[[#This Row],[Quantity delivered]]*60/Delivery[[#This Row],[Exchange rate for premiums VS USD]]</f>
        <v>0</v>
      </c>
      <c r="AG843" s="204">
        <f>COUNTIF(Delivery[Delivery ID],Delivery[[#This Row],[Delivery ID]])</f>
        <v>1</v>
      </c>
      <c r="AH843" s="204">
        <f>(Delivery[[#This Row],[Nespresso total]]/SUMIF(Allocation!C:C,Delivery[Delivery ID],Allocation!H:H))/Delivery[[#This Row],[Exchange rate VS USD]]</f>
        <v>13.904870864251244</v>
      </c>
      <c r="AI843" s="204">
        <f>(Delivery[[#This Row],[AAA Premium (total)]]/SUMIF(Allocation!C:C,Delivery[Delivery ID],Allocation!H:H))/Delivery[[#This Row],[Exchange rate VS USD]]</f>
        <v>0.82812986952471379</v>
      </c>
      <c r="AJ843" s="204">
        <f>Delivery[[#This Row],[Valor Prêmio Nespresso AAA por Kg (em US$)]]*60</f>
        <v>49.687792171482826</v>
      </c>
      <c r="AK843" s="204">
        <f>Delivery[[#This Row],[Valor Prêmio Nespresso AAA por saca (em US$)]]/1.3228/100</f>
        <v>0.37562588578381328</v>
      </c>
      <c r="AL843" s="204">
        <f>(Delivery[[#This Row],[BEN premium (total)]]/SUMIF(Allocation!C:C,Delivery[Delivery ID],Allocation!H:H))/Delivery[[#This Row],[Exchange rate for premiums VS USD]]</f>
        <v>0</v>
      </c>
      <c r="AM843" s="204">
        <f>Delivery[[#This Row],[Valor Prêmio Nespresso BEN por Kg (em US$)]]*60</f>
        <v>0</v>
      </c>
      <c r="AN843" s="204">
        <f>Delivery[[#This Row],[Valor Prêmio Nespresso BEN por saca (em US$)]]/1.3228/100</f>
        <v>0</v>
      </c>
      <c r="AO843" s="204">
        <f>SUMIF(Allocation[Delivery ID],Delivery[[#This Row],[Delivery ID]],Allocation[Quantity allocated])*16*1.3228*Delivery[[#This Row],[Exchange rate VS USD]]/60</f>
        <v>5535.2947671893335</v>
      </c>
      <c r="AP843" s="204">
        <f>Delivery[[#This Row],[AAA Premium (total)]]</f>
        <v>12995</v>
      </c>
      <c r="AQ843" s="204">
        <f>Delivery[[#This Row],[Valor pago pelo Cluster]]-Delivery[[#This Row],[Valor efetivamente pago pela Nespresso]]</f>
        <v>7459.7052328106665</v>
      </c>
    </row>
    <row r="844" spans="1:43" ht="15.75">
      <c r="A844" s="174" t="s">
        <v>69</v>
      </c>
      <c r="B844" s="232" t="s">
        <v>68</v>
      </c>
      <c r="C844" s="157" t="s">
        <v>1344</v>
      </c>
      <c r="D844" s="157" t="s">
        <v>468</v>
      </c>
      <c r="E844" s="177" t="s">
        <v>468</v>
      </c>
      <c r="F844" s="233" t="s">
        <v>543</v>
      </c>
      <c r="G844" s="234">
        <v>43325</v>
      </c>
      <c r="H844" s="157" t="s">
        <v>1628</v>
      </c>
      <c r="I844" s="157" t="s">
        <v>1034</v>
      </c>
      <c r="J844" s="237">
        <v>24050</v>
      </c>
      <c r="K844" s="175" t="s">
        <v>61</v>
      </c>
      <c r="L844" s="175" t="s">
        <v>439</v>
      </c>
      <c r="M844" s="175" t="s">
        <v>1343</v>
      </c>
      <c r="N844" s="198"/>
      <c r="O844" s="199"/>
      <c r="P844" s="181">
        <v>0</v>
      </c>
      <c r="Q844" s="177">
        <v>43252</v>
      </c>
      <c r="R844" s="178">
        <v>486.51899999999995</v>
      </c>
      <c r="S844" s="179">
        <v>184705.30769044498</v>
      </c>
      <c r="T844" s="182" t="s">
        <v>45</v>
      </c>
      <c r="U844" s="183">
        <v>3.7949999999999999</v>
      </c>
      <c r="V844" s="179">
        <v>10636</v>
      </c>
      <c r="W844" s="179">
        <v>3329.3461547775</v>
      </c>
      <c r="X844" s="196" t="s">
        <v>45</v>
      </c>
      <c r="Y844" s="200">
        <v>3.7949999999999999</v>
      </c>
      <c r="Z844" s="220" t="s">
        <v>473</v>
      </c>
      <c r="AA844" s="201">
        <f>Delivery[[#This Row],[Quantity delivered]]*VLOOKUP(Delivery[[#This Row],[Unit]],References!$U:$X,4,FALSE)*VLOOKUP(CONCATENATE(Delivery[[#This Row],[Coffee specie]],Delivery[[#This Row],[Coffee state]]),References!$U:$X,4,FALSE)</f>
        <v>24050</v>
      </c>
      <c r="AB844" s="202">
        <f>SUMIF(Allocation!C:C,Delivery[[#This Row],[Delivery ID]],Allocation!D:D)/Delivery[[#This Row],[Quantity delivered]]</f>
        <v>0.9242411642411642</v>
      </c>
      <c r="AC844" s="203">
        <f>Delivery[[#This Row],[Quantity delivered]]*Delivery[[#This Row],[Base price (Unidad)]]/60</f>
        <v>195013.0325</v>
      </c>
      <c r="AD844" s="204">
        <f>Delivery[[#This Row],[Nespresso total]]-Delivery[[#This Row],[Qt. Delivery * Base Price]]</f>
        <v>-10307.724809555017</v>
      </c>
      <c r="AE844" s="204">
        <f>Delivery[[#This Row],[AAA Premium (total)]]/Delivery[[#This Row],[Quantity delivered]]*60/Delivery[[#This Row],[Exchange rate VS USD]]</f>
        <v>6.9920209050643836</v>
      </c>
      <c r="AF844" s="204">
        <f>Delivery[[#This Row],[BEN premium (total)]]/Delivery[[#This Row],[Quantity delivered]]*60/Delivery[[#This Row],[Exchange rate for premiums VS USD]]</f>
        <v>2.1886854000000002</v>
      </c>
      <c r="AG844" s="204">
        <f>COUNTIF(Delivery[Delivery ID],Delivery[[#This Row],[Delivery ID]])</f>
        <v>1</v>
      </c>
      <c r="AH844" s="204">
        <f>(Delivery[[#This Row],[Nespresso total]]/SUMIF(Allocation!C:C,Delivery[Delivery ID],Allocation!H:H))/Delivery[[#This Row],[Exchange rate VS USD]]</f>
        <v>6.6354056324046002</v>
      </c>
      <c r="AI844" s="204">
        <f>(Delivery[[#This Row],[AAA Premium (total)]]/SUMIF(Allocation!C:C,Delivery[Delivery ID],Allocation!H:H))/Delivery[[#This Row],[Exchange rate VS USD]]</f>
        <v>0.38209066750011</v>
      </c>
      <c r="AJ844" s="204">
        <f>Delivery[[#This Row],[Valor Prêmio Nespresso AAA por Kg (em US$)]]*60</f>
        <v>22.9254400500066</v>
      </c>
      <c r="AK844" s="204">
        <f>Delivery[[#This Row],[Valor Prêmio Nespresso AAA por saca (em US$)]]/1.3228/100</f>
        <v>0.17330994897192775</v>
      </c>
      <c r="AL844" s="204">
        <f>(Delivery[[#This Row],[BEN premium (total)]]/SUMIF(Allocation!C:C,Delivery[Delivery ID],Allocation!H:H))/Delivery[[#This Row],[Exchange rate for premiums VS USD]]</f>
        <v>0.11960437143830949</v>
      </c>
      <c r="AM844" s="204">
        <f>Delivery[[#This Row],[Valor Prêmio Nespresso BEN por Kg (em US$)]]*60</f>
        <v>7.1762622862985692</v>
      </c>
      <c r="AN844" s="204">
        <f>Delivery[[#This Row],[Valor Prêmio Nespresso BEN por saca (em US$)]]/1.3228/100</f>
        <v>5.4250546464307298E-2</v>
      </c>
      <c r="AO844" s="204">
        <f>SUMIF(Allocation[Delivery ID],Delivery[[#This Row],[Delivery ID]],Allocation[Quantity allocated])*16*1.3228*Delivery[[#This Row],[Exchange rate VS USD]]/60</f>
        <v>9819.1708560000006</v>
      </c>
      <c r="AP844" s="204">
        <f>Delivery[[#This Row],[AAA Premium (total)]]</f>
        <v>10636</v>
      </c>
      <c r="AQ844" s="204">
        <f>Delivery[[#This Row],[Valor pago pelo Cluster]]-Delivery[[#This Row],[Valor efetivamente pago pela Nespresso]]</f>
        <v>816.82914399999936</v>
      </c>
    </row>
    <row r="845" spans="1:43" ht="15.75">
      <c r="A845" s="174" t="s">
        <v>69</v>
      </c>
      <c r="B845" s="232" t="s">
        <v>68</v>
      </c>
      <c r="C845" s="157" t="s">
        <v>1344</v>
      </c>
      <c r="D845" s="157" t="s">
        <v>468</v>
      </c>
      <c r="E845" s="177" t="s">
        <v>468</v>
      </c>
      <c r="F845" s="233" t="s">
        <v>543</v>
      </c>
      <c r="G845" s="234">
        <v>43322</v>
      </c>
      <c r="H845" s="157" t="s">
        <v>1629</v>
      </c>
      <c r="I845" s="157" t="s">
        <v>1034</v>
      </c>
      <c r="J845" s="237">
        <v>12030</v>
      </c>
      <c r="K845" s="175" t="s">
        <v>61</v>
      </c>
      <c r="L845" s="175" t="s">
        <v>439</v>
      </c>
      <c r="M845" s="175" t="s">
        <v>1343</v>
      </c>
      <c r="N845" s="198"/>
      <c r="O845" s="199"/>
      <c r="P845" s="181">
        <v>0</v>
      </c>
      <c r="Q845" s="177">
        <v>43319</v>
      </c>
      <c r="R845" s="178">
        <v>418.662215</v>
      </c>
      <c r="S845" s="179">
        <v>85808</v>
      </c>
      <c r="T845" s="182" t="s">
        <v>45</v>
      </c>
      <c r="U845" s="183">
        <v>3.7099000000000002</v>
      </c>
      <c r="V845" s="179">
        <v>5192</v>
      </c>
      <c r="W845" s="179">
        <v>0</v>
      </c>
      <c r="X845" s="196" t="s">
        <v>45</v>
      </c>
      <c r="Y845" s="200">
        <v>3.7099000000000002</v>
      </c>
      <c r="Z845" s="220"/>
      <c r="AA845" s="201">
        <f>Delivery[[#This Row],[Quantity delivered]]*VLOOKUP(Delivery[[#This Row],[Unit]],References!$U:$X,4,FALSE)*VLOOKUP(CONCATENATE(Delivery[[#This Row],[Coffee specie]],Delivery[[#This Row],[Coffee state]]),References!$U:$X,4,FALSE)</f>
        <v>12030</v>
      </c>
      <c r="AB845" s="202">
        <f>SUMIF(Allocation!C:C,Delivery[[#This Row],[Delivery ID]],Allocation!D:D)/Delivery[[#This Row],[Quantity delivered]]</f>
        <v>0.2823773898586866</v>
      </c>
      <c r="AC845" s="203">
        <f>Delivery[[#This Row],[Quantity delivered]]*Delivery[[#This Row],[Base price (Unidad)]]/60</f>
        <v>83941.774107499994</v>
      </c>
      <c r="AD845" s="204">
        <f>Delivery[[#This Row],[Nespresso total]]-Delivery[[#This Row],[Qt. Delivery * Base Price]]</f>
        <v>1866.225892500006</v>
      </c>
      <c r="AE845" s="204">
        <f>Delivery[[#This Row],[AAA Premium (total)]]/Delivery[[#This Row],[Quantity delivered]]*60/Delivery[[#This Row],[Exchange rate VS USD]]</f>
        <v>6.9800430861711993</v>
      </c>
      <c r="AF845" s="204">
        <f>Delivery[[#This Row],[BEN premium (total)]]/Delivery[[#This Row],[Quantity delivered]]*60/Delivery[[#This Row],[Exchange rate for premiums VS USD]]</f>
        <v>0</v>
      </c>
      <c r="AG845" s="204">
        <f>COUNTIF(Delivery[Delivery ID],Delivery[[#This Row],[Delivery ID]])</f>
        <v>1</v>
      </c>
      <c r="AH845" s="204">
        <f>(Delivery[[#This Row],[Nespresso total]]/SUMIF(Allocation!C:C,Delivery[Delivery ID],Allocation!H:H))/Delivery[[#This Row],[Exchange rate VS USD]]</f>
        <v>20.025510308267254</v>
      </c>
      <c r="AI845" s="204">
        <f>(Delivery[[#This Row],[AAA Premium (total)]]/SUMIF(Allocation!C:C,Delivery[Delivery ID],Allocation!H:H))/Delivery[[#This Row],[Exchange rate VS USD]]</f>
        <v>1.2116871331405414</v>
      </c>
      <c r="AJ845" s="204">
        <f>Delivery[[#This Row],[Valor Prêmio Nespresso AAA por Kg (em US$)]]*60</f>
        <v>72.701227988432493</v>
      </c>
      <c r="AK845" s="204">
        <f>Delivery[[#This Row],[Valor Prêmio Nespresso AAA por saca (em US$)]]/1.3228/100</f>
        <v>0.54960105827360517</v>
      </c>
      <c r="AL845" s="204">
        <f>(Delivery[[#This Row],[BEN premium (total)]]/SUMIF(Allocation!C:C,Delivery[Delivery ID],Allocation!H:H))/Delivery[[#This Row],[Exchange rate for premiums VS USD]]</f>
        <v>0</v>
      </c>
      <c r="AM845" s="204">
        <f>Delivery[[#This Row],[Valor Prêmio Nespresso BEN por Kg (em US$)]]*60</f>
        <v>0</v>
      </c>
      <c r="AN845" s="204">
        <f>Delivery[[#This Row],[Valor Prêmio Nespresso BEN por saca (em US$)]]/1.3228/100</f>
        <v>0</v>
      </c>
      <c r="AO845" s="204">
        <f>SUMIF(Allocation[Delivery ID],Delivery[[#This Row],[Delivery ID]],Allocation[Quantity allocated])*16*1.3228*Delivery[[#This Row],[Exchange rate VS USD]]/60</f>
        <v>1511.4963617600001</v>
      </c>
      <c r="AP845" s="204">
        <f>Delivery[[#This Row],[AAA Premium (total)]]</f>
        <v>5192</v>
      </c>
      <c r="AQ845" s="204">
        <f>Delivery[[#This Row],[Valor pago pelo Cluster]]-Delivery[[#This Row],[Valor efetivamente pago pela Nespresso]]</f>
        <v>3680.5036382399999</v>
      </c>
    </row>
    <row r="846" spans="1:43" ht="15.75">
      <c r="A846" s="174" t="s">
        <v>69</v>
      </c>
      <c r="B846" s="232" t="s">
        <v>68</v>
      </c>
      <c r="C846" s="157" t="s">
        <v>1344</v>
      </c>
      <c r="D846" s="157" t="s">
        <v>468</v>
      </c>
      <c r="E846" s="177" t="s">
        <v>468</v>
      </c>
      <c r="F846" s="233" t="s">
        <v>543</v>
      </c>
      <c r="G846" s="234">
        <v>43325</v>
      </c>
      <c r="H846" s="157" t="s">
        <v>1630</v>
      </c>
      <c r="I846" s="157" t="s">
        <v>975</v>
      </c>
      <c r="J846" s="237">
        <v>18000</v>
      </c>
      <c r="K846" s="175" t="s">
        <v>61</v>
      </c>
      <c r="L846" s="175" t="s">
        <v>439</v>
      </c>
      <c r="M846" s="175" t="s">
        <v>1343</v>
      </c>
      <c r="N846" s="198"/>
      <c r="O846" s="199"/>
      <c r="P846" s="181">
        <v>0</v>
      </c>
      <c r="Q846" s="177">
        <v>43319</v>
      </c>
      <c r="R846" s="178">
        <v>418.42716000000001</v>
      </c>
      <c r="S846" s="179">
        <v>128700</v>
      </c>
      <c r="T846" s="182" t="s">
        <v>45</v>
      </c>
      <c r="U846" s="183">
        <v>3.7143999999999999</v>
      </c>
      <c r="V846" s="179">
        <v>7800</v>
      </c>
      <c r="W846" s="179">
        <v>0</v>
      </c>
      <c r="X846" s="196" t="s">
        <v>45</v>
      </c>
      <c r="Y846" s="200">
        <v>3.7143999999999999</v>
      </c>
      <c r="Z846" s="220"/>
      <c r="AA846" s="201">
        <f>Delivery[[#This Row],[Quantity delivered]]*VLOOKUP(Delivery[[#This Row],[Unit]],References!$U:$X,4,FALSE)*VLOOKUP(CONCATENATE(Delivery[[#This Row],[Coffee specie]],Delivery[[#This Row],[Coffee state]]),References!$U:$X,4,FALSE)</f>
        <v>18000</v>
      </c>
      <c r="AB846" s="202">
        <f>SUMIF(Allocation!C:C,Delivery[[#This Row],[Delivery ID]],Allocation!D:D)/Delivery[[#This Row],[Quantity delivered]]</f>
        <v>0.7292777777777778</v>
      </c>
      <c r="AC846" s="203">
        <f>Delivery[[#This Row],[Quantity delivered]]*Delivery[[#This Row],[Base price (Unidad)]]/60</f>
        <v>125528.148</v>
      </c>
      <c r="AD846" s="204">
        <f>Delivery[[#This Row],[Nespresso total]]-Delivery[[#This Row],[Qt. Delivery * Base Price]]</f>
        <v>3171.851999999999</v>
      </c>
      <c r="AE846" s="204">
        <f>Delivery[[#This Row],[AAA Premium (total)]]/Delivery[[#This Row],[Quantity delivered]]*60/Delivery[[#This Row],[Exchange rate VS USD]]</f>
        <v>6.9997846220116307</v>
      </c>
      <c r="AF846" s="204">
        <f>Delivery[[#This Row],[BEN premium (total)]]/Delivery[[#This Row],[Quantity delivered]]*60/Delivery[[#This Row],[Exchange rate for premiums VS USD]]</f>
        <v>0</v>
      </c>
      <c r="AG846" s="204">
        <f>COUNTIF(Delivery[Delivery ID],Delivery[[#This Row],[Delivery ID]])</f>
        <v>1</v>
      </c>
      <c r="AH846" s="204">
        <f>(Delivery[[#This Row],[Nespresso total]]/SUMIF(Allocation!C:C,Delivery[Delivery ID],Allocation!H:H))/Delivery[[#This Row],[Exchange rate VS USD]]</f>
        <v>7.9983688547916829</v>
      </c>
      <c r="AI846" s="204">
        <f>(Delivery[[#This Row],[AAA Premium (total)]]/SUMIF(Allocation!C:C,Delivery[Delivery ID],Allocation!H:H))/Delivery[[#This Row],[Exchange rate VS USD]]</f>
        <v>0.48474962756313228</v>
      </c>
      <c r="AJ846" s="204">
        <f>Delivery[[#This Row],[Valor Prêmio Nespresso AAA por Kg (em US$)]]*60</f>
        <v>29.084977653787938</v>
      </c>
      <c r="AK846" s="204">
        <f>Delivery[[#This Row],[Valor Prêmio Nespresso AAA por saca (em US$)]]/1.3228/100</f>
        <v>0.21987433968693634</v>
      </c>
      <c r="AL846" s="204">
        <f>(Delivery[[#This Row],[BEN premium (total)]]/SUMIF(Allocation!C:C,Delivery[Delivery ID],Allocation!H:H))/Delivery[[#This Row],[Exchange rate for premiums VS USD]]</f>
        <v>0</v>
      </c>
      <c r="AM846" s="204">
        <f>Delivery[[#This Row],[Valor Prêmio Nespresso BEN por Kg (em US$)]]*60</f>
        <v>0</v>
      </c>
      <c r="AN846" s="204">
        <f>Delivery[[#This Row],[Valor Prêmio Nespresso BEN por saca (em US$)]]/1.3228/100</f>
        <v>0</v>
      </c>
      <c r="AO846" s="204">
        <f>SUMIF(Allocation[Delivery ID],Delivery[[#This Row],[Delivery ID]],Allocation[Quantity allocated])*16*1.3228*Delivery[[#This Row],[Exchange rate VS USD]]/60</f>
        <v>5675.9692912640003</v>
      </c>
      <c r="AP846" s="204">
        <f>Delivery[[#This Row],[AAA Premium (total)]]</f>
        <v>7800</v>
      </c>
      <c r="AQ846" s="204">
        <f>Delivery[[#This Row],[Valor pago pelo Cluster]]-Delivery[[#This Row],[Valor efetivamente pago pela Nespresso]]</f>
        <v>2124.0307087359997</v>
      </c>
    </row>
    <row r="847" spans="1:43" ht="15.75">
      <c r="A847" s="174" t="s">
        <v>69</v>
      </c>
      <c r="B847" s="232" t="s">
        <v>68</v>
      </c>
      <c r="C847" s="157" t="s">
        <v>1344</v>
      </c>
      <c r="D847" s="157" t="s">
        <v>468</v>
      </c>
      <c r="E847" s="177" t="s">
        <v>468</v>
      </c>
      <c r="F847" s="233" t="s">
        <v>543</v>
      </c>
      <c r="G847" s="234">
        <v>43691</v>
      </c>
      <c r="H847" s="157" t="s">
        <v>1631</v>
      </c>
      <c r="I847" s="157" t="s">
        <v>1141</v>
      </c>
      <c r="J847" s="237">
        <v>9029</v>
      </c>
      <c r="K847" s="175" t="s">
        <v>61</v>
      </c>
      <c r="L847" s="175" t="s">
        <v>439</v>
      </c>
      <c r="M847" s="175" t="s">
        <v>1343</v>
      </c>
      <c r="N847" s="198"/>
      <c r="O847" s="199"/>
      <c r="P847" s="181">
        <v>0</v>
      </c>
      <c r="Q847" s="177">
        <v>43322</v>
      </c>
      <c r="R847" s="178">
        <v>419.45375999999999</v>
      </c>
      <c r="S847" s="179">
        <v>63301.5</v>
      </c>
      <c r="T847" s="182" t="s">
        <v>45</v>
      </c>
      <c r="U847" s="183">
        <v>3.7993999999999999</v>
      </c>
      <c r="V847" s="179">
        <v>5698.5</v>
      </c>
      <c r="W847" s="179">
        <v>0</v>
      </c>
      <c r="X847" s="196" t="s">
        <v>45</v>
      </c>
      <c r="Y847" s="200">
        <v>3.7993999999999999</v>
      </c>
      <c r="Z847" s="220"/>
      <c r="AA847" s="201">
        <f>Delivery[[#This Row],[Quantity delivered]]*VLOOKUP(Delivery[[#This Row],[Unit]],References!$U:$X,4,FALSE)*VLOOKUP(CONCATENATE(Delivery[[#This Row],[Coffee specie]],Delivery[[#This Row],[Coffee state]]),References!$U:$X,4,FALSE)</f>
        <v>9029</v>
      </c>
      <c r="AB847" s="202">
        <f>SUMIF(Allocation!C:C,Delivery[[#This Row],[Delivery ID]],Allocation!D:D)/Delivery[[#This Row],[Quantity delivered]]</f>
        <v>0.15992911728873629</v>
      </c>
      <c r="AC847" s="203">
        <f>Delivery[[#This Row],[Quantity delivered]]*Delivery[[#This Row],[Base price (Unidad)]]/60</f>
        <v>63120.799983999997</v>
      </c>
      <c r="AD847" s="204">
        <f>Delivery[[#This Row],[Nespresso total]]-Delivery[[#This Row],[Qt. Delivery * Base Price]]</f>
        <v>180.70001600000251</v>
      </c>
      <c r="AE847" s="204">
        <f>Delivery[[#This Row],[AAA Premium (total)]]/Delivery[[#This Row],[Quantity delivered]]*60/Delivery[[#This Row],[Exchange rate VS USD]]</f>
        <v>9.9668318551011605</v>
      </c>
      <c r="AF847" s="204">
        <f>Delivery[[#This Row],[BEN premium (total)]]/Delivery[[#This Row],[Quantity delivered]]*60/Delivery[[#This Row],[Exchange rate for premiums VS USD]]</f>
        <v>0</v>
      </c>
      <c r="AG847" s="204">
        <f>COUNTIF(Delivery[Delivery ID],Delivery[[#This Row],[Delivery ID]])</f>
        <v>1</v>
      </c>
      <c r="AH847" s="204">
        <f>(Delivery[[#This Row],[Nespresso total]]/SUMIF(Allocation!C:C,Delivery[Delivery ID],Allocation!H:H))/Delivery[[#This Row],[Exchange rate VS USD]]</f>
        <v>19.216747572417646</v>
      </c>
      <c r="AI847" s="204">
        <f>(Delivery[[#This Row],[AAA Premium (total)]]/SUMIF(Allocation!C:C,Delivery[Delivery ID],Allocation!H:H))/Delivery[[#This Row],[Exchange rate VS USD]]</f>
        <v>1.7299216612785155</v>
      </c>
      <c r="AJ847" s="204">
        <f>Delivery[[#This Row],[Valor Prêmio Nespresso AAA por Kg (em US$)]]*60</f>
        <v>103.79529967671093</v>
      </c>
      <c r="AK847" s="204">
        <f>Delivery[[#This Row],[Valor Prêmio Nespresso AAA por saca (em US$)]]/1.3228/100</f>
        <v>0.78466358993582508</v>
      </c>
      <c r="AL847" s="204">
        <f>(Delivery[[#This Row],[BEN premium (total)]]/SUMIF(Allocation!C:C,Delivery[Delivery ID],Allocation!H:H))/Delivery[[#This Row],[Exchange rate for premiums VS USD]]</f>
        <v>0</v>
      </c>
      <c r="AM847" s="204">
        <f>Delivery[[#This Row],[Valor Prêmio Nespresso BEN por Kg (em US$)]]*60</f>
        <v>0</v>
      </c>
      <c r="AN847" s="204">
        <f>Delivery[[#This Row],[Valor Prêmio Nespresso BEN por saca (em US$)]]/1.3228/100</f>
        <v>0</v>
      </c>
      <c r="AO847" s="204">
        <f>SUMIF(Allocation[Delivery ID],Delivery[[#This Row],[Delivery ID]],Allocation[Quantity allocated])*16*1.3228*Delivery[[#This Row],[Exchange rate VS USD]]/60</f>
        <v>1161.975669184</v>
      </c>
      <c r="AP847" s="204">
        <f>Delivery[[#This Row],[AAA Premium (total)]]</f>
        <v>5698.5</v>
      </c>
      <c r="AQ847" s="204">
        <f>Delivery[[#This Row],[Valor pago pelo Cluster]]-Delivery[[#This Row],[Valor efetivamente pago pela Nespresso]]</f>
        <v>4536.5243308159997</v>
      </c>
    </row>
    <row r="848" spans="1:43" ht="15.75">
      <c r="A848" s="174" t="s">
        <v>69</v>
      </c>
      <c r="B848" s="232" t="s">
        <v>68</v>
      </c>
      <c r="C848" s="157" t="s">
        <v>1344</v>
      </c>
      <c r="D848" s="157" t="s">
        <v>468</v>
      </c>
      <c r="E848" s="177" t="s">
        <v>468</v>
      </c>
      <c r="F848" s="233" t="s">
        <v>543</v>
      </c>
      <c r="G848" s="234">
        <v>43325</v>
      </c>
      <c r="H848" s="157" t="s">
        <v>1632</v>
      </c>
      <c r="I848" s="157" t="s">
        <v>1633</v>
      </c>
      <c r="J848" s="237">
        <v>3300</v>
      </c>
      <c r="K848" s="175" t="s">
        <v>61</v>
      </c>
      <c r="L848" s="175" t="s">
        <v>439</v>
      </c>
      <c r="M848" s="175" t="s">
        <v>1343</v>
      </c>
      <c r="N848" s="198"/>
      <c r="O848" s="199"/>
      <c r="P848" s="181">
        <v>0</v>
      </c>
      <c r="Q848" s="177">
        <v>43319</v>
      </c>
      <c r="R848" s="178">
        <v>418.42716000000001</v>
      </c>
      <c r="S848" s="179">
        <v>23595</v>
      </c>
      <c r="T848" s="182" t="s">
        <v>45</v>
      </c>
      <c r="U848" s="183">
        <v>3.7143999999999999</v>
      </c>
      <c r="V848" s="179">
        <v>1430</v>
      </c>
      <c r="W848" s="179">
        <v>0</v>
      </c>
      <c r="X848" s="196" t="s">
        <v>45</v>
      </c>
      <c r="Y848" s="200">
        <v>3.7143999999999999</v>
      </c>
      <c r="Z848" s="220"/>
      <c r="AA848" s="201">
        <f>Delivery[[#This Row],[Quantity delivered]]*VLOOKUP(Delivery[[#This Row],[Unit]],References!$U:$X,4,FALSE)*VLOOKUP(CONCATENATE(Delivery[[#This Row],[Coffee specie]],Delivery[[#This Row],[Coffee state]]),References!$U:$X,4,FALSE)</f>
        <v>3300</v>
      </c>
      <c r="AB848" s="202">
        <f>SUMIF(Allocation!C:C,Delivery[[#This Row],[Delivery ID]],Allocation!D:D)/Delivery[[#This Row],[Quantity delivered]]</f>
        <v>1</v>
      </c>
      <c r="AC848" s="203">
        <f>Delivery[[#This Row],[Quantity delivered]]*Delivery[[#This Row],[Base price (Unidad)]]/60</f>
        <v>23013.4938</v>
      </c>
      <c r="AD848" s="204">
        <f>Delivery[[#This Row],[Nespresso total]]-Delivery[[#This Row],[Qt. Delivery * Base Price]]</f>
        <v>581.50619999999981</v>
      </c>
      <c r="AE848" s="204">
        <f>Delivery[[#This Row],[AAA Premium (total)]]/Delivery[[#This Row],[Quantity delivered]]*60/Delivery[[#This Row],[Exchange rate VS USD]]</f>
        <v>6.9997846220116307</v>
      </c>
      <c r="AF848" s="204">
        <f>Delivery[[#This Row],[BEN premium (total)]]/Delivery[[#This Row],[Quantity delivered]]*60/Delivery[[#This Row],[Exchange rate for premiums VS USD]]</f>
        <v>0</v>
      </c>
      <c r="AG848" s="204">
        <f>COUNTIF(Delivery[Delivery ID],Delivery[[#This Row],[Delivery ID]])</f>
        <v>1</v>
      </c>
      <c r="AH848" s="204">
        <f>(Delivery[[#This Row],[Nespresso total]]/SUMIF(Allocation!C:C,Delivery[Delivery ID],Allocation!H:H))/Delivery[[#This Row],[Exchange rate VS USD]]</f>
        <v>5.8224606273836432</v>
      </c>
      <c r="AI848" s="204">
        <f>(Delivery[[#This Row],[AAA Premium (total)]]/SUMIF(Allocation!C:C,Delivery[Delivery ID],Allocation!H:H))/Delivery[[#This Row],[Exchange rate VS USD]]</f>
        <v>0.35287640165961476</v>
      </c>
      <c r="AJ848" s="204">
        <f>Delivery[[#This Row],[Valor Prêmio Nespresso AAA por Kg (em US$)]]*60</f>
        <v>21.172584099576884</v>
      </c>
      <c r="AK848" s="204">
        <f>Delivery[[#This Row],[Valor Prêmio Nespresso AAA por saca (em US$)]]/1.3228/100</f>
        <v>0.16005884562728215</v>
      </c>
      <c r="AL848" s="204">
        <f>(Delivery[[#This Row],[BEN premium (total)]]/SUMIF(Allocation!C:C,Delivery[Delivery ID],Allocation!H:H))/Delivery[[#This Row],[Exchange rate for premiums VS USD]]</f>
        <v>0</v>
      </c>
      <c r="AM848" s="204">
        <f>Delivery[[#This Row],[Valor Prêmio Nespresso BEN por Kg (em US$)]]*60</f>
        <v>0</v>
      </c>
      <c r="AN848" s="204">
        <f>Delivery[[#This Row],[Valor Prêmio Nespresso BEN por saca (em US$)]]/1.3228/100</f>
        <v>0</v>
      </c>
      <c r="AO848" s="204">
        <f>SUMIF(Allocation[Delivery ID],Delivery[[#This Row],[Delivery ID]],Allocation[Quantity allocated])*16*1.3228*Delivery[[#This Row],[Exchange rate VS USD]]/60</f>
        <v>1429.4742605653332</v>
      </c>
      <c r="AP848" s="204">
        <f>Delivery[[#This Row],[AAA Premium (total)]]</f>
        <v>1430</v>
      </c>
      <c r="AQ848" s="204">
        <f>Delivery[[#This Row],[Valor pago pelo Cluster]]-Delivery[[#This Row],[Valor efetivamente pago pela Nespresso]]</f>
        <v>0.5257394346667752</v>
      </c>
    </row>
    <row r="849" spans="1:43" ht="15.75">
      <c r="A849" s="174" t="s">
        <v>69</v>
      </c>
      <c r="B849" s="232" t="s">
        <v>68</v>
      </c>
      <c r="C849" s="157">
        <v>1</v>
      </c>
      <c r="D849" s="157" t="s">
        <v>468</v>
      </c>
      <c r="E849" s="177" t="s">
        <v>468</v>
      </c>
      <c r="F849" s="233" t="s">
        <v>543</v>
      </c>
      <c r="G849" s="234">
        <v>43326</v>
      </c>
      <c r="H849" s="235" t="s">
        <v>2035</v>
      </c>
      <c r="I849" s="236" t="s">
        <v>1015</v>
      </c>
      <c r="J849" s="237">
        <v>23316.5</v>
      </c>
      <c r="K849" s="175" t="s">
        <v>61</v>
      </c>
      <c r="L849" s="175" t="s">
        <v>439</v>
      </c>
      <c r="M849" s="175" t="s">
        <v>1343</v>
      </c>
      <c r="N849" s="198"/>
      <c r="O849" s="199"/>
      <c r="P849" s="181">
        <v>0</v>
      </c>
      <c r="Q849" s="177">
        <v>43321</v>
      </c>
      <c r="R849" s="178">
        <v>421.40735999999998</v>
      </c>
      <c r="S849" s="179">
        <v>168542.37</v>
      </c>
      <c r="T849" s="182" t="s">
        <v>45</v>
      </c>
      <c r="U849" s="183">
        <v>3.8016000000000001</v>
      </c>
      <c r="V849" s="179">
        <v>22066.74</v>
      </c>
      <c r="W849" s="179">
        <v>0</v>
      </c>
      <c r="X849" s="196" t="s">
        <v>45</v>
      </c>
      <c r="Y849" s="200">
        <v>3.8016000000000001</v>
      </c>
      <c r="Z849" s="220"/>
      <c r="AA849" s="201">
        <f>Delivery[[#This Row],[Quantity delivered]]*VLOOKUP(Delivery[[#This Row],[Unit]],References!$U:$X,4,FALSE)*VLOOKUP(CONCATENATE(Delivery[[#This Row],[Coffee specie]],Delivery[[#This Row],[Coffee state]]),References!$U:$X,4,FALSE)</f>
        <v>23316.5</v>
      </c>
      <c r="AB849" s="202">
        <f>SUMIF(Allocation!C:C,Delivery[[#This Row],[Delivery ID]],Allocation!D:D)/Delivery[[#This Row],[Quantity delivered]]</f>
        <v>0.50243389874123479</v>
      </c>
      <c r="AC849" s="203">
        <f>Delivery[[#This Row],[Quantity delivered]]*Delivery[[#This Row],[Base price (Unidad)]]/60</f>
        <v>163762.41182400001</v>
      </c>
      <c r="AD849" s="204">
        <f>Delivery[[#This Row],[Nespresso total]]-Delivery[[#This Row],[Qt. Delivery * Base Price]]</f>
        <v>4779.9581759999855</v>
      </c>
      <c r="AE849" s="204">
        <f>Delivery[[#This Row],[AAA Premium (total)]]/Delivery[[#This Row],[Quantity delivered]]*60/Delivery[[#This Row],[Exchange rate VS USD]]</f>
        <v>14.936871665207823</v>
      </c>
      <c r="AF849" s="204">
        <f>Delivery[[#This Row],[BEN premium (total)]]/Delivery[[#This Row],[Quantity delivered]]*60/Delivery[[#This Row],[Exchange rate for premiums VS USD]]</f>
        <v>0</v>
      </c>
      <c r="AG849" s="204">
        <f>COUNTIF(Delivery[Delivery ID],Delivery[[#This Row],[Delivery ID]])</f>
        <v>1</v>
      </c>
      <c r="AH849" s="204">
        <f>(Delivery[[#This Row],[Nespresso total]]/SUMIF(Allocation!C:C,Delivery[Delivery ID],Allocation!H:H))/Delivery[[#This Row],[Exchange rate VS USD]]</f>
        <v>5.4066570814855872</v>
      </c>
      <c r="AI849" s="204">
        <f>(Delivery[[#This Row],[AAA Premium (total)]]/SUMIF(Allocation!C:C,Delivery[Delivery ID],Allocation!H:H))/Delivery[[#This Row],[Exchange rate VS USD]]</f>
        <v>0.70787717110125647</v>
      </c>
      <c r="AJ849" s="204">
        <f>Delivery[[#This Row],[Valor Prêmio Nespresso AAA por Kg (em US$)]]*60</f>
        <v>42.472630266075392</v>
      </c>
      <c r="AK849" s="204">
        <f>Delivery[[#This Row],[Valor Prêmio Nespresso AAA por saca (em US$)]]/1.3228/100</f>
        <v>0.32108126902083001</v>
      </c>
      <c r="AL849" s="204">
        <f>(Delivery[[#This Row],[BEN premium (total)]]/SUMIF(Allocation!C:C,Delivery[Delivery ID],Allocation!H:H))/Delivery[[#This Row],[Exchange rate for premiums VS USD]]</f>
        <v>0</v>
      </c>
      <c r="AM849" s="204">
        <f>Delivery[[#This Row],[Valor Prêmio Nespresso BEN por Kg (em US$)]]*60</f>
        <v>0</v>
      </c>
      <c r="AN849" s="204">
        <f>Delivery[[#This Row],[Valor Prêmio Nespresso BEN por saca (em US$)]]/1.3228/100</f>
        <v>0</v>
      </c>
      <c r="AO849" s="204">
        <f>SUMIF(Allocation[Delivery ID],Delivery[[#This Row],[Delivery ID]],Allocation[Quantity allocated])*16*1.3228*Delivery[[#This Row],[Exchange rate VS USD]]/60</f>
        <v>10996.214169599998</v>
      </c>
      <c r="AP849" s="204">
        <f>Delivery[[#This Row],[AAA Premium (total)]]</f>
        <v>22066.74</v>
      </c>
      <c r="AQ849" s="204">
        <f>Delivery[[#This Row],[Valor pago pelo Cluster]]-Delivery[[#This Row],[Valor efetivamente pago pela Nespresso]]</f>
        <v>11070.525830400004</v>
      </c>
    </row>
    <row r="850" spans="1:43" ht="15.75">
      <c r="A850" s="174" t="s">
        <v>69</v>
      </c>
      <c r="B850" s="232" t="s">
        <v>68</v>
      </c>
      <c r="C850" s="157" t="s">
        <v>1344</v>
      </c>
      <c r="D850" s="157" t="s">
        <v>468</v>
      </c>
      <c r="E850" s="177" t="s">
        <v>468</v>
      </c>
      <c r="F850" s="233" t="s">
        <v>543</v>
      </c>
      <c r="G850" s="234">
        <v>43321</v>
      </c>
      <c r="H850" s="157" t="s">
        <v>1634</v>
      </c>
      <c r="I850" s="157" t="s">
        <v>1356</v>
      </c>
      <c r="J850" s="237">
        <v>9587</v>
      </c>
      <c r="K850" s="175" t="s">
        <v>61</v>
      </c>
      <c r="L850" s="175" t="s">
        <v>439</v>
      </c>
      <c r="M850" s="175" t="s">
        <v>1343</v>
      </c>
      <c r="N850" s="198"/>
      <c r="O850" s="199"/>
      <c r="P850" s="181">
        <v>0</v>
      </c>
      <c r="Q850" s="177">
        <v>43319</v>
      </c>
      <c r="R850" s="178">
        <v>417.92066</v>
      </c>
      <c r="S850" s="179">
        <v>69822.399999999994</v>
      </c>
      <c r="T850" s="182" t="s">
        <v>45</v>
      </c>
      <c r="U850" s="183">
        <v>3.7132000000000001</v>
      </c>
      <c r="V850" s="179">
        <v>4158.3999999999996</v>
      </c>
      <c r="W850" s="179">
        <v>0</v>
      </c>
      <c r="X850" s="196" t="s">
        <v>45</v>
      </c>
      <c r="Y850" s="200">
        <v>3.7132000000000001</v>
      </c>
      <c r="Z850" s="220"/>
      <c r="AA850" s="201">
        <f>Delivery[[#This Row],[Quantity delivered]]*VLOOKUP(Delivery[[#This Row],[Unit]],References!$U:$X,4,FALSE)*VLOOKUP(CONCATENATE(Delivery[[#This Row],[Coffee specie]],Delivery[[#This Row],[Coffee state]]),References!$U:$X,4,FALSE)</f>
        <v>9587</v>
      </c>
      <c r="AB850" s="202">
        <f>SUMIF(Allocation!C:C,Delivery[[#This Row],[Delivery ID]],Allocation!D:D)/Delivery[[#This Row],[Quantity delivered]]</f>
        <v>0.29112339626577655</v>
      </c>
      <c r="AC850" s="203">
        <f>Delivery[[#This Row],[Quantity delivered]]*Delivery[[#This Row],[Base price (Unidad)]]/60</f>
        <v>66776.756123666666</v>
      </c>
      <c r="AD850" s="204">
        <f>Delivery[[#This Row],[Nespresso total]]-Delivery[[#This Row],[Qt. Delivery * Base Price]]</f>
        <v>3045.6438763333281</v>
      </c>
      <c r="AE850" s="204">
        <f>Delivery[[#This Row],[AAA Premium (total)]]/Delivery[[#This Row],[Quantity delivered]]*60/Delivery[[#This Row],[Exchange rate VS USD]]</f>
        <v>7.0088448012245372</v>
      </c>
      <c r="AF850" s="204">
        <f>Delivery[[#This Row],[BEN premium (total)]]/Delivery[[#This Row],[Quantity delivered]]*60/Delivery[[#This Row],[Exchange rate for premiums VS USD]]</f>
        <v>0</v>
      </c>
      <c r="AG850" s="204">
        <f>COUNTIF(Delivery[Delivery ID],Delivery[[#This Row],[Delivery ID]])</f>
        <v>1</v>
      </c>
      <c r="AH850" s="204">
        <f>(Delivery[[#This Row],[Nespresso total]]/SUMIF(Allocation!C:C,Delivery[Delivery ID],Allocation!H:H))/Delivery[[#This Row],[Exchange rate VS USD]]</f>
        <v>20.416758921980719</v>
      </c>
      <c r="AI850" s="204">
        <f>(Delivery[[#This Row],[AAA Premium (total)]]/SUMIF(Allocation!C:C,Delivery[Delivery ID],Allocation!H:H))/Delivery[[#This Row],[Exchange rate VS USD]]</f>
        <v>1.2159572042949629</v>
      </c>
      <c r="AJ850" s="204">
        <f>Delivery[[#This Row],[Valor Prêmio Nespresso AAA por Kg (em US$)]]*60</f>
        <v>72.957432257697775</v>
      </c>
      <c r="AK850" s="204">
        <f>Delivery[[#This Row],[Valor Prêmio Nespresso AAA por saca (em US$)]]/1.3228/100</f>
        <v>0.55153789127379627</v>
      </c>
      <c r="AL850" s="204">
        <f>(Delivery[[#This Row],[BEN premium (total)]]/SUMIF(Allocation!C:C,Delivery[Delivery ID],Allocation!H:H))/Delivery[[#This Row],[Exchange rate for premiums VS USD]]</f>
        <v>0</v>
      </c>
      <c r="AM850" s="204">
        <f>Delivery[[#This Row],[Valor Prêmio Nespresso BEN por Kg (em US$)]]*60</f>
        <v>0</v>
      </c>
      <c r="AN850" s="204">
        <f>Delivery[[#This Row],[Valor Prêmio Nespresso BEN por saca (em US$)]]/1.3228/100</f>
        <v>0</v>
      </c>
      <c r="AO850" s="204">
        <f>SUMIF(Allocation[Delivery ID],Delivery[[#This Row],[Delivery ID]],Allocation[Quantity allocated])*16*1.3228*Delivery[[#This Row],[Exchange rate VS USD]]/60</f>
        <v>1206.343227776</v>
      </c>
      <c r="AP850" s="204">
        <f>Delivery[[#This Row],[AAA Premium (total)]]</f>
        <v>4158.3999999999996</v>
      </c>
      <c r="AQ850" s="204">
        <f>Delivery[[#This Row],[Valor pago pelo Cluster]]-Delivery[[#This Row],[Valor efetivamente pago pela Nespresso]]</f>
        <v>2952.0567722239994</v>
      </c>
    </row>
    <row r="851" spans="1:43" ht="15.75">
      <c r="A851" s="174" t="s">
        <v>69</v>
      </c>
      <c r="B851" s="232" t="s">
        <v>68</v>
      </c>
      <c r="C851" s="157" t="s">
        <v>1344</v>
      </c>
      <c r="D851" s="157" t="s">
        <v>468</v>
      </c>
      <c r="E851" s="177" t="s">
        <v>468</v>
      </c>
      <c r="F851" s="233" t="s">
        <v>543</v>
      </c>
      <c r="G851" s="234">
        <v>43321</v>
      </c>
      <c r="H851" s="157" t="s">
        <v>1635</v>
      </c>
      <c r="I851" s="157" t="s">
        <v>1356</v>
      </c>
      <c r="J851" s="237">
        <v>20793</v>
      </c>
      <c r="K851" s="175" t="s">
        <v>61</v>
      </c>
      <c r="L851" s="175" t="s">
        <v>439</v>
      </c>
      <c r="M851" s="175" t="s">
        <v>1343</v>
      </c>
      <c r="N851" s="198"/>
      <c r="O851" s="199"/>
      <c r="P851" s="181">
        <v>0</v>
      </c>
      <c r="Q851" s="177">
        <v>43319</v>
      </c>
      <c r="R851" s="178">
        <v>417.92066</v>
      </c>
      <c r="S851" s="179">
        <v>151427.32999999999</v>
      </c>
      <c r="T851" s="182" t="s">
        <v>45</v>
      </c>
      <c r="U851" s="183">
        <v>3.7132000000000001</v>
      </c>
      <c r="V851" s="179">
        <v>9018.5300000000007</v>
      </c>
      <c r="W851" s="179">
        <v>0</v>
      </c>
      <c r="X851" s="196" t="s">
        <v>45</v>
      </c>
      <c r="Y851" s="200">
        <v>3.7132000000000001</v>
      </c>
      <c r="Z851" s="220"/>
      <c r="AA851" s="201">
        <f>Delivery[[#This Row],[Quantity delivered]]*VLOOKUP(Delivery[[#This Row],[Unit]],References!$U:$X,4,FALSE)*VLOOKUP(CONCATENATE(Delivery[[#This Row],[Coffee specie]],Delivery[[#This Row],[Coffee state]]),References!$U:$X,4,FALSE)</f>
        <v>20793</v>
      </c>
      <c r="AB851" s="202">
        <f>SUMIF(Allocation!C:C,Delivery[[#This Row],[Delivery ID]],Allocation!D:D)/Delivery[[#This Row],[Quantity delivered]]</f>
        <v>0.35064685230606452</v>
      </c>
      <c r="AC851" s="203">
        <f>Delivery[[#This Row],[Quantity delivered]]*Delivery[[#This Row],[Base price (Unidad)]]/60</f>
        <v>144830.40472299999</v>
      </c>
      <c r="AD851" s="204">
        <f>Delivery[[#This Row],[Nespresso total]]-Delivery[[#This Row],[Qt. Delivery * Base Price]]</f>
        <v>6596.9252770000021</v>
      </c>
      <c r="AE851" s="204">
        <f>Delivery[[#This Row],[AAA Premium (total)]]/Delivery[[#This Row],[Quantity delivered]]*60/Delivery[[#This Row],[Exchange rate VS USD]]</f>
        <v>7.0084424153984708</v>
      </c>
      <c r="AF851" s="204">
        <f>Delivery[[#This Row],[BEN premium (total)]]/Delivery[[#This Row],[Quantity delivered]]*60/Delivery[[#This Row],[Exchange rate for premiums VS USD]]</f>
        <v>0</v>
      </c>
      <c r="AG851" s="204">
        <f>COUNTIF(Delivery[Delivery ID],Delivery[[#This Row],[Delivery ID]])</f>
        <v>1</v>
      </c>
      <c r="AH851" s="204">
        <f>(Delivery[[#This Row],[Nespresso total]]/SUMIF(Allocation!C:C,Delivery[Delivery ID],Allocation!H:H))/Delivery[[#This Row],[Exchange rate VS USD]]</f>
        <v>16.949633036157138</v>
      </c>
      <c r="AI851" s="204">
        <f>(Delivery[[#This Row],[AAA Premium (total)]]/SUMIF(Allocation!C:C,Delivery[Delivery ID],Allocation!H:H))/Delivery[[#This Row],[Exchange rate VS USD]]</f>
        <v>1.00946621739665</v>
      </c>
      <c r="AJ851" s="204">
        <f>Delivery[[#This Row],[Valor Prêmio Nespresso AAA por Kg (em US$)]]*60</f>
        <v>60.567973043799</v>
      </c>
      <c r="AK851" s="204">
        <f>Delivery[[#This Row],[Valor Prêmio Nespresso AAA por saca (em US$)]]/1.3228/100</f>
        <v>0.45787702633655131</v>
      </c>
      <c r="AL851" s="204">
        <f>(Delivery[[#This Row],[BEN premium (total)]]/SUMIF(Allocation!C:C,Delivery[Delivery ID],Allocation!H:H))/Delivery[[#This Row],[Exchange rate for premiums VS USD]]</f>
        <v>0</v>
      </c>
      <c r="AM851" s="204">
        <f>Delivery[[#This Row],[Valor Prêmio Nespresso BEN por Kg (em US$)]]*60</f>
        <v>0</v>
      </c>
      <c r="AN851" s="204">
        <f>Delivery[[#This Row],[Valor Prêmio Nespresso BEN por saca (em US$)]]/1.3228/100</f>
        <v>0</v>
      </c>
      <c r="AO851" s="204">
        <f>SUMIF(Allocation[Delivery ID],Delivery[[#This Row],[Delivery ID]],Allocation[Quantity allocated])*16*1.3228*Delivery[[#This Row],[Exchange rate VS USD]]/60</f>
        <v>3151.4243279359998</v>
      </c>
      <c r="AP851" s="204">
        <f>Delivery[[#This Row],[AAA Premium (total)]]</f>
        <v>9018.5300000000007</v>
      </c>
      <c r="AQ851" s="204">
        <f>Delivery[[#This Row],[Valor pago pelo Cluster]]-Delivery[[#This Row],[Valor efetivamente pago pela Nespresso]]</f>
        <v>5867.1056720640008</v>
      </c>
    </row>
    <row r="852" spans="1:43" ht="15.75">
      <c r="A852" s="174" t="s">
        <v>69</v>
      </c>
      <c r="B852" s="232" t="s">
        <v>68</v>
      </c>
      <c r="C852" s="157" t="s">
        <v>1344</v>
      </c>
      <c r="D852" s="157" t="s">
        <v>468</v>
      </c>
      <c r="E852" s="177" t="s">
        <v>468</v>
      </c>
      <c r="F852" s="233" t="s">
        <v>543</v>
      </c>
      <c r="G852" s="234">
        <v>43328</v>
      </c>
      <c r="H852" s="157" t="s">
        <v>1636</v>
      </c>
      <c r="I852" s="157" t="s">
        <v>1075</v>
      </c>
      <c r="J852" s="237">
        <v>37270</v>
      </c>
      <c r="K852" s="175" t="s">
        <v>61</v>
      </c>
      <c r="L852" s="175" t="s">
        <v>439</v>
      </c>
      <c r="M852" s="175" t="s">
        <v>1343</v>
      </c>
      <c r="N852" s="198"/>
      <c r="O852" s="199"/>
      <c r="P852" s="181">
        <v>0</v>
      </c>
      <c r="Q852" s="177">
        <v>43322</v>
      </c>
      <c r="R852" s="178">
        <v>424.52888000000002</v>
      </c>
      <c r="S852" s="179">
        <v>270940</v>
      </c>
      <c r="T852" s="182" t="s">
        <v>45</v>
      </c>
      <c r="U852" s="183">
        <v>3.8576000000000001</v>
      </c>
      <c r="V852" s="179">
        <v>16740</v>
      </c>
      <c r="W852" s="179">
        <v>0</v>
      </c>
      <c r="X852" s="196" t="s">
        <v>45</v>
      </c>
      <c r="Y852" s="200">
        <v>3.8576000000000001</v>
      </c>
      <c r="Z852" s="220"/>
      <c r="AA852" s="201">
        <f>Delivery[[#This Row],[Quantity delivered]]*VLOOKUP(Delivery[[#This Row],[Unit]],References!$U:$X,4,FALSE)*VLOOKUP(CONCATENATE(Delivery[[#This Row],[Coffee specie]],Delivery[[#This Row],[Coffee state]]),References!$U:$X,4,FALSE)</f>
        <v>37270</v>
      </c>
      <c r="AB852" s="202">
        <f>SUMIF(Allocation!C:C,Delivery[[#This Row],[Delivery ID]],Allocation!D:D)/Delivery[[#This Row],[Quantity delivered]]</f>
        <v>0.76876844647169307</v>
      </c>
      <c r="AC852" s="203">
        <f>Delivery[[#This Row],[Quantity delivered]]*Delivery[[#This Row],[Base price (Unidad)]]/60</f>
        <v>263703.18929333333</v>
      </c>
      <c r="AD852" s="204">
        <f>Delivery[[#This Row],[Nespresso total]]-Delivery[[#This Row],[Qt. Delivery * Base Price]]</f>
        <v>7236.8107066666707</v>
      </c>
      <c r="AE852" s="204">
        <f>Delivery[[#This Row],[AAA Premium (total)]]/Delivery[[#This Row],[Quantity delivered]]*60/Delivery[[#This Row],[Exchange rate VS USD]]</f>
        <v>6.9860247232382386</v>
      </c>
      <c r="AF852" s="204">
        <f>Delivery[[#This Row],[BEN premium (total)]]/Delivery[[#This Row],[Quantity delivered]]*60/Delivery[[#This Row],[Exchange rate for premiums VS USD]]</f>
        <v>0</v>
      </c>
      <c r="AG852" s="204">
        <f>COUNTIF(Delivery[Delivery ID],Delivery[[#This Row],[Delivery ID]])</f>
        <v>1</v>
      </c>
      <c r="AH852" s="204">
        <f>(Delivery[[#This Row],[Nespresso total]]/SUMIF(Allocation!C:C,Delivery[Delivery ID],Allocation!H:H))/Delivery[[#This Row],[Exchange rate VS USD]]</f>
        <v>7.2095441911903642</v>
      </c>
      <c r="AI852" s="204">
        <f>(Delivery[[#This Row],[AAA Premium (total)]]/SUMIF(Allocation!C:C,Delivery[Delivery ID],Allocation!H:H))/Delivery[[#This Row],[Exchange rate VS USD]]</f>
        <v>0.44544094545112084</v>
      </c>
      <c r="AJ852" s="204">
        <f>Delivery[[#This Row],[Valor Prêmio Nespresso AAA por Kg (em US$)]]*60</f>
        <v>26.726456727067252</v>
      </c>
      <c r="AK852" s="204">
        <f>Delivery[[#This Row],[Valor Prêmio Nespresso AAA por saca (em US$)]]/1.3228/100</f>
        <v>0.20204457761617214</v>
      </c>
      <c r="AL852" s="204">
        <f>(Delivery[[#This Row],[BEN premium (total)]]/SUMIF(Allocation!C:C,Delivery[Delivery ID],Allocation!H:H))/Delivery[[#This Row],[Exchange rate for premiums VS USD]]</f>
        <v>0</v>
      </c>
      <c r="AM852" s="204">
        <f>Delivery[[#This Row],[Valor Prêmio Nespresso BEN por Kg (em US$)]]*60</f>
        <v>0</v>
      </c>
      <c r="AN852" s="204">
        <f>Delivery[[#This Row],[Valor Prêmio Nespresso BEN por saca (em US$)]]/1.3228/100</f>
        <v>0</v>
      </c>
      <c r="AO852" s="204">
        <f>SUMIF(Allocation[Delivery ID],Delivery[[#This Row],[Delivery ID]],Allocation[Quantity allocated])*16*1.3228*Delivery[[#This Row],[Exchange rate VS USD]]/60</f>
        <v>13256.480483669333</v>
      </c>
      <c r="AP852" s="204">
        <f>Delivery[[#This Row],[AAA Premium (total)]]</f>
        <v>16740</v>
      </c>
      <c r="AQ852" s="204">
        <f>Delivery[[#This Row],[Valor pago pelo Cluster]]-Delivery[[#This Row],[Valor efetivamente pago pela Nespresso]]</f>
        <v>3483.5195163306671</v>
      </c>
    </row>
    <row r="853" spans="1:43" ht="15.75">
      <c r="A853" s="174" t="s">
        <v>69</v>
      </c>
      <c r="B853" s="232" t="s">
        <v>68</v>
      </c>
      <c r="C853" s="157">
        <v>1</v>
      </c>
      <c r="D853" s="157" t="s">
        <v>468</v>
      </c>
      <c r="E853" s="177" t="s">
        <v>468</v>
      </c>
      <c r="F853" s="233" t="s">
        <v>543</v>
      </c>
      <c r="G853" s="234">
        <v>43328</v>
      </c>
      <c r="H853" s="157" t="s">
        <v>993</v>
      </c>
      <c r="I853" s="157" t="s">
        <v>982</v>
      </c>
      <c r="J853" s="237">
        <v>29220</v>
      </c>
      <c r="K853" s="175" t="s">
        <v>61</v>
      </c>
      <c r="L853" s="175" t="s">
        <v>439</v>
      </c>
      <c r="M853" s="175" t="s">
        <v>1343</v>
      </c>
      <c r="N853" s="198"/>
      <c r="O853" s="199"/>
      <c r="P853" s="181">
        <v>0</v>
      </c>
      <c r="Q853" s="177">
        <v>43249</v>
      </c>
      <c r="R853" s="178">
        <v>473.763125</v>
      </c>
      <c r="S853" s="179">
        <v>230078.52043385699</v>
      </c>
      <c r="T853" s="182" t="s">
        <v>45</v>
      </c>
      <c r="U853" s="183">
        <v>3.7675000000000001</v>
      </c>
      <c r="V853" s="179">
        <v>13185</v>
      </c>
      <c r="W853" s="179">
        <v>4015.7397830714999</v>
      </c>
      <c r="X853" s="196" t="s">
        <v>45</v>
      </c>
      <c r="Y853" s="200">
        <v>3.7675000000000001</v>
      </c>
      <c r="Z853" s="220" t="s">
        <v>473</v>
      </c>
      <c r="AA853" s="201">
        <f>Delivery[[#This Row],[Quantity delivered]]*VLOOKUP(Delivery[[#This Row],[Unit]],References!$U:$X,4,FALSE)*VLOOKUP(CONCATENATE(Delivery[[#This Row],[Coffee specie]],Delivery[[#This Row],[Coffee state]]),References!$U:$X,4,FALSE)</f>
        <v>29220</v>
      </c>
      <c r="AB853" s="202">
        <f>SUMIF(Allocation!C:C,Delivery[[#This Row],[Delivery ID]],Allocation!D:D)/Delivery[[#This Row],[Quantity delivered]]</f>
        <v>1</v>
      </c>
      <c r="AC853" s="203">
        <f>Delivery[[#This Row],[Quantity delivered]]*Delivery[[#This Row],[Base price (Unidad)]]/60</f>
        <v>230722.641875</v>
      </c>
      <c r="AD853" s="204">
        <f>Delivery[[#This Row],[Nespresso total]]-Delivery[[#This Row],[Qt. Delivery * Base Price]]</f>
        <v>-644.12144114301191</v>
      </c>
      <c r="AE853" s="204">
        <f>Delivery[[#This Row],[AAA Premium (total)]]/Delivery[[#This Row],[Quantity delivered]]*60/Delivery[[#This Row],[Exchange rate VS USD]]</f>
        <v>7.1861770328473966</v>
      </c>
      <c r="AF853" s="204">
        <f>Delivery[[#This Row],[BEN premium (total)]]/Delivery[[#This Row],[Quantity delivered]]*60/Delivery[[#This Row],[Exchange rate for premiums VS USD]]</f>
        <v>2.1886854000000002</v>
      </c>
      <c r="AG853" s="204">
        <f>COUNTIF(Delivery[Delivery ID],Delivery[[#This Row],[Delivery ID]])</f>
        <v>1</v>
      </c>
      <c r="AH853" s="204">
        <f>(Delivery[[#This Row],[Nespresso total]]/SUMIF(Allocation!C:C,Delivery[Delivery ID],Allocation!H:H))/Delivery[[#This Row],[Exchange rate VS USD]]</f>
        <v>6.2996990027244291</v>
      </c>
      <c r="AI853" s="204">
        <f>(Delivery[[#This Row],[AAA Premium (total)]]/SUMIF(Allocation!C:C,Delivery[Delivery ID],Allocation!H:H))/Delivery[[#This Row],[Exchange rate VS USD]]</f>
        <v>0.36101384516161356</v>
      </c>
      <c r="AJ853" s="204">
        <f>Delivery[[#This Row],[Valor Prêmio Nespresso AAA por Kg (em US$)]]*60</f>
        <v>21.660830709696814</v>
      </c>
      <c r="AK853" s="204">
        <f>Delivery[[#This Row],[Valor Prêmio Nespresso AAA por saca (em US$)]]/1.3228/100</f>
        <v>0.16374985417067442</v>
      </c>
      <c r="AL853" s="204">
        <f>(Delivery[[#This Row],[BEN premium (total)]]/SUMIF(Allocation!C:C,Delivery[Delivery ID],Allocation!H:H))/Delivery[[#This Row],[Exchange rate for premiums VS USD]]</f>
        <v>0.10995355785021663</v>
      </c>
      <c r="AM853" s="204">
        <f>Delivery[[#This Row],[Valor Prêmio Nespresso BEN por Kg (em US$)]]*60</f>
        <v>6.5972134710129975</v>
      </c>
      <c r="AN853" s="204">
        <f>Delivery[[#This Row],[Valor Prêmio Nespresso BEN por saca (em US$)]]/1.3228/100</f>
        <v>4.9873098510833068E-2</v>
      </c>
      <c r="AO853" s="204">
        <f>SUMIF(Allocation[Delivery ID],Delivery[[#This Row],[Delivery ID]],Allocation[Quantity allocated])*16*1.3228*Delivery[[#This Row],[Exchange rate VS USD]]/60</f>
        <v>12883.064908266668</v>
      </c>
      <c r="AP853" s="204">
        <f>Delivery[[#This Row],[AAA Premium (total)]]</f>
        <v>13185</v>
      </c>
      <c r="AQ853" s="204">
        <f>Delivery[[#This Row],[Valor pago pelo Cluster]]-Delivery[[#This Row],[Valor efetivamente pago pela Nespresso]]</f>
        <v>301.93509173333223</v>
      </c>
    </row>
    <row r="854" spans="1:43" ht="15.75">
      <c r="A854" s="174" t="s">
        <v>69</v>
      </c>
      <c r="B854" s="232" t="s">
        <v>68</v>
      </c>
      <c r="C854" s="157">
        <v>1</v>
      </c>
      <c r="D854" s="157" t="s">
        <v>468</v>
      </c>
      <c r="E854" s="177" t="s">
        <v>468</v>
      </c>
      <c r="F854" s="233" t="s">
        <v>543</v>
      </c>
      <c r="G854" s="234">
        <v>43329</v>
      </c>
      <c r="H854" s="157" t="s">
        <v>994</v>
      </c>
      <c r="I854" s="157" t="s">
        <v>599</v>
      </c>
      <c r="J854" s="237">
        <v>3678</v>
      </c>
      <c r="K854" s="175" t="s">
        <v>61</v>
      </c>
      <c r="L854" s="175" t="s">
        <v>439</v>
      </c>
      <c r="M854" s="175" t="s">
        <v>1343</v>
      </c>
      <c r="N854" s="198"/>
      <c r="O854" s="199"/>
      <c r="P854" s="181">
        <v>0</v>
      </c>
      <c r="Q854" s="177">
        <v>42537</v>
      </c>
      <c r="R854" s="178">
        <v>646.55150000000003</v>
      </c>
      <c r="S854" s="179">
        <v>36340.746096334005</v>
      </c>
      <c r="T854" s="182" t="s">
        <v>45</v>
      </c>
      <c r="U854" s="183">
        <v>4.13</v>
      </c>
      <c r="V854" s="179">
        <v>1792.31</v>
      </c>
      <c r="W854" s="179">
        <v>503.73390366599989</v>
      </c>
      <c r="X854" s="196" t="s">
        <v>45</v>
      </c>
      <c r="Y854" s="200">
        <v>4.13</v>
      </c>
      <c r="Z854" s="220" t="s">
        <v>473</v>
      </c>
      <c r="AA854" s="201">
        <f>Delivery[[#This Row],[Quantity delivered]]*VLOOKUP(Delivery[[#This Row],[Unit]],References!$U:$X,4,FALSE)*VLOOKUP(CONCATENATE(Delivery[[#This Row],[Coffee specie]],Delivery[[#This Row],[Coffee state]]),References!$U:$X,4,FALSE)</f>
        <v>3678</v>
      </c>
      <c r="AB854" s="202">
        <f>SUMIF(Allocation!C:C,Delivery[[#This Row],[Delivery ID]],Allocation!D:D)/Delivery[[#This Row],[Quantity delivered]]</f>
        <v>0.37248504622077216</v>
      </c>
      <c r="AC854" s="203">
        <f>Delivery[[#This Row],[Quantity delivered]]*Delivery[[#This Row],[Base price (Unidad)]]/60</f>
        <v>39633.606950000001</v>
      </c>
      <c r="AD854" s="204">
        <f>Delivery[[#This Row],[Nespresso total]]-Delivery[[#This Row],[Qt. Delivery * Base Price]]</f>
        <v>-3292.8608536659958</v>
      </c>
      <c r="AE854" s="204">
        <f>Delivery[[#This Row],[AAA Premium (total)]]/Delivery[[#This Row],[Quantity delivered]]*60/Delivery[[#This Row],[Exchange rate VS USD]]</f>
        <v>7.0795002547705286</v>
      </c>
      <c r="AF854" s="204">
        <f>Delivery[[#This Row],[BEN premium (total)]]/Delivery[[#This Row],[Quantity delivered]]*60/Delivery[[#This Row],[Exchange rate for premiums VS USD]]</f>
        <v>1.9897139999999993</v>
      </c>
      <c r="AG854" s="204">
        <f>COUNTIF(Delivery[Delivery ID],Delivery[[#This Row],[Delivery ID]])</f>
        <v>1</v>
      </c>
      <c r="AH854" s="204">
        <f>(Delivery[[#This Row],[Nespresso total]]/SUMIF(Allocation!C:C,Delivery[Delivery ID],Allocation!H:H))/Delivery[[#This Row],[Exchange rate VS USD]]</f>
        <v>21.409275255141011</v>
      </c>
      <c r="AI854" s="204">
        <f>(Delivery[[#This Row],[AAA Premium (total)]]/SUMIF(Allocation!C:C,Delivery[Delivery ID],Allocation!H:H))/Delivery[[#This Row],[Exchange rate VS USD]]</f>
        <v>1.0558962667090837</v>
      </c>
      <c r="AJ854" s="204">
        <f>Delivery[[#This Row],[Valor Prêmio Nespresso AAA por Kg (em US$)]]*60</f>
        <v>63.353776002545018</v>
      </c>
      <c r="AK854" s="204">
        <f>Delivery[[#This Row],[Valor Prêmio Nespresso AAA por saca (em US$)]]/1.3228/100</f>
        <v>0.47893692170052177</v>
      </c>
      <c r="AL854" s="204">
        <f>(Delivery[[#This Row],[BEN premium (total)]]/SUMIF(Allocation!C:C,Delivery[Delivery ID],Allocation!H:H))/Delivery[[#This Row],[Exchange rate for premiums VS USD]]</f>
        <v>0.2967626963503649</v>
      </c>
      <c r="AM854" s="204">
        <f>Delivery[[#This Row],[Valor Prêmio Nespresso BEN por Kg (em US$)]]*60</f>
        <v>17.805761781021893</v>
      </c>
      <c r="AN854" s="204">
        <f>Delivery[[#This Row],[Valor Prêmio Nespresso BEN por saca (em US$)]]/1.3228/100</f>
        <v>0.13460660554144158</v>
      </c>
      <c r="AO854" s="204">
        <f>SUMIF(Allocation[Delivery ID],Delivery[[#This Row],[Delivery ID]],Allocation[Quantity allocated])*16*1.3228*Delivery[[#This Row],[Exchange rate VS USD]]/60</f>
        <v>598.76277440000001</v>
      </c>
      <c r="AP854" s="204">
        <f>Delivery[[#This Row],[AAA Premium (total)]]</f>
        <v>1792.31</v>
      </c>
      <c r="AQ854" s="204">
        <f>Delivery[[#This Row],[Valor pago pelo Cluster]]-Delivery[[#This Row],[Valor efetivamente pago pela Nespresso]]</f>
        <v>1193.5472255999998</v>
      </c>
    </row>
    <row r="855" spans="1:43" ht="15.75">
      <c r="A855" s="174" t="s">
        <v>69</v>
      </c>
      <c r="B855" s="232" t="s">
        <v>68</v>
      </c>
      <c r="C855" s="157">
        <v>1</v>
      </c>
      <c r="D855" s="157" t="s">
        <v>468</v>
      </c>
      <c r="E855" s="177" t="s">
        <v>468</v>
      </c>
      <c r="F855" s="233" t="s">
        <v>543</v>
      </c>
      <c r="G855" s="234">
        <v>43329</v>
      </c>
      <c r="H855" s="157" t="s">
        <v>995</v>
      </c>
      <c r="I855" s="157" t="s">
        <v>599</v>
      </c>
      <c r="J855" s="237">
        <v>11153.5</v>
      </c>
      <c r="K855" s="175" t="s">
        <v>61</v>
      </c>
      <c r="L855" s="175" t="s">
        <v>439</v>
      </c>
      <c r="M855" s="175" t="s">
        <v>1343</v>
      </c>
      <c r="N855" s="198"/>
      <c r="O855" s="199"/>
      <c r="P855" s="181">
        <v>0</v>
      </c>
      <c r="Q855" s="177">
        <v>42537</v>
      </c>
      <c r="R855" s="178">
        <v>646.55150000000003</v>
      </c>
      <c r="S855" s="179">
        <v>110202.9517306855</v>
      </c>
      <c r="T855" s="182" t="s">
        <v>45</v>
      </c>
      <c r="U855" s="183">
        <v>4.13</v>
      </c>
      <c r="V855" s="179">
        <v>5435.18</v>
      </c>
      <c r="W855" s="179">
        <v>1527.5682693144997</v>
      </c>
      <c r="X855" s="196" t="s">
        <v>45</v>
      </c>
      <c r="Y855" s="200">
        <v>4.13</v>
      </c>
      <c r="Z855" s="220" t="s">
        <v>473</v>
      </c>
      <c r="AA855" s="201">
        <f>Delivery[[#This Row],[Quantity delivered]]*VLOOKUP(Delivery[[#This Row],[Unit]],References!$U:$X,4,FALSE)*VLOOKUP(CONCATENATE(Delivery[[#This Row],[Coffee specie]],Delivery[[#This Row],[Coffee state]]),References!$U:$X,4,FALSE)</f>
        <v>11153.5</v>
      </c>
      <c r="AB855" s="202">
        <f>SUMIF(Allocation!C:C,Delivery[[#This Row],[Delivery ID]],Allocation!D:D)/Delivery[[#This Row],[Quantity delivered]]</f>
        <v>0.37234948670820817</v>
      </c>
      <c r="AC855" s="203">
        <f>Delivery[[#This Row],[Quantity delivered]]*Delivery[[#This Row],[Base price (Unidad)]]/60</f>
        <v>120188.53592083334</v>
      </c>
      <c r="AD855" s="204">
        <f>Delivery[[#This Row],[Nespresso total]]-Delivery[[#This Row],[Qt. Delivery * Base Price]]</f>
        <v>-9985.5841901478416</v>
      </c>
      <c r="AE855" s="204">
        <f>Delivery[[#This Row],[AAA Premium (total)]]/Delivery[[#This Row],[Quantity delivered]]*60/Delivery[[#This Row],[Exchange rate VS USD]]</f>
        <v>7.0795223727532735</v>
      </c>
      <c r="AF855" s="204">
        <f>Delivery[[#This Row],[BEN premium (total)]]/Delivery[[#This Row],[Quantity delivered]]*60/Delivery[[#This Row],[Exchange rate for premiums VS USD]]</f>
        <v>1.9897139999999998</v>
      </c>
      <c r="AG855" s="204">
        <f>COUNTIF(Delivery[Delivery ID],Delivery[[#This Row],[Delivery ID]])</f>
        <v>1</v>
      </c>
      <c r="AH855" s="204">
        <f>(Delivery[[#This Row],[Nespresso total]]/SUMIF(Allocation!C:C,Delivery[Delivery ID],Allocation!H:H))/Delivery[[#This Row],[Exchange rate VS USD]]</f>
        <v>21.415347850299746</v>
      </c>
      <c r="AI855" s="204">
        <f>(Delivery[[#This Row],[AAA Premium (total)]]/SUMIF(Allocation!C:C,Delivery[Delivery ID],Allocation!H:H))/Delivery[[#This Row],[Exchange rate VS USD]]</f>
        <v>1.0561992079254099</v>
      </c>
      <c r="AJ855" s="204">
        <f>Delivery[[#This Row],[Valor Prêmio Nespresso AAA por Kg (em US$)]]*60</f>
        <v>63.371952475524594</v>
      </c>
      <c r="AK855" s="204">
        <f>Delivery[[#This Row],[Valor Prêmio Nespresso AAA por saca (em US$)]]/1.3228/100</f>
        <v>0.47907433077959327</v>
      </c>
      <c r="AL855" s="204">
        <f>(Delivery[[#This Row],[BEN premium (total)]]/SUMIF(Allocation!C:C,Delivery[Delivery ID],Allocation!H:H))/Delivery[[#This Row],[Exchange rate for premiums VS USD]]</f>
        <v>0.29684691143659708</v>
      </c>
      <c r="AM855" s="204">
        <f>Delivery[[#This Row],[Valor Prêmio Nespresso BEN por Kg (em US$)]]*60</f>
        <v>17.810814686195826</v>
      </c>
      <c r="AN855" s="204">
        <f>Delivery[[#This Row],[Valor Prêmio Nespresso BEN por saca (em US$)]]/1.3228/100</f>
        <v>0.1346448040988496</v>
      </c>
      <c r="AO855" s="204">
        <f>SUMIF(Allocation[Delivery ID],Delivery[[#This Row],[Delivery ID]],Allocation[Quantity allocated])*16*1.3228*Delivery[[#This Row],[Exchange rate VS USD]]/60</f>
        <v>1815.227291733333</v>
      </c>
      <c r="AP855" s="204">
        <f>Delivery[[#This Row],[AAA Premium (total)]]</f>
        <v>5435.18</v>
      </c>
      <c r="AQ855" s="204">
        <f>Delivery[[#This Row],[Valor pago pelo Cluster]]-Delivery[[#This Row],[Valor efetivamente pago pela Nespresso]]</f>
        <v>3619.9527082666673</v>
      </c>
    </row>
    <row r="856" spans="1:43" ht="15.75">
      <c r="A856" s="174" t="s">
        <v>69</v>
      </c>
      <c r="B856" s="232" t="s">
        <v>68</v>
      </c>
      <c r="C856" s="157">
        <v>1</v>
      </c>
      <c r="D856" s="157" t="s">
        <v>468</v>
      </c>
      <c r="E856" s="177" t="s">
        <v>468</v>
      </c>
      <c r="F856" s="233" t="s">
        <v>543</v>
      </c>
      <c r="G856" s="234">
        <v>43329</v>
      </c>
      <c r="H856" s="157" t="s">
        <v>996</v>
      </c>
      <c r="I856" s="157" t="s">
        <v>997</v>
      </c>
      <c r="J856" s="237">
        <v>20080</v>
      </c>
      <c r="K856" s="175" t="s">
        <v>61</v>
      </c>
      <c r="L856" s="175" t="s">
        <v>439</v>
      </c>
      <c r="M856" s="175" t="s">
        <v>1343</v>
      </c>
      <c r="N856" s="198"/>
      <c r="O856" s="199"/>
      <c r="P856" s="181">
        <v>0</v>
      </c>
      <c r="Q856" s="177">
        <v>43322</v>
      </c>
      <c r="R856" s="178">
        <v>424.62792499999995</v>
      </c>
      <c r="S856" s="179">
        <v>140779.6</v>
      </c>
      <c r="T856" s="182" t="s">
        <v>45</v>
      </c>
      <c r="U856" s="183">
        <v>3.8584999999999998</v>
      </c>
      <c r="V856" s="179">
        <v>8944.81</v>
      </c>
      <c r="W856" s="179">
        <v>0</v>
      </c>
      <c r="X856" s="196" t="s">
        <v>45</v>
      </c>
      <c r="Y856" s="200">
        <v>3.8584999999999998</v>
      </c>
      <c r="Z856" s="220"/>
      <c r="AA856" s="201">
        <f>Delivery[[#This Row],[Quantity delivered]]*VLOOKUP(Delivery[[#This Row],[Unit]],References!$U:$X,4,FALSE)*VLOOKUP(CONCATENATE(Delivery[[#This Row],[Coffee specie]],Delivery[[#This Row],[Coffee state]]),References!$U:$X,4,FALSE)</f>
        <v>20080</v>
      </c>
      <c r="AB856" s="202">
        <f>SUMIF(Allocation!C:C,Delivery[[#This Row],[Delivery ID]],Allocation!D:D)/Delivery[[#This Row],[Quantity delivered]]</f>
        <v>1</v>
      </c>
      <c r="AC856" s="203">
        <f>Delivery[[#This Row],[Quantity delivered]]*Delivery[[#This Row],[Base price (Unidad)]]/60</f>
        <v>142108.81223333333</v>
      </c>
      <c r="AD856" s="204">
        <f>Delivery[[#This Row],[Nespresso total]]-Delivery[[#This Row],[Qt. Delivery * Base Price]]</f>
        <v>-1329.2122333333245</v>
      </c>
      <c r="AE856" s="204">
        <f>Delivery[[#This Row],[AAA Premium (total)]]/Delivery[[#This Row],[Quantity delivered]]*60/Delivery[[#This Row],[Exchange rate VS USD]]</f>
        <v>6.9269197668313396</v>
      </c>
      <c r="AF856" s="204">
        <f>Delivery[[#This Row],[BEN premium (total)]]/Delivery[[#This Row],[Quantity delivered]]*60/Delivery[[#This Row],[Exchange rate for premiums VS USD]]</f>
        <v>0</v>
      </c>
      <c r="AG856" s="204">
        <f>COUNTIF(Delivery[Delivery ID],Delivery[[#This Row],[Delivery ID]])</f>
        <v>1</v>
      </c>
      <c r="AH856" s="204">
        <f>(Delivery[[#This Row],[Nespresso total]]/SUMIF(Allocation!C:C,Delivery[Delivery ID],Allocation!H:H))/Delivery[[#This Row],[Exchange rate VS USD]]</f>
        <v>5.4964714216446264</v>
      </c>
      <c r="AI856" s="204">
        <f>(Delivery[[#This Row],[AAA Premium (total)]]/SUMIF(Allocation!C:C,Delivery[Delivery ID],Allocation!H:H))/Delivery[[#This Row],[Exchange rate VS USD]]</f>
        <v>0.3492330745153493</v>
      </c>
      <c r="AJ856" s="204">
        <f>Delivery[[#This Row],[Valor Prêmio Nespresso AAA por Kg (em US$)]]*60</f>
        <v>20.953984470920958</v>
      </c>
      <c r="AK856" s="204">
        <f>Delivery[[#This Row],[Valor Prêmio Nespresso AAA por saca (em US$)]]/1.3228/100</f>
        <v>0.15840629324857089</v>
      </c>
      <c r="AL856" s="204">
        <f>(Delivery[[#This Row],[BEN premium (total)]]/SUMIF(Allocation!C:C,Delivery[Delivery ID],Allocation!H:H))/Delivery[[#This Row],[Exchange rate for premiums VS USD]]</f>
        <v>0</v>
      </c>
      <c r="AM856" s="204">
        <f>Delivery[[#This Row],[Valor Prêmio Nespresso BEN por Kg (em US$)]]*60</f>
        <v>0</v>
      </c>
      <c r="AN856" s="204">
        <f>Delivery[[#This Row],[Valor Prêmio Nespresso BEN por saca (em US$)]]/1.3228/100</f>
        <v>0</v>
      </c>
      <c r="AO856" s="204">
        <f>SUMIF(Allocation[Delivery ID],Delivery[[#This Row],[Delivery ID]],Allocation[Quantity allocated])*16*1.3228*Delivery[[#This Row],[Exchange rate VS USD]]/60</f>
        <v>9034.8026625066668</v>
      </c>
      <c r="AP856" s="204">
        <f>Delivery[[#This Row],[AAA Premium (total)]]</f>
        <v>8944.81</v>
      </c>
      <c r="AQ856" s="204">
        <f>Delivery[[#This Row],[Valor pago pelo Cluster]]-Delivery[[#This Row],[Valor efetivamente pago pela Nespresso]]</f>
        <v>-89.99266250666733</v>
      </c>
    </row>
    <row r="857" spans="1:43" ht="15.75">
      <c r="A857" s="174" t="s">
        <v>69</v>
      </c>
      <c r="B857" s="232" t="s">
        <v>68</v>
      </c>
      <c r="C857" s="157">
        <v>1</v>
      </c>
      <c r="D857" s="157" t="s">
        <v>468</v>
      </c>
      <c r="E857" s="177" t="s">
        <v>468</v>
      </c>
      <c r="F857" s="233" t="s">
        <v>543</v>
      </c>
      <c r="G857" s="234">
        <v>43328</v>
      </c>
      <c r="H857" s="157" t="s">
        <v>998</v>
      </c>
      <c r="I857" s="157" t="s">
        <v>982</v>
      </c>
      <c r="J857" s="237">
        <v>30300</v>
      </c>
      <c r="K857" s="175" t="s">
        <v>61</v>
      </c>
      <c r="L857" s="175" t="s">
        <v>439</v>
      </c>
      <c r="M857" s="175" t="s">
        <v>1343</v>
      </c>
      <c r="N857" s="198"/>
      <c r="O857" s="199"/>
      <c r="P857" s="181">
        <v>0</v>
      </c>
      <c r="Q857" s="177">
        <v>43249</v>
      </c>
      <c r="R857" s="178">
        <v>473.763125</v>
      </c>
      <c r="S857" s="179">
        <v>229781.66903305502</v>
      </c>
      <c r="T857" s="182" t="s">
        <v>45</v>
      </c>
      <c r="U857" s="183">
        <v>3.7675000000000001</v>
      </c>
      <c r="V857" s="179">
        <v>13185</v>
      </c>
      <c r="W857" s="179">
        <v>4164.1654834724995</v>
      </c>
      <c r="X857" s="196" t="s">
        <v>45</v>
      </c>
      <c r="Y857" s="200">
        <v>3.7675000000000001</v>
      </c>
      <c r="Z857" s="220" t="s">
        <v>473</v>
      </c>
      <c r="AA857" s="201">
        <f>Delivery[[#This Row],[Quantity delivered]]*VLOOKUP(Delivery[[#This Row],[Unit]],References!$U:$X,4,FALSE)*VLOOKUP(CONCATENATE(Delivery[[#This Row],[Coffee specie]],Delivery[[#This Row],[Coffee state]]),References!$U:$X,4,FALSE)</f>
        <v>30300</v>
      </c>
      <c r="AB857" s="202">
        <f>SUMIF(Allocation!C:C,Delivery[[#This Row],[Delivery ID]],Allocation!D:D)/Delivery[[#This Row],[Quantity delivered]]</f>
        <v>1</v>
      </c>
      <c r="AC857" s="203">
        <f>Delivery[[#This Row],[Quantity delivered]]*Delivery[[#This Row],[Base price (Unidad)]]/60</f>
        <v>239250.37812499999</v>
      </c>
      <c r="AD857" s="204">
        <f>Delivery[[#This Row],[Nespresso total]]-Delivery[[#This Row],[Qt. Delivery * Base Price]]</f>
        <v>-9468.7090919449693</v>
      </c>
      <c r="AE857" s="204">
        <f>Delivery[[#This Row],[AAA Premium (total)]]/Delivery[[#This Row],[Quantity delivered]]*60/Delivery[[#This Row],[Exchange rate VS USD]]</f>
        <v>6.9300360693003604</v>
      </c>
      <c r="AF857" s="204">
        <f>Delivery[[#This Row],[BEN premium (total)]]/Delivery[[#This Row],[Quantity delivered]]*60/Delivery[[#This Row],[Exchange rate for premiums VS USD]]</f>
        <v>2.1886853999999998</v>
      </c>
      <c r="AG857" s="204">
        <f>COUNTIF(Delivery[Delivery ID],Delivery[[#This Row],[Delivery ID]])</f>
        <v>1</v>
      </c>
      <c r="AH857" s="204">
        <f>(Delivery[[#This Row],[Nespresso total]]/SUMIF(Allocation!C:C,Delivery[Delivery ID],Allocation!H:H))/Delivery[[#This Row],[Exchange rate VS USD]]</f>
        <v>6.0674979564276388</v>
      </c>
      <c r="AI857" s="204">
        <f>(Delivery[[#This Row],[AAA Premium (total)]]/SUMIF(Allocation!C:C,Delivery[Delivery ID],Allocation!H:H))/Delivery[[#This Row],[Exchange rate VS USD]]</f>
        <v>0.34815640817714699</v>
      </c>
      <c r="AJ857" s="204">
        <f>Delivery[[#This Row],[Valor Prêmio Nespresso AAA por Kg (em US$)]]*60</f>
        <v>20.889384490628821</v>
      </c>
      <c r="AK857" s="204">
        <f>Delivery[[#This Row],[Valor Prêmio Nespresso AAA por saca (em US$)]]/1.3228/100</f>
        <v>0.15791793536913232</v>
      </c>
      <c r="AL857" s="204">
        <f>(Delivery[[#This Row],[BEN premium (total)]]/SUMIF(Allocation!C:C,Delivery[Delivery ID],Allocation!H:H))/Delivery[[#This Row],[Exchange rate for premiums VS USD]]</f>
        <v>0.10995683714683645</v>
      </c>
      <c r="AM857" s="204">
        <f>Delivery[[#This Row],[Valor Prêmio Nespresso BEN por Kg (em US$)]]*60</f>
        <v>6.5974102288101868</v>
      </c>
      <c r="AN857" s="204">
        <f>Delivery[[#This Row],[Valor Prêmio Nespresso BEN por saca (em US$)]]/1.3228/100</f>
        <v>4.9874585945042238E-2</v>
      </c>
      <c r="AO857" s="204">
        <f>SUMIF(Allocation[Delivery ID],Delivery[[#This Row],[Delivery ID]],Allocation[Quantity allocated])*16*1.3228*Delivery[[#This Row],[Exchange rate VS USD]]/60</f>
        <v>13358.837266133334</v>
      </c>
      <c r="AP857" s="204">
        <f>Delivery[[#This Row],[AAA Premium (total)]]</f>
        <v>13185</v>
      </c>
      <c r="AQ857" s="204">
        <f>Delivery[[#This Row],[Valor pago pelo Cluster]]-Delivery[[#This Row],[Valor efetivamente pago pela Nespresso]]</f>
        <v>-173.8372661333342</v>
      </c>
    </row>
    <row r="858" spans="1:43" ht="15.75">
      <c r="A858" s="174" t="s">
        <v>69</v>
      </c>
      <c r="B858" s="232" t="s">
        <v>68</v>
      </c>
      <c r="C858" s="157">
        <v>1</v>
      </c>
      <c r="D858" s="157" t="s">
        <v>468</v>
      </c>
      <c r="E858" s="177" t="s">
        <v>468</v>
      </c>
      <c r="F858" s="233" t="s">
        <v>543</v>
      </c>
      <c r="G858" s="234">
        <v>43329</v>
      </c>
      <c r="H858" s="157" t="s">
        <v>999</v>
      </c>
      <c r="I858" s="157" t="s">
        <v>1000</v>
      </c>
      <c r="J858" s="237">
        <v>29980</v>
      </c>
      <c r="K858" s="175" t="s">
        <v>61</v>
      </c>
      <c r="L858" s="175" t="s">
        <v>439</v>
      </c>
      <c r="M858" s="175" t="s">
        <v>1343</v>
      </c>
      <c r="N858" s="198"/>
      <c r="O858" s="199"/>
      <c r="P858" s="181">
        <v>0</v>
      </c>
      <c r="Q858" s="177">
        <v>43138</v>
      </c>
      <c r="R858" s="178">
        <v>446.63126500000004</v>
      </c>
      <c r="S858" s="179">
        <v>220980.25916383549</v>
      </c>
      <c r="T858" s="182" t="s">
        <v>45</v>
      </c>
      <c r="U858" s="183">
        <v>3.3443000000000001</v>
      </c>
      <c r="V858" s="179">
        <v>11705</v>
      </c>
      <c r="W858" s="179">
        <v>3657.3704180822592</v>
      </c>
      <c r="X858" s="196" t="s">
        <v>45</v>
      </c>
      <c r="Y858" s="200">
        <v>3.3443000000000001</v>
      </c>
      <c r="Z858" s="220" t="s">
        <v>473</v>
      </c>
      <c r="AA858" s="201">
        <f>Delivery[[#This Row],[Quantity delivered]]*VLOOKUP(Delivery[[#This Row],[Unit]],References!$U:$X,4,FALSE)*VLOOKUP(CONCATENATE(Delivery[[#This Row],[Coffee specie]],Delivery[[#This Row],[Coffee state]]),References!$U:$X,4,FALSE)</f>
        <v>29980</v>
      </c>
      <c r="AB858" s="202">
        <f>SUMIF(Allocation!C:C,Delivery[[#This Row],[Delivery ID]],Allocation!D:D)/Delivery[[#This Row],[Quantity delivered]]</f>
        <v>1</v>
      </c>
      <c r="AC858" s="203">
        <f>Delivery[[#This Row],[Quantity delivered]]*Delivery[[#This Row],[Base price (Unidad)]]/60</f>
        <v>223166.7554116667</v>
      </c>
      <c r="AD858" s="204">
        <f>Delivery[[#This Row],[Nespresso total]]-Delivery[[#This Row],[Qt. Delivery * Base Price]]</f>
        <v>-2186.4962478312082</v>
      </c>
      <c r="AE858" s="204">
        <f>Delivery[[#This Row],[AAA Premium (total)]]/Delivery[[#This Row],[Quantity delivered]]*60/Delivery[[#This Row],[Exchange rate VS USD]]</f>
        <v>7.0046398582818634</v>
      </c>
      <c r="AF858" s="204">
        <f>Delivery[[#This Row],[BEN premium (total)]]/Delivery[[#This Row],[Quantity delivered]]*60/Delivery[[#This Row],[Exchange rate for premiums VS USD]]</f>
        <v>2.1886853999999993</v>
      </c>
      <c r="AG858" s="204">
        <f>COUNTIF(Delivery[Delivery ID],Delivery[[#This Row],[Delivery ID]])</f>
        <v>1</v>
      </c>
      <c r="AH858" s="204">
        <f>(Delivery[[#This Row],[Nespresso total]]/SUMIF(Allocation!C:C,Delivery[Delivery ID],Allocation!H:H))/Delivery[[#This Row],[Exchange rate VS USD]]</f>
        <v>6.6529083219902301</v>
      </c>
      <c r="AI858" s="204">
        <f>(Delivery[[#This Row],[AAA Premium (total)]]/SUMIF(Allocation!C:C,Delivery[Delivery ID],Allocation!H:H))/Delivery[[#This Row],[Exchange rate VS USD]]</f>
        <v>0.35239478948733094</v>
      </c>
      <c r="AJ858" s="204">
        <f>Delivery[[#This Row],[Valor Prêmio Nespresso AAA por Kg (em US$)]]*60</f>
        <v>21.143687369239856</v>
      </c>
      <c r="AK858" s="204">
        <f>Delivery[[#This Row],[Valor Prêmio Nespresso AAA por saca (em US$)]]/1.3228/100</f>
        <v>0.15984039438493997</v>
      </c>
      <c r="AL858" s="204">
        <f>(Delivery[[#This Row],[BEN premium (total)]]/SUMIF(Allocation!C:C,Delivery[Delivery ID],Allocation!H:H))/Delivery[[#This Row],[Exchange rate for premiums VS USD]]</f>
        <v>0.11011006224325411</v>
      </c>
      <c r="AM858" s="204">
        <f>Delivery[[#This Row],[Valor Prêmio Nespresso BEN por Kg (em US$)]]*60</f>
        <v>6.6066037345952466</v>
      </c>
      <c r="AN858" s="204">
        <f>Delivery[[#This Row],[Valor Prêmio Nespresso BEN por saca (em US$)]]/1.3228/100</f>
        <v>4.9944086291164549E-2</v>
      </c>
      <c r="AO858" s="204">
        <f>SUMIF(Allocation[Delivery ID],Delivery[[#This Row],[Delivery ID]],Allocation[Quantity allocated])*16*1.3228*Delivery[[#This Row],[Exchange rate VS USD]]/60</f>
        <v>11716.687807274668</v>
      </c>
      <c r="AP858" s="204">
        <f>Delivery[[#This Row],[AAA Premium (total)]]</f>
        <v>11705</v>
      </c>
      <c r="AQ858" s="204">
        <f>Delivery[[#This Row],[Valor pago pelo Cluster]]-Delivery[[#This Row],[Valor efetivamente pago pela Nespresso]]</f>
        <v>-11.687807274667648</v>
      </c>
    </row>
    <row r="859" spans="1:43" ht="15.75">
      <c r="A859" s="174" t="s">
        <v>69</v>
      </c>
      <c r="B859" s="232" t="s">
        <v>68</v>
      </c>
      <c r="C859" s="157" t="s">
        <v>1344</v>
      </c>
      <c r="D859" s="157" t="s">
        <v>468</v>
      </c>
      <c r="E859" s="177" t="s">
        <v>468</v>
      </c>
      <c r="F859" s="233" t="s">
        <v>543</v>
      </c>
      <c r="G859" s="234">
        <v>43329</v>
      </c>
      <c r="H859" s="157" t="s">
        <v>1637</v>
      </c>
      <c r="I859" s="157" t="s">
        <v>1638</v>
      </c>
      <c r="J859" s="237">
        <v>24645.5</v>
      </c>
      <c r="K859" s="175" t="s">
        <v>61</v>
      </c>
      <c r="L859" s="175" t="s">
        <v>439</v>
      </c>
      <c r="M859" s="175" t="s">
        <v>1343</v>
      </c>
      <c r="N859" s="198"/>
      <c r="O859" s="199"/>
      <c r="P859" s="181">
        <v>0</v>
      </c>
      <c r="Q859" s="177">
        <v>43326</v>
      </c>
      <c r="R859" s="178">
        <v>422.58075000000002</v>
      </c>
      <c r="S859" s="179">
        <v>170428.39</v>
      </c>
      <c r="T859" s="182" t="s">
        <v>45</v>
      </c>
      <c r="U859" s="183">
        <v>3.8858000000000001</v>
      </c>
      <c r="V859" s="179">
        <v>11168.09</v>
      </c>
      <c r="W859" s="179">
        <v>0</v>
      </c>
      <c r="X859" s="196" t="s">
        <v>45</v>
      </c>
      <c r="Y859" s="200">
        <v>3.8858000000000001</v>
      </c>
      <c r="Z859" s="220"/>
      <c r="AA859" s="201">
        <f>Delivery[[#This Row],[Quantity delivered]]*VLOOKUP(Delivery[[#This Row],[Unit]],References!$U:$X,4,FALSE)*VLOOKUP(CONCATENATE(Delivery[[#This Row],[Coffee specie]],Delivery[[#This Row],[Coffee state]]),References!$U:$X,4,FALSE)</f>
        <v>24645.5</v>
      </c>
      <c r="AB859" s="202">
        <f>SUMIF(Allocation!C:C,Delivery[[#This Row],[Delivery ID]],Allocation!D:D)/Delivery[[#This Row],[Quantity delivered]]</f>
        <v>1</v>
      </c>
      <c r="AC859" s="203">
        <f>Delivery[[#This Row],[Quantity delivered]]*Delivery[[#This Row],[Base price (Unidad)]]/60</f>
        <v>173578.56456875001</v>
      </c>
      <c r="AD859" s="204">
        <f>Delivery[[#This Row],[Nespresso total]]-Delivery[[#This Row],[Qt. Delivery * Base Price]]</f>
        <v>-3150.1745687499933</v>
      </c>
      <c r="AE859" s="204">
        <f>Delivery[[#This Row],[AAA Premium (total)]]/Delivery[[#This Row],[Quantity delivered]]*60/Delivery[[#This Row],[Exchange rate VS USD]]</f>
        <v>6.9970032908006683</v>
      </c>
      <c r="AF859" s="204">
        <f>Delivery[[#This Row],[BEN premium (total)]]/Delivery[[#This Row],[Quantity delivered]]*60/Delivery[[#This Row],[Exchange rate for premiums VS USD]]</f>
        <v>0</v>
      </c>
      <c r="AG859" s="204">
        <f>COUNTIF(Delivery[Delivery ID],Delivery[[#This Row],[Delivery ID]])</f>
        <v>1</v>
      </c>
      <c r="AH859" s="204">
        <f>(Delivery[[#This Row],[Nespresso total]]/SUMIF(Allocation!C:C,Delivery[Delivery ID],Allocation!H:H))/Delivery[[#This Row],[Exchange rate VS USD]]</f>
        <v>5.8729619633575538</v>
      </c>
      <c r="AI859" s="204">
        <f>(Delivery[[#This Row],[AAA Premium (total)]]/SUMIF(Allocation!C:C,Delivery[Delivery ID],Allocation!H:H))/Delivery[[#This Row],[Exchange rate VS USD]]</f>
        <v>0.38485235806871065</v>
      </c>
      <c r="AJ859" s="204">
        <f>Delivery[[#This Row],[Valor Prêmio Nespresso AAA por Kg (em US$)]]*60</f>
        <v>23.091141484122637</v>
      </c>
      <c r="AK859" s="204">
        <f>Delivery[[#This Row],[Valor Prêmio Nespresso AAA por saca (em US$)]]/1.3228/100</f>
        <v>0.17456260571607679</v>
      </c>
      <c r="AL859" s="204">
        <f>(Delivery[[#This Row],[BEN premium (total)]]/SUMIF(Allocation!C:C,Delivery[Delivery ID],Allocation!H:H))/Delivery[[#This Row],[Exchange rate for premiums VS USD]]</f>
        <v>0</v>
      </c>
      <c r="AM859" s="204">
        <f>Delivery[[#This Row],[Valor Prêmio Nespresso BEN por Kg (em US$)]]*60</f>
        <v>0</v>
      </c>
      <c r="AN859" s="204">
        <f>Delivery[[#This Row],[Valor Prêmio Nespresso BEN por saca (em US$)]]/1.3228/100</f>
        <v>0</v>
      </c>
      <c r="AO859" s="204">
        <f>SUMIF(Allocation[Delivery ID],Delivery[[#This Row],[Delivery ID]],Allocation[Quantity allocated])*16*1.3228*Delivery[[#This Row],[Exchange rate VS USD]]/60</f>
        <v>10236.409984085332</v>
      </c>
      <c r="AP859" s="204">
        <f>Delivery[[#This Row],[AAA Premium (total)]]</f>
        <v>11168.09</v>
      </c>
      <c r="AQ859" s="204">
        <f>Delivery[[#This Row],[Valor pago pelo Cluster]]-Delivery[[#This Row],[Valor efetivamente pago pela Nespresso]]</f>
        <v>931.68001591466782</v>
      </c>
    </row>
    <row r="860" spans="1:43" ht="15.75">
      <c r="A860" s="174" t="s">
        <v>69</v>
      </c>
      <c r="B860" s="232" t="s">
        <v>68</v>
      </c>
      <c r="C860" s="157">
        <v>1</v>
      </c>
      <c r="D860" s="157" t="s">
        <v>468</v>
      </c>
      <c r="E860" s="177" t="s">
        <v>468</v>
      </c>
      <c r="F860" s="233" t="s">
        <v>543</v>
      </c>
      <c r="G860" s="234">
        <v>43332</v>
      </c>
      <c r="H860" s="157" t="s">
        <v>1001</v>
      </c>
      <c r="I860" s="157" t="s">
        <v>1002</v>
      </c>
      <c r="J860" s="237">
        <v>32110</v>
      </c>
      <c r="K860" s="175" t="s">
        <v>61</v>
      </c>
      <c r="L860" s="175" t="s">
        <v>439</v>
      </c>
      <c r="M860" s="175" t="s">
        <v>1343</v>
      </c>
      <c r="N860" s="198"/>
      <c r="O860" s="199"/>
      <c r="P860" s="181">
        <v>0</v>
      </c>
      <c r="Q860" s="177">
        <v>43325</v>
      </c>
      <c r="R860" s="178">
        <v>423.09643</v>
      </c>
      <c r="S860" s="179">
        <v>227995.6</v>
      </c>
      <c r="T860" s="182" t="s">
        <v>45</v>
      </c>
      <c r="U860" s="183">
        <v>3.8834</v>
      </c>
      <c r="V860" s="179">
        <v>20779.400000000001</v>
      </c>
      <c r="W860" s="179">
        <v>0</v>
      </c>
      <c r="X860" s="196" t="s">
        <v>45</v>
      </c>
      <c r="Y860" s="200">
        <v>3.8834</v>
      </c>
      <c r="Z860" s="220"/>
      <c r="AA860" s="201">
        <f>Delivery[[#This Row],[Quantity delivered]]*VLOOKUP(Delivery[[#This Row],[Unit]],References!$U:$X,4,FALSE)*VLOOKUP(CONCATENATE(Delivery[[#This Row],[Coffee specie]],Delivery[[#This Row],[Coffee state]]),References!$U:$X,4,FALSE)</f>
        <v>32110</v>
      </c>
      <c r="AB860" s="202">
        <f>SUMIF(Allocation!C:C,Delivery[[#This Row],[Delivery ID]],Allocation!D:D)/Delivery[[#This Row],[Quantity delivered]]</f>
        <v>0.89900342572407355</v>
      </c>
      <c r="AC860" s="203">
        <f>Delivery[[#This Row],[Quantity delivered]]*Delivery[[#This Row],[Base price (Unidad)]]/60</f>
        <v>226427.10612166667</v>
      </c>
      <c r="AD860" s="204">
        <f>Delivery[[#This Row],[Nespresso total]]-Delivery[[#This Row],[Qt. Delivery * Base Price]]</f>
        <v>1568.4938783333346</v>
      </c>
      <c r="AE860" s="204">
        <f>Delivery[[#This Row],[AAA Premium (total)]]/Delivery[[#This Row],[Quantity delivered]]*60/Delivery[[#This Row],[Exchange rate VS USD]]</f>
        <v>9.9984302620708512</v>
      </c>
      <c r="AF860" s="204">
        <f>Delivery[[#This Row],[BEN premium (total)]]/Delivery[[#This Row],[Quantity delivered]]*60/Delivery[[#This Row],[Exchange rate for premiums VS USD]]</f>
        <v>0</v>
      </c>
      <c r="AG860" s="204">
        <f>COUNTIF(Delivery[Delivery ID],Delivery[[#This Row],[Delivery ID]])</f>
        <v>1</v>
      </c>
      <c r="AH860" s="204">
        <f>(Delivery[[#This Row],[Nespresso total]]/SUMIF(Allocation!C:C,Delivery[Delivery ID],Allocation!H:H))/Delivery[[#This Row],[Exchange rate VS USD]]</f>
        <v>4.4212896605529304</v>
      </c>
      <c r="AI860" s="204">
        <f>(Delivery[[#This Row],[AAA Premium (total)]]/SUMIF(Allocation!C:C,Delivery[Delivery ID],Allocation!H:H))/Delivery[[#This Row],[Exchange rate VS USD]]</f>
        <v>0.40295403232559557</v>
      </c>
      <c r="AJ860" s="204">
        <f>Delivery[[#This Row],[Valor Prêmio Nespresso AAA por Kg (em US$)]]*60</f>
        <v>24.177241939535733</v>
      </c>
      <c r="AK860" s="204">
        <f>Delivery[[#This Row],[Valor Prêmio Nespresso AAA por saca (em US$)]]/1.3228/100</f>
        <v>0.18277322300828344</v>
      </c>
      <c r="AL860" s="204">
        <f>(Delivery[[#This Row],[BEN premium (total)]]/SUMIF(Allocation!C:C,Delivery[Delivery ID],Allocation!H:H))/Delivery[[#This Row],[Exchange rate for premiums VS USD]]</f>
        <v>0</v>
      </c>
      <c r="AM860" s="204">
        <f>Delivery[[#This Row],[Valor Prêmio Nespresso BEN por Kg (em US$)]]*60</f>
        <v>0</v>
      </c>
      <c r="AN860" s="204">
        <f>Delivery[[#This Row],[Valor Prêmio Nespresso BEN por saca (em US$)]]/1.3228/100</f>
        <v>0</v>
      </c>
      <c r="AO860" s="204">
        <f>SUMIF(Allocation[Delivery ID],Delivery[[#This Row],[Delivery ID]],Allocation[Quantity allocated])*16*1.3228*Delivery[[#This Row],[Exchange rate VS USD]]/60</f>
        <v>18190.32320642133</v>
      </c>
      <c r="AP860" s="204">
        <f>Delivery[[#This Row],[AAA Premium (total)]]</f>
        <v>20779.400000000001</v>
      </c>
      <c r="AQ860" s="204">
        <f>Delivery[[#This Row],[Valor pago pelo Cluster]]-Delivery[[#This Row],[Valor efetivamente pago pela Nespresso]]</f>
        <v>2589.0767935786716</v>
      </c>
    </row>
    <row r="861" spans="1:43" ht="15.75">
      <c r="A861" s="174" t="s">
        <v>69</v>
      </c>
      <c r="B861" s="232" t="s">
        <v>68</v>
      </c>
      <c r="C861" s="157">
        <v>1</v>
      </c>
      <c r="D861" s="157" t="s">
        <v>468</v>
      </c>
      <c r="E861" s="177" t="s">
        <v>468</v>
      </c>
      <c r="F861" s="233" t="s">
        <v>543</v>
      </c>
      <c r="G861" s="234">
        <v>43332</v>
      </c>
      <c r="H861" s="157" t="s">
        <v>1003</v>
      </c>
      <c r="I861" s="157" t="s">
        <v>974</v>
      </c>
      <c r="J861" s="237">
        <v>32120</v>
      </c>
      <c r="K861" s="175" t="s">
        <v>61</v>
      </c>
      <c r="L861" s="175" t="s">
        <v>439</v>
      </c>
      <c r="M861" s="175" t="s">
        <v>1343</v>
      </c>
      <c r="N861" s="198"/>
      <c r="O861" s="199"/>
      <c r="P861" s="181">
        <v>0</v>
      </c>
      <c r="Q861" s="177">
        <v>43325</v>
      </c>
      <c r="R861" s="178">
        <v>423.09643</v>
      </c>
      <c r="S861" s="179">
        <v>227995.6</v>
      </c>
      <c r="T861" s="182" t="s">
        <v>45</v>
      </c>
      <c r="U861" s="183">
        <v>3.8834</v>
      </c>
      <c r="V861" s="179">
        <v>20779.400000000001</v>
      </c>
      <c r="W861" s="179">
        <v>0</v>
      </c>
      <c r="X861" s="196" t="s">
        <v>45</v>
      </c>
      <c r="Y861" s="200">
        <v>3.8834</v>
      </c>
      <c r="Z861" s="220"/>
      <c r="AA861" s="201">
        <f>Delivery[[#This Row],[Quantity delivered]]*VLOOKUP(Delivery[[#This Row],[Unit]],References!$U:$X,4,FALSE)*VLOOKUP(CONCATENATE(Delivery[[#This Row],[Coffee specie]],Delivery[[#This Row],[Coffee state]]),References!$U:$X,4,FALSE)</f>
        <v>32120</v>
      </c>
      <c r="AB861" s="202">
        <f>SUMIF(Allocation!C:C,Delivery[[#This Row],[Delivery ID]],Allocation!D:D)/Delivery[[#This Row],[Quantity delivered]]</f>
        <v>0.89891033623910332</v>
      </c>
      <c r="AC861" s="203">
        <f>Delivery[[#This Row],[Quantity delivered]]*Delivery[[#This Row],[Base price (Unidad)]]/60</f>
        <v>226497.62219333331</v>
      </c>
      <c r="AD861" s="204">
        <f>Delivery[[#This Row],[Nespresso total]]-Delivery[[#This Row],[Qt. Delivery * Base Price]]</f>
        <v>1497.9778066666913</v>
      </c>
      <c r="AE861" s="204">
        <f>Delivery[[#This Row],[AAA Premium (total)]]/Delivery[[#This Row],[Quantity delivered]]*60/Delivery[[#This Row],[Exchange rate VS USD]]</f>
        <v>9.9953174257501569</v>
      </c>
      <c r="AF861" s="204">
        <f>Delivery[[#This Row],[BEN premium (total)]]/Delivery[[#This Row],[Quantity delivered]]*60/Delivery[[#This Row],[Exchange rate for premiums VS USD]]</f>
        <v>0</v>
      </c>
      <c r="AG861" s="204">
        <f>COUNTIF(Delivery[Delivery ID],Delivery[[#This Row],[Delivery ID]])</f>
        <v>1</v>
      </c>
      <c r="AH861" s="204">
        <f>(Delivery[[#This Row],[Nespresso total]]/SUMIF(Allocation!C:C,Delivery[Delivery ID],Allocation!H:H))/Delivery[[#This Row],[Exchange rate VS USD]]</f>
        <v>4.4202910256348718</v>
      </c>
      <c r="AI861" s="204">
        <f>(Delivery[[#This Row],[AAA Premium (total)]]/SUMIF(Allocation!C:C,Delivery[Delivery ID],Allocation!H:H))/Delivery[[#This Row],[Exchange rate VS USD]]</f>
        <v>0.40286301726032109</v>
      </c>
      <c r="AJ861" s="204">
        <f>Delivery[[#This Row],[Valor Prêmio Nespresso AAA por Kg (em US$)]]*60</f>
        <v>24.171781035619265</v>
      </c>
      <c r="AK861" s="204">
        <f>Delivery[[#This Row],[Valor Prêmio Nespresso AAA por saca (em US$)]]/1.3228/100</f>
        <v>0.18273194009388619</v>
      </c>
      <c r="AL861" s="204">
        <f>(Delivery[[#This Row],[BEN premium (total)]]/SUMIF(Allocation!C:C,Delivery[Delivery ID],Allocation!H:H))/Delivery[[#This Row],[Exchange rate for premiums VS USD]]</f>
        <v>0</v>
      </c>
      <c r="AM861" s="204">
        <f>Delivery[[#This Row],[Valor Prêmio Nespresso BEN por Kg (em US$)]]*60</f>
        <v>0</v>
      </c>
      <c r="AN861" s="204">
        <f>Delivery[[#This Row],[Valor Prêmio Nespresso BEN por saca (em US$)]]/1.3228/100</f>
        <v>0</v>
      </c>
      <c r="AO861" s="204">
        <f>SUMIF(Allocation[Delivery ID],Delivery[[#This Row],[Delivery ID]],Allocation[Quantity allocated])*16*1.3228*Delivery[[#This Row],[Exchange rate VS USD]]/60</f>
        <v>18194.432775637331</v>
      </c>
      <c r="AP861" s="204">
        <f>Delivery[[#This Row],[AAA Premium (total)]]</f>
        <v>20779.400000000001</v>
      </c>
      <c r="AQ861" s="204">
        <f>Delivery[[#This Row],[Valor pago pelo Cluster]]-Delivery[[#This Row],[Valor efetivamente pago pela Nespresso]]</f>
        <v>2584.9672243626701</v>
      </c>
    </row>
    <row r="862" spans="1:43" ht="15.75">
      <c r="A862" s="174" t="s">
        <v>69</v>
      </c>
      <c r="B862" s="232" t="s">
        <v>68</v>
      </c>
      <c r="C862" s="157">
        <v>1</v>
      </c>
      <c r="D862" s="157" t="s">
        <v>468</v>
      </c>
      <c r="E862" s="177" t="s">
        <v>468</v>
      </c>
      <c r="F862" s="233" t="s">
        <v>543</v>
      </c>
      <c r="G862" s="234">
        <v>43332</v>
      </c>
      <c r="H862" s="235" t="s">
        <v>2036</v>
      </c>
      <c r="I862" s="236" t="s">
        <v>1086</v>
      </c>
      <c r="J862" s="237">
        <v>30620</v>
      </c>
      <c r="K862" s="175" t="s">
        <v>61</v>
      </c>
      <c r="L862" s="175" t="s">
        <v>439</v>
      </c>
      <c r="M862" s="175" t="s">
        <v>1343</v>
      </c>
      <c r="N862" s="198"/>
      <c r="O862" s="199"/>
      <c r="P862" s="181">
        <v>0</v>
      </c>
      <c r="Q862" s="177">
        <v>43325</v>
      </c>
      <c r="R862" s="178">
        <v>421.51400499999994</v>
      </c>
      <c r="S862" s="179">
        <v>209661</v>
      </c>
      <c r="T862" s="182" t="s">
        <v>45</v>
      </c>
      <c r="U862" s="183">
        <v>3.8902999999999999</v>
      </c>
      <c r="V862" s="179">
        <v>19839</v>
      </c>
      <c r="W862" s="179">
        <v>0</v>
      </c>
      <c r="X862" s="196" t="s">
        <v>45</v>
      </c>
      <c r="Y862" s="200">
        <v>3.8902999999999999</v>
      </c>
      <c r="Z862" s="220"/>
      <c r="AA862" s="201">
        <f>Delivery[[#This Row],[Quantity delivered]]*VLOOKUP(Delivery[[#This Row],[Unit]],References!$U:$X,4,FALSE)*VLOOKUP(CONCATENATE(Delivery[[#This Row],[Coffee specie]],Delivery[[#This Row],[Coffee state]]),References!$U:$X,4,FALSE)</f>
        <v>30620</v>
      </c>
      <c r="AB862" s="202">
        <f>SUMIF(Allocation!C:C,Delivery[[#This Row],[Delivery ID]],Allocation!D:D)/Delivery[[#This Row],[Quantity delivered]]</f>
        <v>0.83732854343566299</v>
      </c>
      <c r="AC862" s="203">
        <f>Delivery[[#This Row],[Quantity delivered]]*Delivery[[#This Row],[Base price (Unidad)]]/60</f>
        <v>215112.6472183333</v>
      </c>
      <c r="AD862" s="204">
        <f>Delivery[[#This Row],[Nespresso total]]-Delivery[[#This Row],[Qt. Delivery * Base Price]]</f>
        <v>-5451.6472183332953</v>
      </c>
      <c r="AE862" s="204">
        <f>Delivery[[#This Row],[AAA Premium (total)]]/Delivery[[#This Row],[Quantity delivered]]*60/Delivery[[#This Row],[Exchange rate VS USD]]</f>
        <v>9.9926976762935791</v>
      </c>
      <c r="AF862" s="204">
        <f>Delivery[[#This Row],[BEN premium (total)]]/Delivery[[#This Row],[Quantity delivered]]*60/Delivery[[#This Row],[Exchange rate for premiums VS USD]]</f>
        <v>0</v>
      </c>
      <c r="AG862" s="204">
        <f>COUNTIF(Delivery[Delivery ID],Delivery[[#This Row],[Delivery ID]])</f>
        <v>1</v>
      </c>
      <c r="AH862" s="204">
        <f>(Delivery[[#This Row],[Nespresso total]]/SUMIF(Allocation!C:C,Delivery[Delivery ID],Allocation!H:H))/Delivery[[#This Row],[Exchange rate VS USD]]</f>
        <v>5.0044825900607384</v>
      </c>
      <c r="AI862" s="204">
        <f>(Delivery[[#This Row],[AAA Premium (total)]]/SUMIF(Allocation!C:C,Delivery[Delivery ID],Allocation!H:H))/Delivery[[#This Row],[Exchange rate VS USD]]</f>
        <v>0.47354505656376233</v>
      </c>
      <c r="AJ862" s="204">
        <f>Delivery[[#This Row],[Valor Prêmio Nespresso AAA por Kg (em US$)]]*60</f>
        <v>28.412703393825741</v>
      </c>
      <c r="AK862" s="204">
        <f>Delivery[[#This Row],[Valor Prêmio Nespresso AAA por saca (em US$)]]/1.3228/100</f>
        <v>0.2147921333068169</v>
      </c>
      <c r="AL862" s="204">
        <f>(Delivery[[#This Row],[BEN premium (total)]]/SUMIF(Allocation!C:C,Delivery[Delivery ID],Allocation!H:H))/Delivery[[#This Row],[Exchange rate for premiums VS USD]]</f>
        <v>0</v>
      </c>
      <c r="AM862" s="204">
        <f>Delivery[[#This Row],[Valor Prêmio Nespresso BEN por Kg (em US$)]]*60</f>
        <v>0</v>
      </c>
      <c r="AN862" s="204">
        <f>Delivery[[#This Row],[Valor Prêmio Nespresso BEN por saca (em US$)]]/1.3228/100</f>
        <v>0</v>
      </c>
      <c r="AO862" s="204">
        <f>SUMIF(Allocation[Delivery ID],Delivery[[#This Row],[Delivery ID]],Allocation[Quantity allocated])*16*1.3228*Delivery[[#This Row],[Exchange rate VS USD]]/60</f>
        <v>14778.194858122668</v>
      </c>
      <c r="AP862" s="204">
        <f>Delivery[[#This Row],[AAA Premium (total)]]</f>
        <v>19839</v>
      </c>
      <c r="AQ862" s="204">
        <f>Delivery[[#This Row],[Valor pago pelo Cluster]]-Delivery[[#This Row],[Valor efetivamente pago pela Nespresso]]</f>
        <v>5060.8051418773321</v>
      </c>
    </row>
    <row r="863" spans="1:43" ht="15.75">
      <c r="A863" s="174" t="s">
        <v>69</v>
      </c>
      <c r="B863" s="232" t="s">
        <v>68</v>
      </c>
      <c r="C863" s="157">
        <v>1</v>
      </c>
      <c r="D863" s="157" t="s">
        <v>468</v>
      </c>
      <c r="E863" s="177" t="s">
        <v>468</v>
      </c>
      <c r="F863" s="233" t="s">
        <v>543</v>
      </c>
      <c r="G863" s="234">
        <v>43332</v>
      </c>
      <c r="H863" s="157" t="s">
        <v>1004</v>
      </c>
      <c r="I863" s="157" t="s">
        <v>975</v>
      </c>
      <c r="J863" s="237">
        <v>18060</v>
      </c>
      <c r="K863" s="175" t="s">
        <v>61</v>
      </c>
      <c r="L863" s="175" t="s">
        <v>439</v>
      </c>
      <c r="M863" s="175" t="s">
        <v>1343</v>
      </c>
      <c r="N863" s="198"/>
      <c r="O863" s="199"/>
      <c r="P863" s="181">
        <v>0</v>
      </c>
      <c r="Q863" s="177">
        <v>43325</v>
      </c>
      <c r="R863" s="178">
        <v>423.09643</v>
      </c>
      <c r="S863" s="179">
        <v>129552.64</v>
      </c>
      <c r="T863" s="182" t="s">
        <v>45</v>
      </c>
      <c r="U863" s="183">
        <v>3.8834</v>
      </c>
      <c r="V863" s="179">
        <v>11807.36</v>
      </c>
      <c r="W863" s="179">
        <v>0</v>
      </c>
      <c r="X863" s="196" t="s">
        <v>45</v>
      </c>
      <c r="Y863" s="200">
        <v>3.8834</v>
      </c>
      <c r="Z863" s="220"/>
      <c r="AA863" s="201">
        <f>Delivery[[#This Row],[Quantity delivered]]*VLOOKUP(Delivery[[#This Row],[Unit]],References!$U:$X,4,FALSE)*VLOOKUP(CONCATENATE(Delivery[[#This Row],[Coffee specie]],Delivery[[#This Row],[Coffee state]]),References!$U:$X,4,FALSE)</f>
        <v>18060</v>
      </c>
      <c r="AB863" s="202">
        <f>SUMIF(Allocation!C:C,Delivery[[#This Row],[Delivery ID]],Allocation!D:D)/Delivery[[#This Row],[Quantity delivered]]</f>
        <v>0.90132890365448504</v>
      </c>
      <c r="AC863" s="203">
        <f>Delivery[[#This Row],[Quantity delivered]]*Delivery[[#This Row],[Base price (Unidad)]]/60</f>
        <v>127352.02542999999</v>
      </c>
      <c r="AD863" s="204">
        <f>Delivery[[#This Row],[Nespresso total]]-Delivery[[#This Row],[Qt. Delivery * Base Price]]</f>
        <v>2200.6145700000052</v>
      </c>
      <c r="AE863" s="204">
        <f>Delivery[[#This Row],[AAA Premium (total)]]/Delivery[[#This Row],[Quantity delivered]]*60/Delivery[[#This Row],[Exchange rate VS USD]]</f>
        <v>10.101228210988181</v>
      </c>
      <c r="AF863" s="204">
        <f>Delivery[[#This Row],[BEN premium (total)]]/Delivery[[#This Row],[Quantity delivered]]*60/Delivery[[#This Row],[Exchange rate for premiums VS USD]]</f>
        <v>0</v>
      </c>
      <c r="AG863" s="204">
        <f>COUNTIF(Delivery[Delivery ID],Delivery[[#This Row],[Delivery ID]])</f>
        <v>1</v>
      </c>
      <c r="AH863" s="204">
        <f>(Delivery[[#This Row],[Nespresso total]]/SUMIF(Allocation!C:C,Delivery[Delivery ID],Allocation!H:H))/Delivery[[#This Row],[Exchange rate VS USD]]</f>
        <v>4.4552112894287275</v>
      </c>
      <c r="AI863" s="204">
        <f>(Delivery[[#This Row],[AAA Premium (total)]]/SUMIF(Allocation!C:C,Delivery[Delivery ID],Allocation!H:H))/Delivery[[#This Row],[Exchange rate VS USD]]</f>
        <v>0.40604563187866483</v>
      </c>
      <c r="AJ863" s="204">
        <f>Delivery[[#This Row],[Valor Prêmio Nespresso AAA por Kg (em US$)]]*60</f>
        <v>24.36273791271989</v>
      </c>
      <c r="AK863" s="204">
        <f>Delivery[[#This Row],[Valor Prêmio Nespresso AAA por saca (em US$)]]/1.3228/100</f>
        <v>0.18417552096099102</v>
      </c>
      <c r="AL863" s="204">
        <f>(Delivery[[#This Row],[BEN premium (total)]]/SUMIF(Allocation!C:C,Delivery[Delivery ID],Allocation!H:H))/Delivery[[#This Row],[Exchange rate for premiums VS USD]]</f>
        <v>0</v>
      </c>
      <c r="AM863" s="204">
        <f>Delivery[[#This Row],[Valor Prêmio Nespresso BEN por Kg (em US$)]]*60</f>
        <v>0</v>
      </c>
      <c r="AN863" s="204">
        <f>Delivery[[#This Row],[Valor Prêmio Nespresso BEN por saca (em US$)]]/1.3228/100</f>
        <v>0</v>
      </c>
      <c r="AO863" s="204">
        <f>SUMIF(Allocation[Delivery ID],Delivery[[#This Row],[Delivery ID]],Allocation[Quantity allocated])*16*1.3228*Delivery[[#This Row],[Exchange rate VS USD]]/60</f>
        <v>10257.484763135999</v>
      </c>
      <c r="AP863" s="204">
        <f>Delivery[[#This Row],[AAA Premium (total)]]</f>
        <v>11807.36</v>
      </c>
      <c r="AQ863" s="204">
        <f>Delivery[[#This Row],[Valor pago pelo Cluster]]-Delivery[[#This Row],[Valor efetivamente pago pela Nespresso]]</f>
        <v>1549.8752368640016</v>
      </c>
    </row>
    <row r="864" spans="1:43" ht="15.75">
      <c r="A864" s="174" t="s">
        <v>69</v>
      </c>
      <c r="B864" s="232" t="s">
        <v>68</v>
      </c>
      <c r="C864" s="157">
        <v>1</v>
      </c>
      <c r="D864" s="157" t="s">
        <v>468</v>
      </c>
      <c r="E864" s="177" t="s">
        <v>468</v>
      </c>
      <c r="F864" s="233" t="s">
        <v>543</v>
      </c>
      <c r="G864" s="234">
        <v>43332</v>
      </c>
      <c r="H864" s="235" t="s">
        <v>2037</v>
      </c>
      <c r="I864" s="236" t="s">
        <v>1086</v>
      </c>
      <c r="J864" s="237">
        <v>30610</v>
      </c>
      <c r="K864" s="175" t="s">
        <v>61</v>
      </c>
      <c r="L864" s="175" t="s">
        <v>439</v>
      </c>
      <c r="M864" s="175" t="s">
        <v>1343</v>
      </c>
      <c r="N864" s="198"/>
      <c r="O864" s="199"/>
      <c r="P864" s="181">
        <v>0</v>
      </c>
      <c r="Q864" s="177">
        <v>43325</v>
      </c>
      <c r="R864" s="178">
        <v>421.51400499999994</v>
      </c>
      <c r="S864" s="179">
        <v>209661</v>
      </c>
      <c r="T864" s="182" t="s">
        <v>45</v>
      </c>
      <c r="U864" s="183">
        <v>3.8902999999999999</v>
      </c>
      <c r="V864" s="179">
        <v>19839</v>
      </c>
      <c r="W864" s="179">
        <v>0</v>
      </c>
      <c r="X864" s="196" t="s">
        <v>45</v>
      </c>
      <c r="Y864" s="200">
        <v>3.8902999999999999</v>
      </c>
      <c r="Z864" s="220"/>
      <c r="AA864" s="201">
        <f>Delivery[[#This Row],[Quantity delivered]]*VLOOKUP(Delivery[[#This Row],[Unit]],References!$U:$X,4,FALSE)*VLOOKUP(CONCATENATE(Delivery[[#This Row],[Coffee specie]],Delivery[[#This Row],[Coffee state]]),References!$U:$X,4,FALSE)</f>
        <v>30610</v>
      </c>
      <c r="AB864" s="202">
        <f>SUMIF(Allocation!C:C,Delivery[[#This Row],[Delivery ID]],Allocation!D:D)/Delivery[[#This Row],[Quantity delivered]]</f>
        <v>0.83737340738320809</v>
      </c>
      <c r="AC864" s="203">
        <f>Delivery[[#This Row],[Quantity delivered]]*Delivery[[#This Row],[Base price (Unidad)]]/60</f>
        <v>215042.39488416666</v>
      </c>
      <c r="AD864" s="204">
        <f>Delivery[[#This Row],[Nespresso total]]-Delivery[[#This Row],[Qt. Delivery * Base Price]]</f>
        <v>-5381.394884166657</v>
      </c>
      <c r="AE864" s="204">
        <f>Delivery[[#This Row],[AAA Premium (total)]]/Delivery[[#This Row],[Quantity delivered]]*60/Delivery[[#This Row],[Exchange rate VS USD]]</f>
        <v>9.9959621969326822</v>
      </c>
      <c r="AF864" s="204">
        <f>Delivery[[#This Row],[BEN premium (total)]]/Delivery[[#This Row],[Quantity delivered]]*60/Delivery[[#This Row],[Exchange rate for premiums VS USD]]</f>
        <v>0</v>
      </c>
      <c r="AG864" s="204">
        <f>COUNTIF(Delivery[Delivery ID],Delivery[[#This Row],[Delivery ID]])</f>
        <v>1</v>
      </c>
      <c r="AH864" s="204">
        <f>(Delivery[[#This Row],[Nespresso total]]/SUMIF(Allocation!C:C,Delivery[Delivery ID],Allocation!H:H))/Delivery[[#This Row],[Exchange rate VS USD]]</f>
        <v>5.0063421284128271</v>
      </c>
      <c r="AI864" s="204">
        <f>(Delivery[[#This Row],[AAA Premium (total)]]/SUMIF(Allocation!C:C,Delivery[Delivery ID],Allocation!H:H))/Delivery[[#This Row],[Exchange rate VS USD]]</f>
        <v>0.47372101385370713</v>
      </c>
      <c r="AJ864" s="204">
        <f>Delivery[[#This Row],[Valor Prêmio Nespresso AAA por Kg (em US$)]]*60</f>
        <v>28.423260831222429</v>
      </c>
      <c r="AK864" s="204">
        <f>Delivery[[#This Row],[Valor Prêmio Nespresso AAA por saca (em US$)]]/1.3228/100</f>
        <v>0.2148719445964804</v>
      </c>
      <c r="AL864" s="204">
        <f>(Delivery[[#This Row],[BEN premium (total)]]/SUMIF(Allocation!C:C,Delivery[Delivery ID],Allocation!H:H))/Delivery[[#This Row],[Exchange rate for premiums VS USD]]</f>
        <v>0</v>
      </c>
      <c r="AM864" s="204">
        <f>Delivery[[#This Row],[Valor Prêmio Nespresso BEN por Kg (em US$)]]*60</f>
        <v>0</v>
      </c>
      <c r="AN864" s="204">
        <f>Delivery[[#This Row],[Valor Prêmio Nespresso BEN por saca (em US$)]]/1.3228/100</f>
        <v>0</v>
      </c>
      <c r="AO864" s="204">
        <f>SUMIF(Allocation[Delivery ID],Delivery[[#This Row],[Delivery ID]],Allocation[Quantity allocated])*16*1.3228*Delivery[[#This Row],[Exchange rate VS USD]]/60</f>
        <v>14772.705696693332</v>
      </c>
      <c r="AP864" s="204">
        <f>Delivery[[#This Row],[AAA Premium (total)]]</f>
        <v>19839</v>
      </c>
      <c r="AQ864" s="204">
        <f>Delivery[[#This Row],[Valor pago pelo Cluster]]-Delivery[[#This Row],[Valor efetivamente pago pela Nespresso]]</f>
        <v>5066.2943033066676</v>
      </c>
    </row>
    <row r="865" spans="1:43" ht="15.75">
      <c r="A865" s="174" t="s">
        <v>69</v>
      </c>
      <c r="B865" s="232" t="s">
        <v>68</v>
      </c>
      <c r="C865" s="157" t="s">
        <v>1344</v>
      </c>
      <c r="D865" s="157" t="s">
        <v>468</v>
      </c>
      <c r="E865" s="177" t="s">
        <v>468</v>
      </c>
      <c r="F865" s="233" t="s">
        <v>543</v>
      </c>
      <c r="G865" s="234">
        <v>43329</v>
      </c>
      <c r="H865" s="157" t="s">
        <v>1639</v>
      </c>
      <c r="I865" s="157" t="s">
        <v>1075</v>
      </c>
      <c r="J865" s="237">
        <v>10956</v>
      </c>
      <c r="K865" s="175" t="s">
        <v>61</v>
      </c>
      <c r="L865" s="175" t="s">
        <v>439</v>
      </c>
      <c r="M865" s="175" t="s">
        <v>1343</v>
      </c>
      <c r="N865" s="198"/>
      <c r="O865" s="199"/>
      <c r="P865" s="181">
        <v>0</v>
      </c>
      <c r="Q865" s="177">
        <v>43322</v>
      </c>
      <c r="R865" s="178">
        <v>424.52888000000002</v>
      </c>
      <c r="S865" s="179">
        <v>78660</v>
      </c>
      <c r="T865" s="182" t="s">
        <v>45</v>
      </c>
      <c r="U865" s="183">
        <v>3.8576000000000001</v>
      </c>
      <c r="V865" s="179">
        <v>4860</v>
      </c>
      <c r="W865" s="179">
        <v>0</v>
      </c>
      <c r="X865" s="196" t="s">
        <v>45</v>
      </c>
      <c r="Y865" s="200">
        <v>3.8576000000000001</v>
      </c>
      <c r="Z865" s="220"/>
      <c r="AA865" s="201">
        <f>Delivery[[#This Row],[Quantity delivered]]*VLOOKUP(Delivery[[#This Row],[Unit]],References!$U:$X,4,FALSE)*VLOOKUP(CONCATENATE(Delivery[[#This Row],[Coffee specie]],Delivery[[#This Row],[Coffee state]]),References!$U:$X,4,FALSE)</f>
        <v>10956</v>
      </c>
      <c r="AB865" s="202">
        <f>SUMIF(Allocation!C:C,Delivery[[#This Row],[Delivery ID]],Allocation!D:D)/Delivery[[#This Row],[Quantity delivered]]</f>
        <v>0.2824936108068638</v>
      </c>
      <c r="AC865" s="203">
        <f>Delivery[[#This Row],[Quantity delivered]]*Delivery[[#This Row],[Base price (Unidad)]]/60</f>
        <v>77518.973488000003</v>
      </c>
      <c r="AD865" s="204">
        <f>Delivery[[#This Row],[Nespresso total]]-Delivery[[#This Row],[Qt. Delivery * Base Price]]</f>
        <v>1141.0265119999967</v>
      </c>
      <c r="AE865" s="204">
        <f>Delivery[[#This Row],[AAA Premium (total)]]/Delivery[[#This Row],[Quantity delivered]]*60/Delivery[[#This Row],[Exchange rate VS USD]]</f>
        <v>6.8995108672690835</v>
      </c>
      <c r="AF865" s="204">
        <f>Delivery[[#This Row],[BEN premium (total)]]/Delivery[[#This Row],[Quantity delivered]]*60/Delivery[[#This Row],[Exchange rate for premiums VS USD]]</f>
        <v>0</v>
      </c>
      <c r="AG865" s="204">
        <f>COUNTIF(Delivery[Delivery ID],Delivery[[#This Row],[Delivery ID]])</f>
        <v>1</v>
      </c>
      <c r="AH865" s="204">
        <f>(Delivery[[#This Row],[Nespresso total]]/SUMIF(Allocation!C:C,Delivery[Delivery ID],Allocation!H:H))/Delivery[[#This Row],[Exchange rate VS USD]]</f>
        <v>19.383000600858232</v>
      </c>
      <c r="AI865" s="204">
        <f>(Delivery[[#This Row],[AAA Premium (total)]]/SUMIF(Allocation!C:C,Delivery[Delivery ID],Allocation!H:H))/Delivery[[#This Row],[Exchange rate VS USD]]</f>
        <v>1.1975766961628656</v>
      </c>
      <c r="AJ865" s="204">
        <f>Delivery[[#This Row],[Valor Prêmio Nespresso AAA por Kg (em US$)]]*60</f>
        <v>71.854601769771932</v>
      </c>
      <c r="AK865" s="204">
        <f>Delivery[[#This Row],[Valor Prêmio Nespresso AAA por saca (em US$)]]/1.3228/100</f>
        <v>0.54320079959005096</v>
      </c>
      <c r="AL865" s="204">
        <f>(Delivery[[#This Row],[BEN premium (total)]]/SUMIF(Allocation!C:C,Delivery[Delivery ID],Allocation!H:H))/Delivery[[#This Row],[Exchange rate for premiums VS USD]]</f>
        <v>0</v>
      </c>
      <c r="AM865" s="204">
        <f>Delivery[[#This Row],[Valor Prêmio Nespresso BEN por Kg (em US$)]]*60</f>
        <v>0</v>
      </c>
      <c r="AN865" s="204">
        <f>Delivery[[#This Row],[Valor Prêmio Nespresso BEN por saca (em US$)]]/1.3228/100</f>
        <v>0</v>
      </c>
      <c r="AO865" s="204">
        <f>SUMIF(Allocation[Delivery ID],Delivery[[#This Row],[Delivery ID]],Allocation[Quantity allocated])*16*1.3228*Delivery[[#This Row],[Exchange rate VS USD]]/60</f>
        <v>1431.5148294826665</v>
      </c>
      <c r="AP865" s="204">
        <f>Delivery[[#This Row],[AAA Premium (total)]]</f>
        <v>4860</v>
      </c>
      <c r="AQ865" s="204">
        <f>Delivery[[#This Row],[Valor pago pelo Cluster]]-Delivery[[#This Row],[Valor efetivamente pago pela Nespresso]]</f>
        <v>3428.4851705173332</v>
      </c>
    </row>
    <row r="866" spans="1:43" ht="15.75">
      <c r="A866" s="174" t="s">
        <v>69</v>
      </c>
      <c r="B866" s="232" t="s">
        <v>68</v>
      </c>
      <c r="C866" s="157">
        <v>1</v>
      </c>
      <c r="D866" s="157" t="s">
        <v>468</v>
      </c>
      <c r="E866" s="177" t="s">
        <v>468</v>
      </c>
      <c r="F866" s="233" t="s">
        <v>543</v>
      </c>
      <c r="G866" s="234">
        <v>43332</v>
      </c>
      <c r="H866" s="157" t="s">
        <v>1005</v>
      </c>
      <c r="I866" s="157" t="s">
        <v>1006</v>
      </c>
      <c r="J866" s="237">
        <v>5052.5</v>
      </c>
      <c r="K866" s="175" t="s">
        <v>61</v>
      </c>
      <c r="L866" s="175" t="s">
        <v>439</v>
      </c>
      <c r="M866" s="175" t="s">
        <v>1343</v>
      </c>
      <c r="N866" s="198"/>
      <c r="O866" s="199"/>
      <c r="P866" s="181">
        <v>0</v>
      </c>
      <c r="Q866" s="177">
        <v>43326</v>
      </c>
      <c r="R866" s="178">
        <v>419.91637500000002</v>
      </c>
      <c r="S866" s="179">
        <v>35521.51</v>
      </c>
      <c r="T866" s="182" t="s">
        <v>45</v>
      </c>
      <c r="U866" s="183">
        <v>3.8613</v>
      </c>
      <c r="V866" s="179">
        <v>2243.4899999999998</v>
      </c>
      <c r="W866" s="179">
        <v>0</v>
      </c>
      <c r="X866" s="196" t="s">
        <v>45</v>
      </c>
      <c r="Y866" s="200">
        <v>3.8613</v>
      </c>
      <c r="Z866" s="220"/>
      <c r="AA866" s="201">
        <f>Delivery[[#This Row],[Quantity delivered]]*VLOOKUP(Delivery[[#This Row],[Unit]],References!$U:$X,4,FALSE)*VLOOKUP(CONCATENATE(Delivery[[#This Row],[Coffee specie]],Delivery[[#This Row],[Coffee state]]),References!$U:$X,4,FALSE)</f>
        <v>5052.5</v>
      </c>
      <c r="AB866" s="202">
        <f>SUMIF(Allocation!C:C,Delivery[[#This Row],[Delivery ID]],Allocation!D:D)/Delivery[[#This Row],[Quantity delivered]]</f>
        <v>1</v>
      </c>
      <c r="AC866" s="203">
        <f>Delivery[[#This Row],[Quantity delivered]]*Delivery[[#This Row],[Base price (Unidad)]]/60</f>
        <v>35360.458078125004</v>
      </c>
      <c r="AD866" s="204">
        <f>Delivery[[#This Row],[Nespresso total]]-Delivery[[#This Row],[Qt. Delivery * Base Price]]</f>
        <v>161.05192187499779</v>
      </c>
      <c r="AE866" s="204">
        <f>Delivery[[#This Row],[AAA Premium (total)]]/Delivery[[#This Row],[Quantity delivered]]*60/Delivery[[#This Row],[Exchange rate VS USD]]</f>
        <v>6.8997844134528545</v>
      </c>
      <c r="AF866" s="204">
        <f>Delivery[[#This Row],[BEN premium (total)]]/Delivery[[#This Row],[Quantity delivered]]*60/Delivery[[#This Row],[Exchange rate for premiums VS USD]]</f>
        <v>0</v>
      </c>
      <c r="AG866" s="204">
        <f>COUNTIF(Delivery[Delivery ID],Delivery[[#This Row],[Delivery ID]])</f>
        <v>1</v>
      </c>
      <c r="AH866" s="204">
        <f>(Delivery[[#This Row],[Nespresso total]]/SUMIF(Allocation!C:C,Delivery[Delivery ID],Allocation!H:H))/Delivery[[#This Row],[Exchange rate VS USD]]</f>
        <v>4.9115672710444489</v>
      </c>
      <c r="AI866" s="204">
        <f>(Delivery[[#This Row],[AAA Premium (total)]]/SUMIF(Allocation!C:C,Delivery[Delivery ID],Allocation!H:H))/Delivery[[#This Row],[Exchange rate VS USD]]</f>
        <v>0.31020787283298235</v>
      </c>
      <c r="AJ866" s="204">
        <f>Delivery[[#This Row],[Valor Prêmio Nespresso AAA por Kg (em US$)]]*60</f>
        <v>18.612472369978942</v>
      </c>
      <c r="AK866" s="204">
        <f>Delivery[[#This Row],[Valor Prêmio Nespresso AAA por saca (em US$)]]/1.3228/100</f>
        <v>0.14070511316887618</v>
      </c>
      <c r="AL866" s="204">
        <f>(Delivery[[#This Row],[BEN premium (total)]]/SUMIF(Allocation!C:C,Delivery[Delivery ID],Allocation!H:H))/Delivery[[#This Row],[Exchange rate for premiums VS USD]]</f>
        <v>0</v>
      </c>
      <c r="AM866" s="204">
        <f>Delivery[[#This Row],[Valor Prêmio Nespresso BEN por Kg (em US$)]]*60</f>
        <v>0</v>
      </c>
      <c r="AN866" s="204">
        <f>Delivery[[#This Row],[Valor Prêmio Nespresso BEN por saca (em US$)]]/1.3228/100</f>
        <v>0</v>
      </c>
      <c r="AO866" s="204">
        <f>SUMIF(Allocation[Delivery ID],Delivery[[#This Row],[Delivery ID]],Allocation[Quantity allocated])*16*1.3228*Delivery[[#This Row],[Exchange rate VS USD]]/60</f>
        <v>2551.1396985920001</v>
      </c>
      <c r="AP866" s="204">
        <f>Delivery[[#This Row],[AAA Premium (total)]]</f>
        <v>2243.4899999999998</v>
      </c>
      <c r="AQ866" s="204">
        <f>Delivery[[#This Row],[Valor pago pelo Cluster]]-Delivery[[#This Row],[Valor efetivamente pago pela Nespresso]]</f>
        <v>-307.64969859200028</v>
      </c>
    </row>
    <row r="867" spans="1:43" ht="15.75">
      <c r="A867" s="174" t="s">
        <v>69</v>
      </c>
      <c r="B867" s="232" t="s">
        <v>68</v>
      </c>
      <c r="C867" s="157">
        <v>1</v>
      </c>
      <c r="D867" s="157" t="s">
        <v>468</v>
      </c>
      <c r="E867" s="177" t="s">
        <v>468</v>
      </c>
      <c r="F867" s="233" t="s">
        <v>543</v>
      </c>
      <c r="G867" s="234">
        <v>43335</v>
      </c>
      <c r="H867" s="157" t="s">
        <v>1640</v>
      </c>
      <c r="I867" s="236" t="s">
        <v>1641</v>
      </c>
      <c r="J867" s="237">
        <v>4782</v>
      </c>
      <c r="K867" s="175" t="s">
        <v>61</v>
      </c>
      <c r="L867" s="175" t="s">
        <v>439</v>
      </c>
      <c r="M867" s="175" t="s">
        <v>1343</v>
      </c>
      <c r="N867" s="198"/>
      <c r="O867" s="199"/>
      <c r="P867" s="181">
        <v>0</v>
      </c>
      <c r="Q867" s="177">
        <v>43332</v>
      </c>
      <c r="R867" s="178">
        <v>398.49348000000003</v>
      </c>
      <c r="S867" s="179">
        <v>32832</v>
      </c>
      <c r="T867" s="182" t="s">
        <v>45</v>
      </c>
      <c r="U867" s="183">
        <v>3.9592000000000001</v>
      </c>
      <c r="V867" s="179">
        <v>3168</v>
      </c>
      <c r="W867" s="179">
        <v>0</v>
      </c>
      <c r="X867" s="196" t="s">
        <v>45</v>
      </c>
      <c r="Y867" s="200">
        <v>3.9592000000000001</v>
      </c>
      <c r="Z867" s="220"/>
      <c r="AA867" s="201">
        <f>Delivery[[#This Row],[Quantity delivered]]*VLOOKUP(Delivery[[#This Row],[Unit]],References!$U:$X,4,FALSE)*VLOOKUP(CONCATENATE(Delivery[[#This Row],[Coffee specie]],Delivery[[#This Row],[Coffee state]]),References!$U:$X,4,FALSE)</f>
        <v>4782</v>
      </c>
      <c r="AB867" s="202">
        <f>SUMIF(Allocation!C:C,Delivery[[#This Row],[Delivery ID]],Allocation!D:D)/Delivery[[#This Row],[Quantity delivered]]</f>
        <v>1</v>
      </c>
      <c r="AC867" s="203">
        <f>Delivery[[#This Row],[Quantity delivered]]*Delivery[[#This Row],[Base price (Unidad)]]/60</f>
        <v>31759.930356000004</v>
      </c>
      <c r="AD867" s="204">
        <f>Delivery[[#This Row],[Nespresso total]]-Delivery[[#This Row],[Qt. Delivery * Base Price]]</f>
        <v>1072.0696439999956</v>
      </c>
      <c r="AE867" s="204">
        <f>Delivery[[#This Row],[AAA Premium (total)]]/Delivery[[#This Row],[Quantity delivered]]*60/Delivery[[#This Row],[Exchange rate VS USD]]</f>
        <v>10.039669370363148</v>
      </c>
      <c r="AF867" s="204">
        <f>Delivery[[#This Row],[BEN premium (total)]]/Delivery[[#This Row],[Quantity delivered]]*60/Delivery[[#This Row],[Exchange rate for premiums VS USD]]</f>
        <v>0</v>
      </c>
      <c r="AG867" s="204">
        <f>COUNTIF(Delivery[Delivery ID],Delivery[[#This Row],[Delivery ID]])</f>
        <v>1</v>
      </c>
      <c r="AH867" s="204">
        <f>(Delivery[[#This Row],[Nespresso total]]/SUMIF(Allocation!C:C,Delivery[Delivery ID],Allocation!H:H))/Delivery[[#This Row],[Exchange rate VS USD]]</f>
        <v>3.7693565274894838</v>
      </c>
      <c r="AI867" s="204">
        <f>(Delivery[[#This Row],[AAA Premium (total)]]/SUMIF(Allocation!C:C,Delivery[Delivery ID],Allocation!H:H))/Delivery[[#This Row],[Exchange rate VS USD]]</f>
        <v>0.36370984037179227</v>
      </c>
      <c r="AJ867" s="204">
        <f>Delivery[[#This Row],[Valor Prêmio Nespresso AAA por Kg (em US$)]]*60</f>
        <v>21.822590422307535</v>
      </c>
      <c r="AK867" s="204">
        <f>Delivery[[#This Row],[Valor Prêmio Nespresso AAA por saca (em US$)]]/1.3228/100</f>
        <v>0.16497271259682139</v>
      </c>
      <c r="AL867" s="204">
        <f>(Delivery[[#This Row],[BEN premium (total)]]/SUMIF(Allocation!C:C,Delivery[Delivery ID],Allocation!H:H))/Delivery[[#This Row],[Exchange rate for premiums VS USD]]</f>
        <v>0</v>
      </c>
      <c r="AM867" s="204">
        <f>Delivery[[#This Row],[Valor Prêmio Nespresso BEN por Kg (em US$)]]*60</f>
        <v>0</v>
      </c>
      <c r="AN867" s="204">
        <f>Delivery[[#This Row],[Valor Prêmio Nespresso BEN por saca (em US$)]]/1.3228/100</f>
        <v>0</v>
      </c>
      <c r="AO867" s="204">
        <f>SUMIF(Allocation[Delivery ID],Delivery[[#This Row],[Delivery ID]],Allocation[Quantity allocated])*16*1.3228*Delivery[[#This Row],[Exchange rate VS USD]]/60</f>
        <v>3072.5081258666669</v>
      </c>
      <c r="AP867" s="204">
        <f>Delivery[[#This Row],[AAA Premium (total)]]</f>
        <v>3168</v>
      </c>
      <c r="AQ867" s="204">
        <f>Delivery[[#This Row],[Valor pago pelo Cluster]]-Delivery[[#This Row],[Valor efetivamente pago pela Nespresso]]</f>
        <v>95.491874133333113</v>
      </c>
    </row>
    <row r="868" spans="1:43" ht="15.75">
      <c r="A868" s="174" t="s">
        <v>69</v>
      </c>
      <c r="B868" s="232" t="s">
        <v>68</v>
      </c>
      <c r="C868" s="157">
        <v>1</v>
      </c>
      <c r="D868" s="157" t="s">
        <v>468</v>
      </c>
      <c r="E868" s="177" t="s">
        <v>468</v>
      </c>
      <c r="F868" s="233" t="s">
        <v>543</v>
      </c>
      <c r="G868" s="234">
        <v>43335</v>
      </c>
      <c r="H868" s="157" t="s">
        <v>1642</v>
      </c>
      <c r="I868" s="236" t="s">
        <v>1641</v>
      </c>
      <c r="J868" s="237">
        <v>10109.5</v>
      </c>
      <c r="K868" s="175" t="s">
        <v>61</v>
      </c>
      <c r="L868" s="175" t="s">
        <v>439</v>
      </c>
      <c r="M868" s="175" t="s">
        <v>1343</v>
      </c>
      <c r="N868" s="198"/>
      <c r="O868" s="199"/>
      <c r="P868" s="181">
        <v>0</v>
      </c>
      <c r="Q868" s="177">
        <v>43332</v>
      </c>
      <c r="R868" s="178">
        <v>398.59413000000001</v>
      </c>
      <c r="S868" s="179">
        <v>74461.06</v>
      </c>
      <c r="T868" s="182" t="s">
        <v>45</v>
      </c>
      <c r="U868" s="183">
        <v>3.9601999999999999</v>
      </c>
      <c r="V868" s="179">
        <v>10038.6</v>
      </c>
      <c r="W868" s="179">
        <v>0</v>
      </c>
      <c r="X868" s="196" t="s">
        <v>45</v>
      </c>
      <c r="Y868" s="200">
        <v>3.9601999999999999</v>
      </c>
      <c r="Z868" s="220"/>
      <c r="AA868" s="201">
        <f>Delivery[[#This Row],[Quantity delivered]]*VLOOKUP(Delivery[[#This Row],[Unit]],References!$U:$X,4,FALSE)*VLOOKUP(CONCATENATE(Delivery[[#This Row],[Coffee specie]],Delivery[[#This Row],[Coffee state]]),References!$U:$X,4,FALSE)</f>
        <v>10109.5</v>
      </c>
      <c r="AB868" s="202">
        <f>SUMIF(Allocation!C:C,Delivery[[#This Row],[Delivery ID]],Allocation!D:D)/Delivery[[#This Row],[Quantity delivered]]</f>
        <v>0.7394035313319155</v>
      </c>
      <c r="AC868" s="203">
        <f>Delivery[[#This Row],[Quantity delivered]]*Delivery[[#This Row],[Base price (Unidad)]]/60</f>
        <v>67159.789287249994</v>
      </c>
      <c r="AD868" s="204">
        <f>Delivery[[#This Row],[Nespresso total]]-Delivery[[#This Row],[Qt. Delivery * Base Price]]</f>
        <v>7301.2707127500034</v>
      </c>
      <c r="AE868" s="204">
        <f>Delivery[[#This Row],[AAA Premium (total)]]/Delivery[[#This Row],[Quantity delivered]]*60/Delivery[[#This Row],[Exchange rate VS USD]]</f>
        <v>15.044494640661675</v>
      </c>
      <c r="AF868" s="204">
        <f>Delivery[[#This Row],[BEN premium (total)]]/Delivery[[#This Row],[Quantity delivered]]*60/Delivery[[#This Row],[Exchange rate for premiums VS USD]]</f>
        <v>0</v>
      </c>
      <c r="AG868" s="204">
        <f>COUNTIF(Delivery[Delivery ID],Delivery[[#This Row],[Delivery ID]])</f>
        <v>1</v>
      </c>
      <c r="AH868" s="204">
        <f>(Delivery[[#This Row],[Nespresso total]]/SUMIF(Allocation!C:C,Delivery[Delivery ID],Allocation!H:H))/Delivery[[#This Row],[Exchange rate VS USD]]</f>
        <v>4.0574769888312749</v>
      </c>
      <c r="AI868" s="204">
        <f>(Delivery[[#This Row],[AAA Premium (total)]]/SUMIF(Allocation!C:C,Delivery[Delivery ID],Allocation!H:H))/Delivery[[#This Row],[Exchange rate VS USD]]</f>
        <v>0.54701596378135953</v>
      </c>
      <c r="AJ868" s="204">
        <f>Delivery[[#This Row],[Valor Prêmio Nespresso AAA por Kg (em US$)]]*60</f>
        <v>32.820957826881575</v>
      </c>
      <c r="AK868" s="204">
        <f>Delivery[[#This Row],[Valor Prêmio Nespresso AAA por saca (em US$)]]/1.3228/100</f>
        <v>0.24811731045419999</v>
      </c>
      <c r="AL868" s="204">
        <f>(Delivery[[#This Row],[BEN premium (total)]]/SUMIF(Allocation!C:C,Delivery[Delivery ID],Allocation!H:H))/Delivery[[#This Row],[Exchange rate for premiums VS USD]]</f>
        <v>0</v>
      </c>
      <c r="AM868" s="204">
        <f>Delivery[[#This Row],[Valor Prêmio Nespresso BEN por Kg (em US$)]]*60</f>
        <v>0</v>
      </c>
      <c r="AN868" s="204">
        <f>Delivery[[#This Row],[Valor Prêmio Nespresso BEN por saca (em US$)]]/1.3228/100</f>
        <v>0</v>
      </c>
      <c r="AO868" s="204">
        <f>SUMIF(Allocation[Delivery ID],Delivery[[#This Row],[Delivery ID]],Allocation[Quantity allocated])*16*1.3228*Delivery[[#This Row],[Exchange rate VS USD]]/60</f>
        <v>6473.454016810666</v>
      </c>
      <c r="AP868" s="204">
        <f>Delivery[[#This Row],[AAA Premium (total)]]</f>
        <v>10038.6</v>
      </c>
      <c r="AQ868" s="204">
        <f>Delivery[[#This Row],[Valor pago pelo Cluster]]-Delivery[[#This Row],[Valor efetivamente pago pela Nespresso]]</f>
        <v>3565.1459831893344</v>
      </c>
    </row>
    <row r="869" spans="1:43" ht="15.75">
      <c r="A869" s="174" t="s">
        <v>69</v>
      </c>
      <c r="B869" s="232" t="s">
        <v>68</v>
      </c>
      <c r="C869" s="157">
        <v>1</v>
      </c>
      <c r="D869" s="157" t="s">
        <v>468</v>
      </c>
      <c r="E869" s="177" t="s">
        <v>468</v>
      </c>
      <c r="F869" s="233" t="s">
        <v>543</v>
      </c>
      <c r="G869" s="234">
        <v>43334</v>
      </c>
      <c r="H869" s="157" t="s">
        <v>1007</v>
      </c>
      <c r="I869" s="157" t="s">
        <v>979</v>
      </c>
      <c r="J869" s="237">
        <v>31880</v>
      </c>
      <c r="K869" s="175" t="s">
        <v>61</v>
      </c>
      <c r="L869" s="175" t="s">
        <v>439</v>
      </c>
      <c r="M869" s="175" t="s">
        <v>1343</v>
      </c>
      <c r="N869" s="198"/>
      <c r="O869" s="199"/>
      <c r="P869" s="181">
        <v>0</v>
      </c>
      <c r="Q869" s="177">
        <v>43328</v>
      </c>
      <c r="R869" s="178">
        <v>413.43048999999996</v>
      </c>
      <c r="S869" s="179">
        <v>223262.5</v>
      </c>
      <c r="T869" s="182" t="s">
        <v>45</v>
      </c>
      <c r="U869" s="183">
        <v>3.8746999999999998</v>
      </c>
      <c r="V869" s="179">
        <v>20537.5</v>
      </c>
      <c r="W869" s="179">
        <v>0</v>
      </c>
      <c r="X869" s="196" t="s">
        <v>45</v>
      </c>
      <c r="Y869" s="200">
        <v>3.8746999999999998</v>
      </c>
      <c r="Z869" s="220"/>
      <c r="AA869" s="201">
        <f>Delivery[[#This Row],[Quantity delivered]]*VLOOKUP(Delivery[[#This Row],[Unit]],References!$U:$X,4,FALSE)*VLOOKUP(CONCATENATE(Delivery[[#This Row],[Coffee specie]],Delivery[[#This Row],[Coffee state]]),References!$U:$X,4,FALSE)</f>
        <v>31880</v>
      </c>
      <c r="AB869" s="202">
        <f>SUMIF(Allocation!C:C,Delivery[[#This Row],[Delivery ID]],Allocation!D:D)/Delivery[[#This Row],[Quantity delivered]]</f>
        <v>1</v>
      </c>
      <c r="AC869" s="203">
        <f>Delivery[[#This Row],[Quantity delivered]]*Delivery[[#This Row],[Base price (Unidad)]]/60</f>
        <v>219669.40035333333</v>
      </c>
      <c r="AD869" s="204">
        <f>Delivery[[#This Row],[Nespresso total]]-Delivery[[#This Row],[Qt. Delivery * Base Price]]</f>
        <v>3593.0996466666693</v>
      </c>
      <c r="AE869" s="204">
        <f>Delivery[[#This Row],[AAA Premium (total)]]/Delivery[[#This Row],[Quantity delivered]]*60/Delivery[[#This Row],[Exchange rate VS USD]]</f>
        <v>9.9756782076850961</v>
      </c>
      <c r="AF869" s="204">
        <f>Delivery[[#This Row],[BEN premium (total)]]/Delivery[[#This Row],[Quantity delivered]]*60/Delivery[[#This Row],[Exchange rate for premiums VS USD]]</f>
        <v>0</v>
      </c>
      <c r="AG869" s="204">
        <f>COUNTIF(Delivery[Delivery ID],Delivery[[#This Row],[Delivery ID]])</f>
        <v>1</v>
      </c>
      <c r="AH869" s="204">
        <f>(Delivery[[#This Row],[Nespresso total]]/SUMIF(Allocation!C:C,Delivery[Delivery ID],Allocation!H:H))/Delivery[[#This Row],[Exchange rate VS USD]]</f>
        <v>4.4079398700397672</v>
      </c>
      <c r="AI869" s="204">
        <f>(Delivery[[#This Row],[AAA Premium (total)]]/SUMIF(Allocation!C:C,Delivery[Delivery ID],Allocation!H:H))/Delivery[[#This Row],[Exchange rate VS USD]]</f>
        <v>0.40547814828258988</v>
      </c>
      <c r="AJ869" s="204">
        <f>Delivery[[#This Row],[Valor Prêmio Nespresso AAA por Kg (em US$)]]*60</f>
        <v>24.328688896955391</v>
      </c>
      <c r="AK869" s="204">
        <f>Delivery[[#This Row],[Valor Prêmio Nespresso AAA por saca (em US$)]]/1.3228/100</f>
        <v>0.18391811987417139</v>
      </c>
      <c r="AL869" s="204">
        <f>(Delivery[[#This Row],[BEN premium (total)]]/SUMIF(Allocation!C:C,Delivery[Delivery ID],Allocation!H:H))/Delivery[[#This Row],[Exchange rate for premiums VS USD]]</f>
        <v>0</v>
      </c>
      <c r="AM869" s="204">
        <f>Delivery[[#This Row],[Valor Prêmio Nespresso BEN por Kg (em US$)]]*60</f>
        <v>0</v>
      </c>
      <c r="AN869" s="204">
        <f>Delivery[[#This Row],[Valor Prêmio Nespresso BEN por saca (em US$)]]/1.3228/100</f>
        <v>0</v>
      </c>
      <c r="AO869" s="204">
        <f>SUMIF(Allocation[Delivery ID],Delivery[[#This Row],[Delivery ID]],Allocation[Quantity allocated])*16*1.3228*Delivery[[#This Row],[Exchange rate VS USD]]/60</f>
        <v>17866.64632200533</v>
      </c>
      <c r="AP869" s="204">
        <f>Delivery[[#This Row],[AAA Premium (total)]]</f>
        <v>20537.5</v>
      </c>
      <c r="AQ869" s="204">
        <f>Delivery[[#This Row],[Valor pago pelo Cluster]]-Delivery[[#This Row],[Valor efetivamente pago pela Nespresso]]</f>
        <v>2670.8536779946699</v>
      </c>
    </row>
    <row r="870" spans="1:43" ht="15.75">
      <c r="A870" s="174" t="s">
        <v>69</v>
      </c>
      <c r="B870" s="232" t="s">
        <v>68</v>
      </c>
      <c r="C870" s="157" t="s">
        <v>1344</v>
      </c>
      <c r="D870" s="157" t="s">
        <v>468</v>
      </c>
      <c r="E870" s="177" t="s">
        <v>468</v>
      </c>
      <c r="F870" s="233" t="s">
        <v>543</v>
      </c>
      <c r="G870" s="234">
        <v>43335</v>
      </c>
      <c r="H870" s="157" t="s">
        <v>1643</v>
      </c>
      <c r="I870" s="157" t="s">
        <v>935</v>
      </c>
      <c r="J870" s="237">
        <v>6281.5</v>
      </c>
      <c r="K870" s="175" t="s">
        <v>61</v>
      </c>
      <c r="L870" s="175" t="s">
        <v>439</v>
      </c>
      <c r="M870" s="175" t="s">
        <v>1343</v>
      </c>
      <c r="N870" s="198"/>
      <c r="O870" s="199"/>
      <c r="P870" s="181">
        <v>0</v>
      </c>
      <c r="Q870" s="177">
        <v>43329</v>
      </c>
      <c r="R870" s="178">
        <v>409.31405000000001</v>
      </c>
      <c r="S870" s="179">
        <v>43016.4</v>
      </c>
      <c r="T870" s="182" t="s">
        <v>45</v>
      </c>
      <c r="U870" s="183">
        <v>3.9394999999999998</v>
      </c>
      <c r="V870" s="179">
        <v>2895.9</v>
      </c>
      <c r="W870" s="179">
        <v>0</v>
      </c>
      <c r="X870" s="196" t="s">
        <v>45</v>
      </c>
      <c r="Y870" s="200">
        <v>3.9394999999999998</v>
      </c>
      <c r="Z870" s="220"/>
      <c r="AA870" s="201">
        <f>Delivery[[#This Row],[Quantity delivered]]*VLOOKUP(Delivery[[#This Row],[Unit]],References!$U:$X,4,FALSE)*VLOOKUP(CONCATENATE(Delivery[[#This Row],[Coffee specie]],Delivery[[#This Row],[Coffee state]]),References!$U:$X,4,FALSE)</f>
        <v>6281.5</v>
      </c>
      <c r="AB870" s="202">
        <f>SUMIF(Allocation!C:C,Delivery[[#This Row],[Delivery ID]],Allocation!D:D)/Delivery[[#This Row],[Quantity delivered]]</f>
        <v>0.13149725384064315</v>
      </c>
      <c r="AC870" s="203">
        <f>Delivery[[#This Row],[Quantity delivered]]*Delivery[[#This Row],[Base price (Unidad)]]/60</f>
        <v>42851.770084583331</v>
      </c>
      <c r="AD870" s="204">
        <f>Delivery[[#This Row],[Nespresso total]]-Delivery[[#This Row],[Qt. Delivery * Base Price]]</f>
        <v>164.62991541666997</v>
      </c>
      <c r="AE870" s="204">
        <f>Delivery[[#This Row],[AAA Premium (total)]]/Delivery[[#This Row],[Quantity delivered]]*60/Delivery[[#This Row],[Exchange rate VS USD]]</f>
        <v>7.0215071490885332</v>
      </c>
      <c r="AF870" s="204">
        <f>Delivery[[#This Row],[BEN premium (total)]]/Delivery[[#This Row],[Quantity delivered]]*60/Delivery[[#This Row],[Exchange rate for premiums VS USD]]</f>
        <v>0</v>
      </c>
      <c r="AG870" s="204">
        <f>COUNTIF(Delivery[Delivery ID],Delivery[[#This Row],[Delivery ID]])</f>
        <v>1</v>
      </c>
      <c r="AH870" s="204">
        <f>(Delivery[[#This Row],[Nespresso total]]/SUMIF(Allocation!C:C,Delivery[Delivery ID],Allocation!H:H))/Delivery[[#This Row],[Exchange rate VS USD]]</f>
        <v>37.782884817993263</v>
      </c>
      <c r="AI870" s="204">
        <f>(Delivery[[#This Row],[AAA Premium (total)]]/SUMIF(Allocation!C:C,Delivery[Delivery ID],Allocation!H:H))/Delivery[[#This Row],[Exchange rate VS USD]]</f>
        <v>2.5435753839100128</v>
      </c>
      <c r="AJ870" s="204">
        <f>Delivery[[#This Row],[Valor Prêmio Nespresso AAA por Kg (em US$)]]*60</f>
        <v>152.61452303460078</v>
      </c>
      <c r="AK870" s="204">
        <f>Delivery[[#This Row],[Valor Prêmio Nespresso AAA por saca (em US$)]]/1.3228/100</f>
        <v>1.1537233371227757</v>
      </c>
      <c r="AL870" s="204">
        <f>(Delivery[[#This Row],[BEN premium (total)]]/SUMIF(Allocation!C:C,Delivery[Delivery ID],Allocation!H:H))/Delivery[[#This Row],[Exchange rate for premiums VS USD]]</f>
        <v>0</v>
      </c>
      <c r="AM870" s="204">
        <f>Delivery[[#This Row],[Valor Prêmio Nespresso BEN por Kg (em US$)]]*60</f>
        <v>0</v>
      </c>
      <c r="AN870" s="204">
        <f>Delivery[[#This Row],[Valor Prêmio Nespresso BEN por saca (em US$)]]/1.3228/100</f>
        <v>0</v>
      </c>
      <c r="AO870" s="204">
        <f>SUMIF(Allocation[Delivery ID],Delivery[[#This Row],[Delivery ID]],Allocation[Quantity allocated])*16*1.3228*Delivery[[#This Row],[Exchange rate VS USD]]/60</f>
        <v>401.60754757333331</v>
      </c>
      <c r="AP870" s="204">
        <f>Delivery[[#This Row],[AAA Premium (total)]]</f>
        <v>2895.9</v>
      </c>
      <c r="AQ870" s="204">
        <f>Delivery[[#This Row],[Valor pago pelo Cluster]]-Delivery[[#This Row],[Valor efetivamente pago pela Nespresso]]</f>
        <v>2494.2924524266668</v>
      </c>
    </row>
    <row r="871" spans="1:43" ht="15.75">
      <c r="A871" s="174" t="s">
        <v>69</v>
      </c>
      <c r="B871" s="232" t="s">
        <v>68</v>
      </c>
      <c r="C871" s="157" t="s">
        <v>1344</v>
      </c>
      <c r="D871" s="157" t="s">
        <v>468</v>
      </c>
      <c r="E871" s="177" t="s">
        <v>468</v>
      </c>
      <c r="F871" s="233" t="s">
        <v>543</v>
      </c>
      <c r="G871" s="234">
        <v>43335</v>
      </c>
      <c r="H871" s="157" t="s">
        <v>1644</v>
      </c>
      <c r="I871" s="157" t="s">
        <v>935</v>
      </c>
      <c r="J871" s="237">
        <v>26623.5</v>
      </c>
      <c r="K871" s="175" t="s">
        <v>61</v>
      </c>
      <c r="L871" s="175" t="s">
        <v>439</v>
      </c>
      <c r="M871" s="175" t="s">
        <v>1343</v>
      </c>
      <c r="N871" s="198"/>
      <c r="O871" s="199"/>
      <c r="P871" s="181">
        <v>0</v>
      </c>
      <c r="Q871" s="177">
        <v>43329</v>
      </c>
      <c r="R871" s="178">
        <v>409.2475</v>
      </c>
      <c r="S871" s="179">
        <v>174927.72</v>
      </c>
      <c r="T871" s="182" t="s">
        <v>45</v>
      </c>
      <c r="U871" s="183">
        <v>3.9125000000000001</v>
      </c>
      <c r="V871" s="179">
        <v>17412.849999999999</v>
      </c>
      <c r="W871" s="179">
        <v>0</v>
      </c>
      <c r="X871" s="196" t="s">
        <v>45</v>
      </c>
      <c r="Y871" s="200">
        <v>3.9125000000000001</v>
      </c>
      <c r="Z871" s="220"/>
      <c r="AA871" s="201">
        <f>Delivery[[#This Row],[Quantity delivered]]*VLOOKUP(Delivery[[#This Row],[Unit]],References!$U:$X,4,FALSE)*VLOOKUP(CONCATENATE(Delivery[[#This Row],[Coffee specie]],Delivery[[#This Row],[Coffee state]]),References!$U:$X,4,FALSE)</f>
        <v>26623.5</v>
      </c>
      <c r="AB871" s="202">
        <f>SUMIF(Allocation!C:C,Delivery[[#This Row],[Delivery ID]],Allocation!D:D)/Delivery[[#This Row],[Quantity delivered]]</f>
        <v>0.70914793321689484</v>
      </c>
      <c r="AC871" s="203">
        <f>Delivery[[#This Row],[Quantity delivered]]*Delivery[[#This Row],[Base price (Unidad)]]/60</f>
        <v>181593.3469375</v>
      </c>
      <c r="AD871" s="204">
        <f>Delivery[[#This Row],[Nespresso total]]-Delivery[[#This Row],[Qt. Delivery * Base Price]]</f>
        <v>-6665.6269374999974</v>
      </c>
      <c r="AE871" s="204">
        <f>Delivery[[#This Row],[AAA Premium (total)]]/Delivery[[#This Row],[Quantity delivered]]*60/Delivery[[#This Row],[Exchange rate VS USD]]</f>
        <v>10.030015640533769</v>
      </c>
      <c r="AF871" s="204">
        <f>Delivery[[#This Row],[BEN premium (total)]]/Delivery[[#This Row],[Quantity delivered]]*60/Delivery[[#This Row],[Exchange rate for premiums VS USD]]</f>
        <v>0</v>
      </c>
      <c r="AG871" s="204">
        <f>COUNTIF(Delivery[Delivery ID],Delivery[[#This Row],[Delivery ID]])</f>
        <v>1</v>
      </c>
      <c r="AH871" s="204">
        <f>(Delivery[[#This Row],[Nespresso total]]/SUMIF(Allocation!C:C,Delivery[Delivery ID],Allocation!H:H))/Delivery[[#This Row],[Exchange rate VS USD]]</f>
        <v>5.9202807711052143</v>
      </c>
      <c r="AI871" s="204">
        <f>(Delivery[[#This Row],[AAA Premium (total)]]/SUMIF(Allocation!C:C,Delivery[Delivery ID],Allocation!H:H))/Delivery[[#This Row],[Exchange rate VS USD]]</f>
        <v>0.5893231845995559</v>
      </c>
      <c r="AJ871" s="204">
        <f>Delivery[[#This Row],[Valor Prêmio Nespresso AAA por Kg (em US$)]]*60</f>
        <v>35.359391075973356</v>
      </c>
      <c r="AK871" s="204">
        <f>Delivery[[#This Row],[Valor Prêmio Nespresso AAA por saca (em US$)]]/1.3228/100</f>
        <v>0.26730715963088414</v>
      </c>
      <c r="AL871" s="204">
        <f>(Delivery[[#This Row],[BEN premium (total)]]/SUMIF(Allocation!C:C,Delivery[Delivery ID],Allocation!H:H))/Delivery[[#This Row],[Exchange rate for premiums VS USD]]</f>
        <v>0</v>
      </c>
      <c r="AM871" s="204">
        <f>Delivery[[#This Row],[Valor Prêmio Nespresso BEN por Kg (em US$)]]*60</f>
        <v>0</v>
      </c>
      <c r="AN871" s="204">
        <f>Delivery[[#This Row],[Valor Prêmio Nespresso BEN por saca (em US$)]]/1.3228/100</f>
        <v>0</v>
      </c>
      <c r="AO871" s="204">
        <f>SUMIF(Allocation[Delivery ID],Delivery[[#This Row],[Delivery ID]],Allocation[Quantity allocated])*16*1.3228*Delivery[[#This Row],[Exchange rate VS USD]]/60</f>
        <v>10422.676309333332</v>
      </c>
      <c r="AP871" s="204">
        <f>Delivery[[#This Row],[AAA Premium (total)]]</f>
        <v>17412.849999999999</v>
      </c>
      <c r="AQ871" s="204">
        <f>Delivery[[#This Row],[Valor pago pelo Cluster]]-Delivery[[#This Row],[Valor efetivamente pago pela Nespresso]]</f>
        <v>6990.1736906666665</v>
      </c>
    </row>
    <row r="872" spans="1:43" ht="15.75">
      <c r="A872" s="174" t="s">
        <v>69</v>
      </c>
      <c r="B872" s="232" t="s">
        <v>68</v>
      </c>
      <c r="C872" s="157">
        <v>1</v>
      </c>
      <c r="D872" s="157" t="s">
        <v>468</v>
      </c>
      <c r="E872" s="177" t="s">
        <v>468</v>
      </c>
      <c r="F872" s="233" t="s">
        <v>543</v>
      </c>
      <c r="G872" s="234">
        <v>43336</v>
      </c>
      <c r="H872" s="157" t="s">
        <v>1008</v>
      </c>
      <c r="I872" s="157" t="s">
        <v>1009</v>
      </c>
      <c r="J872" s="237">
        <v>31840</v>
      </c>
      <c r="K872" s="175" t="s">
        <v>61</v>
      </c>
      <c r="L872" s="175" t="s">
        <v>439</v>
      </c>
      <c r="M872" s="175" t="s">
        <v>1343</v>
      </c>
      <c r="N872" s="198"/>
      <c r="O872" s="199"/>
      <c r="P872" s="181">
        <v>0</v>
      </c>
      <c r="Q872" s="177">
        <v>43332</v>
      </c>
      <c r="R872" s="178">
        <v>398.41296000000006</v>
      </c>
      <c r="S872" s="179">
        <v>210283.87443502081</v>
      </c>
      <c r="T872" s="182" t="s">
        <v>45</v>
      </c>
      <c r="U872" s="183">
        <v>3.9584000000000001</v>
      </c>
      <c r="V872" s="179">
        <v>20977.4</v>
      </c>
      <c r="W872" s="179">
        <v>6269.3627824895993</v>
      </c>
      <c r="X872" s="196" t="s">
        <v>45</v>
      </c>
      <c r="Y872" s="200">
        <v>3.9584000000000001</v>
      </c>
      <c r="Z872" s="220" t="s">
        <v>473</v>
      </c>
      <c r="AA872" s="201">
        <f>Delivery[[#This Row],[Quantity delivered]]*VLOOKUP(Delivery[[#This Row],[Unit]],References!$U:$X,4,FALSE)*VLOOKUP(CONCATENATE(Delivery[[#This Row],[Coffee specie]],Delivery[[#This Row],[Coffee state]]),References!$U:$X,4,FALSE)</f>
        <v>31840</v>
      </c>
      <c r="AB872" s="202">
        <f>SUMIF(Allocation!C:C,Delivery[[#This Row],[Delivery ID]],Allocation!D:D)/Delivery[[#This Row],[Quantity delivered]]</f>
        <v>1</v>
      </c>
      <c r="AC872" s="203">
        <f>Delivery[[#This Row],[Quantity delivered]]*Delivery[[#This Row],[Base price (Unidad)]]/60</f>
        <v>211424.47744000002</v>
      </c>
      <c r="AD872" s="204">
        <f>Delivery[[#This Row],[Nespresso total]]-Delivery[[#This Row],[Qt. Delivery * Base Price]]</f>
        <v>-1140.6030049792025</v>
      </c>
      <c r="AE872" s="204">
        <f>Delivery[[#This Row],[AAA Premium (total)]]/Delivery[[#This Row],[Quantity delivered]]*60/Delivery[[#This Row],[Exchange rate VS USD]]</f>
        <v>9.9864279461170025</v>
      </c>
      <c r="AF872" s="204">
        <f>Delivery[[#This Row],[BEN premium (total)]]/Delivery[[#This Row],[Quantity delivered]]*60/Delivery[[#This Row],[Exchange rate for premiums VS USD]]</f>
        <v>2.9845709999999999</v>
      </c>
      <c r="AG872" s="204">
        <f>COUNTIF(Delivery[Delivery ID],Delivery[[#This Row],[Delivery ID]])</f>
        <v>1</v>
      </c>
      <c r="AH872" s="204">
        <f>(Delivery[[#This Row],[Nespresso total]]/SUMIF(Allocation!C:C,Delivery[Delivery ID],Allocation!H:H))/Delivery[[#This Row],[Exchange rate VS USD]]</f>
        <v>3.6945164834070705</v>
      </c>
      <c r="AI872" s="204">
        <f>(Delivery[[#This Row],[AAA Premium (total)]]/SUMIF(Allocation!C:C,Delivery[Delivery ID],Allocation!H:H))/Delivery[[#This Row],[Exchange rate VS USD]]</f>
        <v>0.36855584046684453</v>
      </c>
      <c r="AJ872" s="204">
        <f>Delivery[[#This Row],[Valor Prêmio Nespresso AAA por Kg (em US$)]]*60</f>
        <v>22.113350428010673</v>
      </c>
      <c r="AK872" s="204">
        <f>Delivery[[#This Row],[Valor Prêmio Nespresso AAA por saca (em US$)]]/1.3228/100</f>
        <v>0.16717077735115418</v>
      </c>
      <c r="AL872" s="204">
        <f>(Delivery[[#This Row],[BEN premium (total)]]/SUMIF(Allocation!C:C,Delivery[Delivery ID],Allocation!H:H))/Delivery[[#This Row],[Exchange rate for premiums VS USD]]</f>
        <v>0.1101476002503651</v>
      </c>
      <c r="AM872" s="204">
        <f>Delivery[[#This Row],[Valor Prêmio Nespresso BEN por Kg (em US$)]]*60</f>
        <v>6.6088560150219058</v>
      </c>
      <c r="AN872" s="204">
        <f>Delivery[[#This Row],[Valor Prêmio Nespresso BEN por saca (em US$)]]/1.3228/100</f>
        <v>4.9961112904610722E-2</v>
      </c>
      <c r="AO872" s="204">
        <f>SUMIF(Allocation[Delivery ID],Delivery[[#This Row],[Delivery ID]],Allocation[Quantity allocated])*16*1.3228*Delivery[[#This Row],[Exchange rate VS USD]]/60</f>
        <v>20077.576076288002</v>
      </c>
      <c r="AP872" s="204">
        <f>Delivery[[#This Row],[AAA Premium (total)]]</f>
        <v>20977.4</v>
      </c>
      <c r="AQ872" s="204">
        <f>Delivery[[#This Row],[Valor pago pelo Cluster]]-Delivery[[#This Row],[Valor efetivamente pago pela Nespresso]]</f>
        <v>899.82392371199967</v>
      </c>
    </row>
    <row r="873" spans="1:43" ht="15.75">
      <c r="A873" s="174" t="s">
        <v>69</v>
      </c>
      <c r="B873" s="232" t="s">
        <v>68</v>
      </c>
      <c r="C873" s="157">
        <v>1</v>
      </c>
      <c r="D873" s="157" t="s">
        <v>468</v>
      </c>
      <c r="E873" s="177" t="s">
        <v>468</v>
      </c>
      <c r="F873" s="233" t="s">
        <v>543</v>
      </c>
      <c r="G873" s="234">
        <v>43339</v>
      </c>
      <c r="H873" s="157" t="s">
        <v>1645</v>
      </c>
      <c r="I873" s="236" t="s">
        <v>1013</v>
      </c>
      <c r="J873" s="237">
        <v>38460</v>
      </c>
      <c r="K873" s="175" t="s">
        <v>61</v>
      </c>
      <c r="L873" s="175" t="s">
        <v>439</v>
      </c>
      <c r="M873" s="175" t="s">
        <v>1343</v>
      </c>
      <c r="N873" s="198"/>
      <c r="O873" s="199"/>
      <c r="P873" s="181">
        <v>0</v>
      </c>
      <c r="Q873" s="177">
        <v>43333</v>
      </c>
      <c r="R873" s="178">
        <v>408.60183000000001</v>
      </c>
      <c r="S873" s="179">
        <v>266188.79999999999</v>
      </c>
      <c r="T873" s="182" t="s">
        <v>45</v>
      </c>
      <c r="U873" s="183">
        <v>4.0118</v>
      </c>
      <c r="V873" s="179">
        <v>17971.2</v>
      </c>
      <c r="W873" s="179">
        <v>0</v>
      </c>
      <c r="X873" s="196" t="s">
        <v>45</v>
      </c>
      <c r="Y873" s="200">
        <v>4.0118</v>
      </c>
      <c r="Z873" s="220"/>
      <c r="AA873" s="201">
        <f>Delivery[[#This Row],[Quantity delivered]]*VLOOKUP(Delivery[[#This Row],[Unit]],References!$U:$X,4,FALSE)*VLOOKUP(CONCATENATE(Delivery[[#This Row],[Coffee specie]],Delivery[[#This Row],[Coffee state]]),References!$U:$X,4,FALSE)</f>
        <v>38460</v>
      </c>
      <c r="AB873" s="202">
        <f>SUMIF(Allocation!C:C,Delivery[[#This Row],[Delivery ID]],Allocation!D:D)/Delivery[[#This Row],[Quantity delivered]]</f>
        <v>1</v>
      </c>
      <c r="AC873" s="203">
        <f>Delivery[[#This Row],[Quantity delivered]]*Delivery[[#This Row],[Base price (Unidad)]]/60</f>
        <v>261913.77302999998</v>
      </c>
      <c r="AD873" s="204">
        <f>Delivery[[#This Row],[Nespresso total]]-Delivery[[#This Row],[Qt. Delivery * Base Price]]</f>
        <v>4275.0269700000063</v>
      </c>
      <c r="AE873" s="204">
        <f>Delivery[[#This Row],[AAA Premium (total)]]/Delivery[[#This Row],[Quantity delivered]]*60/Delivery[[#This Row],[Exchange rate VS USD]]</f>
        <v>6.9884324861004812</v>
      </c>
      <c r="AF873" s="204">
        <f>Delivery[[#This Row],[BEN premium (total)]]/Delivery[[#This Row],[Quantity delivered]]*60/Delivery[[#This Row],[Exchange rate for premiums VS USD]]</f>
        <v>0</v>
      </c>
      <c r="AG873" s="204">
        <f>COUNTIF(Delivery[Delivery ID],Delivery[[#This Row],[Delivery ID]])</f>
        <v>1</v>
      </c>
      <c r="AH873" s="204">
        <f>(Delivery[[#This Row],[Nespresso total]]/SUMIF(Allocation!C:C,Delivery[Delivery ID],Allocation!H:H))/Delivery[[#This Row],[Exchange rate VS USD]]</f>
        <v>5.2278177736848681</v>
      </c>
      <c r="AI873" s="204">
        <f>(Delivery[[#This Row],[AAA Premium (total)]]/SUMIF(Allocation!C:C,Delivery[Delivery ID],Allocation!H:H))/Delivery[[#This Row],[Exchange rate VS USD]]</f>
        <v>0.35294557387255032</v>
      </c>
      <c r="AJ873" s="204">
        <f>Delivery[[#This Row],[Valor Prêmio Nespresso AAA por Kg (em US$)]]*60</f>
        <v>21.176734432353019</v>
      </c>
      <c r="AK873" s="204">
        <f>Delivery[[#This Row],[Valor Prêmio Nespresso AAA por saca (em US$)]]/1.3228/100</f>
        <v>0.16009022098845643</v>
      </c>
      <c r="AL873" s="204">
        <f>(Delivery[[#This Row],[BEN premium (total)]]/SUMIF(Allocation!C:C,Delivery[Delivery ID],Allocation!H:H))/Delivery[[#This Row],[Exchange rate for premiums VS USD]]</f>
        <v>0</v>
      </c>
      <c r="AM873" s="204">
        <f>Delivery[[#This Row],[Valor Prêmio Nespresso BEN por Kg (em US$)]]*60</f>
        <v>0</v>
      </c>
      <c r="AN873" s="204">
        <f>Delivery[[#This Row],[Valor Prêmio Nespresso BEN por saca (em US$)]]/1.3228/100</f>
        <v>0</v>
      </c>
      <c r="AO873" s="204">
        <f>SUMIF(Allocation[Delivery ID],Delivery[[#This Row],[Delivery ID]],Allocation[Quantity allocated])*16*1.3228*Delivery[[#This Row],[Exchange rate VS USD]]/60</f>
        <v>17961.072089514662</v>
      </c>
      <c r="AP873" s="204">
        <f>Delivery[[#This Row],[AAA Premium (total)]]</f>
        <v>17971.2</v>
      </c>
      <c r="AQ873" s="204">
        <f>Delivery[[#This Row],[Valor pago pelo Cluster]]-Delivery[[#This Row],[Valor efetivamente pago pela Nespresso]]</f>
        <v>10.127910485338361</v>
      </c>
    </row>
    <row r="874" spans="1:43" ht="15.75">
      <c r="A874" s="174" t="s">
        <v>69</v>
      </c>
      <c r="B874" s="232" t="s">
        <v>68</v>
      </c>
      <c r="C874" s="157">
        <v>1</v>
      </c>
      <c r="D874" s="157" t="s">
        <v>468</v>
      </c>
      <c r="E874" s="177" t="s">
        <v>468</v>
      </c>
      <c r="F874" s="233" t="s">
        <v>543</v>
      </c>
      <c r="G874" s="234">
        <v>43334</v>
      </c>
      <c r="H874" s="157" t="s">
        <v>1010</v>
      </c>
      <c r="I874" s="157" t="s">
        <v>1011</v>
      </c>
      <c r="J874" s="237">
        <v>7793</v>
      </c>
      <c r="K874" s="175" t="s">
        <v>61</v>
      </c>
      <c r="L874" s="175" t="s">
        <v>439</v>
      </c>
      <c r="M874" s="175" t="s">
        <v>1343</v>
      </c>
      <c r="N874" s="198"/>
      <c r="O874" s="199"/>
      <c r="P874" s="181">
        <v>0</v>
      </c>
      <c r="Q874" s="177">
        <v>43328</v>
      </c>
      <c r="R874" s="178">
        <v>413.43048999999996</v>
      </c>
      <c r="S874" s="179">
        <v>54713.354166666664</v>
      </c>
      <c r="T874" s="182" t="s">
        <v>45</v>
      </c>
      <c r="U874" s="183">
        <v>3.8746999999999998</v>
      </c>
      <c r="V874" s="179">
        <v>5032.5895166666669</v>
      </c>
      <c r="W874" s="179">
        <v>0</v>
      </c>
      <c r="X874" s="196" t="s">
        <v>45</v>
      </c>
      <c r="Y874" s="200">
        <v>3.8746999999999998</v>
      </c>
      <c r="Z874" s="220"/>
      <c r="AA874" s="201">
        <f>Delivery[[#This Row],[Quantity delivered]]*VLOOKUP(Delivery[[#This Row],[Unit]],References!$U:$X,4,FALSE)*VLOOKUP(CONCATENATE(Delivery[[#This Row],[Coffee specie]],Delivery[[#This Row],[Coffee state]]),References!$U:$X,4,FALSE)</f>
        <v>7793</v>
      </c>
      <c r="AB874" s="202">
        <f>SUMIF(Allocation!C:C,Delivery[[#This Row],[Delivery ID]],Allocation!D:D)/Delivery[[#This Row],[Quantity delivered]]</f>
        <v>1</v>
      </c>
      <c r="AC874" s="203">
        <f>Delivery[[#This Row],[Quantity delivered]]*Delivery[[#This Row],[Base price (Unidad)]]/60</f>
        <v>53697.73014283333</v>
      </c>
      <c r="AD874" s="204">
        <f>Delivery[[#This Row],[Nespresso total]]-Delivery[[#This Row],[Qt. Delivery * Base Price]]</f>
        <v>1015.6240238333339</v>
      </c>
      <c r="AE874" s="204">
        <f>Delivery[[#This Row],[AAA Premium (total)]]/Delivery[[#This Row],[Quantity delivered]]*60/Delivery[[#This Row],[Exchange rate VS USD]]</f>
        <v>10</v>
      </c>
      <c r="AF874" s="204">
        <f>Delivery[[#This Row],[BEN premium (total)]]/Delivery[[#This Row],[Quantity delivered]]*60/Delivery[[#This Row],[Exchange rate for premiums VS USD]]</f>
        <v>0</v>
      </c>
      <c r="AG874" s="204">
        <f>COUNTIF(Delivery[Delivery ID],Delivery[[#This Row],[Delivery ID]])</f>
        <v>1</v>
      </c>
      <c r="AH874" s="204">
        <f>(Delivery[[#This Row],[Nespresso total]]/SUMIF(Allocation!C:C,Delivery[Delivery ID],Allocation!H:H))/Delivery[[#This Row],[Exchange rate VS USD]]</f>
        <v>4.4182316901942933</v>
      </c>
      <c r="AI874" s="204">
        <f>(Delivery[[#This Row],[AAA Premium (total)]]/SUMIF(Allocation!C:C,Delivery[Delivery ID],Allocation!H:H))/Delivery[[#This Row],[Exchange rate VS USD]]</f>
        <v>0.40639340842720073</v>
      </c>
      <c r="AJ874" s="204">
        <f>Delivery[[#This Row],[Valor Prêmio Nespresso AAA por Kg (em US$)]]*60</f>
        <v>24.383604505632043</v>
      </c>
      <c r="AK874" s="204">
        <f>Delivery[[#This Row],[Valor Prêmio Nespresso AAA por saca (em US$)]]/1.3228/100</f>
        <v>0.18433326659836743</v>
      </c>
      <c r="AL874" s="204">
        <f>(Delivery[[#This Row],[BEN premium (total)]]/SUMIF(Allocation!C:C,Delivery[Delivery ID],Allocation!H:H))/Delivery[[#This Row],[Exchange rate for premiums VS USD]]</f>
        <v>0</v>
      </c>
      <c r="AM874" s="204">
        <f>Delivery[[#This Row],[Valor Prêmio Nespresso BEN por Kg (em US$)]]*60</f>
        <v>0</v>
      </c>
      <c r="AN874" s="204">
        <f>Delivery[[#This Row],[Valor Prêmio Nespresso BEN por saca (em US$)]]/1.3228/100</f>
        <v>0</v>
      </c>
      <c r="AO874" s="204">
        <f>SUMIF(Allocation[Delivery ID],Delivery[[#This Row],[Delivery ID]],Allocation[Quantity allocated])*16*1.3228*Delivery[[#This Row],[Exchange rate VS USD]]/60</f>
        <v>4368.2528798293333</v>
      </c>
      <c r="AP874" s="204">
        <f>Delivery[[#This Row],[AAA Premium (total)]]</f>
        <v>5032.5895166666669</v>
      </c>
      <c r="AQ874" s="204">
        <f>Delivery[[#This Row],[Valor pago pelo Cluster]]-Delivery[[#This Row],[Valor efetivamente pago pela Nespresso]]</f>
        <v>664.33663683733357</v>
      </c>
    </row>
    <row r="875" spans="1:43" ht="15.75">
      <c r="A875" s="174" t="s">
        <v>69</v>
      </c>
      <c r="B875" s="232" t="s">
        <v>68</v>
      </c>
      <c r="C875" s="157">
        <v>1</v>
      </c>
      <c r="D875" s="157" t="s">
        <v>468</v>
      </c>
      <c r="E875" s="177" t="s">
        <v>468</v>
      </c>
      <c r="F875" s="233" t="s">
        <v>543</v>
      </c>
      <c r="G875" s="234">
        <v>43339</v>
      </c>
      <c r="H875" s="157" t="s">
        <v>1012</v>
      </c>
      <c r="I875" s="157" t="s">
        <v>1013</v>
      </c>
      <c r="J875" s="237">
        <v>32230</v>
      </c>
      <c r="K875" s="175" t="s">
        <v>61</v>
      </c>
      <c r="L875" s="175" t="s">
        <v>439</v>
      </c>
      <c r="M875" s="175" t="s">
        <v>1343</v>
      </c>
      <c r="N875" s="198"/>
      <c r="O875" s="199"/>
      <c r="P875" s="181">
        <v>0</v>
      </c>
      <c r="Q875" s="177">
        <v>43333</v>
      </c>
      <c r="R875" s="178">
        <v>408.60183000000001</v>
      </c>
      <c r="S875" s="179">
        <v>223349.04</v>
      </c>
      <c r="T875" s="182" t="s">
        <v>45</v>
      </c>
      <c r="U875" s="183">
        <v>4.0118</v>
      </c>
      <c r="V875" s="179">
        <v>15078.96</v>
      </c>
      <c r="W875" s="179">
        <v>0</v>
      </c>
      <c r="X875" s="196" t="s">
        <v>45</v>
      </c>
      <c r="Y875" s="200">
        <v>4.0118</v>
      </c>
      <c r="Z875" s="220"/>
      <c r="AA875" s="201">
        <f>Delivery[[#This Row],[Quantity delivered]]*VLOOKUP(Delivery[[#This Row],[Unit]],References!$U:$X,4,FALSE)*VLOOKUP(CONCATENATE(Delivery[[#This Row],[Coffee specie]],Delivery[[#This Row],[Coffee state]]),References!$U:$X,4,FALSE)</f>
        <v>32230</v>
      </c>
      <c r="AB875" s="202">
        <f>SUMIF(Allocation!C:C,Delivery[[#This Row],[Delivery ID]],Allocation!D:D)/Delivery[[#This Row],[Quantity delivered]]</f>
        <v>1</v>
      </c>
      <c r="AC875" s="203">
        <f>Delivery[[#This Row],[Quantity delivered]]*Delivery[[#This Row],[Base price (Unidad)]]/60</f>
        <v>219487.28301500002</v>
      </c>
      <c r="AD875" s="204">
        <f>Delivery[[#This Row],[Nespresso total]]-Delivery[[#This Row],[Qt. Delivery * Base Price]]</f>
        <v>3861.7569849999854</v>
      </c>
      <c r="AE875" s="204">
        <f>Delivery[[#This Row],[AAA Premium (total)]]/Delivery[[#This Row],[Quantity delivered]]*60/Delivery[[#This Row],[Exchange rate VS USD]]</f>
        <v>6.9971802233983738</v>
      </c>
      <c r="AF875" s="204">
        <f>Delivery[[#This Row],[BEN premium (total)]]/Delivery[[#This Row],[Quantity delivered]]*60/Delivery[[#This Row],[Exchange rate for premiums VS USD]]</f>
        <v>0</v>
      </c>
      <c r="AG875" s="204">
        <f>COUNTIF(Delivery[Delivery ID],Delivery[[#This Row],[Delivery ID]])</f>
        <v>1</v>
      </c>
      <c r="AH875" s="204">
        <f>(Delivery[[#This Row],[Nespresso total]]/SUMIF(Allocation!C:C,Delivery[Delivery ID],Allocation!H:H))/Delivery[[#This Row],[Exchange rate VS USD]]</f>
        <v>5.4004291956054304</v>
      </c>
      <c r="AI875" s="204">
        <f>(Delivery[[#This Row],[AAA Premium (total)]]/SUMIF(Allocation!C:C,Delivery[Delivery ID],Allocation!H:H))/Delivery[[#This Row],[Exchange rate VS USD]]</f>
        <v>0.36459908591219581</v>
      </c>
      <c r="AJ875" s="204">
        <f>Delivery[[#This Row],[Valor Prêmio Nespresso AAA por Kg (em US$)]]*60</f>
        <v>21.875945154731749</v>
      </c>
      <c r="AK875" s="204">
        <f>Delivery[[#This Row],[Valor Prêmio Nespresso AAA por saca (em US$)]]/1.3228/100</f>
        <v>0.16537605953078127</v>
      </c>
      <c r="AL875" s="204">
        <f>(Delivery[[#This Row],[BEN premium (total)]]/SUMIF(Allocation!C:C,Delivery[Delivery ID],Allocation!H:H))/Delivery[[#This Row],[Exchange rate for premiums VS USD]]</f>
        <v>0</v>
      </c>
      <c r="AM875" s="204">
        <f>Delivery[[#This Row],[Valor Prêmio Nespresso BEN por Kg (em US$)]]*60</f>
        <v>0</v>
      </c>
      <c r="AN875" s="204">
        <f>Delivery[[#This Row],[Valor Prêmio Nespresso BEN por saca (em US$)]]/1.3228/100</f>
        <v>0</v>
      </c>
      <c r="AO875" s="204">
        <f>SUMIF(Allocation[Delivery ID],Delivery[[#This Row],[Delivery ID]],Allocation[Quantity allocated])*16*1.3228*Delivery[[#This Row],[Exchange rate VS USD]]/60</f>
        <v>14588.771838229331</v>
      </c>
      <c r="AP875" s="204">
        <f>Delivery[[#This Row],[AAA Premium (total)]]</f>
        <v>15078.96</v>
      </c>
      <c r="AQ875" s="204">
        <f>Delivery[[#This Row],[Valor pago pelo Cluster]]-Delivery[[#This Row],[Valor efetivamente pago pela Nespresso]]</f>
        <v>490.18816177066765</v>
      </c>
    </row>
    <row r="876" spans="1:43" ht="15.75">
      <c r="A876" s="174" t="s">
        <v>69</v>
      </c>
      <c r="B876" s="232" t="s">
        <v>68</v>
      </c>
      <c r="C876" s="157" t="s">
        <v>1344</v>
      </c>
      <c r="D876" s="157" t="s">
        <v>468</v>
      </c>
      <c r="E876" s="177" t="s">
        <v>468</v>
      </c>
      <c r="F876" s="233" t="s">
        <v>543</v>
      </c>
      <c r="G876" s="234">
        <v>43340</v>
      </c>
      <c r="H876" s="157" t="s">
        <v>1646</v>
      </c>
      <c r="I876" s="157" t="s">
        <v>958</v>
      </c>
      <c r="J876" s="237">
        <v>30943.5</v>
      </c>
      <c r="K876" s="175" t="s">
        <v>61</v>
      </c>
      <c r="L876" s="175" t="s">
        <v>439</v>
      </c>
      <c r="M876" s="175" t="s">
        <v>1343</v>
      </c>
      <c r="N876" s="198"/>
      <c r="O876" s="199"/>
      <c r="P876" s="181">
        <v>0</v>
      </c>
      <c r="Q876" s="177">
        <v>43334</v>
      </c>
      <c r="R876" s="178">
        <v>412.13051999999999</v>
      </c>
      <c r="S876" s="179">
        <v>209734.92</v>
      </c>
      <c r="T876" s="182" t="s">
        <v>45</v>
      </c>
      <c r="U876" s="183">
        <v>4.0583999999999998</v>
      </c>
      <c r="V876" s="179">
        <v>14602.74</v>
      </c>
      <c r="W876" s="179">
        <v>0</v>
      </c>
      <c r="X876" s="196" t="s">
        <v>45</v>
      </c>
      <c r="Y876" s="200">
        <v>4.0583999999999998</v>
      </c>
      <c r="Z876" s="220"/>
      <c r="AA876" s="201">
        <f>Delivery[[#This Row],[Quantity delivered]]*VLOOKUP(Delivery[[#This Row],[Unit]],References!$U:$X,4,FALSE)*VLOOKUP(CONCATENATE(Delivery[[#This Row],[Coffee specie]],Delivery[[#This Row],[Coffee state]]),References!$U:$X,4,FALSE)</f>
        <v>30943.5</v>
      </c>
      <c r="AB876" s="202">
        <f>SUMIF(Allocation!C:C,Delivery[[#This Row],[Delivery ID]],Allocation!D:D)/Delivery[[#This Row],[Quantity delivered]]</f>
        <v>0.85963126343173846</v>
      </c>
      <c r="AC876" s="203">
        <f>Delivery[[#This Row],[Quantity delivered]]*Delivery[[#This Row],[Base price (Unidad)]]/60</f>
        <v>212546.01242699998</v>
      </c>
      <c r="AD876" s="204">
        <f>Delivery[[#This Row],[Nespresso total]]-Delivery[[#This Row],[Qt. Delivery * Base Price]]</f>
        <v>-2811.0924269999668</v>
      </c>
      <c r="AE876" s="204">
        <f>Delivery[[#This Row],[AAA Premium (total)]]/Delivery[[#This Row],[Quantity delivered]]*60/Delivery[[#This Row],[Exchange rate VS USD]]</f>
        <v>6.9768810530346332</v>
      </c>
      <c r="AF876" s="204">
        <f>Delivery[[#This Row],[BEN premium (total)]]/Delivery[[#This Row],[Quantity delivered]]*60/Delivery[[#This Row],[Exchange rate for premiums VS USD]]</f>
        <v>0</v>
      </c>
      <c r="AG876" s="204">
        <f>COUNTIF(Delivery[Delivery ID],Delivery[[#This Row],[Delivery ID]])</f>
        <v>1</v>
      </c>
      <c r="AH876" s="204">
        <f>(Delivery[[#This Row],[Nespresso total]]/SUMIF(Allocation!C:C,Delivery[Delivery ID],Allocation!H:H))/Delivery[[#This Row],[Exchange rate VS USD]]</f>
        <v>5.8873562865283748</v>
      </c>
      <c r="AI876" s="204">
        <f>(Delivery[[#This Row],[AAA Premium (total)]]/SUMIF(Allocation!C:C,Delivery[Delivery ID],Allocation!H:H))/Delivery[[#This Row],[Exchange rate VS USD]]</f>
        <v>0.4099056711182828</v>
      </c>
      <c r="AJ876" s="204">
        <f>Delivery[[#This Row],[Valor Prêmio Nespresso AAA por Kg (em US$)]]*60</f>
        <v>24.594340267096968</v>
      </c>
      <c r="AK876" s="204">
        <f>Delivery[[#This Row],[Valor Prêmio Nespresso AAA por saca (em US$)]]/1.3228/100</f>
        <v>0.18592637032882497</v>
      </c>
      <c r="AL876" s="204">
        <f>(Delivery[[#This Row],[BEN premium (total)]]/SUMIF(Allocation!C:C,Delivery[Delivery ID],Allocation!H:H))/Delivery[[#This Row],[Exchange rate for premiums VS USD]]</f>
        <v>0</v>
      </c>
      <c r="AM876" s="204">
        <f>Delivery[[#This Row],[Valor Prêmio Nespresso BEN por Kg (em US$)]]*60</f>
        <v>0</v>
      </c>
      <c r="AN876" s="204">
        <f>Delivery[[#This Row],[Valor Prêmio Nespresso BEN por saca (em US$)]]/1.3228/100</f>
        <v>0</v>
      </c>
      <c r="AO876" s="204">
        <f>SUMIF(Allocation[Delivery ID],Delivery[[#This Row],[Delivery ID]],Allocation[Quantity allocated])*16*1.3228*Delivery[[#This Row],[Exchange rate VS USD]]/60</f>
        <v>12566.471318016</v>
      </c>
      <c r="AP876" s="204">
        <f>Delivery[[#This Row],[AAA Premium (total)]]</f>
        <v>14602.74</v>
      </c>
      <c r="AQ876" s="204">
        <f>Delivery[[#This Row],[Valor pago pelo Cluster]]-Delivery[[#This Row],[Valor efetivamente pago pela Nespresso]]</f>
        <v>2036.2686819840001</v>
      </c>
    </row>
    <row r="877" spans="1:43" ht="15.75">
      <c r="A877" s="174" t="s">
        <v>69</v>
      </c>
      <c r="B877" s="232" t="s">
        <v>68</v>
      </c>
      <c r="C877" s="157" t="s">
        <v>1344</v>
      </c>
      <c r="D877" s="157" t="s">
        <v>468</v>
      </c>
      <c r="E877" s="177" t="s">
        <v>468</v>
      </c>
      <c r="F877" s="233" t="s">
        <v>543</v>
      </c>
      <c r="G877" s="234">
        <v>43340</v>
      </c>
      <c r="H877" s="157" t="s">
        <v>1647</v>
      </c>
      <c r="I877" s="157" t="s">
        <v>958</v>
      </c>
      <c r="J877" s="237">
        <v>30993</v>
      </c>
      <c r="K877" s="175" t="s">
        <v>61</v>
      </c>
      <c r="L877" s="175" t="s">
        <v>439</v>
      </c>
      <c r="M877" s="175" t="s">
        <v>1343</v>
      </c>
      <c r="N877" s="198"/>
      <c r="O877" s="199"/>
      <c r="P877" s="181">
        <v>0</v>
      </c>
      <c r="Q877" s="177">
        <v>43334</v>
      </c>
      <c r="R877" s="178">
        <v>412.13051999999999</v>
      </c>
      <c r="S877" s="179">
        <v>210143.76</v>
      </c>
      <c r="T877" s="182" t="s">
        <v>45</v>
      </c>
      <c r="U877" s="183">
        <v>4.0583999999999998</v>
      </c>
      <c r="V877" s="179">
        <v>14574.33</v>
      </c>
      <c r="W877" s="179">
        <v>0</v>
      </c>
      <c r="X877" s="196" t="s">
        <v>45</v>
      </c>
      <c r="Y877" s="200">
        <v>4.0583999999999998</v>
      </c>
      <c r="Z877" s="220"/>
      <c r="AA877" s="201">
        <f>Delivery[[#This Row],[Quantity delivered]]*VLOOKUP(Delivery[[#This Row],[Unit]],References!$U:$X,4,FALSE)*VLOOKUP(CONCATENATE(Delivery[[#This Row],[Coffee specie]],Delivery[[#This Row],[Coffee state]]),References!$U:$X,4,FALSE)</f>
        <v>30993</v>
      </c>
      <c r="AB877" s="202">
        <f>SUMIF(Allocation!C:C,Delivery[[#This Row],[Delivery ID]],Allocation!D:D)/Delivery[[#This Row],[Quantity delivered]]</f>
        <v>0.85964572645436066</v>
      </c>
      <c r="AC877" s="203">
        <f>Delivery[[#This Row],[Quantity delivered]]*Delivery[[#This Row],[Base price (Unidad)]]/60</f>
        <v>212886.02010599998</v>
      </c>
      <c r="AD877" s="204">
        <f>Delivery[[#This Row],[Nespresso total]]-Delivery[[#This Row],[Qt. Delivery * Base Price]]</f>
        <v>-2742.2601059999724</v>
      </c>
      <c r="AE877" s="204">
        <f>Delivery[[#This Row],[AAA Premium (total)]]/Delivery[[#This Row],[Quantity delivered]]*60/Delivery[[#This Row],[Exchange rate VS USD]]</f>
        <v>6.9521860137319882</v>
      </c>
      <c r="AF877" s="204">
        <f>Delivery[[#This Row],[BEN premium (total)]]/Delivery[[#This Row],[Quantity delivered]]*60/Delivery[[#This Row],[Exchange rate for premiums VS USD]]</f>
        <v>0</v>
      </c>
      <c r="AG877" s="204">
        <f>COUNTIF(Delivery[Delivery ID],Delivery[[#This Row],[Delivery ID]])</f>
        <v>1</v>
      </c>
      <c r="AH877" s="204">
        <f>(Delivery[[#This Row],[Nespresso total]]/SUMIF(Allocation!C:C,Delivery[Delivery ID],Allocation!H:H))/Delivery[[#This Row],[Exchange rate VS USD]]</f>
        <v>5.8894395690076848</v>
      </c>
      <c r="AI877" s="204">
        <f>(Delivery[[#This Row],[AAA Premium (total)]]/SUMIF(Allocation!C:C,Delivery[Delivery ID],Allocation!H:H))/Delivery[[#This Row],[Exchange rate VS USD]]</f>
        <v>0.40845674310660357</v>
      </c>
      <c r="AJ877" s="204">
        <f>Delivery[[#This Row],[Valor Prêmio Nespresso AAA por Kg (em US$)]]*60</f>
        <v>24.507404586396213</v>
      </c>
      <c r="AK877" s="204">
        <f>Delivery[[#This Row],[Valor Prêmio Nespresso AAA por saca (em US$)]]/1.3228/100</f>
        <v>0.18526916076803912</v>
      </c>
      <c r="AL877" s="204">
        <f>(Delivery[[#This Row],[BEN premium (total)]]/SUMIF(Allocation!C:C,Delivery[Delivery ID],Allocation!H:H))/Delivery[[#This Row],[Exchange rate for premiums VS USD]]</f>
        <v>0</v>
      </c>
      <c r="AM877" s="204">
        <f>Delivery[[#This Row],[Valor Prêmio Nespresso BEN por Kg (em US$)]]*60</f>
        <v>0</v>
      </c>
      <c r="AN877" s="204">
        <f>Delivery[[#This Row],[Valor Prêmio Nespresso BEN por saca (em US$)]]/1.3228/100</f>
        <v>0</v>
      </c>
      <c r="AO877" s="204">
        <f>SUMIF(Allocation[Delivery ID],Delivery[[#This Row],[Delivery ID]],Allocation[Quantity allocated])*16*1.3228*Delivery[[#This Row],[Exchange rate VS USD]]/60</f>
        <v>12586.513537024</v>
      </c>
      <c r="AP877" s="204">
        <f>Delivery[[#This Row],[AAA Premium (total)]]</f>
        <v>14574.33</v>
      </c>
      <c r="AQ877" s="204">
        <f>Delivery[[#This Row],[Valor pago pelo Cluster]]-Delivery[[#This Row],[Valor efetivamente pago pela Nespresso]]</f>
        <v>1987.8164629759995</v>
      </c>
    </row>
    <row r="878" spans="1:43" ht="15.75">
      <c r="A878" s="174" t="s">
        <v>69</v>
      </c>
      <c r="B878" s="232" t="s">
        <v>68</v>
      </c>
      <c r="C878" s="157">
        <v>1</v>
      </c>
      <c r="D878" s="157" t="s">
        <v>468</v>
      </c>
      <c r="E878" s="177" t="s">
        <v>468</v>
      </c>
      <c r="F878" s="233" t="s">
        <v>543</v>
      </c>
      <c r="G878" s="234">
        <v>43340</v>
      </c>
      <c r="H878" s="157" t="s">
        <v>1014</v>
      </c>
      <c r="I878" s="157" t="s">
        <v>1015</v>
      </c>
      <c r="J878" s="237">
        <v>3482</v>
      </c>
      <c r="K878" s="175" t="s">
        <v>61</v>
      </c>
      <c r="L878" s="175" t="s">
        <v>439</v>
      </c>
      <c r="M878" s="175" t="s">
        <v>1343</v>
      </c>
      <c r="N878" s="198"/>
      <c r="O878" s="199"/>
      <c r="P878" s="181">
        <v>0</v>
      </c>
      <c r="Q878" s="177">
        <v>43336</v>
      </c>
      <c r="R878" s="178">
        <v>431.01848999999999</v>
      </c>
      <c r="S878" s="179">
        <v>26762.240000000002</v>
      </c>
      <c r="T878" s="182" t="s">
        <v>45</v>
      </c>
      <c r="U878" s="183">
        <v>4.1166999999999998</v>
      </c>
      <c r="V878" s="179">
        <v>2387.86</v>
      </c>
      <c r="W878" s="179">
        <v>0</v>
      </c>
      <c r="X878" s="196" t="s">
        <v>45</v>
      </c>
      <c r="Y878" s="200">
        <v>4.1166999999999998</v>
      </c>
      <c r="Z878" s="220"/>
      <c r="AA878" s="201">
        <f>Delivery[[#This Row],[Quantity delivered]]*VLOOKUP(Delivery[[#This Row],[Unit]],References!$U:$X,4,FALSE)*VLOOKUP(CONCATENATE(Delivery[[#This Row],[Coffee specie]],Delivery[[#This Row],[Coffee state]]),References!$U:$X,4,FALSE)</f>
        <v>3482</v>
      </c>
      <c r="AB878" s="202">
        <f>SUMIF(Allocation!C:C,Delivery[[#This Row],[Delivery ID]],Allocation!D:D)/Delivery[[#This Row],[Quantity delivered]]</f>
        <v>0.74411257897759908</v>
      </c>
      <c r="AC878" s="203">
        <f>Delivery[[#This Row],[Quantity delivered]]*Delivery[[#This Row],[Base price (Unidad)]]/60</f>
        <v>25013.439703</v>
      </c>
      <c r="AD878" s="204">
        <f>Delivery[[#This Row],[Nespresso total]]-Delivery[[#This Row],[Qt. Delivery * Base Price]]</f>
        <v>1748.8002970000016</v>
      </c>
      <c r="AE878" s="204">
        <f>Delivery[[#This Row],[AAA Premium (total)]]/Delivery[[#This Row],[Quantity delivered]]*60/Delivery[[#This Row],[Exchange rate VS USD]]</f>
        <v>9.9949844950758635</v>
      </c>
      <c r="AF878" s="204">
        <f>Delivery[[#This Row],[BEN premium (total)]]/Delivery[[#This Row],[Quantity delivered]]*60/Delivery[[#This Row],[Exchange rate for premiums VS USD]]</f>
        <v>0</v>
      </c>
      <c r="AG878" s="204">
        <f>COUNTIF(Delivery[Delivery ID],Delivery[[#This Row],[Delivery ID]])</f>
        <v>1</v>
      </c>
      <c r="AH878" s="204">
        <f>(Delivery[[#This Row],[Nespresso total]]/SUMIF(Allocation!C:C,Delivery[Delivery ID],Allocation!H:H))/Delivery[[#This Row],[Exchange rate VS USD]]</f>
        <v>4.5620325256262575</v>
      </c>
      <c r="AI878" s="204">
        <f>(Delivery[[#This Row],[AAA Premium (total)]]/SUMIF(Allocation!C:C,Delivery[Delivery ID],Allocation!H:H))/Delivery[[#This Row],[Exchange rate VS USD]]</f>
        <v>0.40704720481700768</v>
      </c>
      <c r="AJ878" s="204">
        <f>Delivery[[#This Row],[Valor Prêmio Nespresso AAA por Kg (em US$)]]*60</f>
        <v>24.422832289020462</v>
      </c>
      <c r="AK878" s="204">
        <f>Delivery[[#This Row],[Valor Prêmio Nespresso AAA por saca (em US$)]]/1.3228/100</f>
        <v>0.18462981772770232</v>
      </c>
      <c r="AL878" s="204">
        <f>(Delivery[[#This Row],[BEN premium (total)]]/SUMIF(Allocation!C:C,Delivery[Delivery ID],Allocation!H:H))/Delivery[[#This Row],[Exchange rate for premiums VS USD]]</f>
        <v>0</v>
      </c>
      <c r="AM878" s="204">
        <f>Delivery[[#This Row],[Valor Prêmio Nespresso BEN por Kg (em US$)]]*60</f>
        <v>0</v>
      </c>
      <c r="AN878" s="204">
        <f>Delivery[[#This Row],[Valor Prêmio Nespresso BEN por saca (em US$)]]/1.3228/100</f>
        <v>0</v>
      </c>
      <c r="AO878" s="204">
        <f>SUMIF(Allocation[Delivery ID],Delivery[[#This Row],[Delivery ID]],Allocation[Quantity allocated])*16*1.3228*Delivery[[#This Row],[Exchange rate VS USD]]/60</f>
        <v>2069.3168888</v>
      </c>
      <c r="AP878" s="204">
        <f>Delivery[[#This Row],[AAA Premium (total)]]</f>
        <v>2387.86</v>
      </c>
      <c r="AQ878" s="204">
        <f>Delivery[[#This Row],[Valor pago pelo Cluster]]-Delivery[[#This Row],[Valor efetivamente pago pela Nespresso]]</f>
        <v>318.54311120000011</v>
      </c>
    </row>
    <row r="879" spans="1:43" ht="15.75">
      <c r="A879" s="174" t="s">
        <v>69</v>
      </c>
      <c r="B879" s="232" t="s">
        <v>68</v>
      </c>
      <c r="C879" s="157">
        <v>1</v>
      </c>
      <c r="D879" s="157" t="s">
        <v>468</v>
      </c>
      <c r="E879" s="177" t="s">
        <v>468</v>
      </c>
      <c r="F879" s="233" t="s">
        <v>543</v>
      </c>
      <c r="G879" s="234">
        <v>43339</v>
      </c>
      <c r="H879" s="157" t="s">
        <v>1016</v>
      </c>
      <c r="I879" s="157" t="s">
        <v>1013</v>
      </c>
      <c r="J879" s="237">
        <v>32470</v>
      </c>
      <c r="K879" s="175" t="s">
        <v>61</v>
      </c>
      <c r="L879" s="175" t="s">
        <v>439</v>
      </c>
      <c r="M879" s="175" t="s">
        <v>1343</v>
      </c>
      <c r="N879" s="198"/>
      <c r="O879" s="199"/>
      <c r="P879" s="181">
        <v>0</v>
      </c>
      <c r="Q879" s="177">
        <v>43333</v>
      </c>
      <c r="R879" s="178">
        <v>408.60183000000001</v>
      </c>
      <c r="S879" s="179">
        <v>224596.8</v>
      </c>
      <c r="T879" s="182" t="s">
        <v>45</v>
      </c>
      <c r="U879" s="183">
        <v>4.0118</v>
      </c>
      <c r="V879" s="179">
        <v>15163.2</v>
      </c>
      <c r="W879" s="179">
        <v>0</v>
      </c>
      <c r="X879" s="196" t="s">
        <v>45</v>
      </c>
      <c r="Y879" s="200">
        <v>4.0118</v>
      </c>
      <c r="Z879" s="220"/>
      <c r="AA879" s="201">
        <f>Delivery[[#This Row],[Quantity delivered]]*VLOOKUP(Delivery[[#This Row],[Unit]],References!$U:$X,4,FALSE)*VLOOKUP(CONCATENATE(Delivery[[#This Row],[Coffee specie]],Delivery[[#This Row],[Coffee state]]),References!$U:$X,4,FALSE)</f>
        <v>32470</v>
      </c>
      <c r="AB879" s="202">
        <f>SUMIF(Allocation!C:C,Delivery[[#This Row],[Delivery ID]],Allocation!D:D)/Delivery[[#This Row],[Quantity delivered]]</f>
        <v>1</v>
      </c>
      <c r="AC879" s="203">
        <f>Delivery[[#This Row],[Quantity delivered]]*Delivery[[#This Row],[Base price (Unidad)]]/60</f>
        <v>221121.69033499999</v>
      </c>
      <c r="AD879" s="204">
        <f>Delivery[[#This Row],[Nespresso total]]-Delivery[[#This Row],[Qt. Delivery * Base Price]]</f>
        <v>3475.1096649999963</v>
      </c>
      <c r="AE879" s="204">
        <f>Delivery[[#This Row],[AAA Premium (total)]]/Delivery[[#This Row],[Quantity delivered]]*60/Delivery[[#This Row],[Exchange rate VS USD]]</f>
        <v>6.984262455936693</v>
      </c>
      <c r="AF879" s="204">
        <f>Delivery[[#This Row],[BEN premium (total)]]/Delivery[[#This Row],[Quantity delivered]]*60/Delivery[[#This Row],[Exchange rate for premiums VS USD]]</f>
        <v>0</v>
      </c>
      <c r="AG879" s="204">
        <f>COUNTIF(Delivery[Delivery ID],Delivery[[#This Row],[Delivery ID]])</f>
        <v>1</v>
      </c>
      <c r="AH879" s="204">
        <f>(Delivery[[#This Row],[Nespresso total]]/SUMIF(Allocation!C:C,Delivery[Delivery ID],Allocation!H:H))/Delivery[[#This Row],[Exchange rate VS USD]]</f>
        <v>5.3944928754258576</v>
      </c>
      <c r="AI879" s="204">
        <f>(Delivery[[#This Row],[AAA Premium (total)]]/SUMIF(Allocation!C:C,Delivery[Delivery ID],Allocation!H:H))/Delivery[[#This Row],[Exchange rate VS USD]]</f>
        <v>0.36419830722725061</v>
      </c>
      <c r="AJ879" s="204">
        <f>Delivery[[#This Row],[Valor Prêmio Nespresso AAA por Kg (em US$)]]*60</f>
        <v>21.851898433635036</v>
      </c>
      <c r="AK879" s="204">
        <f>Delivery[[#This Row],[Valor Prêmio Nespresso AAA por saca (em US$)]]/1.3228/100</f>
        <v>0.16519427300903414</v>
      </c>
      <c r="AL879" s="204">
        <f>(Delivery[[#This Row],[BEN premium (total)]]/SUMIF(Allocation!C:C,Delivery[Delivery ID],Allocation!H:H))/Delivery[[#This Row],[Exchange rate for premiums VS USD]]</f>
        <v>0</v>
      </c>
      <c r="AM879" s="204">
        <f>Delivery[[#This Row],[Valor Prêmio Nespresso BEN por Kg (em US$)]]*60</f>
        <v>0</v>
      </c>
      <c r="AN879" s="204">
        <f>Delivery[[#This Row],[Valor Prêmio Nespresso BEN por saca (em US$)]]/1.3228/100</f>
        <v>0</v>
      </c>
      <c r="AO879" s="204">
        <f>SUMIF(Allocation[Delivery ID],Delivery[[#This Row],[Delivery ID]],Allocation[Quantity allocated])*16*1.3228*Delivery[[#This Row],[Exchange rate VS USD]]/60</f>
        <v>14686.417124565332</v>
      </c>
      <c r="AP879" s="204">
        <f>Delivery[[#This Row],[AAA Premium (total)]]</f>
        <v>15163.2</v>
      </c>
      <c r="AQ879" s="204">
        <f>Delivery[[#This Row],[Valor pago pelo Cluster]]-Delivery[[#This Row],[Valor efetivamente pago pela Nespresso]]</f>
        <v>476.78287543466831</v>
      </c>
    </row>
    <row r="880" spans="1:43" ht="15.75">
      <c r="A880" s="174" t="s">
        <v>69</v>
      </c>
      <c r="B880" s="232" t="s">
        <v>68</v>
      </c>
      <c r="C880" s="157">
        <v>1</v>
      </c>
      <c r="D880" s="157" t="s">
        <v>468</v>
      </c>
      <c r="E880" s="177" t="s">
        <v>468</v>
      </c>
      <c r="F880" s="233" t="s">
        <v>543</v>
      </c>
      <c r="G880" s="234">
        <v>43340</v>
      </c>
      <c r="H880" s="157" t="s">
        <v>1017</v>
      </c>
      <c r="I880" s="157" t="s">
        <v>737</v>
      </c>
      <c r="J880" s="237">
        <v>37820</v>
      </c>
      <c r="K880" s="175" t="s">
        <v>61</v>
      </c>
      <c r="L880" s="175" t="s">
        <v>439</v>
      </c>
      <c r="M880" s="175" t="s">
        <v>1343</v>
      </c>
      <c r="N880" s="198"/>
      <c r="O880" s="199"/>
      <c r="P880" s="181">
        <v>0</v>
      </c>
      <c r="Q880" s="177">
        <v>43252</v>
      </c>
      <c r="R880" s="178">
        <v>486.51899999999995</v>
      </c>
      <c r="S880" s="179">
        <v>298197.95058978006</v>
      </c>
      <c r="T880" s="182" t="s">
        <v>45</v>
      </c>
      <c r="U880" s="183">
        <v>3.7949999999999999</v>
      </c>
      <c r="V880" s="179">
        <v>16732.8</v>
      </c>
      <c r="W880" s="179">
        <v>4759.6247051099999</v>
      </c>
      <c r="X880" s="196" t="s">
        <v>45</v>
      </c>
      <c r="Y880" s="200">
        <v>3.7949999999999999</v>
      </c>
      <c r="Z880" s="220" t="s">
        <v>473</v>
      </c>
      <c r="AA880" s="201">
        <f>Delivery[[#This Row],[Quantity delivered]]*VLOOKUP(Delivery[[#This Row],[Unit]],References!$U:$X,4,FALSE)*VLOOKUP(CONCATENATE(Delivery[[#This Row],[Coffee specie]],Delivery[[#This Row],[Coffee state]]),References!$U:$X,4,FALSE)</f>
        <v>37820</v>
      </c>
      <c r="AB880" s="202">
        <f>SUMIF(Allocation!C:C,Delivery[[#This Row],[Delivery ID]],Allocation!D:D)/Delivery[[#This Row],[Quantity delivered]]</f>
        <v>1</v>
      </c>
      <c r="AC880" s="203">
        <f>Delivery[[#This Row],[Quantity delivered]]*Delivery[[#This Row],[Base price (Unidad)]]/60</f>
        <v>306669.14299999998</v>
      </c>
      <c r="AD880" s="204">
        <f>Delivery[[#This Row],[Nespresso total]]-Delivery[[#This Row],[Qt. Delivery * Base Price]]</f>
        <v>-8471.1924102199264</v>
      </c>
      <c r="AE880" s="204">
        <f>Delivery[[#This Row],[AAA Premium (total)]]/Delivery[[#This Row],[Quantity delivered]]*60/Delivery[[#This Row],[Exchange rate VS USD]]</f>
        <v>6.9949814285684422</v>
      </c>
      <c r="AF880" s="204">
        <f>Delivery[[#This Row],[BEN premium (total)]]/Delivery[[#This Row],[Quantity delivered]]*60/Delivery[[#This Row],[Exchange rate for premiums VS USD]]</f>
        <v>1.989714</v>
      </c>
      <c r="AG880" s="204">
        <f>COUNTIF(Delivery[Delivery ID],Delivery[[#This Row],[Delivery ID]])</f>
        <v>1</v>
      </c>
      <c r="AH880" s="204">
        <f>(Delivery[[#This Row],[Nespresso total]]/SUMIF(Allocation!C:C,Delivery[Delivery ID],Allocation!H:H))/Delivery[[#This Row],[Exchange rate VS USD]]</f>
        <v>6.9285367313085935</v>
      </c>
      <c r="AI880" s="204">
        <f>(Delivery[[#This Row],[AAA Premium (total)]]/SUMIF(Allocation!C:C,Delivery[Delivery ID],Allocation!H:H))/Delivery[[#This Row],[Exchange rate VS USD]]</f>
        <v>0.38878140908864373</v>
      </c>
      <c r="AJ880" s="204">
        <f>Delivery[[#This Row],[Valor Prêmio Nespresso AAA por Kg (em US$)]]*60</f>
        <v>23.326884545318624</v>
      </c>
      <c r="AK880" s="204">
        <f>Delivery[[#This Row],[Valor Prêmio Nespresso AAA por saca (em US$)]]/1.3228/100</f>
        <v>0.17634475767552632</v>
      </c>
      <c r="AL880" s="204">
        <f>(Delivery[[#This Row],[BEN premium (total)]]/SUMIF(Allocation!C:C,Delivery[Delivery ID],Allocation!H:H))/Delivery[[#This Row],[Exchange rate for premiums VS USD]]</f>
        <v>0.11058840119918878</v>
      </c>
      <c r="AM880" s="204">
        <f>Delivery[[#This Row],[Valor Prêmio Nespresso BEN por Kg (em US$)]]*60</f>
        <v>6.6353040719513263</v>
      </c>
      <c r="AN880" s="204">
        <f>Delivery[[#This Row],[Valor Prêmio Nespresso BEN por saca (em US$)]]/1.3228/100</f>
        <v>5.0161052857206886E-2</v>
      </c>
      <c r="AO880" s="204">
        <f>SUMIF(Allocation[Delivery ID],Delivery[[#This Row],[Delivery ID]],Allocation[Quantity allocated])*16*1.3228*Delivery[[#This Row],[Exchange rate VS USD]]/60</f>
        <v>15181.897297599999</v>
      </c>
      <c r="AP880" s="204">
        <f>Delivery[[#This Row],[AAA Premium (total)]]</f>
        <v>16732.8</v>
      </c>
      <c r="AQ880" s="204">
        <f>Delivery[[#This Row],[Valor pago pelo Cluster]]-Delivery[[#This Row],[Valor efetivamente pago pela Nespresso]]</f>
        <v>1550.9027024000006</v>
      </c>
    </row>
    <row r="881" spans="1:43" ht="15.75">
      <c r="A881" s="174" t="s">
        <v>69</v>
      </c>
      <c r="B881" s="232" t="s">
        <v>68</v>
      </c>
      <c r="C881" s="157">
        <v>1</v>
      </c>
      <c r="D881" s="157" t="s">
        <v>468</v>
      </c>
      <c r="E881" s="177" t="s">
        <v>468</v>
      </c>
      <c r="F881" s="233" t="s">
        <v>543</v>
      </c>
      <c r="G881" s="234">
        <v>43340</v>
      </c>
      <c r="H881" s="157" t="s">
        <v>1018</v>
      </c>
      <c r="I881" s="157" t="s">
        <v>737</v>
      </c>
      <c r="J881" s="237">
        <v>31780</v>
      </c>
      <c r="K881" s="175" t="s">
        <v>61</v>
      </c>
      <c r="L881" s="175" t="s">
        <v>439</v>
      </c>
      <c r="M881" s="175" t="s">
        <v>1343</v>
      </c>
      <c r="N881" s="198"/>
      <c r="O881" s="199"/>
      <c r="P881" s="181">
        <v>0</v>
      </c>
      <c r="Q881" s="177">
        <v>43252</v>
      </c>
      <c r="R881" s="178">
        <v>486.51899999999995</v>
      </c>
      <c r="S881" s="179">
        <v>250874.21146861999</v>
      </c>
      <c r="T881" s="182" t="s">
        <v>45</v>
      </c>
      <c r="U881" s="183">
        <v>3.7949999999999999</v>
      </c>
      <c r="V881" s="179">
        <v>14076.8</v>
      </c>
      <c r="W881" s="179">
        <v>3999.4942656899993</v>
      </c>
      <c r="X881" s="196" t="s">
        <v>45</v>
      </c>
      <c r="Y881" s="200">
        <v>3.7949999999999999</v>
      </c>
      <c r="Z881" s="220" t="s">
        <v>473</v>
      </c>
      <c r="AA881" s="201">
        <f>Delivery[[#This Row],[Quantity delivered]]*VLOOKUP(Delivery[[#This Row],[Unit]],References!$U:$X,4,FALSE)*VLOOKUP(CONCATENATE(Delivery[[#This Row],[Coffee specie]],Delivery[[#This Row],[Coffee state]]),References!$U:$X,4,FALSE)</f>
        <v>31780</v>
      </c>
      <c r="AB881" s="202">
        <f>SUMIF(Allocation!C:C,Delivery[[#This Row],[Delivery ID]],Allocation!D:D)/Delivery[[#This Row],[Quantity delivered]]</f>
        <v>1</v>
      </c>
      <c r="AC881" s="203">
        <f>Delivery[[#This Row],[Quantity delivered]]*Delivery[[#This Row],[Base price (Unidad)]]/60</f>
        <v>257692.89699999997</v>
      </c>
      <c r="AD881" s="204">
        <f>Delivery[[#This Row],[Nespresso total]]-Delivery[[#This Row],[Qt. Delivery * Base Price]]</f>
        <v>-6818.6855313799751</v>
      </c>
      <c r="AE881" s="204">
        <f>Delivery[[#This Row],[AAA Premium (total)]]/Delivery[[#This Row],[Quantity delivered]]*60/Delivery[[#This Row],[Exchange rate VS USD]]</f>
        <v>7.0030869341346254</v>
      </c>
      <c r="AF881" s="204">
        <f>Delivery[[#This Row],[BEN premium (total)]]/Delivery[[#This Row],[Quantity delivered]]*60/Delivery[[#This Row],[Exchange rate for premiums VS USD]]</f>
        <v>1.9897139999999998</v>
      </c>
      <c r="AG881" s="204">
        <f>COUNTIF(Delivery[Delivery ID],Delivery[[#This Row],[Delivery ID]])</f>
        <v>1</v>
      </c>
      <c r="AH881" s="204">
        <f>(Delivery[[#This Row],[Nespresso total]]/SUMIF(Allocation!C:C,Delivery[Delivery ID],Allocation!H:H))/Delivery[[#This Row],[Exchange rate VS USD]]</f>
        <v>6.879645289409317</v>
      </c>
      <c r="AI881" s="204">
        <f>(Delivery[[#This Row],[AAA Premium (total)]]/SUMIF(Allocation!C:C,Delivery[Delivery ID],Allocation!H:H))/Delivery[[#This Row],[Exchange rate VS USD]]</f>
        <v>0.3860236978644993</v>
      </c>
      <c r="AJ881" s="204">
        <f>Delivery[[#This Row],[Valor Prêmio Nespresso AAA por Kg (em US$)]]*60</f>
        <v>23.161421871869958</v>
      </c>
      <c r="AK881" s="204">
        <f>Delivery[[#This Row],[Valor Prêmio Nespresso AAA por saca (em US$)]]/1.3228/100</f>
        <v>0.17509390589559992</v>
      </c>
      <c r="AL881" s="204">
        <f>(Delivery[[#This Row],[BEN premium (total)]]/SUMIF(Allocation!C:C,Delivery[Delivery ID],Allocation!H:H))/Delivery[[#This Row],[Exchange rate for premiums VS USD]]</f>
        <v>0.10967688437922779</v>
      </c>
      <c r="AM881" s="204">
        <f>Delivery[[#This Row],[Valor Prêmio Nespresso BEN por Kg (em US$)]]*60</f>
        <v>6.5806130627536676</v>
      </c>
      <c r="AN881" s="204">
        <f>Delivery[[#This Row],[Valor Prêmio Nespresso BEN por saca (em US$)]]/1.3228/100</f>
        <v>4.9747604042588961E-2</v>
      </c>
      <c r="AO881" s="204">
        <f>SUMIF(Allocation[Delivery ID],Delivery[[#This Row],[Delivery ID]],Allocation[Quantity allocated])*16*1.3228*Delivery[[#This Row],[Exchange rate VS USD]]/60</f>
        <v>12863.314622400001</v>
      </c>
      <c r="AP881" s="204">
        <f>Delivery[[#This Row],[AAA Premium (total)]]</f>
        <v>14076.8</v>
      </c>
      <c r="AQ881" s="204">
        <f>Delivery[[#This Row],[Valor pago pelo Cluster]]-Delivery[[#This Row],[Valor efetivamente pago pela Nespresso]]</f>
        <v>1213.4853775999982</v>
      </c>
    </row>
    <row r="882" spans="1:43" ht="15.75">
      <c r="A882" s="174" t="s">
        <v>69</v>
      </c>
      <c r="B882" s="232" t="s">
        <v>68</v>
      </c>
      <c r="C882" s="157">
        <v>1</v>
      </c>
      <c r="D882" s="157" t="s">
        <v>468</v>
      </c>
      <c r="E882" s="177" t="s">
        <v>468</v>
      </c>
      <c r="F882" s="233" t="s">
        <v>543</v>
      </c>
      <c r="G882" s="234">
        <v>43340</v>
      </c>
      <c r="H882" s="157" t="s">
        <v>1019</v>
      </c>
      <c r="I882" s="157" t="s">
        <v>1020</v>
      </c>
      <c r="J882" s="237">
        <v>34180</v>
      </c>
      <c r="K882" s="175" t="s">
        <v>61</v>
      </c>
      <c r="L882" s="175" t="s">
        <v>439</v>
      </c>
      <c r="M882" s="175" t="s">
        <v>1343</v>
      </c>
      <c r="N882" s="198"/>
      <c r="O882" s="199"/>
      <c r="P882" s="181">
        <v>0</v>
      </c>
      <c r="Q882" s="177">
        <v>43334</v>
      </c>
      <c r="R882" s="178">
        <v>411.80304000000007</v>
      </c>
      <c r="S882" s="179">
        <v>235860.3</v>
      </c>
      <c r="T882" s="182" t="s">
        <v>45</v>
      </c>
      <c r="U882" s="183">
        <v>4.0692000000000004</v>
      </c>
      <c r="V882" s="179">
        <v>16233.59</v>
      </c>
      <c r="W882" s="179">
        <v>0</v>
      </c>
      <c r="X882" s="196" t="s">
        <v>45</v>
      </c>
      <c r="Y882" s="200">
        <v>4.0692000000000004</v>
      </c>
      <c r="Z882" s="220"/>
      <c r="AA882" s="201">
        <f>Delivery[[#This Row],[Quantity delivered]]*VLOOKUP(Delivery[[#This Row],[Unit]],References!$U:$X,4,FALSE)*VLOOKUP(CONCATENATE(Delivery[[#This Row],[Coffee specie]],Delivery[[#This Row],[Coffee state]]),References!$U:$X,4,FALSE)</f>
        <v>34180</v>
      </c>
      <c r="AB882" s="202">
        <f>SUMIF(Allocation!C:C,Delivery[[#This Row],[Delivery ID]],Allocation!D:D)/Delivery[[#This Row],[Quantity delivered]]</f>
        <v>1</v>
      </c>
      <c r="AC882" s="203">
        <f>Delivery[[#This Row],[Quantity delivered]]*Delivery[[#This Row],[Base price (Unidad)]]/60</f>
        <v>234590.46512000004</v>
      </c>
      <c r="AD882" s="204">
        <f>Delivery[[#This Row],[Nespresso total]]-Delivery[[#This Row],[Qt. Delivery * Base Price]]</f>
        <v>1269.8348799999512</v>
      </c>
      <c r="AE882" s="204">
        <f>Delivery[[#This Row],[AAA Premium (total)]]/Delivery[[#This Row],[Quantity delivered]]*60/Delivery[[#This Row],[Exchange rate VS USD]]</f>
        <v>7.0030097223245571</v>
      </c>
      <c r="AF882" s="204">
        <f>Delivery[[#This Row],[BEN premium (total)]]/Delivery[[#This Row],[Quantity delivered]]*60/Delivery[[#This Row],[Exchange rate for premiums VS USD]]</f>
        <v>0</v>
      </c>
      <c r="AG882" s="204">
        <f>COUNTIF(Delivery[Delivery ID],Delivery[[#This Row],[Delivery ID]])</f>
        <v>1</v>
      </c>
      <c r="AH882" s="204">
        <f>(Delivery[[#This Row],[Nespresso total]]/SUMIF(Allocation!C:C,Delivery[Delivery ID],Allocation!H:H))/Delivery[[#This Row],[Exchange rate VS USD]]</f>
        <v>5.7668218831232902</v>
      </c>
      <c r="AI882" s="204">
        <f>(Delivery[[#This Row],[AAA Premium (total)]]/SUMIF(Allocation!C:C,Delivery[Delivery ID],Allocation!H:H))/Delivery[[#This Row],[Exchange rate VS USD]]</f>
        <v>0.39691385982995614</v>
      </c>
      <c r="AJ882" s="204">
        <f>Delivery[[#This Row],[Valor Prêmio Nespresso AAA por Kg (em US$)]]*60</f>
        <v>23.814831589797368</v>
      </c>
      <c r="AK882" s="204">
        <f>Delivery[[#This Row],[Valor Prêmio Nespresso AAA por saca (em US$)]]/1.3228/100</f>
        <v>0.18003350158600973</v>
      </c>
      <c r="AL882" s="204">
        <f>(Delivery[[#This Row],[BEN premium (total)]]/SUMIF(Allocation!C:C,Delivery[Delivery ID],Allocation!H:H))/Delivery[[#This Row],[Exchange rate for premiums VS USD]]</f>
        <v>0</v>
      </c>
      <c r="AM882" s="204">
        <f>Delivery[[#This Row],[Valor Prêmio Nespresso BEN por Kg (em US$)]]*60</f>
        <v>0</v>
      </c>
      <c r="AN882" s="204">
        <f>Delivery[[#This Row],[Valor Prêmio Nespresso BEN por saca (em US$)]]/1.3228/100</f>
        <v>0</v>
      </c>
      <c r="AO882" s="204">
        <f>SUMIF(Allocation[Delivery ID],Delivery[[#This Row],[Delivery ID]],Allocation[Quantity allocated])*16*1.3228*Delivery[[#This Row],[Exchange rate VS USD]]/60</f>
        <v>14427.172593536001</v>
      </c>
      <c r="AP882" s="204">
        <f>Delivery[[#This Row],[AAA Premium (total)]]</f>
        <v>16233.59</v>
      </c>
      <c r="AQ882" s="204">
        <f>Delivery[[#This Row],[Valor pago pelo Cluster]]-Delivery[[#This Row],[Valor efetivamente pago pela Nespresso]]</f>
        <v>1806.4174064639992</v>
      </c>
    </row>
    <row r="883" spans="1:43" ht="15.75">
      <c r="A883" s="174" t="s">
        <v>69</v>
      </c>
      <c r="B883" s="232" t="s">
        <v>68</v>
      </c>
      <c r="C883" s="157">
        <v>1</v>
      </c>
      <c r="D883" s="157" t="s">
        <v>468</v>
      </c>
      <c r="E883" s="177" t="s">
        <v>468</v>
      </c>
      <c r="F883" s="233" t="s">
        <v>543</v>
      </c>
      <c r="G883" s="234">
        <v>43340</v>
      </c>
      <c r="H883" s="157" t="s">
        <v>1021</v>
      </c>
      <c r="I883" s="157" t="s">
        <v>1020</v>
      </c>
      <c r="J883" s="237">
        <v>13420</v>
      </c>
      <c r="K883" s="175" t="s">
        <v>61</v>
      </c>
      <c r="L883" s="175" t="s">
        <v>439</v>
      </c>
      <c r="M883" s="175" t="s">
        <v>1343</v>
      </c>
      <c r="N883" s="198"/>
      <c r="O883" s="199"/>
      <c r="P883" s="181">
        <v>0</v>
      </c>
      <c r="Q883" s="177">
        <v>43334</v>
      </c>
      <c r="R883" s="178">
        <v>411.80304000000007</v>
      </c>
      <c r="S883" s="179">
        <v>92688.960000000006</v>
      </c>
      <c r="T883" s="182" t="s">
        <v>45</v>
      </c>
      <c r="U883" s="183">
        <v>4.0692000000000004</v>
      </c>
      <c r="V883" s="179">
        <v>6379.51</v>
      </c>
      <c r="W883" s="179">
        <v>0</v>
      </c>
      <c r="X883" s="196" t="s">
        <v>45</v>
      </c>
      <c r="Y883" s="200">
        <v>4.0692000000000004</v>
      </c>
      <c r="Z883" s="220"/>
      <c r="AA883" s="201">
        <f>Delivery[[#This Row],[Quantity delivered]]*VLOOKUP(Delivery[[#This Row],[Unit]],References!$U:$X,4,FALSE)*VLOOKUP(CONCATENATE(Delivery[[#This Row],[Coffee specie]],Delivery[[#This Row],[Coffee state]]),References!$U:$X,4,FALSE)</f>
        <v>13420</v>
      </c>
      <c r="AB883" s="202">
        <f>SUMIF(Allocation!C:C,Delivery[[#This Row],[Delivery ID]],Allocation!D:D)/Delivery[[#This Row],[Quantity delivered]]</f>
        <v>1</v>
      </c>
      <c r="AC883" s="203">
        <f>Delivery[[#This Row],[Quantity delivered]]*Delivery[[#This Row],[Base price (Unidad)]]/60</f>
        <v>92106.613280000005</v>
      </c>
      <c r="AD883" s="204">
        <f>Delivery[[#This Row],[Nespresso total]]-Delivery[[#This Row],[Qt. Delivery * Base Price]]</f>
        <v>582.34672000000137</v>
      </c>
      <c r="AE883" s="204">
        <f>Delivery[[#This Row],[AAA Premium (total)]]/Delivery[[#This Row],[Quantity delivered]]*60/Delivery[[#This Row],[Exchange rate VS USD]]</f>
        <v>7.0093382984062744</v>
      </c>
      <c r="AF883" s="204">
        <f>Delivery[[#This Row],[BEN premium (total)]]/Delivery[[#This Row],[Quantity delivered]]*60/Delivery[[#This Row],[Exchange rate for premiums VS USD]]</f>
        <v>0</v>
      </c>
      <c r="AG883" s="204">
        <f>COUNTIF(Delivery[Delivery ID],Delivery[[#This Row],[Delivery ID]])</f>
        <v>1</v>
      </c>
      <c r="AH883" s="204">
        <f>(Delivery[[#This Row],[Nespresso total]]/SUMIF(Allocation!C:C,Delivery[Delivery ID],Allocation!H:H))/Delivery[[#This Row],[Exchange rate VS USD]]</f>
        <v>5.7783301696480409</v>
      </c>
      <c r="AI883" s="204">
        <f>(Delivery[[#This Row],[AAA Premium (total)]]/SUMIF(Allocation!C:C,Delivery[Delivery ID],Allocation!H:H))/Delivery[[#This Row],[Exchange rate VS USD]]</f>
        <v>0.39770556386188149</v>
      </c>
      <c r="AJ883" s="204">
        <f>Delivery[[#This Row],[Valor Prêmio Nespresso AAA por Kg (em US$)]]*60</f>
        <v>23.862333831712888</v>
      </c>
      <c r="AK883" s="204">
        <f>Delivery[[#This Row],[Valor Prêmio Nespresso AAA por saca (em US$)]]/1.3228/100</f>
        <v>0.18039260531987367</v>
      </c>
      <c r="AL883" s="204">
        <f>(Delivery[[#This Row],[BEN premium (total)]]/SUMIF(Allocation!C:C,Delivery[Delivery ID],Allocation!H:H))/Delivery[[#This Row],[Exchange rate for premiums VS USD]]</f>
        <v>0</v>
      </c>
      <c r="AM883" s="204">
        <f>Delivery[[#This Row],[Valor Prêmio Nespresso BEN por Kg (em US$)]]*60</f>
        <v>0</v>
      </c>
      <c r="AN883" s="204">
        <f>Delivery[[#This Row],[Valor Prêmio Nespresso BEN por saca (em US$)]]/1.3228/100</f>
        <v>0</v>
      </c>
      <c r="AO883" s="204">
        <f>SUMIF(Allocation[Delivery ID],Delivery[[#This Row],[Delivery ID]],Allocation[Quantity allocated])*16*1.3228*Delivery[[#This Row],[Exchange rate VS USD]]/60</f>
        <v>5658.3339333120002</v>
      </c>
      <c r="AP883" s="204">
        <f>Delivery[[#This Row],[AAA Premium (total)]]</f>
        <v>6379.51</v>
      </c>
      <c r="AQ883" s="204">
        <f>Delivery[[#This Row],[Valor pago pelo Cluster]]-Delivery[[#This Row],[Valor efetivamente pago pela Nespresso]]</f>
        <v>721.17606668799999</v>
      </c>
    </row>
    <row r="884" spans="1:43" ht="15.75">
      <c r="A884" s="174" t="s">
        <v>69</v>
      </c>
      <c r="B884" s="232" t="s">
        <v>68</v>
      </c>
      <c r="C884" s="157">
        <v>1</v>
      </c>
      <c r="D884" s="157" t="s">
        <v>468</v>
      </c>
      <c r="E884" s="177" t="s">
        <v>468</v>
      </c>
      <c r="F884" s="233" t="s">
        <v>543</v>
      </c>
      <c r="G884" s="234">
        <v>43340</v>
      </c>
      <c r="H884" s="157" t="s">
        <v>1022</v>
      </c>
      <c r="I884" s="157" t="s">
        <v>737</v>
      </c>
      <c r="J884" s="237">
        <v>31770</v>
      </c>
      <c r="K884" s="175" t="s">
        <v>61</v>
      </c>
      <c r="L884" s="175" t="s">
        <v>439</v>
      </c>
      <c r="M884" s="175" t="s">
        <v>1343</v>
      </c>
      <c r="N884" s="198"/>
      <c r="O884" s="199"/>
      <c r="P884" s="181">
        <v>0</v>
      </c>
      <c r="Q884" s="177">
        <v>43252</v>
      </c>
      <c r="R884" s="178">
        <v>486.51899999999995</v>
      </c>
      <c r="S884" s="179">
        <v>250876.72845683002</v>
      </c>
      <c r="T884" s="182" t="s">
        <v>45</v>
      </c>
      <c r="U884" s="183">
        <v>3.7949999999999999</v>
      </c>
      <c r="V884" s="179">
        <v>14076.8</v>
      </c>
      <c r="W884" s="179">
        <v>3998.2357715849998</v>
      </c>
      <c r="X884" s="196" t="s">
        <v>45</v>
      </c>
      <c r="Y884" s="200">
        <v>3.7949999999999999</v>
      </c>
      <c r="Z884" s="220" t="s">
        <v>473</v>
      </c>
      <c r="AA884" s="201">
        <f>Delivery[[#This Row],[Quantity delivered]]*VLOOKUP(Delivery[[#This Row],[Unit]],References!$U:$X,4,FALSE)*VLOOKUP(CONCATENATE(Delivery[[#This Row],[Coffee specie]],Delivery[[#This Row],[Coffee state]]),References!$U:$X,4,FALSE)</f>
        <v>31770</v>
      </c>
      <c r="AB884" s="202">
        <f>SUMIF(Allocation!C:C,Delivery[[#This Row],[Delivery ID]],Allocation!D:D)/Delivery[[#This Row],[Quantity delivered]]</f>
        <v>1</v>
      </c>
      <c r="AC884" s="203">
        <f>Delivery[[#This Row],[Quantity delivered]]*Delivery[[#This Row],[Base price (Unidad)]]/60</f>
        <v>257611.81049999999</v>
      </c>
      <c r="AD884" s="204">
        <f>Delivery[[#This Row],[Nespresso total]]-Delivery[[#This Row],[Qt. Delivery * Base Price]]</f>
        <v>-6735.0820431699685</v>
      </c>
      <c r="AE884" s="204">
        <f>Delivery[[#This Row],[AAA Premium (total)]]/Delivery[[#This Row],[Quantity delivered]]*60/Delivery[[#This Row],[Exchange rate VS USD]]</f>
        <v>7.0052912422662388</v>
      </c>
      <c r="AF884" s="204">
        <f>Delivery[[#This Row],[BEN premium (total)]]/Delivery[[#This Row],[Quantity delivered]]*60/Delivery[[#This Row],[Exchange rate for premiums VS USD]]</f>
        <v>1.989714</v>
      </c>
      <c r="AG884" s="204">
        <f>COUNTIF(Delivery[Delivery ID],Delivery[[#This Row],[Delivery ID]])</f>
        <v>1</v>
      </c>
      <c r="AH884" s="204">
        <f>(Delivery[[#This Row],[Nespresso total]]/SUMIF(Allocation!C:C,Delivery[Delivery ID],Allocation!H:H))/Delivery[[#This Row],[Exchange rate VS USD]]</f>
        <v>6.8797143119923128</v>
      </c>
      <c r="AI884" s="204">
        <f>(Delivery[[#This Row],[AAA Premium (total)]]/SUMIF(Allocation!C:C,Delivery[Delivery ID],Allocation!H:H))/Delivery[[#This Row],[Exchange rate VS USD]]</f>
        <v>0.3860236978644993</v>
      </c>
      <c r="AJ884" s="204">
        <f>Delivery[[#This Row],[Valor Prêmio Nespresso AAA por Kg (em US$)]]*60</f>
        <v>23.161421871869958</v>
      </c>
      <c r="AK884" s="204">
        <f>Delivery[[#This Row],[Valor Prêmio Nespresso AAA por saca (em US$)]]/1.3228/100</f>
        <v>0.17509390589559992</v>
      </c>
      <c r="AL884" s="204">
        <f>(Delivery[[#This Row],[BEN premium (total)]]/SUMIF(Allocation!C:C,Delivery[Delivery ID],Allocation!H:H))/Delivery[[#This Row],[Exchange rate for premiums VS USD]]</f>
        <v>0.10964237308773025</v>
      </c>
      <c r="AM884" s="204">
        <f>Delivery[[#This Row],[Valor Prêmio Nespresso BEN por Kg (em US$)]]*60</f>
        <v>6.5785423852638152</v>
      </c>
      <c r="AN884" s="204">
        <f>Delivery[[#This Row],[Valor Prêmio Nespresso BEN por saca (em US$)]]/1.3228/100</f>
        <v>4.9731950296823521E-2</v>
      </c>
      <c r="AO884" s="204">
        <f>SUMIF(Allocation[Delivery ID],Delivery[[#This Row],[Delivery ID]],Allocation[Quantity allocated])*16*1.3228*Delivery[[#This Row],[Exchange rate VS USD]]/60</f>
        <v>12863.314622400001</v>
      </c>
      <c r="AP884" s="204">
        <f>Delivery[[#This Row],[AAA Premium (total)]]</f>
        <v>14076.8</v>
      </c>
      <c r="AQ884" s="204">
        <f>Delivery[[#This Row],[Valor pago pelo Cluster]]-Delivery[[#This Row],[Valor efetivamente pago pela Nespresso]]</f>
        <v>1213.4853775999982</v>
      </c>
    </row>
    <row r="885" spans="1:43" ht="15.75">
      <c r="A885" s="174" t="s">
        <v>69</v>
      </c>
      <c r="B885" s="232" t="s">
        <v>68</v>
      </c>
      <c r="C885" s="157">
        <v>1</v>
      </c>
      <c r="D885" s="157" t="s">
        <v>468</v>
      </c>
      <c r="E885" s="177" t="s">
        <v>468</v>
      </c>
      <c r="F885" s="233" t="s">
        <v>543</v>
      </c>
      <c r="G885" s="234">
        <v>43340</v>
      </c>
      <c r="H885" s="157" t="s">
        <v>1023</v>
      </c>
      <c r="I885" s="157" t="s">
        <v>737</v>
      </c>
      <c r="J885" s="237">
        <v>31830</v>
      </c>
      <c r="K885" s="175" t="s">
        <v>61</v>
      </c>
      <c r="L885" s="175" t="s">
        <v>439</v>
      </c>
      <c r="M885" s="175" t="s">
        <v>1343</v>
      </c>
      <c r="N885" s="198"/>
      <c r="O885" s="199"/>
      <c r="P885" s="181">
        <v>0</v>
      </c>
      <c r="Q885" s="177">
        <v>43252</v>
      </c>
      <c r="R885" s="178">
        <v>486.51899999999995</v>
      </c>
      <c r="S885" s="179">
        <v>250861.62652757001</v>
      </c>
      <c r="T885" s="182" t="s">
        <v>45</v>
      </c>
      <c r="U885" s="183">
        <v>3.7949999999999999</v>
      </c>
      <c r="V885" s="179">
        <v>14076.8</v>
      </c>
      <c r="W885" s="179">
        <v>4005.7867362149996</v>
      </c>
      <c r="X885" s="196" t="s">
        <v>45</v>
      </c>
      <c r="Y885" s="200">
        <v>3.7949999999999999</v>
      </c>
      <c r="Z885" s="220" t="s">
        <v>473</v>
      </c>
      <c r="AA885" s="201">
        <f>Delivery[[#This Row],[Quantity delivered]]*VLOOKUP(Delivery[[#This Row],[Unit]],References!$U:$X,4,FALSE)*VLOOKUP(CONCATENATE(Delivery[[#This Row],[Coffee specie]],Delivery[[#This Row],[Coffee state]]),References!$U:$X,4,FALSE)</f>
        <v>31830</v>
      </c>
      <c r="AB885" s="202">
        <f>SUMIF(Allocation!C:C,Delivery[[#This Row],[Delivery ID]],Allocation!D:D)/Delivery[[#This Row],[Quantity delivered]]</f>
        <v>1</v>
      </c>
      <c r="AC885" s="203">
        <f>Delivery[[#This Row],[Quantity delivered]]*Delivery[[#This Row],[Base price (Unidad)]]/60</f>
        <v>258098.32949999996</v>
      </c>
      <c r="AD885" s="204">
        <f>Delivery[[#This Row],[Nespresso total]]-Delivery[[#This Row],[Qt. Delivery * Base Price]]</f>
        <v>-7236.70297242995</v>
      </c>
      <c r="AE885" s="204">
        <f>Delivery[[#This Row],[AAA Premium (total)]]/Delivery[[#This Row],[Quantity delivered]]*60/Delivery[[#This Row],[Exchange rate VS USD]]</f>
        <v>6.9920861692365195</v>
      </c>
      <c r="AF885" s="204">
        <f>Delivery[[#This Row],[BEN premium (total)]]/Delivery[[#This Row],[Quantity delivered]]*60/Delivery[[#This Row],[Exchange rate for premiums VS USD]]</f>
        <v>1.9897139999999998</v>
      </c>
      <c r="AG885" s="204">
        <f>COUNTIF(Delivery[Delivery ID],Delivery[[#This Row],[Delivery ID]])</f>
        <v>1</v>
      </c>
      <c r="AH885" s="204">
        <f>(Delivery[[#This Row],[Nespresso total]]/SUMIF(Allocation!C:C,Delivery[Delivery ID],Allocation!H:H))/Delivery[[#This Row],[Exchange rate VS USD]]</f>
        <v>6.9218005650192804</v>
      </c>
      <c r="AI885" s="204">
        <f>(Delivery[[#This Row],[AAA Premium (total)]]/SUMIF(Allocation!C:C,Delivery[Delivery ID],Allocation!H:H))/Delivery[[#This Row],[Exchange rate VS USD]]</f>
        <v>0.38840855631203913</v>
      </c>
      <c r="AJ885" s="204">
        <f>Delivery[[#This Row],[Valor Prêmio Nespresso AAA por Kg (em US$)]]*60</f>
        <v>23.304513378722348</v>
      </c>
      <c r="AK885" s="204">
        <f>Delivery[[#This Row],[Valor Prêmio Nespresso AAA por saca (em US$)]]/1.3228/100</f>
        <v>0.17617563787966697</v>
      </c>
      <c r="AL885" s="204">
        <f>(Delivery[[#This Row],[BEN premium (total)]]/SUMIF(Allocation!C:C,Delivery[Delivery ID],Allocation!H:H))/Delivery[[#This Row],[Exchange rate for premiums VS USD]]</f>
        <v>0.11052809183246073</v>
      </c>
      <c r="AM885" s="204">
        <f>Delivery[[#This Row],[Valor Prêmio Nespresso BEN por Kg (em US$)]]*60</f>
        <v>6.6316855099476442</v>
      </c>
      <c r="AN885" s="204">
        <f>Delivery[[#This Row],[Valor Prêmio Nespresso BEN por saca (em US$)]]/1.3228/100</f>
        <v>5.01336975351349E-2</v>
      </c>
      <c r="AO885" s="204">
        <f>SUMIF(Allocation[Delivery ID],Delivery[[#This Row],[Delivery ID]],Allocation[Quantity allocated])*16*1.3228*Delivery[[#This Row],[Exchange rate VS USD]]/60</f>
        <v>12784.33288</v>
      </c>
      <c r="AP885" s="204">
        <f>Delivery[[#This Row],[AAA Premium (total)]]</f>
        <v>14076.8</v>
      </c>
      <c r="AQ885" s="204">
        <f>Delivery[[#This Row],[Valor pago pelo Cluster]]-Delivery[[#This Row],[Valor efetivamente pago pela Nespresso]]</f>
        <v>1292.4671199999993</v>
      </c>
    </row>
    <row r="886" spans="1:43" ht="15.75">
      <c r="A886" s="174" t="s">
        <v>69</v>
      </c>
      <c r="B886" s="232" t="s">
        <v>68</v>
      </c>
      <c r="C886" s="157">
        <v>1</v>
      </c>
      <c r="D886" s="157" t="s">
        <v>468</v>
      </c>
      <c r="E886" s="177" t="s">
        <v>468</v>
      </c>
      <c r="F886" s="233" t="s">
        <v>543</v>
      </c>
      <c r="G886" s="234">
        <v>43340</v>
      </c>
      <c r="H886" s="157" t="s">
        <v>1024</v>
      </c>
      <c r="I886" s="157" t="s">
        <v>737</v>
      </c>
      <c r="J886" s="237">
        <v>31870</v>
      </c>
      <c r="K886" s="175" t="s">
        <v>61</v>
      </c>
      <c r="L886" s="175" t="s">
        <v>439</v>
      </c>
      <c r="M886" s="175" t="s">
        <v>1343</v>
      </c>
      <c r="N886" s="198"/>
      <c r="O886" s="199"/>
      <c r="P886" s="181">
        <v>0</v>
      </c>
      <c r="Q886" s="177">
        <v>43252</v>
      </c>
      <c r="R886" s="178">
        <v>486.51899999999995</v>
      </c>
      <c r="S886" s="179">
        <v>250851.55857473001</v>
      </c>
      <c r="T886" s="182" t="s">
        <v>45</v>
      </c>
      <c r="U886" s="183">
        <v>3.7949999999999999</v>
      </c>
      <c r="V886" s="179">
        <v>14076.8</v>
      </c>
      <c r="W886" s="179">
        <v>4010.8207126349998</v>
      </c>
      <c r="X886" s="196" t="s">
        <v>45</v>
      </c>
      <c r="Y886" s="200">
        <v>3.7949999999999999</v>
      </c>
      <c r="Z886" s="220" t="s">
        <v>473</v>
      </c>
      <c r="AA886" s="201">
        <f>Delivery[[#This Row],[Quantity delivered]]*VLOOKUP(Delivery[[#This Row],[Unit]],References!$U:$X,4,FALSE)*VLOOKUP(CONCATENATE(Delivery[[#This Row],[Coffee specie]],Delivery[[#This Row],[Coffee state]]),References!$U:$X,4,FALSE)</f>
        <v>31870</v>
      </c>
      <c r="AB886" s="202">
        <f>SUMIF(Allocation!C:C,Delivery[[#This Row],[Delivery ID]],Allocation!D:D)/Delivery[[#This Row],[Quantity delivered]]</f>
        <v>1</v>
      </c>
      <c r="AC886" s="203">
        <f>Delivery[[#This Row],[Quantity delivered]]*Delivery[[#This Row],[Base price (Unidad)]]/60</f>
        <v>258422.67549999995</v>
      </c>
      <c r="AD886" s="204">
        <f>Delivery[[#This Row],[Nespresso total]]-Delivery[[#This Row],[Qt. Delivery * Base Price]]</f>
        <v>-7571.1169252699474</v>
      </c>
      <c r="AE886" s="204">
        <f>Delivery[[#This Row],[AAA Premium (total)]]/Delivery[[#This Row],[Quantity delivered]]*60/Delivery[[#This Row],[Exchange rate VS USD]]</f>
        <v>6.9833104100030878</v>
      </c>
      <c r="AF886" s="204">
        <f>Delivery[[#This Row],[BEN premium (total)]]/Delivery[[#This Row],[Quantity delivered]]*60/Delivery[[#This Row],[Exchange rate for premiums VS USD]]</f>
        <v>1.989714</v>
      </c>
      <c r="AG886" s="204">
        <f>COUNTIF(Delivery[Delivery ID],Delivery[[#This Row],[Delivery ID]])</f>
        <v>1</v>
      </c>
      <c r="AH886" s="204">
        <f>(Delivery[[#This Row],[Nespresso total]]/SUMIF(Allocation!C:C,Delivery[Delivery ID],Allocation!H:H))/Delivery[[#This Row],[Exchange rate VS USD]]</f>
        <v>6.8790240861623611</v>
      </c>
      <c r="AI886" s="204">
        <f>(Delivery[[#This Row],[AAA Premium (total)]]/SUMIF(Allocation!C:C,Delivery[Delivery ID],Allocation!H:H))/Delivery[[#This Row],[Exchange rate VS USD]]</f>
        <v>0.3860236978644993</v>
      </c>
      <c r="AJ886" s="204">
        <f>Delivery[[#This Row],[Valor Prêmio Nespresso AAA por Kg (em US$)]]*60</f>
        <v>23.161421871869958</v>
      </c>
      <c r="AK886" s="204">
        <f>Delivery[[#This Row],[Valor Prêmio Nespresso AAA por saca (em US$)]]/1.3228/100</f>
        <v>0.17509390589559992</v>
      </c>
      <c r="AL886" s="204">
        <f>(Delivery[[#This Row],[BEN premium (total)]]/SUMIF(Allocation!C:C,Delivery[Delivery ID],Allocation!H:H))/Delivery[[#This Row],[Exchange rate for premiums VS USD]]</f>
        <v>0.10998748600270579</v>
      </c>
      <c r="AM886" s="204">
        <f>Delivery[[#This Row],[Valor Prêmio Nespresso BEN por Kg (em US$)]]*60</f>
        <v>6.5992491601623477</v>
      </c>
      <c r="AN886" s="204">
        <f>Delivery[[#This Row],[Valor Prêmio Nespresso BEN por saca (em US$)]]/1.3228/100</f>
        <v>4.9888487754477982E-2</v>
      </c>
      <c r="AO886" s="204">
        <f>SUMIF(Allocation[Delivery ID],Delivery[[#This Row],[Delivery ID]],Allocation[Quantity allocated])*16*1.3228*Delivery[[#This Row],[Exchange rate VS USD]]/60</f>
        <v>12863.314622400001</v>
      </c>
      <c r="AP886" s="204">
        <f>Delivery[[#This Row],[AAA Premium (total)]]</f>
        <v>14076.8</v>
      </c>
      <c r="AQ886" s="204">
        <f>Delivery[[#This Row],[Valor pago pelo Cluster]]-Delivery[[#This Row],[Valor efetivamente pago pela Nespresso]]</f>
        <v>1213.4853775999982</v>
      </c>
    </row>
    <row r="887" spans="1:43" ht="15.75">
      <c r="A887" s="174" t="s">
        <v>69</v>
      </c>
      <c r="B887" s="232" t="s">
        <v>68</v>
      </c>
      <c r="C887" s="157">
        <v>1</v>
      </c>
      <c r="D887" s="157" t="s">
        <v>468</v>
      </c>
      <c r="E887" s="177" t="s">
        <v>468</v>
      </c>
      <c r="F887" s="233" t="s">
        <v>543</v>
      </c>
      <c r="G887" s="234">
        <v>43341</v>
      </c>
      <c r="H887" s="157" t="s">
        <v>1025</v>
      </c>
      <c r="I887" s="157" t="s">
        <v>737</v>
      </c>
      <c r="J887" s="237">
        <v>31230</v>
      </c>
      <c r="K887" s="175" t="s">
        <v>61</v>
      </c>
      <c r="L887" s="175" t="s">
        <v>439</v>
      </c>
      <c r="M887" s="175" t="s">
        <v>1343</v>
      </c>
      <c r="N887" s="198"/>
      <c r="O887" s="199"/>
      <c r="P887" s="181">
        <v>0</v>
      </c>
      <c r="Q887" s="177">
        <v>43252</v>
      </c>
      <c r="R887" s="178">
        <v>486.51899999999995</v>
      </c>
      <c r="S887" s="179">
        <v>246128.24582016998</v>
      </c>
      <c r="T887" s="182" t="s">
        <v>45</v>
      </c>
      <c r="U887" s="183">
        <v>3.7949999999999999</v>
      </c>
      <c r="V887" s="179">
        <v>13811.2</v>
      </c>
      <c r="W887" s="179">
        <v>3930.2770899149996</v>
      </c>
      <c r="X887" s="196" t="s">
        <v>45</v>
      </c>
      <c r="Y887" s="200">
        <v>3.7949999999999999</v>
      </c>
      <c r="Z887" s="220" t="s">
        <v>473</v>
      </c>
      <c r="AA887" s="201">
        <f>Delivery[[#This Row],[Quantity delivered]]*VLOOKUP(Delivery[[#This Row],[Unit]],References!$U:$X,4,FALSE)*VLOOKUP(CONCATENATE(Delivery[[#This Row],[Coffee specie]],Delivery[[#This Row],[Coffee state]]),References!$U:$X,4,FALSE)</f>
        <v>31230</v>
      </c>
      <c r="AB887" s="202">
        <f>SUMIF(Allocation!C:C,Delivery[[#This Row],[Delivery ID]],Allocation!D:D)/Delivery[[#This Row],[Quantity delivered]]</f>
        <v>1</v>
      </c>
      <c r="AC887" s="203">
        <f>Delivery[[#This Row],[Quantity delivered]]*Delivery[[#This Row],[Base price (Unidad)]]/60</f>
        <v>253233.13949999999</v>
      </c>
      <c r="AD887" s="204">
        <f>Delivery[[#This Row],[Nespresso total]]-Delivery[[#This Row],[Qt. Delivery * Base Price]]</f>
        <v>-7104.8936798300128</v>
      </c>
      <c r="AE887" s="204">
        <f>Delivery[[#This Row],[AAA Premium (total)]]/Delivery[[#This Row],[Quantity delivered]]*60/Delivery[[#This Row],[Exchange rate VS USD]]</f>
        <v>6.991959439021211</v>
      </c>
      <c r="AF887" s="204">
        <f>Delivery[[#This Row],[BEN premium (total)]]/Delivery[[#This Row],[Quantity delivered]]*60/Delivery[[#This Row],[Exchange rate for premiums VS USD]]</f>
        <v>1.9897139999999998</v>
      </c>
      <c r="AG887" s="204">
        <f>COUNTIF(Delivery[Delivery ID],Delivery[[#This Row],[Delivery ID]])</f>
        <v>1</v>
      </c>
      <c r="AH887" s="204">
        <f>(Delivery[[#This Row],[Nespresso total]]/SUMIF(Allocation!C:C,Delivery[Delivery ID],Allocation!H:H))/Delivery[[#This Row],[Exchange rate VS USD]]</f>
        <v>6.8907700544358752</v>
      </c>
      <c r="AI887" s="204">
        <f>(Delivery[[#This Row],[AAA Premium (total)]]/SUMIF(Allocation!C:C,Delivery[Delivery ID],Allocation!H:H))/Delivery[[#This Row],[Exchange rate VS USD]]</f>
        <v>0.38666754016261584</v>
      </c>
      <c r="AJ887" s="204">
        <f>Delivery[[#This Row],[Valor Prêmio Nespresso AAA por Kg (em US$)]]*60</f>
        <v>23.20005240975695</v>
      </c>
      <c r="AK887" s="204">
        <f>Delivery[[#This Row],[Valor Prêmio Nespresso AAA por saca (em US$)]]/1.3228/100</f>
        <v>0.17538594201509639</v>
      </c>
      <c r="AL887" s="204">
        <f>(Delivery[[#This Row],[BEN premium (total)]]/SUMIF(Allocation!C:C,Delivery[Delivery ID],Allocation!H:H))/Delivery[[#This Row],[Exchange rate for premiums VS USD]]</f>
        <v>0.11003465118997025</v>
      </c>
      <c r="AM887" s="204">
        <f>Delivery[[#This Row],[Valor Prêmio Nespresso BEN por Kg (em US$)]]*60</f>
        <v>6.6020790713982151</v>
      </c>
      <c r="AN887" s="204">
        <f>Delivery[[#This Row],[Valor Prêmio Nespresso BEN por saca (em US$)]]/1.3228/100</f>
        <v>4.9909881096146164E-2</v>
      </c>
      <c r="AO887" s="204">
        <f>SUMIF(Allocation[Delivery ID],Delivery[[#This Row],[Delivery ID]],Allocation[Quantity allocated])*16*1.3228*Delivery[[#This Row],[Exchange rate VS USD]]/60</f>
        <v>12599.595923199999</v>
      </c>
      <c r="AP887" s="204">
        <f>Delivery[[#This Row],[AAA Premium (total)]]</f>
        <v>13811.2</v>
      </c>
      <c r="AQ887" s="204">
        <f>Delivery[[#This Row],[Valor pago pelo Cluster]]-Delivery[[#This Row],[Valor efetivamente pago pela Nespresso]]</f>
        <v>1211.6040768000021</v>
      </c>
    </row>
    <row r="888" spans="1:43" ht="15.75">
      <c r="A888" s="174" t="s">
        <v>69</v>
      </c>
      <c r="B888" s="232" t="s">
        <v>68</v>
      </c>
      <c r="C888" s="157">
        <v>1</v>
      </c>
      <c r="D888" s="157" t="s">
        <v>468</v>
      </c>
      <c r="E888" s="177" t="s">
        <v>468</v>
      </c>
      <c r="F888" s="233" t="s">
        <v>543</v>
      </c>
      <c r="G888" s="234">
        <v>43340</v>
      </c>
      <c r="H888" s="157" t="s">
        <v>1026</v>
      </c>
      <c r="I888" s="157" t="s">
        <v>737</v>
      </c>
      <c r="J888" s="237">
        <v>31840</v>
      </c>
      <c r="K888" s="175" t="s">
        <v>61</v>
      </c>
      <c r="L888" s="175" t="s">
        <v>439</v>
      </c>
      <c r="M888" s="175" t="s">
        <v>1343</v>
      </c>
      <c r="N888" s="198"/>
      <c r="O888" s="199"/>
      <c r="P888" s="181">
        <v>0</v>
      </c>
      <c r="Q888" s="177">
        <v>43252</v>
      </c>
      <c r="R888" s="178">
        <v>486.51899999999995</v>
      </c>
      <c r="S888" s="179">
        <v>250859.10953935998</v>
      </c>
      <c r="T888" s="182" t="s">
        <v>45</v>
      </c>
      <c r="U888" s="183">
        <v>3.7949999999999999</v>
      </c>
      <c r="V888" s="179">
        <v>14076.8</v>
      </c>
      <c r="W888" s="179">
        <v>4007.04523032</v>
      </c>
      <c r="X888" s="196" t="s">
        <v>45</v>
      </c>
      <c r="Y888" s="200">
        <v>3.7949999999999999</v>
      </c>
      <c r="Z888" s="220" t="s">
        <v>473</v>
      </c>
      <c r="AA888" s="201">
        <f>Delivery[[#This Row],[Quantity delivered]]*VLOOKUP(Delivery[[#This Row],[Unit]],References!$U:$X,4,FALSE)*VLOOKUP(CONCATENATE(Delivery[[#This Row],[Coffee specie]],Delivery[[#This Row],[Coffee state]]),References!$U:$X,4,FALSE)</f>
        <v>31840</v>
      </c>
      <c r="AB888" s="202">
        <f>SUMIF(Allocation!C:C,Delivery[[#This Row],[Delivery ID]],Allocation!D:D)/Delivery[[#This Row],[Quantity delivered]]</f>
        <v>1</v>
      </c>
      <c r="AC888" s="203">
        <f>Delivery[[#This Row],[Quantity delivered]]*Delivery[[#This Row],[Base price (Unidad)]]/60</f>
        <v>258179.416</v>
      </c>
      <c r="AD888" s="204">
        <f>Delivery[[#This Row],[Nespresso total]]-Delivery[[#This Row],[Qt. Delivery * Base Price]]</f>
        <v>-7320.3064606400148</v>
      </c>
      <c r="AE888" s="204">
        <f>Delivery[[#This Row],[AAA Premium (total)]]/Delivery[[#This Row],[Quantity delivered]]*60/Delivery[[#This Row],[Exchange rate VS USD]]</f>
        <v>6.9898901622738192</v>
      </c>
      <c r="AF888" s="204">
        <f>Delivery[[#This Row],[BEN premium (total)]]/Delivery[[#This Row],[Quantity delivered]]*60/Delivery[[#This Row],[Exchange rate for premiums VS USD]]</f>
        <v>1.989714</v>
      </c>
      <c r="AG888" s="204">
        <f>COUNTIF(Delivery[Delivery ID],Delivery[[#This Row],[Delivery ID]])</f>
        <v>1</v>
      </c>
      <c r="AH888" s="204">
        <f>(Delivery[[#This Row],[Nespresso total]]/SUMIF(Allocation!C:C,Delivery[Delivery ID],Allocation!H:H))/Delivery[[#This Row],[Exchange rate VS USD]]</f>
        <v>6.921731116014044</v>
      </c>
      <c r="AI888" s="204">
        <f>(Delivery[[#This Row],[AAA Premium (total)]]/SUMIF(Allocation!C:C,Delivery[Delivery ID],Allocation!H:H))/Delivery[[#This Row],[Exchange rate VS USD]]</f>
        <v>0.38840855631203913</v>
      </c>
      <c r="AJ888" s="204">
        <f>Delivery[[#This Row],[Valor Prêmio Nespresso AAA por Kg (em US$)]]*60</f>
        <v>23.304513378722348</v>
      </c>
      <c r="AK888" s="204">
        <f>Delivery[[#This Row],[Valor Prêmio Nespresso AAA por saca (em US$)]]/1.3228/100</f>
        <v>0.17617563787966697</v>
      </c>
      <c r="AL888" s="204">
        <f>(Delivery[[#This Row],[BEN premium (total)]]/SUMIF(Allocation!C:C,Delivery[Delivery ID],Allocation!H:H))/Delivery[[#This Row],[Exchange rate for premiums VS USD]]</f>
        <v>0.11056281633507854</v>
      </c>
      <c r="AM888" s="204">
        <f>Delivery[[#This Row],[Valor Prêmio Nespresso BEN por Kg (em US$)]]*60</f>
        <v>6.6337689801047128</v>
      </c>
      <c r="AN888" s="204">
        <f>Delivery[[#This Row],[Valor Prêmio Nespresso BEN por saca (em US$)]]/1.3228/100</f>
        <v>5.0149447989905595E-2</v>
      </c>
      <c r="AO888" s="204">
        <f>SUMIF(Allocation[Delivery ID],Delivery[[#This Row],[Delivery ID]],Allocation[Quantity allocated])*16*1.3228*Delivery[[#This Row],[Exchange rate VS USD]]/60</f>
        <v>12784.33288</v>
      </c>
      <c r="AP888" s="204">
        <f>Delivery[[#This Row],[AAA Premium (total)]]</f>
        <v>14076.8</v>
      </c>
      <c r="AQ888" s="204">
        <f>Delivery[[#This Row],[Valor pago pelo Cluster]]-Delivery[[#This Row],[Valor efetivamente pago pela Nespresso]]</f>
        <v>1292.4671199999993</v>
      </c>
    </row>
    <row r="889" spans="1:43" ht="15.75">
      <c r="A889" s="174" t="s">
        <v>69</v>
      </c>
      <c r="B889" s="232" t="s">
        <v>68</v>
      </c>
      <c r="C889" s="157">
        <v>1</v>
      </c>
      <c r="D889" s="157" t="s">
        <v>468</v>
      </c>
      <c r="E889" s="177" t="s">
        <v>468</v>
      </c>
      <c r="F889" s="233" t="s">
        <v>543</v>
      </c>
      <c r="G889" s="234">
        <v>43341</v>
      </c>
      <c r="H889" s="157" t="s">
        <v>1027</v>
      </c>
      <c r="I889" s="157" t="s">
        <v>737</v>
      </c>
      <c r="J889" s="237">
        <v>32270</v>
      </c>
      <c r="K889" s="175" t="s">
        <v>61</v>
      </c>
      <c r="L889" s="175" t="s">
        <v>439</v>
      </c>
      <c r="M889" s="175" t="s">
        <v>1343</v>
      </c>
      <c r="N889" s="198"/>
      <c r="O889" s="199"/>
      <c r="P889" s="181">
        <v>0</v>
      </c>
      <c r="Q889" s="177">
        <v>43252</v>
      </c>
      <c r="R889" s="178">
        <v>486.51899999999995</v>
      </c>
      <c r="S889" s="179">
        <v>245876.47904632997</v>
      </c>
      <c r="T889" s="182" t="s">
        <v>45</v>
      </c>
      <c r="U889" s="183">
        <v>3.7949999999999999</v>
      </c>
      <c r="V889" s="179">
        <v>13811.2</v>
      </c>
      <c r="W889" s="179">
        <v>4061.1604768349998</v>
      </c>
      <c r="X889" s="196" t="s">
        <v>45</v>
      </c>
      <c r="Y889" s="200">
        <v>3.7949999999999999</v>
      </c>
      <c r="Z889" s="220" t="s">
        <v>473</v>
      </c>
      <c r="AA889" s="201">
        <f>Delivery[[#This Row],[Quantity delivered]]*VLOOKUP(Delivery[[#This Row],[Unit]],References!$U:$X,4,FALSE)*VLOOKUP(CONCATENATE(Delivery[[#This Row],[Coffee specie]],Delivery[[#This Row],[Coffee state]]),References!$U:$X,4,FALSE)</f>
        <v>32270</v>
      </c>
      <c r="AB889" s="202">
        <f>SUMIF(Allocation!C:C,Delivery[[#This Row],[Delivery ID]],Allocation!D:D)/Delivery[[#This Row],[Quantity delivered]]</f>
        <v>1</v>
      </c>
      <c r="AC889" s="203">
        <f>Delivery[[#This Row],[Quantity delivered]]*Delivery[[#This Row],[Base price (Unidad)]]/60</f>
        <v>261666.13549999997</v>
      </c>
      <c r="AD889" s="204">
        <f>Delivery[[#This Row],[Nespresso total]]-Delivery[[#This Row],[Qt. Delivery * Base Price]]</f>
        <v>-15789.656453670003</v>
      </c>
      <c r="AE889" s="204">
        <f>Delivery[[#This Row],[AAA Premium (total)]]/Delivery[[#This Row],[Quantity delivered]]*60/Delivery[[#This Row],[Exchange rate VS USD]]</f>
        <v>6.7666220415442337</v>
      </c>
      <c r="AF889" s="204">
        <f>Delivery[[#This Row],[BEN premium (total)]]/Delivery[[#This Row],[Quantity delivered]]*60/Delivery[[#This Row],[Exchange rate for premiums VS USD]]</f>
        <v>1.9897139999999998</v>
      </c>
      <c r="AG889" s="204">
        <f>COUNTIF(Delivery[Delivery ID],Delivery[[#This Row],[Delivery ID]])</f>
        <v>1</v>
      </c>
      <c r="AH889" s="204">
        <f>(Delivery[[#This Row],[Nespresso total]]/SUMIF(Allocation!C:C,Delivery[Delivery ID],Allocation!H:H))/Delivery[[#This Row],[Exchange rate VS USD]]</f>
        <v>6.6724599429931786</v>
      </c>
      <c r="AI889" s="204">
        <f>(Delivery[[#This Row],[AAA Premium (total)]]/SUMIF(Allocation!C:C,Delivery[Delivery ID],Allocation!H:H))/Delivery[[#This Row],[Exchange rate VS USD]]</f>
        <v>0.37480070937286719</v>
      </c>
      <c r="AJ889" s="204">
        <f>Delivery[[#This Row],[Valor Prêmio Nespresso AAA por Kg (em US$)]]*60</f>
        <v>22.48804256237203</v>
      </c>
      <c r="AK889" s="204">
        <f>Delivery[[#This Row],[Valor Prêmio Nespresso AAA por saca (em US$)]]/1.3228/100</f>
        <v>0.17000334564841268</v>
      </c>
      <c r="AL889" s="204">
        <f>(Delivery[[#This Row],[BEN premium (total)]]/SUMIF(Allocation!C:C,Delivery[Delivery ID],Allocation!H:H))/Delivery[[#This Row],[Exchange rate for premiums VS USD]]</f>
        <v>0.11020952760041194</v>
      </c>
      <c r="AM889" s="204">
        <f>Delivery[[#This Row],[Valor Prêmio Nespresso BEN por Kg (em US$)]]*60</f>
        <v>6.6125716560247163</v>
      </c>
      <c r="AN889" s="204">
        <f>Delivery[[#This Row],[Valor Prêmio Nespresso BEN por saca (em US$)]]/1.3228/100</f>
        <v>4.9989202116908951E-2</v>
      </c>
      <c r="AO889" s="204">
        <f>SUMIF(Allocation[Delivery ID],Delivery[[#This Row],[Delivery ID]],Allocation[Quantity allocated])*16*1.3228*Delivery[[#This Row],[Exchange rate VS USD]]/60</f>
        <v>12998.520655999999</v>
      </c>
      <c r="AP889" s="204">
        <f>Delivery[[#This Row],[AAA Premium (total)]]</f>
        <v>13811.2</v>
      </c>
      <c r="AQ889" s="204">
        <f>Delivery[[#This Row],[Valor pago pelo Cluster]]-Delivery[[#This Row],[Valor efetivamente pago pela Nespresso]]</f>
        <v>812.67934400000195</v>
      </c>
    </row>
    <row r="890" spans="1:43" ht="15.75">
      <c r="A890" s="174" t="s">
        <v>69</v>
      </c>
      <c r="B890" s="232" t="s">
        <v>68</v>
      </c>
      <c r="C890" s="157">
        <v>1</v>
      </c>
      <c r="D890" s="157" t="s">
        <v>468</v>
      </c>
      <c r="E890" s="177" t="s">
        <v>468</v>
      </c>
      <c r="F890" s="233" t="s">
        <v>543</v>
      </c>
      <c r="G890" s="234">
        <v>43336</v>
      </c>
      <c r="H890" s="157" t="s">
        <v>1028</v>
      </c>
      <c r="I890" s="157" t="s">
        <v>1009</v>
      </c>
      <c r="J890" s="237">
        <v>4205</v>
      </c>
      <c r="K890" s="175" t="s">
        <v>61</v>
      </c>
      <c r="L890" s="175" t="s">
        <v>439</v>
      </c>
      <c r="M890" s="175" t="s">
        <v>1343</v>
      </c>
      <c r="N890" s="198"/>
      <c r="O890" s="199"/>
      <c r="P890" s="181">
        <v>0</v>
      </c>
      <c r="Q890" s="177">
        <v>43332</v>
      </c>
      <c r="R890" s="178">
        <v>398.41296000000006</v>
      </c>
      <c r="S890" s="179">
        <v>27773.453360529602</v>
      </c>
      <c r="T890" s="182" t="s">
        <v>45</v>
      </c>
      <c r="U890" s="183">
        <v>3.9584000000000001</v>
      </c>
      <c r="V890" s="179">
        <v>2770.6</v>
      </c>
      <c r="W890" s="179">
        <v>827.97331973519988</v>
      </c>
      <c r="X890" s="196" t="s">
        <v>45</v>
      </c>
      <c r="Y890" s="200">
        <v>3.9584000000000001</v>
      </c>
      <c r="Z890" s="220" t="s">
        <v>473</v>
      </c>
      <c r="AA890" s="201">
        <f>Delivery[[#This Row],[Quantity delivered]]*VLOOKUP(Delivery[[#This Row],[Unit]],References!$U:$X,4,FALSE)*VLOOKUP(CONCATENATE(Delivery[[#This Row],[Coffee specie]],Delivery[[#This Row],[Coffee state]]),References!$U:$X,4,FALSE)</f>
        <v>4205</v>
      </c>
      <c r="AB890" s="202">
        <f>SUMIF(Allocation!C:C,Delivery[[#This Row],[Delivery ID]],Allocation!D:D)/Delivery[[#This Row],[Quantity delivered]]</f>
        <v>1</v>
      </c>
      <c r="AC890" s="203">
        <f>Delivery[[#This Row],[Quantity delivered]]*Delivery[[#This Row],[Base price (Unidad)]]/60</f>
        <v>27922.108280000004</v>
      </c>
      <c r="AD890" s="204">
        <f>Delivery[[#This Row],[Nespresso total]]-Delivery[[#This Row],[Qt. Delivery * Base Price]]</f>
        <v>-148.65491947040209</v>
      </c>
      <c r="AE890" s="204">
        <f>Delivery[[#This Row],[AAA Premium (total)]]/Delivery[[#This Row],[Quantity delivered]]*60/Delivery[[#This Row],[Exchange rate VS USD]]</f>
        <v>9.9871000858392183</v>
      </c>
      <c r="AF890" s="204">
        <f>Delivery[[#This Row],[BEN premium (total)]]/Delivery[[#This Row],[Quantity delivered]]*60/Delivery[[#This Row],[Exchange rate for premiums VS USD]]</f>
        <v>2.9845709999999999</v>
      </c>
      <c r="AG890" s="204">
        <f>COUNTIF(Delivery[Delivery ID],Delivery[[#This Row],[Delivery ID]])</f>
        <v>1</v>
      </c>
      <c r="AH890" s="204">
        <f>(Delivery[[#This Row],[Nespresso total]]/SUMIF(Allocation!C:C,Delivery[Delivery ID],Allocation!H:H))/Delivery[[#This Row],[Exchange rate VS USD]]</f>
        <v>3.7025505042054254</v>
      </c>
      <c r="AI890" s="204">
        <f>(Delivery[[#This Row],[AAA Premium (total)]]/SUMIF(Allocation!C:C,Delivery[Delivery ID],Allocation!H:H))/Delivery[[#This Row],[Exchange rate VS USD]]</f>
        <v>0.36935581232149445</v>
      </c>
      <c r="AJ890" s="204">
        <f>Delivery[[#This Row],[Valor Prêmio Nespresso AAA por Kg (em US$)]]*60</f>
        <v>22.161348739289668</v>
      </c>
      <c r="AK890" s="204">
        <f>Delivery[[#This Row],[Valor Prêmio Nespresso AAA por saca (em US$)]]/1.3228/100</f>
        <v>0.16753363123140058</v>
      </c>
      <c r="AL890" s="204">
        <f>(Delivery[[#This Row],[BEN premium (total)]]/SUMIF(Allocation!C:C,Delivery[Delivery ID],Allocation!H:H))/Delivery[[#This Row],[Exchange rate for premiums VS USD]]</f>
        <v>0.11037925290237464</v>
      </c>
      <c r="AM890" s="204">
        <f>Delivery[[#This Row],[Valor Prêmio Nespresso BEN por Kg (em US$)]]*60</f>
        <v>6.6227551741424788</v>
      </c>
      <c r="AN890" s="204">
        <f>Delivery[[#This Row],[Valor Prêmio Nespresso BEN por saca (em US$)]]/1.3228/100</f>
        <v>5.0066186680847287E-2</v>
      </c>
      <c r="AO890" s="204">
        <f>SUMIF(Allocation[Delivery ID],Delivery[[#This Row],[Delivery ID]],Allocation[Quantity allocated])*16*1.3228*Delivery[[#This Row],[Exchange rate VS USD]]/60</f>
        <v>2646.0120081066666</v>
      </c>
      <c r="AP890" s="204">
        <f>Delivery[[#This Row],[AAA Premium (total)]]</f>
        <v>2770.6</v>
      </c>
      <c r="AQ890" s="204">
        <f>Delivery[[#This Row],[Valor pago pelo Cluster]]-Delivery[[#This Row],[Valor efetivamente pago pela Nespresso]]</f>
        <v>124.58799189333331</v>
      </c>
    </row>
    <row r="891" spans="1:43" ht="15.75">
      <c r="A891" s="174" t="s">
        <v>69</v>
      </c>
      <c r="B891" s="232" t="s">
        <v>68</v>
      </c>
      <c r="C891" s="157">
        <v>1</v>
      </c>
      <c r="D891" s="157" t="s">
        <v>468</v>
      </c>
      <c r="E891" s="177" t="s">
        <v>468</v>
      </c>
      <c r="F891" s="233" t="s">
        <v>543</v>
      </c>
      <c r="G891" s="234">
        <v>43341</v>
      </c>
      <c r="H891" s="157" t="s">
        <v>1029</v>
      </c>
      <c r="I891" s="157" t="s">
        <v>1030</v>
      </c>
      <c r="J891" s="237">
        <v>7210</v>
      </c>
      <c r="K891" s="175" t="s">
        <v>61</v>
      </c>
      <c r="L891" s="175" t="s">
        <v>439</v>
      </c>
      <c r="M891" s="175" t="s">
        <v>1343</v>
      </c>
      <c r="N891" s="198"/>
      <c r="O891" s="199"/>
      <c r="P891" s="181">
        <v>0</v>
      </c>
      <c r="Q891" s="177">
        <v>43252</v>
      </c>
      <c r="R891" s="178">
        <v>486.51899999999995</v>
      </c>
      <c r="S891" s="179">
        <v>56798.051500590009</v>
      </c>
      <c r="T891" s="182" t="s">
        <v>45</v>
      </c>
      <c r="U891" s="183">
        <v>3.7949999999999999</v>
      </c>
      <c r="V891" s="179">
        <v>3187.2</v>
      </c>
      <c r="W891" s="179">
        <v>907.37424970500001</v>
      </c>
      <c r="X891" s="196" t="s">
        <v>45</v>
      </c>
      <c r="Y891" s="200">
        <v>3.7949999999999999</v>
      </c>
      <c r="Z891" s="220" t="s">
        <v>473</v>
      </c>
      <c r="AA891" s="201">
        <f>Delivery[[#This Row],[Quantity delivered]]*VLOOKUP(Delivery[[#This Row],[Unit]],References!$U:$X,4,FALSE)*VLOOKUP(CONCATENATE(Delivery[[#This Row],[Coffee specie]],Delivery[[#This Row],[Coffee state]]),References!$U:$X,4,FALSE)</f>
        <v>7210</v>
      </c>
      <c r="AB891" s="202">
        <f>SUMIF(Allocation!C:C,Delivery[[#This Row],[Delivery ID]],Allocation!D:D)/Delivery[[#This Row],[Quantity delivered]]</f>
        <v>1</v>
      </c>
      <c r="AC891" s="203">
        <f>Delivery[[#This Row],[Quantity delivered]]*Delivery[[#This Row],[Base price (Unidad)]]/60</f>
        <v>58463.366499999996</v>
      </c>
      <c r="AD891" s="204">
        <f>Delivery[[#This Row],[Nespresso total]]-Delivery[[#This Row],[Qt. Delivery * Base Price]]</f>
        <v>-1665.3149994099876</v>
      </c>
      <c r="AE891" s="204">
        <f>Delivery[[#This Row],[AAA Premium (total)]]/Delivery[[#This Row],[Quantity delivered]]*60/Delivery[[#This Row],[Exchange rate VS USD]]</f>
        <v>6.9889755664344086</v>
      </c>
      <c r="AF891" s="204">
        <f>Delivery[[#This Row],[BEN premium (total)]]/Delivery[[#This Row],[Quantity delivered]]*60/Delivery[[#This Row],[Exchange rate for premiums VS USD]]</f>
        <v>1.989714</v>
      </c>
      <c r="AG891" s="204">
        <f>COUNTIF(Delivery[Delivery ID],Delivery[[#This Row],[Delivery ID]])</f>
        <v>1</v>
      </c>
      <c r="AH891" s="204">
        <f>(Delivery[[#This Row],[Nespresso total]]/SUMIF(Allocation!C:C,Delivery[Delivery ID],Allocation!H:H))/Delivery[[#This Row],[Exchange rate VS USD]]</f>
        <v>6.2621541778259227</v>
      </c>
      <c r="AI891" s="204">
        <f>(Delivery[[#This Row],[AAA Premium (total)]]/SUMIF(Allocation!C:C,Delivery[Delivery ID],Allocation!H:H))/Delivery[[#This Row],[Exchange rate VS USD]]</f>
        <v>0.35139828336117224</v>
      </c>
      <c r="AJ891" s="204">
        <f>Delivery[[#This Row],[Valor Prêmio Nespresso AAA por Kg (em US$)]]*60</f>
        <v>21.083897001670334</v>
      </c>
      <c r="AK891" s="204">
        <f>Delivery[[#This Row],[Valor Prêmio Nespresso AAA por saca (em US$)]]/1.3228/100</f>
        <v>0.15938839583966083</v>
      </c>
      <c r="AL891" s="204">
        <f>(Delivery[[#This Row],[BEN premium (total)]]/SUMIF(Allocation!C:C,Delivery[Delivery ID],Allocation!H:H))/Delivery[[#This Row],[Exchange rate for premiums VS USD]]</f>
        <v>0.10004071087866109</v>
      </c>
      <c r="AM891" s="204">
        <f>Delivery[[#This Row],[Valor Prêmio Nespresso BEN por Kg (em US$)]]*60</f>
        <v>6.0024426527196653</v>
      </c>
      <c r="AN891" s="204">
        <f>Delivery[[#This Row],[Valor Prêmio Nespresso BEN por saca (em US$)]]/1.3228/100</f>
        <v>4.5376796588446212E-2</v>
      </c>
      <c r="AO891" s="204">
        <f>SUMIF(Allocation[Delivery ID],Delivery[[#This Row],[Delivery ID]],Allocation[Quantity allocated])*16*1.3228*Delivery[[#This Row],[Exchange rate VS USD]]/60</f>
        <v>3199.4299039999996</v>
      </c>
      <c r="AP891" s="204">
        <f>Delivery[[#This Row],[AAA Premium (total)]]</f>
        <v>3187.2</v>
      </c>
      <c r="AQ891" s="204">
        <f>Delivery[[#This Row],[Valor pago pelo Cluster]]-Delivery[[#This Row],[Valor efetivamente pago pela Nespresso]]</f>
        <v>-12.229903999999806</v>
      </c>
    </row>
    <row r="892" spans="1:43" ht="15.75">
      <c r="A892" s="174" t="s">
        <v>69</v>
      </c>
      <c r="B892" s="232" t="s">
        <v>68</v>
      </c>
      <c r="C892" s="157">
        <v>1</v>
      </c>
      <c r="D892" s="157" t="s">
        <v>468</v>
      </c>
      <c r="E892" s="177" t="s">
        <v>468</v>
      </c>
      <c r="F892" s="233" t="s">
        <v>543</v>
      </c>
      <c r="G892" s="234">
        <v>43342</v>
      </c>
      <c r="H892" s="157" t="s">
        <v>1031</v>
      </c>
      <c r="I892" s="157" t="s">
        <v>1032</v>
      </c>
      <c r="J892" s="237">
        <v>28850</v>
      </c>
      <c r="K892" s="175" t="s">
        <v>61</v>
      </c>
      <c r="L892" s="175" t="s">
        <v>439</v>
      </c>
      <c r="M892" s="175" t="s">
        <v>1343</v>
      </c>
      <c r="N892" s="198"/>
      <c r="O892" s="199"/>
      <c r="P892" s="181">
        <v>0</v>
      </c>
      <c r="Q892" s="177">
        <v>43336</v>
      </c>
      <c r="R892" s="178">
        <v>429.92961000000003</v>
      </c>
      <c r="S892" s="179">
        <v>215685</v>
      </c>
      <c r="T892" s="182" t="s">
        <v>45</v>
      </c>
      <c r="U892" s="183">
        <v>4.1063000000000001</v>
      </c>
      <c r="V892" s="179">
        <v>20530</v>
      </c>
      <c r="W892" s="179">
        <v>0</v>
      </c>
      <c r="X892" s="196" t="s">
        <v>45</v>
      </c>
      <c r="Y892" s="200">
        <v>4.1063000000000001</v>
      </c>
      <c r="Z892" s="220"/>
      <c r="AA892" s="201">
        <f>Delivery[[#This Row],[Quantity delivered]]*VLOOKUP(Delivery[[#This Row],[Unit]],References!$U:$X,4,FALSE)*VLOOKUP(CONCATENATE(Delivery[[#This Row],[Coffee specie]],Delivery[[#This Row],[Coffee state]]),References!$U:$X,4,FALSE)</f>
        <v>28850</v>
      </c>
      <c r="AB892" s="202">
        <f>SUMIF(Allocation!C:C,Delivery[[#This Row],[Delivery ID]],Allocation!D:D)/Delivery[[#This Row],[Quantity delivered]]</f>
        <v>0.94942807625649916</v>
      </c>
      <c r="AC892" s="203">
        <f>Delivery[[#This Row],[Quantity delivered]]*Delivery[[#This Row],[Base price (Unidad)]]/60</f>
        <v>206724.487475</v>
      </c>
      <c r="AD892" s="204">
        <f>Delivery[[#This Row],[Nespresso total]]-Delivery[[#This Row],[Qt. Delivery * Base Price]]</f>
        <v>8960.5125249999983</v>
      </c>
      <c r="AE892" s="204">
        <f>Delivery[[#This Row],[AAA Premium (total)]]/Delivery[[#This Row],[Quantity delivered]]*60/Delivery[[#This Row],[Exchange rate VS USD]]</f>
        <v>10.397853811392066</v>
      </c>
      <c r="AF892" s="204">
        <f>Delivery[[#This Row],[BEN premium (total)]]/Delivery[[#This Row],[Quantity delivered]]*60/Delivery[[#This Row],[Exchange rate for premiums VS USD]]</f>
        <v>0</v>
      </c>
      <c r="AG892" s="204">
        <f>COUNTIF(Delivery[Delivery ID],Delivery[[#This Row],[Delivery ID]])</f>
        <v>1</v>
      </c>
      <c r="AH892" s="204">
        <f>(Delivery[[#This Row],[Nespresso total]]/SUMIF(Allocation!C:C,Delivery[Delivery ID],Allocation!H:H))/Delivery[[#This Row],[Exchange rate VS USD]]</f>
        <v>4.3582299882772633</v>
      </c>
      <c r="AI892" s="204">
        <f>(Delivery[[#This Row],[AAA Premium (total)]]/SUMIF(Allocation!C:C,Delivery[Delivery ID],Allocation!H:H))/Delivery[[#This Row],[Exchange rate VS USD]]</f>
        <v>0.41483859173949145</v>
      </c>
      <c r="AJ892" s="204">
        <f>Delivery[[#This Row],[Valor Prêmio Nespresso AAA por Kg (em US$)]]*60</f>
        <v>24.890315504369486</v>
      </c>
      <c r="AK892" s="204">
        <f>Delivery[[#This Row],[Valor Prêmio Nespresso AAA por saca (em US$)]]/1.3228/100</f>
        <v>0.18816386078295649</v>
      </c>
      <c r="AL892" s="204">
        <f>(Delivery[[#This Row],[BEN premium (total)]]/SUMIF(Allocation!C:C,Delivery[Delivery ID],Allocation!H:H))/Delivery[[#This Row],[Exchange rate for premiums VS USD]]</f>
        <v>0</v>
      </c>
      <c r="AM892" s="204">
        <f>Delivery[[#This Row],[Valor Prêmio Nespresso BEN por Kg (em US$)]]*60</f>
        <v>0</v>
      </c>
      <c r="AN892" s="204">
        <f>Delivery[[#This Row],[Valor Prêmio Nespresso BEN por saca (em US$)]]/1.3228/100</f>
        <v>0</v>
      </c>
      <c r="AO892" s="204">
        <f>SUMIF(Allocation[Delivery ID],Delivery[[#This Row],[Delivery ID]],Allocation[Quantity allocated])*16*1.3228*Delivery[[#This Row],[Exchange rate VS USD]]/60</f>
        <v>17457.124797141332</v>
      </c>
      <c r="AP892" s="204">
        <f>Delivery[[#This Row],[AAA Premium (total)]]</f>
        <v>20530</v>
      </c>
      <c r="AQ892" s="204">
        <f>Delivery[[#This Row],[Valor pago pelo Cluster]]-Delivery[[#This Row],[Valor efetivamente pago pela Nespresso]]</f>
        <v>3072.8752028586678</v>
      </c>
    </row>
    <row r="893" spans="1:43" ht="15.75">
      <c r="A893" s="174" t="s">
        <v>69</v>
      </c>
      <c r="B893" s="232" t="s">
        <v>68</v>
      </c>
      <c r="C893" s="157">
        <v>1</v>
      </c>
      <c r="D893" s="157" t="s">
        <v>468</v>
      </c>
      <c r="E893" s="177" t="s">
        <v>468</v>
      </c>
      <c r="F893" s="233" t="s">
        <v>543</v>
      </c>
      <c r="G893" s="234">
        <v>43341</v>
      </c>
      <c r="H893" s="157" t="s">
        <v>1648</v>
      </c>
      <c r="I893" s="157" t="s">
        <v>1649</v>
      </c>
      <c r="J893" s="237">
        <v>30000</v>
      </c>
      <c r="K893" s="175" t="s">
        <v>61</v>
      </c>
      <c r="L893" s="175" t="s">
        <v>439</v>
      </c>
      <c r="M893" s="175" t="s">
        <v>1343</v>
      </c>
      <c r="N893" s="198"/>
      <c r="O893" s="199"/>
      <c r="P893" s="181">
        <v>0</v>
      </c>
      <c r="Q893" s="177">
        <v>43222</v>
      </c>
      <c r="R893" s="178">
        <v>471.43265000000002</v>
      </c>
      <c r="S893" s="179">
        <v>230866.52507129998</v>
      </c>
      <c r="T893" s="182" t="s">
        <v>45</v>
      </c>
      <c r="U893" s="183">
        <v>3.5905</v>
      </c>
      <c r="V893" s="179">
        <v>12566.750000000002</v>
      </c>
      <c r="W893" s="179">
        <v>3929.2374643499998</v>
      </c>
      <c r="X893" s="196" t="s">
        <v>45</v>
      </c>
      <c r="Y893" s="200">
        <v>3.5905</v>
      </c>
      <c r="Z893" s="220" t="s">
        <v>473</v>
      </c>
      <c r="AA893" s="201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893" s="202">
        <f>SUMIF(Allocation!C:C,Delivery[[#This Row],[Delivery ID]],Allocation!D:D)/Delivery[[#This Row],[Quantity delivered]]</f>
        <v>0.24363333333333334</v>
      </c>
      <c r="AC893" s="203">
        <f>Delivery[[#This Row],[Quantity delivered]]*Delivery[[#This Row],[Base price (Unidad)]]/60</f>
        <v>235716.32500000001</v>
      </c>
      <c r="AD893" s="204">
        <f>Delivery[[#This Row],[Nespresso total]]-Delivery[[#This Row],[Qt. Delivery * Base Price]]</f>
        <v>-4849.7999287000275</v>
      </c>
      <c r="AE893" s="204">
        <f>Delivery[[#This Row],[AAA Premium (total)]]/Delivery[[#This Row],[Quantity delivered]]*60/Delivery[[#This Row],[Exchange rate VS USD]]</f>
        <v>7</v>
      </c>
      <c r="AF893" s="204">
        <f>Delivery[[#This Row],[BEN premium (total)]]/Delivery[[#This Row],[Quantity delivered]]*60/Delivery[[#This Row],[Exchange rate for premiums VS USD]]</f>
        <v>2.1886853999999998</v>
      </c>
      <c r="AG893" s="204">
        <f>COUNTIF(Delivery[Delivery ID],Delivery[[#This Row],[Delivery ID]])</f>
        <v>1</v>
      </c>
      <c r="AH893" s="204">
        <f>(Delivery[[#This Row],[Nespresso total]]/SUMIF(Allocation!C:C,Delivery[Delivery ID],Allocation!H:H))/Delivery[[#This Row],[Exchange rate VS USD]]</f>
        <v>26.658071693163478</v>
      </c>
      <c r="AI893" s="204">
        <f>(Delivery[[#This Row],[AAA Premium (total)]]/SUMIF(Allocation!C:C,Delivery[Delivery ID],Allocation!H:H))/Delivery[[#This Row],[Exchange rate VS USD]]</f>
        <v>1.4510779436152572</v>
      </c>
      <c r="AJ893" s="204">
        <f>Delivery[[#This Row],[Valor Prêmio Nespresso AAA por Kg (em US$)]]*60</f>
        <v>87.064676616915435</v>
      </c>
      <c r="AK893" s="204">
        <f>Delivery[[#This Row],[Valor Prêmio Nespresso AAA por saca (em US$)]]/1.3228/100</f>
        <v>0.65818473402566857</v>
      </c>
      <c r="AL893" s="204">
        <f>(Delivery[[#This Row],[BEN premium (total)]]/SUMIF(Allocation!C:C,Delivery[Delivery ID],Allocation!H:H))/Delivery[[#This Row],[Exchange rate for premiums VS USD]]</f>
        <v>0.45370758706467657</v>
      </c>
      <c r="AM893" s="204">
        <f>Delivery[[#This Row],[Valor Prêmio Nespresso BEN por Kg (em US$)]]*60</f>
        <v>27.222455223880594</v>
      </c>
      <c r="AN893" s="204">
        <f>Delivery[[#This Row],[Valor Prêmio Nespresso BEN por saca (em US$)]]/1.3228/100</f>
        <v>0.20579418826640911</v>
      </c>
      <c r="AO893" s="204">
        <f>SUMIF(Allocation[Delivery ID],Delivery[[#This Row],[Delivery ID]],Allocation[Quantity allocated])*16*1.3228*Delivery[[#This Row],[Exchange rate VS USD]]/60</f>
        <v>3054.8870188800001</v>
      </c>
      <c r="AP893" s="204">
        <f>Delivery[[#This Row],[AAA Premium (total)]]</f>
        <v>12566.750000000002</v>
      </c>
      <c r="AQ893" s="204">
        <f>Delivery[[#This Row],[Valor pago pelo Cluster]]-Delivery[[#This Row],[Valor efetivamente pago pela Nespresso]]</f>
        <v>9511.8629811200008</v>
      </c>
    </row>
    <row r="894" spans="1:43" ht="15.75">
      <c r="A894" s="174" t="s">
        <v>69</v>
      </c>
      <c r="B894" s="232" t="s">
        <v>68</v>
      </c>
      <c r="C894" s="157">
        <v>1</v>
      </c>
      <c r="D894" s="157" t="s">
        <v>468</v>
      </c>
      <c r="E894" s="177" t="s">
        <v>468</v>
      </c>
      <c r="F894" s="233" t="s">
        <v>543</v>
      </c>
      <c r="G894" s="234">
        <v>43341</v>
      </c>
      <c r="H894" s="157" t="s">
        <v>1033</v>
      </c>
      <c r="I894" s="157" t="s">
        <v>1034</v>
      </c>
      <c r="J894" s="237">
        <v>31250</v>
      </c>
      <c r="K894" s="175" t="s">
        <v>61</v>
      </c>
      <c r="L894" s="175" t="s">
        <v>439</v>
      </c>
      <c r="M894" s="175" t="s">
        <v>1343</v>
      </c>
      <c r="N894" s="198"/>
      <c r="O894" s="199"/>
      <c r="P894" s="181">
        <v>0</v>
      </c>
      <c r="Q894" s="177">
        <v>43252</v>
      </c>
      <c r="R894" s="178">
        <v>486.51899999999995</v>
      </c>
      <c r="S894" s="179">
        <v>246123.21184374997</v>
      </c>
      <c r="T894" s="182" t="s">
        <v>45</v>
      </c>
      <c r="U894" s="183">
        <v>3.7949999999999999</v>
      </c>
      <c r="V894" s="179">
        <v>13811.2</v>
      </c>
      <c r="W894" s="179">
        <v>3932.7940781249995</v>
      </c>
      <c r="X894" s="196" t="s">
        <v>45</v>
      </c>
      <c r="Y894" s="200">
        <v>3.7949999999999999</v>
      </c>
      <c r="Z894" s="220" t="s">
        <v>473</v>
      </c>
      <c r="AA894" s="201">
        <f>Delivery[[#This Row],[Quantity delivered]]*VLOOKUP(Delivery[[#This Row],[Unit]],References!$U:$X,4,FALSE)*VLOOKUP(CONCATENATE(Delivery[[#This Row],[Coffee specie]],Delivery[[#This Row],[Coffee state]]),References!$U:$X,4,FALSE)</f>
        <v>31250</v>
      </c>
      <c r="AB894" s="202">
        <f>SUMIF(Allocation!C:C,Delivery[[#This Row],[Delivery ID]],Allocation!D:D)/Delivery[[#This Row],[Quantity delivered]]</f>
        <v>1</v>
      </c>
      <c r="AC894" s="203">
        <f>Delivery[[#This Row],[Quantity delivered]]*Delivery[[#This Row],[Base price (Unidad)]]/60</f>
        <v>253395.31249999997</v>
      </c>
      <c r="AD894" s="204">
        <f>Delivery[[#This Row],[Nespresso total]]-Delivery[[#This Row],[Qt. Delivery * Base Price]]</f>
        <v>-7272.100656249997</v>
      </c>
      <c r="AE894" s="204">
        <f>Delivery[[#This Row],[AAA Premium (total)]]/Delivery[[#This Row],[Quantity delivered]]*60/Delivery[[#This Row],[Exchange rate VS USD]]</f>
        <v>6.9874845849802378</v>
      </c>
      <c r="AF894" s="204">
        <f>Delivery[[#This Row],[BEN premium (total)]]/Delivery[[#This Row],[Quantity delivered]]*60/Delivery[[#This Row],[Exchange rate for premiums VS USD]]</f>
        <v>1.9897139999999998</v>
      </c>
      <c r="AG894" s="204">
        <f>COUNTIF(Delivery[Delivery ID],Delivery[[#This Row],[Delivery ID]])</f>
        <v>1</v>
      </c>
      <c r="AH894" s="204">
        <f>(Delivery[[#This Row],[Nespresso total]]/SUMIF(Allocation!C:C,Delivery[Delivery ID],Allocation!H:H))/Delivery[[#This Row],[Exchange rate VS USD]]</f>
        <v>6.559583420284258</v>
      </c>
      <c r="AI894" s="204">
        <f>(Delivery[[#This Row],[AAA Premium (total)]]/SUMIF(Allocation!C:C,Delivery[Delivery ID],Allocation!H:H))/Delivery[[#This Row],[Exchange rate VS USD]]</f>
        <v>0.36809091615358958</v>
      </c>
      <c r="AJ894" s="204">
        <f>Delivery[[#This Row],[Valor Prêmio Nespresso AAA por Kg (em US$)]]*60</f>
        <v>22.085454969215373</v>
      </c>
      <c r="AK894" s="204">
        <f>Delivery[[#This Row],[Valor Prêmio Nespresso AAA por saca (em US$)]]/1.3228/100</f>
        <v>0.1669598954431159</v>
      </c>
      <c r="AL894" s="204">
        <f>(Delivery[[#This Row],[BEN premium (total)]]/SUMIF(Allocation!C:C,Delivery[Delivery ID],Allocation!H:H))/Delivery[[#This Row],[Exchange rate for premiums VS USD]]</f>
        <v>0.10481535096591484</v>
      </c>
      <c r="AM894" s="204">
        <f>Delivery[[#This Row],[Valor Prêmio Nespresso BEN por Kg (em US$)]]*60</f>
        <v>6.28892105795489</v>
      </c>
      <c r="AN894" s="204">
        <f>Delivery[[#This Row],[Valor Prêmio Nespresso BEN por saca (em US$)]]/1.3228/100</f>
        <v>4.7542493634373226E-2</v>
      </c>
      <c r="AO894" s="204">
        <f>SUMIF(Allocation[Delivery ID],Delivery[[#This Row],[Delivery ID]],Allocation[Quantity allocated])*16*1.3228*Delivery[[#This Row],[Exchange rate VS USD]]/60</f>
        <v>13235.4658832</v>
      </c>
      <c r="AP894" s="204">
        <f>Delivery[[#This Row],[AAA Premium (total)]]</f>
        <v>13811.2</v>
      </c>
      <c r="AQ894" s="204">
        <f>Delivery[[#This Row],[Valor pago pelo Cluster]]-Delivery[[#This Row],[Valor efetivamente pago pela Nespresso]]</f>
        <v>575.73411680000027</v>
      </c>
    </row>
    <row r="895" spans="1:43" ht="15.75">
      <c r="A895" s="174" t="s">
        <v>69</v>
      </c>
      <c r="B895" s="232" t="s">
        <v>68</v>
      </c>
      <c r="C895" s="157">
        <v>1</v>
      </c>
      <c r="D895" s="157" t="s">
        <v>468</v>
      </c>
      <c r="E895" s="177" t="s">
        <v>468</v>
      </c>
      <c r="F895" s="233" t="s">
        <v>543</v>
      </c>
      <c r="G895" s="234">
        <v>43342</v>
      </c>
      <c r="H895" s="157" t="s">
        <v>1035</v>
      </c>
      <c r="I895" s="157" t="s">
        <v>1011</v>
      </c>
      <c r="J895" s="237">
        <v>11118</v>
      </c>
      <c r="K895" s="175" t="s">
        <v>61</v>
      </c>
      <c r="L895" s="175" t="s">
        <v>439</v>
      </c>
      <c r="M895" s="175" t="s">
        <v>1343</v>
      </c>
      <c r="N895" s="198"/>
      <c r="O895" s="199"/>
      <c r="P895" s="181">
        <v>0</v>
      </c>
      <c r="Q895" s="177">
        <v>43336</v>
      </c>
      <c r="R895" s="178">
        <v>429.92961000000003</v>
      </c>
      <c r="S895" s="179">
        <v>78354.36</v>
      </c>
      <c r="T895" s="182" t="s">
        <v>45</v>
      </c>
      <c r="U895" s="183">
        <v>4.1063000000000001</v>
      </c>
      <c r="V895" s="179">
        <v>5345.6399999999994</v>
      </c>
      <c r="W895" s="179">
        <v>0</v>
      </c>
      <c r="X895" s="196" t="s">
        <v>45</v>
      </c>
      <c r="Y895" s="200">
        <v>4.1063000000000001</v>
      </c>
      <c r="Z895" s="220"/>
      <c r="AA895" s="201">
        <f>Delivery[[#This Row],[Quantity delivered]]*VLOOKUP(Delivery[[#This Row],[Unit]],References!$U:$X,4,FALSE)*VLOOKUP(CONCATENATE(Delivery[[#This Row],[Coffee specie]],Delivery[[#This Row],[Coffee state]]),References!$U:$X,4,FALSE)</f>
        <v>11118</v>
      </c>
      <c r="AB895" s="202">
        <f>SUMIF(Allocation!C:C,Delivery[[#This Row],[Delivery ID]],Allocation!D:D)/Delivery[[#This Row],[Quantity delivered]]</f>
        <v>1</v>
      </c>
      <c r="AC895" s="203">
        <f>Delivery[[#This Row],[Quantity delivered]]*Delivery[[#This Row],[Base price (Unidad)]]/60</f>
        <v>79665.956732999999</v>
      </c>
      <c r="AD895" s="204">
        <f>Delivery[[#This Row],[Nespresso total]]-Delivery[[#This Row],[Qt. Delivery * Base Price]]</f>
        <v>-1311.5967329999985</v>
      </c>
      <c r="AE895" s="204">
        <f>Delivery[[#This Row],[AAA Premium (total)]]/Delivery[[#This Row],[Quantity delivered]]*60/Delivery[[#This Row],[Exchange rate VS USD]]</f>
        <v>7.0254413673307505</v>
      </c>
      <c r="AF895" s="204">
        <f>Delivery[[#This Row],[BEN premium (total)]]/Delivery[[#This Row],[Quantity delivered]]*60/Delivery[[#This Row],[Exchange rate for premiums VS USD]]</f>
        <v>0</v>
      </c>
      <c r="AG895" s="204">
        <f>COUNTIF(Delivery[Delivery ID],Delivery[[#This Row],[Delivery ID]])</f>
        <v>1</v>
      </c>
      <c r="AH895" s="204">
        <f>(Delivery[[#This Row],[Nespresso total]]/SUMIF(Allocation!C:C,Delivery[Delivery ID],Allocation!H:H))/Delivery[[#This Row],[Exchange rate VS USD]]</f>
        <v>4.2592632053186561</v>
      </c>
      <c r="AI895" s="204">
        <f>(Delivery[[#This Row],[AAA Premium (total)]]/SUMIF(Allocation!C:C,Delivery[Delivery ID],Allocation!H:H))/Delivery[[#This Row],[Exchange rate VS USD]]</f>
        <v>0.29058354584071161</v>
      </c>
      <c r="AJ895" s="204">
        <f>Delivery[[#This Row],[Valor Prêmio Nespresso AAA por Kg (em US$)]]*60</f>
        <v>17.435012750442695</v>
      </c>
      <c r="AK895" s="204">
        <f>Delivery[[#This Row],[Valor Prêmio Nespresso AAA por saca (em US$)]]/1.3228/100</f>
        <v>0.13180384601181352</v>
      </c>
      <c r="AL895" s="204">
        <f>(Delivery[[#This Row],[BEN premium (total)]]/SUMIF(Allocation!C:C,Delivery[Delivery ID],Allocation!H:H))/Delivery[[#This Row],[Exchange rate for premiums VS USD]]</f>
        <v>0</v>
      </c>
      <c r="AM895" s="204">
        <f>Delivery[[#This Row],[Valor Prêmio Nespresso BEN por Kg (em US$)]]*60</f>
        <v>0</v>
      </c>
      <c r="AN895" s="204">
        <f>Delivery[[#This Row],[Valor Prêmio Nespresso BEN por saca (em US$)]]/1.3228/100</f>
        <v>0</v>
      </c>
      <c r="AO895" s="204">
        <f>SUMIF(Allocation[Delivery ID],Delivery[[#This Row],[Delivery ID]],Allocation[Quantity allocated])*16*1.3228*Delivery[[#This Row],[Exchange rate VS USD]]/60</f>
        <v>6489.2066952533341</v>
      </c>
      <c r="AP895" s="204">
        <f>Delivery[[#This Row],[AAA Premium (total)]]</f>
        <v>5345.6399999999994</v>
      </c>
      <c r="AQ895" s="204">
        <f>Delivery[[#This Row],[Valor pago pelo Cluster]]-Delivery[[#This Row],[Valor efetivamente pago pela Nespresso]]</f>
        <v>-1143.5666952533347</v>
      </c>
    </row>
    <row r="896" spans="1:43" ht="15.75">
      <c r="A896" s="174" t="s">
        <v>69</v>
      </c>
      <c r="B896" s="232" t="s">
        <v>68</v>
      </c>
      <c r="C896" s="157" t="s">
        <v>1344</v>
      </c>
      <c r="D896" s="157" t="s">
        <v>468</v>
      </c>
      <c r="E896" s="177" t="s">
        <v>468</v>
      </c>
      <c r="F896" s="233" t="s">
        <v>543</v>
      </c>
      <c r="G896" s="234">
        <v>43342</v>
      </c>
      <c r="H896" s="157" t="s">
        <v>1036</v>
      </c>
      <c r="I896" s="157" t="s">
        <v>992</v>
      </c>
      <c r="J896" s="237">
        <v>10162</v>
      </c>
      <c r="K896" s="175" t="s">
        <v>61</v>
      </c>
      <c r="L896" s="175" t="s">
        <v>439</v>
      </c>
      <c r="M896" s="175" t="s">
        <v>1343</v>
      </c>
      <c r="N896" s="198"/>
      <c r="O896" s="199"/>
      <c r="P896" s="181">
        <v>0</v>
      </c>
      <c r="Q896" s="177">
        <v>43336</v>
      </c>
      <c r="R896" s="178">
        <v>429.92961000000003</v>
      </c>
      <c r="S896" s="179">
        <v>71614.2</v>
      </c>
      <c r="T896" s="182" t="s">
        <v>45</v>
      </c>
      <c r="U896" s="183">
        <v>4.1063000000000001</v>
      </c>
      <c r="V896" s="179">
        <v>4886.4970000000003</v>
      </c>
      <c r="W896" s="179">
        <v>0</v>
      </c>
      <c r="X896" s="196" t="s">
        <v>45</v>
      </c>
      <c r="Y896" s="200">
        <v>4.1063000000000001</v>
      </c>
      <c r="Z896" s="220"/>
      <c r="AA896" s="201">
        <f>Delivery[[#This Row],[Quantity delivered]]*VLOOKUP(Delivery[[#This Row],[Unit]],References!$U:$X,4,FALSE)*VLOOKUP(CONCATENATE(Delivery[[#This Row],[Coffee specie]],Delivery[[#This Row],[Coffee state]]),References!$U:$X,4,FALSE)</f>
        <v>10162</v>
      </c>
      <c r="AB896" s="202">
        <f>SUMIF(Allocation!C:C,Delivery[[#This Row],[Delivery ID]],Allocation!D:D)/Delivery[[#This Row],[Quantity delivered]]</f>
        <v>1</v>
      </c>
      <c r="AC896" s="203">
        <f>Delivery[[#This Row],[Quantity delivered]]*Delivery[[#This Row],[Base price (Unidad)]]/60</f>
        <v>72815.744946999999</v>
      </c>
      <c r="AD896" s="204">
        <f>Delivery[[#This Row],[Nespresso total]]-Delivery[[#This Row],[Qt. Delivery * Base Price]]</f>
        <v>-1201.5449470000021</v>
      </c>
      <c r="AE896" s="204">
        <f>Delivery[[#This Row],[AAA Premium (total)]]/Delivery[[#This Row],[Quantity delivered]]*60/Delivery[[#This Row],[Exchange rate VS USD]]</f>
        <v>7.0261759496162179</v>
      </c>
      <c r="AF896" s="204">
        <f>Delivery[[#This Row],[BEN premium (total)]]/Delivery[[#This Row],[Quantity delivered]]*60/Delivery[[#This Row],[Exchange rate for premiums VS USD]]</f>
        <v>0</v>
      </c>
      <c r="AG896" s="204">
        <f>COUNTIF(Delivery[Delivery ID],Delivery[[#This Row],[Delivery ID]])</f>
        <v>1</v>
      </c>
      <c r="AH896" s="204">
        <f>(Delivery[[#This Row],[Nespresso total]]/SUMIF(Allocation!C:C,Delivery[Delivery ID],Allocation!H:H))/Delivery[[#This Row],[Exchange rate VS USD]]</f>
        <v>4.3742362370859711</v>
      </c>
      <c r="AI896" s="204">
        <f>(Delivery[[#This Row],[AAA Premium (total)]]/SUMIF(Allocation!C:C,Delivery[Delivery ID],Allocation!H:H))/Delivery[[#This Row],[Exchange rate VS USD]]</f>
        <v>0.29847002758966645</v>
      </c>
      <c r="AJ896" s="204">
        <f>Delivery[[#This Row],[Valor Prêmio Nespresso AAA por Kg (em US$)]]*60</f>
        <v>17.908201655379987</v>
      </c>
      <c r="AK896" s="204">
        <f>Delivery[[#This Row],[Valor Prêmio Nespresso AAA por saca (em US$)]]/1.3228/100</f>
        <v>0.13538102249304496</v>
      </c>
      <c r="AL896" s="204">
        <f>(Delivery[[#This Row],[BEN premium (total)]]/SUMIF(Allocation!C:C,Delivery[Delivery ID],Allocation!H:H))/Delivery[[#This Row],[Exchange rate for premiums VS USD]]</f>
        <v>0</v>
      </c>
      <c r="AM896" s="204">
        <f>Delivery[[#This Row],[Valor Prêmio Nespresso BEN por Kg (em US$)]]*60</f>
        <v>0</v>
      </c>
      <c r="AN896" s="204">
        <f>Delivery[[#This Row],[Valor Prêmio Nespresso BEN por saca (em US$)]]/1.3228/100</f>
        <v>0</v>
      </c>
      <c r="AO896" s="204">
        <f>SUMIF(Allocation[Delivery ID],Delivery[[#This Row],[Delivery ID]],Allocation[Quantity allocated])*16*1.3228*Delivery[[#This Row],[Exchange rate VS USD]]/60</f>
        <v>5775.1042620480002</v>
      </c>
      <c r="AP896" s="204">
        <f>Delivery[[#This Row],[AAA Premium (total)]]</f>
        <v>4886.4970000000003</v>
      </c>
      <c r="AQ896" s="204">
        <f>Delivery[[#This Row],[Valor pago pelo Cluster]]-Delivery[[#This Row],[Valor efetivamente pago pela Nespresso]]</f>
        <v>-888.60726204799994</v>
      </c>
    </row>
    <row r="897" spans="1:43" ht="15.75">
      <c r="A897" s="174" t="s">
        <v>69</v>
      </c>
      <c r="B897" s="232" t="s">
        <v>68</v>
      </c>
      <c r="C897" s="157">
        <v>1</v>
      </c>
      <c r="D897" s="157" t="s">
        <v>468</v>
      </c>
      <c r="E897" s="177" t="s">
        <v>468</v>
      </c>
      <c r="F897" s="233" t="s">
        <v>543</v>
      </c>
      <c r="G897" s="234">
        <v>43343</v>
      </c>
      <c r="H897" s="157" t="s">
        <v>1037</v>
      </c>
      <c r="I897" s="157" t="s">
        <v>1038</v>
      </c>
      <c r="J897" s="237">
        <v>9670.5</v>
      </c>
      <c r="K897" s="175" t="s">
        <v>61</v>
      </c>
      <c r="L897" s="175" t="s">
        <v>439</v>
      </c>
      <c r="M897" s="175" t="s">
        <v>1343</v>
      </c>
      <c r="N897" s="198"/>
      <c r="O897" s="199"/>
      <c r="P897" s="181">
        <v>0</v>
      </c>
      <c r="Q897" s="177">
        <v>43335</v>
      </c>
      <c r="R897" s="178">
        <v>417.88269500000007</v>
      </c>
      <c r="S897" s="179">
        <v>65318.79</v>
      </c>
      <c r="T897" s="182" t="s">
        <v>45</v>
      </c>
      <c r="U897" s="183">
        <v>4.1191000000000004</v>
      </c>
      <c r="V897" s="179">
        <v>6662.51</v>
      </c>
      <c r="W897" s="179">
        <v>0</v>
      </c>
      <c r="X897" s="196" t="s">
        <v>45</v>
      </c>
      <c r="Y897" s="200">
        <v>4.1191000000000004</v>
      </c>
      <c r="Z897" s="220"/>
      <c r="AA897" s="201">
        <f>Delivery[[#This Row],[Quantity delivered]]*VLOOKUP(Delivery[[#This Row],[Unit]],References!$U:$X,4,FALSE)*VLOOKUP(CONCATENATE(Delivery[[#This Row],[Coffee specie]],Delivery[[#This Row],[Coffee state]]),References!$U:$X,4,FALSE)</f>
        <v>9670.5</v>
      </c>
      <c r="AB897" s="202">
        <f>SUMIF(Allocation!C:C,Delivery[[#This Row],[Delivery ID]],Allocation!D:D)/Delivery[[#This Row],[Quantity delivered]]</f>
        <v>0.89623080502559327</v>
      </c>
      <c r="AC897" s="203">
        <f>Delivery[[#This Row],[Quantity delivered]]*Delivery[[#This Row],[Base price (Unidad)]]/60</f>
        <v>67352.243366625014</v>
      </c>
      <c r="AD897" s="204">
        <f>Delivery[[#This Row],[Nespresso total]]-Delivery[[#This Row],[Qt. Delivery * Base Price]]</f>
        <v>-2033.4533666250136</v>
      </c>
      <c r="AE897" s="204">
        <f>Delivery[[#This Row],[AAA Premium (total)]]/Delivery[[#This Row],[Quantity delivered]]*60/Delivery[[#This Row],[Exchange rate VS USD]]</f>
        <v>10.035473292563465</v>
      </c>
      <c r="AF897" s="204">
        <f>Delivery[[#This Row],[BEN premium (total)]]/Delivery[[#This Row],[Quantity delivered]]*60/Delivery[[#This Row],[Exchange rate for premiums VS USD]]</f>
        <v>0</v>
      </c>
      <c r="AG897" s="204">
        <f>COUNTIF(Delivery[Delivery ID],Delivery[[#This Row],[Delivery ID]])</f>
        <v>1</v>
      </c>
      <c r="AH897" s="204">
        <f>(Delivery[[#This Row],[Nespresso total]]/SUMIF(Allocation!C:C,Delivery[Delivery ID],Allocation!H:H))/Delivery[[#This Row],[Exchange rate VS USD]]</f>
        <v>3.9773110780754348</v>
      </c>
      <c r="AI897" s="204">
        <f>(Delivery[[#This Row],[AAA Premium (total)]]/SUMIF(Allocation!C:C,Delivery[Delivery ID],Allocation!H:H))/Delivery[[#This Row],[Exchange rate VS USD]]</f>
        <v>0.40568532930246209</v>
      </c>
      <c r="AJ897" s="204">
        <f>Delivery[[#This Row],[Valor Prêmio Nespresso AAA por Kg (em US$)]]*60</f>
        <v>24.341119758147727</v>
      </c>
      <c r="AK897" s="204">
        <f>Delivery[[#This Row],[Valor Prêmio Nespresso AAA por saca (em US$)]]/1.3228/100</f>
        <v>0.1840120937265477</v>
      </c>
      <c r="AL897" s="204">
        <f>(Delivery[[#This Row],[BEN premium (total)]]/SUMIF(Allocation!C:C,Delivery[Delivery ID],Allocation!H:H))/Delivery[[#This Row],[Exchange rate for premiums VS USD]]</f>
        <v>0</v>
      </c>
      <c r="AM897" s="204">
        <f>Delivery[[#This Row],[Valor Prêmio Nespresso BEN por Kg (em US$)]]*60</f>
        <v>0</v>
      </c>
      <c r="AN897" s="204">
        <f>Delivery[[#This Row],[Valor Prêmio Nespresso BEN por saca (em US$)]]/1.3228/100</f>
        <v>0</v>
      </c>
      <c r="AO897" s="204">
        <f>SUMIF(Allocation[Delivery ID],Delivery[[#This Row],[Delivery ID]],Allocation[Quantity allocated])*16*1.3228*Delivery[[#This Row],[Exchange rate VS USD]]/60</f>
        <v>5793.106194336</v>
      </c>
      <c r="AP897" s="204">
        <f>Delivery[[#This Row],[AAA Premium (total)]]</f>
        <v>6662.51</v>
      </c>
      <c r="AQ897" s="204">
        <f>Delivery[[#This Row],[Valor pago pelo Cluster]]-Delivery[[#This Row],[Valor efetivamente pago pela Nespresso]]</f>
        <v>869.40380566400017</v>
      </c>
    </row>
    <row r="898" spans="1:43" ht="15.75">
      <c r="A898" s="174" t="s">
        <v>69</v>
      </c>
      <c r="B898" s="232" t="s">
        <v>68</v>
      </c>
      <c r="C898" s="157">
        <v>1</v>
      </c>
      <c r="D898" s="157" t="s">
        <v>468</v>
      </c>
      <c r="E898" s="177" t="s">
        <v>468</v>
      </c>
      <c r="F898" s="233" t="s">
        <v>543</v>
      </c>
      <c r="G898" s="234">
        <v>43342</v>
      </c>
      <c r="H898" s="157" t="s">
        <v>1039</v>
      </c>
      <c r="I898" s="157" t="s">
        <v>1040</v>
      </c>
      <c r="J898" s="237">
        <v>9713</v>
      </c>
      <c r="K898" s="175" t="s">
        <v>61</v>
      </c>
      <c r="L898" s="175" t="s">
        <v>439</v>
      </c>
      <c r="M898" s="175" t="s">
        <v>1343</v>
      </c>
      <c r="N898" s="198"/>
      <c r="O898" s="199"/>
      <c r="P898" s="181">
        <v>0</v>
      </c>
      <c r="Q898" s="177">
        <v>43335</v>
      </c>
      <c r="R898" s="178">
        <v>409.68295499999994</v>
      </c>
      <c r="S898" s="179">
        <v>70945.41</v>
      </c>
      <c r="T898" s="182" t="s">
        <v>45</v>
      </c>
      <c r="U898" s="183">
        <v>4.0622999999999996</v>
      </c>
      <c r="V898" s="179">
        <v>7973.81</v>
      </c>
      <c r="W898" s="179">
        <v>0</v>
      </c>
      <c r="X898" s="196" t="s">
        <v>45</v>
      </c>
      <c r="Y898" s="200">
        <v>4.0622999999999996</v>
      </c>
      <c r="Z898" s="220"/>
      <c r="AA898" s="201">
        <f>Delivery[[#This Row],[Quantity delivered]]*VLOOKUP(Delivery[[#This Row],[Unit]],References!$U:$X,4,FALSE)*VLOOKUP(CONCATENATE(Delivery[[#This Row],[Coffee specie]],Delivery[[#This Row],[Coffee state]]),References!$U:$X,4,FALSE)</f>
        <v>9713</v>
      </c>
      <c r="AB898" s="202">
        <f>SUMIF(Allocation!C:C,Delivery[[#This Row],[Delivery ID]],Allocation!D:D)/Delivery[[#This Row],[Quantity delivered]]</f>
        <v>1</v>
      </c>
      <c r="AC898" s="203">
        <f>Delivery[[#This Row],[Quantity delivered]]*Delivery[[#This Row],[Base price (Unidad)]]/60</f>
        <v>66320.842365249991</v>
      </c>
      <c r="AD898" s="204">
        <f>Delivery[[#This Row],[Nespresso total]]-Delivery[[#This Row],[Qt. Delivery * Base Price]]</f>
        <v>4624.5676347500121</v>
      </c>
      <c r="AE898" s="204">
        <f>Delivery[[#This Row],[AAA Premium (total)]]/Delivery[[#This Row],[Quantity delivered]]*60/Delivery[[#This Row],[Exchange rate VS USD]]</f>
        <v>12.12527932126136</v>
      </c>
      <c r="AF898" s="204">
        <f>Delivery[[#This Row],[BEN premium (total)]]/Delivery[[#This Row],[Quantity delivered]]*60/Delivery[[#This Row],[Exchange rate for premiums VS USD]]</f>
        <v>0</v>
      </c>
      <c r="AG898" s="204">
        <f>COUNTIF(Delivery[Delivery ID],Delivery[[#This Row],[Delivery ID]])</f>
        <v>1</v>
      </c>
      <c r="AH898" s="204">
        <f>(Delivery[[#This Row],[Nespresso total]]/SUMIF(Allocation!C:C,Delivery[Delivery ID],Allocation!H:H))/Delivery[[#This Row],[Exchange rate VS USD]]</f>
        <v>4.4930139752034561</v>
      </c>
      <c r="AI898" s="204">
        <f>(Delivery[[#This Row],[AAA Premium (total)]]/SUMIF(Allocation!C:C,Delivery[Delivery ID],Allocation!H:H))/Delivery[[#This Row],[Exchange rate VS USD]]</f>
        <v>0.50498601340970573</v>
      </c>
      <c r="AJ898" s="204">
        <f>Delivery[[#This Row],[Valor Prêmio Nespresso AAA por Kg (em US$)]]*60</f>
        <v>30.299160804582343</v>
      </c>
      <c r="AK898" s="204">
        <f>Delivery[[#This Row],[Valor Prêmio Nespresso AAA por saca (em US$)]]/1.3228/100</f>
        <v>0.22905322652390644</v>
      </c>
      <c r="AL898" s="204">
        <f>(Delivery[[#This Row],[BEN premium (total)]]/SUMIF(Allocation!C:C,Delivery[Delivery ID],Allocation!H:H))/Delivery[[#This Row],[Exchange rate for premiums VS USD]]</f>
        <v>0</v>
      </c>
      <c r="AM898" s="204">
        <f>Delivery[[#This Row],[Valor Prêmio Nespresso BEN por Kg (em US$)]]*60</f>
        <v>0</v>
      </c>
      <c r="AN898" s="204">
        <f>Delivery[[#This Row],[Valor Prêmio Nespresso BEN por saca (em US$)]]/1.3228/100</f>
        <v>0</v>
      </c>
      <c r="AO898" s="204">
        <f>SUMIF(Allocation[Delivery ID],Delivery[[#This Row],[Delivery ID]],Allocation[Quantity allocated])*16*1.3228*Delivery[[#This Row],[Exchange rate VS USD]]/60</f>
        <v>5569.9263414079996</v>
      </c>
      <c r="AP898" s="204">
        <f>Delivery[[#This Row],[AAA Premium (total)]]</f>
        <v>7973.81</v>
      </c>
      <c r="AQ898" s="204">
        <f>Delivery[[#This Row],[Valor pago pelo Cluster]]-Delivery[[#This Row],[Valor efetivamente pago pela Nespresso]]</f>
        <v>2403.8836585920008</v>
      </c>
    </row>
    <row r="899" spans="1:43" ht="15.75">
      <c r="A899" s="174" t="s">
        <v>69</v>
      </c>
      <c r="B899" s="232" t="s">
        <v>68</v>
      </c>
      <c r="C899" s="157">
        <v>1</v>
      </c>
      <c r="D899" s="157" t="s">
        <v>468</v>
      </c>
      <c r="E899" s="177" t="s">
        <v>468</v>
      </c>
      <c r="F899" s="233" t="s">
        <v>543</v>
      </c>
      <c r="G899" s="234">
        <v>43342</v>
      </c>
      <c r="H899" s="157" t="s">
        <v>1041</v>
      </c>
      <c r="I899" s="157" t="s">
        <v>1040</v>
      </c>
      <c r="J899" s="237">
        <v>12665</v>
      </c>
      <c r="K899" s="175" t="s">
        <v>61</v>
      </c>
      <c r="L899" s="175" t="s">
        <v>439</v>
      </c>
      <c r="M899" s="175" t="s">
        <v>1343</v>
      </c>
      <c r="N899" s="198"/>
      <c r="O899" s="199"/>
      <c r="P899" s="181">
        <v>0</v>
      </c>
      <c r="Q899" s="177">
        <v>43335</v>
      </c>
      <c r="R899" s="178">
        <v>409.88606999999996</v>
      </c>
      <c r="S899" s="179">
        <v>90387.049999999988</v>
      </c>
      <c r="T899" s="182" t="s">
        <v>45</v>
      </c>
      <c r="U899" s="183">
        <v>4.0622999999999996</v>
      </c>
      <c r="V899" s="179">
        <v>6064.3600000000006</v>
      </c>
      <c r="W899" s="179">
        <v>0</v>
      </c>
      <c r="X899" s="196" t="s">
        <v>45</v>
      </c>
      <c r="Y899" s="200">
        <v>4.0622999999999996</v>
      </c>
      <c r="Z899" s="220"/>
      <c r="AA899" s="201">
        <f>Delivery[[#This Row],[Quantity delivered]]*VLOOKUP(Delivery[[#This Row],[Unit]],References!$U:$X,4,FALSE)*VLOOKUP(CONCATENATE(Delivery[[#This Row],[Coffee specie]],Delivery[[#This Row],[Coffee state]]),References!$U:$X,4,FALSE)</f>
        <v>12665</v>
      </c>
      <c r="AB899" s="202">
        <f>SUMIF(Allocation!C:C,Delivery[[#This Row],[Delivery ID]],Allocation!D:D)/Delivery[[#This Row],[Quantity delivered]]</f>
        <v>1</v>
      </c>
      <c r="AC899" s="203">
        <f>Delivery[[#This Row],[Quantity delivered]]*Delivery[[#This Row],[Base price (Unidad)]]/60</f>
        <v>86520.117942499986</v>
      </c>
      <c r="AD899" s="204">
        <f>Delivery[[#This Row],[Nespresso total]]-Delivery[[#This Row],[Qt. Delivery * Base Price]]</f>
        <v>3866.932057500002</v>
      </c>
      <c r="AE899" s="204">
        <f>Delivery[[#This Row],[AAA Premium (total)]]/Delivery[[#This Row],[Quantity delivered]]*60/Delivery[[#This Row],[Exchange rate VS USD]]</f>
        <v>7.0722733457975151</v>
      </c>
      <c r="AF899" s="204">
        <f>Delivery[[#This Row],[BEN premium (total)]]/Delivery[[#This Row],[Quantity delivered]]*60/Delivery[[#This Row],[Exchange rate for premiums VS USD]]</f>
        <v>0</v>
      </c>
      <c r="AG899" s="204">
        <f>COUNTIF(Delivery[Delivery ID],Delivery[[#This Row],[Delivery ID]])</f>
        <v>1</v>
      </c>
      <c r="AH899" s="204">
        <f>(Delivery[[#This Row],[Nespresso total]]/SUMIF(Allocation!C:C,Delivery[Delivery ID],Allocation!H:H))/Delivery[[#This Row],[Exchange rate VS USD]]</f>
        <v>5.3217448924227355</v>
      </c>
      <c r="AI899" s="204">
        <f>(Delivery[[#This Row],[AAA Premium (total)]]/SUMIF(Allocation!C:C,Delivery[Delivery ID],Allocation!H:H))/Delivery[[#This Row],[Exchange rate VS USD]]</f>
        <v>0.35705310501684417</v>
      </c>
      <c r="AJ899" s="204">
        <f>Delivery[[#This Row],[Valor Prêmio Nespresso AAA por Kg (em US$)]]*60</f>
        <v>21.423186301010652</v>
      </c>
      <c r="AK899" s="204">
        <f>Delivery[[#This Row],[Valor Prêmio Nespresso AAA por saca (em US$)]]/1.3228/100</f>
        <v>0.16195332855314976</v>
      </c>
      <c r="AL899" s="204">
        <f>(Delivery[[#This Row],[BEN premium (total)]]/SUMIF(Allocation!C:C,Delivery[Delivery ID],Allocation!H:H))/Delivery[[#This Row],[Exchange rate for premiums VS USD]]</f>
        <v>0</v>
      </c>
      <c r="AM899" s="204">
        <f>Delivery[[#This Row],[Valor Prêmio Nespresso BEN por Kg (em US$)]]*60</f>
        <v>0</v>
      </c>
      <c r="AN899" s="204">
        <f>Delivery[[#This Row],[Valor Prêmio Nespresso BEN por saca (em US$)]]/1.3228/100</f>
        <v>0</v>
      </c>
      <c r="AO899" s="204">
        <f>SUMIF(Allocation[Delivery ID],Delivery[[#This Row],[Delivery ID]],Allocation[Quantity allocated])*16*1.3228*Delivery[[#This Row],[Exchange rate VS USD]]/60</f>
        <v>5991.2173999039987</v>
      </c>
      <c r="AP899" s="204">
        <f>Delivery[[#This Row],[AAA Premium (total)]]</f>
        <v>6064.3600000000006</v>
      </c>
      <c r="AQ899" s="204">
        <f>Delivery[[#This Row],[Valor pago pelo Cluster]]-Delivery[[#This Row],[Valor efetivamente pago pela Nespresso]]</f>
        <v>73.142600096001843</v>
      </c>
    </row>
    <row r="900" spans="1:43" ht="15.75">
      <c r="A900" s="174" t="s">
        <v>69</v>
      </c>
      <c r="B900" s="232" t="s">
        <v>68</v>
      </c>
      <c r="C900" s="157">
        <v>1</v>
      </c>
      <c r="D900" s="157" t="s">
        <v>468</v>
      </c>
      <c r="E900" s="177" t="s">
        <v>468</v>
      </c>
      <c r="F900" s="233" t="s">
        <v>543</v>
      </c>
      <c r="G900" s="234">
        <v>43342</v>
      </c>
      <c r="H900" s="157" t="s">
        <v>1042</v>
      </c>
      <c r="I900" s="157" t="s">
        <v>1040</v>
      </c>
      <c r="J900" s="237">
        <v>16416.5</v>
      </c>
      <c r="K900" s="175" t="s">
        <v>61</v>
      </c>
      <c r="L900" s="175" t="s">
        <v>439</v>
      </c>
      <c r="M900" s="175" t="s">
        <v>1343</v>
      </c>
      <c r="N900" s="198"/>
      <c r="O900" s="199"/>
      <c r="P900" s="181">
        <v>0</v>
      </c>
      <c r="Q900" s="177">
        <v>43335</v>
      </c>
      <c r="R900" s="178">
        <v>409.88606999999996</v>
      </c>
      <c r="S900" s="179">
        <v>114071.82</v>
      </c>
      <c r="T900" s="182" t="s">
        <v>45</v>
      </c>
      <c r="U900" s="183">
        <v>4.0622999999999996</v>
      </c>
      <c r="V900" s="179">
        <v>7653.44</v>
      </c>
      <c r="W900" s="179">
        <v>0</v>
      </c>
      <c r="X900" s="196" t="s">
        <v>45</v>
      </c>
      <c r="Y900" s="200">
        <v>4.0622999999999996</v>
      </c>
      <c r="Z900" s="220"/>
      <c r="AA900" s="201">
        <f>Delivery[[#This Row],[Quantity delivered]]*VLOOKUP(Delivery[[#This Row],[Unit]],References!$U:$X,4,FALSE)*VLOOKUP(CONCATENATE(Delivery[[#This Row],[Coffee specie]],Delivery[[#This Row],[Coffee state]]),References!$U:$X,4,FALSE)</f>
        <v>16416.5</v>
      </c>
      <c r="AB900" s="202">
        <f>SUMIF(Allocation!C:C,Delivery[[#This Row],[Delivery ID]],Allocation!D:D)/Delivery[[#This Row],[Quantity delivered]]</f>
        <v>1</v>
      </c>
      <c r="AC900" s="203">
        <f>Delivery[[#This Row],[Quantity delivered]]*Delivery[[#This Row],[Base price (Unidad)]]/60</f>
        <v>112148.24446925</v>
      </c>
      <c r="AD900" s="204">
        <f>Delivery[[#This Row],[Nespresso total]]-Delivery[[#This Row],[Qt. Delivery * Base Price]]</f>
        <v>1923.5755307500076</v>
      </c>
      <c r="AE900" s="204">
        <f>Delivery[[#This Row],[AAA Premium (total)]]/Delivery[[#This Row],[Quantity delivered]]*60/Delivery[[#This Row],[Exchange rate VS USD]]</f>
        <v>6.8858152854255223</v>
      </c>
      <c r="AF900" s="204">
        <f>Delivery[[#This Row],[BEN premium (total)]]/Delivery[[#This Row],[Quantity delivered]]*60/Delivery[[#This Row],[Exchange rate for premiums VS USD]]</f>
        <v>0</v>
      </c>
      <c r="AG900" s="204">
        <f>COUNTIF(Delivery[Delivery ID],Delivery[[#This Row],[Delivery ID]])</f>
        <v>1</v>
      </c>
      <c r="AH900" s="204">
        <f>(Delivery[[#This Row],[Nespresso total]]/SUMIF(Allocation!C:C,Delivery[Delivery ID],Allocation!H:H))/Delivery[[#This Row],[Exchange rate VS USD]]</f>
        <v>5.1809224465481503</v>
      </c>
      <c r="AI900" s="204">
        <f>(Delivery[[#This Row],[AAA Premium (total)]]/SUMIF(Allocation!C:C,Delivery[Delivery ID],Allocation!H:H))/Delivery[[#This Row],[Exchange rate VS USD]]</f>
        <v>0.34760450994215286</v>
      </c>
      <c r="AJ900" s="204">
        <f>Delivery[[#This Row],[Valor Prêmio Nespresso AAA por Kg (em US$)]]*60</f>
        <v>20.856270596529171</v>
      </c>
      <c r="AK900" s="204">
        <f>Delivery[[#This Row],[Valor Prêmio Nespresso AAA por saca (em US$)]]/1.3228/100</f>
        <v>0.1576676035419502</v>
      </c>
      <c r="AL900" s="204">
        <f>(Delivery[[#This Row],[BEN premium (total)]]/SUMIF(Allocation!C:C,Delivery[Delivery ID],Allocation!H:H))/Delivery[[#This Row],[Exchange rate for premiums VS USD]]</f>
        <v>0</v>
      </c>
      <c r="AM900" s="204">
        <f>Delivery[[#This Row],[Valor Prêmio Nespresso BEN por Kg (em US$)]]*60</f>
        <v>0</v>
      </c>
      <c r="AN900" s="204">
        <f>Delivery[[#This Row],[Valor Prêmio Nespresso BEN por saca (em US$)]]/1.3228/100</f>
        <v>0</v>
      </c>
      <c r="AO900" s="204">
        <f>SUMIF(Allocation[Delivery ID],Delivery[[#This Row],[Delivery ID]],Allocation[Quantity allocated])*16*1.3228*Delivery[[#This Row],[Exchange rate VS USD]]/60</f>
        <v>7766.6582892799988</v>
      </c>
      <c r="AP900" s="204">
        <f>Delivery[[#This Row],[AAA Premium (total)]]</f>
        <v>7653.44</v>
      </c>
      <c r="AQ900" s="204">
        <f>Delivery[[#This Row],[Valor pago pelo Cluster]]-Delivery[[#This Row],[Valor efetivamente pago pela Nespresso]]</f>
        <v>-113.21828927999923</v>
      </c>
    </row>
    <row r="901" spans="1:43" ht="15.75">
      <c r="A901" s="174" t="s">
        <v>69</v>
      </c>
      <c r="B901" s="232" t="s">
        <v>68</v>
      </c>
      <c r="C901" s="157">
        <v>1</v>
      </c>
      <c r="D901" s="157" t="s">
        <v>468</v>
      </c>
      <c r="E901" s="177" t="s">
        <v>468</v>
      </c>
      <c r="F901" s="233" t="s">
        <v>543</v>
      </c>
      <c r="G901" s="234">
        <v>43340</v>
      </c>
      <c r="H901" s="157" t="s">
        <v>1043</v>
      </c>
      <c r="I901" s="157" t="s">
        <v>988</v>
      </c>
      <c r="J901" s="237">
        <v>20140</v>
      </c>
      <c r="K901" s="175" t="s">
        <v>61</v>
      </c>
      <c r="L901" s="175" t="s">
        <v>439</v>
      </c>
      <c r="M901" s="175" t="s">
        <v>1343</v>
      </c>
      <c r="N901" s="198"/>
      <c r="O901" s="199"/>
      <c r="P901" s="181">
        <v>0</v>
      </c>
      <c r="Q901" s="177">
        <v>43335</v>
      </c>
      <c r="R901" s="178">
        <v>413.43036000000001</v>
      </c>
      <c r="S901" s="179">
        <v>141137.62</v>
      </c>
      <c r="T901" s="182" t="s">
        <v>45</v>
      </c>
      <c r="U901" s="183">
        <v>4.0712000000000002</v>
      </c>
      <c r="V901" s="179">
        <v>9604.5</v>
      </c>
      <c r="W901" s="179">
        <v>0</v>
      </c>
      <c r="X901" s="196" t="s">
        <v>45</v>
      </c>
      <c r="Y901" s="200">
        <v>4.0712000000000002</v>
      </c>
      <c r="Z901" s="220"/>
      <c r="AA901" s="201">
        <f>Delivery[[#This Row],[Quantity delivered]]*VLOOKUP(Delivery[[#This Row],[Unit]],References!$U:$X,4,FALSE)*VLOOKUP(CONCATENATE(Delivery[[#This Row],[Coffee specie]],Delivery[[#This Row],[Coffee state]]),References!$U:$X,4,FALSE)</f>
        <v>20140</v>
      </c>
      <c r="AB901" s="202">
        <f>SUMIF(Allocation!C:C,Delivery[[#This Row],[Delivery ID]],Allocation!D:D)/Delivery[[#This Row],[Quantity delivered]]</f>
        <v>1</v>
      </c>
      <c r="AC901" s="203">
        <f>Delivery[[#This Row],[Quantity delivered]]*Delivery[[#This Row],[Base price (Unidad)]]/60</f>
        <v>138774.79084</v>
      </c>
      <c r="AD901" s="204">
        <f>Delivery[[#This Row],[Nespresso total]]-Delivery[[#This Row],[Qt. Delivery * Base Price]]</f>
        <v>2362.8291599999939</v>
      </c>
      <c r="AE901" s="204">
        <f>Delivery[[#This Row],[AAA Premium (total)]]/Delivery[[#This Row],[Quantity delivered]]*60/Delivery[[#This Row],[Exchange rate VS USD]]</f>
        <v>7.0281999280727572</v>
      </c>
      <c r="AF901" s="204">
        <f>Delivery[[#This Row],[BEN premium (total)]]/Delivery[[#This Row],[Quantity delivered]]*60/Delivery[[#This Row],[Exchange rate for premiums VS USD]]</f>
        <v>0</v>
      </c>
      <c r="AG901" s="204">
        <f>COUNTIF(Delivery[Delivery ID],Delivery[[#This Row],[Delivery ID]])</f>
        <v>1</v>
      </c>
      <c r="AH901" s="204">
        <f>(Delivery[[#This Row],[Nespresso total]]/SUMIF(Allocation!C:C,Delivery[Delivery ID],Allocation!H:H))/Delivery[[#This Row],[Exchange rate VS USD]]</f>
        <v>5.0616625181421728</v>
      </c>
      <c r="AI901" s="204">
        <f>(Delivery[[#This Row],[AAA Premium (total)]]/SUMIF(Allocation!C:C,Delivery[Delivery ID],Allocation!H:H))/Delivery[[#This Row],[Exchange rate VS USD]]</f>
        <v>0.34444918127070939</v>
      </c>
      <c r="AJ901" s="204">
        <f>Delivery[[#This Row],[Valor Prêmio Nespresso AAA por Kg (em US$)]]*60</f>
        <v>20.666950876242563</v>
      </c>
      <c r="AK901" s="204">
        <f>Delivery[[#This Row],[Valor Prêmio Nespresso AAA por saca (em US$)]]/1.3228/100</f>
        <v>0.15623639912490597</v>
      </c>
      <c r="AL901" s="204">
        <f>(Delivery[[#This Row],[BEN premium (total)]]/SUMIF(Allocation!C:C,Delivery[Delivery ID],Allocation!H:H))/Delivery[[#This Row],[Exchange rate for premiums VS USD]]</f>
        <v>0</v>
      </c>
      <c r="AM901" s="204">
        <f>Delivery[[#This Row],[Valor Prêmio Nespresso BEN por Kg (em US$)]]*60</f>
        <v>0</v>
      </c>
      <c r="AN901" s="204">
        <f>Delivery[[#This Row],[Valor Prêmio Nespresso BEN por saca (em US$)]]/1.3228/100</f>
        <v>0</v>
      </c>
      <c r="AO901" s="204">
        <f>SUMIF(Allocation[Delivery ID],Delivery[[#This Row],[Delivery ID]],Allocation[Quantity allocated])*16*1.3228*Delivery[[#This Row],[Exchange rate VS USD]]/60</f>
        <v>9835.8641687039999</v>
      </c>
      <c r="AP901" s="204">
        <f>Delivery[[#This Row],[AAA Premium (total)]]</f>
        <v>9604.5</v>
      </c>
      <c r="AQ901" s="204">
        <f>Delivery[[#This Row],[Valor pago pelo Cluster]]-Delivery[[#This Row],[Valor efetivamente pago pela Nespresso]]</f>
        <v>-231.36416870399989</v>
      </c>
    </row>
    <row r="902" spans="1:43" ht="15.75">
      <c r="A902" s="174" t="s">
        <v>69</v>
      </c>
      <c r="B902" s="232" t="s">
        <v>68</v>
      </c>
      <c r="C902" s="157">
        <v>1</v>
      </c>
      <c r="D902" s="157" t="s">
        <v>468</v>
      </c>
      <c r="E902" s="177" t="s">
        <v>468</v>
      </c>
      <c r="F902" s="233" t="s">
        <v>543</v>
      </c>
      <c r="G902" s="234">
        <v>43343</v>
      </c>
      <c r="H902" s="157" t="s">
        <v>1650</v>
      </c>
      <c r="I902" s="157" t="s">
        <v>1649</v>
      </c>
      <c r="J902" s="237">
        <v>39000</v>
      </c>
      <c r="K902" s="175" t="s">
        <v>61</v>
      </c>
      <c r="L902" s="175" t="s">
        <v>439</v>
      </c>
      <c r="M902" s="175" t="s">
        <v>1343</v>
      </c>
      <c r="N902" s="198"/>
      <c r="O902" s="199"/>
      <c r="P902" s="181">
        <v>0</v>
      </c>
      <c r="Q902" s="177">
        <v>43237</v>
      </c>
      <c r="R902" s="178">
        <v>460.84500000000003</v>
      </c>
      <c r="S902" s="179">
        <v>299142.13624152006</v>
      </c>
      <c r="T902" s="182" t="s">
        <v>45</v>
      </c>
      <c r="U902" s="183">
        <v>3.7240000000000002</v>
      </c>
      <c r="V902" s="179">
        <v>16935.59</v>
      </c>
      <c r="W902" s="179">
        <v>5297.9318792399999</v>
      </c>
      <c r="X902" s="196" t="s">
        <v>45</v>
      </c>
      <c r="Y902" s="200">
        <v>3.7240000000000002</v>
      </c>
      <c r="Z902" s="220" t="s">
        <v>473</v>
      </c>
      <c r="AA902" s="201">
        <f>Delivery[[#This Row],[Quantity delivered]]*VLOOKUP(Delivery[[#This Row],[Unit]],References!$U:$X,4,FALSE)*VLOOKUP(CONCATENATE(Delivery[[#This Row],[Coffee specie]],Delivery[[#This Row],[Coffee state]]),References!$U:$X,4,FALSE)</f>
        <v>39000</v>
      </c>
      <c r="AB902" s="202">
        <f>SUMIF(Allocation!C:C,Delivery[[#This Row],[Delivery ID]],Allocation!D:D)/Delivery[[#This Row],[Quantity delivered]]</f>
        <v>0.24358974358974358</v>
      </c>
      <c r="AC902" s="203">
        <f>Delivery[[#This Row],[Quantity delivered]]*Delivery[[#This Row],[Base price (Unidad)]]/60</f>
        <v>299549.25</v>
      </c>
      <c r="AD902" s="204">
        <f>Delivery[[#This Row],[Nespresso total]]-Delivery[[#This Row],[Qt. Delivery * Base Price]]</f>
        <v>-407.1137584799435</v>
      </c>
      <c r="AE902" s="204">
        <f>Delivery[[#This Row],[AAA Premium (total)]]/Delivery[[#This Row],[Quantity delivered]]*60/Delivery[[#This Row],[Exchange rate VS USD]]</f>
        <v>6.9964430306535563</v>
      </c>
      <c r="AF902" s="204">
        <f>Delivery[[#This Row],[BEN premium (total)]]/Delivery[[#This Row],[Quantity delivered]]*60/Delivery[[#This Row],[Exchange rate for premiums VS USD]]</f>
        <v>2.1886853999999998</v>
      </c>
      <c r="AG902" s="204">
        <f>COUNTIF(Delivery[Delivery ID],Delivery[[#This Row],[Delivery ID]])</f>
        <v>1</v>
      </c>
      <c r="AH902" s="204">
        <f>(Delivery[[#This Row],[Nespresso total]]/SUMIF(Allocation!C:C,Delivery[Delivery ID],Allocation!H:H))/Delivery[[#This Row],[Exchange rate VS USD]]</f>
        <v>25.6230234027927</v>
      </c>
      <c r="AI902" s="204">
        <f>(Delivery[[#This Row],[AAA Premium (total)]]/SUMIF(Allocation!C:C,Delivery[Delivery ID],Allocation!H:H))/Delivery[[#This Row],[Exchange rate VS USD]]</f>
        <v>1.4506181722248204</v>
      </c>
      <c r="AJ902" s="204">
        <f>Delivery[[#This Row],[Valor Prêmio Nespresso AAA por Kg (em US$)]]*60</f>
        <v>87.037090333489218</v>
      </c>
      <c r="AK902" s="204">
        <f>Delivery[[#This Row],[Valor Prêmio Nespresso AAA por saca (em US$)]]/1.3228/100</f>
        <v>0.65797618939740876</v>
      </c>
      <c r="AL902" s="204">
        <f>(Delivery[[#This Row],[BEN premium (total)]]/SUMIF(Allocation!C:C,Delivery[Delivery ID],Allocation!H:H))/Delivery[[#This Row],[Exchange rate for premiums VS USD]]</f>
        <v>0.45379442105263151</v>
      </c>
      <c r="AM902" s="204">
        <f>Delivery[[#This Row],[Valor Prêmio Nespresso BEN por Kg (em US$)]]*60</f>
        <v>27.227665263157892</v>
      </c>
      <c r="AN902" s="204">
        <f>Delivery[[#This Row],[Valor Prêmio Nespresso BEN por saca (em US$)]]/1.3228/100</f>
        <v>0.20583357471392419</v>
      </c>
      <c r="AO902" s="204">
        <f>SUMIF(Allocation[Delivery ID],Delivery[[#This Row],[Delivery ID]],Allocation[Quantity allocated])*16*1.3228*Delivery[[#This Row],[Exchange rate VS USD]]/60</f>
        <v>4118.2256192000004</v>
      </c>
      <c r="AP902" s="204">
        <f>Delivery[[#This Row],[AAA Premium (total)]]</f>
        <v>16935.59</v>
      </c>
      <c r="AQ902" s="204">
        <f>Delivery[[#This Row],[Valor pago pelo Cluster]]-Delivery[[#This Row],[Valor efetivamente pago pela Nespresso]]</f>
        <v>12817.3643808</v>
      </c>
    </row>
    <row r="903" spans="1:43" ht="15.75">
      <c r="A903" s="174" t="s">
        <v>69</v>
      </c>
      <c r="B903" s="232" t="s">
        <v>68</v>
      </c>
      <c r="C903" s="157">
        <v>1</v>
      </c>
      <c r="D903" s="157" t="s">
        <v>468</v>
      </c>
      <c r="E903" s="177" t="s">
        <v>468</v>
      </c>
      <c r="F903" s="233" t="s">
        <v>543</v>
      </c>
      <c r="G903" s="234">
        <v>43341</v>
      </c>
      <c r="H903" s="157" t="s">
        <v>1044</v>
      </c>
      <c r="I903" s="157" t="s">
        <v>1045</v>
      </c>
      <c r="J903" s="237">
        <v>14423</v>
      </c>
      <c r="K903" s="175" t="s">
        <v>61</v>
      </c>
      <c r="L903" s="175" t="s">
        <v>439</v>
      </c>
      <c r="M903" s="175" t="s">
        <v>1343</v>
      </c>
      <c r="N903" s="198"/>
      <c r="O903" s="199"/>
      <c r="P903" s="181">
        <v>0</v>
      </c>
      <c r="Q903" s="177">
        <v>43252</v>
      </c>
      <c r="R903" s="178">
        <v>486.51899999999995</v>
      </c>
      <c r="S903" s="179">
        <v>113595.347904717</v>
      </c>
      <c r="T903" s="182" t="s">
        <v>45</v>
      </c>
      <c r="U903" s="183">
        <v>3.7949999999999999</v>
      </c>
      <c r="V903" s="179">
        <v>6374.4</v>
      </c>
      <c r="W903" s="179">
        <v>1815.1260476415</v>
      </c>
      <c r="X903" s="196" t="s">
        <v>45</v>
      </c>
      <c r="Y903" s="200">
        <v>3.7949999999999999</v>
      </c>
      <c r="Z903" s="220" t="s">
        <v>473</v>
      </c>
      <c r="AA903" s="201">
        <f>Delivery[[#This Row],[Quantity delivered]]*VLOOKUP(Delivery[[#This Row],[Unit]],References!$U:$X,4,FALSE)*VLOOKUP(CONCATENATE(Delivery[[#This Row],[Coffee specie]],Delivery[[#This Row],[Coffee state]]),References!$U:$X,4,FALSE)</f>
        <v>14423</v>
      </c>
      <c r="AB903" s="202">
        <f>SUMIF(Allocation!C:C,Delivery[[#This Row],[Delivery ID]],Allocation!D:D)/Delivery[[#This Row],[Quantity delivered]]</f>
        <v>1</v>
      </c>
      <c r="AC903" s="203">
        <f>Delivery[[#This Row],[Quantity delivered]]*Delivery[[#This Row],[Base price (Unidad)]]/60</f>
        <v>116951.05894999999</v>
      </c>
      <c r="AD903" s="204">
        <f>Delivery[[#This Row],[Nespresso total]]-Delivery[[#This Row],[Qt. Delivery * Base Price]]</f>
        <v>-3355.7110452829947</v>
      </c>
      <c r="AE903" s="204">
        <f>Delivery[[#This Row],[AAA Premium (total)]]/Delivery[[#This Row],[Quantity delivered]]*60/Delivery[[#This Row],[Exchange rate VS USD]]</f>
        <v>6.9875218517634465</v>
      </c>
      <c r="AF903" s="204">
        <f>Delivery[[#This Row],[BEN premium (total)]]/Delivery[[#This Row],[Quantity delivered]]*60/Delivery[[#This Row],[Exchange rate for premiums VS USD]]</f>
        <v>1.989714</v>
      </c>
      <c r="AG903" s="204">
        <f>COUNTIF(Delivery[Delivery ID],Delivery[[#This Row],[Delivery ID]])</f>
        <v>1</v>
      </c>
      <c r="AH903" s="204">
        <f>(Delivery[[#This Row],[Nespresso total]]/SUMIF(Allocation!C:C,Delivery[Delivery ID],Allocation!H:H))/Delivery[[#This Row],[Exchange rate VS USD]]</f>
        <v>6.940157198842547</v>
      </c>
      <c r="AI903" s="204">
        <f>(Delivery[[#This Row],[AAA Premium (total)]]/SUMIF(Allocation!C:C,Delivery[Delivery ID],Allocation!H:H))/Delivery[[#This Row],[Exchange rate VS USD]]</f>
        <v>0.38944674112367333</v>
      </c>
      <c r="AJ903" s="204">
        <f>Delivery[[#This Row],[Valor Prêmio Nespresso AAA por Kg (em US$)]]*60</f>
        <v>23.366804467420401</v>
      </c>
      <c r="AK903" s="204">
        <f>Delivery[[#This Row],[Valor Prêmio Nespresso AAA por saca (em US$)]]/1.3228/100</f>
        <v>0.17664654118098277</v>
      </c>
      <c r="AL903" s="204">
        <f>(Delivery[[#This Row],[BEN premium (total)]]/SUMIF(Allocation!C:C,Delivery[Delivery ID],Allocation!H:H))/Delivery[[#This Row],[Exchange rate for premiums VS USD]]</f>
        <v>0.1108959155344308</v>
      </c>
      <c r="AM903" s="204">
        <f>Delivery[[#This Row],[Valor Prêmio Nespresso BEN por Kg (em US$)]]*60</f>
        <v>6.6537549320658478</v>
      </c>
      <c r="AN903" s="204">
        <f>Delivery[[#This Row],[Valor Prêmio Nespresso BEN por saca (em US$)]]/1.3228/100</f>
        <v>5.0300536226684664E-2</v>
      </c>
      <c r="AO903" s="204">
        <f>SUMIF(Allocation[Delivery ID],Delivery[[#This Row],[Delivery ID]],Allocation[Quantity allocated])*16*1.3228*Delivery[[#This Row],[Exchange rate VS USD]]/60</f>
        <v>5773.6992368000001</v>
      </c>
      <c r="AP903" s="204">
        <f>Delivery[[#This Row],[AAA Premium (total)]]</f>
        <v>6374.4</v>
      </c>
      <c r="AQ903" s="204">
        <f>Delivery[[#This Row],[Valor pago pelo Cluster]]-Delivery[[#This Row],[Valor efetivamente pago pela Nespresso]]</f>
        <v>600.70076319999953</v>
      </c>
    </row>
    <row r="904" spans="1:43" ht="15.75">
      <c r="A904" s="174" t="s">
        <v>69</v>
      </c>
      <c r="B904" s="232" t="s">
        <v>68</v>
      </c>
      <c r="C904" s="157">
        <v>1</v>
      </c>
      <c r="D904" s="157" t="s">
        <v>468</v>
      </c>
      <c r="E904" s="177" t="s">
        <v>468</v>
      </c>
      <c r="F904" s="233" t="s">
        <v>543</v>
      </c>
      <c r="G904" s="234">
        <v>43342</v>
      </c>
      <c r="H904" s="157" t="s">
        <v>1046</v>
      </c>
      <c r="I904" s="157" t="s">
        <v>1038</v>
      </c>
      <c r="J904" s="237">
        <v>16827</v>
      </c>
      <c r="K904" s="175" t="s">
        <v>61</v>
      </c>
      <c r="L904" s="175" t="s">
        <v>439</v>
      </c>
      <c r="M904" s="175" t="s">
        <v>1343</v>
      </c>
      <c r="N904" s="198"/>
      <c r="O904" s="199"/>
      <c r="P904" s="181">
        <v>0</v>
      </c>
      <c r="Q904" s="177">
        <v>43335</v>
      </c>
      <c r="R904" s="178">
        <v>417.88269500000007</v>
      </c>
      <c r="S904" s="179">
        <v>115026.8</v>
      </c>
      <c r="T904" s="182" t="s">
        <v>45</v>
      </c>
      <c r="U904" s="183">
        <v>4.1191000000000004</v>
      </c>
      <c r="V904" s="179">
        <v>11553.2</v>
      </c>
      <c r="W904" s="179">
        <v>0</v>
      </c>
      <c r="X904" s="196" t="s">
        <v>45</v>
      </c>
      <c r="Y904" s="200">
        <v>4.1191000000000004</v>
      </c>
      <c r="Z904" s="220"/>
      <c r="AA904" s="201">
        <f>Delivery[[#This Row],[Quantity delivered]]*VLOOKUP(Delivery[[#This Row],[Unit]],References!$U:$X,4,FALSE)*VLOOKUP(CONCATENATE(Delivery[[#This Row],[Coffee specie]],Delivery[[#This Row],[Coffee state]]),References!$U:$X,4,FALSE)</f>
        <v>16827</v>
      </c>
      <c r="AB904" s="202">
        <f>SUMIF(Allocation!C:C,Delivery[[#This Row],[Delivery ID]],Allocation!D:D)/Delivery[[#This Row],[Quantity delivered]]</f>
        <v>0.89879360551494625</v>
      </c>
      <c r="AC904" s="203">
        <f>Delivery[[#This Row],[Quantity delivered]]*Delivery[[#This Row],[Base price (Unidad)]]/60</f>
        <v>117195.20181275002</v>
      </c>
      <c r="AD904" s="204">
        <f>Delivery[[#This Row],[Nespresso total]]-Delivery[[#This Row],[Qt. Delivery * Base Price]]</f>
        <v>-2168.4018127500167</v>
      </c>
      <c r="AE904" s="204">
        <f>Delivery[[#This Row],[AAA Premium (total)]]/Delivery[[#This Row],[Quantity delivered]]*60/Delivery[[#This Row],[Exchange rate VS USD]]</f>
        <v>10.001024972615276</v>
      </c>
      <c r="AF904" s="204">
        <f>Delivery[[#This Row],[BEN premium (total)]]/Delivery[[#This Row],[Quantity delivered]]*60/Delivery[[#This Row],[Exchange rate for premiums VS USD]]</f>
        <v>0</v>
      </c>
      <c r="AG904" s="204">
        <f>COUNTIF(Delivery[Delivery ID],Delivery[[#This Row],[Delivery ID]])</f>
        <v>1</v>
      </c>
      <c r="AH904" s="204">
        <f>(Delivery[[#This Row],[Nespresso total]]/SUMIF(Allocation!C:C,Delivery[Delivery ID],Allocation!H:H))/Delivery[[#This Row],[Exchange rate VS USD]]</f>
        <v>4.0139753319540548</v>
      </c>
      <c r="AI904" s="204">
        <f>(Delivery[[#This Row],[AAA Premium (total)]]/SUMIF(Allocation!C:C,Delivery[Delivery ID],Allocation!H:H))/Delivery[[#This Row],[Exchange rate VS USD]]</f>
        <v>0.40316047916773817</v>
      </c>
      <c r="AJ904" s="204">
        <f>Delivery[[#This Row],[Valor Prêmio Nespresso AAA por Kg (em US$)]]*60</f>
        <v>24.189628750064291</v>
      </c>
      <c r="AK904" s="204">
        <f>Delivery[[#This Row],[Valor Prêmio Nespresso AAA por saca (em US$)]]/1.3228/100</f>
        <v>0.18286686384989637</v>
      </c>
      <c r="AL904" s="204">
        <f>(Delivery[[#This Row],[BEN premium (total)]]/SUMIF(Allocation!C:C,Delivery[Delivery ID],Allocation!H:H))/Delivery[[#This Row],[Exchange rate for premiums VS USD]]</f>
        <v>0</v>
      </c>
      <c r="AM904" s="204">
        <f>Delivery[[#This Row],[Valor Prêmio Nespresso BEN por Kg (em US$)]]*60</f>
        <v>0</v>
      </c>
      <c r="AN904" s="204">
        <f>Delivery[[#This Row],[Valor Prêmio Nespresso BEN por saca (em US$)]]/1.3228/100</f>
        <v>0</v>
      </c>
      <c r="AO904" s="204">
        <f>SUMIF(Allocation[Delivery ID],Delivery[[#This Row],[Delivery ID]],Allocation[Quantity allocated])*16*1.3228*Delivery[[#This Row],[Exchange rate VS USD]]/60</f>
        <v>10108.512614496001</v>
      </c>
      <c r="AP904" s="204">
        <f>Delivery[[#This Row],[AAA Premium (total)]]</f>
        <v>11553.2</v>
      </c>
      <c r="AQ904" s="204">
        <f>Delivery[[#This Row],[Valor pago pelo Cluster]]-Delivery[[#This Row],[Valor efetivamente pago pela Nespresso]]</f>
        <v>1444.6873855039994</v>
      </c>
    </row>
    <row r="905" spans="1:43" ht="15.75">
      <c r="A905" s="174" t="s">
        <v>69</v>
      </c>
      <c r="B905" s="232" t="s">
        <v>68</v>
      </c>
      <c r="C905" s="157">
        <v>1</v>
      </c>
      <c r="D905" s="157" t="s">
        <v>468</v>
      </c>
      <c r="E905" s="177" t="s">
        <v>468</v>
      </c>
      <c r="F905" s="233" t="s">
        <v>543</v>
      </c>
      <c r="G905" s="234">
        <v>43343</v>
      </c>
      <c r="H905" s="157" t="s">
        <v>1047</v>
      </c>
      <c r="I905" s="157" t="s">
        <v>988</v>
      </c>
      <c r="J905" s="237">
        <v>18140</v>
      </c>
      <c r="K905" s="175" t="s">
        <v>61</v>
      </c>
      <c r="L905" s="175" t="s">
        <v>439</v>
      </c>
      <c r="M905" s="175" t="s">
        <v>1343</v>
      </c>
      <c r="N905" s="198"/>
      <c r="O905" s="199"/>
      <c r="P905" s="181">
        <v>0</v>
      </c>
      <c r="Q905" s="177">
        <v>43340</v>
      </c>
      <c r="R905" s="178">
        <v>433.71247500000004</v>
      </c>
      <c r="S905" s="179">
        <v>132388.62</v>
      </c>
      <c r="T905" s="182" t="s">
        <v>45</v>
      </c>
      <c r="U905" s="183">
        <v>4.1013000000000002</v>
      </c>
      <c r="V905" s="179">
        <v>12385.02</v>
      </c>
      <c r="W905" s="179">
        <v>0</v>
      </c>
      <c r="X905" s="196" t="s">
        <v>45</v>
      </c>
      <c r="Y905" s="200">
        <v>4.1013000000000002</v>
      </c>
      <c r="Z905" s="220"/>
      <c r="AA905" s="201">
        <f>Delivery[[#This Row],[Quantity delivered]]*VLOOKUP(Delivery[[#This Row],[Unit]],References!$U:$X,4,FALSE)*VLOOKUP(CONCATENATE(Delivery[[#This Row],[Coffee specie]],Delivery[[#This Row],[Coffee state]]),References!$U:$X,4,FALSE)</f>
        <v>18140</v>
      </c>
      <c r="AB905" s="202">
        <f>SUMIF(Allocation!C:C,Delivery[[#This Row],[Delivery ID]],Allocation!D:D)/Delivery[[#This Row],[Quantity delivered]]</f>
        <v>1</v>
      </c>
      <c r="AC905" s="203">
        <f>Delivery[[#This Row],[Quantity delivered]]*Delivery[[#This Row],[Base price (Unidad)]]/60</f>
        <v>131125.73827500001</v>
      </c>
      <c r="AD905" s="204">
        <f>Delivery[[#This Row],[Nespresso total]]-Delivery[[#This Row],[Qt. Delivery * Base Price]]</f>
        <v>1262.8817249999847</v>
      </c>
      <c r="AE905" s="204">
        <f>Delivery[[#This Row],[AAA Premium (total)]]/Delivery[[#This Row],[Quantity delivered]]*60/Delivery[[#This Row],[Exchange rate VS USD]]</f>
        <v>9.9882439727678243</v>
      </c>
      <c r="AF905" s="204">
        <f>Delivery[[#This Row],[BEN premium (total)]]/Delivery[[#This Row],[Quantity delivered]]*60/Delivery[[#This Row],[Exchange rate for premiums VS USD]]</f>
        <v>0</v>
      </c>
      <c r="AG905" s="204">
        <f>COUNTIF(Delivery[Delivery ID],Delivery[[#This Row],[Delivery ID]])</f>
        <v>1</v>
      </c>
      <c r="AH905" s="204">
        <f>(Delivery[[#This Row],[Nespresso total]]/SUMIF(Allocation!C:C,Delivery[Delivery ID],Allocation!H:H))/Delivery[[#This Row],[Exchange rate VS USD]]</f>
        <v>4.2367334688314919</v>
      </c>
      <c r="AI905" s="204">
        <f>(Delivery[[#This Row],[AAA Premium (total)]]/SUMIF(Allocation!C:C,Delivery[Delivery ID],Allocation!H:H))/Delivery[[#This Row],[Exchange rate VS USD]]</f>
        <v>0.39634848332241401</v>
      </c>
      <c r="AJ905" s="204">
        <f>Delivery[[#This Row],[Valor Prêmio Nespresso AAA por Kg (em US$)]]*60</f>
        <v>23.780908999344842</v>
      </c>
      <c r="AK905" s="204">
        <f>Delivery[[#This Row],[Valor Prêmio Nespresso AAA por saca (em US$)]]/1.3228/100</f>
        <v>0.1797770562393774</v>
      </c>
      <c r="AL905" s="204">
        <f>(Delivery[[#This Row],[BEN premium (total)]]/SUMIF(Allocation!C:C,Delivery[Delivery ID],Allocation!H:H))/Delivery[[#This Row],[Exchange rate for premiums VS USD]]</f>
        <v>0</v>
      </c>
      <c r="AM905" s="204">
        <f>Delivery[[#This Row],[Valor Prêmio Nespresso BEN por Kg (em US$)]]*60</f>
        <v>0</v>
      </c>
      <c r="AN905" s="204">
        <f>Delivery[[#This Row],[Valor Prêmio Nespresso BEN por saca (em US$)]]/1.3228/100</f>
        <v>0</v>
      </c>
      <c r="AO905" s="204">
        <f>SUMIF(Allocation[Delivery ID],Delivery[[#This Row],[Delivery ID]],Allocation[Quantity allocated])*16*1.3228*Delivery[[#This Row],[Exchange rate VS USD]]/60</f>
        <v>11022.558948576001</v>
      </c>
      <c r="AP905" s="204">
        <f>Delivery[[#This Row],[AAA Premium (total)]]</f>
        <v>12385.02</v>
      </c>
      <c r="AQ905" s="204">
        <f>Delivery[[#This Row],[Valor pago pelo Cluster]]-Delivery[[#This Row],[Valor efetivamente pago pela Nespresso]]</f>
        <v>1362.4610514239994</v>
      </c>
    </row>
    <row r="906" spans="1:43" ht="15.75">
      <c r="A906" s="174" t="s">
        <v>69</v>
      </c>
      <c r="B906" s="232" t="s">
        <v>68</v>
      </c>
      <c r="C906" s="157">
        <v>1</v>
      </c>
      <c r="D906" s="157" t="s">
        <v>468</v>
      </c>
      <c r="E906" s="177" t="s">
        <v>468</v>
      </c>
      <c r="F906" s="233" t="s">
        <v>543</v>
      </c>
      <c r="G906" s="234">
        <v>43342</v>
      </c>
      <c r="H906" s="157" t="s">
        <v>1048</v>
      </c>
      <c r="I906" s="157" t="s">
        <v>1049</v>
      </c>
      <c r="J906" s="237">
        <v>12002</v>
      </c>
      <c r="K906" s="175" t="s">
        <v>61</v>
      </c>
      <c r="L906" s="175" t="s">
        <v>439</v>
      </c>
      <c r="M906" s="175" t="s">
        <v>1343</v>
      </c>
      <c r="N906" s="198"/>
      <c r="O906" s="199"/>
      <c r="P906" s="181">
        <v>0</v>
      </c>
      <c r="Q906" s="177">
        <v>43252</v>
      </c>
      <c r="R906" s="178">
        <v>486.90564000000001</v>
      </c>
      <c r="S906" s="179">
        <v>95208</v>
      </c>
      <c r="T906" s="182" t="s">
        <v>45</v>
      </c>
      <c r="U906" s="183">
        <v>3.7921</v>
      </c>
      <c r="V906" s="179">
        <v>5308</v>
      </c>
      <c r="W906" s="179">
        <v>0</v>
      </c>
      <c r="X906" s="196" t="s">
        <v>45</v>
      </c>
      <c r="Y906" s="200">
        <v>3.7921</v>
      </c>
      <c r="Z906" s="220"/>
      <c r="AA906" s="201">
        <f>Delivery[[#This Row],[Quantity delivered]]*VLOOKUP(Delivery[[#This Row],[Unit]],References!$U:$X,4,FALSE)*VLOOKUP(CONCATENATE(Delivery[[#This Row],[Coffee specie]],Delivery[[#This Row],[Coffee state]]),References!$U:$X,4,FALSE)</f>
        <v>12002</v>
      </c>
      <c r="AB906" s="202">
        <f>SUMIF(Allocation!C:C,Delivery[[#This Row],[Delivery ID]],Allocation!D:D)/Delivery[[#This Row],[Quantity delivered]]</f>
        <v>1</v>
      </c>
      <c r="AC906" s="203">
        <f>Delivery[[#This Row],[Quantity delivered]]*Delivery[[#This Row],[Base price (Unidad)]]/60</f>
        <v>97397.358187999998</v>
      </c>
      <c r="AD906" s="204">
        <f>Delivery[[#This Row],[Nespresso total]]-Delivery[[#This Row],[Qt. Delivery * Base Price]]</f>
        <v>-2189.3581879999983</v>
      </c>
      <c r="AE906" s="204">
        <f>Delivery[[#This Row],[AAA Premium (total)]]/Delivery[[#This Row],[Quantity delivered]]*60/Delivery[[#This Row],[Exchange rate VS USD]]</f>
        <v>6.997594315489053</v>
      </c>
      <c r="AF906" s="204">
        <f>Delivery[[#This Row],[BEN premium (total)]]/Delivery[[#This Row],[Quantity delivered]]*60/Delivery[[#This Row],[Exchange rate for premiums VS USD]]</f>
        <v>0</v>
      </c>
      <c r="AG906" s="204">
        <f>COUNTIF(Delivery[Delivery ID],Delivery[[#This Row],[Delivery ID]])</f>
        <v>1</v>
      </c>
      <c r="AH906" s="204">
        <f>(Delivery[[#This Row],[Nespresso total]]/SUMIF(Allocation!C:C,Delivery[Delivery ID],Allocation!H:H))/Delivery[[#This Row],[Exchange rate VS USD]]</f>
        <v>6.5382637588671182</v>
      </c>
      <c r="AI906" s="204">
        <f>(Delivery[[#This Row],[AAA Premium (total)]]/SUMIF(Allocation!C:C,Delivery[Delivery ID],Allocation!H:H))/Delivery[[#This Row],[Exchange rate VS USD]]</f>
        <v>0.36451878027126572</v>
      </c>
      <c r="AJ906" s="204">
        <f>Delivery[[#This Row],[Valor Prêmio Nespresso AAA por Kg (em US$)]]*60</f>
        <v>21.871126816275943</v>
      </c>
      <c r="AK906" s="204">
        <f>Delivery[[#This Row],[Valor Prêmio Nespresso AAA por saca (em US$)]]/1.3228/100</f>
        <v>0.16533963423250636</v>
      </c>
      <c r="AL906" s="204">
        <f>(Delivery[[#This Row],[BEN premium (total)]]/SUMIF(Allocation!C:C,Delivery[Delivery ID],Allocation!H:H))/Delivery[[#This Row],[Exchange rate for premiums VS USD]]</f>
        <v>0</v>
      </c>
      <c r="AM906" s="204">
        <f>Delivery[[#This Row],[Valor Prêmio Nespresso BEN por Kg (em US$)]]*60</f>
        <v>0</v>
      </c>
      <c r="AN906" s="204">
        <f>Delivery[[#This Row],[Valor Prêmio Nespresso BEN por saca (em US$)]]/1.3228/100</f>
        <v>0</v>
      </c>
      <c r="AO906" s="204">
        <f>SUMIF(Allocation[Delivery ID],Delivery[[#This Row],[Delivery ID]],Allocation[Quantity allocated])*16*1.3228*Delivery[[#This Row],[Exchange rate VS USD]]/60</f>
        <v>5136.5784371199998</v>
      </c>
      <c r="AP906" s="204">
        <f>Delivery[[#This Row],[AAA Premium (total)]]</f>
        <v>5308</v>
      </c>
      <c r="AQ906" s="204">
        <f>Delivery[[#This Row],[Valor pago pelo Cluster]]-Delivery[[#This Row],[Valor efetivamente pago pela Nespresso]]</f>
        <v>171.42156288000024</v>
      </c>
    </row>
    <row r="907" spans="1:43" ht="15.75">
      <c r="A907" s="174" t="s">
        <v>69</v>
      </c>
      <c r="B907" s="232" t="s">
        <v>68</v>
      </c>
      <c r="C907" s="157">
        <v>1</v>
      </c>
      <c r="D907" s="157" t="s">
        <v>468</v>
      </c>
      <c r="E907" s="177" t="s">
        <v>468</v>
      </c>
      <c r="F907" s="233" t="s">
        <v>543</v>
      </c>
      <c r="G907" s="234">
        <v>43343</v>
      </c>
      <c r="H907" s="157" t="s">
        <v>1651</v>
      </c>
      <c r="I907" s="236" t="s">
        <v>1641</v>
      </c>
      <c r="J907" s="237">
        <v>28910</v>
      </c>
      <c r="K907" s="175" t="s">
        <v>61</v>
      </c>
      <c r="L907" s="175" t="s">
        <v>439</v>
      </c>
      <c r="M907" s="175" t="s">
        <v>1343</v>
      </c>
      <c r="N907" s="198"/>
      <c r="O907" s="199"/>
      <c r="P907" s="181">
        <v>0</v>
      </c>
      <c r="Q907" s="177">
        <v>43341</v>
      </c>
      <c r="R907" s="178">
        <v>423.53629999999998</v>
      </c>
      <c r="S907" s="179">
        <v>210788.53</v>
      </c>
      <c r="T907" s="182" t="s">
        <v>45</v>
      </c>
      <c r="U907" s="183">
        <v>4.1180000000000003</v>
      </c>
      <c r="V907" s="179">
        <v>29711.37</v>
      </c>
      <c r="W907" s="179">
        <v>0</v>
      </c>
      <c r="X907" s="196" t="s">
        <v>45</v>
      </c>
      <c r="Y907" s="200">
        <v>4.1180000000000003</v>
      </c>
      <c r="Z907" s="220"/>
      <c r="AA907" s="201">
        <f>Delivery[[#This Row],[Quantity delivered]]*VLOOKUP(Delivery[[#This Row],[Unit]],References!$U:$X,4,FALSE)*VLOOKUP(CONCATENATE(Delivery[[#This Row],[Coffee specie]],Delivery[[#This Row],[Coffee state]]),References!$U:$X,4,FALSE)</f>
        <v>28910</v>
      </c>
      <c r="AB907" s="202">
        <f>SUMIF(Allocation!C:C,Delivery[[#This Row],[Delivery ID]],Allocation!D:D)/Delivery[[#This Row],[Quantity delivered]]</f>
        <v>0.76426841923209965</v>
      </c>
      <c r="AC907" s="203">
        <f>Delivery[[#This Row],[Quantity delivered]]*Delivery[[#This Row],[Base price (Unidad)]]/60</f>
        <v>204073.90721666667</v>
      </c>
      <c r="AD907" s="204">
        <f>Delivery[[#This Row],[Nespresso total]]-Delivery[[#This Row],[Qt. Delivery * Base Price]]</f>
        <v>6714.6227833333251</v>
      </c>
      <c r="AE907" s="204">
        <f>Delivery[[#This Row],[AAA Premium (total)]]/Delivery[[#This Row],[Quantity delivered]]*60/Delivery[[#This Row],[Exchange rate VS USD]]</f>
        <v>14.974057419577999</v>
      </c>
      <c r="AF907" s="204">
        <f>Delivery[[#This Row],[BEN premium (total)]]/Delivery[[#This Row],[Quantity delivered]]*60/Delivery[[#This Row],[Exchange rate for premiums VS USD]]</f>
        <v>0</v>
      </c>
      <c r="AG907" s="204">
        <f>COUNTIF(Delivery[Delivery ID],Delivery[[#This Row],[Delivery ID]])</f>
        <v>1</v>
      </c>
      <c r="AH907" s="204">
        <f>(Delivery[[#This Row],[Nespresso total]]/SUMIF(Allocation!C:C,Delivery[Delivery ID],Allocation!H:H))/Delivery[[#This Row],[Exchange rate VS USD]]</f>
        <v>3.8611384684360215</v>
      </c>
      <c r="AI907" s="204">
        <f>(Delivery[[#This Row],[AAA Premium (total)]]/SUMIF(Allocation!C:C,Delivery[Delivery ID],Allocation!H:H))/Delivery[[#This Row],[Exchange rate VS USD]]</f>
        <v>0.5442407784566643</v>
      </c>
      <c r="AJ907" s="204">
        <f>Delivery[[#This Row],[Valor Prêmio Nespresso AAA por Kg (em US$)]]*60</f>
        <v>32.654446707399856</v>
      </c>
      <c r="AK907" s="204">
        <f>Delivery[[#This Row],[Valor Prêmio Nespresso AAA por saca (em US$)]]/1.3228/100</f>
        <v>0.24685853271393904</v>
      </c>
      <c r="AL907" s="204">
        <f>(Delivery[[#This Row],[BEN premium (total)]]/SUMIF(Allocation!C:C,Delivery[Delivery ID],Allocation!H:H))/Delivery[[#This Row],[Exchange rate for premiums VS USD]]</f>
        <v>0</v>
      </c>
      <c r="AM907" s="204">
        <f>Delivery[[#This Row],[Valor Prêmio Nespresso BEN por Kg (em US$)]]*60</f>
        <v>0</v>
      </c>
      <c r="AN907" s="204">
        <f>Delivery[[#This Row],[Valor Prêmio Nespresso BEN por saca (em US$)]]/1.3228/100</f>
        <v>0</v>
      </c>
      <c r="AO907" s="204">
        <f>SUMIF(Allocation[Delivery ID],Delivery[[#This Row],[Delivery ID]],Allocation[Quantity allocated])*16*1.3228*Delivery[[#This Row],[Exchange rate VS USD]]/60</f>
        <v>19257.261022080002</v>
      </c>
      <c r="AP907" s="204">
        <f>Delivery[[#This Row],[AAA Premium (total)]]</f>
        <v>29711.37</v>
      </c>
      <c r="AQ907" s="204">
        <f>Delivery[[#This Row],[Valor pago pelo Cluster]]-Delivery[[#This Row],[Valor efetivamente pago pela Nespresso]]</f>
        <v>10454.108977919997</v>
      </c>
    </row>
    <row r="908" spans="1:43" ht="15.75">
      <c r="A908" s="174" t="s">
        <v>69</v>
      </c>
      <c r="B908" s="232" t="s">
        <v>68</v>
      </c>
      <c r="C908" s="157">
        <v>1</v>
      </c>
      <c r="D908" s="157" t="s">
        <v>468</v>
      </c>
      <c r="E908" s="177" t="s">
        <v>468</v>
      </c>
      <c r="F908" s="233" t="s">
        <v>543</v>
      </c>
      <c r="G908" s="234">
        <v>43346</v>
      </c>
      <c r="H908" s="157" t="s">
        <v>1050</v>
      </c>
      <c r="I908" s="157" t="s">
        <v>572</v>
      </c>
      <c r="J908" s="237">
        <v>30010</v>
      </c>
      <c r="K908" s="175" t="s">
        <v>61</v>
      </c>
      <c r="L908" s="175" t="s">
        <v>439</v>
      </c>
      <c r="M908" s="175" t="s">
        <v>1343</v>
      </c>
      <c r="N908" s="198"/>
      <c r="O908" s="199"/>
      <c r="P908" s="181">
        <v>0</v>
      </c>
      <c r="Q908" s="177">
        <v>43339</v>
      </c>
      <c r="R908" s="178">
        <v>431.37951500000003</v>
      </c>
      <c r="S908" s="179">
        <v>216900</v>
      </c>
      <c r="T908" s="182" t="s">
        <v>45</v>
      </c>
      <c r="U908" s="183">
        <v>4.0831</v>
      </c>
      <c r="V908" s="179">
        <v>14290</v>
      </c>
      <c r="W908" s="179">
        <v>0</v>
      </c>
      <c r="X908" s="196" t="s">
        <v>45</v>
      </c>
      <c r="Y908" s="200">
        <v>4.0831</v>
      </c>
      <c r="Z908" s="220"/>
      <c r="AA908" s="201">
        <f>Delivery[[#This Row],[Quantity delivered]]*VLOOKUP(Delivery[[#This Row],[Unit]],References!$U:$X,4,FALSE)*VLOOKUP(CONCATENATE(Delivery[[#This Row],[Coffee specie]],Delivery[[#This Row],[Coffee state]]),References!$U:$X,4,FALSE)</f>
        <v>30010</v>
      </c>
      <c r="AB908" s="202">
        <f>SUMIF(Allocation!C:C,Delivery[[#This Row],[Delivery ID]],Allocation!D:D)/Delivery[[#This Row],[Quantity delivered]]</f>
        <v>1</v>
      </c>
      <c r="AC908" s="203">
        <f>Delivery[[#This Row],[Quantity delivered]]*Delivery[[#This Row],[Base price (Unidad)]]/60</f>
        <v>215761.65408583332</v>
      </c>
      <c r="AD908" s="204">
        <f>Delivery[[#This Row],[Nespresso total]]-Delivery[[#This Row],[Qt. Delivery * Base Price]]</f>
        <v>1138.3459141666826</v>
      </c>
      <c r="AE908" s="204">
        <f>Delivery[[#This Row],[AAA Premium (total)]]/Delivery[[#This Row],[Quantity delivered]]*60/Delivery[[#This Row],[Exchange rate VS USD]]</f>
        <v>6.9972512326004077</v>
      </c>
      <c r="AF908" s="204">
        <f>Delivery[[#This Row],[BEN premium (total)]]/Delivery[[#This Row],[Quantity delivered]]*60/Delivery[[#This Row],[Exchange rate for premiums VS USD]]</f>
        <v>0</v>
      </c>
      <c r="AG908" s="204">
        <f>COUNTIF(Delivery[Delivery ID],Delivery[[#This Row],[Delivery ID]])</f>
        <v>1</v>
      </c>
      <c r="AH908" s="204">
        <f>(Delivery[[#This Row],[Nespresso total]]/SUMIF(Allocation!C:C,Delivery[Delivery ID],Allocation!H:H))/Delivery[[#This Row],[Exchange rate VS USD]]</f>
        <v>4.1831170057227647</v>
      </c>
      <c r="AI908" s="204">
        <f>(Delivery[[#This Row],[AAA Premium (total)]]/SUMIF(Allocation!C:C,Delivery[Delivery ID],Allocation!H:H))/Delivery[[#This Row],[Exchange rate VS USD]]</f>
        <v>0.2755958598975487</v>
      </c>
      <c r="AJ908" s="204">
        <f>Delivery[[#This Row],[Valor Prêmio Nespresso AAA por Kg (em US$)]]*60</f>
        <v>16.535751593852922</v>
      </c>
      <c r="AK908" s="204">
        <f>Delivery[[#This Row],[Valor Prêmio Nespresso AAA por saca (em US$)]]/1.3228/100</f>
        <v>0.12500568184043637</v>
      </c>
      <c r="AL908" s="204">
        <f>(Delivery[[#This Row],[BEN premium (total)]]/SUMIF(Allocation!C:C,Delivery[Delivery ID],Allocation!H:H))/Delivery[[#This Row],[Exchange rate for premiums VS USD]]</f>
        <v>0</v>
      </c>
      <c r="AM908" s="204">
        <f>Delivery[[#This Row],[Valor Prêmio Nespresso BEN por Kg (em US$)]]*60</f>
        <v>0</v>
      </c>
      <c r="AN908" s="204">
        <f>Delivery[[#This Row],[Valor Prêmio Nespresso BEN por saca (em US$)]]/1.3228/100</f>
        <v>0</v>
      </c>
      <c r="AO908" s="204">
        <f>SUMIF(Allocation[Delivery ID],Delivery[[#This Row],[Delivery ID]],Allocation[Quantity allocated])*16*1.3228*Delivery[[#This Row],[Exchange rate VS USD]]/60</f>
        <v>18290.368616351996</v>
      </c>
      <c r="AP908" s="204">
        <f>Delivery[[#This Row],[AAA Premium (total)]]</f>
        <v>14290</v>
      </c>
      <c r="AQ908" s="204">
        <f>Delivery[[#This Row],[Valor pago pelo Cluster]]-Delivery[[#This Row],[Valor efetivamente pago pela Nespresso]]</f>
        <v>-4000.368616351996</v>
      </c>
    </row>
    <row r="909" spans="1:43" ht="15.75">
      <c r="A909" s="174" t="s">
        <v>69</v>
      </c>
      <c r="B909" s="232" t="s">
        <v>68</v>
      </c>
      <c r="C909" s="157">
        <v>1</v>
      </c>
      <c r="D909" s="157" t="s">
        <v>468</v>
      </c>
      <c r="E909" s="177" t="s">
        <v>468</v>
      </c>
      <c r="F909" s="233" t="s">
        <v>543</v>
      </c>
      <c r="G909" s="234">
        <v>43346</v>
      </c>
      <c r="H909" s="157" t="s">
        <v>1051</v>
      </c>
      <c r="I909" s="157" t="s">
        <v>572</v>
      </c>
      <c r="J909" s="237">
        <v>30000</v>
      </c>
      <c r="K909" s="175" t="s">
        <v>61</v>
      </c>
      <c r="L909" s="175" t="s">
        <v>439</v>
      </c>
      <c r="M909" s="175" t="s">
        <v>1343</v>
      </c>
      <c r="N909" s="198"/>
      <c r="O909" s="199"/>
      <c r="P909" s="181">
        <v>0</v>
      </c>
      <c r="Q909" s="177">
        <v>43339</v>
      </c>
      <c r="R909" s="178">
        <v>431.37951500000003</v>
      </c>
      <c r="S909" s="179">
        <v>216900</v>
      </c>
      <c r="T909" s="182" t="s">
        <v>45</v>
      </c>
      <c r="U909" s="183">
        <v>4.0831</v>
      </c>
      <c r="V909" s="179">
        <v>14290</v>
      </c>
      <c r="W909" s="179">
        <v>0</v>
      </c>
      <c r="X909" s="196" t="s">
        <v>45</v>
      </c>
      <c r="Y909" s="200">
        <v>4.0831</v>
      </c>
      <c r="Z909" s="220"/>
      <c r="AA909" s="201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909" s="202">
        <f>SUMIF(Allocation!C:C,Delivery[[#This Row],[Delivery ID]],Allocation!D:D)/Delivery[[#This Row],[Quantity delivered]]</f>
        <v>1</v>
      </c>
      <c r="AC909" s="203">
        <f>Delivery[[#This Row],[Quantity delivered]]*Delivery[[#This Row],[Base price (Unidad)]]/60</f>
        <v>215689.75750000001</v>
      </c>
      <c r="AD909" s="204">
        <f>Delivery[[#This Row],[Nespresso total]]-Delivery[[#This Row],[Qt. Delivery * Base Price]]</f>
        <v>1210.242499999993</v>
      </c>
      <c r="AE909" s="204">
        <f>Delivery[[#This Row],[AAA Premium (total)]]/Delivery[[#This Row],[Quantity delivered]]*60/Delivery[[#This Row],[Exchange rate VS USD]]</f>
        <v>6.9995836496779402</v>
      </c>
      <c r="AF909" s="204">
        <f>Delivery[[#This Row],[BEN premium (total)]]/Delivery[[#This Row],[Quantity delivered]]*60/Delivery[[#This Row],[Exchange rate for premiums VS USD]]</f>
        <v>0</v>
      </c>
      <c r="AG909" s="204">
        <f>COUNTIF(Delivery[Delivery ID],Delivery[[#This Row],[Delivery ID]])</f>
        <v>1</v>
      </c>
      <c r="AH909" s="204">
        <f>(Delivery[[#This Row],[Nespresso total]]/SUMIF(Allocation!C:C,Delivery[Delivery ID],Allocation!H:H))/Delivery[[#This Row],[Exchange rate VS USD]]</f>
        <v>4.1831170057227647</v>
      </c>
      <c r="AI909" s="204">
        <f>(Delivery[[#This Row],[AAA Premium (total)]]/SUMIF(Allocation!C:C,Delivery[Delivery ID],Allocation!H:H))/Delivery[[#This Row],[Exchange rate VS USD]]</f>
        <v>0.2755958598975487</v>
      </c>
      <c r="AJ909" s="204">
        <f>Delivery[[#This Row],[Valor Prêmio Nespresso AAA por Kg (em US$)]]*60</f>
        <v>16.535751593852922</v>
      </c>
      <c r="AK909" s="204">
        <f>Delivery[[#This Row],[Valor Prêmio Nespresso AAA por saca (em US$)]]/1.3228/100</f>
        <v>0.12500568184043637</v>
      </c>
      <c r="AL909" s="204">
        <f>(Delivery[[#This Row],[BEN premium (total)]]/SUMIF(Allocation!C:C,Delivery[Delivery ID],Allocation!H:H))/Delivery[[#This Row],[Exchange rate for premiums VS USD]]</f>
        <v>0</v>
      </c>
      <c r="AM909" s="204">
        <f>Delivery[[#This Row],[Valor Prêmio Nespresso BEN por Kg (em US$)]]*60</f>
        <v>0</v>
      </c>
      <c r="AN909" s="204">
        <f>Delivery[[#This Row],[Valor Prêmio Nespresso BEN por saca (em US$)]]/1.3228/100</f>
        <v>0</v>
      </c>
      <c r="AO909" s="204">
        <f>SUMIF(Allocation[Delivery ID],Delivery[[#This Row],[Delivery ID]],Allocation[Quantity allocated])*16*1.3228*Delivery[[#This Row],[Exchange rate VS USD]]/60</f>
        <v>18290.368616351996</v>
      </c>
      <c r="AP909" s="204">
        <f>Delivery[[#This Row],[AAA Premium (total)]]</f>
        <v>14290</v>
      </c>
      <c r="AQ909" s="204">
        <f>Delivery[[#This Row],[Valor pago pelo Cluster]]-Delivery[[#This Row],[Valor efetivamente pago pela Nespresso]]</f>
        <v>-4000.368616351996</v>
      </c>
    </row>
    <row r="910" spans="1:43" ht="15.75">
      <c r="A910" s="174" t="s">
        <v>69</v>
      </c>
      <c r="B910" s="232" t="s">
        <v>68</v>
      </c>
      <c r="C910" s="157">
        <v>1</v>
      </c>
      <c r="D910" s="157" t="s">
        <v>468</v>
      </c>
      <c r="E910" s="177" t="s">
        <v>468</v>
      </c>
      <c r="F910" s="233" t="s">
        <v>543</v>
      </c>
      <c r="G910" s="234">
        <v>43346</v>
      </c>
      <c r="H910" s="157" t="s">
        <v>1052</v>
      </c>
      <c r="I910" s="157" t="s">
        <v>572</v>
      </c>
      <c r="J910" s="237">
        <v>30280</v>
      </c>
      <c r="K910" s="175" t="s">
        <v>61</v>
      </c>
      <c r="L910" s="175" t="s">
        <v>439</v>
      </c>
      <c r="M910" s="175" t="s">
        <v>1343</v>
      </c>
      <c r="N910" s="198"/>
      <c r="O910" s="199"/>
      <c r="P910" s="181">
        <v>0</v>
      </c>
      <c r="Q910" s="177">
        <v>43339</v>
      </c>
      <c r="R910" s="178">
        <v>431.37951500000003</v>
      </c>
      <c r="S910" s="179">
        <v>216900</v>
      </c>
      <c r="T910" s="182" t="s">
        <v>45</v>
      </c>
      <c r="U910" s="183">
        <v>4.0831</v>
      </c>
      <c r="V910" s="179">
        <v>14290</v>
      </c>
      <c r="W910" s="179">
        <v>0</v>
      </c>
      <c r="X910" s="196" t="s">
        <v>45</v>
      </c>
      <c r="Y910" s="200">
        <v>4.0831</v>
      </c>
      <c r="Z910" s="220"/>
      <c r="AA910" s="201">
        <f>Delivery[[#This Row],[Quantity delivered]]*VLOOKUP(Delivery[[#This Row],[Unit]],References!$U:$X,4,FALSE)*VLOOKUP(CONCATENATE(Delivery[[#This Row],[Coffee specie]],Delivery[[#This Row],[Coffee state]]),References!$U:$X,4,FALSE)</f>
        <v>30280</v>
      </c>
      <c r="AB910" s="202">
        <f>SUMIF(Allocation!C:C,Delivery[[#This Row],[Delivery ID]],Allocation!D:D)/Delivery[[#This Row],[Quantity delivered]]</f>
        <v>1</v>
      </c>
      <c r="AC910" s="203">
        <f>Delivery[[#This Row],[Quantity delivered]]*Delivery[[#This Row],[Base price (Unidad)]]/60</f>
        <v>217702.86190333337</v>
      </c>
      <c r="AD910" s="204">
        <f>Delivery[[#This Row],[Nespresso total]]-Delivery[[#This Row],[Qt. Delivery * Base Price]]</f>
        <v>-802.86190333336708</v>
      </c>
      <c r="AE910" s="204">
        <f>Delivery[[#This Row],[AAA Premium (total)]]/Delivery[[#This Row],[Quantity delivered]]*60/Delivery[[#This Row],[Exchange rate VS USD]]</f>
        <v>6.9348583054933366</v>
      </c>
      <c r="AF910" s="204">
        <f>Delivery[[#This Row],[BEN premium (total)]]/Delivery[[#This Row],[Quantity delivered]]*60/Delivery[[#This Row],[Exchange rate for premiums VS USD]]</f>
        <v>0</v>
      </c>
      <c r="AG910" s="204">
        <f>COUNTIF(Delivery[Delivery ID],Delivery[[#This Row],[Delivery ID]])</f>
        <v>1</v>
      </c>
      <c r="AH910" s="204">
        <f>(Delivery[[#This Row],[Nespresso total]]/SUMIF(Allocation!C:C,Delivery[Delivery ID],Allocation!H:H))/Delivery[[#This Row],[Exchange rate VS USD]]</f>
        <v>4.1831170057227647</v>
      </c>
      <c r="AI910" s="204">
        <f>(Delivery[[#This Row],[AAA Premium (total)]]/SUMIF(Allocation!C:C,Delivery[Delivery ID],Allocation!H:H))/Delivery[[#This Row],[Exchange rate VS USD]]</f>
        <v>0.2755958598975487</v>
      </c>
      <c r="AJ910" s="204">
        <f>Delivery[[#This Row],[Valor Prêmio Nespresso AAA por Kg (em US$)]]*60</f>
        <v>16.535751593852922</v>
      </c>
      <c r="AK910" s="204">
        <f>Delivery[[#This Row],[Valor Prêmio Nespresso AAA por saca (em US$)]]/1.3228/100</f>
        <v>0.12500568184043637</v>
      </c>
      <c r="AL910" s="204">
        <f>(Delivery[[#This Row],[BEN premium (total)]]/SUMIF(Allocation!C:C,Delivery[Delivery ID],Allocation!H:H))/Delivery[[#This Row],[Exchange rate for premiums VS USD]]</f>
        <v>0</v>
      </c>
      <c r="AM910" s="204">
        <f>Delivery[[#This Row],[Valor Prêmio Nespresso BEN por Kg (em US$)]]*60</f>
        <v>0</v>
      </c>
      <c r="AN910" s="204">
        <f>Delivery[[#This Row],[Valor Prêmio Nespresso BEN por saca (em US$)]]/1.3228/100</f>
        <v>0</v>
      </c>
      <c r="AO910" s="204">
        <f>SUMIF(Allocation[Delivery ID],Delivery[[#This Row],[Delivery ID]],Allocation[Quantity allocated])*16*1.3228*Delivery[[#This Row],[Exchange rate VS USD]]/60</f>
        <v>18290.368616351996</v>
      </c>
      <c r="AP910" s="204">
        <f>Delivery[[#This Row],[AAA Premium (total)]]</f>
        <v>14290</v>
      </c>
      <c r="AQ910" s="204">
        <f>Delivery[[#This Row],[Valor pago pelo Cluster]]-Delivery[[#This Row],[Valor efetivamente pago pela Nespresso]]</f>
        <v>-4000.368616351996</v>
      </c>
    </row>
    <row r="911" spans="1:43" ht="15.75">
      <c r="A911" s="174" t="s">
        <v>69</v>
      </c>
      <c r="B911" s="232" t="s">
        <v>68</v>
      </c>
      <c r="C911" s="157" t="s">
        <v>1344</v>
      </c>
      <c r="D911" s="157" t="s">
        <v>468</v>
      </c>
      <c r="E911" s="177" t="s">
        <v>468</v>
      </c>
      <c r="F911" s="233" t="s">
        <v>543</v>
      </c>
      <c r="G911" s="234">
        <v>43346</v>
      </c>
      <c r="H911" s="157" t="s">
        <v>1652</v>
      </c>
      <c r="I911" s="157" t="s">
        <v>979</v>
      </c>
      <c r="J911" s="237">
        <v>31180</v>
      </c>
      <c r="K911" s="175" t="s">
        <v>61</v>
      </c>
      <c r="L911" s="175" t="s">
        <v>439</v>
      </c>
      <c r="M911" s="175" t="s">
        <v>1343</v>
      </c>
      <c r="N911" s="198"/>
      <c r="O911" s="199"/>
      <c r="P911" s="181">
        <v>0</v>
      </c>
      <c r="Q911" s="177">
        <v>43339</v>
      </c>
      <c r="R911" s="178">
        <v>431.81268000000006</v>
      </c>
      <c r="S911" s="179">
        <v>224929.41</v>
      </c>
      <c r="T911" s="182" t="s">
        <v>45</v>
      </c>
      <c r="U911" s="183">
        <v>4.0872000000000002</v>
      </c>
      <c r="V911" s="179">
        <v>14848.59</v>
      </c>
      <c r="W911" s="179">
        <v>0</v>
      </c>
      <c r="X911" s="196" t="s">
        <v>45</v>
      </c>
      <c r="Y911" s="200">
        <v>4.0872000000000002</v>
      </c>
      <c r="Z911" s="220"/>
      <c r="AA911" s="201">
        <f>Delivery[[#This Row],[Quantity delivered]]*VLOOKUP(Delivery[[#This Row],[Unit]],References!$U:$X,4,FALSE)*VLOOKUP(CONCATENATE(Delivery[[#This Row],[Coffee specie]],Delivery[[#This Row],[Coffee state]]),References!$U:$X,4,FALSE)</f>
        <v>31180</v>
      </c>
      <c r="AB911" s="202">
        <f>SUMIF(Allocation!C:C,Delivery[[#This Row],[Delivery ID]],Allocation!D:D)/Delivery[[#This Row],[Quantity delivered]]</f>
        <v>0.61173829377806288</v>
      </c>
      <c r="AC911" s="203">
        <f>Delivery[[#This Row],[Quantity delivered]]*Delivery[[#This Row],[Base price (Unidad)]]/60</f>
        <v>224398.65604</v>
      </c>
      <c r="AD911" s="204">
        <f>Delivery[[#This Row],[Nespresso total]]-Delivery[[#This Row],[Qt. Delivery * Base Price]]</f>
        <v>530.75396000000183</v>
      </c>
      <c r="AE911" s="204">
        <f>Delivery[[#This Row],[AAA Premium (total)]]/Delivery[[#This Row],[Quantity delivered]]*60/Delivery[[#This Row],[Exchange rate VS USD]]</f>
        <v>6.9909221435816571</v>
      </c>
      <c r="AF911" s="204">
        <f>Delivery[[#This Row],[BEN premium (total)]]/Delivery[[#This Row],[Quantity delivered]]*60/Delivery[[#This Row],[Exchange rate for premiums VS USD]]</f>
        <v>0</v>
      </c>
      <c r="AG911" s="204">
        <f>COUNTIF(Delivery[Delivery ID],Delivery[[#This Row],[Delivery ID]])</f>
        <v>1</v>
      </c>
      <c r="AH911" s="204">
        <f>(Delivery[[#This Row],[Nespresso total]]/SUMIF(Allocation!C:C,Delivery[Delivery ID],Allocation!H:H))/Delivery[[#This Row],[Exchange rate VS USD]]</f>
        <v>6.4118188195007013</v>
      </c>
      <c r="AI911" s="204">
        <f>(Delivery[[#This Row],[AAA Premium (total)]]/SUMIF(Allocation!C:C,Delivery[Delivery ID],Allocation!H:H))/Delivery[[#This Row],[Exchange rate VS USD]]</f>
        <v>0.42327265609708353</v>
      </c>
      <c r="AJ911" s="204">
        <f>Delivery[[#This Row],[Valor Prêmio Nespresso AAA por Kg (em US$)]]*60</f>
        <v>25.396359365825013</v>
      </c>
      <c r="AK911" s="204">
        <f>Delivery[[#This Row],[Valor Prêmio Nespresso AAA por saca (em US$)]]/1.3228/100</f>
        <v>0.19198941159529037</v>
      </c>
      <c r="AL911" s="204">
        <f>(Delivery[[#This Row],[BEN premium (total)]]/SUMIF(Allocation!C:C,Delivery[Delivery ID],Allocation!H:H))/Delivery[[#This Row],[Exchange rate for premiums VS USD]]</f>
        <v>0</v>
      </c>
      <c r="AM911" s="204">
        <f>Delivery[[#This Row],[Valor Prêmio Nespresso BEN por Kg (em US$)]]*60</f>
        <v>0</v>
      </c>
      <c r="AN911" s="204">
        <f>Delivery[[#This Row],[Valor Prêmio Nespresso BEN por saca (em US$)]]/1.3228/100</f>
        <v>0</v>
      </c>
      <c r="AO911" s="204">
        <f>SUMIF(Allocation[Delivery ID],Delivery[[#This Row],[Delivery ID]],Allocation[Quantity allocated])*16*1.3228*Delivery[[#This Row],[Exchange rate VS USD]]/60</f>
        <v>12374.507428608</v>
      </c>
      <c r="AP911" s="204">
        <f>Delivery[[#This Row],[AAA Premium (total)]]</f>
        <v>14848.59</v>
      </c>
      <c r="AQ911" s="204">
        <f>Delivery[[#This Row],[Valor pago pelo Cluster]]-Delivery[[#This Row],[Valor efetivamente pago pela Nespresso]]</f>
        <v>2474.0825713920003</v>
      </c>
    </row>
    <row r="912" spans="1:43" ht="15.75">
      <c r="A912" s="174" t="s">
        <v>69</v>
      </c>
      <c r="B912" s="232" t="s">
        <v>68</v>
      </c>
      <c r="C912" s="157">
        <v>1</v>
      </c>
      <c r="D912" s="157" t="s">
        <v>468</v>
      </c>
      <c r="E912" s="177" t="s">
        <v>468</v>
      </c>
      <c r="F912" s="233" t="s">
        <v>543</v>
      </c>
      <c r="G912" s="234">
        <v>43341</v>
      </c>
      <c r="H912" s="157" t="s">
        <v>1653</v>
      </c>
      <c r="I912" s="157" t="s">
        <v>1649</v>
      </c>
      <c r="J912" s="237">
        <v>29990</v>
      </c>
      <c r="K912" s="175" t="s">
        <v>61</v>
      </c>
      <c r="L912" s="175" t="s">
        <v>439</v>
      </c>
      <c r="M912" s="175" t="s">
        <v>1343</v>
      </c>
      <c r="N912" s="198"/>
      <c r="O912" s="199"/>
      <c r="P912" s="181">
        <v>0</v>
      </c>
      <c r="Q912" s="177">
        <v>43222</v>
      </c>
      <c r="R912" s="178">
        <v>471.43265000000002</v>
      </c>
      <c r="S912" s="179">
        <v>230869.14456294291</v>
      </c>
      <c r="T912" s="182" t="s">
        <v>45</v>
      </c>
      <c r="U912" s="183">
        <v>3.5905</v>
      </c>
      <c r="V912" s="179">
        <v>12562.561083333334</v>
      </c>
      <c r="W912" s="179">
        <v>3927.92771852855</v>
      </c>
      <c r="X912" s="196" t="s">
        <v>45</v>
      </c>
      <c r="Y912" s="200">
        <v>3.5905</v>
      </c>
      <c r="Z912" s="220" t="s">
        <v>473</v>
      </c>
      <c r="AA912" s="201">
        <f>Delivery[[#This Row],[Quantity delivered]]*VLOOKUP(Delivery[[#This Row],[Unit]],References!$U:$X,4,FALSE)*VLOOKUP(CONCATENATE(Delivery[[#This Row],[Coffee specie]],Delivery[[#This Row],[Coffee state]]),References!$U:$X,4,FALSE)</f>
        <v>29990</v>
      </c>
      <c r="AB912" s="202">
        <f>SUMIF(Allocation!C:C,Delivery[[#This Row],[Delivery ID]],Allocation!D:D)/Delivery[[#This Row],[Quantity delivered]]</f>
        <v>0.24361453817939313</v>
      </c>
      <c r="AC912" s="203">
        <f>Delivery[[#This Row],[Quantity delivered]]*Delivery[[#This Row],[Base price (Unidad)]]/60</f>
        <v>235637.75289166669</v>
      </c>
      <c r="AD912" s="204">
        <f>Delivery[[#This Row],[Nespresso total]]-Delivery[[#This Row],[Qt. Delivery * Base Price]]</f>
        <v>-4768.6083287237852</v>
      </c>
      <c r="AE912" s="204">
        <f>Delivery[[#This Row],[AAA Premium (total)]]/Delivery[[#This Row],[Quantity delivered]]*60/Delivery[[#This Row],[Exchange rate VS USD]]</f>
        <v>6.9999999999999991</v>
      </c>
      <c r="AF912" s="204">
        <f>Delivery[[#This Row],[BEN premium (total)]]/Delivery[[#This Row],[Quantity delivered]]*60/Delivery[[#This Row],[Exchange rate for premiums VS USD]]</f>
        <v>2.1886853999999998</v>
      </c>
      <c r="AG912" s="204">
        <f>COUNTIF(Delivery[Delivery ID],Delivery[[#This Row],[Delivery ID]])</f>
        <v>1</v>
      </c>
      <c r="AH912" s="204">
        <f>(Delivery[[#This Row],[Nespresso total]]/SUMIF(Allocation!C:C,Delivery[Delivery ID],Allocation!H:H))/Delivery[[#This Row],[Exchange rate VS USD]]</f>
        <v>26.669431142974002</v>
      </c>
      <c r="AI912" s="204">
        <f>(Delivery[[#This Row],[AAA Premium (total)]]/SUMIF(Allocation!C:C,Delivery[Delivery ID],Allocation!H:H))/Delivery[[#This Row],[Exchange rate VS USD]]</f>
        <v>1.4511959076455136</v>
      </c>
      <c r="AJ912" s="204">
        <f>Delivery[[#This Row],[Valor Prêmio Nespresso AAA por Kg (em US$)]]*60</f>
        <v>87.071754458730823</v>
      </c>
      <c r="AK912" s="204">
        <f>Delivery[[#This Row],[Valor Prêmio Nespresso AAA por saca (em US$)]]/1.3228/100</f>
        <v>0.65823824054075319</v>
      </c>
      <c r="AL912" s="204">
        <f>(Delivery[[#This Row],[BEN premium (total)]]/SUMIF(Allocation!C:C,Delivery[Delivery ID],Allocation!H:H))/Delivery[[#This Row],[Exchange rate for premiums VS USD]]</f>
        <v>0.45374447080049773</v>
      </c>
      <c r="AM912" s="204">
        <f>Delivery[[#This Row],[Valor Prêmio Nespresso BEN por Kg (em US$)]]*60</f>
        <v>27.224668248029865</v>
      </c>
      <c r="AN912" s="204">
        <f>Delivery[[#This Row],[Valor Prêmio Nespresso BEN por saca (em US$)]]/1.3228/100</f>
        <v>0.2058109181133192</v>
      </c>
      <c r="AO912" s="204">
        <f>SUMIF(Allocation[Delivery ID],Delivery[[#This Row],[Delivery ID]],Allocation[Quantity allocated])*16*1.3228*Delivery[[#This Row],[Exchange rate VS USD]]/60</f>
        <v>3053.620481973333</v>
      </c>
      <c r="AP912" s="204">
        <f>Delivery[[#This Row],[AAA Premium (total)]]</f>
        <v>12562.561083333334</v>
      </c>
      <c r="AQ912" s="204">
        <f>Delivery[[#This Row],[Valor pago pelo Cluster]]-Delivery[[#This Row],[Valor efetivamente pago pela Nespresso]]</f>
        <v>9508.9406013600019</v>
      </c>
    </row>
    <row r="913" spans="1:43" ht="15.75">
      <c r="A913" s="174" t="s">
        <v>69</v>
      </c>
      <c r="B913" s="232" t="s">
        <v>68</v>
      </c>
      <c r="C913" s="157" t="s">
        <v>1344</v>
      </c>
      <c r="D913" s="157" t="s">
        <v>468</v>
      </c>
      <c r="E913" s="177" t="s">
        <v>468</v>
      </c>
      <c r="F913" s="233" t="s">
        <v>543</v>
      </c>
      <c r="G913" s="234">
        <v>43347</v>
      </c>
      <c r="H913" s="157" t="s">
        <v>1654</v>
      </c>
      <c r="I913" s="157" t="s">
        <v>942</v>
      </c>
      <c r="J913" s="237">
        <v>31630</v>
      </c>
      <c r="K913" s="175" t="s">
        <v>61</v>
      </c>
      <c r="L913" s="175" t="s">
        <v>439</v>
      </c>
      <c r="M913" s="175" t="s">
        <v>1343</v>
      </c>
      <c r="N913" s="198"/>
      <c r="O913" s="199"/>
      <c r="P913" s="181">
        <v>0</v>
      </c>
      <c r="Q913" s="177">
        <v>43340</v>
      </c>
      <c r="R913" s="178">
        <v>426.92678999999998</v>
      </c>
      <c r="S913" s="179">
        <v>226716.52</v>
      </c>
      <c r="T913" s="182" t="s">
        <v>45</v>
      </c>
      <c r="U913" s="183">
        <v>4.1409000000000002</v>
      </c>
      <c r="V913" s="179">
        <v>15243.48</v>
      </c>
      <c r="W913" s="179">
        <v>0</v>
      </c>
      <c r="X913" s="196" t="s">
        <v>45</v>
      </c>
      <c r="Y913" s="200">
        <v>4.1409000000000002</v>
      </c>
      <c r="Z913" s="220"/>
      <c r="AA913" s="201">
        <f>Delivery[[#This Row],[Quantity delivered]]*VLOOKUP(Delivery[[#This Row],[Unit]],References!$U:$X,4,FALSE)*VLOOKUP(CONCATENATE(Delivery[[#This Row],[Coffee specie]],Delivery[[#This Row],[Coffee state]]),References!$U:$X,4,FALSE)</f>
        <v>31630</v>
      </c>
      <c r="AB913" s="202">
        <f>SUMIF(Allocation!C:C,Delivery[[#This Row],[Delivery ID]],Allocation!D:D)/Delivery[[#This Row],[Quantity delivered]]</f>
        <v>0.9311413215301928</v>
      </c>
      <c r="AC913" s="203">
        <f>Delivery[[#This Row],[Quantity delivered]]*Delivery[[#This Row],[Base price (Unidad)]]/60</f>
        <v>225061.57279499999</v>
      </c>
      <c r="AD913" s="204">
        <f>Delivery[[#This Row],[Nespresso total]]-Delivery[[#This Row],[Qt. Delivery * Base Price]]</f>
        <v>1654.947205000004</v>
      </c>
      <c r="AE913" s="204">
        <f>Delivery[[#This Row],[AAA Premium (total)]]/Delivery[[#This Row],[Quantity delivered]]*60/Delivery[[#This Row],[Exchange rate VS USD]]</f>
        <v>6.9829903367444821</v>
      </c>
      <c r="AF913" s="204">
        <f>Delivery[[#This Row],[BEN premium (total)]]/Delivery[[#This Row],[Quantity delivered]]*60/Delivery[[#This Row],[Exchange rate for premiums VS USD]]</f>
        <v>0</v>
      </c>
      <c r="AG913" s="204">
        <f>COUNTIF(Delivery[Delivery ID],Delivery[[#This Row],[Delivery ID]])</f>
        <v>1</v>
      </c>
      <c r="AH913" s="204">
        <f>(Delivery[[#This Row],[Nespresso total]]/SUMIF(Allocation!C:C,Delivery[Delivery ID],Allocation!H:H))/Delivery[[#This Row],[Exchange rate VS USD]]</f>
        <v>4.8919355032766365</v>
      </c>
      <c r="AI913" s="204">
        <f>(Delivery[[#This Row],[AAA Premium (total)]]/SUMIF(Allocation!C:C,Delivery[Delivery ID],Allocation!H:H))/Delivery[[#This Row],[Exchange rate VS USD]]</f>
        <v>0.32891348634624129</v>
      </c>
      <c r="AJ913" s="204">
        <f>Delivery[[#This Row],[Valor Prêmio Nespresso AAA por Kg (em US$)]]*60</f>
        <v>19.734809180774477</v>
      </c>
      <c r="AK913" s="204">
        <f>Delivery[[#This Row],[Valor Prêmio Nespresso AAA por saca (em US$)]]/1.3228/100</f>
        <v>0.14918966722690111</v>
      </c>
      <c r="AL913" s="204">
        <f>(Delivery[[#This Row],[BEN premium (total)]]/SUMIF(Allocation!C:C,Delivery[Delivery ID],Allocation!H:H))/Delivery[[#This Row],[Exchange rate for premiums VS USD]]</f>
        <v>0</v>
      </c>
      <c r="AM913" s="204">
        <f>Delivery[[#This Row],[Valor Prêmio Nespresso BEN por Kg (em US$)]]*60</f>
        <v>0</v>
      </c>
      <c r="AN913" s="204">
        <f>Delivery[[#This Row],[Valor Prêmio Nespresso BEN por saca (em US$)]]/1.3228/100</f>
        <v>0</v>
      </c>
      <c r="AO913" s="204">
        <f>SUMIF(Allocation[Delivery ID],Delivery[[#This Row],[Delivery ID]],Allocation[Quantity allocated])*16*1.3228*Delivery[[#This Row],[Exchange rate VS USD]]/60</f>
        <v>16348.027617023999</v>
      </c>
      <c r="AP913" s="204">
        <f>Delivery[[#This Row],[AAA Premium (total)]]</f>
        <v>15243.48</v>
      </c>
      <c r="AQ913" s="204">
        <f>Delivery[[#This Row],[Valor pago pelo Cluster]]-Delivery[[#This Row],[Valor efetivamente pago pela Nespresso]]</f>
        <v>-1104.5476170239999</v>
      </c>
    </row>
    <row r="914" spans="1:43" ht="15.75">
      <c r="A914" s="174" t="s">
        <v>69</v>
      </c>
      <c r="B914" s="232" t="s">
        <v>68</v>
      </c>
      <c r="C914" s="157">
        <v>1</v>
      </c>
      <c r="D914" s="157" t="s">
        <v>468</v>
      </c>
      <c r="E914" s="177" t="s">
        <v>468</v>
      </c>
      <c r="F914" s="233" t="s">
        <v>543</v>
      </c>
      <c r="G914" s="234">
        <v>43346</v>
      </c>
      <c r="H914" s="157" t="s">
        <v>1053</v>
      </c>
      <c r="I914" s="157" t="s">
        <v>672</v>
      </c>
      <c r="J914" s="237">
        <v>30600</v>
      </c>
      <c r="K914" s="175" t="s">
        <v>61</v>
      </c>
      <c r="L914" s="175" t="s">
        <v>439</v>
      </c>
      <c r="M914" s="175" t="s">
        <v>1343</v>
      </c>
      <c r="N914" s="198"/>
      <c r="O914" s="199"/>
      <c r="P914" s="181">
        <v>0</v>
      </c>
      <c r="Q914" s="177">
        <v>43339</v>
      </c>
      <c r="R914" s="178">
        <v>430.86491000000001</v>
      </c>
      <c r="S914" s="179">
        <v>231349.5269380596</v>
      </c>
      <c r="T914" s="182" t="s">
        <v>45</v>
      </c>
      <c r="U914" s="183">
        <v>4.0762999999999998</v>
      </c>
      <c r="V914" s="179">
        <v>14550.3</v>
      </c>
      <c r="W914" s="179">
        <v>4550.0865309701994</v>
      </c>
      <c r="X914" s="196" t="s">
        <v>45</v>
      </c>
      <c r="Y914" s="200">
        <v>4.0762999999999998</v>
      </c>
      <c r="Z914" s="220" t="s">
        <v>473</v>
      </c>
      <c r="AA914" s="201">
        <f>Delivery[[#This Row],[Quantity delivered]]*VLOOKUP(Delivery[[#This Row],[Unit]],References!$U:$X,4,FALSE)*VLOOKUP(CONCATENATE(Delivery[[#This Row],[Coffee specie]],Delivery[[#This Row],[Coffee state]]),References!$U:$X,4,FALSE)</f>
        <v>30600</v>
      </c>
      <c r="AB914" s="202">
        <f>SUMIF(Allocation!C:C,Delivery[[#This Row],[Delivery ID]],Allocation!D:D)/Delivery[[#This Row],[Quantity delivered]]</f>
        <v>1</v>
      </c>
      <c r="AC914" s="203">
        <f>Delivery[[#This Row],[Quantity delivered]]*Delivery[[#This Row],[Base price (Unidad)]]/60</f>
        <v>219741.1041</v>
      </c>
      <c r="AD914" s="204">
        <f>Delivery[[#This Row],[Nespresso total]]-Delivery[[#This Row],[Qt. Delivery * Base Price]]</f>
        <v>11608.422838059603</v>
      </c>
      <c r="AE914" s="204">
        <f>Delivery[[#This Row],[AAA Premium (total)]]/Delivery[[#This Row],[Quantity delivered]]*60/Delivery[[#This Row],[Exchange rate VS USD]]</f>
        <v>6.9989941859038831</v>
      </c>
      <c r="AF914" s="204">
        <f>Delivery[[#This Row],[BEN premium (total)]]/Delivery[[#This Row],[Quantity delivered]]*60/Delivery[[#This Row],[Exchange rate for premiums VS USD]]</f>
        <v>2.1886853999999993</v>
      </c>
      <c r="AG914" s="204">
        <f>COUNTIF(Delivery[Delivery ID],Delivery[[#This Row],[Delivery ID]])</f>
        <v>1</v>
      </c>
      <c r="AH914" s="204">
        <f>(Delivery[[#This Row],[Nespresso total]]/SUMIF(Allocation!C:C,Delivery[Delivery ID],Allocation!H:H))/Delivery[[#This Row],[Exchange rate VS USD]]</f>
        <v>5.6137274209114851</v>
      </c>
      <c r="AI914" s="204">
        <f>(Delivery[[#This Row],[AAA Premium (total)]]/SUMIF(Allocation!C:C,Delivery[Delivery ID],Allocation!H:H))/Delivery[[#This Row],[Exchange rate VS USD]]</f>
        <v>0.35306498860642738</v>
      </c>
      <c r="AJ914" s="204">
        <f>Delivery[[#This Row],[Valor Prêmio Nespresso AAA por Kg (em US$)]]*60</f>
        <v>21.183899316385641</v>
      </c>
      <c r="AK914" s="204">
        <f>Delivery[[#This Row],[Valor Prêmio Nespresso AAA por saca (em US$)]]/1.3228/100</f>
        <v>0.16014438551848836</v>
      </c>
      <c r="AL914" s="204">
        <f>(Delivery[[#This Row],[BEN premium (total)]]/SUMIF(Allocation!C:C,Delivery[Delivery ID],Allocation!H:H))/Delivery[[#This Row],[Exchange rate for premiums VS USD]]</f>
        <v>0.11040846231454006</v>
      </c>
      <c r="AM914" s="204">
        <f>Delivery[[#This Row],[Valor Prêmio Nespresso BEN por Kg (em US$)]]*60</f>
        <v>6.6245077388724036</v>
      </c>
      <c r="AN914" s="204">
        <f>Delivery[[#This Row],[Valor Prêmio Nespresso BEN por saca (em US$)]]/1.3228/100</f>
        <v>5.007943558264593E-2</v>
      </c>
      <c r="AO914" s="204">
        <f>SUMIF(Allocation[Delivery ID],Delivery[[#This Row],[Delivery ID]],Allocation[Quantity allocated])*16*1.3228*Delivery[[#This Row],[Exchange rate VS USD]]/60</f>
        <v>14537.181509439999</v>
      </c>
      <c r="AP914" s="204">
        <f>Delivery[[#This Row],[AAA Premium (total)]]</f>
        <v>14550.3</v>
      </c>
      <c r="AQ914" s="204">
        <f>Delivery[[#This Row],[Valor pago pelo Cluster]]-Delivery[[#This Row],[Valor efetivamente pago pela Nespresso]]</f>
        <v>13.118490560000282</v>
      </c>
    </row>
    <row r="915" spans="1:43" ht="15.75">
      <c r="A915" s="174" t="s">
        <v>69</v>
      </c>
      <c r="B915" s="232" t="s">
        <v>68</v>
      </c>
      <c r="C915" s="157">
        <v>1</v>
      </c>
      <c r="D915" s="157" t="s">
        <v>468</v>
      </c>
      <c r="E915" s="177" t="s">
        <v>468</v>
      </c>
      <c r="F915" s="233" t="s">
        <v>543</v>
      </c>
      <c r="G915" s="234">
        <v>43346</v>
      </c>
      <c r="H915" s="157" t="s">
        <v>1054</v>
      </c>
      <c r="I915" s="157" t="s">
        <v>672</v>
      </c>
      <c r="J915" s="237">
        <v>29990</v>
      </c>
      <c r="K915" s="175" t="s">
        <v>61</v>
      </c>
      <c r="L915" s="175" t="s">
        <v>439</v>
      </c>
      <c r="M915" s="175" t="s">
        <v>1343</v>
      </c>
      <c r="N915" s="198"/>
      <c r="O915" s="199"/>
      <c r="P915" s="181">
        <v>0</v>
      </c>
      <c r="Q915" s="177">
        <v>43339</v>
      </c>
      <c r="R915" s="178">
        <v>430.86491000000001</v>
      </c>
      <c r="S915" s="179">
        <v>226816.23561674537</v>
      </c>
      <c r="T915" s="182" t="s">
        <v>45</v>
      </c>
      <c r="U915" s="183">
        <v>4.0762999999999998</v>
      </c>
      <c r="V915" s="179">
        <v>14265</v>
      </c>
      <c r="W915" s="179">
        <v>4459.3821916273291</v>
      </c>
      <c r="X915" s="196" t="s">
        <v>45</v>
      </c>
      <c r="Y915" s="200">
        <v>4.0762999999999998</v>
      </c>
      <c r="Z915" s="220" t="s">
        <v>473</v>
      </c>
      <c r="AA915" s="201">
        <f>Delivery[[#This Row],[Quantity delivered]]*VLOOKUP(Delivery[[#This Row],[Unit]],References!$U:$X,4,FALSE)*VLOOKUP(CONCATENATE(Delivery[[#This Row],[Coffee specie]],Delivery[[#This Row],[Coffee state]]),References!$U:$X,4,FALSE)</f>
        <v>29990</v>
      </c>
      <c r="AB915" s="202">
        <f>SUMIF(Allocation!C:C,Delivery[[#This Row],[Delivery ID]],Allocation!D:D)/Delivery[[#This Row],[Quantity delivered]]</f>
        <v>1</v>
      </c>
      <c r="AC915" s="203">
        <f>Delivery[[#This Row],[Quantity delivered]]*Delivery[[#This Row],[Base price (Unidad)]]/60</f>
        <v>215360.64418166669</v>
      </c>
      <c r="AD915" s="204">
        <f>Delivery[[#This Row],[Nespresso total]]-Delivery[[#This Row],[Qt. Delivery * Base Price]]</f>
        <v>11455.591435078677</v>
      </c>
      <c r="AE915" s="204">
        <f>Delivery[[#This Row],[AAA Premium (total)]]/Delivery[[#This Row],[Quantity delivered]]*60/Delivery[[#This Row],[Exchange rate VS USD]]</f>
        <v>7.0013279618911808</v>
      </c>
      <c r="AF915" s="204">
        <f>Delivery[[#This Row],[BEN premium (total)]]/Delivery[[#This Row],[Quantity delivered]]*60/Delivery[[#This Row],[Exchange rate for premiums VS USD]]</f>
        <v>2.1886853999999993</v>
      </c>
      <c r="AG915" s="204">
        <f>COUNTIF(Delivery[Delivery ID],Delivery[[#This Row],[Delivery ID]])</f>
        <v>1</v>
      </c>
      <c r="AH915" s="204">
        <f>(Delivery[[#This Row],[Nespresso total]]/SUMIF(Allocation!C:C,Delivery[Delivery ID],Allocation!H:H))/Delivery[[#This Row],[Exchange rate VS USD]]</f>
        <v>5.6080099658168132</v>
      </c>
      <c r="AI915" s="204">
        <f>(Delivery[[#This Row],[AAA Premium (total)]]/SUMIF(Allocation!C:C,Delivery[Delivery ID],Allocation!H:H))/Delivery[[#This Row],[Exchange rate VS USD]]</f>
        <v>0.35270077534286859</v>
      </c>
      <c r="AJ915" s="204">
        <f>Delivery[[#This Row],[Valor Prêmio Nespresso AAA por Kg (em US$)]]*60</f>
        <v>21.162046520572115</v>
      </c>
      <c r="AK915" s="204">
        <f>Delivery[[#This Row],[Valor Prêmio Nespresso AAA por saca (em US$)]]/1.3228/100</f>
        <v>0.159979184461537</v>
      </c>
      <c r="AL915" s="204">
        <f>(Delivery[[#This Row],[BEN premium (total)]]/SUMIF(Allocation!C:C,Delivery[Delivery ID],Allocation!H:H))/Delivery[[#This Row],[Exchange rate for premiums VS USD]]</f>
        <v>0.1102578027716186</v>
      </c>
      <c r="AM915" s="204">
        <f>Delivery[[#This Row],[Valor Prêmio Nespresso BEN por Kg (em US$)]]*60</f>
        <v>6.6154681662971164</v>
      </c>
      <c r="AN915" s="204">
        <f>Delivery[[#This Row],[Valor Prêmio Nespresso BEN por saca (em US$)]]/1.3228/100</f>
        <v>5.0011098928765624E-2</v>
      </c>
      <c r="AO915" s="204">
        <f>SUMIF(Allocation[Delivery ID],Delivery[[#This Row],[Delivery ID]],Allocation[Quantity allocated])*16*1.3228*Delivery[[#This Row],[Exchange rate VS USD]]/60</f>
        <v>14266.856076821332</v>
      </c>
      <c r="AP915" s="204">
        <f>Delivery[[#This Row],[AAA Premium (total)]]</f>
        <v>14265</v>
      </c>
      <c r="AQ915" s="204">
        <f>Delivery[[#This Row],[Valor pago pelo Cluster]]-Delivery[[#This Row],[Valor efetivamente pago pela Nespresso]]</f>
        <v>-1.8560768213319534</v>
      </c>
    </row>
    <row r="916" spans="1:43" ht="15.75">
      <c r="A916" s="174" t="s">
        <v>69</v>
      </c>
      <c r="B916" s="232" t="s">
        <v>68</v>
      </c>
      <c r="C916" s="157">
        <v>1</v>
      </c>
      <c r="D916" s="157" t="s">
        <v>468</v>
      </c>
      <c r="E916" s="177" t="s">
        <v>468</v>
      </c>
      <c r="F916" s="233" t="s">
        <v>543</v>
      </c>
      <c r="G916" s="234">
        <v>43348</v>
      </c>
      <c r="H916" s="157" t="s">
        <v>1655</v>
      </c>
      <c r="I916" s="157" t="s">
        <v>511</v>
      </c>
      <c r="J916" s="237">
        <v>32860</v>
      </c>
      <c r="K916" s="175" t="s">
        <v>61</v>
      </c>
      <c r="L916" s="175" t="s">
        <v>439</v>
      </c>
      <c r="M916" s="175" t="s">
        <v>1343</v>
      </c>
      <c r="N916" s="198"/>
      <c r="O916" s="199"/>
      <c r="P916" s="181">
        <v>0</v>
      </c>
      <c r="Q916" s="177">
        <v>43123</v>
      </c>
      <c r="R916" s="178">
        <v>434.94</v>
      </c>
      <c r="S916" s="179">
        <v>239865.87775315999</v>
      </c>
      <c r="T916" s="182" t="s">
        <v>45</v>
      </c>
      <c r="U916" s="183">
        <v>3.3</v>
      </c>
      <c r="V916" s="179">
        <v>12658.8</v>
      </c>
      <c r="W916" s="179">
        <v>3955.6111234199989</v>
      </c>
      <c r="X916" s="196" t="s">
        <v>45</v>
      </c>
      <c r="Y916" s="200">
        <v>3.3</v>
      </c>
      <c r="Z916" s="220" t="s">
        <v>473</v>
      </c>
      <c r="AA916" s="201">
        <f>Delivery[[#This Row],[Quantity delivered]]*VLOOKUP(Delivery[[#This Row],[Unit]],References!$U:$X,4,FALSE)*VLOOKUP(CONCATENATE(Delivery[[#This Row],[Coffee specie]],Delivery[[#This Row],[Coffee state]]),References!$U:$X,4,FALSE)</f>
        <v>32860</v>
      </c>
      <c r="AB916" s="202">
        <f>SUMIF(Allocation!C:C,Delivery[[#This Row],[Delivery ID]],Allocation!D:D)/Delivery[[#This Row],[Quantity delivered]]</f>
        <v>0.24363968350578211</v>
      </c>
      <c r="AC916" s="203">
        <f>Delivery[[#This Row],[Quantity delivered]]*Delivery[[#This Row],[Base price (Unidad)]]/60</f>
        <v>238202.14</v>
      </c>
      <c r="AD916" s="204">
        <f>Delivery[[#This Row],[Nespresso total]]-Delivery[[#This Row],[Qt. Delivery * Base Price]]</f>
        <v>1663.7377531599777</v>
      </c>
      <c r="AE916" s="204">
        <f>Delivery[[#This Row],[AAA Premium (total)]]/Delivery[[#This Row],[Quantity delivered]]*60/Delivery[[#This Row],[Exchange rate VS USD]]</f>
        <v>7.0042604990870361</v>
      </c>
      <c r="AF916" s="204">
        <f>Delivery[[#This Row],[BEN premium (total)]]/Delivery[[#This Row],[Quantity delivered]]*60/Delivery[[#This Row],[Exchange rate for premiums VS USD]]</f>
        <v>2.1886853999999993</v>
      </c>
      <c r="AG916" s="204">
        <f>COUNTIF(Delivery[Delivery ID],Delivery[[#This Row],[Delivery ID]])</f>
        <v>1</v>
      </c>
      <c r="AH916" s="204">
        <f>(Delivery[[#This Row],[Nespresso total]]/SUMIF(Allocation!C:C,Delivery[Delivery ID],Allocation!H:H))/Delivery[[#This Row],[Exchange rate VS USD]]</f>
        <v>27.511971847906775</v>
      </c>
      <c r="AI916" s="204">
        <f>(Delivery[[#This Row],[AAA Premium (total)]]/SUMIF(Allocation!C:C,Delivery[Delivery ID],Allocation!H:H))/Delivery[[#This Row],[Exchange rate VS USD]]</f>
        <v>1.4519303557910674</v>
      </c>
      <c r="AJ916" s="204">
        <f>Delivery[[#This Row],[Valor Prêmio Nespresso AAA por Kg (em US$)]]*60</f>
        <v>87.115821347464049</v>
      </c>
      <c r="AK916" s="204">
        <f>Delivery[[#This Row],[Valor Prêmio Nespresso AAA por saca (em US$)]]/1.3228/100</f>
        <v>0.65857137396026644</v>
      </c>
      <c r="AL916" s="204">
        <f>(Delivery[[#This Row],[BEN premium (total)]]/SUMIF(Allocation!C:C,Delivery[Delivery ID],Allocation!H:H))/Delivery[[#This Row],[Exchange rate for premiums VS USD]]</f>
        <v>0.45369797024981068</v>
      </c>
      <c r="AM916" s="204">
        <f>Delivery[[#This Row],[Valor Prêmio Nespresso BEN por Kg (em US$)]]*60</f>
        <v>27.221878214988642</v>
      </c>
      <c r="AN916" s="204">
        <f>Delivery[[#This Row],[Valor Prêmio Nespresso BEN por saca (em US$)]]/1.3228/100</f>
        <v>0.20578982623970851</v>
      </c>
      <c r="AO916" s="204">
        <f>SUMIF(Allocation[Delivery ID],Delivery[[#This Row],[Delivery ID]],Allocation[Quantity allocated])*16*1.3228*Delivery[[#This Row],[Exchange rate VS USD]]/60</f>
        <v>3075.4570880000001</v>
      </c>
      <c r="AP916" s="204">
        <f>Delivery[[#This Row],[AAA Premium (total)]]</f>
        <v>12658.8</v>
      </c>
      <c r="AQ916" s="204">
        <f>Delivery[[#This Row],[Valor pago pelo Cluster]]-Delivery[[#This Row],[Valor efetivamente pago pela Nespresso]]</f>
        <v>9583.3429120000001</v>
      </c>
    </row>
    <row r="917" spans="1:43" ht="15.75">
      <c r="A917" s="174" t="s">
        <v>69</v>
      </c>
      <c r="B917" s="232" t="s">
        <v>68</v>
      </c>
      <c r="C917" s="157">
        <v>1</v>
      </c>
      <c r="D917" s="157" t="s">
        <v>468</v>
      </c>
      <c r="E917" s="177" t="s">
        <v>468</v>
      </c>
      <c r="F917" s="233" t="s">
        <v>543</v>
      </c>
      <c r="G917" s="234">
        <v>43348</v>
      </c>
      <c r="H917" s="157" t="s">
        <v>1055</v>
      </c>
      <c r="I917" s="157" t="s">
        <v>509</v>
      </c>
      <c r="J917" s="237">
        <v>30000</v>
      </c>
      <c r="K917" s="175" t="s">
        <v>61</v>
      </c>
      <c r="L917" s="175" t="s">
        <v>439</v>
      </c>
      <c r="M917" s="175" t="s">
        <v>1343</v>
      </c>
      <c r="N917" s="198"/>
      <c r="O917" s="199"/>
      <c r="P917" s="181">
        <v>0</v>
      </c>
      <c r="Q917" s="177">
        <v>43339</v>
      </c>
      <c r="R917" s="178">
        <v>431.44290500000005</v>
      </c>
      <c r="S917" s="179">
        <v>228062.06543202</v>
      </c>
      <c r="T917" s="182" t="s">
        <v>45</v>
      </c>
      <c r="U917" s="183">
        <v>4.0837000000000003</v>
      </c>
      <c r="V917" s="179">
        <v>14295</v>
      </c>
      <c r="W917" s="179">
        <v>4468.9672839900004</v>
      </c>
      <c r="X917" s="196" t="s">
        <v>45</v>
      </c>
      <c r="Y917" s="200">
        <v>4.0837000000000003</v>
      </c>
      <c r="Z917" s="220" t="s">
        <v>473</v>
      </c>
      <c r="AA917" s="201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917" s="202">
        <f>SUMIF(Allocation!C:C,Delivery[[#This Row],[Delivery ID]],Allocation!D:D)/Delivery[[#This Row],[Quantity delivered]]</f>
        <v>1</v>
      </c>
      <c r="AC917" s="203">
        <f>Delivery[[#This Row],[Quantity delivered]]*Delivery[[#This Row],[Base price (Unidad)]]/60</f>
        <v>215721.45250000004</v>
      </c>
      <c r="AD917" s="204">
        <f>Delivery[[#This Row],[Nespresso total]]-Delivery[[#This Row],[Qt. Delivery * Base Price]]</f>
        <v>12340.612932019954</v>
      </c>
      <c r="AE917" s="204">
        <f>Delivery[[#This Row],[AAA Premium (total)]]/Delivery[[#This Row],[Quantity delivered]]*60/Delivery[[#This Row],[Exchange rate VS USD]]</f>
        <v>7.0010039914783153</v>
      </c>
      <c r="AF917" s="204">
        <f>Delivery[[#This Row],[BEN premium (total)]]/Delivery[[#This Row],[Quantity delivered]]*60/Delivery[[#This Row],[Exchange rate for premiums VS USD]]</f>
        <v>2.1886854000000002</v>
      </c>
      <c r="AG917" s="204">
        <f>COUNTIF(Delivery[Delivery ID],Delivery[[#This Row],[Delivery ID]])</f>
        <v>1</v>
      </c>
      <c r="AH917" s="204">
        <f>(Delivery[[#This Row],[Nespresso total]]/SUMIF(Allocation!C:C,Delivery[Delivery ID],Allocation!H:H))/Delivery[[#This Row],[Exchange rate VS USD]]</f>
        <v>5.6285949975896665</v>
      </c>
      <c r="AI917" s="204">
        <f>(Delivery[[#This Row],[AAA Premium (total)]]/SUMIF(Allocation!C:C,Delivery[Delivery ID],Allocation!H:H))/Delivery[[#This Row],[Exchange rate VS USD]]</f>
        <v>0.35280205560765548</v>
      </c>
      <c r="AJ917" s="204">
        <f>Delivery[[#This Row],[Valor Prêmio Nespresso AAA por Kg (em US$)]]*60</f>
        <v>21.168123336459328</v>
      </c>
      <c r="AK917" s="204">
        <f>Delivery[[#This Row],[Valor Prêmio Nespresso AAA por saca (em US$)]]/1.3228/100</f>
        <v>0.16002512349908776</v>
      </c>
      <c r="AL917" s="204">
        <f>(Delivery[[#This Row],[BEN premium (total)]]/SUMIF(Allocation!C:C,Delivery[Delivery ID],Allocation!H:H))/Delivery[[#This Row],[Exchange rate for premiums VS USD]]</f>
        <v>0.11029456762749446</v>
      </c>
      <c r="AM917" s="204">
        <f>Delivery[[#This Row],[Valor Prêmio Nespresso BEN por Kg (em US$)]]*60</f>
        <v>6.6176740576496673</v>
      </c>
      <c r="AN917" s="204">
        <f>Delivery[[#This Row],[Valor Prêmio Nespresso BEN por saca (em US$)]]/1.3228/100</f>
        <v>5.0027774853716872E-2</v>
      </c>
      <c r="AO917" s="204">
        <f>SUMIF(Allocation[Delivery ID],Delivery[[#This Row],[Delivery ID]],Allocation[Quantity allocated])*16*1.3228*Delivery[[#This Row],[Exchange rate VS USD]]/60</f>
        <v>14292.755724778666</v>
      </c>
      <c r="AP917" s="204">
        <f>Delivery[[#This Row],[AAA Premium (total)]]</f>
        <v>14295</v>
      </c>
      <c r="AQ917" s="204">
        <f>Delivery[[#This Row],[Valor pago pelo Cluster]]-Delivery[[#This Row],[Valor efetivamente pago pela Nespresso]]</f>
        <v>2.2442752213337371</v>
      </c>
    </row>
    <row r="918" spans="1:43" ht="15.75">
      <c r="A918" s="174" t="s">
        <v>69</v>
      </c>
      <c r="B918" s="232" t="s">
        <v>68</v>
      </c>
      <c r="C918" s="157">
        <v>1</v>
      </c>
      <c r="D918" s="157" t="s">
        <v>468</v>
      </c>
      <c r="E918" s="177" t="s">
        <v>468</v>
      </c>
      <c r="F918" s="233" t="s">
        <v>543</v>
      </c>
      <c r="G918" s="234">
        <v>43343</v>
      </c>
      <c r="H918" s="157" t="s">
        <v>1656</v>
      </c>
      <c r="I918" s="157" t="s">
        <v>1649</v>
      </c>
      <c r="J918" s="237">
        <v>2483</v>
      </c>
      <c r="K918" s="175" t="s">
        <v>61</v>
      </c>
      <c r="L918" s="175" t="s">
        <v>439</v>
      </c>
      <c r="M918" s="175" t="s">
        <v>1343</v>
      </c>
      <c r="N918" s="198"/>
      <c r="O918" s="199"/>
      <c r="P918" s="181">
        <v>0</v>
      </c>
      <c r="Q918" s="177">
        <v>43237</v>
      </c>
      <c r="R918" s="178">
        <v>460.84500000000003</v>
      </c>
      <c r="S918" s="179">
        <v>8984.4666740434404</v>
      </c>
      <c r="T918" s="182" t="s">
        <v>45</v>
      </c>
      <c r="U918" s="183">
        <v>3.7240000000000002</v>
      </c>
      <c r="V918" s="179">
        <v>1078.7807333333333</v>
      </c>
      <c r="W918" s="179">
        <v>337.30166297828004</v>
      </c>
      <c r="X918" s="196" t="s">
        <v>45</v>
      </c>
      <c r="Y918" s="200">
        <v>3.7240000000000002</v>
      </c>
      <c r="Z918" s="220" t="s">
        <v>473</v>
      </c>
      <c r="AA918" s="201">
        <f>Delivery[[#This Row],[Quantity delivered]]*VLOOKUP(Delivery[[#This Row],[Unit]],References!$U:$X,4,FALSE)*VLOOKUP(CONCATENATE(Delivery[[#This Row],[Coffee specie]],Delivery[[#This Row],[Coffee state]]),References!$U:$X,4,FALSE)</f>
        <v>2483</v>
      </c>
      <c r="AB918" s="202">
        <f>SUMIF(Allocation!C:C,Delivery[[#This Row],[Delivery ID]],Allocation!D:D)/Delivery[[#This Row],[Quantity delivered]]</f>
        <v>0.24405960531614981</v>
      </c>
      <c r="AC918" s="203">
        <f>Delivery[[#This Row],[Quantity delivered]]*Delivery[[#This Row],[Base price (Unidad)]]/60</f>
        <v>19071.302250000001</v>
      </c>
      <c r="AD918" s="204">
        <f>Delivery[[#This Row],[Nespresso total]]-Delivery[[#This Row],[Qt. Delivery * Base Price]]</f>
        <v>-10086.83557595656</v>
      </c>
      <c r="AE918" s="204">
        <f>Delivery[[#This Row],[AAA Premium (total)]]/Delivery[[#This Row],[Quantity delivered]]*60/Delivery[[#This Row],[Exchange rate VS USD]]</f>
        <v>7</v>
      </c>
      <c r="AF918" s="204">
        <f>Delivery[[#This Row],[BEN premium (total)]]/Delivery[[#This Row],[Quantity delivered]]*60/Delivery[[#This Row],[Exchange rate for premiums VS USD]]</f>
        <v>2.1886854000000002</v>
      </c>
      <c r="AG918" s="204">
        <f>COUNTIF(Delivery[Delivery ID],Delivery[[#This Row],[Delivery ID]])</f>
        <v>1</v>
      </c>
      <c r="AH918" s="204">
        <f>(Delivery[[#This Row],[Nespresso total]]/SUMIF(Allocation!C:C,Delivery[Delivery ID],Allocation!H:H))/Delivery[[#This Row],[Exchange rate VS USD]]</f>
        <v>12.062925179972396</v>
      </c>
      <c r="AI918" s="204">
        <f>(Delivery[[#This Row],[AAA Premium (total)]]/SUMIF(Allocation!C:C,Delivery[Delivery ID],Allocation!H:H))/Delivery[[#This Row],[Exchange rate VS USD]]</f>
        <v>1.4484166666666667</v>
      </c>
      <c r="AJ918" s="204">
        <f>Delivery[[#This Row],[Valor Prêmio Nespresso AAA por Kg (em US$)]]*60</f>
        <v>86.905000000000001</v>
      </c>
      <c r="AK918" s="204">
        <f>Delivery[[#This Row],[Valor Prêmio Nespresso AAA por saca (em US$)]]/1.3228/100</f>
        <v>0.65697762322346531</v>
      </c>
      <c r="AL918" s="204">
        <f>(Delivery[[#This Row],[BEN premium (total)]]/SUMIF(Allocation!C:C,Delivery[Delivery ID],Allocation!H:H))/Delivery[[#This Row],[Exchange rate for premiums VS USD]]</f>
        <v>0.45287548735000005</v>
      </c>
      <c r="AM918" s="204">
        <f>Delivery[[#This Row],[Valor Prêmio Nespresso BEN por Kg (em US$)]]*60</f>
        <v>27.172529241000003</v>
      </c>
      <c r="AN918" s="204">
        <f>Delivery[[#This Row],[Valor Prêmio Nespresso BEN por saca (em US$)]]/1.3228/100</f>
        <v>0.20541676172512854</v>
      </c>
      <c r="AO918" s="204">
        <f>SUMIF(Allocation[Delivery ID],Delivery[[#This Row],[Delivery ID]],Allocation[Quantity allocated])*16*1.3228*Delivery[[#This Row],[Exchange rate VS USD]]/60</f>
        <v>262.72571733333336</v>
      </c>
      <c r="AP918" s="204">
        <f>Delivery[[#This Row],[AAA Premium (total)]]</f>
        <v>1078.7807333333333</v>
      </c>
      <c r="AQ918" s="204">
        <f>Delivery[[#This Row],[Valor pago pelo Cluster]]-Delivery[[#This Row],[Valor efetivamente pago pela Nespresso]]</f>
        <v>816.05501599999991</v>
      </c>
    </row>
    <row r="919" spans="1:43" ht="15.75">
      <c r="A919" s="174" t="s">
        <v>69</v>
      </c>
      <c r="B919" s="232" t="s">
        <v>68</v>
      </c>
      <c r="C919" s="157">
        <v>1</v>
      </c>
      <c r="D919" s="157" t="s">
        <v>468</v>
      </c>
      <c r="E919" s="177" t="s">
        <v>468</v>
      </c>
      <c r="F919" s="233" t="s">
        <v>543</v>
      </c>
      <c r="G919" s="234">
        <v>43348</v>
      </c>
      <c r="H919" s="157" t="s">
        <v>1056</v>
      </c>
      <c r="I919" s="157" t="s">
        <v>511</v>
      </c>
      <c r="J919" s="237">
        <v>32850</v>
      </c>
      <c r="K919" s="175" t="s">
        <v>61</v>
      </c>
      <c r="L919" s="175" t="s">
        <v>439</v>
      </c>
      <c r="M919" s="175" t="s">
        <v>1343</v>
      </c>
      <c r="N919" s="198"/>
      <c r="O919" s="199"/>
      <c r="P919" s="181">
        <v>0</v>
      </c>
      <c r="Q919" s="177">
        <v>43123</v>
      </c>
      <c r="R919" s="178">
        <v>434.94</v>
      </c>
      <c r="S919" s="179">
        <v>239868.28530710001</v>
      </c>
      <c r="T919" s="182" t="s">
        <v>45</v>
      </c>
      <c r="U919" s="183">
        <v>3.3</v>
      </c>
      <c r="V919" s="179">
        <v>12658</v>
      </c>
      <c r="W919" s="179">
        <v>3954.4073464499988</v>
      </c>
      <c r="X919" s="196" t="s">
        <v>45</v>
      </c>
      <c r="Y919" s="200">
        <v>3.3</v>
      </c>
      <c r="Z919" s="220" t="s">
        <v>473</v>
      </c>
      <c r="AA919" s="201">
        <f>Delivery[[#This Row],[Quantity delivered]]*VLOOKUP(Delivery[[#This Row],[Unit]],References!$U:$X,4,FALSE)*VLOOKUP(CONCATENATE(Delivery[[#This Row],[Coffee specie]],Delivery[[#This Row],[Coffee state]]),References!$U:$X,4,FALSE)</f>
        <v>32850</v>
      </c>
      <c r="AB919" s="202">
        <f>SUMIF(Allocation!C:C,Delivery[[#This Row],[Delivery ID]],Allocation!D:D)/Delivery[[#This Row],[Quantity delivered]]</f>
        <v>0.80955859969558597</v>
      </c>
      <c r="AC919" s="203">
        <f>Delivery[[#This Row],[Quantity delivered]]*Delivery[[#This Row],[Base price (Unidad)]]/60</f>
        <v>238129.65</v>
      </c>
      <c r="AD919" s="204">
        <f>Delivery[[#This Row],[Nespresso total]]-Delivery[[#This Row],[Qt. Delivery * Base Price]]</f>
        <v>1738.6353071000194</v>
      </c>
      <c r="AE919" s="204">
        <f>Delivery[[#This Row],[AAA Premium (total)]]/Delivery[[#This Row],[Quantity delivered]]*60/Delivery[[#This Row],[Exchange rate VS USD]]</f>
        <v>7.0059499100594991</v>
      </c>
      <c r="AF919" s="204">
        <f>Delivery[[#This Row],[BEN premium (total)]]/Delivery[[#This Row],[Quantity delivered]]*60/Delivery[[#This Row],[Exchange rate for premiums VS USD]]</f>
        <v>2.1886853999999993</v>
      </c>
      <c r="AG919" s="204">
        <f>COUNTIF(Delivery[Delivery ID],Delivery[[#This Row],[Delivery ID]])</f>
        <v>1</v>
      </c>
      <c r="AH919" s="204">
        <f>(Delivery[[#This Row],[Nespresso total]]/SUMIF(Allocation!C:C,Delivery[Delivery ID],Allocation!H:H))/Delivery[[#This Row],[Exchange rate VS USD]]</f>
        <v>8.2825158596136852</v>
      </c>
      <c r="AI919" s="204">
        <f>(Delivery[[#This Row],[AAA Premium (total)]]/SUMIF(Allocation!C:C,Delivery[Delivery ID],Allocation!H:H))/Delivery[[#This Row],[Exchange rate VS USD]]</f>
        <v>0.43707356150382587</v>
      </c>
      <c r="AJ919" s="204">
        <f>Delivery[[#This Row],[Valor Prêmio Nespresso AAA por Kg (em US$)]]*60</f>
        <v>26.224413690229554</v>
      </c>
      <c r="AK919" s="204">
        <f>Delivery[[#This Row],[Valor Prêmio Nespresso AAA por saca (em US$)]]/1.3228/100</f>
        <v>0.19824927192492858</v>
      </c>
      <c r="AL919" s="204">
        <f>(Delivery[[#This Row],[BEN premium (total)]]/SUMIF(Allocation!C:C,Delivery[Delivery ID],Allocation!H:H))/Delivery[[#This Row],[Exchange rate for premiums VS USD]]</f>
        <v>0.13654344308340927</v>
      </c>
      <c r="AM919" s="204">
        <f>Delivery[[#This Row],[Valor Prêmio Nespresso BEN por Kg (em US$)]]*60</f>
        <v>8.1926065850045564</v>
      </c>
      <c r="AN919" s="204">
        <f>Delivery[[#This Row],[Valor Prêmio Nespresso BEN por saca (em US$)]]/1.3228/100</f>
        <v>6.1933826617814915E-2</v>
      </c>
      <c r="AO919" s="204">
        <f>SUMIF(Allocation[Delivery ID],Delivery[[#This Row],[Delivery ID]],Allocation[Quantity allocated])*16*1.3228*Delivery[[#This Row],[Exchange rate VS USD]]/60</f>
        <v>10215.825664</v>
      </c>
      <c r="AP919" s="204">
        <f>Delivery[[#This Row],[AAA Premium (total)]]</f>
        <v>12658</v>
      </c>
      <c r="AQ919" s="204">
        <f>Delivery[[#This Row],[Valor pago pelo Cluster]]-Delivery[[#This Row],[Valor efetivamente pago pela Nespresso]]</f>
        <v>2442.174336</v>
      </c>
    </row>
    <row r="920" spans="1:43" ht="15.75">
      <c r="A920" s="174" t="s">
        <v>69</v>
      </c>
      <c r="B920" s="232" t="s">
        <v>68</v>
      </c>
      <c r="C920" s="157">
        <v>1</v>
      </c>
      <c r="D920" s="157" t="s">
        <v>468</v>
      </c>
      <c r="E920" s="177" t="s">
        <v>468</v>
      </c>
      <c r="F920" s="233" t="s">
        <v>543</v>
      </c>
      <c r="G920" s="234">
        <v>43348</v>
      </c>
      <c r="H920" s="157" t="s">
        <v>1057</v>
      </c>
      <c r="I920" s="157" t="s">
        <v>509</v>
      </c>
      <c r="J920" s="237">
        <v>28250</v>
      </c>
      <c r="K920" s="175" t="s">
        <v>61</v>
      </c>
      <c r="L920" s="175" t="s">
        <v>439</v>
      </c>
      <c r="M920" s="175" t="s">
        <v>1343</v>
      </c>
      <c r="N920" s="198"/>
      <c r="O920" s="199"/>
      <c r="P920" s="181">
        <v>0</v>
      </c>
      <c r="Q920" s="177">
        <v>43339</v>
      </c>
      <c r="R920" s="178">
        <v>431.44290500000005</v>
      </c>
      <c r="S920" s="179">
        <v>214837.44494848547</v>
      </c>
      <c r="T920" s="182" t="s">
        <v>45</v>
      </c>
      <c r="U920" s="183">
        <v>4.0837000000000003</v>
      </c>
      <c r="V920" s="179">
        <v>13465.89</v>
      </c>
      <c r="W920" s="179">
        <v>4208.2775257572503</v>
      </c>
      <c r="X920" s="196" t="s">
        <v>45</v>
      </c>
      <c r="Y920" s="200">
        <v>4.0837000000000003</v>
      </c>
      <c r="Z920" s="220" t="s">
        <v>473</v>
      </c>
      <c r="AA920" s="201">
        <f>Delivery[[#This Row],[Quantity delivered]]*VLOOKUP(Delivery[[#This Row],[Unit]],References!$U:$X,4,FALSE)*VLOOKUP(CONCATENATE(Delivery[[#This Row],[Coffee specie]],Delivery[[#This Row],[Coffee state]]),References!$U:$X,4,FALSE)</f>
        <v>28250</v>
      </c>
      <c r="AB920" s="202">
        <f>SUMIF(Allocation!C:C,Delivery[[#This Row],[Delivery ID]],Allocation!D:D)/Delivery[[#This Row],[Quantity delivered]]</f>
        <v>1</v>
      </c>
      <c r="AC920" s="203">
        <f>Delivery[[#This Row],[Quantity delivered]]*Delivery[[#This Row],[Base price (Unidad)]]/60</f>
        <v>203137.70110416671</v>
      </c>
      <c r="AD920" s="204">
        <f>Delivery[[#This Row],[Nespresso total]]-Delivery[[#This Row],[Qt. Delivery * Base Price]]</f>
        <v>11699.743844318757</v>
      </c>
      <c r="AE920" s="204">
        <f>Delivery[[#This Row],[AAA Premium (total)]]/Delivery[[#This Row],[Quantity delivered]]*60/Delivery[[#This Row],[Exchange rate VS USD]]</f>
        <v>7.0034822229797244</v>
      </c>
      <c r="AF920" s="204">
        <f>Delivery[[#This Row],[BEN premium (total)]]/Delivery[[#This Row],[Quantity delivered]]*60/Delivery[[#This Row],[Exchange rate for premiums VS USD]]</f>
        <v>2.1886854000000002</v>
      </c>
      <c r="AG920" s="204">
        <f>COUNTIF(Delivery[Delivery ID],Delivery[[#This Row],[Delivery ID]])</f>
        <v>1</v>
      </c>
      <c r="AH920" s="204">
        <f>(Delivery[[#This Row],[Nespresso total]]/SUMIF(Allocation!C:C,Delivery[Delivery ID],Allocation!H:H))/Delivery[[#This Row],[Exchange rate VS USD]]</f>
        <v>5.6459033905400036</v>
      </c>
      <c r="AI920" s="204">
        <f>(Delivery[[#This Row],[AAA Premium (total)]]/SUMIF(Allocation!C:C,Delivery[Delivery ID],Allocation!H:H))/Delivery[[#This Row],[Exchange rate VS USD]]</f>
        <v>0.35388204335547185</v>
      </c>
      <c r="AJ920" s="204">
        <f>Delivery[[#This Row],[Valor Prêmio Nespresso AAA por Kg (em US$)]]*60</f>
        <v>21.232922601328312</v>
      </c>
      <c r="AK920" s="204">
        <f>Delivery[[#This Row],[Valor Prêmio Nespresso AAA por saca (em US$)]]/1.3228/100</f>
        <v>0.16051498791448679</v>
      </c>
      <c r="AL920" s="204">
        <f>(Delivery[[#This Row],[BEN premium (total)]]/SUMIF(Allocation!C:C,Delivery[Delivery ID],Allocation!H:H))/Delivery[[#This Row],[Exchange rate for premiums VS USD]]</f>
        <v>0.11059305027902984</v>
      </c>
      <c r="AM920" s="204">
        <f>Delivery[[#This Row],[Valor Prêmio Nespresso BEN por Kg (em US$)]]*60</f>
        <v>6.6355830167417906</v>
      </c>
      <c r="AN920" s="204">
        <f>Delivery[[#This Row],[Valor Prêmio Nespresso BEN por saca (em US$)]]/1.3228/100</f>
        <v>5.0163161602220979E-2</v>
      </c>
      <c r="AO920" s="204">
        <f>SUMIF(Allocation[Delivery ID],Delivery[[#This Row],[Delivery ID]],Allocation[Quantity allocated])*16*1.3228*Delivery[[#This Row],[Exchange rate VS USD]]/60</f>
        <v>13422.686740928</v>
      </c>
      <c r="AP920" s="204">
        <f>Delivery[[#This Row],[AAA Premium (total)]]</f>
        <v>13465.89</v>
      </c>
      <c r="AQ920" s="204">
        <f>Delivery[[#This Row],[Valor pago pelo Cluster]]-Delivery[[#This Row],[Valor efetivamente pago pela Nespresso]]</f>
        <v>43.203259071999128</v>
      </c>
    </row>
    <row r="921" spans="1:43" ht="15.75">
      <c r="A921" s="174" t="s">
        <v>69</v>
      </c>
      <c r="B921" s="232" t="s">
        <v>68</v>
      </c>
      <c r="C921" s="157">
        <v>1</v>
      </c>
      <c r="D921" s="157" t="s">
        <v>468</v>
      </c>
      <c r="E921" s="177" t="s">
        <v>468</v>
      </c>
      <c r="F921" s="233" t="s">
        <v>543</v>
      </c>
      <c r="G921" s="234">
        <v>43348</v>
      </c>
      <c r="H921" s="157" t="s">
        <v>1058</v>
      </c>
      <c r="I921" s="157" t="s">
        <v>511</v>
      </c>
      <c r="J921" s="237">
        <v>32820</v>
      </c>
      <c r="K921" s="175" t="s">
        <v>61</v>
      </c>
      <c r="L921" s="175" t="s">
        <v>439</v>
      </c>
      <c r="M921" s="175" t="s">
        <v>1343</v>
      </c>
      <c r="N921" s="198"/>
      <c r="O921" s="199"/>
      <c r="P921" s="181">
        <v>0</v>
      </c>
      <c r="Q921" s="177">
        <v>43123</v>
      </c>
      <c r="R921" s="178">
        <v>434.94</v>
      </c>
      <c r="S921" s="179">
        <v>239875.50796892002</v>
      </c>
      <c r="T921" s="182" t="s">
        <v>45</v>
      </c>
      <c r="U921" s="183">
        <v>3.3</v>
      </c>
      <c r="V921" s="179">
        <v>12658</v>
      </c>
      <c r="W921" s="179">
        <v>3950.7960155399987</v>
      </c>
      <c r="X921" s="196" t="s">
        <v>45</v>
      </c>
      <c r="Y921" s="200">
        <v>3.3</v>
      </c>
      <c r="Z921" s="220" t="s">
        <v>473</v>
      </c>
      <c r="AA921" s="201">
        <f>Delivery[[#This Row],[Quantity delivered]]*VLOOKUP(Delivery[[#This Row],[Unit]],References!$U:$X,4,FALSE)*VLOOKUP(CONCATENATE(Delivery[[#This Row],[Coffee specie]],Delivery[[#This Row],[Coffee state]]),References!$U:$X,4,FALSE)</f>
        <v>32820</v>
      </c>
      <c r="AB921" s="202">
        <f>SUMIF(Allocation!C:C,Delivery[[#This Row],[Delivery ID]],Allocation!D:D)/Delivery[[#This Row],[Quantity delivered]]</f>
        <v>0.81029859841560026</v>
      </c>
      <c r="AC921" s="203">
        <f>Delivery[[#This Row],[Quantity delivered]]*Delivery[[#This Row],[Base price (Unidad)]]/60</f>
        <v>237912.18000000002</v>
      </c>
      <c r="AD921" s="204">
        <f>Delivery[[#This Row],[Nespresso total]]-Delivery[[#This Row],[Qt. Delivery * Base Price]]</f>
        <v>1963.327968919999</v>
      </c>
      <c r="AE921" s="204">
        <f>Delivery[[#This Row],[AAA Premium (total)]]/Delivery[[#This Row],[Quantity delivered]]*60/Delivery[[#This Row],[Exchange rate VS USD]]</f>
        <v>7.0123538862112911</v>
      </c>
      <c r="AF921" s="204">
        <f>Delivery[[#This Row],[BEN premium (total)]]/Delivery[[#This Row],[Quantity delivered]]*60/Delivery[[#This Row],[Exchange rate for premiums VS USD]]</f>
        <v>2.1886853999999993</v>
      </c>
      <c r="AG921" s="204">
        <f>COUNTIF(Delivery[Delivery ID],Delivery[[#This Row],[Delivery ID]])</f>
        <v>1</v>
      </c>
      <c r="AH921" s="204">
        <f>(Delivery[[#This Row],[Nespresso total]]/SUMIF(Allocation!C:C,Delivery[Delivery ID],Allocation!H:H))/Delivery[[#This Row],[Exchange rate VS USD]]</f>
        <v>8.2827652540302772</v>
      </c>
      <c r="AI921" s="204">
        <f>(Delivery[[#This Row],[AAA Premium (total)]]/SUMIF(Allocation!C:C,Delivery[Delivery ID],Allocation!H:H))/Delivery[[#This Row],[Exchange rate VS USD]]</f>
        <v>0.43707356150382587</v>
      </c>
      <c r="AJ921" s="204">
        <f>Delivery[[#This Row],[Valor Prêmio Nespresso AAA por Kg (em US$)]]*60</f>
        <v>26.224413690229554</v>
      </c>
      <c r="AK921" s="204">
        <f>Delivery[[#This Row],[Valor Prêmio Nespresso AAA por saca (em US$)]]/1.3228/100</f>
        <v>0.19824927192492858</v>
      </c>
      <c r="AL921" s="204">
        <f>(Delivery[[#This Row],[BEN premium (total)]]/SUMIF(Allocation!C:C,Delivery[Delivery ID],Allocation!H:H))/Delivery[[#This Row],[Exchange rate for premiums VS USD]]</f>
        <v>0.13641874587511391</v>
      </c>
      <c r="AM921" s="204">
        <f>Delivery[[#This Row],[Valor Prêmio Nespresso BEN por Kg (em US$)]]*60</f>
        <v>8.1851247525068338</v>
      </c>
      <c r="AN921" s="204">
        <f>Delivery[[#This Row],[Valor Prêmio Nespresso BEN por saca (em US$)]]/1.3228/100</f>
        <v>6.1877266045561187E-2</v>
      </c>
      <c r="AO921" s="204">
        <f>SUMIF(Allocation[Delivery ID],Delivery[[#This Row],[Delivery ID]],Allocation[Quantity allocated])*16*1.3228*Delivery[[#This Row],[Exchange rate VS USD]]/60</f>
        <v>10215.825664</v>
      </c>
      <c r="AP921" s="204">
        <f>Delivery[[#This Row],[AAA Premium (total)]]</f>
        <v>12658</v>
      </c>
      <c r="AQ921" s="204">
        <f>Delivery[[#This Row],[Valor pago pelo Cluster]]-Delivery[[#This Row],[Valor efetivamente pago pela Nespresso]]</f>
        <v>2442.174336</v>
      </c>
    </row>
    <row r="922" spans="1:43" ht="15.75">
      <c r="A922" s="174" t="s">
        <v>69</v>
      </c>
      <c r="B922" s="232" t="s">
        <v>68</v>
      </c>
      <c r="C922" s="157">
        <v>1</v>
      </c>
      <c r="D922" s="157" t="s">
        <v>468</v>
      </c>
      <c r="E922" s="177" t="s">
        <v>468</v>
      </c>
      <c r="F922" s="233" t="s">
        <v>543</v>
      </c>
      <c r="G922" s="234">
        <v>43348</v>
      </c>
      <c r="H922" s="157" t="s">
        <v>1059</v>
      </c>
      <c r="I922" s="157" t="s">
        <v>511</v>
      </c>
      <c r="J922" s="237">
        <v>32860</v>
      </c>
      <c r="K922" s="175" t="s">
        <v>61</v>
      </c>
      <c r="L922" s="175" t="s">
        <v>439</v>
      </c>
      <c r="M922" s="175" t="s">
        <v>1343</v>
      </c>
      <c r="N922" s="198"/>
      <c r="O922" s="199"/>
      <c r="P922" s="181">
        <v>0</v>
      </c>
      <c r="Q922" s="177">
        <v>43123</v>
      </c>
      <c r="R922" s="178">
        <v>434.94</v>
      </c>
      <c r="S922" s="179">
        <v>239865.87775315999</v>
      </c>
      <c r="T922" s="182" t="s">
        <v>45</v>
      </c>
      <c r="U922" s="183">
        <v>3.3</v>
      </c>
      <c r="V922" s="179">
        <v>12658</v>
      </c>
      <c r="W922" s="179">
        <v>3955.6111234199989</v>
      </c>
      <c r="X922" s="196" t="s">
        <v>45</v>
      </c>
      <c r="Y922" s="200">
        <v>3.3</v>
      </c>
      <c r="Z922" s="220" t="s">
        <v>473</v>
      </c>
      <c r="AA922" s="201">
        <f>Delivery[[#This Row],[Quantity delivered]]*VLOOKUP(Delivery[[#This Row],[Unit]],References!$U:$X,4,FALSE)*VLOOKUP(CONCATENATE(Delivery[[#This Row],[Coffee specie]],Delivery[[#This Row],[Coffee state]]),References!$U:$X,4,FALSE)</f>
        <v>32860</v>
      </c>
      <c r="AB922" s="202">
        <f>SUMIF(Allocation!C:C,Delivery[[#This Row],[Delivery ID]],Allocation!D:D)/Delivery[[#This Row],[Quantity delivered]]</f>
        <v>0.80931223371880701</v>
      </c>
      <c r="AC922" s="203">
        <f>Delivery[[#This Row],[Quantity delivered]]*Delivery[[#This Row],[Base price (Unidad)]]/60</f>
        <v>238202.14</v>
      </c>
      <c r="AD922" s="204">
        <f>Delivery[[#This Row],[Nespresso total]]-Delivery[[#This Row],[Qt. Delivery * Base Price]]</f>
        <v>1663.7377531599777</v>
      </c>
      <c r="AE922" s="204">
        <f>Delivery[[#This Row],[AAA Premium (total)]]/Delivery[[#This Row],[Quantity delivered]]*60/Delivery[[#This Row],[Exchange rate VS USD]]</f>
        <v>7.0038178498312398</v>
      </c>
      <c r="AF922" s="204">
        <f>Delivery[[#This Row],[BEN premium (total)]]/Delivery[[#This Row],[Quantity delivered]]*60/Delivery[[#This Row],[Exchange rate for premiums VS USD]]</f>
        <v>2.1886853999999993</v>
      </c>
      <c r="AG922" s="204">
        <f>COUNTIF(Delivery[Delivery ID],Delivery[[#This Row],[Delivery ID]])</f>
        <v>1</v>
      </c>
      <c r="AH922" s="204">
        <f>(Delivery[[#This Row],[Nespresso total]]/SUMIF(Allocation!C:C,Delivery[Delivery ID],Allocation!H:H))/Delivery[[#This Row],[Exchange rate VS USD]]</f>
        <v>8.2824327281414885</v>
      </c>
      <c r="AI922" s="204">
        <f>(Delivery[[#This Row],[AAA Premium (total)]]/SUMIF(Allocation!C:C,Delivery[Delivery ID],Allocation!H:H))/Delivery[[#This Row],[Exchange rate VS USD]]</f>
        <v>0.43707356150382587</v>
      </c>
      <c r="AJ922" s="204">
        <f>Delivery[[#This Row],[Valor Prêmio Nespresso AAA por Kg (em US$)]]*60</f>
        <v>26.224413690229554</v>
      </c>
      <c r="AK922" s="204">
        <f>Delivery[[#This Row],[Valor Prêmio Nespresso AAA por saca (em US$)]]/1.3228/100</f>
        <v>0.19824927192492858</v>
      </c>
      <c r="AL922" s="204">
        <f>(Delivery[[#This Row],[BEN premium (total)]]/SUMIF(Allocation!C:C,Delivery[Delivery ID],Allocation!H:H))/Delivery[[#This Row],[Exchange rate for premiums VS USD]]</f>
        <v>0.13658500881950772</v>
      </c>
      <c r="AM922" s="204">
        <f>Delivery[[#This Row],[Valor Prêmio Nespresso BEN por Kg (em US$)]]*60</f>
        <v>8.1951005291704639</v>
      </c>
      <c r="AN922" s="204">
        <f>Delivery[[#This Row],[Valor Prêmio Nespresso BEN por saca (em US$)]]/1.3228/100</f>
        <v>6.1952680141899481E-2</v>
      </c>
      <c r="AO922" s="204">
        <f>SUMIF(Allocation[Delivery ID],Delivery[[#This Row],[Delivery ID]],Allocation[Quantity allocated])*16*1.3228*Delivery[[#This Row],[Exchange rate VS USD]]/60</f>
        <v>10215.825664</v>
      </c>
      <c r="AP922" s="204">
        <f>Delivery[[#This Row],[AAA Premium (total)]]</f>
        <v>12658</v>
      </c>
      <c r="AQ922" s="204">
        <f>Delivery[[#This Row],[Valor pago pelo Cluster]]-Delivery[[#This Row],[Valor efetivamente pago pela Nespresso]]</f>
        <v>2442.174336</v>
      </c>
    </row>
    <row r="923" spans="1:43" ht="15.75">
      <c r="A923" s="174" t="s">
        <v>69</v>
      </c>
      <c r="B923" s="232" t="s">
        <v>68</v>
      </c>
      <c r="C923" s="157" t="s">
        <v>1344</v>
      </c>
      <c r="D923" s="157" t="s">
        <v>468</v>
      </c>
      <c r="E923" s="177" t="s">
        <v>468</v>
      </c>
      <c r="F923" s="233" t="s">
        <v>543</v>
      </c>
      <c r="G923" s="234">
        <v>43347</v>
      </c>
      <c r="H923" s="157" t="s">
        <v>1657</v>
      </c>
      <c r="I923" s="157" t="s">
        <v>940</v>
      </c>
      <c r="J923" s="237">
        <v>11970</v>
      </c>
      <c r="K923" s="175" t="s">
        <v>61</v>
      </c>
      <c r="L923" s="175" t="s">
        <v>439</v>
      </c>
      <c r="M923" s="175" t="s">
        <v>1343</v>
      </c>
      <c r="N923" s="198"/>
      <c r="O923" s="199"/>
      <c r="P923" s="181">
        <v>0</v>
      </c>
      <c r="Q923" s="177">
        <v>43341</v>
      </c>
      <c r="R923" s="178">
        <v>423.382025</v>
      </c>
      <c r="S923" s="179">
        <v>85707.6</v>
      </c>
      <c r="T923" s="182" t="s">
        <v>45</v>
      </c>
      <c r="U923" s="183">
        <v>4.1165000000000003</v>
      </c>
      <c r="V923" s="179">
        <v>5764</v>
      </c>
      <c r="W923" s="179">
        <v>0</v>
      </c>
      <c r="X923" s="196" t="s">
        <v>45</v>
      </c>
      <c r="Y923" s="200">
        <v>4.1165000000000003</v>
      </c>
      <c r="Z923" s="220"/>
      <c r="AA923" s="201">
        <f>Delivery[[#This Row],[Quantity delivered]]*VLOOKUP(Delivery[[#This Row],[Unit]],References!$U:$X,4,FALSE)*VLOOKUP(CONCATENATE(Delivery[[#This Row],[Coffee specie]],Delivery[[#This Row],[Coffee state]]),References!$U:$X,4,FALSE)</f>
        <v>11970</v>
      </c>
      <c r="AB923" s="202">
        <f>SUMIF(Allocation!C:C,Delivery[[#This Row],[Delivery ID]],Allocation!D:D)/Delivery[[#This Row],[Quantity delivered]]</f>
        <v>0.15873015873015872</v>
      </c>
      <c r="AC923" s="203">
        <f>Delivery[[#This Row],[Quantity delivered]]*Delivery[[#This Row],[Base price (Unidad)]]/60</f>
        <v>84464.713987499999</v>
      </c>
      <c r="AD923" s="204">
        <f>Delivery[[#This Row],[Nespresso total]]-Delivery[[#This Row],[Qt. Delivery * Base Price]]</f>
        <v>1242.8860125000065</v>
      </c>
      <c r="AE923" s="204">
        <f>Delivery[[#This Row],[AAA Premium (total)]]/Delivery[[#This Row],[Quantity delivered]]*60/Delivery[[#This Row],[Exchange rate VS USD]]</f>
        <v>7.018639761069136</v>
      </c>
      <c r="AF923" s="204">
        <f>Delivery[[#This Row],[BEN premium (total)]]/Delivery[[#This Row],[Quantity delivered]]*60/Delivery[[#This Row],[Exchange rate for premiums VS USD]]</f>
        <v>0</v>
      </c>
      <c r="AG923" s="204">
        <f>COUNTIF(Delivery[Delivery ID],Delivery[[#This Row],[Delivery ID]])</f>
        <v>1</v>
      </c>
      <c r="AH923" s="204">
        <f>(Delivery[[#This Row],[Nespresso total]]/SUMIF(Allocation!C:C,Delivery[Delivery ID],Allocation!H:H))/Delivery[[#This Row],[Exchange rate VS USD]]</f>
        <v>34.992441772044657</v>
      </c>
      <c r="AI923" s="204">
        <f>(Delivery[[#This Row],[AAA Premium (total)]]/SUMIF(Allocation!C:C,Delivery[Delivery ID],Allocation!H:H))/Delivery[[#This Row],[Exchange rate VS USD]]</f>
        <v>2.3533086257702398</v>
      </c>
      <c r="AJ923" s="204">
        <f>Delivery[[#This Row],[Valor Prêmio Nespresso AAA por Kg (em US$)]]*60</f>
        <v>141.19851754621439</v>
      </c>
      <c r="AK923" s="204">
        <f>Delivery[[#This Row],[Valor Prêmio Nespresso AAA por saca (em US$)]]/1.3228/100</f>
        <v>1.0674215115377563</v>
      </c>
      <c r="AL923" s="204">
        <f>(Delivery[[#This Row],[BEN premium (total)]]/SUMIF(Allocation!C:C,Delivery[Delivery ID],Allocation!H:H))/Delivery[[#This Row],[Exchange rate for premiums VS USD]]</f>
        <v>0</v>
      </c>
      <c r="AM923" s="204">
        <f>Delivery[[#This Row],[Valor Prêmio Nespresso BEN por Kg (em US$)]]*60</f>
        <v>0</v>
      </c>
      <c r="AN923" s="204">
        <f>Delivery[[#This Row],[Valor Prêmio Nespresso BEN por saca (em US$)]]/1.3228/100</f>
        <v>0</v>
      </c>
      <c r="AO923" s="204">
        <f>SUMIF(Allocation[Delivery ID],Delivery[[#This Row],[Delivery ID]],Allocation[Quantity allocated])*16*1.3228*Delivery[[#This Row],[Exchange rate VS USD]]/60</f>
        <v>863.98858373333337</v>
      </c>
      <c r="AP923" s="204">
        <f>Delivery[[#This Row],[AAA Premium (total)]]</f>
        <v>5764</v>
      </c>
      <c r="AQ923" s="204">
        <f>Delivery[[#This Row],[Valor pago pelo Cluster]]-Delivery[[#This Row],[Valor efetivamente pago pela Nespresso]]</f>
        <v>4900.0114162666669</v>
      </c>
    </row>
    <row r="924" spans="1:43" ht="15.75">
      <c r="A924" s="174" t="s">
        <v>69</v>
      </c>
      <c r="B924" s="232" t="s">
        <v>68</v>
      </c>
      <c r="C924" s="157" t="s">
        <v>1344</v>
      </c>
      <c r="D924" s="157" t="s">
        <v>468</v>
      </c>
      <c r="E924" s="177" t="s">
        <v>468</v>
      </c>
      <c r="F924" s="233" t="s">
        <v>543</v>
      </c>
      <c r="G924" s="234">
        <v>43347</v>
      </c>
      <c r="H924" s="157" t="s">
        <v>1658</v>
      </c>
      <c r="I924" s="157" t="s">
        <v>940</v>
      </c>
      <c r="J924" s="237">
        <v>29980</v>
      </c>
      <c r="K924" s="175" t="s">
        <v>61</v>
      </c>
      <c r="L924" s="175" t="s">
        <v>439</v>
      </c>
      <c r="M924" s="175" t="s">
        <v>1343</v>
      </c>
      <c r="N924" s="198"/>
      <c r="O924" s="199"/>
      <c r="P924" s="181">
        <v>0</v>
      </c>
      <c r="Q924" s="177">
        <v>43341</v>
      </c>
      <c r="R924" s="178">
        <v>423.382025</v>
      </c>
      <c r="S924" s="179">
        <v>214269</v>
      </c>
      <c r="T924" s="182" t="s">
        <v>45</v>
      </c>
      <c r="U924" s="183">
        <v>4.1165000000000003</v>
      </c>
      <c r="V924" s="179">
        <v>14410</v>
      </c>
      <c r="W924" s="179">
        <v>0</v>
      </c>
      <c r="X924" s="196" t="s">
        <v>45</v>
      </c>
      <c r="Y924" s="200">
        <v>4.1165000000000003</v>
      </c>
      <c r="Z924" s="220"/>
      <c r="AA924" s="201">
        <f>Delivery[[#This Row],[Quantity delivered]]*VLOOKUP(Delivery[[#This Row],[Unit]],References!$U:$X,4,FALSE)*VLOOKUP(CONCATENATE(Delivery[[#This Row],[Coffee specie]],Delivery[[#This Row],[Coffee state]]),References!$U:$X,4,FALSE)</f>
        <v>29980</v>
      </c>
      <c r="AB924" s="202">
        <f>SUMIF(Allocation!C:C,Delivery[[#This Row],[Delivery ID]],Allocation!D:D)/Delivery[[#This Row],[Quantity delivered]]</f>
        <v>0.80813875917278188</v>
      </c>
      <c r="AC924" s="203">
        <f>Delivery[[#This Row],[Quantity delivered]]*Delivery[[#This Row],[Base price (Unidad)]]/60</f>
        <v>211549.88515833335</v>
      </c>
      <c r="AD924" s="204">
        <f>Delivery[[#This Row],[Nespresso total]]-Delivery[[#This Row],[Qt. Delivery * Base Price]]</f>
        <v>2719.1148416666547</v>
      </c>
      <c r="AE924" s="204">
        <f>Delivery[[#This Row],[AAA Premium (total)]]/Delivery[[#This Row],[Quantity delivered]]*60/Delivery[[#This Row],[Exchange rate VS USD]]</f>
        <v>7.0057636707803175</v>
      </c>
      <c r="AF924" s="204">
        <f>Delivery[[#This Row],[BEN premium (total)]]/Delivery[[#This Row],[Quantity delivered]]*60/Delivery[[#This Row],[Exchange rate for premiums VS USD]]</f>
        <v>0</v>
      </c>
      <c r="AG924" s="204">
        <f>COUNTIF(Delivery[Delivery ID],Delivery[[#This Row],[Delivery ID]])</f>
        <v>1</v>
      </c>
      <c r="AH924" s="204">
        <f>(Delivery[[#This Row],[Nespresso total]]/SUMIF(Allocation!C:C,Delivery[Delivery ID],Allocation!H:H))/Delivery[[#This Row],[Exchange rate VS USD]]</f>
        <v>6.5771110861658366</v>
      </c>
      <c r="AI924" s="204">
        <f>(Delivery[[#This Row],[AAA Premium (total)]]/SUMIF(Allocation!C:C,Delivery[Delivery ID],Allocation!H:H))/Delivery[[#This Row],[Exchange rate VS USD]]</f>
        <v>0.44232329805828047</v>
      </c>
      <c r="AJ924" s="204">
        <f>Delivery[[#This Row],[Valor Prêmio Nespresso AAA por Kg (em US$)]]*60</f>
        <v>26.539397883496829</v>
      </c>
      <c r="AK924" s="204">
        <f>Delivery[[#This Row],[Valor Prêmio Nespresso AAA por saca (em US$)]]/1.3228/100</f>
        <v>0.20063046479813146</v>
      </c>
      <c r="AL924" s="204">
        <f>(Delivery[[#This Row],[BEN premium (total)]]/SUMIF(Allocation!C:C,Delivery[Delivery ID],Allocation!H:H))/Delivery[[#This Row],[Exchange rate for premiums VS USD]]</f>
        <v>0</v>
      </c>
      <c r="AM924" s="204">
        <f>Delivery[[#This Row],[Valor Prêmio Nespresso BEN por Kg (em US$)]]*60</f>
        <v>0</v>
      </c>
      <c r="AN924" s="204">
        <f>Delivery[[#This Row],[Valor Prêmio Nespresso BEN por saca (em US$)]]/1.3228/100</f>
        <v>0</v>
      </c>
      <c r="AO924" s="204">
        <f>SUMIF(Allocation[Delivery ID],Delivery[[#This Row],[Delivery ID]],Allocation[Quantity allocated])*16*1.3228*Delivery[[#This Row],[Exchange rate VS USD]]/60</f>
        <v>11491.77420448</v>
      </c>
      <c r="AP924" s="204">
        <f>Delivery[[#This Row],[AAA Premium (total)]]</f>
        <v>14410</v>
      </c>
      <c r="AQ924" s="204">
        <f>Delivery[[#This Row],[Valor pago pelo Cluster]]-Delivery[[#This Row],[Valor efetivamente pago pela Nespresso]]</f>
        <v>2918.2257955200002</v>
      </c>
    </row>
    <row r="925" spans="1:43" ht="15.75">
      <c r="A925" s="174" t="s">
        <v>69</v>
      </c>
      <c r="B925" s="232" t="s">
        <v>68</v>
      </c>
      <c r="C925" s="157">
        <v>1</v>
      </c>
      <c r="D925" s="157" t="s">
        <v>468</v>
      </c>
      <c r="E925" s="177" t="s">
        <v>468</v>
      </c>
      <c r="F925" s="233" t="s">
        <v>543</v>
      </c>
      <c r="G925" s="234">
        <v>43346</v>
      </c>
      <c r="H925" s="157" t="s">
        <v>1060</v>
      </c>
      <c r="I925" s="157" t="s">
        <v>572</v>
      </c>
      <c r="J925" s="237">
        <v>29700</v>
      </c>
      <c r="K925" s="175" t="s">
        <v>61</v>
      </c>
      <c r="L925" s="175" t="s">
        <v>439</v>
      </c>
      <c r="M925" s="175" t="s">
        <v>1343</v>
      </c>
      <c r="N925" s="198"/>
      <c r="O925" s="199"/>
      <c r="P925" s="181">
        <v>0</v>
      </c>
      <c r="Q925" s="177">
        <v>43339</v>
      </c>
      <c r="R925" s="178">
        <v>431.37951500000003</v>
      </c>
      <c r="S925" s="179">
        <v>216900</v>
      </c>
      <c r="T925" s="182" t="s">
        <v>45</v>
      </c>
      <c r="U925" s="183">
        <v>4.0831</v>
      </c>
      <c r="V925" s="179">
        <v>14290</v>
      </c>
      <c r="W925" s="179">
        <v>0</v>
      </c>
      <c r="X925" s="196" t="s">
        <v>45</v>
      </c>
      <c r="Y925" s="200">
        <v>4.0831</v>
      </c>
      <c r="Z925" s="220"/>
      <c r="AA925" s="201">
        <f>Delivery[[#This Row],[Quantity delivered]]*VLOOKUP(Delivery[[#This Row],[Unit]],References!$U:$X,4,FALSE)*VLOOKUP(CONCATENATE(Delivery[[#This Row],[Coffee specie]],Delivery[[#This Row],[Coffee state]]),References!$U:$X,4,FALSE)</f>
        <v>29700</v>
      </c>
      <c r="AB925" s="202">
        <f>SUMIF(Allocation!C:C,Delivery[[#This Row],[Delivery ID]],Allocation!D:D)/Delivery[[#This Row],[Quantity delivered]]</f>
        <v>1</v>
      </c>
      <c r="AC925" s="203">
        <f>Delivery[[#This Row],[Quantity delivered]]*Delivery[[#This Row],[Base price (Unidad)]]/60</f>
        <v>213532.85992500003</v>
      </c>
      <c r="AD925" s="204">
        <f>Delivery[[#This Row],[Nespresso total]]-Delivery[[#This Row],[Qt. Delivery * Base Price]]</f>
        <v>3367.1400749999739</v>
      </c>
      <c r="AE925" s="204">
        <f>Delivery[[#This Row],[AAA Premium (total)]]/Delivery[[#This Row],[Quantity delivered]]*60/Delivery[[#This Row],[Exchange rate VS USD]]</f>
        <v>7.0702865148262024</v>
      </c>
      <c r="AF925" s="204">
        <f>Delivery[[#This Row],[BEN premium (total)]]/Delivery[[#This Row],[Quantity delivered]]*60/Delivery[[#This Row],[Exchange rate for premiums VS USD]]</f>
        <v>0</v>
      </c>
      <c r="AG925" s="204">
        <f>COUNTIF(Delivery[Delivery ID],Delivery[[#This Row],[Delivery ID]])</f>
        <v>1</v>
      </c>
      <c r="AH925" s="204">
        <f>(Delivery[[#This Row],[Nespresso total]]/SUMIF(Allocation!C:C,Delivery[Delivery ID],Allocation!H:H))/Delivery[[#This Row],[Exchange rate VS USD]]</f>
        <v>4.1831170057227647</v>
      </c>
      <c r="AI925" s="204">
        <f>(Delivery[[#This Row],[AAA Premium (total)]]/SUMIF(Allocation!C:C,Delivery[Delivery ID],Allocation!H:H))/Delivery[[#This Row],[Exchange rate VS USD]]</f>
        <v>0.2755958598975487</v>
      </c>
      <c r="AJ925" s="204">
        <f>Delivery[[#This Row],[Valor Prêmio Nespresso AAA por Kg (em US$)]]*60</f>
        <v>16.535751593852922</v>
      </c>
      <c r="AK925" s="204">
        <f>Delivery[[#This Row],[Valor Prêmio Nespresso AAA por saca (em US$)]]/1.3228/100</f>
        <v>0.12500568184043637</v>
      </c>
      <c r="AL925" s="204">
        <f>(Delivery[[#This Row],[BEN premium (total)]]/SUMIF(Allocation!C:C,Delivery[Delivery ID],Allocation!H:H))/Delivery[[#This Row],[Exchange rate for premiums VS USD]]</f>
        <v>0</v>
      </c>
      <c r="AM925" s="204">
        <f>Delivery[[#This Row],[Valor Prêmio Nespresso BEN por Kg (em US$)]]*60</f>
        <v>0</v>
      </c>
      <c r="AN925" s="204">
        <f>Delivery[[#This Row],[Valor Prêmio Nespresso BEN por saca (em US$)]]/1.3228/100</f>
        <v>0</v>
      </c>
      <c r="AO925" s="204">
        <f>SUMIF(Allocation[Delivery ID],Delivery[[#This Row],[Delivery ID]],Allocation[Quantity allocated])*16*1.3228*Delivery[[#This Row],[Exchange rate VS USD]]/60</f>
        <v>18290.368616351996</v>
      </c>
      <c r="AP925" s="204">
        <f>Delivery[[#This Row],[AAA Premium (total)]]</f>
        <v>14290</v>
      </c>
      <c r="AQ925" s="204">
        <f>Delivery[[#This Row],[Valor pago pelo Cluster]]-Delivery[[#This Row],[Valor efetivamente pago pela Nespresso]]</f>
        <v>-4000.368616351996</v>
      </c>
    </row>
    <row r="926" spans="1:43" ht="15.75">
      <c r="A926" s="174" t="s">
        <v>69</v>
      </c>
      <c r="B926" s="232" t="s">
        <v>68</v>
      </c>
      <c r="C926" s="157">
        <v>1</v>
      </c>
      <c r="D926" s="157" t="s">
        <v>468</v>
      </c>
      <c r="E926" s="177" t="s">
        <v>468</v>
      </c>
      <c r="F926" s="233" t="s">
        <v>543</v>
      </c>
      <c r="G926" s="234">
        <v>43348</v>
      </c>
      <c r="H926" s="157" t="s">
        <v>1061</v>
      </c>
      <c r="I926" s="157" t="s">
        <v>509</v>
      </c>
      <c r="J926" s="237">
        <v>29990</v>
      </c>
      <c r="K926" s="175" t="s">
        <v>61</v>
      </c>
      <c r="L926" s="175" t="s">
        <v>439</v>
      </c>
      <c r="M926" s="175" t="s">
        <v>1343</v>
      </c>
      <c r="N926" s="198"/>
      <c r="O926" s="199"/>
      <c r="P926" s="181">
        <v>0</v>
      </c>
      <c r="Q926" s="177">
        <v>43339</v>
      </c>
      <c r="R926" s="178">
        <v>431.44290500000005</v>
      </c>
      <c r="S926" s="179">
        <v>228065.04474354268</v>
      </c>
      <c r="T926" s="182" t="s">
        <v>45</v>
      </c>
      <c r="U926" s="183">
        <v>4.0837000000000003</v>
      </c>
      <c r="V926" s="179">
        <v>14295</v>
      </c>
      <c r="W926" s="179">
        <v>4467.4776282286703</v>
      </c>
      <c r="X926" s="196" t="s">
        <v>45</v>
      </c>
      <c r="Y926" s="200">
        <v>4.0837000000000003</v>
      </c>
      <c r="Z926" s="220" t="s">
        <v>473</v>
      </c>
      <c r="AA926" s="201">
        <f>Delivery[[#This Row],[Quantity delivered]]*VLOOKUP(Delivery[[#This Row],[Unit]],References!$U:$X,4,FALSE)*VLOOKUP(CONCATENATE(Delivery[[#This Row],[Coffee specie]],Delivery[[#This Row],[Coffee state]]),References!$U:$X,4,FALSE)</f>
        <v>29990</v>
      </c>
      <c r="AB926" s="202">
        <f>SUMIF(Allocation!C:C,Delivery[[#This Row],[Delivery ID]],Allocation!D:D)/Delivery[[#This Row],[Quantity delivered]]</f>
        <v>1</v>
      </c>
      <c r="AC926" s="203">
        <f>Delivery[[#This Row],[Quantity delivered]]*Delivery[[#This Row],[Base price (Unidad)]]/60</f>
        <v>215649.5453491667</v>
      </c>
      <c r="AD926" s="204">
        <f>Delivery[[#This Row],[Nespresso total]]-Delivery[[#This Row],[Qt. Delivery * Base Price]]</f>
        <v>12415.499394375976</v>
      </c>
      <c r="AE926" s="204">
        <f>Delivery[[#This Row],[AAA Premium (total)]]/Delivery[[#This Row],[Quantity delivered]]*60/Delivery[[#This Row],[Exchange rate VS USD]]</f>
        <v>7.0033384376241896</v>
      </c>
      <c r="AF926" s="204">
        <f>Delivery[[#This Row],[BEN premium (total)]]/Delivery[[#This Row],[Quantity delivered]]*60/Delivery[[#This Row],[Exchange rate for premiums VS USD]]</f>
        <v>2.1886854000000002</v>
      </c>
      <c r="AG926" s="204">
        <f>COUNTIF(Delivery[Delivery ID],Delivery[[#This Row],[Delivery ID]])</f>
        <v>1</v>
      </c>
      <c r="AH926" s="204">
        <f>(Delivery[[#This Row],[Nespresso total]]/SUMIF(Allocation!C:C,Delivery[Delivery ID],Allocation!H:H))/Delivery[[#This Row],[Exchange rate VS USD]]</f>
        <v>5.6286685273014196</v>
      </c>
      <c r="AI926" s="204">
        <f>(Delivery[[#This Row],[AAA Premium (total)]]/SUMIF(Allocation!C:C,Delivery[Delivery ID],Allocation!H:H))/Delivery[[#This Row],[Exchange rate VS USD]]</f>
        <v>0.35280205560765548</v>
      </c>
      <c r="AJ926" s="204">
        <f>Delivery[[#This Row],[Valor Prêmio Nespresso AAA por Kg (em US$)]]*60</f>
        <v>21.168123336459328</v>
      </c>
      <c r="AK926" s="204">
        <f>Delivery[[#This Row],[Valor Prêmio Nespresso AAA por saca (em US$)]]/1.3228/100</f>
        <v>0.16002512349908776</v>
      </c>
      <c r="AL926" s="204">
        <f>(Delivery[[#This Row],[BEN premium (total)]]/SUMIF(Allocation!C:C,Delivery[Delivery ID],Allocation!H:H))/Delivery[[#This Row],[Exchange rate for premiums VS USD]]</f>
        <v>0.11025780277161862</v>
      </c>
      <c r="AM926" s="204">
        <f>Delivery[[#This Row],[Valor Prêmio Nespresso BEN por Kg (em US$)]]*60</f>
        <v>6.6154681662971173</v>
      </c>
      <c r="AN926" s="204">
        <f>Delivery[[#This Row],[Valor Prêmio Nespresso BEN por saca (em US$)]]/1.3228/100</f>
        <v>5.0011098928765624E-2</v>
      </c>
      <c r="AO926" s="204">
        <f>SUMIF(Allocation[Delivery ID],Delivery[[#This Row],[Delivery ID]],Allocation[Quantity allocated])*16*1.3228*Delivery[[#This Row],[Exchange rate VS USD]]/60</f>
        <v>14292.755724778666</v>
      </c>
      <c r="AP926" s="204">
        <f>Delivery[[#This Row],[AAA Premium (total)]]</f>
        <v>14295</v>
      </c>
      <c r="AQ926" s="204">
        <f>Delivery[[#This Row],[Valor pago pelo Cluster]]-Delivery[[#This Row],[Valor efetivamente pago pela Nespresso]]</f>
        <v>2.2442752213337371</v>
      </c>
    </row>
    <row r="927" spans="1:43" ht="15.75">
      <c r="A927" s="174" t="s">
        <v>69</v>
      </c>
      <c r="B927" s="232" t="s">
        <v>68</v>
      </c>
      <c r="C927" s="157" t="s">
        <v>1344</v>
      </c>
      <c r="D927" s="157" t="s">
        <v>468</v>
      </c>
      <c r="E927" s="177" t="s">
        <v>468</v>
      </c>
      <c r="F927" s="233" t="s">
        <v>543</v>
      </c>
      <c r="G927" s="234">
        <v>43347</v>
      </c>
      <c r="H927" s="157" t="s">
        <v>1659</v>
      </c>
      <c r="I927" s="157" t="s">
        <v>1660</v>
      </c>
      <c r="J927" s="237">
        <v>6030</v>
      </c>
      <c r="K927" s="175" t="s">
        <v>61</v>
      </c>
      <c r="L927" s="175" t="s">
        <v>439</v>
      </c>
      <c r="M927" s="175" t="s">
        <v>1343</v>
      </c>
      <c r="N927" s="198"/>
      <c r="O927" s="199"/>
      <c r="P927" s="181">
        <v>0</v>
      </c>
      <c r="Q927" s="177">
        <v>43340</v>
      </c>
      <c r="R927" s="178">
        <v>426.92678999999998</v>
      </c>
      <c r="S927" s="179">
        <v>43102</v>
      </c>
      <c r="T927" s="182" t="s">
        <v>45</v>
      </c>
      <c r="U927" s="183">
        <v>4.1409000000000002</v>
      </c>
      <c r="V927" s="179">
        <v>2898</v>
      </c>
      <c r="W927" s="179">
        <v>0</v>
      </c>
      <c r="X927" s="196" t="s">
        <v>45</v>
      </c>
      <c r="Y927" s="200">
        <v>4.1409000000000002</v>
      </c>
      <c r="Z927" s="220"/>
      <c r="AA927" s="201">
        <f>Delivery[[#This Row],[Quantity delivered]]*VLOOKUP(Delivery[[#This Row],[Unit]],References!$U:$X,4,FALSE)*VLOOKUP(CONCATENATE(Delivery[[#This Row],[Coffee specie]],Delivery[[#This Row],[Coffee state]]),References!$U:$X,4,FALSE)</f>
        <v>6030</v>
      </c>
      <c r="AB927" s="202">
        <f>SUMIF(Allocation!C:C,Delivery[[#This Row],[Delivery ID]],Allocation!D:D)/Delivery[[#This Row],[Quantity delivered]]</f>
        <v>0.1208955223880597</v>
      </c>
      <c r="AC927" s="203">
        <f>Delivery[[#This Row],[Quantity delivered]]*Delivery[[#This Row],[Base price (Unidad)]]/60</f>
        <v>42906.142394999995</v>
      </c>
      <c r="AD927" s="204">
        <f>Delivery[[#This Row],[Nespresso total]]-Delivery[[#This Row],[Qt. Delivery * Base Price]]</f>
        <v>195.8576050000047</v>
      </c>
      <c r="AE927" s="204">
        <f>Delivery[[#This Row],[AAA Premium (total)]]/Delivery[[#This Row],[Quantity delivered]]*60/Delivery[[#This Row],[Exchange rate VS USD]]</f>
        <v>6.9636602901597202</v>
      </c>
      <c r="AF927" s="204">
        <f>Delivery[[#This Row],[BEN premium (total)]]/Delivery[[#This Row],[Quantity delivered]]*60/Delivery[[#This Row],[Exchange rate for premiums VS USD]]</f>
        <v>0</v>
      </c>
      <c r="AG927" s="204">
        <f>COUNTIF(Delivery[Delivery ID],Delivery[[#This Row],[Delivery ID]])</f>
        <v>1</v>
      </c>
      <c r="AH927" s="204">
        <f>(Delivery[[#This Row],[Nespresso total]]/SUMIF(Allocation!C:C,Delivery[Delivery ID],Allocation!H:H))/Delivery[[#This Row],[Exchange rate VS USD]]</f>
        <v>37.57706974006679</v>
      </c>
      <c r="AI927" s="204">
        <f>(Delivery[[#This Row],[AAA Premium (total)]]/SUMIF(Allocation!C:C,Delivery[Delivery ID],Allocation!H:H))/Delivery[[#This Row],[Exchange rate VS USD]]</f>
        <v>2.5265265673684181</v>
      </c>
      <c r="AJ927" s="204">
        <f>Delivery[[#This Row],[Valor Prêmio Nespresso AAA por Kg (em US$)]]*60</f>
        <v>151.59159404210507</v>
      </c>
      <c r="AK927" s="204">
        <f>Delivery[[#This Row],[Valor Prêmio Nespresso AAA por saca (em US$)]]/1.3228/100</f>
        <v>1.1459902785160649</v>
      </c>
      <c r="AL927" s="204">
        <f>(Delivery[[#This Row],[BEN premium (total)]]/SUMIF(Allocation!C:C,Delivery[Delivery ID],Allocation!H:H))/Delivery[[#This Row],[Exchange rate for premiums VS USD]]</f>
        <v>0</v>
      </c>
      <c r="AM927" s="204">
        <f>Delivery[[#This Row],[Valor Prêmio Nespresso BEN por Kg (em US$)]]*60</f>
        <v>0</v>
      </c>
      <c r="AN927" s="204">
        <f>Delivery[[#This Row],[Valor Prêmio Nespresso BEN por saca (em US$)]]/1.3228/100</f>
        <v>0</v>
      </c>
      <c r="AO927" s="204">
        <f>SUMIF(Allocation[Delivery ID],Delivery[[#This Row],[Delivery ID]],Allocation[Quantity allocated])*16*1.3228*Delivery[[#This Row],[Exchange rate VS USD]]/60</f>
        <v>404.61076214399998</v>
      </c>
      <c r="AP927" s="204">
        <f>Delivery[[#This Row],[AAA Premium (total)]]</f>
        <v>2898</v>
      </c>
      <c r="AQ927" s="204">
        <f>Delivery[[#This Row],[Valor pago pelo Cluster]]-Delivery[[#This Row],[Valor efetivamente pago pela Nespresso]]</f>
        <v>2493.3892378559999</v>
      </c>
    </row>
    <row r="928" spans="1:43" ht="15.75">
      <c r="A928" s="174" t="s">
        <v>69</v>
      </c>
      <c r="B928" s="232" t="s">
        <v>68</v>
      </c>
      <c r="C928" s="157">
        <v>1</v>
      </c>
      <c r="D928" s="157" t="s">
        <v>468</v>
      </c>
      <c r="E928" s="177" t="s">
        <v>468</v>
      </c>
      <c r="F928" s="233" t="s">
        <v>543</v>
      </c>
      <c r="G928" s="234">
        <v>43347</v>
      </c>
      <c r="H928" s="157" t="s">
        <v>1062</v>
      </c>
      <c r="I928" s="157" t="s">
        <v>1063</v>
      </c>
      <c r="J928" s="237">
        <v>22500</v>
      </c>
      <c r="K928" s="175" t="s">
        <v>61</v>
      </c>
      <c r="L928" s="175" t="s">
        <v>439</v>
      </c>
      <c r="M928" s="175" t="s">
        <v>1343</v>
      </c>
      <c r="N928" s="198"/>
      <c r="O928" s="199"/>
      <c r="P928" s="181">
        <v>0</v>
      </c>
      <c r="Q928" s="177">
        <v>43340</v>
      </c>
      <c r="R928" s="178">
        <v>425.28749999999997</v>
      </c>
      <c r="S928" s="179">
        <v>151118.98346875003</v>
      </c>
      <c r="T928" s="182" t="s">
        <v>45</v>
      </c>
      <c r="U928" s="183">
        <v>4.125</v>
      </c>
      <c r="V928" s="179">
        <v>15427.5</v>
      </c>
      <c r="W928" s="179">
        <v>4616.7582656249997</v>
      </c>
      <c r="X928" s="196" t="s">
        <v>45</v>
      </c>
      <c r="Y928" s="200">
        <v>4.125</v>
      </c>
      <c r="Z928" s="220" t="s">
        <v>473</v>
      </c>
      <c r="AA928" s="201">
        <f>Delivery[[#This Row],[Quantity delivered]]*VLOOKUP(Delivery[[#This Row],[Unit]],References!$U:$X,4,FALSE)*VLOOKUP(CONCATENATE(Delivery[[#This Row],[Coffee specie]],Delivery[[#This Row],[Coffee state]]),References!$U:$X,4,FALSE)</f>
        <v>22500</v>
      </c>
      <c r="AB928" s="202">
        <f>SUMIF(Allocation!C:C,Delivery[[#This Row],[Delivery ID]],Allocation!D:D)/Delivery[[#This Row],[Quantity delivered]]</f>
        <v>0.78097777777777777</v>
      </c>
      <c r="AC928" s="203">
        <f>Delivery[[#This Row],[Quantity delivered]]*Delivery[[#This Row],[Base price (Unidad)]]/60</f>
        <v>159482.8125</v>
      </c>
      <c r="AD928" s="204">
        <f>Delivery[[#This Row],[Nespresso total]]-Delivery[[#This Row],[Qt. Delivery * Base Price]]</f>
        <v>-8363.8290312499739</v>
      </c>
      <c r="AE928" s="204">
        <f>Delivery[[#This Row],[AAA Premium (total)]]/Delivery[[#This Row],[Quantity delivered]]*60/Delivery[[#This Row],[Exchange rate VS USD]]</f>
        <v>9.9733333333333327</v>
      </c>
      <c r="AF928" s="204">
        <f>Delivery[[#This Row],[BEN premium (total)]]/Delivery[[#This Row],[Quantity delivered]]*60/Delivery[[#This Row],[Exchange rate for premiums VS USD]]</f>
        <v>2.9845709999999994</v>
      </c>
      <c r="AG928" s="204">
        <f>COUNTIF(Delivery[Delivery ID],Delivery[[#This Row],[Delivery ID]])</f>
        <v>1</v>
      </c>
      <c r="AH928" s="204">
        <f>(Delivery[[#This Row],[Nespresso total]]/SUMIF(Allocation!C:C,Delivery[Delivery ID],Allocation!H:H))/Delivery[[#This Row],[Exchange rate VS USD]]</f>
        <v>4.6332243687028383</v>
      </c>
      <c r="AI928" s="204">
        <f>(Delivery[[#This Row],[AAA Premium (total)]]/SUMIF(Allocation!C:C,Delivery[Delivery ID],Allocation!H:H))/Delivery[[#This Row],[Exchange rate VS USD]]</f>
        <v>0.47299860882762107</v>
      </c>
      <c r="AJ928" s="204">
        <f>Delivery[[#This Row],[Valor Prêmio Nespresso AAA por Kg (em US$)]]*60</f>
        <v>28.379916529657265</v>
      </c>
      <c r="AK928" s="204">
        <f>Delivery[[#This Row],[Valor Prêmio Nespresso AAA por saca (em US$)]]/1.3228/100</f>
        <v>0.21454427373493548</v>
      </c>
      <c r="AL928" s="204">
        <f>(Delivery[[#This Row],[BEN premium (total)]]/SUMIF(Allocation!C:C,Delivery[Delivery ID],Allocation!H:H))/Delivery[[#This Row],[Exchange rate for premiums VS USD]]</f>
        <v>0.14154725243455166</v>
      </c>
      <c r="AM928" s="204">
        <f>Delivery[[#This Row],[Valor Prêmio Nespresso BEN por Kg (em US$)]]*60</f>
        <v>8.4928351460730998</v>
      </c>
      <c r="AN928" s="204">
        <f>Delivery[[#This Row],[Valor Prêmio Nespresso BEN por saca (em US$)]]/1.3228/100</f>
        <v>6.4203471016579222E-2</v>
      </c>
      <c r="AO928" s="204">
        <f>SUMIF(Allocation[Delivery ID],Delivery[[#This Row],[Delivery ID]],Allocation[Quantity allocated])*16*1.3228*Delivery[[#This Row],[Exchange rate VS USD]]/60</f>
        <v>11505.31756</v>
      </c>
      <c r="AP928" s="204">
        <f>Delivery[[#This Row],[AAA Premium (total)]]</f>
        <v>15427.5</v>
      </c>
      <c r="AQ928" s="204">
        <f>Delivery[[#This Row],[Valor pago pelo Cluster]]-Delivery[[#This Row],[Valor efetivamente pago pela Nespresso]]</f>
        <v>3922.1824400000005</v>
      </c>
    </row>
    <row r="929" spans="1:43" ht="15.75">
      <c r="A929" s="174" t="s">
        <v>69</v>
      </c>
      <c r="B929" s="232" t="s">
        <v>68</v>
      </c>
      <c r="C929" s="157">
        <v>1</v>
      </c>
      <c r="D929" s="157" t="s">
        <v>468</v>
      </c>
      <c r="E929" s="177" t="s">
        <v>468</v>
      </c>
      <c r="F929" s="233" t="s">
        <v>543</v>
      </c>
      <c r="G929" s="234">
        <v>43347</v>
      </c>
      <c r="H929" s="157" t="s">
        <v>1064</v>
      </c>
      <c r="I929" s="157" t="s">
        <v>1006</v>
      </c>
      <c r="J929" s="237">
        <v>4700.5</v>
      </c>
      <c r="K929" s="175" t="s">
        <v>61</v>
      </c>
      <c r="L929" s="175" t="s">
        <v>439</v>
      </c>
      <c r="M929" s="175" t="s">
        <v>1343</v>
      </c>
      <c r="N929" s="198"/>
      <c r="O929" s="199"/>
      <c r="P929" s="181">
        <v>0</v>
      </c>
      <c r="Q929" s="177">
        <v>43340</v>
      </c>
      <c r="R929" s="178">
        <v>426.61748999999998</v>
      </c>
      <c r="S929" s="179">
        <v>34052.160000000003</v>
      </c>
      <c r="T929" s="182" t="s">
        <v>45</v>
      </c>
      <c r="U929" s="183">
        <v>4.1379000000000001</v>
      </c>
      <c r="V929" s="179">
        <v>2287.84</v>
      </c>
      <c r="W929" s="179">
        <v>0</v>
      </c>
      <c r="X929" s="196" t="s">
        <v>45</v>
      </c>
      <c r="Y929" s="200">
        <v>4.1379000000000001</v>
      </c>
      <c r="Z929" s="220"/>
      <c r="AA929" s="201">
        <f>Delivery[[#This Row],[Quantity delivered]]*VLOOKUP(Delivery[[#This Row],[Unit]],References!$U:$X,4,FALSE)*VLOOKUP(CONCATENATE(Delivery[[#This Row],[Coffee specie]],Delivery[[#This Row],[Coffee state]]),References!$U:$X,4,FALSE)</f>
        <v>4700.5</v>
      </c>
      <c r="AB929" s="202">
        <f>SUMIF(Allocation!C:C,Delivery[[#This Row],[Delivery ID]],Allocation!D:D)/Delivery[[#This Row],[Quantity delivered]]</f>
        <v>1</v>
      </c>
      <c r="AC929" s="203">
        <f>Delivery[[#This Row],[Quantity delivered]]*Delivery[[#This Row],[Base price (Unidad)]]/60</f>
        <v>33421.925195749995</v>
      </c>
      <c r="AD929" s="204">
        <f>Delivery[[#This Row],[Nespresso total]]-Delivery[[#This Row],[Qt. Delivery * Base Price]]</f>
        <v>630.23480425000889</v>
      </c>
      <c r="AE929" s="204">
        <f>Delivery[[#This Row],[AAA Premium (total)]]/Delivery[[#This Row],[Quantity delivered]]*60/Delivery[[#This Row],[Exchange rate VS USD]]</f>
        <v>7.0575319230860618</v>
      </c>
      <c r="AF929" s="204">
        <f>Delivery[[#This Row],[BEN premium (total)]]/Delivery[[#This Row],[Quantity delivered]]*60/Delivery[[#This Row],[Exchange rate for premiums VS USD]]</f>
        <v>0</v>
      </c>
      <c r="AG929" s="204">
        <f>COUNTIF(Delivery[Delivery ID],Delivery[[#This Row],[Delivery ID]])</f>
        <v>1</v>
      </c>
      <c r="AH929" s="204">
        <f>(Delivery[[#This Row],[Nespresso total]]/SUMIF(Allocation!C:C,Delivery[Delivery ID],Allocation!H:H))/Delivery[[#This Row],[Exchange rate VS USD]]</f>
        <v>4.3773051702143091</v>
      </c>
      <c r="AI929" s="204">
        <f>(Delivery[[#This Row],[AAA Premium (total)]]/SUMIF(Allocation!C:C,Delivery[Delivery ID],Allocation!H:H))/Delivery[[#This Row],[Exchange rate VS USD]]</f>
        <v>0.29409511351476986</v>
      </c>
      <c r="AJ929" s="204">
        <f>Delivery[[#This Row],[Valor Prêmio Nespresso AAA por Kg (em US$)]]*60</f>
        <v>17.645706810886193</v>
      </c>
      <c r="AK929" s="204">
        <f>Delivery[[#This Row],[Valor Prêmio Nespresso AAA por saca (em US$)]]/1.3228/100</f>
        <v>0.13339663449415023</v>
      </c>
      <c r="AL929" s="204">
        <f>(Delivery[[#This Row],[BEN premium (total)]]/SUMIF(Allocation!C:C,Delivery[Delivery ID],Allocation!H:H))/Delivery[[#This Row],[Exchange rate for premiums VS USD]]</f>
        <v>0</v>
      </c>
      <c r="AM929" s="204">
        <f>Delivery[[#This Row],[Valor Prêmio Nespresso BEN por Kg (em US$)]]*60</f>
        <v>0</v>
      </c>
      <c r="AN929" s="204">
        <f>Delivery[[#This Row],[Valor Prêmio Nespresso BEN por saca (em US$)]]/1.3228/100</f>
        <v>0</v>
      </c>
      <c r="AO929" s="204">
        <f>SUMIF(Allocation[Delivery ID],Delivery[[#This Row],[Delivery ID]],Allocation[Quantity allocated])*16*1.3228*Delivery[[#This Row],[Exchange rate VS USD]]/60</f>
        <v>2744.1052121600001</v>
      </c>
      <c r="AP929" s="204">
        <f>Delivery[[#This Row],[AAA Premium (total)]]</f>
        <v>2287.84</v>
      </c>
      <c r="AQ929" s="204">
        <f>Delivery[[#This Row],[Valor pago pelo Cluster]]-Delivery[[#This Row],[Valor efetivamente pago pela Nespresso]]</f>
        <v>-456.26521215999992</v>
      </c>
    </row>
    <row r="930" spans="1:43" ht="15.75">
      <c r="A930" s="174" t="s">
        <v>69</v>
      </c>
      <c r="B930" s="232" t="s">
        <v>68</v>
      </c>
      <c r="C930" s="157">
        <v>1</v>
      </c>
      <c r="D930" s="157" t="s">
        <v>468</v>
      </c>
      <c r="E930" s="177" t="s">
        <v>468</v>
      </c>
      <c r="F930" s="233" t="s">
        <v>543</v>
      </c>
      <c r="G930" s="234">
        <v>43348</v>
      </c>
      <c r="H930" s="157" t="s">
        <v>1065</v>
      </c>
      <c r="I930" s="157" t="s">
        <v>1066</v>
      </c>
      <c r="J930" s="237">
        <v>8479</v>
      </c>
      <c r="K930" s="175" t="s">
        <v>61</v>
      </c>
      <c r="L930" s="175" t="s">
        <v>439</v>
      </c>
      <c r="M930" s="175" t="s">
        <v>1343</v>
      </c>
      <c r="N930" s="198"/>
      <c r="O930" s="199"/>
      <c r="P930" s="181">
        <v>0</v>
      </c>
      <c r="Q930" s="177">
        <v>43342</v>
      </c>
      <c r="R930" s="178">
        <v>428.18394499999999</v>
      </c>
      <c r="S930" s="179">
        <v>57183.004082981512</v>
      </c>
      <c r="T930" s="182" t="s">
        <v>45</v>
      </c>
      <c r="U930" s="183">
        <v>4.1712999999999996</v>
      </c>
      <c r="V930" s="179">
        <v>5881.11</v>
      </c>
      <c r="W930" s="179">
        <v>1602.9429585092439</v>
      </c>
      <c r="X930" s="196" t="s">
        <v>45</v>
      </c>
      <c r="Y930" s="200">
        <v>4.1712999999999996</v>
      </c>
      <c r="Z930" s="220" t="s">
        <v>473</v>
      </c>
      <c r="AA930" s="201">
        <f>Delivery[[#This Row],[Quantity delivered]]*VLOOKUP(Delivery[[#This Row],[Unit]],References!$U:$X,4,FALSE)*VLOOKUP(CONCATENATE(Delivery[[#This Row],[Coffee specie]],Delivery[[#This Row],[Coffee state]]),References!$U:$X,4,FALSE)</f>
        <v>8479</v>
      </c>
      <c r="AB930" s="202">
        <f>SUMIF(Allocation!C:C,Delivery[[#This Row],[Delivery ID]],Allocation!D:D)/Delivery[[#This Row],[Quantity delivered]]</f>
        <v>1</v>
      </c>
      <c r="AC930" s="203">
        <f>Delivery[[#This Row],[Quantity delivered]]*Delivery[[#This Row],[Base price (Unidad)]]/60</f>
        <v>60509.527827583333</v>
      </c>
      <c r="AD930" s="204">
        <f>Delivery[[#This Row],[Nespresso total]]-Delivery[[#This Row],[Qt. Delivery * Base Price]]</f>
        <v>-3326.5237446018218</v>
      </c>
      <c r="AE930" s="204">
        <f>Delivery[[#This Row],[AAA Premium (total)]]/Delivery[[#This Row],[Quantity delivered]]*60/Delivery[[#This Row],[Exchange rate VS USD]]</f>
        <v>9.9768741084904757</v>
      </c>
      <c r="AF930" s="204">
        <f>Delivery[[#This Row],[BEN premium (total)]]/Delivery[[#This Row],[Quantity delivered]]*60/Delivery[[#This Row],[Exchange rate for premiums VS USD]]</f>
        <v>2.7192757999999992</v>
      </c>
      <c r="AG930" s="204">
        <f>COUNTIF(Delivery[Delivery ID],Delivery[[#This Row],[Delivery ID]])</f>
        <v>1</v>
      </c>
      <c r="AH930" s="204">
        <f>(Delivery[[#This Row],[Nespresso total]]/SUMIF(Allocation!C:C,Delivery[Delivery ID],Allocation!H:H))/Delivery[[#This Row],[Exchange rate VS USD]]</f>
        <v>3.9415402332283223</v>
      </c>
      <c r="AI930" s="204">
        <f>(Delivery[[#This Row],[AAA Premium (total)]]/SUMIF(Allocation!C:C,Delivery[Delivery ID],Allocation!H:H))/Delivery[[#This Row],[Exchange rate VS USD]]</f>
        <v>0.40537624863854099</v>
      </c>
      <c r="AJ930" s="204">
        <f>Delivery[[#This Row],[Valor Prêmio Nespresso AAA por Kg (em US$)]]*60</f>
        <v>24.322574918312458</v>
      </c>
      <c r="AK930" s="204">
        <f>Delivery[[#This Row],[Valor Prêmio Nespresso AAA por saca (em US$)]]/1.3228/100</f>
        <v>0.183871899896526</v>
      </c>
      <c r="AL930" s="204">
        <f>(Delivery[[#This Row],[BEN premium (total)]]/SUMIF(Allocation!C:C,Delivery[Delivery ID],Allocation!H:H))/Delivery[[#This Row],[Exchange rate for premiums VS USD]]</f>
        <v>0.11048849678071687</v>
      </c>
      <c r="AM930" s="204">
        <f>Delivery[[#This Row],[Valor Prêmio Nespresso BEN por Kg (em US$)]]*60</f>
        <v>6.6293098068430121</v>
      </c>
      <c r="AN930" s="204">
        <f>Delivery[[#This Row],[Valor Prêmio Nespresso BEN por saca (em US$)]]/1.3228/100</f>
        <v>5.0115737880579173E-2</v>
      </c>
      <c r="AO930" s="204">
        <f>SUMIF(Allocation[Delivery ID],Delivery[[#This Row],[Delivery ID]],Allocation[Quantity allocated])*16*1.3228*Delivery[[#This Row],[Exchange rate VS USD]]/60</f>
        <v>5117.5715295786658</v>
      </c>
      <c r="AP930" s="204">
        <f>Delivery[[#This Row],[AAA Premium (total)]]</f>
        <v>5881.11</v>
      </c>
      <c r="AQ930" s="204">
        <f>Delivery[[#This Row],[Valor pago pelo Cluster]]-Delivery[[#This Row],[Valor efetivamente pago pela Nespresso]]</f>
        <v>763.53847042133384</v>
      </c>
    </row>
    <row r="931" spans="1:43" ht="15.75">
      <c r="A931" s="174" t="s">
        <v>69</v>
      </c>
      <c r="B931" s="232" t="s">
        <v>68</v>
      </c>
      <c r="C931" s="157">
        <v>1</v>
      </c>
      <c r="D931" s="157" t="s">
        <v>468</v>
      </c>
      <c r="E931" s="177" t="s">
        <v>468</v>
      </c>
      <c r="F931" s="233" t="s">
        <v>543</v>
      </c>
      <c r="G931" s="234">
        <v>43347</v>
      </c>
      <c r="H931" s="157" t="s">
        <v>1067</v>
      </c>
      <c r="I931" s="157" t="s">
        <v>1002</v>
      </c>
      <c r="J931" s="237">
        <v>16359</v>
      </c>
      <c r="K931" s="175" t="s">
        <v>61</v>
      </c>
      <c r="L931" s="175" t="s">
        <v>439</v>
      </c>
      <c r="M931" s="175" t="s">
        <v>1343</v>
      </c>
      <c r="N931" s="198"/>
      <c r="O931" s="199"/>
      <c r="P931" s="181">
        <v>0</v>
      </c>
      <c r="Q931" s="177">
        <v>43341</v>
      </c>
      <c r="R931" s="178">
        <v>429.67937499999999</v>
      </c>
      <c r="S931" s="179">
        <v>113867.36</v>
      </c>
      <c r="T931" s="182" t="s">
        <v>45</v>
      </c>
      <c r="U931" s="183">
        <v>4.1375000000000002</v>
      </c>
      <c r="V931" s="179">
        <v>11252.64</v>
      </c>
      <c r="W931" s="179">
        <v>0</v>
      </c>
      <c r="X931" s="196" t="s">
        <v>45</v>
      </c>
      <c r="Y931" s="200">
        <v>4.1375000000000002</v>
      </c>
      <c r="Z931" s="220"/>
      <c r="AA931" s="201">
        <f>Delivery[[#This Row],[Quantity delivered]]*VLOOKUP(Delivery[[#This Row],[Unit]],References!$U:$X,4,FALSE)*VLOOKUP(CONCATENATE(Delivery[[#This Row],[Coffee specie]],Delivery[[#This Row],[Coffee state]]),References!$U:$X,4,FALSE)</f>
        <v>16359</v>
      </c>
      <c r="AB931" s="202">
        <f>SUMIF(Allocation!C:C,Delivery[[#This Row],[Delivery ID]],Allocation!D:D)/Delivery[[#This Row],[Quantity delivered]]</f>
        <v>0.82682315544959961</v>
      </c>
      <c r="AC931" s="203">
        <f>Delivery[[#This Row],[Quantity delivered]]*Delivery[[#This Row],[Base price (Unidad)]]/60</f>
        <v>117152.08159375</v>
      </c>
      <c r="AD931" s="204">
        <f>Delivery[[#This Row],[Nespresso total]]-Delivery[[#This Row],[Qt. Delivery * Base Price]]</f>
        <v>-3284.7215937500005</v>
      </c>
      <c r="AE931" s="204">
        <f>Delivery[[#This Row],[AAA Premium (total)]]/Delivery[[#This Row],[Quantity delivered]]*60/Delivery[[#This Row],[Exchange rate VS USD]]</f>
        <v>9.974954333737962</v>
      </c>
      <c r="AF931" s="204">
        <f>Delivery[[#This Row],[BEN premium (total)]]/Delivery[[#This Row],[Quantity delivered]]*60/Delivery[[#This Row],[Exchange rate for premiums VS USD]]</f>
        <v>0</v>
      </c>
      <c r="AG931" s="204">
        <f>COUNTIF(Delivery[Delivery ID],Delivery[[#This Row],[Delivery ID]])</f>
        <v>1</v>
      </c>
      <c r="AH931" s="204">
        <f>(Delivery[[#This Row],[Nespresso total]]/SUMIF(Allocation!C:C,Delivery[Delivery ID],Allocation!H:H))/Delivery[[#This Row],[Exchange rate VS USD]]</f>
        <v>4.0693201367133138</v>
      </c>
      <c r="AI931" s="204">
        <f>(Delivery[[#This Row],[AAA Premium (total)]]/SUMIF(Allocation!C:C,Delivery[Delivery ID],Allocation!H:H))/Delivery[[#This Row],[Exchange rate VS USD]]</f>
        <v>0.40213977511365595</v>
      </c>
      <c r="AJ931" s="204">
        <f>Delivery[[#This Row],[Valor Prêmio Nespresso AAA por Kg (em US$)]]*60</f>
        <v>24.128386506819357</v>
      </c>
      <c r="AK931" s="204">
        <f>Delivery[[#This Row],[Valor Prêmio Nespresso AAA por saca (em US$)]]/1.3228/100</f>
        <v>0.18240388952841968</v>
      </c>
      <c r="AL931" s="204">
        <f>(Delivery[[#This Row],[BEN premium (total)]]/SUMIF(Allocation!C:C,Delivery[Delivery ID],Allocation!H:H))/Delivery[[#This Row],[Exchange rate for premiums VS USD]]</f>
        <v>0</v>
      </c>
      <c r="AM931" s="204">
        <f>Delivery[[#This Row],[Valor Prêmio Nespresso BEN por Kg (em US$)]]*60</f>
        <v>0</v>
      </c>
      <c r="AN931" s="204">
        <f>Delivery[[#This Row],[Valor Prêmio Nespresso BEN por saca (em US$)]]/1.3228/100</f>
        <v>0</v>
      </c>
      <c r="AO931" s="204">
        <f>SUMIF(Allocation[Delivery ID],Delivery[[#This Row],[Delivery ID]],Allocation[Quantity allocated])*16*1.3228*Delivery[[#This Row],[Exchange rate VS USD]]/60</f>
        <v>9870.5263613333336</v>
      </c>
      <c r="AP931" s="204">
        <f>Delivery[[#This Row],[AAA Premium (total)]]</f>
        <v>11252.64</v>
      </c>
      <c r="AQ931" s="204">
        <f>Delivery[[#This Row],[Valor pago pelo Cluster]]-Delivery[[#This Row],[Valor efetivamente pago pela Nespresso]]</f>
        <v>1382.1136386666658</v>
      </c>
    </row>
    <row r="932" spans="1:43" ht="15.75">
      <c r="A932" s="174" t="s">
        <v>69</v>
      </c>
      <c r="B932" s="232" t="s">
        <v>68</v>
      </c>
      <c r="C932" s="157">
        <v>1</v>
      </c>
      <c r="D932" s="157" t="s">
        <v>468</v>
      </c>
      <c r="E932" s="177" t="s">
        <v>468</v>
      </c>
      <c r="F932" s="233" t="s">
        <v>543</v>
      </c>
      <c r="G932" s="234">
        <v>43346</v>
      </c>
      <c r="H932" s="157" t="s">
        <v>1068</v>
      </c>
      <c r="I932" s="157" t="s">
        <v>672</v>
      </c>
      <c r="J932" s="237">
        <v>29980</v>
      </c>
      <c r="K932" s="175" t="s">
        <v>61</v>
      </c>
      <c r="L932" s="175" t="s">
        <v>439</v>
      </c>
      <c r="M932" s="175" t="s">
        <v>1343</v>
      </c>
      <c r="N932" s="198"/>
      <c r="O932" s="199"/>
      <c r="P932" s="181">
        <v>0</v>
      </c>
      <c r="Q932" s="177">
        <v>43339</v>
      </c>
      <c r="R932" s="178">
        <v>430.86491000000001</v>
      </c>
      <c r="S932" s="179">
        <v>226819.2095295107</v>
      </c>
      <c r="T932" s="182" t="s">
        <v>45</v>
      </c>
      <c r="U932" s="183">
        <v>4.0762999999999998</v>
      </c>
      <c r="V932" s="179">
        <v>14265</v>
      </c>
      <c r="W932" s="179">
        <v>4457.8952352446595</v>
      </c>
      <c r="X932" s="196" t="s">
        <v>45</v>
      </c>
      <c r="Y932" s="200">
        <v>4.0762999999999998</v>
      </c>
      <c r="Z932" s="220" t="s">
        <v>473</v>
      </c>
      <c r="AA932" s="201">
        <f>Delivery[[#This Row],[Quantity delivered]]*VLOOKUP(Delivery[[#This Row],[Unit]],References!$U:$X,4,FALSE)*VLOOKUP(CONCATENATE(Delivery[[#This Row],[Coffee specie]],Delivery[[#This Row],[Coffee state]]),References!$U:$X,4,FALSE)</f>
        <v>29980</v>
      </c>
      <c r="AB932" s="202">
        <f>SUMIF(Allocation!C:C,Delivery[[#This Row],[Delivery ID]],Allocation!D:D)/Delivery[[#This Row],[Quantity delivered]]</f>
        <v>1</v>
      </c>
      <c r="AC932" s="203">
        <f>Delivery[[#This Row],[Quantity delivered]]*Delivery[[#This Row],[Base price (Unidad)]]/60</f>
        <v>215288.83336333334</v>
      </c>
      <c r="AD932" s="204">
        <f>Delivery[[#This Row],[Nespresso total]]-Delivery[[#This Row],[Qt. Delivery * Base Price]]</f>
        <v>11530.376166177361</v>
      </c>
      <c r="AE932" s="204">
        <f>Delivery[[#This Row],[AAA Premium (total)]]/Delivery[[#This Row],[Quantity delivered]]*60/Delivery[[#This Row],[Exchange rate VS USD]]</f>
        <v>7.0036632947670618</v>
      </c>
      <c r="AF932" s="204">
        <f>Delivery[[#This Row],[BEN premium (total)]]/Delivery[[#This Row],[Quantity delivered]]*60/Delivery[[#This Row],[Exchange rate for premiums VS USD]]</f>
        <v>2.1886853999999998</v>
      </c>
      <c r="AG932" s="204">
        <f>COUNTIF(Delivery[Delivery ID],Delivery[[#This Row],[Delivery ID]])</f>
        <v>1</v>
      </c>
      <c r="AH932" s="204">
        <f>(Delivery[[#This Row],[Nespresso total]]/SUMIF(Allocation!C:C,Delivery[Delivery ID],Allocation!H:H))/Delivery[[#This Row],[Exchange rate VS USD]]</f>
        <v>5.6080834955285654</v>
      </c>
      <c r="AI932" s="204">
        <f>(Delivery[[#This Row],[AAA Premium (total)]]/SUMIF(Allocation!C:C,Delivery[Delivery ID],Allocation!H:H))/Delivery[[#This Row],[Exchange rate VS USD]]</f>
        <v>0.35270077534286859</v>
      </c>
      <c r="AJ932" s="204">
        <f>Delivery[[#This Row],[Valor Prêmio Nespresso AAA por Kg (em US$)]]*60</f>
        <v>21.162046520572115</v>
      </c>
      <c r="AK932" s="204">
        <f>Delivery[[#This Row],[Valor Prêmio Nespresso AAA por saca (em US$)]]/1.3228/100</f>
        <v>0.159979184461537</v>
      </c>
      <c r="AL932" s="204">
        <f>(Delivery[[#This Row],[BEN premium (total)]]/SUMIF(Allocation!C:C,Delivery[Delivery ID],Allocation!H:H))/Delivery[[#This Row],[Exchange rate for premiums VS USD]]</f>
        <v>0.11022103791574278</v>
      </c>
      <c r="AM932" s="204">
        <f>Delivery[[#This Row],[Valor Prêmio Nespresso BEN por Kg (em US$)]]*60</f>
        <v>6.6132622749445673</v>
      </c>
      <c r="AN932" s="204">
        <f>Delivery[[#This Row],[Valor Prêmio Nespresso BEN por saca (em US$)]]/1.3228/100</f>
        <v>4.9994423003814389E-2</v>
      </c>
      <c r="AO932" s="204">
        <f>SUMIF(Allocation[Delivery ID],Delivery[[#This Row],[Delivery ID]],Allocation[Quantity allocated])*16*1.3228*Delivery[[#This Row],[Exchange rate VS USD]]/60</f>
        <v>14266.856076821332</v>
      </c>
      <c r="AP932" s="204">
        <f>Delivery[[#This Row],[AAA Premium (total)]]</f>
        <v>14265</v>
      </c>
      <c r="AQ932" s="204">
        <f>Delivery[[#This Row],[Valor pago pelo Cluster]]-Delivery[[#This Row],[Valor efetivamente pago pela Nespresso]]</f>
        <v>-1.8560768213319534</v>
      </c>
    </row>
    <row r="933" spans="1:43" ht="15.75">
      <c r="A933" s="174" t="s">
        <v>69</v>
      </c>
      <c r="B933" s="232" t="s">
        <v>68</v>
      </c>
      <c r="C933" s="157">
        <v>1</v>
      </c>
      <c r="D933" s="157" t="s">
        <v>468</v>
      </c>
      <c r="E933" s="177" t="s">
        <v>468</v>
      </c>
      <c r="F933" s="233" t="s">
        <v>543</v>
      </c>
      <c r="G933" s="234">
        <v>43346</v>
      </c>
      <c r="H933" s="157" t="s">
        <v>1069</v>
      </c>
      <c r="I933" s="157" t="s">
        <v>672</v>
      </c>
      <c r="J933" s="237">
        <v>30620</v>
      </c>
      <c r="K933" s="175" t="s">
        <v>61</v>
      </c>
      <c r="L933" s="175" t="s">
        <v>439</v>
      </c>
      <c r="M933" s="175" t="s">
        <v>1343</v>
      </c>
      <c r="N933" s="198"/>
      <c r="O933" s="199"/>
      <c r="P933" s="181">
        <v>0</v>
      </c>
      <c r="Q933" s="177">
        <v>43339</v>
      </c>
      <c r="R933" s="178">
        <v>430.86491000000001</v>
      </c>
      <c r="S933" s="179">
        <v>231343.57911252894</v>
      </c>
      <c r="T933" s="182" t="s">
        <v>45</v>
      </c>
      <c r="U933" s="183">
        <v>4.0762999999999998</v>
      </c>
      <c r="V933" s="179">
        <v>14550.3</v>
      </c>
      <c r="W933" s="179">
        <v>4553.0604437355396</v>
      </c>
      <c r="X933" s="196" t="s">
        <v>45</v>
      </c>
      <c r="Y933" s="200">
        <v>4.0762999999999998</v>
      </c>
      <c r="Z933" s="220" t="s">
        <v>473</v>
      </c>
      <c r="AA933" s="201">
        <f>Delivery[[#This Row],[Quantity delivered]]*VLOOKUP(Delivery[[#This Row],[Unit]],References!$U:$X,4,FALSE)*VLOOKUP(CONCATENATE(Delivery[[#This Row],[Coffee specie]],Delivery[[#This Row],[Coffee state]]),References!$U:$X,4,FALSE)</f>
        <v>30620</v>
      </c>
      <c r="AB933" s="202">
        <f>SUMIF(Allocation!C:C,Delivery[[#This Row],[Delivery ID]],Allocation!D:D)/Delivery[[#This Row],[Quantity delivered]]</f>
        <v>1</v>
      </c>
      <c r="AC933" s="203">
        <f>Delivery[[#This Row],[Quantity delivered]]*Delivery[[#This Row],[Base price (Unidad)]]/60</f>
        <v>219884.72573666665</v>
      </c>
      <c r="AD933" s="204">
        <f>Delivery[[#This Row],[Nespresso total]]-Delivery[[#This Row],[Qt. Delivery * Base Price]]</f>
        <v>11458.853375862294</v>
      </c>
      <c r="AE933" s="204">
        <f>Delivery[[#This Row],[AAA Premium (total)]]/Delivery[[#This Row],[Quantity delivered]]*60/Delivery[[#This Row],[Exchange rate VS USD]]</f>
        <v>6.9944226678203405</v>
      </c>
      <c r="AF933" s="204">
        <f>Delivery[[#This Row],[BEN premium (total)]]/Delivery[[#This Row],[Quantity delivered]]*60/Delivery[[#This Row],[Exchange rate for premiums VS USD]]</f>
        <v>2.1886853999999998</v>
      </c>
      <c r="AG933" s="204">
        <f>COUNTIF(Delivery[Delivery ID],Delivery[[#This Row],[Delivery ID]])</f>
        <v>1</v>
      </c>
      <c r="AH933" s="204">
        <f>(Delivery[[#This Row],[Nespresso total]]/SUMIF(Allocation!C:C,Delivery[Delivery ID],Allocation!H:H))/Delivery[[#This Row],[Exchange rate VS USD]]</f>
        <v>5.6135830961241453</v>
      </c>
      <c r="AI933" s="204">
        <f>(Delivery[[#This Row],[AAA Premium (total)]]/SUMIF(Allocation!C:C,Delivery[Delivery ID],Allocation!H:H))/Delivery[[#This Row],[Exchange rate VS USD]]</f>
        <v>0.35306498860642738</v>
      </c>
      <c r="AJ933" s="204">
        <f>Delivery[[#This Row],[Valor Prêmio Nespresso AAA por Kg (em US$)]]*60</f>
        <v>21.183899316385641</v>
      </c>
      <c r="AK933" s="204">
        <f>Delivery[[#This Row],[Valor Prêmio Nespresso AAA por saca (em US$)]]/1.3228/100</f>
        <v>0.16014438551848836</v>
      </c>
      <c r="AL933" s="204">
        <f>(Delivery[[#This Row],[BEN premium (total)]]/SUMIF(Allocation!C:C,Delivery[Delivery ID],Allocation!H:H))/Delivery[[#This Row],[Exchange rate for premiums VS USD]]</f>
        <v>0.11048062470820968</v>
      </c>
      <c r="AM933" s="204">
        <f>Delivery[[#This Row],[Valor Prêmio Nespresso BEN por Kg (em US$)]]*60</f>
        <v>6.6288374824925809</v>
      </c>
      <c r="AN933" s="204">
        <f>Delivery[[#This Row],[Valor Prêmio Nespresso BEN por saca (em US$)]]/1.3228/100</f>
        <v>5.0112167239889482E-2</v>
      </c>
      <c r="AO933" s="204">
        <f>SUMIF(Allocation[Delivery ID],Delivery[[#This Row],[Delivery ID]],Allocation[Quantity allocated])*16*1.3228*Delivery[[#This Row],[Exchange rate VS USD]]/60</f>
        <v>14537.181509439999</v>
      </c>
      <c r="AP933" s="204">
        <f>Delivery[[#This Row],[AAA Premium (total)]]</f>
        <v>14550.3</v>
      </c>
      <c r="AQ933" s="204">
        <f>Delivery[[#This Row],[Valor pago pelo Cluster]]-Delivery[[#This Row],[Valor efetivamente pago pela Nespresso]]</f>
        <v>13.118490560000282</v>
      </c>
    </row>
    <row r="934" spans="1:43" ht="15.75">
      <c r="A934" s="174" t="s">
        <v>69</v>
      </c>
      <c r="B934" s="232" t="s">
        <v>68</v>
      </c>
      <c r="C934" s="157">
        <v>1</v>
      </c>
      <c r="D934" s="157" t="s">
        <v>468</v>
      </c>
      <c r="E934" s="177" t="s">
        <v>468</v>
      </c>
      <c r="F934" s="233" t="s">
        <v>543</v>
      </c>
      <c r="G934" s="234">
        <v>43348</v>
      </c>
      <c r="H934" s="157" t="s">
        <v>1070</v>
      </c>
      <c r="I934" s="157" t="s">
        <v>511</v>
      </c>
      <c r="J934" s="237">
        <v>32880</v>
      </c>
      <c r="K934" s="175" t="s">
        <v>61</v>
      </c>
      <c r="L934" s="175" t="s">
        <v>439</v>
      </c>
      <c r="M934" s="175" t="s">
        <v>1343</v>
      </c>
      <c r="N934" s="198"/>
      <c r="O934" s="199"/>
      <c r="P934" s="181">
        <v>0</v>
      </c>
      <c r="Q934" s="177">
        <v>43123</v>
      </c>
      <c r="R934" s="178">
        <v>434.94</v>
      </c>
      <c r="S934" s="179">
        <v>240313.21264528</v>
      </c>
      <c r="T934" s="182" t="s">
        <v>45</v>
      </c>
      <c r="U934" s="183">
        <v>3.3</v>
      </c>
      <c r="V934" s="179">
        <v>12681.9</v>
      </c>
      <c r="W934" s="179">
        <v>3958.0186773599989</v>
      </c>
      <c r="X934" s="196" t="s">
        <v>45</v>
      </c>
      <c r="Y934" s="200">
        <v>3.3</v>
      </c>
      <c r="Z934" s="220" t="s">
        <v>473</v>
      </c>
      <c r="AA934" s="201">
        <f>Delivery[[#This Row],[Quantity delivered]]*VLOOKUP(Delivery[[#This Row],[Unit]],References!$U:$X,4,FALSE)*VLOOKUP(CONCATENATE(Delivery[[#This Row],[Coffee specie]],Delivery[[#This Row],[Coffee state]]),References!$U:$X,4,FALSE)</f>
        <v>32880</v>
      </c>
      <c r="AB934" s="202">
        <f>SUMIF(Allocation!C:C,Delivery[[#This Row],[Delivery ID]],Allocation!D:D)/Delivery[[#This Row],[Quantity delivered]]</f>
        <v>0.81027980535279809</v>
      </c>
      <c r="AC934" s="203">
        <f>Delivery[[#This Row],[Quantity delivered]]*Delivery[[#This Row],[Base price (Unidad)]]/60</f>
        <v>238347.12</v>
      </c>
      <c r="AD934" s="204">
        <f>Delivery[[#This Row],[Nespresso total]]-Delivery[[#This Row],[Qt. Delivery * Base Price]]</f>
        <v>1966.0926452800049</v>
      </c>
      <c r="AE934" s="204">
        <f>Delivery[[#This Row],[AAA Premium (total)]]/Delivery[[#This Row],[Quantity delivered]]*60/Delivery[[#This Row],[Exchange rate VS USD]]</f>
        <v>7.0127737226277373</v>
      </c>
      <c r="AF934" s="204">
        <f>Delivery[[#This Row],[BEN premium (total)]]/Delivery[[#This Row],[Quantity delivered]]*60/Delivery[[#This Row],[Exchange rate for premiums VS USD]]</f>
        <v>2.1886853999999993</v>
      </c>
      <c r="AG934" s="204">
        <f>COUNTIF(Delivery[Delivery ID],Delivery[[#This Row],[Delivery ID]])</f>
        <v>1</v>
      </c>
      <c r="AH934" s="204">
        <f>(Delivery[[#This Row],[Nespresso total]]/SUMIF(Allocation!C:C,Delivery[Delivery ID],Allocation!H:H))/Delivery[[#This Row],[Exchange rate VS USD]]</f>
        <v>8.2827781676620624</v>
      </c>
      <c r="AI934" s="204">
        <f>(Delivery[[#This Row],[AAA Premium (total)]]/SUMIF(Allocation!C:C,Delivery[Delivery ID],Allocation!H:H))/Delivery[[#This Row],[Exchange rate VS USD]]</f>
        <v>0.43710191082802552</v>
      </c>
      <c r="AJ934" s="204">
        <f>Delivery[[#This Row],[Valor Prêmio Nespresso AAA por Kg (em US$)]]*60</f>
        <v>26.226114649681531</v>
      </c>
      <c r="AK934" s="204">
        <f>Delivery[[#This Row],[Valor Prêmio Nespresso AAA por saca (em US$)]]/1.3228/100</f>
        <v>0.19826213070518242</v>
      </c>
      <c r="AL934" s="204">
        <f>(Delivery[[#This Row],[BEN premium (total)]]/SUMIF(Allocation!C:C,Delivery[Delivery ID],Allocation!H:H))/Delivery[[#This Row],[Exchange rate for premiums VS USD]]</f>
        <v>0.13641942666060053</v>
      </c>
      <c r="AM934" s="204">
        <f>Delivery[[#This Row],[Valor Prêmio Nespresso BEN por Kg (em US$)]]*60</f>
        <v>8.1851655996360311</v>
      </c>
      <c r="AN934" s="204">
        <f>Delivery[[#This Row],[Valor Prêmio Nespresso BEN por saca (em US$)]]/1.3228/100</f>
        <v>6.1877574838494341E-2</v>
      </c>
      <c r="AO934" s="204">
        <f>SUMIF(Allocation[Delivery ID],Delivery[[#This Row],[Delivery ID]],Allocation[Quantity allocated])*16*1.3228*Delivery[[#This Row],[Exchange rate VS USD]]/60</f>
        <v>10234.450688000001</v>
      </c>
      <c r="AP934" s="204">
        <f>Delivery[[#This Row],[AAA Premium (total)]]</f>
        <v>12681.9</v>
      </c>
      <c r="AQ934" s="204">
        <f>Delivery[[#This Row],[Valor pago pelo Cluster]]-Delivery[[#This Row],[Valor efetivamente pago pela Nespresso]]</f>
        <v>2447.4493119999988</v>
      </c>
    </row>
    <row r="935" spans="1:43" ht="15.75">
      <c r="A935" s="174" t="s">
        <v>69</v>
      </c>
      <c r="B935" s="232" t="s">
        <v>68</v>
      </c>
      <c r="C935" s="157">
        <v>1</v>
      </c>
      <c r="D935" s="157" t="s">
        <v>468</v>
      </c>
      <c r="E935" s="177" t="s">
        <v>468</v>
      </c>
      <c r="F935" s="233" t="s">
        <v>543</v>
      </c>
      <c r="G935" s="234">
        <v>43354</v>
      </c>
      <c r="H935" s="157" t="s">
        <v>1071</v>
      </c>
      <c r="I935" s="157" t="s">
        <v>572</v>
      </c>
      <c r="J935" s="237">
        <v>31243</v>
      </c>
      <c r="K935" s="175" t="s">
        <v>61</v>
      </c>
      <c r="L935" s="175" t="s">
        <v>439</v>
      </c>
      <c r="M935" s="175" t="s">
        <v>1343</v>
      </c>
      <c r="N935" s="198"/>
      <c r="O935" s="199"/>
      <c r="P935" s="181">
        <v>0</v>
      </c>
      <c r="Q935" s="177">
        <v>43347</v>
      </c>
      <c r="R935" s="178">
        <v>421.66677999999996</v>
      </c>
      <c r="S935" s="179">
        <v>209520.37</v>
      </c>
      <c r="T935" s="182" t="s">
        <v>45</v>
      </c>
      <c r="U935" s="183">
        <v>4.1563999999999997</v>
      </c>
      <c r="V935" s="179">
        <v>15176.73</v>
      </c>
      <c r="W935" s="179">
        <v>0</v>
      </c>
      <c r="X935" s="196" t="s">
        <v>45</v>
      </c>
      <c r="Y935" s="200">
        <v>4.1563999999999997</v>
      </c>
      <c r="Z935" s="220"/>
      <c r="AA935" s="201">
        <f>Delivery[[#This Row],[Quantity delivered]]*VLOOKUP(Delivery[[#This Row],[Unit]],References!$U:$X,4,FALSE)*VLOOKUP(CONCATENATE(Delivery[[#This Row],[Coffee specie]],Delivery[[#This Row],[Coffee state]]),References!$U:$X,4,FALSE)</f>
        <v>31243</v>
      </c>
      <c r="AB935" s="202">
        <f>SUMIF(Allocation!C:C,Delivery[[#This Row],[Delivery ID]],Allocation!D:D)/Delivery[[#This Row],[Quantity delivered]]</f>
        <v>1</v>
      </c>
      <c r="AC935" s="203">
        <f>Delivery[[#This Row],[Quantity delivered]]*Delivery[[#This Row],[Base price (Unidad)]]/60</f>
        <v>219568.92012566663</v>
      </c>
      <c r="AD935" s="204">
        <f>Delivery[[#This Row],[Nespresso total]]-Delivery[[#This Row],[Qt. Delivery * Base Price]]</f>
        <v>-10048.550125666632</v>
      </c>
      <c r="AE935" s="204">
        <f>Delivery[[#This Row],[AAA Premium (total)]]/Delivery[[#This Row],[Quantity delivered]]*60/Delivery[[#This Row],[Exchange rate VS USD]]</f>
        <v>7.0122823285681326</v>
      </c>
      <c r="AF935" s="204">
        <f>Delivery[[#This Row],[BEN premium (total)]]/Delivery[[#This Row],[Quantity delivered]]*60/Delivery[[#This Row],[Exchange rate for premiums VS USD]]</f>
        <v>0</v>
      </c>
      <c r="AG935" s="204">
        <f>COUNTIF(Delivery[Delivery ID],Delivery[[#This Row],[Delivery ID]])</f>
        <v>1</v>
      </c>
      <c r="AH935" s="204">
        <f>(Delivery[[#This Row],[Nespresso total]]/SUMIF(Allocation!C:C,Delivery[Delivery ID],Allocation!H:H))/Delivery[[#This Row],[Exchange rate VS USD]]</f>
        <v>5.0474713942676539</v>
      </c>
      <c r="AI935" s="204">
        <f>(Delivery[[#This Row],[AAA Premium (total)]]/SUMIF(Allocation!C:C,Delivery[Delivery ID],Allocation!H:H))/Delivery[[#This Row],[Exchange rate VS USD]]</f>
        <v>0.36561652947407325</v>
      </c>
      <c r="AJ935" s="204">
        <f>Delivery[[#This Row],[Valor Prêmio Nespresso AAA por Kg (em US$)]]*60</f>
        <v>21.936991768444393</v>
      </c>
      <c r="AK935" s="204">
        <f>Delivery[[#This Row],[Valor Prêmio Nespresso AAA por saca (em US$)]]/1.3228/100</f>
        <v>0.16583755494741756</v>
      </c>
      <c r="AL935" s="204">
        <f>(Delivery[[#This Row],[BEN premium (total)]]/SUMIF(Allocation!C:C,Delivery[Delivery ID],Allocation!H:H))/Delivery[[#This Row],[Exchange rate for premiums VS USD]]</f>
        <v>0</v>
      </c>
      <c r="AM935" s="204">
        <f>Delivery[[#This Row],[Valor Prêmio Nespresso BEN por Kg (em US$)]]*60</f>
        <v>0</v>
      </c>
      <c r="AN935" s="204">
        <f>Delivery[[#This Row],[Valor Prêmio Nespresso BEN por saca (em US$)]]/1.3228/100</f>
        <v>0</v>
      </c>
      <c r="AO935" s="204">
        <f>SUMIF(Allocation[Delivery ID],Delivery[[#This Row],[Delivery ID]],Allocation[Quantity allocated])*16*1.3228*Delivery[[#This Row],[Exchange rate VS USD]]/60</f>
        <v>14642.502422143998</v>
      </c>
      <c r="AP935" s="204">
        <f>Delivery[[#This Row],[AAA Premium (total)]]</f>
        <v>15176.73</v>
      </c>
      <c r="AQ935" s="204">
        <f>Delivery[[#This Row],[Valor pago pelo Cluster]]-Delivery[[#This Row],[Valor efetivamente pago pela Nespresso]]</f>
        <v>534.22757785600152</v>
      </c>
    </row>
    <row r="936" spans="1:43" ht="15.75">
      <c r="A936" s="174" t="s">
        <v>69</v>
      </c>
      <c r="B936" s="232" t="s">
        <v>68</v>
      </c>
      <c r="C936" s="157">
        <v>1</v>
      </c>
      <c r="D936" s="157" t="s">
        <v>468</v>
      </c>
      <c r="E936" s="177" t="s">
        <v>468</v>
      </c>
      <c r="F936" s="233" t="s">
        <v>543</v>
      </c>
      <c r="G936" s="234">
        <v>43354</v>
      </c>
      <c r="H936" s="157" t="s">
        <v>1072</v>
      </c>
      <c r="I936" s="157" t="s">
        <v>572</v>
      </c>
      <c r="J936" s="237">
        <v>30040</v>
      </c>
      <c r="K936" s="175" t="s">
        <v>61</v>
      </c>
      <c r="L936" s="175" t="s">
        <v>439</v>
      </c>
      <c r="M936" s="175" t="s">
        <v>1343</v>
      </c>
      <c r="N936" s="198"/>
      <c r="O936" s="199"/>
      <c r="P936" s="181">
        <v>0</v>
      </c>
      <c r="Q936" s="177">
        <v>43347</v>
      </c>
      <c r="R936" s="178">
        <v>422.03200000000004</v>
      </c>
      <c r="S936" s="179">
        <v>210390</v>
      </c>
      <c r="T936" s="182" t="s">
        <v>45</v>
      </c>
      <c r="U936" s="183">
        <v>4.16</v>
      </c>
      <c r="V936" s="179">
        <v>20800</v>
      </c>
      <c r="W936" s="179">
        <v>0</v>
      </c>
      <c r="X936" s="196" t="s">
        <v>45</v>
      </c>
      <c r="Y936" s="200">
        <v>4.16</v>
      </c>
      <c r="Z936" s="220"/>
      <c r="AA936" s="201">
        <f>Delivery[[#This Row],[Quantity delivered]]*VLOOKUP(Delivery[[#This Row],[Unit]],References!$U:$X,4,FALSE)*VLOOKUP(CONCATENATE(Delivery[[#This Row],[Coffee specie]],Delivery[[#This Row],[Coffee state]]),References!$U:$X,4,FALSE)</f>
        <v>30040</v>
      </c>
      <c r="AB936" s="202">
        <f>SUMIF(Allocation!C:C,Delivery[[#This Row],[Delivery ID]],Allocation!D:D)/Delivery[[#This Row],[Quantity delivered]]</f>
        <v>1</v>
      </c>
      <c r="AC936" s="203">
        <f>Delivery[[#This Row],[Quantity delivered]]*Delivery[[#This Row],[Base price (Unidad)]]/60</f>
        <v>211297.35466666668</v>
      </c>
      <c r="AD936" s="204">
        <f>Delivery[[#This Row],[Nespresso total]]-Delivery[[#This Row],[Qt. Delivery * Base Price]]</f>
        <v>-907.35466666668071</v>
      </c>
      <c r="AE936" s="204">
        <f>Delivery[[#This Row],[AAA Premium (total)]]/Delivery[[#This Row],[Quantity delivered]]*60/Delivery[[#This Row],[Exchange rate VS USD]]</f>
        <v>9.9866844207723027</v>
      </c>
      <c r="AF936" s="204">
        <f>Delivery[[#This Row],[BEN premium (total)]]/Delivery[[#This Row],[Quantity delivered]]*60/Delivery[[#This Row],[Exchange rate for premiums VS USD]]</f>
        <v>0</v>
      </c>
      <c r="AG936" s="204">
        <f>COUNTIF(Delivery[Delivery ID],Delivery[[#This Row],[Delivery ID]])</f>
        <v>1</v>
      </c>
      <c r="AH936" s="204">
        <f>(Delivery[[#This Row],[Nespresso total]]/SUMIF(Allocation!C:C,Delivery[Delivery ID],Allocation!H:H))/Delivery[[#This Row],[Exchange rate VS USD]]</f>
        <v>3.7838185867701055</v>
      </c>
      <c r="AI936" s="204">
        <f>(Delivery[[#This Row],[AAA Premium (total)]]/SUMIF(Allocation!C:C,Delivery[Delivery ID],Allocation!H:H))/Delivery[[#This Row],[Exchange rate VS USD]]</f>
        <v>0.37408349543618136</v>
      </c>
      <c r="AJ936" s="204">
        <f>Delivery[[#This Row],[Valor Prêmio Nespresso AAA por Kg (em US$)]]*60</f>
        <v>22.445009726170881</v>
      </c>
      <c r="AK936" s="204">
        <f>Delivery[[#This Row],[Valor Prêmio Nespresso AAA por saca (em US$)]]/1.3228/100</f>
        <v>0.16967802937837073</v>
      </c>
      <c r="AL936" s="204">
        <f>(Delivery[[#This Row],[BEN premium (total)]]/SUMIF(Allocation!C:C,Delivery[Delivery ID],Allocation!H:H))/Delivery[[#This Row],[Exchange rate for premiums VS USD]]</f>
        <v>0</v>
      </c>
      <c r="AM936" s="204">
        <f>Delivery[[#This Row],[Valor Prêmio Nespresso BEN por Kg (em US$)]]*60</f>
        <v>0</v>
      </c>
      <c r="AN936" s="204">
        <f>Delivery[[#This Row],[Valor Prêmio Nespresso BEN por saca (em US$)]]/1.3228/100</f>
        <v>0</v>
      </c>
      <c r="AO936" s="204">
        <f>SUMIF(Allocation[Delivery ID],Delivery[[#This Row],[Delivery ID]],Allocation[Quantity allocated])*16*1.3228*Delivery[[#This Row],[Exchange rate VS USD]]/60</f>
        <v>19613.617698133334</v>
      </c>
      <c r="AP936" s="204">
        <f>Delivery[[#This Row],[AAA Premium (total)]]</f>
        <v>20800</v>
      </c>
      <c r="AQ936" s="204">
        <f>Delivery[[#This Row],[Valor pago pelo Cluster]]-Delivery[[#This Row],[Valor efetivamente pago pela Nespresso]]</f>
        <v>1186.3823018666662</v>
      </c>
    </row>
    <row r="937" spans="1:43" ht="15.75">
      <c r="A937" s="174" t="s">
        <v>69</v>
      </c>
      <c r="B937" s="232" t="s">
        <v>68</v>
      </c>
      <c r="C937" s="157">
        <v>1</v>
      </c>
      <c r="D937" s="157" t="s">
        <v>468</v>
      </c>
      <c r="E937" s="177" t="s">
        <v>468</v>
      </c>
      <c r="F937" s="233" t="s">
        <v>543</v>
      </c>
      <c r="G937" s="234">
        <v>43354</v>
      </c>
      <c r="H937" s="157" t="s">
        <v>1073</v>
      </c>
      <c r="I937" s="157" t="s">
        <v>572</v>
      </c>
      <c r="J937" s="237">
        <v>30150</v>
      </c>
      <c r="K937" s="175" t="s">
        <v>61</v>
      </c>
      <c r="L937" s="175" t="s">
        <v>439</v>
      </c>
      <c r="M937" s="175" t="s">
        <v>1343</v>
      </c>
      <c r="N937" s="198"/>
      <c r="O937" s="199"/>
      <c r="P937" s="181">
        <v>0</v>
      </c>
      <c r="Q937" s="177">
        <v>43347</v>
      </c>
      <c r="R937" s="178">
        <v>422.03200000000004</v>
      </c>
      <c r="S937" s="179">
        <v>210390</v>
      </c>
      <c r="T937" s="182" t="s">
        <v>45</v>
      </c>
      <c r="U937" s="183">
        <v>4.16</v>
      </c>
      <c r="V937" s="179">
        <v>20800</v>
      </c>
      <c r="W937" s="179">
        <v>0</v>
      </c>
      <c r="X937" s="196" t="s">
        <v>45</v>
      </c>
      <c r="Y937" s="200">
        <v>4.16</v>
      </c>
      <c r="Z937" s="220"/>
      <c r="AA937" s="201">
        <f>Delivery[[#This Row],[Quantity delivered]]*VLOOKUP(Delivery[[#This Row],[Unit]],References!$U:$X,4,FALSE)*VLOOKUP(CONCATENATE(Delivery[[#This Row],[Coffee specie]],Delivery[[#This Row],[Coffee state]]),References!$U:$X,4,FALSE)</f>
        <v>30150</v>
      </c>
      <c r="AB937" s="202">
        <f>SUMIF(Allocation!C:C,Delivery[[#This Row],[Delivery ID]],Allocation!D:D)/Delivery[[#This Row],[Quantity delivered]]</f>
        <v>1</v>
      </c>
      <c r="AC937" s="203">
        <f>Delivery[[#This Row],[Quantity delivered]]*Delivery[[#This Row],[Base price (Unidad)]]/60</f>
        <v>212071.08000000002</v>
      </c>
      <c r="AD937" s="204">
        <f>Delivery[[#This Row],[Nespresso total]]-Delivery[[#This Row],[Qt. Delivery * Base Price]]</f>
        <v>-1681.0800000000163</v>
      </c>
      <c r="AE937" s="204">
        <f>Delivery[[#This Row],[AAA Premium (total)]]/Delivery[[#This Row],[Quantity delivered]]*60/Delivery[[#This Row],[Exchange rate VS USD]]</f>
        <v>9.9502487562189046</v>
      </c>
      <c r="AF937" s="204">
        <f>Delivery[[#This Row],[BEN premium (total)]]/Delivery[[#This Row],[Quantity delivered]]*60/Delivery[[#This Row],[Exchange rate for premiums VS USD]]</f>
        <v>0</v>
      </c>
      <c r="AG937" s="204">
        <f>COUNTIF(Delivery[Delivery ID],Delivery[[#This Row],[Delivery ID]])</f>
        <v>1</v>
      </c>
      <c r="AH937" s="204">
        <f>(Delivery[[#This Row],[Nespresso total]]/SUMIF(Allocation!C:C,Delivery[Delivery ID],Allocation!H:H))/Delivery[[#This Row],[Exchange rate VS USD]]</f>
        <v>3.7832524858444962</v>
      </c>
      <c r="AI937" s="204">
        <f>(Delivery[[#This Row],[AAA Premium (total)]]/SUMIF(Allocation!C:C,Delivery[Delivery ID],Allocation!H:H))/Delivery[[#This Row],[Exchange rate VS USD]]</f>
        <v>0.37402752842609216</v>
      </c>
      <c r="AJ937" s="204">
        <f>Delivery[[#This Row],[Valor Prêmio Nespresso AAA por Kg (em US$)]]*60</f>
        <v>22.44165170556553</v>
      </c>
      <c r="AK937" s="204">
        <f>Delivery[[#This Row],[Valor Prêmio Nespresso AAA por saca (em US$)]]/1.3228/100</f>
        <v>0.16965264367678809</v>
      </c>
      <c r="AL937" s="204">
        <f>(Delivery[[#This Row],[BEN premium (total)]]/SUMIF(Allocation!C:C,Delivery[Delivery ID],Allocation!H:H))/Delivery[[#This Row],[Exchange rate for premiums VS USD]]</f>
        <v>0</v>
      </c>
      <c r="AM937" s="204">
        <f>Delivery[[#This Row],[Valor Prêmio Nespresso BEN por Kg (em US$)]]*60</f>
        <v>0</v>
      </c>
      <c r="AN937" s="204">
        <f>Delivery[[#This Row],[Valor Prêmio Nespresso BEN por saca (em US$)]]/1.3228/100</f>
        <v>0</v>
      </c>
      <c r="AO937" s="204">
        <f>SUMIF(Allocation[Delivery ID],Delivery[[#This Row],[Delivery ID]],Allocation[Quantity allocated])*16*1.3228*Delivery[[#This Row],[Exchange rate VS USD]]/60</f>
        <v>19616.552550400003</v>
      </c>
      <c r="AP937" s="204">
        <f>Delivery[[#This Row],[AAA Premium (total)]]</f>
        <v>20800</v>
      </c>
      <c r="AQ937" s="204">
        <f>Delivery[[#This Row],[Valor pago pelo Cluster]]-Delivery[[#This Row],[Valor efetivamente pago pela Nespresso]]</f>
        <v>1183.4474495999966</v>
      </c>
    </row>
    <row r="938" spans="1:43" ht="15.75">
      <c r="A938" s="174" t="s">
        <v>69</v>
      </c>
      <c r="B938" s="232" t="s">
        <v>68</v>
      </c>
      <c r="C938" s="157">
        <v>1</v>
      </c>
      <c r="D938" s="157" t="s">
        <v>468</v>
      </c>
      <c r="E938" s="177" t="s">
        <v>468</v>
      </c>
      <c r="F938" s="233" t="s">
        <v>543</v>
      </c>
      <c r="G938" s="234">
        <v>43353</v>
      </c>
      <c r="H938" s="157" t="s">
        <v>1296</v>
      </c>
      <c r="I938" s="157" t="s">
        <v>741</v>
      </c>
      <c r="J938" s="237">
        <v>31820</v>
      </c>
      <c r="K938" s="175" t="s">
        <v>61</v>
      </c>
      <c r="L938" s="175" t="s">
        <v>439</v>
      </c>
      <c r="M938" s="175" t="s">
        <v>1343</v>
      </c>
      <c r="N938" s="198"/>
      <c r="O938" s="199"/>
      <c r="P938" s="181">
        <v>0</v>
      </c>
      <c r="Q938" s="177">
        <v>43228</v>
      </c>
      <c r="R938" s="178">
        <v>459.553</v>
      </c>
      <c r="S938" s="179">
        <v>243226.51901216403</v>
      </c>
      <c r="T938" s="182" t="s">
        <v>45</v>
      </c>
      <c r="U938" s="183">
        <v>3.61</v>
      </c>
      <c r="V938" s="179">
        <v>13393.1</v>
      </c>
      <c r="W938" s="179">
        <v>4190.2454939179997</v>
      </c>
      <c r="X938" s="196" t="s">
        <v>45</v>
      </c>
      <c r="Y938" s="200">
        <v>3.61</v>
      </c>
      <c r="Z938" s="220" t="s">
        <v>473</v>
      </c>
      <c r="AA938" s="201">
        <f>Delivery[[#This Row],[Quantity delivered]]*VLOOKUP(Delivery[[#This Row],[Unit]],References!$U:$X,4,FALSE)*VLOOKUP(CONCATENATE(Delivery[[#This Row],[Coffee specie]],Delivery[[#This Row],[Coffee state]]),References!$U:$X,4,FALSE)</f>
        <v>31820</v>
      </c>
      <c r="AB938" s="202">
        <f>SUMIF(Allocation!C:C,Delivery[[#This Row],[Delivery ID]],Allocation!D:D)/Delivery[[#This Row],[Quantity delivered]]</f>
        <v>1</v>
      </c>
      <c r="AC938" s="203">
        <f>Delivery[[#This Row],[Quantity delivered]]*Delivery[[#This Row],[Base price (Unidad)]]/60</f>
        <v>243716.27433333331</v>
      </c>
      <c r="AD938" s="204">
        <f>Delivery[[#This Row],[Nespresso total]]-Delivery[[#This Row],[Qt. Delivery * Base Price]]</f>
        <v>-489.75532116927207</v>
      </c>
      <c r="AE938" s="204">
        <f>Delivery[[#This Row],[AAA Premium (total)]]/Delivery[[#This Row],[Quantity delivered]]*60/Delivery[[#This Row],[Exchange rate VS USD]]</f>
        <v>6.9956002514142055</v>
      </c>
      <c r="AF938" s="204">
        <f>Delivery[[#This Row],[BEN premium (total)]]/Delivery[[#This Row],[Quantity delivered]]*60/Delivery[[#This Row],[Exchange rate for premiums VS USD]]</f>
        <v>2.1886853999999998</v>
      </c>
      <c r="AG938" s="204">
        <f>COUNTIF(Delivery[Delivery ID],Delivery[[#This Row],[Delivery ID]])</f>
        <v>1</v>
      </c>
      <c r="AH938" s="204">
        <f>(Delivery[[#This Row],[Nespresso total]]/SUMIF(Allocation!C:C,Delivery[Delivery ID],Allocation!H:H))/Delivery[[#This Row],[Exchange rate VS USD]]</f>
        <v>6.4155177146620277</v>
      </c>
      <c r="AI938" s="204">
        <f>(Delivery[[#This Row],[AAA Premium (total)]]/SUMIF(Allocation!C:C,Delivery[Delivery ID],Allocation!H:H))/Delivery[[#This Row],[Exchange rate VS USD]]</f>
        <v>0.35326604456294042</v>
      </c>
      <c r="AJ938" s="204">
        <f>Delivery[[#This Row],[Valor Prêmio Nespresso AAA por Kg (em US$)]]*60</f>
        <v>21.195962673776425</v>
      </c>
      <c r="AK938" s="204">
        <f>Delivery[[#This Row],[Valor Prêmio Nespresso AAA por saca (em US$)]]/1.3228/100</f>
        <v>0.16023558114436365</v>
      </c>
      <c r="AL938" s="204">
        <f>(Delivery[[#This Row],[BEN premium (total)]]/SUMIF(Allocation!C:C,Delivery[Delivery ID],Allocation!H:H))/Delivery[[#This Row],[Exchange rate for premiums VS USD]]</f>
        <v>0.11052493085126643</v>
      </c>
      <c r="AM938" s="204">
        <f>Delivery[[#This Row],[Valor Prêmio Nespresso BEN por Kg (em US$)]]*60</f>
        <v>6.6314958510759858</v>
      </c>
      <c r="AN938" s="204">
        <f>Delivery[[#This Row],[Valor Prêmio Nespresso BEN por saca (em US$)]]/1.3228/100</f>
        <v>5.0132263766827834E-2</v>
      </c>
      <c r="AO938" s="204">
        <f>SUMIF(Allocation[Delivery ID],Delivery[[#This Row],[Delivery ID]],Allocation[Quantity allocated])*16*1.3228*Delivery[[#This Row],[Exchange rate VS USD]]/60</f>
        <v>13373.409230933332</v>
      </c>
      <c r="AP938" s="204">
        <f>Delivery[[#This Row],[AAA Premium (total)]]</f>
        <v>13393.1</v>
      </c>
      <c r="AQ938" s="204">
        <f>Delivery[[#This Row],[Valor pago pelo Cluster]]-Delivery[[#This Row],[Valor efetivamente pago pela Nespresso]]</f>
        <v>19.690769066668508</v>
      </c>
    </row>
    <row r="939" spans="1:43" ht="15.75">
      <c r="A939" s="174" t="s">
        <v>69</v>
      </c>
      <c r="B939" s="232" t="s">
        <v>68</v>
      </c>
      <c r="C939" s="157">
        <v>1</v>
      </c>
      <c r="D939" s="157" t="s">
        <v>468</v>
      </c>
      <c r="E939" s="177" t="s">
        <v>468</v>
      </c>
      <c r="F939" s="233" t="s">
        <v>543</v>
      </c>
      <c r="G939" s="234">
        <v>43353</v>
      </c>
      <c r="H939" s="157" t="s">
        <v>1297</v>
      </c>
      <c r="I939" s="157" t="s">
        <v>741</v>
      </c>
      <c r="J939" s="237">
        <v>13180</v>
      </c>
      <c r="K939" s="175" t="s">
        <v>61</v>
      </c>
      <c r="L939" s="175" t="s">
        <v>439</v>
      </c>
      <c r="M939" s="175" t="s">
        <v>1343</v>
      </c>
      <c r="N939" s="198"/>
      <c r="O939" s="199"/>
      <c r="P939" s="181">
        <v>0</v>
      </c>
      <c r="Q939" s="177">
        <v>43228</v>
      </c>
      <c r="R939" s="178">
        <v>459.553</v>
      </c>
      <c r="S939" s="179">
        <v>100969.39954683599</v>
      </c>
      <c r="T939" s="182" t="s">
        <v>45</v>
      </c>
      <c r="U939" s="183">
        <v>3.61</v>
      </c>
      <c r="V939" s="179">
        <v>5559.4</v>
      </c>
      <c r="W939" s="179">
        <v>1735.620226582</v>
      </c>
      <c r="X939" s="196" t="s">
        <v>45</v>
      </c>
      <c r="Y939" s="200">
        <v>3.61</v>
      </c>
      <c r="Z939" s="220" t="s">
        <v>473</v>
      </c>
      <c r="AA939" s="201">
        <f>Delivery[[#This Row],[Quantity delivered]]*VLOOKUP(Delivery[[#This Row],[Unit]],References!$U:$X,4,FALSE)*VLOOKUP(CONCATENATE(Delivery[[#This Row],[Coffee specie]],Delivery[[#This Row],[Coffee state]]),References!$U:$X,4,FALSE)</f>
        <v>13180</v>
      </c>
      <c r="AB939" s="202">
        <f>SUMIF(Allocation!C:C,Delivery[[#This Row],[Delivery ID]],Allocation!D:D)/Delivery[[#This Row],[Quantity delivered]]</f>
        <v>1</v>
      </c>
      <c r="AC939" s="203">
        <f>Delivery[[#This Row],[Quantity delivered]]*Delivery[[#This Row],[Base price (Unidad)]]/60</f>
        <v>100948.47566666667</v>
      </c>
      <c r="AD939" s="204">
        <f>Delivery[[#This Row],[Nespresso total]]-Delivery[[#This Row],[Qt. Delivery * Base Price]]</f>
        <v>20.923880169328186</v>
      </c>
      <c r="AE939" s="204">
        <f>Delivery[[#This Row],[AAA Premium (total)]]/Delivery[[#This Row],[Quantity delivered]]*60/Delivery[[#This Row],[Exchange rate VS USD]]</f>
        <v>7.0106221547799699</v>
      </c>
      <c r="AF939" s="204">
        <f>Delivery[[#This Row],[BEN premium (total)]]/Delivery[[#This Row],[Quantity delivered]]*60/Delivery[[#This Row],[Exchange rate for premiums VS USD]]</f>
        <v>2.1886854000000002</v>
      </c>
      <c r="AG939" s="204">
        <f>COUNTIF(Delivery[Delivery ID],Delivery[[#This Row],[Delivery ID]])</f>
        <v>1</v>
      </c>
      <c r="AH939" s="204">
        <f>(Delivery[[#This Row],[Nespresso total]]/SUMIF(Allocation!C:C,Delivery[Delivery ID],Allocation!H:H))/Delivery[[#This Row],[Exchange rate VS USD]]</f>
        <v>6.3207599447132727</v>
      </c>
      <c r="AI939" s="204">
        <f>(Delivery[[#This Row],[AAA Premium (total)]]/SUMIF(Allocation!C:C,Delivery[Delivery ID],Allocation!H:H))/Delivery[[#This Row],[Exchange rate VS USD]]</f>
        <v>0.34802259887005649</v>
      </c>
      <c r="AJ939" s="204">
        <f>Delivery[[#This Row],[Valor Prêmio Nespresso AAA por Kg (em US$)]]*60</f>
        <v>20.881355932203391</v>
      </c>
      <c r="AK939" s="204">
        <f>Delivery[[#This Row],[Valor Prêmio Nespresso AAA por saca (em US$)]]/1.3228/100</f>
        <v>0.15785724170096305</v>
      </c>
      <c r="AL939" s="204">
        <f>(Delivery[[#This Row],[BEN premium (total)]]/SUMIF(Allocation!C:C,Delivery[Delivery ID],Allocation!H:H))/Delivery[[#This Row],[Exchange rate for premiums VS USD]]</f>
        <v>0.10865112456497175</v>
      </c>
      <c r="AM939" s="204">
        <f>Delivery[[#This Row],[Valor Prêmio Nespresso BEN por Kg (em US$)]]*60</f>
        <v>6.5190674738983052</v>
      </c>
      <c r="AN939" s="204">
        <f>Delivery[[#This Row],[Valor Prêmio Nespresso BEN por saca (em US$)]]/1.3228/100</f>
        <v>4.928233651268752E-2</v>
      </c>
      <c r="AO939" s="204">
        <f>SUMIF(Allocation[Delivery ID],Delivery[[#This Row],[Delivery ID]],Allocation[Quantity allocated])*16*1.3228*Delivery[[#This Row],[Exchange rate VS USD]]/60</f>
        <v>5634.8634400000001</v>
      </c>
      <c r="AP939" s="204">
        <f>Delivery[[#This Row],[AAA Premium (total)]]</f>
        <v>5559.4</v>
      </c>
      <c r="AQ939" s="204">
        <f>Delivery[[#This Row],[Valor pago pelo Cluster]]-Delivery[[#This Row],[Valor efetivamente pago pela Nespresso]]</f>
        <v>-75.463440000000446</v>
      </c>
    </row>
    <row r="940" spans="1:43" ht="15.75">
      <c r="A940" s="174" t="s">
        <v>69</v>
      </c>
      <c r="B940" s="232" t="s">
        <v>68</v>
      </c>
      <c r="C940" s="157">
        <v>1</v>
      </c>
      <c r="D940" s="157" t="s">
        <v>468</v>
      </c>
      <c r="E940" s="177" t="s">
        <v>468</v>
      </c>
      <c r="F940" s="233" t="s">
        <v>543</v>
      </c>
      <c r="G940" s="234">
        <v>43355</v>
      </c>
      <c r="H940" s="157" t="s">
        <v>1074</v>
      </c>
      <c r="I940" s="157" t="s">
        <v>1075</v>
      </c>
      <c r="J940" s="237">
        <v>30070</v>
      </c>
      <c r="K940" s="175" t="s">
        <v>61</v>
      </c>
      <c r="L940" s="175" t="s">
        <v>439</v>
      </c>
      <c r="M940" s="175" t="s">
        <v>1343</v>
      </c>
      <c r="N940" s="198"/>
      <c r="O940" s="199"/>
      <c r="P940" s="181">
        <v>0</v>
      </c>
      <c r="Q940" s="177">
        <v>43348</v>
      </c>
      <c r="R940" s="178">
        <v>426.00788999999997</v>
      </c>
      <c r="S940" s="179">
        <v>213350.85</v>
      </c>
      <c r="T940" s="182" t="s">
        <v>45</v>
      </c>
      <c r="U940" s="183">
        <v>4.1642999999999999</v>
      </c>
      <c r="V940" s="179">
        <v>14604.15</v>
      </c>
      <c r="W940" s="179">
        <v>0</v>
      </c>
      <c r="X940" s="196" t="s">
        <v>45</v>
      </c>
      <c r="Y940" s="200">
        <v>4.1642999999999999</v>
      </c>
      <c r="Z940" s="220"/>
      <c r="AA940" s="201">
        <f>Delivery[[#This Row],[Quantity delivered]]*VLOOKUP(Delivery[[#This Row],[Unit]],References!$U:$X,4,FALSE)*VLOOKUP(CONCATENATE(Delivery[[#This Row],[Coffee specie]],Delivery[[#This Row],[Coffee state]]),References!$U:$X,4,FALSE)</f>
        <v>30070</v>
      </c>
      <c r="AB940" s="202">
        <f>SUMIF(Allocation!C:C,Delivery[[#This Row],[Delivery ID]],Allocation!D:D)/Delivery[[#This Row],[Quantity delivered]]</f>
        <v>1</v>
      </c>
      <c r="AC940" s="203">
        <f>Delivery[[#This Row],[Quantity delivered]]*Delivery[[#This Row],[Base price (Unidad)]]/60</f>
        <v>213500.95420499999</v>
      </c>
      <c r="AD940" s="204">
        <f>Delivery[[#This Row],[Nespresso total]]-Delivery[[#This Row],[Qt. Delivery * Base Price]]</f>
        <v>-150.10420499998145</v>
      </c>
      <c r="AE940" s="204">
        <f>Delivery[[#This Row],[AAA Premium (total)]]/Delivery[[#This Row],[Quantity delivered]]*60/Delivery[[#This Row],[Exchange rate VS USD]]</f>
        <v>6.9976480927831464</v>
      </c>
      <c r="AF940" s="204">
        <f>Delivery[[#This Row],[BEN premium (total)]]/Delivery[[#This Row],[Quantity delivered]]*60/Delivery[[#This Row],[Exchange rate for premiums VS USD]]</f>
        <v>0</v>
      </c>
      <c r="AG940" s="204">
        <f>COUNTIF(Delivery[Delivery ID],Delivery[[#This Row],[Delivery ID]])</f>
        <v>1</v>
      </c>
      <c r="AH940" s="204">
        <f>(Delivery[[#This Row],[Nespresso total]]/SUMIF(Allocation!C:C,Delivery[Delivery ID],Allocation!H:H))/Delivery[[#This Row],[Exchange rate VS USD]]</f>
        <v>5.1615257421887613</v>
      </c>
      <c r="AI940" s="204">
        <f>(Delivery[[#This Row],[AAA Premium (total)]]/SUMIF(Allocation!C:C,Delivery[Delivery ID],Allocation!H:H))/Delivery[[#This Row],[Exchange rate VS USD]]</f>
        <v>0.35331331545098599</v>
      </c>
      <c r="AJ940" s="204">
        <f>Delivery[[#This Row],[Valor Prêmio Nespresso AAA por Kg (em US$)]]*60</f>
        <v>21.198798927059158</v>
      </c>
      <c r="AK940" s="204">
        <f>Delivery[[#This Row],[Valor Prêmio Nespresso AAA por saca (em US$)]]/1.3228/100</f>
        <v>0.16025702243014181</v>
      </c>
      <c r="AL940" s="204">
        <f>(Delivery[[#This Row],[BEN premium (total)]]/SUMIF(Allocation!C:C,Delivery[Delivery ID],Allocation!H:H))/Delivery[[#This Row],[Exchange rate for premiums VS USD]]</f>
        <v>0</v>
      </c>
      <c r="AM940" s="204">
        <f>Delivery[[#This Row],[Valor Prêmio Nespresso BEN por Kg (em US$)]]*60</f>
        <v>0</v>
      </c>
      <c r="AN940" s="204">
        <f>Delivery[[#This Row],[Valor Prêmio Nespresso BEN por saca (em US$)]]/1.3228/100</f>
        <v>0</v>
      </c>
      <c r="AO940" s="204">
        <f>SUMIF(Allocation[Delivery ID],Delivery[[#This Row],[Delivery ID]],Allocation[Quantity allocated])*16*1.3228*Delivery[[#This Row],[Exchange rate VS USD]]/60</f>
        <v>14580.727662143998</v>
      </c>
      <c r="AP940" s="204">
        <f>Delivery[[#This Row],[AAA Premium (total)]]</f>
        <v>14604.15</v>
      </c>
      <c r="AQ940" s="204">
        <f>Delivery[[#This Row],[Valor pago pelo Cluster]]-Delivery[[#This Row],[Valor efetivamente pago pela Nespresso]]</f>
        <v>23.422337856001832</v>
      </c>
    </row>
    <row r="941" spans="1:43" ht="15.75">
      <c r="A941" s="174" t="s">
        <v>69</v>
      </c>
      <c r="B941" s="232" t="s">
        <v>68</v>
      </c>
      <c r="C941" s="157">
        <v>1</v>
      </c>
      <c r="D941" s="157" t="s">
        <v>468</v>
      </c>
      <c r="E941" s="177" t="s">
        <v>468</v>
      </c>
      <c r="F941" s="233" t="s">
        <v>543</v>
      </c>
      <c r="G941" s="234">
        <v>43348</v>
      </c>
      <c r="H941" s="157" t="s">
        <v>1076</v>
      </c>
      <c r="I941" s="157" t="s">
        <v>1002</v>
      </c>
      <c r="J941" s="237">
        <v>12342</v>
      </c>
      <c r="K941" s="175" t="s">
        <v>61</v>
      </c>
      <c r="L941" s="175" t="s">
        <v>439</v>
      </c>
      <c r="M941" s="175" t="s">
        <v>1343</v>
      </c>
      <c r="N941" s="198"/>
      <c r="O941" s="199"/>
      <c r="P941" s="181">
        <v>0</v>
      </c>
      <c r="Q941" s="177">
        <v>43342</v>
      </c>
      <c r="R941" s="178">
        <v>427.26009500000004</v>
      </c>
      <c r="S941" s="179">
        <v>86186.28</v>
      </c>
      <c r="T941" s="182" t="s">
        <v>45</v>
      </c>
      <c r="U941" s="183">
        <v>4.1623000000000001</v>
      </c>
      <c r="V941" s="179">
        <v>8573.7199999999993</v>
      </c>
      <c r="W941" s="179">
        <v>0</v>
      </c>
      <c r="X941" s="196" t="s">
        <v>45</v>
      </c>
      <c r="Y941" s="200">
        <v>4.1623000000000001</v>
      </c>
      <c r="Z941" s="220"/>
      <c r="AA941" s="201">
        <f>Delivery[[#This Row],[Quantity delivered]]*VLOOKUP(Delivery[[#This Row],[Unit]],References!$U:$X,4,FALSE)*VLOOKUP(CONCATENATE(Delivery[[#This Row],[Coffee specie]],Delivery[[#This Row],[Coffee state]]),References!$U:$X,4,FALSE)</f>
        <v>12342</v>
      </c>
      <c r="AB941" s="202">
        <f>SUMIF(Allocation!C:C,Delivery[[#This Row],[Delivery ID]],Allocation!D:D)/Delivery[[#This Row],[Quantity delivered]]</f>
        <v>0.71341759844433639</v>
      </c>
      <c r="AC941" s="203">
        <f>Delivery[[#This Row],[Quantity delivered]]*Delivery[[#This Row],[Base price (Unidad)]]/60</f>
        <v>87887.401541500018</v>
      </c>
      <c r="AD941" s="204">
        <f>Delivery[[#This Row],[Nespresso total]]-Delivery[[#This Row],[Qt. Delivery * Base Price]]</f>
        <v>-1701.1215415000188</v>
      </c>
      <c r="AE941" s="204">
        <f>Delivery[[#This Row],[AAA Premium (total)]]/Delivery[[#This Row],[Quantity delivered]]*60/Delivery[[#This Row],[Exchange rate VS USD]]</f>
        <v>10.013862539608986</v>
      </c>
      <c r="AF941" s="204">
        <f>Delivery[[#This Row],[BEN premium (total)]]/Delivery[[#This Row],[Quantity delivered]]*60/Delivery[[#This Row],[Exchange rate for premiums VS USD]]</f>
        <v>0</v>
      </c>
      <c r="AG941" s="204">
        <f>COUNTIF(Delivery[Delivery ID],Delivery[[#This Row],[Delivery ID]])</f>
        <v>1</v>
      </c>
      <c r="AH941" s="204">
        <f>(Delivery[[#This Row],[Nespresso total]]/SUMIF(Allocation!C:C,Delivery[Delivery ID],Allocation!H:H))/Delivery[[#This Row],[Exchange rate VS USD]]</f>
        <v>4.0545148844871353</v>
      </c>
      <c r="AI941" s="204">
        <f>(Delivery[[#This Row],[AAA Premium (total)]]/SUMIF(Allocation!C:C,Delivery[Delivery ID],Allocation!H:H))/Delivery[[#This Row],[Exchange rate VS USD]]</f>
        <v>0.40333885341640269</v>
      </c>
      <c r="AJ941" s="204">
        <f>Delivery[[#This Row],[Valor Prêmio Nespresso AAA por Kg (em US$)]]*60</f>
        <v>24.20033120498416</v>
      </c>
      <c r="AK941" s="204">
        <f>Delivery[[#This Row],[Valor Prêmio Nespresso AAA por saca (em US$)]]/1.3228/100</f>
        <v>0.18294777143169155</v>
      </c>
      <c r="AL941" s="204">
        <f>(Delivery[[#This Row],[BEN premium (total)]]/SUMIF(Allocation!C:C,Delivery[Delivery ID],Allocation!H:H))/Delivery[[#This Row],[Exchange rate for premiums VS USD]]</f>
        <v>0</v>
      </c>
      <c r="AM941" s="204">
        <f>Delivery[[#This Row],[Valor Prêmio Nespresso BEN por Kg (em US$)]]*60</f>
        <v>0</v>
      </c>
      <c r="AN941" s="204">
        <f>Delivery[[#This Row],[Valor Prêmio Nespresso BEN por saca (em US$)]]/1.3228/100</f>
        <v>0</v>
      </c>
      <c r="AO941" s="204">
        <f>SUMIF(Allocation[Delivery ID],Delivery[[#This Row],[Delivery ID]],Allocation[Quantity allocated])*16*1.3228*Delivery[[#This Row],[Exchange rate VS USD]]/60</f>
        <v>7498.2886605546673</v>
      </c>
      <c r="AP941" s="204">
        <f>Delivery[[#This Row],[AAA Premium (total)]]</f>
        <v>8573.7199999999993</v>
      </c>
      <c r="AQ941" s="204">
        <f>Delivery[[#This Row],[Valor pago pelo Cluster]]-Delivery[[#This Row],[Valor efetivamente pago pela Nespresso]]</f>
        <v>1075.431339445332</v>
      </c>
    </row>
    <row r="942" spans="1:43" ht="15.75">
      <c r="A942" s="174" t="s">
        <v>69</v>
      </c>
      <c r="B942" s="232" t="s">
        <v>68</v>
      </c>
      <c r="C942" s="157">
        <v>1</v>
      </c>
      <c r="D942" s="157" t="s">
        <v>468</v>
      </c>
      <c r="E942" s="177" t="s">
        <v>468</v>
      </c>
      <c r="F942" s="233" t="s">
        <v>543</v>
      </c>
      <c r="G942" s="234">
        <v>43354</v>
      </c>
      <c r="H942" s="157" t="s">
        <v>1077</v>
      </c>
      <c r="I942" s="157" t="s">
        <v>572</v>
      </c>
      <c r="J942" s="237">
        <v>30130</v>
      </c>
      <c r="K942" s="175" t="s">
        <v>61</v>
      </c>
      <c r="L942" s="175" t="s">
        <v>439</v>
      </c>
      <c r="M942" s="175" t="s">
        <v>1343</v>
      </c>
      <c r="N942" s="198"/>
      <c r="O942" s="199"/>
      <c r="P942" s="181">
        <v>0</v>
      </c>
      <c r="Q942" s="177">
        <v>43347</v>
      </c>
      <c r="R942" s="178">
        <v>422.03200000000004</v>
      </c>
      <c r="S942" s="179">
        <v>210390</v>
      </c>
      <c r="T942" s="182" t="s">
        <v>45</v>
      </c>
      <c r="U942" s="183">
        <v>4.16</v>
      </c>
      <c r="V942" s="179">
        <v>20800</v>
      </c>
      <c r="W942" s="179">
        <v>0</v>
      </c>
      <c r="X942" s="196" t="s">
        <v>45</v>
      </c>
      <c r="Y942" s="200">
        <v>4.16</v>
      </c>
      <c r="Z942" s="220"/>
      <c r="AA942" s="201">
        <f>Delivery[[#This Row],[Quantity delivered]]*VLOOKUP(Delivery[[#This Row],[Unit]],References!$U:$X,4,FALSE)*VLOOKUP(CONCATENATE(Delivery[[#This Row],[Coffee specie]],Delivery[[#This Row],[Coffee state]]),References!$U:$X,4,FALSE)</f>
        <v>30130</v>
      </c>
      <c r="AB942" s="202">
        <f>SUMIF(Allocation!C:C,Delivery[[#This Row],[Delivery ID]],Allocation!D:D)/Delivery[[#This Row],[Quantity delivered]]</f>
        <v>1</v>
      </c>
      <c r="AC942" s="203">
        <f>Delivery[[#This Row],[Quantity delivered]]*Delivery[[#This Row],[Base price (Unidad)]]/60</f>
        <v>211930.40266666669</v>
      </c>
      <c r="AD942" s="204">
        <f>Delivery[[#This Row],[Nespresso total]]-Delivery[[#This Row],[Qt. Delivery * Base Price]]</f>
        <v>-1540.4026666666905</v>
      </c>
      <c r="AE942" s="204">
        <f>Delivery[[#This Row],[AAA Premium (total)]]/Delivery[[#This Row],[Quantity delivered]]*60/Delivery[[#This Row],[Exchange rate VS USD]]</f>
        <v>9.9568536342515763</v>
      </c>
      <c r="AF942" s="204">
        <f>Delivery[[#This Row],[BEN premium (total)]]/Delivery[[#This Row],[Quantity delivered]]*60/Delivery[[#This Row],[Exchange rate for premiums VS USD]]</f>
        <v>0</v>
      </c>
      <c r="AG942" s="204">
        <f>COUNTIF(Delivery[Delivery ID],Delivery[[#This Row],[Delivery ID]])</f>
        <v>1</v>
      </c>
      <c r="AH942" s="204">
        <f>(Delivery[[#This Row],[Nespresso total]]/SUMIF(Allocation!C:C,Delivery[Delivery ID],Allocation!H:H))/Delivery[[#This Row],[Exchange rate VS USD]]</f>
        <v>3.7832524858444962</v>
      </c>
      <c r="AI942" s="204">
        <f>(Delivery[[#This Row],[AAA Premium (total)]]/SUMIF(Allocation!C:C,Delivery[Delivery ID],Allocation!H:H))/Delivery[[#This Row],[Exchange rate VS USD]]</f>
        <v>0.37402752842609216</v>
      </c>
      <c r="AJ942" s="204">
        <f>Delivery[[#This Row],[Valor Prêmio Nespresso AAA por Kg (em US$)]]*60</f>
        <v>22.44165170556553</v>
      </c>
      <c r="AK942" s="204">
        <f>Delivery[[#This Row],[Valor Prêmio Nespresso AAA por saca (em US$)]]/1.3228/100</f>
        <v>0.16965264367678809</v>
      </c>
      <c r="AL942" s="204">
        <f>(Delivery[[#This Row],[BEN premium (total)]]/SUMIF(Allocation!C:C,Delivery[Delivery ID],Allocation!H:H))/Delivery[[#This Row],[Exchange rate for premiums VS USD]]</f>
        <v>0</v>
      </c>
      <c r="AM942" s="204">
        <f>Delivery[[#This Row],[Valor Prêmio Nespresso BEN por Kg (em US$)]]*60</f>
        <v>0</v>
      </c>
      <c r="AN942" s="204">
        <f>Delivery[[#This Row],[Valor Prêmio Nespresso BEN por saca (em US$)]]/1.3228/100</f>
        <v>0</v>
      </c>
      <c r="AO942" s="204">
        <f>SUMIF(Allocation[Delivery ID],Delivery[[#This Row],[Delivery ID]],Allocation[Quantity allocated])*16*1.3228*Delivery[[#This Row],[Exchange rate VS USD]]/60</f>
        <v>19616.552550400003</v>
      </c>
      <c r="AP942" s="204">
        <f>Delivery[[#This Row],[AAA Premium (total)]]</f>
        <v>20800</v>
      </c>
      <c r="AQ942" s="204">
        <f>Delivery[[#This Row],[Valor pago pelo Cluster]]-Delivery[[#This Row],[Valor efetivamente pago pela Nespresso]]</f>
        <v>1183.4474495999966</v>
      </c>
    </row>
    <row r="943" spans="1:43" ht="15.75">
      <c r="A943" s="174" t="s">
        <v>69</v>
      </c>
      <c r="B943" s="232" t="s">
        <v>68</v>
      </c>
      <c r="C943" s="157">
        <v>1</v>
      </c>
      <c r="D943" s="157" t="s">
        <v>468</v>
      </c>
      <c r="E943" s="177" t="s">
        <v>468</v>
      </c>
      <c r="F943" s="233" t="s">
        <v>543</v>
      </c>
      <c r="G943" s="234">
        <v>43348</v>
      </c>
      <c r="H943" s="157" t="s">
        <v>1078</v>
      </c>
      <c r="I943" s="157" t="s">
        <v>979</v>
      </c>
      <c r="J943" s="237">
        <v>18130</v>
      </c>
      <c r="K943" s="175" t="s">
        <v>61</v>
      </c>
      <c r="L943" s="175" t="s">
        <v>439</v>
      </c>
      <c r="M943" s="175" t="s">
        <v>1343</v>
      </c>
      <c r="N943" s="198"/>
      <c r="O943" s="199"/>
      <c r="P943" s="181">
        <v>0</v>
      </c>
      <c r="Q943" s="177">
        <v>43342</v>
      </c>
      <c r="R943" s="178">
        <v>423.28076500000009</v>
      </c>
      <c r="S943" s="179">
        <v>129685.85</v>
      </c>
      <c r="T943" s="182" t="s">
        <v>45</v>
      </c>
      <c r="U943" s="183">
        <v>4.1641000000000004</v>
      </c>
      <c r="V943" s="179">
        <v>8771.15</v>
      </c>
      <c r="W943" s="179">
        <v>0</v>
      </c>
      <c r="X943" s="196" t="s">
        <v>45</v>
      </c>
      <c r="Y943" s="200">
        <v>4.1641000000000004</v>
      </c>
      <c r="Z943" s="220"/>
      <c r="AA943" s="201">
        <f>Delivery[[#This Row],[Quantity delivered]]*VLOOKUP(Delivery[[#This Row],[Unit]],References!$U:$X,4,FALSE)*VLOOKUP(CONCATENATE(Delivery[[#This Row],[Coffee specie]],Delivery[[#This Row],[Coffee state]]),References!$U:$X,4,FALSE)</f>
        <v>18130</v>
      </c>
      <c r="AB943" s="202">
        <f>SUMIF(Allocation!C:C,Delivery[[#This Row],[Delivery ID]],Allocation!D:D)/Delivery[[#This Row],[Quantity delivered]]</f>
        <v>1</v>
      </c>
      <c r="AC943" s="203">
        <f>Delivery[[#This Row],[Quantity delivered]]*Delivery[[#This Row],[Base price (Unidad)]]/60</f>
        <v>127901.33782416669</v>
      </c>
      <c r="AD943" s="204">
        <f>Delivery[[#This Row],[Nespresso total]]-Delivery[[#This Row],[Qt. Delivery * Base Price]]</f>
        <v>1784.5121758333116</v>
      </c>
      <c r="AE943" s="204">
        <f>Delivery[[#This Row],[AAA Premium (total)]]/Delivery[[#This Row],[Quantity delivered]]*60/Delivery[[#This Row],[Exchange rate VS USD]]</f>
        <v>6.9708997002495501</v>
      </c>
      <c r="AF943" s="204">
        <f>Delivery[[#This Row],[BEN premium (total)]]/Delivery[[#This Row],[Quantity delivered]]*60/Delivery[[#This Row],[Exchange rate for premiums VS USD]]</f>
        <v>0</v>
      </c>
      <c r="AG943" s="204">
        <f>COUNTIF(Delivery[Delivery ID],Delivery[[#This Row],[Delivery ID]])</f>
        <v>1</v>
      </c>
      <c r="AH943" s="204">
        <f>(Delivery[[#This Row],[Nespresso total]]/SUMIF(Allocation!C:C,Delivery[Delivery ID],Allocation!H:H))/Delivery[[#This Row],[Exchange rate VS USD]]</f>
        <v>4.3944953539948406</v>
      </c>
      <c r="AI943" s="204">
        <f>(Delivery[[#This Row],[AAA Premium (total)]]/SUMIF(Allocation!C:C,Delivery[Delivery ID],Allocation!H:H))/Delivery[[#This Row],[Exchange rate VS USD]]</f>
        <v>0.29721652689319494</v>
      </c>
      <c r="AJ943" s="204">
        <f>Delivery[[#This Row],[Valor Prêmio Nespresso AAA por Kg (em US$)]]*60</f>
        <v>17.832991613591698</v>
      </c>
      <c r="AK943" s="204">
        <f>Delivery[[#This Row],[Valor Prêmio Nespresso AAA por saca (em US$)]]/1.3228/100</f>
        <v>0.13481245550039081</v>
      </c>
      <c r="AL943" s="204">
        <f>(Delivery[[#This Row],[BEN premium (total)]]/SUMIF(Allocation!C:C,Delivery[Delivery ID],Allocation!H:H))/Delivery[[#This Row],[Exchange rate for premiums VS USD]]</f>
        <v>0</v>
      </c>
      <c r="AM943" s="204">
        <f>Delivery[[#This Row],[Valor Prêmio Nespresso BEN por Kg (em US$)]]*60</f>
        <v>0</v>
      </c>
      <c r="AN943" s="204">
        <f>Delivery[[#This Row],[Valor Prêmio Nespresso BEN por saca (em US$)]]/1.3228/100</f>
        <v>0</v>
      </c>
      <c r="AO943" s="204">
        <f>SUMIF(Allocation[Delivery ID],Delivery[[#This Row],[Delivery ID]],Allocation[Quantity allocated])*16*1.3228*Delivery[[#This Row],[Exchange rate VS USD]]/60</f>
        <v>10409.898661002668</v>
      </c>
      <c r="AP943" s="204">
        <f>Delivery[[#This Row],[AAA Premium (total)]]</f>
        <v>8771.15</v>
      </c>
      <c r="AQ943" s="204">
        <f>Delivery[[#This Row],[Valor pago pelo Cluster]]-Delivery[[#This Row],[Valor efetivamente pago pela Nespresso]]</f>
        <v>-1638.7486610026681</v>
      </c>
    </row>
    <row r="944" spans="1:43" ht="15.75">
      <c r="A944" s="174" t="s">
        <v>69</v>
      </c>
      <c r="B944" s="232" t="s">
        <v>68</v>
      </c>
      <c r="C944" s="157">
        <v>1</v>
      </c>
      <c r="D944" s="157" t="s">
        <v>468</v>
      </c>
      <c r="E944" s="177" t="s">
        <v>468</v>
      </c>
      <c r="F944" s="233" t="s">
        <v>543</v>
      </c>
      <c r="G944" s="234">
        <v>43355</v>
      </c>
      <c r="H944" s="157" t="s">
        <v>1079</v>
      </c>
      <c r="I944" s="157" t="s">
        <v>1000</v>
      </c>
      <c r="J944" s="237">
        <v>30010</v>
      </c>
      <c r="K944" s="175" t="s">
        <v>61</v>
      </c>
      <c r="L944" s="175" t="s">
        <v>439</v>
      </c>
      <c r="M944" s="175" t="s">
        <v>1343</v>
      </c>
      <c r="N944" s="198"/>
      <c r="O944" s="199"/>
      <c r="P944" s="181">
        <v>0</v>
      </c>
      <c r="Q944" s="177">
        <v>43348</v>
      </c>
      <c r="R944" s="178">
        <v>427.60910500000006</v>
      </c>
      <c r="S944" s="179">
        <v>207133.68553966342</v>
      </c>
      <c r="T944" s="182" t="s">
        <v>45</v>
      </c>
      <c r="U944" s="183">
        <v>4.1657000000000002</v>
      </c>
      <c r="V944" s="179">
        <v>14575</v>
      </c>
      <c r="W944" s="179">
        <v>4145.6572301683</v>
      </c>
      <c r="X944" s="196" t="s">
        <v>45</v>
      </c>
      <c r="Y944" s="200">
        <v>4.1657000000000002</v>
      </c>
      <c r="Z944" s="220" t="s">
        <v>473</v>
      </c>
      <c r="AA944" s="201">
        <f>Delivery[[#This Row],[Quantity delivered]]*VLOOKUP(Delivery[[#This Row],[Unit]],References!$U:$X,4,FALSE)*VLOOKUP(CONCATENATE(Delivery[[#This Row],[Coffee specie]],Delivery[[#This Row],[Coffee state]]),References!$U:$X,4,FALSE)</f>
        <v>30010</v>
      </c>
      <c r="AB944" s="202">
        <f>SUMIF(Allocation!C:C,Delivery[[#This Row],[Delivery ID]],Allocation!D:D)/Delivery[[#This Row],[Quantity delivered]]</f>
        <v>1</v>
      </c>
      <c r="AC944" s="203">
        <f>Delivery[[#This Row],[Quantity delivered]]*Delivery[[#This Row],[Base price (Unidad)]]/60</f>
        <v>213875.82068416668</v>
      </c>
      <c r="AD944" s="204">
        <f>Delivery[[#This Row],[Nespresso total]]-Delivery[[#This Row],[Qt. Delivery * Base Price]]</f>
        <v>-6742.1351445032633</v>
      </c>
      <c r="AE944" s="204">
        <f>Delivery[[#This Row],[AAA Premium (total)]]/Delivery[[#This Row],[Quantity delivered]]*60/Delivery[[#This Row],[Exchange rate VS USD]]</f>
        <v>6.9952916847451698</v>
      </c>
      <c r="AF944" s="204">
        <f>Delivery[[#This Row],[BEN premium (total)]]/Delivery[[#This Row],[Quantity delivered]]*60/Delivery[[#This Row],[Exchange rate for premiums VS USD]]</f>
        <v>1.989714</v>
      </c>
      <c r="AG944" s="204">
        <f>COUNTIF(Delivery[Delivery ID],Delivery[[#This Row],[Delivery ID]])</f>
        <v>1</v>
      </c>
      <c r="AH944" s="204">
        <f>(Delivery[[#This Row],[Nespresso total]]/SUMIF(Allocation!C:C,Delivery[Delivery ID],Allocation!H:H))/Delivery[[#This Row],[Exchange rate VS USD]]</f>
        <v>5.2982014288177108</v>
      </c>
      <c r="AI944" s="204">
        <f>(Delivery[[#This Row],[AAA Premium (total)]]/SUMIF(Allocation!C:C,Delivery[Delivery ID],Allocation!H:H))/Delivery[[#This Row],[Exchange rate VS USD]]</f>
        <v>0.37280892107832092</v>
      </c>
      <c r="AJ944" s="204">
        <f>Delivery[[#This Row],[Valor Prêmio Nespresso AAA por Kg (em US$)]]*60</f>
        <v>22.368535264699254</v>
      </c>
      <c r="AK944" s="204">
        <f>Delivery[[#This Row],[Valor Prêmio Nespresso AAA por saca (em US$)]]/1.3228/100</f>
        <v>0.16909990372466929</v>
      </c>
      <c r="AL944" s="204">
        <f>(Delivery[[#This Row],[BEN premium (total)]]/SUMIF(Allocation!C:C,Delivery[Delivery ID],Allocation!H:H))/Delivery[[#This Row],[Exchange rate for premiums VS USD]]</f>
        <v>0.10604034299413959</v>
      </c>
      <c r="AM944" s="204">
        <f>Delivery[[#This Row],[Valor Prêmio Nespresso BEN por Kg (em US$)]]*60</f>
        <v>6.3624205796483748</v>
      </c>
      <c r="AN944" s="204">
        <f>Delivery[[#This Row],[Valor Prêmio Nespresso BEN por saca (em US$)]]/1.3228/100</f>
        <v>4.8098129570973508E-2</v>
      </c>
      <c r="AO944" s="204">
        <f>SUMIF(Allocation[Delivery ID],Delivery[[#This Row],[Delivery ID]],Allocation[Quantity allocated])*16*1.3228*Delivery[[#This Row],[Exchange rate VS USD]]/60</f>
        <v>13790.664267893333</v>
      </c>
      <c r="AP944" s="204">
        <f>Delivery[[#This Row],[AAA Premium (total)]]</f>
        <v>14575</v>
      </c>
      <c r="AQ944" s="204">
        <f>Delivery[[#This Row],[Valor pago pelo Cluster]]-Delivery[[#This Row],[Valor efetivamente pago pela Nespresso]]</f>
        <v>784.33573210666691</v>
      </c>
    </row>
    <row r="945" spans="1:43" ht="15.75">
      <c r="A945" s="174" t="s">
        <v>69</v>
      </c>
      <c r="B945" s="232" t="s">
        <v>68</v>
      </c>
      <c r="C945" s="157">
        <v>1</v>
      </c>
      <c r="D945" s="157" t="s">
        <v>468</v>
      </c>
      <c r="E945" s="177" t="s">
        <v>468</v>
      </c>
      <c r="F945" s="233" t="s">
        <v>543</v>
      </c>
      <c r="G945" s="234">
        <v>43355</v>
      </c>
      <c r="H945" s="157" t="s">
        <v>1080</v>
      </c>
      <c r="I945" s="157" t="s">
        <v>1000</v>
      </c>
      <c r="J945" s="237">
        <v>30030</v>
      </c>
      <c r="K945" s="175" t="s">
        <v>61</v>
      </c>
      <c r="L945" s="175" t="s">
        <v>439</v>
      </c>
      <c r="M945" s="175" t="s">
        <v>1343</v>
      </c>
      <c r="N945" s="198"/>
      <c r="O945" s="199"/>
      <c r="P945" s="181">
        <v>0</v>
      </c>
      <c r="Q945" s="177">
        <v>43348</v>
      </c>
      <c r="R945" s="178">
        <v>427.60910500000006</v>
      </c>
      <c r="S945" s="179">
        <v>207128.15983859019</v>
      </c>
      <c r="T945" s="182" t="s">
        <v>45</v>
      </c>
      <c r="U945" s="183">
        <v>4.1657000000000002</v>
      </c>
      <c r="V945" s="179">
        <v>14575</v>
      </c>
      <c r="W945" s="179">
        <v>4148.4200807049001</v>
      </c>
      <c r="X945" s="196" t="s">
        <v>45</v>
      </c>
      <c r="Y945" s="200">
        <v>4.1657000000000002</v>
      </c>
      <c r="Z945" s="220" t="s">
        <v>473</v>
      </c>
      <c r="AA945" s="201">
        <f>Delivery[[#This Row],[Quantity delivered]]*VLOOKUP(Delivery[[#This Row],[Unit]],References!$U:$X,4,FALSE)*VLOOKUP(CONCATENATE(Delivery[[#This Row],[Coffee specie]],Delivery[[#This Row],[Coffee state]]),References!$U:$X,4,FALSE)</f>
        <v>30030</v>
      </c>
      <c r="AB945" s="202">
        <f>SUMIF(Allocation!C:C,Delivery[[#This Row],[Delivery ID]],Allocation!D:D)/Delivery[[#This Row],[Quantity delivered]]</f>
        <v>1</v>
      </c>
      <c r="AC945" s="203">
        <f>Delivery[[#This Row],[Quantity delivered]]*Delivery[[#This Row],[Base price (Unidad)]]/60</f>
        <v>214018.35705250001</v>
      </c>
      <c r="AD945" s="204">
        <f>Delivery[[#This Row],[Nespresso total]]-Delivery[[#This Row],[Qt. Delivery * Base Price]]</f>
        <v>-6890.1972139098216</v>
      </c>
      <c r="AE945" s="204">
        <f>Delivery[[#This Row],[AAA Premium (total)]]/Delivery[[#This Row],[Quantity delivered]]*60/Delivery[[#This Row],[Exchange rate VS USD]]</f>
        <v>6.9906328158242594</v>
      </c>
      <c r="AF945" s="204">
        <f>Delivery[[#This Row],[BEN premium (total)]]/Delivery[[#This Row],[Quantity delivered]]*60/Delivery[[#This Row],[Exchange rate for premiums VS USD]]</f>
        <v>1.989714</v>
      </c>
      <c r="AG945" s="204">
        <f>COUNTIF(Delivery[Delivery ID],Delivery[[#This Row],[Delivery ID]])</f>
        <v>1</v>
      </c>
      <c r="AH945" s="204">
        <f>(Delivery[[#This Row],[Nespresso total]]/SUMIF(Allocation!C:C,Delivery[Delivery ID],Allocation!H:H))/Delivery[[#This Row],[Exchange rate VS USD]]</f>
        <v>5.501470893278845</v>
      </c>
      <c r="AI945" s="204">
        <f>(Delivery[[#This Row],[AAA Premium (total)]]/SUMIF(Allocation!C:C,Delivery[Delivery ID],Allocation!H:H))/Delivery[[#This Row],[Exchange rate VS USD]]</f>
        <v>0.38712234170392146</v>
      </c>
      <c r="AJ945" s="204">
        <f>Delivery[[#This Row],[Valor Prêmio Nespresso AAA por Kg (em US$)]]*60</f>
        <v>23.227340502235286</v>
      </c>
      <c r="AK945" s="204">
        <f>Delivery[[#This Row],[Valor Prêmio Nespresso AAA por saca (em US$)]]/1.3228/100</f>
        <v>0.17559223240274632</v>
      </c>
      <c r="AL945" s="204">
        <f>(Delivery[[#This Row],[BEN premium (total)]]/SUMIF(Allocation!C:C,Delivery[Delivery ID],Allocation!H:H))/Delivery[[#This Row],[Exchange rate for premiums VS USD]]</f>
        <v>0.11018498085859703</v>
      </c>
      <c r="AM945" s="204">
        <f>Delivery[[#This Row],[Valor Prêmio Nespresso BEN por Kg (em US$)]]*60</f>
        <v>6.6110988515158216</v>
      </c>
      <c r="AN945" s="204">
        <f>Delivery[[#This Row],[Valor Prêmio Nespresso BEN por saca (em US$)]]/1.3228/100</f>
        <v>4.9978068124552626E-2</v>
      </c>
      <c r="AO945" s="204">
        <f>SUMIF(Allocation[Delivery ID],Delivery[[#This Row],[Delivery ID]],Allocation[Quantity allocated])*16*1.3228*Delivery[[#This Row],[Exchange rate VS USD]]/60</f>
        <v>13280.769701994666</v>
      </c>
      <c r="AP945" s="204">
        <f>Delivery[[#This Row],[AAA Premium (total)]]</f>
        <v>14575</v>
      </c>
      <c r="AQ945" s="204">
        <f>Delivery[[#This Row],[Valor pago pelo Cluster]]-Delivery[[#This Row],[Valor efetivamente pago pela Nespresso]]</f>
        <v>1294.2302980053337</v>
      </c>
    </row>
    <row r="946" spans="1:43" ht="15.75">
      <c r="A946" s="174" t="s">
        <v>69</v>
      </c>
      <c r="B946" s="232" t="s">
        <v>68</v>
      </c>
      <c r="C946" s="157">
        <v>1</v>
      </c>
      <c r="D946" s="157" t="s">
        <v>468</v>
      </c>
      <c r="E946" s="177" t="s">
        <v>468</v>
      </c>
      <c r="F946" s="233" t="s">
        <v>543</v>
      </c>
      <c r="G946" s="234">
        <v>43355</v>
      </c>
      <c r="H946" s="157" t="s">
        <v>1081</v>
      </c>
      <c r="I946" s="157" t="s">
        <v>1000</v>
      </c>
      <c r="J946" s="237">
        <v>30010</v>
      </c>
      <c r="K946" s="175" t="s">
        <v>61</v>
      </c>
      <c r="L946" s="175" t="s">
        <v>439</v>
      </c>
      <c r="M946" s="175" t="s">
        <v>1343</v>
      </c>
      <c r="N946" s="198"/>
      <c r="O946" s="199"/>
      <c r="P946" s="181">
        <v>0</v>
      </c>
      <c r="Q946" s="177">
        <v>43348</v>
      </c>
      <c r="R946" s="178">
        <v>427.60910500000006</v>
      </c>
      <c r="S946" s="179">
        <v>207133.68553966342</v>
      </c>
      <c r="T946" s="182" t="s">
        <v>45</v>
      </c>
      <c r="U946" s="183">
        <v>4.1657000000000002</v>
      </c>
      <c r="V946" s="179">
        <v>14575</v>
      </c>
      <c r="W946" s="179">
        <v>4145.6572301683</v>
      </c>
      <c r="X946" s="196" t="s">
        <v>45</v>
      </c>
      <c r="Y946" s="200">
        <v>4.1657000000000002</v>
      </c>
      <c r="Z946" s="220" t="s">
        <v>473</v>
      </c>
      <c r="AA946" s="201">
        <f>Delivery[[#This Row],[Quantity delivered]]*VLOOKUP(Delivery[[#This Row],[Unit]],References!$U:$X,4,FALSE)*VLOOKUP(CONCATENATE(Delivery[[#This Row],[Coffee specie]],Delivery[[#This Row],[Coffee state]]),References!$U:$X,4,FALSE)</f>
        <v>30010</v>
      </c>
      <c r="AB946" s="202">
        <f>SUMIF(Allocation!C:C,Delivery[[#This Row],[Delivery ID]],Allocation!D:D)/Delivery[[#This Row],[Quantity delivered]]</f>
        <v>1</v>
      </c>
      <c r="AC946" s="203">
        <f>Delivery[[#This Row],[Quantity delivered]]*Delivery[[#This Row],[Base price (Unidad)]]/60</f>
        <v>213875.82068416668</v>
      </c>
      <c r="AD946" s="204">
        <f>Delivery[[#This Row],[Nespresso total]]-Delivery[[#This Row],[Qt. Delivery * Base Price]]</f>
        <v>-6742.1351445032633</v>
      </c>
      <c r="AE946" s="204">
        <f>Delivery[[#This Row],[AAA Premium (total)]]/Delivery[[#This Row],[Quantity delivered]]*60/Delivery[[#This Row],[Exchange rate VS USD]]</f>
        <v>6.9952916847451698</v>
      </c>
      <c r="AF946" s="204">
        <f>Delivery[[#This Row],[BEN premium (total)]]/Delivery[[#This Row],[Quantity delivered]]*60/Delivery[[#This Row],[Exchange rate for premiums VS USD]]</f>
        <v>1.989714</v>
      </c>
      <c r="AG946" s="204">
        <f>COUNTIF(Delivery[Delivery ID],Delivery[[#This Row],[Delivery ID]])</f>
        <v>1</v>
      </c>
      <c r="AH946" s="204">
        <f>(Delivery[[#This Row],[Nespresso total]]/SUMIF(Allocation!C:C,Delivery[Delivery ID],Allocation!H:H))/Delivery[[#This Row],[Exchange rate VS USD]]</f>
        <v>5.2982014288177108</v>
      </c>
      <c r="AI946" s="204">
        <f>(Delivery[[#This Row],[AAA Premium (total)]]/SUMIF(Allocation!C:C,Delivery[Delivery ID],Allocation!H:H))/Delivery[[#This Row],[Exchange rate VS USD]]</f>
        <v>0.37280892107832092</v>
      </c>
      <c r="AJ946" s="204">
        <f>Delivery[[#This Row],[Valor Prêmio Nespresso AAA por Kg (em US$)]]*60</f>
        <v>22.368535264699254</v>
      </c>
      <c r="AK946" s="204">
        <f>Delivery[[#This Row],[Valor Prêmio Nespresso AAA por saca (em US$)]]/1.3228/100</f>
        <v>0.16909990372466929</v>
      </c>
      <c r="AL946" s="204">
        <f>(Delivery[[#This Row],[BEN premium (total)]]/SUMIF(Allocation!C:C,Delivery[Delivery ID],Allocation!H:H))/Delivery[[#This Row],[Exchange rate for premiums VS USD]]</f>
        <v>0.10604034299413959</v>
      </c>
      <c r="AM946" s="204">
        <f>Delivery[[#This Row],[Valor Prêmio Nespresso BEN por Kg (em US$)]]*60</f>
        <v>6.3624205796483748</v>
      </c>
      <c r="AN946" s="204">
        <f>Delivery[[#This Row],[Valor Prêmio Nespresso BEN por saca (em US$)]]/1.3228/100</f>
        <v>4.8098129570973508E-2</v>
      </c>
      <c r="AO946" s="204">
        <f>SUMIF(Allocation[Delivery ID],Delivery[[#This Row],[Delivery ID]],Allocation[Quantity allocated])*16*1.3228*Delivery[[#This Row],[Exchange rate VS USD]]/60</f>
        <v>13790.664267893333</v>
      </c>
      <c r="AP946" s="204">
        <f>Delivery[[#This Row],[AAA Premium (total)]]</f>
        <v>14575</v>
      </c>
      <c r="AQ946" s="204">
        <f>Delivery[[#This Row],[Valor pago pelo Cluster]]-Delivery[[#This Row],[Valor efetivamente pago pela Nespresso]]</f>
        <v>784.33573210666691</v>
      </c>
    </row>
    <row r="947" spans="1:43" ht="15.75">
      <c r="A947" s="174" t="s">
        <v>69</v>
      </c>
      <c r="B947" s="232" t="s">
        <v>68</v>
      </c>
      <c r="C947" s="157">
        <v>1</v>
      </c>
      <c r="D947" s="157" t="s">
        <v>468</v>
      </c>
      <c r="E947" s="177" t="s">
        <v>468</v>
      </c>
      <c r="F947" s="233" t="s">
        <v>543</v>
      </c>
      <c r="G947" s="234">
        <v>43354</v>
      </c>
      <c r="H947" s="157" t="s">
        <v>1082</v>
      </c>
      <c r="I947" s="157" t="s">
        <v>572</v>
      </c>
      <c r="J947" s="237">
        <v>29600</v>
      </c>
      <c r="K947" s="175" t="s">
        <v>61</v>
      </c>
      <c r="L947" s="175" t="s">
        <v>439</v>
      </c>
      <c r="M947" s="175" t="s">
        <v>1343</v>
      </c>
      <c r="N947" s="198"/>
      <c r="O947" s="199"/>
      <c r="P947" s="181">
        <v>0</v>
      </c>
      <c r="Q947" s="177">
        <v>43347</v>
      </c>
      <c r="R947" s="178">
        <v>422.03200000000004</v>
      </c>
      <c r="S947" s="179">
        <v>210390</v>
      </c>
      <c r="T947" s="182" t="s">
        <v>45</v>
      </c>
      <c r="U947" s="183">
        <v>4.16</v>
      </c>
      <c r="V947" s="179">
        <v>20800</v>
      </c>
      <c r="W947" s="179">
        <v>0</v>
      </c>
      <c r="X947" s="196" t="s">
        <v>45</v>
      </c>
      <c r="Y947" s="200">
        <v>4.16</v>
      </c>
      <c r="Z947" s="220"/>
      <c r="AA947" s="201">
        <f>Delivery[[#This Row],[Quantity delivered]]*VLOOKUP(Delivery[[#This Row],[Unit]],References!$U:$X,4,FALSE)*VLOOKUP(CONCATENATE(Delivery[[#This Row],[Coffee specie]],Delivery[[#This Row],[Coffee state]]),References!$U:$X,4,FALSE)</f>
        <v>29600</v>
      </c>
      <c r="AB947" s="202">
        <f>SUMIF(Allocation!C:C,Delivery[[#This Row],[Delivery ID]],Allocation!D:D)/Delivery[[#This Row],[Quantity delivered]]</f>
        <v>1</v>
      </c>
      <c r="AC947" s="203">
        <f>Delivery[[#This Row],[Quantity delivered]]*Delivery[[#This Row],[Base price (Unidad)]]/60</f>
        <v>208202.45333333334</v>
      </c>
      <c r="AD947" s="204">
        <f>Delivery[[#This Row],[Nespresso total]]-Delivery[[#This Row],[Qt. Delivery * Base Price]]</f>
        <v>2187.5466666666616</v>
      </c>
      <c r="AE947" s="204">
        <f>Delivery[[#This Row],[AAA Premium (total)]]/Delivery[[#This Row],[Quantity delivered]]*60/Delivery[[#This Row],[Exchange rate VS USD]]</f>
        <v>10.135135135135135</v>
      </c>
      <c r="AF947" s="204">
        <f>Delivery[[#This Row],[BEN premium (total)]]/Delivery[[#This Row],[Quantity delivered]]*60/Delivery[[#This Row],[Exchange rate for premiums VS USD]]</f>
        <v>0</v>
      </c>
      <c r="AG947" s="204">
        <f>COUNTIF(Delivery[Delivery ID],Delivery[[#This Row],[Delivery ID]])</f>
        <v>1</v>
      </c>
      <c r="AH947" s="204">
        <f>(Delivery[[#This Row],[Nespresso total]]/SUMIF(Allocation!C:C,Delivery[Delivery ID],Allocation!H:H))/Delivery[[#This Row],[Exchange rate VS USD]]</f>
        <v>3.7807071264685082</v>
      </c>
      <c r="AI947" s="204">
        <f>(Delivery[[#This Row],[AAA Premium (total)]]/SUMIF(Allocation!C:C,Delivery[Delivery ID],Allocation!H:H))/Delivery[[#This Row],[Exchange rate VS USD]]</f>
        <v>0.37377588397996564</v>
      </c>
      <c r="AJ947" s="204">
        <f>Delivery[[#This Row],[Valor Prêmio Nespresso AAA por Kg (em US$)]]*60</f>
        <v>22.426553038797937</v>
      </c>
      <c r="AK947" s="204">
        <f>Delivery[[#This Row],[Valor Prêmio Nespresso AAA por saca (em US$)]]/1.3228/100</f>
        <v>0.16953850195644041</v>
      </c>
      <c r="AL947" s="204">
        <f>(Delivery[[#This Row],[BEN premium (total)]]/SUMIF(Allocation!C:C,Delivery[Delivery ID],Allocation!H:H))/Delivery[[#This Row],[Exchange rate for premiums VS USD]]</f>
        <v>0</v>
      </c>
      <c r="AM947" s="204">
        <f>Delivery[[#This Row],[Valor Prêmio Nespresso BEN por Kg (em US$)]]*60</f>
        <v>0</v>
      </c>
      <c r="AN947" s="204">
        <f>Delivery[[#This Row],[Valor Prêmio Nespresso BEN por saca (em US$)]]/1.3228/100</f>
        <v>0</v>
      </c>
      <c r="AO947" s="204">
        <f>SUMIF(Allocation[Delivery ID],Delivery[[#This Row],[Delivery ID]],Allocation[Quantity allocated])*16*1.3228*Delivery[[#This Row],[Exchange rate VS USD]]/60</f>
        <v>19629.759385600002</v>
      </c>
      <c r="AP947" s="204">
        <f>Delivery[[#This Row],[AAA Premium (total)]]</f>
        <v>20800</v>
      </c>
      <c r="AQ947" s="204">
        <f>Delivery[[#This Row],[Valor pago pelo Cluster]]-Delivery[[#This Row],[Valor efetivamente pago pela Nespresso]]</f>
        <v>1170.2406143999979</v>
      </c>
    </row>
    <row r="948" spans="1:43" ht="15.75">
      <c r="A948" s="174" t="s">
        <v>69</v>
      </c>
      <c r="B948" s="232" t="s">
        <v>68</v>
      </c>
      <c r="C948" s="157">
        <v>1</v>
      </c>
      <c r="D948" s="157" t="s">
        <v>468</v>
      </c>
      <c r="E948" s="177" t="s">
        <v>468</v>
      </c>
      <c r="F948" s="233" t="s">
        <v>543</v>
      </c>
      <c r="G948" s="234">
        <v>43368</v>
      </c>
      <c r="H948" s="157" t="s">
        <v>1298</v>
      </c>
      <c r="I948" s="157" t="s">
        <v>741</v>
      </c>
      <c r="J948" s="237">
        <v>37820</v>
      </c>
      <c r="K948" s="175" t="s">
        <v>61</v>
      </c>
      <c r="L948" s="175" t="s">
        <v>439</v>
      </c>
      <c r="M948" s="175" t="s">
        <v>1343</v>
      </c>
      <c r="N948" s="198"/>
      <c r="O948" s="199"/>
      <c r="P948" s="181">
        <v>0</v>
      </c>
      <c r="Q948" s="177">
        <v>43228</v>
      </c>
      <c r="R948" s="178">
        <v>459.553</v>
      </c>
      <c r="S948" s="179">
        <v>289119.27815336396</v>
      </c>
      <c r="T948" s="182" t="s">
        <v>45</v>
      </c>
      <c r="U948" s="183">
        <v>3.61</v>
      </c>
      <c r="V948" s="179">
        <v>15920.1</v>
      </c>
      <c r="W948" s="179">
        <v>4980.3609233179995</v>
      </c>
      <c r="X948" s="196" t="s">
        <v>45</v>
      </c>
      <c r="Y948" s="200">
        <v>3.61</v>
      </c>
      <c r="Z948" s="220" t="s">
        <v>473</v>
      </c>
      <c r="AA948" s="201">
        <f>Delivery[[#This Row],[Quantity delivered]]*VLOOKUP(Delivery[[#This Row],[Unit]],References!$U:$X,4,FALSE)*VLOOKUP(CONCATENATE(Delivery[[#This Row],[Coffee specie]],Delivery[[#This Row],[Coffee state]]),References!$U:$X,4,FALSE)</f>
        <v>37820</v>
      </c>
      <c r="AB948" s="202">
        <f>SUMIF(Allocation!C:C,Delivery[[#This Row],[Delivery ID]],Allocation!D:D)/Delivery[[#This Row],[Quantity delivered]]</f>
        <v>1</v>
      </c>
      <c r="AC948" s="203">
        <f>Delivery[[#This Row],[Quantity delivered]]*Delivery[[#This Row],[Base price (Unidad)]]/60</f>
        <v>289671.57433333335</v>
      </c>
      <c r="AD948" s="204">
        <f>Delivery[[#This Row],[Nespresso total]]-Delivery[[#This Row],[Qt. Delivery * Base Price]]</f>
        <v>-552.29617996938759</v>
      </c>
      <c r="AE948" s="204">
        <f>Delivery[[#This Row],[AAA Premium (total)]]/Delivery[[#This Row],[Quantity delivered]]*60/Delivery[[#This Row],[Exchange rate VS USD]]</f>
        <v>6.9962982548915917</v>
      </c>
      <c r="AF948" s="204">
        <f>Delivery[[#This Row],[BEN premium (total)]]/Delivery[[#This Row],[Quantity delivered]]*60/Delivery[[#This Row],[Exchange rate for premiums VS USD]]</f>
        <v>2.1886853999999998</v>
      </c>
      <c r="AG948" s="204">
        <f>COUNTIF(Delivery[Delivery ID],Delivery[[#This Row],[Delivery ID]])</f>
        <v>1</v>
      </c>
      <c r="AH948" s="204">
        <f>(Delivery[[#This Row],[Nespresso total]]/SUMIF(Allocation!C:C,Delivery[Delivery ID],Allocation!H:H))/Delivery[[#This Row],[Exchange rate VS USD]]</f>
        <v>6.4034894620422866</v>
      </c>
      <c r="AI948" s="204">
        <f>(Delivery[[#This Row],[AAA Premium (total)]]/SUMIF(Allocation!C:C,Delivery[Delivery ID],Allocation!H:H))/Delivery[[#This Row],[Exchange rate VS USD]]</f>
        <v>0.35260254257615736</v>
      </c>
      <c r="AJ948" s="204">
        <f>Delivery[[#This Row],[Valor Prêmio Nespresso AAA por Kg (em US$)]]*60</f>
        <v>21.156152554569442</v>
      </c>
      <c r="AK948" s="204">
        <f>Delivery[[#This Row],[Valor Prêmio Nespresso AAA por saca (em US$)]]/1.3228/100</f>
        <v>0.15993462771824496</v>
      </c>
      <c r="AL948" s="204">
        <f>(Delivery[[#This Row],[BEN premium (total)]]/SUMIF(Allocation!C:C,Delivery[Delivery ID],Allocation!H:H))/Delivery[[#This Row],[Exchange rate for premiums VS USD]]</f>
        <v>0.11030633755496921</v>
      </c>
      <c r="AM948" s="204">
        <f>Delivery[[#This Row],[Valor Prêmio Nespresso BEN por Kg (em US$)]]*60</f>
        <v>6.6183802532981524</v>
      </c>
      <c r="AN948" s="204">
        <f>Delivery[[#This Row],[Valor Prêmio Nespresso BEN por saca (em US$)]]/1.3228/100</f>
        <v>5.0033113496357362E-2</v>
      </c>
      <c r="AO948" s="204">
        <f>SUMIF(Allocation[Delivery ID],Delivery[[#This Row],[Delivery ID]],Allocation[Quantity allocated])*16*1.3228*Delivery[[#This Row],[Exchange rate VS USD]]/60</f>
        <v>15926.607241600001</v>
      </c>
      <c r="AP948" s="204">
        <f>Delivery[[#This Row],[AAA Premium (total)]]</f>
        <v>15920.1</v>
      </c>
      <c r="AQ948" s="204">
        <f>Delivery[[#This Row],[Valor pago pelo Cluster]]-Delivery[[#This Row],[Valor efetivamente pago pela Nespresso]]</f>
        <v>-6.5072416000002704</v>
      </c>
    </row>
    <row r="949" spans="1:43" ht="15.75">
      <c r="A949" s="174" t="s">
        <v>69</v>
      </c>
      <c r="B949" s="232" t="s">
        <v>68</v>
      </c>
      <c r="C949" s="157">
        <v>1</v>
      </c>
      <c r="D949" s="157" t="s">
        <v>468</v>
      </c>
      <c r="E949" s="177" t="s">
        <v>468</v>
      </c>
      <c r="F949" s="233" t="s">
        <v>543</v>
      </c>
      <c r="G949" s="234">
        <v>43369</v>
      </c>
      <c r="H949" s="157" t="s">
        <v>1299</v>
      </c>
      <c r="I949" s="157" t="s">
        <v>741</v>
      </c>
      <c r="J949" s="237">
        <v>29953</v>
      </c>
      <c r="K949" s="175" t="s">
        <v>61</v>
      </c>
      <c r="L949" s="175" t="s">
        <v>439</v>
      </c>
      <c r="M949" s="175" t="s">
        <v>1343</v>
      </c>
      <c r="N949" s="198"/>
      <c r="O949" s="199"/>
      <c r="P949" s="181">
        <v>0</v>
      </c>
      <c r="Q949" s="177">
        <v>43228</v>
      </c>
      <c r="R949" s="178">
        <v>459.553</v>
      </c>
      <c r="S949" s="179">
        <v>229476.32418106063</v>
      </c>
      <c r="T949" s="182" t="s">
        <v>45</v>
      </c>
      <c r="U949" s="183">
        <v>3.61</v>
      </c>
      <c r="V949" s="179">
        <v>12635</v>
      </c>
      <c r="W949" s="179">
        <v>3944.3879094696999</v>
      </c>
      <c r="X949" s="196" t="s">
        <v>45</v>
      </c>
      <c r="Y949" s="200">
        <v>3.61</v>
      </c>
      <c r="Z949" s="220" t="s">
        <v>473</v>
      </c>
      <c r="AA949" s="201">
        <f>Delivery[[#This Row],[Quantity delivered]]*VLOOKUP(Delivery[[#This Row],[Unit]],References!$U:$X,4,FALSE)*VLOOKUP(CONCATENATE(Delivery[[#This Row],[Coffee specie]],Delivery[[#This Row],[Coffee state]]),References!$U:$X,4,FALSE)</f>
        <v>29953</v>
      </c>
      <c r="AB949" s="202">
        <f>SUMIF(Allocation!C:C,Delivery[[#This Row],[Delivery ID]],Allocation!D:D)/Delivery[[#This Row],[Quantity delivered]]</f>
        <v>1</v>
      </c>
      <c r="AC949" s="203">
        <f>Delivery[[#This Row],[Quantity delivered]]*Delivery[[#This Row],[Base price (Unidad)]]/60</f>
        <v>229416.51681666667</v>
      </c>
      <c r="AD949" s="204">
        <f>Delivery[[#This Row],[Nespresso total]]-Delivery[[#This Row],[Qt. Delivery * Base Price]]</f>
        <v>59.807364393956959</v>
      </c>
      <c r="AE949" s="204">
        <f>Delivery[[#This Row],[AAA Premium (total)]]/Delivery[[#This Row],[Quantity delivered]]*60/Delivery[[#This Row],[Exchange rate VS USD]]</f>
        <v>7.0109838747370885</v>
      </c>
      <c r="AF949" s="204">
        <f>Delivery[[#This Row],[BEN premium (total)]]/Delivery[[#This Row],[Quantity delivered]]*60/Delivery[[#This Row],[Exchange rate for premiums VS USD]]</f>
        <v>2.1886854000000002</v>
      </c>
      <c r="AG949" s="204">
        <f>COUNTIF(Delivery[Delivery ID],Delivery[[#This Row],[Delivery ID]])</f>
        <v>1</v>
      </c>
      <c r="AH949" s="204">
        <f>(Delivery[[#This Row],[Nespresso total]]/SUMIF(Allocation!C:C,Delivery[Delivery ID],Allocation!H:H))/Delivery[[#This Row],[Exchange rate VS USD]]</f>
        <v>6.4157094069053198</v>
      </c>
      <c r="AI949" s="204">
        <f>(Delivery[[#This Row],[AAA Premium (total)]]/SUMIF(Allocation!C:C,Delivery[Delivery ID],Allocation!H:H))/Delivery[[#This Row],[Exchange rate VS USD]]</f>
        <v>0.35324989907145743</v>
      </c>
      <c r="AJ949" s="204">
        <f>Delivery[[#This Row],[Valor Prêmio Nespresso AAA por Kg (em US$)]]*60</f>
        <v>21.194993944287447</v>
      </c>
      <c r="AK949" s="204">
        <f>Delivery[[#This Row],[Valor Prêmio Nespresso AAA por saca (em US$)]]/1.3228/100</f>
        <v>0.16022825781892536</v>
      </c>
      <c r="AL949" s="204">
        <f>(Delivery[[#This Row],[BEN premium (total)]]/SUMIF(Allocation!C:C,Delivery[Delivery ID],Allocation!H:H))/Delivery[[#This Row],[Exchange rate for premiums VS USD]]</f>
        <v>0.11027737482539361</v>
      </c>
      <c r="AM949" s="204">
        <f>Delivery[[#This Row],[Valor Prêmio Nespresso BEN por Kg (em US$)]]*60</f>
        <v>6.6166424895236169</v>
      </c>
      <c r="AN949" s="204">
        <f>Delivery[[#This Row],[Valor Prêmio Nespresso BEN por saca (em US$)]]/1.3228/100</f>
        <v>5.0019976485663878E-2</v>
      </c>
      <c r="AO949" s="204">
        <f>SUMIF(Allocation[Delivery ID],Delivery[[#This Row],[Delivery ID]],Allocation[Quantity allocated])*16*1.3228*Delivery[[#This Row],[Exchange rate VS USD]]/60</f>
        <v>12617.000443733334</v>
      </c>
      <c r="AP949" s="204">
        <f>Delivery[[#This Row],[AAA Premium (total)]]</f>
        <v>12635</v>
      </c>
      <c r="AQ949" s="204">
        <f>Delivery[[#This Row],[Valor pago pelo Cluster]]-Delivery[[#This Row],[Valor efetivamente pago pela Nespresso]]</f>
        <v>17.999556266666332</v>
      </c>
    </row>
    <row r="950" spans="1:43" ht="15.75">
      <c r="A950" s="174" t="s">
        <v>69</v>
      </c>
      <c r="B950" s="232" t="s">
        <v>68</v>
      </c>
      <c r="C950" s="157">
        <v>1</v>
      </c>
      <c r="D950" s="157" t="s">
        <v>468</v>
      </c>
      <c r="E950" s="177" t="s">
        <v>468</v>
      </c>
      <c r="F950" s="233" t="s">
        <v>543</v>
      </c>
      <c r="G950" s="234">
        <v>43369</v>
      </c>
      <c r="H950" s="157" t="s">
        <v>1300</v>
      </c>
      <c r="I950" s="157" t="s">
        <v>741</v>
      </c>
      <c r="J950" s="237">
        <v>8387</v>
      </c>
      <c r="K950" s="175" t="s">
        <v>61</v>
      </c>
      <c r="L950" s="175" t="s">
        <v>439</v>
      </c>
      <c r="M950" s="175" t="s">
        <v>1343</v>
      </c>
      <c r="N950" s="198"/>
      <c r="O950" s="199"/>
      <c r="P950" s="181">
        <v>0</v>
      </c>
      <c r="Q950" s="177">
        <v>43228</v>
      </c>
      <c r="R950" s="178">
        <v>459.553</v>
      </c>
      <c r="S950" s="179">
        <v>64253.300631207399</v>
      </c>
      <c r="T950" s="182" t="s">
        <v>45</v>
      </c>
      <c r="U950" s="183">
        <v>3.61</v>
      </c>
      <c r="V950" s="179">
        <v>3537.8</v>
      </c>
      <c r="W950" s="179">
        <v>1104.4496843963</v>
      </c>
      <c r="X950" s="196" t="s">
        <v>45</v>
      </c>
      <c r="Y950" s="200">
        <v>3.61</v>
      </c>
      <c r="Z950" s="220" t="s">
        <v>473</v>
      </c>
      <c r="AA950" s="201">
        <f>Delivery[[#This Row],[Quantity delivered]]*VLOOKUP(Delivery[[#This Row],[Unit]],References!$U:$X,4,FALSE)*VLOOKUP(CONCATENATE(Delivery[[#This Row],[Coffee specie]],Delivery[[#This Row],[Coffee state]]),References!$U:$X,4,FALSE)</f>
        <v>8387</v>
      </c>
      <c r="AB950" s="202">
        <f>SUMIF(Allocation!C:C,Delivery[[#This Row],[Delivery ID]],Allocation!D:D)/Delivery[[#This Row],[Quantity delivered]]</f>
        <v>1</v>
      </c>
      <c r="AC950" s="203">
        <f>Delivery[[#This Row],[Quantity delivered]]*Delivery[[#This Row],[Base price (Unidad)]]/60</f>
        <v>64237.850183333336</v>
      </c>
      <c r="AD950" s="204">
        <f>Delivery[[#This Row],[Nespresso total]]-Delivery[[#This Row],[Qt. Delivery * Base Price]]</f>
        <v>15.450447874063684</v>
      </c>
      <c r="AE950" s="204">
        <f>Delivery[[#This Row],[AAA Premium (total)]]/Delivery[[#This Row],[Quantity delivered]]*60/Delivery[[#This Row],[Exchange rate VS USD]]</f>
        <v>7.0108501251937536</v>
      </c>
      <c r="AF950" s="204">
        <f>Delivery[[#This Row],[BEN premium (total)]]/Delivery[[#This Row],[Quantity delivered]]*60/Delivery[[#This Row],[Exchange rate for premiums VS USD]]</f>
        <v>2.1886853999999998</v>
      </c>
      <c r="AG950" s="204">
        <f>COUNTIF(Delivery[Delivery ID],Delivery[[#This Row],[Delivery ID]])</f>
        <v>1</v>
      </c>
      <c r="AH950" s="204">
        <f>(Delivery[[#This Row],[Nespresso total]]/SUMIF(Allocation!C:C,Delivery[Delivery ID],Allocation!H:H))/Delivery[[#This Row],[Exchange rate VS USD]]</f>
        <v>6.3863287534235829</v>
      </c>
      <c r="AI950" s="204">
        <f>(Delivery[[#This Row],[AAA Premium (total)]]/SUMIF(Allocation!C:C,Delivery[Delivery ID],Allocation!H:H))/Delivery[[#This Row],[Exchange rate VS USD]]</f>
        <v>0.351632579834948</v>
      </c>
      <c r="AJ950" s="204">
        <f>Delivery[[#This Row],[Valor Prêmio Nespresso AAA por Kg (em US$)]]*60</f>
        <v>21.097954790096878</v>
      </c>
      <c r="AK950" s="204">
        <f>Delivery[[#This Row],[Valor Prêmio Nespresso AAA por saca (em US$)]]/1.3228/100</f>
        <v>0.15949466880932023</v>
      </c>
      <c r="AL950" s="204">
        <f>(Delivery[[#This Row],[BEN premium (total)]]/SUMIF(Allocation!C:C,Delivery[Delivery ID],Allocation!H:H))/Delivery[[#This Row],[Exchange rate for premiums VS USD]]</f>
        <v>0.10977457510943667</v>
      </c>
      <c r="AM950" s="204">
        <f>Delivery[[#This Row],[Valor Prêmio Nespresso BEN por Kg (em US$)]]*60</f>
        <v>6.5864745065661996</v>
      </c>
      <c r="AN950" s="204">
        <f>Delivery[[#This Row],[Valor Prêmio Nespresso BEN por saca (em US$)]]/1.3228/100</f>
        <v>4.9791914927171152E-2</v>
      </c>
      <c r="AO950" s="204">
        <f>SUMIF(Allocation[Delivery ID],Delivery[[#This Row],[Delivery ID]],Allocation[Quantity allocated])*16*1.3228*Delivery[[#This Row],[Exchange rate VS USD]]/60</f>
        <v>3549.0089055999997</v>
      </c>
      <c r="AP950" s="204">
        <f>Delivery[[#This Row],[AAA Premium (total)]]</f>
        <v>3537.8</v>
      </c>
      <c r="AQ950" s="204">
        <f>Delivery[[#This Row],[Valor pago pelo Cluster]]-Delivery[[#This Row],[Valor efetivamente pago pela Nespresso]]</f>
        <v>-11.208905599999525</v>
      </c>
    </row>
    <row r="951" spans="1:43" ht="15.75">
      <c r="A951" s="174" t="s">
        <v>69</v>
      </c>
      <c r="B951" s="232" t="s">
        <v>68</v>
      </c>
      <c r="C951" s="157">
        <v>1</v>
      </c>
      <c r="D951" s="157" t="s">
        <v>468</v>
      </c>
      <c r="E951" s="177" t="s">
        <v>468</v>
      </c>
      <c r="F951" s="233" t="s">
        <v>543</v>
      </c>
      <c r="G951" s="234">
        <v>43357</v>
      </c>
      <c r="H951" s="157" t="s">
        <v>1083</v>
      </c>
      <c r="I951" s="157" t="s">
        <v>988</v>
      </c>
      <c r="J951" s="237">
        <v>14365</v>
      </c>
      <c r="K951" s="175" t="s">
        <v>61</v>
      </c>
      <c r="L951" s="175" t="s">
        <v>439</v>
      </c>
      <c r="M951" s="175" t="s">
        <v>1343</v>
      </c>
      <c r="N951" s="198"/>
      <c r="O951" s="199"/>
      <c r="P951" s="181">
        <v>0</v>
      </c>
      <c r="Q951" s="177">
        <v>43355</v>
      </c>
      <c r="R951" s="178">
        <v>419.51525000000004</v>
      </c>
      <c r="S951" s="179">
        <v>100653.89</v>
      </c>
      <c r="T951" s="182" t="s">
        <v>45</v>
      </c>
      <c r="U951" s="183">
        <v>4.1230000000000002</v>
      </c>
      <c r="V951" s="179">
        <v>9853.9699999999993</v>
      </c>
      <c r="W951" s="179">
        <v>0</v>
      </c>
      <c r="X951" s="196" t="s">
        <v>45</v>
      </c>
      <c r="Y951" s="200">
        <v>4.1230000000000002</v>
      </c>
      <c r="Z951" s="220"/>
      <c r="AA951" s="201">
        <f>Delivery[[#This Row],[Quantity delivered]]*VLOOKUP(Delivery[[#This Row],[Unit]],References!$U:$X,4,FALSE)*VLOOKUP(CONCATENATE(Delivery[[#This Row],[Coffee specie]],Delivery[[#This Row],[Coffee state]]),References!$U:$X,4,FALSE)</f>
        <v>14365</v>
      </c>
      <c r="AB951" s="202">
        <f>SUMIF(Allocation!C:C,Delivery[[#This Row],[Delivery ID]],Allocation!D:D)/Delivery[[#This Row],[Quantity delivered]]</f>
        <v>0.85694396101635917</v>
      </c>
      <c r="AC951" s="203">
        <f>Delivery[[#This Row],[Quantity delivered]]*Delivery[[#This Row],[Base price (Unidad)]]/60</f>
        <v>100438.94277083334</v>
      </c>
      <c r="AD951" s="204">
        <f>Delivery[[#This Row],[Nespresso total]]-Delivery[[#This Row],[Qt. Delivery * Base Price]]</f>
        <v>214.94722916666069</v>
      </c>
      <c r="AE951" s="204">
        <f>Delivery[[#This Row],[AAA Premium (total)]]/Delivery[[#This Row],[Quantity delivered]]*60/Delivery[[#This Row],[Exchange rate VS USD]]</f>
        <v>9.9825965889314308</v>
      </c>
      <c r="AF951" s="204">
        <f>Delivery[[#This Row],[BEN premium (total)]]/Delivery[[#This Row],[Quantity delivered]]*60/Delivery[[#This Row],[Exchange rate for premiums VS USD]]</f>
        <v>0</v>
      </c>
      <c r="AG951" s="204">
        <f>COUNTIF(Delivery[Delivery ID],Delivery[[#This Row],[Delivery ID]])</f>
        <v>1</v>
      </c>
      <c r="AH951" s="204">
        <f>(Delivery[[#This Row],[Nespresso total]]/SUMIF(Allocation!C:C,Delivery[Delivery ID],Allocation!H:H))/Delivery[[#This Row],[Exchange rate VS USD]]</f>
        <v>4.7220076459320754</v>
      </c>
      <c r="AI951" s="204">
        <f>(Delivery[[#This Row],[AAA Premium (total)]]/SUMIF(Allocation!C:C,Delivery[Delivery ID],Allocation!H:H))/Delivery[[#This Row],[Exchange rate VS USD]]</f>
        <v>0.46228239845261115</v>
      </c>
      <c r="AJ951" s="204">
        <f>Delivery[[#This Row],[Valor Prêmio Nespresso AAA por Kg (em US$)]]*60</f>
        <v>27.736943907156668</v>
      </c>
      <c r="AK951" s="204">
        <f>Delivery[[#This Row],[Valor Prêmio Nespresso AAA por saca (em US$)]]/1.3228/100</f>
        <v>0.2096835795823758</v>
      </c>
      <c r="AL951" s="204">
        <f>(Delivery[[#This Row],[BEN premium (total)]]/SUMIF(Allocation!C:C,Delivery[Delivery ID],Allocation!H:H))/Delivery[[#This Row],[Exchange rate for premiums VS USD]]</f>
        <v>0</v>
      </c>
      <c r="AM951" s="204">
        <f>Delivery[[#This Row],[Valor Prêmio Nespresso BEN por Kg (em US$)]]*60</f>
        <v>0</v>
      </c>
      <c r="AN951" s="204">
        <f>Delivery[[#This Row],[Valor Prêmio Nespresso BEN por saca (em US$)]]/1.3228/100</f>
        <v>0</v>
      </c>
      <c r="AO951" s="204">
        <f>SUMIF(Allocation[Delivery ID],Delivery[[#This Row],[Delivery ID]],Allocation[Quantity allocated])*16*1.3228*Delivery[[#This Row],[Exchange rate VS USD]]/60</f>
        <v>7519.1161994666672</v>
      </c>
      <c r="AP951" s="204">
        <f>Delivery[[#This Row],[AAA Premium (total)]]</f>
        <v>9853.9699999999993</v>
      </c>
      <c r="AQ951" s="204">
        <f>Delivery[[#This Row],[Valor pago pelo Cluster]]-Delivery[[#This Row],[Valor efetivamente pago pela Nespresso]]</f>
        <v>2334.8538005333321</v>
      </c>
    </row>
    <row r="952" spans="1:43" ht="15.75">
      <c r="A952" s="174" t="s">
        <v>69</v>
      </c>
      <c r="B952" s="232" t="s">
        <v>68</v>
      </c>
      <c r="C952" s="157">
        <v>1</v>
      </c>
      <c r="D952" s="157" t="s">
        <v>468</v>
      </c>
      <c r="E952" s="177" t="s">
        <v>468</v>
      </c>
      <c r="F952" s="233" t="s">
        <v>543</v>
      </c>
      <c r="G952" s="234">
        <v>43357</v>
      </c>
      <c r="H952" s="157" t="s">
        <v>1084</v>
      </c>
      <c r="I952" s="157" t="s">
        <v>988</v>
      </c>
      <c r="J952" s="237">
        <v>7815</v>
      </c>
      <c r="K952" s="175" t="s">
        <v>61</v>
      </c>
      <c r="L952" s="175" t="s">
        <v>439</v>
      </c>
      <c r="M952" s="175" t="s">
        <v>1343</v>
      </c>
      <c r="N952" s="198"/>
      <c r="O952" s="199"/>
      <c r="P952" s="181">
        <v>0</v>
      </c>
      <c r="Q952" s="177">
        <v>43355</v>
      </c>
      <c r="R952" s="178">
        <v>419.51525000000004</v>
      </c>
      <c r="S952" s="179">
        <v>54959.55</v>
      </c>
      <c r="T952" s="182" t="s">
        <v>45</v>
      </c>
      <c r="U952" s="183">
        <v>4.1230000000000002</v>
      </c>
      <c r="V952" s="179">
        <v>5380.51</v>
      </c>
      <c r="W952" s="179">
        <v>0</v>
      </c>
      <c r="X952" s="196" t="s">
        <v>45</v>
      </c>
      <c r="Y952" s="200">
        <v>4.1230000000000002</v>
      </c>
      <c r="Z952" s="220"/>
      <c r="AA952" s="201">
        <f>Delivery[[#This Row],[Quantity delivered]]*VLOOKUP(Delivery[[#This Row],[Unit]],References!$U:$X,4,FALSE)*VLOOKUP(CONCATENATE(Delivery[[#This Row],[Coffee specie]],Delivery[[#This Row],[Coffee state]]),References!$U:$X,4,FALSE)</f>
        <v>7815</v>
      </c>
      <c r="AB952" s="202">
        <f>SUMIF(Allocation!C:C,Delivery[[#This Row],[Delivery ID]],Allocation!D:D)/Delivery[[#This Row],[Quantity delivered]]</f>
        <v>0.85681381957773517</v>
      </c>
      <c r="AC952" s="203">
        <f>Delivery[[#This Row],[Quantity delivered]]*Delivery[[#This Row],[Base price (Unidad)]]/60</f>
        <v>54641.861312500005</v>
      </c>
      <c r="AD952" s="204">
        <f>Delivery[[#This Row],[Nespresso total]]-Delivery[[#This Row],[Qt. Delivery * Base Price]]</f>
        <v>317.6886874999982</v>
      </c>
      <c r="AE952" s="204">
        <f>Delivery[[#This Row],[AAA Premium (total)]]/Delivery[[#This Row],[Quantity delivered]]*60/Delivery[[#This Row],[Exchange rate VS USD]]</f>
        <v>10.019184547338254</v>
      </c>
      <c r="AF952" s="204">
        <f>Delivery[[#This Row],[BEN premium (total)]]/Delivery[[#This Row],[Quantity delivered]]*60/Delivery[[#This Row],[Exchange rate for premiums VS USD]]</f>
        <v>0</v>
      </c>
      <c r="AG952" s="204">
        <f>COUNTIF(Delivery[Delivery ID],Delivery[[#This Row],[Delivery ID]])</f>
        <v>1</v>
      </c>
      <c r="AH952" s="204">
        <f>(Delivery[[#This Row],[Nespresso total]]/SUMIF(Allocation!C:C,Delivery[Delivery ID],Allocation!H:H))/Delivery[[#This Row],[Exchange rate VS USD]]</f>
        <v>4.7403948429325959</v>
      </c>
      <c r="AI952" s="204">
        <f>(Delivery[[#This Row],[AAA Premium (total)]]/SUMIF(Allocation!C:C,Delivery[Delivery ID],Allocation!H:H))/Delivery[[#This Row],[Exchange rate VS USD]]</f>
        <v>0.46408207229402831</v>
      </c>
      <c r="AJ952" s="204">
        <f>Delivery[[#This Row],[Valor Prêmio Nespresso AAA por Kg (em US$)]]*60</f>
        <v>27.8449243376417</v>
      </c>
      <c r="AK952" s="204">
        <f>Delivery[[#This Row],[Valor Prêmio Nespresso AAA por saca (em US$)]]/1.3228/100</f>
        <v>0.21049988159692848</v>
      </c>
      <c r="AL952" s="204">
        <f>(Delivery[[#This Row],[BEN premium (total)]]/SUMIF(Allocation!C:C,Delivery[Delivery ID],Allocation!H:H))/Delivery[[#This Row],[Exchange rate for premiums VS USD]]</f>
        <v>0</v>
      </c>
      <c r="AM952" s="204">
        <f>Delivery[[#This Row],[Valor Prêmio Nespresso BEN por Kg (em US$)]]*60</f>
        <v>0</v>
      </c>
      <c r="AN952" s="204">
        <f>Delivery[[#This Row],[Valor Prêmio Nespresso BEN por saca (em US$)]]/1.3228/100</f>
        <v>0</v>
      </c>
      <c r="AO952" s="204">
        <f>SUMIF(Allocation[Delivery ID],Delivery[[#This Row],[Delivery ID]],Allocation[Quantity allocated])*16*1.3228*Delivery[[#This Row],[Exchange rate VS USD]]/60</f>
        <v>4089.7011127466671</v>
      </c>
      <c r="AP952" s="204">
        <f>Delivery[[#This Row],[AAA Premium (total)]]</f>
        <v>5380.51</v>
      </c>
      <c r="AQ952" s="204">
        <f>Delivery[[#This Row],[Valor pago pelo Cluster]]-Delivery[[#This Row],[Valor efetivamente pago pela Nespresso]]</f>
        <v>1290.8088872533331</v>
      </c>
    </row>
    <row r="953" spans="1:43" ht="15.75">
      <c r="A953" s="174" t="s">
        <v>69</v>
      </c>
      <c r="B953" s="232" t="s">
        <v>68</v>
      </c>
      <c r="C953" s="157">
        <v>1</v>
      </c>
      <c r="D953" s="157" t="s">
        <v>468</v>
      </c>
      <c r="E953" s="177" t="s">
        <v>468</v>
      </c>
      <c r="F953" s="233" t="s">
        <v>543</v>
      </c>
      <c r="G953" s="234">
        <v>43361</v>
      </c>
      <c r="H953" s="157" t="s">
        <v>1085</v>
      </c>
      <c r="I953" s="157" t="s">
        <v>1086</v>
      </c>
      <c r="J953" s="237">
        <v>31240</v>
      </c>
      <c r="K953" s="175" t="s">
        <v>61</v>
      </c>
      <c r="L953" s="175" t="s">
        <v>439</v>
      </c>
      <c r="M953" s="175" t="s">
        <v>1343</v>
      </c>
      <c r="N953" s="198"/>
      <c r="O953" s="199"/>
      <c r="P953" s="181">
        <v>0</v>
      </c>
      <c r="Q953" s="177">
        <v>43354</v>
      </c>
      <c r="R953" s="178">
        <v>417.07007500000003</v>
      </c>
      <c r="S953" s="179">
        <v>217568</v>
      </c>
      <c r="T953" s="182" t="s">
        <v>45</v>
      </c>
      <c r="U953" s="183">
        <v>4.1603000000000003</v>
      </c>
      <c r="V953" s="179">
        <v>21632</v>
      </c>
      <c r="W953" s="179">
        <v>0</v>
      </c>
      <c r="X953" s="196" t="s">
        <v>45</v>
      </c>
      <c r="Y953" s="200">
        <v>4.1603000000000003</v>
      </c>
      <c r="Z953" s="220"/>
      <c r="AA953" s="201">
        <f>Delivery[[#This Row],[Quantity delivered]]*VLOOKUP(Delivery[[#This Row],[Unit]],References!$U:$X,4,FALSE)*VLOOKUP(CONCATENATE(Delivery[[#This Row],[Coffee specie]],Delivery[[#This Row],[Coffee state]]),References!$U:$X,4,FALSE)</f>
        <v>31240</v>
      </c>
      <c r="AB953" s="202">
        <f>SUMIF(Allocation!C:C,Delivery[[#This Row],[Delivery ID]],Allocation!D:D)/Delivery[[#This Row],[Quantity delivered]]</f>
        <v>0.85224071702944937</v>
      </c>
      <c r="AC953" s="203">
        <f>Delivery[[#This Row],[Quantity delivered]]*Delivery[[#This Row],[Base price (Unidad)]]/60</f>
        <v>217154.48571666668</v>
      </c>
      <c r="AD953" s="204">
        <f>Delivery[[#This Row],[Nespresso total]]-Delivery[[#This Row],[Qt. Delivery * Base Price]]</f>
        <v>413.51428333332296</v>
      </c>
      <c r="AE953" s="204">
        <f>Delivery[[#This Row],[AAA Premium (total)]]/Delivery[[#This Row],[Quantity delivered]]*60/Delivery[[#This Row],[Exchange rate VS USD]]</f>
        <v>9.9864757241510596</v>
      </c>
      <c r="AF953" s="204">
        <f>Delivery[[#This Row],[BEN premium (total)]]/Delivery[[#This Row],[Quantity delivered]]*60/Delivery[[#This Row],[Exchange rate for premiums VS USD]]</f>
        <v>0</v>
      </c>
      <c r="AG953" s="204">
        <f>COUNTIF(Delivery[Delivery ID],Delivery[[#This Row],[Delivery ID]])</f>
        <v>1</v>
      </c>
      <c r="AH953" s="204">
        <f>(Delivery[[#This Row],[Nespresso total]]/SUMIF(Allocation!C:C,Delivery[Delivery ID],Allocation!H:H))/Delivery[[#This Row],[Exchange rate VS USD]]</f>
        <v>4.0923568853085435</v>
      </c>
      <c r="AI953" s="204">
        <f>(Delivery[[#This Row],[AAA Premium (total)]]/SUMIF(Allocation!C:C,Delivery[Delivery ID],Allocation!H:H))/Delivery[[#This Row],[Exchange rate VS USD]]</f>
        <v>0.40688825628306741</v>
      </c>
      <c r="AJ953" s="204">
        <f>Delivery[[#This Row],[Valor Prêmio Nespresso AAA por Kg (em US$)]]*60</f>
        <v>24.413295376984046</v>
      </c>
      <c r="AK953" s="204">
        <f>Delivery[[#This Row],[Valor Prêmio Nespresso AAA por saca (em US$)]]/1.3228/100</f>
        <v>0.18455772132585457</v>
      </c>
      <c r="AL953" s="204">
        <f>(Delivery[[#This Row],[BEN premium (total)]]/SUMIF(Allocation!C:C,Delivery[Delivery ID],Allocation!H:H))/Delivery[[#This Row],[Exchange rate for premiums VS USD]]</f>
        <v>0</v>
      </c>
      <c r="AM953" s="204">
        <f>Delivery[[#This Row],[Valor Prêmio Nespresso BEN por Kg (em US$)]]*60</f>
        <v>0</v>
      </c>
      <c r="AN953" s="204">
        <f>Delivery[[#This Row],[Valor Prêmio Nespresso BEN por saca (em US$)]]/1.3228/100</f>
        <v>0</v>
      </c>
      <c r="AO953" s="204">
        <f>SUMIF(Allocation[Delivery ID],Delivery[[#This Row],[Delivery ID]],Allocation[Quantity allocated])*16*1.3228*Delivery[[#This Row],[Exchange rate VS USD]]/60</f>
        <v>18753.59088276267</v>
      </c>
      <c r="AP953" s="204">
        <f>Delivery[[#This Row],[AAA Premium (total)]]</f>
        <v>21632</v>
      </c>
      <c r="AQ953" s="204">
        <f>Delivery[[#This Row],[Valor pago pelo Cluster]]-Delivery[[#This Row],[Valor efetivamente pago pela Nespresso]]</f>
        <v>2878.4091172373301</v>
      </c>
    </row>
    <row r="954" spans="1:43" ht="15.75">
      <c r="A954" s="174" t="s">
        <v>69</v>
      </c>
      <c r="B954" s="232" t="s">
        <v>68</v>
      </c>
      <c r="C954" s="157">
        <v>1</v>
      </c>
      <c r="D954" s="157" t="s">
        <v>468</v>
      </c>
      <c r="E954" s="177" t="s">
        <v>468</v>
      </c>
      <c r="F954" s="233" t="s">
        <v>543</v>
      </c>
      <c r="G954" s="234">
        <v>43362</v>
      </c>
      <c r="H954" s="157" t="s">
        <v>1087</v>
      </c>
      <c r="I954" s="157" t="s">
        <v>970</v>
      </c>
      <c r="J954" s="237">
        <v>28880</v>
      </c>
      <c r="K954" s="175" t="s">
        <v>61</v>
      </c>
      <c r="L954" s="175" t="s">
        <v>439</v>
      </c>
      <c r="M954" s="175" t="s">
        <v>1343</v>
      </c>
      <c r="N954" s="198"/>
      <c r="O954" s="199"/>
      <c r="P954" s="181">
        <v>0</v>
      </c>
      <c r="Q954" s="177">
        <v>43355</v>
      </c>
      <c r="R954" s="178">
        <v>421.19623000000001</v>
      </c>
      <c r="S954" s="179">
        <v>200447.1308361952</v>
      </c>
      <c r="T954" s="182" t="s">
        <v>45</v>
      </c>
      <c r="U954" s="183">
        <v>4.1314000000000002</v>
      </c>
      <c r="V954" s="179">
        <v>41731.56</v>
      </c>
      <c r="W954" s="179">
        <v>11870.119581902401</v>
      </c>
      <c r="X954" s="196" t="s">
        <v>45</v>
      </c>
      <c r="Y954" s="200">
        <v>4.1314000000000002</v>
      </c>
      <c r="Z954" s="220" t="s">
        <v>473</v>
      </c>
      <c r="AA954" s="201">
        <f>Delivery[[#This Row],[Quantity delivered]]*VLOOKUP(Delivery[[#This Row],[Unit]],References!$U:$X,4,FALSE)*VLOOKUP(CONCATENATE(Delivery[[#This Row],[Coffee specie]],Delivery[[#This Row],[Coffee state]]),References!$U:$X,4,FALSE)</f>
        <v>28880</v>
      </c>
      <c r="AB954" s="202">
        <f>SUMIF(Allocation!C:C,Delivery[[#This Row],[Delivery ID]],Allocation!D:D)/Delivery[[#This Row],[Quantity delivered]]</f>
        <v>1</v>
      </c>
      <c r="AC954" s="203">
        <f>Delivery[[#This Row],[Quantity delivered]]*Delivery[[#This Row],[Base price (Unidad)]]/60</f>
        <v>202735.78537333335</v>
      </c>
      <c r="AD954" s="204">
        <f>Delivery[[#This Row],[Nespresso total]]-Delivery[[#This Row],[Qt. Delivery * Base Price]]</f>
        <v>-2288.6545371381508</v>
      </c>
      <c r="AE954" s="204">
        <f>Delivery[[#This Row],[AAA Premium (total)]]/Delivery[[#This Row],[Quantity delivered]]*60/Delivery[[#This Row],[Exchange rate VS USD]]</f>
        <v>20.985602192357774</v>
      </c>
      <c r="AF954" s="204">
        <f>Delivery[[#This Row],[BEN premium (total)]]/Delivery[[#This Row],[Quantity delivered]]*60/Delivery[[#This Row],[Exchange rate for premiums VS USD]]</f>
        <v>5.9691419999999997</v>
      </c>
      <c r="AG954" s="204">
        <f>COUNTIF(Delivery[Delivery ID],Delivery[[#This Row],[Delivery ID]])</f>
        <v>1</v>
      </c>
      <c r="AH954" s="204">
        <f>(Delivery[[#This Row],[Nespresso total]]/SUMIF(Allocation!C:C,Delivery[Delivery ID],Allocation!H:H))/Delivery[[#This Row],[Exchange rate VS USD]]</f>
        <v>1.7096433093983472</v>
      </c>
      <c r="AI954" s="204">
        <f>(Delivery[[#This Row],[AAA Premium (total)]]/SUMIF(Allocation!C:C,Delivery[Delivery ID],Allocation!H:H))/Delivery[[#This Row],[Exchange rate VS USD]]</f>
        <v>0.3559346649020359</v>
      </c>
      <c r="AJ954" s="204">
        <f>Delivery[[#This Row],[Valor Prêmio Nespresso AAA por Kg (em US$)]]*60</f>
        <v>21.356079894122153</v>
      </c>
      <c r="AK954" s="204">
        <f>Delivery[[#This Row],[Valor Prêmio Nespresso AAA por saca (em US$)]]/1.3228/100</f>
        <v>0.16144602278592499</v>
      </c>
      <c r="AL954" s="204">
        <f>(Delivery[[#This Row],[BEN premium (total)]]/SUMIF(Allocation!C:C,Delivery[Delivery ID],Allocation!H:H))/Delivery[[#This Row],[Exchange rate for premiums VS USD]]</f>
        <v>0.10124201050072237</v>
      </c>
      <c r="AM954" s="204">
        <f>Delivery[[#This Row],[Valor Prêmio Nespresso BEN por Kg (em US$)]]*60</f>
        <v>6.0745206300433425</v>
      </c>
      <c r="AN954" s="204">
        <f>Delivery[[#This Row],[Valor Prêmio Nespresso BEN por saca (em US$)]]/1.3228/100</f>
        <v>4.5921686045081206E-2</v>
      </c>
      <c r="AO954" s="204">
        <f>SUMIF(Allocation[Delivery ID],Delivery[[#This Row],[Delivery ID]],Allocation[Quantity allocated])*16*1.3228*Delivery[[#This Row],[Exchange rate VS USD]]/60</f>
        <v>41357.783144981331</v>
      </c>
      <c r="AP954" s="204">
        <f>Delivery[[#This Row],[AAA Premium (total)]]</f>
        <v>41731.56</v>
      </c>
      <c r="AQ954" s="204">
        <f>Delivery[[#This Row],[Valor pago pelo Cluster]]-Delivery[[#This Row],[Valor efetivamente pago pela Nespresso]]</f>
        <v>373.77685501866654</v>
      </c>
    </row>
    <row r="955" spans="1:43" ht="15.75">
      <c r="A955" s="174" t="s">
        <v>69</v>
      </c>
      <c r="B955" s="232" t="s">
        <v>68</v>
      </c>
      <c r="C955" s="157">
        <v>1</v>
      </c>
      <c r="D955" s="157" t="s">
        <v>468</v>
      </c>
      <c r="E955" s="177" t="s">
        <v>468</v>
      </c>
      <c r="F955" s="233" t="s">
        <v>543</v>
      </c>
      <c r="G955" s="234">
        <v>43361</v>
      </c>
      <c r="H955" s="157" t="s">
        <v>1088</v>
      </c>
      <c r="I955" s="157" t="s">
        <v>1086</v>
      </c>
      <c r="J955" s="237">
        <v>37870</v>
      </c>
      <c r="K955" s="175" t="s">
        <v>61</v>
      </c>
      <c r="L955" s="175" t="s">
        <v>439</v>
      </c>
      <c r="M955" s="175" t="s">
        <v>1343</v>
      </c>
      <c r="N955" s="198"/>
      <c r="O955" s="199"/>
      <c r="P955" s="181">
        <v>0</v>
      </c>
      <c r="Q955" s="177">
        <v>43354</v>
      </c>
      <c r="R955" s="178">
        <v>417.07007500000003</v>
      </c>
      <c r="S955" s="179">
        <v>263176.59999999998</v>
      </c>
      <c r="T955" s="182" t="s">
        <v>45</v>
      </c>
      <c r="U955" s="183">
        <v>4.1603000000000003</v>
      </c>
      <c r="V955" s="179">
        <v>26166.400000000001</v>
      </c>
      <c r="W955" s="179">
        <v>0</v>
      </c>
      <c r="X955" s="196" t="s">
        <v>45</v>
      </c>
      <c r="Y955" s="200">
        <v>4.1603000000000003</v>
      </c>
      <c r="Z955" s="220"/>
      <c r="AA955" s="201">
        <f>Delivery[[#This Row],[Quantity delivered]]*VLOOKUP(Delivery[[#This Row],[Unit]],References!$U:$X,4,FALSE)*VLOOKUP(CONCATENATE(Delivery[[#This Row],[Coffee specie]],Delivery[[#This Row],[Coffee state]]),References!$U:$X,4,FALSE)</f>
        <v>37870</v>
      </c>
      <c r="AB955" s="202">
        <f>SUMIF(Allocation!C:C,Delivery[[#This Row],[Delivery ID]],Allocation!D:D)/Delivery[[#This Row],[Quantity delivered]]</f>
        <v>0.85141272775283861</v>
      </c>
      <c r="AC955" s="203">
        <f>Delivery[[#This Row],[Quantity delivered]]*Delivery[[#This Row],[Base price (Unidad)]]/60</f>
        <v>263240.72900416667</v>
      </c>
      <c r="AD955" s="204">
        <f>Delivery[[#This Row],[Nespresso total]]-Delivery[[#This Row],[Qt. Delivery * Base Price]]</f>
        <v>-64.129004166694358</v>
      </c>
      <c r="AE955" s="204">
        <f>Delivery[[#This Row],[AAA Premium (total)]]/Delivery[[#This Row],[Quantity delivered]]*60/Delivery[[#This Row],[Exchange rate VS USD]]</f>
        <v>9.9649534094645347</v>
      </c>
      <c r="AF955" s="204">
        <f>Delivery[[#This Row],[BEN premium (total)]]/Delivery[[#This Row],[Quantity delivered]]*60/Delivery[[#This Row],[Exchange rate for premiums VS USD]]</f>
        <v>0</v>
      </c>
      <c r="AG955" s="204">
        <f>COUNTIF(Delivery[Delivery ID],Delivery[[#This Row],[Delivery ID]])</f>
        <v>1</v>
      </c>
      <c r="AH955" s="204">
        <f>(Delivery[[#This Row],[Nespresso total]]/SUMIF(Allocation!C:C,Delivery[Delivery ID],Allocation!H:H))/Delivery[[#This Row],[Exchange rate VS USD]]</f>
        <v>4.0872936498646606</v>
      </c>
      <c r="AI955" s="204">
        <f>(Delivery[[#This Row],[AAA Premium (total)]]/SUMIF(Allocation!C:C,Delivery[Delivery ID],Allocation!H:H))/Delivery[[#This Row],[Exchange rate VS USD]]</f>
        <v>0.4063802046223664</v>
      </c>
      <c r="AJ955" s="204">
        <f>Delivery[[#This Row],[Valor Prêmio Nespresso AAA por Kg (em US$)]]*60</f>
        <v>24.382812277341984</v>
      </c>
      <c r="AK955" s="204">
        <f>Delivery[[#This Row],[Valor Prêmio Nespresso AAA por saca (em US$)]]/1.3228/100</f>
        <v>0.18432727757289072</v>
      </c>
      <c r="AL955" s="204">
        <f>(Delivery[[#This Row],[BEN premium (total)]]/SUMIF(Allocation!C:C,Delivery[Delivery ID],Allocation!H:H))/Delivery[[#This Row],[Exchange rate for premiums VS USD]]</f>
        <v>0</v>
      </c>
      <c r="AM955" s="204">
        <f>Delivery[[#This Row],[Valor Prêmio Nespresso BEN por Kg (em US$)]]*60</f>
        <v>0</v>
      </c>
      <c r="AN955" s="204">
        <f>Delivery[[#This Row],[Valor Prêmio Nespresso BEN por saca (em US$)]]/1.3228/100</f>
        <v>0</v>
      </c>
      <c r="AO955" s="204">
        <f>SUMIF(Allocation[Delivery ID],Delivery[[#This Row],[Delivery ID]],Allocation[Quantity allocated])*16*1.3228*Delivery[[#This Row],[Exchange rate VS USD]]/60</f>
        <v>22712.992103648001</v>
      </c>
      <c r="AP955" s="204">
        <f>Delivery[[#This Row],[AAA Premium (total)]]</f>
        <v>26166.400000000001</v>
      </c>
      <c r="AQ955" s="204">
        <f>Delivery[[#This Row],[Valor pago pelo Cluster]]-Delivery[[#This Row],[Valor efetivamente pago pela Nespresso]]</f>
        <v>3453.4078963520005</v>
      </c>
    </row>
    <row r="956" spans="1:43" ht="15.75">
      <c r="A956" s="174" t="s">
        <v>69</v>
      </c>
      <c r="B956" s="232" t="s">
        <v>68</v>
      </c>
      <c r="C956" s="157">
        <v>1</v>
      </c>
      <c r="D956" s="157" t="s">
        <v>468</v>
      </c>
      <c r="E956" s="177" t="s">
        <v>468</v>
      </c>
      <c r="F956" s="233" t="s">
        <v>543</v>
      </c>
      <c r="G956" s="234">
        <v>43364</v>
      </c>
      <c r="H956" s="157" t="s">
        <v>1089</v>
      </c>
      <c r="I956" s="157" t="s">
        <v>958</v>
      </c>
      <c r="J956" s="237">
        <v>29932</v>
      </c>
      <c r="K956" s="175" t="s">
        <v>61</v>
      </c>
      <c r="L956" s="175" t="s">
        <v>439</v>
      </c>
      <c r="M956" s="175" t="s">
        <v>1343</v>
      </c>
      <c r="N956" s="198"/>
      <c r="O956" s="199"/>
      <c r="P956" s="181">
        <v>0</v>
      </c>
      <c r="Q956" s="177">
        <v>43357</v>
      </c>
      <c r="R956" s="178">
        <v>416.82467999999994</v>
      </c>
      <c r="S956" s="179">
        <v>207595.15</v>
      </c>
      <c r="T956" s="182" t="s">
        <v>45</v>
      </c>
      <c r="U956" s="183">
        <v>4.1765999999999996</v>
      </c>
      <c r="V956" s="179">
        <v>14519.37</v>
      </c>
      <c r="W956" s="179">
        <v>0</v>
      </c>
      <c r="X956" s="196" t="s">
        <v>45</v>
      </c>
      <c r="Y956" s="200">
        <v>4.1765999999999996</v>
      </c>
      <c r="Z956" s="220"/>
      <c r="AA956" s="201">
        <f>Delivery[[#This Row],[Quantity delivered]]*VLOOKUP(Delivery[[#This Row],[Unit]],References!$U:$X,4,FALSE)*VLOOKUP(CONCATENATE(Delivery[[#This Row],[Coffee specie]],Delivery[[#This Row],[Coffee state]]),References!$U:$X,4,FALSE)</f>
        <v>29932</v>
      </c>
      <c r="AB956" s="202">
        <f>SUMIF(Allocation!C:C,Delivery[[#This Row],[Delivery ID]],Allocation!D:D)/Delivery[[#This Row],[Quantity delivered]]</f>
        <v>1</v>
      </c>
      <c r="AC956" s="203">
        <f>Delivery[[#This Row],[Quantity delivered]]*Delivery[[#This Row],[Base price (Unidad)]]/60</f>
        <v>207939.93869599997</v>
      </c>
      <c r="AD956" s="204">
        <f>Delivery[[#This Row],[Nespresso total]]-Delivery[[#This Row],[Qt. Delivery * Base Price]]</f>
        <v>-344.78869599997415</v>
      </c>
      <c r="AE956" s="204">
        <f>Delivery[[#This Row],[AAA Premium (total)]]/Delivery[[#This Row],[Quantity delivered]]*60/Delivery[[#This Row],[Exchange rate VS USD]]</f>
        <v>6.9685176166105807</v>
      </c>
      <c r="AF956" s="204">
        <f>Delivery[[#This Row],[BEN premium (total)]]/Delivery[[#This Row],[Quantity delivered]]*60/Delivery[[#This Row],[Exchange rate for premiums VS USD]]</f>
        <v>0</v>
      </c>
      <c r="AG956" s="204">
        <f>COUNTIF(Delivery[Delivery ID],Delivery[[#This Row],[Delivery ID]])</f>
        <v>1</v>
      </c>
      <c r="AH956" s="204">
        <f>(Delivery[[#This Row],[Nespresso total]]/SUMIF(Allocation!C:C,Delivery[Delivery ID],Allocation!H:H))/Delivery[[#This Row],[Exchange rate VS USD]]</f>
        <v>5.6150407649582288</v>
      </c>
      <c r="AI956" s="204">
        <f>(Delivery[[#This Row],[AAA Premium (total)]]/SUMIF(Allocation!C:C,Delivery[Delivery ID],Allocation!H:H))/Delivery[[#This Row],[Exchange rate VS USD]]</f>
        <v>0.3927204196798989</v>
      </c>
      <c r="AJ956" s="204">
        <f>Delivery[[#This Row],[Valor Prêmio Nespresso AAA por Kg (em US$)]]*60</f>
        <v>23.563225180793935</v>
      </c>
      <c r="AK956" s="204">
        <f>Delivery[[#This Row],[Valor Prêmio Nespresso AAA por saca (em US$)]]/1.3228/100</f>
        <v>0.17813142713028376</v>
      </c>
      <c r="AL956" s="204">
        <f>(Delivery[[#This Row],[BEN premium (total)]]/SUMIF(Allocation!C:C,Delivery[Delivery ID],Allocation!H:H))/Delivery[[#This Row],[Exchange rate for premiums VS USD]]</f>
        <v>0</v>
      </c>
      <c r="AM956" s="204">
        <f>Delivery[[#This Row],[Valor Prêmio Nespresso BEN por Kg (em US$)]]*60</f>
        <v>0</v>
      </c>
      <c r="AN956" s="204">
        <f>Delivery[[#This Row],[Valor Prêmio Nespresso BEN por saca (em US$)]]/1.3228/100</f>
        <v>0</v>
      </c>
      <c r="AO956" s="204">
        <f>SUMIF(Allocation[Delivery ID],Delivery[[#This Row],[Delivery ID]],Allocation[Quantity allocated])*16*1.3228*Delivery[[#This Row],[Exchange rate VS USD]]/60</f>
        <v>13041.489856255999</v>
      </c>
      <c r="AP956" s="204">
        <f>Delivery[[#This Row],[AAA Premium (total)]]</f>
        <v>14519.37</v>
      </c>
      <c r="AQ956" s="204">
        <f>Delivery[[#This Row],[Valor pago pelo Cluster]]-Delivery[[#This Row],[Valor efetivamente pago pela Nespresso]]</f>
        <v>1477.8801437440015</v>
      </c>
    </row>
    <row r="957" spans="1:43" ht="15.75">
      <c r="A957" s="174" t="s">
        <v>69</v>
      </c>
      <c r="B957" s="232" t="s">
        <v>68</v>
      </c>
      <c r="C957" s="157">
        <v>1</v>
      </c>
      <c r="D957" s="157" t="s">
        <v>468</v>
      </c>
      <c r="E957" s="177" t="s">
        <v>468</v>
      </c>
      <c r="F957" s="233" t="s">
        <v>543</v>
      </c>
      <c r="G957" s="234">
        <v>43363</v>
      </c>
      <c r="H957" s="157" t="s">
        <v>1090</v>
      </c>
      <c r="I957" s="157" t="s">
        <v>1002</v>
      </c>
      <c r="J957" s="237">
        <v>28700</v>
      </c>
      <c r="K957" s="175" t="s">
        <v>61</v>
      </c>
      <c r="L957" s="175" t="s">
        <v>439</v>
      </c>
      <c r="M957" s="175" t="s">
        <v>1343</v>
      </c>
      <c r="N957" s="198"/>
      <c r="O957" s="199"/>
      <c r="P957" s="181">
        <v>0</v>
      </c>
      <c r="Q957" s="177">
        <v>43355</v>
      </c>
      <c r="R957" s="178">
        <v>422.35385000000002</v>
      </c>
      <c r="S957" s="179">
        <v>190175.13</v>
      </c>
      <c r="T957" s="182" t="s">
        <v>45</v>
      </c>
      <c r="U957" s="183">
        <v>4.1306000000000003</v>
      </c>
      <c r="V957" s="179">
        <v>19704.87</v>
      </c>
      <c r="W957" s="179">
        <v>0</v>
      </c>
      <c r="X957" s="196" t="s">
        <v>45</v>
      </c>
      <c r="Y957" s="200">
        <v>4.1306000000000003</v>
      </c>
      <c r="Z957" s="220"/>
      <c r="AA957" s="201">
        <f>Delivery[[#This Row],[Quantity delivered]]*VLOOKUP(Delivery[[#This Row],[Unit]],References!$U:$X,4,FALSE)*VLOOKUP(CONCATENATE(Delivery[[#This Row],[Coffee specie]],Delivery[[#This Row],[Coffee state]]),References!$U:$X,4,FALSE)</f>
        <v>28700</v>
      </c>
      <c r="AB957" s="202">
        <f>SUMIF(Allocation!C:C,Delivery[[#This Row],[Delivery ID]],Allocation!D:D)/Delivery[[#This Row],[Quantity delivered]]</f>
        <v>0.78212543554006964</v>
      </c>
      <c r="AC957" s="203">
        <f>Delivery[[#This Row],[Quantity delivered]]*Delivery[[#This Row],[Base price (Unidad)]]/60</f>
        <v>202025.92491666667</v>
      </c>
      <c r="AD957" s="204">
        <f>Delivery[[#This Row],[Nespresso total]]-Delivery[[#This Row],[Qt. Delivery * Base Price]]</f>
        <v>-11850.794916666666</v>
      </c>
      <c r="AE957" s="204">
        <f>Delivery[[#This Row],[AAA Premium (total)]]/Delivery[[#This Row],[Quantity delivered]]*60/Delivery[[#This Row],[Exchange rate VS USD]]</f>
        <v>9.9730911185338762</v>
      </c>
      <c r="AF957" s="204">
        <f>Delivery[[#This Row],[BEN premium (total)]]/Delivery[[#This Row],[Quantity delivered]]*60/Delivery[[#This Row],[Exchange rate for premiums VS USD]]</f>
        <v>0</v>
      </c>
      <c r="AG957" s="204">
        <f>COUNTIF(Delivery[Delivery ID],Delivery[[#This Row],[Delivery ID]])</f>
        <v>1</v>
      </c>
      <c r="AH957" s="204">
        <f>(Delivery[[#This Row],[Nespresso total]]/SUMIF(Allocation!C:C,Delivery[Delivery ID],Allocation!H:H))/Delivery[[#This Row],[Exchange rate VS USD]]</f>
        <v>4.4591339731143771</v>
      </c>
      <c r="AI957" s="204">
        <f>(Delivery[[#This Row],[AAA Premium (total)]]/SUMIF(Allocation!C:C,Delivery[Delivery ID],Allocation!H:H))/Delivery[[#This Row],[Exchange rate VS USD]]</f>
        <v>0.46203021001117389</v>
      </c>
      <c r="AJ957" s="204">
        <f>Delivery[[#This Row],[Valor Prêmio Nespresso AAA por Kg (em US$)]]*60</f>
        <v>27.721812600670432</v>
      </c>
      <c r="AK957" s="204">
        <f>Delivery[[#This Row],[Valor Prêmio Nespresso AAA por saca (em US$)]]/1.3228/100</f>
        <v>0.20956919111483543</v>
      </c>
      <c r="AL957" s="204">
        <f>(Delivery[[#This Row],[BEN premium (total)]]/SUMIF(Allocation!C:C,Delivery[Delivery ID],Allocation!H:H))/Delivery[[#This Row],[Exchange rate for premiums VS USD]]</f>
        <v>0</v>
      </c>
      <c r="AM957" s="204">
        <f>Delivery[[#This Row],[Valor Prêmio Nespresso BEN por Kg (em US$)]]*60</f>
        <v>0</v>
      </c>
      <c r="AN957" s="204">
        <f>Delivery[[#This Row],[Valor Prêmio Nespresso BEN por saca (em US$)]]/1.3228/100</f>
        <v>0</v>
      </c>
      <c r="AO957" s="204">
        <f>SUMIF(Allocation[Delivery ID],Delivery[[#This Row],[Delivery ID]],Allocation[Quantity allocated])*16*1.3228*Delivery[[#This Row],[Exchange rate VS USD]]/60</f>
        <v>15044.096812266669</v>
      </c>
      <c r="AP957" s="204">
        <f>Delivery[[#This Row],[AAA Premium (total)]]</f>
        <v>19704.87</v>
      </c>
      <c r="AQ957" s="204">
        <f>Delivery[[#This Row],[Valor pago pelo Cluster]]-Delivery[[#This Row],[Valor efetivamente pago pela Nespresso]]</f>
        <v>4660.7731877333299</v>
      </c>
    </row>
    <row r="958" spans="1:43" ht="15.75">
      <c r="A958" s="174" t="s">
        <v>69</v>
      </c>
      <c r="B958" s="232" t="s">
        <v>68</v>
      </c>
      <c r="C958" s="157">
        <v>1</v>
      </c>
      <c r="D958" s="157" t="s">
        <v>468</v>
      </c>
      <c r="E958" s="177" t="s">
        <v>468</v>
      </c>
      <c r="F958" s="233" t="s">
        <v>543</v>
      </c>
      <c r="G958" s="234">
        <v>43363</v>
      </c>
      <c r="H958" s="157" t="s">
        <v>1091</v>
      </c>
      <c r="I958" s="157" t="s">
        <v>1092</v>
      </c>
      <c r="J958" s="237">
        <v>12660</v>
      </c>
      <c r="K958" s="175" t="s">
        <v>61</v>
      </c>
      <c r="L958" s="175" t="s">
        <v>439</v>
      </c>
      <c r="M958" s="175" t="s">
        <v>1343</v>
      </c>
      <c r="N958" s="198"/>
      <c r="O958" s="199"/>
      <c r="P958" s="181">
        <v>0</v>
      </c>
      <c r="Q958" s="177">
        <v>43355</v>
      </c>
      <c r="R958" s="178">
        <v>422.35385000000002</v>
      </c>
      <c r="S958" s="179">
        <v>84123.59</v>
      </c>
      <c r="T958" s="182" t="s">
        <v>45</v>
      </c>
      <c r="U958" s="183">
        <v>4.1306000000000003</v>
      </c>
      <c r="V958" s="179">
        <v>8716.41</v>
      </c>
      <c r="W958" s="179">
        <v>0</v>
      </c>
      <c r="X958" s="196" t="s">
        <v>45</v>
      </c>
      <c r="Y958" s="200">
        <v>4.1306000000000003</v>
      </c>
      <c r="Z958" s="220"/>
      <c r="AA958" s="201">
        <f>Delivery[[#This Row],[Quantity delivered]]*VLOOKUP(Delivery[[#This Row],[Unit]],References!$U:$X,4,FALSE)*VLOOKUP(CONCATENATE(Delivery[[#This Row],[Coffee specie]],Delivery[[#This Row],[Coffee state]]),References!$U:$X,4,FALSE)</f>
        <v>12660</v>
      </c>
      <c r="AB958" s="202">
        <f>SUMIF(Allocation!C:C,Delivery[[#This Row],[Delivery ID]],Allocation!D:D)/Delivery[[#This Row],[Quantity delivered]]</f>
        <v>1</v>
      </c>
      <c r="AC958" s="203">
        <f>Delivery[[#This Row],[Quantity delivered]]*Delivery[[#This Row],[Base price (Unidad)]]/60</f>
        <v>89116.662350000013</v>
      </c>
      <c r="AD958" s="204">
        <f>Delivery[[#This Row],[Nespresso total]]-Delivery[[#This Row],[Qt. Delivery * Base Price]]</f>
        <v>-4993.0723500000167</v>
      </c>
      <c r="AE958" s="204">
        <f>Delivery[[#This Row],[AAA Premium (total)]]/Delivery[[#This Row],[Quantity delivered]]*60/Delivery[[#This Row],[Exchange rate VS USD]]</f>
        <v>10.000968382317339</v>
      </c>
      <c r="AF958" s="204">
        <f>Delivery[[#This Row],[BEN premium (total)]]/Delivery[[#This Row],[Quantity delivered]]*60/Delivery[[#This Row],[Exchange rate for premiums VS USD]]</f>
        <v>0</v>
      </c>
      <c r="AG958" s="204">
        <f>COUNTIF(Delivery[Delivery ID],Delivery[[#This Row],[Delivery ID]])</f>
        <v>1</v>
      </c>
      <c r="AH958" s="204">
        <f>(Delivery[[#This Row],[Nespresso total]]/SUMIF(Allocation!C:C,Delivery[Delivery ID],Allocation!H:H))/Delivery[[#This Row],[Exchange rate VS USD]]</f>
        <v>3.4401941312105691</v>
      </c>
      <c r="AI958" s="204">
        <f>(Delivery[[#This Row],[AAA Premium (total)]]/SUMIF(Allocation!C:C,Delivery[Delivery ID],Allocation!H:H))/Delivery[[#This Row],[Exchange rate VS USD]]</f>
        <v>0.35645343389678352</v>
      </c>
      <c r="AJ958" s="204">
        <f>Delivery[[#This Row],[Valor Prêmio Nespresso AAA por Kg (em US$)]]*60</f>
        <v>21.387206033807011</v>
      </c>
      <c r="AK958" s="204">
        <f>Delivery[[#This Row],[Valor Prêmio Nespresso AAA por saca (em US$)]]/1.3228/100</f>
        <v>0.16168132774272007</v>
      </c>
      <c r="AL958" s="204">
        <f>(Delivery[[#This Row],[BEN premium (total)]]/SUMIF(Allocation!C:C,Delivery[Delivery ID],Allocation!H:H))/Delivery[[#This Row],[Exchange rate for premiums VS USD]]</f>
        <v>0</v>
      </c>
      <c r="AM958" s="204">
        <f>Delivery[[#This Row],[Valor Prêmio Nespresso BEN por Kg (em US$)]]*60</f>
        <v>0</v>
      </c>
      <c r="AN958" s="204">
        <f>Delivery[[#This Row],[Valor Prêmio Nespresso BEN por saca (em US$)]]/1.3228/100</f>
        <v>0</v>
      </c>
      <c r="AO958" s="204">
        <f>SUMIF(Allocation[Delivery ID],Delivery[[#This Row],[Delivery ID]],Allocation[Quantity allocated])*16*1.3228*Delivery[[#This Row],[Exchange rate VS USD]]/60</f>
        <v>8625.7678574933325</v>
      </c>
      <c r="AP958" s="204">
        <f>Delivery[[#This Row],[AAA Premium (total)]]</f>
        <v>8716.41</v>
      </c>
      <c r="AQ958" s="204">
        <f>Delivery[[#This Row],[Valor pago pelo Cluster]]-Delivery[[#This Row],[Valor efetivamente pago pela Nespresso]]</f>
        <v>90.642142506667369</v>
      </c>
    </row>
    <row r="959" spans="1:43" ht="15.75">
      <c r="A959" s="174" t="s">
        <v>69</v>
      </c>
      <c r="B959" s="232" t="s">
        <v>68</v>
      </c>
      <c r="C959" s="157">
        <v>1</v>
      </c>
      <c r="D959" s="157" t="s">
        <v>468</v>
      </c>
      <c r="E959" s="177" t="s">
        <v>468</v>
      </c>
      <c r="F959" s="233" t="s">
        <v>543</v>
      </c>
      <c r="G959" s="234">
        <v>43364</v>
      </c>
      <c r="H959" s="157" t="s">
        <v>1093</v>
      </c>
      <c r="I959" s="157" t="s">
        <v>1094</v>
      </c>
      <c r="J959" s="237">
        <v>15756</v>
      </c>
      <c r="K959" s="175" t="s">
        <v>61</v>
      </c>
      <c r="L959" s="175" t="s">
        <v>439</v>
      </c>
      <c r="M959" s="175" t="s">
        <v>1343</v>
      </c>
      <c r="N959" s="198"/>
      <c r="O959" s="199"/>
      <c r="P959" s="181">
        <v>0</v>
      </c>
      <c r="Q959" s="177">
        <v>43355</v>
      </c>
      <c r="R959" s="178">
        <v>423.75467500000002</v>
      </c>
      <c r="S959" s="179">
        <v>103637.31460414571</v>
      </c>
      <c r="T959" s="182" t="s">
        <v>45</v>
      </c>
      <c r="U959" s="183">
        <v>4.1443000000000003</v>
      </c>
      <c r="V959" s="179">
        <v>7600.62</v>
      </c>
      <c r="W959" s="179">
        <v>2021.0326979271522</v>
      </c>
      <c r="X959" s="196" t="s">
        <v>45</v>
      </c>
      <c r="Y959" s="200">
        <v>4.1443000000000003</v>
      </c>
      <c r="Z959" s="220" t="s">
        <v>473</v>
      </c>
      <c r="AA959" s="201">
        <f>Delivery[[#This Row],[Quantity delivered]]*VLOOKUP(Delivery[[#This Row],[Unit]],References!$U:$X,4,FALSE)*VLOOKUP(CONCATENATE(Delivery[[#This Row],[Coffee specie]],Delivery[[#This Row],[Coffee state]]),References!$U:$X,4,FALSE)</f>
        <v>15756</v>
      </c>
      <c r="AB959" s="202">
        <f>SUMIF(Allocation!C:C,Delivery[[#This Row],[Delivery ID]],Allocation!D:D)/Delivery[[#This Row],[Quantity delivered]]</f>
        <v>0.99987306422949984</v>
      </c>
      <c r="AC959" s="203">
        <f>Delivery[[#This Row],[Quantity delivered]]*Delivery[[#This Row],[Base price (Unidad)]]/60</f>
        <v>111277.97765500001</v>
      </c>
      <c r="AD959" s="204">
        <f>Delivery[[#This Row],[Nespresso total]]-Delivery[[#This Row],[Qt. Delivery * Base Price]]</f>
        <v>-7640.6630508543021</v>
      </c>
      <c r="AE959" s="204">
        <f>Delivery[[#This Row],[AAA Premium (total)]]/Delivery[[#This Row],[Quantity delivered]]*60/Delivery[[#This Row],[Exchange rate VS USD]]</f>
        <v>6.9839820185218828</v>
      </c>
      <c r="AF959" s="204">
        <f>Delivery[[#This Row],[BEN premium (total)]]/Delivery[[#This Row],[Quantity delivered]]*60/Delivery[[#This Row],[Exchange rate for premiums VS USD]]</f>
        <v>1.8570664000000001</v>
      </c>
      <c r="AG959" s="204">
        <f>COUNTIF(Delivery[Delivery ID],Delivery[[#This Row],[Delivery ID]])</f>
        <v>1</v>
      </c>
      <c r="AH959" s="204">
        <f>(Delivery[[#This Row],[Nespresso total]]/SUMIF(Allocation!C:C,Delivery[Delivery ID],Allocation!H:H))/Delivery[[#This Row],[Exchange rate VS USD]]</f>
        <v>5.5240101884354944</v>
      </c>
      <c r="AI959" s="204">
        <f>(Delivery[[#This Row],[AAA Premium (total)]]/SUMIF(Allocation!C:C,Delivery[Delivery ID],Allocation!H:H))/Delivery[[#This Row],[Exchange rate VS USD]]</f>
        <v>0.40512341021953757</v>
      </c>
      <c r="AJ959" s="204">
        <f>Delivery[[#This Row],[Valor Prêmio Nespresso AAA por Kg (em US$)]]*60</f>
        <v>24.307404613172253</v>
      </c>
      <c r="AK959" s="204">
        <f>Delivery[[#This Row],[Valor Prêmio Nespresso AAA por saca (em US$)]]/1.3228/100</f>
        <v>0.18375721661001099</v>
      </c>
      <c r="AL959" s="204">
        <f>(Delivery[[#This Row],[BEN premium (total)]]/SUMIF(Allocation!C:C,Delivery[Delivery ID],Allocation!H:H))/Delivery[[#This Row],[Exchange rate for premiums VS USD]]</f>
        <v>0.10772379868345483</v>
      </c>
      <c r="AM959" s="204">
        <f>Delivery[[#This Row],[Valor Prêmio Nespresso BEN por Kg (em US$)]]*60</f>
        <v>6.4634279210072894</v>
      </c>
      <c r="AN959" s="204">
        <f>Delivery[[#This Row],[Valor Prêmio Nespresso BEN por saca (em US$)]]/1.3228/100</f>
        <v>4.8861716971630553E-2</v>
      </c>
      <c r="AO959" s="204">
        <f>SUMIF(Allocation[Delivery ID],Delivery[[#This Row],[Delivery ID]],Allocation[Quantity allocated])*16*1.3228*Delivery[[#This Row],[Exchange rate VS USD]]/60</f>
        <v>6617.9670242880002</v>
      </c>
      <c r="AP959" s="204">
        <f>Delivery[[#This Row],[AAA Premium (total)]]</f>
        <v>7600.62</v>
      </c>
      <c r="AQ959" s="204">
        <f>Delivery[[#This Row],[Valor pago pelo Cluster]]-Delivery[[#This Row],[Valor efetivamente pago pela Nespresso]]</f>
        <v>982.65297571199972</v>
      </c>
    </row>
    <row r="960" spans="1:43" ht="15.75">
      <c r="A960" s="174" t="s">
        <v>69</v>
      </c>
      <c r="B960" s="232" t="s">
        <v>68</v>
      </c>
      <c r="C960" s="157">
        <v>1</v>
      </c>
      <c r="D960" s="157" t="s">
        <v>468</v>
      </c>
      <c r="E960" s="177" t="s">
        <v>468</v>
      </c>
      <c r="F960" s="233" t="s">
        <v>543</v>
      </c>
      <c r="G960" s="234">
        <v>43364</v>
      </c>
      <c r="H960" s="157" t="s">
        <v>1095</v>
      </c>
      <c r="I960" s="157" t="s">
        <v>1094</v>
      </c>
      <c r="J960" s="237">
        <v>14314</v>
      </c>
      <c r="K960" s="175" t="s">
        <v>61</v>
      </c>
      <c r="L960" s="175" t="s">
        <v>439</v>
      </c>
      <c r="M960" s="175" t="s">
        <v>1343</v>
      </c>
      <c r="N960" s="198"/>
      <c r="O960" s="199"/>
      <c r="P960" s="181">
        <v>0</v>
      </c>
      <c r="Q960" s="177">
        <v>43355</v>
      </c>
      <c r="R960" s="178">
        <v>423.75467500000002</v>
      </c>
      <c r="S960" s="179">
        <v>94143.487220344075</v>
      </c>
      <c r="T960" s="182" t="s">
        <v>45</v>
      </c>
      <c r="U960" s="183">
        <v>4.1443000000000003</v>
      </c>
      <c r="V960" s="179">
        <v>6904.38</v>
      </c>
      <c r="W960" s="179">
        <v>1836.0663898279547</v>
      </c>
      <c r="X960" s="196" t="s">
        <v>45</v>
      </c>
      <c r="Y960" s="200">
        <v>4.1443000000000003</v>
      </c>
      <c r="Z960" s="220" t="s">
        <v>473</v>
      </c>
      <c r="AA960" s="201">
        <f>Delivery[[#This Row],[Quantity delivered]]*VLOOKUP(Delivery[[#This Row],[Unit]],References!$U:$X,4,FALSE)*VLOOKUP(CONCATENATE(Delivery[[#This Row],[Coffee specie]],Delivery[[#This Row],[Coffee state]]),References!$U:$X,4,FALSE)</f>
        <v>14314</v>
      </c>
      <c r="AB960" s="202">
        <f>SUMIF(Allocation!C:C,Delivery[[#This Row],[Delivery ID]],Allocation!D:D)/Delivery[[#This Row],[Quantity delivered]]</f>
        <v>1</v>
      </c>
      <c r="AC960" s="203">
        <f>Delivery[[#This Row],[Quantity delivered]]*Delivery[[#This Row],[Base price (Unidad)]]/60</f>
        <v>101093.74029916667</v>
      </c>
      <c r="AD960" s="204">
        <f>Delivery[[#This Row],[Nespresso total]]-Delivery[[#This Row],[Qt. Delivery * Base Price]]</f>
        <v>-6950.2530788225995</v>
      </c>
      <c r="AE960" s="204">
        <f>Delivery[[#This Row],[AAA Premium (total)]]/Delivery[[#This Row],[Quantity delivered]]*60/Delivery[[#This Row],[Exchange rate VS USD]]</f>
        <v>6.9833488494026907</v>
      </c>
      <c r="AF960" s="204">
        <f>Delivery[[#This Row],[BEN premium (total)]]/Delivery[[#This Row],[Quantity delivered]]*60/Delivery[[#This Row],[Exchange rate for premiums VS USD]]</f>
        <v>1.8570664000000001</v>
      </c>
      <c r="AG960" s="204">
        <f>COUNTIF(Delivery[Delivery ID],Delivery[[#This Row],[Delivery ID]])</f>
        <v>1</v>
      </c>
      <c r="AH960" s="204">
        <f>(Delivery[[#This Row],[Nespresso total]]/SUMIF(Allocation!C:C,Delivery[Delivery ID],Allocation!H:H))/Delivery[[#This Row],[Exchange rate VS USD]]</f>
        <v>5.5230679436944179</v>
      </c>
      <c r="AI960" s="204">
        <f>(Delivery[[#This Row],[AAA Premium (total)]]/SUMIF(Allocation!C:C,Delivery[Delivery ID],Allocation!H:H))/Delivery[[#This Row],[Exchange rate VS USD]]</f>
        <v>0.40505573964806757</v>
      </c>
      <c r="AJ960" s="204">
        <f>Delivery[[#This Row],[Valor Prêmio Nespresso AAA por Kg (em US$)]]*60</f>
        <v>24.303344378884056</v>
      </c>
      <c r="AK960" s="204">
        <f>Delivery[[#This Row],[Valor Prêmio Nespresso AAA por saca (em US$)]]/1.3228/100</f>
        <v>0.18372652236834031</v>
      </c>
      <c r="AL960" s="204">
        <f>(Delivery[[#This Row],[BEN premium (total)]]/SUMIF(Allocation!C:C,Delivery[Delivery ID],Allocation!H:H))/Delivery[[#This Row],[Exchange rate for premiums VS USD]]</f>
        <v>0.10771557034443634</v>
      </c>
      <c r="AM960" s="204">
        <f>Delivery[[#This Row],[Valor Prêmio Nespresso BEN por Kg (em US$)]]*60</f>
        <v>6.4629342206661802</v>
      </c>
      <c r="AN960" s="204">
        <f>Delivery[[#This Row],[Valor Prêmio Nespresso BEN por saca (em US$)]]/1.3228/100</f>
        <v>4.8857984734398091E-2</v>
      </c>
      <c r="AO960" s="204">
        <f>SUMIF(Allocation[Delivery ID],Delivery[[#This Row],[Delivery ID]],Allocation[Quantity allocated])*16*1.3228*Delivery[[#This Row],[Exchange rate VS USD]]/60</f>
        <v>6012.7453878720007</v>
      </c>
      <c r="AP960" s="204">
        <f>Delivery[[#This Row],[AAA Premium (total)]]</f>
        <v>6904.38</v>
      </c>
      <c r="AQ960" s="204">
        <f>Delivery[[#This Row],[Valor pago pelo Cluster]]-Delivery[[#This Row],[Valor efetivamente pago pela Nespresso]]</f>
        <v>891.63461212799939</v>
      </c>
    </row>
    <row r="961" spans="1:43" ht="15.75">
      <c r="A961" s="174" t="s">
        <v>69</v>
      </c>
      <c r="B961" s="232" t="s">
        <v>68</v>
      </c>
      <c r="C961" s="157">
        <v>1</v>
      </c>
      <c r="D961" s="157" t="s">
        <v>468</v>
      </c>
      <c r="E961" s="177" t="s">
        <v>468</v>
      </c>
      <c r="F961" s="233" t="s">
        <v>543</v>
      </c>
      <c r="G961" s="234">
        <v>43364</v>
      </c>
      <c r="H961" s="157" t="s">
        <v>1096</v>
      </c>
      <c r="I961" s="157" t="s">
        <v>1094</v>
      </c>
      <c r="J961" s="237">
        <v>30560</v>
      </c>
      <c r="K961" s="175" t="s">
        <v>61</v>
      </c>
      <c r="L961" s="175" t="s">
        <v>439</v>
      </c>
      <c r="M961" s="175" t="s">
        <v>1343</v>
      </c>
      <c r="N961" s="198"/>
      <c r="O961" s="199"/>
      <c r="P961" s="181">
        <v>0</v>
      </c>
      <c r="Q961" s="177">
        <v>43355</v>
      </c>
      <c r="R961" s="178">
        <v>423.75467500000002</v>
      </c>
      <c r="S961" s="179">
        <v>201354.0065665583</v>
      </c>
      <c r="T961" s="182" t="s">
        <v>45</v>
      </c>
      <c r="U961" s="183">
        <v>4.1443000000000003</v>
      </c>
      <c r="V961" s="179">
        <v>14766.09</v>
      </c>
      <c r="W961" s="179">
        <v>3919.9517167208533</v>
      </c>
      <c r="X961" s="196" t="s">
        <v>45</v>
      </c>
      <c r="Y961" s="200">
        <v>4.1443000000000003</v>
      </c>
      <c r="Z961" s="220" t="s">
        <v>473</v>
      </c>
      <c r="AA961" s="201">
        <f>Delivery[[#This Row],[Quantity delivered]]*VLOOKUP(Delivery[[#This Row],[Unit]],References!$U:$X,4,FALSE)*VLOOKUP(CONCATENATE(Delivery[[#This Row],[Coffee specie]],Delivery[[#This Row],[Coffee state]]),References!$U:$X,4,FALSE)</f>
        <v>30560</v>
      </c>
      <c r="AB961" s="202">
        <f>SUMIF(Allocation!C:C,Delivery[[#This Row],[Delivery ID]],Allocation!D:D)/Delivery[[#This Row],[Quantity delivered]]</f>
        <v>1</v>
      </c>
      <c r="AC961" s="203">
        <f>Delivery[[#This Row],[Quantity delivered]]*Delivery[[#This Row],[Base price (Unidad)]]/60</f>
        <v>215832.38113333334</v>
      </c>
      <c r="AD961" s="204">
        <f>Delivery[[#This Row],[Nespresso total]]-Delivery[[#This Row],[Qt. Delivery * Base Price]]</f>
        <v>-14478.374566775048</v>
      </c>
      <c r="AE961" s="204">
        <f>Delivery[[#This Row],[AAA Premium (total)]]/Delivery[[#This Row],[Quantity delivered]]*60/Delivery[[#This Row],[Exchange rate VS USD]]</f>
        <v>6.9953947344318115</v>
      </c>
      <c r="AF961" s="204">
        <f>Delivery[[#This Row],[BEN premium (total)]]/Delivery[[#This Row],[Quantity delivered]]*60/Delivery[[#This Row],[Exchange rate for premiums VS USD]]</f>
        <v>1.8570663999999999</v>
      </c>
      <c r="AG961" s="204">
        <f>COUNTIF(Delivery[Delivery ID],Delivery[[#This Row],[Delivery ID]])</f>
        <v>1</v>
      </c>
      <c r="AH961" s="204">
        <f>(Delivery[[#This Row],[Nespresso total]]/SUMIF(Allocation!C:C,Delivery[Delivery ID],Allocation!H:H))/Delivery[[#This Row],[Exchange rate VS USD]]</f>
        <v>5.5242490038972623</v>
      </c>
      <c r="AI961" s="204">
        <f>(Delivery[[#This Row],[AAA Premium (total)]]/SUMIF(Allocation!C:C,Delivery[Delivery ID],Allocation!H:H))/Delivery[[#This Row],[Exchange rate VS USD]]</f>
        <v>0.4051151470233772</v>
      </c>
      <c r="AJ961" s="204">
        <f>Delivery[[#This Row],[Valor Prêmio Nespresso AAA por Kg (em US$)]]*60</f>
        <v>24.306908821402633</v>
      </c>
      <c r="AK961" s="204">
        <f>Delivery[[#This Row],[Valor Prêmio Nespresso AAA por saca (em US$)]]/1.3228/100</f>
        <v>0.18375346856216082</v>
      </c>
      <c r="AL961" s="204">
        <f>(Delivery[[#This Row],[BEN premium (total)]]/SUMIF(Allocation!C:C,Delivery[Delivery ID],Allocation!H:H))/Delivery[[#This Row],[Exchange rate for premiums VS USD]]</f>
        <v>0.10754585784347166</v>
      </c>
      <c r="AM961" s="204">
        <f>Delivery[[#This Row],[Valor Prêmio Nespresso BEN por Kg (em US$)]]*60</f>
        <v>6.4527514706083</v>
      </c>
      <c r="AN961" s="204">
        <f>Delivery[[#This Row],[Valor Prêmio Nespresso BEN por saca (em US$)]]/1.3228/100</f>
        <v>4.8781005976778806E-2</v>
      </c>
      <c r="AO961" s="204">
        <f>SUMIF(Allocation[Delivery ID],Delivery[[#This Row],[Delivery ID]],Allocation[Quantity allocated])*16*1.3228*Delivery[[#This Row],[Exchange rate VS USD]]/60</f>
        <v>12857.305053813334</v>
      </c>
      <c r="AP961" s="204">
        <f>Delivery[[#This Row],[AAA Premium (total)]]</f>
        <v>14766.09</v>
      </c>
      <c r="AQ961" s="204">
        <f>Delivery[[#This Row],[Valor pago pelo Cluster]]-Delivery[[#This Row],[Valor efetivamente pago pela Nespresso]]</f>
        <v>1908.7849461866663</v>
      </c>
    </row>
    <row r="962" spans="1:43" ht="15.75">
      <c r="A962" s="174" t="s">
        <v>69</v>
      </c>
      <c r="B962" s="232" t="s">
        <v>68</v>
      </c>
      <c r="C962" s="157">
        <v>1</v>
      </c>
      <c r="D962" s="157" t="s">
        <v>468</v>
      </c>
      <c r="E962" s="177" t="s">
        <v>468</v>
      </c>
      <c r="F962" s="233" t="s">
        <v>543</v>
      </c>
      <c r="G962" s="234">
        <v>43381</v>
      </c>
      <c r="H962" s="235" t="s">
        <v>1661</v>
      </c>
      <c r="I962" s="157" t="s">
        <v>1662</v>
      </c>
      <c r="J962" s="237">
        <v>9693</v>
      </c>
      <c r="K962" s="175" t="s">
        <v>61</v>
      </c>
      <c r="L962" s="175" t="s">
        <v>439</v>
      </c>
      <c r="M962" s="175" t="s">
        <v>1343</v>
      </c>
      <c r="N962" s="198"/>
      <c r="O962" s="199"/>
      <c r="P962" s="181">
        <v>0</v>
      </c>
      <c r="Q962" s="177">
        <v>43355</v>
      </c>
      <c r="R962" s="178">
        <v>421.96336000000002</v>
      </c>
      <c r="S962" s="179">
        <v>67380.289999999994</v>
      </c>
      <c r="T962" s="182" t="s">
        <v>45</v>
      </c>
      <c r="U962" s="183">
        <v>4.1288</v>
      </c>
      <c r="V962" s="179">
        <v>4739.6000000000004</v>
      </c>
      <c r="W962" s="179">
        <v>0</v>
      </c>
      <c r="X962" s="196" t="s">
        <v>45</v>
      </c>
      <c r="Y962" s="200">
        <v>4.1288</v>
      </c>
      <c r="Z962" s="221"/>
      <c r="AA962" s="201">
        <f>Delivery[[#This Row],[Quantity delivered]]*VLOOKUP(Delivery[[#This Row],[Unit]],References!$U:$X,4,FALSE)*VLOOKUP(CONCATENATE(Delivery[[#This Row],[Coffee specie]],Delivery[[#This Row],[Coffee state]]),References!$U:$X,4,FALSE)</f>
        <v>9693</v>
      </c>
      <c r="AB962" s="202">
        <f>SUMIF(Allocation!C:C,Delivery[[#This Row],[Delivery ID]],Allocation!D:D)/Delivery[[#This Row],[Quantity delivered]]</f>
        <v>0.46518105849582175</v>
      </c>
      <c r="AC962" s="203">
        <f>Delivery[[#This Row],[Quantity delivered]]*Delivery[[#This Row],[Base price (Unidad)]]/60</f>
        <v>68168.180808000005</v>
      </c>
      <c r="AD962" s="204">
        <f>Delivery[[#This Row],[Nespresso total]]-Delivery[[#This Row],[Qt. Delivery * Base Price]]</f>
        <v>-787.89080800001102</v>
      </c>
      <c r="AE962" s="204">
        <f>Delivery[[#This Row],[AAA Premium (total)]]/Delivery[[#This Row],[Quantity delivered]]*60/Delivery[[#This Row],[Exchange rate VS USD]]</f>
        <v>7.1057656850827078</v>
      </c>
      <c r="AF962" s="204">
        <f>Delivery[[#This Row],[BEN premium (total)]]/Delivery[[#This Row],[Quantity delivered]]*60/Delivery[[#This Row],[Exchange rate for premiums VS USD]]</f>
        <v>0</v>
      </c>
      <c r="AG962" s="204">
        <f>COUNTIF(Delivery[Delivery ID],Delivery[[#This Row],[Delivery ID]])</f>
        <v>1</v>
      </c>
      <c r="AH962" s="204">
        <f>(Delivery[[#This Row],[Nespresso total]]/SUMIF(Allocation!C:C,Delivery[Delivery ID],Allocation!H:H))/Delivery[[#This Row],[Exchange rate VS USD]]</f>
        <v>10.055195293197965</v>
      </c>
      <c r="AI962" s="204">
        <f>(Delivery[[#This Row],[AAA Premium (total)]]/SUMIF(Allocation!C:C,Delivery[Delivery ID],Allocation!H:H))/Delivery[[#This Row],[Exchange rate VS USD]]</f>
        <v>0.7072929429606355</v>
      </c>
      <c r="AJ962" s="204">
        <f>Delivery[[#This Row],[Valor Prêmio Nespresso AAA por Kg (em US$)]]*60</f>
        <v>42.437576577638133</v>
      </c>
      <c r="AK962" s="204">
        <f>Delivery[[#This Row],[Valor Prêmio Nespresso AAA por saca (em US$)]]/1.3228/100</f>
        <v>0.32081627288810205</v>
      </c>
      <c r="AL962" s="204">
        <f>(Delivery[[#This Row],[BEN premium (total)]]/SUMIF(Allocation!C:C,Delivery[Delivery ID],Allocation!H:H))/Delivery[[#This Row],[Exchange rate for premiums VS USD]]</f>
        <v>0</v>
      </c>
      <c r="AM962" s="204">
        <f>Delivery[[#This Row],[Valor Prêmio Nespresso BEN por Kg (em US$)]]*60</f>
        <v>0</v>
      </c>
      <c r="AN962" s="204">
        <f>Delivery[[#This Row],[Valor Prêmio Nespresso BEN por saca (em US$)]]/1.3228/100</f>
        <v>0</v>
      </c>
      <c r="AO962" s="204">
        <f>SUMIF(Allocation[Delivery ID],Delivery[[#This Row],[Delivery ID]],Allocation[Quantity allocated])*16*1.3228*Delivery[[#This Row],[Exchange rate VS USD]]/60</f>
        <v>2363.7703697920001</v>
      </c>
      <c r="AP962" s="204">
        <f>Delivery[[#This Row],[AAA Premium (total)]]</f>
        <v>4739.6000000000004</v>
      </c>
      <c r="AQ962" s="204">
        <f>Delivery[[#This Row],[Valor pago pelo Cluster]]-Delivery[[#This Row],[Valor efetivamente pago pela Nespresso]]</f>
        <v>2375.8296302080003</v>
      </c>
    </row>
    <row r="963" spans="1:43" ht="15.75">
      <c r="A963" s="174" t="s">
        <v>69</v>
      </c>
      <c r="B963" s="232" t="s">
        <v>68</v>
      </c>
      <c r="C963" s="157">
        <v>1</v>
      </c>
      <c r="D963" s="157" t="s">
        <v>468</v>
      </c>
      <c r="E963" s="177" t="s">
        <v>468</v>
      </c>
      <c r="F963" s="233" t="s">
        <v>543</v>
      </c>
      <c r="G963" s="234">
        <v>43364</v>
      </c>
      <c r="H963" s="235" t="s">
        <v>1663</v>
      </c>
      <c r="I963" s="157" t="s">
        <v>1662</v>
      </c>
      <c r="J963" s="237">
        <v>19327</v>
      </c>
      <c r="K963" s="175" t="s">
        <v>61</v>
      </c>
      <c r="L963" s="175" t="s">
        <v>439</v>
      </c>
      <c r="M963" s="175" t="s">
        <v>1343</v>
      </c>
      <c r="N963" s="198"/>
      <c r="O963" s="199"/>
      <c r="P963" s="181">
        <v>0</v>
      </c>
      <c r="Q963" s="177">
        <v>43355</v>
      </c>
      <c r="R963" s="178">
        <v>421.96336000000002</v>
      </c>
      <c r="S963" s="179">
        <v>134347.20000000001</v>
      </c>
      <c r="T963" s="182" t="s">
        <v>45</v>
      </c>
      <c r="U963" s="183">
        <v>4.1288</v>
      </c>
      <c r="V963" s="179">
        <v>9392.5</v>
      </c>
      <c r="W963" s="179">
        <v>0</v>
      </c>
      <c r="X963" s="196" t="s">
        <v>45</v>
      </c>
      <c r="Y963" s="200">
        <v>4.1288</v>
      </c>
      <c r="Z963" s="221"/>
      <c r="AA963" s="201">
        <f>Delivery[[#This Row],[Quantity delivered]]*VLOOKUP(Delivery[[#This Row],[Unit]],References!$U:$X,4,FALSE)*VLOOKUP(CONCATENATE(Delivery[[#This Row],[Coffee specie]],Delivery[[#This Row],[Coffee state]]),References!$U:$X,4,FALSE)</f>
        <v>19327</v>
      </c>
      <c r="AB963" s="202">
        <f>SUMIF(Allocation!C:C,Delivery[[#This Row],[Delivery ID]],Allocation!D:D)/Delivery[[#This Row],[Quantity delivered]]</f>
        <v>0.46510063641537747</v>
      </c>
      <c r="AC963" s="203">
        <f>Delivery[[#This Row],[Quantity delivered]]*Delivery[[#This Row],[Base price (Unidad)]]/60</f>
        <v>135921.43097866667</v>
      </c>
      <c r="AD963" s="204">
        <f>Delivery[[#This Row],[Nespresso total]]-Delivery[[#This Row],[Qt. Delivery * Base Price]]</f>
        <v>-1574.2309786666592</v>
      </c>
      <c r="AE963" s="204">
        <f>Delivery[[#This Row],[AAA Premium (total)]]/Delivery[[#This Row],[Quantity delivered]]*60/Delivery[[#This Row],[Exchange rate VS USD]]</f>
        <v>7.0622674664943874</v>
      </c>
      <c r="AF963" s="204">
        <f>Delivery[[#This Row],[BEN premium (total)]]/Delivery[[#This Row],[Quantity delivered]]*60/Delivery[[#This Row],[Exchange rate for premiums VS USD]]</f>
        <v>0</v>
      </c>
      <c r="AG963" s="204">
        <f>COUNTIF(Delivery[Delivery ID],Delivery[[#This Row],[Delivery ID]])</f>
        <v>1</v>
      </c>
      <c r="AH963" s="204">
        <f>(Delivery[[#This Row],[Nespresso total]]/SUMIF(Allocation!C:C,Delivery[Delivery ID],Allocation!H:H))/Delivery[[#This Row],[Exchange rate VS USD]]</f>
        <v>10.055328436699224</v>
      </c>
      <c r="AI963" s="204">
        <f>(Delivery[[#This Row],[AAA Premium (total)]]/SUMIF(Allocation!C:C,Delivery[Delivery ID],Allocation!H:H))/Delivery[[#This Row],[Exchange rate VS USD]]</f>
        <v>0.70298951032621038</v>
      </c>
      <c r="AJ963" s="204">
        <f>Delivery[[#This Row],[Valor Prêmio Nespresso AAA por Kg (em US$)]]*60</f>
        <v>42.179370619572623</v>
      </c>
      <c r="AK963" s="204">
        <f>Delivery[[#This Row],[Valor Prêmio Nespresso AAA por saca (em US$)]]/1.3228/100</f>
        <v>0.3188643076774465</v>
      </c>
      <c r="AL963" s="204">
        <f>(Delivery[[#This Row],[BEN premium (total)]]/SUMIF(Allocation!C:C,Delivery[Delivery ID],Allocation!H:H))/Delivery[[#This Row],[Exchange rate for premiums VS USD]]</f>
        <v>0</v>
      </c>
      <c r="AM963" s="204">
        <f>Delivery[[#This Row],[Valor Prêmio Nespresso BEN por Kg (em US$)]]*60</f>
        <v>0</v>
      </c>
      <c r="AN963" s="204">
        <f>Delivery[[#This Row],[Valor Prêmio Nespresso BEN por saca (em US$)]]/1.3228/100</f>
        <v>0</v>
      </c>
      <c r="AO963" s="204">
        <f>SUMIF(Allocation[Delivery ID],Delivery[[#This Row],[Delivery ID]],Allocation[Quantity allocated])*16*1.3228*Delivery[[#This Row],[Exchange rate VS USD]]/60</f>
        <v>4712.976535210666</v>
      </c>
      <c r="AP963" s="204">
        <f>Delivery[[#This Row],[AAA Premium (total)]]</f>
        <v>9392.5</v>
      </c>
      <c r="AQ963" s="204">
        <f>Delivery[[#This Row],[Valor pago pelo Cluster]]-Delivery[[#This Row],[Valor efetivamente pago pela Nespresso]]</f>
        <v>4679.523464789334</v>
      </c>
    </row>
    <row r="964" spans="1:43" ht="15.75">
      <c r="A964" s="174" t="s">
        <v>69</v>
      </c>
      <c r="B964" s="232" t="s">
        <v>68</v>
      </c>
      <c r="C964" s="157">
        <v>1</v>
      </c>
      <c r="D964" s="157" t="s">
        <v>468</v>
      </c>
      <c r="E964" s="177" t="s">
        <v>468</v>
      </c>
      <c r="F964" s="233" t="s">
        <v>543</v>
      </c>
      <c r="G964" s="234">
        <v>43381</v>
      </c>
      <c r="H964" s="235" t="s">
        <v>1664</v>
      </c>
      <c r="I964" s="157" t="s">
        <v>1662</v>
      </c>
      <c r="J964" s="237">
        <v>29370</v>
      </c>
      <c r="K964" s="175" t="s">
        <v>61</v>
      </c>
      <c r="L964" s="175" t="s">
        <v>439</v>
      </c>
      <c r="M964" s="175" t="s">
        <v>1343</v>
      </c>
      <c r="N964" s="198"/>
      <c r="O964" s="199"/>
      <c r="P964" s="181">
        <v>0</v>
      </c>
      <c r="Q964" s="177">
        <v>43355</v>
      </c>
      <c r="R964" s="178">
        <v>421.96336000000002</v>
      </c>
      <c r="S964" s="179">
        <v>202140.86</v>
      </c>
      <c r="T964" s="182" t="s">
        <v>45</v>
      </c>
      <c r="U964" s="183">
        <v>4.1288</v>
      </c>
      <c r="V964" s="179">
        <v>14103.2</v>
      </c>
      <c r="W964" s="179">
        <v>0</v>
      </c>
      <c r="X964" s="196" t="s">
        <v>45</v>
      </c>
      <c r="Y964" s="200">
        <v>4.1288</v>
      </c>
      <c r="Z964" s="221"/>
      <c r="AA964" s="201">
        <f>Delivery[[#This Row],[Quantity delivered]]*VLOOKUP(Delivery[[#This Row],[Unit]],References!$U:$X,4,FALSE)*VLOOKUP(CONCATENATE(Delivery[[#This Row],[Coffee specie]],Delivery[[#This Row],[Coffee state]]),References!$U:$X,4,FALSE)</f>
        <v>29370</v>
      </c>
      <c r="AB964" s="202">
        <f>SUMIF(Allocation!C:C,Delivery[[#This Row],[Delivery ID]],Allocation!D:D)/Delivery[[#This Row],[Quantity delivered]]</f>
        <v>0.46523663602315285</v>
      </c>
      <c r="AC964" s="203">
        <f>Delivery[[#This Row],[Quantity delivered]]*Delivery[[#This Row],[Base price (Unidad)]]/60</f>
        <v>206551.06472000002</v>
      </c>
      <c r="AD964" s="204">
        <f>Delivery[[#This Row],[Nespresso total]]-Delivery[[#This Row],[Qt. Delivery * Base Price]]</f>
        <v>-4410.2047200000379</v>
      </c>
      <c r="AE964" s="204">
        <f>Delivery[[#This Row],[AAA Premium (total)]]/Delivery[[#This Row],[Quantity delivered]]*60/Delivery[[#This Row],[Exchange rate VS USD]]</f>
        <v>6.978163206052149</v>
      </c>
      <c r="AF964" s="204">
        <f>Delivery[[#This Row],[BEN premium (total)]]/Delivery[[#This Row],[Quantity delivered]]*60/Delivery[[#This Row],[Exchange rate for premiums VS USD]]</f>
        <v>0</v>
      </c>
      <c r="AG964" s="204">
        <f>COUNTIF(Delivery[Delivery ID],Delivery[[#This Row],[Delivery ID]])</f>
        <v>1</v>
      </c>
      <c r="AH964" s="204">
        <f>(Delivery[[#This Row],[Nespresso total]]/SUMIF(Allocation!C:C,Delivery[Delivery ID],Allocation!H:H))/Delivery[[#This Row],[Exchange rate VS USD]]</f>
        <v>9.9529870828562004</v>
      </c>
      <c r="AI964" s="204">
        <f>(Delivery[[#This Row],[AAA Premium (total)]]/SUMIF(Allocation!C:C,Delivery[Delivery ID],Allocation!H:H))/Delivery[[#This Row],[Exchange rate VS USD]]</f>
        <v>0.69441164654655962</v>
      </c>
      <c r="AJ964" s="204">
        <f>Delivery[[#This Row],[Valor Prêmio Nespresso AAA por Kg (em US$)]]*60</f>
        <v>41.66469879279358</v>
      </c>
      <c r="AK964" s="204">
        <f>Delivery[[#This Row],[Valor Prêmio Nespresso AAA por saca (em US$)]]/1.3228/100</f>
        <v>0.31497353184754745</v>
      </c>
      <c r="AL964" s="204">
        <f>(Delivery[[#This Row],[BEN premium (total)]]/SUMIF(Allocation!C:C,Delivery[Delivery ID],Allocation!H:H))/Delivery[[#This Row],[Exchange rate for premiums VS USD]]</f>
        <v>0</v>
      </c>
      <c r="AM964" s="204">
        <f>Delivery[[#This Row],[Valor Prêmio Nespresso BEN por Kg (em US$)]]*60</f>
        <v>0</v>
      </c>
      <c r="AN964" s="204">
        <f>Delivery[[#This Row],[Valor Prêmio Nespresso BEN por saca (em US$)]]/1.3228/100</f>
        <v>0</v>
      </c>
      <c r="AO964" s="204">
        <f>SUMIF(Allocation[Delivery ID],Delivery[[#This Row],[Delivery ID]],Allocation[Quantity allocated])*16*1.3228*Delivery[[#This Row],[Exchange rate VS USD]]/60</f>
        <v>7164.1321312426671</v>
      </c>
      <c r="AP964" s="204">
        <f>Delivery[[#This Row],[AAA Premium (total)]]</f>
        <v>14103.2</v>
      </c>
      <c r="AQ964" s="204">
        <f>Delivery[[#This Row],[Valor pago pelo Cluster]]-Delivery[[#This Row],[Valor efetivamente pago pela Nespresso]]</f>
        <v>6939.0678687573336</v>
      </c>
    </row>
    <row r="965" spans="1:43" ht="15.75">
      <c r="A965" s="174" t="s">
        <v>69</v>
      </c>
      <c r="B965" s="232" t="s">
        <v>68</v>
      </c>
      <c r="C965" s="157">
        <v>1</v>
      </c>
      <c r="D965" s="157" t="s">
        <v>468</v>
      </c>
      <c r="E965" s="177" t="s">
        <v>468</v>
      </c>
      <c r="F965" s="233" t="s">
        <v>543</v>
      </c>
      <c r="G965" s="234">
        <v>43364</v>
      </c>
      <c r="H965" s="157" t="s">
        <v>1097</v>
      </c>
      <c r="I965" s="157" t="s">
        <v>1094</v>
      </c>
      <c r="J965" s="237">
        <v>30050</v>
      </c>
      <c r="K965" s="175" t="s">
        <v>61</v>
      </c>
      <c r="L965" s="175" t="s">
        <v>439</v>
      </c>
      <c r="M965" s="175" t="s">
        <v>1343</v>
      </c>
      <c r="N965" s="198"/>
      <c r="O965" s="199"/>
      <c r="P965" s="181">
        <v>0</v>
      </c>
      <c r="Q965" s="177">
        <v>43355</v>
      </c>
      <c r="R965" s="178">
        <v>423.75467500000002</v>
      </c>
      <c r="S965" s="179">
        <v>197785.9326513441</v>
      </c>
      <c r="T965" s="182" t="s">
        <v>45</v>
      </c>
      <c r="U965" s="183">
        <v>4.1443000000000003</v>
      </c>
      <c r="V965" s="179">
        <v>14505</v>
      </c>
      <c r="W965" s="179">
        <v>3854.5336743279331</v>
      </c>
      <c r="X965" s="196" t="s">
        <v>45</v>
      </c>
      <c r="Y965" s="200">
        <v>4.1443000000000003</v>
      </c>
      <c r="Z965" s="220" t="s">
        <v>473</v>
      </c>
      <c r="AA965" s="201">
        <f>Delivery[[#This Row],[Quantity delivered]]*VLOOKUP(Delivery[[#This Row],[Unit]],References!$U:$X,4,FALSE)*VLOOKUP(CONCATENATE(Delivery[[#This Row],[Coffee specie]],Delivery[[#This Row],[Coffee state]]),References!$U:$X,4,FALSE)</f>
        <v>30050</v>
      </c>
      <c r="AB965" s="202">
        <f>SUMIF(Allocation!C:C,Delivery[[#This Row],[Delivery ID]],Allocation!D:D)/Delivery[[#This Row],[Quantity delivered]]</f>
        <v>1</v>
      </c>
      <c r="AC965" s="203">
        <f>Delivery[[#This Row],[Quantity delivered]]*Delivery[[#This Row],[Base price (Unidad)]]/60</f>
        <v>212230.46639583335</v>
      </c>
      <c r="AD965" s="204">
        <f>Delivery[[#This Row],[Nespresso total]]-Delivery[[#This Row],[Qt. Delivery * Base Price]]</f>
        <v>-14444.53374448925</v>
      </c>
      <c r="AE965" s="204">
        <f>Delivery[[#This Row],[AAA Premium (total)]]/Delivery[[#This Row],[Quantity delivered]]*60/Delivery[[#This Row],[Exchange rate VS USD]]</f>
        <v>6.9883286560459537</v>
      </c>
      <c r="AF965" s="204">
        <f>Delivery[[#This Row],[BEN premium (total)]]/Delivery[[#This Row],[Quantity delivered]]*60/Delivery[[#This Row],[Exchange rate for premiums VS USD]]</f>
        <v>1.8570663999999999</v>
      </c>
      <c r="AG965" s="204">
        <f>COUNTIF(Delivery[Delivery ID],Delivery[[#This Row],[Delivery ID]])</f>
        <v>1</v>
      </c>
      <c r="AH965" s="204">
        <f>(Delivery[[#This Row],[Nespresso total]]/SUMIF(Allocation!C:C,Delivery[Delivery ID],Allocation!H:H))/Delivery[[#This Row],[Exchange rate VS USD]]</f>
        <v>5.5230656891250183</v>
      </c>
      <c r="AI965" s="204">
        <f>(Delivery[[#This Row],[AAA Premium (total)]]/SUMIF(Allocation!C:C,Delivery[Delivery ID],Allocation!H:H))/Delivery[[#This Row],[Exchange rate VS USD]]</f>
        <v>0.40504431607873492</v>
      </c>
      <c r="AJ965" s="204">
        <f>Delivery[[#This Row],[Valor Prêmio Nespresso AAA por Kg (em US$)]]*60</f>
        <v>24.302658964724095</v>
      </c>
      <c r="AK965" s="204">
        <f>Delivery[[#This Row],[Valor Prêmio Nespresso AAA por saca (em US$)]]/1.3228/100</f>
        <v>0.1837213408279717</v>
      </c>
      <c r="AL965" s="204">
        <f>(Delivery[[#This Row],[BEN premium (total)]]/SUMIF(Allocation!C:C,Delivery[Delivery ID],Allocation!H:H))/Delivery[[#This Row],[Exchange rate for premiums VS USD]]</f>
        <v>0.10763577772634338</v>
      </c>
      <c r="AM965" s="204">
        <f>Delivery[[#This Row],[Valor Prêmio Nespresso BEN por Kg (em US$)]]*60</f>
        <v>6.4581466635806022</v>
      </c>
      <c r="AN965" s="204">
        <f>Delivery[[#This Row],[Valor Prêmio Nespresso BEN por saca (em US$)]]/1.3228/100</f>
        <v>4.8821792134718801E-2</v>
      </c>
      <c r="AO965" s="204">
        <f>SUMIF(Allocation[Delivery ID],Delivery[[#This Row],[Delivery ID]],Allocation[Quantity allocated])*16*1.3228*Delivery[[#This Row],[Exchange rate VS USD]]/60</f>
        <v>12632.174300170669</v>
      </c>
      <c r="AP965" s="204">
        <f>Delivery[[#This Row],[AAA Premium (total)]]</f>
        <v>14505</v>
      </c>
      <c r="AQ965" s="204">
        <f>Delivery[[#This Row],[Valor pago pelo Cluster]]-Delivery[[#This Row],[Valor efetivamente pago pela Nespresso]]</f>
        <v>1872.8256998293309</v>
      </c>
    </row>
    <row r="966" spans="1:43" ht="15.75">
      <c r="A966" s="174" t="s">
        <v>69</v>
      </c>
      <c r="B966" s="232" t="s">
        <v>68</v>
      </c>
      <c r="C966" s="157">
        <v>1</v>
      </c>
      <c r="D966" s="157" t="s">
        <v>468</v>
      </c>
      <c r="E966" s="177" t="s">
        <v>468</v>
      </c>
      <c r="F966" s="233" t="s">
        <v>543</v>
      </c>
      <c r="G966" s="234">
        <v>43367</v>
      </c>
      <c r="H966" s="157" t="s">
        <v>1098</v>
      </c>
      <c r="I966" s="157" t="s">
        <v>1099</v>
      </c>
      <c r="J966" s="237">
        <v>30595</v>
      </c>
      <c r="K966" s="175" t="s">
        <v>61</v>
      </c>
      <c r="L966" s="175" t="s">
        <v>439</v>
      </c>
      <c r="M966" s="175" t="s">
        <v>1343</v>
      </c>
      <c r="N966" s="198"/>
      <c r="O966" s="199"/>
      <c r="P966" s="181">
        <v>0</v>
      </c>
      <c r="Q966" s="177">
        <v>43360</v>
      </c>
      <c r="R966" s="178">
        <v>401.57208000000003</v>
      </c>
      <c r="S966" s="179">
        <v>204489.58</v>
      </c>
      <c r="T966" s="182" t="s">
        <v>45</v>
      </c>
      <c r="U966" s="183">
        <v>4.1314000000000002</v>
      </c>
      <c r="V966" s="179">
        <v>21068.1</v>
      </c>
      <c r="W966" s="179">
        <v>0</v>
      </c>
      <c r="X966" s="196" t="s">
        <v>45</v>
      </c>
      <c r="Y966" s="200">
        <v>4.1314000000000002</v>
      </c>
      <c r="Z966" s="220"/>
      <c r="AA966" s="201">
        <f>Delivery[[#This Row],[Quantity delivered]]*VLOOKUP(Delivery[[#This Row],[Unit]],References!$U:$X,4,FALSE)*VLOOKUP(CONCATENATE(Delivery[[#This Row],[Coffee specie]],Delivery[[#This Row],[Coffee state]]),References!$U:$X,4,FALSE)</f>
        <v>30595</v>
      </c>
      <c r="AB966" s="202">
        <f>SUMIF(Allocation!C:C,Delivery[[#This Row],[Delivery ID]],Allocation!D:D)/Delivery[[#This Row],[Quantity delivered]]</f>
        <v>0.83556136623631316</v>
      </c>
      <c r="AC966" s="203">
        <f>Delivery[[#This Row],[Quantity delivered]]*Delivery[[#This Row],[Base price (Unidad)]]/60</f>
        <v>204768.29646000001</v>
      </c>
      <c r="AD966" s="204">
        <f>Delivery[[#This Row],[Nespresso total]]-Delivery[[#This Row],[Qt. Delivery * Base Price]]</f>
        <v>-278.71646000002511</v>
      </c>
      <c r="AE966" s="204">
        <f>Delivery[[#This Row],[AAA Premium (total)]]/Delivery[[#This Row],[Quantity delivered]]*60/Delivery[[#This Row],[Exchange rate VS USD]]</f>
        <v>10.000665900934653</v>
      </c>
      <c r="AF966" s="204">
        <f>Delivery[[#This Row],[BEN premium (total)]]/Delivery[[#This Row],[Quantity delivered]]*60/Delivery[[#This Row],[Exchange rate for premiums VS USD]]</f>
        <v>0</v>
      </c>
      <c r="AG966" s="204">
        <f>COUNTIF(Delivery[Delivery ID],Delivery[[#This Row],[Delivery ID]])</f>
        <v>1</v>
      </c>
      <c r="AH966" s="204">
        <f>(Delivery[[#This Row],[Nespresso total]]/SUMIF(Allocation!C:C,Delivery[Delivery ID],Allocation!H:H))/Delivery[[#This Row],[Exchange rate VS USD]]</f>
        <v>3.9514958520783234</v>
      </c>
      <c r="AI966" s="204">
        <f>(Delivery[[#This Row],[AAA Premium (total)]]/SUMIF(Allocation!C:C,Delivery[Delivery ID],Allocation!H:H))/Delivery[[#This Row],[Exchange rate VS USD]]</f>
        <v>0.4071137011537278</v>
      </c>
      <c r="AJ966" s="204">
        <f>Delivery[[#This Row],[Valor Prêmio Nespresso AAA por Kg (em US$)]]*60</f>
        <v>24.426822069223668</v>
      </c>
      <c r="AK966" s="204">
        <f>Delivery[[#This Row],[Valor Prêmio Nespresso AAA por saca (em US$)]]/1.3228/100</f>
        <v>0.18465997935609063</v>
      </c>
      <c r="AL966" s="204">
        <f>(Delivery[[#This Row],[BEN premium (total)]]/SUMIF(Allocation!C:C,Delivery[Delivery ID],Allocation!H:H))/Delivery[[#This Row],[Exchange rate for premiums VS USD]]</f>
        <v>0</v>
      </c>
      <c r="AM966" s="204">
        <f>Delivery[[#This Row],[Valor Prêmio Nespresso BEN por Kg (em US$)]]*60</f>
        <v>0</v>
      </c>
      <c r="AN966" s="204">
        <f>Delivery[[#This Row],[Valor Prêmio Nespresso BEN por saca (em US$)]]/1.3228/100</f>
        <v>0</v>
      </c>
      <c r="AO966" s="204">
        <f>SUMIF(Allocation[Delivery ID],Delivery[[#This Row],[Delivery ID]],Allocation[Quantity allocated])*16*1.3228*Delivery[[#This Row],[Exchange rate VS USD]]/60</f>
        <v>18254.610510378669</v>
      </c>
      <c r="AP966" s="204">
        <f>Delivery[[#This Row],[AAA Premium (total)]]</f>
        <v>21068.1</v>
      </c>
      <c r="AQ966" s="204">
        <f>Delivery[[#This Row],[Valor pago pelo Cluster]]-Delivery[[#This Row],[Valor efetivamente pago pela Nespresso]]</f>
        <v>2813.48948962133</v>
      </c>
    </row>
    <row r="967" spans="1:43" ht="15.75">
      <c r="A967" s="174" t="s">
        <v>69</v>
      </c>
      <c r="B967" s="232" t="s">
        <v>68</v>
      </c>
      <c r="C967" s="157">
        <v>1</v>
      </c>
      <c r="D967" s="157" t="s">
        <v>468</v>
      </c>
      <c r="E967" s="177" t="s">
        <v>468</v>
      </c>
      <c r="F967" s="233" t="s">
        <v>543</v>
      </c>
      <c r="G967" s="234">
        <v>43367</v>
      </c>
      <c r="H967" s="157" t="s">
        <v>1100</v>
      </c>
      <c r="I967" s="157" t="s">
        <v>1099</v>
      </c>
      <c r="J967" s="237">
        <v>16433</v>
      </c>
      <c r="K967" s="175" t="s">
        <v>61</v>
      </c>
      <c r="L967" s="175" t="s">
        <v>439</v>
      </c>
      <c r="M967" s="175" t="s">
        <v>1343</v>
      </c>
      <c r="N967" s="198"/>
      <c r="O967" s="199"/>
      <c r="P967" s="181">
        <v>0</v>
      </c>
      <c r="Q967" s="177">
        <v>43360</v>
      </c>
      <c r="R967" s="178">
        <v>401.42628000000002</v>
      </c>
      <c r="S967" s="179">
        <v>114000.43</v>
      </c>
      <c r="T967" s="182" t="s">
        <v>45</v>
      </c>
      <c r="U967" s="183">
        <v>4.1299000000000001</v>
      </c>
      <c r="V967" s="179">
        <v>11316.2</v>
      </c>
      <c r="W967" s="179">
        <v>0</v>
      </c>
      <c r="X967" s="196" t="s">
        <v>45</v>
      </c>
      <c r="Y967" s="200">
        <v>4.1299000000000001</v>
      </c>
      <c r="Z967" s="220"/>
      <c r="AA967" s="201">
        <f>Delivery[[#This Row],[Quantity delivered]]*VLOOKUP(Delivery[[#This Row],[Unit]],References!$U:$X,4,FALSE)*VLOOKUP(CONCATENATE(Delivery[[#This Row],[Coffee specie]],Delivery[[#This Row],[Coffee state]]),References!$U:$X,4,FALSE)</f>
        <v>16433</v>
      </c>
      <c r="AB967" s="202">
        <f>SUMIF(Allocation!C:C,Delivery[[#This Row],[Delivery ID]],Allocation!D:D)/Delivery[[#This Row],[Quantity delivered]]</f>
        <v>1</v>
      </c>
      <c r="AC967" s="203">
        <f>Delivery[[#This Row],[Quantity delivered]]*Delivery[[#This Row],[Base price (Unidad)]]/60</f>
        <v>109943.96765400001</v>
      </c>
      <c r="AD967" s="204">
        <f>Delivery[[#This Row],[Nespresso total]]-Delivery[[#This Row],[Qt. Delivery * Base Price]]</f>
        <v>4056.4623459999857</v>
      </c>
      <c r="AE967" s="204">
        <f>Delivery[[#This Row],[AAA Premium (total)]]/Delivery[[#This Row],[Quantity delivered]]*60/Delivery[[#This Row],[Exchange rate VS USD]]</f>
        <v>10.004501961049447</v>
      </c>
      <c r="AF967" s="204">
        <f>Delivery[[#This Row],[BEN premium (total)]]/Delivery[[#This Row],[Quantity delivered]]*60/Delivery[[#This Row],[Exchange rate for premiums VS USD]]</f>
        <v>0</v>
      </c>
      <c r="AG967" s="204">
        <f>COUNTIF(Delivery[Delivery ID],Delivery[[#This Row],[Delivery ID]])</f>
        <v>1</v>
      </c>
      <c r="AH967" s="204">
        <f>(Delivery[[#This Row],[Nespresso total]]/SUMIF(Allocation!C:C,Delivery[Delivery ID],Allocation!H:H))/Delivery[[#This Row],[Exchange rate VS USD]]</f>
        <v>2.8224619688301349</v>
      </c>
      <c r="AI967" s="204">
        <f>(Delivery[[#This Row],[AAA Premium (total)]]/SUMIF(Allocation!C:C,Delivery[Delivery ID],Allocation!H:H))/Delivery[[#This Row],[Exchange rate VS USD]]</f>
        <v>0.28017038296851665</v>
      </c>
      <c r="AJ967" s="204">
        <f>Delivery[[#This Row],[Valor Prêmio Nespresso AAA por Kg (em US$)]]*60</f>
        <v>16.810222978111</v>
      </c>
      <c r="AK967" s="204">
        <f>Delivery[[#This Row],[Valor Prêmio Nespresso AAA por saca (em US$)]]/1.3228/100</f>
        <v>0.12708060914810251</v>
      </c>
      <c r="AL967" s="204">
        <f>(Delivery[[#This Row],[BEN premium (total)]]/SUMIF(Allocation!C:C,Delivery[Delivery ID],Allocation!H:H))/Delivery[[#This Row],[Exchange rate for premiums VS USD]]</f>
        <v>0</v>
      </c>
      <c r="AM967" s="204">
        <f>Delivery[[#This Row],[Valor Prêmio Nespresso BEN por Kg (em US$)]]*60</f>
        <v>0</v>
      </c>
      <c r="AN967" s="204">
        <f>Delivery[[#This Row],[Valor Prêmio Nespresso BEN por saca (em US$)]]/1.3228/100</f>
        <v>0</v>
      </c>
      <c r="AO967" s="204">
        <f>SUMIF(Allocation[Delivery ID],Delivery[[#This Row],[Delivery ID]],Allocation[Quantity allocated])*16*1.3228*Delivery[[#This Row],[Exchange rate VS USD]]/60</f>
        <v>14247.58672576</v>
      </c>
      <c r="AP967" s="204">
        <f>Delivery[[#This Row],[AAA Premium (total)]]</f>
        <v>11316.2</v>
      </c>
      <c r="AQ967" s="204">
        <f>Delivery[[#This Row],[Valor pago pelo Cluster]]-Delivery[[#This Row],[Valor efetivamente pago pela Nespresso]]</f>
        <v>-2931.3867257599995</v>
      </c>
    </row>
    <row r="968" spans="1:43" ht="15.75">
      <c r="A968" s="174" t="s">
        <v>69</v>
      </c>
      <c r="B968" s="232" t="s">
        <v>68</v>
      </c>
      <c r="C968" s="157">
        <v>1</v>
      </c>
      <c r="D968" s="157" t="s">
        <v>468</v>
      </c>
      <c r="E968" s="177" t="s">
        <v>468</v>
      </c>
      <c r="F968" s="233" t="s">
        <v>543</v>
      </c>
      <c r="G968" s="234">
        <v>43367</v>
      </c>
      <c r="H968" s="157" t="s">
        <v>1101</v>
      </c>
      <c r="I968" s="157" t="s">
        <v>1099</v>
      </c>
      <c r="J968" s="237">
        <v>13854.5</v>
      </c>
      <c r="K968" s="175" t="s">
        <v>61</v>
      </c>
      <c r="L968" s="175" t="s">
        <v>439</v>
      </c>
      <c r="M968" s="175" t="s">
        <v>1343</v>
      </c>
      <c r="N968" s="198"/>
      <c r="O968" s="199"/>
      <c r="P968" s="181">
        <v>0</v>
      </c>
      <c r="Q968" s="177">
        <v>43360</v>
      </c>
      <c r="R968" s="178">
        <v>401.57208000000003</v>
      </c>
      <c r="S968" s="179">
        <v>92752.06</v>
      </c>
      <c r="T968" s="182" t="s">
        <v>45</v>
      </c>
      <c r="U968" s="183">
        <v>4.1314000000000002</v>
      </c>
      <c r="V968" s="179">
        <v>9556.0300000000007</v>
      </c>
      <c r="W968" s="179">
        <v>0</v>
      </c>
      <c r="X968" s="196" t="s">
        <v>45</v>
      </c>
      <c r="Y968" s="200">
        <v>4.1314000000000002</v>
      </c>
      <c r="Z968" s="220"/>
      <c r="AA968" s="201">
        <f>Delivery[[#This Row],[Quantity delivered]]*VLOOKUP(Delivery[[#This Row],[Unit]],References!$U:$X,4,FALSE)*VLOOKUP(CONCATENATE(Delivery[[#This Row],[Coffee specie]],Delivery[[#This Row],[Coffee state]]),References!$U:$X,4,FALSE)</f>
        <v>13854.5</v>
      </c>
      <c r="AB968" s="202">
        <f>SUMIF(Allocation!C:C,Delivery[[#This Row],[Delivery ID]],Allocation!D:D)/Delivery[[#This Row],[Quantity delivered]]</f>
        <v>0.83575733516186079</v>
      </c>
      <c r="AC968" s="203">
        <f>Delivery[[#This Row],[Quantity delivered]]*Delivery[[#This Row],[Base price (Unidad)]]/60</f>
        <v>92726.339705999999</v>
      </c>
      <c r="AD968" s="204">
        <f>Delivery[[#This Row],[Nespresso total]]-Delivery[[#This Row],[Qt. Delivery * Base Price]]</f>
        <v>25.72029399999883</v>
      </c>
      <c r="AE968" s="204">
        <f>Delivery[[#This Row],[AAA Premium (total)]]/Delivery[[#This Row],[Quantity delivered]]*60/Delivery[[#This Row],[Exchange rate VS USD]]</f>
        <v>10.017068709333488</v>
      </c>
      <c r="AF968" s="204">
        <f>Delivery[[#This Row],[BEN premium (total)]]/Delivery[[#This Row],[Quantity delivered]]*60/Delivery[[#This Row],[Exchange rate for premiums VS USD]]</f>
        <v>0</v>
      </c>
      <c r="AG968" s="204">
        <f>COUNTIF(Delivery[Delivery ID],Delivery[[#This Row],[Delivery ID]])</f>
        <v>1</v>
      </c>
      <c r="AH968" s="204">
        <f>(Delivery[[#This Row],[Nespresso total]]/SUMIF(Allocation!C:C,Delivery[Delivery ID],Allocation!H:H))/Delivery[[#This Row],[Exchange rate VS USD]]</f>
        <v>3.9574326747279081</v>
      </c>
      <c r="AI968" s="204">
        <f>(Delivery[[#This Row],[AAA Premium (total)]]/SUMIF(Allocation!C:C,Delivery[Delivery ID],Allocation!H:H))/Delivery[[#This Row],[Exchange rate VS USD]]</f>
        <v>0.40772512613391154</v>
      </c>
      <c r="AJ968" s="204">
        <f>Delivery[[#This Row],[Valor Prêmio Nespresso AAA por Kg (em US$)]]*60</f>
        <v>24.463507568034693</v>
      </c>
      <c r="AK968" s="204">
        <f>Delivery[[#This Row],[Valor Prêmio Nespresso AAA por saca (em US$)]]/1.3228/100</f>
        <v>0.18493731152127829</v>
      </c>
      <c r="AL968" s="204">
        <f>(Delivery[[#This Row],[BEN premium (total)]]/SUMIF(Allocation!C:C,Delivery[Delivery ID],Allocation!H:H))/Delivery[[#This Row],[Exchange rate for premiums VS USD]]</f>
        <v>0</v>
      </c>
      <c r="AM968" s="204">
        <f>Delivery[[#This Row],[Valor Prêmio Nespresso BEN por Kg (em US$)]]*60</f>
        <v>0</v>
      </c>
      <c r="AN968" s="204">
        <f>Delivery[[#This Row],[Valor Prêmio Nespresso BEN por saca (em US$)]]/1.3228/100</f>
        <v>0</v>
      </c>
      <c r="AO968" s="204">
        <f>SUMIF(Allocation[Delivery ID],Delivery[[#This Row],[Delivery ID]],Allocation[Quantity allocated])*16*1.3228*Delivery[[#This Row],[Exchange rate VS USD]]/60</f>
        <v>8267.4760837760005</v>
      </c>
      <c r="AP968" s="204">
        <f>Delivery[[#This Row],[AAA Premium (total)]]</f>
        <v>9556.0300000000007</v>
      </c>
      <c r="AQ968" s="204">
        <f>Delivery[[#This Row],[Valor pago pelo Cluster]]-Delivery[[#This Row],[Valor efetivamente pago pela Nespresso]]</f>
        <v>1288.5539162240002</v>
      </c>
    </row>
    <row r="969" spans="1:43" ht="15.75">
      <c r="A969" s="174" t="s">
        <v>69</v>
      </c>
      <c r="B969" s="232" t="s">
        <v>68</v>
      </c>
      <c r="C969" s="157">
        <v>1</v>
      </c>
      <c r="D969" s="157" t="s">
        <v>468</v>
      </c>
      <c r="E969" s="177" t="s">
        <v>468</v>
      </c>
      <c r="F969" s="233" t="s">
        <v>543</v>
      </c>
      <c r="G969" s="234">
        <v>43367</v>
      </c>
      <c r="H969" s="157" t="s">
        <v>1102</v>
      </c>
      <c r="I969" s="157" t="s">
        <v>1099</v>
      </c>
      <c r="J969" s="237">
        <v>30635</v>
      </c>
      <c r="K969" s="175" t="s">
        <v>61</v>
      </c>
      <c r="L969" s="175" t="s">
        <v>439</v>
      </c>
      <c r="M969" s="175" t="s">
        <v>1343</v>
      </c>
      <c r="N969" s="198"/>
      <c r="O969" s="199"/>
      <c r="P969" s="181">
        <v>0</v>
      </c>
      <c r="Q969" s="177">
        <v>43360</v>
      </c>
      <c r="R969" s="178">
        <v>401.57208000000003</v>
      </c>
      <c r="S969" s="179">
        <v>204489.58</v>
      </c>
      <c r="T969" s="182" t="s">
        <v>45</v>
      </c>
      <c r="U969" s="183">
        <v>4.1314000000000002</v>
      </c>
      <c r="V969" s="179">
        <v>21068.1</v>
      </c>
      <c r="W969" s="179">
        <v>0</v>
      </c>
      <c r="X969" s="196" t="s">
        <v>45</v>
      </c>
      <c r="Y969" s="200">
        <v>4.1314000000000002</v>
      </c>
      <c r="Z969" s="220"/>
      <c r="AA969" s="201">
        <f>Delivery[[#This Row],[Quantity delivered]]*VLOOKUP(Delivery[[#This Row],[Unit]],References!$U:$X,4,FALSE)*VLOOKUP(CONCATENATE(Delivery[[#This Row],[Coffee specie]],Delivery[[#This Row],[Coffee state]]),References!$U:$X,4,FALSE)</f>
        <v>30635</v>
      </c>
      <c r="AB969" s="202">
        <f>SUMIF(Allocation!C:C,Delivery[[#This Row],[Delivery ID]],Allocation!D:D)/Delivery[[#This Row],[Quantity delivered]]</f>
        <v>0.83499265545944179</v>
      </c>
      <c r="AC969" s="203">
        <f>Delivery[[#This Row],[Quantity delivered]]*Delivery[[#This Row],[Base price (Unidad)]]/60</f>
        <v>205036.01118</v>
      </c>
      <c r="AD969" s="204">
        <f>Delivery[[#This Row],[Nespresso total]]-Delivery[[#This Row],[Qt. Delivery * Base Price]]</f>
        <v>-546.43118000001414</v>
      </c>
      <c r="AE969" s="204">
        <f>Delivery[[#This Row],[AAA Premium (total)]]/Delivery[[#This Row],[Quantity delivered]]*60/Delivery[[#This Row],[Exchange rate VS USD]]</f>
        <v>9.9876080704780694</v>
      </c>
      <c r="AF969" s="204">
        <f>Delivery[[#This Row],[BEN premium (total)]]/Delivery[[#This Row],[Quantity delivered]]*60/Delivery[[#This Row],[Exchange rate for premiums VS USD]]</f>
        <v>0</v>
      </c>
      <c r="AG969" s="204">
        <f>COUNTIF(Delivery[Delivery ID],Delivery[[#This Row],[Delivery ID]])</f>
        <v>1</v>
      </c>
      <c r="AH969" s="204">
        <f>(Delivery[[#This Row],[Nespresso total]]/SUMIF(Allocation!C:C,Delivery[Delivery ID],Allocation!H:H))/Delivery[[#This Row],[Exchange rate VS USD]]</f>
        <v>3.9489737548374881</v>
      </c>
      <c r="AI969" s="204">
        <f>(Delivery[[#This Row],[AAA Premium (total)]]/SUMIF(Allocation!C:C,Delivery[Delivery ID],Allocation!H:H))/Delivery[[#This Row],[Exchange rate VS USD]]</f>
        <v>0.40685385516607586</v>
      </c>
      <c r="AJ969" s="204">
        <f>Delivery[[#This Row],[Valor Prêmio Nespresso AAA por Kg (em US$)]]*60</f>
        <v>24.411231309964553</v>
      </c>
      <c r="AK969" s="204">
        <f>Delivery[[#This Row],[Valor Prêmio Nespresso AAA por saca (em US$)]]/1.3228/100</f>
        <v>0.18454211755340605</v>
      </c>
      <c r="AL969" s="204">
        <f>(Delivery[[#This Row],[BEN premium (total)]]/SUMIF(Allocation!C:C,Delivery[Delivery ID],Allocation!H:H))/Delivery[[#This Row],[Exchange rate for premiums VS USD]]</f>
        <v>0</v>
      </c>
      <c r="AM969" s="204">
        <f>Delivery[[#This Row],[Valor Prêmio Nespresso BEN por Kg (em US$)]]*60</f>
        <v>0</v>
      </c>
      <c r="AN969" s="204">
        <f>Delivery[[#This Row],[Valor Prêmio Nespresso BEN por saca (em US$)]]/1.3228/100</f>
        <v>0</v>
      </c>
      <c r="AO969" s="204">
        <f>SUMIF(Allocation[Delivery ID],Delivery[[#This Row],[Delivery ID]],Allocation[Quantity allocated])*16*1.3228*Delivery[[#This Row],[Exchange rate VS USD]]/60</f>
        <v>18266.269211007999</v>
      </c>
      <c r="AP969" s="204">
        <f>Delivery[[#This Row],[AAA Premium (total)]]</f>
        <v>21068.1</v>
      </c>
      <c r="AQ969" s="204">
        <f>Delivery[[#This Row],[Valor pago pelo Cluster]]-Delivery[[#This Row],[Valor efetivamente pago pela Nespresso]]</f>
        <v>2801.8307889919997</v>
      </c>
    </row>
    <row r="970" spans="1:43" ht="15.75">
      <c r="A970" s="174" t="s">
        <v>69</v>
      </c>
      <c r="B970" s="232" t="s">
        <v>68</v>
      </c>
      <c r="C970" s="157">
        <v>1</v>
      </c>
      <c r="D970" s="157" t="s">
        <v>468</v>
      </c>
      <c r="E970" s="177" t="s">
        <v>468</v>
      </c>
      <c r="F970" s="233" t="s">
        <v>543</v>
      </c>
      <c r="G970" s="234">
        <v>43367</v>
      </c>
      <c r="H970" s="157" t="s">
        <v>1103</v>
      </c>
      <c r="I970" s="157" t="s">
        <v>1099</v>
      </c>
      <c r="J970" s="237">
        <v>25805</v>
      </c>
      <c r="K970" s="175" t="s">
        <v>61</v>
      </c>
      <c r="L970" s="175" t="s">
        <v>439</v>
      </c>
      <c r="M970" s="175" t="s">
        <v>1343</v>
      </c>
      <c r="N970" s="198"/>
      <c r="O970" s="199"/>
      <c r="P970" s="181">
        <v>0</v>
      </c>
      <c r="Q970" s="177">
        <v>43360</v>
      </c>
      <c r="R970" s="178">
        <v>401.57208000000003</v>
      </c>
      <c r="S970" s="179">
        <v>172412.78</v>
      </c>
      <c r="T970" s="182" t="s">
        <v>45</v>
      </c>
      <c r="U970" s="183">
        <v>4.1314000000000002</v>
      </c>
      <c r="V970" s="179">
        <v>17763.3</v>
      </c>
      <c r="W970" s="179">
        <v>0</v>
      </c>
      <c r="X970" s="196" t="s">
        <v>45</v>
      </c>
      <c r="Y970" s="200">
        <v>4.1314000000000002</v>
      </c>
      <c r="Z970" s="220"/>
      <c r="AA970" s="201">
        <f>Delivery[[#This Row],[Quantity delivered]]*VLOOKUP(Delivery[[#This Row],[Unit]],References!$U:$X,4,FALSE)*VLOOKUP(CONCATENATE(Delivery[[#This Row],[Coffee specie]],Delivery[[#This Row],[Coffee state]]),References!$U:$X,4,FALSE)</f>
        <v>25805</v>
      </c>
      <c r="AB970" s="202">
        <f>SUMIF(Allocation!C:C,Delivery[[#This Row],[Delivery ID]],Allocation!D:D)/Delivery[[#This Row],[Quantity delivered]]</f>
        <v>0.83534198798682424</v>
      </c>
      <c r="AC970" s="203">
        <f>Delivery[[#This Row],[Quantity delivered]]*Delivery[[#This Row],[Base price (Unidad)]]/60</f>
        <v>172709.45874000003</v>
      </c>
      <c r="AD970" s="204">
        <f>Delivery[[#This Row],[Nespresso total]]-Delivery[[#This Row],[Qt. Delivery * Base Price]]</f>
        <v>-296.67874000003212</v>
      </c>
      <c r="AE970" s="204">
        <f>Delivery[[#This Row],[AAA Premium (total)]]/Delivery[[#This Row],[Quantity delivered]]*60/Delivery[[#This Row],[Exchange rate VS USD]]</f>
        <v>9.9970943838069957</v>
      </c>
      <c r="AF970" s="204">
        <f>Delivery[[#This Row],[BEN premium (total)]]/Delivery[[#This Row],[Quantity delivered]]*60/Delivery[[#This Row],[Exchange rate for premiums VS USD]]</f>
        <v>0</v>
      </c>
      <c r="AG970" s="204">
        <f>COUNTIF(Delivery[Delivery ID],Delivery[[#This Row],[Delivery ID]])</f>
        <v>1</v>
      </c>
      <c r="AH970" s="204">
        <f>(Delivery[[#This Row],[Nespresso total]]/SUMIF(Allocation!C:C,Delivery[Delivery ID],Allocation!H:H))/Delivery[[#This Row],[Exchange rate VS USD]]</f>
        <v>3.9507989488409043</v>
      </c>
      <c r="AI970" s="204">
        <f>(Delivery[[#This Row],[AAA Premium (total)]]/SUMIF(Allocation!C:C,Delivery[Delivery ID],Allocation!H:H))/Delivery[[#This Row],[Exchange rate VS USD]]</f>
        <v>0.40704190819233727</v>
      </c>
      <c r="AJ970" s="204">
        <f>Delivery[[#This Row],[Valor Prêmio Nespresso AAA por Kg (em US$)]]*60</f>
        <v>24.422514491540237</v>
      </c>
      <c r="AK970" s="204">
        <f>Delivery[[#This Row],[Valor Prêmio Nespresso AAA por saca (em US$)]]/1.3228/100</f>
        <v>0.18462741526716236</v>
      </c>
      <c r="AL970" s="204">
        <f>(Delivery[[#This Row],[BEN premium (total)]]/SUMIF(Allocation!C:C,Delivery[Delivery ID],Allocation!H:H))/Delivery[[#This Row],[Exchange rate for premiums VS USD]]</f>
        <v>0</v>
      </c>
      <c r="AM970" s="204">
        <f>Delivery[[#This Row],[Valor Prêmio Nespresso BEN por Kg (em US$)]]*60</f>
        <v>0</v>
      </c>
      <c r="AN970" s="204">
        <f>Delivery[[#This Row],[Valor Prêmio Nespresso BEN por saca (em US$)]]/1.3228/100</f>
        <v>0</v>
      </c>
      <c r="AO970" s="204">
        <f>SUMIF(Allocation[Delivery ID],Delivery[[#This Row],[Delivery ID]],Allocation[Quantity allocated])*16*1.3228*Delivery[[#This Row],[Exchange rate VS USD]]/60</f>
        <v>15393.856843456002</v>
      </c>
      <c r="AP970" s="204">
        <f>Delivery[[#This Row],[AAA Premium (total)]]</f>
        <v>17763.3</v>
      </c>
      <c r="AQ970" s="204">
        <f>Delivery[[#This Row],[Valor pago pelo Cluster]]-Delivery[[#This Row],[Valor efetivamente pago pela Nespresso]]</f>
        <v>2369.4431565439972</v>
      </c>
    </row>
    <row r="971" spans="1:43" ht="15.75">
      <c r="A971" s="174" t="s">
        <v>69</v>
      </c>
      <c r="B971" s="232" t="s">
        <v>68</v>
      </c>
      <c r="C971" s="157">
        <v>1</v>
      </c>
      <c r="D971" s="157" t="s">
        <v>468</v>
      </c>
      <c r="E971" s="177" t="s">
        <v>468</v>
      </c>
      <c r="F971" s="233" t="s">
        <v>543</v>
      </c>
      <c r="G971" s="234">
        <v>43364</v>
      </c>
      <c r="H971" s="235" t="s">
        <v>2177</v>
      </c>
      <c r="I971" s="236" t="s">
        <v>1641</v>
      </c>
      <c r="J971" s="237">
        <v>11230</v>
      </c>
      <c r="K971" s="175" t="s">
        <v>61</v>
      </c>
      <c r="L971" s="175" t="s">
        <v>439</v>
      </c>
      <c r="M971" s="175" t="s">
        <v>1343</v>
      </c>
      <c r="N971" s="198"/>
      <c r="O971" s="199"/>
      <c r="P971" s="181">
        <v>0</v>
      </c>
      <c r="Q971" s="177">
        <v>43357</v>
      </c>
      <c r="R971" s="178">
        <v>416.62158500000004</v>
      </c>
      <c r="S971" s="179">
        <v>81965.8</v>
      </c>
      <c r="T971" s="182" t="s">
        <v>45</v>
      </c>
      <c r="U971" s="183">
        <v>4.1683000000000003</v>
      </c>
      <c r="V971" s="179">
        <v>7794.16</v>
      </c>
      <c r="W971" s="179">
        <v>0</v>
      </c>
      <c r="X971" s="196" t="s">
        <v>45</v>
      </c>
      <c r="Y971" s="200">
        <v>4.1683000000000003</v>
      </c>
      <c r="Z971" s="220"/>
      <c r="AA971" s="201">
        <f>Delivery[[#This Row],[Quantity delivered]]*VLOOKUP(Delivery[[#This Row],[Unit]],References!$U:$X,4,FALSE)*VLOOKUP(CONCATENATE(Delivery[[#This Row],[Coffee specie]],Delivery[[#This Row],[Coffee state]]),References!$U:$X,4,FALSE)</f>
        <v>11230</v>
      </c>
      <c r="AB971" s="202">
        <f>SUMIF(Allocation!C:C,Delivery[[#This Row],[Delivery ID]],Allocation!D:D)/Delivery[[#This Row],[Quantity delivered]]</f>
        <v>0.7428317008014248</v>
      </c>
      <c r="AC971" s="203">
        <f>Delivery[[#This Row],[Quantity delivered]]*Delivery[[#This Row],[Base price (Unidad)]]/60</f>
        <v>77977.673325833341</v>
      </c>
      <c r="AD971" s="204">
        <f>Delivery[[#This Row],[Nespresso total]]-Delivery[[#This Row],[Qt. Delivery * Base Price]]</f>
        <v>3988.1266741666623</v>
      </c>
      <c r="AE971" s="204">
        <f>Delivery[[#This Row],[AAA Premium (total)]]/Delivery[[#This Row],[Quantity delivered]]*60/Delivery[[#This Row],[Exchange rate VS USD]]</f>
        <v>9.9903762035166448</v>
      </c>
      <c r="AF971" s="204">
        <f>Delivery[[#This Row],[BEN premium (total)]]/Delivery[[#This Row],[Quantity delivered]]*60/Delivery[[#This Row],[Exchange rate for premiums VS USD]]</f>
        <v>0</v>
      </c>
      <c r="AG971" s="204">
        <f>COUNTIF(Delivery[Delivery ID],Delivery[[#This Row],[Delivery ID]])</f>
        <v>1</v>
      </c>
      <c r="AH971" s="204">
        <f>(Delivery[[#This Row],[Nespresso total]]/SUMIF(Allocation!C:C,Delivery[Delivery ID],Allocation!H:H))/Delivery[[#This Row],[Exchange rate VS USD]]</f>
        <v>5.1248589208229749</v>
      </c>
      <c r="AI971" s="204">
        <f>(Delivery[[#This Row],[AAA Premium (total)]]/SUMIF(Allocation!C:C,Delivery[Delivery ID],Allocation!H:H))/Delivery[[#This Row],[Exchange rate VS USD]]</f>
        <v>0.48732484043737256</v>
      </c>
      <c r="AJ971" s="204">
        <f>Delivery[[#This Row],[Valor Prêmio Nespresso AAA por Kg (em US$)]]*60</f>
        <v>29.239490426242355</v>
      </c>
      <c r="AK971" s="204">
        <f>Delivery[[#This Row],[Valor Prêmio Nespresso AAA por saca (em US$)]]/1.3228/100</f>
        <v>0.22104241326158419</v>
      </c>
      <c r="AL971" s="204">
        <f>(Delivery[[#This Row],[BEN premium (total)]]/SUMIF(Allocation!C:C,Delivery[Delivery ID],Allocation!H:H))/Delivery[[#This Row],[Exchange rate for premiums VS USD]]</f>
        <v>0</v>
      </c>
      <c r="AM971" s="204">
        <f>Delivery[[#This Row],[Valor Prêmio Nespresso BEN por Kg (em US$)]]*60</f>
        <v>0</v>
      </c>
      <c r="AN971" s="204">
        <f>Delivery[[#This Row],[Valor Prêmio Nespresso BEN por saca (em US$)]]/1.3228/100</f>
        <v>0</v>
      </c>
      <c r="AO971" s="204">
        <f>SUMIF(Allocation[Delivery ID],Delivery[[#This Row],[Delivery ID]],Allocation[Quantity allocated])*16*1.3228*Delivery[[#This Row],[Exchange rate VS USD]]/60</f>
        <v>5641.7480319680008</v>
      </c>
      <c r="AP971" s="204">
        <f>Delivery[[#This Row],[AAA Premium (total)]]</f>
        <v>7794.16</v>
      </c>
      <c r="AQ971" s="204">
        <f>Delivery[[#This Row],[Valor pago pelo Cluster]]-Delivery[[#This Row],[Valor efetivamente pago pela Nespresso]]</f>
        <v>2152.4119680319991</v>
      </c>
    </row>
    <row r="972" spans="1:43" ht="15.75">
      <c r="A972" s="174" t="s">
        <v>69</v>
      </c>
      <c r="B972" s="232" t="s">
        <v>68</v>
      </c>
      <c r="C972" s="157">
        <v>1</v>
      </c>
      <c r="D972" s="157" t="s">
        <v>468</v>
      </c>
      <c r="E972" s="177" t="s">
        <v>468</v>
      </c>
      <c r="F972" s="233" t="s">
        <v>543</v>
      </c>
      <c r="G972" s="234">
        <v>43364</v>
      </c>
      <c r="H972" s="157" t="s">
        <v>1665</v>
      </c>
      <c r="I972" s="236" t="s">
        <v>1641</v>
      </c>
      <c r="J972" s="237">
        <v>29970</v>
      </c>
      <c r="K972" s="175" t="s">
        <v>61</v>
      </c>
      <c r="L972" s="175" t="s">
        <v>439</v>
      </c>
      <c r="M972" s="175" t="s">
        <v>1343</v>
      </c>
      <c r="N972" s="198"/>
      <c r="O972" s="199"/>
      <c r="P972" s="181">
        <v>0</v>
      </c>
      <c r="Q972" s="177">
        <v>43357</v>
      </c>
      <c r="R972" s="178">
        <v>416.62158500000004</v>
      </c>
      <c r="S972" s="179">
        <v>219159.9</v>
      </c>
      <c r="T972" s="182" t="s">
        <v>45</v>
      </c>
      <c r="U972" s="183">
        <v>4.1683000000000003</v>
      </c>
      <c r="V972" s="179">
        <v>20840.099999999999</v>
      </c>
      <c r="W972" s="179">
        <v>0</v>
      </c>
      <c r="X972" s="196" t="s">
        <v>45</v>
      </c>
      <c r="Y972" s="200">
        <v>4.1683000000000003</v>
      </c>
      <c r="Z972" s="220"/>
      <c r="AA972" s="201">
        <f>Delivery[[#This Row],[Quantity delivered]]*VLOOKUP(Delivery[[#This Row],[Unit]],References!$U:$X,4,FALSE)*VLOOKUP(CONCATENATE(Delivery[[#This Row],[Coffee specie]],Delivery[[#This Row],[Coffee state]]),References!$U:$X,4,FALSE)</f>
        <v>29970</v>
      </c>
      <c r="AB972" s="202">
        <f>SUMIF(Allocation!C:C,Delivery[[#This Row],[Delivery ID]],Allocation!D:D)/Delivery[[#This Row],[Quantity delivered]]</f>
        <v>1</v>
      </c>
      <c r="AC972" s="203">
        <f>Delivery[[#This Row],[Quantity delivered]]*Delivery[[#This Row],[Base price (Unidad)]]/60</f>
        <v>208102.4817075</v>
      </c>
      <c r="AD972" s="204">
        <f>Delivery[[#This Row],[Nespresso total]]-Delivery[[#This Row],[Qt. Delivery * Base Price]]</f>
        <v>11057.418292499991</v>
      </c>
      <c r="AE972" s="204">
        <f>Delivery[[#This Row],[AAA Premium (total)]]/Delivery[[#This Row],[Quantity delivered]]*60/Delivery[[#This Row],[Exchange rate VS USD]]</f>
        <v>10.009337600921699</v>
      </c>
      <c r="AF972" s="204">
        <f>Delivery[[#This Row],[BEN premium (total)]]/Delivery[[#This Row],[Quantity delivered]]*60/Delivery[[#This Row],[Exchange rate for premiums VS USD]]</f>
        <v>0</v>
      </c>
      <c r="AG972" s="204">
        <f>COUNTIF(Delivery[Delivery ID],Delivery[[#This Row],[Delivery ID]])</f>
        <v>1</v>
      </c>
      <c r="AH972" s="204">
        <f>(Delivery[[#This Row],[Nespresso total]]/SUMIF(Allocation!C:C,Delivery[Delivery ID],Allocation!H:H))/Delivery[[#This Row],[Exchange rate VS USD]]</f>
        <v>3.8138521337529196</v>
      </c>
      <c r="AI972" s="204">
        <f>(Delivery[[#This Row],[AAA Premium (total)]]/SUMIF(Allocation!C:C,Delivery[Delivery ID],Allocation!H:H))/Delivery[[#This Row],[Exchange rate VS USD]]</f>
        <v>0.36266242069203453</v>
      </c>
      <c r="AJ972" s="204">
        <f>Delivery[[#This Row],[Valor Prêmio Nespresso AAA por Kg (em US$)]]*60</f>
        <v>21.759745241522072</v>
      </c>
      <c r="AK972" s="204">
        <f>Delivery[[#This Row],[Valor Prêmio Nespresso AAA por saca (em US$)]]/1.3228/100</f>
        <v>0.16449762051347197</v>
      </c>
      <c r="AL972" s="204">
        <f>(Delivery[[#This Row],[BEN premium (total)]]/SUMIF(Allocation!C:C,Delivery[Delivery ID],Allocation!H:H))/Delivery[[#This Row],[Exchange rate for premiums VS USD]]</f>
        <v>0</v>
      </c>
      <c r="AM972" s="204">
        <f>Delivery[[#This Row],[Valor Prêmio Nespresso BEN por Kg (em US$)]]*60</f>
        <v>0</v>
      </c>
      <c r="AN972" s="204">
        <f>Delivery[[#This Row],[Valor Prêmio Nespresso BEN por saca (em US$)]]/1.3228/100</f>
        <v>0</v>
      </c>
      <c r="AO972" s="204">
        <f>SUMIF(Allocation[Delivery ID],Delivery[[#This Row],[Delivery ID]],Allocation[Quantity allocated])*16*1.3228*Delivery[[#This Row],[Exchange rate VS USD]]/60</f>
        <v>20270.299288170667</v>
      </c>
      <c r="AP972" s="204">
        <f>Delivery[[#This Row],[AAA Premium (total)]]</f>
        <v>20840.099999999999</v>
      </c>
      <c r="AQ972" s="204">
        <f>Delivery[[#This Row],[Valor pago pelo Cluster]]-Delivery[[#This Row],[Valor efetivamente pago pela Nespresso]]</f>
        <v>569.8007118293317</v>
      </c>
    </row>
    <row r="973" spans="1:43" ht="15.75">
      <c r="A973" s="174" t="s">
        <v>69</v>
      </c>
      <c r="B973" s="232" t="s">
        <v>68</v>
      </c>
      <c r="C973" s="157" t="s">
        <v>1344</v>
      </c>
      <c r="D973" s="157" t="s">
        <v>468</v>
      </c>
      <c r="E973" s="177" t="s">
        <v>468</v>
      </c>
      <c r="F973" s="233" t="s">
        <v>543</v>
      </c>
      <c r="G973" s="234">
        <v>43368</v>
      </c>
      <c r="H973" s="157" t="s">
        <v>1666</v>
      </c>
      <c r="I973" s="157" t="s">
        <v>935</v>
      </c>
      <c r="J973" s="237">
        <v>31021.5</v>
      </c>
      <c r="K973" s="175" t="s">
        <v>61</v>
      </c>
      <c r="L973" s="175" t="s">
        <v>439</v>
      </c>
      <c r="M973" s="175" t="s">
        <v>1343</v>
      </c>
      <c r="N973" s="198"/>
      <c r="O973" s="199"/>
      <c r="P973" s="181">
        <v>0</v>
      </c>
      <c r="Q973" s="177">
        <v>43361</v>
      </c>
      <c r="R973" s="178">
        <v>399.20956999999999</v>
      </c>
      <c r="S973" s="179">
        <v>201168.27</v>
      </c>
      <c r="T973" s="182" t="s">
        <v>45</v>
      </c>
      <c r="U973" s="183">
        <v>4.1605999999999996</v>
      </c>
      <c r="V973" s="179">
        <v>21424</v>
      </c>
      <c r="W973" s="179">
        <v>0</v>
      </c>
      <c r="X973" s="196" t="s">
        <v>45</v>
      </c>
      <c r="Y973" s="200">
        <v>4.1605999999999996</v>
      </c>
      <c r="Z973" s="220"/>
      <c r="AA973" s="201">
        <f>Delivery[[#This Row],[Quantity delivered]]*VLOOKUP(Delivery[[#This Row],[Unit]],References!$U:$X,4,FALSE)*VLOOKUP(CONCATENATE(Delivery[[#This Row],[Coffee specie]],Delivery[[#This Row],[Coffee state]]),References!$U:$X,4,FALSE)</f>
        <v>31021.5</v>
      </c>
      <c r="AB973" s="202">
        <f>SUMIF(Allocation!C:C,Delivery[[#This Row],[Delivery ID]],Allocation!D:D)/Delivery[[#This Row],[Quantity delivered]]</f>
        <v>0.60954499298873366</v>
      </c>
      <c r="AC973" s="203">
        <f>Delivery[[#This Row],[Quantity delivered]]*Delivery[[#This Row],[Base price (Unidad)]]/60</f>
        <v>206401.32792924999</v>
      </c>
      <c r="AD973" s="204">
        <f>Delivery[[#This Row],[Nespresso total]]-Delivery[[#This Row],[Qt. Delivery * Base Price]]</f>
        <v>-5233.0579292500042</v>
      </c>
      <c r="AE973" s="204">
        <f>Delivery[[#This Row],[AAA Premium (total)]]/Delivery[[#This Row],[Quantity delivered]]*60/Delivery[[#This Row],[Exchange rate VS USD]]</f>
        <v>9.9593971638817536</v>
      </c>
      <c r="AF973" s="204">
        <f>Delivery[[#This Row],[BEN premium (total)]]/Delivery[[#This Row],[Quantity delivered]]*60/Delivery[[#This Row],[Exchange rate for premiums VS USD]]</f>
        <v>0</v>
      </c>
      <c r="AG973" s="204">
        <f>COUNTIF(Delivery[Delivery ID],Delivery[[#This Row],[Delivery ID]])</f>
        <v>1</v>
      </c>
      <c r="AH973" s="204">
        <f>(Delivery[[#This Row],[Nespresso total]]/SUMIF(Allocation!C:C,Delivery[Delivery ID],Allocation!H:H))/Delivery[[#This Row],[Exchange rate VS USD]]</f>
        <v>6.3930693561860981</v>
      </c>
      <c r="AI973" s="204">
        <f>(Delivery[[#This Row],[AAA Premium (total)]]/SUMIF(Allocation!C:C,Delivery[Delivery ID],Allocation!H:H))/Delivery[[#This Row],[Exchange rate VS USD]]</f>
        <v>0.68084851496178278</v>
      </c>
      <c r="AJ973" s="204">
        <f>Delivery[[#This Row],[Valor Prêmio Nespresso AAA por Kg (em US$)]]*60</f>
        <v>40.850910897706967</v>
      </c>
      <c r="AK973" s="204">
        <f>Delivery[[#This Row],[Valor Prêmio Nespresso AAA por saca (em US$)]]/1.3228/100</f>
        <v>0.3088215217546641</v>
      </c>
      <c r="AL973" s="204">
        <f>(Delivery[[#This Row],[BEN premium (total)]]/SUMIF(Allocation!C:C,Delivery[Delivery ID],Allocation!H:H))/Delivery[[#This Row],[Exchange rate for premiums VS USD]]</f>
        <v>0</v>
      </c>
      <c r="AM973" s="204">
        <f>Delivery[[#This Row],[Valor Prêmio Nespresso BEN por Kg (em US$)]]*60</f>
        <v>0</v>
      </c>
      <c r="AN973" s="204">
        <f>Delivery[[#This Row],[Valor Prêmio Nespresso BEN por saca (em US$)]]/1.3228/100</f>
        <v>0</v>
      </c>
      <c r="AO973" s="204">
        <f>SUMIF(Allocation[Delivery ID],Delivery[[#This Row],[Delivery ID]],Allocation[Quantity allocated])*16*1.3228*Delivery[[#This Row],[Exchange rate VS USD]]/60</f>
        <v>11099.744540223999</v>
      </c>
      <c r="AP973" s="204">
        <f>Delivery[[#This Row],[AAA Premium (total)]]</f>
        <v>21424</v>
      </c>
      <c r="AQ973" s="204">
        <f>Delivery[[#This Row],[Valor pago pelo Cluster]]-Delivery[[#This Row],[Valor efetivamente pago pela Nespresso]]</f>
        <v>10324.255459776001</v>
      </c>
    </row>
    <row r="974" spans="1:43" ht="15.75">
      <c r="A974" s="174" t="s">
        <v>69</v>
      </c>
      <c r="B974" s="232" t="s">
        <v>68</v>
      </c>
      <c r="C974" s="157">
        <v>1</v>
      </c>
      <c r="D974" s="157" t="s">
        <v>468</v>
      </c>
      <c r="E974" s="177" t="s">
        <v>468</v>
      </c>
      <c r="F974" s="233" t="s">
        <v>543</v>
      </c>
      <c r="G974" s="234">
        <v>43368</v>
      </c>
      <c r="H974" s="157" t="s">
        <v>1104</v>
      </c>
      <c r="I974" s="157" t="s">
        <v>935</v>
      </c>
      <c r="J974" s="237">
        <v>4717.5</v>
      </c>
      <c r="K974" s="175" t="s">
        <v>61</v>
      </c>
      <c r="L974" s="175" t="s">
        <v>439</v>
      </c>
      <c r="M974" s="175" t="s">
        <v>1343</v>
      </c>
      <c r="N974" s="198"/>
      <c r="O974" s="199"/>
      <c r="P974" s="181">
        <v>0</v>
      </c>
      <c r="Q974" s="177">
        <v>43363</v>
      </c>
      <c r="R974" s="178">
        <v>406.98387999999994</v>
      </c>
      <c r="S974" s="179">
        <v>31841.5</v>
      </c>
      <c r="T974" s="182" t="s">
        <v>45</v>
      </c>
      <c r="U974" s="183">
        <v>4.1067999999999998</v>
      </c>
      <c r="V974" s="179">
        <v>2213.75</v>
      </c>
      <c r="W974" s="179">
        <v>0</v>
      </c>
      <c r="X974" s="196" t="s">
        <v>45</v>
      </c>
      <c r="Y974" s="200">
        <v>4.1067999999999998</v>
      </c>
      <c r="Z974" s="220"/>
      <c r="AA974" s="201">
        <f>Delivery[[#This Row],[Quantity delivered]]*VLOOKUP(Delivery[[#This Row],[Unit]],References!$U:$X,4,FALSE)*VLOOKUP(CONCATENATE(Delivery[[#This Row],[Coffee specie]],Delivery[[#This Row],[Coffee state]]),References!$U:$X,4,FALSE)</f>
        <v>4717.5</v>
      </c>
      <c r="AB974" s="202">
        <f>SUMIF(Allocation!C:C,Delivery[[#This Row],[Delivery ID]],Allocation!D:D)/Delivery[[#This Row],[Quantity delivered]]</f>
        <v>1</v>
      </c>
      <c r="AC974" s="203">
        <f>Delivery[[#This Row],[Quantity delivered]]*Delivery[[#This Row],[Base price (Unidad)]]/60</f>
        <v>31999.107564999995</v>
      </c>
      <c r="AD974" s="204">
        <f>Delivery[[#This Row],[Nespresso total]]-Delivery[[#This Row],[Qt. Delivery * Base Price]]</f>
        <v>-157.60756499999479</v>
      </c>
      <c r="AE974" s="204">
        <f>Delivery[[#This Row],[AAA Premium (total)]]/Delivery[[#This Row],[Quantity delivered]]*60/Delivery[[#This Row],[Exchange rate VS USD]]</f>
        <v>6.8558982326106008</v>
      </c>
      <c r="AF974" s="204">
        <f>Delivery[[#This Row],[BEN premium (total)]]/Delivery[[#This Row],[Quantity delivered]]*60/Delivery[[#This Row],[Exchange rate for premiums VS USD]]</f>
        <v>0</v>
      </c>
      <c r="AG974" s="204">
        <f>COUNTIF(Delivery[Delivery ID],Delivery[[#This Row],[Delivery ID]])</f>
        <v>1</v>
      </c>
      <c r="AH974" s="204">
        <f>(Delivery[[#This Row],[Nespresso total]]/SUMIF(Allocation!C:C,Delivery[Delivery ID],Allocation!H:H))/Delivery[[#This Row],[Exchange rate VS USD]]</f>
        <v>4.1088289774829754</v>
      </c>
      <c r="AI974" s="204">
        <f>(Delivery[[#This Row],[AAA Premium (total)]]/SUMIF(Allocation!C:C,Delivery[Delivery ID],Allocation!H:H))/Delivery[[#This Row],[Exchange rate VS USD]]</f>
        <v>0.28566242635877503</v>
      </c>
      <c r="AJ974" s="204">
        <f>Delivery[[#This Row],[Valor Prêmio Nespresso AAA por Kg (em US$)]]*60</f>
        <v>17.139745581526501</v>
      </c>
      <c r="AK974" s="204">
        <f>Delivery[[#This Row],[Valor Prêmio Nespresso AAA por saca (em US$)]]/1.3228/100</f>
        <v>0.12957170835747278</v>
      </c>
      <c r="AL974" s="204">
        <f>(Delivery[[#This Row],[BEN premium (total)]]/SUMIF(Allocation!C:C,Delivery[Delivery ID],Allocation!H:H))/Delivery[[#This Row],[Exchange rate for premiums VS USD]]</f>
        <v>0</v>
      </c>
      <c r="AM974" s="204">
        <f>Delivery[[#This Row],[Valor Prêmio Nespresso BEN por Kg (em US$)]]*60</f>
        <v>0</v>
      </c>
      <c r="AN974" s="204">
        <f>Delivery[[#This Row],[Valor Prêmio Nespresso BEN por saca (em US$)]]/1.3228/100</f>
        <v>0</v>
      </c>
      <c r="AO974" s="204">
        <f>SUMIF(Allocation[Delivery ID],Delivery[[#This Row],[Delivery ID]],Allocation[Quantity allocated])*16*1.3228*Delivery[[#This Row],[Exchange rate VS USD]]/60</f>
        <v>2733.6214401279999</v>
      </c>
      <c r="AP974" s="204">
        <f>Delivery[[#This Row],[AAA Premium (total)]]</f>
        <v>2213.75</v>
      </c>
      <c r="AQ974" s="204">
        <f>Delivery[[#This Row],[Valor pago pelo Cluster]]-Delivery[[#This Row],[Valor efetivamente pago pela Nespresso]]</f>
        <v>-519.8714401279999</v>
      </c>
    </row>
    <row r="975" spans="1:43" ht="15.75">
      <c r="A975" s="174" t="s">
        <v>69</v>
      </c>
      <c r="B975" s="232" t="s">
        <v>68</v>
      </c>
      <c r="C975" s="157" t="s">
        <v>1344</v>
      </c>
      <c r="D975" s="157" t="s">
        <v>468</v>
      </c>
      <c r="E975" s="177" t="s">
        <v>468</v>
      </c>
      <c r="F975" s="233" t="s">
        <v>543</v>
      </c>
      <c r="G975" s="234">
        <v>43368</v>
      </c>
      <c r="H975" s="157" t="s">
        <v>1667</v>
      </c>
      <c r="I975" s="157" t="s">
        <v>1668</v>
      </c>
      <c r="J975" s="237">
        <v>23304</v>
      </c>
      <c r="K975" s="175" t="s">
        <v>61</v>
      </c>
      <c r="L975" s="175" t="s">
        <v>439</v>
      </c>
      <c r="M975" s="175" t="s">
        <v>1343</v>
      </c>
      <c r="N975" s="198"/>
      <c r="O975" s="199"/>
      <c r="P975" s="181">
        <v>0</v>
      </c>
      <c r="Q975" s="177">
        <v>43363</v>
      </c>
      <c r="R975" s="178">
        <v>404.39412499999997</v>
      </c>
      <c r="S975" s="179">
        <v>157368.20000000001</v>
      </c>
      <c r="T975" s="182" t="s">
        <v>45</v>
      </c>
      <c r="U975" s="183">
        <v>4.0744999999999996</v>
      </c>
      <c r="V975" s="179">
        <v>11117.57</v>
      </c>
      <c r="W975" s="179">
        <v>0</v>
      </c>
      <c r="X975" s="196" t="s">
        <v>45</v>
      </c>
      <c r="Y975" s="200">
        <v>4.0744999999999996</v>
      </c>
      <c r="Z975" s="220"/>
      <c r="AA975" s="201">
        <f>Delivery[[#This Row],[Quantity delivered]]*VLOOKUP(Delivery[[#This Row],[Unit]],References!$U:$X,4,FALSE)*VLOOKUP(CONCATENATE(Delivery[[#This Row],[Coffee specie]],Delivery[[#This Row],[Coffee state]]),References!$U:$X,4,FALSE)</f>
        <v>23304</v>
      </c>
      <c r="AB975" s="202">
        <f>SUMIF(Allocation!C:C,Delivery[[#This Row],[Delivery ID]],Allocation!D:D)/Delivery[[#This Row],[Quantity delivered]]</f>
        <v>0.71245279780295223</v>
      </c>
      <c r="AC975" s="203">
        <f>Delivery[[#This Row],[Quantity delivered]]*Delivery[[#This Row],[Base price (Unidad)]]/60</f>
        <v>157066.67814999999</v>
      </c>
      <c r="AD975" s="204">
        <f>Delivery[[#This Row],[Nespresso total]]-Delivery[[#This Row],[Qt. Delivery * Base Price]]</f>
        <v>301.52185000001919</v>
      </c>
      <c r="AE975" s="204">
        <f>Delivery[[#This Row],[AAA Premium (total)]]/Delivery[[#This Row],[Quantity delivered]]*60/Delivery[[#This Row],[Exchange rate VS USD]]</f>
        <v>7.0251617688522439</v>
      </c>
      <c r="AF975" s="204">
        <f>Delivery[[#This Row],[BEN premium (total)]]/Delivery[[#This Row],[Quantity delivered]]*60/Delivery[[#This Row],[Exchange rate for premiums VS USD]]</f>
        <v>0</v>
      </c>
      <c r="AG975" s="204">
        <f>COUNTIF(Delivery[Delivery ID],Delivery[[#This Row],[Delivery ID]])</f>
        <v>1</v>
      </c>
      <c r="AH975" s="204">
        <f>(Delivery[[#This Row],[Nespresso total]]/SUMIF(Allocation!C:C,Delivery[Delivery ID],Allocation!H:H))/Delivery[[#This Row],[Exchange rate VS USD]]</f>
        <v>7.7540056559015573</v>
      </c>
      <c r="AI975" s="204">
        <f>(Delivery[[#This Row],[AAA Premium (total)]]/SUMIF(Allocation!C:C,Delivery[Delivery ID],Allocation!H:H))/Delivery[[#This Row],[Exchange rate VS USD]]</f>
        <v>0.54779619173302774</v>
      </c>
      <c r="AJ975" s="204">
        <f>Delivery[[#This Row],[Valor Prêmio Nespresso AAA por Kg (em US$)]]*60</f>
        <v>32.867771503981665</v>
      </c>
      <c r="AK975" s="204">
        <f>Delivery[[#This Row],[Valor Prêmio Nespresso AAA por saca (em US$)]]/1.3228/100</f>
        <v>0.24847120882961649</v>
      </c>
      <c r="AL975" s="204">
        <f>(Delivery[[#This Row],[BEN premium (total)]]/SUMIF(Allocation!C:C,Delivery[Delivery ID],Allocation!H:H))/Delivery[[#This Row],[Exchange rate for premiums VS USD]]</f>
        <v>0</v>
      </c>
      <c r="AM975" s="204">
        <f>Delivery[[#This Row],[Valor Prêmio Nespresso BEN por Kg (em US$)]]*60</f>
        <v>0</v>
      </c>
      <c r="AN975" s="204">
        <f>Delivery[[#This Row],[Valor Prêmio Nespresso BEN por saca (em US$)]]/1.3228/100</f>
        <v>0</v>
      </c>
      <c r="AO975" s="204">
        <f>SUMIF(Allocation[Delivery ID],Delivery[[#This Row],[Delivery ID]],Allocation[Quantity allocated])*16*1.3228*Delivery[[#This Row],[Exchange rate VS USD]]/60</f>
        <v>7159.0234070933329</v>
      </c>
      <c r="AP975" s="204">
        <f>Delivery[[#This Row],[AAA Premium (total)]]</f>
        <v>11117.57</v>
      </c>
      <c r="AQ975" s="204">
        <f>Delivery[[#This Row],[Valor pago pelo Cluster]]-Delivery[[#This Row],[Valor efetivamente pago pela Nespresso]]</f>
        <v>3958.5465929066668</v>
      </c>
    </row>
    <row r="976" spans="1:43" ht="15.75">
      <c r="A976" s="174" t="s">
        <v>69</v>
      </c>
      <c r="B976" s="232" t="s">
        <v>68</v>
      </c>
      <c r="C976" s="157">
        <v>1</v>
      </c>
      <c r="D976" s="157" t="s">
        <v>468</v>
      </c>
      <c r="E976" s="177" t="s">
        <v>468</v>
      </c>
      <c r="F976" s="233" t="s">
        <v>543</v>
      </c>
      <c r="G976" s="234">
        <v>43368</v>
      </c>
      <c r="H976" s="157" t="s">
        <v>1105</v>
      </c>
      <c r="I976" s="157" t="s">
        <v>935</v>
      </c>
      <c r="J976" s="237">
        <v>13847</v>
      </c>
      <c r="K976" s="175" t="s">
        <v>61</v>
      </c>
      <c r="L976" s="175" t="s">
        <v>439</v>
      </c>
      <c r="M976" s="175" t="s">
        <v>1343</v>
      </c>
      <c r="N976" s="198"/>
      <c r="O976" s="199"/>
      <c r="P976" s="181">
        <v>0</v>
      </c>
      <c r="Q976" s="177">
        <v>43363</v>
      </c>
      <c r="R976" s="178">
        <v>406.98387999999994</v>
      </c>
      <c r="S976" s="179">
        <v>95110.98</v>
      </c>
      <c r="T976" s="182" t="s">
        <v>45</v>
      </c>
      <c r="U976" s="183">
        <v>4.1067999999999998</v>
      </c>
      <c r="V976" s="179">
        <v>6612.5</v>
      </c>
      <c r="W976" s="179">
        <v>0</v>
      </c>
      <c r="X976" s="196" t="s">
        <v>45</v>
      </c>
      <c r="Y976" s="200">
        <v>4.1067999999999998</v>
      </c>
      <c r="Z976" s="220"/>
      <c r="AA976" s="201">
        <f>Delivery[[#This Row],[Quantity delivered]]*VLOOKUP(Delivery[[#This Row],[Unit]],References!$U:$X,4,FALSE)*VLOOKUP(CONCATENATE(Delivery[[#This Row],[Coffee specie]],Delivery[[#This Row],[Coffee state]]),References!$U:$X,4,FALSE)</f>
        <v>13847</v>
      </c>
      <c r="AB976" s="202">
        <f>SUMIF(Allocation!C:C,Delivery[[#This Row],[Delivery ID]],Allocation!D:D)/Delivery[[#This Row],[Quantity delivered]]</f>
        <v>0.89961724561276812</v>
      </c>
      <c r="AC976" s="203">
        <f>Delivery[[#This Row],[Quantity delivered]]*Delivery[[#This Row],[Base price (Unidad)]]/60</f>
        <v>93925.096439333327</v>
      </c>
      <c r="AD976" s="204">
        <f>Delivery[[#This Row],[Nespresso total]]-Delivery[[#This Row],[Qt. Delivery * Base Price]]</f>
        <v>1185.8835606666689</v>
      </c>
      <c r="AE976" s="204">
        <f>Delivery[[#This Row],[AAA Premium (total)]]/Delivery[[#This Row],[Quantity delivered]]*60/Delivery[[#This Row],[Exchange rate VS USD]]</f>
        <v>6.9768227538979488</v>
      </c>
      <c r="AF976" s="204">
        <f>Delivery[[#This Row],[BEN premium (total)]]/Delivery[[#This Row],[Quantity delivered]]*60/Delivery[[#This Row],[Exchange rate for premiums VS USD]]</f>
        <v>0</v>
      </c>
      <c r="AG976" s="204">
        <f>COUNTIF(Delivery[Delivery ID],Delivery[[#This Row],[Delivery ID]])</f>
        <v>1</v>
      </c>
      <c r="AH976" s="204">
        <f>(Delivery[[#This Row],[Nespresso total]]/SUMIF(Allocation!C:C,Delivery[Delivery ID],Allocation!H:H))/Delivery[[#This Row],[Exchange rate VS USD]]</f>
        <v>4.6486128674311571</v>
      </c>
      <c r="AI976" s="204">
        <f>(Delivery[[#This Row],[AAA Premium (total)]]/SUMIF(Allocation!C:C,Delivery[Delivery ID],Allocation!H:H))/Delivery[[#This Row],[Exchange rate VS USD]]</f>
        <v>0.32319036756732539</v>
      </c>
      <c r="AJ976" s="204">
        <f>Delivery[[#This Row],[Valor Prêmio Nespresso AAA por Kg (em US$)]]*60</f>
        <v>19.391422054039523</v>
      </c>
      <c r="AK976" s="204">
        <f>Delivery[[#This Row],[Valor Prêmio Nespresso AAA por saca (em US$)]]/1.3228/100</f>
        <v>0.14659375607831512</v>
      </c>
      <c r="AL976" s="204">
        <f>(Delivery[[#This Row],[BEN premium (total)]]/SUMIF(Allocation!C:C,Delivery[Delivery ID],Allocation!H:H))/Delivery[[#This Row],[Exchange rate for premiums VS USD]]</f>
        <v>0</v>
      </c>
      <c r="AM976" s="204">
        <f>Delivery[[#This Row],[Valor Prêmio Nespresso BEN por Kg (em US$)]]*60</f>
        <v>0</v>
      </c>
      <c r="AN976" s="204">
        <f>Delivery[[#This Row],[Valor Prêmio Nespresso BEN por saca (em US$)]]/1.3228/100</f>
        <v>0</v>
      </c>
      <c r="AO976" s="204">
        <f>SUMIF(Allocation[Delivery ID],Delivery[[#This Row],[Delivery ID]],Allocation[Quantity allocated])*16*1.3228*Delivery[[#This Row],[Exchange rate VS USD]]/60</f>
        <v>7217.2241731413333</v>
      </c>
      <c r="AP976" s="204">
        <f>Delivery[[#This Row],[AAA Premium (total)]]</f>
        <v>6612.5</v>
      </c>
      <c r="AQ976" s="204">
        <f>Delivery[[#This Row],[Valor pago pelo Cluster]]-Delivery[[#This Row],[Valor efetivamente pago pela Nespresso]]</f>
        <v>-604.72417314133327</v>
      </c>
    </row>
    <row r="977" spans="1:43" ht="15.75">
      <c r="A977" s="174" t="s">
        <v>69</v>
      </c>
      <c r="B977" s="232" t="s">
        <v>68</v>
      </c>
      <c r="C977" s="157">
        <v>1</v>
      </c>
      <c r="D977" s="157" t="s">
        <v>468</v>
      </c>
      <c r="E977" s="177" t="s">
        <v>468</v>
      </c>
      <c r="F977" s="233" t="s">
        <v>543</v>
      </c>
      <c r="G977" s="234">
        <v>43369</v>
      </c>
      <c r="H977" s="157" t="s">
        <v>1106</v>
      </c>
      <c r="I977" s="157" t="s">
        <v>1107</v>
      </c>
      <c r="J977" s="237">
        <v>30000</v>
      </c>
      <c r="K977" s="175" t="s">
        <v>61</v>
      </c>
      <c r="L977" s="175" t="s">
        <v>439</v>
      </c>
      <c r="M977" s="175" t="s">
        <v>1343</v>
      </c>
      <c r="N977" s="198"/>
      <c r="O977" s="199"/>
      <c r="P977" s="181">
        <v>0</v>
      </c>
      <c r="Q977" s="177">
        <v>43362</v>
      </c>
      <c r="R977" s="178">
        <v>397.85900000000004</v>
      </c>
      <c r="S977" s="179">
        <v>194527.75761279999</v>
      </c>
      <c r="T977" s="182" t="s">
        <v>45</v>
      </c>
      <c r="U977" s="183">
        <v>4.1336000000000004</v>
      </c>
      <c r="V977" s="179">
        <v>20670</v>
      </c>
      <c r="W977" s="179">
        <v>5483.1211936</v>
      </c>
      <c r="X977" s="196" t="s">
        <v>45</v>
      </c>
      <c r="Y977" s="200">
        <v>4.1336000000000004</v>
      </c>
      <c r="Z977" s="220" t="s">
        <v>473</v>
      </c>
      <c r="AA977" s="201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977" s="202">
        <f>SUMIF(Allocation!C:C,Delivery[[#This Row],[Delivery ID]],Allocation!D:D)/Delivery[[#This Row],[Quantity delivered]]</f>
        <v>0.74243333333333328</v>
      </c>
      <c r="AC977" s="203">
        <f>Delivery[[#This Row],[Quantity delivered]]*Delivery[[#This Row],[Base price (Unidad)]]/60</f>
        <v>198929.50000000003</v>
      </c>
      <c r="AD977" s="204">
        <f>Delivery[[#This Row],[Nespresso total]]-Delivery[[#This Row],[Qt. Delivery * Base Price]]</f>
        <v>-4401.7423872000363</v>
      </c>
      <c r="AE977" s="204">
        <f>Delivery[[#This Row],[AAA Premium (total)]]/Delivery[[#This Row],[Quantity delivered]]*60/Delivery[[#This Row],[Exchange rate VS USD]]</f>
        <v>10.000967679504546</v>
      </c>
      <c r="AF977" s="204">
        <f>Delivery[[#This Row],[BEN premium (total)]]/Delivery[[#This Row],[Quantity delivered]]*60/Delivery[[#This Row],[Exchange rate for premiums VS USD]]</f>
        <v>2.6529519999999995</v>
      </c>
      <c r="AG977" s="204">
        <f>COUNTIF(Delivery[Delivery ID],Delivery[[#This Row],[Delivery ID]])</f>
        <v>1</v>
      </c>
      <c r="AH977" s="204">
        <f>(Delivery[[#This Row],[Nespresso total]]/SUMIF(Allocation!C:C,Delivery[Delivery ID],Allocation!H:H))/Delivery[[#This Row],[Exchange rate VS USD]]</f>
        <v>5.282313506218598</v>
      </c>
      <c r="AI977" s="204">
        <f>(Delivery[[#This Row],[AAA Premium (total)]]/SUMIF(Allocation!C:C,Delivery[Delivery ID],Allocation!H:H))/Delivery[[#This Row],[Exchange rate VS USD]]</f>
        <v>0.56128452573266063</v>
      </c>
      <c r="AJ977" s="204">
        <f>Delivery[[#This Row],[Valor Prêmio Nespresso AAA por Kg (em US$)]]*60</f>
        <v>33.677071543959642</v>
      </c>
      <c r="AK977" s="204">
        <f>Delivery[[#This Row],[Valor Prêmio Nespresso AAA por saca (em US$)]]/1.3228/100</f>
        <v>0.2545892919863898</v>
      </c>
      <c r="AL977" s="204">
        <f>(Delivery[[#This Row],[BEN premium (total)]]/SUMIF(Allocation!C:C,Delivery[Delivery ID],Allocation!H:H))/Delivery[[#This Row],[Exchange rate for premiums VS USD]]</f>
        <v>0.14889168256818947</v>
      </c>
      <c r="AM977" s="204">
        <f>Delivery[[#This Row],[Valor Prêmio Nespresso BEN por Kg (em US$)]]*60</f>
        <v>8.9335009540913681</v>
      </c>
      <c r="AN977" s="204">
        <f>Delivery[[#This Row],[Valor Prêmio Nespresso BEN por saca (em US$)]]/1.3228/100</f>
        <v>6.7534781932955618E-2</v>
      </c>
      <c r="AO977" s="204">
        <f>SUMIF(Allocation[Delivery ID],Delivery[[#This Row],[Delivery ID]],Allocation[Quantity allocated])*16*1.3228*Delivery[[#This Row],[Exchange rate VS USD]]/60</f>
        <v>12990.334252458668</v>
      </c>
      <c r="AP977" s="204">
        <f>Delivery[[#This Row],[AAA Premium (total)]]</f>
        <v>20670</v>
      </c>
      <c r="AQ977" s="204">
        <f>Delivery[[#This Row],[Valor pago pelo Cluster]]-Delivery[[#This Row],[Valor efetivamente pago pela Nespresso]]</f>
        <v>7679.6657475413322</v>
      </c>
    </row>
    <row r="978" spans="1:43" ht="15.75">
      <c r="A978" s="174" t="s">
        <v>69</v>
      </c>
      <c r="B978" s="232" t="s">
        <v>68</v>
      </c>
      <c r="C978" s="157">
        <v>1</v>
      </c>
      <c r="D978" s="157" t="s">
        <v>468</v>
      </c>
      <c r="E978" s="177" t="s">
        <v>468</v>
      </c>
      <c r="F978" s="233" t="s">
        <v>543</v>
      </c>
      <c r="G978" s="234">
        <v>43369</v>
      </c>
      <c r="H978" s="157" t="s">
        <v>1108</v>
      </c>
      <c r="I978" s="157" t="s">
        <v>1107</v>
      </c>
      <c r="J978" s="237">
        <v>30020</v>
      </c>
      <c r="K978" s="175" t="s">
        <v>61</v>
      </c>
      <c r="L978" s="175" t="s">
        <v>439</v>
      </c>
      <c r="M978" s="175" t="s">
        <v>1343</v>
      </c>
      <c r="N978" s="198"/>
      <c r="O978" s="199"/>
      <c r="P978" s="181">
        <v>0</v>
      </c>
      <c r="Q978" s="177">
        <v>43362</v>
      </c>
      <c r="R978" s="178">
        <v>397.85900000000004</v>
      </c>
      <c r="S978" s="179">
        <v>194520.44678454188</v>
      </c>
      <c r="T978" s="182" t="s">
        <v>45</v>
      </c>
      <c r="U978" s="183">
        <v>4.1336000000000004</v>
      </c>
      <c r="V978" s="179">
        <v>20670</v>
      </c>
      <c r="W978" s="179">
        <v>5486.7766077290671</v>
      </c>
      <c r="X978" s="196" t="s">
        <v>45</v>
      </c>
      <c r="Y978" s="200">
        <v>4.1336000000000004</v>
      </c>
      <c r="Z978" s="220" t="s">
        <v>473</v>
      </c>
      <c r="AA978" s="201">
        <f>Delivery[[#This Row],[Quantity delivered]]*VLOOKUP(Delivery[[#This Row],[Unit]],References!$U:$X,4,FALSE)*VLOOKUP(CONCATENATE(Delivery[[#This Row],[Coffee specie]],Delivery[[#This Row],[Coffee state]]),References!$U:$X,4,FALSE)</f>
        <v>30020</v>
      </c>
      <c r="AB978" s="202">
        <f>SUMIF(Allocation!C:C,Delivery[[#This Row],[Delivery ID]],Allocation!D:D)/Delivery[[#This Row],[Quantity delivered]]</f>
        <v>0.74193870752831448</v>
      </c>
      <c r="AC978" s="203">
        <f>Delivery[[#This Row],[Quantity delivered]]*Delivery[[#This Row],[Base price (Unidad)]]/60</f>
        <v>199062.11966666669</v>
      </c>
      <c r="AD978" s="204">
        <f>Delivery[[#This Row],[Nespresso total]]-Delivery[[#This Row],[Qt. Delivery * Base Price]]</f>
        <v>-4541.6728821248107</v>
      </c>
      <c r="AE978" s="204">
        <f>Delivery[[#This Row],[AAA Premium (total)]]/Delivery[[#This Row],[Quantity delivered]]*60/Delivery[[#This Row],[Exchange rate VS USD]]</f>
        <v>9.9943048096314602</v>
      </c>
      <c r="AF978" s="204">
        <f>Delivery[[#This Row],[BEN premium (total)]]/Delivery[[#This Row],[Quantity delivered]]*60/Delivery[[#This Row],[Exchange rate for premiums VS USD]]</f>
        <v>2.652952</v>
      </c>
      <c r="AG978" s="204">
        <f>COUNTIF(Delivery[Delivery ID],Delivery[[#This Row],[Delivery ID]])</f>
        <v>1</v>
      </c>
      <c r="AH978" s="204">
        <f>(Delivery[[#This Row],[Nespresso total]]/SUMIF(Allocation!C:C,Delivery[Delivery ID],Allocation!H:H))/Delivery[[#This Row],[Exchange rate VS USD]]</f>
        <v>5.2821149839751733</v>
      </c>
      <c r="AI978" s="204">
        <f>(Delivery[[#This Row],[AAA Premium (total)]]/SUMIF(Allocation!C:C,Delivery[Delivery ID],Allocation!H:H))/Delivery[[#This Row],[Exchange rate VS USD]]</f>
        <v>0.56128452573266063</v>
      </c>
      <c r="AJ978" s="204">
        <f>Delivery[[#This Row],[Valor Prêmio Nespresso AAA por Kg (em US$)]]*60</f>
        <v>33.677071543959642</v>
      </c>
      <c r="AK978" s="204">
        <f>Delivery[[#This Row],[Valor Prêmio Nespresso AAA por saca (em US$)]]/1.3228/100</f>
        <v>0.2545892919863898</v>
      </c>
      <c r="AL978" s="204">
        <f>(Delivery[[#This Row],[BEN premium (total)]]/SUMIF(Allocation!C:C,Delivery[Delivery ID],Allocation!H:H))/Delivery[[#This Row],[Exchange rate for premiums VS USD]]</f>
        <v>0.14899094368990159</v>
      </c>
      <c r="AM978" s="204">
        <f>Delivery[[#This Row],[Valor Prêmio Nespresso BEN por Kg (em US$)]]*60</f>
        <v>8.9394566213940951</v>
      </c>
      <c r="AN978" s="204">
        <f>Delivery[[#This Row],[Valor Prêmio Nespresso BEN por saca (em US$)]]/1.3228/100</f>
        <v>6.7579805120910913E-2</v>
      </c>
      <c r="AO978" s="204">
        <f>SUMIF(Allocation[Delivery ID],Delivery[[#This Row],[Delivery ID]],Allocation[Quantity allocated])*16*1.3228*Delivery[[#This Row],[Exchange rate VS USD]]/60</f>
        <v>12990.334252458668</v>
      </c>
      <c r="AP978" s="204">
        <f>Delivery[[#This Row],[AAA Premium (total)]]</f>
        <v>20670</v>
      </c>
      <c r="AQ978" s="204">
        <f>Delivery[[#This Row],[Valor pago pelo Cluster]]-Delivery[[#This Row],[Valor efetivamente pago pela Nespresso]]</f>
        <v>7679.6657475413322</v>
      </c>
    </row>
    <row r="979" spans="1:43" ht="15.75">
      <c r="A979" s="174" t="s">
        <v>69</v>
      </c>
      <c r="B979" s="232" t="s">
        <v>68</v>
      </c>
      <c r="C979" s="157">
        <v>1</v>
      </c>
      <c r="D979" s="157" t="s">
        <v>468</v>
      </c>
      <c r="E979" s="177" t="s">
        <v>468</v>
      </c>
      <c r="F979" s="233" t="s">
        <v>543</v>
      </c>
      <c r="G979" s="234">
        <v>43363</v>
      </c>
      <c r="H979" s="157" t="s">
        <v>1109</v>
      </c>
      <c r="I979" s="157" t="s">
        <v>1110</v>
      </c>
      <c r="J979" s="237">
        <v>23260</v>
      </c>
      <c r="K979" s="175" t="s">
        <v>61</v>
      </c>
      <c r="L979" s="175" t="s">
        <v>439</v>
      </c>
      <c r="M979" s="175" t="s">
        <v>1343</v>
      </c>
      <c r="N979" s="198"/>
      <c r="O979" s="199"/>
      <c r="P979" s="181">
        <v>0</v>
      </c>
      <c r="Q979" s="177">
        <v>43355</v>
      </c>
      <c r="R979" s="178">
        <v>422.31295000000006</v>
      </c>
      <c r="S979" s="179">
        <v>154402.21</v>
      </c>
      <c r="T979" s="182" t="s">
        <v>45</v>
      </c>
      <c r="U979" s="183">
        <v>4.1302000000000003</v>
      </c>
      <c r="V979" s="179">
        <v>11207.44</v>
      </c>
      <c r="W979" s="179">
        <v>0</v>
      </c>
      <c r="X979" s="196" t="s">
        <v>45</v>
      </c>
      <c r="Y979" s="200">
        <v>4.1302000000000003</v>
      </c>
      <c r="Z979" s="220"/>
      <c r="AA979" s="201">
        <f>Delivery[[#This Row],[Quantity delivered]]*VLOOKUP(Delivery[[#This Row],[Unit]],References!$U:$X,4,FALSE)*VLOOKUP(CONCATENATE(Delivery[[#This Row],[Coffee specie]],Delivery[[#This Row],[Coffee state]]),References!$U:$X,4,FALSE)</f>
        <v>23260</v>
      </c>
      <c r="AB979" s="202">
        <f>SUMIF(Allocation!C:C,Delivery[[#This Row],[Delivery ID]],Allocation!D:D)/Delivery[[#This Row],[Quantity delivered]]</f>
        <v>1</v>
      </c>
      <c r="AC979" s="203">
        <f>Delivery[[#This Row],[Quantity delivered]]*Delivery[[#This Row],[Base price (Unidad)]]/60</f>
        <v>163716.65361666671</v>
      </c>
      <c r="AD979" s="204">
        <f>Delivery[[#This Row],[Nespresso total]]-Delivery[[#This Row],[Qt. Delivery * Base Price]]</f>
        <v>-9314.4436166667147</v>
      </c>
      <c r="AE979" s="204">
        <f>Delivery[[#This Row],[AAA Premium (total)]]/Delivery[[#This Row],[Quantity delivered]]*60/Delivery[[#This Row],[Exchange rate VS USD]]</f>
        <v>6.999658951515114</v>
      </c>
      <c r="AF979" s="204">
        <f>Delivery[[#This Row],[BEN premium (total)]]/Delivery[[#This Row],[Quantity delivered]]*60/Delivery[[#This Row],[Exchange rate for premiums VS USD]]</f>
        <v>0</v>
      </c>
      <c r="AG979" s="204">
        <f>COUNTIF(Delivery[Delivery ID],Delivery[[#This Row],[Delivery ID]])</f>
        <v>1</v>
      </c>
      <c r="AH979" s="204">
        <f>(Delivery[[#This Row],[Nespresso total]]/SUMIF(Allocation!C:C,Delivery[Delivery ID],Allocation!H:H))/Delivery[[#This Row],[Exchange rate VS USD]]</f>
        <v>4.5920295606363197</v>
      </c>
      <c r="AI979" s="204">
        <f>(Delivery[[#This Row],[AAA Premium (total)]]/SUMIF(Allocation!C:C,Delivery[Delivery ID],Allocation!H:H))/Delivery[[#This Row],[Exchange rate VS USD]]</f>
        <v>0.33331709292929113</v>
      </c>
      <c r="AJ979" s="204">
        <f>Delivery[[#This Row],[Valor Prêmio Nespresso AAA por Kg (em US$)]]*60</f>
        <v>19.999025575757468</v>
      </c>
      <c r="AK979" s="204">
        <f>Delivery[[#This Row],[Valor Prêmio Nespresso AAA por saca (em US$)]]/1.3228/100</f>
        <v>0.15118706966856266</v>
      </c>
      <c r="AL979" s="204">
        <f>(Delivery[[#This Row],[BEN premium (total)]]/SUMIF(Allocation!C:C,Delivery[Delivery ID],Allocation!H:H))/Delivery[[#This Row],[Exchange rate for premiums VS USD]]</f>
        <v>0</v>
      </c>
      <c r="AM979" s="204">
        <f>Delivery[[#This Row],[Valor Prêmio Nespresso BEN por Kg (em US$)]]*60</f>
        <v>0</v>
      </c>
      <c r="AN979" s="204">
        <f>Delivery[[#This Row],[Valor Prêmio Nespresso BEN por saca (em US$)]]/1.3228/100</f>
        <v>0</v>
      </c>
      <c r="AO979" s="204">
        <f>SUMIF(Allocation[Delivery ID],Delivery[[#This Row],[Delivery ID]],Allocation[Quantity allocated])*16*1.3228*Delivery[[#This Row],[Exchange rate VS USD]]/60</f>
        <v>11860.739175189336</v>
      </c>
      <c r="AP979" s="204">
        <f>Delivery[[#This Row],[AAA Premium (total)]]</f>
        <v>11207.44</v>
      </c>
      <c r="AQ979" s="204">
        <f>Delivery[[#This Row],[Valor pago pelo Cluster]]-Delivery[[#This Row],[Valor efetivamente pago pela Nespresso]]</f>
        <v>-653.29917518933507</v>
      </c>
    </row>
    <row r="980" spans="1:43" ht="15.75">
      <c r="A980" s="174" t="s">
        <v>69</v>
      </c>
      <c r="B980" s="232" t="s">
        <v>68</v>
      </c>
      <c r="C980" s="157">
        <v>1</v>
      </c>
      <c r="D980" s="157" t="s">
        <v>468</v>
      </c>
      <c r="E980" s="177" t="s">
        <v>468</v>
      </c>
      <c r="F980" s="233" t="s">
        <v>543</v>
      </c>
      <c r="G980" s="234">
        <v>43369</v>
      </c>
      <c r="H980" s="157" t="s">
        <v>1111</v>
      </c>
      <c r="I980" s="157" t="s">
        <v>1107</v>
      </c>
      <c r="J980" s="237">
        <v>30000</v>
      </c>
      <c r="K980" s="175" t="s">
        <v>61</v>
      </c>
      <c r="L980" s="175" t="s">
        <v>439</v>
      </c>
      <c r="M980" s="175" t="s">
        <v>1343</v>
      </c>
      <c r="N980" s="198"/>
      <c r="O980" s="199"/>
      <c r="P980" s="181">
        <v>0</v>
      </c>
      <c r="Q980" s="177">
        <v>43362</v>
      </c>
      <c r="R980" s="178">
        <v>397.85900000000004</v>
      </c>
      <c r="S980" s="179">
        <v>194527.75761279999</v>
      </c>
      <c r="T980" s="182" t="s">
        <v>45</v>
      </c>
      <c r="U980" s="183">
        <v>4.1336000000000004</v>
      </c>
      <c r="V980" s="179">
        <v>20670</v>
      </c>
      <c r="W980" s="179">
        <v>5483.1211936</v>
      </c>
      <c r="X980" s="196" t="s">
        <v>45</v>
      </c>
      <c r="Y980" s="200">
        <v>4.1336000000000004</v>
      </c>
      <c r="Z980" s="220" t="s">
        <v>473</v>
      </c>
      <c r="AA980" s="201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980" s="202">
        <f>SUMIF(Allocation!C:C,Delivery[[#This Row],[Delivery ID]],Allocation!D:D)/Delivery[[#This Row],[Quantity delivered]]</f>
        <v>0.74243333333333328</v>
      </c>
      <c r="AC980" s="203">
        <f>Delivery[[#This Row],[Quantity delivered]]*Delivery[[#This Row],[Base price (Unidad)]]/60</f>
        <v>198929.50000000003</v>
      </c>
      <c r="AD980" s="204">
        <f>Delivery[[#This Row],[Nespresso total]]-Delivery[[#This Row],[Qt. Delivery * Base Price]]</f>
        <v>-4401.7423872000363</v>
      </c>
      <c r="AE980" s="204">
        <f>Delivery[[#This Row],[AAA Premium (total)]]/Delivery[[#This Row],[Quantity delivered]]*60/Delivery[[#This Row],[Exchange rate VS USD]]</f>
        <v>10.000967679504546</v>
      </c>
      <c r="AF980" s="204">
        <f>Delivery[[#This Row],[BEN premium (total)]]/Delivery[[#This Row],[Quantity delivered]]*60/Delivery[[#This Row],[Exchange rate for premiums VS USD]]</f>
        <v>2.6529519999999995</v>
      </c>
      <c r="AG980" s="204">
        <f>COUNTIF(Delivery[Delivery ID],Delivery[[#This Row],[Delivery ID]])</f>
        <v>1</v>
      </c>
      <c r="AH980" s="204">
        <f>(Delivery[[#This Row],[Nespresso total]]/SUMIF(Allocation!C:C,Delivery[Delivery ID],Allocation!H:H))/Delivery[[#This Row],[Exchange rate VS USD]]</f>
        <v>5.282313506218598</v>
      </c>
      <c r="AI980" s="204">
        <f>(Delivery[[#This Row],[AAA Premium (total)]]/SUMIF(Allocation!C:C,Delivery[Delivery ID],Allocation!H:H))/Delivery[[#This Row],[Exchange rate VS USD]]</f>
        <v>0.56128452573266063</v>
      </c>
      <c r="AJ980" s="204">
        <f>Delivery[[#This Row],[Valor Prêmio Nespresso AAA por Kg (em US$)]]*60</f>
        <v>33.677071543959642</v>
      </c>
      <c r="AK980" s="204">
        <f>Delivery[[#This Row],[Valor Prêmio Nespresso AAA por saca (em US$)]]/1.3228/100</f>
        <v>0.2545892919863898</v>
      </c>
      <c r="AL980" s="204">
        <f>(Delivery[[#This Row],[BEN premium (total)]]/SUMIF(Allocation!C:C,Delivery[Delivery ID],Allocation!H:H))/Delivery[[#This Row],[Exchange rate for premiums VS USD]]</f>
        <v>0.14889168256818947</v>
      </c>
      <c r="AM980" s="204">
        <f>Delivery[[#This Row],[Valor Prêmio Nespresso BEN por Kg (em US$)]]*60</f>
        <v>8.9335009540913681</v>
      </c>
      <c r="AN980" s="204">
        <f>Delivery[[#This Row],[Valor Prêmio Nespresso BEN por saca (em US$)]]/1.3228/100</f>
        <v>6.7534781932955618E-2</v>
      </c>
      <c r="AO980" s="204">
        <f>SUMIF(Allocation[Delivery ID],Delivery[[#This Row],[Delivery ID]],Allocation[Quantity allocated])*16*1.3228*Delivery[[#This Row],[Exchange rate VS USD]]/60</f>
        <v>12990.334252458668</v>
      </c>
      <c r="AP980" s="204">
        <f>Delivery[[#This Row],[AAA Premium (total)]]</f>
        <v>20670</v>
      </c>
      <c r="AQ980" s="204">
        <f>Delivery[[#This Row],[Valor pago pelo Cluster]]-Delivery[[#This Row],[Valor efetivamente pago pela Nespresso]]</f>
        <v>7679.6657475413322</v>
      </c>
    </row>
    <row r="981" spans="1:43" ht="15.75">
      <c r="A981" s="174" t="s">
        <v>69</v>
      </c>
      <c r="B981" s="232" t="s">
        <v>68</v>
      </c>
      <c r="C981" s="157">
        <v>1</v>
      </c>
      <c r="D981" s="157" t="s">
        <v>468</v>
      </c>
      <c r="E981" s="177" t="s">
        <v>468</v>
      </c>
      <c r="F981" s="233" t="s">
        <v>543</v>
      </c>
      <c r="G981" s="234">
        <v>43370</v>
      </c>
      <c r="H981" s="157" t="s">
        <v>1112</v>
      </c>
      <c r="I981" s="157" t="s">
        <v>1107</v>
      </c>
      <c r="J981" s="237">
        <v>30030</v>
      </c>
      <c r="K981" s="175" t="s">
        <v>61</v>
      </c>
      <c r="L981" s="175" t="s">
        <v>439</v>
      </c>
      <c r="M981" s="175" t="s">
        <v>1343</v>
      </c>
      <c r="N981" s="198"/>
      <c r="O981" s="199"/>
      <c r="P981" s="181">
        <v>0</v>
      </c>
      <c r="Q981" s="177">
        <v>43362</v>
      </c>
      <c r="R981" s="178">
        <v>397.85900000000004</v>
      </c>
      <c r="S981" s="179">
        <v>194516.7913704128</v>
      </c>
      <c r="T981" s="182" t="s">
        <v>45</v>
      </c>
      <c r="U981" s="183">
        <v>4.1336000000000004</v>
      </c>
      <c r="V981" s="179">
        <v>20670</v>
      </c>
      <c r="W981" s="179">
        <v>5488.6043147935998</v>
      </c>
      <c r="X981" s="196" t="s">
        <v>45</v>
      </c>
      <c r="Y981" s="200">
        <v>4.1336000000000004</v>
      </c>
      <c r="Z981" s="220" t="s">
        <v>473</v>
      </c>
      <c r="AA981" s="201">
        <f>Delivery[[#This Row],[Quantity delivered]]*VLOOKUP(Delivery[[#This Row],[Unit]],References!$U:$X,4,FALSE)*VLOOKUP(CONCATENATE(Delivery[[#This Row],[Coffee specie]],Delivery[[#This Row],[Coffee state]]),References!$U:$X,4,FALSE)</f>
        <v>30030</v>
      </c>
      <c r="AB981" s="202">
        <f>SUMIF(Allocation!C:C,Delivery[[#This Row],[Delivery ID]],Allocation!D:D)/Delivery[[#This Row],[Quantity delivered]]</f>
        <v>1</v>
      </c>
      <c r="AC981" s="203">
        <f>Delivery[[#This Row],[Quantity delivered]]*Delivery[[#This Row],[Base price (Unidad)]]/60</f>
        <v>199128.42950000003</v>
      </c>
      <c r="AD981" s="204">
        <f>Delivery[[#This Row],[Nespresso total]]-Delivery[[#This Row],[Qt. Delivery * Base Price]]</f>
        <v>-4611.638129587227</v>
      </c>
      <c r="AE981" s="204">
        <f>Delivery[[#This Row],[AAA Premium (total)]]/Delivery[[#This Row],[Quantity delivered]]*60/Delivery[[#This Row],[Exchange rate VS USD]]</f>
        <v>9.9909767028017455</v>
      </c>
      <c r="AF981" s="204">
        <f>Delivery[[#This Row],[BEN premium (total)]]/Delivery[[#This Row],[Quantity delivered]]*60/Delivery[[#This Row],[Exchange rate for premiums VS USD]]</f>
        <v>2.6529519999999995</v>
      </c>
      <c r="AG981" s="204">
        <f>COUNTIF(Delivery[Delivery ID],Delivery[[#This Row],[Delivery ID]])</f>
        <v>1</v>
      </c>
      <c r="AH981" s="204">
        <f>(Delivery[[#This Row],[Nespresso total]]/SUMIF(Allocation!C:C,Delivery[Delivery ID],Allocation!H:H))/Delivery[[#This Row],[Exchange rate VS USD]]</f>
        <v>3.907130361582654</v>
      </c>
      <c r="AI981" s="204">
        <f>(Delivery[[#This Row],[AAA Premium (total)]]/SUMIF(Allocation!C:C,Delivery[Delivery ID],Allocation!H:H))/Delivery[[#This Row],[Exchange rate VS USD]]</f>
        <v>0.41518464295518709</v>
      </c>
      <c r="AJ981" s="204">
        <f>Delivery[[#This Row],[Valor Prêmio Nespresso AAA por Kg (em US$)]]*60</f>
        <v>24.911078577311226</v>
      </c>
      <c r="AK981" s="204">
        <f>Delivery[[#This Row],[Valor Prêmio Nespresso AAA por saca (em US$)]]/1.3228/100</f>
        <v>0.18832082383815563</v>
      </c>
      <c r="AL981" s="204">
        <f>(Delivery[[#This Row],[BEN premium (total)]]/SUMIF(Allocation!C:C,Delivery[Delivery ID],Allocation!H:H))/Delivery[[#This Row],[Exchange rate for premiums VS USD]]</f>
        <v>0.11024597110594485</v>
      </c>
      <c r="AM981" s="204">
        <f>Delivery[[#This Row],[Valor Prêmio Nespresso BEN por Kg (em US$)]]*60</f>
        <v>6.6147582663566906</v>
      </c>
      <c r="AN981" s="204">
        <f>Delivery[[#This Row],[Valor Prêmio Nespresso BEN por saca (em US$)]]/1.3228/100</f>
        <v>5.0005732282708576E-2</v>
      </c>
      <c r="AO981" s="204">
        <f>SUMIF(Allocation[Delivery ID],Delivery[[#This Row],[Delivery ID]],Allocation[Quantity allocated])*16*1.3228*Delivery[[#This Row],[Exchange rate VS USD]]/60</f>
        <v>17561.520455338668</v>
      </c>
      <c r="AP981" s="204">
        <f>Delivery[[#This Row],[AAA Premium (total)]]</f>
        <v>20670</v>
      </c>
      <c r="AQ981" s="204">
        <f>Delivery[[#This Row],[Valor pago pelo Cluster]]-Delivery[[#This Row],[Valor efetivamente pago pela Nespresso]]</f>
        <v>3108.4795446613316</v>
      </c>
    </row>
    <row r="982" spans="1:43" ht="15.75">
      <c r="A982" s="174" t="s">
        <v>69</v>
      </c>
      <c r="B982" s="232" t="s">
        <v>68</v>
      </c>
      <c r="C982" s="157">
        <v>1</v>
      </c>
      <c r="D982" s="157" t="s">
        <v>468</v>
      </c>
      <c r="E982" s="177" t="s">
        <v>468</v>
      </c>
      <c r="F982" s="233" t="s">
        <v>543</v>
      </c>
      <c r="G982" s="234">
        <v>43369</v>
      </c>
      <c r="H982" s="157" t="s">
        <v>1113</v>
      </c>
      <c r="I982" s="157" t="s">
        <v>1107</v>
      </c>
      <c r="J982" s="237">
        <v>30040</v>
      </c>
      <c r="K982" s="175" t="s">
        <v>61</v>
      </c>
      <c r="L982" s="175" t="s">
        <v>439</v>
      </c>
      <c r="M982" s="175" t="s">
        <v>1343</v>
      </c>
      <c r="N982" s="198"/>
      <c r="O982" s="199"/>
      <c r="P982" s="181">
        <v>0</v>
      </c>
      <c r="Q982" s="177">
        <v>43362</v>
      </c>
      <c r="R982" s="178">
        <v>397.85900000000004</v>
      </c>
      <c r="S982" s="179">
        <v>194513.13595628372</v>
      </c>
      <c r="T982" s="182" t="s">
        <v>45</v>
      </c>
      <c r="U982" s="183">
        <v>4.1336000000000004</v>
      </c>
      <c r="V982" s="179">
        <v>20670</v>
      </c>
      <c r="W982" s="179">
        <v>5490.4320218581342</v>
      </c>
      <c r="X982" s="196" t="s">
        <v>45</v>
      </c>
      <c r="Y982" s="200">
        <v>4.1336000000000004</v>
      </c>
      <c r="Z982" s="220" t="s">
        <v>473</v>
      </c>
      <c r="AA982" s="201">
        <f>Delivery[[#This Row],[Quantity delivered]]*VLOOKUP(Delivery[[#This Row],[Unit]],References!$U:$X,4,FALSE)*VLOOKUP(CONCATENATE(Delivery[[#This Row],[Coffee specie]],Delivery[[#This Row],[Coffee state]]),References!$U:$X,4,FALSE)</f>
        <v>30040</v>
      </c>
      <c r="AB982" s="202">
        <f>SUMIF(Allocation!C:C,Delivery[[#This Row],[Delivery ID]],Allocation!D:D)/Delivery[[#This Row],[Quantity delivered]]</f>
        <v>0.74144474034620511</v>
      </c>
      <c r="AC982" s="203">
        <f>Delivery[[#This Row],[Quantity delivered]]*Delivery[[#This Row],[Base price (Unidad)]]/60</f>
        <v>199194.73933333336</v>
      </c>
      <c r="AD982" s="204">
        <f>Delivery[[#This Row],[Nespresso total]]-Delivery[[#This Row],[Qt. Delivery * Base Price]]</f>
        <v>-4681.6033770496433</v>
      </c>
      <c r="AE982" s="204">
        <f>Delivery[[#This Row],[AAA Premium (total)]]/Delivery[[#This Row],[Quantity delivered]]*60/Delivery[[#This Row],[Exchange rate VS USD]]</f>
        <v>9.9876508117555396</v>
      </c>
      <c r="AF982" s="204">
        <f>Delivery[[#This Row],[BEN premium (total)]]/Delivery[[#This Row],[Quantity delivered]]*60/Delivery[[#This Row],[Exchange rate for premiums VS USD]]</f>
        <v>2.6529520000000004</v>
      </c>
      <c r="AG982" s="204">
        <f>COUNTIF(Delivery[Delivery ID],Delivery[[#This Row],[Delivery ID]])</f>
        <v>1</v>
      </c>
      <c r="AH982" s="204">
        <f>(Delivery[[#This Row],[Nespresso total]]/SUMIF(Allocation!C:C,Delivery[Delivery ID],Allocation!H:H))/Delivery[[#This Row],[Exchange rate VS USD]]</f>
        <v>5.2819164617317487</v>
      </c>
      <c r="AI982" s="204">
        <f>(Delivery[[#This Row],[AAA Premium (total)]]/SUMIF(Allocation!C:C,Delivery[Delivery ID],Allocation!H:H))/Delivery[[#This Row],[Exchange rate VS USD]]</f>
        <v>0.56128452573266063</v>
      </c>
      <c r="AJ982" s="204">
        <f>Delivery[[#This Row],[Valor Prêmio Nespresso AAA por Kg (em US$)]]*60</f>
        <v>33.677071543959642</v>
      </c>
      <c r="AK982" s="204">
        <f>Delivery[[#This Row],[Valor Prêmio Nespresso AAA por saca (em US$)]]/1.3228/100</f>
        <v>0.2545892919863898</v>
      </c>
      <c r="AL982" s="204">
        <f>(Delivery[[#This Row],[BEN premium (total)]]/SUMIF(Allocation!C:C,Delivery[Delivery ID],Allocation!H:H))/Delivery[[#This Row],[Exchange rate for premiums VS USD]]</f>
        <v>0.14909020481161372</v>
      </c>
      <c r="AM982" s="204">
        <f>Delivery[[#This Row],[Valor Prêmio Nespresso BEN por Kg (em US$)]]*60</f>
        <v>8.9454122886968239</v>
      </c>
      <c r="AN982" s="204">
        <f>Delivery[[#This Row],[Valor Prêmio Nespresso BEN por saca (em US$)]]/1.3228/100</f>
        <v>6.7624828308866222E-2</v>
      </c>
      <c r="AO982" s="204">
        <f>SUMIF(Allocation[Delivery ID],Delivery[[#This Row],[Delivery ID]],Allocation[Quantity allocated])*16*1.3228*Delivery[[#This Row],[Exchange rate VS USD]]/60</f>
        <v>12990.334252458668</v>
      </c>
      <c r="AP982" s="204">
        <f>Delivery[[#This Row],[AAA Premium (total)]]</f>
        <v>20670</v>
      </c>
      <c r="AQ982" s="204">
        <f>Delivery[[#This Row],[Valor pago pelo Cluster]]-Delivery[[#This Row],[Valor efetivamente pago pela Nespresso]]</f>
        <v>7679.6657475413322</v>
      </c>
    </row>
    <row r="983" spans="1:43" ht="15.75">
      <c r="A983" s="174" t="s">
        <v>69</v>
      </c>
      <c r="B983" s="232" t="s">
        <v>68</v>
      </c>
      <c r="C983" s="157">
        <v>1</v>
      </c>
      <c r="D983" s="157" t="s">
        <v>468</v>
      </c>
      <c r="E983" s="177" t="s">
        <v>468</v>
      </c>
      <c r="F983" s="233" t="s">
        <v>543</v>
      </c>
      <c r="G983" s="234">
        <v>43369</v>
      </c>
      <c r="H983" s="157" t="s">
        <v>1114</v>
      </c>
      <c r="I983" s="157" t="s">
        <v>1107</v>
      </c>
      <c r="J983" s="237">
        <v>37810</v>
      </c>
      <c r="K983" s="175" t="s">
        <v>61</v>
      </c>
      <c r="L983" s="175" t="s">
        <v>439</v>
      </c>
      <c r="M983" s="175" t="s">
        <v>1343</v>
      </c>
      <c r="N983" s="198"/>
      <c r="O983" s="199"/>
      <c r="P983" s="181">
        <v>0</v>
      </c>
      <c r="Q983" s="177">
        <v>43362</v>
      </c>
      <c r="R983" s="178">
        <v>397.85900000000004</v>
      </c>
      <c r="S983" s="179">
        <v>245101.31917799893</v>
      </c>
      <c r="T983" s="182" t="s">
        <v>45</v>
      </c>
      <c r="U983" s="183">
        <v>4.1336000000000004</v>
      </c>
      <c r="V983" s="179">
        <v>25975.3</v>
      </c>
      <c r="W983" s="179">
        <v>6910.5604110005333</v>
      </c>
      <c r="X983" s="196" t="s">
        <v>45</v>
      </c>
      <c r="Y983" s="200">
        <v>4.1336000000000004</v>
      </c>
      <c r="Z983" s="220" t="s">
        <v>473</v>
      </c>
      <c r="AA983" s="201">
        <f>Delivery[[#This Row],[Quantity delivered]]*VLOOKUP(Delivery[[#This Row],[Unit]],References!$U:$X,4,FALSE)*VLOOKUP(CONCATENATE(Delivery[[#This Row],[Coffee specie]],Delivery[[#This Row],[Coffee state]]),References!$U:$X,4,FALSE)</f>
        <v>37810</v>
      </c>
      <c r="AB983" s="202">
        <f>SUMIF(Allocation!C:C,Delivery[[#This Row],[Delivery ID]],Allocation!D:D)/Delivery[[#This Row],[Quantity delivered]]</f>
        <v>1</v>
      </c>
      <c r="AC983" s="203">
        <f>Delivery[[#This Row],[Quantity delivered]]*Delivery[[#This Row],[Base price (Unidad)]]/60</f>
        <v>250717.47983333335</v>
      </c>
      <c r="AD983" s="204">
        <f>Delivery[[#This Row],[Nespresso total]]-Delivery[[#This Row],[Qt. Delivery * Base Price]]</f>
        <v>-5616.1606553344172</v>
      </c>
      <c r="AE983" s="204">
        <f>Delivery[[#This Row],[AAA Premium (total)]]/Delivery[[#This Row],[Quantity delivered]]*60/Delivery[[#This Row],[Exchange rate VS USD]]</f>
        <v>9.971872031666793</v>
      </c>
      <c r="AF983" s="204">
        <f>Delivery[[#This Row],[BEN premium (total)]]/Delivery[[#This Row],[Quantity delivered]]*60/Delivery[[#This Row],[Exchange rate for premiums VS USD]]</f>
        <v>2.6529519999999995</v>
      </c>
      <c r="AG983" s="204">
        <f>COUNTIF(Delivery[Delivery ID],Delivery[[#This Row],[Delivery ID]])</f>
        <v>1</v>
      </c>
      <c r="AH983" s="204">
        <f>(Delivery[[#This Row],[Nespresso total]]/SUMIF(Allocation!C:C,Delivery[Delivery ID],Allocation!H:H))/Delivery[[#This Row],[Exchange rate VS USD]]</f>
        <v>3.9151456438799959</v>
      </c>
      <c r="AI983" s="204">
        <f>(Delivery[[#This Row],[AAA Premium (total)]]/SUMIF(Allocation!C:C,Delivery[Delivery ID],Allocation!H:H))/Delivery[[#This Row],[Exchange rate VS USD]]</f>
        <v>0.41491854464325018</v>
      </c>
      <c r="AJ983" s="204">
        <f>Delivery[[#This Row],[Valor Prêmio Nespresso AAA por Kg (em US$)]]*60</f>
        <v>24.895112678595012</v>
      </c>
      <c r="AK983" s="204">
        <f>Delivery[[#This Row],[Valor Prêmio Nespresso AAA por saca (em US$)]]/1.3228/100</f>
        <v>0.18820012608553835</v>
      </c>
      <c r="AL983" s="204">
        <f>(Delivery[[#This Row],[BEN premium (total)]]/SUMIF(Allocation!C:C,Delivery[Delivery ID],Allocation!H:H))/Delivery[[#This Row],[Exchange rate for premiums VS USD]]</f>
        <v>0.11038639278089578</v>
      </c>
      <c r="AM983" s="204">
        <f>Delivery[[#This Row],[Valor Prêmio Nespresso BEN por Kg (em US$)]]*60</f>
        <v>6.6231835668537471</v>
      </c>
      <c r="AN983" s="204">
        <f>Delivery[[#This Row],[Valor Prêmio Nespresso BEN por saca (em US$)]]/1.3228/100</f>
        <v>5.0069425210566579E-2</v>
      </c>
      <c r="AO983" s="204">
        <f>SUMIF(Allocation[Delivery ID],Delivery[[#This Row],[Delivery ID]],Allocation[Quantity allocated])*16*1.3228*Delivery[[#This Row],[Exchange rate VS USD]]/60</f>
        <v>22083.130795093333</v>
      </c>
      <c r="AP983" s="204">
        <f>Delivery[[#This Row],[AAA Premium (total)]]</f>
        <v>25975.3</v>
      </c>
      <c r="AQ983" s="204">
        <f>Delivery[[#This Row],[Valor pago pelo Cluster]]-Delivery[[#This Row],[Valor efetivamente pago pela Nespresso]]</f>
        <v>3892.169204906666</v>
      </c>
    </row>
    <row r="984" spans="1:43" ht="15.75">
      <c r="A984" s="174" t="s">
        <v>69</v>
      </c>
      <c r="B984" s="232" t="s">
        <v>68</v>
      </c>
      <c r="C984" s="157">
        <v>1</v>
      </c>
      <c r="D984" s="157" t="s">
        <v>468</v>
      </c>
      <c r="E984" s="177" t="s">
        <v>468</v>
      </c>
      <c r="F984" s="233" t="s">
        <v>543</v>
      </c>
      <c r="G984" s="234">
        <v>43369</v>
      </c>
      <c r="H984" s="157" t="s">
        <v>1115</v>
      </c>
      <c r="I984" s="157" t="s">
        <v>1107</v>
      </c>
      <c r="J984" s="237">
        <v>30030</v>
      </c>
      <c r="K984" s="175" t="s">
        <v>61</v>
      </c>
      <c r="L984" s="175" t="s">
        <v>439</v>
      </c>
      <c r="M984" s="175" t="s">
        <v>1343</v>
      </c>
      <c r="N984" s="198"/>
      <c r="O984" s="199"/>
      <c r="P984" s="181">
        <v>0</v>
      </c>
      <c r="Q984" s="177">
        <v>43362</v>
      </c>
      <c r="R984" s="178">
        <v>397.85900000000004</v>
      </c>
      <c r="S984" s="179">
        <v>194516.7913704128</v>
      </c>
      <c r="T984" s="182" t="s">
        <v>45</v>
      </c>
      <c r="U984" s="183">
        <v>4.1336000000000004</v>
      </c>
      <c r="V984" s="179">
        <v>20670</v>
      </c>
      <c r="W984" s="179">
        <v>5488.6043147935998</v>
      </c>
      <c r="X984" s="196" t="s">
        <v>45</v>
      </c>
      <c r="Y984" s="200">
        <v>4.1336000000000004</v>
      </c>
      <c r="Z984" s="220" t="s">
        <v>473</v>
      </c>
      <c r="AA984" s="201">
        <f>Delivery[[#This Row],[Quantity delivered]]*VLOOKUP(Delivery[[#This Row],[Unit]],References!$U:$X,4,FALSE)*VLOOKUP(CONCATENATE(Delivery[[#This Row],[Coffee specie]],Delivery[[#This Row],[Coffee state]]),References!$U:$X,4,FALSE)</f>
        <v>30030</v>
      </c>
      <c r="AB984" s="202">
        <f>SUMIF(Allocation!C:C,Delivery[[#This Row],[Delivery ID]],Allocation!D:D)/Delivery[[#This Row],[Quantity delivered]]</f>
        <v>0.7416916416916417</v>
      </c>
      <c r="AC984" s="203">
        <f>Delivery[[#This Row],[Quantity delivered]]*Delivery[[#This Row],[Base price (Unidad)]]/60</f>
        <v>199128.42950000003</v>
      </c>
      <c r="AD984" s="204">
        <f>Delivery[[#This Row],[Nespresso total]]-Delivery[[#This Row],[Qt. Delivery * Base Price]]</f>
        <v>-4611.638129587227</v>
      </c>
      <c r="AE984" s="204">
        <f>Delivery[[#This Row],[AAA Premium (total)]]/Delivery[[#This Row],[Quantity delivered]]*60/Delivery[[#This Row],[Exchange rate VS USD]]</f>
        <v>9.9909767028017455</v>
      </c>
      <c r="AF984" s="204">
        <f>Delivery[[#This Row],[BEN premium (total)]]/Delivery[[#This Row],[Quantity delivered]]*60/Delivery[[#This Row],[Exchange rate for premiums VS USD]]</f>
        <v>2.6529519999999995</v>
      </c>
      <c r="AG984" s="204">
        <f>COUNTIF(Delivery[Delivery ID],Delivery[[#This Row],[Delivery ID]])</f>
        <v>1</v>
      </c>
      <c r="AH984" s="204">
        <f>(Delivery[[#This Row],[Nespresso total]]/SUMIF(Allocation!C:C,Delivery[Delivery ID],Allocation!H:H))/Delivery[[#This Row],[Exchange rate VS USD]]</f>
        <v>5.282015722853461</v>
      </c>
      <c r="AI984" s="204">
        <f>(Delivery[[#This Row],[AAA Premium (total)]]/SUMIF(Allocation!C:C,Delivery[Delivery ID],Allocation!H:H))/Delivery[[#This Row],[Exchange rate VS USD]]</f>
        <v>0.56128452573266063</v>
      </c>
      <c r="AJ984" s="204">
        <f>Delivery[[#This Row],[Valor Prêmio Nespresso AAA por Kg (em US$)]]*60</f>
        <v>33.677071543959642</v>
      </c>
      <c r="AK984" s="204">
        <f>Delivery[[#This Row],[Valor Prêmio Nespresso AAA por saca (em US$)]]/1.3228/100</f>
        <v>0.2545892919863898</v>
      </c>
      <c r="AL984" s="204">
        <f>(Delivery[[#This Row],[BEN premium (total)]]/SUMIF(Allocation!C:C,Delivery[Delivery ID],Allocation!H:H))/Delivery[[#This Row],[Exchange rate for premiums VS USD]]</f>
        <v>0.14904057425075765</v>
      </c>
      <c r="AM984" s="204">
        <f>Delivery[[#This Row],[Valor Prêmio Nespresso BEN por Kg (em US$)]]*60</f>
        <v>8.9424344550454595</v>
      </c>
      <c r="AN984" s="204">
        <f>Delivery[[#This Row],[Valor Prêmio Nespresso BEN por saca (em US$)]]/1.3228/100</f>
        <v>6.7602316714888561E-2</v>
      </c>
      <c r="AO984" s="204">
        <f>SUMIF(Allocation[Delivery ID],Delivery[[#This Row],[Delivery ID]],Allocation[Quantity allocated])*16*1.3228*Delivery[[#This Row],[Exchange rate VS USD]]/60</f>
        <v>12990.334252458668</v>
      </c>
      <c r="AP984" s="204">
        <f>Delivery[[#This Row],[AAA Premium (total)]]</f>
        <v>20670</v>
      </c>
      <c r="AQ984" s="204">
        <f>Delivery[[#This Row],[Valor pago pelo Cluster]]-Delivery[[#This Row],[Valor efetivamente pago pela Nespresso]]</f>
        <v>7679.6657475413322</v>
      </c>
    </row>
    <row r="985" spans="1:43" ht="15.75">
      <c r="A985" s="174" t="s">
        <v>69</v>
      </c>
      <c r="B985" s="232" t="s">
        <v>68</v>
      </c>
      <c r="C985" s="157">
        <v>1</v>
      </c>
      <c r="D985" s="157" t="s">
        <v>468</v>
      </c>
      <c r="E985" s="177" t="s">
        <v>468</v>
      </c>
      <c r="F985" s="233" t="s">
        <v>543</v>
      </c>
      <c r="G985" s="234">
        <v>43370</v>
      </c>
      <c r="H985" s="157" t="s">
        <v>1116</v>
      </c>
      <c r="I985" s="157" t="s">
        <v>570</v>
      </c>
      <c r="J985" s="237">
        <v>24010</v>
      </c>
      <c r="K985" s="175" t="s">
        <v>61</v>
      </c>
      <c r="L985" s="175" t="s">
        <v>439</v>
      </c>
      <c r="M985" s="175" t="s">
        <v>1343</v>
      </c>
      <c r="N985" s="198"/>
      <c r="O985" s="199"/>
      <c r="P985" s="181">
        <v>0</v>
      </c>
      <c r="Q985" s="177">
        <v>43364</v>
      </c>
      <c r="R985" s="178">
        <v>403.56444000000005</v>
      </c>
      <c r="S985" s="179">
        <v>161608.79999999999</v>
      </c>
      <c r="T985" s="182" t="s">
        <v>45</v>
      </c>
      <c r="U985" s="183">
        <v>4.0296000000000003</v>
      </c>
      <c r="V985" s="179">
        <v>11284</v>
      </c>
      <c r="W985" s="179">
        <v>0</v>
      </c>
      <c r="X985" s="196" t="s">
        <v>45</v>
      </c>
      <c r="Y985" s="200">
        <v>4.0296000000000003</v>
      </c>
      <c r="Z985" s="220"/>
      <c r="AA985" s="201">
        <f>Delivery[[#This Row],[Quantity delivered]]*VLOOKUP(Delivery[[#This Row],[Unit]],References!$U:$X,4,FALSE)*VLOOKUP(CONCATENATE(Delivery[[#This Row],[Coffee specie]],Delivery[[#This Row],[Coffee state]]),References!$U:$X,4,FALSE)</f>
        <v>24010</v>
      </c>
      <c r="AB985" s="202">
        <f>SUMIF(Allocation!C:C,Delivery[[#This Row],[Delivery ID]],Allocation!D:D)/Delivery[[#This Row],[Quantity delivered]]</f>
        <v>1</v>
      </c>
      <c r="AC985" s="203">
        <f>Delivery[[#This Row],[Quantity delivered]]*Delivery[[#This Row],[Base price (Unidad)]]/60</f>
        <v>161493.03674000001</v>
      </c>
      <c r="AD985" s="204">
        <f>Delivery[[#This Row],[Nespresso total]]-Delivery[[#This Row],[Qt. Delivery * Base Price]]</f>
        <v>115.76325999997789</v>
      </c>
      <c r="AE985" s="204">
        <f>Delivery[[#This Row],[AAA Premium (total)]]/Delivery[[#This Row],[Quantity delivered]]*60/Delivery[[#This Row],[Exchange rate VS USD]]</f>
        <v>6.9977791167517793</v>
      </c>
      <c r="AF985" s="204">
        <f>Delivery[[#This Row],[BEN premium (total)]]/Delivery[[#This Row],[Quantity delivered]]*60/Delivery[[#This Row],[Exchange rate for premiums VS USD]]</f>
        <v>0</v>
      </c>
      <c r="AG985" s="204">
        <f>COUNTIF(Delivery[Delivery ID],Delivery[[#This Row],[Delivery ID]])</f>
        <v>1</v>
      </c>
      <c r="AH985" s="204">
        <f>(Delivery[[#This Row],[Nespresso total]]/SUMIF(Allocation!C:C,Delivery[Delivery ID],Allocation!H:H))/Delivery[[#This Row],[Exchange rate VS USD]]</f>
        <v>4.9046618433158029</v>
      </c>
      <c r="AI985" s="204">
        <f>(Delivery[[#This Row],[AAA Premium (total)]]/SUMIF(Allocation!C:C,Delivery[Delivery ID],Allocation!H:H))/Delivery[[#This Row],[Exchange rate VS USD]]</f>
        <v>0.34245786269049416</v>
      </c>
      <c r="AJ985" s="204">
        <f>Delivery[[#This Row],[Valor Prêmio Nespresso AAA por Kg (em US$)]]*60</f>
        <v>20.547471761429648</v>
      </c>
      <c r="AK985" s="204">
        <f>Delivery[[#This Row],[Valor Prêmio Nespresso AAA por saca (em US$)]]/1.3228/100</f>
        <v>0.15533317025574273</v>
      </c>
      <c r="AL985" s="204">
        <f>(Delivery[[#This Row],[BEN premium (total)]]/SUMIF(Allocation!C:C,Delivery[Delivery ID],Allocation!H:H))/Delivery[[#This Row],[Exchange rate for premiums VS USD]]</f>
        <v>0</v>
      </c>
      <c r="AM985" s="204">
        <f>Delivery[[#This Row],[Valor Prêmio Nespresso BEN por Kg (em US$)]]*60</f>
        <v>0</v>
      </c>
      <c r="AN985" s="204">
        <f>Delivery[[#This Row],[Valor Prêmio Nespresso BEN por saca (em US$)]]/1.3228/100</f>
        <v>0</v>
      </c>
      <c r="AO985" s="204">
        <f>SUMIF(Allocation[Delivery ID],Delivery[[#This Row],[Delivery ID]],Allocation[Quantity allocated])*16*1.3228*Delivery[[#This Row],[Exchange rate VS USD]]/60</f>
        <v>11623.016494336001</v>
      </c>
      <c r="AP985" s="204">
        <f>Delivery[[#This Row],[AAA Premium (total)]]</f>
        <v>11284</v>
      </c>
      <c r="AQ985" s="204">
        <f>Delivery[[#This Row],[Valor pago pelo Cluster]]-Delivery[[#This Row],[Valor efetivamente pago pela Nespresso]]</f>
        <v>-339.01649433600141</v>
      </c>
    </row>
    <row r="986" spans="1:43" ht="15.75">
      <c r="A986" s="174" t="s">
        <v>69</v>
      </c>
      <c r="B986" s="232" t="s">
        <v>68</v>
      </c>
      <c r="C986" s="157" t="s">
        <v>1344</v>
      </c>
      <c r="D986" s="157" t="s">
        <v>468</v>
      </c>
      <c r="E986" s="177" t="s">
        <v>468</v>
      </c>
      <c r="F986" s="233" t="s">
        <v>543</v>
      </c>
      <c r="G986" s="234">
        <v>43368</v>
      </c>
      <c r="H986" s="157" t="s">
        <v>1669</v>
      </c>
      <c r="I986" s="157" t="s">
        <v>935</v>
      </c>
      <c r="J986" s="237">
        <v>23546.5</v>
      </c>
      <c r="K986" s="175" t="s">
        <v>61</v>
      </c>
      <c r="L986" s="175" t="s">
        <v>439</v>
      </c>
      <c r="M986" s="175" t="s">
        <v>1343</v>
      </c>
      <c r="N986" s="198"/>
      <c r="O986" s="199"/>
      <c r="P986" s="181">
        <v>0</v>
      </c>
      <c r="Q986" s="177">
        <v>43361</v>
      </c>
      <c r="R986" s="178">
        <v>399.20956999999999</v>
      </c>
      <c r="S986" s="179">
        <v>152295.44999999998</v>
      </c>
      <c r="T986" s="182" t="s">
        <v>45</v>
      </c>
      <c r="U986" s="183">
        <v>4.1605999999999996</v>
      </c>
      <c r="V986" s="179">
        <v>16219.13</v>
      </c>
      <c r="W986" s="179">
        <v>0</v>
      </c>
      <c r="X986" s="196" t="s">
        <v>45</v>
      </c>
      <c r="Y986" s="200">
        <v>4.1605999999999996</v>
      </c>
      <c r="Z986" s="220"/>
      <c r="AA986" s="201">
        <f>Delivery[[#This Row],[Quantity delivered]]*VLOOKUP(Delivery[[#This Row],[Unit]],References!$U:$X,4,FALSE)*VLOOKUP(CONCATENATE(Delivery[[#This Row],[Coffee specie]],Delivery[[#This Row],[Coffee state]]),References!$U:$X,4,FALSE)</f>
        <v>23546.5</v>
      </c>
      <c r="AB986" s="202">
        <f>SUMIF(Allocation!C:C,Delivery[[#This Row],[Delivery ID]],Allocation!D:D)/Delivery[[#This Row],[Quantity delivered]]</f>
        <v>0.77591149427728112</v>
      </c>
      <c r="AC986" s="203">
        <f>Delivery[[#This Row],[Quantity delivered]]*Delivery[[#This Row],[Base price (Unidad)]]/60</f>
        <v>156666.46900008334</v>
      </c>
      <c r="AD986" s="204">
        <f>Delivery[[#This Row],[Nespresso total]]-Delivery[[#This Row],[Qt. Delivery * Base Price]]</f>
        <v>-4371.0190000833536</v>
      </c>
      <c r="AE986" s="204">
        <f>Delivery[[#This Row],[AAA Premium (total)]]/Delivery[[#This Row],[Quantity delivered]]*60/Delivery[[#This Row],[Exchange rate VS USD]]</f>
        <v>9.933366938264065</v>
      </c>
      <c r="AF986" s="204">
        <f>Delivery[[#This Row],[BEN premium (total)]]/Delivery[[#This Row],[Quantity delivered]]*60/Delivery[[#This Row],[Exchange rate for premiums VS USD]]</f>
        <v>0</v>
      </c>
      <c r="AG986" s="204">
        <f>COUNTIF(Delivery[Delivery ID],Delivery[[#This Row],[Delivery ID]])</f>
        <v>1</v>
      </c>
      <c r="AH986" s="204">
        <f>(Delivery[[#This Row],[Nespresso total]]/SUMIF(Allocation!C:C,Delivery[Delivery ID],Allocation!H:H))/Delivery[[#This Row],[Exchange rate VS USD]]</f>
        <v>5.0087854023833085</v>
      </c>
      <c r="AI986" s="204">
        <f>(Delivery[[#This Row],[AAA Premium (total)]]/SUMIF(Allocation!C:C,Delivery[Delivery ID],Allocation!H:H))/Delivery[[#This Row],[Exchange rate VS USD]]</f>
        <v>0.53342461369238015</v>
      </c>
      <c r="AJ986" s="204">
        <f>Delivery[[#This Row],[Valor Prêmio Nespresso AAA por Kg (em US$)]]*60</f>
        <v>32.005476821542807</v>
      </c>
      <c r="AK986" s="204">
        <f>Delivery[[#This Row],[Valor Prêmio Nespresso AAA por saca (em US$)]]/1.3228/100</f>
        <v>0.24195250091882983</v>
      </c>
      <c r="AL986" s="204">
        <f>(Delivery[[#This Row],[BEN premium (total)]]/SUMIF(Allocation!C:C,Delivery[Delivery ID],Allocation!H:H))/Delivery[[#This Row],[Exchange rate for premiums VS USD]]</f>
        <v>0</v>
      </c>
      <c r="AM986" s="204">
        <f>Delivery[[#This Row],[Valor Prêmio Nespresso BEN por Kg (em US$)]]*60</f>
        <v>0</v>
      </c>
      <c r="AN986" s="204">
        <f>Delivery[[#This Row],[Valor Prêmio Nespresso BEN por saca (em US$)]]/1.3228/100</f>
        <v>0</v>
      </c>
      <c r="AO986" s="204">
        <f>SUMIF(Allocation[Delivery ID],Delivery[[#This Row],[Delivery ID]],Allocation[Quantity allocated])*16*1.3228*Delivery[[#This Row],[Exchange rate VS USD]]/60</f>
        <v>10725.496905983999</v>
      </c>
      <c r="AP986" s="204">
        <f>Delivery[[#This Row],[AAA Premium (total)]]</f>
        <v>16219.13</v>
      </c>
      <c r="AQ986" s="204">
        <f>Delivery[[#This Row],[Valor pago pelo Cluster]]-Delivery[[#This Row],[Valor efetivamente pago pela Nespresso]]</f>
        <v>5493.6330940160005</v>
      </c>
    </row>
    <row r="987" spans="1:43" ht="15.75">
      <c r="A987" s="174" t="s">
        <v>69</v>
      </c>
      <c r="B987" s="232" t="s">
        <v>68</v>
      </c>
      <c r="C987" s="157" t="s">
        <v>1344</v>
      </c>
      <c r="D987" s="157" t="s">
        <v>468</v>
      </c>
      <c r="E987" s="177" t="s">
        <v>468</v>
      </c>
      <c r="F987" s="233" t="s">
        <v>543</v>
      </c>
      <c r="G987" s="234">
        <v>43368</v>
      </c>
      <c r="H987" s="157" t="s">
        <v>1670</v>
      </c>
      <c r="I987" s="157" t="s">
        <v>935</v>
      </c>
      <c r="J987" s="237">
        <v>7952</v>
      </c>
      <c r="K987" s="175" t="s">
        <v>61</v>
      </c>
      <c r="L987" s="175" t="s">
        <v>439</v>
      </c>
      <c r="M987" s="175" t="s">
        <v>1343</v>
      </c>
      <c r="N987" s="198"/>
      <c r="O987" s="199"/>
      <c r="P987" s="181">
        <v>0</v>
      </c>
      <c r="Q987" s="177">
        <v>43361</v>
      </c>
      <c r="R987" s="178">
        <v>399.20956999999999</v>
      </c>
      <c r="S987" s="179">
        <v>50780.34</v>
      </c>
      <c r="T987" s="182" t="s">
        <v>45</v>
      </c>
      <c r="U987" s="183">
        <v>4.1605999999999996</v>
      </c>
      <c r="V987" s="179">
        <v>5408</v>
      </c>
      <c r="W987" s="179">
        <v>0</v>
      </c>
      <c r="X987" s="196" t="s">
        <v>45</v>
      </c>
      <c r="Y987" s="200">
        <v>4.1605999999999996</v>
      </c>
      <c r="Z987" s="220"/>
      <c r="AA987" s="201">
        <f>Delivery[[#This Row],[Quantity delivered]]*VLOOKUP(Delivery[[#This Row],[Unit]],References!$U:$X,4,FALSE)*VLOOKUP(CONCATENATE(Delivery[[#This Row],[Coffee specie]],Delivery[[#This Row],[Coffee state]]),References!$U:$X,4,FALSE)</f>
        <v>7952</v>
      </c>
      <c r="AB987" s="202">
        <f>SUMIF(Allocation!C:C,Delivery[[#This Row],[Delivery ID]],Allocation!D:D)/Delivery[[#This Row],[Quantity delivered]]</f>
        <v>0.11506539235412475</v>
      </c>
      <c r="AC987" s="203">
        <f>Delivery[[#This Row],[Quantity delivered]]*Delivery[[#This Row],[Base price (Unidad)]]/60</f>
        <v>52908.57501066666</v>
      </c>
      <c r="AD987" s="204">
        <f>Delivery[[#This Row],[Nespresso total]]-Delivery[[#This Row],[Qt. Delivery * Base Price]]</f>
        <v>-2128.2350106666636</v>
      </c>
      <c r="AE987" s="204">
        <f>Delivery[[#This Row],[AAA Premium (total)]]/Delivery[[#This Row],[Quantity delivered]]*60/Delivery[[#This Row],[Exchange rate VS USD]]</f>
        <v>9.8074385843010781</v>
      </c>
      <c r="AF987" s="204">
        <f>Delivery[[#This Row],[BEN premium (total)]]/Delivery[[#This Row],[Quantity delivered]]*60/Delivery[[#This Row],[Exchange rate for premiums VS USD]]</f>
        <v>0</v>
      </c>
      <c r="AG987" s="204">
        <f>COUNTIF(Delivery[Delivery ID],Delivery[[#This Row],[Delivery ID]])</f>
        <v>1</v>
      </c>
      <c r="AH987" s="204">
        <f>(Delivery[[#This Row],[Nespresso total]]/SUMIF(Allocation!C:C,Delivery[Delivery ID],Allocation!H:H))/Delivery[[#This Row],[Exchange rate VS USD]]</f>
        <v>33.438499057367252</v>
      </c>
      <c r="AI987" s="204">
        <f>(Delivery[[#This Row],[AAA Premium (total)]]/SUMIF(Allocation!C:C,Delivery[Delivery ID],Allocation!H:H))/Delivery[[#This Row],[Exchange rate VS USD]]</f>
        <v>3.5611302110667653</v>
      </c>
      <c r="AJ987" s="204">
        <f>Delivery[[#This Row],[Valor Prêmio Nespresso AAA por Kg (em US$)]]*60</f>
        <v>213.66781266400591</v>
      </c>
      <c r="AK987" s="204">
        <f>Delivery[[#This Row],[Valor Prêmio Nespresso AAA por saca (em US$)]]/1.3228/100</f>
        <v>1.6152692218325213</v>
      </c>
      <c r="AL987" s="204">
        <f>(Delivery[[#This Row],[BEN premium (total)]]/SUMIF(Allocation!C:C,Delivery[Delivery ID],Allocation!H:H))/Delivery[[#This Row],[Exchange rate for premiums VS USD]]</f>
        <v>0</v>
      </c>
      <c r="AM987" s="204">
        <f>Delivery[[#This Row],[Valor Prêmio Nespresso BEN por Kg (em US$)]]*60</f>
        <v>0</v>
      </c>
      <c r="AN987" s="204">
        <f>Delivery[[#This Row],[Valor Prêmio Nespresso BEN por saca (em US$)]]/1.3228/100</f>
        <v>0</v>
      </c>
      <c r="AO987" s="204">
        <f>SUMIF(Allocation[Delivery ID],Delivery[[#This Row],[Delivery ID]],Allocation[Quantity allocated])*16*1.3228*Delivery[[#This Row],[Exchange rate VS USD]]/60</f>
        <v>535.68779018666669</v>
      </c>
      <c r="AP987" s="204">
        <f>Delivery[[#This Row],[AAA Premium (total)]]</f>
        <v>5408</v>
      </c>
      <c r="AQ987" s="204">
        <f>Delivery[[#This Row],[Valor pago pelo Cluster]]-Delivery[[#This Row],[Valor efetivamente pago pela Nespresso]]</f>
        <v>4872.3122098133335</v>
      </c>
    </row>
    <row r="988" spans="1:43" ht="15.75">
      <c r="A988" s="174" t="s">
        <v>69</v>
      </c>
      <c r="B988" s="232" t="s">
        <v>68</v>
      </c>
      <c r="C988" s="157" t="s">
        <v>1344</v>
      </c>
      <c r="D988" s="157" t="s">
        <v>468</v>
      </c>
      <c r="E988" s="177" t="s">
        <v>468</v>
      </c>
      <c r="F988" s="233" t="s">
        <v>543</v>
      </c>
      <c r="G988" s="234">
        <v>43368</v>
      </c>
      <c r="H988" s="157" t="s">
        <v>1671</v>
      </c>
      <c r="I988" s="157" t="s">
        <v>935</v>
      </c>
      <c r="J988" s="237">
        <v>31361</v>
      </c>
      <c r="K988" s="175" t="s">
        <v>61</v>
      </c>
      <c r="L988" s="175" t="s">
        <v>439</v>
      </c>
      <c r="M988" s="175" t="s">
        <v>1343</v>
      </c>
      <c r="N988" s="198"/>
      <c r="O988" s="199"/>
      <c r="P988" s="181">
        <v>0</v>
      </c>
      <c r="Q988" s="177">
        <v>43361</v>
      </c>
      <c r="R988" s="178">
        <v>399.20956999999999</v>
      </c>
      <c r="S988" s="179">
        <v>203925.39</v>
      </c>
      <c r="T988" s="182" t="s">
        <v>45</v>
      </c>
      <c r="U988" s="183">
        <v>4.1605999999999996</v>
      </c>
      <c r="V988" s="179">
        <v>21717.61</v>
      </c>
      <c r="W988" s="179">
        <v>0</v>
      </c>
      <c r="X988" s="196" t="s">
        <v>45</v>
      </c>
      <c r="Y988" s="200">
        <v>4.1605999999999996</v>
      </c>
      <c r="Z988" s="220"/>
      <c r="AA988" s="201">
        <f>Delivery[[#This Row],[Quantity delivered]]*VLOOKUP(Delivery[[#This Row],[Unit]],References!$U:$X,4,FALSE)*VLOOKUP(CONCATENATE(Delivery[[#This Row],[Coffee specie]],Delivery[[#This Row],[Coffee state]]),References!$U:$X,4,FALSE)</f>
        <v>31361</v>
      </c>
      <c r="AB988" s="202">
        <f>SUMIF(Allocation!C:C,Delivery[[#This Row],[Delivery ID]],Allocation!D:D)/Delivery[[#This Row],[Quantity delivered]]</f>
        <v>0.81642804757501353</v>
      </c>
      <c r="AC988" s="203">
        <f>Delivery[[#This Row],[Quantity delivered]]*Delivery[[#This Row],[Base price (Unidad)]]/60</f>
        <v>208660.18874616668</v>
      </c>
      <c r="AD988" s="204">
        <f>Delivery[[#This Row],[Nespresso total]]-Delivery[[#This Row],[Qt. Delivery * Base Price]]</f>
        <v>-4734.7987461666635</v>
      </c>
      <c r="AE988" s="204">
        <f>Delivery[[#This Row],[AAA Premium (total)]]/Delivery[[#This Row],[Quantity delivered]]*60/Delivery[[#This Row],[Exchange rate VS USD]]</f>
        <v>9.9865944338569115</v>
      </c>
      <c r="AF988" s="204">
        <f>Delivery[[#This Row],[BEN premium (total)]]/Delivery[[#This Row],[Quantity delivered]]*60/Delivery[[#This Row],[Exchange rate for premiums VS USD]]</f>
        <v>0</v>
      </c>
      <c r="AG988" s="204">
        <f>COUNTIF(Delivery[Delivery ID],Delivery[[#This Row],[Delivery ID]])</f>
        <v>1</v>
      </c>
      <c r="AH988" s="204">
        <f>(Delivery[[#This Row],[Nespresso total]]/SUMIF(Allocation!C:C,Delivery[Delivery ID],Allocation!H:H))/Delivery[[#This Row],[Exchange rate VS USD]]</f>
        <v>4.7860030459597693</v>
      </c>
      <c r="AI988" s="204">
        <f>(Delivery[[#This Row],[AAA Premium (total)]]/SUMIF(Allocation!C:C,Delivery[Delivery ID],Allocation!H:H))/Delivery[[#This Row],[Exchange rate VS USD]]</f>
        <v>0.50969890316731203</v>
      </c>
      <c r="AJ988" s="204">
        <f>Delivery[[#This Row],[Valor Prêmio Nespresso AAA por Kg (em US$)]]*60</f>
        <v>30.581934190038723</v>
      </c>
      <c r="AK988" s="204">
        <f>Delivery[[#This Row],[Valor Prêmio Nespresso AAA por saca (em US$)]]/1.3228/100</f>
        <v>0.23119091465103359</v>
      </c>
      <c r="AL988" s="204">
        <f>(Delivery[[#This Row],[BEN premium (total)]]/SUMIF(Allocation!C:C,Delivery[Delivery ID],Allocation!H:H))/Delivery[[#This Row],[Exchange rate for premiums VS USD]]</f>
        <v>0</v>
      </c>
      <c r="AM988" s="204">
        <f>Delivery[[#This Row],[Valor Prêmio Nespresso BEN por Kg (em US$)]]*60</f>
        <v>0</v>
      </c>
      <c r="AN988" s="204">
        <f>Delivery[[#This Row],[Valor Prêmio Nespresso BEN por saca (em US$)]]/1.3228/100</f>
        <v>0</v>
      </c>
      <c r="AO988" s="204">
        <f>SUMIF(Allocation[Delivery ID],Delivery[[#This Row],[Delivery ID]],Allocation[Quantity allocated])*16*1.3228*Delivery[[#This Row],[Exchange rate VS USD]]/60</f>
        <v>15030.078518634666</v>
      </c>
      <c r="AP988" s="204">
        <f>Delivery[[#This Row],[AAA Premium (total)]]</f>
        <v>21717.61</v>
      </c>
      <c r="AQ988" s="204">
        <f>Delivery[[#This Row],[Valor pago pelo Cluster]]-Delivery[[#This Row],[Valor efetivamente pago pela Nespresso]]</f>
        <v>6687.5314813653349</v>
      </c>
    </row>
    <row r="989" spans="1:43" ht="15.75">
      <c r="A989" s="174" t="s">
        <v>69</v>
      </c>
      <c r="B989" s="232" t="s">
        <v>68</v>
      </c>
      <c r="C989" s="157">
        <v>1</v>
      </c>
      <c r="D989" s="157" t="s">
        <v>468</v>
      </c>
      <c r="E989" s="177" t="s">
        <v>468</v>
      </c>
      <c r="F989" s="233" t="s">
        <v>541</v>
      </c>
      <c r="G989" s="234">
        <v>43370</v>
      </c>
      <c r="H989" s="157" t="s">
        <v>1117</v>
      </c>
      <c r="I989" s="157" t="s">
        <v>511</v>
      </c>
      <c r="J989" s="237">
        <v>29080</v>
      </c>
      <c r="K989" s="175" t="s">
        <v>61</v>
      </c>
      <c r="L989" s="175" t="s">
        <v>439</v>
      </c>
      <c r="M989" s="175" t="s">
        <v>1343</v>
      </c>
      <c r="N989" s="198"/>
      <c r="O989" s="199"/>
      <c r="P989" s="181">
        <v>0</v>
      </c>
      <c r="Q989" s="177">
        <v>43364</v>
      </c>
      <c r="R989" s="178">
        <v>402.79796999999996</v>
      </c>
      <c r="S989" s="179">
        <v>197092.91235725256</v>
      </c>
      <c r="T989" s="182" t="s">
        <v>45</v>
      </c>
      <c r="U989" s="183">
        <v>4.0400999999999998</v>
      </c>
      <c r="V989" s="179">
        <v>13687.51</v>
      </c>
      <c r="W989" s="179">
        <v>4285.6688213737198</v>
      </c>
      <c r="X989" s="196" t="s">
        <v>45</v>
      </c>
      <c r="Y989" s="200">
        <v>4.0400999999999998</v>
      </c>
      <c r="Z989" s="220" t="s">
        <v>473</v>
      </c>
      <c r="AA989" s="201">
        <f>Delivery[[#This Row],[Quantity delivered]]*VLOOKUP(Delivery[[#This Row],[Unit]],References!$U:$X,4,FALSE)*VLOOKUP(CONCATENATE(Delivery[[#This Row],[Coffee specie]],Delivery[[#This Row],[Coffee state]]),References!$U:$X,4,FALSE)</f>
        <v>29080</v>
      </c>
      <c r="AB989" s="202">
        <f>SUMIF(Allocation!C:C,Delivery[[#This Row],[Delivery ID]],Allocation!D:D)/Delivery[[#This Row],[Quantity delivered]]</f>
        <v>1</v>
      </c>
      <c r="AC989" s="203">
        <f>Delivery[[#This Row],[Quantity delivered]]*Delivery[[#This Row],[Base price (Unidad)]]/60</f>
        <v>195222.74945999999</v>
      </c>
      <c r="AD989" s="204">
        <f>Delivery[[#This Row],[Nespresso total]]-Delivery[[#This Row],[Qt. Delivery * Base Price]]</f>
        <v>1870.162897252565</v>
      </c>
      <c r="AE989" s="204">
        <f>Delivery[[#This Row],[AAA Premium (total)]]/Delivery[[#This Row],[Quantity delivered]]*60/Delivery[[#This Row],[Exchange rate VS USD]]</f>
        <v>6.9901932575722068</v>
      </c>
      <c r="AF989" s="204">
        <f>Delivery[[#This Row],[BEN premium (total)]]/Delivery[[#This Row],[Quantity delivered]]*60/Delivery[[#This Row],[Exchange rate for premiums VS USD]]</f>
        <v>2.1886854000000002</v>
      </c>
      <c r="AG989" s="204">
        <f>COUNTIF(Delivery[Delivery ID],Delivery[[#This Row],[Delivery ID]])</f>
        <v>1</v>
      </c>
      <c r="AH989" s="204">
        <f>(Delivery[[#This Row],[Nespresso total]]/SUMIF(Allocation!C:C,Delivery[Delivery ID],Allocation!H:H))/Delivery[[#This Row],[Exchange rate VS USD]]</f>
        <v>5.0816840434346862</v>
      </c>
      <c r="AI989" s="204">
        <f>(Delivery[[#This Row],[AAA Premium (total)]]/SUMIF(Allocation!C:C,Delivery[Delivery ID],Allocation!H:H))/Delivery[[#This Row],[Exchange rate VS USD]]</f>
        <v>0.35290767348993013</v>
      </c>
      <c r="AJ989" s="204">
        <f>Delivery[[#This Row],[Valor Prêmio Nespresso AAA por Kg (em US$)]]*60</f>
        <v>21.174460409395806</v>
      </c>
      <c r="AK989" s="204">
        <f>Delivery[[#This Row],[Valor Prêmio Nespresso AAA por saca (em US$)]]/1.3228/100</f>
        <v>0.16007303000752804</v>
      </c>
      <c r="AL989" s="204">
        <f>(Delivery[[#This Row],[BEN premium (total)]]/SUMIF(Allocation!C:C,Delivery[Delivery ID],Allocation!H:H))/Delivery[[#This Row],[Exchange rate for premiums VS USD]]</f>
        <v>0.11049821429166666</v>
      </c>
      <c r="AM989" s="204">
        <f>Delivery[[#This Row],[Valor Prêmio Nespresso BEN por Kg (em US$)]]*60</f>
        <v>6.6298928574999998</v>
      </c>
      <c r="AN989" s="204">
        <f>Delivery[[#This Row],[Valor Prêmio Nespresso BEN por saca (em US$)]]/1.3228/100</f>
        <v>5.0120145581342604E-2</v>
      </c>
      <c r="AO989" s="204">
        <f>SUMIF(Allocation[Delivery ID],Delivery[[#This Row],[Delivery ID]],Allocation[Quantity allocated])*16*1.3228*Delivery[[#This Row],[Exchange rate VS USD]]/60</f>
        <v>13681.265356799999</v>
      </c>
      <c r="AP989" s="204">
        <f>Delivery[[#This Row],[AAA Premium (total)]]</f>
        <v>13687.51</v>
      </c>
      <c r="AQ989" s="204">
        <f>Delivery[[#This Row],[Valor pago pelo Cluster]]-Delivery[[#This Row],[Valor efetivamente pago pela Nespresso]]</f>
        <v>6.2446432000015193</v>
      </c>
    </row>
    <row r="990" spans="1:43" ht="15.75">
      <c r="A990" s="174" t="s">
        <v>69</v>
      </c>
      <c r="B990" s="232" t="s">
        <v>68</v>
      </c>
      <c r="C990" s="157">
        <v>1</v>
      </c>
      <c r="D990" s="157" t="s">
        <v>468</v>
      </c>
      <c r="E990" s="177" t="s">
        <v>468</v>
      </c>
      <c r="F990" s="233" t="s">
        <v>543</v>
      </c>
      <c r="G990" s="234">
        <v>43370</v>
      </c>
      <c r="H990" s="157" t="s">
        <v>1118</v>
      </c>
      <c r="I990" s="157" t="s">
        <v>572</v>
      </c>
      <c r="J990" s="237">
        <v>31020</v>
      </c>
      <c r="K990" s="175" t="s">
        <v>61</v>
      </c>
      <c r="L990" s="175" t="s">
        <v>439</v>
      </c>
      <c r="M990" s="175" t="s">
        <v>1343</v>
      </c>
      <c r="N990" s="198"/>
      <c r="O990" s="199"/>
      <c r="P990" s="181">
        <v>0</v>
      </c>
      <c r="Q990" s="177">
        <v>43362</v>
      </c>
      <c r="R990" s="178">
        <v>397.14848000000001</v>
      </c>
      <c r="S990" s="179">
        <v>201245.52</v>
      </c>
      <c r="T990" s="182" t="s">
        <v>45</v>
      </c>
      <c r="U990" s="183">
        <v>4.1456</v>
      </c>
      <c r="V990" s="179">
        <v>21351.9</v>
      </c>
      <c r="W990" s="179">
        <v>0</v>
      </c>
      <c r="X990" s="196" t="s">
        <v>45</v>
      </c>
      <c r="Y990" s="200">
        <v>4.1456</v>
      </c>
      <c r="Z990" s="220"/>
      <c r="AA990" s="201">
        <f>Delivery[[#This Row],[Quantity delivered]]*VLOOKUP(Delivery[[#This Row],[Unit]],References!$U:$X,4,FALSE)*VLOOKUP(CONCATENATE(Delivery[[#This Row],[Coffee specie]],Delivery[[#This Row],[Coffee state]]),References!$U:$X,4,FALSE)</f>
        <v>31020</v>
      </c>
      <c r="AB990" s="202">
        <f>SUMIF(Allocation!C:C,Delivery[[#This Row],[Delivery ID]],Allocation!D:D)/Delivery[[#This Row],[Quantity delivered]]</f>
        <v>0.93816892327530621</v>
      </c>
      <c r="AC990" s="203">
        <f>Delivery[[#This Row],[Quantity delivered]]*Delivery[[#This Row],[Base price (Unidad)]]/60</f>
        <v>205325.76415999999</v>
      </c>
      <c r="AD990" s="204">
        <f>Delivery[[#This Row],[Nespresso total]]-Delivery[[#This Row],[Qt. Delivery * Base Price]]</f>
        <v>-4080.244160000002</v>
      </c>
      <c r="AE990" s="204">
        <f>Delivery[[#This Row],[AAA Premium (total)]]/Delivery[[#This Row],[Quantity delivered]]*60/Delivery[[#This Row],[Exchange rate VS USD]]</f>
        <v>9.9622764262844097</v>
      </c>
      <c r="AF990" s="204">
        <f>Delivery[[#This Row],[BEN premium (total)]]/Delivery[[#This Row],[Quantity delivered]]*60/Delivery[[#This Row],[Exchange rate for premiums VS USD]]</f>
        <v>0</v>
      </c>
      <c r="AG990" s="204">
        <f>COUNTIF(Delivery[Delivery ID],Delivery[[#This Row],[Delivery ID]])</f>
        <v>1</v>
      </c>
      <c r="AH990" s="204">
        <f>(Delivery[[#This Row],[Nespresso total]]/SUMIF(Allocation!C:C,Delivery[Delivery ID],Allocation!H:H))/Delivery[[#This Row],[Exchange rate VS USD]]</f>
        <v>3.8792044997599597</v>
      </c>
      <c r="AI990" s="204">
        <f>(Delivery[[#This Row],[AAA Premium (total)]]/SUMIF(Allocation!C:C,Delivery[Delivery ID],Allocation!H:H))/Delivery[[#This Row],[Exchange rate VS USD]]</f>
        <v>0.41157878475220067</v>
      </c>
      <c r="AJ990" s="204">
        <f>Delivery[[#This Row],[Valor Prêmio Nespresso AAA por Kg (em US$)]]*60</f>
        <v>24.69472708513204</v>
      </c>
      <c r="AK990" s="204">
        <f>Delivery[[#This Row],[Valor Prêmio Nespresso AAA por saca (em US$)]]/1.3228/100</f>
        <v>0.18668526674578201</v>
      </c>
      <c r="AL990" s="204">
        <f>(Delivery[[#This Row],[BEN premium (total)]]/SUMIF(Allocation!C:C,Delivery[Delivery ID],Allocation!H:H))/Delivery[[#This Row],[Exchange rate for premiums VS USD]]</f>
        <v>0</v>
      </c>
      <c r="AM990" s="204">
        <f>Delivery[[#This Row],[Valor Prêmio Nespresso BEN por Kg (em US$)]]*60</f>
        <v>0</v>
      </c>
      <c r="AN990" s="204">
        <f>Delivery[[#This Row],[Valor Prêmio Nespresso BEN por saca (em US$)]]/1.3228/100</f>
        <v>0</v>
      </c>
      <c r="AO990" s="204">
        <f>SUMIF(Allocation[Delivery ID],Delivery[[#This Row],[Delivery ID]],Allocation[Quantity allocated])*16*1.3228*Delivery[[#This Row],[Exchange rate VS USD]]/60</f>
        <v>18299.805118805332</v>
      </c>
      <c r="AP990" s="204">
        <f>Delivery[[#This Row],[AAA Premium (total)]]</f>
        <v>21351.9</v>
      </c>
      <c r="AQ990" s="204">
        <f>Delivery[[#This Row],[Valor pago pelo Cluster]]-Delivery[[#This Row],[Valor efetivamente pago pela Nespresso]]</f>
        <v>3052.0948811946691</v>
      </c>
    </row>
    <row r="991" spans="1:43" ht="15.75">
      <c r="A991" s="174" t="s">
        <v>69</v>
      </c>
      <c r="B991" s="232" t="s">
        <v>68</v>
      </c>
      <c r="C991" s="157">
        <v>1</v>
      </c>
      <c r="D991" s="157" t="s">
        <v>468</v>
      </c>
      <c r="E991" s="177" t="s">
        <v>468</v>
      </c>
      <c r="F991" s="233" t="s">
        <v>543</v>
      </c>
      <c r="G991" s="234">
        <v>43370</v>
      </c>
      <c r="H991" s="157" t="s">
        <v>1119</v>
      </c>
      <c r="I991" s="157" t="s">
        <v>572</v>
      </c>
      <c r="J991" s="237">
        <v>30890</v>
      </c>
      <c r="K991" s="175" t="s">
        <v>61</v>
      </c>
      <c r="L991" s="175" t="s">
        <v>439</v>
      </c>
      <c r="M991" s="175" t="s">
        <v>1343</v>
      </c>
      <c r="N991" s="198"/>
      <c r="O991" s="199"/>
      <c r="P991" s="181">
        <v>0</v>
      </c>
      <c r="Q991" s="177">
        <v>43362</v>
      </c>
      <c r="R991" s="178">
        <v>397.14848000000001</v>
      </c>
      <c r="S991" s="179">
        <v>200463.98</v>
      </c>
      <c r="T991" s="182" t="s">
        <v>45</v>
      </c>
      <c r="U991" s="183">
        <v>4.1456</v>
      </c>
      <c r="V991" s="179">
        <v>21351.9</v>
      </c>
      <c r="W991" s="179">
        <v>0</v>
      </c>
      <c r="X991" s="196" t="s">
        <v>45</v>
      </c>
      <c r="Y991" s="200">
        <v>4.1456</v>
      </c>
      <c r="Z991" s="220"/>
      <c r="AA991" s="201">
        <f>Delivery[[#This Row],[Quantity delivered]]*VLOOKUP(Delivery[[#This Row],[Unit]],References!$U:$X,4,FALSE)*VLOOKUP(CONCATENATE(Delivery[[#This Row],[Coffee specie]],Delivery[[#This Row],[Coffee state]]),References!$U:$X,4,FALSE)</f>
        <v>30890</v>
      </c>
      <c r="AB991" s="202">
        <f>SUMIF(Allocation!C:C,Delivery[[#This Row],[Delivery ID]],Allocation!D:D)/Delivery[[#This Row],[Quantity delivered]]</f>
        <v>0.94062803496277114</v>
      </c>
      <c r="AC991" s="203">
        <f>Delivery[[#This Row],[Quantity delivered]]*Delivery[[#This Row],[Base price (Unidad)]]/60</f>
        <v>204465.27578666667</v>
      </c>
      <c r="AD991" s="204">
        <f>Delivery[[#This Row],[Nespresso total]]-Delivery[[#This Row],[Qt. Delivery * Base Price]]</f>
        <v>-4001.2957866666547</v>
      </c>
      <c r="AE991" s="204">
        <f>Delivery[[#This Row],[AAA Premium (total)]]/Delivery[[#This Row],[Quantity delivered]]*60/Delivery[[#This Row],[Exchange rate VS USD]]</f>
        <v>10.004202484407328</v>
      </c>
      <c r="AF991" s="204">
        <f>Delivery[[#This Row],[BEN premium (total)]]/Delivery[[#This Row],[Quantity delivered]]*60/Delivery[[#This Row],[Exchange rate for premiums VS USD]]</f>
        <v>0</v>
      </c>
      <c r="AG991" s="204">
        <f>COUNTIF(Delivery[Delivery ID],Delivery[[#This Row],[Delivery ID]])</f>
        <v>1</v>
      </c>
      <c r="AH991" s="204">
        <f>(Delivery[[#This Row],[Nespresso total]]/SUMIF(Allocation!C:C,Delivery[Delivery ID],Allocation!H:H))/Delivery[[#This Row],[Exchange rate VS USD]]</f>
        <v>3.8703251431779502</v>
      </c>
      <c r="AI991" s="204">
        <f>(Delivery[[#This Row],[AAA Premium (total)]]/SUMIF(Allocation!C:C,Delivery[Delivery ID],Allocation!H:H))/Delivery[[#This Row],[Exchange rate VS USD]]</f>
        <v>0.41223762705210815</v>
      </c>
      <c r="AJ991" s="204">
        <f>Delivery[[#This Row],[Valor Prêmio Nespresso AAA por Kg (em US$)]]*60</f>
        <v>24.734257623126489</v>
      </c>
      <c r="AK991" s="204">
        <f>Delivery[[#This Row],[Valor Prêmio Nespresso AAA por saca (em US$)]]/1.3228/100</f>
        <v>0.1869841066157128</v>
      </c>
      <c r="AL991" s="204">
        <f>(Delivery[[#This Row],[BEN premium (total)]]/SUMIF(Allocation!C:C,Delivery[Delivery ID],Allocation!H:H))/Delivery[[#This Row],[Exchange rate for premiums VS USD]]</f>
        <v>0</v>
      </c>
      <c r="AM991" s="204">
        <f>Delivery[[#This Row],[Valor Prêmio Nespresso BEN por Kg (em US$)]]*60</f>
        <v>0</v>
      </c>
      <c r="AN991" s="204">
        <f>Delivery[[#This Row],[Valor Prêmio Nespresso BEN por saca (em US$)]]/1.3228/100</f>
        <v>0</v>
      </c>
      <c r="AO991" s="204">
        <f>SUMIF(Allocation[Delivery ID],Delivery[[#This Row],[Delivery ID]],Allocation[Quantity allocated])*16*1.3228*Delivery[[#This Row],[Exchange rate VS USD]]/60</f>
        <v>18270.558187178667</v>
      </c>
      <c r="AP991" s="204">
        <f>Delivery[[#This Row],[AAA Premium (total)]]</f>
        <v>21351.9</v>
      </c>
      <c r="AQ991" s="204">
        <f>Delivery[[#This Row],[Valor pago pelo Cluster]]-Delivery[[#This Row],[Valor efetivamente pago pela Nespresso]]</f>
        <v>3081.3418128213343</v>
      </c>
    </row>
    <row r="992" spans="1:43" ht="15.75">
      <c r="A992" s="174" t="s">
        <v>69</v>
      </c>
      <c r="B992" s="232" t="s">
        <v>68</v>
      </c>
      <c r="C992" s="157">
        <v>1</v>
      </c>
      <c r="D992" s="157" t="s">
        <v>468</v>
      </c>
      <c r="E992" s="177" t="s">
        <v>468</v>
      </c>
      <c r="F992" s="233" t="s">
        <v>541</v>
      </c>
      <c r="G992" s="234">
        <v>43370</v>
      </c>
      <c r="H992" s="157" t="s">
        <v>1120</v>
      </c>
      <c r="I992" s="157" t="s">
        <v>511</v>
      </c>
      <c r="J992" s="237">
        <v>29130</v>
      </c>
      <c r="K992" s="175" t="s">
        <v>61</v>
      </c>
      <c r="L992" s="175" t="s">
        <v>439</v>
      </c>
      <c r="M992" s="175" t="s">
        <v>1343</v>
      </c>
      <c r="N992" s="198"/>
      <c r="O992" s="199"/>
      <c r="P992" s="181">
        <v>0</v>
      </c>
      <c r="Q992" s="177">
        <v>43364</v>
      </c>
      <c r="R992" s="178">
        <v>402.79796999999996</v>
      </c>
      <c r="S992" s="179">
        <v>196654.12484411168</v>
      </c>
      <c r="T992" s="182" t="s">
        <v>45</v>
      </c>
      <c r="U992" s="183">
        <v>4.0400999999999998</v>
      </c>
      <c r="V992" s="179">
        <v>13715.79</v>
      </c>
      <c r="W992" s="179">
        <v>4293.0375779441702</v>
      </c>
      <c r="X992" s="196" t="s">
        <v>45</v>
      </c>
      <c r="Y992" s="200">
        <v>4.0400999999999998</v>
      </c>
      <c r="Z992" s="220" t="s">
        <v>473</v>
      </c>
      <c r="AA992" s="201">
        <f>Delivery[[#This Row],[Quantity delivered]]*VLOOKUP(Delivery[[#This Row],[Unit]],References!$U:$X,4,FALSE)*VLOOKUP(CONCATENATE(Delivery[[#This Row],[Coffee specie]],Delivery[[#This Row],[Coffee state]]),References!$U:$X,4,FALSE)</f>
        <v>29130</v>
      </c>
      <c r="AB992" s="202">
        <f>SUMIF(Allocation!C:C,Delivery[[#This Row],[Delivery ID]],Allocation!D:D)/Delivery[[#This Row],[Quantity delivered]]</f>
        <v>1</v>
      </c>
      <c r="AC992" s="203">
        <f>Delivery[[#This Row],[Quantity delivered]]*Delivery[[#This Row],[Base price (Unidad)]]/60</f>
        <v>195558.41443499998</v>
      </c>
      <c r="AD992" s="204">
        <f>Delivery[[#This Row],[Nespresso total]]-Delivery[[#This Row],[Qt. Delivery * Base Price]]</f>
        <v>1095.7104091116926</v>
      </c>
      <c r="AE992" s="204">
        <f>Delivery[[#This Row],[AAA Premium (total)]]/Delivery[[#This Row],[Quantity delivered]]*60/Delivery[[#This Row],[Exchange rate VS USD]]</f>
        <v>6.9926127543569336</v>
      </c>
      <c r="AF992" s="204">
        <f>Delivery[[#This Row],[BEN premium (total)]]/Delivery[[#This Row],[Quantity delivered]]*60/Delivery[[#This Row],[Exchange rate for premiums VS USD]]</f>
        <v>2.1886854000000002</v>
      </c>
      <c r="AG992" s="204">
        <f>COUNTIF(Delivery[Delivery ID],Delivery[[#This Row],[Delivery ID]])</f>
        <v>1</v>
      </c>
      <c r="AH992" s="204">
        <f>(Delivery[[#This Row],[Nespresso total]]/SUMIF(Allocation!C:C,Delivery[Delivery ID],Allocation!H:H))/Delivery[[#This Row],[Exchange rate VS USD]]</f>
        <v>5.039399392764512</v>
      </c>
      <c r="AI992" s="204">
        <f>(Delivery[[#This Row],[AAA Premium (total)]]/SUMIF(Allocation!C:C,Delivery[Delivery ID],Allocation!H:H))/Delivery[[#This Row],[Exchange rate VS USD]]</f>
        <v>0.35147670485974647</v>
      </c>
      <c r="AJ992" s="204">
        <f>Delivery[[#This Row],[Valor Prêmio Nespresso AAA por Kg (em US$)]]*60</f>
        <v>21.088602291584788</v>
      </c>
      <c r="AK992" s="204">
        <f>Delivery[[#This Row],[Valor Prêmio Nespresso AAA por saca (em US$)]]/1.3228/100</f>
        <v>0.15942396652241297</v>
      </c>
      <c r="AL992" s="204">
        <f>(Delivery[[#This Row],[BEN premium (total)]]/SUMIF(Allocation!C:C,Delivery[Delivery ID],Allocation!H:H))/Delivery[[#This Row],[Exchange rate for premiums VS USD]]</f>
        <v>0.11001208838389068</v>
      </c>
      <c r="AM992" s="204">
        <f>Delivery[[#This Row],[Valor Prêmio Nespresso BEN por Kg (em US$)]]*60</f>
        <v>6.6007253030334407</v>
      </c>
      <c r="AN992" s="204">
        <f>Delivery[[#This Row],[Valor Prêmio Nespresso BEN por saca (em US$)]]/1.3228/100</f>
        <v>4.9899646983923809E-2</v>
      </c>
      <c r="AO992" s="204">
        <f>SUMIF(Allocation[Delivery ID],Delivery[[#This Row],[Delivery ID]],Allocation[Quantity allocated])*16*1.3228*Delivery[[#This Row],[Exchange rate VS USD]]/60</f>
        <v>13765.348133471998</v>
      </c>
      <c r="AP992" s="204">
        <f>Delivery[[#This Row],[AAA Premium (total)]]</f>
        <v>13715.79</v>
      </c>
      <c r="AQ992" s="204">
        <f>Delivery[[#This Row],[Valor pago pelo Cluster]]-Delivery[[#This Row],[Valor efetivamente pago pela Nespresso]]</f>
        <v>-49.55813347199728</v>
      </c>
    </row>
    <row r="993" spans="1:43" ht="15.75">
      <c r="A993" s="174" t="s">
        <v>69</v>
      </c>
      <c r="B993" s="232" t="s">
        <v>68</v>
      </c>
      <c r="C993" s="157">
        <v>1</v>
      </c>
      <c r="D993" s="157" t="s">
        <v>468</v>
      </c>
      <c r="E993" s="177" t="s">
        <v>468</v>
      </c>
      <c r="F993" s="233" t="s">
        <v>543</v>
      </c>
      <c r="G993" s="234">
        <v>43370</v>
      </c>
      <c r="H993" s="157" t="s">
        <v>1121</v>
      </c>
      <c r="I993" s="157" t="s">
        <v>572</v>
      </c>
      <c r="J993" s="237">
        <v>31300</v>
      </c>
      <c r="K993" s="175" t="s">
        <v>61</v>
      </c>
      <c r="L993" s="175" t="s">
        <v>439</v>
      </c>
      <c r="M993" s="175" t="s">
        <v>1343</v>
      </c>
      <c r="N993" s="198"/>
      <c r="O993" s="199"/>
      <c r="P993" s="181">
        <v>0</v>
      </c>
      <c r="Q993" s="177">
        <v>43362</v>
      </c>
      <c r="R993" s="178">
        <v>397.14848000000001</v>
      </c>
      <c r="S993" s="179">
        <v>201245.52</v>
      </c>
      <c r="T993" s="182" t="s">
        <v>45</v>
      </c>
      <c r="U993" s="183">
        <v>4.1456</v>
      </c>
      <c r="V993" s="179">
        <v>21351.9</v>
      </c>
      <c r="W993" s="179">
        <v>0</v>
      </c>
      <c r="X993" s="196" t="s">
        <v>45</v>
      </c>
      <c r="Y993" s="200">
        <v>4.1456</v>
      </c>
      <c r="Z993" s="220"/>
      <c r="AA993" s="201">
        <f>Delivery[[#This Row],[Quantity delivered]]*VLOOKUP(Delivery[[#This Row],[Unit]],References!$U:$X,4,FALSE)*VLOOKUP(CONCATENATE(Delivery[[#This Row],[Coffee specie]],Delivery[[#This Row],[Coffee state]]),References!$U:$X,4,FALSE)</f>
        <v>31300</v>
      </c>
      <c r="AB993" s="202">
        <f>SUMIF(Allocation!C:C,Delivery[[#This Row],[Delivery ID]],Allocation!D:D)/Delivery[[#This Row],[Quantity delivered]]</f>
        <v>0.93099041533546323</v>
      </c>
      <c r="AC993" s="203">
        <f>Delivery[[#This Row],[Quantity delivered]]*Delivery[[#This Row],[Base price (Unidad)]]/60</f>
        <v>207179.12373333334</v>
      </c>
      <c r="AD993" s="204">
        <f>Delivery[[#This Row],[Nespresso total]]-Delivery[[#This Row],[Qt. Delivery * Base Price]]</f>
        <v>-5933.6037333333516</v>
      </c>
      <c r="AE993" s="204">
        <f>Delivery[[#This Row],[AAA Premium (total)]]/Delivery[[#This Row],[Quantity delivered]]*60/Delivery[[#This Row],[Exchange rate VS USD]]</f>
        <v>9.8731570205540695</v>
      </c>
      <c r="AF993" s="204">
        <f>Delivery[[#This Row],[BEN premium (total)]]/Delivery[[#This Row],[Quantity delivered]]*60/Delivery[[#This Row],[Exchange rate for premiums VS USD]]</f>
        <v>0</v>
      </c>
      <c r="AG993" s="204">
        <f>COUNTIF(Delivery[Delivery ID],Delivery[[#This Row],[Delivery ID]])</f>
        <v>1</v>
      </c>
      <c r="AH993" s="204">
        <f>(Delivery[[#This Row],[Nespresso total]]/SUMIF(Allocation!C:C,Delivery[Delivery ID],Allocation!H:H))/Delivery[[#This Row],[Exchange rate VS USD]]</f>
        <v>3.8742510063843687</v>
      </c>
      <c r="AI993" s="204">
        <f>(Delivery[[#This Row],[AAA Premium (total)]]/SUMIF(Allocation!C:C,Delivery[Delivery ID],Allocation!H:H))/Delivery[[#This Row],[Exchange rate VS USD]]</f>
        <v>0.4110532252505219</v>
      </c>
      <c r="AJ993" s="204">
        <f>Delivery[[#This Row],[Valor Prêmio Nespresso AAA por Kg (em US$)]]*60</f>
        <v>24.663193515031313</v>
      </c>
      <c r="AK993" s="204">
        <f>Delivery[[#This Row],[Valor Prêmio Nespresso AAA por saca (em US$)]]/1.3228/100</f>
        <v>0.18644688172838911</v>
      </c>
      <c r="AL993" s="204">
        <f>(Delivery[[#This Row],[BEN premium (total)]]/SUMIF(Allocation!C:C,Delivery[Delivery ID],Allocation!H:H))/Delivery[[#This Row],[Exchange rate for premiums VS USD]]</f>
        <v>0</v>
      </c>
      <c r="AM993" s="204">
        <f>Delivery[[#This Row],[Valor Prêmio Nespresso BEN por Kg (em US$)]]*60</f>
        <v>0</v>
      </c>
      <c r="AN993" s="204">
        <f>Delivery[[#This Row],[Valor Prêmio Nespresso BEN por saca (em US$)]]/1.3228/100</f>
        <v>0</v>
      </c>
      <c r="AO993" s="204">
        <f>SUMIF(Allocation[Delivery ID],Delivery[[#This Row],[Delivery ID]],Allocation[Quantity allocated])*16*1.3228*Delivery[[#This Row],[Exchange rate VS USD]]/60</f>
        <v>18323.20266410667</v>
      </c>
      <c r="AP993" s="204">
        <f>Delivery[[#This Row],[AAA Premium (total)]]</f>
        <v>21351.9</v>
      </c>
      <c r="AQ993" s="204">
        <f>Delivery[[#This Row],[Valor pago pelo Cluster]]-Delivery[[#This Row],[Valor efetivamente pago pela Nespresso]]</f>
        <v>3028.6973358933319</v>
      </c>
    </row>
    <row r="994" spans="1:43" ht="15.75">
      <c r="A994" s="174" t="s">
        <v>69</v>
      </c>
      <c r="B994" s="232" t="s">
        <v>68</v>
      </c>
      <c r="C994" s="157">
        <v>1</v>
      </c>
      <c r="D994" s="157" t="s">
        <v>468</v>
      </c>
      <c r="E994" s="177" t="s">
        <v>468</v>
      </c>
      <c r="F994" s="233" t="s">
        <v>541</v>
      </c>
      <c r="G994" s="234">
        <v>43370</v>
      </c>
      <c r="H994" s="157" t="s">
        <v>1122</v>
      </c>
      <c r="I994" s="157" t="s">
        <v>511</v>
      </c>
      <c r="J994" s="237">
        <v>25850</v>
      </c>
      <c r="K994" s="175" t="s">
        <v>61</v>
      </c>
      <c r="L994" s="175" t="s">
        <v>439</v>
      </c>
      <c r="M994" s="175" t="s">
        <v>1343</v>
      </c>
      <c r="N994" s="198"/>
      <c r="O994" s="199"/>
      <c r="P994" s="181">
        <v>0</v>
      </c>
      <c r="Q994" s="177">
        <v>43364</v>
      </c>
      <c r="R994" s="178">
        <v>402.79796999999996</v>
      </c>
      <c r="S994" s="179">
        <v>175146.25570615468</v>
      </c>
      <c r="T994" s="182" t="s">
        <v>45</v>
      </c>
      <c r="U994" s="183">
        <v>4.0400999999999998</v>
      </c>
      <c r="V994" s="179">
        <v>12188.67</v>
      </c>
      <c r="W994" s="179">
        <v>3809.6471469226499</v>
      </c>
      <c r="X994" s="196" t="s">
        <v>45</v>
      </c>
      <c r="Y994" s="200">
        <v>4.0400999999999998</v>
      </c>
      <c r="Z994" s="220" t="s">
        <v>473</v>
      </c>
      <c r="AA994" s="201">
        <f>Delivery[[#This Row],[Quantity delivered]]*VLOOKUP(Delivery[[#This Row],[Unit]],References!$U:$X,4,FALSE)*VLOOKUP(CONCATENATE(Delivery[[#This Row],[Coffee specie]],Delivery[[#This Row],[Coffee state]]),References!$U:$X,4,FALSE)</f>
        <v>25850</v>
      </c>
      <c r="AB994" s="202">
        <f>SUMIF(Allocation!C:C,Delivery[[#This Row],[Delivery ID]],Allocation!D:D)/Delivery[[#This Row],[Quantity delivered]]</f>
        <v>0.82150870406189558</v>
      </c>
      <c r="AC994" s="203">
        <f>Delivery[[#This Row],[Quantity delivered]]*Delivery[[#This Row],[Base price (Unidad)]]/60</f>
        <v>173538.79207499998</v>
      </c>
      <c r="AD994" s="204">
        <f>Delivery[[#This Row],[Nespresso total]]-Delivery[[#This Row],[Qt. Delivery * Base Price]]</f>
        <v>1607.4636311547074</v>
      </c>
      <c r="AE994" s="204">
        <f>Delivery[[#This Row],[AAA Premium (total)]]/Delivery[[#This Row],[Quantity delivered]]*60/Delivery[[#This Row],[Exchange rate VS USD]]</f>
        <v>7.0025288551899711</v>
      </c>
      <c r="AF994" s="204">
        <f>Delivery[[#This Row],[BEN premium (total)]]/Delivery[[#This Row],[Quantity delivered]]*60/Delivery[[#This Row],[Exchange rate for premiums VS USD]]</f>
        <v>2.1886854000000002</v>
      </c>
      <c r="AG994" s="204">
        <f>COUNTIF(Delivery[Delivery ID],Delivery[[#This Row],[Delivery ID]])</f>
        <v>1</v>
      </c>
      <c r="AH994" s="204">
        <f>(Delivery[[#This Row],[Nespresso total]]/SUMIF(Allocation!C:C,Delivery[Delivery ID],Allocation!H:H))/Delivery[[#This Row],[Exchange rate VS USD]]</f>
        <v>6.1860674261276527</v>
      </c>
      <c r="AI994" s="204">
        <f>(Delivery[[#This Row],[AAA Premium (total)]]/SUMIF(Allocation!C:C,Delivery[Delivery ID],Allocation!H:H))/Delivery[[#This Row],[Exchange rate VS USD]]</f>
        <v>0.43049698179856527</v>
      </c>
      <c r="AJ994" s="204">
        <f>Delivery[[#This Row],[Valor Prêmio Nespresso AAA por Kg (em US$)]]*60</f>
        <v>25.829818907913918</v>
      </c>
      <c r="AK994" s="204">
        <f>Delivery[[#This Row],[Valor Prêmio Nespresso AAA por saca (em US$)]]/1.3228/100</f>
        <v>0.19526624514600782</v>
      </c>
      <c r="AL994" s="204">
        <f>(Delivery[[#This Row],[BEN premium (total)]]/SUMIF(Allocation!C:C,Delivery[Delivery ID],Allocation!H:H))/Delivery[[#This Row],[Exchange rate for premiums VS USD]]</f>
        <v>0.13455459853025115</v>
      </c>
      <c r="AM994" s="204">
        <f>Delivery[[#This Row],[Valor Prêmio Nespresso BEN por Kg (em US$)]]*60</f>
        <v>8.0732759118150685</v>
      </c>
      <c r="AN994" s="204">
        <f>Delivery[[#This Row],[Valor Prêmio Nespresso BEN por saca (em US$)]]/1.3228/100</f>
        <v>6.1031719926028648E-2</v>
      </c>
      <c r="AO994" s="204">
        <f>SUMIF(Allocation[Delivery ID],Delivery[[#This Row],[Delivery ID]],Allocation[Quantity allocated])*16*1.3228*Delivery[[#This Row],[Exchange rate VS USD]]/60</f>
        <v>9987.3237104639993</v>
      </c>
      <c r="AP994" s="204">
        <f>Delivery[[#This Row],[AAA Premium (total)]]</f>
        <v>12188.67</v>
      </c>
      <c r="AQ994" s="204">
        <f>Delivery[[#This Row],[Valor pago pelo Cluster]]-Delivery[[#This Row],[Valor efetivamente pago pela Nespresso]]</f>
        <v>2201.3462895360008</v>
      </c>
    </row>
    <row r="995" spans="1:43" ht="15.75">
      <c r="A995" s="174" t="s">
        <v>69</v>
      </c>
      <c r="B995" s="232" t="s">
        <v>68</v>
      </c>
      <c r="C995" s="157">
        <v>1</v>
      </c>
      <c r="D995" s="157" t="s">
        <v>468</v>
      </c>
      <c r="E995" s="177" t="s">
        <v>468</v>
      </c>
      <c r="F995" s="233" t="s">
        <v>543</v>
      </c>
      <c r="G995" s="234">
        <v>43370</v>
      </c>
      <c r="H995" s="157" t="s">
        <v>1123</v>
      </c>
      <c r="I995" s="157" t="s">
        <v>572</v>
      </c>
      <c r="J995" s="237">
        <v>30280</v>
      </c>
      <c r="K995" s="175" t="s">
        <v>61</v>
      </c>
      <c r="L995" s="175" t="s">
        <v>439</v>
      </c>
      <c r="M995" s="175" t="s">
        <v>1343</v>
      </c>
      <c r="N995" s="198"/>
      <c r="O995" s="199"/>
      <c r="P995" s="181">
        <v>0</v>
      </c>
      <c r="Q995" s="177">
        <v>43362</v>
      </c>
      <c r="R995" s="178">
        <v>397.14848000000001</v>
      </c>
      <c r="S995" s="179">
        <v>201245.52</v>
      </c>
      <c r="T995" s="182" t="s">
        <v>45</v>
      </c>
      <c r="U995" s="183">
        <v>4.1456</v>
      </c>
      <c r="V995" s="179">
        <v>21351.9</v>
      </c>
      <c r="W995" s="179">
        <v>0</v>
      </c>
      <c r="X995" s="196" t="s">
        <v>45</v>
      </c>
      <c r="Y995" s="200">
        <v>4.1456</v>
      </c>
      <c r="Z995" s="220"/>
      <c r="AA995" s="201">
        <f>Delivery[[#This Row],[Quantity delivered]]*VLOOKUP(Delivery[[#This Row],[Unit]],References!$U:$X,4,FALSE)*VLOOKUP(CONCATENATE(Delivery[[#This Row],[Coffee specie]],Delivery[[#This Row],[Coffee state]]),References!$U:$X,4,FALSE)</f>
        <v>30280</v>
      </c>
      <c r="AB995" s="202">
        <f>SUMIF(Allocation!C:C,Delivery[[#This Row],[Delivery ID]],Allocation!D:D)/Delivery[[#This Row],[Quantity delivered]]</f>
        <v>0.95201453104359313</v>
      </c>
      <c r="AC995" s="203">
        <f>Delivery[[#This Row],[Quantity delivered]]*Delivery[[#This Row],[Base price (Unidad)]]/60</f>
        <v>200427.59957333334</v>
      </c>
      <c r="AD995" s="204">
        <f>Delivery[[#This Row],[Nespresso total]]-Delivery[[#This Row],[Qt. Delivery * Base Price]]</f>
        <v>817.92042666664929</v>
      </c>
      <c r="AE995" s="204">
        <f>Delivery[[#This Row],[AAA Premium (total)]]/Delivery[[#This Row],[Quantity delivered]]*60/Delivery[[#This Row],[Exchange rate VS USD]]</f>
        <v>10.205740249119629</v>
      </c>
      <c r="AF995" s="204">
        <f>Delivery[[#This Row],[BEN premium (total)]]/Delivery[[#This Row],[Quantity delivered]]*60/Delivery[[#This Row],[Exchange rate for premiums VS USD]]</f>
        <v>0</v>
      </c>
      <c r="AG995" s="204">
        <f>COUNTIF(Delivery[Delivery ID],Delivery[[#This Row],[Delivery ID]])</f>
        <v>1</v>
      </c>
      <c r="AH995" s="204">
        <f>(Delivery[[#This Row],[Nespresso total]]/SUMIF(Allocation!C:C,Delivery[Delivery ID],Allocation!H:H))/Delivery[[#This Row],[Exchange rate VS USD]]</f>
        <v>3.9161314222326671</v>
      </c>
      <c r="AI995" s="204">
        <f>(Delivery[[#This Row],[AAA Premium (total)]]/SUMIF(Allocation!C:C,Delivery[Delivery ID],Allocation!H:H))/Delivery[[#This Row],[Exchange rate VS USD]]</f>
        <v>0.41549668541376567</v>
      </c>
      <c r="AJ995" s="204">
        <f>Delivery[[#This Row],[Valor Prêmio Nespresso AAA por Kg (em US$)]]*60</f>
        <v>24.929801124825939</v>
      </c>
      <c r="AK995" s="204">
        <f>Delivery[[#This Row],[Valor Prêmio Nespresso AAA por saca (em US$)]]/1.3228/100</f>
        <v>0.18846236108879605</v>
      </c>
      <c r="AL995" s="204">
        <f>(Delivery[[#This Row],[BEN premium (total)]]/SUMIF(Allocation!C:C,Delivery[Delivery ID],Allocation!H:H))/Delivery[[#This Row],[Exchange rate for premiums VS USD]]</f>
        <v>0</v>
      </c>
      <c r="AM995" s="204">
        <f>Delivery[[#This Row],[Valor Prêmio Nespresso BEN por Kg (em US$)]]*60</f>
        <v>0</v>
      </c>
      <c r="AN995" s="204">
        <f>Delivery[[#This Row],[Valor Prêmio Nespresso BEN por saca (em US$)]]/1.3228/100</f>
        <v>0</v>
      </c>
      <c r="AO995" s="204">
        <f>SUMIF(Allocation[Delivery ID],Delivery[[#This Row],[Delivery ID]],Allocation[Quantity allocated])*16*1.3228*Delivery[[#This Row],[Exchange rate VS USD]]/60</f>
        <v>18127.248222208</v>
      </c>
      <c r="AP995" s="204">
        <f>Delivery[[#This Row],[AAA Premium (total)]]</f>
        <v>21351.9</v>
      </c>
      <c r="AQ995" s="204">
        <f>Delivery[[#This Row],[Valor pago pelo Cluster]]-Delivery[[#This Row],[Valor efetivamente pago pela Nespresso]]</f>
        <v>3224.6517777920017</v>
      </c>
    </row>
    <row r="996" spans="1:43" ht="15.75">
      <c r="A996" s="174" t="s">
        <v>69</v>
      </c>
      <c r="B996" s="232" t="s">
        <v>68</v>
      </c>
      <c r="C996" s="157">
        <v>1</v>
      </c>
      <c r="D996" s="157" t="s">
        <v>468</v>
      </c>
      <c r="E996" s="177" t="s">
        <v>468</v>
      </c>
      <c r="F996" s="233" t="s">
        <v>543</v>
      </c>
      <c r="G996" s="234">
        <v>43370</v>
      </c>
      <c r="H996" s="157" t="s">
        <v>1124</v>
      </c>
      <c r="I996" s="157" t="s">
        <v>1125</v>
      </c>
      <c r="J996" s="237">
        <v>14251.5</v>
      </c>
      <c r="K996" s="175" t="s">
        <v>61</v>
      </c>
      <c r="L996" s="175" t="s">
        <v>439</v>
      </c>
      <c r="M996" s="175" t="s">
        <v>1343</v>
      </c>
      <c r="N996" s="198"/>
      <c r="O996" s="199"/>
      <c r="P996" s="181">
        <v>0</v>
      </c>
      <c r="Q996" s="177">
        <v>43364</v>
      </c>
      <c r="R996" s="178">
        <v>408.25784999999996</v>
      </c>
      <c r="S996" s="179">
        <v>97534.98</v>
      </c>
      <c r="T996" s="182" t="s">
        <v>45</v>
      </c>
      <c r="U996" s="183">
        <v>4.0785</v>
      </c>
      <c r="V996" s="179">
        <v>9667.23</v>
      </c>
      <c r="W996" s="179">
        <v>0</v>
      </c>
      <c r="X996" s="196" t="s">
        <v>45</v>
      </c>
      <c r="Y996" s="200">
        <v>4.0785</v>
      </c>
      <c r="Z996" s="220"/>
      <c r="AA996" s="201">
        <f>Delivery[[#This Row],[Quantity delivered]]*VLOOKUP(Delivery[[#This Row],[Unit]],References!$U:$X,4,FALSE)*VLOOKUP(CONCATENATE(Delivery[[#This Row],[Coffee specie]],Delivery[[#This Row],[Coffee state]]),References!$U:$X,4,FALSE)</f>
        <v>14251.5</v>
      </c>
      <c r="AB996" s="202">
        <f>SUMIF(Allocation!C:C,Delivery[[#This Row],[Delivery ID]],Allocation!D:D)/Delivery[[#This Row],[Quantity delivered]]</f>
        <v>0.71964354629337268</v>
      </c>
      <c r="AC996" s="203">
        <f>Delivery[[#This Row],[Quantity delivered]]*Delivery[[#This Row],[Base price (Unidad)]]/60</f>
        <v>96971.445821250003</v>
      </c>
      <c r="AD996" s="204">
        <f>Delivery[[#This Row],[Nespresso total]]-Delivery[[#This Row],[Qt. Delivery * Base Price]]</f>
        <v>563.53417874999286</v>
      </c>
      <c r="AE996" s="204">
        <f>Delivery[[#This Row],[AAA Premium (total)]]/Delivery[[#This Row],[Quantity delivered]]*60/Delivery[[#This Row],[Exchange rate VS USD]]</f>
        <v>9.9791202946872399</v>
      </c>
      <c r="AF996" s="204">
        <f>Delivery[[#This Row],[BEN premium (total)]]/Delivery[[#This Row],[Quantity delivered]]*60/Delivery[[#This Row],[Exchange rate for premiums VS USD]]</f>
        <v>0</v>
      </c>
      <c r="AG996" s="204">
        <f>COUNTIF(Delivery[Delivery ID],Delivery[[#This Row],[Delivery ID]])</f>
        <v>1</v>
      </c>
      <c r="AH996" s="204">
        <f>(Delivery[[#This Row],[Nespresso total]]/SUMIF(Allocation!C:C,Delivery[Delivery ID],Allocation!H:H))/Delivery[[#This Row],[Exchange rate VS USD]]</f>
        <v>4.66349930201695</v>
      </c>
      <c r="AI996" s="204">
        <f>(Delivery[[#This Row],[AAA Premium (total)]]/SUMIF(Allocation!C:C,Delivery[Delivery ID],Allocation!H:H))/Delivery[[#This Row],[Exchange rate VS USD]]</f>
        <v>0.46222514586497399</v>
      </c>
      <c r="AJ996" s="204">
        <f>Delivery[[#This Row],[Valor Prêmio Nespresso AAA por Kg (em US$)]]*60</f>
        <v>27.733508751898441</v>
      </c>
      <c r="AK996" s="204">
        <f>Delivery[[#This Row],[Valor Prêmio Nespresso AAA por saca (em US$)]]/1.3228/100</f>
        <v>0.20965761076427608</v>
      </c>
      <c r="AL996" s="204">
        <f>(Delivery[[#This Row],[BEN premium (total)]]/SUMIF(Allocation!C:C,Delivery[Delivery ID],Allocation!H:H))/Delivery[[#This Row],[Exchange rate for premiums VS USD]]</f>
        <v>0</v>
      </c>
      <c r="AM996" s="204">
        <f>Delivery[[#This Row],[Valor Prêmio Nespresso BEN por Kg (em US$)]]*60</f>
        <v>0</v>
      </c>
      <c r="AN996" s="204">
        <f>Delivery[[#This Row],[Valor Prêmio Nespresso BEN por saca (em US$)]]/1.3228/100</f>
        <v>0</v>
      </c>
      <c r="AO996" s="204">
        <f>SUMIF(Allocation[Delivery ID],Delivery[[#This Row],[Delivery ID]],Allocation[Quantity allocated])*16*1.3228*Delivery[[#This Row],[Exchange rate VS USD]]/60</f>
        <v>7377.5370918400004</v>
      </c>
      <c r="AP996" s="204">
        <f>Delivery[[#This Row],[AAA Premium (total)]]</f>
        <v>9667.23</v>
      </c>
      <c r="AQ996" s="204">
        <f>Delivery[[#This Row],[Valor pago pelo Cluster]]-Delivery[[#This Row],[Valor efetivamente pago pela Nespresso]]</f>
        <v>2289.6929081599992</v>
      </c>
    </row>
    <row r="997" spans="1:43" ht="15.75">
      <c r="A997" s="174" t="s">
        <v>69</v>
      </c>
      <c r="B997" s="232" t="s">
        <v>68</v>
      </c>
      <c r="C997" s="157">
        <v>1</v>
      </c>
      <c r="D997" s="157" t="s">
        <v>468</v>
      </c>
      <c r="E997" s="177" t="s">
        <v>468</v>
      </c>
      <c r="F997" s="240" t="s">
        <v>543</v>
      </c>
      <c r="G997" s="234">
        <v>43736</v>
      </c>
      <c r="H997" s="157" t="s">
        <v>2178</v>
      </c>
      <c r="I997" s="236" t="s">
        <v>759</v>
      </c>
      <c r="J997" s="237">
        <v>30010</v>
      </c>
      <c r="K997" s="175" t="s">
        <v>61</v>
      </c>
      <c r="L997" s="175" t="s">
        <v>439</v>
      </c>
      <c r="M997" s="175" t="s">
        <v>1343</v>
      </c>
      <c r="N997" s="198"/>
      <c r="O997" s="199"/>
      <c r="P997" s="181">
        <v>0</v>
      </c>
      <c r="Q997" s="177">
        <v>43363</v>
      </c>
      <c r="R997" s="178">
        <v>408.00383999999997</v>
      </c>
      <c r="S997" s="179">
        <v>209455</v>
      </c>
      <c r="T997" s="182" t="s">
        <v>45</v>
      </c>
      <c r="U997" s="183">
        <v>4.1087999999999996</v>
      </c>
      <c r="V997" s="179">
        <v>20545</v>
      </c>
      <c r="W997" s="179">
        <v>6133.5464966207983</v>
      </c>
      <c r="X997" s="196" t="s">
        <v>45</v>
      </c>
      <c r="Y997" s="200">
        <v>4.1087999999999996</v>
      </c>
      <c r="Z997" s="220" t="s">
        <v>473</v>
      </c>
      <c r="AA997" s="201">
        <f>Delivery[[#This Row],[Quantity delivered]]*VLOOKUP(Delivery[[#This Row],[Unit]],References!$U:$X,4,FALSE)*VLOOKUP(CONCATENATE(Delivery[[#This Row],[Coffee specie]],Delivery[[#This Row],[Coffee state]]),References!$U:$X,4,FALSE)</f>
        <v>30010</v>
      </c>
      <c r="AB997" s="202">
        <f>SUMIF(Allocation!C:C,Delivery[[#This Row],[Delivery ID]],Allocation!D:D)/Delivery[[#This Row],[Quantity delivered]]</f>
        <v>1</v>
      </c>
      <c r="AC997" s="203">
        <f>Delivery[[#This Row],[Quantity delivered]]*Delivery[[#This Row],[Base price (Unidad)]]/60</f>
        <v>204069.92064</v>
      </c>
      <c r="AD997" s="204">
        <f>Delivery[[#This Row],[Nespresso total]]-Delivery[[#This Row],[Qt. Delivery * Base Price]]</f>
        <v>5385.0793600000034</v>
      </c>
      <c r="AE997" s="204">
        <f>Delivery[[#This Row],[AAA Premium (total)]]/Delivery[[#This Row],[Quantity delivered]]*60/Delivery[[#This Row],[Exchange rate VS USD]]</f>
        <v>9.9971543753328334</v>
      </c>
      <c r="AF997" s="204">
        <f>Delivery[[#This Row],[BEN premium (total)]]/Delivery[[#This Row],[Quantity delivered]]*60/Delivery[[#This Row],[Exchange rate for premiums VS USD]]</f>
        <v>2.9845709999999994</v>
      </c>
      <c r="AG997" s="204">
        <f>COUNTIF(Delivery[Delivery ID],Delivery[[#This Row],[Delivery ID]])</f>
        <v>1</v>
      </c>
      <c r="AH997" s="204">
        <f>(Delivery[[#This Row],[Nespresso total]]/SUMIF(Allocation!C:C,Delivery[Delivery ID],Allocation!H:H))/Delivery[[#This Row],[Exchange rate VS USD]]</f>
        <v>3.7483213933938062</v>
      </c>
      <c r="AI997" s="204">
        <f>(Delivery[[#This Row],[AAA Premium (total)]]/SUMIF(Allocation!C:C,Delivery[Delivery ID],Allocation!H:H))/Delivery[[#This Row],[Exchange rate VS USD]]</f>
        <v>0.36766495441634606</v>
      </c>
      <c r="AJ997" s="204">
        <f>Delivery[[#This Row],[Valor Prêmio Nespresso AAA por Kg (em US$)]]*60</f>
        <v>22.059897264980762</v>
      </c>
      <c r="AK997" s="204">
        <f>Delivery[[#This Row],[Valor Prêmio Nespresso AAA por saca (em US$)]]/1.3228/100</f>
        <v>0.16676668630919839</v>
      </c>
      <c r="AL997" s="204">
        <f>(Delivery[[#This Row],[BEN premium (total)]]/SUMIF(Allocation!C:C,Delivery[Delivery ID],Allocation!H:H))/Delivery[[#This Row],[Exchange rate for premiums VS USD]]</f>
        <v>0.10976345062499998</v>
      </c>
      <c r="AM997" s="204">
        <f>Delivery[[#This Row],[Valor Prêmio Nespresso BEN por Kg (em US$)]]*60</f>
        <v>6.5858070374999986</v>
      </c>
      <c r="AN997" s="204">
        <f>Delivery[[#This Row],[Valor Prêmio Nespresso BEN por saca (em US$)]]/1.3228/100</f>
        <v>4.9786869046719071E-2</v>
      </c>
      <c r="AO997" s="204">
        <f>SUMIF(Allocation[Delivery ID],Delivery[[#This Row],[Delivery ID]],Allocation[Quantity allocated])*16*1.3228*Delivery[[#This Row],[Exchange rate VS USD]]/60</f>
        <v>19711.370854399996</v>
      </c>
      <c r="AP997" s="204">
        <f>Delivery[[#This Row],[AAA Premium (total)]]</f>
        <v>20545</v>
      </c>
      <c r="AQ997" s="204">
        <f>Delivery[[#This Row],[Valor pago pelo Cluster]]-Delivery[[#This Row],[Valor efetivamente pago pela Nespresso]]</f>
        <v>833.62914560000354</v>
      </c>
    </row>
    <row r="998" spans="1:43" ht="15.75">
      <c r="A998" s="174" t="s">
        <v>69</v>
      </c>
      <c r="B998" s="232" t="s">
        <v>68</v>
      </c>
      <c r="C998" s="157">
        <v>1</v>
      </c>
      <c r="D998" s="157" t="s">
        <v>468</v>
      </c>
      <c r="E998" s="177" t="s">
        <v>468</v>
      </c>
      <c r="F998" s="233" t="s">
        <v>543</v>
      </c>
      <c r="G998" s="234">
        <v>43371</v>
      </c>
      <c r="H998" s="157" t="s">
        <v>1126</v>
      </c>
      <c r="I998" s="157" t="s">
        <v>672</v>
      </c>
      <c r="J998" s="237">
        <v>30060</v>
      </c>
      <c r="K998" s="175" t="s">
        <v>61</v>
      </c>
      <c r="L998" s="175" t="s">
        <v>439</v>
      </c>
      <c r="M998" s="175" t="s">
        <v>1343</v>
      </c>
      <c r="N998" s="198"/>
      <c r="O998" s="199"/>
      <c r="P998" s="181">
        <v>0</v>
      </c>
      <c r="Q998" s="177">
        <v>43364</v>
      </c>
      <c r="R998" s="178">
        <v>405.24880500000006</v>
      </c>
      <c r="S998" s="179">
        <v>190657.50540689327</v>
      </c>
      <c r="T998" s="182" t="s">
        <v>45</v>
      </c>
      <c r="U998" s="183">
        <v>4.0749000000000004</v>
      </c>
      <c r="V998" s="179">
        <v>14260</v>
      </c>
      <c r="W998" s="179">
        <v>3791.2472965533607</v>
      </c>
      <c r="X998" s="196" t="s">
        <v>45</v>
      </c>
      <c r="Y998" s="200">
        <v>4.0749000000000004</v>
      </c>
      <c r="Z998" s="220" t="s">
        <v>473</v>
      </c>
      <c r="AA998" s="201">
        <f>Delivery[[#This Row],[Quantity delivered]]*VLOOKUP(Delivery[[#This Row],[Unit]],References!$U:$X,4,FALSE)*VLOOKUP(CONCATENATE(Delivery[[#This Row],[Coffee specie]],Delivery[[#This Row],[Coffee state]]),References!$U:$X,4,FALSE)</f>
        <v>30060</v>
      </c>
      <c r="AB998" s="202">
        <f>SUMIF(Allocation!C:C,Delivery[[#This Row],[Delivery ID]],Allocation!D:D)/Delivery[[#This Row],[Quantity delivered]]</f>
        <v>0.62245508982035924</v>
      </c>
      <c r="AC998" s="203">
        <f>Delivery[[#This Row],[Quantity delivered]]*Delivery[[#This Row],[Base price (Unidad)]]/60</f>
        <v>203029.65130500001</v>
      </c>
      <c r="AD998" s="204">
        <f>Delivery[[#This Row],[Nespresso total]]-Delivery[[#This Row],[Qt. Delivery * Base Price]]</f>
        <v>-12372.145898106741</v>
      </c>
      <c r="AE998" s="204">
        <f>Delivery[[#This Row],[AAA Premium (total)]]/Delivery[[#This Row],[Quantity delivered]]*60/Delivery[[#This Row],[Exchange rate VS USD]]</f>
        <v>6.9849748097610753</v>
      </c>
      <c r="AF998" s="204">
        <f>Delivery[[#This Row],[BEN premium (total)]]/Delivery[[#This Row],[Quantity delivered]]*60/Delivery[[#This Row],[Exchange rate for premiums VS USD]]</f>
        <v>1.8570664000000001</v>
      </c>
      <c r="AG998" s="204">
        <f>COUNTIF(Delivery[Delivery ID],Delivery[[#This Row],[Delivery ID]])</f>
        <v>1</v>
      </c>
      <c r="AH998" s="204">
        <f>(Delivery[[#This Row],[Nespresso total]]/SUMIF(Allocation!C:C,Delivery[Delivery ID],Allocation!H:H))/Delivery[[#This Row],[Exchange rate VS USD]]</f>
        <v>8.9307627542604706</v>
      </c>
      <c r="AI998" s="204">
        <f>(Delivery[[#This Row],[AAA Premium (total)]]/SUMIF(Allocation!C:C,Delivery[Delivery ID],Allocation!H:H))/Delivery[[#This Row],[Exchange rate VS USD]]</f>
        <v>0.6679657147719601</v>
      </c>
      <c r="AJ998" s="204">
        <f>Delivery[[#This Row],[Valor Prêmio Nespresso AAA por Kg (em US$)]]*60</f>
        <v>40.077942886317608</v>
      </c>
      <c r="AK998" s="204">
        <f>Delivery[[#This Row],[Valor Prêmio Nespresso AAA por saca (em US$)]]/1.3228/100</f>
        <v>0.30297809862653169</v>
      </c>
      <c r="AL998" s="204">
        <f>(Delivery[[#This Row],[BEN premium (total)]]/SUMIF(Allocation!C:C,Delivery[Delivery ID],Allocation!H:H))/Delivery[[#This Row],[Exchange rate for premiums VS USD]]</f>
        <v>0.17758928543615193</v>
      </c>
      <c r="AM998" s="204">
        <f>Delivery[[#This Row],[Valor Prêmio Nespresso BEN por Kg (em US$)]]*60</f>
        <v>10.655357126169116</v>
      </c>
      <c r="AN998" s="204">
        <f>Delivery[[#This Row],[Valor Prêmio Nespresso BEN por saca (em US$)]]/1.3228/100</f>
        <v>8.0551535577329275E-2</v>
      </c>
      <c r="AO998" s="204">
        <f>SUMIF(Allocation[Delivery ID],Delivery[[#This Row],[Delivery ID]],Allocation[Quantity allocated])*16*1.3228*Delivery[[#This Row],[Exchange rate VS USD]]/60</f>
        <v>7530.5773266880005</v>
      </c>
      <c r="AP998" s="204">
        <f>Delivery[[#This Row],[AAA Premium (total)]]</f>
        <v>14260</v>
      </c>
      <c r="AQ998" s="204">
        <f>Delivery[[#This Row],[Valor pago pelo Cluster]]-Delivery[[#This Row],[Valor efetivamente pago pela Nespresso]]</f>
        <v>6729.4226733119995</v>
      </c>
    </row>
    <row r="999" spans="1:43" ht="15.75">
      <c r="A999" s="174" t="s">
        <v>69</v>
      </c>
      <c r="B999" s="232" t="s">
        <v>68</v>
      </c>
      <c r="C999" s="157">
        <v>1</v>
      </c>
      <c r="D999" s="157" t="s">
        <v>468</v>
      </c>
      <c r="E999" s="177" t="s">
        <v>468</v>
      </c>
      <c r="F999" s="233" t="s">
        <v>543</v>
      </c>
      <c r="G999" s="234">
        <v>43371</v>
      </c>
      <c r="H999" s="157" t="s">
        <v>1127</v>
      </c>
      <c r="I999" s="157" t="s">
        <v>672</v>
      </c>
      <c r="J999" s="237">
        <v>30020</v>
      </c>
      <c r="K999" s="175" t="s">
        <v>61</v>
      </c>
      <c r="L999" s="175" t="s">
        <v>439</v>
      </c>
      <c r="M999" s="175" t="s">
        <v>1343</v>
      </c>
      <c r="N999" s="198"/>
      <c r="O999" s="199"/>
      <c r="P999" s="181">
        <v>0</v>
      </c>
      <c r="Q999" s="177">
        <v>43364</v>
      </c>
      <c r="R999" s="178">
        <v>405.24880500000006</v>
      </c>
      <c r="S999" s="179">
        <v>190667.59522005776</v>
      </c>
      <c r="T999" s="182" t="s">
        <v>45</v>
      </c>
      <c r="U999" s="183">
        <v>4.0749000000000004</v>
      </c>
      <c r="V999" s="179">
        <v>14260</v>
      </c>
      <c r="W999" s="179">
        <v>3786.2023899711207</v>
      </c>
      <c r="X999" s="196" t="s">
        <v>45</v>
      </c>
      <c r="Y999" s="200">
        <v>4.0749000000000004</v>
      </c>
      <c r="Z999" s="220" t="s">
        <v>473</v>
      </c>
      <c r="AA999" s="201">
        <f>Delivery[[#This Row],[Quantity delivered]]*VLOOKUP(Delivery[[#This Row],[Unit]],References!$U:$X,4,FALSE)*VLOOKUP(CONCATENATE(Delivery[[#This Row],[Coffee specie]],Delivery[[#This Row],[Coffee state]]),References!$U:$X,4,FALSE)</f>
        <v>30020</v>
      </c>
      <c r="AB999" s="202">
        <f>SUMIF(Allocation!C:C,Delivery[[#This Row],[Delivery ID]],Allocation!D:D)/Delivery[[#This Row],[Quantity delivered]]</f>
        <v>0.62328447701532308</v>
      </c>
      <c r="AC999" s="203">
        <f>Delivery[[#This Row],[Quantity delivered]]*Delivery[[#This Row],[Base price (Unidad)]]/60</f>
        <v>202759.48543500004</v>
      </c>
      <c r="AD999" s="204">
        <f>Delivery[[#This Row],[Nespresso total]]-Delivery[[#This Row],[Qt. Delivery * Base Price]]</f>
        <v>-12091.890214942279</v>
      </c>
      <c r="AE999" s="204">
        <f>Delivery[[#This Row],[AAA Premium (total)]]/Delivery[[#This Row],[Quantity delivered]]*60/Delivery[[#This Row],[Exchange rate VS USD]]</f>
        <v>6.994281904777413</v>
      </c>
      <c r="AF999" s="204">
        <f>Delivery[[#This Row],[BEN premium (total)]]/Delivery[[#This Row],[Quantity delivered]]*60/Delivery[[#This Row],[Exchange rate for premiums VS USD]]</f>
        <v>1.8570664000000001</v>
      </c>
      <c r="AG999" s="204">
        <f>COUNTIF(Delivery[Delivery ID],Delivery[[#This Row],[Delivery ID]])</f>
        <v>1</v>
      </c>
      <c r="AH999" s="204">
        <f>(Delivery[[#This Row],[Nespresso total]]/SUMIF(Allocation!C:C,Delivery[Delivery ID],Allocation!H:H))/Delivery[[#This Row],[Exchange rate VS USD]]</f>
        <v>8.9312353804359503</v>
      </c>
      <c r="AI999" s="204">
        <f>(Delivery[[#This Row],[AAA Premium (total)]]/SUMIF(Allocation!C:C,Delivery[Delivery ID],Allocation!H:H))/Delivery[[#This Row],[Exchange rate VS USD]]</f>
        <v>0.6679657147719601</v>
      </c>
      <c r="AJ999" s="204">
        <f>Delivery[[#This Row],[Valor Prêmio Nespresso AAA por Kg (em US$)]]*60</f>
        <v>40.077942886317608</v>
      </c>
      <c r="AK999" s="204">
        <f>Delivery[[#This Row],[Valor Prêmio Nespresso AAA por saca (em US$)]]/1.3228/100</f>
        <v>0.30297809862653169</v>
      </c>
      <c r="AL999" s="204">
        <f>(Delivery[[#This Row],[BEN premium (total)]]/SUMIF(Allocation!C:C,Delivery[Delivery ID],Allocation!H:H))/Delivery[[#This Row],[Exchange rate for premiums VS USD]]</f>
        <v>0.17735297234841257</v>
      </c>
      <c r="AM999" s="204">
        <f>Delivery[[#This Row],[Valor Prêmio Nespresso BEN por Kg (em US$)]]*60</f>
        <v>10.641178340904755</v>
      </c>
      <c r="AN999" s="204">
        <f>Delivery[[#This Row],[Valor Prêmio Nespresso BEN por saca (em US$)]]/1.3228/100</f>
        <v>8.0444347905237037E-2</v>
      </c>
      <c r="AO999" s="204">
        <f>SUMIF(Allocation[Delivery ID],Delivery[[#This Row],[Delivery ID]],Allocation[Quantity allocated])*16*1.3228*Delivery[[#This Row],[Exchange rate VS USD]]/60</f>
        <v>7530.5773266880005</v>
      </c>
      <c r="AP999" s="204">
        <f>Delivery[[#This Row],[AAA Premium (total)]]</f>
        <v>14260</v>
      </c>
      <c r="AQ999" s="204">
        <f>Delivery[[#This Row],[Valor pago pelo Cluster]]-Delivery[[#This Row],[Valor efetivamente pago pela Nespresso]]</f>
        <v>6729.4226733119995</v>
      </c>
    </row>
    <row r="1000" spans="1:43" ht="15.75">
      <c r="A1000" s="174" t="s">
        <v>69</v>
      </c>
      <c r="B1000" s="232" t="s">
        <v>68</v>
      </c>
      <c r="C1000" s="157">
        <v>1</v>
      </c>
      <c r="D1000" s="157" t="s">
        <v>468</v>
      </c>
      <c r="E1000" s="177" t="s">
        <v>468</v>
      </c>
      <c r="F1000" s="233" t="s">
        <v>543</v>
      </c>
      <c r="G1000" s="234">
        <v>43370</v>
      </c>
      <c r="H1000" s="157" t="s">
        <v>1128</v>
      </c>
      <c r="I1000" s="157" t="s">
        <v>1107</v>
      </c>
      <c r="J1000" s="237">
        <v>32600</v>
      </c>
      <c r="K1000" s="175" t="s">
        <v>61</v>
      </c>
      <c r="L1000" s="175" t="s">
        <v>439</v>
      </c>
      <c r="M1000" s="175" t="s">
        <v>1343</v>
      </c>
      <c r="N1000" s="198"/>
      <c r="O1000" s="199"/>
      <c r="P1000" s="181">
        <v>0</v>
      </c>
      <c r="Q1000" s="177">
        <v>43362</v>
      </c>
      <c r="R1000" s="178">
        <v>397.85900000000004</v>
      </c>
      <c r="S1000" s="179">
        <v>211249.82993924266</v>
      </c>
      <c r="T1000" s="182" t="s">
        <v>45</v>
      </c>
      <c r="U1000" s="183">
        <v>4.1336000000000004</v>
      </c>
      <c r="V1000" s="179">
        <v>22459.226666666669</v>
      </c>
      <c r="W1000" s="179">
        <v>5958.3250303786663</v>
      </c>
      <c r="X1000" s="196" t="s">
        <v>45</v>
      </c>
      <c r="Y1000" s="200">
        <v>4.1336000000000004</v>
      </c>
      <c r="Z1000" s="220" t="s">
        <v>473</v>
      </c>
      <c r="AA1000" s="201">
        <f>Delivery[[#This Row],[Quantity delivered]]*VLOOKUP(Delivery[[#This Row],[Unit]],References!$U:$X,4,FALSE)*VLOOKUP(CONCATENATE(Delivery[[#This Row],[Coffee specie]],Delivery[[#This Row],[Coffee state]]),References!$U:$X,4,FALSE)</f>
        <v>32600</v>
      </c>
      <c r="AB1000" s="202">
        <f>SUMIF(Allocation!C:C,Delivery[[#This Row],[Delivery ID]],Allocation!D:D)/Delivery[[#This Row],[Quantity delivered]]</f>
        <v>1</v>
      </c>
      <c r="AC1000" s="203">
        <f>Delivery[[#This Row],[Quantity delivered]]*Delivery[[#This Row],[Base price (Unidad)]]/60</f>
        <v>216170.05666666667</v>
      </c>
      <c r="AD1000" s="204">
        <f>Delivery[[#This Row],[Nespresso total]]-Delivery[[#This Row],[Qt. Delivery * Base Price]]</f>
        <v>-4920.2267274240148</v>
      </c>
      <c r="AE1000" s="204">
        <f>Delivery[[#This Row],[AAA Premium (total)]]/Delivery[[#This Row],[Quantity delivered]]*60/Delivery[[#This Row],[Exchange rate VS USD]]</f>
        <v>10</v>
      </c>
      <c r="AF1000" s="204">
        <f>Delivery[[#This Row],[BEN premium (total)]]/Delivery[[#This Row],[Quantity delivered]]*60/Delivery[[#This Row],[Exchange rate for premiums VS USD]]</f>
        <v>2.6529519999999995</v>
      </c>
      <c r="AG1000" s="204">
        <f>COUNTIF(Delivery[Delivery ID],Delivery[[#This Row],[Delivery ID]])</f>
        <v>1</v>
      </c>
      <c r="AH1000" s="204">
        <f>(Delivery[[#This Row],[Nespresso total]]/SUMIF(Allocation!C:C,Delivery[Delivery ID],Allocation!H:H))/Delivery[[#This Row],[Exchange rate VS USD]]</f>
        <v>3.896129655627723</v>
      </c>
      <c r="AI1000" s="204">
        <f>(Delivery[[#This Row],[AAA Premium (total)]]/SUMIF(Allocation!C:C,Delivery[Delivery ID],Allocation!H:H))/Delivery[[#This Row],[Exchange rate VS USD]]</f>
        <v>0.41422073136642018</v>
      </c>
      <c r="AJ1000" s="204">
        <f>Delivery[[#This Row],[Valor Prêmio Nespresso AAA por Kg (em US$)]]*60</f>
        <v>24.853243881985211</v>
      </c>
      <c r="AK1000" s="204">
        <f>Delivery[[#This Row],[Valor Prêmio Nespresso AAA por saca (em US$)]]/1.3228/100</f>
        <v>0.18788360963097378</v>
      </c>
      <c r="AL1000" s="204">
        <f>(Delivery[[#This Row],[BEN premium (total)]]/SUMIF(Allocation!C:C,Delivery[Delivery ID],Allocation!H:H))/Delivery[[#This Row],[Exchange rate for premiums VS USD]]</f>
        <v>0.1098907717720007</v>
      </c>
      <c r="AM1000" s="204">
        <f>Delivery[[#This Row],[Valor Prêmio Nespresso BEN por Kg (em US$)]]*60</f>
        <v>6.5934463063200415</v>
      </c>
      <c r="AN1000" s="204">
        <f>Delivery[[#This Row],[Valor Prêmio Nespresso BEN por saca (em US$)]]/1.3228/100</f>
        <v>4.9844619793771104E-2</v>
      </c>
      <c r="AO1000" s="204">
        <f>SUMIF(Allocation[Delivery ID],Delivery[[#This Row],[Delivery ID]],Allocation[Quantity allocated])*16*1.3228*Delivery[[#This Row],[Exchange rate VS USD]]/60</f>
        <v>19126.076371029336</v>
      </c>
      <c r="AP1000" s="204">
        <f>Delivery[[#This Row],[AAA Premium (total)]]</f>
        <v>22459.226666666669</v>
      </c>
      <c r="AQ1000" s="204">
        <f>Delivery[[#This Row],[Valor pago pelo Cluster]]-Delivery[[#This Row],[Valor efetivamente pago pela Nespresso]]</f>
        <v>3333.1502956373333</v>
      </c>
    </row>
    <row r="1001" spans="1:43" ht="15.75">
      <c r="A1001" s="174" t="s">
        <v>69</v>
      </c>
      <c r="B1001" s="232" t="s">
        <v>68</v>
      </c>
      <c r="C1001" s="157">
        <v>1</v>
      </c>
      <c r="D1001" s="157" t="s">
        <v>468</v>
      </c>
      <c r="E1001" s="177" t="s">
        <v>468</v>
      </c>
      <c r="F1001" s="233" t="s">
        <v>543</v>
      </c>
      <c r="G1001" s="234">
        <v>43370</v>
      </c>
      <c r="H1001" s="157" t="s">
        <v>1129</v>
      </c>
      <c r="I1001" s="157" t="s">
        <v>1107</v>
      </c>
      <c r="J1001" s="237">
        <v>32640</v>
      </c>
      <c r="K1001" s="175" t="s">
        <v>61</v>
      </c>
      <c r="L1001" s="175" t="s">
        <v>439</v>
      </c>
      <c r="M1001" s="175" t="s">
        <v>1343</v>
      </c>
      <c r="N1001" s="198"/>
      <c r="O1001" s="199"/>
      <c r="P1001" s="181">
        <v>0</v>
      </c>
      <c r="Q1001" s="177">
        <v>43362</v>
      </c>
      <c r="R1001" s="178">
        <v>397.85900000000004</v>
      </c>
      <c r="S1001" s="179">
        <v>211235.20828272641</v>
      </c>
      <c r="T1001" s="182" t="s">
        <v>45</v>
      </c>
      <c r="U1001" s="183">
        <v>4.1336000000000004</v>
      </c>
      <c r="V1001" s="179">
        <v>22486.784000000003</v>
      </c>
      <c r="W1001" s="179">
        <v>5965.6358586368005</v>
      </c>
      <c r="X1001" s="196" t="s">
        <v>45</v>
      </c>
      <c r="Y1001" s="200">
        <v>4.1336000000000004</v>
      </c>
      <c r="Z1001" s="220" t="s">
        <v>473</v>
      </c>
      <c r="AA1001" s="201">
        <f>Delivery[[#This Row],[Quantity delivered]]*VLOOKUP(Delivery[[#This Row],[Unit]],References!$U:$X,4,FALSE)*VLOOKUP(CONCATENATE(Delivery[[#This Row],[Coffee specie]],Delivery[[#This Row],[Coffee state]]),References!$U:$X,4,FALSE)</f>
        <v>32640</v>
      </c>
      <c r="AB1001" s="202">
        <f>SUMIF(Allocation!C:C,Delivery[[#This Row],[Delivery ID]],Allocation!D:D)/Delivery[[#This Row],[Quantity delivered]]</f>
        <v>1</v>
      </c>
      <c r="AC1001" s="203">
        <f>Delivery[[#This Row],[Quantity delivered]]*Delivery[[#This Row],[Base price (Unidad)]]/60</f>
        <v>216435.29600000003</v>
      </c>
      <c r="AD1001" s="204">
        <f>Delivery[[#This Row],[Nespresso total]]-Delivery[[#This Row],[Qt. Delivery * Base Price]]</f>
        <v>-5200.0877172736218</v>
      </c>
      <c r="AE1001" s="204">
        <f>Delivery[[#This Row],[AAA Premium (total)]]/Delivery[[#This Row],[Quantity delivered]]*60/Delivery[[#This Row],[Exchange rate VS USD]]</f>
        <v>10</v>
      </c>
      <c r="AF1001" s="204">
        <f>Delivery[[#This Row],[BEN premium (total)]]/Delivery[[#This Row],[Quantity delivered]]*60/Delivery[[#This Row],[Exchange rate for premiums VS USD]]</f>
        <v>2.652952</v>
      </c>
      <c r="AG1001" s="204">
        <f>COUNTIF(Delivery[Delivery ID],Delivery[[#This Row],[Delivery ID]])</f>
        <v>1</v>
      </c>
      <c r="AH1001" s="204">
        <f>(Delivery[[#This Row],[Nespresso total]]/SUMIF(Allocation!C:C,Delivery[Delivery ID],Allocation!H:H))/Delivery[[#This Row],[Exchange rate VS USD]]</f>
        <v>3.895859985022148</v>
      </c>
      <c r="AI1001" s="204">
        <f>(Delivery[[#This Row],[AAA Premium (total)]]/SUMIF(Allocation!C:C,Delivery[Delivery ID],Allocation!H:H))/Delivery[[#This Row],[Exchange rate VS USD]]</f>
        <v>0.41472897766257527</v>
      </c>
      <c r="AJ1001" s="204">
        <f>Delivery[[#This Row],[Valor Prêmio Nespresso AAA por Kg (em US$)]]*60</f>
        <v>24.883738659754517</v>
      </c>
      <c r="AK1001" s="204">
        <f>Delivery[[#This Row],[Valor Prêmio Nespresso AAA por saca (em US$)]]/1.3228/100</f>
        <v>0.18811414166733079</v>
      </c>
      <c r="AL1001" s="204">
        <f>(Delivery[[#This Row],[BEN premium (total)]]/SUMIF(Allocation!C:C,Delivery[Delivery ID],Allocation!H:H))/Delivery[[#This Row],[Exchange rate for premiums VS USD]]</f>
        <v>0.11002560707478844</v>
      </c>
      <c r="AM1001" s="204">
        <f>Delivery[[#This Row],[Valor Prêmio Nespresso BEN por Kg (em US$)]]*60</f>
        <v>6.601536424487306</v>
      </c>
      <c r="AN1001" s="204">
        <f>Delivery[[#This Row],[Valor Prêmio Nespresso BEN por saca (em US$)]]/1.3228/100</f>
        <v>4.9905778836462848E-2</v>
      </c>
      <c r="AO1001" s="204">
        <f>SUMIF(Allocation[Delivery ID],Delivery[[#This Row],[Delivery ID]],Allocation[Quantity allocated])*16*1.3228*Delivery[[#This Row],[Exchange rate VS USD]]/60</f>
        <v>19126.076371029336</v>
      </c>
      <c r="AP1001" s="204">
        <f>Delivery[[#This Row],[AAA Premium (total)]]</f>
        <v>22486.784000000003</v>
      </c>
      <c r="AQ1001" s="204">
        <f>Delivery[[#This Row],[Valor pago pelo Cluster]]-Delivery[[#This Row],[Valor efetivamente pago pela Nespresso]]</f>
        <v>3360.7076289706674</v>
      </c>
    </row>
    <row r="1002" spans="1:43" ht="15.75">
      <c r="A1002" s="174" t="s">
        <v>69</v>
      </c>
      <c r="B1002" s="232" t="s">
        <v>68</v>
      </c>
      <c r="C1002" s="157">
        <v>1</v>
      </c>
      <c r="D1002" s="157" t="s">
        <v>468</v>
      </c>
      <c r="E1002" s="177" t="s">
        <v>468</v>
      </c>
      <c r="F1002" s="233" t="s">
        <v>543</v>
      </c>
      <c r="G1002" s="234">
        <v>43370</v>
      </c>
      <c r="H1002" s="157" t="s">
        <v>1130</v>
      </c>
      <c r="I1002" s="157" t="s">
        <v>1107</v>
      </c>
      <c r="J1002" s="237">
        <v>32660</v>
      </c>
      <c r="K1002" s="175" t="s">
        <v>61</v>
      </c>
      <c r="L1002" s="175" t="s">
        <v>439</v>
      </c>
      <c r="M1002" s="175" t="s">
        <v>1343</v>
      </c>
      <c r="N1002" s="198"/>
      <c r="O1002" s="199"/>
      <c r="P1002" s="181">
        <v>0</v>
      </c>
      <c r="Q1002" s="177">
        <v>43362</v>
      </c>
      <c r="R1002" s="178">
        <v>397.85900000000004</v>
      </c>
      <c r="S1002" s="179">
        <v>211638.88745446826</v>
      </c>
      <c r="T1002" s="182" t="s">
        <v>45</v>
      </c>
      <c r="U1002" s="183">
        <v>4.1336000000000004</v>
      </c>
      <c r="V1002" s="179">
        <v>22500.562666666669</v>
      </c>
      <c r="W1002" s="179">
        <v>5969.2912727658668</v>
      </c>
      <c r="X1002" s="196" t="s">
        <v>45</v>
      </c>
      <c r="Y1002" s="200">
        <v>4.1336000000000004</v>
      </c>
      <c r="Z1002" s="220" t="s">
        <v>473</v>
      </c>
      <c r="AA1002" s="201">
        <f>Delivery[[#This Row],[Quantity delivered]]*VLOOKUP(Delivery[[#This Row],[Unit]],References!$U:$X,4,FALSE)*VLOOKUP(CONCATENATE(Delivery[[#This Row],[Coffee specie]],Delivery[[#This Row],[Coffee state]]),References!$U:$X,4,FALSE)</f>
        <v>32660</v>
      </c>
      <c r="AB1002" s="202">
        <f>SUMIF(Allocation!C:C,Delivery[[#This Row],[Delivery ID]],Allocation!D:D)/Delivery[[#This Row],[Quantity delivered]]</f>
        <v>1</v>
      </c>
      <c r="AC1002" s="203">
        <f>Delivery[[#This Row],[Quantity delivered]]*Delivery[[#This Row],[Base price (Unidad)]]/60</f>
        <v>216567.9156666667</v>
      </c>
      <c r="AD1002" s="204">
        <f>Delivery[[#This Row],[Nespresso total]]-Delivery[[#This Row],[Qt. Delivery * Base Price]]</f>
        <v>-4929.0282121984346</v>
      </c>
      <c r="AE1002" s="204">
        <f>Delivery[[#This Row],[AAA Premium (total)]]/Delivery[[#This Row],[Quantity delivered]]*60/Delivery[[#This Row],[Exchange rate VS USD]]</f>
        <v>10</v>
      </c>
      <c r="AF1002" s="204">
        <f>Delivery[[#This Row],[BEN premium (total)]]/Delivery[[#This Row],[Quantity delivered]]*60/Delivery[[#This Row],[Exchange rate for premiums VS USD]]</f>
        <v>2.652952</v>
      </c>
      <c r="AG1002" s="204">
        <f>COUNTIF(Delivery[Delivery ID],Delivery[[#This Row],[Delivery ID]])</f>
        <v>1</v>
      </c>
      <c r="AH1002" s="204">
        <f>(Delivery[[#This Row],[Nespresso total]]/SUMIF(Allocation!C:C,Delivery[Delivery ID],Allocation!H:H))/Delivery[[#This Row],[Exchange rate VS USD]]</f>
        <v>3.9033051337014864</v>
      </c>
      <c r="AI1002" s="204">
        <f>(Delivery[[#This Row],[AAA Premium (total)]]/SUMIF(Allocation!C:C,Delivery[Delivery ID],Allocation!H:H))/Delivery[[#This Row],[Exchange rate VS USD]]</f>
        <v>0.41498310081065287</v>
      </c>
      <c r="AJ1002" s="204">
        <f>Delivery[[#This Row],[Valor Prêmio Nespresso AAA por Kg (em US$)]]*60</f>
        <v>24.898986048639173</v>
      </c>
      <c r="AK1002" s="204">
        <f>Delivery[[#This Row],[Valor Prêmio Nespresso AAA por saca (em US$)]]/1.3228/100</f>
        <v>0.18822940768550933</v>
      </c>
      <c r="AL1002" s="204">
        <f>(Delivery[[#This Row],[BEN premium (total)]]/SUMIF(Allocation!C:C,Delivery[Delivery ID],Allocation!H:H))/Delivery[[#This Row],[Exchange rate for premiums VS USD]]</f>
        <v>0.11009302472618231</v>
      </c>
      <c r="AM1002" s="204">
        <f>Delivery[[#This Row],[Valor Prêmio Nespresso BEN por Kg (em US$)]]*60</f>
        <v>6.6055814835709388</v>
      </c>
      <c r="AN1002" s="204">
        <f>Delivery[[#This Row],[Valor Prêmio Nespresso BEN por saca (em US$)]]/1.3228/100</f>
        <v>4.9936358357808734E-2</v>
      </c>
      <c r="AO1002" s="204">
        <f>SUMIF(Allocation[Delivery ID],Delivery[[#This Row],[Delivery ID]],Allocation[Quantity allocated])*16*1.3228*Delivery[[#This Row],[Exchange rate VS USD]]/60</f>
        <v>19126.076371029336</v>
      </c>
      <c r="AP1002" s="204">
        <f>Delivery[[#This Row],[AAA Premium (total)]]</f>
        <v>22500.562666666669</v>
      </c>
      <c r="AQ1002" s="204">
        <f>Delivery[[#This Row],[Valor pago pelo Cluster]]-Delivery[[#This Row],[Valor efetivamente pago pela Nespresso]]</f>
        <v>3374.4862956373327</v>
      </c>
    </row>
    <row r="1003" spans="1:43" ht="15.75">
      <c r="A1003" s="174" t="s">
        <v>69</v>
      </c>
      <c r="B1003" s="232" t="s">
        <v>68</v>
      </c>
      <c r="C1003" s="157">
        <v>1</v>
      </c>
      <c r="D1003" s="157" t="s">
        <v>468</v>
      </c>
      <c r="E1003" s="177" t="s">
        <v>468</v>
      </c>
      <c r="F1003" s="233" t="s">
        <v>543</v>
      </c>
      <c r="G1003" s="234">
        <v>43369</v>
      </c>
      <c r="H1003" s="157" t="s">
        <v>1131</v>
      </c>
      <c r="I1003" s="157" t="s">
        <v>1107</v>
      </c>
      <c r="J1003" s="237">
        <v>30020</v>
      </c>
      <c r="K1003" s="175" t="s">
        <v>61</v>
      </c>
      <c r="L1003" s="175" t="s">
        <v>439</v>
      </c>
      <c r="M1003" s="175" t="s">
        <v>1343</v>
      </c>
      <c r="N1003" s="198"/>
      <c r="O1003" s="199"/>
      <c r="P1003" s="181">
        <v>0</v>
      </c>
      <c r="Q1003" s="177">
        <v>43362</v>
      </c>
      <c r="R1003" s="178">
        <v>397.85900000000004</v>
      </c>
      <c r="S1003" s="179">
        <v>194520.44678454188</v>
      </c>
      <c r="T1003" s="182" t="s">
        <v>45</v>
      </c>
      <c r="U1003" s="183">
        <v>4.1336000000000004</v>
      </c>
      <c r="V1003" s="179">
        <v>20670</v>
      </c>
      <c r="W1003" s="179">
        <v>5486.7766077290671</v>
      </c>
      <c r="X1003" s="196" t="s">
        <v>45</v>
      </c>
      <c r="Y1003" s="200">
        <v>4.1336000000000004</v>
      </c>
      <c r="Z1003" s="220" t="s">
        <v>473</v>
      </c>
      <c r="AA1003" s="201">
        <f>Delivery[[#This Row],[Quantity delivered]]*VLOOKUP(Delivery[[#This Row],[Unit]],References!$U:$X,4,FALSE)*VLOOKUP(CONCATENATE(Delivery[[#This Row],[Coffee specie]],Delivery[[#This Row],[Coffee state]]),References!$U:$X,4,FALSE)</f>
        <v>30020</v>
      </c>
      <c r="AB1003" s="202">
        <f>SUMIF(Allocation!C:C,Delivery[[#This Row],[Delivery ID]],Allocation!D:D)/Delivery[[#This Row],[Quantity delivered]]</f>
        <v>0.74193870752831448</v>
      </c>
      <c r="AC1003" s="203">
        <f>Delivery[[#This Row],[Quantity delivered]]*Delivery[[#This Row],[Base price (Unidad)]]/60</f>
        <v>199062.11966666669</v>
      </c>
      <c r="AD1003" s="204">
        <f>Delivery[[#This Row],[Nespresso total]]-Delivery[[#This Row],[Qt. Delivery * Base Price]]</f>
        <v>-4541.6728821248107</v>
      </c>
      <c r="AE1003" s="204">
        <f>Delivery[[#This Row],[AAA Premium (total)]]/Delivery[[#This Row],[Quantity delivered]]*60/Delivery[[#This Row],[Exchange rate VS USD]]</f>
        <v>9.9943048096314602</v>
      </c>
      <c r="AF1003" s="204">
        <f>Delivery[[#This Row],[BEN premium (total)]]/Delivery[[#This Row],[Quantity delivered]]*60/Delivery[[#This Row],[Exchange rate for premiums VS USD]]</f>
        <v>2.652952</v>
      </c>
      <c r="AG1003" s="204">
        <f>COUNTIF(Delivery[Delivery ID],Delivery[[#This Row],[Delivery ID]])</f>
        <v>1</v>
      </c>
      <c r="AH1003" s="204">
        <f>(Delivery[[#This Row],[Nespresso total]]/SUMIF(Allocation!C:C,Delivery[Delivery ID],Allocation!H:H))/Delivery[[#This Row],[Exchange rate VS USD]]</f>
        <v>5.2821149839751733</v>
      </c>
      <c r="AI1003" s="204">
        <f>(Delivery[[#This Row],[AAA Premium (total)]]/SUMIF(Allocation!C:C,Delivery[Delivery ID],Allocation!H:H))/Delivery[[#This Row],[Exchange rate VS USD]]</f>
        <v>0.56128452573266063</v>
      </c>
      <c r="AJ1003" s="204">
        <f>Delivery[[#This Row],[Valor Prêmio Nespresso AAA por Kg (em US$)]]*60</f>
        <v>33.677071543959642</v>
      </c>
      <c r="AK1003" s="204">
        <f>Delivery[[#This Row],[Valor Prêmio Nespresso AAA por saca (em US$)]]/1.3228/100</f>
        <v>0.2545892919863898</v>
      </c>
      <c r="AL1003" s="204">
        <f>(Delivery[[#This Row],[BEN premium (total)]]/SUMIF(Allocation!C:C,Delivery[Delivery ID],Allocation!H:H))/Delivery[[#This Row],[Exchange rate for premiums VS USD]]</f>
        <v>0.14899094368990159</v>
      </c>
      <c r="AM1003" s="204">
        <f>Delivery[[#This Row],[Valor Prêmio Nespresso BEN por Kg (em US$)]]*60</f>
        <v>8.9394566213940951</v>
      </c>
      <c r="AN1003" s="204">
        <f>Delivery[[#This Row],[Valor Prêmio Nespresso BEN por saca (em US$)]]/1.3228/100</f>
        <v>6.7579805120910913E-2</v>
      </c>
      <c r="AO1003" s="204">
        <f>SUMIF(Allocation[Delivery ID],Delivery[[#This Row],[Delivery ID]],Allocation[Quantity allocated])*16*1.3228*Delivery[[#This Row],[Exchange rate VS USD]]/60</f>
        <v>12990.334252458668</v>
      </c>
      <c r="AP1003" s="204">
        <f>Delivery[[#This Row],[AAA Premium (total)]]</f>
        <v>20670</v>
      </c>
      <c r="AQ1003" s="204">
        <f>Delivery[[#This Row],[Valor pago pelo Cluster]]-Delivery[[#This Row],[Valor efetivamente pago pela Nespresso]]</f>
        <v>7679.6657475413322</v>
      </c>
    </row>
    <row r="1004" spans="1:43" ht="15.75">
      <c r="A1004" s="174" t="s">
        <v>69</v>
      </c>
      <c r="B1004" s="232" t="s">
        <v>68</v>
      </c>
      <c r="C1004" s="157">
        <v>1</v>
      </c>
      <c r="D1004" s="157" t="s">
        <v>468</v>
      </c>
      <c r="E1004" s="177" t="s">
        <v>468</v>
      </c>
      <c r="F1004" s="233" t="s">
        <v>543</v>
      </c>
      <c r="G1004" s="234">
        <v>43368</v>
      </c>
      <c r="H1004" s="157" t="s">
        <v>1301</v>
      </c>
      <c r="I1004" s="157" t="s">
        <v>741</v>
      </c>
      <c r="J1004" s="237">
        <v>7232.5</v>
      </c>
      <c r="K1004" s="175" t="s">
        <v>61</v>
      </c>
      <c r="L1004" s="175" t="s">
        <v>439</v>
      </c>
      <c r="M1004" s="175" t="s">
        <v>1343</v>
      </c>
      <c r="N1004" s="198"/>
      <c r="O1004" s="199"/>
      <c r="P1004" s="181">
        <v>0</v>
      </c>
      <c r="Q1004" s="177">
        <v>43228</v>
      </c>
      <c r="R1004" s="178">
        <v>459.553</v>
      </c>
      <c r="S1004" s="179">
        <v>55062.783385621507</v>
      </c>
      <c r="T1004" s="182" t="s">
        <v>45</v>
      </c>
      <c r="U1004" s="183">
        <v>3.61</v>
      </c>
      <c r="V1004" s="179">
        <v>3032.4</v>
      </c>
      <c r="W1004" s="179">
        <v>952.41830718925007</v>
      </c>
      <c r="X1004" s="196" t="s">
        <v>45</v>
      </c>
      <c r="Y1004" s="200">
        <v>3.61</v>
      </c>
      <c r="Z1004" s="220" t="s">
        <v>473</v>
      </c>
      <c r="AA1004" s="201">
        <f>Delivery[[#This Row],[Quantity delivered]]*VLOOKUP(Delivery[[#This Row],[Unit]],References!$U:$X,4,FALSE)*VLOOKUP(CONCATENATE(Delivery[[#This Row],[Coffee specie]],Delivery[[#This Row],[Coffee state]]),References!$U:$X,4,FALSE)</f>
        <v>7232.5</v>
      </c>
      <c r="AB1004" s="202">
        <f>SUMIF(Allocation!C:C,Delivery[[#This Row],[Delivery ID]],Allocation!D:D)/Delivery[[#This Row],[Quantity delivered]]</f>
        <v>1</v>
      </c>
      <c r="AC1004" s="203">
        <f>Delivery[[#This Row],[Quantity delivered]]*Delivery[[#This Row],[Base price (Unidad)]]/60</f>
        <v>55395.284541666661</v>
      </c>
      <c r="AD1004" s="204">
        <f>Delivery[[#This Row],[Nespresso total]]-Delivery[[#This Row],[Qt. Delivery * Base Price]]</f>
        <v>-332.50115604515304</v>
      </c>
      <c r="AE1004" s="204">
        <f>Delivery[[#This Row],[AAA Premium (total)]]/Delivery[[#This Row],[Quantity delivered]]*60/Delivery[[#This Row],[Exchange rate VS USD]]</f>
        <v>6.96854476322157</v>
      </c>
      <c r="AF1004" s="204">
        <f>Delivery[[#This Row],[BEN premium (total)]]/Delivery[[#This Row],[Quantity delivered]]*60/Delivery[[#This Row],[Exchange rate for premiums VS USD]]</f>
        <v>2.1886854000000002</v>
      </c>
      <c r="AG1004" s="204">
        <f>COUNTIF(Delivery[Delivery ID],Delivery[[#This Row],[Delivery ID]])</f>
        <v>1</v>
      </c>
      <c r="AH1004" s="204">
        <f>(Delivery[[#This Row],[Nespresso total]]/SUMIF(Allocation!C:C,Delivery[Delivery ID],Allocation!H:H))/Delivery[[#This Row],[Exchange rate VS USD]]</f>
        <v>6.3899658916106645</v>
      </c>
      <c r="AI1004" s="204">
        <f>(Delivery[[#This Row],[AAA Premium (total)]]/SUMIF(Allocation!C:C,Delivery[Delivery ID],Allocation!H:H))/Delivery[[#This Row],[Exchange rate VS USD]]</f>
        <v>0.35190615835777128</v>
      </c>
      <c r="AJ1004" s="204">
        <f>Delivery[[#This Row],[Valor Prêmio Nespresso AAA por Kg (em US$)]]*60</f>
        <v>21.114369501466278</v>
      </c>
      <c r="AK1004" s="204">
        <f>Delivery[[#This Row],[Valor Prêmio Nespresso AAA por saca (em US$)]]/1.3228/100</f>
        <v>0.15961875946073692</v>
      </c>
      <c r="AL1004" s="204">
        <f>(Delivery[[#This Row],[BEN premium (total)]]/SUMIF(Allocation!C:C,Delivery[Delivery ID],Allocation!H:H))/Delivery[[#This Row],[Exchange rate for premiums VS USD]]</f>
        <v>0.11052693168202765</v>
      </c>
      <c r="AM1004" s="204">
        <f>Delivery[[#This Row],[Valor Prêmio Nespresso BEN por Kg (em US$)]]*60</f>
        <v>6.6316159009216591</v>
      </c>
      <c r="AN1004" s="204">
        <f>Delivery[[#This Row],[Valor Prêmio Nespresso BEN por saca (em US$)]]/1.3228/100</f>
        <v>5.013317131026352E-2</v>
      </c>
      <c r="AO1004" s="204">
        <f>SUMIF(Allocation[Delivery ID],Delivery[[#This Row],[Delivery ID]],Allocation[Quantity allocated])*16*1.3228*Delivery[[#This Row],[Exchange rate VS USD]]/60</f>
        <v>3039.6427189333331</v>
      </c>
      <c r="AP1004" s="204">
        <f>Delivery[[#This Row],[AAA Premium (total)]]</f>
        <v>3032.4</v>
      </c>
      <c r="AQ1004" s="204">
        <f>Delivery[[#This Row],[Valor pago pelo Cluster]]-Delivery[[#This Row],[Valor efetivamente pago pela Nespresso]]</f>
        <v>-7.2427189333329807</v>
      </c>
    </row>
    <row r="1005" spans="1:43" ht="15.75">
      <c r="A1005" s="174" t="s">
        <v>69</v>
      </c>
      <c r="B1005" s="232" t="s">
        <v>68</v>
      </c>
      <c r="C1005" s="157">
        <v>1</v>
      </c>
      <c r="D1005" s="157" t="s">
        <v>468</v>
      </c>
      <c r="E1005" s="177" t="s">
        <v>468</v>
      </c>
      <c r="F1005" s="233" t="s">
        <v>543</v>
      </c>
      <c r="G1005" s="234">
        <v>43371</v>
      </c>
      <c r="H1005" s="157" t="s">
        <v>1132</v>
      </c>
      <c r="I1005" s="157" t="s">
        <v>672</v>
      </c>
      <c r="J1005" s="237">
        <v>30000</v>
      </c>
      <c r="K1005" s="175" t="s">
        <v>61</v>
      </c>
      <c r="L1005" s="175" t="s">
        <v>439</v>
      </c>
      <c r="M1005" s="175" t="s">
        <v>1343</v>
      </c>
      <c r="N1005" s="198"/>
      <c r="O1005" s="199"/>
      <c r="P1005" s="181">
        <v>0</v>
      </c>
      <c r="Q1005" s="177">
        <v>43364</v>
      </c>
      <c r="R1005" s="178">
        <v>405.24880500000006</v>
      </c>
      <c r="S1005" s="179">
        <v>190672.64012663998</v>
      </c>
      <c r="T1005" s="182" t="s">
        <v>45</v>
      </c>
      <c r="U1005" s="183">
        <v>4.0749000000000004</v>
      </c>
      <c r="V1005" s="179">
        <v>14260</v>
      </c>
      <c r="W1005" s="179">
        <v>3783.6799366800005</v>
      </c>
      <c r="X1005" s="196" t="s">
        <v>45</v>
      </c>
      <c r="Y1005" s="200">
        <v>4.0749000000000004</v>
      </c>
      <c r="Z1005" s="220" t="s">
        <v>473</v>
      </c>
      <c r="AA1005" s="201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1005" s="202">
        <f>SUMIF(Allocation!C:C,Delivery[[#This Row],[Delivery ID]],Allocation!D:D)/Delivery[[#This Row],[Quantity delivered]]</f>
        <v>0.62370000000000003</v>
      </c>
      <c r="AC1005" s="203">
        <f>Delivery[[#This Row],[Quantity delivered]]*Delivery[[#This Row],[Base price (Unidad)]]/60</f>
        <v>202624.40250000003</v>
      </c>
      <c r="AD1005" s="204">
        <f>Delivery[[#This Row],[Nespresso total]]-Delivery[[#This Row],[Qt. Delivery * Base Price]]</f>
        <v>-11951.762373360049</v>
      </c>
      <c r="AE1005" s="204">
        <f>Delivery[[#This Row],[AAA Premium (total)]]/Delivery[[#This Row],[Quantity delivered]]*60/Delivery[[#This Row],[Exchange rate VS USD]]</f>
        <v>6.9989447593805973</v>
      </c>
      <c r="AF1005" s="204">
        <f>Delivery[[#This Row],[BEN premium (total)]]/Delivery[[#This Row],[Quantity delivered]]*60/Delivery[[#This Row],[Exchange rate for premiums VS USD]]</f>
        <v>1.8570664000000001</v>
      </c>
      <c r="AG1005" s="204">
        <f>COUNTIF(Delivery[Delivery ID],Delivery[[#This Row],[Delivery ID]])</f>
        <v>1</v>
      </c>
      <c r="AH1005" s="204">
        <f>(Delivery[[#This Row],[Nespresso total]]/SUMIF(Allocation!C:C,Delivery[Delivery ID],Allocation!H:H))/Delivery[[#This Row],[Exchange rate VS USD]]</f>
        <v>8.9314716935236866</v>
      </c>
      <c r="AI1005" s="204">
        <f>(Delivery[[#This Row],[AAA Premium (total)]]/SUMIF(Allocation!C:C,Delivery[Delivery ID],Allocation!H:H))/Delivery[[#This Row],[Exchange rate VS USD]]</f>
        <v>0.6679657147719601</v>
      </c>
      <c r="AJ1005" s="204">
        <f>Delivery[[#This Row],[Valor Prêmio Nespresso AAA por Kg (em US$)]]*60</f>
        <v>40.077942886317608</v>
      </c>
      <c r="AK1005" s="204">
        <f>Delivery[[#This Row],[Valor Prêmio Nespresso AAA por saca (em US$)]]/1.3228/100</f>
        <v>0.30297809862653169</v>
      </c>
      <c r="AL1005" s="204">
        <f>(Delivery[[#This Row],[BEN premium (total)]]/SUMIF(Allocation!C:C,Delivery[Delivery ID],Allocation!H:H))/Delivery[[#This Row],[Exchange rate for premiums VS USD]]</f>
        <v>0.17723481580454287</v>
      </c>
      <c r="AM1005" s="204">
        <f>Delivery[[#This Row],[Valor Prêmio Nespresso BEN por Kg (em US$)]]*60</f>
        <v>10.634088948272572</v>
      </c>
      <c r="AN1005" s="204">
        <f>Delivery[[#This Row],[Valor Prêmio Nespresso BEN por saca (em US$)]]/1.3228/100</f>
        <v>8.0390754069190884E-2</v>
      </c>
      <c r="AO1005" s="204">
        <f>SUMIF(Allocation[Delivery ID],Delivery[[#This Row],[Delivery ID]],Allocation[Quantity allocated])*16*1.3228*Delivery[[#This Row],[Exchange rate VS USD]]/60</f>
        <v>7530.5773266880005</v>
      </c>
      <c r="AP1005" s="204">
        <f>Delivery[[#This Row],[AAA Premium (total)]]</f>
        <v>14260</v>
      </c>
      <c r="AQ1005" s="204">
        <f>Delivery[[#This Row],[Valor pago pelo Cluster]]-Delivery[[#This Row],[Valor efetivamente pago pela Nespresso]]</f>
        <v>6729.4226733119995</v>
      </c>
    </row>
    <row r="1006" spans="1:43" ht="15.75">
      <c r="A1006" s="174" t="s">
        <v>69</v>
      </c>
      <c r="B1006" s="232" t="s">
        <v>68</v>
      </c>
      <c r="C1006" s="157" t="s">
        <v>1344</v>
      </c>
      <c r="D1006" s="157" t="s">
        <v>468</v>
      </c>
      <c r="E1006" s="177" t="s">
        <v>468</v>
      </c>
      <c r="F1006" s="233" t="s">
        <v>543</v>
      </c>
      <c r="G1006" s="234">
        <v>43369</v>
      </c>
      <c r="H1006" s="157" t="s">
        <v>1672</v>
      </c>
      <c r="I1006" s="157" t="s">
        <v>1638</v>
      </c>
      <c r="J1006" s="237">
        <v>31833</v>
      </c>
      <c r="K1006" s="175" t="s">
        <v>61</v>
      </c>
      <c r="L1006" s="175" t="s">
        <v>439</v>
      </c>
      <c r="M1006" s="175" t="s">
        <v>1343</v>
      </c>
      <c r="N1006" s="198"/>
      <c r="O1006" s="199"/>
      <c r="P1006" s="181">
        <v>0</v>
      </c>
      <c r="Q1006" s="177">
        <v>43363</v>
      </c>
      <c r="R1006" s="178">
        <v>411.36957000000001</v>
      </c>
      <c r="S1006" s="179">
        <v>213921.78</v>
      </c>
      <c r="T1006" s="182" t="s">
        <v>45</v>
      </c>
      <c r="U1006" s="183">
        <v>4.0850999999999997</v>
      </c>
      <c r="V1006" s="179">
        <v>15158</v>
      </c>
      <c r="W1006" s="179">
        <v>0</v>
      </c>
      <c r="X1006" s="196" t="s">
        <v>45</v>
      </c>
      <c r="Y1006" s="200">
        <v>4.0850999999999997</v>
      </c>
      <c r="Z1006" s="220"/>
      <c r="AA1006" s="201">
        <f>Delivery[[#This Row],[Quantity delivered]]*VLOOKUP(Delivery[[#This Row],[Unit]],References!$U:$X,4,FALSE)*VLOOKUP(CONCATENATE(Delivery[[#This Row],[Coffee specie]],Delivery[[#This Row],[Coffee state]]),References!$U:$X,4,FALSE)</f>
        <v>31833</v>
      </c>
      <c r="AB1006" s="202">
        <f>SUMIF(Allocation!C:C,Delivery[[#This Row],[Delivery ID]],Allocation!D:D)/Delivery[[#This Row],[Quantity delivered]]</f>
        <v>0.77564162975528539</v>
      </c>
      <c r="AC1006" s="203">
        <f>Delivery[[#This Row],[Quantity delivered]]*Delivery[[#This Row],[Base price (Unidad)]]/60</f>
        <v>218252.1253635</v>
      </c>
      <c r="AD1006" s="204">
        <f>Delivery[[#This Row],[Nespresso total]]-Delivery[[#This Row],[Qt. Delivery * Base Price]]</f>
        <v>-4330.3453635000042</v>
      </c>
      <c r="AE1006" s="204">
        <f>Delivery[[#This Row],[AAA Premium (total)]]/Delivery[[#This Row],[Quantity delivered]]*60/Delivery[[#This Row],[Exchange rate VS USD]]</f>
        <v>6.9937948941287766</v>
      </c>
      <c r="AF1006" s="204">
        <f>Delivery[[#This Row],[BEN premium (total)]]/Delivery[[#This Row],[Quantity delivered]]*60/Delivery[[#This Row],[Exchange rate for premiums VS USD]]</f>
        <v>0</v>
      </c>
      <c r="AG1006" s="204">
        <f>COUNTIF(Delivery[Delivery ID],Delivery[[#This Row],[Delivery ID]])</f>
        <v>1</v>
      </c>
      <c r="AH1006" s="204">
        <f>(Delivery[[#This Row],[Nespresso total]]/SUMIF(Allocation!C:C,Delivery[Delivery ID],Allocation!H:H))/Delivery[[#This Row],[Exchange rate VS USD]]</f>
        <v>6.4268962794456623</v>
      </c>
      <c r="AI1006" s="204">
        <f>(Delivery[[#This Row],[AAA Premium (total)]]/SUMIF(Allocation!C:C,Delivery[Delivery ID],Allocation!H:H))/Delivery[[#This Row],[Exchange rate VS USD]]</f>
        <v>0.45539492894943823</v>
      </c>
      <c r="AJ1006" s="204">
        <f>Delivery[[#This Row],[Valor Prêmio Nespresso AAA por Kg (em US$)]]*60</f>
        <v>27.323695736966293</v>
      </c>
      <c r="AK1006" s="204">
        <f>Delivery[[#This Row],[Valor Prêmio Nespresso AAA por saca (em US$)]]/1.3228/100</f>
        <v>0.20655953838045277</v>
      </c>
      <c r="AL1006" s="204">
        <f>(Delivery[[#This Row],[BEN premium (total)]]/SUMIF(Allocation!C:C,Delivery[Delivery ID],Allocation!H:H))/Delivery[[#This Row],[Exchange rate for premiums VS USD]]</f>
        <v>0</v>
      </c>
      <c r="AM1006" s="204">
        <f>Delivery[[#This Row],[Valor Prêmio Nespresso BEN por Kg (em US$)]]*60</f>
        <v>0</v>
      </c>
      <c r="AN1006" s="204">
        <f>Delivery[[#This Row],[Valor Prêmio Nespresso BEN por saca (em US$)]]/1.3228/100</f>
        <v>0</v>
      </c>
      <c r="AO1006" s="204">
        <f>SUMIF(Allocation[Delivery ID],Delivery[[#This Row],[Delivery ID]],Allocation[Quantity allocated])*16*1.3228*Delivery[[#This Row],[Exchange rate VS USD]]/60</f>
        <v>11741.312064383999</v>
      </c>
      <c r="AP1006" s="204">
        <f>Delivery[[#This Row],[AAA Premium (total)]]</f>
        <v>15158</v>
      </c>
      <c r="AQ1006" s="204">
        <f>Delivery[[#This Row],[Valor pago pelo Cluster]]-Delivery[[#This Row],[Valor efetivamente pago pela Nespresso]]</f>
        <v>3416.6879356160007</v>
      </c>
    </row>
    <row r="1007" spans="1:43" ht="15.75">
      <c r="A1007" s="174" t="s">
        <v>69</v>
      </c>
      <c r="B1007" s="232" t="s">
        <v>68</v>
      </c>
      <c r="C1007" s="157" t="s">
        <v>1344</v>
      </c>
      <c r="D1007" s="157" t="s">
        <v>468</v>
      </c>
      <c r="E1007" s="177" t="s">
        <v>468</v>
      </c>
      <c r="F1007" s="233" t="s">
        <v>543</v>
      </c>
      <c r="G1007" s="234">
        <v>43369</v>
      </c>
      <c r="H1007" s="157" t="s">
        <v>1673</v>
      </c>
      <c r="I1007" s="157" t="s">
        <v>1638</v>
      </c>
      <c r="J1007" s="237">
        <v>6007</v>
      </c>
      <c r="K1007" s="175" t="s">
        <v>61</v>
      </c>
      <c r="L1007" s="175" t="s">
        <v>439</v>
      </c>
      <c r="M1007" s="175" t="s">
        <v>1343</v>
      </c>
      <c r="N1007" s="198"/>
      <c r="O1007" s="199"/>
      <c r="P1007" s="181">
        <v>0</v>
      </c>
      <c r="Q1007" s="177">
        <v>43363</v>
      </c>
      <c r="R1007" s="178">
        <v>411.36957000000001</v>
      </c>
      <c r="S1007" s="179">
        <v>40362.6</v>
      </c>
      <c r="T1007" s="182" t="s">
        <v>45</v>
      </c>
      <c r="U1007" s="183">
        <v>4.0850999999999997</v>
      </c>
      <c r="V1007" s="179">
        <v>2860</v>
      </c>
      <c r="W1007" s="179">
        <v>0</v>
      </c>
      <c r="X1007" s="196" t="s">
        <v>45</v>
      </c>
      <c r="Y1007" s="200">
        <v>4.0850999999999997</v>
      </c>
      <c r="Z1007" s="220"/>
      <c r="AA1007" s="201">
        <f>Delivery[[#This Row],[Quantity delivered]]*VLOOKUP(Delivery[[#This Row],[Unit]],References!$U:$X,4,FALSE)*VLOOKUP(CONCATENATE(Delivery[[#This Row],[Coffee specie]],Delivery[[#This Row],[Coffee state]]),References!$U:$X,4,FALSE)</f>
        <v>6007</v>
      </c>
      <c r="AB1007" s="202">
        <f>SUMIF(Allocation!C:C,Delivery[[#This Row],[Delivery ID]],Allocation!D:D)/Delivery[[#This Row],[Quantity delivered]]</f>
        <v>0.64724488097219912</v>
      </c>
      <c r="AC1007" s="203">
        <f>Delivery[[#This Row],[Quantity delivered]]*Delivery[[#This Row],[Base price (Unidad)]]/60</f>
        <v>41184.950116500004</v>
      </c>
      <c r="AD1007" s="204">
        <f>Delivery[[#This Row],[Nespresso total]]-Delivery[[#This Row],[Qt. Delivery * Base Price]]</f>
        <v>-822.35011650000524</v>
      </c>
      <c r="AE1007" s="204">
        <f>Delivery[[#This Row],[AAA Premium (total)]]/Delivery[[#This Row],[Quantity delivered]]*60/Delivery[[#This Row],[Exchange rate VS USD]]</f>
        <v>6.9928942292106182</v>
      </c>
      <c r="AF1007" s="204">
        <f>Delivery[[#This Row],[BEN premium (total)]]/Delivery[[#This Row],[Quantity delivered]]*60/Delivery[[#This Row],[Exchange rate for premiums VS USD]]</f>
        <v>0</v>
      </c>
      <c r="AG1007" s="204">
        <f>COUNTIF(Delivery[Delivery ID],Delivery[[#This Row],[Delivery ID]])</f>
        <v>1</v>
      </c>
      <c r="AH1007" s="204">
        <f>(Delivery[[#This Row],[Nespresso total]]/SUMIF(Allocation!C:C,Delivery[Delivery ID],Allocation!H:H))/Delivery[[#This Row],[Exchange rate VS USD]]</f>
        <v>7.7010472043593667</v>
      </c>
      <c r="AI1007" s="204">
        <f>(Delivery[[#This Row],[AAA Premium (total)]]/SUMIF(Allocation!C:C,Delivery[Delivery ID],Allocation!H:H))/Delivery[[#This Row],[Exchange rate VS USD]]</f>
        <v>0.54567830131031669</v>
      </c>
      <c r="AJ1007" s="204">
        <f>Delivery[[#This Row],[Valor Prêmio Nespresso AAA por Kg (em US$)]]*60</f>
        <v>32.740698078619005</v>
      </c>
      <c r="AK1007" s="204">
        <f>Delivery[[#This Row],[Valor Prêmio Nespresso AAA por saca (em US$)]]/1.3228/100</f>
        <v>0.24751056908541735</v>
      </c>
      <c r="AL1007" s="204">
        <f>(Delivery[[#This Row],[BEN premium (total)]]/SUMIF(Allocation!C:C,Delivery[Delivery ID],Allocation!H:H))/Delivery[[#This Row],[Exchange rate for premiums VS USD]]</f>
        <v>0</v>
      </c>
      <c r="AM1007" s="204">
        <f>Delivery[[#This Row],[Valor Prêmio Nespresso BEN por Kg (em US$)]]*60</f>
        <v>0</v>
      </c>
      <c r="AN1007" s="204">
        <f>Delivery[[#This Row],[Valor Prêmio Nespresso BEN por saca (em US$)]]/1.3228/100</f>
        <v>0</v>
      </c>
      <c r="AO1007" s="204">
        <f>SUMIF(Allocation[Delivery ID],Delivery[[#This Row],[Delivery ID]],Allocation[Quantity allocated])*16*1.3228*Delivery[[#This Row],[Exchange rate VS USD]]/60</f>
        <v>1848.809938464</v>
      </c>
      <c r="AP1007" s="204">
        <f>Delivery[[#This Row],[AAA Premium (total)]]</f>
        <v>2860</v>
      </c>
      <c r="AQ1007" s="204">
        <f>Delivery[[#This Row],[Valor pago pelo Cluster]]-Delivery[[#This Row],[Valor efetivamente pago pela Nespresso]]</f>
        <v>1011.190061536</v>
      </c>
    </row>
    <row r="1008" spans="1:43" ht="15.75">
      <c r="A1008" s="174" t="s">
        <v>69</v>
      </c>
      <c r="B1008" s="232" t="s">
        <v>68</v>
      </c>
      <c r="C1008" s="157">
        <v>1</v>
      </c>
      <c r="D1008" s="157" t="s">
        <v>468</v>
      </c>
      <c r="E1008" s="177" t="s">
        <v>468</v>
      </c>
      <c r="F1008" s="233" t="s">
        <v>543</v>
      </c>
      <c r="G1008" s="234">
        <v>43371</v>
      </c>
      <c r="H1008" s="157" t="s">
        <v>1133</v>
      </c>
      <c r="I1008" s="157" t="s">
        <v>672</v>
      </c>
      <c r="J1008" s="237">
        <v>19846</v>
      </c>
      <c r="K1008" s="175" t="s">
        <v>61</v>
      </c>
      <c r="L1008" s="175" t="s">
        <v>439</v>
      </c>
      <c r="M1008" s="175" t="s">
        <v>1343</v>
      </c>
      <c r="N1008" s="198"/>
      <c r="O1008" s="199"/>
      <c r="P1008" s="181">
        <v>0</v>
      </c>
      <c r="Q1008" s="177">
        <v>43364</v>
      </c>
      <c r="R1008" s="178">
        <v>405.24880500000006</v>
      </c>
      <c r="S1008" s="179">
        <v>126228.81919844326</v>
      </c>
      <c r="T1008" s="182" t="s">
        <v>45</v>
      </c>
      <c r="U1008" s="183">
        <v>4.0749000000000004</v>
      </c>
      <c r="V1008" s="179">
        <v>9440.1200000000008</v>
      </c>
      <c r="W1008" s="179">
        <v>2503.0304007783766</v>
      </c>
      <c r="X1008" s="196" t="s">
        <v>45</v>
      </c>
      <c r="Y1008" s="200">
        <v>4.0749000000000004</v>
      </c>
      <c r="Z1008" s="220" t="s">
        <v>473</v>
      </c>
      <c r="AA1008" s="201">
        <f>Delivery[[#This Row],[Quantity delivered]]*VLOOKUP(Delivery[[#This Row],[Unit]],References!$U:$X,4,FALSE)*VLOOKUP(CONCATENATE(Delivery[[#This Row],[Coffee specie]],Delivery[[#This Row],[Coffee state]]),References!$U:$X,4,FALSE)</f>
        <v>19846</v>
      </c>
      <c r="AB1008" s="202">
        <f>SUMIF(Allocation!C:C,Delivery[[#This Row],[Delivery ID]],Allocation!D:D)/Delivery[[#This Row],[Quantity delivered]]</f>
        <v>0.8493903053512043</v>
      </c>
      <c r="AC1008" s="203">
        <f>Delivery[[#This Row],[Quantity delivered]]*Delivery[[#This Row],[Base price (Unidad)]]/60</f>
        <v>134042.79640050002</v>
      </c>
      <c r="AD1008" s="204">
        <f>Delivery[[#This Row],[Nespresso total]]-Delivery[[#This Row],[Qt. Delivery * Base Price]]</f>
        <v>-7813.9772020567616</v>
      </c>
      <c r="AE1008" s="204">
        <f>Delivery[[#This Row],[AAA Premium (total)]]/Delivery[[#This Row],[Quantity delivered]]*60/Delivery[[#This Row],[Exchange rate VS USD]]</f>
        <v>7.0038820377556519</v>
      </c>
      <c r="AF1008" s="204">
        <f>Delivery[[#This Row],[BEN premium (total)]]/Delivery[[#This Row],[Quantity delivered]]*60/Delivery[[#This Row],[Exchange rate for premiums VS USD]]</f>
        <v>1.8570664000000001</v>
      </c>
      <c r="AG1008" s="204">
        <f>COUNTIF(Delivery[Delivery ID],Delivery[[#This Row],[Delivery ID]])</f>
        <v>1</v>
      </c>
      <c r="AH1008" s="204">
        <f>(Delivery[[#This Row],[Nespresso total]]/SUMIF(Allocation!C:C,Delivery[Delivery ID],Allocation!H:H))/Delivery[[#This Row],[Exchange rate VS USD]]</f>
        <v>6.5629571027449174</v>
      </c>
      <c r="AI1008" s="204">
        <f>(Delivery[[#This Row],[AAA Premium (total)]]/SUMIF(Allocation!C:C,Delivery[Delivery ID],Allocation!H:H))/Delivery[[#This Row],[Exchange rate VS USD]]</f>
        <v>0.49081582952435976</v>
      </c>
      <c r="AJ1008" s="204">
        <f>Delivery[[#This Row],[Valor Prêmio Nespresso AAA por Kg (em US$)]]*60</f>
        <v>29.448949771461585</v>
      </c>
      <c r="AK1008" s="204">
        <f>Delivery[[#This Row],[Valor Prêmio Nespresso AAA por saca (em US$)]]/1.3228/100</f>
        <v>0.22262586764032044</v>
      </c>
      <c r="AL1008" s="204">
        <f>(Delivery[[#This Row],[BEN premium (total)]]/SUMIF(Allocation!C:C,Delivery[Delivery ID],Allocation!H:H))/Delivery[[#This Row],[Exchange rate for premiums VS USD]]</f>
        <v>0.13013891163276839</v>
      </c>
      <c r="AM1008" s="204">
        <f>Delivery[[#This Row],[Valor Prêmio Nespresso BEN por Kg (em US$)]]*60</f>
        <v>7.808334697966103</v>
      </c>
      <c r="AN1008" s="204">
        <f>Delivery[[#This Row],[Valor Prêmio Nespresso BEN por saca (em US$)]]/1.3228/100</f>
        <v>5.9028838055383302E-2</v>
      </c>
      <c r="AO1008" s="204">
        <f>SUMIF(Allocation[Delivery ID],Delivery[[#This Row],[Delivery ID]],Allocation[Quantity allocated])*16*1.3228*Delivery[[#This Row],[Exchange rate VS USD]]/60</f>
        <v>6784.5628902400013</v>
      </c>
      <c r="AP1008" s="204">
        <f>Delivery[[#This Row],[AAA Premium (total)]]</f>
        <v>9440.1200000000008</v>
      </c>
      <c r="AQ1008" s="204">
        <f>Delivery[[#This Row],[Valor pago pelo Cluster]]-Delivery[[#This Row],[Valor efetivamente pago pela Nespresso]]</f>
        <v>2655.5571097599995</v>
      </c>
    </row>
    <row r="1009" spans="1:43" ht="15.75">
      <c r="A1009" s="174" t="s">
        <v>69</v>
      </c>
      <c r="B1009" s="232" t="s">
        <v>68</v>
      </c>
      <c r="C1009" s="157">
        <v>1</v>
      </c>
      <c r="D1009" s="157" t="s">
        <v>468</v>
      </c>
      <c r="E1009" s="177" t="s">
        <v>468</v>
      </c>
      <c r="F1009" s="233" t="s">
        <v>543</v>
      </c>
      <c r="G1009" s="234">
        <v>43371</v>
      </c>
      <c r="H1009" s="157" t="s">
        <v>1134</v>
      </c>
      <c r="I1009" s="157" t="s">
        <v>672</v>
      </c>
      <c r="J1009" s="237">
        <v>10134</v>
      </c>
      <c r="K1009" s="175" t="s">
        <v>61</v>
      </c>
      <c r="L1009" s="175" t="s">
        <v>439</v>
      </c>
      <c r="M1009" s="175" t="s">
        <v>1343</v>
      </c>
      <c r="N1009" s="198"/>
      <c r="O1009" s="199"/>
      <c r="P1009" s="181">
        <v>0</v>
      </c>
      <c r="Q1009" s="177">
        <v>43364</v>
      </c>
      <c r="R1009" s="178">
        <v>405.24880500000006</v>
      </c>
      <c r="S1009" s="179">
        <v>64448.86583477899</v>
      </c>
      <c r="T1009" s="182" t="s">
        <v>45</v>
      </c>
      <c r="U1009" s="183">
        <v>4.0749000000000004</v>
      </c>
      <c r="V1009" s="179">
        <v>4819.88</v>
      </c>
      <c r="W1009" s="179">
        <v>1278.1270826105042</v>
      </c>
      <c r="X1009" s="196" t="s">
        <v>45</v>
      </c>
      <c r="Y1009" s="200">
        <v>4.0749000000000004</v>
      </c>
      <c r="Z1009" s="220" t="s">
        <v>473</v>
      </c>
      <c r="AA1009" s="201">
        <f>Delivery[[#This Row],[Quantity delivered]]*VLOOKUP(Delivery[[#This Row],[Unit]],References!$U:$X,4,FALSE)*VLOOKUP(CONCATENATE(Delivery[[#This Row],[Coffee specie]],Delivery[[#This Row],[Coffee state]]),References!$U:$X,4,FALSE)</f>
        <v>10134</v>
      </c>
      <c r="AB1009" s="202">
        <f>SUMIF(Allocation!C:C,Delivery[[#This Row],[Delivery ID]],Allocation!D:D)/Delivery[[#This Row],[Quantity delivered]]</f>
        <v>0.71965660153937239</v>
      </c>
      <c r="AC1009" s="203">
        <f>Delivery[[#This Row],[Quantity delivered]]*Delivery[[#This Row],[Base price (Unidad)]]/60</f>
        <v>68446.523164500002</v>
      </c>
      <c r="AD1009" s="204">
        <f>Delivery[[#This Row],[Nespresso total]]-Delivery[[#This Row],[Qt. Delivery * Base Price]]</f>
        <v>-3997.6573297210125</v>
      </c>
      <c r="AE1009" s="204">
        <f>Delivery[[#This Row],[AAA Premium (total)]]/Delivery[[#This Row],[Quantity delivered]]*60/Delivery[[#This Row],[Exchange rate VS USD]]</f>
        <v>7.0030885987881648</v>
      </c>
      <c r="AF1009" s="204">
        <f>Delivery[[#This Row],[BEN premium (total)]]/Delivery[[#This Row],[Quantity delivered]]*60/Delivery[[#This Row],[Exchange rate for premiums VS USD]]</f>
        <v>1.8570664000000001</v>
      </c>
      <c r="AG1009" s="204">
        <f>COUNTIF(Delivery[Delivery ID],Delivery[[#This Row],[Delivery ID]])</f>
        <v>1</v>
      </c>
      <c r="AH1009" s="204">
        <f>(Delivery[[#This Row],[Nespresso total]]/SUMIF(Allocation!C:C,Delivery[Delivery ID],Allocation!H:H))/Delivery[[#This Row],[Exchange rate VS USD]]</f>
        <v>7.7453774347116866</v>
      </c>
      <c r="AI1009" s="204">
        <f>(Delivery[[#This Row],[AAA Premium (total)]]/SUMIF(Allocation!C:C,Delivery[Delivery ID],Allocation!H:H))/Delivery[[#This Row],[Exchange rate VS USD]]</f>
        <v>0.57924665246587714</v>
      </c>
      <c r="AJ1009" s="204">
        <f>Delivery[[#This Row],[Valor Prêmio Nespresso AAA por Kg (em US$)]]*60</f>
        <v>34.754799147952632</v>
      </c>
      <c r="AK1009" s="204">
        <f>Delivery[[#This Row],[Valor Prêmio Nespresso AAA por saca (em US$)]]/1.3228/100</f>
        <v>0.262736612851169</v>
      </c>
      <c r="AL1009" s="204">
        <f>(Delivery[[#This Row],[BEN premium (total)]]/SUMIF(Allocation!C:C,Delivery[Delivery ID],Allocation!H:H))/Delivery[[#This Row],[Exchange rate for premiums VS USD]]</f>
        <v>0.15360358225269344</v>
      </c>
      <c r="AM1009" s="204">
        <f>Delivery[[#This Row],[Valor Prêmio Nespresso BEN por Kg (em US$)]]*60</f>
        <v>9.2162149351616058</v>
      </c>
      <c r="AN1009" s="204">
        <f>Delivery[[#This Row],[Valor Prêmio Nespresso BEN por saca (em US$)]]/1.3228/100</f>
        <v>6.9672020979449703E-2</v>
      </c>
      <c r="AO1009" s="204">
        <f>SUMIF(Allocation[Delivery ID],Delivery[[#This Row],[Delivery ID]],Allocation[Quantity allocated])*16*1.3228*Delivery[[#This Row],[Exchange rate VS USD]]/60</f>
        <v>2935.1858944640003</v>
      </c>
      <c r="AP1009" s="204">
        <f>Delivery[[#This Row],[AAA Premium (total)]]</f>
        <v>4819.88</v>
      </c>
      <c r="AQ1009" s="204">
        <f>Delivery[[#This Row],[Valor pago pelo Cluster]]-Delivery[[#This Row],[Valor efetivamente pago pela Nespresso]]</f>
        <v>1884.6941055359998</v>
      </c>
    </row>
    <row r="1010" spans="1:43" ht="15.75">
      <c r="A1010" s="174" t="s">
        <v>69</v>
      </c>
      <c r="B1010" s="232" t="s">
        <v>68</v>
      </c>
      <c r="C1010" s="157">
        <v>1</v>
      </c>
      <c r="D1010" s="157" t="s">
        <v>468</v>
      </c>
      <c r="E1010" s="177" t="s">
        <v>468</v>
      </c>
      <c r="F1010" s="240" t="s">
        <v>543</v>
      </c>
      <c r="G1010" s="234">
        <v>43736</v>
      </c>
      <c r="H1010" s="157" t="s">
        <v>2179</v>
      </c>
      <c r="I1010" s="236" t="s">
        <v>759</v>
      </c>
      <c r="J1010" s="237">
        <v>30040</v>
      </c>
      <c r="K1010" s="175" t="s">
        <v>61</v>
      </c>
      <c r="L1010" s="175" t="s">
        <v>439</v>
      </c>
      <c r="M1010" s="175" t="s">
        <v>1343</v>
      </c>
      <c r="N1010" s="198"/>
      <c r="O1010" s="199"/>
      <c r="P1010" s="181">
        <v>0</v>
      </c>
      <c r="Q1010" s="177">
        <v>43363</v>
      </c>
      <c r="R1010" s="178">
        <v>408.00383999999997</v>
      </c>
      <c r="S1010" s="179">
        <v>209455</v>
      </c>
      <c r="T1010" s="182" t="s">
        <v>45</v>
      </c>
      <c r="U1010" s="183">
        <v>4.1087999999999996</v>
      </c>
      <c r="V1010" s="179">
        <v>20545</v>
      </c>
      <c r="W1010" s="179">
        <v>6139.677999283198</v>
      </c>
      <c r="X1010" s="196" t="s">
        <v>45</v>
      </c>
      <c r="Y1010" s="200">
        <v>4.1087999999999996</v>
      </c>
      <c r="Z1010" s="220" t="s">
        <v>473</v>
      </c>
      <c r="AA1010" s="201">
        <f>Delivery[[#This Row],[Quantity delivered]]*VLOOKUP(Delivery[[#This Row],[Unit]],References!$U:$X,4,FALSE)*VLOOKUP(CONCATENATE(Delivery[[#This Row],[Coffee specie]],Delivery[[#This Row],[Coffee state]]),References!$U:$X,4,FALSE)</f>
        <v>30040</v>
      </c>
      <c r="AB1010" s="202">
        <f>SUMIF(Allocation!C:C,Delivery[[#This Row],[Delivery ID]],Allocation!D:D)/Delivery[[#This Row],[Quantity delivered]]</f>
        <v>1</v>
      </c>
      <c r="AC1010" s="203">
        <f>Delivery[[#This Row],[Quantity delivered]]*Delivery[[#This Row],[Base price (Unidad)]]/60</f>
        <v>204273.92255999998</v>
      </c>
      <c r="AD1010" s="204">
        <f>Delivery[[#This Row],[Nespresso total]]-Delivery[[#This Row],[Qt. Delivery * Base Price]]</f>
        <v>5181.0774400000228</v>
      </c>
      <c r="AE1010" s="204">
        <f>Delivery[[#This Row],[AAA Premium (total)]]/Delivery[[#This Row],[Quantity delivered]]*60/Delivery[[#This Row],[Exchange rate VS USD]]</f>
        <v>9.9871705327476139</v>
      </c>
      <c r="AF1010" s="204">
        <f>Delivery[[#This Row],[BEN premium (total)]]/Delivery[[#This Row],[Quantity delivered]]*60/Delivery[[#This Row],[Exchange rate for premiums VS USD]]</f>
        <v>2.9845709999999994</v>
      </c>
      <c r="AG1010" s="204">
        <f>COUNTIF(Delivery[Delivery ID],Delivery[[#This Row],[Delivery ID]])</f>
        <v>1</v>
      </c>
      <c r="AH1010" s="204">
        <f>(Delivery[[#This Row],[Nespresso total]]/SUMIF(Allocation!C:C,Delivery[Delivery ID],Allocation!H:H))/Delivery[[#This Row],[Exchange rate VS USD]]</f>
        <v>3.7209613832230488</v>
      </c>
      <c r="AI1010" s="204">
        <f>(Delivery[[#This Row],[AAA Premium (total)]]/SUMIF(Allocation!C:C,Delivery[Delivery ID],Allocation!H:H))/Delivery[[#This Row],[Exchange rate VS USD]]</f>
        <v>0.36498126861768659</v>
      </c>
      <c r="AJ1010" s="204">
        <f>Delivery[[#This Row],[Valor Prêmio Nespresso AAA por Kg (em US$)]]*60</f>
        <v>21.898876117061196</v>
      </c>
      <c r="AK1010" s="204">
        <f>Delivery[[#This Row],[Valor Prêmio Nespresso AAA por saca (em US$)]]/1.3228/100</f>
        <v>0.16554941122664948</v>
      </c>
      <c r="AL1010" s="204">
        <f>(Delivery[[#This Row],[BEN premium (total)]]/SUMIF(Allocation!C:C,Delivery[Delivery ID],Allocation!H:H))/Delivery[[#This Row],[Exchange rate for premiums VS USD]]</f>
        <v>0.10907118350364961</v>
      </c>
      <c r="AM1010" s="204">
        <f>Delivery[[#This Row],[Valor Prêmio Nespresso BEN por Kg (em US$)]]*60</f>
        <v>6.5442710102189769</v>
      </c>
      <c r="AN1010" s="204">
        <f>Delivery[[#This Row],[Valor Prêmio Nespresso BEN por saca (em US$)]]/1.3228/100</f>
        <v>4.9472868235704397E-2</v>
      </c>
      <c r="AO1010" s="204">
        <f>SUMIF(Allocation[Delivery ID],Delivery[[#This Row],[Delivery ID]],Allocation[Quantity allocated])*16*1.3228*Delivery[[#This Row],[Exchange rate VS USD]]/60</f>
        <v>19856.307404800002</v>
      </c>
      <c r="AP1010" s="204">
        <f>Delivery[[#This Row],[AAA Premium (total)]]</f>
        <v>20545</v>
      </c>
      <c r="AQ1010" s="204">
        <f>Delivery[[#This Row],[Valor pago pelo Cluster]]-Delivery[[#This Row],[Valor efetivamente pago pela Nespresso]]</f>
        <v>688.69259519999832</v>
      </c>
    </row>
    <row r="1011" spans="1:43" ht="15.75">
      <c r="A1011" s="174" t="s">
        <v>69</v>
      </c>
      <c r="B1011" s="232" t="s">
        <v>68</v>
      </c>
      <c r="C1011" s="157">
        <v>1</v>
      </c>
      <c r="D1011" s="157" t="s">
        <v>468</v>
      </c>
      <c r="E1011" s="177" t="s">
        <v>468</v>
      </c>
      <c r="F1011" s="233" t="s">
        <v>543</v>
      </c>
      <c r="G1011" s="234">
        <v>43371</v>
      </c>
      <c r="H1011" s="157" t="s">
        <v>1135</v>
      </c>
      <c r="I1011" s="157" t="s">
        <v>917</v>
      </c>
      <c r="J1011" s="237">
        <v>22090</v>
      </c>
      <c r="K1011" s="175" t="s">
        <v>61</v>
      </c>
      <c r="L1011" s="175" t="s">
        <v>439</v>
      </c>
      <c r="M1011" s="175" t="s">
        <v>1343</v>
      </c>
      <c r="N1011" s="198"/>
      <c r="O1011" s="199"/>
      <c r="P1011" s="181">
        <v>0</v>
      </c>
      <c r="Q1011" s="177">
        <v>43362</v>
      </c>
      <c r="R1011" s="178">
        <v>398.72004000000004</v>
      </c>
      <c r="S1011" s="179">
        <v>147185.35</v>
      </c>
      <c r="T1011" s="182" t="s">
        <v>45</v>
      </c>
      <c r="U1011" s="183">
        <v>4.1360999999999999</v>
      </c>
      <c r="V1011" s="179">
        <v>10624.65</v>
      </c>
      <c r="W1011" s="179">
        <v>0</v>
      </c>
      <c r="X1011" s="196" t="s">
        <v>45</v>
      </c>
      <c r="Y1011" s="200">
        <v>4.1360999999999999</v>
      </c>
      <c r="Z1011" s="220"/>
      <c r="AA1011" s="201">
        <f>Delivery[[#This Row],[Quantity delivered]]*VLOOKUP(Delivery[[#This Row],[Unit]],References!$U:$X,4,FALSE)*VLOOKUP(CONCATENATE(Delivery[[#This Row],[Coffee specie]],Delivery[[#This Row],[Coffee state]]),References!$U:$X,4,FALSE)</f>
        <v>22090</v>
      </c>
      <c r="AB1011" s="202">
        <f>SUMIF(Allocation!C:C,Delivery[[#This Row],[Delivery ID]],Allocation!D:D)/Delivery[[#This Row],[Quantity delivered]]</f>
        <v>1</v>
      </c>
      <c r="AC1011" s="203">
        <f>Delivery[[#This Row],[Quantity delivered]]*Delivery[[#This Row],[Base price (Unidad)]]/60</f>
        <v>146795.42806000001</v>
      </c>
      <c r="AD1011" s="204">
        <f>Delivery[[#This Row],[Nespresso total]]-Delivery[[#This Row],[Qt. Delivery * Base Price]]</f>
        <v>389.92194000000018</v>
      </c>
      <c r="AE1011" s="204">
        <f>Delivery[[#This Row],[AAA Premium (total)]]/Delivery[[#This Row],[Quantity delivered]]*60/Delivery[[#This Row],[Exchange rate VS USD]]</f>
        <v>6.9771672969363188</v>
      </c>
      <c r="AF1011" s="204">
        <f>Delivery[[#This Row],[BEN premium (total)]]/Delivery[[#This Row],[Quantity delivered]]*60/Delivery[[#This Row],[Exchange rate for premiums VS USD]]</f>
        <v>0</v>
      </c>
      <c r="AG1011" s="204">
        <f>COUNTIF(Delivery[Delivery ID],Delivery[[#This Row],[Delivery ID]])</f>
        <v>1</v>
      </c>
      <c r="AH1011" s="204">
        <f>(Delivery[[#This Row],[Nespresso total]]/SUMIF(Allocation!C:C,Delivery[Delivery ID],Allocation!H:H))/Delivery[[#This Row],[Exchange rate VS USD]]</f>
        <v>5.367351360166416</v>
      </c>
      <c r="AI1011" s="204">
        <f>(Delivery[[#This Row],[AAA Premium (total)]]/SUMIF(Allocation!C:C,Delivery[Delivery ID],Allocation!H:H))/Delivery[[#This Row],[Exchange rate VS USD]]</f>
        <v>0.38744501153676036</v>
      </c>
      <c r="AJ1011" s="204">
        <f>Delivery[[#This Row],[Valor Prêmio Nespresso AAA por Kg (em US$)]]*60</f>
        <v>23.246700692205621</v>
      </c>
      <c r="AK1011" s="204">
        <f>Delivery[[#This Row],[Valor Prêmio Nespresso AAA por saca (em US$)]]/1.3228/100</f>
        <v>0.17573859005296055</v>
      </c>
      <c r="AL1011" s="204">
        <f>(Delivery[[#This Row],[BEN premium (total)]]/SUMIF(Allocation!C:C,Delivery[Delivery ID],Allocation!H:H))/Delivery[[#This Row],[Exchange rate for premiums VS USD]]</f>
        <v>0</v>
      </c>
      <c r="AM1011" s="204">
        <f>Delivery[[#This Row],[Valor Prêmio Nespresso BEN por Kg (em US$)]]*60</f>
        <v>0</v>
      </c>
      <c r="AN1011" s="204">
        <f>Delivery[[#This Row],[Valor Prêmio Nespresso BEN por saca (em US$)]]/1.3228/100</f>
        <v>0</v>
      </c>
      <c r="AO1011" s="204">
        <f>SUMIF(Allocation[Delivery ID],Delivery[[#This Row],[Delivery ID]],Allocation[Quantity allocated])*16*1.3228*Delivery[[#This Row],[Exchange rate VS USD]]/60</f>
        <v>9673.1400854400017</v>
      </c>
      <c r="AP1011" s="204">
        <f>Delivery[[#This Row],[AAA Premium (total)]]</f>
        <v>10624.65</v>
      </c>
      <c r="AQ1011" s="204">
        <f>Delivery[[#This Row],[Valor pago pelo Cluster]]-Delivery[[#This Row],[Valor efetivamente pago pela Nespresso]]</f>
        <v>951.50991455999792</v>
      </c>
    </row>
    <row r="1012" spans="1:43" ht="15.75">
      <c r="A1012" s="174" t="s">
        <v>69</v>
      </c>
      <c r="B1012" s="232" t="s">
        <v>68</v>
      </c>
      <c r="C1012" s="157">
        <v>1</v>
      </c>
      <c r="D1012" s="157" t="s">
        <v>468</v>
      </c>
      <c r="E1012" s="177" t="s">
        <v>468</v>
      </c>
      <c r="F1012" s="233" t="s">
        <v>543</v>
      </c>
      <c r="G1012" s="234">
        <v>43369</v>
      </c>
      <c r="H1012" s="157" t="s">
        <v>1136</v>
      </c>
      <c r="I1012" s="157" t="s">
        <v>1107</v>
      </c>
      <c r="J1012" s="237">
        <v>29990</v>
      </c>
      <c r="K1012" s="175" t="s">
        <v>61</v>
      </c>
      <c r="L1012" s="175" t="s">
        <v>439</v>
      </c>
      <c r="M1012" s="175" t="s">
        <v>1343</v>
      </c>
      <c r="N1012" s="198"/>
      <c r="O1012" s="199"/>
      <c r="P1012" s="181">
        <v>0</v>
      </c>
      <c r="Q1012" s="177">
        <v>43362</v>
      </c>
      <c r="R1012" s="178">
        <v>397.85900000000004</v>
      </c>
      <c r="S1012" s="179">
        <v>194531.41302692908</v>
      </c>
      <c r="T1012" s="182" t="s">
        <v>45</v>
      </c>
      <c r="U1012" s="183">
        <v>4.1336000000000004</v>
      </c>
      <c r="V1012" s="179">
        <v>20670</v>
      </c>
      <c r="W1012" s="179">
        <v>5481.2934865354673</v>
      </c>
      <c r="X1012" s="196" t="s">
        <v>45</v>
      </c>
      <c r="Y1012" s="200">
        <v>4.1336000000000004</v>
      </c>
      <c r="Z1012" s="220" t="s">
        <v>473</v>
      </c>
      <c r="AA1012" s="201">
        <f>Delivery[[#This Row],[Quantity delivered]]*VLOOKUP(Delivery[[#This Row],[Unit]],References!$U:$X,4,FALSE)*VLOOKUP(CONCATENATE(Delivery[[#This Row],[Coffee specie]],Delivery[[#This Row],[Coffee state]]),References!$U:$X,4,FALSE)</f>
        <v>29990</v>
      </c>
      <c r="AB1012" s="202">
        <f>SUMIF(Allocation!C:C,Delivery[[#This Row],[Delivery ID]],Allocation!D:D)/Delivery[[#This Row],[Quantity delivered]]</f>
        <v>0.3379126375458486</v>
      </c>
      <c r="AC1012" s="203">
        <f>Delivery[[#This Row],[Quantity delivered]]*Delivery[[#This Row],[Base price (Unidad)]]/60</f>
        <v>198863.1901666667</v>
      </c>
      <c r="AD1012" s="204">
        <f>Delivery[[#This Row],[Nespresso total]]-Delivery[[#This Row],[Qt. Delivery * Base Price]]</f>
        <v>-4331.77713973762</v>
      </c>
      <c r="AE1012" s="204">
        <f>Delivery[[#This Row],[AAA Premium (total)]]/Delivery[[#This Row],[Quantity delivered]]*60/Delivery[[#This Row],[Exchange rate VS USD]]</f>
        <v>10.004302446986877</v>
      </c>
      <c r="AF1012" s="204">
        <f>Delivery[[#This Row],[BEN premium (total)]]/Delivery[[#This Row],[Quantity delivered]]*60/Delivery[[#This Row],[Exchange rate for premiums VS USD]]</f>
        <v>2.652952</v>
      </c>
      <c r="AG1012" s="204">
        <f>COUNTIF(Delivery[Delivery ID],Delivery[[#This Row],[Delivery ID]])</f>
        <v>1</v>
      </c>
      <c r="AH1012" s="204">
        <f>(Delivery[[#This Row],[Nespresso total]]/SUMIF(Allocation!C:C,Delivery[Delivery ID],Allocation!H:H))/Delivery[[#This Row],[Exchange rate VS USD]]</f>
        <v>11.560062722730244</v>
      </c>
      <c r="AI1012" s="204">
        <f>(Delivery[[#This Row],[AAA Premium (total)]]/SUMIF(Allocation!C:C,Delivery[Delivery ID],Allocation!H:H))/Delivery[[#This Row],[Exchange rate VS USD]]</f>
        <v>1.2283183099366921</v>
      </c>
      <c r="AJ1012" s="204">
        <f>Delivery[[#This Row],[Valor Prêmio Nespresso AAA por Kg (em US$)]]*60</f>
        <v>73.699098596201523</v>
      </c>
      <c r="AK1012" s="204">
        <f>Delivery[[#This Row],[Valor Prêmio Nespresso AAA por saca (em US$)]]/1.3228/100</f>
        <v>0.55714468246296889</v>
      </c>
      <c r="AL1012" s="204">
        <f>(Delivery[[#This Row],[BEN premium (total)]]/SUMIF(Allocation!C:C,Delivery[Delivery ID],Allocation!H:H))/Delivery[[#This Row],[Exchange rate for premiums VS USD]]</f>
        <v>0.32572680946532384</v>
      </c>
      <c r="AM1012" s="204">
        <f>Delivery[[#This Row],[Valor Prêmio Nespresso BEN por Kg (em US$)]]*60</f>
        <v>19.543608567919431</v>
      </c>
      <c r="AN1012" s="204">
        <f>Delivery[[#This Row],[Valor Prêmio Nespresso BEN por saca (em US$)]]/1.3228/100</f>
        <v>0.1477442437852996</v>
      </c>
      <c r="AO1012" s="204">
        <f>SUMIF(Allocation[Delivery ID],Delivery[[#This Row],[Delivery ID]],Allocation[Quantity allocated])*16*1.3228*Delivery[[#This Row],[Exchange rate VS USD]]/60</f>
        <v>5935.9805524480007</v>
      </c>
      <c r="AP1012" s="204">
        <f>Delivery[[#This Row],[AAA Premium (total)]]</f>
        <v>20670</v>
      </c>
      <c r="AQ1012" s="204">
        <f>Delivery[[#This Row],[Valor pago pelo Cluster]]-Delivery[[#This Row],[Valor efetivamente pago pela Nespresso]]</f>
        <v>14734.019447552</v>
      </c>
    </row>
    <row r="1013" spans="1:43" ht="15.75">
      <c r="A1013" s="174" t="s">
        <v>69</v>
      </c>
      <c r="B1013" s="232" t="s">
        <v>68</v>
      </c>
      <c r="C1013" s="157">
        <v>1</v>
      </c>
      <c r="D1013" s="157" t="s">
        <v>468</v>
      </c>
      <c r="E1013" s="177" t="s">
        <v>468</v>
      </c>
      <c r="F1013" s="233" t="s">
        <v>543</v>
      </c>
      <c r="G1013" s="234">
        <v>43376</v>
      </c>
      <c r="H1013" s="235" t="s">
        <v>1674</v>
      </c>
      <c r="I1013" s="157" t="s">
        <v>1641</v>
      </c>
      <c r="J1013" s="237">
        <v>16730</v>
      </c>
      <c r="K1013" s="175" t="s">
        <v>61</v>
      </c>
      <c r="L1013" s="175" t="s">
        <v>439</v>
      </c>
      <c r="M1013" s="175" t="s">
        <v>1343</v>
      </c>
      <c r="N1013" s="198"/>
      <c r="O1013" s="199"/>
      <c r="P1013" s="181">
        <v>0</v>
      </c>
      <c r="Q1013" s="177">
        <v>43370</v>
      </c>
      <c r="R1013" s="178">
        <v>397.36880999999994</v>
      </c>
      <c r="S1013" s="179">
        <v>108804.48</v>
      </c>
      <c r="T1013" s="182" t="s">
        <v>45</v>
      </c>
      <c r="U1013" s="183">
        <v>4.0016999999999996</v>
      </c>
      <c r="V1013" s="179">
        <v>11165.58</v>
      </c>
      <c r="W1013" s="179">
        <v>0</v>
      </c>
      <c r="X1013" s="196" t="s">
        <v>45</v>
      </c>
      <c r="Y1013" s="200">
        <v>4.0016999999999996</v>
      </c>
      <c r="Z1013" s="221"/>
      <c r="AA1013" s="201">
        <f>Delivery[[#This Row],[Quantity delivered]]*VLOOKUP(Delivery[[#This Row],[Unit]],References!$U:$X,4,FALSE)*VLOOKUP(CONCATENATE(Delivery[[#This Row],[Coffee specie]],Delivery[[#This Row],[Coffee state]]),References!$U:$X,4,FALSE)</f>
        <v>16730</v>
      </c>
      <c r="AB1013" s="202">
        <f>SUMIF(Allocation!C:C,Delivery[[#This Row],[Delivery ID]],Allocation!D:D)/Delivery[[#This Row],[Quantity delivered]]</f>
        <v>0.29635385534967124</v>
      </c>
      <c r="AC1013" s="203">
        <f>Delivery[[#This Row],[Quantity delivered]]*Delivery[[#This Row],[Base price (Unidad)]]/60</f>
        <v>110799.66985499999</v>
      </c>
      <c r="AD1013" s="204">
        <f>Delivery[[#This Row],[Nespresso total]]-Delivery[[#This Row],[Qt. Delivery * Base Price]]</f>
        <v>-1995.1898549999896</v>
      </c>
      <c r="AE1013" s="204">
        <f>Delivery[[#This Row],[AAA Premium (total)]]/Delivery[[#This Row],[Quantity delivered]]*60/Delivery[[#This Row],[Exchange rate VS USD]]</f>
        <v>10.006727415803455</v>
      </c>
      <c r="AF1013" s="204">
        <f>Delivery[[#This Row],[BEN premium (total)]]/Delivery[[#This Row],[Quantity delivered]]*60/Delivery[[#This Row],[Exchange rate for premiums VS USD]]</f>
        <v>0</v>
      </c>
      <c r="AG1013" s="204">
        <f>COUNTIF(Delivery[Delivery ID],Delivery[[#This Row],[Delivery ID]])</f>
        <v>1</v>
      </c>
      <c r="AH1013" s="204">
        <f>(Delivery[[#This Row],[Nespresso total]]/SUMIF(Allocation!C:C,Delivery[Delivery ID],Allocation!H:H))/Delivery[[#This Row],[Exchange rate VS USD]]</f>
        <v>13.711328509891617</v>
      </c>
      <c r="AI1013" s="204">
        <f>(Delivery[[#This Row],[AAA Premium (total)]]/SUMIF(Allocation!C:C,Delivery[Delivery ID],Allocation!H:H))/Delivery[[#This Row],[Exchange rate VS USD]]</f>
        <v>1.4070646299074785</v>
      </c>
      <c r="AJ1013" s="204">
        <f>Delivery[[#This Row],[Valor Prêmio Nespresso AAA por Kg (em US$)]]*60</f>
        <v>84.423877794448714</v>
      </c>
      <c r="AK1013" s="204">
        <f>Delivery[[#This Row],[Valor Prêmio Nespresso AAA por saca (em US$)]]/1.3228/100</f>
        <v>0.63822102959214322</v>
      </c>
      <c r="AL1013" s="204">
        <f>(Delivery[[#This Row],[BEN premium (total)]]/SUMIF(Allocation!C:C,Delivery[Delivery ID],Allocation!H:H))/Delivery[[#This Row],[Exchange rate for premiums VS USD]]</f>
        <v>0</v>
      </c>
      <c r="AM1013" s="204">
        <f>Delivery[[#This Row],[Valor Prêmio Nespresso BEN por Kg (em US$)]]*60</f>
        <v>0</v>
      </c>
      <c r="AN1013" s="204">
        <f>Delivery[[#This Row],[Valor Prêmio Nespresso BEN por saca (em US$)]]/1.3228/100</f>
        <v>0</v>
      </c>
      <c r="AO1013" s="204">
        <f>SUMIF(Allocation[Delivery ID],Delivery[[#This Row],[Delivery ID]],Allocation[Quantity allocated])*16*1.3228*Delivery[[#This Row],[Exchange rate VS USD]]/60</f>
        <v>2799.1757042879995</v>
      </c>
      <c r="AP1013" s="204">
        <f>Delivery[[#This Row],[AAA Premium (total)]]</f>
        <v>11165.58</v>
      </c>
      <c r="AQ1013" s="204">
        <f>Delivery[[#This Row],[Valor pago pelo Cluster]]-Delivery[[#This Row],[Valor efetivamente pago pela Nespresso]]</f>
        <v>8366.404295712</v>
      </c>
    </row>
    <row r="1014" spans="1:43" ht="15.75">
      <c r="A1014" s="174" t="s">
        <v>69</v>
      </c>
      <c r="B1014" s="232" t="s">
        <v>68</v>
      </c>
      <c r="C1014" s="157">
        <v>1</v>
      </c>
      <c r="D1014" s="157" t="s">
        <v>468</v>
      </c>
      <c r="E1014" s="177" t="s">
        <v>468</v>
      </c>
      <c r="F1014" s="233" t="s">
        <v>543</v>
      </c>
      <c r="G1014" s="234">
        <v>43370</v>
      </c>
      <c r="H1014" s="157" t="s">
        <v>1137</v>
      </c>
      <c r="I1014" s="157" t="s">
        <v>1107</v>
      </c>
      <c r="J1014" s="237">
        <v>31920</v>
      </c>
      <c r="K1014" s="175" t="s">
        <v>61</v>
      </c>
      <c r="L1014" s="175" t="s">
        <v>439</v>
      </c>
      <c r="M1014" s="175" t="s">
        <v>1343</v>
      </c>
      <c r="N1014" s="198"/>
      <c r="O1014" s="199"/>
      <c r="P1014" s="181">
        <v>0</v>
      </c>
      <c r="Q1014" s="177">
        <v>43362</v>
      </c>
      <c r="R1014" s="178">
        <v>397.85900000000004</v>
      </c>
      <c r="S1014" s="179">
        <v>206977.53810001921</v>
      </c>
      <c r="T1014" s="182" t="s">
        <v>45</v>
      </c>
      <c r="U1014" s="183">
        <v>4.1336000000000004</v>
      </c>
      <c r="V1014" s="179">
        <v>21992.880000000001</v>
      </c>
      <c r="W1014" s="179">
        <v>5834.0409499904008</v>
      </c>
      <c r="X1014" s="196" t="s">
        <v>45</v>
      </c>
      <c r="Y1014" s="200">
        <v>4.1336000000000004</v>
      </c>
      <c r="Z1014" s="220" t="s">
        <v>473</v>
      </c>
      <c r="AA1014" s="201">
        <f>Delivery[[#This Row],[Quantity delivered]]*VLOOKUP(Delivery[[#This Row],[Unit]],References!$U:$X,4,FALSE)*VLOOKUP(CONCATENATE(Delivery[[#This Row],[Coffee specie]],Delivery[[#This Row],[Coffee state]]),References!$U:$X,4,FALSE)</f>
        <v>31920</v>
      </c>
      <c r="AB1014" s="202">
        <f>SUMIF(Allocation!C:C,Delivery[[#This Row],[Delivery ID]],Allocation!D:D)/Delivery[[#This Row],[Quantity delivered]]</f>
        <v>0.85964912280701755</v>
      </c>
      <c r="AC1014" s="203">
        <f>Delivery[[#This Row],[Quantity delivered]]*Delivery[[#This Row],[Base price (Unidad)]]/60</f>
        <v>211660.98800000001</v>
      </c>
      <c r="AD1014" s="204">
        <f>Delivery[[#This Row],[Nespresso total]]-Delivery[[#This Row],[Qt. Delivery * Base Price]]</f>
        <v>-4683.4498999807984</v>
      </c>
      <c r="AE1014" s="204">
        <f>Delivery[[#This Row],[AAA Premium (total)]]/Delivery[[#This Row],[Quantity delivered]]*60/Delivery[[#This Row],[Exchange rate VS USD]]</f>
        <v>10.000967679504548</v>
      </c>
      <c r="AF1014" s="204">
        <f>Delivery[[#This Row],[BEN premium (total)]]/Delivery[[#This Row],[Quantity delivered]]*60/Delivery[[#This Row],[Exchange rate for premiums VS USD]]</f>
        <v>2.652952</v>
      </c>
      <c r="AG1014" s="204">
        <f>COUNTIF(Delivery[Delivery ID],Delivery[[#This Row],[Delivery ID]])</f>
        <v>1</v>
      </c>
      <c r="AH1014" s="204">
        <f>(Delivery[[#This Row],[Nespresso total]]/SUMIF(Allocation!C:C,Delivery[Delivery ID],Allocation!H:H))/Delivery[[#This Row],[Exchange rate VS USD]]</f>
        <v>4.5619515652608138</v>
      </c>
      <c r="AI1014" s="204">
        <f>(Delivery[[#This Row],[AAA Premium (total)]]/SUMIF(Allocation!C:C,Delivery[Delivery ID],Allocation!H:H))/Delivery[[#This Row],[Exchange rate VS USD]]</f>
        <v>0.48474078038414903</v>
      </c>
      <c r="AJ1014" s="204">
        <f>Delivery[[#This Row],[Valor Prêmio Nespresso AAA por Kg (em US$)]]*60</f>
        <v>29.084446823048943</v>
      </c>
      <c r="AK1014" s="204">
        <f>Delivery[[#This Row],[Valor Prêmio Nespresso AAA por saca (em US$)]]/1.3228/100</f>
        <v>0.21987032675422544</v>
      </c>
      <c r="AL1014" s="204">
        <f>(Delivery[[#This Row],[BEN premium (total)]]/SUMIF(Allocation!C:C,Delivery[Delivery ID],Allocation!H:H))/Delivery[[#This Row],[Exchange rate for premiums VS USD]]</f>
        <v>0.12858695918367347</v>
      </c>
      <c r="AM1014" s="204">
        <f>Delivery[[#This Row],[Valor Prêmio Nespresso BEN por Kg (em US$)]]*60</f>
        <v>7.715217551020408</v>
      </c>
      <c r="AN1014" s="204">
        <f>Delivery[[#This Row],[Valor Prêmio Nespresso BEN por saca (em US$)]]/1.3228/100</f>
        <v>5.8324898329455761E-2</v>
      </c>
      <c r="AO1014" s="204">
        <f>SUMIF(Allocation[Delivery ID],Delivery[[#This Row],[Delivery ID]],Allocation[Quantity allocated])*16*1.3228*Delivery[[#This Row],[Exchange rate VS USD]]/60</f>
        <v>16004.255107754667</v>
      </c>
      <c r="AP1014" s="204">
        <f>Delivery[[#This Row],[AAA Premium (total)]]</f>
        <v>21992.880000000001</v>
      </c>
      <c r="AQ1014" s="204">
        <f>Delivery[[#This Row],[Valor pago pelo Cluster]]-Delivery[[#This Row],[Valor efetivamente pago pela Nespresso]]</f>
        <v>5988.6248922453342</v>
      </c>
    </row>
    <row r="1015" spans="1:43" ht="15.75">
      <c r="A1015" s="174" t="s">
        <v>69</v>
      </c>
      <c r="B1015" s="232" t="s">
        <v>68</v>
      </c>
      <c r="C1015" s="157">
        <v>1</v>
      </c>
      <c r="D1015" s="157" t="s">
        <v>468</v>
      </c>
      <c r="E1015" s="177" t="s">
        <v>468</v>
      </c>
      <c r="F1015" s="233" t="s">
        <v>543</v>
      </c>
      <c r="G1015" s="234">
        <v>43376</v>
      </c>
      <c r="H1015" s="157" t="s">
        <v>1138</v>
      </c>
      <c r="I1015" s="157" t="s">
        <v>1139</v>
      </c>
      <c r="J1015" s="237">
        <v>3000</v>
      </c>
      <c r="K1015" s="175" t="s">
        <v>61</v>
      </c>
      <c r="L1015" s="175" t="s">
        <v>439</v>
      </c>
      <c r="M1015" s="175" t="s">
        <v>1343</v>
      </c>
      <c r="N1015" s="198"/>
      <c r="O1015" s="199"/>
      <c r="P1015" s="181">
        <v>0</v>
      </c>
      <c r="Q1015" s="177">
        <v>43369</v>
      </c>
      <c r="R1015" s="178">
        <v>398.12243999999998</v>
      </c>
      <c r="S1015" s="179">
        <v>20581</v>
      </c>
      <c r="T1015" s="182" t="s">
        <v>45</v>
      </c>
      <c r="U1015" s="183">
        <v>4.0541999999999998</v>
      </c>
      <c r="V1015" s="179">
        <v>1419</v>
      </c>
      <c r="W1015" s="179">
        <v>0</v>
      </c>
      <c r="X1015" s="196" t="s">
        <v>45</v>
      </c>
      <c r="Y1015" s="200">
        <v>4.0541999999999998</v>
      </c>
      <c r="Z1015" s="220"/>
      <c r="AA1015" s="201">
        <f>Delivery[[#This Row],[Quantity delivered]]*VLOOKUP(Delivery[[#This Row],[Unit]],References!$U:$X,4,FALSE)*VLOOKUP(CONCATENATE(Delivery[[#This Row],[Coffee specie]],Delivery[[#This Row],[Coffee state]]),References!$U:$X,4,FALSE)</f>
        <v>3000</v>
      </c>
      <c r="AB1015" s="202">
        <f>SUMIF(Allocation!C:C,Delivery[[#This Row],[Delivery ID]],Allocation!D:D)/Delivery[[#This Row],[Quantity delivered]]</f>
        <v>1</v>
      </c>
      <c r="AC1015" s="203">
        <f>Delivery[[#This Row],[Quantity delivered]]*Delivery[[#This Row],[Base price (Unidad)]]/60</f>
        <v>19906.121999999999</v>
      </c>
      <c r="AD1015" s="204">
        <f>Delivery[[#This Row],[Nespresso total]]-Delivery[[#This Row],[Qt. Delivery * Base Price]]</f>
        <v>674.87800000000061</v>
      </c>
      <c r="AE1015" s="204">
        <f>Delivery[[#This Row],[AAA Premium (total)]]/Delivery[[#This Row],[Quantity delivered]]*60/Delivery[[#This Row],[Exchange rate VS USD]]</f>
        <v>7.0001479946721918</v>
      </c>
      <c r="AF1015" s="204">
        <f>Delivery[[#This Row],[BEN premium (total)]]/Delivery[[#This Row],[Quantity delivered]]*60/Delivery[[#This Row],[Exchange rate for premiums VS USD]]</f>
        <v>0</v>
      </c>
      <c r="AG1015" s="204">
        <f>COUNTIF(Delivery[Delivery ID],Delivery[[#This Row],[Delivery ID]])</f>
        <v>1</v>
      </c>
      <c r="AH1015" s="204">
        <f>(Delivery[[#This Row],[Nespresso total]]/SUMIF(Allocation!C:C,Delivery[Delivery ID],Allocation!H:H))/Delivery[[#This Row],[Exchange rate VS USD]]</f>
        <v>3.6003290169969957</v>
      </c>
      <c r="AI1015" s="204">
        <f>(Delivery[[#This Row],[AAA Premium (total)]]/SUMIF(Allocation!C:C,Delivery[Delivery ID],Allocation!H:H))/Delivery[[#This Row],[Exchange rate VS USD]]</f>
        <v>0.24823219839263092</v>
      </c>
      <c r="AJ1015" s="204">
        <f>Delivery[[#This Row],[Valor Prêmio Nespresso AAA por Kg (em US$)]]*60</f>
        <v>14.893931903557855</v>
      </c>
      <c r="AK1015" s="204">
        <f>Delivery[[#This Row],[Valor Prêmio Nespresso AAA por saca (em US$)]]/1.3228/100</f>
        <v>0.11259398173236963</v>
      </c>
      <c r="AL1015" s="204">
        <f>(Delivery[[#This Row],[BEN premium (total)]]/SUMIF(Allocation!C:C,Delivery[Delivery ID],Allocation!H:H))/Delivery[[#This Row],[Exchange rate for premiums VS USD]]</f>
        <v>0</v>
      </c>
      <c r="AM1015" s="204">
        <f>Delivery[[#This Row],[Valor Prêmio Nespresso BEN por Kg (em US$)]]*60</f>
        <v>0</v>
      </c>
      <c r="AN1015" s="204">
        <f>Delivery[[#This Row],[Valor Prêmio Nespresso BEN por saca (em US$)]]/1.3228/100</f>
        <v>0</v>
      </c>
      <c r="AO1015" s="204">
        <f>SUMIF(Allocation[Delivery ID],Delivery[[#This Row],[Delivery ID]],Allocation[Quantity allocated])*16*1.3228*Delivery[[#This Row],[Exchange rate VS USD]]/60</f>
        <v>2016.4488057599997</v>
      </c>
      <c r="AP1015" s="204">
        <f>Delivery[[#This Row],[AAA Premium (total)]]</f>
        <v>1419</v>
      </c>
      <c r="AQ1015" s="204">
        <f>Delivery[[#This Row],[Valor pago pelo Cluster]]-Delivery[[#This Row],[Valor efetivamente pago pela Nespresso]]</f>
        <v>-597.44880575999969</v>
      </c>
    </row>
    <row r="1016" spans="1:43" ht="15.75">
      <c r="A1016" s="174" t="s">
        <v>69</v>
      </c>
      <c r="B1016" s="232" t="s">
        <v>68</v>
      </c>
      <c r="C1016" s="157">
        <v>1</v>
      </c>
      <c r="D1016" s="157" t="s">
        <v>468</v>
      </c>
      <c r="E1016" s="177" t="s">
        <v>468</v>
      </c>
      <c r="F1016" s="233" t="s">
        <v>543</v>
      </c>
      <c r="G1016" s="234">
        <v>43376</v>
      </c>
      <c r="H1016" s="157" t="s">
        <v>1302</v>
      </c>
      <c r="I1016" s="157" t="s">
        <v>1063</v>
      </c>
      <c r="J1016" s="237">
        <v>6402.5</v>
      </c>
      <c r="K1016" s="175" t="s">
        <v>61</v>
      </c>
      <c r="L1016" s="175" t="s">
        <v>439</v>
      </c>
      <c r="M1016" s="175" t="s">
        <v>1343</v>
      </c>
      <c r="N1016" s="198"/>
      <c r="O1016" s="199"/>
      <c r="P1016" s="181">
        <v>0</v>
      </c>
      <c r="Q1016" s="177">
        <v>43369</v>
      </c>
      <c r="R1016" s="178">
        <v>398.12243999999998</v>
      </c>
      <c r="S1016" s="179">
        <v>40522.976949430384</v>
      </c>
      <c r="T1016" s="182" t="s">
        <v>45</v>
      </c>
      <c r="U1016" s="183">
        <v>4.0541999999999998</v>
      </c>
      <c r="V1016" s="179">
        <v>2979.9</v>
      </c>
      <c r="W1016" s="179">
        <v>1348.5615252848049</v>
      </c>
      <c r="X1016" s="196" t="s">
        <v>45</v>
      </c>
      <c r="Y1016" s="200">
        <v>4.0541999999999998</v>
      </c>
      <c r="Z1016" s="220" t="s">
        <v>473</v>
      </c>
      <c r="AA1016" s="201">
        <f>Delivery[[#This Row],[Quantity delivered]]*VLOOKUP(Delivery[[#This Row],[Unit]],References!$U:$X,4,FALSE)*VLOOKUP(CONCATENATE(Delivery[[#This Row],[Coffee specie]],Delivery[[#This Row],[Coffee state]]),References!$U:$X,4,FALSE)</f>
        <v>6402.5</v>
      </c>
      <c r="AB1016" s="202">
        <f>SUMIF(Allocation!C:C,Delivery[[#This Row],[Delivery ID]],Allocation!D:D)/Delivery[[#This Row],[Quantity delivered]]</f>
        <v>0.99992190550566185</v>
      </c>
      <c r="AC1016" s="203">
        <f>Delivery[[#This Row],[Quantity delivered]]*Delivery[[#This Row],[Base price (Unidad)]]/60</f>
        <v>42482.982035000001</v>
      </c>
      <c r="AD1016" s="204">
        <f>Delivery[[#This Row],[Nespresso total]]-Delivery[[#This Row],[Qt. Delivery * Base Price]]</f>
        <v>-1960.0050855696172</v>
      </c>
      <c r="AE1016" s="204">
        <f>Delivery[[#This Row],[AAA Premium (total)]]/Delivery[[#This Row],[Quantity delivered]]*60/Delivery[[#This Row],[Exchange rate VS USD]]</f>
        <v>6.8880800259952846</v>
      </c>
      <c r="AF1016" s="204">
        <f>Delivery[[#This Row],[BEN premium (total)]]/Delivery[[#This Row],[Quantity delivered]]*60/Delivery[[#This Row],[Exchange rate for premiums VS USD]]</f>
        <v>3.1172185999999997</v>
      </c>
      <c r="AG1016" s="204">
        <f>COUNTIF(Delivery[Delivery ID],Delivery[[#This Row],[Delivery ID]])</f>
        <v>1</v>
      </c>
      <c r="AH1016" s="204">
        <f>(Delivery[[#This Row],[Nespresso total]]/SUMIF(Allocation!C:C,Delivery[Delivery ID],Allocation!H:H))/Delivery[[#This Row],[Exchange rate VS USD]]</f>
        <v>3.3218038605665572</v>
      </c>
      <c r="AI1016" s="204">
        <f>(Delivery[[#This Row],[AAA Premium (total)]]/SUMIF(Allocation!C:C,Delivery[Delivery ID],Allocation!H:H))/Delivery[[#This Row],[Exchange rate VS USD]]</f>
        <v>0.24427236272535066</v>
      </c>
      <c r="AJ1016" s="204">
        <f>Delivery[[#This Row],[Valor Prêmio Nespresso AAA por Kg (em US$)]]*60</f>
        <v>14.65634176352104</v>
      </c>
      <c r="AK1016" s="204">
        <f>Delivery[[#This Row],[Valor Prêmio Nespresso AAA por saca (em US$)]]/1.3228/100</f>
        <v>0.11079786637073662</v>
      </c>
      <c r="AL1016" s="204">
        <f>(Delivery[[#This Row],[BEN premium (total)]]/SUMIF(Allocation!C:C,Delivery[Delivery ID],Allocation!H:H))/Delivery[[#This Row],[Exchange rate for premiums VS USD]]</f>
        <v>0.11054609552730697</v>
      </c>
      <c r="AM1016" s="204">
        <f>Delivery[[#This Row],[Valor Prêmio Nespresso BEN por Kg (em US$)]]*60</f>
        <v>6.6327657316384183</v>
      </c>
      <c r="AN1016" s="204">
        <f>Delivery[[#This Row],[Valor Prêmio Nespresso BEN por saca (em US$)]]/1.3228/100</f>
        <v>5.0141863710601892E-2</v>
      </c>
      <c r="AO1016" s="204">
        <f>SUMIF(Allocation[Delivery ID],Delivery[[#This Row],[Delivery ID]],Allocation[Quantity allocated])*16*1.3228*Delivery[[#This Row],[Exchange rate VS USD]]/60</f>
        <v>4303.1875578239997</v>
      </c>
      <c r="AP1016" s="204">
        <f>Delivery[[#This Row],[AAA Premium (total)]]</f>
        <v>2979.9</v>
      </c>
      <c r="AQ1016" s="204">
        <f>Delivery[[#This Row],[Valor pago pelo Cluster]]-Delivery[[#This Row],[Valor efetivamente pago pela Nespresso]]</f>
        <v>-1323.2875578239996</v>
      </c>
    </row>
    <row r="1017" spans="1:43" ht="15.75">
      <c r="A1017" s="174" t="s">
        <v>69</v>
      </c>
      <c r="B1017" s="232" t="s">
        <v>68</v>
      </c>
      <c r="C1017" s="157">
        <v>1</v>
      </c>
      <c r="D1017" s="157" t="s">
        <v>468</v>
      </c>
      <c r="E1017" s="177" t="s">
        <v>468</v>
      </c>
      <c r="F1017" s="233" t="s">
        <v>543</v>
      </c>
      <c r="G1017" s="234">
        <v>43376</v>
      </c>
      <c r="H1017" s="157" t="s">
        <v>1140</v>
      </c>
      <c r="I1017" s="157" t="s">
        <v>1141</v>
      </c>
      <c r="J1017" s="237">
        <v>37320</v>
      </c>
      <c r="K1017" s="175" t="s">
        <v>61</v>
      </c>
      <c r="L1017" s="175" t="s">
        <v>439</v>
      </c>
      <c r="M1017" s="175" t="s">
        <v>1343</v>
      </c>
      <c r="N1017" s="198"/>
      <c r="O1017" s="199"/>
      <c r="P1017" s="181">
        <v>0</v>
      </c>
      <c r="Q1017" s="177">
        <v>43369</v>
      </c>
      <c r="R1017" s="178">
        <v>398.12243999999998</v>
      </c>
      <c r="S1017" s="179">
        <v>256027.64</v>
      </c>
      <c r="T1017" s="182" t="s">
        <v>45</v>
      </c>
      <c r="U1017" s="183">
        <v>4.0541999999999998</v>
      </c>
      <c r="V1017" s="179">
        <v>17652.36</v>
      </c>
      <c r="W1017" s="179">
        <v>0</v>
      </c>
      <c r="X1017" s="196" t="s">
        <v>45</v>
      </c>
      <c r="Y1017" s="200">
        <v>4.0541999999999998</v>
      </c>
      <c r="Z1017" s="220"/>
      <c r="AA1017" s="201">
        <f>Delivery[[#This Row],[Quantity delivered]]*VLOOKUP(Delivery[[#This Row],[Unit]],References!$U:$X,4,FALSE)*VLOOKUP(CONCATENATE(Delivery[[#This Row],[Coffee specie]],Delivery[[#This Row],[Coffee state]]),References!$U:$X,4,FALSE)</f>
        <v>37320</v>
      </c>
      <c r="AB1017" s="202">
        <f>SUMIF(Allocation!C:C,Delivery[[#This Row],[Delivery ID]],Allocation!D:D)/Delivery[[#This Row],[Quantity delivered]]</f>
        <v>0.70935155412647377</v>
      </c>
      <c r="AC1017" s="203">
        <f>Delivery[[#This Row],[Quantity delivered]]*Delivery[[#This Row],[Base price (Unidad)]]/60</f>
        <v>247632.15768</v>
      </c>
      <c r="AD1017" s="204">
        <f>Delivery[[#This Row],[Nespresso total]]-Delivery[[#This Row],[Qt. Delivery * Base Price]]</f>
        <v>8395.4823200000101</v>
      </c>
      <c r="AE1017" s="204">
        <f>Delivery[[#This Row],[AAA Premium (total)]]/Delivery[[#This Row],[Quantity delivered]]*60/Delivery[[#This Row],[Exchange rate VS USD]]</f>
        <v>7.0001479946721927</v>
      </c>
      <c r="AF1017" s="204">
        <f>Delivery[[#This Row],[BEN premium (total)]]/Delivery[[#This Row],[Quantity delivered]]*60/Delivery[[#This Row],[Exchange rate for premiums VS USD]]</f>
        <v>0</v>
      </c>
      <c r="AG1017" s="204">
        <f>COUNTIF(Delivery[Delivery ID],Delivery[[#This Row],[Delivery ID]])</f>
        <v>1</v>
      </c>
      <c r="AH1017" s="204">
        <f>(Delivery[[#This Row],[Nespresso total]]/SUMIF(Allocation!C:C,Delivery[Delivery ID],Allocation!H:H))/Delivery[[#This Row],[Exchange rate VS USD]]</f>
        <v>5.075647893404124</v>
      </c>
      <c r="AI1017" s="204">
        <f>(Delivery[[#This Row],[AAA Premium (total)]]/SUMIF(Allocation!C:C,Delivery[Delivery ID],Allocation!H:H))/Delivery[[#This Row],[Exchange rate VS USD]]</f>
        <v>0.34995113749285511</v>
      </c>
      <c r="AJ1017" s="204">
        <f>Delivery[[#This Row],[Valor Prêmio Nespresso AAA por Kg (em US$)]]*60</f>
        <v>20.997068249571306</v>
      </c>
      <c r="AK1017" s="204">
        <f>Delivery[[#This Row],[Valor Prêmio Nespresso AAA por saca (em US$)]]/1.3228/100</f>
        <v>0.15873199462935672</v>
      </c>
      <c r="AL1017" s="204">
        <f>(Delivery[[#This Row],[BEN premium (total)]]/SUMIF(Allocation!C:C,Delivery[Delivery ID],Allocation!H:H))/Delivery[[#This Row],[Exchange rate for premiums VS USD]]</f>
        <v>0</v>
      </c>
      <c r="AM1017" s="204">
        <f>Delivery[[#This Row],[Valor Prêmio Nespresso BEN por Kg (em US$)]]*60</f>
        <v>0</v>
      </c>
      <c r="AN1017" s="204">
        <f>Delivery[[#This Row],[Valor Prêmio Nespresso BEN por saca (em US$)]]/1.3228/100</f>
        <v>0</v>
      </c>
      <c r="AO1017" s="204">
        <f>SUMIF(Allocation[Delivery ID],Delivery[[#This Row],[Delivery ID]],Allocation[Quantity allocated])*16*1.3228*Delivery[[#This Row],[Exchange rate VS USD]]/60</f>
        <v>17793.373078911998</v>
      </c>
      <c r="AP1017" s="204">
        <f>Delivery[[#This Row],[AAA Premium (total)]]</f>
        <v>17652.36</v>
      </c>
      <c r="AQ1017" s="204">
        <f>Delivery[[#This Row],[Valor pago pelo Cluster]]-Delivery[[#This Row],[Valor efetivamente pago pela Nespresso]]</f>
        <v>-141.01307891199758</v>
      </c>
    </row>
    <row r="1018" spans="1:43" ht="15.75">
      <c r="A1018" s="174" t="s">
        <v>69</v>
      </c>
      <c r="B1018" s="232" t="s">
        <v>68</v>
      </c>
      <c r="C1018" s="157" t="s">
        <v>1344</v>
      </c>
      <c r="D1018" s="157" t="s">
        <v>468</v>
      </c>
      <c r="E1018" s="177" t="s">
        <v>468</v>
      </c>
      <c r="F1018" s="233" t="s">
        <v>543</v>
      </c>
      <c r="G1018" s="234">
        <v>43378</v>
      </c>
      <c r="H1018" s="157" t="s">
        <v>1675</v>
      </c>
      <c r="I1018" s="157" t="s">
        <v>885</v>
      </c>
      <c r="J1018" s="237">
        <v>29980</v>
      </c>
      <c r="K1018" s="175" t="s">
        <v>61</v>
      </c>
      <c r="L1018" s="175" t="s">
        <v>439</v>
      </c>
      <c r="M1018" s="175" t="s">
        <v>1343</v>
      </c>
      <c r="N1018" s="198"/>
      <c r="O1018" s="199"/>
      <c r="P1018" s="181">
        <v>0</v>
      </c>
      <c r="Q1018" s="177">
        <v>43381</v>
      </c>
      <c r="R1018" s="178">
        <v>461.5</v>
      </c>
      <c r="S1018" s="179">
        <v>238869</v>
      </c>
      <c r="T1018" s="182" t="s">
        <v>45</v>
      </c>
      <c r="U1018" s="183">
        <v>3.55</v>
      </c>
      <c r="V1018" s="179">
        <v>12425</v>
      </c>
      <c r="W1018" s="179">
        <v>0</v>
      </c>
      <c r="X1018" s="196" t="s">
        <v>45</v>
      </c>
      <c r="Y1018" s="200">
        <v>3.55</v>
      </c>
      <c r="Z1018" s="220" t="s">
        <v>483</v>
      </c>
      <c r="AA1018" s="201">
        <f>Delivery[[#This Row],[Quantity delivered]]*VLOOKUP(Delivery[[#This Row],[Unit]],References!$U:$X,4,FALSE)*VLOOKUP(CONCATENATE(Delivery[[#This Row],[Coffee specie]],Delivery[[#This Row],[Coffee state]]),References!$U:$X,4,FALSE)</f>
        <v>29980</v>
      </c>
      <c r="AB1018" s="202">
        <f>SUMIF(Allocation!C:C,Delivery[[#This Row],[Delivery ID]],Allocation!D:D)/Delivery[[#This Row],[Quantity delivered]]</f>
        <v>0.71200800533689124</v>
      </c>
      <c r="AC1018" s="203">
        <f>Delivery[[#This Row],[Quantity delivered]]*Delivery[[#This Row],[Base price (Unidad)]]/60</f>
        <v>230596.16666666666</v>
      </c>
      <c r="AD1018" s="204">
        <f>Delivery[[#This Row],[Nespresso total]]-Delivery[[#This Row],[Qt. Delivery * Base Price]]</f>
        <v>8272.833333333343</v>
      </c>
      <c r="AE1018" s="204">
        <f>Delivery[[#This Row],[AAA Premium (total)]]/Delivery[[#This Row],[Quantity delivered]]*60/Delivery[[#This Row],[Exchange rate VS USD]]</f>
        <v>7.004669779853236</v>
      </c>
      <c r="AF1018" s="204">
        <f>Delivery[[#This Row],[BEN premium (total)]]/Delivery[[#This Row],[Quantity delivered]]*60/Delivery[[#This Row],[Exchange rate for premiums VS USD]]</f>
        <v>0</v>
      </c>
      <c r="AG1018" s="204">
        <f>COUNTIF(Delivery[Delivery ID],Delivery[[#This Row],[Delivery ID]])</f>
        <v>1</v>
      </c>
      <c r="AH1018" s="204">
        <f>(Delivery[[#This Row],[Nespresso total]]/SUMIF(Allocation!C:C,Delivery[Delivery ID],Allocation!H:H))/Delivery[[#This Row],[Exchange rate VS USD]]</f>
        <v>9.5523910070302573</v>
      </c>
      <c r="AI1018" s="204">
        <f>(Delivery[[#This Row],[AAA Premium (total)]]/SUMIF(Allocation!C:C,Delivery[Delivery ID],Allocation!H:H))/Delivery[[#This Row],[Exchange rate VS USD]]</f>
        <v>0.4968767745599092</v>
      </c>
      <c r="AJ1018" s="204">
        <f>Delivery[[#This Row],[Valor Prêmio Nespresso AAA por Kg (em US$)]]*60</f>
        <v>29.812606473594553</v>
      </c>
      <c r="AK1018" s="204">
        <f>Delivery[[#This Row],[Valor Prêmio Nespresso AAA por saca (em US$)]]/1.3228/100</f>
        <v>0.22537501113996489</v>
      </c>
      <c r="AL1018" s="204">
        <f>(Delivery[[#This Row],[BEN premium (total)]]/SUMIF(Allocation!C:C,Delivery[Delivery ID],Allocation!H:H))/Delivery[[#This Row],[Exchange rate for premiums VS USD]]</f>
        <v>0</v>
      </c>
      <c r="AM1018" s="204">
        <f>Delivery[[#This Row],[Valor Prêmio Nespresso BEN por Kg (em US$)]]*60</f>
        <v>0</v>
      </c>
      <c r="AN1018" s="204">
        <f>Delivery[[#This Row],[Valor Prêmio Nespresso BEN por saca (em US$)]]/1.3228/100</f>
        <v>0</v>
      </c>
      <c r="AO1018" s="204">
        <f>SUMIF(Allocation[Delivery ID],Delivery[[#This Row],[Delivery ID]],Allocation[Quantity allocated])*16*1.3228*Delivery[[#This Row],[Exchange rate VS USD]]/60</f>
        <v>8820.8536960000001</v>
      </c>
      <c r="AP1018" s="204">
        <f>Delivery[[#This Row],[AAA Premium (total)]]</f>
        <v>12425</v>
      </c>
      <c r="AQ1018" s="204">
        <f>Delivery[[#This Row],[Valor pago pelo Cluster]]-Delivery[[#This Row],[Valor efetivamente pago pela Nespresso]]</f>
        <v>3604.1463039999999</v>
      </c>
    </row>
    <row r="1019" spans="1:43" ht="15.75">
      <c r="A1019" s="174" t="s">
        <v>69</v>
      </c>
      <c r="B1019" s="232" t="s">
        <v>68</v>
      </c>
      <c r="C1019" s="157" t="s">
        <v>1344</v>
      </c>
      <c r="D1019" s="157" t="s">
        <v>468</v>
      </c>
      <c r="E1019" s="177" t="s">
        <v>468</v>
      </c>
      <c r="F1019" s="233" t="s">
        <v>543</v>
      </c>
      <c r="G1019" s="234">
        <v>43369</v>
      </c>
      <c r="H1019" s="157" t="s">
        <v>1676</v>
      </c>
      <c r="I1019" s="157" t="s">
        <v>1638</v>
      </c>
      <c r="J1019" s="237">
        <v>11695</v>
      </c>
      <c r="K1019" s="175" t="s">
        <v>61</v>
      </c>
      <c r="L1019" s="175" t="s">
        <v>439</v>
      </c>
      <c r="M1019" s="175" t="s">
        <v>1343</v>
      </c>
      <c r="N1019" s="198"/>
      <c r="O1019" s="199"/>
      <c r="P1019" s="181">
        <v>0</v>
      </c>
      <c r="Q1019" s="177">
        <v>43363</v>
      </c>
      <c r="R1019" s="178">
        <v>411.36957000000001</v>
      </c>
      <c r="S1019" s="179">
        <v>81465.179999999993</v>
      </c>
      <c r="T1019" s="182" t="s">
        <v>45</v>
      </c>
      <c r="U1019" s="183">
        <v>4.0850999999999997</v>
      </c>
      <c r="V1019" s="179">
        <v>5772.43</v>
      </c>
      <c r="W1019" s="179">
        <v>0</v>
      </c>
      <c r="X1019" s="196" t="s">
        <v>45</v>
      </c>
      <c r="Y1019" s="200">
        <v>4.0850999999999997</v>
      </c>
      <c r="Z1019" s="220"/>
      <c r="AA1019" s="201">
        <f>Delivery[[#This Row],[Quantity delivered]]*VLOOKUP(Delivery[[#This Row],[Unit]],References!$U:$X,4,FALSE)*VLOOKUP(CONCATENATE(Delivery[[#This Row],[Coffee specie]],Delivery[[#This Row],[Coffee state]]),References!$U:$X,4,FALSE)</f>
        <v>11695</v>
      </c>
      <c r="AB1019" s="202">
        <f>SUMIF(Allocation!C:C,Delivery[[#This Row],[Delivery ID]],Allocation!D:D)/Delivery[[#This Row],[Quantity delivered]]</f>
        <v>0.64754168448054727</v>
      </c>
      <c r="AC1019" s="203">
        <f>Delivery[[#This Row],[Quantity delivered]]*Delivery[[#This Row],[Base price (Unidad)]]/60</f>
        <v>80182.785352499995</v>
      </c>
      <c r="AD1019" s="204">
        <f>Delivery[[#This Row],[Nespresso total]]-Delivery[[#This Row],[Qt. Delivery * Base Price]]</f>
        <v>1282.3946474999975</v>
      </c>
      <c r="AE1019" s="204">
        <f>Delivery[[#This Row],[AAA Premium (total)]]/Delivery[[#This Row],[Quantity delivered]]*60/Delivery[[#This Row],[Exchange rate VS USD]]</f>
        <v>7.2494825222715518</v>
      </c>
      <c r="AF1019" s="204">
        <f>Delivery[[#This Row],[BEN premium (total)]]/Delivery[[#This Row],[Quantity delivered]]*60/Delivery[[#This Row],[Exchange rate for premiums VS USD]]</f>
        <v>0</v>
      </c>
      <c r="AG1019" s="204">
        <f>COUNTIF(Delivery[Delivery ID],Delivery[[#This Row],[Delivery ID]])</f>
        <v>1</v>
      </c>
      <c r="AH1019" s="204">
        <f>(Delivery[[#This Row],[Nespresso total]]/SUMIF(Allocation!C:C,Delivery[Delivery ID],Allocation!H:H))/Delivery[[#This Row],[Exchange rate VS USD]]</f>
        <v>7.9800033401037584</v>
      </c>
      <c r="AI1019" s="204">
        <f>(Delivery[[#This Row],[AAA Premium (total)]]/SUMIF(Allocation!C:C,Delivery[Delivery ID],Allocation!H:H))/Delivery[[#This Row],[Exchange rate VS USD]]</f>
        <v>0.56544416498576622</v>
      </c>
      <c r="AJ1019" s="204">
        <f>Delivery[[#This Row],[Valor Prêmio Nespresso AAA por Kg (em US$)]]*60</f>
        <v>33.926649899145971</v>
      </c>
      <c r="AK1019" s="204">
        <f>Delivery[[#This Row],[Valor Prêmio Nespresso AAA por saca (em US$)]]/1.3228/100</f>
        <v>0.25647603491945853</v>
      </c>
      <c r="AL1019" s="204">
        <f>(Delivery[[#This Row],[BEN premium (total)]]/SUMIF(Allocation!C:C,Delivery[Delivery ID],Allocation!H:H))/Delivery[[#This Row],[Exchange rate for premiums VS USD]]</f>
        <v>0</v>
      </c>
      <c r="AM1019" s="204">
        <f>Delivery[[#This Row],[Valor Prêmio Nespresso BEN por Kg (em US$)]]*60</f>
        <v>0</v>
      </c>
      <c r="AN1019" s="204">
        <f>Delivery[[#This Row],[Valor Prêmio Nespresso BEN por saca (em US$)]]/1.3228/100</f>
        <v>0</v>
      </c>
      <c r="AO1019" s="204">
        <f>SUMIF(Allocation[Delivery ID],Delivery[[#This Row],[Delivery ID]],Allocation[Quantity allocated])*16*1.3228*Delivery[[#This Row],[Exchange rate VS USD]]/60</f>
        <v>3601.0725145920001</v>
      </c>
      <c r="AP1019" s="204">
        <f>Delivery[[#This Row],[AAA Premium (total)]]</f>
        <v>5772.43</v>
      </c>
      <c r="AQ1019" s="204">
        <f>Delivery[[#This Row],[Valor pago pelo Cluster]]-Delivery[[#This Row],[Valor efetivamente pago pela Nespresso]]</f>
        <v>2171.3574854080002</v>
      </c>
    </row>
    <row r="1020" spans="1:43" ht="15.75">
      <c r="A1020" s="174" t="s">
        <v>69</v>
      </c>
      <c r="B1020" s="232" t="s">
        <v>68</v>
      </c>
      <c r="C1020" s="157" t="s">
        <v>1344</v>
      </c>
      <c r="D1020" s="157" t="s">
        <v>468</v>
      </c>
      <c r="E1020" s="177" t="s">
        <v>468</v>
      </c>
      <c r="F1020" s="233" t="s">
        <v>543</v>
      </c>
      <c r="G1020" s="234">
        <v>43369</v>
      </c>
      <c r="H1020" s="157" t="s">
        <v>1677</v>
      </c>
      <c r="I1020" s="157" t="s">
        <v>1638</v>
      </c>
      <c r="J1020" s="237">
        <v>19165</v>
      </c>
      <c r="K1020" s="175" t="s">
        <v>61</v>
      </c>
      <c r="L1020" s="175" t="s">
        <v>439</v>
      </c>
      <c r="M1020" s="175" t="s">
        <v>1343</v>
      </c>
      <c r="N1020" s="198"/>
      <c r="O1020" s="199"/>
      <c r="P1020" s="181">
        <v>0</v>
      </c>
      <c r="Q1020" s="177">
        <v>43363</v>
      </c>
      <c r="R1020" s="178">
        <v>411.36957000000001</v>
      </c>
      <c r="S1020" s="179">
        <v>129698.49</v>
      </c>
      <c r="T1020" s="182" t="s">
        <v>45</v>
      </c>
      <c r="U1020" s="183">
        <v>4.0850999999999997</v>
      </c>
      <c r="V1020" s="179">
        <v>9190.1299999999992</v>
      </c>
      <c r="W1020" s="179">
        <v>0</v>
      </c>
      <c r="X1020" s="196" t="s">
        <v>45</v>
      </c>
      <c r="Y1020" s="200">
        <v>4.0850999999999997</v>
      </c>
      <c r="Z1020" s="220"/>
      <c r="AA1020" s="201">
        <f>Delivery[[#This Row],[Quantity delivered]]*VLOOKUP(Delivery[[#This Row],[Unit]],References!$U:$X,4,FALSE)*VLOOKUP(CONCATENATE(Delivery[[#This Row],[Coffee specie]],Delivery[[#This Row],[Coffee state]]),References!$U:$X,4,FALSE)</f>
        <v>19165</v>
      </c>
      <c r="AB1020" s="202">
        <f>SUMIF(Allocation!C:C,Delivery[[#This Row],[Delivery ID]],Allocation!D:D)/Delivery[[#This Row],[Quantity delivered]]</f>
        <v>0.64779546047482395</v>
      </c>
      <c r="AC1020" s="203">
        <f>Delivery[[#This Row],[Quantity delivered]]*Delivery[[#This Row],[Base price (Unidad)]]/60</f>
        <v>131398.2968175</v>
      </c>
      <c r="AD1020" s="204">
        <f>Delivery[[#This Row],[Nespresso total]]-Delivery[[#This Row],[Qt. Delivery * Base Price]]</f>
        <v>-1699.8068174999935</v>
      </c>
      <c r="AE1020" s="204">
        <f>Delivery[[#This Row],[AAA Premium (total)]]/Delivery[[#This Row],[Quantity delivered]]*60/Delivery[[#This Row],[Exchange rate VS USD]]</f>
        <v>7.0430600199130318</v>
      </c>
      <c r="AF1020" s="204">
        <f>Delivery[[#This Row],[BEN premium (total)]]/Delivery[[#This Row],[Quantity delivered]]*60/Delivery[[#This Row],[Exchange rate for premiums VS USD]]</f>
        <v>0</v>
      </c>
      <c r="AG1020" s="204">
        <f>COUNTIF(Delivery[Delivery ID],Delivery[[#This Row],[Delivery ID]])</f>
        <v>1</v>
      </c>
      <c r="AH1020" s="204">
        <f>(Delivery[[#This Row],[Nespresso total]]/SUMIF(Allocation!C:C,Delivery[Delivery ID],Allocation!H:H))/Delivery[[#This Row],[Exchange rate VS USD]]</f>
        <v>7.7493676200417765</v>
      </c>
      <c r="AI1020" s="204">
        <f>(Delivery[[#This Row],[AAA Premium (total)]]/SUMIF(Allocation!C:C,Delivery[Delivery ID],Allocation!H:H))/Delivery[[#This Row],[Exchange rate VS USD]]</f>
        <v>0.54910196599801986</v>
      </c>
      <c r="AJ1020" s="204">
        <f>Delivery[[#This Row],[Valor Prêmio Nespresso AAA por Kg (em US$)]]*60</f>
        <v>32.946117959881192</v>
      </c>
      <c r="AK1020" s="204">
        <f>Delivery[[#This Row],[Valor Prêmio Nespresso AAA por saca (em US$)]]/1.3228/100</f>
        <v>0.24906348624040817</v>
      </c>
      <c r="AL1020" s="204">
        <f>(Delivery[[#This Row],[BEN premium (total)]]/SUMIF(Allocation!C:C,Delivery[Delivery ID],Allocation!H:H))/Delivery[[#This Row],[Exchange rate for premiums VS USD]]</f>
        <v>0</v>
      </c>
      <c r="AM1020" s="204">
        <f>Delivery[[#This Row],[Valor Prêmio Nespresso BEN por Kg (em US$)]]*60</f>
        <v>0</v>
      </c>
      <c r="AN1020" s="204">
        <f>Delivery[[#This Row],[Valor Prêmio Nespresso BEN por saca (em US$)]]/1.3228/100</f>
        <v>0</v>
      </c>
      <c r="AO1020" s="204">
        <f>SUMIF(Allocation[Delivery ID],Delivery[[#This Row],[Delivery ID]],Allocation[Quantity allocated])*16*1.3228*Delivery[[#This Row],[Exchange rate VS USD]]/60</f>
        <v>5903.7991565759994</v>
      </c>
      <c r="AP1020" s="204">
        <f>Delivery[[#This Row],[AAA Premium (total)]]</f>
        <v>9190.1299999999992</v>
      </c>
      <c r="AQ1020" s="204">
        <f>Delivery[[#This Row],[Valor pago pelo Cluster]]-Delivery[[#This Row],[Valor efetivamente pago pela Nespresso]]</f>
        <v>3286.3308434239998</v>
      </c>
    </row>
    <row r="1021" spans="1:43" ht="15.75">
      <c r="A1021" s="174" t="s">
        <v>69</v>
      </c>
      <c r="B1021" s="232" t="s">
        <v>68</v>
      </c>
      <c r="C1021" s="157" t="s">
        <v>1344</v>
      </c>
      <c r="D1021" s="157" t="s">
        <v>468</v>
      </c>
      <c r="E1021" s="177" t="s">
        <v>468</v>
      </c>
      <c r="F1021" s="233" t="s">
        <v>543</v>
      </c>
      <c r="G1021" s="234">
        <v>43369</v>
      </c>
      <c r="H1021" s="157" t="s">
        <v>1678</v>
      </c>
      <c r="I1021" s="157" t="s">
        <v>1638</v>
      </c>
      <c r="J1021" s="237">
        <v>8926</v>
      </c>
      <c r="K1021" s="175" t="s">
        <v>61</v>
      </c>
      <c r="L1021" s="175" t="s">
        <v>439</v>
      </c>
      <c r="M1021" s="175" t="s">
        <v>1343</v>
      </c>
      <c r="N1021" s="198"/>
      <c r="O1021" s="199"/>
      <c r="P1021" s="181">
        <v>0</v>
      </c>
      <c r="Q1021" s="177">
        <v>43363</v>
      </c>
      <c r="R1021" s="178">
        <v>411.36957000000001</v>
      </c>
      <c r="S1021" s="179">
        <v>59467.56</v>
      </c>
      <c r="T1021" s="182" t="s">
        <v>45</v>
      </c>
      <c r="U1021" s="183">
        <v>4.0850999999999997</v>
      </c>
      <c r="V1021" s="179">
        <v>4213.7299999999996</v>
      </c>
      <c r="W1021" s="179">
        <v>0</v>
      </c>
      <c r="X1021" s="196" t="s">
        <v>45</v>
      </c>
      <c r="Y1021" s="200">
        <v>4.0850999999999997</v>
      </c>
      <c r="Z1021" s="220"/>
      <c r="AA1021" s="201">
        <f>Delivery[[#This Row],[Quantity delivered]]*VLOOKUP(Delivery[[#This Row],[Unit]],References!$U:$X,4,FALSE)*VLOOKUP(CONCATENATE(Delivery[[#This Row],[Coffee specie]],Delivery[[#This Row],[Coffee state]]),References!$U:$X,4,FALSE)</f>
        <v>8926</v>
      </c>
      <c r="AB1021" s="202">
        <f>SUMIF(Allocation!C:C,Delivery[[#This Row],[Delivery ID]],Allocation!D:D)/Delivery[[#This Row],[Quantity delivered]]</f>
        <v>0.64788259018597361</v>
      </c>
      <c r="AC1021" s="203">
        <f>Delivery[[#This Row],[Quantity delivered]]*Delivery[[#This Row],[Base price (Unidad)]]/60</f>
        <v>61198.079697000001</v>
      </c>
      <c r="AD1021" s="204">
        <f>Delivery[[#This Row],[Nespresso total]]-Delivery[[#This Row],[Qt. Delivery * Base Price]]</f>
        <v>-1730.5196970000034</v>
      </c>
      <c r="AE1021" s="204">
        <f>Delivery[[#This Row],[AAA Premium (total)]]/Delivery[[#This Row],[Quantity delivered]]*60/Delivery[[#This Row],[Exchange rate VS USD]]</f>
        <v>6.9335935555638155</v>
      </c>
      <c r="AF1021" s="204">
        <f>Delivery[[#This Row],[BEN premium (total)]]/Delivery[[#This Row],[Quantity delivered]]*60/Delivery[[#This Row],[Exchange rate for premiums VS USD]]</f>
        <v>0</v>
      </c>
      <c r="AG1021" s="204">
        <f>COUNTIF(Delivery[Delivery ID],Delivery[[#This Row],[Delivery ID]])</f>
        <v>1</v>
      </c>
      <c r="AH1021" s="204">
        <f>(Delivery[[#This Row],[Nespresso total]]/SUMIF(Allocation!C:C,Delivery[Delivery ID],Allocation!H:H))/Delivery[[#This Row],[Exchange rate VS USD]]</f>
        <v>7.6295523430832937</v>
      </c>
      <c r="AI1021" s="204">
        <f>(Delivery[[#This Row],[AAA Premium (total)]]/SUMIF(Allocation!C:C,Delivery[Delivery ID],Allocation!H:H))/Delivery[[#This Row],[Exchange rate VS USD]]</f>
        <v>0.54061195035781462</v>
      </c>
      <c r="AJ1021" s="204">
        <f>Delivery[[#This Row],[Valor Prêmio Nespresso AAA por Kg (em US$)]]*60</f>
        <v>32.43671702146888</v>
      </c>
      <c r="AK1021" s="204">
        <f>Delivery[[#This Row],[Valor Prêmio Nespresso AAA por saca (em US$)]]/1.3228/100</f>
        <v>0.24521255686021226</v>
      </c>
      <c r="AL1021" s="204">
        <f>(Delivery[[#This Row],[BEN premium (total)]]/SUMIF(Allocation!C:C,Delivery[Delivery ID],Allocation!H:H))/Delivery[[#This Row],[Exchange rate for premiums VS USD]]</f>
        <v>0</v>
      </c>
      <c r="AM1021" s="204">
        <f>Delivery[[#This Row],[Valor Prêmio Nespresso BEN por Kg (em US$)]]*60</f>
        <v>0</v>
      </c>
      <c r="AN1021" s="204">
        <f>Delivery[[#This Row],[Valor Prêmio Nespresso BEN por saca (em US$)]]/1.3228/100</f>
        <v>0</v>
      </c>
      <c r="AO1021" s="204">
        <f>SUMIF(Allocation[Delivery ID],Delivery[[#This Row],[Delivery ID]],Allocation[Quantity allocated])*16*1.3228*Delivery[[#This Row],[Exchange rate VS USD]]/60</f>
        <v>2749.4383184640001</v>
      </c>
      <c r="AP1021" s="204">
        <f>Delivery[[#This Row],[AAA Premium (total)]]</f>
        <v>4213.7299999999996</v>
      </c>
      <c r="AQ1021" s="204">
        <f>Delivery[[#This Row],[Valor pago pelo Cluster]]-Delivery[[#This Row],[Valor efetivamente pago pela Nespresso]]</f>
        <v>1464.2916815359995</v>
      </c>
    </row>
    <row r="1022" spans="1:43" ht="15.75">
      <c r="A1022" s="174" t="s">
        <v>69</v>
      </c>
      <c r="B1022" s="232" t="s">
        <v>68</v>
      </c>
      <c r="C1022" s="157" t="s">
        <v>1344</v>
      </c>
      <c r="D1022" s="157" t="s">
        <v>468</v>
      </c>
      <c r="E1022" s="177" t="s">
        <v>468</v>
      </c>
      <c r="F1022" s="233" t="s">
        <v>543</v>
      </c>
      <c r="G1022" s="234">
        <v>43369</v>
      </c>
      <c r="H1022" s="157" t="s">
        <v>1679</v>
      </c>
      <c r="I1022" s="157" t="s">
        <v>1638</v>
      </c>
      <c r="J1022" s="237">
        <v>22834</v>
      </c>
      <c r="K1022" s="175" t="s">
        <v>61</v>
      </c>
      <c r="L1022" s="175" t="s">
        <v>439</v>
      </c>
      <c r="M1022" s="175" t="s">
        <v>1343</v>
      </c>
      <c r="N1022" s="198"/>
      <c r="O1022" s="199"/>
      <c r="P1022" s="181">
        <v>0</v>
      </c>
      <c r="Q1022" s="177">
        <v>43363</v>
      </c>
      <c r="R1022" s="178">
        <v>411.36957000000001</v>
      </c>
      <c r="S1022" s="179">
        <v>151696.10999999999</v>
      </c>
      <c r="T1022" s="182" t="s">
        <v>45</v>
      </c>
      <c r="U1022" s="183">
        <v>4.0850999999999997</v>
      </c>
      <c r="V1022" s="179">
        <v>10748.83</v>
      </c>
      <c r="W1022" s="179">
        <v>0</v>
      </c>
      <c r="X1022" s="196" t="s">
        <v>45</v>
      </c>
      <c r="Y1022" s="200">
        <v>4.0850999999999997</v>
      </c>
      <c r="Z1022" s="220"/>
      <c r="AA1022" s="201">
        <f>Delivery[[#This Row],[Quantity delivered]]*VLOOKUP(Delivery[[#This Row],[Unit]],References!$U:$X,4,FALSE)*VLOOKUP(CONCATENATE(Delivery[[#This Row],[Coffee specie]],Delivery[[#This Row],[Coffee state]]),References!$U:$X,4,FALSE)</f>
        <v>22834</v>
      </c>
      <c r="AB1022" s="202">
        <f>SUMIF(Allocation!C:C,Delivery[[#This Row],[Delivery ID]],Allocation!D:D)/Delivery[[#This Row],[Quantity delivered]]</f>
        <v>0.64763072611018657</v>
      </c>
      <c r="AC1022" s="203">
        <f>Delivery[[#This Row],[Quantity delivered]]*Delivery[[#This Row],[Base price (Unidad)]]/60</f>
        <v>156553.546023</v>
      </c>
      <c r="AD1022" s="204">
        <f>Delivery[[#This Row],[Nespresso total]]-Delivery[[#This Row],[Qt. Delivery * Base Price]]</f>
        <v>-4857.4360230000166</v>
      </c>
      <c r="AE1022" s="204">
        <f>Delivery[[#This Row],[AAA Premium (total)]]/Delivery[[#This Row],[Quantity delivered]]*60/Delivery[[#This Row],[Exchange rate VS USD]]</f>
        <v>6.9139742183864588</v>
      </c>
      <c r="AF1022" s="204">
        <f>Delivery[[#This Row],[BEN premium (total)]]/Delivery[[#This Row],[Quantity delivered]]*60/Delivery[[#This Row],[Exchange rate for premiums VS USD]]</f>
        <v>0</v>
      </c>
      <c r="AG1022" s="204">
        <f>COUNTIF(Delivery[Delivery ID],Delivery[[#This Row],[Delivery ID]])</f>
        <v>1</v>
      </c>
      <c r="AH1022" s="204">
        <f>(Delivery[[#This Row],[Nespresso total]]/SUMIF(Allocation!C:C,Delivery[Delivery ID],Allocation!H:H))/Delivery[[#This Row],[Exchange rate VS USD]]</f>
        <v>7.6094265605794105</v>
      </c>
      <c r="AI1022" s="204">
        <f>(Delivery[[#This Row],[AAA Premium (total)]]/SUMIF(Allocation!C:C,Delivery[Delivery ID],Allocation!H:H))/Delivery[[#This Row],[Exchange rate VS USD]]</f>
        <v>0.53918609051446864</v>
      </c>
      <c r="AJ1022" s="204">
        <f>Delivery[[#This Row],[Valor Prêmio Nespresso AAA por Kg (em US$)]]*60</f>
        <v>32.351165430868122</v>
      </c>
      <c r="AK1022" s="204">
        <f>Delivery[[#This Row],[Valor Prêmio Nespresso AAA por saca (em US$)]]/1.3228/100</f>
        <v>0.24456581063553162</v>
      </c>
      <c r="AL1022" s="204">
        <f>(Delivery[[#This Row],[BEN premium (total)]]/SUMIF(Allocation!C:C,Delivery[Delivery ID],Allocation!H:H))/Delivery[[#This Row],[Exchange rate for premiums VS USD]]</f>
        <v>0</v>
      </c>
      <c r="AM1022" s="204">
        <f>Delivery[[#This Row],[Valor Prêmio Nespresso BEN por Kg (em US$)]]*60</f>
        <v>0</v>
      </c>
      <c r="AN1022" s="204">
        <f>Delivery[[#This Row],[Valor Prêmio Nespresso BEN por saca (em US$)]]/1.3228/100</f>
        <v>0</v>
      </c>
      <c r="AO1022" s="204">
        <f>SUMIF(Allocation[Delivery ID],Delivery[[#This Row],[Delivery ID]],Allocation[Quantity allocated])*16*1.3228*Delivery[[#This Row],[Exchange rate VS USD]]/60</f>
        <v>7032.1063910399998</v>
      </c>
      <c r="AP1022" s="204">
        <f>Delivery[[#This Row],[AAA Premium (total)]]</f>
        <v>10748.83</v>
      </c>
      <c r="AQ1022" s="204">
        <f>Delivery[[#This Row],[Valor pago pelo Cluster]]-Delivery[[#This Row],[Valor efetivamente pago pela Nespresso]]</f>
        <v>3716.7236089600001</v>
      </c>
    </row>
    <row r="1023" spans="1:43" ht="15.75">
      <c r="A1023" s="174" t="s">
        <v>69</v>
      </c>
      <c r="B1023" s="232" t="s">
        <v>68</v>
      </c>
      <c r="C1023" s="157">
        <v>1</v>
      </c>
      <c r="D1023" s="157" t="s">
        <v>468</v>
      </c>
      <c r="E1023" s="177" t="s">
        <v>468</v>
      </c>
      <c r="F1023" s="233" t="s">
        <v>543</v>
      </c>
      <c r="G1023" s="234">
        <v>43378</v>
      </c>
      <c r="H1023" s="157" t="s">
        <v>1142</v>
      </c>
      <c r="I1023" s="157" t="s">
        <v>511</v>
      </c>
      <c r="J1023" s="237">
        <v>32490</v>
      </c>
      <c r="K1023" s="175" t="s">
        <v>61</v>
      </c>
      <c r="L1023" s="175" t="s">
        <v>439</v>
      </c>
      <c r="M1023" s="175" t="s">
        <v>1343</v>
      </c>
      <c r="N1023" s="198"/>
      <c r="O1023" s="199"/>
      <c r="P1023" s="181">
        <v>0</v>
      </c>
      <c r="Q1023" s="177">
        <v>43370</v>
      </c>
      <c r="R1023" s="178">
        <v>397.41503999999998</v>
      </c>
      <c r="S1023" s="179">
        <v>210249.95830633841</v>
      </c>
      <c r="T1023" s="182" t="s">
        <v>45</v>
      </c>
      <c r="U1023" s="183">
        <v>4.0061999999999998</v>
      </c>
      <c r="V1023" s="179">
        <v>21632.39</v>
      </c>
      <c r="W1023" s="179">
        <v>6186.8408468308189</v>
      </c>
      <c r="X1023" s="196" t="s">
        <v>45</v>
      </c>
      <c r="Y1023" s="200">
        <v>4.0061999999999998</v>
      </c>
      <c r="Z1023" s="220" t="s">
        <v>473</v>
      </c>
      <c r="AA1023" s="201">
        <f>Delivery[[#This Row],[Quantity delivered]]*VLOOKUP(Delivery[[#This Row],[Unit]],References!$U:$X,4,FALSE)*VLOOKUP(CONCATENATE(Delivery[[#This Row],[Coffee specie]],Delivery[[#This Row],[Coffee state]]),References!$U:$X,4,FALSE)</f>
        <v>32490</v>
      </c>
      <c r="AB1023" s="202">
        <f>SUMIF(Allocation!C:C,Delivery[[#This Row],[Delivery ID]],Allocation!D:D)/Delivery[[#This Row],[Quantity delivered]]</f>
        <v>0.62853185595567862</v>
      </c>
      <c r="AC1023" s="203">
        <f>Delivery[[#This Row],[Quantity delivered]]*Delivery[[#This Row],[Base price (Unidad)]]/60</f>
        <v>215200.24415999997</v>
      </c>
      <c r="AD1023" s="204">
        <f>Delivery[[#This Row],[Nespresso total]]-Delivery[[#This Row],[Qt. Delivery * Base Price]]</f>
        <v>-4950.2858536615677</v>
      </c>
      <c r="AE1023" s="204">
        <f>Delivery[[#This Row],[AAA Premium (total)]]/Delivery[[#This Row],[Quantity delivered]]*60/Delivery[[#This Row],[Exchange rate VS USD]]</f>
        <v>9.9717967160135395</v>
      </c>
      <c r="AF1023" s="204">
        <f>Delivery[[#This Row],[BEN premium (total)]]/Delivery[[#This Row],[Quantity delivered]]*60/Delivery[[#This Row],[Exchange rate for premiums VS USD]]</f>
        <v>2.8519233999999996</v>
      </c>
      <c r="AG1023" s="204">
        <f>COUNTIF(Delivery[Delivery ID],Delivery[[#This Row],[Delivery ID]])</f>
        <v>1</v>
      </c>
      <c r="AH1023" s="204">
        <f>(Delivery[[#This Row],[Nespresso total]]/SUMIF(Allocation!C:C,Delivery[Delivery ID],Allocation!H:H))/Delivery[[#This Row],[Exchange rate VS USD]]</f>
        <v>5.9766705163066716</v>
      </c>
      <c r="AI1023" s="204">
        <f>(Delivery[[#This Row],[AAA Premium (total)]]/SUMIF(Allocation!C:C,Delivery[Delivery ID],Allocation!H:H))/Delivery[[#This Row],[Exchange rate VS USD]]</f>
        <v>0.61493314220718964</v>
      </c>
      <c r="AJ1023" s="204">
        <f>Delivery[[#This Row],[Valor Prêmio Nespresso AAA por Kg (em US$)]]*60</f>
        <v>36.895988532431382</v>
      </c>
      <c r="AK1023" s="204">
        <f>Delivery[[#This Row],[Valor Prêmio Nespresso AAA por saca (em US$)]]/1.3228/100</f>
        <v>0.27892340892373285</v>
      </c>
      <c r="AL1023" s="204">
        <f>(Delivery[[#This Row],[BEN premium (total)]]/SUMIF(Allocation!C:C,Delivery[Delivery ID],Allocation!H:H))/Delivery[[#This Row],[Exchange rate for premiums VS USD]]</f>
        <v>0.17587023358387424</v>
      </c>
      <c r="AM1023" s="204">
        <f>Delivery[[#This Row],[Valor Prêmio Nespresso BEN por Kg (em US$)]]*60</f>
        <v>10.552214015032455</v>
      </c>
      <c r="AN1023" s="204">
        <f>Delivery[[#This Row],[Valor Prêmio Nespresso BEN por saca (em US$)]]/1.3228/100</f>
        <v>7.9771802351318824E-2</v>
      </c>
      <c r="AO1023" s="204">
        <f>SUMIF(Allocation[Delivery ID],Delivery[[#This Row],[Delivery ID]],Allocation[Quantity allocated])*16*1.3228*Delivery[[#This Row],[Exchange rate VS USD]]/60</f>
        <v>12409.078224575998</v>
      </c>
      <c r="AP1023" s="204">
        <f>Delivery[[#This Row],[AAA Premium (total)]]</f>
        <v>21632.39</v>
      </c>
      <c r="AQ1023" s="204">
        <f>Delivery[[#This Row],[Valor pago pelo Cluster]]-Delivery[[#This Row],[Valor efetivamente pago pela Nespresso]]</f>
        <v>9223.3117754240011</v>
      </c>
    </row>
    <row r="1024" spans="1:43" ht="15.75">
      <c r="A1024" s="174" t="s">
        <v>69</v>
      </c>
      <c r="B1024" s="232" t="s">
        <v>68</v>
      </c>
      <c r="C1024" s="157">
        <v>1</v>
      </c>
      <c r="D1024" s="157" t="s">
        <v>468</v>
      </c>
      <c r="E1024" s="177" t="s">
        <v>468</v>
      </c>
      <c r="F1024" s="233" t="s">
        <v>543</v>
      </c>
      <c r="G1024" s="234">
        <v>43370</v>
      </c>
      <c r="H1024" s="157" t="s">
        <v>1143</v>
      </c>
      <c r="I1024" s="157" t="s">
        <v>1107</v>
      </c>
      <c r="J1024" s="237">
        <v>13830</v>
      </c>
      <c r="K1024" s="175" t="s">
        <v>61</v>
      </c>
      <c r="L1024" s="175" t="s">
        <v>439</v>
      </c>
      <c r="M1024" s="175" t="s">
        <v>1343</v>
      </c>
      <c r="N1024" s="198"/>
      <c r="O1024" s="199"/>
      <c r="P1024" s="181">
        <v>0</v>
      </c>
      <c r="Q1024" s="177">
        <v>43362</v>
      </c>
      <c r="R1024" s="178">
        <v>397.85900000000004</v>
      </c>
      <c r="S1024" s="179">
        <v>89471.802259500793</v>
      </c>
      <c r="T1024" s="182" t="s">
        <v>45</v>
      </c>
      <c r="U1024" s="183">
        <v>4.1336000000000004</v>
      </c>
      <c r="V1024" s="179">
        <v>9508.2000000000007</v>
      </c>
      <c r="W1024" s="179">
        <v>2527.7188702496005</v>
      </c>
      <c r="X1024" s="196" t="s">
        <v>45</v>
      </c>
      <c r="Y1024" s="200">
        <v>4.1336000000000004</v>
      </c>
      <c r="Z1024" s="220" t="s">
        <v>473</v>
      </c>
      <c r="AA1024" s="201">
        <f>Delivery[[#This Row],[Quantity delivered]]*VLOOKUP(Delivery[[#This Row],[Unit]],References!$U:$X,4,FALSE)*VLOOKUP(CONCATENATE(Delivery[[#This Row],[Coffee specie]],Delivery[[#This Row],[Coffee state]]),References!$U:$X,4,FALSE)</f>
        <v>13830</v>
      </c>
      <c r="AB1024" s="202">
        <f>SUMIF(Allocation!C:C,Delivery[[#This Row],[Delivery ID]],Allocation!D:D)/Delivery[[#This Row],[Quantity delivered]]</f>
        <v>0.85704989154013012</v>
      </c>
      <c r="AC1024" s="203">
        <f>Delivery[[#This Row],[Quantity delivered]]*Delivery[[#This Row],[Base price (Unidad)]]/60</f>
        <v>91706.499500000005</v>
      </c>
      <c r="AD1024" s="204">
        <f>Delivery[[#This Row],[Nespresso total]]-Delivery[[#This Row],[Qt. Delivery * Base Price]]</f>
        <v>-2234.6972404992121</v>
      </c>
      <c r="AE1024" s="204">
        <f>Delivery[[#This Row],[AAA Premium (total)]]/Delivery[[#This Row],[Quantity delivered]]*60/Delivery[[#This Row],[Exchange rate VS USD]]</f>
        <v>9.9792736064470553</v>
      </c>
      <c r="AF1024" s="204">
        <f>Delivery[[#This Row],[BEN premium (total)]]/Delivery[[#This Row],[Quantity delivered]]*60/Delivery[[#This Row],[Exchange rate for premiums VS USD]]</f>
        <v>2.6529520000000004</v>
      </c>
      <c r="AG1024" s="204">
        <f>COUNTIF(Delivery[Delivery ID],Delivery[[#This Row],[Delivery ID]])</f>
        <v>1</v>
      </c>
      <c r="AH1024" s="204">
        <f>(Delivery[[#This Row],[Nespresso total]]/SUMIF(Allocation!C:C,Delivery[Delivery ID],Allocation!H:H))/Delivery[[#This Row],[Exchange rate VS USD]]</f>
        <v>4.5654940561853365</v>
      </c>
      <c r="AI1024" s="204">
        <f>(Delivery[[#This Row],[AAA Premium (total)]]/SUMIF(Allocation!C:C,Delivery[Delivery ID],Allocation!H:H))/Delivery[[#This Row],[Exchange rate VS USD]]</f>
        <v>0.48517666447712421</v>
      </c>
      <c r="AJ1024" s="204">
        <f>Delivery[[#This Row],[Valor Prêmio Nespresso AAA por Kg (em US$)]]*60</f>
        <v>29.110599868627453</v>
      </c>
      <c r="AK1024" s="204">
        <f>Delivery[[#This Row],[Valor Prêmio Nespresso AAA por saca (em US$)]]/1.3228/100</f>
        <v>0.22006803650308021</v>
      </c>
      <c r="AL1024" s="204">
        <f>(Delivery[[#This Row],[BEN premium (total)]]/SUMIF(Allocation!C:C,Delivery[Delivery ID],Allocation!H:H))/Delivery[[#This Row],[Exchange rate for premiums VS USD]]</f>
        <v>0.1289823741826619</v>
      </c>
      <c r="AM1024" s="204">
        <f>Delivery[[#This Row],[Valor Prêmio Nespresso BEN por Kg (em US$)]]*60</f>
        <v>7.7389424509597138</v>
      </c>
      <c r="AN1024" s="204">
        <f>Delivery[[#This Row],[Valor Prêmio Nespresso BEN por saca (em US$)]]/1.3228/100</f>
        <v>5.8504251972782841E-2</v>
      </c>
      <c r="AO1024" s="204">
        <f>SUMIF(Allocation[Delivery ID],Delivery[[#This Row],[Delivery ID]],Allocation[Quantity allocated])*16*1.3228*Delivery[[#This Row],[Exchange rate VS USD]]/60</f>
        <v>6912.9166787413333</v>
      </c>
      <c r="AP1024" s="204">
        <f>Delivery[[#This Row],[AAA Premium (total)]]</f>
        <v>9508.2000000000007</v>
      </c>
      <c r="AQ1024" s="204">
        <f>Delivery[[#This Row],[Valor pago pelo Cluster]]-Delivery[[#This Row],[Valor efetivamente pago pela Nespresso]]</f>
        <v>2595.2833212586675</v>
      </c>
    </row>
    <row r="1025" spans="1:43" ht="15.75">
      <c r="A1025" s="174" t="s">
        <v>69</v>
      </c>
      <c r="B1025" s="232" t="s">
        <v>68</v>
      </c>
      <c r="C1025" s="157">
        <v>1</v>
      </c>
      <c r="D1025" s="157" t="s">
        <v>468</v>
      </c>
      <c r="E1025" s="177" t="s">
        <v>468</v>
      </c>
      <c r="F1025" s="233" t="s">
        <v>543</v>
      </c>
      <c r="G1025" s="234">
        <v>43378</v>
      </c>
      <c r="H1025" s="157" t="s">
        <v>1680</v>
      </c>
      <c r="I1025" s="236" t="s">
        <v>511</v>
      </c>
      <c r="J1025" s="237">
        <v>32230</v>
      </c>
      <c r="K1025" s="175" t="s">
        <v>61</v>
      </c>
      <c r="L1025" s="175" t="s">
        <v>439</v>
      </c>
      <c r="M1025" s="175" t="s">
        <v>1343</v>
      </c>
      <c r="N1025" s="198"/>
      <c r="O1025" s="199"/>
      <c r="P1025" s="181">
        <v>0</v>
      </c>
      <c r="Q1025" s="177">
        <v>43370</v>
      </c>
      <c r="R1025" s="178">
        <v>397.41503999999998</v>
      </c>
      <c r="S1025" s="179">
        <v>214424.97911377787</v>
      </c>
      <c r="T1025" s="182" t="s">
        <v>45</v>
      </c>
      <c r="U1025" s="183">
        <v>4.0061999999999998</v>
      </c>
      <c r="V1025" s="179">
        <v>21432.09</v>
      </c>
      <c r="W1025" s="179">
        <v>6137.3308862221393</v>
      </c>
      <c r="X1025" s="196" t="s">
        <v>45</v>
      </c>
      <c r="Y1025" s="200">
        <v>4.0061999999999998</v>
      </c>
      <c r="Z1025" s="220" t="s">
        <v>473</v>
      </c>
      <c r="AA1025" s="201">
        <f>Delivery[[#This Row],[Quantity delivered]]*VLOOKUP(Delivery[[#This Row],[Unit]],References!$U:$X,4,FALSE)*VLOOKUP(CONCATENATE(Delivery[[#This Row],[Coffee specie]],Delivery[[#This Row],[Coffee state]]),References!$U:$X,4,FALSE)</f>
        <v>32230</v>
      </c>
      <c r="AB1025" s="202">
        <f>SUMIF(Allocation!C:C,Delivery[[#This Row],[Delivery ID]],Allocation!D:D)/Delivery[[#This Row],[Quantity delivered]]</f>
        <v>0.54275519702140862</v>
      </c>
      <c r="AC1025" s="203">
        <f>Delivery[[#This Row],[Quantity delivered]]*Delivery[[#This Row],[Base price (Unidad)]]/60</f>
        <v>213478.11231999999</v>
      </c>
      <c r="AD1025" s="204">
        <f>Delivery[[#This Row],[Nespresso total]]-Delivery[[#This Row],[Qt. Delivery * Base Price]]</f>
        <v>946.86679377788096</v>
      </c>
      <c r="AE1025" s="204">
        <f>Delivery[[#This Row],[AAA Premium (total)]]/Delivery[[#This Row],[Quantity delivered]]*60/Delivery[[#This Row],[Exchange rate VS USD]]</f>
        <v>9.959163049058013</v>
      </c>
      <c r="AF1025" s="204">
        <f>Delivery[[#This Row],[BEN premium (total)]]/Delivery[[#This Row],[Quantity delivered]]*60/Delivery[[#This Row],[Exchange rate for premiums VS USD]]</f>
        <v>2.8519234</v>
      </c>
      <c r="AG1025" s="204">
        <f>COUNTIF(Delivery[Delivery ID],Delivery[[#This Row],[Delivery ID]])</f>
        <v>1</v>
      </c>
      <c r="AH1025" s="204">
        <f>(Delivery[[#This Row],[Nespresso total]]/SUMIF(Allocation!C:C,Delivery[Delivery ID],Allocation!H:H))/Delivery[[#This Row],[Exchange rate VS USD]]</f>
        <v>7.1155654996978122</v>
      </c>
      <c r="AI1025" s="204">
        <f>(Delivery[[#This Row],[AAA Premium (total)]]/SUMIF(Allocation!C:C,Delivery[Delivery ID],Allocation!H:H))/Delivery[[#This Row],[Exchange rate VS USD]]</f>
        <v>0.71121116961610331</v>
      </c>
      <c r="AJ1025" s="204">
        <f>Delivery[[#This Row],[Valor Prêmio Nespresso AAA por Kg (em US$)]]*60</f>
        <v>42.6726701769662</v>
      </c>
      <c r="AK1025" s="204">
        <f>Delivery[[#This Row],[Valor Prêmio Nespresso AAA por saca (em US$)]]/1.3228/100</f>
        <v>0.32259351509650891</v>
      </c>
      <c r="AL1025" s="204">
        <f>(Delivery[[#This Row],[BEN premium (total)]]/SUMIF(Allocation!C:C,Delivery[Delivery ID],Allocation!H:H))/Delivery[[#This Row],[Exchange rate for premiums VS USD]]</f>
        <v>0.20366367805991312</v>
      </c>
      <c r="AM1025" s="204">
        <f>Delivery[[#This Row],[Valor Prêmio Nespresso BEN por Kg (em US$)]]*60</f>
        <v>12.219820683594786</v>
      </c>
      <c r="AN1025" s="204">
        <f>Delivery[[#This Row],[Valor Prêmio Nespresso BEN por saca (em US$)]]/1.3228/100</f>
        <v>9.2378444841206428E-2</v>
      </c>
      <c r="AO1025" s="204">
        <f>SUMIF(Allocation[Delivery ID],Delivery[[#This Row],[Delivery ID]],Allocation[Quantity allocated])*16*1.3228*Delivery[[#This Row],[Exchange rate VS USD]]/60</f>
        <v>10629.892541312</v>
      </c>
      <c r="AP1025" s="204">
        <f>Delivery[[#This Row],[AAA Premium (total)]]</f>
        <v>21432.09</v>
      </c>
      <c r="AQ1025" s="204">
        <f>Delivery[[#This Row],[Valor pago pelo Cluster]]-Delivery[[#This Row],[Valor efetivamente pago pela Nespresso]]</f>
        <v>10802.197458688001</v>
      </c>
    </row>
    <row r="1026" spans="1:43" ht="15.75">
      <c r="A1026" s="174" t="s">
        <v>69</v>
      </c>
      <c r="B1026" s="232" t="s">
        <v>68</v>
      </c>
      <c r="C1026" s="157">
        <v>1</v>
      </c>
      <c r="D1026" s="157" t="s">
        <v>468</v>
      </c>
      <c r="E1026" s="177" t="s">
        <v>468</v>
      </c>
      <c r="F1026" s="233" t="s">
        <v>543</v>
      </c>
      <c r="G1026" s="234">
        <v>43378</v>
      </c>
      <c r="H1026" s="157" t="s">
        <v>1144</v>
      </c>
      <c r="I1026" s="157" t="s">
        <v>511</v>
      </c>
      <c r="J1026" s="237">
        <v>32070</v>
      </c>
      <c r="K1026" s="175" t="s">
        <v>61</v>
      </c>
      <c r="L1026" s="175" t="s">
        <v>439</v>
      </c>
      <c r="M1026" s="175" t="s">
        <v>1343</v>
      </c>
      <c r="N1026" s="198"/>
      <c r="O1026" s="199"/>
      <c r="P1026" s="181">
        <v>0</v>
      </c>
      <c r="Q1026" s="177">
        <v>43370</v>
      </c>
      <c r="R1026" s="178">
        <v>397.41503999999998</v>
      </c>
      <c r="S1026" s="179">
        <v>208348.58356368949</v>
      </c>
      <c r="T1026" s="182" t="s">
        <v>45</v>
      </c>
      <c r="U1026" s="183">
        <v>4.0061999999999998</v>
      </c>
      <c r="V1026" s="179">
        <v>21432.09</v>
      </c>
      <c r="W1026" s="179">
        <v>6106.8632181552593</v>
      </c>
      <c r="X1026" s="196" t="s">
        <v>45</v>
      </c>
      <c r="Y1026" s="200">
        <v>4.0061999999999998</v>
      </c>
      <c r="Z1026" s="220" t="s">
        <v>473</v>
      </c>
      <c r="AA1026" s="201">
        <f>Delivery[[#This Row],[Quantity delivered]]*VLOOKUP(Delivery[[#This Row],[Unit]],References!$U:$X,4,FALSE)*VLOOKUP(CONCATENATE(Delivery[[#This Row],[Coffee specie]],Delivery[[#This Row],[Coffee state]]),References!$U:$X,4,FALSE)</f>
        <v>32070</v>
      </c>
      <c r="AB1026" s="202">
        <f>SUMIF(Allocation!C:C,Delivery[[#This Row],[Delivery ID]],Allocation!D:D)/Delivery[[#This Row],[Quantity delivered]]</f>
        <v>0.63074524477705018</v>
      </c>
      <c r="AC1026" s="203">
        <f>Delivery[[#This Row],[Quantity delivered]]*Delivery[[#This Row],[Base price (Unidad)]]/60</f>
        <v>212418.33888</v>
      </c>
      <c r="AD1026" s="204">
        <f>Delivery[[#This Row],[Nespresso total]]-Delivery[[#This Row],[Qt. Delivery * Base Price]]</f>
        <v>-4069.755316310504</v>
      </c>
      <c r="AE1026" s="204">
        <f>Delivery[[#This Row],[AAA Premium (total)]]/Delivery[[#This Row],[Quantity delivered]]*60/Delivery[[#This Row],[Exchange rate VS USD]]</f>
        <v>10.008850173718109</v>
      </c>
      <c r="AF1026" s="204">
        <f>Delivery[[#This Row],[BEN premium (total)]]/Delivery[[#This Row],[Quantity delivered]]*60/Delivery[[#This Row],[Exchange rate for premiums VS USD]]</f>
        <v>2.8519234</v>
      </c>
      <c r="AG1026" s="204">
        <f>COUNTIF(Delivery[Delivery ID],Delivery[[#This Row],[Delivery ID]])</f>
        <v>1</v>
      </c>
      <c r="AH1026" s="204">
        <f>(Delivery[[#This Row],[Nespresso total]]/SUMIF(Allocation!C:C,Delivery[Delivery ID],Allocation!H:H))/Delivery[[#This Row],[Exchange rate VS USD]]</f>
        <v>5.9791372454005067</v>
      </c>
      <c r="AI1026" s="204">
        <f>(Delivery[[#This Row],[AAA Premium (total)]]/SUMIF(Allocation!C:C,Delivery[Delivery ID],Allocation!H:H))/Delivery[[#This Row],[Exchange rate VS USD]]</f>
        <v>0.61505293376090242</v>
      </c>
      <c r="AJ1026" s="204">
        <f>Delivery[[#This Row],[Valor Prêmio Nespresso AAA por Kg (em US$)]]*60</f>
        <v>36.903176025654147</v>
      </c>
      <c r="AK1026" s="204">
        <f>Delivery[[#This Row],[Valor Prêmio Nespresso AAA por saca (em US$)]]/1.3228/100</f>
        <v>0.27897774437295242</v>
      </c>
      <c r="AL1026" s="204">
        <f>(Delivery[[#This Row],[BEN premium (total)]]/SUMIF(Allocation!C:C,Delivery[Delivery ID],Allocation!H:H))/Delivery[[#This Row],[Exchange rate for premiums VS USD]]</f>
        <v>0.17525328320303515</v>
      </c>
      <c r="AM1026" s="204">
        <f>Delivery[[#This Row],[Valor Prêmio Nespresso BEN por Kg (em US$)]]*60</f>
        <v>10.515196992182108</v>
      </c>
      <c r="AN1026" s="204">
        <f>Delivery[[#This Row],[Valor Prêmio Nespresso BEN por saca (em US$)]]/1.3228/100</f>
        <v>7.9491963956623141E-2</v>
      </c>
      <c r="AO1026" s="204">
        <f>SUMIF(Allocation[Delivery ID],Delivery[[#This Row],[Delivery ID]],Allocation[Quantity allocated])*16*1.3228*Delivery[[#This Row],[Exchange rate VS USD]]/60</f>
        <v>12291.784807807999</v>
      </c>
      <c r="AP1026" s="204">
        <f>Delivery[[#This Row],[AAA Premium (total)]]</f>
        <v>21432.09</v>
      </c>
      <c r="AQ1026" s="204">
        <f>Delivery[[#This Row],[Valor pago pelo Cluster]]-Delivery[[#This Row],[Valor efetivamente pago pela Nespresso]]</f>
        <v>9140.3051921920014</v>
      </c>
    </row>
    <row r="1027" spans="1:43" ht="15.75">
      <c r="A1027" s="174" t="s">
        <v>69</v>
      </c>
      <c r="B1027" s="232" t="s">
        <v>68</v>
      </c>
      <c r="C1027" s="157">
        <v>1</v>
      </c>
      <c r="D1027" s="157" t="s">
        <v>468</v>
      </c>
      <c r="E1027" s="177" t="s">
        <v>468</v>
      </c>
      <c r="F1027" s="233" t="s">
        <v>543</v>
      </c>
      <c r="G1027" s="234">
        <v>43378</v>
      </c>
      <c r="H1027" s="157" t="s">
        <v>1681</v>
      </c>
      <c r="I1027" s="236" t="s">
        <v>511</v>
      </c>
      <c r="J1027" s="237">
        <v>5989</v>
      </c>
      <c r="K1027" s="175" t="s">
        <v>61</v>
      </c>
      <c r="L1027" s="175" t="s">
        <v>439</v>
      </c>
      <c r="M1027" s="175" t="s">
        <v>1343</v>
      </c>
      <c r="N1027" s="198"/>
      <c r="O1027" s="199"/>
      <c r="P1027" s="181">
        <v>0</v>
      </c>
      <c r="Q1027" s="177">
        <v>43370</v>
      </c>
      <c r="R1027" s="178">
        <v>397.41503999999998</v>
      </c>
      <c r="S1027" s="179">
        <v>40086.157099671596</v>
      </c>
      <c r="T1027" s="182" t="s">
        <v>45</v>
      </c>
      <c r="U1027" s="183">
        <v>4.0061999999999998</v>
      </c>
      <c r="V1027" s="179">
        <v>4005.99</v>
      </c>
      <c r="W1027" s="179">
        <v>1140.4429003284019</v>
      </c>
      <c r="X1027" s="196" t="s">
        <v>45</v>
      </c>
      <c r="Y1027" s="200">
        <v>4.0061999999999998</v>
      </c>
      <c r="Z1027" s="220" t="s">
        <v>473</v>
      </c>
      <c r="AA1027" s="201">
        <f>Delivery[[#This Row],[Quantity delivered]]*VLOOKUP(Delivery[[#This Row],[Unit]],References!$U:$X,4,FALSE)*VLOOKUP(CONCATENATE(Delivery[[#This Row],[Coffee specie]],Delivery[[#This Row],[Coffee state]]),References!$U:$X,4,FALSE)</f>
        <v>5989</v>
      </c>
      <c r="AB1027" s="202">
        <f>SUMIF(Allocation!C:C,Delivery[[#This Row],[Delivery ID]],Allocation!D:D)/Delivery[[#This Row],[Quantity delivered]]</f>
        <v>0.52062113875438298</v>
      </c>
      <c r="AC1027" s="203">
        <f>Delivery[[#This Row],[Quantity delivered]]*Delivery[[#This Row],[Base price (Unidad)]]/60</f>
        <v>39668.644575999999</v>
      </c>
      <c r="AD1027" s="204">
        <f>Delivery[[#This Row],[Nespresso total]]-Delivery[[#This Row],[Qt. Delivery * Base Price]]</f>
        <v>417.51252367159759</v>
      </c>
      <c r="AE1027" s="204">
        <f>Delivery[[#This Row],[AAA Premium (total)]]/Delivery[[#This Row],[Quantity delivered]]*60/Delivery[[#This Row],[Exchange rate VS USD]]</f>
        <v>10.017841855893112</v>
      </c>
      <c r="AF1027" s="204">
        <f>Delivery[[#This Row],[BEN premium (total)]]/Delivery[[#This Row],[Quantity delivered]]*60/Delivery[[#This Row],[Exchange rate for premiums VS USD]]</f>
        <v>2.8519234</v>
      </c>
      <c r="AG1027" s="204">
        <f>COUNTIF(Delivery[Delivery ID],Delivery[[#This Row],[Delivery ID]])</f>
        <v>1</v>
      </c>
      <c r="AH1027" s="204">
        <f>(Delivery[[#This Row],[Nespresso total]]/SUMIF(Allocation!C:C,Delivery[Delivery ID],Allocation!H:H))/Delivery[[#This Row],[Exchange rate VS USD]]</f>
        <v>7.4616181420795522</v>
      </c>
      <c r="AI1027" s="204">
        <f>(Delivery[[#This Row],[AAA Premium (total)]]/SUMIF(Allocation!C:C,Delivery[Delivery ID],Allocation!H:H))/Delivery[[#This Row],[Exchange rate VS USD]]</f>
        <v>0.74567306580839965</v>
      </c>
      <c r="AJ1027" s="204">
        <f>Delivery[[#This Row],[Valor Prêmio Nespresso AAA por Kg (em US$)]]*60</f>
        <v>44.740383948503975</v>
      </c>
      <c r="AK1027" s="204">
        <f>Delivery[[#This Row],[Valor Prêmio Nespresso AAA por saca (em US$)]]/1.3228/100</f>
        <v>0.33822485597599011</v>
      </c>
      <c r="AL1027" s="204">
        <f>(Delivery[[#This Row],[BEN premium (total)]]/SUMIF(Allocation!C:C,Delivery[Delivery ID],Allocation!H:H))/Delivery[[#This Row],[Exchange rate for premiums VS USD]]</f>
        <v>0.21228149692518022</v>
      </c>
      <c r="AM1027" s="204">
        <f>Delivery[[#This Row],[Valor Prêmio Nespresso BEN por Kg (em US$)]]*60</f>
        <v>12.736889815510814</v>
      </c>
      <c r="AN1027" s="204">
        <f>Delivery[[#This Row],[Valor Prêmio Nespresso BEN por saca (em US$)]]/1.3228/100</f>
        <v>9.628734363101614E-2</v>
      </c>
      <c r="AO1027" s="204">
        <f>SUMIF(Allocation[Delivery ID],Delivery[[#This Row],[Delivery ID]],Allocation[Quantity allocated])*16*1.3228*Delivery[[#This Row],[Exchange rate VS USD]]/60</f>
        <v>1895.0659263359998</v>
      </c>
      <c r="AP1027" s="204">
        <f>Delivery[[#This Row],[AAA Premium (total)]]</f>
        <v>4005.99</v>
      </c>
      <c r="AQ1027" s="204">
        <f>Delivery[[#This Row],[Valor pago pelo Cluster]]-Delivery[[#This Row],[Valor efetivamente pago pela Nespresso]]</f>
        <v>2110.9240736639999</v>
      </c>
    </row>
    <row r="1028" spans="1:43" ht="15.75">
      <c r="A1028" s="174" t="s">
        <v>69</v>
      </c>
      <c r="B1028" s="232" t="s">
        <v>68</v>
      </c>
      <c r="C1028" s="157">
        <v>1</v>
      </c>
      <c r="D1028" s="157" t="s">
        <v>468</v>
      </c>
      <c r="E1028" s="177" t="s">
        <v>468</v>
      </c>
      <c r="F1028" s="233" t="s">
        <v>543</v>
      </c>
      <c r="G1028" s="234">
        <v>43378</v>
      </c>
      <c r="H1028" s="157" t="s">
        <v>1682</v>
      </c>
      <c r="I1028" s="236" t="s">
        <v>511</v>
      </c>
      <c r="J1028" s="237">
        <v>32341</v>
      </c>
      <c r="K1028" s="175" t="s">
        <v>61</v>
      </c>
      <c r="L1028" s="175" t="s">
        <v>439</v>
      </c>
      <c r="M1028" s="175" t="s">
        <v>1343</v>
      </c>
      <c r="N1028" s="198"/>
      <c r="O1028" s="199"/>
      <c r="P1028" s="181">
        <v>0</v>
      </c>
      <c r="Q1028" s="177">
        <v>43370</v>
      </c>
      <c r="R1028" s="178">
        <v>397.41503999999998</v>
      </c>
      <c r="S1028" s="179">
        <v>216465.17216905649</v>
      </c>
      <c r="T1028" s="182" t="s">
        <v>45</v>
      </c>
      <c r="U1028" s="183">
        <v>4.0061999999999998</v>
      </c>
      <c r="V1028" s="179">
        <v>21632.39</v>
      </c>
      <c r="W1028" s="179">
        <v>6158.4678309435376</v>
      </c>
      <c r="X1028" s="196" t="s">
        <v>45</v>
      </c>
      <c r="Y1028" s="200">
        <v>4.0061999999999998</v>
      </c>
      <c r="Z1028" s="220" t="s">
        <v>473</v>
      </c>
      <c r="AA1028" s="201">
        <f>Delivery[[#This Row],[Quantity delivered]]*VLOOKUP(Delivery[[#This Row],[Unit]],References!$U:$X,4,FALSE)*VLOOKUP(CONCATENATE(Delivery[[#This Row],[Coffee specie]],Delivery[[#This Row],[Coffee state]]),References!$U:$X,4,FALSE)</f>
        <v>32341</v>
      </c>
      <c r="AB1028" s="202">
        <f>SUMIF(Allocation!C:C,Delivery[[#This Row],[Delivery ID]],Allocation!D:D)/Delivery[[#This Row],[Quantity delivered]]</f>
        <v>0.52051575399647509</v>
      </c>
      <c r="AC1028" s="203">
        <f>Delivery[[#This Row],[Quantity delivered]]*Delivery[[#This Row],[Base price (Unidad)]]/60</f>
        <v>214213.33014399998</v>
      </c>
      <c r="AD1028" s="204">
        <f>Delivery[[#This Row],[Nespresso total]]-Delivery[[#This Row],[Qt. Delivery * Base Price]]</f>
        <v>2251.8420250565105</v>
      </c>
      <c r="AE1028" s="204">
        <f>Delivery[[#This Row],[AAA Premium (total)]]/Delivery[[#This Row],[Quantity delivered]]*60/Delivery[[#This Row],[Exchange rate VS USD]]</f>
        <v>10.017738329157414</v>
      </c>
      <c r="AF1028" s="204">
        <f>Delivery[[#This Row],[BEN premium (total)]]/Delivery[[#This Row],[Quantity delivered]]*60/Delivery[[#This Row],[Exchange rate for premiums VS USD]]</f>
        <v>2.8519234</v>
      </c>
      <c r="AG1028" s="204">
        <f>COUNTIF(Delivery[Delivery ID],Delivery[[#This Row],[Delivery ID]])</f>
        <v>1</v>
      </c>
      <c r="AH1028" s="204">
        <f>(Delivery[[#This Row],[Nespresso total]]/SUMIF(Allocation!C:C,Delivery[Delivery ID],Allocation!H:H))/Delivery[[#This Row],[Exchange rate VS USD]]</f>
        <v>7.4640893218997393</v>
      </c>
      <c r="AI1028" s="204">
        <f>(Delivery[[#This Row],[AAA Premium (total)]]/SUMIF(Allocation!C:C,Delivery[Delivery ID],Allocation!H:H))/Delivery[[#This Row],[Exchange rate VS USD]]</f>
        <v>0.74592180159156407</v>
      </c>
      <c r="AJ1028" s="204">
        <f>Delivery[[#This Row],[Valor Prêmio Nespresso AAA por Kg (em US$)]]*60</f>
        <v>44.755308095493845</v>
      </c>
      <c r="AK1028" s="204">
        <f>Delivery[[#This Row],[Valor Prêmio Nespresso AAA por saca (em US$)]]/1.3228/100</f>
        <v>0.33833767837536927</v>
      </c>
      <c r="AL1028" s="204">
        <f>(Delivery[[#This Row],[BEN premium (total)]]/SUMIF(Allocation!C:C,Delivery[Delivery ID],Allocation!H:H))/Delivery[[#This Row],[Exchange rate for premiums VS USD]]</f>
        <v>0.21235450264631392</v>
      </c>
      <c r="AM1028" s="204">
        <f>Delivery[[#This Row],[Valor Prêmio Nespresso BEN por Kg (em US$)]]*60</f>
        <v>12.741270158778836</v>
      </c>
      <c r="AN1028" s="204">
        <f>Delivery[[#This Row],[Valor Prêmio Nespresso BEN por saca (em US$)]]/1.3228/100</f>
        <v>9.6320457807520687E-2</v>
      </c>
      <c r="AO1028" s="204">
        <f>SUMIF(Allocation[Delivery ID],Delivery[[#This Row],[Delivery ID]],Allocation[Quantity allocated])*16*1.3228*Delivery[[#This Row],[Exchange rate VS USD]]/60</f>
        <v>10229.964385343999</v>
      </c>
      <c r="AP1028" s="204">
        <f>Delivery[[#This Row],[AAA Premium (total)]]</f>
        <v>21632.39</v>
      </c>
      <c r="AQ1028" s="204">
        <f>Delivery[[#This Row],[Valor pago pelo Cluster]]-Delivery[[#This Row],[Valor efetivamente pago pela Nespresso]]</f>
        <v>11402.425614656</v>
      </c>
    </row>
    <row r="1029" spans="1:43" ht="15.75">
      <c r="A1029" s="174" t="s">
        <v>69</v>
      </c>
      <c r="B1029" s="232" t="s">
        <v>68</v>
      </c>
      <c r="C1029" s="157">
        <v>1</v>
      </c>
      <c r="D1029" s="157" t="s">
        <v>468</v>
      </c>
      <c r="E1029" s="177" t="s">
        <v>468</v>
      </c>
      <c r="F1029" s="233" t="s">
        <v>543</v>
      </c>
      <c r="G1029" s="234">
        <v>43378</v>
      </c>
      <c r="H1029" s="157" t="s">
        <v>1145</v>
      </c>
      <c r="I1029" s="157" t="s">
        <v>511</v>
      </c>
      <c r="J1029" s="237">
        <v>32370</v>
      </c>
      <c r="K1029" s="175" t="s">
        <v>61</v>
      </c>
      <c r="L1029" s="175" t="s">
        <v>439</v>
      </c>
      <c r="M1029" s="175" t="s">
        <v>1343</v>
      </c>
      <c r="N1029" s="198"/>
      <c r="O1029" s="199"/>
      <c r="P1029" s="181">
        <v>0</v>
      </c>
      <c r="Q1029" s="177">
        <v>43370</v>
      </c>
      <c r="R1029" s="178">
        <v>397.41503999999998</v>
      </c>
      <c r="S1029" s="179">
        <v>210295.65980843868</v>
      </c>
      <c r="T1029" s="182" t="s">
        <v>45</v>
      </c>
      <c r="U1029" s="183">
        <v>4.0061999999999998</v>
      </c>
      <c r="V1029" s="179">
        <v>21632.39</v>
      </c>
      <c r="W1029" s="179">
        <v>6163.9900957806585</v>
      </c>
      <c r="X1029" s="196" t="s">
        <v>45</v>
      </c>
      <c r="Y1029" s="200">
        <v>4.0061999999999998</v>
      </c>
      <c r="Z1029" s="220" t="s">
        <v>473</v>
      </c>
      <c r="AA1029" s="201">
        <f>Delivery[[#This Row],[Quantity delivered]]*VLOOKUP(Delivery[[#This Row],[Unit]],References!$U:$X,4,FALSE)*VLOOKUP(CONCATENATE(Delivery[[#This Row],[Coffee specie]],Delivery[[#This Row],[Coffee state]]),References!$U:$X,4,FALSE)</f>
        <v>32370</v>
      </c>
      <c r="AB1029" s="202">
        <f>SUMIF(Allocation!C:C,Delivery[[#This Row],[Delivery ID]],Allocation!D:D)/Delivery[[#This Row],[Quantity delivered]]</f>
        <v>0.63080012357120796</v>
      </c>
      <c r="AC1029" s="203">
        <f>Delivery[[#This Row],[Quantity delivered]]*Delivery[[#This Row],[Base price (Unidad)]]/60</f>
        <v>214405.41407999999</v>
      </c>
      <c r="AD1029" s="204">
        <f>Delivery[[#This Row],[Nespresso total]]-Delivery[[#This Row],[Qt. Delivery * Base Price]]</f>
        <v>-4109.754271561309</v>
      </c>
      <c r="AE1029" s="204">
        <f>Delivery[[#This Row],[AAA Premium (total)]]/Delivery[[#This Row],[Quantity delivered]]*60/Delivery[[#This Row],[Exchange rate VS USD]]</f>
        <v>10.008763524970032</v>
      </c>
      <c r="AF1029" s="204">
        <f>Delivery[[#This Row],[BEN premium (total)]]/Delivery[[#This Row],[Quantity delivered]]*60/Delivery[[#This Row],[Exchange rate for premiums VS USD]]</f>
        <v>2.8519233999999996</v>
      </c>
      <c r="AG1029" s="204">
        <f>COUNTIF(Delivery[Delivery ID],Delivery[[#This Row],[Delivery ID]])</f>
        <v>1</v>
      </c>
      <c r="AH1029" s="204">
        <f>(Delivery[[#This Row],[Nespresso total]]/SUMIF(Allocation!C:C,Delivery[Delivery ID],Allocation!H:H))/Delivery[[#This Row],[Exchange rate VS USD]]</f>
        <v>5.9786505122196898</v>
      </c>
      <c r="AI1029" s="204">
        <f>(Delivery[[#This Row],[AAA Premium (total)]]/SUMIF(Allocation!C:C,Delivery[Delivery ID],Allocation!H:H))/Delivery[[#This Row],[Exchange rate VS USD]]</f>
        <v>0.61500318015049338</v>
      </c>
      <c r="AJ1029" s="204">
        <f>Delivery[[#This Row],[Valor Prêmio Nespresso AAA por Kg (em US$)]]*60</f>
        <v>36.900190809029603</v>
      </c>
      <c r="AK1029" s="204">
        <f>Delivery[[#This Row],[Valor Prêmio Nespresso AAA por saca (em US$)]]/1.3228/100</f>
        <v>0.27895517696575145</v>
      </c>
      <c r="AL1029" s="204">
        <f>(Delivery[[#This Row],[BEN premium (total)]]/SUMIF(Allocation!C:C,Delivery[Delivery ID],Allocation!H:H))/Delivery[[#This Row],[Exchange rate for premiums VS USD]]</f>
        <v>0.17524062349658312</v>
      </c>
      <c r="AM1029" s="204">
        <f>Delivery[[#This Row],[Valor Prêmio Nespresso BEN por Kg (em US$)]]*60</f>
        <v>10.514437409794986</v>
      </c>
      <c r="AN1029" s="204">
        <f>Delivery[[#This Row],[Valor Prêmio Nespresso BEN por saca (em US$)]]/1.3228/100</f>
        <v>7.9486221725090622E-2</v>
      </c>
      <c r="AO1029" s="204">
        <f>SUMIF(Allocation[Delivery ID],Delivery[[#This Row],[Delivery ID]],Allocation[Quantity allocated])*16*1.3228*Delivery[[#This Row],[Exchange rate VS USD]]/60</f>
        <v>12407.665050879998</v>
      </c>
      <c r="AP1029" s="204">
        <f>Delivery[[#This Row],[AAA Premium (total)]]</f>
        <v>21632.39</v>
      </c>
      <c r="AQ1029" s="204">
        <f>Delivery[[#This Row],[Valor pago pelo Cluster]]-Delivery[[#This Row],[Valor efetivamente pago pela Nespresso]]</f>
        <v>9224.7249491200018</v>
      </c>
    </row>
    <row r="1030" spans="1:43" ht="15.75">
      <c r="A1030" s="174" t="s">
        <v>69</v>
      </c>
      <c r="B1030" s="232" t="s">
        <v>68</v>
      </c>
      <c r="C1030" s="157">
        <v>1</v>
      </c>
      <c r="D1030" s="157" t="s">
        <v>468</v>
      </c>
      <c r="E1030" s="177" t="s">
        <v>468</v>
      </c>
      <c r="F1030" s="233" t="s">
        <v>543</v>
      </c>
      <c r="G1030" s="234">
        <v>43382</v>
      </c>
      <c r="H1030" s="157" t="s">
        <v>1146</v>
      </c>
      <c r="I1030" s="157" t="s">
        <v>1147</v>
      </c>
      <c r="J1030" s="237">
        <v>29740</v>
      </c>
      <c r="K1030" s="175" t="s">
        <v>61</v>
      </c>
      <c r="L1030" s="175" t="s">
        <v>439</v>
      </c>
      <c r="M1030" s="175" t="s">
        <v>1343</v>
      </c>
      <c r="N1030" s="198"/>
      <c r="O1030" s="199"/>
      <c r="P1030" s="181">
        <v>0</v>
      </c>
      <c r="Q1030" s="177">
        <v>43375</v>
      </c>
      <c r="R1030" s="178">
        <v>421.06905</v>
      </c>
      <c r="S1030" s="179">
        <v>233484</v>
      </c>
      <c r="T1030" s="182" t="s">
        <v>45</v>
      </c>
      <c r="U1030" s="183">
        <v>3.9537</v>
      </c>
      <c r="V1030" s="179">
        <v>41515</v>
      </c>
      <c r="W1030" s="179">
        <v>0</v>
      </c>
      <c r="X1030" s="196" t="s">
        <v>45</v>
      </c>
      <c r="Y1030" s="200">
        <v>3.9537</v>
      </c>
      <c r="Z1030" s="220"/>
      <c r="AA1030" s="201">
        <f>Delivery[[#This Row],[Quantity delivered]]*VLOOKUP(Delivery[[#This Row],[Unit]],References!$U:$X,4,FALSE)*VLOOKUP(CONCATENATE(Delivery[[#This Row],[Coffee specie]],Delivery[[#This Row],[Coffee state]]),References!$U:$X,4,FALSE)</f>
        <v>29740</v>
      </c>
      <c r="AB1030" s="202">
        <f>SUMIF(Allocation!C:C,Delivery[[#This Row],[Delivery ID]],Allocation!D:D)/Delivery[[#This Row],[Quantity delivered]]</f>
        <v>0.71102891728312034</v>
      </c>
      <c r="AC1030" s="203">
        <f>Delivery[[#This Row],[Quantity delivered]]*Delivery[[#This Row],[Base price (Unidad)]]/60</f>
        <v>208709.89245000001</v>
      </c>
      <c r="AD1030" s="204">
        <f>Delivery[[#This Row],[Nespresso total]]-Delivery[[#This Row],[Qt. Delivery * Base Price]]</f>
        <v>24774.107549999986</v>
      </c>
      <c r="AE1030" s="204">
        <f>Delivery[[#This Row],[AAA Premium (total)]]/Delivery[[#This Row],[Quantity delivered]]*60/Delivery[[#This Row],[Exchange rate VS USD]]</f>
        <v>21.184177942400161</v>
      </c>
      <c r="AF1030" s="204">
        <f>Delivery[[#This Row],[BEN premium (total)]]/Delivery[[#This Row],[Quantity delivered]]*60/Delivery[[#This Row],[Exchange rate for premiums VS USD]]</f>
        <v>0</v>
      </c>
      <c r="AG1030" s="204">
        <f>COUNTIF(Delivery[Delivery ID],Delivery[[#This Row],[Delivery ID]])</f>
        <v>1</v>
      </c>
      <c r="AH1030" s="204">
        <f>(Delivery[[#This Row],[Nespresso total]]/SUMIF(Allocation!C:C,Delivery[Delivery ID],Allocation!H:H))/Delivery[[#This Row],[Exchange rate VS USD]]</f>
        <v>2.9380376363874534</v>
      </c>
      <c r="AI1030" s="204">
        <f>(Delivery[[#This Row],[AAA Premium (total)]]/SUMIF(Allocation!C:C,Delivery[Delivery ID],Allocation!H:H))/Delivery[[#This Row],[Exchange rate VS USD]]</f>
        <v>0.52240253068572207</v>
      </c>
      <c r="AJ1030" s="204">
        <f>Delivery[[#This Row],[Valor Prêmio Nespresso AAA por Kg (em US$)]]*60</f>
        <v>31.344151841143322</v>
      </c>
      <c r="AK1030" s="204">
        <f>Delivery[[#This Row],[Valor Prêmio Nespresso AAA por saca (em US$)]]/1.3228/100</f>
        <v>0.23695306804613941</v>
      </c>
      <c r="AL1030" s="204">
        <f>(Delivery[[#This Row],[BEN premium (total)]]/SUMIF(Allocation!C:C,Delivery[Delivery ID],Allocation!H:H))/Delivery[[#This Row],[Exchange rate for premiums VS USD]]</f>
        <v>0</v>
      </c>
      <c r="AM1030" s="204">
        <f>Delivery[[#This Row],[Valor Prêmio Nespresso BEN por Kg (em US$)]]*60</f>
        <v>0</v>
      </c>
      <c r="AN1030" s="204">
        <f>Delivery[[#This Row],[Valor Prêmio Nespresso BEN por saca (em US$)]]/1.3228/100</f>
        <v>0</v>
      </c>
      <c r="AO1030" s="204">
        <f>SUMIF(Allocation[Delivery ID],Delivery[[#This Row],[Delivery ID]],Allocation[Quantity allocated])*16*1.3228*Delivery[[#This Row],[Exchange rate VS USD]]/60</f>
        <v>28032.555369599999</v>
      </c>
      <c r="AP1030" s="204">
        <f>Delivery[[#This Row],[AAA Premium (total)]]</f>
        <v>41515</v>
      </c>
      <c r="AQ1030" s="204">
        <f>Delivery[[#This Row],[Valor pago pelo Cluster]]-Delivery[[#This Row],[Valor efetivamente pago pela Nespresso]]</f>
        <v>13482.444630400001</v>
      </c>
    </row>
    <row r="1031" spans="1:43" ht="15.75">
      <c r="A1031" s="174" t="s">
        <v>69</v>
      </c>
      <c r="B1031" s="232" t="s">
        <v>68</v>
      </c>
      <c r="C1031" s="157">
        <v>1</v>
      </c>
      <c r="D1031" s="157" t="s">
        <v>468</v>
      </c>
      <c r="E1031" s="177" t="s">
        <v>468</v>
      </c>
      <c r="F1031" s="233" t="s">
        <v>543</v>
      </c>
      <c r="G1031" s="234">
        <v>43382</v>
      </c>
      <c r="H1031" s="157" t="s">
        <v>1148</v>
      </c>
      <c r="I1031" s="157" t="s">
        <v>1147</v>
      </c>
      <c r="J1031" s="237">
        <v>30280</v>
      </c>
      <c r="K1031" s="175" t="s">
        <v>61</v>
      </c>
      <c r="L1031" s="175" t="s">
        <v>439</v>
      </c>
      <c r="M1031" s="175" t="s">
        <v>1343</v>
      </c>
      <c r="N1031" s="198"/>
      <c r="O1031" s="199"/>
      <c r="P1031" s="181">
        <v>0</v>
      </c>
      <c r="Q1031" s="177">
        <v>43375</v>
      </c>
      <c r="R1031" s="178">
        <v>421.06905</v>
      </c>
      <c r="S1031" s="179">
        <v>233484</v>
      </c>
      <c r="T1031" s="182" t="s">
        <v>45</v>
      </c>
      <c r="U1031" s="183">
        <v>3.9537</v>
      </c>
      <c r="V1031" s="179">
        <v>41515</v>
      </c>
      <c r="W1031" s="179">
        <v>0</v>
      </c>
      <c r="X1031" s="196" t="s">
        <v>45</v>
      </c>
      <c r="Y1031" s="200">
        <v>3.9537</v>
      </c>
      <c r="Z1031" s="220"/>
      <c r="AA1031" s="201">
        <f>Delivery[[#This Row],[Quantity delivered]]*VLOOKUP(Delivery[[#This Row],[Unit]],References!$U:$X,4,FALSE)*VLOOKUP(CONCATENATE(Delivery[[#This Row],[Coffee specie]],Delivery[[#This Row],[Coffee state]]),References!$U:$X,4,FALSE)</f>
        <v>30280</v>
      </c>
      <c r="AB1031" s="202">
        <f>SUMIF(Allocation!C:C,Delivery[[#This Row],[Delivery ID]],Allocation!D:D)/Delivery[[#This Row],[Quantity delivered]]</f>
        <v>0.70013210039630114</v>
      </c>
      <c r="AC1031" s="203">
        <f>Delivery[[#This Row],[Quantity delivered]]*Delivery[[#This Row],[Base price (Unidad)]]/60</f>
        <v>212499.51390000002</v>
      </c>
      <c r="AD1031" s="204">
        <f>Delivery[[#This Row],[Nespresso total]]-Delivery[[#This Row],[Qt. Delivery * Base Price]]</f>
        <v>20984.48609999998</v>
      </c>
      <c r="AE1031" s="204">
        <f>Delivery[[#This Row],[AAA Premium (total)]]/Delivery[[#This Row],[Quantity delivered]]*60/Delivery[[#This Row],[Exchange rate VS USD]]</f>
        <v>20.806388771696856</v>
      </c>
      <c r="AF1031" s="204">
        <f>Delivery[[#This Row],[BEN premium (total)]]/Delivery[[#This Row],[Quantity delivered]]*60/Delivery[[#This Row],[Exchange rate for premiums VS USD]]</f>
        <v>0</v>
      </c>
      <c r="AG1031" s="204">
        <f>COUNTIF(Delivery[Delivery ID],Delivery[[#This Row],[Delivery ID]])</f>
        <v>1</v>
      </c>
      <c r="AH1031" s="204">
        <f>(Delivery[[#This Row],[Nespresso total]]/SUMIF(Allocation!C:C,Delivery[Delivery ID],Allocation!H:H))/Delivery[[#This Row],[Exchange rate VS USD]]</f>
        <v>2.9320568239604694</v>
      </c>
      <c r="AI1031" s="204">
        <f>(Delivery[[#This Row],[AAA Premium (total)]]/SUMIF(Allocation!C:C,Delivery[Delivery ID],Allocation!H:H))/Delivery[[#This Row],[Exchange rate VS USD]]</f>
        <v>0.52133910266535988</v>
      </c>
      <c r="AJ1031" s="204">
        <f>Delivery[[#This Row],[Valor Prêmio Nespresso AAA por Kg (em US$)]]*60</f>
        <v>31.280346159921592</v>
      </c>
      <c r="AK1031" s="204">
        <f>Delivery[[#This Row],[Valor Prêmio Nespresso AAA por saca (em US$)]]/1.3228/100</f>
        <v>0.2364707148467009</v>
      </c>
      <c r="AL1031" s="204">
        <f>(Delivery[[#This Row],[BEN premium (total)]]/SUMIF(Allocation!C:C,Delivery[Delivery ID],Allocation!H:H))/Delivery[[#This Row],[Exchange rate for premiums VS USD]]</f>
        <v>0</v>
      </c>
      <c r="AM1031" s="204">
        <f>Delivery[[#This Row],[Valor Prêmio Nespresso BEN por Kg (em US$)]]*60</f>
        <v>0</v>
      </c>
      <c r="AN1031" s="204">
        <f>Delivery[[#This Row],[Valor Prêmio Nespresso BEN por saca (em US$)]]/1.3228/100</f>
        <v>0</v>
      </c>
      <c r="AO1031" s="204">
        <f>SUMIF(Allocation[Delivery ID],Delivery[[#This Row],[Delivery ID]],Allocation[Quantity allocated])*16*1.3228*Delivery[[#This Row],[Exchange rate VS USD]]/60</f>
        <v>28089.736203936001</v>
      </c>
      <c r="AP1031" s="204">
        <f>Delivery[[#This Row],[AAA Premium (total)]]</f>
        <v>41515</v>
      </c>
      <c r="AQ1031" s="204">
        <f>Delivery[[#This Row],[Valor pago pelo Cluster]]-Delivery[[#This Row],[Valor efetivamente pago pela Nespresso]]</f>
        <v>13425.263796063999</v>
      </c>
    </row>
    <row r="1032" spans="1:43" ht="15.75">
      <c r="A1032" s="174" t="s">
        <v>69</v>
      </c>
      <c r="B1032" s="232" t="s">
        <v>68</v>
      </c>
      <c r="C1032" s="157">
        <v>1</v>
      </c>
      <c r="D1032" s="157" t="s">
        <v>468</v>
      </c>
      <c r="E1032" s="177" t="s">
        <v>468</v>
      </c>
      <c r="F1032" s="233" t="s">
        <v>543</v>
      </c>
      <c r="G1032" s="234">
        <v>43383</v>
      </c>
      <c r="H1032" s="157" t="s">
        <v>1683</v>
      </c>
      <c r="I1032" s="236" t="s">
        <v>1472</v>
      </c>
      <c r="J1032" s="237">
        <v>30410</v>
      </c>
      <c r="K1032" s="175" t="s">
        <v>61</v>
      </c>
      <c r="L1032" s="175" t="s">
        <v>439</v>
      </c>
      <c r="M1032" s="175" t="s">
        <v>1343</v>
      </c>
      <c r="N1032" s="198"/>
      <c r="O1032" s="199"/>
      <c r="P1032" s="181">
        <v>0</v>
      </c>
      <c r="Q1032" s="177">
        <v>43375</v>
      </c>
      <c r="R1032" s="178">
        <v>423.28440000000001</v>
      </c>
      <c r="S1032" s="179">
        <v>229445.89</v>
      </c>
      <c r="T1032" s="182" t="s">
        <v>45</v>
      </c>
      <c r="U1032" s="183">
        <v>3.9192999999999998</v>
      </c>
      <c r="V1032" s="179">
        <v>13912.08</v>
      </c>
      <c r="W1032" s="179">
        <v>0</v>
      </c>
      <c r="X1032" s="196" t="s">
        <v>45</v>
      </c>
      <c r="Y1032" s="200">
        <v>3.9192999999999998</v>
      </c>
      <c r="Z1032" s="220"/>
      <c r="AA1032" s="201">
        <f>Delivery[[#This Row],[Quantity delivered]]*VLOOKUP(Delivery[[#This Row],[Unit]],References!$U:$X,4,FALSE)*VLOOKUP(CONCATENATE(Delivery[[#This Row],[Coffee specie]],Delivery[[#This Row],[Coffee state]]),References!$U:$X,4,FALSE)</f>
        <v>30410</v>
      </c>
      <c r="AB1032" s="202">
        <f>SUMIF(Allocation!C:C,Delivery[[#This Row],[Delivery ID]],Allocation!D:D)/Delivery[[#This Row],[Quantity delivered]]</f>
        <v>1</v>
      </c>
      <c r="AC1032" s="203">
        <f>Delivery[[#This Row],[Quantity delivered]]*Delivery[[#This Row],[Base price (Unidad)]]/60</f>
        <v>214534.6434</v>
      </c>
      <c r="AD1032" s="204">
        <f>Delivery[[#This Row],[Nespresso total]]-Delivery[[#This Row],[Qt. Delivery * Base Price]]</f>
        <v>14911.246600000013</v>
      </c>
      <c r="AE1032" s="204">
        <f>Delivery[[#This Row],[AAA Premium (total)]]/Delivery[[#This Row],[Quantity delivered]]*60/Delivery[[#This Row],[Exchange rate VS USD]]</f>
        <v>7.0035525087599915</v>
      </c>
      <c r="AF1032" s="204">
        <f>Delivery[[#This Row],[BEN premium (total)]]/Delivery[[#This Row],[Quantity delivered]]*60/Delivery[[#This Row],[Exchange rate for premiums VS USD]]</f>
        <v>0</v>
      </c>
      <c r="AG1032" s="204">
        <f>COUNTIF(Delivery[Delivery ID],Delivery[[#This Row],[Delivery ID]])</f>
        <v>1</v>
      </c>
      <c r="AH1032" s="204">
        <f>(Delivery[[#This Row],[Nespresso total]]/SUMIF(Allocation!C:C,Delivery[Delivery ID],Allocation!H:H))/Delivery[[#This Row],[Exchange rate VS USD]]</f>
        <v>5.4437947578636683</v>
      </c>
      <c r="AI1032" s="204">
        <f>(Delivery[[#This Row],[AAA Premium (total)]]/SUMIF(Allocation!C:C,Delivery[Delivery ID],Allocation!H:H))/Delivery[[#This Row],[Exchange rate VS USD]]</f>
        <v>0.33007568004369126</v>
      </c>
      <c r="AJ1032" s="204">
        <f>Delivery[[#This Row],[Valor Prêmio Nespresso AAA por Kg (em US$)]]*60</f>
        <v>19.804540802621474</v>
      </c>
      <c r="AK1032" s="204">
        <f>Delivery[[#This Row],[Valor Prêmio Nespresso AAA por saca (em US$)]]/1.3228/100</f>
        <v>0.14971681888888322</v>
      </c>
      <c r="AL1032" s="204">
        <f>(Delivery[[#This Row],[BEN premium (total)]]/SUMIF(Allocation!C:C,Delivery[Delivery ID],Allocation!H:H))/Delivery[[#This Row],[Exchange rate for premiums VS USD]]</f>
        <v>0</v>
      </c>
      <c r="AM1032" s="204">
        <f>Delivery[[#This Row],[Valor Prêmio Nespresso BEN por Kg (em US$)]]*60</f>
        <v>0</v>
      </c>
      <c r="AN1032" s="204">
        <f>Delivery[[#This Row],[Valor Prêmio Nespresso BEN por saca (em US$)]]/1.3228/100</f>
        <v>0</v>
      </c>
      <c r="AO1032" s="204">
        <f>SUMIF(Allocation[Delivery ID],Delivery[[#This Row],[Delivery ID]],Allocation[Quantity allocated])*16*1.3228*Delivery[[#This Row],[Exchange rate VS USD]]/60</f>
        <v>14867.620194709332</v>
      </c>
      <c r="AP1032" s="204">
        <f>Delivery[[#This Row],[AAA Premium (total)]]</f>
        <v>13912.08</v>
      </c>
      <c r="AQ1032" s="204">
        <f>Delivery[[#This Row],[Valor pago pelo Cluster]]-Delivery[[#This Row],[Valor efetivamente pago pela Nespresso]]</f>
        <v>-955.54019470933235</v>
      </c>
    </row>
    <row r="1033" spans="1:43" ht="15.75">
      <c r="A1033" s="174" t="s">
        <v>69</v>
      </c>
      <c r="B1033" s="232" t="s">
        <v>68</v>
      </c>
      <c r="C1033" s="157">
        <v>1</v>
      </c>
      <c r="D1033" s="157" t="s">
        <v>468</v>
      </c>
      <c r="E1033" s="177" t="s">
        <v>468</v>
      </c>
      <c r="F1033" s="233" t="s">
        <v>543</v>
      </c>
      <c r="G1033" s="234">
        <v>43383</v>
      </c>
      <c r="H1033" s="157" t="s">
        <v>1684</v>
      </c>
      <c r="I1033" s="236" t="s">
        <v>1472</v>
      </c>
      <c r="J1033" s="237">
        <v>30430</v>
      </c>
      <c r="K1033" s="175" t="s">
        <v>61</v>
      </c>
      <c r="L1033" s="175" t="s">
        <v>439</v>
      </c>
      <c r="M1033" s="175" t="s">
        <v>1343</v>
      </c>
      <c r="N1033" s="198"/>
      <c r="O1033" s="199"/>
      <c r="P1033" s="181">
        <v>0</v>
      </c>
      <c r="Q1033" s="177">
        <v>43375</v>
      </c>
      <c r="R1033" s="178">
        <v>423.28440000000001</v>
      </c>
      <c r="S1033" s="179">
        <v>229445.89</v>
      </c>
      <c r="T1033" s="182" t="s">
        <v>45</v>
      </c>
      <c r="U1033" s="183">
        <v>3.9192999999999998</v>
      </c>
      <c r="V1033" s="179">
        <v>13912.08</v>
      </c>
      <c r="W1033" s="179">
        <v>0</v>
      </c>
      <c r="X1033" s="196" t="s">
        <v>45</v>
      </c>
      <c r="Y1033" s="200">
        <v>3.9192999999999998</v>
      </c>
      <c r="Z1033" s="220"/>
      <c r="AA1033" s="201">
        <f>Delivery[[#This Row],[Quantity delivered]]*VLOOKUP(Delivery[[#This Row],[Unit]],References!$U:$X,4,FALSE)*VLOOKUP(CONCATENATE(Delivery[[#This Row],[Coffee specie]],Delivery[[#This Row],[Coffee state]]),References!$U:$X,4,FALSE)</f>
        <v>30430</v>
      </c>
      <c r="AB1033" s="202">
        <f>SUMIF(Allocation!C:C,Delivery[[#This Row],[Delivery ID]],Allocation!D:D)/Delivery[[#This Row],[Quantity delivered]]</f>
        <v>1</v>
      </c>
      <c r="AC1033" s="203">
        <f>Delivery[[#This Row],[Quantity delivered]]*Delivery[[#This Row],[Base price (Unidad)]]/60</f>
        <v>214675.73819999999</v>
      </c>
      <c r="AD1033" s="204">
        <f>Delivery[[#This Row],[Nespresso total]]-Delivery[[#This Row],[Qt. Delivery * Base Price]]</f>
        <v>14770.151800000021</v>
      </c>
      <c r="AE1033" s="204">
        <f>Delivery[[#This Row],[AAA Premium (total)]]/Delivery[[#This Row],[Quantity delivered]]*60/Delivery[[#This Row],[Exchange rate VS USD]]</f>
        <v>6.9989494509165739</v>
      </c>
      <c r="AF1033" s="204">
        <f>Delivery[[#This Row],[BEN premium (total)]]/Delivery[[#This Row],[Quantity delivered]]*60/Delivery[[#This Row],[Exchange rate for premiums VS USD]]</f>
        <v>0</v>
      </c>
      <c r="AG1033" s="204">
        <f>COUNTIF(Delivery[Delivery ID],Delivery[[#This Row],[Delivery ID]])</f>
        <v>1</v>
      </c>
      <c r="AH1033" s="204">
        <f>(Delivery[[#This Row],[Nespresso total]]/SUMIF(Allocation!C:C,Delivery[Delivery ID],Allocation!H:H))/Delivery[[#This Row],[Exchange rate VS USD]]</f>
        <v>5.4417706661150671</v>
      </c>
      <c r="AI1033" s="204">
        <f>(Delivery[[#This Row],[AAA Premium (total)]]/SUMIF(Allocation!C:C,Delivery[Delivery ID],Allocation!H:H))/Delivery[[#This Row],[Exchange rate VS USD]]</f>
        <v>0.32995295251811263</v>
      </c>
      <c r="AJ1033" s="204">
        <f>Delivery[[#This Row],[Valor Prêmio Nespresso AAA por Kg (em US$)]]*60</f>
        <v>19.797177151086757</v>
      </c>
      <c r="AK1033" s="204">
        <f>Delivery[[#This Row],[Valor Prêmio Nespresso AAA por saca (em US$)]]/1.3228/100</f>
        <v>0.14966115173183214</v>
      </c>
      <c r="AL1033" s="204">
        <f>(Delivery[[#This Row],[BEN premium (total)]]/SUMIF(Allocation!C:C,Delivery[Delivery ID],Allocation!H:H))/Delivery[[#This Row],[Exchange rate for premiums VS USD]]</f>
        <v>0</v>
      </c>
      <c r="AM1033" s="204">
        <f>Delivery[[#This Row],[Valor Prêmio Nespresso BEN por Kg (em US$)]]*60</f>
        <v>0</v>
      </c>
      <c r="AN1033" s="204">
        <f>Delivery[[#This Row],[Valor Prêmio Nespresso BEN por saca (em US$)]]/1.3228/100</f>
        <v>0</v>
      </c>
      <c r="AO1033" s="204">
        <f>SUMIF(Allocation[Delivery ID],Delivery[[#This Row],[Delivery ID]],Allocation[Quantity allocated])*16*1.3228*Delivery[[#This Row],[Exchange rate VS USD]]/60</f>
        <v>14873.150274751999</v>
      </c>
      <c r="AP1033" s="204">
        <f>Delivery[[#This Row],[AAA Premium (total)]]</f>
        <v>13912.08</v>
      </c>
      <c r="AQ1033" s="204">
        <f>Delivery[[#This Row],[Valor pago pelo Cluster]]-Delivery[[#This Row],[Valor efetivamente pago pela Nespresso]]</f>
        <v>-961.07027475199902</v>
      </c>
    </row>
    <row r="1034" spans="1:43" ht="15.75">
      <c r="A1034" s="174" t="s">
        <v>69</v>
      </c>
      <c r="B1034" s="232" t="s">
        <v>68</v>
      </c>
      <c r="C1034" s="157">
        <v>1</v>
      </c>
      <c r="D1034" s="157" t="s">
        <v>468</v>
      </c>
      <c r="E1034" s="177" t="s">
        <v>468</v>
      </c>
      <c r="F1034" s="233" t="s">
        <v>543</v>
      </c>
      <c r="G1034" s="234">
        <v>43382</v>
      </c>
      <c r="H1034" s="157" t="s">
        <v>1149</v>
      </c>
      <c r="I1034" s="157" t="s">
        <v>1147</v>
      </c>
      <c r="J1034" s="237">
        <v>29940</v>
      </c>
      <c r="K1034" s="175" t="s">
        <v>61</v>
      </c>
      <c r="L1034" s="175" t="s">
        <v>439</v>
      </c>
      <c r="M1034" s="175" t="s">
        <v>1343</v>
      </c>
      <c r="N1034" s="198"/>
      <c r="O1034" s="199"/>
      <c r="P1034" s="181">
        <v>0</v>
      </c>
      <c r="Q1034" s="177">
        <v>43375</v>
      </c>
      <c r="R1034" s="178">
        <v>421.06905</v>
      </c>
      <c r="S1034" s="179">
        <v>233484</v>
      </c>
      <c r="T1034" s="182" t="s">
        <v>45</v>
      </c>
      <c r="U1034" s="183">
        <v>3.9537</v>
      </c>
      <c r="V1034" s="179">
        <v>41515</v>
      </c>
      <c r="W1034" s="179">
        <v>0</v>
      </c>
      <c r="X1034" s="196" t="s">
        <v>45</v>
      </c>
      <c r="Y1034" s="200">
        <v>3.9537</v>
      </c>
      <c r="Z1034" s="220"/>
      <c r="AA1034" s="201">
        <f>Delivery[[#This Row],[Quantity delivered]]*VLOOKUP(Delivery[[#This Row],[Unit]],References!$U:$X,4,FALSE)*VLOOKUP(CONCATENATE(Delivery[[#This Row],[Coffee specie]],Delivery[[#This Row],[Coffee state]]),References!$U:$X,4,FALSE)</f>
        <v>29940</v>
      </c>
      <c r="AB1034" s="202">
        <f>SUMIF(Allocation!C:C,Delivery[[#This Row],[Delivery ID]],Allocation!D:D)/Delivery[[#This Row],[Quantity delivered]]</f>
        <v>0.70698062792251171</v>
      </c>
      <c r="AC1034" s="203">
        <f>Delivery[[#This Row],[Quantity delivered]]*Delivery[[#This Row],[Base price (Unidad)]]/60</f>
        <v>210113.45595</v>
      </c>
      <c r="AD1034" s="204">
        <f>Delivery[[#This Row],[Nespresso total]]-Delivery[[#This Row],[Qt. Delivery * Base Price]]</f>
        <v>23370.544049999997</v>
      </c>
      <c r="AE1034" s="204">
        <f>Delivery[[#This Row],[AAA Premium (total)]]/Delivery[[#This Row],[Quantity delivered]]*60/Delivery[[#This Row],[Exchange rate VS USD]]</f>
        <v>21.042667067701426</v>
      </c>
      <c r="AF1034" s="204">
        <f>Delivery[[#This Row],[BEN premium (total)]]/Delivery[[#This Row],[Quantity delivered]]*60/Delivery[[#This Row],[Exchange rate for premiums VS USD]]</f>
        <v>0</v>
      </c>
      <c r="AG1034" s="204">
        <f>COUNTIF(Delivery[Delivery ID],Delivery[[#This Row],[Delivery ID]])</f>
        <v>1</v>
      </c>
      <c r="AH1034" s="204">
        <f>(Delivery[[#This Row],[Nespresso total]]/SUMIF(Allocation!C:C,Delivery[Delivery ID],Allocation!H:H))/Delivery[[#This Row],[Exchange rate VS USD]]</f>
        <v>2.9357007601604597</v>
      </c>
      <c r="AI1034" s="204">
        <f>(Delivery[[#This Row],[AAA Premium (total)]]/SUMIF(Allocation!C:C,Delivery[Delivery ID],Allocation!H:H))/Delivery[[#This Row],[Exchange rate VS USD]]</f>
        <v>0.52198701863109032</v>
      </c>
      <c r="AJ1034" s="204">
        <f>Delivery[[#This Row],[Valor Prêmio Nespresso AAA por Kg (em US$)]]*60</f>
        <v>31.319221117865418</v>
      </c>
      <c r="AK1034" s="204">
        <f>Delivery[[#This Row],[Valor Prêmio Nespresso AAA por saca (em US$)]]/1.3228/100</f>
        <v>0.23676459871382988</v>
      </c>
      <c r="AL1034" s="204">
        <f>(Delivery[[#This Row],[BEN premium (total)]]/SUMIF(Allocation!C:C,Delivery[Delivery ID],Allocation!H:H))/Delivery[[#This Row],[Exchange rate for premiums VS USD]]</f>
        <v>0</v>
      </c>
      <c r="AM1034" s="204">
        <f>Delivery[[#This Row],[Valor Prêmio Nespresso BEN por Kg (em US$)]]*60</f>
        <v>0</v>
      </c>
      <c r="AN1034" s="204">
        <f>Delivery[[#This Row],[Valor Prêmio Nespresso BEN por saca (em US$)]]/1.3228/100</f>
        <v>0</v>
      </c>
      <c r="AO1034" s="204">
        <f>SUMIF(Allocation[Delivery ID],Delivery[[#This Row],[Delivery ID]],Allocation[Quantity allocated])*16*1.3228*Delivery[[#This Row],[Exchange rate VS USD]]/60</f>
        <v>28054.869841536001</v>
      </c>
      <c r="AP1034" s="204">
        <f>Delivery[[#This Row],[AAA Premium (total)]]</f>
        <v>41515</v>
      </c>
      <c r="AQ1034" s="204">
        <f>Delivery[[#This Row],[Valor pago pelo Cluster]]-Delivery[[#This Row],[Valor efetivamente pago pela Nespresso]]</f>
        <v>13460.130158463999</v>
      </c>
    </row>
    <row r="1035" spans="1:43" ht="15.75">
      <c r="A1035" s="174" t="s">
        <v>69</v>
      </c>
      <c r="B1035" s="232" t="s">
        <v>68</v>
      </c>
      <c r="C1035" s="157">
        <v>1</v>
      </c>
      <c r="D1035" s="157" t="s">
        <v>468</v>
      </c>
      <c r="E1035" s="177" t="s">
        <v>468</v>
      </c>
      <c r="F1035" s="233" t="s">
        <v>543</v>
      </c>
      <c r="G1035" s="234">
        <v>43378</v>
      </c>
      <c r="H1035" s="157" t="s">
        <v>1150</v>
      </c>
      <c r="I1035" s="157" t="s">
        <v>511</v>
      </c>
      <c r="J1035" s="237">
        <v>31850</v>
      </c>
      <c r="K1035" s="175" t="s">
        <v>61</v>
      </c>
      <c r="L1035" s="175" t="s">
        <v>439</v>
      </c>
      <c r="M1035" s="175" t="s">
        <v>1343</v>
      </c>
      <c r="N1035" s="198"/>
      <c r="O1035" s="199"/>
      <c r="P1035" s="181">
        <v>0</v>
      </c>
      <c r="Q1035" s="177">
        <v>43370</v>
      </c>
      <c r="R1035" s="178">
        <v>397.41503999999998</v>
      </c>
      <c r="S1035" s="179">
        <v>208432.36965087341</v>
      </c>
      <c r="T1035" s="182" t="s">
        <v>45</v>
      </c>
      <c r="U1035" s="183">
        <v>4.0061999999999998</v>
      </c>
      <c r="V1035" s="179">
        <v>21432.09</v>
      </c>
      <c r="W1035" s="179">
        <v>6064.9701745632992</v>
      </c>
      <c r="X1035" s="196" t="s">
        <v>45</v>
      </c>
      <c r="Y1035" s="200">
        <v>4.0061999999999998</v>
      </c>
      <c r="Z1035" s="220" t="s">
        <v>473</v>
      </c>
      <c r="AA1035" s="201">
        <f>Delivery[[#This Row],[Quantity delivered]]*VLOOKUP(Delivery[[#This Row],[Unit]],References!$U:$X,4,FALSE)*VLOOKUP(CONCATENATE(Delivery[[#This Row],[Coffee specie]],Delivery[[#This Row],[Coffee state]]),References!$U:$X,4,FALSE)</f>
        <v>31850</v>
      </c>
      <c r="AB1035" s="202">
        <f>SUMIF(Allocation!C:C,Delivery[[#This Row],[Delivery ID]],Allocation!D:D)/Delivery[[#This Row],[Quantity delivered]]</f>
        <v>0.63532182103610679</v>
      </c>
      <c r="AC1035" s="203">
        <f>Delivery[[#This Row],[Quantity delivered]]*Delivery[[#This Row],[Base price (Unidad)]]/60</f>
        <v>210961.15039999998</v>
      </c>
      <c r="AD1035" s="204">
        <f>Delivery[[#This Row],[Nespresso total]]-Delivery[[#This Row],[Qt. Delivery * Base Price]]</f>
        <v>-2528.7807491265703</v>
      </c>
      <c r="AE1035" s="204">
        <f>Delivery[[#This Row],[AAA Premium (total)]]/Delivery[[#This Row],[Quantity delivered]]*60/Delivery[[#This Row],[Exchange rate VS USD]]</f>
        <v>10.077985088575817</v>
      </c>
      <c r="AF1035" s="204">
        <f>Delivery[[#This Row],[BEN premium (total)]]/Delivery[[#This Row],[Quantity delivered]]*60/Delivery[[#This Row],[Exchange rate for premiums VS USD]]</f>
        <v>2.8519234</v>
      </c>
      <c r="AG1035" s="204">
        <f>COUNTIF(Delivery[Delivery ID],Delivery[[#This Row],[Delivery ID]])</f>
        <v>1</v>
      </c>
      <c r="AH1035" s="204">
        <f>(Delivery[[#This Row],[Nespresso total]]/SUMIF(Allocation!C:C,Delivery[Delivery ID],Allocation!H:H))/Delivery[[#This Row],[Exchange rate VS USD]]</f>
        <v>5.9794793547209446</v>
      </c>
      <c r="AI1035" s="204">
        <f>(Delivery[[#This Row],[AAA Premium (total)]]/SUMIF(Allocation!C:C,Delivery[Delivery ID],Allocation!H:H))/Delivery[[#This Row],[Exchange rate VS USD]]</f>
        <v>0.61484087091740358</v>
      </c>
      <c r="AJ1035" s="204">
        <f>Delivery[[#This Row],[Valor Prêmio Nespresso AAA por Kg (em US$)]]*60</f>
        <v>36.890452255044217</v>
      </c>
      <c r="AK1035" s="204">
        <f>Delivery[[#This Row],[Valor Prêmio Nespresso AAA por saca (em US$)]]/1.3228/100</f>
        <v>0.27888155620686583</v>
      </c>
      <c r="AL1035" s="204">
        <f>(Delivery[[#This Row],[BEN premium (total)]]/SUMIF(Allocation!C:C,Delivery[Delivery ID],Allocation!H:H))/Delivery[[#This Row],[Exchange rate for premiums VS USD]]</f>
        <v>0.1739910360686511</v>
      </c>
      <c r="AM1035" s="204">
        <f>Delivery[[#This Row],[Valor Prêmio Nespresso BEN por Kg (em US$)]]*60</f>
        <v>10.439462164119066</v>
      </c>
      <c r="AN1035" s="204">
        <f>Delivery[[#This Row],[Valor Prêmio Nespresso BEN por saca (em US$)]]/1.3228/100</f>
        <v>7.8919429725726242E-2</v>
      </c>
      <c r="AO1035" s="204">
        <f>SUMIF(Allocation[Delivery ID],Delivery[[#This Row],[Delivery ID]],Allocation[Quantity allocated])*16*1.3228*Delivery[[#This Row],[Exchange rate VS USD]]/60</f>
        <v>12296.024328895999</v>
      </c>
      <c r="AP1035" s="204">
        <f>Delivery[[#This Row],[AAA Premium (total)]]</f>
        <v>21432.09</v>
      </c>
      <c r="AQ1035" s="204">
        <f>Delivery[[#This Row],[Valor pago pelo Cluster]]-Delivery[[#This Row],[Valor efetivamente pago pela Nespresso]]</f>
        <v>9136.065671104001</v>
      </c>
    </row>
    <row r="1036" spans="1:43" ht="15.75">
      <c r="A1036" s="174" t="s">
        <v>69</v>
      </c>
      <c r="B1036" s="232" t="s">
        <v>68</v>
      </c>
      <c r="C1036" s="157">
        <v>1</v>
      </c>
      <c r="D1036" s="157" t="s">
        <v>468</v>
      </c>
      <c r="E1036" s="177" t="s">
        <v>468</v>
      </c>
      <c r="F1036" s="233" t="s">
        <v>543</v>
      </c>
      <c r="G1036" s="234">
        <v>43382</v>
      </c>
      <c r="H1036" s="157" t="s">
        <v>1151</v>
      </c>
      <c r="I1036" s="157" t="s">
        <v>1147</v>
      </c>
      <c r="J1036" s="237">
        <v>29740</v>
      </c>
      <c r="K1036" s="175" t="s">
        <v>61</v>
      </c>
      <c r="L1036" s="175" t="s">
        <v>439</v>
      </c>
      <c r="M1036" s="175" t="s">
        <v>1343</v>
      </c>
      <c r="N1036" s="198"/>
      <c r="O1036" s="199"/>
      <c r="P1036" s="181">
        <v>0</v>
      </c>
      <c r="Q1036" s="177">
        <v>43375</v>
      </c>
      <c r="R1036" s="178">
        <v>421.06905</v>
      </c>
      <c r="S1036" s="179">
        <v>233484</v>
      </c>
      <c r="T1036" s="182" t="s">
        <v>45</v>
      </c>
      <c r="U1036" s="183">
        <v>3.9537</v>
      </c>
      <c r="V1036" s="179">
        <v>41515</v>
      </c>
      <c r="W1036" s="179">
        <v>0</v>
      </c>
      <c r="X1036" s="196" t="s">
        <v>45</v>
      </c>
      <c r="Y1036" s="200">
        <v>3.9537</v>
      </c>
      <c r="Z1036" s="220"/>
      <c r="AA1036" s="201">
        <f>Delivery[[#This Row],[Quantity delivered]]*VLOOKUP(Delivery[[#This Row],[Unit]],References!$U:$X,4,FALSE)*VLOOKUP(CONCATENATE(Delivery[[#This Row],[Coffee specie]],Delivery[[#This Row],[Coffee state]]),References!$U:$X,4,FALSE)</f>
        <v>29740</v>
      </c>
      <c r="AB1036" s="202">
        <f>SUMIF(Allocation!C:C,Delivery[[#This Row],[Delivery ID]],Allocation!D:D)/Delivery[[#This Row],[Quantity delivered]]</f>
        <v>0.71102891728312034</v>
      </c>
      <c r="AC1036" s="203">
        <f>Delivery[[#This Row],[Quantity delivered]]*Delivery[[#This Row],[Base price (Unidad)]]/60</f>
        <v>208709.89245000001</v>
      </c>
      <c r="AD1036" s="204">
        <f>Delivery[[#This Row],[Nespresso total]]-Delivery[[#This Row],[Qt. Delivery * Base Price]]</f>
        <v>24774.107549999986</v>
      </c>
      <c r="AE1036" s="204">
        <f>Delivery[[#This Row],[AAA Premium (total)]]/Delivery[[#This Row],[Quantity delivered]]*60/Delivery[[#This Row],[Exchange rate VS USD]]</f>
        <v>21.184177942400161</v>
      </c>
      <c r="AF1036" s="204">
        <f>Delivery[[#This Row],[BEN premium (total)]]/Delivery[[#This Row],[Quantity delivered]]*60/Delivery[[#This Row],[Exchange rate for premiums VS USD]]</f>
        <v>0</v>
      </c>
      <c r="AG1036" s="204">
        <f>COUNTIF(Delivery[Delivery ID],Delivery[[#This Row],[Delivery ID]])</f>
        <v>1</v>
      </c>
      <c r="AH1036" s="204">
        <f>(Delivery[[#This Row],[Nespresso total]]/SUMIF(Allocation!C:C,Delivery[Delivery ID],Allocation!H:H))/Delivery[[#This Row],[Exchange rate VS USD]]</f>
        <v>2.9380376363874534</v>
      </c>
      <c r="AI1036" s="204">
        <f>(Delivery[[#This Row],[AAA Premium (total)]]/SUMIF(Allocation!C:C,Delivery[Delivery ID],Allocation!H:H))/Delivery[[#This Row],[Exchange rate VS USD]]</f>
        <v>0.52240253068572207</v>
      </c>
      <c r="AJ1036" s="204">
        <f>Delivery[[#This Row],[Valor Prêmio Nespresso AAA por Kg (em US$)]]*60</f>
        <v>31.344151841143322</v>
      </c>
      <c r="AK1036" s="204">
        <f>Delivery[[#This Row],[Valor Prêmio Nespresso AAA por saca (em US$)]]/1.3228/100</f>
        <v>0.23695306804613941</v>
      </c>
      <c r="AL1036" s="204">
        <f>(Delivery[[#This Row],[BEN premium (total)]]/SUMIF(Allocation!C:C,Delivery[Delivery ID],Allocation!H:H))/Delivery[[#This Row],[Exchange rate for premiums VS USD]]</f>
        <v>0</v>
      </c>
      <c r="AM1036" s="204">
        <f>Delivery[[#This Row],[Valor Prêmio Nespresso BEN por Kg (em US$)]]*60</f>
        <v>0</v>
      </c>
      <c r="AN1036" s="204">
        <f>Delivery[[#This Row],[Valor Prêmio Nespresso BEN por saca (em US$)]]/1.3228/100</f>
        <v>0</v>
      </c>
      <c r="AO1036" s="204">
        <f>SUMIF(Allocation[Delivery ID],Delivery[[#This Row],[Delivery ID]],Allocation[Quantity allocated])*16*1.3228*Delivery[[#This Row],[Exchange rate VS USD]]/60</f>
        <v>28032.555369599999</v>
      </c>
      <c r="AP1036" s="204">
        <f>Delivery[[#This Row],[AAA Premium (total)]]</f>
        <v>41515</v>
      </c>
      <c r="AQ1036" s="204">
        <f>Delivery[[#This Row],[Valor pago pelo Cluster]]-Delivery[[#This Row],[Valor efetivamente pago pela Nespresso]]</f>
        <v>13482.444630400001</v>
      </c>
    </row>
    <row r="1037" spans="1:43" ht="15.75">
      <c r="A1037" s="174" t="s">
        <v>69</v>
      </c>
      <c r="B1037" s="232" t="s">
        <v>68</v>
      </c>
      <c r="C1037" s="157">
        <v>1</v>
      </c>
      <c r="D1037" s="157" t="s">
        <v>468</v>
      </c>
      <c r="E1037" s="177" t="s">
        <v>468</v>
      </c>
      <c r="F1037" s="233" t="s">
        <v>543</v>
      </c>
      <c r="G1037" s="234">
        <v>43383</v>
      </c>
      <c r="H1037" s="157" t="s">
        <v>1685</v>
      </c>
      <c r="I1037" s="236" t="s">
        <v>1472</v>
      </c>
      <c r="J1037" s="237">
        <v>15010</v>
      </c>
      <c r="K1037" s="175" t="s">
        <v>61</v>
      </c>
      <c r="L1037" s="175" t="s">
        <v>439</v>
      </c>
      <c r="M1037" s="175" t="s">
        <v>1343</v>
      </c>
      <c r="N1037" s="198"/>
      <c r="O1037" s="199"/>
      <c r="P1037" s="181">
        <v>0</v>
      </c>
      <c r="Q1037" s="177">
        <v>43375</v>
      </c>
      <c r="R1037" s="178">
        <v>423.28440000000001</v>
      </c>
      <c r="S1037" s="179">
        <v>113175.4</v>
      </c>
      <c r="T1037" s="182" t="s">
        <v>45</v>
      </c>
      <c r="U1037" s="183">
        <v>3.9192999999999998</v>
      </c>
      <c r="V1037" s="179">
        <v>6904.6</v>
      </c>
      <c r="W1037" s="179">
        <v>0</v>
      </c>
      <c r="X1037" s="196" t="s">
        <v>45</v>
      </c>
      <c r="Y1037" s="200">
        <v>3.9192999999999998</v>
      </c>
      <c r="Z1037" s="220"/>
      <c r="AA1037" s="201">
        <f>Delivery[[#This Row],[Quantity delivered]]*VLOOKUP(Delivery[[#This Row],[Unit]],References!$U:$X,4,FALSE)*VLOOKUP(CONCATENATE(Delivery[[#This Row],[Coffee specie]],Delivery[[#This Row],[Coffee state]]),References!$U:$X,4,FALSE)</f>
        <v>15010</v>
      </c>
      <c r="AB1037" s="202">
        <f>SUMIF(Allocation!C:C,Delivery[[#This Row],[Delivery ID]],Allocation!D:D)/Delivery[[#This Row],[Quantity delivered]]</f>
        <v>1</v>
      </c>
      <c r="AC1037" s="203">
        <f>Delivery[[#This Row],[Quantity delivered]]*Delivery[[#This Row],[Base price (Unidad)]]/60</f>
        <v>105891.6474</v>
      </c>
      <c r="AD1037" s="204">
        <f>Delivery[[#This Row],[Nespresso total]]-Delivery[[#This Row],[Qt. Delivery * Base Price]]</f>
        <v>7283.7525999999925</v>
      </c>
      <c r="AE1037" s="204">
        <f>Delivery[[#This Row],[AAA Premium (total)]]/Delivery[[#This Row],[Quantity delivered]]*60/Delivery[[#This Row],[Exchange rate VS USD]]</f>
        <v>7.0420738397162763</v>
      </c>
      <c r="AF1037" s="204">
        <f>Delivery[[#This Row],[BEN premium (total)]]/Delivery[[#This Row],[Quantity delivered]]*60/Delivery[[#This Row],[Exchange rate for premiums VS USD]]</f>
        <v>0</v>
      </c>
      <c r="AG1037" s="204">
        <f>COUNTIF(Delivery[Delivery ID],Delivery[[#This Row],[Delivery ID]])</f>
        <v>1</v>
      </c>
      <c r="AH1037" s="204">
        <f>(Delivery[[#This Row],[Nespresso total]]/SUMIF(Allocation!C:C,Delivery[Delivery ID],Allocation!H:H))/Delivery[[#This Row],[Exchange rate VS USD]]</f>
        <v>5.4207681651813804</v>
      </c>
      <c r="AI1037" s="204">
        <f>(Delivery[[#This Row],[AAA Premium (total)]]/SUMIF(Allocation!C:C,Delivery[Delivery ID],Allocation!H:H))/Delivery[[#This Row],[Exchange rate VS USD]]</f>
        <v>0.33070999416225927</v>
      </c>
      <c r="AJ1037" s="204">
        <f>Delivery[[#This Row],[Valor Prêmio Nespresso AAA por Kg (em US$)]]*60</f>
        <v>19.842599649735558</v>
      </c>
      <c r="AK1037" s="204">
        <f>Delivery[[#This Row],[Valor Prêmio Nespresso AAA por saca (em US$)]]/1.3228/100</f>
        <v>0.15000453318517962</v>
      </c>
      <c r="AL1037" s="204">
        <f>(Delivery[[#This Row],[BEN premium (total)]]/SUMIF(Allocation!C:C,Delivery[Delivery ID],Allocation!H:H))/Delivery[[#This Row],[Exchange rate for premiums VS USD]]</f>
        <v>0</v>
      </c>
      <c r="AM1037" s="204">
        <f>Delivery[[#This Row],[Valor Prêmio Nespresso BEN por Kg (em US$)]]*60</f>
        <v>0</v>
      </c>
      <c r="AN1037" s="204">
        <f>Delivery[[#This Row],[Valor Prêmio Nespresso BEN por saca (em US$)]]/1.3228/100</f>
        <v>0</v>
      </c>
      <c r="AO1037" s="204">
        <f>SUMIF(Allocation[Delivery ID],Delivery[[#This Row],[Delivery ID]],Allocation[Quantity allocated])*16*1.3228*Delivery[[#This Row],[Exchange rate VS USD]]/60</f>
        <v>7364.6840968213328</v>
      </c>
      <c r="AP1037" s="204">
        <f>Delivery[[#This Row],[AAA Premium (total)]]</f>
        <v>6904.6</v>
      </c>
      <c r="AQ1037" s="204">
        <f>Delivery[[#This Row],[Valor pago pelo Cluster]]-Delivery[[#This Row],[Valor efetivamente pago pela Nespresso]]</f>
        <v>-460.08409682133242</v>
      </c>
    </row>
    <row r="1038" spans="1:43" ht="15.75">
      <c r="A1038" s="174" t="s">
        <v>69</v>
      </c>
      <c r="B1038" s="232" t="s">
        <v>68</v>
      </c>
      <c r="C1038" s="157">
        <v>1</v>
      </c>
      <c r="D1038" s="157" t="s">
        <v>468</v>
      </c>
      <c r="E1038" s="177" t="s">
        <v>468</v>
      </c>
      <c r="F1038" s="233" t="s">
        <v>543</v>
      </c>
      <c r="G1038" s="234">
        <v>43383</v>
      </c>
      <c r="H1038" s="157" t="s">
        <v>1686</v>
      </c>
      <c r="I1038" s="236" t="s">
        <v>1472</v>
      </c>
      <c r="J1038" s="237">
        <v>15430</v>
      </c>
      <c r="K1038" s="175" t="s">
        <v>61</v>
      </c>
      <c r="L1038" s="175" t="s">
        <v>439</v>
      </c>
      <c r="M1038" s="175" t="s">
        <v>1343</v>
      </c>
      <c r="N1038" s="198"/>
      <c r="O1038" s="199"/>
      <c r="P1038" s="181">
        <v>0</v>
      </c>
      <c r="Q1038" s="177">
        <v>43375</v>
      </c>
      <c r="R1038" s="178">
        <v>423.28440000000001</v>
      </c>
      <c r="S1038" s="179">
        <v>116342.2</v>
      </c>
      <c r="T1038" s="182" t="s">
        <v>45</v>
      </c>
      <c r="U1038" s="183">
        <v>3.9192999999999998</v>
      </c>
      <c r="V1038" s="179">
        <v>7097.8</v>
      </c>
      <c r="W1038" s="179">
        <v>0</v>
      </c>
      <c r="X1038" s="196" t="s">
        <v>45</v>
      </c>
      <c r="Y1038" s="200">
        <v>3.9192999999999998</v>
      </c>
      <c r="Z1038" s="220"/>
      <c r="AA1038" s="201">
        <f>Delivery[[#This Row],[Quantity delivered]]*VLOOKUP(Delivery[[#This Row],[Unit]],References!$U:$X,4,FALSE)*VLOOKUP(CONCATENATE(Delivery[[#This Row],[Coffee specie]],Delivery[[#This Row],[Coffee state]]),References!$U:$X,4,FALSE)</f>
        <v>15430</v>
      </c>
      <c r="AB1038" s="202">
        <f>SUMIF(Allocation!C:C,Delivery[[#This Row],[Delivery ID]],Allocation!D:D)/Delivery[[#This Row],[Quantity delivered]]</f>
        <v>1</v>
      </c>
      <c r="AC1038" s="203">
        <f>Delivery[[#This Row],[Quantity delivered]]*Delivery[[#This Row],[Base price (Unidad)]]/60</f>
        <v>108854.6382</v>
      </c>
      <c r="AD1038" s="204">
        <f>Delivery[[#This Row],[Nespresso total]]-Delivery[[#This Row],[Qt. Delivery * Base Price]]</f>
        <v>7487.5617999999959</v>
      </c>
      <c r="AE1038" s="204">
        <f>Delivery[[#This Row],[AAA Premium (total)]]/Delivery[[#This Row],[Quantity delivered]]*60/Delivery[[#This Row],[Exchange rate VS USD]]</f>
        <v>7.0420738397162763</v>
      </c>
      <c r="AF1038" s="204">
        <f>Delivery[[#This Row],[BEN premium (total)]]/Delivery[[#This Row],[Quantity delivered]]*60/Delivery[[#This Row],[Exchange rate for premiums VS USD]]</f>
        <v>0</v>
      </c>
      <c r="AG1038" s="204">
        <f>COUNTIF(Delivery[Delivery ID],Delivery[[#This Row],[Delivery ID]])</f>
        <v>1</v>
      </c>
      <c r="AH1038" s="204">
        <f>(Delivery[[#This Row],[Nespresso total]]/SUMIF(Allocation!C:C,Delivery[Delivery ID],Allocation!H:H))/Delivery[[#This Row],[Exchange rate VS USD]]</f>
        <v>5.4627223858571563</v>
      </c>
      <c r="AI1038" s="204">
        <f>(Delivery[[#This Row],[AAA Premium (total)]]/SUMIF(Allocation!C:C,Delivery[Delivery ID],Allocation!H:H))/Delivery[[#This Row],[Exchange rate VS USD]]</f>
        <v>0.33326953547669652</v>
      </c>
      <c r="AJ1038" s="204">
        <f>Delivery[[#This Row],[Valor Prêmio Nespresso AAA por Kg (em US$)]]*60</f>
        <v>19.996172128601792</v>
      </c>
      <c r="AK1038" s="204">
        <f>Delivery[[#This Row],[Valor Prêmio Nespresso AAA por saca (em US$)]]/1.3228/100</f>
        <v>0.15116549840188837</v>
      </c>
      <c r="AL1038" s="204">
        <f>(Delivery[[#This Row],[BEN premium (total)]]/SUMIF(Allocation!C:C,Delivery[Delivery ID],Allocation!H:H))/Delivery[[#This Row],[Exchange rate for premiums VS USD]]</f>
        <v>0</v>
      </c>
      <c r="AM1038" s="204">
        <f>Delivery[[#This Row],[Valor Prêmio Nespresso BEN por Kg (em US$)]]*60</f>
        <v>0</v>
      </c>
      <c r="AN1038" s="204">
        <f>Delivery[[#This Row],[Valor Prêmio Nespresso BEN por saca (em US$)]]/1.3228/100</f>
        <v>0</v>
      </c>
      <c r="AO1038" s="204">
        <f>SUMIF(Allocation[Delivery ID],Delivery[[#This Row],[Delivery ID]],Allocation[Quantity allocated])*16*1.3228*Delivery[[#This Row],[Exchange rate VS USD]]/60</f>
        <v>7512.6137379626653</v>
      </c>
      <c r="AP1038" s="204">
        <f>Delivery[[#This Row],[AAA Premium (total)]]</f>
        <v>7097.8</v>
      </c>
      <c r="AQ1038" s="204">
        <f>Delivery[[#This Row],[Valor pago pelo Cluster]]-Delivery[[#This Row],[Valor efetivamente pago pela Nespresso]]</f>
        <v>-414.81373796266507</v>
      </c>
    </row>
    <row r="1039" spans="1:43" ht="15.75">
      <c r="A1039" s="174" t="s">
        <v>69</v>
      </c>
      <c r="B1039" s="232" t="s">
        <v>68</v>
      </c>
      <c r="C1039" s="157">
        <v>1</v>
      </c>
      <c r="D1039" s="157" t="s">
        <v>468</v>
      </c>
      <c r="E1039" s="177" t="s">
        <v>468</v>
      </c>
      <c r="F1039" s="233" t="s">
        <v>543</v>
      </c>
      <c r="G1039" s="234">
        <v>43383</v>
      </c>
      <c r="H1039" s="157" t="s">
        <v>1687</v>
      </c>
      <c r="I1039" s="236" t="s">
        <v>1472</v>
      </c>
      <c r="J1039" s="237">
        <v>30400</v>
      </c>
      <c r="K1039" s="175" t="s">
        <v>61</v>
      </c>
      <c r="L1039" s="175" t="s">
        <v>439</v>
      </c>
      <c r="M1039" s="175" t="s">
        <v>1343</v>
      </c>
      <c r="N1039" s="198"/>
      <c r="O1039" s="199"/>
      <c r="P1039" s="181">
        <v>0</v>
      </c>
      <c r="Q1039" s="177">
        <v>43375</v>
      </c>
      <c r="R1039" s="178">
        <v>423.28440000000001</v>
      </c>
      <c r="S1039" s="179">
        <v>229445.89</v>
      </c>
      <c r="T1039" s="182" t="s">
        <v>45</v>
      </c>
      <c r="U1039" s="183">
        <v>3.9192999999999998</v>
      </c>
      <c r="V1039" s="179">
        <v>13912.08</v>
      </c>
      <c r="W1039" s="179">
        <v>0</v>
      </c>
      <c r="X1039" s="196" t="s">
        <v>45</v>
      </c>
      <c r="Y1039" s="200">
        <v>3.9192999999999998</v>
      </c>
      <c r="Z1039" s="220"/>
      <c r="AA1039" s="201">
        <f>Delivery[[#This Row],[Quantity delivered]]*VLOOKUP(Delivery[[#This Row],[Unit]],References!$U:$X,4,FALSE)*VLOOKUP(CONCATENATE(Delivery[[#This Row],[Coffee specie]],Delivery[[#This Row],[Coffee state]]),References!$U:$X,4,FALSE)</f>
        <v>30400</v>
      </c>
      <c r="AB1039" s="202">
        <f>SUMIF(Allocation!C:C,Delivery[[#This Row],[Delivery ID]],Allocation!D:D)/Delivery[[#This Row],[Quantity delivered]]</f>
        <v>1</v>
      </c>
      <c r="AC1039" s="203">
        <f>Delivery[[#This Row],[Quantity delivered]]*Delivery[[#This Row],[Base price (Unidad)]]/60</f>
        <v>214464.09599999999</v>
      </c>
      <c r="AD1039" s="204">
        <f>Delivery[[#This Row],[Nespresso total]]-Delivery[[#This Row],[Qt. Delivery * Base Price]]</f>
        <v>14981.794000000024</v>
      </c>
      <c r="AE1039" s="204">
        <f>Delivery[[#This Row],[AAA Premium (total)]]/Delivery[[#This Row],[Quantity delivered]]*60/Delivery[[#This Row],[Exchange rate VS USD]]</f>
        <v>7.0058563089273465</v>
      </c>
      <c r="AF1039" s="204">
        <f>Delivery[[#This Row],[BEN premium (total)]]/Delivery[[#This Row],[Quantity delivered]]*60/Delivery[[#This Row],[Exchange rate for premiums VS USD]]</f>
        <v>0</v>
      </c>
      <c r="AG1039" s="204">
        <f>COUNTIF(Delivery[Delivery ID],Delivery[[#This Row],[Delivery ID]])</f>
        <v>1</v>
      </c>
      <c r="AH1039" s="204">
        <f>(Delivery[[#This Row],[Nespresso total]]/SUMIF(Allocation!C:C,Delivery[Delivery ID],Allocation!H:H))/Delivery[[#This Row],[Exchange rate VS USD]]</f>
        <v>5.4453138150930975</v>
      </c>
      <c r="AI1039" s="204">
        <f>(Delivery[[#This Row],[AAA Premium (total)]]/SUMIF(Allocation!C:C,Delivery[Delivery ID],Allocation!H:H))/Delivery[[#This Row],[Exchange rate VS USD]]</f>
        <v>0.33016778561899873</v>
      </c>
      <c r="AJ1039" s="204">
        <f>Delivery[[#This Row],[Valor Prêmio Nespresso AAA por Kg (em US$)]]*60</f>
        <v>19.810067137139924</v>
      </c>
      <c r="AK1039" s="204">
        <f>Delivery[[#This Row],[Valor Prêmio Nespresso AAA por saca (em US$)]]/1.3228/100</f>
        <v>0.14975859644042883</v>
      </c>
      <c r="AL1039" s="204">
        <f>(Delivery[[#This Row],[BEN premium (total)]]/SUMIF(Allocation!C:C,Delivery[Delivery ID],Allocation!H:H))/Delivery[[#This Row],[Exchange rate for premiums VS USD]]</f>
        <v>0</v>
      </c>
      <c r="AM1039" s="204">
        <f>Delivery[[#This Row],[Valor Prêmio Nespresso BEN por Kg (em US$)]]*60</f>
        <v>0</v>
      </c>
      <c r="AN1039" s="204">
        <f>Delivery[[#This Row],[Valor Prêmio Nespresso BEN por saca (em US$)]]/1.3228/100</f>
        <v>0</v>
      </c>
      <c r="AO1039" s="204">
        <f>SUMIF(Allocation[Delivery ID],Delivery[[#This Row],[Delivery ID]],Allocation[Quantity allocated])*16*1.3228*Delivery[[#This Row],[Exchange rate VS USD]]/60</f>
        <v>14863.472634677333</v>
      </c>
      <c r="AP1039" s="204">
        <f>Delivery[[#This Row],[AAA Premium (total)]]</f>
        <v>13912.08</v>
      </c>
      <c r="AQ1039" s="204">
        <f>Delivery[[#This Row],[Valor pago pelo Cluster]]-Delivery[[#This Row],[Valor efetivamente pago pela Nespresso]]</f>
        <v>-951.39263467733326</v>
      </c>
    </row>
    <row r="1040" spans="1:43" ht="15.75">
      <c r="A1040" s="174" t="s">
        <v>69</v>
      </c>
      <c r="B1040" s="232" t="s">
        <v>68</v>
      </c>
      <c r="C1040" s="157" t="s">
        <v>1344</v>
      </c>
      <c r="D1040" s="157" t="s">
        <v>468</v>
      </c>
      <c r="E1040" s="177" t="s">
        <v>468</v>
      </c>
      <c r="F1040" s="233" t="s">
        <v>543</v>
      </c>
      <c r="G1040" s="234">
        <v>43384</v>
      </c>
      <c r="H1040" s="157" t="s">
        <v>1688</v>
      </c>
      <c r="I1040" s="157" t="s">
        <v>1086</v>
      </c>
      <c r="J1040" s="237">
        <v>30900</v>
      </c>
      <c r="K1040" s="175" t="s">
        <v>61</v>
      </c>
      <c r="L1040" s="175" t="s">
        <v>439</v>
      </c>
      <c r="M1040" s="175" t="s">
        <v>1343</v>
      </c>
      <c r="N1040" s="198"/>
      <c r="O1040" s="199"/>
      <c r="P1040" s="181">
        <v>0</v>
      </c>
      <c r="Q1040" s="177">
        <v>43377</v>
      </c>
      <c r="R1040" s="178">
        <v>423.46460000000002</v>
      </c>
      <c r="S1040" s="179">
        <v>209059.1</v>
      </c>
      <c r="T1040" s="182" t="s">
        <v>45</v>
      </c>
      <c r="U1040" s="183">
        <v>3.9064999999999999</v>
      </c>
      <c r="V1040" s="179">
        <v>20115.900000000001</v>
      </c>
      <c r="W1040" s="179">
        <v>0</v>
      </c>
      <c r="X1040" s="196" t="s">
        <v>45</v>
      </c>
      <c r="Y1040" s="200">
        <v>3.9064999999999999</v>
      </c>
      <c r="Z1040" s="220"/>
      <c r="AA1040" s="201">
        <f>Delivery[[#This Row],[Quantity delivered]]*VLOOKUP(Delivery[[#This Row],[Unit]],References!$U:$X,4,FALSE)*VLOOKUP(CONCATENATE(Delivery[[#This Row],[Coffee specie]],Delivery[[#This Row],[Coffee state]]),References!$U:$X,4,FALSE)</f>
        <v>30900</v>
      </c>
      <c r="AB1040" s="202">
        <f>SUMIF(Allocation!C:C,Delivery[[#This Row],[Delivery ID]],Allocation!D:D)/Delivery[[#This Row],[Quantity delivered]]</f>
        <v>0.71459546925566342</v>
      </c>
      <c r="AC1040" s="203">
        <f>Delivery[[#This Row],[Quantity delivered]]*Delivery[[#This Row],[Base price (Unidad)]]/60</f>
        <v>218084.269</v>
      </c>
      <c r="AD1040" s="204">
        <f>Delivery[[#This Row],[Nespresso total]]-Delivery[[#This Row],[Qt. Delivery * Base Price]]</f>
        <v>-9025.1689999999944</v>
      </c>
      <c r="AE1040" s="204">
        <f>Delivery[[#This Row],[AAA Premium (total)]]/Delivery[[#This Row],[Quantity delivered]]*60/Delivery[[#This Row],[Exchange rate VS USD]]</f>
        <v>9.9987200819147581</v>
      </c>
      <c r="AF1040" s="204">
        <f>Delivery[[#This Row],[BEN premium (total)]]/Delivery[[#This Row],[Quantity delivered]]*60/Delivery[[#This Row],[Exchange rate for premiums VS USD]]</f>
        <v>0</v>
      </c>
      <c r="AG1040" s="204">
        <f>COUNTIF(Delivery[Delivery ID],Delivery[[#This Row],[Delivery ID]])</f>
        <v>1</v>
      </c>
      <c r="AH1040" s="204">
        <f>(Delivery[[#This Row],[Nespresso total]]/SUMIF(Allocation!C:C,Delivery[Delivery ID],Allocation!H:H))/Delivery[[#This Row],[Exchange rate VS USD]]</f>
        <v>6.0592962630101814</v>
      </c>
      <c r="AI1040" s="204">
        <f>(Delivery[[#This Row],[AAA Premium (total)]]/SUMIF(Allocation!C:C,Delivery[Delivery ID],Allocation!H:H))/Delivery[[#This Row],[Exchange rate VS USD]]</f>
        <v>0.58303225115331747</v>
      </c>
      <c r="AJ1040" s="204">
        <f>Delivery[[#This Row],[Valor Prêmio Nespresso AAA por Kg (em US$)]]*60</f>
        <v>34.981935069199046</v>
      </c>
      <c r="AK1040" s="204">
        <f>Delivery[[#This Row],[Valor Prêmio Nespresso AAA por saca (em US$)]]/1.3228/100</f>
        <v>0.26445369722708684</v>
      </c>
      <c r="AL1040" s="204">
        <f>(Delivery[[#This Row],[BEN premium (total)]]/SUMIF(Allocation!C:C,Delivery[Delivery ID],Allocation!H:H))/Delivery[[#This Row],[Exchange rate for premiums VS USD]]</f>
        <v>0</v>
      </c>
      <c r="AM1040" s="204">
        <f>Delivery[[#This Row],[Valor Prêmio Nespresso BEN por Kg (em US$)]]*60</f>
        <v>0</v>
      </c>
      <c r="AN1040" s="204">
        <f>Delivery[[#This Row],[Valor Prêmio Nespresso BEN por saca (em US$)]]/1.3228/100</f>
        <v>0</v>
      </c>
      <c r="AO1040" s="204">
        <f>SUMIF(Allocation[Delivery ID],Delivery[[#This Row],[Delivery ID]],Allocation[Quantity allocated])*16*1.3228*Delivery[[#This Row],[Exchange rate VS USD]]/60</f>
        <v>12170.538864639999</v>
      </c>
      <c r="AP1040" s="204">
        <f>Delivery[[#This Row],[AAA Premium (total)]]</f>
        <v>20115.900000000001</v>
      </c>
      <c r="AQ1040" s="204">
        <f>Delivery[[#This Row],[Valor pago pelo Cluster]]-Delivery[[#This Row],[Valor efetivamente pago pela Nespresso]]</f>
        <v>7945.3611353600027</v>
      </c>
    </row>
    <row r="1041" spans="1:43" ht="15.75">
      <c r="A1041" s="174" t="s">
        <v>69</v>
      </c>
      <c r="B1041" s="232" t="s">
        <v>68</v>
      </c>
      <c r="C1041" s="157" t="s">
        <v>1344</v>
      </c>
      <c r="D1041" s="157" t="s">
        <v>468</v>
      </c>
      <c r="E1041" s="177" t="s">
        <v>468</v>
      </c>
      <c r="F1041" s="233" t="s">
        <v>543</v>
      </c>
      <c r="G1041" s="234">
        <v>43384</v>
      </c>
      <c r="H1041" s="157" t="s">
        <v>1689</v>
      </c>
      <c r="I1041" s="157" t="s">
        <v>1086</v>
      </c>
      <c r="J1041" s="237">
        <v>30880</v>
      </c>
      <c r="K1041" s="175" t="s">
        <v>61</v>
      </c>
      <c r="L1041" s="175" t="s">
        <v>439</v>
      </c>
      <c r="M1041" s="175" t="s">
        <v>1343</v>
      </c>
      <c r="N1041" s="198"/>
      <c r="O1041" s="199"/>
      <c r="P1041" s="181">
        <v>0</v>
      </c>
      <c r="Q1041" s="177">
        <v>43377</v>
      </c>
      <c r="R1041" s="178">
        <v>423.46460000000002</v>
      </c>
      <c r="S1041" s="179">
        <v>209059.1</v>
      </c>
      <c r="T1041" s="182" t="s">
        <v>45</v>
      </c>
      <c r="U1041" s="183">
        <v>3.9064999999999999</v>
      </c>
      <c r="V1041" s="179">
        <v>20115.900000000001</v>
      </c>
      <c r="W1041" s="179">
        <v>0</v>
      </c>
      <c r="X1041" s="196" t="s">
        <v>45</v>
      </c>
      <c r="Y1041" s="200">
        <v>3.9064999999999999</v>
      </c>
      <c r="Z1041" s="220"/>
      <c r="AA1041" s="201">
        <f>Delivery[[#This Row],[Quantity delivered]]*VLOOKUP(Delivery[[#This Row],[Unit]],References!$U:$X,4,FALSE)*VLOOKUP(CONCATENATE(Delivery[[#This Row],[Coffee specie]],Delivery[[#This Row],[Coffee state]]),References!$U:$X,4,FALSE)</f>
        <v>30880</v>
      </c>
      <c r="AB1041" s="202">
        <f>SUMIF(Allocation!C:C,Delivery[[#This Row],[Delivery ID]],Allocation!D:D)/Delivery[[#This Row],[Quantity delivered]]</f>
        <v>0.71463730569948192</v>
      </c>
      <c r="AC1041" s="203">
        <f>Delivery[[#This Row],[Quantity delivered]]*Delivery[[#This Row],[Base price (Unidad)]]/60</f>
        <v>217943.11413333335</v>
      </c>
      <c r="AD1041" s="204">
        <f>Delivery[[#This Row],[Nespresso total]]-Delivery[[#This Row],[Qt. Delivery * Base Price]]</f>
        <v>-8884.0141333333449</v>
      </c>
      <c r="AE1041" s="204">
        <f>Delivery[[#This Row],[AAA Premium (total)]]/Delivery[[#This Row],[Quantity delivered]]*60/Delivery[[#This Row],[Exchange rate VS USD]]</f>
        <v>10.005195936890091</v>
      </c>
      <c r="AF1041" s="204">
        <f>Delivery[[#This Row],[BEN premium (total)]]/Delivery[[#This Row],[Quantity delivered]]*60/Delivery[[#This Row],[Exchange rate for premiums VS USD]]</f>
        <v>0</v>
      </c>
      <c r="AG1041" s="204">
        <f>COUNTIF(Delivery[Delivery ID],Delivery[[#This Row],[Delivery ID]])</f>
        <v>1</v>
      </c>
      <c r="AH1041" s="204">
        <f>(Delivery[[#This Row],[Nespresso total]]/SUMIF(Allocation!C:C,Delivery[Delivery ID],Allocation!H:H))/Delivery[[#This Row],[Exchange rate VS USD]]</f>
        <v>6.0627285142070839</v>
      </c>
      <c r="AI1041" s="204">
        <f>(Delivery[[#This Row],[AAA Premium (total)]]/SUMIF(Allocation!C:C,Delivery[Delivery ID],Allocation!H:H))/Delivery[[#This Row],[Exchange rate VS USD]]</f>
        <v>0.58336250619532126</v>
      </c>
      <c r="AJ1041" s="204">
        <f>Delivery[[#This Row],[Valor Prêmio Nespresso AAA por Kg (em US$)]]*60</f>
        <v>35.001750371719275</v>
      </c>
      <c r="AK1041" s="204">
        <f>Delivery[[#This Row],[Valor Prêmio Nespresso AAA por saca (em US$)]]/1.3228/100</f>
        <v>0.26460349540156697</v>
      </c>
      <c r="AL1041" s="204">
        <f>(Delivery[[#This Row],[BEN premium (total)]]/SUMIF(Allocation!C:C,Delivery[Delivery ID],Allocation!H:H))/Delivery[[#This Row],[Exchange rate for premiums VS USD]]</f>
        <v>0</v>
      </c>
      <c r="AM1041" s="204">
        <f>Delivery[[#This Row],[Valor Prêmio Nespresso BEN por Kg (em US$)]]*60</f>
        <v>0</v>
      </c>
      <c r="AN1041" s="204">
        <f>Delivery[[#This Row],[Valor Prêmio Nespresso BEN por saca (em US$)]]/1.3228/100</f>
        <v>0</v>
      </c>
      <c r="AO1041" s="204">
        <f>SUMIF(Allocation[Delivery ID],Delivery[[#This Row],[Delivery ID]],Allocation[Quantity allocated])*16*1.3228*Delivery[[#This Row],[Exchange rate VS USD]]/60</f>
        <v>12163.648840373331</v>
      </c>
      <c r="AP1041" s="204">
        <f>Delivery[[#This Row],[AAA Premium (total)]]</f>
        <v>20115.900000000001</v>
      </c>
      <c r="AQ1041" s="204">
        <f>Delivery[[#This Row],[Valor pago pelo Cluster]]-Delivery[[#This Row],[Valor efetivamente pago pela Nespresso]]</f>
        <v>7952.2511596266704</v>
      </c>
    </row>
    <row r="1042" spans="1:43" ht="15.75">
      <c r="A1042" s="174" t="s">
        <v>69</v>
      </c>
      <c r="B1042" s="232" t="s">
        <v>68</v>
      </c>
      <c r="C1042" s="157">
        <v>1</v>
      </c>
      <c r="D1042" s="157" t="s">
        <v>468</v>
      </c>
      <c r="E1042" s="177" t="s">
        <v>468</v>
      </c>
      <c r="F1042" s="233" t="s">
        <v>543</v>
      </c>
      <c r="G1042" s="234">
        <v>43383</v>
      </c>
      <c r="H1042" s="157" t="s">
        <v>1152</v>
      </c>
      <c r="I1042" s="157" t="s">
        <v>572</v>
      </c>
      <c r="J1042" s="237">
        <v>24112</v>
      </c>
      <c r="K1042" s="175" t="s">
        <v>61</v>
      </c>
      <c r="L1042" s="175" t="s">
        <v>439</v>
      </c>
      <c r="M1042" s="175" t="s">
        <v>1343</v>
      </c>
      <c r="N1042" s="198"/>
      <c r="O1042" s="199"/>
      <c r="P1042" s="181">
        <v>0</v>
      </c>
      <c r="Q1042" s="177">
        <v>43376</v>
      </c>
      <c r="R1042" s="178">
        <v>416.49329499999999</v>
      </c>
      <c r="S1042" s="179">
        <v>165822.24266666666</v>
      </c>
      <c r="T1042" s="182" t="s">
        <v>45</v>
      </c>
      <c r="U1042" s="183">
        <v>3.9089</v>
      </c>
      <c r="V1042" s="179">
        <v>10995.996293333334</v>
      </c>
      <c r="W1042" s="179">
        <v>0</v>
      </c>
      <c r="X1042" s="196" t="s">
        <v>45</v>
      </c>
      <c r="Y1042" s="200">
        <v>3.9089</v>
      </c>
      <c r="Z1042" s="220"/>
      <c r="AA1042" s="201">
        <f>Delivery[[#This Row],[Quantity delivered]]*VLOOKUP(Delivery[[#This Row],[Unit]],References!$U:$X,4,FALSE)*VLOOKUP(CONCATENATE(Delivery[[#This Row],[Coffee specie]],Delivery[[#This Row],[Coffee state]]),References!$U:$X,4,FALSE)</f>
        <v>24112</v>
      </c>
      <c r="AB1042" s="202">
        <f>SUMIF(Allocation!C:C,Delivery[[#This Row],[Delivery ID]],Allocation!D:D)/Delivery[[#This Row],[Quantity delivered]]</f>
        <v>1</v>
      </c>
      <c r="AC1042" s="203">
        <f>Delivery[[#This Row],[Quantity delivered]]*Delivery[[#This Row],[Base price (Unidad)]]/60</f>
        <v>167374.77215066666</v>
      </c>
      <c r="AD1042" s="204">
        <f>Delivery[[#This Row],[Nespresso total]]-Delivery[[#This Row],[Qt. Delivery * Base Price]]</f>
        <v>-1552.5294839999988</v>
      </c>
      <c r="AE1042" s="204">
        <f>Delivery[[#This Row],[AAA Premium (total)]]/Delivery[[#This Row],[Quantity delivered]]*60/Delivery[[#This Row],[Exchange rate VS USD]]</f>
        <v>6.9999999999999991</v>
      </c>
      <c r="AF1042" s="204">
        <f>Delivery[[#This Row],[BEN premium (total)]]/Delivery[[#This Row],[Quantity delivered]]*60/Delivery[[#This Row],[Exchange rate for premiums VS USD]]</f>
        <v>0</v>
      </c>
      <c r="AG1042" s="204">
        <f>COUNTIF(Delivery[Delivery ID],Delivery[[#This Row],[Delivery ID]])</f>
        <v>1</v>
      </c>
      <c r="AH1042" s="204">
        <f>(Delivery[[#This Row],[Nespresso total]]/SUMIF(Allocation!C:C,Delivery[Delivery ID],Allocation!H:H))/Delivery[[#This Row],[Exchange rate VS USD]]</f>
        <v>5.0262695771390904</v>
      </c>
      <c r="AI1042" s="204">
        <f>(Delivery[[#This Row],[AAA Premium (total)]]/SUMIF(Allocation!C:C,Delivery[Delivery ID],Allocation!H:H))/Delivery[[#This Row],[Exchange rate VS USD]]</f>
        <v>0.33330173775671407</v>
      </c>
      <c r="AJ1042" s="204">
        <f>Delivery[[#This Row],[Valor Prêmio Nespresso AAA por Kg (em US$)]]*60</f>
        <v>19.998104265402844</v>
      </c>
      <c r="AK1042" s="204">
        <f>Delivery[[#This Row],[Valor Prêmio Nespresso AAA por saca (em US$)]]/1.3228/100</f>
        <v>0.15118010481858818</v>
      </c>
      <c r="AL1042" s="204">
        <f>(Delivery[[#This Row],[BEN premium (total)]]/SUMIF(Allocation!C:C,Delivery[Delivery ID],Allocation!H:H))/Delivery[[#This Row],[Exchange rate for premiums VS USD]]</f>
        <v>0</v>
      </c>
      <c r="AM1042" s="204">
        <f>Delivery[[#This Row],[Valor Prêmio Nespresso BEN por Kg (em US$)]]*60</f>
        <v>0</v>
      </c>
      <c r="AN1042" s="204">
        <f>Delivery[[#This Row],[Valor Prêmio Nespresso BEN por saca (em US$)]]/1.3228/100</f>
        <v>0</v>
      </c>
      <c r="AO1042" s="204">
        <f>SUMIF(Allocation[Delivery ID],Delivery[[#This Row],[Delivery ID]],Allocation[Quantity allocated])*16*1.3228*Delivery[[#This Row],[Exchange rate VS USD]]/60</f>
        <v>11637.506198613333</v>
      </c>
      <c r="AP1042" s="204">
        <f>Delivery[[#This Row],[AAA Premium (total)]]</f>
        <v>10995.996293333334</v>
      </c>
      <c r="AQ1042" s="204">
        <f>Delivery[[#This Row],[Valor pago pelo Cluster]]-Delivery[[#This Row],[Valor efetivamente pago pela Nespresso]]</f>
        <v>-641.50990527999966</v>
      </c>
    </row>
    <row r="1043" spans="1:43" ht="15.75">
      <c r="A1043" s="174" t="s">
        <v>69</v>
      </c>
      <c r="B1043" s="232" t="s">
        <v>68</v>
      </c>
      <c r="C1043" s="157">
        <v>1</v>
      </c>
      <c r="D1043" s="157" t="s">
        <v>468</v>
      </c>
      <c r="E1043" s="177" t="s">
        <v>468</v>
      </c>
      <c r="F1043" s="233" t="s">
        <v>543</v>
      </c>
      <c r="G1043" s="234">
        <v>43383</v>
      </c>
      <c r="H1043" s="157" t="s">
        <v>1153</v>
      </c>
      <c r="I1043" s="157" t="s">
        <v>572</v>
      </c>
      <c r="J1043" s="237">
        <v>6028</v>
      </c>
      <c r="K1043" s="175" t="s">
        <v>61</v>
      </c>
      <c r="L1043" s="175" t="s">
        <v>439</v>
      </c>
      <c r="M1043" s="175" t="s">
        <v>1343</v>
      </c>
      <c r="N1043" s="198"/>
      <c r="O1043" s="199"/>
      <c r="P1043" s="181">
        <v>0</v>
      </c>
      <c r="Q1043" s="177">
        <v>43376</v>
      </c>
      <c r="R1043" s="178">
        <v>416.49329499999999</v>
      </c>
      <c r="S1043" s="179">
        <v>41455.560666666664</v>
      </c>
      <c r="T1043" s="182" t="s">
        <v>45</v>
      </c>
      <c r="U1043" s="183">
        <v>3.9089</v>
      </c>
      <c r="V1043" s="179">
        <v>2748.9990733333334</v>
      </c>
      <c r="W1043" s="179">
        <v>0</v>
      </c>
      <c r="X1043" s="196" t="s">
        <v>45</v>
      </c>
      <c r="Y1043" s="200">
        <v>3.9089</v>
      </c>
      <c r="Z1043" s="220"/>
      <c r="AA1043" s="201">
        <f>Delivery[[#This Row],[Quantity delivered]]*VLOOKUP(Delivery[[#This Row],[Unit]],References!$U:$X,4,FALSE)*VLOOKUP(CONCATENATE(Delivery[[#This Row],[Coffee specie]],Delivery[[#This Row],[Coffee state]]),References!$U:$X,4,FALSE)</f>
        <v>6028</v>
      </c>
      <c r="AB1043" s="202">
        <f>SUMIF(Allocation!C:C,Delivery[[#This Row],[Delivery ID]],Allocation!D:D)/Delivery[[#This Row],[Quantity delivered]]</f>
        <v>1</v>
      </c>
      <c r="AC1043" s="203">
        <f>Delivery[[#This Row],[Quantity delivered]]*Delivery[[#This Row],[Base price (Unidad)]]/60</f>
        <v>41843.693037666664</v>
      </c>
      <c r="AD1043" s="204">
        <f>Delivery[[#This Row],[Nespresso total]]-Delivery[[#This Row],[Qt. Delivery * Base Price]]</f>
        <v>-388.13237099999969</v>
      </c>
      <c r="AE1043" s="204">
        <f>Delivery[[#This Row],[AAA Premium (total)]]/Delivery[[#This Row],[Quantity delivered]]*60/Delivery[[#This Row],[Exchange rate VS USD]]</f>
        <v>6.9999999999999991</v>
      </c>
      <c r="AF1043" s="204">
        <f>Delivery[[#This Row],[BEN premium (total)]]/Delivery[[#This Row],[Quantity delivered]]*60/Delivery[[#This Row],[Exchange rate for premiums VS USD]]</f>
        <v>0</v>
      </c>
      <c r="AG1043" s="204">
        <f>COUNTIF(Delivery[Delivery ID],Delivery[[#This Row],[Delivery ID]])</f>
        <v>1</v>
      </c>
      <c r="AH1043" s="204">
        <f>(Delivery[[#This Row],[Nespresso total]]/SUMIF(Allocation!C:C,Delivery[Delivery ID],Allocation!H:H))/Delivery[[#This Row],[Exchange rate VS USD]]</f>
        <v>5.0238885872872947</v>
      </c>
      <c r="AI1043" s="204">
        <f>(Delivery[[#This Row],[AAA Premium (total)]]/SUMIF(Allocation!C:C,Delivery[Delivery ID],Allocation!H:H))/Delivery[[#This Row],[Exchange rate VS USD]]</f>
        <v>0.33314384967629879</v>
      </c>
      <c r="AJ1043" s="204">
        <f>Delivery[[#This Row],[Valor Prêmio Nespresso AAA por Kg (em US$)]]*60</f>
        <v>19.988630980577927</v>
      </c>
      <c r="AK1043" s="204">
        <f>Delivery[[#This Row],[Valor Prêmio Nespresso AAA por saca (em US$)]]/1.3228/100</f>
        <v>0.15110848942075844</v>
      </c>
      <c r="AL1043" s="204">
        <f>(Delivery[[#This Row],[BEN premium (total)]]/SUMIF(Allocation!C:C,Delivery[Delivery ID],Allocation!H:H))/Delivery[[#This Row],[Exchange rate for premiums VS USD]]</f>
        <v>0</v>
      </c>
      <c r="AM1043" s="204">
        <f>Delivery[[#This Row],[Valor Prêmio Nespresso BEN por Kg (em US$)]]*60</f>
        <v>0</v>
      </c>
      <c r="AN1043" s="204">
        <f>Delivery[[#This Row],[Valor Prêmio Nespresso BEN por saca (em US$)]]/1.3228/100</f>
        <v>0</v>
      </c>
      <c r="AO1043" s="204">
        <f>SUMIF(Allocation[Delivery ID],Delivery[[#This Row],[Delivery ID]],Allocation[Quantity allocated])*16*1.3228*Delivery[[#This Row],[Exchange rate VS USD]]/60</f>
        <v>2910.7554010986664</v>
      </c>
      <c r="AP1043" s="204">
        <f>Delivery[[#This Row],[AAA Premium (total)]]</f>
        <v>2748.9990733333334</v>
      </c>
      <c r="AQ1043" s="204">
        <f>Delivery[[#This Row],[Valor pago pelo Cluster]]-Delivery[[#This Row],[Valor efetivamente pago pela Nespresso]]</f>
        <v>-161.75632776533303</v>
      </c>
    </row>
    <row r="1044" spans="1:43" ht="15.75">
      <c r="A1044" s="174" t="s">
        <v>69</v>
      </c>
      <c r="B1044" s="232" t="s">
        <v>68</v>
      </c>
      <c r="C1044" s="157">
        <v>1</v>
      </c>
      <c r="D1044" s="157" t="s">
        <v>468</v>
      </c>
      <c r="E1044" s="177" t="s">
        <v>468</v>
      </c>
      <c r="F1044" s="233" t="s">
        <v>543</v>
      </c>
      <c r="G1044" s="234">
        <v>43383</v>
      </c>
      <c r="H1044" s="157" t="s">
        <v>1154</v>
      </c>
      <c r="I1044" s="157" t="s">
        <v>572</v>
      </c>
      <c r="J1044" s="237">
        <v>30250</v>
      </c>
      <c r="K1044" s="175" t="s">
        <v>61</v>
      </c>
      <c r="L1044" s="175" t="s">
        <v>439</v>
      </c>
      <c r="M1044" s="175" t="s">
        <v>1343</v>
      </c>
      <c r="N1044" s="198"/>
      <c r="O1044" s="199"/>
      <c r="P1044" s="181">
        <v>0</v>
      </c>
      <c r="Q1044" s="177">
        <v>43376</v>
      </c>
      <c r="R1044" s="178">
        <v>416.49329499999999</v>
      </c>
      <c r="S1044" s="179">
        <v>208794.83</v>
      </c>
      <c r="T1044" s="182" t="s">
        <v>45</v>
      </c>
      <c r="U1044" s="183">
        <v>3.9089</v>
      </c>
      <c r="V1044" s="179">
        <v>13844.16</v>
      </c>
      <c r="W1044" s="179">
        <v>0</v>
      </c>
      <c r="X1044" s="196" t="s">
        <v>45</v>
      </c>
      <c r="Y1044" s="200">
        <v>3.9089</v>
      </c>
      <c r="Z1044" s="220"/>
      <c r="AA1044" s="201">
        <f>Delivery[[#This Row],[Quantity delivered]]*VLOOKUP(Delivery[[#This Row],[Unit]],References!$U:$X,4,FALSE)*VLOOKUP(CONCATENATE(Delivery[[#This Row],[Coffee specie]],Delivery[[#This Row],[Coffee state]]),References!$U:$X,4,FALSE)</f>
        <v>30250</v>
      </c>
      <c r="AB1044" s="202">
        <f>SUMIF(Allocation!C:C,Delivery[[#This Row],[Delivery ID]],Allocation!D:D)/Delivery[[#This Row],[Quantity delivered]]</f>
        <v>1</v>
      </c>
      <c r="AC1044" s="203">
        <f>Delivery[[#This Row],[Quantity delivered]]*Delivery[[#This Row],[Base price (Unidad)]]/60</f>
        <v>209982.03622916667</v>
      </c>
      <c r="AD1044" s="204">
        <f>Delivery[[#This Row],[Nespresso total]]-Delivery[[#This Row],[Qt. Delivery * Base Price]]</f>
        <v>-1187.2062291666807</v>
      </c>
      <c r="AE1044" s="204">
        <f>Delivery[[#This Row],[AAA Premium (total)]]/Delivery[[#This Row],[Quantity delivered]]*60/Delivery[[#This Row],[Exchange rate VS USD]]</f>
        <v>7.0248640049862896</v>
      </c>
      <c r="AF1044" s="204">
        <f>Delivery[[#This Row],[BEN premium (total)]]/Delivery[[#This Row],[Quantity delivered]]*60/Delivery[[#This Row],[Exchange rate for premiums VS USD]]</f>
        <v>0</v>
      </c>
      <c r="AG1044" s="204">
        <f>COUNTIF(Delivery[Delivery ID],Delivery[[#This Row],[Delivery ID]])</f>
        <v>1</v>
      </c>
      <c r="AH1044" s="204">
        <f>(Delivery[[#This Row],[Nespresso total]]/SUMIF(Allocation!C:C,Delivery[Delivery ID],Allocation!H:H))/Delivery[[#This Row],[Exchange rate VS USD]]</f>
        <v>5.0448847356883197</v>
      </c>
      <c r="AI1044" s="204">
        <f>(Delivery[[#This Row],[AAA Premium (total)]]/SUMIF(Allocation!C:C,Delivery[Delivery ID],Allocation!H:H))/Delivery[[#This Row],[Exchange rate VS USD]]</f>
        <v>0.33450153656786813</v>
      </c>
      <c r="AJ1044" s="204">
        <f>Delivery[[#This Row],[Valor Prêmio Nespresso AAA por Kg (em US$)]]*60</f>
        <v>20.070092194072089</v>
      </c>
      <c r="AK1044" s="204">
        <f>Delivery[[#This Row],[Valor Prêmio Nespresso AAA por saca (em US$)]]/1.3228/100</f>
        <v>0.151724313532447</v>
      </c>
      <c r="AL1044" s="204">
        <f>(Delivery[[#This Row],[BEN premium (total)]]/SUMIF(Allocation!C:C,Delivery[Delivery ID],Allocation!H:H))/Delivery[[#This Row],[Exchange rate for premiums VS USD]]</f>
        <v>0</v>
      </c>
      <c r="AM1044" s="204">
        <f>Delivery[[#This Row],[Valor Prêmio Nespresso BEN por Kg (em US$)]]*60</f>
        <v>0</v>
      </c>
      <c r="AN1044" s="204">
        <f>Delivery[[#This Row],[Valor Prêmio Nespresso BEN por saca (em US$)]]/1.3228/100</f>
        <v>0</v>
      </c>
      <c r="AO1044" s="204">
        <f>SUMIF(Allocation[Delivery ID],Delivery[[#This Row],[Delivery ID]],Allocation[Quantity allocated])*16*1.3228*Delivery[[#This Row],[Exchange rate VS USD]]/60</f>
        <v>14599.279103189332</v>
      </c>
      <c r="AP1044" s="204">
        <f>Delivery[[#This Row],[AAA Premium (total)]]</f>
        <v>13844.16</v>
      </c>
      <c r="AQ1044" s="204">
        <f>Delivery[[#This Row],[Valor pago pelo Cluster]]-Delivery[[#This Row],[Valor efetivamente pago pela Nespresso]]</f>
        <v>-755.11910318933224</v>
      </c>
    </row>
    <row r="1045" spans="1:43" ht="15.75">
      <c r="A1045" s="174" t="s">
        <v>69</v>
      </c>
      <c r="B1045" s="232" t="s">
        <v>68</v>
      </c>
      <c r="C1045" s="157" t="s">
        <v>1344</v>
      </c>
      <c r="D1045" s="157" t="s">
        <v>468</v>
      </c>
      <c r="E1045" s="177" t="s">
        <v>468</v>
      </c>
      <c r="F1045" s="233" t="s">
        <v>543</v>
      </c>
      <c r="G1045" s="234">
        <v>43388</v>
      </c>
      <c r="H1045" s="157" t="s">
        <v>1690</v>
      </c>
      <c r="I1045" s="157" t="s">
        <v>940</v>
      </c>
      <c r="J1045" s="237">
        <v>37980</v>
      </c>
      <c r="K1045" s="175" t="s">
        <v>61</v>
      </c>
      <c r="L1045" s="175" t="s">
        <v>439</v>
      </c>
      <c r="M1045" s="175" t="s">
        <v>1343</v>
      </c>
      <c r="N1045" s="198"/>
      <c r="O1045" s="199"/>
      <c r="P1045" s="181">
        <v>0</v>
      </c>
      <c r="Q1045" s="177">
        <v>43381</v>
      </c>
      <c r="R1045" s="178">
        <v>422.56646999999998</v>
      </c>
      <c r="S1045" s="179">
        <v>275962.68</v>
      </c>
      <c r="T1045" s="182" t="s">
        <v>45</v>
      </c>
      <c r="U1045" s="183">
        <v>3.7746</v>
      </c>
      <c r="V1045" s="179">
        <v>16723.86</v>
      </c>
      <c r="W1045" s="179">
        <v>0</v>
      </c>
      <c r="X1045" s="196" t="s">
        <v>45</v>
      </c>
      <c r="Y1045" s="200">
        <v>3.7746</v>
      </c>
      <c r="Z1045" s="220"/>
      <c r="AA1045" s="201">
        <f>Delivery[[#This Row],[Quantity delivered]]*VLOOKUP(Delivery[[#This Row],[Unit]],References!$U:$X,4,FALSE)*VLOOKUP(CONCATENATE(Delivery[[#This Row],[Coffee specie]],Delivery[[#This Row],[Coffee state]]),References!$U:$X,4,FALSE)</f>
        <v>37980</v>
      </c>
      <c r="AB1045" s="202">
        <f>SUMIF(Allocation!C:C,Delivery[[#This Row],[Delivery ID]],Allocation!D:D)/Delivery[[#This Row],[Quantity delivered]]</f>
        <v>1</v>
      </c>
      <c r="AC1045" s="203">
        <f>Delivery[[#This Row],[Quantity delivered]]*Delivery[[#This Row],[Base price (Unidad)]]/60</f>
        <v>267484.57551</v>
      </c>
      <c r="AD1045" s="204">
        <f>Delivery[[#This Row],[Nespresso total]]-Delivery[[#This Row],[Qt. Delivery * Base Price]]</f>
        <v>8478.1044899999979</v>
      </c>
      <c r="AE1045" s="204">
        <f>Delivery[[#This Row],[AAA Premium (total)]]/Delivery[[#This Row],[Quantity delivered]]*60/Delivery[[#This Row],[Exchange rate VS USD]]</f>
        <v>6.9994171567848253</v>
      </c>
      <c r="AF1045" s="204">
        <f>Delivery[[#This Row],[BEN premium (total)]]/Delivery[[#This Row],[Quantity delivered]]*60/Delivery[[#This Row],[Exchange rate for premiums VS USD]]</f>
        <v>0</v>
      </c>
      <c r="AG1045" s="204">
        <f>COUNTIF(Delivery[Delivery ID],Delivery[[#This Row],[Delivery ID]])</f>
        <v>1</v>
      </c>
      <c r="AH1045" s="204">
        <f>(Delivery[[#This Row],[Nespresso total]]/SUMIF(Allocation!C:C,Delivery[Delivery ID],Allocation!H:H))/Delivery[[#This Row],[Exchange rate VS USD]]</f>
        <v>5.6617705793154967</v>
      </c>
      <c r="AI1045" s="204">
        <f>(Delivery[[#This Row],[AAA Premium (total)]]/SUMIF(Allocation!C:C,Delivery[Delivery ID],Allocation!H:H))/Delivery[[#This Row],[Exchange rate VS USD]]</f>
        <v>0.34311399831524775</v>
      </c>
      <c r="AJ1045" s="204">
        <f>Delivery[[#This Row],[Valor Prêmio Nespresso AAA por Kg (em US$)]]*60</f>
        <v>20.586839898914864</v>
      </c>
      <c r="AK1045" s="204">
        <f>Delivery[[#This Row],[Valor Prêmio Nespresso AAA por saca (em US$)]]/1.3228/100</f>
        <v>0.15563078242300321</v>
      </c>
      <c r="AL1045" s="204">
        <f>(Delivery[[#This Row],[BEN premium (total)]]/SUMIF(Allocation!C:C,Delivery[Delivery ID],Allocation!H:H))/Delivery[[#This Row],[Exchange rate for premiums VS USD]]</f>
        <v>0</v>
      </c>
      <c r="AM1045" s="204">
        <f>Delivery[[#This Row],[Valor Prêmio Nespresso BEN por Kg (em US$)]]*60</f>
        <v>0</v>
      </c>
      <c r="AN1045" s="204">
        <f>Delivery[[#This Row],[Valor Prêmio Nespresso BEN por saca (em US$)]]/1.3228/100</f>
        <v>0</v>
      </c>
      <c r="AO1045" s="204">
        <f>SUMIF(Allocation[Delivery ID],Delivery[[#This Row],[Delivery ID]],Allocation[Quantity allocated])*16*1.3228*Delivery[[#This Row],[Exchange rate VS USD]]/60</f>
        <v>17193.369835583999</v>
      </c>
      <c r="AP1045" s="204">
        <f>Delivery[[#This Row],[AAA Premium (total)]]</f>
        <v>16723.86</v>
      </c>
      <c r="AQ1045" s="204">
        <f>Delivery[[#This Row],[Valor pago pelo Cluster]]-Delivery[[#This Row],[Valor efetivamente pago pela Nespresso]]</f>
        <v>-469.50983558399821</v>
      </c>
    </row>
    <row r="1046" spans="1:43" ht="15.75">
      <c r="A1046" s="174" t="s">
        <v>69</v>
      </c>
      <c r="B1046" s="232" t="s">
        <v>68</v>
      </c>
      <c r="C1046" s="157">
        <v>1</v>
      </c>
      <c r="D1046" s="157" t="s">
        <v>468</v>
      </c>
      <c r="E1046" s="177" t="s">
        <v>468</v>
      </c>
      <c r="F1046" s="233" t="s">
        <v>543</v>
      </c>
      <c r="G1046" s="234">
        <v>43378</v>
      </c>
      <c r="H1046" s="157" t="s">
        <v>1155</v>
      </c>
      <c r="I1046" s="157" t="s">
        <v>975</v>
      </c>
      <c r="J1046" s="237">
        <v>30110</v>
      </c>
      <c r="K1046" s="175" t="s">
        <v>61</v>
      </c>
      <c r="L1046" s="175" t="s">
        <v>439</v>
      </c>
      <c r="M1046" s="175" t="s">
        <v>1343</v>
      </c>
      <c r="N1046" s="198"/>
      <c r="O1046" s="199"/>
      <c r="P1046" s="181">
        <v>0</v>
      </c>
      <c r="Q1046" s="177">
        <v>43370</v>
      </c>
      <c r="R1046" s="178">
        <v>425.51010000000002</v>
      </c>
      <c r="S1046" s="179">
        <v>196407.03</v>
      </c>
      <c r="T1046" s="182" t="s">
        <v>45</v>
      </c>
      <c r="U1046" s="183">
        <v>3.9954000000000001</v>
      </c>
      <c r="V1046" s="179">
        <v>14012.97</v>
      </c>
      <c r="W1046" s="179">
        <v>0</v>
      </c>
      <c r="X1046" s="196" t="s">
        <v>45</v>
      </c>
      <c r="Y1046" s="200">
        <v>3.9954000000000001</v>
      </c>
      <c r="Z1046" s="220"/>
      <c r="AA1046" s="201">
        <f>Delivery[[#This Row],[Quantity delivered]]*VLOOKUP(Delivery[[#This Row],[Unit]],References!$U:$X,4,FALSE)*VLOOKUP(CONCATENATE(Delivery[[#This Row],[Coffee specie]],Delivery[[#This Row],[Coffee state]]),References!$U:$X,4,FALSE)</f>
        <v>30110</v>
      </c>
      <c r="AB1046" s="202">
        <f>SUMIF(Allocation!C:C,Delivery[[#This Row],[Delivery ID]],Allocation!D:D)/Delivery[[#This Row],[Quantity delivered]]</f>
        <v>1</v>
      </c>
      <c r="AC1046" s="203">
        <f>Delivery[[#This Row],[Quantity delivered]]*Delivery[[#This Row],[Base price (Unidad)]]/60</f>
        <v>213535.15185000002</v>
      </c>
      <c r="AD1046" s="204">
        <f>Delivery[[#This Row],[Nespresso total]]-Delivery[[#This Row],[Qt. Delivery * Base Price]]</f>
        <v>-17128.121850000025</v>
      </c>
      <c r="AE1046" s="204">
        <f>Delivery[[#This Row],[AAA Premium (total)]]/Delivery[[#This Row],[Quantity delivered]]*60/Delivery[[#This Row],[Exchange rate VS USD]]</f>
        <v>6.9889256736911349</v>
      </c>
      <c r="AF1046" s="204">
        <f>Delivery[[#This Row],[BEN premium (total)]]/Delivery[[#This Row],[Quantity delivered]]*60/Delivery[[#This Row],[Exchange rate for premiums VS USD]]</f>
        <v>0</v>
      </c>
      <c r="AG1046" s="204">
        <f>COUNTIF(Delivery[Delivery ID],Delivery[[#This Row],[Delivery ID]])</f>
        <v>1</v>
      </c>
      <c r="AH1046" s="204">
        <f>(Delivery[[#This Row],[Nespresso total]]/SUMIF(Allocation!C:C,Delivery[Delivery ID],Allocation!H:H))/Delivery[[#This Row],[Exchange rate VS USD]]</f>
        <v>4.6644168832871147</v>
      </c>
      <c r="AI1046" s="204">
        <f>(Delivery[[#This Row],[AAA Premium (total)]]/SUMIF(Allocation!C:C,Delivery[Delivery ID],Allocation!H:H))/Delivery[[#This Row],[Exchange rate VS USD]]</f>
        <v>0.3327901952032768</v>
      </c>
      <c r="AJ1046" s="204">
        <f>Delivery[[#This Row],[Valor Prêmio Nespresso AAA por Kg (em US$)]]*60</f>
        <v>19.967411712196608</v>
      </c>
      <c r="AK1046" s="204">
        <f>Delivery[[#This Row],[Valor Prêmio Nespresso AAA por saca (em US$)]]/1.3228/100</f>
        <v>0.15094807765494866</v>
      </c>
      <c r="AL1046" s="204">
        <f>(Delivery[[#This Row],[BEN premium (total)]]/SUMIF(Allocation!C:C,Delivery[Delivery ID],Allocation!H:H))/Delivery[[#This Row],[Exchange rate for premiums VS USD]]</f>
        <v>0</v>
      </c>
      <c r="AM1046" s="204">
        <f>Delivery[[#This Row],[Valor Prêmio Nespresso BEN por Kg (em US$)]]*60</f>
        <v>0</v>
      </c>
      <c r="AN1046" s="204">
        <f>Delivery[[#This Row],[Valor Prêmio Nespresso BEN por saca (em US$)]]/1.3228/100</f>
        <v>0</v>
      </c>
      <c r="AO1046" s="204">
        <f>SUMIF(Allocation[Delivery ID],Delivery[[#This Row],[Delivery ID]],Allocation[Quantity allocated])*16*1.3228*Delivery[[#This Row],[Exchange rate VS USD]]/60</f>
        <v>14853.287533248</v>
      </c>
      <c r="AP1046" s="204">
        <f>Delivery[[#This Row],[AAA Premium (total)]]</f>
        <v>14012.97</v>
      </c>
      <c r="AQ1046" s="204">
        <f>Delivery[[#This Row],[Valor pago pelo Cluster]]-Delivery[[#This Row],[Valor efetivamente pago pela Nespresso]]</f>
        <v>-840.31753324800047</v>
      </c>
    </row>
    <row r="1047" spans="1:43" ht="15.75">
      <c r="A1047" s="174" t="s">
        <v>69</v>
      </c>
      <c r="B1047" s="232" t="s">
        <v>68</v>
      </c>
      <c r="C1047" s="157">
        <v>1</v>
      </c>
      <c r="D1047" s="157" t="s">
        <v>468</v>
      </c>
      <c r="E1047" s="177" t="s">
        <v>468</v>
      </c>
      <c r="F1047" s="233" t="s">
        <v>543</v>
      </c>
      <c r="G1047" s="234">
        <v>43388</v>
      </c>
      <c r="H1047" s="157" t="s">
        <v>1691</v>
      </c>
      <c r="I1047" s="236" t="s">
        <v>1015</v>
      </c>
      <c r="J1047" s="237">
        <v>13726</v>
      </c>
      <c r="K1047" s="175" t="s">
        <v>61</v>
      </c>
      <c r="L1047" s="175" t="s">
        <v>439</v>
      </c>
      <c r="M1047" s="175" t="s">
        <v>1343</v>
      </c>
      <c r="N1047" s="198"/>
      <c r="O1047" s="199"/>
      <c r="P1047" s="181">
        <v>0</v>
      </c>
      <c r="Q1047" s="177">
        <v>43743</v>
      </c>
      <c r="R1047" s="178">
        <v>422.17036999999999</v>
      </c>
      <c r="S1047" s="179">
        <v>97280.6</v>
      </c>
      <c r="T1047" s="182" t="s">
        <v>45</v>
      </c>
      <c r="U1047" s="183">
        <v>3.8677999999999999</v>
      </c>
      <c r="V1047" s="179">
        <v>8880.92</v>
      </c>
      <c r="W1047" s="179">
        <v>0</v>
      </c>
      <c r="X1047" s="196" t="s">
        <v>45</v>
      </c>
      <c r="Y1047" s="200">
        <v>3.8677999999999999</v>
      </c>
      <c r="Z1047" s="220"/>
      <c r="AA1047" s="201">
        <f>Delivery[[#This Row],[Quantity delivered]]*VLOOKUP(Delivery[[#This Row],[Unit]],References!$U:$X,4,FALSE)*VLOOKUP(CONCATENATE(Delivery[[#This Row],[Coffee specie]],Delivery[[#This Row],[Coffee state]]),References!$U:$X,4,FALSE)</f>
        <v>13726</v>
      </c>
      <c r="AB1047" s="202">
        <f>SUMIF(Allocation!C:C,Delivery[[#This Row],[Delivery ID]],Allocation!D:D)/Delivery[[#This Row],[Quantity delivered]]</f>
        <v>0.59879061634853559</v>
      </c>
      <c r="AC1047" s="203">
        <f>Delivery[[#This Row],[Quantity delivered]]*Delivery[[#This Row],[Base price (Unidad)]]/60</f>
        <v>96578.508310333331</v>
      </c>
      <c r="AD1047" s="204">
        <f>Delivery[[#This Row],[Nespresso total]]-Delivery[[#This Row],[Qt. Delivery * Base Price]]</f>
        <v>702.09168966667494</v>
      </c>
      <c r="AE1047" s="204">
        <f>Delivery[[#This Row],[AAA Premium (total)]]/Delivery[[#This Row],[Quantity delivered]]*60/Delivery[[#This Row],[Exchange rate VS USD]]</f>
        <v>10.036937150501474</v>
      </c>
      <c r="AF1047" s="204">
        <f>Delivery[[#This Row],[BEN premium (total)]]/Delivery[[#This Row],[Quantity delivered]]*60/Delivery[[#This Row],[Exchange rate for premiums VS USD]]</f>
        <v>0</v>
      </c>
      <c r="AG1047" s="204">
        <f>COUNTIF(Delivery[Delivery ID],Delivery[[#This Row],[Delivery ID]])</f>
        <v>1</v>
      </c>
      <c r="AH1047" s="204">
        <f>(Delivery[[#This Row],[Nespresso total]]/SUMIF(Allocation!C:C,Delivery[Delivery ID],Allocation!H:H))/Delivery[[#This Row],[Exchange rate VS USD]]</f>
        <v>5.8847458818103027</v>
      </c>
      <c r="AI1047" s="204">
        <f>(Delivery[[#This Row],[AAA Premium (total)]]/SUMIF(Allocation!C:C,Delivery[Delivery ID],Allocation!H:H))/Delivery[[#This Row],[Exchange rate VS USD]]</f>
        <v>0.53722897881681186</v>
      </c>
      <c r="AJ1047" s="204">
        <f>Delivery[[#This Row],[Valor Prêmio Nespresso AAA por Kg (em US$)]]*60</f>
        <v>32.233738729008714</v>
      </c>
      <c r="AK1047" s="204">
        <f>Delivery[[#This Row],[Valor Prêmio Nespresso AAA por saca (em US$)]]/1.3228/100</f>
        <v>0.24367809743732016</v>
      </c>
      <c r="AL1047" s="204">
        <f>(Delivery[[#This Row],[BEN premium (total)]]/SUMIF(Allocation!C:C,Delivery[Delivery ID],Allocation!H:H))/Delivery[[#This Row],[Exchange rate for premiums VS USD]]</f>
        <v>0</v>
      </c>
      <c r="AM1047" s="204">
        <f>Delivery[[#This Row],[Valor Prêmio Nespresso BEN por Kg (em US$)]]*60</f>
        <v>0</v>
      </c>
      <c r="AN1047" s="204">
        <f>Delivery[[#This Row],[Valor Prêmio Nespresso BEN por saca (em US$)]]/1.3228/100</f>
        <v>0</v>
      </c>
      <c r="AO1047" s="204">
        <f>SUMIF(Allocation[Delivery ID],Delivery[[#This Row],[Delivery ID]],Allocation[Quantity allocated])*16*1.3228*Delivery[[#This Row],[Exchange rate VS USD]]/60</f>
        <v>5831.2471040426663</v>
      </c>
      <c r="AP1047" s="204">
        <f>Delivery[[#This Row],[AAA Premium (total)]]</f>
        <v>8880.92</v>
      </c>
      <c r="AQ1047" s="204">
        <f>Delivery[[#This Row],[Valor pago pelo Cluster]]-Delivery[[#This Row],[Valor efetivamente pago pela Nespresso]]</f>
        <v>3049.6728959573338</v>
      </c>
    </row>
    <row r="1048" spans="1:43" ht="15.75">
      <c r="A1048" s="174" t="s">
        <v>69</v>
      </c>
      <c r="B1048" s="232" t="s">
        <v>68</v>
      </c>
      <c r="C1048" s="157">
        <v>1</v>
      </c>
      <c r="D1048" s="157" t="s">
        <v>468</v>
      </c>
      <c r="E1048" s="177" t="s">
        <v>468</v>
      </c>
      <c r="F1048" s="233" t="s">
        <v>543</v>
      </c>
      <c r="G1048" s="234">
        <v>43389</v>
      </c>
      <c r="H1048" s="157" t="s">
        <v>1692</v>
      </c>
      <c r="I1048" s="236" t="s">
        <v>1693</v>
      </c>
      <c r="J1048" s="237">
        <v>22230</v>
      </c>
      <c r="K1048" s="175" t="s">
        <v>61</v>
      </c>
      <c r="L1048" s="175" t="s">
        <v>439</v>
      </c>
      <c r="M1048" s="175" t="s">
        <v>1343</v>
      </c>
      <c r="N1048" s="198"/>
      <c r="O1048" s="199"/>
      <c r="P1048" s="181">
        <v>0</v>
      </c>
      <c r="Q1048" s="177">
        <v>43381</v>
      </c>
      <c r="R1048" s="178">
        <v>421.55892</v>
      </c>
      <c r="S1048" s="179">
        <v>160466.79999999999</v>
      </c>
      <c r="T1048" s="182" t="s">
        <v>45</v>
      </c>
      <c r="U1048" s="183">
        <v>3.7656000000000001</v>
      </c>
      <c r="V1048" s="179">
        <v>9753.2000000000007</v>
      </c>
      <c r="W1048" s="179">
        <v>0</v>
      </c>
      <c r="X1048" s="196" t="s">
        <v>45</v>
      </c>
      <c r="Y1048" s="200">
        <v>3.7656000000000001</v>
      </c>
      <c r="Z1048" s="220"/>
      <c r="AA1048" s="201">
        <f>Delivery[[#This Row],[Quantity delivered]]*VLOOKUP(Delivery[[#This Row],[Unit]],References!$U:$X,4,FALSE)*VLOOKUP(CONCATENATE(Delivery[[#This Row],[Coffee specie]],Delivery[[#This Row],[Coffee state]]),References!$U:$X,4,FALSE)</f>
        <v>22230</v>
      </c>
      <c r="AB1048" s="202">
        <f>SUMIF(Allocation!C:C,Delivery[[#This Row],[Delivery ID]],Allocation!D:D)/Delivery[[#This Row],[Quantity delivered]]</f>
        <v>0.81529464687359421</v>
      </c>
      <c r="AC1048" s="203">
        <f>Delivery[[#This Row],[Quantity delivered]]*Delivery[[#This Row],[Base price (Unidad)]]/60</f>
        <v>156187.57986</v>
      </c>
      <c r="AD1048" s="204">
        <f>Delivery[[#This Row],[Nespresso total]]-Delivery[[#This Row],[Qt. Delivery * Base Price]]</f>
        <v>4279.2201399999904</v>
      </c>
      <c r="AE1048" s="204">
        <f>Delivery[[#This Row],[AAA Premium (total)]]/Delivery[[#This Row],[Quantity delivered]]*60/Delivery[[#This Row],[Exchange rate VS USD]]</f>
        <v>6.9907654691794772</v>
      </c>
      <c r="AF1048" s="204">
        <f>Delivery[[#This Row],[BEN premium (total)]]/Delivery[[#This Row],[Quantity delivered]]*60/Delivery[[#This Row],[Exchange rate for premiums VS USD]]</f>
        <v>0</v>
      </c>
      <c r="AG1048" s="204">
        <f>COUNTIF(Delivery[Delivery ID],Delivery[[#This Row],[Delivery ID]])</f>
        <v>1</v>
      </c>
      <c r="AH1048" s="204">
        <f>(Delivery[[#This Row],[Nespresso total]]/SUMIF(Allocation!C:C,Delivery[Delivery ID],Allocation!H:H))/Delivery[[#This Row],[Exchange rate VS USD]]</f>
        <v>7.1248742610220939</v>
      </c>
      <c r="AI1048" s="204">
        <f>(Delivery[[#This Row],[AAA Premium (total)]]/SUMIF(Allocation!C:C,Delivery[Delivery ID],Allocation!H:H))/Delivery[[#This Row],[Exchange rate VS USD]]</f>
        <v>0.43305109619311094</v>
      </c>
      <c r="AJ1048" s="204">
        <f>Delivery[[#This Row],[Valor Prêmio Nespresso AAA por Kg (em US$)]]*60</f>
        <v>25.983065771586656</v>
      </c>
      <c r="AK1048" s="204">
        <f>Delivery[[#This Row],[Valor Prêmio Nespresso AAA por saca (em US$)]]/1.3228/100</f>
        <v>0.19642474880243921</v>
      </c>
      <c r="AL1048" s="204">
        <f>(Delivery[[#This Row],[BEN premium (total)]]/SUMIF(Allocation!C:C,Delivery[Delivery ID],Allocation!H:H))/Delivery[[#This Row],[Exchange rate for premiums VS USD]]</f>
        <v>0</v>
      </c>
      <c r="AM1048" s="204">
        <f>Delivery[[#This Row],[Valor Prêmio Nespresso BEN por Kg (em US$)]]*60</f>
        <v>0</v>
      </c>
      <c r="AN1048" s="204">
        <f>Delivery[[#This Row],[Valor Prêmio Nespresso BEN por saca (em US$)]]/1.3228/100</f>
        <v>0</v>
      </c>
      <c r="AO1048" s="204">
        <f>SUMIF(Allocation[Delivery ID],Delivery[[#This Row],[Delivery ID]],Allocation[Quantity allocated])*16*1.3228*Delivery[[#This Row],[Exchange rate VS USD]]/60</f>
        <v>7944.5793338880003</v>
      </c>
      <c r="AP1048" s="204">
        <f>Delivery[[#This Row],[AAA Premium (total)]]</f>
        <v>9753.2000000000007</v>
      </c>
      <c r="AQ1048" s="204">
        <f>Delivery[[#This Row],[Valor pago pelo Cluster]]-Delivery[[#This Row],[Valor efetivamente pago pela Nespresso]]</f>
        <v>1808.6206661120004</v>
      </c>
    </row>
    <row r="1049" spans="1:43" ht="15.75">
      <c r="A1049" s="174" t="s">
        <v>69</v>
      </c>
      <c r="B1049" s="232" t="s">
        <v>68</v>
      </c>
      <c r="C1049" s="157" t="s">
        <v>1344</v>
      </c>
      <c r="D1049" s="157" t="s">
        <v>468</v>
      </c>
      <c r="E1049" s="177" t="s">
        <v>468</v>
      </c>
      <c r="F1049" s="240" t="s">
        <v>543</v>
      </c>
      <c r="G1049" s="234">
        <v>43389</v>
      </c>
      <c r="H1049" s="235" t="s">
        <v>1694</v>
      </c>
      <c r="I1049" s="157" t="s">
        <v>1693</v>
      </c>
      <c r="J1049" s="237">
        <v>9000</v>
      </c>
      <c r="K1049" s="175" t="s">
        <v>61</v>
      </c>
      <c r="L1049" s="175" t="s">
        <v>439</v>
      </c>
      <c r="M1049" s="175" t="s">
        <v>1343</v>
      </c>
      <c r="N1049" s="198"/>
      <c r="O1049" s="199"/>
      <c r="P1049" s="181">
        <v>0</v>
      </c>
      <c r="Q1049" s="177">
        <v>43381</v>
      </c>
      <c r="R1049" s="178">
        <v>421.55892</v>
      </c>
      <c r="S1049" s="179">
        <v>65046</v>
      </c>
      <c r="T1049" s="182" t="s">
        <v>45</v>
      </c>
      <c r="U1049" s="183">
        <v>3.7656000000000001</v>
      </c>
      <c r="V1049" s="179">
        <v>3954</v>
      </c>
      <c r="W1049" s="179">
        <v>0</v>
      </c>
      <c r="X1049" s="196" t="s">
        <v>45</v>
      </c>
      <c r="Y1049" s="200">
        <v>3.7656000000000001</v>
      </c>
      <c r="Z1049" s="223"/>
      <c r="AA1049" s="201">
        <f>Delivery[[#This Row],[Quantity delivered]]*VLOOKUP(Delivery[[#This Row],[Unit]],References!$U:$X,4,FALSE)*VLOOKUP(CONCATENATE(Delivery[[#This Row],[Coffee specie]],Delivery[[#This Row],[Coffee state]]),References!$U:$X,4,FALSE)</f>
        <v>9000</v>
      </c>
      <c r="AB1049" s="202">
        <f>SUMIF(Allocation!C:C,Delivery[[#This Row],[Delivery ID]],Allocation!D:D)/Delivery[[#This Row],[Quantity delivered]]</f>
        <v>2.8000000000000001E-2</v>
      </c>
      <c r="AC1049" s="203">
        <f>Delivery[[#This Row],[Quantity delivered]]*Delivery[[#This Row],[Base price (Unidad)]]/60</f>
        <v>63233.837999999996</v>
      </c>
      <c r="AD1049" s="204">
        <f>Delivery[[#This Row],[Nespresso total]]-Delivery[[#This Row],[Qt. Delivery * Base Price]]</f>
        <v>1812.1620000000039</v>
      </c>
      <c r="AE1049" s="204">
        <f>Delivery[[#This Row],[AAA Premium (total)]]/Delivery[[#This Row],[Quantity delivered]]*60/Delivery[[#This Row],[Exchange rate VS USD]]</f>
        <v>7.0002124495432332</v>
      </c>
      <c r="AF1049" s="204">
        <f>Delivery[[#This Row],[BEN premium (total)]]/Delivery[[#This Row],[Quantity delivered]]*60/Delivery[[#This Row],[Exchange rate for premiums VS USD]]</f>
        <v>0</v>
      </c>
      <c r="AG1049" s="204">
        <f>COUNTIF(Delivery[Delivery ID],Delivery[[#This Row],[Delivery ID]])</f>
        <v>1</v>
      </c>
      <c r="AH1049" s="204">
        <f>(Delivery[[#This Row],[Nespresso total]]/SUMIF(Allocation!C:C,Delivery[Delivery ID],Allocation!H:H))/Delivery[[#This Row],[Exchange rate VS USD]]</f>
        <v>208.11736429465472</v>
      </c>
      <c r="AI1049" s="204">
        <f>(Delivery[[#This Row],[AAA Premium (total)]]/SUMIF(Allocation!C:C,Delivery[Delivery ID],Allocation!H:H))/Delivery[[#This Row],[Exchange rate VS USD]]</f>
        <v>12.650986354596204</v>
      </c>
      <c r="AJ1049" s="204">
        <f>Delivery[[#This Row],[Valor Prêmio Nespresso AAA por Kg (em US$)]]*60</f>
        <v>759.05918127577229</v>
      </c>
      <c r="AK1049" s="204">
        <f>Delivery[[#This Row],[Valor Prêmio Nespresso AAA por saca (em US$)]]/1.3228/100</f>
        <v>5.738276241879138</v>
      </c>
      <c r="AL1049" s="204">
        <f>(Delivery[[#This Row],[BEN premium (total)]]/SUMIF(Allocation!C:C,Delivery[Delivery ID],Allocation!H:H))/Delivery[[#This Row],[Exchange rate for premiums VS USD]]</f>
        <v>0</v>
      </c>
      <c r="AM1049" s="204">
        <f>Delivery[[#This Row],[Valor Prêmio Nespresso BEN por Kg (em US$)]]*60</f>
        <v>0</v>
      </c>
      <c r="AN1049" s="204">
        <f>Delivery[[#This Row],[Valor Prêmio Nespresso BEN por saca (em US$)]]/1.3228/100</f>
        <v>0</v>
      </c>
      <c r="AO1049" s="204">
        <f>SUMIF(Allocation[Delivery ID],Delivery[[#This Row],[Delivery ID]],Allocation[Quantity allocated])*16*1.3228*Delivery[[#This Row],[Exchange rate VS USD]]/60</f>
        <v>110.249136384</v>
      </c>
      <c r="AP1049" s="204">
        <f>Delivery[[#This Row],[AAA Premium (total)]]</f>
        <v>3954</v>
      </c>
      <c r="AQ1049" s="204">
        <f>Delivery[[#This Row],[Valor pago pelo Cluster]]-Delivery[[#This Row],[Valor efetivamente pago pela Nespresso]]</f>
        <v>3843.7508636160001</v>
      </c>
    </row>
    <row r="1050" spans="1:43" ht="15.75">
      <c r="A1050" s="174" t="s">
        <v>69</v>
      </c>
      <c r="B1050" s="232" t="s">
        <v>68</v>
      </c>
      <c r="C1050" s="157" t="s">
        <v>1344</v>
      </c>
      <c r="D1050" s="157" t="s">
        <v>468</v>
      </c>
      <c r="E1050" s="177" t="s">
        <v>468</v>
      </c>
      <c r="F1050" s="233" t="s">
        <v>543</v>
      </c>
      <c r="G1050" s="234">
        <v>43390</v>
      </c>
      <c r="H1050" s="157" t="s">
        <v>1695</v>
      </c>
      <c r="I1050" s="157" t="s">
        <v>1020</v>
      </c>
      <c r="J1050" s="237">
        <v>30040</v>
      </c>
      <c r="K1050" s="175" t="s">
        <v>61</v>
      </c>
      <c r="L1050" s="175" t="s">
        <v>439</v>
      </c>
      <c r="M1050" s="175" t="s">
        <v>1343</v>
      </c>
      <c r="N1050" s="198"/>
      <c r="O1050" s="199"/>
      <c r="P1050" s="181">
        <v>0</v>
      </c>
      <c r="Q1050" s="177">
        <v>43383</v>
      </c>
      <c r="R1050" s="178">
        <v>420.07731999999999</v>
      </c>
      <c r="S1050" s="179">
        <v>213015</v>
      </c>
      <c r="T1050" s="182" t="s">
        <v>45</v>
      </c>
      <c r="U1050" s="183">
        <v>3.7574000000000001</v>
      </c>
      <c r="V1050" s="179">
        <v>13149.99</v>
      </c>
      <c r="W1050" s="179">
        <v>0</v>
      </c>
      <c r="X1050" s="196" t="s">
        <v>45</v>
      </c>
      <c r="Y1050" s="200">
        <v>3.7574000000000001</v>
      </c>
      <c r="Z1050" s="220"/>
      <c r="AA1050" s="201">
        <f>Delivery[[#This Row],[Quantity delivered]]*VLOOKUP(Delivery[[#This Row],[Unit]],References!$U:$X,4,FALSE)*VLOOKUP(CONCATENATE(Delivery[[#This Row],[Coffee specie]],Delivery[[#This Row],[Coffee state]]),References!$U:$X,4,FALSE)</f>
        <v>30040</v>
      </c>
      <c r="AB1050" s="202">
        <f>SUMIF(Allocation!C:C,Delivery[[#This Row],[Delivery ID]],Allocation!D:D)/Delivery[[#This Row],[Quantity delivered]]</f>
        <v>0.78328894806924099</v>
      </c>
      <c r="AC1050" s="203">
        <f>Delivery[[#This Row],[Quantity delivered]]*Delivery[[#This Row],[Base price (Unidad)]]/60</f>
        <v>210318.71154666666</v>
      </c>
      <c r="AD1050" s="204">
        <f>Delivery[[#This Row],[Nespresso total]]-Delivery[[#This Row],[Qt. Delivery * Base Price]]</f>
        <v>2696.2884533333417</v>
      </c>
      <c r="AE1050" s="204">
        <f>Delivery[[#This Row],[AAA Premium (total)]]/Delivery[[#This Row],[Quantity delivered]]*60/Delivery[[#This Row],[Exchange rate VS USD]]</f>
        <v>6.9901953620222272</v>
      </c>
      <c r="AF1050" s="204">
        <f>Delivery[[#This Row],[BEN premium (total)]]/Delivery[[#This Row],[Quantity delivered]]*60/Delivery[[#This Row],[Exchange rate for premiums VS USD]]</f>
        <v>0</v>
      </c>
      <c r="AG1050" s="204">
        <f>COUNTIF(Delivery[Delivery ID],Delivery[[#This Row],[Delivery ID]])</f>
        <v>1</v>
      </c>
      <c r="AH1050" s="204">
        <f>(Delivery[[#This Row],[Nespresso total]]/SUMIF(Allocation!C:C,Delivery[Delivery ID],Allocation!H:H))/Delivery[[#This Row],[Exchange rate VS USD]]</f>
        <v>8.0311839545257975</v>
      </c>
      <c r="AI1050" s="204">
        <f>(Delivery[[#This Row],[AAA Premium (total)]]/SUMIF(Allocation!C:C,Delivery[Delivery ID],Allocation!H:H))/Delivery[[#This Row],[Exchange rate VS USD]]</f>
        <v>0.49578662859505052</v>
      </c>
      <c r="AJ1050" s="204">
        <f>Delivery[[#This Row],[Valor Prêmio Nespresso AAA por Kg (em US$)]]*60</f>
        <v>29.747197715703031</v>
      </c>
      <c r="AK1050" s="204">
        <f>Delivery[[#This Row],[Valor Prêmio Nespresso AAA por saca (em US$)]]/1.3228/100</f>
        <v>0.22488053912687506</v>
      </c>
      <c r="AL1050" s="204">
        <f>(Delivery[[#This Row],[BEN premium (total)]]/SUMIF(Allocation!C:C,Delivery[Delivery ID],Allocation!H:H))/Delivery[[#This Row],[Exchange rate for premiums VS USD]]</f>
        <v>0</v>
      </c>
      <c r="AM1050" s="204">
        <f>Delivery[[#This Row],[Valor Prêmio Nespresso BEN por Kg (em US$)]]*60</f>
        <v>0</v>
      </c>
      <c r="AN1050" s="204">
        <f>Delivery[[#This Row],[Valor Prêmio Nespresso BEN por saca (em US$)]]/1.3228/100</f>
        <v>0</v>
      </c>
      <c r="AO1050" s="204">
        <f>SUMIF(Allocation[Delivery ID],Delivery[[#This Row],[Delivery ID]],Allocation[Quantity allocated])*16*1.3228*Delivery[[#This Row],[Exchange rate VS USD]]/60</f>
        <v>9356.0714865279988</v>
      </c>
      <c r="AP1050" s="204">
        <f>Delivery[[#This Row],[AAA Premium (total)]]</f>
        <v>13149.99</v>
      </c>
      <c r="AQ1050" s="204">
        <f>Delivery[[#This Row],[Valor pago pelo Cluster]]-Delivery[[#This Row],[Valor efetivamente pago pela Nespresso]]</f>
        <v>3793.918513472001</v>
      </c>
    </row>
    <row r="1051" spans="1:43" ht="15.75">
      <c r="A1051" s="174" t="s">
        <v>69</v>
      </c>
      <c r="B1051" s="232" t="s">
        <v>68</v>
      </c>
      <c r="C1051" s="157">
        <v>1</v>
      </c>
      <c r="D1051" s="157" t="s">
        <v>468</v>
      </c>
      <c r="E1051" s="177" t="s">
        <v>468</v>
      </c>
      <c r="F1051" s="233" t="s">
        <v>543</v>
      </c>
      <c r="G1051" s="234">
        <v>43378</v>
      </c>
      <c r="H1051" s="157" t="s">
        <v>1156</v>
      </c>
      <c r="I1051" s="157" t="s">
        <v>1002</v>
      </c>
      <c r="J1051" s="237">
        <v>17460</v>
      </c>
      <c r="K1051" s="175" t="s">
        <v>61</v>
      </c>
      <c r="L1051" s="175" t="s">
        <v>439</v>
      </c>
      <c r="M1051" s="175" t="s">
        <v>1343</v>
      </c>
      <c r="N1051" s="198"/>
      <c r="O1051" s="199"/>
      <c r="P1051" s="181">
        <v>0</v>
      </c>
      <c r="Q1051" s="177">
        <v>43370</v>
      </c>
      <c r="R1051" s="178">
        <v>425.51010000000002</v>
      </c>
      <c r="S1051" s="179">
        <v>114080.73</v>
      </c>
      <c r="T1051" s="182" t="s">
        <v>45</v>
      </c>
      <c r="U1051" s="183">
        <v>3.9954000000000001</v>
      </c>
      <c r="V1051" s="179">
        <v>8139.2699999999995</v>
      </c>
      <c r="W1051" s="179">
        <v>0</v>
      </c>
      <c r="X1051" s="196" t="s">
        <v>45</v>
      </c>
      <c r="Y1051" s="200">
        <v>3.9954000000000001</v>
      </c>
      <c r="Z1051" s="220"/>
      <c r="AA1051" s="201">
        <f>Delivery[[#This Row],[Quantity delivered]]*VLOOKUP(Delivery[[#This Row],[Unit]],References!$U:$X,4,FALSE)*VLOOKUP(CONCATENATE(Delivery[[#This Row],[Coffee specie]],Delivery[[#This Row],[Coffee state]]),References!$U:$X,4,FALSE)</f>
        <v>17460</v>
      </c>
      <c r="AB1051" s="202">
        <f>SUMIF(Allocation!C:C,Delivery[[#This Row],[Delivery ID]],Allocation!D:D)/Delivery[[#This Row],[Quantity delivered]]</f>
        <v>1</v>
      </c>
      <c r="AC1051" s="203">
        <f>Delivery[[#This Row],[Quantity delivered]]*Delivery[[#This Row],[Base price (Unidad)]]/60</f>
        <v>123823.43910000002</v>
      </c>
      <c r="AD1051" s="204">
        <f>Delivery[[#This Row],[Nespresso total]]-Delivery[[#This Row],[Qt. Delivery * Base Price]]</f>
        <v>-9742.7091000000219</v>
      </c>
      <c r="AE1051" s="204">
        <f>Delivery[[#This Row],[AAA Premium (total)]]/Delivery[[#This Row],[Quantity delivered]]*60/Delivery[[#This Row],[Exchange rate VS USD]]</f>
        <v>7.0005506332282117</v>
      </c>
      <c r="AF1051" s="204">
        <f>Delivery[[#This Row],[BEN premium (total)]]/Delivery[[#This Row],[Quantity delivered]]*60/Delivery[[#This Row],[Exchange rate for premiums VS USD]]</f>
        <v>0</v>
      </c>
      <c r="AG1051" s="204">
        <f>COUNTIF(Delivery[Delivery ID],Delivery[[#This Row],[Delivery ID]])</f>
        <v>1</v>
      </c>
      <c r="AH1051" s="204">
        <f>(Delivery[[#This Row],[Nespresso total]]/SUMIF(Allocation!C:C,Delivery[Delivery ID],Allocation!H:H))/Delivery[[#This Row],[Exchange rate VS USD]]</f>
        <v>4.6299689429612334</v>
      </c>
      <c r="AI1051" s="204">
        <f>(Delivery[[#This Row],[AAA Premium (total)]]/SUMIF(Allocation!C:C,Delivery[Delivery ID],Allocation!H:H))/Delivery[[#This Row],[Exchange rate VS USD]]</f>
        <v>0.33033245245166365</v>
      </c>
      <c r="AJ1051" s="204">
        <f>Delivery[[#This Row],[Valor Prêmio Nespresso AAA por Kg (em US$)]]*60</f>
        <v>19.819947147099818</v>
      </c>
      <c r="AK1051" s="204">
        <f>Delivery[[#This Row],[Valor Prêmio Nespresso AAA por saca (em US$)]]/1.3228/100</f>
        <v>0.14983328656712896</v>
      </c>
      <c r="AL1051" s="204">
        <f>(Delivery[[#This Row],[BEN premium (total)]]/SUMIF(Allocation!C:C,Delivery[Delivery ID],Allocation!H:H))/Delivery[[#This Row],[Exchange rate for premiums VS USD]]</f>
        <v>0</v>
      </c>
      <c r="AM1051" s="204">
        <f>Delivery[[#This Row],[Valor Prêmio Nespresso BEN por Kg (em US$)]]*60</f>
        <v>0</v>
      </c>
      <c r="AN1051" s="204">
        <f>Delivery[[#This Row],[Valor Prêmio Nespresso BEN por saca (em US$)]]/1.3228/100</f>
        <v>0</v>
      </c>
      <c r="AO1051" s="204">
        <f>SUMIF(Allocation[Delivery ID],Delivery[[#This Row],[Delivery ID]],Allocation[Quantity allocated])*16*1.3228*Delivery[[#This Row],[Exchange rate VS USD]]/60</f>
        <v>8691.5479853439992</v>
      </c>
      <c r="AP1051" s="204">
        <f>Delivery[[#This Row],[AAA Premium (total)]]</f>
        <v>8139.2699999999995</v>
      </c>
      <c r="AQ1051" s="204">
        <f>Delivery[[#This Row],[Valor pago pelo Cluster]]-Delivery[[#This Row],[Valor efetivamente pago pela Nespresso]]</f>
        <v>-552.27798534399972</v>
      </c>
    </row>
    <row r="1052" spans="1:43" ht="15.75">
      <c r="A1052" s="174" t="s">
        <v>69</v>
      </c>
      <c r="B1052" s="232" t="s">
        <v>68</v>
      </c>
      <c r="C1052" s="157">
        <v>1</v>
      </c>
      <c r="D1052" s="157" t="s">
        <v>468</v>
      </c>
      <c r="E1052" s="177" t="s">
        <v>468</v>
      </c>
      <c r="F1052" s="233" t="s">
        <v>543</v>
      </c>
      <c r="G1052" s="234">
        <v>43392</v>
      </c>
      <c r="H1052" s="157" t="s">
        <v>1696</v>
      </c>
      <c r="I1052" s="236" t="s">
        <v>1697</v>
      </c>
      <c r="J1052" s="237">
        <v>28050</v>
      </c>
      <c r="K1052" s="175" t="s">
        <v>61</v>
      </c>
      <c r="L1052" s="175" t="s">
        <v>439</v>
      </c>
      <c r="M1052" s="175" t="s">
        <v>1343</v>
      </c>
      <c r="N1052" s="198"/>
      <c r="O1052" s="199"/>
      <c r="P1052" s="181">
        <v>0</v>
      </c>
      <c r="Q1052" s="177">
        <v>43388</v>
      </c>
      <c r="R1052" s="178">
        <v>444.29416000000003</v>
      </c>
      <c r="S1052" s="179">
        <v>213134.13</v>
      </c>
      <c r="T1052" s="182" t="s">
        <v>45</v>
      </c>
      <c r="U1052" s="183">
        <v>3.7273000000000001</v>
      </c>
      <c r="V1052" s="179">
        <v>12184.03</v>
      </c>
      <c r="W1052" s="179">
        <v>0</v>
      </c>
      <c r="X1052" s="196" t="s">
        <v>45</v>
      </c>
      <c r="Y1052" s="200">
        <v>3.7273000000000001</v>
      </c>
      <c r="Z1052" s="220"/>
      <c r="AA1052" s="201">
        <f>Delivery[[#This Row],[Quantity delivered]]*VLOOKUP(Delivery[[#This Row],[Unit]],References!$U:$X,4,FALSE)*VLOOKUP(CONCATENATE(Delivery[[#This Row],[Coffee specie]],Delivery[[#This Row],[Coffee state]]),References!$U:$X,4,FALSE)</f>
        <v>28050</v>
      </c>
      <c r="AB1052" s="202">
        <f>SUMIF(Allocation!C:C,Delivery[[#This Row],[Delivery ID]],Allocation!D:D)/Delivery[[#This Row],[Quantity delivered]]</f>
        <v>1</v>
      </c>
      <c r="AC1052" s="203">
        <f>Delivery[[#This Row],[Quantity delivered]]*Delivery[[#This Row],[Base price (Unidad)]]/60</f>
        <v>207707.51980000001</v>
      </c>
      <c r="AD1052" s="204">
        <f>Delivery[[#This Row],[Nespresso total]]-Delivery[[#This Row],[Qt. Delivery * Base Price]]</f>
        <v>5426.6101999999955</v>
      </c>
      <c r="AE1052" s="204">
        <f>Delivery[[#This Row],[AAA Premium (total)]]/Delivery[[#This Row],[Quantity delivered]]*60/Delivery[[#This Row],[Exchange rate VS USD]]</f>
        <v>6.992218564828292</v>
      </c>
      <c r="AF1052" s="204">
        <f>Delivery[[#This Row],[BEN premium (total)]]/Delivery[[#This Row],[Quantity delivered]]*60/Delivery[[#This Row],[Exchange rate for premiums VS USD]]</f>
        <v>0</v>
      </c>
      <c r="AG1052" s="204">
        <f>COUNTIF(Delivery[Delivery ID],Delivery[[#This Row],[Delivery ID]])</f>
        <v>1</v>
      </c>
      <c r="AH1052" s="204">
        <f>(Delivery[[#This Row],[Nespresso total]]/SUMIF(Allocation!C:C,Delivery[Delivery ID],Allocation!H:H))/Delivery[[#This Row],[Exchange rate VS USD]]</f>
        <v>6.1771534143634295</v>
      </c>
      <c r="AI1052" s="204">
        <f>(Delivery[[#This Row],[AAA Premium (total)]]/SUMIF(Allocation!C:C,Delivery[Delivery ID],Allocation!H:H))/Delivery[[#This Row],[Exchange rate VS USD]]</f>
        <v>0.35312327741787042</v>
      </c>
      <c r="AJ1052" s="204">
        <f>Delivery[[#This Row],[Valor Prêmio Nespresso AAA por Kg (em US$)]]*60</f>
        <v>21.187396645072226</v>
      </c>
      <c r="AK1052" s="204">
        <f>Delivery[[#This Row],[Valor Prêmio Nespresso AAA por saca (em US$)]]/1.3228/100</f>
        <v>0.16017082435040994</v>
      </c>
      <c r="AL1052" s="204">
        <f>(Delivery[[#This Row],[BEN premium (total)]]/SUMIF(Allocation!C:C,Delivery[Delivery ID],Allocation!H:H))/Delivery[[#This Row],[Exchange rate for premiums VS USD]]</f>
        <v>0</v>
      </c>
      <c r="AM1052" s="204">
        <f>Delivery[[#This Row],[Valor Prêmio Nespresso BEN por Kg (em US$)]]*60</f>
        <v>0</v>
      </c>
      <c r="AN1052" s="204">
        <f>Delivery[[#This Row],[Valor Prêmio Nespresso BEN por saca (em US$)]]/1.3228/100</f>
        <v>0</v>
      </c>
      <c r="AO1052" s="204">
        <f>SUMIF(Allocation[Delivery ID],Delivery[[#This Row],[Delivery ID]],Allocation[Quantity allocated])*16*1.3228*Delivery[[#This Row],[Exchange rate VS USD]]/60</f>
        <v>12171.035567221332</v>
      </c>
      <c r="AP1052" s="204">
        <f>Delivery[[#This Row],[AAA Premium (total)]]</f>
        <v>12184.03</v>
      </c>
      <c r="AQ1052" s="204">
        <f>Delivery[[#This Row],[Valor pago pelo Cluster]]-Delivery[[#This Row],[Valor efetivamente pago pela Nespresso]]</f>
        <v>12.994432778668852</v>
      </c>
    </row>
    <row r="1053" spans="1:43" ht="15.75">
      <c r="A1053" s="174" t="s">
        <v>69</v>
      </c>
      <c r="B1053" s="232" t="s">
        <v>68</v>
      </c>
      <c r="C1053" s="157" t="s">
        <v>1344</v>
      </c>
      <c r="D1053" s="157" t="s">
        <v>468</v>
      </c>
      <c r="E1053" s="177" t="s">
        <v>468</v>
      </c>
      <c r="F1053" s="240" t="s">
        <v>543</v>
      </c>
      <c r="G1053" s="234">
        <v>43392</v>
      </c>
      <c r="H1053" s="235" t="s">
        <v>1698</v>
      </c>
      <c r="I1053" s="157" t="s">
        <v>1697</v>
      </c>
      <c r="J1053" s="237">
        <v>28000</v>
      </c>
      <c r="K1053" s="175" t="s">
        <v>61</v>
      </c>
      <c r="L1053" s="175" t="s">
        <v>439</v>
      </c>
      <c r="M1053" s="175" t="s">
        <v>1343</v>
      </c>
      <c r="N1053" s="198"/>
      <c r="O1053" s="199"/>
      <c r="P1053" s="181">
        <v>0</v>
      </c>
      <c r="Q1053" s="177">
        <v>43388</v>
      </c>
      <c r="R1053" s="178">
        <v>444.29416000000003</v>
      </c>
      <c r="S1053" s="179">
        <v>213134.13</v>
      </c>
      <c r="T1053" s="182" t="s">
        <v>45</v>
      </c>
      <c r="U1053" s="183">
        <v>3.7273000000000001</v>
      </c>
      <c r="V1053" s="179">
        <v>12184.03</v>
      </c>
      <c r="W1053" s="179">
        <v>0</v>
      </c>
      <c r="X1053" s="196" t="s">
        <v>45</v>
      </c>
      <c r="Y1053" s="200">
        <v>3.7273000000000001</v>
      </c>
      <c r="Z1053" s="223"/>
      <c r="AA1053" s="201">
        <f>Delivery[[#This Row],[Quantity delivered]]*VLOOKUP(Delivery[[#This Row],[Unit]],References!$U:$X,4,FALSE)*VLOOKUP(CONCATENATE(Delivery[[#This Row],[Coffee specie]],Delivery[[#This Row],[Coffee state]]),References!$U:$X,4,FALSE)</f>
        <v>28000</v>
      </c>
      <c r="AB1053" s="202">
        <f>SUMIF(Allocation!C:C,Delivery[[#This Row],[Delivery ID]],Allocation!D:D)/Delivery[[#This Row],[Quantity delivered]]</f>
        <v>0.71699999999999997</v>
      </c>
      <c r="AC1053" s="203">
        <f>Delivery[[#This Row],[Quantity delivered]]*Delivery[[#This Row],[Base price (Unidad)]]/60</f>
        <v>207337.27466666666</v>
      </c>
      <c r="AD1053" s="204">
        <f>Delivery[[#This Row],[Nespresso total]]-Delivery[[#This Row],[Qt. Delivery * Base Price]]</f>
        <v>5796.8553333333402</v>
      </c>
      <c r="AE1053" s="204">
        <f>Delivery[[#This Row],[AAA Premium (total)]]/Delivery[[#This Row],[Quantity delivered]]*60/Delivery[[#This Row],[Exchange rate VS USD]]</f>
        <v>7.0047046694083424</v>
      </c>
      <c r="AF1053" s="204">
        <f>Delivery[[#This Row],[BEN premium (total)]]/Delivery[[#This Row],[Quantity delivered]]*60/Delivery[[#This Row],[Exchange rate for premiums VS USD]]</f>
        <v>0</v>
      </c>
      <c r="AG1053" s="204">
        <f>COUNTIF(Delivery[Delivery ID],Delivery[[#This Row],[Delivery ID]])</f>
        <v>1</v>
      </c>
      <c r="AH1053" s="204">
        <f>(Delivery[[#This Row],[Nespresso total]]/SUMIF(Allocation!C:C,Delivery[Delivery ID],Allocation!H:H))/Delivery[[#This Row],[Exchange rate VS USD]]</f>
        <v>8.6312315708320391</v>
      </c>
      <c r="AI1053" s="204">
        <f>(Delivery[[#This Row],[AAA Premium (total)]]/SUMIF(Allocation!C:C,Delivery[Delivery ID],Allocation!H:H))/Delivery[[#This Row],[Exchange rate VS USD]]</f>
        <v>0.49341315910297756</v>
      </c>
      <c r="AJ1053" s="204">
        <f>Delivery[[#This Row],[Valor Prêmio Nespresso AAA por Kg (em US$)]]*60</f>
        <v>29.604789546178655</v>
      </c>
      <c r="AK1053" s="204">
        <f>Delivery[[#This Row],[Valor Prêmio Nespresso AAA por saca (em US$)]]/1.3228/100</f>
        <v>0.22380397298290486</v>
      </c>
      <c r="AL1053" s="204">
        <f>(Delivery[[#This Row],[BEN premium (total)]]/SUMIF(Allocation!C:C,Delivery[Delivery ID],Allocation!H:H))/Delivery[[#This Row],[Exchange rate for premiums VS USD]]</f>
        <v>0</v>
      </c>
      <c r="AM1053" s="204">
        <f>Delivery[[#This Row],[Valor Prêmio Nespresso BEN por Kg (em US$)]]*60</f>
        <v>0</v>
      </c>
      <c r="AN1053" s="204">
        <f>Delivery[[#This Row],[Valor Prêmio Nespresso BEN por saca (em US$)]]/1.3228/100</f>
        <v>0</v>
      </c>
      <c r="AO1053" s="204">
        <f>SUMIF(Allocation[Delivery ID],Delivery[[#This Row],[Delivery ID]],Allocation[Quantity allocated])*16*1.3228*Delivery[[#This Row],[Exchange rate VS USD]]/60</f>
        <v>8710.5013106666665</v>
      </c>
      <c r="AP1053" s="204">
        <f>Delivery[[#This Row],[AAA Premium (total)]]</f>
        <v>12184.03</v>
      </c>
      <c r="AQ1053" s="204">
        <f>Delivery[[#This Row],[Valor pago pelo Cluster]]-Delivery[[#This Row],[Valor efetivamente pago pela Nespresso]]</f>
        <v>3473.5286893333341</v>
      </c>
    </row>
    <row r="1054" spans="1:43" ht="15.75">
      <c r="A1054" s="174" t="s">
        <v>69</v>
      </c>
      <c r="B1054" s="232" t="s">
        <v>68</v>
      </c>
      <c r="C1054" s="157">
        <v>1</v>
      </c>
      <c r="D1054" s="157" t="s">
        <v>468</v>
      </c>
      <c r="E1054" s="177" t="s">
        <v>468</v>
      </c>
      <c r="F1054" s="233" t="s">
        <v>543</v>
      </c>
      <c r="G1054" s="234">
        <v>43395</v>
      </c>
      <c r="H1054" s="157" t="s">
        <v>1157</v>
      </c>
      <c r="I1054" s="157" t="s">
        <v>1147</v>
      </c>
      <c r="J1054" s="237">
        <v>29820</v>
      </c>
      <c r="K1054" s="175" t="s">
        <v>61</v>
      </c>
      <c r="L1054" s="175" t="s">
        <v>439</v>
      </c>
      <c r="M1054" s="175" t="s">
        <v>1343</v>
      </c>
      <c r="N1054" s="198"/>
      <c r="O1054" s="199"/>
      <c r="P1054" s="181">
        <v>0</v>
      </c>
      <c r="Q1054" s="177">
        <v>43388</v>
      </c>
      <c r="R1054" s="178">
        <v>444.84223000000003</v>
      </c>
      <c r="S1054" s="179">
        <v>235764</v>
      </c>
      <c r="T1054" s="182" t="s">
        <v>45</v>
      </c>
      <c r="U1054" s="183">
        <v>3.7366000000000001</v>
      </c>
      <c r="V1054" s="179">
        <v>39235</v>
      </c>
      <c r="W1054" s="179">
        <v>0</v>
      </c>
      <c r="X1054" s="196" t="s">
        <v>45</v>
      </c>
      <c r="Y1054" s="200">
        <v>3.7366000000000001</v>
      </c>
      <c r="Z1054" s="220"/>
      <c r="AA1054" s="201">
        <f>Delivery[[#This Row],[Quantity delivered]]*VLOOKUP(Delivery[[#This Row],[Unit]],References!$U:$X,4,FALSE)*VLOOKUP(CONCATENATE(Delivery[[#This Row],[Coffee specie]],Delivery[[#This Row],[Coffee state]]),References!$U:$X,4,FALSE)</f>
        <v>29820</v>
      </c>
      <c r="AB1054" s="202">
        <f>SUMIF(Allocation!C:C,Delivery[[#This Row],[Delivery ID]],Allocation!D:D)/Delivery[[#This Row],[Quantity delivered]]</f>
        <v>0.70767940979208588</v>
      </c>
      <c r="AC1054" s="203">
        <f>Delivery[[#This Row],[Quantity delivered]]*Delivery[[#This Row],[Base price (Unidad)]]/60</f>
        <v>221086.58831000002</v>
      </c>
      <c r="AD1054" s="204">
        <f>Delivery[[#This Row],[Nespresso total]]-Delivery[[#This Row],[Qt. Delivery * Base Price]]</f>
        <v>14677.411689999979</v>
      </c>
      <c r="AE1054" s="204">
        <f>Delivery[[#This Row],[AAA Premium (total)]]/Delivery[[#This Row],[Quantity delivered]]*60/Delivery[[#This Row],[Exchange rate VS USD]]</f>
        <v>21.127137497144727</v>
      </c>
      <c r="AF1054" s="204">
        <f>Delivery[[#This Row],[BEN premium (total)]]/Delivery[[#This Row],[Quantity delivered]]*60/Delivery[[#This Row],[Exchange rate for premiums VS USD]]</f>
        <v>0</v>
      </c>
      <c r="AG1054" s="204">
        <f>COUNTIF(Delivery[Delivery ID],Delivery[[#This Row],[Delivery ID]])</f>
        <v>1</v>
      </c>
      <c r="AH1054" s="204">
        <f>(Delivery[[#This Row],[Nespresso total]]/SUMIF(Allocation!C:C,Delivery[Delivery ID],Allocation!H:H))/Delivery[[#This Row],[Exchange rate VS USD]]</f>
        <v>3.1381608748055903</v>
      </c>
      <c r="AI1054" s="204">
        <f>(Delivery[[#This Row],[AAA Premium (total)]]/SUMIF(Allocation!C:C,Delivery[Delivery ID],Allocation!H:H))/Delivery[[#This Row],[Exchange rate VS USD]]</f>
        <v>0.5222414869233527</v>
      </c>
      <c r="AJ1054" s="204">
        <f>Delivery[[#This Row],[Valor Prêmio Nespresso AAA por Kg (em US$)]]*60</f>
        <v>31.334489215401163</v>
      </c>
      <c r="AK1054" s="204">
        <f>Delivery[[#This Row],[Valor Prêmio Nespresso AAA por saca (em US$)]]/1.3228/100</f>
        <v>0.23688002128364957</v>
      </c>
      <c r="AL1054" s="204">
        <f>(Delivery[[#This Row],[BEN premium (total)]]/SUMIF(Allocation!C:C,Delivery[Delivery ID],Allocation!H:H))/Delivery[[#This Row],[Exchange rate for premiums VS USD]]</f>
        <v>0</v>
      </c>
      <c r="AM1054" s="204">
        <f>Delivery[[#This Row],[Valor Prêmio Nespresso BEN por Kg (em US$)]]*60</f>
        <v>0</v>
      </c>
      <c r="AN1054" s="204">
        <f>Delivery[[#This Row],[Valor Prêmio Nespresso BEN por saca (em US$)]]/1.3228/100</f>
        <v>0</v>
      </c>
      <c r="AO1054" s="204">
        <f>SUMIF(Allocation[Delivery ID],Delivery[[#This Row],[Delivery ID]],Allocation[Quantity allocated])*16*1.3228*Delivery[[#This Row],[Exchange rate VS USD]]/60</f>
        <v>26501.179651967999</v>
      </c>
      <c r="AP1054" s="204">
        <f>Delivery[[#This Row],[AAA Premium (total)]]</f>
        <v>39235</v>
      </c>
      <c r="AQ1054" s="204">
        <f>Delivery[[#This Row],[Valor pago pelo Cluster]]-Delivery[[#This Row],[Valor efetivamente pago pela Nespresso]]</f>
        <v>12733.820348032001</v>
      </c>
    </row>
    <row r="1055" spans="1:43" ht="15.75">
      <c r="A1055" s="174" t="s">
        <v>69</v>
      </c>
      <c r="B1055" s="232" t="s">
        <v>68</v>
      </c>
      <c r="C1055" s="157">
        <v>1</v>
      </c>
      <c r="D1055" s="157" t="s">
        <v>468</v>
      </c>
      <c r="E1055" s="177" t="s">
        <v>468</v>
      </c>
      <c r="F1055" s="233" t="s">
        <v>543</v>
      </c>
      <c r="G1055" s="234">
        <v>43395</v>
      </c>
      <c r="H1055" s="157" t="s">
        <v>1158</v>
      </c>
      <c r="I1055" s="157" t="s">
        <v>1147</v>
      </c>
      <c r="J1055" s="237">
        <v>30490</v>
      </c>
      <c r="K1055" s="175" t="s">
        <v>61</v>
      </c>
      <c r="L1055" s="175" t="s">
        <v>439</v>
      </c>
      <c r="M1055" s="175" t="s">
        <v>1343</v>
      </c>
      <c r="N1055" s="198"/>
      <c r="O1055" s="199"/>
      <c r="P1055" s="181">
        <v>0</v>
      </c>
      <c r="Q1055" s="177">
        <v>43388</v>
      </c>
      <c r="R1055" s="178">
        <v>444.84223000000003</v>
      </c>
      <c r="S1055" s="179">
        <v>235764</v>
      </c>
      <c r="T1055" s="182" t="s">
        <v>45</v>
      </c>
      <c r="U1055" s="183">
        <v>3.7366000000000001</v>
      </c>
      <c r="V1055" s="179">
        <v>39235</v>
      </c>
      <c r="W1055" s="179">
        <v>0</v>
      </c>
      <c r="X1055" s="196" t="s">
        <v>45</v>
      </c>
      <c r="Y1055" s="200">
        <v>3.7366000000000001</v>
      </c>
      <c r="Z1055" s="220"/>
      <c r="AA1055" s="201">
        <f>Delivery[[#This Row],[Quantity delivered]]*VLOOKUP(Delivery[[#This Row],[Unit]],References!$U:$X,4,FALSE)*VLOOKUP(CONCATENATE(Delivery[[#This Row],[Coffee specie]],Delivery[[#This Row],[Coffee state]]),References!$U:$X,4,FALSE)</f>
        <v>30490</v>
      </c>
      <c r="AB1055" s="202">
        <f>SUMIF(Allocation!C:C,Delivery[[#This Row],[Delivery ID]],Allocation!D:D)/Delivery[[#This Row],[Quantity delivered]]</f>
        <v>0.69412922269596589</v>
      </c>
      <c r="AC1055" s="203">
        <f>Delivery[[#This Row],[Quantity delivered]]*Delivery[[#This Row],[Base price (Unidad)]]/60</f>
        <v>226053.99321166668</v>
      </c>
      <c r="AD1055" s="204">
        <f>Delivery[[#This Row],[Nespresso total]]-Delivery[[#This Row],[Qt. Delivery * Base Price]]</f>
        <v>9710.0067883333249</v>
      </c>
      <c r="AE1055" s="204">
        <f>Delivery[[#This Row],[AAA Premium (total)]]/Delivery[[#This Row],[Quantity delivered]]*60/Delivery[[#This Row],[Exchange rate VS USD]]</f>
        <v>20.66288094997887</v>
      </c>
      <c r="AF1055" s="204">
        <f>Delivery[[#This Row],[BEN premium (total)]]/Delivery[[#This Row],[Quantity delivered]]*60/Delivery[[#This Row],[Exchange rate for premiums VS USD]]</f>
        <v>0</v>
      </c>
      <c r="AG1055" s="204">
        <f>COUNTIF(Delivery[Delivery ID],Delivery[[#This Row],[Delivery ID]])</f>
        <v>1</v>
      </c>
      <c r="AH1055" s="204">
        <f>(Delivery[[#This Row],[Nespresso total]]/SUMIF(Allocation!C:C,Delivery[Delivery ID],Allocation!H:H))/Delivery[[#This Row],[Exchange rate VS USD]]</f>
        <v>3.1302208934286448</v>
      </c>
      <c r="AI1055" s="204">
        <f>(Delivery[[#This Row],[AAA Premium (total)]]/SUMIF(Allocation!C:C,Delivery[Delivery ID],Allocation!H:H))/Delivery[[#This Row],[Exchange rate VS USD]]</f>
        <v>0.52092014367618833</v>
      </c>
      <c r="AJ1055" s="204">
        <f>Delivery[[#This Row],[Valor Prêmio Nespresso AAA por Kg (em US$)]]*60</f>
        <v>31.255208620571299</v>
      </c>
      <c r="AK1055" s="204">
        <f>Delivery[[#This Row],[Valor Prêmio Nespresso AAA por saca (em US$)]]/1.3228/100</f>
        <v>0.23628068204241987</v>
      </c>
      <c r="AL1055" s="204">
        <f>(Delivery[[#This Row],[BEN premium (total)]]/SUMIF(Allocation!C:C,Delivery[Delivery ID],Allocation!H:H))/Delivery[[#This Row],[Exchange rate for premiums VS USD]]</f>
        <v>0</v>
      </c>
      <c r="AM1055" s="204">
        <f>Delivery[[#This Row],[Valor Prêmio Nespresso BEN por Kg (em US$)]]*60</f>
        <v>0</v>
      </c>
      <c r="AN1055" s="204">
        <f>Delivery[[#This Row],[Valor Prêmio Nespresso BEN por saca (em US$)]]/1.3228/100</f>
        <v>0</v>
      </c>
      <c r="AO1055" s="204">
        <f>SUMIF(Allocation[Delivery ID],Delivery[[#This Row],[Delivery ID]],Allocation[Quantity allocated])*16*1.3228*Delivery[[#This Row],[Exchange rate VS USD]]/60</f>
        <v>26568.401384896002</v>
      </c>
      <c r="AP1055" s="204">
        <f>Delivery[[#This Row],[AAA Premium (total)]]</f>
        <v>39235</v>
      </c>
      <c r="AQ1055" s="204">
        <f>Delivery[[#This Row],[Valor pago pelo Cluster]]-Delivery[[#This Row],[Valor efetivamente pago pela Nespresso]]</f>
        <v>12666.598615103998</v>
      </c>
    </row>
    <row r="1056" spans="1:43" ht="15.75">
      <c r="A1056" s="174" t="s">
        <v>69</v>
      </c>
      <c r="B1056" s="232" t="s">
        <v>68</v>
      </c>
      <c r="C1056" s="157">
        <v>1</v>
      </c>
      <c r="D1056" s="157" t="s">
        <v>468</v>
      </c>
      <c r="E1056" s="177" t="s">
        <v>468</v>
      </c>
      <c r="F1056" s="233" t="s">
        <v>543</v>
      </c>
      <c r="G1056" s="234">
        <v>43395</v>
      </c>
      <c r="H1056" s="157" t="s">
        <v>1159</v>
      </c>
      <c r="I1056" s="157" t="s">
        <v>1147</v>
      </c>
      <c r="J1056" s="237">
        <v>14583</v>
      </c>
      <c r="K1056" s="175" t="s">
        <v>61</v>
      </c>
      <c r="L1056" s="175" t="s">
        <v>439</v>
      </c>
      <c r="M1056" s="175" t="s">
        <v>1343</v>
      </c>
      <c r="N1056" s="198"/>
      <c r="O1056" s="199"/>
      <c r="P1056" s="181">
        <v>0</v>
      </c>
      <c r="Q1056" s="177">
        <v>43388</v>
      </c>
      <c r="R1056" s="178">
        <v>444.84223000000003</v>
      </c>
      <c r="S1056" s="179">
        <v>117882.5</v>
      </c>
      <c r="T1056" s="182" t="s">
        <v>45</v>
      </c>
      <c r="U1056" s="183">
        <v>3.7366000000000001</v>
      </c>
      <c r="V1056" s="179">
        <v>19071.793230000003</v>
      </c>
      <c r="W1056" s="179">
        <v>0</v>
      </c>
      <c r="X1056" s="196" t="s">
        <v>45</v>
      </c>
      <c r="Y1056" s="200">
        <v>3.7366000000000001</v>
      </c>
      <c r="Z1056" s="220"/>
      <c r="AA1056" s="201">
        <f>Delivery[[#This Row],[Quantity delivered]]*VLOOKUP(Delivery[[#This Row],[Unit]],References!$U:$X,4,FALSE)*VLOOKUP(CONCATENATE(Delivery[[#This Row],[Coffee specie]],Delivery[[#This Row],[Coffee state]]),References!$U:$X,4,FALSE)</f>
        <v>14583</v>
      </c>
      <c r="AB1056" s="202">
        <f>SUMIF(Allocation!C:C,Delivery[[#This Row],[Delivery ID]],Allocation!D:D)/Delivery[[#This Row],[Quantity delivered]]</f>
        <v>0.7215936364259754</v>
      </c>
      <c r="AC1056" s="203">
        <f>Delivery[[#This Row],[Quantity delivered]]*Delivery[[#This Row],[Base price (Unidad)]]/60</f>
        <v>108118.90400150001</v>
      </c>
      <c r="AD1056" s="204">
        <f>Delivery[[#This Row],[Nespresso total]]-Delivery[[#This Row],[Qt. Delivery * Base Price]]</f>
        <v>9763.5959984999936</v>
      </c>
      <c r="AE1056" s="204">
        <f>Delivery[[#This Row],[AAA Premium (total)]]/Delivery[[#This Row],[Quantity delivered]]*60/Delivery[[#This Row],[Exchange rate VS USD]]</f>
        <v>21</v>
      </c>
      <c r="AF1056" s="204">
        <f>Delivery[[#This Row],[BEN premium (total)]]/Delivery[[#This Row],[Quantity delivered]]*60/Delivery[[#This Row],[Exchange rate for premiums VS USD]]</f>
        <v>0</v>
      </c>
      <c r="AG1056" s="204">
        <f>COUNTIF(Delivery[Delivery ID],Delivery[[#This Row],[Delivery ID]])</f>
        <v>1</v>
      </c>
      <c r="AH1056" s="204">
        <f>(Delivery[[#This Row],[Nespresso total]]/SUMIF(Allocation!C:C,Delivery[Delivery ID],Allocation!H:H))/Delivery[[#This Row],[Exchange rate VS USD]]</f>
        <v>3.1456840249184341</v>
      </c>
      <c r="AI1056" s="204">
        <f>(Delivery[[#This Row],[AAA Premium (total)]]/SUMIF(Allocation!C:C,Delivery[Delivery ID],Allocation!H:H))/Delivery[[#This Row],[Exchange rate VS USD]]</f>
        <v>0.50892910559377813</v>
      </c>
      <c r="AJ1056" s="204">
        <f>Delivery[[#This Row],[Valor Prêmio Nespresso AAA por Kg (em US$)]]*60</f>
        <v>30.535746335626687</v>
      </c>
      <c r="AK1056" s="204">
        <f>Delivery[[#This Row],[Valor Prêmio Nespresso AAA por saca (em US$)]]/1.3228/100</f>
        <v>0.23084174732103635</v>
      </c>
      <c r="AL1056" s="204">
        <f>(Delivery[[#This Row],[BEN premium (total)]]/SUMIF(Allocation!C:C,Delivery[Delivery ID],Allocation!H:H))/Delivery[[#This Row],[Exchange rate for premiums VS USD]]</f>
        <v>0</v>
      </c>
      <c r="AM1056" s="204">
        <f>Delivery[[#This Row],[Valor Prêmio Nespresso BEN por Kg (em US$)]]*60</f>
        <v>0</v>
      </c>
      <c r="AN1056" s="204">
        <f>Delivery[[#This Row],[Valor Prêmio Nespresso BEN por saca (em US$)]]/1.3228/100</f>
        <v>0</v>
      </c>
      <c r="AO1056" s="204">
        <f>SUMIF(Allocation[Delivery ID],Delivery[[#This Row],[Delivery ID]],Allocation[Quantity allocated])*16*1.3228*Delivery[[#This Row],[Exchange rate VS USD]]/60</f>
        <v>13218.956069312</v>
      </c>
      <c r="AP1056" s="204">
        <f>Delivery[[#This Row],[AAA Premium (total)]]</f>
        <v>19071.793230000003</v>
      </c>
      <c r="AQ1056" s="204">
        <f>Delivery[[#This Row],[Valor pago pelo Cluster]]-Delivery[[#This Row],[Valor efetivamente pago pela Nespresso]]</f>
        <v>5852.8371606880028</v>
      </c>
    </row>
    <row r="1057" spans="1:43" ht="15.75">
      <c r="A1057" s="174" t="s">
        <v>69</v>
      </c>
      <c r="B1057" s="232" t="s">
        <v>68</v>
      </c>
      <c r="C1057" s="157">
        <v>1</v>
      </c>
      <c r="D1057" s="157" t="s">
        <v>468</v>
      </c>
      <c r="E1057" s="177" t="s">
        <v>468</v>
      </c>
      <c r="F1057" s="233" t="s">
        <v>543</v>
      </c>
      <c r="G1057" s="234">
        <v>43395</v>
      </c>
      <c r="H1057" s="157" t="s">
        <v>1160</v>
      </c>
      <c r="I1057" s="157" t="s">
        <v>1147</v>
      </c>
      <c r="J1057" s="237">
        <v>11666.5</v>
      </c>
      <c r="K1057" s="175" t="s">
        <v>61</v>
      </c>
      <c r="L1057" s="175" t="s">
        <v>439</v>
      </c>
      <c r="M1057" s="175" t="s">
        <v>1343</v>
      </c>
      <c r="N1057" s="198"/>
      <c r="O1057" s="199"/>
      <c r="P1057" s="181">
        <v>0</v>
      </c>
      <c r="Q1057" s="177">
        <v>43388</v>
      </c>
      <c r="R1057" s="178">
        <v>444.84223000000003</v>
      </c>
      <c r="S1057" s="179">
        <v>94306</v>
      </c>
      <c r="T1057" s="182" t="s">
        <v>45</v>
      </c>
      <c r="U1057" s="183">
        <v>3.7366000000000001</v>
      </c>
      <c r="V1057" s="179">
        <v>15257.565365000002</v>
      </c>
      <c r="W1057" s="179">
        <v>0</v>
      </c>
      <c r="X1057" s="196" t="s">
        <v>45</v>
      </c>
      <c r="Y1057" s="200">
        <v>3.7366000000000001</v>
      </c>
      <c r="Z1057" s="220"/>
      <c r="AA1057" s="201">
        <f>Delivery[[#This Row],[Quantity delivered]]*VLOOKUP(Delivery[[#This Row],[Unit]],References!$U:$X,4,FALSE)*VLOOKUP(CONCATENATE(Delivery[[#This Row],[Coffee specie]],Delivery[[#This Row],[Coffee state]]),References!$U:$X,4,FALSE)</f>
        <v>11666.5</v>
      </c>
      <c r="AB1057" s="202">
        <f>SUMIF(Allocation!C:C,Delivery[[#This Row],[Delivery ID]],Allocation!D:D)/Delivery[[#This Row],[Quantity delivered]]</f>
        <v>0.72163888055543646</v>
      </c>
      <c r="AC1057" s="203">
        <f>Delivery[[#This Row],[Quantity delivered]]*Delivery[[#This Row],[Base price (Unidad)]]/60</f>
        <v>86495.864604916671</v>
      </c>
      <c r="AD1057" s="204">
        <f>Delivery[[#This Row],[Nespresso total]]-Delivery[[#This Row],[Qt. Delivery * Base Price]]</f>
        <v>7810.1353950833291</v>
      </c>
      <c r="AE1057" s="204">
        <f>Delivery[[#This Row],[AAA Premium (total)]]/Delivery[[#This Row],[Quantity delivered]]*60/Delivery[[#This Row],[Exchange rate VS USD]]</f>
        <v>21</v>
      </c>
      <c r="AF1057" s="204">
        <f>Delivery[[#This Row],[BEN premium (total)]]/Delivery[[#This Row],[Quantity delivered]]*60/Delivery[[#This Row],[Exchange rate for premiums VS USD]]</f>
        <v>0</v>
      </c>
      <c r="AG1057" s="204">
        <f>COUNTIF(Delivery[Delivery ID],Delivery[[#This Row],[Delivery ID]])</f>
        <v>1</v>
      </c>
      <c r="AH1057" s="204">
        <f>(Delivery[[#This Row],[Nespresso total]]/SUMIF(Allocation!C:C,Delivery[Delivery ID],Allocation!H:H))/Delivery[[#This Row],[Exchange rate VS USD]]</f>
        <v>3.1453703973985014</v>
      </c>
      <c r="AI1057" s="204">
        <f>(Delivery[[#This Row],[AAA Premium (total)]]/SUMIF(Allocation!C:C,Delivery[Delivery ID],Allocation!H:H))/Delivery[[#This Row],[Exchange rate VS USD]]</f>
        <v>0.50888272681954139</v>
      </c>
      <c r="AJ1057" s="204">
        <f>Delivery[[#This Row],[Valor Prêmio Nespresso AAA por Kg (em US$)]]*60</f>
        <v>30.532963609172484</v>
      </c>
      <c r="AK1057" s="204">
        <f>Delivery[[#This Row],[Valor Prêmio Nespresso AAA por saca (em US$)]]/1.3228/100</f>
        <v>0.23082071068319085</v>
      </c>
      <c r="AL1057" s="204">
        <f>(Delivery[[#This Row],[BEN premium (total)]]/SUMIF(Allocation!C:C,Delivery[Delivery ID],Allocation!H:H))/Delivery[[#This Row],[Exchange rate for premiums VS USD]]</f>
        <v>0</v>
      </c>
      <c r="AM1057" s="204">
        <f>Delivery[[#This Row],[Valor Prêmio Nespresso BEN por Kg (em US$)]]*60</f>
        <v>0</v>
      </c>
      <c r="AN1057" s="204">
        <f>Delivery[[#This Row],[Valor Prêmio Nespresso BEN por saca (em US$)]]/1.3228/100</f>
        <v>0</v>
      </c>
      <c r="AO1057" s="204">
        <f>SUMIF(Allocation[Delivery ID],Delivery[[#This Row],[Delivery ID]],Allocation[Quantity allocated])*16*1.3228*Delivery[[#This Row],[Exchange rate VS USD]]/60</f>
        <v>10576.219314005333</v>
      </c>
      <c r="AP1057" s="204">
        <f>Delivery[[#This Row],[AAA Premium (total)]]</f>
        <v>15257.565365000002</v>
      </c>
      <c r="AQ1057" s="204">
        <f>Delivery[[#This Row],[Valor pago pelo Cluster]]-Delivery[[#This Row],[Valor efetivamente pago pela Nespresso]]</f>
        <v>4681.346050994669</v>
      </c>
    </row>
    <row r="1058" spans="1:43" ht="15.75">
      <c r="A1058" s="174" t="s">
        <v>69</v>
      </c>
      <c r="B1058" s="232" t="s">
        <v>68</v>
      </c>
      <c r="C1058" s="157">
        <v>1</v>
      </c>
      <c r="D1058" s="157" t="s">
        <v>468</v>
      </c>
      <c r="E1058" s="177" t="s">
        <v>468</v>
      </c>
      <c r="F1058" s="233" t="s">
        <v>543</v>
      </c>
      <c r="G1058" s="234">
        <v>43395</v>
      </c>
      <c r="H1058" s="157" t="s">
        <v>1161</v>
      </c>
      <c r="I1058" s="157" t="s">
        <v>1147</v>
      </c>
      <c r="J1058" s="237">
        <v>3208</v>
      </c>
      <c r="K1058" s="175" t="s">
        <v>61</v>
      </c>
      <c r="L1058" s="175" t="s">
        <v>439</v>
      </c>
      <c r="M1058" s="175" t="s">
        <v>1343</v>
      </c>
      <c r="N1058" s="198"/>
      <c r="O1058" s="199"/>
      <c r="P1058" s="181">
        <v>0</v>
      </c>
      <c r="Q1058" s="177">
        <v>43388</v>
      </c>
      <c r="R1058" s="178">
        <v>444.84223000000003</v>
      </c>
      <c r="S1058" s="179">
        <v>25933.14</v>
      </c>
      <c r="T1058" s="182" t="s">
        <v>45</v>
      </c>
      <c r="U1058" s="183">
        <v>3.7366000000000001</v>
      </c>
      <c r="V1058" s="179">
        <v>4195.4544800000003</v>
      </c>
      <c r="W1058" s="179">
        <v>0</v>
      </c>
      <c r="X1058" s="196" t="s">
        <v>45</v>
      </c>
      <c r="Y1058" s="200">
        <v>3.7366000000000001</v>
      </c>
      <c r="Z1058" s="220"/>
      <c r="AA1058" s="201">
        <f>Delivery[[#This Row],[Quantity delivered]]*VLOOKUP(Delivery[[#This Row],[Unit]],References!$U:$X,4,FALSE)*VLOOKUP(CONCATENATE(Delivery[[#This Row],[Coffee specie]],Delivery[[#This Row],[Coffee state]]),References!$U:$X,4,FALSE)</f>
        <v>3208</v>
      </c>
      <c r="AB1058" s="202">
        <f>SUMIF(Allocation!C:C,Delivery[[#This Row],[Delivery ID]],Allocation!D:D)/Delivery[[#This Row],[Quantity delivered]]</f>
        <v>0.72163341645885282</v>
      </c>
      <c r="AC1058" s="203">
        <f>Delivery[[#This Row],[Quantity delivered]]*Delivery[[#This Row],[Base price (Unidad)]]/60</f>
        <v>23784.231230666668</v>
      </c>
      <c r="AD1058" s="204">
        <f>Delivery[[#This Row],[Nespresso total]]-Delivery[[#This Row],[Qt. Delivery * Base Price]]</f>
        <v>2148.9087693333313</v>
      </c>
      <c r="AE1058" s="204">
        <f>Delivery[[#This Row],[AAA Premium (total)]]/Delivery[[#This Row],[Quantity delivered]]*60/Delivery[[#This Row],[Exchange rate VS USD]]</f>
        <v>21</v>
      </c>
      <c r="AF1058" s="204">
        <f>Delivery[[#This Row],[BEN premium (total)]]/Delivery[[#This Row],[Quantity delivered]]*60/Delivery[[#This Row],[Exchange rate for premiums VS USD]]</f>
        <v>0</v>
      </c>
      <c r="AG1058" s="204">
        <f>COUNTIF(Delivery[Delivery ID],Delivery[[#This Row],[Delivery ID]])</f>
        <v>1</v>
      </c>
      <c r="AH1058" s="204">
        <f>(Delivery[[#This Row],[Nespresso total]]/SUMIF(Allocation!C:C,Delivery[Delivery ID],Allocation!H:H))/Delivery[[#This Row],[Exchange rate VS USD]]</f>
        <v>3.1461033634166142</v>
      </c>
      <c r="AI1058" s="204">
        <f>(Delivery[[#This Row],[AAA Premium (total)]]/SUMIF(Allocation!C:C,Delivery[Delivery ID],Allocation!H:H))/Delivery[[#This Row],[Exchange rate VS USD]]</f>
        <v>0.50897552130553037</v>
      </c>
      <c r="AJ1058" s="204">
        <f>Delivery[[#This Row],[Valor Prêmio Nespresso AAA por Kg (em US$)]]*60</f>
        <v>30.538531278331821</v>
      </c>
      <c r="AK1058" s="204">
        <f>Delivery[[#This Row],[Valor Prêmio Nespresso AAA por saca (em US$)]]/1.3228/100</f>
        <v>0.23086280071312232</v>
      </c>
      <c r="AL1058" s="204">
        <f>(Delivery[[#This Row],[BEN premium (total)]]/SUMIF(Allocation!C:C,Delivery[Delivery ID],Allocation!H:H))/Delivery[[#This Row],[Exchange rate for premiums VS USD]]</f>
        <v>0</v>
      </c>
      <c r="AM1058" s="204">
        <f>Delivery[[#This Row],[Valor Prêmio Nespresso BEN por Kg (em US$)]]*60</f>
        <v>0</v>
      </c>
      <c r="AN1058" s="204">
        <f>Delivery[[#This Row],[Valor Prêmio Nespresso BEN por saca (em US$)]]/1.3228/100</f>
        <v>0</v>
      </c>
      <c r="AO1058" s="204">
        <f>SUMIF(Allocation[Delivery ID],Delivery[[#This Row],[Delivery ID]],Allocation[Quantity allocated])*16*1.3228*Delivery[[#This Row],[Exchange rate VS USD]]/60</f>
        <v>2907.6694674346663</v>
      </c>
      <c r="AP1058" s="204">
        <f>Delivery[[#This Row],[AAA Premium (total)]]</f>
        <v>4195.4544800000003</v>
      </c>
      <c r="AQ1058" s="204">
        <f>Delivery[[#This Row],[Valor pago pelo Cluster]]-Delivery[[#This Row],[Valor efetivamente pago pela Nespresso]]</f>
        <v>1287.785012565334</v>
      </c>
    </row>
    <row r="1059" spans="1:43" ht="15.75">
      <c r="A1059" s="174" t="s">
        <v>69</v>
      </c>
      <c r="B1059" s="232" t="s">
        <v>68</v>
      </c>
      <c r="C1059" s="157">
        <v>1</v>
      </c>
      <c r="D1059" s="157" t="s">
        <v>468</v>
      </c>
      <c r="E1059" s="177" t="s">
        <v>468</v>
      </c>
      <c r="F1059" s="233" t="s">
        <v>543</v>
      </c>
      <c r="G1059" s="234">
        <v>43395</v>
      </c>
      <c r="H1059" s="157" t="s">
        <v>1162</v>
      </c>
      <c r="I1059" s="157" t="s">
        <v>1147</v>
      </c>
      <c r="J1059" s="237">
        <v>30280</v>
      </c>
      <c r="K1059" s="175" t="s">
        <v>61</v>
      </c>
      <c r="L1059" s="175" t="s">
        <v>439</v>
      </c>
      <c r="M1059" s="175" t="s">
        <v>1343</v>
      </c>
      <c r="N1059" s="198"/>
      <c r="O1059" s="199"/>
      <c r="P1059" s="181">
        <v>0</v>
      </c>
      <c r="Q1059" s="177">
        <v>43388</v>
      </c>
      <c r="R1059" s="178">
        <v>444.84223000000003</v>
      </c>
      <c r="S1059" s="179">
        <v>235764</v>
      </c>
      <c r="T1059" s="182" t="s">
        <v>45</v>
      </c>
      <c r="U1059" s="183">
        <v>3.7366000000000001</v>
      </c>
      <c r="V1059" s="179">
        <v>39235</v>
      </c>
      <c r="W1059" s="179">
        <v>0</v>
      </c>
      <c r="X1059" s="196" t="s">
        <v>45</v>
      </c>
      <c r="Y1059" s="200">
        <v>3.7366000000000001</v>
      </c>
      <c r="Z1059" s="220"/>
      <c r="AA1059" s="201">
        <f>Delivery[[#This Row],[Quantity delivered]]*VLOOKUP(Delivery[[#This Row],[Unit]],References!$U:$X,4,FALSE)*VLOOKUP(CONCATENATE(Delivery[[#This Row],[Coffee specie]],Delivery[[#This Row],[Coffee state]]),References!$U:$X,4,FALSE)</f>
        <v>30280</v>
      </c>
      <c r="AB1059" s="202">
        <f>SUMIF(Allocation!C:C,Delivery[[#This Row],[Delivery ID]],Allocation!D:D)/Delivery[[#This Row],[Quantity delivered]]</f>
        <v>0.6983157199471598</v>
      </c>
      <c r="AC1059" s="203">
        <f>Delivery[[#This Row],[Quantity delivered]]*Delivery[[#This Row],[Base price (Unidad)]]/60</f>
        <v>224497.04540666667</v>
      </c>
      <c r="AD1059" s="204">
        <f>Delivery[[#This Row],[Nespresso total]]-Delivery[[#This Row],[Qt. Delivery * Base Price]]</f>
        <v>11266.954593333328</v>
      </c>
      <c r="AE1059" s="204">
        <f>Delivery[[#This Row],[AAA Premium (total)]]/Delivery[[#This Row],[Quantity delivered]]*60/Delivery[[#This Row],[Exchange rate VS USD]]</f>
        <v>20.806183624995231</v>
      </c>
      <c r="AF1059" s="204">
        <f>Delivery[[#This Row],[BEN premium (total)]]/Delivery[[#This Row],[Quantity delivered]]*60/Delivery[[#This Row],[Exchange rate for premiums VS USD]]</f>
        <v>0</v>
      </c>
      <c r="AG1059" s="204">
        <f>COUNTIF(Delivery[Delivery ID],Delivery[[#This Row],[Delivery ID]])</f>
        <v>1</v>
      </c>
      <c r="AH1059" s="204">
        <f>(Delivery[[#This Row],[Nespresso total]]/SUMIF(Allocation!C:C,Delivery[Delivery ID],Allocation!H:H))/Delivery[[#This Row],[Exchange rate VS USD]]</f>
        <v>3.1327075392900645</v>
      </c>
      <c r="AI1059" s="204">
        <f>(Delivery[[#This Row],[AAA Premium (total)]]/SUMIF(Allocation!C:C,Delivery[Delivery ID],Allocation!H:H))/Delivery[[#This Row],[Exchange rate VS USD]]</f>
        <v>0.5213339623693426</v>
      </c>
      <c r="AJ1059" s="204">
        <f>Delivery[[#This Row],[Valor Prêmio Nespresso AAA por Kg (em US$)]]*60</f>
        <v>31.280037742160555</v>
      </c>
      <c r="AK1059" s="204">
        <f>Delivery[[#This Row],[Valor Prêmio Nespresso AAA por saca (em US$)]]/1.3228/100</f>
        <v>0.23646838329422856</v>
      </c>
      <c r="AL1059" s="204">
        <f>(Delivery[[#This Row],[BEN premium (total)]]/SUMIF(Allocation!C:C,Delivery[Delivery ID],Allocation!H:H))/Delivery[[#This Row],[Exchange rate for premiums VS USD]]</f>
        <v>0</v>
      </c>
      <c r="AM1059" s="204">
        <f>Delivery[[#This Row],[Valor Prêmio Nespresso BEN por Kg (em US$)]]*60</f>
        <v>0</v>
      </c>
      <c r="AN1059" s="204">
        <f>Delivery[[#This Row],[Valor Prêmio Nespresso BEN por saca (em US$)]]/1.3228/100</f>
        <v>0</v>
      </c>
      <c r="AO1059" s="204">
        <f>SUMIF(Allocation[Delivery ID],Delivery[[#This Row],[Delivery ID]],Allocation[Quantity allocated])*16*1.3228*Delivery[[#This Row],[Exchange rate VS USD]]/60</f>
        <v>26547.312213781337</v>
      </c>
      <c r="AP1059" s="204">
        <f>Delivery[[#This Row],[AAA Premium (total)]]</f>
        <v>39235</v>
      </c>
      <c r="AQ1059" s="204">
        <f>Delivery[[#This Row],[Valor pago pelo Cluster]]-Delivery[[#This Row],[Valor efetivamente pago pela Nespresso]]</f>
        <v>12687.687786218663</v>
      </c>
    </row>
    <row r="1060" spans="1:43" ht="15.75">
      <c r="A1060" s="174" t="s">
        <v>69</v>
      </c>
      <c r="B1060" s="232" t="s">
        <v>68</v>
      </c>
      <c r="C1060" s="157">
        <v>1</v>
      </c>
      <c r="D1060" s="157" t="s">
        <v>468</v>
      </c>
      <c r="E1060" s="177" t="s">
        <v>468</v>
      </c>
      <c r="F1060" s="233" t="s">
        <v>543</v>
      </c>
      <c r="G1060" s="234">
        <v>43396</v>
      </c>
      <c r="H1060" s="157" t="s">
        <v>1699</v>
      </c>
      <c r="I1060" s="236" t="s">
        <v>1472</v>
      </c>
      <c r="J1060" s="237">
        <v>27120</v>
      </c>
      <c r="K1060" s="175" t="s">
        <v>61</v>
      </c>
      <c r="L1060" s="175" t="s">
        <v>439</v>
      </c>
      <c r="M1060" s="175" t="s">
        <v>1343</v>
      </c>
      <c r="N1060" s="198"/>
      <c r="O1060" s="199"/>
      <c r="P1060" s="181">
        <v>0</v>
      </c>
      <c r="Q1060" s="177">
        <v>43390</v>
      </c>
      <c r="R1060" s="178">
        <v>447.27793499999996</v>
      </c>
      <c r="S1060" s="179">
        <v>213789.67</v>
      </c>
      <c r="T1060" s="182" t="s">
        <v>45</v>
      </c>
      <c r="U1060" s="183">
        <v>3.7010999999999998</v>
      </c>
      <c r="V1060" s="179">
        <v>16728.52</v>
      </c>
      <c r="W1060" s="179">
        <v>0</v>
      </c>
      <c r="X1060" s="196" t="s">
        <v>45</v>
      </c>
      <c r="Y1060" s="200">
        <v>3.7010999999999998</v>
      </c>
      <c r="Z1060" s="220"/>
      <c r="AA1060" s="201">
        <f>Delivery[[#This Row],[Quantity delivered]]*VLOOKUP(Delivery[[#This Row],[Unit]],References!$U:$X,4,FALSE)*VLOOKUP(CONCATENATE(Delivery[[#This Row],[Coffee specie]],Delivery[[#This Row],[Coffee state]]),References!$U:$X,4,FALSE)</f>
        <v>27120</v>
      </c>
      <c r="AB1060" s="202">
        <f>SUMIF(Allocation!C:C,Delivery[[#This Row],[Delivery ID]],Allocation!D:D)/Delivery[[#This Row],[Quantity delivered]]</f>
        <v>0.94288348082595874</v>
      </c>
      <c r="AC1060" s="203">
        <f>Delivery[[#This Row],[Quantity delivered]]*Delivery[[#This Row],[Base price (Unidad)]]/60</f>
        <v>202169.62661999997</v>
      </c>
      <c r="AD1060" s="204">
        <f>Delivery[[#This Row],[Nespresso total]]-Delivery[[#This Row],[Qt. Delivery * Base Price]]</f>
        <v>11620.043380000046</v>
      </c>
      <c r="AE1060" s="204">
        <f>Delivery[[#This Row],[AAA Premium (total)]]/Delivery[[#This Row],[Quantity delivered]]*60/Delivery[[#This Row],[Exchange rate VS USD]]</f>
        <v>9.9997298100564702</v>
      </c>
      <c r="AF1060" s="204">
        <f>Delivery[[#This Row],[BEN premium (total)]]/Delivery[[#This Row],[Quantity delivered]]*60/Delivery[[#This Row],[Exchange rate for premiums VS USD]]</f>
        <v>0</v>
      </c>
      <c r="AG1060" s="204">
        <f>COUNTIF(Delivery[Delivery ID],Delivery[[#This Row],[Delivery ID]])</f>
        <v>1</v>
      </c>
      <c r="AH1060" s="204">
        <f>(Delivery[[#This Row],[Nespresso total]]/SUMIF(Allocation!C:C,Delivery[Delivery ID],Allocation!H:H))/Delivery[[#This Row],[Exchange rate VS USD]]</f>
        <v>5.647616236279025</v>
      </c>
      <c r="AI1060" s="204">
        <f>(Delivery[[#This Row],[AAA Premium (total)]]/SUMIF(Allocation!C:C,Delivery[Delivery ID],Allocation!H:H))/Delivery[[#This Row],[Exchange rate VS USD]]</f>
        <v>0.44191218949408728</v>
      </c>
      <c r="AJ1060" s="204">
        <f>Delivery[[#This Row],[Valor Prêmio Nespresso AAA por Kg (em US$)]]*60</f>
        <v>26.514731369645236</v>
      </c>
      <c r="AK1060" s="204">
        <f>Delivery[[#This Row],[Valor Prêmio Nespresso AAA por saca (em US$)]]/1.3228/100</f>
        <v>0.20044399281558239</v>
      </c>
      <c r="AL1060" s="204">
        <f>(Delivery[[#This Row],[BEN premium (total)]]/SUMIF(Allocation!C:C,Delivery[Delivery ID],Allocation!H:H))/Delivery[[#This Row],[Exchange rate for premiums VS USD]]</f>
        <v>0</v>
      </c>
      <c r="AM1060" s="204">
        <f>Delivery[[#This Row],[Valor Prêmio Nespresso BEN por Kg (em US$)]]*60</f>
        <v>0</v>
      </c>
      <c r="AN1060" s="204">
        <f>Delivery[[#This Row],[Valor Prêmio Nespresso BEN por saca (em US$)]]/1.3228/100</f>
        <v>0</v>
      </c>
      <c r="AO1060" s="204">
        <f>SUMIF(Allocation[Delivery ID],Delivery[[#This Row],[Delivery ID]],Allocation[Quantity allocated])*16*1.3228*Delivery[[#This Row],[Exchange rate VS USD]]/60</f>
        <v>13353.172436863999</v>
      </c>
      <c r="AP1060" s="204">
        <f>Delivery[[#This Row],[AAA Premium (total)]]</f>
        <v>16728.52</v>
      </c>
      <c r="AQ1060" s="204">
        <f>Delivery[[#This Row],[Valor pago pelo Cluster]]-Delivery[[#This Row],[Valor efetivamente pago pela Nespresso]]</f>
        <v>3375.3475631360016</v>
      </c>
    </row>
    <row r="1061" spans="1:43" ht="15.75">
      <c r="A1061" s="174" t="s">
        <v>69</v>
      </c>
      <c r="B1061" s="232" t="s">
        <v>68</v>
      </c>
      <c r="C1061" s="157">
        <v>1</v>
      </c>
      <c r="D1061" s="157" t="s">
        <v>468</v>
      </c>
      <c r="E1061" s="177" t="s">
        <v>468</v>
      </c>
      <c r="F1061" s="233" t="s">
        <v>543</v>
      </c>
      <c r="G1061" s="234">
        <v>43396</v>
      </c>
      <c r="H1061" s="157" t="s">
        <v>1700</v>
      </c>
      <c r="I1061" s="236" t="s">
        <v>1472</v>
      </c>
      <c r="J1061" s="237">
        <v>27100</v>
      </c>
      <c r="K1061" s="175" t="s">
        <v>61</v>
      </c>
      <c r="L1061" s="175" t="s">
        <v>439</v>
      </c>
      <c r="M1061" s="175" t="s">
        <v>1343</v>
      </c>
      <c r="N1061" s="198"/>
      <c r="O1061" s="199"/>
      <c r="P1061" s="181">
        <v>0</v>
      </c>
      <c r="Q1061" s="177">
        <v>43390</v>
      </c>
      <c r="R1061" s="178">
        <v>447.27793499999996</v>
      </c>
      <c r="S1061" s="179">
        <v>213789.67</v>
      </c>
      <c r="T1061" s="182" t="s">
        <v>45</v>
      </c>
      <c r="U1061" s="183">
        <v>3.7010999999999998</v>
      </c>
      <c r="V1061" s="179">
        <v>16728.52</v>
      </c>
      <c r="W1061" s="179">
        <v>0</v>
      </c>
      <c r="X1061" s="196" t="s">
        <v>45</v>
      </c>
      <c r="Y1061" s="200">
        <v>3.7010999999999998</v>
      </c>
      <c r="Z1061" s="220"/>
      <c r="AA1061" s="201">
        <f>Delivery[[#This Row],[Quantity delivered]]*VLOOKUP(Delivery[[#This Row],[Unit]],References!$U:$X,4,FALSE)*VLOOKUP(CONCATENATE(Delivery[[#This Row],[Coffee specie]],Delivery[[#This Row],[Coffee state]]),References!$U:$X,4,FALSE)</f>
        <v>27100</v>
      </c>
      <c r="AB1061" s="202">
        <f>SUMIF(Allocation!C:C,Delivery[[#This Row],[Delivery ID]],Allocation!D:D)/Delivery[[#This Row],[Quantity delivered]]</f>
        <v>0.9429151291512915</v>
      </c>
      <c r="AC1061" s="203">
        <f>Delivery[[#This Row],[Quantity delivered]]*Delivery[[#This Row],[Base price (Unidad)]]/60</f>
        <v>202020.53397499997</v>
      </c>
      <c r="AD1061" s="204">
        <f>Delivery[[#This Row],[Nespresso total]]-Delivery[[#This Row],[Qt. Delivery * Base Price]]</f>
        <v>11769.136025000043</v>
      </c>
      <c r="AE1061" s="204">
        <f>Delivery[[#This Row],[AAA Premium (total)]]/Delivery[[#This Row],[Quantity delivered]]*60/Delivery[[#This Row],[Exchange rate VS USD]]</f>
        <v>10.007109684455036</v>
      </c>
      <c r="AF1061" s="204">
        <f>Delivery[[#This Row],[BEN premium (total)]]/Delivery[[#This Row],[Quantity delivered]]*60/Delivery[[#This Row],[Exchange rate for premiums VS USD]]</f>
        <v>0</v>
      </c>
      <c r="AG1061" s="204">
        <f>COUNTIF(Delivery[Delivery ID],Delivery[[#This Row],[Delivery ID]])</f>
        <v>1</v>
      </c>
      <c r="AH1061" s="204">
        <f>(Delivery[[#This Row],[Nespresso total]]/SUMIF(Allocation!C:C,Delivery[Delivery ID],Allocation!H:H))/Delivery[[#This Row],[Exchange rate VS USD]]</f>
        <v>5.6514840881187611</v>
      </c>
      <c r="AI1061" s="204">
        <f>(Delivery[[#This Row],[AAA Premium (total)]]/SUMIF(Allocation!C:C,Delivery[Delivery ID],Allocation!H:H))/Delivery[[#This Row],[Exchange rate VS USD]]</f>
        <v>0.44221483946243267</v>
      </c>
      <c r="AJ1061" s="204">
        <f>Delivery[[#This Row],[Valor Prêmio Nespresso AAA por Kg (em US$)]]*60</f>
        <v>26.53289036774596</v>
      </c>
      <c r="AK1061" s="204">
        <f>Delivery[[#This Row],[Valor Prêmio Nespresso AAA por saca (em US$)]]/1.3228/100</f>
        <v>0.20058126978943122</v>
      </c>
      <c r="AL1061" s="204">
        <f>(Delivery[[#This Row],[BEN premium (total)]]/SUMIF(Allocation!C:C,Delivery[Delivery ID],Allocation!H:H))/Delivery[[#This Row],[Exchange rate for premiums VS USD]]</f>
        <v>0</v>
      </c>
      <c r="AM1061" s="204">
        <f>Delivery[[#This Row],[Valor Prêmio Nespresso BEN por Kg (em US$)]]*60</f>
        <v>0</v>
      </c>
      <c r="AN1061" s="204">
        <f>Delivery[[#This Row],[Valor Prêmio Nespresso BEN por saca (em US$)]]/1.3228/100</f>
        <v>0</v>
      </c>
      <c r="AO1061" s="204">
        <f>SUMIF(Allocation[Delivery ID],Delivery[[#This Row],[Delivery ID]],Allocation[Quantity allocated])*16*1.3228*Delivery[[#This Row],[Exchange rate VS USD]]/60</f>
        <v>13344.033582048</v>
      </c>
      <c r="AP1061" s="204">
        <f>Delivery[[#This Row],[AAA Premium (total)]]</f>
        <v>16728.52</v>
      </c>
      <c r="AQ1061" s="204">
        <f>Delivery[[#This Row],[Valor pago pelo Cluster]]-Delivery[[#This Row],[Valor efetivamente pago pela Nespresso]]</f>
        <v>3384.4864179520009</v>
      </c>
    </row>
    <row r="1062" spans="1:43" ht="15.75">
      <c r="A1062" s="174" t="s">
        <v>69</v>
      </c>
      <c r="B1062" s="232" t="s">
        <v>68</v>
      </c>
      <c r="C1062" s="157">
        <v>1</v>
      </c>
      <c r="D1062" s="157" t="s">
        <v>468</v>
      </c>
      <c r="E1062" s="177" t="s">
        <v>468</v>
      </c>
      <c r="F1062" s="233" t="s">
        <v>543</v>
      </c>
      <c r="G1062" s="234">
        <v>43396</v>
      </c>
      <c r="H1062" s="157" t="s">
        <v>1163</v>
      </c>
      <c r="I1062" s="157" t="s">
        <v>1164</v>
      </c>
      <c r="J1062" s="237">
        <v>32420</v>
      </c>
      <c r="K1062" s="175" t="s">
        <v>61</v>
      </c>
      <c r="L1062" s="175" t="s">
        <v>439</v>
      </c>
      <c r="M1062" s="175" t="s">
        <v>1343</v>
      </c>
      <c r="N1062" s="198"/>
      <c r="O1062" s="199"/>
      <c r="P1062" s="181">
        <v>0</v>
      </c>
      <c r="Q1062" s="177">
        <v>43388</v>
      </c>
      <c r="R1062" s="178">
        <v>445.18747500000001</v>
      </c>
      <c r="S1062" s="179">
        <v>243690.12</v>
      </c>
      <c r="T1062" s="182" t="s">
        <v>45</v>
      </c>
      <c r="U1062" s="183">
        <v>3.7395</v>
      </c>
      <c r="V1062" s="179">
        <v>14144.0355</v>
      </c>
      <c r="W1062" s="179">
        <v>0</v>
      </c>
      <c r="X1062" s="196" t="s">
        <v>45</v>
      </c>
      <c r="Y1062" s="200">
        <v>3.7395</v>
      </c>
      <c r="Z1062" s="220"/>
      <c r="AA1062" s="201">
        <f>Delivery[[#This Row],[Quantity delivered]]*VLOOKUP(Delivery[[#This Row],[Unit]],References!$U:$X,4,FALSE)*VLOOKUP(CONCATENATE(Delivery[[#This Row],[Coffee specie]],Delivery[[#This Row],[Coffee state]]),References!$U:$X,4,FALSE)</f>
        <v>32420</v>
      </c>
      <c r="AB1062" s="202">
        <f>SUMIF(Allocation!C:C,Delivery[[#This Row],[Delivery ID]],Allocation!D:D)/Delivery[[#This Row],[Quantity delivered]]</f>
        <v>1</v>
      </c>
      <c r="AC1062" s="203">
        <f>Delivery[[#This Row],[Quantity delivered]]*Delivery[[#This Row],[Base price (Unidad)]]/60</f>
        <v>240549.63232500001</v>
      </c>
      <c r="AD1062" s="204">
        <f>Delivery[[#This Row],[Nespresso total]]-Delivery[[#This Row],[Qt. Delivery * Base Price]]</f>
        <v>3140.4876749999821</v>
      </c>
      <c r="AE1062" s="204">
        <f>Delivery[[#This Row],[AAA Premium (total)]]/Delivery[[#This Row],[Quantity delivered]]*60/Delivery[[#This Row],[Exchange rate VS USD]]</f>
        <v>7</v>
      </c>
      <c r="AF1062" s="204">
        <f>Delivery[[#This Row],[BEN premium (total)]]/Delivery[[#This Row],[Quantity delivered]]*60/Delivery[[#This Row],[Exchange rate for premiums VS USD]]</f>
        <v>0</v>
      </c>
      <c r="AG1062" s="204">
        <f>COUNTIF(Delivery[Delivery ID],Delivery[[#This Row],[Delivery ID]])</f>
        <v>1</v>
      </c>
      <c r="AH1062" s="204">
        <f>(Delivery[[#This Row],[Nespresso total]]/SUMIF(Allocation!C:C,Delivery[Delivery ID],Allocation!H:H))/Delivery[[#This Row],[Exchange rate VS USD]]</f>
        <v>5.616833149021363</v>
      </c>
      <c r="AI1062" s="204">
        <f>(Delivery[[#This Row],[AAA Premium (total)]]/SUMIF(Allocation!C:C,Delivery[Delivery ID],Allocation!H:H))/Delivery[[#This Row],[Exchange rate VS USD]]</f>
        <v>0.32600701028558299</v>
      </c>
      <c r="AJ1062" s="204">
        <f>Delivery[[#This Row],[Valor Prêmio Nespresso AAA por Kg (em US$)]]*60</f>
        <v>19.56042061713498</v>
      </c>
      <c r="AK1062" s="204">
        <f>Delivery[[#This Row],[Valor Prêmio Nespresso AAA por saca (em US$)]]/1.3228/100</f>
        <v>0.14787133820029466</v>
      </c>
      <c r="AL1062" s="204">
        <f>(Delivery[[#This Row],[BEN premium (total)]]/SUMIF(Allocation!C:C,Delivery[Delivery ID],Allocation!H:H))/Delivery[[#This Row],[Exchange rate for premiums VS USD]]</f>
        <v>0</v>
      </c>
      <c r="AM1062" s="204">
        <f>Delivery[[#This Row],[Valor Prêmio Nespresso BEN por Kg (em US$)]]*60</f>
        <v>0</v>
      </c>
      <c r="AN1062" s="204">
        <f>Delivery[[#This Row],[Valor Prêmio Nespresso BEN por saca (em US$)]]/1.3228/100</f>
        <v>0</v>
      </c>
      <c r="AO1062" s="204">
        <f>SUMIF(Allocation[Delivery ID],Delivery[[#This Row],[Delivery ID]],Allocation[Quantity allocated])*16*1.3228*Delivery[[#This Row],[Exchange rate VS USD]]/60</f>
        <v>15304.15364832</v>
      </c>
      <c r="AP1062" s="204">
        <f>Delivery[[#This Row],[AAA Premium (total)]]</f>
        <v>14144.0355</v>
      </c>
      <c r="AQ1062" s="204">
        <f>Delivery[[#This Row],[Valor pago pelo Cluster]]-Delivery[[#This Row],[Valor efetivamente pago pela Nespresso]]</f>
        <v>-1160.1181483199998</v>
      </c>
    </row>
    <row r="1063" spans="1:43" ht="15.75">
      <c r="A1063" s="174" t="s">
        <v>69</v>
      </c>
      <c r="B1063" s="232" t="s">
        <v>68</v>
      </c>
      <c r="C1063" s="157">
        <v>1</v>
      </c>
      <c r="D1063" s="157" t="s">
        <v>468</v>
      </c>
      <c r="E1063" s="177" t="s">
        <v>468</v>
      </c>
      <c r="F1063" s="233" t="s">
        <v>543</v>
      </c>
      <c r="G1063" s="234">
        <v>43396</v>
      </c>
      <c r="H1063" s="157" t="s">
        <v>1165</v>
      </c>
      <c r="I1063" s="157" t="s">
        <v>1164</v>
      </c>
      <c r="J1063" s="237">
        <v>25500</v>
      </c>
      <c r="K1063" s="175" t="s">
        <v>61</v>
      </c>
      <c r="L1063" s="175" t="s">
        <v>439</v>
      </c>
      <c r="M1063" s="175" t="s">
        <v>1343</v>
      </c>
      <c r="N1063" s="198"/>
      <c r="O1063" s="199"/>
      <c r="P1063" s="181">
        <v>0</v>
      </c>
      <c r="Q1063" s="177">
        <v>43388</v>
      </c>
      <c r="R1063" s="178">
        <v>445.18747500000001</v>
      </c>
      <c r="S1063" s="179">
        <v>191793.99999999997</v>
      </c>
      <c r="T1063" s="182" t="s">
        <v>45</v>
      </c>
      <c r="U1063" s="183">
        <v>3.7395</v>
      </c>
      <c r="V1063" s="179">
        <v>11120.012500000001</v>
      </c>
      <c r="W1063" s="179">
        <v>0</v>
      </c>
      <c r="X1063" s="196" t="s">
        <v>45</v>
      </c>
      <c r="Y1063" s="200">
        <v>3.7395</v>
      </c>
      <c r="Z1063" s="220"/>
      <c r="AA1063" s="201">
        <f>Delivery[[#This Row],[Quantity delivered]]*VLOOKUP(Delivery[[#This Row],[Unit]],References!$U:$X,4,FALSE)*VLOOKUP(CONCATENATE(Delivery[[#This Row],[Coffee specie]],Delivery[[#This Row],[Coffee state]]),References!$U:$X,4,FALSE)</f>
        <v>25500</v>
      </c>
      <c r="AB1063" s="202">
        <f>SUMIF(Allocation!C:C,Delivery[[#This Row],[Delivery ID]],Allocation!D:D)/Delivery[[#This Row],[Quantity delivered]]</f>
        <v>1</v>
      </c>
      <c r="AC1063" s="203">
        <f>Delivery[[#This Row],[Quantity delivered]]*Delivery[[#This Row],[Base price (Unidad)]]/60</f>
        <v>189204.676875</v>
      </c>
      <c r="AD1063" s="204">
        <f>Delivery[[#This Row],[Nespresso total]]-Delivery[[#This Row],[Qt. Delivery * Base Price]]</f>
        <v>2589.3231249999662</v>
      </c>
      <c r="AE1063" s="204">
        <f>Delivery[[#This Row],[AAA Premium (total)]]/Delivery[[#This Row],[Quantity delivered]]*60/Delivery[[#This Row],[Exchange rate VS USD]]</f>
        <v>6.9968539361191731</v>
      </c>
      <c r="AF1063" s="204">
        <f>Delivery[[#This Row],[BEN premium (total)]]/Delivery[[#This Row],[Quantity delivered]]*60/Delivery[[#This Row],[Exchange rate for premiums VS USD]]</f>
        <v>0</v>
      </c>
      <c r="AG1063" s="204">
        <f>COUNTIF(Delivery[Delivery ID],Delivery[[#This Row],[Delivery ID]])</f>
        <v>1</v>
      </c>
      <c r="AH1063" s="204">
        <f>(Delivery[[#This Row],[Nespresso total]]/SUMIF(Allocation!C:C,Delivery[Delivery ID],Allocation!H:H))/Delivery[[#This Row],[Exchange rate VS USD]]</f>
        <v>5.6206767075665729</v>
      </c>
      <c r="AI1063" s="204">
        <f>(Delivery[[#This Row],[AAA Premium (total)]]/SUMIF(Allocation!C:C,Delivery[Delivery ID],Allocation!H:H))/Delivery[[#This Row],[Exchange rate VS USD]]</f>
        <v>0.32588086825760537</v>
      </c>
      <c r="AJ1063" s="204">
        <f>Delivery[[#This Row],[Valor Prêmio Nespresso AAA por Kg (em US$)]]*60</f>
        <v>19.552852095456323</v>
      </c>
      <c r="AK1063" s="204">
        <f>Delivery[[#This Row],[Valor Prêmio Nespresso AAA por saca (em US$)]]/1.3228/100</f>
        <v>0.14781412228194982</v>
      </c>
      <c r="AL1063" s="204">
        <f>(Delivery[[#This Row],[BEN premium (total)]]/SUMIF(Allocation!C:C,Delivery[Delivery ID],Allocation!H:H))/Delivery[[#This Row],[Exchange rate for premiums VS USD]]</f>
        <v>0</v>
      </c>
      <c r="AM1063" s="204">
        <f>Delivery[[#This Row],[Valor Prêmio Nespresso BEN por Kg (em US$)]]*60</f>
        <v>0</v>
      </c>
      <c r="AN1063" s="204">
        <f>Delivery[[#This Row],[Valor Prêmio Nespresso BEN por saca (em US$)]]/1.3228/100</f>
        <v>0</v>
      </c>
      <c r="AO1063" s="204">
        <f>SUMIF(Allocation[Delivery ID],Delivery[[#This Row],[Delivery ID]],Allocation[Quantity allocated])*16*1.3228*Delivery[[#This Row],[Exchange rate VS USD]]/60</f>
        <v>12036.752459999998</v>
      </c>
      <c r="AP1063" s="204">
        <f>Delivery[[#This Row],[AAA Premium (total)]]</f>
        <v>11120.012500000001</v>
      </c>
      <c r="AQ1063" s="204">
        <f>Delivery[[#This Row],[Valor pago pelo Cluster]]-Delivery[[#This Row],[Valor efetivamente pago pela Nespresso]]</f>
        <v>-916.73995999999715</v>
      </c>
    </row>
    <row r="1064" spans="1:43" ht="15.75">
      <c r="A1064" s="174" t="s">
        <v>69</v>
      </c>
      <c r="B1064" s="232" t="s">
        <v>68</v>
      </c>
      <c r="C1064" s="157">
        <v>1</v>
      </c>
      <c r="D1064" s="157" t="s">
        <v>468</v>
      </c>
      <c r="E1064" s="177" t="s">
        <v>468</v>
      </c>
      <c r="F1064" s="233" t="s">
        <v>543</v>
      </c>
      <c r="G1064" s="234">
        <v>43396</v>
      </c>
      <c r="H1064" s="157" t="s">
        <v>1166</v>
      </c>
      <c r="I1064" s="157" t="s">
        <v>1164</v>
      </c>
      <c r="J1064" s="237">
        <v>6960</v>
      </c>
      <c r="K1064" s="175" t="s">
        <v>61</v>
      </c>
      <c r="L1064" s="175" t="s">
        <v>439</v>
      </c>
      <c r="M1064" s="175" t="s">
        <v>1343</v>
      </c>
      <c r="N1064" s="198"/>
      <c r="O1064" s="199"/>
      <c r="P1064" s="181">
        <v>0</v>
      </c>
      <c r="Q1064" s="177">
        <v>43388</v>
      </c>
      <c r="R1064" s="178">
        <v>445.18747500000001</v>
      </c>
      <c r="S1064" s="179">
        <v>52347.399999999994</v>
      </c>
      <c r="T1064" s="182" t="s">
        <v>45</v>
      </c>
      <c r="U1064" s="183">
        <v>3.7395</v>
      </c>
      <c r="V1064" s="179">
        <v>3036.4740000000002</v>
      </c>
      <c r="W1064" s="179">
        <v>0</v>
      </c>
      <c r="X1064" s="196" t="s">
        <v>45</v>
      </c>
      <c r="Y1064" s="200">
        <v>3.7395</v>
      </c>
      <c r="Z1064" s="220"/>
      <c r="AA1064" s="201">
        <f>Delivery[[#This Row],[Quantity delivered]]*VLOOKUP(Delivery[[#This Row],[Unit]],References!$U:$X,4,FALSE)*VLOOKUP(CONCATENATE(Delivery[[#This Row],[Coffee specie]],Delivery[[#This Row],[Coffee state]]),References!$U:$X,4,FALSE)</f>
        <v>6960</v>
      </c>
      <c r="AB1064" s="202">
        <f>SUMIF(Allocation!C:C,Delivery[[#This Row],[Delivery ID]],Allocation!D:D)/Delivery[[#This Row],[Quantity delivered]]</f>
        <v>1</v>
      </c>
      <c r="AC1064" s="203">
        <f>Delivery[[#This Row],[Quantity delivered]]*Delivery[[#This Row],[Base price (Unidad)]]/60</f>
        <v>51641.747100000001</v>
      </c>
      <c r="AD1064" s="204">
        <f>Delivery[[#This Row],[Nespresso total]]-Delivery[[#This Row],[Qt. Delivery * Base Price]]</f>
        <v>705.65289999999368</v>
      </c>
      <c r="AE1064" s="204">
        <f>Delivery[[#This Row],[AAA Premium (total)]]/Delivery[[#This Row],[Quantity delivered]]*60/Delivery[[#This Row],[Exchange rate VS USD]]</f>
        <v>7</v>
      </c>
      <c r="AF1064" s="204">
        <f>Delivery[[#This Row],[BEN premium (total)]]/Delivery[[#This Row],[Quantity delivered]]*60/Delivery[[#This Row],[Exchange rate for premiums VS USD]]</f>
        <v>0</v>
      </c>
      <c r="AG1064" s="204">
        <f>COUNTIF(Delivery[Delivery ID],Delivery[[#This Row],[Delivery ID]])</f>
        <v>1</v>
      </c>
      <c r="AH1064" s="204">
        <f>(Delivery[[#This Row],[Nespresso total]]/SUMIF(Allocation!C:C,Delivery[Delivery ID],Allocation!H:H))/Delivery[[#This Row],[Exchange rate VS USD]]</f>
        <v>5.6151233347744585</v>
      </c>
      <c r="AI1064" s="204">
        <f>(Delivery[[#This Row],[AAA Premium (total)]]/SUMIF(Allocation!C:C,Delivery[Delivery ID],Allocation!H:H))/Delivery[[#This Row],[Exchange rate VS USD]]</f>
        <v>0.32571199358202968</v>
      </c>
      <c r="AJ1064" s="204">
        <f>Delivery[[#This Row],[Valor Prêmio Nespresso AAA por Kg (em US$)]]*60</f>
        <v>19.542719614921779</v>
      </c>
      <c r="AK1064" s="204">
        <f>Delivery[[#This Row],[Valor Prêmio Nespresso AAA por saca (em US$)]]/1.3228/100</f>
        <v>0.14773752354794209</v>
      </c>
      <c r="AL1064" s="204">
        <f>(Delivery[[#This Row],[BEN premium (total)]]/SUMIF(Allocation!C:C,Delivery[Delivery ID],Allocation!H:H))/Delivery[[#This Row],[Exchange rate for premiums VS USD]]</f>
        <v>0</v>
      </c>
      <c r="AM1064" s="204">
        <f>Delivery[[#This Row],[Valor Prêmio Nespresso BEN por Kg (em US$)]]*60</f>
        <v>0</v>
      </c>
      <c r="AN1064" s="204">
        <f>Delivery[[#This Row],[Valor Prêmio Nespresso BEN por saca (em US$)]]/1.3228/100</f>
        <v>0</v>
      </c>
      <c r="AO1064" s="204">
        <f>SUMIF(Allocation[Delivery ID],Delivery[[#This Row],[Delivery ID]],Allocation[Quantity allocated])*16*1.3228*Delivery[[#This Row],[Exchange rate VS USD]]/60</f>
        <v>3288.5067268799999</v>
      </c>
      <c r="AP1064" s="204">
        <f>Delivery[[#This Row],[AAA Premium (total)]]</f>
        <v>3036.4740000000002</v>
      </c>
      <c r="AQ1064" s="204">
        <f>Delivery[[#This Row],[Valor pago pelo Cluster]]-Delivery[[#This Row],[Valor efetivamente pago pela Nespresso]]</f>
        <v>-252.0327268799997</v>
      </c>
    </row>
    <row r="1065" spans="1:43" ht="15.75">
      <c r="A1065" s="174" t="s">
        <v>69</v>
      </c>
      <c r="B1065" s="232" t="s">
        <v>68</v>
      </c>
      <c r="C1065" s="157" t="s">
        <v>1344</v>
      </c>
      <c r="D1065" s="157" t="s">
        <v>468</v>
      </c>
      <c r="E1065" s="177" t="s">
        <v>468</v>
      </c>
      <c r="F1065" s="233" t="s">
        <v>543</v>
      </c>
      <c r="G1065" s="234">
        <v>43390</v>
      </c>
      <c r="H1065" s="157" t="s">
        <v>1701</v>
      </c>
      <c r="I1065" s="157" t="s">
        <v>1020</v>
      </c>
      <c r="J1065" s="237">
        <v>13832</v>
      </c>
      <c r="K1065" s="175" t="s">
        <v>61</v>
      </c>
      <c r="L1065" s="175" t="s">
        <v>439</v>
      </c>
      <c r="M1065" s="175" t="s">
        <v>1343</v>
      </c>
      <c r="N1065" s="198"/>
      <c r="O1065" s="199"/>
      <c r="P1065" s="181">
        <v>0</v>
      </c>
      <c r="Q1065" s="177">
        <v>43383</v>
      </c>
      <c r="R1065" s="178">
        <v>420.07731999999999</v>
      </c>
      <c r="S1065" s="179">
        <v>97986.9</v>
      </c>
      <c r="T1065" s="182" t="s">
        <v>45</v>
      </c>
      <c r="U1065" s="183">
        <v>3.7574000000000001</v>
      </c>
      <c r="V1065" s="179">
        <v>6048.99</v>
      </c>
      <c r="W1065" s="179">
        <v>0</v>
      </c>
      <c r="X1065" s="196" t="s">
        <v>45</v>
      </c>
      <c r="Y1065" s="200">
        <v>3.7574000000000001</v>
      </c>
      <c r="Z1065" s="220"/>
      <c r="AA1065" s="201">
        <f>Delivery[[#This Row],[Quantity delivered]]*VLOOKUP(Delivery[[#This Row],[Unit]],References!$U:$X,4,FALSE)*VLOOKUP(CONCATENATE(Delivery[[#This Row],[Coffee specie]],Delivery[[#This Row],[Coffee state]]),References!$U:$X,4,FALSE)</f>
        <v>13832</v>
      </c>
      <c r="AB1065" s="202">
        <f>SUMIF(Allocation!C:C,Delivery[[#This Row],[Delivery ID]],Allocation!D:D)/Delivery[[#This Row],[Quantity delivered]]</f>
        <v>0.78347310584152685</v>
      </c>
      <c r="AC1065" s="203">
        <f>Delivery[[#This Row],[Quantity delivered]]*Delivery[[#This Row],[Base price (Unidad)]]/60</f>
        <v>96841.824837333334</v>
      </c>
      <c r="AD1065" s="204">
        <f>Delivery[[#This Row],[Nespresso total]]-Delivery[[#This Row],[Qt. Delivery * Base Price]]</f>
        <v>1145.0751626666606</v>
      </c>
      <c r="AE1065" s="204">
        <f>Delivery[[#This Row],[AAA Premium (total)]]/Delivery[[#This Row],[Quantity delivered]]*60/Delivery[[#This Row],[Exchange rate VS USD]]</f>
        <v>6.983316177033557</v>
      </c>
      <c r="AF1065" s="204">
        <f>Delivery[[#This Row],[BEN premium (total)]]/Delivery[[#This Row],[Quantity delivered]]*60/Delivery[[#This Row],[Exchange rate for premiums VS USD]]</f>
        <v>0</v>
      </c>
      <c r="AG1065" s="204">
        <f>COUNTIF(Delivery[Delivery ID],Delivery[[#This Row],[Delivery ID]])</f>
        <v>1</v>
      </c>
      <c r="AH1065" s="204">
        <f>(Delivery[[#This Row],[Nespresso total]]/SUMIF(Allocation!C:C,Delivery[Delivery ID],Allocation!H:H))/Delivery[[#This Row],[Exchange rate VS USD]]</f>
        <v>8.0216483131648406</v>
      </c>
      <c r="AI1065" s="204">
        <f>(Delivery[[#This Row],[AAA Premium (total)]]/SUMIF(Allocation!C:C,Delivery[Delivery ID],Allocation!H:H))/Delivery[[#This Row],[Exchange rate VS USD]]</f>
        <v>0.4951975256881378</v>
      </c>
      <c r="AJ1065" s="204">
        <f>Delivery[[#This Row],[Valor Prêmio Nespresso AAA por Kg (em US$)]]*60</f>
        <v>29.711851541288269</v>
      </c>
      <c r="AK1065" s="204">
        <f>Delivery[[#This Row],[Valor Prêmio Nespresso AAA por saca (em US$)]]/1.3228/100</f>
        <v>0.22461333188152607</v>
      </c>
      <c r="AL1065" s="204">
        <f>(Delivery[[#This Row],[BEN premium (total)]]/SUMIF(Allocation!C:C,Delivery[Delivery ID],Allocation!H:H))/Delivery[[#This Row],[Exchange rate for premiums VS USD]]</f>
        <v>0</v>
      </c>
      <c r="AM1065" s="204">
        <f>Delivery[[#This Row],[Valor Prêmio Nespresso BEN por Kg (em US$)]]*60</f>
        <v>0</v>
      </c>
      <c r="AN1065" s="204">
        <f>Delivery[[#This Row],[Valor Prêmio Nespresso BEN por saca (em US$)]]/1.3228/100</f>
        <v>0</v>
      </c>
      <c r="AO1065" s="204">
        <f>SUMIF(Allocation[Delivery ID],Delivery[[#This Row],[Delivery ID]],Allocation[Quantity allocated])*16*1.3228*Delivery[[#This Row],[Exchange rate VS USD]]/60</f>
        <v>4308.9089676586673</v>
      </c>
      <c r="AP1065" s="204">
        <f>Delivery[[#This Row],[AAA Premium (total)]]</f>
        <v>6048.99</v>
      </c>
      <c r="AQ1065" s="204">
        <f>Delivery[[#This Row],[Valor pago pelo Cluster]]-Delivery[[#This Row],[Valor efetivamente pago pela Nespresso]]</f>
        <v>1740.0810323413325</v>
      </c>
    </row>
    <row r="1066" spans="1:43" ht="15.75">
      <c r="A1066" s="174" t="s">
        <v>69</v>
      </c>
      <c r="B1066" s="232" t="s">
        <v>68</v>
      </c>
      <c r="C1066" s="157" t="s">
        <v>1344</v>
      </c>
      <c r="D1066" s="157" t="s">
        <v>468</v>
      </c>
      <c r="E1066" s="177" t="s">
        <v>468</v>
      </c>
      <c r="F1066" s="233" t="s">
        <v>543</v>
      </c>
      <c r="G1066" s="234">
        <v>43390</v>
      </c>
      <c r="H1066" s="157" t="s">
        <v>1702</v>
      </c>
      <c r="I1066" s="157" t="s">
        <v>1020</v>
      </c>
      <c r="J1066" s="237">
        <v>16058</v>
      </c>
      <c r="K1066" s="175" t="s">
        <v>61</v>
      </c>
      <c r="L1066" s="175" t="s">
        <v>439</v>
      </c>
      <c r="M1066" s="175" t="s">
        <v>1343</v>
      </c>
      <c r="N1066" s="198"/>
      <c r="O1066" s="199"/>
      <c r="P1066" s="181">
        <v>0</v>
      </c>
      <c r="Q1066" s="177">
        <v>43383</v>
      </c>
      <c r="R1066" s="178">
        <v>420.07731999999999</v>
      </c>
      <c r="S1066" s="179">
        <v>113750.01</v>
      </c>
      <c r="T1066" s="182" t="s">
        <v>45</v>
      </c>
      <c r="U1066" s="183">
        <v>3.7574000000000001</v>
      </c>
      <c r="V1066" s="179">
        <v>7022.09</v>
      </c>
      <c r="W1066" s="179">
        <v>0</v>
      </c>
      <c r="X1066" s="196" t="s">
        <v>45</v>
      </c>
      <c r="Y1066" s="200">
        <v>3.7574000000000001</v>
      </c>
      <c r="Z1066" s="220"/>
      <c r="AA1066" s="201">
        <f>Delivery[[#This Row],[Quantity delivered]]*VLOOKUP(Delivery[[#This Row],[Unit]],References!$U:$X,4,FALSE)*VLOOKUP(CONCATENATE(Delivery[[#This Row],[Coffee specie]],Delivery[[#This Row],[Coffee state]]),References!$U:$X,4,FALSE)</f>
        <v>16058</v>
      </c>
      <c r="AB1066" s="202">
        <f>SUMIF(Allocation!C:C,Delivery[[#This Row],[Delivery ID]],Allocation!D:D)/Delivery[[#This Row],[Quantity delivered]]</f>
        <v>0.78303649271391207</v>
      </c>
      <c r="AC1066" s="203">
        <f>Delivery[[#This Row],[Quantity delivered]]*Delivery[[#This Row],[Base price (Unidad)]]/60</f>
        <v>112426.69340933333</v>
      </c>
      <c r="AD1066" s="204">
        <f>Delivery[[#This Row],[Nespresso total]]-Delivery[[#This Row],[Qt. Delivery * Base Price]]</f>
        <v>1323.3165906666691</v>
      </c>
      <c r="AE1066" s="204">
        <f>Delivery[[#This Row],[AAA Premium (total)]]/Delivery[[#This Row],[Quantity delivered]]*60/Delivery[[#This Row],[Exchange rate VS USD]]</f>
        <v>6.9829471826734872</v>
      </c>
      <c r="AF1066" s="204">
        <f>Delivery[[#This Row],[BEN premium (total)]]/Delivery[[#This Row],[Quantity delivered]]*60/Delivery[[#This Row],[Exchange rate for premiums VS USD]]</f>
        <v>0</v>
      </c>
      <c r="AG1066" s="204">
        <f>COUNTIF(Delivery[Delivery ID],Delivery[[#This Row],[Delivery ID]])</f>
        <v>1</v>
      </c>
      <c r="AH1066" s="204">
        <f>(Delivery[[#This Row],[Nespresso total]]/SUMIF(Allocation!C:C,Delivery[Delivery ID],Allocation!H:H))/Delivery[[#This Row],[Exchange rate VS USD]]</f>
        <v>8.0258738344879959</v>
      </c>
      <c r="AI1066" s="204">
        <f>(Delivery[[#This Row],[AAA Premium (total)]]/SUMIF(Allocation!C:C,Delivery[Delivery ID],Allocation!H:H))/Delivery[[#This Row],[Exchange rate VS USD]]</f>
        <v>0.49545849177876827</v>
      </c>
      <c r="AJ1066" s="204">
        <f>Delivery[[#This Row],[Valor Prêmio Nespresso AAA por Kg (em US$)]]*60</f>
        <v>29.727509506726097</v>
      </c>
      <c r="AK1066" s="204">
        <f>Delivery[[#This Row],[Valor Prêmio Nespresso AAA por saca (em US$)]]/1.3228/100</f>
        <v>0.2247317017442251</v>
      </c>
      <c r="AL1066" s="204">
        <f>(Delivery[[#This Row],[BEN premium (total)]]/SUMIF(Allocation!C:C,Delivery[Delivery ID],Allocation!H:H))/Delivery[[#This Row],[Exchange rate for premiums VS USD]]</f>
        <v>0</v>
      </c>
      <c r="AM1066" s="204">
        <f>Delivery[[#This Row],[Valor Prêmio Nespresso BEN por Kg (em US$)]]*60</f>
        <v>0</v>
      </c>
      <c r="AN1066" s="204">
        <f>Delivery[[#This Row],[Valor Prêmio Nespresso BEN por saca (em US$)]]/1.3228/100</f>
        <v>0</v>
      </c>
      <c r="AO1066" s="204">
        <f>SUMIF(Allocation[Delivery ID],Delivery[[#This Row],[Delivery ID]],Allocation[Quantity allocated])*16*1.3228*Delivery[[#This Row],[Exchange rate VS USD]]/60</f>
        <v>4999.4477471573337</v>
      </c>
      <c r="AP1066" s="204">
        <f>Delivery[[#This Row],[AAA Premium (total)]]</f>
        <v>7022.09</v>
      </c>
      <c r="AQ1066" s="204">
        <f>Delivery[[#This Row],[Valor pago pelo Cluster]]-Delivery[[#This Row],[Valor efetivamente pago pela Nespresso]]</f>
        <v>2022.6422528426665</v>
      </c>
    </row>
    <row r="1067" spans="1:43" ht="15.75">
      <c r="A1067" s="174" t="s">
        <v>69</v>
      </c>
      <c r="B1067" s="232" t="s">
        <v>68</v>
      </c>
      <c r="C1067" s="157" t="s">
        <v>1344</v>
      </c>
      <c r="D1067" s="157" t="s">
        <v>468</v>
      </c>
      <c r="E1067" s="177" t="s">
        <v>468</v>
      </c>
      <c r="F1067" s="240" t="s">
        <v>543</v>
      </c>
      <c r="G1067" s="234">
        <v>43388</v>
      </c>
      <c r="H1067" s="235" t="s">
        <v>1703</v>
      </c>
      <c r="I1067" s="157" t="s">
        <v>940</v>
      </c>
      <c r="J1067" s="237">
        <v>6020</v>
      </c>
      <c r="K1067" s="175" t="s">
        <v>61</v>
      </c>
      <c r="L1067" s="175" t="s">
        <v>439</v>
      </c>
      <c r="M1067" s="175" t="s">
        <v>1343</v>
      </c>
      <c r="N1067" s="198"/>
      <c r="O1067" s="199"/>
      <c r="P1067" s="181">
        <v>0</v>
      </c>
      <c r="Q1067" s="177">
        <v>43381</v>
      </c>
      <c r="R1067" s="178">
        <v>422.56646999999998</v>
      </c>
      <c r="S1067" s="179">
        <v>43596</v>
      </c>
      <c r="T1067" s="182" t="s">
        <v>45</v>
      </c>
      <c r="U1067" s="183">
        <v>3.7746</v>
      </c>
      <c r="V1067" s="179">
        <v>2642</v>
      </c>
      <c r="W1067" s="179">
        <v>0</v>
      </c>
      <c r="X1067" s="196" t="s">
        <v>45</v>
      </c>
      <c r="Y1067" s="200">
        <v>3.7746</v>
      </c>
      <c r="Z1067" s="221"/>
      <c r="AA1067" s="201">
        <f>Delivery[[#This Row],[Quantity delivered]]*VLOOKUP(Delivery[[#This Row],[Unit]],References!$U:$X,4,FALSE)*VLOOKUP(CONCATENATE(Delivery[[#This Row],[Coffee specie]],Delivery[[#This Row],[Coffee state]]),References!$U:$X,4,FALSE)</f>
        <v>6020</v>
      </c>
      <c r="AB1067" s="202">
        <f>SUMIF(Allocation!C:C,Delivery[[#This Row],[Delivery ID]],Allocation!D:D)/Delivery[[#This Row],[Quantity delivered]]</f>
        <v>0.4303986710963455</v>
      </c>
      <c r="AC1067" s="203">
        <f>Delivery[[#This Row],[Quantity delivered]]*Delivery[[#This Row],[Base price (Unidad)]]/60</f>
        <v>42397.502489999999</v>
      </c>
      <c r="AD1067" s="204">
        <f>Delivery[[#This Row],[Nespresso total]]-Delivery[[#This Row],[Qt. Delivery * Base Price]]</f>
        <v>1198.4975100000011</v>
      </c>
      <c r="AE1067" s="204">
        <f>Delivery[[#This Row],[AAA Premium (total)]]/Delivery[[#This Row],[Quantity delivered]]*60/Delivery[[#This Row],[Exchange rate VS USD]]</f>
        <v>6.9761632791875332</v>
      </c>
      <c r="AF1067" s="204">
        <f>Delivery[[#This Row],[BEN premium (total)]]/Delivery[[#This Row],[Quantity delivered]]*60/Delivery[[#This Row],[Exchange rate for premiums VS USD]]</f>
        <v>0</v>
      </c>
      <c r="AG1067" s="204">
        <f>COUNTIF(Delivery[Delivery ID],Delivery[[#This Row],[Delivery ID]])</f>
        <v>1</v>
      </c>
      <c r="AH1067" s="204">
        <f>(Delivery[[#This Row],[Nespresso total]]/SUMIF(Allocation!C:C,Delivery[Delivery ID],Allocation!H:H))/Delivery[[#This Row],[Exchange rate VS USD]]</f>
        <v>13.109912707034589</v>
      </c>
      <c r="AI1067" s="204">
        <f>(Delivery[[#This Row],[AAA Premium (total)]]/SUMIF(Allocation!C:C,Delivery[Delivery ID],Allocation!H:H))/Delivery[[#This Row],[Exchange rate VS USD]]</f>
        <v>0.79448548885185299</v>
      </c>
      <c r="AJ1067" s="204">
        <f>Delivery[[#This Row],[Valor Prêmio Nespresso AAA por Kg (em US$)]]*60</f>
        <v>47.669129331111179</v>
      </c>
      <c r="AK1067" s="204">
        <f>Delivery[[#This Row],[Valor Prêmio Nespresso AAA por saca (em US$)]]/1.3228/100</f>
        <v>0.36036535629808875</v>
      </c>
      <c r="AL1067" s="204">
        <f>(Delivery[[#This Row],[BEN premium (total)]]/SUMIF(Allocation!C:C,Delivery[Delivery ID],Allocation!H:H))/Delivery[[#This Row],[Exchange rate for premiums VS USD]]</f>
        <v>0</v>
      </c>
      <c r="AM1067" s="204">
        <f>Delivery[[#This Row],[Valor Prêmio Nespresso BEN por Kg (em US$)]]*60</f>
        <v>0</v>
      </c>
      <c r="AN1067" s="204">
        <f>Delivery[[#This Row],[Valor Prêmio Nespresso BEN por saca (em US$)]]/1.3228/100</f>
        <v>0</v>
      </c>
      <c r="AO1067" s="204">
        <f>SUMIF(Allocation[Delivery ID],Delivery[[#This Row],[Delivery ID]],Allocation[Quantity allocated])*16*1.3228*Delivery[[#This Row],[Exchange rate VS USD]]/60</f>
        <v>1173.031737408</v>
      </c>
      <c r="AP1067" s="204">
        <f>Delivery[[#This Row],[AAA Premium (total)]]</f>
        <v>2642</v>
      </c>
      <c r="AQ1067" s="204">
        <f>Delivery[[#This Row],[Valor pago pelo Cluster]]-Delivery[[#This Row],[Valor efetivamente pago pela Nespresso]]</f>
        <v>1468.968262592</v>
      </c>
    </row>
    <row r="1068" spans="1:43" ht="15.75">
      <c r="A1068" s="174" t="s">
        <v>69</v>
      </c>
      <c r="B1068" s="232" t="s">
        <v>68</v>
      </c>
      <c r="C1068" s="157">
        <v>1</v>
      </c>
      <c r="D1068" s="157" t="s">
        <v>468</v>
      </c>
      <c r="E1068" s="177" t="s">
        <v>468</v>
      </c>
      <c r="F1068" s="233" t="s">
        <v>543</v>
      </c>
      <c r="G1068" s="234">
        <v>43396</v>
      </c>
      <c r="H1068" s="157" t="s">
        <v>1704</v>
      </c>
      <c r="I1068" s="236" t="s">
        <v>1472</v>
      </c>
      <c r="J1068" s="237">
        <v>27110</v>
      </c>
      <c r="K1068" s="175" t="s">
        <v>61</v>
      </c>
      <c r="L1068" s="175" t="s">
        <v>439</v>
      </c>
      <c r="M1068" s="175" t="s">
        <v>1343</v>
      </c>
      <c r="N1068" s="198"/>
      <c r="O1068" s="199"/>
      <c r="P1068" s="181">
        <v>0</v>
      </c>
      <c r="Q1068" s="177">
        <v>43390</v>
      </c>
      <c r="R1068" s="178">
        <v>447.27793499999996</v>
      </c>
      <c r="S1068" s="179">
        <v>213789.67</v>
      </c>
      <c r="T1068" s="182" t="s">
        <v>45</v>
      </c>
      <c r="U1068" s="183">
        <v>3.7010999999999998</v>
      </c>
      <c r="V1068" s="179">
        <v>16728.52</v>
      </c>
      <c r="W1068" s="179">
        <v>0</v>
      </c>
      <c r="X1068" s="196" t="s">
        <v>45</v>
      </c>
      <c r="Y1068" s="200">
        <v>3.7010999999999998</v>
      </c>
      <c r="Z1068" s="220"/>
      <c r="AA1068" s="201">
        <f>Delivery[[#This Row],[Quantity delivered]]*VLOOKUP(Delivery[[#This Row],[Unit]],References!$U:$X,4,FALSE)*VLOOKUP(CONCATENATE(Delivery[[#This Row],[Coffee specie]],Delivery[[#This Row],[Coffee state]]),References!$U:$X,4,FALSE)</f>
        <v>27110</v>
      </c>
      <c r="AB1068" s="202">
        <f>SUMIF(Allocation!C:C,Delivery[[#This Row],[Delivery ID]],Allocation!D:D)/Delivery[[#This Row],[Quantity delivered]]</f>
        <v>0.94286241239395052</v>
      </c>
      <c r="AC1068" s="203">
        <f>Delivery[[#This Row],[Quantity delivered]]*Delivery[[#This Row],[Base price (Unidad)]]/60</f>
        <v>202095.08029749998</v>
      </c>
      <c r="AD1068" s="204">
        <f>Delivery[[#This Row],[Nespresso total]]-Delivery[[#This Row],[Qt. Delivery * Base Price]]</f>
        <v>11694.58970250003</v>
      </c>
      <c r="AE1068" s="204">
        <f>Delivery[[#This Row],[AAA Premium (total)]]/Delivery[[#This Row],[Quantity delivered]]*60/Delivery[[#This Row],[Exchange rate VS USD]]</f>
        <v>10.003418386157559</v>
      </c>
      <c r="AF1068" s="204">
        <f>Delivery[[#This Row],[BEN premium (total)]]/Delivery[[#This Row],[Quantity delivered]]*60/Delivery[[#This Row],[Exchange rate for premiums VS USD]]</f>
        <v>0</v>
      </c>
      <c r="AG1068" s="204">
        <f>COUNTIF(Delivery[Delivery ID],Delivery[[#This Row],[Delivery ID]])</f>
        <v>1</v>
      </c>
      <c r="AH1068" s="204">
        <f>(Delivery[[#This Row],[Nespresso total]]/SUMIF(Allocation!C:C,Delivery[Delivery ID],Allocation!H:H))/Delivery[[#This Row],[Exchange rate VS USD]]</f>
        <v>5.6498257887971306</v>
      </c>
      <c r="AI1068" s="204">
        <f>(Delivery[[#This Row],[AAA Premium (total)]]/SUMIF(Allocation!C:C,Delivery[Delivery ID],Allocation!H:H))/Delivery[[#This Row],[Exchange rate VS USD]]</f>
        <v>0.44208508158700355</v>
      </c>
      <c r="AJ1068" s="204">
        <f>Delivery[[#This Row],[Valor Prêmio Nespresso AAA por Kg (em US$)]]*60</f>
        <v>26.525104895220213</v>
      </c>
      <c r="AK1068" s="204">
        <f>Delivery[[#This Row],[Valor Prêmio Nespresso AAA por saca (em US$)]]/1.3228/100</f>
        <v>0.20052241378303759</v>
      </c>
      <c r="AL1068" s="204">
        <f>(Delivery[[#This Row],[BEN premium (total)]]/SUMIF(Allocation!C:C,Delivery[Delivery ID],Allocation!H:H))/Delivery[[#This Row],[Exchange rate for premiums VS USD]]</f>
        <v>0</v>
      </c>
      <c r="AM1068" s="204">
        <f>Delivery[[#This Row],[Valor Prêmio Nespresso BEN por Kg (em US$)]]*60</f>
        <v>0</v>
      </c>
      <c r="AN1068" s="204">
        <f>Delivery[[#This Row],[Valor Prêmio Nespresso BEN por saca (em US$)]]/1.3228/100</f>
        <v>0</v>
      </c>
      <c r="AO1068" s="204">
        <f>SUMIF(Allocation[Delivery ID],Delivery[[#This Row],[Delivery ID]],Allocation[Quantity allocated])*16*1.3228*Delivery[[#This Row],[Exchange rate VS USD]]/60</f>
        <v>13347.950234111999</v>
      </c>
      <c r="AP1068" s="204">
        <f>Delivery[[#This Row],[AAA Premium (total)]]</f>
        <v>16728.52</v>
      </c>
      <c r="AQ1068" s="204">
        <f>Delivery[[#This Row],[Valor pago pelo Cluster]]-Delivery[[#This Row],[Valor efetivamente pago pela Nespresso]]</f>
        <v>3380.5697658880017</v>
      </c>
    </row>
    <row r="1069" spans="1:43" ht="15.75">
      <c r="A1069" s="174" t="s">
        <v>69</v>
      </c>
      <c r="B1069" s="232" t="s">
        <v>68</v>
      </c>
      <c r="C1069" s="157">
        <v>1</v>
      </c>
      <c r="D1069" s="157" t="s">
        <v>468</v>
      </c>
      <c r="E1069" s="177" t="s">
        <v>468</v>
      </c>
      <c r="F1069" s="233" t="s">
        <v>543</v>
      </c>
      <c r="G1069" s="234">
        <v>43398</v>
      </c>
      <c r="H1069" s="160" t="s">
        <v>1705</v>
      </c>
      <c r="I1069" s="236" t="s">
        <v>1706</v>
      </c>
      <c r="J1069" s="237">
        <v>32570</v>
      </c>
      <c r="K1069" s="175" t="s">
        <v>61</v>
      </c>
      <c r="L1069" s="175" t="s">
        <v>439</v>
      </c>
      <c r="M1069" s="175" t="s">
        <v>1343</v>
      </c>
      <c r="N1069" s="198"/>
      <c r="O1069" s="199"/>
      <c r="P1069" s="181">
        <v>0</v>
      </c>
      <c r="Q1069" s="177">
        <v>43391</v>
      </c>
      <c r="R1069" s="178">
        <v>453.33693</v>
      </c>
      <c r="S1069" s="179">
        <v>233933.98906198138</v>
      </c>
      <c r="T1069" s="182" t="s">
        <v>45</v>
      </c>
      <c r="U1069" s="183">
        <v>3.7174</v>
      </c>
      <c r="V1069" s="179">
        <v>14125.500433333333</v>
      </c>
      <c r="W1069" s="179">
        <v>4416.6109380186199</v>
      </c>
      <c r="X1069" s="196" t="s">
        <v>45</v>
      </c>
      <c r="Y1069" s="200">
        <v>3.7174</v>
      </c>
      <c r="Z1069" s="220" t="s">
        <v>473</v>
      </c>
      <c r="AA1069" s="201">
        <f>Delivery[[#This Row],[Quantity delivered]]*VLOOKUP(Delivery[[#This Row],[Unit]],References!$U:$X,4,FALSE)*VLOOKUP(CONCATENATE(Delivery[[#This Row],[Coffee specie]],Delivery[[#This Row],[Coffee state]]),References!$U:$X,4,FALSE)</f>
        <v>32570</v>
      </c>
      <c r="AB1069" s="202">
        <f>SUMIF(Allocation!C:C,Delivery[[#This Row],[Delivery ID]],Allocation!D:D)/Delivery[[#This Row],[Quantity delivered]]</f>
        <v>0.386951182069389</v>
      </c>
      <c r="AC1069" s="203">
        <f>Delivery[[#This Row],[Quantity delivered]]*Delivery[[#This Row],[Base price (Unidad)]]/60</f>
        <v>246086.39683499999</v>
      </c>
      <c r="AD1069" s="204">
        <f>Delivery[[#This Row],[Nespresso total]]-Delivery[[#This Row],[Qt. Delivery * Base Price]]</f>
        <v>-12152.407773018611</v>
      </c>
      <c r="AE1069" s="204">
        <f>Delivery[[#This Row],[AAA Premium (total)]]/Delivery[[#This Row],[Quantity delivered]]*60/Delivery[[#This Row],[Exchange rate VS USD]]</f>
        <v>7</v>
      </c>
      <c r="AF1069" s="204">
        <f>Delivery[[#This Row],[BEN premium (total)]]/Delivery[[#This Row],[Quantity delivered]]*60/Delivery[[#This Row],[Exchange rate for premiums VS USD]]</f>
        <v>2.1886854000000002</v>
      </c>
      <c r="AG1069" s="204">
        <f>COUNTIF(Delivery[Delivery ID],Delivery[[#This Row],[Delivery ID]])</f>
        <v>1</v>
      </c>
      <c r="AH1069" s="204">
        <f>(Delivery[[#This Row],[Nespresso total]]/SUMIF(Allocation!C:C,Delivery[Delivery ID],Allocation!H:H))/Delivery[[#This Row],[Exchange rate VS USD]]</f>
        <v>15.130912211895273</v>
      </c>
      <c r="AI1069" s="204">
        <f>(Delivery[[#This Row],[AAA Premium (total)]]/SUMIF(Allocation!C:C,Delivery[Delivery ID],Allocation!H:H))/Delivery[[#This Row],[Exchange rate VS USD]]</f>
        <v>0.91364109962330675</v>
      </c>
      <c r="AJ1069" s="204">
        <f>Delivery[[#This Row],[Valor Prêmio Nespresso AAA por Kg (em US$)]]*60</f>
        <v>54.818465977398404</v>
      </c>
      <c r="AK1069" s="204">
        <f>Delivery[[#This Row],[Valor Prêmio Nespresso AAA por saca (em US$)]]/1.3228/100</f>
        <v>0.41441235241456309</v>
      </c>
      <c r="AL1069" s="204">
        <f>(Delivery[[#This Row],[BEN premium (total)]]/SUMIF(Allocation!C:C,Delivery[Delivery ID],Allocation!H:H))/Delivery[[#This Row],[Exchange rate for premiums VS USD]]</f>
        <v>0.28566756222649675</v>
      </c>
      <c r="AM1069" s="204">
        <f>Delivery[[#This Row],[Valor Prêmio Nespresso BEN por Kg (em US$)]]*60</f>
        <v>17.140053733589806</v>
      </c>
      <c r="AN1069" s="204">
        <f>Delivery[[#This Row],[Valor Prêmio Nespresso BEN por saca (em US$)]]/1.3228/100</f>
        <v>0.12957403790134417</v>
      </c>
      <c r="AO1069" s="204">
        <f>SUMIF(Allocation[Delivery ID],Delivery[[#This Row],[Delivery ID]],Allocation[Quantity allocated])*16*1.3228*Delivery[[#This Row],[Exchange rate VS USD]]/60</f>
        <v>5453.6986075946661</v>
      </c>
      <c r="AP1069" s="204">
        <f>Delivery[[#This Row],[AAA Premium (total)]]</f>
        <v>14125.500433333333</v>
      </c>
      <c r="AQ1069" s="204">
        <f>Delivery[[#This Row],[Valor pago pelo Cluster]]-Delivery[[#This Row],[Valor efetivamente pago pela Nespresso]]</f>
        <v>8671.8018257386666</v>
      </c>
    </row>
    <row r="1070" spans="1:43" ht="15.75">
      <c r="A1070" s="174" t="s">
        <v>69</v>
      </c>
      <c r="B1070" s="232" t="s">
        <v>68</v>
      </c>
      <c r="C1070" s="157">
        <v>1</v>
      </c>
      <c r="D1070" s="157" t="s">
        <v>468</v>
      </c>
      <c r="E1070" s="177" t="s">
        <v>468</v>
      </c>
      <c r="F1070" s="233" t="s">
        <v>543</v>
      </c>
      <c r="G1070" s="234">
        <v>43398</v>
      </c>
      <c r="H1070" s="160" t="s">
        <v>1707</v>
      </c>
      <c r="I1070" s="236" t="s">
        <v>1706</v>
      </c>
      <c r="J1070" s="237">
        <v>32927.5</v>
      </c>
      <c r="K1070" s="175" t="s">
        <v>61</v>
      </c>
      <c r="L1070" s="175" t="s">
        <v>439</v>
      </c>
      <c r="M1070" s="175" t="s">
        <v>1343</v>
      </c>
      <c r="N1070" s="198"/>
      <c r="O1070" s="199"/>
      <c r="P1070" s="181">
        <v>0</v>
      </c>
      <c r="Q1070" s="177">
        <v>43391</v>
      </c>
      <c r="R1070" s="178">
        <v>453.33693</v>
      </c>
      <c r="S1070" s="179">
        <v>236092.46075647502</v>
      </c>
      <c r="T1070" s="182" t="s">
        <v>45</v>
      </c>
      <c r="U1070" s="183">
        <v>3.7174</v>
      </c>
      <c r="V1070" s="179">
        <v>14280.546991666666</v>
      </c>
      <c r="W1070" s="179">
        <v>4465.0892435249643</v>
      </c>
      <c r="X1070" s="196" t="s">
        <v>45</v>
      </c>
      <c r="Y1070" s="200">
        <v>3.7174</v>
      </c>
      <c r="Z1070" s="220" t="s">
        <v>473</v>
      </c>
      <c r="AA1070" s="201">
        <f>Delivery[[#This Row],[Quantity delivered]]*VLOOKUP(Delivery[[#This Row],[Unit]],References!$U:$X,4,FALSE)*VLOOKUP(CONCATENATE(Delivery[[#This Row],[Coffee specie]],Delivery[[#This Row],[Coffee state]]),References!$U:$X,4,FALSE)</f>
        <v>32927.5</v>
      </c>
      <c r="AB1070" s="202">
        <f>SUMIF(Allocation!C:C,Delivery[[#This Row],[Delivery ID]],Allocation!D:D)/Delivery[[#This Row],[Quantity delivered]]</f>
        <v>0.38688026725381519</v>
      </c>
      <c r="AC1070" s="203">
        <f>Delivery[[#This Row],[Quantity delivered]]*Delivery[[#This Row],[Base price (Unidad)]]/60</f>
        <v>248787.52937625002</v>
      </c>
      <c r="AD1070" s="204">
        <f>Delivery[[#This Row],[Nespresso total]]-Delivery[[#This Row],[Qt. Delivery * Base Price]]</f>
        <v>-12695.068619775004</v>
      </c>
      <c r="AE1070" s="204">
        <f>Delivery[[#This Row],[AAA Premium (total)]]/Delivery[[#This Row],[Quantity delivered]]*60/Delivery[[#This Row],[Exchange rate VS USD]]</f>
        <v>7</v>
      </c>
      <c r="AF1070" s="204">
        <f>Delivery[[#This Row],[BEN premium (total)]]/Delivery[[#This Row],[Quantity delivered]]*60/Delivery[[#This Row],[Exchange rate for premiums VS USD]]</f>
        <v>2.1886853999999998</v>
      </c>
      <c r="AG1070" s="204">
        <f>COUNTIF(Delivery[Delivery ID],Delivery[[#This Row],[Delivery ID]])</f>
        <v>1</v>
      </c>
      <c r="AH1070" s="204">
        <f>(Delivery[[#This Row],[Nespresso total]]/SUMIF(Allocation!C:C,Delivery[Delivery ID],Allocation!H:H))/Delivery[[#This Row],[Exchange rate VS USD]]</f>
        <v>15.107065661158455</v>
      </c>
      <c r="AI1070" s="204">
        <f>(Delivery[[#This Row],[AAA Premium (total)]]/SUMIF(Allocation!C:C,Delivery[Delivery ID],Allocation!H:H))/Delivery[[#This Row],[Exchange rate VS USD]]</f>
        <v>0.91378250872185218</v>
      </c>
      <c r="AJ1070" s="204">
        <f>Delivery[[#This Row],[Valor Prêmio Nespresso AAA por Kg (em US$)]]*60</f>
        <v>54.826950523311133</v>
      </c>
      <c r="AK1070" s="204">
        <f>Delivery[[#This Row],[Valor Prêmio Nespresso AAA por saca (em US$)]]/1.3228/100</f>
        <v>0.41447649322128166</v>
      </c>
      <c r="AL1070" s="204">
        <f>(Delivery[[#This Row],[BEN premium (total)]]/SUMIF(Allocation!C:C,Delivery[Delivery ID],Allocation!H:H))/Delivery[[#This Row],[Exchange rate for premiums VS USD]]</f>
        <v>0.28571177651641289</v>
      </c>
      <c r="AM1070" s="204">
        <f>Delivery[[#This Row],[Valor Prêmio Nespresso BEN por Kg (em US$)]]*60</f>
        <v>17.142706590984773</v>
      </c>
      <c r="AN1070" s="204">
        <f>Delivery[[#This Row],[Valor Prêmio Nespresso BEN por saca (em US$)]]/1.3228/100</f>
        <v>0.12959409276523112</v>
      </c>
      <c r="AO1070" s="204">
        <f>SUMIF(Allocation[Delivery ID],Delivery[[#This Row],[Delivery ID]],Allocation[Quantity allocated])*16*1.3228*Delivery[[#This Row],[Exchange rate VS USD]]/60</f>
        <v>5512.7071282346669</v>
      </c>
      <c r="AP1070" s="204">
        <f>Delivery[[#This Row],[AAA Premium (total)]]</f>
        <v>14280.546991666666</v>
      </c>
      <c r="AQ1070" s="204">
        <f>Delivery[[#This Row],[Valor pago pelo Cluster]]-Delivery[[#This Row],[Valor efetivamente pago pela Nespresso]]</f>
        <v>8767.8398634320001</v>
      </c>
    </row>
    <row r="1071" spans="1:43" ht="15.75">
      <c r="A1071" s="174" t="s">
        <v>69</v>
      </c>
      <c r="B1071" s="232" t="s">
        <v>68</v>
      </c>
      <c r="C1071" s="157">
        <v>1</v>
      </c>
      <c r="D1071" s="157" t="s">
        <v>468</v>
      </c>
      <c r="E1071" s="177" t="s">
        <v>468</v>
      </c>
      <c r="F1071" s="233" t="s">
        <v>543</v>
      </c>
      <c r="G1071" s="234">
        <v>43399</v>
      </c>
      <c r="H1071" s="157" t="s">
        <v>1708</v>
      </c>
      <c r="I1071" s="236" t="s">
        <v>634</v>
      </c>
      <c r="J1071" s="237">
        <v>29730</v>
      </c>
      <c r="K1071" s="175" t="s">
        <v>61</v>
      </c>
      <c r="L1071" s="175" t="s">
        <v>439</v>
      </c>
      <c r="M1071" s="175" t="s">
        <v>1343</v>
      </c>
      <c r="N1071" s="198"/>
      <c r="O1071" s="199"/>
      <c r="P1071" s="181">
        <v>0</v>
      </c>
      <c r="Q1071" s="177">
        <v>42867</v>
      </c>
      <c r="R1071" s="178">
        <v>519.17999999999995</v>
      </c>
      <c r="S1071" s="179">
        <v>263431.9288242</v>
      </c>
      <c r="T1071" s="182" t="s">
        <v>45</v>
      </c>
      <c r="U1071" s="183">
        <v>3.4</v>
      </c>
      <c r="V1071" s="179">
        <v>11900</v>
      </c>
      <c r="W1071" s="179">
        <v>3352.0711757999998</v>
      </c>
      <c r="X1071" s="196" t="s">
        <v>45</v>
      </c>
      <c r="Y1071" s="200">
        <v>3.4</v>
      </c>
      <c r="Z1071" s="220" t="s">
        <v>473</v>
      </c>
      <c r="AA1071" s="201">
        <f>Delivery[[#This Row],[Quantity delivered]]*VLOOKUP(Delivery[[#This Row],[Unit]],References!$U:$X,4,FALSE)*VLOOKUP(CONCATENATE(Delivery[[#This Row],[Coffee specie]],Delivery[[#This Row],[Coffee state]]),References!$U:$X,4,FALSE)</f>
        <v>29730</v>
      </c>
      <c r="AB1071" s="202">
        <f>SUMIF(Allocation!C:C,Delivery[[#This Row],[Delivery ID]],Allocation!D:D)/Delivery[[#This Row],[Quantity delivered]]</f>
        <v>0.74604776320215271</v>
      </c>
      <c r="AC1071" s="203">
        <f>Delivery[[#This Row],[Quantity delivered]]*Delivery[[#This Row],[Base price (Unidad)]]/60</f>
        <v>257253.68999999997</v>
      </c>
      <c r="AD1071" s="204">
        <f>Delivery[[#This Row],[Nespresso total]]-Delivery[[#This Row],[Qt. Delivery * Base Price]]</f>
        <v>6178.2388242000306</v>
      </c>
      <c r="AE1071" s="204">
        <f>Delivery[[#This Row],[AAA Premium (total)]]/Delivery[[#This Row],[Quantity delivered]]*60/Delivery[[#This Row],[Exchange rate VS USD]]</f>
        <v>7.0635721493440968</v>
      </c>
      <c r="AF1071" s="204">
        <f>Delivery[[#This Row],[BEN premium (total)]]/Delivery[[#This Row],[Quantity delivered]]*60/Delivery[[#This Row],[Exchange rate for premiums VS USD]]</f>
        <v>1.989714</v>
      </c>
      <c r="AG1071" s="204">
        <f>COUNTIF(Delivery[Delivery ID],Delivery[[#This Row],[Delivery ID]])</f>
        <v>1</v>
      </c>
      <c r="AH1071" s="204">
        <f>(Delivery[[#This Row],[Nespresso total]]/SUMIF(Allocation!C:C,Delivery[Delivery ID],Allocation!H:H))/Delivery[[#This Row],[Exchange rate VS USD]]</f>
        <v>11.644120689200658</v>
      </c>
      <c r="AI1071" s="204">
        <f>(Delivery[[#This Row],[AAA Premium (total)]]/SUMIF(Allocation!C:C,Delivery[Delivery ID],Allocation!H:H))/Delivery[[#This Row],[Exchange rate VS USD]]</f>
        <v>0.52599939885782987</v>
      </c>
      <c r="AJ1071" s="204">
        <f>Delivery[[#This Row],[Valor Prêmio Nespresso AAA por Kg (em US$)]]*60</f>
        <v>31.559963931469792</v>
      </c>
      <c r="AK1071" s="204">
        <f>Delivery[[#This Row],[Valor Prêmio Nespresso AAA por saca (em US$)]]/1.3228/100</f>
        <v>0.23858454741056692</v>
      </c>
      <c r="AL1071" s="204">
        <f>(Delivery[[#This Row],[BEN premium (total)]]/SUMIF(Allocation!C:C,Delivery[Delivery ID],Allocation!H:H))/Delivery[[#This Row],[Exchange rate for premiums VS USD]]</f>
        <v>0.14816701036970242</v>
      </c>
      <c r="AM1071" s="204">
        <f>Delivery[[#This Row],[Valor Prêmio Nespresso BEN por Kg (em US$)]]*60</f>
        <v>8.8900206221821456</v>
      </c>
      <c r="AN1071" s="204">
        <f>Delivery[[#This Row],[Valor Prêmio Nespresso BEN por saca (em US$)]]/1.3228/100</f>
        <v>6.7206082719852928E-2</v>
      </c>
      <c r="AO1071" s="204">
        <f>SUMIF(Allocation[Delivery ID],Delivery[[#This Row],[Delivery ID]],Allocation[Quantity allocated])*16*1.3228*Delivery[[#This Row],[Exchange rate VS USD]]/60</f>
        <v>7980.399488</v>
      </c>
      <c r="AP1071" s="204">
        <f>Delivery[[#This Row],[AAA Premium (total)]]</f>
        <v>11900</v>
      </c>
      <c r="AQ1071" s="204">
        <f>Delivery[[#This Row],[Valor pago pelo Cluster]]-Delivery[[#This Row],[Valor efetivamente pago pela Nespresso]]</f>
        <v>3919.600512</v>
      </c>
    </row>
    <row r="1072" spans="1:43" ht="15.75">
      <c r="A1072" s="174" t="s">
        <v>69</v>
      </c>
      <c r="B1072" s="232" t="s">
        <v>68</v>
      </c>
      <c r="C1072" s="157">
        <v>1</v>
      </c>
      <c r="D1072" s="157" t="s">
        <v>468</v>
      </c>
      <c r="E1072" s="177" t="s">
        <v>468</v>
      </c>
      <c r="F1072" s="233" t="s">
        <v>543</v>
      </c>
      <c r="G1072" s="234">
        <v>43399</v>
      </c>
      <c r="H1072" s="157" t="s">
        <v>1709</v>
      </c>
      <c r="I1072" s="236" t="s">
        <v>634</v>
      </c>
      <c r="J1072" s="237">
        <v>30020</v>
      </c>
      <c r="K1072" s="175" t="s">
        <v>61</v>
      </c>
      <c r="L1072" s="175" t="s">
        <v>439</v>
      </c>
      <c r="M1072" s="175" t="s">
        <v>1343</v>
      </c>
      <c r="N1072" s="198"/>
      <c r="O1072" s="199"/>
      <c r="P1072" s="181">
        <v>0</v>
      </c>
      <c r="Q1072" s="177">
        <v>42867</v>
      </c>
      <c r="R1072" s="178">
        <v>519.17999999999995</v>
      </c>
      <c r="S1072" s="179">
        <v>263399.23119080003</v>
      </c>
      <c r="T1072" s="182" t="s">
        <v>45</v>
      </c>
      <c r="U1072" s="183">
        <v>3.4</v>
      </c>
      <c r="V1072" s="179">
        <v>11900</v>
      </c>
      <c r="W1072" s="179">
        <v>3384.7688091999999</v>
      </c>
      <c r="X1072" s="196" t="s">
        <v>45</v>
      </c>
      <c r="Y1072" s="200">
        <v>3.4</v>
      </c>
      <c r="Z1072" s="220" t="s">
        <v>473</v>
      </c>
      <c r="AA1072" s="201">
        <f>Delivery[[#This Row],[Quantity delivered]]*VLOOKUP(Delivery[[#This Row],[Unit]],References!$U:$X,4,FALSE)*VLOOKUP(CONCATENATE(Delivery[[#This Row],[Coffee specie]],Delivery[[#This Row],[Coffee state]]),References!$U:$X,4,FALSE)</f>
        <v>30020</v>
      </c>
      <c r="AB1072" s="202">
        <f>SUMIF(Allocation!C:C,Delivery[[#This Row],[Delivery ID]],Allocation!D:D)/Delivery[[#This Row],[Quantity delivered]]</f>
        <v>0.74610259826782144</v>
      </c>
      <c r="AC1072" s="203">
        <f>Delivery[[#This Row],[Quantity delivered]]*Delivery[[#This Row],[Base price (Unidad)]]/60</f>
        <v>259763.05999999997</v>
      </c>
      <c r="AD1072" s="204">
        <f>Delivery[[#This Row],[Nespresso total]]-Delivery[[#This Row],[Qt. Delivery * Base Price]]</f>
        <v>3636.171190800058</v>
      </c>
      <c r="AE1072" s="204">
        <f>Delivery[[#This Row],[AAA Premium (total)]]/Delivery[[#This Row],[Quantity delivered]]*60/Delivery[[#This Row],[Exchange rate VS USD]]</f>
        <v>6.9953364423717517</v>
      </c>
      <c r="AF1072" s="204">
        <f>Delivery[[#This Row],[BEN premium (total)]]/Delivery[[#This Row],[Quantity delivered]]*60/Delivery[[#This Row],[Exchange rate for premiums VS USD]]</f>
        <v>1.989714</v>
      </c>
      <c r="AG1072" s="204">
        <f>COUNTIF(Delivery[Delivery ID],Delivery[[#This Row],[Delivery ID]])</f>
        <v>1</v>
      </c>
      <c r="AH1072" s="204">
        <f>(Delivery[[#This Row],[Nespresso total]]/SUMIF(Allocation!C:C,Delivery[Delivery ID],Allocation!H:H))/Delivery[[#This Row],[Exchange rate VS USD]]</f>
        <v>11.530043475954932</v>
      </c>
      <c r="AI1072" s="204">
        <f>(Delivery[[#This Row],[AAA Premium (total)]]/SUMIF(Allocation!C:C,Delivery[Delivery ID],Allocation!H:H))/Delivery[[#This Row],[Exchange rate VS USD]]</f>
        <v>0.52091084982884361</v>
      </c>
      <c r="AJ1072" s="204">
        <f>Delivery[[#This Row],[Valor Prêmio Nespresso AAA por Kg (em US$)]]*60</f>
        <v>31.254650989730617</v>
      </c>
      <c r="AK1072" s="204">
        <f>Delivery[[#This Row],[Valor Prêmio Nespresso AAA por saca (em US$)]]/1.3228/100</f>
        <v>0.23627646650839598</v>
      </c>
      <c r="AL1072" s="204">
        <f>(Delivery[[#This Row],[BEN premium (total)]]/SUMIF(Allocation!C:C,Delivery[Delivery ID],Allocation!H:H))/Delivery[[#This Row],[Exchange rate for premiums VS USD]]</f>
        <v>0.14816494091382648</v>
      </c>
      <c r="AM1072" s="204">
        <f>Delivery[[#This Row],[Valor Prêmio Nespresso BEN por Kg (em US$)]]*60</f>
        <v>8.8898964548295893</v>
      </c>
      <c r="AN1072" s="204">
        <f>Delivery[[#This Row],[Valor Prêmio Nespresso BEN por saca (em US$)]]/1.3228/100</f>
        <v>6.7205144049210686E-2</v>
      </c>
      <c r="AO1072" s="204">
        <f>SUMIF(Allocation[Delivery ID],Delivery[[#This Row],[Delivery ID]],Allocation[Quantity allocated])*16*1.3228*Delivery[[#This Row],[Exchange rate VS USD]]/60</f>
        <v>8058.3565013333327</v>
      </c>
      <c r="AP1072" s="204">
        <f>Delivery[[#This Row],[AAA Premium (total)]]</f>
        <v>11900</v>
      </c>
      <c r="AQ1072" s="204">
        <f>Delivery[[#This Row],[Valor pago pelo Cluster]]-Delivery[[#This Row],[Valor efetivamente pago pela Nespresso]]</f>
        <v>3841.6434986666673</v>
      </c>
    </row>
    <row r="1073" spans="1:43" ht="15.75">
      <c r="A1073" s="174" t="s">
        <v>69</v>
      </c>
      <c r="B1073" s="232" t="s">
        <v>68</v>
      </c>
      <c r="C1073" s="157">
        <v>1</v>
      </c>
      <c r="D1073" s="157" t="s">
        <v>468</v>
      </c>
      <c r="E1073" s="177" t="s">
        <v>468</v>
      </c>
      <c r="F1073" s="233" t="s">
        <v>543</v>
      </c>
      <c r="G1073" s="234">
        <v>43402</v>
      </c>
      <c r="H1073" s="157" t="s">
        <v>1710</v>
      </c>
      <c r="I1073" s="236" t="s">
        <v>1472</v>
      </c>
      <c r="J1073" s="237">
        <v>15300</v>
      </c>
      <c r="K1073" s="175" t="s">
        <v>61</v>
      </c>
      <c r="L1073" s="175" t="s">
        <v>439</v>
      </c>
      <c r="M1073" s="175" t="s">
        <v>1343</v>
      </c>
      <c r="N1073" s="198"/>
      <c r="O1073" s="199"/>
      <c r="P1073" s="181">
        <v>0</v>
      </c>
      <c r="Q1073" s="177">
        <v>43391</v>
      </c>
      <c r="R1073" s="178">
        <v>453.95101999999997</v>
      </c>
      <c r="S1073" s="179">
        <v>115175.59999999999</v>
      </c>
      <c r="T1073" s="182" t="s">
        <v>45</v>
      </c>
      <c r="U1073" s="183">
        <v>3.7027000000000001</v>
      </c>
      <c r="V1073" s="179">
        <v>6618.2400000000007</v>
      </c>
      <c r="W1073" s="179">
        <v>0</v>
      </c>
      <c r="X1073" s="196" t="s">
        <v>45</v>
      </c>
      <c r="Y1073" s="200">
        <v>3.7027000000000001</v>
      </c>
      <c r="Z1073" s="220"/>
      <c r="AA1073" s="201">
        <f>Delivery[[#This Row],[Quantity delivered]]*VLOOKUP(Delivery[[#This Row],[Unit]],References!$U:$X,4,FALSE)*VLOOKUP(CONCATENATE(Delivery[[#This Row],[Coffee specie]],Delivery[[#This Row],[Coffee state]]),References!$U:$X,4,FALSE)</f>
        <v>15300</v>
      </c>
      <c r="AB1073" s="202">
        <f>SUMIF(Allocation!C:C,Delivery[[#This Row],[Delivery ID]],Allocation!D:D)/Delivery[[#This Row],[Quantity delivered]]</f>
        <v>1</v>
      </c>
      <c r="AC1073" s="203">
        <f>Delivery[[#This Row],[Quantity delivered]]*Delivery[[#This Row],[Base price (Unidad)]]/60</f>
        <v>115757.5101</v>
      </c>
      <c r="AD1073" s="204">
        <f>Delivery[[#This Row],[Nespresso total]]-Delivery[[#This Row],[Qt. Delivery * Base Price]]</f>
        <v>-581.91010000000824</v>
      </c>
      <c r="AE1073" s="204">
        <f>Delivery[[#This Row],[AAA Premium (total)]]/Delivery[[#This Row],[Quantity delivered]]*60/Delivery[[#This Row],[Exchange rate VS USD]]</f>
        <v>7.0094477956467385</v>
      </c>
      <c r="AF1073" s="204">
        <f>Delivery[[#This Row],[BEN premium (total)]]/Delivery[[#This Row],[Quantity delivered]]*60/Delivery[[#This Row],[Exchange rate for premiums VS USD]]</f>
        <v>0</v>
      </c>
      <c r="AG1073" s="204">
        <f>COUNTIF(Delivery[Delivery ID],Delivery[[#This Row],[Delivery ID]])</f>
        <v>1</v>
      </c>
      <c r="AH1073" s="204">
        <f>(Delivery[[#This Row],[Nespresso total]]/SUMIF(Allocation!C:C,Delivery[Delivery ID],Allocation!H:H))/Delivery[[#This Row],[Exchange rate VS USD]]</f>
        <v>6.1607925694387236</v>
      </c>
      <c r="AI1073" s="204">
        <f>(Delivery[[#This Row],[AAA Premium (total)]]/SUMIF(Allocation!C:C,Delivery[Delivery ID],Allocation!H:H))/Delivery[[#This Row],[Exchange rate VS USD]]</f>
        <v>0.35401251493165348</v>
      </c>
      <c r="AJ1073" s="204">
        <f>Delivery[[#This Row],[Valor Prêmio Nespresso AAA por Kg (em US$)]]*60</f>
        <v>21.240750895899208</v>
      </c>
      <c r="AK1073" s="204">
        <f>Delivery[[#This Row],[Valor Prêmio Nespresso AAA por saca (em US$)]]/1.3228/100</f>
        <v>0.16057416764362872</v>
      </c>
      <c r="AL1073" s="204">
        <f>(Delivery[[#This Row],[BEN premium (total)]]/SUMIF(Allocation!C:C,Delivery[Delivery ID],Allocation!H:H))/Delivery[[#This Row],[Exchange rate for premiums VS USD]]</f>
        <v>0</v>
      </c>
      <c r="AM1073" s="204">
        <f>Delivery[[#This Row],[Valor Prêmio Nespresso BEN por Kg (em US$)]]*60</f>
        <v>0</v>
      </c>
      <c r="AN1073" s="204">
        <f>Delivery[[#This Row],[Valor Prêmio Nespresso BEN por saca (em US$)]]/1.3228/100</f>
        <v>0</v>
      </c>
      <c r="AO1073" s="204">
        <f>SUMIF(Allocation[Delivery ID],Delivery[[#This Row],[Delivery ID]],Allocation[Quantity allocated])*16*1.3228*Delivery[[#This Row],[Exchange rate VS USD]]/60</f>
        <v>6594.5750523839997</v>
      </c>
      <c r="AP1073" s="204">
        <f>Delivery[[#This Row],[AAA Premium (total)]]</f>
        <v>6618.2400000000007</v>
      </c>
      <c r="AQ1073" s="204">
        <f>Delivery[[#This Row],[Valor pago pelo Cluster]]-Delivery[[#This Row],[Valor efetivamente pago pela Nespresso]]</f>
        <v>23.664947616000973</v>
      </c>
    </row>
    <row r="1074" spans="1:43" ht="15.75">
      <c r="A1074" s="174" t="s">
        <v>69</v>
      </c>
      <c r="B1074" s="232" t="s">
        <v>68</v>
      </c>
      <c r="C1074" s="157">
        <v>1</v>
      </c>
      <c r="D1074" s="157" t="s">
        <v>468</v>
      </c>
      <c r="E1074" s="177" t="s">
        <v>468</v>
      </c>
      <c r="F1074" s="233" t="s">
        <v>543</v>
      </c>
      <c r="G1074" s="234">
        <v>43403</v>
      </c>
      <c r="H1074" s="157" t="s">
        <v>1711</v>
      </c>
      <c r="I1074" s="236" t="s">
        <v>1086</v>
      </c>
      <c r="J1074" s="237">
        <v>35980</v>
      </c>
      <c r="K1074" s="175" t="s">
        <v>61</v>
      </c>
      <c r="L1074" s="175" t="s">
        <v>439</v>
      </c>
      <c r="M1074" s="175" t="s">
        <v>1343</v>
      </c>
      <c r="N1074" s="198"/>
      <c r="O1074" s="199"/>
      <c r="P1074" s="181">
        <v>0</v>
      </c>
      <c r="Q1074" s="177">
        <v>43396</v>
      </c>
      <c r="R1074" s="178">
        <v>442.79489999999998</v>
      </c>
      <c r="S1074" s="179">
        <v>247746</v>
      </c>
      <c r="T1074" s="182" t="s">
        <v>45</v>
      </c>
      <c r="U1074" s="183">
        <v>3.7084999999999999</v>
      </c>
      <c r="V1074" s="179">
        <v>22254</v>
      </c>
      <c r="W1074" s="179">
        <v>0</v>
      </c>
      <c r="X1074" s="196" t="s">
        <v>45</v>
      </c>
      <c r="Y1074" s="200">
        <v>3.7084999999999999</v>
      </c>
      <c r="Z1074" s="220"/>
      <c r="AA1074" s="201">
        <f>Delivery[[#This Row],[Quantity delivered]]*VLOOKUP(Delivery[[#This Row],[Unit]],References!$U:$X,4,FALSE)*VLOOKUP(CONCATENATE(Delivery[[#This Row],[Coffee specie]],Delivery[[#This Row],[Coffee state]]),References!$U:$X,4,FALSE)</f>
        <v>35980</v>
      </c>
      <c r="AB1074" s="202">
        <f>SUMIF(Allocation!C:C,Delivery[[#This Row],[Delivery ID]],Allocation!D:D)/Delivery[[#This Row],[Quantity delivered]]</f>
        <v>0.79338521400778206</v>
      </c>
      <c r="AC1074" s="203">
        <f>Delivery[[#This Row],[Quantity delivered]]*Delivery[[#This Row],[Base price (Unidad)]]/60</f>
        <v>265529.34169999999</v>
      </c>
      <c r="AD1074" s="204">
        <f>Delivery[[#This Row],[Nespresso total]]-Delivery[[#This Row],[Qt. Delivery * Base Price]]</f>
        <v>-17783.34169999999</v>
      </c>
      <c r="AE1074" s="204">
        <f>Delivery[[#This Row],[AAA Premium (total)]]/Delivery[[#This Row],[Quantity delivered]]*60/Delivery[[#This Row],[Exchange rate VS USD]]</f>
        <v>10.006907647148362</v>
      </c>
      <c r="AF1074" s="204">
        <f>Delivery[[#This Row],[BEN premium (total)]]/Delivery[[#This Row],[Quantity delivered]]*60/Delivery[[#This Row],[Exchange rate for premiums VS USD]]</f>
        <v>0</v>
      </c>
      <c r="AG1074" s="204">
        <f>COUNTIF(Delivery[Delivery ID],Delivery[[#This Row],[Delivery ID]])</f>
        <v>1</v>
      </c>
      <c r="AH1074" s="204">
        <f>(Delivery[[#This Row],[Nespresso total]]/SUMIF(Allocation!C:C,Delivery[Delivery ID],Allocation!H:H))/Delivery[[#This Row],[Exchange rate VS USD]]</f>
        <v>5.7078697577409638</v>
      </c>
      <c r="AI1074" s="204">
        <f>(Delivery[[#This Row],[AAA Premium (total)]]/SUMIF(Allocation!C:C,Delivery[Delivery ID],Allocation!H:H))/Delivery[[#This Row],[Exchange rate VS USD]]</f>
        <v>0.51271436708874174</v>
      </c>
      <c r="AJ1074" s="204">
        <f>Delivery[[#This Row],[Valor Prêmio Nespresso AAA por Kg (em US$)]]*60</f>
        <v>30.762862025324505</v>
      </c>
      <c r="AK1074" s="204">
        <f>Delivery[[#This Row],[Valor Prêmio Nespresso AAA por saca (em US$)]]/1.3228/100</f>
        <v>0.23255867875207517</v>
      </c>
      <c r="AL1074" s="204">
        <f>(Delivery[[#This Row],[BEN premium (total)]]/SUMIF(Allocation!C:C,Delivery[Delivery ID],Allocation!H:H))/Delivery[[#This Row],[Exchange rate for premiums VS USD]]</f>
        <v>0</v>
      </c>
      <c r="AM1074" s="204">
        <f>Delivery[[#This Row],[Valor Prêmio Nespresso BEN por Kg (em US$)]]*60</f>
        <v>0</v>
      </c>
      <c r="AN1074" s="204">
        <f>Delivery[[#This Row],[Valor Prêmio Nespresso BEN por saca (em US$)]]/1.3228/100</f>
        <v>0</v>
      </c>
      <c r="AO1074" s="204">
        <f>SUMIF(Allocation[Delivery ID],Delivery[[#This Row],[Delivery ID]],Allocation[Quantity allocated])*16*1.3228*Delivery[[#This Row],[Exchange rate VS USD]]/60</f>
        <v>15310.716500053333</v>
      </c>
      <c r="AP1074" s="204">
        <f>Delivery[[#This Row],[AAA Premium (total)]]</f>
        <v>22254</v>
      </c>
      <c r="AQ1074" s="204">
        <f>Delivery[[#This Row],[Valor pago pelo Cluster]]-Delivery[[#This Row],[Valor efetivamente pago pela Nespresso]]</f>
        <v>6943.2834999466668</v>
      </c>
    </row>
    <row r="1075" spans="1:43" ht="15.75">
      <c r="A1075" s="174" t="s">
        <v>69</v>
      </c>
      <c r="B1075" s="232" t="s">
        <v>68</v>
      </c>
      <c r="C1075" s="157">
        <v>1</v>
      </c>
      <c r="D1075" s="157" t="s">
        <v>468</v>
      </c>
      <c r="E1075" s="177" t="s">
        <v>468</v>
      </c>
      <c r="F1075" s="233" t="s">
        <v>543</v>
      </c>
      <c r="G1075" s="234">
        <v>43411</v>
      </c>
      <c r="H1075" s="157" t="s">
        <v>1712</v>
      </c>
      <c r="I1075" s="157" t="s">
        <v>1431</v>
      </c>
      <c r="J1075" s="237">
        <v>32400</v>
      </c>
      <c r="K1075" s="175" t="s">
        <v>61</v>
      </c>
      <c r="L1075" s="175" t="s">
        <v>439</v>
      </c>
      <c r="M1075" s="175" t="s">
        <v>1343</v>
      </c>
      <c r="N1075" s="198"/>
      <c r="O1075" s="199"/>
      <c r="P1075" s="181">
        <v>0</v>
      </c>
      <c r="Q1075" s="177">
        <v>43396</v>
      </c>
      <c r="R1075" s="178">
        <v>442.51808000000005</v>
      </c>
      <c r="S1075" s="179">
        <v>240709.51547481597</v>
      </c>
      <c r="T1075" s="182" t="s">
        <v>45</v>
      </c>
      <c r="U1075" s="183">
        <v>3.7124000000000001</v>
      </c>
      <c r="V1075" s="179">
        <v>20044.8</v>
      </c>
      <c r="W1075" s="179">
        <v>5318.3622625919998</v>
      </c>
      <c r="X1075" s="196" t="s">
        <v>45</v>
      </c>
      <c r="Y1075" s="200">
        <v>3.7124000000000001</v>
      </c>
      <c r="Z1075" s="220" t="s">
        <v>473</v>
      </c>
      <c r="AA1075" s="201">
        <f>Delivery[[#This Row],[Quantity delivered]]*VLOOKUP(Delivery[[#This Row],[Unit]],References!$U:$X,4,FALSE)*VLOOKUP(CONCATENATE(Delivery[[#This Row],[Coffee specie]],Delivery[[#This Row],[Coffee state]]),References!$U:$X,4,FALSE)</f>
        <v>32400</v>
      </c>
      <c r="AB1075" s="202">
        <f>SUMIF(Allocation!C:C,Delivery[[#This Row],[Delivery ID]],Allocation!D:D)/Delivery[[#This Row],[Quantity delivered]]</f>
        <v>0.90163580246913577</v>
      </c>
      <c r="AC1075" s="203">
        <f>Delivery[[#This Row],[Quantity delivered]]*Delivery[[#This Row],[Base price (Unidad)]]/60</f>
        <v>238959.76320000002</v>
      </c>
      <c r="AD1075" s="204">
        <f>Delivery[[#This Row],[Nespresso total]]-Delivery[[#This Row],[Qt. Delivery * Base Price]]</f>
        <v>1749.7522748159536</v>
      </c>
      <c r="AE1075" s="204">
        <f>Delivery[[#This Row],[AAA Premium (total)]]/Delivery[[#This Row],[Quantity delivered]]*60/Delivery[[#This Row],[Exchange rate VS USD]]</f>
        <v>9.9989225298997955</v>
      </c>
      <c r="AF1075" s="204">
        <f>Delivery[[#This Row],[BEN premium (total)]]/Delivery[[#This Row],[Quantity delivered]]*60/Delivery[[#This Row],[Exchange rate for premiums VS USD]]</f>
        <v>2.6529519999999995</v>
      </c>
      <c r="AG1075" s="204">
        <f>COUNTIF(Delivery[Delivery ID],Delivery[[#This Row],[Delivery ID]])</f>
        <v>1</v>
      </c>
      <c r="AH1075" s="204">
        <f>(Delivery[[#This Row],[Nespresso total]]/SUMIF(Allocation!C:C,Delivery[Delivery ID],Allocation!H:H))/Delivery[[#This Row],[Exchange rate VS USD]]</f>
        <v>5.5489367941565986</v>
      </c>
      <c r="AI1075" s="204">
        <f>(Delivery[[#This Row],[AAA Premium (total)]]/SUMIF(Allocation!C:C,Delivery[Delivery ID],Allocation!H:H))/Delivery[[#This Row],[Exchange rate VS USD]]</f>
        <v>0.46208114387213428</v>
      </c>
      <c r="AJ1075" s="204">
        <f>Delivery[[#This Row],[Valor Prêmio Nespresso AAA por Kg (em US$)]]*60</f>
        <v>27.724868632328057</v>
      </c>
      <c r="AK1075" s="204">
        <f>Delivery[[#This Row],[Valor Prêmio Nespresso AAA por saca (em US$)]]/1.3228/100</f>
        <v>0.20959229386398592</v>
      </c>
      <c r="AL1075" s="204">
        <f>(Delivery[[#This Row],[BEN premium (total)]]/SUMIF(Allocation!C:C,Delivery[Delivery ID],Allocation!H:H))/Delivery[[#This Row],[Exchange rate for premiums VS USD]]</f>
        <v>0.12260111938382541</v>
      </c>
      <c r="AM1075" s="204">
        <f>Delivery[[#This Row],[Valor Prêmio Nespresso BEN por Kg (em US$)]]*60</f>
        <v>7.3560671630295245</v>
      </c>
      <c r="AN1075" s="204">
        <f>Delivery[[#This Row],[Valor Prêmio Nespresso BEN por saca (em US$)]]/1.3228/100</f>
        <v>5.5609821311078965E-2</v>
      </c>
      <c r="AO1075" s="204">
        <f>SUMIF(Allocation[Delivery ID],Delivery[[#This Row],[Delivery ID]],Allocation[Quantity allocated])*16*1.3228*Delivery[[#This Row],[Exchange rate VS USD]]/60</f>
        <v>15301.93663552</v>
      </c>
      <c r="AP1075" s="204">
        <f>Delivery[[#This Row],[AAA Premium (total)]]</f>
        <v>20044.8</v>
      </c>
      <c r="AQ1075" s="204">
        <f>Delivery[[#This Row],[Valor pago pelo Cluster]]-Delivery[[#This Row],[Valor efetivamente pago pela Nespresso]]</f>
        <v>4742.8633644799993</v>
      </c>
    </row>
    <row r="1076" spans="1:43" ht="15.75">
      <c r="A1076" s="174" t="s">
        <v>69</v>
      </c>
      <c r="B1076" s="232" t="s">
        <v>68</v>
      </c>
      <c r="C1076" s="157">
        <v>1</v>
      </c>
      <c r="D1076" s="157" t="s">
        <v>468</v>
      </c>
      <c r="E1076" s="177" t="s">
        <v>468</v>
      </c>
      <c r="F1076" s="233" t="s">
        <v>543</v>
      </c>
      <c r="G1076" s="234">
        <v>43411</v>
      </c>
      <c r="H1076" s="157" t="s">
        <v>1713</v>
      </c>
      <c r="I1076" s="236" t="s">
        <v>1431</v>
      </c>
      <c r="J1076" s="237">
        <v>32360</v>
      </c>
      <c r="K1076" s="175" t="s">
        <v>61</v>
      </c>
      <c r="L1076" s="175" t="s">
        <v>439</v>
      </c>
      <c r="M1076" s="175" t="s">
        <v>1343</v>
      </c>
      <c r="N1076" s="198"/>
      <c r="O1076" s="199"/>
      <c r="P1076" s="181">
        <v>0</v>
      </c>
      <c r="Q1076" s="177">
        <v>43396</v>
      </c>
      <c r="R1076" s="178">
        <v>442.51808000000005</v>
      </c>
      <c r="S1076" s="179">
        <v>246034.44361674454</v>
      </c>
      <c r="T1076" s="182" t="s">
        <v>45</v>
      </c>
      <c r="U1076" s="183">
        <v>3.7124000000000001</v>
      </c>
      <c r="V1076" s="179">
        <v>20044.8</v>
      </c>
      <c r="W1076" s="179">
        <v>5311.7963832554669</v>
      </c>
      <c r="X1076" s="196" t="s">
        <v>45</v>
      </c>
      <c r="Y1076" s="200">
        <v>3.7124000000000001</v>
      </c>
      <c r="Z1076" s="220" t="s">
        <v>473</v>
      </c>
      <c r="AA1076" s="201">
        <f>Delivery[[#This Row],[Quantity delivered]]*VLOOKUP(Delivery[[#This Row],[Unit]],References!$U:$X,4,FALSE)*VLOOKUP(CONCATENATE(Delivery[[#This Row],[Coffee specie]],Delivery[[#This Row],[Coffee state]]),References!$U:$X,4,FALSE)</f>
        <v>32360</v>
      </c>
      <c r="AB1076" s="202">
        <f>SUMIF(Allocation!C:C,Delivery[[#This Row],[Delivery ID]],Allocation!D:D)/Delivery[[#This Row],[Quantity delivered]]</f>
        <v>0.58084054388133499</v>
      </c>
      <c r="AC1076" s="203">
        <f>Delivery[[#This Row],[Quantity delivered]]*Delivery[[#This Row],[Base price (Unidad)]]/60</f>
        <v>238664.75114666671</v>
      </c>
      <c r="AD1076" s="204">
        <f>Delivery[[#This Row],[Nespresso total]]-Delivery[[#This Row],[Qt. Delivery * Base Price]]</f>
        <v>7369.6924700778327</v>
      </c>
      <c r="AE1076" s="204">
        <f>Delivery[[#This Row],[AAA Premium (total)]]/Delivery[[#This Row],[Quantity delivered]]*60/Delivery[[#This Row],[Exchange rate VS USD]]</f>
        <v>10.011282137476927</v>
      </c>
      <c r="AF1076" s="204">
        <f>Delivery[[#This Row],[BEN premium (total)]]/Delivery[[#This Row],[Quantity delivered]]*60/Delivery[[#This Row],[Exchange rate for premiums VS USD]]</f>
        <v>2.6529519999999995</v>
      </c>
      <c r="AG1076" s="204">
        <f>COUNTIF(Delivery[Delivery ID],Delivery[[#This Row],[Delivery ID]])</f>
        <v>1</v>
      </c>
      <c r="AH1076" s="204">
        <f>(Delivery[[#This Row],[Nespresso total]]/SUMIF(Allocation!C:C,Delivery[Delivery ID],Allocation!H:H))/Delivery[[#This Row],[Exchange rate VS USD]]</f>
        <v>8.8153350830522115</v>
      </c>
      <c r="AI1076" s="204">
        <f>(Delivery[[#This Row],[AAA Premium (total)]]/SUMIF(Allocation!C:C,Delivery[Delivery ID],Allocation!H:H))/Delivery[[#This Row],[Exchange rate VS USD]]</f>
        <v>0.71819874516439064</v>
      </c>
      <c r="AJ1076" s="204">
        <f>Delivery[[#This Row],[Valor Prêmio Nespresso AAA por Kg (em US$)]]*60</f>
        <v>43.091924709863441</v>
      </c>
      <c r="AK1076" s="204">
        <f>Delivery[[#This Row],[Valor Prêmio Nespresso AAA por saca (em US$)]]/1.3228/100</f>
        <v>0.3257629627295392</v>
      </c>
      <c r="AL1076" s="204">
        <f>(Delivery[[#This Row],[BEN premium (total)]]/SUMIF(Allocation!C:C,Delivery[Delivery ID],Allocation!H:H))/Delivery[[#This Row],[Exchange rate for premiums VS USD]]</f>
        <v>0.19031995814489669</v>
      </c>
      <c r="AM1076" s="204">
        <f>Delivery[[#This Row],[Valor Prêmio Nespresso BEN por Kg (em US$)]]*60</f>
        <v>11.419197488693801</v>
      </c>
      <c r="AN1076" s="204">
        <f>Delivery[[#This Row],[Valor Prêmio Nespresso BEN por saca (em US$)]]/1.3228/100</f>
        <v>8.6325956219336267E-2</v>
      </c>
      <c r="AO1076" s="204">
        <f>SUMIF(Allocation[Delivery ID],Delivery[[#This Row],[Delivery ID]],Allocation[Quantity allocated])*16*1.3228*Delivery[[#This Row],[Exchange rate VS USD]]/60</f>
        <v>9845.0971010560006</v>
      </c>
      <c r="AP1076" s="204">
        <f>Delivery[[#This Row],[AAA Premium (total)]]</f>
        <v>20044.8</v>
      </c>
      <c r="AQ1076" s="204">
        <f>Delivery[[#This Row],[Valor pago pelo Cluster]]-Delivery[[#This Row],[Valor efetivamente pago pela Nespresso]]</f>
        <v>10199.702898943999</v>
      </c>
    </row>
    <row r="1077" spans="1:43" ht="15.75">
      <c r="A1077" s="174" t="s">
        <v>69</v>
      </c>
      <c r="B1077" s="232" t="s">
        <v>68</v>
      </c>
      <c r="C1077" s="157">
        <v>1</v>
      </c>
      <c r="D1077" s="157" t="s">
        <v>468</v>
      </c>
      <c r="E1077" s="177" t="s">
        <v>468</v>
      </c>
      <c r="F1077" s="233" t="s">
        <v>543</v>
      </c>
      <c r="G1077" s="234">
        <v>43411</v>
      </c>
      <c r="H1077" s="157" t="s">
        <v>1714</v>
      </c>
      <c r="I1077" s="157" t="s">
        <v>1431</v>
      </c>
      <c r="J1077" s="237">
        <v>32700</v>
      </c>
      <c r="K1077" s="175" t="s">
        <v>61</v>
      </c>
      <c r="L1077" s="175" t="s">
        <v>439</v>
      </c>
      <c r="M1077" s="175" t="s">
        <v>1343</v>
      </c>
      <c r="N1077" s="198"/>
      <c r="O1077" s="199"/>
      <c r="P1077" s="181">
        <v>0</v>
      </c>
      <c r="Q1077" s="177">
        <v>43396</v>
      </c>
      <c r="R1077" s="178">
        <v>442.51808000000005</v>
      </c>
      <c r="S1077" s="179">
        <v>242938.307284768</v>
      </c>
      <c r="T1077" s="182" t="s">
        <v>45</v>
      </c>
      <c r="U1077" s="183">
        <v>3.7124000000000001</v>
      </c>
      <c r="V1077" s="179">
        <v>20230.400000000001</v>
      </c>
      <c r="W1077" s="179">
        <v>5367.6063576159995</v>
      </c>
      <c r="X1077" s="196" t="s">
        <v>45</v>
      </c>
      <c r="Y1077" s="200">
        <v>3.7124000000000001</v>
      </c>
      <c r="Z1077" s="220" t="s">
        <v>473</v>
      </c>
      <c r="AA1077" s="201">
        <f>Delivery[[#This Row],[Quantity delivered]]*VLOOKUP(Delivery[[#This Row],[Unit]],References!$U:$X,4,FALSE)*VLOOKUP(CONCATENATE(Delivery[[#This Row],[Coffee specie]],Delivery[[#This Row],[Coffee state]]),References!$U:$X,4,FALSE)</f>
        <v>32700</v>
      </c>
      <c r="AB1077" s="202">
        <f>SUMIF(Allocation!C:C,Delivery[[#This Row],[Delivery ID]],Allocation!D:D)/Delivery[[#This Row],[Quantity delivered]]</f>
        <v>0.90162079510703363</v>
      </c>
      <c r="AC1077" s="203">
        <f>Delivery[[#This Row],[Quantity delivered]]*Delivery[[#This Row],[Base price (Unidad)]]/60</f>
        <v>241172.35360000003</v>
      </c>
      <c r="AD1077" s="204">
        <f>Delivery[[#This Row],[Nespresso total]]-Delivery[[#This Row],[Qt. Delivery * Base Price]]</f>
        <v>1765.9536847679701</v>
      </c>
      <c r="AE1077" s="204">
        <f>Delivery[[#This Row],[AAA Premium (total)]]/Delivery[[#This Row],[Quantity delivered]]*60/Delivery[[#This Row],[Exchange rate VS USD]]</f>
        <v>9.9989225298997955</v>
      </c>
      <c r="AF1077" s="204">
        <f>Delivery[[#This Row],[BEN premium (total)]]/Delivery[[#This Row],[Quantity delivered]]*60/Delivery[[#This Row],[Exchange rate for premiums VS USD]]</f>
        <v>2.6529519999999995</v>
      </c>
      <c r="AG1077" s="204">
        <f>COUNTIF(Delivery[Delivery ID],Delivery[[#This Row],[Delivery ID]])</f>
        <v>1</v>
      </c>
      <c r="AH1077" s="204">
        <f>(Delivery[[#This Row],[Nespresso total]]/SUMIF(Allocation!C:C,Delivery[Delivery ID],Allocation!H:H))/Delivery[[#This Row],[Exchange rate VS USD]]</f>
        <v>5.549028285713641</v>
      </c>
      <c r="AI1077" s="204">
        <f>(Delivery[[#This Row],[AAA Premium (total)]]/SUMIF(Allocation!C:C,Delivery[Delivery ID],Allocation!H:H))/Delivery[[#This Row],[Exchange rate VS USD]]</f>
        <v>0.46208876272325861</v>
      </c>
      <c r="AJ1077" s="204">
        <f>Delivery[[#This Row],[Valor Prêmio Nespresso AAA por Kg (em US$)]]*60</f>
        <v>27.725325763395517</v>
      </c>
      <c r="AK1077" s="204">
        <f>Delivery[[#This Row],[Valor Prêmio Nespresso AAA por saca (em US$)]]/1.3228/100</f>
        <v>0.20959574964768307</v>
      </c>
      <c r="AL1077" s="204">
        <f>(Delivery[[#This Row],[BEN premium (total)]]/SUMIF(Allocation!C:C,Delivery[Delivery ID],Allocation!H:H))/Delivery[[#This Row],[Exchange rate for premiums VS USD]]</f>
        <v>0.12260314084626471</v>
      </c>
      <c r="AM1077" s="204">
        <f>Delivery[[#This Row],[Valor Prêmio Nespresso BEN por Kg (em US$)]]*60</f>
        <v>7.3561884507758828</v>
      </c>
      <c r="AN1077" s="204">
        <f>Delivery[[#This Row],[Valor Prêmio Nespresso BEN por saca (em US$)]]/1.3228/100</f>
        <v>5.5610738212699448E-2</v>
      </c>
      <c r="AO1077" s="204">
        <f>SUMIF(Allocation[Delivery ID],Delivery[[#This Row],[Delivery ID]],Allocation[Quantity allocated])*16*1.3228*Delivery[[#This Row],[Exchange rate VS USD]]/60</f>
        <v>15443.366601856</v>
      </c>
      <c r="AP1077" s="204">
        <f>Delivery[[#This Row],[AAA Premium (total)]]</f>
        <v>20230.400000000001</v>
      </c>
      <c r="AQ1077" s="204">
        <f>Delivery[[#This Row],[Valor pago pelo Cluster]]-Delivery[[#This Row],[Valor efetivamente pago pela Nespresso]]</f>
        <v>4787.0333981440017</v>
      </c>
    </row>
    <row r="1078" spans="1:43" ht="15.75">
      <c r="A1078" s="174" t="s">
        <v>69</v>
      </c>
      <c r="B1078" s="232" t="s">
        <v>68</v>
      </c>
      <c r="C1078" s="157">
        <v>1</v>
      </c>
      <c r="D1078" s="157" t="s">
        <v>468</v>
      </c>
      <c r="E1078" s="177" t="s">
        <v>468</v>
      </c>
      <c r="F1078" s="233" t="s">
        <v>543</v>
      </c>
      <c r="G1078" s="234">
        <v>43411</v>
      </c>
      <c r="H1078" s="157" t="s">
        <v>1715</v>
      </c>
      <c r="I1078" s="157" t="s">
        <v>1431</v>
      </c>
      <c r="J1078" s="237">
        <v>32400</v>
      </c>
      <c r="K1078" s="175" t="s">
        <v>61</v>
      </c>
      <c r="L1078" s="175" t="s">
        <v>439</v>
      </c>
      <c r="M1078" s="175" t="s">
        <v>1343</v>
      </c>
      <c r="N1078" s="198"/>
      <c r="O1078" s="199"/>
      <c r="P1078" s="181">
        <v>0</v>
      </c>
      <c r="Q1078" s="177">
        <v>43396</v>
      </c>
      <c r="R1078" s="178">
        <v>442.51808000000005</v>
      </c>
      <c r="S1078" s="179">
        <v>240709.51547481597</v>
      </c>
      <c r="T1078" s="182" t="s">
        <v>45</v>
      </c>
      <c r="U1078" s="183">
        <v>3.7124000000000001</v>
      </c>
      <c r="V1078" s="179">
        <v>20044.8</v>
      </c>
      <c r="W1078" s="179">
        <v>5318.3622625919998</v>
      </c>
      <c r="X1078" s="196" t="s">
        <v>45</v>
      </c>
      <c r="Y1078" s="200">
        <v>3.7124000000000001</v>
      </c>
      <c r="Z1078" s="220" t="s">
        <v>473</v>
      </c>
      <c r="AA1078" s="201">
        <f>Delivery[[#This Row],[Quantity delivered]]*VLOOKUP(Delivery[[#This Row],[Unit]],References!$U:$X,4,FALSE)*VLOOKUP(CONCATENATE(Delivery[[#This Row],[Coffee specie]],Delivery[[#This Row],[Coffee state]]),References!$U:$X,4,FALSE)</f>
        <v>32400</v>
      </c>
      <c r="AB1078" s="202">
        <f>SUMIF(Allocation!C:C,Delivery[[#This Row],[Delivery ID]],Allocation!D:D)/Delivery[[#This Row],[Quantity delivered]]</f>
        <v>0.90163580246913577</v>
      </c>
      <c r="AC1078" s="203">
        <f>Delivery[[#This Row],[Quantity delivered]]*Delivery[[#This Row],[Base price (Unidad)]]/60</f>
        <v>238959.76320000002</v>
      </c>
      <c r="AD1078" s="204">
        <f>Delivery[[#This Row],[Nespresso total]]-Delivery[[#This Row],[Qt. Delivery * Base Price]]</f>
        <v>1749.7522748159536</v>
      </c>
      <c r="AE1078" s="204">
        <f>Delivery[[#This Row],[AAA Premium (total)]]/Delivery[[#This Row],[Quantity delivered]]*60/Delivery[[#This Row],[Exchange rate VS USD]]</f>
        <v>9.9989225298997955</v>
      </c>
      <c r="AF1078" s="204">
        <f>Delivery[[#This Row],[BEN premium (total)]]/Delivery[[#This Row],[Quantity delivered]]*60/Delivery[[#This Row],[Exchange rate for premiums VS USD]]</f>
        <v>2.6529519999999995</v>
      </c>
      <c r="AG1078" s="204">
        <f>COUNTIF(Delivery[Delivery ID],Delivery[[#This Row],[Delivery ID]])</f>
        <v>1</v>
      </c>
      <c r="AH1078" s="204">
        <f>(Delivery[[#This Row],[Nespresso total]]/SUMIF(Allocation!C:C,Delivery[Delivery ID],Allocation!H:H))/Delivery[[#This Row],[Exchange rate VS USD]]</f>
        <v>5.5489367941565986</v>
      </c>
      <c r="AI1078" s="204">
        <f>(Delivery[[#This Row],[AAA Premium (total)]]/SUMIF(Allocation!C:C,Delivery[Delivery ID],Allocation!H:H))/Delivery[[#This Row],[Exchange rate VS USD]]</f>
        <v>0.46208114387213428</v>
      </c>
      <c r="AJ1078" s="204">
        <f>Delivery[[#This Row],[Valor Prêmio Nespresso AAA por Kg (em US$)]]*60</f>
        <v>27.724868632328057</v>
      </c>
      <c r="AK1078" s="204">
        <f>Delivery[[#This Row],[Valor Prêmio Nespresso AAA por saca (em US$)]]/1.3228/100</f>
        <v>0.20959229386398592</v>
      </c>
      <c r="AL1078" s="204">
        <f>(Delivery[[#This Row],[BEN premium (total)]]/SUMIF(Allocation!C:C,Delivery[Delivery ID],Allocation!H:H))/Delivery[[#This Row],[Exchange rate for premiums VS USD]]</f>
        <v>0.12260111938382541</v>
      </c>
      <c r="AM1078" s="204">
        <f>Delivery[[#This Row],[Valor Prêmio Nespresso BEN por Kg (em US$)]]*60</f>
        <v>7.3560671630295245</v>
      </c>
      <c r="AN1078" s="204">
        <f>Delivery[[#This Row],[Valor Prêmio Nespresso BEN por saca (em US$)]]/1.3228/100</f>
        <v>5.5609821311078965E-2</v>
      </c>
      <c r="AO1078" s="204">
        <f>SUMIF(Allocation[Delivery ID],Delivery[[#This Row],[Delivery ID]],Allocation[Quantity allocated])*16*1.3228*Delivery[[#This Row],[Exchange rate VS USD]]/60</f>
        <v>15301.93663552</v>
      </c>
      <c r="AP1078" s="204">
        <f>Delivery[[#This Row],[AAA Premium (total)]]</f>
        <v>20044.8</v>
      </c>
      <c r="AQ1078" s="204">
        <f>Delivery[[#This Row],[Valor pago pelo Cluster]]-Delivery[[#This Row],[Valor efetivamente pago pela Nespresso]]</f>
        <v>4742.8633644799993</v>
      </c>
    </row>
    <row r="1079" spans="1:43" ht="15.75">
      <c r="A1079" s="174" t="s">
        <v>69</v>
      </c>
      <c r="B1079" s="232" t="s">
        <v>68</v>
      </c>
      <c r="C1079" s="157">
        <v>1</v>
      </c>
      <c r="D1079" s="157" t="s">
        <v>468</v>
      </c>
      <c r="E1079" s="177" t="s">
        <v>468</v>
      </c>
      <c r="F1079" s="233" t="s">
        <v>543</v>
      </c>
      <c r="G1079" s="234">
        <v>43411</v>
      </c>
      <c r="H1079" s="157" t="s">
        <v>1716</v>
      </c>
      <c r="I1079" s="157" t="s">
        <v>1431</v>
      </c>
      <c r="J1079" s="237">
        <v>32710</v>
      </c>
      <c r="K1079" s="175" t="s">
        <v>61</v>
      </c>
      <c r="L1079" s="175" t="s">
        <v>439</v>
      </c>
      <c r="M1079" s="175" t="s">
        <v>1343</v>
      </c>
      <c r="N1079" s="198"/>
      <c r="O1079" s="199"/>
      <c r="P1079" s="181">
        <v>0</v>
      </c>
      <c r="Q1079" s="177">
        <v>43396</v>
      </c>
      <c r="R1079" s="178">
        <v>442.51808000000005</v>
      </c>
      <c r="S1079" s="179">
        <v>242938.75217254987</v>
      </c>
      <c r="T1079" s="182" t="s">
        <v>45</v>
      </c>
      <c r="U1079" s="183">
        <v>3.7124000000000001</v>
      </c>
      <c r="V1079" s="179">
        <v>20230.400000000001</v>
      </c>
      <c r="W1079" s="179">
        <v>5369.2478274501336</v>
      </c>
      <c r="X1079" s="196" t="s">
        <v>45</v>
      </c>
      <c r="Y1079" s="200">
        <v>3.7124000000000001</v>
      </c>
      <c r="Z1079" s="220" t="s">
        <v>473</v>
      </c>
      <c r="AA1079" s="201">
        <f>Delivery[[#This Row],[Quantity delivered]]*VLOOKUP(Delivery[[#This Row],[Unit]],References!$U:$X,4,FALSE)*VLOOKUP(CONCATENATE(Delivery[[#This Row],[Coffee specie]],Delivery[[#This Row],[Coffee state]]),References!$U:$X,4,FALSE)</f>
        <v>32710</v>
      </c>
      <c r="AB1079" s="202">
        <f>SUMIF(Allocation!C:C,Delivery[[#This Row],[Delivery ID]],Allocation!D:D)/Delivery[[#This Row],[Quantity delivered]]</f>
        <v>0.90158972791195358</v>
      </c>
      <c r="AC1079" s="203">
        <f>Delivery[[#This Row],[Quantity delivered]]*Delivery[[#This Row],[Base price (Unidad)]]/60</f>
        <v>241246.10661333337</v>
      </c>
      <c r="AD1079" s="204">
        <f>Delivery[[#This Row],[Nespresso total]]-Delivery[[#This Row],[Qt. Delivery * Base Price]]</f>
        <v>1692.6455592165003</v>
      </c>
      <c r="AE1079" s="204">
        <f>Delivery[[#This Row],[AAA Premium (total)]]/Delivery[[#This Row],[Quantity delivered]]*60/Delivery[[#This Row],[Exchange rate VS USD]]</f>
        <v>9.9958656902391709</v>
      </c>
      <c r="AF1079" s="204">
        <f>Delivery[[#This Row],[BEN premium (total)]]/Delivery[[#This Row],[Quantity delivered]]*60/Delivery[[#This Row],[Exchange rate for premiums VS USD]]</f>
        <v>2.6529519999999995</v>
      </c>
      <c r="AG1079" s="204">
        <f>COUNTIF(Delivery[Delivery ID],Delivery[[#This Row],[Delivery ID]])</f>
        <v>1</v>
      </c>
      <c r="AH1079" s="204">
        <f>(Delivery[[#This Row],[Nespresso total]]/SUMIF(Allocation!C:C,Delivery[Delivery ID],Allocation!H:H))/Delivery[[#This Row],[Exchange rate VS USD]]</f>
        <v>5.5476271966549415</v>
      </c>
      <c r="AI1079" s="204">
        <f>(Delivery[[#This Row],[AAA Premium (total)]]/SUMIF(Allocation!C:C,Delivery[Delivery ID],Allocation!H:H))/Delivery[[#This Row],[Exchange rate VS USD]]</f>
        <v>0.46197124269204715</v>
      </c>
      <c r="AJ1079" s="204">
        <f>Delivery[[#This Row],[Valor Prêmio Nespresso AAA por Kg (em US$)]]*60</f>
        <v>27.718274561522829</v>
      </c>
      <c r="AK1079" s="204">
        <f>Delivery[[#This Row],[Valor Prêmio Nespresso AAA por saca (em US$)]]/1.3228/100</f>
        <v>0.20954244452315415</v>
      </c>
      <c r="AL1079" s="204">
        <f>(Delivery[[#This Row],[BEN premium (total)]]/SUMIF(Allocation!C:C,Delivery[Delivery ID],Allocation!H:H))/Delivery[[#This Row],[Exchange rate for premiums VS USD]]</f>
        <v>0.12260944376624845</v>
      </c>
      <c r="AM1079" s="204">
        <f>Delivery[[#This Row],[Valor Prêmio Nespresso BEN por Kg (em US$)]]*60</f>
        <v>7.3565666259749074</v>
      </c>
      <c r="AN1079" s="204">
        <f>Delivery[[#This Row],[Valor Prêmio Nespresso BEN por saca (em US$)]]/1.3228/100</f>
        <v>5.5613597111996579E-2</v>
      </c>
      <c r="AO1079" s="204">
        <f>SUMIF(Allocation[Delivery ID],Delivery[[#This Row],[Delivery ID]],Allocation[Quantity allocated])*16*1.3228*Delivery[[#This Row],[Exchange rate VS USD]]/60</f>
        <v>15447.295212032001</v>
      </c>
      <c r="AP1079" s="204">
        <f>Delivery[[#This Row],[AAA Premium (total)]]</f>
        <v>20230.400000000001</v>
      </c>
      <c r="AQ1079" s="204">
        <f>Delivery[[#This Row],[Valor pago pelo Cluster]]-Delivery[[#This Row],[Valor efetivamente pago pela Nespresso]]</f>
        <v>4783.1047879680009</v>
      </c>
    </row>
    <row r="1080" spans="1:43" ht="15.75">
      <c r="A1080" s="174" t="s">
        <v>69</v>
      </c>
      <c r="B1080" s="232" t="s">
        <v>68</v>
      </c>
      <c r="C1080" s="157">
        <v>1</v>
      </c>
      <c r="D1080" s="157" t="s">
        <v>468</v>
      </c>
      <c r="E1080" s="177" t="s">
        <v>468</v>
      </c>
      <c r="F1080" s="233" t="s">
        <v>543</v>
      </c>
      <c r="G1080" s="234">
        <v>43411</v>
      </c>
      <c r="H1080" s="157" t="s">
        <v>1717</v>
      </c>
      <c r="I1080" s="157" t="s">
        <v>1431</v>
      </c>
      <c r="J1080" s="237">
        <v>38680</v>
      </c>
      <c r="K1080" s="175" t="s">
        <v>61</v>
      </c>
      <c r="L1080" s="175" t="s">
        <v>439</v>
      </c>
      <c r="M1080" s="175" t="s">
        <v>1343</v>
      </c>
      <c r="N1080" s="198"/>
      <c r="O1080" s="199"/>
      <c r="P1080" s="181">
        <v>0</v>
      </c>
      <c r="Q1080" s="177">
        <v>43396</v>
      </c>
      <c r="R1080" s="178">
        <v>442.51808000000005</v>
      </c>
      <c r="S1080" s="179">
        <v>287520.70936314447</v>
      </c>
      <c r="T1080" s="182" t="s">
        <v>45</v>
      </c>
      <c r="U1080" s="183">
        <v>3.7124000000000001</v>
      </c>
      <c r="V1080" s="179">
        <v>23942.400000000001</v>
      </c>
      <c r="W1080" s="179">
        <v>6349.2053184277329</v>
      </c>
      <c r="X1080" s="196" t="s">
        <v>45</v>
      </c>
      <c r="Y1080" s="200">
        <v>3.7124000000000001</v>
      </c>
      <c r="Z1080" s="220" t="s">
        <v>473</v>
      </c>
      <c r="AA1080" s="201">
        <f>Delivery[[#This Row],[Quantity delivered]]*VLOOKUP(Delivery[[#This Row],[Unit]],References!$U:$X,4,FALSE)*VLOOKUP(CONCATENATE(Delivery[[#This Row],[Coffee specie]],Delivery[[#This Row],[Coffee state]]),References!$U:$X,4,FALSE)</f>
        <v>38680</v>
      </c>
      <c r="AB1080" s="202">
        <f>SUMIF(Allocation!C:C,Delivery[[#This Row],[Delivery ID]],Allocation!D:D)/Delivery[[#This Row],[Quantity delivered]]</f>
        <v>0.90157704239917269</v>
      </c>
      <c r="AC1080" s="203">
        <f>Delivery[[#This Row],[Quantity delivered]]*Delivery[[#This Row],[Base price (Unidad)]]/60</f>
        <v>285276.65557333338</v>
      </c>
      <c r="AD1080" s="204">
        <f>Delivery[[#This Row],[Nespresso total]]-Delivery[[#This Row],[Qt. Delivery * Base Price]]</f>
        <v>2244.0537898110924</v>
      </c>
      <c r="AE1080" s="204">
        <f>Delivery[[#This Row],[AAA Premium (total)]]/Delivery[[#This Row],[Quantity delivered]]*60/Delivery[[#This Row],[Exchange rate VS USD]]</f>
        <v>10.004092603596746</v>
      </c>
      <c r="AF1080" s="204">
        <f>Delivery[[#This Row],[BEN premium (total)]]/Delivery[[#This Row],[Quantity delivered]]*60/Delivery[[#This Row],[Exchange rate for premiums VS USD]]</f>
        <v>2.6529519999999995</v>
      </c>
      <c r="AG1080" s="204">
        <f>COUNTIF(Delivery[Delivery ID],Delivery[[#This Row],[Delivery ID]])</f>
        <v>1</v>
      </c>
      <c r="AH1080" s="204">
        <f>(Delivery[[#This Row],[Nespresso total]]/SUMIF(Allocation!C:C,Delivery[Delivery ID],Allocation!H:H))/Delivery[[#This Row],[Exchange rate VS USD]]</f>
        <v>5.5522791513448855</v>
      </c>
      <c r="AI1080" s="204">
        <f>(Delivery[[#This Row],[AAA Premium (total)]]/SUMIF(Allocation!C:C,Delivery[Delivery ID],Allocation!H:H))/Delivery[[#This Row],[Exchange rate VS USD]]</f>
        <v>0.46234891617932239</v>
      </c>
      <c r="AJ1080" s="204">
        <f>Delivery[[#This Row],[Valor Prêmio Nespresso AAA por Kg (em US$)]]*60</f>
        <v>27.740934970759344</v>
      </c>
      <c r="AK1080" s="204">
        <f>Delivery[[#This Row],[Valor Prêmio Nespresso AAA por saca (em US$)]]/1.3228/100</f>
        <v>0.20971375091290706</v>
      </c>
      <c r="AL1080" s="204">
        <f>(Delivery[[#This Row],[BEN premium (total)]]/SUMIF(Allocation!C:C,Delivery[Delivery ID],Allocation!H:H))/Delivery[[#This Row],[Exchange rate for premiums VS USD]]</f>
        <v>0.12260876927856237</v>
      </c>
      <c r="AM1080" s="204">
        <f>Delivery[[#This Row],[Valor Prêmio Nespresso BEN por Kg (em US$)]]*60</f>
        <v>7.3565261567137421</v>
      </c>
      <c r="AN1080" s="204">
        <f>Delivery[[#This Row],[Valor Prêmio Nespresso BEN por saca (em US$)]]/1.3228/100</f>
        <v>5.5613291175640629E-2</v>
      </c>
      <c r="AO1080" s="204">
        <f>SUMIF(Allocation[Delivery ID],Delivery[[#This Row],[Delivery ID]],Allocation[Quantity allocated])*16*1.3228*Delivery[[#This Row],[Exchange rate VS USD]]/60</f>
        <v>18266.727781674665</v>
      </c>
      <c r="AP1080" s="204">
        <f>Delivery[[#This Row],[AAA Premium (total)]]</f>
        <v>23942.400000000001</v>
      </c>
      <c r="AQ1080" s="204">
        <f>Delivery[[#This Row],[Valor pago pelo Cluster]]-Delivery[[#This Row],[Valor efetivamente pago pela Nespresso]]</f>
        <v>5675.6722183253369</v>
      </c>
    </row>
    <row r="1081" spans="1:43" ht="15.75">
      <c r="A1081" s="174" t="s">
        <v>69</v>
      </c>
      <c r="B1081" s="232" t="s">
        <v>68</v>
      </c>
      <c r="C1081" s="157">
        <v>1</v>
      </c>
      <c r="D1081" s="157" t="s">
        <v>468</v>
      </c>
      <c r="E1081" s="177" t="s">
        <v>468</v>
      </c>
      <c r="F1081" s="233" t="s">
        <v>543</v>
      </c>
      <c r="G1081" s="234">
        <v>43411</v>
      </c>
      <c r="H1081" s="157" t="s">
        <v>1718</v>
      </c>
      <c r="I1081" s="157" t="s">
        <v>1431</v>
      </c>
      <c r="J1081" s="237">
        <v>38790</v>
      </c>
      <c r="K1081" s="175" t="s">
        <v>61</v>
      </c>
      <c r="L1081" s="175" t="s">
        <v>439</v>
      </c>
      <c r="M1081" s="175" t="s">
        <v>1343</v>
      </c>
      <c r="N1081" s="198"/>
      <c r="O1081" s="199"/>
      <c r="P1081" s="181">
        <v>0</v>
      </c>
      <c r="Q1081" s="177">
        <v>43396</v>
      </c>
      <c r="R1081" s="178">
        <v>442.51808000000005</v>
      </c>
      <c r="S1081" s="179">
        <v>287484.59702679364</v>
      </c>
      <c r="T1081" s="182" t="s">
        <v>45</v>
      </c>
      <c r="U1081" s="183">
        <v>3.7124000000000001</v>
      </c>
      <c r="V1081" s="179">
        <v>23942.400000000001</v>
      </c>
      <c r="W1081" s="179">
        <v>6367.2614866032</v>
      </c>
      <c r="X1081" s="196" t="s">
        <v>45</v>
      </c>
      <c r="Y1081" s="200">
        <v>3.7124000000000001</v>
      </c>
      <c r="Z1081" s="220" t="s">
        <v>473</v>
      </c>
      <c r="AA1081" s="201">
        <f>Delivery[[#This Row],[Quantity delivered]]*VLOOKUP(Delivery[[#This Row],[Unit]],References!$U:$X,4,FALSE)*VLOOKUP(CONCATENATE(Delivery[[#This Row],[Coffee specie]],Delivery[[#This Row],[Coffee state]]),References!$U:$X,4,FALSE)</f>
        <v>38790</v>
      </c>
      <c r="AB1081" s="202">
        <f>SUMIF(Allocation!C:C,Delivery[[#This Row],[Delivery ID]],Allocation!D:D)/Delivery[[#This Row],[Quantity delivered]]</f>
        <v>0.90159835009022948</v>
      </c>
      <c r="AC1081" s="203">
        <f>Delivery[[#This Row],[Quantity delivered]]*Delivery[[#This Row],[Base price (Unidad)]]/60</f>
        <v>286087.93872000003</v>
      </c>
      <c r="AD1081" s="204">
        <f>Delivery[[#This Row],[Nespresso total]]-Delivery[[#This Row],[Qt. Delivery * Base Price]]</f>
        <v>1396.6583067936008</v>
      </c>
      <c r="AE1081" s="204">
        <f>Delivery[[#This Row],[AAA Premium (total)]]/Delivery[[#This Row],[Quantity delivered]]*60/Delivery[[#This Row],[Exchange rate VS USD]]</f>
        <v>9.9757231736819296</v>
      </c>
      <c r="AF1081" s="204">
        <f>Delivery[[#This Row],[BEN premium (total)]]/Delivery[[#This Row],[Quantity delivered]]*60/Delivery[[#This Row],[Exchange rate for premiums VS USD]]</f>
        <v>2.6529519999999995</v>
      </c>
      <c r="AG1081" s="204">
        <f>COUNTIF(Delivery[Delivery ID],Delivery[[#This Row],[Delivery ID]])</f>
        <v>1</v>
      </c>
      <c r="AH1081" s="204">
        <f>(Delivery[[#This Row],[Nespresso total]]/SUMIF(Allocation!C:C,Delivery[Delivery ID],Allocation!H:H))/Delivery[[#This Row],[Exchange rate VS USD]]</f>
        <v>5.5353119650781402</v>
      </c>
      <c r="AI1081" s="204">
        <f>(Delivery[[#This Row],[AAA Premium (total)]]/SUMIF(Allocation!C:C,Delivery[Delivery ID],Allocation!H:H))/Delivery[[#This Row],[Exchange rate VS USD]]</f>
        <v>0.46099392650360033</v>
      </c>
      <c r="AJ1081" s="204">
        <f>Delivery[[#This Row],[Valor Prêmio Nespresso AAA por Kg (em US$)]]*60</f>
        <v>27.65963559021602</v>
      </c>
      <c r="AK1081" s="204">
        <f>Delivery[[#This Row],[Valor Prêmio Nespresso AAA por saca (em US$)]]/1.3228/100</f>
        <v>0.20909915021330527</v>
      </c>
      <c r="AL1081" s="204">
        <f>(Delivery[[#This Row],[BEN premium (total)]]/SUMIF(Allocation!C:C,Delivery[Delivery ID],Allocation!H:H))/Delivery[[#This Row],[Exchange rate for premiums VS USD]]</f>
        <v>0.1225971027877055</v>
      </c>
      <c r="AM1081" s="204">
        <f>Delivery[[#This Row],[Valor Prêmio Nespresso BEN por Kg (em US$)]]*60</f>
        <v>7.3558261672623297</v>
      </c>
      <c r="AN1081" s="204">
        <f>Delivery[[#This Row],[Valor Prêmio Nespresso BEN por saca (em US$)]]/1.3228/100</f>
        <v>5.5607999450123451E-2</v>
      </c>
      <c r="AO1081" s="204">
        <f>SUMIF(Allocation[Delivery ID],Delivery[[#This Row],[Delivery ID]],Allocation[Quantity allocated])*16*1.3228*Delivery[[#This Row],[Exchange rate VS USD]]/60</f>
        <v>18320.418787413331</v>
      </c>
      <c r="AP1081" s="204">
        <f>Delivery[[#This Row],[AAA Premium (total)]]</f>
        <v>23942.400000000001</v>
      </c>
      <c r="AQ1081" s="204">
        <f>Delivery[[#This Row],[Valor pago pelo Cluster]]-Delivery[[#This Row],[Valor efetivamente pago pela Nespresso]]</f>
        <v>5621.9812125866702</v>
      </c>
    </row>
    <row r="1082" spans="1:43" ht="15.75">
      <c r="A1082" s="174" t="s">
        <v>69</v>
      </c>
      <c r="B1082" s="232" t="s">
        <v>68</v>
      </c>
      <c r="C1082" s="157">
        <v>1</v>
      </c>
      <c r="D1082" s="157" t="s">
        <v>468</v>
      </c>
      <c r="E1082" s="177" t="s">
        <v>468</v>
      </c>
      <c r="F1082" s="233" t="s">
        <v>543</v>
      </c>
      <c r="G1082" s="234">
        <v>43412</v>
      </c>
      <c r="H1082" s="157" t="s">
        <v>1303</v>
      </c>
      <c r="I1082" s="157" t="s">
        <v>1094</v>
      </c>
      <c r="J1082" s="237">
        <v>30020</v>
      </c>
      <c r="K1082" s="175" t="s">
        <v>61</v>
      </c>
      <c r="L1082" s="175" t="s">
        <v>439</v>
      </c>
      <c r="M1082" s="175" t="s">
        <v>1343</v>
      </c>
      <c r="N1082" s="198"/>
      <c r="O1082" s="199"/>
      <c r="P1082" s="181">
        <v>0</v>
      </c>
      <c r="Q1082" s="177">
        <v>43405</v>
      </c>
      <c r="R1082" s="178">
        <v>442.03589999999997</v>
      </c>
      <c r="S1082" s="179">
        <v>218906.57227991952</v>
      </c>
      <c r="T1082" s="182" t="s">
        <v>45</v>
      </c>
      <c r="U1082" s="183">
        <v>3.7067999999999999</v>
      </c>
      <c r="V1082" s="179">
        <v>12975</v>
      </c>
      <c r="W1082" s="179">
        <v>4059.21386004024</v>
      </c>
      <c r="X1082" s="196" t="s">
        <v>45</v>
      </c>
      <c r="Y1082" s="200">
        <v>3.7067999999999999</v>
      </c>
      <c r="Z1082" s="220" t="s">
        <v>473</v>
      </c>
      <c r="AA1082" s="201">
        <f>Delivery[[#This Row],[Quantity delivered]]*VLOOKUP(Delivery[[#This Row],[Unit]],References!$U:$X,4,FALSE)*VLOOKUP(CONCATENATE(Delivery[[#This Row],[Coffee specie]],Delivery[[#This Row],[Coffee state]]),References!$U:$X,4,FALSE)</f>
        <v>30020</v>
      </c>
      <c r="AB1082" s="202">
        <f>SUMIF(Allocation!C:C,Delivery[[#This Row],[Delivery ID]],Allocation!D:D)/Delivery[[#This Row],[Quantity delivered]]</f>
        <v>1</v>
      </c>
      <c r="AC1082" s="203">
        <f>Delivery[[#This Row],[Quantity delivered]]*Delivery[[#This Row],[Base price (Unidad)]]/60</f>
        <v>221165.29529999997</v>
      </c>
      <c r="AD1082" s="204">
        <f>Delivery[[#This Row],[Nespresso total]]-Delivery[[#This Row],[Qt. Delivery * Base Price]]</f>
        <v>-2258.7230200804479</v>
      </c>
      <c r="AE1082" s="204">
        <f>Delivery[[#This Row],[AAA Premium (total)]]/Delivery[[#This Row],[Quantity delivered]]*60/Delivery[[#This Row],[Exchange rate VS USD]]</f>
        <v>6.9959834697446768</v>
      </c>
      <c r="AF1082" s="204">
        <f>Delivery[[#This Row],[BEN premium (total)]]/Delivery[[#This Row],[Quantity delivered]]*60/Delivery[[#This Row],[Exchange rate for premiums VS USD]]</f>
        <v>2.1886853999999998</v>
      </c>
      <c r="AG1082" s="204">
        <f>COUNTIF(Delivery[Delivery ID],Delivery[[#This Row],[Delivery ID]])</f>
        <v>1</v>
      </c>
      <c r="AH1082" s="204">
        <f>(Delivery[[#This Row],[Nespresso total]]/SUMIF(Allocation!C:C,Delivery[Delivery ID],Allocation!H:H))/Delivery[[#This Row],[Exchange rate VS USD]]</f>
        <v>5.9609775106156269</v>
      </c>
      <c r="AI1082" s="204">
        <f>(Delivery[[#This Row],[AAA Premium (total)]]/SUMIF(Allocation!C:C,Delivery[Delivery ID],Allocation!H:H))/Delivery[[#This Row],[Exchange rate VS USD]]</f>
        <v>0.353318232498461</v>
      </c>
      <c r="AJ1082" s="204">
        <f>Delivery[[#This Row],[Valor Prêmio Nespresso AAA por Kg (em US$)]]*60</f>
        <v>21.19909394990766</v>
      </c>
      <c r="AK1082" s="204">
        <f>Delivery[[#This Row],[Valor Prêmio Nespresso AAA por saca (em US$)]]/1.3228/100</f>
        <v>0.1602592527208018</v>
      </c>
      <c r="AL1082" s="204">
        <f>(Delivery[[#This Row],[BEN premium (total)]]/SUMIF(Allocation!C:C,Delivery[Delivery ID],Allocation!H:H))/Delivery[[#This Row],[Exchange rate for premiums VS USD]]</f>
        <v>0.11053520357323104</v>
      </c>
      <c r="AM1082" s="204">
        <f>Delivery[[#This Row],[Valor Prêmio Nespresso BEN por Kg (em US$)]]*60</f>
        <v>6.6321122143938629</v>
      </c>
      <c r="AN1082" s="204">
        <f>Delivery[[#This Row],[Valor Prêmio Nespresso BEN por saca (em US$)]]/1.3228/100</f>
        <v>5.0136923302040087E-2</v>
      </c>
      <c r="AO1082" s="204">
        <f>SUMIF(Allocation[Delivery ID],Delivery[[#This Row],[Delivery ID]],Allocation[Quantity allocated])*16*1.3228*Delivery[[#This Row],[Exchange rate VS USD]]/60</f>
        <v>12954.010235008</v>
      </c>
      <c r="AP1082" s="204">
        <f>Delivery[[#This Row],[AAA Premium (total)]]</f>
        <v>12975</v>
      </c>
      <c r="AQ1082" s="204">
        <f>Delivery[[#This Row],[Valor pago pelo Cluster]]-Delivery[[#This Row],[Valor efetivamente pago pela Nespresso]]</f>
        <v>20.989764992000346</v>
      </c>
    </row>
    <row r="1083" spans="1:43" ht="15.75">
      <c r="A1083" s="174" t="s">
        <v>69</v>
      </c>
      <c r="B1083" s="232" t="s">
        <v>68</v>
      </c>
      <c r="C1083" s="157">
        <v>1</v>
      </c>
      <c r="D1083" s="157" t="s">
        <v>468</v>
      </c>
      <c r="E1083" s="177" t="s">
        <v>468</v>
      </c>
      <c r="F1083" s="233" t="s">
        <v>543</v>
      </c>
      <c r="G1083" s="234">
        <v>43412</v>
      </c>
      <c r="H1083" s="235" t="s">
        <v>1719</v>
      </c>
      <c r="I1083" s="157" t="s">
        <v>1094</v>
      </c>
      <c r="J1083" s="237">
        <v>10490</v>
      </c>
      <c r="K1083" s="175" t="s">
        <v>61</v>
      </c>
      <c r="L1083" s="175" t="s">
        <v>439</v>
      </c>
      <c r="M1083" s="175" t="s">
        <v>1343</v>
      </c>
      <c r="N1083" s="198"/>
      <c r="O1083" s="199"/>
      <c r="P1083" s="181">
        <v>0</v>
      </c>
      <c r="Q1083" s="177">
        <v>43405</v>
      </c>
      <c r="R1083" s="178">
        <v>442.03589999999997</v>
      </c>
      <c r="S1083" s="179">
        <v>79458.75</v>
      </c>
      <c r="T1083" s="182" t="s">
        <v>45</v>
      </c>
      <c r="U1083" s="183">
        <v>3.7067999999999999</v>
      </c>
      <c r="V1083" s="179">
        <v>4541.75</v>
      </c>
      <c r="W1083" s="179">
        <v>0</v>
      </c>
      <c r="X1083" s="196" t="s">
        <v>45</v>
      </c>
      <c r="Y1083" s="200">
        <v>3.7067999999999999</v>
      </c>
      <c r="Z1083" s="221"/>
      <c r="AA1083" s="201">
        <f>Delivery[[#This Row],[Quantity delivered]]*VLOOKUP(Delivery[[#This Row],[Unit]],References!$U:$X,4,FALSE)*VLOOKUP(CONCATENATE(Delivery[[#This Row],[Coffee specie]],Delivery[[#This Row],[Coffee state]]),References!$U:$X,4,FALSE)</f>
        <v>10490</v>
      </c>
      <c r="AB1083" s="202">
        <f>SUMIF(Allocation!C:C,Delivery[[#This Row],[Delivery ID]],Allocation!D:D)/Delivery[[#This Row],[Quantity delivered]]</f>
        <v>0.35938989513822689</v>
      </c>
      <c r="AC1083" s="203">
        <f>Delivery[[#This Row],[Quantity delivered]]*Delivery[[#This Row],[Base price (Unidad)]]/60</f>
        <v>77282.609849999993</v>
      </c>
      <c r="AD1083" s="204">
        <f>Delivery[[#This Row],[Nespresso total]]-Delivery[[#This Row],[Qt. Delivery * Base Price]]</f>
        <v>2176.1401500000065</v>
      </c>
      <c r="AE1083" s="204">
        <f>Delivery[[#This Row],[AAA Premium (total)]]/Delivery[[#This Row],[Quantity delivered]]*60/Delivery[[#This Row],[Exchange rate VS USD]]</f>
        <v>7.0080926168411484</v>
      </c>
      <c r="AF1083" s="204">
        <f>Delivery[[#This Row],[BEN premium (total)]]/Delivery[[#This Row],[Quantity delivered]]*60/Delivery[[#This Row],[Exchange rate for premiums VS USD]]</f>
        <v>0</v>
      </c>
      <c r="AG1083" s="204">
        <f>COUNTIF(Delivery[Delivery ID],Delivery[[#This Row],[Delivery ID]])</f>
        <v>1</v>
      </c>
      <c r="AH1083" s="204">
        <f>(Delivery[[#This Row],[Nespresso total]]/SUMIF(Allocation!C:C,Delivery[Delivery ID],Allocation!H:H))/Delivery[[#This Row],[Exchange rate VS USD]]</f>
        <v>17.231464672382764</v>
      </c>
      <c r="AI1083" s="204">
        <f>(Delivery[[#This Row],[AAA Premium (total)]]/SUMIF(Allocation!C:C,Delivery[Delivery ID],Allocation!H:H))/Delivery[[#This Row],[Exchange rate VS USD]]</f>
        <v>0.98492619976773377</v>
      </c>
      <c r="AJ1083" s="204">
        <f>Delivery[[#This Row],[Valor Prêmio Nespresso AAA por Kg (em US$)]]*60</f>
        <v>59.095571986064023</v>
      </c>
      <c r="AK1083" s="204">
        <f>Delivery[[#This Row],[Valor Prêmio Nespresso AAA por saca (em US$)]]/1.3228/100</f>
        <v>0.44674608395875431</v>
      </c>
      <c r="AL1083" s="204">
        <f>(Delivery[[#This Row],[BEN premium (total)]]/SUMIF(Allocation!C:C,Delivery[Delivery ID],Allocation!H:H))/Delivery[[#This Row],[Exchange rate for premiums VS USD]]</f>
        <v>0</v>
      </c>
      <c r="AM1083" s="204">
        <f>Delivery[[#This Row],[Valor Prêmio Nespresso BEN por Kg (em US$)]]*60</f>
        <v>0</v>
      </c>
      <c r="AN1083" s="204">
        <f>Delivery[[#This Row],[Valor Prêmio Nespresso BEN por saca (em US$)]]/1.3228/100</f>
        <v>0</v>
      </c>
      <c r="AO1083" s="204">
        <f>SUMIF(Allocation[Delivery ID],Delivery[[#This Row],[Delivery ID]],Allocation[Quantity allocated])*16*1.3228*Delivery[[#This Row],[Exchange rate VS USD]]/60</f>
        <v>1626.6063119360001</v>
      </c>
      <c r="AP1083" s="204">
        <f>Delivery[[#This Row],[AAA Premium (total)]]</f>
        <v>4541.75</v>
      </c>
      <c r="AQ1083" s="204">
        <f>Delivery[[#This Row],[Valor pago pelo Cluster]]-Delivery[[#This Row],[Valor efetivamente pago pela Nespresso]]</f>
        <v>2915.1436880639999</v>
      </c>
    </row>
    <row r="1084" spans="1:43" ht="15.75">
      <c r="A1084" s="174" t="s">
        <v>69</v>
      </c>
      <c r="B1084" s="232" t="s">
        <v>68</v>
      </c>
      <c r="C1084" s="157">
        <v>1</v>
      </c>
      <c r="D1084" s="157" t="s">
        <v>468</v>
      </c>
      <c r="E1084" s="177" t="s">
        <v>468</v>
      </c>
      <c r="F1084" s="233" t="s">
        <v>543</v>
      </c>
      <c r="G1084" s="234">
        <v>43412</v>
      </c>
      <c r="H1084" s="157" t="s">
        <v>1304</v>
      </c>
      <c r="I1084" s="157" t="s">
        <v>1094</v>
      </c>
      <c r="J1084" s="237">
        <v>30020</v>
      </c>
      <c r="K1084" s="175" t="s">
        <v>61</v>
      </c>
      <c r="L1084" s="175" t="s">
        <v>439</v>
      </c>
      <c r="M1084" s="175" t="s">
        <v>1343</v>
      </c>
      <c r="N1084" s="198"/>
      <c r="O1084" s="199"/>
      <c r="P1084" s="181">
        <v>0</v>
      </c>
      <c r="Q1084" s="177">
        <v>43405</v>
      </c>
      <c r="R1084" s="178">
        <v>442.03589999999997</v>
      </c>
      <c r="S1084" s="179">
        <v>218906.57227991952</v>
      </c>
      <c r="T1084" s="182" t="s">
        <v>45</v>
      </c>
      <c r="U1084" s="183">
        <v>3.7067999999999999</v>
      </c>
      <c r="V1084" s="179">
        <v>12975</v>
      </c>
      <c r="W1084" s="179">
        <v>4059.21386004024</v>
      </c>
      <c r="X1084" s="196" t="s">
        <v>45</v>
      </c>
      <c r="Y1084" s="200">
        <v>3.7067999999999999</v>
      </c>
      <c r="Z1084" s="220" t="s">
        <v>473</v>
      </c>
      <c r="AA1084" s="201">
        <f>Delivery[[#This Row],[Quantity delivered]]*VLOOKUP(Delivery[[#This Row],[Unit]],References!$U:$X,4,FALSE)*VLOOKUP(CONCATENATE(Delivery[[#This Row],[Coffee specie]],Delivery[[#This Row],[Coffee state]]),References!$U:$X,4,FALSE)</f>
        <v>30020</v>
      </c>
      <c r="AB1084" s="202">
        <f>SUMIF(Allocation!C:C,Delivery[[#This Row],[Delivery ID]],Allocation!D:D)/Delivery[[#This Row],[Quantity delivered]]</f>
        <v>1</v>
      </c>
      <c r="AC1084" s="203">
        <f>Delivery[[#This Row],[Quantity delivered]]*Delivery[[#This Row],[Base price (Unidad)]]/60</f>
        <v>221165.29529999997</v>
      </c>
      <c r="AD1084" s="204">
        <f>Delivery[[#This Row],[Nespresso total]]-Delivery[[#This Row],[Qt. Delivery * Base Price]]</f>
        <v>-2258.7230200804479</v>
      </c>
      <c r="AE1084" s="204">
        <f>Delivery[[#This Row],[AAA Premium (total)]]/Delivery[[#This Row],[Quantity delivered]]*60/Delivery[[#This Row],[Exchange rate VS USD]]</f>
        <v>6.9959834697446768</v>
      </c>
      <c r="AF1084" s="204">
        <f>Delivery[[#This Row],[BEN premium (total)]]/Delivery[[#This Row],[Quantity delivered]]*60/Delivery[[#This Row],[Exchange rate for premiums VS USD]]</f>
        <v>2.1886853999999998</v>
      </c>
      <c r="AG1084" s="204">
        <f>COUNTIF(Delivery[Delivery ID],Delivery[[#This Row],[Delivery ID]])</f>
        <v>1</v>
      </c>
      <c r="AH1084" s="204">
        <f>(Delivery[[#This Row],[Nespresso total]]/SUMIF(Allocation!C:C,Delivery[Delivery ID],Allocation!H:H))/Delivery[[#This Row],[Exchange rate VS USD]]</f>
        <v>5.9609775106156269</v>
      </c>
      <c r="AI1084" s="204">
        <f>(Delivery[[#This Row],[AAA Premium (total)]]/SUMIF(Allocation!C:C,Delivery[Delivery ID],Allocation!H:H))/Delivery[[#This Row],[Exchange rate VS USD]]</f>
        <v>0.353318232498461</v>
      </c>
      <c r="AJ1084" s="204">
        <f>Delivery[[#This Row],[Valor Prêmio Nespresso AAA por Kg (em US$)]]*60</f>
        <v>21.19909394990766</v>
      </c>
      <c r="AK1084" s="204">
        <f>Delivery[[#This Row],[Valor Prêmio Nespresso AAA por saca (em US$)]]/1.3228/100</f>
        <v>0.1602592527208018</v>
      </c>
      <c r="AL1084" s="204">
        <f>(Delivery[[#This Row],[BEN premium (total)]]/SUMIF(Allocation!C:C,Delivery[Delivery ID],Allocation!H:H))/Delivery[[#This Row],[Exchange rate for premiums VS USD]]</f>
        <v>0.11053520357323104</v>
      </c>
      <c r="AM1084" s="204">
        <f>Delivery[[#This Row],[Valor Prêmio Nespresso BEN por Kg (em US$)]]*60</f>
        <v>6.6321122143938629</v>
      </c>
      <c r="AN1084" s="204">
        <f>Delivery[[#This Row],[Valor Prêmio Nespresso BEN por saca (em US$)]]/1.3228/100</f>
        <v>5.0136923302040087E-2</v>
      </c>
      <c r="AO1084" s="204">
        <f>SUMIF(Allocation[Delivery ID],Delivery[[#This Row],[Delivery ID]],Allocation[Quantity allocated])*16*1.3228*Delivery[[#This Row],[Exchange rate VS USD]]/60</f>
        <v>12954.010235008</v>
      </c>
      <c r="AP1084" s="204">
        <f>Delivery[[#This Row],[AAA Premium (total)]]</f>
        <v>12975</v>
      </c>
      <c r="AQ1084" s="204">
        <f>Delivery[[#This Row],[Valor pago pelo Cluster]]-Delivery[[#This Row],[Valor efetivamente pago pela Nespresso]]</f>
        <v>20.989764992000346</v>
      </c>
    </row>
    <row r="1085" spans="1:43" ht="15.75">
      <c r="A1085" s="174" t="s">
        <v>69</v>
      </c>
      <c r="B1085" s="232" t="s">
        <v>68</v>
      </c>
      <c r="C1085" s="157">
        <v>1</v>
      </c>
      <c r="D1085" s="157" t="s">
        <v>468</v>
      </c>
      <c r="E1085" s="177" t="s">
        <v>468</v>
      </c>
      <c r="F1085" s="233" t="s">
        <v>543</v>
      </c>
      <c r="G1085" s="234">
        <v>43412</v>
      </c>
      <c r="H1085" s="157" t="s">
        <v>1305</v>
      </c>
      <c r="I1085" s="157" t="s">
        <v>1094</v>
      </c>
      <c r="J1085" s="237">
        <v>29550</v>
      </c>
      <c r="K1085" s="175" t="s">
        <v>61</v>
      </c>
      <c r="L1085" s="175" t="s">
        <v>439</v>
      </c>
      <c r="M1085" s="175" t="s">
        <v>1343</v>
      </c>
      <c r="N1085" s="198"/>
      <c r="O1085" s="199"/>
      <c r="P1085" s="181">
        <v>0</v>
      </c>
      <c r="Q1085" s="177">
        <v>43405</v>
      </c>
      <c r="R1085" s="178">
        <v>442.03589999999997</v>
      </c>
      <c r="S1085" s="179">
        <v>215401.27624489079</v>
      </c>
      <c r="T1085" s="182" t="s">
        <v>45</v>
      </c>
      <c r="U1085" s="183">
        <v>3.7067999999999999</v>
      </c>
      <c r="V1085" s="179">
        <v>12767.4</v>
      </c>
      <c r="W1085" s="179">
        <v>3995.6618775545999</v>
      </c>
      <c r="X1085" s="196" t="s">
        <v>45</v>
      </c>
      <c r="Y1085" s="200">
        <v>3.7067999999999999</v>
      </c>
      <c r="Z1085" s="220" t="s">
        <v>473</v>
      </c>
      <c r="AA1085" s="201">
        <f>Delivery[[#This Row],[Quantity delivered]]*VLOOKUP(Delivery[[#This Row],[Unit]],References!$U:$X,4,FALSE)*VLOOKUP(CONCATENATE(Delivery[[#This Row],[Coffee specie]],Delivery[[#This Row],[Coffee state]]),References!$U:$X,4,FALSE)</f>
        <v>29550</v>
      </c>
      <c r="AB1085" s="202">
        <f>SUMIF(Allocation!C:C,Delivery[[#This Row],[Delivery ID]],Allocation!D:D)/Delivery[[#This Row],[Quantity delivered]]</f>
        <v>1</v>
      </c>
      <c r="AC1085" s="203">
        <f>Delivery[[#This Row],[Quantity delivered]]*Delivery[[#This Row],[Base price (Unidad)]]/60</f>
        <v>217702.68074999997</v>
      </c>
      <c r="AD1085" s="204">
        <f>Delivery[[#This Row],[Nespresso total]]-Delivery[[#This Row],[Qt. Delivery * Base Price]]</f>
        <v>-2301.4045051091816</v>
      </c>
      <c r="AE1085" s="204">
        <f>Delivery[[#This Row],[AAA Premium (total)]]/Delivery[[#This Row],[Quantity delivered]]*60/Delivery[[#This Row],[Exchange rate VS USD]]</f>
        <v>6.993540202421233</v>
      </c>
      <c r="AF1085" s="204">
        <f>Delivery[[#This Row],[BEN premium (total)]]/Delivery[[#This Row],[Quantity delivered]]*60/Delivery[[#This Row],[Exchange rate for premiums VS USD]]</f>
        <v>2.1886853999999998</v>
      </c>
      <c r="AG1085" s="204">
        <f>COUNTIF(Delivery[Delivery ID],Delivery[[#This Row],[Delivery ID]])</f>
        <v>1</v>
      </c>
      <c r="AH1085" s="204">
        <f>(Delivery[[#This Row],[Nespresso total]]/SUMIF(Allocation!C:C,Delivery[Delivery ID],Allocation!H:H))/Delivery[[#This Row],[Exchange rate VS USD]]</f>
        <v>5.869673214417042</v>
      </c>
      <c r="AI1085" s="204">
        <f>(Delivery[[#This Row],[AAA Premium (total)]]/SUMIF(Allocation!C:C,Delivery[Delivery ID],Allocation!H:H))/Delivery[[#This Row],[Exchange rate VS USD]]</f>
        <v>0.34791096461539972</v>
      </c>
      <c r="AJ1085" s="204">
        <f>Delivery[[#This Row],[Valor Prêmio Nespresso AAA por Kg (em US$)]]*60</f>
        <v>20.874657876923983</v>
      </c>
      <c r="AK1085" s="204">
        <f>Delivery[[#This Row],[Valor Prêmio Nespresso AAA por saca (em US$)]]/1.3228/100</f>
        <v>0.1578066062664347</v>
      </c>
      <c r="AL1085" s="204">
        <f>(Delivery[[#This Row],[BEN premium (total)]]/SUMIF(Allocation!C:C,Delivery[Delivery ID],Allocation!H:H))/Delivery[[#This Row],[Exchange rate for premiums VS USD]]</f>
        <v>0.10888157166666666</v>
      </c>
      <c r="AM1085" s="204">
        <f>Delivery[[#This Row],[Valor Prêmio Nespresso BEN por Kg (em US$)]]*60</f>
        <v>6.5328942999999997</v>
      </c>
      <c r="AN1085" s="204">
        <f>Delivery[[#This Row],[Valor Prêmio Nespresso BEN por saca (em US$)]]/1.3228/100</f>
        <v>4.938686347142425E-2</v>
      </c>
      <c r="AO1085" s="204">
        <f>SUMIF(Allocation[Delivery ID],Delivery[[#This Row],[Delivery ID]],Allocation[Quantity allocated])*16*1.3228*Delivery[[#This Row],[Exchange rate VS USD]]/60</f>
        <v>12944.857305599999</v>
      </c>
      <c r="AP1085" s="204">
        <f>Delivery[[#This Row],[AAA Premium (total)]]</f>
        <v>12767.4</v>
      </c>
      <c r="AQ1085" s="204">
        <f>Delivery[[#This Row],[Valor pago pelo Cluster]]-Delivery[[#This Row],[Valor efetivamente pago pela Nespresso]]</f>
        <v>-177.45730559999902</v>
      </c>
    </row>
    <row r="1086" spans="1:43" ht="15.75">
      <c r="A1086" s="174" t="s">
        <v>69</v>
      </c>
      <c r="B1086" s="232" t="s">
        <v>68</v>
      </c>
      <c r="C1086" s="157">
        <v>1</v>
      </c>
      <c r="D1086" s="157" t="s">
        <v>468</v>
      </c>
      <c r="E1086" s="177" t="s">
        <v>468</v>
      </c>
      <c r="F1086" s="233" t="s">
        <v>543</v>
      </c>
      <c r="G1086" s="234">
        <v>43412</v>
      </c>
      <c r="H1086" s="157" t="s">
        <v>1306</v>
      </c>
      <c r="I1086" s="157" t="s">
        <v>1094</v>
      </c>
      <c r="J1086" s="237">
        <v>30030</v>
      </c>
      <c r="K1086" s="175" t="s">
        <v>61</v>
      </c>
      <c r="L1086" s="175" t="s">
        <v>439</v>
      </c>
      <c r="M1086" s="175" t="s">
        <v>1343</v>
      </c>
      <c r="N1086" s="198"/>
      <c r="O1086" s="199"/>
      <c r="P1086" s="181">
        <v>0</v>
      </c>
      <c r="Q1086" s="177">
        <v>43405</v>
      </c>
      <c r="R1086" s="178">
        <v>442.03589999999997</v>
      </c>
      <c r="S1086" s="179">
        <v>218903.86794023926</v>
      </c>
      <c r="T1086" s="182" t="s">
        <v>45</v>
      </c>
      <c r="U1086" s="183">
        <v>3.7067999999999999</v>
      </c>
      <c r="V1086" s="179">
        <v>12975</v>
      </c>
      <c r="W1086" s="179">
        <v>4060.56602988036</v>
      </c>
      <c r="X1086" s="196" t="s">
        <v>45</v>
      </c>
      <c r="Y1086" s="200">
        <v>3.7067999999999999</v>
      </c>
      <c r="Z1086" s="220" t="s">
        <v>473</v>
      </c>
      <c r="AA1086" s="201">
        <f>Delivery[[#This Row],[Quantity delivered]]*VLOOKUP(Delivery[[#This Row],[Unit]],References!$U:$X,4,FALSE)*VLOOKUP(CONCATENATE(Delivery[[#This Row],[Coffee specie]],Delivery[[#This Row],[Coffee state]]),References!$U:$X,4,FALSE)</f>
        <v>30030</v>
      </c>
      <c r="AB1086" s="202">
        <f>SUMIF(Allocation!C:C,Delivery[[#This Row],[Delivery ID]],Allocation!D:D)/Delivery[[#This Row],[Quantity delivered]]</f>
        <v>1</v>
      </c>
      <c r="AC1086" s="203">
        <f>Delivery[[#This Row],[Quantity delivered]]*Delivery[[#This Row],[Base price (Unidad)]]/60</f>
        <v>221238.96794999999</v>
      </c>
      <c r="AD1086" s="204">
        <f>Delivery[[#This Row],[Nespresso total]]-Delivery[[#This Row],[Qt. Delivery * Base Price]]</f>
        <v>-2335.1000097607321</v>
      </c>
      <c r="AE1086" s="204">
        <f>Delivery[[#This Row],[AAA Premium (total)]]/Delivery[[#This Row],[Quantity delivered]]*60/Delivery[[#This Row],[Exchange rate VS USD]]</f>
        <v>6.9936538049195871</v>
      </c>
      <c r="AF1086" s="204">
        <f>Delivery[[#This Row],[BEN premium (total)]]/Delivery[[#This Row],[Quantity delivered]]*60/Delivery[[#This Row],[Exchange rate for premiums VS USD]]</f>
        <v>2.1886853999999998</v>
      </c>
      <c r="AG1086" s="204">
        <f>COUNTIF(Delivery[Delivery ID],Delivery[[#This Row],[Delivery ID]])</f>
        <v>1</v>
      </c>
      <c r="AH1086" s="204">
        <f>(Delivery[[#This Row],[Nespresso total]]/SUMIF(Allocation!C:C,Delivery[Delivery ID],Allocation!H:H))/Delivery[[#This Row],[Exchange rate VS USD]]</f>
        <v>5.9590993578071663</v>
      </c>
      <c r="AI1086" s="204">
        <f>(Delivery[[#This Row],[AAA Premium (total)]]/SUMIF(Allocation!C:C,Delivery[Delivery ID],Allocation!H:H))/Delivery[[#This Row],[Exchange rate VS USD]]</f>
        <v>0.35321127440587818</v>
      </c>
      <c r="AJ1086" s="204">
        <f>Delivery[[#This Row],[Valor Prêmio Nespresso AAA por Kg (em US$)]]*60</f>
        <v>21.19267646435269</v>
      </c>
      <c r="AK1086" s="204">
        <f>Delivery[[#This Row],[Valor Prêmio Nespresso AAA por saca (em US$)]]/1.3228/100</f>
        <v>0.16021073831533633</v>
      </c>
      <c r="AL1086" s="204">
        <f>(Delivery[[#This Row],[BEN premium (total)]]/SUMIF(Allocation!C:C,Delivery[Delivery ID],Allocation!H:H))/Delivery[[#This Row],[Exchange rate for premiums VS USD]]</f>
        <v>0.11053855123107972</v>
      </c>
      <c r="AM1086" s="204">
        <f>Delivery[[#This Row],[Valor Prêmio Nespresso BEN por Kg (em US$)]]*60</f>
        <v>6.6323130738647835</v>
      </c>
      <c r="AN1086" s="204">
        <f>Delivery[[#This Row],[Valor Prêmio Nespresso BEN por saca (em US$)]]/1.3228/100</f>
        <v>5.0138441743761593E-2</v>
      </c>
      <c r="AO1086" s="204">
        <f>SUMIF(Allocation[Delivery ID],Delivery[[#This Row],[Delivery ID]],Allocation[Quantity allocated])*16*1.3228*Delivery[[#This Row],[Exchange rate VS USD]]/60</f>
        <v>12957.93291904</v>
      </c>
      <c r="AP1086" s="204">
        <f>Delivery[[#This Row],[AAA Premium (total)]]</f>
        <v>12975</v>
      </c>
      <c r="AQ1086" s="204">
        <f>Delivery[[#This Row],[Valor pago pelo Cluster]]-Delivery[[#This Row],[Valor efetivamente pago pela Nespresso]]</f>
        <v>17.067080959999657</v>
      </c>
    </row>
    <row r="1087" spans="1:43" ht="15.75">
      <c r="A1087" s="174" t="s">
        <v>69</v>
      </c>
      <c r="B1087" s="232" t="s">
        <v>68</v>
      </c>
      <c r="C1087" s="157">
        <v>1</v>
      </c>
      <c r="D1087" s="157" t="s">
        <v>468</v>
      </c>
      <c r="E1087" s="177" t="s">
        <v>468</v>
      </c>
      <c r="F1087" s="233" t="s">
        <v>543</v>
      </c>
      <c r="G1087" s="234">
        <v>43416</v>
      </c>
      <c r="H1087" s="157" t="s">
        <v>1307</v>
      </c>
      <c r="I1087" s="157" t="s">
        <v>672</v>
      </c>
      <c r="J1087" s="237">
        <v>30000</v>
      </c>
      <c r="K1087" s="175" t="s">
        <v>61</v>
      </c>
      <c r="L1087" s="175" t="s">
        <v>439</v>
      </c>
      <c r="M1087" s="175" t="s">
        <v>1343</v>
      </c>
      <c r="N1087" s="198"/>
      <c r="O1087" s="199"/>
      <c r="P1087" s="181">
        <v>0</v>
      </c>
      <c r="Q1087" s="177">
        <v>42878</v>
      </c>
      <c r="R1087" s="178">
        <v>530.73500000000001</v>
      </c>
      <c r="S1087" s="179">
        <v>259634.506268</v>
      </c>
      <c r="T1087" s="182" t="s">
        <v>45</v>
      </c>
      <c r="U1087" s="183">
        <v>3.58</v>
      </c>
      <c r="V1087" s="179">
        <v>12530</v>
      </c>
      <c r="W1087" s="179">
        <v>3917.7468660000004</v>
      </c>
      <c r="X1087" s="196" t="s">
        <v>45</v>
      </c>
      <c r="Y1087" s="200">
        <v>3.58</v>
      </c>
      <c r="Z1087" s="220" t="s">
        <v>473</v>
      </c>
      <c r="AA1087" s="201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1087" s="202">
        <f>SUMIF(Allocation!C:C,Delivery[[#This Row],[Delivery ID]],Allocation!D:D)/Delivery[[#This Row],[Quantity delivered]]</f>
        <v>1</v>
      </c>
      <c r="AC1087" s="203">
        <f>Delivery[[#This Row],[Quantity delivered]]*Delivery[[#This Row],[Base price (Unidad)]]/60</f>
        <v>265367.5</v>
      </c>
      <c r="AD1087" s="204">
        <f>Delivery[[#This Row],[Nespresso total]]-Delivery[[#This Row],[Qt. Delivery * Base Price]]</f>
        <v>-5732.9937320000026</v>
      </c>
      <c r="AE1087" s="204">
        <f>Delivery[[#This Row],[AAA Premium (total)]]/Delivery[[#This Row],[Quantity delivered]]*60/Delivery[[#This Row],[Exchange rate VS USD]]</f>
        <v>7.0000000000000009</v>
      </c>
      <c r="AF1087" s="204">
        <f>Delivery[[#This Row],[BEN premium (total)]]/Delivery[[#This Row],[Quantity delivered]]*60/Delivery[[#This Row],[Exchange rate for premiums VS USD]]</f>
        <v>2.1886854000000002</v>
      </c>
      <c r="AG1087" s="204">
        <f>COUNTIF(Delivery[Delivery ID],Delivery[[#This Row],[Delivery ID]])</f>
        <v>1</v>
      </c>
      <c r="AH1087" s="204">
        <f>(Delivery[[#This Row],[Nespresso total]]/SUMIF(Allocation!C:C,Delivery[Delivery ID],Allocation!H:H))/Delivery[[#This Row],[Exchange rate VS USD]]</f>
        <v>7.318224531058859</v>
      </c>
      <c r="AI1087" s="204">
        <f>(Delivery[[#This Row],[AAA Premium (total)]]/SUMIF(Allocation!C:C,Delivery[Delivery ID],Allocation!H:H))/Delivery[[#This Row],[Exchange rate VS USD]]</f>
        <v>0.35317860746720481</v>
      </c>
      <c r="AJ1087" s="204">
        <f>Delivery[[#This Row],[Valor Prêmio Nespresso AAA por Kg (em US$)]]*60</f>
        <v>21.190716448032287</v>
      </c>
      <c r="AK1087" s="204">
        <f>Delivery[[#This Row],[Valor Prêmio Nespresso AAA por saca (em US$)]]/1.3228/100</f>
        <v>0.16019592113722625</v>
      </c>
      <c r="AL1087" s="204">
        <f>(Delivery[[#This Row],[BEN premium (total)]]/SUMIF(Allocation!C:C,Delivery[Delivery ID],Allocation!H:H))/Delivery[[#This Row],[Exchange rate for premiums VS USD]]</f>
        <v>0.11042812310797175</v>
      </c>
      <c r="AM1087" s="204">
        <f>Delivery[[#This Row],[Valor Prêmio Nespresso BEN por Kg (em US$)]]*60</f>
        <v>6.6256873864783046</v>
      </c>
      <c r="AN1087" s="204">
        <f>Delivery[[#This Row],[Valor Prêmio Nespresso BEN por saca (em US$)]]/1.3228/100</f>
        <v>5.0088353390371217E-2</v>
      </c>
      <c r="AO1087" s="204">
        <f>SUMIF(Allocation[Delivery ID],Delivery[[#This Row],[Delivery ID]],Allocation[Quantity allocated])*16*1.3228*Delivery[[#This Row],[Exchange rate VS USD]]/60</f>
        <v>12514.675690666667</v>
      </c>
      <c r="AP1087" s="204">
        <f>Delivery[[#This Row],[AAA Premium (total)]]</f>
        <v>12530</v>
      </c>
      <c r="AQ1087" s="204">
        <f>Delivery[[#This Row],[Valor pago pelo Cluster]]-Delivery[[#This Row],[Valor efetivamente pago pela Nespresso]]</f>
        <v>15.324309333333076</v>
      </c>
    </row>
    <row r="1088" spans="1:43" ht="15.75">
      <c r="A1088" s="174" t="s">
        <v>69</v>
      </c>
      <c r="B1088" s="232" t="s">
        <v>68</v>
      </c>
      <c r="C1088" s="157">
        <v>1</v>
      </c>
      <c r="D1088" s="157" t="s">
        <v>468</v>
      </c>
      <c r="E1088" s="177" t="s">
        <v>468</v>
      </c>
      <c r="F1088" s="233" t="s">
        <v>543</v>
      </c>
      <c r="G1088" s="234">
        <v>43412</v>
      </c>
      <c r="H1088" s="157" t="s">
        <v>1308</v>
      </c>
      <c r="I1088" s="157" t="s">
        <v>1094</v>
      </c>
      <c r="J1088" s="237">
        <v>14995</v>
      </c>
      <c r="K1088" s="175" t="s">
        <v>61</v>
      </c>
      <c r="L1088" s="175" t="s">
        <v>439</v>
      </c>
      <c r="M1088" s="175" t="s">
        <v>1343</v>
      </c>
      <c r="N1088" s="198"/>
      <c r="O1088" s="199"/>
      <c r="P1088" s="181">
        <v>0</v>
      </c>
      <c r="Q1088" s="177">
        <v>43405</v>
      </c>
      <c r="R1088" s="178">
        <v>442.03589999999997</v>
      </c>
      <c r="S1088" s="179">
        <v>123078.84264948012</v>
      </c>
      <c r="T1088" s="182" t="s">
        <v>45</v>
      </c>
      <c r="U1088" s="183">
        <v>3.7067999999999999</v>
      </c>
      <c r="V1088" s="179">
        <v>6487.4997789999998</v>
      </c>
      <c r="W1088" s="179">
        <v>2027.5786752599397</v>
      </c>
      <c r="X1088" s="196" t="s">
        <v>45</v>
      </c>
      <c r="Y1088" s="200">
        <v>3.7067999999999999</v>
      </c>
      <c r="Z1088" s="220" t="s">
        <v>473</v>
      </c>
      <c r="AA1088" s="201">
        <f>Delivery[[#This Row],[Quantity delivered]]*VLOOKUP(Delivery[[#This Row],[Unit]],References!$U:$X,4,FALSE)*VLOOKUP(CONCATENATE(Delivery[[#This Row],[Coffee specie]],Delivery[[#This Row],[Coffee state]]),References!$U:$X,4,FALSE)</f>
        <v>14995</v>
      </c>
      <c r="AB1088" s="202">
        <f>SUMIF(Allocation!C:C,Delivery[[#This Row],[Delivery ID]],Allocation!D:D)/Delivery[[#This Row],[Quantity delivered]]</f>
        <v>1</v>
      </c>
      <c r="AC1088" s="203">
        <f>Delivery[[#This Row],[Quantity delivered]]*Delivery[[#This Row],[Base price (Unidad)]]/60</f>
        <v>110472.13867499999</v>
      </c>
      <c r="AD1088" s="204">
        <f>Delivery[[#This Row],[Nespresso total]]-Delivery[[#This Row],[Qt. Delivery * Base Price]]</f>
        <v>12606.70397448013</v>
      </c>
      <c r="AE1088" s="204">
        <f>Delivery[[#This Row],[AAA Premium (total)]]/Delivery[[#This Row],[Quantity delivered]]*60/Delivery[[#This Row],[Exchange rate VS USD]]</f>
        <v>7.0029815474263515</v>
      </c>
      <c r="AF1088" s="204">
        <f>Delivery[[#This Row],[BEN premium (total)]]/Delivery[[#This Row],[Quantity delivered]]*60/Delivery[[#This Row],[Exchange rate for premiums VS USD]]</f>
        <v>2.1886853999999993</v>
      </c>
      <c r="AG1088" s="204">
        <f>COUNTIF(Delivery[Delivery ID],Delivery[[#This Row],[Delivery ID]])</f>
        <v>1</v>
      </c>
      <c r="AH1088" s="204">
        <f>(Delivery[[#This Row],[Nespresso total]]/SUMIF(Allocation!C:C,Delivery[Delivery ID],Allocation!H:H))/Delivery[[#This Row],[Exchange rate VS USD]]</f>
        <v>6.6407058729621298</v>
      </c>
      <c r="AI1088" s="204">
        <f>(Delivery[[#This Row],[AAA Premium (total)]]/SUMIF(Allocation!C:C,Delivery[Delivery ID],Allocation!H:H))/Delivery[[#This Row],[Exchange rate VS USD]]</f>
        <v>0.35003236101219382</v>
      </c>
      <c r="AJ1088" s="204">
        <f>Delivery[[#This Row],[Valor Prêmio Nespresso AAA por Kg (em US$)]]*60</f>
        <v>21.001941660731628</v>
      </c>
      <c r="AK1088" s="204">
        <f>Delivery[[#This Row],[Valor Prêmio Nespresso AAA por saca (em US$)]]/1.3228/100</f>
        <v>0.15876883626195668</v>
      </c>
      <c r="AL1088" s="204">
        <f>(Delivery[[#This Row],[BEN premium (total)]]/SUMIF(Allocation!C:C,Delivery[Delivery ID],Allocation!H:H))/Delivery[[#This Row],[Exchange rate for premiums VS USD]]</f>
        <v>0.10939779190999999</v>
      </c>
      <c r="AM1088" s="204">
        <f>Delivery[[#This Row],[Valor Prêmio Nespresso BEN por Kg (em US$)]]*60</f>
        <v>6.5638675145999992</v>
      </c>
      <c r="AN1088" s="204">
        <f>Delivery[[#This Row],[Valor Prêmio Nespresso BEN por saca (em US$)]]/1.3228/100</f>
        <v>4.9621012357121248E-2</v>
      </c>
      <c r="AO1088" s="204">
        <f>SUMIF(Allocation[Delivery ID],Delivery[[#This Row],[Delivery ID]],Allocation[Quantity allocated])*16*1.3228*Delivery[[#This Row],[Exchange rate VS USD]]/60</f>
        <v>6537.8067199999996</v>
      </c>
      <c r="AP1088" s="204">
        <f>Delivery[[#This Row],[AAA Premium (total)]]</f>
        <v>6487.4997789999998</v>
      </c>
      <c r="AQ1088" s="204">
        <f>Delivery[[#This Row],[Valor pago pelo Cluster]]-Delivery[[#This Row],[Valor efetivamente pago pela Nespresso]]</f>
        <v>-50.306940999999824</v>
      </c>
    </row>
    <row r="1089" spans="1:43" ht="15.75">
      <c r="A1089" s="174" t="s">
        <v>69</v>
      </c>
      <c r="B1089" s="232" t="s">
        <v>68</v>
      </c>
      <c r="C1089" s="157">
        <v>1</v>
      </c>
      <c r="D1089" s="157" t="s">
        <v>468</v>
      </c>
      <c r="E1089" s="177" t="s">
        <v>468</v>
      </c>
      <c r="F1089" s="233" t="s">
        <v>543</v>
      </c>
      <c r="G1089" s="234">
        <v>43412</v>
      </c>
      <c r="H1089" s="157" t="s">
        <v>1309</v>
      </c>
      <c r="I1089" s="157" t="s">
        <v>1094</v>
      </c>
      <c r="J1089" s="237">
        <v>14995</v>
      </c>
      <c r="K1089" s="175" t="s">
        <v>61</v>
      </c>
      <c r="L1089" s="175" t="s">
        <v>439</v>
      </c>
      <c r="M1089" s="175" t="s">
        <v>1343</v>
      </c>
      <c r="N1089" s="198"/>
      <c r="O1089" s="199"/>
      <c r="P1089" s="181">
        <v>0</v>
      </c>
      <c r="Q1089" s="177">
        <v>43405</v>
      </c>
      <c r="R1089" s="178">
        <v>442.03589999999997</v>
      </c>
      <c r="S1089" s="179">
        <v>95835.842649480124</v>
      </c>
      <c r="T1089" s="182" t="s">
        <v>45</v>
      </c>
      <c r="U1089" s="183">
        <v>3.7067999999999999</v>
      </c>
      <c r="V1089" s="179">
        <v>6487.4997789999998</v>
      </c>
      <c r="W1089" s="179">
        <v>2027.5786752599397</v>
      </c>
      <c r="X1089" s="196" t="s">
        <v>45</v>
      </c>
      <c r="Y1089" s="200">
        <v>3.7067999999999999</v>
      </c>
      <c r="Z1089" s="220" t="s">
        <v>473</v>
      </c>
      <c r="AA1089" s="201">
        <f>Delivery[[#This Row],[Quantity delivered]]*VLOOKUP(Delivery[[#This Row],[Unit]],References!$U:$X,4,FALSE)*VLOOKUP(CONCATENATE(Delivery[[#This Row],[Coffee specie]],Delivery[[#This Row],[Coffee state]]),References!$U:$X,4,FALSE)</f>
        <v>14995</v>
      </c>
      <c r="AB1089" s="202">
        <f>SUMIF(Allocation!C:C,Delivery[[#This Row],[Delivery ID]],Allocation!D:D)/Delivery[[#This Row],[Quantity delivered]]</f>
        <v>1</v>
      </c>
      <c r="AC1089" s="203">
        <f>Delivery[[#This Row],[Quantity delivered]]*Delivery[[#This Row],[Base price (Unidad)]]/60</f>
        <v>110472.13867499999</v>
      </c>
      <c r="AD1089" s="204">
        <f>Delivery[[#This Row],[Nespresso total]]-Delivery[[#This Row],[Qt. Delivery * Base Price]]</f>
        <v>-14636.29602551987</v>
      </c>
      <c r="AE1089" s="204">
        <f>Delivery[[#This Row],[AAA Premium (total)]]/Delivery[[#This Row],[Quantity delivered]]*60/Delivery[[#This Row],[Exchange rate VS USD]]</f>
        <v>7.0029815474263515</v>
      </c>
      <c r="AF1089" s="204">
        <f>Delivery[[#This Row],[BEN premium (total)]]/Delivery[[#This Row],[Quantity delivered]]*60/Delivery[[#This Row],[Exchange rate for premiums VS USD]]</f>
        <v>2.1886853999999993</v>
      </c>
      <c r="AG1089" s="204">
        <f>COUNTIF(Delivery[Delivery ID],Delivery[[#This Row],[Delivery ID]])</f>
        <v>1</v>
      </c>
      <c r="AH1089" s="204">
        <f>(Delivery[[#This Row],[Nespresso total]]/SUMIF(Allocation!C:C,Delivery[Delivery ID],Allocation!H:H))/Delivery[[#This Row],[Exchange rate VS USD]]</f>
        <v>5.1708127036516736</v>
      </c>
      <c r="AI1089" s="204">
        <f>(Delivery[[#This Row],[AAA Premium (total)]]/SUMIF(Allocation!C:C,Delivery[Delivery ID],Allocation!H:H))/Delivery[[#This Row],[Exchange rate VS USD]]</f>
        <v>0.35003236101219382</v>
      </c>
      <c r="AJ1089" s="204">
        <f>Delivery[[#This Row],[Valor Prêmio Nespresso AAA por Kg (em US$)]]*60</f>
        <v>21.001941660731628</v>
      </c>
      <c r="AK1089" s="204">
        <f>Delivery[[#This Row],[Valor Prêmio Nespresso AAA por saca (em US$)]]/1.3228/100</f>
        <v>0.15876883626195668</v>
      </c>
      <c r="AL1089" s="204">
        <f>(Delivery[[#This Row],[BEN premium (total)]]/SUMIF(Allocation!C:C,Delivery[Delivery ID],Allocation!H:H))/Delivery[[#This Row],[Exchange rate for premiums VS USD]]</f>
        <v>0.10939779190999999</v>
      </c>
      <c r="AM1089" s="204">
        <f>Delivery[[#This Row],[Valor Prêmio Nespresso BEN por Kg (em US$)]]*60</f>
        <v>6.5638675145999992</v>
      </c>
      <c r="AN1089" s="204">
        <f>Delivery[[#This Row],[Valor Prêmio Nespresso BEN por saca (em US$)]]/1.3228/100</f>
        <v>4.9621012357121248E-2</v>
      </c>
      <c r="AO1089" s="204">
        <f>SUMIF(Allocation[Delivery ID],Delivery[[#This Row],[Delivery ID]],Allocation[Quantity allocated])*16*1.3228*Delivery[[#This Row],[Exchange rate VS USD]]/60</f>
        <v>6537.8067199999996</v>
      </c>
      <c r="AP1089" s="204">
        <f>Delivery[[#This Row],[AAA Premium (total)]]</f>
        <v>6487.4997789999998</v>
      </c>
      <c r="AQ1089" s="204">
        <f>Delivery[[#This Row],[Valor pago pelo Cluster]]-Delivery[[#This Row],[Valor efetivamente pago pela Nespresso]]</f>
        <v>-50.306940999999824</v>
      </c>
    </row>
    <row r="1090" spans="1:43" ht="15.75">
      <c r="A1090" s="174" t="s">
        <v>69</v>
      </c>
      <c r="B1090" s="232" t="s">
        <v>68</v>
      </c>
      <c r="C1090" s="157">
        <v>1</v>
      </c>
      <c r="D1090" s="157" t="s">
        <v>468</v>
      </c>
      <c r="E1090" s="177" t="s">
        <v>468</v>
      </c>
      <c r="F1090" s="233" t="s">
        <v>543</v>
      </c>
      <c r="G1090" s="234">
        <v>43416</v>
      </c>
      <c r="H1090" s="157" t="s">
        <v>1310</v>
      </c>
      <c r="I1090" s="157" t="s">
        <v>672</v>
      </c>
      <c r="J1090" s="237">
        <v>29910</v>
      </c>
      <c r="K1090" s="175" t="s">
        <v>61</v>
      </c>
      <c r="L1090" s="175" t="s">
        <v>439</v>
      </c>
      <c r="M1090" s="175" t="s">
        <v>1343</v>
      </c>
      <c r="N1090" s="198"/>
      <c r="O1090" s="199"/>
      <c r="P1090" s="181">
        <v>0</v>
      </c>
      <c r="Q1090" s="177">
        <v>42878</v>
      </c>
      <c r="R1090" s="178">
        <v>530.73500000000001</v>
      </c>
      <c r="S1090" s="179">
        <v>259658.012749196</v>
      </c>
      <c r="T1090" s="182" t="s">
        <v>45</v>
      </c>
      <c r="U1090" s="183">
        <v>3.58</v>
      </c>
      <c r="V1090" s="179">
        <v>12530</v>
      </c>
      <c r="W1090" s="179">
        <v>3905.9936254020004</v>
      </c>
      <c r="X1090" s="196" t="s">
        <v>45</v>
      </c>
      <c r="Y1090" s="200">
        <v>3.58</v>
      </c>
      <c r="Z1090" s="220" t="s">
        <v>473</v>
      </c>
      <c r="AA1090" s="201">
        <f>Delivery[[#This Row],[Quantity delivered]]*VLOOKUP(Delivery[[#This Row],[Unit]],References!$U:$X,4,FALSE)*VLOOKUP(CONCATENATE(Delivery[[#This Row],[Coffee specie]],Delivery[[#This Row],[Coffee state]]),References!$U:$X,4,FALSE)</f>
        <v>29910</v>
      </c>
      <c r="AB1090" s="202">
        <f>SUMIF(Allocation!C:C,Delivery[[#This Row],[Delivery ID]],Allocation!D:D)/Delivery[[#This Row],[Quantity delivered]]</f>
        <v>1</v>
      </c>
      <c r="AC1090" s="203">
        <f>Delivery[[#This Row],[Quantity delivered]]*Delivery[[#This Row],[Base price (Unidad)]]/60</f>
        <v>264571.39750000002</v>
      </c>
      <c r="AD1090" s="204">
        <f>Delivery[[#This Row],[Nespresso total]]-Delivery[[#This Row],[Qt. Delivery * Base Price]]</f>
        <v>-4913.3847508040199</v>
      </c>
      <c r="AE1090" s="204">
        <f>Delivery[[#This Row],[AAA Premium (total)]]/Delivery[[#This Row],[Quantity delivered]]*60/Delivery[[#This Row],[Exchange rate VS USD]]</f>
        <v>7.0210631895687063</v>
      </c>
      <c r="AF1090" s="204">
        <f>Delivery[[#This Row],[BEN premium (total)]]/Delivery[[#This Row],[Quantity delivered]]*60/Delivery[[#This Row],[Exchange rate for premiums VS USD]]</f>
        <v>2.1886854000000002</v>
      </c>
      <c r="AG1090" s="204">
        <f>COUNTIF(Delivery[Delivery ID],Delivery[[#This Row],[Delivery ID]])</f>
        <v>1</v>
      </c>
      <c r="AH1090" s="204">
        <f>(Delivery[[#This Row],[Nespresso total]]/SUMIF(Allocation!C:C,Delivery[Delivery ID],Allocation!H:H))/Delivery[[#This Row],[Exchange rate VS USD]]</f>
        <v>7.2313231464599488</v>
      </c>
      <c r="AI1090" s="204">
        <f>(Delivery[[#This Row],[AAA Premium (total)]]/SUMIF(Allocation!C:C,Delivery[Delivery ID],Allocation!H:H))/Delivery[[#This Row],[Exchange rate VS USD]]</f>
        <v>0.34895314057826515</v>
      </c>
      <c r="AJ1090" s="204">
        <f>Delivery[[#This Row],[Valor Prêmio Nespresso AAA por Kg (em US$)]]*60</f>
        <v>20.937188434695909</v>
      </c>
      <c r="AK1090" s="204">
        <f>Delivery[[#This Row],[Valor Prêmio Nespresso AAA por saca (em US$)]]/1.3228/100</f>
        <v>0.15827931988732924</v>
      </c>
      <c r="AL1090" s="204">
        <f>(Delivery[[#This Row],[BEN premium (total)]]/SUMIF(Allocation!C:C,Delivery[Delivery ID],Allocation!H:H))/Delivery[[#This Row],[Exchange rate for premiums VS USD]]</f>
        <v>0.10877962830508477</v>
      </c>
      <c r="AM1090" s="204">
        <f>Delivery[[#This Row],[Valor Prêmio Nespresso BEN por Kg (em US$)]]*60</f>
        <v>6.5267776983050858</v>
      </c>
      <c r="AN1090" s="204">
        <f>Delivery[[#This Row],[Valor Prêmio Nespresso BEN por saca (em US$)]]/1.3228/100</f>
        <v>4.9340623664235611E-2</v>
      </c>
      <c r="AO1090" s="204">
        <f>SUMIF(Allocation[Delivery ID],Delivery[[#This Row],[Delivery ID]],Allocation[Quantity allocated])*16*1.3228*Delivery[[#This Row],[Exchange rate VS USD]]/60</f>
        <v>12666.215658666666</v>
      </c>
      <c r="AP1090" s="204">
        <f>Delivery[[#This Row],[AAA Premium (total)]]</f>
        <v>12530</v>
      </c>
      <c r="AQ1090" s="204">
        <f>Delivery[[#This Row],[Valor pago pelo Cluster]]-Delivery[[#This Row],[Valor efetivamente pago pela Nespresso]]</f>
        <v>-136.21565866666606</v>
      </c>
    </row>
    <row r="1091" spans="1:43" ht="15.75">
      <c r="A1091" s="174" t="s">
        <v>69</v>
      </c>
      <c r="B1091" s="232" t="s">
        <v>68</v>
      </c>
      <c r="C1091" s="157">
        <v>1</v>
      </c>
      <c r="D1091" s="157" t="s">
        <v>468</v>
      </c>
      <c r="E1091" s="177" t="s">
        <v>468</v>
      </c>
      <c r="F1091" s="233" t="s">
        <v>543</v>
      </c>
      <c r="G1091" s="234">
        <v>43416</v>
      </c>
      <c r="H1091" s="157" t="s">
        <v>1311</v>
      </c>
      <c r="I1091" s="157" t="s">
        <v>672</v>
      </c>
      <c r="J1091" s="237">
        <v>29950</v>
      </c>
      <c r="K1091" s="175" t="s">
        <v>61</v>
      </c>
      <c r="L1091" s="175" t="s">
        <v>439</v>
      </c>
      <c r="M1091" s="175" t="s">
        <v>1343</v>
      </c>
      <c r="N1091" s="198"/>
      <c r="O1091" s="199"/>
      <c r="P1091" s="181">
        <v>0</v>
      </c>
      <c r="Q1091" s="177">
        <v>42878</v>
      </c>
      <c r="R1091" s="178">
        <v>530.73500000000001</v>
      </c>
      <c r="S1091" s="179">
        <v>259647.56542422003</v>
      </c>
      <c r="T1091" s="182" t="s">
        <v>45</v>
      </c>
      <c r="U1091" s="183">
        <v>3.58</v>
      </c>
      <c r="V1091" s="179">
        <v>12530</v>
      </c>
      <c r="W1091" s="179">
        <v>3911.2172878900001</v>
      </c>
      <c r="X1091" s="196" t="s">
        <v>45</v>
      </c>
      <c r="Y1091" s="200">
        <v>3.58</v>
      </c>
      <c r="Z1091" s="220" t="s">
        <v>473</v>
      </c>
      <c r="AA1091" s="201">
        <f>Delivery[[#This Row],[Quantity delivered]]*VLOOKUP(Delivery[[#This Row],[Unit]],References!$U:$X,4,FALSE)*VLOOKUP(CONCATENATE(Delivery[[#This Row],[Coffee specie]],Delivery[[#This Row],[Coffee state]]),References!$U:$X,4,FALSE)</f>
        <v>29950</v>
      </c>
      <c r="AB1091" s="202">
        <f>SUMIF(Allocation!C:C,Delivery[[#This Row],[Delivery ID]],Allocation!D:D)/Delivery[[#This Row],[Quantity delivered]]</f>
        <v>1</v>
      </c>
      <c r="AC1091" s="203">
        <f>Delivery[[#This Row],[Quantity delivered]]*Delivery[[#This Row],[Base price (Unidad)]]/60</f>
        <v>264925.22083333333</v>
      </c>
      <c r="AD1091" s="204">
        <f>Delivery[[#This Row],[Nespresso total]]-Delivery[[#This Row],[Qt. Delivery * Base Price]]</f>
        <v>-5277.6554091133003</v>
      </c>
      <c r="AE1091" s="204">
        <f>Delivery[[#This Row],[AAA Premium (total)]]/Delivery[[#This Row],[Quantity delivered]]*60/Delivery[[#This Row],[Exchange rate VS USD]]</f>
        <v>7.0116861435726214</v>
      </c>
      <c r="AF1091" s="204">
        <f>Delivery[[#This Row],[BEN premium (total)]]/Delivery[[#This Row],[Quantity delivered]]*60/Delivery[[#This Row],[Exchange rate for premiums VS USD]]</f>
        <v>2.1886854000000002</v>
      </c>
      <c r="AG1091" s="204">
        <f>COUNTIF(Delivery[Delivery ID],Delivery[[#This Row],[Delivery ID]])</f>
        <v>1</v>
      </c>
      <c r="AH1091" s="204">
        <f>(Delivery[[#This Row],[Nespresso total]]/SUMIF(Allocation!C:C,Delivery[Delivery ID],Allocation!H:H))/Delivery[[#This Row],[Exchange rate VS USD]]</f>
        <v>7.2166420807754523</v>
      </c>
      <c r="AI1091" s="204">
        <f>(Delivery[[#This Row],[AAA Premium (total)]]/SUMIF(Allocation!C:C,Delivery[Delivery ID],Allocation!H:H))/Delivery[[#This Row],[Exchange rate VS USD]]</f>
        <v>0.34825870646766172</v>
      </c>
      <c r="AJ1091" s="204">
        <f>Delivery[[#This Row],[Valor Prêmio Nespresso AAA por Kg (em US$)]]*60</f>
        <v>20.895522388059703</v>
      </c>
      <c r="AK1091" s="204">
        <f>Delivery[[#This Row],[Valor Prêmio Nespresso AAA por saca (em US$)]]/1.3228/100</f>
        <v>0.15796433616616043</v>
      </c>
      <c r="AL1091" s="204">
        <f>(Delivery[[#This Row],[BEN premium (total)]]/SUMIF(Allocation!C:C,Delivery[Delivery ID],Allocation!H:H))/Delivery[[#This Row],[Exchange rate for premiums VS USD]]</f>
        <v>0.10870833786069652</v>
      </c>
      <c r="AM1091" s="204">
        <f>Delivery[[#This Row],[Valor Prêmio Nespresso BEN por Kg (em US$)]]*60</f>
        <v>6.5225002716417908</v>
      </c>
      <c r="AN1091" s="204">
        <f>Delivery[[#This Row],[Valor Prêmio Nespresso BEN por saca (em US$)]]/1.3228/100</f>
        <v>4.9308287508631615E-2</v>
      </c>
      <c r="AO1091" s="204">
        <f>SUMIF(Allocation[Delivery ID],Delivery[[#This Row],[Delivery ID]],Allocation[Quantity allocated])*16*1.3228*Delivery[[#This Row],[Exchange rate VS USD]]/60</f>
        <v>12691.472319999999</v>
      </c>
      <c r="AP1091" s="204">
        <f>Delivery[[#This Row],[AAA Premium (total)]]</f>
        <v>12530</v>
      </c>
      <c r="AQ1091" s="204">
        <f>Delivery[[#This Row],[Valor pago pelo Cluster]]-Delivery[[#This Row],[Valor efetivamente pago pela Nespresso]]</f>
        <v>-161.47231999999894</v>
      </c>
    </row>
    <row r="1092" spans="1:43" ht="15.75">
      <c r="A1092" s="174" t="s">
        <v>69</v>
      </c>
      <c r="B1092" s="232" t="s">
        <v>68</v>
      </c>
      <c r="C1092" s="157">
        <v>1</v>
      </c>
      <c r="D1092" s="157" t="s">
        <v>468</v>
      </c>
      <c r="E1092" s="177" t="s">
        <v>468</v>
      </c>
      <c r="F1092" s="233" t="s">
        <v>543</v>
      </c>
      <c r="G1092" s="234">
        <v>43416</v>
      </c>
      <c r="H1092" s="157" t="s">
        <v>1312</v>
      </c>
      <c r="I1092" s="157" t="s">
        <v>672</v>
      </c>
      <c r="J1092" s="237">
        <v>29940</v>
      </c>
      <c r="K1092" s="175" t="s">
        <v>61</v>
      </c>
      <c r="L1092" s="175" t="s">
        <v>439</v>
      </c>
      <c r="M1092" s="175" t="s">
        <v>1343</v>
      </c>
      <c r="N1092" s="198"/>
      <c r="O1092" s="199"/>
      <c r="P1092" s="181">
        <v>0</v>
      </c>
      <c r="Q1092" s="177">
        <v>42878</v>
      </c>
      <c r="R1092" s="178">
        <v>530.73500000000001</v>
      </c>
      <c r="S1092" s="179">
        <v>259650.17725546402</v>
      </c>
      <c r="T1092" s="182" t="s">
        <v>45</v>
      </c>
      <c r="U1092" s="183">
        <v>3.58</v>
      </c>
      <c r="V1092" s="179">
        <v>12530</v>
      </c>
      <c r="W1092" s="179">
        <v>3909.9113722680004</v>
      </c>
      <c r="X1092" s="196" t="s">
        <v>45</v>
      </c>
      <c r="Y1092" s="200">
        <v>3.58</v>
      </c>
      <c r="Z1092" s="220" t="s">
        <v>473</v>
      </c>
      <c r="AA1092" s="201">
        <f>Delivery[[#This Row],[Quantity delivered]]*VLOOKUP(Delivery[[#This Row],[Unit]],References!$U:$X,4,FALSE)*VLOOKUP(CONCATENATE(Delivery[[#This Row],[Coffee specie]],Delivery[[#This Row],[Coffee state]]),References!$U:$X,4,FALSE)</f>
        <v>29940</v>
      </c>
      <c r="AB1092" s="202">
        <f>SUMIF(Allocation!C:C,Delivery[[#This Row],[Delivery ID]],Allocation!D:D)/Delivery[[#This Row],[Quantity delivered]]</f>
        <v>1</v>
      </c>
      <c r="AC1092" s="203">
        <f>Delivery[[#This Row],[Quantity delivered]]*Delivery[[#This Row],[Base price (Unidad)]]/60</f>
        <v>264836.76500000001</v>
      </c>
      <c r="AD1092" s="204">
        <f>Delivery[[#This Row],[Nespresso total]]-Delivery[[#This Row],[Qt. Delivery * Base Price]]</f>
        <v>-5186.5877445359947</v>
      </c>
      <c r="AE1092" s="204">
        <f>Delivery[[#This Row],[AAA Premium (total)]]/Delivery[[#This Row],[Quantity delivered]]*60/Delivery[[#This Row],[Exchange rate VS USD]]</f>
        <v>7.0140280561122248</v>
      </c>
      <c r="AF1092" s="204">
        <f>Delivery[[#This Row],[BEN premium (total)]]/Delivery[[#This Row],[Quantity delivered]]*60/Delivery[[#This Row],[Exchange rate for premiums VS USD]]</f>
        <v>2.1886854000000002</v>
      </c>
      <c r="AG1092" s="204">
        <f>COUNTIF(Delivery[Delivery ID],Delivery[[#This Row],[Delivery ID]])</f>
        <v>1</v>
      </c>
      <c r="AH1092" s="204">
        <f>(Delivery[[#This Row],[Nespresso total]]/SUMIF(Allocation!C:C,Delivery[Delivery ID],Allocation!H:H))/Delivery[[#This Row],[Exchange rate VS USD]]</f>
        <v>7.2239026368120811</v>
      </c>
      <c r="AI1092" s="204">
        <f>(Delivery[[#This Row],[AAA Premium (total)]]/SUMIF(Allocation!C:C,Delivery[Delivery ID],Allocation!H:H))/Delivery[[#This Row],[Exchange rate VS USD]]</f>
        <v>0.348605577689243</v>
      </c>
      <c r="AJ1092" s="204">
        <f>Delivery[[#This Row],[Valor Prêmio Nespresso AAA por Kg (em US$)]]*60</f>
        <v>20.916334661354579</v>
      </c>
      <c r="AK1092" s="204">
        <f>Delivery[[#This Row],[Valor Prêmio Nespresso AAA por saca (em US$)]]/1.3228/100</f>
        <v>0.15812167116234185</v>
      </c>
      <c r="AL1092" s="204">
        <f>(Delivery[[#This Row],[BEN premium (total)]]/SUMIF(Allocation!C:C,Delivery[Delivery ID],Allocation!H:H))/Delivery[[#This Row],[Exchange rate for premiums VS USD]]</f>
        <v>0.10878028033864542</v>
      </c>
      <c r="AM1092" s="204">
        <f>Delivery[[#This Row],[Valor Prêmio Nespresso BEN por Kg (em US$)]]*60</f>
        <v>6.5268168203187251</v>
      </c>
      <c r="AN1092" s="204">
        <f>Delivery[[#This Row],[Valor Prêmio Nespresso BEN por saca (em US$)]]/1.3228/100</f>
        <v>4.9340919415775064E-2</v>
      </c>
      <c r="AO1092" s="204">
        <f>SUMIF(Allocation[Delivery ID],Delivery[[#This Row],[Delivery ID]],Allocation[Quantity allocated])*16*1.3228*Delivery[[#This Row],[Exchange rate VS USD]]/60</f>
        <v>12678.843989333334</v>
      </c>
      <c r="AP1092" s="204">
        <f>Delivery[[#This Row],[AAA Premium (total)]]</f>
        <v>12530</v>
      </c>
      <c r="AQ1092" s="204">
        <f>Delivery[[#This Row],[Valor pago pelo Cluster]]-Delivery[[#This Row],[Valor efetivamente pago pela Nespresso]]</f>
        <v>-148.84398933333432</v>
      </c>
    </row>
    <row r="1093" spans="1:43" ht="15.75">
      <c r="A1093" s="174" t="s">
        <v>69</v>
      </c>
      <c r="B1093" s="232" t="s">
        <v>68</v>
      </c>
      <c r="C1093" s="157">
        <v>1</v>
      </c>
      <c r="D1093" s="157" t="s">
        <v>468</v>
      </c>
      <c r="E1093" s="177" t="s">
        <v>468</v>
      </c>
      <c r="F1093" s="233" t="s">
        <v>543</v>
      </c>
      <c r="G1093" s="234">
        <v>43418</v>
      </c>
      <c r="H1093" s="160" t="s">
        <v>1720</v>
      </c>
      <c r="I1093" s="236" t="s">
        <v>1721</v>
      </c>
      <c r="J1093" s="237">
        <v>30120</v>
      </c>
      <c r="K1093" s="175" t="s">
        <v>61</v>
      </c>
      <c r="L1093" s="175" t="s">
        <v>439</v>
      </c>
      <c r="M1093" s="175" t="s">
        <v>1343</v>
      </c>
      <c r="N1093" s="198"/>
      <c r="O1093" s="199"/>
      <c r="P1093" s="181">
        <v>0</v>
      </c>
      <c r="Q1093" s="177">
        <v>43411</v>
      </c>
      <c r="R1093" s="178">
        <v>447.15496000000002</v>
      </c>
      <c r="S1093" s="179">
        <v>218961.37139840797</v>
      </c>
      <c r="T1093" s="182" t="s">
        <v>45</v>
      </c>
      <c r="U1093" s="183">
        <v>3.7513000000000001</v>
      </c>
      <c r="V1093" s="179">
        <v>13182.0682</v>
      </c>
      <c r="W1093" s="179">
        <v>4121.6286015920396</v>
      </c>
      <c r="X1093" s="196" t="s">
        <v>45</v>
      </c>
      <c r="Y1093" s="200">
        <v>3.7513000000000001</v>
      </c>
      <c r="Z1093" s="220" t="s">
        <v>473</v>
      </c>
      <c r="AA1093" s="201">
        <f>Delivery[[#This Row],[Quantity delivered]]*VLOOKUP(Delivery[[#This Row],[Unit]],References!$U:$X,4,FALSE)*VLOOKUP(CONCATENATE(Delivery[[#This Row],[Coffee specie]],Delivery[[#This Row],[Coffee state]]),References!$U:$X,4,FALSE)</f>
        <v>30120</v>
      </c>
      <c r="AB1093" s="202">
        <f>SUMIF(Allocation!C:C,Delivery[[#This Row],[Delivery ID]],Allocation!D:D)/Delivery[[#This Row],[Quantity delivered]]</f>
        <v>0.66865869853917659</v>
      </c>
      <c r="AC1093" s="203">
        <f>Delivery[[#This Row],[Quantity delivered]]*Delivery[[#This Row],[Base price (Unidad)]]/60</f>
        <v>224471.78992000001</v>
      </c>
      <c r="AD1093" s="204">
        <f>Delivery[[#This Row],[Nespresso total]]-Delivery[[#This Row],[Qt. Delivery * Base Price]]</f>
        <v>-5510.4185215920443</v>
      </c>
      <c r="AE1093" s="204">
        <f>Delivery[[#This Row],[AAA Premium (total)]]/Delivery[[#This Row],[Quantity delivered]]*60/Delivery[[#This Row],[Exchange rate VS USD]]</f>
        <v>7</v>
      </c>
      <c r="AF1093" s="204">
        <f>Delivery[[#This Row],[BEN premium (total)]]/Delivery[[#This Row],[Quantity delivered]]*60/Delivery[[#This Row],[Exchange rate for premiums VS USD]]</f>
        <v>2.1886853999999993</v>
      </c>
      <c r="AG1093" s="204">
        <f>COUNTIF(Delivery[Delivery ID],Delivery[[#This Row],[Delivery ID]])</f>
        <v>1</v>
      </c>
      <c r="AH1093" s="204">
        <f>(Delivery[[#This Row],[Nespresso total]]/SUMIF(Allocation!C:C,Delivery[Delivery ID],Allocation!H:H))/Delivery[[#This Row],[Exchange rate VS USD]]</f>
        <v>8.782645845915475</v>
      </c>
      <c r="AI1093" s="204">
        <f>(Delivery[[#This Row],[AAA Premium (total)]]/SUMIF(Allocation!C:C,Delivery[Delivery ID],Allocation!H:H))/Delivery[[#This Row],[Exchange rate VS USD]]</f>
        <v>0.52873909118266627</v>
      </c>
      <c r="AJ1093" s="204">
        <f>Delivery[[#This Row],[Valor Prêmio Nespresso AAA por Kg (em US$)]]*60</f>
        <v>31.724345470959975</v>
      </c>
      <c r="AK1093" s="204">
        <f>Delivery[[#This Row],[Valor Prêmio Nespresso AAA por saca (em US$)]]/1.3228/100</f>
        <v>0.23982722611853624</v>
      </c>
      <c r="AL1093" s="204">
        <f>(Delivery[[#This Row],[BEN premium (total)]]/SUMIF(Allocation!C:C,Delivery[Delivery ID],Allocation!H:H))/Delivery[[#This Row],[Exchange rate for premiums VS USD]]</f>
        <v>0.16532050418296718</v>
      </c>
      <c r="AM1093" s="204">
        <f>Delivery[[#This Row],[Valor Prêmio Nespresso BEN por Kg (em US$)]]*60</f>
        <v>9.9192302509780301</v>
      </c>
      <c r="AN1093" s="204">
        <f>Delivery[[#This Row],[Valor Prêmio Nespresso BEN por saca (em US$)]]/1.3228/100</f>
        <v>7.4986621189734134E-2</v>
      </c>
      <c r="AO1093" s="204">
        <f>SUMIF(Allocation[Delivery ID],Delivery[[#This Row],[Delivery ID]],Allocation[Quantity allocated])*16*1.3228*Delivery[[#This Row],[Exchange rate VS USD]]/60</f>
        <v>8794.3764606506666</v>
      </c>
      <c r="AP1093" s="204">
        <f>Delivery[[#This Row],[AAA Premium (total)]]</f>
        <v>13182.0682</v>
      </c>
      <c r="AQ1093" s="204">
        <f>Delivery[[#This Row],[Valor pago pelo Cluster]]-Delivery[[#This Row],[Valor efetivamente pago pela Nespresso]]</f>
        <v>4387.6917393493331</v>
      </c>
    </row>
    <row r="1094" spans="1:43" ht="15.75">
      <c r="A1094" s="174" t="s">
        <v>69</v>
      </c>
      <c r="B1094" s="232" t="s">
        <v>68</v>
      </c>
      <c r="C1094" s="157">
        <v>1</v>
      </c>
      <c r="D1094" s="157" t="s">
        <v>468</v>
      </c>
      <c r="E1094" s="177" t="s">
        <v>468</v>
      </c>
      <c r="F1094" s="233" t="s">
        <v>543</v>
      </c>
      <c r="G1094" s="234">
        <v>43418</v>
      </c>
      <c r="H1094" s="160" t="s">
        <v>1722</v>
      </c>
      <c r="I1094" s="236" t="s">
        <v>1721</v>
      </c>
      <c r="J1094" s="237">
        <v>30060</v>
      </c>
      <c r="K1094" s="175" t="s">
        <v>61</v>
      </c>
      <c r="L1094" s="175" t="s">
        <v>439</v>
      </c>
      <c r="M1094" s="175" t="s">
        <v>1343</v>
      </c>
      <c r="N1094" s="198"/>
      <c r="O1094" s="199"/>
      <c r="P1094" s="181">
        <v>0</v>
      </c>
      <c r="Q1094" s="177">
        <v>43411</v>
      </c>
      <c r="R1094" s="178">
        <v>447.15496000000002</v>
      </c>
      <c r="S1094" s="179">
        <v>218969.58181394899</v>
      </c>
      <c r="T1094" s="182" t="s">
        <v>45</v>
      </c>
      <c r="U1094" s="183">
        <v>3.7513000000000001</v>
      </c>
      <c r="V1094" s="179">
        <v>13155.8091</v>
      </c>
      <c r="W1094" s="179">
        <v>4113.4181860510198</v>
      </c>
      <c r="X1094" s="196" t="s">
        <v>45</v>
      </c>
      <c r="Y1094" s="200">
        <v>3.7513000000000001</v>
      </c>
      <c r="Z1094" s="220" t="s">
        <v>473</v>
      </c>
      <c r="AA1094" s="201">
        <f>Delivery[[#This Row],[Quantity delivered]]*VLOOKUP(Delivery[[#This Row],[Unit]],References!$U:$X,4,FALSE)*VLOOKUP(CONCATENATE(Delivery[[#This Row],[Coffee specie]],Delivery[[#This Row],[Coffee state]]),References!$U:$X,4,FALSE)</f>
        <v>30060</v>
      </c>
      <c r="AB1094" s="202">
        <f>SUMIF(Allocation!C:C,Delivery[[#This Row],[Delivery ID]],Allocation!D:D)/Delivery[[#This Row],[Quantity delivered]]</f>
        <v>0.66969394544244842</v>
      </c>
      <c r="AC1094" s="203">
        <f>Delivery[[#This Row],[Quantity delivered]]*Delivery[[#This Row],[Base price (Unidad)]]/60</f>
        <v>224024.63496</v>
      </c>
      <c r="AD1094" s="204">
        <f>Delivery[[#This Row],[Nespresso total]]-Delivery[[#This Row],[Qt. Delivery * Base Price]]</f>
        <v>-5055.0531460510101</v>
      </c>
      <c r="AE1094" s="204">
        <f>Delivery[[#This Row],[AAA Premium (total)]]/Delivery[[#This Row],[Quantity delivered]]*60/Delivery[[#This Row],[Exchange rate VS USD]]</f>
        <v>7</v>
      </c>
      <c r="AF1094" s="204">
        <f>Delivery[[#This Row],[BEN premium (total)]]/Delivery[[#This Row],[Quantity delivered]]*60/Delivery[[#This Row],[Exchange rate for premiums VS USD]]</f>
        <v>2.1886853999999998</v>
      </c>
      <c r="AG1094" s="204">
        <f>COUNTIF(Delivery[Delivery ID],Delivery[[#This Row],[Delivery ID]])</f>
        <v>1</v>
      </c>
      <c r="AH1094" s="204">
        <f>(Delivery[[#This Row],[Nespresso total]]/SUMIF(Allocation!C:C,Delivery[Delivery ID],Allocation!H:H))/Delivery[[#This Row],[Exchange rate VS USD]]</f>
        <v>8.7869415892449556</v>
      </c>
      <c r="AI1094" s="204">
        <f>(Delivery[[#This Row],[AAA Premium (total)]]/SUMIF(Allocation!C:C,Delivery[Delivery ID],Allocation!H:H))/Delivery[[#This Row],[Exchange rate VS USD]]</f>
        <v>0.52792413066385668</v>
      </c>
      <c r="AJ1094" s="204">
        <f>Delivery[[#This Row],[Valor Prêmio Nespresso AAA por Kg (em US$)]]*60</f>
        <v>31.675447839831399</v>
      </c>
      <c r="AK1094" s="204">
        <f>Delivery[[#This Row],[Valor Prêmio Nespresso AAA por saca (em US$)]]/1.3228/100</f>
        <v>0.23945757363041578</v>
      </c>
      <c r="AL1094" s="204">
        <f>(Delivery[[#This Row],[BEN premium (total)]]/SUMIF(Allocation!C:C,Delivery[Delivery ID],Allocation!H:H))/Delivery[[#This Row],[Exchange rate for premiums VS USD]]</f>
        <v>0.16506569101309648</v>
      </c>
      <c r="AM1094" s="204">
        <f>Delivery[[#This Row],[Valor Prêmio Nespresso BEN por Kg (em US$)]]*60</f>
        <v>9.9039414607857896</v>
      </c>
      <c r="AN1094" s="204">
        <f>Delivery[[#This Row],[Valor Prêmio Nespresso BEN por saca (em US$)]]/1.3228/100</f>
        <v>7.4871042189188011E-2</v>
      </c>
      <c r="AO1094" s="204">
        <f>SUMIF(Allocation[Delivery ID],Delivery[[#This Row],[Delivery ID]],Allocation[Quantity allocated])*16*1.3228*Delivery[[#This Row],[Exchange rate VS USD]]/60</f>
        <v>8790.4066849386672</v>
      </c>
      <c r="AP1094" s="204">
        <f>Delivery[[#This Row],[AAA Premium (total)]]</f>
        <v>13155.8091</v>
      </c>
      <c r="AQ1094" s="204">
        <f>Delivery[[#This Row],[Valor pago pelo Cluster]]-Delivery[[#This Row],[Valor efetivamente pago pela Nespresso]]</f>
        <v>4365.4024150613332</v>
      </c>
    </row>
    <row r="1095" spans="1:43" ht="15.75">
      <c r="A1095" s="174" t="s">
        <v>69</v>
      </c>
      <c r="B1095" s="232" t="s">
        <v>68</v>
      </c>
      <c r="C1095" s="157">
        <v>1</v>
      </c>
      <c r="D1095" s="157" t="s">
        <v>468</v>
      </c>
      <c r="E1095" s="177" t="s">
        <v>468</v>
      </c>
      <c r="F1095" s="233" t="s">
        <v>543</v>
      </c>
      <c r="G1095" s="234">
        <v>43418</v>
      </c>
      <c r="H1095" s="160" t="s">
        <v>1723</v>
      </c>
      <c r="I1095" s="236" t="s">
        <v>1721</v>
      </c>
      <c r="J1095" s="237">
        <v>6016</v>
      </c>
      <c r="K1095" s="175" t="s">
        <v>61</v>
      </c>
      <c r="L1095" s="175" t="s">
        <v>439</v>
      </c>
      <c r="M1095" s="175" t="s">
        <v>1343</v>
      </c>
      <c r="N1095" s="198"/>
      <c r="O1095" s="199"/>
      <c r="P1095" s="181">
        <v>0</v>
      </c>
      <c r="Q1095" s="177">
        <v>43411</v>
      </c>
      <c r="R1095" s="178">
        <v>447.15496000000002</v>
      </c>
      <c r="S1095" s="179">
        <v>43793.36900175373</v>
      </c>
      <c r="T1095" s="182" t="s">
        <v>45</v>
      </c>
      <c r="U1095" s="183">
        <v>3.7513000000000001</v>
      </c>
      <c r="V1095" s="179">
        <v>2632.9124266666668</v>
      </c>
      <c r="W1095" s="179">
        <v>823.23099824627184</v>
      </c>
      <c r="X1095" s="196" t="s">
        <v>45</v>
      </c>
      <c r="Y1095" s="200">
        <v>3.7513000000000001</v>
      </c>
      <c r="Z1095" s="220" t="s">
        <v>473</v>
      </c>
      <c r="AA1095" s="201">
        <f>Delivery[[#This Row],[Quantity delivered]]*VLOOKUP(Delivery[[#This Row],[Unit]],References!$U:$X,4,FALSE)*VLOOKUP(CONCATENATE(Delivery[[#This Row],[Coffee specie]],Delivery[[#This Row],[Coffee state]]),References!$U:$X,4,FALSE)</f>
        <v>6016</v>
      </c>
      <c r="AB1095" s="202">
        <f>SUMIF(Allocation!C:C,Delivery[[#This Row],[Delivery ID]],Allocation!D:D)/Delivery[[#This Row],[Quantity delivered]]</f>
        <v>0.66938164893617025</v>
      </c>
      <c r="AC1095" s="203">
        <f>Delivery[[#This Row],[Quantity delivered]]*Delivery[[#This Row],[Base price (Unidad)]]/60</f>
        <v>44834.737322666668</v>
      </c>
      <c r="AD1095" s="204">
        <f>Delivery[[#This Row],[Nespresso total]]-Delivery[[#This Row],[Qt. Delivery * Base Price]]</f>
        <v>-1041.3683209129376</v>
      </c>
      <c r="AE1095" s="204">
        <f>Delivery[[#This Row],[AAA Premium (total)]]/Delivery[[#This Row],[Quantity delivered]]*60/Delivery[[#This Row],[Exchange rate VS USD]]</f>
        <v>7</v>
      </c>
      <c r="AF1095" s="204">
        <f>Delivery[[#This Row],[BEN premium (total)]]/Delivery[[#This Row],[Quantity delivered]]*60/Delivery[[#This Row],[Exchange rate for premiums VS USD]]</f>
        <v>2.1886853999999993</v>
      </c>
      <c r="AG1095" s="204">
        <f>COUNTIF(Delivery[Delivery ID],Delivery[[#This Row],[Delivery ID]])</f>
        <v>1</v>
      </c>
      <c r="AH1095" s="204">
        <f>(Delivery[[#This Row],[Nespresso total]]/SUMIF(Allocation!C:C,Delivery[Delivery ID],Allocation!H:H))/Delivery[[#This Row],[Exchange rate VS USD]]</f>
        <v>8.7841871204746784</v>
      </c>
      <c r="AI1095" s="204">
        <f>(Delivery[[#This Row],[AAA Premium (total)]]/SUMIF(Allocation!C:C,Delivery[Delivery ID],Allocation!H:H))/Delivery[[#This Row],[Exchange rate VS USD]]</f>
        <v>0.52811637822924506</v>
      </c>
      <c r="AJ1095" s="204">
        <f>Delivery[[#This Row],[Valor Prêmio Nespresso AAA por Kg (em US$)]]*60</f>
        <v>31.686982693754704</v>
      </c>
      <c r="AK1095" s="204">
        <f>Delivery[[#This Row],[Valor Prêmio Nespresso AAA por saca (em US$)]]/1.3228/100</f>
        <v>0.23954477391710541</v>
      </c>
      <c r="AL1095" s="204">
        <f>(Delivery[[#This Row],[BEN premium (total)]]/SUMIF(Allocation!C:C,Delivery[Delivery ID],Allocation!H:H))/Delivery[[#This Row],[Exchange rate for premiums VS USD]]</f>
        <v>0.16512580093303231</v>
      </c>
      <c r="AM1095" s="204">
        <f>Delivery[[#This Row],[Valor Prêmio Nespresso BEN por Kg (em US$)]]*60</f>
        <v>9.9075480559819376</v>
      </c>
      <c r="AN1095" s="204">
        <f>Delivery[[#This Row],[Valor Prêmio Nespresso BEN por saca (em US$)]]/1.3228/100</f>
        <v>7.4898307045524179E-2</v>
      </c>
      <c r="AO1095" s="204">
        <f>SUMIF(Allocation[Delivery ID],Delivery[[#This Row],[Delivery ID]],Allocation[Quantity allocated])*16*1.3228*Delivery[[#This Row],[Exchange rate VS USD]]/60</f>
        <v>1758.6106404159998</v>
      </c>
      <c r="AP1095" s="204">
        <f>Delivery[[#This Row],[AAA Premium (total)]]</f>
        <v>2632.9124266666668</v>
      </c>
      <c r="AQ1095" s="204">
        <f>Delivery[[#This Row],[Valor pago pelo Cluster]]-Delivery[[#This Row],[Valor efetivamente pago pela Nespresso]]</f>
        <v>874.30178625066696</v>
      </c>
    </row>
    <row r="1096" spans="1:43" ht="15.75">
      <c r="A1096" s="174" t="s">
        <v>69</v>
      </c>
      <c r="B1096" s="232" t="s">
        <v>68</v>
      </c>
      <c r="C1096" s="157">
        <v>1</v>
      </c>
      <c r="D1096" s="157" t="s">
        <v>468</v>
      </c>
      <c r="E1096" s="177" t="s">
        <v>468</v>
      </c>
      <c r="F1096" s="233" t="s">
        <v>543</v>
      </c>
      <c r="G1096" s="234">
        <v>43418</v>
      </c>
      <c r="H1096" s="160" t="s">
        <v>1724</v>
      </c>
      <c r="I1096" s="236" t="s">
        <v>1721</v>
      </c>
      <c r="J1096" s="237">
        <v>15040</v>
      </c>
      <c r="K1096" s="175" t="s">
        <v>61</v>
      </c>
      <c r="L1096" s="175" t="s">
        <v>439</v>
      </c>
      <c r="M1096" s="175" t="s">
        <v>1343</v>
      </c>
      <c r="N1096" s="198"/>
      <c r="O1096" s="199"/>
      <c r="P1096" s="181">
        <v>0</v>
      </c>
      <c r="Q1096" s="177">
        <v>43411</v>
      </c>
      <c r="R1096" s="178">
        <v>447.15496000000002</v>
      </c>
      <c r="S1096" s="179">
        <v>109483.42250438432</v>
      </c>
      <c r="T1096" s="182" t="s">
        <v>45</v>
      </c>
      <c r="U1096" s="183">
        <v>3.7513000000000001</v>
      </c>
      <c r="V1096" s="179">
        <v>6582.2810666666664</v>
      </c>
      <c r="W1096" s="179">
        <v>2058.0774956156802</v>
      </c>
      <c r="X1096" s="196" t="s">
        <v>45</v>
      </c>
      <c r="Y1096" s="200">
        <v>3.7513000000000001</v>
      </c>
      <c r="Z1096" s="220" t="s">
        <v>473</v>
      </c>
      <c r="AA1096" s="201">
        <f>Delivery[[#This Row],[Quantity delivered]]*VLOOKUP(Delivery[[#This Row],[Unit]],References!$U:$X,4,FALSE)*VLOOKUP(CONCATENATE(Delivery[[#This Row],[Coffee specie]],Delivery[[#This Row],[Coffee state]]),References!$U:$X,4,FALSE)</f>
        <v>15040</v>
      </c>
      <c r="AB1096" s="202">
        <f>SUMIF(Allocation!C:C,Delivery[[#This Row],[Delivery ID]],Allocation!D:D)/Delivery[[#This Row],[Quantity delivered]]</f>
        <v>0.77007978723404258</v>
      </c>
      <c r="AC1096" s="203">
        <f>Delivery[[#This Row],[Quantity delivered]]*Delivery[[#This Row],[Base price (Unidad)]]/60</f>
        <v>112086.84330666668</v>
      </c>
      <c r="AD1096" s="204">
        <f>Delivery[[#This Row],[Nespresso total]]-Delivery[[#This Row],[Qt. Delivery * Base Price]]</f>
        <v>-2603.4208022823586</v>
      </c>
      <c r="AE1096" s="204">
        <f>Delivery[[#This Row],[AAA Premium (total)]]/Delivery[[#This Row],[Quantity delivered]]*60/Delivery[[#This Row],[Exchange rate VS USD]]</f>
        <v>7</v>
      </c>
      <c r="AF1096" s="204">
        <f>Delivery[[#This Row],[BEN premium (total)]]/Delivery[[#This Row],[Quantity delivered]]*60/Delivery[[#This Row],[Exchange rate for premiums VS USD]]</f>
        <v>2.1886853999999998</v>
      </c>
      <c r="AG1096" s="204">
        <f>COUNTIF(Delivery[Delivery ID],Delivery[[#This Row],[Delivery ID]])</f>
        <v>1</v>
      </c>
      <c r="AH1096" s="204">
        <f>(Delivery[[#This Row],[Nespresso total]]/SUMIF(Allocation!C:C,Delivery[Delivery ID],Allocation!H:H))/Delivery[[#This Row],[Exchange rate VS USD]]</f>
        <v>7.6361752244314811</v>
      </c>
      <c r="AI1096" s="204">
        <f>(Delivery[[#This Row],[AAA Premium (total)]]/SUMIF(Allocation!C:C,Delivery[Delivery ID],Allocation!H:H))/Delivery[[#This Row],[Exchange rate VS USD]]</f>
        <v>0.45909645909645908</v>
      </c>
      <c r="AJ1096" s="204">
        <f>Delivery[[#This Row],[Valor Prêmio Nespresso AAA por Kg (em US$)]]*60</f>
        <v>27.545787545787544</v>
      </c>
      <c r="AK1096" s="204">
        <f>Delivery[[#This Row],[Valor Prêmio Nespresso AAA por saca (em US$)]]/1.3228/100</f>
        <v>0.20823849066969718</v>
      </c>
      <c r="AL1096" s="204">
        <f>(Delivery[[#This Row],[BEN premium (total)]]/SUMIF(Allocation!C:C,Delivery[Delivery ID],Allocation!H:H))/Delivery[[#This Row],[Exchange rate for premiums VS USD]]</f>
        <v>0.14354538817373103</v>
      </c>
      <c r="AM1096" s="204">
        <f>Delivery[[#This Row],[Valor Prêmio Nespresso BEN por Kg (em US$)]]*60</f>
        <v>8.6127232904238618</v>
      </c>
      <c r="AN1096" s="204">
        <f>Delivery[[#This Row],[Valor Prêmio Nespresso BEN por saca (em US$)]]/1.3228/100</f>
        <v>6.5109792035257505E-2</v>
      </c>
      <c r="AO1096" s="204">
        <f>SUMIF(Allocation[Delivery ID],Delivery[[#This Row],[Delivery ID]],Allocation[Quantity allocated])*16*1.3228*Delivery[[#This Row],[Exchange rate VS USD]]/60</f>
        <v>5057.4942570880003</v>
      </c>
      <c r="AP1096" s="204">
        <f>Delivery[[#This Row],[AAA Premium (total)]]</f>
        <v>6582.2810666666664</v>
      </c>
      <c r="AQ1096" s="204">
        <f>Delivery[[#This Row],[Valor pago pelo Cluster]]-Delivery[[#This Row],[Valor efetivamente pago pela Nespresso]]</f>
        <v>1524.7868095786662</v>
      </c>
    </row>
    <row r="1097" spans="1:43" ht="15.75">
      <c r="A1097" s="174" t="s">
        <v>69</v>
      </c>
      <c r="B1097" s="232" t="s">
        <v>68</v>
      </c>
      <c r="C1097" s="157">
        <v>1</v>
      </c>
      <c r="D1097" s="157" t="s">
        <v>468</v>
      </c>
      <c r="E1097" s="177" t="s">
        <v>468</v>
      </c>
      <c r="F1097" s="233" t="s">
        <v>543</v>
      </c>
      <c r="G1097" s="234">
        <v>43418</v>
      </c>
      <c r="H1097" s="160" t="s">
        <v>1725</v>
      </c>
      <c r="I1097" s="236" t="s">
        <v>1721</v>
      </c>
      <c r="J1097" s="237">
        <v>9024</v>
      </c>
      <c r="K1097" s="175" t="s">
        <v>61</v>
      </c>
      <c r="L1097" s="175" t="s">
        <v>439</v>
      </c>
      <c r="M1097" s="175" t="s">
        <v>1343</v>
      </c>
      <c r="N1097" s="198"/>
      <c r="O1097" s="199"/>
      <c r="P1097" s="181">
        <v>0</v>
      </c>
      <c r="Q1097" s="177">
        <v>43411</v>
      </c>
      <c r="R1097" s="178">
        <v>447.15496000000002</v>
      </c>
      <c r="S1097" s="179">
        <v>65690.053502630588</v>
      </c>
      <c r="T1097" s="182" t="s">
        <v>45</v>
      </c>
      <c r="U1097" s="183">
        <v>3.7513000000000001</v>
      </c>
      <c r="V1097" s="179">
        <v>3949.3686400000001</v>
      </c>
      <c r="W1097" s="179">
        <v>1234.8464973694079</v>
      </c>
      <c r="X1097" s="196" t="s">
        <v>45</v>
      </c>
      <c r="Y1097" s="200">
        <v>3.7513000000000001</v>
      </c>
      <c r="Z1097" s="220" t="s">
        <v>473</v>
      </c>
      <c r="AA1097" s="201">
        <f>Delivery[[#This Row],[Quantity delivered]]*VLOOKUP(Delivery[[#This Row],[Unit]],References!$U:$X,4,FALSE)*VLOOKUP(CONCATENATE(Delivery[[#This Row],[Coffee specie]],Delivery[[#This Row],[Coffee state]]),References!$U:$X,4,FALSE)</f>
        <v>9024</v>
      </c>
      <c r="AB1097" s="202">
        <f>SUMIF(Allocation!C:C,Delivery[[#This Row],[Delivery ID]],Allocation!D:D)/Delivery[[#This Row],[Quantity delivered]]</f>
        <v>0.56848404255319152</v>
      </c>
      <c r="AC1097" s="203">
        <f>Delivery[[#This Row],[Quantity delivered]]*Delivery[[#This Row],[Base price (Unidad)]]/60</f>
        <v>67252.105983999994</v>
      </c>
      <c r="AD1097" s="204">
        <f>Delivery[[#This Row],[Nespresso total]]-Delivery[[#This Row],[Qt. Delivery * Base Price]]</f>
        <v>-1562.0524813694065</v>
      </c>
      <c r="AE1097" s="204">
        <f>Delivery[[#This Row],[AAA Premium (total)]]/Delivery[[#This Row],[Quantity delivered]]*60/Delivery[[#This Row],[Exchange rate VS USD]]</f>
        <v>7</v>
      </c>
      <c r="AF1097" s="204">
        <f>Delivery[[#This Row],[BEN premium (total)]]/Delivery[[#This Row],[Quantity delivered]]*60/Delivery[[#This Row],[Exchange rate for premiums VS USD]]</f>
        <v>2.1886853999999993</v>
      </c>
      <c r="AG1097" s="204">
        <f>COUNTIF(Delivery[Delivery ID],Delivery[[#This Row],[Delivery ID]])</f>
        <v>1</v>
      </c>
      <c r="AH1097" s="204">
        <f>(Delivery[[#This Row],[Nespresso total]]/SUMIF(Allocation!C:C,Delivery[Delivery ID],Allocation!H:H))/Delivery[[#This Row],[Exchange rate VS USD]]</f>
        <v>10.343341420358106</v>
      </c>
      <c r="AI1097" s="204">
        <f>(Delivery[[#This Row],[AAA Premium (total)]]/SUMIF(Allocation!C:C,Delivery[Delivery ID],Allocation!H:H))/Delivery[[#This Row],[Exchange rate VS USD]]</f>
        <v>0.62185469580626107</v>
      </c>
      <c r="AJ1097" s="204">
        <f>Delivery[[#This Row],[Valor Prêmio Nespresso AAA por Kg (em US$)]]*60</f>
        <v>37.311281748375663</v>
      </c>
      <c r="AK1097" s="204">
        <f>Delivery[[#This Row],[Valor Prêmio Nespresso AAA por saca (em US$)]]/1.3228/100</f>
        <v>0.28206291010262824</v>
      </c>
      <c r="AL1097" s="204">
        <f>(Delivery[[#This Row],[BEN premium (total)]]/SUMIF(Allocation!C:C,Delivery[Delivery ID],Allocation!H:H))/Delivery[[#This Row],[Exchange rate for premiums VS USD]]</f>
        <v>0.19443489909037212</v>
      </c>
      <c r="AM1097" s="204">
        <f>Delivery[[#This Row],[Valor Prêmio Nespresso BEN por Kg (em US$)]]*60</f>
        <v>11.666093945422327</v>
      </c>
      <c r="AN1097" s="204">
        <f>Delivery[[#This Row],[Valor Prêmio Nespresso BEN por saca (em US$)]]/1.3228/100</f>
        <v>8.8192424746162137E-2</v>
      </c>
      <c r="AO1097" s="204">
        <f>SUMIF(Allocation[Delivery ID],Delivery[[#This Row],[Delivery ID]],Allocation[Quantity allocated])*16*1.3228*Delivery[[#This Row],[Exchange rate VS USD]]/60</f>
        <v>2240.2767601386668</v>
      </c>
      <c r="AP1097" s="204">
        <f>Delivery[[#This Row],[AAA Premium (total)]]</f>
        <v>3949.3686400000001</v>
      </c>
      <c r="AQ1097" s="204">
        <f>Delivery[[#This Row],[Valor pago pelo Cluster]]-Delivery[[#This Row],[Valor efetivamente pago pela Nespresso]]</f>
        <v>1709.0918798613334</v>
      </c>
    </row>
    <row r="1098" spans="1:43" ht="15.75">
      <c r="A1098" s="174" t="s">
        <v>69</v>
      </c>
      <c r="B1098" s="232" t="s">
        <v>68</v>
      </c>
      <c r="C1098" s="157">
        <v>1</v>
      </c>
      <c r="D1098" s="157" t="s">
        <v>468</v>
      </c>
      <c r="E1098" s="177" t="s">
        <v>468</v>
      </c>
      <c r="F1098" s="233" t="s">
        <v>543</v>
      </c>
      <c r="G1098" s="234">
        <v>43418</v>
      </c>
      <c r="H1098" s="160" t="s">
        <v>1726</v>
      </c>
      <c r="I1098" s="236" t="s">
        <v>1721</v>
      </c>
      <c r="J1098" s="237">
        <v>16248</v>
      </c>
      <c r="K1098" s="175" t="s">
        <v>61</v>
      </c>
      <c r="L1098" s="175" t="s">
        <v>439</v>
      </c>
      <c r="M1098" s="175" t="s">
        <v>1343</v>
      </c>
      <c r="N1098" s="198"/>
      <c r="O1098" s="199"/>
      <c r="P1098" s="181">
        <v>0</v>
      </c>
      <c r="Q1098" s="177">
        <v>43411</v>
      </c>
      <c r="R1098" s="178">
        <v>447.15496000000002</v>
      </c>
      <c r="S1098" s="179">
        <v>118241.43947149179</v>
      </c>
      <c r="T1098" s="182" t="s">
        <v>45</v>
      </c>
      <c r="U1098" s="183">
        <v>3.7513000000000001</v>
      </c>
      <c r="V1098" s="179">
        <v>7110.9642800000001</v>
      </c>
      <c r="W1098" s="179">
        <v>2223.3805285082158</v>
      </c>
      <c r="X1098" s="196" t="s">
        <v>45</v>
      </c>
      <c r="Y1098" s="200">
        <v>3.7513000000000001</v>
      </c>
      <c r="Z1098" s="220" t="s">
        <v>473</v>
      </c>
      <c r="AA1098" s="201">
        <f>Delivery[[#This Row],[Quantity delivered]]*VLOOKUP(Delivery[[#This Row],[Unit]],References!$U:$X,4,FALSE)*VLOOKUP(CONCATENATE(Delivery[[#This Row],[Coffee specie]],Delivery[[#This Row],[Coffee state]]),References!$U:$X,4,FALSE)</f>
        <v>16248</v>
      </c>
      <c r="AB1098" s="202">
        <f>SUMIF(Allocation!C:C,Delivery[[#This Row],[Delivery ID]],Allocation!D:D)/Delivery[[#This Row],[Quantity delivered]]</f>
        <v>0.72513540128015752</v>
      </c>
      <c r="AC1098" s="203">
        <f>Delivery[[#This Row],[Quantity delivered]]*Delivery[[#This Row],[Base price (Unidad)]]/60</f>
        <v>121089.56316800001</v>
      </c>
      <c r="AD1098" s="204">
        <f>Delivery[[#This Row],[Nespresso total]]-Delivery[[#This Row],[Qt. Delivery * Base Price]]</f>
        <v>-2848.1236965082207</v>
      </c>
      <c r="AE1098" s="204">
        <f>Delivery[[#This Row],[AAA Premium (total)]]/Delivery[[#This Row],[Quantity delivered]]*60/Delivery[[#This Row],[Exchange rate VS USD]]</f>
        <v>7</v>
      </c>
      <c r="AF1098" s="204">
        <f>Delivery[[#This Row],[BEN premium (total)]]/Delivery[[#This Row],[Quantity delivered]]*60/Delivery[[#This Row],[Exchange rate for premiums VS USD]]</f>
        <v>2.1886853999999993</v>
      </c>
      <c r="AG1098" s="204">
        <f>COUNTIF(Delivery[Delivery ID],Delivery[[#This Row],[Delivery ID]])</f>
        <v>1</v>
      </c>
      <c r="AH1098" s="204">
        <f>(Delivery[[#This Row],[Nespresso total]]/SUMIF(Allocation!C:C,Delivery[Delivery ID],Allocation!H:H))/Delivery[[#This Row],[Exchange rate VS USD]]</f>
        <v>8.1070276619257431</v>
      </c>
      <c r="AI1098" s="204">
        <f>(Delivery[[#This Row],[AAA Premium (total)]]/SUMIF(Allocation!C:C,Delivery[Delivery ID],Allocation!H:H))/Delivery[[#This Row],[Exchange rate VS USD]]</f>
        <v>0.4875514403292181</v>
      </c>
      <c r="AJ1098" s="204">
        <f>Delivery[[#This Row],[Valor Prêmio Nespresso AAA por Kg (em US$)]]*60</f>
        <v>29.253086419753085</v>
      </c>
      <c r="AK1098" s="204">
        <f>Delivery[[#This Row],[Valor Prêmio Nespresso AAA por saca (em US$)]]/1.3228/100</f>
        <v>0.22114519519015033</v>
      </c>
      <c r="AL1098" s="204">
        <f>(Delivery[[#This Row],[BEN premium (total)]]/SUMIF(Allocation!C:C,Delivery[Delivery ID],Allocation!H:H))/Delivery[[#This Row],[Exchange rate for premiums VS USD]]</f>
        <v>0.15244238845679009</v>
      </c>
      <c r="AM1098" s="204">
        <f>Delivery[[#This Row],[Valor Prêmio Nespresso BEN por Kg (em US$)]]*60</f>
        <v>9.1465433074074056</v>
      </c>
      <c r="AN1098" s="204">
        <f>Delivery[[#This Row],[Valor Prêmio Nespresso BEN por saca (em US$)]]/1.3228/100</f>
        <v>6.9145322856118879E-2</v>
      </c>
      <c r="AO1098" s="204">
        <f>SUMIF(Allocation[Delivery ID],Delivery[[#This Row],[Delivery ID]],Allocation[Quantity allocated])*16*1.3228*Delivery[[#This Row],[Exchange rate VS USD]]/60</f>
        <v>5144.8293227520007</v>
      </c>
      <c r="AP1098" s="204">
        <f>Delivery[[#This Row],[AAA Premium (total)]]</f>
        <v>7110.9642800000001</v>
      </c>
      <c r="AQ1098" s="204">
        <f>Delivery[[#This Row],[Valor pago pelo Cluster]]-Delivery[[#This Row],[Valor efetivamente pago pela Nespresso]]</f>
        <v>1966.1349572479994</v>
      </c>
    </row>
    <row r="1099" spans="1:43" ht="15.75">
      <c r="A1099" s="174" t="s">
        <v>69</v>
      </c>
      <c r="B1099" s="232" t="s">
        <v>68</v>
      </c>
      <c r="C1099" s="157">
        <v>1</v>
      </c>
      <c r="D1099" s="157" t="s">
        <v>468</v>
      </c>
      <c r="E1099" s="177" t="s">
        <v>468</v>
      </c>
      <c r="F1099" s="233" t="s">
        <v>543</v>
      </c>
      <c r="G1099" s="234">
        <v>43418</v>
      </c>
      <c r="H1099" s="160" t="s">
        <v>1727</v>
      </c>
      <c r="I1099" s="236" t="s">
        <v>1721</v>
      </c>
      <c r="J1099" s="237">
        <v>13842</v>
      </c>
      <c r="K1099" s="175" t="s">
        <v>61</v>
      </c>
      <c r="L1099" s="175" t="s">
        <v>439</v>
      </c>
      <c r="M1099" s="175" t="s">
        <v>1343</v>
      </c>
      <c r="N1099" s="198"/>
      <c r="O1099" s="199"/>
      <c r="P1099" s="181">
        <v>0</v>
      </c>
      <c r="Q1099" s="177">
        <v>43411</v>
      </c>
      <c r="R1099" s="178">
        <v>447.15496000000002</v>
      </c>
      <c r="S1099" s="179">
        <v>100724.03713468667</v>
      </c>
      <c r="T1099" s="182" t="s">
        <v>45</v>
      </c>
      <c r="U1099" s="183">
        <v>3.7513000000000001</v>
      </c>
      <c r="V1099" s="179">
        <v>6057.9743699999999</v>
      </c>
      <c r="W1099" s="179">
        <v>1894.1428653133139</v>
      </c>
      <c r="X1099" s="196" t="s">
        <v>45</v>
      </c>
      <c r="Y1099" s="200">
        <v>3.7513000000000001</v>
      </c>
      <c r="Z1099" s="220" t="s">
        <v>473</v>
      </c>
      <c r="AA1099" s="201">
        <f>Delivery[[#This Row],[Quantity delivered]]*VLOOKUP(Delivery[[#This Row],[Unit]],References!$U:$X,4,FALSE)*VLOOKUP(CONCATENATE(Delivery[[#This Row],[Coffee specie]],Delivery[[#This Row],[Coffee state]]),References!$U:$X,4,FALSE)</f>
        <v>13842</v>
      </c>
      <c r="AB1099" s="202">
        <f>SUMIF(Allocation!C:C,Delivery[[#This Row],[Delivery ID]],Allocation!D:D)/Delivery[[#This Row],[Quantity delivered]]</f>
        <v>0.60338101430429125</v>
      </c>
      <c r="AC1099" s="203">
        <f>Delivery[[#This Row],[Quantity delivered]]*Delivery[[#This Row],[Base price (Unidad)]]/60</f>
        <v>103158.649272</v>
      </c>
      <c r="AD1099" s="204">
        <f>Delivery[[#This Row],[Nespresso total]]-Delivery[[#This Row],[Qt. Delivery * Base Price]]</f>
        <v>-2434.612137313321</v>
      </c>
      <c r="AE1099" s="204">
        <f>Delivery[[#This Row],[AAA Premium (total)]]/Delivery[[#This Row],[Quantity delivered]]*60/Delivery[[#This Row],[Exchange rate VS USD]]</f>
        <v>7</v>
      </c>
      <c r="AF1099" s="204">
        <f>Delivery[[#This Row],[BEN premium (total)]]/Delivery[[#This Row],[Quantity delivered]]*60/Delivery[[#This Row],[Exchange rate for premiums VS USD]]</f>
        <v>2.1886853999999998</v>
      </c>
      <c r="AG1099" s="204">
        <f>COUNTIF(Delivery[Delivery ID],Delivery[[#This Row],[Delivery ID]])</f>
        <v>1</v>
      </c>
      <c r="AH1099" s="204">
        <f>(Delivery[[#This Row],[Nespresso total]]/SUMIF(Allocation!C:C,Delivery[Delivery ID],Allocation!H:H))/Delivery[[#This Row],[Exchange rate VS USD]]</f>
        <v>9.7425381295671087</v>
      </c>
      <c r="AI1099" s="204">
        <f>(Delivery[[#This Row],[AAA Premium (total)]]/SUMIF(Allocation!C:C,Delivery[Delivery ID],Allocation!H:H))/Delivery[[#This Row],[Exchange rate VS USD]]</f>
        <v>0.58595791001451369</v>
      </c>
      <c r="AJ1099" s="204">
        <f>Delivery[[#This Row],[Valor Prêmio Nespresso AAA por Kg (em US$)]]*60</f>
        <v>35.15747460087082</v>
      </c>
      <c r="AK1099" s="204">
        <f>Delivery[[#This Row],[Valor Prêmio Nespresso AAA por saca (em US$)]]/1.3228/100</f>
        <v>0.26578072725182056</v>
      </c>
      <c r="AL1099" s="204">
        <f>(Delivery[[#This Row],[BEN premium (total)]]/SUMIF(Allocation!C:C,Delivery[Delivery ID],Allocation!H:H))/Delivery[[#This Row],[Exchange rate for premiums VS USD]]</f>
        <v>0.18321107466618286</v>
      </c>
      <c r="AM1099" s="204">
        <f>Delivery[[#This Row],[Valor Prêmio Nespresso BEN por Kg (em US$)]]*60</f>
        <v>10.992664479970971</v>
      </c>
      <c r="AN1099" s="204">
        <f>Delivery[[#This Row],[Valor Prêmio Nespresso BEN por saca (em US$)]]/1.3228/100</f>
        <v>8.3101485333920255E-2</v>
      </c>
      <c r="AO1099" s="204">
        <f>SUMIF(Allocation[Delivery ID],Delivery[[#This Row],[Delivery ID]],Allocation[Quantity allocated])*16*1.3228*Delivery[[#This Row],[Exchange rate VS USD]]/60</f>
        <v>3646.9006207573329</v>
      </c>
      <c r="AP1099" s="204">
        <f>Delivery[[#This Row],[AAA Premium (total)]]</f>
        <v>6057.9743699999999</v>
      </c>
      <c r="AQ1099" s="204">
        <f>Delivery[[#This Row],[Valor pago pelo Cluster]]-Delivery[[#This Row],[Valor efetivamente pago pela Nespresso]]</f>
        <v>2411.073749242667</v>
      </c>
    </row>
    <row r="1100" spans="1:43" ht="15.75">
      <c r="A1100" s="174" t="s">
        <v>69</v>
      </c>
      <c r="B1100" s="232" t="s">
        <v>68</v>
      </c>
      <c r="C1100" s="157">
        <v>1</v>
      </c>
      <c r="D1100" s="157" t="s">
        <v>468</v>
      </c>
      <c r="E1100" s="177" t="s">
        <v>468</v>
      </c>
      <c r="F1100" s="233" t="s">
        <v>543</v>
      </c>
      <c r="G1100" s="234">
        <v>43413</v>
      </c>
      <c r="H1100" s="157" t="s">
        <v>1313</v>
      </c>
      <c r="I1100" s="157" t="s">
        <v>1009</v>
      </c>
      <c r="J1100" s="237">
        <v>12040</v>
      </c>
      <c r="K1100" s="175" t="s">
        <v>61</v>
      </c>
      <c r="L1100" s="175" t="s">
        <v>439</v>
      </c>
      <c r="M1100" s="175" t="s">
        <v>1343</v>
      </c>
      <c r="N1100" s="198"/>
      <c r="O1100" s="199"/>
      <c r="P1100" s="181">
        <v>0</v>
      </c>
      <c r="Q1100" s="177">
        <v>43410</v>
      </c>
      <c r="R1100" s="178">
        <v>442.66208000000006</v>
      </c>
      <c r="S1100" s="179">
        <v>84443.822018038045</v>
      </c>
      <c r="T1100" s="182" t="s">
        <v>45</v>
      </c>
      <c r="U1100" s="183">
        <v>3.7387000000000001</v>
      </c>
      <c r="V1100" s="179">
        <v>7476</v>
      </c>
      <c r="W1100" s="179">
        <v>2040.0889909809732</v>
      </c>
      <c r="X1100" s="196" t="s">
        <v>45</v>
      </c>
      <c r="Y1100" s="200">
        <v>3.7387000000000001</v>
      </c>
      <c r="Z1100" s="220" t="s">
        <v>473</v>
      </c>
      <c r="AA1100" s="201">
        <f>Delivery[[#This Row],[Quantity delivered]]*VLOOKUP(Delivery[[#This Row],[Unit]],References!$U:$X,4,FALSE)*VLOOKUP(CONCATENATE(Delivery[[#This Row],[Coffee specie]],Delivery[[#This Row],[Coffee state]]),References!$U:$X,4,FALSE)</f>
        <v>12040</v>
      </c>
      <c r="AB1100" s="202">
        <f>SUMIF(Allocation!C:C,Delivery[[#This Row],[Delivery ID]],Allocation!D:D)/Delivery[[#This Row],[Quantity delivered]]</f>
        <v>1</v>
      </c>
      <c r="AC1100" s="203">
        <f>Delivery[[#This Row],[Quantity delivered]]*Delivery[[#This Row],[Base price (Unidad)]]/60</f>
        <v>88827.524053333342</v>
      </c>
      <c r="AD1100" s="204">
        <f>Delivery[[#This Row],[Nespresso total]]-Delivery[[#This Row],[Qt. Delivery * Base Price]]</f>
        <v>-4383.7020352952968</v>
      </c>
      <c r="AE1100" s="204">
        <f>Delivery[[#This Row],[AAA Premium (total)]]/Delivery[[#This Row],[Quantity delivered]]*60/Delivery[[#This Row],[Exchange rate VS USD]]</f>
        <v>9.9649113203756308</v>
      </c>
      <c r="AF1100" s="204">
        <f>Delivery[[#This Row],[BEN premium (total)]]/Delivery[[#This Row],[Quantity delivered]]*60/Delivery[[#This Row],[Exchange rate for premiums VS USD]]</f>
        <v>2.7192758000000001</v>
      </c>
      <c r="AG1100" s="204">
        <f>COUNTIF(Delivery[Delivery ID],Delivery[[#This Row],[Delivery ID]])</f>
        <v>1</v>
      </c>
      <c r="AH1100" s="204">
        <f>(Delivery[[#This Row],[Nespresso total]]/SUMIF(Allocation!C:C,Delivery[Delivery ID],Allocation!H:H))/Delivery[[#This Row],[Exchange rate VS USD]]</f>
        <v>4.5749266617587958</v>
      </c>
      <c r="AI1100" s="204">
        <f>(Delivery[[#This Row],[AAA Premium (total)]]/SUMIF(Allocation!C:C,Delivery[Delivery ID],Allocation!H:H))/Delivery[[#This Row],[Exchange rate VS USD]]</f>
        <v>0.40502846633354467</v>
      </c>
      <c r="AJ1100" s="204">
        <f>Delivery[[#This Row],[Valor Prêmio Nespresso AAA por Kg (em US$)]]*60</f>
        <v>24.301707980012679</v>
      </c>
      <c r="AK1100" s="204">
        <f>Delivery[[#This Row],[Valor Prêmio Nespresso AAA por saca (em US$)]]/1.3228/100</f>
        <v>0.18371415164811519</v>
      </c>
      <c r="AL1100" s="204">
        <f>(Delivery[[#This Row],[BEN premium (total)]]/SUMIF(Allocation!C:C,Delivery[Delivery ID],Allocation!H:H))/Delivery[[#This Row],[Exchange rate for premiums VS USD]]</f>
        <v>0.11052623263790425</v>
      </c>
      <c r="AM1100" s="204">
        <f>Delivery[[#This Row],[Valor Prêmio Nespresso BEN por Kg (em US$)]]*60</f>
        <v>6.631573958274255</v>
      </c>
      <c r="AN1100" s="204">
        <f>Delivery[[#This Row],[Valor Prêmio Nespresso BEN por saca (em US$)]]/1.3228/100</f>
        <v>5.0132854235517499E-2</v>
      </c>
      <c r="AO1100" s="204">
        <f>SUMIF(Allocation[Delivery ID],Delivery[[#This Row],[Delivery ID]],Allocation[Quantity allocated])*16*1.3228*Delivery[[#This Row],[Exchange rate VS USD]]/60</f>
        <v>6510.9845336853332</v>
      </c>
      <c r="AP1100" s="204">
        <f>Delivery[[#This Row],[AAA Premium (total)]]</f>
        <v>7476</v>
      </c>
      <c r="AQ1100" s="204">
        <f>Delivery[[#This Row],[Valor pago pelo Cluster]]-Delivery[[#This Row],[Valor efetivamente pago pela Nespresso]]</f>
        <v>965.01546631466681</v>
      </c>
    </row>
    <row r="1101" spans="1:43" ht="15.75">
      <c r="A1101" s="174" t="s">
        <v>69</v>
      </c>
      <c r="B1101" s="232" t="s">
        <v>68</v>
      </c>
      <c r="C1101" s="157" t="s">
        <v>1344</v>
      </c>
      <c r="D1101" s="157" t="s">
        <v>468</v>
      </c>
      <c r="E1101" s="177" t="s">
        <v>468</v>
      </c>
      <c r="F1101" s="233" t="s">
        <v>543</v>
      </c>
      <c r="G1101" s="234">
        <v>43417</v>
      </c>
      <c r="H1101" s="235" t="s">
        <v>1728</v>
      </c>
      <c r="I1101" s="157" t="s">
        <v>974</v>
      </c>
      <c r="J1101" s="237">
        <v>9600</v>
      </c>
      <c r="K1101" s="175" t="s">
        <v>61</v>
      </c>
      <c r="L1101" s="175" t="s">
        <v>439</v>
      </c>
      <c r="M1101" s="175" t="s">
        <v>1343</v>
      </c>
      <c r="N1101" s="198"/>
      <c r="O1101" s="199"/>
      <c r="P1101" s="181">
        <v>0</v>
      </c>
      <c r="Q1101" s="177">
        <v>43411</v>
      </c>
      <c r="R1101" s="178">
        <v>446.03883999999999</v>
      </c>
      <c r="S1101" s="179">
        <v>72612.800000000003</v>
      </c>
      <c r="T1101" s="182" t="s">
        <v>45</v>
      </c>
      <c r="U1101" s="183">
        <v>3.7387999999999999</v>
      </c>
      <c r="V1101" s="179">
        <v>9421.2000000000007</v>
      </c>
      <c r="W1101" s="179">
        <v>0</v>
      </c>
      <c r="X1101" s="196" t="s">
        <v>45</v>
      </c>
      <c r="Y1101" s="200">
        <v>3.7387999999999999</v>
      </c>
      <c r="Z1101" s="221"/>
      <c r="AA1101" s="201">
        <f>Delivery[[#This Row],[Quantity delivered]]*VLOOKUP(Delivery[[#This Row],[Unit]],References!$U:$X,4,FALSE)*VLOOKUP(CONCATENATE(Delivery[[#This Row],[Coffee specie]],Delivery[[#This Row],[Coffee state]]),References!$U:$X,4,FALSE)</f>
        <v>9600</v>
      </c>
      <c r="AB1101" s="202">
        <f>SUMIF(Allocation!C:C,Delivery[[#This Row],[Delivery ID]],Allocation!D:D)/Delivery[[#This Row],[Quantity delivered]]</f>
        <v>0.31489583333333332</v>
      </c>
      <c r="AC1101" s="203">
        <f>Delivery[[#This Row],[Quantity delivered]]*Delivery[[#This Row],[Base price (Unidad)]]/60</f>
        <v>71366.214399999997</v>
      </c>
      <c r="AD1101" s="204">
        <f>Delivery[[#This Row],[Nespresso total]]-Delivery[[#This Row],[Qt. Delivery * Base Price]]</f>
        <v>1246.5856000000058</v>
      </c>
      <c r="AE1101" s="204">
        <f>Delivery[[#This Row],[AAA Premium (total)]]/Delivery[[#This Row],[Quantity delivered]]*60/Delivery[[#This Row],[Exchange rate VS USD]]</f>
        <v>15.749037124210979</v>
      </c>
      <c r="AF1101" s="204">
        <f>Delivery[[#This Row],[BEN premium (total)]]/Delivery[[#This Row],[Quantity delivered]]*60/Delivery[[#This Row],[Exchange rate for premiums VS USD]]</f>
        <v>0</v>
      </c>
      <c r="AG1101" s="204">
        <f>COUNTIF(Delivery[Delivery ID],Delivery[[#This Row],[Delivery ID]])</f>
        <v>1</v>
      </c>
      <c r="AH1101" s="204">
        <f>(Delivery[[#This Row],[Nespresso total]]/SUMIF(Allocation!C:C,Delivery[Delivery ID],Allocation!H:H))/Delivery[[#This Row],[Exchange rate VS USD]]</f>
        <v>18.89243058073524</v>
      </c>
      <c r="AI1101" s="204">
        <f>(Delivery[[#This Row],[AAA Premium (total)]]/SUMIF(Allocation!C:C,Delivery[Delivery ID],Allocation!H:H))/Delivery[[#This Row],[Exchange rate VS USD]]</f>
        <v>2.4512120037682457</v>
      </c>
      <c r="AJ1101" s="204">
        <f>Delivery[[#This Row],[Valor Prêmio Nespresso AAA por Kg (em US$)]]*60</f>
        <v>147.07272022609473</v>
      </c>
      <c r="AK1101" s="204">
        <f>Delivery[[#This Row],[Valor Prêmio Nespresso AAA por saca (em US$)]]/1.3228/100</f>
        <v>1.1118288496076105</v>
      </c>
      <c r="AL1101" s="204">
        <f>(Delivery[[#This Row],[BEN premium (total)]]/SUMIF(Allocation!C:C,Delivery[Delivery ID],Allocation!H:H))/Delivery[[#This Row],[Exchange rate for premiums VS USD]]</f>
        <v>0</v>
      </c>
      <c r="AM1101" s="204">
        <f>Delivery[[#This Row],[Valor Prêmio Nespresso BEN por Kg (em US$)]]*60</f>
        <v>0</v>
      </c>
      <c r="AN1101" s="204">
        <f>Delivery[[#This Row],[Valor Prêmio Nespresso BEN por saca (em US$)]]/1.3228/100</f>
        <v>0</v>
      </c>
      <c r="AO1101" s="204">
        <f>SUMIF(Allocation[Delivery ID],Delivery[[#This Row],[Delivery ID]],Allocation[Quantity allocated])*16*1.3228*Delivery[[#This Row],[Exchange rate VS USD]]/60</f>
        <v>1355.7770159786664</v>
      </c>
      <c r="AP1101" s="204">
        <f>Delivery[[#This Row],[AAA Premium (total)]]</f>
        <v>9421.2000000000007</v>
      </c>
      <c r="AQ1101" s="204">
        <f>Delivery[[#This Row],[Valor pago pelo Cluster]]-Delivery[[#This Row],[Valor efetivamente pago pela Nespresso]]</f>
        <v>8065.4229840213338</v>
      </c>
    </row>
    <row r="1102" spans="1:43" ht="15.75">
      <c r="A1102" s="174" t="s">
        <v>69</v>
      </c>
      <c r="B1102" s="232" t="s">
        <v>68</v>
      </c>
      <c r="C1102" s="157" t="s">
        <v>1344</v>
      </c>
      <c r="D1102" s="157" t="s">
        <v>468</v>
      </c>
      <c r="E1102" s="177" t="s">
        <v>468</v>
      </c>
      <c r="F1102" s="233" t="s">
        <v>543</v>
      </c>
      <c r="G1102" s="234">
        <v>43417</v>
      </c>
      <c r="H1102" s="235" t="s">
        <v>1729</v>
      </c>
      <c r="I1102" s="157" t="s">
        <v>1693</v>
      </c>
      <c r="J1102" s="237">
        <v>12030</v>
      </c>
      <c r="K1102" s="175" t="s">
        <v>61</v>
      </c>
      <c r="L1102" s="175" t="s">
        <v>439</v>
      </c>
      <c r="M1102" s="175" t="s">
        <v>1343</v>
      </c>
      <c r="N1102" s="198"/>
      <c r="O1102" s="199"/>
      <c r="P1102" s="181">
        <v>0</v>
      </c>
      <c r="Q1102" s="177">
        <v>43411</v>
      </c>
      <c r="R1102" s="178">
        <v>446.03883999999999</v>
      </c>
      <c r="S1102" s="179">
        <v>90766</v>
      </c>
      <c r="T1102" s="182" t="s">
        <v>45</v>
      </c>
      <c r="U1102" s="183">
        <v>3.7387999999999999</v>
      </c>
      <c r="V1102" s="179">
        <v>4187.2000000000007</v>
      </c>
      <c r="W1102" s="179">
        <v>0</v>
      </c>
      <c r="X1102" s="196" t="s">
        <v>45</v>
      </c>
      <c r="Y1102" s="200">
        <v>3.7387999999999999</v>
      </c>
      <c r="Z1102" s="221"/>
      <c r="AA1102" s="201">
        <f>Delivery[[#This Row],[Quantity delivered]]*VLOOKUP(Delivery[[#This Row],[Unit]],References!$U:$X,4,FALSE)*VLOOKUP(CONCATENATE(Delivery[[#This Row],[Coffee specie]],Delivery[[#This Row],[Coffee state]]),References!$U:$X,4,FALSE)</f>
        <v>12030</v>
      </c>
      <c r="AB1102" s="202">
        <f>SUMIF(Allocation!C:C,Delivery[[#This Row],[Delivery ID]],Allocation!D:D)/Delivery[[#This Row],[Quantity delivered]]</f>
        <v>1</v>
      </c>
      <c r="AC1102" s="203">
        <f>Delivery[[#This Row],[Quantity delivered]]*Delivery[[#This Row],[Base price (Unidad)]]/60</f>
        <v>89430.787419999993</v>
      </c>
      <c r="AD1102" s="204">
        <f>Delivery[[#This Row],[Nespresso total]]-Delivery[[#This Row],[Qt. Delivery * Base Price]]</f>
        <v>1335.2125800000067</v>
      </c>
      <c r="AE1102" s="204">
        <f>Delivery[[#This Row],[AAA Premium (total)]]/Delivery[[#This Row],[Quantity delivered]]*60/Delivery[[#This Row],[Exchange rate VS USD]]</f>
        <v>5.5856934106373108</v>
      </c>
      <c r="AF1102" s="204">
        <f>Delivery[[#This Row],[BEN premium (total)]]/Delivery[[#This Row],[Quantity delivered]]*60/Delivery[[#This Row],[Exchange rate for premiums VS USD]]</f>
        <v>0</v>
      </c>
      <c r="AG1102" s="204">
        <f>COUNTIF(Delivery[Delivery ID],Delivery[[#This Row],[Delivery ID]])</f>
        <v>1</v>
      </c>
      <c r="AH1102" s="204">
        <f>(Delivery[[#This Row],[Nespresso total]]/SUMIF(Allocation!C:C,Delivery[Delivery ID],Allocation!H:H))/Delivery[[#This Row],[Exchange rate VS USD]]</f>
        <v>5.9356413927248859</v>
      </c>
      <c r="AI1102" s="204">
        <f>(Delivery[[#This Row],[AAA Premium (total)]]/SUMIF(Allocation!C:C,Delivery[Delivery ID],Allocation!H:H))/Delivery[[#This Row],[Exchange rate VS USD]]</f>
        <v>0.27382188969016641</v>
      </c>
      <c r="AJ1102" s="204">
        <f>Delivery[[#This Row],[Valor Prêmio Nespresso AAA por Kg (em US$)]]*60</f>
        <v>16.429313381409983</v>
      </c>
      <c r="AK1102" s="204">
        <f>Delivery[[#This Row],[Valor Prêmio Nespresso AAA por saca (em US$)]]/1.3228/100</f>
        <v>0.12420103856524028</v>
      </c>
      <c r="AL1102" s="204">
        <f>(Delivery[[#This Row],[BEN premium (total)]]/SUMIF(Allocation!C:C,Delivery[Delivery ID],Allocation!H:H))/Delivery[[#This Row],[Exchange rate for premiums VS USD]]</f>
        <v>0</v>
      </c>
      <c r="AM1102" s="204">
        <f>Delivery[[#This Row],[Valor Prêmio Nespresso BEN por Kg (em US$)]]*60</f>
        <v>0</v>
      </c>
      <c r="AN1102" s="204">
        <f>Delivery[[#This Row],[Valor Prêmio Nespresso BEN por saca (em US$)]]/1.3228/100</f>
        <v>0</v>
      </c>
      <c r="AO1102" s="204">
        <f>SUMIF(Allocation[Delivery ID],Delivery[[#This Row],[Delivery ID]],Allocation[Quantity allocated])*16*1.3228*Delivery[[#This Row],[Exchange rate VS USD]]/60</f>
        <v>5394.0933806933326</v>
      </c>
      <c r="AP1102" s="204">
        <f>Delivery[[#This Row],[AAA Premium (total)]]</f>
        <v>4187.2000000000007</v>
      </c>
      <c r="AQ1102" s="204">
        <f>Delivery[[#This Row],[Valor pago pelo Cluster]]-Delivery[[#This Row],[Valor efetivamente pago pela Nespresso]]</f>
        <v>-1206.8933806933319</v>
      </c>
    </row>
    <row r="1103" spans="1:43" ht="15.75">
      <c r="A1103" s="174" t="s">
        <v>69</v>
      </c>
      <c r="B1103" s="232" t="s">
        <v>68</v>
      </c>
      <c r="C1103" s="157">
        <v>1</v>
      </c>
      <c r="D1103" s="157" t="s">
        <v>468</v>
      </c>
      <c r="E1103" s="177" t="s">
        <v>468</v>
      </c>
      <c r="F1103" s="233" t="s">
        <v>543</v>
      </c>
      <c r="G1103" s="234">
        <v>43420</v>
      </c>
      <c r="H1103" s="160" t="s">
        <v>1730</v>
      </c>
      <c r="I1103" s="236" t="s">
        <v>1721</v>
      </c>
      <c r="J1103" s="237">
        <v>30160</v>
      </c>
      <c r="K1103" s="175" t="s">
        <v>61</v>
      </c>
      <c r="L1103" s="175" t="s">
        <v>439</v>
      </c>
      <c r="M1103" s="175" t="s">
        <v>1343</v>
      </c>
      <c r="N1103" s="198"/>
      <c r="O1103" s="199"/>
      <c r="P1103" s="181">
        <v>0</v>
      </c>
      <c r="Q1103" s="177">
        <v>43411</v>
      </c>
      <c r="R1103" s="178">
        <v>447.15496000000002</v>
      </c>
      <c r="S1103" s="179">
        <v>220740.55778804727</v>
      </c>
      <c r="T1103" s="182" t="s">
        <v>45</v>
      </c>
      <c r="U1103" s="183">
        <v>3.7513000000000001</v>
      </c>
      <c r="V1103" s="179">
        <v>13199.574266666667</v>
      </c>
      <c r="W1103" s="179">
        <v>4127.1022119527197</v>
      </c>
      <c r="X1103" s="196" t="s">
        <v>45</v>
      </c>
      <c r="Y1103" s="200">
        <v>3.7513000000000001</v>
      </c>
      <c r="Z1103" s="220" t="s">
        <v>473</v>
      </c>
      <c r="AA1103" s="201">
        <f>Delivery[[#This Row],[Quantity delivered]]*VLOOKUP(Delivery[[#This Row],[Unit]],References!$U:$X,4,FALSE)*VLOOKUP(CONCATENATE(Delivery[[#This Row],[Coffee specie]],Delivery[[#This Row],[Coffee state]]),References!$U:$X,4,FALSE)</f>
        <v>30160</v>
      </c>
      <c r="AB1103" s="202">
        <f>SUMIF(Allocation!C:C,Delivery[[#This Row],[Delivery ID]],Allocation!D:D)/Delivery[[#This Row],[Quantity delivered]]</f>
        <v>0.66797082228116711</v>
      </c>
      <c r="AC1103" s="203">
        <f>Delivery[[#This Row],[Quantity delivered]]*Delivery[[#This Row],[Base price (Unidad)]]/60</f>
        <v>224769.8932266667</v>
      </c>
      <c r="AD1103" s="204">
        <f>Delivery[[#This Row],[Nespresso total]]-Delivery[[#This Row],[Qt. Delivery * Base Price]]</f>
        <v>-4029.335438619426</v>
      </c>
      <c r="AE1103" s="204">
        <f>Delivery[[#This Row],[AAA Premium (total)]]/Delivery[[#This Row],[Quantity delivered]]*60/Delivery[[#This Row],[Exchange rate VS USD]]</f>
        <v>7</v>
      </c>
      <c r="AF1103" s="204">
        <f>Delivery[[#This Row],[BEN premium (total)]]/Delivery[[#This Row],[Quantity delivered]]*60/Delivery[[#This Row],[Exchange rate for premiums VS USD]]</f>
        <v>2.1886853999999993</v>
      </c>
      <c r="AG1103" s="204">
        <f>COUNTIF(Delivery[Delivery ID],Delivery[[#This Row],[Delivery ID]])</f>
        <v>1</v>
      </c>
      <c r="AH1103" s="204">
        <f>(Delivery[[#This Row],[Nespresso total]]/SUMIF(Allocation!C:C,Delivery[Delivery ID],Allocation!H:H))/Delivery[[#This Row],[Exchange rate VS USD]]</f>
        <v>8.8513462059204659</v>
      </c>
      <c r="AI1103" s="204">
        <f>(Delivery[[#This Row],[AAA Premium (total)]]/SUMIF(Allocation!C:C,Delivery[Delivery ID],Allocation!H:H))/Delivery[[#This Row],[Exchange rate VS USD]]</f>
        <v>0.52928198957079819</v>
      </c>
      <c r="AJ1103" s="204">
        <f>Delivery[[#This Row],[Valor Prêmio Nespresso AAA por Kg (em US$)]]*60</f>
        <v>31.756919374247893</v>
      </c>
      <c r="AK1103" s="204">
        <f>Delivery[[#This Row],[Valor Prêmio Nespresso AAA por saca (em US$)]]/1.3228/100</f>
        <v>0.24007347576540591</v>
      </c>
      <c r="AL1103" s="204">
        <f>(Delivery[[#This Row],[BEN premium (total)]]/SUMIF(Allocation!C:C,Delivery[Delivery ID],Allocation!H:H))/Delivery[[#This Row],[Exchange rate for premiums VS USD]]</f>
        <v>0.16549025186522259</v>
      </c>
      <c r="AM1103" s="204">
        <f>Delivery[[#This Row],[Valor Prêmio Nespresso BEN por Kg (em US$)]]*60</f>
        <v>9.9294151119133556</v>
      </c>
      <c r="AN1103" s="204">
        <f>Delivery[[#This Row],[Valor Prêmio Nespresso BEN por saca (em US$)]]/1.3228/100</f>
        <v>7.5063615904999659E-2</v>
      </c>
      <c r="AO1103" s="204">
        <f>SUMIF(Allocation[Delivery ID],Delivery[[#This Row],[Delivery ID]],Allocation[Quantity allocated])*16*1.3228*Delivery[[#This Row],[Exchange rate VS USD]]/60</f>
        <v>8797.0229777919994</v>
      </c>
      <c r="AP1103" s="204">
        <f>Delivery[[#This Row],[AAA Premium (total)]]</f>
        <v>13199.574266666667</v>
      </c>
      <c r="AQ1103" s="204">
        <f>Delivery[[#This Row],[Valor pago pelo Cluster]]-Delivery[[#This Row],[Valor efetivamente pago pela Nespresso]]</f>
        <v>4402.5512888746671</v>
      </c>
    </row>
    <row r="1104" spans="1:43" ht="15.75">
      <c r="A1104" s="174" t="s">
        <v>69</v>
      </c>
      <c r="B1104" s="232" t="s">
        <v>68</v>
      </c>
      <c r="C1104" s="157">
        <v>1</v>
      </c>
      <c r="D1104" s="157" t="s">
        <v>468</v>
      </c>
      <c r="E1104" s="177" t="s">
        <v>468</v>
      </c>
      <c r="F1104" s="233" t="s">
        <v>543</v>
      </c>
      <c r="G1104" s="234">
        <v>43420</v>
      </c>
      <c r="H1104" s="160" t="s">
        <v>1731</v>
      </c>
      <c r="I1104" s="236" t="s">
        <v>1721</v>
      </c>
      <c r="J1104" s="237">
        <v>30010</v>
      </c>
      <c r="K1104" s="175" t="s">
        <v>61</v>
      </c>
      <c r="L1104" s="175" t="s">
        <v>439</v>
      </c>
      <c r="M1104" s="175" t="s">
        <v>1343</v>
      </c>
      <c r="N1104" s="198"/>
      <c r="O1104" s="199"/>
      <c r="P1104" s="181">
        <v>0</v>
      </c>
      <c r="Q1104" s="177">
        <v>43411</v>
      </c>
      <c r="R1104" s="178">
        <v>447.15496000000002</v>
      </c>
      <c r="S1104" s="179">
        <v>218976.42382689985</v>
      </c>
      <c r="T1104" s="182" t="s">
        <v>45</v>
      </c>
      <c r="U1104" s="183">
        <v>3.7513000000000001</v>
      </c>
      <c r="V1104" s="179">
        <v>13133.926516666666</v>
      </c>
      <c r="W1104" s="179">
        <v>4106.5761731001694</v>
      </c>
      <c r="X1104" s="196" t="s">
        <v>45</v>
      </c>
      <c r="Y1104" s="200">
        <v>3.7513000000000001</v>
      </c>
      <c r="Z1104" s="220" t="s">
        <v>473</v>
      </c>
      <c r="AA1104" s="201">
        <f>Delivery[[#This Row],[Quantity delivered]]*VLOOKUP(Delivery[[#This Row],[Unit]],References!$U:$X,4,FALSE)*VLOOKUP(CONCATENATE(Delivery[[#This Row],[Coffee specie]],Delivery[[#This Row],[Coffee state]]),References!$U:$X,4,FALSE)</f>
        <v>30010</v>
      </c>
      <c r="AB1104" s="202">
        <f>SUMIF(Allocation!C:C,Delivery[[#This Row],[Delivery ID]],Allocation!D:D)/Delivery[[#This Row],[Quantity delivered]]</f>
        <v>0.67050983005664777</v>
      </c>
      <c r="AC1104" s="203">
        <f>Delivery[[#This Row],[Quantity delivered]]*Delivery[[#This Row],[Base price (Unidad)]]/60</f>
        <v>223652.00582666666</v>
      </c>
      <c r="AD1104" s="204">
        <f>Delivery[[#This Row],[Nespresso total]]-Delivery[[#This Row],[Qt. Delivery * Base Price]]</f>
        <v>-4675.581999766815</v>
      </c>
      <c r="AE1104" s="204">
        <f>Delivery[[#This Row],[AAA Premium (total)]]/Delivery[[#This Row],[Quantity delivered]]*60/Delivery[[#This Row],[Exchange rate VS USD]]</f>
        <v>7</v>
      </c>
      <c r="AF1104" s="204">
        <f>Delivery[[#This Row],[BEN premium (total)]]/Delivery[[#This Row],[Quantity delivered]]*60/Delivery[[#This Row],[Exchange rate for premiums VS USD]]</f>
        <v>2.1886853999999993</v>
      </c>
      <c r="AG1104" s="204">
        <f>COUNTIF(Delivery[Delivery ID],Delivery[[#This Row],[Delivery ID]])</f>
        <v>1</v>
      </c>
      <c r="AH1104" s="204">
        <f>(Delivery[[#This Row],[Nespresso total]]/SUMIF(Allocation!C:C,Delivery[Delivery ID],Allocation!H:H))/Delivery[[#This Row],[Exchange rate VS USD]]</f>
        <v>8.7911862773876877</v>
      </c>
      <c r="AI1104" s="204">
        <f>(Delivery[[#This Row],[AAA Premium (total)]]/SUMIF(Allocation!C:C,Delivery[Delivery ID],Allocation!H:H))/Delivery[[#This Row],[Exchange rate VS USD]]</f>
        <v>0.52728413654618467</v>
      </c>
      <c r="AJ1104" s="204">
        <f>Delivery[[#This Row],[Valor Prêmio Nespresso AAA por Kg (em US$)]]*60</f>
        <v>31.637048192771079</v>
      </c>
      <c r="AK1104" s="204">
        <f>Delivery[[#This Row],[Valor Prêmio Nespresso AAA por saca (em US$)]]/1.3228/100</f>
        <v>0.23916728298133566</v>
      </c>
      <c r="AL1104" s="204">
        <f>(Delivery[[#This Row],[BEN premium (total)]]/SUMIF(Allocation!C:C,Delivery[Delivery ID],Allocation!H:H))/Delivery[[#This Row],[Exchange rate for premiums VS USD]]</f>
        <v>0.16486558447289154</v>
      </c>
      <c r="AM1104" s="204">
        <f>Delivery[[#This Row],[Valor Prêmio Nespresso BEN por Kg (em US$)]]*60</f>
        <v>9.8919350683734919</v>
      </c>
      <c r="AN1104" s="204">
        <f>Delivery[[#This Row],[Valor Prêmio Nespresso BEN por saca (em US$)]]/1.3228/100</f>
        <v>7.4780277202702541E-2</v>
      </c>
      <c r="AO1104" s="204">
        <f>SUMIF(Allocation[Delivery ID],Delivery[[#This Row],[Delivery ID]],Allocation[Quantity allocated])*16*1.3228*Delivery[[#This Row],[Exchange rate VS USD]]/60</f>
        <v>8786.4369092266661</v>
      </c>
      <c r="AP1104" s="204">
        <f>Delivery[[#This Row],[AAA Premium (total)]]</f>
        <v>13133.926516666666</v>
      </c>
      <c r="AQ1104" s="204">
        <f>Delivery[[#This Row],[Valor pago pelo Cluster]]-Delivery[[#This Row],[Valor efetivamente pago pela Nespresso]]</f>
        <v>4347.4896074400003</v>
      </c>
    </row>
    <row r="1105" spans="1:43" ht="15.75">
      <c r="A1105" s="174" t="s">
        <v>69</v>
      </c>
      <c r="B1105" s="232" t="s">
        <v>68</v>
      </c>
      <c r="C1105" s="157">
        <v>1</v>
      </c>
      <c r="D1105" s="157" t="s">
        <v>468</v>
      </c>
      <c r="E1105" s="177" t="s">
        <v>468</v>
      </c>
      <c r="F1105" s="233" t="s">
        <v>543</v>
      </c>
      <c r="G1105" s="234">
        <v>43420</v>
      </c>
      <c r="H1105" s="160" t="s">
        <v>1732</v>
      </c>
      <c r="I1105" s="236" t="s">
        <v>1721</v>
      </c>
      <c r="J1105" s="237">
        <v>29980</v>
      </c>
      <c r="K1105" s="175" t="s">
        <v>61</v>
      </c>
      <c r="L1105" s="175" t="s">
        <v>439</v>
      </c>
      <c r="M1105" s="175" t="s">
        <v>1343</v>
      </c>
      <c r="N1105" s="198"/>
      <c r="O1105" s="199"/>
      <c r="P1105" s="181">
        <v>0</v>
      </c>
      <c r="Q1105" s="177">
        <v>43411</v>
      </c>
      <c r="R1105" s="178">
        <v>447.15496000000002</v>
      </c>
      <c r="S1105" s="179">
        <v>218980.52903467033</v>
      </c>
      <c r="T1105" s="182" t="s">
        <v>45</v>
      </c>
      <c r="U1105" s="183">
        <v>3.7513000000000001</v>
      </c>
      <c r="V1105" s="179">
        <v>13120.796966666667</v>
      </c>
      <c r="W1105" s="179">
        <v>4102.4709653296595</v>
      </c>
      <c r="X1105" s="196" t="s">
        <v>45</v>
      </c>
      <c r="Y1105" s="200">
        <v>3.7513000000000001</v>
      </c>
      <c r="Z1105" s="220" t="s">
        <v>473</v>
      </c>
      <c r="AA1105" s="201">
        <f>Delivery[[#This Row],[Quantity delivered]]*VLOOKUP(Delivery[[#This Row],[Unit]],References!$U:$X,4,FALSE)*VLOOKUP(CONCATENATE(Delivery[[#This Row],[Coffee specie]],Delivery[[#This Row],[Coffee state]]),References!$U:$X,4,FALSE)</f>
        <v>29980</v>
      </c>
      <c r="AB1105" s="202">
        <f>SUMIF(Allocation!C:C,Delivery[[#This Row],[Delivery ID]],Allocation!D:D)/Delivery[[#This Row],[Quantity delivered]]</f>
        <v>0.67098065376917948</v>
      </c>
      <c r="AC1105" s="203">
        <f>Delivery[[#This Row],[Quantity delivered]]*Delivery[[#This Row],[Base price (Unidad)]]/60</f>
        <v>223428.42834666665</v>
      </c>
      <c r="AD1105" s="204">
        <f>Delivery[[#This Row],[Nespresso total]]-Delivery[[#This Row],[Qt. Delivery * Base Price]]</f>
        <v>-4447.899311996327</v>
      </c>
      <c r="AE1105" s="204">
        <f>Delivery[[#This Row],[AAA Premium (total)]]/Delivery[[#This Row],[Quantity delivered]]*60/Delivery[[#This Row],[Exchange rate VS USD]]</f>
        <v>7</v>
      </c>
      <c r="AF1105" s="204">
        <f>Delivery[[#This Row],[BEN premium (total)]]/Delivery[[#This Row],[Quantity delivered]]*60/Delivery[[#This Row],[Exchange rate for premiums VS USD]]</f>
        <v>2.1886853999999993</v>
      </c>
      <c r="AG1105" s="204">
        <f>COUNTIF(Delivery[Delivery ID],Delivery[[#This Row],[Delivery ID]])</f>
        <v>1</v>
      </c>
      <c r="AH1105" s="204">
        <f>(Delivery[[#This Row],[Nespresso total]]/SUMIF(Allocation!C:C,Delivery[Delivery ID],Allocation!H:H))/Delivery[[#This Row],[Exchange rate VS USD]]</f>
        <v>8.7939998831808133</v>
      </c>
      <c r="AI1105" s="204">
        <f>(Delivery[[#This Row],[AAA Premium (total)]]/SUMIF(Allocation!C:C,Delivery[Delivery ID],Allocation!H:H))/Delivery[[#This Row],[Exchange rate VS USD]]</f>
        <v>0.52691573767198951</v>
      </c>
      <c r="AJ1105" s="204">
        <f>Delivery[[#This Row],[Valor Prêmio Nespresso AAA por Kg (em US$)]]*60</f>
        <v>31.614944260319369</v>
      </c>
      <c r="AK1105" s="204">
        <f>Delivery[[#This Row],[Valor Prêmio Nespresso AAA por saca (em US$)]]/1.3228/100</f>
        <v>0.23900018340126525</v>
      </c>
      <c r="AL1105" s="204">
        <f>(Delivery[[#This Row],[BEN premium (total)]]/SUMIF(Allocation!C:C,Delivery[Delivery ID],Allocation!H:H))/Delivery[[#This Row],[Exchange rate for premiums VS USD]]</f>
        <v>0.16475039743898762</v>
      </c>
      <c r="AM1105" s="204">
        <f>Delivery[[#This Row],[Valor Prêmio Nespresso BEN por Kg (em US$)]]*60</f>
        <v>9.8850238463392568</v>
      </c>
      <c r="AN1105" s="204">
        <f>Delivery[[#This Row],[Valor Prêmio Nespresso BEN por saca (em US$)]]/1.3228/100</f>
        <v>7.4728030286810229E-2</v>
      </c>
      <c r="AO1105" s="204">
        <f>SUMIF(Allocation[Delivery ID],Delivery[[#This Row],[Delivery ID]],Allocation[Quantity allocated])*16*1.3228*Delivery[[#This Row],[Exchange rate VS USD]]/60</f>
        <v>8783.7903920853332</v>
      </c>
      <c r="AP1105" s="204">
        <f>Delivery[[#This Row],[AAA Premium (total)]]</f>
        <v>13120.796966666667</v>
      </c>
      <c r="AQ1105" s="204">
        <f>Delivery[[#This Row],[Valor pago pelo Cluster]]-Delivery[[#This Row],[Valor efetivamente pago pela Nespresso]]</f>
        <v>4337.0065745813336</v>
      </c>
    </row>
    <row r="1106" spans="1:43" ht="15.75">
      <c r="A1106" s="174" t="s">
        <v>69</v>
      </c>
      <c r="B1106" s="232" t="s">
        <v>68</v>
      </c>
      <c r="C1106" s="157">
        <v>1</v>
      </c>
      <c r="D1106" s="157" t="s">
        <v>468</v>
      </c>
      <c r="E1106" s="177" t="s">
        <v>468</v>
      </c>
      <c r="F1106" s="233" t="s">
        <v>543</v>
      </c>
      <c r="G1106" s="234">
        <v>43420</v>
      </c>
      <c r="H1106" s="160" t="s">
        <v>1733</v>
      </c>
      <c r="I1106" s="236" t="s">
        <v>1721</v>
      </c>
      <c r="J1106" s="237">
        <v>29960</v>
      </c>
      <c r="K1106" s="175" t="s">
        <v>61</v>
      </c>
      <c r="L1106" s="175" t="s">
        <v>439</v>
      </c>
      <c r="M1106" s="175" t="s">
        <v>1343</v>
      </c>
      <c r="N1106" s="198"/>
      <c r="O1106" s="199"/>
      <c r="P1106" s="181">
        <v>0</v>
      </c>
      <c r="Q1106" s="177">
        <v>43411</v>
      </c>
      <c r="R1106" s="178">
        <v>447.15496000000002</v>
      </c>
      <c r="S1106" s="179">
        <v>218983.26583985068</v>
      </c>
      <c r="T1106" s="182" t="s">
        <v>45</v>
      </c>
      <c r="U1106" s="183">
        <v>3.7513000000000001</v>
      </c>
      <c r="V1106" s="179">
        <v>13112.043933333332</v>
      </c>
      <c r="W1106" s="179">
        <v>4099.7341601493199</v>
      </c>
      <c r="X1106" s="196" t="s">
        <v>45</v>
      </c>
      <c r="Y1106" s="200">
        <v>3.7513000000000001</v>
      </c>
      <c r="Z1106" s="220" t="s">
        <v>473</v>
      </c>
      <c r="AA1106" s="201">
        <f>Delivery[[#This Row],[Quantity delivered]]*VLOOKUP(Delivery[[#This Row],[Unit]],References!$U:$X,4,FALSE)*VLOOKUP(CONCATENATE(Delivery[[#This Row],[Coffee specie]],Delivery[[#This Row],[Coffee state]]),References!$U:$X,4,FALSE)</f>
        <v>29960</v>
      </c>
      <c r="AB1106" s="202">
        <f>SUMIF(Allocation!C:C,Delivery[[#This Row],[Delivery ID]],Allocation!D:D)/Delivery[[#This Row],[Quantity delivered]]</f>
        <v>0.62072763684913213</v>
      </c>
      <c r="AC1106" s="203">
        <f>Delivery[[#This Row],[Quantity delivered]]*Delivery[[#This Row],[Base price (Unidad)]]/60</f>
        <v>223279.37669333335</v>
      </c>
      <c r="AD1106" s="204">
        <f>Delivery[[#This Row],[Nespresso total]]-Delivery[[#This Row],[Qt. Delivery * Base Price]]</f>
        <v>-4296.1108534826781</v>
      </c>
      <c r="AE1106" s="204">
        <f>Delivery[[#This Row],[AAA Premium (total)]]/Delivery[[#This Row],[Quantity delivered]]*60/Delivery[[#This Row],[Exchange rate VS USD]]</f>
        <v>7</v>
      </c>
      <c r="AF1106" s="204">
        <f>Delivery[[#This Row],[BEN premium (total)]]/Delivery[[#This Row],[Quantity delivered]]*60/Delivery[[#This Row],[Exchange rate for premiums VS USD]]</f>
        <v>2.1886853999999998</v>
      </c>
      <c r="AG1106" s="204">
        <f>COUNTIF(Delivery[Delivery ID],Delivery[[#This Row],[Delivery ID]])</f>
        <v>1</v>
      </c>
      <c r="AH1106" s="204">
        <f>(Delivery[[#This Row],[Nespresso total]]/SUMIF(Allocation!C:C,Delivery[Delivery ID],Allocation!H:H))/Delivery[[#This Row],[Exchange rate VS USD]]</f>
        <v>9.5120255477194462</v>
      </c>
      <c r="AI1106" s="204">
        <f>(Delivery[[#This Row],[AAA Premium (total)]]/SUMIF(Allocation!C:C,Delivery[Delivery ID],Allocation!H:H))/Delivery[[#This Row],[Exchange rate VS USD]]</f>
        <v>0.56955081201455648</v>
      </c>
      <c r="AJ1106" s="204">
        <f>Delivery[[#This Row],[Valor Prêmio Nespresso AAA por Kg (em US$)]]*60</f>
        <v>34.173048720873389</v>
      </c>
      <c r="AK1106" s="204">
        <f>Delivery[[#This Row],[Valor Prêmio Nespresso AAA por saca (em US$)]]/1.3228/100</f>
        <v>0.25833874146411695</v>
      </c>
      <c r="AL1106" s="204">
        <f>(Delivery[[#This Row],[BEN premium (total)]]/SUMIF(Allocation!C:C,Delivery[Delivery ID],Allocation!H:H))/Delivery[[#This Row],[Exchange rate for premiums VS USD]]</f>
        <v>0.17808107811634347</v>
      </c>
      <c r="AM1106" s="204">
        <f>Delivery[[#This Row],[Valor Prêmio Nespresso BEN por Kg (em US$)]]*60</f>
        <v>10.684864686980609</v>
      </c>
      <c r="AN1106" s="204">
        <f>Delivery[[#This Row],[Valor Prêmio Nespresso BEN por saca (em US$)]]/1.3228/100</f>
        <v>8.0774604528126764E-2</v>
      </c>
      <c r="AO1106" s="204">
        <f>SUMIF(Allocation[Delivery ID],Delivery[[#This Row],[Delivery ID]],Allocation[Quantity allocated])*16*1.3228*Delivery[[#This Row],[Exchange rate VS USD]]/60</f>
        <v>8120.8378481813324</v>
      </c>
      <c r="AP1106" s="204">
        <f>Delivery[[#This Row],[AAA Premium (total)]]</f>
        <v>13112.043933333332</v>
      </c>
      <c r="AQ1106" s="204">
        <f>Delivery[[#This Row],[Valor pago pelo Cluster]]-Delivery[[#This Row],[Valor efetivamente pago pela Nespresso]]</f>
        <v>4991.206085152</v>
      </c>
    </row>
    <row r="1107" spans="1:43" ht="15.75">
      <c r="A1107" s="174" t="s">
        <v>69</v>
      </c>
      <c r="B1107" s="232" t="s">
        <v>68</v>
      </c>
      <c r="C1107" s="157" t="s">
        <v>1344</v>
      </c>
      <c r="D1107" s="157" t="s">
        <v>468</v>
      </c>
      <c r="E1107" s="177" t="s">
        <v>468</v>
      </c>
      <c r="F1107" s="233" t="s">
        <v>543</v>
      </c>
      <c r="G1107" s="234">
        <v>43418</v>
      </c>
      <c r="H1107" s="235" t="s">
        <v>1734</v>
      </c>
      <c r="I1107" s="157" t="s">
        <v>1697</v>
      </c>
      <c r="J1107" s="237">
        <v>35640</v>
      </c>
      <c r="K1107" s="175" t="s">
        <v>61</v>
      </c>
      <c r="L1107" s="175" t="s">
        <v>439</v>
      </c>
      <c r="M1107" s="175" t="s">
        <v>1343</v>
      </c>
      <c r="N1107" s="198"/>
      <c r="O1107" s="199"/>
      <c r="P1107" s="181">
        <v>0</v>
      </c>
      <c r="Q1107" s="177">
        <v>43411</v>
      </c>
      <c r="R1107" s="178">
        <v>446.03883999999999</v>
      </c>
      <c r="S1107" s="179">
        <v>271049.33</v>
      </c>
      <c r="T1107" s="182" t="s">
        <v>45</v>
      </c>
      <c r="U1107" s="183">
        <v>3.7387999999999999</v>
      </c>
      <c r="V1107" s="179">
        <v>15544.98</v>
      </c>
      <c r="W1107" s="179">
        <v>0</v>
      </c>
      <c r="X1107" s="196" t="s">
        <v>45</v>
      </c>
      <c r="Y1107" s="200">
        <v>3.7387999999999999</v>
      </c>
      <c r="Z1107" s="221"/>
      <c r="AA1107" s="201">
        <f>Delivery[[#This Row],[Quantity delivered]]*VLOOKUP(Delivery[[#This Row],[Unit]],References!$U:$X,4,FALSE)*VLOOKUP(CONCATENATE(Delivery[[#This Row],[Coffee specie]],Delivery[[#This Row],[Coffee state]]),References!$U:$X,4,FALSE)</f>
        <v>35640</v>
      </c>
      <c r="AB1107" s="202">
        <f>SUMIF(Allocation!C:C,Delivery[[#This Row],[Delivery ID]],Allocation!D:D)/Delivery[[#This Row],[Quantity delivered]]</f>
        <v>0.82651515151515154</v>
      </c>
      <c r="AC1107" s="203">
        <f>Delivery[[#This Row],[Quantity delivered]]*Delivery[[#This Row],[Base price (Unidad)]]/60</f>
        <v>264947.07095999998</v>
      </c>
      <c r="AD1107" s="204">
        <f>Delivery[[#This Row],[Nespresso total]]-Delivery[[#This Row],[Qt. Delivery * Base Price]]</f>
        <v>6102.2590400000336</v>
      </c>
      <c r="AE1107" s="204">
        <f>Delivery[[#This Row],[AAA Premium (total)]]/Delivery[[#This Row],[Quantity delivered]]*60/Delivery[[#This Row],[Exchange rate VS USD]]</f>
        <v>6.9995720552048786</v>
      </c>
      <c r="AF1107" s="204">
        <f>Delivery[[#This Row],[BEN premium (total)]]/Delivery[[#This Row],[Quantity delivered]]*60/Delivery[[#This Row],[Exchange rate for premiums VS USD]]</f>
        <v>0</v>
      </c>
      <c r="AG1107" s="204">
        <f>COUNTIF(Delivery[Delivery ID],Delivery[[#This Row],[Delivery ID]])</f>
        <v>1</v>
      </c>
      <c r="AH1107" s="204">
        <f>(Delivery[[#This Row],[Nespresso total]]/SUMIF(Allocation!C:C,Delivery[Delivery ID],Allocation!H:H))/Delivery[[#This Row],[Exchange rate VS USD]]</f>
        <v>7.4577043253427311</v>
      </c>
      <c r="AI1107" s="204">
        <f>(Delivery[[#This Row],[AAA Premium (total)]]/SUMIF(Allocation!C:C,Delivery[Delivery ID],Allocation!H:H))/Delivery[[#This Row],[Exchange rate VS USD]]</f>
        <v>0.42770762275400653</v>
      </c>
      <c r="AJ1107" s="204">
        <f>Delivery[[#This Row],[Valor Prêmio Nespresso AAA por Kg (em US$)]]*60</f>
        <v>25.662457365240392</v>
      </c>
      <c r="AK1107" s="204">
        <f>Delivery[[#This Row],[Valor Prêmio Nespresso AAA por saca (em US$)]]/1.3228/100</f>
        <v>0.19400103844300268</v>
      </c>
      <c r="AL1107" s="204">
        <f>(Delivery[[#This Row],[BEN premium (total)]]/SUMIF(Allocation!C:C,Delivery[Delivery ID],Allocation!H:H))/Delivery[[#This Row],[Exchange rate for premiums VS USD]]</f>
        <v>0</v>
      </c>
      <c r="AM1107" s="204">
        <f>Delivery[[#This Row],[Valor Prêmio Nespresso BEN por Kg (em US$)]]*60</f>
        <v>0</v>
      </c>
      <c r="AN1107" s="204">
        <f>Delivery[[#This Row],[Valor Prêmio Nespresso BEN por saca (em US$)]]/1.3228/100</f>
        <v>0</v>
      </c>
      <c r="AO1107" s="204">
        <f>SUMIF(Allocation[Delivery ID],Delivery[[#This Row],[Delivery ID]],Allocation[Quantity allocated])*16*1.3228*Delivery[[#This Row],[Exchange rate VS USD]]/60</f>
        <v>12820.533436117334</v>
      </c>
      <c r="AP1107" s="204">
        <f>Delivery[[#This Row],[AAA Premium (total)]]</f>
        <v>15544.98</v>
      </c>
      <c r="AQ1107" s="204">
        <f>Delivery[[#This Row],[Valor pago pelo Cluster]]-Delivery[[#This Row],[Valor efetivamente pago pela Nespresso]]</f>
        <v>2724.4465638826659</v>
      </c>
    </row>
    <row r="1108" spans="1:43" ht="15.75">
      <c r="A1108" s="174" t="s">
        <v>69</v>
      </c>
      <c r="B1108" s="232" t="s">
        <v>68</v>
      </c>
      <c r="C1108" s="157">
        <v>1</v>
      </c>
      <c r="D1108" s="157" t="s">
        <v>468</v>
      </c>
      <c r="E1108" s="177" t="s">
        <v>468</v>
      </c>
      <c r="F1108" s="233" t="s">
        <v>543</v>
      </c>
      <c r="G1108" s="234">
        <v>43418</v>
      </c>
      <c r="H1108" s="235" t="s">
        <v>1735</v>
      </c>
      <c r="I1108" s="157" t="s">
        <v>1662</v>
      </c>
      <c r="J1108" s="237">
        <v>15090</v>
      </c>
      <c r="K1108" s="175" t="s">
        <v>61</v>
      </c>
      <c r="L1108" s="175" t="s">
        <v>439</v>
      </c>
      <c r="M1108" s="175" t="s">
        <v>1343</v>
      </c>
      <c r="N1108" s="198"/>
      <c r="O1108" s="199"/>
      <c r="P1108" s="181">
        <v>0</v>
      </c>
      <c r="Q1108" s="177">
        <v>43413</v>
      </c>
      <c r="R1108" s="178">
        <v>443.06738000000001</v>
      </c>
      <c r="S1108" s="179">
        <v>110329.76</v>
      </c>
      <c r="T1108" s="182" t="s">
        <v>45</v>
      </c>
      <c r="U1108" s="183">
        <v>3.7564000000000002</v>
      </c>
      <c r="V1108" s="179">
        <v>6651.37</v>
      </c>
      <c r="W1108" s="179">
        <v>0</v>
      </c>
      <c r="X1108" s="196" t="s">
        <v>45</v>
      </c>
      <c r="Y1108" s="200">
        <v>3.7564000000000002</v>
      </c>
      <c r="Z1108" s="221"/>
      <c r="AA1108" s="201">
        <f>Delivery[[#This Row],[Quantity delivered]]*VLOOKUP(Delivery[[#This Row],[Unit]],References!$U:$X,4,FALSE)*VLOOKUP(CONCATENATE(Delivery[[#This Row],[Coffee specie]],Delivery[[#This Row],[Coffee state]]),References!$U:$X,4,FALSE)</f>
        <v>15090</v>
      </c>
      <c r="AB1108" s="202">
        <f>SUMIF(Allocation!C:C,Delivery[[#This Row],[Delivery ID]],Allocation!D:D)/Delivery[[#This Row],[Quantity delivered]]</f>
        <v>0.39496355202120609</v>
      </c>
      <c r="AC1108" s="203">
        <f>Delivery[[#This Row],[Quantity delivered]]*Delivery[[#This Row],[Base price (Unidad)]]/60</f>
        <v>111431.44607000001</v>
      </c>
      <c r="AD1108" s="204">
        <f>Delivery[[#This Row],[Nespresso total]]-Delivery[[#This Row],[Qt. Delivery * Base Price]]</f>
        <v>-1101.6860700000107</v>
      </c>
      <c r="AE1108" s="204">
        <f>Delivery[[#This Row],[AAA Premium (total)]]/Delivery[[#This Row],[Quantity delivered]]*60/Delivery[[#This Row],[Exchange rate VS USD]]</f>
        <v>7.0404640626055182</v>
      </c>
      <c r="AF1108" s="204">
        <f>Delivery[[#This Row],[BEN premium (total)]]/Delivery[[#This Row],[Quantity delivered]]*60/Delivery[[#This Row],[Exchange rate for premiums VS USD]]</f>
        <v>0</v>
      </c>
      <c r="AG1108" s="204">
        <f>COUNTIF(Delivery[Delivery ID],Delivery[[#This Row],[Delivery ID]])</f>
        <v>1</v>
      </c>
      <c r="AH1108" s="204">
        <f>(Delivery[[#This Row],[Nespresso total]]/SUMIF(Allocation!C:C,Delivery[Delivery ID],Allocation!H:H))/Delivery[[#This Row],[Exchange rate VS USD]]</f>
        <v>16.42681352534925</v>
      </c>
      <c r="AI1108" s="204">
        <f>(Delivery[[#This Row],[AAA Premium (total)]]/SUMIF(Allocation!C:C,Delivery[Delivery ID],Allocation!H:H))/Delivery[[#This Row],[Exchange rate VS USD]]</f>
        <v>0.99031136003651454</v>
      </c>
      <c r="AJ1108" s="204">
        <f>Delivery[[#This Row],[Valor Prêmio Nespresso AAA por Kg (em US$)]]*60</f>
        <v>59.418681602190873</v>
      </c>
      <c r="AK1108" s="204">
        <f>Delivery[[#This Row],[Valor Prêmio Nespresso AAA por saca (em US$)]]/1.3228/100</f>
        <v>0.44918870276830114</v>
      </c>
      <c r="AL1108" s="204">
        <f>(Delivery[[#This Row],[BEN premium (total)]]/SUMIF(Allocation!C:C,Delivery[Delivery ID],Allocation!H:H))/Delivery[[#This Row],[Exchange rate for premiums VS USD]]</f>
        <v>0</v>
      </c>
      <c r="AM1108" s="204">
        <f>Delivery[[#This Row],[Valor Prêmio Nespresso BEN por Kg (em US$)]]*60</f>
        <v>0</v>
      </c>
      <c r="AN1108" s="204">
        <f>Delivery[[#This Row],[Valor Prêmio Nespresso BEN por saca (em US$)]]/1.3228/100</f>
        <v>0</v>
      </c>
      <c r="AO1108" s="204">
        <f>SUMIF(Allocation[Delivery ID],Delivery[[#This Row],[Delivery ID]],Allocation[Quantity allocated])*16*1.3228*Delivery[[#This Row],[Exchange rate VS USD]]/60</f>
        <v>2369.2029506560002</v>
      </c>
      <c r="AP1108" s="204">
        <f>Delivery[[#This Row],[AAA Premium (total)]]</f>
        <v>6651.37</v>
      </c>
      <c r="AQ1108" s="204">
        <f>Delivery[[#This Row],[Valor pago pelo Cluster]]-Delivery[[#This Row],[Valor efetivamente pago pela Nespresso]]</f>
        <v>4282.1670493439997</v>
      </c>
    </row>
    <row r="1109" spans="1:43" ht="15.75">
      <c r="A1109" s="174" t="s">
        <v>69</v>
      </c>
      <c r="B1109" s="232" t="s">
        <v>68</v>
      </c>
      <c r="C1109" s="157">
        <v>1</v>
      </c>
      <c r="D1109" s="157" t="s">
        <v>468</v>
      </c>
      <c r="E1109" s="177" t="s">
        <v>468</v>
      </c>
      <c r="F1109" s="233" t="s">
        <v>543</v>
      </c>
      <c r="G1109" s="234">
        <v>43423</v>
      </c>
      <c r="H1109" s="157" t="s">
        <v>1736</v>
      </c>
      <c r="I1109" s="236" t="s">
        <v>1015</v>
      </c>
      <c r="J1109" s="237">
        <v>13935</v>
      </c>
      <c r="K1109" s="175" t="s">
        <v>61</v>
      </c>
      <c r="L1109" s="175" t="s">
        <v>439</v>
      </c>
      <c r="M1109" s="175" t="s">
        <v>1343</v>
      </c>
      <c r="N1109" s="198"/>
      <c r="O1109" s="199"/>
      <c r="P1109" s="181">
        <v>0</v>
      </c>
      <c r="Q1109" s="177">
        <v>43418</v>
      </c>
      <c r="R1109" s="178">
        <v>430.13504</v>
      </c>
      <c r="S1109" s="179">
        <v>97639.14</v>
      </c>
      <c r="T1109" s="182" t="s">
        <v>45</v>
      </c>
      <c r="U1109" s="183">
        <v>3.7864</v>
      </c>
      <c r="V1109" s="179">
        <v>8819.0400000000009</v>
      </c>
      <c r="W1109" s="179">
        <v>0</v>
      </c>
      <c r="X1109" s="196" t="s">
        <v>45</v>
      </c>
      <c r="Y1109" s="200">
        <v>3.7864</v>
      </c>
      <c r="Z1109" s="220"/>
      <c r="AA1109" s="201">
        <f>Delivery[[#This Row],[Quantity delivered]]*VLOOKUP(Delivery[[#This Row],[Unit]],References!$U:$X,4,FALSE)*VLOOKUP(CONCATENATE(Delivery[[#This Row],[Coffee specie]],Delivery[[#This Row],[Coffee state]]),References!$U:$X,4,FALSE)</f>
        <v>13935</v>
      </c>
      <c r="AB1109" s="202">
        <f>SUMIF(Allocation!C:C,Delivery[[#This Row],[Delivery ID]],Allocation!D:D)/Delivery[[#This Row],[Quantity delivered]]</f>
        <v>0.70764262648008613</v>
      </c>
      <c r="AC1109" s="203">
        <f>Delivery[[#This Row],[Quantity delivered]]*Delivery[[#This Row],[Base price (Unidad)]]/60</f>
        <v>99898.863039999997</v>
      </c>
      <c r="AD1109" s="204">
        <f>Delivery[[#This Row],[Nespresso total]]-Delivery[[#This Row],[Qt. Delivery * Base Price]]</f>
        <v>-2259.7230399999971</v>
      </c>
      <c r="AE1109" s="204">
        <f>Delivery[[#This Row],[AAA Premium (total)]]/Delivery[[#This Row],[Quantity delivered]]*60/Delivery[[#This Row],[Exchange rate VS USD]]</f>
        <v>10.028572032885473</v>
      </c>
      <c r="AF1109" s="204">
        <f>Delivery[[#This Row],[BEN premium (total)]]/Delivery[[#This Row],[Quantity delivered]]*60/Delivery[[#This Row],[Exchange rate for premiums VS USD]]</f>
        <v>0</v>
      </c>
      <c r="AG1109" s="204">
        <f>COUNTIF(Delivery[Delivery ID],Delivery[[#This Row],[Delivery ID]])</f>
        <v>1</v>
      </c>
      <c r="AH1109" s="204">
        <f>(Delivery[[#This Row],[Nespresso total]]/SUMIF(Allocation!C:C,Delivery[Delivery ID],Allocation!H:H))/Delivery[[#This Row],[Exchange rate VS USD]]</f>
        <v>5.9430283767618093</v>
      </c>
      <c r="AI1109" s="204">
        <f>(Delivery[[#This Row],[AAA Premium (total)]]/SUMIF(Allocation!C:C,Delivery[Delivery ID],Allocation!H:H))/Delivery[[#This Row],[Exchange rate VS USD]]</f>
        <v>0.53679093215894236</v>
      </c>
      <c r="AJ1109" s="204">
        <f>Delivery[[#This Row],[Valor Prêmio Nespresso AAA por Kg (em US$)]]*60</f>
        <v>32.207455929536543</v>
      </c>
      <c r="AK1109" s="204">
        <f>Delivery[[#This Row],[Valor Prêmio Nespresso AAA por saca (em US$)]]/1.3228/100</f>
        <v>0.24347940678512658</v>
      </c>
      <c r="AL1109" s="204">
        <f>(Delivery[[#This Row],[BEN premium (total)]]/SUMIF(Allocation!C:C,Delivery[Delivery ID],Allocation!H:H))/Delivery[[#This Row],[Exchange rate for premiums VS USD]]</f>
        <v>0</v>
      </c>
      <c r="AM1109" s="204">
        <f>Delivery[[#This Row],[Valor Prêmio Nespresso BEN por Kg (em US$)]]*60</f>
        <v>0</v>
      </c>
      <c r="AN1109" s="204">
        <f>Delivery[[#This Row],[Valor Prêmio Nespresso BEN por saca (em US$)]]/1.3228/100</f>
        <v>0</v>
      </c>
      <c r="AO1109" s="204">
        <f>SUMIF(Allocation[Delivery ID],Delivery[[#This Row],[Delivery ID]],Allocation[Quantity allocated])*16*1.3228*Delivery[[#This Row],[Exchange rate VS USD]]/60</f>
        <v>5795.3418674346667</v>
      </c>
      <c r="AP1109" s="204">
        <f>Delivery[[#This Row],[AAA Premium (total)]]</f>
        <v>8819.0400000000009</v>
      </c>
      <c r="AQ1109" s="204">
        <f>Delivery[[#This Row],[Valor pago pelo Cluster]]-Delivery[[#This Row],[Valor efetivamente pago pela Nespresso]]</f>
        <v>3023.6981325653342</v>
      </c>
    </row>
    <row r="1110" spans="1:43" ht="15.75">
      <c r="A1110" s="174" t="s">
        <v>69</v>
      </c>
      <c r="B1110" s="232" t="s">
        <v>68</v>
      </c>
      <c r="C1110" s="157">
        <v>1</v>
      </c>
      <c r="D1110" s="157" t="s">
        <v>468</v>
      </c>
      <c r="E1110" s="177" t="s">
        <v>468</v>
      </c>
      <c r="F1110" s="233" t="s">
        <v>543</v>
      </c>
      <c r="G1110" s="234">
        <v>43423</v>
      </c>
      <c r="H1110" s="157" t="s">
        <v>1737</v>
      </c>
      <c r="I1110" s="236" t="s">
        <v>1015</v>
      </c>
      <c r="J1110" s="237">
        <v>24577</v>
      </c>
      <c r="K1110" s="175" t="s">
        <v>61</v>
      </c>
      <c r="L1110" s="175" t="s">
        <v>439</v>
      </c>
      <c r="M1110" s="175" t="s">
        <v>1343</v>
      </c>
      <c r="N1110" s="198"/>
      <c r="O1110" s="199"/>
      <c r="P1110" s="181">
        <v>0</v>
      </c>
      <c r="Q1110" s="177">
        <v>43418</v>
      </c>
      <c r="R1110" s="178">
        <v>430.13504</v>
      </c>
      <c r="S1110" s="179">
        <v>175481.59</v>
      </c>
      <c r="T1110" s="182" t="s">
        <v>45</v>
      </c>
      <c r="U1110" s="183">
        <v>3.7864</v>
      </c>
      <c r="V1110" s="179">
        <v>15650.06</v>
      </c>
      <c r="W1110" s="179">
        <v>0</v>
      </c>
      <c r="X1110" s="196" t="s">
        <v>45</v>
      </c>
      <c r="Y1110" s="200">
        <v>3.7864</v>
      </c>
      <c r="Z1110" s="220"/>
      <c r="AA1110" s="201">
        <f>Delivery[[#This Row],[Quantity delivered]]*VLOOKUP(Delivery[[#This Row],[Unit]],References!$U:$X,4,FALSE)*VLOOKUP(CONCATENATE(Delivery[[#This Row],[Coffee specie]],Delivery[[#This Row],[Coffee state]]),References!$U:$X,4,FALSE)</f>
        <v>24577</v>
      </c>
      <c r="AB1110" s="202">
        <f>SUMIF(Allocation!C:C,Delivery[[#This Row],[Delivery ID]],Allocation!D:D)/Delivery[[#This Row],[Quantity delivered]]</f>
        <v>0.7076941856207023</v>
      </c>
      <c r="AC1110" s="203">
        <f>Delivery[[#This Row],[Quantity delivered]]*Delivery[[#This Row],[Base price (Unidad)]]/60</f>
        <v>176190.48130133332</v>
      </c>
      <c r="AD1110" s="204">
        <f>Delivery[[#This Row],[Nespresso total]]-Delivery[[#This Row],[Qt. Delivery * Base Price]]</f>
        <v>-708.89130133332219</v>
      </c>
      <c r="AE1110" s="204">
        <f>Delivery[[#This Row],[AAA Premium (total)]]/Delivery[[#This Row],[Quantity delivered]]*60/Delivery[[#This Row],[Exchange rate VS USD]]</f>
        <v>10.09048163594832</v>
      </c>
      <c r="AF1110" s="204">
        <f>Delivery[[#This Row],[BEN premium (total)]]/Delivery[[#This Row],[Quantity delivered]]*60/Delivery[[#This Row],[Exchange rate for premiums VS USD]]</f>
        <v>0</v>
      </c>
      <c r="AG1110" s="204">
        <f>COUNTIF(Delivery[Delivery ID],Delivery[[#This Row],[Delivery ID]])</f>
        <v>1</v>
      </c>
      <c r="AH1110" s="204">
        <f>(Delivery[[#This Row],[Nespresso total]]/SUMIF(Allocation!C:C,Delivery[Delivery ID],Allocation!H:H))/Delivery[[#This Row],[Exchange rate VS USD]]</f>
        <v>6.0558255506258147</v>
      </c>
      <c r="AI1110" s="204">
        <f>(Delivery[[#This Row],[AAA Premium (total)]]/SUMIF(Allocation!C:C,Delivery[Delivery ID],Allocation!H:H))/Delivery[[#This Row],[Exchange rate VS USD]]</f>
        <v>0.54007963580012608</v>
      </c>
      <c r="AJ1110" s="204">
        <f>Delivery[[#This Row],[Valor Prêmio Nespresso AAA por Kg (em US$)]]*60</f>
        <v>32.404778148007566</v>
      </c>
      <c r="AK1110" s="204">
        <f>Delivery[[#This Row],[Valor Prêmio Nespresso AAA por saca (em US$)]]/1.3228/100</f>
        <v>0.24497110786216786</v>
      </c>
      <c r="AL1110" s="204">
        <f>(Delivery[[#This Row],[BEN premium (total)]]/SUMIF(Allocation!C:C,Delivery[Delivery ID],Allocation!H:H))/Delivery[[#This Row],[Exchange rate for premiums VS USD]]</f>
        <v>0</v>
      </c>
      <c r="AM1110" s="204">
        <f>Delivery[[#This Row],[Valor Prêmio Nespresso BEN por Kg (em US$)]]*60</f>
        <v>0</v>
      </c>
      <c r="AN1110" s="204">
        <f>Delivery[[#This Row],[Valor Prêmio Nespresso BEN por saca (em US$)]]/1.3228/100</f>
        <v>0</v>
      </c>
      <c r="AO1110" s="204">
        <f>SUMIF(Allocation[Delivery ID],Delivery[[#This Row],[Delivery ID]],Allocation[Quantity allocated])*16*1.3228*Delivery[[#This Row],[Exchange rate VS USD]]/60</f>
        <v>10221.652756736001</v>
      </c>
      <c r="AP1110" s="204">
        <f>Delivery[[#This Row],[AAA Premium (total)]]</f>
        <v>15650.06</v>
      </c>
      <c r="AQ1110" s="204">
        <f>Delivery[[#This Row],[Valor pago pelo Cluster]]-Delivery[[#This Row],[Valor efetivamente pago pela Nespresso]]</f>
        <v>5428.4072432639987</v>
      </c>
    </row>
    <row r="1111" spans="1:43" ht="15.75">
      <c r="A1111" s="174" t="s">
        <v>69</v>
      </c>
      <c r="B1111" s="232" t="s">
        <v>68</v>
      </c>
      <c r="C1111" s="157">
        <v>1</v>
      </c>
      <c r="D1111" s="157" t="s">
        <v>468</v>
      </c>
      <c r="E1111" s="177" t="s">
        <v>468</v>
      </c>
      <c r="F1111" s="233" t="s">
        <v>543</v>
      </c>
      <c r="G1111" s="234">
        <v>43425</v>
      </c>
      <c r="H1111" s="157" t="s">
        <v>1738</v>
      </c>
      <c r="I1111" s="236" t="s">
        <v>634</v>
      </c>
      <c r="J1111" s="237">
        <v>30160</v>
      </c>
      <c r="K1111" s="175" t="s">
        <v>61</v>
      </c>
      <c r="L1111" s="175" t="s">
        <v>439</v>
      </c>
      <c r="M1111" s="175" t="s">
        <v>1343</v>
      </c>
      <c r="N1111" s="198"/>
      <c r="O1111" s="199"/>
      <c r="P1111" s="181">
        <v>0</v>
      </c>
      <c r="Q1111" s="177">
        <v>42867</v>
      </c>
      <c r="R1111" s="178">
        <v>519.17999999999995</v>
      </c>
      <c r="S1111" s="179">
        <v>263632.44612640003</v>
      </c>
      <c r="T1111" s="182" t="s">
        <v>45</v>
      </c>
      <c r="U1111" s="183">
        <v>3.4</v>
      </c>
      <c r="V1111" s="179">
        <v>11900</v>
      </c>
      <c r="W1111" s="179">
        <v>3400.5538735999999</v>
      </c>
      <c r="X1111" s="196" t="s">
        <v>45</v>
      </c>
      <c r="Y1111" s="200">
        <v>3.4</v>
      </c>
      <c r="Z1111" s="220" t="s">
        <v>473</v>
      </c>
      <c r="AA1111" s="201">
        <f>Delivery[[#This Row],[Quantity delivered]]*VLOOKUP(Delivery[[#This Row],[Unit]],References!$U:$X,4,FALSE)*VLOOKUP(CONCATENATE(Delivery[[#This Row],[Coffee specie]],Delivery[[#This Row],[Coffee state]]),References!$U:$X,4,FALSE)</f>
        <v>30160</v>
      </c>
      <c r="AB1111" s="202">
        <f>SUMIF(Allocation!C:C,Delivery[[#This Row],[Delivery ID]],Allocation!D:D)/Delivery[[#This Row],[Quantity delivered]]</f>
        <v>0.74608753315649867</v>
      </c>
      <c r="AC1111" s="203">
        <f>Delivery[[#This Row],[Quantity delivered]]*Delivery[[#This Row],[Base price (Unidad)]]/60</f>
        <v>260974.47999999998</v>
      </c>
      <c r="AD1111" s="204">
        <f>Delivery[[#This Row],[Nespresso total]]-Delivery[[#This Row],[Qt. Delivery * Base Price]]</f>
        <v>2657.9661264000461</v>
      </c>
      <c r="AE1111" s="204">
        <f>Delivery[[#This Row],[AAA Premium (total)]]/Delivery[[#This Row],[Quantity delivered]]*60/Delivery[[#This Row],[Exchange rate VS USD]]</f>
        <v>6.9628647214854116</v>
      </c>
      <c r="AF1111" s="204">
        <f>Delivery[[#This Row],[BEN premium (total)]]/Delivery[[#This Row],[Quantity delivered]]*60/Delivery[[#This Row],[Exchange rate for premiums VS USD]]</f>
        <v>1.989714</v>
      </c>
      <c r="AG1111" s="204">
        <f>COUNTIF(Delivery[Delivery ID],Delivery[[#This Row],[Delivery ID]])</f>
        <v>1</v>
      </c>
      <c r="AH1111" s="204">
        <f>(Delivery[[#This Row],[Nespresso total]]/SUMIF(Allocation!C:C,Delivery[Delivery ID],Allocation!H:H))/Delivery[[#This Row],[Exchange rate VS USD]]</f>
        <v>11.485550991417394</v>
      </c>
      <c r="AI1111" s="204">
        <f>(Delivery[[#This Row],[AAA Premium (total)]]/SUMIF(Allocation!C:C,Delivery[Delivery ID],Allocation!H:H))/Delivery[[#This Row],[Exchange rate VS USD]]</f>
        <v>0.51844171233891279</v>
      </c>
      <c r="AJ1111" s="204">
        <f>Delivery[[#This Row],[Valor Prêmio Nespresso AAA por Kg (em US$)]]*60</f>
        <v>31.106502740334768</v>
      </c>
      <c r="AK1111" s="204">
        <f>Delivery[[#This Row],[Valor Prêmio Nespresso AAA por saca (em US$)]]/1.3228/100</f>
        <v>0.23515650695747481</v>
      </c>
      <c r="AL1111" s="204">
        <f>(Delivery[[#This Row],[BEN premium (total)]]/SUMIF(Allocation!C:C,Delivery[Delivery ID],Allocation!H:H))/Delivery[[#This Row],[Exchange rate for premiums VS USD]]</f>
        <v>0.14815033387646276</v>
      </c>
      <c r="AM1111" s="204">
        <f>Delivery[[#This Row],[Valor Prêmio Nespresso BEN por Kg (em US$)]]*60</f>
        <v>8.8890200325877657</v>
      </c>
      <c r="AN1111" s="204">
        <f>Delivery[[#This Row],[Valor Prêmio Nespresso BEN por saca (em US$)]]/1.3228/100</f>
        <v>6.71985185408812E-2</v>
      </c>
      <c r="AO1111" s="204">
        <f>SUMIF(Allocation[Delivery ID],Delivery[[#This Row],[Delivery ID]],Allocation[Quantity allocated])*16*1.3228*Delivery[[#This Row],[Exchange rate VS USD]]/60</f>
        <v>8096.7353386666664</v>
      </c>
      <c r="AP1111" s="204">
        <f>Delivery[[#This Row],[AAA Premium (total)]]</f>
        <v>11900</v>
      </c>
      <c r="AQ1111" s="204">
        <f>Delivery[[#This Row],[Valor pago pelo Cluster]]-Delivery[[#This Row],[Valor efetivamente pago pela Nespresso]]</f>
        <v>3803.2646613333336</v>
      </c>
    </row>
    <row r="1112" spans="1:43" ht="15.75">
      <c r="A1112" s="174" t="s">
        <v>69</v>
      </c>
      <c r="B1112" s="232" t="s">
        <v>68</v>
      </c>
      <c r="C1112" s="157">
        <v>1</v>
      </c>
      <c r="D1112" s="157" t="s">
        <v>468</v>
      </c>
      <c r="E1112" s="177" t="s">
        <v>468</v>
      </c>
      <c r="F1112" s="233" t="s">
        <v>543</v>
      </c>
      <c r="G1112" s="234">
        <v>43425</v>
      </c>
      <c r="H1112" s="235" t="s">
        <v>1739</v>
      </c>
      <c r="I1112" s="236" t="s">
        <v>634</v>
      </c>
      <c r="J1112" s="237">
        <v>30210</v>
      </c>
      <c r="K1112" s="175" t="s">
        <v>61</v>
      </c>
      <c r="L1112" s="175" t="s">
        <v>439</v>
      </c>
      <c r="M1112" s="175" t="s">
        <v>1343</v>
      </c>
      <c r="N1112" s="198"/>
      <c r="O1112" s="199"/>
      <c r="P1112" s="181">
        <v>0</v>
      </c>
      <c r="Q1112" s="177">
        <v>42867</v>
      </c>
      <c r="R1112" s="178">
        <v>519.17999999999995</v>
      </c>
      <c r="S1112" s="179">
        <v>263626.80860340002</v>
      </c>
      <c r="T1112" s="182" t="s">
        <v>45</v>
      </c>
      <c r="U1112" s="183">
        <v>3.4</v>
      </c>
      <c r="V1112" s="179">
        <v>11900</v>
      </c>
      <c r="W1112" s="179">
        <v>3406.1913965999997</v>
      </c>
      <c r="X1112" s="196" t="s">
        <v>45</v>
      </c>
      <c r="Y1112" s="200">
        <v>3.4</v>
      </c>
      <c r="Z1112" s="220" t="s">
        <v>473</v>
      </c>
      <c r="AA1112" s="201">
        <f>Delivery[[#This Row],[Quantity delivered]]*VLOOKUP(Delivery[[#This Row],[Unit]],References!$U:$X,4,FALSE)*VLOOKUP(CONCATENATE(Delivery[[#This Row],[Coffee specie]],Delivery[[#This Row],[Coffee state]]),References!$U:$X,4,FALSE)</f>
        <v>30210</v>
      </c>
      <c r="AB1112" s="202">
        <f>SUMIF(Allocation!C:C,Delivery[[#This Row],[Delivery ID]],Allocation!D:D)/Delivery[[#This Row],[Quantity delivered]]</f>
        <v>0.74611055941741145</v>
      </c>
      <c r="AC1112" s="203">
        <f>Delivery[[#This Row],[Quantity delivered]]*Delivery[[#This Row],[Base price (Unidad)]]/60</f>
        <v>261407.12999999998</v>
      </c>
      <c r="AD1112" s="204">
        <f>Delivery[[#This Row],[Nespresso total]]-Delivery[[#This Row],[Qt. Delivery * Base Price]]</f>
        <v>2219.6786034000397</v>
      </c>
      <c r="AE1112" s="204">
        <f>Delivery[[#This Row],[AAA Premium (total)]]/Delivery[[#This Row],[Quantity delivered]]*60/Delivery[[#This Row],[Exchange rate VS USD]]</f>
        <v>6.9513406156901691</v>
      </c>
      <c r="AF1112" s="204">
        <f>Delivery[[#This Row],[BEN premium (total)]]/Delivery[[#This Row],[Quantity delivered]]*60/Delivery[[#This Row],[Exchange rate for premiums VS USD]]</f>
        <v>1.989714</v>
      </c>
      <c r="AG1112" s="204">
        <f>COUNTIF(Delivery[Delivery ID],Delivery[[#This Row],[Delivery ID]])</f>
        <v>1</v>
      </c>
      <c r="AH1112" s="204">
        <f>(Delivery[[#This Row],[Nespresso total]]/SUMIF(Allocation!C:C,Delivery[Delivery ID],Allocation!H:H))/Delivery[[#This Row],[Exchange rate VS USD]]</f>
        <v>11.466621805391723</v>
      </c>
      <c r="AI1112" s="204">
        <f>(Delivery[[#This Row],[AAA Premium (total)]]/SUMIF(Allocation!C:C,Delivery[Delivery ID],Allocation!H:H))/Delivery[[#This Row],[Exchange rate VS USD]]</f>
        <v>0.51759834368530022</v>
      </c>
      <c r="AJ1112" s="204">
        <f>Delivery[[#This Row],[Valor Prêmio Nespresso AAA por Kg (em US$)]]*60</f>
        <v>31.055900621118013</v>
      </c>
      <c r="AK1112" s="204">
        <f>Delivery[[#This Row],[Valor Prêmio Nespresso AAA por saca (em US$)]]/1.3228/100</f>
        <v>0.23477396901359249</v>
      </c>
      <c r="AL1112" s="204">
        <f>(Delivery[[#This Row],[BEN premium (total)]]/SUMIF(Allocation!C:C,Delivery[Delivery ID],Allocation!H:H))/Delivery[[#This Row],[Exchange rate for premiums VS USD]]</f>
        <v>0.14815453992901509</v>
      </c>
      <c r="AM1112" s="204">
        <f>Delivery[[#This Row],[Valor Prêmio Nespresso BEN por Kg (em US$)]]*60</f>
        <v>8.889272395740905</v>
      </c>
      <c r="AN1112" s="204">
        <f>Delivery[[#This Row],[Valor Prêmio Nespresso BEN por saca (em US$)]]/1.3228/100</f>
        <v>6.7200426336112076E-2</v>
      </c>
      <c r="AO1112" s="204">
        <f>SUMIF(Allocation[Delivery ID],Delivery[[#This Row],[Delivery ID]],Allocation[Quantity allocated])*16*1.3228*Delivery[[#This Row],[Exchange rate VS USD]]/60</f>
        <v>8109.9280640000006</v>
      </c>
      <c r="AP1112" s="204">
        <f>Delivery[[#This Row],[AAA Premium (total)]]</f>
        <v>11900</v>
      </c>
      <c r="AQ1112" s="204">
        <f>Delivery[[#This Row],[Valor pago pelo Cluster]]-Delivery[[#This Row],[Valor efetivamente pago pela Nespresso]]</f>
        <v>3790.0719359999994</v>
      </c>
    </row>
    <row r="1113" spans="1:43" ht="15.75">
      <c r="A1113" s="174" t="s">
        <v>69</v>
      </c>
      <c r="B1113" s="232" t="s">
        <v>68</v>
      </c>
      <c r="C1113" s="157">
        <v>1</v>
      </c>
      <c r="D1113" s="157" t="s">
        <v>468</v>
      </c>
      <c r="E1113" s="177" t="s">
        <v>468</v>
      </c>
      <c r="F1113" s="233" t="s">
        <v>543</v>
      </c>
      <c r="G1113" s="234">
        <v>43425</v>
      </c>
      <c r="H1113" s="157" t="s">
        <v>1740</v>
      </c>
      <c r="I1113" s="236" t="s">
        <v>634</v>
      </c>
      <c r="J1113" s="237">
        <v>30100</v>
      </c>
      <c r="K1113" s="175" t="s">
        <v>61</v>
      </c>
      <c r="L1113" s="175" t="s">
        <v>439</v>
      </c>
      <c r="M1113" s="175" t="s">
        <v>1343</v>
      </c>
      <c r="N1113" s="198"/>
      <c r="O1113" s="199"/>
      <c r="P1113" s="181">
        <v>0</v>
      </c>
      <c r="Q1113" s="177">
        <v>42872</v>
      </c>
      <c r="R1113" s="178">
        <v>510.71999999999997</v>
      </c>
      <c r="S1113" s="179">
        <v>264009.27808160003</v>
      </c>
      <c r="T1113" s="182" t="s">
        <v>45</v>
      </c>
      <c r="U1113" s="183">
        <v>3.36</v>
      </c>
      <c r="V1113" s="179">
        <v>12006.96</v>
      </c>
      <c r="W1113" s="179">
        <v>3353.8619183999995</v>
      </c>
      <c r="X1113" s="196" t="s">
        <v>45</v>
      </c>
      <c r="Y1113" s="200">
        <v>3.36</v>
      </c>
      <c r="Z1113" s="220" t="s">
        <v>473</v>
      </c>
      <c r="AA1113" s="201">
        <f>Delivery[[#This Row],[Quantity delivered]]*VLOOKUP(Delivery[[#This Row],[Unit]],References!$U:$X,4,FALSE)*VLOOKUP(CONCATENATE(Delivery[[#This Row],[Coffee specie]],Delivery[[#This Row],[Coffee state]]),References!$U:$X,4,FALSE)</f>
        <v>30100</v>
      </c>
      <c r="AB1113" s="202">
        <f>SUMIF(Allocation!C:C,Delivery[[#This Row],[Delivery ID]],Allocation!D:D)/Delivery[[#This Row],[Quantity delivered]]</f>
        <v>0.7460797342192691</v>
      </c>
      <c r="AC1113" s="203">
        <f>Delivery[[#This Row],[Quantity delivered]]*Delivery[[#This Row],[Base price (Unidad)]]/60</f>
        <v>256211.20000000001</v>
      </c>
      <c r="AD1113" s="204">
        <f>Delivery[[#This Row],[Nespresso total]]-Delivery[[#This Row],[Qt. Delivery * Base Price]]</f>
        <v>7798.0780816000188</v>
      </c>
      <c r="AE1113" s="204">
        <f>Delivery[[#This Row],[AAA Premium (total)]]/Delivery[[#This Row],[Quantity delivered]]*60/Delivery[[#This Row],[Exchange rate VS USD]]</f>
        <v>7.1232558139534881</v>
      </c>
      <c r="AF1113" s="204">
        <f>Delivery[[#This Row],[BEN premium (total)]]/Delivery[[#This Row],[Quantity delivered]]*60/Delivery[[#This Row],[Exchange rate for premiums VS USD]]</f>
        <v>1.9897139999999995</v>
      </c>
      <c r="AG1113" s="204">
        <f>COUNTIF(Delivery[Delivery ID],Delivery[[#This Row],[Delivery ID]])</f>
        <v>1</v>
      </c>
      <c r="AH1113" s="204">
        <f>(Delivery[[#This Row],[Nespresso total]]/SUMIF(Allocation!C:C,Delivery[Delivery ID],Allocation!H:H))/Delivery[[#This Row],[Exchange rate VS USD]]</f>
        <v>11.663082960551893</v>
      </c>
      <c r="AI1113" s="204">
        <f>(Delivery[[#This Row],[AAA Premium (total)]]/SUMIF(Allocation!C:C,Delivery[Delivery ID],Allocation!H:H))/Delivery[[#This Row],[Exchange rate VS USD]]</f>
        <v>0.5304289743209144</v>
      </c>
      <c r="AJ1113" s="204">
        <f>Delivery[[#This Row],[Valor Prêmio Nespresso AAA por Kg (em US$)]]*60</f>
        <v>31.825738459254865</v>
      </c>
      <c r="AK1113" s="204">
        <f>Delivery[[#This Row],[Valor Prêmio Nespresso AAA por saca (em US$)]]/1.3228/100</f>
        <v>0.24059372890274314</v>
      </c>
      <c r="AL1113" s="204">
        <f>(Delivery[[#This Row],[BEN premium (total)]]/SUMIF(Allocation!C:C,Delivery[Delivery ID],Allocation!H:H))/Delivery[[#This Row],[Exchange rate for premiums VS USD]]</f>
        <v>0.14816286032358614</v>
      </c>
      <c r="AM1113" s="204">
        <f>Delivery[[#This Row],[Valor Prêmio Nespresso BEN por Kg (em US$)]]*60</f>
        <v>8.8897716194151677</v>
      </c>
      <c r="AN1113" s="204">
        <f>Delivery[[#This Row],[Valor Prêmio Nespresso BEN por saca (em US$)]]/1.3228/100</f>
        <v>6.7204200328206593E-2</v>
      </c>
      <c r="AO1113" s="204">
        <f>SUMIF(Allocation[Delivery ID],Delivery[[#This Row],[Delivery ID]],Allocation[Quantity allocated])*16*1.3228*Delivery[[#This Row],[Exchange rate VS USD]]/60</f>
        <v>7984.8864255999997</v>
      </c>
      <c r="AP1113" s="204">
        <f>Delivery[[#This Row],[AAA Premium (total)]]</f>
        <v>12006.96</v>
      </c>
      <c r="AQ1113" s="204">
        <f>Delivery[[#This Row],[Valor pago pelo Cluster]]-Delivery[[#This Row],[Valor efetivamente pago pela Nespresso]]</f>
        <v>4022.0735743999994</v>
      </c>
    </row>
    <row r="1114" spans="1:43" ht="15.75">
      <c r="A1114" s="174" t="s">
        <v>69</v>
      </c>
      <c r="B1114" s="232" t="s">
        <v>68</v>
      </c>
      <c r="C1114" s="157" t="s">
        <v>1344</v>
      </c>
      <c r="D1114" s="157" t="s">
        <v>468</v>
      </c>
      <c r="E1114" s="177" t="s">
        <v>468</v>
      </c>
      <c r="F1114" s="233" t="s">
        <v>543</v>
      </c>
      <c r="G1114" s="234">
        <v>43425</v>
      </c>
      <c r="H1114" s="157" t="s">
        <v>1741</v>
      </c>
      <c r="I1114" s="157" t="s">
        <v>1742</v>
      </c>
      <c r="J1114" s="237">
        <v>37840</v>
      </c>
      <c r="K1114" s="175" t="s">
        <v>61</v>
      </c>
      <c r="L1114" s="175" t="s">
        <v>439</v>
      </c>
      <c r="M1114" s="175" t="s">
        <v>1343</v>
      </c>
      <c r="N1114" s="198"/>
      <c r="O1114" s="199"/>
      <c r="P1114" s="181">
        <v>0</v>
      </c>
      <c r="Q1114" s="177">
        <v>43416</v>
      </c>
      <c r="R1114" s="178">
        <v>428.67824999999999</v>
      </c>
      <c r="S1114" s="179">
        <v>280222.74</v>
      </c>
      <c r="T1114" s="182" t="s">
        <v>45</v>
      </c>
      <c r="U1114" s="183">
        <v>3.7686000000000002</v>
      </c>
      <c r="V1114" s="179">
        <v>23744.7</v>
      </c>
      <c r="W1114" s="179">
        <v>0</v>
      </c>
      <c r="X1114" s="196" t="s">
        <v>45</v>
      </c>
      <c r="Y1114" s="200">
        <v>3.7686000000000002</v>
      </c>
      <c r="Z1114" s="220"/>
      <c r="AA1114" s="201">
        <f>Delivery[[#This Row],[Quantity delivered]]*VLOOKUP(Delivery[[#This Row],[Unit]],References!$U:$X,4,FALSE)*VLOOKUP(CONCATENATE(Delivery[[#This Row],[Coffee specie]],Delivery[[#This Row],[Coffee state]]),References!$U:$X,4,FALSE)</f>
        <v>37840</v>
      </c>
      <c r="AB1114" s="202">
        <f>SUMIF(Allocation!C:C,Delivery[[#This Row],[Delivery ID]],Allocation!D:D)/Delivery[[#This Row],[Quantity delivered]]</f>
        <v>0.76836680761099363</v>
      </c>
      <c r="AC1114" s="203">
        <f>Delivery[[#This Row],[Quantity delivered]]*Delivery[[#This Row],[Base price (Unidad)]]/60</f>
        <v>270353.08299999998</v>
      </c>
      <c r="AD1114" s="204">
        <f>Delivery[[#This Row],[Nespresso total]]-Delivery[[#This Row],[Qt. Delivery * Base Price]]</f>
        <v>9869.6570000000065</v>
      </c>
      <c r="AE1114" s="204">
        <f>Delivery[[#This Row],[AAA Premium (total)]]/Delivery[[#This Row],[Quantity delivered]]*60/Delivery[[#This Row],[Exchange rate VS USD]]</f>
        <v>9.990489455598329</v>
      </c>
      <c r="AF1114" s="204">
        <f>Delivery[[#This Row],[BEN premium (total)]]/Delivery[[#This Row],[Quantity delivered]]*60/Delivery[[#This Row],[Exchange rate for premiums VS USD]]</f>
        <v>0</v>
      </c>
      <c r="AG1114" s="204">
        <f>COUNTIF(Delivery[Delivery ID],Delivery[[#This Row],[Delivery ID]])</f>
        <v>1</v>
      </c>
      <c r="AH1114" s="204">
        <f>(Delivery[[#This Row],[Nespresso total]]/SUMIF(Allocation!C:C,Delivery[Delivery ID],Allocation!H:H))/Delivery[[#This Row],[Exchange rate VS USD]]</f>
        <v>5.0146514722101116</v>
      </c>
      <c r="AI1114" s="204">
        <f>(Delivery[[#This Row],[AAA Premium (total)]]/SUMIF(Allocation!C:C,Delivery[Delivery ID],Allocation!H:H))/Delivery[[#This Row],[Exchange rate VS USD]]</f>
        <v>0.42491696003039381</v>
      </c>
      <c r="AJ1114" s="204">
        <f>Delivery[[#This Row],[Valor Prêmio Nespresso AAA por Kg (em US$)]]*60</f>
        <v>25.49501760182363</v>
      </c>
      <c r="AK1114" s="204">
        <f>Delivery[[#This Row],[Valor Prêmio Nespresso AAA por saca (em US$)]]/1.3228/100</f>
        <v>0.19273524041293946</v>
      </c>
      <c r="AL1114" s="204">
        <f>(Delivery[[#This Row],[BEN premium (total)]]/SUMIF(Allocation!C:C,Delivery[Delivery ID],Allocation!H:H))/Delivery[[#This Row],[Exchange rate for premiums VS USD]]</f>
        <v>0</v>
      </c>
      <c r="AM1114" s="204">
        <f>Delivery[[#This Row],[Valor Prêmio Nespresso BEN por Kg (em US$)]]*60</f>
        <v>0</v>
      </c>
      <c r="AN1114" s="204">
        <f>Delivery[[#This Row],[Valor Prêmio Nespresso BEN por saca (em US$)]]/1.3228/100</f>
        <v>0</v>
      </c>
      <c r="AO1114" s="204">
        <f>SUMIF(Allocation[Delivery ID],Delivery[[#This Row],[Delivery ID]],Allocation[Quantity allocated])*16*1.3228*Delivery[[#This Row],[Exchange rate VS USD]]/60</f>
        <v>19711.766212864</v>
      </c>
      <c r="AP1114" s="204">
        <f>Delivery[[#This Row],[AAA Premium (total)]]</f>
        <v>23744.7</v>
      </c>
      <c r="AQ1114" s="204">
        <f>Delivery[[#This Row],[Valor pago pelo Cluster]]-Delivery[[#This Row],[Valor efetivamente pago pela Nespresso]]</f>
        <v>4032.9337871360003</v>
      </c>
    </row>
    <row r="1115" spans="1:43" ht="15.75">
      <c r="A1115" s="174" t="s">
        <v>69</v>
      </c>
      <c r="B1115" s="232" t="s">
        <v>68</v>
      </c>
      <c r="C1115" s="157" t="s">
        <v>1344</v>
      </c>
      <c r="D1115" s="157" t="s">
        <v>468</v>
      </c>
      <c r="E1115" s="177" t="s">
        <v>468</v>
      </c>
      <c r="F1115" s="233" t="s">
        <v>543</v>
      </c>
      <c r="G1115" s="234">
        <v>43425</v>
      </c>
      <c r="H1115" s="157" t="s">
        <v>1743</v>
      </c>
      <c r="I1115" s="157" t="s">
        <v>1742</v>
      </c>
      <c r="J1115" s="237">
        <v>31190</v>
      </c>
      <c r="K1115" s="175" t="s">
        <v>61</v>
      </c>
      <c r="L1115" s="175" t="s">
        <v>439</v>
      </c>
      <c r="M1115" s="175" t="s">
        <v>1343</v>
      </c>
      <c r="N1115" s="198"/>
      <c r="O1115" s="199"/>
      <c r="P1115" s="181">
        <v>0</v>
      </c>
      <c r="Q1115" s="177">
        <v>43416</v>
      </c>
      <c r="R1115" s="178">
        <v>428.67824999999999</v>
      </c>
      <c r="S1115" s="179">
        <v>231294.96</v>
      </c>
      <c r="T1115" s="182" t="s">
        <v>45</v>
      </c>
      <c r="U1115" s="183">
        <v>3.7686000000000002</v>
      </c>
      <c r="V1115" s="179">
        <v>19598.8</v>
      </c>
      <c r="W1115" s="179">
        <v>0</v>
      </c>
      <c r="X1115" s="196" t="s">
        <v>45</v>
      </c>
      <c r="Y1115" s="200">
        <v>3.7686000000000002</v>
      </c>
      <c r="Z1115" s="220"/>
      <c r="AA1115" s="201">
        <f>Delivery[[#This Row],[Quantity delivered]]*VLOOKUP(Delivery[[#This Row],[Unit]],References!$U:$X,4,FALSE)*VLOOKUP(CONCATENATE(Delivery[[#This Row],[Coffee specie]],Delivery[[#This Row],[Coffee state]]),References!$U:$X,4,FALSE)</f>
        <v>31190</v>
      </c>
      <c r="AB1115" s="202">
        <f>SUMIF(Allocation!C:C,Delivery[[#This Row],[Delivery ID]],Allocation!D:D)/Delivery[[#This Row],[Quantity delivered]]</f>
        <v>0.76829111894838087</v>
      </c>
      <c r="AC1115" s="203">
        <f>Delivery[[#This Row],[Quantity delivered]]*Delivery[[#This Row],[Base price (Unidad)]]/60</f>
        <v>222841.243625</v>
      </c>
      <c r="AD1115" s="204">
        <f>Delivery[[#This Row],[Nespresso total]]-Delivery[[#This Row],[Qt. Delivery * Base Price]]</f>
        <v>8453.7163749999891</v>
      </c>
      <c r="AE1115" s="204">
        <f>Delivery[[#This Row],[AAA Premium (total)]]/Delivery[[#This Row],[Quantity delivered]]*60/Delivery[[#This Row],[Exchange rate VS USD]]</f>
        <v>10.004267898233417</v>
      </c>
      <c r="AF1115" s="204">
        <f>Delivery[[#This Row],[BEN premium (total)]]/Delivery[[#This Row],[Quantity delivered]]*60/Delivery[[#This Row],[Exchange rate for premiums VS USD]]</f>
        <v>0</v>
      </c>
      <c r="AG1115" s="204">
        <f>COUNTIF(Delivery[Delivery ID],Delivery[[#This Row],[Delivery ID]])</f>
        <v>1</v>
      </c>
      <c r="AH1115" s="204">
        <f>(Delivery[[#This Row],[Nespresso total]]/SUMIF(Allocation!C:C,Delivery[Delivery ID],Allocation!H:H))/Delivery[[#This Row],[Exchange rate VS USD]]</f>
        <v>5.0220309116060173</v>
      </c>
      <c r="AI1115" s="204">
        <f>(Delivery[[#This Row],[AAA Premium (total)]]/SUMIF(Allocation!C:C,Delivery[Delivery ID],Allocation!H:H))/Delivery[[#This Row],[Exchange rate VS USD]]</f>
        <v>0.42554225751561559</v>
      </c>
      <c r="AJ1115" s="204">
        <f>Delivery[[#This Row],[Valor Prêmio Nespresso AAA por Kg (em US$)]]*60</f>
        <v>25.532535450936933</v>
      </c>
      <c r="AK1115" s="204">
        <f>Delivery[[#This Row],[Valor Prêmio Nespresso AAA por saca (em US$)]]/1.3228/100</f>
        <v>0.19301886491485437</v>
      </c>
      <c r="AL1115" s="204">
        <f>(Delivery[[#This Row],[BEN premium (total)]]/SUMIF(Allocation!C:C,Delivery[Delivery ID],Allocation!H:H))/Delivery[[#This Row],[Exchange rate for premiums VS USD]]</f>
        <v>0</v>
      </c>
      <c r="AM1115" s="204">
        <f>Delivery[[#This Row],[Valor Prêmio Nespresso BEN por Kg (em US$)]]*60</f>
        <v>0</v>
      </c>
      <c r="AN1115" s="204">
        <f>Delivery[[#This Row],[Valor Prêmio Nespresso BEN por saca (em US$)]]/1.3228/100</f>
        <v>0</v>
      </c>
      <c r="AO1115" s="204">
        <f>SUMIF(Allocation[Delivery ID],Delivery[[#This Row],[Delivery ID]],Allocation[Quantity allocated])*16*1.3228*Delivery[[#This Row],[Exchange rate VS USD]]/60</f>
        <v>16246.121856448</v>
      </c>
      <c r="AP1115" s="204">
        <f>Delivery[[#This Row],[AAA Premium (total)]]</f>
        <v>19598.8</v>
      </c>
      <c r="AQ1115" s="204">
        <f>Delivery[[#This Row],[Valor pago pelo Cluster]]-Delivery[[#This Row],[Valor efetivamente pago pela Nespresso]]</f>
        <v>3352.6781435519988</v>
      </c>
    </row>
    <row r="1116" spans="1:43" ht="15.75">
      <c r="A1116" s="174" t="s">
        <v>69</v>
      </c>
      <c r="B1116" s="232" t="s">
        <v>68</v>
      </c>
      <c r="C1116" s="157">
        <v>1</v>
      </c>
      <c r="D1116" s="157" t="s">
        <v>468</v>
      </c>
      <c r="E1116" s="177" t="s">
        <v>468</v>
      </c>
      <c r="F1116" s="233" t="s">
        <v>541</v>
      </c>
      <c r="G1116" s="234">
        <v>43425</v>
      </c>
      <c r="H1116" s="160" t="s">
        <v>1744</v>
      </c>
      <c r="I1116" s="236" t="s">
        <v>1745</v>
      </c>
      <c r="J1116" s="237">
        <v>29990</v>
      </c>
      <c r="K1116" s="175" t="s">
        <v>61</v>
      </c>
      <c r="L1116" s="175" t="s">
        <v>439</v>
      </c>
      <c r="M1116" s="175" t="s">
        <v>1343</v>
      </c>
      <c r="N1116" s="198"/>
      <c r="O1116" s="199"/>
      <c r="P1116" s="181">
        <v>0</v>
      </c>
      <c r="Q1116" s="177">
        <v>43418</v>
      </c>
      <c r="R1116" s="178">
        <v>435.65350000000001</v>
      </c>
      <c r="S1116" s="179">
        <v>204377.67333738733</v>
      </c>
      <c r="T1116" s="182" t="s">
        <v>45</v>
      </c>
      <c r="U1116" s="183">
        <v>3.7850000000000001</v>
      </c>
      <c r="V1116" s="179">
        <v>13243.084166666666</v>
      </c>
      <c r="W1116" s="179">
        <v>3513.326662612667</v>
      </c>
      <c r="X1116" s="196" t="s">
        <v>45</v>
      </c>
      <c r="Y1116" s="200">
        <v>3.7850000000000001</v>
      </c>
      <c r="Z1116" s="220" t="s">
        <v>473</v>
      </c>
      <c r="AA1116" s="201">
        <f>Delivery[[#This Row],[Quantity delivered]]*VLOOKUP(Delivery[[#This Row],[Unit]],References!$U:$X,4,FALSE)*VLOOKUP(CONCATENATE(Delivery[[#This Row],[Coffee specie]],Delivery[[#This Row],[Coffee state]]),References!$U:$X,4,FALSE)</f>
        <v>29990</v>
      </c>
      <c r="AB1116" s="202">
        <f>SUMIF(Allocation!C:C,Delivery[[#This Row],[Delivery ID]],Allocation!D:D)/Delivery[[#This Row],[Quantity delivered]]</f>
        <v>0.21743914638212739</v>
      </c>
      <c r="AC1116" s="203">
        <f>Delivery[[#This Row],[Quantity delivered]]*Delivery[[#This Row],[Base price (Unidad)]]/60</f>
        <v>217754.14108333332</v>
      </c>
      <c r="AD1116" s="204">
        <f>Delivery[[#This Row],[Nespresso total]]-Delivery[[#This Row],[Qt. Delivery * Base Price]]</f>
        <v>-13376.467745945993</v>
      </c>
      <c r="AE1116" s="204">
        <f>Delivery[[#This Row],[AAA Premium (total)]]/Delivery[[#This Row],[Quantity delivered]]*60/Delivery[[#This Row],[Exchange rate VS USD]]</f>
        <v>6.9999999999999991</v>
      </c>
      <c r="AF1116" s="204">
        <f>Delivery[[#This Row],[BEN premium (total)]]/Delivery[[#This Row],[Quantity delivered]]*60/Delivery[[#This Row],[Exchange rate for premiums VS USD]]</f>
        <v>1.8570664000000003</v>
      </c>
      <c r="AG1116" s="204">
        <f>COUNTIF(Delivery[Delivery ID],Delivery[[#This Row],[Delivery ID]])</f>
        <v>1</v>
      </c>
      <c r="AH1116" s="204">
        <f>(Delivery[[#This Row],[Nespresso total]]/SUMIF(Allocation!C:C,Delivery[Delivery ID],Allocation!H:H))/Delivery[[#This Row],[Exchange rate VS USD]]</f>
        <v>29.571053278185975</v>
      </c>
      <c r="AI1116" s="204">
        <f>(Delivery[[#This Row],[AAA Premium (total)]]/SUMIF(Allocation!C:C,Delivery[Delivery ID],Allocation!H:H))/Delivery[[#This Row],[Exchange rate VS USD]]</f>
        <v>1.916119021540708</v>
      </c>
      <c r="AJ1116" s="204">
        <f>Delivery[[#This Row],[Valor Prêmio Nespresso AAA por Kg (em US$)]]*60</f>
        <v>114.96714129244248</v>
      </c>
      <c r="AK1116" s="204">
        <f>Delivery[[#This Row],[Valor Prêmio Nespresso AAA por saca (em US$)]]/1.3228/100</f>
        <v>0.86911960456941695</v>
      </c>
      <c r="AL1116" s="204">
        <f>(Delivery[[#This Row],[BEN premium (total)]]/SUMIF(Allocation!C:C,Delivery[Delivery ID],Allocation!H:H))/Delivery[[#This Row],[Exchange rate for premiums VS USD]]</f>
        <v>0.50833717904344655</v>
      </c>
      <c r="AM1116" s="204">
        <f>Delivery[[#This Row],[Valor Prêmio Nespresso BEN por Kg (em US$)]]*60</f>
        <v>30.500230742606792</v>
      </c>
      <c r="AN1116" s="204">
        <f>Delivery[[#This Row],[Valor Prêmio Nespresso BEN por saca (em US$)]]/1.3228/100</f>
        <v>0.23057325931816444</v>
      </c>
      <c r="AO1116" s="204">
        <f>SUMIF(Allocation[Delivery ID],Delivery[[#This Row],[Delivery ID]],Allocation[Quantity allocated])*16*1.3228*Delivery[[#This Row],[Exchange rate VS USD]]/60</f>
        <v>2437.9768394666667</v>
      </c>
      <c r="AP1116" s="204">
        <f>Delivery[[#This Row],[AAA Premium (total)]]</f>
        <v>13243.084166666666</v>
      </c>
      <c r="AQ1116" s="204">
        <f>Delivery[[#This Row],[Valor pago pelo Cluster]]-Delivery[[#This Row],[Valor efetivamente pago pela Nespresso]]</f>
        <v>10805.107327199999</v>
      </c>
    </row>
    <row r="1117" spans="1:43" ht="15.75">
      <c r="A1117" s="174" t="s">
        <v>69</v>
      </c>
      <c r="B1117" s="232" t="s">
        <v>68</v>
      </c>
      <c r="C1117" s="157">
        <v>1</v>
      </c>
      <c r="D1117" s="157" t="s">
        <v>468</v>
      </c>
      <c r="E1117" s="177" t="s">
        <v>468</v>
      </c>
      <c r="F1117" s="233" t="s">
        <v>543</v>
      </c>
      <c r="G1117" s="234">
        <v>43425</v>
      </c>
      <c r="H1117" s="157" t="s">
        <v>1746</v>
      </c>
      <c r="I1117" s="236" t="s">
        <v>634</v>
      </c>
      <c r="J1117" s="237">
        <v>29780</v>
      </c>
      <c r="K1117" s="175" t="s">
        <v>61</v>
      </c>
      <c r="L1117" s="175" t="s">
        <v>439</v>
      </c>
      <c r="M1117" s="175" t="s">
        <v>1343</v>
      </c>
      <c r="N1117" s="198"/>
      <c r="O1117" s="199"/>
      <c r="P1117" s="181">
        <v>0</v>
      </c>
      <c r="Q1117" s="177">
        <v>42872</v>
      </c>
      <c r="R1117" s="178">
        <v>510.71999999999997</v>
      </c>
      <c r="S1117" s="179">
        <v>258545.79375648001</v>
      </c>
      <c r="T1117" s="182" t="s">
        <v>45</v>
      </c>
      <c r="U1117" s="183">
        <v>3.36</v>
      </c>
      <c r="V1117" s="179">
        <v>11760</v>
      </c>
      <c r="W1117" s="179">
        <v>3318.2062435199996</v>
      </c>
      <c r="X1117" s="196" t="s">
        <v>45</v>
      </c>
      <c r="Y1117" s="200">
        <v>3.36</v>
      </c>
      <c r="Z1117" s="220" t="s">
        <v>473</v>
      </c>
      <c r="AA1117" s="201">
        <f>Delivery[[#This Row],[Quantity delivered]]*VLOOKUP(Delivery[[#This Row],[Unit]],References!$U:$X,4,FALSE)*VLOOKUP(CONCATENATE(Delivery[[#This Row],[Coffee specie]],Delivery[[#This Row],[Coffee state]]),References!$U:$X,4,FALSE)</f>
        <v>29780</v>
      </c>
      <c r="AB1117" s="202">
        <f>SUMIF(Allocation!C:C,Delivery[[#This Row],[Delivery ID]],Allocation!D:D)/Delivery[[#This Row],[Quantity delivered]]</f>
        <v>0.7460376091336467</v>
      </c>
      <c r="AC1117" s="203">
        <f>Delivery[[#This Row],[Quantity delivered]]*Delivery[[#This Row],[Base price (Unidad)]]/60</f>
        <v>253487.35999999999</v>
      </c>
      <c r="AD1117" s="204">
        <f>Delivery[[#This Row],[Nespresso total]]-Delivery[[#This Row],[Qt. Delivery * Base Price]]</f>
        <v>5058.4337564800226</v>
      </c>
      <c r="AE1117" s="204">
        <f>Delivery[[#This Row],[AAA Premium (total)]]/Delivery[[#This Row],[Quantity delivered]]*60/Delivery[[#This Row],[Exchange rate VS USD]]</f>
        <v>7.0517125587642715</v>
      </c>
      <c r="AF1117" s="204">
        <f>Delivery[[#This Row],[BEN premium (total)]]/Delivery[[#This Row],[Quantity delivered]]*60/Delivery[[#This Row],[Exchange rate for premiums VS USD]]</f>
        <v>1.989714</v>
      </c>
      <c r="AG1117" s="204">
        <f>COUNTIF(Delivery[Delivery ID],Delivery[[#This Row],[Delivery ID]])</f>
        <v>1</v>
      </c>
      <c r="AH1117" s="204">
        <f>(Delivery[[#This Row],[Nespresso total]]/SUMIF(Allocation!C:C,Delivery[Delivery ID],Allocation!H:H))/Delivery[[#This Row],[Exchange rate VS USD]]</f>
        <v>11.545109212860359</v>
      </c>
      <c r="AI1117" s="204">
        <f>(Delivery[[#This Row],[AAA Premium (total)]]/SUMIF(Allocation!C:C,Delivery[Delivery ID],Allocation!H:H))/Delivery[[#This Row],[Exchange rate VS USD]]</f>
        <v>0.5251312828207052</v>
      </c>
      <c r="AJ1117" s="204">
        <f>Delivery[[#This Row],[Valor Prêmio Nespresso AAA por Kg (em US$)]]*60</f>
        <v>31.507876969242311</v>
      </c>
      <c r="AK1117" s="204">
        <f>Delivery[[#This Row],[Valor Prêmio Nespresso AAA por saca (em US$)]]/1.3228/100</f>
        <v>0.23819078446660349</v>
      </c>
      <c r="AL1117" s="204">
        <f>(Delivery[[#This Row],[BEN premium (total)]]/SUMIF(Allocation!C:C,Delivery[Delivery ID],Allocation!H:H))/Delivery[[#This Row],[Exchange rate for premiums VS USD]]</f>
        <v>0.1481712501125281</v>
      </c>
      <c r="AM1117" s="204">
        <f>Delivery[[#This Row],[Valor Prêmio Nespresso BEN por Kg (em US$)]]*60</f>
        <v>8.8902750067516862</v>
      </c>
      <c r="AN1117" s="204">
        <f>Delivery[[#This Row],[Valor Prêmio Nespresso BEN por saca (em US$)]]/1.3228/100</f>
        <v>6.7208005796429438E-2</v>
      </c>
      <c r="AO1117" s="204">
        <f>SUMIF(Allocation[Delivery ID],Delivery[[#This Row],[Delivery ID]],Allocation[Quantity allocated])*16*1.3228*Delivery[[#This Row],[Exchange rate VS USD]]/60</f>
        <v>7899.5499519999994</v>
      </c>
      <c r="AP1117" s="204">
        <f>Delivery[[#This Row],[AAA Premium (total)]]</f>
        <v>11760</v>
      </c>
      <c r="AQ1117" s="204">
        <f>Delivery[[#This Row],[Valor pago pelo Cluster]]-Delivery[[#This Row],[Valor efetivamente pago pela Nespresso]]</f>
        <v>3860.4500480000006</v>
      </c>
    </row>
    <row r="1118" spans="1:43" ht="15.75">
      <c r="A1118" s="174" t="s">
        <v>69</v>
      </c>
      <c r="B1118" s="232" t="s">
        <v>68</v>
      </c>
      <c r="C1118" s="157">
        <v>1</v>
      </c>
      <c r="D1118" s="157" t="s">
        <v>468</v>
      </c>
      <c r="E1118" s="177" t="s">
        <v>468</v>
      </c>
      <c r="F1118" s="233" t="s">
        <v>543</v>
      </c>
      <c r="G1118" s="234">
        <v>43425</v>
      </c>
      <c r="H1118" s="157" t="s">
        <v>1747</v>
      </c>
      <c r="I1118" s="236" t="s">
        <v>634</v>
      </c>
      <c r="J1118" s="237">
        <v>30410</v>
      </c>
      <c r="K1118" s="175" t="s">
        <v>61</v>
      </c>
      <c r="L1118" s="175" t="s">
        <v>439</v>
      </c>
      <c r="M1118" s="175" t="s">
        <v>1343</v>
      </c>
      <c r="N1118" s="198"/>
      <c r="O1118" s="199"/>
      <c r="P1118" s="181">
        <v>0</v>
      </c>
      <c r="Q1118" s="177">
        <v>42872</v>
      </c>
      <c r="R1118" s="178">
        <v>510.71999999999997</v>
      </c>
      <c r="S1118" s="179">
        <v>258475.59664656001</v>
      </c>
      <c r="T1118" s="182" t="s">
        <v>45</v>
      </c>
      <c r="U1118" s="183">
        <v>3.36</v>
      </c>
      <c r="V1118" s="179">
        <v>11760</v>
      </c>
      <c r="W1118" s="179">
        <v>3388.4033534399996</v>
      </c>
      <c r="X1118" s="196" t="s">
        <v>45</v>
      </c>
      <c r="Y1118" s="200">
        <v>3.36</v>
      </c>
      <c r="Z1118" s="220" t="s">
        <v>473</v>
      </c>
      <c r="AA1118" s="201">
        <f>Delivery[[#This Row],[Quantity delivered]]*VLOOKUP(Delivery[[#This Row],[Unit]],References!$U:$X,4,FALSE)*VLOOKUP(CONCATENATE(Delivery[[#This Row],[Coffee specie]],Delivery[[#This Row],[Coffee state]]),References!$U:$X,4,FALSE)</f>
        <v>30410</v>
      </c>
      <c r="AB1118" s="202">
        <f>SUMIF(Allocation!C:C,Delivery[[#This Row],[Delivery ID]],Allocation!D:D)/Delivery[[#This Row],[Quantity delivered]]</f>
        <v>0.74613613942781976</v>
      </c>
      <c r="AC1118" s="203">
        <f>Delivery[[#This Row],[Quantity delivered]]*Delivery[[#This Row],[Base price (Unidad)]]/60</f>
        <v>258849.91999999998</v>
      </c>
      <c r="AD1118" s="204">
        <f>Delivery[[#This Row],[Nespresso total]]-Delivery[[#This Row],[Qt. Delivery * Base Price]]</f>
        <v>-374.32335343997693</v>
      </c>
      <c r="AE1118" s="204">
        <f>Delivery[[#This Row],[AAA Premium (total)]]/Delivery[[#This Row],[Quantity delivered]]*60/Delivery[[#This Row],[Exchange rate VS USD]]</f>
        <v>6.9056231502795145</v>
      </c>
      <c r="AF1118" s="204">
        <f>Delivery[[#This Row],[BEN premium (total)]]/Delivery[[#This Row],[Quantity delivered]]*60/Delivery[[#This Row],[Exchange rate for premiums VS USD]]</f>
        <v>1.989714</v>
      </c>
      <c r="AG1118" s="204">
        <f>COUNTIF(Delivery[Delivery ID],Delivery[[#This Row],[Delivery ID]])</f>
        <v>1</v>
      </c>
      <c r="AH1118" s="204">
        <f>(Delivery[[#This Row],[Nespresso total]]/SUMIF(Allocation!C:C,Delivery[Delivery ID],Allocation!H:H))/Delivery[[#This Row],[Exchange rate VS USD]]</f>
        <v>11.301198899179417</v>
      </c>
      <c r="AI1118" s="204">
        <f>(Delivery[[#This Row],[AAA Premium (total)]]/SUMIF(Allocation!C:C,Delivery[Delivery ID],Allocation!H:H))/Delivery[[#This Row],[Exchange rate VS USD]]</f>
        <v>0.51417658292933743</v>
      </c>
      <c r="AJ1118" s="204">
        <f>Delivery[[#This Row],[Valor Prêmio Nespresso AAA por Kg (em US$)]]*60</f>
        <v>30.850594975760245</v>
      </c>
      <c r="AK1118" s="204">
        <f>Delivery[[#This Row],[Valor Prêmio Nespresso AAA por saca (em US$)]]/1.3228/100</f>
        <v>0.23322191545025889</v>
      </c>
      <c r="AL1118" s="204">
        <f>(Delivery[[#This Row],[BEN premium (total)]]/SUMIF(Allocation!C:C,Delivery[Delivery ID],Allocation!H:H))/Delivery[[#This Row],[Exchange rate for premiums VS USD]]</f>
        <v>0.14814946070221829</v>
      </c>
      <c r="AM1118" s="204">
        <f>Delivery[[#This Row],[Valor Prêmio Nespresso BEN por Kg (em US$)]]*60</f>
        <v>8.8889676421330979</v>
      </c>
      <c r="AN1118" s="204">
        <f>Delivery[[#This Row],[Valor Prêmio Nespresso BEN por saca (em US$)]]/1.3228/100</f>
        <v>6.7198122483618825E-2</v>
      </c>
      <c r="AO1118" s="204">
        <f>SUMIF(Allocation[Delivery ID],Delivery[[#This Row],[Delivery ID]],Allocation[Quantity allocated])*16*1.3228*Delivery[[#This Row],[Exchange rate VS USD]]/60</f>
        <v>8067.8524416</v>
      </c>
      <c r="AP1118" s="204">
        <f>Delivery[[#This Row],[AAA Premium (total)]]</f>
        <v>11760</v>
      </c>
      <c r="AQ1118" s="204">
        <f>Delivery[[#This Row],[Valor pago pelo Cluster]]-Delivery[[#This Row],[Valor efetivamente pago pela Nespresso]]</f>
        <v>3692.1475584</v>
      </c>
    </row>
    <row r="1119" spans="1:43" ht="15.75">
      <c r="A1119" s="174" t="s">
        <v>69</v>
      </c>
      <c r="B1119" s="232" t="s">
        <v>68</v>
      </c>
      <c r="C1119" s="157">
        <v>1</v>
      </c>
      <c r="D1119" s="157" t="s">
        <v>468</v>
      </c>
      <c r="E1119" s="177" t="s">
        <v>468</v>
      </c>
      <c r="F1119" s="233" t="s">
        <v>543</v>
      </c>
      <c r="G1119" s="234">
        <v>43425</v>
      </c>
      <c r="H1119" s="157" t="s">
        <v>1748</v>
      </c>
      <c r="I1119" s="236" t="s">
        <v>634</v>
      </c>
      <c r="J1119" s="237">
        <v>30260</v>
      </c>
      <c r="K1119" s="175" t="s">
        <v>61</v>
      </c>
      <c r="L1119" s="175" t="s">
        <v>439</v>
      </c>
      <c r="M1119" s="175" t="s">
        <v>1343</v>
      </c>
      <c r="N1119" s="198"/>
      <c r="O1119" s="199"/>
      <c r="P1119" s="181">
        <v>0</v>
      </c>
      <c r="Q1119" s="177">
        <v>42872</v>
      </c>
      <c r="R1119" s="178">
        <v>510.71999999999997</v>
      </c>
      <c r="S1119" s="179">
        <v>258492.31024416001</v>
      </c>
      <c r="T1119" s="182" t="s">
        <v>45</v>
      </c>
      <c r="U1119" s="183">
        <v>3.36</v>
      </c>
      <c r="V1119" s="179">
        <v>11760</v>
      </c>
      <c r="W1119" s="179">
        <v>3371.6897558399992</v>
      </c>
      <c r="X1119" s="196" t="s">
        <v>45</v>
      </c>
      <c r="Y1119" s="200">
        <v>3.36</v>
      </c>
      <c r="Z1119" s="220" t="s">
        <v>473</v>
      </c>
      <c r="AA1119" s="201">
        <f>Delivery[[#This Row],[Quantity delivered]]*VLOOKUP(Delivery[[#This Row],[Unit]],References!$U:$X,4,FALSE)*VLOOKUP(CONCATENATE(Delivery[[#This Row],[Coffee specie]],Delivery[[#This Row],[Coffee state]]),References!$U:$X,4,FALSE)</f>
        <v>30260</v>
      </c>
      <c r="AB1119" s="202">
        <f>SUMIF(Allocation!C:C,Delivery[[#This Row],[Delivery ID]],Allocation!D:D)/Delivery[[#This Row],[Quantity delivered]]</f>
        <v>0.74603436880370122</v>
      </c>
      <c r="AC1119" s="203">
        <f>Delivery[[#This Row],[Quantity delivered]]*Delivery[[#This Row],[Base price (Unidad)]]/60</f>
        <v>257573.12</v>
      </c>
      <c r="AD1119" s="204">
        <f>Delivery[[#This Row],[Nespresso total]]-Delivery[[#This Row],[Qt. Delivery * Base Price]]</f>
        <v>919.19024416001048</v>
      </c>
      <c r="AE1119" s="204">
        <f>Delivery[[#This Row],[AAA Premium (total)]]/Delivery[[#This Row],[Quantity delivered]]*60/Delivery[[#This Row],[Exchange rate VS USD]]</f>
        <v>6.9398545935228029</v>
      </c>
      <c r="AF1119" s="204">
        <f>Delivery[[#This Row],[BEN premium (total)]]/Delivery[[#This Row],[Quantity delivered]]*60/Delivery[[#This Row],[Exchange rate for premiums VS USD]]</f>
        <v>1.9897139999999995</v>
      </c>
      <c r="AG1119" s="204">
        <f>COUNTIF(Delivery[Delivery ID],Delivery[[#This Row],[Delivery ID]])</f>
        <v>1</v>
      </c>
      <c r="AH1119" s="204">
        <f>(Delivery[[#This Row],[Nespresso total]]/SUMIF(Allocation!C:C,Delivery[Delivery ID],Allocation!H:H))/Delivery[[#This Row],[Exchange rate VS USD]]</f>
        <v>11.358664578726458</v>
      </c>
      <c r="AI1119" s="204">
        <f>(Delivery[[#This Row],[AAA Premium (total)]]/SUMIF(Allocation!C:C,Delivery[Delivery ID],Allocation!H:H))/Delivery[[#This Row],[Exchange rate VS USD]]</f>
        <v>0.51675771445445151</v>
      </c>
      <c r="AJ1119" s="204">
        <f>Delivery[[#This Row],[Valor Prêmio Nespresso AAA por Kg (em US$)]]*60</f>
        <v>31.005462867267092</v>
      </c>
      <c r="AK1119" s="204">
        <f>Delivery[[#This Row],[Valor Prêmio Nespresso AAA por saca (em US$)]]/1.3228/100</f>
        <v>0.23439267362614977</v>
      </c>
      <c r="AL1119" s="204">
        <f>(Delivery[[#This Row],[BEN premium (total)]]/SUMIF(Allocation!C:C,Delivery[Delivery ID],Allocation!H:H))/Delivery[[#This Row],[Exchange rate for premiums VS USD]]</f>
        <v>0.14815873231950388</v>
      </c>
      <c r="AM1119" s="204">
        <f>Delivery[[#This Row],[Valor Prêmio Nespresso BEN por Kg (em US$)]]*60</f>
        <v>8.8895239391702336</v>
      </c>
      <c r="AN1119" s="204">
        <f>Delivery[[#This Row],[Valor Prêmio Nespresso BEN por saca (em US$)]]/1.3228/100</f>
        <v>6.7202327934458975E-2</v>
      </c>
      <c r="AO1119" s="204">
        <f>SUMIF(Allocation[Delivery ID],Delivery[[#This Row],[Delivery ID]],Allocation[Quantity allocated])*16*1.3228*Delivery[[#This Row],[Exchange rate VS USD]]/60</f>
        <v>8027.554662399999</v>
      </c>
      <c r="AP1119" s="204">
        <f>Delivery[[#This Row],[AAA Premium (total)]]</f>
        <v>11760</v>
      </c>
      <c r="AQ1119" s="204">
        <f>Delivery[[#This Row],[Valor pago pelo Cluster]]-Delivery[[#This Row],[Valor efetivamente pago pela Nespresso]]</f>
        <v>3732.445337600001</v>
      </c>
    </row>
    <row r="1120" spans="1:43" ht="15.75">
      <c r="A1120" s="174" t="s">
        <v>69</v>
      </c>
      <c r="B1120" s="232" t="s">
        <v>68</v>
      </c>
      <c r="C1120" s="157">
        <v>1</v>
      </c>
      <c r="D1120" s="157" t="s">
        <v>468</v>
      </c>
      <c r="E1120" s="177" t="s">
        <v>468</v>
      </c>
      <c r="F1120" s="233" t="s">
        <v>541</v>
      </c>
      <c r="G1120" s="234">
        <v>43425</v>
      </c>
      <c r="H1120" s="160" t="s">
        <v>1749</v>
      </c>
      <c r="I1120" s="236" t="s">
        <v>1745</v>
      </c>
      <c r="J1120" s="237">
        <v>29650</v>
      </c>
      <c r="K1120" s="175" t="s">
        <v>61</v>
      </c>
      <c r="L1120" s="175" t="s">
        <v>439</v>
      </c>
      <c r="M1120" s="175" t="s">
        <v>1343</v>
      </c>
      <c r="N1120" s="198"/>
      <c r="O1120" s="199"/>
      <c r="P1120" s="181">
        <v>0</v>
      </c>
      <c r="Q1120" s="177">
        <v>43418</v>
      </c>
      <c r="R1120" s="178">
        <v>435.65350000000001</v>
      </c>
      <c r="S1120" s="179">
        <v>202338.59431655667</v>
      </c>
      <c r="T1120" s="182" t="s">
        <v>45</v>
      </c>
      <c r="U1120" s="183">
        <v>3.7850000000000001</v>
      </c>
      <c r="V1120" s="179">
        <v>13092.945833333333</v>
      </c>
      <c r="W1120" s="179">
        <v>3473.4956834433337</v>
      </c>
      <c r="X1120" s="196" t="s">
        <v>45</v>
      </c>
      <c r="Y1120" s="200">
        <v>3.7850000000000001</v>
      </c>
      <c r="Z1120" s="220" t="s">
        <v>473</v>
      </c>
      <c r="AA1120" s="201">
        <f>Delivery[[#This Row],[Quantity delivered]]*VLOOKUP(Delivery[[#This Row],[Unit]],References!$U:$X,4,FALSE)*VLOOKUP(CONCATENATE(Delivery[[#This Row],[Coffee specie]],Delivery[[#This Row],[Coffee state]]),References!$U:$X,4,FALSE)</f>
        <v>29650</v>
      </c>
      <c r="AB1120" s="202">
        <f>SUMIF(Allocation!C:C,Delivery[[#This Row],[Delivery ID]],Allocation!D:D)/Delivery[[#This Row],[Quantity delivered]]</f>
        <v>0.21740303541315345</v>
      </c>
      <c r="AC1120" s="203">
        <f>Delivery[[#This Row],[Quantity delivered]]*Delivery[[#This Row],[Base price (Unidad)]]/60</f>
        <v>215285.43791666668</v>
      </c>
      <c r="AD1120" s="204">
        <f>Delivery[[#This Row],[Nespresso total]]-Delivery[[#This Row],[Qt. Delivery * Base Price]]</f>
        <v>-12946.843600110005</v>
      </c>
      <c r="AE1120" s="204">
        <f>Delivery[[#This Row],[AAA Premium (total)]]/Delivery[[#This Row],[Quantity delivered]]*60/Delivery[[#This Row],[Exchange rate VS USD]]</f>
        <v>7</v>
      </c>
      <c r="AF1120" s="204">
        <f>Delivery[[#This Row],[BEN premium (total)]]/Delivery[[#This Row],[Quantity delivered]]*60/Delivery[[#This Row],[Exchange rate for premiums VS USD]]</f>
        <v>1.8570664000000003</v>
      </c>
      <c r="AG1120" s="204">
        <f>COUNTIF(Delivery[Delivery ID],Delivery[[#This Row],[Delivery ID]])</f>
        <v>1</v>
      </c>
      <c r="AH1120" s="204">
        <f>(Delivery[[#This Row],[Nespresso total]]/SUMIF(Allocation!C:C,Delivery[Delivery ID],Allocation!H:H))/Delivery[[#This Row],[Exchange rate VS USD]]</f>
        <v>29.616629912734211</v>
      </c>
      <c r="AI1120" s="204">
        <f>(Delivery[[#This Row],[AAA Premium (total)]]/SUMIF(Allocation!C:C,Delivery[Delivery ID],Allocation!H:H))/Delivery[[#This Row],[Exchange rate VS USD]]</f>
        <v>1.9164358264081254</v>
      </c>
      <c r="AJ1120" s="204">
        <f>Delivery[[#This Row],[Valor Prêmio Nespresso AAA por Kg (em US$)]]*60</f>
        <v>114.98614958448752</v>
      </c>
      <c r="AK1120" s="204">
        <f>Delivery[[#This Row],[Valor Prêmio Nespresso AAA por saca (em US$)]]/1.3228/100</f>
        <v>0.86926330196921331</v>
      </c>
      <c r="AL1120" s="204">
        <f>(Delivery[[#This Row],[BEN premium (total)]]/SUMIF(Allocation!C:C,Delivery[Delivery ID],Allocation!H:H))/Delivery[[#This Row],[Exchange rate for premiums VS USD]]</f>
        <v>0.50842122585410898</v>
      </c>
      <c r="AM1120" s="204">
        <f>Delivery[[#This Row],[Valor Prêmio Nespresso BEN por Kg (em US$)]]*60</f>
        <v>30.505273551246539</v>
      </c>
      <c r="AN1120" s="204">
        <f>Delivery[[#This Row],[Valor Prêmio Nespresso BEN por saca (em US$)]]/1.3228/100</f>
        <v>0.23061138154858285</v>
      </c>
      <c r="AO1120" s="204">
        <f>SUMIF(Allocation[Delivery ID],Delivery[[#This Row],[Delivery ID]],Allocation[Quantity allocated])*16*1.3228*Delivery[[#This Row],[Exchange rate VS USD]]/60</f>
        <v>2409.9387706666666</v>
      </c>
      <c r="AP1120" s="204">
        <f>Delivery[[#This Row],[AAA Premium (total)]]</f>
        <v>13092.945833333333</v>
      </c>
      <c r="AQ1120" s="204">
        <f>Delivery[[#This Row],[Valor pago pelo Cluster]]-Delivery[[#This Row],[Valor efetivamente pago pela Nespresso]]</f>
        <v>10683.007062666667</v>
      </c>
    </row>
    <row r="1121" spans="1:43" ht="15.75">
      <c r="A1121" s="174" t="s">
        <v>69</v>
      </c>
      <c r="B1121" s="232" t="s">
        <v>68</v>
      </c>
      <c r="C1121" s="157" t="s">
        <v>1344</v>
      </c>
      <c r="D1121" s="157" t="s">
        <v>468</v>
      </c>
      <c r="E1121" s="177" t="s">
        <v>468</v>
      </c>
      <c r="F1121" s="233" t="s">
        <v>543</v>
      </c>
      <c r="G1121" s="234">
        <v>43425</v>
      </c>
      <c r="H1121" s="157" t="s">
        <v>1750</v>
      </c>
      <c r="I1121" s="157" t="s">
        <v>1742</v>
      </c>
      <c r="J1121" s="237">
        <v>38350</v>
      </c>
      <c r="K1121" s="175" t="s">
        <v>61</v>
      </c>
      <c r="L1121" s="175" t="s">
        <v>439</v>
      </c>
      <c r="M1121" s="175" t="s">
        <v>1343</v>
      </c>
      <c r="N1121" s="198"/>
      <c r="O1121" s="199"/>
      <c r="P1121" s="181">
        <v>0</v>
      </c>
      <c r="Q1121" s="177">
        <v>43416</v>
      </c>
      <c r="R1121" s="178">
        <v>428.67824999999999</v>
      </c>
      <c r="S1121" s="179">
        <v>284670.71999999997</v>
      </c>
      <c r="T1121" s="182" t="s">
        <v>45</v>
      </c>
      <c r="U1121" s="183">
        <v>3.7686000000000002</v>
      </c>
      <c r="V1121" s="179">
        <v>24121.599999999999</v>
      </c>
      <c r="W1121" s="179">
        <v>0</v>
      </c>
      <c r="X1121" s="196" t="s">
        <v>45</v>
      </c>
      <c r="Y1121" s="200">
        <v>3.7686000000000002</v>
      </c>
      <c r="Z1121" s="220"/>
      <c r="AA1121" s="201">
        <f>Delivery[[#This Row],[Quantity delivered]]*VLOOKUP(Delivery[[#This Row],[Unit]],References!$U:$X,4,FALSE)*VLOOKUP(CONCATENATE(Delivery[[#This Row],[Coffee specie]],Delivery[[#This Row],[Coffee state]]),References!$U:$X,4,FALSE)</f>
        <v>38350</v>
      </c>
      <c r="AB1121" s="202">
        <f>SUMIF(Allocation!C:C,Delivery[[#This Row],[Delivery ID]],Allocation!D:D)/Delivery[[#This Row],[Quantity delivered]]</f>
        <v>0.76834419817470667</v>
      </c>
      <c r="AC1121" s="203">
        <f>Delivery[[#This Row],[Quantity delivered]]*Delivery[[#This Row],[Base price (Unidad)]]/60</f>
        <v>273996.84812499996</v>
      </c>
      <c r="AD1121" s="204">
        <f>Delivery[[#This Row],[Nespresso total]]-Delivery[[#This Row],[Qt. Delivery * Base Price]]</f>
        <v>10673.871875000012</v>
      </c>
      <c r="AE1121" s="204">
        <f>Delivery[[#This Row],[AAA Premium (total)]]/Delivery[[#This Row],[Quantity delivered]]*60/Delivery[[#This Row],[Exchange rate VS USD]]</f>
        <v>10.014100595596037</v>
      </c>
      <c r="AF1121" s="204">
        <f>Delivery[[#This Row],[BEN premium (total)]]/Delivery[[#This Row],[Quantity delivered]]*60/Delivery[[#This Row],[Exchange rate for premiums VS USD]]</f>
        <v>0</v>
      </c>
      <c r="AG1121" s="204">
        <f>COUNTIF(Delivery[Delivery ID],Delivery[[#This Row],[Delivery ID]])</f>
        <v>1</v>
      </c>
      <c r="AH1121" s="204">
        <f>(Delivery[[#This Row],[Nespresso total]]/SUMIF(Allocation!C:C,Delivery[Delivery ID],Allocation!H:H))/Delivery[[#This Row],[Exchange rate VS USD]]</f>
        <v>5.0264523470639126</v>
      </c>
      <c r="AI1121" s="204">
        <f>(Delivery[[#This Row],[AAA Premium (total)]]/SUMIF(Allocation!C:C,Delivery[Delivery ID],Allocation!H:H))/Delivery[[#This Row],[Exchange rate VS USD]]</f>
        <v>0.42591690826136552</v>
      </c>
      <c r="AJ1121" s="204">
        <f>Delivery[[#This Row],[Valor Prêmio Nespresso AAA por Kg (em US$)]]*60</f>
        <v>25.555014495681931</v>
      </c>
      <c r="AK1121" s="204">
        <f>Delivery[[#This Row],[Valor Prêmio Nespresso AAA por saca (em US$)]]/1.3228/100</f>
        <v>0.19318880023950658</v>
      </c>
      <c r="AL1121" s="204">
        <f>(Delivery[[#This Row],[BEN premium (total)]]/SUMIF(Allocation!C:C,Delivery[Delivery ID],Allocation!H:H))/Delivery[[#This Row],[Exchange rate for premiums VS USD]]</f>
        <v>0</v>
      </c>
      <c r="AM1121" s="204">
        <f>Delivery[[#This Row],[Valor Prêmio Nespresso BEN por Kg (em US$)]]*60</f>
        <v>0</v>
      </c>
      <c r="AN1121" s="204">
        <f>Delivery[[#This Row],[Valor Prêmio Nespresso BEN por saca (em US$)]]/1.3228/100</f>
        <v>0</v>
      </c>
      <c r="AO1121" s="204">
        <f>SUMIF(Allocation[Delivery ID],Delivery[[#This Row],[Delivery ID]],Allocation[Quantity allocated])*16*1.3228*Delivery[[#This Row],[Exchange rate VS USD]]/60</f>
        <v>19977.638430464005</v>
      </c>
      <c r="AP1121" s="204">
        <f>Delivery[[#This Row],[AAA Premium (total)]]</f>
        <v>24121.599999999999</v>
      </c>
      <c r="AQ1121" s="204">
        <f>Delivery[[#This Row],[Valor pago pelo Cluster]]-Delivery[[#This Row],[Valor efetivamente pago pela Nespresso]]</f>
        <v>4143.9615695359935</v>
      </c>
    </row>
    <row r="1122" spans="1:43" ht="15.75">
      <c r="A1122" s="174" t="s">
        <v>69</v>
      </c>
      <c r="B1122" s="232" t="s">
        <v>68</v>
      </c>
      <c r="C1122" s="157" t="s">
        <v>1344</v>
      </c>
      <c r="D1122" s="157" t="s">
        <v>468</v>
      </c>
      <c r="E1122" s="177" t="s">
        <v>468</v>
      </c>
      <c r="F1122" s="233" t="s">
        <v>543</v>
      </c>
      <c r="G1122" s="234">
        <v>43425</v>
      </c>
      <c r="H1122" s="157" t="s">
        <v>1751</v>
      </c>
      <c r="I1122" s="157" t="s">
        <v>1742</v>
      </c>
      <c r="J1122" s="237">
        <v>11355</v>
      </c>
      <c r="K1122" s="175" t="s">
        <v>61</v>
      </c>
      <c r="L1122" s="175" t="s">
        <v>439</v>
      </c>
      <c r="M1122" s="175" t="s">
        <v>1343</v>
      </c>
      <c r="N1122" s="198"/>
      <c r="O1122" s="199"/>
      <c r="P1122" s="181">
        <v>0</v>
      </c>
      <c r="Q1122" s="177">
        <v>43416</v>
      </c>
      <c r="R1122" s="178">
        <v>428.67824999999999</v>
      </c>
      <c r="S1122" s="179">
        <v>84066.82</v>
      </c>
      <c r="T1122" s="182" t="s">
        <v>45</v>
      </c>
      <c r="U1122" s="183">
        <v>3.7686000000000002</v>
      </c>
      <c r="V1122" s="179">
        <v>7123.41</v>
      </c>
      <c r="W1122" s="179">
        <v>0</v>
      </c>
      <c r="X1122" s="196" t="s">
        <v>45</v>
      </c>
      <c r="Y1122" s="200">
        <v>3.7686000000000002</v>
      </c>
      <c r="Z1122" s="220"/>
      <c r="AA1122" s="201">
        <f>Delivery[[#This Row],[Quantity delivered]]*VLOOKUP(Delivery[[#This Row],[Unit]],References!$U:$X,4,FALSE)*VLOOKUP(CONCATENATE(Delivery[[#This Row],[Coffee specie]],Delivery[[#This Row],[Coffee state]]),References!$U:$X,4,FALSE)</f>
        <v>11355</v>
      </c>
      <c r="AB1122" s="202">
        <f>SUMIF(Allocation!C:C,Delivery[[#This Row],[Delivery ID]],Allocation!D:D)/Delivery[[#This Row],[Quantity delivered]]</f>
        <v>0.64315279612505505</v>
      </c>
      <c r="AC1122" s="203">
        <f>Delivery[[#This Row],[Quantity delivered]]*Delivery[[#This Row],[Base price (Unidad)]]/60</f>
        <v>81127.358812499995</v>
      </c>
      <c r="AD1122" s="204">
        <f>Delivery[[#This Row],[Nespresso total]]-Delivery[[#This Row],[Qt. Delivery * Base Price]]</f>
        <v>2939.4611875000119</v>
      </c>
      <c r="AE1122" s="204">
        <f>Delivery[[#This Row],[AAA Premium (total)]]/Delivery[[#This Row],[Quantity delivered]]*60/Delivery[[#This Row],[Exchange rate VS USD]]</f>
        <v>9.9878499603656721</v>
      </c>
      <c r="AF1122" s="204">
        <f>Delivery[[#This Row],[BEN premium (total)]]/Delivery[[#This Row],[Quantity delivered]]*60/Delivery[[#This Row],[Exchange rate for premiums VS USD]]</f>
        <v>0</v>
      </c>
      <c r="AG1122" s="204">
        <f>COUNTIF(Delivery[Delivery ID],Delivery[[#This Row],[Delivery ID]])</f>
        <v>1</v>
      </c>
      <c r="AH1122" s="204">
        <f>(Delivery[[#This Row],[Nespresso total]]/SUMIF(Allocation!C:C,Delivery[Delivery ID],Allocation!H:H))/Delivery[[#This Row],[Exchange rate VS USD]]</f>
        <v>5.9885033767190352</v>
      </c>
      <c r="AI1122" s="204">
        <f>(Delivery[[#This Row],[AAA Premium (total)]]/SUMIF(Allocation!C:C,Delivery[Delivery ID],Allocation!H:H))/Delivery[[#This Row],[Exchange rate VS USD]]</f>
        <v>0.50743640402663193</v>
      </c>
      <c r="AJ1122" s="204">
        <f>Delivery[[#This Row],[Valor Prêmio Nespresso AAA por Kg (em US$)]]*60</f>
        <v>30.446184241597916</v>
      </c>
      <c r="AK1122" s="204">
        <f>Delivery[[#This Row],[Valor Prêmio Nespresso AAA por saca (em US$)]]/1.3228/100</f>
        <v>0.23016468280615299</v>
      </c>
      <c r="AL1122" s="204">
        <f>(Delivery[[#This Row],[BEN premium (total)]]/SUMIF(Allocation!C:C,Delivery[Delivery ID],Allocation!H:H))/Delivery[[#This Row],[Exchange rate for premiums VS USD]]</f>
        <v>0</v>
      </c>
      <c r="AM1122" s="204">
        <f>Delivery[[#This Row],[Valor Prêmio Nespresso BEN por Kg (em US$)]]*60</f>
        <v>0</v>
      </c>
      <c r="AN1122" s="204">
        <f>Delivery[[#This Row],[Valor Prêmio Nespresso BEN por saca (em US$)]]/1.3228/100</f>
        <v>0</v>
      </c>
      <c r="AO1122" s="204">
        <f>SUMIF(Allocation[Delivery ID],Delivery[[#This Row],[Delivery ID]],Allocation[Quantity allocated])*16*1.3228*Delivery[[#This Row],[Exchange rate VS USD]]/60</f>
        <v>4951.8700528000008</v>
      </c>
      <c r="AP1122" s="204">
        <f>Delivery[[#This Row],[AAA Premium (total)]]</f>
        <v>7123.41</v>
      </c>
      <c r="AQ1122" s="204">
        <f>Delivery[[#This Row],[Valor pago pelo Cluster]]-Delivery[[#This Row],[Valor efetivamente pago pela Nespresso]]</f>
        <v>2171.539947199999</v>
      </c>
    </row>
    <row r="1123" spans="1:43" ht="15.75">
      <c r="A1123" s="174" t="s">
        <v>69</v>
      </c>
      <c r="B1123" s="232" t="s">
        <v>68</v>
      </c>
      <c r="C1123" s="157" t="s">
        <v>1344</v>
      </c>
      <c r="D1123" s="157" t="s">
        <v>468</v>
      </c>
      <c r="E1123" s="177" t="s">
        <v>468</v>
      </c>
      <c r="F1123" s="233" t="s">
        <v>543</v>
      </c>
      <c r="G1123" s="234">
        <v>43425</v>
      </c>
      <c r="H1123" s="157" t="s">
        <v>1752</v>
      </c>
      <c r="I1123" s="157" t="s">
        <v>1742</v>
      </c>
      <c r="J1123" s="237">
        <v>26495</v>
      </c>
      <c r="K1123" s="175" t="s">
        <v>61</v>
      </c>
      <c r="L1123" s="175" t="s">
        <v>439</v>
      </c>
      <c r="M1123" s="175" t="s">
        <v>1343</v>
      </c>
      <c r="N1123" s="198"/>
      <c r="O1123" s="199"/>
      <c r="P1123" s="181">
        <v>0</v>
      </c>
      <c r="Q1123" s="177">
        <v>43416</v>
      </c>
      <c r="R1123" s="178">
        <v>428.67824999999999</v>
      </c>
      <c r="S1123" s="179">
        <v>196155.92</v>
      </c>
      <c r="T1123" s="182" t="s">
        <v>45</v>
      </c>
      <c r="U1123" s="183">
        <v>3.7686000000000002</v>
      </c>
      <c r="V1123" s="179">
        <v>16621.29</v>
      </c>
      <c r="W1123" s="179">
        <v>0</v>
      </c>
      <c r="X1123" s="196" t="s">
        <v>45</v>
      </c>
      <c r="Y1123" s="200">
        <v>3.7686000000000002</v>
      </c>
      <c r="Z1123" s="220"/>
      <c r="AA1123" s="201">
        <f>Delivery[[#This Row],[Quantity delivered]]*VLOOKUP(Delivery[[#This Row],[Unit]],References!$U:$X,4,FALSE)*VLOOKUP(CONCATENATE(Delivery[[#This Row],[Coffee specie]],Delivery[[#This Row],[Coffee state]]),References!$U:$X,4,FALSE)</f>
        <v>26495</v>
      </c>
      <c r="AB1123" s="202">
        <f>SUMIF(Allocation!C:C,Delivery[[#This Row],[Delivery ID]],Allocation!D:D)/Delivery[[#This Row],[Quantity delivered]]</f>
        <v>0.69231930552934517</v>
      </c>
      <c r="AC1123" s="203">
        <f>Delivery[[#This Row],[Quantity delivered]]*Delivery[[#This Row],[Base price (Unidad)]]/60</f>
        <v>189297.17056250002</v>
      </c>
      <c r="AD1123" s="204">
        <f>Delivery[[#This Row],[Nespresso total]]-Delivery[[#This Row],[Qt. Delivery * Base Price]]</f>
        <v>6858.7494374999951</v>
      </c>
      <c r="AE1123" s="204">
        <f>Delivery[[#This Row],[AAA Premium (total)]]/Delivery[[#This Row],[Quantity delivered]]*60/Delivery[[#This Row],[Exchange rate VS USD]]</f>
        <v>9.9878499603656739</v>
      </c>
      <c r="AF1123" s="204">
        <f>Delivery[[#This Row],[BEN premium (total)]]/Delivery[[#This Row],[Quantity delivered]]*60/Delivery[[#This Row],[Exchange rate for premiums VS USD]]</f>
        <v>0</v>
      </c>
      <c r="AG1123" s="204">
        <f>COUNTIF(Delivery[Delivery ID],Delivery[[#This Row],[Delivery ID]])</f>
        <v>1</v>
      </c>
      <c r="AH1123" s="204">
        <f>(Delivery[[#This Row],[Nespresso total]]/SUMIF(Allocation!C:C,Delivery[Delivery ID],Allocation!H:H))/Delivery[[#This Row],[Exchange rate VS USD]]</f>
        <v>5.5638778141799179</v>
      </c>
      <c r="AI1123" s="204">
        <f>(Delivery[[#This Row],[AAA Premium (total)]]/SUMIF(Allocation!C:C,Delivery[Delivery ID],Allocation!H:H))/Delivery[[#This Row],[Exchange rate VS USD]]</f>
        <v>0.47145570051645919</v>
      </c>
      <c r="AJ1123" s="204">
        <f>Delivery[[#This Row],[Valor Prêmio Nespresso AAA por Kg (em US$)]]*60</f>
        <v>28.287342030987553</v>
      </c>
      <c r="AK1123" s="204">
        <f>Delivery[[#This Row],[Valor Prêmio Nespresso AAA por saca (em US$)]]/1.3228/100</f>
        <v>0.21384443627901084</v>
      </c>
      <c r="AL1123" s="204">
        <f>(Delivery[[#This Row],[BEN premium (total)]]/SUMIF(Allocation!C:C,Delivery[Delivery ID],Allocation!H:H))/Delivery[[#This Row],[Exchange rate for premiums VS USD]]</f>
        <v>0</v>
      </c>
      <c r="AM1123" s="204">
        <f>Delivery[[#This Row],[Valor Prêmio Nespresso BEN por Kg (em US$)]]*60</f>
        <v>0</v>
      </c>
      <c r="AN1123" s="204">
        <f>Delivery[[#This Row],[Valor Prêmio Nespresso BEN por saca (em US$)]]/1.3228/100</f>
        <v>0</v>
      </c>
      <c r="AO1123" s="204">
        <f>SUMIF(Allocation[Delivery ID],Delivery[[#This Row],[Delivery ID]],Allocation[Quantity allocated])*16*1.3228*Delivery[[#This Row],[Exchange rate VS USD]]/60</f>
        <v>12436.172978240002</v>
      </c>
      <c r="AP1123" s="204">
        <f>Delivery[[#This Row],[AAA Premium (total)]]</f>
        <v>16621.29</v>
      </c>
      <c r="AQ1123" s="204">
        <f>Delivery[[#This Row],[Valor pago pelo Cluster]]-Delivery[[#This Row],[Valor efetivamente pago pela Nespresso]]</f>
        <v>4185.1170217599993</v>
      </c>
    </row>
    <row r="1124" spans="1:43" ht="15.75">
      <c r="A1124" s="174" t="s">
        <v>69</v>
      </c>
      <c r="B1124" s="232" t="s">
        <v>68</v>
      </c>
      <c r="C1124" s="157" t="s">
        <v>1344</v>
      </c>
      <c r="D1124" s="157" t="s">
        <v>468</v>
      </c>
      <c r="E1124" s="177" t="s">
        <v>468</v>
      </c>
      <c r="F1124" s="233" t="s">
        <v>543</v>
      </c>
      <c r="G1124" s="234">
        <v>43425</v>
      </c>
      <c r="H1124" s="157" t="s">
        <v>1753</v>
      </c>
      <c r="I1124" s="157" t="s">
        <v>1742</v>
      </c>
      <c r="J1124" s="237">
        <v>775.5</v>
      </c>
      <c r="K1124" s="175" t="s">
        <v>61</v>
      </c>
      <c r="L1124" s="175" t="s">
        <v>439</v>
      </c>
      <c r="M1124" s="175" t="s">
        <v>1343</v>
      </c>
      <c r="N1124" s="198"/>
      <c r="O1124" s="199"/>
      <c r="P1124" s="181">
        <v>0</v>
      </c>
      <c r="Q1124" s="177">
        <v>43416</v>
      </c>
      <c r="R1124" s="178">
        <v>428.67824999999999</v>
      </c>
      <c r="S1124" s="179">
        <v>5782.37</v>
      </c>
      <c r="T1124" s="182" t="s">
        <v>45</v>
      </c>
      <c r="U1124" s="183">
        <v>3.7686000000000002</v>
      </c>
      <c r="V1124" s="179">
        <v>489.97</v>
      </c>
      <c r="W1124" s="179">
        <v>0</v>
      </c>
      <c r="X1124" s="196" t="s">
        <v>45</v>
      </c>
      <c r="Y1124" s="200">
        <v>3.7686000000000002</v>
      </c>
      <c r="Z1124" s="220"/>
      <c r="AA1124" s="201">
        <f>Delivery[[#This Row],[Quantity delivered]]*VLOOKUP(Delivery[[#This Row],[Unit]],References!$U:$X,4,FALSE)*VLOOKUP(CONCATENATE(Delivery[[#This Row],[Coffee specie]],Delivery[[#This Row],[Coffee state]]),References!$U:$X,4,FALSE)</f>
        <v>775.5</v>
      </c>
      <c r="AB1124" s="202">
        <f>SUMIF(Allocation!C:C,Delivery[[#This Row],[Delivery ID]],Allocation!D:D)/Delivery[[#This Row],[Quantity delivered]]</f>
        <v>1</v>
      </c>
      <c r="AC1124" s="203">
        <f>Delivery[[#This Row],[Quantity delivered]]*Delivery[[#This Row],[Base price (Unidad)]]/60</f>
        <v>5540.6663812500001</v>
      </c>
      <c r="AD1124" s="204">
        <f>Delivery[[#This Row],[Nespresso total]]-Delivery[[#This Row],[Qt. Delivery * Base Price]]</f>
        <v>241.70361874999981</v>
      </c>
      <c r="AE1124" s="204">
        <f>Delivery[[#This Row],[AAA Premium (total)]]/Delivery[[#This Row],[Quantity delivered]]*60/Delivery[[#This Row],[Exchange rate VS USD]]</f>
        <v>10.05909464042232</v>
      </c>
      <c r="AF1124" s="204">
        <f>Delivery[[#This Row],[BEN premium (total)]]/Delivery[[#This Row],[Quantity delivered]]*60/Delivery[[#This Row],[Exchange rate for premiums VS USD]]</f>
        <v>0</v>
      </c>
      <c r="AG1124" s="204">
        <f>COUNTIF(Delivery[Delivery ID],Delivery[[#This Row],[Delivery ID]])</f>
        <v>1</v>
      </c>
      <c r="AH1124" s="204">
        <f>(Delivery[[#This Row],[Nespresso total]]/SUMIF(Allocation!C:C,Delivery[Delivery ID],Allocation!H:H))/Delivery[[#This Row],[Exchange rate VS USD]]</f>
        <v>3.8746336688543339</v>
      </c>
      <c r="AI1124" s="204">
        <f>(Delivery[[#This Row],[AAA Premium (total)]]/SUMIF(Allocation!C:C,Delivery[Delivery ID],Allocation!H:H))/Delivery[[#This Row],[Exchange rate VS USD]]</f>
        <v>0.32831767229156184</v>
      </c>
      <c r="AJ1124" s="204">
        <f>Delivery[[#This Row],[Valor Prêmio Nespresso AAA por Kg (em US$)]]*60</f>
        <v>19.699060337493709</v>
      </c>
      <c r="AK1124" s="204">
        <f>Delivery[[#This Row],[Valor Prêmio Nespresso AAA por saca (em US$)]]/1.3228/100</f>
        <v>0.14891941591694668</v>
      </c>
      <c r="AL1124" s="204">
        <f>(Delivery[[#This Row],[BEN premium (total)]]/SUMIF(Allocation!C:C,Delivery[Delivery ID],Allocation!H:H))/Delivery[[#This Row],[Exchange rate for premiums VS USD]]</f>
        <v>0</v>
      </c>
      <c r="AM1124" s="204">
        <f>Delivery[[#This Row],[Valor Prêmio Nespresso BEN por Kg (em US$)]]*60</f>
        <v>0</v>
      </c>
      <c r="AN1124" s="204">
        <f>Delivery[[#This Row],[Valor Prêmio Nespresso BEN por saca (em US$)]]/1.3228/100</f>
        <v>0</v>
      </c>
      <c r="AO1124" s="204">
        <f>SUMIF(Allocation[Delivery ID],Delivery[[#This Row],[Delivery ID]],Allocation[Quantity allocated])*16*1.3228*Delivery[[#This Row],[Exchange rate VS USD]]/60</f>
        <v>526.42699084799995</v>
      </c>
      <c r="AP1124" s="204">
        <f>Delivery[[#This Row],[AAA Premium (total)]]</f>
        <v>489.97</v>
      </c>
      <c r="AQ1124" s="204">
        <f>Delivery[[#This Row],[Valor pago pelo Cluster]]-Delivery[[#This Row],[Valor efetivamente pago pela Nespresso]]</f>
        <v>-36.456990847999919</v>
      </c>
    </row>
    <row r="1125" spans="1:43" ht="15.75">
      <c r="A1125" s="174" t="s">
        <v>69</v>
      </c>
      <c r="B1125" s="232" t="s">
        <v>68</v>
      </c>
      <c r="C1125" s="157" t="s">
        <v>1344</v>
      </c>
      <c r="D1125" s="157" t="s">
        <v>468</v>
      </c>
      <c r="E1125" s="177" t="s">
        <v>468</v>
      </c>
      <c r="F1125" s="233" t="s">
        <v>543</v>
      </c>
      <c r="G1125" s="234">
        <v>43425</v>
      </c>
      <c r="H1125" s="157" t="s">
        <v>1754</v>
      </c>
      <c r="I1125" s="157" t="s">
        <v>1742</v>
      </c>
      <c r="J1125" s="237">
        <v>5202</v>
      </c>
      <c r="K1125" s="175" t="s">
        <v>61</v>
      </c>
      <c r="L1125" s="175" t="s">
        <v>439</v>
      </c>
      <c r="M1125" s="175" t="s">
        <v>1343</v>
      </c>
      <c r="N1125" s="198"/>
      <c r="O1125" s="199"/>
      <c r="P1125" s="181">
        <v>0</v>
      </c>
      <c r="Q1125" s="177">
        <v>43416</v>
      </c>
      <c r="R1125" s="178">
        <v>428.67824999999999</v>
      </c>
      <c r="S1125" s="179">
        <v>38697.43</v>
      </c>
      <c r="T1125" s="182" t="s">
        <v>45</v>
      </c>
      <c r="U1125" s="183">
        <v>3.7686000000000002</v>
      </c>
      <c r="V1125" s="179">
        <v>3279.03</v>
      </c>
      <c r="W1125" s="179">
        <v>0</v>
      </c>
      <c r="X1125" s="196" t="s">
        <v>45</v>
      </c>
      <c r="Y1125" s="200">
        <v>3.7686000000000002</v>
      </c>
      <c r="Z1125" s="220"/>
      <c r="AA1125" s="201">
        <f>Delivery[[#This Row],[Quantity delivered]]*VLOOKUP(Delivery[[#This Row],[Unit]],References!$U:$X,4,FALSE)*VLOOKUP(CONCATENATE(Delivery[[#This Row],[Coffee specie]],Delivery[[#This Row],[Coffee state]]),References!$U:$X,4,FALSE)</f>
        <v>5202</v>
      </c>
      <c r="AB1125" s="202">
        <f>SUMIF(Allocation!C:C,Delivery[[#This Row],[Delivery ID]],Allocation!D:D)/Delivery[[#This Row],[Quantity delivered]]</f>
        <v>0.64282968089196468</v>
      </c>
      <c r="AC1125" s="203">
        <f>Delivery[[#This Row],[Quantity delivered]]*Delivery[[#This Row],[Base price (Unidad)]]/60</f>
        <v>37166.404275000001</v>
      </c>
      <c r="AD1125" s="204">
        <f>Delivery[[#This Row],[Nespresso total]]-Delivery[[#This Row],[Qt. Delivery * Base Price]]</f>
        <v>1531.0257249999995</v>
      </c>
      <c r="AE1125" s="204">
        <f>Delivery[[#This Row],[AAA Premium (total)]]/Delivery[[#This Row],[Quantity delivered]]*60/Delivery[[#This Row],[Exchange rate VS USD]]</f>
        <v>10.035667150908425</v>
      </c>
      <c r="AF1125" s="204">
        <f>Delivery[[#This Row],[BEN premium (total)]]/Delivery[[#This Row],[Quantity delivered]]*60/Delivery[[#This Row],[Exchange rate for premiums VS USD]]</f>
        <v>0</v>
      </c>
      <c r="AG1125" s="204">
        <f>COUNTIF(Delivery[Delivery ID],Delivery[[#This Row],[Delivery ID]])</f>
        <v>1</v>
      </c>
      <c r="AH1125" s="204">
        <f>(Delivery[[#This Row],[Nespresso total]]/SUMIF(Allocation!C:C,Delivery[Delivery ID],Allocation!H:H))/Delivery[[#This Row],[Exchange rate VS USD]]</f>
        <v>6.0225123076733924</v>
      </c>
      <c r="AI1125" s="204">
        <f>(Delivery[[#This Row],[AAA Premium (total)]]/SUMIF(Allocation!C:C,Delivery[Delivery ID],Allocation!H:H))/Delivery[[#This Row],[Exchange rate VS USD]]</f>
        <v>0.51031808914003551</v>
      </c>
      <c r="AJ1125" s="204">
        <f>Delivery[[#This Row],[Valor Prêmio Nespresso AAA por Kg (em US$)]]*60</f>
        <v>30.61908534840213</v>
      </c>
      <c r="AK1125" s="204">
        <f>Delivery[[#This Row],[Valor Prêmio Nespresso AAA por saca (em US$)]]/1.3228/100</f>
        <v>0.23147176707289183</v>
      </c>
      <c r="AL1125" s="204">
        <f>(Delivery[[#This Row],[BEN premium (total)]]/SUMIF(Allocation!C:C,Delivery[Delivery ID],Allocation!H:H))/Delivery[[#This Row],[Exchange rate for premiums VS USD]]</f>
        <v>0</v>
      </c>
      <c r="AM1125" s="204">
        <f>Delivery[[#This Row],[Valor Prêmio Nespresso BEN por Kg (em US$)]]*60</f>
        <v>0</v>
      </c>
      <c r="AN1125" s="204">
        <f>Delivery[[#This Row],[Valor Prêmio Nespresso BEN por saca (em US$)]]/1.3228/100</f>
        <v>0</v>
      </c>
      <c r="AO1125" s="204">
        <f>SUMIF(Allocation[Delivery ID],Delivery[[#This Row],[Delivery ID]],Allocation[Quantity allocated])*16*1.3228*Delivery[[#This Row],[Exchange rate VS USD]]/60</f>
        <v>2266.5606550399998</v>
      </c>
      <c r="AP1125" s="204">
        <f>Delivery[[#This Row],[AAA Premium (total)]]</f>
        <v>3279.03</v>
      </c>
      <c r="AQ1125" s="204">
        <f>Delivery[[#This Row],[Valor pago pelo Cluster]]-Delivery[[#This Row],[Valor efetivamente pago pela Nespresso]]</f>
        <v>1012.4693449600004</v>
      </c>
    </row>
    <row r="1126" spans="1:43" ht="15.75">
      <c r="A1126" s="174" t="s">
        <v>69</v>
      </c>
      <c r="B1126" s="232" t="s">
        <v>68</v>
      </c>
      <c r="C1126" s="157">
        <v>1</v>
      </c>
      <c r="D1126" s="157" t="s">
        <v>468</v>
      </c>
      <c r="E1126" s="177" t="s">
        <v>468</v>
      </c>
      <c r="F1126" s="233" t="s">
        <v>543</v>
      </c>
      <c r="G1126" s="234">
        <v>43425</v>
      </c>
      <c r="H1126" s="157" t="s">
        <v>1755</v>
      </c>
      <c r="I1126" s="236" t="s">
        <v>1362</v>
      </c>
      <c r="J1126" s="237">
        <v>17710</v>
      </c>
      <c r="K1126" s="175" t="s">
        <v>61</v>
      </c>
      <c r="L1126" s="175" t="s">
        <v>439</v>
      </c>
      <c r="M1126" s="175" t="s">
        <v>1343</v>
      </c>
      <c r="N1126" s="198"/>
      <c r="O1126" s="199"/>
      <c r="P1126" s="181">
        <v>0</v>
      </c>
      <c r="Q1126" s="177">
        <v>43420</v>
      </c>
      <c r="R1126" s="178">
        <v>434.99774500000001</v>
      </c>
      <c r="S1126" s="179">
        <v>134982.01999999999</v>
      </c>
      <c r="T1126" s="182" t="s">
        <v>45</v>
      </c>
      <c r="U1126" s="183">
        <v>3.7387000000000001</v>
      </c>
      <c r="V1126" s="179">
        <v>23330.55</v>
      </c>
      <c r="W1126" s="179">
        <v>0</v>
      </c>
      <c r="X1126" s="196" t="s">
        <v>45</v>
      </c>
      <c r="Y1126" s="200">
        <v>3.7387000000000001</v>
      </c>
      <c r="Z1126" s="220"/>
      <c r="AA1126" s="201">
        <f>Delivery[[#This Row],[Quantity delivered]]*VLOOKUP(Delivery[[#This Row],[Unit]],References!$U:$X,4,FALSE)*VLOOKUP(CONCATENATE(Delivery[[#This Row],[Coffee specie]],Delivery[[#This Row],[Coffee state]]),References!$U:$X,4,FALSE)</f>
        <v>17710</v>
      </c>
      <c r="AB1126" s="202">
        <f>SUMIF(Allocation!C:C,Delivery[[#This Row],[Delivery ID]],Allocation!D:D)/Delivery[[#This Row],[Quantity delivered]]</f>
        <v>0.37989836250705816</v>
      </c>
      <c r="AC1126" s="203">
        <f>Delivery[[#This Row],[Quantity delivered]]*Delivery[[#This Row],[Base price (Unidad)]]/60</f>
        <v>128396.83439916668</v>
      </c>
      <c r="AD1126" s="204">
        <f>Delivery[[#This Row],[Nespresso total]]-Delivery[[#This Row],[Qt. Delivery * Base Price]]</f>
        <v>6585.1856008333125</v>
      </c>
      <c r="AE1126" s="204">
        <f>Delivery[[#This Row],[AAA Premium (total)]]/Delivery[[#This Row],[Quantity delivered]]*60/Delivery[[#This Row],[Exchange rate VS USD]]</f>
        <v>21.141560889741204</v>
      </c>
      <c r="AF1126" s="204">
        <f>Delivery[[#This Row],[BEN premium (total)]]/Delivery[[#This Row],[Quantity delivered]]*60/Delivery[[#This Row],[Exchange rate for premiums VS USD]]</f>
        <v>0</v>
      </c>
      <c r="AG1126" s="204">
        <f>COUNTIF(Delivery[Delivery ID],Delivery[[#This Row],[Delivery ID]])</f>
        <v>1</v>
      </c>
      <c r="AH1126" s="204">
        <f>(Delivery[[#This Row],[Nespresso total]]/SUMIF(Allocation!C:C,Delivery[Delivery ID],Allocation!H:H))/Delivery[[#This Row],[Exchange rate VS USD]]</f>
        <v>5.9626752627797313</v>
      </c>
      <c r="AI1126" s="204">
        <f>(Delivery[[#This Row],[AAA Premium (total)]]/SUMIF(Allocation!C:C,Delivery[Delivery ID],Allocation!H:H))/Delivery[[#This Row],[Exchange rate VS USD]]</f>
        <v>1.0306001743939353</v>
      </c>
      <c r="AJ1126" s="204">
        <f>Delivery[[#This Row],[Valor Prêmio Nespresso AAA por Kg (em US$)]]*60</f>
        <v>61.836010463636114</v>
      </c>
      <c r="AK1126" s="204">
        <f>Delivery[[#This Row],[Valor Prêmio Nespresso AAA por saca (em US$)]]/1.3228/100</f>
        <v>0.46746303646534715</v>
      </c>
      <c r="AL1126" s="204">
        <f>(Delivery[[#This Row],[BEN premium (total)]]/SUMIF(Allocation!C:C,Delivery[Delivery ID],Allocation!H:H))/Delivery[[#This Row],[Exchange rate for premiums VS USD]]</f>
        <v>0</v>
      </c>
      <c r="AM1126" s="204">
        <f>Delivery[[#This Row],[Valor Prêmio Nespresso BEN por Kg (em US$)]]*60</f>
        <v>0</v>
      </c>
      <c r="AN1126" s="204">
        <f>Delivery[[#This Row],[Valor Prêmio Nespresso BEN por saca (em US$)]]/1.3228/100</f>
        <v>0</v>
      </c>
      <c r="AO1126" s="204">
        <f>SUMIF(Allocation[Delivery ID],Delivery[[#This Row],[Delivery ID]],Allocation[Quantity allocated])*16*1.3228*Delivery[[#This Row],[Exchange rate VS USD]]/60</f>
        <v>7985.4185439466673</v>
      </c>
      <c r="AP1126" s="204">
        <f>Delivery[[#This Row],[AAA Premium (total)]]</f>
        <v>23330.55</v>
      </c>
      <c r="AQ1126" s="204">
        <f>Delivery[[#This Row],[Valor pago pelo Cluster]]-Delivery[[#This Row],[Valor efetivamente pago pela Nespresso]]</f>
        <v>15345.131456053332</v>
      </c>
    </row>
    <row r="1127" spans="1:43" ht="15.75">
      <c r="A1127" s="174" t="s">
        <v>69</v>
      </c>
      <c r="B1127" s="232" t="s">
        <v>68</v>
      </c>
      <c r="C1127" s="157" t="s">
        <v>1344</v>
      </c>
      <c r="D1127" s="157" t="s">
        <v>468</v>
      </c>
      <c r="E1127" s="177" t="s">
        <v>468</v>
      </c>
      <c r="F1127" s="233" t="s">
        <v>543</v>
      </c>
      <c r="G1127" s="234">
        <v>43426</v>
      </c>
      <c r="H1127" s="157" t="s">
        <v>1756</v>
      </c>
      <c r="I1127" s="157" t="s">
        <v>550</v>
      </c>
      <c r="J1127" s="237">
        <v>24832</v>
      </c>
      <c r="K1127" s="175" t="s">
        <v>61</v>
      </c>
      <c r="L1127" s="175" t="s">
        <v>439</v>
      </c>
      <c r="M1127" s="175" t="s">
        <v>1343</v>
      </c>
      <c r="N1127" s="198"/>
      <c r="O1127" s="199"/>
      <c r="P1127" s="181">
        <v>0</v>
      </c>
      <c r="Q1127" s="177">
        <v>43423</v>
      </c>
      <c r="R1127" s="178">
        <v>436.9701</v>
      </c>
      <c r="S1127" s="179">
        <v>180527.18</v>
      </c>
      <c r="T1127" s="182" t="s">
        <v>45</v>
      </c>
      <c r="U1127" s="183">
        <v>3.7605</v>
      </c>
      <c r="V1127" s="179">
        <v>10896.48</v>
      </c>
      <c r="W1127" s="179">
        <v>0</v>
      </c>
      <c r="X1127" s="196" t="s">
        <v>45</v>
      </c>
      <c r="Y1127" s="200">
        <v>3.7605</v>
      </c>
      <c r="Z1127" s="220"/>
      <c r="AA1127" s="201">
        <f>Delivery[[#This Row],[Quantity delivered]]*VLOOKUP(Delivery[[#This Row],[Unit]],References!$U:$X,4,FALSE)*VLOOKUP(CONCATENATE(Delivery[[#This Row],[Coffee specie]],Delivery[[#This Row],[Coffee state]]),References!$U:$X,4,FALSE)</f>
        <v>24832</v>
      </c>
      <c r="AB1127" s="202">
        <f>SUMIF(Allocation!C:C,Delivery[[#This Row],[Delivery ID]],Allocation!D:D)/Delivery[[#This Row],[Quantity delivered]]</f>
        <v>1</v>
      </c>
      <c r="AC1127" s="203">
        <f>Delivery[[#This Row],[Quantity delivered]]*Delivery[[#This Row],[Base price (Unidad)]]/60</f>
        <v>180847.35871999999</v>
      </c>
      <c r="AD1127" s="204">
        <f>Delivery[[#This Row],[Nespresso total]]-Delivery[[#This Row],[Qt. Delivery * Base Price]]</f>
        <v>-320.17871999999625</v>
      </c>
      <c r="AE1127" s="204">
        <f>Delivery[[#This Row],[AAA Premium (total)]]/Delivery[[#This Row],[Quantity delivered]]*60/Delivery[[#This Row],[Exchange rate VS USD]]</f>
        <v>7.001324127494561</v>
      </c>
      <c r="AF1127" s="204">
        <f>Delivery[[#This Row],[BEN premium (total)]]/Delivery[[#This Row],[Quantity delivered]]*60/Delivery[[#This Row],[Exchange rate for premiums VS USD]]</f>
        <v>0</v>
      </c>
      <c r="AG1127" s="204">
        <f>COUNTIF(Delivery[Delivery ID],Delivery[[#This Row],[Delivery ID]])</f>
        <v>1</v>
      </c>
      <c r="AH1127" s="204">
        <f>(Delivery[[#This Row],[Nespresso total]]/SUMIF(Allocation!C:C,Delivery[Delivery ID],Allocation!H:H))/Delivery[[#This Row],[Exchange rate VS USD]]</f>
        <v>5.8579821932796019</v>
      </c>
      <c r="AI1127" s="204">
        <f>(Delivery[[#This Row],[AAA Premium (total)]]/SUMIF(Allocation!C:C,Delivery[Delivery ID],Allocation!H:H))/Delivery[[#This Row],[Exchange rate VS USD]]</f>
        <v>0.35358324330678248</v>
      </c>
      <c r="AJ1127" s="204">
        <f>Delivery[[#This Row],[Valor Prêmio Nespresso AAA por Kg (em US$)]]*60</f>
        <v>21.21499459840695</v>
      </c>
      <c r="AK1127" s="204">
        <f>Delivery[[#This Row],[Valor Prêmio Nespresso AAA por saca (em US$)]]/1.3228/100</f>
        <v>0.16037945719993157</v>
      </c>
      <c r="AL1127" s="204">
        <f>(Delivery[[#This Row],[BEN premium (total)]]/SUMIF(Allocation!C:C,Delivery[Delivery ID],Allocation!H:H))/Delivery[[#This Row],[Exchange rate for premiums VS USD]]</f>
        <v>0</v>
      </c>
      <c r="AM1127" s="204">
        <f>Delivery[[#This Row],[Valor Prêmio Nespresso BEN por Kg (em US$)]]*60</f>
        <v>0</v>
      </c>
      <c r="AN1127" s="204">
        <f>Delivery[[#This Row],[Valor Prêmio Nespresso BEN por saca (em US$)]]/1.3228/100</f>
        <v>0</v>
      </c>
      <c r="AO1127" s="204">
        <f>SUMIF(Allocation[Delivery ID],Delivery[[#This Row],[Delivery ID]],Allocation[Quantity allocated])*16*1.3228*Delivery[[#This Row],[Exchange rate VS USD]]/60</f>
        <v>10870.698968799999</v>
      </c>
      <c r="AP1127" s="204">
        <f>Delivery[[#This Row],[AAA Premium (total)]]</f>
        <v>10896.48</v>
      </c>
      <c r="AQ1127" s="204">
        <f>Delivery[[#This Row],[Valor pago pelo Cluster]]-Delivery[[#This Row],[Valor efetivamente pago pela Nespresso]]</f>
        <v>25.781031200000143</v>
      </c>
    </row>
    <row r="1128" spans="1:43" ht="15.75">
      <c r="A1128" s="174" t="s">
        <v>69</v>
      </c>
      <c r="B1128" s="232" t="s">
        <v>68</v>
      </c>
      <c r="C1128" s="157" t="s">
        <v>1344</v>
      </c>
      <c r="D1128" s="157" t="s">
        <v>468</v>
      </c>
      <c r="E1128" s="177" t="s">
        <v>468</v>
      </c>
      <c r="F1128" s="233" t="s">
        <v>543</v>
      </c>
      <c r="G1128" s="234">
        <v>43426</v>
      </c>
      <c r="H1128" s="157" t="s">
        <v>1757</v>
      </c>
      <c r="I1128" s="157" t="s">
        <v>550</v>
      </c>
      <c r="J1128" s="237">
        <v>10198</v>
      </c>
      <c r="K1128" s="175" t="s">
        <v>61</v>
      </c>
      <c r="L1128" s="175" t="s">
        <v>439</v>
      </c>
      <c r="M1128" s="175" t="s">
        <v>1343</v>
      </c>
      <c r="N1128" s="198"/>
      <c r="O1128" s="199"/>
      <c r="P1128" s="181">
        <v>0</v>
      </c>
      <c r="Q1128" s="177">
        <v>43423</v>
      </c>
      <c r="R1128" s="178">
        <v>436.9701</v>
      </c>
      <c r="S1128" s="179">
        <v>74129.52</v>
      </c>
      <c r="T1128" s="182" t="s">
        <v>45</v>
      </c>
      <c r="U1128" s="183">
        <v>3.7605</v>
      </c>
      <c r="V1128" s="179">
        <v>4474</v>
      </c>
      <c r="W1128" s="179">
        <v>0</v>
      </c>
      <c r="X1128" s="196" t="s">
        <v>45</v>
      </c>
      <c r="Y1128" s="200">
        <v>3.7605</v>
      </c>
      <c r="Z1128" s="220"/>
      <c r="AA1128" s="201">
        <f>Delivery[[#This Row],[Quantity delivered]]*VLOOKUP(Delivery[[#This Row],[Unit]],References!$U:$X,4,FALSE)*VLOOKUP(CONCATENATE(Delivery[[#This Row],[Coffee specie]],Delivery[[#This Row],[Coffee state]]),References!$U:$X,4,FALSE)</f>
        <v>10198</v>
      </c>
      <c r="AB1128" s="202">
        <f>SUMIF(Allocation!C:C,Delivery[[#This Row],[Delivery ID]],Allocation!D:D)/Delivery[[#This Row],[Quantity delivered]]</f>
        <v>1</v>
      </c>
      <c r="AC1128" s="203">
        <f>Delivery[[#This Row],[Quantity delivered]]*Delivery[[#This Row],[Base price (Unidad)]]/60</f>
        <v>74270.351330000005</v>
      </c>
      <c r="AD1128" s="204">
        <f>Delivery[[#This Row],[Nespresso total]]-Delivery[[#This Row],[Qt. Delivery * Base Price]]</f>
        <v>-140.83133000000089</v>
      </c>
      <c r="AE1128" s="204">
        <f>Delivery[[#This Row],[AAA Premium (total)]]/Delivery[[#This Row],[Quantity delivered]]*60/Delivery[[#This Row],[Exchange rate VS USD]]</f>
        <v>6.9998160866381349</v>
      </c>
      <c r="AF1128" s="204">
        <f>Delivery[[#This Row],[BEN premium (total)]]/Delivery[[#This Row],[Quantity delivered]]*60/Delivery[[#This Row],[Exchange rate for premiums VS USD]]</f>
        <v>0</v>
      </c>
      <c r="AG1128" s="204">
        <f>COUNTIF(Delivery[Delivery ID],Delivery[[#This Row],[Delivery ID]])</f>
        <v>1</v>
      </c>
      <c r="AH1128" s="204">
        <f>(Delivery[[#This Row],[Nespresso total]]/SUMIF(Allocation!C:C,Delivery[Delivery ID],Allocation!H:H))/Delivery[[#This Row],[Exchange rate VS USD]]</f>
        <v>5.8581505217782492</v>
      </c>
      <c r="AI1128" s="204">
        <f>(Delivery[[#This Row],[AAA Premium (total)]]/SUMIF(Allocation!C:C,Delivery[Delivery ID],Allocation!H:H))/Delivery[[#This Row],[Exchange rate VS USD]]</f>
        <v>0.3535617852973536</v>
      </c>
      <c r="AJ1128" s="204">
        <f>Delivery[[#This Row],[Valor Prêmio Nespresso AAA por Kg (em US$)]]*60</f>
        <v>21.213707117841217</v>
      </c>
      <c r="AK1128" s="204">
        <f>Delivery[[#This Row],[Valor Prêmio Nespresso AAA por saca (em US$)]]/1.3228/100</f>
        <v>0.16036972420502885</v>
      </c>
      <c r="AL1128" s="204">
        <f>(Delivery[[#This Row],[BEN premium (total)]]/SUMIF(Allocation!C:C,Delivery[Delivery ID],Allocation!H:H))/Delivery[[#This Row],[Exchange rate for premiums VS USD]]</f>
        <v>0</v>
      </c>
      <c r="AM1128" s="204">
        <f>Delivery[[#This Row],[Valor Prêmio Nespresso BEN por Kg (em US$)]]*60</f>
        <v>0</v>
      </c>
      <c r="AN1128" s="204">
        <f>Delivery[[#This Row],[Valor Prêmio Nespresso BEN por saca (em US$)]]/1.3228/100</f>
        <v>0</v>
      </c>
      <c r="AO1128" s="204">
        <f>SUMIF(Allocation[Delivery ID],Delivery[[#This Row],[Delivery ID]],Allocation[Quantity allocated])*16*1.3228*Delivery[[#This Row],[Exchange rate VS USD]]/60</f>
        <v>4463.6854216000002</v>
      </c>
      <c r="AP1128" s="204">
        <f>Delivery[[#This Row],[AAA Premium (total)]]</f>
        <v>4474</v>
      </c>
      <c r="AQ1128" s="204">
        <f>Delivery[[#This Row],[Valor pago pelo Cluster]]-Delivery[[#This Row],[Valor efetivamente pago pela Nespresso]]</f>
        <v>10.314578399999846</v>
      </c>
    </row>
    <row r="1129" spans="1:43" ht="15.75">
      <c r="A1129" s="174" t="s">
        <v>69</v>
      </c>
      <c r="B1129" s="232" t="s">
        <v>68</v>
      </c>
      <c r="C1129" s="157">
        <v>1</v>
      </c>
      <c r="D1129" s="157" t="s">
        <v>468</v>
      </c>
      <c r="E1129" s="177" t="s">
        <v>468</v>
      </c>
      <c r="F1129" s="233" t="s">
        <v>541</v>
      </c>
      <c r="G1129" s="234">
        <v>43425</v>
      </c>
      <c r="H1129" s="160" t="s">
        <v>1758</v>
      </c>
      <c r="I1129" s="236" t="s">
        <v>1745</v>
      </c>
      <c r="J1129" s="237">
        <v>29700</v>
      </c>
      <c r="K1129" s="175" t="s">
        <v>61</v>
      </c>
      <c r="L1129" s="175" t="s">
        <v>439</v>
      </c>
      <c r="M1129" s="175" t="s">
        <v>1343</v>
      </c>
      <c r="N1129" s="198"/>
      <c r="O1129" s="199"/>
      <c r="P1129" s="181">
        <v>0</v>
      </c>
      <c r="Q1129" s="177">
        <v>43418</v>
      </c>
      <c r="R1129" s="178">
        <v>435.65350000000001</v>
      </c>
      <c r="S1129" s="179">
        <v>202332.73681961998</v>
      </c>
      <c r="T1129" s="182" t="s">
        <v>45</v>
      </c>
      <c r="U1129" s="183">
        <v>3.7850000000000001</v>
      </c>
      <c r="V1129" s="179">
        <v>13115.025</v>
      </c>
      <c r="W1129" s="179">
        <v>3479.3531803800001</v>
      </c>
      <c r="X1129" s="196" t="s">
        <v>45</v>
      </c>
      <c r="Y1129" s="200">
        <v>3.7850000000000001</v>
      </c>
      <c r="Z1129" s="220" t="s">
        <v>473</v>
      </c>
      <c r="AA1129" s="201">
        <f>Delivery[[#This Row],[Quantity delivered]]*VLOOKUP(Delivery[[#This Row],[Unit]],References!$U:$X,4,FALSE)*VLOOKUP(CONCATENATE(Delivery[[#This Row],[Coffee specie]],Delivery[[#This Row],[Coffee state]]),References!$U:$X,4,FALSE)</f>
        <v>29700</v>
      </c>
      <c r="AB1129" s="202">
        <f>SUMIF(Allocation!C:C,Delivery[[#This Row],[Delivery ID]],Allocation!D:D)/Delivery[[#This Row],[Quantity delivered]]</f>
        <v>0.21740740740740741</v>
      </c>
      <c r="AC1129" s="203">
        <f>Delivery[[#This Row],[Quantity delivered]]*Delivery[[#This Row],[Base price (Unidad)]]/60</f>
        <v>215648.48250000001</v>
      </c>
      <c r="AD1129" s="204">
        <f>Delivery[[#This Row],[Nespresso total]]-Delivery[[#This Row],[Qt. Delivery * Base Price]]</f>
        <v>-13315.745680380031</v>
      </c>
      <c r="AE1129" s="204">
        <f>Delivery[[#This Row],[AAA Premium (total)]]/Delivery[[#This Row],[Quantity delivered]]*60/Delivery[[#This Row],[Exchange rate VS USD]]</f>
        <v>7</v>
      </c>
      <c r="AF1129" s="204">
        <f>Delivery[[#This Row],[BEN premium (total)]]/Delivery[[#This Row],[Quantity delivered]]*60/Delivery[[#This Row],[Exchange rate for premiums VS USD]]</f>
        <v>1.8570664000000001</v>
      </c>
      <c r="AG1129" s="204">
        <f>COUNTIF(Delivery[Delivery ID],Delivery[[#This Row],[Delivery ID]])</f>
        <v>1</v>
      </c>
      <c r="AH1129" s="204">
        <f>(Delivery[[#This Row],[Nespresso total]]/SUMIF(Allocation!C:C,Delivery[Delivery ID],Allocation!H:H))/Delivery[[#This Row],[Exchange rate VS USD]]</f>
        <v>29.566631325858356</v>
      </c>
      <c r="AI1129" s="204">
        <f>(Delivery[[#This Row],[AAA Premium (total)]]/SUMIF(Allocation!C:C,Delivery[Delivery ID],Allocation!H:H))/Delivery[[#This Row],[Exchange rate VS USD]]</f>
        <v>1.9164823008849556</v>
      </c>
      <c r="AJ1129" s="204">
        <f>Delivery[[#This Row],[Valor Prêmio Nespresso AAA por Kg (em US$)]]*60</f>
        <v>114.98893805309734</v>
      </c>
      <c r="AK1129" s="204">
        <f>Delivery[[#This Row],[Valor Prêmio Nespresso AAA por saca (em US$)]]/1.3228/100</f>
        <v>0.86928438201615776</v>
      </c>
      <c r="AL1129" s="204">
        <f>(Delivery[[#This Row],[BEN premium (total)]]/SUMIF(Allocation!C:C,Delivery[Delivery ID],Allocation!H:H))/Delivery[[#This Row],[Exchange rate for premiums VS USD]]</f>
        <v>0.50843355530973455</v>
      </c>
      <c r="AM1129" s="204">
        <f>Delivery[[#This Row],[Valor Prêmio Nespresso BEN por Kg (em US$)]]*60</f>
        <v>30.506013318584074</v>
      </c>
      <c r="AN1129" s="204">
        <f>Delivery[[#This Row],[Valor Prêmio Nespresso BEN por saca (em US$)]]/1.3228/100</f>
        <v>0.23061697398385297</v>
      </c>
      <c r="AO1129" s="204">
        <f>SUMIF(Allocation[Delivery ID],Delivery[[#This Row],[Delivery ID]],Allocation[Quantity allocated])*16*1.3228*Delivery[[#This Row],[Exchange rate VS USD]]/60</f>
        <v>2413.9442090666662</v>
      </c>
      <c r="AP1129" s="204">
        <f>Delivery[[#This Row],[AAA Premium (total)]]</f>
        <v>13115.025</v>
      </c>
      <c r="AQ1129" s="204">
        <f>Delivery[[#This Row],[Valor pago pelo Cluster]]-Delivery[[#This Row],[Valor efetivamente pago pela Nespresso]]</f>
        <v>10701.080790933334</v>
      </c>
    </row>
    <row r="1130" spans="1:43" ht="15.75">
      <c r="A1130" s="174" t="s">
        <v>69</v>
      </c>
      <c r="B1130" s="232" t="s">
        <v>68</v>
      </c>
      <c r="C1130" s="157">
        <v>1</v>
      </c>
      <c r="D1130" s="157" t="s">
        <v>468</v>
      </c>
      <c r="E1130" s="177" t="s">
        <v>468</v>
      </c>
      <c r="F1130" s="233" t="s">
        <v>543</v>
      </c>
      <c r="G1130" s="234">
        <v>43427</v>
      </c>
      <c r="H1130" s="157" t="s">
        <v>1759</v>
      </c>
      <c r="I1130" s="236" t="s">
        <v>1760</v>
      </c>
      <c r="J1130" s="237">
        <v>26600</v>
      </c>
      <c r="K1130" s="175" t="s">
        <v>61</v>
      </c>
      <c r="L1130" s="175" t="s">
        <v>439</v>
      </c>
      <c r="M1130" s="175" t="s">
        <v>1343</v>
      </c>
      <c r="N1130" s="198"/>
      <c r="O1130" s="199"/>
      <c r="P1130" s="181">
        <v>0</v>
      </c>
      <c r="Q1130" s="177">
        <v>43424</v>
      </c>
      <c r="R1130" s="178">
        <v>431.80967500000003</v>
      </c>
      <c r="S1130" s="179">
        <v>189086.32</v>
      </c>
      <c r="T1130" s="182" t="s">
        <v>45</v>
      </c>
      <c r="U1130" s="183">
        <v>3.7565</v>
      </c>
      <c r="V1130" s="179">
        <v>11767</v>
      </c>
      <c r="W1130" s="179">
        <v>0</v>
      </c>
      <c r="X1130" s="196" t="s">
        <v>45</v>
      </c>
      <c r="Y1130" s="200">
        <v>3.7565</v>
      </c>
      <c r="Z1130" s="220"/>
      <c r="AA1130" s="201">
        <f>Delivery[[#This Row],[Quantity delivered]]*VLOOKUP(Delivery[[#This Row],[Unit]],References!$U:$X,4,FALSE)*VLOOKUP(CONCATENATE(Delivery[[#This Row],[Coffee specie]],Delivery[[#This Row],[Coffee state]]),References!$U:$X,4,FALSE)</f>
        <v>26600</v>
      </c>
      <c r="AB1130" s="202">
        <f>SUMIF(Allocation!C:C,Delivery[[#This Row],[Delivery ID]],Allocation!D:D)/Delivery[[#This Row],[Quantity delivered]]</f>
        <v>1</v>
      </c>
      <c r="AC1130" s="203">
        <f>Delivery[[#This Row],[Quantity delivered]]*Delivery[[#This Row],[Base price (Unidad)]]/60</f>
        <v>191435.62258333334</v>
      </c>
      <c r="AD1130" s="204">
        <f>Delivery[[#This Row],[Nespresso total]]-Delivery[[#This Row],[Qt. Delivery * Base Price]]</f>
        <v>-2349.3025833333377</v>
      </c>
      <c r="AE1130" s="204">
        <f>Delivery[[#This Row],[AAA Premium (total)]]/Delivery[[#This Row],[Quantity delivered]]*60/Delivery[[#This Row],[Exchange rate VS USD]]</f>
        <v>7.0656476143106328</v>
      </c>
      <c r="AF1130" s="204">
        <f>Delivery[[#This Row],[BEN premium (total)]]/Delivery[[#This Row],[Quantity delivered]]*60/Delivery[[#This Row],[Exchange rate for premiums VS USD]]</f>
        <v>0</v>
      </c>
      <c r="AG1130" s="204">
        <f>COUNTIF(Delivery[Delivery ID],Delivery[[#This Row],[Delivery ID]])</f>
        <v>1</v>
      </c>
      <c r="AH1130" s="204">
        <f>(Delivery[[#This Row],[Nespresso total]]/SUMIF(Allocation!C:C,Delivery[Delivery ID],Allocation!H:H))/Delivery[[#This Row],[Exchange rate VS USD]]</f>
        <v>6.3077406013369641</v>
      </c>
      <c r="AI1130" s="204">
        <f>(Delivery[[#This Row],[AAA Premium (total)]]/SUMIF(Allocation!C:C,Delivery[Delivery ID],Allocation!H:H))/Delivery[[#This Row],[Exchange rate VS USD]]</f>
        <v>0.39253597857281297</v>
      </c>
      <c r="AJ1130" s="204">
        <f>Delivery[[#This Row],[Valor Prêmio Nespresso AAA por Kg (em US$)]]*60</f>
        <v>23.55215871436878</v>
      </c>
      <c r="AK1130" s="204">
        <f>Delivery[[#This Row],[Valor Prêmio Nespresso AAA por saca (em US$)]]/1.3228/100</f>
        <v>0.17804776772277578</v>
      </c>
      <c r="AL1130" s="204">
        <f>(Delivery[[#This Row],[BEN premium (total)]]/SUMIF(Allocation!C:C,Delivery[Delivery ID],Allocation!H:H))/Delivery[[#This Row],[Exchange rate for premiums VS USD]]</f>
        <v>0</v>
      </c>
      <c r="AM1130" s="204">
        <f>Delivery[[#This Row],[Valor Prêmio Nespresso BEN por Kg (em US$)]]*60</f>
        <v>0</v>
      </c>
      <c r="AN1130" s="204">
        <f>Delivery[[#This Row],[Valor Prêmio Nespresso BEN por saca (em US$)]]/1.3228/100</f>
        <v>0</v>
      </c>
      <c r="AO1130" s="204">
        <f>SUMIF(Allocation[Delivery ID],Delivery[[#This Row],[Delivery ID]],Allocation[Quantity allocated])*16*1.3228*Delivery[[#This Row],[Exchange rate VS USD]]/60</f>
        <v>10574.2409696</v>
      </c>
      <c r="AP1130" s="204">
        <f>Delivery[[#This Row],[AAA Premium (total)]]</f>
        <v>11767</v>
      </c>
      <c r="AQ1130" s="204">
        <f>Delivery[[#This Row],[Valor pago pelo Cluster]]-Delivery[[#This Row],[Valor efetivamente pago pela Nespresso]]</f>
        <v>1192.7590304000005</v>
      </c>
    </row>
    <row r="1131" spans="1:43" ht="15.75">
      <c r="A1131" s="174" t="s">
        <v>69</v>
      </c>
      <c r="B1131" s="232" t="s">
        <v>68</v>
      </c>
      <c r="C1131" s="157">
        <v>1</v>
      </c>
      <c r="D1131" s="157" t="s">
        <v>468</v>
      </c>
      <c r="E1131" s="177" t="s">
        <v>468</v>
      </c>
      <c r="F1131" s="233" t="s">
        <v>543</v>
      </c>
      <c r="G1131" s="234">
        <v>43427</v>
      </c>
      <c r="H1131" s="157" t="s">
        <v>1761</v>
      </c>
      <c r="I1131" s="236" t="s">
        <v>1760</v>
      </c>
      <c r="J1131" s="237">
        <v>5962</v>
      </c>
      <c r="K1131" s="175" t="s">
        <v>61</v>
      </c>
      <c r="L1131" s="175" t="s">
        <v>439</v>
      </c>
      <c r="M1131" s="175" t="s">
        <v>1343</v>
      </c>
      <c r="N1131" s="198"/>
      <c r="O1131" s="199"/>
      <c r="P1131" s="181">
        <v>0</v>
      </c>
      <c r="Q1131" s="177">
        <v>43424</v>
      </c>
      <c r="R1131" s="178">
        <v>431.80967500000003</v>
      </c>
      <c r="S1131" s="179">
        <v>42176.97</v>
      </c>
      <c r="T1131" s="182" t="s">
        <v>45</v>
      </c>
      <c r="U1131" s="183">
        <v>3.7565</v>
      </c>
      <c r="V1131" s="179">
        <v>2629.73</v>
      </c>
      <c r="W1131" s="179">
        <v>0</v>
      </c>
      <c r="X1131" s="196" t="s">
        <v>45</v>
      </c>
      <c r="Y1131" s="200">
        <v>3.7565</v>
      </c>
      <c r="Z1131" s="220"/>
      <c r="AA1131" s="201">
        <f>Delivery[[#This Row],[Quantity delivered]]*VLOOKUP(Delivery[[#This Row],[Unit]],References!$U:$X,4,FALSE)*VLOOKUP(CONCATENATE(Delivery[[#This Row],[Coffee specie]],Delivery[[#This Row],[Coffee state]]),References!$U:$X,4,FALSE)</f>
        <v>5962</v>
      </c>
      <c r="AB1131" s="202">
        <f>SUMIF(Allocation!C:C,Delivery[[#This Row],[Delivery ID]],Allocation!D:D)/Delivery[[#This Row],[Quantity delivered]]</f>
        <v>1</v>
      </c>
      <c r="AC1131" s="203">
        <f>Delivery[[#This Row],[Quantity delivered]]*Delivery[[#This Row],[Base price (Unidad)]]/60</f>
        <v>42907.488039166667</v>
      </c>
      <c r="AD1131" s="204">
        <f>Delivery[[#This Row],[Nespresso total]]-Delivery[[#This Row],[Qt. Delivery * Base Price]]</f>
        <v>-730.5180391666654</v>
      </c>
      <c r="AE1131" s="204">
        <f>Delivery[[#This Row],[AAA Premium (total)]]/Delivery[[#This Row],[Quantity delivered]]*60/Delivery[[#This Row],[Exchange rate VS USD]]</f>
        <v>7.0450981242264055</v>
      </c>
      <c r="AF1131" s="204">
        <f>Delivery[[#This Row],[BEN premium (total)]]/Delivery[[#This Row],[Quantity delivered]]*60/Delivery[[#This Row],[Exchange rate for premiums VS USD]]</f>
        <v>0</v>
      </c>
      <c r="AG1131" s="204">
        <f>COUNTIF(Delivery[Delivery ID],Delivery[[#This Row],[Delivery ID]])</f>
        <v>1</v>
      </c>
      <c r="AH1131" s="204">
        <f>(Delivery[[#This Row],[Nespresso total]]/SUMIF(Allocation!C:C,Delivery[Delivery ID],Allocation!H:H))/Delivery[[#This Row],[Exchange rate VS USD]]</f>
        <v>6.2759813305158341</v>
      </c>
      <c r="AI1131" s="204">
        <f>(Delivery[[#This Row],[AAA Premium (total)]]/SUMIF(Allocation!C:C,Delivery[Delivery ID],Allocation!H:H))/Delivery[[#This Row],[Exchange rate VS USD]]</f>
        <v>0.39130682892340068</v>
      </c>
      <c r="AJ1131" s="204">
        <f>Delivery[[#This Row],[Valor Prêmio Nespresso AAA por Kg (em US$)]]*60</f>
        <v>23.478409735404043</v>
      </c>
      <c r="AK1131" s="204">
        <f>Delivery[[#This Row],[Valor Prêmio Nespresso AAA por saca (em US$)]]/1.3228/100</f>
        <v>0.1774902459586033</v>
      </c>
      <c r="AL1131" s="204">
        <f>(Delivery[[#This Row],[BEN premium (total)]]/SUMIF(Allocation!C:C,Delivery[Delivery ID],Allocation!H:H))/Delivery[[#This Row],[Exchange rate for premiums VS USD]]</f>
        <v>0</v>
      </c>
      <c r="AM1131" s="204">
        <f>Delivery[[#This Row],[Valor Prêmio Nespresso BEN por Kg (em US$)]]*60</f>
        <v>0</v>
      </c>
      <c r="AN1131" s="204">
        <f>Delivery[[#This Row],[Valor Prêmio Nespresso BEN por saca (em US$)]]/1.3228/100</f>
        <v>0</v>
      </c>
      <c r="AO1131" s="204">
        <f>SUMIF(Allocation[Delivery ID],Delivery[[#This Row],[Delivery ID]],Allocation[Quantity allocated])*16*1.3228*Delivery[[#This Row],[Exchange rate VS USD]]/60</f>
        <v>2370.5911146133335</v>
      </c>
      <c r="AP1131" s="204">
        <f>Delivery[[#This Row],[AAA Premium (total)]]</f>
        <v>2629.73</v>
      </c>
      <c r="AQ1131" s="204">
        <f>Delivery[[#This Row],[Valor pago pelo Cluster]]-Delivery[[#This Row],[Valor efetivamente pago pela Nespresso]]</f>
        <v>259.13888538666652</v>
      </c>
    </row>
    <row r="1132" spans="1:43" ht="15.75">
      <c r="A1132" s="174" t="s">
        <v>69</v>
      </c>
      <c r="B1132" s="232" t="s">
        <v>68</v>
      </c>
      <c r="C1132" s="157">
        <v>1</v>
      </c>
      <c r="D1132" s="157" t="s">
        <v>468</v>
      </c>
      <c r="E1132" s="177" t="s">
        <v>468</v>
      </c>
      <c r="F1132" s="233" t="s">
        <v>543</v>
      </c>
      <c r="G1132" s="234">
        <v>43427</v>
      </c>
      <c r="H1132" s="157" t="s">
        <v>1762</v>
      </c>
      <c r="I1132" s="236" t="s">
        <v>1760</v>
      </c>
      <c r="J1132" s="237">
        <v>20718</v>
      </c>
      <c r="K1132" s="175" t="s">
        <v>61</v>
      </c>
      <c r="L1132" s="175" t="s">
        <v>439</v>
      </c>
      <c r="M1132" s="175" t="s">
        <v>1343</v>
      </c>
      <c r="N1132" s="198"/>
      <c r="O1132" s="199"/>
      <c r="P1132" s="181">
        <v>0</v>
      </c>
      <c r="Q1132" s="177">
        <v>43424</v>
      </c>
      <c r="R1132" s="178">
        <v>431.80967500000003</v>
      </c>
      <c r="S1132" s="179">
        <v>146554.32</v>
      </c>
      <c r="T1132" s="182" t="s">
        <v>45</v>
      </c>
      <c r="U1132" s="183">
        <v>3.7565</v>
      </c>
      <c r="V1132" s="179">
        <v>9134.67</v>
      </c>
      <c r="W1132" s="179">
        <v>0</v>
      </c>
      <c r="X1132" s="196" t="s">
        <v>45</v>
      </c>
      <c r="Y1132" s="200">
        <v>3.7565</v>
      </c>
      <c r="Z1132" s="220"/>
      <c r="AA1132" s="201">
        <f>Delivery[[#This Row],[Quantity delivered]]*VLOOKUP(Delivery[[#This Row],[Unit]],References!$U:$X,4,FALSE)*VLOOKUP(CONCATENATE(Delivery[[#This Row],[Coffee specie]],Delivery[[#This Row],[Coffee state]]),References!$U:$X,4,FALSE)</f>
        <v>20718</v>
      </c>
      <c r="AB1132" s="202">
        <f>SUMIF(Allocation!C:C,Delivery[[#This Row],[Delivery ID]],Allocation!D:D)/Delivery[[#This Row],[Quantity delivered]]</f>
        <v>1</v>
      </c>
      <c r="AC1132" s="203">
        <f>Delivery[[#This Row],[Quantity delivered]]*Delivery[[#This Row],[Base price (Unidad)]]/60</f>
        <v>149103.88077750002</v>
      </c>
      <c r="AD1132" s="204">
        <f>Delivery[[#This Row],[Nespresso total]]-Delivery[[#This Row],[Qt. Delivery * Base Price]]</f>
        <v>-2549.5607775000099</v>
      </c>
      <c r="AE1132" s="204">
        <f>Delivery[[#This Row],[AAA Premium (total)]]/Delivery[[#This Row],[Quantity delivered]]*60/Delivery[[#This Row],[Exchange rate VS USD]]</f>
        <v>7.0422735546830335</v>
      </c>
      <c r="AF1132" s="204">
        <f>Delivery[[#This Row],[BEN premium (total)]]/Delivery[[#This Row],[Quantity delivered]]*60/Delivery[[#This Row],[Exchange rate for premiums VS USD]]</f>
        <v>0</v>
      </c>
      <c r="AG1132" s="204">
        <f>COUNTIF(Delivery[Delivery ID],Delivery[[#This Row],[Delivery ID]])</f>
        <v>1</v>
      </c>
      <c r="AH1132" s="204">
        <f>(Delivery[[#This Row],[Nespresso total]]/SUMIF(Allocation!C:C,Delivery[Delivery ID],Allocation!H:H))/Delivery[[#This Row],[Exchange rate VS USD]]</f>
        <v>6.2763076818713719</v>
      </c>
      <c r="AI1132" s="204">
        <f>(Delivery[[#This Row],[AAA Premium (total)]]/SUMIF(Allocation!C:C,Delivery[Delivery ID],Allocation!H:H))/Delivery[[#This Row],[Exchange rate VS USD]]</f>
        <v>0.3911996554749117</v>
      </c>
      <c r="AJ1132" s="204">
        <f>Delivery[[#This Row],[Valor Prêmio Nespresso AAA por Kg (em US$)]]*60</f>
        <v>23.471979328494701</v>
      </c>
      <c r="AK1132" s="204">
        <f>Delivery[[#This Row],[Valor Prêmio Nespresso AAA por saca (em US$)]]/1.3228/100</f>
        <v>0.17744163387129347</v>
      </c>
      <c r="AL1132" s="204">
        <f>(Delivery[[#This Row],[BEN premium (total)]]/SUMIF(Allocation!C:C,Delivery[Delivery ID],Allocation!H:H))/Delivery[[#This Row],[Exchange rate for premiums VS USD]]</f>
        <v>0</v>
      </c>
      <c r="AM1132" s="204">
        <f>Delivery[[#This Row],[Valor Prêmio Nespresso BEN por Kg (em US$)]]*60</f>
        <v>0</v>
      </c>
      <c r="AN1132" s="204">
        <f>Delivery[[#This Row],[Valor Prêmio Nespresso BEN por saca (em US$)]]/1.3228/100</f>
        <v>0</v>
      </c>
      <c r="AO1132" s="204">
        <f>SUMIF(Allocation[Delivery ID],Delivery[[#This Row],[Delivery ID]],Allocation[Quantity allocated])*16*1.3228*Delivery[[#This Row],[Exchange rate VS USD]]/60</f>
        <v>8236.777176319998</v>
      </c>
      <c r="AP1132" s="204">
        <f>Delivery[[#This Row],[AAA Premium (total)]]</f>
        <v>9134.67</v>
      </c>
      <c r="AQ1132" s="204">
        <f>Delivery[[#This Row],[Valor pago pelo Cluster]]-Delivery[[#This Row],[Valor efetivamente pago pela Nespresso]]</f>
        <v>897.89282368000204</v>
      </c>
    </row>
    <row r="1133" spans="1:43" ht="15.75">
      <c r="A1133" s="174" t="s">
        <v>69</v>
      </c>
      <c r="B1133" s="232" t="s">
        <v>68</v>
      </c>
      <c r="C1133" s="157" t="s">
        <v>1344</v>
      </c>
      <c r="D1133" s="157" t="s">
        <v>468</v>
      </c>
      <c r="E1133" s="177" t="s">
        <v>468</v>
      </c>
      <c r="F1133" s="233" t="s">
        <v>543</v>
      </c>
      <c r="G1133" s="234">
        <v>43425</v>
      </c>
      <c r="H1133" s="157" t="s">
        <v>1763</v>
      </c>
      <c r="I1133" s="157" t="s">
        <v>1742</v>
      </c>
      <c r="J1133" s="237">
        <v>38350</v>
      </c>
      <c r="K1133" s="175" t="s">
        <v>61</v>
      </c>
      <c r="L1133" s="175" t="s">
        <v>439</v>
      </c>
      <c r="M1133" s="175" t="s">
        <v>1343</v>
      </c>
      <c r="N1133" s="198"/>
      <c r="O1133" s="199"/>
      <c r="P1133" s="181">
        <v>0</v>
      </c>
      <c r="Q1133" s="177">
        <v>43416</v>
      </c>
      <c r="R1133" s="178">
        <v>428.67824999999999</v>
      </c>
      <c r="S1133" s="179">
        <v>284670.71999999997</v>
      </c>
      <c r="T1133" s="182" t="s">
        <v>45</v>
      </c>
      <c r="U1133" s="183">
        <v>3.7686000000000002</v>
      </c>
      <c r="V1133" s="179">
        <v>24121.599999999999</v>
      </c>
      <c r="W1133" s="179">
        <v>0</v>
      </c>
      <c r="X1133" s="196" t="s">
        <v>45</v>
      </c>
      <c r="Y1133" s="200">
        <v>3.7686000000000002</v>
      </c>
      <c r="Z1133" s="220"/>
      <c r="AA1133" s="201">
        <f>Delivery[[#This Row],[Quantity delivered]]*VLOOKUP(Delivery[[#This Row],[Unit]],References!$U:$X,4,FALSE)*VLOOKUP(CONCATENATE(Delivery[[#This Row],[Coffee specie]],Delivery[[#This Row],[Coffee state]]),References!$U:$X,4,FALSE)</f>
        <v>38350</v>
      </c>
      <c r="AB1133" s="202">
        <f>SUMIF(Allocation!C:C,Delivery[[#This Row],[Delivery ID]],Allocation!D:D)/Delivery[[#This Row],[Quantity delivered]]</f>
        <v>0.81661016949152543</v>
      </c>
      <c r="AC1133" s="203">
        <f>Delivery[[#This Row],[Quantity delivered]]*Delivery[[#This Row],[Base price (Unidad)]]/60</f>
        <v>273996.84812499996</v>
      </c>
      <c r="AD1133" s="204">
        <f>Delivery[[#This Row],[Nespresso total]]-Delivery[[#This Row],[Qt. Delivery * Base Price]]</f>
        <v>10673.871875000012</v>
      </c>
      <c r="AE1133" s="204">
        <f>Delivery[[#This Row],[AAA Premium (total)]]/Delivery[[#This Row],[Quantity delivered]]*60/Delivery[[#This Row],[Exchange rate VS USD]]</f>
        <v>10.014100595596037</v>
      </c>
      <c r="AF1133" s="204">
        <f>Delivery[[#This Row],[BEN premium (total)]]/Delivery[[#This Row],[Quantity delivered]]*60/Delivery[[#This Row],[Exchange rate for premiums VS USD]]</f>
        <v>0</v>
      </c>
      <c r="AG1133" s="204">
        <f>COUNTIF(Delivery[Delivery ID],Delivery[[#This Row],[Delivery ID]])</f>
        <v>1</v>
      </c>
      <c r="AH1133" s="204">
        <f>(Delivery[[#This Row],[Nespresso total]]/SUMIF(Allocation!C:C,Delivery[Delivery ID],Allocation!H:H))/Delivery[[#This Row],[Exchange rate VS USD]]</f>
        <v>4.7293717675730322</v>
      </c>
      <c r="AI1133" s="204">
        <f>(Delivery[[#This Row],[AAA Premium (total)]]/SUMIF(Allocation!C:C,Delivery[Delivery ID],Allocation!H:H))/Delivery[[#This Row],[Exchange rate VS USD]]</f>
        <v>0.40074375766039327</v>
      </c>
      <c r="AJ1133" s="204">
        <f>Delivery[[#This Row],[Valor Prêmio Nespresso AAA por Kg (em US$)]]*60</f>
        <v>24.044625459623596</v>
      </c>
      <c r="AK1133" s="204">
        <f>Delivery[[#This Row],[Valor Prêmio Nespresso AAA por saca (em US$)]]/1.3228/100</f>
        <v>0.18177067931375565</v>
      </c>
      <c r="AL1133" s="204">
        <f>(Delivery[[#This Row],[BEN premium (total)]]/SUMIF(Allocation!C:C,Delivery[Delivery ID],Allocation!H:H))/Delivery[[#This Row],[Exchange rate for premiums VS USD]]</f>
        <v>0</v>
      </c>
      <c r="AM1133" s="204">
        <f>Delivery[[#This Row],[Valor Prêmio Nespresso BEN por Kg (em US$)]]*60</f>
        <v>0</v>
      </c>
      <c r="AN1133" s="204">
        <f>Delivery[[#This Row],[Valor Prêmio Nespresso BEN por saca (em US$)]]/1.3228/100</f>
        <v>0</v>
      </c>
      <c r="AO1133" s="204">
        <f>SUMIF(Allocation[Delivery ID],Delivery[[#This Row],[Delivery ID]],Allocation[Quantity allocated])*16*1.3228*Delivery[[#This Row],[Exchange rate VS USD]]/60</f>
        <v>21232.555297536001</v>
      </c>
      <c r="AP1133" s="204">
        <f>Delivery[[#This Row],[AAA Premium (total)]]</f>
        <v>24121.599999999999</v>
      </c>
      <c r="AQ1133" s="204">
        <f>Delivery[[#This Row],[Valor pago pelo Cluster]]-Delivery[[#This Row],[Valor efetivamente pago pela Nespresso]]</f>
        <v>2889.044702463998</v>
      </c>
    </row>
    <row r="1134" spans="1:43" ht="15.75">
      <c r="A1134" s="174" t="s">
        <v>69</v>
      </c>
      <c r="B1134" s="232" t="s">
        <v>68</v>
      </c>
      <c r="C1134" s="157" t="s">
        <v>1344</v>
      </c>
      <c r="D1134" s="157" t="s">
        <v>468</v>
      </c>
      <c r="E1134" s="177" t="s">
        <v>468</v>
      </c>
      <c r="F1134" s="233" t="s">
        <v>543</v>
      </c>
      <c r="G1134" s="234">
        <v>43425</v>
      </c>
      <c r="H1134" s="157" t="s">
        <v>1764</v>
      </c>
      <c r="I1134" s="157" t="s">
        <v>1742</v>
      </c>
      <c r="J1134" s="237">
        <v>23880</v>
      </c>
      <c r="K1134" s="175" t="s">
        <v>61</v>
      </c>
      <c r="L1134" s="175" t="s">
        <v>439</v>
      </c>
      <c r="M1134" s="175" t="s">
        <v>1343</v>
      </c>
      <c r="N1134" s="198"/>
      <c r="O1134" s="199"/>
      <c r="P1134" s="181">
        <v>0</v>
      </c>
      <c r="Q1134" s="177">
        <v>43416</v>
      </c>
      <c r="R1134" s="178">
        <v>428.67824999999999</v>
      </c>
      <c r="S1134" s="179">
        <v>177029.6</v>
      </c>
      <c r="T1134" s="182" t="s">
        <v>45</v>
      </c>
      <c r="U1134" s="183">
        <v>3.7686000000000002</v>
      </c>
      <c r="V1134" s="179">
        <v>15000.61</v>
      </c>
      <c r="W1134" s="179">
        <v>0</v>
      </c>
      <c r="X1134" s="196" t="s">
        <v>45</v>
      </c>
      <c r="Y1134" s="200">
        <v>3.7686000000000002</v>
      </c>
      <c r="Z1134" s="220"/>
      <c r="AA1134" s="201">
        <f>Delivery[[#This Row],[Quantity delivered]]*VLOOKUP(Delivery[[#This Row],[Unit]],References!$U:$X,4,FALSE)*VLOOKUP(CONCATENATE(Delivery[[#This Row],[Coffee specie]],Delivery[[#This Row],[Coffee state]]),References!$U:$X,4,FALSE)</f>
        <v>23880</v>
      </c>
      <c r="AB1134" s="202">
        <f>SUMIF(Allocation!C:C,Delivery[[#This Row],[Delivery ID]],Allocation!D:D)/Delivery[[#This Row],[Quantity delivered]]</f>
        <v>0.64334170854271355</v>
      </c>
      <c r="AC1134" s="203">
        <f>Delivery[[#This Row],[Quantity delivered]]*Delivery[[#This Row],[Base price (Unidad)]]/60</f>
        <v>170613.94349999999</v>
      </c>
      <c r="AD1134" s="204">
        <f>Delivery[[#This Row],[Nespresso total]]-Delivery[[#This Row],[Qt. Delivery * Base Price]]</f>
        <v>6415.6565000000119</v>
      </c>
      <c r="AE1134" s="204">
        <f>Delivery[[#This Row],[AAA Premium (total)]]/Delivery[[#This Row],[Quantity delivered]]*60/Delivery[[#This Row],[Exchange rate VS USD]]</f>
        <v>10.001054735013495</v>
      </c>
      <c r="AF1134" s="204">
        <f>Delivery[[#This Row],[BEN premium (total)]]/Delivery[[#This Row],[Quantity delivered]]*60/Delivery[[#This Row],[Exchange rate for premiums VS USD]]</f>
        <v>0</v>
      </c>
      <c r="AG1134" s="204">
        <f>COUNTIF(Delivery[Delivery ID],Delivery[[#This Row],[Delivery ID]])</f>
        <v>1</v>
      </c>
      <c r="AH1134" s="204">
        <f>(Delivery[[#This Row],[Nespresso total]]/SUMIF(Allocation!C:C,Delivery[Delivery ID],Allocation!H:H))/Delivery[[#This Row],[Exchange rate VS USD]]</f>
        <v>5.9955198264258707</v>
      </c>
      <c r="AI1134" s="204">
        <f>(Delivery[[#This Row],[AAA Premium (total)]]/SUMIF(Allocation!C:C,Delivery[Delivery ID],Allocation!H:H))/Delivery[[#This Row],[Exchange rate VS USD]]</f>
        <v>0.50803060428020053</v>
      </c>
      <c r="AJ1134" s="204">
        <f>Delivery[[#This Row],[Valor Prêmio Nespresso AAA por Kg (em US$)]]*60</f>
        <v>30.481836256812031</v>
      </c>
      <c r="AK1134" s="204">
        <f>Delivery[[#This Row],[Valor Prêmio Nespresso AAA por saca (em US$)]]/1.3228/100</f>
        <v>0.23043420212286084</v>
      </c>
      <c r="AL1134" s="204">
        <f>(Delivery[[#This Row],[BEN premium (total)]]/SUMIF(Allocation!C:C,Delivery[Delivery ID],Allocation!H:H))/Delivery[[#This Row],[Exchange rate for premiums VS USD]]</f>
        <v>0</v>
      </c>
      <c r="AM1134" s="204">
        <f>Delivery[[#This Row],[Valor Prêmio Nespresso BEN por Kg (em US$)]]*60</f>
        <v>0</v>
      </c>
      <c r="AN1134" s="204">
        <f>Delivery[[#This Row],[Valor Prêmio Nespresso BEN por saca (em US$)]]/1.3228/100</f>
        <v>0</v>
      </c>
      <c r="AO1134" s="204">
        <f>SUMIF(Allocation[Delivery ID],Delivery[[#This Row],[Delivery ID]],Allocation[Quantity allocated])*16*1.3228*Delivery[[#This Row],[Exchange rate VS USD]]/60</f>
        <v>10415.544124479999</v>
      </c>
      <c r="AP1134" s="204">
        <f>Delivery[[#This Row],[AAA Premium (total)]]</f>
        <v>15000.61</v>
      </c>
      <c r="AQ1134" s="204">
        <f>Delivery[[#This Row],[Valor pago pelo Cluster]]-Delivery[[#This Row],[Valor efetivamente pago pela Nespresso]]</f>
        <v>4585.065875520002</v>
      </c>
    </row>
    <row r="1135" spans="1:43" ht="15.75">
      <c r="A1135" s="174" t="s">
        <v>69</v>
      </c>
      <c r="B1135" s="232" t="s">
        <v>68</v>
      </c>
      <c r="C1135" s="157" t="s">
        <v>1344</v>
      </c>
      <c r="D1135" s="157" t="s">
        <v>468</v>
      </c>
      <c r="E1135" s="177" t="s">
        <v>468</v>
      </c>
      <c r="F1135" s="233" t="s">
        <v>543</v>
      </c>
      <c r="G1135" s="234">
        <v>43427</v>
      </c>
      <c r="H1135" s="157" t="s">
        <v>1765</v>
      </c>
      <c r="I1135" s="157" t="s">
        <v>1742</v>
      </c>
      <c r="J1135" s="237">
        <v>7740</v>
      </c>
      <c r="K1135" s="175" t="s">
        <v>61</v>
      </c>
      <c r="L1135" s="175" t="s">
        <v>439</v>
      </c>
      <c r="M1135" s="175" t="s">
        <v>1343</v>
      </c>
      <c r="N1135" s="198"/>
      <c r="O1135" s="199"/>
      <c r="P1135" s="181">
        <v>0</v>
      </c>
      <c r="Q1135" s="177">
        <v>43416</v>
      </c>
      <c r="R1135" s="178">
        <v>428.67824999999999</v>
      </c>
      <c r="S1135" s="179">
        <v>57378.94</v>
      </c>
      <c r="T1135" s="182" t="s">
        <v>45</v>
      </c>
      <c r="U1135" s="183">
        <v>3.7686000000000002</v>
      </c>
      <c r="V1135" s="179">
        <v>4862</v>
      </c>
      <c r="W1135" s="179">
        <v>0</v>
      </c>
      <c r="X1135" s="196" t="s">
        <v>45</v>
      </c>
      <c r="Y1135" s="200">
        <v>3.7686000000000002</v>
      </c>
      <c r="Z1135" s="220"/>
      <c r="AA1135" s="201">
        <f>Delivery[[#This Row],[Quantity delivered]]*VLOOKUP(Delivery[[#This Row],[Unit]],References!$U:$X,4,FALSE)*VLOOKUP(CONCATENATE(Delivery[[#This Row],[Coffee specie]],Delivery[[#This Row],[Coffee state]]),References!$U:$X,4,FALSE)</f>
        <v>7740</v>
      </c>
      <c r="AB1135" s="202">
        <f>SUMIF(Allocation!C:C,Delivery[[#This Row],[Delivery ID]],Allocation!D:D)/Delivery[[#This Row],[Quantity delivered]]</f>
        <v>0.64315245478036176</v>
      </c>
      <c r="AC1135" s="203">
        <f>Delivery[[#This Row],[Quantity delivered]]*Delivery[[#This Row],[Base price (Unidad)]]/60</f>
        <v>55299.494249999996</v>
      </c>
      <c r="AD1135" s="204">
        <f>Delivery[[#This Row],[Nespresso total]]-Delivery[[#This Row],[Qt. Delivery * Base Price]]</f>
        <v>2079.4457500000062</v>
      </c>
      <c r="AE1135" s="204">
        <f>Delivery[[#This Row],[AAA Premium (total)]]/Delivery[[#This Row],[Quantity delivered]]*60/Delivery[[#This Row],[Exchange rate VS USD]]</f>
        <v>10.001040832303813</v>
      </c>
      <c r="AF1135" s="204">
        <f>Delivery[[#This Row],[BEN premium (total)]]/Delivery[[#This Row],[Quantity delivered]]*60/Delivery[[#This Row],[Exchange rate for premiums VS USD]]</f>
        <v>0</v>
      </c>
      <c r="AG1135" s="204">
        <f>COUNTIF(Delivery[Delivery ID],Delivery[[#This Row],[Delivery ID]])</f>
        <v>1</v>
      </c>
      <c r="AH1135" s="204">
        <f>(Delivery[[#This Row],[Nespresso total]]/SUMIF(Allocation!C:C,Delivery[Delivery ID],Allocation!H:H))/Delivery[[#This Row],[Exchange rate VS USD]]</f>
        <v>5.9990275917292104</v>
      </c>
      <c r="AI1135" s="204">
        <f>(Delivery[[#This Row],[AAA Premium (total)]]/SUMIF(Allocation!C:C,Delivery[Delivery ID],Allocation!H:H))/Delivery[[#This Row],[Exchange rate VS USD]]</f>
        <v>0.50832713450243971</v>
      </c>
      <c r="AJ1135" s="204">
        <f>Delivery[[#This Row],[Valor Prêmio Nespresso AAA por Kg (em US$)]]*60</f>
        <v>30.499628070146382</v>
      </c>
      <c r="AK1135" s="204">
        <f>Delivery[[#This Row],[Valor Prêmio Nespresso AAA por saca (em US$)]]/1.3228/100</f>
        <v>0.23056870328202589</v>
      </c>
      <c r="AL1135" s="204">
        <f>(Delivery[[#This Row],[BEN premium (total)]]/SUMIF(Allocation!C:C,Delivery[Delivery ID],Allocation!H:H))/Delivery[[#This Row],[Exchange rate for premiums VS USD]]</f>
        <v>0</v>
      </c>
      <c r="AM1135" s="204">
        <f>Delivery[[#This Row],[Valor Prêmio Nespresso BEN por Kg (em US$)]]*60</f>
        <v>0</v>
      </c>
      <c r="AN1135" s="204">
        <f>Delivery[[#This Row],[Valor Prêmio Nespresso BEN por saca (em US$)]]/1.3228/100</f>
        <v>0</v>
      </c>
      <c r="AO1135" s="204">
        <f>SUMIF(Allocation[Delivery ID],Delivery[[#This Row],[Delivery ID]],Allocation[Quantity allocated])*16*1.3228*Delivery[[#This Row],[Exchange rate VS USD]]/60</f>
        <v>3373.9184413440003</v>
      </c>
      <c r="AP1135" s="204">
        <f>Delivery[[#This Row],[AAA Premium (total)]]</f>
        <v>4862</v>
      </c>
      <c r="AQ1135" s="204">
        <f>Delivery[[#This Row],[Valor pago pelo Cluster]]-Delivery[[#This Row],[Valor efetivamente pago pela Nespresso]]</f>
        <v>1488.0815586559997</v>
      </c>
    </row>
    <row r="1136" spans="1:43" ht="15.75">
      <c r="A1136" s="174" t="s">
        <v>69</v>
      </c>
      <c r="B1136" s="232" t="s">
        <v>68</v>
      </c>
      <c r="C1136" s="157">
        <v>1</v>
      </c>
      <c r="D1136" s="157" t="s">
        <v>468</v>
      </c>
      <c r="E1136" s="177" t="s">
        <v>468</v>
      </c>
      <c r="F1136" s="233" t="s">
        <v>541</v>
      </c>
      <c r="G1136" s="234">
        <v>43425</v>
      </c>
      <c r="H1136" s="157" t="s">
        <v>1766</v>
      </c>
      <c r="I1136" s="157" t="s">
        <v>1622</v>
      </c>
      <c r="J1136" s="237">
        <v>10510</v>
      </c>
      <c r="K1136" s="175" t="s">
        <v>61</v>
      </c>
      <c r="L1136" s="175" t="s">
        <v>439</v>
      </c>
      <c r="M1136" s="175" t="s">
        <v>1343</v>
      </c>
      <c r="N1136" s="198"/>
      <c r="O1136" s="199"/>
      <c r="P1136" s="181">
        <v>0</v>
      </c>
      <c r="Q1136" s="177">
        <v>43416</v>
      </c>
      <c r="R1136" s="178">
        <v>429.10296000000005</v>
      </c>
      <c r="S1136" s="179">
        <v>69502.646967928144</v>
      </c>
      <c r="T1136" s="182" t="s">
        <v>45</v>
      </c>
      <c r="U1136" s="183">
        <v>3.7509000000000001</v>
      </c>
      <c r="V1136" s="179">
        <v>6570.3265000000001</v>
      </c>
      <c r="W1136" s="179">
        <v>2440.3065160359201</v>
      </c>
      <c r="X1136" s="196" t="s">
        <v>45</v>
      </c>
      <c r="Y1136" s="200">
        <v>3.7509000000000001</v>
      </c>
      <c r="Z1136" s="220" t="s">
        <v>473</v>
      </c>
      <c r="AA1136" s="201">
        <f>Delivery[[#This Row],[Quantity delivered]]*VLOOKUP(Delivery[[#This Row],[Unit]],References!$U:$X,4,FALSE)*VLOOKUP(CONCATENATE(Delivery[[#This Row],[Coffee specie]],Delivery[[#This Row],[Coffee state]]),References!$U:$X,4,FALSE)</f>
        <v>10510</v>
      </c>
      <c r="AB1136" s="202">
        <f>SUMIF(Allocation!C:C,Delivery[[#This Row],[Delivery ID]],Allocation!D:D)/Delivery[[#This Row],[Quantity delivered]]</f>
        <v>0.2825880114176974</v>
      </c>
      <c r="AC1136" s="203">
        <f>Delivery[[#This Row],[Quantity delivered]]*Delivery[[#This Row],[Base price (Unidad)]]/60</f>
        <v>75164.535160000014</v>
      </c>
      <c r="AD1136" s="204">
        <f>Delivery[[#This Row],[Nespresso total]]-Delivery[[#This Row],[Qt. Delivery * Base Price]]</f>
        <v>-5661.8881920718704</v>
      </c>
      <c r="AE1136" s="204">
        <f>Delivery[[#This Row],[AAA Premium (total)]]/Delivery[[#This Row],[Quantity delivered]]*60/Delivery[[#This Row],[Exchange rate VS USD]]</f>
        <v>10</v>
      </c>
      <c r="AF1136" s="204">
        <f>Delivery[[#This Row],[BEN premium (total)]]/Delivery[[#This Row],[Quantity delivered]]*60/Delivery[[#This Row],[Exchange rate for premiums VS USD]]</f>
        <v>3.7141328000000002</v>
      </c>
      <c r="AG1136" s="204">
        <f>COUNTIF(Delivery[Delivery ID],Delivery[[#This Row],[Delivery ID]])</f>
        <v>1</v>
      </c>
      <c r="AH1136" s="204">
        <f>(Delivery[[#This Row],[Nespresso total]]/SUMIF(Allocation!C:C,Delivery[Delivery ID],Allocation!H:H))/Delivery[[#This Row],[Exchange rate VS USD]]</f>
        <v>11.142268243743874</v>
      </c>
      <c r="AI1136" s="204">
        <f>(Delivery[[#This Row],[AAA Premium (total)]]/SUMIF(Allocation!C:C,Delivery[Delivery ID],Allocation!H:H))/Delivery[[#This Row],[Exchange rate VS USD]]</f>
        <v>1.0533172980557226</v>
      </c>
      <c r="AJ1136" s="204">
        <f>Delivery[[#This Row],[Valor Prêmio Nespresso AAA por Kg (em US$)]]*60</f>
        <v>63.199037883343358</v>
      </c>
      <c r="AK1136" s="204">
        <f>Delivery[[#This Row],[Valor Prêmio Nespresso AAA por saca (em US$)]]/1.3228/100</f>
        <v>0.47776714456715574</v>
      </c>
      <c r="AL1136" s="204">
        <f>(Delivery[[#This Row],[BEN premium (total)]]/SUMIF(Allocation!C:C,Delivery[Delivery ID],Allocation!H:H))/Delivery[[#This Row],[Exchange rate for premiums VS USD]]</f>
        <v>0.39121603255161358</v>
      </c>
      <c r="AM1136" s="204">
        <f>Delivery[[#This Row],[Valor Prêmio Nespresso BEN por Kg (em US$)]]*60</f>
        <v>23.472961953096814</v>
      </c>
      <c r="AN1136" s="204">
        <f>Delivery[[#This Row],[Valor Prêmio Nespresso BEN por saca (em US$)]]/1.3228/100</f>
        <v>0.17744906223992149</v>
      </c>
      <c r="AO1136" s="204">
        <f>SUMIF(Allocation[Delivery ID],Delivery[[#This Row],[Delivery ID]],Allocation[Quantity allocated])*16*1.3228*Delivery[[#This Row],[Exchange rate VS USD]]/60</f>
        <v>2200.3443559360003</v>
      </c>
      <c r="AP1136" s="204">
        <f>Delivery[[#This Row],[AAA Premium (total)]]</f>
        <v>6570.3265000000001</v>
      </c>
      <c r="AQ1136" s="204">
        <f>Delivery[[#This Row],[Valor pago pelo Cluster]]-Delivery[[#This Row],[Valor efetivamente pago pela Nespresso]]</f>
        <v>4369.9821440639998</v>
      </c>
    </row>
    <row r="1137" spans="1:43" ht="15.75">
      <c r="A1137" s="174" t="s">
        <v>69</v>
      </c>
      <c r="B1137" s="232" t="s">
        <v>68</v>
      </c>
      <c r="C1137" s="157" t="s">
        <v>1344</v>
      </c>
      <c r="D1137" s="157" t="s">
        <v>468</v>
      </c>
      <c r="E1137" s="177" t="s">
        <v>468</v>
      </c>
      <c r="F1137" s="233" t="s">
        <v>543</v>
      </c>
      <c r="G1137" s="234">
        <v>43431</v>
      </c>
      <c r="H1137" s="235" t="s">
        <v>1767</v>
      </c>
      <c r="I1137" s="157" t="s">
        <v>974</v>
      </c>
      <c r="J1137" s="237">
        <v>9042</v>
      </c>
      <c r="K1137" s="175" t="s">
        <v>61</v>
      </c>
      <c r="L1137" s="175" t="s">
        <v>439</v>
      </c>
      <c r="M1137" s="175" t="s">
        <v>1343</v>
      </c>
      <c r="N1137" s="198"/>
      <c r="O1137" s="199"/>
      <c r="P1137" s="181">
        <v>0</v>
      </c>
      <c r="Q1137" s="177">
        <v>43427</v>
      </c>
      <c r="R1137" s="178">
        <v>425.56856499999998</v>
      </c>
      <c r="S1137" s="179">
        <v>64237.5</v>
      </c>
      <c r="T1137" s="182" t="s">
        <v>45</v>
      </c>
      <c r="U1137" s="183">
        <v>3.8218999999999999</v>
      </c>
      <c r="V1137" s="179">
        <v>5234</v>
      </c>
      <c r="W1137" s="179">
        <v>0</v>
      </c>
      <c r="X1137" s="196" t="s">
        <v>45</v>
      </c>
      <c r="Y1137" s="200">
        <v>3.8218999999999999</v>
      </c>
      <c r="Z1137" s="221"/>
      <c r="AA1137" s="201">
        <f>Delivery[[#This Row],[Quantity delivered]]*VLOOKUP(Delivery[[#This Row],[Unit]],References!$U:$X,4,FALSE)*VLOOKUP(CONCATENATE(Delivery[[#This Row],[Coffee specie]],Delivery[[#This Row],[Coffee state]]),References!$U:$X,4,FALSE)</f>
        <v>9042</v>
      </c>
      <c r="AB1137" s="202">
        <f>SUMIF(Allocation!C:C,Delivery[[#This Row],[Delivery ID]],Allocation!D:D)/Delivery[[#This Row],[Quantity delivered]]</f>
        <v>0.67584605175846046</v>
      </c>
      <c r="AC1137" s="203">
        <f>Delivery[[#This Row],[Quantity delivered]]*Delivery[[#This Row],[Base price (Unidad)]]/60</f>
        <v>64133.182745499995</v>
      </c>
      <c r="AD1137" s="204">
        <f>Delivery[[#This Row],[Nespresso total]]-Delivery[[#This Row],[Qt. Delivery * Base Price]]</f>
        <v>104.31725450000522</v>
      </c>
      <c r="AE1137" s="204">
        <f>Delivery[[#This Row],[AAA Premium (total)]]/Delivery[[#This Row],[Quantity delivered]]*60/Delivery[[#This Row],[Exchange rate VS USD]]</f>
        <v>9.0874314208410851</v>
      </c>
      <c r="AF1137" s="204">
        <f>Delivery[[#This Row],[BEN premium (total)]]/Delivery[[#This Row],[Quantity delivered]]*60/Delivery[[#This Row],[Exchange rate for premiums VS USD]]</f>
        <v>0</v>
      </c>
      <c r="AG1137" s="204">
        <f>COUNTIF(Delivery[Delivery ID],Delivery[[#This Row],[Delivery ID]])</f>
        <v>1</v>
      </c>
      <c r="AH1137" s="204">
        <f>(Delivery[[#This Row],[Nespresso total]]/SUMIF(Allocation!C:C,Delivery[Delivery ID],Allocation!H:H))/Delivery[[#This Row],[Exchange rate VS USD]]</f>
        <v>7.8577557765101238</v>
      </c>
      <c r="AI1137" s="204">
        <f>(Delivery[[#This Row],[AAA Premium (total)]]/SUMIF(Allocation!C:C,Delivery[Delivery ID],Allocation!H:H))/Delivery[[#This Row],[Exchange rate VS USD]]</f>
        <v>0.64024119453985573</v>
      </c>
      <c r="AJ1137" s="204">
        <f>Delivery[[#This Row],[Valor Prêmio Nespresso AAA por Kg (em US$)]]*60</f>
        <v>38.414471672391343</v>
      </c>
      <c r="AK1137" s="204">
        <f>Delivery[[#This Row],[Valor Prêmio Nespresso AAA por saca (em US$)]]/1.3228/100</f>
        <v>0.29040271902321851</v>
      </c>
      <c r="AL1137" s="204">
        <f>(Delivery[[#This Row],[BEN premium (total)]]/SUMIF(Allocation!C:C,Delivery[Delivery ID],Allocation!H:H))/Delivery[[#This Row],[Exchange rate for premiums VS USD]]</f>
        <v>0</v>
      </c>
      <c r="AM1137" s="204">
        <f>Delivery[[#This Row],[Valor Prêmio Nespresso BEN por Kg (em US$)]]*60</f>
        <v>0</v>
      </c>
      <c r="AN1137" s="204">
        <f>Delivery[[#This Row],[Valor Prêmio Nespresso BEN por saca (em US$)]]/1.3228/100</f>
        <v>0</v>
      </c>
      <c r="AO1137" s="204">
        <f>SUMIF(Allocation[Delivery ID],Delivery[[#This Row],[Delivery ID]],Allocation[Quantity allocated])*16*1.3228*Delivery[[#This Row],[Exchange rate VS USD]]/60</f>
        <v>2883.719556128</v>
      </c>
      <c r="AP1137" s="204">
        <f>Delivery[[#This Row],[AAA Premium (total)]]</f>
        <v>5234</v>
      </c>
      <c r="AQ1137" s="204">
        <f>Delivery[[#This Row],[Valor pago pelo Cluster]]-Delivery[[#This Row],[Valor efetivamente pago pela Nespresso]]</f>
        <v>2350.280443872</v>
      </c>
    </row>
    <row r="1138" spans="1:43" ht="15.75">
      <c r="A1138" s="174" t="s">
        <v>69</v>
      </c>
      <c r="B1138" s="232" t="s">
        <v>68</v>
      </c>
      <c r="C1138" s="157" t="s">
        <v>1344</v>
      </c>
      <c r="D1138" s="157" t="s">
        <v>468</v>
      </c>
      <c r="E1138" s="177" t="s">
        <v>468</v>
      </c>
      <c r="F1138" s="233" t="s">
        <v>543</v>
      </c>
      <c r="G1138" s="234">
        <v>43431</v>
      </c>
      <c r="H1138" s="235" t="s">
        <v>1768</v>
      </c>
      <c r="I1138" s="157" t="s">
        <v>974</v>
      </c>
      <c r="J1138" s="237">
        <v>3014</v>
      </c>
      <c r="K1138" s="175" t="s">
        <v>61</v>
      </c>
      <c r="L1138" s="175" t="s">
        <v>439</v>
      </c>
      <c r="M1138" s="175" t="s">
        <v>1343</v>
      </c>
      <c r="N1138" s="198"/>
      <c r="O1138" s="199"/>
      <c r="P1138" s="181">
        <v>0</v>
      </c>
      <c r="Q1138" s="177">
        <v>43430</v>
      </c>
      <c r="R1138" s="178">
        <v>428.20666</v>
      </c>
      <c r="S1138" s="179">
        <v>21391.5</v>
      </c>
      <c r="T1138" s="182" t="s">
        <v>45</v>
      </c>
      <c r="U1138" s="183">
        <v>3.8822000000000001</v>
      </c>
      <c r="V1138" s="179">
        <v>1358.5</v>
      </c>
      <c r="W1138" s="179">
        <v>0</v>
      </c>
      <c r="X1138" s="196" t="s">
        <v>45</v>
      </c>
      <c r="Y1138" s="200">
        <v>3.8822000000000001</v>
      </c>
      <c r="Z1138" s="221"/>
      <c r="AA1138" s="201">
        <f>Delivery[[#This Row],[Quantity delivered]]*VLOOKUP(Delivery[[#This Row],[Unit]],References!$U:$X,4,FALSE)*VLOOKUP(CONCATENATE(Delivery[[#This Row],[Coffee specie]],Delivery[[#This Row],[Coffee state]]),References!$U:$X,4,FALSE)</f>
        <v>3014</v>
      </c>
      <c r="AB1138" s="202">
        <f>SUMIF(Allocation!C:C,Delivery[[#This Row],[Delivery ID]],Allocation!D:D)/Delivery[[#This Row],[Quantity delivered]]</f>
        <v>0.67584605175846046</v>
      </c>
      <c r="AC1138" s="203">
        <f>Delivery[[#This Row],[Quantity delivered]]*Delivery[[#This Row],[Base price (Unidad)]]/60</f>
        <v>21510.247887333335</v>
      </c>
      <c r="AD1138" s="204">
        <f>Delivery[[#This Row],[Nespresso total]]-Delivery[[#This Row],[Qt. Delivery * Base Price]]</f>
        <v>-118.7478873333348</v>
      </c>
      <c r="AE1138" s="204">
        <f>Delivery[[#This Row],[AAA Premium (total)]]/Delivery[[#This Row],[Quantity delivered]]*60/Delivery[[#This Row],[Exchange rate VS USD]]</f>
        <v>6.9661005668018019</v>
      </c>
      <c r="AF1138" s="204">
        <f>Delivery[[#This Row],[BEN premium (total)]]/Delivery[[#This Row],[Quantity delivered]]*60/Delivery[[#This Row],[Exchange rate for premiums VS USD]]</f>
        <v>0</v>
      </c>
      <c r="AG1138" s="204">
        <f>COUNTIF(Delivery[Delivery ID],Delivery[[#This Row],[Delivery ID]])</f>
        <v>1</v>
      </c>
      <c r="AH1138" s="204">
        <f>(Delivery[[#This Row],[Nespresso total]]/SUMIF(Allocation!C:C,Delivery[Delivery ID],Allocation!H:H))/Delivery[[#This Row],[Exchange rate VS USD]]</f>
        <v>7.7281190528093013</v>
      </c>
      <c r="AI1138" s="204">
        <f>(Delivery[[#This Row],[AAA Premium (total)]]/SUMIF(Allocation!C:C,Delivery[Delivery ID],Allocation!H:H))/Delivery[[#This Row],[Exchange rate VS USD]]</f>
        <v>0.49078604741329201</v>
      </c>
      <c r="AJ1138" s="204">
        <f>Delivery[[#This Row],[Valor Prêmio Nespresso AAA por Kg (em US$)]]*60</f>
        <v>29.447162844797521</v>
      </c>
      <c r="AK1138" s="204">
        <f>Delivery[[#This Row],[Valor Prêmio Nespresso AAA por saca (em US$)]]/1.3228/100</f>
        <v>0.22261235897185908</v>
      </c>
      <c r="AL1138" s="204">
        <f>(Delivery[[#This Row],[BEN premium (total)]]/SUMIF(Allocation!C:C,Delivery[Delivery ID],Allocation!H:H))/Delivery[[#This Row],[Exchange rate for premiums VS USD]]</f>
        <v>0</v>
      </c>
      <c r="AM1138" s="204">
        <f>Delivery[[#This Row],[Valor Prêmio Nespresso BEN por Kg (em US$)]]*60</f>
        <v>0</v>
      </c>
      <c r="AN1138" s="204">
        <f>Delivery[[#This Row],[Valor Prêmio Nespresso BEN por saca (em US$)]]/1.3228/100</f>
        <v>0</v>
      </c>
      <c r="AO1138" s="204">
        <f>SUMIF(Allocation[Delivery ID],Delivery[[#This Row],[Delivery ID]],Allocation[Quantity allocated])*16*1.3228*Delivery[[#This Row],[Exchange rate VS USD]]/60</f>
        <v>976.40580695466667</v>
      </c>
      <c r="AP1138" s="204">
        <f>Delivery[[#This Row],[AAA Premium (total)]]</f>
        <v>1358.5</v>
      </c>
      <c r="AQ1138" s="204">
        <f>Delivery[[#This Row],[Valor pago pelo Cluster]]-Delivery[[#This Row],[Valor efetivamente pago pela Nespresso]]</f>
        <v>382.09419304533333</v>
      </c>
    </row>
    <row r="1139" spans="1:43" ht="15.75">
      <c r="A1139" s="174" t="s">
        <v>69</v>
      </c>
      <c r="B1139" s="232" t="s">
        <v>68</v>
      </c>
      <c r="C1139" s="157" t="s">
        <v>1344</v>
      </c>
      <c r="D1139" s="157" t="s">
        <v>468</v>
      </c>
      <c r="E1139" s="177" t="s">
        <v>468</v>
      </c>
      <c r="F1139" s="233" t="s">
        <v>543</v>
      </c>
      <c r="G1139" s="234">
        <v>43431</v>
      </c>
      <c r="H1139" s="235" t="s">
        <v>1769</v>
      </c>
      <c r="I1139" s="157" t="s">
        <v>962</v>
      </c>
      <c r="J1139" s="237">
        <v>1809</v>
      </c>
      <c r="K1139" s="175" t="s">
        <v>61</v>
      </c>
      <c r="L1139" s="175" t="s">
        <v>439</v>
      </c>
      <c r="M1139" s="175" t="s">
        <v>1343</v>
      </c>
      <c r="N1139" s="198"/>
      <c r="O1139" s="199"/>
      <c r="P1139" s="181">
        <v>0</v>
      </c>
      <c r="Q1139" s="177">
        <v>43425</v>
      </c>
      <c r="R1139" s="178">
        <v>433.21985999999998</v>
      </c>
      <c r="S1139" s="179">
        <v>13112.4</v>
      </c>
      <c r="T1139" s="182" t="s">
        <v>45</v>
      </c>
      <c r="U1139" s="183">
        <v>3.7902</v>
      </c>
      <c r="V1139" s="179">
        <v>1137.5999999999999</v>
      </c>
      <c r="W1139" s="179">
        <v>0</v>
      </c>
      <c r="X1139" s="196" t="s">
        <v>45</v>
      </c>
      <c r="Y1139" s="200">
        <v>3.7902</v>
      </c>
      <c r="Z1139" s="221"/>
      <c r="AA1139" s="201">
        <f>Delivery[[#This Row],[Quantity delivered]]*VLOOKUP(Delivery[[#This Row],[Unit]],References!$U:$X,4,FALSE)*VLOOKUP(CONCATENATE(Delivery[[#This Row],[Coffee specie]],Delivery[[#This Row],[Coffee state]]),References!$U:$X,4,FALSE)</f>
        <v>1809</v>
      </c>
      <c r="AB1139" s="202">
        <f>SUMIF(Allocation!C:C,Delivery[[#This Row],[Delivery ID]],Allocation!D:D)/Delivery[[#This Row],[Quantity delivered]]</f>
        <v>1</v>
      </c>
      <c r="AC1139" s="203">
        <f>Delivery[[#This Row],[Quantity delivered]]*Delivery[[#This Row],[Base price (Unidad)]]/60</f>
        <v>13061.578778999999</v>
      </c>
      <c r="AD1139" s="204">
        <f>Delivery[[#This Row],[Nespresso total]]-Delivery[[#This Row],[Qt. Delivery * Base Price]]</f>
        <v>50.821221000000151</v>
      </c>
      <c r="AE1139" s="204">
        <f>Delivery[[#This Row],[AAA Premium (total)]]/Delivery[[#This Row],[Quantity delivered]]*60/Delivery[[#This Row],[Exchange rate VS USD]]</f>
        <v>9.954974218664475</v>
      </c>
      <c r="AF1139" s="204">
        <f>Delivery[[#This Row],[BEN premium (total)]]/Delivery[[#This Row],[Quantity delivered]]*60/Delivery[[#This Row],[Exchange rate for premiums VS USD]]</f>
        <v>0</v>
      </c>
      <c r="AG1139" s="204">
        <f>COUNTIF(Delivery[Delivery ID],Delivery[[#This Row],[Delivery ID]])</f>
        <v>1</v>
      </c>
      <c r="AH1139" s="204">
        <f>(Delivery[[#This Row],[Nespresso total]]/SUMIF(Allocation!C:C,Delivery[Delivery ID],Allocation!H:H))/Delivery[[#This Row],[Exchange rate VS USD]]</f>
        <v>4.5520441915299568</v>
      </c>
      <c r="AI1139" s="204">
        <f>(Delivery[[#This Row],[AAA Premium (total)]]/SUMIF(Allocation!C:C,Delivery[Delivery ID],Allocation!H:H))/Delivery[[#This Row],[Exchange rate VS USD]]</f>
        <v>0.3949243061746498</v>
      </c>
      <c r="AJ1139" s="204">
        <f>Delivery[[#This Row],[Valor Prêmio Nespresso AAA por Kg (em US$)]]*60</f>
        <v>23.695458370478988</v>
      </c>
      <c r="AK1139" s="204">
        <f>Delivery[[#This Row],[Valor Prêmio Nespresso AAA por saca (em US$)]]/1.3228/100</f>
        <v>0.1791310732573253</v>
      </c>
      <c r="AL1139" s="204">
        <f>(Delivery[[#This Row],[BEN premium (total)]]/SUMIF(Allocation!C:C,Delivery[Delivery ID],Allocation!H:H))/Delivery[[#This Row],[Exchange rate for premiums VS USD]]</f>
        <v>0</v>
      </c>
      <c r="AM1139" s="204">
        <f>Delivery[[#This Row],[Valor Prêmio Nespresso BEN por Kg (em US$)]]*60</f>
        <v>0</v>
      </c>
      <c r="AN1139" s="204">
        <f>Delivery[[#This Row],[Valor Prêmio Nespresso BEN por saca (em US$)]]/1.3228/100</f>
        <v>0</v>
      </c>
      <c r="AO1139" s="204">
        <f>SUMIF(Allocation[Delivery ID],Delivery[[#This Row],[Delivery ID]],Allocation[Quantity allocated])*16*1.3228*Delivery[[#This Row],[Exchange rate VS USD]]/60</f>
        <v>1016.1051161600001</v>
      </c>
      <c r="AP1139" s="204">
        <f>Delivery[[#This Row],[AAA Premium (total)]]</f>
        <v>1137.5999999999999</v>
      </c>
      <c r="AQ1139" s="204">
        <f>Delivery[[#This Row],[Valor pago pelo Cluster]]-Delivery[[#This Row],[Valor efetivamente pago pela Nespresso]]</f>
        <v>121.49488383999983</v>
      </c>
    </row>
    <row r="1140" spans="1:43" ht="15.75">
      <c r="A1140" s="174" t="s">
        <v>69</v>
      </c>
      <c r="B1140" s="232" t="s">
        <v>68</v>
      </c>
      <c r="C1140" s="157">
        <v>1</v>
      </c>
      <c r="D1140" s="157" t="s">
        <v>468</v>
      </c>
      <c r="E1140" s="177" t="s">
        <v>468</v>
      </c>
      <c r="F1140" s="233" t="s">
        <v>543</v>
      </c>
      <c r="G1140" s="234">
        <v>43431</v>
      </c>
      <c r="H1140" s="157" t="s">
        <v>1770</v>
      </c>
      <c r="I1140" s="236" t="s">
        <v>938</v>
      </c>
      <c r="J1140" s="237">
        <v>34920</v>
      </c>
      <c r="K1140" s="175" t="s">
        <v>61</v>
      </c>
      <c r="L1140" s="175" t="s">
        <v>439</v>
      </c>
      <c r="M1140" s="175" t="s">
        <v>1343</v>
      </c>
      <c r="N1140" s="198"/>
      <c r="O1140" s="199"/>
      <c r="P1140" s="181">
        <v>0</v>
      </c>
      <c r="Q1140" s="177">
        <v>43425</v>
      </c>
      <c r="R1140" s="178">
        <v>433.21985999999998</v>
      </c>
      <c r="S1140" s="179">
        <v>253943.48</v>
      </c>
      <c r="T1140" s="182" t="s">
        <v>45</v>
      </c>
      <c r="U1140" s="183">
        <v>3.7902</v>
      </c>
      <c r="V1140" s="179">
        <v>22031.52</v>
      </c>
      <c r="W1140" s="179">
        <v>0</v>
      </c>
      <c r="X1140" s="196" t="s">
        <v>45</v>
      </c>
      <c r="Y1140" s="200">
        <v>3.7902</v>
      </c>
      <c r="Z1140" s="220"/>
      <c r="AA1140" s="201">
        <f>Delivery[[#This Row],[Quantity delivered]]*VLOOKUP(Delivery[[#This Row],[Unit]],References!$U:$X,4,FALSE)*VLOOKUP(CONCATENATE(Delivery[[#This Row],[Coffee specie]],Delivery[[#This Row],[Coffee state]]),References!$U:$X,4,FALSE)</f>
        <v>34920</v>
      </c>
      <c r="AB1140" s="202">
        <f>SUMIF(Allocation!C:C,Delivery[[#This Row],[Delivery ID]],Allocation!D:D)/Delivery[[#This Row],[Quantity delivered]]</f>
        <v>0.71469072164948455</v>
      </c>
      <c r="AC1140" s="203">
        <f>Delivery[[#This Row],[Quantity delivered]]*Delivery[[#This Row],[Base price (Unidad)]]/60</f>
        <v>252133.95851999999</v>
      </c>
      <c r="AD1140" s="204">
        <f>Delivery[[#This Row],[Nespresso total]]-Delivery[[#This Row],[Qt. Delivery * Base Price]]</f>
        <v>1809.5214800000249</v>
      </c>
      <c r="AE1140" s="204">
        <f>Delivery[[#This Row],[AAA Premium (total)]]/Delivery[[#This Row],[Quantity delivered]]*60/Delivery[[#This Row],[Exchange rate VS USD]]</f>
        <v>9.9875587992255657</v>
      </c>
      <c r="AF1140" s="204">
        <f>Delivery[[#This Row],[BEN premium (total)]]/Delivery[[#This Row],[Quantity delivered]]*60/Delivery[[#This Row],[Exchange rate for premiums VS USD]]</f>
        <v>0</v>
      </c>
      <c r="AG1140" s="204">
        <f>COUNTIF(Delivery[Delivery ID],Delivery[[#This Row],[Delivery ID]])</f>
        <v>1</v>
      </c>
      <c r="AH1140" s="204">
        <f>(Delivery[[#This Row],[Nespresso total]]/SUMIF(Allocation!C:C,Delivery[Delivery ID],Allocation!H:H))/Delivery[[#This Row],[Exchange rate VS USD]]</f>
        <v>6.3919119544996752</v>
      </c>
      <c r="AI1140" s="204">
        <f>(Delivery[[#This Row],[AAA Premium (total)]]/SUMIF(Allocation!C:C,Delivery[Delivery ID],Allocation!H:H))/Delivery[[#This Row],[Exchange rate VS USD]]</f>
        <v>0.55454676790204926</v>
      </c>
      <c r="AJ1140" s="204">
        <f>Delivery[[#This Row],[Valor Prêmio Nespresso AAA por Kg (em US$)]]*60</f>
        <v>33.272806074122954</v>
      </c>
      <c r="AK1140" s="204">
        <f>Delivery[[#This Row],[Valor Prêmio Nespresso AAA por saca (em US$)]]/1.3228/100</f>
        <v>0.25153315750017352</v>
      </c>
      <c r="AL1140" s="204">
        <f>(Delivery[[#This Row],[BEN premium (total)]]/SUMIF(Allocation!C:C,Delivery[Delivery ID],Allocation!H:H))/Delivery[[#This Row],[Exchange rate for premiums VS USD]]</f>
        <v>0</v>
      </c>
      <c r="AM1140" s="204">
        <f>Delivery[[#This Row],[Valor Prêmio Nespresso BEN por Kg (em US$)]]*60</f>
        <v>0</v>
      </c>
      <c r="AN1140" s="204">
        <f>Delivery[[#This Row],[Valor Prêmio Nespresso BEN por saca (em US$)]]/1.3228/100</f>
        <v>0</v>
      </c>
      <c r="AO1140" s="204">
        <f>SUMIF(Allocation[Delivery ID],Delivery[[#This Row],[Delivery ID]],Allocation[Quantity allocated])*16*1.3228*Delivery[[#This Row],[Exchange rate VS USD]]/60</f>
        <v>14014.228720511999</v>
      </c>
      <c r="AP1140" s="204">
        <f>Delivery[[#This Row],[AAA Premium (total)]]</f>
        <v>22031.52</v>
      </c>
      <c r="AQ1140" s="204">
        <f>Delivery[[#This Row],[Valor pago pelo Cluster]]-Delivery[[#This Row],[Valor efetivamente pago pela Nespresso]]</f>
        <v>8017.2912794880012</v>
      </c>
    </row>
    <row r="1141" spans="1:43" ht="15.75">
      <c r="A1141" s="174" t="s">
        <v>69</v>
      </c>
      <c r="B1141" s="232" t="s">
        <v>68</v>
      </c>
      <c r="C1141" s="157" t="s">
        <v>1344</v>
      </c>
      <c r="D1141" s="157" t="s">
        <v>468</v>
      </c>
      <c r="E1141" s="177" t="s">
        <v>468</v>
      </c>
      <c r="F1141" s="233" t="s">
        <v>543</v>
      </c>
      <c r="G1141" s="234">
        <v>43431</v>
      </c>
      <c r="H1141" s="157" t="s">
        <v>1771</v>
      </c>
      <c r="I1141" s="157" t="s">
        <v>938</v>
      </c>
      <c r="J1141" s="237">
        <v>30000</v>
      </c>
      <c r="K1141" s="175" t="s">
        <v>61</v>
      </c>
      <c r="L1141" s="175" t="s">
        <v>439</v>
      </c>
      <c r="M1141" s="175" t="s">
        <v>1343</v>
      </c>
      <c r="N1141" s="198"/>
      <c r="O1141" s="199"/>
      <c r="P1141" s="181">
        <v>0</v>
      </c>
      <c r="Q1141" s="177">
        <v>43425</v>
      </c>
      <c r="R1141" s="178">
        <v>433.21985999999998</v>
      </c>
      <c r="S1141" s="179">
        <v>218540</v>
      </c>
      <c r="T1141" s="182" t="s">
        <v>45</v>
      </c>
      <c r="U1141" s="183">
        <v>3.7902</v>
      </c>
      <c r="V1141" s="179">
        <v>18960</v>
      </c>
      <c r="W1141" s="179">
        <v>0</v>
      </c>
      <c r="X1141" s="196" t="s">
        <v>45</v>
      </c>
      <c r="Y1141" s="200">
        <v>3.7902</v>
      </c>
      <c r="Z1141" s="220"/>
      <c r="AA1141" s="201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1141" s="202">
        <f>SUMIF(Allocation!C:C,Delivery[[#This Row],[Delivery ID]],Allocation!D:D)/Delivery[[#This Row],[Quantity delivered]]</f>
        <v>0.79413333333333336</v>
      </c>
      <c r="AC1141" s="203">
        <f>Delivery[[#This Row],[Quantity delivered]]*Delivery[[#This Row],[Base price (Unidad)]]/60</f>
        <v>216609.93</v>
      </c>
      <c r="AD1141" s="204">
        <f>Delivery[[#This Row],[Nespresso total]]-Delivery[[#This Row],[Qt. Delivery * Base Price]]</f>
        <v>1930.070000000007</v>
      </c>
      <c r="AE1141" s="204">
        <f>Delivery[[#This Row],[AAA Premium (total)]]/Delivery[[#This Row],[Quantity delivered]]*60/Delivery[[#This Row],[Exchange rate VS USD]]</f>
        <v>10.004749089757796</v>
      </c>
      <c r="AF1141" s="204">
        <f>Delivery[[#This Row],[BEN premium (total)]]/Delivery[[#This Row],[Quantity delivered]]*60/Delivery[[#This Row],[Exchange rate for premiums VS USD]]</f>
        <v>0</v>
      </c>
      <c r="AG1141" s="204">
        <f>COUNTIF(Delivery[Delivery ID],Delivery[[#This Row],[Delivery ID]])</f>
        <v>1</v>
      </c>
      <c r="AH1141" s="204">
        <f>(Delivery[[#This Row],[Nespresso total]]/SUMIF(Allocation!C:C,Delivery[Delivery ID],Allocation!H:H))/Delivery[[#This Row],[Exchange rate VS USD]]</f>
        <v>5.7630411220435898</v>
      </c>
      <c r="AI1141" s="204">
        <f>(Delivery[[#This Row],[AAA Premium (total)]]/SUMIF(Allocation!C:C,Delivery[Delivery ID],Allocation!H:H))/Delivery[[#This Row],[Exchange rate VS USD]]</f>
        <v>0.49998746075751105</v>
      </c>
      <c r="AJ1141" s="204">
        <f>Delivery[[#This Row],[Valor Prêmio Nespresso AAA por Kg (em US$)]]*60</f>
        <v>29.999247645450662</v>
      </c>
      <c r="AK1141" s="204">
        <f>Delivery[[#This Row],[Valor Prêmio Nespresso AAA por saca (em US$)]]/1.3228/100</f>
        <v>0.22678596647604071</v>
      </c>
      <c r="AL1141" s="204">
        <f>(Delivery[[#This Row],[BEN premium (total)]]/SUMIF(Allocation!C:C,Delivery[Delivery ID],Allocation!H:H))/Delivery[[#This Row],[Exchange rate for premiums VS USD]]</f>
        <v>0</v>
      </c>
      <c r="AM1141" s="204">
        <f>Delivery[[#This Row],[Valor Prêmio Nespresso BEN por Kg (em US$)]]*60</f>
        <v>0</v>
      </c>
      <c r="AN1141" s="204">
        <f>Delivery[[#This Row],[Valor Prêmio Nespresso BEN por saca (em US$)]]/1.3228/100</f>
        <v>0</v>
      </c>
      <c r="AO1141" s="204">
        <f>SUMIF(Allocation[Delivery ID],Delivery[[#This Row],[Delivery ID]],Allocation[Quantity allocated])*16*1.3228*Delivery[[#This Row],[Exchange rate VS USD]]/60</f>
        <v>13376.489062079998</v>
      </c>
      <c r="AP1141" s="204">
        <f>Delivery[[#This Row],[AAA Premium (total)]]</f>
        <v>18960</v>
      </c>
      <c r="AQ1141" s="204">
        <f>Delivery[[#This Row],[Valor pago pelo Cluster]]-Delivery[[#This Row],[Valor efetivamente pago pela Nespresso]]</f>
        <v>5583.5109379200021</v>
      </c>
    </row>
    <row r="1142" spans="1:43" ht="15.75">
      <c r="A1142" s="174" t="s">
        <v>69</v>
      </c>
      <c r="B1142" s="232" t="s">
        <v>68</v>
      </c>
      <c r="C1142" s="157" t="s">
        <v>1344</v>
      </c>
      <c r="D1142" s="157" t="s">
        <v>468</v>
      </c>
      <c r="E1142" s="177" t="s">
        <v>468</v>
      </c>
      <c r="F1142" s="233" t="s">
        <v>543</v>
      </c>
      <c r="G1142" s="234">
        <v>43432</v>
      </c>
      <c r="H1142" s="157" t="s">
        <v>1772</v>
      </c>
      <c r="I1142" s="157" t="s">
        <v>1011</v>
      </c>
      <c r="J1142" s="237">
        <v>30030</v>
      </c>
      <c r="K1142" s="175" t="s">
        <v>61</v>
      </c>
      <c r="L1142" s="175" t="s">
        <v>439</v>
      </c>
      <c r="M1142" s="175" t="s">
        <v>1343</v>
      </c>
      <c r="N1142" s="198"/>
      <c r="O1142" s="199"/>
      <c r="P1142" s="181">
        <v>0</v>
      </c>
      <c r="Q1142" s="177">
        <v>43430</v>
      </c>
      <c r="R1142" s="178">
        <v>437.51236</v>
      </c>
      <c r="S1142" s="179">
        <v>217755</v>
      </c>
      <c r="T1142" s="182" t="s">
        <v>45</v>
      </c>
      <c r="U1142" s="183">
        <v>3.9274</v>
      </c>
      <c r="V1142" s="179">
        <v>13745</v>
      </c>
      <c r="W1142" s="179">
        <v>0</v>
      </c>
      <c r="X1142" s="196" t="s">
        <v>45</v>
      </c>
      <c r="Y1142" s="200">
        <v>3.9274</v>
      </c>
      <c r="Z1142" s="220"/>
      <c r="AA1142" s="201">
        <f>Delivery[[#This Row],[Quantity delivered]]*VLOOKUP(Delivery[[#This Row],[Unit]],References!$U:$X,4,FALSE)*VLOOKUP(CONCATENATE(Delivery[[#This Row],[Coffee specie]],Delivery[[#This Row],[Coffee state]]),References!$U:$X,4,FALSE)</f>
        <v>30030</v>
      </c>
      <c r="AB1142" s="202">
        <f>SUMIF(Allocation!C:C,Delivery[[#This Row],[Delivery ID]],Allocation!D:D)/Delivery[[#This Row],[Quantity delivered]]</f>
        <v>1</v>
      </c>
      <c r="AC1142" s="203">
        <f>Delivery[[#This Row],[Quantity delivered]]*Delivery[[#This Row],[Base price (Unidad)]]/60</f>
        <v>218974.93618000002</v>
      </c>
      <c r="AD1142" s="204">
        <f>Delivery[[#This Row],[Nespresso total]]-Delivery[[#This Row],[Qt. Delivery * Base Price]]</f>
        <v>-1219.9361800000188</v>
      </c>
      <c r="AE1142" s="204">
        <f>Delivery[[#This Row],[AAA Premium (total)]]/Delivery[[#This Row],[Quantity delivered]]*60/Delivery[[#This Row],[Exchange rate VS USD]]</f>
        <v>6.9925491323871931</v>
      </c>
      <c r="AF1142" s="204">
        <f>Delivery[[#This Row],[BEN premium (total)]]/Delivery[[#This Row],[Quantity delivered]]*60/Delivery[[#This Row],[Exchange rate for premiums VS USD]]</f>
        <v>0</v>
      </c>
      <c r="AG1142" s="204">
        <f>COUNTIF(Delivery[Delivery ID],Delivery[[#This Row],[Delivery ID]])</f>
        <v>1</v>
      </c>
      <c r="AH1142" s="204">
        <f>(Delivery[[#This Row],[Nespresso total]]/SUMIF(Allocation!C:C,Delivery[Delivery ID],Allocation!H:H))/Delivery[[#This Row],[Exchange rate VS USD]]</f>
        <v>5.5948615710154446</v>
      </c>
      <c r="AI1142" s="204">
        <f>(Delivery[[#This Row],[AAA Premium (total)]]/SUMIF(Allocation!C:C,Delivery[Delivery ID],Allocation!H:H))/Delivery[[#This Row],[Exchange rate VS USD]]</f>
        <v>0.3531554834268204</v>
      </c>
      <c r="AJ1142" s="204">
        <f>Delivery[[#This Row],[Valor Prêmio Nespresso AAA por Kg (em US$)]]*60</f>
        <v>21.189329005609224</v>
      </c>
      <c r="AK1142" s="204">
        <f>Delivery[[#This Row],[Valor Prêmio Nespresso AAA por saca (em US$)]]/1.3228/100</f>
        <v>0.16018543245849126</v>
      </c>
      <c r="AL1142" s="204">
        <f>(Delivery[[#This Row],[BEN premium (total)]]/SUMIF(Allocation!C:C,Delivery[Delivery ID],Allocation!H:H))/Delivery[[#This Row],[Exchange rate for premiums VS USD]]</f>
        <v>0</v>
      </c>
      <c r="AM1142" s="204">
        <f>Delivery[[#This Row],[Valor Prêmio Nespresso BEN por Kg (em US$)]]*60</f>
        <v>0</v>
      </c>
      <c r="AN1142" s="204">
        <f>Delivery[[#This Row],[Valor Prêmio Nespresso BEN por saca (em US$)]]/1.3228/100</f>
        <v>0</v>
      </c>
      <c r="AO1142" s="204">
        <f>SUMIF(Allocation[Delivery ID],Delivery[[#This Row],[Delivery ID]],Allocation[Quantity allocated])*16*1.3228*Delivery[[#This Row],[Exchange rate VS USD]]/60</f>
        <v>13729.088633386667</v>
      </c>
      <c r="AP1142" s="204">
        <f>Delivery[[#This Row],[AAA Premium (total)]]</f>
        <v>13745</v>
      </c>
      <c r="AQ1142" s="204">
        <f>Delivery[[#This Row],[Valor pago pelo Cluster]]-Delivery[[#This Row],[Valor efetivamente pago pela Nespresso]]</f>
        <v>15.911366613332575</v>
      </c>
    </row>
    <row r="1143" spans="1:43" ht="15.75">
      <c r="A1143" s="174" t="s">
        <v>69</v>
      </c>
      <c r="B1143" s="232" t="s">
        <v>68</v>
      </c>
      <c r="C1143" s="157" t="s">
        <v>1344</v>
      </c>
      <c r="D1143" s="157" t="s">
        <v>468</v>
      </c>
      <c r="E1143" s="177" t="s">
        <v>468</v>
      </c>
      <c r="F1143" s="233" t="s">
        <v>543</v>
      </c>
      <c r="G1143" s="234">
        <v>43432</v>
      </c>
      <c r="H1143" s="235" t="s">
        <v>1773</v>
      </c>
      <c r="I1143" s="157" t="s">
        <v>1774</v>
      </c>
      <c r="J1143" s="237">
        <v>30040</v>
      </c>
      <c r="K1143" s="175" t="s">
        <v>61</v>
      </c>
      <c r="L1143" s="175" t="s">
        <v>439</v>
      </c>
      <c r="M1143" s="175" t="s">
        <v>1343</v>
      </c>
      <c r="N1143" s="198"/>
      <c r="O1143" s="199"/>
      <c r="P1143" s="181">
        <v>0</v>
      </c>
      <c r="Q1143" s="177">
        <v>43430</v>
      </c>
      <c r="R1143" s="178">
        <v>437.51236</v>
      </c>
      <c r="S1143" s="179">
        <v>217755</v>
      </c>
      <c r="T1143" s="182" t="s">
        <v>45</v>
      </c>
      <c r="U1143" s="183">
        <v>3.9274</v>
      </c>
      <c r="V1143" s="179">
        <v>13745</v>
      </c>
      <c r="W1143" s="179">
        <v>0</v>
      </c>
      <c r="X1143" s="196" t="s">
        <v>45</v>
      </c>
      <c r="Y1143" s="200">
        <v>3.9274</v>
      </c>
      <c r="Z1143" s="221"/>
      <c r="AA1143" s="201">
        <f>Delivery[[#This Row],[Quantity delivered]]*VLOOKUP(Delivery[[#This Row],[Unit]],References!$U:$X,4,FALSE)*VLOOKUP(CONCATENATE(Delivery[[#This Row],[Coffee specie]],Delivery[[#This Row],[Coffee state]]),References!$U:$X,4,FALSE)</f>
        <v>30040</v>
      </c>
      <c r="AB1143" s="202">
        <f>SUMIF(Allocation!C:C,Delivery[[#This Row],[Delivery ID]],Allocation!D:D)/Delivery[[#This Row],[Quantity delivered]]</f>
        <v>0.71691078561917443</v>
      </c>
      <c r="AC1143" s="203">
        <f>Delivery[[#This Row],[Quantity delivered]]*Delivery[[#This Row],[Base price (Unidad)]]/60</f>
        <v>219047.85490666667</v>
      </c>
      <c r="AD1143" s="204">
        <f>Delivery[[#This Row],[Nespresso total]]-Delivery[[#This Row],[Qt. Delivery * Base Price]]</f>
        <v>-1292.8549066666747</v>
      </c>
      <c r="AE1143" s="204">
        <f>Delivery[[#This Row],[AAA Premium (total)]]/Delivery[[#This Row],[Quantity delivered]]*60/Delivery[[#This Row],[Exchange rate VS USD]]</f>
        <v>6.9902213863377964</v>
      </c>
      <c r="AF1143" s="204">
        <f>Delivery[[#This Row],[BEN premium (total)]]/Delivery[[#This Row],[Quantity delivered]]*60/Delivery[[#This Row],[Exchange rate for premiums VS USD]]</f>
        <v>0</v>
      </c>
      <c r="AG1143" s="204">
        <f>COUNTIF(Delivery[Delivery ID],Delivery[[#This Row],[Delivery ID]])</f>
        <v>1</v>
      </c>
      <c r="AH1143" s="204">
        <f>(Delivery[[#This Row],[Nespresso total]]/SUMIF(Allocation!C:C,Delivery[Delivery ID],Allocation!H:H))/Delivery[[#This Row],[Exchange rate VS USD]]</f>
        <v>7.8014743448379136</v>
      </c>
      <c r="AI1143" s="204">
        <f>(Delivery[[#This Row],[AAA Premium (total)]]/SUMIF(Allocation!C:C,Delivery[Delivery ID],Allocation!H:H))/Delivery[[#This Row],[Exchange rate VS USD]]</f>
        <v>0.49243996633738429</v>
      </c>
      <c r="AJ1143" s="204">
        <f>Delivery[[#This Row],[Valor Prêmio Nespresso AAA por Kg (em US$)]]*60</f>
        <v>29.546397980243057</v>
      </c>
      <c r="AK1143" s="204">
        <f>Delivery[[#This Row],[Valor Prêmio Nespresso AAA por saca (em US$)]]/1.3228/100</f>
        <v>0.2233625489888347</v>
      </c>
      <c r="AL1143" s="204">
        <f>(Delivery[[#This Row],[BEN premium (total)]]/SUMIF(Allocation!C:C,Delivery[Delivery ID],Allocation!H:H))/Delivery[[#This Row],[Exchange rate for premiums VS USD]]</f>
        <v>0</v>
      </c>
      <c r="AM1143" s="204">
        <f>Delivery[[#This Row],[Valor Prêmio Nespresso BEN por Kg (em US$)]]*60</f>
        <v>0</v>
      </c>
      <c r="AN1143" s="204">
        <f>Delivery[[#This Row],[Valor Prêmio Nespresso BEN por saca (em US$)]]/1.3228/100</f>
        <v>0</v>
      </c>
      <c r="AO1143" s="204">
        <f>SUMIF(Allocation[Delivery ID],Delivery[[#This Row],[Delivery ID]],Allocation[Quantity allocated])*16*1.3228*Delivery[[#This Row],[Exchange rate VS USD]]/60</f>
        <v>9845.8761773440001</v>
      </c>
      <c r="AP1143" s="204">
        <f>Delivery[[#This Row],[AAA Premium (total)]]</f>
        <v>13745</v>
      </c>
      <c r="AQ1143" s="204">
        <f>Delivery[[#This Row],[Valor pago pelo Cluster]]-Delivery[[#This Row],[Valor efetivamente pago pela Nespresso]]</f>
        <v>3899.1238226559999</v>
      </c>
    </row>
    <row r="1144" spans="1:43" ht="15.75">
      <c r="A1144" s="174" t="s">
        <v>69</v>
      </c>
      <c r="B1144" s="232" t="s">
        <v>68</v>
      </c>
      <c r="C1144" s="157" t="s">
        <v>1344</v>
      </c>
      <c r="D1144" s="157" t="s">
        <v>468</v>
      </c>
      <c r="E1144" s="177" t="s">
        <v>468</v>
      </c>
      <c r="F1144" s="233" t="s">
        <v>543</v>
      </c>
      <c r="G1144" s="234">
        <v>43432</v>
      </c>
      <c r="H1144" s="157" t="s">
        <v>1775</v>
      </c>
      <c r="I1144" s="157" t="s">
        <v>992</v>
      </c>
      <c r="J1144" s="237">
        <v>12500</v>
      </c>
      <c r="K1144" s="175" t="s">
        <v>61</v>
      </c>
      <c r="L1144" s="175" t="s">
        <v>439</v>
      </c>
      <c r="M1144" s="175" t="s">
        <v>1343</v>
      </c>
      <c r="N1144" s="198"/>
      <c r="O1144" s="199"/>
      <c r="P1144" s="181">
        <v>0</v>
      </c>
      <c r="Q1144" s="177">
        <v>43430</v>
      </c>
      <c r="R1144" s="178">
        <v>437.51236</v>
      </c>
      <c r="S1144" s="179">
        <v>90150.57</v>
      </c>
      <c r="T1144" s="182" t="s">
        <v>45</v>
      </c>
      <c r="U1144" s="183">
        <v>3.9274</v>
      </c>
      <c r="V1144" s="179">
        <v>5690.43</v>
      </c>
      <c r="W1144" s="179">
        <v>0</v>
      </c>
      <c r="X1144" s="196" t="s">
        <v>45</v>
      </c>
      <c r="Y1144" s="200">
        <v>3.9274</v>
      </c>
      <c r="Z1144" s="220"/>
      <c r="AA1144" s="201">
        <f>Delivery[[#This Row],[Quantity delivered]]*VLOOKUP(Delivery[[#This Row],[Unit]],References!$U:$X,4,FALSE)*VLOOKUP(CONCATENATE(Delivery[[#This Row],[Coffee specie]],Delivery[[#This Row],[Coffee state]]),References!$U:$X,4,FALSE)</f>
        <v>12500</v>
      </c>
      <c r="AB1144" s="202">
        <f>SUMIF(Allocation!C:C,Delivery[[#This Row],[Delivery ID]],Allocation!D:D)/Delivery[[#This Row],[Quantity delivered]]</f>
        <v>1</v>
      </c>
      <c r="AC1144" s="203">
        <f>Delivery[[#This Row],[Quantity delivered]]*Delivery[[#This Row],[Base price (Unidad)]]/60</f>
        <v>91148.40833333334</v>
      </c>
      <c r="AD1144" s="204">
        <f>Delivery[[#This Row],[Nespresso total]]-Delivery[[#This Row],[Qt. Delivery * Base Price]]</f>
        <v>-997.83833333333314</v>
      </c>
      <c r="AE1144" s="204">
        <f>Delivery[[#This Row],[AAA Premium (total)]]/Delivery[[#This Row],[Quantity delivered]]*60/Delivery[[#This Row],[Exchange rate VS USD]]</f>
        <v>6.954744614757856</v>
      </c>
      <c r="AF1144" s="204">
        <f>Delivery[[#This Row],[BEN premium (total)]]/Delivery[[#This Row],[Quantity delivered]]*60/Delivery[[#This Row],[Exchange rate for premiums VS USD]]</f>
        <v>0</v>
      </c>
      <c r="AG1144" s="204">
        <f>COUNTIF(Delivery[Delivery ID],Delivery[[#This Row],[Delivery ID]])</f>
        <v>1</v>
      </c>
      <c r="AH1144" s="204">
        <f>(Delivery[[#This Row],[Nespresso total]]/SUMIF(Allocation!C:C,Delivery[Delivery ID],Allocation!H:H))/Delivery[[#This Row],[Exchange rate VS USD]]</f>
        <v>5.56197294932588</v>
      </c>
      <c r="AI1144" s="204">
        <f>(Delivery[[#This Row],[AAA Premium (total)]]/SUMIF(Allocation!C:C,Delivery[Delivery ID],Allocation!H:H))/Delivery[[#This Row],[Exchange rate VS USD]]</f>
        <v>0.35107950765072771</v>
      </c>
      <c r="AJ1144" s="204">
        <f>Delivery[[#This Row],[Valor Prêmio Nespresso AAA por Kg (em US$)]]*60</f>
        <v>21.064770459043661</v>
      </c>
      <c r="AK1144" s="204">
        <f>Delivery[[#This Row],[Valor Prêmio Nespresso AAA por saca (em US$)]]/1.3228/100</f>
        <v>0.15924380449836453</v>
      </c>
      <c r="AL1144" s="204">
        <f>(Delivery[[#This Row],[BEN premium (total)]]/SUMIF(Allocation!C:C,Delivery[Delivery ID],Allocation!H:H))/Delivery[[#This Row],[Exchange rate for premiums VS USD]]</f>
        <v>0</v>
      </c>
      <c r="AM1144" s="204">
        <f>Delivery[[#This Row],[Valor Prêmio Nespresso BEN por Kg (em US$)]]*60</f>
        <v>0</v>
      </c>
      <c r="AN1144" s="204">
        <f>Delivery[[#This Row],[Valor Prêmio Nespresso BEN por saca (em US$)]]/1.3228/100</f>
        <v>0</v>
      </c>
      <c r="AO1144" s="204">
        <f>SUMIF(Allocation[Delivery ID],Delivery[[#This Row],[Delivery ID]],Allocation[Quantity allocated])*16*1.3228*Delivery[[#This Row],[Exchange rate VS USD]]/60</f>
        <v>5717.4519465173335</v>
      </c>
      <c r="AP1144" s="204">
        <f>Delivery[[#This Row],[AAA Premium (total)]]</f>
        <v>5690.43</v>
      </c>
      <c r="AQ1144" s="204">
        <f>Delivery[[#This Row],[Valor pago pelo Cluster]]-Delivery[[#This Row],[Valor efetivamente pago pela Nespresso]]</f>
        <v>-27.021946517333163</v>
      </c>
    </row>
    <row r="1145" spans="1:43" ht="15.75">
      <c r="A1145" s="174" t="s">
        <v>69</v>
      </c>
      <c r="B1145" s="232" t="s">
        <v>68</v>
      </c>
      <c r="C1145" s="157">
        <v>1</v>
      </c>
      <c r="D1145" s="157" t="s">
        <v>468</v>
      </c>
      <c r="E1145" s="177" t="s">
        <v>468</v>
      </c>
      <c r="F1145" s="233" t="s">
        <v>543</v>
      </c>
      <c r="G1145" s="234">
        <v>43432</v>
      </c>
      <c r="H1145" s="157" t="s">
        <v>1776</v>
      </c>
      <c r="I1145" s="236" t="s">
        <v>1032</v>
      </c>
      <c r="J1145" s="237">
        <v>29970</v>
      </c>
      <c r="K1145" s="175" t="s">
        <v>61</v>
      </c>
      <c r="L1145" s="175" t="s">
        <v>439</v>
      </c>
      <c r="M1145" s="175" t="s">
        <v>1343</v>
      </c>
      <c r="N1145" s="198"/>
      <c r="O1145" s="199"/>
      <c r="P1145" s="181">
        <v>0</v>
      </c>
      <c r="Q1145" s="177">
        <v>43425</v>
      </c>
      <c r="R1145" s="178">
        <v>435.20110499999998</v>
      </c>
      <c r="S1145" s="179">
        <v>248518.75</v>
      </c>
      <c r="T1145" s="182" t="s">
        <v>45</v>
      </c>
      <c r="U1145" s="183">
        <v>3.7892999999999999</v>
      </c>
      <c r="V1145" s="179">
        <v>18945</v>
      </c>
      <c r="W1145" s="179">
        <v>0</v>
      </c>
      <c r="X1145" s="196" t="s">
        <v>45</v>
      </c>
      <c r="Y1145" s="200">
        <v>3.7892999999999999</v>
      </c>
      <c r="Z1145" s="220"/>
      <c r="AA1145" s="201">
        <f>Delivery[[#This Row],[Quantity delivered]]*VLOOKUP(Delivery[[#This Row],[Unit]],References!$U:$X,4,FALSE)*VLOOKUP(CONCATENATE(Delivery[[#This Row],[Coffee specie]],Delivery[[#This Row],[Coffee state]]),References!$U:$X,4,FALSE)</f>
        <v>29970</v>
      </c>
      <c r="AB1145" s="202">
        <f>SUMIF(Allocation!C:C,Delivery[[#This Row],[Delivery ID]],Allocation!D:D)/Delivery[[#This Row],[Quantity delivered]]</f>
        <v>0.81401401401401396</v>
      </c>
      <c r="AC1145" s="203">
        <f>Delivery[[#This Row],[Quantity delivered]]*Delivery[[#This Row],[Base price (Unidad)]]/60</f>
        <v>217382.9519475</v>
      </c>
      <c r="AD1145" s="204">
        <f>Delivery[[#This Row],[Nespresso total]]-Delivery[[#This Row],[Qt. Delivery * Base Price]]</f>
        <v>31135.798052500002</v>
      </c>
      <c r="AE1145" s="204">
        <f>Delivery[[#This Row],[AAA Premium (total)]]/Delivery[[#This Row],[Quantity delivered]]*60/Delivery[[#This Row],[Exchange rate VS USD]]</f>
        <v>10.009217514561511</v>
      </c>
      <c r="AF1145" s="204">
        <f>Delivery[[#This Row],[BEN premium (total)]]/Delivery[[#This Row],[Quantity delivered]]*60/Delivery[[#This Row],[Exchange rate for premiums VS USD]]</f>
        <v>0</v>
      </c>
      <c r="AG1145" s="204">
        <f>COUNTIF(Delivery[Delivery ID],Delivery[[#This Row],[Delivery ID]])</f>
        <v>1</v>
      </c>
      <c r="AH1145" s="204">
        <f>(Delivery[[#This Row],[Nespresso total]]/SUMIF(Allocation!C:C,Delivery[Delivery ID],Allocation!H:H))/Delivery[[#This Row],[Exchange rate VS USD]]</f>
        <v>6.4009704035329378</v>
      </c>
      <c r="AI1145" s="204">
        <f>(Delivery[[#This Row],[AAA Premium (total)]]/SUMIF(Allocation!C:C,Delivery[Delivery ID],Allocation!H:H))/Delivery[[#This Row],[Exchange rate VS USD]]</f>
        <v>0.48795668051175817</v>
      </c>
      <c r="AJ1145" s="204">
        <f>Delivery[[#This Row],[Valor Prêmio Nespresso AAA por Kg (em US$)]]*60</f>
        <v>29.277400830705488</v>
      </c>
      <c r="AK1145" s="204">
        <f>Delivery[[#This Row],[Valor Prêmio Nespresso AAA por saca (em US$)]]/1.3228/100</f>
        <v>0.22132900537273578</v>
      </c>
      <c r="AL1145" s="204">
        <f>(Delivery[[#This Row],[BEN premium (total)]]/SUMIF(Allocation!C:C,Delivery[Delivery ID],Allocation!H:H))/Delivery[[#This Row],[Exchange rate for premiums VS USD]]</f>
        <v>0</v>
      </c>
      <c r="AM1145" s="204">
        <f>Delivery[[#This Row],[Valor Prêmio Nespresso BEN por Kg (em US$)]]*60</f>
        <v>0</v>
      </c>
      <c r="AN1145" s="204">
        <f>Delivery[[#This Row],[Valor Prêmio Nespresso BEN por saca (em US$)]]/1.3228/100</f>
        <v>0</v>
      </c>
      <c r="AO1145" s="204">
        <f>SUMIF(Allocation[Delivery ID],Delivery[[#This Row],[Delivery ID]],Allocation[Quantity allocated])*16*1.3228*Delivery[[#This Row],[Exchange rate VS USD]]/60</f>
        <v>13695.448524223999</v>
      </c>
      <c r="AP1145" s="204">
        <f>Delivery[[#This Row],[AAA Premium (total)]]</f>
        <v>18945</v>
      </c>
      <c r="AQ1145" s="204">
        <f>Delivery[[#This Row],[Valor pago pelo Cluster]]-Delivery[[#This Row],[Valor efetivamente pago pela Nespresso]]</f>
        <v>5249.5514757760011</v>
      </c>
    </row>
    <row r="1146" spans="1:43" ht="15.75">
      <c r="A1146" s="174" t="s">
        <v>69</v>
      </c>
      <c r="B1146" s="232" t="s">
        <v>68</v>
      </c>
      <c r="C1146" s="157">
        <v>1</v>
      </c>
      <c r="D1146" s="157" t="s">
        <v>468</v>
      </c>
      <c r="E1146" s="177" t="s">
        <v>468</v>
      </c>
      <c r="F1146" s="233" t="s">
        <v>543</v>
      </c>
      <c r="G1146" s="234">
        <v>43432</v>
      </c>
      <c r="H1146" s="157" t="s">
        <v>1777</v>
      </c>
      <c r="I1146" s="236" t="s">
        <v>1032</v>
      </c>
      <c r="J1146" s="237">
        <v>19220</v>
      </c>
      <c r="K1146" s="175" t="s">
        <v>61</v>
      </c>
      <c r="L1146" s="175" t="s">
        <v>439</v>
      </c>
      <c r="M1146" s="175" t="s">
        <v>1343</v>
      </c>
      <c r="N1146" s="198"/>
      <c r="O1146" s="199"/>
      <c r="P1146" s="181">
        <v>0</v>
      </c>
      <c r="Q1146" s="177">
        <v>43425</v>
      </c>
      <c r="R1146" s="178">
        <v>435.20110499999998</v>
      </c>
      <c r="S1146" s="179">
        <v>143146.79999999999</v>
      </c>
      <c r="T1146" s="182" t="s">
        <v>45</v>
      </c>
      <c r="U1146" s="183">
        <v>3.7892999999999999</v>
      </c>
      <c r="V1146" s="179">
        <v>11367</v>
      </c>
      <c r="W1146" s="179">
        <v>0</v>
      </c>
      <c r="X1146" s="196" t="s">
        <v>45</v>
      </c>
      <c r="Y1146" s="200">
        <v>3.7892999999999999</v>
      </c>
      <c r="Z1146" s="220"/>
      <c r="AA1146" s="201">
        <f>Delivery[[#This Row],[Quantity delivered]]*VLOOKUP(Delivery[[#This Row],[Unit]],References!$U:$X,4,FALSE)*VLOOKUP(CONCATENATE(Delivery[[#This Row],[Coffee specie]],Delivery[[#This Row],[Coffee state]]),References!$U:$X,4,FALSE)</f>
        <v>19220</v>
      </c>
      <c r="AB1146" s="202">
        <f>SUMIF(Allocation!C:C,Delivery[[#This Row],[Delivery ID]],Allocation!D:D)/Delivery[[#This Row],[Quantity delivered]]</f>
        <v>0.50327783558792927</v>
      </c>
      <c r="AC1146" s="203">
        <f>Delivery[[#This Row],[Quantity delivered]]*Delivery[[#This Row],[Base price (Unidad)]]/60</f>
        <v>139409.42063499999</v>
      </c>
      <c r="AD1146" s="204">
        <f>Delivery[[#This Row],[Nespresso total]]-Delivery[[#This Row],[Qt. Delivery * Base Price]]</f>
        <v>3737.3793650000007</v>
      </c>
      <c r="AE1146" s="204">
        <f>Delivery[[#This Row],[AAA Premium (total)]]/Delivery[[#This Row],[Quantity delivered]]*60/Delivery[[#This Row],[Exchange rate VS USD]]</f>
        <v>9.3645030877650921</v>
      </c>
      <c r="AF1146" s="204">
        <f>Delivery[[#This Row],[BEN premium (total)]]/Delivery[[#This Row],[Quantity delivered]]*60/Delivery[[#This Row],[Exchange rate for premiums VS USD]]</f>
        <v>0</v>
      </c>
      <c r="AG1146" s="204">
        <f>COUNTIF(Delivery[Delivery ID],Delivery[[#This Row],[Delivery ID]])</f>
        <v>1</v>
      </c>
      <c r="AH1146" s="204">
        <f>(Delivery[[#This Row],[Nespresso total]]/SUMIF(Allocation!C:C,Delivery[Delivery ID],Allocation!H:H))/Delivery[[#This Row],[Exchange rate VS USD]]</f>
        <v>9.2977064796083493</v>
      </c>
      <c r="AI1146" s="204">
        <f>(Delivery[[#This Row],[AAA Premium (total)]]/SUMIF(Allocation!C:C,Delivery[Delivery ID],Allocation!H:H))/Delivery[[#This Row],[Exchange rate VS USD]]</f>
        <v>0.73831220504899941</v>
      </c>
      <c r="AJ1146" s="204">
        <f>Delivery[[#This Row],[Valor Prêmio Nespresso AAA por Kg (em US$)]]*60</f>
        <v>44.298732302939968</v>
      </c>
      <c r="AK1146" s="204">
        <f>Delivery[[#This Row],[Valor Prêmio Nespresso AAA por saca (em US$)]]/1.3228/100</f>
        <v>0.33488609240202577</v>
      </c>
      <c r="AL1146" s="204">
        <f>(Delivery[[#This Row],[BEN premium (total)]]/SUMIF(Allocation!C:C,Delivery[Delivery ID],Allocation!H:H))/Delivery[[#This Row],[Exchange rate for premiums VS USD]]</f>
        <v>0</v>
      </c>
      <c r="AM1146" s="204">
        <f>Delivery[[#This Row],[Valor Prêmio Nespresso BEN por Kg (em US$)]]*60</f>
        <v>0</v>
      </c>
      <c r="AN1146" s="204">
        <f>Delivery[[#This Row],[Valor Prêmio Nespresso BEN por saca (em US$)]]/1.3228/100</f>
        <v>0</v>
      </c>
      <c r="AO1146" s="204">
        <f>SUMIF(Allocation[Delivery ID],Delivery[[#This Row],[Delivery ID]],Allocation[Quantity allocated])*16*1.3228*Delivery[[#This Row],[Exchange rate VS USD]]/60</f>
        <v>5430.8615414719998</v>
      </c>
      <c r="AP1146" s="204">
        <f>Delivery[[#This Row],[AAA Premium (total)]]</f>
        <v>11367</v>
      </c>
      <c r="AQ1146" s="204">
        <f>Delivery[[#This Row],[Valor pago pelo Cluster]]-Delivery[[#This Row],[Valor efetivamente pago pela Nespresso]]</f>
        <v>5936.1384585280002</v>
      </c>
    </row>
    <row r="1147" spans="1:43" ht="15.75">
      <c r="A1147" s="174" t="s">
        <v>69</v>
      </c>
      <c r="B1147" s="232" t="s">
        <v>68</v>
      </c>
      <c r="C1147" s="157" t="s">
        <v>1344</v>
      </c>
      <c r="D1147" s="157" t="s">
        <v>468</v>
      </c>
      <c r="E1147" s="177" t="s">
        <v>468</v>
      </c>
      <c r="F1147" s="233" t="s">
        <v>543</v>
      </c>
      <c r="G1147" s="234">
        <v>43433</v>
      </c>
      <c r="H1147" s="235" t="s">
        <v>1778</v>
      </c>
      <c r="I1147" s="157" t="s">
        <v>940</v>
      </c>
      <c r="J1147" s="237">
        <v>14870</v>
      </c>
      <c r="K1147" s="175" t="s">
        <v>61</v>
      </c>
      <c r="L1147" s="175" t="s">
        <v>439</v>
      </c>
      <c r="M1147" s="175" t="s">
        <v>1343</v>
      </c>
      <c r="N1147" s="198"/>
      <c r="O1147" s="199"/>
      <c r="P1147" s="181">
        <v>0</v>
      </c>
      <c r="Q1147" s="177">
        <v>43430</v>
      </c>
      <c r="R1147" s="178">
        <v>438.84916000000004</v>
      </c>
      <c r="S1147" s="179">
        <v>110837.16</v>
      </c>
      <c r="T1147" s="182" t="s">
        <v>45</v>
      </c>
      <c r="U1147" s="183">
        <v>3.9394</v>
      </c>
      <c r="V1147" s="179">
        <v>6950.16</v>
      </c>
      <c r="W1147" s="179">
        <v>0</v>
      </c>
      <c r="X1147" s="196" t="s">
        <v>45</v>
      </c>
      <c r="Y1147" s="200">
        <v>3.9394</v>
      </c>
      <c r="Z1147" s="221"/>
      <c r="AA1147" s="201">
        <f>Delivery[[#This Row],[Quantity delivered]]*VLOOKUP(Delivery[[#This Row],[Unit]],References!$U:$X,4,FALSE)*VLOOKUP(CONCATENATE(Delivery[[#This Row],[Coffee specie]],Delivery[[#This Row],[Coffee state]]),References!$U:$X,4,FALSE)</f>
        <v>14870</v>
      </c>
      <c r="AB1147" s="202">
        <f>SUMIF(Allocation!C:C,Delivery[[#This Row],[Delivery ID]],Allocation!D:D)/Delivery[[#This Row],[Quantity delivered]]</f>
        <v>0.71694687289845327</v>
      </c>
      <c r="AC1147" s="203">
        <f>Delivery[[#This Row],[Quantity delivered]]*Delivery[[#This Row],[Base price (Unidad)]]/60</f>
        <v>108761.45015333334</v>
      </c>
      <c r="AD1147" s="204">
        <f>Delivery[[#This Row],[Nespresso total]]-Delivery[[#This Row],[Qt. Delivery * Base Price]]</f>
        <v>2075.7098466666648</v>
      </c>
      <c r="AE1147" s="204">
        <f>Delivery[[#This Row],[AAA Premium (total)]]/Delivery[[#This Row],[Quantity delivered]]*60/Delivery[[#This Row],[Exchange rate VS USD]]</f>
        <v>7.1187706941058169</v>
      </c>
      <c r="AF1147" s="204">
        <f>Delivery[[#This Row],[BEN premium (total)]]/Delivery[[#This Row],[Quantity delivered]]*60/Delivery[[#This Row],[Exchange rate for premiums VS USD]]</f>
        <v>0</v>
      </c>
      <c r="AG1147" s="204">
        <f>COUNTIF(Delivery[Delivery ID],Delivery[[#This Row],[Delivery ID]])</f>
        <v>1</v>
      </c>
      <c r="AH1147" s="204">
        <f>(Delivery[[#This Row],[Nespresso total]]/SUMIF(Allocation!C:C,Delivery[Delivery ID],Allocation!H:H))/Delivery[[#This Row],[Exchange rate VS USD]]</f>
        <v>7.9975962148320798</v>
      </c>
      <c r="AI1147" s="204">
        <f>(Delivery[[#This Row],[AAA Premium (total)]]/SUMIF(Allocation!C:C,Delivery[Delivery ID],Allocation!H:H))/Delivery[[#This Row],[Exchange rate VS USD]]</f>
        <v>0.50149763227853661</v>
      </c>
      <c r="AJ1147" s="204">
        <f>Delivery[[#This Row],[Valor Prêmio Nespresso AAA por Kg (em US$)]]*60</f>
        <v>30.089857936712196</v>
      </c>
      <c r="AK1147" s="204">
        <f>Delivery[[#This Row],[Valor Prêmio Nespresso AAA por saca (em US$)]]/1.3228/100</f>
        <v>0.22747095507039763</v>
      </c>
      <c r="AL1147" s="204">
        <f>(Delivery[[#This Row],[BEN premium (total)]]/SUMIF(Allocation!C:C,Delivery[Delivery ID],Allocation!H:H))/Delivery[[#This Row],[Exchange rate for premiums VS USD]]</f>
        <v>0</v>
      </c>
      <c r="AM1147" s="204">
        <f>Delivery[[#This Row],[Valor Prêmio Nespresso BEN por Kg (em US$)]]*60</f>
        <v>0</v>
      </c>
      <c r="AN1147" s="204">
        <f>Delivery[[#This Row],[Valor Prêmio Nespresso BEN por saca (em US$)]]/1.3228/100</f>
        <v>0</v>
      </c>
      <c r="AO1147" s="204">
        <f>SUMIF(Allocation[Delivery ID],Delivery[[#This Row],[Delivery ID]],Allocation[Quantity allocated])*16*1.3228*Delivery[[#This Row],[Exchange rate VS USD]]/60</f>
        <v>4888.6487492693323</v>
      </c>
      <c r="AP1147" s="204">
        <f>Delivery[[#This Row],[AAA Premium (total)]]</f>
        <v>6950.16</v>
      </c>
      <c r="AQ1147" s="204">
        <f>Delivery[[#This Row],[Valor pago pelo Cluster]]-Delivery[[#This Row],[Valor efetivamente pago pela Nespresso]]</f>
        <v>2061.5112507306676</v>
      </c>
    </row>
    <row r="1148" spans="1:43" ht="15.75">
      <c r="A1148" s="174" t="s">
        <v>69</v>
      </c>
      <c r="B1148" s="232" t="s">
        <v>68</v>
      </c>
      <c r="C1148" s="157" t="s">
        <v>1344</v>
      </c>
      <c r="D1148" s="157" t="s">
        <v>468</v>
      </c>
      <c r="E1148" s="177" t="s">
        <v>468</v>
      </c>
      <c r="F1148" s="233" t="s">
        <v>543</v>
      </c>
      <c r="G1148" s="234">
        <v>43433</v>
      </c>
      <c r="H1148" s="235" t="s">
        <v>1779</v>
      </c>
      <c r="I1148" s="157" t="s">
        <v>1662</v>
      </c>
      <c r="J1148" s="237">
        <v>9891.5</v>
      </c>
      <c r="K1148" s="175" t="s">
        <v>61</v>
      </c>
      <c r="L1148" s="175" t="s">
        <v>439</v>
      </c>
      <c r="M1148" s="175" t="s">
        <v>1343</v>
      </c>
      <c r="N1148" s="198"/>
      <c r="O1148" s="199"/>
      <c r="P1148" s="181">
        <v>0</v>
      </c>
      <c r="Q1148" s="177">
        <v>43430</v>
      </c>
      <c r="R1148" s="178">
        <v>429.03184000000005</v>
      </c>
      <c r="S1148" s="179">
        <v>69573.25</v>
      </c>
      <c r="T1148" s="182" t="s">
        <v>45</v>
      </c>
      <c r="U1148" s="183">
        <v>3.8582000000000001</v>
      </c>
      <c r="V1148" s="179">
        <v>4366.62</v>
      </c>
      <c r="W1148" s="179">
        <v>0</v>
      </c>
      <c r="X1148" s="196" t="s">
        <v>45</v>
      </c>
      <c r="Y1148" s="200">
        <v>3.8582000000000001</v>
      </c>
      <c r="Z1148" s="221"/>
      <c r="AA1148" s="201">
        <f>Delivery[[#This Row],[Quantity delivered]]*VLOOKUP(Delivery[[#This Row],[Unit]],References!$U:$X,4,FALSE)*VLOOKUP(CONCATENATE(Delivery[[#This Row],[Coffee specie]],Delivery[[#This Row],[Coffee state]]),References!$U:$X,4,FALSE)</f>
        <v>9891.5</v>
      </c>
      <c r="AB1148" s="202">
        <f>SUMIF(Allocation!C:C,Delivery[[#This Row],[Delivery ID]],Allocation!D:D)/Delivery[[#This Row],[Quantity delivered]]</f>
        <v>0.7885558307637871</v>
      </c>
      <c r="AC1148" s="203">
        <f>Delivery[[#This Row],[Quantity delivered]]*Delivery[[#This Row],[Base price (Unidad)]]/60</f>
        <v>70729.474089333336</v>
      </c>
      <c r="AD1148" s="204">
        <f>Delivery[[#This Row],[Nespresso total]]-Delivery[[#This Row],[Qt. Delivery * Base Price]]</f>
        <v>-1156.2240893333365</v>
      </c>
      <c r="AE1148" s="204">
        <f>Delivery[[#This Row],[AAA Premium (total)]]/Delivery[[#This Row],[Quantity delivered]]*60/Delivery[[#This Row],[Exchange rate VS USD]]</f>
        <v>6.8651456871673275</v>
      </c>
      <c r="AF1148" s="204">
        <f>Delivery[[#This Row],[BEN premium (total)]]/Delivery[[#This Row],[Quantity delivered]]*60/Delivery[[#This Row],[Exchange rate for premiums VS USD]]</f>
        <v>0</v>
      </c>
      <c r="AG1148" s="204">
        <f>COUNTIF(Delivery[Delivery ID],Delivery[[#This Row],[Delivery ID]])</f>
        <v>1</v>
      </c>
      <c r="AH1148" s="204">
        <f>(Delivery[[#This Row],[Nespresso total]]/SUMIF(Allocation!C:C,Delivery[Delivery ID],Allocation!H:H))/Delivery[[#This Row],[Exchange rate VS USD]]</f>
        <v>7.7062252137416722</v>
      </c>
      <c r="AI1148" s="204">
        <f>(Delivery[[#This Row],[AAA Premium (total)]]/SUMIF(Allocation!C:C,Delivery[Delivery ID],Allocation!H:H))/Delivery[[#This Row],[Exchange rate VS USD]]</f>
        <v>0.48366516071663546</v>
      </c>
      <c r="AJ1148" s="204">
        <f>Delivery[[#This Row],[Valor Prêmio Nespresso AAA por Kg (em US$)]]*60</f>
        <v>29.019909642998126</v>
      </c>
      <c r="AK1148" s="204">
        <f>Delivery[[#This Row],[Valor Prêmio Nespresso AAA por saca (em US$)]]/1.3228/100</f>
        <v>0.21938244362714038</v>
      </c>
      <c r="AL1148" s="204">
        <f>(Delivery[[#This Row],[BEN premium (total)]]/SUMIF(Allocation!C:C,Delivery[Delivery ID],Allocation!H:H))/Delivery[[#This Row],[Exchange rate for premiums VS USD]]</f>
        <v>0</v>
      </c>
      <c r="AM1148" s="204">
        <f>Delivery[[#This Row],[Valor Prêmio Nespresso BEN por Kg (em US$)]]*60</f>
        <v>0</v>
      </c>
      <c r="AN1148" s="204">
        <f>Delivery[[#This Row],[Valor Prêmio Nespresso BEN por saca (em US$)]]/1.3228/100</f>
        <v>0</v>
      </c>
      <c r="AO1148" s="204">
        <f>SUMIF(Allocation[Delivery ID],Delivery[[#This Row],[Delivery ID]],Allocation[Quantity allocated])*16*1.3228*Delivery[[#This Row],[Exchange rate VS USD]]/60</f>
        <v>3184.66322304</v>
      </c>
      <c r="AP1148" s="204">
        <f>Delivery[[#This Row],[AAA Premium (total)]]</f>
        <v>4366.62</v>
      </c>
      <c r="AQ1148" s="204">
        <f>Delivery[[#This Row],[Valor pago pelo Cluster]]-Delivery[[#This Row],[Valor efetivamente pago pela Nespresso]]</f>
        <v>1181.9567769599998</v>
      </c>
    </row>
    <row r="1149" spans="1:43" ht="15.75">
      <c r="A1149" s="174" t="s">
        <v>69</v>
      </c>
      <c r="B1149" s="232" t="s">
        <v>68</v>
      </c>
      <c r="C1149" s="157" t="s">
        <v>1344</v>
      </c>
      <c r="D1149" s="157" t="s">
        <v>468</v>
      </c>
      <c r="E1149" s="177" t="s">
        <v>468</v>
      </c>
      <c r="F1149" s="233" t="s">
        <v>543</v>
      </c>
      <c r="G1149" s="234">
        <v>43433</v>
      </c>
      <c r="H1149" s="235" t="s">
        <v>1780</v>
      </c>
      <c r="I1149" s="157" t="s">
        <v>1662</v>
      </c>
      <c r="J1149" s="237">
        <v>5186</v>
      </c>
      <c r="K1149" s="175" t="s">
        <v>61</v>
      </c>
      <c r="L1149" s="175" t="s">
        <v>439</v>
      </c>
      <c r="M1149" s="175" t="s">
        <v>1343</v>
      </c>
      <c r="N1149" s="198"/>
      <c r="O1149" s="199"/>
      <c r="P1149" s="181">
        <v>0</v>
      </c>
      <c r="Q1149" s="177">
        <v>43430</v>
      </c>
      <c r="R1149" s="178">
        <v>429.03184000000005</v>
      </c>
      <c r="S1149" s="179">
        <v>36579.75</v>
      </c>
      <c r="T1149" s="182" t="s">
        <v>45</v>
      </c>
      <c r="U1149" s="183">
        <v>3.8582000000000001</v>
      </c>
      <c r="V1149" s="179">
        <v>2295.85</v>
      </c>
      <c r="W1149" s="179">
        <v>0</v>
      </c>
      <c r="X1149" s="196" t="s">
        <v>45</v>
      </c>
      <c r="Y1149" s="200">
        <v>3.8582000000000001</v>
      </c>
      <c r="Z1149" s="221"/>
      <c r="AA1149" s="201">
        <f>Delivery[[#This Row],[Quantity delivered]]*VLOOKUP(Delivery[[#This Row],[Unit]],References!$U:$X,4,FALSE)*VLOOKUP(CONCATENATE(Delivery[[#This Row],[Coffee specie]],Delivery[[#This Row],[Coffee state]]),References!$U:$X,4,FALSE)</f>
        <v>5186</v>
      </c>
      <c r="AB1149" s="202">
        <f>SUMIF(Allocation!C:C,Delivery[[#This Row],[Delivery ID]],Allocation!D:D)/Delivery[[#This Row],[Quantity delivered]]</f>
        <v>0.78866178172001544</v>
      </c>
      <c r="AC1149" s="203">
        <f>Delivery[[#This Row],[Quantity delivered]]*Delivery[[#This Row],[Base price (Unidad)]]/60</f>
        <v>37082.652037333341</v>
      </c>
      <c r="AD1149" s="204">
        <f>Delivery[[#This Row],[Nespresso total]]-Delivery[[#This Row],[Qt. Delivery * Base Price]]</f>
        <v>-502.90203733334056</v>
      </c>
      <c r="AE1149" s="204">
        <f>Delivery[[#This Row],[AAA Premium (total)]]/Delivery[[#This Row],[Quantity delivered]]*60/Delivery[[#This Row],[Exchange rate VS USD]]</f>
        <v>6.8845809556170803</v>
      </c>
      <c r="AF1149" s="204">
        <f>Delivery[[#This Row],[BEN premium (total)]]/Delivery[[#This Row],[Quantity delivered]]*60/Delivery[[#This Row],[Exchange rate for premiums VS USD]]</f>
        <v>0</v>
      </c>
      <c r="AG1149" s="204">
        <f>COUNTIF(Delivery[Delivery ID],Delivery[[#This Row],[Delivery ID]])</f>
        <v>1</v>
      </c>
      <c r="AH1149" s="204">
        <f>(Delivery[[#This Row],[Nespresso total]]/SUMIF(Allocation!C:C,Delivery[Delivery ID],Allocation!H:H))/Delivery[[#This Row],[Exchange rate VS USD]]</f>
        <v>7.7270092758965472</v>
      </c>
      <c r="AI1149" s="204">
        <f>(Delivery[[#This Row],[AAA Premium (total)]]/SUMIF(Allocation!C:C,Delivery[Delivery ID],Allocation!H:H))/Delivery[[#This Row],[Exchange rate VS USD]]</f>
        <v>0.48496925884039904</v>
      </c>
      <c r="AJ1149" s="204">
        <f>Delivery[[#This Row],[Valor Prêmio Nespresso AAA por Kg (em US$)]]*60</f>
        <v>29.098155530423941</v>
      </c>
      <c r="AK1149" s="204">
        <f>Delivery[[#This Row],[Valor Prêmio Nespresso AAA por saca (em US$)]]/1.3228/100</f>
        <v>0.21997396076824874</v>
      </c>
      <c r="AL1149" s="204">
        <f>(Delivery[[#This Row],[BEN premium (total)]]/SUMIF(Allocation!C:C,Delivery[Delivery ID],Allocation!H:H))/Delivery[[#This Row],[Exchange rate for premiums VS USD]]</f>
        <v>0</v>
      </c>
      <c r="AM1149" s="204">
        <f>Delivery[[#This Row],[Valor Prêmio Nespresso BEN por Kg (em US$)]]*60</f>
        <v>0</v>
      </c>
      <c r="AN1149" s="204">
        <f>Delivery[[#This Row],[Valor Prêmio Nespresso BEN por saca (em US$)]]/1.3228/100</f>
        <v>0</v>
      </c>
      <c r="AO1149" s="204">
        <f>SUMIF(Allocation[Delivery ID],Delivery[[#This Row],[Delivery ID]],Allocation[Quantity allocated])*16*1.3228*Delivery[[#This Row],[Exchange rate VS USD]]/60</f>
        <v>1669.9067413119999</v>
      </c>
      <c r="AP1149" s="204">
        <f>Delivery[[#This Row],[AAA Premium (total)]]</f>
        <v>2295.85</v>
      </c>
      <c r="AQ1149" s="204">
        <f>Delivery[[#This Row],[Valor pago pelo Cluster]]-Delivery[[#This Row],[Valor efetivamente pago pela Nespresso]]</f>
        <v>625.94325868800001</v>
      </c>
    </row>
    <row r="1150" spans="1:43" ht="15.75">
      <c r="A1150" s="174" t="s">
        <v>69</v>
      </c>
      <c r="B1150" s="232" t="s">
        <v>68</v>
      </c>
      <c r="C1150" s="157" t="s">
        <v>1344</v>
      </c>
      <c r="D1150" s="157" t="s">
        <v>468</v>
      </c>
      <c r="E1150" s="177" t="s">
        <v>468</v>
      </c>
      <c r="F1150" s="233" t="s">
        <v>543</v>
      </c>
      <c r="G1150" s="234">
        <v>43437</v>
      </c>
      <c r="H1150" s="157" t="s">
        <v>1781</v>
      </c>
      <c r="I1150" s="157" t="s">
        <v>1094</v>
      </c>
      <c r="J1150" s="237">
        <v>19270</v>
      </c>
      <c r="K1150" s="175" t="s">
        <v>61</v>
      </c>
      <c r="L1150" s="175" t="s">
        <v>439</v>
      </c>
      <c r="M1150" s="175" t="s">
        <v>1343</v>
      </c>
      <c r="N1150" s="198"/>
      <c r="O1150" s="199"/>
      <c r="P1150" s="181">
        <v>0</v>
      </c>
      <c r="Q1150" s="177">
        <v>43430</v>
      </c>
      <c r="R1150" s="178">
        <v>437.28955999999999</v>
      </c>
      <c r="S1150" s="179">
        <v>140447.13</v>
      </c>
      <c r="T1150" s="182" t="s">
        <v>45</v>
      </c>
      <c r="U1150" s="183">
        <v>3.9253999999999998</v>
      </c>
      <c r="V1150" s="179">
        <v>8817.8700000000008</v>
      </c>
      <c r="W1150" s="179">
        <v>0</v>
      </c>
      <c r="X1150" s="196" t="s">
        <v>45</v>
      </c>
      <c r="Y1150" s="200">
        <v>3.9253999999999998</v>
      </c>
      <c r="Z1150" s="220"/>
      <c r="AA1150" s="201">
        <f>Delivery[[#This Row],[Quantity delivered]]*VLOOKUP(Delivery[[#This Row],[Unit]],References!$U:$X,4,FALSE)*VLOOKUP(CONCATENATE(Delivery[[#This Row],[Coffee specie]],Delivery[[#This Row],[Coffee state]]),References!$U:$X,4,FALSE)</f>
        <v>19270</v>
      </c>
      <c r="AB1150" s="202">
        <f>SUMIF(Allocation!C:C,Delivery[[#This Row],[Delivery ID]],Allocation!D:D)/Delivery[[#This Row],[Quantity delivered]]</f>
        <v>1</v>
      </c>
      <c r="AC1150" s="203">
        <f>Delivery[[#This Row],[Quantity delivered]]*Delivery[[#This Row],[Base price (Unidad)]]/60</f>
        <v>140442.83035333332</v>
      </c>
      <c r="AD1150" s="204">
        <f>Delivery[[#This Row],[Nespresso total]]-Delivery[[#This Row],[Qt. Delivery * Base Price]]</f>
        <v>4.2996466666809283</v>
      </c>
      <c r="AE1150" s="204">
        <f>Delivery[[#This Row],[AAA Premium (total)]]/Delivery[[#This Row],[Quantity delivered]]*60/Delivery[[#This Row],[Exchange rate VS USD]]</f>
        <v>6.9943813830058259</v>
      </c>
      <c r="AF1150" s="204">
        <f>Delivery[[#This Row],[BEN premium (total)]]/Delivery[[#This Row],[Quantity delivered]]*60/Delivery[[#This Row],[Exchange rate for premiums VS USD]]</f>
        <v>0</v>
      </c>
      <c r="AG1150" s="204">
        <f>COUNTIF(Delivery[Delivery ID],Delivery[[#This Row],[Delivery ID]])</f>
        <v>1</v>
      </c>
      <c r="AH1150" s="204">
        <f>(Delivery[[#This Row],[Nespresso total]]/SUMIF(Allocation!C:C,Delivery[Delivery ID],Allocation!H:H))/Delivery[[#This Row],[Exchange rate VS USD]]</f>
        <v>6.0570614536007668</v>
      </c>
      <c r="AI1150" s="204">
        <f>(Delivery[[#This Row],[AAA Premium (total)]]/SUMIF(Allocation!C:C,Delivery[Delivery ID],Allocation!H:H))/Delivery[[#This Row],[Exchange rate VS USD]]</f>
        <v>0.38028815882433908</v>
      </c>
      <c r="AJ1150" s="204">
        <f>Delivery[[#This Row],[Valor Prêmio Nespresso AAA por Kg (em US$)]]*60</f>
        <v>22.817289529460346</v>
      </c>
      <c r="AK1150" s="204">
        <f>Delivery[[#This Row],[Valor Prêmio Nespresso AAA por saca (em US$)]]/1.3228/100</f>
        <v>0.17249236112383087</v>
      </c>
      <c r="AL1150" s="204">
        <f>(Delivery[[#This Row],[BEN premium (total)]]/SUMIF(Allocation!C:C,Delivery[Delivery ID],Allocation!H:H))/Delivery[[#This Row],[Exchange rate for premiums VS USD]]</f>
        <v>0</v>
      </c>
      <c r="AM1150" s="204">
        <f>Delivery[[#This Row],[Valor Prêmio Nespresso BEN por Kg (em US$)]]*60</f>
        <v>0</v>
      </c>
      <c r="AN1150" s="204">
        <f>Delivery[[#This Row],[Valor Prêmio Nespresso BEN por saca (em US$)]]/1.3228/100</f>
        <v>0</v>
      </c>
      <c r="AO1150" s="204">
        <f>SUMIF(Allocation[Delivery ID],Delivery[[#This Row],[Delivery ID]],Allocation[Quantity allocated])*16*1.3228*Delivery[[#This Row],[Exchange rate VS USD]]/60</f>
        <v>8179.2561178239994</v>
      </c>
      <c r="AP1150" s="204">
        <f>Delivery[[#This Row],[AAA Premium (total)]]</f>
        <v>8817.8700000000008</v>
      </c>
      <c r="AQ1150" s="204">
        <f>Delivery[[#This Row],[Valor pago pelo Cluster]]-Delivery[[#This Row],[Valor efetivamente pago pela Nespresso]]</f>
        <v>638.61388217600143</v>
      </c>
    </row>
    <row r="1151" spans="1:43" ht="15.75">
      <c r="A1151" s="174" t="s">
        <v>69</v>
      </c>
      <c r="B1151" s="232" t="s">
        <v>68</v>
      </c>
      <c r="C1151" s="157">
        <v>1</v>
      </c>
      <c r="D1151" s="157" t="s">
        <v>468</v>
      </c>
      <c r="E1151" s="177" t="s">
        <v>468</v>
      </c>
      <c r="F1151" s="233" t="s">
        <v>543</v>
      </c>
      <c r="G1151" s="234">
        <v>43437</v>
      </c>
      <c r="H1151" s="157" t="s">
        <v>1782</v>
      </c>
      <c r="I1151" s="236" t="s">
        <v>1783</v>
      </c>
      <c r="J1151" s="237">
        <v>16030</v>
      </c>
      <c r="K1151" s="175" t="s">
        <v>61</v>
      </c>
      <c r="L1151" s="175" t="s">
        <v>439</v>
      </c>
      <c r="M1151" s="175" t="s">
        <v>1343</v>
      </c>
      <c r="N1151" s="198"/>
      <c r="O1151" s="199"/>
      <c r="P1151" s="181">
        <v>0</v>
      </c>
      <c r="Q1151" s="177">
        <v>43431</v>
      </c>
      <c r="R1151" s="178">
        <v>439.53729499999997</v>
      </c>
      <c r="S1151" s="179">
        <v>118243.62</v>
      </c>
      <c r="T1151" s="182" t="s">
        <v>45</v>
      </c>
      <c r="U1151" s="183">
        <v>3.8776999999999999</v>
      </c>
      <c r="V1151" s="179">
        <v>7246.38</v>
      </c>
      <c r="W1151" s="179">
        <v>0</v>
      </c>
      <c r="X1151" s="196" t="s">
        <v>45</v>
      </c>
      <c r="Y1151" s="200">
        <v>3.8776999999999999</v>
      </c>
      <c r="Z1151" s="220"/>
      <c r="AA1151" s="201">
        <f>Delivery[[#This Row],[Quantity delivered]]*VLOOKUP(Delivery[[#This Row],[Unit]],References!$U:$X,4,FALSE)*VLOOKUP(CONCATENATE(Delivery[[#This Row],[Coffee specie]],Delivery[[#This Row],[Coffee state]]),References!$U:$X,4,FALSE)</f>
        <v>16030</v>
      </c>
      <c r="AB1151" s="202">
        <f>SUMIF(Allocation!C:C,Delivery[[#This Row],[Delivery ID]],Allocation!D:D)/Delivery[[#This Row],[Quantity delivered]]</f>
        <v>1</v>
      </c>
      <c r="AC1151" s="203">
        <f>Delivery[[#This Row],[Quantity delivered]]*Delivery[[#This Row],[Base price (Unidad)]]/60</f>
        <v>117429.71398083333</v>
      </c>
      <c r="AD1151" s="204">
        <f>Delivery[[#This Row],[Nespresso total]]-Delivery[[#This Row],[Qt. Delivery * Base Price]]</f>
        <v>813.90601916666492</v>
      </c>
      <c r="AE1151" s="204">
        <f>Delivery[[#This Row],[AAA Premium (total)]]/Delivery[[#This Row],[Quantity delivered]]*60/Delivery[[#This Row],[Exchange rate VS USD]]</f>
        <v>6.9946280643591088</v>
      </c>
      <c r="AF1151" s="204">
        <f>Delivery[[#This Row],[BEN premium (total)]]/Delivery[[#This Row],[Quantity delivered]]*60/Delivery[[#This Row],[Exchange rate for premiums VS USD]]</f>
        <v>0</v>
      </c>
      <c r="AG1151" s="204">
        <f>COUNTIF(Delivery[Delivery ID],Delivery[[#This Row],[Delivery ID]])</f>
        <v>1</v>
      </c>
      <c r="AH1151" s="204">
        <f>(Delivery[[#This Row],[Nespresso total]]/SUMIF(Allocation!C:C,Delivery[Delivery ID],Allocation!H:H))/Delivery[[#This Row],[Exchange rate VS USD]]</f>
        <v>6.3408683054574526</v>
      </c>
      <c r="AI1151" s="204">
        <f>(Delivery[[#This Row],[AAA Premium (total)]]/SUMIF(Allocation!C:C,Delivery[Delivery ID],Allocation!H:H))/Delivery[[#This Row],[Exchange rate VS USD]]</f>
        <v>0.38859044801995052</v>
      </c>
      <c r="AJ1151" s="204">
        <f>Delivery[[#This Row],[Valor Prêmio Nespresso AAA por Kg (em US$)]]*60</f>
        <v>23.31542688119703</v>
      </c>
      <c r="AK1151" s="204">
        <f>Delivery[[#This Row],[Valor Prêmio Nespresso AAA por saca (em US$)]]/1.3228/100</f>
        <v>0.17625814092226361</v>
      </c>
      <c r="AL1151" s="204">
        <f>(Delivery[[#This Row],[BEN premium (total)]]/SUMIF(Allocation!C:C,Delivery[Delivery ID],Allocation!H:H))/Delivery[[#This Row],[Exchange rate for premiums VS USD]]</f>
        <v>0</v>
      </c>
      <c r="AM1151" s="204">
        <f>Delivery[[#This Row],[Valor Prêmio Nespresso BEN por Kg (em US$)]]*60</f>
        <v>0</v>
      </c>
      <c r="AN1151" s="204">
        <f>Delivery[[#This Row],[Valor Prêmio Nespresso BEN por saca (em US$)]]/1.3228/100</f>
        <v>0</v>
      </c>
      <c r="AO1151" s="204">
        <f>SUMIF(Allocation[Delivery ID],Delivery[[#This Row],[Delivery ID]],Allocation[Quantity allocated])*16*1.3228*Delivery[[#This Row],[Exchange rate VS USD]]/60</f>
        <v>6577.9702085439994</v>
      </c>
      <c r="AP1151" s="204">
        <f>Delivery[[#This Row],[AAA Premium (total)]]</f>
        <v>7246.38</v>
      </c>
      <c r="AQ1151" s="204">
        <f>Delivery[[#This Row],[Valor pago pelo Cluster]]-Delivery[[#This Row],[Valor efetivamente pago pela Nespresso]]</f>
        <v>668.40979145600068</v>
      </c>
    </row>
    <row r="1152" spans="1:43" ht="15.75">
      <c r="A1152" s="174" t="s">
        <v>69</v>
      </c>
      <c r="B1152" s="232" t="s">
        <v>68</v>
      </c>
      <c r="C1152" s="157">
        <v>1</v>
      </c>
      <c r="D1152" s="157" t="s">
        <v>468</v>
      </c>
      <c r="E1152" s="177" t="s">
        <v>468</v>
      </c>
      <c r="F1152" s="240" t="s">
        <v>543</v>
      </c>
      <c r="G1152" s="234">
        <v>43438</v>
      </c>
      <c r="H1152" s="157" t="s">
        <v>2180</v>
      </c>
      <c r="I1152" s="236" t="s">
        <v>759</v>
      </c>
      <c r="J1152" s="237">
        <v>30620</v>
      </c>
      <c r="K1152" s="175" t="s">
        <v>61</v>
      </c>
      <c r="L1152" s="175" t="s">
        <v>439</v>
      </c>
      <c r="M1152" s="175" t="s">
        <v>1343</v>
      </c>
      <c r="N1152" s="198"/>
      <c r="O1152" s="199"/>
      <c r="P1152" s="181">
        <v>0</v>
      </c>
      <c r="Q1152" s="177">
        <v>43431</v>
      </c>
      <c r="R1152" s="178">
        <v>440.84082000000001</v>
      </c>
      <c r="S1152" s="179">
        <v>226260.58</v>
      </c>
      <c r="T1152" s="182" t="s">
        <v>45</v>
      </c>
      <c r="U1152" s="183">
        <v>3.8892000000000002</v>
      </c>
      <c r="V1152" s="179">
        <v>13909.42</v>
      </c>
      <c r="W1152" s="179">
        <v>4475.7161020532803</v>
      </c>
      <c r="X1152" s="196" t="s">
        <v>45</v>
      </c>
      <c r="Y1152" s="200">
        <v>3.8892000000000002</v>
      </c>
      <c r="Z1152" s="220" t="s">
        <v>473</v>
      </c>
      <c r="AA1152" s="201">
        <f>Delivery[[#This Row],[Quantity delivered]]*VLOOKUP(Delivery[[#This Row],[Unit]],References!$U:$X,4,FALSE)*VLOOKUP(CONCATENATE(Delivery[[#This Row],[Coffee specie]],Delivery[[#This Row],[Coffee state]]),References!$U:$X,4,FALSE)</f>
        <v>30620</v>
      </c>
      <c r="AB1152" s="202">
        <f>SUMIF(Allocation!C:C,Delivery[[#This Row],[Delivery ID]],Allocation!D:D)/Delivery[[#This Row],[Quantity delivered]]</f>
        <v>1</v>
      </c>
      <c r="AC1152" s="203">
        <f>Delivery[[#This Row],[Quantity delivered]]*Delivery[[#This Row],[Base price (Unidad)]]/60</f>
        <v>224975.76514</v>
      </c>
      <c r="AD1152" s="204">
        <f>Delivery[[#This Row],[Nespresso total]]-Delivery[[#This Row],[Qt. Delivery * Base Price]]</f>
        <v>1284.814859999984</v>
      </c>
      <c r="AE1152" s="204">
        <f>Delivery[[#This Row],[AAA Premium (total)]]/Delivery[[#This Row],[Quantity delivered]]*60/Delivery[[#This Row],[Exchange rate VS USD]]</f>
        <v>7.0080115341262568</v>
      </c>
      <c r="AF1152" s="204">
        <f>Delivery[[#This Row],[BEN premium (total)]]/Delivery[[#This Row],[Quantity delivered]]*60/Delivery[[#This Row],[Exchange rate for premiums VS USD]]</f>
        <v>2.2550092000000004</v>
      </c>
      <c r="AG1152" s="204">
        <f>COUNTIF(Delivery[Delivery ID],Delivery[[#This Row],[Delivery ID]])</f>
        <v>1</v>
      </c>
      <c r="AH1152" s="204">
        <f>(Delivery[[#This Row],[Nespresso total]]/SUMIF(Allocation!C:C,Delivery[Delivery ID],Allocation!H:H))/Delivery[[#This Row],[Exchange rate VS USD]]</f>
        <v>5.5406321779971881</v>
      </c>
      <c r="AI1152" s="204">
        <f>(Delivery[[#This Row],[AAA Premium (total)]]/SUMIF(Allocation!C:C,Delivery[Delivery ID],Allocation!H:H))/Delivery[[#This Row],[Exchange rate VS USD]]</f>
        <v>0.3406116082142</v>
      </c>
      <c r="AJ1152" s="204">
        <f>Delivery[[#This Row],[Valor Prêmio Nespresso AAA por Kg (em US$)]]*60</f>
        <v>20.436696492852001</v>
      </c>
      <c r="AK1152" s="204">
        <f>Delivery[[#This Row],[Valor Prêmio Nespresso AAA por saca (em US$)]]/1.3228/100</f>
        <v>0.15449574004272754</v>
      </c>
      <c r="AL1152" s="204">
        <f>(Delivery[[#This Row],[BEN premium (total)]]/SUMIF(Allocation!C:C,Delivery[Delivery ID],Allocation!H:H))/Delivery[[#This Row],[Exchange rate for premiums VS USD]]</f>
        <v>0.10960060587936508</v>
      </c>
      <c r="AM1152" s="204">
        <f>Delivery[[#This Row],[Valor Prêmio Nespresso BEN por Kg (em US$)]]*60</f>
        <v>6.5760363527619052</v>
      </c>
      <c r="AN1152" s="204">
        <f>Delivery[[#This Row],[Valor Prêmio Nespresso BEN por saca (em US$)]]/1.3228/100</f>
        <v>4.9713005388281717E-2</v>
      </c>
      <c r="AO1152" s="204">
        <f>SUMIF(Allocation[Delivery ID],Delivery[[#This Row],[Delivery ID]],Allocation[Quantity allocated])*16*1.3228*Delivery[[#This Row],[Exchange rate VS USD]]/60</f>
        <v>14404.974528000001</v>
      </c>
      <c r="AP1152" s="204">
        <f>Delivery[[#This Row],[AAA Premium (total)]]</f>
        <v>13909.42</v>
      </c>
      <c r="AQ1152" s="204">
        <f>Delivery[[#This Row],[Valor pago pelo Cluster]]-Delivery[[#This Row],[Valor efetivamente pago pela Nespresso]]</f>
        <v>-495.55452800000057</v>
      </c>
    </row>
    <row r="1153" spans="1:43" ht="15.75">
      <c r="A1153" s="174" t="s">
        <v>69</v>
      </c>
      <c r="B1153" s="232" t="s">
        <v>68</v>
      </c>
      <c r="C1153" s="157">
        <v>1</v>
      </c>
      <c r="D1153" s="157" t="s">
        <v>468</v>
      </c>
      <c r="E1153" s="177" t="s">
        <v>468</v>
      </c>
      <c r="F1153" s="233" t="s">
        <v>543</v>
      </c>
      <c r="G1153" s="234">
        <v>43438</v>
      </c>
      <c r="H1153" s="160" t="s">
        <v>1784</v>
      </c>
      <c r="I1153" s="157" t="s">
        <v>759</v>
      </c>
      <c r="J1153" s="237">
        <v>29970</v>
      </c>
      <c r="K1153" s="175" t="s">
        <v>61</v>
      </c>
      <c r="L1153" s="175" t="s">
        <v>439</v>
      </c>
      <c r="M1153" s="175" t="s">
        <v>1343</v>
      </c>
      <c r="N1153" s="198"/>
      <c r="O1153" s="199"/>
      <c r="P1153" s="181">
        <v>0</v>
      </c>
      <c r="Q1153" s="177">
        <v>43431</v>
      </c>
      <c r="R1153" s="178">
        <v>440.84082000000001</v>
      </c>
      <c r="S1153" s="179">
        <v>217009.29420057032</v>
      </c>
      <c r="T1153" s="182" t="s">
        <v>45</v>
      </c>
      <c r="U1153" s="183">
        <v>3.8892000000000002</v>
      </c>
      <c r="V1153" s="179">
        <v>13598.587800000001</v>
      </c>
      <c r="W1153" s="179">
        <v>4380.7057994296802</v>
      </c>
      <c r="X1153" s="196" t="s">
        <v>45</v>
      </c>
      <c r="Y1153" s="200">
        <v>3.8892000000000002</v>
      </c>
      <c r="Z1153" s="220" t="s">
        <v>473</v>
      </c>
      <c r="AA1153" s="201">
        <f>Delivery[[#This Row],[Quantity delivered]]*VLOOKUP(Delivery[[#This Row],[Unit]],References!$U:$X,4,FALSE)*VLOOKUP(CONCATENATE(Delivery[[#This Row],[Coffee specie]],Delivery[[#This Row],[Coffee state]]),References!$U:$X,4,FALSE)</f>
        <v>29970</v>
      </c>
      <c r="AB1153" s="202">
        <f>SUMIF(Allocation!C:C,Delivery[[#This Row],[Delivery ID]],Allocation!D:D)/Delivery[[#This Row],[Quantity delivered]]</f>
        <v>0.17901234567901234</v>
      </c>
      <c r="AC1153" s="203">
        <f>Delivery[[#This Row],[Quantity delivered]]*Delivery[[#This Row],[Base price (Unidad)]]/60</f>
        <v>220199.98958999998</v>
      </c>
      <c r="AD1153" s="204">
        <f>Delivery[[#This Row],[Nespresso total]]-Delivery[[#This Row],[Qt. Delivery * Base Price]]</f>
        <v>-3190.6953894296603</v>
      </c>
      <c r="AE1153" s="204">
        <f>Delivery[[#This Row],[AAA Premium (total)]]/Delivery[[#This Row],[Quantity delivered]]*60/Delivery[[#This Row],[Exchange rate VS USD]]</f>
        <v>7</v>
      </c>
      <c r="AF1153" s="204">
        <f>Delivery[[#This Row],[BEN premium (total)]]/Delivery[[#This Row],[Quantity delivered]]*60/Delivery[[#This Row],[Exchange rate for premiums VS USD]]</f>
        <v>2.2550092000000004</v>
      </c>
      <c r="AG1153" s="204">
        <f>COUNTIF(Delivery[Delivery ID],Delivery[[#This Row],[Delivery ID]])</f>
        <v>1</v>
      </c>
      <c r="AH1153" s="204">
        <f>(Delivery[[#This Row],[Nespresso total]]/SUMIF(Allocation!C:C,Delivery[Delivery ID],Allocation!H:H))/Delivery[[#This Row],[Exchange rate VS USD]]</f>
        <v>30.590968258334019</v>
      </c>
      <c r="AI1153" s="204">
        <f>(Delivery[[#This Row],[AAA Premium (total)]]/SUMIF(Allocation!C:C,Delivery[Delivery ID],Allocation!H:H))/Delivery[[#This Row],[Exchange rate VS USD]]</f>
        <v>1.9169407894736843</v>
      </c>
      <c r="AJ1153" s="204">
        <f>Delivery[[#This Row],[Valor Prêmio Nespresso AAA por Kg (em US$)]]*60</f>
        <v>115.01644736842105</v>
      </c>
      <c r="AK1153" s="204">
        <f>Delivery[[#This Row],[Valor Prêmio Nespresso AAA por saca (em US$)]]/1.3228/100</f>
        <v>0.86949234478697501</v>
      </c>
      <c r="AL1153" s="204">
        <f>(Delivery[[#This Row],[BEN premium (total)]]/SUMIF(Allocation!C:C,Delivery[Delivery ID],Allocation!H:H))/Delivery[[#This Row],[Exchange rate for premiums VS USD]]</f>
        <v>0.61753130230263165</v>
      </c>
      <c r="AM1153" s="204">
        <f>Delivery[[#This Row],[Valor Prêmio Nespresso BEN por Kg (em US$)]]*60</f>
        <v>37.051878138157896</v>
      </c>
      <c r="AN1153" s="204">
        <f>Delivery[[#This Row],[Valor Prêmio Nespresso BEN por saca (em US$)]]/1.3228/100</f>
        <v>0.2801018909748858</v>
      </c>
      <c r="AO1153" s="204">
        <f>SUMIF(Allocation[Delivery ID],Delivery[[#This Row],[Delivery ID]],Allocation[Quantity allocated])*16*1.3228*Delivery[[#This Row],[Exchange rate VS USD]]/60</f>
        <v>2502.3498608639998</v>
      </c>
      <c r="AP1153" s="204">
        <f>Delivery[[#This Row],[AAA Premium (total)]]</f>
        <v>13598.587800000001</v>
      </c>
      <c r="AQ1153" s="204">
        <f>Delivery[[#This Row],[Valor pago pelo Cluster]]-Delivery[[#This Row],[Valor efetivamente pago pela Nespresso]]</f>
        <v>11096.237939136001</v>
      </c>
    </row>
    <row r="1154" spans="1:43" ht="15.75">
      <c r="A1154" s="174" t="s">
        <v>69</v>
      </c>
      <c r="B1154" s="232" t="s">
        <v>68</v>
      </c>
      <c r="C1154" s="157">
        <v>1</v>
      </c>
      <c r="D1154" s="157" t="s">
        <v>468</v>
      </c>
      <c r="E1154" s="177" t="s">
        <v>468</v>
      </c>
      <c r="F1154" s="233" t="s">
        <v>543</v>
      </c>
      <c r="G1154" s="234">
        <v>43438</v>
      </c>
      <c r="H1154" s="160" t="s">
        <v>1785</v>
      </c>
      <c r="I1154" s="157" t="s">
        <v>759</v>
      </c>
      <c r="J1154" s="237">
        <v>28980</v>
      </c>
      <c r="K1154" s="175" t="s">
        <v>61</v>
      </c>
      <c r="L1154" s="175" t="s">
        <v>439</v>
      </c>
      <c r="M1154" s="175" t="s">
        <v>1343</v>
      </c>
      <c r="N1154" s="198"/>
      <c r="O1154" s="199"/>
      <c r="P1154" s="181">
        <v>0</v>
      </c>
      <c r="Q1154" s="177">
        <v>43431</v>
      </c>
      <c r="R1154" s="178">
        <v>440.84082000000001</v>
      </c>
      <c r="S1154" s="179">
        <v>209626.74219995088</v>
      </c>
      <c r="T1154" s="182" t="s">
        <v>45</v>
      </c>
      <c r="U1154" s="183">
        <v>3.8892000000000002</v>
      </c>
      <c r="V1154" s="179">
        <v>13149.385200000001</v>
      </c>
      <c r="W1154" s="179">
        <v>4235.9978000491201</v>
      </c>
      <c r="X1154" s="196" t="s">
        <v>45</v>
      </c>
      <c r="Y1154" s="200">
        <v>3.8892000000000002</v>
      </c>
      <c r="Z1154" s="220" t="s">
        <v>473</v>
      </c>
      <c r="AA1154" s="201">
        <f>Delivery[[#This Row],[Quantity delivered]]*VLOOKUP(Delivery[[#This Row],[Unit]],References!$U:$X,4,FALSE)*VLOOKUP(CONCATENATE(Delivery[[#This Row],[Coffee specie]],Delivery[[#This Row],[Coffee state]]),References!$U:$X,4,FALSE)</f>
        <v>28980</v>
      </c>
      <c r="AB1154" s="202">
        <f>SUMIF(Allocation!C:C,Delivery[[#This Row],[Delivery ID]],Allocation!D:D)/Delivery[[#This Row],[Quantity delivered]]</f>
        <v>0.1790200138026225</v>
      </c>
      <c r="AC1154" s="203">
        <f>Delivery[[#This Row],[Quantity delivered]]*Delivery[[#This Row],[Base price (Unidad)]]/60</f>
        <v>212926.11606</v>
      </c>
      <c r="AD1154" s="204">
        <f>Delivery[[#This Row],[Nespresso total]]-Delivery[[#This Row],[Qt. Delivery * Base Price]]</f>
        <v>-3299.3738600491197</v>
      </c>
      <c r="AE1154" s="204">
        <f>Delivery[[#This Row],[AAA Premium (total)]]/Delivery[[#This Row],[Quantity delivered]]*60/Delivery[[#This Row],[Exchange rate VS USD]]</f>
        <v>7</v>
      </c>
      <c r="AF1154" s="204">
        <f>Delivery[[#This Row],[BEN premium (total)]]/Delivery[[#This Row],[Quantity delivered]]*60/Delivery[[#This Row],[Exchange rate for premiums VS USD]]</f>
        <v>2.2550092000000004</v>
      </c>
      <c r="AG1154" s="204">
        <f>COUNTIF(Delivery[Delivery ID],Delivery[[#This Row],[Delivery ID]])</f>
        <v>1</v>
      </c>
      <c r="AH1154" s="204">
        <f>(Delivery[[#This Row],[Nespresso total]]/SUMIF(Allocation!C:C,Delivery[Delivery ID],Allocation!H:H))/Delivery[[#This Row],[Exchange rate VS USD]]</f>
        <v>30.555389708757829</v>
      </c>
      <c r="AI1154" s="204">
        <f>(Delivery[[#This Row],[AAA Premium (total)]]/SUMIF(Allocation!C:C,Delivery[Delivery ID],Allocation!H:H))/Delivery[[#This Row],[Exchange rate VS USD]]</f>
        <v>1.9166666666666665</v>
      </c>
      <c r="AJ1154" s="204">
        <f>Delivery[[#This Row],[Valor Prêmio Nespresso AAA por Kg (em US$)]]*60</f>
        <v>114.99999999999999</v>
      </c>
      <c r="AK1154" s="204">
        <f>Delivery[[#This Row],[Valor Prêmio Nespresso AAA por saca (em US$)]]/1.3228/100</f>
        <v>0.86936800725733276</v>
      </c>
      <c r="AL1154" s="204">
        <f>(Delivery[[#This Row],[BEN premium (total)]]/SUMIF(Allocation!C:C,Delivery[Delivery ID],Allocation!H:H))/Delivery[[#This Row],[Exchange rate for premiums VS USD]]</f>
        <v>0.6174429952380952</v>
      </c>
      <c r="AM1154" s="204">
        <f>Delivery[[#This Row],[Valor Prêmio Nespresso BEN por Kg (em US$)]]*60</f>
        <v>37.046579714285713</v>
      </c>
      <c r="AN1154" s="204">
        <f>Delivery[[#This Row],[Valor Prêmio Nespresso BEN por saca (em US$)]]/1.3228/100</f>
        <v>0.28006183636442178</v>
      </c>
      <c r="AO1154" s="204">
        <f>SUMIF(Allocation[Delivery ID],Delivery[[#This Row],[Delivery ID]],Allocation[Quantity allocated])*16*1.3228*Delivery[[#This Row],[Exchange rate VS USD]]/60</f>
        <v>2420.0357207040001</v>
      </c>
      <c r="AP1154" s="204">
        <f>Delivery[[#This Row],[AAA Premium (total)]]</f>
        <v>13149.385200000001</v>
      </c>
      <c r="AQ1154" s="204">
        <f>Delivery[[#This Row],[Valor pago pelo Cluster]]-Delivery[[#This Row],[Valor efetivamente pago pela Nespresso]]</f>
        <v>10729.349479296001</v>
      </c>
    </row>
    <row r="1155" spans="1:43" ht="15.75">
      <c r="A1155" s="174" t="s">
        <v>69</v>
      </c>
      <c r="B1155" s="232" t="s">
        <v>68</v>
      </c>
      <c r="C1155" s="157">
        <v>1</v>
      </c>
      <c r="D1155" s="157" t="s">
        <v>468</v>
      </c>
      <c r="E1155" s="177" t="s">
        <v>468</v>
      </c>
      <c r="F1155" s="233" t="s">
        <v>543</v>
      </c>
      <c r="G1155" s="234">
        <v>43438</v>
      </c>
      <c r="H1155" s="157" t="s">
        <v>1314</v>
      </c>
      <c r="I1155" s="157" t="s">
        <v>759</v>
      </c>
      <c r="J1155" s="237">
        <v>30340</v>
      </c>
      <c r="K1155" s="175" t="s">
        <v>61</v>
      </c>
      <c r="L1155" s="175" t="s">
        <v>439</v>
      </c>
      <c r="M1155" s="175" t="s">
        <v>1343</v>
      </c>
      <c r="N1155" s="198"/>
      <c r="O1155" s="199"/>
      <c r="P1155" s="181">
        <v>0</v>
      </c>
      <c r="Q1155" s="177">
        <v>43431</v>
      </c>
      <c r="R1155" s="178">
        <v>440.84082000000001</v>
      </c>
      <c r="S1155" s="179">
        <v>215176.42282584606</v>
      </c>
      <c r="T1155" s="182" t="s">
        <v>45</v>
      </c>
      <c r="U1155" s="183">
        <v>3.8892000000000002</v>
      </c>
      <c r="V1155" s="179">
        <v>13773.32</v>
      </c>
      <c r="W1155" s="179">
        <v>4434.7885870769596</v>
      </c>
      <c r="X1155" s="196" t="s">
        <v>45</v>
      </c>
      <c r="Y1155" s="200">
        <v>3.8892000000000002</v>
      </c>
      <c r="Z1155" s="220" t="s">
        <v>473</v>
      </c>
      <c r="AA1155" s="201">
        <f>Delivery[[#This Row],[Quantity delivered]]*VLOOKUP(Delivery[[#This Row],[Unit]],References!$U:$X,4,FALSE)*VLOOKUP(CONCATENATE(Delivery[[#This Row],[Coffee specie]],Delivery[[#This Row],[Coffee state]]),References!$U:$X,4,FALSE)</f>
        <v>30340</v>
      </c>
      <c r="AB1155" s="202">
        <f>SUMIF(Allocation!C:C,Delivery[[#This Row],[Delivery ID]],Allocation!D:D)/Delivery[[#This Row],[Quantity delivered]]</f>
        <v>1</v>
      </c>
      <c r="AC1155" s="203">
        <f>Delivery[[#This Row],[Quantity delivered]]*Delivery[[#This Row],[Base price (Unidad)]]/60</f>
        <v>222918.50798000002</v>
      </c>
      <c r="AD1155" s="204">
        <f>Delivery[[#This Row],[Nespresso total]]-Delivery[[#This Row],[Qt. Delivery * Base Price]]</f>
        <v>-7742.0851541539596</v>
      </c>
      <c r="AE1155" s="204">
        <f>Delivery[[#This Row],[AAA Premium (total)]]/Delivery[[#This Row],[Quantity delivered]]*60/Delivery[[#This Row],[Exchange rate VS USD]]</f>
        <v>7.0034822866303656</v>
      </c>
      <c r="AF1155" s="204">
        <f>Delivery[[#This Row],[BEN premium (total)]]/Delivery[[#This Row],[Quantity delivered]]*60/Delivery[[#This Row],[Exchange rate for premiums VS USD]]</f>
        <v>2.2550091999999999</v>
      </c>
      <c r="AG1155" s="204">
        <f>COUNTIF(Delivery[Delivery ID],Delivery[[#This Row],[Delivery ID]])</f>
        <v>1</v>
      </c>
      <c r="AH1155" s="204">
        <f>(Delivery[[#This Row],[Nespresso total]]/SUMIF(Allocation!C:C,Delivery[Delivery ID],Allocation!H:H))/Delivery[[#This Row],[Exchange rate VS USD]]</f>
        <v>5.3616294236743611</v>
      </c>
      <c r="AI1155" s="204">
        <f>(Delivery[[#This Row],[AAA Premium (total)]]/SUMIF(Allocation!C:C,Delivery[Delivery ID],Allocation!H:H))/Delivery[[#This Row],[Exchange rate VS USD]]</f>
        <v>0.34319483893201097</v>
      </c>
      <c r="AJ1155" s="204">
        <f>Delivery[[#This Row],[Valor Prêmio Nespresso AAA por Kg (em US$)]]*60</f>
        <v>20.59169033592066</v>
      </c>
      <c r="AK1155" s="204">
        <f>Delivery[[#This Row],[Valor Prêmio Nespresso AAA por saca (em US$)]]/1.3228/100</f>
        <v>0.1556674503773863</v>
      </c>
      <c r="AL1155" s="204">
        <f>(Delivery[[#This Row],[BEN premium (total)]]/SUMIF(Allocation!C:C,Delivery[Delivery ID],Allocation!H:H))/Delivery[[#This Row],[Exchange rate for premiums VS USD]]</f>
        <v>0.11050324503020317</v>
      </c>
      <c r="AM1155" s="204">
        <f>Delivery[[#This Row],[Valor Prêmio Nespresso BEN por Kg (em US$)]]*60</f>
        <v>6.6301947018121901</v>
      </c>
      <c r="AN1155" s="204">
        <f>Delivery[[#This Row],[Valor Prêmio Nespresso BEN por saca (em US$)]]/1.3228/100</f>
        <v>5.0122427440370348E-2</v>
      </c>
      <c r="AO1155" s="204">
        <f>SUMIF(Allocation[Delivery ID],Delivery[[#This Row],[Delivery ID]],Allocation[Quantity allocated])*16*1.3228*Delivery[[#This Row],[Exchange rate VS USD]]/60</f>
        <v>14156.660205184</v>
      </c>
      <c r="AP1155" s="204">
        <f>Delivery[[#This Row],[AAA Premium (total)]]</f>
        <v>13773.32</v>
      </c>
      <c r="AQ1155" s="204">
        <f>Delivery[[#This Row],[Valor pago pelo Cluster]]-Delivery[[#This Row],[Valor efetivamente pago pela Nespresso]]</f>
        <v>-383.3402051840003</v>
      </c>
    </row>
    <row r="1156" spans="1:43" ht="15.75">
      <c r="A1156" s="174" t="s">
        <v>69</v>
      </c>
      <c r="B1156" s="232" t="s">
        <v>68</v>
      </c>
      <c r="C1156" s="157">
        <v>1</v>
      </c>
      <c r="D1156" s="157" t="s">
        <v>468</v>
      </c>
      <c r="E1156" s="177" t="s">
        <v>468</v>
      </c>
      <c r="F1156" s="233" t="s">
        <v>543</v>
      </c>
      <c r="G1156" s="234">
        <v>43438</v>
      </c>
      <c r="H1156" s="157" t="s">
        <v>1315</v>
      </c>
      <c r="I1156" s="157" t="s">
        <v>759</v>
      </c>
      <c r="J1156" s="237">
        <v>30020</v>
      </c>
      <c r="K1156" s="175" t="s">
        <v>61</v>
      </c>
      <c r="L1156" s="175" t="s">
        <v>439</v>
      </c>
      <c r="M1156" s="175" t="s">
        <v>1343</v>
      </c>
      <c r="N1156" s="198"/>
      <c r="O1156" s="199"/>
      <c r="P1156" s="181">
        <v>0</v>
      </c>
      <c r="Q1156" s="177">
        <v>43431</v>
      </c>
      <c r="R1156" s="178">
        <v>440.84082000000001</v>
      </c>
      <c r="S1156" s="179">
        <v>212613.97143150622</v>
      </c>
      <c r="T1156" s="182" t="s">
        <v>45</v>
      </c>
      <c r="U1156" s="183">
        <v>3.8892000000000002</v>
      </c>
      <c r="V1156" s="179">
        <v>13610</v>
      </c>
      <c r="W1156" s="179">
        <v>4388.0142842468804</v>
      </c>
      <c r="X1156" s="196" t="s">
        <v>45</v>
      </c>
      <c r="Y1156" s="200">
        <v>3.8892000000000002</v>
      </c>
      <c r="Z1156" s="220" t="s">
        <v>473</v>
      </c>
      <c r="AA1156" s="201">
        <f>Delivery[[#This Row],[Quantity delivered]]*VLOOKUP(Delivery[[#This Row],[Unit]],References!$U:$X,4,FALSE)*VLOOKUP(CONCATENATE(Delivery[[#This Row],[Coffee specie]],Delivery[[#This Row],[Coffee state]]),References!$U:$X,4,FALSE)</f>
        <v>30020</v>
      </c>
      <c r="AB1156" s="202">
        <f>SUMIF(Allocation!C:C,Delivery[[#This Row],[Delivery ID]],Allocation!D:D)/Delivery[[#This Row],[Quantity delivered]]</f>
        <v>1</v>
      </c>
      <c r="AC1156" s="203">
        <f>Delivery[[#This Row],[Quantity delivered]]*Delivery[[#This Row],[Base price (Unidad)]]/60</f>
        <v>220567.35694</v>
      </c>
      <c r="AD1156" s="204">
        <f>Delivery[[#This Row],[Nespresso total]]-Delivery[[#This Row],[Qt. Delivery * Base Price]]</f>
        <v>-7953.3855084937823</v>
      </c>
      <c r="AE1156" s="204">
        <f>Delivery[[#This Row],[AAA Premium (total)]]/Delivery[[#This Row],[Quantity delivered]]*60/Delivery[[#This Row],[Exchange rate VS USD]]</f>
        <v>6.9942058580302628</v>
      </c>
      <c r="AF1156" s="204">
        <f>Delivery[[#This Row],[BEN premium (total)]]/Delivery[[#This Row],[Quantity delivered]]*60/Delivery[[#This Row],[Exchange rate for premiums VS USD]]</f>
        <v>2.2550092000000004</v>
      </c>
      <c r="AG1156" s="204">
        <f>COUNTIF(Delivery[Delivery ID],Delivery[[#This Row],[Delivery ID]])</f>
        <v>1</v>
      </c>
      <c r="AH1156" s="204">
        <f>(Delivery[[#This Row],[Nespresso total]]/SUMIF(Allocation!C:C,Delivery[Delivery ID],Allocation!H:H))/Delivery[[#This Row],[Exchange rate VS USD]]</f>
        <v>5.3559116938507474</v>
      </c>
      <c r="AI1156" s="204">
        <f>(Delivery[[#This Row],[AAA Premium (total)]]/SUMIF(Allocation!C:C,Delivery[Delivery ID],Allocation!H:H))/Delivery[[#This Row],[Exchange rate VS USD]]</f>
        <v>0.34284651033288999</v>
      </c>
      <c r="AJ1156" s="204">
        <f>Delivery[[#This Row],[Valor Prêmio Nespresso AAA por Kg (em US$)]]*60</f>
        <v>20.570790619973398</v>
      </c>
      <c r="AK1156" s="204">
        <f>Delivery[[#This Row],[Valor Prêmio Nespresso AAA por saca (em US$)]]/1.3228/100</f>
        <v>0.15550945433907923</v>
      </c>
      <c r="AL1156" s="204">
        <f>(Delivery[[#This Row],[BEN premium (total)]]/SUMIF(Allocation!C:C,Delivery[Delivery ID],Allocation!H:H))/Delivery[[#This Row],[Exchange rate for premiums VS USD]]</f>
        <v>0.11053750070866399</v>
      </c>
      <c r="AM1156" s="204">
        <f>Delivery[[#This Row],[Valor Prêmio Nespresso BEN por Kg (em US$)]]*60</f>
        <v>6.6322500425198392</v>
      </c>
      <c r="AN1156" s="204">
        <f>Delivery[[#This Row],[Valor Prêmio Nespresso BEN por saca (em US$)]]/1.3228/100</f>
        <v>5.0137965244328987E-2</v>
      </c>
      <c r="AO1156" s="204">
        <f>SUMIF(Allocation[Delivery ID],Delivery[[#This Row],[Delivery ID]],Allocation[Quantity allocated])*16*1.3228*Delivery[[#This Row],[Exchange rate VS USD]]/60</f>
        <v>14003.007143552</v>
      </c>
      <c r="AP1156" s="204">
        <f>Delivery[[#This Row],[AAA Premium (total)]]</f>
        <v>13610</v>
      </c>
      <c r="AQ1156" s="204">
        <f>Delivery[[#This Row],[Valor pago pelo Cluster]]-Delivery[[#This Row],[Valor efetivamente pago pela Nespresso]]</f>
        <v>-393.00714355200034</v>
      </c>
    </row>
    <row r="1157" spans="1:43" ht="15.75">
      <c r="A1157" s="174" t="s">
        <v>69</v>
      </c>
      <c r="B1157" s="232" t="s">
        <v>68</v>
      </c>
      <c r="C1157" s="157">
        <v>1</v>
      </c>
      <c r="D1157" s="157" t="s">
        <v>468</v>
      </c>
      <c r="E1157" s="177" t="s">
        <v>468</v>
      </c>
      <c r="F1157" s="233" t="s">
        <v>543</v>
      </c>
      <c r="G1157" s="234">
        <v>43437</v>
      </c>
      <c r="H1157" s="157" t="s">
        <v>1316</v>
      </c>
      <c r="I1157" s="157" t="s">
        <v>1094</v>
      </c>
      <c r="J1157" s="237">
        <v>38000</v>
      </c>
      <c r="K1157" s="175" t="s">
        <v>61</v>
      </c>
      <c r="L1157" s="175" t="s">
        <v>439</v>
      </c>
      <c r="M1157" s="175" t="s">
        <v>1343</v>
      </c>
      <c r="N1157" s="198"/>
      <c r="O1157" s="199"/>
      <c r="P1157" s="181">
        <v>0</v>
      </c>
      <c r="Q1157" s="177">
        <v>43430</v>
      </c>
      <c r="R1157" s="178">
        <v>437.34526</v>
      </c>
      <c r="S1157" s="179">
        <v>267062.02695603995</v>
      </c>
      <c r="T1157" s="182" t="s">
        <v>45</v>
      </c>
      <c r="U1157" s="183">
        <v>3.9258999999999999</v>
      </c>
      <c r="V1157" s="179">
        <v>17388.509999999998</v>
      </c>
      <c r="W1157" s="179">
        <v>4947.2315219799993</v>
      </c>
      <c r="X1157" s="196" t="s">
        <v>45</v>
      </c>
      <c r="Y1157" s="200">
        <v>3.9258999999999999</v>
      </c>
      <c r="Z1157" s="220" t="s">
        <v>473</v>
      </c>
      <c r="AA1157" s="201">
        <f>Delivery[[#This Row],[Quantity delivered]]*VLOOKUP(Delivery[[#This Row],[Unit]],References!$U:$X,4,FALSE)*VLOOKUP(CONCATENATE(Delivery[[#This Row],[Coffee specie]],Delivery[[#This Row],[Coffee state]]),References!$U:$X,4,FALSE)</f>
        <v>38000</v>
      </c>
      <c r="AB1157" s="202">
        <f>SUMIF(Allocation!C:C,Delivery[[#This Row],[Delivery ID]],Allocation!D:D)/Delivery[[#This Row],[Quantity delivered]]</f>
        <v>1</v>
      </c>
      <c r="AC1157" s="203">
        <f>Delivery[[#This Row],[Quantity delivered]]*Delivery[[#This Row],[Base price (Unidad)]]/60</f>
        <v>276985.33133333334</v>
      </c>
      <c r="AD1157" s="204">
        <f>Delivery[[#This Row],[Nespresso total]]-Delivery[[#This Row],[Qt. Delivery * Base Price]]</f>
        <v>-9923.3043772933888</v>
      </c>
      <c r="AE1157" s="204">
        <f>Delivery[[#This Row],[AAA Premium (total)]]/Delivery[[#This Row],[Quantity delivered]]*60/Delivery[[#This Row],[Exchange rate VS USD]]</f>
        <v>6.9934389834848458</v>
      </c>
      <c r="AF1157" s="204">
        <f>Delivery[[#This Row],[BEN premium (total)]]/Delivery[[#This Row],[Quantity delivered]]*60/Delivery[[#This Row],[Exchange rate for premiums VS USD]]</f>
        <v>1.9897139999999995</v>
      </c>
      <c r="AG1157" s="204">
        <f>COUNTIF(Delivery[Delivery ID],Delivery[[#This Row],[Delivery ID]])</f>
        <v>1</v>
      </c>
      <c r="AH1157" s="204">
        <f>(Delivery[[#This Row],[Nespresso total]]/SUMIF(Allocation!C:C,Delivery[Delivery ID],Allocation!H:H))/Delivery[[#This Row],[Exchange rate VS USD]]</f>
        <v>5.4246955747576315</v>
      </c>
      <c r="AI1157" s="204">
        <f>(Delivery[[#This Row],[AAA Premium (total)]]/SUMIF(Allocation!C:C,Delivery[Delivery ID],Allocation!H:H))/Delivery[[#This Row],[Exchange rate VS USD]]</f>
        <v>0.3532039890648912</v>
      </c>
      <c r="AJ1157" s="204">
        <f>Delivery[[#This Row],[Valor Prêmio Nespresso AAA por Kg (em US$)]]*60</f>
        <v>21.192239343893473</v>
      </c>
      <c r="AK1157" s="204">
        <f>Delivery[[#This Row],[Valor Prêmio Nespresso AAA por saca (em US$)]]/1.3228/100</f>
        <v>0.16020743380627059</v>
      </c>
      <c r="AL1157" s="204">
        <f>(Delivery[[#This Row],[BEN premium (total)]]/SUMIF(Allocation!C:C,Delivery[Delivery ID],Allocation!H:H))/Delivery[[#This Row],[Exchange rate for premiums VS USD]]</f>
        <v>0.10049060606060606</v>
      </c>
      <c r="AM1157" s="204">
        <f>Delivery[[#This Row],[Valor Prêmio Nespresso BEN por Kg (em US$)]]*60</f>
        <v>6.0294363636363633</v>
      </c>
      <c r="AN1157" s="204">
        <f>Delivery[[#This Row],[Valor Prêmio Nespresso BEN por saca (em US$)]]/1.3228/100</f>
        <v>4.5580861533386481E-2</v>
      </c>
      <c r="AO1157" s="204">
        <f>SUMIF(Allocation[Delivery ID],Delivery[[#This Row],[Delivery ID]],Allocation[Quantity allocated])*16*1.3228*Delivery[[#This Row],[Exchange rate VS USD]]/60</f>
        <v>17365.995658880001</v>
      </c>
      <c r="AP1157" s="204">
        <f>Delivery[[#This Row],[AAA Premium (total)]]</f>
        <v>17388.509999999998</v>
      </c>
      <c r="AQ1157" s="204">
        <f>Delivery[[#This Row],[Valor pago pelo Cluster]]-Delivery[[#This Row],[Valor efetivamente pago pela Nespresso]]</f>
        <v>22.514341119996971</v>
      </c>
    </row>
    <row r="1158" spans="1:43" ht="15.75">
      <c r="A1158" s="174" t="s">
        <v>69</v>
      </c>
      <c r="B1158" s="232" t="s">
        <v>68</v>
      </c>
      <c r="C1158" s="157">
        <v>1</v>
      </c>
      <c r="D1158" s="157" t="s">
        <v>468</v>
      </c>
      <c r="E1158" s="177" t="s">
        <v>468</v>
      </c>
      <c r="F1158" s="233" t="s">
        <v>543</v>
      </c>
      <c r="G1158" s="234">
        <v>43438</v>
      </c>
      <c r="H1158" s="157" t="s">
        <v>1317</v>
      </c>
      <c r="I1158" s="157" t="s">
        <v>737</v>
      </c>
      <c r="J1158" s="237">
        <v>33270</v>
      </c>
      <c r="K1158" s="175" t="s">
        <v>61</v>
      </c>
      <c r="L1158" s="175" t="s">
        <v>439</v>
      </c>
      <c r="M1158" s="175" t="s">
        <v>1343</v>
      </c>
      <c r="N1158" s="198"/>
      <c r="O1158" s="199"/>
      <c r="P1158" s="181">
        <v>0</v>
      </c>
      <c r="Q1158" s="177">
        <v>43432</v>
      </c>
      <c r="R1158" s="178">
        <v>434.05555500000003</v>
      </c>
      <c r="S1158" s="179">
        <v>235585.35071494101</v>
      </c>
      <c r="T1158" s="182" t="s">
        <v>45</v>
      </c>
      <c r="U1158" s="183">
        <v>3.8429000000000002</v>
      </c>
      <c r="V1158" s="179">
        <v>21251.79</v>
      </c>
      <c r="W1158" s="179">
        <v>7066.4296425294997</v>
      </c>
      <c r="X1158" s="196" t="s">
        <v>45</v>
      </c>
      <c r="Y1158" s="200">
        <v>3.8429000000000002</v>
      </c>
      <c r="Z1158" s="220" t="s">
        <v>473</v>
      </c>
      <c r="AA1158" s="201">
        <f>Delivery[[#This Row],[Quantity delivered]]*VLOOKUP(Delivery[[#This Row],[Unit]],References!$U:$X,4,FALSE)*VLOOKUP(CONCATENATE(Delivery[[#This Row],[Coffee specie]],Delivery[[#This Row],[Coffee state]]),References!$U:$X,4,FALSE)</f>
        <v>33270</v>
      </c>
      <c r="AB1158" s="202">
        <f>SUMIF(Allocation!C:C,Delivery[[#This Row],[Delivery ID]],Allocation!D:D)/Delivery[[#This Row],[Quantity delivered]]</f>
        <v>0.66678689510069133</v>
      </c>
      <c r="AC1158" s="203">
        <f>Delivery[[#This Row],[Quantity delivered]]*Delivery[[#This Row],[Base price (Unidad)]]/60</f>
        <v>240683.80524750001</v>
      </c>
      <c r="AD1158" s="204">
        <f>Delivery[[#This Row],[Nespresso total]]-Delivery[[#This Row],[Qt. Delivery * Base Price]]</f>
        <v>-5098.4545325590007</v>
      </c>
      <c r="AE1158" s="204">
        <f>Delivery[[#This Row],[AAA Premium (total)]]/Delivery[[#This Row],[Quantity delivered]]*60/Delivery[[#This Row],[Exchange rate VS USD]]</f>
        <v>9.9732081185588335</v>
      </c>
      <c r="AF1158" s="204">
        <f>Delivery[[#This Row],[BEN premium (total)]]/Delivery[[#This Row],[Quantity delivered]]*60/Delivery[[#This Row],[Exchange rate for premiums VS USD]]</f>
        <v>3.3161899999999997</v>
      </c>
      <c r="AG1158" s="204">
        <f>COUNTIF(Delivery[Delivery ID],Delivery[[#This Row],[Delivery ID]])</f>
        <v>1</v>
      </c>
      <c r="AH1158" s="204">
        <f>(Delivery[[#This Row],[Nespresso total]]/SUMIF(Allocation!C:C,Delivery[Delivery ID],Allocation!H:H))/Delivery[[#This Row],[Exchange rate VS USD]]</f>
        <v>5.5268711157519403</v>
      </c>
      <c r="AI1158" s="204">
        <f>(Delivery[[#This Row],[AAA Premium (total)]]/SUMIF(Allocation!C:C,Delivery[Delivery ID],Allocation!H:H))/Delivery[[#This Row],[Exchange rate VS USD]]</f>
        <v>0.49857049240361273</v>
      </c>
      <c r="AJ1158" s="204">
        <f>Delivery[[#This Row],[Valor Prêmio Nespresso AAA por Kg (em US$)]]*60</f>
        <v>29.914229544216763</v>
      </c>
      <c r="AK1158" s="204">
        <f>Delivery[[#This Row],[Valor Prêmio Nespresso AAA por saca (em US$)]]/1.3228/100</f>
        <v>0.22614325328255794</v>
      </c>
      <c r="AL1158" s="204">
        <f>(Delivery[[#This Row],[BEN premium (total)]]/SUMIF(Allocation!C:C,Delivery[Delivery ID],Allocation!H:H))/Delivery[[#This Row],[Exchange rate for premiums VS USD]]</f>
        <v>0.16577960286693111</v>
      </c>
      <c r="AM1158" s="204">
        <f>Delivery[[#This Row],[Valor Prêmio Nespresso BEN por Kg (em US$)]]*60</f>
        <v>9.9467761720158663</v>
      </c>
      <c r="AN1158" s="204">
        <f>Delivery[[#This Row],[Valor Prêmio Nespresso BEN por saca (em US$)]]/1.3228/100</f>
        <v>7.5194860689566573E-2</v>
      </c>
      <c r="AO1158" s="204">
        <f>SUMIF(Allocation[Delivery ID],Delivery[[#This Row],[Delivery ID]],Allocation[Quantity allocated])*16*1.3228*Delivery[[#This Row],[Exchange rate VS USD]]/60</f>
        <v>15035.984273877335</v>
      </c>
      <c r="AP1158" s="204">
        <f>Delivery[[#This Row],[AAA Premium (total)]]</f>
        <v>21251.79</v>
      </c>
      <c r="AQ1158" s="204">
        <f>Delivery[[#This Row],[Valor pago pelo Cluster]]-Delivery[[#This Row],[Valor efetivamente pago pela Nespresso]]</f>
        <v>6215.8057261226659</v>
      </c>
    </row>
    <row r="1159" spans="1:43" ht="15.75">
      <c r="A1159" s="174" t="s">
        <v>69</v>
      </c>
      <c r="B1159" s="232" t="s">
        <v>68</v>
      </c>
      <c r="C1159" s="157">
        <v>1</v>
      </c>
      <c r="D1159" s="157" t="s">
        <v>468</v>
      </c>
      <c r="E1159" s="177" t="s">
        <v>468</v>
      </c>
      <c r="F1159" s="233" t="s">
        <v>543</v>
      </c>
      <c r="G1159" s="234">
        <v>43438</v>
      </c>
      <c r="H1159" s="157" t="s">
        <v>1318</v>
      </c>
      <c r="I1159" s="157" t="s">
        <v>737</v>
      </c>
      <c r="J1159" s="237">
        <v>33240</v>
      </c>
      <c r="K1159" s="175" t="s">
        <v>61</v>
      </c>
      <c r="L1159" s="175" t="s">
        <v>439</v>
      </c>
      <c r="M1159" s="175" t="s">
        <v>1343</v>
      </c>
      <c r="N1159" s="198"/>
      <c r="O1159" s="199"/>
      <c r="P1159" s="181">
        <v>0</v>
      </c>
      <c r="Q1159" s="177">
        <v>43432</v>
      </c>
      <c r="R1159" s="178">
        <v>434.05555500000003</v>
      </c>
      <c r="S1159" s="179">
        <v>235598.09450149201</v>
      </c>
      <c r="T1159" s="182" t="s">
        <v>45</v>
      </c>
      <c r="U1159" s="183">
        <v>3.8429000000000002</v>
      </c>
      <c r="V1159" s="179">
        <v>21251.79</v>
      </c>
      <c r="W1159" s="179">
        <v>7060.0577492539996</v>
      </c>
      <c r="X1159" s="196" t="s">
        <v>45</v>
      </c>
      <c r="Y1159" s="200">
        <v>3.8429000000000002</v>
      </c>
      <c r="Z1159" s="220" t="s">
        <v>473</v>
      </c>
      <c r="AA1159" s="201">
        <f>Delivery[[#This Row],[Quantity delivered]]*VLOOKUP(Delivery[[#This Row],[Unit]],References!$U:$X,4,FALSE)*VLOOKUP(CONCATENATE(Delivery[[#This Row],[Coffee specie]],Delivery[[#This Row],[Coffee state]]),References!$U:$X,4,FALSE)</f>
        <v>33240</v>
      </c>
      <c r="AB1159" s="202">
        <f>SUMIF(Allocation!C:C,Delivery[[#This Row],[Delivery ID]],Allocation!D:D)/Delivery[[#This Row],[Quantity delivered]]</f>
        <v>0.6669675090252708</v>
      </c>
      <c r="AC1159" s="203">
        <f>Delivery[[#This Row],[Quantity delivered]]*Delivery[[#This Row],[Base price (Unidad)]]/60</f>
        <v>240466.77747000003</v>
      </c>
      <c r="AD1159" s="204">
        <f>Delivery[[#This Row],[Nespresso total]]-Delivery[[#This Row],[Qt. Delivery * Base Price]]</f>
        <v>-4868.6829685080156</v>
      </c>
      <c r="AE1159" s="204">
        <f>Delivery[[#This Row],[AAA Premium (total)]]/Delivery[[#This Row],[Quantity delivered]]*60/Delivery[[#This Row],[Exchange rate VS USD]]</f>
        <v>9.9822092089185421</v>
      </c>
      <c r="AF1159" s="204">
        <f>Delivery[[#This Row],[BEN premium (total)]]/Delivery[[#This Row],[Quantity delivered]]*60/Delivery[[#This Row],[Exchange rate for premiums VS USD]]</f>
        <v>3.3161899999999997</v>
      </c>
      <c r="AG1159" s="204">
        <f>COUNTIF(Delivery[Delivery ID],Delivery[[#This Row],[Delivery ID]])</f>
        <v>1</v>
      </c>
      <c r="AH1159" s="204">
        <f>(Delivery[[#This Row],[Nespresso total]]/SUMIF(Allocation!C:C,Delivery[Delivery ID],Allocation!H:H))/Delivery[[#This Row],[Exchange rate VS USD]]</f>
        <v>5.5306604064880949</v>
      </c>
      <c r="AI1159" s="204">
        <f>(Delivery[[#This Row],[AAA Premium (total)]]/SUMIF(Allocation!C:C,Delivery[Delivery ID],Allocation!H:H))/Delivery[[#This Row],[Exchange rate VS USD]]</f>
        <v>0.49888533168614102</v>
      </c>
      <c r="AJ1159" s="204">
        <f>Delivery[[#This Row],[Valor Prêmio Nespresso AAA por Kg (em US$)]]*60</f>
        <v>29.93311990116846</v>
      </c>
      <c r="AK1159" s="204">
        <f>Delivery[[#This Row],[Valor Prêmio Nespresso AAA por saca (em US$)]]/1.3228/100</f>
        <v>0.22628605912585772</v>
      </c>
      <c r="AL1159" s="204">
        <f>(Delivery[[#This Row],[BEN premium (total)]]/SUMIF(Allocation!C:C,Delivery[Delivery ID],Allocation!H:H))/Delivery[[#This Row],[Exchange rate for premiums VS USD]]</f>
        <v>0.16573470996842579</v>
      </c>
      <c r="AM1159" s="204">
        <f>Delivery[[#This Row],[Valor Prêmio Nespresso BEN por Kg (em US$)]]*60</f>
        <v>9.9440825981055472</v>
      </c>
      <c r="AN1159" s="204">
        <f>Delivery[[#This Row],[Valor Prêmio Nespresso BEN por saca (em US$)]]/1.3228/100</f>
        <v>7.517449802015079E-2</v>
      </c>
      <c r="AO1159" s="204">
        <f>SUMIF(Allocation[Delivery ID],Delivery[[#This Row],[Delivery ID]],Allocation[Quantity allocated])*16*1.3228*Delivery[[#This Row],[Exchange rate VS USD]]/60</f>
        <v>15026.49528272</v>
      </c>
      <c r="AP1159" s="204">
        <f>Delivery[[#This Row],[AAA Premium (total)]]</f>
        <v>21251.79</v>
      </c>
      <c r="AQ1159" s="204">
        <f>Delivery[[#This Row],[Valor pago pelo Cluster]]-Delivery[[#This Row],[Valor efetivamente pago pela Nespresso]]</f>
        <v>6225.2947172800014</v>
      </c>
    </row>
    <row r="1160" spans="1:43" ht="15.75">
      <c r="A1160" s="174" t="s">
        <v>69</v>
      </c>
      <c r="B1160" s="232" t="s">
        <v>68</v>
      </c>
      <c r="C1160" s="157">
        <v>1</v>
      </c>
      <c r="D1160" s="157" t="s">
        <v>468</v>
      </c>
      <c r="E1160" s="177" t="s">
        <v>468</v>
      </c>
      <c r="F1160" s="233" t="s">
        <v>543</v>
      </c>
      <c r="G1160" s="234">
        <v>43438</v>
      </c>
      <c r="H1160" s="157" t="s">
        <v>1319</v>
      </c>
      <c r="I1160" s="157" t="s">
        <v>737</v>
      </c>
      <c r="J1160" s="237">
        <v>33330</v>
      </c>
      <c r="K1160" s="175" t="s">
        <v>61</v>
      </c>
      <c r="L1160" s="175" t="s">
        <v>439</v>
      </c>
      <c r="M1160" s="175" t="s">
        <v>1343</v>
      </c>
      <c r="N1160" s="198"/>
      <c r="O1160" s="199"/>
      <c r="P1160" s="181">
        <v>0</v>
      </c>
      <c r="Q1160" s="177">
        <v>43432</v>
      </c>
      <c r="R1160" s="178">
        <v>434.05555500000003</v>
      </c>
      <c r="S1160" s="179">
        <v>236011.43314183902</v>
      </c>
      <c r="T1160" s="182" t="s">
        <v>45</v>
      </c>
      <c r="U1160" s="183">
        <v>3.8429000000000002</v>
      </c>
      <c r="V1160" s="179">
        <v>21290.22</v>
      </c>
      <c r="W1160" s="179">
        <v>7079.1734290804989</v>
      </c>
      <c r="X1160" s="196" t="s">
        <v>45</v>
      </c>
      <c r="Y1160" s="200">
        <v>3.8429000000000002</v>
      </c>
      <c r="Z1160" s="220" t="s">
        <v>473</v>
      </c>
      <c r="AA1160" s="201">
        <f>Delivery[[#This Row],[Quantity delivered]]*VLOOKUP(Delivery[[#This Row],[Unit]],References!$U:$X,4,FALSE)*VLOOKUP(CONCATENATE(Delivery[[#This Row],[Coffee specie]],Delivery[[#This Row],[Coffee state]]),References!$U:$X,4,FALSE)</f>
        <v>33330</v>
      </c>
      <c r="AB1160" s="202">
        <f>SUMIF(Allocation!C:C,Delivery[[#This Row],[Delivery ID]],Allocation!D:D)/Delivery[[#This Row],[Quantity delivered]]</f>
        <v>0.66696669666966701</v>
      </c>
      <c r="AC1160" s="203">
        <f>Delivery[[#This Row],[Quantity delivered]]*Delivery[[#This Row],[Base price (Unidad)]]/60</f>
        <v>241117.86080250001</v>
      </c>
      <c r="AD1160" s="204">
        <f>Delivery[[#This Row],[Nespresso total]]-Delivery[[#This Row],[Qt. Delivery * Base Price]]</f>
        <v>-5106.4276606609928</v>
      </c>
      <c r="AE1160" s="204">
        <f>Delivery[[#This Row],[AAA Premium (total)]]/Delivery[[#This Row],[Quantity delivered]]*60/Delivery[[#This Row],[Exchange rate VS USD]]</f>
        <v>9.9732568172115545</v>
      </c>
      <c r="AF1160" s="204">
        <f>Delivery[[#This Row],[BEN premium (total)]]/Delivery[[#This Row],[Quantity delivered]]*60/Delivery[[#This Row],[Exchange rate for premiums VS USD]]</f>
        <v>3.3161899999999997</v>
      </c>
      <c r="AG1160" s="204">
        <f>COUNTIF(Delivery[Delivery ID],Delivery[[#This Row],[Delivery ID]])</f>
        <v>1</v>
      </c>
      <c r="AH1160" s="204">
        <f>(Delivery[[#This Row],[Nespresso total]]/SUMIF(Allocation!C:C,Delivery[Delivery ID],Allocation!H:H))/Delivery[[#This Row],[Exchange rate VS USD]]</f>
        <v>5.5254097748411883</v>
      </c>
      <c r="AI1160" s="204">
        <f>(Delivery[[#This Row],[AAA Premium (total)]]/SUMIF(Allocation!C:C,Delivery[Delivery ID],Allocation!H:H))/Delivery[[#This Row],[Exchange rate VS USD]]</f>
        <v>0.49843852109410874</v>
      </c>
      <c r="AJ1160" s="204">
        <f>Delivery[[#This Row],[Valor Prêmio Nespresso AAA por Kg (em US$)]]*60</f>
        <v>29.906311265646526</v>
      </c>
      <c r="AK1160" s="204">
        <f>Delivery[[#This Row],[Valor Prêmio Nespresso AAA por saca (em US$)]]/1.3228/100</f>
        <v>0.22608339329941432</v>
      </c>
      <c r="AL1160" s="204">
        <f>(Delivery[[#This Row],[BEN premium (total)]]/SUMIF(Allocation!C:C,Delivery[Delivery ID],Allocation!H:H))/Delivery[[#This Row],[Exchange rate for premiums VS USD]]</f>
        <v>0.16573491183085917</v>
      </c>
      <c r="AM1160" s="204">
        <f>Delivery[[#This Row],[Valor Prêmio Nespresso BEN por Kg (em US$)]]*60</f>
        <v>9.9440947098515498</v>
      </c>
      <c r="AN1160" s="204">
        <f>Delivery[[#This Row],[Valor Prêmio Nespresso BEN por saca (em US$)]]/1.3228/100</f>
        <v>7.5174589581581117E-2</v>
      </c>
      <c r="AO1160" s="204">
        <f>SUMIF(Allocation[Delivery ID],Delivery[[#This Row],[Delivery ID]],Allocation[Quantity allocated])*16*1.3228*Delivery[[#This Row],[Exchange rate VS USD]]/60</f>
        <v>15067.16238768</v>
      </c>
      <c r="AP1160" s="204">
        <f>Delivery[[#This Row],[AAA Premium (total)]]</f>
        <v>21290.22</v>
      </c>
      <c r="AQ1160" s="204">
        <f>Delivery[[#This Row],[Valor pago pelo Cluster]]-Delivery[[#This Row],[Valor efetivamente pago pela Nespresso]]</f>
        <v>6223.0576123200008</v>
      </c>
    </row>
    <row r="1161" spans="1:43" ht="15.75">
      <c r="A1161" s="174" t="s">
        <v>69</v>
      </c>
      <c r="B1161" s="232" t="s">
        <v>68</v>
      </c>
      <c r="C1161" s="157" t="s">
        <v>1344</v>
      </c>
      <c r="D1161" s="157" t="s">
        <v>468</v>
      </c>
      <c r="E1161" s="177" t="s">
        <v>468</v>
      </c>
      <c r="F1161" s="233" t="s">
        <v>543</v>
      </c>
      <c r="G1161" s="234">
        <v>43441</v>
      </c>
      <c r="H1161" s="157" t="s">
        <v>1786</v>
      </c>
      <c r="I1161" s="157" t="s">
        <v>1164</v>
      </c>
      <c r="J1161" s="237">
        <v>29990</v>
      </c>
      <c r="K1161" s="175" t="s">
        <v>61</v>
      </c>
      <c r="L1161" s="175" t="s">
        <v>439</v>
      </c>
      <c r="M1161" s="175" t="s">
        <v>1343</v>
      </c>
      <c r="N1161" s="198"/>
      <c r="O1161" s="199"/>
      <c r="P1161" s="181">
        <v>0</v>
      </c>
      <c r="Q1161" s="177">
        <v>43431</v>
      </c>
      <c r="R1161" s="178">
        <v>441.52471000000003</v>
      </c>
      <c r="S1161" s="179">
        <v>253803</v>
      </c>
      <c r="T1161" s="182" t="s">
        <v>45</v>
      </c>
      <c r="U1161" s="183">
        <v>3.8917999999999999</v>
      </c>
      <c r="V1161" s="179">
        <v>19460</v>
      </c>
      <c r="W1161" s="179">
        <v>0</v>
      </c>
      <c r="X1161" s="196" t="s">
        <v>45</v>
      </c>
      <c r="Y1161" s="200">
        <v>3.8917999999999999</v>
      </c>
      <c r="Z1161" s="220"/>
      <c r="AA1161" s="201">
        <f>Delivery[[#This Row],[Quantity delivered]]*VLOOKUP(Delivery[[#This Row],[Unit]],References!$U:$X,4,FALSE)*VLOOKUP(CONCATENATE(Delivery[[#This Row],[Coffee specie]],Delivery[[#This Row],[Coffee state]]),References!$U:$X,4,FALSE)</f>
        <v>29990</v>
      </c>
      <c r="AB1161" s="202">
        <f>SUMIF(Allocation!C:C,Delivery[[#This Row],[Delivery ID]],Allocation!D:D)/Delivery[[#This Row],[Quantity delivered]]</f>
        <v>1</v>
      </c>
      <c r="AC1161" s="203">
        <f>Delivery[[#This Row],[Quantity delivered]]*Delivery[[#This Row],[Base price (Unidad)]]/60</f>
        <v>220688.76754833336</v>
      </c>
      <c r="AD1161" s="204">
        <f>Delivery[[#This Row],[Nespresso total]]-Delivery[[#This Row],[Qt. Delivery * Base Price]]</f>
        <v>33114.232451666641</v>
      </c>
      <c r="AE1161" s="204">
        <f>Delivery[[#This Row],[AAA Premium (total)]]/Delivery[[#This Row],[Quantity delivered]]*60/Delivery[[#This Row],[Exchange rate VS USD]]</f>
        <v>10.003848517195063</v>
      </c>
      <c r="AF1161" s="204">
        <f>Delivery[[#This Row],[BEN premium (total)]]/Delivery[[#This Row],[Quantity delivered]]*60/Delivery[[#This Row],[Exchange rate for premiums VS USD]]</f>
        <v>0</v>
      </c>
      <c r="AG1161" s="204">
        <f>COUNTIF(Delivery[Delivery ID],Delivery[[#This Row],[Delivery ID]])</f>
        <v>1</v>
      </c>
      <c r="AH1161" s="204">
        <f>(Delivery[[#This Row],[Nespresso total]]/SUMIF(Allocation!C:C,Delivery[Delivery ID],Allocation!H:H))/Delivery[[#This Row],[Exchange rate VS USD]]</f>
        <v>5.436379678849045</v>
      </c>
      <c r="AI1161" s="204">
        <f>(Delivery[[#This Row],[AAA Premium (total)]]/SUMIF(Allocation!C:C,Delivery[Delivery ID],Allocation!H:H))/Delivery[[#This Row],[Exchange rate VS USD]]</f>
        <v>0.41682702154979423</v>
      </c>
      <c r="AJ1161" s="204">
        <f>Delivery[[#This Row],[Valor Prêmio Nespresso AAA por Kg (em US$)]]*60</f>
        <v>25.009621292987653</v>
      </c>
      <c r="AK1161" s="204">
        <f>Delivery[[#This Row],[Valor Prêmio Nespresso AAA por saca (em US$)]]/1.3228/100</f>
        <v>0.18906577935430643</v>
      </c>
      <c r="AL1161" s="204">
        <f>(Delivery[[#This Row],[BEN premium (total)]]/SUMIF(Allocation!C:C,Delivery[Delivery ID],Allocation!H:H))/Delivery[[#This Row],[Exchange rate for premiums VS USD]]</f>
        <v>0</v>
      </c>
      <c r="AM1161" s="204">
        <f>Delivery[[#This Row],[Valor Prêmio Nespresso BEN por Kg (em US$)]]*60</f>
        <v>0</v>
      </c>
      <c r="AN1161" s="204">
        <f>Delivery[[#This Row],[Valor Prêmio Nespresso BEN por saca (em US$)]]/1.3228/100</f>
        <v>0</v>
      </c>
      <c r="AO1161" s="204">
        <f>SUMIF(Allocation[Delivery ID],Delivery[[#This Row],[Delivery ID]],Allocation[Quantity allocated])*16*1.3228*Delivery[[#This Row],[Exchange rate VS USD]]/60</f>
        <v>16468.342450090666</v>
      </c>
      <c r="AP1161" s="204">
        <f>Delivery[[#This Row],[AAA Premium (total)]]</f>
        <v>19460</v>
      </c>
      <c r="AQ1161" s="204">
        <f>Delivery[[#This Row],[Valor pago pelo Cluster]]-Delivery[[#This Row],[Valor efetivamente pago pela Nespresso]]</f>
        <v>2991.6575499093342</v>
      </c>
    </row>
    <row r="1162" spans="1:43" ht="15.75">
      <c r="A1162" s="174" t="s">
        <v>69</v>
      </c>
      <c r="B1162" s="232" t="s">
        <v>68</v>
      </c>
      <c r="C1162" s="157" t="s">
        <v>1344</v>
      </c>
      <c r="D1162" s="157" t="s">
        <v>468</v>
      </c>
      <c r="E1162" s="177" t="s">
        <v>468</v>
      </c>
      <c r="F1162" s="233" t="s">
        <v>543</v>
      </c>
      <c r="G1162" s="234">
        <v>43439</v>
      </c>
      <c r="H1162" s="235" t="s">
        <v>1787</v>
      </c>
      <c r="I1162" s="157" t="s">
        <v>1638</v>
      </c>
      <c r="J1162" s="237">
        <v>30350</v>
      </c>
      <c r="K1162" s="175" t="s">
        <v>61</v>
      </c>
      <c r="L1162" s="175" t="s">
        <v>439</v>
      </c>
      <c r="M1162" s="175" t="s">
        <v>1343</v>
      </c>
      <c r="N1162" s="198"/>
      <c r="O1162" s="199"/>
      <c r="P1162" s="181">
        <v>0</v>
      </c>
      <c r="Q1162" s="177">
        <v>43432</v>
      </c>
      <c r="R1162" s="178">
        <v>433.95390000000003</v>
      </c>
      <c r="S1162" s="179">
        <v>225798.66</v>
      </c>
      <c r="T1162" s="182" t="s">
        <v>45</v>
      </c>
      <c r="U1162" s="183">
        <v>3.8420000000000001</v>
      </c>
      <c r="V1162" s="179">
        <v>29151.174999999999</v>
      </c>
      <c r="W1162" s="179">
        <v>0</v>
      </c>
      <c r="X1162" s="196" t="s">
        <v>45</v>
      </c>
      <c r="Y1162" s="200">
        <v>3.8420000000000001</v>
      </c>
      <c r="Z1162" s="221"/>
      <c r="AA1162" s="201">
        <f>Delivery[[#This Row],[Quantity delivered]]*VLOOKUP(Delivery[[#This Row],[Unit]],References!$U:$X,4,FALSE)*VLOOKUP(CONCATENATE(Delivery[[#This Row],[Coffee specie]],Delivery[[#This Row],[Coffee state]]),References!$U:$X,4,FALSE)</f>
        <v>30350</v>
      </c>
      <c r="AB1162" s="202">
        <f>SUMIF(Allocation!C:C,Delivery[[#This Row],[Delivery ID]],Allocation!D:D)/Delivery[[#This Row],[Quantity delivered]]</f>
        <v>0.33802306425041184</v>
      </c>
      <c r="AC1162" s="203">
        <f>Delivery[[#This Row],[Quantity delivered]]*Delivery[[#This Row],[Base price (Unidad)]]/60</f>
        <v>219508.34775000002</v>
      </c>
      <c r="AD1162" s="204">
        <f>Delivery[[#This Row],[Nespresso total]]-Delivery[[#This Row],[Qt. Delivery * Base Price]]</f>
        <v>6290.3122499999881</v>
      </c>
      <c r="AE1162" s="204">
        <f>Delivery[[#This Row],[AAA Premium (total)]]/Delivery[[#This Row],[Quantity delivered]]*60/Delivery[[#This Row],[Exchange rate VS USD]]</f>
        <v>15</v>
      </c>
      <c r="AF1162" s="204">
        <f>Delivery[[#This Row],[BEN premium (total)]]/Delivery[[#This Row],[Quantity delivered]]*60/Delivery[[#This Row],[Exchange rate for premiums VS USD]]</f>
        <v>0</v>
      </c>
      <c r="AG1162" s="204">
        <f>COUNTIF(Delivery[Delivery ID],Delivery[[#This Row],[Delivery ID]])</f>
        <v>1</v>
      </c>
      <c r="AH1162" s="204">
        <f>(Delivery[[#This Row],[Nespresso total]]/SUMIF(Allocation!C:C,Delivery[Delivery ID],Allocation!H:H))/Delivery[[#This Row],[Exchange rate VS USD]]</f>
        <v>8.1842535042984981</v>
      </c>
      <c r="AI1162" s="204">
        <f>(Delivery[[#This Row],[AAA Premium (total)]]/SUMIF(Allocation!C:C,Delivery[Delivery ID],Allocation!H:H))/Delivery[[#This Row],[Exchange rate VS USD]]</f>
        <v>1.0566077148029522</v>
      </c>
      <c r="AJ1162" s="204">
        <f>Delivery[[#This Row],[Valor Prêmio Nespresso AAA por Kg (em US$)]]*60</f>
        <v>63.396462888177133</v>
      </c>
      <c r="AK1162" s="204">
        <f>Delivery[[#This Row],[Valor Prêmio Nespresso AAA por saca (em US$)]]/1.3228/100</f>
        <v>0.47925962268050448</v>
      </c>
      <c r="AL1162" s="204">
        <f>(Delivery[[#This Row],[BEN premium (total)]]/SUMIF(Allocation!C:C,Delivery[Delivery ID],Allocation!H:H))/Delivery[[#This Row],[Exchange rate for premiums VS USD]]</f>
        <v>0</v>
      </c>
      <c r="AM1162" s="204">
        <f>Delivery[[#This Row],[Valor Prêmio Nespresso BEN por Kg (em US$)]]*60</f>
        <v>0</v>
      </c>
      <c r="AN1162" s="204">
        <f>Delivery[[#This Row],[Valor Prêmio Nespresso BEN por saca (em US$)]]/1.3228/100</f>
        <v>0</v>
      </c>
      <c r="AO1162" s="204">
        <f>SUMIF(Allocation[Delivery ID],Delivery[[#This Row],[Delivery ID]],Allocation[Quantity allocated])*16*1.3228*Delivery[[#This Row],[Exchange rate VS USD]]/60</f>
        <v>9732.0695908266662</v>
      </c>
      <c r="AP1162" s="204">
        <f>Delivery[[#This Row],[AAA Premium (total)]]</f>
        <v>29151.174999999999</v>
      </c>
      <c r="AQ1162" s="204">
        <f>Delivery[[#This Row],[Valor pago pelo Cluster]]-Delivery[[#This Row],[Valor efetivamente pago pela Nespresso]]</f>
        <v>19419.105409173331</v>
      </c>
    </row>
    <row r="1163" spans="1:43" ht="15.75">
      <c r="A1163" s="174" t="s">
        <v>69</v>
      </c>
      <c r="B1163" s="232" t="s">
        <v>68</v>
      </c>
      <c r="C1163" s="157">
        <v>1</v>
      </c>
      <c r="D1163" s="157" t="s">
        <v>468</v>
      </c>
      <c r="E1163" s="177" t="s">
        <v>468</v>
      </c>
      <c r="F1163" s="233" t="s">
        <v>543</v>
      </c>
      <c r="G1163" s="234">
        <v>43442</v>
      </c>
      <c r="H1163" s="157" t="s">
        <v>1788</v>
      </c>
      <c r="I1163" s="157" t="s">
        <v>1164</v>
      </c>
      <c r="J1163" s="237">
        <v>35920</v>
      </c>
      <c r="K1163" s="175" t="s">
        <v>61</v>
      </c>
      <c r="L1163" s="175" t="s">
        <v>439</v>
      </c>
      <c r="M1163" s="175" t="s">
        <v>1343</v>
      </c>
      <c r="N1163" s="198"/>
      <c r="O1163" s="199"/>
      <c r="P1163" s="181">
        <v>0</v>
      </c>
      <c r="Q1163" s="177">
        <v>43431</v>
      </c>
      <c r="R1163" s="178">
        <v>441.52471000000003</v>
      </c>
      <c r="S1163" s="179">
        <v>304563.59999999998</v>
      </c>
      <c r="T1163" s="182" t="s">
        <v>45</v>
      </c>
      <c r="U1163" s="183">
        <v>3.8917999999999999</v>
      </c>
      <c r="V1163" s="179">
        <v>23352</v>
      </c>
      <c r="W1163" s="179">
        <v>0</v>
      </c>
      <c r="X1163" s="196" t="s">
        <v>45</v>
      </c>
      <c r="Y1163" s="200">
        <v>3.8917999999999999</v>
      </c>
      <c r="Z1163" s="220"/>
      <c r="AA1163" s="201">
        <f>Delivery[[#This Row],[Quantity delivered]]*VLOOKUP(Delivery[[#This Row],[Unit]],References!$U:$X,4,FALSE)*VLOOKUP(CONCATENATE(Delivery[[#This Row],[Coffee specie]],Delivery[[#This Row],[Coffee state]]),References!$U:$X,4,FALSE)</f>
        <v>35920</v>
      </c>
      <c r="AB1163" s="202">
        <f>SUMIF(Allocation!C:C,Delivery[[#This Row],[Delivery ID]],Allocation!D:D)/Delivery[[#This Row],[Quantity delivered]]</f>
        <v>0.56333518930957682</v>
      </c>
      <c r="AC1163" s="203">
        <f>Delivery[[#This Row],[Quantity delivered]]*Delivery[[#This Row],[Base price (Unidad)]]/60</f>
        <v>264326.12638666667</v>
      </c>
      <c r="AD1163" s="204">
        <f>Delivery[[#This Row],[Nespresso total]]-Delivery[[#This Row],[Qt. Delivery * Base Price]]</f>
        <v>40237.473613333306</v>
      </c>
      <c r="AE1163" s="204">
        <f>Delivery[[#This Row],[AAA Premium (total)]]/Delivery[[#This Row],[Quantity delivered]]*60/Delivery[[#This Row],[Exchange rate VS USD]]</f>
        <v>10.022786760490419</v>
      </c>
      <c r="AF1163" s="204">
        <f>Delivery[[#This Row],[BEN premium (total)]]/Delivery[[#This Row],[Quantity delivered]]*60/Delivery[[#This Row],[Exchange rate for premiums VS USD]]</f>
        <v>0</v>
      </c>
      <c r="AG1163" s="204">
        <f>COUNTIF(Delivery[Delivery ID],Delivery[[#This Row],[Delivery ID]])</f>
        <v>1</v>
      </c>
      <c r="AH1163" s="204">
        <f>(Delivery[[#This Row],[Nespresso total]]/SUMIF(Allocation!C:C,Delivery[Delivery ID],Allocation!H:H))/Delivery[[#This Row],[Exchange rate VS USD]]</f>
        <v>9.668615363598688</v>
      </c>
      <c r="AI1163" s="204">
        <f>(Delivery[[#This Row],[AAA Premium (total)]]/SUMIF(Allocation!C:C,Delivery[Delivery ID],Allocation!H:H))/Delivery[[#This Row],[Exchange rate VS USD]]</f>
        <v>0.7413279392900417</v>
      </c>
      <c r="AJ1163" s="204">
        <f>Delivery[[#This Row],[Valor Prêmio Nespresso AAA por Kg (em US$)]]*60</f>
        <v>44.479676357402504</v>
      </c>
      <c r="AK1163" s="204">
        <f>Delivery[[#This Row],[Valor Prêmio Nespresso AAA por saca (em US$)]]/1.3228/100</f>
        <v>0.33625397911553151</v>
      </c>
      <c r="AL1163" s="204">
        <f>(Delivery[[#This Row],[BEN premium (total)]]/SUMIF(Allocation!C:C,Delivery[Delivery ID],Allocation!H:H))/Delivery[[#This Row],[Exchange rate for premiums VS USD]]</f>
        <v>0</v>
      </c>
      <c r="AM1163" s="204">
        <f>Delivery[[#This Row],[Valor Prêmio Nespresso BEN por Kg (em US$)]]*60</f>
        <v>0</v>
      </c>
      <c r="AN1163" s="204">
        <f>Delivery[[#This Row],[Valor Prêmio Nespresso BEN por saca (em US$)]]/1.3228/100</f>
        <v>0</v>
      </c>
      <c r="AO1163" s="204">
        <f>SUMIF(Allocation[Delivery ID],Delivery[[#This Row],[Delivery ID]],Allocation[Quantity allocated])*16*1.3228*Delivery[[#This Row],[Exchange rate VS USD]]/60</f>
        <v>11111.600849535998</v>
      </c>
      <c r="AP1163" s="204">
        <f>Delivery[[#This Row],[AAA Premium (total)]]</f>
        <v>23352</v>
      </c>
      <c r="AQ1163" s="204">
        <f>Delivery[[#This Row],[Valor pago pelo Cluster]]-Delivery[[#This Row],[Valor efetivamente pago pela Nespresso]]</f>
        <v>12240.399150464002</v>
      </c>
    </row>
    <row r="1164" spans="1:43" ht="15.75">
      <c r="A1164" s="174" t="s">
        <v>69</v>
      </c>
      <c r="B1164" s="232" t="s">
        <v>68</v>
      </c>
      <c r="C1164" s="157" t="s">
        <v>1344</v>
      </c>
      <c r="D1164" s="157" t="s">
        <v>468</v>
      </c>
      <c r="E1164" s="177" t="s">
        <v>468</v>
      </c>
      <c r="F1164" s="233" t="s">
        <v>543</v>
      </c>
      <c r="G1164" s="234">
        <v>43439</v>
      </c>
      <c r="H1164" s="235" t="s">
        <v>1789</v>
      </c>
      <c r="I1164" s="157" t="s">
        <v>1638</v>
      </c>
      <c r="J1164" s="237">
        <v>5137.5</v>
      </c>
      <c r="K1164" s="175" t="s">
        <v>61</v>
      </c>
      <c r="L1164" s="175" t="s">
        <v>439</v>
      </c>
      <c r="M1164" s="175" t="s">
        <v>1343</v>
      </c>
      <c r="N1164" s="198"/>
      <c r="O1164" s="199"/>
      <c r="P1164" s="181">
        <v>0</v>
      </c>
      <c r="Q1164" s="177">
        <v>43432</v>
      </c>
      <c r="R1164" s="178">
        <v>433.95390000000003</v>
      </c>
      <c r="S1164" s="179">
        <v>37821.599999999999</v>
      </c>
      <c r="T1164" s="182" t="s">
        <v>45</v>
      </c>
      <c r="U1164" s="183">
        <v>3.8420000000000001</v>
      </c>
      <c r="V1164" s="179">
        <v>4934.5687500000004</v>
      </c>
      <c r="W1164" s="179">
        <v>0</v>
      </c>
      <c r="X1164" s="196" t="s">
        <v>45</v>
      </c>
      <c r="Y1164" s="200">
        <v>3.8420000000000001</v>
      </c>
      <c r="Z1164" s="221"/>
      <c r="AA1164" s="201">
        <f>Delivery[[#This Row],[Quantity delivered]]*VLOOKUP(Delivery[[#This Row],[Unit]],References!$U:$X,4,FALSE)*VLOOKUP(CONCATENATE(Delivery[[#This Row],[Coffee specie]],Delivery[[#This Row],[Coffee state]]),References!$U:$X,4,FALSE)</f>
        <v>5137.5</v>
      </c>
      <c r="AB1164" s="202">
        <f>SUMIF(Allocation!C:C,Delivery[[#This Row],[Delivery ID]],Allocation!D:D)/Delivery[[#This Row],[Quantity delivered]]</f>
        <v>0.3379075425790754</v>
      </c>
      <c r="AC1164" s="203">
        <f>Delivery[[#This Row],[Quantity delivered]]*Delivery[[#This Row],[Base price (Unidad)]]/60</f>
        <v>37157.302687500007</v>
      </c>
      <c r="AD1164" s="204">
        <f>Delivery[[#This Row],[Nespresso total]]-Delivery[[#This Row],[Qt. Delivery * Base Price]]</f>
        <v>664.29731249999168</v>
      </c>
      <c r="AE1164" s="204">
        <f>Delivery[[#This Row],[AAA Premium (total)]]/Delivery[[#This Row],[Quantity delivered]]*60/Delivery[[#This Row],[Exchange rate VS USD]]</f>
        <v>15</v>
      </c>
      <c r="AF1164" s="204">
        <f>Delivery[[#This Row],[BEN premium (total)]]/Delivery[[#This Row],[Quantity delivered]]*60/Delivery[[#This Row],[Exchange rate for premiums VS USD]]</f>
        <v>0</v>
      </c>
      <c r="AG1164" s="204">
        <f>COUNTIF(Delivery[Delivery ID],Delivery[[#This Row],[Delivery ID]])</f>
        <v>1</v>
      </c>
      <c r="AH1164" s="204">
        <f>(Delivery[[#This Row],[Nespresso total]]/SUMIF(Allocation!C:C,Delivery[Delivery ID],Allocation!H:H))/Delivery[[#This Row],[Exchange rate VS USD]]</f>
        <v>8.1022615535889866</v>
      </c>
      <c r="AI1164" s="204">
        <f>(Delivery[[#This Row],[AAA Premium (total)]]/SUMIF(Allocation!C:C,Delivery[Delivery ID],Allocation!H:H))/Delivery[[#This Row],[Exchange rate VS USD]]</f>
        <v>1.0570987654320987</v>
      </c>
      <c r="AJ1164" s="204">
        <f>Delivery[[#This Row],[Valor Prêmio Nespresso AAA por Kg (em US$)]]*60</f>
        <v>63.425925925925924</v>
      </c>
      <c r="AK1164" s="204">
        <f>Delivery[[#This Row],[Valor Prêmio Nespresso AAA por saca (em US$)]]/1.3228/100</f>
        <v>0.47948235504933412</v>
      </c>
      <c r="AL1164" s="204">
        <f>(Delivery[[#This Row],[BEN premium (total)]]/SUMIF(Allocation!C:C,Delivery[Delivery ID],Allocation!H:H))/Delivery[[#This Row],[Exchange rate for premiums VS USD]]</f>
        <v>0</v>
      </c>
      <c r="AM1164" s="204">
        <f>Delivery[[#This Row],[Valor Prêmio Nespresso BEN por Kg (em US$)]]*60</f>
        <v>0</v>
      </c>
      <c r="AN1164" s="204">
        <f>Delivery[[#This Row],[Valor Prêmio Nespresso BEN por saca (em US$)]]/1.3228/100</f>
        <v>0</v>
      </c>
      <c r="AO1164" s="204">
        <f>SUMIF(Allocation[Delivery ID],Delivery[[#This Row],[Delivery ID]],Allocation[Quantity allocated])*16*1.3228*Delivery[[#This Row],[Exchange rate VS USD]]/60</f>
        <v>1646.6320224000001</v>
      </c>
      <c r="AP1164" s="204">
        <f>Delivery[[#This Row],[AAA Premium (total)]]</f>
        <v>4934.5687500000004</v>
      </c>
      <c r="AQ1164" s="204">
        <f>Delivery[[#This Row],[Valor pago pelo Cluster]]-Delivery[[#This Row],[Valor efetivamente pago pela Nespresso]]</f>
        <v>3287.9367276000003</v>
      </c>
    </row>
    <row r="1165" spans="1:43" ht="15.75">
      <c r="A1165" s="174" t="s">
        <v>69</v>
      </c>
      <c r="B1165" s="232" t="s">
        <v>68</v>
      </c>
      <c r="C1165" s="157">
        <v>1</v>
      </c>
      <c r="D1165" s="157" t="s">
        <v>468</v>
      </c>
      <c r="E1165" s="177" t="s">
        <v>468</v>
      </c>
      <c r="F1165" s="233" t="s">
        <v>543</v>
      </c>
      <c r="G1165" s="234">
        <v>43409</v>
      </c>
      <c r="H1165" s="157" t="s">
        <v>1790</v>
      </c>
      <c r="I1165" s="236" t="s">
        <v>1020</v>
      </c>
      <c r="J1165" s="237">
        <v>33360</v>
      </c>
      <c r="K1165" s="175" t="s">
        <v>61</v>
      </c>
      <c r="L1165" s="175" t="s">
        <v>439</v>
      </c>
      <c r="M1165" s="175" t="s">
        <v>1343</v>
      </c>
      <c r="N1165" s="198"/>
      <c r="O1165" s="199"/>
      <c r="P1165" s="181">
        <v>0</v>
      </c>
      <c r="Q1165" s="177">
        <v>43431</v>
      </c>
      <c r="R1165" s="178">
        <v>441.52471000000003</v>
      </c>
      <c r="S1165" s="179">
        <v>257799.41</v>
      </c>
      <c r="T1165" s="182" t="s">
        <v>45</v>
      </c>
      <c r="U1165" s="183">
        <v>3.8917999999999999</v>
      </c>
      <c r="V1165" s="179">
        <v>21639.52</v>
      </c>
      <c r="W1165" s="179">
        <v>0</v>
      </c>
      <c r="X1165" s="196" t="s">
        <v>45</v>
      </c>
      <c r="Y1165" s="200">
        <v>3.8917999999999999</v>
      </c>
      <c r="Z1165" s="220"/>
      <c r="AA1165" s="201">
        <f>Delivery[[#This Row],[Quantity delivered]]*VLOOKUP(Delivery[[#This Row],[Unit]],References!$U:$X,4,FALSE)*VLOOKUP(CONCATENATE(Delivery[[#This Row],[Coffee specie]],Delivery[[#This Row],[Coffee state]]),References!$U:$X,4,FALSE)</f>
        <v>33360</v>
      </c>
      <c r="AB1165" s="202">
        <f>SUMIF(Allocation!C:C,Delivery[[#This Row],[Delivery ID]],Allocation!D:D)/Delivery[[#This Row],[Quantity delivered]]</f>
        <v>1</v>
      </c>
      <c r="AC1165" s="203">
        <f>Delivery[[#This Row],[Quantity delivered]]*Delivery[[#This Row],[Base price (Unidad)]]/60</f>
        <v>245487.73876000001</v>
      </c>
      <c r="AD1165" s="204">
        <f>Delivery[[#This Row],[Nespresso total]]-Delivery[[#This Row],[Qt. Delivery * Base Price]]</f>
        <v>12311.671239999996</v>
      </c>
      <c r="AE1165" s="204">
        <f>Delivery[[#This Row],[AAA Premium (total)]]/Delivery[[#This Row],[Quantity delivered]]*60/Delivery[[#This Row],[Exchange rate VS USD]]</f>
        <v>10.000513901022664</v>
      </c>
      <c r="AF1165" s="204">
        <f>Delivery[[#This Row],[BEN premium (total)]]/Delivery[[#This Row],[Quantity delivered]]*60/Delivery[[#This Row],[Exchange rate for premiums VS USD]]</f>
        <v>0</v>
      </c>
      <c r="AG1165" s="204">
        <f>COUNTIF(Delivery[Delivery ID],Delivery[[#This Row],[Delivery ID]])</f>
        <v>1</v>
      </c>
      <c r="AH1165" s="204">
        <f>(Delivery[[#This Row],[Nespresso total]]/SUMIF(Allocation!C:C,Delivery[Delivery ID],Allocation!H:H))/Delivery[[#This Row],[Exchange rate VS USD]]</f>
        <v>4.6280786851438229</v>
      </c>
      <c r="AI1165" s="204">
        <f>(Delivery[[#This Row],[AAA Premium (total)]]/SUMIF(Allocation!C:C,Delivery[Delivery ID],Allocation!H:H))/Delivery[[#This Row],[Exchange rate VS USD]]</f>
        <v>0.38847800803246002</v>
      </c>
      <c r="AJ1165" s="204">
        <f>Delivery[[#This Row],[Valor Prêmio Nespresso AAA por Kg (em US$)]]*60</f>
        <v>23.308680481947601</v>
      </c>
      <c r="AK1165" s="204">
        <f>Delivery[[#This Row],[Valor Prêmio Nespresso AAA por saca (em US$)]]/1.3228/100</f>
        <v>0.17620714002077112</v>
      </c>
      <c r="AL1165" s="204">
        <f>(Delivery[[#This Row],[BEN premium (total)]]/SUMIF(Allocation!C:C,Delivery[Delivery ID],Allocation!H:H))/Delivery[[#This Row],[Exchange rate for premiums VS USD]]</f>
        <v>0</v>
      </c>
      <c r="AM1165" s="204">
        <f>Delivery[[#This Row],[Valor Prêmio Nespresso BEN por Kg (em US$)]]*60</f>
        <v>0</v>
      </c>
      <c r="AN1165" s="204">
        <f>Delivery[[#This Row],[Valor Prêmio Nespresso BEN por saca (em US$)]]/1.3228/100</f>
        <v>0</v>
      </c>
      <c r="AO1165" s="204">
        <f>SUMIF(Allocation[Delivery ID],Delivery[[#This Row],[Delivery ID]],Allocation[Quantity allocated])*16*1.3228*Delivery[[#This Row],[Exchange rate VS USD]]/60</f>
        <v>19649.165179071999</v>
      </c>
      <c r="AP1165" s="204">
        <f>Delivery[[#This Row],[AAA Premium (total)]]</f>
        <v>21639.52</v>
      </c>
      <c r="AQ1165" s="204">
        <f>Delivery[[#This Row],[Valor pago pelo Cluster]]-Delivery[[#This Row],[Valor efetivamente pago pela Nespresso]]</f>
        <v>1990.3548209280016</v>
      </c>
    </row>
    <row r="1166" spans="1:43" ht="15.75">
      <c r="A1166" s="174" t="s">
        <v>69</v>
      </c>
      <c r="B1166" s="232" t="s">
        <v>68</v>
      </c>
      <c r="C1166" s="157" t="s">
        <v>1344</v>
      </c>
      <c r="D1166" s="157" t="s">
        <v>468</v>
      </c>
      <c r="E1166" s="177" t="s">
        <v>468</v>
      </c>
      <c r="F1166" s="233" t="s">
        <v>543</v>
      </c>
      <c r="G1166" s="234">
        <v>43442</v>
      </c>
      <c r="H1166" s="235" t="s">
        <v>1791</v>
      </c>
      <c r="I1166" s="157" t="s">
        <v>1164</v>
      </c>
      <c r="J1166" s="237">
        <v>16730</v>
      </c>
      <c r="K1166" s="175" t="s">
        <v>61</v>
      </c>
      <c r="L1166" s="175" t="s">
        <v>439</v>
      </c>
      <c r="M1166" s="175" t="s">
        <v>1343</v>
      </c>
      <c r="N1166" s="198"/>
      <c r="O1166" s="199"/>
      <c r="P1166" s="181">
        <v>0</v>
      </c>
      <c r="Q1166" s="177">
        <v>43431</v>
      </c>
      <c r="R1166" s="178">
        <v>441.52471000000003</v>
      </c>
      <c r="S1166" s="179">
        <v>141622.07</v>
      </c>
      <c r="T1166" s="182" t="s">
        <v>45</v>
      </c>
      <c r="U1166" s="183">
        <v>3.8917999999999999</v>
      </c>
      <c r="V1166" s="179">
        <v>10858.68</v>
      </c>
      <c r="W1166" s="179">
        <v>0</v>
      </c>
      <c r="X1166" s="196" t="s">
        <v>45</v>
      </c>
      <c r="Y1166" s="200">
        <v>3.8917999999999999</v>
      </c>
      <c r="Z1166" s="221"/>
      <c r="AA1166" s="201">
        <f>Delivery[[#This Row],[Quantity delivered]]*VLOOKUP(Delivery[[#This Row],[Unit]],References!$U:$X,4,FALSE)*VLOOKUP(CONCATENATE(Delivery[[#This Row],[Coffee specie]],Delivery[[#This Row],[Coffee state]]),References!$U:$X,4,FALSE)</f>
        <v>16730</v>
      </c>
      <c r="AB1166" s="202">
        <f>SUMIF(Allocation!C:C,Delivery[[#This Row],[Delivery ID]],Allocation!D:D)/Delivery[[#This Row],[Quantity delivered]]</f>
        <v>0.68188882247459648</v>
      </c>
      <c r="AC1166" s="203">
        <f>Delivery[[#This Row],[Quantity delivered]]*Delivery[[#This Row],[Base price (Unidad)]]/60</f>
        <v>123111.80663833334</v>
      </c>
      <c r="AD1166" s="204">
        <f>Delivery[[#This Row],[Nespresso total]]-Delivery[[#This Row],[Qt. Delivery * Base Price]]</f>
        <v>18510.263361666672</v>
      </c>
      <c r="AE1166" s="204">
        <f>Delivery[[#This Row],[AAA Premium (total)]]/Delivery[[#This Row],[Quantity delivered]]*60/Delivery[[#This Row],[Exchange rate VS USD]]</f>
        <v>10.006491494508033</v>
      </c>
      <c r="AF1166" s="204">
        <f>Delivery[[#This Row],[BEN premium (total)]]/Delivery[[#This Row],[Quantity delivered]]*60/Delivery[[#This Row],[Exchange rate for premiums VS USD]]</f>
        <v>0</v>
      </c>
      <c r="AG1166" s="204">
        <f>COUNTIF(Delivery[Delivery ID],Delivery[[#This Row],[Delivery ID]])</f>
        <v>1</v>
      </c>
      <c r="AH1166" s="204">
        <f>(Delivery[[#This Row],[Nespresso total]]/SUMIF(Allocation!C:C,Delivery[Delivery ID],Allocation!H:H))/Delivery[[#This Row],[Exchange rate VS USD]]</f>
        <v>7.9749864787043556</v>
      </c>
      <c r="AI1166" s="204">
        <f>(Delivery[[#This Row],[AAA Premium (total)]]/SUMIF(Allocation!C:C,Delivery[Delivery ID],Allocation!H:H))/Delivery[[#This Row],[Exchange rate VS USD]]</f>
        <v>0.61147126416509379</v>
      </c>
      <c r="AJ1166" s="204">
        <f>Delivery[[#This Row],[Valor Prêmio Nespresso AAA por Kg (em US$)]]*60</f>
        <v>36.688275849905629</v>
      </c>
      <c r="AK1166" s="204">
        <f>Delivery[[#This Row],[Valor Prêmio Nespresso AAA por saca (em US$)]]/1.3228/100</f>
        <v>0.27735315882904166</v>
      </c>
      <c r="AL1166" s="204">
        <f>(Delivery[[#This Row],[BEN premium (total)]]/SUMIF(Allocation!C:C,Delivery[Delivery ID],Allocation!H:H))/Delivery[[#This Row],[Exchange rate for premiums VS USD]]</f>
        <v>0</v>
      </c>
      <c r="AM1166" s="204">
        <f>Delivery[[#This Row],[Valor Prêmio Nespresso BEN por Kg (em US$)]]*60</f>
        <v>0</v>
      </c>
      <c r="AN1166" s="204">
        <f>Delivery[[#This Row],[Valor Prêmio Nespresso BEN por saca (em US$)]]/1.3228/100</f>
        <v>0</v>
      </c>
      <c r="AO1166" s="204">
        <f>SUMIF(Allocation[Delivery ID],Delivery[[#This Row],[Delivery ID]],Allocation[Quantity allocated])*16*1.3228*Delivery[[#This Row],[Exchange rate VS USD]]/60</f>
        <v>6264.1752750719997</v>
      </c>
      <c r="AP1166" s="204">
        <f>Delivery[[#This Row],[AAA Premium (total)]]</f>
        <v>10858.68</v>
      </c>
      <c r="AQ1166" s="204">
        <f>Delivery[[#This Row],[Valor pago pelo Cluster]]-Delivery[[#This Row],[Valor efetivamente pago pela Nespresso]]</f>
        <v>4594.5047249280005</v>
      </c>
    </row>
    <row r="1167" spans="1:43" ht="15.75">
      <c r="A1167" s="174" t="s">
        <v>69</v>
      </c>
      <c r="B1167" s="232" t="s">
        <v>68</v>
      </c>
      <c r="C1167" s="157">
        <v>1</v>
      </c>
      <c r="D1167" s="157" t="s">
        <v>468</v>
      </c>
      <c r="E1167" s="177" t="s">
        <v>468</v>
      </c>
      <c r="F1167" s="233" t="s">
        <v>543</v>
      </c>
      <c r="G1167" s="234">
        <v>43440</v>
      </c>
      <c r="H1167" s="157" t="s">
        <v>1320</v>
      </c>
      <c r="I1167" s="157" t="s">
        <v>668</v>
      </c>
      <c r="J1167" s="237">
        <v>30000</v>
      </c>
      <c r="K1167" s="175" t="s">
        <v>61</v>
      </c>
      <c r="L1167" s="175" t="s">
        <v>439</v>
      </c>
      <c r="M1167" s="175" t="s">
        <v>1343</v>
      </c>
      <c r="N1167" s="198"/>
      <c r="O1167" s="199"/>
      <c r="P1167" s="181">
        <v>0</v>
      </c>
      <c r="Q1167" s="177">
        <v>43433</v>
      </c>
      <c r="R1167" s="178">
        <v>440.82035999999999</v>
      </c>
      <c r="S1167" s="179">
        <v>224384.00274035998</v>
      </c>
      <c r="T1167" s="182" t="s">
        <v>45</v>
      </c>
      <c r="U1167" s="183">
        <v>3.8466</v>
      </c>
      <c r="V1167" s="179">
        <v>13465</v>
      </c>
      <c r="W1167" s="179">
        <v>4209.4986298200001</v>
      </c>
      <c r="X1167" s="196" t="s">
        <v>45</v>
      </c>
      <c r="Y1167" s="200">
        <v>3.8466</v>
      </c>
      <c r="Z1167" s="220" t="s">
        <v>473</v>
      </c>
      <c r="AA1167" s="201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1167" s="202">
        <f>SUMIF(Allocation!C:C,Delivery[[#This Row],[Delivery ID]],Allocation!D:D)/Delivery[[#This Row],[Quantity delivered]]</f>
        <v>1</v>
      </c>
      <c r="AC1167" s="203">
        <f>Delivery[[#This Row],[Quantity delivered]]*Delivery[[#This Row],[Base price (Unidad)]]/60</f>
        <v>220410.18</v>
      </c>
      <c r="AD1167" s="204">
        <f>Delivery[[#This Row],[Nespresso total]]-Delivery[[#This Row],[Qt. Delivery * Base Price]]</f>
        <v>3973.8227403599885</v>
      </c>
      <c r="AE1167" s="204">
        <f>Delivery[[#This Row],[AAA Premium (total)]]/Delivery[[#This Row],[Quantity delivered]]*60/Delivery[[#This Row],[Exchange rate VS USD]]</f>
        <v>7.0009878854052925</v>
      </c>
      <c r="AF1167" s="204">
        <f>Delivery[[#This Row],[BEN premium (total)]]/Delivery[[#This Row],[Quantity delivered]]*60/Delivery[[#This Row],[Exchange rate for premiums VS USD]]</f>
        <v>2.1886853999999998</v>
      </c>
      <c r="AG1167" s="204">
        <f>COUNTIF(Delivery[Delivery ID],Delivery[[#This Row],[Delivery ID]])</f>
        <v>1</v>
      </c>
      <c r="AH1167" s="204">
        <f>(Delivery[[#This Row],[Nespresso total]]/SUMIF(Allocation!C:C,Delivery[Delivery ID],Allocation!H:H))/Delivery[[#This Row],[Exchange rate VS USD]]</f>
        <v>5.8762036945603695</v>
      </c>
      <c r="AI1167" s="204">
        <f>(Delivery[[#This Row],[AAA Premium (total)]]/SUMIF(Allocation!C:C,Delivery[Delivery ID],Allocation!H:H))/Delivery[[#This Row],[Exchange rate VS USD]]</f>
        <v>0.35262354615721231</v>
      </c>
      <c r="AJ1167" s="204">
        <f>Delivery[[#This Row],[Valor Prêmio Nespresso AAA por Kg (em US$)]]*60</f>
        <v>21.157412769432739</v>
      </c>
      <c r="AK1167" s="204">
        <f>Delivery[[#This Row],[Valor Prêmio Nespresso AAA por saca (em US$)]]/1.3228/100</f>
        <v>0.15994415459202252</v>
      </c>
      <c r="AL1167" s="204">
        <f>(Delivery[[#This Row],[BEN premium (total)]]/SUMIF(Allocation!C:C,Delivery[Delivery ID],Allocation!H:H))/Delivery[[#This Row],[Exchange rate for premiums VS USD]]</f>
        <v>0.11023901480809913</v>
      </c>
      <c r="AM1167" s="204">
        <f>Delivery[[#This Row],[Valor Prêmio Nespresso BEN por Kg (em US$)]]*60</f>
        <v>6.6143408884859474</v>
      </c>
      <c r="AN1167" s="204">
        <f>Delivery[[#This Row],[Valor Prêmio Nespresso BEN por saca (em US$)]]/1.3228/100</f>
        <v>5.0002577022119354E-2</v>
      </c>
      <c r="AO1167" s="204">
        <f>SUMIF(Allocation[Delivery ID],Delivery[[#This Row],[Delivery ID]],Allocation[Quantity allocated])*16*1.3228*Delivery[[#This Row],[Exchange rate VS USD]]/60</f>
        <v>13469.701381055998</v>
      </c>
      <c r="AP1167" s="204">
        <f>Delivery[[#This Row],[AAA Premium (total)]]</f>
        <v>13465</v>
      </c>
      <c r="AQ1167" s="204">
        <f>Delivery[[#This Row],[Valor pago pelo Cluster]]-Delivery[[#This Row],[Valor efetivamente pago pela Nespresso]]</f>
        <v>-4.701381055998354</v>
      </c>
    </row>
    <row r="1168" spans="1:43" ht="15.75">
      <c r="A1168" s="174" t="s">
        <v>69</v>
      </c>
      <c r="B1168" s="232" t="s">
        <v>68</v>
      </c>
      <c r="C1168" s="157">
        <v>1</v>
      </c>
      <c r="D1168" s="157" t="s">
        <v>468</v>
      </c>
      <c r="E1168" s="177" t="s">
        <v>468</v>
      </c>
      <c r="F1168" s="233" t="s">
        <v>543</v>
      </c>
      <c r="G1168" s="234">
        <v>43440</v>
      </c>
      <c r="H1168" s="157" t="s">
        <v>1321</v>
      </c>
      <c r="I1168" s="157" t="s">
        <v>668</v>
      </c>
      <c r="J1168" s="237">
        <v>30010</v>
      </c>
      <c r="K1168" s="175" t="s">
        <v>61</v>
      </c>
      <c r="L1168" s="175" t="s">
        <v>439</v>
      </c>
      <c r="M1168" s="175" t="s">
        <v>1343</v>
      </c>
      <c r="N1168" s="198"/>
      <c r="O1168" s="199"/>
      <c r="P1168" s="181">
        <v>0</v>
      </c>
      <c r="Q1168" s="177">
        <v>43433</v>
      </c>
      <c r="R1168" s="178">
        <v>440.82035999999999</v>
      </c>
      <c r="S1168" s="179">
        <v>224381.19640794012</v>
      </c>
      <c r="T1168" s="182" t="s">
        <v>45</v>
      </c>
      <c r="U1168" s="183">
        <v>3.8466</v>
      </c>
      <c r="V1168" s="179">
        <v>13465</v>
      </c>
      <c r="W1168" s="179">
        <v>4210.9017960299398</v>
      </c>
      <c r="X1168" s="196" t="s">
        <v>45</v>
      </c>
      <c r="Y1168" s="200">
        <v>3.8466</v>
      </c>
      <c r="Z1168" s="220" t="s">
        <v>473</v>
      </c>
      <c r="AA1168" s="201">
        <f>Delivery[[#This Row],[Quantity delivered]]*VLOOKUP(Delivery[[#This Row],[Unit]],References!$U:$X,4,FALSE)*VLOOKUP(CONCATENATE(Delivery[[#This Row],[Coffee specie]],Delivery[[#This Row],[Coffee state]]),References!$U:$X,4,FALSE)</f>
        <v>30010</v>
      </c>
      <c r="AB1168" s="202">
        <f>SUMIF(Allocation!C:C,Delivery[[#This Row],[Delivery ID]],Allocation!D:D)/Delivery[[#This Row],[Quantity delivered]]</f>
        <v>1</v>
      </c>
      <c r="AC1168" s="203">
        <f>Delivery[[#This Row],[Quantity delivered]]*Delivery[[#This Row],[Base price (Unidad)]]/60</f>
        <v>220483.65005999999</v>
      </c>
      <c r="AD1168" s="204">
        <f>Delivery[[#This Row],[Nespresso total]]-Delivery[[#This Row],[Qt. Delivery * Base Price]]</f>
        <v>3897.5463479401369</v>
      </c>
      <c r="AE1168" s="204">
        <f>Delivery[[#This Row],[AAA Premium (total)]]/Delivery[[#This Row],[Quantity delivered]]*60/Delivery[[#This Row],[Exchange rate VS USD]]</f>
        <v>6.998655000405158</v>
      </c>
      <c r="AF1168" s="204">
        <f>Delivery[[#This Row],[BEN premium (total)]]/Delivery[[#This Row],[Quantity delivered]]*60/Delivery[[#This Row],[Exchange rate for premiums VS USD]]</f>
        <v>2.1886853999999998</v>
      </c>
      <c r="AG1168" s="204">
        <f>COUNTIF(Delivery[Delivery ID],Delivery[[#This Row],[Delivery ID]])</f>
        <v>1</v>
      </c>
      <c r="AH1168" s="204">
        <f>(Delivery[[#This Row],[Nespresso total]]/SUMIF(Allocation!C:C,Delivery[Delivery ID],Allocation!H:H))/Delivery[[#This Row],[Exchange rate VS USD]]</f>
        <v>5.8123101349243518</v>
      </c>
      <c r="AI1168" s="204">
        <f>(Delivery[[#This Row],[AAA Premium (total)]]/SUMIF(Allocation!C:C,Delivery[Delivery ID],Allocation!H:H))/Delivery[[#This Row],[Exchange rate VS USD]]</f>
        <v>0.3487937368177208</v>
      </c>
      <c r="AJ1168" s="204">
        <f>Delivery[[#This Row],[Valor Prêmio Nespresso AAA por Kg (em US$)]]*60</f>
        <v>20.927624209063246</v>
      </c>
      <c r="AK1168" s="204">
        <f>Delivery[[#This Row],[Valor Prêmio Nespresso AAA por saca (em US$)]]/1.3228/100</f>
        <v>0.15820701700229248</v>
      </c>
      <c r="AL1168" s="204">
        <f>(Delivery[[#This Row],[BEN premium (total)]]/SUMIF(Allocation!C:C,Delivery[Delivery ID],Allocation!H:H))/Delivery[[#This Row],[Exchange rate for premiums VS USD]]</f>
        <v>0.10907806704862495</v>
      </c>
      <c r="AM1168" s="204">
        <f>Delivery[[#This Row],[Valor Prêmio Nespresso BEN por Kg (em US$)]]*60</f>
        <v>6.5446840229174974</v>
      </c>
      <c r="AN1168" s="204">
        <f>Delivery[[#This Row],[Valor Prêmio Nespresso BEN por saca (em US$)]]/1.3228/100</f>
        <v>4.9475990496805997E-2</v>
      </c>
      <c r="AO1168" s="204">
        <f>SUMIF(Allocation[Delivery ID],Delivery[[#This Row],[Delivery ID]],Allocation[Quantity allocated])*16*1.3228*Delivery[[#This Row],[Exchange rate VS USD]]/60</f>
        <v>13617.600791808001</v>
      </c>
      <c r="AP1168" s="204">
        <f>Delivery[[#This Row],[AAA Premium (total)]]</f>
        <v>13465</v>
      </c>
      <c r="AQ1168" s="204">
        <f>Delivery[[#This Row],[Valor pago pelo Cluster]]-Delivery[[#This Row],[Valor efetivamente pago pela Nespresso]]</f>
        <v>-152.6007918080013</v>
      </c>
    </row>
    <row r="1169" spans="1:43" ht="15.75">
      <c r="A1169" s="174" t="s">
        <v>69</v>
      </c>
      <c r="B1169" s="232" t="s">
        <v>68</v>
      </c>
      <c r="C1169" s="157" t="s">
        <v>1344</v>
      </c>
      <c r="D1169" s="157" t="s">
        <v>468</v>
      </c>
      <c r="E1169" s="177" t="s">
        <v>468</v>
      </c>
      <c r="F1169" s="233" t="s">
        <v>543</v>
      </c>
      <c r="G1169" s="234">
        <v>43441</v>
      </c>
      <c r="H1169" s="235" t="s">
        <v>1792</v>
      </c>
      <c r="I1169" s="157" t="s">
        <v>1615</v>
      </c>
      <c r="J1169" s="237">
        <v>30970</v>
      </c>
      <c r="K1169" s="175" t="s">
        <v>61</v>
      </c>
      <c r="L1169" s="175" t="s">
        <v>439</v>
      </c>
      <c r="M1169" s="175" t="s">
        <v>1343</v>
      </c>
      <c r="N1169" s="198"/>
      <c r="O1169" s="199"/>
      <c r="P1169" s="181">
        <v>0</v>
      </c>
      <c r="Q1169" s="177">
        <v>43438</v>
      </c>
      <c r="R1169" s="178">
        <v>406.16166999999996</v>
      </c>
      <c r="S1169" s="179">
        <v>210248.75</v>
      </c>
      <c r="T1169" s="182" t="s">
        <v>45</v>
      </c>
      <c r="U1169" s="183">
        <v>3.8209</v>
      </c>
      <c r="V1169" s="179">
        <v>13776.25</v>
      </c>
      <c r="W1169" s="179">
        <v>0</v>
      </c>
      <c r="X1169" s="196" t="s">
        <v>45</v>
      </c>
      <c r="Y1169" s="200">
        <v>3.8209</v>
      </c>
      <c r="Z1169" s="221"/>
      <c r="AA1169" s="201">
        <f>Delivery[[#This Row],[Quantity delivered]]*VLOOKUP(Delivery[[#This Row],[Unit]],References!$U:$X,4,FALSE)*VLOOKUP(CONCATENATE(Delivery[[#This Row],[Coffee specie]],Delivery[[#This Row],[Coffee state]]),References!$U:$X,4,FALSE)</f>
        <v>30970</v>
      </c>
      <c r="AB1169" s="202">
        <f>SUMIF(Allocation!C:C,Delivery[[#This Row],[Delivery ID]],Allocation!D:D)/Delivery[[#This Row],[Quantity delivered]]</f>
        <v>0.45850823377462058</v>
      </c>
      <c r="AC1169" s="203">
        <f>Delivery[[#This Row],[Quantity delivered]]*Delivery[[#This Row],[Base price (Unidad)]]/60</f>
        <v>209647.11533166663</v>
      </c>
      <c r="AD1169" s="204">
        <f>Delivery[[#This Row],[Nespresso total]]-Delivery[[#This Row],[Qt. Delivery * Base Price]]</f>
        <v>601.63466833336861</v>
      </c>
      <c r="AE1169" s="204">
        <f>Delivery[[#This Row],[AAA Premium (total)]]/Delivery[[#This Row],[Quantity delivered]]*60/Delivery[[#This Row],[Exchange rate VS USD]]</f>
        <v>6.9851444065102468</v>
      </c>
      <c r="AF1169" s="204">
        <f>Delivery[[#This Row],[BEN premium (total)]]/Delivery[[#This Row],[Quantity delivered]]*60/Delivery[[#This Row],[Exchange rate for premiums VS USD]]</f>
        <v>0</v>
      </c>
      <c r="AG1169" s="204">
        <f>COUNTIF(Delivery[Delivery ID],Delivery[[#This Row],[Delivery ID]])</f>
        <v>1</v>
      </c>
      <c r="AH1169" s="204">
        <f>(Delivery[[#This Row],[Nespresso total]]/SUMIF(Allocation!C:C,Delivery[Delivery ID],Allocation!H:H))/Delivery[[#This Row],[Exchange rate VS USD]]</f>
        <v>11.742632427549594</v>
      </c>
      <c r="AI1169" s="204">
        <f>(Delivery[[#This Row],[AAA Premium (total)]]/SUMIF(Allocation!C:C,Delivery[Delivery ID],Allocation!H:H))/Delivery[[#This Row],[Exchange rate VS USD]]</f>
        <v>0.7694192711254173</v>
      </c>
      <c r="AJ1169" s="204">
        <f>Delivery[[#This Row],[Valor Prêmio Nespresso AAA por Kg (em US$)]]*60</f>
        <v>46.165156267525035</v>
      </c>
      <c r="AK1169" s="204">
        <f>Delivery[[#This Row],[Valor Prêmio Nespresso AAA por saca (em US$)]]/1.3228/100</f>
        <v>0.34899573833931841</v>
      </c>
      <c r="AL1169" s="204">
        <f>(Delivery[[#This Row],[BEN premium (total)]]/SUMIF(Allocation!C:C,Delivery[Delivery ID],Allocation!H:H))/Delivery[[#This Row],[Exchange rate for premiums VS USD]]</f>
        <v>0</v>
      </c>
      <c r="AM1169" s="204">
        <f>Delivery[[#This Row],[Valor Prêmio Nespresso BEN por Kg (em US$)]]*60</f>
        <v>0</v>
      </c>
      <c r="AN1169" s="204">
        <f>Delivery[[#This Row],[Valor Prêmio Nespresso BEN por saca (em US$)]]/1.3228/100</f>
        <v>0</v>
      </c>
      <c r="AO1169" s="204">
        <f>SUMIF(Allocation[Delivery ID],Delivery[[#This Row],[Delivery ID]],Allocation[Quantity allocated])*16*1.3228*Delivery[[#This Row],[Exchange rate VS USD]]/60</f>
        <v>6315.8364353920006</v>
      </c>
      <c r="AP1169" s="204">
        <f>Delivery[[#This Row],[AAA Premium (total)]]</f>
        <v>13776.25</v>
      </c>
      <c r="AQ1169" s="204">
        <f>Delivery[[#This Row],[Valor pago pelo Cluster]]-Delivery[[#This Row],[Valor efetivamente pago pela Nespresso]]</f>
        <v>7460.4135646079994</v>
      </c>
    </row>
    <row r="1170" spans="1:43" ht="15.75">
      <c r="A1170" s="174" t="s">
        <v>69</v>
      </c>
      <c r="B1170" s="232" t="s">
        <v>68</v>
      </c>
      <c r="C1170" s="157" t="s">
        <v>1344</v>
      </c>
      <c r="D1170" s="157" t="s">
        <v>468</v>
      </c>
      <c r="E1170" s="177" t="s">
        <v>468</v>
      </c>
      <c r="F1170" s="233" t="s">
        <v>543</v>
      </c>
      <c r="G1170" s="234">
        <v>43441</v>
      </c>
      <c r="H1170" s="235" t="s">
        <v>1793</v>
      </c>
      <c r="I1170" s="157" t="s">
        <v>1615</v>
      </c>
      <c r="J1170" s="237">
        <v>30950</v>
      </c>
      <c r="K1170" s="175" t="s">
        <v>61</v>
      </c>
      <c r="L1170" s="175" t="s">
        <v>439</v>
      </c>
      <c r="M1170" s="175" t="s">
        <v>1343</v>
      </c>
      <c r="N1170" s="198"/>
      <c r="O1170" s="199"/>
      <c r="P1170" s="181">
        <v>0</v>
      </c>
      <c r="Q1170" s="177">
        <v>43438</v>
      </c>
      <c r="R1170" s="178">
        <v>406.16166999999996</v>
      </c>
      <c r="S1170" s="179">
        <v>210248.75</v>
      </c>
      <c r="T1170" s="182" t="s">
        <v>45</v>
      </c>
      <c r="U1170" s="183">
        <v>3.8209</v>
      </c>
      <c r="V1170" s="179">
        <v>13776.25</v>
      </c>
      <c r="W1170" s="179">
        <v>0</v>
      </c>
      <c r="X1170" s="196" t="s">
        <v>45</v>
      </c>
      <c r="Y1170" s="200">
        <v>3.8209</v>
      </c>
      <c r="Z1170" s="221"/>
      <c r="AA1170" s="201">
        <f>Delivery[[#This Row],[Quantity delivered]]*VLOOKUP(Delivery[[#This Row],[Unit]],References!$U:$X,4,FALSE)*VLOOKUP(CONCATENATE(Delivery[[#This Row],[Coffee specie]],Delivery[[#This Row],[Coffee state]]),References!$U:$X,4,FALSE)</f>
        <v>30950</v>
      </c>
      <c r="AB1170" s="202">
        <f>SUMIF(Allocation!C:C,Delivery[[#This Row],[Delivery ID]],Allocation!D:D)/Delivery[[#This Row],[Quantity delivered]]</f>
        <v>0.44361873990306949</v>
      </c>
      <c r="AC1170" s="203">
        <f>Delivery[[#This Row],[Quantity delivered]]*Delivery[[#This Row],[Base price (Unidad)]]/60</f>
        <v>209511.72810833331</v>
      </c>
      <c r="AD1170" s="204">
        <f>Delivery[[#This Row],[Nespresso total]]-Delivery[[#This Row],[Qt. Delivery * Base Price]]</f>
        <v>737.02189166669268</v>
      </c>
      <c r="AE1170" s="204">
        <f>Delivery[[#This Row],[AAA Premium (total)]]/Delivery[[#This Row],[Quantity delivered]]*60/Delivery[[#This Row],[Exchange rate VS USD]]</f>
        <v>6.9896582316517719</v>
      </c>
      <c r="AF1170" s="204">
        <f>Delivery[[#This Row],[BEN premium (total)]]/Delivery[[#This Row],[Quantity delivered]]*60/Delivery[[#This Row],[Exchange rate for premiums VS USD]]</f>
        <v>0</v>
      </c>
      <c r="AG1170" s="204">
        <f>COUNTIF(Delivery[Delivery ID],Delivery[[#This Row],[Delivery ID]])</f>
        <v>1</v>
      </c>
      <c r="AH1170" s="204">
        <f>(Delivery[[#This Row],[Nespresso total]]/SUMIF(Allocation!C:C,Delivery[Delivery ID],Allocation!H:H))/Delivery[[#This Row],[Exchange rate VS USD]]</f>
        <v>12.14433360306718</v>
      </c>
      <c r="AI1170" s="204">
        <f>(Delivery[[#This Row],[AAA Premium (total)]]/SUMIF(Allocation!C:C,Delivery[Delivery ID],Allocation!H:H))/Delivery[[#This Row],[Exchange rate VS USD]]</f>
        <v>0.79574016872516129</v>
      </c>
      <c r="AJ1170" s="204">
        <f>Delivery[[#This Row],[Valor Prêmio Nespresso AAA por Kg (em US$)]]*60</f>
        <v>47.744410123509681</v>
      </c>
      <c r="AK1170" s="204">
        <f>Delivery[[#This Row],[Valor Prêmio Nespresso AAA por saca (em US$)]]/1.3228/100</f>
        <v>0.36093445814567349</v>
      </c>
      <c r="AL1170" s="204">
        <f>(Delivery[[#This Row],[BEN premium (total)]]/SUMIF(Allocation!C:C,Delivery[Delivery ID],Allocation!H:H))/Delivery[[#This Row],[Exchange rate for premiums VS USD]]</f>
        <v>0</v>
      </c>
      <c r="AM1170" s="204">
        <f>Delivery[[#This Row],[Valor Prêmio Nespresso BEN por Kg (em US$)]]*60</f>
        <v>0</v>
      </c>
      <c r="AN1170" s="204">
        <f>Delivery[[#This Row],[Valor Prêmio Nespresso BEN por saca (em US$)]]/1.3228/100</f>
        <v>0</v>
      </c>
      <c r="AO1170" s="204">
        <f>SUMIF(Allocation[Delivery ID],Delivery[[#This Row],[Delivery ID]],Allocation[Quantity allocated])*16*1.3228*Delivery[[#This Row],[Exchange rate VS USD]]/60</f>
        <v>6106.9259258986667</v>
      </c>
      <c r="AP1170" s="204">
        <f>Delivery[[#This Row],[AAA Premium (total)]]</f>
        <v>13776.25</v>
      </c>
      <c r="AQ1170" s="204">
        <f>Delivery[[#This Row],[Valor pago pelo Cluster]]-Delivery[[#This Row],[Valor efetivamente pago pela Nespresso]]</f>
        <v>7669.3240741013333</v>
      </c>
    </row>
    <row r="1171" spans="1:43" ht="15.75">
      <c r="A1171" s="174" t="s">
        <v>69</v>
      </c>
      <c r="B1171" s="232" t="s">
        <v>68</v>
      </c>
      <c r="C1171" s="157" t="s">
        <v>1344</v>
      </c>
      <c r="D1171" s="157" t="s">
        <v>468</v>
      </c>
      <c r="E1171" s="177" t="s">
        <v>468</v>
      </c>
      <c r="F1171" s="233" t="s">
        <v>543</v>
      </c>
      <c r="G1171" s="234">
        <v>43441</v>
      </c>
      <c r="H1171" s="235" t="s">
        <v>1794</v>
      </c>
      <c r="I1171" s="157" t="s">
        <v>1615</v>
      </c>
      <c r="J1171" s="237">
        <v>30990</v>
      </c>
      <c r="K1171" s="175" t="s">
        <v>61</v>
      </c>
      <c r="L1171" s="175" t="s">
        <v>439</v>
      </c>
      <c r="M1171" s="175" t="s">
        <v>1343</v>
      </c>
      <c r="N1171" s="198"/>
      <c r="O1171" s="199"/>
      <c r="P1171" s="181">
        <v>0</v>
      </c>
      <c r="Q1171" s="177">
        <v>43438</v>
      </c>
      <c r="R1171" s="178">
        <v>406.16166999999996</v>
      </c>
      <c r="S1171" s="179">
        <v>210248.75</v>
      </c>
      <c r="T1171" s="182" t="s">
        <v>45</v>
      </c>
      <c r="U1171" s="183">
        <v>3.8209</v>
      </c>
      <c r="V1171" s="179">
        <v>13776.25</v>
      </c>
      <c r="W1171" s="179">
        <v>0</v>
      </c>
      <c r="X1171" s="196" t="s">
        <v>45</v>
      </c>
      <c r="Y1171" s="200">
        <v>3.8209</v>
      </c>
      <c r="Z1171" s="221"/>
      <c r="AA1171" s="201">
        <f>Delivery[[#This Row],[Quantity delivered]]*VLOOKUP(Delivery[[#This Row],[Unit]],References!$U:$X,4,FALSE)*VLOOKUP(CONCATENATE(Delivery[[#This Row],[Coffee specie]],Delivery[[#This Row],[Coffee state]]),References!$U:$X,4,FALSE)</f>
        <v>30990</v>
      </c>
      <c r="AB1171" s="202">
        <f>SUMIF(Allocation!C:C,Delivery[[#This Row],[Delivery ID]],Allocation!D:D)/Delivery[[#This Row],[Quantity delivered]]</f>
        <v>0.44362697644401422</v>
      </c>
      <c r="AC1171" s="203">
        <f>Delivery[[#This Row],[Quantity delivered]]*Delivery[[#This Row],[Base price (Unidad)]]/60</f>
        <v>209782.50255499998</v>
      </c>
      <c r="AD1171" s="204">
        <f>Delivery[[#This Row],[Nespresso total]]-Delivery[[#This Row],[Qt. Delivery * Base Price]]</f>
        <v>466.24744500001543</v>
      </c>
      <c r="AE1171" s="204">
        <f>Delivery[[#This Row],[AAA Premium (total)]]/Delivery[[#This Row],[Quantity delivered]]*60/Delivery[[#This Row],[Exchange rate VS USD]]</f>
        <v>6.9806364075386353</v>
      </c>
      <c r="AF1171" s="204">
        <f>Delivery[[#This Row],[BEN premium (total)]]/Delivery[[#This Row],[Quantity delivered]]*60/Delivery[[#This Row],[Exchange rate for premiums VS USD]]</f>
        <v>0</v>
      </c>
      <c r="AG1171" s="204">
        <f>COUNTIF(Delivery[Delivery ID],Delivery[[#This Row],[Delivery ID]])</f>
        <v>1</v>
      </c>
      <c r="AH1171" s="204">
        <f>(Delivery[[#This Row],[Nespresso total]]/SUMIF(Allocation!C:C,Delivery[Delivery ID],Allocation!H:H))/Delivery[[#This Row],[Exchange rate VS USD]]</f>
        <v>12.128273210380737</v>
      </c>
      <c r="AI1171" s="204">
        <f>(Delivery[[#This Row],[AAA Premium (total)]]/SUMIF(Allocation!C:C,Delivery[Delivery ID],Allocation!H:H))/Delivery[[#This Row],[Exchange rate VS USD]]</f>
        <v>0.79468783436052581</v>
      </c>
      <c r="AJ1171" s="204">
        <f>Delivery[[#This Row],[Valor Prêmio Nespresso AAA por Kg (em US$)]]*60</f>
        <v>47.681270061631551</v>
      </c>
      <c r="AK1171" s="204">
        <f>Delivery[[#This Row],[Valor Prêmio Nespresso AAA por saca (em US$)]]/1.3228/100</f>
        <v>0.36045713684329866</v>
      </c>
      <c r="AL1171" s="204">
        <f>(Delivery[[#This Row],[BEN premium (total)]]/SUMIF(Allocation!C:C,Delivery[Delivery ID],Allocation!H:H))/Delivery[[#This Row],[Exchange rate for premiums VS USD]]</f>
        <v>0</v>
      </c>
      <c r="AM1171" s="204">
        <f>Delivery[[#This Row],[Valor Prêmio Nespresso BEN por Kg (em US$)]]*60</f>
        <v>0</v>
      </c>
      <c r="AN1171" s="204">
        <f>Delivery[[#This Row],[Valor Prêmio Nespresso BEN por saca (em US$)]]/1.3228/100</f>
        <v>0</v>
      </c>
      <c r="AO1171" s="204">
        <f>SUMIF(Allocation[Delivery ID],Delivery[[#This Row],[Delivery ID]],Allocation[Quantity allocated])*16*1.3228*Delivery[[#This Row],[Exchange rate VS USD]]/60</f>
        <v>6115.0127843306664</v>
      </c>
      <c r="AP1171" s="204">
        <f>Delivery[[#This Row],[AAA Premium (total)]]</f>
        <v>13776.25</v>
      </c>
      <c r="AQ1171" s="204">
        <f>Delivery[[#This Row],[Valor pago pelo Cluster]]-Delivery[[#This Row],[Valor efetivamente pago pela Nespresso]]</f>
        <v>7661.2372156693336</v>
      </c>
    </row>
    <row r="1172" spans="1:43" ht="15.75">
      <c r="A1172" s="174" t="s">
        <v>69</v>
      </c>
      <c r="B1172" s="232" t="s">
        <v>68</v>
      </c>
      <c r="C1172" s="157" t="s">
        <v>1344</v>
      </c>
      <c r="D1172" s="157" t="s">
        <v>468</v>
      </c>
      <c r="E1172" s="177" t="s">
        <v>468</v>
      </c>
      <c r="F1172" s="233" t="s">
        <v>543</v>
      </c>
      <c r="G1172" s="234">
        <v>43441</v>
      </c>
      <c r="H1172" s="235" t="s">
        <v>1795</v>
      </c>
      <c r="I1172" s="157" t="s">
        <v>1615</v>
      </c>
      <c r="J1172" s="237">
        <v>30990</v>
      </c>
      <c r="K1172" s="175" t="s">
        <v>61</v>
      </c>
      <c r="L1172" s="175" t="s">
        <v>439</v>
      </c>
      <c r="M1172" s="175" t="s">
        <v>1343</v>
      </c>
      <c r="N1172" s="198"/>
      <c r="O1172" s="199"/>
      <c r="P1172" s="181">
        <v>0</v>
      </c>
      <c r="Q1172" s="177">
        <v>43438</v>
      </c>
      <c r="R1172" s="178">
        <v>406.16166999999996</v>
      </c>
      <c r="S1172" s="179">
        <v>210248.75</v>
      </c>
      <c r="T1172" s="182" t="s">
        <v>45</v>
      </c>
      <c r="U1172" s="183">
        <v>3.8209</v>
      </c>
      <c r="V1172" s="179">
        <v>13776.25</v>
      </c>
      <c r="W1172" s="179">
        <v>0</v>
      </c>
      <c r="X1172" s="196" t="s">
        <v>45</v>
      </c>
      <c r="Y1172" s="200">
        <v>3.8209</v>
      </c>
      <c r="Z1172" s="221"/>
      <c r="AA1172" s="201">
        <f>Delivery[[#This Row],[Quantity delivered]]*VLOOKUP(Delivery[[#This Row],[Unit]],References!$U:$X,4,FALSE)*VLOOKUP(CONCATENATE(Delivery[[#This Row],[Coffee specie]],Delivery[[#This Row],[Coffee state]]),References!$U:$X,4,FALSE)</f>
        <v>30990</v>
      </c>
      <c r="AB1172" s="202">
        <f>SUMIF(Allocation!C:C,Delivery[[#This Row],[Delivery ID]],Allocation!D:D)/Delivery[[#This Row],[Quantity delivered]]</f>
        <v>0.4585027428202646</v>
      </c>
      <c r="AC1172" s="203">
        <f>Delivery[[#This Row],[Quantity delivered]]*Delivery[[#This Row],[Base price (Unidad)]]/60</f>
        <v>209782.50255499998</v>
      </c>
      <c r="AD1172" s="204">
        <f>Delivery[[#This Row],[Nespresso total]]-Delivery[[#This Row],[Qt. Delivery * Base Price]]</f>
        <v>466.24744500001543</v>
      </c>
      <c r="AE1172" s="204">
        <f>Delivery[[#This Row],[AAA Premium (total)]]/Delivery[[#This Row],[Quantity delivered]]*60/Delivery[[#This Row],[Exchange rate VS USD]]</f>
        <v>6.9806364075386353</v>
      </c>
      <c r="AF1172" s="204">
        <f>Delivery[[#This Row],[BEN premium (total)]]/Delivery[[#This Row],[Quantity delivered]]*60/Delivery[[#This Row],[Exchange rate for premiums VS USD]]</f>
        <v>0</v>
      </c>
      <c r="AG1172" s="204">
        <f>COUNTIF(Delivery[Delivery ID],Delivery[[#This Row],[Delivery ID]])</f>
        <v>1</v>
      </c>
      <c r="AH1172" s="204">
        <f>(Delivery[[#This Row],[Nespresso total]]/SUMIF(Allocation!C:C,Delivery[Delivery ID],Allocation!H:H))/Delivery[[#This Row],[Exchange rate VS USD]]</f>
        <v>11.735119546917764</v>
      </c>
      <c r="AI1172" s="204">
        <f>(Delivery[[#This Row],[AAA Premium (total)]]/SUMIF(Allocation!C:C,Delivery[Delivery ID],Allocation!H:H))/Delivery[[#This Row],[Exchange rate VS USD]]</f>
        <v>0.76892700031855532</v>
      </c>
      <c r="AJ1172" s="204">
        <f>Delivery[[#This Row],[Valor Prêmio Nespresso AAA por Kg (em US$)]]*60</f>
        <v>46.135620019113318</v>
      </c>
      <c r="AK1172" s="204">
        <f>Delivery[[#This Row],[Valor Prêmio Nespresso AAA por saca (em US$)]]/1.3228/100</f>
        <v>0.34877245251824407</v>
      </c>
      <c r="AL1172" s="204">
        <f>(Delivery[[#This Row],[BEN premium (total)]]/SUMIF(Allocation!C:C,Delivery[Delivery ID],Allocation!H:H))/Delivery[[#This Row],[Exchange rate for premiums VS USD]]</f>
        <v>0</v>
      </c>
      <c r="AM1172" s="204">
        <f>Delivery[[#This Row],[Valor Prêmio Nespresso BEN por Kg (em US$)]]*60</f>
        <v>0</v>
      </c>
      <c r="AN1172" s="204">
        <f>Delivery[[#This Row],[Valor Prêmio Nespresso BEN por saca (em US$)]]/1.3228/100</f>
        <v>0</v>
      </c>
      <c r="AO1172" s="204">
        <f>SUMIF(Allocation[Delivery ID],Delivery[[#This Row],[Delivery ID]],Allocation[Quantity allocated])*16*1.3228*Delivery[[#This Row],[Exchange rate VS USD]]/60</f>
        <v>6319.8798646079995</v>
      </c>
      <c r="AP1172" s="204">
        <f>Delivery[[#This Row],[AAA Premium (total)]]</f>
        <v>13776.25</v>
      </c>
      <c r="AQ1172" s="204">
        <f>Delivery[[#This Row],[Valor pago pelo Cluster]]-Delivery[[#This Row],[Valor efetivamente pago pela Nespresso]]</f>
        <v>7456.3701353920005</v>
      </c>
    </row>
    <row r="1173" spans="1:43" ht="15.75">
      <c r="A1173" s="174" t="s">
        <v>69</v>
      </c>
      <c r="B1173" s="232" t="s">
        <v>68</v>
      </c>
      <c r="C1173" s="157">
        <v>1</v>
      </c>
      <c r="D1173" s="157" t="s">
        <v>468</v>
      </c>
      <c r="E1173" s="177" t="s">
        <v>468</v>
      </c>
      <c r="F1173" s="233" t="s">
        <v>543</v>
      </c>
      <c r="G1173" s="234">
        <v>43445</v>
      </c>
      <c r="H1173" s="157" t="s">
        <v>1796</v>
      </c>
      <c r="I1173" s="236" t="s">
        <v>1086</v>
      </c>
      <c r="J1173" s="237">
        <v>37770</v>
      </c>
      <c r="K1173" s="175" t="s">
        <v>61</v>
      </c>
      <c r="L1173" s="175" t="s">
        <v>439</v>
      </c>
      <c r="M1173" s="175" t="s">
        <v>1343</v>
      </c>
      <c r="N1173" s="198"/>
      <c r="O1173" s="199"/>
      <c r="P1173" s="181">
        <v>0</v>
      </c>
      <c r="Q1173" s="177">
        <v>43437</v>
      </c>
      <c r="R1173" s="178">
        <v>422.21256</v>
      </c>
      <c r="S1173" s="179">
        <v>259440.3</v>
      </c>
      <c r="T1173" s="182" t="s">
        <v>45</v>
      </c>
      <c r="U1173" s="183">
        <v>3.8191999999999999</v>
      </c>
      <c r="V1173" s="179">
        <v>24059.7</v>
      </c>
      <c r="W1173" s="179">
        <v>0</v>
      </c>
      <c r="X1173" s="196" t="s">
        <v>45</v>
      </c>
      <c r="Y1173" s="200">
        <v>3.8191999999999999</v>
      </c>
      <c r="Z1173" s="220"/>
      <c r="AA1173" s="201">
        <f>Delivery[[#This Row],[Quantity delivered]]*VLOOKUP(Delivery[[#This Row],[Unit]],References!$U:$X,4,FALSE)*VLOOKUP(CONCATENATE(Delivery[[#This Row],[Coffee specie]],Delivery[[#This Row],[Coffee state]]),References!$U:$X,4,FALSE)</f>
        <v>37770</v>
      </c>
      <c r="AB1173" s="202">
        <f>SUMIF(Allocation!C:C,Delivery[[#This Row],[Delivery ID]],Allocation!D:D)/Delivery[[#This Row],[Quantity delivered]]</f>
        <v>0.81818903891977757</v>
      </c>
      <c r="AC1173" s="203">
        <f>Delivery[[#This Row],[Quantity delivered]]*Delivery[[#This Row],[Base price (Unidad)]]/60</f>
        <v>265782.80651999998</v>
      </c>
      <c r="AD1173" s="204">
        <f>Delivery[[#This Row],[Nespresso total]]-Delivery[[#This Row],[Qt. Delivery * Base Price]]</f>
        <v>-6342.5065199999954</v>
      </c>
      <c r="AE1173" s="204">
        <f>Delivery[[#This Row],[AAA Premium (total)]]/Delivery[[#This Row],[Quantity delivered]]*60/Delivery[[#This Row],[Exchange rate VS USD]]</f>
        <v>10.007418725935725</v>
      </c>
      <c r="AF1173" s="204">
        <f>Delivery[[#This Row],[BEN premium (total)]]/Delivery[[#This Row],[Quantity delivered]]*60/Delivery[[#This Row],[Exchange rate for premiums VS USD]]</f>
        <v>0</v>
      </c>
      <c r="AG1173" s="204">
        <f>COUNTIF(Delivery[Delivery ID],Delivery[[#This Row],[Delivery ID]])</f>
        <v>1</v>
      </c>
      <c r="AH1173" s="204">
        <f>(Delivery[[#This Row],[Nespresso total]]/SUMIF(Allocation!C:C,Delivery[Delivery ID],Allocation!H:H))/Delivery[[#This Row],[Exchange rate VS USD]]</f>
        <v>5.4955533687093148</v>
      </c>
      <c r="AI1173" s="204">
        <f>(Delivery[[#This Row],[AAA Premium (total)]]/SUMIF(Allocation!C:C,Delivery[Delivery ID],Allocation!H:H))/Delivery[[#This Row],[Exchange rate VS USD]]</f>
        <v>0.50964081287731899</v>
      </c>
      <c r="AJ1173" s="204">
        <f>Delivery[[#This Row],[Valor Prêmio Nespresso AAA por Kg (em US$)]]*60</f>
        <v>30.578448772639138</v>
      </c>
      <c r="AK1173" s="204">
        <f>Delivery[[#This Row],[Valor Prêmio Nespresso AAA por saca (em US$)]]/1.3228/100</f>
        <v>0.23116456586512804</v>
      </c>
      <c r="AL1173" s="204">
        <f>(Delivery[[#This Row],[BEN premium (total)]]/SUMIF(Allocation!C:C,Delivery[Delivery ID],Allocation!H:H))/Delivery[[#This Row],[Exchange rate for premiums VS USD]]</f>
        <v>0</v>
      </c>
      <c r="AM1173" s="204">
        <f>Delivery[[#This Row],[Valor Prêmio Nespresso BEN por Kg (em US$)]]*60</f>
        <v>0</v>
      </c>
      <c r="AN1173" s="204">
        <f>Delivery[[#This Row],[Valor Prêmio Nespresso BEN por saca (em US$)]]/1.3228/100</f>
        <v>0</v>
      </c>
      <c r="AO1173" s="204">
        <f>SUMIF(Allocation[Delivery ID],Delivery[[#This Row],[Delivery ID]],Allocation[Quantity allocated])*16*1.3228*Delivery[[#This Row],[Exchange rate VS USD]]/60</f>
        <v>16652.863667029331</v>
      </c>
      <c r="AP1173" s="204">
        <f>Delivery[[#This Row],[AAA Premium (total)]]</f>
        <v>24059.7</v>
      </c>
      <c r="AQ1173" s="204">
        <f>Delivery[[#This Row],[Valor pago pelo Cluster]]-Delivery[[#This Row],[Valor efetivamente pago pela Nespresso]]</f>
        <v>7406.8363329706699</v>
      </c>
    </row>
    <row r="1174" spans="1:43" ht="15.75">
      <c r="A1174" s="174" t="s">
        <v>69</v>
      </c>
      <c r="B1174" s="232" t="s">
        <v>68</v>
      </c>
      <c r="C1174" s="157">
        <v>1</v>
      </c>
      <c r="D1174" s="157" t="s">
        <v>468</v>
      </c>
      <c r="E1174" s="177" t="s">
        <v>468</v>
      </c>
      <c r="F1174" s="233" t="s">
        <v>543</v>
      </c>
      <c r="G1174" s="234">
        <v>43446</v>
      </c>
      <c r="H1174" s="157" t="s">
        <v>1797</v>
      </c>
      <c r="I1174" s="236" t="s">
        <v>1798</v>
      </c>
      <c r="J1174" s="237">
        <v>31780</v>
      </c>
      <c r="K1174" s="175" t="s">
        <v>61</v>
      </c>
      <c r="L1174" s="175" t="s">
        <v>439</v>
      </c>
      <c r="M1174" s="175" t="s">
        <v>1343</v>
      </c>
      <c r="N1174" s="198"/>
      <c r="O1174" s="199"/>
      <c r="P1174" s="181">
        <v>0</v>
      </c>
      <c r="Q1174" s="177">
        <v>43431</v>
      </c>
      <c r="R1174" s="178">
        <v>436.04286000000002</v>
      </c>
      <c r="S1174" s="179">
        <v>233804.2</v>
      </c>
      <c r="T1174" s="182" t="s">
        <v>45</v>
      </c>
      <c r="U1174" s="183">
        <v>3.8862999999999999</v>
      </c>
      <c r="V1174" s="179">
        <v>20595.8</v>
      </c>
      <c r="W1174" s="179">
        <v>0</v>
      </c>
      <c r="X1174" s="196" t="s">
        <v>45</v>
      </c>
      <c r="Y1174" s="200">
        <v>3.8862999999999999</v>
      </c>
      <c r="Z1174" s="220"/>
      <c r="AA1174" s="201">
        <f>Delivery[[#This Row],[Quantity delivered]]*VLOOKUP(Delivery[[#This Row],[Unit]],References!$U:$X,4,FALSE)*VLOOKUP(CONCATENATE(Delivery[[#This Row],[Coffee specie]],Delivery[[#This Row],[Coffee state]]),References!$U:$X,4,FALSE)</f>
        <v>31780</v>
      </c>
      <c r="AB1174" s="202">
        <f>SUMIF(Allocation!C:C,Delivery[[#This Row],[Delivery ID]],Allocation!D:D)/Delivery[[#This Row],[Quantity delivered]]</f>
        <v>0.59477658904971675</v>
      </c>
      <c r="AC1174" s="203">
        <f>Delivery[[#This Row],[Quantity delivered]]*Delivery[[#This Row],[Base price (Unidad)]]/60</f>
        <v>230957.36818000002</v>
      </c>
      <c r="AD1174" s="204">
        <f>Delivery[[#This Row],[Nespresso total]]-Delivery[[#This Row],[Qt. Delivery * Base Price]]</f>
        <v>2846.8318199999921</v>
      </c>
      <c r="AE1174" s="204">
        <f>Delivery[[#This Row],[AAA Premium (total)]]/Delivery[[#This Row],[Quantity delivered]]*60/Delivery[[#This Row],[Exchange rate VS USD]]</f>
        <v>10.005520837936661</v>
      </c>
      <c r="AF1174" s="204">
        <f>Delivery[[#This Row],[BEN premium (total)]]/Delivery[[#This Row],[Quantity delivered]]*60/Delivery[[#This Row],[Exchange rate for premiums VS USD]]</f>
        <v>0</v>
      </c>
      <c r="AG1174" s="204">
        <f>COUNTIF(Delivery[Delivery ID],Delivery[[#This Row],[Delivery ID]])</f>
        <v>1</v>
      </c>
      <c r="AH1174" s="204">
        <f>(Delivery[[#This Row],[Nespresso total]]/SUMIF(Allocation!C:C,Delivery[Delivery ID],Allocation!H:H))/Delivery[[#This Row],[Exchange rate VS USD]]</f>
        <v>6.0053034661377627</v>
      </c>
      <c r="AI1174" s="204">
        <f>(Delivery[[#This Row],[AAA Premium (total)]]/SUMIF(Allocation!C:C,Delivery[Delivery ID],Allocation!H:H))/Delivery[[#This Row],[Exchange rate VS USD]]</f>
        <v>0.52900687467496366</v>
      </c>
      <c r="AJ1174" s="204">
        <f>Delivery[[#This Row],[Valor Prêmio Nespresso AAA por Kg (em US$)]]*60</f>
        <v>31.74041248049782</v>
      </c>
      <c r="AK1174" s="204">
        <f>Delivery[[#This Row],[Valor Prêmio Nespresso AAA por saca (em US$)]]/1.3228/100</f>
        <v>0.23994868824083626</v>
      </c>
      <c r="AL1174" s="204">
        <f>(Delivery[[#This Row],[BEN premium (total)]]/SUMIF(Allocation!C:C,Delivery[Delivery ID],Allocation!H:H))/Delivery[[#This Row],[Exchange rate for premiums VS USD]]</f>
        <v>0</v>
      </c>
      <c r="AM1174" s="204">
        <f>Delivery[[#This Row],[Valor Prêmio Nespresso BEN por Kg (em US$)]]*60</f>
        <v>0</v>
      </c>
      <c r="AN1174" s="204">
        <f>Delivery[[#This Row],[Valor Prêmio Nespresso BEN por saca (em US$)]]/1.3228/100</f>
        <v>0</v>
      </c>
      <c r="AO1174" s="204">
        <f>SUMIF(Allocation[Delivery ID],Delivery[[#This Row],[Delivery ID]],Allocation[Quantity allocated])*16*1.3228*Delivery[[#This Row],[Exchange rate VS USD]]/60</f>
        <v>13733.469535338667</v>
      </c>
      <c r="AP1174" s="204">
        <f>Delivery[[#This Row],[AAA Premium (total)]]</f>
        <v>20595.8</v>
      </c>
      <c r="AQ1174" s="204">
        <f>Delivery[[#This Row],[Valor pago pelo Cluster]]-Delivery[[#This Row],[Valor efetivamente pago pela Nespresso]]</f>
        <v>6862.3304646613324</v>
      </c>
    </row>
    <row r="1175" spans="1:43" ht="15.75">
      <c r="A1175" s="174" t="s">
        <v>69</v>
      </c>
      <c r="B1175" s="232" t="s">
        <v>68</v>
      </c>
      <c r="C1175" s="157">
        <v>1</v>
      </c>
      <c r="D1175" s="157" t="s">
        <v>468</v>
      </c>
      <c r="E1175" s="177" t="s">
        <v>468</v>
      </c>
      <c r="F1175" s="233" t="s">
        <v>543</v>
      </c>
      <c r="G1175" s="234">
        <v>43441</v>
      </c>
      <c r="H1175" s="235" t="s">
        <v>1799</v>
      </c>
      <c r="I1175" s="157" t="s">
        <v>1615</v>
      </c>
      <c r="J1175" s="237">
        <v>30960</v>
      </c>
      <c r="K1175" s="175" t="s">
        <v>61</v>
      </c>
      <c r="L1175" s="175" t="s">
        <v>439</v>
      </c>
      <c r="M1175" s="175" t="s">
        <v>1343</v>
      </c>
      <c r="N1175" s="198"/>
      <c r="O1175" s="199"/>
      <c r="P1175" s="181">
        <v>0</v>
      </c>
      <c r="Q1175" s="177">
        <v>43438</v>
      </c>
      <c r="R1175" s="178">
        <v>406.16166999999996</v>
      </c>
      <c r="S1175" s="179">
        <v>210248.75</v>
      </c>
      <c r="T1175" s="182" t="s">
        <v>45</v>
      </c>
      <c r="U1175" s="183">
        <v>3.8209</v>
      </c>
      <c r="V1175" s="179">
        <v>13776.25</v>
      </c>
      <c r="W1175" s="179">
        <v>0</v>
      </c>
      <c r="X1175" s="196" t="s">
        <v>45</v>
      </c>
      <c r="Y1175" s="200">
        <v>3.8209</v>
      </c>
      <c r="Z1175" s="221"/>
      <c r="AA1175" s="201">
        <f>Delivery[[#This Row],[Quantity delivered]]*VLOOKUP(Delivery[[#This Row],[Unit]],References!$U:$X,4,FALSE)*VLOOKUP(CONCATENATE(Delivery[[#This Row],[Coffee specie]],Delivery[[#This Row],[Coffee state]]),References!$U:$X,4,FALSE)</f>
        <v>30960</v>
      </c>
      <c r="AB1175" s="202">
        <f>SUMIF(Allocation!C:C,Delivery[[#This Row],[Delivery ID]],Allocation!D:D)/Delivery[[#This Row],[Quantity delivered]]</f>
        <v>0.50739664082687341</v>
      </c>
      <c r="AC1175" s="203">
        <f>Delivery[[#This Row],[Quantity delivered]]*Delivery[[#This Row],[Base price (Unidad)]]/60</f>
        <v>209579.42171999998</v>
      </c>
      <c r="AD1175" s="204">
        <f>Delivery[[#This Row],[Nespresso total]]-Delivery[[#This Row],[Qt. Delivery * Base Price]]</f>
        <v>669.32828000001609</v>
      </c>
      <c r="AE1175" s="204">
        <f>Delivery[[#This Row],[AAA Premium (total)]]/Delivery[[#This Row],[Quantity delivered]]*60/Delivery[[#This Row],[Exchange rate VS USD]]</f>
        <v>6.9874005901040812</v>
      </c>
      <c r="AF1175" s="204">
        <f>Delivery[[#This Row],[BEN premium (total)]]/Delivery[[#This Row],[Quantity delivered]]*60/Delivery[[#This Row],[Exchange rate for premiums VS USD]]</f>
        <v>0</v>
      </c>
      <c r="AG1175" s="204">
        <f>COUNTIF(Delivery[Delivery ID],Delivery[[#This Row],[Delivery ID]])</f>
        <v>1</v>
      </c>
      <c r="AH1175" s="204">
        <f>(Delivery[[#This Row],[Nespresso total]]/SUMIF(Allocation!C:C,Delivery[Delivery ID],Allocation!H:H))/Delivery[[#This Row],[Exchange rate VS USD]]</f>
        <v>10.614578617958603</v>
      </c>
      <c r="AI1175" s="204">
        <f>(Delivery[[#This Row],[AAA Premium (total)]]/SUMIF(Allocation!C:C,Delivery[Delivery ID],Allocation!H:H))/Delivery[[#This Row],[Exchange rate VS USD]]</f>
        <v>0.69550515132980439</v>
      </c>
      <c r="AJ1175" s="204">
        <f>Delivery[[#This Row],[Valor Prêmio Nespresso AAA por Kg (em US$)]]*60</f>
        <v>41.730309079788263</v>
      </c>
      <c r="AK1175" s="204">
        <f>Delivery[[#This Row],[Valor Prêmio Nespresso AAA por saca (em US$)]]/1.3228/100</f>
        <v>0.31546952736459227</v>
      </c>
      <c r="AL1175" s="204">
        <f>(Delivery[[#This Row],[BEN premium (total)]]/SUMIF(Allocation!C:C,Delivery[Delivery ID],Allocation!H:H))/Delivery[[#This Row],[Exchange rate for premiums VS USD]]</f>
        <v>0</v>
      </c>
      <c r="AM1175" s="204">
        <f>Delivery[[#This Row],[Valor Prêmio Nespresso BEN por Kg (em US$)]]*60</f>
        <v>0</v>
      </c>
      <c r="AN1175" s="204">
        <f>Delivery[[#This Row],[Valor Prêmio Nespresso BEN por saca (em US$)]]/1.3228/100</f>
        <v>0</v>
      </c>
      <c r="AO1175" s="204">
        <f>SUMIF(Allocation[Delivery ID],Delivery[[#This Row],[Delivery ID]],Allocation[Quantity allocated])*16*1.3228*Delivery[[#This Row],[Exchange rate VS USD]]/60</f>
        <v>6987.0456852480002</v>
      </c>
      <c r="AP1175" s="204">
        <f>Delivery[[#This Row],[AAA Premium (total)]]</f>
        <v>13776.25</v>
      </c>
      <c r="AQ1175" s="204">
        <f>Delivery[[#This Row],[Valor pago pelo Cluster]]-Delivery[[#This Row],[Valor efetivamente pago pela Nespresso]]</f>
        <v>6789.2043147519998</v>
      </c>
    </row>
    <row r="1176" spans="1:43" ht="15.75">
      <c r="A1176" s="174" t="s">
        <v>69</v>
      </c>
      <c r="B1176" s="232" t="s">
        <v>68</v>
      </c>
      <c r="C1176" s="157">
        <v>1</v>
      </c>
      <c r="D1176" s="157" t="s">
        <v>468</v>
      </c>
      <c r="E1176" s="177" t="s">
        <v>468</v>
      </c>
      <c r="F1176" s="233" t="s">
        <v>543</v>
      </c>
      <c r="G1176" s="234">
        <v>43445</v>
      </c>
      <c r="H1176" s="157" t="s">
        <v>1800</v>
      </c>
      <c r="I1176" s="236" t="s">
        <v>1086</v>
      </c>
      <c r="J1176" s="237">
        <v>1156.5</v>
      </c>
      <c r="K1176" s="175" t="s">
        <v>61</v>
      </c>
      <c r="L1176" s="175" t="s">
        <v>439</v>
      </c>
      <c r="M1176" s="175" t="s">
        <v>1343</v>
      </c>
      <c r="N1176" s="198"/>
      <c r="O1176" s="199"/>
      <c r="P1176" s="181">
        <v>0</v>
      </c>
      <c r="Q1176" s="177">
        <v>43437</v>
      </c>
      <c r="R1176" s="178">
        <v>422.21256</v>
      </c>
      <c r="S1176" s="179">
        <v>7824.39</v>
      </c>
      <c r="T1176" s="182" t="s">
        <v>45</v>
      </c>
      <c r="U1176" s="183">
        <v>3.8191999999999999</v>
      </c>
      <c r="V1176" s="179">
        <v>725.61</v>
      </c>
      <c r="W1176" s="179">
        <v>0</v>
      </c>
      <c r="X1176" s="196" t="s">
        <v>45</v>
      </c>
      <c r="Y1176" s="200">
        <v>3.8191999999999999</v>
      </c>
      <c r="Z1176" s="220"/>
      <c r="AA1176" s="201">
        <f>Delivery[[#This Row],[Quantity delivered]]*VLOOKUP(Delivery[[#This Row],[Unit]],References!$U:$X,4,FALSE)*VLOOKUP(CONCATENATE(Delivery[[#This Row],[Coffee specie]],Delivery[[#This Row],[Coffee state]]),References!$U:$X,4,FALSE)</f>
        <v>1156.5</v>
      </c>
      <c r="AB1176" s="202">
        <f>SUMIF(Allocation!C:C,Delivery[[#This Row],[Delivery ID]],Allocation!D:D)/Delivery[[#This Row],[Quantity delivered]]</f>
        <v>1</v>
      </c>
      <c r="AC1176" s="203">
        <f>Delivery[[#This Row],[Quantity delivered]]*Delivery[[#This Row],[Base price (Unidad)]]/60</f>
        <v>8138.1470939999999</v>
      </c>
      <c r="AD1176" s="204">
        <f>Delivery[[#This Row],[Nespresso total]]-Delivery[[#This Row],[Qt. Delivery * Base Price]]</f>
        <v>-313.7570939999996</v>
      </c>
      <c r="AE1176" s="204">
        <f>Delivery[[#This Row],[AAA Premium (total)]]/Delivery[[#This Row],[Quantity delivered]]*60/Delivery[[#This Row],[Exchange rate VS USD]]</f>
        <v>9.8568119466826634</v>
      </c>
      <c r="AF1176" s="204">
        <f>Delivery[[#This Row],[BEN premium (total)]]/Delivery[[#This Row],[Quantity delivered]]*60/Delivery[[#This Row],[Exchange rate for premiums VS USD]]</f>
        <v>0</v>
      </c>
      <c r="AG1176" s="204">
        <f>COUNTIF(Delivery[Delivery ID],Delivery[[#This Row],[Delivery ID]])</f>
        <v>1</v>
      </c>
      <c r="AH1176" s="204">
        <f>(Delivery[[#This Row],[Nespresso total]]/SUMIF(Allocation!C:C,Delivery[Delivery ID],Allocation!H:H))/Delivery[[#This Row],[Exchange rate VS USD]]</f>
        <v>4.4344127280344292</v>
      </c>
      <c r="AI1176" s="204">
        <f>(Delivery[[#This Row],[AAA Premium (total)]]/SUMIF(Allocation!C:C,Delivery[Delivery ID],Allocation!H:H))/Delivery[[#This Row],[Exchange rate VS USD]]</f>
        <v>0.41123387504828646</v>
      </c>
      <c r="AJ1176" s="204">
        <f>Delivery[[#This Row],[Valor Prêmio Nespresso AAA por Kg (em US$)]]*60</f>
        <v>24.674032502897187</v>
      </c>
      <c r="AK1176" s="204">
        <f>Delivery[[#This Row],[Valor Prêmio Nespresso AAA por saca (em US$)]]/1.3228/100</f>
        <v>0.18652882146127298</v>
      </c>
      <c r="AL1176" s="204">
        <f>(Delivery[[#This Row],[BEN premium (total)]]/SUMIF(Allocation!C:C,Delivery[Delivery ID],Allocation!H:H))/Delivery[[#This Row],[Exchange rate for premiums VS USD]]</f>
        <v>0</v>
      </c>
      <c r="AM1176" s="204">
        <f>Delivery[[#This Row],[Valor Prêmio Nespresso BEN por Kg (em US$)]]*60</f>
        <v>0</v>
      </c>
      <c r="AN1176" s="204">
        <f>Delivery[[#This Row],[Valor Prêmio Nespresso BEN por saca (em US$)]]/1.3228/100</f>
        <v>0</v>
      </c>
      <c r="AO1176" s="204">
        <f>SUMIF(Allocation[Delivery ID],Delivery[[#This Row],[Delivery ID]],Allocation[Quantity allocated])*16*1.3228*Delivery[[#This Row],[Exchange rate VS USD]]/60</f>
        <v>622.41105203199993</v>
      </c>
      <c r="AP1176" s="204">
        <f>Delivery[[#This Row],[AAA Premium (total)]]</f>
        <v>725.61</v>
      </c>
      <c r="AQ1176" s="204">
        <f>Delivery[[#This Row],[Valor pago pelo Cluster]]-Delivery[[#This Row],[Valor efetivamente pago pela Nespresso]]</f>
        <v>103.19894796800008</v>
      </c>
    </row>
    <row r="1177" spans="1:43" ht="15.75">
      <c r="A1177" s="174" t="s">
        <v>69</v>
      </c>
      <c r="B1177" s="232" t="s">
        <v>68</v>
      </c>
      <c r="C1177" s="157">
        <v>1</v>
      </c>
      <c r="D1177" s="157" t="s">
        <v>468</v>
      </c>
      <c r="E1177" s="177" t="s">
        <v>468</v>
      </c>
      <c r="F1177" s="233" t="s">
        <v>543</v>
      </c>
      <c r="G1177" s="234">
        <v>43445</v>
      </c>
      <c r="H1177" s="235" t="s">
        <v>1801</v>
      </c>
      <c r="I1177" s="157" t="s">
        <v>1615</v>
      </c>
      <c r="J1177" s="237">
        <v>30960</v>
      </c>
      <c r="K1177" s="175" t="s">
        <v>61</v>
      </c>
      <c r="L1177" s="175" t="s">
        <v>439</v>
      </c>
      <c r="M1177" s="175" t="s">
        <v>1343</v>
      </c>
      <c r="N1177" s="198"/>
      <c r="O1177" s="199"/>
      <c r="P1177" s="181">
        <v>0</v>
      </c>
      <c r="Q1177" s="177">
        <v>43438</v>
      </c>
      <c r="R1177" s="178">
        <v>406.16166999999996</v>
      </c>
      <c r="S1177" s="179">
        <v>210248.75</v>
      </c>
      <c r="T1177" s="182" t="s">
        <v>45</v>
      </c>
      <c r="U1177" s="183">
        <v>3.8209</v>
      </c>
      <c r="V1177" s="179">
        <v>13776.25</v>
      </c>
      <c r="W1177" s="179">
        <v>0</v>
      </c>
      <c r="X1177" s="196" t="s">
        <v>45</v>
      </c>
      <c r="Y1177" s="200">
        <v>3.8209</v>
      </c>
      <c r="Z1177" s="221"/>
      <c r="AA1177" s="201">
        <f>Delivery[[#This Row],[Quantity delivered]]*VLOOKUP(Delivery[[#This Row],[Unit]],References!$U:$X,4,FALSE)*VLOOKUP(CONCATENATE(Delivery[[#This Row],[Coffee specie]],Delivery[[#This Row],[Coffee state]]),References!$U:$X,4,FALSE)</f>
        <v>30960</v>
      </c>
      <c r="AB1177" s="202">
        <f>SUMIF(Allocation!C:C,Delivery[[#This Row],[Delivery ID]],Allocation!D:D)/Delivery[[#This Row],[Quantity delivered]]</f>
        <v>0.35920542635658914</v>
      </c>
      <c r="AC1177" s="203">
        <f>Delivery[[#This Row],[Quantity delivered]]*Delivery[[#This Row],[Base price (Unidad)]]/60</f>
        <v>209579.42171999998</v>
      </c>
      <c r="AD1177" s="204">
        <f>Delivery[[#This Row],[Nespresso total]]-Delivery[[#This Row],[Qt. Delivery * Base Price]]</f>
        <v>669.32828000001609</v>
      </c>
      <c r="AE1177" s="204">
        <f>Delivery[[#This Row],[AAA Premium (total)]]/Delivery[[#This Row],[Quantity delivered]]*60/Delivery[[#This Row],[Exchange rate VS USD]]</f>
        <v>6.9874005901040812</v>
      </c>
      <c r="AF1177" s="204">
        <f>Delivery[[#This Row],[BEN premium (total)]]/Delivery[[#This Row],[Quantity delivered]]*60/Delivery[[#This Row],[Exchange rate for premiums VS USD]]</f>
        <v>0</v>
      </c>
      <c r="AG1177" s="204">
        <f>COUNTIF(Delivery[Delivery ID],Delivery[[#This Row],[Delivery ID]])</f>
        <v>1</v>
      </c>
      <c r="AH1177" s="204">
        <f>(Delivery[[#This Row],[Nespresso total]]/SUMIF(Allocation!C:C,Delivery[Delivery ID],Allocation!H:H))/Delivery[[#This Row],[Exchange rate VS USD]]</f>
        <v>14.993453829835802</v>
      </c>
      <c r="AI1177" s="204">
        <f>(Delivery[[#This Row],[AAA Premium (total)]]/SUMIF(Allocation!C:C,Delivery[Delivery ID],Allocation!H:H))/Delivery[[#This Row],[Exchange rate VS USD]]</f>
        <v>0.98242471512090079</v>
      </c>
      <c r="AJ1177" s="204">
        <f>Delivery[[#This Row],[Valor Prêmio Nespresso AAA por Kg (em US$)]]*60</f>
        <v>58.945482907254046</v>
      </c>
      <c r="AK1177" s="204">
        <f>Delivery[[#This Row],[Valor Prêmio Nespresso AAA por saca (em US$)]]/1.3228/100</f>
        <v>0.44561145227739679</v>
      </c>
      <c r="AL1177" s="204">
        <f>(Delivery[[#This Row],[BEN premium (total)]]/SUMIF(Allocation!C:C,Delivery[Delivery ID],Allocation!H:H))/Delivery[[#This Row],[Exchange rate for premiums VS USD]]</f>
        <v>0</v>
      </c>
      <c r="AM1177" s="204">
        <f>Delivery[[#This Row],[Valor Prêmio Nespresso BEN por Kg (em US$)]]*60</f>
        <v>0</v>
      </c>
      <c r="AN1177" s="204">
        <f>Delivery[[#This Row],[Valor Prêmio Nespresso BEN por saca (em US$)]]/1.3228/100</f>
        <v>0</v>
      </c>
      <c r="AO1177" s="204">
        <f>SUMIF(Allocation[Delivery ID],Delivery[[#This Row],[Delivery ID]],Allocation[Quantity allocated])*16*1.3228*Delivery[[#This Row],[Exchange rate VS USD]]/60</f>
        <v>4946.4617409066659</v>
      </c>
      <c r="AP1177" s="204">
        <f>Delivery[[#This Row],[AAA Premium (total)]]</f>
        <v>13776.25</v>
      </c>
      <c r="AQ1177" s="204">
        <f>Delivery[[#This Row],[Valor pago pelo Cluster]]-Delivery[[#This Row],[Valor efetivamente pago pela Nespresso]]</f>
        <v>8829.7882590933332</v>
      </c>
    </row>
    <row r="1178" spans="1:43" ht="15.75">
      <c r="A1178" s="174" t="s">
        <v>69</v>
      </c>
      <c r="B1178" s="232" t="s">
        <v>68</v>
      </c>
      <c r="C1178" s="157">
        <v>1</v>
      </c>
      <c r="D1178" s="157" t="s">
        <v>468</v>
      </c>
      <c r="E1178" s="177" t="s">
        <v>468</v>
      </c>
      <c r="F1178" s="233" t="s">
        <v>543</v>
      </c>
      <c r="G1178" s="234">
        <v>43446</v>
      </c>
      <c r="H1178" s="157" t="s">
        <v>1802</v>
      </c>
      <c r="I1178" s="236" t="s">
        <v>1798</v>
      </c>
      <c r="J1178" s="237">
        <v>18040</v>
      </c>
      <c r="K1178" s="175" t="s">
        <v>61</v>
      </c>
      <c r="L1178" s="175" t="s">
        <v>439</v>
      </c>
      <c r="M1178" s="175" t="s">
        <v>1343</v>
      </c>
      <c r="N1178" s="198"/>
      <c r="O1178" s="199"/>
      <c r="P1178" s="181">
        <v>0</v>
      </c>
      <c r="Q1178" s="177">
        <v>43431</v>
      </c>
      <c r="R1178" s="178">
        <v>436.04286000000002</v>
      </c>
      <c r="S1178" s="179">
        <v>132783.14000000001</v>
      </c>
      <c r="T1178" s="182" t="s">
        <v>45</v>
      </c>
      <c r="U1178" s="183">
        <v>3.8862999999999999</v>
      </c>
      <c r="V1178" s="179">
        <v>11696.86</v>
      </c>
      <c r="W1178" s="179">
        <v>0</v>
      </c>
      <c r="X1178" s="196" t="s">
        <v>45</v>
      </c>
      <c r="Y1178" s="200">
        <v>3.8862999999999999</v>
      </c>
      <c r="Z1178" s="220"/>
      <c r="AA1178" s="201">
        <f>Delivery[[#This Row],[Quantity delivered]]*VLOOKUP(Delivery[[#This Row],[Unit]],References!$U:$X,4,FALSE)*VLOOKUP(CONCATENATE(Delivery[[#This Row],[Coffee specie]],Delivery[[#This Row],[Coffee state]]),References!$U:$X,4,FALSE)</f>
        <v>18040</v>
      </c>
      <c r="AB1178" s="202">
        <f>SUMIF(Allocation!C:C,Delivery[[#This Row],[Delivery ID]],Allocation!D:D)/Delivery[[#This Row],[Quantity delivered]]</f>
        <v>0.55914634146341469</v>
      </c>
      <c r="AC1178" s="203">
        <f>Delivery[[#This Row],[Quantity delivered]]*Delivery[[#This Row],[Base price (Unidad)]]/60</f>
        <v>131103.55324000001</v>
      </c>
      <c r="AD1178" s="204">
        <f>Delivery[[#This Row],[Nespresso total]]-Delivery[[#This Row],[Qt. Delivery * Base Price]]</f>
        <v>1679.5867600000056</v>
      </c>
      <c r="AE1178" s="204">
        <f>Delivery[[#This Row],[AAA Premium (total)]]/Delivery[[#This Row],[Quantity delivered]]*60/Delivery[[#This Row],[Exchange rate VS USD]]</f>
        <v>10.010313676224509</v>
      </c>
      <c r="AF1178" s="204">
        <f>Delivery[[#This Row],[BEN premium (total)]]/Delivery[[#This Row],[Quantity delivered]]*60/Delivery[[#This Row],[Exchange rate for premiums VS USD]]</f>
        <v>0</v>
      </c>
      <c r="AG1178" s="204">
        <f>COUNTIF(Delivery[Delivery ID],Delivery[[#This Row],[Delivery ID]])</f>
        <v>1</v>
      </c>
      <c r="AH1178" s="204">
        <f>(Delivery[[#This Row],[Nespresso total]]/SUMIF(Allocation!C:C,Delivery[Delivery ID],Allocation!H:H))/Delivery[[#This Row],[Exchange rate VS USD]]</f>
        <v>6.3911300874765136</v>
      </c>
      <c r="AI1178" s="204">
        <f>(Delivery[[#This Row],[AAA Premium (total)]]/SUMIF(Allocation!C:C,Delivery[Delivery ID],Allocation!H:H))/Delivery[[#This Row],[Exchange rate VS USD]]</f>
        <v>0.56299432198244836</v>
      </c>
      <c r="AJ1178" s="204">
        <f>Delivery[[#This Row],[Valor Prêmio Nespresso AAA por Kg (em US$)]]*60</f>
        <v>33.779659318946905</v>
      </c>
      <c r="AK1178" s="204">
        <f>Delivery[[#This Row],[Valor Prêmio Nespresso AAA por saca (em US$)]]/1.3228/100</f>
        <v>0.25536482702560404</v>
      </c>
      <c r="AL1178" s="204">
        <f>(Delivery[[#This Row],[BEN premium (total)]]/SUMIF(Allocation!C:C,Delivery[Delivery ID],Allocation!H:H))/Delivery[[#This Row],[Exchange rate for premiums VS USD]]</f>
        <v>0</v>
      </c>
      <c r="AM1178" s="204">
        <f>Delivery[[#This Row],[Valor Prêmio Nespresso BEN por Kg (em US$)]]*60</f>
        <v>0</v>
      </c>
      <c r="AN1178" s="204">
        <f>Delivery[[#This Row],[Valor Prêmio Nespresso BEN por saca (em US$)]]/1.3228/100</f>
        <v>0</v>
      </c>
      <c r="AO1178" s="204">
        <f>SUMIF(Allocation[Delivery ID],Delivery[[#This Row],[Delivery ID]],Allocation[Quantity allocated])*16*1.3228*Delivery[[#This Row],[Exchange rate VS USD]]/60</f>
        <v>7328.7211155839996</v>
      </c>
      <c r="AP1178" s="204">
        <f>Delivery[[#This Row],[AAA Premium (total)]]</f>
        <v>11696.86</v>
      </c>
      <c r="AQ1178" s="204">
        <f>Delivery[[#This Row],[Valor pago pelo Cluster]]-Delivery[[#This Row],[Valor efetivamente pago pela Nespresso]]</f>
        <v>4368.138884416001</v>
      </c>
    </row>
    <row r="1179" spans="1:43" ht="15.75">
      <c r="A1179" s="174" t="s">
        <v>69</v>
      </c>
      <c r="B1179" s="232" t="s">
        <v>68</v>
      </c>
      <c r="C1179" s="157" t="s">
        <v>1344</v>
      </c>
      <c r="D1179" s="157" t="s">
        <v>468</v>
      </c>
      <c r="E1179" s="177" t="s">
        <v>468</v>
      </c>
      <c r="F1179" s="233" t="s">
        <v>543</v>
      </c>
      <c r="G1179" s="234">
        <v>43445</v>
      </c>
      <c r="H1179" s="235" t="s">
        <v>1803</v>
      </c>
      <c r="I1179" s="157" t="s">
        <v>1615</v>
      </c>
      <c r="J1179" s="237">
        <v>601</v>
      </c>
      <c r="K1179" s="175" t="s">
        <v>61</v>
      </c>
      <c r="L1179" s="175" t="s">
        <v>439</v>
      </c>
      <c r="M1179" s="175" t="s">
        <v>1343</v>
      </c>
      <c r="N1179" s="198"/>
      <c r="O1179" s="199"/>
      <c r="P1179" s="181">
        <v>0</v>
      </c>
      <c r="Q1179" s="177">
        <v>43438</v>
      </c>
      <c r="R1179" s="178">
        <v>406.16166999999996</v>
      </c>
      <c r="S1179" s="179">
        <v>4082.5</v>
      </c>
      <c r="T1179" s="182" t="s">
        <v>45</v>
      </c>
      <c r="U1179" s="183">
        <v>3.8209</v>
      </c>
      <c r="V1179" s="179">
        <v>267.5</v>
      </c>
      <c r="W1179" s="179">
        <v>0</v>
      </c>
      <c r="X1179" s="196" t="s">
        <v>45</v>
      </c>
      <c r="Y1179" s="200">
        <v>3.8209</v>
      </c>
      <c r="Z1179" s="221"/>
      <c r="AA1179" s="201">
        <f>Delivery[[#This Row],[Quantity delivered]]*VLOOKUP(Delivery[[#This Row],[Unit]],References!$U:$X,4,FALSE)*VLOOKUP(CONCATENATE(Delivery[[#This Row],[Coffee specie]],Delivery[[#This Row],[Coffee state]]),References!$U:$X,4,FALSE)</f>
        <v>601</v>
      </c>
      <c r="AB1179" s="202">
        <f>SUMIF(Allocation!C:C,Delivery[[#This Row],[Delivery ID]],Allocation!D:D)/Delivery[[#This Row],[Quantity delivered]]</f>
        <v>0.45923460898502494</v>
      </c>
      <c r="AC1179" s="203">
        <f>Delivery[[#This Row],[Quantity delivered]]*Delivery[[#This Row],[Base price (Unidad)]]/60</f>
        <v>4068.3860611666664</v>
      </c>
      <c r="AD1179" s="204">
        <f>Delivery[[#This Row],[Nespresso total]]-Delivery[[#This Row],[Qt. Delivery * Base Price]]</f>
        <v>14.113938833333577</v>
      </c>
      <c r="AE1179" s="204">
        <f>Delivery[[#This Row],[AAA Premium (total)]]/Delivery[[#This Row],[Quantity delivered]]*60/Delivery[[#This Row],[Exchange rate VS USD]]</f>
        <v>6.9893194924195061</v>
      </c>
      <c r="AF1179" s="204">
        <f>Delivery[[#This Row],[BEN premium (total)]]/Delivery[[#This Row],[Quantity delivered]]*60/Delivery[[#This Row],[Exchange rate for premiums VS USD]]</f>
        <v>0</v>
      </c>
      <c r="AG1179" s="204">
        <f>COUNTIF(Delivery[Delivery ID],Delivery[[#This Row],[Delivery ID]])</f>
        <v>1</v>
      </c>
      <c r="AH1179" s="204">
        <f>(Delivery[[#This Row],[Nespresso total]]/SUMIF(Allocation!C:C,Delivery[Delivery ID],Allocation!H:H))/Delivery[[#This Row],[Exchange rate VS USD]]</f>
        <v>11.741379612823515</v>
      </c>
      <c r="AI1179" s="204">
        <f>(Delivery[[#This Row],[AAA Premium (total)]]/SUMIF(Allocation!C:C,Delivery[Delivery ID],Allocation!H:H))/Delivery[[#This Row],[Exchange rate VS USD]]</f>
        <v>0.76933718222419845</v>
      </c>
      <c r="AJ1179" s="204">
        <f>Delivery[[#This Row],[Valor Prêmio Nespresso AAA por Kg (em US$)]]*60</f>
        <v>46.160230933451906</v>
      </c>
      <c r="AK1179" s="204">
        <f>Delivery[[#This Row],[Valor Prêmio Nespresso AAA por saca (em US$)]]/1.3228/100</f>
        <v>0.34895850418394248</v>
      </c>
      <c r="AL1179" s="204">
        <f>(Delivery[[#This Row],[BEN premium (total)]]/SUMIF(Allocation!C:C,Delivery[Delivery ID],Allocation!H:H))/Delivery[[#This Row],[Exchange rate for premiums VS USD]]</f>
        <v>0</v>
      </c>
      <c r="AM1179" s="204">
        <f>Delivery[[#This Row],[Valor Prêmio Nespresso BEN por Kg (em US$)]]*60</f>
        <v>0</v>
      </c>
      <c r="AN1179" s="204">
        <f>Delivery[[#This Row],[Valor Prêmio Nespresso BEN por saca (em US$)]]/1.3228/100</f>
        <v>0</v>
      </c>
      <c r="AO1179" s="204">
        <f>SUMIF(Allocation[Delivery ID],Delivery[[#This Row],[Delivery ID]],Allocation[Quantity allocated])*16*1.3228*Delivery[[#This Row],[Exchange rate VS USD]]/60</f>
        <v>122.65068621866665</v>
      </c>
      <c r="AP1179" s="204">
        <f>Delivery[[#This Row],[AAA Premium (total)]]</f>
        <v>267.5</v>
      </c>
      <c r="AQ1179" s="204">
        <f>Delivery[[#This Row],[Valor pago pelo Cluster]]-Delivery[[#This Row],[Valor efetivamente pago pela Nespresso]]</f>
        <v>144.84931378133336</v>
      </c>
    </row>
    <row r="1180" spans="1:43" ht="15.75">
      <c r="A1180" s="174" t="s">
        <v>69</v>
      </c>
      <c r="B1180" s="232" t="s">
        <v>68</v>
      </c>
      <c r="C1180" s="157" t="s">
        <v>1344</v>
      </c>
      <c r="D1180" s="157" t="s">
        <v>468</v>
      </c>
      <c r="E1180" s="177" t="s">
        <v>468</v>
      </c>
      <c r="F1180" s="233" t="s">
        <v>543</v>
      </c>
      <c r="G1180" s="234">
        <v>43445</v>
      </c>
      <c r="H1180" s="235" t="s">
        <v>1804</v>
      </c>
      <c r="I1180" s="157" t="s">
        <v>1615</v>
      </c>
      <c r="J1180" s="237">
        <v>30355.5</v>
      </c>
      <c r="K1180" s="175" t="s">
        <v>61</v>
      </c>
      <c r="L1180" s="175" t="s">
        <v>439</v>
      </c>
      <c r="M1180" s="175" t="s">
        <v>1343</v>
      </c>
      <c r="N1180" s="198"/>
      <c r="O1180" s="199"/>
      <c r="P1180" s="181">
        <v>0</v>
      </c>
      <c r="Q1180" s="177">
        <v>43438</v>
      </c>
      <c r="R1180" s="178">
        <v>406.16166999999996</v>
      </c>
      <c r="S1180" s="179">
        <v>206166.25</v>
      </c>
      <c r="T1180" s="182" t="s">
        <v>45</v>
      </c>
      <c r="U1180" s="183">
        <v>3.8209</v>
      </c>
      <c r="V1180" s="179">
        <v>13508.75</v>
      </c>
      <c r="W1180" s="179">
        <v>0</v>
      </c>
      <c r="X1180" s="196" t="s">
        <v>45</v>
      </c>
      <c r="Y1180" s="200">
        <v>3.8209</v>
      </c>
      <c r="Z1180" s="221"/>
      <c r="AA1180" s="201">
        <f>Delivery[[#This Row],[Quantity delivered]]*VLOOKUP(Delivery[[#This Row],[Unit]],References!$U:$X,4,FALSE)*VLOOKUP(CONCATENATE(Delivery[[#This Row],[Coffee specie]],Delivery[[#This Row],[Coffee state]]),References!$U:$X,4,FALSE)</f>
        <v>30355.5</v>
      </c>
      <c r="AB1180" s="202">
        <f>SUMIF(Allocation!C:C,Delivery[[#This Row],[Delivery ID]],Allocation!D:D)/Delivery[[#This Row],[Quantity delivered]]</f>
        <v>0.75940109700054359</v>
      </c>
      <c r="AC1180" s="203">
        <f>Delivery[[#This Row],[Quantity delivered]]*Delivery[[#This Row],[Base price (Unidad)]]/60</f>
        <v>205487.34289474998</v>
      </c>
      <c r="AD1180" s="204">
        <f>Delivery[[#This Row],[Nespresso total]]-Delivery[[#This Row],[Qt. Delivery * Base Price]]</f>
        <v>678.90710525002214</v>
      </c>
      <c r="AE1180" s="204">
        <f>Delivery[[#This Row],[AAA Premium (total)]]/Delivery[[#This Row],[Quantity delivered]]*60/Delivery[[#This Row],[Exchange rate VS USD]]</f>
        <v>6.9881682480828262</v>
      </c>
      <c r="AF1180" s="204">
        <f>Delivery[[#This Row],[BEN premium (total)]]/Delivery[[#This Row],[Quantity delivered]]*60/Delivery[[#This Row],[Exchange rate for premiums VS USD]]</f>
        <v>0</v>
      </c>
      <c r="AG1180" s="204">
        <f>COUNTIF(Delivery[Delivery ID],Delivery[[#This Row],[Delivery ID]])</f>
        <v>1</v>
      </c>
      <c r="AH1180" s="204">
        <f>(Delivery[[#This Row],[Nespresso total]]/SUMIF(Allocation!C:C,Delivery[Delivery ID],Allocation!H:H))/Delivery[[#This Row],[Exchange rate VS USD]]</f>
        <v>7.0931392152925534</v>
      </c>
      <c r="AI1180" s="204">
        <f>(Delivery[[#This Row],[AAA Premium (total)]]/SUMIF(Allocation!C:C,Delivery[Delivery ID],Allocation!H:H))/Delivery[[#This Row],[Exchange rate VS USD]]</f>
        <v>0.46476784815450289</v>
      </c>
      <c r="AJ1180" s="204">
        <f>Delivery[[#This Row],[Valor Prêmio Nespresso AAA por Kg (em US$)]]*60</f>
        <v>27.886070889270172</v>
      </c>
      <c r="AK1180" s="204">
        <f>Delivery[[#This Row],[Valor Prêmio Nespresso AAA por saca (em US$)]]/1.3228/100</f>
        <v>0.21081093808036117</v>
      </c>
      <c r="AL1180" s="204">
        <f>(Delivery[[#This Row],[BEN premium (total)]]/SUMIF(Allocation!C:C,Delivery[Delivery ID],Allocation!H:H))/Delivery[[#This Row],[Exchange rate for premiums VS USD]]</f>
        <v>0</v>
      </c>
      <c r="AM1180" s="204">
        <f>Delivery[[#This Row],[Valor Prêmio Nespresso BEN por Kg (em US$)]]*60</f>
        <v>0</v>
      </c>
      <c r="AN1180" s="204">
        <f>Delivery[[#This Row],[Valor Prêmio Nespresso BEN por saca (em US$)]]/1.3228/100</f>
        <v>0</v>
      </c>
      <c r="AO1180" s="204">
        <f>SUMIF(Allocation[Delivery ID],Delivery[[#This Row],[Delivery ID]],Allocation[Quantity allocated])*16*1.3228*Delivery[[#This Row],[Exchange rate VS USD]]/60</f>
        <v>10252.788682037333</v>
      </c>
      <c r="AP1180" s="204">
        <f>Delivery[[#This Row],[AAA Premium (total)]]</f>
        <v>13508.75</v>
      </c>
      <c r="AQ1180" s="204">
        <f>Delivery[[#This Row],[Valor pago pelo Cluster]]-Delivery[[#This Row],[Valor efetivamente pago pela Nespresso]]</f>
        <v>3255.9613179626667</v>
      </c>
    </row>
    <row r="1181" spans="1:43" ht="15.75">
      <c r="A1181" s="174" t="s">
        <v>69</v>
      </c>
      <c r="B1181" s="232" t="s">
        <v>68</v>
      </c>
      <c r="C1181" s="157">
        <v>1</v>
      </c>
      <c r="D1181" s="157" t="s">
        <v>468</v>
      </c>
      <c r="E1181" s="177" t="s">
        <v>468</v>
      </c>
      <c r="F1181" s="233" t="s">
        <v>543</v>
      </c>
      <c r="G1181" s="234">
        <v>43445</v>
      </c>
      <c r="H1181" s="157" t="s">
        <v>1805</v>
      </c>
      <c r="I1181" s="236" t="s">
        <v>1615</v>
      </c>
      <c r="J1181" s="237">
        <v>30910</v>
      </c>
      <c r="K1181" s="175" t="s">
        <v>61</v>
      </c>
      <c r="L1181" s="175" t="s">
        <v>439</v>
      </c>
      <c r="M1181" s="175" t="s">
        <v>1343</v>
      </c>
      <c r="N1181" s="198"/>
      <c r="O1181" s="199"/>
      <c r="P1181" s="181">
        <v>0</v>
      </c>
      <c r="Q1181" s="177">
        <v>43438</v>
      </c>
      <c r="R1181" s="178">
        <v>406.16166999999996</v>
      </c>
      <c r="S1181" s="179">
        <v>210248.75</v>
      </c>
      <c r="T1181" s="182" t="s">
        <v>45</v>
      </c>
      <c r="U1181" s="183">
        <v>3.8209</v>
      </c>
      <c r="V1181" s="179">
        <v>13776.25</v>
      </c>
      <c r="W1181" s="179">
        <v>0</v>
      </c>
      <c r="X1181" s="196" t="s">
        <v>45</v>
      </c>
      <c r="Y1181" s="200">
        <v>3.8209</v>
      </c>
      <c r="Z1181" s="220"/>
      <c r="AA1181" s="201">
        <f>Delivery[[#This Row],[Quantity delivered]]*VLOOKUP(Delivery[[#This Row],[Unit]],References!$U:$X,4,FALSE)*VLOOKUP(CONCATENATE(Delivery[[#This Row],[Coffee specie]],Delivery[[#This Row],[Coffee state]]),References!$U:$X,4,FALSE)</f>
        <v>30910</v>
      </c>
      <c r="AB1181" s="202">
        <f>SUMIF(Allocation!C:C,Delivery[[#This Row],[Delivery ID]],Allocation!D:D)/Delivery[[#This Row],[Quantity delivered]]</f>
        <v>1</v>
      </c>
      <c r="AC1181" s="203">
        <f>Delivery[[#This Row],[Quantity delivered]]*Delivery[[#This Row],[Base price (Unidad)]]/60</f>
        <v>209240.95366166666</v>
      </c>
      <c r="AD1181" s="204">
        <f>Delivery[[#This Row],[Nespresso total]]-Delivery[[#This Row],[Qt. Delivery * Base Price]]</f>
        <v>1007.7963383333408</v>
      </c>
      <c r="AE1181" s="204">
        <f>Delivery[[#This Row],[AAA Premium (total)]]/Delivery[[#This Row],[Quantity delivered]]*60/Delivery[[#This Row],[Exchange rate VS USD]]</f>
        <v>6.9987034056817325</v>
      </c>
      <c r="AF1181" s="204">
        <f>Delivery[[#This Row],[BEN premium (total)]]/Delivery[[#This Row],[Quantity delivered]]*60/Delivery[[#This Row],[Exchange rate for premiums VS USD]]</f>
        <v>0</v>
      </c>
      <c r="AG1181" s="204">
        <f>COUNTIF(Delivery[Delivery ID],Delivery[[#This Row],[Delivery ID]])</f>
        <v>1</v>
      </c>
      <c r="AH1181" s="204">
        <f>(Delivery[[#This Row],[Nespresso total]]/SUMIF(Allocation!C:C,Delivery[Delivery ID],Allocation!H:H))/Delivery[[#This Row],[Exchange rate VS USD]]</f>
        <v>5.3941746451815895</v>
      </c>
      <c r="AI1181" s="204">
        <f>(Delivery[[#This Row],[AAA Premium (total)]]/SUMIF(Allocation!C:C,Delivery[Delivery ID],Allocation!H:H))/Delivery[[#This Row],[Exchange rate VS USD]]</f>
        <v>0.3534456136156951</v>
      </c>
      <c r="AJ1181" s="204">
        <f>Delivery[[#This Row],[Valor Prêmio Nespresso AAA por Kg (em US$)]]*60</f>
        <v>21.206736816941707</v>
      </c>
      <c r="AK1181" s="204">
        <f>Delivery[[#This Row],[Valor Prêmio Nespresso AAA por saca (em US$)]]/1.3228/100</f>
        <v>0.16031703066935066</v>
      </c>
      <c r="AL1181" s="204">
        <f>(Delivery[[#This Row],[BEN premium (total)]]/SUMIF(Allocation!C:C,Delivery[Delivery ID],Allocation!H:H))/Delivery[[#This Row],[Exchange rate for premiums VS USD]]</f>
        <v>0</v>
      </c>
      <c r="AM1181" s="204">
        <f>Delivery[[#This Row],[Valor Prêmio Nespresso BEN por Kg (em US$)]]*60</f>
        <v>0</v>
      </c>
      <c r="AN1181" s="204">
        <f>Delivery[[#This Row],[Valor Prêmio Nespresso BEN por saca (em US$)]]/1.3228/100</f>
        <v>0</v>
      </c>
      <c r="AO1181" s="204">
        <f>SUMIF(Allocation[Delivery ID],Delivery[[#This Row],[Delivery ID]],Allocation[Quantity allocated])*16*1.3228*Delivery[[#This Row],[Exchange rate VS USD]]/60</f>
        <v>13749.007144138664</v>
      </c>
      <c r="AP1181" s="204">
        <f>Delivery[[#This Row],[AAA Premium (total)]]</f>
        <v>13776.25</v>
      </c>
      <c r="AQ1181" s="204">
        <f>Delivery[[#This Row],[Valor pago pelo Cluster]]-Delivery[[#This Row],[Valor efetivamente pago pela Nespresso]]</f>
        <v>27.242855861335556</v>
      </c>
    </row>
    <row r="1182" spans="1:43" ht="15.75">
      <c r="A1182" s="174" t="s">
        <v>69</v>
      </c>
      <c r="B1182" s="232" t="s">
        <v>68</v>
      </c>
      <c r="C1182" s="157">
        <v>1</v>
      </c>
      <c r="D1182" s="157" t="s">
        <v>468</v>
      </c>
      <c r="E1182" s="177" t="s">
        <v>468</v>
      </c>
      <c r="F1182" s="233" t="s">
        <v>543</v>
      </c>
      <c r="G1182" s="234">
        <v>43445</v>
      </c>
      <c r="H1182" s="235" t="s">
        <v>1806</v>
      </c>
      <c r="I1182" s="157" t="s">
        <v>1615</v>
      </c>
      <c r="J1182" s="237">
        <v>30580</v>
      </c>
      <c r="K1182" s="175" t="s">
        <v>61</v>
      </c>
      <c r="L1182" s="175" t="s">
        <v>439</v>
      </c>
      <c r="M1182" s="175" t="s">
        <v>1343</v>
      </c>
      <c r="N1182" s="198"/>
      <c r="O1182" s="199"/>
      <c r="P1182" s="181">
        <v>0</v>
      </c>
      <c r="Q1182" s="177">
        <v>43438</v>
      </c>
      <c r="R1182" s="178">
        <v>406.16166999999996</v>
      </c>
      <c r="S1182" s="179">
        <v>208207.5</v>
      </c>
      <c r="T1182" s="182" t="s">
        <v>45</v>
      </c>
      <c r="U1182" s="183">
        <v>3.8209</v>
      </c>
      <c r="V1182" s="179">
        <v>13642.5</v>
      </c>
      <c r="W1182" s="179">
        <v>0</v>
      </c>
      <c r="X1182" s="196" t="s">
        <v>45</v>
      </c>
      <c r="Y1182" s="200">
        <v>3.8209</v>
      </c>
      <c r="Z1182" s="221"/>
      <c r="AA1182" s="201">
        <f>Delivery[[#This Row],[Quantity delivered]]*VLOOKUP(Delivery[[#This Row],[Unit]],References!$U:$X,4,FALSE)*VLOOKUP(CONCATENATE(Delivery[[#This Row],[Coffee specie]],Delivery[[#This Row],[Coffee state]]),References!$U:$X,4,FALSE)</f>
        <v>30580</v>
      </c>
      <c r="AB1182" s="202">
        <f>SUMIF(Allocation!C:C,Delivery[[#This Row],[Delivery ID]],Allocation!D:D)/Delivery[[#This Row],[Quantity delivered]]</f>
        <v>0.35922171353826032</v>
      </c>
      <c r="AC1182" s="203">
        <f>Delivery[[#This Row],[Quantity delivered]]*Delivery[[#This Row],[Base price (Unidad)]]/60</f>
        <v>207007.06447666662</v>
      </c>
      <c r="AD1182" s="204">
        <f>Delivery[[#This Row],[Nespresso total]]-Delivery[[#This Row],[Qt. Delivery * Base Price]]</f>
        <v>1200.4355233333772</v>
      </c>
      <c r="AE1182" s="204">
        <f>Delivery[[#This Row],[AAA Premium (total)]]/Delivery[[#This Row],[Quantity delivered]]*60/Delivery[[#This Row],[Exchange rate VS USD]]</f>
        <v>7.005547147225319</v>
      </c>
      <c r="AF1182" s="204">
        <f>Delivery[[#This Row],[BEN premium (total)]]/Delivery[[#This Row],[Quantity delivered]]*60/Delivery[[#This Row],[Exchange rate for premiums VS USD]]</f>
        <v>0</v>
      </c>
      <c r="AG1182" s="204">
        <f>COUNTIF(Delivery[Delivery ID],Delivery[[#This Row],[Delivery ID]])</f>
        <v>1</v>
      </c>
      <c r="AH1182" s="204">
        <f>(Delivery[[#This Row],[Nespresso total]]/SUMIF(Allocation!C:C,Delivery[Delivery ID],Allocation!H:H))/Delivery[[#This Row],[Exchange rate VS USD]]</f>
        <v>15.0322049056866</v>
      </c>
      <c r="AI1182" s="204">
        <f>(Delivery[[#This Row],[AAA Premium (total)]]/SUMIF(Allocation!C:C,Delivery[Delivery ID],Allocation!H:H))/Delivery[[#This Row],[Exchange rate VS USD]]</f>
        <v>0.98496382419379447</v>
      </c>
      <c r="AJ1182" s="204">
        <f>Delivery[[#This Row],[Valor Prêmio Nespresso AAA por Kg (em US$)]]*60</f>
        <v>59.097829451627668</v>
      </c>
      <c r="AK1182" s="204">
        <f>Delivery[[#This Row],[Valor Prêmio Nespresso AAA por saca (em US$)]]/1.3228/100</f>
        <v>0.44676314977039361</v>
      </c>
      <c r="AL1182" s="204">
        <f>(Delivery[[#This Row],[BEN premium (total)]]/SUMIF(Allocation!C:C,Delivery[Delivery ID],Allocation!H:H))/Delivery[[#This Row],[Exchange rate for premiums VS USD]]</f>
        <v>0</v>
      </c>
      <c r="AM1182" s="204">
        <f>Delivery[[#This Row],[Valor Prêmio Nespresso BEN por Kg (em US$)]]*60</f>
        <v>0</v>
      </c>
      <c r="AN1182" s="204">
        <f>Delivery[[#This Row],[Valor Prêmio Nespresso BEN por saca (em US$)]]/1.3228/100</f>
        <v>0</v>
      </c>
      <c r="AO1182" s="204">
        <f>SUMIF(Allocation[Delivery ID],Delivery[[#This Row],[Delivery ID]],Allocation[Quantity allocated])*16*1.3228*Delivery[[#This Row],[Exchange rate VS USD]]/60</f>
        <v>4885.8103026666658</v>
      </c>
      <c r="AP1182" s="204">
        <f>Delivery[[#This Row],[AAA Premium (total)]]</f>
        <v>13642.5</v>
      </c>
      <c r="AQ1182" s="204">
        <f>Delivery[[#This Row],[Valor pago pelo Cluster]]-Delivery[[#This Row],[Valor efetivamente pago pela Nespresso]]</f>
        <v>8756.6896973333351</v>
      </c>
    </row>
    <row r="1183" spans="1:43" ht="15.75">
      <c r="A1183" s="174" t="s">
        <v>69</v>
      </c>
      <c r="B1183" s="232" t="s">
        <v>68</v>
      </c>
      <c r="C1183" s="157" t="s">
        <v>1344</v>
      </c>
      <c r="D1183" s="157" t="s">
        <v>468</v>
      </c>
      <c r="E1183" s="177" t="s">
        <v>468</v>
      </c>
      <c r="F1183" s="233" t="s">
        <v>543</v>
      </c>
      <c r="G1183" s="234">
        <v>43445</v>
      </c>
      <c r="H1183" s="235" t="s">
        <v>1807</v>
      </c>
      <c r="I1183" s="157" t="s">
        <v>1615</v>
      </c>
      <c r="J1183" s="237">
        <v>6482</v>
      </c>
      <c r="K1183" s="175" t="s">
        <v>61</v>
      </c>
      <c r="L1183" s="175" t="s">
        <v>439</v>
      </c>
      <c r="M1183" s="175" t="s">
        <v>1343</v>
      </c>
      <c r="N1183" s="198"/>
      <c r="O1183" s="199"/>
      <c r="P1183" s="181">
        <v>0</v>
      </c>
      <c r="Q1183" s="177">
        <v>43438</v>
      </c>
      <c r="R1183" s="178">
        <v>406.16166999999996</v>
      </c>
      <c r="S1183" s="179">
        <v>44091</v>
      </c>
      <c r="T1183" s="182" t="s">
        <v>45</v>
      </c>
      <c r="U1183" s="183">
        <v>3.8209</v>
      </c>
      <c r="V1183" s="179">
        <v>2889</v>
      </c>
      <c r="W1183" s="179">
        <v>0</v>
      </c>
      <c r="X1183" s="196" t="s">
        <v>45</v>
      </c>
      <c r="Y1183" s="200">
        <v>3.8209</v>
      </c>
      <c r="Z1183" s="221"/>
      <c r="AA1183" s="201">
        <f>Delivery[[#This Row],[Quantity delivered]]*VLOOKUP(Delivery[[#This Row],[Unit]],References!$U:$X,4,FALSE)*VLOOKUP(CONCATENATE(Delivery[[#This Row],[Coffee specie]],Delivery[[#This Row],[Coffee state]]),References!$U:$X,4,FALSE)</f>
        <v>6482</v>
      </c>
      <c r="AB1183" s="202">
        <f>SUMIF(Allocation!C:C,Delivery[[#This Row],[Delivery ID]],Allocation!D:D)/Delivery[[#This Row],[Quantity delivered]]</f>
        <v>0.45865473619253316</v>
      </c>
      <c r="AC1183" s="203">
        <f>Delivery[[#This Row],[Quantity delivered]]*Delivery[[#This Row],[Base price (Unidad)]]/60</f>
        <v>43878.999082333328</v>
      </c>
      <c r="AD1183" s="204">
        <f>Delivery[[#This Row],[Nespresso total]]-Delivery[[#This Row],[Qt. Delivery * Base Price]]</f>
        <v>212.00091766667174</v>
      </c>
      <c r="AE1183" s="204">
        <f>Delivery[[#This Row],[AAA Premium (total)]]/Delivery[[#This Row],[Quantity delivered]]*60/Delivery[[#This Row],[Exchange rate VS USD]]</f>
        <v>6.9988082322425988</v>
      </c>
      <c r="AF1183" s="204">
        <f>Delivery[[#This Row],[BEN premium (total)]]/Delivery[[#This Row],[Quantity delivered]]*60/Delivery[[#This Row],[Exchange rate for premiums VS USD]]</f>
        <v>0</v>
      </c>
      <c r="AG1183" s="204">
        <f>COUNTIF(Delivery[Delivery ID],Delivery[[#This Row],[Delivery ID]])</f>
        <v>1</v>
      </c>
      <c r="AH1183" s="204">
        <f>(Delivery[[#This Row],[Nespresso total]]/SUMIF(Allocation!C:C,Delivery[Delivery ID],Allocation!H:H))/Delivery[[#This Row],[Exchange rate VS USD]]</f>
        <v>11.762923428626859</v>
      </c>
      <c r="AI1183" s="204">
        <f>(Delivery[[#This Row],[AAA Premium (total)]]/SUMIF(Allocation!C:C,Delivery[Delivery ID],Allocation!H:H))/Delivery[[#This Row],[Exchange rate VS USD]]</f>
        <v>0.77074881008149043</v>
      </c>
      <c r="AJ1183" s="204">
        <f>Delivery[[#This Row],[Valor Prêmio Nespresso AAA por Kg (em US$)]]*60</f>
        <v>46.244928604889424</v>
      </c>
      <c r="AK1183" s="204">
        <f>Delivery[[#This Row],[Valor Prêmio Nespresso AAA por saca (em US$)]]/1.3228/100</f>
        <v>0.3495987950173074</v>
      </c>
      <c r="AL1183" s="204">
        <f>(Delivery[[#This Row],[BEN premium (total)]]/SUMIF(Allocation!C:C,Delivery[Delivery ID],Allocation!H:H))/Delivery[[#This Row],[Exchange rate for premiums VS USD]]</f>
        <v>0</v>
      </c>
      <c r="AM1183" s="204">
        <f>Delivery[[#This Row],[Valor Prêmio Nespresso BEN por Kg (em US$)]]*60</f>
        <v>0</v>
      </c>
      <c r="AN1183" s="204">
        <f>Delivery[[#This Row],[Valor Prêmio Nespresso BEN por saca (em US$)]]/1.3228/100</f>
        <v>0</v>
      </c>
      <c r="AO1183" s="204">
        <f>SUMIF(Allocation[Delivery ID],Delivery[[#This Row],[Delivery ID]],Allocation[Quantity allocated])*16*1.3228*Delivery[[#This Row],[Exchange rate VS USD]]/60</f>
        <v>1322.2013536320001</v>
      </c>
      <c r="AP1183" s="204">
        <f>Delivery[[#This Row],[AAA Premium (total)]]</f>
        <v>2889</v>
      </c>
      <c r="AQ1183" s="204">
        <f>Delivery[[#This Row],[Valor pago pelo Cluster]]-Delivery[[#This Row],[Valor efetivamente pago pela Nespresso]]</f>
        <v>1566.7986463679999</v>
      </c>
    </row>
    <row r="1184" spans="1:43" ht="15.75">
      <c r="A1184" s="174" t="s">
        <v>69</v>
      </c>
      <c r="B1184" s="232" t="s">
        <v>68</v>
      </c>
      <c r="C1184" s="157">
        <v>1</v>
      </c>
      <c r="D1184" s="157" t="s">
        <v>468</v>
      </c>
      <c r="E1184" s="177" t="s">
        <v>468</v>
      </c>
      <c r="F1184" s="233" t="s">
        <v>543</v>
      </c>
      <c r="G1184" s="234">
        <v>43445</v>
      </c>
      <c r="H1184" s="157" t="s">
        <v>1808</v>
      </c>
      <c r="I1184" s="236" t="s">
        <v>1615</v>
      </c>
      <c r="J1184" s="237">
        <v>24127</v>
      </c>
      <c r="K1184" s="175" t="s">
        <v>61</v>
      </c>
      <c r="L1184" s="175" t="s">
        <v>439</v>
      </c>
      <c r="M1184" s="175" t="s">
        <v>1343</v>
      </c>
      <c r="N1184" s="198"/>
      <c r="O1184" s="199"/>
      <c r="P1184" s="181">
        <v>0</v>
      </c>
      <c r="Q1184" s="177">
        <v>43438</v>
      </c>
      <c r="R1184" s="178">
        <v>406.16166999999996</v>
      </c>
      <c r="S1184" s="179">
        <v>164116.5</v>
      </c>
      <c r="T1184" s="182" t="s">
        <v>45</v>
      </c>
      <c r="U1184" s="183">
        <v>3.8209</v>
      </c>
      <c r="V1184" s="179">
        <v>10967.5</v>
      </c>
      <c r="W1184" s="179">
        <v>0</v>
      </c>
      <c r="X1184" s="196" t="s">
        <v>45</v>
      </c>
      <c r="Y1184" s="200">
        <v>3.8209</v>
      </c>
      <c r="Z1184" s="220"/>
      <c r="AA1184" s="201">
        <f>Delivery[[#This Row],[Quantity delivered]]*VLOOKUP(Delivery[[#This Row],[Unit]],References!$U:$X,4,FALSE)*VLOOKUP(CONCATENATE(Delivery[[#This Row],[Coffee specie]],Delivery[[#This Row],[Coffee state]]),References!$U:$X,4,FALSE)</f>
        <v>24127</v>
      </c>
      <c r="AB1184" s="202">
        <f>SUMIF(Allocation!C:C,Delivery[[#This Row],[Delivery ID]],Allocation!D:D)/Delivery[[#This Row],[Quantity delivered]]</f>
        <v>1</v>
      </c>
      <c r="AC1184" s="203">
        <f>Delivery[[#This Row],[Quantity delivered]]*Delivery[[#This Row],[Base price (Unidad)]]/60</f>
        <v>163324.37686816664</v>
      </c>
      <c r="AD1184" s="204">
        <f>Delivery[[#This Row],[Nespresso total]]-Delivery[[#This Row],[Qt. Delivery * Base Price]]</f>
        <v>792.12313183335937</v>
      </c>
      <c r="AE1184" s="204">
        <f>Delivery[[#This Row],[AAA Premium (total)]]/Delivery[[#This Row],[Quantity delivered]]*60/Delivery[[#This Row],[Exchange rate VS USD]]</f>
        <v>7.1382194890665662</v>
      </c>
      <c r="AF1184" s="204">
        <f>Delivery[[#This Row],[BEN premium (total)]]/Delivery[[#This Row],[Quantity delivered]]*60/Delivery[[#This Row],[Exchange rate for premiums VS USD]]</f>
        <v>0</v>
      </c>
      <c r="AG1184" s="204">
        <f>COUNTIF(Delivery[Delivery ID],Delivery[[#This Row],[Delivery ID]])</f>
        <v>1</v>
      </c>
      <c r="AH1184" s="204">
        <f>(Delivery[[#This Row],[Nespresso total]]/SUMIF(Allocation!C:C,Delivery[Delivery ID],Allocation!H:H))/Delivery[[#This Row],[Exchange rate VS USD]]</f>
        <v>5.3946640165324009</v>
      </c>
      <c r="AI1184" s="204">
        <f>(Delivery[[#This Row],[AAA Premium (total)]]/SUMIF(Allocation!C:C,Delivery[Delivery ID],Allocation!H:H))/Delivery[[#This Row],[Exchange rate VS USD]]</f>
        <v>0.36051206064788799</v>
      </c>
      <c r="AJ1184" s="204">
        <f>Delivery[[#This Row],[Valor Prêmio Nespresso AAA por Kg (em US$)]]*60</f>
        <v>21.630723638873278</v>
      </c>
      <c r="AK1184" s="204">
        <f>Delivery[[#This Row],[Valor Prêmio Nespresso AAA por saca (em US$)]]/1.3228/100</f>
        <v>0.16352225309096824</v>
      </c>
      <c r="AL1184" s="204">
        <f>(Delivery[[#This Row],[BEN premium (total)]]/SUMIF(Allocation!C:C,Delivery[Delivery ID],Allocation!H:H))/Delivery[[#This Row],[Exchange rate for premiums VS USD]]</f>
        <v>0</v>
      </c>
      <c r="AM1184" s="204">
        <f>Delivery[[#This Row],[Valor Prêmio Nespresso BEN por Kg (em US$)]]*60</f>
        <v>0</v>
      </c>
      <c r="AN1184" s="204">
        <f>Delivery[[#This Row],[Valor Prêmio Nespresso BEN por saca (em US$)]]/1.3228/100</f>
        <v>0</v>
      </c>
      <c r="AO1184" s="204">
        <f>SUMIF(Allocation[Delivery ID],Delivery[[#This Row],[Delivery ID]],Allocation[Quantity allocated])*16*1.3228*Delivery[[#This Row],[Exchange rate VS USD]]/60</f>
        <v>10731.261139263999</v>
      </c>
      <c r="AP1184" s="204">
        <f>Delivery[[#This Row],[AAA Premium (total)]]</f>
        <v>10967.5</v>
      </c>
      <c r="AQ1184" s="204">
        <f>Delivery[[#This Row],[Valor pago pelo Cluster]]-Delivery[[#This Row],[Valor efetivamente pago pela Nespresso]]</f>
        <v>236.23886073600079</v>
      </c>
    </row>
    <row r="1185" spans="1:43" ht="15.75">
      <c r="A1185" s="174" t="s">
        <v>69</v>
      </c>
      <c r="B1185" s="232" t="s">
        <v>68</v>
      </c>
      <c r="C1185" s="157">
        <v>1</v>
      </c>
      <c r="D1185" s="157" t="s">
        <v>468</v>
      </c>
      <c r="E1185" s="177" t="s">
        <v>468</v>
      </c>
      <c r="F1185" s="233" t="s">
        <v>543</v>
      </c>
      <c r="G1185" s="234">
        <v>43445</v>
      </c>
      <c r="H1185" s="235" t="s">
        <v>1809</v>
      </c>
      <c r="I1185" s="157" t="s">
        <v>1615</v>
      </c>
      <c r="J1185" s="237">
        <v>30630</v>
      </c>
      <c r="K1185" s="175" t="s">
        <v>61</v>
      </c>
      <c r="L1185" s="175" t="s">
        <v>439</v>
      </c>
      <c r="M1185" s="175" t="s">
        <v>1343</v>
      </c>
      <c r="N1185" s="198"/>
      <c r="O1185" s="199"/>
      <c r="P1185" s="181">
        <v>0</v>
      </c>
      <c r="Q1185" s="177">
        <v>43438</v>
      </c>
      <c r="R1185" s="178">
        <v>406.16166999999996</v>
      </c>
      <c r="S1185" s="179">
        <v>208207.5</v>
      </c>
      <c r="T1185" s="182" t="s">
        <v>45</v>
      </c>
      <c r="U1185" s="183">
        <v>3.8209</v>
      </c>
      <c r="V1185" s="179">
        <v>13642.5</v>
      </c>
      <c r="W1185" s="179">
        <v>0</v>
      </c>
      <c r="X1185" s="196" t="s">
        <v>45</v>
      </c>
      <c r="Y1185" s="200">
        <v>3.8209</v>
      </c>
      <c r="Z1185" s="221"/>
      <c r="AA1185" s="201">
        <f>Delivery[[#This Row],[Quantity delivered]]*VLOOKUP(Delivery[[#This Row],[Unit]],References!$U:$X,4,FALSE)*VLOOKUP(CONCATENATE(Delivery[[#This Row],[Coffee specie]],Delivery[[#This Row],[Coffee state]]),References!$U:$X,4,FALSE)</f>
        <v>30630</v>
      </c>
      <c r="AB1185" s="202">
        <f>SUMIF(Allocation!C:C,Delivery[[#This Row],[Delivery ID]],Allocation!D:D)/Delivery[[#This Row],[Quantity delivered]]</f>
        <v>0.35912504080966373</v>
      </c>
      <c r="AC1185" s="203">
        <f>Delivery[[#This Row],[Quantity delivered]]*Delivery[[#This Row],[Base price (Unidad)]]/60</f>
        <v>207345.53253499998</v>
      </c>
      <c r="AD1185" s="204">
        <f>Delivery[[#This Row],[Nespresso total]]-Delivery[[#This Row],[Qt. Delivery * Base Price]]</f>
        <v>861.96746500002337</v>
      </c>
      <c r="AE1185" s="204">
        <f>Delivery[[#This Row],[AAA Premium (total)]]/Delivery[[#This Row],[Quantity delivered]]*60/Delivery[[#This Row],[Exchange rate VS USD]]</f>
        <v>6.9941113862928592</v>
      </c>
      <c r="AF1185" s="204">
        <f>Delivery[[#This Row],[BEN premium (total)]]/Delivery[[#This Row],[Quantity delivered]]*60/Delivery[[#This Row],[Exchange rate for premiums VS USD]]</f>
        <v>0</v>
      </c>
      <c r="AG1185" s="204">
        <f>COUNTIF(Delivery[Delivery ID],Delivery[[#This Row],[Delivery ID]])</f>
        <v>1</v>
      </c>
      <c r="AH1185" s="204">
        <f>(Delivery[[#This Row],[Nespresso total]]/SUMIF(Allocation!C:C,Delivery[Delivery ID],Allocation!H:H))/Delivery[[#This Row],[Exchange rate VS USD]]</f>
        <v>15.011499389287582</v>
      </c>
      <c r="AI1185" s="204">
        <f>(Delivery[[#This Row],[AAA Premium (total)]]/SUMIF(Allocation!C:C,Delivery[Delivery ID],Allocation!H:H))/Delivery[[#This Row],[Exchange rate VS USD]]</f>
        <v>0.98360712471143386</v>
      </c>
      <c r="AJ1185" s="204">
        <f>Delivery[[#This Row],[Valor Prêmio Nespresso AAA por Kg (em US$)]]*60</f>
        <v>59.016427482686034</v>
      </c>
      <c r="AK1185" s="204">
        <f>Delivery[[#This Row],[Valor Prêmio Nespresso AAA por saca (em US$)]]/1.3228/100</f>
        <v>0.44614777353104046</v>
      </c>
      <c r="AL1185" s="204">
        <f>(Delivery[[#This Row],[BEN premium (total)]]/SUMIF(Allocation!C:C,Delivery[Delivery ID],Allocation!H:H))/Delivery[[#This Row],[Exchange rate for premiums VS USD]]</f>
        <v>0</v>
      </c>
      <c r="AM1185" s="204">
        <f>Delivery[[#This Row],[Valor Prêmio Nespresso BEN por Kg (em US$)]]*60</f>
        <v>0</v>
      </c>
      <c r="AN1185" s="204">
        <f>Delivery[[#This Row],[Valor Prêmio Nespresso BEN por saca (em US$)]]/1.3228/100</f>
        <v>0</v>
      </c>
      <c r="AO1185" s="204">
        <f>SUMIF(Allocation[Delivery ID],Delivery[[#This Row],[Delivery ID]],Allocation[Quantity allocated])*16*1.3228*Delivery[[#This Row],[Exchange rate VS USD]]/60</f>
        <v>4892.5493513599995</v>
      </c>
      <c r="AP1185" s="204">
        <f>Delivery[[#This Row],[AAA Premium (total)]]</f>
        <v>13642.5</v>
      </c>
      <c r="AQ1185" s="204">
        <f>Delivery[[#This Row],[Valor pago pelo Cluster]]-Delivery[[#This Row],[Valor efetivamente pago pela Nespresso]]</f>
        <v>8749.9506486400005</v>
      </c>
    </row>
    <row r="1186" spans="1:43" ht="15.75">
      <c r="A1186" s="174" t="s">
        <v>69</v>
      </c>
      <c r="B1186" s="232" t="s">
        <v>68</v>
      </c>
      <c r="C1186" s="157" t="s">
        <v>1344</v>
      </c>
      <c r="D1186" s="157" t="s">
        <v>468</v>
      </c>
      <c r="E1186" s="177" t="s">
        <v>468</v>
      </c>
      <c r="F1186" s="233" t="s">
        <v>543</v>
      </c>
      <c r="G1186" s="234">
        <v>43445</v>
      </c>
      <c r="H1186" s="235" t="s">
        <v>1810</v>
      </c>
      <c r="I1186" s="157" t="s">
        <v>1615</v>
      </c>
      <c r="J1186" s="237">
        <v>3175</v>
      </c>
      <c r="K1186" s="175" t="s">
        <v>61</v>
      </c>
      <c r="L1186" s="175" t="s">
        <v>439</v>
      </c>
      <c r="M1186" s="175" t="s">
        <v>1343</v>
      </c>
      <c r="N1186" s="198"/>
      <c r="O1186" s="199"/>
      <c r="P1186" s="181">
        <v>0</v>
      </c>
      <c r="Q1186" s="177">
        <v>43438</v>
      </c>
      <c r="R1186" s="178">
        <v>406.16166999999996</v>
      </c>
      <c r="S1186" s="179">
        <v>21637.25</v>
      </c>
      <c r="T1186" s="182" t="s">
        <v>45</v>
      </c>
      <c r="U1186" s="183">
        <v>3.8209</v>
      </c>
      <c r="V1186" s="179">
        <v>1417.75</v>
      </c>
      <c r="W1186" s="179">
        <v>0</v>
      </c>
      <c r="X1186" s="196" t="s">
        <v>45</v>
      </c>
      <c r="Y1186" s="200">
        <v>3.8209</v>
      </c>
      <c r="Z1186" s="221"/>
      <c r="AA1186" s="201">
        <f>Delivery[[#This Row],[Quantity delivered]]*VLOOKUP(Delivery[[#This Row],[Unit]],References!$U:$X,4,FALSE)*VLOOKUP(CONCATENATE(Delivery[[#This Row],[Coffee specie]],Delivery[[#This Row],[Coffee state]]),References!$U:$X,4,FALSE)</f>
        <v>3175</v>
      </c>
      <c r="AB1186" s="202">
        <f>SUMIF(Allocation!C:C,Delivery[[#This Row],[Delivery ID]],Allocation!D:D)/Delivery[[#This Row],[Quantity delivered]]</f>
        <v>0.45826771653543308</v>
      </c>
      <c r="AC1186" s="203">
        <f>Delivery[[#This Row],[Quantity delivered]]*Delivery[[#This Row],[Base price (Unidad)]]/60</f>
        <v>21492.721704166666</v>
      </c>
      <c r="AD1186" s="204">
        <f>Delivery[[#This Row],[Nespresso total]]-Delivery[[#This Row],[Qt. Delivery * Base Price]]</f>
        <v>144.52829583333369</v>
      </c>
      <c r="AE1186" s="204">
        <f>Delivery[[#This Row],[AAA Premium (total)]]/Delivery[[#This Row],[Quantity delivered]]*60/Delivery[[#This Row],[Exchange rate VS USD]]</f>
        <v>7.0119935052610556</v>
      </c>
      <c r="AF1186" s="204">
        <f>Delivery[[#This Row],[BEN premium (total)]]/Delivery[[#This Row],[Quantity delivered]]*60/Delivery[[#This Row],[Exchange rate for premiums VS USD]]</f>
        <v>0</v>
      </c>
      <c r="AG1186" s="204">
        <f>COUNTIF(Delivery[Delivery ID],Delivery[[#This Row],[Delivery ID]])</f>
        <v>1</v>
      </c>
      <c r="AH1186" s="204">
        <f>(Delivery[[#This Row],[Nespresso total]]/SUMIF(Allocation!C:C,Delivery[Delivery ID],Allocation!H:H))/Delivery[[#This Row],[Exchange rate VS USD]]</f>
        <v>11.79764039013496</v>
      </c>
      <c r="AI1186" s="204">
        <f>(Delivery[[#This Row],[AAA Premium (total)]]/SUMIF(Allocation!C:C,Delivery[Delivery ID],Allocation!H:H))/Delivery[[#This Row],[Exchange rate VS USD]]</f>
        <v>0.77302358955568928</v>
      </c>
      <c r="AJ1186" s="204">
        <f>Delivery[[#This Row],[Valor Prêmio Nespresso AAA por Kg (em US$)]]*60</f>
        <v>46.381415373341355</v>
      </c>
      <c r="AK1186" s="204">
        <f>Delivery[[#This Row],[Valor Prêmio Nespresso AAA por saca (em US$)]]/1.3228/100</f>
        <v>0.35063059701649046</v>
      </c>
      <c r="AL1186" s="204">
        <f>(Delivery[[#This Row],[BEN premium (total)]]/SUMIF(Allocation!C:C,Delivery[Delivery ID],Allocation!H:H))/Delivery[[#This Row],[Exchange rate for premiums VS USD]]</f>
        <v>0</v>
      </c>
      <c r="AM1186" s="204">
        <f>Delivery[[#This Row],[Valor Prêmio Nespresso BEN por Kg (em US$)]]*60</f>
        <v>0</v>
      </c>
      <c r="AN1186" s="204">
        <f>Delivery[[#This Row],[Valor Prêmio Nespresso BEN por saca (em US$)]]/1.3228/100</f>
        <v>0</v>
      </c>
      <c r="AO1186" s="204">
        <f>SUMIF(Allocation[Delivery ID],Delivery[[#This Row],[Delivery ID]],Allocation[Quantity allocated])*16*1.3228*Delivery[[#This Row],[Exchange rate VS USD]]/60</f>
        <v>646.94867455999997</v>
      </c>
      <c r="AP1186" s="204">
        <f>Delivery[[#This Row],[AAA Premium (total)]]</f>
        <v>1417.75</v>
      </c>
      <c r="AQ1186" s="204">
        <f>Delivery[[#This Row],[Valor pago pelo Cluster]]-Delivery[[#This Row],[Valor efetivamente pago pela Nespresso]]</f>
        <v>770.80132544000003</v>
      </c>
    </row>
    <row r="1187" spans="1:43" ht="15.75">
      <c r="A1187" s="174" t="s">
        <v>69</v>
      </c>
      <c r="B1187" s="232" t="s">
        <v>68</v>
      </c>
      <c r="C1187" s="157" t="s">
        <v>1344</v>
      </c>
      <c r="D1187" s="157" t="s">
        <v>468</v>
      </c>
      <c r="E1187" s="177" t="s">
        <v>468</v>
      </c>
      <c r="F1187" s="233" t="s">
        <v>543</v>
      </c>
      <c r="G1187" s="234">
        <v>43445</v>
      </c>
      <c r="H1187" s="235" t="s">
        <v>1811</v>
      </c>
      <c r="I1187" s="157" t="s">
        <v>1615</v>
      </c>
      <c r="J1187" s="237">
        <v>2875.5</v>
      </c>
      <c r="K1187" s="175" t="s">
        <v>61</v>
      </c>
      <c r="L1187" s="175" t="s">
        <v>439</v>
      </c>
      <c r="M1187" s="175" t="s">
        <v>1343</v>
      </c>
      <c r="N1187" s="198"/>
      <c r="O1187" s="199"/>
      <c r="P1187" s="181">
        <v>0</v>
      </c>
      <c r="Q1187" s="177">
        <v>43438</v>
      </c>
      <c r="R1187" s="178">
        <v>406.16166999999996</v>
      </c>
      <c r="S1187" s="179">
        <v>19596</v>
      </c>
      <c r="T1187" s="182" t="s">
        <v>45</v>
      </c>
      <c r="U1187" s="183">
        <v>3.8209</v>
      </c>
      <c r="V1187" s="179">
        <v>1284</v>
      </c>
      <c r="W1187" s="179">
        <v>0</v>
      </c>
      <c r="X1187" s="196" t="s">
        <v>45</v>
      </c>
      <c r="Y1187" s="200">
        <v>3.8209</v>
      </c>
      <c r="Z1187" s="221"/>
      <c r="AA1187" s="201">
        <f>Delivery[[#This Row],[Quantity delivered]]*VLOOKUP(Delivery[[#This Row],[Unit]],References!$U:$X,4,FALSE)*VLOOKUP(CONCATENATE(Delivery[[#This Row],[Coffee specie]],Delivery[[#This Row],[Coffee state]]),References!$U:$X,4,FALSE)</f>
        <v>2875.5</v>
      </c>
      <c r="AB1187" s="202">
        <f>SUMIF(Allocation!C:C,Delivery[[#This Row],[Delivery ID]],Allocation!D:D)/Delivery[[#This Row],[Quantity delivered]]</f>
        <v>0.45835506868370718</v>
      </c>
      <c r="AC1187" s="203">
        <f>Delivery[[#This Row],[Quantity delivered]]*Delivery[[#This Row],[Base price (Unidad)]]/60</f>
        <v>19465.298034749998</v>
      </c>
      <c r="AD1187" s="204">
        <f>Delivery[[#This Row],[Nespresso total]]-Delivery[[#This Row],[Qt. Delivery * Base Price]]</f>
        <v>130.7019652500021</v>
      </c>
      <c r="AE1187" s="204">
        <f>Delivery[[#This Row],[AAA Premium (total)]]/Delivery[[#This Row],[Quantity delivered]]*60/Delivery[[#This Row],[Exchange rate VS USD]]</f>
        <v>7.0119244902562308</v>
      </c>
      <c r="AF1187" s="204">
        <f>Delivery[[#This Row],[BEN premium (total)]]/Delivery[[#This Row],[Quantity delivered]]*60/Delivery[[#This Row],[Exchange rate for premiums VS USD]]</f>
        <v>0</v>
      </c>
      <c r="AG1187" s="204">
        <f>COUNTIF(Delivery[Delivery ID],Delivery[[#This Row],[Delivery ID]])</f>
        <v>1</v>
      </c>
      <c r="AH1187" s="204">
        <f>(Delivery[[#This Row],[Nespresso total]]/SUMIF(Allocation!C:C,Delivery[Delivery ID],Allocation!H:H))/Delivery[[#This Row],[Exchange rate VS USD]]</f>
        <v>11.789964631911058</v>
      </c>
      <c r="AI1187" s="204">
        <f>(Delivery[[#This Row],[AAA Premium (total)]]/SUMIF(Allocation!C:C,Delivery[Delivery ID],Allocation!H:H))/Delivery[[#This Row],[Exchange rate VS USD]]</f>
        <v>0.77252064642650542</v>
      </c>
      <c r="AJ1187" s="204">
        <f>Delivery[[#This Row],[Valor Prêmio Nespresso AAA por Kg (em US$)]]*60</f>
        <v>46.351238785590326</v>
      </c>
      <c r="AK1187" s="204">
        <f>Delivery[[#This Row],[Valor Prêmio Nespresso AAA por saca (em US$)]]/1.3228/100</f>
        <v>0.35040247040815181</v>
      </c>
      <c r="AL1187" s="204">
        <f>(Delivery[[#This Row],[BEN premium (total)]]/SUMIF(Allocation!C:C,Delivery[Delivery ID],Allocation!H:H))/Delivery[[#This Row],[Exchange rate for premiums VS USD]]</f>
        <v>0</v>
      </c>
      <c r="AM1187" s="204">
        <f>Delivery[[#This Row],[Valor Prêmio Nespresso BEN por Kg (em US$)]]*60</f>
        <v>0</v>
      </c>
      <c r="AN1187" s="204">
        <f>Delivery[[#This Row],[Valor Prêmio Nespresso BEN por saca (em US$)]]/1.3228/100</f>
        <v>0</v>
      </c>
      <c r="AO1187" s="204">
        <f>SUMIF(Allocation[Delivery ID],Delivery[[#This Row],[Delivery ID]],Allocation[Quantity allocated])*16*1.3228*Delivery[[#This Row],[Exchange rate VS USD]]/60</f>
        <v>586.29723632000002</v>
      </c>
      <c r="AP1187" s="204">
        <f>Delivery[[#This Row],[AAA Premium (total)]]</f>
        <v>1284</v>
      </c>
      <c r="AQ1187" s="204">
        <f>Delivery[[#This Row],[Valor pago pelo Cluster]]-Delivery[[#This Row],[Valor efetivamente pago pela Nespresso]]</f>
        <v>697.70276367999998</v>
      </c>
    </row>
    <row r="1188" spans="1:43" ht="15.75">
      <c r="A1188" s="174" t="s">
        <v>69</v>
      </c>
      <c r="B1188" s="232" t="s">
        <v>68</v>
      </c>
      <c r="C1188" s="157" t="s">
        <v>1344</v>
      </c>
      <c r="D1188" s="157" t="s">
        <v>468</v>
      </c>
      <c r="E1188" s="177" t="s">
        <v>468</v>
      </c>
      <c r="F1188" s="233" t="s">
        <v>543</v>
      </c>
      <c r="G1188" s="234">
        <v>43445</v>
      </c>
      <c r="H1188" s="235" t="s">
        <v>1812</v>
      </c>
      <c r="I1188" s="157" t="s">
        <v>1615</v>
      </c>
      <c r="J1188" s="237">
        <v>5571</v>
      </c>
      <c r="K1188" s="175" t="s">
        <v>61</v>
      </c>
      <c r="L1188" s="175" t="s">
        <v>439</v>
      </c>
      <c r="M1188" s="175" t="s">
        <v>1343</v>
      </c>
      <c r="N1188" s="198"/>
      <c r="O1188" s="199"/>
      <c r="P1188" s="181">
        <v>0</v>
      </c>
      <c r="Q1188" s="177">
        <v>43438</v>
      </c>
      <c r="R1188" s="178">
        <v>406.16166999999996</v>
      </c>
      <c r="S1188" s="179">
        <v>37967.25</v>
      </c>
      <c r="T1188" s="182" t="s">
        <v>45</v>
      </c>
      <c r="U1188" s="183">
        <v>3.8209</v>
      </c>
      <c r="V1188" s="179">
        <v>2487.75</v>
      </c>
      <c r="W1188" s="179">
        <v>0</v>
      </c>
      <c r="X1188" s="196" t="s">
        <v>45</v>
      </c>
      <c r="Y1188" s="200">
        <v>3.8209</v>
      </c>
      <c r="Z1188" s="221"/>
      <c r="AA1188" s="201">
        <f>Delivery[[#This Row],[Quantity delivered]]*VLOOKUP(Delivery[[#This Row],[Unit]],References!$U:$X,4,FALSE)*VLOOKUP(CONCATENATE(Delivery[[#This Row],[Coffee specie]],Delivery[[#This Row],[Coffee state]]),References!$U:$X,4,FALSE)</f>
        <v>5571</v>
      </c>
      <c r="AB1188" s="202">
        <f>SUMIF(Allocation!C:C,Delivery[[#This Row],[Delivery ID]],Allocation!D:D)/Delivery[[#This Row],[Quantity delivered]]</f>
        <v>0.45862502243762343</v>
      </c>
      <c r="AC1188" s="203">
        <f>Delivery[[#This Row],[Quantity delivered]]*Delivery[[#This Row],[Base price (Unidad)]]/60</f>
        <v>37712.111059499999</v>
      </c>
      <c r="AD1188" s="204">
        <f>Delivery[[#This Row],[Nespresso total]]-Delivery[[#This Row],[Qt. Delivery * Base Price]]</f>
        <v>255.1389405000009</v>
      </c>
      <c r="AE1188" s="204">
        <f>Delivery[[#This Row],[AAA Premium (total)]]/Delivery[[#This Row],[Quantity delivered]]*60/Delivery[[#This Row],[Exchange rate VS USD]]</f>
        <v>7.0122784848286379</v>
      </c>
      <c r="AF1188" s="204">
        <f>Delivery[[#This Row],[BEN premium (total)]]/Delivery[[#This Row],[Quantity delivered]]*60/Delivery[[#This Row],[Exchange rate for premiums VS USD]]</f>
        <v>0</v>
      </c>
      <c r="AG1188" s="204">
        <f>COUNTIF(Delivery[Delivery ID],Delivery[[#This Row],[Delivery ID]])</f>
        <v>1</v>
      </c>
      <c r="AH1188" s="204">
        <f>(Delivery[[#This Row],[Nespresso total]]/SUMIF(Allocation!C:C,Delivery[Delivery ID],Allocation!H:H))/Delivery[[#This Row],[Exchange rate VS USD]]</f>
        <v>11.787342308816772</v>
      </c>
      <c r="AI1188" s="204">
        <f>(Delivery[[#This Row],[AAA Premium (total)]]/SUMIF(Allocation!C:C,Delivery[Delivery ID],Allocation!H:H))/Delivery[[#This Row],[Exchange rate VS USD]]</f>
        <v>0.77234882243931091</v>
      </c>
      <c r="AJ1188" s="204">
        <f>Delivery[[#This Row],[Valor Prêmio Nespresso AAA por Kg (em US$)]]*60</f>
        <v>46.340929346358656</v>
      </c>
      <c r="AK1188" s="204">
        <f>Delivery[[#This Row],[Valor Prêmio Nespresso AAA por saca (em US$)]]/1.3228/100</f>
        <v>0.35032453391562335</v>
      </c>
      <c r="AL1188" s="204">
        <f>(Delivery[[#This Row],[BEN premium (total)]]/SUMIF(Allocation!C:C,Delivery[Delivery ID],Allocation!H:H))/Delivery[[#This Row],[Exchange rate for premiums VS USD]]</f>
        <v>0</v>
      </c>
      <c r="AM1188" s="204">
        <f>Delivery[[#This Row],[Valor Prêmio Nespresso BEN por Kg (em US$)]]*60</f>
        <v>0</v>
      </c>
      <c r="AN1188" s="204">
        <f>Delivery[[#This Row],[Valor Prêmio Nespresso BEN por saca (em US$)]]/1.3228/100</f>
        <v>0</v>
      </c>
      <c r="AO1188" s="204">
        <f>SUMIF(Allocation[Delivery ID],Delivery[[#This Row],[Delivery ID]],Allocation[Quantity allocated])*16*1.3228*Delivery[[#This Row],[Exchange rate VS USD]]/60</f>
        <v>1136.2036096960001</v>
      </c>
      <c r="AP1188" s="204">
        <f>Delivery[[#This Row],[AAA Premium (total)]]</f>
        <v>2487.75</v>
      </c>
      <c r="AQ1188" s="204">
        <f>Delivery[[#This Row],[Valor pago pelo Cluster]]-Delivery[[#This Row],[Valor efetivamente pago pela Nespresso]]</f>
        <v>1351.5463903039999</v>
      </c>
    </row>
    <row r="1189" spans="1:43" ht="15.75">
      <c r="A1189" s="174" t="s">
        <v>69</v>
      </c>
      <c r="B1189" s="232" t="s">
        <v>68</v>
      </c>
      <c r="C1189" s="157">
        <v>1</v>
      </c>
      <c r="D1189" s="157" t="s">
        <v>468</v>
      </c>
      <c r="E1189" s="177" t="s">
        <v>468</v>
      </c>
      <c r="F1189" s="233" t="s">
        <v>543</v>
      </c>
      <c r="G1189" s="234">
        <v>43446</v>
      </c>
      <c r="H1189" s="157" t="s">
        <v>1813</v>
      </c>
      <c r="I1189" s="236" t="s">
        <v>1814</v>
      </c>
      <c r="J1189" s="237">
        <v>19180</v>
      </c>
      <c r="K1189" s="175" t="s">
        <v>61</v>
      </c>
      <c r="L1189" s="175" t="s">
        <v>439</v>
      </c>
      <c r="M1189" s="175" t="s">
        <v>1343</v>
      </c>
      <c r="N1189" s="198"/>
      <c r="O1189" s="199"/>
      <c r="P1189" s="181">
        <v>0</v>
      </c>
      <c r="Q1189" s="177">
        <v>43439</v>
      </c>
      <c r="R1189" s="178">
        <v>411.26313000000005</v>
      </c>
      <c r="S1189" s="179">
        <v>131306.78</v>
      </c>
      <c r="T1189" s="182" t="s">
        <v>45</v>
      </c>
      <c r="U1189" s="183">
        <v>3.8382000000000001</v>
      </c>
      <c r="V1189" s="179">
        <v>12243.22</v>
      </c>
      <c r="W1189" s="179">
        <v>0</v>
      </c>
      <c r="X1189" s="196" t="s">
        <v>45</v>
      </c>
      <c r="Y1189" s="200">
        <v>3.8382000000000001</v>
      </c>
      <c r="Z1189" s="220"/>
      <c r="AA1189" s="201">
        <f>Delivery[[#This Row],[Quantity delivered]]*VLOOKUP(Delivery[[#This Row],[Unit]],References!$U:$X,4,FALSE)*VLOOKUP(CONCATENATE(Delivery[[#This Row],[Coffee specie]],Delivery[[#This Row],[Coffee state]]),References!$U:$X,4,FALSE)</f>
        <v>19180</v>
      </c>
      <c r="AB1189" s="202">
        <f>SUMIF(Allocation!C:C,Delivery[[#This Row],[Delivery ID]],Allocation!D:D)/Delivery[[#This Row],[Quantity delivered]]</f>
        <v>0.74316996871741392</v>
      </c>
      <c r="AC1189" s="203">
        <f>Delivery[[#This Row],[Quantity delivered]]*Delivery[[#This Row],[Base price (Unidad)]]/60</f>
        <v>131467.11389000001</v>
      </c>
      <c r="AD1189" s="204">
        <f>Delivery[[#This Row],[Nespresso total]]-Delivery[[#This Row],[Qt. Delivery * Base Price]]</f>
        <v>-160.33389000000898</v>
      </c>
      <c r="AE1189" s="204">
        <f>Delivery[[#This Row],[AAA Premium (total)]]/Delivery[[#This Row],[Quantity delivered]]*60/Delivery[[#This Row],[Exchange rate VS USD]]</f>
        <v>9.9786249517704384</v>
      </c>
      <c r="AF1189" s="204">
        <f>Delivery[[#This Row],[BEN premium (total)]]/Delivery[[#This Row],[Quantity delivered]]*60/Delivery[[#This Row],[Exchange rate for premiums VS USD]]</f>
        <v>0</v>
      </c>
      <c r="AG1189" s="204">
        <f>COUNTIF(Delivery[Delivery ID],Delivery[[#This Row],[Delivery ID]])</f>
        <v>1</v>
      </c>
      <c r="AH1189" s="204">
        <f>(Delivery[[#This Row],[Nespresso total]]/SUMIF(Allocation!C:C,Delivery[Delivery ID],Allocation!H:H))/Delivery[[#This Row],[Exchange rate VS USD]]</f>
        <v>5.2174027962420464</v>
      </c>
      <c r="AI1189" s="204">
        <f>(Delivery[[#This Row],[AAA Premium (total)]]/SUMIF(Allocation!C:C,Delivery[Delivery ID],Allocation!H:H))/Delivery[[#This Row],[Exchange rate VS USD]]</f>
        <v>0.4864776233413578</v>
      </c>
      <c r="AJ1189" s="204">
        <f>Delivery[[#This Row],[Valor Prêmio Nespresso AAA por Kg (em US$)]]*60</f>
        <v>29.188657400481468</v>
      </c>
      <c r="AK1189" s="204">
        <f>Delivery[[#This Row],[Valor Prêmio Nespresso AAA por saca (em US$)]]/1.3228/100</f>
        <v>0.22065812972846591</v>
      </c>
      <c r="AL1189" s="204">
        <f>(Delivery[[#This Row],[BEN premium (total)]]/SUMIF(Allocation!C:C,Delivery[Delivery ID],Allocation!H:H))/Delivery[[#This Row],[Exchange rate for premiums VS USD]]</f>
        <v>0</v>
      </c>
      <c r="AM1189" s="204">
        <f>Delivery[[#This Row],[Valor Prêmio Nespresso BEN por Kg (em US$)]]*60</f>
        <v>0</v>
      </c>
      <c r="AN1189" s="204">
        <f>Delivery[[#This Row],[Valor Prêmio Nespresso BEN por saca (em US$)]]/1.3228/100</f>
        <v>0</v>
      </c>
      <c r="AO1189" s="204">
        <f>SUMIF(Allocation[Delivery ID],Delivery[[#This Row],[Delivery ID]],Allocation[Quantity allocated])*16*1.3228*Delivery[[#This Row],[Exchange rate VS USD]]/60</f>
        <v>8877.6026625919985</v>
      </c>
      <c r="AP1189" s="204">
        <f>Delivery[[#This Row],[AAA Premium (total)]]</f>
        <v>12243.22</v>
      </c>
      <c r="AQ1189" s="204">
        <f>Delivery[[#This Row],[Valor pago pelo Cluster]]-Delivery[[#This Row],[Valor efetivamente pago pela Nespresso]]</f>
        <v>3365.6173374080008</v>
      </c>
    </row>
    <row r="1190" spans="1:43" ht="15.75">
      <c r="A1190" s="174" t="s">
        <v>69</v>
      </c>
      <c r="B1190" s="232" t="s">
        <v>68</v>
      </c>
      <c r="C1190" s="157">
        <v>1</v>
      </c>
      <c r="D1190" s="157" t="s">
        <v>468</v>
      </c>
      <c r="E1190" s="177" t="s">
        <v>468</v>
      </c>
      <c r="F1190" s="233" t="s">
        <v>543</v>
      </c>
      <c r="G1190" s="234">
        <v>43445</v>
      </c>
      <c r="H1190" s="235" t="s">
        <v>1815</v>
      </c>
      <c r="I1190" s="157" t="s">
        <v>1615</v>
      </c>
      <c r="J1190" s="237">
        <v>30960</v>
      </c>
      <c r="K1190" s="175" t="s">
        <v>61</v>
      </c>
      <c r="L1190" s="175" t="s">
        <v>439</v>
      </c>
      <c r="M1190" s="175" t="s">
        <v>1343</v>
      </c>
      <c r="N1190" s="198"/>
      <c r="O1190" s="199"/>
      <c r="P1190" s="181">
        <v>0</v>
      </c>
      <c r="Q1190" s="177">
        <v>43438</v>
      </c>
      <c r="R1190" s="178">
        <v>406.16166999999996</v>
      </c>
      <c r="S1190" s="179">
        <v>210248.75</v>
      </c>
      <c r="T1190" s="182" t="s">
        <v>45</v>
      </c>
      <c r="U1190" s="183">
        <v>3.8209</v>
      </c>
      <c r="V1190" s="179">
        <v>13776.25</v>
      </c>
      <c r="W1190" s="179">
        <v>0</v>
      </c>
      <c r="X1190" s="196" t="s">
        <v>45</v>
      </c>
      <c r="Y1190" s="200">
        <v>3.8209</v>
      </c>
      <c r="Z1190" s="221"/>
      <c r="AA1190" s="201">
        <f>Delivery[[#This Row],[Quantity delivered]]*VLOOKUP(Delivery[[#This Row],[Unit]],References!$U:$X,4,FALSE)*VLOOKUP(CONCATENATE(Delivery[[#This Row],[Coffee specie]],Delivery[[#This Row],[Coffee state]]),References!$U:$X,4,FALSE)</f>
        <v>30960</v>
      </c>
      <c r="AB1190" s="202">
        <f>SUMIF(Allocation!C:C,Delivery[[#This Row],[Delivery ID]],Allocation!D:D)/Delivery[[#This Row],[Quantity delivered]]</f>
        <v>0.35920542635658914</v>
      </c>
      <c r="AC1190" s="203">
        <f>Delivery[[#This Row],[Quantity delivered]]*Delivery[[#This Row],[Base price (Unidad)]]/60</f>
        <v>209579.42171999998</v>
      </c>
      <c r="AD1190" s="204">
        <f>Delivery[[#This Row],[Nespresso total]]-Delivery[[#This Row],[Qt. Delivery * Base Price]]</f>
        <v>669.32828000001609</v>
      </c>
      <c r="AE1190" s="204">
        <f>Delivery[[#This Row],[AAA Premium (total)]]/Delivery[[#This Row],[Quantity delivered]]*60/Delivery[[#This Row],[Exchange rate VS USD]]</f>
        <v>6.9874005901040812</v>
      </c>
      <c r="AF1190" s="204">
        <f>Delivery[[#This Row],[BEN premium (total)]]/Delivery[[#This Row],[Quantity delivered]]*60/Delivery[[#This Row],[Exchange rate for premiums VS USD]]</f>
        <v>0</v>
      </c>
      <c r="AG1190" s="204">
        <f>COUNTIF(Delivery[Delivery ID],Delivery[[#This Row],[Delivery ID]])</f>
        <v>1</v>
      </c>
      <c r="AH1190" s="204">
        <f>(Delivery[[#This Row],[Nespresso total]]/SUMIF(Allocation!C:C,Delivery[Delivery ID],Allocation!H:H))/Delivery[[#This Row],[Exchange rate VS USD]]</f>
        <v>14.993453829835802</v>
      </c>
      <c r="AI1190" s="204">
        <f>(Delivery[[#This Row],[AAA Premium (total)]]/SUMIF(Allocation!C:C,Delivery[Delivery ID],Allocation!H:H))/Delivery[[#This Row],[Exchange rate VS USD]]</f>
        <v>0.98242471512090079</v>
      </c>
      <c r="AJ1190" s="204">
        <f>Delivery[[#This Row],[Valor Prêmio Nespresso AAA por Kg (em US$)]]*60</f>
        <v>58.945482907254046</v>
      </c>
      <c r="AK1190" s="204">
        <f>Delivery[[#This Row],[Valor Prêmio Nespresso AAA por saca (em US$)]]/1.3228/100</f>
        <v>0.44561145227739679</v>
      </c>
      <c r="AL1190" s="204">
        <f>(Delivery[[#This Row],[BEN premium (total)]]/SUMIF(Allocation!C:C,Delivery[Delivery ID],Allocation!H:H))/Delivery[[#This Row],[Exchange rate for premiums VS USD]]</f>
        <v>0</v>
      </c>
      <c r="AM1190" s="204">
        <f>Delivery[[#This Row],[Valor Prêmio Nespresso BEN por Kg (em US$)]]*60</f>
        <v>0</v>
      </c>
      <c r="AN1190" s="204">
        <f>Delivery[[#This Row],[Valor Prêmio Nespresso BEN por saca (em US$)]]/1.3228/100</f>
        <v>0</v>
      </c>
      <c r="AO1190" s="204">
        <f>SUMIF(Allocation[Delivery ID],Delivery[[#This Row],[Delivery ID]],Allocation[Quantity allocated])*16*1.3228*Delivery[[#This Row],[Exchange rate VS USD]]/60</f>
        <v>4946.4617409066659</v>
      </c>
      <c r="AP1190" s="204">
        <f>Delivery[[#This Row],[AAA Premium (total)]]</f>
        <v>13776.25</v>
      </c>
      <c r="AQ1190" s="204">
        <f>Delivery[[#This Row],[Valor pago pelo Cluster]]-Delivery[[#This Row],[Valor efetivamente pago pela Nespresso]]</f>
        <v>8829.7882590933332</v>
      </c>
    </row>
    <row r="1191" spans="1:43" ht="15.75">
      <c r="A1191" s="174" t="s">
        <v>69</v>
      </c>
      <c r="B1191" s="232" t="s">
        <v>68</v>
      </c>
      <c r="C1191" s="157">
        <v>1</v>
      </c>
      <c r="D1191" s="157" t="s">
        <v>468</v>
      </c>
      <c r="E1191" s="177" t="s">
        <v>468</v>
      </c>
      <c r="F1191" s="233" t="s">
        <v>543</v>
      </c>
      <c r="G1191" s="234">
        <v>43447</v>
      </c>
      <c r="H1191" s="157" t="s">
        <v>1816</v>
      </c>
      <c r="I1191" s="236" t="s">
        <v>1798</v>
      </c>
      <c r="J1191" s="237">
        <v>31890</v>
      </c>
      <c r="K1191" s="175" t="s">
        <v>61</v>
      </c>
      <c r="L1191" s="175" t="s">
        <v>439</v>
      </c>
      <c r="M1191" s="175" t="s">
        <v>1343</v>
      </c>
      <c r="N1191" s="198"/>
      <c r="O1191" s="199"/>
      <c r="P1191" s="181">
        <v>0</v>
      </c>
      <c r="Q1191" s="177">
        <v>43431</v>
      </c>
      <c r="R1191" s="178">
        <v>436.04286000000002</v>
      </c>
      <c r="S1191" s="179">
        <v>233804.2</v>
      </c>
      <c r="T1191" s="182" t="s">
        <v>45</v>
      </c>
      <c r="U1191" s="183">
        <v>3.8862999999999999</v>
      </c>
      <c r="V1191" s="179">
        <v>20595.8</v>
      </c>
      <c r="W1191" s="179">
        <v>0</v>
      </c>
      <c r="X1191" s="196" t="s">
        <v>45</v>
      </c>
      <c r="Y1191" s="200">
        <v>3.8862999999999999</v>
      </c>
      <c r="Z1191" s="220"/>
      <c r="AA1191" s="201">
        <f>Delivery[[#This Row],[Quantity delivered]]*VLOOKUP(Delivery[[#This Row],[Unit]],References!$U:$X,4,FALSE)*VLOOKUP(CONCATENATE(Delivery[[#This Row],[Coffee specie]],Delivery[[#This Row],[Coffee state]]),References!$U:$X,4,FALSE)</f>
        <v>31890</v>
      </c>
      <c r="AB1191" s="202">
        <f>SUMIF(Allocation!C:C,Delivery[[#This Row],[Delivery ID]],Allocation!D:D)/Delivery[[#This Row],[Quantity delivered]]</f>
        <v>0.59466917529005958</v>
      </c>
      <c r="AC1191" s="203">
        <f>Delivery[[#This Row],[Quantity delivered]]*Delivery[[#This Row],[Base price (Unidad)]]/60</f>
        <v>231756.78009000001</v>
      </c>
      <c r="AD1191" s="204">
        <f>Delivery[[#This Row],[Nespresso total]]-Delivery[[#This Row],[Qt. Delivery * Base Price]]</f>
        <v>2047.4199099999969</v>
      </c>
      <c r="AE1191" s="204">
        <f>Delivery[[#This Row],[AAA Premium (total)]]/Delivery[[#This Row],[Quantity delivered]]*60/Delivery[[#This Row],[Exchange rate VS USD]]</f>
        <v>9.9710082229422117</v>
      </c>
      <c r="AF1191" s="204">
        <f>Delivery[[#This Row],[BEN premium (total)]]/Delivery[[#This Row],[Quantity delivered]]*60/Delivery[[#This Row],[Exchange rate for premiums VS USD]]</f>
        <v>0</v>
      </c>
      <c r="AG1191" s="204">
        <f>COUNTIF(Delivery[Delivery ID],Delivery[[#This Row],[Delivery ID]])</f>
        <v>1</v>
      </c>
      <c r="AH1191" s="204">
        <f>(Delivery[[#This Row],[Nespresso total]]/SUMIF(Allocation!C:C,Delivery[Delivery ID],Allocation!H:H))/Delivery[[#This Row],[Exchange rate VS USD]]</f>
        <v>5.9855865211191039</v>
      </c>
      <c r="AI1191" s="204">
        <f>(Delivery[[#This Row],[AAA Premium (total)]]/SUMIF(Allocation!C:C,Delivery[Delivery ID],Allocation!H:H))/Delivery[[#This Row],[Exchange rate VS USD]]</f>
        <v>0.52727000999838691</v>
      </c>
      <c r="AJ1191" s="204">
        <f>Delivery[[#This Row],[Valor Prêmio Nespresso AAA por Kg (em US$)]]*60</f>
        <v>31.636200599903216</v>
      </c>
      <c r="AK1191" s="204">
        <f>Delivery[[#This Row],[Valor Prêmio Nespresso AAA por saca (em US$)]]/1.3228/100</f>
        <v>0.23916087541505304</v>
      </c>
      <c r="AL1191" s="204">
        <f>(Delivery[[#This Row],[BEN premium (total)]]/SUMIF(Allocation!C:C,Delivery[Delivery ID],Allocation!H:H))/Delivery[[#This Row],[Exchange rate for premiums VS USD]]</f>
        <v>0</v>
      </c>
      <c r="AM1191" s="204">
        <f>Delivery[[#This Row],[Valor Prêmio Nespresso BEN por Kg (em US$)]]*60</f>
        <v>0</v>
      </c>
      <c r="AN1191" s="204">
        <f>Delivery[[#This Row],[Valor Prêmio Nespresso BEN por saca (em US$)]]/1.3228/100</f>
        <v>0</v>
      </c>
      <c r="AO1191" s="204">
        <f>SUMIF(Allocation[Delivery ID],Delivery[[#This Row],[Delivery ID]],Allocation[Quantity allocated])*16*1.3228*Delivery[[#This Row],[Exchange rate VS USD]]/60</f>
        <v>13778.708554570667</v>
      </c>
      <c r="AP1191" s="204">
        <f>Delivery[[#This Row],[AAA Premium (total)]]</f>
        <v>20595.8</v>
      </c>
      <c r="AQ1191" s="204">
        <f>Delivery[[#This Row],[Valor pago pelo Cluster]]-Delivery[[#This Row],[Valor efetivamente pago pela Nespresso]]</f>
        <v>6817.0914454293325</v>
      </c>
    </row>
    <row r="1192" spans="1:43" ht="15.75">
      <c r="A1192" s="174" t="s">
        <v>69</v>
      </c>
      <c r="B1192" s="232" t="s">
        <v>68</v>
      </c>
      <c r="C1192" s="157">
        <v>1</v>
      </c>
      <c r="D1192" s="157" t="s">
        <v>468</v>
      </c>
      <c r="E1192" s="177" t="s">
        <v>468</v>
      </c>
      <c r="F1192" s="233" t="s">
        <v>543</v>
      </c>
      <c r="G1192" s="234">
        <v>43446</v>
      </c>
      <c r="H1192" s="160" t="s">
        <v>1817</v>
      </c>
      <c r="I1192" s="236" t="s">
        <v>1706</v>
      </c>
      <c r="J1192" s="237">
        <v>32080</v>
      </c>
      <c r="K1192" s="175" t="s">
        <v>61</v>
      </c>
      <c r="L1192" s="175" t="s">
        <v>439</v>
      </c>
      <c r="M1192" s="175" t="s">
        <v>1343</v>
      </c>
      <c r="N1192" s="198"/>
      <c r="O1192" s="199"/>
      <c r="P1192" s="181">
        <v>0</v>
      </c>
      <c r="Q1192" s="177">
        <v>43440</v>
      </c>
      <c r="R1192" s="178">
        <v>411.31800499999997</v>
      </c>
      <c r="S1192" s="179">
        <v>204773.8438820664</v>
      </c>
      <c r="T1192" s="182" t="s">
        <v>45</v>
      </c>
      <c r="U1192" s="183">
        <v>3.9043000000000001</v>
      </c>
      <c r="V1192" s="179">
        <v>14612.493466666667</v>
      </c>
      <c r="W1192" s="179">
        <v>4153.5261179336003</v>
      </c>
      <c r="X1192" s="196" t="s">
        <v>45</v>
      </c>
      <c r="Y1192" s="200">
        <v>3.9043000000000001</v>
      </c>
      <c r="Z1192" s="220" t="s">
        <v>473</v>
      </c>
      <c r="AA1192" s="201">
        <f>Delivery[[#This Row],[Quantity delivered]]*VLOOKUP(Delivery[[#This Row],[Unit]],References!$U:$X,4,FALSE)*VLOOKUP(CONCATENATE(Delivery[[#This Row],[Coffee specie]],Delivery[[#This Row],[Coffee state]]),References!$U:$X,4,FALSE)</f>
        <v>32080</v>
      </c>
      <c r="AB1192" s="202">
        <f>SUMIF(Allocation!C:C,Delivery[[#This Row],[Delivery ID]],Allocation!D:D)/Delivery[[#This Row],[Quantity delivered]]</f>
        <v>0.20293017456359103</v>
      </c>
      <c r="AC1192" s="203">
        <f>Delivery[[#This Row],[Quantity delivered]]*Delivery[[#This Row],[Base price (Unidad)]]/60</f>
        <v>219918.02667333331</v>
      </c>
      <c r="AD1192" s="204">
        <f>Delivery[[#This Row],[Nespresso total]]-Delivery[[#This Row],[Qt. Delivery * Base Price]]</f>
        <v>-15144.18279126691</v>
      </c>
      <c r="AE1192" s="204">
        <f>Delivery[[#This Row],[AAA Premium (total)]]/Delivery[[#This Row],[Quantity delivered]]*60/Delivery[[#This Row],[Exchange rate VS USD]]</f>
        <v>7</v>
      </c>
      <c r="AF1192" s="204">
        <f>Delivery[[#This Row],[BEN premium (total)]]/Delivery[[#This Row],[Quantity delivered]]*60/Delivery[[#This Row],[Exchange rate for premiums VS USD]]</f>
        <v>1.9897140000000002</v>
      </c>
      <c r="AG1192" s="204">
        <f>COUNTIF(Delivery[Delivery ID],Delivery[[#This Row],[Delivery ID]])</f>
        <v>1</v>
      </c>
      <c r="AH1192" s="204">
        <f>(Delivery[[#This Row],[Nespresso total]]/SUMIF(Allocation!C:C,Delivery[Delivery ID],Allocation!H:H))/Delivery[[#This Row],[Exchange rate VS USD]]</f>
        <v>26.855241279205924</v>
      </c>
      <c r="AI1192" s="204">
        <f>(Delivery[[#This Row],[AAA Premium (total)]]/SUMIF(Allocation!C:C,Delivery[Delivery ID],Allocation!H:H))/Delivery[[#This Row],[Exchange rate VS USD]]</f>
        <v>1.9163679808841099</v>
      </c>
      <c r="AJ1192" s="204">
        <f>Delivery[[#This Row],[Valor Prêmio Nespresso AAA por Kg (em US$)]]*60</f>
        <v>114.98207885304659</v>
      </c>
      <c r="AK1192" s="204">
        <f>Delivery[[#This Row],[Valor Prêmio Nespresso AAA por saca (em US$)]]/1.3228/100</f>
        <v>0.86923252837198817</v>
      </c>
      <c r="AL1192" s="204">
        <f>(Delivery[[#This Row],[BEN premium (total)]]/SUMIF(Allocation!C:C,Delivery[Delivery ID],Allocation!H:H))/Delivery[[#This Row],[Exchange rate for premiums VS USD]]</f>
        <v>0.54471774295954933</v>
      </c>
      <c r="AM1192" s="204">
        <f>Delivery[[#This Row],[Valor Prêmio Nespresso BEN por Kg (em US$)]]*60</f>
        <v>32.683064577572964</v>
      </c>
      <c r="AN1192" s="204">
        <f>Delivery[[#This Row],[Valor Prêmio Nespresso BEN por saca (em US$)]]/1.3228/100</f>
        <v>0.24707487585102028</v>
      </c>
      <c r="AO1192" s="204">
        <f>SUMIF(Allocation[Delivery ID],Delivery[[#This Row],[Delivery ID]],Allocation[Quantity allocated])*16*1.3228*Delivery[[#This Row],[Exchange rate VS USD]]/60</f>
        <v>2689.7278672319999</v>
      </c>
      <c r="AP1192" s="204">
        <f>Delivery[[#This Row],[AAA Premium (total)]]</f>
        <v>14612.493466666667</v>
      </c>
      <c r="AQ1192" s="204">
        <f>Delivery[[#This Row],[Valor pago pelo Cluster]]-Delivery[[#This Row],[Valor efetivamente pago pela Nespresso]]</f>
        <v>11922.765599434668</v>
      </c>
    </row>
    <row r="1193" spans="1:43" ht="15.75">
      <c r="A1193" s="174" t="s">
        <v>69</v>
      </c>
      <c r="B1193" s="232" t="s">
        <v>68</v>
      </c>
      <c r="C1193" s="157">
        <v>1</v>
      </c>
      <c r="D1193" s="157" t="s">
        <v>468</v>
      </c>
      <c r="E1193" s="177" t="s">
        <v>468</v>
      </c>
      <c r="F1193" s="233" t="s">
        <v>543</v>
      </c>
      <c r="G1193" s="234">
        <v>43446</v>
      </c>
      <c r="H1193" s="160" t="s">
        <v>1818</v>
      </c>
      <c r="I1193" s="236" t="s">
        <v>1706</v>
      </c>
      <c r="J1193" s="237">
        <v>13492</v>
      </c>
      <c r="K1193" s="175" t="s">
        <v>61</v>
      </c>
      <c r="L1193" s="175" t="s">
        <v>439</v>
      </c>
      <c r="M1193" s="175" t="s">
        <v>1343</v>
      </c>
      <c r="N1193" s="198"/>
      <c r="O1193" s="199"/>
      <c r="P1193" s="181">
        <v>0</v>
      </c>
      <c r="Q1193" s="177">
        <v>43440</v>
      </c>
      <c r="R1193" s="178">
        <v>411.31800499999997</v>
      </c>
      <c r="S1193" s="179">
        <v>88950.286708754356</v>
      </c>
      <c r="T1193" s="182" t="s">
        <v>45</v>
      </c>
      <c r="U1193" s="183">
        <v>3.9043000000000001</v>
      </c>
      <c r="V1193" s="179">
        <v>6145.6284866666674</v>
      </c>
      <c r="W1193" s="179">
        <v>1746.8632912456401</v>
      </c>
      <c r="X1193" s="196" t="s">
        <v>45</v>
      </c>
      <c r="Y1193" s="200">
        <v>3.9043000000000001</v>
      </c>
      <c r="Z1193" s="220" t="s">
        <v>473</v>
      </c>
      <c r="AA1193" s="201">
        <f>Delivery[[#This Row],[Quantity delivered]]*VLOOKUP(Delivery[[#This Row],[Unit]],References!$U:$X,4,FALSE)*VLOOKUP(CONCATENATE(Delivery[[#This Row],[Coffee specie]],Delivery[[#This Row],[Coffee state]]),References!$U:$X,4,FALSE)</f>
        <v>13492</v>
      </c>
      <c r="AB1193" s="202">
        <f>SUMIF(Allocation!C:C,Delivery[[#This Row],[Delivery ID]],Allocation!D:D)/Delivery[[#This Row],[Quantity delivered]]</f>
        <v>0.42565965016305957</v>
      </c>
      <c r="AC1193" s="203">
        <f>Delivery[[#This Row],[Quantity delivered]]*Delivery[[#This Row],[Base price (Unidad)]]/60</f>
        <v>92491.708724333337</v>
      </c>
      <c r="AD1193" s="204">
        <f>Delivery[[#This Row],[Nespresso total]]-Delivery[[#This Row],[Qt. Delivery * Base Price]]</f>
        <v>-3541.4220155789808</v>
      </c>
      <c r="AE1193" s="204">
        <f>Delivery[[#This Row],[AAA Premium (total)]]/Delivery[[#This Row],[Quantity delivered]]*60/Delivery[[#This Row],[Exchange rate VS USD]]</f>
        <v>7.0000000000000009</v>
      </c>
      <c r="AF1193" s="204">
        <f>Delivery[[#This Row],[BEN premium (total)]]/Delivery[[#This Row],[Quantity delivered]]*60/Delivery[[#This Row],[Exchange rate for premiums VS USD]]</f>
        <v>1.9897140000000002</v>
      </c>
      <c r="AG1193" s="204">
        <f>COUNTIF(Delivery[Delivery ID],Delivery[[#This Row],[Delivery ID]])</f>
        <v>1</v>
      </c>
      <c r="AH1193" s="204">
        <f>(Delivery[[#This Row],[Nespresso total]]/SUMIF(Allocation!C:C,Delivery[Delivery ID],Allocation!H:H))/Delivery[[#This Row],[Exchange rate VS USD]]</f>
        <v>13.222661923720954</v>
      </c>
      <c r="AI1193" s="204">
        <f>(Delivery[[#This Row],[AAA Premium (total)]]/SUMIF(Allocation!C:C,Delivery[Delivery ID],Allocation!H:H))/Delivery[[#This Row],[Exchange rate VS USD]]</f>
        <v>0.91356161733410723</v>
      </c>
      <c r="AJ1193" s="204">
        <f>Delivery[[#This Row],[Valor Prêmio Nespresso AAA por Kg (em US$)]]*60</f>
        <v>54.813697040046435</v>
      </c>
      <c r="AK1193" s="204">
        <f>Delivery[[#This Row],[Valor Prêmio Nespresso AAA por saca (em US$)]]/1.3228/100</f>
        <v>0.41437630057488989</v>
      </c>
      <c r="AL1193" s="204">
        <f>(Delivery[[#This Row],[BEN premium (total)]]/SUMIF(Allocation!C:C,Delivery[Delivery ID],Allocation!H:H))/Delivery[[#This Row],[Exchange rate for premiums VS USD]]</f>
        <v>0.2596751914103308</v>
      </c>
      <c r="AM1193" s="204">
        <f>Delivery[[#This Row],[Valor Prêmio Nespresso BEN por Kg (em US$)]]*60</f>
        <v>15.580511484619848</v>
      </c>
      <c r="AN1193" s="204">
        <f>Delivery[[#This Row],[Valor Prêmio Nespresso BEN por saca (em US$)]]/1.3228/100</f>
        <v>0.11778433236029519</v>
      </c>
      <c r="AO1193" s="204">
        <f>SUMIF(Allocation[Delivery ID],Delivery[[#This Row],[Delivery ID]],Allocation[Quantity allocated])*16*1.3228*Delivery[[#This Row],[Exchange rate VS USD]]/60</f>
        <v>2372.9652407786666</v>
      </c>
      <c r="AP1193" s="204">
        <f>Delivery[[#This Row],[AAA Premium (total)]]</f>
        <v>6145.6284866666674</v>
      </c>
      <c r="AQ1193" s="204">
        <f>Delivery[[#This Row],[Valor pago pelo Cluster]]-Delivery[[#This Row],[Valor efetivamente pago pela Nespresso]]</f>
        <v>3772.6632458880008</v>
      </c>
    </row>
    <row r="1194" spans="1:43" ht="15.75">
      <c r="A1194" s="174" t="s">
        <v>69</v>
      </c>
      <c r="B1194" s="232" t="s">
        <v>68</v>
      </c>
      <c r="C1194" s="157">
        <v>1</v>
      </c>
      <c r="D1194" s="157" t="s">
        <v>468</v>
      </c>
      <c r="E1194" s="177" t="s">
        <v>468</v>
      </c>
      <c r="F1194" s="233" t="s">
        <v>543</v>
      </c>
      <c r="G1194" s="234">
        <v>43446</v>
      </c>
      <c r="H1194" s="160" t="s">
        <v>1819</v>
      </c>
      <c r="I1194" s="236" t="s">
        <v>1706</v>
      </c>
      <c r="J1194" s="237">
        <v>17588</v>
      </c>
      <c r="K1194" s="175" t="s">
        <v>61</v>
      </c>
      <c r="L1194" s="175" t="s">
        <v>439</v>
      </c>
      <c r="M1194" s="175" t="s">
        <v>1343</v>
      </c>
      <c r="N1194" s="198"/>
      <c r="O1194" s="199"/>
      <c r="P1194" s="181">
        <v>0</v>
      </c>
      <c r="Q1194" s="177">
        <v>43440</v>
      </c>
      <c r="R1194" s="178">
        <v>411.31800499999997</v>
      </c>
      <c r="S1194" s="179">
        <v>115953.03117948204</v>
      </c>
      <c r="T1194" s="182" t="s">
        <v>45</v>
      </c>
      <c r="U1194" s="183">
        <v>3.9043000000000001</v>
      </c>
      <c r="V1194" s="179">
        <v>8011.3633133333342</v>
      </c>
      <c r="W1194" s="179">
        <v>2277.1888205179598</v>
      </c>
      <c r="X1194" s="196" t="s">
        <v>45</v>
      </c>
      <c r="Y1194" s="200">
        <v>3.9043000000000001</v>
      </c>
      <c r="Z1194" s="220" t="s">
        <v>473</v>
      </c>
      <c r="AA1194" s="201">
        <f>Delivery[[#This Row],[Quantity delivered]]*VLOOKUP(Delivery[[#This Row],[Unit]],References!$U:$X,4,FALSE)*VLOOKUP(CONCATENATE(Delivery[[#This Row],[Coffee specie]],Delivery[[#This Row],[Coffee state]]),References!$U:$X,4,FALSE)</f>
        <v>17588</v>
      </c>
      <c r="AB1194" s="202">
        <f>SUMIF(Allocation!C:C,Delivery[[#This Row],[Delivery ID]],Allocation!D:D)/Delivery[[#This Row],[Quantity delivered]]</f>
        <v>0.42568796906982032</v>
      </c>
      <c r="AC1194" s="203">
        <f>Delivery[[#This Row],[Quantity delivered]]*Delivery[[#This Row],[Base price (Unidad)]]/60</f>
        <v>120571.01786566665</v>
      </c>
      <c r="AD1194" s="204">
        <f>Delivery[[#This Row],[Nespresso total]]-Delivery[[#This Row],[Qt. Delivery * Base Price]]</f>
        <v>-4617.9866861846094</v>
      </c>
      <c r="AE1194" s="204">
        <f>Delivery[[#This Row],[AAA Premium (total)]]/Delivery[[#This Row],[Quantity delivered]]*60/Delivery[[#This Row],[Exchange rate VS USD]]</f>
        <v>7</v>
      </c>
      <c r="AF1194" s="204">
        <f>Delivery[[#This Row],[BEN premium (total)]]/Delivery[[#This Row],[Quantity delivered]]*60/Delivery[[#This Row],[Exchange rate for premiums VS USD]]</f>
        <v>1.9897139999999998</v>
      </c>
      <c r="AG1194" s="204">
        <f>COUNTIF(Delivery[Delivery ID],Delivery[[#This Row],[Delivery ID]])</f>
        <v>1</v>
      </c>
      <c r="AH1194" s="204">
        <f>(Delivery[[#This Row],[Nespresso total]]/SUMIF(Allocation!C:C,Delivery[Delivery ID],Allocation!H:H))/Delivery[[#This Row],[Exchange rate VS USD]]</f>
        <v>13.222974899251097</v>
      </c>
      <c r="AI1194" s="204">
        <f>(Delivery[[#This Row],[AAA Premium (total)]]/SUMIF(Allocation!C:C,Delivery[Delivery ID],Allocation!H:H))/Delivery[[#This Row],[Exchange rate VS USD]]</f>
        <v>0.91359453843870597</v>
      </c>
      <c r="AJ1194" s="204">
        <f>Delivery[[#This Row],[Valor Prêmio Nespresso AAA por Kg (em US$)]]*60</f>
        <v>54.815672306322355</v>
      </c>
      <c r="AK1194" s="204">
        <f>Delivery[[#This Row],[Valor Prêmio Nespresso AAA por saca (em US$)]]/1.3228/100</f>
        <v>0.41439123303842124</v>
      </c>
      <c r="AL1194" s="204">
        <f>(Delivery[[#This Row],[BEN premium (total)]]/SUMIF(Allocation!C:C,Delivery[Delivery ID],Allocation!H:H))/Delivery[[#This Row],[Exchange rate for premiums VS USD]]</f>
        <v>0.25968454906500443</v>
      </c>
      <c r="AM1194" s="204">
        <f>Delivery[[#This Row],[Valor Prêmio Nespresso BEN por Kg (em US$)]]*60</f>
        <v>15.581072943900265</v>
      </c>
      <c r="AN1194" s="204">
        <f>Delivery[[#This Row],[Valor Prêmio Nespresso BEN por saca (em US$)]]/1.3228/100</f>
        <v>0.11778857683625843</v>
      </c>
      <c r="AO1194" s="204">
        <f>SUMIF(Allocation[Delivery ID],Delivery[[#This Row],[Delivery ID]],Allocation[Quantity allocated])*16*1.3228*Delivery[[#This Row],[Exchange rate VS USD]]/60</f>
        <v>3093.2559087573336</v>
      </c>
      <c r="AP1194" s="204">
        <f>Delivery[[#This Row],[AAA Premium (total)]]</f>
        <v>8011.3633133333342</v>
      </c>
      <c r="AQ1194" s="204">
        <f>Delivery[[#This Row],[Valor pago pelo Cluster]]-Delivery[[#This Row],[Valor efetivamente pago pela Nespresso]]</f>
        <v>4918.1074045760006</v>
      </c>
    </row>
    <row r="1195" spans="1:43" ht="15.75">
      <c r="A1195" s="174" t="s">
        <v>69</v>
      </c>
      <c r="B1195" s="232" t="s">
        <v>68</v>
      </c>
      <c r="C1195" s="157">
        <v>1</v>
      </c>
      <c r="D1195" s="157" t="s">
        <v>468</v>
      </c>
      <c r="E1195" s="177" t="s">
        <v>468</v>
      </c>
      <c r="F1195" s="233" t="s">
        <v>543</v>
      </c>
      <c r="G1195" s="234">
        <v>43446</v>
      </c>
      <c r="H1195" s="160" t="s">
        <v>1820</v>
      </c>
      <c r="I1195" s="236" t="s">
        <v>1706</v>
      </c>
      <c r="J1195" s="237">
        <v>3988</v>
      </c>
      <c r="K1195" s="175" t="s">
        <v>61</v>
      </c>
      <c r="L1195" s="175" t="s">
        <v>439</v>
      </c>
      <c r="M1195" s="175" t="s">
        <v>1343</v>
      </c>
      <c r="N1195" s="198"/>
      <c r="O1195" s="199"/>
      <c r="P1195" s="181">
        <v>0</v>
      </c>
      <c r="Q1195" s="177">
        <v>43440</v>
      </c>
      <c r="R1195" s="178">
        <v>411.31800499999997</v>
      </c>
      <c r="S1195" s="179">
        <v>26314.89766339404</v>
      </c>
      <c r="T1195" s="182" t="s">
        <v>45</v>
      </c>
      <c r="U1195" s="183">
        <v>3.9043000000000001</v>
      </c>
      <c r="V1195" s="179">
        <v>1816.5406466666668</v>
      </c>
      <c r="W1195" s="179">
        <v>516.34233660595999</v>
      </c>
      <c r="X1195" s="196" t="s">
        <v>45</v>
      </c>
      <c r="Y1195" s="200">
        <v>3.9043000000000001</v>
      </c>
      <c r="Z1195" s="220" t="s">
        <v>473</v>
      </c>
      <c r="AA1195" s="201">
        <f>Delivery[[#This Row],[Quantity delivered]]*VLOOKUP(Delivery[[#This Row],[Unit]],References!$U:$X,4,FALSE)*VLOOKUP(CONCATENATE(Delivery[[#This Row],[Coffee specie]],Delivery[[#This Row],[Coffee state]]),References!$U:$X,4,FALSE)</f>
        <v>3988</v>
      </c>
      <c r="AB1195" s="202">
        <f>SUMIF(Allocation!C:C,Delivery[[#This Row],[Delivery ID]],Allocation!D:D)/Delivery[[#This Row],[Quantity delivered]]</f>
        <v>0.20310932798395184</v>
      </c>
      <c r="AC1195" s="203">
        <f>Delivery[[#This Row],[Quantity delivered]]*Delivery[[#This Row],[Base price (Unidad)]]/60</f>
        <v>27338.936732333332</v>
      </c>
      <c r="AD1195" s="204">
        <f>Delivery[[#This Row],[Nespresso total]]-Delivery[[#This Row],[Qt. Delivery * Base Price]]</f>
        <v>-1024.0390689392916</v>
      </c>
      <c r="AE1195" s="204">
        <f>Delivery[[#This Row],[AAA Premium (total)]]/Delivery[[#This Row],[Quantity delivered]]*60/Delivery[[#This Row],[Exchange rate VS USD]]</f>
        <v>7</v>
      </c>
      <c r="AF1195" s="204">
        <f>Delivery[[#This Row],[BEN premium (total)]]/Delivery[[#This Row],[Quantity delivered]]*60/Delivery[[#This Row],[Exchange rate for premiums VS USD]]</f>
        <v>1.9897139999999998</v>
      </c>
      <c r="AG1195" s="204">
        <f>COUNTIF(Delivery[Delivery ID],Delivery[[#This Row],[Delivery ID]])</f>
        <v>1</v>
      </c>
      <c r="AH1195" s="204">
        <f>(Delivery[[#This Row],[Nespresso total]]/SUMIF(Allocation!C:C,Delivery[Delivery ID],Allocation!H:H))/Delivery[[#This Row],[Exchange rate VS USD]]</f>
        <v>27.736536621587149</v>
      </c>
      <c r="AI1195" s="204">
        <f>(Delivery[[#This Row],[AAA Premium (total)]]/SUMIF(Allocation!C:C,Delivery[Delivery ID],Allocation!H:H))/Delivery[[#This Row],[Exchange rate VS USD]]</f>
        <v>1.9146776406035666</v>
      </c>
      <c r="AJ1195" s="204">
        <f>Delivery[[#This Row],[Valor Prêmio Nespresso AAA por Kg (em US$)]]*60</f>
        <v>114.88065843621399</v>
      </c>
      <c r="AK1195" s="204">
        <f>Delivery[[#This Row],[Valor Prêmio Nespresso AAA por saca (em US$)]]/1.3228/100</f>
        <v>0.86846581823566671</v>
      </c>
      <c r="AL1195" s="204">
        <f>(Delivery[[#This Row],[BEN premium (total)]]/SUMIF(Allocation!C:C,Delivery[Delivery ID],Allocation!H:H))/Delivery[[#This Row],[Exchange rate for premiums VS USD]]</f>
        <v>0.54423727242798348</v>
      </c>
      <c r="AM1195" s="204">
        <f>Delivery[[#This Row],[Valor Prêmio Nespresso BEN por Kg (em US$)]]*60</f>
        <v>32.65423634567901</v>
      </c>
      <c r="AN1195" s="204">
        <f>Delivery[[#This Row],[Valor Prêmio Nespresso BEN por saca (em US$)]]/1.3228/100</f>
        <v>0.24685694243785161</v>
      </c>
      <c r="AO1195" s="204">
        <f>SUMIF(Allocation[Delivery ID],Delivery[[#This Row],[Delivery ID]],Allocation[Quantity allocated])*16*1.3228*Delivery[[#This Row],[Exchange rate VS USD]]/60</f>
        <v>334.66660099200004</v>
      </c>
      <c r="AP1195" s="204">
        <f>Delivery[[#This Row],[AAA Premium (total)]]</f>
        <v>1816.5406466666668</v>
      </c>
      <c r="AQ1195" s="204">
        <f>Delivery[[#This Row],[Valor pago pelo Cluster]]-Delivery[[#This Row],[Valor efetivamente pago pela Nespresso]]</f>
        <v>1481.8740456746668</v>
      </c>
    </row>
    <row r="1196" spans="1:43" ht="15.75">
      <c r="A1196" s="174" t="s">
        <v>69</v>
      </c>
      <c r="B1196" s="232" t="s">
        <v>68</v>
      </c>
      <c r="C1196" s="157">
        <v>1</v>
      </c>
      <c r="D1196" s="157" t="s">
        <v>468</v>
      </c>
      <c r="E1196" s="177" t="s">
        <v>468</v>
      </c>
      <c r="F1196" s="233" t="s">
        <v>543</v>
      </c>
      <c r="G1196" s="234">
        <v>43446</v>
      </c>
      <c r="H1196" s="160" t="s">
        <v>1821</v>
      </c>
      <c r="I1196" s="236" t="s">
        <v>1706</v>
      </c>
      <c r="J1196" s="237">
        <v>23749.5</v>
      </c>
      <c r="K1196" s="175" t="s">
        <v>61</v>
      </c>
      <c r="L1196" s="175" t="s">
        <v>439</v>
      </c>
      <c r="M1196" s="175" t="s">
        <v>1343</v>
      </c>
      <c r="N1196" s="198"/>
      <c r="O1196" s="199"/>
      <c r="P1196" s="181">
        <v>0</v>
      </c>
      <c r="Q1196" s="177">
        <v>43440</v>
      </c>
      <c r="R1196" s="178">
        <v>411.31800499999997</v>
      </c>
      <c r="S1196" s="179">
        <v>156049.96709046559</v>
      </c>
      <c r="T1196" s="182" t="s">
        <v>45</v>
      </c>
      <c r="U1196" s="183">
        <v>3.9043000000000001</v>
      </c>
      <c r="V1196" s="179">
        <v>10817.936832500001</v>
      </c>
      <c r="W1196" s="179">
        <v>3074.9429095344153</v>
      </c>
      <c r="X1196" s="196" t="s">
        <v>45</v>
      </c>
      <c r="Y1196" s="200">
        <v>3.9043000000000001</v>
      </c>
      <c r="Z1196" s="220" t="s">
        <v>473</v>
      </c>
      <c r="AA1196" s="201">
        <f>Delivery[[#This Row],[Quantity delivered]]*VLOOKUP(Delivery[[#This Row],[Unit]],References!$U:$X,4,FALSE)*VLOOKUP(CONCATENATE(Delivery[[#This Row],[Coffee specie]],Delivery[[#This Row],[Coffee state]]),References!$U:$X,4,FALSE)</f>
        <v>23749.5</v>
      </c>
      <c r="AB1196" s="202">
        <f>SUMIF(Allocation!C:C,Delivery[[#This Row],[Delivery ID]],Allocation!D:D)/Delivery[[#This Row],[Quantity delivered]]</f>
        <v>0.20295164108718078</v>
      </c>
      <c r="AC1196" s="203">
        <f>Delivery[[#This Row],[Quantity delivered]]*Delivery[[#This Row],[Base price (Unidad)]]/60</f>
        <v>162809.94932912497</v>
      </c>
      <c r="AD1196" s="204">
        <f>Delivery[[#This Row],[Nespresso total]]-Delivery[[#This Row],[Qt. Delivery * Base Price]]</f>
        <v>-6759.9822386593733</v>
      </c>
      <c r="AE1196" s="204">
        <f>Delivery[[#This Row],[AAA Premium (total)]]/Delivery[[#This Row],[Quantity delivered]]*60/Delivery[[#This Row],[Exchange rate VS USD]]</f>
        <v>7.0000000000000009</v>
      </c>
      <c r="AF1196" s="204">
        <f>Delivery[[#This Row],[BEN premium (total)]]/Delivery[[#This Row],[Quantity delivered]]*60/Delivery[[#This Row],[Exchange rate for premiums VS USD]]</f>
        <v>1.9897140000000002</v>
      </c>
      <c r="AG1196" s="204">
        <f>COUNTIF(Delivery[Delivery ID],Delivery[[#This Row],[Delivery ID]])</f>
        <v>1</v>
      </c>
      <c r="AH1196" s="204">
        <f>(Delivery[[#This Row],[Nespresso total]]/SUMIF(Allocation!C:C,Delivery[Delivery ID],Allocation!H:H))/Delivery[[#This Row],[Exchange rate VS USD]]</f>
        <v>27.640901778803656</v>
      </c>
      <c r="AI1196" s="204">
        <f>(Delivery[[#This Row],[AAA Premium (total)]]/SUMIF(Allocation!C:C,Delivery[Delivery ID],Allocation!H:H))/Delivery[[#This Row],[Exchange rate VS USD]]</f>
        <v>1.9161652835408025</v>
      </c>
      <c r="AJ1196" s="204">
        <f>Delivery[[#This Row],[Valor Prêmio Nespresso AAA por Kg (em US$)]]*60</f>
        <v>114.96991701244815</v>
      </c>
      <c r="AK1196" s="204">
        <f>Delivery[[#This Row],[Valor Prêmio Nespresso AAA por saca (em US$)]]/1.3228/100</f>
        <v>0.86914058824046081</v>
      </c>
      <c r="AL1196" s="204">
        <f>(Delivery[[#This Row],[BEN premium (total)]]/SUMIF(Allocation!C:C,Delivery[Delivery ID],Allocation!H:H))/Delivery[[#This Row],[Exchange rate for premiums VS USD]]</f>
        <v>0.54466012728215774</v>
      </c>
      <c r="AM1196" s="204">
        <f>Delivery[[#This Row],[Valor Prêmio Nespresso BEN por Kg (em US$)]]*60</f>
        <v>32.679607636929461</v>
      </c>
      <c r="AN1196" s="204">
        <f>Delivery[[#This Row],[Valor Prêmio Nespresso BEN por saca (em US$)]]/1.3228/100</f>
        <v>0.24704874234146856</v>
      </c>
      <c r="AO1196" s="204">
        <f>SUMIF(Allocation[Delivery ID],Delivery[[#This Row],[Delivery ID]],Allocation[Quantity allocated])*16*1.3228*Delivery[[#This Row],[Exchange rate VS USD]]/60</f>
        <v>1991.472860224</v>
      </c>
      <c r="AP1196" s="204">
        <f>Delivery[[#This Row],[AAA Premium (total)]]</f>
        <v>10817.936832500001</v>
      </c>
      <c r="AQ1196" s="204">
        <f>Delivery[[#This Row],[Valor pago pelo Cluster]]-Delivery[[#This Row],[Valor efetivamente pago pela Nespresso]]</f>
        <v>8826.4639722760021</v>
      </c>
    </row>
    <row r="1197" spans="1:43" ht="15.75">
      <c r="A1197" s="174" t="s">
        <v>69</v>
      </c>
      <c r="B1197" s="232" t="s">
        <v>68</v>
      </c>
      <c r="C1197" s="157">
        <v>1</v>
      </c>
      <c r="D1197" s="157" t="s">
        <v>468</v>
      </c>
      <c r="E1197" s="177" t="s">
        <v>468</v>
      </c>
      <c r="F1197" s="233" t="s">
        <v>543</v>
      </c>
      <c r="G1197" s="234">
        <v>43446</v>
      </c>
      <c r="H1197" s="160" t="s">
        <v>1822</v>
      </c>
      <c r="I1197" s="236" t="s">
        <v>1706</v>
      </c>
      <c r="J1197" s="237">
        <v>3385</v>
      </c>
      <c r="K1197" s="175" t="s">
        <v>61</v>
      </c>
      <c r="L1197" s="175" t="s">
        <v>439</v>
      </c>
      <c r="M1197" s="175" t="s">
        <v>1343</v>
      </c>
      <c r="N1197" s="198"/>
      <c r="O1197" s="199"/>
      <c r="P1197" s="181">
        <v>0</v>
      </c>
      <c r="Q1197" s="177">
        <v>43440</v>
      </c>
      <c r="R1197" s="178">
        <v>411.31800499999997</v>
      </c>
      <c r="S1197" s="179">
        <v>22236.020489114551</v>
      </c>
      <c r="T1197" s="182" t="s">
        <v>45</v>
      </c>
      <c r="U1197" s="183">
        <v>3.9043000000000001</v>
      </c>
      <c r="V1197" s="179">
        <v>1541.8731416666667</v>
      </c>
      <c r="W1197" s="179">
        <v>438.26951088545002</v>
      </c>
      <c r="X1197" s="196" t="s">
        <v>45</v>
      </c>
      <c r="Y1197" s="200">
        <v>3.9043000000000001</v>
      </c>
      <c r="Z1197" s="220" t="s">
        <v>473</v>
      </c>
      <c r="AA1197" s="201">
        <f>Delivery[[#This Row],[Quantity delivered]]*VLOOKUP(Delivery[[#This Row],[Unit]],References!$U:$X,4,FALSE)*VLOOKUP(CONCATENATE(Delivery[[#This Row],[Coffee specie]],Delivery[[#This Row],[Coffee state]]),References!$U:$X,4,FALSE)</f>
        <v>3385</v>
      </c>
      <c r="AB1197" s="202">
        <f>SUMIF(Allocation!C:C,Delivery[[#This Row],[Delivery ID]],Allocation!D:D)/Delivery[[#This Row],[Quantity delivered]]</f>
        <v>0.20295420974889217</v>
      </c>
      <c r="AC1197" s="203">
        <f>Delivery[[#This Row],[Quantity delivered]]*Delivery[[#This Row],[Base price (Unidad)]]/60</f>
        <v>23205.190782083329</v>
      </c>
      <c r="AD1197" s="204">
        <f>Delivery[[#This Row],[Nespresso total]]-Delivery[[#This Row],[Qt. Delivery * Base Price]]</f>
        <v>-969.17029296877809</v>
      </c>
      <c r="AE1197" s="204">
        <f>Delivery[[#This Row],[AAA Premium (total)]]/Delivery[[#This Row],[Quantity delivered]]*60/Delivery[[#This Row],[Exchange rate VS USD]]</f>
        <v>7</v>
      </c>
      <c r="AF1197" s="204">
        <f>Delivery[[#This Row],[BEN premium (total)]]/Delivery[[#This Row],[Quantity delivered]]*60/Delivery[[#This Row],[Exchange rate for premiums VS USD]]</f>
        <v>1.9897140000000002</v>
      </c>
      <c r="AG1197" s="204">
        <f>COUNTIF(Delivery[Delivery ID],Delivery[[#This Row],[Delivery ID]])</f>
        <v>1</v>
      </c>
      <c r="AH1197" s="204">
        <f>(Delivery[[#This Row],[Nespresso total]]/SUMIF(Allocation!C:C,Delivery[Delivery ID],Allocation!H:H))/Delivery[[#This Row],[Exchange rate VS USD]]</f>
        <v>27.646914180400238</v>
      </c>
      <c r="AI1197" s="204">
        <f>(Delivery[[#This Row],[AAA Premium (total)]]/SUMIF(Allocation!C:C,Delivery[Delivery ID],Allocation!H:H))/Delivery[[#This Row],[Exchange rate VS USD]]</f>
        <v>1.9170711974110033</v>
      </c>
      <c r="AJ1197" s="204">
        <f>Delivery[[#This Row],[Valor Prêmio Nespresso AAA por Kg (em US$)]]*60</f>
        <v>115.02427184466019</v>
      </c>
      <c r="AK1197" s="204">
        <f>Delivery[[#This Row],[Valor Prêmio Nespresso AAA por saca (em US$)]]/1.3228/100</f>
        <v>0.8695514956505912</v>
      </c>
      <c r="AL1197" s="204">
        <f>(Delivery[[#This Row],[BEN premium (total)]]/SUMIF(Allocation!C:C,Delivery[Delivery ID],Allocation!H:H))/Delivery[[#This Row],[Exchange rate for premiums VS USD]]</f>
        <v>0.54491762864077664</v>
      </c>
      <c r="AM1197" s="204">
        <f>Delivery[[#This Row],[Valor Prêmio Nespresso BEN por Kg (em US$)]]*60</f>
        <v>32.695057718446598</v>
      </c>
      <c r="AN1197" s="204">
        <f>Delivery[[#This Row],[Valor Prêmio Nespresso BEN por saca (em US$)]]/1.3228/100</f>
        <v>0.24716554065956001</v>
      </c>
      <c r="AO1197" s="204">
        <f>SUMIF(Allocation[Delivery ID],Delivery[[#This Row],[Delivery ID]],Allocation[Quantity allocated])*16*1.3228*Delivery[[#This Row],[Exchange rate VS USD]]/60</f>
        <v>283.70913499733336</v>
      </c>
      <c r="AP1197" s="204">
        <f>Delivery[[#This Row],[AAA Premium (total)]]</f>
        <v>1541.8731416666667</v>
      </c>
      <c r="AQ1197" s="204">
        <f>Delivery[[#This Row],[Valor pago pelo Cluster]]-Delivery[[#This Row],[Valor efetivamente pago pela Nespresso]]</f>
        <v>1258.1640066693333</v>
      </c>
    </row>
    <row r="1198" spans="1:43" ht="15.75">
      <c r="A1198" s="174" t="s">
        <v>69</v>
      </c>
      <c r="B1198" s="232" t="s">
        <v>68</v>
      </c>
      <c r="C1198" s="157" t="s">
        <v>1344</v>
      </c>
      <c r="D1198" s="157" t="s">
        <v>468</v>
      </c>
      <c r="E1198" s="177" t="s">
        <v>468</v>
      </c>
      <c r="F1198" s="233" t="s">
        <v>543</v>
      </c>
      <c r="G1198" s="234">
        <v>43446</v>
      </c>
      <c r="H1198" s="235" t="s">
        <v>1823</v>
      </c>
      <c r="I1198" s="157" t="s">
        <v>1824</v>
      </c>
      <c r="J1198" s="237">
        <v>32410</v>
      </c>
      <c r="K1198" s="175" t="s">
        <v>61</v>
      </c>
      <c r="L1198" s="175" t="s">
        <v>439</v>
      </c>
      <c r="M1198" s="175" t="s">
        <v>1343</v>
      </c>
      <c r="N1198" s="198"/>
      <c r="O1198" s="199"/>
      <c r="P1198" s="181">
        <v>0</v>
      </c>
      <c r="Q1198" s="177">
        <v>43440</v>
      </c>
      <c r="R1198" s="178">
        <v>412.28752499999996</v>
      </c>
      <c r="S1198" s="179">
        <v>230045.2</v>
      </c>
      <c r="T1198" s="182" t="s">
        <v>45</v>
      </c>
      <c r="U1198" s="183">
        <v>3.8986999999999998</v>
      </c>
      <c r="V1198" s="179">
        <v>21054.6</v>
      </c>
      <c r="W1198" s="179">
        <v>0</v>
      </c>
      <c r="X1198" s="196" t="s">
        <v>45</v>
      </c>
      <c r="Y1198" s="200">
        <v>3.8986999999999998</v>
      </c>
      <c r="Z1198" s="221"/>
      <c r="AA1198" s="201">
        <f>Delivery[[#This Row],[Quantity delivered]]*VLOOKUP(Delivery[[#This Row],[Unit]],References!$U:$X,4,FALSE)*VLOOKUP(CONCATENATE(Delivery[[#This Row],[Coffee specie]],Delivery[[#This Row],[Coffee state]]),References!$U:$X,4,FALSE)</f>
        <v>32410</v>
      </c>
      <c r="AB1198" s="202">
        <f>SUMIF(Allocation!C:C,Delivery[[#This Row],[Delivery ID]],Allocation!D:D)/Delivery[[#This Row],[Quantity delivered]]</f>
        <v>0.71039802530083307</v>
      </c>
      <c r="AC1198" s="203">
        <f>Delivery[[#This Row],[Quantity delivered]]*Delivery[[#This Row],[Base price (Unidad)]]/60</f>
        <v>222703.9780875</v>
      </c>
      <c r="AD1198" s="204">
        <f>Delivery[[#This Row],[Nespresso total]]-Delivery[[#This Row],[Qt. Delivery * Base Price]]</f>
        <v>7341.221912500012</v>
      </c>
      <c r="AE1198" s="204">
        <f>Delivery[[#This Row],[AAA Premium (total)]]/Delivery[[#This Row],[Quantity delivered]]*60/Delivery[[#This Row],[Exchange rate VS USD]]</f>
        <v>9.997683782393878</v>
      </c>
      <c r="AF1198" s="204">
        <f>Delivery[[#This Row],[BEN premium (total)]]/Delivery[[#This Row],[Quantity delivered]]*60/Delivery[[#This Row],[Exchange rate for premiums VS USD]]</f>
        <v>0</v>
      </c>
      <c r="AG1198" s="204">
        <f>COUNTIF(Delivery[Delivery ID],Delivery[[#This Row],[Delivery ID]])</f>
        <v>1</v>
      </c>
      <c r="AH1198" s="204">
        <f>(Delivery[[#This Row],[Nespresso total]]/SUMIF(Allocation!C:C,Delivery[Delivery ID],Allocation!H:H))/Delivery[[#This Row],[Exchange rate VS USD]]</f>
        <v>6.2505950484146604</v>
      </c>
      <c r="AI1198" s="204">
        <f>(Delivery[[#This Row],[AAA Premium (total)]]/SUMIF(Allocation!C:C,Delivery[Delivery ID],Allocation!H:H))/Delivery[[#This Row],[Exchange rate VS USD]]</f>
        <v>0.57207791558507337</v>
      </c>
      <c r="AJ1198" s="204">
        <f>Delivery[[#This Row],[Valor Prêmio Nespresso AAA por Kg (em US$)]]*60</f>
        <v>34.324674935104404</v>
      </c>
      <c r="AK1198" s="204">
        <f>Delivery[[#This Row],[Valor Prêmio Nespresso AAA por saca (em US$)]]/1.3228/100</f>
        <v>0.2594849934616299</v>
      </c>
      <c r="AL1198" s="204">
        <f>(Delivery[[#This Row],[BEN premium (total)]]/SUMIF(Allocation!C:C,Delivery[Delivery ID],Allocation!H:H))/Delivery[[#This Row],[Exchange rate for premiums VS USD]]</f>
        <v>0</v>
      </c>
      <c r="AM1198" s="204">
        <f>Delivery[[#This Row],[Valor Prêmio Nespresso BEN por Kg (em US$)]]*60</f>
        <v>0</v>
      </c>
      <c r="AN1198" s="204">
        <f>Delivery[[#This Row],[Valor Prêmio Nespresso BEN por saca (em US$)]]/1.3228/100</f>
        <v>0</v>
      </c>
      <c r="AO1198" s="204">
        <f>SUMIF(Allocation[Delivery ID],Delivery[[#This Row],[Delivery ID]],Allocation[Quantity allocated])*16*1.3228*Delivery[[#This Row],[Exchange rate VS USD]]/60</f>
        <v>12982.392372906666</v>
      </c>
      <c r="AP1198" s="204">
        <f>Delivery[[#This Row],[AAA Premium (total)]]</f>
        <v>21054.6</v>
      </c>
      <c r="AQ1198" s="204">
        <f>Delivery[[#This Row],[Valor pago pelo Cluster]]-Delivery[[#This Row],[Valor efetivamente pago pela Nespresso]]</f>
        <v>8072.2076270933321</v>
      </c>
    </row>
    <row r="1199" spans="1:43" ht="15.75">
      <c r="A1199" s="174" t="s">
        <v>69</v>
      </c>
      <c r="B1199" s="232" t="s">
        <v>68</v>
      </c>
      <c r="C1199" s="157" t="s">
        <v>1344</v>
      </c>
      <c r="D1199" s="157" t="s">
        <v>468</v>
      </c>
      <c r="E1199" s="177" t="s">
        <v>468</v>
      </c>
      <c r="F1199" s="233" t="s">
        <v>543</v>
      </c>
      <c r="G1199" s="234">
        <v>43446</v>
      </c>
      <c r="H1199" s="235" t="s">
        <v>1825</v>
      </c>
      <c r="I1199" s="157" t="s">
        <v>1824</v>
      </c>
      <c r="J1199" s="237">
        <v>32470</v>
      </c>
      <c r="K1199" s="175" t="s">
        <v>61</v>
      </c>
      <c r="L1199" s="175" t="s">
        <v>439</v>
      </c>
      <c r="M1199" s="175" t="s">
        <v>1343</v>
      </c>
      <c r="N1199" s="198"/>
      <c r="O1199" s="199"/>
      <c r="P1199" s="181">
        <v>0</v>
      </c>
      <c r="Q1199" s="177">
        <v>43440</v>
      </c>
      <c r="R1199" s="178">
        <v>412.28752499999996</v>
      </c>
      <c r="S1199" s="179">
        <v>230045.2</v>
      </c>
      <c r="T1199" s="182" t="s">
        <v>45</v>
      </c>
      <c r="U1199" s="183">
        <v>3.8986999999999998</v>
      </c>
      <c r="V1199" s="179">
        <v>21054.6</v>
      </c>
      <c r="W1199" s="179">
        <v>0</v>
      </c>
      <c r="X1199" s="196" t="s">
        <v>45</v>
      </c>
      <c r="Y1199" s="200">
        <v>3.8986999999999998</v>
      </c>
      <c r="Z1199" s="221"/>
      <c r="AA1199" s="201">
        <f>Delivery[[#This Row],[Quantity delivered]]*VLOOKUP(Delivery[[#This Row],[Unit]],References!$U:$X,4,FALSE)*VLOOKUP(CONCATENATE(Delivery[[#This Row],[Coffee specie]],Delivery[[#This Row],[Coffee state]]),References!$U:$X,4,FALSE)</f>
        <v>32470</v>
      </c>
      <c r="AB1199" s="202">
        <f>SUMIF(Allocation!C:C,Delivery[[#This Row],[Delivery ID]],Allocation!D:D)/Delivery[[#This Row],[Quantity delivered]]</f>
        <v>0.71487526947951952</v>
      </c>
      <c r="AC1199" s="203">
        <f>Delivery[[#This Row],[Quantity delivered]]*Delivery[[#This Row],[Base price (Unidad)]]/60</f>
        <v>223116.26561249996</v>
      </c>
      <c r="AD1199" s="204">
        <f>Delivery[[#This Row],[Nespresso total]]-Delivery[[#This Row],[Qt. Delivery * Base Price]]</f>
        <v>6928.9343875000486</v>
      </c>
      <c r="AE1199" s="204">
        <f>Delivery[[#This Row],[AAA Premium (total)]]/Delivery[[#This Row],[Quantity delivered]]*60/Delivery[[#This Row],[Exchange rate VS USD]]</f>
        <v>9.9792094668119979</v>
      </c>
      <c r="AF1199" s="204">
        <f>Delivery[[#This Row],[BEN premium (total)]]/Delivery[[#This Row],[Quantity delivered]]*60/Delivery[[#This Row],[Exchange rate for premiums VS USD]]</f>
        <v>0</v>
      </c>
      <c r="AG1199" s="204">
        <f>COUNTIF(Delivery[Delivery ID],Delivery[[#This Row],[Delivery ID]])</f>
        <v>1</v>
      </c>
      <c r="AH1199" s="204">
        <f>(Delivery[[#This Row],[Nespresso total]]/SUMIF(Allocation!C:C,Delivery[Delivery ID],Allocation!H:H))/Delivery[[#This Row],[Exchange rate VS USD]]</f>
        <v>6.2000228283108543</v>
      </c>
      <c r="AI1199" s="204">
        <f>(Delivery[[#This Row],[AAA Premium (total)]]/SUMIF(Allocation!C:C,Delivery[Delivery ID],Allocation!H:H))/Delivery[[#This Row],[Exchange rate VS USD]]</f>
        <v>0.56744935621762027</v>
      </c>
      <c r="AJ1199" s="204">
        <f>Delivery[[#This Row],[Valor Prêmio Nespresso AAA por Kg (em US$)]]*60</f>
        <v>34.046961373057215</v>
      </c>
      <c r="AK1199" s="204">
        <f>Delivery[[#This Row],[Valor Prêmio Nespresso AAA por saca (em US$)]]/1.3228/100</f>
        <v>0.25738555619184472</v>
      </c>
      <c r="AL1199" s="204">
        <f>(Delivery[[#This Row],[BEN premium (total)]]/SUMIF(Allocation!C:C,Delivery[Delivery ID],Allocation!H:H))/Delivery[[#This Row],[Exchange rate for premiums VS USD]]</f>
        <v>0</v>
      </c>
      <c r="AM1199" s="204">
        <f>Delivery[[#This Row],[Valor Prêmio Nespresso BEN por Kg (em US$)]]*60</f>
        <v>0</v>
      </c>
      <c r="AN1199" s="204">
        <f>Delivery[[#This Row],[Valor Prêmio Nespresso BEN por saca (em US$)]]/1.3228/100</f>
        <v>0</v>
      </c>
      <c r="AO1199" s="204">
        <f>SUMIF(Allocation[Delivery ID],Delivery[[#This Row],[Delivery ID]],Allocation[Quantity allocated])*16*1.3228*Delivery[[#This Row],[Exchange rate VS USD]]/60</f>
        <v>13088.286886965332</v>
      </c>
      <c r="AP1199" s="204">
        <f>Delivery[[#This Row],[AAA Premium (total)]]</f>
        <v>21054.6</v>
      </c>
      <c r="AQ1199" s="204">
        <f>Delivery[[#This Row],[Valor pago pelo Cluster]]-Delivery[[#This Row],[Valor efetivamente pago pela Nespresso]]</f>
        <v>7966.3131130346665</v>
      </c>
    </row>
    <row r="1200" spans="1:43" ht="15.75">
      <c r="A1200" s="174" t="s">
        <v>69</v>
      </c>
      <c r="B1200" s="232" t="s">
        <v>68</v>
      </c>
      <c r="C1200" s="157" t="s">
        <v>1344</v>
      </c>
      <c r="D1200" s="157" t="s">
        <v>468</v>
      </c>
      <c r="E1200" s="177" t="s">
        <v>468</v>
      </c>
      <c r="F1200" s="233" t="s">
        <v>543</v>
      </c>
      <c r="G1200" s="234">
        <v>43446</v>
      </c>
      <c r="H1200" s="157" t="s">
        <v>1826</v>
      </c>
      <c r="I1200" s="157" t="s">
        <v>1824</v>
      </c>
      <c r="J1200" s="237">
        <v>32480</v>
      </c>
      <c r="K1200" s="175" t="s">
        <v>61</v>
      </c>
      <c r="L1200" s="175" t="s">
        <v>439</v>
      </c>
      <c r="M1200" s="175" t="s">
        <v>1343</v>
      </c>
      <c r="N1200" s="198"/>
      <c r="O1200" s="199"/>
      <c r="P1200" s="181">
        <v>0</v>
      </c>
      <c r="Q1200" s="177">
        <v>43440</v>
      </c>
      <c r="R1200" s="178">
        <v>412.28752499999996</v>
      </c>
      <c r="S1200" s="179">
        <v>230045.2</v>
      </c>
      <c r="T1200" s="182" t="s">
        <v>45</v>
      </c>
      <c r="U1200" s="183">
        <v>3.8986999999999998</v>
      </c>
      <c r="V1200" s="179">
        <v>21054.6</v>
      </c>
      <c r="W1200" s="179">
        <v>0</v>
      </c>
      <c r="X1200" s="196" t="s">
        <v>45</v>
      </c>
      <c r="Y1200" s="200">
        <v>3.8986999999999998</v>
      </c>
      <c r="Z1200" s="220"/>
      <c r="AA1200" s="201">
        <f>Delivery[[#This Row],[Quantity delivered]]*VLOOKUP(Delivery[[#This Row],[Unit]],References!$U:$X,4,FALSE)*VLOOKUP(CONCATENATE(Delivery[[#This Row],[Coffee specie]],Delivery[[#This Row],[Coffee state]]),References!$U:$X,4,FALSE)</f>
        <v>32480</v>
      </c>
      <c r="AB1200" s="202">
        <f>SUMIF(Allocation!C:C,Delivery[[#This Row],[Delivery ID]],Allocation!D:D)/Delivery[[#This Row],[Quantity delivered]]</f>
        <v>1</v>
      </c>
      <c r="AC1200" s="203">
        <f>Delivery[[#This Row],[Quantity delivered]]*Delivery[[#This Row],[Base price (Unidad)]]/60</f>
        <v>223184.98019999999</v>
      </c>
      <c r="AD1200" s="204">
        <f>Delivery[[#This Row],[Nespresso total]]-Delivery[[#This Row],[Qt. Delivery * Base Price]]</f>
        <v>6860.2198000000208</v>
      </c>
      <c r="AE1200" s="204">
        <f>Delivery[[#This Row],[AAA Premium (total)]]/Delivery[[#This Row],[Quantity delivered]]*60/Delivery[[#This Row],[Exchange rate VS USD]]</f>
        <v>9.976137050104235</v>
      </c>
      <c r="AF1200" s="204">
        <f>Delivery[[#This Row],[BEN premium (total)]]/Delivery[[#This Row],[Quantity delivered]]*60/Delivery[[#This Row],[Exchange rate for premiums VS USD]]</f>
        <v>0</v>
      </c>
      <c r="AG1200" s="204">
        <f>COUNTIF(Delivery[Delivery ID],Delivery[[#This Row],[Delivery ID]])</f>
        <v>1</v>
      </c>
      <c r="AH1200" s="204">
        <f>(Delivery[[#This Row],[Nespresso total]]/SUMIF(Allocation!C:C,Delivery[Delivery ID],Allocation!H:H))/Delivery[[#This Row],[Exchange rate VS USD]]</f>
        <v>4.4308490844059776</v>
      </c>
      <c r="AI1200" s="204">
        <f>(Delivery[[#This Row],[AAA Premium (total)]]/SUMIF(Allocation!C:C,Delivery[Delivery ID],Allocation!H:H))/Delivery[[#This Row],[Exchange rate VS USD]]</f>
        <v>0.40552793595577774</v>
      </c>
      <c r="AJ1200" s="204">
        <f>Delivery[[#This Row],[Valor Prêmio Nespresso AAA por Kg (em US$)]]*60</f>
        <v>24.331676157346664</v>
      </c>
      <c r="AK1200" s="204">
        <f>Delivery[[#This Row],[Valor Prêmio Nespresso AAA por saca (em US$)]]/1.3228/100</f>
        <v>0.18394070273168026</v>
      </c>
      <c r="AL1200" s="204">
        <f>(Delivery[[#This Row],[BEN premium (total)]]/SUMIF(Allocation!C:C,Delivery[Delivery ID],Allocation!H:H))/Delivery[[#This Row],[Exchange rate for premiums VS USD]]</f>
        <v>0</v>
      </c>
      <c r="AM1200" s="204">
        <f>Delivery[[#This Row],[Valor Prêmio Nespresso BEN por Kg (em US$)]]*60</f>
        <v>0</v>
      </c>
      <c r="AN1200" s="204">
        <f>Delivery[[#This Row],[Valor Prêmio Nespresso BEN por saca (em US$)]]/1.3228/100</f>
        <v>0</v>
      </c>
      <c r="AO1200" s="204">
        <f>SUMIF(Allocation[Delivery ID],Delivery[[#This Row],[Delivery ID]],Allocation[Quantity allocated])*16*1.3228*Delivery[[#This Row],[Exchange rate VS USD]]/60</f>
        <v>18314.249918431997</v>
      </c>
      <c r="AP1200" s="204">
        <f>Delivery[[#This Row],[AAA Premium (total)]]</f>
        <v>21054.6</v>
      </c>
      <c r="AQ1200" s="204">
        <f>Delivery[[#This Row],[Valor pago pelo Cluster]]-Delivery[[#This Row],[Valor efetivamente pago pela Nespresso]]</f>
        <v>2740.3500815680018</v>
      </c>
    </row>
    <row r="1201" spans="1:43" ht="15.75">
      <c r="A1201" s="174" t="s">
        <v>69</v>
      </c>
      <c r="B1201" s="232" t="s">
        <v>68</v>
      </c>
      <c r="C1201" s="157">
        <v>1</v>
      </c>
      <c r="D1201" s="157" t="s">
        <v>468</v>
      </c>
      <c r="E1201" s="177" t="s">
        <v>468</v>
      </c>
      <c r="F1201" s="233" t="s">
        <v>543</v>
      </c>
      <c r="G1201" s="234">
        <v>43448</v>
      </c>
      <c r="H1201" s="241" t="s">
        <v>2038</v>
      </c>
      <c r="I1201" s="236" t="s">
        <v>1798</v>
      </c>
      <c r="J1201" s="237">
        <v>30300</v>
      </c>
      <c r="K1201" s="175" t="s">
        <v>61</v>
      </c>
      <c r="L1201" s="175" t="s">
        <v>439</v>
      </c>
      <c r="M1201" s="175" t="s">
        <v>1343</v>
      </c>
      <c r="N1201" s="198"/>
      <c r="O1201" s="199"/>
      <c r="P1201" s="181">
        <v>0</v>
      </c>
      <c r="Q1201" s="177">
        <v>43431</v>
      </c>
      <c r="R1201" s="178">
        <v>436.04286000000002</v>
      </c>
      <c r="S1201" s="179">
        <v>222775.7</v>
      </c>
      <c r="T1201" s="182" t="s">
        <v>45</v>
      </c>
      <c r="U1201" s="183">
        <v>3.8862999999999999</v>
      </c>
      <c r="V1201" s="179">
        <v>19624.3</v>
      </c>
      <c r="W1201" s="179">
        <v>0</v>
      </c>
      <c r="X1201" s="196" t="s">
        <v>45</v>
      </c>
      <c r="Y1201" s="200">
        <v>3.8862999999999999</v>
      </c>
      <c r="Z1201" s="220"/>
      <c r="AA1201" s="201">
        <f>Delivery[[#This Row],[Quantity delivered]]*VLOOKUP(Delivery[[#This Row],[Unit]],References!$U:$X,4,FALSE)*VLOOKUP(CONCATENATE(Delivery[[#This Row],[Coffee specie]],Delivery[[#This Row],[Coffee state]]),References!$U:$X,4,FALSE)</f>
        <v>30300</v>
      </c>
      <c r="AB1201" s="202">
        <f>SUMIF(Allocation!C:C,Delivery[[#This Row],[Delivery ID]],Allocation!D:D)/Delivery[[#This Row],[Quantity delivered]]</f>
        <v>0.87920792079207921</v>
      </c>
      <c r="AC1201" s="203">
        <f>Delivery[[#This Row],[Quantity delivered]]*Delivery[[#This Row],[Base price (Unidad)]]/60</f>
        <v>220201.64429999999</v>
      </c>
      <c r="AD1201" s="204">
        <f>Delivery[[#This Row],[Nespresso total]]-Delivery[[#This Row],[Qt. Delivery * Base Price]]</f>
        <v>2574.0557000000263</v>
      </c>
      <c r="AE1201" s="204">
        <f>Delivery[[#This Row],[AAA Premium (total)]]/Delivery[[#This Row],[Quantity delivered]]*60/Delivery[[#This Row],[Exchange rate VS USD]]</f>
        <v>9.9992280575354453</v>
      </c>
      <c r="AF1201" s="204">
        <f>Delivery[[#This Row],[BEN premium (total)]]/Delivery[[#This Row],[Quantity delivered]]*60/Delivery[[#This Row],[Exchange rate for premiums VS USD]]</f>
        <v>0</v>
      </c>
      <c r="AG1201" s="204">
        <f>COUNTIF(Delivery[Delivery ID],Delivery[[#This Row],[Delivery ID]])</f>
        <v>1</v>
      </c>
      <c r="AH1201" s="204">
        <f>(Delivery[[#This Row],[Nespresso total]]/SUMIF(Allocation!C:C,Delivery[Delivery ID],Allocation!H:H))/Delivery[[#This Row],[Exchange rate VS USD]]</f>
        <v>4.3895658907256756</v>
      </c>
      <c r="AI1201" s="204">
        <f>(Delivery[[#This Row],[AAA Premium (total)]]/SUMIF(Allocation!C:C,Delivery[Delivery ID],Allocation!H:H))/Delivery[[#This Row],[Exchange rate VS USD]]</f>
        <v>0.38667663443260586</v>
      </c>
      <c r="AJ1201" s="204">
        <f>Delivery[[#This Row],[Valor Prêmio Nespresso AAA por Kg (em US$)]]*60</f>
        <v>23.200598065956353</v>
      </c>
      <c r="AK1201" s="204">
        <f>Delivery[[#This Row],[Valor Prêmio Nespresso AAA por saca (em US$)]]/1.3228/100</f>
        <v>0.17539006702416354</v>
      </c>
      <c r="AL1201" s="204">
        <f>(Delivery[[#This Row],[BEN premium (total)]]/SUMIF(Allocation!C:C,Delivery[Delivery ID],Allocation!H:H))/Delivery[[#This Row],[Exchange rate for premiums VS USD]]</f>
        <v>0</v>
      </c>
      <c r="AM1201" s="204">
        <f>Delivery[[#This Row],[Valor Prêmio Nespresso BEN por Kg (em US$)]]*60</f>
        <v>0</v>
      </c>
      <c r="AN1201" s="204">
        <f>Delivery[[#This Row],[Valor Prêmio Nespresso BEN por saca (em US$)]]/1.3228/100</f>
        <v>0</v>
      </c>
      <c r="AO1201" s="204">
        <f>SUMIF(Allocation[Delivery ID],Delivery[[#This Row],[Delivery ID]],Allocation[Quantity allocated])*16*1.3228*Delivery[[#This Row],[Exchange rate VS USD]]/60</f>
        <v>17902.313701535997</v>
      </c>
      <c r="AP1201" s="204">
        <f>Delivery[[#This Row],[AAA Premium (total)]]</f>
        <v>19624.3</v>
      </c>
      <c r="AQ1201" s="204">
        <f>Delivery[[#This Row],[Valor pago pelo Cluster]]-Delivery[[#This Row],[Valor efetivamente pago pela Nespresso]]</f>
        <v>1721.9862984640022</v>
      </c>
    </row>
    <row r="1202" spans="1:43" ht="15.75">
      <c r="A1202" s="174" t="s">
        <v>69</v>
      </c>
      <c r="B1202" s="232" t="s">
        <v>68</v>
      </c>
      <c r="C1202" s="157">
        <v>1</v>
      </c>
      <c r="D1202" s="157" t="s">
        <v>468</v>
      </c>
      <c r="E1202" s="177" t="s">
        <v>468</v>
      </c>
      <c r="F1202" s="233" t="s">
        <v>543</v>
      </c>
      <c r="G1202" s="234">
        <v>43448</v>
      </c>
      <c r="H1202" s="235" t="s">
        <v>2039</v>
      </c>
      <c r="I1202" s="236" t="s">
        <v>1798</v>
      </c>
      <c r="J1202" s="237">
        <v>31790</v>
      </c>
      <c r="K1202" s="175" t="s">
        <v>61</v>
      </c>
      <c r="L1202" s="175" t="s">
        <v>439</v>
      </c>
      <c r="M1202" s="175" t="s">
        <v>1343</v>
      </c>
      <c r="N1202" s="198"/>
      <c r="O1202" s="199"/>
      <c r="P1202" s="181">
        <v>0</v>
      </c>
      <c r="Q1202" s="177">
        <v>43431</v>
      </c>
      <c r="R1202" s="178">
        <v>436.04286000000002</v>
      </c>
      <c r="S1202" s="179">
        <v>233804.2</v>
      </c>
      <c r="T1202" s="182" t="s">
        <v>45</v>
      </c>
      <c r="U1202" s="183">
        <v>3.8862999999999999</v>
      </c>
      <c r="V1202" s="179">
        <v>20595.8</v>
      </c>
      <c r="W1202" s="179">
        <v>0</v>
      </c>
      <c r="X1202" s="196" t="s">
        <v>45</v>
      </c>
      <c r="Y1202" s="200">
        <v>3.8862999999999999</v>
      </c>
      <c r="Z1202" s="220"/>
      <c r="AA1202" s="201">
        <f>Delivery[[#This Row],[Quantity delivered]]*VLOOKUP(Delivery[[#This Row],[Unit]],References!$U:$X,4,FALSE)*VLOOKUP(CONCATENATE(Delivery[[#This Row],[Coffee specie]],Delivery[[#This Row],[Coffee state]]),References!$U:$X,4,FALSE)</f>
        <v>31790</v>
      </c>
      <c r="AB1202" s="202">
        <f>SUMIF(Allocation!C:C,Delivery[[#This Row],[Delivery ID]],Allocation!D:D)/Delivery[[#This Row],[Quantity delivered]]</f>
        <v>0.81324315822585713</v>
      </c>
      <c r="AC1202" s="203">
        <f>Delivery[[#This Row],[Quantity delivered]]*Delivery[[#This Row],[Base price (Unidad)]]/60</f>
        <v>231030.04199</v>
      </c>
      <c r="AD1202" s="204">
        <f>Delivery[[#This Row],[Nespresso total]]-Delivery[[#This Row],[Qt. Delivery * Base Price]]</f>
        <v>2774.1580100000137</v>
      </c>
      <c r="AE1202" s="204">
        <f>Delivery[[#This Row],[AAA Premium (total)]]/Delivery[[#This Row],[Quantity delivered]]*60/Delivery[[#This Row],[Exchange rate VS USD]]</f>
        <v>10.002373457993933</v>
      </c>
      <c r="AF1202" s="204">
        <f>Delivery[[#This Row],[BEN premium (total)]]/Delivery[[#This Row],[Quantity delivered]]*60/Delivery[[#This Row],[Exchange rate for premiums VS USD]]</f>
        <v>0</v>
      </c>
      <c r="AG1202" s="204">
        <f>COUNTIF(Delivery[Delivery ID],Delivery[[#This Row],[Delivery ID]])</f>
        <v>1</v>
      </c>
      <c r="AH1202" s="204">
        <f>(Delivery[[#This Row],[Nespresso total]]/SUMIF(Allocation!C:C,Delivery[Delivery ID],Allocation!H:H))/Delivery[[#This Row],[Exchange rate VS USD]]</f>
        <v>4.3906823911668447</v>
      </c>
      <c r="AI1202" s="204">
        <f>(Delivery[[#This Row],[AAA Premium (total)]]/SUMIF(Allocation!C:C,Delivery[Delivery ID],Allocation!H:H))/Delivery[[#This Row],[Exchange rate VS USD]]</f>
        <v>0.38677498689926915</v>
      </c>
      <c r="AJ1202" s="204">
        <f>Delivery[[#This Row],[Valor Prêmio Nespresso AAA por Kg (em US$)]]*60</f>
        <v>23.20649921395615</v>
      </c>
      <c r="AK1202" s="204">
        <f>Delivery[[#This Row],[Valor Prêmio Nespresso AAA por saca (em US$)]]/1.3228/100</f>
        <v>0.17543467806135585</v>
      </c>
      <c r="AL1202" s="204">
        <f>(Delivery[[#This Row],[BEN premium (total)]]/SUMIF(Allocation!C:C,Delivery[Delivery ID],Allocation!H:H))/Delivery[[#This Row],[Exchange rate for premiums VS USD]]</f>
        <v>0</v>
      </c>
      <c r="AM1202" s="204">
        <f>Delivery[[#This Row],[Valor Prêmio Nespresso BEN por Kg (em US$)]]*60</f>
        <v>0</v>
      </c>
      <c r="AN1202" s="204">
        <f>Delivery[[#This Row],[Valor Prêmio Nespresso BEN por saca (em US$)]]/1.3228/100</f>
        <v>0</v>
      </c>
      <c r="AO1202" s="204">
        <f>SUMIF(Allocation[Delivery ID],Delivery[[#This Row],[Delivery ID]],Allocation[Quantity allocated])*16*1.3228*Delivery[[#This Row],[Exchange rate VS USD]]/60</f>
        <v>18783.789136874668</v>
      </c>
      <c r="AP1202" s="204">
        <f>Delivery[[#This Row],[AAA Premium (total)]]</f>
        <v>20595.8</v>
      </c>
      <c r="AQ1202" s="204">
        <f>Delivery[[#This Row],[Valor pago pelo Cluster]]-Delivery[[#This Row],[Valor efetivamente pago pela Nespresso]]</f>
        <v>1812.0108631253315</v>
      </c>
    </row>
    <row r="1203" spans="1:43" ht="15.75">
      <c r="A1203" s="174" t="s">
        <v>69</v>
      </c>
      <c r="B1203" s="232" t="s">
        <v>68</v>
      </c>
      <c r="C1203" s="157">
        <v>1</v>
      </c>
      <c r="D1203" s="157" t="s">
        <v>468</v>
      </c>
      <c r="E1203" s="177" t="s">
        <v>468</v>
      </c>
      <c r="F1203" s="233" t="s">
        <v>543</v>
      </c>
      <c r="G1203" s="234">
        <v>43448</v>
      </c>
      <c r="H1203" s="235" t="s">
        <v>2040</v>
      </c>
      <c r="I1203" s="236" t="s">
        <v>1798</v>
      </c>
      <c r="J1203" s="237">
        <v>31810</v>
      </c>
      <c r="K1203" s="175" t="s">
        <v>61</v>
      </c>
      <c r="L1203" s="175" t="s">
        <v>439</v>
      </c>
      <c r="M1203" s="175" t="s">
        <v>1343</v>
      </c>
      <c r="N1203" s="198"/>
      <c r="O1203" s="199"/>
      <c r="P1203" s="181">
        <v>0</v>
      </c>
      <c r="Q1203" s="177">
        <v>43431</v>
      </c>
      <c r="R1203" s="178">
        <v>436.04286000000002</v>
      </c>
      <c r="S1203" s="179">
        <v>233804.2</v>
      </c>
      <c r="T1203" s="182" t="s">
        <v>45</v>
      </c>
      <c r="U1203" s="183">
        <v>3.8862999999999999</v>
      </c>
      <c r="V1203" s="179">
        <v>20595.8</v>
      </c>
      <c r="W1203" s="179">
        <v>0</v>
      </c>
      <c r="X1203" s="196" t="s">
        <v>45</v>
      </c>
      <c r="Y1203" s="200">
        <v>3.8862999999999999</v>
      </c>
      <c r="Z1203" s="220"/>
      <c r="AA1203" s="201">
        <f>Delivery[[#This Row],[Quantity delivered]]*VLOOKUP(Delivery[[#This Row],[Unit]],References!$U:$X,4,FALSE)*VLOOKUP(CONCATENATE(Delivery[[#This Row],[Coffee specie]],Delivery[[#This Row],[Coffee state]]),References!$U:$X,4,FALSE)</f>
        <v>31810</v>
      </c>
      <c r="AB1203" s="202">
        <f>SUMIF(Allocation!C:C,Delivery[[#This Row],[Delivery ID]],Allocation!D:D)/Delivery[[#This Row],[Quantity delivered]]</f>
        <v>0.81320339515875506</v>
      </c>
      <c r="AC1203" s="203">
        <f>Delivery[[#This Row],[Quantity delivered]]*Delivery[[#This Row],[Base price (Unidad)]]/60</f>
        <v>231175.38961000001</v>
      </c>
      <c r="AD1203" s="204">
        <f>Delivery[[#This Row],[Nespresso total]]-Delivery[[#This Row],[Qt. Delivery * Base Price]]</f>
        <v>2628.8103899999987</v>
      </c>
      <c r="AE1203" s="204">
        <f>Delivery[[#This Row],[AAA Premium (total)]]/Delivery[[#This Row],[Quantity delivered]]*60/Delivery[[#This Row],[Exchange rate VS USD]]</f>
        <v>9.9960846346943466</v>
      </c>
      <c r="AF1203" s="204">
        <f>Delivery[[#This Row],[BEN premium (total)]]/Delivery[[#This Row],[Quantity delivered]]*60/Delivery[[#This Row],[Exchange rate for premiums VS USD]]</f>
        <v>0</v>
      </c>
      <c r="AG1203" s="204">
        <f>COUNTIF(Delivery[Delivery ID],Delivery[[#This Row],[Delivery ID]])</f>
        <v>1</v>
      </c>
      <c r="AH1203" s="204">
        <f>(Delivery[[#This Row],[Nespresso total]]/SUMIF(Allocation!C:C,Delivery[Delivery ID],Allocation!H:H))/Delivery[[#This Row],[Exchange rate VS USD]]</f>
        <v>4.3881203591369893</v>
      </c>
      <c r="AI1203" s="204">
        <f>(Delivery[[#This Row],[AAA Premium (total)]]/SUMIF(Allocation!C:C,Delivery[Delivery ID],Allocation!H:H))/Delivery[[#This Row],[Exchange rate VS USD]]</f>
        <v>0.3865492976290143</v>
      </c>
      <c r="AJ1203" s="204">
        <f>Delivery[[#This Row],[Valor Prêmio Nespresso AAA por Kg (em US$)]]*60</f>
        <v>23.192957857740858</v>
      </c>
      <c r="AK1203" s="204">
        <f>Delivery[[#This Row],[Valor Prêmio Nespresso AAA por saca (em US$)]]/1.3228/100</f>
        <v>0.17533230917554324</v>
      </c>
      <c r="AL1203" s="204">
        <f>(Delivery[[#This Row],[BEN premium (total)]]/SUMIF(Allocation!C:C,Delivery[Delivery ID],Allocation!H:H))/Delivery[[#This Row],[Exchange rate for premiums VS USD]]</f>
        <v>0</v>
      </c>
      <c r="AM1203" s="204">
        <f>Delivery[[#This Row],[Valor Prêmio Nespresso BEN por Kg (em US$)]]*60</f>
        <v>0</v>
      </c>
      <c r="AN1203" s="204">
        <f>Delivery[[#This Row],[Valor Prêmio Nespresso BEN por saca (em US$)]]/1.3228/100</f>
        <v>0</v>
      </c>
      <c r="AO1203" s="204">
        <f>SUMIF(Allocation[Delivery ID],Delivery[[#This Row],[Delivery ID]],Allocation[Quantity allocated])*16*1.3228*Delivery[[#This Row],[Exchange rate VS USD]]/60</f>
        <v>18794.756171839999</v>
      </c>
      <c r="AP1203" s="204">
        <f>Delivery[[#This Row],[AAA Premium (total)]]</f>
        <v>20595.8</v>
      </c>
      <c r="AQ1203" s="204">
        <f>Delivery[[#This Row],[Valor pago pelo Cluster]]-Delivery[[#This Row],[Valor efetivamente pago pela Nespresso]]</f>
        <v>1801.04382816</v>
      </c>
    </row>
    <row r="1204" spans="1:43" ht="15.75">
      <c r="A1204" s="174" t="s">
        <v>69</v>
      </c>
      <c r="B1204" s="232" t="s">
        <v>68</v>
      </c>
      <c r="C1204" s="157">
        <v>1</v>
      </c>
      <c r="D1204" s="157" t="s">
        <v>468</v>
      </c>
      <c r="E1204" s="177" t="s">
        <v>468</v>
      </c>
      <c r="F1204" s="233" t="s">
        <v>543</v>
      </c>
      <c r="G1204" s="234">
        <v>43446</v>
      </c>
      <c r="H1204" s="160" t="s">
        <v>1827</v>
      </c>
      <c r="I1204" s="236" t="s">
        <v>1706</v>
      </c>
      <c r="J1204" s="237">
        <v>31882</v>
      </c>
      <c r="K1204" s="175" t="s">
        <v>61</v>
      </c>
      <c r="L1204" s="175" t="s">
        <v>439</v>
      </c>
      <c r="M1204" s="175" t="s">
        <v>1343</v>
      </c>
      <c r="N1204" s="198"/>
      <c r="O1204" s="199"/>
      <c r="P1204" s="181">
        <v>0</v>
      </c>
      <c r="Q1204" s="177">
        <v>43440</v>
      </c>
      <c r="R1204" s="178">
        <v>411.31800499999997</v>
      </c>
      <c r="S1204" s="179">
        <v>204799.47973528807</v>
      </c>
      <c r="T1204" s="182" t="s">
        <v>45</v>
      </c>
      <c r="U1204" s="183">
        <v>3.9043000000000001</v>
      </c>
      <c r="V1204" s="179">
        <v>14522.304136666668</v>
      </c>
      <c r="W1204" s="179">
        <v>4127.8902647119394</v>
      </c>
      <c r="X1204" s="196" t="s">
        <v>45</v>
      </c>
      <c r="Y1204" s="200">
        <v>3.9043000000000001</v>
      </c>
      <c r="Z1204" s="220" t="s">
        <v>473</v>
      </c>
      <c r="AA1204" s="201">
        <f>Delivery[[#This Row],[Quantity delivered]]*VLOOKUP(Delivery[[#This Row],[Unit]],References!$U:$X,4,FALSE)*VLOOKUP(CONCATENATE(Delivery[[#This Row],[Coffee specie]],Delivery[[#This Row],[Coffee state]]),References!$U:$X,4,FALSE)</f>
        <v>31882</v>
      </c>
      <c r="AB1204" s="202">
        <f>SUMIF(Allocation!C:C,Delivery[[#This Row],[Delivery ID]],Allocation!D:D)/Delivery[[#This Row],[Quantity delivered]]</f>
        <v>0.20293582585785083</v>
      </c>
      <c r="AC1204" s="203">
        <f>Delivery[[#This Row],[Quantity delivered]]*Delivery[[#This Row],[Base price (Unidad)]]/60</f>
        <v>218560.67725683333</v>
      </c>
      <c r="AD1204" s="204">
        <f>Delivery[[#This Row],[Nespresso total]]-Delivery[[#This Row],[Qt. Delivery * Base Price]]</f>
        <v>-13761.197521545255</v>
      </c>
      <c r="AE1204" s="204">
        <f>Delivery[[#This Row],[AAA Premium (total)]]/Delivery[[#This Row],[Quantity delivered]]*60/Delivery[[#This Row],[Exchange rate VS USD]]</f>
        <v>7</v>
      </c>
      <c r="AF1204" s="204">
        <f>Delivery[[#This Row],[BEN premium (total)]]/Delivery[[#This Row],[Quantity delivered]]*60/Delivery[[#This Row],[Exchange rate for premiums VS USD]]</f>
        <v>1.9897139999999998</v>
      </c>
      <c r="AG1204" s="204">
        <f>COUNTIF(Delivery[Delivery ID],Delivery[[#This Row],[Delivery ID]])</f>
        <v>1</v>
      </c>
      <c r="AH1204" s="204">
        <f>(Delivery[[#This Row],[Nespresso total]]/SUMIF(Allocation!C:C,Delivery[Delivery ID],Allocation!H:H))/Delivery[[#This Row],[Exchange rate VS USD]]</f>
        <v>27.024653412925897</v>
      </c>
      <c r="AI1204" s="204">
        <f>(Delivery[[#This Row],[AAA Premium (total)]]/SUMIF(Allocation!C:C,Delivery[Delivery ID],Allocation!H:H))/Delivery[[#This Row],[Exchange rate VS USD]]</f>
        <v>1.9163146144599004</v>
      </c>
      <c r="AJ1204" s="204">
        <f>Delivery[[#This Row],[Valor Prêmio Nespresso AAA por Kg (em US$)]]*60</f>
        <v>114.97887686759402</v>
      </c>
      <c r="AK1204" s="204">
        <f>Delivery[[#This Row],[Valor Prêmio Nespresso AAA por saca (em US$)]]/1.3228/100</f>
        <v>0.86920832225275191</v>
      </c>
      <c r="AL1204" s="204">
        <f>(Delivery[[#This Row],[BEN premium (total)]]/SUMIF(Allocation!C:C,Delivery[Delivery ID],Allocation!H:H))/Delivery[[#This Row],[Exchange rate for premiums VS USD]]</f>
        <v>0.54470257382792364</v>
      </c>
      <c r="AM1204" s="204">
        <f>Delivery[[#This Row],[Valor Prêmio Nespresso BEN por Kg (em US$)]]*60</f>
        <v>32.682154429675421</v>
      </c>
      <c r="AN1204" s="204">
        <f>Delivery[[#This Row],[Valor Prêmio Nespresso BEN por saca (em US$)]]/1.3228/100</f>
        <v>0.24706799538611598</v>
      </c>
      <c r="AO1204" s="204">
        <f>SUMIF(Allocation[Delivery ID],Delivery[[#This Row],[Delivery ID]],Allocation[Quantity allocated])*16*1.3228*Delivery[[#This Row],[Exchange rate VS USD]]/60</f>
        <v>2673.2011215039997</v>
      </c>
      <c r="AP1204" s="204">
        <f>Delivery[[#This Row],[AAA Premium (total)]]</f>
        <v>14522.304136666668</v>
      </c>
      <c r="AQ1204" s="204">
        <f>Delivery[[#This Row],[Valor pago pelo Cluster]]-Delivery[[#This Row],[Valor efetivamente pago pela Nespresso]]</f>
        <v>11849.103015162667</v>
      </c>
    </row>
    <row r="1205" spans="1:43" ht="15.75">
      <c r="A1205" s="174" t="s">
        <v>69</v>
      </c>
      <c r="B1205" s="232" t="s">
        <v>68</v>
      </c>
      <c r="C1205" s="157" t="s">
        <v>1344</v>
      </c>
      <c r="D1205" s="157" t="s">
        <v>468</v>
      </c>
      <c r="E1205" s="177" t="s">
        <v>468</v>
      </c>
      <c r="F1205" s="233" t="s">
        <v>543</v>
      </c>
      <c r="G1205" s="234">
        <v>43446</v>
      </c>
      <c r="H1205" s="235" t="s">
        <v>1828</v>
      </c>
      <c r="I1205" s="157" t="s">
        <v>1824</v>
      </c>
      <c r="J1205" s="237">
        <v>16480</v>
      </c>
      <c r="K1205" s="175" t="s">
        <v>61</v>
      </c>
      <c r="L1205" s="175" t="s">
        <v>439</v>
      </c>
      <c r="M1205" s="175" t="s">
        <v>1343</v>
      </c>
      <c r="N1205" s="198"/>
      <c r="O1205" s="199"/>
      <c r="P1205" s="181">
        <v>0</v>
      </c>
      <c r="Q1205" s="177">
        <v>43440</v>
      </c>
      <c r="R1205" s="178">
        <v>412.28752499999996</v>
      </c>
      <c r="S1205" s="179">
        <v>117152.75</v>
      </c>
      <c r="T1205" s="182" t="s">
        <v>45</v>
      </c>
      <c r="U1205" s="183">
        <v>3.8986999999999998</v>
      </c>
      <c r="V1205" s="179">
        <v>10722.25</v>
      </c>
      <c r="W1205" s="179">
        <v>0</v>
      </c>
      <c r="X1205" s="196" t="s">
        <v>45</v>
      </c>
      <c r="Y1205" s="200">
        <v>3.8986999999999998</v>
      </c>
      <c r="Z1205" s="221"/>
      <c r="AA1205" s="201">
        <f>Delivery[[#This Row],[Quantity delivered]]*VLOOKUP(Delivery[[#This Row],[Unit]],References!$U:$X,4,FALSE)*VLOOKUP(CONCATENATE(Delivery[[#This Row],[Coffee specie]],Delivery[[#This Row],[Coffee state]]),References!$U:$X,4,FALSE)</f>
        <v>16480</v>
      </c>
      <c r="AB1205" s="202">
        <f>SUMIF(Allocation!C:C,Delivery[[#This Row],[Delivery ID]],Allocation!D:D)/Delivery[[#This Row],[Quantity delivered]]</f>
        <v>0.66523058252427181</v>
      </c>
      <c r="AC1205" s="203">
        <f>Delivery[[#This Row],[Quantity delivered]]*Delivery[[#This Row],[Base price (Unidad)]]/60</f>
        <v>113241.64019999999</v>
      </c>
      <c r="AD1205" s="204">
        <f>Delivery[[#This Row],[Nespresso total]]-Delivery[[#This Row],[Qt. Delivery * Base Price]]</f>
        <v>3911.1098000000056</v>
      </c>
      <c r="AE1205" s="204">
        <f>Delivery[[#This Row],[AAA Premium (total)]]/Delivery[[#This Row],[Quantity delivered]]*60/Delivery[[#This Row],[Exchange rate VS USD]]</f>
        <v>10.01290634343885</v>
      </c>
      <c r="AF1205" s="204">
        <f>Delivery[[#This Row],[BEN premium (total)]]/Delivery[[#This Row],[Quantity delivered]]*60/Delivery[[#This Row],[Exchange rate for premiums VS USD]]</f>
        <v>0</v>
      </c>
      <c r="AG1205" s="204">
        <f>COUNTIF(Delivery[Delivery ID],Delivery[[#This Row],[Delivery ID]])</f>
        <v>1</v>
      </c>
      <c r="AH1205" s="204">
        <f>(Delivery[[#This Row],[Nespresso total]]/SUMIF(Allocation!C:C,Delivery[Delivery ID],Allocation!H:H))/Delivery[[#This Row],[Exchange rate VS USD]]</f>
        <v>6.6850240402714887</v>
      </c>
      <c r="AI1205" s="204">
        <f>(Delivery[[#This Row],[AAA Premium (total)]]/SUMIF(Allocation!C:C,Delivery[Delivery ID],Allocation!H:H))/Delivery[[#This Row],[Exchange rate VS USD]]</f>
        <v>0.61183795528317497</v>
      </c>
      <c r="AJ1205" s="204">
        <f>Delivery[[#This Row],[Valor Prêmio Nespresso AAA por Kg (em US$)]]*60</f>
        <v>36.710277316990499</v>
      </c>
      <c r="AK1205" s="204">
        <f>Delivery[[#This Row],[Valor Prêmio Nespresso AAA por saca (em US$)]]/1.3228/100</f>
        <v>0.27751948379944436</v>
      </c>
      <c r="AL1205" s="204">
        <f>(Delivery[[#This Row],[BEN premium (total)]]/SUMIF(Allocation!C:C,Delivery[Delivery ID],Allocation!H:H))/Delivery[[#This Row],[Exchange rate for premiums VS USD]]</f>
        <v>0</v>
      </c>
      <c r="AM1205" s="204">
        <f>Delivery[[#This Row],[Valor Prêmio Nespresso BEN por Kg (em US$)]]*60</f>
        <v>0</v>
      </c>
      <c r="AN1205" s="204">
        <f>Delivery[[#This Row],[Valor Prêmio Nespresso BEN por saca (em US$)]]/1.3228/100</f>
        <v>0</v>
      </c>
      <c r="AO1205" s="204">
        <f>SUMIF(Allocation[Delivery ID],Delivery[[#This Row],[Delivery ID]],Allocation[Quantity allocated])*16*1.3228*Delivery[[#This Row],[Exchange rate VS USD]]/60</f>
        <v>6181.7641648533327</v>
      </c>
      <c r="AP1205" s="204">
        <f>Delivery[[#This Row],[AAA Premium (total)]]</f>
        <v>10722.25</v>
      </c>
      <c r="AQ1205" s="204">
        <f>Delivery[[#This Row],[Valor pago pelo Cluster]]-Delivery[[#This Row],[Valor efetivamente pago pela Nespresso]]</f>
        <v>4540.4858351466673</v>
      </c>
    </row>
    <row r="1206" spans="1:43" ht="15.75">
      <c r="A1206" s="174" t="s">
        <v>69</v>
      </c>
      <c r="B1206" s="232" t="s">
        <v>68</v>
      </c>
      <c r="C1206" s="157" t="s">
        <v>1344</v>
      </c>
      <c r="D1206" s="157" t="s">
        <v>468</v>
      </c>
      <c r="E1206" s="177" t="s">
        <v>468</v>
      </c>
      <c r="F1206" s="233" t="s">
        <v>543</v>
      </c>
      <c r="G1206" s="234">
        <v>43451</v>
      </c>
      <c r="H1206" s="235" t="s">
        <v>1829</v>
      </c>
      <c r="I1206" s="157" t="s">
        <v>975</v>
      </c>
      <c r="J1206" s="237">
        <v>18200</v>
      </c>
      <c r="K1206" s="175" t="s">
        <v>61</v>
      </c>
      <c r="L1206" s="175" t="s">
        <v>439</v>
      </c>
      <c r="M1206" s="175" t="s">
        <v>1343</v>
      </c>
      <c r="N1206" s="198"/>
      <c r="O1206" s="199"/>
      <c r="P1206" s="181">
        <v>0</v>
      </c>
      <c r="Q1206" s="177">
        <v>43445</v>
      </c>
      <c r="R1206" s="178">
        <v>401.165345</v>
      </c>
      <c r="S1206" s="179">
        <v>82524</v>
      </c>
      <c r="T1206" s="182" t="s">
        <v>45</v>
      </c>
      <c r="U1206" s="183">
        <v>3.9119000000000002</v>
      </c>
      <c r="V1206" s="179">
        <v>5476</v>
      </c>
      <c r="W1206" s="179">
        <v>0</v>
      </c>
      <c r="X1206" s="196" t="s">
        <v>45</v>
      </c>
      <c r="Y1206" s="200">
        <v>3.9119000000000002</v>
      </c>
      <c r="Z1206" s="221"/>
      <c r="AA1206" s="201">
        <f>Delivery[[#This Row],[Quantity delivered]]*VLOOKUP(Delivery[[#This Row],[Unit]],References!$U:$X,4,FALSE)*VLOOKUP(CONCATENATE(Delivery[[#This Row],[Coffee specie]],Delivery[[#This Row],[Coffee state]]),References!$U:$X,4,FALSE)</f>
        <v>18200</v>
      </c>
      <c r="AB1206" s="202">
        <f>SUMIF(Allocation!C:C,Delivery[[#This Row],[Delivery ID]],Allocation!D:D)/Delivery[[#This Row],[Quantity delivered]]</f>
        <v>0.60664835164835162</v>
      </c>
      <c r="AC1206" s="203">
        <f>Delivery[[#This Row],[Quantity delivered]]*Delivery[[#This Row],[Base price (Unidad)]]/60</f>
        <v>121686.82131666667</v>
      </c>
      <c r="AD1206" s="204">
        <f>Delivery[[#This Row],[Nespresso total]]-Delivery[[#This Row],[Qt. Delivery * Base Price]]</f>
        <v>-39162.821316666668</v>
      </c>
      <c r="AE1206" s="204">
        <f>Delivery[[#This Row],[AAA Premium (total)]]/Delivery[[#This Row],[Quantity delivered]]*60/Delivery[[#This Row],[Exchange rate VS USD]]</f>
        <v>4.6148284088926745</v>
      </c>
      <c r="AF1206" s="204">
        <f>Delivery[[#This Row],[BEN premium (total)]]/Delivery[[#This Row],[Quantity delivered]]*60/Delivery[[#This Row],[Exchange rate for premiums VS USD]]</f>
        <v>0</v>
      </c>
      <c r="AG1206" s="204">
        <f>COUNTIF(Delivery[Delivery ID],Delivery[[#This Row],[Delivery ID]])</f>
        <v>1</v>
      </c>
      <c r="AH1206" s="204">
        <f>(Delivery[[#This Row],[Nespresso total]]/SUMIF(Allocation!C:C,Delivery[Delivery ID],Allocation!H:H))/Delivery[[#This Row],[Exchange rate VS USD]]</f>
        <v>4.8991247744816935</v>
      </c>
      <c r="AI1206" s="204">
        <f>(Delivery[[#This Row],[AAA Premium (total)]]/SUMIF(Allocation!C:C,Delivery[Delivery ID],Allocation!H:H))/Delivery[[#This Row],[Exchange rate VS USD]]</f>
        <v>0.32508854715066832</v>
      </c>
      <c r="AJ1206" s="204">
        <f>Delivery[[#This Row],[Valor Prêmio Nespresso AAA por Kg (em US$)]]*60</f>
        <v>19.505312829040101</v>
      </c>
      <c r="AK1206" s="204">
        <f>Delivery[[#This Row],[Valor Prêmio Nespresso AAA por saca (em US$)]]/1.3228/100</f>
        <v>0.14745473865316072</v>
      </c>
      <c r="AL1206" s="204">
        <f>(Delivery[[#This Row],[BEN premium (total)]]/SUMIF(Allocation!C:C,Delivery[Delivery ID],Allocation!H:H))/Delivery[[#This Row],[Exchange rate for premiums VS USD]]</f>
        <v>0</v>
      </c>
      <c r="AM1206" s="204">
        <f>Delivery[[#This Row],[Valor Prêmio Nespresso BEN por Kg (em US$)]]*60</f>
        <v>0</v>
      </c>
      <c r="AN1206" s="204">
        <f>Delivery[[#This Row],[Valor Prêmio Nespresso BEN por saca (em US$)]]/1.3228/100</f>
        <v>0</v>
      </c>
      <c r="AO1206" s="204">
        <f>SUMIF(Allocation[Delivery ID],Delivery[[#This Row],[Delivery ID]],Allocation[Quantity allocated])*16*1.3228*Delivery[[#This Row],[Exchange rate VS USD]]/60</f>
        <v>5941.8911050453326</v>
      </c>
      <c r="AP1206" s="204">
        <f>Delivery[[#This Row],[AAA Premium (total)]]</f>
        <v>5476</v>
      </c>
      <c r="AQ1206" s="204">
        <f>Delivery[[#This Row],[Valor pago pelo Cluster]]-Delivery[[#This Row],[Valor efetivamente pago pela Nespresso]]</f>
        <v>-465.89110504533255</v>
      </c>
    </row>
    <row r="1207" spans="1:43" ht="15.75">
      <c r="A1207" s="174" t="s">
        <v>69</v>
      </c>
      <c r="B1207" s="232" t="s">
        <v>68</v>
      </c>
      <c r="C1207" s="157">
        <v>1</v>
      </c>
      <c r="D1207" s="157" t="s">
        <v>468</v>
      </c>
      <c r="E1207" s="177" t="s">
        <v>468</v>
      </c>
      <c r="F1207" s="233" t="s">
        <v>543</v>
      </c>
      <c r="G1207" s="234">
        <v>43451</v>
      </c>
      <c r="H1207" s="235" t="s">
        <v>2041</v>
      </c>
      <c r="I1207" s="236" t="s">
        <v>1798</v>
      </c>
      <c r="J1207" s="237">
        <v>31800</v>
      </c>
      <c r="K1207" s="175" t="s">
        <v>61</v>
      </c>
      <c r="L1207" s="175" t="s">
        <v>439</v>
      </c>
      <c r="M1207" s="175" t="s">
        <v>1343</v>
      </c>
      <c r="N1207" s="198"/>
      <c r="O1207" s="199"/>
      <c r="P1207" s="181">
        <v>0</v>
      </c>
      <c r="Q1207" s="177">
        <v>43431</v>
      </c>
      <c r="R1207" s="178">
        <v>436.04286000000002</v>
      </c>
      <c r="S1207" s="179">
        <v>233804.2</v>
      </c>
      <c r="T1207" s="182" t="s">
        <v>45</v>
      </c>
      <c r="U1207" s="183">
        <v>3.8862999999999999</v>
      </c>
      <c r="V1207" s="179">
        <v>20595.8</v>
      </c>
      <c r="W1207" s="179">
        <v>0</v>
      </c>
      <c r="X1207" s="196" t="s">
        <v>45</v>
      </c>
      <c r="Y1207" s="200">
        <v>3.8862999999999999</v>
      </c>
      <c r="Z1207" s="220"/>
      <c r="AA1207" s="201">
        <f>Delivery[[#This Row],[Quantity delivered]]*VLOOKUP(Delivery[[#This Row],[Unit]],References!$U:$X,4,FALSE)*VLOOKUP(CONCATENATE(Delivery[[#This Row],[Coffee specie]],Delivery[[#This Row],[Coffee state]]),References!$U:$X,4,FALSE)</f>
        <v>31800</v>
      </c>
      <c r="AB1207" s="202">
        <f>SUMIF(Allocation!C:C,Delivery[[#This Row],[Delivery ID]],Allocation!D:D)/Delivery[[#This Row],[Quantity delivered]]</f>
        <v>0.81320754716981136</v>
      </c>
      <c r="AC1207" s="203">
        <f>Delivery[[#This Row],[Quantity delivered]]*Delivery[[#This Row],[Base price (Unidad)]]/60</f>
        <v>231102.71580000001</v>
      </c>
      <c r="AD1207" s="204">
        <f>Delivery[[#This Row],[Nespresso total]]-Delivery[[#This Row],[Qt. Delivery * Base Price]]</f>
        <v>2701.4842000000062</v>
      </c>
      <c r="AE1207" s="204">
        <f>Delivery[[#This Row],[AAA Premium (total)]]/Delivery[[#This Row],[Quantity delivered]]*60/Delivery[[#This Row],[Exchange rate VS USD]]</f>
        <v>9.9992280575354453</v>
      </c>
      <c r="AF1207" s="204">
        <f>Delivery[[#This Row],[BEN premium (total)]]/Delivery[[#This Row],[Quantity delivered]]*60/Delivery[[#This Row],[Exchange rate for premiums VS USD]]</f>
        <v>0</v>
      </c>
      <c r="AG1207" s="204">
        <f>COUNTIF(Delivery[Delivery ID],Delivery[[#This Row],[Delivery ID]])</f>
        <v>1</v>
      </c>
      <c r="AH1207" s="204">
        <f>(Delivery[[#This Row],[Nespresso total]]/SUMIF(Allocation!C:C,Delivery[Delivery ID],Allocation!H:H))/Delivery[[#This Row],[Exchange rate VS USD]]</f>
        <v>4.3894010012963749</v>
      </c>
      <c r="AI1207" s="204">
        <f>(Delivery[[#This Row],[AAA Premium (total)]]/SUMIF(Allocation!C:C,Delivery[Delivery ID],Allocation!H:H))/Delivery[[#This Row],[Exchange rate VS USD]]</f>
        <v>0.38666210933122613</v>
      </c>
      <c r="AJ1207" s="204">
        <f>Delivery[[#This Row],[Valor Prêmio Nespresso AAA por Kg (em US$)]]*60</f>
        <v>23.199726559873568</v>
      </c>
      <c r="AK1207" s="204">
        <f>Delivery[[#This Row],[Valor Prêmio Nespresso AAA por saca (em US$)]]/1.3228/100</f>
        <v>0.1753834786806287</v>
      </c>
      <c r="AL1207" s="204">
        <f>(Delivery[[#This Row],[BEN premium (total)]]/SUMIF(Allocation!C:C,Delivery[Delivery ID],Allocation!H:H))/Delivery[[#This Row],[Exchange rate for premiums VS USD]]</f>
        <v>0</v>
      </c>
      <c r="AM1207" s="204">
        <f>Delivery[[#This Row],[Valor Prêmio Nespresso BEN por Kg (em US$)]]*60</f>
        <v>0</v>
      </c>
      <c r="AN1207" s="204">
        <f>Delivery[[#This Row],[Valor Prêmio Nespresso BEN por saca (em US$)]]/1.3228/100</f>
        <v>0</v>
      </c>
      <c r="AO1207" s="204">
        <f>SUMIF(Allocation[Delivery ID],Delivery[[#This Row],[Delivery ID]],Allocation[Quantity allocated])*16*1.3228*Delivery[[#This Row],[Exchange rate VS USD]]/60</f>
        <v>18789.27265435733</v>
      </c>
      <c r="AP1207" s="204">
        <f>Delivery[[#This Row],[AAA Premium (total)]]</f>
        <v>20595.8</v>
      </c>
      <c r="AQ1207" s="204">
        <f>Delivery[[#This Row],[Valor pago pelo Cluster]]-Delivery[[#This Row],[Valor efetivamente pago pela Nespresso]]</f>
        <v>1806.5273456426694</v>
      </c>
    </row>
    <row r="1208" spans="1:43" ht="15.75">
      <c r="A1208" s="174" t="s">
        <v>69</v>
      </c>
      <c r="B1208" s="232" t="s">
        <v>68</v>
      </c>
      <c r="C1208" s="157">
        <v>1</v>
      </c>
      <c r="D1208" s="157" t="s">
        <v>468</v>
      </c>
      <c r="E1208" s="177" t="s">
        <v>468</v>
      </c>
      <c r="F1208" s="233" t="s">
        <v>543</v>
      </c>
      <c r="G1208" s="234">
        <v>43451</v>
      </c>
      <c r="H1208" s="235" t="s">
        <v>2042</v>
      </c>
      <c r="I1208" s="236" t="s">
        <v>1798</v>
      </c>
      <c r="J1208" s="237">
        <v>31810</v>
      </c>
      <c r="K1208" s="175" t="s">
        <v>61</v>
      </c>
      <c r="L1208" s="175" t="s">
        <v>439</v>
      </c>
      <c r="M1208" s="175" t="s">
        <v>1343</v>
      </c>
      <c r="N1208" s="198"/>
      <c r="O1208" s="199"/>
      <c r="P1208" s="181">
        <v>0</v>
      </c>
      <c r="Q1208" s="177">
        <v>43431</v>
      </c>
      <c r="R1208" s="178">
        <v>436.04286000000002</v>
      </c>
      <c r="S1208" s="179">
        <v>233804.2</v>
      </c>
      <c r="T1208" s="182" t="s">
        <v>45</v>
      </c>
      <c r="U1208" s="183">
        <v>3.8862999999999999</v>
      </c>
      <c r="V1208" s="179">
        <v>20595.8</v>
      </c>
      <c r="W1208" s="179">
        <v>0</v>
      </c>
      <c r="X1208" s="196" t="s">
        <v>45</v>
      </c>
      <c r="Y1208" s="200">
        <v>3.8862999999999999</v>
      </c>
      <c r="Z1208" s="220"/>
      <c r="AA1208" s="201">
        <f>Delivery[[#This Row],[Quantity delivered]]*VLOOKUP(Delivery[[#This Row],[Unit]],References!$U:$X,4,FALSE)*VLOOKUP(CONCATENATE(Delivery[[#This Row],[Coffee specie]],Delivery[[#This Row],[Coffee state]]),References!$U:$X,4,FALSE)</f>
        <v>31810</v>
      </c>
      <c r="AB1208" s="202">
        <f>SUMIF(Allocation!C:C,Delivery[[#This Row],[Delivery ID]],Allocation!D:D)/Delivery[[#This Row],[Quantity delivered]]</f>
        <v>0.81320339515875506</v>
      </c>
      <c r="AC1208" s="203">
        <f>Delivery[[#This Row],[Quantity delivered]]*Delivery[[#This Row],[Base price (Unidad)]]/60</f>
        <v>231175.38961000001</v>
      </c>
      <c r="AD1208" s="204">
        <f>Delivery[[#This Row],[Nespresso total]]-Delivery[[#This Row],[Qt. Delivery * Base Price]]</f>
        <v>2628.8103899999987</v>
      </c>
      <c r="AE1208" s="204">
        <f>Delivery[[#This Row],[AAA Premium (total)]]/Delivery[[#This Row],[Quantity delivered]]*60/Delivery[[#This Row],[Exchange rate VS USD]]</f>
        <v>9.9960846346943466</v>
      </c>
      <c r="AF1208" s="204">
        <f>Delivery[[#This Row],[BEN premium (total)]]/Delivery[[#This Row],[Quantity delivered]]*60/Delivery[[#This Row],[Exchange rate for premiums VS USD]]</f>
        <v>0</v>
      </c>
      <c r="AG1208" s="204">
        <f>COUNTIF(Delivery[Delivery ID],Delivery[[#This Row],[Delivery ID]])</f>
        <v>1</v>
      </c>
      <c r="AH1208" s="204">
        <f>(Delivery[[#This Row],[Nespresso total]]/SUMIF(Allocation!C:C,Delivery[Delivery ID],Allocation!H:H))/Delivery[[#This Row],[Exchange rate VS USD]]</f>
        <v>4.3881203591369893</v>
      </c>
      <c r="AI1208" s="204">
        <f>(Delivery[[#This Row],[AAA Premium (total)]]/SUMIF(Allocation!C:C,Delivery[Delivery ID],Allocation!H:H))/Delivery[[#This Row],[Exchange rate VS USD]]</f>
        <v>0.3865492976290143</v>
      </c>
      <c r="AJ1208" s="204">
        <f>Delivery[[#This Row],[Valor Prêmio Nespresso AAA por Kg (em US$)]]*60</f>
        <v>23.192957857740858</v>
      </c>
      <c r="AK1208" s="204">
        <f>Delivery[[#This Row],[Valor Prêmio Nespresso AAA por saca (em US$)]]/1.3228/100</f>
        <v>0.17533230917554324</v>
      </c>
      <c r="AL1208" s="204">
        <f>(Delivery[[#This Row],[BEN premium (total)]]/SUMIF(Allocation!C:C,Delivery[Delivery ID],Allocation!H:H))/Delivery[[#This Row],[Exchange rate for premiums VS USD]]</f>
        <v>0</v>
      </c>
      <c r="AM1208" s="204">
        <f>Delivery[[#This Row],[Valor Prêmio Nespresso BEN por Kg (em US$)]]*60</f>
        <v>0</v>
      </c>
      <c r="AN1208" s="204">
        <f>Delivery[[#This Row],[Valor Prêmio Nespresso BEN por saca (em US$)]]/1.3228/100</f>
        <v>0</v>
      </c>
      <c r="AO1208" s="204">
        <f>SUMIF(Allocation[Delivery ID],Delivery[[#This Row],[Delivery ID]],Allocation[Quantity allocated])*16*1.3228*Delivery[[#This Row],[Exchange rate VS USD]]/60</f>
        <v>18794.756171839999</v>
      </c>
      <c r="AP1208" s="204">
        <f>Delivery[[#This Row],[AAA Premium (total)]]</f>
        <v>20595.8</v>
      </c>
      <c r="AQ1208" s="204">
        <f>Delivery[[#This Row],[Valor pago pelo Cluster]]-Delivery[[#This Row],[Valor efetivamente pago pela Nespresso]]</f>
        <v>1801.04382816</v>
      </c>
    </row>
    <row r="1209" spans="1:43" ht="15.75">
      <c r="A1209" s="174" t="s">
        <v>69</v>
      </c>
      <c r="B1209" s="232" t="s">
        <v>68</v>
      </c>
      <c r="C1209" s="157">
        <v>1</v>
      </c>
      <c r="D1209" s="157" t="s">
        <v>468</v>
      </c>
      <c r="E1209" s="177" t="s">
        <v>468</v>
      </c>
      <c r="F1209" s="233" t="s">
        <v>543</v>
      </c>
      <c r="G1209" s="234">
        <v>43451</v>
      </c>
      <c r="H1209" s="235" t="s">
        <v>2043</v>
      </c>
      <c r="I1209" s="236" t="s">
        <v>1798</v>
      </c>
      <c r="J1209" s="237">
        <v>30740</v>
      </c>
      <c r="K1209" s="175" t="s">
        <v>61</v>
      </c>
      <c r="L1209" s="175" t="s">
        <v>439</v>
      </c>
      <c r="M1209" s="175" t="s">
        <v>1343</v>
      </c>
      <c r="N1209" s="198"/>
      <c r="O1209" s="199"/>
      <c r="P1209" s="181">
        <v>0</v>
      </c>
      <c r="Q1209" s="177">
        <v>43431</v>
      </c>
      <c r="R1209" s="178">
        <v>436.04286000000002</v>
      </c>
      <c r="S1209" s="179">
        <v>225863.67999999999</v>
      </c>
      <c r="T1209" s="182" t="s">
        <v>45</v>
      </c>
      <c r="U1209" s="183">
        <v>3.8862999999999999</v>
      </c>
      <c r="V1209" s="179">
        <v>19896.32</v>
      </c>
      <c r="W1209" s="179">
        <v>0</v>
      </c>
      <c r="X1209" s="196" t="s">
        <v>45</v>
      </c>
      <c r="Y1209" s="200">
        <v>3.8862999999999999</v>
      </c>
      <c r="Z1209" s="220"/>
      <c r="AA1209" s="201">
        <f>Delivery[[#This Row],[Quantity delivered]]*VLOOKUP(Delivery[[#This Row],[Unit]],References!$U:$X,4,FALSE)*VLOOKUP(CONCATENATE(Delivery[[#This Row],[Coffee specie]],Delivery[[#This Row],[Coffee state]]),References!$U:$X,4,FALSE)</f>
        <v>30740</v>
      </c>
      <c r="AB1209" s="202">
        <f>SUMIF(Allocation!C:C,Delivery[[#This Row],[Delivery ID]],Allocation!D:D)/Delivery[[#This Row],[Quantity delivered]]</f>
        <v>0.81320754716981136</v>
      </c>
      <c r="AC1209" s="203">
        <f>Delivery[[#This Row],[Quantity delivered]]*Delivery[[#This Row],[Base price (Unidad)]]/60</f>
        <v>223399.29194</v>
      </c>
      <c r="AD1209" s="204">
        <f>Delivery[[#This Row],[Nespresso total]]-Delivery[[#This Row],[Qt. Delivery * Base Price]]</f>
        <v>2464.3880599999975</v>
      </c>
      <c r="AE1209" s="204">
        <f>Delivery[[#This Row],[AAA Premium (total)]]/Delivery[[#This Row],[Quantity delivered]]*60/Delivery[[#This Row],[Exchange rate VS USD]]</f>
        <v>9.9927223789033466</v>
      </c>
      <c r="AF1209" s="204">
        <f>Delivery[[#This Row],[BEN premium (total)]]/Delivery[[#This Row],[Quantity delivered]]*60/Delivery[[#This Row],[Exchange rate for premiums VS USD]]</f>
        <v>0</v>
      </c>
      <c r="AG1209" s="204">
        <f>COUNTIF(Delivery[Delivery ID],Delivery[[#This Row],[Delivery ID]])</f>
        <v>1</v>
      </c>
      <c r="AH1209" s="204">
        <f>(Delivery[[#This Row],[Nespresso total]]/SUMIF(Allocation!C:C,Delivery[Delivery ID],Allocation!H:H))/Delivery[[#This Row],[Exchange rate VS USD]]</f>
        <v>4.3865893222798258</v>
      </c>
      <c r="AI1209" s="204">
        <f>(Delivery[[#This Row],[AAA Premium (total)]]/SUMIF(Allocation!C:C,Delivery[Delivery ID],Allocation!H:H))/Delivery[[#This Row],[Exchange rate VS USD]]</f>
        <v>0.38641442867070325</v>
      </c>
      <c r="AJ1209" s="204">
        <f>Delivery[[#This Row],[Valor Prêmio Nespresso AAA por Kg (em US$)]]*60</f>
        <v>23.184865720242193</v>
      </c>
      <c r="AK1209" s="204">
        <f>Delivery[[#This Row],[Valor Prêmio Nespresso AAA por saca (em US$)]]/1.3228/100</f>
        <v>0.17527113486726786</v>
      </c>
      <c r="AL1209" s="204">
        <f>(Delivery[[#This Row],[BEN premium (total)]]/SUMIF(Allocation!C:C,Delivery[Delivery ID],Allocation!H:H))/Delivery[[#This Row],[Exchange rate for premiums VS USD]]</f>
        <v>0</v>
      </c>
      <c r="AM1209" s="204">
        <f>Delivery[[#This Row],[Valor Prêmio Nespresso BEN por Kg (em US$)]]*60</f>
        <v>0</v>
      </c>
      <c r="AN1209" s="204">
        <f>Delivery[[#This Row],[Valor Prêmio Nespresso BEN por saca (em US$)]]/1.3228/100</f>
        <v>0</v>
      </c>
      <c r="AO1209" s="204">
        <f>SUMIF(Allocation[Delivery ID],Delivery[[#This Row],[Delivery ID]],Allocation[Quantity allocated])*16*1.3228*Delivery[[#This Row],[Exchange rate VS USD]]/60</f>
        <v>18162.780781962669</v>
      </c>
      <c r="AP1209" s="204">
        <f>Delivery[[#This Row],[AAA Premium (total)]]</f>
        <v>19896.32</v>
      </c>
      <c r="AQ1209" s="204">
        <f>Delivery[[#This Row],[Valor pago pelo Cluster]]-Delivery[[#This Row],[Valor efetivamente pago pela Nespresso]]</f>
        <v>1733.539218037331</v>
      </c>
    </row>
    <row r="1210" spans="1:43" ht="15.75">
      <c r="A1210" s="174" t="s">
        <v>69</v>
      </c>
      <c r="B1210" s="232" t="s">
        <v>68</v>
      </c>
      <c r="C1210" s="157">
        <v>1</v>
      </c>
      <c r="D1210" s="157" t="s">
        <v>468</v>
      </c>
      <c r="E1210" s="177" t="s">
        <v>468</v>
      </c>
      <c r="F1210" s="233" t="s">
        <v>543</v>
      </c>
      <c r="G1210" s="234">
        <v>43451</v>
      </c>
      <c r="H1210" s="235" t="s">
        <v>2044</v>
      </c>
      <c r="I1210" s="236" t="s">
        <v>1798</v>
      </c>
      <c r="J1210" s="237">
        <v>30740</v>
      </c>
      <c r="K1210" s="175" t="s">
        <v>61</v>
      </c>
      <c r="L1210" s="175" t="s">
        <v>439</v>
      </c>
      <c r="M1210" s="175" t="s">
        <v>1343</v>
      </c>
      <c r="N1210" s="198"/>
      <c r="O1210" s="199"/>
      <c r="P1210" s="181">
        <v>0</v>
      </c>
      <c r="Q1210" s="177">
        <v>43431</v>
      </c>
      <c r="R1210" s="178">
        <v>436.04286000000002</v>
      </c>
      <c r="S1210" s="179">
        <v>225863.67999999999</v>
      </c>
      <c r="T1210" s="182" t="s">
        <v>45</v>
      </c>
      <c r="U1210" s="183">
        <v>3.8862999999999999</v>
      </c>
      <c r="V1210" s="179">
        <v>19896.32</v>
      </c>
      <c r="W1210" s="179">
        <v>0</v>
      </c>
      <c r="X1210" s="196" t="s">
        <v>45</v>
      </c>
      <c r="Y1210" s="200">
        <v>3.8862999999999999</v>
      </c>
      <c r="Z1210" s="220"/>
      <c r="AA1210" s="201">
        <f>Delivery[[#This Row],[Quantity delivered]]*VLOOKUP(Delivery[[#This Row],[Unit]],References!$U:$X,4,FALSE)*VLOOKUP(CONCATENATE(Delivery[[#This Row],[Coffee specie]],Delivery[[#This Row],[Coffee state]]),References!$U:$X,4,FALSE)</f>
        <v>30740</v>
      </c>
      <c r="AB1210" s="202">
        <f>SUMIF(Allocation!C:C,Delivery[[#This Row],[Delivery ID]],Allocation!D:D)/Delivery[[#This Row],[Quantity delivered]]</f>
        <v>0.84420949902407283</v>
      </c>
      <c r="AC1210" s="203">
        <f>Delivery[[#This Row],[Quantity delivered]]*Delivery[[#This Row],[Base price (Unidad)]]/60</f>
        <v>223399.29194</v>
      </c>
      <c r="AD1210" s="204">
        <f>Delivery[[#This Row],[Nespresso total]]-Delivery[[#This Row],[Qt. Delivery * Base Price]]</f>
        <v>2464.3880599999975</v>
      </c>
      <c r="AE1210" s="204">
        <f>Delivery[[#This Row],[AAA Premium (total)]]/Delivery[[#This Row],[Quantity delivered]]*60/Delivery[[#This Row],[Exchange rate VS USD]]</f>
        <v>9.9927223789033466</v>
      </c>
      <c r="AF1210" s="204">
        <f>Delivery[[#This Row],[BEN premium (total)]]/Delivery[[#This Row],[Quantity delivered]]*60/Delivery[[#This Row],[Exchange rate for premiums VS USD]]</f>
        <v>0</v>
      </c>
      <c r="AG1210" s="204">
        <f>COUNTIF(Delivery[Delivery ID],Delivery[[#This Row],[Delivery ID]])</f>
        <v>1</v>
      </c>
      <c r="AH1210" s="204">
        <f>(Delivery[[#This Row],[Nespresso total]]/SUMIF(Allocation!C:C,Delivery[Delivery ID],Allocation!H:H))/Delivery[[#This Row],[Exchange rate VS USD]]</f>
        <v>4.2255287138930795</v>
      </c>
      <c r="AI1210" s="204">
        <f>(Delivery[[#This Row],[AAA Premium (total)]]/SUMIF(Allocation!C:C,Delivery[Delivery ID],Allocation!H:H))/Delivery[[#This Row],[Exchange rate VS USD]]</f>
        <v>0.37222660792919499</v>
      </c>
      <c r="AJ1210" s="204">
        <f>Delivery[[#This Row],[Valor Prêmio Nespresso AAA por Kg (em US$)]]*60</f>
        <v>22.333596475751698</v>
      </c>
      <c r="AK1210" s="204">
        <f>Delivery[[#This Row],[Valor Prêmio Nespresso AAA por saca (em US$)]]/1.3228/100</f>
        <v>0.16883577620011866</v>
      </c>
      <c r="AL1210" s="204">
        <f>(Delivery[[#This Row],[BEN premium (total)]]/SUMIF(Allocation!C:C,Delivery[Delivery ID],Allocation!H:H))/Delivery[[#This Row],[Exchange rate for premiums VS USD]]</f>
        <v>0</v>
      </c>
      <c r="AM1210" s="204">
        <f>Delivery[[#This Row],[Valor Prêmio Nespresso BEN por Kg (em US$)]]*60</f>
        <v>0</v>
      </c>
      <c r="AN1210" s="204">
        <f>Delivery[[#This Row],[Valor Prêmio Nespresso BEN por saca (em US$)]]/1.3228/100</f>
        <v>0</v>
      </c>
      <c r="AO1210" s="204">
        <f>SUMIF(Allocation[Delivery ID],Delivery[[#This Row],[Delivery ID]],Allocation[Quantity allocated])*16*1.3228*Delivery[[#This Row],[Exchange rate VS USD]]/60</f>
        <v>18855.074864149334</v>
      </c>
      <c r="AP1210" s="204">
        <f>Delivery[[#This Row],[AAA Premium (total)]]</f>
        <v>19896.32</v>
      </c>
      <c r="AQ1210" s="204">
        <f>Delivery[[#This Row],[Valor pago pelo Cluster]]-Delivery[[#This Row],[Valor efetivamente pago pela Nespresso]]</f>
        <v>1041.245135850666</v>
      </c>
    </row>
    <row r="1211" spans="1:43" ht="15.75">
      <c r="A1211" s="174" t="s">
        <v>69</v>
      </c>
      <c r="B1211" s="232" t="s">
        <v>68</v>
      </c>
      <c r="C1211" s="157">
        <v>1</v>
      </c>
      <c r="D1211" s="157" t="s">
        <v>468</v>
      </c>
      <c r="E1211" s="177" t="s">
        <v>468</v>
      </c>
      <c r="F1211" s="233" t="s">
        <v>543</v>
      </c>
      <c r="G1211" s="234">
        <v>43451</v>
      </c>
      <c r="H1211" s="235" t="s">
        <v>2045</v>
      </c>
      <c r="I1211" s="236" t="s">
        <v>1798</v>
      </c>
      <c r="J1211" s="237">
        <v>31800</v>
      </c>
      <c r="K1211" s="175" t="s">
        <v>61</v>
      </c>
      <c r="L1211" s="175" t="s">
        <v>439</v>
      </c>
      <c r="M1211" s="175" t="s">
        <v>1343</v>
      </c>
      <c r="N1211" s="198"/>
      <c r="O1211" s="199"/>
      <c r="P1211" s="181">
        <v>0</v>
      </c>
      <c r="Q1211" s="177">
        <v>43431</v>
      </c>
      <c r="R1211" s="178">
        <v>436.04286000000002</v>
      </c>
      <c r="S1211" s="179">
        <v>233804.2</v>
      </c>
      <c r="T1211" s="182" t="s">
        <v>45</v>
      </c>
      <c r="U1211" s="183">
        <v>3.8862999999999999</v>
      </c>
      <c r="V1211" s="179">
        <v>20595.8</v>
      </c>
      <c r="W1211" s="179">
        <v>0</v>
      </c>
      <c r="X1211" s="196" t="s">
        <v>45</v>
      </c>
      <c r="Y1211" s="200">
        <v>3.8862999999999999</v>
      </c>
      <c r="Z1211" s="220"/>
      <c r="AA1211" s="201">
        <f>Delivery[[#This Row],[Quantity delivered]]*VLOOKUP(Delivery[[#This Row],[Unit]],References!$U:$X,4,FALSE)*VLOOKUP(CONCATENATE(Delivery[[#This Row],[Coffee specie]],Delivery[[#This Row],[Coffee state]]),References!$U:$X,4,FALSE)</f>
        <v>31800</v>
      </c>
      <c r="AB1211" s="202">
        <f>SUMIF(Allocation!C:C,Delivery[[#This Row],[Delivery ID]],Allocation!D:D)/Delivery[[#This Row],[Quantity delivered]]</f>
        <v>0.82188679245283014</v>
      </c>
      <c r="AC1211" s="203">
        <f>Delivery[[#This Row],[Quantity delivered]]*Delivery[[#This Row],[Base price (Unidad)]]/60</f>
        <v>231102.71580000001</v>
      </c>
      <c r="AD1211" s="204">
        <f>Delivery[[#This Row],[Nespresso total]]-Delivery[[#This Row],[Qt. Delivery * Base Price]]</f>
        <v>2701.4842000000062</v>
      </c>
      <c r="AE1211" s="204">
        <f>Delivery[[#This Row],[AAA Premium (total)]]/Delivery[[#This Row],[Quantity delivered]]*60/Delivery[[#This Row],[Exchange rate VS USD]]</f>
        <v>9.9992280575354453</v>
      </c>
      <c r="AF1211" s="204">
        <f>Delivery[[#This Row],[BEN premium (total)]]/Delivery[[#This Row],[Quantity delivered]]*60/Delivery[[#This Row],[Exchange rate for premiums VS USD]]</f>
        <v>0</v>
      </c>
      <c r="AG1211" s="204">
        <f>COUNTIF(Delivery[Delivery ID],Delivery[[#This Row],[Delivery ID]])</f>
        <v>1</v>
      </c>
      <c r="AH1211" s="204">
        <f>(Delivery[[#This Row],[Nespresso total]]/SUMIF(Allocation!C:C,Delivery[Delivery ID],Allocation!H:H))/Delivery[[#This Row],[Exchange rate VS USD]]</f>
        <v>4.3431367400929917</v>
      </c>
      <c r="AI1211" s="204">
        <f>(Delivery[[#This Row],[AAA Premium (total)]]/SUMIF(Allocation!C:C,Delivery[Delivery ID],Allocation!H:H))/Delivery[[#This Row],[Exchange rate VS USD]]</f>
        <v>0.38258669293197989</v>
      </c>
      <c r="AJ1211" s="204">
        <f>Delivery[[#This Row],[Valor Prêmio Nespresso AAA por Kg (em US$)]]*60</f>
        <v>22.955201575918792</v>
      </c>
      <c r="AK1211" s="204">
        <f>Delivery[[#This Row],[Valor Prêmio Nespresso AAA por saca (em US$)]]/1.3228/100</f>
        <v>0.17353493782823398</v>
      </c>
      <c r="AL1211" s="204">
        <f>(Delivery[[#This Row],[BEN premium (total)]]/SUMIF(Allocation!C:C,Delivery[Delivery ID],Allocation!H:H))/Delivery[[#This Row],[Exchange rate for premiums VS USD]]</f>
        <v>0</v>
      </c>
      <c r="AM1211" s="204">
        <f>Delivery[[#This Row],[Valor Prêmio Nespresso BEN por Kg (em US$)]]*60</f>
        <v>0</v>
      </c>
      <c r="AN1211" s="204">
        <f>Delivery[[#This Row],[Valor Prêmio Nespresso BEN por saca (em US$)]]/1.3228/100</f>
        <v>0</v>
      </c>
      <c r="AO1211" s="204">
        <f>SUMIF(Allocation[Delivery ID],Delivery[[#This Row],[Delivery ID]],Allocation[Quantity allocated])*16*1.3228*Delivery[[#This Row],[Exchange rate VS USD]]/60</f>
        <v>18989.421042474667</v>
      </c>
      <c r="AP1211" s="204">
        <f>Delivery[[#This Row],[AAA Premium (total)]]</f>
        <v>20595.8</v>
      </c>
      <c r="AQ1211" s="204">
        <f>Delivery[[#This Row],[Valor pago pelo Cluster]]-Delivery[[#This Row],[Valor efetivamente pago pela Nespresso]]</f>
        <v>1606.3789575253322</v>
      </c>
    </row>
    <row r="1212" spans="1:43" ht="15.75">
      <c r="A1212" s="174" t="s">
        <v>69</v>
      </c>
      <c r="B1212" s="232" t="s">
        <v>68</v>
      </c>
      <c r="C1212" s="157">
        <v>1</v>
      </c>
      <c r="D1212" s="157" t="s">
        <v>468</v>
      </c>
      <c r="E1212" s="177" t="s">
        <v>468</v>
      </c>
      <c r="F1212" s="233" t="s">
        <v>543</v>
      </c>
      <c r="G1212" s="234">
        <v>43446</v>
      </c>
      <c r="H1212" s="157" t="s">
        <v>1830</v>
      </c>
      <c r="I1212" s="236" t="s">
        <v>940</v>
      </c>
      <c r="J1212" s="237">
        <v>16310</v>
      </c>
      <c r="K1212" s="175" t="s">
        <v>61</v>
      </c>
      <c r="L1212" s="175" t="s">
        <v>439</v>
      </c>
      <c r="M1212" s="175" t="s">
        <v>1343</v>
      </c>
      <c r="N1212" s="198"/>
      <c r="O1212" s="199"/>
      <c r="P1212" s="181">
        <v>0</v>
      </c>
      <c r="Q1212" s="177">
        <v>43441</v>
      </c>
      <c r="R1212" s="178">
        <v>416.82731999999999</v>
      </c>
      <c r="S1212" s="179">
        <v>118429.34</v>
      </c>
      <c r="T1212" s="182" t="s">
        <v>45</v>
      </c>
      <c r="U1212" s="183">
        <v>3.9102000000000001</v>
      </c>
      <c r="V1212" s="179">
        <v>7338.56</v>
      </c>
      <c r="W1212" s="179">
        <v>0</v>
      </c>
      <c r="X1212" s="196" t="s">
        <v>45</v>
      </c>
      <c r="Y1212" s="200">
        <v>3.9102000000000001</v>
      </c>
      <c r="Z1212" s="220"/>
      <c r="AA1212" s="201">
        <f>Delivery[[#This Row],[Quantity delivered]]*VLOOKUP(Delivery[[#This Row],[Unit]],References!$U:$X,4,FALSE)*VLOOKUP(CONCATENATE(Delivery[[#This Row],[Coffee specie]],Delivery[[#This Row],[Coffee state]]),References!$U:$X,4,FALSE)</f>
        <v>16310</v>
      </c>
      <c r="AB1212" s="202">
        <f>SUMIF(Allocation!C:C,Delivery[[#This Row],[Delivery ID]],Allocation!D:D)/Delivery[[#This Row],[Quantity delivered]]</f>
        <v>0.64064990803188226</v>
      </c>
      <c r="AC1212" s="203">
        <f>Delivery[[#This Row],[Quantity delivered]]*Delivery[[#This Row],[Base price (Unidad)]]/60</f>
        <v>113307.55981999999</v>
      </c>
      <c r="AD1212" s="204">
        <f>Delivery[[#This Row],[Nespresso total]]-Delivery[[#This Row],[Qt. Delivery * Base Price]]</f>
        <v>5121.7801800000016</v>
      </c>
      <c r="AE1212" s="204">
        <f>Delivery[[#This Row],[AAA Premium (total)]]/Delivery[[#This Row],[Quantity delivered]]*60/Delivery[[#This Row],[Exchange rate VS USD]]</f>
        <v>6.9041332921011103</v>
      </c>
      <c r="AF1212" s="204">
        <f>Delivery[[#This Row],[BEN premium (total)]]/Delivery[[#This Row],[Quantity delivered]]*60/Delivery[[#This Row],[Exchange rate for premiums VS USD]]</f>
        <v>0</v>
      </c>
      <c r="AG1212" s="204">
        <f>COUNTIF(Delivery[Delivery ID],Delivery[[#This Row],[Delivery ID]])</f>
        <v>1</v>
      </c>
      <c r="AH1212" s="204">
        <f>(Delivery[[#This Row],[Nespresso total]]/SUMIF(Allocation!C:C,Delivery[Delivery ID],Allocation!H:H))/Delivery[[#This Row],[Exchange rate VS USD]]</f>
        <v>8.7840152372028122</v>
      </c>
      <c r="AI1212" s="204">
        <f>(Delivery[[#This Row],[AAA Premium (total)]]/SUMIF(Allocation!C:C,Delivery[Delivery ID],Allocation!H:H))/Delivery[[#This Row],[Exchange rate VS USD]]</f>
        <v>0.54430787893546539</v>
      </c>
      <c r="AJ1212" s="204">
        <f>Delivery[[#This Row],[Valor Prêmio Nespresso AAA por Kg (em US$)]]*60</f>
        <v>32.658472736127926</v>
      </c>
      <c r="AK1212" s="204">
        <f>Delivery[[#This Row],[Valor Prêmio Nespresso AAA por saca (em US$)]]/1.3228/100</f>
        <v>0.24688896837109109</v>
      </c>
      <c r="AL1212" s="204">
        <f>(Delivery[[#This Row],[BEN premium (total)]]/SUMIF(Allocation!C:C,Delivery[Delivery ID],Allocation!H:H))/Delivery[[#This Row],[Exchange rate for premiums VS USD]]</f>
        <v>0</v>
      </c>
      <c r="AM1212" s="204">
        <f>Delivery[[#This Row],[Valor Prêmio Nespresso BEN por Kg (em US$)]]*60</f>
        <v>0</v>
      </c>
      <c r="AN1212" s="204">
        <f>Delivery[[#This Row],[Valor Prêmio Nespresso BEN por saca (em US$)]]/1.3228/100</f>
        <v>0</v>
      </c>
      <c r="AO1212" s="204">
        <f>SUMIF(Allocation[Delivery ID],Delivery[[#This Row],[Delivery ID]],Allocation[Quantity allocated])*16*1.3228*Delivery[[#This Row],[Exchange rate VS USD]]/60</f>
        <v>4755.8609351680007</v>
      </c>
      <c r="AP1212" s="204">
        <f>Delivery[[#This Row],[AAA Premium (total)]]</f>
        <v>7338.56</v>
      </c>
      <c r="AQ1212" s="204">
        <f>Delivery[[#This Row],[Valor pago pelo Cluster]]-Delivery[[#This Row],[Valor efetivamente pago pela Nespresso]]</f>
        <v>2582.6990648319997</v>
      </c>
    </row>
    <row r="1213" spans="1:43" ht="15.75">
      <c r="A1213" s="174" t="s">
        <v>69</v>
      </c>
      <c r="B1213" s="232" t="s">
        <v>68</v>
      </c>
      <c r="C1213" s="157">
        <v>1</v>
      </c>
      <c r="D1213" s="157" t="s">
        <v>468</v>
      </c>
      <c r="E1213" s="177" t="s">
        <v>468</v>
      </c>
      <c r="F1213" s="233" t="s">
        <v>543</v>
      </c>
      <c r="G1213" s="234">
        <v>43454</v>
      </c>
      <c r="H1213" s="157" t="s">
        <v>1831</v>
      </c>
      <c r="I1213" s="236" t="s">
        <v>1075</v>
      </c>
      <c r="J1213" s="237">
        <v>4701</v>
      </c>
      <c r="K1213" s="175" t="s">
        <v>61</v>
      </c>
      <c r="L1213" s="175" t="s">
        <v>439</v>
      </c>
      <c r="M1213" s="175" t="s">
        <v>1343</v>
      </c>
      <c r="N1213" s="198"/>
      <c r="O1213" s="199"/>
      <c r="P1213" s="181">
        <v>0</v>
      </c>
      <c r="Q1213" s="177">
        <v>43447</v>
      </c>
      <c r="R1213" s="178">
        <v>402.39747999999997</v>
      </c>
      <c r="S1213" s="179">
        <v>32591.52</v>
      </c>
      <c r="T1213" s="182" t="s">
        <v>45</v>
      </c>
      <c r="U1213" s="183">
        <v>3.8803999999999998</v>
      </c>
      <c r="V1213" s="179">
        <v>2118.48</v>
      </c>
      <c r="W1213" s="179">
        <v>0</v>
      </c>
      <c r="X1213" s="196" t="s">
        <v>45</v>
      </c>
      <c r="Y1213" s="200">
        <v>3.8803999999999998</v>
      </c>
      <c r="Z1213" s="220"/>
      <c r="AA1213" s="201">
        <f>Delivery[[#This Row],[Quantity delivered]]*VLOOKUP(Delivery[[#This Row],[Unit]],References!$U:$X,4,FALSE)*VLOOKUP(CONCATENATE(Delivery[[#This Row],[Coffee specie]],Delivery[[#This Row],[Coffee state]]),References!$U:$X,4,FALSE)</f>
        <v>4701</v>
      </c>
      <c r="AB1213" s="202">
        <f>SUMIF(Allocation!C:C,Delivery[[#This Row],[Delivery ID]],Allocation!D:D)/Delivery[[#This Row],[Quantity delivered]]</f>
        <v>1</v>
      </c>
      <c r="AC1213" s="203">
        <f>Delivery[[#This Row],[Quantity delivered]]*Delivery[[#This Row],[Base price (Unidad)]]/60</f>
        <v>31527.842557999997</v>
      </c>
      <c r="AD1213" s="204">
        <f>Delivery[[#This Row],[Nespresso total]]-Delivery[[#This Row],[Qt. Delivery * Base Price]]</f>
        <v>1063.6774420000038</v>
      </c>
      <c r="AE1213" s="204">
        <f>Delivery[[#This Row],[AAA Premium (total)]]/Delivery[[#This Row],[Quantity delivered]]*60/Delivery[[#This Row],[Exchange rate VS USD]]</f>
        <v>6.9680117057123505</v>
      </c>
      <c r="AF1213" s="204">
        <f>Delivery[[#This Row],[BEN premium (total)]]/Delivery[[#This Row],[Quantity delivered]]*60/Delivery[[#This Row],[Exchange rate for premiums VS USD]]</f>
        <v>0</v>
      </c>
      <c r="AG1213" s="204">
        <f>COUNTIF(Delivery[Delivery ID],Delivery[[#This Row],[Delivery ID]])</f>
        <v>1</v>
      </c>
      <c r="AH1213" s="204">
        <f>(Delivery[[#This Row],[Nespresso total]]/SUMIF(Allocation!C:C,Delivery[Delivery ID],Allocation!H:H))/Delivery[[#This Row],[Exchange rate VS USD]]</f>
        <v>5.105781405044258</v>
      </c>
      <c r="AI1213" s="204">
        <f>(Delivery[[#This Row],[AAA Premium (total)]]/SUMIF(Allocation!C:C,Delivery[Delivery ID],Allocation!H:H))/Delivery[[#This Row],[Exchange rate VS USD]]</f>
        <v>0.33188067911401986</v>
      </c>
      <c r="AJ1213" s="204">
        <f>Delivery[[#This Row],[Valor Prêmio Nespresso AAA por Kg (em US$)]]*60</f>
        <v>19.912840746841191</v>
      </c>
      <c r="AK1213" s="204">
        <f>Delivery[[#This Row],[Valor Prêmio Nespresso AAA por saca (em US$)]]/1.3228/100</f>
        <v>0.15053553633838215</v>
      </c>
      <c r="AL1213" s="204">
        <f>(Delivery[[#This Row],[BEN premium (total)]]/SUMIF(Allocation!C:C,Delivery[Delivery ID],Allocation!H:H))/Delivery[[#This Row],[Exchange rate for premiums VS USD]]</f>
        <v>0</v>
      </c>
      <c r="AM1213" s="204">
        <f>Delivery[[#This Row],[Valor Prêmio Nespresso BEN por Kg (em US$)]]*60</f>
        <v>0</v>
      </c>
      <c r="AN1213" s="204">
        <f>Delivery[[#This Row],[Valor Prêmio Nespresso BEN por saca (em US$)]]/1.3228/100</f>
        <v>0</v>
      </c>
      <c r="AO1213" s="204">
        <f>SUMIF(Allocation[Delivery ID],Delivery[[#This Row],[Delivery ID]],Allocation[Quantity allocated])*16*1.3228*Delivery[[#This Row],[Exchange rate VS USD]]/60</f>
        <v>2251.6729819733328</v>
      </c>
      <c r="AP1213" s="204">
        <f>Delivery[[#This Row],[AAA Premium (total)]]</f>
        <v>2118.48</v>
      </c>
      <c r="AQ1213" s="204">
        <f>Delivery[[#This Row],[Valor pago pelo Cluster]]-Delivery[[#This Row],[Valor efetivamente pago pela Nespresso]]</f>
        <v>-133.19298197333273</v>
      </c>
    </row>
    <row r="1214" spans="1:43" ht="15.75">
      <c r="A1214" s="174" t="s">
        <v>69</v>
      </c>
      <c r="B1214" s="232" t="s">
        <v>68</v>
      </c>
      <c r="C1214" s="157" t="s">
        <v>1344</v>
      </c>
      <c r="D1214" s="157" t="s">
        <v>468</v>
      </c>
      <c r="E1214" s="177" t="s">
        <v>468</v>
      </c>
      <c r="F1214" s="233" t="s">
        <v>543</v>
      </c>
      <c r="G1214" s="234">
        <v>43455</v>
      </c>
      <c r="H1214" s="235" t="s">
        <v>1832</v>
      </c>
      <c r="I1214" s="157" t="s">
        <v>1833</v>
      </c>
      <c r="J1214" s="237">
        <v>11960</v>
      </c>
      <c r="K1214" s="175" t="s">
        <v>61</v>
      </c>
      <c r="L1214" s="175" t="s">
        <v>439</v>
      </c>
      <c r="M1214" s="175" t="s">
        <v>1343</v>
      </c>
      <c r="N1214" s="198"/>
      <c r="O1214" s="199"/>
      <c r="P1214" s="181">
        <v>0</v>
      </c>
      <c r="Q1214" s="177">
        <v>43452</v>
      </c>
      <c r="R1214" s="178">
        <v>389.19533000000001</v>
      </c>
      <c r="S1214" s="179">
        <v>80659.199999999997</v>
      </c>
      <c r="T1214" s="182" t="s">
        <v>45</v>
      </c>
      <c r="U1214" s="183">
        <v>3.8978000000000002</v>
      </c>
      <c r="V1214" s="179">
        <v>7796</v>
      </c>
      <c r="W1214" s="179">
        <v>0</v>
      </c>
      <c r="X1214" s="196" t="s">
        <v>45</v>
      </c>
      <c r="Y1214" s="200">
        <v>3.8978000000000002</v>
      </c>
      <c r="Z1214" s="221"/>
      <c r="AA1214" s="201">
        <f>Delivery[[#This Row],[Quantity delivered]]*VLOOKUP(Delivery[[#This Row],[Unit]],References!$U:$X,4,FALSE)*VLOOKUP(CONCATENATE(Delivery[[#This Row],[Coffee specie]],Delivery[[#This Row],[Coffee state]]),References!$U:$X,4,FALSE)</f>
        <v>11960</v>
      </c>
      <c r="AB1214" s="202">
        <f>SUMIF(Allocation!C:C,Delivery[[#This Row],[Delivery ID]],Allocation!D:D)/Delivery[[#This Row],[Quantity delivered]]</f>
        <v>0.68219063545150505</v>
      </c>
      <c r="AC1214" s="203">
        <f>Delivery[[#This Row],[Quantity delivered]]*Delivery[[#This Row],[Base price (Unidad)]]/60</f>
        <v>77579.602446666671</v>
      </c>
      <c r="AD1214" s="204">
        <f>Delivery[[#This Row],[Nespresso total]]-Delivery[[#This Row],[Qt. Delivery * Base Price]]</f>
        <v>3079.5975533333258</v>
      </c>
      <c r="AE1214" s="204">
        <f>Delivery[[#This Row],[AAA Premium (total)]]/Delivery[[#This Row],[Quantity delivered]]*60/Delivery[[#This Row],[Exchange rate VS USD]]</f>
        <v>10.033959642099797</v>
      </c>
      <c r="AF1214" s="204">
        <f>Delivery[[#This Row],[BEN premium (total)]]/Delivery[[#This Row],[Quantity delivered]]*60/Delivery[[#This Row],[Exchange rate for premiums VS USD]]</f>
        <v>0</v>
      </c>
      <c r="AG1214" s="204">
        <f>COUNTIF(Delivery[Delivery ID],Delivery[[#This Row],[Delivery ID]])</f>
        <v>1</v>
      </c>
      <c r="AH1214" s="204">
        <f>(Delivery[[#This Row],[Nespresso total]]/SUMIF(Allocation!C:C,Delivery[Delivery ID],Allocation!H:H))/Delivery[[#This Row],[Exchange rate VS USD]]</f>
        <v>6.3418692679166302</v>
      </c>
      <c r="AI1214" s="204">
        <f>(Delivery[[#This Row],[AAA Premium (total)]]/SUMIF(Allocation!C:C,Delivery[Delivery ID],Allocation!H:H))/Delivery[[#This Row],[Exchange rate VS USD]]</f>
        <v>0.61296433404593709</v>
      </c>
      <c r="AJ1214" s="204">
        <f>Delivery[[#This Row],[Valor Prêmio Nespresso AAA por Kg (em US$)]]*60</f>
        <v>36.777860042756224</v>
      </c>
      <c r="AK1214" s="204">
        <f>Delivery[[#This Row],[Valor Prêmio Nespresso AAA por saca (em US$)]]/1.3228/100</f>
        <v>0.27803039040487015</v>
      </c>
      <c r="AL1214" s="204">
        <f>(Delivery[[#This Row],[BEN premium (total)]]/SUMIF(Allocation!C:C,Delivery[Delivery ID],Allocation!H:H))/Delivery[[#This Row],[Exchange rate for premiums VS USD]]</f>
        <v>0</v>
      </c>
      <c r="AM1214" s="204">
        <f>Delivery[[#This Row],[Valor Prêmio Nespresso BEN por Kg (em US$)]]*60</f>
        <v>0</v>
      </c>
      <c r="AN1214" s="204">
        <f>Delivery[[#This Row],[Valor Prêmio Nespresso BEN por saca (em US$)]]/1.3228/100</f>
        <v>0</v>
      </c>
      <c r="AO1214" s="204">
        <f>SUMIF(Allocation[Delivery ID],Delivery[[#This Row],[Delivery ID]],Allocation[Quantity allocated])*16*1.3228*Delivery[[#This Row],[Exchange rate VS USD]]/60</f>
        <v>4486.4160287786672</v>
      </c>
      <c r="AP1214" s="204">
        <f>Delivery[[#This Row],[AAA Premium (total)]]</f>
        <v>7796</v>
      </c>
      <c r="AQ1214" s="204">
        <f>Delivery[[#This Row],[Valor pago pelo Cluster]]-Delivery[[#This Row],[Valor efetivamente pago pela Nespresso]]</f>
        <v>3309.5839712213328</v>
      </c>
    </row>
    <row r="1215" spans="1:43" ht="15.75">
      <c r="A1215" s="174" t="s">
        <v>69</v>
      </c>
      <c r="B1215" s="232" t="s">
        <v>68</v>
      </c>
      <c r="C1215" s="157" t="s">
        <v>1344</v>
      </c>
      <c r="D1215" s="157" t="s">
        <v>468</v>
      </c>
      <c r="E1215" s="177" t="s">
        <v>468</v>
      </c>
      <c r="F1215" s="233" t="s">
        <v>543</v>
      </c>
      <c r="G1215" s="234">
        <v>43467</v>
      </c>
      <c r="H1215" s="235" t="s">
        <v>1834</v>
      </c>
      <c r="I1215" s="157" t="s">
        <v>974</v>
      </c>
      <c r="J1215" s="237">
        <v>4200</v>
      </c>
      <c r="K1215" s="175" t="s">
        <v>61</v>
      </c>
      <c r="L1215" s="175" t="s">
        <v>439</v>
      </c>
      <c r="M1215" s="175" t="s">
        <v>1343</v>
      </c>
      <c r="N1215" s="198"/>
      <c r="O1215" s="199"/>
      <c r="P1215" s="181">
        <v>0</v>
      </c>
      <c r="Q1215" s="177">
        <v>43460</v>
      </c>
      <c r="R1215" s="178">
        <v>401.80736000000002</v>
      </c>
      <c r="S1215" s="179">
        <v>27827.1</v>
      </c>
      <c r="T1215" s="182" t="s">
        <v>45</v>
      </c>
      <c r="U1215" s="183">
        <v>3.9239000000000002</v>
      </c>
      <c r="V1215" s="179">
        <v>1922.8999999999999</v>
      </c>
      <c r="W1215" s="179">
        <v>0</v>
      </c>
      <c r="X1215" s="196" t="s">
        <v>45</v>
      </c>
      <c r="Y1215" s="200">
        <v>3.9239000000000002</v>
      </c>
      <c r="Z1215" s="221"/>
      <c r="AA1215" s="201">
        <f>Delivery[[#This Row],[Quantity delivered]]*VLOOKUP(Delivery[[#This Row],[Unit]],References!$U:$X,4,FALSE)*VLOOKUP(CONCATENATE(Delivery[[#This Row],[Coffee specie]],Delivery[[#This Row],[Coffee state]]),References!$U:$X,4,FALSE)</f>
        <v>4200</v>
      </c>
      <c r="AB1215" s="202">
        <f>SUMIF(Allocation!C:C,Delivery[[#This Row],[Delivery ID]],Allocation!D:D)/Delivery[[#This Row],[Quantity delivered]]</f>
        <v>0.29976190476190478</v>
      </c>
      <c r="AC1215" s="203">
        <f>Delivery[[#This Row],[Quantity delivered]]*Delivery[[#This Row],[Base price (Unidad)]]/60</f>
        <v>28126.515200000002</v>
      </c>
      <c r="AD1215" s="204">
        <f>Delivery[[#This Row],[Nespresso total]]-Delivery[[#This Row],[Qt. Delivery * Base Price]]</f>
        <v>-299.4152000000031</v>
      </c>
      <c r="AE1215" s="204">
        <f>Delivery[[#This Row],[AAA Premium (total)]]/Delivery[[#This Row],[Quantity delivered]]*60/Delivery[[#This Row],[Exchange rate VS USD]]</f>
        <v>7.0006880909299412</v>
      </c>
      <c r="AF1215" s="204">
        <f>Delivery[[#This Row],[BEN premium (total)]]/Delivery[[#This Row],[Quantity delivered]]*60/Delivery[[#This Row],[Exchange rate for premiums VS USD]]</f>
        <v>0</v>
      </c>
      <c r="AG1215" s="204">
        <f>COUNTIF(Delivery[Delivery ID],Delivery[[#This Row],[Delivery ID]])</f>
        <v>1</v>
      </c>
      <c r="AH1215" s="204">
        <f>(Delivery[[#This Row],[Nespresso total]]/SUMIF(Allocation!C:C,Delivery[Delivery ID],Allocation!H:H))/Delivery[[#This Row],[Exchange rate VS USD]]</f>
        <v>16.569379643988562</v>
      </c>
      <c r="AI1215" s="204">
        <f>(Delivery[[#This Row],[AAA Premium (total)]]/SUMIF(Allocation!C:C,Delivery[Delivery ID],Allocation!H:H))/Delivery[[#This Row],[Exchange rate VS USD]]</f>
        <v>1.1449723513203176</v>
      </c>
      <c r="AJ1215" s="204">
        <f>Delivery[[#This Row],[Valor Prêmio Nespresso AAA por Kg (em US$)]]*60</f>
        <v>68.698341079219063</v>
      </c>
      <c r="AK1215" s="204">
        <f>Delivery[[#This Row],[Valor Prêmio Nespresso AAA por saca (em US$)]]/1.3228/100</f>
        <v>0.51934034683413266</v>
      </c>
      <c r="AL1215" s="204">
        <f>(Delivery[[#This Row],[BEN premium (total)]]/SUMIF(Allocation!C:C,Delivery[Delivery ID],Allocation!H:H))/Delivery[[#This Row],[Exchange rate for premiums VS USD]]</f>
        <v>0</v>
      </c>
      <c r="AM1215" s="204">
        <f>Delivery[[#This Row],[Valor Prêmio Nespresso BEN por Kg (em US$)]]*60</f>
        <v>0</v>
      </c>
      <c r="AN1215" s="204">
        <f>Delivery[[#This Row],[Valor Prêmio Nespresso BEN por saca (em US$)]]/1.3228/100</f>
        <v>0</v>
      </c>
      <c r="AO1215" s="204">
        <f>SUMIF(Allocation[Delivery ID],Delivery[[#This Row],[Delivery ID]],Allocation[Quantity allocated])*16*1.3228*Delivery[[#This Row],[Exchange rate VS USD]]/60</f>
        <v>592.41305220266668</v>
      </c>
      <c r="AP1215" s="204">
        <f>Delivery[[#This Row],[AAA Premium (total)]]</f>
        <v>1922.8999999999999</v>
      </c>
      <c r="AQ1215" s="204">
        <f>Delivery[[#This Row],[Valor pago pelo Cluster]]-Delivery[[#This Row],[Valor efetivamente pago pela Nespresso]]</f>
        <v>1330.4869477973332</v>
      </c>
    </row>
    <row r="1216" spans="1:43" ht="15.75">
      <c r="A1216" s="174" t="s">
        <v>69</v>
      </c>
      <c r="B1216" s="232" t="s">
        <v>68</v>
      </c>
      <c r="C1216" s="157" t="s">
        <v>1344</v>
      </c>
      <c r="D1216" s="157" t="s">
        <v>468</v>
      </c>
      <c r="E1216" s="177" t="s">
        <v>468</v>
      </c>
      <c r="F1216" s="233" t="s">
        <v>543</v>
      </c>
      <c r="G1216" s="234">
        <v>43467</v>
      </c>
      <c r="H1216" s="235" t="s">
        <v>1835</v>
      </c>
      <c r="I1216" s="157" t="s">
        <v>1612</v>
      </c>
      <c r="J1216" s="237">
        <v>6000</v>
      </c>
      <c r="K1216" s="175" t="s">
        <v>61</v>
      </c>
      <c r="L1216" s="175" t="s">
        <v>439</v>
      </c>
      <c r="M1216" s="175" t="s">
        <v>1343</v>
      </c>
      <c r="N1216" s="198"/>
      <c r="O1216" s="199"/>
      <c r="P1216" s="181">
        <v>0</v>
      </c>
      <c r="Q1216" s="177">
        <v>43460</v>
      </c>
      <c r="R1216" s="178">
        <v>401.80736000000002</v>
      </c>
      <c r="S1216" s="179">
        <v>39753</v>
      </c>
      <c r="T1216" s="182" t="s">
        <v>45</v>
      </c>
      <c r="U1216" s="183">
        <v>3.9239000000000002</v>
      </c>
      <c r="V1216" s="179">
        <v>2747</v>
      </c>
      <c r="W1216" s="179">
        <v>0</v>
      </c>
      <c r="X1216" s="196" t="s">
        <v>45</v>
      </c>
      <c r="Y1216" s="200">
        <v>3.9239000000000002</v>
      </c>
      <c r="Z1216" s="221"/>
      <c r="AA1216" s="201">
        <f>Delivery[[#This Row],[Quantity delivered]]*VLOOKUP(Delivery[[#This Row],[Unit]],References!$U:$X,4,FALSE)*VLOOKUP(CONCATENATE(Delivery[[#This Row],[Coffee specie]],Delivery[[#This Row],[Coffee state]]),References!$U:$X,4,FALSE)</f>
        <v>6000</v>
      </c>
      <c r="AB1216" s="202">
        <f>SUMIF(Allocation!C:C,Delivery[[#This Row],[Delivery ID]],Allocation!D:D)/Delivery[[#This Row],[Quantity delivered]]</f>
        <v>1</v>
      </c>
      <c r="AC1216" s="203">
        <f>Delivery[[#This Row],[Quantity delivered]]*Delivery[[#This Row],[Base price (Unidad)]]/60</f>
        <v>40180.736000000004</v>
      </c>
      <c r="AD1216" s="204">
        <f>Delivery[[#This Row],[Nespresso total]]-Delivery[[#This Row],[Qt. Delivery * Base Price]]</f>
        <v>-427.73600000000442</v>
      </c>
      <c r="AE1216" s="204">
        <f>Delivery[[#This Row],[AAA Premium (total)]]/Delivery[[#This Row],[Quantity delivered]]*60/Delivery[[#This Row],[Exchange rate VS USD]]</f>
        <v>7.0006880909299412</v>
      </c>
      <c r="AF1216" s="204">
        <f>Delivery[[#This Row],[BEN premium (total)]]/Delivery[[#This Row],[Quantity delivered]]*60/Delivery[[#This Row],[Exchange rate for premiums VS USD]]</f>
        <v>0</v>
      </c>
      <c r="AG1216" s="204">
        <f>COUNTIF(Delivery[Delivery ID],Delivery[[#This Row],[Delivery ID]])</f>
        <v>1</v>
      </c>
      <c r="AH1216" s="204">
        <f>(Delivery[[#This Row],[Nespresso total]]/SUMIF(Allocation!C:C,Delivery[Delivery ID],Allocation!H:H))/Delivery[[#This Row],[Exchange rate VS USD]]</f>
        <v>4.9661726103831274</v>
      </c>
      <c r="AI1216" s="204">
        <f>(Delivery[[#This Row],[AAA Premium (total)]]/SUMIF(Allocation!C:C,Delivery[Delivery ID],Allocation!H:H))/Delivery[[#This Row],[Exchange rate VS USD]]</f>
        <v>0.34317098484950698</v>
      </c>
      <c r="AJ1216" s="204">
        <f>Delivery[[#This Row],[Valor Prêmio Nespresso AAA por Kg (em US$)]]*60</f>
        <v>20.59025909097042</v>
      </c>
      <c r="AK1216" s="204">
        <f>Delivery[[#This Row],[Valor Prêmio Nespresso AAA por saca (em US$)]]/1.3228/100</f>
        <v>0.15565663056373163</v>
      </c>
      <c r="AL1216" s="204">
        <f>(Delivery[[#This Row],[BEN premium (total)]]/SUMIF(Allocation!C:C,Delivery[Delivery ID],Allocation!H:H))/Delivery[[#This Row],[Exchange rate for premiums VS USD]]</f>
        <v>0</v>
      </c>
      <c r="AM1216" s="204">
        <f>Delivery[[#This Row],[Valor Prêmio Nespresso BEN por Kg (em US$)]]*60</f>
        <v>0</v>
      </c>
      <c r="AN1216" s="204">
        <f>Delivery[[#This Row],[Valor Prêmio Nespresso BEN por saca (em US$)]]/1.3228/100</f>
        <v>0</v>
      </c>
      <c r="AO1216" s="204">
        <f>SUMIF(Allocation[Delivery ID],Delivery[[#This Row],[Delivery ID]],Allocation[Quantity allocated])*16*1.3228*Delivery[[#This Row],[Exchange rate VS USD]]/60</f>
        <v>2823.6509964800002</v>
      </c>
      <c r="AP1216" s="204">
        <f>Delivery[[#This Row],[AAA Premium (total)]]</f>
        <v>2747</v>
      </c>
      <c r="AQ1216" s="204">
        <f>Delivery[[#This Row],[Valor pago pelo Cluster]]-Delivery[[#This Row],[Valor efetivamente pago pela Nespresso]]</f>
        <v>-76.650996480000231</v>
      </c>
    </row>
    <row r="1217" spans="1:43" ht="15.75">
      <c r="A1217" s="174" t="s">
        <v>69</v>
      </c>
      <c r="B1217" s="232" t="s">
        <v>68</v>
      </c>
      <c r="C1217" s="157">
        <v>1</v>
      </c>
      <c r="D1217" s="157" t="s">
        <v>468</v>
      </c>
      <c r="E1217" s="177" t="s">
        <v>468</v>
      </c>
      <c r="F1217" s="240" t="s">
        <v>543</v>
      </c>
      <c r="G1217" s="234">
        <v>43476</v>
      </c>
      <c r="H1217" s="157" t="s">
        <v>2181</v>
      </c>
      <c r="I1217" s="236" t="s">
        <v>511</v>
      </c>
      <c r="J1217" s="237">
        <v>30990</v>
      </c>
      <c r="K1217" s="175" t="s">
        <v>61</v>
      </c>
      <c r="L1217" s="175" t="s">
        <v>439</v>
      </c>
      <c r="M1217" s="175" t="s">
        <v>1343</v>
      </c>
      <c r="N1217" s="198"/>
      <c r="O1217" s="199"/>
      <c r="P1217" s="181">
        <v>0</v>
      </c>
      <c r="Q1217" s="177">
        <v>43473</v>
      </c>
      <c r="R1217" s="178">
        <v>389.20130999999998</v>
      </c>
      <c r="S1217" s="179">
        <v>206890.23</v>
      </c>
      <c r="T1217" s="182" t="s">
        <v>45</v>
      </c>
      <c r="U1217" s="183">
        <v>3.7172999999999998</v>
      </c>
      <c r="V1217" s="179">
        <v>40435.08</v>
      </c>
      <c r="W1217" s="179">
        <v>12097.369443927448</v>
      </c>
      <c r="X1217" s="196" t="s">
        <v>45</v>
      </c>
      <c r="Y1217" s="200">
        <v>3.7172999999999998</v>
      </c>
      <c r="Z1217" s="220" t="s">
        <v>473</v>
      </c>
      <c r="AA1217" s="201">
        <f>Delivery[[#This Row],[Quantity delivered]]*VLOOKUP(Delivery[[#This Row],[Unit]],References!$U:$X,4,FALSE)*VLOOKUP(CONCATENATE(Delivery[[#This Row],[Coffee specie]],Delivery[[#This Row],[Coffee state]]),References!$U:$X,4,FALSE)</f>
        <v>30990</v>
      </c>
      <c r="AB1217" s="202">
        <f>SUMIF(Allocation!C:C,Delivery[[#This Row],[Delivery ID]],Allocation!D:D)/Delivery[[#This Row],[Quantity delivered]]</f>
        <v>0.96934494998386578</v>
      </c>
      <c r="AC1217" s="203">
        <f>Delivery[[#This Row],[Quantity delivered]]*Delivery[[#This Row],[Base price (Unidad)]]/60</f>
        <v>201022.47661499999</v>
      </c>
      <c r="AD1217" s="204">
        <f>Delivery[[#This Row],[Nespresso total]]-Delivery[[#This Row],[Qt. Delivery * Base Price]]</f>
        <v>5867.7533850000182</v>
      </c>
      <c r="AE1217" s="204">
        <f>Delivery[[#This Row],[AAA Premium (total)]]/Delivery[[#This Row],[Quantity delivered]]*60/Delivery[[#This Row],[Exchange rate VS USD]]</f>
        <v>21.06009709604831</v>
      </c>
      <c r="AF1217" s="204">
        <f>Delivery[[#This Row],[BEN premium (total)]]/Delivery[[#This Row],[Quantity delivered]]*60/Delivery[[#This Row],[Exchange rate for premiums VS USD]]</f>
        <v>6.3007609999999996</v>
      </c>
      <c r="AG1217" s="204">
        <f>COUNTIF(Delivery[Delivery ID],Delivery[[#This Row],[Delivery ID]])</f>
        <v>1</v>
      </c>
      <c r="AH1217" s="204">
        <f>(Delivery[[#This Row],[Nespresso total]]/SUMIF(Allocation!C:C,Delivery[Delivery ID],Allocation!H:H))/Delivery[[#This Row],[Exchange rate VS USD]]</f>
        <v>1.946015690386605</v>
      </c>
      <c r="AI1217" s="204">
        <f>(Delivery[[#This Row],[AAA Premium (total)]]/SUMIF(Allocation!C:C,Delivery[Delivery ID],Allocation!H:H))/Delivery[[#This Row],[Exchange rate VS USD]]</f>
        <v>0.38033357168213111</v>
      </c>
      <c r="AJ1217" s="204">
        <f>Delivery[[#This Row],[Valor Prêmio Nespresso AAA por Kg (em US$)]]*60</f>
        <v>22.820014300927866</v>
      </c>
      <c r="AK1217" s="204">
        <f>Delivery[[#This Row],[Valor Prêmio Nespresso AAA por saca (em US$)]]/1.3228/100</f>
        <v>0.17251295963809998</v>
      </c>
      <c r="AL1217" s="204">
        <f>(Delivery[[#This Row],[BEN premium (total)]]/SUMIF(Allocation!C:C,Delivery[Delivery ID],Allocation!H:H))/Delivery[[#This Row],[Exchange rate for premiums VS USD]]</f>
        <v>0.11378821875874123</v>
      </c>
      <c r="AM1217" s="204">
        <f>Delivery[[#This Row],[Valor Prêmio Nespresso BEN por Kg (em US$)]]*60</f>
        <v>6.8272931255244735</v>
      </c>
      <c r="AN1217" s="204">
        <f>Delivery[[#This Row],[Valor Prêmio Nespresso BEN por saca (em US$)]]/1.3228/100</f>
        <v>5.1612436691294776E-2</v>
      </c>
      <c r="AO1217" s="204">
        <f>SUMIF(Allocation[Delivery ID],Delivery[[#This Row],[Delivery ID]],Allocation[Quantity allocated])*16*1.3228*Delivery[[#This Row],[Exchange rate VS USD]]/60</f>
        <v>37502.184262399998</v>
      </c>
      <c r="AP1217" s="204">
        <f>Delivery[[#This Row],[AAA Premium (total)]]</f>
        <v>40435.08</v>
      </c>
      <c r="AQ1217" s="204">
        <f>Delivery[[#This Row],[Valor pago pelo Cluster]]-Delivery[[#This Row],[Valor efetivamente pago pela Nespresso]]</f>
        <v>2932.8957376000035</v>
      </c>
    </row>
    <row r="1218" spans="1:43" ht="15.75">
      <c r="A1218" s="174" t="s">
        <v>69</v>
      </c>
      <c r="B1218" s="232" t="s">
        <v>68</v>
      </c>
      <c r="C1218" s="157">
        <v>1</v>
      </c>
      <c r="D1218" s="157" t="s">
        <v>468</v>
      </c>
      <c r="E1218" s="177" t="s">
        <v>468</v>
      </c>
      <c r="F1218" s="233" t="s">
        <v>543</v>
      </c>
      <c r="G1218" s="234">
        <v>43480</v>
      </c>
      <c r="H1218" s="157" t="s">
        <v>1836</v>
      </c>
      <c r="I1218" s="236" t="s">
        <v>935</v>
      </c>
      <c r="J1218" s="237">
        <v>24261</v>
      </c>
      <c r="K1218" s="175" t="s">
        <v>61</v>
      </c>
      <c r="L1218" s="175" t="s">
        <v>439</v>
      </c>
      <c r="M1218" s="175" t="s">
        <v>1343</v>
      </c>
      <c r="N1218" s="198"/>
      <c r="O1218" s="199"/>
      <c r="P1218" s="181">
        <v>0</v>
      </c>
      <c r="Q1218" s="177">
        <v>43473</v>
      </c>
      <c r="R1218" s="178">
        <v>391.93892</v>
      </c>
      <c r="S1218" s="179">
        <v>162446.39999999999</v>
      </c>
      <c r="T1218" s="182" t="s">
        <v>45</v>
      </c>
      <c r="U1218" s="183">
        <v>3.7292000000000001</v>
      </c>
      <c r="V1218" s="179">
        <v>10477.84</v>
      </c>
      <c r="W1218" s="179">
        <v>0</v>
      </c>
      <c r="X1218" s="196" t="s">
        <v>45</v>
      </c>
      <c r="Y1218" s="200">
        <v>3.7292000000000001</v>
      </c>
      <c r="Z1218" s="220"/>
      <c r="AA1218" s="201">
        <f>Delivery[[#This Row],[Quantity delivered]]*VLOOKUP(Delivery[[#This Row],[Unit]],References!$U:$X,4,FALSE)*VLOOKUP(CONCATENATE(Delivery[[#This Row],[Coffee specie]],Delivery[[#This Row],[Coffee state]]),References!$U:$X,4,FALSE)</f>
        <v>24261</v>
      </c>
      <c r="AB1218" s="202">
        <f>SUMIF(Allocation!C:C,Delivery[[#This Row],[Delivery ID]],Allocation!D:D)/Delivery[[#This Row],[Quantity delivered]]</f>
        <v>0.79502081530027613</v>
      </c>
      <c r="AC1218" s="203">
        <f>Delivery[[#This Row],[Quantity delivered]]*Delivery[[#This Row],[Base price (Unidad)]]/60</f>
        <v>158480.50230199998</v>
      </c>
      <c r="AD1218" s="204">
        <f>Delivery[[#This Row],[Nespresso total]]-Delivery[[#This Row],[Qt. Delivery * Base Price]]</f>
        <v>3965.8976980000152</v>
      </c>
      <c r="AE1218" s="204">
        <f>Delivery[[#This Row],[AAA Premium (total)]]/Delivery[[#This Row],[Quantity delivered]]*60/Delivery[[#This Row],[Exchange rate VS USD]]</f>
        <v>6.9486212373400758</v>
      </c>
      <c r="AF1218" s="204">
        <f>Delivery[[#This Row],[BEN premium (total)]]/Delivery[[#This Row],[Quantity delivered]]*60/Delivery[[#This Row],[Exchange rate for premiums VS USD]]</f>
        <v>0</v>
      </c>
      <c r="AG1218" s="204">
        <f>COUNTIF(Delivery[Delivery ID],Delivery[[#This Row],[Delivery ID]])</f>
        <v>1</v>
      </c>
      <c r="AH1218" s="204">
        <f>(Delivery[[#This Row],[Nespresso total]]/SUMIF(Allocation!C:C,Delivery[Delivery ID],Allocation!H:H))/Delivery[[#This Row],[Exchange rate VS USD]]</f>
        <v>5.2520685364190669</v>
      </c>
      <c r="AI1218" s="204">
        <f>(Delivery[[#This Row],[AAA Premium (total)]]/SUMIF(Allocation!C:C,Delivery[Delivery ID],Allocation!H:H))/Delivery[[#This Row],[Exchange rate VS USD]]</f>
        <v>0.33875994662629128</v>
      </c>
      <c r="AJ1218" s="204">
        <f>Delivery[[#This Row],[Valor Prêmio Nespresso AAA por Kg (em US$)]]*60</f>
        <v>20.325596797577475</v>
      </c>
      <c r="AK1218" s="204">
        <f>Delivery[[#This Row],[Valor Prêmio Nespresso AAA por saca (em US$)]]/1.3228/100</f>
        <v>0.15365585725413877</v>
      </c>
      <c r="AL1218" s="204">
        <f>(Delivery[[#This Row],[BEN premium (total)]]/SUMIF(Allocation!C:C,Delivery[Delivery ID],Allocation!H:H))/Delivery[[#This Row],[Exchange rate for premiums VS USD]]</f>
        <v>0</v>
      </c>
      <c r="AM1218" s="204">
        <f>Delivery[[#This Row],[Valor Prêmio Nespresso BEN por Kg (em US$)]]*60</f>
        <v>0</v>
      </c>
      <c r="AN1218" s="204">
        <f>Delivery[[#This Row],[Valor Prêmio Nespresso BEN por saca (em US$)]]/1.3228/100</f>
        <v>0</v>
      </c>
      <c r="AO1218" s="204">
        <f>SUMIF(Allocation[Delivery ID],Delivery[[#This Row],[Delivery ID]],Allocation[Quantity allocated])*16*1.3228*Delivery[[#This Row],[Exchange rate VS USD]]/60</f>
        <v>10910.449038250666</v>
      </c>
      <c r="AP1218" s="204">
        <f>Delivery[[#This Row],[AAA Premium (total)]]</f>
        <v>10477.84</v>
      </c>
      <c r="AQ1218" s="204">
        <f>Delivery[[#This Row],[Valor pago pelo Cluster]]-Delivery[[#This Row],[Valor efetivamente pago pela Nespresso]]</f>
        <v>-432.60903825066634</v>
      </c>
    </row>
    <row r="1219" spans="1:43" ht="15.75">
      <c r="A1219" s="174" t="s">
        <v>69</v>
      </c>
      <c r="B1219" s="232" t="s">
        <v>68</v>
      </c>
      <c r="C1219" s="157">
        <v>1</v>
      </c>
      <c r="D1219" s="157" t="s">
        <v>468</v>
      </c>
      <c r="E1219" s="177" t="s">
        <v>468</v>
      </c>
      <c r="F1219" s="233" t="s">
        <v>543</v>
      </c>
      <c r="G1219" s="234">
        <v>43480</v>
      </c>
      <c r="H1219" s="157" t="s">
        <v>1837</v>
      </c>
      <c r="I1219" s="157" t="s">
        <v>935</v>
      </c>
      <c r="J1219" s="237">
        <v>12131</v>
      </c>
      <c r="K1219" s="175" t="s">
        <v>61</v>
      </c>
      <c r="L1219" s="175" t="s">
        <v>439</v>
      </c>
      <c r="M1219" s="175" t="s">
        <v>1343</v>
      </c>
      <c r="N1219" s="198"/>
      <c r="O1219" s="199"/>
      <c r="P1219" s="181">
        <v>0</v>
      </c>
      <c r="Q1219" s="177">
        <v>43473</v>
      </c>
      <c r="R1219" s="178">
        <v>391.93892</v>
      </c>
      <c r="S1219" s="179">
        <v>81223.199999999997</v>
      </c>
      <c r="T1219" s="182" t="s">
        <v>45</v>
      </c>
      <c r="U1219" s="183">
        <v>3.7292000000000001</v>
      </c>
      <c r="V1219" s="179">
        <v>5220</v>
      </c>
      <c r="W1219" s="179">
        <v>0</v>
      </c>
      <c r="X1219" s="196" t="s">
        <v>45</v>
      </c>
      <c r="Y1219" s="200">
        <v>3.7292000000000001</v>
      </c>
      <c r="Z1219" s="220"/>
      <c r="AA1219" s="201">
        <f>Delivery[[#This Row],[Quantity delivered]]*VLOOKUP(Delivery[[#This Row],[Unit]],References!$U:$X,4,FALSE)*VLOOKUP(CONCATENATE(Delivery[[#This Row],[Coffee specie]],Delivery[[#This Row],[Coffee state]]),References!$U:$X,4,FALSE)</f>
        <v>12131</v>
      </c>
      <c r="AB1219" s="202">
        <f>SUMIF(Allocation!C:C,Delivery[[#This Row],[Delivery ID]],Allocation!D:D)/Delivery[[#This Row],[Quantity delivered]]</f>
        <v>0.49155057291237325</v>
      </c>
      <c r="AC1219" s="203">
        <f>Delivery[[#This Row],[Quantity delivered]]*Delivery[[#This Row],[Base price (Unidad)]]/60</f>
        <v>79243.517308666662</v>
      </c>
      <c r="AD1219" s="204">
        <f>Delivery[[#This Row],[Nespresso total]]-Delivery[[#This Row],[Qt. Delivery * Base Price]]</f>
        <v>1979.6826913333352</v>
      </c>
      <c r="AE1219" s="204">
        <f>Delivery[[#This Row],[AAA Premium (total)]]/Delivery[[#This Row],[Quantity delivered]]*60/Delivery[[#This Row],[Exchange rate VS USD]]</f>
        <v>6.92324140362203</v>
      </c>
      <c r="AF1219" s="204">
        <f>Delivery[[#This Row],[BEN premium (total)]]/Delivery[[#This Row],[Quantity delivered]]*60/Delivery[[#This Row],[Exchange rate for premiums VS USD]]</f>
        <v>0</v>
      </c>
      <c r="AG1219" s="204">
        <f>COUNTIF(Delivery[Delivery ID],Delivery[[#This Row],[Delivery ID]])</f>
        <v>1</v>
      </c>
      <c r="AH1219" s="204">
        <f>(Delivery[[#This Row],[Nespresso total]]/SUMIF(Allocation!C:C,Delivery[Delivery ID],Allocation!H:H))/Delivery[[#This Row],[Exchange rate VS USD]]</f>
        <v>8.4946677927183583</v>
      </c>
      <c r="AI1219" s="204">
        <f>(Delivery[[#This Row],[AAA Premium (total)]]/SUMIF(Allocation!C:C,Delivery[Delivery ID],Allocation!H:H))/Delivery[[#This Row],[Exchange rate VS USD]]</f>
        <v>0.54592980672997171</v>
      </c>
      <c r="AJ1219" s="204">
        <f>Delivery[[#This Row],[Valor Prêmio Nespresso AAA por Kg (em US$)]]*60</f>
        <v>32.755788403798306</v>
      </c>
      <c r="AK1219" s="204">
        <f>Delivery[[#This Row],[Valor Prêmio Nespresso AAA por saca (em US$)]]/1.3228/100</f>
        <v>0.24762464774567813</v>
      </c>
      <c r="AL1219" s="204">
        <f>(Delivery[[#This Row],[BEN premium (total)]]/SUMIF(Allocation!C:C,Delivery[Delivery ID],Allocation!H:H))/Delivery[[#This Row],[Exchange rate for premiums VS USD]]</f>
        <v>0</v>
      </c>
      <c r="AM1219" s="204">
        <f>Delivery[[#This Row],[Valor Prêmio Nespresso BEN por Kg (em US$)]]*60</f>
        <v>0</v>
      </c>
      <c r="AN1219" s="204">
        <f>Delivery[[#This Row],[Valor Prêmio Nespresso BEN por saca (em US$)]]/1.3228/100</f>
        <v>0</v>
      </c>
      <c r="AO1219" s="204">
        <f>SUMIF(Allocation[Delivery ID],Delivery[[#This Row],[Delivery ID]],Allocation[Quantity allocated])*16*1.3228*Delivery[[#This Row],[Exchange rate VS USD]]/60</f>
        <v>3372.8467969706671</v>
      </c>
      <c r="AP1219" s="204">
        <f>Delivery[[#This Row],[AAA Premium (total)]]</f>
        <v>5220</v>
      </c>
      <c r="AQ1219" s="204">
        <f>Delivery[[#This Row],[Valor pago pelo Cluster]]-Delivery[[#This Row],[Valor efetivamente pago pela Nespresso]]</f>
        <v>1847.1532030293329</v>
      </c>
    </row>
    <row r="1220" spans="1:43" ht="15.75">
      <c r="A1220" s="174" t="s">
        <v>69</v>
      </c>
      <c r="B1220" s="232" t="s">
        <v>68</v>
      </c>
      <c r="C1220" s="157">
        <v>1</v>
      </c>
      <c r="D1220" s="157" t="s">
        <v>468</v>
      </c>
      <c r="E1220" s="177" t="s">
        <v>468</v>
      </c>
      <c r="F1220" s="233" t="s">
        <v>543</v>
      </c>
      <c r="G1220" s="234">
        <v>43480</v>
      </c>
      <c r="H1220" s="157" t="s">
        <v>1838</v>
      </c>
      <c r="I1220" s="157" t="s">
        <v>935</v>
      </c>
      <c r="J1220" s="237">
        <v>12134</v>
      </c>
      <c r="K1220" s="175" t="s">
        <v>61</v>
      </c>
      <c r="L1220" s="175" t="s">
        <v>439</v>
      </c>
      <c r="M1220" s="175" t="s">
        <v>1343</v>
      </c>
      <c r="N1220" s="198"/>
      <c r="O1220" s="199"/>
      <c r="P1220" s="181">
        <v>0</v>
      </c>
      <c r="Q1220" s="177">
        <v>43473</v>
      </c>
      <c r="R1220" s="178">
        <v>391.93892</v>
      </c>
      <c r="S1220" s="179">
        <v>81223.199999999997</v>
      </c>
      <c r="T1220" s="182" t="s">
        <v>45</v>
      </c>
      <c r="U1220" s="183">
        <v>3.7292000000000001</v>
      </c>
      <c r="V1220" s="179">
        <v>5220</v>
      </c>
      <c r="W1220" s="179">
        <v>0</v>
      </c>
      <c r="X1220" s="196" t="s">
        <v>45</v>
      </c>
      <c r="Y1220" s="200">
        <v>3.7292000000000001</v>
      </c>
      <c r="Z1220" s="220"/>
      <c r="AA1220" s="201">
        <f>Delivery[[#This Row],[Quantity delivered]]*VLOOKUP(Delivery[[#This Row],[Unit]],References!$U:$X,4,FALSE)*VLOOKUP(CONCATENATE(Delivery[[#This Row],[Coffee specie]],Delivery[[#This Row],[Coffee state]]),References!$U:$X,4,FALSE)</f>
        <v>12134</v>
      </c>
      <c r="AB1220" s="202">
        <f>SUMIF(Allocation!C:C,Delivery[[#This Row],[Delivery ID]],Allocation!D:D)/Delivery[[#This Row],[Quantity delivered]]</f>
        <v>0.49159386846876546</v>
      </c>
      <c r="AC1220" s="203">
        <f>Delivery[[#This Row],[Quantity delivered]]*Delivery[[#This Row],[Base price (Unidad)]]/60</f>
        <v>79263.114254666667</v>
      </c>
      <c r="AD1220" s="204">
        <f>Delivery[[#This Row],[Nespresso total]]-Delivery[[#This Row],[Qt. Delivery * Base Price]]</f>
        <v>1960.0857453333301</v>
      </c>
      <c r="AE1220" s="204">
        <f>Delivery[[#This Row],[AAA Premium (total)]]/Delivery[[#This Row],[Quantity delivered]]*60/Delivery[[#This Row],[Exchange rate VS USD]]</f>
        <v>6.9215297072143427</v>
      </c>
      <c r="AF1220" s="204">
        <f>Delivery[[#This Row],[BEN premium (total)]]/Delivery[[#This Row],[Quantity delivered]]*60/Delivery[[#This Row],[Exchange rate for premiums VS USD]]</f>
        <v>0</v>
      </c>
      <c r="AG1220" s="204">
        <f>COUNTIF(Delivery[Delivery ID],Delivery[[#This Row],[Delivery ID]])</f>
        <v>1</v>
      </c>
      <c r="AH1220" s="204">
        <f>(Delivery[[#This Row],[Nespresso total]]/SUMIF(Allocation!C:C,Delivery[Delivery ID],Allocation!H:H))/Delivery[[#This Row],[Exchange rate VS USD]]</f>
        <v>8.4913560313956609</v>
      </c>
      <c r="AI1220" s="204">
        <f>(Delivery[[#This Row],[AAA Premium (total)]]/SUMIF(Allocation!C:C,Delivery[Delivery ID],Allocation!H:H))/Delivery[[#This Row],[Exchange rate VS USD]]</f>
        <v>0.5457169685986929</v>
      </c>
      <c r="AJ1220" s="204">
        <f>Delivery[[#This Row],[Valor Prêmio Nespresso AAA por Kg (em US$)]]*60</f>
        <v>32.743018115921572</v>
      </c>
      <c r="AK1220" s="204">
        <f>Delivery[[#This Row],[Valor Prêmio Nespresso AAA por saca (em US$)]]/1.3228/100</f>
        <v>0.24752810792199559</v>
      </c>
      <c r="AL1220" s="204">
        <f>(Delivery[[#This Row],[BEN premium (total)]]/SUMIF(Allocation!C:C,Delivery[Delivery ID],Allocation!H:H))/Delivery[[#This Row],[Exchange rate for premiums VS USD]]</f>
        <v>0</v>
      </c>
      <c r="AM1220" s="204">
        <f>Delivery[[#This Row],[Valor Prêmio Nespresso BEN por Kg (em US$)]]*60</f>
        <v>0</v>
      </c>
      <c r="AN1220" s="204">
        <f>Delivery[[#This Row],[Valor Prêmio Nespresso BEN por saca (em US$)]]/1.3228/100</f>
        <v>0</v>
      </c>
      <c r="AO1220" s="204">
        <f>SUMIF(Allocation[Delivery ID],Delivery[[#This Row],[Delivery ID]],Allocation[Quantity allocated])*16*1.3228*Delivery[[#This Row],[Exchange rate VS USD]]/60</f>
        <v>3374.1622598399999</v>
      </c>
      <c r="AP1220" s="204">
        <f>Delivery[[#This Row],[AAA Premium (total)]]</f>
        <v>5220</v>
      </c>
      <c r="AQ1220" s="204">
        <f>Delivery[[#This Row],[Valor pago pelo Cluster]]-Delivery[[#This Row],[Valor efetivamente pago pela Nespresso]]</f>
        <v>1845.8377401600001</v>
      </c>
    </row>
    <row r="1221" spans="1:43" ht="15.75">
      <c r="A1221" s="174" t="s">
        <v>69</v>
      </c>
      <c r="B1221" s="232" t="s">
        <v>68</v>
      </c>
      <c r="C1221" s="157">
        <v>1</v>
      </c>
      <c r="D1221" s="157" t="s">
        <v>468</v>
      </c>
      <c r="E1221" s="177" t="s">
        <v>468</v>
      </c>
      <c r="F1221" s="233" t="s">
        <v>543</v>
      </c>
      <c r="G1221" s="234">
        <v>43480</v>
      </c>
      <c r="H1221" s="157" t="s">
        <v>1839</v>
      </c>
      <c r="I1221" s="157" t="s">
        <v>1662</v>
      </c>
      <c r="J1221" s="237">
        <v>778</v>
      </c>
      <c r="K1221" s="175" t="s">
        <v>61</v>
      </c>
      <c r="L1221" s="175" t="s">
        <v>439</v>
      </c>
      <c r="M1221" s="175" t="s">
        <v>1343</v>
      </c>
      <c r="N1221" s="198"/>
      <c r="O1221" s="199"/>
      <c r="P1221" s="181">
        <v>0</v>
      </c>
      <c r="Q1221" s="177">
        <v>43474</v>
      </c>
      <c r="R1221" s="178">
        <v>394.56593000000004</v>
      </c>
      <c r="S1221" s="179">
        <v>5261.1</v>
      </c>
      <c r="T1221" s="182" t="s">
        <v>45</v>
      </c>
      <c r="U1221" s="183">
        <v>3.6979000000000002</v>
      </c>
      <c r="V1221" s="179">
        <v>468.41</v>
      </c>
      <c r="W1221" s="179">
        <v>0</v>
      </c>
      <c r="X1221" s="196" t="s">
        <v>45</v>
      </c>
      <c r="Y1221" s="200">
        <v>3.6979000000000002</v>
      </c>
      <c r="Z1221" s="220"/>
      <c r="AA1221" s="201">
        <f>Delivery[[#This Row],[Quantity delivered]]*VLOOKUP(Delivery[[#This Row],[Unit]],References!$U:$X,4,FALSE)*VLOOKUP(CONCATENATE(Delivery[[#This Row],[Coffee specie]],Delivery[[#This Row],[Coffee state]]),References!$U:$X,4,FALSE)</f>
        <v>778</v>
      </c>
      <c r="AB1221" s="202">
        <f>SUMIF(Allocation!C:C,Delivery[[#This Row],[Delivery ID]],Allocation!D:D)/Delivery[[#This Row],[Quantity delivered]]</f>
        <v>1</v>
      </c>
      <c r="AC1221" s="203">
        <f>Delivery[[#This Row],[Quantity delivered]]*Delivery[[#This Row],[Base price (Unidad)]]/60</f>
        <v>5116.2048923333341</v>
      </c>
      <c r="AD1221" s="204">
        <f>Delivery[[#This Row],[Nespresso total]]-Delivery[[#This Row],[Qt. Delivery * Base Price]]</f>
        <v>144.89510766666626</v>
      </c>
      <c r="AE1221" s="204">
        <f>Delivery[[#This Row],[AAA Premium (total)]]/Delivery[[#This Row],[Quantity delivered]]*60/Delivery[[#This Row],[Exchange rate VS USD]]</f>
        <v>9.7688321816224342</v>
      </c>
      <c r="AF1221" s="204">
        <f>Delivery[[#This Row],[BEN premium (total)]]/Delivery[[#This Row],[Quantity delivered]]*60/Delivery[[#This Row],[Exchange rate for premiums VS USD]]</f>
        <v>0</v>
      </c>
      <c r="AG1221" s="204">
        <f>COUNTIF(Delivery[Delivery ID],Delivery[[#This Row],[Delivery ID]])</f>
        <v>1</v>
      </c>
      <c r="AH1221" s="204">
        <f>(Delivery[[#This Row],[Nespresso total]]/SUMIF(Allocation!C:C,Delivery[Delivery ID],Allocation!H:H))/Delivery[[#This Row],[Exchange rate VS USD]]</f>
        <v>4.5746829977107897</v>
      </c>
      <c r="AI1221" s="204">
        <f>(Delivery[[#This Row],[AAA Premium (total)]]/SUMIF(Allocation!C:C,Delivery[Delivery ID],Allocation!H:H))/Delivery[[#This Row],[Exchange rate VS USD]]</f>
        <v>0.40729643286721612</v>
      </c>
      <c r="AJ1221" s="204">
        <f>Delivery[[#This Row],[Valor Prêmio Nespresso AAA por Kg (em US$)]]*60</f>
        <v>24.437785972032966</v>
      </c>
      <c r="AK1221" s="204">
        <f>Delivery[[#This Row],[Valor Prêmio Nespresso AAA por saca (em US$)]]/1.3228/100</f>
        <v>0.1847428634111957</v>
      </c>
      <c r="AL1221" s="204">
        <f>(Delivery[[#This Row],[BEN premium (total)]]/SUMIF(Allocation!C:C,Delivery[Delivery ID],Allocation!H:H))/Delivery[[#This Row],[Exchange rate for premiums VS USD]]</f>
        <v>0</v>
      </c>
      <c r="AM1221" s="204">
        <f>Delivery[[#This Row],[Valor Prêmio Nespresso BEN por Kg (em US$)]]*60</f>
        <v>0</v>
      </c>
      <c r="AN1221" s="204">
        <f>Delivery[[#This Row],[Valor Prêmio Nespresso BEN por saca (em US$)]]/1.3228/100</f>
        <v>0</v>
      </c>
      <c r="AO1221" s="204">
        <f>SUMIF(Allocation[Delivery ID],Delivery[[#This Row],[Delivery ID]],Allocation[Quantity allocated])*16*1.3228*Delivery[[#This Row],[Exchange rate VS USD]]/60</f>
        <v>405.67521048533337</v>
      </c>
      <c r="AP1221" s="204">
        <f>Delivery[[#This Row],[AAA Premium (total)]]</f>
        <v>468.41</v>
      </c>
      <c r="AQ1221" s="204">
        <f>Delivery[[#This Row],[Valor pago pelo Cluster]]-Delivery[[#This Row],[Valor efetivamente pago pela Nespresso]]</f>
        <v>62.734789514666659</v>
      </c>
    </row>
    <row r="1222" spans="1:43" ht="15.75">
      <c r="A1222" s="174" t="s">
        <v>69</v>
      </c>
      <c r="B1222" s="232" t="s">
        <v>68</v>
      </c>
      <c r="C1222" s="157">
        <v>1</v>
      </c>
      <c r="D1222" s="157" t="s">
        <v>468</v>
      </c>
      <c r="E1222" s="177" t="s">
        <v>468</v>
      </c>
      <c r="F1222" s="233" t="s">
        <v>543</v>
      </c>
      <c r="G1222" s="234">
        <v>43480</v>
      </c>
      <c r="H1222" s="157" t="s">
        <v>1840</v>
      </c>
      <c r="I1222" s="157" t="s">
        <v>1662</v>
      </c>
      <c r="J1222" s="237">
        <v>9582</v>
      </c>
      <c r="K1222" s="175" t="s">
        <v>61</v>
      </c>
      <c r="L1222" s="175" t="s">
        <v>439</v>
      </c>
      <c r="M1222" s="175" t="s">
        <v>1343</v>
      </c>
      <c r="N1222" s="198"/>
      <c r="O1222" s="199"/>
      <c r="P1222" s="181">
        <v>0</v>
      </c>
      <c r="Q1222" s="177">
        <v>43474</v>
      </c>
      <c r="R1222" s="178">
        <v>394.56593000000004</v>
      </c>
      <c r="S1222" s="179">
        <v>66456</v>
      </c>
      <c r="T1222" s="182" t="s">
        <v>45</v>
      </c>
      <c r="U1222" s="183">
        <v>3.6979000000000002</v>
      </c>
      <c r="V1222" s="179">
        <v>5916.8</v>
      </c>
      <c r="W1222" s="179">
        <v>0</v>
      </c>
      <c r="X1222" s="196" t="s">
        <v>45</v>
      </c>
      <c r="Y1222" s="200">
        <v>3.6979000000000002</v>
      </c>
      <c r="Z1222" s="220"/>
      <c r="AA1222" s="201">
        <f>Delivery[[#This Row],[Quantity delivered]]*VLOOKUP(Delivery[[#This Row],[Unit]],References!$U:$X,4,FALSE)*VLOOKUP(CONCATENATE(Delivery[[#This Row],[Coffee specie]],Delivery[[#This Row],[Coffee state]]),References!$U:$X,4,FALSE)</f>
        <v>9582</v>
      </c>
      <c r="AB1222" s="202">
        <f>SUMIF(Allocation!C:C,Delivery[[#This Row],[Delivery ID]],Allocation!D:D)/Delivery[[#This Row],[Quantity delivered]]</f>
        <v>0.85472761427676891</v>
      </c>
      <c r="AC1222" s="203">
        <f>Delivery[[#This Row],[Quantity delivered]]*Delivery[[#This Row],[Base price (Unidad)]]/60</f>
        <v>63012.179021000011</v>
      </c>
      <c r="AD1222" s="204">
        <f>Delivery[[#This Row],[Nespresso total]]-Delivery[[#This Row],[Qt. Delivery * Base Price]]</f>
        <v>3443.8209789999892</v>
      </c>
      <c r="AE1222" s="204">
        <f>Delivery[[#This Row],[AAA Premium (total)]]/Delivery[[#This Row],[Quantity delivered]]*60/Delivery[[#This Row],[Exchange rate VS USD]]</f>
        <v>10.019056154042854</v>
      </c>
      <c r="AF1222" s="204">
        <f>Delivery[[#This Row],[BEN premium (total)]]/Delivery[[#This Row],[Quantity delivered]]*60/Delivery[[#This Row],[Exchange rate for premiums VS USD]]</f>
        <v>0</v>
      </c>
      <c r="AG1222" s="204">
        <f>COUNTIF(Delivery[Delivery ID],Delivery[[#This Row],[Delivery ID]])</f>
        <v>1</v>
      </c>
      <c r="AH1222" s="204">
        <f>(Delivery[[#This Row],[Nespresso total]]/SUMIF(Allocation!C:C,Delivery[Delivery ID],Allocation!H:H))/Delivery[[#This Row],[Exchange rate VS USD]]</f>
        <v>5.4857390101717955</v>
      </c>
      <c r="AI1222" s="204">
        <f>(Delivery[[#This Row],[AAA Premium (total)]]/SUMIF(Allocation!C:C,Delivery[Delivery ID],Allocation!H:H))/Delivery[[#This Row],[Exchange rate VS USD]]</f>
        <v>0.48841369590984235</v>
      </c>
      <c r="AJ1222" s="204">
        <f>Delivery[[#This Row],[Valor Prêmio Nespresso AAA por Kg (em US$)]]*60</f>
        <v>29.304821754590542</v>
      </c>
      <c r="AK1222" s="204">
        <f>Delivery[[#This Row],[Valor Prêmio Nespresso AAA por saca (em US$)]]/1.3228/100</f>
        <v>0.22153629992886711</v>
      </c>
      <c r="AL1222" s="204">
        <f>(Delivery[[#This Row],[BEN premium (total)]]/SUMIF(Allocation!C:C,Delivery[Delivery ID],Allocation!H:H))/Delivery[[#This Row],[Exchange rate for premiums VS USD]]</f>
        <v>0</v>
      </c>
      <c r="AM1222" s="204">
        <f>Delivery[[#This Row],[Valor Prêmio Nespresso BEN por Kg (em US$)]]*60</f>
        <v>0</v>
      </c>
      <c r="AN1222" s="204">
        <f>Delivery[[#This Row],[Valor Prêmio Nespresso BEN por saca (em US$)]]/1.3228/100</f>
        <v>0</v>
      </c>
      <c r="AO1222" s="204">
        <f>SUMIF(Allocation[Delivery ID],Delivery[[#This Row],[Delivery ID]],Allocation[Quantity allocated])*16*1.3228*Delivery[[#This Row],[Exchange rate VS USD]]/60</f>
        <v>4273.2861400319998</v>
      </c>
      <c r="AP1222" s="204">
        <f>Delivery[[#This Row],[AAA Premium (total)]]</f>
        <v>5916.8</v>
      </c>
      <c r="AQ1222" s="204">
        <f>Delivery[[#This Row],[Valor pago pelo Cluster]]-Delivery[[#This Row],[Valor efetivamente pago pela Nespresso]]</f>
        <v>1643.5138599680004</v>
      </c>
    </row>
    <row r="1223" spans="1:43" ht="15.75">
      <c r="A1223" s="174" t="s">
        <v>69</v>
      </c>
      <c r="B1223" s="232" t="s">
        <v>68</v>
      </c>
      <c r="C1223" s="157">
        <v>1</v>
      </c>
      <c r="D1223" s="157" t="s">
        <v>468</v>
      </c>
      <c r="E1223" s="177" t="s">
        <v>468</v>
      </c>
      <c r="F1223" s="240" t="s">
        <v>543</v>
      </c>
      <c r="G1223" s="234">
        <v>43480</v>
      </c>
      <c r="H1223" s="157" t="s">
        <v>2046</v>
      </c>
      <c r="I1223" s="236" t="s">
        <v>668</v>
      </c>
      <c r="J1223" s="237">
        <v>29770</v>
      </c>
      <c r="K1223" s="175" t="s">
        <v>61</v>
      </c>
      <c r="L1223" s="175" t="s">
        <v>439</v>
      </c>
      <c r="M1223" s="175" t="s">
        <v>1343</v>
      </c>
      <c r="N1223" s="198"/>
      <c r="O1223" s="199"/>
      <c r="P1223" s="181">
        <v>0</v>
      </c>
      <c r="Q1223" s="177">
        <v>43473</v>
      </c>
      <c r="R1223" s="178">
        <v>390.53395999999998</v>
      </c>
      <c r="S1223" s="179">
        <v>202517.83931256327</v>
      </c>
      <c r="T1223" s="182" t="s">
        <v>45</v>
      </c>
      <c r="U1223" s="183">
        <v>3.7122999999999999</v>
      </c>
      <c r="V1223" s="179">
        <v>12893.436616666666</v>
      </c>
      <c r="W1223" s="179">
        <v>4031.3823541033898</v>
      </c>
      <c r="X1223" s="196" t="s">
        <v>45</v>
      </c>
      <c r="Y1223" s="200">
        <v>3.7122999999999999</v>
      </c>
      <c r="Z1223" s="220" t="s">
        <v>473</v>
      </c>
      <c r="AA1223" s="201">
        <f>Delivery[[#This Row],[Quantity delivered]]*VLOOKUP(Delivery[[#This Row],[Unit]],References!$U:$X,4,FALSE)*VLOOKUP(CONCATENATE(Delivery[[#This Row],[Coffee specie]],Delivery[[#This Row],[Coffee state]]),References!$U:$X,4,FALSE)</f>
        <v>29770</v>
      </c>
      <c r="AB1223" s="202">
        <f>SUMIF(Allocation!C:C,Delivery[[#This Row],[Delivery ID]],Allocation!D:D)/Delivery[[#This Row],[Quantity delivered]]</f>
        <v>1</v>
      </c>
      <c r="AC1223" s="203">
        <f>Delivery[[#This Row],[Quantity delivered]]*Delivery[[#This Row],[Base price (Unidad)]]/60</f>
        <v>193769.93315333332</v>
      </c>
      <c r="AD1223" s="204">
        <f>Delivery[[#This Row],[Nespresso total]]-Delivery[[#This Row],[Qt. Delivery * Base Price]]</f>
        <v>8747.9061592299549</v>
      </c>
      <c r="AE1223" s="204">
        <f>Delivery[[#This Row],[AAA Premium (total)]]/Delivery[[#This Row],[Quantity delivered]]*60/Delivery[[#This Row],[Exchange rate VS USD]]</f>
        <v>7</v>
      </c>
      <c r="AF1223" s="204">
        <f>Delivery[[#This Row],[BEN premium (total)]]/Delivery[[#This Row],[Quantity delivered]]*60/Delivery[[#This Row],[Exchange rate for premiums VS USD]]</f>
        <v>2.1886853999999998</v>
      </c>
      <c r="AG1223" s="204">
        <f>COUNTIF(Delivery[Delivery ID],Delivery[[#This Row],[Delivery ID]])</f>
        <v>1</v>
      </c>
      <c r="AH1223" s="204">
        <f>(Delivery[[#This Row],[Nespresso total]]/SUMIF(Allocation!C:C,Delivery[Delivery ID],Allocation!H:H))/Delivery[[#This Row],[Exchange rate VS USD]]</f>
        <v>5.5383958010505419</v>
      </c>
      <c r="AI1223" s="204">
        <f>(Delivery[[#This Row],[AAA Premium (total)]]/SUMIF(Allocation!C:C,Delivery[Delivery ID],Allocation!H:H))/Delivery[[#This Row],[Exchange rate VS USD]]</f>
        <v>0.35260575296108287</v>
      </c>
      <c r="AJ1223" s="204">
        <f>Delivery[[#This Row],[Valor Prêmio Nespresso AAA por Kg (em US$)]]*60</f>
        <v>21.156345177664974</v>
      </c>
      <c r="AK1223" s="204">
        <f>Delivery[[#This Row],[Valor Prêmio Nespresso AAA por saca (em US$)]]/1.3228/100</f>
        <v>0.15993608389525987</v>
      </c>
      <c r="AL1223" s="204">
        <f>(Delivery[[#This Row],[BEN premium (total)]]/SUMIF(Allocation!C:C,Delivery[Delivery ID],Allocation!H:H))/Delivery[[#This Row],[Exchange rate for premiums VS USD]]</f>
        <v>0.11024900906598985</v>
      </c>
      <c r="AM1223" s="204">
        <f>Delivery[[#This Row],[Valor Prêmio Nespresso BEN por Kg (em US$)]]*60</f>
        <v>6.6149405439593911</v>
      </c>
      <c r="AN1223" s="204">
        <f>Delivery[[#This Row],[Valor Prêmio Nespresso BEN por saca (em US$)]]/1.3228/100</f>
        <v>5.0007110250675772E-2</v>
      </c>
      <c r="AO1223" s="204">
        <f>SUMIF(Allocation[Delivery ID],Delivery[[#This Row],[Delivery ID]],Allocation[Quantity allocated])*16*1.3228*Delivery[[#This Row],[Exchange rate VS USD]]/60</f>
        <v>12898.589289066667</v>
      </c>
      <c r="AP1223" s="204">
        <f>Delivery[[#This Row],[AAA Premium (total)]]</f>
        <v>12893.436616666666</v>
      </c>
      <c r="AQ1223" s="204">
        <f>Delivery[[#This Row],[Valor pago pelo Cluster]]-Delivery[[#This Row],[Valor efetivamente pago pela Nespresso]]</f>
        <v>-5.1526724000013928</v>
      </c>
    </row>
    <row r="1224" spans="1:43" ht="15.75">
      <c r="A1224" s="174" t="s">
        <v>69</v>
      </c>
      <c r="B1224" s="232" t="s">
        <v>68</v>
      </c>
      <c r="C1224" s="157">
        <v>1</v>
      </c>
      <c r="D1224" s="157" t="s">
        <v>468</v>
      </c>
      <c r="E1224" s="177" t="s">
        <v>468</v>
      </c>
      <c r="F1224" s="240" t="s">
        <v>543</v>
      </c>
      <c r="G1224" s="234">
        <v>43480</v>
      </c>
      <c r="H1224" s="157" t="s">
        <v>2047</v>
      </c>
      <c r="I1224" s="236" t="s">
        <v>668</v>
      </c>
      <c r="J1224" s="237">
        <v>30040</v>
      </c>
      <c r="K1224" s="175" t="s">
        <v>61</v>
      </c>
      <c r="L1224" s="175" t="s">
        <v>439</v>
      </c>
      <c r="M1224" s="175" t="s">
        <v>1343</v>
      </c>
      <c r="N1224" s="198"/>
      <c r="O1224" s="199"/>
      <c r="P1224" s="181">
        <v>0</v>
      </c>
      <c r="Q1224" s="177">
        <v>43473</v>
      </c>
      <c r="R1224" s="178">
        <v>390.53395999999998</v>
      </c>
      <c r="S1224" s="179">
        <v>204078.05489024971</v>
      </c>
      <c r="T1224" s="182" t="s">
        <v>45</v>
      </c>
      <c r="U1224" s="183">
        <v>3.7122999999999999</v>
      </c>
      <c r="V1224" s="179">
        <v>12995</v>
      </c>
      <c r="W1224" s="179">
        <v>4067.9451097502797</v>
      </c>
      <c r="X1224" s="196" t="s">
        <v>45</v>
      </c>
      <c r="Y1224" s="200">
        <v>3.7122999999999999</v>
      </c>
      <c r="Z1224" s="220" t="s">
        <v>473</v>
      </c>
      <c r="AA1224" s="201">
        <f>Delivery[[#This Row],[Quantity delivered]]*VLOOKUP(Delivery[[#This Row],[Unit]],References!$U:$X,4,FALSE)*VLOOKUP(CONCATENATE(Delivery[[#This Row],[Coffee specie]],Delivery[[#This Row],[Coffee state]]),References!$U:$X,4,FALSE)</f>
        <v>30040</v>
      </c>
      <c r="AB1224" s="202">
        <f>SUMIF(Allocation!C:C,Delivery[[#This Row],[Delivery ID]],Allocation!D:D)/Delivery[[#This Row],[Quantity delivered]]</f>
        <v>1</v>
      </c>
      <c r="AC1224" s="203">
        <f>Delivery[[#This Row],[Quantity delivered]]*Delivery[[#This Row],[Base price (Unidad)]]/60</f>
        <v>195527.33597333331</v>
      </c>
      <c r="AD1224" s="204">
        <f>Delivery[[#This Row],[Nespresso total]]-Delivery[[#This Row],[Qt. Delivery * Base Price]]</f>
        <v>8550.7189169164049</v>
      </c>
      <c r="AE1224" s="204">
        <f>Delivery[[#This Row],[AAA Premium (total)]]/Delivery[[#This Row],[Quantity delivered]]*60/Delivery[[#This Row],[Exchange rate VS USD]]</f>
        <v>6.9917282573033477</v>
      </c>
      <c r="AF1224" s="204">
        <f>Delivery[[#This Row],[BEN premium (total)]]/Delivery[[#This Row],[Quantity delivered]]*60/Delivery[[#This Row],[Exchange rate for premiums VS USD]]</f>
        <v>2.1886853999999998</v>
      </c>
      <c r="AG1224" s="204">
        <f>COUNTIF(Delivery[Delivery ID],Delivery[[#This Row],[Delivery ID]])</f>
        <v>1</v>
      </c>
      <c r="AH1224" s="204">
        <f>(Delivery[[#This Row],[Nespresso total]]/SUMIF(Allocation!C:C,Delivery[Delivery ID],Allocation!H:H))/Delivery[[#This Row],[Exchange rate VS USD]]</f>
        <v>5.4973481370107402</v>
      </c>
      <c r="AI1224" s="204">
        <f>(Delivery[[#This Row],[AAA Premium (total)]]/SUMIF(Allocation!C:C,Delivery[Delivery ID],Allocation!H:H))/Delivery[[#This Row],[Exchange rate VS USD]]</f>
        <v>0.35005252808232096</v>
      </c>
      <c r="AJ1224" s="204">
        <f>Delivery[[#This Row],[Valor Prêmio Nespresso AAA por Kg (em US$)]]*60</f>
        <v>21.003151684939258</v>
      </c>
      <c r="AK1224" s="204">
        <f>Delivery[[#This Row],[Valor Prêmio Nespresso AAA por saca (em US$)]]/1.3228/100</f>
        <v>0.15877798370834031</v>
      </c>
      <c r="AL1224" s="204">
        <f>(Delivery[[#This Row],[BEN premium (total)]]/SUMIF(Allocation!C:C,Delivery[Delivery ID],Allocation!H:H))/Delivery[[#This Row],[Exchange rate for premiums VS USD]]</f>
        <v>0.10958018235999999</v>
      </c>
      <c r="AM1224" s="204">
        <f>Delivery[[#This Row],[Valor Prêmio Nespresso BEN por Kg (em US$)]]*60</f>
        <v>6.5748109415999991</v>
      </c>
      <c r="AN1224" s="204">
        <f>Delivery[[#This Row],[Valor Prêmio Nespresso BEN por saca (em US$)]]/1.3228/100</f>
        <v>4.9703741620804348E-2</v>
      </c>
      <c r="AO1224" s="204">
        <f>SUMIF(Allocation[Delivery ID],Delivery[[#This Row],[Delivery ID]],Allocation[Quantity allocated])*16*1.3228*Delivery[[#This Row],[Exchange rate VS USD]]/60</f>
        <v>13095.014506666666</v>
      </c>
      <c r="AP1224" s="204">
        <f>Delivery[[#This Row],[AAA Premium (total)]]</f>
        <v>12995</v>
      </c>
      <c r="AQ1224" s="204">
        <f>Delivery[[#This Row],[Valor pago pelo Cluster]]-Delivery[[#This Row],[Valor efetivamente pago pela Nespresso]]</f>
        <v>-100.01450666666642</v>
      </c>
    </row>
    <row r="1225" spans="1:43" ht="15.75">
      <c r="A1225" s="174" t="s">
        <v>69</v>
      </c>
      <c r="B1225" s="232" t="s">
        <v>68</v>
      </c>
      <c r="C1225" s="157">
        <v>1</v>
      </c>
      <c r="D1225" s="157" t="s">
        <v>468</v>
      </c>
      <c r="E1225" s="177" t="s">
        <v>468</v>
      </c>
      <c r="F1225" s="240" t="s">
        <v>543</v>
      </c>
      <c r="G1225" s="234">
        <v>43480</v>
      </c>
      <c r="H1225" s="157" t="s">
        <v>2048</v>
      </c>
      <c r="I1225" s="236" t="s">
        <v>668</v>
      </c>
      <c r="J1225" s="237">
        <v>28760</v>
      </c>
      <c r="K1225" s="175" t="s">
        <v>61</v>
      </c>
      <c r="L1225" s="175" t="s">
        <v>439</v>
      </c>
      <c r="M1225" s="175" t="s">
        <v>1343</v>
      </c>
      <c r="N1225" s="198"/>
      <c r="O1225" s="199"/>
      <c r="P1225" s="181">
        <v>0</v>
      </c>
      <c r="Q1225" s="177">
        <v>43473</v>
      </c>
      <c r="R1225" s="178">
        <v>390.53395999999998</v>
      </c>
      <c r="S1225" s="179">
        <v>204251.38943553867</v>
      </c>
      <c r="T1225" s="182" t="s">
        <v>45</v>
      </c>
      <c r="U1225" s="183">
        <v>3.7122999999999999</v>
      </c>
      <c r="V1225" s="179">
        <v>12995</v>
      </c>
      <c r="W1225" s="179">
        <v>3894.6105644613199</v>
      </c>
      <c r="X1225" s="196" t="s">
        <v>45</v>
      </c>
      <c r="Y1225" s="200">
        <v>3.7122999999999999</v>
      </c>
      <c r="Z1225" s="220" t="s">
        <v>473</v>
      </c>
      <c r="AA1225" s="201">
        <f>Delivery[[#This Row],[Quantity delivered]]*VLOOKUP(Delivery[[#This Row],[Unit]],References!$U:$X,4,FALSE)*VLOOKUP(CONCATENATE(Delivery[[#This Row],[Coffee specie]],Delivery[[#This Row],[Coffee state]]),References!$U:$X,4,FALSE)</f>
        <v>28760</v>
      </c>
      <c r="AB1225" s="202">
        <f>SUMIF(Allocation!C:C,Delivery[[#This Row],[Delivery ID]],Allocation!D:D)/Delivery[[#This Row],[Quantity delivered]]</f>
        <v>1</v>
      </c>
      <c r="AC1225" s="203">
        <f>Delivery[[#This Row],[Quantity delivered]]*Delivery[[#This Row],[Base price (Unidad)]]/60</f>
        <v>187195.94482666667</v>
      </c>
      <c r="AD1225" s="204">
        <f>Delivery[[#This Row],[Nespresso total]]-Delivery[[#This Row],[Qt. Delivery * Base Price]]</f>
        <v>17055.444608872</v>
      </c>
      <c r="AE1225" s="204">
        <f>Delivery[[#This Row],[AAA Premium (total)]]/Delivery[[#This Row],[Quantity delivered]]*60/Delivery[[#This Row],[Exchange rate VS USD]]</f>
        <v>7.3029039238314519</v>
      </c>
      <c r="AF1225" s="204">
        <f>Delivery[[#This Row],[BEN premium (total)]]/Delivery[[#This Row],[Quantity delivered]]*60/Delivery[[#This Row],[Exchange rate for premiums VS USD]]</f>
        <v>2.1886853999999998</v>
      </c>
      <c r="AG1225" s="204">
        <f>COUNTIF(Delivery[Delivery ID],Delivery[[#This Row],[Delivery ID]])</f>
        <v>1</v>
      </c>
      <c r="AH1225" s="204">
        <f>(Delivery[[#This Row],[Nespresso total]]/SUMIF(Allocation!C:C,Delivery[Delivery ID],Allocation!H:H))/Delivery[[#This Row],[Exchange rate VS USD]]</f>
        <v>5.7915971921376217</v>
      </c>
      <c r="AI1225" s="204">
        <f>(Delivery[[#This Row],[AAA Premium (total)]]/SUMIF(Allocation!C:C,Delivery[Delivery ID],Allocation!H:H))/Delivery[[#This Row],[Exchange rate VS USD]]</f>
        <v>0.3684763453498115</v>
      </c>
      <c r="AJ1225" s="204">
        <f>Delivery[[#This Row],[Valor Prêmio Nespresso AAA por Kg (em US$)]]*60</f>
        <v>22.108580720988691</v>
      </c>
      <c r="AK1225" s="204">
        <f>Delivery[[#This Row],[Valor Prêmio Nespresso AAA por saca (em US$)]]/1.3228/100</f>
        <v>0.16713471969298979</v>
      </c>
      <c r="AL1225" s="204">
        <f>(Delivery[[#This Row],[BEN premium (total)]]/SUMIF(Allocation!C:C,Delivery[Delivery ID],Allocation!H:H))/Delivery[[#This Row],[Exchange rate for premiums VS USD]]</f>
        <v>0.11043261772631578</v>
      </c>
      <c r="AM1225" s="204">
        <f>Delivery[[#This Row],[Valor Prêmio Nespresso BEN por Kg (em US$)]]*60</f>
        <v>6.6259570635789471</v>
      </c>
      <c r="AN1225" s="204">
        <f>Delivery[[#This Row],[Valor Prêmio Nespresso BEN por saca (em US$)]]/1.3228/100</f>
        <v>5.009039207422851E-2</v>
      </c>
      <c r="AO1225" s="204">
        <f>SUMIF(Allocation[Delivery ID],Delivery[[#This Row],[Delivery ID]],Allocation[Quantity allocated])*16*1.3228*Delivery[[#This Row],[Exchange rate VS USD]]/60</f>
        <v>12440.263781333335</v>
      </c>
      <c r="AP1225" s="204">
        <f>Delivery[[#This Row],[AAA Premium (total)]]</f>
        <v>12995</v>
      </c>
      <c r="AQ1225" s="204">
        <f>Delivery[[#This Row],[Valor pago pelo Cluster]]-Delivery[[#This Row],[Valor efetivamente pago pela Nespresso]]</f>
        <v>554.73621866666508</v>
      </c>
    </row>
    <row r="1226" spans="1:43" ht="15.75">
      <c r="A1226" s="174" t="s">
        <v>69</v>
      </c>
      <c r="B1226" s="232" t="s">
        <v>68</v>
      </c>
      <c r="C1226" s="157">
        <v>1</v>
      </c>
      <c r="D1226" s="157" t="s">
        <v>468</v>
      </c>
      <c r="E1226" s="177" t="s">
        <v>468</v>
      </c>
      <c r="F1226" s="240" t="s">
        <v>543</v>
      </c>
      <c r="G1226" s="234">
        <v>43480</v>
      </c>
      <c r="H1226" s="157" t="s">
        <v>2049</v>
      </c>
      <c r="I1226" s="236" t="s">
        <v>668</v>
      </c>
      <c r="J1226" s="237">
        <v>31440</v>
      </c>
      <c r="K1226" s="175" t="s">
        <v>61</v>
      </c>
      <c r="L1226" s="175" t="s">
        <v>439</v>
      </c>
      <c r="M1226" s="175" t="s">
        <v>1343</v>
      </c>
      <c r="N1226" s="198"/>
      <c r="O1226" s="199"/>
      <c r="P1226" s="181">
        <v>0</v>
      </c>
      <c r="Q1226" s="177">
        <v>43473</v>
      </c>
      <c r="R1226" s="178">
        <v>390.53395999999998</v>
      </c>
      <c r="S1226" s="179">
        <v>203888.47023133992</v>
      </c>
      <c r="T1226" s="182" t="s">
        <v>45</v>
      </c>
      <c r="U1226" s="183">
        <v>3.7122999999999999</v>
      </c>
      <c r="V1226" s="179">
        <v>12995</v>
      </c>
      <c r="W1226" s="179">
        <v>4257.5297686600798</v>
      </c>
      <c r="X1226" s="196" t="s">
        <v>45</v>
      </c>
      <c r="Y1226" s="200">
        <v>3.7122999999999999</v>
      </c>
      <c r="Z1226" s="220" t="s">
        <v>473</v>
      </c>
      <c r="AA1226" s="201">
        <f>Delivery[[#This Row],[Quantity delivered]]*VLOOKUP(Delivery[[#This Row],[Unit]],References!$U:$X,4,FALSE)*VLOOKUP(CONCATENATE(Delivery[[#This Row],[Coffee specie]],Delivery[[#This Row],[Coffee state]]),References!$U:$X,4,FALSE)</f>
        <v>31440</v>
      </c>
      <c r="AB1226" s="202">
        <f>SUMIF(Allocation!C:C,Delivery[[#This Row],[Delivery ID]],Allocation!D:D)/Delivery[[#This Row],[Quantity delivered]]</f>
        <v>1</v>
      </c>
      <c r="AC1226" s="203">
        <f>Delivery[[#This Row],[Quantity delivered]]*Delivery[[#This Row],[Base price (Unidad)]]/60</f>
        <v>204639.79503999997</v>
      </c>
      <c r="AD1226" s="204">
        <f>Delivery[[#This Row],[Nespresso total]]-Delivery[[#This Row],[Qt. Delivery * Base Price]]</f>
        <v>-751.32480866005062</v>
      </c>
      <c r="AE1226" s="204">
        <f>Delivery[[#This Row],[AAA Premium (total)]]/Delivery[[#This Row],[Quantity delivered]]*60/Delivery[[#This Row],[Exchange rate VS USD]]</f>
        <v>6.680391757296201</v>
      </c>
      <c r="AF1226" s="204">
        <f>Delivery[[#This Row],[BEN premium (total)]]/Delivery[[#This Row],[Quantity delivered]]*60/Delivery[[#This Row],[Exchange rate for premiums VS USD]]</f>
        <v>2.1886853999999998</v>
      </c>
      <c r="AG1226" s="204">
        <f>COUNTIF(Delivery[Delivery ID],Delivery[[#This Row],[Delivery ID]])</f>
        <v>1</v>
      </c>
      <c r="AH1226" s="204">
        <f>(Delivery[[#This Row],[Nespresso total]]/SUMIF(Allocation!C:C,Delivery[Delivery ID],Allocation!H:H))/Delivery[[#This Row],[Exchange rate VS USD]]</f>
        <v>5.2810011580872507</v>
      </c>
      <c r="AI1226" s="204">
        <f>(Delivery[[#This Row],[AAA Premium (total)]]/SUMIF(Allocation!C:C,Delivery[Delivery ID],Allocation!H:H))/Delivery[[#This Row],[Exchange rate VS USD]]</f>
        <v>0.33658896930992394</v>
      </c>
      <c r="AJ1226" s="204">
        <f>Delivery[[#This Row],[Valor Prêmio Nespresso AAA por Kg (em US$)]]*60</f>
        <v>20.195338158595437</v>
      </c>
      <c r="AK1226" s="204">
        <f>Delivery[[#This Row],[Valor Prêmio Nespresso AAA por saca (em US$)]]/1.3228/100</f>
        <v>0.15267113818109646</v>
      </c>
      <c r="AL1226" s="204">
        <f>(Delivery[[#This Row],[BEN premium (total)]]/SUMIF(Allocation!C:C,Delivery[Delivery ID],Allocation!H:H))/Delivery[[#This Row],[Exchange rate for premiums VS USD]]</f>
        <v>0.11027607207692308</v>
      </c>
      <c r="AM1226" s="204">
        <f>Delivery[[#This Row],[Valor Prêmio Nespresso BEN por Kg (em US$)]]*60</f>
        <v>6.6165643246153847</v>
      </c>
      <c r="AN1226" s="204">
        <f>Delivery[[#This Row],[Valor Prêmio Nespresso BEN por saca (em US$)]]/1.3228/100</f>
        <v>5.0019385580702937E-2</v>
      </c>
      <c r="AO1226" s="204">
        <f>SUMIF(Allocation[Delivery ID],Delivery[[#This Row],[Delivery ID]],Allocation[Quantity allocated])*16*1.3228*Delivery[[#This Row],[Exchange rate VS USD]]/60</f>
        <v>13618.815086933331</v>
      </c>
      <c r="AP1226" s="204">
        <f>Delivery[[#This Row],[AAA Premium (total)]]</f>
        <v>12995</v>
      </c>
      <c r="AQ1226" s="204">
        <f>Delivery[[#This Row],[Valor pago pelo Cluster]]-Delivery[[#This Row],[Valor efetivamente pago pela Nespresso]]</f>
        <v>-623.81508693333126</v>
      </c>
    </row>
    <row r="1227" spans="1:43" ht="15.75">
      <c r="A1227" s="174" t="s">
        <v>69</v>
      </c>
      <c r="B1227" s="232" t="s">
        <v>68</v>
      </c>
      <c r="C1227" s="157" t="s">
        <v>1344</v>
      </c>
      <c r="D1227" s="157" t="s">
        <v>468</v>
      </c>
      <c r="E1227" s="177" t="s">
        <v>468</v>
      </c>
      <c r="F1227" s="233" t="s">
        <v>543</v>
      </c>
      <c r="G1227" s="234">
        <v>43481</v>
      </c>
      <c r="H1227" s="235" t="s">
        <v>1841</v>
      </c>
      <c r="I1227" s="157" t="s">
        <v>887</v>
      </c>
      <c r="J1227" s="237">
        <v>30730</v>
      </c>
      <c r="K1227" s="175" t="s">
        <v>61</v>
      </c>
      <c r="L1227" s="175" t="s">
        <v>439</v>
      </c>
      <c r="M1227" s="175" t="s">
        <v>1343</v>
      </c>
      <c r="N1227" s="198"/>
      <c r="O1227" s="199"/>
      <c r="P1227" s="181">
        <v>0</v>
      </c>
      <c r="Q1227" s="177">
        <v>43475</v>
      </c>
      <c r="R1227" s="178">
        <v>388.78286999999995</v>
      </c>
      <c r="S1227" s="179">
        <v>198195</v>
      </c>
      <c r="T1227" s="182" t="s">
        <v>45</v>
      </c>
      <c r="U1227" s="183">
        <v>3.6833999999999998</v>
      </c>
      <c r="V1227" s="179">
        <v>12890</v>
      </c>
      <c r="W1227" s="179">
        <v>0</v>
      </c>
      <c r="X1227" s="196" t="s">
        <v>45</v>
      </c>
      <c r="Y1227" s="200">
        <v>3.6833999999999998</v>
      </c>
      <c r="Z1227" s="221"/>
      <c r="AA1227" s="201">
        <f>Delivery[[#This Row],[Quantity delivered]]*VLOOKUP(Delivery[[#This Row],[Unit]],References!$U:$X,4,FALSE)*VLOOKUP(CONCATENATE(Delivery[[#This Row],[Coffee specie]],Delivery[[#This Row],[Coffee state]]),References!$U:$X,4,FALSE)</f>
        <v>30730</v>
      </c>
      <c r="AB1227" s="202">
        <f>SUMIF(Allocation!C:C,Delivery[[#This Row],[Delivery ID]],Allocation!D:D)/Delivery[[#This Row],[Quantity delivered]]</f>
        <v>0.89677839245037427</v>
      </c>
      <c r="AC1227" s="203">
        <f>Delivery[[#This Row],[Quantity delivered]]*Delivery[[#This Row],[Base price (Unidad)]]/60</f>
        <v>199121.62658499999</v>
      </c>
      <c r="AD1227" s="204">
        <f>Delivery[[#This Row],[Nespresso total]]-Delivery[[#This Row],[Qt. Delivery * Base Price]]</f>
        <v>-926.62658499999088</v>
      </c>
      <c r="AE1227" s="204">
        <f>Delivery[[#This Row],[AAA Premium (total)]]/Delivery[[#This Row],[Quantity delivered]]*60/Delivery[[#This Row],[Exchange rate VS USD]]</f>
        <v>6.8327058357933819</v>
      </c>
      <c r="AF1227" s="204">
        <f>Delivery[[#This Row],[BEN premium (total)]]/Delivery[[#This Row],[Quantity delivered]]*60/Delivery[[#This Row],[Exchange rate for premiums VS USD]]</f>
        <v>0</v>
      </c>
      <c r="AG1227" s="204">
        <f>COUNTIF(Delivery[Delivery ID],Delivery[[#This Row],[Delivery ID]])</f>
        <v>1</v>
      </c>
      <c r="AH1227" s="204">
        <f>(Delivery[[#This Row],[Nespresso total]]/SUMIF(Allocation!C:C,Delivery[Delivery ID],Allocation!H:H))/Delivery[[#This Row],[Exchange rate VS USD]]</f>
        <v>5.916826851927846</v>
      </c>
      <c r="AI1227" s="204">
        <f>(Delivery[[#This Row],[AAA Premium (total)]]/SUMIF(Allocation!C:C,Delivery[Delivery ID],Allocation!H:H))/Delivery[[#This Row],[Exchange rate VS USD]]</f>
        <v>0.38481242272181404</v>
      </c>
      <c r="AJ1227" s="204">
        <f>Delivery[[#This Row],[Valor Prêmio Nespresso AAA por Kg (em US$)]]*60</f>
        <v>23.088745363308842</v>
      </c>
      <c r="AK1227" s="204">
        <f>Delivery[[#This Row],[Valor Prêmio Nespresso AAA por saca (em US$)]]/1.3228/100</f>
        <v>0.17454449170931993</v>
      </c>
      <c r="AL1227" s="204">
        <f>(Delivery[[#This Row],[BEN premium (total)]]/SUMIF(Allocation!C:C,Delivery[Delivery ID],Allocation!H:H))/Delivery[[#This Row],[Exchange rate for premiums VS USD]]</f>
        <v>0</v>
      </c>
      <c r="AM1227" s="204">
        <f>Delivery[[#This Row],[Valor Prêmio Nespresso BEN por Kg (em US$)]]*60</f>
        <v>0</v>
      </c>
      <c r="AN1227" s="204">
        <f>Delivery[[#This Row],[Valor Prêmio Nespresso BEN por saca (em US$)]]/1.3228/100</f>
        <v>0</v>
      </c>
      <c r="AO1227" s="204">
        <f>SUMIF(Allocation[Delivery ID],Delivery[[#This Row],[Delivery ID]],Allocation[Quantity allocated])*16*1.3228*Delivery[[#This Row],[Exchange rate VS USD]]/60</f>
        <v>11815.898512767999</v>
      </c>
      <c r="AP1227" s="204">
        <f>Delivery[[#This Row],[AAA Premium (total)]]</f>
        <v>12890</v>
      </c>
      <c r="AQ1227" s="204">
        <f>Delivery[[#This Row],[Valor pago pelo Cluster]]-Delivery[[#This Row],[Valor efetivamente pago pela Nespresso]]</f>
        <v>1074.1014872320011</v>
      </c>
    </row>
    <row r="1228" spans="1:43" ht="15.75">
      <c r="A1228" s="174" t="s">
        <v>69</v>
      </c>
      <c r="B1228" s="232" t="s">
        <v>68</v>
      </c>
      <c r="C1228" s="157" t="s">
        <v>1344</v>
      </c>
      <c r="D1228" s="157" t="s">
        <v>468</v>
      </c>
      <c r="E1228" s="177" t="s">
        <v>468</v>
      </c>
      <c r="F1228" s="233" t="s">
        <v>543</v>
      </c>
      <c r="G1228" s="234">
        <v>43482</v>
      </c>
      <c r="H1228" s="235" t="s">
        <v>1842</v>
      </c>
      <c r="I1228" s="157" t="s">
        <v>1554</v>
      </c>
      <c r="J1228" s="237">
        <v>15830</v>
      </c>
      <c r="K1228" s="175" t="s">
        <v>61</v>
      </c>
      <c r="L1228" s="175" t="s">
        <v>439</v>
      </c>
      <c r="M1228" s="175" t="s">
        <v>1343</v>
      </c>
      <c r="N1228" s="198"/>
      <c r="O1228" s="199"/>
      <c r="P1228" s="181">
        <v>0</v>
      </c>
      <c r="Q1228" s="177">
        <v>43480</v>
      </c>
      <c r="R1228" s="178">
        <v>378.13887</v>
      </c>
      <c r="S1228" s="179">
        <v>105660.72</v>
      </c>
      <c r="T1228" s="182" t="s">
        <v>45</v>
      </c>
      <c r="U1228" s="183">
        <v>3.7018</v>
      </c>
      <c r="V1228" s="179">
        <v>9773.2800000000007</v>
      </c>
      <c r="W1228" s="179">
        <v>0</v>
      </c>
      <c r="X1228" s="196" t="s">
        <v>45</v>
      </c>
      <c r="Y1228" s="200">
        <v>3.7018</v>
      </c>
      <c r="Z1228" s="221"/>
      <c r="AA1228" s="201">
        <f>Delivery[[#This Row],[Quantity delivered]]*VLOOKUP(Delivery[[#This Row],[Unit]],References!$U:$X,4,FALSE)*VLOOKUP(CONCATENATE(Delivery[[#This Row],[Coffee specie]],Delivery[[#This Row],[Coffee state]]),References!$U:$X,4,FALSE)</f>
        <v>15830</v>
      </c>
      <c r="AB1228" s="202">
        <f>SUMIF(Allocation!C:C,Delivery[[#This Row],[Delivery ID]],Allocation!D:D)/Delivery[[#This Row],[Quantity delivered]]</f>
        <v>0.59147188881869872</v>
      </c>
      <c r="AC1228" s="203">
        <f>Delivery[[#This Row],[Quantity delivered]]*Delivery[[#This Row],[Base price (Unidad)]]/60</f>
        <v>99765.638534999991</v>
      </c>
      <c r="AD1228" s="204">
        <f>Delivery[[#This Row],[Nespresso total]]-Delivery[[#This Row],[Qt. Delivery * Base Price]]</f>
        <v>5895.0814650000102</v>
      </c>
      <c r="AE1228" s="204">
        <f>Delivery[[#This Row],[AAA Premium (total)]]/Delivery[[#This Row],[Quantity delivered]]*60/Delivery[[#This Row],[Exchange rate VS USD]]</f>
        <v>10.006857738396173</v>
      </c>
      <c r="AF1228" s="204">
        <f>Delivery[[#This Row],[BEN premium (total)]]/Delivery[[#This Row],[Quantity delivered]]*60/Delivery[[#This Row],[Exchange rate for premiums VS USD]]</f>
        <v>0</v>
      </c>
      <c r="AG1228" s="204">
        <f>COUNTIF(Delivery[Delivery ID],Delivery[[#This Row],[Delivery ID]])</f>
        <v>1</v>
      </c>
      <c r="AH1228" s="204">
        <f>(Delivery[[#This Row],[Nespresso total]]/SUMIF(Allocation!C:C,Delivery[Delivery ID],Allocation!H:H))/Delivery[[#This Row],[Exchange rate VS USD]]</f>
        <v>7.6216463379667134</v>
      </c>
      <c r="AI1228" s="204">
        <f>(Delivery[[#This Row],[AAA Premium (total)]]/SUMIF(Allocation!C:C,Delivery[Delivery ID],Allocation!H:H))/Delivery[[#This Row],[Exchange rate VS USD]]</f>
        <v>0.70497800622523998</v>
      </c>
      <c r="AJ1228" s="204">
        <f>Delivery[[#This Row],[Valor Prêmio Nespresso AAA por Kg (em US$)]]*60</f>
        <v>42.298680373514401</v>
      </c>
      <c r="AK1228" s="204">
        <f>Delivery[[#This Row],[Valor Prêmio Nespresso AAA por saca (em US$)]]/1.3228/100</f>
        <v>0.31976625622553978</v>
      </c>
      <c r="AL1228" s="204">
        <f>(Delivery[[#This Row],[BEN premium (total)]]/SUMIF(Allocation!C:C,Delivery[Delivery ID],Allocation!H:H))/Delivery[[#This Row],[Exchange rate for premiums VS USD]]</f>
        <v>0</v>
      </c>
      <c r="AM1228" s="204">
        <f>Delivery[[#This Row],[Valor Prêmio Nespresso BEN por Kg (em US$)]]*60</f>
        <v>0</v>
      </c>
      <c r="AN1228" s="204">
        <f>Delivery[[#This Row],[Valor Prêmio Nespresso BEN por saca (em US$)]]/1.3228/100</f>
        <v>0</v>
      </c>
      <c r="AO1228" s="204">
        <f>SUMIF(Allocation[Delivery ID],Delivery[[#This Row],[Delivery ID]],Allocation[Quantity allocated])*16*1.3228*Delivery[[#This Row],[Exchange rate VS USD]]/60</f>
        <v>4890.2120519466662</v>
      </c>
      <c r="AP1228" s="204">
        <f>Delivery[[#This Row],[AAA Premium (total)]]</f>
        <v>9773.2800000000007</v>
      </c>
      <c r="AQ1228" s="204">
        <f>Delivery[[#This Row],[Valor pago pelo Cluster]]-Delivery[[#This Row],[Valor efetivamente pago pela Nespresso]]</f>
        <v>4883.0679480533345</v>
      </c>
    </row>
    <row r="1229" spans="1:43" ht="15.75">
      <c r="A1229" s="174" t="s">
        <v>69</v>
      </c>
      <c r="B1229" s="232" t="s">
        <v>68</v>
      </c>
      <c r="C1229" s="157">
        <v>1</v>
      </c>
      <c r="D1229" s="157" t="s">
        <v>468</v>
      </c>
      <c r="E1229" s="177" t="s">
        <v>468</v>
      </c>
      <c r="F1229" s="233" t="s">
        <v>543</v>
      </c>
      <c r="G1229" s="234">
        <v>43483</v>
      </c>
      <c r="H1229" s="235" t="s">
        <v>2182</v>
      </c>
      <c r="I1229" s="236" t="s">
        <v>748</v>
      </c>
      <c r="J1229" s="237">
        <v>30170</v>
      </c>
      <c r="K1229" s="175" t="s">
        <v>61</v>
      </c>
      <c r="L1229" s="175" t="s">
        <v>439</v>
      </c>
      <c r="M1229" s="175" t="s">
        <v>1343</v>
      </c>
      <c r="N1229" s="198"/>
      <c r="O1229" s="199"/>
      <c r="P1229" s="181">
        <v>0</v>
      </c>
      <c r="Q1229" s="177">
        <v>43476</v>
      </c>
      <c r="R1229" s="178">
        <v>386.04951</v>
      </c>
      <c r="S1229" s="179">
        <v>212698.59</v>
      </c>
      <c r="T1229" s="182" t="s">
        <v>45</v>
      </c>
      <c r="U1229" s="183">
        <v>3.7138</v>
      </c>
      <c r="V1229" s="179">
        <v>18681.419999999998</v>
      </c>
      <c r="W1229" s="179">
        <v>0</v>
      </c>
      <c r="X1229" s="196" t="s">
        <v>45</v>
      </c>
      <c r="Y1229" s="200">
        <v>3.7138</v>
      </c>
      <c r="Z1229" s="220"/>
      <c r="AA1229" s="201">
        <f>Delivery[[#This Row],[Quantity delivered]]*VLOOKUP(Delivery[[#This Row],[Unit]],References!$U:$X,4,FALSE)*VLOOKUP(CONCATENATE(Delivery[[#This Row],[Coffee specie]],Delivery[[#This Row],[Coffee state]]),References!$U:$X,4,FALSE)</f>
        <v>30170</v>
      </c>
      <c r="AB1229" s="202">
        <f>SUMIF(Allocation!C:C,Delivery[[#This Row],[Delivery ID]],Allocation!D:D)/Delivery[[#This Row],[Quantity delivered]]</f>
        <v>7.4577394763009619E-2</v>
      </c>
      <c r="AC1229" s="203">
        <f>Delivery[[#This Row],[Quantity delivered]]*Delivery[[#This Row],[Base price (Unidad)]]/60</f>
        <v>194118.56194500002</v>
      </c>
      <c r="AD1229" s="204">
        <f>Delivery[[#This Row],[Nespresso total]]-Delivery[[#This Row],[Qt. Delivery * Base Price]]</f>
        <v>18580.028054999973</v>
      </c>
      <c r="AE1229" s="204">
        <f>Delivery[[#This Row],[AAA Premium (total)]]/Delivery[[#This Row],[Quantity delivered]]*60/Delivery[[#This Row],[Exchange rate VS USD]]</f>
        <v>10.003853261339387</v>
      </c>
      <c r="AF1229" s="204">
        <f>Delivery[[#This Row],[BEN premium (total)]]/Delivery[[#This Row],[Quantity delivered]]*60/Delivery[[#This Row],[Exchange rate for premiums VS USD]]</f>
        <v>0</v>
      </c>
      <c r="AG1229" s="204">
        <f>COUNTIF(Delivery[Delivery ID],Delivery[[#This Row],[Delivery ID]])</f>
        <v>1</v>
      </c>
      <c r="AH1229" s="204">
        <f>(Delivery[[#This Row],[Nespresso total]]/SUMIF(Allocation!C:C,Delivery[Delivery ID],Allocation!H:H))/Delivery[[#This Row],[Exchange rate VS USD]]</f>
        <v>50.908883982264349</v>
      </c>
      <c r="AI1229" s="204">
        <f>(Delivery[[#This Row],[AAA Premium (total)]]/SUMIF(Allocation!C:C,Delivery[Delivery ID],Allocation!H:H))/Delivery[[#This Row],[Exchange rate VS USD]]</f>
        <v>4.4713518947349522</v>
      </c>
      <c r="AJ1229" s="204">
        <f>Delivery[[#This Row],[Valor Prêmio Nespresso AAA por Kg (em US$)]]*60</f>
        <v>268.28111368409714</v>
      </c>
      <c r="AK1229" s="204">
        <f>Delivery[[#This Row],[Valor Prêmio Nespresso AAA por saca (em US$)]]/1.3228/100</f>
        <v>2.028130584246274</v>
      </c>
      <c r="AL1229" s="204">
        <f>(Delivery[[#This Row],[BEN premium (total)]]/SUMIF(Allocation!C:C,Delivery[Delivery ID],Allocation!H:H))/Delivery[[#This Row],[Exchange rate for premiums VS USD]]</f>
        <v>0</v>
      </c>
      <c r="AM1229" s="204">
        <f>Delivery[[#This Row],[Valor Prêmio Nespresso BEN por Kg (em US$)]]*60</f>
        <v>0</v>
      </c>
      <c r="AN1229" s="204">
        <f>Delivery[[#This Row],[Valor Prêmio Nespresso BEN por saca (em US$)]]/1.3228/100</f>
        <v>0</v>
      </c>
      <c r="AO1229" s="204">
        <f>SUMIF(Allocation[Delivery ID],Delivery[[#This Row],[Delivery ID]],Allocation[Quantity allocated])*16*1.3228*Delivery[[#This Row],[Exchange rate VS USD]]/60</f>
        <v>1473.784392</v>
      </c>
      <c r="AP1229" s="204">
        <f>Delivery[[#This Row],[AAA Premium (total)]]</f>
        <v>18681.419999999998</v>
      </c>
      <c r="AQ1229" s="204">
        <f>Delivery[[#This Row],[Valor pago pelo Cluster]]-Delivery[[#This Row],[Valor efetivamente pago pela Nespresso]]</f>
        <v>17207.635607999997</v>
      </c>
    </row>
    <row r="1230" spans="1:43" ht="15.75">
      <c r="A1230" s="174" t="s">
        <v>69</v>
      </c>
      <c r="B1230" s="232" t="s">
        <v>68</v>
      </c>
      <c r="C1230" s="157">
        <v>1</v>
      </c>
      <c r="D1230" s="157" t="s">
        <v>468</v>
      </c>
      <c r="E1230" s="177" t="s">
        <v>468</v>
      </c>
      <c r="F1230" s="233" t="s">
        <v>543</v>
      </c>
      <c r="G1230" s="234">
        <v>43483</v>
      </c>
      <c r="H1230" s="235" t="s">
        <v>2183</v>
      </c>
      <c r="I1230" s="236" t="s">
        <v>748</v>
      </c>
      <c r="J1230" s="237">
        <v>30270</v>
      </c>
      <c r="K1230" s="175" t="s">
        <v>61</v>
      </c>
      <c r="L1230" s="175" t="s">
        <v>439</v>
      </c>
      <c r="M1230" s="175" t="s">
        <v>1343</v>
      </c>
      <c r="N1230" s="198"/>
      <c r="O1230" s="199"/>
      <c r="P1230" s="181">
        <v>0</v>
      </c>
      <c r="Q1230" s="177">
        <v>43476</v>
      </c>
      <c r="R1230" s="178">
        <v>386.04951</v>
      </c>
      <c r="S1230" s="179">
        <v>213544.31</v>
      </c>
      <c r="T1230" s="182" t="s">
        <v>45</v>
      </c>
      <c r="U1230" s="183">
        <v>3.7138</v>
      </c>
      <c r="V1230" s="179">
        <v>18736.120999999999</v>
      </c>
      <c r="W1230" s="179">
        <v>0</v>
      </c>
      <c r="X1230" s="196" t="s">
        <v>45</v>
      </c>
      <c r="Y1230" s="200">
        <v>3.7138</v>
      </c>
      <c r="Z1230" s="220"/>
      <c r="AA1230" s="201">
        <f>Delivery[[#This Row],[Quantity delivered]]*VLOOKUP(Delivery[[#This Row],[Unit]],References!$U:$X,4,FALSE)*VLOOKUP(CONCATENATE(Delivery[[#This Row],[Coffee specie]],Delivery[[#This Row],[Coffee state]]),References!$U:$X,4,FALSE)</f>
        <v>30270</v>
      </c>
      <c r="AB1230" s="202">
        <f>SUMIF(Allocation!C:C,Delivery[[#This Row],[Delivery ID]],Allocation!D:D)/Delivery[[#This Row],[Quantity delivered]]</f>
        <v>7.45622728774364E-2</v>
      </c>
      <c r="AC1230" s="203">
        <f>Delivery[[#This Row],[Quantity delivered]]*Delivery[[#This Row],[Base price (Unidad)]]/60</f>
        <v>194761.97779500001</v>
      </c>
      <c r="AD1230" s="204">
        <f>Delivery[[#This Row],[Nespresso total]]-Delivery[[#This Row],[Qt. Delivery * Base Price]]</f>
        <v>18782.332204999984</v>
      </c>
      <c r="AE1230" s="204">
        <f>Delivery[[#This Row],[AAA Premium (total)]]/Delivery[[#This Row],[Quantity delivered]]*60/Delivery[[#This Row],[Exchange rate VS USD]]</f>
        <v>10</v>
      </c>
      <c r="AF1230" s="204">
        <f>Delivery[[#This Row],[BEN premium (total)]]/Delivery[[#This Row],[Quantity delivered]]*60/Delivery[[#This Row],[Exchange rate for premiums VS USD]]</f>
        <v>0</v>
      </c>
      <c r="AG1230" s="204">
        <f>COUNTIF(Delivery[Delivery ID],Delivery[[#This Row],[Delivery ID]])</f>
        <v>1</v>
      </c>
      <c r="AH1230" s="204">
        <f>(Delivery[[#This Row],[Nespresso total]]/SUMIF(Allocation!C:C,Delivery[Delivery ID],Allocation!H:H))/Delivery[[#This Row],[Exchange rate VS USD]]</f>
        <v>50.930219756815376</v>
      </c>
      <c r="AI1230" s="204">
        <f>(Delivery[[#This Row],[AAA Premium (total)]]/SUMIF(Allocation!C:C,Delivery[Delivery ID],Allocation!H:H))/Delivery[[#This Row],[Exchange rate VS USD]]</f>
        <v>4.4685562444641276</v>
      </c>
      <c r="AJ1230" s="204">
        <f>Delivery[[#This Row],[Valor Prêmio Nespresso AAA por Kg (em US$)]]*60</f>
        <v>268.11337466784767</v>
      </c>
      <c r="AK1230" s="204">
        <f>Delivery[[#This Row],[Valor Prêmio Nespresso AAA por saca (em US$)]]/1.3228/100</f>
        <v>2.0268625239480471</v>
      </c>
      <c r="AL1230" s="204">
        <f>(Delivery[[#This Row],[BEN premium (total)]]/SUMIF(Allocation!C:C,Delivery[Delivery ID],Allocation!H:H))/Delivery[[#This Row],[Exchange rate for premiums VS USD]]</f>
        <v>0</v>
      </c>
      <c r="AM1230" s="204">
        <f>Delivery[[#This Row],[Valor Prêmio Nespresso BEN por Kg (em US$)]]*60</f>
        <v>0</v>
      </c>
      <c r="AN1230" s="204">
        <f>Delivery[[#This Row],[Valor Prêmio Nespresso BEN por saca (em US$)]]/1.3228/100</f>
        <v>0</v>
      </c>
      <c r="AO1230" s="204">
        <f>SUMIF(Allocation[Delivery ID],Delivery[[#This Row],[Delivery ID]],Allocation[Quantity allocated])*16*1.3228*Delivery[[#This Row],[Exchange rate VS USD]]/60</f>
        <v>1479.0245142826668</v>
      </c>
      <c r="AP1230" s="204">
        <f>Delivery[[#This Row],[AAA Premium (total)]]</f>
        <v>18736.120999999999</v>
      </c>
      <c r="AQ1230" s="204">
        <f>Delivery[[#This Row],[Valor pago pelo Cluster]]-Delivery[[#This Row],[Valor efetivamente pago pela Nespresso]]</f>
        <v>17257.096485717331</v>
      </c>
    </row>
    <row r="1231" spans="1:43" ht="15.75">
      <c r="A1231" s="174" t="s">
        <v>69</v>
      </c>
      <c r="B1231" s="232" t="s">
        <v>68</v>
      </c>
      <c r="C1231" s="157">
        <v>1</v>
      </c>
      <c r="D1231" s="157" t="s">
        <v>468</v>
      </c>
      <c r="E1231" s="177" t="s">
        <v>468</v>
      </c>
      <c r="F1231" s="233" t="s">
        <v>543</v>
      </c>
      <c r="G1231" s="234">
        <v>43483</v>
      </c>
      <c r="H1231" s="235" t="s">
        <v>2184</v>
      </c>
      <c r="I1231" s="236" t="s">
        <v>748</v>
      </c>
      <c r="J1231" s="237">
        <v>31230</v>
      </c>
      <c r="K1231" s="175" t="s">
        <v>61</v>
      </c>
      <c r="L1231" s="175" t="s">
        <v>439</v>
      </c>
      <c r="M1231" s="175" t="s">
        <v>1343</v>
      </c>
      <c r="N1231" s="198"/>
      <c r="O1231" s="199"/>
      <c r="P1231" s="181">
        <v>0</v>
      </c>
      <c r="Q1231" s="177">
        <v>43476</v>
      </c>
      <c r="R1231" s="178">
        <v>386.04951</v>
      </c>
      <c r="S1231" s="179">
        <v>219887.21</v>
      </c>
      <c r="T1231" s="182" t="s">
        <v>45</v>
      </c>
      <c r="U1231" s="183">
        <v>3.7138</v>
      </c>
      <c r="V1231" s="179">
        <v>19312.28</v>
      </c>
      <c r="W1231" s="179">
        <v>0</v>
      </c>
      <c r="X1231" s="196" t="s">
        <v>45</v>
      </c>
      <c r="Y1231" s="200">
        <v>3.7138</v>
      </c>
      <c r="Z1231" s="220"/>
      <c r="AA1231" s="201">
        <f>Delivery[[#This Row],[Quantity delivered]]*VLOOKUP(Delivery[[#This Row],[Unit]],References!$U:$X,4,FALSE)*VLOOKUP(CONCATENATE(Delivery[[#This Row],[Coffee specie]],Delivery[[#This Row],[Coffee state]]),References!$U:$X,4,FALSE)</f>
        <v>31230</v>
      </c>
      <c r="AB1231" s="202">
        <f>SUMIF(Allocation!C:C,Delivery[[#This Row],[Delivery ID]],Allocation!D:D)/Delivery[[#This Row],[Quantity delivered]]</f>
        <v>7.4575728466218377E-2</v>
      </c>
      <c r="AC1231" s="203">
        <f>Delivery[[#This Row],[Quantity delivered]]*Delivery[[#This Row],[Base price (Unidad)]]/60</f>
        <v>200938.769955</v>
      </c>
      <c r="AD1231" s="204">
        <f>Delivery[[#This Row],[Nespresso total]]-Delivery[[#This Row],[Qt. Delivery * Base Price]]</f>
        <v>18948.440044999996</v>
      </c>
      <c r="AE1231" s="204">
        <f>Delivery[[#This Row],[AAA Premium (total)]]/Delivery[[#This Row],[Quantity delivered]]*60/Delivery[[#This Row],[Exchange rate VS USD]]</f>
        <v>9.9906628593853721</v>
      </c>
      <c r="AF1231" s="204">
        <f>Delivery[[#This Row],[BEN premium (total)]]/Delivery[[#This Row],[Quantity delivered]]*60/Delivery[[#This Row],[Exchange rate for premiums VS USD]]</f>
        <v>0</v>
      </c>
      <c r="AG1231" s="204">
        <f>COUNTIF(Delivery[Delivery ID],Delivery[[#This Row],[Delivery ID]])</f>
        <v>1</v>
      </c>
      <c r="AH1231" s="204">
        <f>(Delivery[[#This Row],[Nespresso total]]/SUMIF(Allocation!C:C,Delivery[Delivery ID],Allocation!H:H))/Delivery[[#This Row],[Exchange rate VS USD]]</f>
        <v>50.866104206119687</v>
      </c>
      <c r="AI1231" s="204">
        <f>(Delivery[[#This Row],[AAA Premium (total)]]/SUMIF(Allocation!C:C,Delivery[Delivery ID],Allocation!H:H))/Delivery[[#This Row],[Exchange rate VS USD]]</f>
        <v>4.4674742425344389</v>
      </c>
      <c r="AJ1231" s="204">
        <f>Delivery[[#This Row],[Valor Prêmio Nespresso AAA por Kg (em US$)]]*60</f>
        <v>268.04845455206635</v>
      </c>
      <c r="AK1231" s="204">
        <f>Delivery[[#This Row],[Valor Prêmio Nespresso AAA por saca (em US$)]]/1.3228/100</f>
        <v>2.0263717459333712</v>
      </c>
      <c r="AL1231" s="204">
        <f>(Delivery[[#This Row],[BEN premium (total)]]/SUMIF(Allocation!C:C,Delivery[Delivery ID],Allocation!H:H))/Delivery[[#This Row],[Exchange rate for premiums VS USD]]</f>
        <v>0</v>
      </c>
      <c r="AM1231" s="204">
        <f>Delivery[[#This Row],[Valor Prêmio Nespresso BEN por Kg (em US$)]]*60</f>
        <v>0</v>
      </c>
      <c r="AN1231" s="204">
        <f>Delivery[[#This Row],[Valor Prêmio Nespresso BEN por saca (em US$)]]/1.3228/100</f>
        <v>0</v>
      </c>
      <c r="AO1231" s="204">
        <f>SUMIF(Allocation[Delivery ID],Delivery[[#This Row],[Delivery ID]],Allocation[Quantity allocated])*16*1.3228*Delivery[[#This Row],[Exchange rate VS USD]]/60</f>
        <v>1524.8755842559999</v>
      </c>
      <c r="AP1231" s="204">
        <f>Delivery[[#This Row],[AAA Premium (total)]]</f>
        <v>19312.28</v>
      </c>
      <c r="AQ1231" s="204">
        <f>Delivery[[#This Row],[Valor pago pelo Cluster]]-Delivery[[#This Row],[Valor efetivamente pago pela Nespresso]]</f>
        <v>17787.404415744</v>
      </c>
    </row>
    <row r="1232" spans="1:43" ht="15.75">
      <c r="A1232" s="174" t="s">
        <v>69</v>
      </c>
      <c r="B1232" s="232" t="s">
        <v>68</v>
      </c>
      <c r="C1232" s="157">
        <v>1</v>
      </c>
      <c r="D1232" s="157" t="s">
        <v>468</v>
      </c>
      <c r="E1232" s="177" t="s">
        <v>468</v>
      </c>
      <c r="F1232" s="233" t="s">
        <v>543</v>
      </c>
      <c r="G1232" s="234">
        <v>43483</v>
      </c>
      <c r="H1232" s="235" t="s">
        <v>2185</v>
      </c>
      <c r="I1232" s="236" t="s">
        <v>748</v>
      </c>
      <c r="J1232" s="237">
        <v>19572</v>
      </c>
      <c r="K1232" s="175" t="s">
        <v>61</v>
      </c>
      <c r="L1232" s="175" t="s">
        <v>439</v>
      </c>
      <c r="M1232" s="175" t="s">
        <v>1343</v>
      </c>
      <c r="N1232" s="198"/>
      <c r="O1232" s="199"/>
      <c r="P1232" s="181">
        <v>0</v>
      </c>
      <c r="Q1232" s="177">
        <v>43476</v>
      </c>
      <c r="R1232" s="178">
        <v>386.04951</v>
      </c>
      <c r="S1232" s="179">
        <v>137781.89000000001</v>
      </c>
      <c r="T1232" s="182" t="s">
        <v>45</v>
      </c>
      <c r="U1232" s="183">
        <v>3.7138</v>
      </c>
      <c r="V1232" s="179">
        <v>12070.5</v>
      </c>
      <c r="W1232" s="179">
        <v>0</v>
      </c>
      <c r="X1232" s="196" t="s">
        <v>45</v>
      </c>
      <c r="Y1232" s="200">
        <v>3.7138</v>
      </c>
      <c r="Z1232" s="220"/>
      <c r="AA1232" s="201">
        <f>Delivery[[#This Row],[Quantity delivered]]*VLOOKUP(Delivery[[#This Row],[Unit]],References!$U:$X,4,FALSE)*VLOOKUP(CONCATENATE(Delivery[[#This Row],[Coffee specie]],Delivery[[#This Row],[Coffee state]]),References!$U:$X,4,FALSE)</f>
        <v>19572</v>
      </c>
      <c r="AB1232" s="202">
        <f>SUMIF(Allocation!C:C,Delivery[[#This Row],[Delivery ID]],Allocation!D:D)/Delivery[[#This Row],[Quantity delivered]]</f>
        <v>7.454526875127733E-2</v>
      </c>
      <c r="AC1232" s="203">
        <f>Delivery[[#This Row],[Quantity delivered]]*Delivery[[#This Row],[Base price (Unidad)]]/60</f>
        <v>125929.35016199999</v>
      </c>
      <c r="AD1232" s="204">
        <f>Delivery[[#This Row],[Nespresso total]]-Delivery[[#This Row],[Qt. Delivery * Base Price]]</f>
        <v>11852.539838000026</v>
      </c>
      <c r="AE1232" s="204">
        <f>Delivery[[#This Row],[AAA Premium (total)]]/Delivery[[#This Row],[Quantity delivered]]*60/Delivery[[#This Row],[Exchange rate VS USD]]</f>
        <v>9.9637493037633629</v>
      </c>
      <c r="AF1232" s="204">
        <f>Delivery[[#This Row],[BEN premium (total)]]/Delivery[[#This Row],[Quantity delivered]]*60/Delivery[[#This Row],[Exchange rate for premiums VS USD]]</f>
        <v>0</v>
      </c>
      <c r="AG1232" s="204">
        <f>COUNTIF(Delivery[Delivery ID],Delivery[[#This Row],[Delivery ID]])</f>
        <v>1</v>
      </c>
      <c r="AH1232" s="204">
        <f>(Delivery[[#This Row],[Nespresso total]]/SUMIF(Allocation!C:C,Delivery[Delivery ID],Allocation!H:H))/Delivery[[#This Row],[Exchange rate VS USD]]</f>
        <v>50.821884611043451</v>
      </c>
      <c r="AI1232" s="204">
        <f>(Delivery[[#This Row],[AAA Premium (total)]]/SUMIF(Allocation!C:C,Delivery[Delivery ID],Allocation!H:H))/Delivery[[#This Row],[Exchange rate VS USD]]</f>
        <v>4.4522945519008337</v>
      </c>
      <c r="AJ1232" s="204">
        <f>Delivery[[#This Row],[Valor Prêmio Nespresso AAA por Kg (em US$)]]*60</f>
        <v>267.13767311405002</v>
      </c>
      <c r="AK1232" s="204">
        <f>Delivery[[#This Row],[Valor Prêmio Nespresso AAA por saca (em US$)]]/1.3228/100</f>
        <v>2.0194864916393258</v>
      </c>
      <c r="AL1232" s="204">
        <f>(Delivery[[#This Row],[BEN premium (total)]]/SUMIF(Allocation!C:C,Delivery[Delivery ID],Allocation!H:H))/Delivery[[#This Row],[Exchange rate for premiums VS USD]]</f>
        <v>0</v>
      </c>
      <c r="AM1232" s="204">
        <f>Delivery[[#This Row],[Valor Prêmio Nespresso BEN por Kg (em US$)]]*60</f>
        <v>0</v>
      </c>
      <c r="AN1232" s="204">
        <f>Delivery[[#This Row],[Valor Prêmio Nespresso BEN por saca (em US$)]]/1.3228/100</f>
        <v>0</v>
      </c>
      <c r="AO1232" s="204">
        <f>SUMIF(Allocation[Delivery ID],Delivery[[#This Row],[Delivery ID]],Allocation[Quantity allocated])*16*1.3228*Delivery[[#This Row],[Exchange rate VS USD]]/60</f>
        <v>956.32231658666672</v>
      </c>
      <c r="AP1232" s="204">
        <f>Delivery[[#This Row],[AAA Premium (total)]]</f>
        <v>12070.5</v>
      </c>
      <c r="AQ1232" s="204">
        <f>Delivery[[#This Row],[Valor pago pelo Cluster]]-Delivery[[#This Row],[Valor efetivamente pago pela Nespresso]]</f>
        <v>11114.177683413332</v>
      </c>
    </row>
    <row r="1233" spans="1:43" ht="15.75">
      <c r="A1233" s="174" t="s">
        <v>69</v>
      </c>
      <c r="B1233" s="232" t="s">
        <v>68</v>
      </c>
      <c r="C1233" s="157">
        <v>1</v>
      </c>
      <c r="D1233" s="157" t="s">
        <v>468</v>
      </c>
      <c r="E1233" s="177" t="s">
        <v>468</v>
      </c>
      <c r="F1233" s="233" t="s">
        <v>543</v>
      </c>
      <c r="G1233" s="234">
        <v>43483</v>
      </c>
      <c r="H1233" s="235" t="s">
        <v>2186</v>
      </c>
      <c r="I1233" s="236" t="s">
        <v>748</v>
      </c>
      <c r="J1233" s="237">
        <v>10748</v>
      </c>
      <c r="K1233" s="175" t="s">
        <v>61</v>
      </c>
      <c r="L1233" s="175" t="s">
        <v>439</v>
      </c>
      <c r="M1233" s="175" t="s">
        <v>1343</v>
      </c>
      <c r="N1233" s="198"/>
      <c r="O1233" s="199"/>
      <c r="P1233" s="181">
        <v>0</v>
      </c>
      <c r="Q1233" s="177">
        <v>43476</v>
      </c>
      <c r="R1233" s="178">
        <v>386.04951</v>
      </c>
      <c r="S1233" s="179">
        <v>75762.42</v>
      </c>
      <c r="T1233" s="182" t="s">
        <v>45</v>
      </c>
      <c r="U1233" s="183">
        <v>3.7138</v>
      </c>
      <c r="V1233" s="179">
        <v>6685.2</v>
      </c>
      <c r="W1233" s="179">
        <v>0</v>
      </c>
      <c r="X1233" s="196" t="s">
        <v>45</v>
      </c>
      <c r="Y1233" s="200">
        <v>3.7138</v>
      </c>
      <c r="Z1233" s="220"/>
      <c r="AA1233" s="201">
        <f>Delivery[[#This Row],[Quantity delivered]]*VLOOKUP(Delivery[[#This Row],[Unit]],References!$U:$X,4,FALSE)*VLOOKUP(CONCATENATE(Delivery[[#This Row],[Coffee specie]],Delivery[[#This Row],[Coffee state]]),References!$U:$X,4,FALSE)</f>
        <v>10748</v>
      </c>
      <c r="AB1233" s="202">
        <f>SUMIF(Allocation!C:C,Delivery[[#This Row],[Delivery ID]],Allocation!D:D)/Delivery[[#This Row],[Quantity delivered]]</f>
        <v>7.4525493114998134E-2</v>
      </c>
      <c r="AC1233" s="203">
        <f>Delivery[[#This Row],[Quantity delivered]]*Delivery[[#This Row],[Base price (Unidad)]]/60</f>
        <v>69154.335557999992</v>
      </c>
      <c r="AD1233" s="204">
        <f>Delivery[[#This Row],[Nespresso total]]-Delivery[[#This Row],[Qt. Delivery * Base Price]]</f>
        <v>6608.0844420000067</v>
      </c>
      <c r="AE1233" s="204">
        <f>Delivery[[#This Row],[AAA Premium (total)]]/Delivery[[#This Row],[Quantity delivered]]*60/Delivery[[#This Row],[Exchange rate VS USD]]</f>
        <v>10.048922231595482</v>
      </c>
      <c r="AF1233" s="204">
        <f>Delivery[[#This Row],[BEN premium (total)]]/Delivery[[#This Row],[Quantity delivered]]*60/Delivery[[#This Row],[Exchange rate for premiums VS USD]]</f>
        <v>0</v>
      </c>
      <c r="AG1233" s="204">
        <f>COUNTIF(Delivery[Delivery ID],Delivery[[#This Row],[Delivery ID]])</f>
        <v>1</v>
      </c>
      <c r="AH1233" s="204">
        <f>(Delivery[[#This Row],[Nespresso total]]/SUMIF(Allocation!C:C,Delivery[Delivery ID],Allocation!H:H))/Delivery[[#This Row],[Exchange rate VS USD]]</f>
        <v>50.873422292725294</v>
      </c>
      <c r="AI1233" s="204">
        <f>(Delivery[[#This Row],[AAA Premium (total)]]/SUMIF(Allocation!C:C,Delivery[Delivery ID],Allocation!H:H))/Delivery[[#This Row],[Exchange rate VS USD]]</f>
        <v>4.4890197899080713</v>
      </c>
      <c r="AJ1233" s="204">
        <f>Delivery[[#This Row],[Valor Prêmio Nespresso AAA por Kg (em US$)]]*60</f>
        <v>269.34118739448428</v>
      </c>
      <c r="AK1233" s="204">
        <f>Delivery[[#This Row],[Valor Prêmio Nespresso AAA por saca (em US$)]]/1.3228/100</f>
        <v>2.0361444465866669</v>
      </c>
      <c r="AL1233" s="204">
        <f>(Delivery[[#This Row],[BEN premium (total)]]/SUMIF(Allocation!C:C,Delivery[Delivery ID],Allocation!H:H))/Delivery[[#This Row],[Exchange rate for premiums VS USD]]</f>
        <v>0</v>
      </c>
      <c r="AM1233" s="204">
        <f>Delivery[[#This Row],[Valor Prêmio Nespresso BEN por Kg (em US$)]]*60</f>
        <v>0</v>
      </c>
      <c r="AN1233" s="204">
        <f>Delivery[[#This Row],[Valor Prêmio Nespresso BEN por saca (em US$)]]/1.3228/100</f>
        <v>0</v>
      </c>
      <c r="AO1233" s="204">
        <f>SUMIF(Allocation[Delivery ID],Delivery[[#This Row],[Delivery ID]],Allocation[Quantity allocated])*16*1.3228*Delivery[[#This Row],[Exchange rate VS USD]]/60</f>
        <v>525.32225883733338</v>
      </c>
      <c r="AP1233" s="204">
        <f>Delivery[[#This Row],[AAA Premium (total)]]</f>
        <v>6685.2</v>
      </c>
      <c r="AQ1233" s="204">
        <f>Delivery[[#This Row],[Valor pago pelo Cluster]]-Delivery[[#This Row],[Valor efetivamente pago pela Nespresso]]</f>
        <v>6159.8777411626661</v>
      </c>
    </row>
    <row r="1234" spans="1:43" ht="15.75">
      <c r="A1234" s="174" t="s">
        <v>69</v>
      </c>
      <c r="B1234" s="232" t="s">
        <v>68</v>
      </c>
      <c r="C1234" s="157">
        <v>1</v>
      </c>
      <c r="D1234" s="157" t="s">
        <v>468</v>
      </c>
      <c r="E1234" s="177" t="s">
        <v>468</v>
      </c>
      <c r="F1234" s="233" t="s">
        <v>543</v>
      </c>
      <c r="G1234" s="234">
        <v>43487</v>
      </c>
      <c r="H1234" s="157" t="s">
        <v>1843</v>
      </c>
      <c r="I1234" s="236" t="s">
        <v>1662</v>
      </c>
      <c r="J1234" s="237">
        <v>11370</v>
      </c>
      <c r="K1234" s="175" t="s">
        <v>61</v>
      </c>
      <c r="L1234" s="175" t="s">
        <v>439</v>
      </c>
      <c r="M1234" s="175" t="s">
        <v>1343</v>
      </c>
      <c r="N1234" s="198"/>
      <c r="O1234" s="199"/>
      <c r="P1234" s="181">
        <v>0</v>
      </c>
      <c r="Q1234" s="177">
        <v>43480</v>
      </c>
      <c r="R1234" s="178">
        <v>375.54972000000004</v>
      </c>
      <c r="S1234" s="179">
        <v>75821.98</v>
      </c>
      <c r="T1234" s="182" t="s">
        <v>45</v>
      </c>
      <c r="U1234" s="183">
        <v>3.7128000000000001</v>
      </c>
      <c r="V1234" s="179">
        <v>7036.14</v>
      </c>
      <c r="W1234" s="179">
        <v>0</v>
      </c>
      <c r="X1234" s="196" t="s">
        <v>45</v>
      </c>
      <c r="Y1234" s="200">
        <v>3.7128000000000001</v>
      </c>
      <c r="Z1234" s="220"/>
      <c r="AA1234" s="201">
        <f>Delivery[[#This Row],[Quantity delivered]]*VLOOKUP(Delivery[[#This Row],[Unit]],References!$U:$X,4,FALSE)*VLOOKUP(CONCATENATE(Delivery[[#This Row],[Coffee specie]],Delivery[[#This Row],[Coffee state]]),References!$U:$X,4,FALSE)</f>
        <v>11370</v>
      </c>
      <c r="AB1234" s="202">
        <f>SUMIF(Allocation!C:C,Delivery[[#This Row],[Delivery ID]],Allocation!D:D)/Delivery[[#This Row],[Quantity delivered]]</f>
        <v>0.81398416886543534</v>
      </c>
      <c r="AC1234" s="203">
        <f>Delivery[[#This Row],[Quantity delivered]]*Delivery[[#This Row],[Base price (Unidad)]]/60</f>
        <v>71166.671940000015</v>
      </c>
      <c r="AD1234" s="204">
        <f>Delivery[[#This Row],[Nespresso total]]-Delivery[[#This Row],[Qt. Delivery * Base Price]]</f>
        <v>4655.3080599999812</v>
      </c>
      <c r="AE1234" s="204">
        <f>Delivery[[#This Row],[AAA Premium (total)]]/Delivery[[#This Row],[Quantity delivered]]*60/Delivery[[#This Row],[Exchange rate VS USD]]</f>
        <v>10.000545783566114</v>
      </c>
      <c r="AF1234" s="204">
        <f>Delivery[[#This Row],[BEN premium (total)]]/Delivery[[#This Row],[Quantity delivered]]*60/Delivery[[#This Row],[Exchange rate for premiums VS USD]]</f>
        <v>0</v>
      </c>
      <c r="AG1234" s="204">
        <f>COUNTIF(Delivery[Delivery ID],Delivery[[#This Row],[Delivery ID]])</f>
        <v>1</v>
      </c>
      <c r="AH1234" s="204">
        <f>(Delivery[[#This Row],[Nespresso total]]/SUMIF(Allocation!C:C,Delivery[Delivery ID],Allocation!H:H))/Delivery[[#This Row],[Exchange rate VS USD]]</f>
        <v>5.2538664037778737</v>
      </c>
      <c r="AI1234" s="204">
        <f>(Delivery[[#This Row],[AAA Premium (total)]]/SUMIF(Allocation!C:C,Delivery[Delivery ID],Allocation!H:H))/Delivery[[#This Row],[Exchange rate VS USD]]</f>
        <v>0.48754911911134013</v>
      </c>
      <c r="AJ1234" s="204">
        <f>Delivery[[#This Row],[Valor Prêmio Nespresso AAA por Kg (em US$)]]*60</f>
        <v>29.252947146680409</v>
      </c>
      <c r="AK1234" s="204">
        <f>Delivery[[#This Row],[Valor Prêmio Nespresso AAA por saca (em US$)]]/1.3228/100</f>
        <v>0.22114414232446633</v>
      </c>
      <c r="AL1234" s="204">
        <f>(Delivery[[#This Row],[BEN premium (total)]]/SUMIF(Allocation!C:C,Delivery[Delivery ID],Allocation!H:H))/Delivery[[#This Row],[Exchange rate for premiums VS USD]]</f>
        <v>0</v>
      </c>
      <c r="AM1234" s="204">
        <f>Delivery[[#This Row],[Valor Prêmio Nespresso BEN por Kg (em US$)]]*60</f>
        <v>0</v>
      </c>
      <c r="AN1234" s="204">
        <f>Delivery[[#This Row],[Valor Prêmio Nespresso BEN por saca (em US$)]]/1.3228/100</f>
        <v>0</v>
      </c>
      <c r="AO1234" s="204">
        <f>SUMIF(Allocation[Delivery ID],Delivery[[#This Row],[Delivery ID]],Allocation[Quantity allocated])*16*1.3228*Delivery[[#This Row],[Exchange rate VS USD]]/60</f>
        <v>5090.7177018880002</v>
      </c>
      <c r="AP1234" s="204">
        <f>Delivery[[#This Row],[AAA Premium (total)]]</f>
        <v>7036.14</v>
      </c>
      <c r="AQ1234" s="204">
        <f>Delivery[[#This Row],[Valor pago pelo Cluster]]-Delivery[[#This Row],[Valor efetivamente pago pela Nespresso]]</f>
        <v>1945.4222981120001</v>
      </c>
    </row>
    <row r="1235" spans="1:43" ht="15.75">
      <c r="A1235" s="174" t="s">
        <v>69</v>
      </c>
      <c r="B1235" s="232" t="s">
        <v>68</v>
      </c>
      <c r="C1235" s="157">
        <v>1</v>
      </c>
      <c r="D1235" s="157" t="s">
        <v>468</v>
      </c>
      <c r="E1235" s="177" t="s">
        <v>468</v>
      </c>
      <c r="F1235" s="233" t="s">
        <v>543</v>
      </c>
      <c r="G1235" s="234">
        <v>43488</v>
      </c>
      <c r="H1235" s="235" t="s">
        <v>2050</v>
      </c>
      <c r="I1235" s="236" t="s">
        <v>958</v>
      </c>
      <c r="J1235" s="237">
        <v>30210</v>
      </c>
      <c r="K1235" s="175" t="s">
        <v>61</v>
      </c>
      <c r="L1235" s="175" t="s">
        <v>439</v>
      </c>
      <c r="M1235" s="175" t="s">
        <v>1343</v>
      </c>
      <c r="N1235" s="198"/>
      <c r="O1235" s="199"/>
      <c r="P1235" s="181">
        <v>0</v>
      </c>
      <c r="Q1235" s="177">
        <v>43481</v>
      </c>
      <c r="R1235" s="178">
        <v>382.730525</v>
      </c>
      <c r="S1235" s="179">
        <v>207519</v>
      </c>
      <c r="T1235" s="182" t="s">
        <v>45</v>
      </c>
      <c r="U1235" s="183">
        <v>3.7284999999999999</v>
      </c>
      <c r="V1235" s="179">
        <v>18645</v>
      </c>
      <c r="W1235" s="179">
        <v>0</v>
      </c>
      <c r="X1235" s="196" t="s">
        <v>45</v>
      </c>
      <c r="Y1235" s="200">
        <v>3.7284999999999999</v>
      </c>
      <c r="Z1235" s="220"/>
      <c r="AA1235" s="201">
        <f>Delivery[[#This Row],[Quantity delivered]]*VLOOKUP(Delivery[[#This Row],[Unit]],References!$U:$X,4,FALSE)*VLOOKUP(CONCATENATE(Delivery[[#This Row],[Coffee specie]],Delivery[[#This Row],[Coffee state]]),References!$U:$X,4,FALSE)</f>
        <v>30210</v>
      </c>
      <c r="AB1235" s="202">
        <f>SUMIF(Allocation!C:C,Delivery[[#This Row],[Delivery ID]],Allocation!D:D)/Delivery[[#This Row],[Quantity delivered]]</f>
        <v>0.19192320423700762</v>
      </c>
      <c r="AC1235" s="203">
        <f>Delivery[[#This Row],[Quantity delivered]]*Delivery[[#This Row],[Base price (Unidad)]]/60</f>
        <v>192704.8193375</v>
      </c>
      <c r="AD1235" s="204">
        <f>Delivery[[#This Row],[Nespresso total]]-Delivery[[#This Row],[Qt. Delivery * Base Price]]</f>
        <v>14814.180662500003</v>
      </c>
      <c r="AE1235" s="204">
        <f>Delivery[[#This Row],[AAA Premium (total)]]/Delivery[[#This Row],[Quantity delivered]]*60/Delivery[[#This Row],[Exchange rate VS USD]]</f>
        <v>9.9318182938020438</v>
      </c>
      <c r="AF1235" s="204">
        <f>Delivery[[#This Row],[BEN premium (total)]]/Delivery[[#This Row],[Quantity delivered]]*60/Delivery[[#This Row],[Exchange rate for premiums VS USD]]</f>
        <v>0</v>
      </c>
      <c r="AG1235" s="204">
        <f>COUNTIF(Delivery[Delivery ID],Delivery[[#This Row],[Delivery ID]])</f>
        <v>1</v>
      </c>
      <c r="AH1235" s="204">
        <f>(Delivery[[#This Row],[Nespresso total]]/SUMIF(Allocation!C:C,Delivery[Delivery ID],Allocation!H:H))/Delivery[[#This Row],[Exchange rate VS USD]]</f>
        <v>18.460200005737708</v>
      </c>
      <c r="AI1235" s="204">
        <f>(Delivery[[#This Row],[AAA Premium (total)]]/SUMIF(Allocation!C:C,Delivery[Delivery ID],Allocation!H:H))/Delivery[[#This Row],[Exchange rate VS USD]]</f>
        <v>1.6585971843878369</v>
      </c>
      <c r="AJ1235" s="204">
        <f>Delivery[[#This Row],[Valor Prêmio Nespresso AAA por Kg (em US$)]]*60</f>
        <v>99.515831063270213</v>
      </c>
      <c r="AK1235" s="204">
        <f>Delivery[[#This Row],[Valor Prêmio Nespresso AAA por saca (em US$)]]/1.3228/100</f>
        <v>0.75231199775680535</v>
      </c>
      <c r="AL1235" s="204">
        <f>(Delivery[[#This Row],[BEN premium (total)]]/SUMIF(Allocation!C:C,Delivery[Delivery ID],Allocation!H:H))/Delivery[[#This Row],[Exchange rate for premiums VS USD]]</f>
        <v>0</v>
      </c>
      <c r="AM1235" s="204">
        <f>Delivery[[#This Row],[Valor Prêmio Nespresso BEN por Kg (em US$)]]*60</f>
        <v>0</v>
      </c>
      <c r="AN1235" s="204">
        <f>Delivery[[#This Row],[Valor Prêmio Nespresso BEN por saca (em US$)]]/1.3228/100</f>
        <v>0</v>
      </c>
      <c r="AO1235" s="204">
        <f>SUMIF(Allocation[Delivery ID],Delivery[[#This Row],[Delivery ID]],Allocation[Quantity allocated])*16*1.3228*Delivery[[#This Row],[Exchange rate VS USD]]/60</f>
        <v>3965.3760791999998</v>
      </c>
      <c r="AP1235" s="204">
        <f>Delivery[[#This Row],[AAA Premium (total)]]</f>
        <v>18645</v>
      </c>
      <c r="AQ1235" s="204">
        <f>Delivery[[#This Row],[Valor pago pelo Cluster]]-Delivery[[#This Row],[Valor efetivamente pago pela Nespresso]]</f>
        <v>14679.623920800001</v>
      </c>
    </row>
    <row r="1236" spans="1:43" ht="15.75">
      <c r="A1236" s="174" t="s">
        <v>69</v>
      </c>
      <c r="B1236" s="232" t="s">
        <v>68</v>
      </c>
      <c r="C1236" s="157">
        <v>1</v>
      </c>
      <c r="D1236" s="157" t="s">
        <v>468</v>
      </c>
      <c r="E1236" s="177" t="s">
        <v>468</v>
      </c>
      <c r="F1236" s="233" t="s">
        <v>543</v>
      </c>
      <c r="G1236" s="234">
        <v>43488</v>
      </c>
      <c r="H1236" s="235" t="s">
        <v>2051</v>
      </c>
      <c r="I1236" s="236" t="s">
        <v>958</v>
      </c>
      <c r="J1236" s="237">
        <v>29230</v>
      </c>
      <c r="K1236" s="175" t="s">
        <v>61</v>
      </c>
      <c r="L1236" s="175" t="s">
        <v>439</v>
      </c>
      <c r="M1236" s="175" t="s">
        <v>1343</v>
      </c>
      <c r="N1236" s="198"/>
      <c r="O1236" s="199"/>
      <c r="P1236" s="181">
        <v>0</v>
      </c>
      <c r="Q1236" s="177">
        <v>43481</v>
      </c>
      <c r="R1236" s="178">
        <v>382.730525</v>
      </c>
      <c r="S1236" s="179">
        <v>207519</v>
      </c>
      <c r="T1236" s="182" t="s">
        <v>45</v>
      </c>
      <c r="U1236" s="183">
        <v>3.7284999999999999</v>
      </c>
      <c r="V1236" s="179">
        <v>18645</v>
      </c>
      <c r="W1236" s="179">
        <v>0</v>
      </c>
      <c r="X1236" s="196" t="s">
        <v>45</v>
      </c>
      <c r="Y1236" s="200">
        <v>3.7284999999999999</v>
      </c>
      <c r="Z1236" s="220"/>
      <c r="AA1236" s="201">
        <f>Delivery[[#This Row],[Quantity delivered]]*VLOOKUP(Delivery[[#This Row],[Unit]],References!$U:$X,4,FALSE)*VLOOKUP(CONCATENATE(Delivery[[#This Row],[Coffee specie]],Delivery[[#This Row],[Coffee state]]),References!$U:$X,4,FALSE)</f>
        <v>29230</v>
      </c>
      <c r="AB1236" s="202">
        <f>SUMIF(Allocation!C:C,Delivery[[#This Row],[Delivery ID]],Allocation!D:D)/Delivery[[#This Row],[Quantity delivered]]</f>
        <v>0.19192610331850837</v>
      </c>
      <c r="AC1236" s="203">
        <f>Delivery[[#This Row],[Quantity delivered]]*Delivery[[#This Row],[Base price (Unidad)]]/60</f>
        <v>186453.55409583336</v>
      </c>
      <c r="AD1236" s="204">
        <f>Delivery[[#This Row],[Nespresso total]]-Delivery[[#This Row],[Qt. Delivery * Base Price]]</f>
        <v>21065.445904166641</v>
      </c>
      <c r="AE1236" s="204">
        <f>Delivery[[#This Row],[AAA Premium (total)]]/Delivery[[#This Row],[Quantity delivered]]*60/Delivery[[#This Row],[Exchange rate VS USD]]</f>
        <v>10.264804333074228</v>
      </c>
      <c r="AF1236" s="204">
        <f>Delivery[[#This Row],[BEN premium (total)]]/Delivery[[#This Row],[Quantity delivered]]*60/Delivery[[#This Row],[Exchange rate for premiums VS USD]]</f>
        <v>0</v>
      </c>
      <c r="AG1236" s="204">
        <f>COUNTIF(Delivery[Delivery ID],Delivery[[#This Row],[Delivery ID]])</f>
        <v>1</v>
      </c>
      <c r="AH1236" s="204">
        <f>(Delivery[[#This Row],[Nespresso total]]/SUMIF(Allocation!C:C,Delivery[Delivery ID],Allocation!H:H))/Delivery[[#This Row],[Exchange rate VS USD]]</f>
        <v>19.080391846862934</v>
      </c>
      <c r="AI1236" s="204">
        <f>(Delivery[[#This Row],[AAA Premium (total)]]/SUMIF(Allocation!C:C,Delivery[Delivery ID],Allocation!H:H))/Delivery[[#This Row],[Exchange rate VS USD]]</f>
        <v>1.7143196814978843</v>
      </c>
      <c r="AJ1236" s="204">
        <f>Delivery[[#This Row],[Valor Prêmio Nespresso AAA por Kg (em US$)]]*60</f>
        <v>102.85918088987306</v>
      </c>
      <c r="AK1236" s="204">
        <f>Delivery[[#This Row],[Valor Prêmio Nespresso AAA por saca (em US$)]]/1.3228/100</f>
        <v>0.77758679233348249</v>
      </c>
      <c r="AL1236" s="204">
        <f>(Delivery[[#This Row],[BEN premium (total)]]/SUMIF(Allocation!C:C,Delivery[Delivery ID],Allocation!H:H))/Delivery[[#This Row],[Exchange rate for premiums VS USD]]</f>
        <v>0</v>
      </c>
      <c r="AM1236" s="204">
        <f>Delivery[[#This Row],[Valor Prêmio Nespresso BEN por Kg (em US$)]]*60</f>
        <v>0</v>
      </c>
      <c r="AN1236" s="204">
        <f>Delivery[[#This Row],[Valor Prêmio Nespresso BEN por saca (em US$)]]/1.3228/100</f>
        <v>0</v>
      </c>
      <c r="AO1236" s="204">
        <f>SUMIF(Allocation[Delivery ID],Delivery[[#This Row],[Delivery ID]],Allocation[Quantity allocated])*16*1.3228*Delivery[[#This Row],[Exchange rate VS USD]]/60</f>
        <v>3836.4849164266661</v>
      </c>
      <c r="AP1236" s="204">
        <f>Delivery[[#This Row],[AAA Premium (total)]]</f>
        <v>18645</v>
      </c>
      <c r="AQ1236" s="204">
        <f>Delivery[[#This Row],[Valor pago pelo Cluster]]-Delivery[[#This Row],[Valor efetivamente pago pela Nespresso]]</f>
        <v>14808.515083573333</v>
      </c>
    </row>
    <row r="1237" spans="1:43" ht="15.75">
      <c r="A1237" s="174" t="s">
        <v>69</v>
      </c>
      <c r="B1237" s="232" t="s">
        <v>68</v>
      </c>
      <c r="C1237" s="157">
        <v>1</v>
      </c>
      <c r="D1237" s="157" t="s">
        <v>468</v>
      </c>
      <c r="E1237" s="177" t="s">
        <v>468</v>
      </c>
      <c r="F1237" s="233" t="s">
        <v>543</v>
      </c>
      <c r="G1237" s="234">
        <v>43488</v>
      </c>
      <c r="H1237" s="235" t="s">
        <v>2052</v>
      </c>
      <c r="I1237" s="236" t="s">
        <v>958</v>
      </c>
      <c r="J1237" s="237">
        <v>29850</v>
      </c>
      <c r="K1237" s="175" t="s">
        <v>61</v>
      </c>
      <c r="L1237" s="175" t="s">
        <v>439</v>
      </c>
      <c r="M1237" s="175" t="s">
        <v>1343</v>
      </c>
      <c r="N1237" s="198"/>
      <c r="O1237" s="199"/>
      <c r="P1237" s="181">
        <v>0</v>
      </c>
      <c r="Q1237" s="177">
        <v>43481</v>
      </c>
      <c r="R1237" s="178">
        <v>382.730525</v>
      </c>
      <c r="S1237" s="179">
        <v>207519</v>
      </c>
      <c r="T1237" s="182" t="s">
        <v>45</v>
      </c>
      <c r="U1237" s="183">
        <v>3.7284999999999999</v>
      </c>
      <c r="V1237" s="179">
        <v>18645</v>
      </c>
      <c r="W1237" s="179">
        <v>0</v>
      </c>
      <c r="X1237" s="196" t="s">
        <v>45</v>
      </c>
      <c r="Y1237" s="200">
        <v>3.7284999999999999</v>
      </c>
      <c r="Z1237" s="220"/>
      <c r="AA1237" s="201">
        <f>Delivery[[#This Row],[Quantity delivered]]*VLOOKUP(Delivery[[#This Row],[Unit]],References!$U:$X,4,FALSE)*VLOOKUP(CONCATENATE(Delivery[[#This Row],[Coffee specie]],Delivery[[#This Row],[Coffee state]]),References!$U:$X,4,FALSE)</f>
        <v>29850</v>
      </c>
      <c r="AB1237" s="202">
        <f>SUMIF(Allocation!C:C,Delivery[[#This Row],[Delivery ID]],Allocation!D:D)/Delivery[[#This Row],[Quantity delivered]]</f>
        <v>0.19192629815745393</v>
      </c>
      <c r="AC1237" s="203">
        <f>Delivery[[#This Row],[Quantity delivered]]*Delivery[[#This Row],[Base price (Unidad)]]/60</f>
        <v>190408.43618750002</v>
      </c>
      <c r="AD1237" s="204">
        <f>Delivery[[#This Row],[Nespresso total]]-Delivery[[#This Row],[Qt. Delivery * Base Price]]</f>
        <v>17110.563812499982</v>
      </c>
      <c r="AE1237" s="204">
        <f>Delivery[[#This Row],[AAA Premium (total)]]/Delivery[[#This Row],[Quantity delivered]]*60/Delivery[[#This Row],[Exchange rate VS USD]]</f>
        <v>10.051599016943372</v>
      </c>
      <c r="AF1237" s="204">
        <f>Delivery[[#This Row],[BEN premium (total)]]/Delivery[[#This Row],[Quantity delivered]]*60/Delivery[[#This Row],[Exchange rate for premiums VS USD]]</f>
        <v>0</v>
      </c>
      <c r="AG1237" s="204">
        <f>COUNTIF(Delivery[Delivery ID],Delivery[[#This Row],[Delivery ID]])</f>
        <v>1</v>
      </c>
      <c r="AH1237" s="204">
        <f>(Delivery[[#This Row],[Nespresso total]]/SUMIF(Allocation!C:C,Delivery[Delivery ID],Allocation!H:H))/Delivery[[#This Row],[Exchange rate VS USD]]</f>
        <v>18.683283993722451</v>
      </c>
      <c r="AI1237" s="204">
        <f>(Delivery[[#This Row],[AAA Premium (total)]]/SUMIF(Allocation!C:C,Delivery[Delivery ID],Allocation!H:H))/Delivery[[#This Row],[Exchange rate VS USD]]</f>
        <v>1.6786406548940345</v>
      </c>
      <c r="AJ1237" s="204">
        <f>Delivery[[#This Row],[Valor Prêmio Nespresso AAA por Kg (em US$)]]*60</f>
        <v>100.71843929364206</v>
      </c>
      <c r="AK1237" s="204">
        <f>Delivery[[#This Row],[Valor Prêmio Nespresso AAA por saca (em US$)]]/1.3228/100</f>
        <v>0.7614033814154979</v>
      </c>
      <c r="AL1237" s="204">
        <f>(Delivery[[#This Row],[BEN premium (total)]]/SUMIF(Allocation!C:C,Delivery[Delivery ID],Allocation!H:H))/Delivery[[#This Row],[Exchange rate for premiums VS USD]]</f>
        <v>0</v>
      </c>
      <c r="AM1237" s="204">
        <f>Delivery[[#This Row],[Valor Prêmio Nespresso BEN por Kg (em US$)]]*60</f>
        <v>0</v>
      </c>
      <c r="AN1237" s="204">
        <f>Delivery[[#This Row],[Valor Prêmio Nespresso BEN por saca (em US$)]]/1.3228/100</f>
        <v>0</v>
      </c>
      <c r="AO1237" s="204">
        <f>SUMIF(Allocation[Delivery ID],Delivery[[#This Row],[Delivery ID]],Allocation[Quantity allocated])*16*1.3228*Delivery[[#This Row],[Exchange rate VS USD]]/60</f>
        <v>3918.0283051199999</v>
      </c>
      <c r="AP1237" s="204">
        <f>Delivery[[#This Row],[AAA Premium (total)]]</f>
        <v>18645</v>
      </c>
      <c r="AQ1237" s="204">
        <f>Delivery[[#This Row],[Valor pago pelo Cluster]]-Delivery[[#This Row],[Valor efetivamente pago pela Nespresso]]</f>
        <v>14726.97169488</v>
      </c>
    </row>
    <row r="1238" spans="1:43" ht="15.75">
      <c r="A1238" s="174" t="s">
        <v>69</v>
      </c>
      <c r="B1238" s="232" t="s">
        <v>68</v>
      </c>
      <c r="C1238" s="157">
        <v>1</v>
      </c>
      <c r="D1238" s="157" t="s">
        <v>468</v>
      </c>
      <c r="E1238" s="177" t="s">
        <v>468</v>
      </c>
      <c r="F1238" s="233" t="s">
        <v>543</v>
      </c>
      <c r="G1238" s="234">
        <v>43488</v>
      </c>
      <c r="H1238" s="235" t="s">
        <v>2053</v>
      </c>
      <c r="I1238" s="236" t="s">
        <v>958</v>
      </c>
      <c r="J1238" s="237">
        <v>30350</v>
      </c>
      <c r="K1238" s="175" t="s">
        <v>61</v>
      </c>
      <c r="L1238" s="175" t="s">
        <v>439</v>
      </c>
      <c r="M1238" s="175" t="s">
        <v>1343</v>
      </c>
      <c r="N1238" s="198"/>
      <c r="O1238" s="199"/>
      <c r="P1238" s="181">
        <v>0</v>
      </c>
      <c r="Q1238" s="177">
        <v>43481</v>
      </c>
      <c r="R1238" s="178">
        <v>382.730525</v>
      </c>
      <c r="S1238" s="179">
        <v>207519</v>
      </c>
      <c r="T1238" s="182" t="s">
        <v>45</v>
      </c>
      <c r="U1238" s="183">
        <v>3.7284999999999999</v>
      </c>
      <c r="V1238" s="179">
        <v>18645</v>
      </c>
      <c r="W1238" s="179">
        <v>0</v>
      </c>
      <c r="X1238" s="196" t="s">
        <v>45</v>
      </c>
      <c r="Y1238" s="200">
        <v>3.7284999999999999</v>
      </c>
      <c r="Z1238" s="220"/>
      <c r="AA1238" s="201">
        <f>Delivery[[#This Row],[Quantity delivered]]*VLOOKUP(Delivery[[#This Row],[Unit]],References!$U:$X,4,FALSE)*VLOOKUP(CONCATENATE(Delivery[[#This Row],[Coffee specie]],Delivery[[#This Row],[Coffee state]]),References!$U:$X,4,FALSE)</f>
        <v>30350</v>
      </c>
      <c r="AB1238" s="202">
        <f>SUMIF(Allocation!C:C,Delivery[[#This Row],[Delivery ID]],Allocation!D:D)/Delivery[[#This Row],[Quantity delivered]]</f>
        <v>0.19192751235584843</v>
      </c>
      <c r="AC1238" s="203">
        <f>Delivery[[#This Row],[Quantity delivered]]*Delivery[[#This Row],[Base price (Unidad)]]/60</f>
        <v>193597.85722916666</v>
      </c>
      <c r="AD1238" s="204">
        <f>Delivery[[#This Row],[Nespresso total]]-Delivery[[#This Row],[Qt. Delivery * Base Price]]</f>
        <v>13921.142770833336</v>
      </c>
      <c r="AE1238" s="204">
        <f>Delivery[[#This Row],[AAA Premium (total)]]/Delivery[[#This Row],[Quantity delivered]]*60/Delivery[[#This Row],[Exchange rate VS USD]]</f>
        <v>9.8860043049673703</v>
      </c>
      <c r="AF1238" s="204">
        <f>Delivery[[#This Row],[BEN premium (total)]]/Delivery[[#This Row],[Quantity delivered]]*60/Delivery[[#This Row],[Exchange rate for premiums VS USD]]</f>
        <v>0</v>
      </c>
      <c r="AG1238" s="204">
        <f>COUNTIF(Delivery[Delivery ID],Delivery[[#This Row],[Delivery ID]])</f>
        <v>1</v>
      </c>
      <c r="AH1238" s="204">
        <f>(Delivery[[#This Row],[Nespresso total]]/SUMIF(Allocation!C:C,Delivery[Delivery ID],Allocation!H:H))/Delivery[[#This Row],[Exchange rate VS USD]]</f>
        <v>18.374877192901678</v>
      </c>
      <c r="AI1238" s="204">
        <f>(Delivery[[#This Row],[AAA Premium (total)]]/SUMIF(Allocation!C:C,Delivery[Delivery ID],Allocation!H:H))/Delivery[[#This Row],[Exchange rate VS USD]]</f>
        <v>1.6509311690093524</v>
      </c>
      <c r="AJ1238" s="204">
        <f>Delivery[[#This Row],[Valor Prêmio Nespresso AAA por Kg (em US$)]]*60</f>
        <v>99.05587014056114</v>
      </c>
      <c r="AK1238" s="204">
        <f>Delivery[[#This Row],[Valor Prêmio Nespresso AAA por saca (em US$)]]/1.3228/100</f>
        <v>0.74883482114122435</v>
      </c>
      <c r="AL1238" s="204">
        <f>(Delivery[[#This Row],[BEN premium (total)]]/SUMIF(Allocation!C:C,Delivery[Delivery ID],Allocation!H:H))/Delivery[[#This Row],[Exchange rate for premiums VS USD]]</f>
        <v>0</v>
      </c>
      <c r="AM1238" s="204">
        <f>Delivery[[#This Row],[Valor Prêmio Nespresso BEN por Kg (em US$)]]*60</f>
        <v>0</v>
      </c>
      <c r="AN1238" s="204">
        <f>Delivery[[#This Row],[Valor Prêmio Nespresso BEN por saca (em US$)]]/1.3228/100</f>
        <v>0</v>
      </c>
      <c r="AO1238" s="204">
        <f>SUMIF(Allocation[Delivery ID],Delivery[[#This Row],[Delivery ID]],Allocation[Quantity allocated])*16*1.3228*Delivery[[#This Row],[Exchange rate VS USD]]/60</f>
        <v>3983.7891024533328</v>
      </c>
      <c r="AP1238" s="204">
        <f>Delivery[[#This Row],[AAA Premium (total)]]</f>
        <v>18645</v>
      </c>
      <c r="AQ1238" s="204">
        <f>Delivery[[#This Row],[Valor pago pelo Cluster]]-Delivery[[#This Row],[Valor efetivamente pago pela Nespresso]]</f>
        <v>14661.210897546667</v>
      </c>
    </row>
    <row r="1239" spans="1:43" ht="15.75">
      <c r="A1239" s="174" t="s">
        <v>69</v>
      </c>
      <c r="B1239" s="232" t="s">
        <v>68</v>
      </c>
      <c r="C1239" s="157">
        <v>1</v>
      </c>
      <c r="D1239" s="157" t="s">
        <v>468</v>
      </c>
      <c r="E1239" s="177" t="s">
        <v>468</v>
      </c>
      <c r="F1239" s="233" t="s">
        <v>543</v>
      </c>
      <c r="G1239" s="234">
        <v>43488</v>
      </c>
      <c r="H1239" s="235" t="s">
        <v>2054</v>
      </c>
      <c r="I1239" s="236" t="s">
        <v>958</v>
      </c>
      <c r="J1239" s="237">
        <v>30460</v>
      </c>
      <c r="K1239" s="175" t="s">
        <v>61</v>
      </c>
      <c r="L1239" s="175" t="s">
        <v>439</v>
      </c>
      <c r="M1239" s="175" t="s">
        <v>1343</v>
      </c>
      <c r="N1239" s="198"/>
      <c r="O1239" s="199"/>
      <c r="P1239" s="181">
        <v>0</v>
      </c>
      <c r="Q1239" s="177">
        <v>43481</v>
      </c>
      <c r="R1239" s="178">
        <v>382.730525</v>
      </c>
      <c r="S1239" s="179">
        <v>207519</v>
      </c>
      <c r="T1239" s="182" t="s">
        <v>45</v>
      </c>
      <c r="U1239" s="183">
        <v>3.7284999999999999</v>
      </c>
      <c r="V1239" s="179">
        <v>18645</v>
      </c>
      <c r="W1239" s="179">
        <v>0</v>
      </c>
      <c r="X1239" s="196" t="s">
        <v>45</v>
      </c>
      <c r="Y1239" s="200">
        <v>3.7284999999999999</v>
      </c>
      <c r="Z1239" s="220"/>
      <c r="AA1239" s="201">
        <f>Delivery[[#This Row],[Quantity delivered]]*VLOOKUP(Delivery[[#This Row],[Unit]],References!$U:$X,4,FALSE)*VLOOKUP(CONCATENATE(Delivery[[#This Row],[Coffee specie]],Delivery[[#This Row],[Coffee state]]),References!$U:$X,4,FALSE)</f>
        <v>30460</v>
      </c>
      <c r="AB1239" s="202">
        <f>SUMIF(Allocation!C:C,Delivery[[#This Row],[Delivery ID]],Allocation!D:D)/Delivery[[#This Row],[Quantity delivered]]</f>
        <v>0.19192383453709783</v>
      </c>
      <c r="AC1239" s="203">
        <f>Delivery[[#This Row],[Quantity delivered]]*Delivery[[#This Row],[Base price (Unidad)]]/60</f>
        <v>194299.52985833335</v>
      </c>
      <c r="AD1239" s="204">
        <f>Delivery[[#This Row],[Nespresso total]]-Delivery[[#This Row],[Qt. Delivery * Base Price]]</f>
        <v>13219.47014166665</v>
      </c>
      <c r="AE1239" s="204">
        <f>Delivery[[#This Row],[AAA Premium (total)]]/Delivery[[#This Row],[Quantity delivered]]*60/Delivery[[#This Row],[Exchange rate VS USD]]</f>
        <v>9.8503030418831141</v>
      </c>
      <c r="AF1239" s="204">
        <f>Delivery[[#This Row],[BEN premium (total)]]/Delivery[[#This Row],[Quantity delivered]]*60/Delivery[[#This Row],[Exchange rate for premiums VS USD]]</f>
        <v>0</v>
      </c>
      <c r="AG1239" s="204">
        <f>COUNTIF(Delivery[Delivery ID],Delivery[[#This Row],[Delivery ID]])</f>
        <v>1</v>
      </c>
      <c r="AH1239" s="204">
        <f>(Delivery[[#This Row],[Nespresso total]]/SUMIF(Allocation!C:C,Delivery[Delivery ID],Allocation!H:H))/Delivery[[#This Row],[Exchange rate VS USD]]</f>
        <v>18.308389150427363</v>
      </c>
      <c r="AI1239" s="204">
        <f>(Delivery[[#This Row],[AAA Premium (total)]]/SUMIF(Allocation!C:C,Delivery[Delivery ID],Allocation!H:H))/Delivery[[#This Row],[Exchange rate VS USD]]</f>
        <v>1.6449574049109632</v>
      </c>
      <c r="AJ1239" s="204">
        <f>Delivery[[#This Row],[Valor Prêmio Nespresso AAA por Kg (em US$)]]*60</f>
        <v>98.697444294657799</v>
      </c>
      <c r="AK1239" s="204">
        <f>Delivery[[#This Row],[Valor Prêmio Nespresso AAA por saca (em US$)]]/1.3228/100</f>
        <v>0.74612522145946325</v>
      </c>
      <c r="AL1239" s="204">
        <f>(Delivery[[#This Row],[BEN premium (total)]]/SUMIF(Allocation!C:C,Delivery[Delivery ID],Allocation!H:H))/Delivery[[#This Row],[Exchange rate for premiums VS USD]]</f>
        <v>0</v>
      </c>
      <c r="AM1239" s="204">
        <f>Delivery[[#This Row],[Valor Prêmio Nespresso BEN por Kg (em US$)]]*60</f>
        <v>0</v>
      </c>
      <c r="AN1239" s="204">
        <f>Delivery[[#This Row],[Valor Prêmio Nespresso BEN por saca (em US$)]]/1.3228/100</f>
        <v>0</v>
      </c>
      <c r="AO1239" s="204">
        <f>SUMIF(Allocation[Delivery ID],Delivery[[#This Row],[Delivery ID]],Allocation[Quantity allocated])*16*1.3228*Delivery[[#This Row],[Exchange rate VS USD]]/60</f>
        <v>3998.2564778666665</v>
      </c>
      <c r="AP1239" s="204">
        <f>Delivery[[#This Row],[AAA Premium (total)]]</f>
        <v>18645</v>
      </c>
      <c r="AQ1239" s="204">
        <f>Delivery[[#This Row],[Valor pago pelo Cluster]]-Delivery[[#This Row],[Valor efetivamente pago pela Nespresso]]</f>
        <v>14646.743522133333</v>
      </c>
    </row>
    <row r="1240" spans="1:43" ht="15.75">
      <c r="A1240" s="174" t="s">
        <v>69</v>
      </c>
      <c r="B1240" s="232" t="s">
        <v>68</v>
      </c>
      <c r="C1240" s="157">
        <v>1</v>
      </c>
      <c r="D1240" s="157" t="s">
        <v>468</v>
      </c>
      <c r="E1240" s="177" t="s">
        <v>468</v>
      </c>
      <c r="F1240" s="233" t="s">
        <v>543</v>
      </c>
      <c r="G1240" s="234">
        <v>43488</v>
      </c>
      <c r="H1240" s="235" t="s">
        <v>2055</v>
      </c>
      <c r="I1240" s="236" t="s">
        <v>958</v>
      </c>
      <c r="J1240" s="237">
        <v>30020</v>
      </c>
      <c r="K1240" s="175" t="s">
        <v>61</v>
      </c>
      <c r="L1240" s="175" t="s">
        <v>439</v>
      </c>
      <c r="M1240" s="175" t="s">
        <v>1343</v>
      </c>
      <c r="N1240" s="198"/>
      <c r="O1240" s="199"/>
      <c r="P1240" s="181">
        <v>0</v>
      </c>
      <c r="Q1240" s="177">
        <v>43481</v>
      </c>
      <c r="R1240" s="178">
        <v>382.730525</v>
      </c>
      <c r="S1240" s="179">
        <v>207519</v>
      </c>
      <c r="T1240" s="182" t="s">
        <v>45</v>
      </c>
      <c r="U1240" s="183">
        <v>3.7284999999999999</v>
      </c>
      <c r="V1240" s="179">
        <v>18645</v>
      </c>
      <c r="W1240" s="179">
        <v>0</v>
      </c>
      <c r="X1240" s="196" t="s">
        <v>45</v>
      </c>
      <c r="Y1240" s="200">
        <v>3.7284999999999999</v>
      </c>
      <c r="Z1240" s="220"/>
      <c r="AA1240" s="201">
        <f>Delivery[[#This Row],[Quantity delivered]]*VLOOKUP(Delivery[[#This Row],[Unit]],References!$U:$X,4,FALSE)*VLOOKUP(CONCATENATE(Delivery[[#This Row],[Coffee specie]],Delivery[[#This Row],[Coffee state]]),References!$U:$X,4,FALSE)</f>
        <v>30020</v>
      </c>
      <c r="AB1240" s="202">
        <f>SUMIF(Allocation!C:C,Delivery[[#This Row],[Delivery ID]],Allocation!D:D)/Delivery[[#This Row],[Quantity delivered]]</f>
        <v>0.19193870752831446</v>
      </c>
      <c r="AC1240" s="203">
        <f>Delivery[[#This Row],[Quantity delivered]]*Delivery[[#This Row],[Base price (Unidad)]]/60</f>
        <v>191492.83934166667</v>
      </c>
      <c r="AD1240" s="204">
        <f>Delivery[[#This Row],[Nespresso total]]-Delivery[[#This Row],[Qt. Delivery * Base Price]]</f>
        <v>16026.160658333334</v>
      </c>
      <c r="AE1240" s="204">
        <f>Delivery[[#This Row],[AAA Premium (total)]]/Delivery[[#This Row],[Quantity delivered]]*60/Delivery[[#This Row],[Exchange rate VS USD]]</f>
        <v>9.9946779032564859</v>
      </c>
      <c r="AF1240" s="204">
        <f>Delivery[[#This Row],[BEN premium (total)]]/Delivery[[#This Row],[Quantity delivered]]*60/Delivery[[#This Row],[Exchange rate for premiums VS USD]]</f>
        <v>0</v>
      </c>
      <c r="AG1240" s="204">
        <f>COUNTIF(Delivery[Delivery ID],Delivery[[#This Row],[Delivery ID]])</f>
        <v>1</v>
      </c>
      <c r="AH1240" s="204">
        <f>(Delivery[[#This Row],[Nespresso total]]/SUMIF(Allocation!C:C,Delivery[Delivery ID],Allocation!H:H))/Delivery[[#This Row],[Exchange rate VS USD]]</f>
        <v>18.577270700033104</v>
      </c>
      <c r="AI1240" s="204">
        <f>(Delivery[[#This Row],[AAA Premium (total)]]/SUMIF(Allocation!C:C,Delivery[Delivery ID],Allocation!H:H))/Delivery[[#This Row],[Exchange rate VS USD]]</f>
        <v>1.6691156578535808</v>
      </c>
      <c r="AJ1240" s="204">
        <f>Delivery[[#This Row],[Valor Prêmio Nespresso AAA por Kg (em US$)]]*60</f>
        <v>100.14693947121485</v>
      </c>
      <c r="AK1240" s="204">
        <f>Delivery[[#This Row],[Valor Prêmio Nespresso AAA por saca (em US$)]]/1.3228/100</f>
        <v>0.75708300174791998</v>
      </c>
      <c r="AL1240" s="204">
        <f>(Delivery[[#This Row],[BEN premium (total)]]/SUMIF(Allocation!C:C,Delivery[Delivery ID],Allocation!H:H))/Delivery[[#This Row],[Exchange rate for premiums VS USD]]</f>
        <v>0</v>
      </c>
      <c r="AM1240" s="204">
        <f>Delivery[[#This Row],[Valor Prêmio Nespresso BEN por Kg (em US$)]]*60</f>
        <v>0</v>
      </c>
      <c r="AN1240" s="204">
        <f>Delivery[[#This Row],[Valor Prêmio Nespresso BEN por saca (em US$)]]/1.3228/100</f>
        <v>0</v>
      </c>
      <c r="AO1240" s="204">
        <f>SUMIF(Allocation[Delivery ID],Delivery[[#This Row],[Delivery ID]],Allocation[Quantity allocated])*16*1.3228*Delivery[[#This Row],[Exchange rate VS USD]]/60</f>
        <v>3940.3869762133331</v>
      </c>
      <c r="AP1240" s="204">
        <f>Delivery[[#This Row],[AAA Premium (total)]]</f>
        <v>18645</v>
      </c>
      <c r="AQ1240" s="204">
        <f>Delivery[[#This Row],[Valor pago pelo Cluster]]-Delivery[[#This Row],[Valor efetivamente pago pela Nespresso]]</f>
        <v>14704.613023786667</v>
      </c>
    </row>
    <row r="1241" spans="1:43" ht="15.75">
      <c r="A1241" s="174" t="s">
        <v>69</v>
      </c>
      <c r="B1241" s="232" t="s">
        <v>68</v>
      </c>
      <c r="C1241" s="157">
        <v>1</v>
      </c>
      <c r="D1241" s="157" t="s">
        <v>468</v>
      </c>
      <c r="E1241" s="177" t="s">
        <v>468</v>
      </c>
      <c r="F1241" s="233" t="s">
        <v>543</v>
      </c>
      <c r="G1241" s="234">
        <v>43488</v>
      </c>
      <c r="H1241" s="235" t="s">
        <v>2056</v>
      </c>
      <c r="I1241" s="236" t="s">
        <v>958</v>
      </c>
      <c r="J1241" s="237">
        <v>30000</v>
      </c>
      <c r="K1241" s="175" t="s">
        <v>61</v>
      </c>
      <c r="L1241" s="175" t="s">
        <v>439</v>
      </c>
      <c r="M1241" s="175" t="s">
        <v>1343</v>
      </c>
      <c r="N1241" s="198"/>
      <c r="O1241" s="199"/>
      <c r="P1241" s="181">
        <v>0</v>
      </c>
      <c r="Q1241" s="177">
        <v>43481</v>
      </c>
      <c r="R1241" s="178">
        <v>382.730525</v>
      </c>
      <c r="S1241" s="179">
        <v>207519</v>
      </c>
      <c r="T1241" s="182" t="s">
        <v>45</v>
      </c>
      <c r="U1241" s="183">
        <v>3.7284999999999999</v>
      </c>
      <c r="V1241" s="179">
        <v>18645</v>
      </c>
      <c r="W1241" s="179">
        <v>0</v>
      </c>
      <c r="X1241" s="196" t="s">
        <v>45</v>
      </c>
      <c r="Y1241" s="200">
        <v>3.7284999999999999</v>
      </c>
      <c r="Z1241" s="220"/>
      <c r="AA1241" s="201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1241" s="202">
        <f>SUMIF(Allocation!C:C,Delivery[[#This Row],[Delivery ID]],Allocation!D:D)/Delivery[[#This Row],[Quantity delivered]]</f>
        <v>0.19193333333333334</v>
      </c>
      <c r="AC1241" s="203">
        <f>Delivery[[#This Row],[Quantity delivered]]*Delivery[[#This Row],[Base price (Unidad)]]/60</f>
        <v>191365.26250000001</v>
      </c>
      <c r="AD1241" s="204">
        <f>Delivery[[#This Row],[Nespresso total]]-Delivery[[#This Row],[Qt. Delivery * Base Price]]</f>
        <v>16153.737499999988</v>
      </c>
      <c r="AE1241" s="204">
        <f>Delivery[[#This Row],[AAA Premium (total)]]/Delivery[[#This Row],[Quantity delivered]]*60/Delivery[[#This Row],[Exchange rate VS USD]]</f>
        <v>10.001341021858659</v>
      </c>
      <c r="AF1241" s="204">
        <f>Delivery[[#This Row],[BEN premium (total)]]/Delivery[[#This Row],[Quantity delivered]]*60/Delivery[[#This Row],[Exchange rate for premiums VS USD]]</f>
        <v>0</v>
      </c>
      <c r="AG1241" s="204">
        <f>COUNTIF(Delivery[Delivery ID],Delivery[[#This Row],[Delivery ID]])</f>
        <v>1</v>
      </c>
      <c r="AH1241" s="204">
        <f>(Delivery[[#This Row],[Nespresso total]]/SUMIF(Allocation!C:C,Delivery[Delivery ID],Allocation!H:H))/Delivery[[#This Row],[Exchange rate VS USD]]</f>
        <v>18.589680366499394</v>
      </c>
      <c r="AI1241" s="204">
        <f>(Delivery[[#This Row],[AAA Premium (total)]]/SUMIF(Allocation!C:C,Delivery[Delivery ID],Allocation!H:H))/Delivery[[#This Row],[Exchange rate VS USD]]</f>
        <v>1.6702306315729218</v>
      </c>
      <c r="AJ1241" s="204">
        <f>Delivery[[#This Row],[Valor Prêmio Nespresso AAA por Kg (em US$)]]*60</f>
        <v>100.21383789437532</v>
      </c>
      <c r="AK1241" s="204">
        <f>Delivery[[#This Row],[Valor Prêmio Nespresso AAA por saca (em US$)]]/1.3228/100</f>
        <v>0.75758873521602144</v>
      </c>
      <c r="AL1241" s="204">
        <f>(Delivery[[#This Row],[BEN premium (total)]]/SUMIF(Allocation!C:C,Delivery[Delivery ID],Allocation!H:H))/Delivery[[#This Row],[Exchange rate for premiums VS USD]]</f>
        <v>0</v>
      </c>
      <c r="AM1241" s="204">
        <f>Delivery[[#This Row],[Valor Prêmio Nespresso BEN por Kg (em US$)]]*60</f>
        <v>0</v>
      </c>
      <c r="AN1241" s="204">
        <f>Delivery[[#This Row],[Valor Prêmio Nespresso BEN por saca (em US$)]]/1.3228/100</f>
        <v>0</v>
      </c>
      <c r="AO1241" s="204">
        <f>SUMIF(Allocation[Delivery ID],Delivery[[#This Row],[Delivery ID]],Allocation[Quantity allocated])*16*1.3228*Delivery[[#This Row],[Exchange rate VS USD]]/60</f>
        <v>3937.7565443200001</v>
      </c>
      <c r="AP1241" s="204">
        <f>Delivery[[#This Row],[AAA Premium (total)]]</f>
        <v>18645</v>
      </c>
      <c r="AQ1241" s="204">
        <f>Delivery[[#This Row],[Valor pago pelo Cluster]]-Delivery[[#This Row],[Valor efetivamente pago pela Nespresso]]</f>
        <v>14707.24345568</v>
      </c>
    </row>
    <row r="1242" spans="1:43" ht="15.75">
      <c r="A1242" s="174" t="s">
        <v>69</v>
      </c>
      <c r="B1242" s="232" t="s">
        <v>68</v>
      </c>
      <c r="C1242" s="157">
        <v>1</v>
      </c>
      <c r="D1242" s="157" t="s">
        <v>468</v>
      </c>
      <c r="E1242" s="177" t="s">
        <v>468</v>
      </c>
      <c r="F1242" s="233" t="s">
        <v>543</v>
      </c>
      <c r="G1242" s="234">
        <v>43488</v>
      </c>
      <c r="H1242" s="235" t="s">
        <v>2057</v>
      </c>
      <c r="I1242" s="236" t="s">
        <v>958</v>
      </c>
      <c r="J1242" s="237">
        <v>6200</v>
      </c>
      <c r="K1242" s="175" t="s">
        <v>61</v>
      </c>
      <c r="L1242" s="175" t="s">
        <v>439</v>
      </c>
      <c r="M1242" s="175" t="s">
        <v>1343</v>
      </c>
      <c r="N1242" s="198"/>
      <c r="O1242" s="199"/>
      <c r="P1242" s="181">
        <v>0</v>
      </c>
      <c r="Q1242" s="177">
        <v>43481</v>
      </c>
      <c r="R1242" s="178">
        <v>382.730525</v>
      </c>
      <c r="S1242" s="179">
        <v>40673.72</v>
      </c>
      <c r="T1242" s="182" t="s">
        <v>45</v>
      </c>
      <c r="U1242" s="183">
        <v>3.7284999999999999</v>
      </c>
      <c r="V1242" s="179">
        <v>3853.2999999999997</v>
      </c>
      <c r="W1242" s="179">
        <v>0</v>
      </c>
      <c r="X1242" s="196" t="s">
        <v>45</v>
      </c>
      <c r="Y1242" s="200">
        <v>3.7284999999999999</v>
      </c>
      <c r="Z1242" s="220"/>
      <c r="AA1242" s="201">
        <f>Delivery[[#This Row],[Quantity delivered]]*VLOOKUP(Delivery[[#This Row],[Unit]],References!$U:$X,4,FALSE)*VLOOKUP(CONCATENATE(Delivery[[#This Row],[Coffee specie]],Delivery[[#This Row],[Coffee state]]),References!$U:$X,4,FALSE)</f>
        <v>6200</v>
      </c>
      <c r="AB1242" s="202">
        <f>SUMIF(Allocation!C:C,Delivery[[#This Row],[Delivery ID]],Allocation!D:D)/Delivery[[#This Row],[Quantity delivered]]</f>
        <v>0.19193548387096773</v>
      </c>
      <c r="AC1242" s="203">
        <f>Delivery[[#This Row],[Quantity delivered]]*Delivery[[#This Row],[Base price (Unidad)]]/60</f>
        <v>39548.820916666664</v>
      </c>
      <c r="AD1242" s="204">
        <f>Delivery[[#This Row],[Nespresso total]]-Delivery[[#This Row],[Qt. Delivery * Base Price]]</f>
        <v>1124.8990833333373</v>
      </c>
      <c r="AE1242" s="204">
        <f>Delivery[[#This Row],[AAA Premium (total)]]/Delivery[[#This Row],[Quantity delivered]]*60/Delivery[[#This Row],[Exchange rate VS USD]]</f>
        <v>10.001341021858657</v>
      </c>
      <c r="AF1242" s="204">
        <f>Delivery[[#This Row],[BEN premium (total)]]/Delivery[[#This Row],[Quantity delivered]]*60/Delivery[[#This Row],[Exchange rate for premiums VS USD]]</f>
        <v>0</v>
      </c>
      <c r="AG1242" s="204">
        <f>COUNTIF(Delivery[Delivery ID],Delivery[[#This Row],[Delivery ID]])</f>
        <v>1</v>
      </c>
      <c r="AH1242" s="204">
        <f>(Delivery[[#This Row],[Nespresso total]]/SUMIF(Allocation!C:C,Delivery[Delivery ID],Allocation!H:H))/Delivery[[#This Row],[Exchange rate VS USD]]</f>
        <v>17.623375635820924</v>
      </c>
      <c r="AI1242" s="204">
        <f>(Delivery[[#This Row],[AAA Premium (total)]]/SUMIF(Allocation!C:C,Delivery[Delivery ID],Allocation!H:H))/Delivery[[#This Row],[Exchange rate VS USD]]</f>
        <v>1.6695830461907286</v>
      </c>
      <c r="AJ1242" s="204">
        <f>Delivery[[#This Row],[Valor Prêmio Nespresso AAA por Kg (em US$)]]*60</f>
        <v>100.17498277144372</v>
      </c>
      <c r="AK1242" s="204">
        <f>Delivery[[#This Row],[Valor Prêmio Nespresso AAA por saca (em US$)]]/1.3228/100</f>
        <v>0.75729500129606686</v>
      </c>
      <c r="AL1242" s="204">
        <f>(Delivery[[#This Row],[BEN premium (total)]]/SUMIF(Allocation!C:C,Delivery[Delivery ID],Allocation!H:H))/Delivery[[#This Row],[Exchange rate for premiums VS USD]]</f>
        <v>0</v>
      </c>
      <c r="AM1242" s="204">
        <f>Delivery[[#This Row],[Valor Prêmio Nespresso BEN por Kg (em US$)]]*60</f>
        <v>0</v>
      </c>
      <c r="AN1242" s="204">
        <f>Delivery[[#This Row],[Valor Prêmio Nespresso BEN por saca (em US$)]]/1.3228/100</f>
        <v>0</v>
      </c>
      <c r="AO1242" s="204">
        <f>SUMIF(Allocation[Delivery ID],Delivery[[#This Row],[Delivery ID]],Allocation[Quantity allocated])*16*1.3228*Delivery[[#This Row],[Exchange rate VS USD]]/60</f>
        <v>814.11867098666664</v>
      </c>
      <c r="AP1242" s="204">
        <f>Delivery[[#This Row],[AAA Premium (total)]]</f>
        <v>3853.2999999999997</v>
      </c>
      <c r="AQ1242" s="204">
        <f>Delivery[[#This Row],[Valor pago pelo Cluster]]-Delivery[[#This Row],[Valor efetivamente pago pela Nespresso]]</f>
        <v>3039.1813290133332</v>
      </c>
    </row>
    <row r="1243" spans="1:43" ht="15.75">
      <c r="A1243" s="174" t="s">
        <v>69</v>
      </c>
      <c r="B1243" s="232" t="s">
        <v>68</v>
      </c>
      <c r="C1243" s="157">
        <v>1</v>
      </c>
      <c r="D1243" s="157" t="s">
        <v>468</v>
      </c>
      <c r="E1243" s="177" t="s">
        <v>468</v>
      </c>
      <c r="F1243" s="233" t="s">
        <v>543</v>
      </c>
      <c r="G1243" s="234">
        <v>43488</v>
      </c>
      <c r="H1243" s="235" t="s">
        <v>2058</v>
      </c>
      <c r="I1243" s="236" t="s">
        <v>958</v>
      </c>
      <c r="J1243" s="237">
        <v>30170</v>
      </c>
      <c r="K1243" s="175" t="s">
        <v>61</v>
      </c>
      <c r="L1243" s="175" t="s">
        <v>439</v>
      </c>
      <c r="M1243" s="175" t="s">
        <v>1343</v>
      </c>
      <c r="N1243" s="198"/>
      <c r="O1243" s="199"/>
      <c r="P1243" s="181">
        <v>0</v>
      </c>
      <c r="Q1243" s="177">
        <v>43481</v>
      </c>
      <c r="R1243" s="178">
        <v>382.730525</v>
      </c>
      <c r="S1243" s="179">
        <v>207519</v>
      </c>
      <c r="T1243" s="182" t="s">
        <v>45</v>
      </c>
      <c r="U1243" s="183">
        <v>3.7284999999999999</v>
      </c>
      <c r="V1243" s="179">
        <v>18645</v>
      </c>
      <c r="W1243" s="179">
        <v>0</v>
      </c>
      <c r="X1243" s="196" t="s">
        <v>45</v>
      </c>
      <c r="Y1243" s="200">
        <v>3.7284999999999999</v>
      </c>
      <c r="Z1243" s="220"/>
      <c r="AA1243" s="201">
        <f>Delivery[[#This Row],[Quantity delivered]]*VLOOKUP(Delivery[[#This Row],[Unit]],References!$U:$X,4,FALSE)*VLOOKUP(CONCATENATE(Delivery[[#This Row],[Coffee specie]],Delivery[[#This Row],[Coffee state]]),References!$U:$X,4,FALSE)</f>
        <v>30170</v>
      </c>
      <c r="AB1243" s="202">
        <f>SUMIF(Allocation!C:C,Delivery[[#This Row],[Delivery ID]],Allocation!D:D)/Delivery[[#This Row],[Quantity delivered]]</f>
        <v>0.2231024196221412</v>
      </c>
      <c r="AC1243" s="203">
        <f>Delivery[[#This Row],[Quantity delivered]]*Delivery[[#This Row],[Base price (Unidad)]]/60</f>
        <v>192449.66565416666</v>
      </c>
      <c r="AD1243" s="204">
        <f>Delivery[[#This Row],[Nespresso total]]-Delivery[[#This Row],[Qt. Delivery * Base Price]]</f>
        <v>15069.33434583334</v>
      </c>
      <c r="AE1243" s="204">
        <f>Delivery[[#This Row],[AAA Premium (total)]]/Delivery[[#This Row],[Quantity delivered]]*60/Delivery[[#This Row],[Exchange rate VS USD]]</f>
        <v>9.944986100621799</v>
      </c>
      <c r="AF1243" s="204">
        <f>Delivery[[#This Row],[BEN premium (total)]]/Delivery[[#This Row],[Quantity delivered]]*60/Delivery[[#This Row],[Exchange rate for premiums VS USD]]</f>
        <v>0</v>
      </c>
      <c r="AG1243" s="204">
        <f>COUNTIF(Delivery[Delivery ID],Delivery[[#This Row],[Delivery ID]])</f>
        <v>1</v>
      </c>
      <c r="AH1243" s="204">
        <f>(Delivery[[#This Row],[Nespresso total]]/SUMIF(Allocation!C:C,Delivery[Delivery ID],Allocation!H:H))/Delivery[[#This Row],[Exchange rate VS USD]]</f>
        <v>15.902143719228338</v>
      </c>
      <c r="AI1243" s="204">
        <f>(Delivery[[#This Row],[AAA Premium (total)]]/SUMIF(Allocation!C:C,Delivery[Delivery ID],Allocation!H:H))/Delivery[[#This Row],[Exchange rate VS USD]]</f>
        <v>1.4287630031226652</v>
      </c>
      <c r="AJ1243" s="204">
        <f>Delivery[[#This Row],[Valor Prêmio Nespresso AAA por Kg (em US$)]]*60</f>
        <v>85.725780187359916</v>
      </c>
      <c r="AK1243" s="204">
        <f>Delivery[[#This Row],[Valor Prêmio Nespresso AAA por saca (em US$)]]/1.3228/100</f>
        <v>0.64806304949621951</v>
      </c>
      <c r="AL1243" s="204">
        <f>(Delivery[[#This Row],[BEN premium (total)]]/SUMIF(Allocation!C:C,Delivery[Delivery ID],Allocation!H:H))/Delivery[[#This Row],[Exchange rate for premiums VS USD]]</f>
        <v>0</v>
      </c>
      <c r="AM1243" s="204">
        <f>Delivery[[#This Row],[Valor Prêmio Nespresso BEN por Kg (em US$)]]*60</f>
        <v>0</v>
      </c>
      <c r="AN1243" s="204">
        <f>Delivery[[#This Row],[Valor Prêmio Nespresso BEN por saca (em US$)]]/1.3228/100</f>
        <v>0</v>
      </c>
      <c r="AO1243" s="204">
        <f>SUMIF(Allocation[Delivery ID],Delivery[[#This Row],[Delivery ID]],Allocation[Quantity allocated])*16*1.3228*Delivery[[#This Row],[Exchange rate VS USD]]/60</f>
        <v>4603.2558133333332</v>
      </c>
      <c r="AP1243" s="204">
        <f>Delivery[[#This Row],[AAA Premium (total)]]</f>
        <v>18645</v>
      </c>
      <c r="AQ1243" s="204">
        <f>Delivery[[#This Row],[Valor pago pelo Cluster]]-Delivery[[#This Row],[Valor efetivamente pago pela Nespresso]]</f>
        <v>14041.744186666667</v>
      </c>
    </row>
    <row r="1244" spans="1:43" ht="15.75">
      <c r="A1244" s="174" t="s">
        <v>69</v>
      </c>
      <c r="B1244" s="232" t="s">
        <v>68</v>
      </c>
      <c r="C1244" s="157">
        <v>1</v>
      </c>
      <c r="D1244" s="157" t="s">
        <v>468</v>
      </c>
      <c r="E1244" s="177" t="s">
        <v>468</v>
      </c>
      <c r="F1244" s="233" t="s">
        <v>543</v>
      </c>
      <c r="G1244" s="234">
        <v>43488</v>
      </c>
      <c r="H1244" s="235" t="s">
        <v>2059</v>
      </c>
      <c r="I1244" s="236" t="s">
        <v>958</v>
      </c>
      <c r="J1244" s="237">
        <v>30650</v>
      </c>
      <c r="K1244" s="175" t="s">
        <v>61</v>
      </c>
      <c r="L1244" s="175" t="s">
        <v>439</v>
      </c>
      <c r="M1244" s="175" t="s">
        <v>1343</v>
      </c>
      <c r="N1244" s="198"/>
      <c r="O1244" s="199"/>
      <c r="P1244" s="181">
        <v>0</v>
      </c>
      <c r="Q1244" s="177">
        <v>43481</v>
      </c>
      <c r="R1244" s="178">
        <v>382.730525</v>
      </c>
      <c r="S1244" s="179">
        <v>207519</v>
      </c>
      <c r="T1244" s="182" t="s">
        <v>45</v>
      </c>
      <c r="U1244" s="183">
        <v>3.7284999999999999</v>
      </c>
      <c r="V1244" s="179">
        <v>19048.974999999999</v>
      </c>
      <c r="W1244" s="179">
        <v>0</v>
      </c>
      <c r="X1244" s="196" t="s">
        <v>45</v>
      </c>
      <c r="Y1244" s="200">
        <v>3.7284999999999999</v>
      </c>
      <c r="Z1244" s="220"/>
      <c r="AA1244" s="201">
        <f>Delivery[[#This Row],[Quantity delivered]]*VLOOKUP(Delivery[[#This Row],[Unit]],References!$U:$X,4,FALSE)*VLOOKUP(CONCATENATE(Delivery[[#This Row],[Coffee specie]],Delivery[[#This Row],[Coffee state]]),References!$U:$X,4,FALSE)</f>
        <v>30650</v>
      </c>
      <c r="AB1244" s="202">
        <f>SUMIF(Allocation!C:C,Delivery[[#This Row],[Delivery ID]],Allocation!D:D)/Delivery[[#This Row],[Quantity delivered]]</f>
        <v>0.22349102773246329</v>
      </c>
      <c r="AC1244" s="203">
        <f>Delivery[[#This Row],[Quantity delivered]]*Delivery[[#This Row],[Base price (Unidad)]]/60</f>
        <v>195511.50985416668</v>
      </c>
      <c r="AD1244" s="204">
        <f>Delivery[[#This Row],[Nespresso total]]-Delivery[[#This Row],[Qt. Delivery * Base Price]]</f>
        <v>12007.490145833319</v>
      </c>
      <c r="AE1244" s="204">
        <f>Delivery[[#This Row],[AAA Premium (total)]]/Delivery[[#This Row],[Quantity delivered]]*60/Delivery[[#This Row],[Exchange rate VS USD]]</f>
        <v>10.001341021858657</v>
      </c>
      <c r="AF1244" s="204">
        <f>Delivery[[#This Row],[BEN premium (total)]]/Delivery[[#This Row],[Quantity delivered]]*60/Delivery[[#This Row],[Exchange rate for premiums VS USD]]</f>
        <v>0</v>
      </c>
      <c r="AG1244" s="204">
        <f>COUNTIF(Delivery[Delivery ID],Delivery[[#This Row],[Delivery ID]])</f>
        <v>1</v>
      </c>
      <c r="AH1244" s="204">
        <f>(Delivery[[#This Row],[Nespresso total]]/SUMIF(Allocation!C:C,Delivery[Delivery ID],Allocation!H:H))/Delivery[[#This Row],[Exchange rate VS USD]]</f>
        <v>15.625351773525878</v>
      </c>
      <c r="AI1244" s="204">
        <f>(Delivery[[#This Row],[AAA Premium (total)]]/SUMIF(Allocation!C:C,Delivery[Delivery ID],Allocation!H:H))/Delivery[[#This Row],[Exchange rate VS USD]]</f>
        <v>1.4343117271194452</v>
      </c>
      <c r="AJ1244" s="204">
        <f>Delivery[[#This Row],[Valor Prêmio Nespresso AAA por Kg (em US$)]]*60</f>
        <v>86.058703627166707</v>
      </c>
      <c r="AK1244" s="204">
        <f>Delivery[[#This Row],[Valor Prêmio Nespresso AAA por saca (em US$)]]/1.3228/100</f>
        <v>0.65057985808260288</v>
      </c>
      <c r="AL1244" s="204">
        <f>(Delivery[[#This Row],[BEN premium (total)]]/SUMIF(Allocation!C:C,Delivery[Delivery ID],Allocation!H:H))/Delivery[[#This Row],[Exchange rate for premiums VS USD]]</f>
        <v>0</v>
      </c>
      <c r="AM1244" s="204">
        <f>Delivery[[#This Row],[Valor Prêmio Nespresso BEN por Kg (em US$)]]*60</f>
        <v>0</v>
      </c>
      <c r="AN1244" s="204">
        <f>Delivery[[#This Row],[Valor Prêmio Nespresso BEN por saca (em US$)]]/1.3228/100</f>
        <v>0</v>
      </c>
      <c r="AO1244" s="204">
        <f>SUMIF(Allocation[Delivery ID],Delivery[[#This Row],[Delivery ID]],Allocation[Quantity allocated])*16*1.3228*Delivery[[#This Row],[Exchange rate VS USD]]/60</f>
        <v>4684.7992020266665</v>
      </c>
      <c r="AP1244" s="204">
        <f>Delivery[[#This Row],[AAA Premium (total)]]</f>
        <v>19048.974999999999</v>
      </c>
      <c r="AQ1244" s="204">
        <f>Delivery[[#This Row],[Valor pago pelo Cluster]]-Delivery[[#This Row],[Valor efetivamente pago pela Nespresso]]</f>
        <v>14364.175797973332</v>
      </c>
    </row>
    <row r="1245" spans="1:43" ht="15.75">
      <c r="A1245" s="174" t="s">
        <v>69</v>
      </c>
      <c r="B1245" s="232" t="s">
        <v>68</v>
      </c>
      <c r="C1245" s="157">
        <v>1</v>
      </c>
      <c r="D1245" s="157" t="s">
        <v>468</v>
      </c>
      <c r="E1245" s="177" t="s">
        <v>468</v>
      </c>
      <c r="F1245" s="233" t="s">
        <v>543</v>
      </c>
      <c r="G1245" s="234">
        <v>43490</v>
      </c>
      <c r="H1245" s="157" t="s">
        <v>1167</v>
      </c>
      <c r="I1245" s="157" t="s">
        <v>511</v>
      </c>
      <c r="J1245" s="237">
        <v>29950</v>
      </c>
      <c r="K1245" s="175" t="s">
        <v>61</v>
      </c>
      <c r="L1245" s="175" t="s">
        <v>439</v>
      </c>
      <c r="M1245" s="175" t="s">
        <v>1343</v>
      </c>
      <c r="N1245" s="198"/>
      <c r="O1245" s="199"/>
      <c r="P1245" s="181">
        <v>0</v>
      </c>
      <c r="Q1245" s="177">
        <v>43483</v>
      </c>
      <c r="R1245" s="178">
        <v>395.83890500000001</v>
      </c>
      <c r="S1245" s="179">
        <v>177473.67593258276</v>
      </c>
      <c r="T1245" s="182" t="s">
        <v>45</v>
      </c>
      <c r="U1245" s="183">
        <v>3.7681</v>
      </c>
      <c r="V1245" s="179">
        <v>39564.9</v>
      </c>
      <c r="W1245" s="179">
        <v>12100.662033708615</v>
      </c>
      <c r="X1245" s="196" t="s">
        <v>45</v>
      </c>
      <c r="Y1245" s="200">
        <v>3.7681</v>
      </c>
      <c r="Z1245" s="220" t="s">
        <v>473</v>
      </c>
      <c r="AA1245" s="201">
        <f>Delivery[[#This Row],[Quantity delivered]]*VLOOKUP(Delivery[[#This Row],[Unit]],References!$U:$X,4,FALSE)*VLOOKUP(CONCATENATE(Delivery[[#This Row],[Coffee specie]],Delivery[[#This Row],[Coffee state]]),References!$U:$X,4,FALSE)</f>
        <v>29950</v>
      </c>
      <c r="AB1245" s="202">
        <f>SUMIF(Allocation!C:C,Delivery[[#This Row],[Delivery ID]],Allocation!D:D)/Delivery[[#This Row],[Quantity delivered]]</f>
        <v>1</v>
      </c>
      <c r="AC1245" s="203">
        <f>Delivery[[#This Row],[Quantity delivered]]*Delivery[[#This Row],[Base price (Unidad)]]/60</f>
        <v>197589.58674583334</v>
      </c>
      <c r="AD1245" s="204">
        <f>Delivery[[#This Row],[Nespresso total]]-Delivery[[#This Row],[Qt. Delivery * Base Price]]</f>
        <v>-20115.910813250579</v>
      </c>
      <c r="AE1245" s="204">
        <f>Delivery[[#This Row],[AAA Premium (total)]]/Delivery[[#This Row],[Quantity delivered]]*60/Delivery[[#This Row],[Exchange rate VS USD]]</f>
        <v>21.034978682082016</v>
      </c>
      <c r="AF1245" s="204">
        <f>Delivery[[#This Row],[BEN premium (total)]]/Delivery[[#This Row],[Quantity delivered]]*60/Delivery[[#This Row],[Exchange rate for premiums VS USD]]</f>
        <v>6.4334085999999981</v>
      </c>
      <c r="AG1245" s="204">
        <f>COUNTIF(Delivery[Delivery ID],Delivery[[#This Row],[Delivery ID]])</f>
        <v>1</v>
      </c>
      <c r="AH1245" s="204">
        <f>(Delivery[[#This Row],[Nespresso total]]/SUMIF(Allocation!C:C,Delivery[Delivery ID],Allocation!H:H))/Delivery[[#This Row],[Exchange rate VS USD]]</f>
        <v>1.6681063394081206</v>
      </c>
      <c r="AI1245" s="204">
        <f>(Delivery[[#This Row],[AAA Premium (total)]]/SUMIF(Allocation!C:C,Delivery[Delivery ID],Allocation!H:H))/Delivery[[#This Row],[Exchange rate VS USD]]</f>
        <v>0.37187746386184789</v>
      </c>
      <c r="AJ1245" s="204">
        <f>Delivery[[#This Row],[Valor Prêmio Nespresso AAA por Kg (em US$)]]*60</f>
        <v>22.312647831710873</v>
      </c>
      <c r="AK1245" s="204">
        <f>Delivery[[#This Row],[Valor Prêmio Nespresso AAA por saca (em US$)]]/1.3228/100</f>
        <v>0.16867741027903593</v>
      </c>
      <c r="AL1245" s="204">
        <f>(Delivery[[#This Row],[BEN premium (total)]]/SUMIF(Allocation!C:C,Delivery[Delivery ID],Allocation!H:H))/Delivery[[#This Row],[Exchange rate for premiums VS USD]]</f>
        <v>0.11373625380437989</v>
      </c>
      <c r="AM1245" s="204">
        <f>Delivery[[#This Row],[Valor Prêmio Nespresso BEN por Kg (em US$)]]*60</f>
        <v>6.8241752282627939</v>
      </c>
      <c r="AN1245" s="204">
        <f>Delivery[[#This Row],[Valor Prêmio Nespresso BEN por saca (em US$)]]/1.3228/100</f>
        <v>5.1588866255388527E-2</v>
      </c>
      <c r="AO1245" s="204">
        <f>SUMIF(Allocation[Delivery ID],Delivery[[#This Row],[Delivery ID]],Allocation[Quantity allocated])*16*1.3228*Delivery[[#This Row],[Exchange rate VS USD]]/60</f>
        <v>37529.530418613336</v>
      </c>
      <c r="AP1245" s="204">
        <f>Delivery[[#This Row],[AAA Premium (total)]]</f>
        <v>39564.9</v>
      </c>
      <c r="AQ1245" s="204">
        <f>Delivery[[#This Row],[Valor pago pelo Cluster]]-Delivery[[#This Row],[Valor efetivamente pago pela Nespresso]]</f>
        <v>2035.3695813866652</v>
      </c>
    </row>
    <row r="1246" spans="1:43" ht="15.75">
      <c r="A1246" s="174" t="s">
        <v>69</v>
      </c>
      <c r="B1246" s="232" t="s">
        <v>68</v>
      </c>
      <c r="C1246" s="157">
        <v>1</v>
      </c>
      <c r="D1246" s="157" t="s">
        <v>468</v>
      </c>
      <c r="E1246" s="177" t="s">
        <v>468</v>
      </c>
      <c r="F1246" s="233" t="s">
        <v>543</v>
      </c>
      <c r="G1246" s="234">
        <v>43490</v>
      </c>
      <c r="H1246" s="235" t="s">
        <v>2060</v>
      </c>
      <c r="I1246" s="236" t="s">
        <v>2061</v>
      </c>
      <c r="J1246" s="237">
        <v>31016</v>
      </c>
      <c r="K1246" s="175" t="s">
        <v>61</v>
      </c>
      <c r="L1246" s="175" t="s">
        <v>439</v>
      </c>
      <c r="M1246" s="175" t="s">
        <v>1343</v>
      </c>
      <c r="N1246" s="198"/>
      <c r="O1246" s="199"/>
      <c r="P1246" s="181">
        <v>0</v>
      </c>
      <c r="Q1246" s="177">
        <v>43483</v>
      </c>
      <c r="R1246" s="178">
        <v>390.41669000000002</v>
      </c>
      <c r="S1246" s="179">
        <v>210738.72</v>
      </c>
      <c r="T1246" s="182" t="s">
        <v>45</v>
      </c>
      <c r="U1246" s="183">
        <v>3.7486000000000002</v>
      </c>
      <c r="V1246" s="179">
        <v>19044.919999999998</v>
      </c>
      <c r="W1246" s="179">
        <v>0</v>
      </c>
      <c r="X1246" s="196" t="s">
        <v>45</v>
      </c>
      <c r="Y1246" s="200">
        <v>3.7486000000000002</v>
      </c>
      <c r="Z1246" s="220"/>
      <c r="AA1246" s="201">
        <f>Delivery[[#This Row],[Quantity delivered]]*VLOOKUP(Delivery[[#This Row],[Unit]],References!$U:$X,4,FALSE)*VLOOKUP(CONCATENATE(Delivery[[#This Row],[Coffee specie]],Delivery[[#This Row],[Coffee state]]),References!$U:$X,4,FALSE)</f>
        <v>31016</v>
      </c>
      <c r="AB1246" s="202">
        <f>SUMIF(Allocation!C:C,Delivery[[#This Row],[Delivery ID]],Allocation!D:D)/Delivery[[#This Row],[Quantity delivered]]</f>
        <v>0.28575573897343309</v>
      </c>
      <c r="AC1246" s="203">
        <f>Delivery[[#This Row],[Quantity delivered]]*Delivery[[#This Row],[Base price (Unidad)]]/60</f>
        <v>201819.40095066666</v>
      </c>
      <c r="AD1246" s="204">
        <f>Delivery[[#This Row],[Nespresso total]]-Delivery[[#This Row],[Qt. Delivery * Base Price]]</f>
        <v>8919.3190493333386</v>
      </c>
      <c r="AE1246" s="204">
        <f>Delivery[[#This Row],[AAA Premium (total)]]/Delivery[[#This Row],[Quantity delivered]]*60/Delivery[[#This Row],[Exchange rate VS USD]]</f>
        <v>9.828234593188883</v>
      </c>
      <c r="AF1246" s="204">
        <f>Delivery[[#This Row],[BEN premium (total)]]/Delivery[[#This Row],[Quantity delivered]]*60/Delivery[[#This Row],[Exchange rate for premiums VS USD]]</f>
        <v>0</v>
      </c>
      <c r="AG1246" s="204">
        <f>COUNTIF(Delivery[Delivery ID],Delivery[[#This Row],[Delivery ID]])</f>
        <v>1</v>
      </c>
      <c r="AH1246" s="204">
        <f>(Delivery[[#This Row],[Nespresso total]]/SUMIF(Allocation!C:C,Delivery[Delivery ID],Allocation!H:H))/Delivery[[#This Row],[Exchange rate VS USD]]</f>
        <v>11.327418909104129</v>
      </c>
      <c r="AI1246" s="204">
        <f>(Delivery[[#This Row],[AAA Premium (total)]]/SUMIF(Allocation!C:C,Delivery[Delivery ID],Allocation!H:H))/Delivery[[#This Row],[Exchange rate VS USD]]</f>
        <v>1.0236836729879322</v>
      </c>
      <c r="AJ1246" s="204">
        <f>Delivery[[#This Row],[Valor Prêmio Nespresso AAA por Kg (em US$)]]*60</f>
        <v>61.42102037927593</v>
      </c>
      <c r="AK1246" s="204">
        <f>Delivery[[#This Row],[Valor Prêmio Nespresso AAA por saca (em US$)]]/1.3228/100</f>
        <v>0.46432582687689694</v>
      </c>
      <c r="AL1246" s="204">
        <f>(Delivery[[#This Row],[BEN premium (total)]]/SUMIF(Allocation!C:C,Delivery[Delivery ID],Allocation!H:H))/Delivery[[#This Row],[Exchange rate for premiums VS USD]]</f>
        <v>0</v>
      </c>
      <c r="AM1246" s="204">
        <f>Delivery[[#This Row],[Valor Prêmio Nespresso BEN por Kg (em US$)]]*60</f>
        <v>0</v>
      </c>
      <c r="AN1246" s="204">
        <f>Delivery[[#This Row],[Valor Prêmio Nespresso BEN por saca (em US$)]]/1.3228/100</f>
        <v>0</v>
      </c>
      <c r="AO1246" s="204">
        <f>SUMIF(Allocation[Delivery ID],Delivery[[#This Row],[Delivery ID]],Allocation[Quantity allocated])*16*1.3228*Delivery[[#This Row],[Exchange rate VS USD]]/60</f>
        <v>6562.6054456106667</v>
      </c>
      <c r="AP1246" s="204">
        <f>Delivery[[#This Row],[AAA Premium (total)]]</f>
        <v>19044.919999999998</v>
      </c>
      <c r="AQ1246" s="204">
        <f>Delivery[[#This Row],[Valor pago pelo Cluster]]-Delivery[[#This Row],[Valor efetivamente pago pela Nespresso]]</f>
        <v>12482.314554389332</v>
      </c>
    </row>
    <row r="1247" spans="1:43" ht="15.75">
      <c r="A1247" s="174" t="s">
        <v>69</v>
      </c>
      <c r="B1247" s="232" t="s">
        <v>68</v>
      </c>
      <c r="C1247" s="157">
        <v>1</v>
      </c>
      <c r="D1247" s="157" t="s">
        <v>468</v>
      </c>
      <c r="E1247" s="177" t="s">
        <v>468</v>
      </c>
      <c r="F1247" s="233" t="s">
        <v>543</v>
      </c>
      <c r="G1247" s="234">
        <v>43490</v>
      </c>
      <c r="H1247" s="235" t="s">
        <v>2062</v>
      </c>
      <c r="I1247" s="236" t="s">
        <v>2061</v>
      </c>
      <c r="J1247" s="237">
        <v>22276</v>
      </c>
      <c r="K1247" s="175" t="s">
        <v>61</v>
      </c>
      <c r="L1247" s="175" t="s">
        <v>439</v>
      </c>
      <c r="M1247" s="175" t="s">
        <v>1343</v>
      </c>
      <c r="N1247" s="198"/>
      <c r="O1247" s="199"/>
      <c r="P1247" s="181">
        <v>0</v>
      </c>
      <c r="Q1247" s="177">
        <v>43483</v>
      </c>
      <c r="R1247" s="178">
        <v>390.41669000000002</v>
      </c>
      <c r="S1247" s="179">
        <v>151001.76</v>
      </c>
      <c r="T1247" s="182" t="s">
        <v>45</v>
      </c>
      <c r="U1247" s="183">
        <v>3.7486000000000002</v>
      </c>
      <c r="V1247" s="179">
        <v>13646.36</v>
      </c>
      <c r="W1247" s="179">
        <v>0</v>
      </c>
      <c r="X1247" s="196" t="s">
        <v>45</v>
      </c>
      <c r="Y1247" s="200">
        <v>3.7486000000000002</v>
      </c>
      <c r="Z1247" s="220"/>
      <c r="AA1247" s="201">
        <f>Delivery[[#This Row],[Quantity delivered]]*VLOOKUP(Delivery[[#This Row],[Unit]],References!$U:$X,4,FALSE)*VLOOKUP(CONCATENATE(Delivery[[#This Row],[Coffee specie]],Delivery[[#This Row],[Coffee state]]),References!$U:$X,4,FALSE)</f>
        <v>22276</v>
      </c>
      <c r="AB1247" s="202">
        <f>SUMIF(Allocation!C:C,Delivery[[#This Row],[Delivery ID]],Allocation!D:D)/Delivery[[#This Row],[Quantity delivered]]</f>
        <v>0.26342251750763152</v>
      </c>
      <c r="AC1247" s="203">
        <f>Delivery[[#This Row],[Quantity delivered]]*Delivery[[#This Row],[Base price (Unidad)]]/60</f>
        <v>144948.70310733333</v>
      </c>
      <c r="AD1247" s="204">
        <f>Delivery[[#This Row],[Nespresso total]]-Delivery[[#This Row],[Qt. Delivery * Base Price]]</f>
        <v>6053.0568926666747</v>
      </c>
      <c r="AE1247" s="204">
        <f>Delivery[[#This Row],[AAA Premium (total)]]/Delivery[[#This Row],[Quantity delivered]]*60/Delivery[[#This Row],[Exchange rate VS USD]]</f>
        <v>9.8053198375121866</v>
      </c>
      <c r="AF1247" s="204">
        <f>Delivery[[#This Row],[BEN premium (total)]]/Delivery[[#This Row],[Quantity delivered]]*60/Delivery[[#This Row],[Exchange rate for premiums VS USD]]</f>
        <v>0</v>
      </c>
      <c r="AG1247" s="204">
        <f>COUNTIF(Delivery[Delivery ID],Delivery[[#This Row],[Delivery ID]])</f>
        <v>1</v>
      </c>
      <c r="AH1247" s="204">
        <f>(Delivery[[#This Row],[Nespresso total]]/SUMIF(Allocation!C:C,Delivery[Delivery ID],Allocation!H:H))/Delivery[[#This Row],[Exchange rate VS USD]]</f>
        <v>12.25872631726922</v>
      </c>
      <c r="AI1247" s="204">
        <f>(Delivery[[#This Row],[AAA Premium (total)]]/SUMIF(Allocation!C:C,Delivery[Delivery ID],Allocation!H:H))/Delivery[[#This Row],[Exchange rate VS USD]]</f>
        <v>1.1078479645994193</v>
      </c>
      <c r="AJ1247" s="204">
        <f>Delivery[[#This Row],[Valor Prêmio Nespresso AAA por Kg (em US$)]]*60</f>
        <v>66.470877875965158</v>
      </c>
      <c r="AK1247" s="204">
        <f>Delivery[[#This Row],[Valor Prêmio Nespresso AAA por saca (em US$)]]/1.3228/100</f>
        <v>0.50250134469281194</v>
      </c>
      <c r="AL1247" s="204">
        <f>(Delivery[[#This Row],[BEN premium (total)]]/SUMIF(Allocation!C:C,Delivery[Delivery ID],Allocation!H:H))/Delivery[[#This Row],[Exchange rate for premiums VS USD]]</f>
        <v>0</v>
      </c>
      <c r="AM1247" s="204">
        <f>Delivery[[#This Row],[Valor Prêmio Nespresso BEN por Kg (em US$)]]*60</f>
        <v>0</v>
      </c>
      <c r="AN1247" s="204">
        <f>Delivery[[#This Row],[Valor Prêmio Nespresso BEN por saca (em US$)]]/1.3228/100</f>
        <v>0</v>
      </c>
      <c r="AO1247" s="204">
        <f>SUMIF(Allocation[Delivery ID],Delivery[[#This Row],[Delivery ID]],Allocation[Quantity allocated])*16*1.3228*Delivery[[#This Row],[Exchange rate VS USD]]/60</f>
        <v>4345.0980242346668</v>
      </c>
      <c r="AP1247" s="204">
        <f>Delivery[[#This Row],[AAA Premium (total)]]</f>
        <v>13646.36</v>
      </c>
      <c r="AQ1247" s="204">
        <f>Delivery[[#This Row],[Valor pago pelo Cluster]]-Delivery[[#This Row],[Valor efetivamente pago pela Nespresso]]</f>
        <v>9301.2619757653338</v>
      </c>
    </row>
    <row r="1248" spans="1:43" ht="15.75">
      <c r="A1248" s="174" t="s">
        <v>69</v>
      </c>
      <c r="B1248" s="232" t="s">
        <v>68</v>
      </c>
      <c r="C1248" s="157">
        <v>1</v>
      </c>
      <c r="D1248" s="157" t="s">
        <v>468</v>
      </c>
      <c r="E1248" s="177" t="s">
        <v>468</v>
      </c>
      <c r="F1248" s="233" t="s">
        <v>543</v>
      </c>
      <c r="G1248" s="234">
        <v>43490</v>
      </c>
      <c r="H1248" s="235" t="s">
        <v>2063</v>
      </c>
      <c r="I1248" s="236" t="s">
        <v>2061</v>
      </c>
      <c r="J1248" s="237">
        <v>5323.5</v>
      </c>
      <c r="K1248" s="175" t="s">
        <v>61</v>
      </c>
      <c r="L1248" s="175" t="s">
        <v>439</v>
      </c>
      <c r="M1248" s="175" t="s">
        <v>1343</v>
      </c>
      <c r="N1248" s="198"/>
      <c r="O1248" s="199"/>
      <c r="P1248" s="181">
        <v>0</v>
      </c>
      <c r="Q1248" s="177">
        <v>43483</v>
      </c>
      <c r="R1248" s="178">
        <v>390.41669000000002</v>
      </c>
      <c r="S1248" s="179">
        <v>36091.08</v>
      </c>
      <c r="T1248" s="182" t="s">
        <v>45</v>
      </c>
      <c r="U1248" s="183">
        <v>3.7486000000000002</v>
      </c>
      <c r="V1248" s="179">
        <v>3261.63</v>
      </c>
      <c r="W1248" s="179">
        <v>0</v>
      </c>
      <c r="X1248" s="196" t="s">
        <v>45</v>
      </c>
      <c r="Y1248" s="200">
        <v>3.7486000000000002</v>
      </c>
      <c r="Z1248" s="220"/>
      <c r="AA1248" s="201">
        <f>Delivery[[#This Row],[Quantity delivered]]*VLOOKUP(Delivery[[#This Row],[Unit]],References!$U:$X,4,FALSE)*VLOOKUP(CONCATENATE(Delivery[[#This Row],[Coffee specie]],Delivery[[#This Row],[Coffee state]]),References!$U:$X,4,FALSE)</f>
        <v>5323.5</v>
      </c>
      <c r="AB1248" s="202">
        <f>SUMIF(Allocation!C:C,Delivery[[#This Row],[Delivery ID]],Allocation!D:D)/Delivery[[#This Row],[Quantity delivered]]</f>
        <v>0.26336057105287874</v>
      </c>
      <c r="AC1248" s="203">
        <f>Delivery[[#This Row],[Quantity delivered]]*Delivery[[#This Row],[Base price (Unidad)]]/60</f>
        <v>34639.720820250004</v>
      </c>
      <c r="AD1248" s="204">
        <f>Delivery[[#This Row],[Nespresso total]]-Delivery[[#This Row],[Qt. Delivery * Base Price]]</f>
        <v>1451.3591797499976</v>
      </c>
      <c r="AE1248" s="204">
        <f>Delivery[[#This Row],[AAA Premium (total)]]/Delivery[[#This Row],[Quantity delivered]]*60/Delivery[[#This Row],[Exchange rate VS USD]]</f>
        <v>9.8066253554045915</v>
      </c>
      <c r="AF1248" s="204">
        <f>Delivery[[#This Row],[BEN premium (total)]]/Delivery[[#This Row],[Quantity delivered]]*60/Delivery[[#This Row],[Exchange rate for premiums VS USD]]</f>
        <v>0</v>
      </c>
      <c r="AG1248" s="204">
        <f>COUNTIF(Delivery[Delivery ID],Delivery[[#This Row],[Delivery ID]])</f>
        <v>1</v>
      </c>
      <c r="AH1248" s="204">
        <f>(Delivery[[#This Row],[Nespresso total]]/SUMIF(Allocation!C:C,Delivery[Delivery ID],Allocation!H:H))/Delivery[[#This Row],[Exchange rate VS USD]]</f>
        <v>12.264818355965421</v>
      </c>
      <c r="AI1248" s="204">
        <f>(Delivery[[#This Row],[AAA Premium (total)]]/SUMIF(Allocation!C:C,Delivery[Delivery ID],Allocation!H:H))/Delivery[[#This Row],[Exchange rate VS USD]]</f>
        <v>1.1083985154882452</v>
      </c>
      <c r="AJ1248" s="204">
        <f>Delivery[[#This Row],[Valor Prêmio Nespresso AAA por Kg (em US$)]]*60</f>
        <v>66.503910929294705</v>
      </c>
      <c r="AK1248" s="204">
        <f>Delivery[[#This Row],[Valor Prêmio Nespresso AAA por saca (em US$)]]/1.3228/100</f>
        <v>0.5027510653862618</v>
      </c>
      <c r="AL1248" s="204">
        <f>(Delivery[[#This Row],[BEN premium (total)]]/SUMIF(Allocation!C:C,Delivery[Delivery ID],Allocation!H:H))/Delivery[[#This Row],[Exchange rate for premiums VS USD]]</f>
        <v>0</v>
      </c>
      <c r="AM1248" s="204">
        <f>Delivery[[#This Row],[Valor Prêmio Nespresso BEN por Kg (em US$)]]*60</f>
        <v>0</v>
      </c>
      <c r="AN1248" s="204">
        <f>Delivery[[#This Row],[Valor Prêmio Nespresso BEN por saca (em US$)]]/1.3228/100</f>
        <v>0</v>
      </c>
      <c r="AO1248" s="204">
        <f>SUMIF(Allocation[Delivery ID],Delivery[[#This Row],[Delivery ID]],Allocation[Quantity allocated])*16*1.3228*Delivery[[#This Row],[Exchange rate VS USD]]/60</f>
        <v>1038.0103314133332</v>
      </c>
      <c r="AP1248" s="204">
        <f>Delivery[[#This Row],[AAA Premium (total)]]</f>
        <v>3261.63</v>
      </c>
      <c r="AQ1248" s="204">
        <f>Delivery[[#This Row],[Valor pago pelo Cluster]]-Delivery[[#This Row],[Valor efetivamente pago pela Nespresso]]</f>
        <v>2223.6196685866671</v>
      </c>
    </row>
    <row r="1249" spans="1:43" ht="15.75">
      <c r="A1249" s="174" t="s">
        <v>69</v>
      </c>
      <c r="B1249" s="232" t="s">
        <v>68</v>
      </c>
      <c r="C1249" s="157">
        <v>1</v>
      </c>
      <c r="D1249" s="157" t="s">
        <v>468</v>
      </c>
      <c r="E1249" s="177" t="s">
        <v>468</v>
      </c>
      <c r="F1249" s="233" t="s">
        <v>543</v>
      </c>
      <c r="G1249" s="234">
        <v>43490</v>
      </c>
      <c r="H1249" s="235" t="s">
        <v>2064</v>
      </c>
      <c r="I1249" s="236" t="s">
        <v>2061</v>
      </c>
      <c r="J1249" s="237">
        <v>3000.5</v>
      </c>
      <c r="K1249" s="175" t="s">
        <v>61</v>
      </c>
      <c r="L1249" s="175" t="s">
        <v>439</v>
      </c>
      <c r="M1249" s="175" t="s">
        <v>1343</v>
      </c>
      <c r="N1249" s="198"/>
      <c r="O1249" s="199"/>
      <c r="P1249" s="181">
        <v>0</v>
      </c>
      <c r="Q1249" s="177">
        <v>43483</v>
      </c>
      <c r="R1249" s="178">
        <v>390.41669000000002</v>
      </c>
      <c r="S1249" s="179">
        <v>20327.16</v>
      </c>
      <c r="T1249" s="182" t="s">
        <v>45</v>
      </c>
      <c r="U1249" s="183">
        <v>3.7486000000000002</v>
      </c>
      <c r="V1249" s="179">
        <v>1837.01</v>
      </c>
      <c r="W1249" s="179">
        <v>0</v>
      </c>
      <c r="X1249" s="196" t="s">
        <v>45</v>
      </c>
      <c r="Y1249" s="200">
        <v>3.7486000000000002</v>
      </c>
      <c r="Z1249" s="220"/>
      <c r="AA1249" s="201">
        <f>Delivery[[#This Row],[Quantity delivered]]*VLOOKUP(Delivery[[#This Row],[Unit]],References!$U:$X,4,FALSE)*VLOOKUP(CONCATENATE(Delivery[[#This Row],[Coffee specie]],Delivery[[#This Row],[Coffee state]]),References!$U:$X,4,FALSE)</f>
        <v>3000.5</v>
      </c>
      <c r="AB1249" s="202">
        <f>SUMIF(Allocation!C:C,Delivery[[#This Row],[Delivery ID]],Allocation!D:D)/Delivery[[#This Row],[Quantity delivered]]</f>
        <v>0.26362272954507582</v>
      </c>
      <c r="AC1249" s="203">
        <f>Delivery[[#This Row],[Quantity delivered]]*Delivery[[#This Row],[Base price (Unidad)]]/60</f>
        <v>19524.087972416666</v>
      </c>
      <c r="AD1249" s="204">
        <f>Delivery[[#This Row],[Nespresso total]]-Delivery[[#This Row],[Qt. Delivery * Base Price]]</f>
        <v>803.07202758333369</v>
      </c>
      <c r="AE1249" s="204">
        <f>Delivery[[#This Row],[AAA Premium (total)]]/Delivery[[#This Row],[Quantity delivered]]*60/Delivery[[#This Row],[Exchange rate VS USD]]</f>
        <v>9.7994124883221421</v>
      </c>
      <c r="AF1249" s="204">
        <f>Delivery[[#This Row],[BEN premium (total)]]/Delivery[[#This Row],[Quantity delivered]]*60/Delivery[[#This Row],[Exchange rate for premiums VS USD]]</f>
        <v>0</v>
      </c>
      <c r="AG1249" s="204">
        <f>COUNTIF(Delivery[Delivery ID],Delivery[[#This Row],[Delivery ID]])</f>
        <v>1</v>
      </c>
      <c r="AH1249" s="204">
        <f>(Delivery[[#This Row],[Nespresso total]]/SUMIF(Allocation!C:C,Delivery[Delivery ID],Allocation!H:H))/Delivery[[#This Row],[Exchange rate VS USD]]</f>
        <v>12.240633041753194</v>
      </c>
      <c r="AI1249" s="204">
        <f>(Delivery[[#This Row],[AAA Premium (total)]]/SUMIF(Allocation!C:C,Delivery[Delivery ID],Allocation!H:H))/Delivery[[#This Row],[Exchange rate VS USD]]</f>
        <v>1.1062128356362144</v>
      </c>
      <c r="AJ1249" s="204">
        <f>Delivery[[#This Row],[Valor Prêmio Nespresso AAA por Kg (em US$)]]*60</f>
        <v>66.372770138172868</v>
      </c>
      <c r="AK1249" s="204">
        <f>Delivery[[#This Row],[Valor Prêmio Nespresso AAA por saca (em US$)]]/1.3228/100</f>
        <v>0.50175967748845529</v>
      </c>
      <c r="AL1249" s="204">
        <f>(Delivery[[#This Row],[BEN premium (total)]]/SUMIF(Allocation!C:C,Delivery[Delivery ID],Allocation!H:H))/Delivery[[#This Row],[Exchange rate for premiums VS USD]]</f>
        <v>0</v>
      </c>
      <c r="AM1249" s="204">
        <f>Delivery[[#This Row],[Valor Prêmio Nespresso BEN por Kg (em US$)]]*60</f>
        <v>0</v>
      </c>
      <c r="AN1249" s="204">
        <f>Delivery[[#This Row],[Valor Prêmio Nespresso BEN por saca (em US$)]]/1.3228/100</f>
        <v>0</v>
      </c>
      <c r="AO1249" s="204">
        <f>SUMIF(Allocation[Delivery ID],Delivery[[#This Row],[Delivery ID]],Allocation[Quantity allocated])*16*1.3228*Delivery[[#This Row],[Exchange rate VS USD]]/60</f>
        <v>585.78162651733339</v>
      </c>
      <c r="AP1249" s="204">
        <f>Delivery[[#This Row],[AAA Premium (total)]]</f>
        <v>1837.01</v>
      </c>
      <c r="AQ1249" s="204">
        <f>Delivery[[#This Row],[Valor pago pelo Cluster]]-Delivery[[#This Row],[Valor efetivamente pago pela Nespresso]]</f>
        <v>1251.2283734826665</v>
      </c>
    </row>
    <row r="1250" spans="1:43" ht="15.75">
      <c r="A1250" s="174" t="s">
        <v>69</v>
      </c>
      <c r="B1250" s="232" t="s">
        <v>68</v>
      </c>
      <c r="C1250" s="157">
        <v>1</v>
      </c>
      <c r="D1250" s="157" t="s">
        <v>468</v>
      </c>
      <c r="E1250" s="177" t="s">
        <v>468</v>
      </c>
      <c r="F1250" s="233" t="s">
        <v>543</v>
      </c>
      <c r="G1250" s="234">
        <v>43490</v>
      </c>
      <c r="H1250" s="235" t="s">
        <v>2065</v>
      </c>
      <c r="I1250" s="236" t="s">
        <v>2061</v>
      </c>
      <c r="J1250" s="237">
        <v>31105</v>
      </c>
      <c r="K1250" s="175" t="s">
        <v>61</v>
      </c>
      <c r="L1250" s="175" t="s">
        <v>439</v>
      </c>
      <c r="M1250" s="175" t="s">
        <v>1343</v>
      </c>
      <c r="N1250" s="198"/>
      <c r="O1250" s="199"/>
      <c r="P1250" s="181">
        <v>0</v>
      </c>
      <c r="Q1250" s="177">
        <v>43483</v>
      </c>
      <c r="R1250" s="178">
        <v>390.41669000000002</v>
      </c>
      <c r="S1250" s="179">
        <v>211568.4</v>
      </c>
      <c r="T1250" s="182" t="s">
        <v>45</v>
      </c>
      <c r="U1250" s="183">
        <v>3.7486000000000002</v>
      </c>
      <c r="V1250" s="179">
        <v>19119.900000000001</v>
      </c>
      <c r="W1250" s="179">
        <v>0</v>
      </c>
      <c r="X1250" s="196" t="s">
        <v>45</v>
      </c>
      <c r="Y1250" s="200">
        <v>3.7486000000000002</v>
      </c>
      <c r="Z1250" s="220"/>
      <c r="AA1250" s="201">
        <f>Delivery[[#This Row],[Quantity delivered]]*VLOOKUP(Delivery[[#This Row],[Unit]],References!$U:$X,4,FALSE)*VLOOKUP(CONCATENATE(Delivery[[#This Row],[Coffee specie]],Delivery[[#This Row],[Coffee state]]),References!$U:$X,4,FALSE)</f>
        <v>31105</v>
      </c>
      <c r="AB1250" s="202">
        <f>SUMIF(Allocation!C:C,Delivery[[#This Row],[Delivery ID]],Allocation!D:D)/Delivery[[#This Row],[Quantity delivered]]</f>
        <v>0.26982800192895035</v>
      </c>
      <c r="AC1250" s="203">
        <f>Delivery[[#This Row],[Quantity delivered]]*Delivery[[#This Row],[Base price (Unidad)]]/60</f>
        <v>202398.51904083334</v>
      </c>
      <c r="AD1250" s="204">
        <f>Delivery[[#This Row],[Nespresso total]]-Delivery[[#This Row],[Qt. Delivery * Base Price]]</f>
        <v>9169.8809591666504</v>
      </c>
      <c r="AE1250" s="204">
        <f>Delivery[[#This Row],[AAA Premium (total)]]/Delivery[[#This Row],[Quantity delivered]]*60/Delivery[[#This Row],[Exchange rate VS USD]]</f>
        <v>9.8386964214805008</v>
      </c>
      <c r="AF1250" s="204">
        <f>Delivery[[#This Row],[BEN premium (total)]]/Delivery[[#This Row],[Quantity delivered]]*60/Delivery[[#This Row],[Exchange rate for premiums VS USD]]</f>
        <v>0</v>
      </c>
      <c r="AG1250" s="204">
        <f>COUNTIF(Delivery[Delivery ID],Delivery[[#This Row],[Delivery ID]])</f>
        <v>1</v>
      </c>
      <c r="AH1250" s="204">
        <f>(Delivery[[#This Row],[Nespresso total]]/SUMIF(Allocation!C:C,Delivery[Delivery ID],Allocation!H:H))/Delivery[[#This Row],[Exchange rate VS USD]]</f>
        <v>12.008363973613978</v>
      </c>
      <c r="AI1250" s="204">
        <f>(Delivery[[#This Row],[AAA Premium (total)]]/SUMIF(Allocation!C:C,Delivery[Delivery ID],Allocation!H:H))/Delivery[[#This Row],[Exchange rate VS USD]]</f>
        <v>1.0852221708870602</v>
      </c>
      <c r="AJ1250" s="204">
        <f>Delivery[[#This Row],[Valor Prêmio Nespresso AAA por Kg (em US$)]]*60</f>
        <v>65.113330253223609</v>
      </c>
      <c r="AK1250" s="204">
        <f>Delivery[[#This Row],[Valor Prêmio Nespresso AAA por saca (em US$)]]/1.3228/100</f>
        <v>0.49223866233159669</v>
      </c>
      <c r="AL1250" s="204">
        <f>(Delivery[[#This Row],[BEN premium (total)]]/SUMIF(Allocation!C:C,Delivery[Delivery ID],Allocation!H:H))/Delivery[[#This Row],[Exchange rate for premiums VS USD]]</f>
        <v>0</v>
      </c>
      <c r="AM1250" s="204">
        <f>Delivery[[#This Row],[Valor Prêmio Nespresso BEN por Kg (em US$)]]*60</f>
        <v>0</v>
      </c>
      <c r="AN1250" s="204">
        <f>Delivery[[#This Row],[Valor Prêmio Nespresso BEN por saca (em US$)]]/1.3228/100</f>
        <v>0</v>
      </c>
      <c r="AO1250" s="204">
        <f>SUMIF(Allocation[Delivery ID],Delivery[[#This Row],[Delivery ID]],Allocation[Quantity allocated])*16*1.3228*Delivery[[#This Row],[Exchange rate VS USD]]/60</f>
        <v>6214.8389269333329</v>
      </c>
      <c r="AP1250" s="204">
        <f>Delivery[[#This Row],[AAA Premium (total)]]</f>
        <v>19119.900000000001</v>
      </c>
      <c r="AQ1250" s="204">
        <f>Delivery[[#This Row],[Valor pago pelo Cluster]]-Delivery[[#This Row],[Valor efetivamente pago pela Nespresso]]</f>
        <v>12905.061073066669</v>
      </c>
    </row>
    <row r="1251" spans="1:43" ht="15.75">
      <c r="A1251" s="174" t="s">
        <v>69</v>
      </c>
      <c r="B1251" s="232" t="s">
        <v>68</v>
      </c>
      <c r="C1251" s="157">
        <v>1</v>
      </c>
      <c r="D1251" s="157" t="s">
        <v>468</v>
      </c>
      <c r="E1251" s="177" t="s">
        <v>468</v>
      </c>
      <c r="F1251" s="233" t="s">
        <v>543</v>
      </c>
      <c r="G1251" s="234">
        <v>43490</v>
      </c>
      <c r="H1251" s="235" t="s">
        <v>2066</v>
      </c>
      <c r="I1251" s="236" t="s">
        <v>2061</v>
      </c>
      <c r="J1251" s="237">
        <v>31135</v>
      </c>
      <c r="K1251" s="175" t="s">
        <v>61</v>
      </c>
      <c r="L1251" s="175" t="s">
        <v>439</v>
      </c>
      <c r="M1251" s="175" t="s">
        <v>1343</v>
      </c>
      <c r="N1251" s="198"/>
      <c r="O1251" s="199"/>
      <c r="P1251" s="181">
        <v>0</v>
      </c>
      <c r="Q1251" s="177">
        <v>43483</v>
      </c>
      <c r="R1251" s="178">
        <v>390.41669000000002</v>
      </c>
      <c r="S1251" s="179">
        <v>211568.4</v>
      </c>
      <c r="T1251" s="182" t="s">
        <v>45</v>
      </c>
      <c r="U1251" s="183">
        <v>3.7486000000000002</v>
      </c>
      <c r="V1251" s="179">
        <v>19119.900000000001</v>
      </c>
      <c r="W1251" s="179">
        <v>0</v>
      </c>
      <c r="X1251" s="196" t="s">
        <v>45</v>
      </c>
      <c r="Y1251" s="200">
        <v>3.7486000000000002</v>
      </c>
      <c r="Z1251" s="220"/>
      <c r="AA1251" s="201">
        <f>Delivery[[#This Row],[Quantity delivered]]*VLOOKUP(Delivery[[#This Row],[Unit]],References!$U:$X,4,FALSE)*VLOOKUP(CONCATENATE(Delivery[[#This Row],[Coffee specie]],Delivery[[#This Row],[Coffee state]]),References!$U:$X,4,FALSE)</f>
        <v>31135</v>
      </c>
      <c r="AB1251" s="202">
        <f>SUMIF(Allocation!C:C,Delivery[[#This Row],[Delivery ID]],Allocation!D:D)/Delivery[[#This Row],[Quantity delivered]]</f>
        <v>0.2695680102778224</v>
      </c>
      <c r="AC1251" s="203">
        <f>Delivery[[#This Row],[Quantity delivered]]*Delivery[[#This Row],[Base price (Unidad)]]/60</f>
        <v>202593.72738583334</v>
      </c>
      <c r="AD1251" s="204">
        <f>Delivery[[#This Row],[Nespresso total]]-Delivery[[#This Row],[Qt. Delivery * Base Price]]</f>
        <v>8974.6726141666586</v>
      </c>
      <c r="AE1251" s="204">
        <f>Delivery[[#This Row],[AAA Premium (total)]]/Delivery[[#This Row],[Quantity delivered]]*60/Delivery[[#This Row],[Exchange rate VS USD]]</f>
        <v>9.8292163863867348</v>
      </c>
      <c r="AF1251" s="204">
        <f>Delivery[[#This Row],[BEN premium (total)]]/Delivery[[#This Row],[Quantity delivered]]*60/Delivery[[#This Row],[Exchange rate for premiums VS USD]]</f>
        <v>0</v>
      </c>
      <c r="AG1251" s="204">
        <f>COUNTIF(Delivery[Delivery ID],Delivery[[#This Row],[Delivery ID]])</f>
        <v>1</v>
      </c>
      <c r="AH1251" s="204">
        <f>(Delivery[[#This Row],[Nespresso total]]/SUMIF(Allocation!C:C,Delivery[Delivery ID],Allocation!H:H))/Delivery[[#This Row],[Exchange rate VS USD]]</f>
        <v>12.008363973613978</v>
      </c>
      <c r="AI1251" s="204">
        <f>(Delivery[[#This Row],[AAA Premium (total)]]/SUMIF(Allocation!C:C,Delivery[Delivery ID],Allocation!H:H))/Delivery[[#This Row],[Exchange rate VS USD]]</f>
        <v>1.0852221708870602</v>
      </c>
      <c r="AJ1251" s="204">
        <f>Delivery[[#This Row],[Valor Prêmio Nespresso AAA por Kg (em US$)]]*60</f>
        <v>65.113330253223609</v>
      </c>
      <c r="AK1251" s="204">
        <f>Delivery[[#This Row],[Valor Prêmio Nespresso AAA por saca (em US$)]]/1.3228/100</f>
        <v>0.49223866233159669</v>
      </c>
      <c r="AL1251" s="204">
        <f>(Delivery[[#This Row],[BEN premium (total)]]/SUMIF(Allocation!C:C,Delivery[Delivery ID],Allocation!H:H))/Delivery[[#This Row],[Exchange rate for premiums VS USD]]</f>
        <v>0</v>
      </c>
      <c r="AM1251" s="204">
        <f>Delivery[[#This Row],[Valor Prêmio Nespresso BEN por Kg (em US$)]]*60</f>
        <v>0</v>
      </c>
      <c r="AN1251" s="204">
        <f>Delivery[[#This Row],[Valor Prêmio Nespresso BEN por saca (em US$)]]/1.3228/100</f>
        <v>0</v>
      </c>
      <c r="AO1251" s="204">
        <f>SUMIF(Allocation[Delivery ID],Delivery[[#This Row],[Delivery ID]],Allocation[Quantity allocated])*16*1.3228*Delivery[[#This Row],[Exchange rate VS USD]]/60</f>
        <v>6214.8389269333329</v>
      </c>
      <c r="AP1251" s="204">
        <f>Delivery[[#This Row],[AAA Premium (total)]]</f>
        <v>19119.900000000001</v>
      </c>
      <c r="AQ1251" s="204">
        <f>Delivery[[#This Row],[Valor pago pelo Cluster]]-Delivery[[#This Row],[Valor efetivamente pago pela Nespresso]]</f>
        <v>12905.061073066669</v>
      </c>
    </row>
    <row r="1252" spans="1:43" ht="15.75">
      <c r="A1252" s="174" t="s">
        <v>69</v>
      </c>
      <c r="B1252" s="232" t="s">
        <v>68</v>
      </c>
      <c r="C1252" s="157">
        <v>1</v>
      </c>
      <c r="D1252" s="157" t="s">
        <v>468</v>
      </c>
      <c r="E1252" s="177" t="s">
        <v>468</v>
      </c>
      <c r="F1252" s="233" t="s">
        <v>543</v>
      </c>
      <c r="G1252" s="234">
        <v>43490</v>
      </c>
      <c r="H1252" s="235" t="s">
        <v>2067</v>
      </c>
      <c r="I1252" s="236" t="s">
        <v>2061</v>
      </c>
      <c r="J1252" s="237">
        <v>31045</v>
      </c>
      <c r="K1252" s="175" t="s">
        <v>61</v>
      </c>
      <c r="L1252" s="175" t="s">
        <v>439</v>
      </c>
      <c r="M1252" s="175" t="s">
        <v>1343</v>
      </c>
      <c r="N1252" s="198"/>
      <c r="O1252" s="199"/>
      <c r="P1252" s="181">
        <v>0</v>
      </c>
      <c r="Q1252" s="177">
        <v>43483</v>
      </c>
      <c r="R1252" s="178">
        <v>390.41669000000002</v>
      </c>
      <c r="S1252" s="179">
        <v>211568.4</v>
      </c>
      <c r="T1252" s="182" t="s">
        <v>45</v>
      </c>
      <c r="U1252" s="183">
        <v>3.7486000000000002</v>
      </c>
      <c r="V1252" s="179">
        <v>19119.900000000001</v>
      </c>
      <c r="W1252" s="179">
        <v>0</v>
      </c>
      <c r="X1252" s="196" t="s">
        <v>45</v>
      </c>
      <c r="Y1252" s="200">
        <v>3.7486000000000002</v>
      </c>
      <c r="Z1252" s="220"/>
      <c r="AA1252" s="201">
        <f>Delivery[[#This Row],[Quantity delivered]]*VLOOKUP(Delivery[[#This Row],[Unit]],References!$U:$X,4,FALSE)*VLOOKUP(CONCATENATE(Delivery[[#This Row],[Coffee specie]],Delivery[[#This Row],[Coffee state]]),References!$U:$X,4,FALSE)</f>
        <v>31045</v>
      </c>
      <c r="AB1252" s="202">
        <f>SUMIF(Allocation!C:C,Delivery[[#This Row],[Delivery ID]],Allocation!D:D)/Delivery[[#This Row],[Quantity delivered]]</f>
        <v>0.27034949267192787</v>
      </c>
      <c r="AC1252" s="203">
        <f>Delivery[[#This Row],[Quantity delivered]]*Delivery[[#This Row],[Base price (Unidad)]]/60</f>
        <v>202008.10235083333</v>
      </c>
      <c r="AD1252" s="204">
        <f>Delivery[[#This Row],[Nespresso total]]-Delivery[[#This Row],[Qt. Delivery * Base Price]]</f>
        <v>9560.2976491666632</v>
      </c>
      <c r="AE1252" s="204">
        <f>Delivery[[#This Row],[AAA Premium (total)]]/Delivery[[#This Row],[Quantity delivered]]*60/Delivery[[#This Row],[Exchange rate VS USD]]</f>
        <v>9.8577114572443545</v>
      </c>
      <c r="AF1252" s="204">
        <f>Delivery[[#This Row],[BEN premium (total)]]/Delivery[[#This Row],[Quantity delivered]]*60/Delivery[[#This Row],[Exchange rate for premiums VS USD]]</f>
        <v>0</v>
      </c>
      <c r="AG1252" s="204">
        <f>COUNTIF(Delivery[Delivery ID],Delivery[[#This Row],[Delivery ID]])</f>
        <v>1</v>
      </c>
      <c r="AH1252" s="204">
        <f>(Delivery[[#This Row],[Nespresso total]]/SUMIF(Allocation!C:C,Delivery[Delivery ID],Allocation!H:H))/Delivery[[#This Row],[Exchange rate VS USD]]</f>
        <v>12.008363973613978</v>
      </c>
      <c r="AI1252" s="204">
        <f>(Delivery[[#This Row],[AAA Premium (total)]]/SUMIF(Allocation!C:C,Delivery[Delivery ID],Allocation!H:H))/Delivery[[#This Row],[Exchange rate VS USD]]</f>
        <v>1.0852221708870602</v>
      </c>
      <c r="AJ1252" s="204">
        <f>Delivery[[#This Row],[Valor Prêmio Nespresso AAA por Kg (em US$)]]*60</f>
        <v>65.113330253223609</v>
      </c>
      <c r="AK1252" s="204">
        <f>Delivery[[#This Row],[Valor Prêmio Nespresso AAA por saca (em US$)]]/1.3228/100</f>
        <v>0.49223866233159669</v>
      </c>
      <c r="AL1252" s="204">
        <f>(Delivery[[#This Row],[BEN premium (total)]]/SUMIF(Allocation!C:C,Delivery[Delivery ID],Allocation!H:H))/Delivery[[#This Row],[Exchange rate for premiums VS USD]]</f>
        <v>0</v>
      </c>
      <c r="AM1252" s="204">
        <f>Delivery[[#This Row],[Valor Prêmio Nespresso BEN por Kg (em US$)]]*60</f>
        <v>0</v>
      </c>
      <c r="AN1252" s="204">
        <f>Delivery[[#This Row],[Valor Prêmio Nespresso BEN por saca (em US$)]]/1.3228/100</f>
        <v>0</v>
      </c>
      <c r="AO1252" s="204">
        <f>SUMIF(Allocation[Delivery ID],Delivery[[#This Row],[Delivery ID]],Allocation[Quantity allocated])*16*1.3228*Delivery[[#This Row],[Exchange rate VS USD]]/60</f>
        <v>6214.8389269333329</v>
      </c>
      <c r="AP1252" s="204">
        <f>Delivery[[#This Row],[AAA Premium (total)]]</f>
        <v>19119.900000000001</v>
      </c>
      <c r="AQ1252" s="204">
        <f>Delivery[[#This Row],[Valor pago pelo Cluster]]-Delivery[[#This Row],[Valor efetivamente pago pela Nespresso]]</f>
        <v>12905.061073066669</v>
      </c>
    </row>
    <row r="1253" spans="1:43" ht="15.75">
      <c r="A1253" s="174" t="s">
        <v>69</v>
      </c>
      <c r="B1253" s="232" t="s">
        <v>68</v>
      </c>
      <c r="C1253" s="157">
        <v>1</v>
      </c>
      <c r="D1253" s="157" t="s">
        <v>468</v>
      </c>
      <c r="E1253" s="177" t="s">
        <v>468</v>
      </c>
      <c r="F1253" s="233" t="s">
        <v>543</v>
      </c>
      <c r="G1253" s="234">
        <v>43494</v>
      </c>
      <c r="H1253" s="235" t="s">
        <v>2187</v>
      </c>
      <c r="I1253" s="236" t="s">
        <v>1798</v>
      </c>
      <c r="J1253" s="237">
        <v>31800</v>
      </c>
      <c r="K1253" s="175" t="s">
        <v>61</v>
      </c>
      <c r="L1253" s="175" t="s">
        <v>439</v>
      </c>
      <c r="M1253" s="175" t="s">
        <v>1343</v>
      </c>
      <c r="N1253" s="198"/>
      <c r="O1253" s="199"/>
      <c r="P1253" s="181">
        <v>0</v>
      </c>
      <c r="Q1253" s="177">
        <v>43488</v>
      </c>
      <c r="R1253" s="178">
        <v>390.03644000000003</v>
      </c>
      <c r="S1253" s="179">
        <v>214581.1</v>
      </c>
      <c r="T1253" s="182" t="s">
        <v>45</v>
      </c>
      <c r="U1253" s="183">
        <v>3.7612000000000001</v>
      </c>
      <c r="V1253" s="179">
        <v>23918.9</v>
      </c>
      <c r="W1253" s="179">
        <v>0</v>
      </c>
      <c r="X1253" s="196" t="s">
        <v>45</v>
      </c>
      <c r="Y1253" s="200">
        <v>3.7612000000000001</v>
      </c>
      <c r="Z1253" s="220"/>
      <c r="AA1253" s="201">
        <f>Delivery[[#This Row],[Quantity delivered]]*VLOOKUP(Delivery[[#This Row],[Unit]],References!$U:$X,4,FALSE)*VLOOKUP(CONCATENATE(Delivery[[#This Row],[Coffee specie]],Delivery[[#This Row],[Coffee state]]),References!$U:$X,4,FALSE)</f>
        <v>31800</v>
      </c>
      <c r="AB1253" s="202">
        <f>SUMIF(Allocation!C:C,Delivery[[#This Row],[Delivery ID]],Allocation!D:D)/Delivery[[#This Row],[Quantity delivered]]</f>
        <v>0.11949685534591195</v>
      </c>
      <c r="AC1253" s="203">
        <f>Delivery[[#This Row],[Quantity delivered]]*Delivery[[#This Row],[Base price (Unidad)]]/60</f>
        <v>206719.31320000003</v>
      </c>
      <c r="AD1253" s="204">
        <f>Delivery[[#This Row],[Nespresso total]]-Delivery[[#This Row],[Qt. Delivery * Base Price]]</f>
        <v>7861.7867999999726</v>
      </c>
      <c r="AE1253" s="204">
        <f>Delivery[[#This Row],[AAA Premium (total)]]/Delivery[[#This Row],[Quantity delivered]]*60/Delivery[[#This Row],[Exchange rate VS USD]]</f>
        <v>11.998830160587048</v>
      </c>
      <c r="AF1253" s="204">
        <f>Delivery[[#This Row],[BEN premium (total)]]/Delivery[[#This Row],[Quantity delivered]]*60/Delivery[[#This Row],[Exchange rate for premiums VS USD]]</f>
        <v>0</v>
      </c>
      <c r="AG1253" s="204">
        <f>COUNTIF(Delivery[Delivery ID],Delivery[[#This Row],[Delivery ID]])</f>
        <v>1</v>
      </c>
      <c r="AH1253" s="204">
        <f>(Delivery[[#This Row],[Nespresso total]]/SUMIF(Allocation!C:C,Delivery[Delivery ID],Allocation!H:H))/Delivery[[#This Row],[Exchange rate VS USD]]</f>
        <v>28.872081806090829</v>
      </c>
      <c r="AI1253" s="204">
        <f>(Delivery[[#This Row],[AAA Premium (total)]]/SUMIF(Allocation!C:C,Delivery[Delivery ID],Allocation!H:H))/Delivery[[#This Row],[Exchange rate VS USD]]</f>
        <v>3.2183097090643393</v>
      </c>
      <c r="AJ1253" s="204">
        <f>Delivery[[#This Row],[Valor Prêmio Nespresso AAA por Kg (em US$)]]*60</f>
        <v>193.09858254386035</v>
      </c>
      <c r="AK1253" s="204">
        <f>Delivery[[#This Row],[Valor Prêmio Nespresso AAA por saca (em US$)]]/1.3228/100</f>
        <v>1.4597715644380131</v>
      </c>
      <c r="AL1253" s="204">
        <f>(Delivery[[#This Row],[BEN premium (total)]]/SUMIF(Allocation!C:C,Delivery[Delivery ID],Allocation!H:H))/Delivery[[#This Row],[Exchange rate for premiums VS USD]]</f>
        <v>0</v>
      </c>
      <c r="AM1253" s="204">
        <f>Delivery[[#This Row],[Valor Prêmio Nespresso BEN por Kg (em US$)]]*60</f>
        <v>0</v>
      </c>
      <c r="AN1253" s="204">
        <f>Delivery[[#This Row],[Valor Prêmio Nespresso BEN por saca (em US$)]]/1.3228/100</f>
        <v>0</v>
      </c>
      <c r="AO1253" s="204">
        <f>SUMIF(Allocation[Delivery ID],Delivery[[#This Row],[Delivery ID]],Allocation[Quantity allocated])*16*1.3228*Delivery[[#This Row],[Exchange rate VS USD]]/60</f>
        <v>2621.6595070293333</v>
      </c>
      <c r="AP1253" s="204">
        <f>Delivery[[#This Row],[AAA Premium (total)]]</f>
        <v>23918.9</v>
      </c>
      <c r="AQ1253" s="204">
        <f>Delivery[[#This Row],[Valor pago pelo Cluster]]-Delivery[[#This Row],[Valor efetivamente pago pela Nespresso]]</f>
        <v>21297.240492970668</v>
      </c>
    </row>
    <row r="1254" spans="1:43" ht="15.75">
      <c r="A1254" s="174" t="s">
        <v>69</v>
      </c>
      <c r="B1254" s="232" t="s">
        <v>68</v>
      </c>
      <c r="C1254" s="157">
        <v>1</v>
      </c>
      <c r="D1254" s="157" t="s">
        <v>468</v>
      </c>
      <c r="E1254" s="177" t="s">
        <v>468</v>
      </c>
      <c r="F1254" s="233" t="s">
        <v>543</v>
      </c>
      <c r="G1254" s="234">
        <v>43494</v>
      </c>
      <c r="H1254" s="235" t="s">
        <v>2188</v>
      </c>
      <c r="I1254" s="236" t="s">
        <v>1798</v>
      </c>
      <c r="J1254" s="237">
        <v>31790</v>
      </c>
      <c r="K1254" s="175" t="s">
        <v>61</v>
      </c>
      <c r="L1254" s="175" t="s">
        <v>439</v>
      </c>
      <c r="M1254" s="175" t="s">
        <v>1343</v>
      </c>
      <c r="N1254" s="198"/>
      <c r="O1254" s="199"/>
      <c r="P1254" s="181">
        <v>0</v>
      </c>
      <c r="Q1254" s="177">
        <v>43488</v>
      </c>
      <c r="R1254" s="178">
        <v>390.03644000000003</v>
      </c>
      <c r="S1254" s="179">
        <v>214581.1</v>
      </c>
      <c r="T1254" s="182" t="s">
        <v>45</v>
      </c>
      <c r="U1254" s="183">
        <v>3.7612000000000001</v>
      </c>
      <c r="V1254" s="179">
        <v>23918.9</v>
      </c>
      <c r="W1254" s="179">
        <v>0</v>
      </c>
      <c r="X1254" s="196" t="s">
        <v>45</v>
      </c>
      <c r="Y1254" s="200">
        <v>3.7612000000000001</v>
      </c>
      <c r="Z1254" s="220"/>
      <c r="AA1254" s="201">
        <f>Delivery[[#This Row],[Quantity delivered]]*VLOOKUP(Delivery[[#This Row],[Unit]],References!$U:$X,4,FALSE)*VLOOKUP(CONCATENATE(Delivery[[#This Row],[Coffee specie]],Delivery[[#This Row],[Coffee state]]),References!$U:$X,4,FALSE)</f>
        <v>31790</v>
      </c>
      <c r="AB1254" s="202">
        <f>SUMIF(Allocation!C:C,Delivery[[#This Row],[Delivery ID]],Allocation!D:D)/Delivery[[#This Row],[Quantity delivered]]</f>
        <v>0.11947153192827933</v>
      </c>
      <c r="AC1254" s="203">
        <f>Delivery[[#This Row],[Quantity delivered]]*Delivery[[#This Row],[Base price (Unidad)]]/60</f>
        <v>206654.30712666668</v>
      </c>
      <c r="AD1254" s="204">
        <f>Delivery[[#This Row],[Nespresso total]]-Delivery[[#This Row],[Qt. Delivery * Base Price]]</f>
        <v>7926.7928733333247</v>
      </c>
      <c r="AE1254" s="204">
        <f>Delivery[[#This Row],[AAA Premium (total)]]/Delivery[[#This Row],[Quantity delivered]]*60/Delivery[[#This Row],[Exchange rate VS USD]]</f>
        <v>12.002604564538158</v>
      </c>
      <c r="AF1254" s="204">
        <f>Delivery[[#This Row],[BEN premium (total)]]/Delivery[[#This Row],[Quantity delivered]]*60/Delivery[[#This Row],[Exchange rate for premiums VS USD]]</f>
        <v>0</v>
      </c>
      <c r="AG1254" s="204">
        <f>COUNTIF(Delivery[Delivery ID],Delivery[[#This Row],[Delivery ID]])</f>
        <v>1</v>
      </c>
      <c r="AH1254" s="204">
        <f>(Delivery[[#This Row],[Nespresso total]]/SUMIF(Allocation!C:C,Delivery[Delivery ID],Allocation!H:H))/Delivery[[#This Row],[Exchange rate VS USD]]</f>
        <v>28.886700581688849</v>
      </c>
      <c r="AI1254" s="204">
        <f>(Delivery[[#This Row],[AAA Premium (total)]]/SUMIF(Allocation!C:C,Delivery[Delivery ID],Allocation!H:H))/Delivery[[#This Row],[Exchange rate VS USD]]</f>
        <v>3.2199392329676635</v>
      </c>
      <c r="AJ1254" s="204">
        <f>Delivery[[#This Row],[Valor Prêmio Nespresso AAA por Kg (em US$)]]*60</f>
        <v>193.19635397805982</v>
      </c>
      <c r="AK1254" s="204">
        <f>Delivery[[#This Row],[Valor Prêmio Nespresso AAA por saca (em US$)]]/1.3228/100</f>
        <v>1.4605106892807667</v>
      </c>
      <c r="AL1254" s="204">
        <f>(Delivery[[#This Row],[BEN premium (total)]]/SUMIF(Allocation!C:C,Delivery[Delivery ID],Allocation!H:H))/Delivery[[#This Row],[Exchange rate for premiums VS USD]]</f>
        <v>0</v>
      </c>
      <c r="AM1254" s="204">
        <f>Delivery[[#This Row],[Valor Prêmio Nespresso BEN por Kg (em US$)]]*60</f>
        <v>0</v>
      </c>
      <c r="AN1254" s="204">
        <f>Delivery[[#This Row],[Valor Prêmio Nespresso BEN por saca (em US$)]]/1.3228/100</f>
        <v>0</v>
      </c>
      <c r="AO1254" s="204">
        <f>SUMIF(Allocation[Delivery ID],Delivery[[#This Row],[Delivery ID]],Allocation[Quantity allocated])*16*1.3228*Delivery[[#This Row],[Exchange rate VS USD]]/60</f>
        <v>2620.3327562666664</v>
      </c>
      <c r="AP1254" s="204">
        <f>Delivery[[#This Row],[AAA Premium (total)]]</f>
        <v>23918.9</v>
      </c>
      <c r="AQ1254" s="204">
        <f>Delivery[[#This Row],[Valor pago pelo Cluster]]-Delivery[[#This Row],[Valor efetivamente pago pela Nespresso]]</f>
        <v>21298.567243733334</v>
      </c>
    </row>
    <row r="1255" spans="1:43" ht="15.75">
      <c r="A1255" s="174" t="s">
        <v>69</v>
      </c>
      <c r="B1255" s="232" t="s">
        <v>68</v>
      </c>
      <c r="C1255" s="157">
        <v>1</v>
      </c>
      <c r="D1255" s="157" t="s">
        <v>468</v>
      </c>
      <c r="E1255" s="177" t="s">
        <v>468</v>
      </c>
      <c r="F1255" s="233" t="s">
        <v>543</v>
      </c>
      <c r="G1255" s="234">
        <v>43494</v>
      </c>
      <c r="H1255" s="235" t="s">
        <v>2189</v>
      </c>
      <c r="I1255" s="236" t="s">
        <v>1798</v>
      </c>
      <c r="J1255" s="237">
        <v>31810</v>
      </c>
      <c r="K1255" s="175" t="s">
        <v>61</v>
      </c>
      <c r="L1255" s="175" t="s">
        <v>439</v>
      </c>
      <c r="M1255" s="175" t="s">
        <v>1343</v>
      </c>
      <c r="N1255" s="198"/>
      <c r="O1255" s="199"/>
      <c r="P1255" s="181">
        <v>0</v>
      </c>
      <c r="Q1255" s="177">
        <v>43488</v>
      </c>
      <c r="R1255" s="178">
        <v>390.03644000000003</v>
      </c>
      <c r="S1255" s="179">
        <v>214581.1</v>
      </c>
      <c r="T1255" s="182" t="s">
        <v>45</v>
      </c>
      <c r="U1255" s="183">
        <v>3.7612000000000001</v>
      </c>
      <c r="V1255" s="179">
        <v>23918.9</v>
      </c>
      <c r="W1255" s="179">
        <v>0</v>
      </c>
      <c r="X1255" s="196" t="s">
        <v>45</v>
      </c>
      <c r="Y1255" s="200">
        <v>3.7612000000000001</v>
      </c>
      <c r="Z1255" s="220"/>
      <c r="AA1255" s="201">
        <f>Delivery[[#This Row],[Quantity delivered]]*VLOOKUP(Delivery[[#This Row],[Unit]],References!$U:$X,4,FALSE)*VLOOKUP(CONCATENATE(Delivery[[#This Row],[Coffee specie]],Delivery[[#This Row],[Coffee state]]),References!$U:$X,4,FALSE)</f>
        <v>31810</v>
      </c>
      <c r="AB1255" s="202">
        <f>SUMIF(Allocation!C:C,Delivery[[#This Row],[Delivery ID]],Allocation!D:D)/Delivery[[#This Row],[Quantity delivered]]</f>
        <v>0.11949072618673373</v>
      </c>
      <c r="AC1255" s="203">
        <f>Delivery[[#This Row],[Quantity delivered]]*Delivery[[#This Row],[Base price (Unidad)]]/60</f>
        <v>206784.31927333336</v>
      </c>
      <c r="AD1255" s="204">
        <f>Delivery[[#This Row],[Nespresso total]]-Delivery[[#This Row],[Qt. Delivery * Base Price]]</f>
        <v>7796.7807266666496</v>
      </c>
      <c r="AE1255" s="204">
        <f>Delivery[[#This Row],[AAA Premium (total)]]/Delivery[[#This Row],[Quantity delivered]]*60/Delivery[[#This Row],[Exchange rate VS USD]]</f>
        <v>11.995058129728642</v>
      </c>
      <c r="AF1255" s="204">
        <f>Delivery[[#This Row],[BEN premium (total)]]/Delivery[[#This Row],[Quantity delivered]]*60/Delivery[[#This Row],[Exchange rate for premiums VS USD]]</f>
        <v>0</v>
      </c>
      <c r="AG1255" s="204">
        <f>COUNTIF(Delivery[Delivery ID],Delivery[[#This Row],[Delivery ID]])</f>
        <v>1</v>
      </c>
      <c r="AH1255" s="204">
        <f>(Delivery[[#This Row],[Nespresso total]]/SUMIF(Allocation!C:C,Delivery[Delivery ID],Allocation!H:H))/Delivery[[#This Row],[Exchange rate VS USD]]</f>
        <v>28.872081806090829</v>
      </c>
      <c r="AI1255" s="204">
        <f>(Delivery[[#This Row],[AAA Premium (total)]]/SUMIF(Allocation!C:C,Delivery[Delivery ID],Allocation!H:H))/Delivery[[#This Row],[Exchange rate VS USD]]</f>
        <v>3.2183097090643393</v>
      </c>
      <c r="AJ1255" s="204">
        <f>Delivery[[#This Row],[Valor Prêmio Nespresso AAA por Kg (em US$)]]*60</f>
        <v>193.09858254386035</v>
      </c>
      <c r="AK1255" s="204">
        <f>Delivery[[#This Row],[Valor Prêmio Nespresso AAA por saca (em US$)]]/1.3228/100</f>
        <v>1.4597715644380131</v>
      </c>
      <c r="AL1255" s="204">
        <f>(Delivery[[#This Row],[BEN premium (total)]]/SUMIF(Allocation!C:C,Delivery[Delivery ID],Allocation!H:H))/Delivery[[#This Row],[Exchange rate for premiums VS USD]]</f>
        <v>0</v>
      </c>
      <c r="AM1255" s="204">
        <f>Delivery[[#This Row],[Valor Prêmio Nespresso BEN por Kg (em US$)]]*60</f>
        <v>0</v>
      </c>
      <c r="AN1255" s="204">
        <f>Delivery[[#This Row],[Valor Prêmio Nespresso BEN por saca (em US$)]]/1.3228/100</f>
        <v>0</v>
      </c>
      <c r="AO1255" s="204">
        <f>SUMIF(Allocation[Delivery ID],Delivery[[#This Row],[Delivery ID]],Allocation[Quantity allocated])*16*1.3228*Delivery[[#This Row],[Exchange rate VS USD]]/60</f>
        <v>2621.6595070293333</v>
      </c>
      <c r="AP1255" s="204">
        <f>Delivery[[#This Row],[AAA Premium (total)]]</f>
        <v>23918.9</v>
      </c>
      <c r="AQ1255" s="204">
        <f>Delivery[[#This Row],[Valor pago pelo Cluster]]-Delivery[[#This Row],[Valor efetivamente pago pela Nespresso]]</f>
        <v>21297.240492970668</v>
      </c>
    </row>
    <row r="1256" spans="1:43" ht="15.75">
      <c r="A1256" s="174" t="s">
        <v>69</v>
      </c>
      <c r="B1256" s="232" t="s">
        <v>68</v>
      </c>
      <c r="C1256" s="157">
        <v>1</v>
      </c>
      <c r="D1256" s="157" t="s">
        <v>468</v>
      </c>
      <c r="E1256" s="177" t="s">
        <v>468</v>
      </c>
      <c r="F1256" s="233" t="s">
        <v>543</v>
      </c>
      <c r="G1256" s="234">
        <v>43494</v>
      </c>
      <c r="H1256" s="235" t="s">
        <v>2190</v>
      </c>
      <c r="I1256" s="236" t="s">
        <v>1798</v>
      </c>
      <c r="J1256" s="237">
        <v>38390</v>
      </c>
      <c r="K1256" s="175" t="s">
        <v>61</v>
      </c>
      <c r="L1256" s="175" t="s">
        <v>439</v>
      </c>
      <c r="M1256" s="175" t="s">
        <v>1343</v>
      </c>
      <c r="N1256" s="198"/>
      <c r="O1256" s="199"/>
      <c r="P1256" s="181">
        <v>0</v>
      </c>
      <c r="Q1256" s="177">
        <v>43488</v>
      </c>
      <c r="R1256" s="178">
        <v>390.03644000000003</v>
      </c>
      <c r="S1256" s="179">
        <v>259116.79999999999</v>
      </c>
      <c r="T1256" s="182" t="s">
        <v>45</v>
      </c>
      <c r="U1256" s="183">
        <v>3.7612000000000001</v>
      </c>
      <c r="V1256" s="179">
        <v>28883.200000000001</v>
      </c>
      <c r="W1256" s="179">
        <v>0</v>
      </c>
      <c r="X1256" s="196" t="s">
        <v>45</v>
      </c>
      <c r="Y1256" s="200">
        <v>3.7612000000000001</v>
      </c>
      <c r="Z1256" s="220"/>
      <c r="AA1256" s="201">
        <f>Delivery[[#This Row],[Quantity delivered]]*VLOOKUP(Delivery[[#This Row],[Unit]],References!$U:$X,4,FALSE)*VLOOKUP(CONCATENATE(Delivery[[#This Row],[Coffee specie]],Delivery[[#This Row],[Coffee state]]),References!$U:$X,4,FALSE)</f>
        <v>38390</v>
      </c>
      <c r="AB1256" s="202">
        <f>SUMIF(Allocation!C:C,Delivery[[#This Row],[Delivery ID]],Allocation!D:D)/Delivery[[#This Row],[Quantity delivered]]</f>
        <v>0.11948424068767909</v>
      </c>
      <c r="AC1256" s="203">
        <f>Delivery[[#This Row],[Quantity delivered]]*Delivery[[#This Row],[Base price (Unidad)]]/60</f>
        <v>249558.31552666667</v>
      </c>
      <c r="AD1256" s="204">
        <f>Delivery[[#This Row],[Nespresso total]]-Delivery[[#This Row],[Qt. Delivery * Base Price]]</f>
        <v>9558.4844733333157</v>
      </c>
      <c r="AE1256" s="204">
        <f>Delivery[[#This Row],[AAA Premium (total)]]/Delivery[[#This Row],[Quantity delivered]]*60/Delivery[[#This Row],[Exchange rate VS USD]]</f>
        <v>12.001955669876077</v>
      </c>
      <c r="AF1256" s="204">
        <f>Delivery[[#This Row],[BEN premium (total)]]/Delivery[[#This Row],[Quantity delivered]]*60/Delivery[[#This Row],[Exchange rate for premiums VS USD]]</f>
        <v>0</v>
      </c>
      <c r="AG1256" s="204">
        <f>COUNTIF(Delivery[Delivery ID],Delivery[[#This Row],[Delivery ID]])</f>
        <v>1</v>
      </c>
      <c r="AH1256" s="204">
        <f>(Delivery[[#This Row],[Nespresso total]]/SUMIF(Allocation!C:C,Delivery[Delivery ID],Allocation!H:H))/Delivery[[#This Row],[Exchange rate VS USD]]</f>
        <v>28.885557956769674</v>
      </c>
      <c r="AI1256" s="204">
        <f>(Delivery[[#This Row],[AAA Premium (total)]]/SUMIF(Allocation!C:C,Delivery[Delivery ID],Allocation!H:H))/Delivery[[#This Row],[Exchange rate VS USD]]</f>
        <v>3.219811866991912</v>
      </c>
      <c r="AJ1256" s="204">
        <f>Delivery[[#This Row],[Valor Prêmio Nespresso AAA por Kg (em US$)]]*60</f>
        <v>193.18871201951472</v>
      </c>
      <c r="AK1256" s="204">
        <f>Delivery[[#This Row],[Valor Prêmio Nespresso AAA por saca (em US$)]]/1.3228/100</f>
        <v>1.4604529182001418</v>
      </c>
      <c r="AL1256" s="204">
        <f>(Delivery[[#This Row],[BEN premium (total)]]/SUMIF(Allocation!C:C,Delivery[Delivery ID],Allocation!H:H))/Delivery[[#This Row],[Exchange rate for premiums VS USD]]</f>
        <v>0</v>
      </c>
      <c r="AM1256" s="204">
        <f>Delivery[[#This Row],[Valor Prêmio Nespresso BEN por Kg (em US$)]]*60</f>
        <v>0</v>
      </c>
      <c r="AN1256" s="204">
        <f>Delivery[[#This Row],[Valor Prêmio Nespresso BEN por saca (em US$)]]/1.3228/100</f>
        <v>0</v>
      </c>
      <c r="AO1256" s="204">
        <f>SUMIF(Allocation[Delivery ID],Delivery[[#This Row],[Delivery ID]],Allocation[Quantity allocated])*16*1.3228*Delivery[[#This Row],[Exchange rate VS USD]]/60</f>
        <v>3164.3005689600004</v>
      </c>
      <c r="AP1256" s="204">
        <f>Delivery[[#This Row],[AAA Premium (total)]]</f>
        <v>28883.200000000001</v>
      </c>
      <c r="AQ1256" s="204">
        <f>Delivery[[#This Row],[Valor pago pelo Cluster]]-Delivery[[#This Row],[Valor efetivamente pago pela Nespresso]]</f>
        <v>25718.899431040001</v>
      </c>
    </row>
    <row r="1257" spans="1:43" ht="15.75">
      <c r="A1257" s="174" t="s">
        <v>69</v>
      </c>
      <c r="B1257" s="232" t="s">
        <v>68</v>
      </c>
      <c r="C1257" s="157">
        <v>1</v>
      </c>
      <c r="D1257" s="157" t="s">
        <v>468</v>
      </c>
      <c r="E1257" s="177" t="s">
        <v>468</v>
      </c>
      <c r="F1257" s="240" t="s">
        <v>543</v>
      </c>
      <c r="G1257" s="234">
        <v>43493</v>
      </c>
      <c r="H1257" s="157" t="s">
        <v>2068</v>
      </c>
      <c r="I1257" s="236" t="s">
        <v>1009</v>
      </c>
      <c r="J1257" s="237">
        <v>37800</v>
      </c>
      <c r="K1257" s="175" t="s">
        <v>61</v>
      </c>
      <c r="L1257" s="175" t="s">
        <v>439</v>
      </c>
      <c r="M1257" s="175" t="s">
        <v>1343</v>
      </c>
      <c r="N1257" s="198"/>
      <c r="O1257" s="199"/>
      <c r="P1257" s="181">
        <v>0</v>
      </c>
      <c r="Q1257" s="177">
        <v>43486</v>
      </c>
      <c r="R1257" s="178">
        <v>394.496555</v>
      </c>
      <c r="S1257" s="179">
        <v>268041.65878346219</v>
      </c>
      <c r="T1257" s="182" t="s">
        <v>45</v>
      </c>
      <c r="U1257" s="183">
        <v>3.7589000000000001</v>
      </c>
      <c r="V1257" s="179">
        <v>16575.3</v>
      </c>
      <c r="W1257" s="179">
        <v>5183.0412165378002</v>
      </c>
      <c r="X1257" s="196" t="s">
        <v>45</v>
      </c>
      <c r="Y1257" s="200">
        <v>3.7589000000000001</v>
      </c>
      <c r="Z1257" s="220" t="s">
        <v>473</v>
      </c>
      <c r="AA1257" s="201">
        <f>Delivery[[#This Row],[Quantity delivered]]*VLOOKUP(Delivery[[#This Row],[Unit]],References!$U:$X,4,FALSE)*VLOOKUP(CONCATENATE(Delivery[[#This Row],[Coffee specie]],Delivery[[#This Row],[Coffee state]]),References!$U:$X,4,FALSE)</f>
        <v>37800</v>
      </c>
      <c r="AB1257" s="202">
        <f>SUMIF(Allocation!C:C,Delivery[[#This Row],[Delivery ID]],Allocation!D:D)/Delivery[[#This Row],[Quantity delivered]]</f>
        <v>1</v>
      </c>
      <c r="AC1257" s="203">
        <f>Delivery[[#This Row],[Quantity delivered]]*Delivery[[#This Row],[Base price (Unidad)]]/60</f>
        <v>248532.82965</v>
      </c>
      <c r="AD1257" s="204">
        <f>Delivery[[#This Row],[Nespresso total]]-Delivery[[#This Row],[Qt. Delivery * Base Price]]</f>
        <v>19508.82913346219</v>
      </c>
      <c r="AE1257" s="204">
        <f>Delivery[[#This Row],[AAA Premium (total)]]/Delivery[[#This Row],[Quantity delivered]]*60/Delivery[[#This Row],[Exchange rate VS USD]]</f>
        <v>6.9993881188645606</v>
      </c>
      <c r="AF1257" s="204">
        <f>Delivery[[#This Row],[BEN premium (total)]]/Delivery[[#This Row],[Quantity delivered]]*60/Delivery[[#This Row],[Exchange rate for premiums VS USD]]</f>
        <v>2.1886853999999998</v>
      </c>
      <c r="AG1257" s="204">
        <f>COUNTIF(Delivery[Delivery ID],Delivery[[#This Row],[Delivery ID]])</f>
        <v>1</v>
      </c>
      <c r="AH1257" s="204">
        <f>(Delivery[[#This Row],[Nespresso total]]/SUMIF(Allocation!C:C,Delivery[Delivery ID],Allocation!H:H))/Delivery[[#This Row],[Exchange rate VS USD]]</f>
        <v>5.7046829398699019</v>
      </c>
      <c r="AI1257" s="204">
        <f>(Delivery[[#This Row],[AAA Premium (total)]]/SUMIF(Allocation!C:C,Delivery[Delivery ID],Allocation!H:H))/Delivery[[#This Row],[Exchange rate VS USD]]</f>
        <v>0.35276916119077384</v>
      </c>
      <c r="AJ1257" s="204">
        <f>Delivery[[#This Row],[Valor Prêmio Nespresso AAA por Kg (em US$)]]*60</f>
        <v>21.16614967144643</v>
      </c>
      <c r="AK1257" s="204">
        <f>Delivery[[#This Row],[Valor Prêmio Nespresso AAA por saca (em US$)]]/1.3228/100</f>
        <v>0.16001020314065945</v>
      </c>
      <c r="AL1257" s="204">
        <f>(Delivery[[#This Row],[BEN premium (total)]]/SUMIF(Allocation!C:C,Delivery[Delivery ID],Allocation!H:H))/Delivery[[#This Row],[Exchange rate for premiums VS USD]]</f>
        <v>0.11030974416</v>
      </c>
      <c r="AM1257" s="204">
        <f>Delivery[[#This Row],[Valor Prêmio Nespresso BEN por Kg (em US$)]]*60</f>
        <v>6.6185846495999998</v>
      </c>
      <c r="AN1257" s="204">
        <f>Delivery[[#This Row],[Valor Prêmio Nespresso BEN por saca (em US$)]]/1.3228/100</f>
        <v>5.0034658675536733E-2</v>
      </c>
      <c r="AO1257" s="204">
        <f>SUMIF(Allocation[Delivery ID],Delivery[[#This Row],[Delivery ID]],Allocation[Quantity allocated])*16*1.3228*Delivery[[#This Row],[Exchange rate VS USD]]/60</f>
        <v>16574.243066666666</v>
      </c>
      <c r="AP1257" s="204">
        <f>Delivery[[#This Row],[AAA Premium (total)]]</f>
        <v>16575.3</v>
      </c>
      <c r="AQ1257" s="204">
        <f>Delivery[[#This Row],[Valor pago pelo Cluster]]-Delivery[[#This Row],[Valor efetivamente pago pela Nespresso]]</f>
        <v>1.0569333333332906</v>
      </c>
    </row>
    <row r="1258" spans="1:43" ht="15.75">
      <c r="A1258" s="174" t="s">
        <v>69</v>
      </c>
      <c r="B1258" s="232" t="s">
        <v>68</v>
      </c>
      <c r="C1258" s="157">
        <v>1</v>
      </c>
      <c r="D1258" s="157" t="s">
        <v>468</v>
      </c>
      <c r="E1258" s="177" t="s">
        <v>468</v>
      </c>
      <c r="F1258" s="233" t="s">
        <v>543</v>
      </c>
      <c r="G1258" s="234">
        <v>43494</v>
      </c>
      <c r="H1258" s="235" t="s">
        <v>2191</v>
      </c>
      <c r="I1258" s="236" t="s">
        <v>1798</v>
      </c>
      <c r="J1258" s="237">
        <v>31790</v>
      </c>
      <c r="K1258" s="175" t="s">
        <v>61</v>
      </c>
      <c r="L1258" s="175" t="s">
        <v>439</v>
      </c>
      <c r="M1258" s="175" t="s">
        <v>1343</v>
      </c>
      <c r="N1258" s="198"/>
      <c r="O1258" s="199"/>
      <c r="P1258" s="181">
        <v>0</v>
      </c>
      <c r="Q1258" s="177">
        <v>43488</v>
      </c>
      <c r="R1258" s="178">
        <v>390.03644000000003</v>
      </c>
      <c r="S1258" s="179">
        <v>214581.1</v>
      </c>
      <c r="T1258" s="182" t="s">
        <v>45</v>
      </c>
      <c r="U1258" s="183">
        <v>3.7612000000000001</v>
      </c>
      <c r="V1258" s="179">
        <v>23918.9</v>
      </c>
      <c r="W1258" s="179">
        <v>0</v>
      </c>
      <c r="X1258" s="196" t="s">
        <v>45</v>
      </c>
      <c r="Y1258" s="200">
        <v>3.7612000000000001</v>
      </c>
      <c r="Z1258" s="220"/>
      <c r="AA1258" s="201">
        <f>Delivery[[#This Row],[Quantity delivered]]*VLOOKUP(Delivery[[#This Row],[Unit]],References!$U:$X,4,FALSE)*VLOOKUP(CONCATENATE(Delivery[[#This Row],[Coffee specie]],Delivery[[#This Row],[Coffee state]]),References!$U:$X,4,FALSE)</f>
        <v>31790</v>
      </c>
      <c r="AB1258" s="202">
        <f>SUMIF(Allocation!C:C,Delivery[[#This Row],[Delivery ID]],Allocation!D:D)/Delivery[[#This Row],[Quantity delivered]]</f>
        <v>0.11947153192827933</v>
      </c>
      <c r="AC1258" s="203">
        <f>Delivery[[#This Row],[Quantity delivered]]*Delivery[[#This Row],[Base price (Unidad)]]/60</f>
        <v>206654.30712666668</v>
      </c>
      <c r="AD1258" s="204">
        <f>Delivery[[#This Row],[Nespresso total]]-Delivery[[#This Row],[Qt. Delivery * Base Price]]</f>
        <v>7926.7928733333247</v>
      </c>
      <c r="AE1258" s="204">
        <f>Delivery[[#This Row],[AAA Premium (total)]]/Delivery[[#This Row],[Quantity delivered]]*60/Delivery[[#This Row],[Exchange rate VS USD]]</f>
        <v>12.002604564538158</v>
      </c>
      <c r="AF1258" s="204">
        <f>Delivery[[#This Row],[BEN premium (total)]]/Delivery[[#This Row],[Quantity delivered]]*60/Delivery[[#This Row],[Exchange rate for premiums VS USD]]</f>
        <v>0</v>
      </c>
      <c r="AG1258" s="204">
        <f>COUNTIF(Delivery[Delivery ID],Delivery[[#This Row],[Delivery ID]])</f>
        <v>1</v>
      </c>
      <c r="AH1258" s="204">
        <f>(Delivery[[#This Row],[Nespresso total]]/SUMIF(Allocation!C:C,Delivery[Delivery ID],Allocation!H:H))/Delivery[[#This Row],[Exchange rate VS USD]]</f>
        <v>28.886700581688849</v>
      </c>
      <c r="AI1258" s="204">
        <f>(Delivery[[#This Row],[AAA Premium (total)]]/SUMIF(Allocation!C:C,Delivery[Delivery ID],Allocation!H:H))/Delivery[[#This Row],[Exchange rate VS USD]]</f>
        <v>3.2199392329676635</v>
      </c>
      <c r="AJ1258" s="204">
        <f>Delivery[[#This Row],[Valor Prêmio Nespresso AAA por Kg (em US$)]]*60</f>
        <v>193.19635397805982</v>
      </c>
      <c r="AK1258" s="204">
        <f>Delivery[[#This Row],[Valor Prêmio Nespresso AAA por saca (em US$)]]/1.3228/100</f>
        <v>1.4605106892807667</v>
      </c>
      <c r="AL1258" s="204">
        <f>(Delivery[[#This Row],[BEN premium (total)]]/SUMIF(Allocation!C:C,Delivery[Delivery ID],Allocation!H:H))/Delivery[[#This Row],[Exchange rate for premiums VS USD]]</f>
        <v>0</v>
      </c>
      <c r="AM1258" s="204">
        <f>Delivery[[#This Row],[Valor Prêmio Nespresso BEN por Kg (em US$)]]*60</f>
        <v>0</v>
      </c>
      <c r="AN1258" s="204">
        <f>Delivery[[#This Row],[Valor Prêmio Nespresso BEN por saca (em US$)]]/1.3228/100</f>
        <v>0</v>
      </c>
      <c r="AO1258" s="204">
        <f>SUMIF(Allocation[Delivery ID],Delivery[[#This Row],[Delivery ID]],Allocation[Quantity allocated])*16*1.3228*Delivery[[#This Row],[Exchange rate VS USD]]/60</f>
        <v>2620.3327562666664</v>
      </c>
      <c r="AP1258" s="204">
        <f>Delivery[[#This Row],[AAA Premium (total)]]</f>
        <v>23918.9</v>
      </c>
      <c r="AQ1258" s="204">
        <f>Delivery[[#This Row],[Valor pago pelo Cluster]]-Delivery[[#This Row],[Valor efetivamente pago pela Nespresso]]</f>
        <v>21298.567243733334</v>
      </c>
    </row>
    <row r="1259" spans="1:43" ht="15.75">
      <c r="A1259" s="174" t="s">
        <v>69</v>
      </c>
      <c r="B1259" s="232" t="s">
        <v>68</v>
      </c>
      <c r="C1259" s="157">
        <v>1</v>
      </c>
      <c r="D1259" s="157" t="s">
        <v>468</v>
      </c>
      <c r="E1259" s="177" t="s">
        <v>468</v>
      </c>
      <c r="F1259" s="233" t="s">
        <v>543</v>
      </c>
      <c r="G1259" s="234">
        <v>43495</v>
      </c>
      <c r="H1259" s="235" t="s">
        <v>2192</v>
      </c>
      <c r="I1259" s="236" t="s">
        <v>1798</v>
      </c>
      <c r="J1259" s="237">
        <v>31830</v>
      </c>
      <c r="K1259" s="175" t="s">
        <v>61</v>
      </c>
      <c r="L1259" s="175" t="s">
        <v>439</v>
      </c>
      <c r="M1259" s="175" t="s">
        <v>1343</v>
      </c>
      <c r="N1259" s="198"/>
      <c r="O1259" s="199"/>
      <c r="P1259" s="181">
        <v>0</v>
      </c>
      <c r="Q1259" s="177">
        <v>43488</v>
      </c>
      <c r="R1259" s="178">
        <v>390.03644000000003</v>
      </c>
      <c r="S1259" s="179">
        <v>214581.1</v>
      </c>
      <c r="T1259" s="182" t="s">
        <v>45</v>
      </c>
      <c r="U1259" s="183">
        <v>3.7612000000000001</v>
      </c>
      <c r="V1259" s="179">
        <v>23918.9</v>
      </c>
      <c r="W1259" s="179">
        <v>0</v>
      </c>
      <c r="X1259" s="196" t="s">
        <v>45</v>
      </c>
      <c r="Y1259" s="200">
        <v>3.7612000000000001</v>
      </c>
      <c r="Z1259" s="220"/>
      <c r="AA1259" s="201">
        <f>Delivery[[#This Row],[Quantity delivered]]*VLOOKUP(Delivery[[#This Row],[Unit]],References!$U:$X,4,FALSE)*VLOOKUP(CONCATENATE(Delivery[[#This Row],[Coffee specie]],Delivery[[#This Row],[Coffee state]]),References!$U:$X,4,FALSE)</f>
        <v>31830</v>
      </c>
      <c r="AB1259" s="202">
        <f>SUMIF(Allocation!C:C,Delivery[[#This Row],[Delivery ID]],Allocation!D:D)/Delivery[[#This Row],[Quantity delivered]]</f>
        <v>0.119478479421929</v>
      </c>
      <c r="AC1259" s="203">
        <f>Delivery[[#This Row],[Quantity delivered]]*Delivery[[#This Row],[Base price (Unidad)]]/60</f>
        <v>206914.33142000003</v>
      </c>
      <c r="AD1259" s="204">
        <f>Delivery[[#This Row],[Nespresso total]]-Delivery[[#This Row],[Qt. Delivery * Base Price]]</f>
        <v>7666.7685799999745</v>
      </c>
      <c r="AE1259" s="204">
        <f>Delivery[[#This Row],[AAA Premium (total)]]/Delivery[[#This Row],[Quantity delivered]]*60/Delivery[[#This Row],[Exchange rate VS USD]]</f>
        <v>11.987521178343327</v>
      </c>
      <c r="AF1259" s="204">
        <f>Delivery[[#This Row],[BEN premium (total)]]/Delivery[[#This Row],[Quantity delivered]]*60/Delivery[[#This Row],[Exchange rate for premiums VS USD]]</f>
        <v>0</v>
      </c>
      <c r="AG1259" s="204">
        <f>COUNTIF(Delivery[Delivery ID],Delivery[[#This Row],[Delivery ID]])</f>
        <v>1</v>
      </c>
      <c r="AH1259" s="204">
        <f>(Delivery[[#This Row],[Nespresso total]]/SUMIF(Allocation!C:C,Delivery[Delivery ID],Allocation!H:H))/Delivery[[#This Row],[Exchange rate VS USD]]</f>
        <v>28.842888599006812</v>
      </c>
      <c r="AI1259" s="204">
        <f>(Delivery[[#This Row],[AAA Premium (total)]]/SUMIF(Allocation!C:C,Delivery[Delivery ID],Allocation!H:H))/Delivery[[#This Row],[Exchange rate VS USD]]</f>
        <v>3.2150556042017873</v>
      </c>
      <c r="AJ1259" s="204">
        <f>Delivery[[#This Row],[Valor Prêmio Nespresso AAA por Kg (em US$)]]*60</f>
        <v>192.90333625210724</v>
      </c>
      <c r="AK1259" s="204">
        <f>Delivery[[#This Row],[Valor Prêmio Nespresso AAA por saca (em US$)]]/1.3228/100</f>
        <v>1.4582955567894407</v>
      </c>
      <c r="AL1259" s="204">
        <f>(Delivery[[#This Row],[BEN premium (total)]]/SUMIF(Allocation!C:C,Delivery[Delivery ID],Allocation!H:H))/Delivery[[#This Row],[Exchange rate for premiums VS USD]]</f>
        <v>0</v>
      </c>
      <c r="AM1259" s="204">
        <f>Delivery[[#This Row],[Valor Prêmio Nespresso BEN por Kg (em US$)]]*60</f>
        <v>0</v>
      </c>
      <c r="AN1259" s="204">
        <f>Delivery[[#This Row],[Valor Prêmio Nespresso BEN por saca (em US$)]]/1.3228/100</f>
        <v>0</v>
      </c>
      <c r="AO1259" s="204">
        <f>SUMIF(Allocation[Delivery ID],Delivery[[#This Row],[Delivery ID]],Allocation[Quantity allocated])*16*1.3228*Delivery[[#This Row],[Exchange rate VS USD]]/60</f>
        <v>2624.3130085546668</v>
      </c>
      <c r="AP1259" s="204">
        <f>Delivery[[#This Row],[AAA Premium (total)]]</f>
        <v>23918.9</v>
      </c>
      <c r="AQ1259" s="204">
        <f>Delivery[[#This Row],[Valor pago pelo Cluster]]-Delivery[[#This Row],[Valor efetivamente pago pela Nespresso]]</f>
        <v>21294.586991445336</v>
      </c>
    </row>
    <row r="1260" spans="1:43" ht="15.75">
      <c r="A1260" s="174" t="s">
        <v>69</v>
      </c>
      <c r="B1260" s="232" t="s">
        <v>68</v>
      </c>
      <c r="C1260" s="157">
        <v>1</v>
      </c>
      <c r="D1260" s="157" t="s">
        <v>468</v>
      </c>
      <c r="E1260" s="177" t="s">
        <v>468</v>
      </c>
      <c r="F1260" s="233" t="s">
        <v>543</v>
      </c>
      <c r="G1260" s="234">
        <v>43495</v>
      </c>
      <c r="H1260" s="235" t="s">
        <v>2069</v>
      </c>
      <c r="I1260" s="236" t="s">
        <v>940</v>
      </c>
      <c r="J1260" s="237">
        <v>20980</v>
      </c>
      <c r="K1260" s="175" t="s">
        <v>61</v>
      </c>
      <c r="L1260" s="175" t="s">
        <v>439</v>
      </c>
      <c r="M1260" s="175" t="s">
        <v>1343</v>
      </c>
      <c r="N1260" s="198"/>
      <c r="O1260" s="199"/>
      <c r="P1260" s="181">
        <v>0</v>
      </c>
      <c r="Q1260" s="177">
        <v>43489</v>
      </c>
      <c r="R1260" s="178">
        <v>394.54856999999998</v>
      </c>
      <c r="S1260" s="179">
        <v>147378</v>
      </c>
      <c r="T1260" s="182" t="s">
        <v>45</v>
      </c>
      <c r="U1260" s="183">
        <v>3.7469000000000001</v>
      </c>
      <c r="V1260" s="179">
        <v>9180.5</v>
      </c>
      <c r="W1260" s="179">
        <v>0</v>
      </c>
      <c r="X1260" s="196" t="s">
        <v>45</v>
      </c>
      <c r="Y1260" s="200">
        <v>3.7469000000000001</v>
      </c>
      <c r="Z1260" s="220"/>
      <c r="AA1260" s="201">
        <f>Delivery[[#This Row],[Quantity delivered]]*VLOOKUP(Delivery[[#This Row],[Unit]],References!$U:$X,4,FALSE)*VLOOKUP(CONCATENATE(Delivery[[#This Row],[Coffee specie]],Delivery[[#This Row],[Coffee state]]),References!$U:$X,4,FALSE)</f>
        <v>20980</v>
      </c>
      <c r="AB1260" s="202">
        <f>SUMIF(Allocation!C:C,Delivery[[#This Row],[Delivery ID]],Allocation!D:D)/Delivery[[#This Row],[Quantity delivered]]</f>
        <v>0.18565300285986655</v>
      </c>
      <c r="AC1260" s="203">
        <f>Delivery[[#This Row],[Quantity delivered]]*Delivery[[#This Row],[Base price (Unidad)]]/60</f>
        <v>137960.48330999998</v>
      </c>
      <c r="AD1260" s="204">
        <f>Delivery[[#This Row],[Nespresso total]]-Delivery[[#This Row],[Qt. Delivery * Base Price]]</f>
        <v>9417.5166900000186</v>
      </c>
      <c r="AE1260" s="204">
        <f>Delivery[[#This Row],[AAA Premium (total)]]/Delivery[[#This Row],[Quantity delivered]]*60/Delivery[[#This Row],[Exchange rate VS USD]]</f>
        <v>7.0071271628397422</v>
      </c>
      <c r="AF1260" s="204">
        <f>Delivery[[#This Row],[BEN premium (total)]]/Delivery[[#This Row],[Quantity delivered]]*60/Delivery[[#This Row],[Exchange rate for premiums VS USD]]</f>
        <v>0</v>
      </c>
      <c r="AG1260" s="204">
        <f>COUNTIF(Delivery[Delivery ID],Delivery[[#This Row],[Delivery ID]])</f>
        <v>1</v>
      </c>
      <c r="AH1260" s="204">
        <f>(Delivery[[#This Row],[Nespresso total]]/SUMIF(Allocation!C:C,Delivery[Delivery ID],Allocation!H:H))/Delivery[[#This Row],[Exchange rate VS USD]]</f>
        <v>30.585781913566951</v>
      </c>
      <c r="AI1260" s="204">
        <f>(Delivery[[#This Row],[AAA Premium (total)]]/SUMIF(Allocation!C:C,Delivery[Delivery ID],Allocation!H:H))/Delivery[[#This Row],[Exchange rate VS USD]]</f>
        <v>1.9052556749141758</v>
      </c>
      <c r="AJ1260" s="204">
        <f>Delivery[[#This Row],[Valor Prêmio Nespresso AAA por Kg (em US$)]]*60</f>
        <v>114.31534049485055</v>
      </c>
      <c r="AK1260" s="204">
        <f>Delivery[[#This Row],[Valor Prêmio Nespresso AAA por saca (em US$)]]/1.3228/100</f>
        <v>0.86419217186914532</v>
      </c>
      <c r="AL1260" s="204">
        <f>(Delivery[[#This Row],[BEN premium (total)]]/SUMIF(Allocation!C:C,Delivery[Delivery ID],Allocation!H:H))/Delivery[[#This Row],[Exchange rate for premiums VS USD]]</f>
        <v>0</v>
      </c>
      <c r="AM1260" s="204">
        <f>Delivery[[#This Row],[Valor Prêmio Nespresso BEN por Kg (em US$)]]*60</f>
        <v>0</v>
      </c>
      <c r="AN1260" s="204">
        <f>Delivery[[#This Row],[Valor Prêmio Nespresso BEN por saca (em US$)]]/1.3228/100</f>
        <v>0</v>
      </c>
      <c r="AO1260" s="204">
        <f>SUMIF(Allocation[Delivery ID],Delivery[[#This Row],[Delivery ID]],Allocation[Quantity allocated])*16*1.3228*Delivery[[#This Row],[Exchange rate VS USD]]/60</f>
        <v>1699.7145401386665</v>
      </c>
      <c r="AP1260" s="204">
        <f>Delivery[[#This Row],[AAA Premium (total)]]</f>
        <v>9180.5</v>
      </c>
      <c r="AQ1260" s="204">
        <f>Delivery[[#This Row],[Valor pago pelo Cluster]]-Delivery[[#This Row],[Valor efetivamente pago pela Nespresso]]</f>
        <v>7480.7854598613339</v>
      </c>
    </row>
    <row r="1261" spans="1:43" ht="15.75">
      <c r="A1261" s="174" t="s">
        <v>69</v>
      </c>
      <c r="B1261" s="232" t="s">
        <v>68</v>
      </c>
      <c r="C1261" s="157">
        <v>1</v>
      </c>
      <c r="D1261" s="157" t="s">
        <v>468</v>
      </c>
      <c r="E1261" s="177" t="s">
        <v>468</v>
      </c>
      <c r="F1261" s="233" t="s">
        <v>543</v>
      </c>
      <c r="G1261" s="234">
        <v>43496</v>
      </c>
      <c r="H1261" s="235" t="s">
        <v>2193</v>
      </c>
      <c r="I1261" s="236" t="s">
        <v>1798</v>
      </c>
      <c r="J1261" s="237">
        <v>37160</v>
      </c>
      <c r="K1261" s="175" t="s">
        <v>61</v>
      </c>
      <c r="L1261" s="175" t="s">
        <v>439</v>
      </c>
      <c r="M1261" s="175" t="s">
        <v>1343</v>
      </c>
      <c r="N1261" s="198"/>
      <c r="O1261" s="199"/>
      <c r="P1261" s="181">
        <v>0</v>
      </c>
      <c r="Q1261" s="177">
        <v>43488</v>
      </c>
      <c r="R1261" s="178">
        <v>390.03644000000003</v>
      </c>
      <c r="S1261" s="179">
        <v>251019.4</v>
      </c>
      <c r="T1261" s="182" t="s">
        <v>45</v>
      </c>
      <c r="U1261" s="183">
        <v>3.7612000000000001</v>
      </c>
      <c r="V1261" s="179">
        <v>27980</v>
      </c>
      <c r="W1261" s="179">
        <v>0</v>
      </c>
      <c r="X1261" s="196" t="s">
        <v>45</v>
      </c>
      <c r="Y1261" s="200">
        <v>3.7612000000000001</v>
      </c>
      <c r="Z1261" s="220"/>
      <c r="AA1261" s="201">
        <f>Delivery[[#This Row],[Quantity delivered]]*VLOOKUP(Delivery[[#This Row],[Unit]],References!$U:$X,4,FALSE)*VLOOKUP(CONCATENATE(Delivery[[#This Row],[Coffee specie]],Delivery[[#This Row],[Coffee state]]),References!$U:$X,4,FALSE)</f>
        <v>37160</v>
      </c>
      <c r="AB1261" s="202">
        <f>SUMIF(Allocation!C:C,Delivery[[#This Row],[Delivery ID]],Allocation!D:D)/Delivery[[#This Row],[Quantity delivered]]</f>
        <v>0.11948331539289558</v>
      </c>
      <c r="AC1261" s="203">
        <f>Delivery[[#This Row],[Quantity delivered]]*Delivery[[#This Row],[Base price (Unidad)]]/60</f>
        <v>241562.56850666666</v>
      </c>
      <c r="AD1261" s="204">
        <f>Delivery[[#This Row],[Nespresso total]]-Delivery[[#This Row],[Qt. Delivery * Base Price]]</f>
        <v>9456.8314933333313</v>
      </c>
      <c r="AE1261" s="204">
        <f>Delivery[[#This Row],[AAA Premium (total)]]/Delivery[[#This Row],[Quantity delivered]]*60/Delivery[[#This Row],[Exchange rate VS USD]]</f>
        <v>12.011488443499983</v>
      </c>
      <c r="AF1261" s="204">
        <f>Delivery[[#This Row],[BEN premium (total)]]/Delivery[[#This Row],[Quantity delivered]]*60/Delivery[[#This Row],[Exchange rate for premiums VS USD]]</f>
        <v>0</v>
      </c>
      <c r="AG1261" s="204">
        <f>COUNTIF(Delivery[Delivery ID],Delivery[[#This Row],[Delivery ID]])</f>
        <v>1</v>
      </c>
      <c r="AH1261" s="204">
        <f>(Delivery[[#This Row],[Nespresso total]]/SUMIF(Allocation!C:C,Delivery[Delivery ID],Allocation!H:H))/Delivery[[#This Row],[Exchange rate VS USD]]</f>
        <v>28.903931998887042</v>
      </c>
      <c r="AI1261" s="204">
        <f>(Delivery[[#This Row],[AAA Premium (total)]]/SUMIF(Allocation!C:C,Delivery[Delivery ID],Allocation!H:H))/Delivery[[#This Row],[Exchange rate VS USD]]</f>
        <v>3.2217908947629521</v>
      </c>
      <c r="AJ1261" s="204">
        <f>Delivery[[#This Row],[Valor Prêmio Nespresso AAA por Kg (em US$)]]*60</f>
        <v>193.30745368577712</v>
      </c>
      <c r="AK1261" s="204">
        <f>Delivery[[#This Row],[Valor Prêmio Nespresso AAA por saca (em US$)]]/1.3228/100</f>
        <v>1.4613505721634195</v>
      </c>
      <c r="AL1261" s="204">
        <f>(Delivery[[#This Row],[BEN premium (total)]]/SUMIF(Allocation!C:C,Delivery[Delivery ID],Allocation!H:H))/Delivery[[#This Row],[Exchange rate for premiums VS USD]]</f>
        <v>0</v>
      </c>
      <c r="AM1261" s="204">
        <f>Delivery[[#This Row],[Valor Prêmio Nespresso BEN por Kg (em US$)]]*60</f>
        <v>0</v>
      </c>
      <c r="AN1261" s="204">
        <f>Delivery[[#This Row],[Valor Prêmio Nespresso BEN por saca (em US$)]]/1.3228/100</f>
        <v>0</v>
      </c>
      <c r="AO1261" s="204">
        <f>SUMIF(Allocation[Delivery ID],Delivery[[#This Row],[Delivery ID]],Allocation[Quantity allocated])*16*1.3228*Delivery[[#This Row],[Exchange rate VS USD]]/60</f>
        <v>3063.4675109973332</v>
      </c>
      <c r="AP1261" s="204">
        <f>Delivery[[#This Row],[AAA Premium (total)]]</f>
        <v>27980</v>
      </c>
      <c r="AQ1261" s="204">
        <f>Delivery[[#This Row],[Valor pago pelo Cluster]]-Delivery[[#This Row],[Valor efetivamente pago pela Nespresso]]</f>
        <v>24916.532489002668</v>
      </c>
    </row>
    <row r="1262" spans="1:43" ht="15.75">
      <c r="A1262" s="174" t="s">
        <v>69</v>
      </c>
      <c r="B1262" s="232" t="s">
        <v>68</v>
      </c>
      <c r="C1262" s="157">
        <v>1</v>
      </c>
      <c r="D1262" s="157" t="s">
        <v>468</v>
      </c>
      <c r="E1262" s="177" t="s">
        <v>468</v>
      </c>
      <c r="F1262" s="233" t="s">
        <v>543</v>
      </c>
      <c r="G1262" s="234">
        <v>43496</v>
      </c>
      <c r="H1262" s="235" t="s">
        <v>2194</v>
      </c>
      <c r="I1262" s="236" t="s">
        <v>1798</v>
      </c>
      <c r="J1262" s="237">
        <v>31800</v>
      </c>
      <c r="K1262" s="175" t="s">
        <v>61</v>
      </c>
      <c r="L1262" s="175" t="s">
        <v>439</v>
      </c>
      <c r="M1262" s="175" t="s">
        <v>1343</v>
      </c>
      <c r="N1262" s="198"/>
      <c r="O1262" s="199"/>
      <c r="P1262" s="181">
        <v>0</v>
      </c>
      <c r="Q1262" s="177">
        <v>43488</v>
      </c>
      <c r="R1262" s="178">
        <v>390.03644000000003</v>
      </c>
      <c r="S1262" s="179">
        <v>214581.1</v>
      </c>
      <c r="T1262" s="182" t="s">
        <v>45</v>
      </c>
      <c r="U1262" s="183">
        <v>3.7612000000000001</v>
      </c>
      <c r="V1262" s="179">
        <v>23918.9</v>
      </c>
      <c r="W1262" s="179">
        <v>0</v>
      </c>
      <c r="X1262" s="196" t="s">
        <v>45</v>
      </c>
      <c r="Y1262" s="200">
        <v>3.7612000000000001</v>
      </c>
      <c r="Z1262" s="220"/>
      <c r="AA1262" s="201">
        <f>Delivery[[#This Row],[Quantity delivered]]*VLOOKUP(Delivery[[#This Row],[Unit]],References!$U:$X,4,FALSE)*VLOOKUP(CONCATENATE(Delivery[[#This Row],[Coffee specie]],Delivery[[#This Row],[Coffee state]]),References!$U:$X,4,FALSE)</f>
        <v>31800</v>
      </c>
      <c r="AB1262" s="202">
        <f>SUMIF(Allocation!C:C,Delivery[[#This Row],[Delivery ID]],Allocation!D:D)/Delivery[[#This Row],[Quantity delivered]]</f>
        <v>0.11949685534591195</v>
      </c>
      <c r="AC1262" s="203">
        <f>Delivery[[#This Row],[Quantity delivered]]*Delivery[[#This Row],[Base price (Unidad)]]/60</f>
        <v>206719.31320000003</v>
      </c>
      <c r="AD1262" s="204">
        <f>Delivery[[#This Row],[Nespresso total]]-Delivery[[#This Row],[Qt. Delivery * Base Price]]</f>
        <v>7861.7867999999726</v>
      </c>
      <c r="AE1262" s="204">
        <f>Delivery[[#This Row],[AAA Premium (total)]]/Delivery[[#This Row],[Quantity delivered]]*60/Delivery[[#This Row],[Exchange rate VS USD]]</f>
        <v>11.998830160587048</v>
      </c>
      <c r="AF1262" s="204">
        <f>Delivery[[#This Row],[BEN premium (total)]]/Delivery[[#This Row],[Quantity delivered]]*60/Delivery[[#This Row],[Exchange rate for premiums VS USD]]</f>
        <v>0</v>
      </c>
      <c r="AG1262" s="204">
        <f>COUNTIF(Delivery[Delivery ID],Delivery[[#This Row],[Delivery ID]])</f>
        <v>1</v>
      </c>
      <c r="AH1262" s="204">
        <f>(Delivery[[#This Row],[Nespresso total]]/SUMIF(Allocation!C:C,Delivery[Delivery ID],Allocation!H:H))/Delivery[[#This Row],[Exchange rate VS USD]]</f>
        <v>28.872081806090829</v>
      </c>
      <c r="AI1262" s="204">
        <f>(Delivery[[#This Row],[AAA Premium (total)]]/SUMIF(Allocation!C:C,Delivery[Delivery ID],Allocation!H:H))/Delivery[[#This Row],[Exchange rate VS USD]]</f>
        <v>3.2183097090643393</v>
      </c>
      <c r="AJ1262" s="204">
        <f>Delivery[[#This Row],[Valor Prêmio Nespresso AAA por Kg (em US$)]]*60</f>
        <v>193.09858254386035</v>
      </c>
      <c r="AK1262" s="204">
        <f>Delivery[[#This Row],[Valor Prêmio Nespresso AAA por saca (em US$)]]/1.3228/100</f>
        <v>1.4597715644380131</v>
      </c>
      <c r="AL1262" s="204">
        <f>(Delivery[[#This Row],[BEN premium (total)]]/SUMIF(Allocation!C:C,Delivery[Delivery ID],Allocation!H:H))/Delivery[[#This Row],[Exchange rate for premiums VS USD]]</f>
        <v>0</v>
      </c>
      <c r="AM1262" s="204">
        <f>Delivery[[#This Row],[Valor Prêmio Nespresso BEN por Kg (em US$)]]*60</f>
        <v>0</v>
      </c>
      <c r="AN1262" s="204">
        <f>Delivery[[#This Row],[Valor Prêmio Nespresso BEN por saca (em US$)]]/1.3228/100</f>
        <v>0</v>
      </c>
      <c r="AO1262" s="204">
        <f>SUMIF(Allocation[Delivery ID],Delivery[[#This Row],[Delivery ID]],Allocation[Quantity allocated])*16*1.3228*Delivery[[#This Row],[Exchange rate VS USD]]/60</f>
        <v>2621.6595070293333</v>
      </c>
      <c r="AP1262" s="204">
        <f>Delivery[[#This Row],[AAA Premium (total)]]</f>
        <v>23918.9</v>
      </c>
      <c r="AQ1262" s="204">
        <f>Delivery[[#This Row],[Valor pago pelo Cluster]]-Delivery[[#This Row],[Valor efetivamente pago pela Nespresso]]</f>
        <v>21297.240492970668</v>
      </c>
    </row>
    <row r="1263" spans="1:43" ht="15.75">
      <c r="A1263" s="174" t="s">
        <v>69</v>
      </c>
      <c r="B1263" s="232" t="s">
        <v>68</v>
      </c>
      <c r="C1263" s="157">
        <v>1</v>
      </c>
      <c r="D1263" s="157" t="s">
        <v>468</v>
      </c>
      <c r="E1263" s="177" t="s">
        <v>468</v>
      </c>
      <c r="F1263" s="233" t="s">
        <v>543</v>
      </c>
      <c r="G1263" s="234">
        <v>43496</v>
      </c>
      <c r="H1263" s="235" t="s">
        <v>2195</v>
      </c>
      <c r="I1263" s="236" t="s">
        <v>1798</v>
      </c>
      <c r="J1263" s="237">
        <v>31770</v>
      </c>
      <c r="K1263" s="175" t="s">
        <v>61</v>
      </c>
      <c r="L1263" s="175" t="s">
        <v>439</v>
      </c>
      <c r="M1263" s="175" t="s">
        <v>1343</v>
      </c>
      <c r="N1263" s="198"/>
      <c r="O1263" s="199"/>
      <c r="P1263" s="181">
        <v>0</v>
      </c>
      <c r="Q1263" s="177">
        <v>43488</v>
      </c>
      <c r="R1263" s="178">
        <v>390.03644000000003</v>
      </c>
      <c r="S1263" s="179">
        <v>214581.1</v>
      </c>
      <c r="T1263" s="182" t="s">
        <v>45</v>
      </c>
      <c r="U1263" s="183">
        <v>3.7612000000000001</v>
      </c>
      <c r="V1263" s="179">
        <v>23918.9</v>
      </c>
      <c r="W1263" s="179">
        <v>0</v>
      </c>
      <c r="X1263" s="196" t="s">
        <v>45</v>
      </c>
      <c r="Y1263" s="200">
        <v>3.7612000000000001</v>
      </c>
      <c r="Z1263" s="220"/>
      <c r="AA1263" s="201">
        <f>Delivery[[#This Row],[Quantity delivered]]*VLOOKUP(Delivery[[#This Row],[Unit]],References!$U:$X,4,FALSE)*VLOOKUP(CONCATENATE(Delivery[[#This Row],[Coffee specie]],Delivery[[#This Row],[Coffee state]]),References!$U:$X,4,FALSE)</f>
        <v>31770</v>
      </c>
      <c r="AB1263" s="202">
        <f>SUMIF(Allocation!C:C,Delivery[[#This Row],[Delivery ID]],Allocation!D:D)/Delivery[[#This Row],[Quantity delivered]]</f>
        <v>0.12209631728045325</v>
      </c>
      <c r="AC1263" s="203">
        <f>Delivery[[#This Row],[Quantity delivered]]*Delivery[[#This Row],[Base price (Unidad)]]/60</f>
        <v>206524.29498000004</v>
      </c>
      <c r="AD1263" s="204">
        <f>Delivery[[#This Row],[Nespresso total]]-Delivery[[#This Row],[Qt. Delivery * Base Price]]</f>
        <v>8056.8050199999707</v>
      </c>
      <c r="AE1263" s="204">
        <f>Delivery[[#This Row],[AAA Premium (total)]]/Delivery[[#This Row],[Quantity delivered]]*60/Delivery[[#This Row],[Exchange rate VS USD]]</f>
        <v>12.01016050068203</v>
      </c>
      <c r="AF1263" s="204">
        <f>Delivery[[#This Row],[BEN premium (total)]]/Delivery[[#This Row],[Quantity delivered]]*60/Delivery[[#This Row],[Exchange rate for premiums VS USD]]</f>
        <v>0</v>
      </c>
      <c r="AG1263" s="204">
        <f>COUNTIF(Delivery[Delivery ID],Delivery[[#This Row],[Delivery ID]])</f>
        <v>1</v>
      </c>
      <c r="AH1263" s="204">
        <f>(Delivery[[#This Row],[Nespresso total]]/SUMIF(Allocation!C:C,Delivery[Delivery ID],Allocation!H:H))/Delivery[[#This Row],[Exchange rate VS USD]]</f>
        <v>26.254594408115729</v>
      </c>
      <c r="AI1263" s="204">
        <f>(Delivery[[#This Row],[AAA Premium (total)]]/SUMIF(Allocation!C:C,Delivery[Delivery ID],Allocation!H:H))/Delivery[[#This Row],[Exchange rate VS USD]]</f>
        <v>2.9265439416065968</v>
      </c>
      <c r="AJ1263" s="204">
        <f>Delivery[[#This Row],[Valor Prêmio Nespresso AAA por Kg (em US$)]]*60</f>
        <v>175.59263649639581</v>
      </c>
      <c r="AK1263" s="204">
        <f>Delivery[[#This Row],[Valor Prêmio Nespresso AAA por saca (em US$)]]/1.3228/100</f>
        <v>1.3274314824341988</v>
      </c>
      <c r="AL1263" s="204">
        <f>(Delivery[[#This Row],[BEN premium (total)]]/SUMIF(Allocation!C:C,Delivery[Delivery ID],Allocation!H:H))/Delivery[[#This Row],[Exchange rate for premiums VS USD]]</f>
        <v>0</v>
      </c>
      <c r="AM1263" s="204">
        <f>Delivery[[#This Row],[Valor Prêmio Nespresso BEN por Kg (em US$)]]*60</f>
        <v>0</v>
      </c>
      <c r="AN1263" s="204">
        <f>Delivery[[#This Row],[Valor Prêmio Nespresso BEN por saca (em US$)]]/1.3228/100</f>
        <v>0</v>
      </c>
      <c r="AO1263" s="204">
        <f>SUMIF(Allocation[Delivery ID],Delivery[[#This Row],[Delivery ID]],Allocation[Quantity allocated])*16*1.3228*Delivery[[#This Row],[Exchange rate VS USD]]/60</f>
        <v>2883.0294072746669</v>
      </c>
      <c r="AP1263" s="204">
        <f>Delivery[[#This Row],[AAA Premium (total)]]</f>
        <v>23918.9</v>
      </c>
      <c r="AQ1263" s="204">
        <f>Delivery[[#This Row],[Valor pago pelo Cluster]]-Delivery[[#This Row],[Valor efetivamente pago pela Nespresso]]</f>
        <v>21035.870592725336</v>
      </c>
    </row>
    <row r="1264" spans="1:43" ht="15.75">
      <c r="A1264" s="174" t="s">
        <v>69</v>
      </c>
      <c r="B1264" s="232" t="s">
        <v>68</v>
      </c>
      <c r="C1264" s="157">
        <v>1</v>
      </c>
      <c r="D1264" s="157" t="s">
        <v>468</v>
      </c>
      <c r="E1264" s="177" t="s">
        <v>468</v>
      </c>
      <c r="F1264" s="233" t="s">
        <v>543</v>
      </c>
      <c r="G1264" s="234">
        <v>43496</v>
      </c>
      <c r="H1264" s="235" t="s">
        <v>2196</v>
      </c>
      <c r="I1264" s="236" t="s">
        <v>1798</v>
      </c>
      <c r="J1264" s="237">
        <v>31790</v>
      </c>
      <c r="K1264" s="175" t="s">
        <v>61</v>
      </c>
      <c r="L1264" s="175" t="s">
        <v>439</v>
      </c>
      <c r="M1264" s="175" t="s">
        <v>1343</v>
      </c>
      <c r="N1264" s="198"/>
      <c r="O1264" s="199"/>
      <c r="P1264" s="181">
        <v>0</v>
      </c>
      <c r="Q1264" s="177">
        <v>43488</v>
      </c>
      <c r="R1264" s="178">
        <v>390.03644000000003</v>
      </c>
      <c r="S1264" s="179">
        <v>214581.1</v>
      </c>
      <c r="T1264" s="182" t="s">
        <v>45</v>
      </c>
      <c r="U1264" s="183">
        <v>3.7612000000000001</v>
      </c>
      <c r="V1264" s="179">
        <v>23918.9</v>
      </c>
      <c r="W1264" s="179">
        <v>0</v>
      </c>
      <c r="X1264" s="196" t="s">
        <v>45</v>
      </c>
      <c r="Y1264" s="200">
        <v>3.7612000000000001</v>
      </c>
      <c r="Z1264" s="220"/>
      <c r="AA1264" s="201">
        <f>Delivery[[#This Row],[Quantity delivered]]*VLOOKUP(Delivery[[#This Row],[Unit]],References!$U:$X,4,FALSE)*VLOOKUP(CONCATENATE(Delivery[[#This Row],[Coffee specie]],Delivery[[#This Row],[Coffee state]]),References!$U:$X,4,FALSE)</f>
        <v>31790</v>
      </c>
      <c r="AB1264" s="202">
        <f>SUMIF(Allocation!C:C,Delivery[[#This Row],[Delivery ID]],Allocation!D:D)/Delivery[[#This Row],[Quantity delivered]]</f>
        <v>0.13611198490091223</v>
      </c>
      <c r="AC1264" s="203">
        <f>Delivery[[#This Row],[Quantity delivered]]*Delivery[[#This Row],[Base price (Unidad)]]/60</f>
        <v>206654.30712666668</v>
      </c>
      <c r="AD1264" s="204">
        <f>Delivery[[#This Row],[Nespresso total]]-Delivery[[#This Row],[Qt. Delivery * Base Price]]</f>
        <v>7926.7928733333247</v>
      </c>
      <c r="AE1264" s="204">
        <f>Delivery[[#This Row],[AAA Premium (total)]]/Delivery[[#This Row],[Quantity delivered]]*60/Delivery[[#This Row],[Exchange rate VS USD]]</f>
        <v>12.002604564538158</v>
      </c>
      <c r="AF1264" s="204">
        <f>Delivery[[#This Row],[BEN premium (total)]]/Delivery[[#This Row],[Quantity delivered]]*60/Delivery[[#This Row],[Exchange rate for premiums VS USD]]</f>
        <v>0</v>
      </c>
      <c r="AG1264" s="204">
        <f>COUNTIF(Delivery[Delivery ID],Delivery[[#This Row],[Delivery ID]])</f>
        <v>1</v>
      </c>
      <c r="AH1264" s="204">
        <f>(Delivery[[#This Row],[Nespresso total]]/SUMIF(Allocation!C:C,Delivery[Delivery ID],Allocation!H:H))/Delivery[[#This Row],[Exchange rate VS USD]]</f>
        <v>25.356103843926881</v>
      </c>
      <c r="AI1264" s="204">
        <f>(Delivery[[#This Row],[AAA Premium (total)]]/SUMIF(Allocation!C:C,Delivery[Delivery ID],Allocation!H:H))/Delivery[[#This Row],[Exchange rate VS USD]]</f>
        <v>2.8263911044938381</v>
      </c>
      <c r="AJ1264" s="204">
        <f>Delivery[[#This Row],[Valor Prêmio Nespresso AAA por Kg (em US$)]]*60</f>
        <v>169.58346626963029</v>
      </c>
      <c r="AK1264" s="204">
        <f>Delivery[[#This Row],[Valor Prêmio Nespresso AAA por saca (em US$)]]/1.3228/100</f>
        <v>1.2820038272575618</v>
      </c>
      <c r="AL1264" s="204">
        <f>(Delivery[[#This Row],[BEN premium (total)]]/SUMIF(Allocation!C:C,Delivery[Delivery ID],Allocation!H:H))/Delivery[[#This Row],[Exchange rate for premiums VS USD]]</f>
        <v>0</v>
      </c>
      <c r="AM1264" s="204">
        <f>Delivery[[#This Row],[Valor Prêmio Nespresso BEN por Kg (em US$)]]*60</f>
        <v>0</v>
      </c>
      <c r="AN1264" s="204">
        <f>Delivery[[#This Row],[Valor Prêmio Nespresso BEN por saca (em US$)]]/1.3228/100</f>
        <v>0</v>
      </c>
      <c r="AO1264" s="204">
        <f>SUMIF(Allocation[Delivery ID],Delivery[[#This Row],[Delivery ID]],Allocation[Quantity allocated])*16*1.3228*Delivery[[#This Row],[Exchange rate VS USD]]/60</f>
        <v>2985.1892159999998</v>
      </c>
      <c r="AP1264" s="204">
        <f>Delivery[[#This Row],[AAA Premium (total)]]</f>
        <v>23918.9</v>
      </c>
      <c r="AQ1264" s="204">
        <f>Delivery[[#This Row],[Valor pago pelo Cluster]]-Delivery[[#This Row],[Valor efetivamente pago pela Nespresso]]</f>
        <v>20933.710784000003</v>
      </c>
    </row>
    <row r="1265" spans="1:43" ht="15.75">
      <c r="A1265" s="174" t="s">
        <v>69</v>
      </c>
      <c r="B1265" s="232" t="s">
        <v>68</v>
      </c>
      <c r="C1265" s="157">
        <v>1</v>
      </c>
      <c r="D1265" s="157" t="s">
        <v>468</v>
      </c>
      <c r="E1265" s="177" t="s">
        <v>468</v>
      </c>
      <c r="F1265" s="233" t="s">
        <v>543</v>
      </c>
      <c r="G1265" s="234">
        <v>43496</v>
      </c>
      <c r="H1265" s="235" t="s">
        <v>2070</v>
      </c>
      <c r="I1265" s="236" t="s">
        <v>938</v>
      </c>
      <c r="J1265" s="237">
        <v>19920</v>
      </c>
      <c r="K1265" s="175" t="s">
        <v>61</v>
      </c>
      <c r="L1265" s="175" t="s">
        <v>439</v>
      </c>
      <c r="M1265" s="175" t="s">
        <v>1343</v>
      </c>
      <c r="N1265" s="198"/>
      <c r="O1265" s="199"/>
      <c r="P1265" s="181">
        <v>0</v>
      </c>
      <c r="Q1265" s="177">
        <v>43490</v>
      </c>
      <c r="R1265" s="178">
        <v>403.006145</v>
      </c>
      <c r="S1265" s="179">
        <v>143955.20000000001</v>
      </c>
      <c r="T1265" s="182" t="s">
        <v>45</v>
      </c>
      <c r="U1265" s="183">
        <v>3.7717000000000001</v>
      </c>
      <c r="V1265" s="179">
        <v>8764.7999999999993</v>
      </c>
      <c r="W1265" s="179">
        <v>0</v>
      </c>
      <c r="X1265" s="196" t="s">
        <v>45</v>
      </c>
      <c r="Y1265" s="200">
        <v>3.7717000000000001</v>
      </c>
      <c r="Z1265" s="220"/>
      <c r="AA1265" s="201">
        <f>Delivery[[#This Row],[Quantity delivered]]*VLOOKUP(Delivery[[#This Row],[Unit]],References!$U:$X,4,FALSE)*VLOOKUP(CONCATENATE(Delivery[[#This Row],[Coffee specie]],Delivery[[#This Row],[Coffee state]]),References!$U:$X,4,FALSE)</f>
        <v>19920</v>
      </c>
      <c r="AB1265" s="202">
        <f>SUMIF(Allocation!C:C,Delivery[[#This Row],[Delivery ID]],Allocation!D:D)/Delivery[[#This Row],[Quantity delivered]]</f>
        <v>0.23579317269076305</v>
      </c>
      <c r="AC1265" s="203">
        <f>Delivery[[#This Row],[Quantity delivered]]*Delivery[[#This Row],[Base price (Unidad)]]/60</f>
        <v>133798.04014</v>
      </c>
      <c r="AD1265" s="204">
        <f>Delivery[[#This Row],[Nespresso total]]-Delivery[[#This Row],[Qt. Delivery * Base Price]]</f>
        <v>10157.159860000014</v>
      </c>
      <c r="AE1265" s="204">
        <f>Delivery[[#This Row],[AAA Premium (total)]]/Delivery[[#This Row],[Quantity delivered]]*60/Delivery[[#This Row],[Exchange rate VS USD]]</f>
        <v>6.9994962483760634</v>
      </c>
      <c r="AF1265" s="204">
        <f>Delivery[[#This Row],[BEN premium (total)]]/Delivery[[#This Row],[Quantity delivered]]*60/Delivery[[#This Row],[Exchange rate for premiums VS USD]]</f>
        <v>0</v>
      </c>
      <c r="AG1265" s="204">
        <f>COUNTIF(Delivery[Delivery ID],Delivery[[#This Row],[Delivery ID]])</f>
        <v>1</v>
      </c>
      <c r="AH1265" s="204">
        <f>(Delivery[[#This Row],[Nespresso total]]/SUMIF(Allocation!C:C,Delivery[Delivery ID],Allocation!H:H))/Delivery[[#This Row],[Exchange rate VS USD]]</f>
        <v>24.623995169458116</v>
      </c>
      <c r="AI1265" s="204">
        <f>(Delivery[[#This Row],[AAA Premium (total)]]/SUMIF(Allocation!C:C,Delivery[Delivery ID],Allocation!H:H))/Delivery[[#This Row],[Exchange rate VS USD]]</f>
        <v>1.4992469383618405</v>
      </c>
      <c r="AJ1265" s="204">
        <f>Delivery[[#This Row],[Valor Prêmio Nespresso AAA por Kg (em US$)]]*60</f>
        <v>89.954816301710437</v>
      </c>
      <c r="AK1265" s="204">
        <f>Delivery[[#This Row],[Valor Prêmio Nespresso AAA por saca (em US$)]]/1.3228/100</f>
        <v>0.68003338601232566</v>
      </c>
      <c r="AL1265" s="204">
        <f>(Delivery[[#This Row],[BEN premium (total)]]/SUMIF(Allocation!C:C,Delivery[Delivery ID],Allocation!H:H))/Delivery[[#This Row],[Exchange rate for premiums VS USD]]</f>
        <v>0</v>
      </c>
      <c r="AM1265" s="204">
        <f>Delivery[[#This Row],[Valor Prêmio Nespresso BEN por Kg (em US$)]]*60</f>
        <v>0</v>
      </c>
      <c r="AN1265" s="204">
        <f>Delivery[[#This Row],[Valor Prêmio Nespresso BEN por saca (em US$)]]/1.3228/100</f>
        <v>0</v>
      </c>
      <c r="AO1265" s="204">
        <f>SUMIF(Allocation[Delivery ID],Delivery[[#This Row],[Delivery ID]],Allocation[Quantity allocated])*16*1.3228*Delivery[[#This Row],[Exchange rate VS USD]]/60</f>
        <v>2062.2046341333335</v>
      </c>
      <c r="AP1265" s="204">
        <f>Delivery[[#This Row],[AAA Premium (total)]]</f>
        <v>8764.7999999999993</v>
      </c>
      <c r="AQ1265" s="204">
        <f>Delivery[[#This Row],[Valor pago pelo Cluster]]-Delivery[[#This Row],[Valor efetivamente pago pela Nespresso]]</f>
        <v>6702.5953658666658</v>
      </c>
    </row>
    <row r="1266" spans="1:43" ht="15.75">
      <c r="A1266" s="174" t="s">
        <v>69</v>
      </c>
      <c r="B1266" s="232" t="s">
        <v>68</v>
      </c>
      <c r="C1266" s="157">
        <v>1</v>
      </c>
      <c r="D1266" s="157" t="s">
        <v>468</v>
      </c>
      <c r="E1266" s="177" t="s">
        <v>468</v>
      </c>
      <c r="F1266" s="233" t="s">
        <v>543</v>
      </c>
      <c r="G1266" s="234">
        <v>43496</v>
      </c>
      <c r="H1266" s="235" t="s">
        <v>2197</v>
      </c>
      <c r="I1266" s="236" t="s">
        <v>1693</v>
      </c>
      <c r="J1266" s="237">
        <v>4200</v>
      </c>
      <c r="K1266" s="175" t="s">
        <v>61</v>
      </c>
      <c r="L1266" s="175" t="s">
        <v>439</v>
      </c>
      <c r="M1266" s="175" t="s">
        <v>1343</v>
      </c>
      <c r="N1266" s="198"/>
      <c r="O1266" s="199"/>
      <c r="P1266" s="181">
        <v>0</v>
      </c>
      <c r="Q1266" s="177">
        <v>43490</v>
      </c>
      <c r="R1266" s="178">
        <v>403.006145</v>
      </c>
      <c r="S1266" s="179">
        <v>30352.000000000004</v>
      </c>
      <c r="T1266" s="182" t="s">
        <v>45</v>
      </c>
      <c r="U1266" s="183">
        <v>3.7717000000000001</v>
      </c>
      <c r="V1266" s="179">
        <v>1848</v>
      </c>
      <c r="W1266" s="179">
        <v>0</v>
      </c>
      <c r="X1266" s="196" t="s">
        <v>45</v>
      </c>
      <c r="Y1266" s="200">
        <v>3.7717000000000001</v>
      </c>
      <c r="Z1266" s="220"/>
      <c r="AA1266" s="201">
        <f>Delivery[[#This Row],[Quantity delivered]]*VLOOKUP(Delivery[[#This Row],[Unit]],References!$U:$X,4,FALSE)*VLOOKUP(CONCATENATE(Delivery[[#This Row],[Coffee specie]],Delivery[[#This Row],[Coffee state]]),References!$U:$X,4,FALSE)</f>
        <v>4200</v>
      </c>
      <c r="AB1266" s="202">
        <f>SUMIF(Allocation!C:C,Delivery[[#This Row],[Delivery ID]],Allocation!D:D)/Delivery[[#This Row],[Quantity delivered]]</f>
        <v>0.90190476190476188</v>
      </c>
      <c r="AC1266" s="203">
        <f>Delivery[[#This Row],[Quantity delivered]]*Delivery[[#This Row],[Base price (Unidad)]]/60</f>
        <v>28210.430150000004</v>
      </c>
      <c r="AD1266" s="204">
        <f>Delivery[[#This Row],[Nespresso total]]-Delivery[[#This Row],[Qt. Delivery * Base Price]]</f>
        <v>2141.5698499999999</v>
      </c>
      <c r="AE1266" s="204">
        <f>Delivery[[#This Row],[AAA Premium (total)]]/Delivery[[#This Row],[Quantity delivered]]*60/Delivery[[#This Row],[Exchange rate VS USD]]</f>
        <v>6.9994962483760634</v>
      </c>
      <c r="AF1266" s="204">
        <f>Delivery[[#This Row],[BEN premium (total)]]/Delivery[[#This Row],[Quantity delivered]]*60/Delivery[[#This Row],[Exchange rate for premiums VS USD]]</f>
        <v>0</v>
      </c>
      <c r="AG1266" s="204">
        <f>COUNTIF(Delivery[Delivery ID],Delivery[[#This Row],[Delivery ID]])</f>
        <v>1</v>
      </c>
      <c r="AH1266" s="204">
        <f>(Delivery[[#This Row],[Nespresso total]]/SUMIF(Allocation!C:C,Delivery[Delivery ID],Allocation!H:H))/Delivery[[#This Row],[Exchange rate VS USD]]</f>
        <v>6.4378397009306161</v>
      </c>
      <c r="AI1266" s="204">
        <f>(Delivery[[#This Row],[AAA Premium (total)]]/SUMIF(Allocation!C:C,Delivery[Delivery ID],Allocation!H:H))/Delivery[[#This Row],[Exchange rate VS USD]]</f>
        <v>0.39197178990905956</v>
      </c>
      <c r="AJ1266" s="204">
        <f>Delivery[[#This Row],[Valor Prêmio Nespresso AAA por Kg (em US$)]]*60</f>
        <v>23.518307394543573</v>
      </c>
      <c r="AK1266" s="204">
        <f>Delivery[[#This Row],[Valor Prêmio Nespresso AAA por saca (em US$)]]/1.3228/100</f>
        <v>0.17779186116225865</v>
      </c>
      <c r="AL1266" s="204">
        <f>(Delivery[[#This Row],[BEN premium (total)]]/SUMIF(Allocation!C:C,Delivery[Delivery ID],Allocation!H:H))/Delivery[[#This Row],[Exchange rate for premiums VS USD]]</f>
        <v>0</v>
      </c>
      <c r="AM1266" s="204">
        <f>Delivery[[#This Row],[Valor Prêmio Nespresso BEN por Kg (em US$)]]*60</f>
        <v>0</v>
      </c>
      <c r="AN1266" s="204">
        <f>Delivery[[#This Row],[Valor Prêmio Nespresso BEN por saca (em US$)]]/1.3228/100</f>
        <v>0</v>
      </c>
      <c r="AO1266" s="204">
        <f>SUMIF(Allocation[Delivery ID],Delivery[[#This Row],[Delivery ID]],Allocation[Quantity allocated])*16*1.3228*Delivery[[#This Row],[Exchange rate VS USD]]/60</f>
        <v>1663.0682533333334</v>
      </c>
      <c r="AP1266" s="204">
        <f>Delivery[[#This Row],[AAA Premium (total)]]</f>
        <v>1848</v>
      </c>
      <c r="AQ1266" s="204">
        <f>Delivery[[#This Row],[Valor pago pelo Cluster]]-Delivery[[#This Row],[Valor efetivamente pago pela Nespresso]]</f>
        <v>184.93174666666664</v>
      </c>
    </row>
    <row r="1267" spans="1:43" ht="15.75">
      <c r="A1267" s="174" t="s">
        <v>69</v>
      </c>
      <c r="B1267" s="232" t="s">
        <v>68</v>
      </c>
      <c r="C1267" s="157">
        <v>1</v>
      </c>
      <c r="D1267" s="157" t="s">
        <v>468</v>
      </c>
      <c r="E1267" s="177" t="s">
        <v>468</v>
      </c>
      <c r="F1267" s="233" t="s">
        <v>543</v>
      </c>
      <c r="G1267" s="234">
        <v>43502</v>
      </c>
      <c r="H1267" s="235" t="s">
        <v>2198</v>
      </c>
      <c r="I1267" s="236" t="s">
        <v>2199</v>
      </c>
      <c r="J1267" s="237">
        <v>12000</v>
      </c>
      <c r="K1267" s="175" t="s">
        <v>61</v>
      </c>
      <c r="L1267" s="175" t="s">
        <v>439</v>
      </c>
      <c r="M1267" s="175" t="s">
        <v>1343</v>
      </c>
      <c r="N1267" s="198"/>
      <c r="O1267" s="199"/>
      <c r="P1267" s="181">
        <v>0</v>
      </c>
      <c r="Q1267" s="177">
        <v>43497</v>
      </c>
      <c r="R1267" s="178">
        <v>398.55113999999998</v>
      </c>
      <c r="S1267" s="179">
        <v>83864</v>
      </c>
      <c r="T1267" s="182" t="s">
        <v>45</v>
      </c>
      <c r="U1267" s="183">
        <v>3.6699000000000002</v>
      </c>
      <c r="V1267" s="179">
        <v>5137.8600000000006</v>
      </c>
      <c r="W1267" s="179">
        <v>0</v>
      </c>
      <c r="X1267" s="196" t="s">
        <v>45</v>
      </c>
      <c r="Y1267" s="200">
        <v>3.6699000000000002</v>
      </c>
      <c r="Z1267" s="220"/>
      <c r="AA1267" s="201">
        <f>Delivery[[#This Row],[Quantity delivered]]*VLOOKUP(Delivery[[#This Row],[Unit]],References!$U:$X,4,FALSE)*VLOOKUP(CONCATENATE(Delivery[[#This Row],[Coffee specie]],Delivery[[#This Row],[Coffee state]]),References!$U:$X,4,FALSE)</f>
        <v>12000</v>
      </c>
      <c r="AB1267" s="202">
        <f>SUMIF(Allocation!C:C,Delivery[[#This Row],[Delivery ID]],Allocation!D:D)/Delivery[[#This Row],[Quantity delivered]]</f>
        <v>0.26041666666666669</v>
      </c>
      <c r="AC1267" s="203">
        <f>Delivery[[#This Row],[Quantity delivered]]*Delivery[[#This Row],[Base price (Unidad)]]/60</f>
        <v>79710.227999999988</v>
      </c>
      <c r="AD1267" s="204">
        <f>Delivery[[#This Row],[Nespresso total]]-Delivery[[#This Row],[Qt. Delivery * Base Price]]</f>
        <v>4153.7720000000118</v>
      </c>
      <c r="AE1267" s="204">
        <f>Delivery[[#This Row],[AAA Premium (total)]]/Delivery[[#This Row],[Quantity delivered]]*60/Delivery[[#This Row],[Exchange rate VS USD]]</f>
        <v>7.0000000000000009</v>
      </c>
      <c r="AF1267" s="204">
        <f>Delivery[[#This Row],[BEN premium (total)]]/Delivery[[#This Row],[Quantity delivered]]*60/Delivery[[#This Row],[Exchange rate for premiums VS USD]]</f>
        <v>0</v>
      </c>
      <c r="AG1267" s="204">
        <f>COUNTIF(Delivery[Delivery ID],Delivery[[#This Row],[Delivery ID]])</f>
        <v>1</v>
      </c>
      <c r="AH1267" s="204">
        <f>(Delivery[[#This Row],[Nespresso total]]/SUMIF(Allocation!C:C,Delivery[Delivery ID],Allocation!H:H))/Delivery[[#This Row],[Exchange rate VS USD]]</f>
        <v>18.281479059374913</v>
      </c>
      <c r="AI1267" s="204">
        <f>(Delivery[[#This Row],[AAA Premium (total)]]/SUMIF(Allocation!C:C,Delivery[Delivery ID],Allocation!H:H))/Delivery[[#This Row],[Exchange rate VS USD]]</f>
        <v>1.1200000000000001</v>
      </c>
      <c r="AJ1267" s="204">
        <f>Delivery[[#This Row],[Valor Prêmio Nespresso AAA por Kg (em US$)]]*60</f>
        <v>67.2</v>
      </c>
      <c r="AK1267" s="204">
        <f>Delivery[[#This Row],[Valor Prêmio Nespresso AAA por saca (em US$)]]/1.3228/100</f>
        <v>0.50801330511037202</v>
      </c>
      <c r="AL1267" s="204">
        <f>(Delivery[[#This Row],[BEN premium (total)]]/SUMIF(Allocation!C:C,Delivery[Delivery ID],Allocation!H:H))/Delivery[[#This Row],[Exchange rate for premiums VS USD]]</f>
        <v>0</v>
      </c>
      <c r="AM1267" s="204">
        <f>Delivery[[#This Row],[Valor Prêmio Nespresso BEN por Kg (em US$)]]*60</f>
        <v>0</v>
      </c>
      <c r="AN1267" s="204">
        <f>Delivery[[#This Row],[Valor Prêmio Nespresso BEN por saca (em US$)]]/1.3228/100</f>
        <v>0</v>
      </c>
      <c r="AO1267" s="204">
        <f>SUMIF(Allocation[Delivery ID],Delivery[[#This Row],[Delivery ID]],Allocation[Quantity allocated])*16*1.3228*Delivery[[#This Row],[Exchange rate VS USD]]/60</f>
        <v>1618.1812400000001</v>
      </c>
      <c r="AP1267" s="204">
        <f>Delivery[[#This Row],[AAA Premium (total)]]</f>
        <v>5137.8600000000006</v>
      </c>
      <c r="AQ1267" s="204">
        <f>Delivery[[#This Row],[Valor pago pelo Cluster]]-Delivery[[#This Row],[Valor efetivamente pago pela Nespresso]]</f>
        <v>3519.6787600000007</v>
      </c>
    </row>
    <row r="1268" spans="1:43" ht="15.75">
      <c r="A1268" s="174" t="s">
        <v>69</v>
      </c>
      <c r="B1268" s="232" t="s">
        <v>68</v>
      </c>
      <c r="C1268" s="157">
        <v>1</v>
      </c>
      <c r="D1268" s="157" t="s">
        <v>468</v>
      </c>
      <c r="E1268" s="177" t="s">
        <v>468</v>
      </c>
      <c r="F1268" s="233" t="s">
        <v>543</v>
      </c>
      <c r="G1268" s="234">
        <v>43503</v>
      </c>
      <c r="H1268" s="235" t="s">
        <v>2200</v>
      </c>
      <c r="I1268" s="236" t="s">
        <v>1693</v>
      </c>
      <c r="J1268" s="237">
        <v>30110</v>
      </c>
      <c r="K1268" s="175" t="s">
        <v>61</v>
      </c>
      <c r="L1268" s="175" t="s">
        <v>439</v>
      </c>
      <c r="M1268" s="175" t="s">
        <v>1343</v>
      </c>
      <c r="N1268" s="198"/>
      <c r="O1268" s="199"/>
      <c r="P1268" s="181">
        <v>0</v>
      </c>
      <c r="Q1268" s="177">
        <v>43497</v>
      </c>
      <c r="R1268" s="178">
        <v>398.55113999999998</v>
      </c>
      <c r="S1268" s="179">
        <v>209660</v>
      </c>
      <c r="T1268" s="182" t="s">
        <v>45</v>
      </c>
      <c r="U1268" s="183">
        <v>3.6699000000000002</v>
      </c>
      <c r="V1268" s="179">
        <v>12840</v>
      </c>
      <c r="W1268" s="179">
        <v>0</v>
      </c>
      <c r="X1268" s="196" t="s">
        <v>45</v>
      </c>
      <c r="Y1268" s="200">
        <v>3.6699000000000002</v>
      </c>
      <c r="Z1268" s="220"/>
      <c r="AA1268" s="201">
        <f>Delivery[[#This Row],[Quantity delivered]]*VLOOKUP(Delivery[[#This Row],[Unit]],References!$U:$X,4,FALSE)*VLOOKUP(CONCATENATE(Delivery[[#This Row],[Coffee specie]],Delivery[[#This Row],[Coffee state]]),References!$U:$X,4,FALSE)</f>
        <v>30110</v>
      </c>
      <c r="AB1268" s="202">
        <f>SUMIF(Allocation!C:C,Delivery[[#This Row],[Delivery ID]],Allocation!D:D)/Delivery[[#This Row],[Quantity delivered]]</f>
        <v>0.26984390567917638</v>
      </c>
      <c r="AC1268" s="203">
        <f>Delivery[[#This Row],[Quantity delivered]]*Delivery[[#This Row],[Base price (Unidad)]]/60</f>
        <v>200006.24708999999</v>
      </c>
      <c r="AD1268" s="204">
        <f>Delivery[[#This Row],[Nespresso total]]-Delivery[[#This Row],[Qt. Delivery * Base Price]]</f>
        <v>9653.7529100000102</v>
      </c>
      <c r="AE1268" s="204">
        <f>Delivery[[#This Row],[AAA Premium (total)]]/Delivery[[#This Row],[Quantity delivered]]*60/Delivery[[#This Row],[Exchange rate VS USD]]</f>
        <v>6.9719022294965054</v>
      </c>
      <c r="AF1268" s="204">
        <f>Delivery[[#This Row],[BEN premium (total)]]/Delivery[[#This Row],[Quantity delivered]]*60/Delivery[[#This Row],[Exchange rate for premiums VS USD]]</f>
        <v>0</v>
      </c>
      <c r="AG1268" s="204">
        <f>COUNTIF(Delivery[Delivery ID],Delivery[[#This Row],[Delivery ID]])</f>
        <v>1</v>
      </c>
      <c r="AH1268" s="204">
        <f>(Delivery[[#This Row],[Nespresso total]]/SUMIF(Allocation!C:C,Delivery[Delivery ID],Allocation!H:H))/Delivery[[#This Row],[Exchange rate VS USD]]</f>
        <v>17.578345249398954</v>
      </c>
      <c r="AI1268" s="204">
        <f>(Delivery[[#This Row],[AAA Premium (total)]]/SUMIF(Allocation!C:C,Delivery[Delivery ID],Allocation!H:H))/Delivery[[#This Row],[Exchange rate VS USD]]</f>
        <v>1.0765332109237937</v>
      </c>
      <c r="AJ1268" s="204">
        <f>Delivery[[#This Row],[Valor Prêmio Nespresso AAA por Kg (em US$)]]*60</f>
        <v>64.591992655427617</v>
      </c>
      <c r="AK1268" s="204">
        <f>Delivery[[#This Row],[Valor Prêmio Nespresso AAA por saca (em US$)]]/1.3228/100</f>
        <v>0.48829749512721216</v>
      </c>
      <c r="AL1268" s="204">
        <f>(Delivery[[#This Row],[BEN premium (total)]]/SUMIF(Allocation!C:C,Delivery[Delivery ID],Allocation!H:H))/Delivery[[#This Row],[Exchange rate for premiums VS USD]]</f>
        <v>0</v>
      </c>
      <c r="AM1268" s="204">
        <f>Delivery[[#This Row],[Valor Prêmio Nespresso BEN por Kg (em US$)]]*60</f>
        <v>0</v>
      </c>
      <c r="AN1268" s="204">
        <f>Delivery[[#This Row],[Valor Prêmio Nespresso BEN por saca (em US$)]]/1.3228/100</f>
        <v>0</v>
      </c>
      <c r="AO1268" s="204">
        <f>SUMIF(Allocation[Delivery ID],Delivery[[#This Row],[Delivery ID]],Allocation[Quantity allocated])*16*1.3228*Delivery[[#This Row],[Exchange rate VS USD]]/60</f>
        <v>4207.2712240000001</v>
      </c>
      <c r="AP1268" s="204">
        <f>Delivery[[#This Row],[AAA Premium (total)]]</f>
        <v>12840</v>
      </c>
      <c r="AQ1268" s="204">
        <f>Delivery[[#This Row],[Valor pago pelo Cluster]]-Delivery[[#This Row],[Valor efetivamente pago pela Nespresso]]</f>
        <v>8632.7287759999999</v>
      </c>
    </row>
    <row r="1269" spans="1:43" ht="15.75">
      <c r="A1269" s="174" t="s">
        <v>69</v>
      </c>
      <c r="B1269" s="232" t="s">
        <v>68</v>
      </c>
      <c r="C1269" s="157">
        <v>1</v>
      </c>
      <c r="D1269" s="157" t="s">
        <v>468</v>
      </c>
      <c r="E1269" s="177" t="s">
        <v>468</v>
      </c>
      <c r="F1269" s="233" t="s">
        <v>543</v>
      </c>
      <c r="G1269" s="234">
        <v>43508</v>
      </c>
      <c r="H1269" s="235" t="s">
        <v>2201</v>
      </c>
      <c r="I1269" s="236" t="s">
        <v>1147</v>
      </c>
      <c r="J1269" s="237">
        <v>29920</v>
      </c>
      <c r="K1269" s="175" t="s">
        <v>61</v>
      </c>
      <c r="L1269" s="175" t="s">
        <v>439</v>
      </c>
      <c r="M1269" s="175" t="s">
        <v>1343</v>
      </c>
      <c r="N1269" s="198"/>
      <c r="O1269" s="199"/>
      <c r="P1269" s="181">
        <v>0</v>
      </c>
      <c r="Q1269" s="177">
        <v>43504</v>
      </c>
      <c r="R1269" s="178">
        <v>397.46865000000003</v>
      </c>
      <c r="S1269" s="179">
        <v>207009</v>
      </c>
      <c r="T1269" s="182" t="s">
        <v>45</v>
      </c>
      <c r="U1269" s="183">
        <v>3.7321</v>
      </c>
      <c r="V1269" s="179">
        <v>27990</v>
      </c>
      <c r="W1269" s="179">
        <v>0</v>
      </c>
      <c r="X1269" s="196" t="s">
        <v>45</v>
      </c>
      <c r="Y1269" s="200">
        <v>3.7321</v>
      </c>
      <c r="Z1269" s="220"/>
      <c r="AA1269" s="201">
        <f>Delivery[[#This Row],[Quantity delivered]]*VLOOKUP(Delivery[[#This Row],[Unit]],References!$U:$X,4,FALSE)*VLOOKUP(CONCATENATE(Delivery[[#This Row],[Coffee specie]],Delivery[[#This Row],[Coffee state]]),References!$U:$X,4,FALSE)</f>
        <v>29920</v>
      </c>
      <c r="AB1269" s="202">
        <f>SUMIF(Allocation!C:C,Delivery[[#This Row],[Delivery ID]],Allocation!D:D)/Delivery[[#This Row],[Quantity delivered]]</f>
        <v>0.86042780748663106</v>
      </c>
      <c r="AC1269" s="203">
        <f>Delivery[[#This Row],[Quantity delivered]]*Delivery[[#This Row],[Base price (Unidad)]]/60</f>
        <v>198204.36680000002</v>
      </c>
      <c r="AD1269" s="204">
        <f>Delivery[[#This Row],[Nespresso total]]-Delivery[[#This Row],[Qt. Delivery * Base Price]]</f>
        <v>8804.633199999982</v>
      </c>
      <c r="AE1269" s="204">
        <f>Delivery[[#This Row],[AAA Premium (total)]]/Delivery[[#This Row],[Quantity delivered]]*60/Delivery[[#This Row],[Exchange rate VS USD]]</f>
        <v>15.039703958732357</v>
      </c>
      <c r="AF1269" s="204">
        <f>Delivery[[#This Row],[BEN premium (total)]]/Delivery[[#This Row],[Quantity delivered]]*60/Delivery[[#This Row],[Exchange rate for premiums VS USD]]</f>
        <v>0</v>
      </c>
      <c r="AG1269" s="204">
        <f>COUNTIF(Delivery[Delivery ID],Delivery[[#This Row],[Delivery ID]])</f>
        <v>1</v>
      </c>
      <c r="AH1269" s="204">
        <f>(Delivery[[#This Row],[Nespresso total]]/SUMIF(Allocation!C:C,Delivery[Delivery ID],Allocation!H:H))/Delivery[[#This Row],[Exchange rate VS USD]]</f>
        <v>3.4198879868851977</v>
      </c>
      <c r="AI1269" s="204">
        <f>(Delivery[[#This Row],[AAA Premium (total)]]/SUMIF(Allocation!C:C,Delivery[Delivery ID],Allocation!H:H))/Delivery[[#This Row],[Exchange rate VS USD]]</f>
        <v>0.4624082274341535</v>
      </c>
      <c r="AJ1269" s="204">
        <f>Delivery[[#This Row],[Valor Prêmio Nespresso AAA por Kg (em US$)]]*60</f>
        <v>27.744493646049211</v>
      </c>
      <c r="AK1269" s="204">
        <f>Delivery[[#This Row],[Valor Prêmio Nespresso AAA por saca (em US$)]]/1.3228/100</f>
        <v>0.20974065350808296</v>
      </c>
      <c r="AL1269" s="204">
        <f>(Delivery[[#This Row],[BEN premium (total)]]/SUMIF(Allocation!C:C,Delivery[Delivery ID],Allocation!H:H))/Delivery[[#This Row],[Exchange rate for premiums VS USD]]</f>
        <v>0</v>
      </c>
      <c r="AM1269" s="204">
        <f>Delivery[[#This Row],[Valor Prêmio Nespresso BEN por Kg (em US$)]]*60</f>
        <v>0</v>
      </c>
      <c r="AN1269" s="204">
        <f>Delivery[[#This Row],[Valor Prêmio Nespresso BEN por saca (em US$)]]/1.3228/100</f>
        <v>0</v>
      </c>
      <c r="AO1269" s="204">
        <f>SUMIF(Allocation[Delivery ID],Delivery[[#This Row],[Delivery ID]],Allocation[Quantity allocated])*16*1.3228*Delivery[[#This Row],[Exchange rate VS USD]]/60</f>
        <v>21352.083752458668</v>
      </c>
      <c r="AP1269" s="204">
        <f>Delivery[[#This Row],[AAA Premium (total)]]</f>
        <v>27990</v>
      </c>
      <c r="AQ1269" s="204">
        <f>Delivery[[#This Row],[Valor pago pelo Cluster]]-Delivery[[#This Row],[Valor efetivamente pago pela Nespresso]]</f>
        <v>6637.9162475413323</v>
      </c>
    </row>
    <row r="1270" spans="1:43" ht="15.75">
      <c r="A1270" s="174" t="s">
        <v>69</v>
      </c>
      <c r="B1270" s="232" t="s">
        <v>68</v>
      </c>
      <c r="C1270" s="157">
        <v>1</v>
      </c>
      <c r="D1270" s="157" t="s">
        <v>468</v>
      </c>
      <c r="E1270" s="177" t="s">
        <v>468</v>
      </c>
      <c r="F1270" s="233" t="s">
        <v>543</v>
      </c>
      <c r="G1270" s="234">
        <v>43508</v>
      </c>
      <c r="H1270" s="235" t="s">
        <v>2202</v>
      </c>
      <c r="I1270" s="236" t="s">
        <v>1147</v>
      </c>
      <c r="J1270" s="237">
        <v>29930</v>
      </c>
      <c r="K1270" s="175" t="s">
        <v>61</v>
      </c>
      <c r="L1270" s="175" t="s">
        <v>439</v>
      </c>
      <c r="M1270" s="175" t="s">
        <v>1343</v>
      </c>
      <c r="N1270" s="198"/>
      <c r="O1270" s="199"/>
      <c r="P1270" s="181">
        <v>0</v>
      </c>
      <c r="Q1270" s="177">
        <v>43504</v>
      </c>
      <c r="R1270" s="178">
        <v>397.46865000000003</v>
      </c>
      <c r="S1270" s="179">
        <v>207009</v>
      </c>
      <c r="T1270" s="182" t="s">
        <v>45</v>
      </c>
      <c r="U1270" s="183">
        <v>3.7321</v>
      </c>
      <c r="V1270" s="179">
        <v>27990</v>
      </c>
      <c r="W1270" s="179">
        <v>0</v>
      </c>
      <c r="X1270" s="196" t="s">
        <v>45</v>
      </c>
      <c r="Y1270" s="200">
        <v>3.7321</v>
      </c>
      <c r="Z1270" s="220"/>
      <c r="AA1270" s="201">
        <f>Delivery[[#This Row],[Quantity delivered]]*VLOOKUP(Delivery[[#This Row],[Unit]],References!$U:$X,4,FALSE)*VLOOKUP(CONCATENATE(Delivery[[#This Row],[Coffee specie]],Delivery[[#This Row],[Coffee state]]),References!$U:$X,4,FALSE)</f>
        <v>29930</v>
      </c>
      <c r="AB1270" s="202">
        <f>SUMIF(Allocation!C:C,Delivery[[#This Row],[Delivery ID]],Allocation!D:D)/Delivery[[#This Row],[Quantity delivered]]</f>
        <v>0.8606749081189442</v>
      </c>
      <c r="AC1270" s="203">
        <f>Delivery[[#This Row],[Quantity delivered]]*Delivery[[#This Row],[Base price (Unidad)]]/60</f>
        <v>198270.61157500002</v>
      </c>
      <c r="AD1270" s="204">
        <f>Delivery[[#This Row],[Nespresso total]]-Delivery[[#This Row],[Qt. Delivery * Base Price]]</f>
        <v>8738.3884249999828</v>
      </c>
      <c r="AE1270" s="204">
        <f>Delivery[[#This Row],[AAA Premium (total)]]/Delivery[[#This Row],[Quantity delivered]]*60/Delivery[[#This Row],[Exchange rate VS USD]]</f>
        <v>15.034678999173808</v>
      </c>
      <c r="AF1270" s="204">
        <f>Delivery[[#This Row],[BEN premium (total)]]/Delivery[[#This Row],[Quantity delivered]]*60/Delivery[[#This Row],[Exchange rate for premiums VS USD]]</f>
        <v>0</v>
      </c>
      <c r="AG1270" s="204">
        <f>COUNTIF(Delivery[Delivery ID],Delivery[[#This Row],[Delivery ID]])</f>
        <v>1</v>
      </c>
      <c r="AH1270" s="204">
        <f>(Delivery[[#This Row],[Nespresso total]]/SUMIF(Allocation!C:C,Delivery[Delivery ID],Allocation!H:H))/Delivery[[#This Row],[Exchange rate VS USD]]</f>
        <v>3.4177807171908938</v>
      </c>
      <c r="AI1270" s="204">
        <f>(Delivery[[#This Row],[AAA Premium (total)]]/SUMIF(Allocation!C:C,Delivery[Delivery ID],Allocation!H:H))/Delivery[[#This Row],[Exchange rate VS USD]]</f>
        <v>0.46212330031145082</v>
      </c>
      <c r="AJ1270" s="204">
        <f>Delivery[[#This Row],[Valor Prêmio Nespresso AAA por Kg (em US$)]]*60</f>
        <v>27.727398018687051</v>
      </c>
      <c r="AK1270" s="204">
        <f>Delivery[[#This Row],[Valor Prêmio Nespresso AAA por saca (em US$)]]/1.3228/100</f>
        <v>0.20961141532119029</v>
      </c>
      <c r="AL1270" s="204">
        <f>(Delivery[[#This Row],[BEN premium (total)]]/SUMIF(Allocation!C:C,Delivery[Delivery ID],Allocation!H:H))/Delivery[[#This Row],[Exchange rate for premiums VS USD]]</f>
        <v>0</v>
      </c>
      <c r="AM1270" s="204">
        <f>Delivery[[#This Row],[Valor Prêmio Nespresso BEN por Kg (em US$)]]*60</f>
        <v>0</v>
      </c>
      <c r="AN1270" s="204">
        <f>Delivery[[#This Row],[Valor Prêmio Nespresso BEN por saca (em US$)]]/1.3228/100</f>
        <v>0</v>
      </c>
      <c r="AO1270" s="204">
        <f>SUMIF(Allocation[Delivery ID],Delivery[[#This Row],[Delivery ID]],Allocation[Quantity allocated])*16*1.3228*Delivery[[#This Row],[Exchange rate VS USD]]/60</f>
        <v>21365.248610805331</v>
      </c>
      <c r="AP1270" s="204">
        <f>Delivery[[#This Row],[AAA Premium (total)]]</f>
        <v>27990</v>
      </c>
      <c r="AQ1270" s="204">
        <f>Delivery[[#This Row],[Valor pago pelo Cluster]]-Delivery[[#This Row],[Valor efetivamente pago pela Nespresso]]</f>
        <v>6624.7513891946692</v>
      </c>
    </row>
    <row r="1271" spans="1:43" ht="15.75">
      <c r="A1271" s="174" t="s">
        <v>69</v>
      </c>
      <c r="B1271" s="232" t="s">
        <v>68</v>
      </c>
      <c r="C1271" s="157">
        <v>1</v>
      </c>
      <c r="D1271" s="157" t="s">
        <v>468</v>
      </c>
      <c r="E1271" s="177" t="s">
        <v>468</v>
      </c>
      <c r="F1271" s="233" t="s">
        <v>543</v>
      </c>
      <c r="G1271" s="234">
        <v>43508</v>
      </c>
      <c r="H1271" s="235" t="s">
        <v>2203</v>
      </c>
      <c r="I1271" s="236" t="s">
        <v>1147</v>
      </c>
      <c r="J1271" s="237">
        <v>30520</v>
      </c>
      <c r="K1271" s="175" t="s">
        <v>61</v>
      </c>
      <c r="L1271" s="175" t="s">
        <v>439</v>
      </c>
      <c r="M1271" s="175" t="s">
        <v>1343</v>
      </c>
      <c r="N1271" s="198"/>
      <c r="O1271" s="199"/>
      <c r="P1271" s="181">
        <v>0</v>
      </c>
      <c r="Q1271" s="177">
        <v>43504</v>
      </c>
      <c r="R1271" s="178">
        <v>397.46865000000003</v>
      </c>
      <c r="S1271" s="179">
        <v>207009</v>
      </c>
      <c r="T1271" s="182" t="s">
        <v>45</v>
      </c>
      <c r="U1271" s="183">
        <v>3.7321</v>
      </c>
      <c r="V1271" s="179">
        <v>28475.922999999999</v>
      </c>
      <c r="W1271" s="179">
        <v>0</v>
      </c>
      <c r="X1271" s="196" t="s">
        <v>45</v>
      </c>
      <c r="Y1271" s="200">
        <v>3.7321</v>
      </c>
      <c r="Z1271" s="220"/>
      <c r="AA1271" s="201">
        <f>Delivery[[#This Row],[Quantity delivered]]*VLOOKUP(Delivery[[#This Row],[Unit]],References!$U:$X,4,FALSE)*VLOOKUP(CONCATENATE(Delivery[[#This Row],[Coffee specie]],Delivery[[#This Row],[Coffee state]]),References!$U:$X,4,FALSE)</f>
        <v>30520</v>
      </c>
      <c r="AB1271" s="202">
        <f>SUMIF(Allocation!C:C,Delivery[[#This Row],[Delivery ID]],Allocation!D:D)/Delivery[[#This Row],[Quantity delivered]]</f>
        <v>0.86077981651376145</v>
      </c>
      <c r="AC1271" s="203">
        <f>Delivery[[#This Row],[Quantity delivered]]*Delivery[[#This Row],[Base price (Unidad)]]/60</f>
        <v>202179.0533</v>
      </c>
      <c r="AD1271" s="204">
        <f>Delivery[[#This Row],[Nespresso total]]-Delivery[[#This Row],[Qt. Delivery * Base Price]]</f>
        <v>4829.9467000000004</v>
      </c>
      <c r="AE1271" s="204">
        <f>Delivery[[#This Row],[AAA Premium (total)]]/Delivery[[#This Row],[Quantity delivered]]*60/Delivery[[#This Row],[Exchange rate VS USD]]</f>
        <v>15</v>
      </c>
      <c r="AF1271" s="204">
        <f>Delivery[[#This Row],[BEN premium (total)]]/Delivery[[#This Row],[Quantity delivered]]*60/Delivery[[#This Row],[Exchange rate for premiums VS USD]]</f>
        <v>0</v>
      </c>
      <c r="AG1271" s="204">
        <f>COUNTIF(Delivery[Delivery ID],Delivery[[#This Row],[Delivery ID]])</f>
        <v>1</v>
      </c>
      <c r="AH1271" s="204">
        <f>(Delivery[[#This Row],[Nespresso total]]/SUMIF(Allocation!C:C,Delivery[Delivery ID],Allocation!H:H))/Delivery[[#This Row],[Exchange rate VS USD]]</f>
        <v>3.3512877324204586</v>
      </c>
      <c r="AI1271" s="204">
        <f>(Delivery[[#This Row],[AAA Premium (total)]]/SUMIF(Allocation!C:C,Delivery[Delivery ID],Allocation!H:H))/Delivery[[#This Row],[Exchange rate VS USD]]</f>
        <v>0.46099933538758986</v>
      </c>
      <c r="AJ1271" s="204">
        <f>Delivery[[#This Row],[Valor Prêmio Nespresso AAA por Kg (em US$)]]*60</f>
        <v>27.659960123255392</v>
      </c>
      <c r="AK1271" s="204">
        <f>Delivery[[#This Row],[Valor Prêmio Nespresso AAA por saca (em US$)]]/1.3228/100</f>
        <v>0.20910160359279853</v>
      </c>
      <c r="AL1271" s="204">
        <f>(Delivery[[#This Row],[BEN premium (total)]]/SUMIF(Allocation!C:C,Delivery[Delivery ID],Allocation!H:H))/Delivery[[#This Row],[Exchange rate for premiums VS USD]]</f>
        <v>0</v>
      </c>
      <c r="AM1271" s="204">
        <f>Delivery[[#This Row],[Valor Prêmio Nespresso BEN por Kg (em US$)]]*60</f>
        <v>0</v>
      </c>
      <c r="AN1271" s="204">
        <f>Delivery[[#This Row],[Valor Prêmio Nespresso BEN por saca (em US$)]]/1.3228/100</f>
        <v>0</v>
      </c>
      <c r="AO1271" s="204">
        <f>SUMIF(Allocation[Delivery ID],Delivery[[#This Row],[Delivery ID]],Allocation[Quantity allocated])*16*1.3228*Delivery[[#This Row],[Exchange rate VS USD]]/60</f>
        <v>21789.157049567999</v>
      </c>
      <c r="AP1271" s="204">
        <f>Delivery[[#This Row],[AAA Premium (total)]]</f>
        <v>28475.922999999999</v>
      </c>
      <c r="AQ1271" s="204">
        <f>Delivery[[#This Row],[Valor pago pelo Cluster]]-Delivery[[#This Row],[Valor efetivamente pago pela Nespresso]]</f>
        <v>6686.765950432</v>
      </c>
    </row>
    <row r="1272" spans="1:43" ht="15.75">
      <c r="A1272" s="174" t="s">
        <v>69</v>
      </c>
      <c r="B1272" s="232" t="s">
        <v>68</v>
      </c>
      <c r="C1272" s="157">
        <v>1</v>
      </c>
      <c r="D1272" s="157" t="s">
        <v>468</v>
      </c>
      <c r="E1272" s="177" t="s">
        <v>468</v>
      </c>
      <c r="F1272" s="233" t="s">
        <v>543</v>
      </c>
      <c r="G1272" s="234">
        <v>43509</v>
      </c>
      <c r="H1272" s="235" t="s">
        <v>2204</v>
      </c>
      <c r="I1272" s="236" t="s">
        <v>1147</v>
      </c>
      <c r="J1272" s="237">
        <v>30603.5</v>
      </c>
      <c r="K1272" s="175" t="s">
        <v>61</v>
      </c>
      <c r="L1272" s="175" t="s">
        <v>439</v>
      </c>
      <c r="M1272" s="175" t="s">
        <v>1343</v>
      </c>
      <c r="N1272" s="198"/>
      <c r="O1272" s="199"/>
      <c r="P1272" s="181">
        <v>0</v>
      </c>
      <c r="Q1272" s="177">
        <v>43504</v>
      </c>
      <c r="R1272" s="178">
        <v>397.46865000000003</v>
      </c>
      <c r="S1272" s="179">
        <v>212391.23</v>
      </c>
      <c r="T1272" s="182" t="s">
        <v>45</v>
      </c>
      <c r="U1272" s="183">
        <v>3.7321</v>
      </c>
      <c r="V1272" s="179">
        <v>28553.830587500001</v>
      </c>
      <c r="W1272" s="179">
        <v>0</v>
      </c>
      <c r="X1272" s="196" t="s">
        <v>45</v>
      </c>
      <c r="Y1272" s="200">
        <v>3.7321</v>
      </c>
      <c r="Z1272" s="220"/>
      <c r="AA1272" s="201">
        <f>Delivery[[#This Row],[Quantity delivered]]*VLOOKUP(Delivery[[#This Row],[Unit]],References!$U:$X,4,FALSE)*VLOOKUP(CONCATENATE(Delivery[[#This Row],[Coffee specie]],Delivery[[#This Row],[Coffee state]]),References!$U:$X,4,FALSE)</f>
        <v>30603.5</v>
      </c>
      <c r="AB1272" s="202">
        <f>SUMIF(Allocation!C:C,Delivery[[#This Row],[Delivery ID]],Allocation!D:D)/Delivery[[#This Row],[Quantity delivered]]</f>
        <v>0.86097995327331844</v>
      </c>
      <c r="AC1272" s="203">
        <f>Delivery[[#This Row],[Quantity delivered]]*Delivery[[#This Row],[Base price (Unidad)]]/60</f>
        <v>202732.19717125001</v>
      </c>
      <c r="AD1272" s="204">
        <f>Delivery[[#This Row],[Nespresso total]]-Delivery[[#This Row],[Qt. Delivery * Base Price]]</f>
        <v>9659.0328287500015</v>
      </c>
      <c r="AE1272" s="204">
        <f>Delivery[[#This Row],[AAA Premium (total)]]/Delivery[[#This Row],[Quantity delivered]]*60/Delivery[[#This Row],[Exchange rate VS USD]]</f>
        <v>15</v>
      </c>
      <c r="AF1272" s="204">
        <f>Delivery[[#This Row],[BEN premium (total)]]/Delivery[[#This Row],[Quantity delivered]]*60/Delivery[[#This Row],[Exchange rate for premiums VS USD]]</f>
        <v>0</v>
      </c>
      <c r="AG1272" s="204">
        <f>COUNTIF(Delivery[Delivery ID],Delivery[[#This Row],[Delivery ID]])</f>
        <v>1</v>
      </c>
      <c r="AH1272" s="204">
        <f>(Delivery[[#This Row],[Nespresso total]]/SUMIF(Allocation!C:C,Delivery[Delivery ID],Allocation!H:H))/Delivery[[#This Row],[Exchange rate VS USD]]</f>
        <v>3.4282715923042137</v>
      </c>
      <c r="AI1272" s="204">
        <f>(Delivery[[#This Row],[AAA Premium (total)]]/SUMIF(Allocation!C:C,Delivery[Delivery ID],Allocation!H:H))/Delivery[[#This Row],[Exchange rate VS USD]]</f>
        <v>0.46089608433734941</v>
      </c>
      <c r="AJ1272" s="204">
        <f>Delivery[[#This Row],[Valor Prêmio Nespresso AAA por Kg (em US$)]]*60</f>
        <v>27.653765060240964</v>
      </c>
      <c r="AK1272" s="204">
        <f>Delivery[[#This Row],[Valor Prêmio Nespresso AAA por saca (em US$)]]/1.3228/100</f>
        <v>0.20905477063986214</v>
      </c>
      <c r="AL1272" s="204">
        <f>(Delivery[[#This Row],[BEN premium (total)]]/SUMIF(Allocation!C:C,Delivery[Delivery ID],Allocation!H:H))/Delivery[[#This Row],[Exchange rate for premiums VS USD]]</f>
        <v>0</v>
      </c>
      <c r="AM1272" s="204">
        <f>Delivery[[#This Row],[Valor Prêmio Nespresso BEN por Kg (em US$)]]*60</f>
        <v>0</v>
      </c>
      <c r="AN1272" s="204">
        <f>Delivery[[#This Row],[Valor Prêmio Nespresso BEN por saca (em US$)]]/1.3228/100</f>
        <v>0</v>
      </c>
      <c r="AO1272" s="204">
        <f>SUMIF(Allocation[Delivery ID],Delivery[[#This Row],[Delivery ID]],Allocation[Quantity allocated])*16*1.3228*Delivery[[#This Row],[Exchange rate VS USD]]/60</f>
        <v>21853.664855466668</v>
      </c>
      <c r="AP1272" s="204">
        <f>Delivery[[#This Row],[AAA Premium (total)]]</f>
        <v>28553.830587500001</v>
      </c>
      <c r="AQ1272" s="204">
        <f>Delivery[[#This Row],[Valor pago pelo Cluster]]-Delivery[[#This Row],[Valor efetivamente pago pela Nespresso]]</f>
        <v>6700.1657320333325</v>
      </c>
    </row>
    <row r="1273" spans="1:43" ht="15.75">
      <c r="A1273" s="174" t="s">
        <v>69</v>
      </c>
      <c r="B1273" s="232" t="s">
        <v>68</v>
      </c>
      <c r="C1273" s="157">
        <v>1</v>
      </c>
      <c r="D1273" s="157" t="s">
        <v>468</v>
      </c>
      <c r="E1273" s="177" t="s">
        <v>468</v>
      </c>
      <c r="F1273" s="233" t="s">
        <v>543</v>
      </c>
      <c r="G1273" s="234">
        <v>43509</v>
      </c>
      <c r="H1273" s="235" t="s">
        <v>2205</v>
      </c>
      <c r="I1273" s="236" t="s">
        <v>1147</v>
      </c>
      <c r="J1273" s="237">
        <v>30520</v>
      </c>
      <c r="K1273" s="175" t="s">
        <v>61</v>
      </c>
      <c r="L1273" s="175" t="s">
        <v>439</v>
      </c>
      <c r="M1273" s="175" t="s">
        <v>1343</v>
      </c>
      <c r="N1273" s="198"/>
      <c r="O1273" s="199"/>
      <c r="P1273" s="181">
        <v>0</v>
      </c>
      <c r="Q1273" s="177">
        <v>43504</v>
      </c>
      <c r="R1273" s="178">
        <v>397.46865000000003</v>
      </c>
      <c r="S1273" s="179">
        <v>207009</v>
      </c>
      <c r="T1273" s="182" t="s">
        <v>45</v>
      </c>
      <c r="U1273" s="183">
        <v>3.7321</v>
      </c>
      <c r="V1273" s="179">
        <v>28475.922999999999</v>
      </c>
      <c r="W1273" s="179">
        <v>0</v>
      </c>
      <c r="X1273" s="196" t="s">
        <v>45</v>
      </c>
      <c r="Y1273" s="200">
        <v>3.7321</v>
      </c>
      <c r="Z1273" s="220"/>
      <c r="AA1273" s="201">
        <f>Delivery[[#This Row],[Quantity delivered]]*VLOOKUP(Delivery[[#This Row],[Unit]],References!$U:$X,4,FALSE)*VLOOKUP(CONCATENATE(Delivery[[#This Row],[Coffee specie]],Delivery[[#This Row],[Coffee state]]),References!$U:$X,4,FALSE)</f>
        <v>30520</v>
      </c>
      <c r="AB1273" s="202">
        <f>SUMIF(Allocation!C:C,Delivery[[#This Row],[Delivery ID]],Allocation!D:D)/Delivery[[#This Row],[Quantity delivered]]</f>
        <v>0.86077981651376145</v>
      </c>
      <c r="AC1273" s="203">
        <f>Delivery[[#This Row],[Quantity delivered]]*Delivery[[#This Row],[Base price (Unidad)]]/60</f>
        <v>202179.0533</v>
      </c>
      <c r="AD1273" s="204">
        <f>Delivery[[#This Row],[Nespresso total]]-Delivery[[#This Row],[Qt. Delivery * Base Price]]</f>
        <v>4829.9467000000004</v>
      </c>
      <c r="AE1273" s="204">
        <f>Delivery[[#This Row],[AAA Premium (total)]]/Delivery[[#This Row],[Quantity delivered]]*60/Delivery[[#This Row],[Exchange rate VS USD]]</f>
        <v>15</v>
      </c>
      <c r="AF1273" s="204">
        <f>Delivery[[#This Row],[BEN premium (total)]]/Delivery[[#This Row],[Quantity delivered]]*60/Delivery[[#This Row],[Exchange rate for premiums VS USD]]</f>
        <v>0</v>
      </c>
      <c r="AG1273" s="204">
        <f>COUNTIF(Delivery[Delivery ID],Delivery[[#This Row],[Delivery ID]])</f>
        <v>1</v>
      </c>
      <c r="AH1273" s="204">
        <f>(Delivery[[#This Row],[Nespresso total]]/SUMIF(Allocation!C:C,Delivery[Delivery ID],Allocation!H:H))/Delivery[[#This Row],[Exchange rate VS USD]]</f>
        <v>3.3512877324204586</v>
      </c>
      <c r="AI1273" s="204">
        <f>(Delivery[[#This Row],[AAA Premium (total)]]/SUMIF(Allocation!C:C,Delivery[Delivery ID],Allocation!H:H))/Delivery[[#This Row],[Exchange rate VS USD]]</f>
        <v>0.46099933538758986</v>
      </c>
      <c r="AJ1273" s="204">
        <f>Delivery[[#This Row],[Valor Prêmio Nespresso AAA por Kg (em US$)]]*60</f>
        <v>27.659960123255392</v>
      </c>
      <c r="AK1273" s="204">
        <f>Delivery[[#This Row],[Valor Prêmio Nespresso AAA por saca (em US$)]]/1.3228/100</f>
        <v>0.20910160359279853</v>
      </c>
      <c r="AL1273" s="204">
        <f>(Delivery[[#This Row],[BEN premium (total)]]/SUMIF(Allocation!C:C,Delivery[Delivery ID],Allocation!H:H))/Delivery[[#This Row],[Exchange rate for premiums VS USD]]</f>
        <v>0</v>
      </c>
      <c r="AM1273" s="204">
        <f>Delivery[[#This Row],[Valor Prêmio Nespresso BEN por Kg (em US$)]]*60</f>
        <v>0</v>
      </c>
      <c r="AN1273" s="204">
        <f>Delivery[[#This Row],[Valor Prêmio Nespresso BEN por saca (em US$)]]/1.3228/100</f>
        <v>0</v>
      </c>
      <c r="AO1273" s="204">
        <f>SUMIF(Allocation[Delivery ID],Delivery[[#This Row],[Delivery ID]],Allocation[Quantity allocated])*16*1.3228*Delivery[[#This Row],[Exchange rate VS USD]]/60</f>
        <v>21789.157049567999</v>
      </c>
      <c r="AP1273" s="204">
        <f>Delivery[[#This Row],[AAA Premium (total)]]</f>
        <v>28475.922999999999</v>
      </c>
      <c r="AQ1273" s="204">
        <f>Delivery[[#This Row],[Valor pago pelo Cluster]]-Delivery[[#This Row],[Valor efetivamente pago pela Nespresso]]</f>
        <v>6686.765950432</v>
      </c>
    </row>
    <row r="1274" spans="1:43" ht="15.75">
      <c r="A1274" s="174" t="s">
        <v>69</v>
      </c>
      <c r="B1274" s="232" t="s">
        <v>68</v>
      </c>
      <c r="C1274" s="157">
        <v>1</v>
      </c>
      <c r="D1274" s="157" t="s">
        <v>468</v>
      </c>
      <c r="E1274" s="177" t="s">
        <v>468</v>
      </c>
      <c r="F1274" s="233" t="s">
        <v>543</v>
      </c>
      <c r="G1274" s="234">
        <v>43508</v>
      </c>
      <c r="H1274" s="235" t="s">
        <v>2206</v>
      </c>
      <c r="I1274" s="236" t="s">
        <v>1147</v>
      </c>
      <c r="J1274" s="237">
        <v>30130</v>
      </c>
      <c r="K1274" s="175" t="s">
        <v>61</v>
      </c>
      <c r="L1274" s="175" t="s">
        <v>439</v>
      </c>
      <c r="M1274" s="175" t="s">
        <v>1343</v>
      </c>
      <c r="N1274" s="198"/>
      <c r="O1274" s="199"/>
      <c r="P1274" s="181">
        <v>0</v>
      </c>
      <c r="Q1274" s="177">
        <v>43504</v>
      </c>
      <c r="R1274" s="178">
        <v>397.46865000000003</v>
      </c>
      <c r="S1274" s="179">
        <v>207009</v>
      </c>
      <c r="T1274" s="182" t="s">
        <v>45</v>
      </c>
      <c r="U1274" s="183">
        <v>3.7321</v>
      </c>
      <c r="V1274" s="179">
        <v>27990</v>
      </c>
      <c r="W1274" s="179">
        <v>0</v>
      </c>
      <c r="X1274" s="196" t="s">
        <v>45</v>
      </c>
      <c r="Y1274" s="200">
        <v>3.7321</v>
      </c>
      <c r="Z1274" s="220"/>
      <c r="AA1274" s="201">
        <f>Delivery[[#This Row],[Quantity delivered]]*VLOOKUP(Delivery[[#This Row],[Unit]],References!$U:$X,4,FALSE)*VLOOKUP(CONCATENATE(Delivery[[#This Row],[Coffee specie]],Delivery[[#This Row],[Coffee state]]),References!$U:$X,4,FALSE)</f>
        <v>30130</v>
      </c>
      <c r="AB1274" s="202">
        <f>SUMIF(Allocation!C:C,Delivery[[#This Row],[Delivery ID]],Allocation!D:D)/Delivery[[#This Row],[Quantity delivered]]</f>
        <v>0.86086956521739133</v>
      </c>
      <c r="AC1274" s="203">
        <f>Delivery[[#This Row],[Quantity delivered]]*Delivery[[#This Row],[Base price (Unidad)]]/60</f>
        <v>199595.50707500003</v>
      </c>
      <c r="AD1274" s="204">
        <f>Delivery[[#This Row],[Nespresso total]]-Delivery[[#This Row],[Qt. Delivery * Base Price]]</f>
        <v>7413.4929249999695</v>
      </c>
      <c r="AE1274" s="204">
        <f>Delivery[[#This Row],[AAA Premium (total)]]/Delivery[[#This Row],[Quantity delivered]]*60/Delivery[[#This Row],[Exchange rate VS USD]]</f>
        <v>14.934880267018656</v>
      </c>
      <c r="AF1274" s="204">
        <f>Delivery[[#This Row],[BEN premium (total)]]/Delivery[[#This Row],[Quantity delivered]]*60/Delivery[[#This Row],[Exchange rate for premiums VS USD]]</f>
        <v>0</v>
      </c>
      <c r="AG1274" s="204">
        <f>COUNTIF(Delivery[Delivery ID],Delivery[[#This Row],[Delivery ID]])</f>
        <v>1</v>
      </c>
      <c r="AH1274" s="204">
        <f>(Delivery[[#This Row],[Nespresso total]]/SUMIF(Allocation!C:C,Delivery[Delivery ID],Allocation!H:H))/Delivery[[#This Row],[Exchange rate VS USD]]</f>
        <v>3.3943555020678668</v>
      </c>
      <c r="AI1274" s="204">
        <f>(Delivery[[#This Row],[AAA Premium (total)]]/SUMIF(Allocation!C:C,Delivery[Delivery ID],Allocation!H:H))/Delivery[[#This Row],[Exchange rate VS USD]]</f>
        <v>0.45895594154302277</v>
      </c>
      <c r="AJ1274" s="204">
        <f>Delivery[[#This Row],[Valor Prêmio Nespresso AAA por Kg (em US$)]]*60</f>
        <v>27.537356492581367</v>
      </c>
      <c r="AK1274" s="204">
        <f>Delivery[[#This Row],[Valor Prêmio Nespresso AAA por saca (em US$)]]/1.3228/100</f>
        <v>0.20817475425295864</v>
      </c>
      <c r="AL1274" s="204">
        <f>(Delivery[[#This Row],[BEN premium (total)]]/SUMIF(Allocation!C:C,Delivery[Delivery ID],Allocation!H:H))/Delivery[[#This Row],[Exchange rate for premiums VS USD]]</f>
        <v>0</v>
      </c>
      <c r="AM1274" s="204">
        <f>Delivery[[#This Row],[Valor Prêmio Nespresso BEN por Kg (em US$)]]*60</f>
        <v>0</v>
      </c>
      <c r="AN1274" s="204">
        <f>Delivery[[#This Row],[Valor Prêmio Nespresso BEN por saca (em US$)]]/1.3228/100</f>
        <v>0</v>
      </c>
      <c r="AO1274" s="204">
        <f>SUMIF(Allocation[Delivery ID],Delivery[[#This Row],[Delivery ID]],Allocation[Quantity allocated])*16*1.3228*Delivery[[#This Row],[Exchange rate VS USD]]/60</f>
        <v>21512.695024288001</v>
      </c>
      <c r="AP1274" s="204">
        <f>Delivery[[#This Row],[AAA Premium (total)]]</f>
        <v>27990</v>
      </c>
      <c r="AQ1274" s="204">
        <f>Delivery[[#This Row],[Valor pago pelo Cluster]]-Delivery[[#This Row],[Valor efetivamente pago pela Nespresso]]</f>
        <v>6477.3049757119988</v>
      </c>
    </row>
    <row r="1275" spans="1:43" ht="15.75">
      <c r="A1275" s="174" t="s">
        <v>69</v>
      </c>
      <c r="B1275" s="232" t="s">
        <v>68</v>
      </c>
      <c r="C1275" s="157">
        <v>1</v>
      </c>
      <c r="D1275" s="157" t="s">
        <v>468</v>
      </c>
      <c r="E1275" s="177" t="s">
        <v>468</v>
      </c>
      <c r="F1275" s="233" t="s">
        <v>543</v>
      </c>
      <c r="G1275" s="234">
        <v>43508</v>
      </c>
      <c r="H1275" s="235" t="s">
        <v>2207</v>
      </c>
      <c r="I1275" s="236" t="s">
        <v>1147</v>
      </c>
      <c r="J1275" s="237">
        <v>30140</v>
      </c>
      <c r="K1275" s="175" t="s">
        <v>61</v>
      </c>
      <c r="L1275" s="175" t="s">
        <v>439</v>
      </c>
      <c r="M1275" s="175" t="s">
        <v>1343</v>
      </c>
      <c r="N1275" s="198"/>
      <c r="O1275" s="199"/>
      <c r="P1275" s="181">
        <v>0</v>
      </c>
      <c r="Q1275" s="177">
        <v>43504</v>
      </c>
      <c r="R1275" s="178">
        <v>397.46865000000003</v>
      </c>
      <c r="S1275" s="179">
        <v>207009</v>
      </c>
      <c r="T1275" s="182" t="s">
        <v>45</v>
      </c>
      <c r="U1275" s="183">
        <v>3.7321</v>
      </c>
      <c r="V1275" s="179">
        <v>27990</v>
      </c>
      <c r="W1275" s="179">
        <v>0</v>
      </c>
      <c r="X1275" s="196" t="s">
        <v>45</v>
      </c>
      <c r="Y1275" s="200">
        <v>3.7321</v>
      </c>
      <c r="Z1275" s="220"/>
      <c r="AA1275" s="201">
        <f>Delivery[[#This Row],[Quantity delivered]]*VLOOKUP(Delivery[[#This Row],[Unit]],References!$U:$X,4,FALSE)*VLOOKUP(CONCATENATE(Delivery[[#This Row],[Coffee specie]],Delivery[[#This Row],[Coffee state]]),References!$U:$X,4,FALSE)</f>
        <v>30140</v>
      </c>
      <c r="AB1275" s="202">
        <f>SUMIF(Allocation!C:C,Delivery[[#This Row],[Delivery ID]],Allocation!D:D)/Delivery[[#This Row],[Quantity delivered]]</f>
        <v>0.86074983410749839</v>
      </c>
      <c r="AC1275" s="203">
        <f>Delivery[[#This Row],[Quantity delivered]]*Delivery[[#This Row],[Base price (Unidad)]]/60</f>
        <v>199661.75185000003</v>
      </c>
      <c r="AD1275" s="204">
        <f>Delivery[[#This Row],[Nespresso total]]-Delivery[[#This Row],[Qt. Delivery * Base Price]]</f>
        <v>7347.2481499999703</v>
      </c>
      <c r="AE1275" s="204">
        <f>Delivery[[#This Row],[AAA Premium (total)]]/Delivery[[#This Row],[Quantity delivered]]*60/Delivery[[#This Row],[Exchange rate VS USD]]</f>
        <v>14.929925097719712</v>
      </c>
      <c r="AF1275" s="204">
        <f>Delivery[[#This Row],[BEN premium (total)]]/Delivery[[#This Row],[Quantity delivered]]*60/Delivery[[#This Row],[Exchange rate for premiums VS USD]]</f>
        <v>0</v>
      </c>
      <c r="AG1275" s="204">
        <f>COUNTIF(Delivery[Delivery ID],Delivery[[#This Row],[Delivery ID]])</f>
        <v>1</v>
      </c>
      <c r="AH1275" s="204">
        <f>(Delivery[[#This Row],[Nespresso total]]/SUMIF(Allocation!C:C,Delivery[Delivery ID],Allocation!H:H))/Delivery[[#This Row],[Exchange rate VS USD]]</f>
        <v>3.3937324559037578</v>
      </c>
      <c r="AI1275" s="204">
        <f>(Delivery[[#This Row],[AAA Premium (total)]]/SUMIF(Allocation!C:C,Delivery[Delivery ID],Allocation!H:H))/Delivery[[#This Row],[Exchange rate VS USD]]</f>
        <v>0.45887169852878945</v>
      </c>
      <c r="AJ1275" s="204">
        <f>Delivery[[#This Row],[Valor Prêmio Nespresso AAA por Kg (em US$)]]*60</f>
        <v>27.532301911727366</v>
      </c>
      <c r="AK1275" s="204">
        <f>Delivery[[#This Row],[Valor Prêmio Nespresso AAA por saca (em US$)]]/1.3228/100</f>
        <v>0.20813654302787549</v>
      </c>
      <c r="AL1275" s="204">
        <f>(Delivery[[#This Row],[BEN premium (total)]]/SUMIF(Allocation!C:C,Delivery[Delivery ID],Allocation!H:H))/Delivery[[#This Row],[Exchange rate for premiums VS USD]]</f>
        <v>0</v>
      </c>
      <c r="AM1275" s="204">
        <f>Delivery[[#This Row],[Valor Prêmio Nespresso BEN por Kg (em US$)]]*60</f>
        <v>0</v>
      </c>
      <c r="AN1275" s="204">
        <f>Delivery[[#This Row],[Valor Prêmio Nespresso BEN por saca (em US$)]]/1.3228/100</f>
        <v>0</v>
      </c>
      <c r="AO1275" s="204">
        <f>SUMIF(Allocation[Delivery ID],Delivery[[#This Row],[Delivery ID]],Allocation[Quantity allocated])*16*1.3228*Delivery[[#This Row],[Exchange rate VS USD]]/60</f>
        <v>21516.644481791998</v>
      </c>
      <c r="AP1275" s="204">
        <f>Delivery[[#This Row],[AAA Premium (total)]]</f>
        <v>27990</v>
      </c>
      <c r="AQ1275" s="204">
        <f>Delivery[[#This Row],[Valor pago pelo Cluster]]-Delivery[[#This Row],[Valor efetivamente pago pela Nespresso]]</f>
        <v>6473.3555182080017</v>
      </c>
    </row>
    <row r="1276" spans="1:43" ht="15.75">
      <c r="A1276" s="174" t="s">
        <v>69</v>
      </c>
      <c r="B1276" s="232" t="s">
        <v>68</v>
      </c>
      <c r="C1276" s="157">
        <v>1</v>
      </c>
      <c r="D1276" s="157" t="s">
        <v>468</v>
      </c>
      <c r="E1276" s="177" t="s">
        <v>468</v>
      </c>
      <c r="F1276" s="233" t="s">
        <v>543</v>
      </c>
      <c r="G1276" s="234">
        <v>43508</v>
      </c>
      <c r="H1276" s="235" t="s">
        <v>2208</v>
      </c>
      <c r="I1276" s="236" t="s">
        <v>1147</v>
      </c>
      <c r="J1276" s="237">
        <v>29800</v>
      </c>
      <c r="K1276" s="175" t="s">
        <v>61</v>
      </c>
      <c r="L1276" s="175" t="s">
        <v>439</v>
      </c>
      <c r="M1276" s="175" t="s">
        <v>1343</v>
      </c>
      <c r="N1276" s="198"/>
      <c r="O1276" s="199"/>
      <c r="P1276" s="181">
        <v>0</v>
      </c>
      <c r="Q1276" s="177">
        <v>43504</v>
      </c>
      <c r="R1276" s="178">
        <v>397.46865000000003</v>
      </c>
      <c r="S1276" s="179">
        <v>207009</v>
      </c>
      <c r="T1276" s="182" t="s">
        <v>45</v>
      </c>
      <c r="U1276" s="183">
        <v>3.7321</v>
      </c>
      <c r="V1276" s="179">
        <v>27990</v>
      </c>
      <c r="W1276" s="179">
        <v>0</v>
      </c>
      <c r="X1276" s="196" t="s">
        <v>45</v>
      </c>
      <c r="Y1276" s="200">
        <v>3.7321</v>
      </c>
      <c r="Z1276" s="220"/>
      <c r="AA1276" s="201">
        <f>Delivery[[#This Row],[Quantity delivered]]*VLOOKUP(Delivery[[#This Row],[Unit]],References!$U:$X,4,FALSE)*VLOOKUP(CONCATENATE(Delivery[[#This Row],[Coffee specie]],Delivery[[#This Row],[Coffee state]]),References!$U:$X,4,FALSE)</f>
        <v>29800</v>
      </c>
      <c r="AB1276" s="202">
        <f>SUMIF(Allocation!C:C,Delivery[[#This Row],[Delivery ID]],Allocation!D:D)/Delivery[[#This Row],[Quantity delivered]]</f>
        <v>0.86067114093959729</v>
      </c>
      <c r="AC1276" s="203">
        <f>Delivery[[#This Row],[Quantity delivered]]*Delivery[[#This Row],[Base price (Unidad)]]/60</f>
        <v>197409.42950000003</v>
      </c>
      <c r="AD1276" s="204">
        <f>Delivery[[#This Row],[Nespresso total]]-Delivery[[#This Row],[Qt. Delivery * Base Price]]</f>
        <v>9599.5704999999725</v>
      </c>
      <c r="AE1276" s="204">
        <f>Delivery[[#This Row],[AAA Premium (total)]]/Delivery[[#This Row],[Quantity delivered]]*60/Delivery[[#This Row],[Exchange rate VS USD]]</f>
        <v>15.100266525009133</v>
      </c>
      <c r="AF1276" s="204">
        <f>Delivery[[#This Row],[BEN premium (total)]]/Delivery[[#This Row],[Quantity delivered]]*60/Delivery[[#This Row],[Exchange rate for premiums VS USD]]</f>
        <v>0</v>
      </c>
      <c r="AG1276" s="204">
        <f>COUNTIF(Delivery[Delivery ID],Delivery[[#This Row],[Delivery ID]])</f>
        <v>1</v>
      </c>
      <c r="AH1276" s="204">
        <f>(Delivery[[#This Row],[Nespresso total]]/SUMIF(Allocation!C:C,Delivery[Delivery ID],Allocation!H:H))/Delivery[[#This Row],[Exchange rate VS USD]]</f>
        <v>3.4327988154035785</v>
      </c>
      <c r="AI1276" s="204">
        <f>(Delivery[[#This Row],[AAA Premium (total)]]/SUMIF(Allocation!C:C,Delivery[Delivery ID],Allocation!H:H))/Delivery[[#This Row],[Exchange rate VS USD]]</f>
        <v>0.46415392008630618</v>
      </c>
      <c r="AJ1276" s="204">
        <f>Delivery[[#This Row],[Valor Prêmio Nespresso AAA por Kg (em US$)]]*60</f>
        <v>27.84923520517837</v>
      </c>
      <c r="AK1276" s="204">
        <f>Delivery[[#This Row],[Valor Prêmio Nespresso AAA por saca (em US$)]]/1.3228/100</f>
        <v>0.21053247055623203</v>
      </c>
      <c r="AL1276" s="204">
        <f>(Delivery[[#This Row],[BEN premium (total)]]/SUMIF(Allocation!C:C,Delivery[Delivery ID],Allocation!H:H))/Delivery[[#This Row],[Exchange rate for premiums VS USD]]</f>
        <v>0</v>
      </c>
      <c r="AM1276" s="204">
        <f>Delivery[[#This Row],[Valor Prêmio Nespresso BEN por Kg (em US$)]]*60</f>
        <v>0</v>
      </c>
      <c r="AN1276" s="204">
        <f>Delivery[[#This Row],[Valor Prêmio Nespresso BEN por saca (em US$)]]/1.3228/100</f>
        <v>0</v>
      </c>
      <c r="AO1276" s="204">
        <f>SUMIF(Allocation[Delivery ID],Delivery[[#This Row],[Delivery ID]],Allocation[Quantity allocated])*16*1.3228*Delivery[[#This Row],[Exchange rate VS USD]]/60</f>
        <v>21271.778116543999</v>
      </c>
      <c r="AP1276" s="204">
        <f>Delivery[[#This Row],[AAA Premium (total)]]</f>
        <v>27990</v>
      </c>
      <c r="AQ1276" s="204">
        <f>Delivery[[#This Row],[Valor pago pelo Cluster]]-Delivery[[#This Row],[Valor efetivamente pago pela Nespresso]]</f>
        <v>6718.2218834560008</v>
      </c>
    </row>
    <row r="1277" spans="1:43" ht="15.75">
      <c r="A1277" s="174" t="s">
        <v>69</v>
      </c>
      <c r="B1277" s="232" t="s">
        <v>68</v>
      </c>
      <c r="C1277" s="157">
        <v>1</v>
      </c>
      <c r="D1277" s="157" t="s">
        <v>468</v>
      </c>
      <c r="E1277" s="177" t="s">
        <v>468</v>
      </c>
      <c r="F1277" s="233" t="s">
        <v>543</v>
      </c>
      <c r="G1277" s="234">
        <v>43508</v>
      </c>
      <c r="H1277" s="235" t="s">
        <v>2209</v>
      </c>
      <c r="I1277" s="236" t="s">
        <v>1147</v>
      </c>
      <c r="J1277" s="237">
        <v>30090</v>
      </c>
      <c r="K1277" s="175" t="s">
        <v>61</v>
      </c>
      <c r="L1277" s="175" t="s">
        <v>439</v>
      </c>
      <c r="M1277" s="175" t="s">
        <v>1343</v>
      </c>
      <c r="N1277" s="198"/>
      <c r="O1277" s="199"/>
      <c r="P1277" s="181">
        <v>0</v>
      </c>
      <c r="Q1277" s="177">
        <v>43504</v>
      </c>
      <c r="R1277" s="178">
        <v>397.46865000000003</v>
      </c>
      <c r="S1277" s="179">
        <v>207009</v>
      </c>
      <c r="T1277" s="182" t="s">
        <v>45</v>
      </c>
      <c r="U1277" s="183">
        <v>3.7321</v>
      </c>
      <c r="V1277" s="179">
        <v>27990</v>
      </c>
      <c r="W1277" s="179">
        <v>0</v>
      </c>
      <c r="X1277" s="196" t="s">
        <v>45</v>
      </c>
      <c r="Y1277" s="200">
        <v>3.7321</v>
      </c>
      <c r="Z1277" s="220"/>
      <c r="AA1277" s="201">
        <f>Delivery[[#This Row],[Quantity delivered]]*VLOOKUP(Delivery[[#This Row],[Unit]],References!$U:$X,4,FALSE)*VLOOKUP(CONCATENATE(Delivery[[#This Row],[Coffee specie]],Delivery[[#This Row],[Coffee state]]),References!$U:$X,4,FALSE)</f>
        <v>30090</v>
      </c>
      <c r="AB1277" s="202">
        <f>SUMIF(Allocation!C:C,Delivery[[#This Row],[Delivery ID]],Allocation!D:D)/Delivery[[#This Row],[Quantity delivered]]</f>
        <v>0.86925888999667666</v>
      </c>
      <c r="AC1277" s="203">
        <f>Delivery[[#This Row],[Quantity delivered]]*Delivery[[#This Row],[Base price (Unidad)]]/60</f>
        <v>199330.527975</v>
      </c>
      <c r="AD1277" s="204">
        <f>Delivery[[#This Row],[Nespresso total]]-Delivery[[#This Row],[Qt. Delivery * Base Price]]</f>
        <v>7678.4720249999955</v>
      </c>
      <c r="AE1277" s="204">
        <f>Delivery[[#This Row],[AAA Premium (total)]]/Delivery[[#This Row],[Quantity delivered]]*60/Delivery[[#This Row],[Exchange rate VS USD]]</f>
        <v>14.954733879869462</v>
      </c>
      <c r="AF1277" s="204">
        <f>Delivery[[#This Row],[BEN premium (total)]]/Delivery[[#This Row],[Quantity delivered]]*60/Delivery[[#This Row],[Exchange rate for premiums VS USD]]</f>
        <v>0</v>
      </c>
      <c r="AG1277" s="204">
        <f>COUNTIF(Delivery[Delivery ID],Delivery[[#This Row],[Delivery ID]])</f>
        <v>1</v>
      </c>
      <c r="AH1277" s="204">
        <f>(Delivery[[#This Row],[Nespresso total]]/SUMIF(Allocation!C:C,Delivery[Delivery ID],Allocation!H:H))/Delivery[[#This Row],[Exchange rate VS USD]]</f>
        <v>3.366134437388701</v>
      </c>
      <c r="AI1277" s="204">
        <f>(Delivery[[#This Row],[AAA Premium (total)]]/SUMIF(Allocation!C:C,Delivery[Delivery ID],Allocation!H:H))/Delivery[[#This Row],[Exchange rate VS USD]]</f>
        <v>0.45514012870218079</v>
      </c>
      <c r="AJ1277" s="204">
        <f>Delivery[[#This Row],[Valor Prêmio Nespresso AAA por Kg (em US$)]]*60</f>
        <v>27.308407722130848</v>
      </c>
      <c r="AK1277" s="204">
        <f>Delivery[[#This Row],[Valor Prêmio Nespresso AAA por saca (em US$)]]/1.3228/100</f>
        <v>0.20644396524138833</v>
      </c>
      <c r="AL1277" s="204">
        <f>(Delivery[[#This Row],[BEN premium (total)]]/SUMIF(Allocation!C:C,Delivery[Delivery ID],Allocation!H:H))/Delivery[[#This Row],[Exchange rate for premiums VS USD]]</f>
        <v>0</v>
      </c>
      <c r="AM1277" s="204">
        <f>Delivery[[#This Row],[Valor Prêmio Nespresso BEN por Kg (em US$)]]*60</f>
        <v>0</v>
      </c>
      <c r="AN1277" s="204">
        <f>Delivery[[#This Row],[Valor Prêmio Nespresso BEN por saca (em US$)]]/1.3228/100</f>
        <v>0</v>
      </c>
      <c r="AO1277" s="204">
        <f>SUMIF(Allocation[Delivery ID],Delivery[[#This Row],[Delivery ID]],Allocation[Quantity allocated])*16*1.3228*Delivery[[#This Row],[Exchange rate VS USD]]/60</f>
        <v>21693.053583637335</v>
      </c>
      <c r="AP1277" s="204">
        <f>Delivery[[#This Row],[AAA Premium (total)]]</f>
        <v>27990</v>
      </c>
      <c r="AQ1277" s="204">
        <f>Delivery[[#This Row],[Valor pago pelo Cluster]]-Delivery[[#This Row],[Valor efetivamente pago pela Nespresso]]</f>
        <v>6296.9464163626653</v>
      </c>
    </row>
    <row r="1278" spans="1:43" ht="15.75">
      <c r="A1278" s="174" t="s">
        <v>69</v>
      </c>
      <c r="B1278" s="232" t="s">
        <v>68</v>
      </c>
      <c r="C1278" s="157">
        <v>1</v>
      </c>
      <c r="D1278" s="157" t="s">
        <v>468</v>
      </c>
      <c r="E1278" s="177" t="s">
        <v>468</v>
      </c>
      <c r="F1278" s="233" t="s">
        <v>543</v>
      </c>
      <c r="G1278" s="234">
        <v>43508</v>
      </c>
      <c r="H1278" s="235" t="s">
        <v>2210</v>
      </c>
      <c r="I1278" s="236" t="s">
        <v>1147</v>
      </c>
      <c r="J1278" s="237">
        <v>24509</v>
      </c>
      <c r="K1278" s="175" t="s">
        <v>61</v>
      </c>
      <c r="L1278" s="175" t="s">
        <v>439</v>
      </c>
      <c r="M1278" s="175" t="s">
        <v>1343</v>
      </c>
      <c r="N1278" s="198"/>
      <c r="O1278" s="199"/>
      <c r="P1278" s="181">
        <v>0</v>
      </c>
      <c r="Q1278" s="177">
        <v>43504</v>
      </c>
      <c r="R1278" s="178">
        <v>397.46865000000003</v>
      </c>
      <c r="S1278" s="179">
        <v>169120.26966666666</v>
      </c>
      <c r="T1278" s="182" t="s">
        <v>45</v>
      </c>
      <c r="U1278" s="183">
        <v>3.7321</v>
      </c>
      <c r="V1278" s="179">
        <v>22867.509725</v>
      </c>
      <c r="W1278" s="179">
        <v>0</v>
      </c>
      <c r="X1278" s="196" t="s">
        <v>45</v>
      </c>
      <c r="Y1278" s="200">
        <v>3.7321</v>
      </c>
      <c r="Z1278" s="220"/>
      <c r="AA1278" s="201">
        <f>Delivery[[#This Row],[Quantity delivered]]*VLOOKUP(Delivery[[#This Row],[Unit]],References!$U:$X,4,FALSE)*VLOOKUP(CONCATENATE(Delivery[[#This Row],[Coffee specie]],Delivery[[#This Row],[Coffee state]]),References!$U:$X,4,FALSE)</f>
        <v>24509</v>
      </c>
      <c r="AB1278" s="202">
        <f>SUMIF(Allocation!C:C,Delivery[[#This Row],[Delivery ID]],Allocation!D:D)/Delivery[[#This Row],[Quantity delivered]]</f>
        <v>0.85858256150801748</v>
      </c>
      <c r="AC1278" s="203">
        <f>Delivery[[#This Row],[Quantity delivered]]*Delivery[[#This Row],[Base price (Unidad)]]/60</f>
        <v>162359.3190475</v>
      </c>
      <c r="AD1278" s="204">
        <f>Delivery[[#This Row],[Nespresso total]]-Delivery[[#This Row],[Qt. Delivery * Base Price]]</f>
        <v>6760.9506191666587</v>
      </c>
      <c r="AE1278" s="204">
        <f>Delivery[[#This Row],[AAA Premium (total)]]/Delivery[[#This Row],[Quantity delivered]]*60/Delivery[[#This Row],[Exchange rate VS USD]]</f>
        <v>15</v>
      </c>
      <c r="AF1278" s="204">
        <f>Delivery[[#This Row],[BEN premium (total)]]/Delivery[[#This Row],[Quantity delivered]]*60/Delivery[[#This Row],[Exchange rate for premiums VS USD]]</f>
        <v>0</v>
      </c>
      <c r="AG1278" s="204">
        <f>COUNTIF(Delivery[Delivery ID],Delivery[[#This Row],[Delivery ID]])</f>
        <v>1</v>
      </c>
      <c r="AH1278" s="204">
        <f>(Delivery[[#This Row],[Nespresso total]]/SUMIF(Allocation!C:C,Delivery[Delivery ID],Allocation!H:H))/Delivery[[#This Row],[Exchange rate VS USD]]</f>
        <v>3.418197358382137</v>
      </c>
      <c r="AI1278" s="204">
        <f>(Delivery[[#This Row],[AAA Premium (total)]]/SUMIF(Allocation!C:C,Delivery[Delivery ID],Allocation!H:H))/Delivery[[#This Row],[Exchange rate VS USD]]</f>
        <v>0.46218978652787207</v>
      </c>
      <c r="AJ1278" s="204">
        <f>Delivery[[#This Row],[Valor Prêmio Nespresso AAA por Kg (em US$)]]*60</f>
        <v>27.731387191672326</v>
      </c>
      <c r="AK1278" s="204">
        <f>Delivery[[#This Row],[Valor Prêmio Nespresso AAA por saca (em US$)]]/1.3228/100</f>
        <v>0.20964157235917999</v>
      </c>
      <c r="AL1278" s="204">
        <f>(Delivery[[#This Row],[BEN premium (total)]]/SUMIF(Allocation!C:C,Delivery[Delivery ID],Allocation!H:H))/Delivery[[#This Row],[Exchange rate for premiums VS USD]]</f>
        <v>0</v>
      </c>
      <c r="AM1278" s="204">
        <f>Delivery[[#This Row],[Valor Prêmio Nespresso BEN por Kg (em US$)]]*60</f>
        <v>0</v>
      </c>
      <c r="AN1278" s="204">
        <f>Delivery[[#This Row],[Valor Prêmio Nespresso BEN por saca (em US$)]]/1.3228/100</f>
        <v>0</v>
      </c>
      <c r="AO1278" s="204">
        <f>SUMIF(Allocation[Delivery ID],Delivery[[#This Row],[Delivery ID]],Allocation[Quantity allocated])*16*1.3228*Delivery[[#This Row],[Exchange rate VS USD]]/60</f>
        <v>17452.652710176</v>
      </c>
      <c r="AP1278" s="204">
        <f>Delivery[[#This Row],[AAA Premium (total)]]</f>
        <v>22867.509725</v>
      </c>
      <c r="AQ1278" s="204">
        <f>Delivery[[#This Row],[Valor pago pelo Cluster]]-Delivery[[#This Row],[Valor efetivamente pago pela Nespresso]]</f>
        <v>5414.8570148239996</v>
      </c>
    </row>
    <row r="1279" spans="1:43" ht="15.75">
      <c r="A1279" s="174" t="s">
        <v>69</v>
      </c>
      <c r="B1279" s="232" t="s">
        <v>68</v>
      </c>
      <c r="C1279" s="157">
        <v>1</v>
      </c>
      <c r="D1279" s="157" t="s">
        <v>468</v>
      </c>
      <c r="E1279" s="177" t="s">
        <v>468</v>
      </c>
      <c r="F1279" s="233" t="s">
        <v>543</v>
      </c>
      <c r="G1279" s="234">
        <v>43508</v>
      </c>
      <c r="H1279" s="235" t="s">
        <v>2211</v>
      </c>
      <c r="I1279" s="236" t="s">
        <v>1147</v>
      </c>
      <c r="J1279" s="237">
        <v>6051</v>
      </c>
      <c r="K1279" s="175" t="s">
        <v>61</v>
      </c>
      <c r="L1279" s="175" t="s">
        <v>439</v>
      </c>
      <c r="M1279" s="175" t="s">
        <v>1343</v>
      </c>
      <c r="N1279" s="198"/>
      <c r="O1279" s="199"/>
      <c r="P1279" s="181">
        <v>0</v>
      </c>
      <c r="Q1279" s="177">
        <v>43504</v>
      </c>
      <c r="R1279" s="178">
        <v>397.46865000000003</v>
      </c>
      <c r="S1279" s="179">
        <v>41753.917000000001</v>
      </c>
      <c r="T1279" s="182" t="s">
        <v>45</v>
      </c>
      <c r="U1279" s="183">
        <v>3.7321</v>
      </c>
      <c r="V1279" s="179">
        <v>5645.7342749999998</v>
      </c>
      <c r="W1279" s="179">
        <v>0</v>
      </c>
      <c r="X1279" s="196" t="s">
        <v>45</v>
      </c>
      <c r="Y1279" s="200">
        <v>3.7321</v>
      </c>
      <c r="Z1279" s="220"/>
      <c r="AA1279" s="201">
        <f>Delivery[[#This Row],[Quantity delivered]]*VLOOKUP(Delivery[[#This Row],[Unit]],References!$U:$X,4,FALSE)*VLOOKUP(CONCATENATE(Delivery[[#This Row],[Coffee specie]],Delivery[[#This Row],[Coffee state]]),References!$U:$X,4,FALSE)</f>
        <v>6051</v>
      </c>
      <c r="AB1279" s="202">
        <f>SUMIF(Allocation!C:C,Delivery[[#This Row],[Delivery ID]],Allocation!D:D)/Delivery[[#This Row],[Quantity delivered]]</f>
        <v>0.86993885308213514</v>
      </c>
      <c r="AC1279" s="203">
        <f>Delivery[[#This Row],[Quantity delivered]]*Delivery[[#This Row],[Base price (Unidad)]]/60</f>
        <v>40084.713352500003</v>
      </c>
      <c r="AD1279" s="204">
        <f>Delivery[[#This Row],[Nespresso total]]-Delivery[[#This Row],[Qt. Delivery * Base Price]]</f>
        <v>1669.2036474999986</v>
      </c>
      <c r="AE1279" s="204">
        <f>Delivery[[#This Row],[AAA Premium (total)]]/Delivery[[#This Row],[Quantity delivered]]*60/Delivery[[#This Row],[Exchange rate VS USD]]</f>
        <v>15</v>
      </c>
      <c r="AF1279" s="204">
        <f>Delivery[[#This Row],[BEN premium (total)]]/Delivery[[#This Row],[Quantity delivered]]*60/Delivery[[#This Row],[Exchange rate for premiums VS USD]]</f>
        <v>0</v>
      </c>
      <c r="AG1279" s="204">
        <f>COUNTIF(Delivery[Delivery ID],Delivery[[#This Row],[Delivery ID]])</f>
        <v>1</v>
      </c>
      <c r="AH1279" s="204">
        <f>(Delivery[[#This Row],[Nespresso total]]/SUMIF(Allocation!C:C,Delivery[Delivery ID],Allocation!H:H))/Delivery[[#This Row],[Exchange rate VS USD]]</f>
        <v>3.3738784300478728</v>
      </c>
      <c r="AI1279" s="204">
        <f>(Delivery[[#This Row],[AAA Premium (total)]]/SUMIF(Allocation!C:C,Delivery[Delivery ID],Allocation!H:H))/Delivery[[#This Row],[Exchange rate VS USD]]</f>
        <v>0.45619722557297948</v>
      </c>
      <c r="AJ1279" s="204">
        <f>Delivery[[#This Row],[Valor Prêmio Nespresso AAA por Kg (em US$)]]*60</f>
        <v>27.371833534378769</v>
      </c>
      <c r="AK1279" s="204">
        <f>Delivery[[#This Row],[Valor Prêmio Nespresso AAA por saca (em US$)]]/1.3228/100</f>
        <v>0.20692344673706359</v>
      </c>
      <c r="AL1279" s="204">
        <f>(Delivery[[#This Row],[BEN premium (total)]]/SUMIF(Allocation!C:C,Delivery[Delivery ID],Allocation!H:H))/Delivery[[#This Row],[Exchange rate for premiums VS USD]]</f>
        <v>0</v>
      </c>
      <c r="AM1279" s="204">
        <f>Delivery[[#This Row],[Valor Prêmio Nespresso BEN por Kg (em US$)]]*60</f>
        <v>0</v>
      </c>
      <c r="AN1279" s="204">
        <f>Delivery[[#This Row],[Valor Prêmio Nespresso BEN por saca (em US$)]]/1.3228/100</f>
        <v>0</v>
      </c>
      <c r="AO1279" s="204">
        <f>SUMIF(Allocation[Delivery ID],Delivery[[#This Row],[Delivery ID]],Allocation[Quantity allocated])*16*1.3228*Delivery[[#This Row],[Exchange rate VS USD]]/60</f>
        <v>4365.4670277546666</v>
      </c>
      <c r="AP1279" s="204">
        <f>Delivery[[#This Row],[AAA Premium (total)]]</f>
        <v>5645.7342749999998</v>
      </c>
      <c r="AQ1279" s="204">
        <f>Delivery[[#This Row],[Valor pago pelo Cluster]]-Delivery[[#This Row],[Valor efetivamente pago pela Nespresso]]</f>
        <v>1280.2672472453332</v>
      </c>
    </row>
    <row r="1280" spans="1:43" ht="15.75">
      <c r="A1280" s="174" t="s">
        <v>69</v>
      </c>
      <c r="B1280" s="232" t="s">
        <v>68</v>
      </c>
      <c r="C1280" s="157">
        <v>1</v>
      </c>
      <c r="D1280" s="157" t="s">
        <v>468</v>
      </c>
      <c r="E1280" s="177" t="s">
        <v>468</v>
      </c>
      <c r="F1280" s="233" t="s">
        <v>543</v>
      </c>
      <c r="G1280" s="234">
        <v>43508</v>
      </c>
      <c r="H1280" s="235" t="s">
        <v>2212</v>
      </c>
      <c r="I1280" s="236" t="s">
        <v>1147</v>
      </c>
      <c r="J1280" s="242">
        <v>25915</v>
      </c>
      <c r="K1280" s="175" t="s">
        <v>61</v>
      </c>
      <c r="L1280" s="175" t="s">
        <v>439</v>
      </c>
      <c r="M1280" s="175" t="s">
        <v>1343</v>
      </c>
      <c r="N1280" s="198"/>
      <c r="O1280" s="199"/>
      <c r="P1280" s="181">
        <v>0</v>
      </c>
      <c r="Q1280" s="177">
        <v>43504</v>
      </c>
      <c r="R1280" s="178">
        <v>397.46865000000003</v>
      </c>
      <c r="S1280" s="179">
        <v>178027.74</v>
      </c>
      <c r="T1280" s="182" t="s">
        <v>45</v>
      </c>
      <c r="U1280" s="183">
        <v>3.7321</v>
      </c>
      <c r="V1280" s="179">
        <v>24179.342874999998</v>
      </c>
      <c r="W1280" s="179">
        <v>0</v>
      </c>
      <c r="X1280" s="196" t="s">
        <v>45</v>
      </c>
      <c r="Y1280" s="200">
        <v>3.7321</v>
      </c>
      <c r="Z1280" s="220"/>
      <c r="AA1280" s="201">
        <f>Delivery[[#This Row],[Quantity delivered]]*VLOOKUP(Delivery[[#This Row],[Unit]],References!$U:$X,4,FALSE)*VLOOKUP(CONCATENATE(Delivery[[#This Row],[Coffee specie]],Delivery[[#This Row],[Coffee state]]),References!$U:$X,4,FALSE)</f>
        <v>25915</v>
      </c>
      <c r="AB1280" s="202">
        <f>SUMIF(Allocation!C:C,Delivery[[#This Row],[Delivery ID]],Allocation!D:D)/Delivery[[#This Row],[Quantity delivered]]</f>
        <v>0.98599266833879995</v>
      </c>
      <c r="AC1280" s="203">
        <f>Delivery[[#This Row],[Quantity delivered]]*Delivery[[#This Row],[Base price (Unidad)]]/60</f>
        <v>171673.3344125</v>
      </c>
      <c r="AD1280" s="204">
        <f>Delivery[[#This Row],[Nespresso total]]-Delivery[[#This Row],[Qt. Delivery * Base Price]]</f>
        <v>6354.4055874999904</v>
      </c>
      <c r="AE1280" s="204">
        <f>Delivery[[#This Row],[AAA Premium (total)]]/Delivery[[#This Row],[Quantity delivered]]*60/Delivery[[#This Row],[Exchange rate VS USD]]</f>
        <v>15</v>
      </c>
      <c r="AF1280" s="204">
        <f>Delivery[[#This Row],[BEN premium (total)]]/Delivery[[#This Row],[Quantity delivered]]*60/Delivery[[#This Row],[Exchange rate for premiums VS USD]]</f>
        <v>0</v>
      </c>
      <c r="AG1280" s="204">
        <f>COUNTIF(Delivery[Delivery ID],Delivery[[#This Row],[Delivery ID]])</f>
        <v>1</v>
      </c>
      <c r="AH1280" s="204">
        <f>(Delivery[[#This Row],[Nespresso total]]/SUMIF(Allocation!C:C,Delivery[Delivery ID],Allocation!H:H))/Delivery[[#This Row],[Exchange rate VS USD]]</f>
        <v>2.9632103617213486</v>
      </c>
      <c r="AI1280" s="204">
        <f>(Delivery[[#This Row],[AAA Premium (total)]]/SUMIF(Allocation!C:C,Delivery[Delivery ID],Allocation!H:H))/Delivery[[#This Row],[Exchange rate VS USD]]</f>
        <v>0.40245682693502299</v>
      </c>
      <c r="AJ1280" s="204">
        <f>Delivery[[#This Row],[Valor Prêmio Nespresso AAA por Kg (em US$)]]*60</f>
        <v>24.147409616101381</v>
      </c>
      <c r="AK1280" s="204">
        <f>Delivery[[#This Row],[Valor Prêmio Nespresso AAA por saca (em US$)]]/1.3228/100</f>
        <v>0.18254769894240536</v>
      </c>
      <c r="AL1280" s="204">
        <f>(Delivery[[#This Row],[BEN premium (total)]]/SUMIF(Allocation!C:C,Delivery[Delivery ID],Allocation!H:H))/Delivery[[#This Row],[Exchange rate for premiums VS USD]]</f>
        <v>0</v>
      </c>
      <c r="AM1280" s="204">
        <f>Delivery[[#This Row],[Valor Prêmio Nespresso BEN por Kg (em US$)]]*60</f>
        <v>0</v>
      </c>
      <c r="AN1280" s="204">
        <f>Delivery[[#This Row],[Valor Prêmio Nespresso BEN por saca (em US$)]]/1.3228/100</f>
        <v>0</v>
      </c>
      <c r="AO1280" s="204">
        <f>SUMIF(Allocation[Delivery ID],Delivery[[#This Row],[Delivery ID]],Allocation[Quantity allocated])*16*1.3228*Delivery[[#This Row],[Exchange rate VS USD]]/60</f>
        <v>21192.788966463999</v>
      </c>
      <c r="AP1280" s="204">
        <f>Delivery[[#This Row],[AAA Premium (total)]]</f>
        <v>24179.342874999998</v>
      </c>
      <c r="AQ1280" s="204">
        <f>Delivery[[#This Row],[Valor pago pelo Cluster]]-Delivery[[#This Row],[Valor efetivamente pago pela Nespresso]]</f>
        <v>2986.5539085359997</v>
      </c>
    </row>
    <row r="1281" spans="1:43" ht="15.75">
      <c r="A1281" s="174" t="s">
        <v>69</v>
      </c>
      <c r="B1281" s="232" t="s">
        <v>68</v>
      </c>
      <c r="C1281" s="157">
        <v>1</v>
      </c>
      <c r="D1281" s="157" t="s">
        <v>468</v>
      </c>
      <c r="E1281" s="177" t="s">
        <v>468</v>
      </c>
      <c r="F1281" s="233" t="s">
        <v>543</v>
      </c>
      <c r="G1281" s="234">
        <v>43510</v>
      </c>
      <c r="H1281" s="235" t="s">
        <v>2071</v>
      </c>
      <c r="I1281" s="236" t="s">
        <v>1147</v>
      </c>
      <c r="J1281" s="237">
        <v>31956.5</v>
      </c>
      <c r="K1281" s="175" t="s">
        <v>61</v>
      </c>
      <c r="L1281" s="175" t="s">
        <v>439</v>
      </c>
      <c r="M1281" s="175" t="s">
        <v>1343</v>
      </c>
      <c r="N1281" s="198"/>
      <c r="O1281" s="199"/>
      <c r="P1281" s="181">
        <v>0</v>
      </c>
      <c r="Q1281" s="177">
        <v>43504</v>
      </c>
      <c r="R1281" s="178">
        <v>397.46865000000003</v>
      </c>
      <c r="S1281" s="179">
        <v>218187.48</v>
      </c>
      <c r="T1281" s="182" t="s">
        <v>45</v>
      </c>
      <c r="U1281" s="183">
        <v>3.7321</v>
      </c>
      <c r="V1281" s="179">
        <v>29501.46</v>
      </c>
      <c r="W1281" s="179">
        <v>0</v>
      </c>
      <c r="X1281" s="196" t="s">
        <v>45</v>
      </c>
      <c r="Y1281" s="200">
        <v>3.7321</v>
      </c>
      <c r="Z1281" s="220"/>
      <c r="AA1281" s="201">
        <f>Delivery[[#This Row],[Quantity delivered]]*VLOOKUP(Delivery[[#This Row],[Unit]],References!$U:$X,4,FALSE)*VLOOKUP(CONCATENATE(Delivery[[#This Row],[Coffee specie]],Delivery[[#This Row],[Coffee state]]),References!$U:$X,4,FALSE)</f>
        <v>31956.5</v>
      </c>
      <c r="AB1281" s="202">
        <f>SUMIF(Allocation!C:C,Delivery[[#This Row],[Delivery ID]],Allocation!D:D)/Delivery[[#This Row],[Quantity delivered]]</f>
        <v>0.24586547337787304</v>
      </c>
      <c r="AC1281" s="203">
        <f>Delivery[[#This Row],[Quantity delivered]]*Delivery[[#This Row],[Base price (Unidad)]]/60</f>
        <v>211695.11522874999</v>
      </c>
      <c r="AD1281" s="204">
        <f>Delivery[[#This Row],[Nespresso total]]-Delivery[[#This Row],[Qt. Delivery * Base Price]]</f>
        <v>6492.3647712500242</v>
      </c>
      <c r="AE1281" s="204">
        <f>Delivery[[#This Row],[AAA Premium (total)]]/Delivery[[#This Row],[Quantity delivered]]*60/Delivery[[#This Row],[Exchange rate VS USD]]</f>
        <v>14.841653226646121</v>
      </c>
      <c r="AF1281" s="204">
        <f>Delivery[[#This Row],[BEN premium (total)]]/Delivery[[#This Row],[Quantity delivered]]*60/Delivery[[#This Row],[Exchange rate for premiums VS USD]]</f>
        <v>0</v>
      </c>
      <c r="AG1281" s="204">
        <f>COUNTIF(Delivery[Delivery ID],Delivery[[#This Row],[Delivery ID]])</f>
        <v>1</v>
      </c>
      <c r="AH1281" s="204">
        <f>(Delivery[[#This Row],[Nespresso total]]/SUMIF(Allocation!C:C,Delivery[Delivery ID],Allocation!H:H))/Delivery[[#This Row],[Exchange rate VS USD]]</f>
        <v>11.810583528811872</v>
      </c>
      <c r="AI1281" s="204">
        <f>(Delivery[[#This Row],[AAA Premium (total)]]/SUMIF(Allocation!C:C,Delivery[Delivery ID],Allocation!H:H))/Delivery[[#This Row],[Exchange rate VS USD]]</f>
        <v>1.5969269068596526</v>
      </c>
      <c r="AJ1281" s="204">
        <f>Delivery[[#This Row],[Valor Prêmio Nespresso AAA por Kg (em US$)]]*60</f>
        <v>95.815614411579148</v>
      </c>
      <c r="AK1281" s="204">
        <f>Delivery[[#This Row],[Valor Prêmio Nespresso AAA por saca (em US$)]]/1.3228/100</f>
        <v>0.72433938926201347</v>
      </c>
      <c r="AL1281" s="204">
        <f>(Delivery[[#This Row],[BEN premium (total)]]/SUMIF(Allocation!C:C,Delivery[Delivery ID],Allocation!H:H))/Delivery[[#This Row],[Exchange rate for premiums VS USD]]</f>
        <v>0</v>
      </c>
      <c r="AM1281" s="204">
        <f>Delivery[[#This Row],[Valor Prêmio Nespresso BEN por Kg (em US$)]]*60</f>
        <v>0</v>
      </c>
      <c r="AN1281" s="204">
        <f>Delivery[[#This Row],[Valor Prêmio Nespresso BEN por saca (em US$)]]/1.3228/100</f>
        <v>0</v>
      </c>
      <c r="AO1281" s="204">
        <f>SUMIF(Allocation[Delivery ID],Delivery[[#This Row],[Delivery ID]],Allocation[Quantity allocated])*16*1.3228*Delivery[[#This Row],[Exchange rate VS USD]]/60</f>
        <v>6516.6048815999993</v>
      </c>
      <c r="AP1281" s="204">
        <f>Delivery[[#This Row],[AAA Premium (total)]]</f>
        <v>29501.46</v>
      </c>
      <c r="AQ1281" s="204">
        <f>Delivery[[#This Row],[Valor pago pelo Cluster]]-Delivery[[#This Row],[Valor efetivamente pago pela Nespresso]]</f>
        <v>22984.855118399999</v>
      </c>
    </row>
    <row r="1282" spans="1:43" ht="15.75">
      <c r="A1282" s="174" t="s">
        <v>69</v>
      </c>
      <c r="B1282" s="232" t="s">
        <v>68</v>
      </c>
      <c r="C1282" s="157">
        <v>1</v>
      </c>
      <c r="D1282" s="157" t="s">
        <v>468</v>
      </c>
      <c r="E1282" s="177" t="s">
        <v>468</v>
      </c>
      <c r="F1282" s="233" t="s">
        <v>543</v>
      </c>
      <c r="G1282" s="234">
        <v>43510</v>
      </c>
      <c r="H1282" s="235" t="s">
        <v>2072</v>
      </c>
      <c r="I1282" s="236" t="s">
        <v>1147</v>
      </c>
      <c r="J1282" s="237">
        <v>32016.5</v>
      </c>
      <c r="K1282" s="175" t="s">
        <v>61</v>
      </c>
      <c r="L1282" s="175" t="s">
        <v>439</v>
      </c>
      <c r="M1282" s="175" t="s">
        <v>1343</v>
      </c>
      <c r="N1282" s="198"/>
      <c r="O1282" s="199"/>
      <c r="P1282" s="181">
        <v>0</v>
      </c>
      <c r="Q1282" s="177">
        <v>43504</v>
      </c>
      <c r="R1282" s="178">
        <v>397.46865000000003</v>
      </c>
      <c r="S1282" s="179">
        <v>218187.48</v>
      </c>
      <c r="T1282" s="182" t="s">
        <v>45</v>
      </c>
      <c r="U1282" s="183">
        <v>3.7321</v>
      </c>
      <c r="V1282" s="179">
        <v>29501.46</v>
      </c>
      <c r="W1282" s="179">
        <v>0</v>
      </c>
      <c r="X1282" s="196" t="s">
        <v>45</v>
      </c>
      <c r="Y1282" s="200">
        <v>3.7321</v>
      </c>
      <c r="Z1282" s="220"/>
      <c r="AA1282" s="201">
        <f>Delivery[[#This Row],[Quantity delivered]]*VLOOKUP(Delivery[[#This Row],[Unit]],References!$U:$X,4,FALSE)*VLOOKUP(CONCATENATE(Delivery[[#This Row],[Coffee specie]],Delivery[[#This Row],[Coffee state]]),References!$U:$X,4,FALSE)</f>
        <v>32016.5</v>
      </c>
      <c r="AB1282" s="202">
        <f>SUMIF(Allocation!C:C,Delivery[[#This Row],[Delivery ID]],Allocation!D:D)/Delivery[[#This Row],[Quantity delivered]]</f>
        <v>0.24540471319475896</v>
      </c>
      <c r="AC1282" s="203">
        <f>Delivery[[#This Row],[Quantity delivered]]*Delivery[[#This Row],[Base price (Unidad)]]/60</f>
        <v>212092.58387875001</v>
      </c>
      <c r="AD1282" s="204">
        <f>Delivery[[#This Row],[Nespresso total]]-Delivery[[#This Row],[Qt. Delivery * Base Price]]</f>
        <v>6094.8961212499999</v>
      </c>
      <c r="AE1282" s="204">
        <f>Delivery[[#This Row],[AAA Premium (total)]]/Delivery[[#This Row],[Quantity delivered]]*60/Delivery[[#This Row],[Exchange rate VS USD]]</f>
        <v>14.813839468315299</v>
      </c>
      <c r="AF1282" s="204">
        <f>Delivery[[#This Row],[BEN premium (total)]]/Delivery[[#This Row],[Quantity delivered]]*60/Delivery[[#This Row],[Exchange rate for premiums VS USD]]</f>
        <v>0</v>
      </c>
      <c r="AG1282" s="204">
        <f>COUNTIF(Delivery[Delivery ID],Delivery[[#This Row],[Delivery ID]])</f>
        <v>1</v>
      </c>
      <c r="AH1282" s="204">
        <f>(Delivery[[#This Row],[Nespresso total]]/SUMIF(Allocation!C:C,Delivery[Delivery ID],Allocation!H:H))/Delivery[[#This Row],[Exchange rate VS USD]]</f>
        <v>11.810583528811872</v>
      </c>
      <c r="AI1282" s="204">
        <f>(Delivery[[#This Row],[AAA Premium (total)]]/SUMIF(Allocation!C:C,Delivery[Delivery ID],Allocation!H:H))/Delivery[[#This Row],[Exchange rate VS USD]]</f>
        <v>1.5969269068596526</v>
      </c>
      <c r="AJ1282" s="204">
        <f>Delivery[[#This Row],[Valor Prêmio Nespresso AAA por Kg (em US$)]]*60</f>
        <v>95.815614411579148</v>
      </c>
      <c r="AK1282" s="204">
        <f>Delivery[[#This Row],[Valor Prêmio Nespresso AAA por saca (em US$)]]/1.3228/100</f>
        <v>0.72433938926201347</v>
      </c>
      <c r="AL1282" s="204">
        <f>(Delivery[[#This Row],[BEN premium (total)]]/SUMIF(Allocation!C:C,Delivery[Delivery ID],Allocation!H:H))/Delivery[[#This Row],[Exchange rate for premiums VS USD]]</f>
        <v>0</v>
      </c>
      <c r="AM1282" s="204">
        <f>Delivery[[#This Row],[Valor Prêmio Nespresso BEN por Kg (em US$)]]*60</f>
        <v>0</v>
      </c>
      <c r="AN1282" s="204">
        <f>Delivery[[#This Row],[Valor Prêmio Nespresso BEN por saca (em US$)]]/1.3228/100</f>
        <v>0</v>
      </c>
      <c r="AO1282" s="204">
        <f>SUMIF(Allocation[Delivery ID],Delivery[[#This Row],[Delivery ID]],Allocation[Quantity allocated])*16*1.3228*Delivery[[#This Row],[Exchange rate VS USD]]/60</f>
        <v>6516.6048815999993</v>
      </c>
      <c r="AP1282" s="204">
        <f>Delivery[[#This Row],[AAA Premium (total)]]</f>
        <v>29501.46</v>
      </c>
      <c r="AQ1282" s="204">
        <f>Delivery[[#This Row],[Valor pago pelo Cluster]]-Delivery[[#This Row],[Valor efetivamente pago pela Nespresso]]</f>
        <v>22984.855118399999</v>
      </c>
    </row>
    <row r="1283" spans="1:43" ht="15.75">
      <c r="A1283" s="174" t="s">
        <v>69</v>
      </c>
      <c r="B1283" s="232" t="s">
        <v>68</v>
      </c>
      <c r="C1283" s="157">
        <v>1</v>
      </c>
      <c r="D1283" s="157" t="s">
        <v>468</v>
      </c>
      <c r="E1283" s="177" t="s">
        <v>468</v>
      </c>
      <c r="F1283" s="233" t="s">
        <v>543</v>
      </c>
      <c r="G1283" s="234">
        <v>43510</v>
      </c>
      <c r="H1283" s="235" t="s">
        <v>2073</v>
      </c>
      <c r="I1283" s="236" t="s">
        <v>1147</v>
      </c>
      <c r="J1283" s="237">
        <v>31966.5</v>
      </c>
      <c r="K1283" s="175" t="s">
        <v>61</v>
      </c>
      <c r="L1283" s="175" t="s">
        <v>439</v>
      </c>
      <c r="M1283" s="175" t="s">
        <v>1343</v>
      </c>
      <c r="N1283" s="198"/>
      <c r="O1283" s="199"/>
      <c r="P1283" s="181">
        <v>0</v>
      </c>
      <c r="Q1283" s="177">
        <v>43504</v>
      </c>
      <c r="R1283" s="178">
        <v>397.46865000000003</v>
      </c>
      <c r="S1283" s="179">
        <v>218187.48</v>
      </c>
      <c r="T1283" s="182" t="s">
        <v>45</v>
      </c>
      <c r="U1283" s="183">
        <v>3.7321</v>
      </c>
      <c r="V1283" s="179">
        <v>29501.46</v>
      </c>
      <c r="W1283" s="179">
        <v>0</v>
      </c>
      <c r="X1283" s="196" t="s">
        <v>45</v>
      </c>
      <c r="Y1283" s="200">
        <v>3.7321</v>
      </c>
      <c r="Z1283" s="220"/>
      <c r="AA1283" s="201">
        <f>Delivery[[#This Row],[Quantity delivered]]*VLOOKUP(Delivery[[#This Row],[Unit]],References!$U:$X,4,FALSE)*VLOOKUP(CONCATENATE(Delivery[[#This Row],[Coffee specie]],Delivery[[#This Row],[Coffee state]]),References!$U:$X,4,FALSE)</f>
        <v>31966.5</v>
      </c>
      <c r="AB1283" s="202">
        <f>SUMIF(Allocation!C:C,Delivery[[#This Row],[Delivery ID]],Allocation!D:D)/Delivery[[#This Row],[Quantity delivered]]</f>
        <v>0.2457885598986439</v>
      </c>
      <c r="AC1283" s="203">
        <f>Delivery[[#This Row],[Quantity delivered]]*Delivery[[#This Row],[Base price (Unidad)]]/60</f>
        <v>211761.36000375001</v>
      </c>
      <c r="AD1283" s="204">
        <f>Delivery[[#This Row],[Nespresso total]]-Delivery[[#This Row],[Qt. Delivery * Base Price]]</f>
        <v>6426.1199962499959</v>
      </c>
      <c r="AE1283" s="204">
        <f>Delivery[[#This Row],[AAA Premium (total)]]/Delivery[[#This Row],[Quantity delivered]]*60/Delivery[[#This Row],[Exchange rate VS USD]]</f>
        <v>14.837010349500781</v>
      </c>
      <c r="AF1283" s="204">
        <f>Delivery[[#This Row],[BEN premium (total)]]/Delivery[[#This Row],[Quantity delivered]]*60/Delivery[[#This Row],[Exchange rate for premiums VS USD]]</f>
        <v>0</v>
      </c>
      <c r="AG1283" s="204">
        <f>COUNTIF(Delivery[Delivery ID],Delivery[[#This Row],[Delivery ID]])</f>
        <v>1</v>
      </c>
      <c r="AH1283" s="204">
        <f>(Delivery[[#This Row],[Nespresso total]]/SUMIF(Allocation!C:C,Delivery[Delivery ID],Allocation!H:H))/Delivery[[#This Row],[Exchange rate VS USD]]</f>
        <v>11.810583528811872</v>
      </c>
      <c r="AI1283" s="204">
        <f>(Delivery[[#This Row],[AAA Premium (total)]]/SUMIF(Allocation!C:C,Delivery[Delivery ID],Allocation!H:H))/Delivery[[#This Row],[Exchange rate VS USD]]</f>
        <v>1.5969269068596526</v>
      </c>
      <c r="AJ1283" s="204">
        <f>Delivery[[#This Row],[Valor Prêmio Nespresso AAA por Kg (em US$)]]*60</f>
        <v>95.815614411579148</v>
      </c>
      <c r="AK1283" s="204">
        <f>Delivery[[#This Row],[Valor Prêmio Nespresso AAA por saca (em US$)]]/1.3228/100</f>
        <v>0.72433938926201347</v>
      </c>
      <c r="AL1283" s="204">
        <f>(Delivery[[#This Row],[BEN premium (total)]]/SUMIF(Allocation!C:C,Delivery[Delivery ID],Allocation!H:H))/Delivery[[#This Row],[Exchange rate for premiums VS USD]]</f>
        <v>0</v>
      </c>
      <c r="AM1283" s="204">
        <f>Delivery[[#This Row],[Valor Prêmio Nespresso BEN por Kg (em US$)]]*60</f>
        <v>0</v>
      </c>
      <c r="AN1283" s="204">
        <f>Delivery[[#This Row],[Valor Prêmio Nespresso BEN por saca (em US$)]]/1.3228/100</f>
        <v>0</v>
      </c>
      <c r="AO1283" s="204">
        <f>SUMIF(Allocation[Delivery ID],Delivery[[#This Row],[Delivery ID]],Allocation[Quantity allocated])*16*1.3228*Delivery[[#This Row],[Exchange rate VS USD]]/60</f>
        <v>6516.6048815999993</v>
      </c>
      <c r="AP1283" s="204">
        <f>Delivery[[#This Row],[AAA Premium (total)]]</f>
        <v>29501.46</v>
      </c>
      <c r="AQ1283" s="204">
        <f>Delivery[[#This Row],[Valor pago pelo Cluster]]-Delivery[[#This Row],[Valor efetivamente pago pela Nespresso]]</f>
        <v>22984.855118399999</v>
      </c>
    </row>
    <row r="1284" spans="1:43" ht="15.75">
      <c r="A1284" s="174" t="s">
        <v>69</v>
      </c>
      <c r="B1284" s="232" t="s">
        <v>68</v>
      </c>
      <c r="C1284" s="157">
        <v>1</v>
      </c>
      <c r="D1284" s="157" t="s">
        <v>468</v>
      </c>
      <c r="E1284" s="177" t="s">
        <v>468</v>
      </c>
      <c r="F1284" s="233" t="s">
        <v>543</v>
      </c>
      <c r="G1284" s="234">
        <v>43508</v>
      </c>
      <c r="H1284" s="235" t="s">
        <v>2213</v>
      </c>
      <c r="I1284" s="236" t="s">
        <v>1147</v>
      </c>
      <c r="J1284" s="237">
        <v>30465</v>
      </c>
      <c r="K1284" s="175" t="s">
        <v>61</v>
      </c>
      <c r="L1284" s="175" t="s">
        <v>439</v>
      </c>
      <c r="M1284" s="175" t="s">
        <v>1343</v>
      </c>
      <c r="N1284" s="198"/>
      <c r="O1284" s="199"/>
      <c r="P1284" s="181">
        <v>0</v>
      </c>
      <c r="Q1284" s="177">
        <v>43504</v>
      </c>
      <c r="R1284" s="178">
        <v>397.46865000000003</v>
      </c>
      <c r="S1284" s="179">
        <v>210218.655</v>
      </c>
      <c r="T1284" s="182" t="s">
        <v>45</v>
      </c>
      <c r="U1284" s="183">
        <v>3.7321</v>
      </c>
      <c r="V1284" s="179">
        <v>28549.8</v>
      </c>
      <c r="W1284" s="179">
        <v>0</v>
      </c>
      <c r="X1284" s="196" t="s">
        <v>45</v>
      </c>
      <c r="Y1284" s="200">
        <v>3.7321</v>
      </c>
      <c r="Z1284" s="220"/>
      <c r="AA1284" s="201">
        <f>Delivery[[#This Row],[Quantity delivered]]*VLOOKUP(Delivery[[#This Row],[Unit]],References!$U:$X,4,FALSE)*VLOOKUP(CONCATENATE(Delivery[[#This Row],[Coffee specie]],Delivery[[#This Row],[Coffee state]]),References!$U:$X,4,FALSE)</f>
        <v>30465</v>
      </c>
      <c r="AB1284" s="202">
        <f>SUMIF(Allocation!C:C,Delivery[[#This Row],[Delivery ID]],Allocation!D:D)/Delivery[[#This Row],[Quantity delivered]]</f>
        <v>0.96494337764647953</v>
      </c>
      <c r="AC1284" s="203">
        <f>Delivery[[#This Row],[Quantity delivered]]*Delivery[[#This Row],[Base price (Unidad)]]/60</f>
        <v>201814.70703750002</v>
      </c>
      <c r="AD1284" s="204">
        <f>Delivery[[#This Row],[Nespresso total]]-Delivery[[#This Row],[Qt. Delivery * Base Price]]</f>
        <v>8403.9479624999803</v>
      </c>
      <c r="AE1284" s="204">
        <f>Delivery[[#This Row],[AAA Premium (total)]]/Delivery[[#This Row],[Quantity delivered]]*60/Delivery[[#This Row],[Exchange rate VS USD]]</f>
        <v>15.066066019831856</v>
      </c>
      <c r="AF1284" s="204">
        <f>Delivery[[#This Row],[BEN premium (total)]]/Delivery[[#This Row],[Quantity delivered]]*60/Delivery[[#This Row],[Exchange rate for premiums VS USD]]</f>
        <v>0</v>
      </c>
      <c r="AG1284" s="204">
        <f>COUNTIF(Delivery[Delivery ID],Delivery[[#This Row],[Delivery ID]])</f>
        <v>1</v>
      </c>
      <c r="AH1284" s="204">
        <f>(Delivery[[#This Row],[Nespresso total]]/SUMIF(Allocation!C:C,Delivery[Delivery ID],Allocation!H:H))/Delivery[[#This Row],[Exchange rate VS USD]]</f>
        <v>3.041424211049049</v>
      </c>
      <c r="AI1284" s="204">
        <f>(Delivery[[#This Row],[AAA Premium (total)]]/SUMIF(Allocation!C:C,Delivery[Delivery ID],Allocation!H:H))/Delivery[[#This Row],[Exchange rate VS USD]]</f>
        <v>0.41305588669382426</v>
      </c>
      <c r="AJ1284" s="204">
        <f>Delivery[[#This Row],[Valor Prêmio Nespresso AAA por Kg (em US$)]]*60</f>
        <v>24.783353201629456</v>
      </c>
      <c r="AK1284" s="204">
        <f>Delivery[[#This Row],[Valor Prêmio Nespresso AAA por saca (em US$)]]/1.3228/100</f>
        <v>0.18735525553091517</v>
      </c>
      <c r="AL1284" s="204">
        <f>(Delivery[[#This Row],[BEN premium (total)]]/SUMIF(Allocation!C:C,Delivery[Delivery ID],Allocation!H:H))/Delivery[[#This Row],[Exchange rate for premiums VS USD]]</f>
        <v>0</v>
      </c>
      <c r="AM1284" s="204">
        <f>Delivery[[#This Row],[Valor Prêmio Nespresso BEN por Kg (em US$)]]*60</f>
        <v>0</v>
      </c>
      <c r="AN1284" s="204">
        <f>Delivery[[#This Row],[Valor Prêmio Nespresso BEN por saca (em US$)]]/1.3228/100</f>
        <v>0</v>
      </c>
      <c r="AO1284" s="204">
        <f>SUMIF(Allocation[Delivery ID],Delivery[[#This Row],[Delivery ID]],Allocation[Quantity allocated])*16*1.3228*Delivery[[#This Row],[Exchange rate VS USD]]/60</f>
        <v>24381.317658026666</v>
      </c>
      <c r="AP1284" s="204">
        <f>Delivery[[#This Row],[AAA Premium (total)]]</f>
        <v>28549.8</v>
      </c>
      <c r="AQ1284" s="204">
        <f>Delivery[[#This Row],[Valor pago pelo Cluster]]-Delivery[[#This Row],[Valor efetivamente pago pela Nespresso]]</f>
        <v>4168.482341973333</v>
      </c>
    </row>
    <row r="1285" spans="1:43" ht="15.75">
      <c r="A1285" s="174" t="s">
        <v>69</v>
      </c>
      <c r="B1285" s="232" t="s">
        <v>68</v>
      </c>
      <c r="C1285" s="157">
        <v>1</v>
      </c>
      <c r="D1285" s="157" t="s">
        <v>468</v>
      </c>
      <c r="E1285" s="177" t="s">
        <v>468</v>
      </c>
      <c r="F1285" s="233" t="s">
        <v>543</v>
      </c>
      <c r="G1285" s="234">
        <v>43510</v>
      </c>
      <c r="H1285" s="235" t="s">
        <v>2074</v>
      </c>
      <c r="I1285" s="236" t="s">
        <v>1147</v>
      </c>
      <c r="J1285" s="237">
        <v>31966.5</v>
      </c>
      <c r="K1285" s="175" t="s">
        <v>61</v>
      </c>
      <c r="L1285" s="175" t="s">
        <v>439</v>
      </c>
      <c r="M1285" s="175" t="s">
        <v>1343</v>
      </c>
      <c r="N1285" s="198"/>
      <c r="O1285" s="199"/>
      <c r="P1285" s="181">
        <v>0</v>
      </c>
      <c r="Q1285" s="177">
        <v>43504</v>
      </c>
      <c r="R1285" s="178">
        <v>397.46865000000003</v>
      </c>
      <c r="S1285" s="179">
        <v>218187.48</v>
      </c>
      <c r="T1285" s="182" t="s">
        <v>45</v>
      </c>
      <c r="U1285" s="183">
        <v>3.7321</v>
      </c>
      <c r="V1285" s="179">
        <v>29501.46</v>
      </c>
      <c r="W1285" s="179">
        <v>0</v>
      </c>
      <c r="X1285" s="196" t="s">
        <v>45</v>
      </c>
      <c r="Y1285" s="200">
        <v>3.7321</v>
      </c>
      <c r="Z1285" s="220"/>
      <c r="AA1285" s="201">
        <f>Delivery[[#This Row],[Quantity delivered]]*VLOOKUP(Delivery[[#This Row],[Unit]],References!$U:$X,4,FALSE)*VLOOKUP(CONCATENATE(Delivery[[#This Row],[Coffee specie]],Delivery[[#This Row],[Coffee state]]),References!$U:$X,4,FALSE)</f>
        <v>31966.5</v>
      </c>
      <c r="AB1285" s="202">
        <f>SUMIF(Allocation!C:C,Delivery[[#This Row],[Delivery ID]],Allocation!D:D)/Delivery[[#This Row],[Quantity delivered]]</f>
        <v>0.2457885598986439</v>
      </c>
      <c r="AC1285" s="203">
        <f>Delivery[[#This Row],[Quantity delivered]]*Delivery[[#This Row],[Base price (Unidad)]]/60</f>
        <v>211761.36000375001</v>
      </c>
      <c r="AD1285" s="204">
        <f>Delivery[[#This Row],[Nespresso total]]-Delivery[[#This Row],[Qt. Delivery * Base Price]]</f>
        <v>6426.1199962499959</v>
      </c>
      <c r="AE1285" s="204">
        <f>Delivery[[#This Row],[AAA Premium (total)]]/Delivery[[#This Row],[Quantity delivered]]*60/Delivery[[#This Row],[Exchange rate VS USD]]</f>
        <v>14.837010349500781</v>
      </c>
      <c r="AF1285" s="204">
        <f>Delivery[[#This Row],[BEN premium (total)]]/Delivery[[#This Row],[Quantity delivered]]*60/Delivery[[#This Row],[Exchange rate for premiums VS USD]]</f>
        <v>0</v>
      </c>
      <c r="AG1285" s="204">
        <f>COUNTIF(Delivery[Delivery ID],Delivery[[#This Row],[Delivery ID]])</f>
        <v>1</v>
      </c>
      <c r="AH1285" s="204">
        <f>(Delivery[[#This Row],[Nespresso total]]/SUMIF(Allocation!C:C,Delivery[Delivery ID],Allocation!H:H))/Delivery[[#This Row],[Exchange rate VS USD]]</f>
        <v>11.810583528811872</v>
      </c>
      <c r="AI1285" s="204">
        <f>(Delivery[[#This Row],[AAA Premium (total)]]/SUMIF(Allocation!C:C,Delivery[Delivery ID],Allocation!H:H))/Delivery[[#This Row],[Exchange rate VS USD]]</f>
        <v>1.5969269068596526</v>
      </c>
      <c r="AJ1285" s="204">
        <f>Delivery[[#This Row],[Valor Prêmio Nespresso AAA por Kg (em US$)]]*60</f>
        <v>95.815614411579148</v>
      </c>
      <c r="AK1285" s="204">
        <f>Delivery[[#This Row],[Valor Prêmio Nespresso AAA por saca (em US$)]]/1.3228/100</f>
        <v>0.72433938926201347</v>
      </c>
      <c r="AL1285" s="204">
        <f>(Delivery[[#This Row],[BEN premium (total)]]/SUMIF(Allocation!C:C,Delivery[Delivery ID],Allocation!H:H))/Delivery[[#This Row],[Exchange rate for premiums VS USD]]</f>
        <v>0</v>
      </c>
      <c r="AM1285" s="204">
        <f>Delivery[[#This Row],[Valor Prêmio Nespresso BEN por Kg (em US$)]]*60</f>
        <v>0</v>
      </c>
      <c r="AN1285" s="204">
        <f>Delivery[[#This Row],[Valor Prêmio Nespresso BEN por saca (em US$)]]/1.3228/100</f>
        <v>0</v>
      </c>
      <c r="AO1285" s="204">
        <f>SUMIF(Allocation[Delivery ID],Delivery[[#This Row],[Delivery ID]],Allocation[Quantity allocated])*16*1.3228*Delivery[[#This Row],[Exchange rate VS USD]]/60</f>
        <v>6516.6048815999993</v>
      </c>
      <c r="AP1285" s="204">
        <f>Delivery[[#This Row],[AAA Premium (total)]]</f>
        <v>29501.46</v>
      </c>
      <c r="AQ1285" s="204">
        <f>Delivery[[#This Row],[Valor pago pelo Cluster]]-Delivery[[#This Row],[Valor efetivamente pago pela Nespresso]]</f>
        <v>22984.855118399999</v>
      </c>
    </row>
    <row r="1286" spans="1:43" ht="15.75">
      <c r="A1286" s="174" t="s">
        <v>69</v>
      </c>
      <c r="B1286" s="232" t="s">
        <v>68</v>
      </c>
      <c r="C1286" s="157">
        <v>1</v>
      </c>
      <c r="D1286" s="157" t="s">
        <v>468</v>
      </c>
      <c r="E1286" s="177" t="s">
        <v>468</v>
      </c>
      <c r="F1286" s="233" t="s">
        <v>543</v>
      </c>
      <c r="G1286" s="234">
        <v>43508</v>
      </c>
      <c r="H1286" s="235" t="s">
        <v>2214</v>
      </c>
      <c r="I1286" s="236" t="s">
        <v>1147</v>
      </c>
      <c r="J1286" s="237">
        <v>30825</v>
      </c>
      <c r="K1286" s="175" t="s">
        <v>61</v>
      </c>
      <c r="L1286" s="175" t="s">
        <v>439</v>
      </c>
      <c r="M1286" s="175" t="s">
        <v>1343</v>
      </c>
      <c r="N1286" s="198"/>
      <c r="O1286" s="199"/>
      <c r="P1286" s="181">
        <v>0</v>
      </c>
      <c r="Q1286" s="177">
        <v>43504</v>
      </c>
      <c r="R1286" s="178">
        <v>397.46865000000003</v>
      </c>
      <c r="S1286" s="179">
        <v>211149.18</v>
      </c>
      <c r="T1286" s="182" t="s">
        <v>45</v>
      </c>
      <c r="U1286" s="183">
        <v>3.7321</v>
      </c>
      <c r="V1286" s="179">
        <v>28549.8</v>
      </c>
      <c r="W1286" s="179">
        <v>0</v>
      </c>
      <c r="X1286" s="196" t="s">
        <v>45</v>
      </c>
      <c r="Y1286" s="200">
        <v>3.7321</v>
      </c>
      <c r="Z1286" s="220"/>
      <c r="AA1286" s="201">
        <f>Delivery[[#This Row],[Quantity delivered]]*VLOOKUP(Delivery[[#This Row],[Unit]],References!$U:$X,4,FALSE)*VLOOKUP(CONCATENATE(Delivery[[#This Row],[Coffee specie]],Delivery[[#This Row],[Coffee state]]),References!$U:$X,4,FALSE)</f>
        <v>30825</v>
      </c>
      <c r="AB1286" s="202">
        <f>SUMIF(Allocation!C:C,Delivery[[#This Row],[Delivery ID]],Allocation!D:D)/Delivery[[#This Row],[Quantity delivered]]</f>
        <v>0.96405515004055153</v>
      </c>
      <c r="AC1286" s="203">
        <f>Delivery[[#This Row],[Quantity delivered]]*Delivery[[#This Row],[Base price (Unidad)]]/60</f>
        <v>204199.51893750002</v>
      </c>
      <c r="AD1286" s="204">
        <f>Delivery[[#This Row],[Nespresso total]]-Delivery[[#This Row],[Qt. Delivery * Base Price]]</f>
        <v>6949.6610624999739</v>
      </c>
      <c r="AE1286" s="204">
        <f>Delivery[[#This Row],[AAA Premium (total)]]/Delivery[[#This Row],[Quantity delivered]]*60/Delivery[[#This Row],[Exchange rate VS USD]]</f>
        <v>14.890111964125792</v>
      </c>
      <c r="AF1286" s="204">
        <f>Delivery[[#This Row],[BEN premium (total)]]/Delivery[[#This Row],[Quantity delivered]]*60/Delivery[[#This Row],[Exchange rate for premiums VS USD]]</f>
        <v>0</v>
      </c>
      <c r="AG1286" s="204">
        <f>COUNTIF(Delivery[Delivery ID],Delivery[[#This Row],[Delivery ID]])</f>
        <v>1</v>
      </c>
      <c r="AH1286" s="204">
        <f>(Delivery[[#This Row],[Nespresso total]]/SUMIF(Allocation!C:C,Delivery[Delivery ID],Allocation!H:H))/Delivery[[#This Row],[Exchange rate VS USD]]</f>
        <v>3.0219264247664159</v>
      </c>
      <c r="AI1286" s="204">
        <f>(Delivery[[#This Row],[AAA Premium (total)]]/SUMIF(Allocation!C:C,Delivery[Delivery ID],Allocation!H:H))/Delivery[[#This Row],[Exchange rate VS USD]]</f>
        <v>0.40859924268612463</v>
      </c>
      <c r="AJ1286" s="204">
        <f>Delivery[[#This Row],[Valor Prêmio Nespresso AAA por Kg (em US$)]]*60</f>
        <v>24.515954561167479</v>
      </c>
      <c r="AK1286" s="204">
        <f>Delivery[[#This Row],[Valor Prêmio Nespresso AAA por saca (em US$)]]/1.3228/100</f>
        <v>0.18533379619872606</v>
      </c>
      <c r="AL1286" s="204">
        <f>(Delivery[[#This Row],[BEN premium (total)]]/SUMIF(Allocation!C:C,Delivery[Delivery ID],Allocation!H:H))/Delivery[[#This Row],[Exchange rate for premiums VS USD]]</f>
        <v>0</v>
      </c>
      <c r="AM1286" s="204">
        <f>Delivery[[#This Row],[Valor Prêmio Nespresso BEN por Kg (em US$)]]*60</f>
        <v>0</v>
      </c>
      <c r="AN1286" s="204">
        <f>Delivery[[#This Row],[Valor Prêmio Nespresso BEN por saca (em US$)]]/1.3228/100</f>
        <v>0</v>
      </c>
      <c r="AO1286" s="204">
        <f>SUMIF(Allocation[Delivery ID],Delivery[[#This Row],[Delivery ID]],Allocation[Quantity allocated])*16*1.3228*Delivery[[#This Row],[Exchange rate VS USD]]/60</f>
        <v>24647.24779662933</v>
      </c>
      <c r="AP1286" s="204">
        <f>Delivery[[#This Row],[AAA Premium (total)]]</f>
        <v>28549.8</v>
      </c>
      <c r="AQ1286" s="204">
        <f>Delivery[[#This Row],[Valor pago pelo Cluster]]-Delivery[[#This Row],[Valor efetivamente pago pela Nespresso]]</f>
        <v>3902.5522033706693</v>
      </c>
    </row>
    <row r="1287" spans="1:43" ht="15.75">
      <c r="A1287" s="174" t="s">
        <v>69</v>
      </c>
      <c r="B1287" s="232" t="s">
        <v>68</v>
      </c>
      <c r="C1287" s="157">
        <v>1</v>
      </c>
      <c r="D1287" s="157" t="s">
        <v>468</v>
      </c>
      <c r="E1287" s="177" t="s">
        <v>468</v>
      </c>
      <c r="F1287" s="233" t="s">
        <v>543</v>
      </c>
      <c r="G1287" s="234">
        <v>43524</v>
      </c>
      <c r="H1287" s="235" t="s">
        <v>2075</v>
      </c>
      <c r="I1287" s="236" t="s">
        <v>2076</v>
      </c>
      <c r="J1287" s="237">
        <v>14480</v>
      </c>
      <c r="K1287" s="175" t="s">
        <v>61</v>
      </c>
      <c r="L1287" s="175" t="s">
        <v>439</v>
      </c>
      <c r="M1287" s="175" t="s">
        <v>1343</v>
      </c>
      <c r="N1287" s="198"/>
      <c r="O1287" s="199"/>
      <c r="P1287" s="181">
        <v>0</v>
      </c>
      <c r="Q1287" s="177">
        <v>43521</v>
      </c>
      <c r="R1287" s="178">
        <v>372.71093000000002</v>
      </c>
      <c r="S1287" s="179">
        <v>93796.800000000003</v>
      </c>
      <c r="T1287" s="182" t="s">
        <v>45</v>
      </c>
      <c r="U1287" s="183">
        <v>3.7402000000000002</v>
      </c>
      <c r="V1287" s="179">
        <v>6318.1066666666666</v>
      </c>
      <c r="W1287" s="179">
        <v>0</v>
      </c>
      <c r="X1287" s="196" t="s">
        <v>45</v>
      </c>
      <c r="Y1287" s="200">
        <v>3.7402000000000002</v>
      </c>
      <c r="Z1287" s="220"/>
      <c r="AA1287" s="201">
        <f>Delivery[[#This Row],[Quantity delivered]]*VLOOKUP(Delivery[[#This Row],[Unit]],References!$U:$X,4,FALSE)*VLOOKUP(CONCATENATE(Delivery[[#This Row],[Coffee specie]],Delivery[[#This Row],[Coffee state]]),References!$U:$X,4,FALSE)</f>
        <v>14480</v>
      </c>
      <c r="AB1287" s="202">
        <f>SUMIF(Allocation!C:C,Delivery[[#This Row],[Delivery ID]],Allocation!D:D)/Delivery[[#This Row],[Quantity delivered]]</f>
        <v>0.27817679558011049</v>
      </c>
      <c r="AC1287" s="203">
        <f>Delivery[[#This Row],[Quantity delivered]]*Delivery[[#This Row],[Base price (Unidad)]]/60</f>
        <v>89947.57110666667</v>
      </c>
      <c r="AD1287" s="204">
        <f>Delivery[[#This Row],[Nespresso total]]-Delivery[[#This Row],[Qt. Delivery * Base Price]]</f>
        <v>3849.228893333333</v>
      </c>
      <c r="AE1287" s="204">
        <f>Delivery[[#This Row],[AAA Premium (total)]]/Delivery[[#This Row],[Quantity delivered]]*60/Delivery[[#This Row],[Exchange rate VS USD]]</f>
        <v>6.9996256884658568</v>
      </c>
      <c r="AF1287" s="204">
        <f>Delivery[[#This Row],[BEN premium (total)]]/Delivery[[#This Row],[Quantity delivered]]*60/Delivery[[#This Row],[Exchange rate for premiums VS USD]]</f>
        <v>0</v>
      </c>
      <c r="AG1287" s="204">
        <f>COUNTIF(Delivery[Delivery ID],Delivery[[#This Row],[Delivery ID]])</f>
        <v>1</v>
      </c>
      <c r="AH1287" s="204">
        <f>(Delivery[[#This Row],[Nespresso total]]/SUMIF(Allocation!C:C,Delivery[Delivery ID],Allocation!H:H))/Delivery[[#This Row],[Exchange rate VS USD]]</f>
        <v>17.29518428850384</v>
      </c>
      <c r="AI1287" s="204">
        <f>(Delivery[[#This Row],[AAA Premium (total)]]/SUMIF(Allocation!C:C,Delivery[Delivery ID],Allocation!H:H))/Delivery[[#This Row],[Exchange rate VS USD]]</f>
        <v>1.164995172057306</v>
      </c>
      <c r="AJ1287" s="204">
        <f>Delivery[[#This Row],[Valor Prêmio Nespresso AAA por Kg (em US$)]]*60</f>
        <v>69.899710323438356</v>
      </c>
      <c r="AK1287" s="204">
        <f>Delivery[[#This Row],[Valor Prêmio Nespresso AAA por saca (em US$)]]/1.3228/100</f>
        <v>0.52842236410219501</v>
      </c>
      <c r="AL1287" s="204">
        <f>(Delivery[[#This Row],[BEN premium (total)]]/SUMIF(Allocation!C:C,Delivery[Delivery ID],Allocation!H:H))/Delivery[[#This Row],[Exchange rate for premiums VS USD]]</f>
        <v>0</v>
      </c>
      <c r="AM1287" s="204">
        <f>Delivery[[#This Row],[Valor Prêmio Nespresso BEN por Kg (em US$)]]*60</f>
        <v>0</v>
      </c>
      <c r="AN1287" s="204">
        <f>Delivery[[#This Row],[Valor Prêmio Nespresso BEN por saca (em US$)]]/1.3228/100</f>
        <v>0</v>
      </c>
      <c r="AO1287" s="204">
        <f>SUMIF(Allocation[Delivery ID],Delivery[[#This Row],[Delivery ID]],Allocation[Quantity allocated])*16*1.3228*Delivery[[#This Row],[Exchange rate VS USD]]/60</f>
        <v>1913.0474698666667</v>
      </c>
      <c r="AP1287" s="204">
        <f>Delivery[[#This Row],[AAA Premium (total)]]</f>
        <v>6318.1066666666666</v>
      </c>
      <c r="AQ1287" s="204">
        <f>Delivery[[#This Row],[Valor pago pelo Cluster]]-Delivery[[#This Row],[Valor efetivamente pago pela Nespresso]]</f>
        <v>4405.0591967999999</v>
      </c>
    </row>
    <row r="1288" spans="1:43" ht="15.75">
      <c r="A1288" s="174" t="s">
        <v>69</v>
      </c>
      <c r="B1288" s="243" t="s">
        <v>68</v>
      </c>
      <c r="C1288" s="160">
        <v>1</v>
      </c>
      <c r="D1288" s="160" t="s">
        <v>468</v>
      </c>
      <c r="E1288" s="177" t="s">
        <v>468</v>
      </c>
      <c r="F1288" s="244" t="s">
        <v>543</v>
      </c>
      <c r="G1288" s="158">
        <v>43524</v>
      </c>
      <c r="H1288" s="235" t="s">
        <v>2215</v>
      </c>
      <c r="I1288" s="245" t="s">
        <v>1030</v>
      </c>
      <c r="J1288" s="237">
        <v>12000</v>
      </c>
      <c r="K1288" s="175" t="s">
        <v>61</v>
      </c>
      <c r="L1288" s="175" t="s">
        <v>439</v>
      </c>
      <c r="M1288" s="175" t="s">
        <v>1343</v>
      </c>
      <c r="N1288" s="198"/>
      <c r="O1288" s="199"/>
      <c r="P1288" s="181">
        <v>0</v>
      </c>
      <c r="Q1288" s="177">
        <v>43521</v>
      </c>
      <c r="R1288" s="178">
        <v>372.71093000000002</v>
      </c>
      <c r="S1288" s="179">
        <v>78164</v>
      </c>
      <c r="T1288" s="182" t="s">
        <v>45</v>
      </c>
      <c r="U1288" s="183">
        <v>3.7402000000000002</v>
      </c>
      <c r="V1288" s="179">
        <v>5236</v>
      </c>
      <c r="W1288" s="179">
        <v>0</v>
      </c>
      <c r="X1288" s="196" t="s">
        <v>45</v>
      </c>
      <c r="Y1288" s="200">
        <v>3.7402000000000002</v>
      </c>
      <c r="Z1288" s="246"/>
      <c r="AA1288" s="201">
        <f>Delivery[[#This Row],[Quantity delivered]]*VLOOKUP(Delivery[[#This Row],[Unit]],References!$U:$X,4,FALSE)*VLOOKUP(CONCATENATE(Delivery[[#This Row],[Coffee specie]],Delivery[[#This Row],[Coffee state]]),References!$U:$X,4,FALSE)</f>
        <v>12000</v>
      </c>
      <c r="AB1288" s="202">
        <f>SUMIF(Allocation!C:C,Delivery[[#This Row],[Delivery ID]],Allocation!D:D)/Delivery[[#This Row],[Quantity delivered]]</f>
        <v>0.34725</v>
      </c>
      <c r="AC1288" s="203">
        <f>Delivery[[#This Row],[Quantity delivered]]*Delivery[[#This Row],[Base price (Unidad)]]/60</f>
        <v>74542.186000000002</v>
      </c>
      <c r="AD1288" s="204">
        <f>Delivery[[#This Row],[Nespresso total]]-Delivery[[#This Row],[Qt. Delivery * Base Price]]</f>
        <v>3621.8139999999985</v>
      </c>
      <c r="AE1288" s="204">
        <f>Delivery[[#This Row],[AAA Premium (total)]]/Delivery[[#This Row],[Quantity delivered]]*60/Delivery[[#This Row],[Exchange rate VS USD]]</f>
        <v>6.9996256884658568</v>
      </c>
      <c r="AF1288" s="204">
        <f>Delivery[[#This Row],[BEN premium (total)]]/Delivery[[#This Row],[Quantity delivered]]*60/Delivery[[#This Row],[Exchange rate for premiums VS USD]]</f>
        <v>0</v>
      </c>
      <c r="AG1288" s="204">
        <f>COUNTIF(Delivery[Delivery ID],Delivery[[#This Row],[Delivery ID]])</f>
        <v>1</v>
      </c>
      <c r="AH1288" s="204">
        <f>(Delivery[[#This Row],[Nespresso total]]/SUMIF(Allocation!C:C,Delivery[Delivery ID],Allocation!H:H))/Delivery[[#This Row],[Exchange rate VS USD]]</f>
        <v>13.932231787961427</v>
      </c>
      <c r="AI1288" s="204">
        <f>(Delivery[[#This Row],[AAA Premium (total)]]/SUMIF(Allocation!C:C,Delivery[Delivery ID],Allocation!H:H))/Delivery[[#This Row],[Exchange rate VS USD]]</f>
        <v>0.93328342512878093</v>
      </c>
      <c r="AJ1288" s="204">
        <f>Delivery[[#This Row],[Valor Prêmio Nespresso AAA por Kg (em US$)]]*60</f>
        <v>55.997005507726854</v>
      </c>
      <c r="AK1288" s="204">
        <f>Delivery[[#This Row],[Valor Prêmio Nespresso AAA por saca (em US$)]]/1.3228/100</f>
        <v>0.423321783396786</v>
      </c>
      <c r="AL1288" s="204">
        <f>(Delivery[[#This Row],[BEN premium (total)]]/SUMIF(Allocation!C:C,Delivery[Delivery ID],Allocation!H:H))/Delivery[[#This Row],[Exchange rate for premiums VS USD]]</f>
        <v>0</v>
      </c>
      <c r="AM1288" s="204">
        <f>Delivery[[#This Row],[Valor Prêmio Nespresso BEN por Kg (em US$)]]*60</f>
        <v>0</v>
      </c>
      <c r="AN1288" s="204">
        <f>Delivery[[#This Row],[Valor Prêmio Nespresso BEN por saca (em US$)]]/1.3228/100</f>
        <v>0</v>
      </c>
      <c r="AO1288" s="204">
        <f>SUMIF(Allocation[Delivery ID],Delivery[[#This Row],[Delivery ID]],Allocation[Quantity allocated])*16*1.3228*Delivery[[#This Row],[Exchange rate VS USD]]/60</f>
        <v>1979.0146240000001</v>
      </c>
      <c r="AP1288" s="204">
        <f>Delivery[[#This Row],[AAA Premium (total)]]</f>
        <v>5236</v>
      </c>
      <c r="AQ1288" s="204">
        <f>Delivery[[#This Row],[Valor pago pelo Cluster]]-Delivery[[#This Row],[Valor efetivamente pago pela Nespresso]]</f>
        <v>3256.9853759999996</v>
      </c>
    </row>
    <row r="1289" spans="1:43" ht="15.75">
      <c r="A1289" s="174" t="s">
        <v>69</v>
      </c>
      <c r="B1289" s="232" t="s">
        <v>68</v>
      </c>
      <c r="C1289" s="157">
        <v>1</v>
      </c>
      <c r="D1289" s="157" t="s">
        <v>468</v>
      </c>
      <c r="E1289" s="177" t="s">
        <v>468</v>
      </c>
      <c r="F1289" s="233" t="s">
        <v>543</v>
      </c>
      <c r="G1289" s="234">
        <v>43523</v>
      </c>
      <c r="H1289" s="235" t="s">
        <v>2216</v>
      </c>
      <c r="I1289" s="236" t="s">
        <v>1362</v>
      </c>
      <c r="J1289" s="237">
        <v>15070</v>
      </c>
      <c r="K1289" s="175" t="s">
        <v>61</v>
      </c>
      <c r="L1289" s="175" t="s">
        <v>439</v>
      </c>
      <c r="M1289" s="175" t="s">
        <v>1343</v>
      </c>
      <c r="N1289" s="198"/>
      <c r="O1289" s="199"/>
      <c r="P1289" s="181">
        <v>0</v>
      </c>
      <c r="Q1289" s="177">
        <v>43521</v>
      </c>
      <c r="R1289" s="178">
        <v>371.64666000000005</v>
      </c>
      <c r="S1289" s="179">
        <v>98939.07</v>
      </c>
      <c r="T1289" s="182" t="s">
        <v>45</v>
      </c>
      <c r="U1289" s="183">
        <v>3.7389000000000001</v>
      </c>
      <c r="V1289" s="179">
        <v>19721.61</v>
      </c>
      <c r="W1289" s="179">
        <v>0</v>
      </c>
      <c r="X1289" s="196" t="s">
        <v>45</v>
      </c>
      <c r="Y1289" s="200">
        <v>3.7389000000000001</v>
      </c>
      <c r="Z1289" s="220"/>
      <c r="AA1289" s="201">
        <f>Delivery[[#This Row],[Quantity delivered]]*VLOOKUP(Delivery[[#This Row],[Unit]],References!$U:$X,4,FALSE)*VLOOKUP(CONCATENATE(Delivery[[#This Row],[Coffee specie]],Delivery[[#This Row],[Coffee state]]),References!$U:$X,4,FALSE)</f>
        <v>15070</v>
      </c>
      <c r="AB1289" s="202">
        <f>SUMIF(Allocation!C:C,Delivery[[#This Row],[Delivery ID]],Allocation!D:D)/Delivery[[#This Row],[Quantity delivered]]</f>
        <v>4.7179827471798275E-2</v>
      </c>
      <c r="AC1289" s="203">
        <f>Delivery[[#This Row],[Quantity delivered]]*Delivery[[#This Row],[Base price (Unidad)]]/60</f>
        <v>93345.252770000006</v>
      </c>
      <c r="AD1289" s="204">
        <f>Delivery[[#This Row],[Nespresso total]]-Delivery[[#This Row],[Qt. Delivery * Base Price]]</f>
        <v>5593.8172300000006</v>
      </c>
      <c r="AE1289" s="204">
        <f>Delivery[[#This Row],[AAA Premium (total)]]/Delivery[[#This Row],[Quantity delivered]]*60/Delivery[[#This Row],[Exchange rate VS USD]]</f>
        <v>21.000832670411118</v>
      </c>
      <c r="AF1289" s="204">
        <f>Delivery[[#This Row],[BEN premium (total)]]/Delivery[[#This Row],[Quantity delivered]]*60/Delivery[[#This Row],[Exchange rate for premiums VS USD]]</f>
        <v>0</v>
      </c>
      <c r="AG1289" s="204">
        <f>COUNTIF(Delivery[Delivery ID],Delivery[[#This Row],[Delivery ID]])</f>
        <v>1</v>
      </c>
      <c r="AH1289" s="204">
        <f>(Delivery[[#This Row],[Nespresso total]]/SUMIF(Allocation!C:C,Delivery[Delivery ID],Allocation!H:H))/Delivery[[#This Row],[Exchange rate VS USD]]</f>
        <v>39.613891850416159</v>
      </c>
      <c r="AI1289" s="204">
        <f>(Delivery[[#This Row],[AAA Premium (total)]]/SUMIF(Allocation!C:C,Delivery[Delivery ID],Allocation!H:H))/Delivery[[#This Row],[Exchange rate VS USD]]</f>
        <v>7.8962711662449001</v>
      </c>
      <c r="AJ1289" s="204">
        <f>Delivery[[#This Row],[Valor Prêmio Nespresso AAA por Kg (em US$)]]*60</f>
        <v>473.776269974694</v>
      </c>
      <c r="AK1289" s="204">
        <f>Delivery[[#This Row],[Valor Prêmio Nespresso AAA por saca (em US$)]]/1.3228/100</f>
        <v>3.5816167975105384</v>
      </c>
      <c r="AL1289" s="204">
        <f>(Delivery[[#This Row],[BEN premium (total)]]/SUMIF(Allocation!C:C,Delivery[Delivery ID],Allocation!H:H))/Delivery[[#This Row],[Exchange rate for premiums VS USD]]</f>
        <v>0</v>
      </c>
      <c r="AM1289" s="204">
        <f>Delivery[[#This Row],[Valor Prêmio Nespresso BEN por Kg (em US$)]]*60</f>
        <v>0</v>
      </c>
      <c r="AN1289" s="204">
        <f>Delivery[[#This Row],[Valor Prêmio Nespresso BEN por saca (em US$)]]/1.3228/100</f>
        <v>0</v>
      </c>
      <c r="AO1289" s="204">
        <f>SUMIF(Allocation[Delivery ID],Delivery[[#This Row],[Delivery ID]],Allocation[Quantity allocated])*16*1.3228*Delivery[[#This Row],[Exchange rate VS USD]]/60</f>
        <v>881.01485401600007</v>
      </c>
      <c r="AP1289" s="204">
        <f>Delivery[[#This Row],[AAA Premium (total)]]</f>
        <v>19721.61</v>
      </c>
      <c r="AQ1289" s="204">
        <f>Delivery[[#This Row],[Valor pago pelo Cluster]]-Delivery[[#This Row],[Valor efetivamente pago pela Nespresso]]</f>
        <v>18840.595145984</v>
      </c>
    </row>
    <row r="1290" spans="1:43" ht="15.75">
      <c r="A1290" s="174" t="s">
        <v>69</v>
      </c>
      <c r="B1290" s="232" t="s">
        <v>68</v>
      </c>
      <c r="C1290" s="157">
        <v>1</v>
      </c>
      <c r="D1290" s="157" t="s">
        <v>468</v>
      </c>
      <c r="E1290" s="177" t="s">
        <v>468</v>
      </c>
      <c r="F1290" s="233" t="s">
        <v>543</v>
      </c>
      <c r="G1290" s="234">
        <v>43531</v>
      </c>
      <c r="H1290" s="235" t="s">
        <v>2217</v>
      </c>
      <c r="I1290" s="236" t="s">
        <v>1693</v>
      </c>
      <c r="J1290" s="237">
        <v>1200</v>
      </c>
      <c r="K1290" s="175" t="s">
        <v>61</v>
      </c>
      <c r="L1290" s="175" t="s">
        <v>439</v>
      </c>
      <c r="M1290" s="175" t="s">
        <v>1343</v>
      </c>
      <c r="N1290" s="198"/>
      <c r="O1290" s="199"/>
      <c r="P1290" s="181">
        <v>0</v>
      </c>
      <c r="Q1290" s="177">
        <v>43525</v>
      </c>
      <c r="R1290" s="178">
        <v>372.16379999999998</v>
      </c>
      <c r="S1290" s="179">
        <v>7842.8</v>
      </c>
      <c r="T1290" s="182" t="s">
        <v>45</v>
      </c>
      <c r="U1290" s="183">
        <v>3.786</v>
      </c>
      <c r="V1290" s="179">
        <v>530.04</v>
      </c>
      <c r="W1290" s="179">
        <v>0</v>
      </c>
      <c r="X1290" s="196" t="s">
        <v>45</v>
      </c>
      <c r="Y1290" s="200">
        <v>3.786</v>
      </c>
      <c r="Z1290" s="220"/>
      <c r="AA1290" s="201">
        <f>Delivery[[#This Row],[Quantity delivered]]*VLOOKUP(Delivery[[#This Row],[Unit]],References!$U:$X,4,FALSE)*VLOOKUP(CONCATENATE(Delivery[[#This Row],[Coffee specie]],Delivery[[#This Row],[Coffee state]]),References!$U:$X,4,FALSE)</f>
        <v>1200</v>
      </c>
      <c r="AB1290" s="202">
        <f>SUMIF(Allocation!C:C,Delivery[[#This Row],[Delivery ID]],Allocation!D:D)/Delivery[[#This Row],[Quantity delivered]]</f>
        <v>0.90666666666666662</v>
      </c>
      <c r="AC1290" s="203">
        <f>Delivery[[#This Row],[Quantity delivered]]*Delivery[[#This Row],[Base price (Unidad)]]/60</f>
        <v>7443.2759999999998</v>
      </c>
      <c r="AD1290" s="204">
        <f>Delivery[[#This Row],[Nespresso total]]-Delivery[[#This Row],[Qt. Delivery * Base Price]]</f>
        <v>399.52400000000034</v>
      </c>
      <c r="AE1290" s="204">
        <f>Delivery[[#This Row],[AAA Premium (total)]]/Delivery[[#This Row],[Quantity delivered]]*60/Delivery[[#This Row],[Exchange rate VS USD]]</f>
        <v>7</v>
      </c>
      <c r="AF1290" s="204">
        <f>Delivery[[#This Row],[BEN premium (total)]]/Delivery[[#This Row],[Quantity delivered]]*60/Delivery[[#This Row],[Exchange rate for premiums VS USD]]</f>
        <v>0</v>
      </c>
      <c r="AG1290" s="204">
        <f>COUNTIF(Delivery[Delivery ID],Delivery[[#This Row],[Delivery ID]])</f>
        <v>1</v>
      </c>
      <c r="AH1290" s="204">
        <f>(Delivery[[#This Row],[Nespresso total]]/SUMIF(Allocation!C:C,Delivery[Delivery ID],Allocation!H:H))/Delivery[[#This Row],[Exchange rate VS USD]]</f>
        <v>3.8865416083150226</v>
      </c>
      <c r="AI1290" s="204">
        <f>(Delivery[[#This Row],[AAA Premium (total)]]/SUMIF(Allocation!C:C,Delivery[Delivery ID],Allocation!H:H))/Delivery[[#This Row],[Exchange rate VS USD]]</f>
        <v>0.26266416510318946</v>
      </c>
      <c r="AJ1290" s="204">
        <f>Delivery[[#This Row],[Valor Prêmio Nespresso AAA por Kg (em US$)]]*60</f>
        <v>15.759849906191368</v>
      </c>
      <c r="AK1290" s="204">
        <f>Delivery[[#This Row],[Valor Prêmio Nespresso AAA por saca (em US$)]]/1.3228/100</f>
        <v>0.11914008093582831</v>
      </c>
      <c r="AL1290" s="204">
        <f>(Delivery[[#This Row],[BEN premium (total)]]/SUMIF(Allocation!C:C,Delivery[Delivery ID],Allocation!H:H))/Delivery[[#This Row],[Exchange rate for premiums VS USD]]</f>
        <v>0</v>
      </c>
      <c r="AM1290" s="204">
        <f>Delivery[[#This Row],[Valor Prêmio Nespresso BEN por Kg (em US$)]]*60</f>
        <v>0</v>
      </c>
      <c r="AN1290" s="204">
        <f>Delivery[[#This Row],[Valor Prêmio Nespresso BEN por saca (em US$)]]/1.3228/100</f>
        <v>0</v>
      </c>
      <c r="AO1290" s="204">
        <f>SUMIF(Allocation[Delivery ID],Delivery[[#This Row],[Delivery ID]],Allocation[Quantity allocated])*16*1.3228*Delivery[[#This Row],[Exchange rate VS USD]]/60</f>
        <v>711.82090303999996</v>
      </c>
      <c r="AP1290" s="204">
        <f>Delivery[[#This Row],[AAA Premium (total)]]</f>
        <v>530.04</v>
      </c>
      <c r="AQ1290" s="204">
        <f>Delivery[[#This Row],[Valor pago pelo Cluster]]-Delivery[[#This Row],[Valor efetivamente pago pela Nespresso]]</f>
        <v>-181.78090304</v>
      </c>
    </row>
    <row r="1291" spans="1:43" ht="15.75">
      <c r="A1291" s="174" t="s">
        <v>69</v>
      </c>
      <c r="B1291" s="232" t="s">
        <v>68</v>
      </c>
      <c r="C1291" s="157">
        <v>1</v>
      </c>
      <c r="D1291" s="157" t="s">
        <v>468</v>
      </c>
      <c r="E1291" s="177" t="s">
        <v>468</v>
      </c>
      <c r="F1291" s="233" t="s">
        <v>543</v>
      </c>
      <c r="G1291" s="234">
        <v>43531</v>
      </c>
      <c r="H1291" s="235" t="s">
        <v>2077</v>
      </c>
      <c r="I1291" s="236" t="s">
        <v>1011</v>
      </c>
      <c r="J1291" s="237">
        <v>10800</v>
      </c>
      <c r="K1291" s="175" t="s">
        <v>61</v>
      </c>
      <c r="L1291" s="175" t="s">
        <v>439</v>
      </c>
      <c r="M1291" s="175" t="s">
        <v>1343</v>
      </c>
      <c r="N1291" s="198"/>
      <c r="O1291" s="199"/>
      <c r="P1291" s="181">
        <v>0</v>
      </c>
      <c r="Q1291" s="177">
        <v>43525</v>
      </c>
      <c r="R1291" s="178">
        <v>372.16379999999998</v>
      </c>
      <c r="S1291" s="179">
        <v>70585.2</v>
      </c>
      <c r="T1291" s="182" t="s">
        <v>45</v>
      </c>
      <c r="U1291" s="183">
        <v>3.786</v>
      </c>
      <c r="V1291" s="179">
        <v>4770.3599999999997</v>
      </c>
      <c r="W1291" s="179">
        <v>0</v>
      </c>
      <c r="X1291" s="196" t="s">
        <v>45</v>
      </c>
      <c r="Y1291" s="200">
        <v>3.786</v>
      </c>
      <c r="Z1291" s="220"/>
      <c r="AA1291" s="201">
        <f>Delivery[[#This Row],[Quantity delivered]]*VLOOKUP(Delivery[[#This Row],[Unit]],References!$U:$X,4,FALSE)*VLOOKUP(CONCATENATE(Delivery[[#This Row],[Coffee specie]],Delivery[[#This Row],[Coffee state]]),References!$U:$X,4,FALSE)</f>
        <v>10800</v>
      </c>
      <c r="AB1291" s="202">
        <f>SUMIF(Allocation!C:C,Delivery[[#This Row],[Delivery ID]],Allocation!D:D)/Delivery[[#This Row],[Quantity delivered]]</f>
        <v>0.61416666666666664</v>
      </c>
      <c r="AC1291" s="203">
        <f>Delivery[[#This Row],[Quantity delivered]]*Delivery[[#This Row],[Base price (Unidad)]]/60</f>
        <v>66989.483999999997</v>
      </c>
      <c r="AD1291" s="204">
        <f>Delivery[[#This Row],[Nespresso total]]-Delivery[[#This Row],[Qt. Delivery * Base Price]]</f>
        <v>3595.7160000000003</v>
      </c>
      <c r="AE1291" s="204">
        <f>Delivery[[#This Row],[AAA Premium (total)]]/Delivery[[#This Row],[Quantity delivered]]*60/Delivery[[#This Row],[Exchange rate VS USD]]</f>
        <v>7</v>
      </c>
      <c r="AF1291" s="204">
        <f>Delivery[[#This Row],[BEN premium (total)]]/Delivery[[#This Row],[Quantity delivered]]*60/Delivery[[#This Row],[Exchange rate for premiums VS USD]]</f>
        <v>0</v>
      </c>
      <c r="AG1291" s="204">
        <f>COUNTIF(Delivery[Delivery ID],Delivery[[#This Row],[Delivery ID]])</f>
        <v>1</v>
      </c>
      <c r="AH1291" s="204">
        <f>(Delivery[[#This Row],[Nespresso total]]/SUMIF(Allocation!C:C,Delivery[Delivery ID],Allocation!H:H))/Delivery[[#This Row],[Exchange rate VS USD]]</f>
        <v>5.7365354138729732</v>
      </c>
      <c r="AI1291" s="204">
        <f>(Delivery[[#This Row],[AAA Premium (total)]]/SUMIF(Allocation!C:C,Delivery[Delivery ID],Allocation!H:H))/Delivery[[#This Row],[Exchange rate VS USD]]</f>
        <v>0.38769230769230767</v>
      </c>
      <c r="AJ1291" s="204">
        <f>Delivery[[#This Row],[Valor Prêmio Nespresso AAA por Kg (em US$)]]*60</f>
        <v>23.261538461538461</v>
      </c>
      <c r="AK1291" s="204">
        <f>Delivery[[#This Row],[Valor Prêmio Nespresso AAA por saca (em US$)]]/1.3228/100</f>
        <v>0.17585075946128259</v>
      </c>
      <c r="AL1291" s="204">
        <f>(Delivery[[#This Row],[BEN premium (total)]]/SUMIF(Allocation!C:C,Delivery[Delivery ID],Allocation!H:H))/Delivery[[#This Row],[Exchange rate for premiums VS USD]]</f>
        <v>0</v>
      </c>
      <c r="AM1291" s="204">
        <f>Delivery[[#This Row],[Valor Prêmio Nespresso BEN por Kg (em US$)]]*60</f>
        <v>0</v>
      </c>
      <c r="AN1291" s="204">
        <f>Delivery[[#This Row],[Valor Prêmio Nespresso BEN por saca (em US$)]]/1.3228/100</f>
        <v>0</v>
      </c>
      <c r="AO1291" s="204">
        <f>SUMIF(Allocation[Delivery ID],Delivery[[#This Row],[Delivery ID]],Allocation[Quantity allocated])*16*1.3228*Delivery[[#This Row],[Exchange rate VS USD]]/60</f>
        <v>4340.3713600000001</v>
      </c>
      <c r="AP1291" s="204">
        <f>Delivery[[#This Row],[AAA Premium (total)]]</f>
        <v>4770.3599999999997</v>
      </c>
      <c r="AQ1291" s="204">
        <f>Delivery[[#This Row],[Valor pago pelo Cluster]]-Delivery[[#This Row],[Valor efetivamente pago pela Nespresso]]</f>
        <v>429.98863999999958</v>
      </c>
    </row>
    <row r="1292" spans="1:43" ht="15.75">
      <c r="A1292" s="174" t="s">
        <v>69</v>
      </c>
      <c r="B1292" s="232" t="s">
        <v>68</v>
      </c>
      <c r="C1292" s="157">
        <v>1</v>
      </c>
      <c r="D1292" s="157" t="s">
        <v>468</v>
      </c>
      <c r="E1292" s="177" t="s">
        <v>468</v>
      </c>
      <c r="F1292" s="233" t="s">
        <v>543</v>
      </c>
      <c r="G1292" s="234">
        <v>43531</v>
      </c>
      <c r="H1292" s="235" t="s">
        <v>2078</v>
      </c>
      <c r="I1292" s="236" t="s">
        <v>2076</v>
      </c>
      <c r="J1292" s="237">
        <v>8241.5</v>
      </c>
      <c r="K1292" s="175" t="s">
        <v>61</v>
      </c>
      <c r="L1292" s="175" t="s">
        <v>439</v>
      </c>
      <c r="M1292" s="175" t="s">
        <v>1343</v>
      </c>
      <c r="N1292" s="198"/>
      <c r="O1292" s="199"/>
      <c r="P1292" s="181">
        <v>0</v>
      </c>
      <c r="Q1292" s="177">
        <v>43525</v>
      </c>
      <c r="R1292" s="178">
        <v>372.16379999999998</v>
      </c>
      <c r="S1292" s="179">
        <v>53723.18</v>
      </c>
      <c r="T1292" s="182" t="s">
        <v>45</v>
      </c>
      <c r="U1292" s="183">
        <v>3.786</v>
      </c>
      <c r="V1292" s="179">
        <v>5186.82</v>
      </c>
      <c r="W1292" s="179">
        <v>0</v>
      </c>
      <c r="X1292" s="196" t="s">
        <v>45</v>
      </c>
      <c r="Y1292" s="200">
        <v>3.786</v>
      </c>
      <c r="Z1292" s="220"/>
      <c r="AA1292" s="201">
        <f>Delivery[[#This Row],[Quantity delivered]]*VLOOKUP(Delivery[[#This Row],[Unit]],References!$U:$X,4,FALSE)*VLOOKUP(CONCATENATE(Delivery[[#This Row],[Coffee specie]],Delivery[[#This Row],[Coffee state]]),References!$U:$X,4,FALSE)</f>
        <v>8241.5</v>
      </c>
      <c r="AB1292" s="202">
        <f>SUMIF(Allocation!C:C,Delivery[[#This Row],[Delivery ID]],Allocation!D:D)/Delivery[[#This Row],[Quantity delivered]]</f>
        <v>0.12509858642237456</v>
      </c>
      <c r="AC1292" s="203">
        <f>Delivery[[#This Row],[Quantity delivered]]*Delivery[[#This Row],[Base price (Unidad)]]/60</f>
        <v>51119.799294999997</v>
      </c>
      <c r="AD1292" s="204">
        <f>Delivery[[#This Row],[Nespresso total]]-Delivery[[#This Row],[Qt. Delivery * Base Price]]</f>
        <v>2603.3807050000032</v>
      </c>
      <c r="AE1292" s="204">
        <f>Delivery[[#This Row],[AAA Premium (total)]]/Delivery[[#This Row],[Quantity delivered]]*60/Delivery[[#This Row],[Exchange rate VS USD]]</f>
        <v>9.9739125159255</v>
      </c>
      <c r="AF1292" s="204">
        <f>Delivery[[#This Row],[BEN premium (total)]]/Delivery[[#This Row],[Quantity delivered]]*60/Delivery[[#This Row],[Exchange rate for premiums VS USD]]</f>
        <v>0</v>
      </c>
      <c r="AG1292" s="204">
        <f>COUNTIF(Delivery[Delivery ID],Delivery[[#This Row],[Delivery ID]])</f>
        <v>1</v>
      </c>
      <c r="AH1292" s="204">
        <f>(Delivery[[#This Row],[Nespresso total]]/SUMIF(Allocation!C:C,Delivery[Delivery ID],Allocation!H:H))/Delivery[[#This Row],[Exchange rate VS USD]]</f>
        <v>28.098926215917945</v>
      </c>
      <c r="AI1292" s="204">
        <f>(Delivery[[#This Row],[AAA Premium (total)]]/SUMIF(Allocation!C:C,Delivery[Delivery ID],Allocation!H:H))/Delivery[[#This Row],[Exchange rate VS USD]]</f>
        <v>2.7128712871287126</v>
      </c>
      <c r="AJ1292" s="204">
        <f>Delivery[[#This Row],[Valor Prêmio Nespresso AAA por Kg (em US$)]]*60</f>
        <v>162.77227722772275</v>
      </c>
      <c r="AK1292" s="204">
        <f>Delivery[[#This Row],[Valor Prêmio Nespresso AAA por saca (em US$)]]/1.3228/100</f>
        <v>1.2305131329582912</v>
      </c>
      <c r="AL1292" s="204">
        <f>(Delivery[[#This Row],[BEN premium (total)]]/SUMIF(Allocation!C:C,Delivery[Delivery ID],Allocation!H:H))/Delivery[[#This Row],[Exchange rate for premiums VS USD]]</f>
        <v>0</v>
      </c>
      <c r="AM1292" s="204">
        <f>Delivery[[#This Row],[Valor Prêmio Nespresso BEN por Kg (em US$)]]*60</f>
        <v>0</v>
      </c>
      <c r="AN1292" s="204">
        <f>Delivery[[#This Row],[Valor Prêmio Nespresso BEN por saca (em US$)]]/1.3228/100</f>
        <v>0</v>
      </c>
      <c r="AO1292" s="204">
        <f>SUMIF(Allocation[Delivery ID],Delivery[[#This Row],[Delivery ID]],Allocation[Quantity allocated])*16*1.3228*Delivery[[#This Row],[Exchange rate VS USD]]/60</f>
        <v>674.42693440000005</v>
      </c>
      <c r="AP1292" s="204">
        <f>Delivery[[#This Row],[AAA Premium (total)]]</f>
        <v>5186.82</v>
      </c>
      <c r="AQ1292" s="204">
        <f>Delivery[[#This Row],[Valor pago pelo Cluster]]-Delivery[[#This Row],[Valor efetivamente pago pela Nespresso]]</f>
        <v>4512.3930655999993</v>
      </c>
    </row>
    <row r="1293" spans="1:43" ht="15.75">
      <c r="A1293" s="174" t="s">
        <v>69</v>
      </c>
      <c r="B1293" s="232" t="s">
        <v>68</v>
      </c>
      <c r="C1293" s="157">
        <v>1</v>
      </c>
      <c r="D1293" s="157" t="s">
        <v>468</v>
      </c>
      <c r="E1293" s="177" t="s">
        <v>468</v>
      </c>
      <c r="F1293" s="233" t="s">
        <v>543</v>
      </c>
      <c r="G1293" s="234">
        <v>43531</v>
      </c>
      <c r="H1293" s="235" t="s">
        <v>2079</v>
      </c>
      <c r="I1293" s="236" t="s">
        <v>1141</v>
      </c>
      <c r="J1293" s="237">
        <v>23898</v>
      </c>
      <c r="K1293" s="175" t="s">
        <v>61</v>
      </c>
      <c r="L1293" s="175" t="s">
        <v>439</v>
      </c>
      <c r="M1293" s="175" t="s">
        <v>1343</v>
      </c>
      <c r="N1293" s="198"/>
      <c r="O1293" s="199"/>
      <c r="P1293" s="181">
        <v>0</v>
      </c>
      <c r="Q1293" s="177">
        <v>43525</v>
      </c>
      <c r="R1293" s="178">
        <v>378.62247000000002</v>
      </c>
      <c r="S1293" s="179">
        <v>156918.22</v>
      </c>
      <c r="T1293" s="182" t="s">
        <v>45</v>
      </c>
      <c r="U1293" s="183">
        <v>3.7749000000000001</v>
      </c>
      <c r="V1293" s="179">
        <v>14982.78</v>
      </c>
      <c r="W1293" s="179">
        <v>0</v>
      </c>
      <c r="X1293" s="196" t="s">
        <v>45</v>
      </c>
      <c r="Y1293" s="200">
        <v>3.7749000000000001</v>
      </c>
      <c r="Z1293" s="220"/>
      <c r="AA1293" s="201">
        <f>Delivery[[#This Row],[Quantity delivered]]*VLOOKUP(Delivery[[#This Row],[Unit]],References!$U:$X,4,FALSE)*VLOOKUP(CONCATENATE(Delivery[[#This Row],[Coffee specie]],Delivery[[#This Row],[Coffee state]]),References!$U:$X,4,FALSE)</f>
        <v>23898</v>
      </c>
      <c r="AB1293" s="202">
        <f>SUMIF(Allocation!C:C,Delivery[[#This Row],[Delivery ID]],Allocation!D:D)/Delivery[[#This Row],[Quantity delivered]]</f>
        <v>0.22947526989706252</v>
      </c>
      <c r="AC1293" s="203">
        <f>Delivery[[#This Row],[Quantity delivered]]*Delivery[[#This Row],[Base price (Unidad)]]/60</f>
        <v>150805.32980100001</v>
      </c>
      <c r="AD1293" s="204">
        <f>Delivery[[#This Row],[Nespresso total]]-Delivery[[#This Row],[Qt. Delivery * Base Price]]</f>
        <v>6112.8901989999868</v>
      </c>
      <c r="AE1293" s="204">
        <f>Delivery[[#This Row],[AAA Premium (total)]]/Delivery[[#This Row],[Quantity delivered]]*60/Delivery[[#This Row],[Exchange rate VS USD]]</f>
        <v>9.9649848979676765</v>
      </c>
      <c r="AF1293" s="204">
        <f>Delivery[[#This Row],[BEN premium (total)]]/Delivery[[#This Row],[Quantity delivered]]*60/Delivery[[#This Row],[Exchange rate for premiums VS USD]]</f>
        <v>0</v>
      </c>
      <c r="AG1293" s="204">
        <f>COUNTIF(Delivery[Delivery ID],Delivery[[#This Row],[Delivery ID]])</f>
        <v>1</v>
      </c>
      <c r="AH1293" s="204">
        <f>(Delivery[[#This Row],[Nespresso total]]/SUMIF(Allocation!C:C,Delivery[Delivery ID],Allocation!H:H))/Delivery[[#This Row],[Exchange rate VS USD]]</f>
        <v>15.787634469698741</v>
      </c>
      <c r="AI1293" s="204">
        <f>(Delivery[[#This Row],[AAA Premium (total)]]/SUMIF(Allocation!C:C,Delivery[Delivery ID],Allocation!H:H))/Delivery[[#This Row],[Exchange rate VS USD]]</f>
        <v>1.5074263140374198</v>
      </c>
      <c r="AJ1293" s="204">
        <f>Delivery[[#This Row],[Valor Prêmio Nespresso AAA por Kg (em US$)]]*60</f>
        <v>90.445578842245183</v>
      </c>
      <c r="AK1293" s="204">
        <f>Delivery[[#This Row],[Valor Prêmio Nespresso AAA por saca (em US$)]]/1.3228/100</f>
        <v>0.68374341428972774</v>
      </c>
      <c r="AL1293" s="204">
        <f>(Delivery[[#This Row],[BEN premium (total)]]/SUMIF(Allocation!C:C,Delivery[Delivery ID],Allocation!H:H))/Delivery[[#This Row],[Exchange rate for premiums VS USD]]</f>
        <v>0</v>
      </c>
      <c r="AM1293" s="204">
        <f>Delivery[[#This Row],[Valor Prêmio Nespresso BEN por Kg (em US$)]]*60</f>
        <v>0</v>
      </c>
      <c r="AN1293" s="204">
        <f>Delivery[[#This Row],[Valor Prêmio Nespresso BEN por saca (em US$)]]/1.3228/100</f>
        <v>0</v>
      </c>
      <c r="AO1293" s="204">
        <f>SUMIF(Allocation[Delivery ID],Delivery[[#This Row],[Delivery ID]],Allocation[Quantity allocated])*16*1.3228*Delivery[[#This Row],[Exchange rate VS USD]]/60</f>
        <v>3506.0590711360001</v>
      </c>
      <c r="AP1293" s="204">
        <f>Delivery[[#This Row],[AAA Premium (total)]]</f>
        <v>14982.78</v>
      </c>
      <c r="AQ1293" s="204">
        <f>Delivery[[#This Row],[Valor pago pelo Cluster]]-Delivery[[#This Row],[Valor efetivamente pago pela Nespresso]]</f>
        <v>11476.720928864001</v>
      </c>
    </row>
    <row r="1294" spans="1:43" ht="15.75">
      <c r="A1294" s="174" t="s">
        <v>69</v>
      </c>
      <c r="B1294" s="232" t="s">
        <v>68</v>
      </c>
      <c r="C1294" s="157">
        <v>1</v>
      </c>
      <c r="D1294" s="157" t="s">
        <v>468</v>
      </c>
      <c r="E1294" s="177" t="s">
        <v>468</v>
      </c>
      <c r="F1294" s="233" t="s">
        <v>543</v>
      </c>
      <c r="G1294" s="234">
        <v>43532</v>
      </c>
      <c r="H1294" s="235" t="s">
        <v>2080</v>
      </c>
      <c r="I1294" s="236" t="s">
        <v>2081</v>
      </c>
      <c r="J1294" s="237">
        <v>12263.5</v>
      </c>
      <c r="K1294" s="175" t="s">
        <v>61</v>
      </c>
      <c r="L1294" s="175" t="s">
        <v>439</v>
      </c>
      <c r="M1294" s="175" t="s">
        <v>1343</v>
      </c>
      <c r="N1294" s="198"/>
      <c r="O1294" s="199"/>
      <c r="P1294" s="181">
        <v>0</v>
      </c>
      <c r="Q1294" s="177">
        <v>43525</v>
      </c>
      <c r="R1294" s="178">
        <v>379.31296499999996</v>
      </c>
      <c r="S1294" s="179">
        <v>82086.98</v>
      </c>
      <c r="T1294" s="182" t="s">
        <v>45</v>
      </c>
      <c r="U1294" s="183">
        <v>3.7799</v>
      </c>
      <c r="V1294" s="179">
        <v>7767.9</v>
      </c>
      <c r="W1294" s="179">
        <v>0</v>
      </c>
      <c r="X1294" s="196" t="s">
        <v>45</v>
      </c>
      <c r="Y1294" s="200">
        <v>3.7799</v>
      </c>
      <c r="Z1294" s="220"/>
      <c r="AA1294" s="201">
        <f>Delivery[[#This Row],[Quantity delivered]]*VLOOKUP(Delivery[[#This Row],[Unit]],References!$U:$X,4,FALSE)*VLOOKUP(CONCATENATE(Delivery[[#This Row],[Coffee specie]],Delivery[[#This Row],[Coffee state]]),References!$U:$X,4,FALSE)</f>
        <v>12263.5</v>
      </c>
      <c r="AB1294" s="202">
        <f>SUMIF(Allocation!C:C,Delivery[[#This Row],[Delivery ID]],Allocation!D:D)/Delivery[[#This Row],[Quantity delivered]]</f>
        <v>0.12255881273698373</v>
      </c>
      <c r="AC1294" s="203">
        <f>Delivery[[#This Row],[Quantity delivered]]*Delivery[[#This Row],[Base price (Unidad)]]/60</f>
        <v>77528.409104624996</v>
      </c>
      <c r="AD1294" s="204">
        <f>Delivery[[#This Row],[Nespresso total]]-Delivery[[#This Row],[Qt. Delivery * Base Price]]</f>
        <v>4558.570895375</v>
      </c>
      <c r="AE1294" s="204">
        <f>Delivery[[#This Row],[AAA Premium (total)]]/Delivery[[#This Row],[Quantity delivered]]*60/Delivery[[#This Row],[Exchange rate VS USD]]</f>
        <v>10.054491946920372</v>
      </c>
      <c r="AF1294" s="204">
        <f>Delivery[[#This Row],[BEN premium (total)]]/Delivery[[#This Row],[Quantity delivered]]*60/Delivery[[#This Row],[Exchange rate for premiums VS USD]]</f>
        <v>0</v>
      </c>
      <c r="AG1294" s="204">
        <f>COUNTIF(Delivery[Delivery ID],Delivery[[#This Row],[Delivery ID]])</f>
        <v>1</v>
      </c>
      <c r="AH1294" s="204">
        <f>(Delivery[[#This Row],[Nespresso total]]/SUMIF(Allocation!C:C,Delivery[Delivery ID],Allocation!H:H))/Delivery[[#This Row],[Exchange rate VS USD]]</f>
        <v>28.917052984267578</v>
      </c>
      <c r="AI1294" s="204">
        <f>(Delivery[[#This Row],[AAA Premium (total)]]/SUMIF(Allocation!C:C,Delivery[Delivery ID],Allocation!H:H))/Delivery[[#This Row],[Exchange rate VS USD]]</f>
        <v>2.7364239234588981</v>
      </c>
      <c r="AJ1294" s="204">
        <f>Delivery[[#This Row],[Valor Prêmio Nespresso AAA por Kg (em US$)]]*60</f>
        <v>164.18543540753387</v>
      </c>
      <c r="AK1294" s="204">
        <f>Delivery[[#This Row],[Valor Prêmio Nespresso AAA por saca (em US$)]]/1.3228/100</f>
        <v>1.2411962156602199</v>
      </c>
      <c r="AL1294" s="204">
        <f>(Delivery[[#This Row],[BEN premium (total)]]/SUMIF(Allocation!C:C,Delivery[Delivery ID],Allocation!H:H))/Delivery[[#This Row],[Exchange rate for premiums VS USD]]</f>
        <v>0</v>
      </c>
      <c r="AM1294" s="204">
        <f>Delivery[[#This Row],[Valor Prêmio Nespresso BEN por Kg (em US$)]]*60</f>
        <v>0</v>
      </c>
      <c r="AN1294" s="204">
        <f>Delivery[[#This Row],[Valor Prêmio Nespresso BEN por saca (em US$)]]/1.3228/100</f>
        <v>0</v>
      </c>
      <c r="AO1294" s="204">
        <f>SUMIF(Allocation[Delivery ID],Delivery[[#This Row],[Delivery ID]],Allocation[Quantity allocated])*16*1.3228*Delivery[[#This Row],[Exchange rate VS USD]]/60</f>
        <v>1001.3436911253333</v>
      </c>
      <c r="AP1294" s="204">
        <f>Delivery[[#This Row],[AAA Premium (total)]]</f>
        <v>7767.9</v>
      </c>
      <c r="AQ1294" s="204">
        <f>Delivery[[#This Row],[Valor pago pelo Cluster]]-Delivery[[#This Row],[Valor efetivamente pago pela Nespresso]]</f>
        <v>6766.5563088746667</v>
      </c>
    </row>
    <row r="1295" spans="1:43" ht="15.75">
      <c r="A1295" s="174" t="s">
        <v>69</v>
      </c>
      <c r="B1295" s="232" t="s">
        <v>68</v>
      </c>
      <c r="C1295" s="157">
        <v>1</v>
      </c>
      <c r="D1295" s="157" t="s">
        <v>468</v>
      </c>
      <c r="E1295" s="177" t="s">
        <v>468</v>
      </c>
      <c r="F1295" s="240" t="s">
        <v>543</v>
      </c>
      <c r="G1295" s="234">
        <v>43542</v>
      </c>
      <c r="H1295" s="157" t="s">
        <v>2082</v>
      </c>
      <c r="I1295" s="236" t="s">
        <v>1009</v>
      </c>
      <c r="J1295" s="237">
        <v>32000</v>
      </c>
      <c r="K1295" s="175" t="s">
        <v>61</v>
      </c>
      <c r="L1295" s="175" t="s">
        <v>439</v>
      </c>
      <c r="M1295" s="175" t="s">
        <v>1343</v>
      </c>
      <c r="N1295" s="198"/>
      <c r="O1295" s="199"/>
      <c r="P1295" s="181">
        <v>0</v>
      </c>
      <c r="Q1295" s="177">
        <v>43537</v>
      </c>
      <c r="R1295" s="178">
        <v>370.33380500000004</v>
      </c>
      <c r="S1295" s="179">
        <v>207318.56254773334</v>
      </c>
      <c r="T1295" s="182" t="s">
        <v>45</v>
      </c>
      <c r="U1295" s="183">
        <v>3.8317000000000001</v>
      </c>
      <c r="V1295" s="179">
        <v>20424.560000000001</v>
      </c>
      <c r="W1295" s="179">
        <v>6776.8774522666654</v>
      </c>
      <c r="X1295" s="196" t="s">
        <v>45</v>
      </c>
      <c r="Y1295" s="200">
        <v>3.8317000000000001</v>
      </c>
      <c r="Z1295" s="220" t="s">
        <v>473</v>
      </c>
      <c r="AA1295" s="201">
        <f>Delivery[[#This Row],[Quantity delivered]]*VLOOKUP(Delivery[[#This Row],[Unit]],References!$U:$X,4,FALSE)*VLOOKUP(CONCATENATE(Delivery[[#This Row],[Coffee specie]],Delivery[[#This Row],[Coffee state]]),References!$U:$X,4,FALSE)</f>
        <v>32000</v>
      </c>
      <c r="AB1295" s="202">
        <f>SUMIF(Allocation!C:C,Delivery[[#This Row],[Delivery ID]],Allocation!D:D)/Delivery[[#This Row],[Quantity delivered]]</f>
        <v>0.64375000000000004</v>
      </c>
      <c r="AC1295" s="203">
        <f>Delivery[[#This Row],[Quantity delivered]]*Delivery[[#This Row],[Base price (Unidad)]]/60</f>
        <v>197511.36266666668</v>
      </c>
      <c r="AD1295" s="204">
        <f>Delivery[[#This Row],[Nespresso total]]-Delivery[[#This Row],[Qt. Delivery * Base Price]]</f>
        <v>9807.1998810666555</v>
      </c>
      <c r="AE1295" s="204">
        <f>Delivery[[#This Row],[AAA Premium (total)]]/Delivery[[#This Row],[Quantity delivered]]*60/Delivery[[#This Row],[Exchange rate VS USD]]</f>
        <v>9.9945324529582162</v>
      </c>
      <c r="AF1295" s="204">
        <f>Delivery[[#This Row],[BEN premium (total)]]/Delivery[[#This Row],[Quantity delivered]]*60/Delivery[[#This Row],[Exchange rate for premiums VS USD]]</f>
        <v>3.3161899999999997</v>
      </c>
      <c r="AG1295" s="204">
        <f>COUNTIF(Delivery[Delivery ID],Delivery[[#This Row],[Delivery ID]])</f>
        <v>1</v>
      </c>
      <c r="AH1295" s="204">
        <f>(Delivery[[#This Row],[Nespresso total]]/SUMIF(Allocation!C:C,Delivery[Delivery ID],Allocation!H:H))/Delivery[[#This Row],[Exchange rate VS USD]]</f>
        <v>5.2530249709876387</v>
      </c>
      <c r="AI1295" s="204">
        <f>(Delivery[[#This Row],[AAA Premium (total)]]/SUMIF(Allocation!C:C,Delivery[Delivery ID],Allocation!H:H))/Delivery[[#This Row],[Exchange rate VS USD]]</f>
        <v>0.51751624351887215</v>
      </c>
      <c r="AJ1295" s="204">
        <f>Delivery[[#This Row],[Valor Prêmio Nespresso AAA por Kg (em US$)]]*60</f>
        <v>31.050974611132329</v>
      </c>
      <c r="AK1295" s="204">
        <f>Delivery[[#This Row],[Valor Prêmio Nespresso AAA por saca (em US$)]]/1.3228/100</f>
        <v>0.23473672974850565</v>
      </c>
      <c r="AL1295" s="204">
        <f>(Delivery[[#This Row],[BEN premium (total)]]/SUMIF(Allocation!C:C,Delivery[Delivery ID],Allocation!H:H))/Delivery[[#This Row],[Exchange rate for premiums VS USD]]</f>
        <v>0.17171210355987052</v>
      </c>
      <c r="AM1295" s="204">
        <f>Delivery[[#This Row],[Valor Prêmio Nespresso BEN por Kg (em US$)]]*60</f>
        <v>10.302726213592232</v>
      </c>
      <c r="AN1295" s="204">
        <f>Delivery[[#This Row],[Valor Prêmio Nespresso BEN por saca (em US$)]]/1.3228/100</f>
        <v>7.7885743979378835E-2</v>
      </c>
      <c r="AO1295" s="204">
        <f>SUMIF(Allocation[Delivery ID],Delivery[[#This Row],[Delivery ID]],Allocation[Quantity allocated])*16*1.3228*Delivery[[#This Row],[Exchange rate VS USD]]/60</f>
        <v>13921.679847466667</v>
      </c>
      <c r="AP1295" s="204">
        <f>Delivery[[#This Row],[AAA Premium (total)]]</f>
        <v>20424.560000000001</v>
      </c>
      <c r="AQ1295" s="204">
        <f>Delivery[[#This Row],[Valor pago pelo Cluster]]-Delivery[[#This Row],[Valor efetivamente pago pela Nespresso]]</f>
        <v>6502.8801525333347</v>
      </c>
    </row>
    <row r="1296" spans="1:43" ht="15.75">
      <c r="A1296" s="174" t="s">
        <v>69</v>
      </c>
      <c r="B1296" s="232" t="s">
        <v>68</v>
      </c>
      <c r="C1296" s="157">
        <v>1</v>
      </c>
      <c r="D1296" s="157" t="s">
        <v>468</v>
      </c>
      <c r="E1296" s="177" t="s">
        <v>468</v>
      </c>
      <c r="F1296" s="240" t="s">
        <v>543</v>
      </c>
      <c r="G1296" s="234">
        <v>43542</v>
      </c>
      <c r="H1296" s="157" t="s">
        <v>2083</v>
      </c>
      <c r="I1296" s="236" t="s">
        <v>1009</v>
      </c>
      <c r="J1296" s="237">
        <v>31960</v>
      </c>
      <c r="K1296" s="175" t="s">
        <v>61</v>
      </c>
      <c r="L1296" s="175" t="s">
        <v>439</v>
      </c>
      <c r="M1296" s="175" t="s">
        <v>1343</v>
      </c>
      <c r="N1296" s="198"/>
      <c r="O1296" s="199"/>
      <c r="P1296" s="181">
        <v>0</v>
      </c>
      <c r="Q1296" s="177">
        <v>43537</v>
      </c>
      <c r="R1296" s="178">
        <v>370.33380500000004</v>
      </c>
      <c r="S1296" s="179">
        <v>207327.03364454868</v>
      </c>
      <c r="T1296" s="182" t="s">
        <v>45</v>
      </c>
      <c r="U1296" s="183">
        <v>3.8317000000000001</v>
      </c>
      <c r="V1296" s="179">
        <v>20424.560000000001</v>
      </c>
      <c r="W1296" s="179">
        <v>6768.4063554513323</v>
      </c>
      <c r="X1296" s="196" t="s">
        <v>45</v>
      </c>
      <c r="Y1296" s="200">
        <v>3.8317000000000001</v>
      </c>
      <c r="Z1296" s="220" t="s">
        <v>473</v>
      </c>
      <c r="AA1296" s="201">
        <f>Delivery[[#This Row],[Quantity delivered]]*VLOOKUP(Delivery[[#This Row],[Unit]],References!$U:$X,4,FALSE)*VLOOKUP(CONCATENATE(Delivery[[#This Row],[Coffee specie]],Delivery[[#This Row],[Coffee state]]),References!$U:$X,4,FALSE)</f>
        <v>31960</v>
      </c>
      <c r="AB1296" s="202">
        <f>SUMIF(Allocation!C:C,Delivery[[#This Row],[Delivery ID]],Allocation!D:D)/Delivery[[#This Row],[Quantity delivered]]</f>
        <v>0.61702127659574468</v>
      </c>
      <c r="AC1296" s="203">
        <f>Delivery[[#This Row],[Quantity delivered]]*Delivery[[#This Row],[Base price (Unidad)]]/60</f>
        <v>197264.47346333336</v>
      </c>
      <c r="AD1296" s="204">
        <f>Delivery[[#This Row],[Nespresso total]]-Delivery[[#This Row],[Qt. Delivery * Base Price]]</f>
        <v>10062.560181215318</v>
      </c>
      <c r="AE1296" s="204">
        <f>Delivery[[#This Row],[AAA Premium (total)]]/Delivery[[#This Row],[Quantity delivered]]*60/Delivery[[#This Row],[Exchange rate VS USD]]</f>
        <v>10.007041254526374</v>
      </c>
      <c r="AF1296" s="204">
        <f>Delivery[[#This Row],[BEN premium (total)]]/Delivery[[#This Row],[Quantity delivered]]*60/Delivery[[#This Row],[Exchange rate for premiums VS USD]]</f>
        <v>3.3161899999999997</v>
      </c>
      <c r="AG1296" s="204">
        <f>COUNTIF(Delivery[Delivery ID],Delivery[[#This Row],[Delivery ID]])</f>
        <v>1</v>
      </c>
      <c r="AH1296" s="204">
        <f>(Delivery[[#This Row],[Nespresso total]]/SUMIF(Allocation!C:C,Delivery[Delivery ID],Allocation!H:H))/Delivery[[#This Row],[Exchange rate VS USD]]</f>
        <v>5.487664096805883</v>
      </c>
      <c r="AI1296" s="204">
        <f>(Delivery[[#This Row],[AAA Premium (total)]]/SUMIF(Allocation!C:C,Delivery[Delivery ID],Allocation!H:H))/Delivery[[#This Row],[Exchange rate VS USD]]</f>
        <v>0.54061027466981559</v>
      </c>
      <c r="AJ1296" s="204">
        <f>Delivery[[#This Row],[Valor Prêmio Nespresso AAA por Kg (em US$)]]*60</f>
        <v>32.436616480188938</v>
      </c>
      <c r="AK1296" s="204">
        <f>Delivery[[#This Row],[Valor Prêmio Nespresso AAA por saca (em US$)]]/1.3228/100</f>
        <v>0.2452117967961063</v>
      </c>
      <c r="AL1296" s="204">
        <f>(Delivery[[#This Row],[BEN premium (total)]]/SUMIF(Allocation!C:C,Delivery[Delivery ID],Allocation!H:H))/Delivery[[#This Row],[Exchange rate for premiums VS USD]]</f>
        <v>0.17915049425287352</v>
      </c>
      <c r="AM1296" s="204">
        <f>Delivery[[#This Row],[Valor Prêmio Nespresso BEN por Kg (em US$)]]*60</f>
        <v>10.749029655172411</v>
      </c>
      <c r="AN1296" s="204">
        <f>Delivery[[#This Row],[Valor Prêmio Nespresso BEN por saca (em US$)]]/1.3228/100</f>
        <v>8.1259673837106222E-2</v>
      </c>
      <c r="AO1296" s="204">
        <f>SUMIF(Allocation[Delivery ID],Delivery[[#This Row],[Delivery ID]],Allocation[Quantity allocated])*16*1.3228*Delivery[[#This Row],[Exchange rate VS USD]]/60</f>
        <v>13326.967310293334</v>
      </c>
      <c r="AP1296" s="204">
        <f>Delivery[[#This Row],[AAA Premium (total)]]</f>
        <v>20424.560000000001</v>
      </c>
      <c r="AQ1296" s="204">
        <f>Delivery[[#This Row],[Valor pago pelo Cluster]]-Delivery[[#This Row],[Valor efetivamente pago pela Nespresso]]</f>
        <v>7097.5926897066674</v>
      </c>
    </row>
    <row r="1297" spans="1:43" ht="15.75">
      <c r="A1297" s="174" t="s">
        <v>69</v>
      </c>
      <c r="B1297" s="232" t="s">
        <v>68</v>
      </c>
      <c r="C1297" s="157">
        <v>1</v>
      </c>
      <c r="D1297" s="157" t="s">
        <v>468</v>
      </c>
      <c r="E1297" s="177" t="s">
        <v>468</v>
      </c>
      <c r="F1297" s="240" t="s">
        <v>543</v>
      </c>
      <c r="G1297" s="234">
        <v>43542</v>
      </c>
      <c r="H1297" s="157" t="s">
        <v>2084</v>
      </c>
      <c r="I1297" s="236" t="s">
        <v>1009</v>
      </c>
      <c r="J1297" s="237">
        <v>32070</v>
      </c>
      <c r="K1297" s="175" t="s">
        <v>61</v>
      </c>
      <c r="L1297" s="175" t="s">
        <v>439</v>
      </c>
      <c r="M1297" s="175" t="s">
        <v>1343</v>
      </c>
      <c r="N1297" s="198"/>
      <c r="O1297" s="199"/>
      <c r="P1297" s="181">
        <v>0</v>
      </c>
      <c r="Q1297" s="177">
        <v>43537</v>
      </c>
      <c r="R1297" s="178">
        <v>370.33380500000004</v>
      </c>
      <c r="S1297" s="179">
        <v>207705.41812830648</v>
      </c>
      <c r="T1297" s="182" t="s">
        <v>45</v>
      </c>
      <c r="U1297" s="183">
        <v>3.8317000000000001</v>
      </c>
      <c r="V1297" s="179">
        <v>20462.88</v>
      </c>
      <c r="W1297" s="179">
        <v>6791.701871693499</v>
      </c>
      <c r="X1297" s="196" t="s">
        <v>45</v>
      </c>
      <c r="Y1297" s="200">
        <v>3.8317000000000001</v>
      </c>
      <c r="Z1297" s="220" t="s">
        <v>473</v>
      </c>
      <c r="AA1297" s="201">
        <f>Delivery[[#This Row],[Quantity delivered]]*VLOOKUP(Delivery[[#This Row],[Unit]],References!$U:$X,4,FALSE)*VLOOKUP(CONCATENATE(Delivery[[#This Row],[Coffee specie]],Delivery[[#This Row],[Coffee state]]),References!$U:$X,4,FALSE)</f>
        <v>32070</v>
      </c>
      <c r="AB1297" s="202">
        <f>SUMIF(Allocation!C:C,Delivery[[#This Row],[Delivery ID]],Allocation!D:D)/Delivery[[#This Row],[Quantity delivered]]</f>
        <v>0.65288431555971316</v>
      </c>
      <c r="AC1297" s="203">
        <f>Delivery[[#This Row],[Quantity delivered]]*Delivery[[#This Row],[Base price (Unidad)]]/60</f>
        <v>197943.41877250001</v>
      </c>
      <c r="AD1297" s="204">
        <f>Delivery[[#This Row],[Nespresso total]]-Delivery[[#This Row],[Qt. Delivery * Base Price]]</f>
        <v>9761.9993558064743</v>
      </c>
      <c r="AE1297" s="204">
        <f>Delivery[[#This Row],[AAA Premium (total)]]/Delivery[[#This Row],[Quantity delivered]]*60/Delivery[[#This Row],[Exchange rate VS USD]]</f>
        <v>9.9914276729404659</v>
      </c>
      <c r="AF1297" s="204">
        <f>Delivery[[#This Row],[BEN premium (total)]]/Delivery[[#This Row],[Quantity delivered]]*60/Delivery[[#This Row],[Exchange rate for premiums VS USD]]</f>
        <v>3.3161899999999997</v>
      </c>
      <c r="AG1297" s="204">
        <f>COUNTIF(Delivery[Delivery ID],Delivery[[#This Row],[Delivery ID]])</f>
        <v>1</v>
      </c>
      <c r="AH1297" s="204">
        <f>(Delivery[[#This Row],[Nespresso total]]/SUMIF(Allocation!C:C,Delivery[Delivery ID],Allocation!H:H))/Delivery[[#This Row],[Exchange rate VS USD]]</f>
        <v>5.1778698124761453</v>
      </c>
      <c r="AI1297" s="204">
        <f>(Delivery[[#This Row],[AAA Premium (total)]]/SUMIF(Allocation!C:C,Delivery[Delivery ID],Allocation!H:H))/Delivery[[#This Row],[Exchange rate VS USD]]</f>
        <v>0.51011730740153594</v>
      </c>
      <c r="AJ1297" s="204">
        <f>Delivery[[#This Row],[Valor Prêmio Nespresso AAA por Kg (em US$)]]*60</f>
        <v>30.607038444092154</v>
      </c>
      <c r="AK1297" s="204">
        <f>Delivery[[#This Row],[Valor Prêmio Nespresso AAA por saca (em US$)]]/1.3228/100</f>
        <v>0.23138069582773024</v>
      </c>
      <c r="AL1297" s="204">
        <f>(Delivery[[#This Row],[BEN premium (total)]]/SUMIF(Allocation!C:C,Delivery[Delivery ID],Allocation!H:H))/Delivery[[#This Row],[Exchange rate for premiums VS USD]]</f>
        <v>0.16930972920049667</v>
      </c>
      <c r="AM1297" s="204">
        <f>Delivery[[#This Row],[Valor Prêmio Nespresso BEN por Kg (em US$)]]*60</f>
        <v>10.1585837520298</v>
      </c>
      <c r="AN1297" s="204">
        <f>Delivery[[#This Row],[Valor Prêmio Nespresso BEN por saca (em US$)]]/1.3228/100</f>
        <v>7.679606707007712E-2</v>
      </c>
      <c r="AO1297" s="204">
        <f>SUMIF(Allocation[Delivery ID],Delivery[[#This Row],[Delivery ID]],Allocation[Quantity allocated])*16*1.3228*Delivery[[#This Row],[Exchange rate VS USD]]/60</f>
        <v>14150.103526517334</v>
      </c>
      <c r="AP1297" s="204">
        <f>Delivery[[#This Row],[AAA Premium (total)]]</f>
        <v>20462.88</v>
      </c>
      <c r="AQ1297" s="204">
        <f>Delivery[[#This Row],[Valor pago pelo Cluster]]-Delivery[[#This Row],[Valor efetivamente pago pela Nespresso]]</f>
        <v>6312.7764734826669</v>
      </c>
    </row>
    <row r="1298" spans="1:43" ht="15.75">
      <c r="A1298" s="174" t="s">
        <v>69</v>
      </c>
      <c r="B1298" s="232" t="s">
        <v>68</v>
      </c>
      <c r="C1298" s="157">
        <v>1</v>
      </c>
      <c r="D1298" s="157" t="s">
        <v>468</v>
      </c>
      <c r="E1298" s="177" t="s">
        <v>468</v>
      </c>
      <c r="F1298" s="233" t="s">
        <v>543</v>
      </c>
      <c r="G1298" s="234">
        <v>43544</v>
      </c>
      <c r="H1298" s="235" t="s">
        <v>2218</v>
      </c>
      <c r="I1298" s="236" t="s">
        <v>1662</v>
      </c>
      <c r="J1298" s="237">
        <v>10279</v>
      </c>
      <c r="K1298" s="175" t="s">
        <v>61</v>
      </c>
      <c r="L1298" s="175" t="s">
        <v>439</v>
      </c>
      <c r="M1298" s="175" t="s">
        <v>1343</v>
      </c>
      <c r="N1298" s="198"/>
      <c r="O1298" s="199"/>
      <c r="P1298" s="181">
        <v>0</v>
      </c>
      <c r="Q1298" s="177">
        <v>43539</v>
      </c>
      <c r="R1298" s="178">
        <v>372.73439999999999</v>
      </c>
      <c r="S1298" s="179">
        <v>66761.820000000007</v>
      </c>
      <c r="T1298" s="182" t="s">
        <v>45</v>
      </c>
      <c r="U1298" s="183">
        <v>3.819</v>
      </c>
      <c r="V1298" s="179">
        <v>4570.83</v>
      </c>
      <c r="W1298" s="179">
        <v>0</v>
      </c>
      <c r="X1298" s="196" t="s">
        <v>45</v>
      </c>
      <c r="Y1298" s="200">
        <v>3.819</v>
      </c>
      <c r="Z1298" s="220"/>
      <c r="AA1298" s="201">
        <f>Delivery[[#This Row],[Quantity delivered]]*VLOOKUP(Delivery[[#This Row],[Unit]],References!$U:$X,4,FALSE)*VLOOKUP(CONCATENATE(Delivery[[#This Row],[Coffee specie]],Delivery[[#This Row],[Coffee state]]),References!$U:$X,4,FALSE)</f>
        <v>10279</v>
      </c>
      <c r="AB1298" s="202">
        <f>SUMIF(Allocation!C:C,Delivery[[#This Row],[Delivery ID]],Allocation!D:D)/Delivery[[#This Row],[Quantity delivered]]</f>
        <v>0.13425430489347212</v>
      </c>
      <c r="AC1298" s="203">
        <f>Delivery[[#This Row],[Quantity delivered]]*Delivery[[#This Row],[Base price (Unidad)]]/60</f>
        <v>63855.614959999999</v>
      </c>
      <c r="AD1298" s="204">
        <f>Delivery[[#This Row],[Nespresso total]]-Delivery[[#This Row],[Qt. Delivery * Base Price]]</f>
        <v>2906.205040000008</v>
      </c>
      <c r="AE1298" s="204">
        <f>Delivery[[#This Row],[AAA Premium (total)]]/Delivery[[#This Row],[Quantity delivered]]*60/Delivery[[#This Row],[Exchange rate VS USD]]</f>
        <v>6.9862769042229269</v>
      </c>
      <c r="AF1298" s="204">
        <f>Delivery[[#This Row],[BEN premium (total)]]/Delivery[[#This Row],[Quantity delivered]]*60/Delivery[[#This Row],[Exchange rate for premiums VS USD]]</f>
        <v>0</v>
      </c>
      <c r="AG1298" s="204">
        <f>COUNTIF(Delivery[Delivery ID],Delivery[[#This Row],[Delivery ID]])</f>
        <v>1</v>
      </c>
      <c r="AH1298" s="204">
        <f>(Delivery[[#This Row],[Nespresso total]]/SUMIF(Allocation!C:C,Delivery[Delivery ID],Allocation!H:H))/Delivery[[#This Row],[Exchange rate VS USD]]</f>
        <v>38.420862719370184</v>
      </c>
      <c r="AI1298" s="204">
        <f>(Delivery[[#This Row],[AAA Premium (total)]]/SUMIF(Allocation!C:C,Delivery[Delivery ID],Allocation!H:H))/Delivery[[#This Row],[Exchange rate VS USD]]</f>
        <v>2.6304740036083318</v>
      </c>
      <c r="AJ1298" s="204">
        <f>Delivery[[#This Row],[Valor Prêmio Nespresso AAA por Kg (em US$)]]*60</f>
        <v>157.8284402164999</v>
      </c>
      <c r="AK1298" s="204">
        <f>Delivery[[#This Row],[Valor Prêmio Nespresso AAA por saca (em US$)]]/1.3228/100</f>
        <v>1.1931391005178402</v>
      </c>
      <c r="AL1298" s="204">
        <f>(Delivery[[#This Row],[BEN premium (total)]]/SUMIF(Allocation!C:C,Delivery[Delivery ID],Allocation!H:H))/Delivery[[#This Row],[Exchange rate for premiums VS USD]]</f>
        <v>0</v>
      </c>
      <c r="AM1298" s="204">
        <f>Delivery[[#This Row],[Valor Prêmio Nespresso BEN por Kg (em US$)]]*60</f>
        <v>0</v>
      </c>
      <c r="AN1298" s="204">
        <f>Delivery[[#This Row],[Valor Prêmio Nespresso BEN por saca (em US$)]]/1.3228/100</f>
        <v>0</v>
      </c>
      <c r="AO1298" s="204">
        <f>SUMIF(Allocation[Delivery ID],Delivery[[#This Row],[Delivery ID]],Allocation[Quantity allocated])*16*1.3228*Delivery[[#This Row],[Exchange rate VS USD]]/60</f>
        <v>612.94848160000004</v>
      </c>
      <c r="AP1298" s="204">
        <f>Delivery[[#This Row],[AAA Premium (total)]]</f>
        <v>4570.83</v>
      </c>
      <c r="AQ1298" s="204">
        <f>Delivery[[#This Row],[Valor pago pelo Cluster]]-Delivery[[#This Row],[Valor efetivamente pago pela Nespresso]]</f>
        <v>3957.8815184</v>
      </c>
    </row>
    <row r="1299" spans="1:43" ht="15.75">
      <c r="A1299" s="174" t="s">
        <v>69</v>
      </c>
      <c r="B1299" s="232" t="s">
        <v>68</v>
      </c>
      <c r="C1299" s="157">
        <v>1</v>
      </c>
      <c r="D1299" s="157" t="s">
        <v>468</v>
      </c>
      <c r="E1299" s="177" t="s">
        <v>468</v>
      </c>
      <c r="F1299" s="233" t="s">
        <v>543</v>
      </c>
      <c r="G1299" s="234">
        <v>43549</v>
      </c>
      <c r="H1299" s="235" t="s">
        <v>2219</v>
      </c>
      <c r="I1299" s="236" t="s">
        <v>1011</v>
      </c>
      <c r="J1299" s="237">
        <v>2700</v>
      </c>
      <c r="K1299" s="175" t="s">
        <v>61</v>
      </c>
      <c r="L1299" s="175" t="s">
        <v>439</v>
      </c>
      <c r="M1299" s="175" t="s">
        <v>1343</v>
      </c>
      <c r="N1299" s="198"/>
      <c r="O1299" s="199"/>
      <c r="P1299" s="181">
        <v>0</v>
      </c>
      <c r="Q1299" s="177">
        <v>43543</v>
      </c>
      <c r="R1299" s="178">
        <v>365.77192500000001</v>
      </c>
      <c r="S1299" s="179">
        <v>17257.95</v>
      </c>
      <c r="T1299" s="182" t="s">
        <v>45</v>
      </c>
      <c r="U1299" s="183">
        <v>3.7845</v>
      </c>
      <c r="V1299" s="179">
        <v>1192.1175000000001</v>
      </c>
      <c r="W1299" s="179">
        <v>0</v>
      </c>
      <c r="X1299" s="196" t="s">
        <v>45</v>
      </c>
      <c r="Y1299" s="200">
        <v>3.7845</v>
      </c>
      <c r="Z1299" s="220"/>
      <c r="AA1299" s="201">
        <f>Delivery[[#This Row],[Quantity delivered]]*VLOOKUP(Delivery[[#This Row],[Unit]],References!$U:$X,4,FALSE)*VLOOKUP(CONCATENATE(Delivery[[#This Row],[Coffee specie]],Delivery[[#This Row],[Coffee state]]),References!$U:$X,4,FALSE)</f>
        <v>2700</v>
      </c>
      <c r="AB1299" s="202">
        <f>SUMIF(Allocation!C:C,Delivery[[#This Row],[Delivery ID]],Allocation!D:D)/Delivery[[#This Row],[Quantity delivered]]</f>
        <v>0.23703703703703705</v>
      </c>
      <c r="AC1299" s="203">
        <f>Delivery[[#This Row],[Quantity delivered]]*Delivery[[#This Row],[Base price (Unidad)]]/60</f>
        <v>16459.736625000001</v>
      </c>
      <c r="AD1299" s="204">
        <f>Delivery[[#This Row],[Nespresso total]]-Delivery[[#This Row],[Qt. Delivery * Base Price]]</f>
        <v>798.21337499999936</v>
      </c>
      <c r="AE1299" s="204">
        <f>Delivery[[#This Row],[AAA Premium (total)]]/Delivery[[#This Row],[Quantity delivered]]*60/Delivery[[#This Row],[Exchange rate VS USD]]</f>
        <v>7</v>
      </c>
      <c r="AF1299" s="204">
        <f>Delivery[[#This Row],[BEN premium (total)]]/Delivery[[#This Row],[Quantity delivered]]*60/Delivery[[#This Row],[Exchange rate for premiums VS USD]]</f>
        <v>0</v>
      </c>
      <c r="AG1299" s="204">
        <f>COUNTIF(Delivery[Delivery ID],Delivery[[#This Row],[Delivery ID]])</f>
        <v>1</v>
      </c>
      <c r="AH1299" s="204">
        <f>(Delivery[[#This Row],[Nespresso total]]/SUMIF(Allocation!C:C,Delivery[Delivery ID],Allocation!H:H))/Delivery[[#This Row],[Exchange rate VS USD]]</f>
        <v>20.357886020044166</v>
      </c>
      <c r="AI1299" s="204">
        <f>(Delivery[[#This Row],[AAA Premium (total)]]/SUMIF(Allocation!C:C,Delivery[Delivery ID],Allocation!H:H))/Delivery[[#This Row],[Exchange rate VS USD]]</f>
        <v>1.40625</v>
      </c>
      <c r="AJ1299" s="204">
        <f>Delivery[[#This Row],[Valor Prêmio Nespresso AAA por Kg (em US$)]]*60</f>
        <v>84.375</v>
      </c>
      <c r="AK1299" s="204">
        <f>Delivery[[#This Row],[Valor Prêmio Nespresso AAA por saca (em US$)]]/1.3228/100</f>
        <v>0.6378515270638041</v>
      </c>
      <c r="AL1299" s="204">
        <f>(Delivery[[#This Row],[BEN premium (total)]]/SUMIF(Allocation!C:C,Delivery[Delivery ID],Allocation!H:H))/Delivery[[#This Row],[Exchange rate for premiums VS USD]]</f>
        <v>0</v>
      </c>
      <c r="AM1299" s="204">
        <f>Delivery[[#This Row],[Valor Prêmio Nespresso BEN por Kg (em US$)]]*60</f>
        <v>0</v>
      </c>
      <c r="AN1299" s="204">
        <f>Delivery[[#This Row],[Valor Prêmio Nespresso BEN por saca (em US$)]]/1.3228/100</f>
        <v>0</v>
      </c>
      <c r="AO1299" s="204">
        <f>SUMIF(Allocation[Delivery ID],Delivery[[#This Row],[Delivery ID]],Allocation[Quantity allocated])*16*1.3228*Delivery[[#This Row],[Exchange rate VS USD]]/60</f>
        <v>299.03322623999998</v>
      </c>
      <c r="AP1299" s="204">
        <f>Delivery[[#This Row],[AAA Premium (total)]]</f>
        <v>1192.1175000000001</v>
      </c>
      <c r="AQ1299" s="204">
        <f>Delivery[[#This Row],[Valor pago pelo Cluster]]-Delivery[[#This Row],[Valor efetivamente pago pela Nespresso]]</f>
        <v>893.08427376000009</v>
      </c>
    </row>
    <row r="1300" spans="1:43" ht="15.75">
      <c r="A1300" s="174" t="s">
        <v>69</v>
      </c>
      <c r="B1300" s="232" t="s">
        <v>68</v>
      </c>
      <c r="C1300" s="157">
        <v>1</v>
      </c>
      <c r="D1300" s="157" t="s">
        <v>468</v>
      </c>
      <c r="E1300" s="177" t="s">
        <v>468</v>
      </c>
      <c r="F1300" s="233" t="s">
        <v>543</v>
      </c>
      <c r="G1300" s="234">
        <v>43549</v>
      </c>
      <c r="H1300" s="235" t="s">
        <v>2085</v>
      </c>
      <c r="I1300" s="236" t="s">
        <v>2086</v>
      </c>
      <c r="J1300" s="237">
        <v>2700</v>
      </c>
      <c r="K1300" s="175" t="s">
        <v>61</v>
      </c>
      <c r="L1300" s="175" t="s">
        <v>439</v>
      </c>
      <c r="M1300" s="175" t="s">
        <v>1343</v>
      </c>
      <c r="N1300" s="198"/>
      <c r="O1300" s="199"/>
      <c r="P1300" s="181">
        <v>0</v>
      </c>
      <c r="Q1300" s="177">
        <v>43543</v>
      </c>
      <c r="R1300" s="178">
        <v>365.77192500000001</v>
      </c>
      <c r="S1300" s="179">
        <v>17257.95</v>
      </c>
      <c r="T1300" s="182" t="s">
        <v>45</v>
      </c>
      <c r="U1300" s="183">
        <v>3.7845</v>
      </c>
      <c r="V1300" s="179">
        <v>1192.1175000000001</v>
      </c>
      <c r="W1300" s="179">
        <v>0</v>
      </c>
      <c r="X1300" s="196" t="s">
        <v>45</v>
      </c>
      <c r="Y1300" s="200">
        <v>3.7845</v>
      </c>
      <c r="Z1300" s="220"/>
      <c r="AA1300" s="201">
        <f>Delivery[[#This Row],[Quantity delivered]]*VLOOKUP(Delivery[[#This Row],[Unit]],References!$U:$X,4,FALSE)*VLOOKUP(CONCATENATE(Delivery[[#This Row],[Coffee specie]],Delivery[[#This Row],[Coffee state]]),References!$U:$X,4,FALSE)</f>
        <v>2700</v>
      </c>
      <c r="AB1300" s="202">
        <f>SUMIF(Allocation!C:C,Delivery[[#This Row],[Delivery ID]],Allocation!D:D)/Delivery[[#This Row],[Quantity delivered]]</f>
        <v>0.71333333333333337</v>
      </c>
      <c r="AC1300" s="203">
        <f>Delivery[[#This Row],[Quantity delivered]]*Delivery[[#This Row],[Base price (Unidad)]]/60</f>
        <v>16459.736625000001</v>
      </c>
      <c r="AD1300" s="204">
        <f>Delivery[[#This Row],[Nespresso total]]-Delivery[[#This Row],[Qt. Delivery * Base Price]]</f>
        <v>798.21337499999936</v>
      </c>
      <c r="AE1300" s="204">
        <f>Delivery[[#This Row],[AAA Premium (total)]]/Delivery[[#This Row],[Quantity delivered]]*60/Delivery[[#This Row],[Exchange rate VS USD]]</f>
        <v>7</v>
      </c>
      <c r="AF1300" s="204">
        <f>Delivery[[#This Row],[BEN premium (total)]]/Delivery[[#This Row],[Quantity delivered]]*60/Delivery[[#This Row],[Exchange rate for premiums VS USD]]</f>
        <v>0</v>
      </c>
      <c r="AG1300" s="204">
        <f>COUNTIF(Delivery[Delivery ID],Delivery[[#This Row],[Delivery ID]])</f>
        <v>1</v>
      </c>
      <c r="AH1300" s="204">
        <f>(Delivery[[#This Row],[Nespresso total]]/SUMIF(Allocation!C:C,Delivery[Delivery ID],Allocation!H:H))/Delivery[[#This Row],[Exchange rate VS USD]]</f>
        <v>6.7658256209048862</v>
      </c>
      <c r="AI1300" s="204">
        <f>(Delivery[[#This Row],[AAA Premium (total)]]/SUMIF(Allocation!C:C,Delivery[Delivery ID],Allocation!H:H))/Delivery[[#This Row],[Exchange rate VS USD]]</f>
        <v>0.4673590504451039</v>
      </c>
      <c r="AJ1300" s="204">
        <f>Delivery[[#This Row],[Valor Prêmio Nespresso AAA por Kg (em US$)]]*60</f>
        <v>28.041543026706233</v>
      </c>
      <c r="AK1300" s="204">
        <f>Delivery[[#This Row],[Valor Prêmio Nespresso AAA por saca (em US$)]]/1.3228/100</f>
        <v>0.21198626418737704</v>
      </c>
      <c r="AL1300" s="204">
        <f>(Delivery[[#This Row],[BEN premium (total)]]/SUMIF(Allocation!C:C,Delivery[Delivery ID],Allocation!H:H))/Delivery[[#This Row],[Exchange rate for premiums VS USD]]</f>
        <v>0</v>
      </c>
      <c r="AM1300" s="204">
        <f>Delivery[[#This Row],[Valor Prêmio Nespresso BEN por Kg (em US$)]]*60</f>
        <v>0</v>
      </c>
      <c r="AN1300" s="204">
        <f>Delivery[[#This Row],[Valor Prêmio Nespresso BEN por saca (em US$)]]/1.3228/100</f>
        <v>0</v>
      </c>
      <c r="AO1300" s="204">
        <f>SUMIF(Allocation[Delivery ID],Delivery[[#This Row],[Delivery ID]],Allocation[Quantity allocated])*16*1.3228*Delivery[[#This Row],[Exchange rate VS USD]]/60</f>
        <v>899.76961823999989</v>
      </c>
      <c r="AP1300" s="204">
        <f>Delivery[[#This Row],[AAA Premium (total)]]</f>
        <v>1192.1175000000001</v>
      </c>
      <c r="AQ1300" s="204">
        <f>Delivery[[#This Row],[Valor pago pelo Cluster]]-Delivery[[#This Row],[Valor efetivamente pago pela Nespresso]]</f>
        <v>292.34788176000018</v>
      </c>
    </row>
    <row r="1301" spans="1:43" ht="15.75">
      <c r="A1301" s="174" t="s">
        <v>69</v>
      </c>
      <c r="B1301" s="232" t="s">
        <v>68</v>
      </c>
      <c r="C1301" s="157">
        <v>1</v>
      </c>
      <c r="D1301" s="157" t="s">
        <v>468</v>
      </c>
      <c r="E1301" s="177" t="s">
        <v>468</v>
      </c>
      <c r="F1301" s="240" t="s">
        <v>2220</v>
      </c>
      <c r="G1301" s="234">
        <v>43608</v>
      </c>
      <c r="H1301" s="157" t="s">
        <v>2221</v>
      </c>
      <c r="I1301" s="236" t="s">
        <v>511</v>
      </c>
      <c r="J1301" s="237">
        <v>29980</v>
      </c>
      <c r="K1301" s="175" t="s">
        <v>61</v>
      </c>
      <c r="L1301" s="175" t="s">
        <v>439</v>
      </c>
      <c r="M1301" s="175" t="s">
        <v>1343</v>
      </c>
      <c r="N1301" s="198"/>
      <c r="O1301" s="199"/>
      <c r="P1301" s="181">
        <v>0</v>
      </c>
      <c r="Q1301" s="177">
        <v>43605</v>
      </c>
      <c r="R1301" s="178">
        <v>368.48839499999997</v>
      </c>
      <c r="S1301" s="179">
        <v>196698</v>
      </c>
      <c r="T1301" s="182" t="s">
        <v>45</v>
      </c>
      <c r="U1301" s="183">
        <v>4.1102999999999996</v>
      </c>
      <c r="V1301" s="179">
        <v>14385</v>
      </c>
      <c r="W1301" s="179">
        <v>0</v>
      </c>
      <c r="X1301" s="196" t="s">
        <v>45</v>
      </c>
      <c r="Y1301" s="200">
        <v>4.1102999999999996</v>
      </c>
      <c r="Z1301" s="220" t="s">
        <v>2125</v>
      </c>
      <c r="AA1301" s="201">
        <f>Delivery[[#This Row],[Quantity delivered]]*VLOOKUP(Delivery[[#This Row],[Unit]],References!$U:$X,4,FALSE)*VLOOKUP(CONCATENATE(Delivery[[#This Row],[Coffee specie]],Delivery[[#This Row],[Coffee state]]),References!$U:$X,4,FALSE)</f>
        <v>29980</v>
      </c>
      <c r="AB1301" s="202">
        <f>SUMIF(Allocation!C:C,Delivery[[#This Row],[Delivery ID]],Allocation!D:D)/Delivery[[#This Row],[Quantity delivered]]</f>
        <v>0.15713809206137425</v>
      </c>
      <c r="AC1301" s="203">
        <f>Delivery[[#This Row],[Quantity delivered]]*Delivery[[#This Row],[Base price (Unidad)]]/60</f>
        <v>184121.36803499996</v>
      </c>
      <c r="AD1301" s="204">
        <f>Delivery[[#This Row],[Nespresso total]]-Delivery[[#This Row],[Qt. Delivery * Base Price]]</f>
        <v>12576.631965000037</v>
      </c>
      <c r="AE1301" s="204">
        <f>Delivery[[#This Row],[AAA Premium (total)]]/Delivery[[#This Row],[Quantity delivered]]*60/Delivery[[#This Row],[Exchange rate VS USD]]</f>
        <v>7.0041585274059797</v>
      </c>
      <c r="AF1301" s="204">
        <f>Delivery[[#This Row],[BEN premium (total)]]/Delivery[[#This Row],[Quantity delivered]]*60/Delivery[[#This Row],[Exchange rate for premiums VS USD]]</f>
        <v>0</v>
      </c>
      <c r="AG1301" s="204">
        <f>COUNTIF(Delivery[Delivery ID],Delivery[[#This Row],[Delivery ID]])</f>
        <v>1</v>
      </c>
      <c r="AH1301" s="204">
        <f>(Delivery[[#This Row],[Nespresso total]]/SUMIF(Allocation!C:C,Delivery[Delivery ID],Allocation!H:H))/Delivery[[#This Row],[Exchange rate VS USD]]</f>
        <v>23.084853401885837</v>
      </c>
      <c r="AI1301" s="204">
        <f>(Delivery[[#This Row],[AAA Premium (total)]]/SUMIF(Allocation!C:C,Delivery[Delivery ID],Allocation!H:H))/Delivery[[#This Row],[Exchange rate VS USD]]</f>
        <v>1.6882511067022936</v>
      </c>
      <c r="AJ1301" s="204">
        <f>Delivery[[#This Row],[Valor Prêmio Nespresso AAA por Kg (em US$)]]*60</f>
        <v>101.29506640213762</v>
      </c>
      <c r="AK1301" s="204">
        <f>Delivery[[#This Row],[Valor Prêmio Nespresso AAA por saca (em US$)]]/1.3228/100</f>
        <v>0.76576252193935301</v>
      </c>
      <c r="AL1301" s="204">
        <f>(Delivery[[#This Row],[BEN premium (total)]]/SUMIF(Allocation!C:C,Delivery[Delivery ID],Allocation!H:H))/Delivery[[#This Row],[Exchange rate for premiums VS USD]]</f>
        <v>0</v>
      </c>
      <c r="AM1301" s="204">
        <f>Delivery[[#This Row],[Valor Prêmio Nespresso BEN por Kg (em US$)]]*60</f>
        <v>0</v>
      </c>
      <c r="AN1301" s="204">
        <f>Delivery[[#This Row],[Valor Prêmio Nespresso BEN por saca (em US$)]]/1.3228/100</f>
        <v>0</v>
      </c>
      <c r="AO1301" s="204">
        <f>SUMIF(Allocation[Delivery ID],Delivery[[#This Row],[Delivery ID]],Allocation[Quantity allocated])*16*1.3228*Delivery[[#This Row],[Exchange rate VS USD]]/60</f>
        <v>3005.6315555519996</v>
      </c>
      <c r="AP1301" s="204">
        <f>Delivery[[#This Row],[AAA Premium (total)]]</f>
        <v>14385</v>
      </c>
      <c r="AQ1301" s="204">
        <f>Delivery[[#This Row],[Valor pago pelo Cluster]]-Delivery[[#This Row],[Valor efetivamente pago pela Nespresso]]</f>
        <v>11379.368444448</v>
      </c>
    </row>
    <row r="1302" spans="1:43" ht="15.75">
      <c r="A1302" s="174" t="s">
        <v>69</v>
      </c>
      <c r="B1302" s="232" t="s">
        <v>68</v>
      </c>
      <c r="C1302" s="157">
        <v>1</v>
      </c>
      <c r="D1302" s="157" t="s">
        <v>468</v>
      </c>
      <c r="E1302" s="177" t="s">
        <v>468</v>
      </c>
      <c r="F1302" s="240" t="s">
        <v>2220</v>
      </c>
      <c r="G1302" s="234">
        <v>43608</v>
      </c>
      <c r="H1302" s="157" t="s">
        <v>2222</v>
      </c>
      <c r="I1302" s="236" t="s">
        <v>511</v>
      </c>
      <c r="J1302" s="237">
        <v>30000</v>
      </c>
      <c r="K1302" s="175" t="s">
        <v>61</v>
      </c>
      <c r="L1302" s="175" t="s">
        <v>439</v>
      </c>
      <c r="M1302" s="175" t="s">
        <v>1343</v>
      </c>
      <c r="N1302" s="198"/>
      <c r="O1302" s="199"/>
      <c r="P1302" s="181">
        <v>0</v>
      </c>
      <c r="Q1302" s="177">
        <v>43605</v>
      </c>
      <c r="R1302" s="178">
        <v>368.48839499999997</v>
      </c>
      <c r="S1302" s="179">
        <v>196698</v>
      </c>
      <c r="T1302" s="182" t="s">
        <v>45</v>
      </c>
      <c r="U1302" s="183">
        <v>4.1102999999999996</v>
      </c>
      <c r="V1302" s="179">
        <v>14385</v>
      </c>
      <c r="W1302" s="179">
        <v>0</v>
      </c>
      <c r="X1302" s="196" t="s">
        <v>45</v>
      </c>
      <c r="Y1302" s="200">
        <v>4.1102999999999996</v>
      </c>
      <c r="Z1302" s="220" t="s">
        <v>2125</v>
      </c>
      <c r="AA1302" s="201">
        <f>Delivery[[#This Row],[Quantity delivered]]*VLOOKUP(Delivery[[#This Row],[Unit]],References!$U:$X,4,FALSE)*VLOOKUP(CONCATENATE(Delivery[[#This Row],[Coffee specie]],Delivery[[#This Row],[Coffee state]]),References!$U:$X,4,FALSE)</f>
        <v>30000</v>
      </c>
      <c r="AB1302" s="202">
        <f>SUMIF(Allocation!C:C,Delivery[[#This Row],[Delivery ID]],Allocation!D:D)/Delivery[[#This Row],[Quantity delivered]]</f>
        <v>0.15713333333333335</v>
      </c>
      <c r="AC1302" s="203">
        <f>Delivery[[#This Row],[Quantity delivered]]*Delivery[[#This Row],[Base price (Unidad)]]/60</f>
        <v>184244.19749999998</v>
      </c>
      <c r="AD1302" s="204">
        <f>Delivery[[#This Row],[Nespresso total]]-Delivery[[#This Row],[Qt. Delivery * Base Price]]</f>
        <v>12453.80250000002</v>
      </c>
      <c r="AE1302" s="204">
        <f>Delivery[[#This Row],[AAA Premium (total)]]/Delivery[[#This Row],[Quantity delivered]]*60/Delivery[[#This Row],[Exchange rate VS USD]]</f>
        <v>6.9994890883877092</v>
      </c>
      <c r="AF1302" s="204">
        <f>Delivery[[#This Row],[BEN premium (total)]]/Delivery[[#This Row],[Quantity delivered]]*60/Delivery[[#This Row],[Exchange rate for premiums VS USD]]</f>
        <v>0</v>
      </c>
      <c r="AG1302" s="204">
        <f>COUNTIF(Delivery[Delivery ID],Delivery[[#This Row],[Delivery ID]])</f>
        <v>1</v>
      </c>
      <c r="AH1302" s="204">
        <f>(Delivery[[#This Row],[Nespresso total]]/SUMIF(Allocation!C:C,Delivery[Delivery ID],Allocation!H:H))/Delivery[[#This Row],[Exchange rate VS USD]]</f>
        <v>23.073722807188688</v>
      </c>
      <c r="AI1302" s="204">
        <f>(Delivery[[#This Row],[AAA Premium (total)]]/SUMIF(Allocation!C:C,Delivery[Delivery ID],Allocation!H:H))/Delivery[[#This Row],[Exchange rate VS USD]]</f>
        <v>1.6874370994184451</v>
      </c>
      <c r="AJ1302" s="204">
        <f>Delivery[[#This Row],[Valor Prêmio Nespresso AAA por Kg (em US$)]]*60</f>
        <v>101.2462259651067</v>
      </c>
      <c r="AK1302" s="204">
        <f>Delivery[[#This Row],[Valor Prêmio Nespresso AAA por saca (em US$)]]/1.3228/100</f>
        <v>0.7653933018226996</v>
      </c>
      <c r="AL1302" s="204">
        <f>(Delivery[[#This Row],[BEN premium (total)]]/SUMIF(Allocation!C:C,Delivery[Delivery ID],Allocation!H:H))/Delivery[[#This Row],[Exchange rate for premiums VS USD]]</f>
        <v>0</v>
      </c>
      <c r="AM1302" s="204">
        <f>Delivery[[#This Row],[Valor Prêmio Nespresso BEN por Kg (em US$)]]*60</f>
        <v>0</v>
      </c>
      <c r="AN1302" s="204">
        <f>Delivery[[#This Row],[Valor Prêmio Nespresso BEN por saca (em US$)]]/1.3228/100</f>
        <v>0</v>
      </c>
      <c r="AO1302" s="204">
        <f>SUMIF(Allocation[Delivery ID],Delivery[[#This Row],[Delivery ID]],Allocation[Quantity allocated])*16*1.3228*Delivery[[#This Row],[Exchange rate VS USD]]/60</f>
        <v>3007.0814501760001</v>
      </c>
      <c r="AP1302" s="204">
        <f>Delivery[[#This Row],[AAA Premium (total)]]</f>
        <v>14385</v>
      </c>
      <c r="AQ1302" s="204">
        <f>Delivery[[#This Row],[Valor pago pelo Cluster]]-Delivery[[#This Row],[Valor efetivamente pago pela Nespresso]]</f>
        <v>11377.918549824</v>
      </c>
    </row>
    <row r="1303" spans="1:43" ht="15.75">
      <c r="A1303" s="174" t="s">
        <v>69</v>
      </c>
      <c r="B1303" s="232" t="s">
        <v>68</v>
      </c>
      <c r="C1303" s="157">
        <v>1</v>
      </c>
      <c r="D1303" s="157" t="s">
        <v>468</v>
      </c>
      <c r="E1303" s="177" t="s">
        <v>468</v>
      </c>
      <c r="F1303" s="240" t="s">
        <v>2220</v>
      </c>
      <c r="G1303" s="234">
        <v>43622</v>
      </c>
      <c r="H1303" s="157" t="s">
        <v>2223</v>
      </c>
      <c r="I1303" s="236" t="s">
        <v>511</v>
      </c>
      <c r="J1303" s="237">
        <v>38590</v>
      </c>
      <c r="K1303" s="175" t="s">
        <v>61</v>
      </c>
      <c r="L1303" s="175" t="s">
        <v>439</v>
      </c>
      <c r="M1303" s="175" t="s">
        <v>1343</v>
      </c>
      <c r="N1303" s="198"/>
      <c r="O1303" s="199"/>
      <c r="P1303" s="181">
        <v>0</v>
      </c>
      <c r="Q1303" s="177">
        <v>43616</v>
      </c>
      <c r="R1303" s="178">
        <v>412.58757000000003</v>
      </c>
      <c r="S1303" s="179">
        <v>266348.59999999998</v>
      </c>
      <c r="T1303" s="182" t="s">
        <v>45</v>
      </c>
      <c r="U1303" s="183">
        <v>3.9238</v>
      </c>
      <c r="V1303" s="179">
        <v>17663.21</v>
      </c>
      <c r="W1303" s="179">
        <v>0</v>
      </c>
      <c r="X1303" s="196" t="s">
        <v>45</v>
      </c>
      <c r="Y1303" s="200">
        <v>3.9238</v>
      </c>
      <c r="Z1303" s="220" t="s">
        <v>2125</v>
      </c>
      <c r="AA1303" s="201">
        <f>Delivery[[#This Row],[Quantity delivered]]*VLOOKUP(Delivery[[#This Row],[Unit]],References!$U:$X,4,FALSE)*VLOOKUP(CONCATENATE(Delivery[[#This Row],[Coffee specie]],Delivery[[#This Row],[Coffee state]]),References!$U:$X,4,FALSE)</f>
        <v>38590</v>
      </c>
      <c r="AB1303" s="202">
        <f>SUMIF(Allocation!C:C,Delivery[[#This Row],[Delivery ID]],Allocation!D:D)/Delivery[[#This Row],[Quantity delivered]]</f>
        <v>0.19204457113241771</v>
      </c>
      <c r="AC1303" s="203">
        <f>Delivery[[#This Row],[Quantity delivered]]*Delivery[[#This Row],[Base price (Unidad)]]/60</f>
        <v>265362.57210500003</v>
      </c>
      <c r="AD1303" s="204">
        <f>Delivery[[#This Row],[Nespresso total]]-Delivery[[#This Row],[Qt. Delivery * Base Price]]</f>
        <v>986.02789499994833</v>
      </c>
      <c r="AE1303" s="204">
        <f>Delivery[[#This Row],[AAA Premium (total)]]/Delivery[[#This Row],[Quantity delivered]]*60/Delivery[[#This Row],[Exchange rate VS USD]]</f>
        <v>6.9990523409800973</v>
      </c>
      <c r="AF1303" s="204">
        <f>Delivery[[#This Row],[BEN premium (total)]]/Delivery[[#This Row],[Quantity delivered]]*60/Delivery[[#This Row],[Exchange rate for premiums VS USD]]</f>
        <v>0</v>
      </c>
      <c r="AG1303" s="204">
        <f>COUNTIF(Delivery[Delivery ID],Delivery[[#This Row],[Delivery ID]])</f>
        <v>1</v>
      </c>
      <c r="AH1303" s="204">
        <f>(Delivery[[#This Row],[Nespresso total]]/SUMIF(Allocation!C:C,Delivery[Delivery ID],Allocation!H:H))/Delivery[[#This Row],[Exchange rate VS USD]]</f>
        <v>25.442379732708702</v>
      </c>
      <c r="AI1303" s="204">
        <f>(Delivery[[#This Row],[AAA Premium (total)]]/SUMIF(Allocation!C:C,Delivery[Delivery ID],Allocation!H:H))/Delivery[[#This Row],[Exchange rate VS USD]]</f>
        <v>1.6872403163319711</v>
      </c>
      <c r="AJ1303" s="204">
        <f>Delivery[[#This Row],[Valor Prêmio Nespresso AAA por Kg (em US$)]]*60</f>
        <v>101.23441897991827</v>
      </c>
      <c r="AK1303" s="204">
        <f>Delivery[[#This Row],[Valor Prêmio Nespresso AAA por saca (em US$)]]/1.3228/100</f>
        <v>0.76530404429935184</v>
      </c>
      <c r="AL1303" s="204">
        <f>(Delivery[[#This Row],[BEN premium (total)]]/SUMIF(Allocation!C:C,Delivery[Delivery ID],Allocation!H:H))/Delivery[[#This Row],[Exchange rate for premiums VS USD]]</f>
        <v>0</v>
      </c>
      <c r="AM1303" s="204">
        <f>Delivery[[#This Row],[Valor Prêmio Nespresso BEN por Kg (em US$)]]*60</f>
        <v>0</v>
      </c>
      <c r="AN1303" s="204">
        <f>Delivery[[#This Row],[Valor Prêmio Nespresso BEN por saca (em US$)]]/1.3228/100</f>
        <v>0</v>
      </c>
      <c r="AO1303" s="204">
        <f>SUMIF(Allocation[Delivery ID],Delivery[[#This Row],[Delivery ID]],Allocation[Quantity allocated])*16*1.3228*Delivery[[#This Row],[Exchange rate VS USD]]/60</f>
        <v>3692.7984649386663</v>
      </c>
      <c r="AP1303" s="204">
        <f>Delivery[[#This Row],[AAA Premium (total)]]</f>
        <v>17663.21</v>
      </c>
      <c r="AQ1303" s="204">
        <f>Delivery[[#This Row],[Valor pago pelo Cluster]]-Delivery[[#This Row],[Valor efetivamente pago pela Nespresso]]</f>
        <v>13970.411535061332</v>
      </c>
    </row>
    <row r="1304" spans="1:43" ht="15.75">
      <c r="A1304" s="174" t="s">
        <v>69</v>
      </c>
      <c r="B1304" s="232" t="s">
        <v>68</v>
      </c>
      <c r="C1304" s="157">
        <v>1</v>
      </c>
      <c r="D1304" s="157" t="s">
        <v>468</v>
      </c>
      <c r="E1304" s="177" t="s">
        <v>468</v>
      </c>
      <c r="F1304" s="240" t="s">
        <v>2220</v>
      </c>
      <c r="G1304" s="234">
        <v>43622</v>
      </c>
      <c r="H1304" s="157" t="s">
        <v>2224</v>
      </c>
      <c r="I1304" s="236" t="s">
        <v>511</v>
      </c>
      <c r="J1304" s="237">
        <v>38520</v>
      </c>
      <c r="K1304" s="175" t="s">
        <v>61</v>
      </c>
      <c r="L1304" s="175" t="s">
        <v>439</v>
      </c>
      <c r="M1304" s="175" t="s">
        <v>1343</v>
      </c>
      <c r="N1304" s="198"/>
      <c r="O1304" s="199"/>
      <c r="P1304" s="181">
        <v>0</v>
      </c>
      <c r="Q1304" s="177">
        <v>43616</v>
      </c>
      <c r="R1304" s="178">
        <v>412.58757000000003</v>
      </c>
      <c r="S1304" s="179">
        <v>266348.59999999998</v>
      </c>
      <c r="T1304" s="182" t="s">
        <v>45</v>
      </c>
      <c r="U1304" s="183">
        <v>3.9238</v>
      </c>
      <c r="V1304" s="179">
        <v>17663.21</v>
      </c>
      <c r="W1304" s="179">
        <v>0</v>
      </c>
      <c r="X1304" s="196" t="s">
        <v>45</v>
      </c>
      <c r="Y1304" s="200">
        <v>3.9238</v>
      </c>
      <c r="Z1304" s="220" t="s">
        <v>2125</v>
      </c>
      <c r="AA1304" s="201">
        <f>Delivery[[#This Row],[Quantity delivered]]*VLOOKUP(Delivery[[#This Row],[Unit]],References!$U:$X,4,FALSE)*VLOOKUP(CONCATENATE(Delivery[[#This Row],[Coffee specie]],Delivery[[#This Row],[Coffee state]]),References!$U:$X,4,FALSE)</f>
        <v>38520</v>
      </c>
      <c r="AB1304" s="202">
        <f>SUMIF(Allocation!C:C,Delivery[[#This Row],[Delivery ID]],Allocation!D:D)/Delivery[[#This Row],[Quantity delivered]]</f>
        <v>0.19203011422637592</v>
      </c>
      <c r="AC1304" s="203">
        <f>Delivery[[#This Row],[Quantity delivered]]*Delivery[[#This Row],[Base price (Unidad)]]/60</f>
        <v>264881.21994000004</v>
      </c>
      <c r="AD1304" s="204">
        <f>Delivery[[#This Row],[Nespresso total]]-Delivery[[#This Row],[Qt. Delivery * Base Price]]</f>
        <v>1467.3800599999377</v>
      </c>
      <c r="AE1304" s="204">
        <f>Delivery[[#This Row],[AAA Premium (total)]]/Delivery[[#This Row],[Quantity delivered]]*60/Delivery[[#This Row],[Exchange rate VS USD]]</f>
        <v>7.0117712834481294</v>
      </c>
      <c r="AF1304" s="204">
        <f>Delivery[[#This Row],[BEN premium (total)]]/Delivery[[#This Row],[Quantity delivered]]*60/Delivery[[#This Row],[Exchange rate for premiums VS USD]]</f>
        <v>0</v>
      </c>
      <c r="AG1304" s="204">
        <f>COUNTIF(Delivery[Delivery ID],Delivery[[#This Row],[Delivery ID]])</f>
        <v>1</v>
      </c>
      <c r="AH1304" s="204">
        <f>(Delivery[[#This Row],[Nespresso total]]/SUMIF(Allocation!C:C,Delivery[Delivery ID],Allocation!H:H))/Delivery[[#This Row],[Exchange rate VS USD]]</f>
        <v>25.490149878658208</v>
      </c>
      <c r="AI1304" s="204">
        <f>(Delivery[[#This Row],[AAA Premium (total)]]/SUMIF(Allocation!C:C,Delivery[Delivery ID],Allocation!H:H))/Delivery[[#This Row],[Exchange rate VS USD]]</f>
        <v>1.6904082478309046</v>
      </c>
      <c r="AJ1304" s="204">
        <f>Delivery[[#This Row],[Valor Prêmio Nespresso AAA por Kg (em US$)]]*60</f>
        <v>101.42449486985427</v>
      </c>
      <c r="AK1304" s="204">
        <f>Delivery[[#This Row],[Valor Prêmio Nespresso AAA por saca (em US$)]]/1.3228/100</f>
        <v>0.76674096514858081</v>
      </c>
      <c r="AL1304" s="204">
        <f>(Delivery[[#This Row],[BEN premium (total)]]/SUMIF(Allocation!C:C,Delivery[Delivery ID],Allocation!H:H))/Delivery[[#This Row],[Exchange rate for premiums VS USD]]</f>
        <v>0</v>
      </c>
      <c r="AM1304" s="204">
        <f>Delivery[[#This Row],[Valor Prêmio Nespresso BEN por Kg (em US$)]]*60</f>
        <v>0</v>
      </c>
      <c r="AN1304" s="204">
        <f>Delivery[[#This Row],[Valor Prêmio Nespresso BEN por saca (em US$)]]/1.3228/100</f>
        <v>0</v>
      </c>
      <c r="AO1304" s="204">
        <f>SUMIF(Allocation[Delivery ID],Delivery[[#This Row],[Delivery ID]],Allocation[Quantity allocated])*16*1.3228*Delivery[[#This Row],[Exchange rate VS USD]]/60</f>
        <v>3685.8779280853332</v>
      </c>
      <c r="AP1304" s="204">
        <f>Delivery[[#This Row],[AAA Premium (total)]]</f>
        <v>17663.21</v>
      </c>
      <c r="AQ1304" s="204">
        <f>Delivery[[#This Row],[Valor pago pelo Cluster]]-Delivery[[#This Row],[Valor efetivamente pago pela Nespresso]]</f>
        <v>13977.332071914665</v>
      </c>
    </row>
    <row r="1305" spans="1:43" ht="15.75">
      <c r="A1305" s="174" t="s">
        <v>69</v>
      </c>
      <c r="B1305" s="232" t="s">
        <v>68</v>
      </c>
      <c r="C1305" s="157">
        <v>1</v>
      </c>
      <c r="D1305" s="157" t="s">
        <v>468</v>
      </c>
      <c r="E1305" s="177" t="s">
        <v>468</v>
      </c>
      <c r="F1305" s="240" t="s">
        <v>2220</v>
      </c>
      <c r="G1305" s="234">
        <v>43642</v>
      </c>
      <c r="H1305" s="157" t="s">
        <v>2225</v>
      </c>
      <c r="I1305" s="236" t="s">
        <v>511</v>
      </c>
      <c r="J1305" s="237">
        <v>31740</v>
      </c>
      <c r="K1305" s="175" t="s">
        <v>61</v>
      </c>
      <c r="L1305" s="175" t="s">
        <v>439</v>
      </c>
      <c r="M1305" s="175" t="s">
        <v>1343</v>
      </c>
      <c r="N1305" s="198"/>
      <c r="O1305" s="199"/>
      <c r="P1305" s="181">
        <v>0</v>
      </c>
      <c r="Q1305" s="177">
        <v>43635</v>
      </c>
      <c r="R1305" s="178">
        <v>379.18440000000004</v>
      </c>
      <c r="S1305" s="179">
        <v>205564.74</v>
      </c>
      <c r="T1305" s="182" t="s">
        <v>45</v>
      </c>
      <c r="U1305" s="183">
        <v>3.8534999999999999</v>
      </c>
      <c r="V1305" s="179">
        <v>14294.1</v>
      </c>
      <c r="W1305" s="179">
        <v>0</v>
      </c>
      <c r="X1305" s="196" t="s">
        <v>45</v>
      </c>
      <c r="Y1305" s="200">
        <v>3.8534999999999999</v>
      </c>
      <c r="Z1305" s="220" t="s">
        <v>2125</v>
      </c>
      <c r="AA1305" s="201">
        <f>Delivery[[#This Row],[Quantity delivered]]*VLOOKUP(Delivery[[#This Row],[Unit]],References!$U:$X,4,FALSE)*VLOOKUP(CONCATENATE(Delivery[[#This Row],[Coffee specie]],Delivery[[#This Row],[Coffee state]]),References!$U:$X,4,FALSE)</f>
        <v>31740</v>
      </c>
      <c r="AB1305" s="202">
        <f>SUMIF(Allocation!C:C,Delivery[[#This Row],[Delivery ID]],Allocation!D:D)/Delivery[[#This Row],[Quantity delivered]]</f>
        <v>0.14165091367359797</v>
      </c>
      <c r="AC1305" s="203">
        <f>Delivery[[#This Row],[Quantity delivered]]*Delivery[[#This Row],[Base price (Unidad)]]/60</f>
        <v>200588.54760000002</v>
      </c>
      <c r="AD1305" s="204">
        <f>Delivery[[#This Row],[Nespresso total]]-Delivery[[#This Row],[Qt. Delivery * Base Price]]</f>
        <v>4976.1923999999708</v>
      </c>
      <c r="AE1305" s="204">
        <f>Delivery[[#This Row],[AAA Premium (total)]]/Delivery[[#This Row],[Quantity delivered]]*60/Delivery[[#This Row],[Exchange rate VS USD]]</f>
        <v>7.0120625371136596</v>
      </c>
      <c r="AF1305" s="204">
        <f>Delivery[[#This Row],[BEN premium (total)]]/Delivery[[#This Row],[Quantity delivered]]*60/Delivery[[#This Row],[Exchange rate for premiums VS USD]]</f>
        <v>0</v>
      </c>
      <c r="AG1305" s="204">
        <f>COUNTIF(Delivery[Delivery ID],Delivery[[#This Row],[Delivery ID]])</f>
        <v>1</v>
      </c>
      <c r="AH1305" s="204">
        <f>(Delivery[[#This Row],[Nespresso total]]/SUMIF(Allocation!C:C,Delivery[Delivery ID],Allocation!H:H))/Delivery[[#This Row],[Exchange rate VS USD]]</f>
        <v>24.719621667193973</v>
      </c>
      <c r="AI1305" s="204">
        <f>(Delivery[[#This Row],[AAA Premium (total)]]/SUMIF(Allocation!C:C,Delivery[Delivery ID],Allocation!H:H))/Delivery[[#This Row],[Exchange rate VS USD]]</f>
        <v>1.7188976284212816</v>
      </c>
      <c r="AJ1305" s="204">
        <f>Delivery[[#This Row],[Valor Prêmio Nespresso AAA por Kg (em US$)]]*60</f>
        <v>103.1338577052769</v>
      </c>
      <c r="AK1305" s="204">
        <f>Delivery[[#This Row],[Valor Prêmio Nespresso AAA por saca (em US$)]]/1.3228/100</f>
        <v>0.77966327264346003</v>
      </c>
      <c r="AL1305" s="204">
        <f>(Delivery[[#This Row],[BEN premium (total)]]/SUMIF(Allocation!C:C,Delivery[Delivery ID],Allocation!H:H))/Delivery[[#This Row],[Exchange rate for premiums VS USD]]</f>
        <v>0</v>
      </c>
      <c r="AM1305" s="204">
        <f>Delivery[[#This Row],[Valor Prêmio Nespresso BEN por Kg (em US$)]]*60</f>
        <v>0</v>
      </c>
      <c r="AN1305" s="204">
        <f>Delivery[[#This Row],[Valor Prêmio Nespresso BEN por saca (em US$)]]/1.3228/100</f>
        <v>0</v>
      </c>
      <c r="AO1305" s="204">
        <f>SUMIF(Allocation[Delivery ID],Delivery[[#This Row],[Delivery ID]],Allocation[Quantity allocated])*16*1.3228*Delivery[[#This Row],[Exchange rate VS USD]]/60</f>
        <v>2933.3894262399995</v>
      </c>
      <c r="AP1305" s="204">
        <f>Delivery[[#This Row],[AAA Premium (total)]]</f>
        <v>14294.1</v>
      </c>
      <c r="AQ1305" s="204">
        <f>Delivery[[#This Row],[Valor pago pelo Cluster]]-Delivery[[#This Row],[Valor efetivamente pago pela Nespresso]]</f>
        <v>11360.710573760001</v>
      </c>
    </row>
    <row r="1306" spans="1:43" ht="15.75">
      <c r="A1306" s="174" t="s">
        <v>69</v>
      </c>
      <c r="B1306" s="232" t="s">
        <v>68</v>
      </c>
      <c r="C1306" s="157">
        <v>1</v>
      </c>
      <c r="D1306" s="157" t="s">
        <v>468</v>
      </c>
      <c r="E1306" s="177" t="s">
        <v>468</v>
      </c>
      <c r="F1306" s="240" t="s">
        <v>2220</v>
      </c>
      <c r="G1306" s="234">
        <v>43642</v>
      </c>
      <c r="H1306" s="157" t="s">
        <v>2226</v>
      </c>
      <c r="I1306" s="236" t="s">
        <v>511</v>
      </c>
      <c r="J1306" s="237">
        <v>38050</v>
      </c>
      <c r="K1306" s="175" t="s">
        <v>61</v>
      </c>
      <c r="L1306" s="175" t="s">
        <v>439</v>
      </c>
      <c r="M1306" s="175" t="s">
        <v>1343</v>
      </c>
      <c r="N1306" s="198"/>
      <c r="O1306" s="199"/>
      <c r="P1306" s="181">
        <v>0</v>
      </c>
      <c r="Q1306" s="177">
        <v>43635</v>
      </c>
      <c r="R1306" s="178">
        <v>379.18440000000004</v>
      </c>
      <c r="S1306" s="179">
        <v>246677.68</v>
      </c>
      <c r="T1306" s="182" t="s">
        <v>45</v>
      </c>
      <c r="U1306" s="183">
        <v>3.8534999999999999</v>
      </c>
      <c r="V1306" s="179">
        <v>17152.23</v>
      </c>
      <c r="W1306" s="179">
        <v>0</v>
      </c>
      <c r="X1306" s="196" t="s">
        <v>45</v>
      </c>
      <c r="Y1306" s="200">
        <v>3.8534999999999999</v>
      </c>
      <c r="Z1306" s="220" t="s">
        <v>2125</v>
      </c>
      <c r="AA1306" s="201">
        <f>Delivery[[#This Row],[Quantity delivered]]*VLOOKUP(Delivery[[#This Row],[Unit]],References!$U:$X,4,FALSE)*VLOOKUP(CONCATENATE(Delivery[[#This Row],[Coffee specie]],Delivery[[#This Row],[Coffee state]]),References!$U:$X,4,FALSE)</f>
        <v>38050</v>
      </c>
      <c r="AB1306" s="202">
        <f>SUMIF(Allocation!C:C,Delivery[[#This Row],[Delivery ID]],Allocation!D:D)/Delivery[[#This Row],[Quantity delivered]]</f>
        <v>0.14404730617608411</v>
      </c>
      <c r="AC1306" s="203">
        <f>Delivery[[#This Row],[Quantity delivered]]*Delivery[[#This Row],[Base price (Unidad)]]/60</f>
        <v>240466.10700000002</v>
      </c>
      <c r="AD1306" s="204">
        <f>Delivery[[#This Row],[Nespresso total]]-Delivery[[#This Row],[Qt. Delivery * Base Price]]</f>
        <v>6211.5729999999749</v>
      </c>
      <c r="AE1306" s="204">
        <f>Delivery[[#This Row],[AAA Premium (total)]]/Delivery[[#This Row],[Quantity delivered]]*60/Delivery[[#This Row],[Exchange rate VS USD]]</f>
        <v>7.018783033735394</v>
      </c>
      <c r="AF1306" s="204">
        <f>Delivery[[#This Row],[BEN premium (total)]]/Delivery[[#This Row],[Quantity delivered]]*60/Delivery[[#This Row],[Exchange rate for premiums VS USD]]</f>
        <v>0</v>
      </c>
      <c r="AG1306" s="204">
        <f>COUNTIF(Delivery[Delivery ID],Delivery[[#This Row],[Delivery ID]])</f>
        <v>1</v>
      </c>
      <c r="AH1306" s="204">
        <f>(Delivery[[#This Row],[Nespresso total]]/SUMIF(Allocation!C:C,Delivery[Delivery ID],Allocation!H:H))/Delivery[[#This Row],[Exchange rate VS USD]]</f>
        <v>24.330646215633116</v>
      </c>
      <c r="AI1306" s="204">
        <f>(Delivery[[#This Row],[AAA Premium (total)]]/SUMIF(Allocation!C:C,Delivery[Delivery ID],Allocation!H:H))/Delivery[[#This Row],[Exchange rate VS USD]]</f>
        <v>1.6917819234361571</v>
      </c>
      <c r="AJ1306" s="204">
        <f>Delivery[[#This Row],[Valor Prêmio Nespresso AAA por Kg (em US$)]]*60</f>
        <v>101.50691540616943</v>
      </c>
      <c r="AK1306" s="204">
        <f>Delivery[[#This Row],[Valor Prêmio Nespresso AAA por saca (em US$)]]/1.3228/100</f>
        <v>0.76736404147391468</v>
      </c>
      <c r="AL1306" s="204">
        <f>(Delivery[[#This Row],[BEN premium (total)]]/SUMIF(Allocation!C:C,Delivery[Delivery ID],Allocation!H:H))/Delivery[[#This Row],[Exchange rate for premiums VS USD]]</f>
        <v>0</v>
      </c>
      <c r="AM1306" s="204">
        <f>Delivery[[#This Row],[Valor Prêmio Nespresso BEN por Kg (em US$)]]*60</f>
        <v>0</v>
      </c>
      <c r="AN1306" s="204">
        <f>Delivery[[#This Row],[Valor Prêmio Nespresso BEN por saca (em US$)]]/1.3228/100</f>
        <v>0</v>
      </c>
      <c r="AO1306" s="204">
        <f>SUMIF(Allocation[Delivery ID],Delivery[[#This Row],[Delivery ID]],Allocation[Quantity allocated])*16*1.3228*Delivery[[#This Row],[Exchange rate VS USD]]/60</f>
        <v>3576.3427156799999</v>
      </c>
      <c r="AP1306" s="204">
        <f>Delivery[[#This Row],[AAA Premium (total)]]</f>
        <v>17152.23</v>
      </c>
      <c r="AQ1306" s="204">
        <f>Delivery[[#This Row],[Valor pago pelo Cluster]]-Delivery[[#This Row],[Valor efetivamente pago pela Nespresso]]</f>
        <v>13575.887284320001</v>
      </c>
    </row>
    <row r="1307" spans="1:43" ht="15.75">
      <c r="A1307" s="174" t="s">
        <v>69</v>
      </c>
      <c r="B1307" s="232" t="s">
        <v>68</v>
      </c>
      <c r="C1307" s="157">
        <v>1</v>
      </c>
      <c r="D1307" s="157" t="s">
        <v>468</v>
      </c>
      <c r="E1307" s="177" t="s">
        <v>468</v>
      </c>
      <c r="F1307" s="240" t="s">
        <v>2220</v>
      </c>
      <c r="G1307" s="234">
        <v>43651</v>
      </c>
      <c r="H1307" s="157" t="s">
        <v>2227</v>
      </c>
      <c r="I1307" s="236" t="s">
        <v>1624</v>
      </c>
      <c r="J1307" s="237">
        <v>30650</v>
      </c>
      <c r="K1307" s="175" t="s">
        <v>61</v>
      </c>
      <c r="L1307" s="175" t="s">
        <v>439</v>
      </c>
      <c r="M1307" s="175" t="s">
        <v>1343</v>
      </c>
      <c r="N1307" s="198"/>
      <c r="O1307" s="199"/>
      <c r="P1307" s="181">
        <v>0</v>
      </c>
      <c r="Q1307" s="177">
        <v>43648</v>
      </c>
      <c r="R1307" s="178">
        <v>423.48336</v>
      </c>
      <c r="S1307" s="179">
        <v>212739</v>
      </c>
      <c r="T1307" s="182" t="s">
        <v>45</v>
      </c>
      <c r="U1307" s="183">
        <v>3.8359000000000001</v>
      </c>
      <c r="V1307" s="179">
        <v>13702.45</v>
      </c>
      <c r="W1307" s="179">
        <v>0</v>
      </c>
      <c r="X1307" s="196" t="s">
        <v>45</v>
      </c>
      <c r="Y1307" s="200">
        <v>3.8359000000000001</v>
      </c>
      <c r="Z1307" s="220" t="s">
        <v>2125</v>
      </c>
      <c r="AA1307" s="201">
        <f>Delivery[[#This Row],[Quantity delivered]]*VLOOKUP(Delivery[[#This Row],[Unit]],References!$U:$X,4,FALSE)*VLOOKUP(CONCATENATE(Delivery[[#This Row],[Coffee specie]],Delivery[[#This Row],[Coffee state]]),References!$U:$X,4,FALSE)</f>
        <v>30650</v>
      </c>
      <c r="AB1307" s="202">
        <f>SUMIF(Allocation!C:C,Delivery[[#This Row],[Delivery ID]],Allocation!D:D)/Delivery[[#This Row],[Quantity delivered]]</f>
        <v>0.49285481239804241</v>
      </c>
      <c r="AC1307" s="203">
        <f>Delivery[[#This Row],[Quantity delivered]]*Delivery[[#This Row],[Base price (Unidad)]]/60</f>
        <v>216329.41639999999</v>
      </c>
      <c r="AD1307" s="204">
        <f>Delivery[[#This Row],[Nespresso total]]-Delivery[[#This Row],[Qt. Delivery * Base Price]]</f>
        <v>-3590.4163999999873</v>
      </c>
      <c r="AE1307" s="204">
        <f>Delivery[[#This Row],[AAA Premium (total)]]/Delivery[[#This Row],[Quantity delivered]]*60/Delivery[[#This Row],[Exchange rate VS USD]]</f>
        <v>6.9928098784442527</v>
      </c>
      <c r="AF1307" s="204">
        <f>Delivery[[#This Row],[BEN premium (total)]]/Delivery[[#This Row],[Quantity delivered]]*60/Delivery[[#This Row],[Exchange rate for premiums VS USD]]</f>
        <v>0</v>
      </c>
      <c r="AG1307" s="204">
        <f>COUNTIF(Delivery[Delivery ID],Delivery[[#This Row],[Delivery ID]])</f>
        <v>1</v>
      </c>
      <c r="AH1307" s="204">
        <f>(Delivery[[#This Row],[Nespresso total]]/SUMIF(Allocation!C:C,Delivery[Delivery ID],Allocation!H:H))/Delivery[[#This Row],[Exchange rate VS USD]]</f>
        <v>10.798285893744124</v>
      </c>
      <c r="AI1307" s="204">
        <f>(Delivery[[#This Row],[AAA Premium (total)]]/SUMIF(Allocation!C:C,Delivery[Delivery ID],Allocation!H:H))/Delivery[[#This Row],[Exchange rate VS USD]]</f>
        <v>0.69551409259578245</v>
      </c>
      <c r="AJ1307" s="204">
        <f>Delivery[[#This Row],[Valor Prêmio Nespresso AAA por Kg (em US$)]]*60</f>
        <v>41.730845555746946</v>
      </c>
      <c r="AK1307" s="204">
        <f>Delivery[[#This Row],[Valor Prêmio Nespresso AAA por saca (em US$)]]/1.3228/100</f>
        <v>0.31547358297359351</v>
      </c>
      <c r="AL1307" s="204">
        <f>(Delivery[[#This Row],[BEN premium (total)]]/SUMIF(Allocation!C:C,Delivery[Delivery ID],Allocation!H:H))/Delivery[[#This Row],[Exchange rate for premiums VS USD]]</f>
        <v>0</v>
      </c>
      <c r="AM1307" s="204">
        <f>Delivery[[#This Row],[Valor Prêmio Nespresso BEN por Kg (em US$)]]*60</f>
        <v>0</v>
      </c>
      <c r="AN1307" s="204">
        <f>Delivery[[#This Row],[Valor Prêmio Nespresso BEN por saca (em US$)]]/1.3228/100</f>
        <v>0</v>
      </c>
      <c r="AO1307" s="204">
        <f>SUMIF(Allocation[Delivery ID],Delivery[[#This Row],[Delivery ID]],Allocation[Quantity allocated])*16*1.3228*Delivery[[#This Row],[Exchange rate VS USD]]/60</f>
        <v>6949.5264209919997</v>
      </c>
      <c r="AP1307" s="204">
        <f>Delivery[[#This Row],[AAA Premium (total)]]</f>
        <v>13702.45</v>
      </c>
      <c r="AQ1307" s="204">
        <f>Delivery[[#This Row],[Valor pago pelo Cluster]]-Delivery[[#This Row],[Valor efetivamente pago pela Nespresso]]</f>
        <v>6752.9235790080011</v>
      </c>
    </row>
    <row r="1308" spans="1:43" ht="15.75">
      <c r="A1308" s="174" t="s">
        <v>69</v>
      </c>
      <c r="B1308" s="232" t="s">
        <v>68</v>
      </c>
      <c r="C1308" s="157">
        <v>1</v>
      </c>
      <c r="D1308" s="157" t="s">
        <v>468</v>
      </c>
      <c r="E1308" s="177" t="s">
        <v>468</v>
      </c>
      <c r="F1308" s="240" t="s">
        <v>2220</v>
      </c>
      <c r="G1308" s="234">
        <v>43656</v>
      </c>
      <c r="H1308" s="157" t="s">
        <v>2228</v>
      </c>
      <c r="I1308" s="236" t="s">
        <v>1624</v>
      </c>
      <c r="J1308" s="237">
        <v>29620</v>
      </c>
      <c r="K1308" s="175" t="s">
        <v>61</v>
      </c>
      <c r="L1308" s="175" t="s">
        <v>439</v>
      </c>
      <c r="M1308" s="175" t="s">
        <v>1343</v>
      </c>
      <c r="N1308" s="198"/>
      <c r="O1308" s="199"/>
      <c r="P1308" s="181">
        <v>0</v>
      </c>
      <c r="Q1308" s="177">
        <v>43648</v>
      </c>
      <c r="R1308" s="178">
        <v>423.48336</v>
      </c>
      <c r="S1308" s="179">
        <v>212739</v>
      </c>
      <c r="T1308" s="182" t="s">
        <v>45</v>
      </c>
      <c r="U1308" s="183">
        <v>3.8359000000000001</v>
      </c>
      <c r="V1308" s="179">
        <v>13425</v>
      </c>
      <c r="W1308" s="179">
        <v>0</v>
      </c>
      <c r="X1308" s="196" t="s">
        <v>45</v>
      </c>
      <c r="Y1308" s="200">
        <v>3.8359000000000001</v>
      </c>
      <c r="Z1308" s="220" t="s">
        <v>2125</v>
      </c>
      <c r="AA1308" s="201">
        <f>Delivery[[#This Row],[Quantity delivered]]*VLOOKUP(Delivery[[#This Row],[Unit]],References!$U:$X,4,FALSE)*VLOOKUP(CONCATENATE(Delivery[[#This Row],[Coffee specie]],Delivery[[#This Row],[Coffee state]]),References!$U:$X,4,FALSE)</f>
        <v>29620</v>
      </c>
      <c r="AB1308" s="202">
        <f>SUMIF(Allocation!C:C,Delivery[[#This Row],[Delivery ID]],Allocation!D:D)/Delivery[[#This Row],[Quantity delivered]]</f>
        <v>0.49280891289669143</v>
      </c>
      <c r="AC1308" s="203">
        <f>Delivery[[#This Row],[Quantity delivered]]*Delivery[[#This Row],[Base price (Unidad)]]/60</f>
        <v>209059.61872</v>
      </c>
      <c r="AD1308" s="204">
        <f>Delivery[[#This Row],[Nespresso total]]-Delivery[[#This Row],[Qt. Delivery * Base Price]]</f>
        <v>3679.3812800000014</v>
      </c>
      <c r="AE1308" s="204">
        <f>Delivery[[#This Row],[AAA Premium (total)]]/Delivery[[#This Row],[Quantity delivered]]*60/Delivery[[#This Row],[Exchange rate VS USD]]</f>
        <v>7.0894609349931379</v>
      </c>
      <c r="AF1308" s="204">
        <f>Delivery[[#This Row],[BEN premium (total)]]/Delivery[[#This Row],[Quantity delivered]]*60/Delivery[[#This Row],[Exchange rate for premiums VS USD]]</f>
        <v>0</v>
      </c>
      <c r="AG1308" s="204">
        <f>COUNTIF(Delivery[Delivery ID],Delivery[[#This Row],[Delivery ID]])</f>
        <v>1</v>
      </c>
      <c r="AH1308" s="204">
        <f>(Delivery[[#This Row],[Nespresso total]]/SUMIF(Allocation!C:C,Delivery[Delivery ID],Allocation!H:H))/Delivery[[#This Row],[Exchange rate VS USD]]</f>
        <v>11.174691990785778</v>
      </c>
      <c r="AI1308" s="204">
        <f>(Delivery[[#This Row],[AAA Premium (total)]]/SUMIF(Allocation!C:C,Delivery[Delivery ID],Allocation!H:H))/Delivery[[#This Row],[Exchange rate VS USD]]</f>
        <v>0.70518447476155788</v>
      </c>
      <c r="AJ1308" s="204">
        <f>Delivery[[#This Row],[Valor Prêmio Nespresso AAA por Kg (em US$)]]*60</f>
        <v>42.311068485693475</v>
      </c>
      <c r="AK1308" s="204">
        <f>Delivery[[#This Row],[Valor Prêmio Nespresso AAA por saca (em US$)]]/1.3228/100</f>
        <v>0.31985990690726845</v>
      </c>
      <c r="AL1308" s="204">
        <f>(Delivery[[#This Row],[BEN premium (total)]]/SUMIF(Allocation!C:C,Delivery[Delivery ID],Allocation!H:H))/Delivery[[#This Row],[Exchange rate for premiums VS USD]]</f>
        <v>0</v>
      </c>
      <c r="AM1308" s="204">
        <f>Delivery[[#This Row],[Valor Prêmio Nespresso BEN por Kg (em US$)]]*60</f>
        <v>0</v>
      </c>
      <c r="AN1308" s="204">
        <f>Delivery[[#This Row],[Valor Prêmio Nespresso BEN por saca (em US$)]]/1.3228/100</f>
        <v>0</v>
      </c>
      <c r="AO1308" s="204">
        <f>SUMIF(Allocation[Delivery ID],Delivery[[#This Row],[Delivery ID]],Allocation[Quantity allocated])*16*1.3228*Delivery[[#This Row],[Exchange rate VS USD]]/60</f>
        <v>6715.4399586026666</v>
      </c>
      <c r="AP1308" s="204">
        <f>Delivery[[#This Row],[AAA Premium (total)]]</f>
        <v>13425</v>
      </c>
      <c r="AQ1308" s="204">
        <f>Delivery[[#This Row],[Valor pago pelo Cluster]]-Delivery[[#This Row],[Valor efetivamente pago pela Nespresso]]</f>
        <v>6709.5600413973334</v>
      </c>
    </row>
    <row r="1309" spans="1:43" ht="15.75">
      <c r="A1309" s="174" t="s">
        <v>69</v>
      </c>
      <c r="B1309" s="232" t="s">
        <v>68</v>
      </c>
      <c r="C1309" s="157">
        <v>1</v>
      </c>
      <c r="D1309" s="157" t="s">
        <v>468</v>
      </c>
      <c r="E1309" s="177" t="s">
        <v>468</v>
      </c>
      <c r="F1309" s="240" t="s">
        <v>2220</v>
      </c>
      <c r="G1309" s="234">
        <v>43700</v>
      </c>
      <c r="H1309" s="157" t="s">
        <v>2229</v>
      </c>
      <c r="I1309" s="236" t="s">
        <v>1742</v>
      </c>
      <c r="J1309" s="237">
        <v>30020</v>
      </c>
      <c r="K1309" s="175" t="s">
        <v>61</v>
      </c>
      <c r="L1309" s="175" t="s">
        <v>439</v>
      </c>
      <c r="M1309" s="175" t="s">
        <v>1343</v>
      </c>
      <c r="N1309" s="198"/>
      <c r="O1309" s="199"/>
      <c r="P1309" s="181">
        <v>0</v>
      </c>
      <c r="Q1309" s="177">
        <v>43617</v>
      </c>
      <c r="R1309" s="178">
        <v>549.6400799999999</v>
      </c>
      <c r="S1309" s="179">
        <v>260190</v>
      </c>
      <c r="T1309" s="182" t="s">
        <v>45</v>
      </c>
      <c r="U1309" s="183">
        <v>3.9203999999999999</v>
      </c>
      <c r="V1309" s="179">
        <v>13720</v>
      </c>
      <c r="W1309" s="179">
        <v>0</v>
      </c>
      <c r="X1309" s="196" t="s">
        <v>45</v>
      </c>
      <c r="Y1309" s="200">
        <v>3.9203999999999999</v>
      </c>
      <c r="Z1309" s="220" t="s">
        <v>2125</v>
      </c>
      <c r="AA1309" s="201">
        <f>Delivery[[#This Row],[Quantity delivered]]*VLOOKUP(Delivery[[#This Row],[Unit]],References!$U:$X,4,FALSE)*VLOOKUP(CONCATENATE(Delivery[[#This Row],[Coffee specie]],Delivery[[#This Row],[Coffee state]]),References!$U:$X,4,FALSE)</f>
        <v>30020</v>
      </c>
      <c r="AB1309" s="202">
        <f>SUMIF(Allocation!C:C,Delivery[[#This Row],[Delivery ID]],Allocation!D:D)/Delivery[[#This Row],[Quantity delivered]]</f>
        <v>0.71375749500333108</v>
      </c>
      <c r="AC1309" s="203">
        <f>Delivery[[#This Row],[Quantity delivered]]*Delivery[[#This Row],[Base price (Unidad)]]/60</f>
        <v>275003.25335999992</v>
      </c>
      <c r="AD1309" s="204">
        <f>Delivery[[#This Row],[Nespresso total]]-Delivery[[#This Row],[Qt. Delivery * Base Price]]</f>
        <v>-14813.253359999915</v>
      </c>
      <c r="AE1309" s="204">
        <f>Delivery[[#This Row],[AAA Premium (total)]]/Delivery[[#This Row],[Quantity delivered]]*60/Delivery[[#This Row],[Exchange rate VS USD]]</f>
        <v>6.9946227053610013</v>
      </c>
      <c r="AF1309" s="204">
        <f>Delivery[[#This Row],[BEN premium (total)]]/Delivery[[#This Row],[Quantity delivered]]*60/Delivery[[#This Row],[Exchange rate for premiums VS USD]]</f>
        <v>0</v>
      </c>
      <c r="AG1309" s="204">
        <f>COUNTIF(Delivery[Delivery ID],Delivery[[#This Row],[Delivery ID]])</f>
        <v>1</v>
      </c>
      <c r="AH1309" s="204">
        <f>(Delivery[[#This Row],[Nespresso total]]/SUMIF(Allocation!C:C,Delivery[Delivery ID],Allocation!H:H))/Delivery[[#This Row],[Exchange rate VS USD]]</f>
        <v>9.3859747888366698</v>
      </c>
      <c r="AI1309" s="204">
        <f>(Delivery[[#This Row],[AAA Premium (total)]]/SUMIF(Allocation!C:C,Delivery[Delivery ID],Allocation!H:H))/Delivery[[#This Row],[Exchange rate VS USD]]</f>
        <v>0.49492899074844965</v>
      </c>
      <c r="AJ1309" s="204">
        <f>Delivery[[#This Row],[Valor Prêmio Nespresso AAA por Kg (em US$)]]*60</f>
        <v>29.69573944490698</v>
      </c>
      <c r="AK1309" s="204">
        <f>Delivery[[#This Row],[Valor Prêmio Nespresso AAA por saca (em US$)]]/1.3228/100</f>
        <v>0.22449152891523269</v>
      </c>
      <c r="AL1309" s="204">
        <f>(Delivery[[#This Row],[BEN premium (total)]]/SUMIF(Allocation!C:C,Delivery[Delivery ID],Allocation!H:H))/Delivery[[#This Row],[Exchange rate for premiums VS USD]]</f>
        <v>0</v>
      </c>
      <c r="AM1309" s="204">
        <f>Delivery[[#This Row],[Valor Prêmio Nespresso BEN por Kg (em US$)]]*60</f>
        <v>0</v>
      </c>
      <c r="AN1309" s="204">
        <f>Delivery[[#This Row],[Valor Prêmio Nespresso BEN por saca (em US$)]]/1.3228/100</f>
        <v>0</v>
      </c>
      <c r="AO1309" s="204">
        <f>SUMIF(Allocation[Delivery ID],Delivery[[#This Row],[Delivery ID]],Allocation[Quantity allocated])*16*1.3228*Delivery[[#This Row],[Exchange rate VS USD]]/60</f>
        <v>9778.5426942720005</v>
      </c>
      <c r="AP1309" s="204">
        <f>Delivery[[#This Row],[AAA Premium (total)]]</f>
        <v>13720</v>
      </c>
      <c r="AQ1309" s="204">
        <f>Delivery[[#This Row],[Valor pago pelo Cluster]]-Delivery[[#This Row],[Valor efetivamente pago pela Nespresso]]</f>
        <v>3941.4573057279995</v>
      </c>
    </row>
    <row r="1310" spans="1:43" ht="15.75">
      <c r="A1310" s="174" t="s">
        <v>69</v>
      </c>
      <c r="B1310" s="232" t="s">
        <v>68</v>
      </c>
      <c r="C1310" s="157">
        <v>1</v>
      </c>
      <c r="D1310" s="157" t="s">
        <v>468</v>
      </c>
      <c r="E1310" s="177" t="s">
        <v>468</v>
      </c>
      <c r="F1310" s="240" t="s">
        <v>2220</v>
      </c>
      <c r="G1310" s="234">
        <v>43700</v>
      </c>
      <c r="H1310" s="157" t="s">
        <v>2230</v>
      </c>
      <c r="I1310" s="236" t="s">
        <v>1742</v>
      </c>
      <c r="J1310" s="237">
        <v>29980</v>
      </c>
      <c r="K1310" s="175" t="s">
        <v>61</v>
      </c>
      <c r="L1310" s="175" t="s">
        <v>439</v>
      </c>
      <c r="M1310" s="175" t="s">
        <v>1343</v>
      </c>
      <c r="N1310" s="198"/>
      <c r="O1310" s="199"/>
      <c r="P1310" s="181">
        <v>0</v>
      </c>
      <c r="Q1310" s="177">
        <v>43617</v>
      </c>
      <c r="R1310" s="178">
        <v>549.6400799999999</v>
      </c>
      <c r="S1310" s="179">
        <v>260190</v>
      </c>
      <c r="T1310" s="182" t="s">
        <v>45</v>
      </c>
      <c r="U1310" s="183">
        <v>3.9203999999999999</v>
      </c>
      <c r="V1310" s="179">
        <v>13720</v>
      </c>
      <c r="W1310" s="179">
        <v>0</v>
      </c>
      <c r="X1310" s="196" t="s">
        <v>45</v>
      </c>
      <c r="Y1310" s="200">
        <v>3.9203999999999999</v>
      </c>
      <c r="Z1310" s="220" t="s">
        <v>2125</v>
      </c>
      <c r="AA1310" s="201">
        <f>Delivery[[#This Row],[Quantity delivered]]*VLOOKUP(Delivery[[#This Row],[Unit]],References!$U:$X,4,FALSE)*VLOOKUP(CONCATENATE(Delivery[[#This Row],[Coffee specie]],Delivery[[#This Row],[Coffee state]]),References!$U:$X,4,FALSE)</f>
        <v>29980</v>
      </c>
      <c r="AB1310" s="202">
        <f>SUMIF(Allocation!C:C,Delivery[[#This Row],[Delivery ID]],Allocation!D:D)/Delivery[[#This Row],[Quantity delivered]]</f>
        <v>0.71370913942628422</v>
      </c>
      <c r="AC1310" s="203">
        <f>Delivery[[#This Row],[Quantity delivered]]*Delivery[[#This Row],[Base price (Unidad)]]/60</f>
        <v>274636.82663999993</v>
      </c>
      <c r="AD1310" s="204">
        <f>Delivery[[#This Row],[Nespresso total]]-Delivery[[#This Row],[Qt. Delivery * Base Price]]</f>
        <v>-14446.826639999927</v>
      </c>
      <c r="AE1310" s="204">
        <f>Delivery[[#This Row],[AAA Premium (total)]]/Delivery[[#This Row],[Quantity delivered]]*60/Delivery[[#This Row],[Exchange rate VS USD]]</f>
        <v>7.0039550905582812</v>
      </c>
      <c r="AF1310" s="204">
        <f>Delivery[[#This Row],[BEN premium (total)]]/Delivery[[#This Row],[Quantity delivered]]*60/Delivery[[#This Row],[Exchange rate for premiums VS USD]]</f>
        <v>0</v>
      </c>
      <c r="AG1310" s="204">
        <f>COUNTIF(Delivery[Delivery ID],Delivery[[#This Row],[Delivery ID]])</f>
        <v>1</v>
      </c>
      <c r="AH1310" s="204">
        <f>(Delivery[[#This Row],[Nespresso total]]/SUMIF(Allocation!C:C,Delivery[Delivery ID],Allocation!H:H))/Delivery[[#This Row],[Exchange rate VS USD]]</f>
        <v>9.3992674878719864</v>
      </c>
      <c r="AI1310" s="204">
        <f>(Delivery[[#This Row],[AAA Premium (total)]]/SUMIF(Allocation!C:C,Delivery[Delivery ID],Allocation!H:H))/Delivery[[#This Row],[Exchange rate VS USD]]</f>
        <v>0.49562992403091455</v>
      </c>
      <c r="AJ1310" s="204">
        <f>Delivery[[#This Row],[Valor Prêmio Nespresso AAA por Kg (em US$)]]*60</f>
        <v>29.737795441854871</v>
      </c>
      <c r="AK1310" s="204">
        <f>Delivery[[#This Row],[Valor Prêmio Nespresso AAA por saca (em US$)]]/1.3228/100</f>
        <v>0.22480946055227452</v>
      </c>
      <c r="AL1310" s="204">
        <f>(Delivery[[#This Row],[BEN premium (total)]]/SUMIF(Allocation!C:C,Delivery[Delivery ID],Allocation!H:H))/Delivery[[#This Row],[Exchange rate for premiums VS USD]]</f>
        <v>0</v>
      </c>
      <c r="AM1310" s="204">
        <f>Delivery[[#This Row],[Valor Prêmio Nespresso BEN por Kg (em US$)]]*60</f>
        <v>0</v>
      </c>
      <c r="AN1310" s="204">
        <f>Delivery[[#This Row],[Valor Prêmio Nespresso BEN por saca (em US$)]]/1.3228/100</f>
        <v>0</v>
      </c>
      <c r="AO1310" s="204">
        <f>SUMIF(Allocation[Delivery ID],Delivery[[#This Row],[Delivery ID]],Allocation[Quantity allocated])*16*1.3228*Delivery[[#This Row],[Exchange rate VS USD]]/60</f>
        <v>9764.7136139519989</v>
      </c>
      <c r="AP1310" s="204">
        <f>Delivery[[#This Row],[AAA Premium (total)]]</f>
        <v>13720</v>
      </c>
      <c r="AQ1310" s="204">
        <f>Delivery[[#This Row],[Valor pago pelo Cluster]]-Delivery[[#This Row],[Valor efetivamente pago pela Nespresso]]</f>
        <v>3955.2863860480011</v>
      </c>
    </row>
    <row r="1311" spans="1:43" ht="15.75">
      <c r="A1311" s="174" t="s">
        <v>69</v>
      </c>
      <c r="B1311" s="232" t="s">
        <v>68</v>
      </c>
      <c r="C1311" s="157">
        <v>1</v>
      </c>
      <c r="D1311" s="157" t="s">
        <v>468</v>
      </c>
      <c r="E1311" s="177" t="s">
        <v>468</v>
      </c>
      <c r="F1311" s="240" t="s">
        <v>2220</v>
      </c>
      <c r="G1311" s="234">
        <v>43700</v>
      </c>
      <c r="H1311" s="157" t="s">
        <v>2231</v>
      </c>
      <c r="I1311" s="236" t="s">
        <v>1742</v>
      </c>
      <c r="J1311" s="237">
        <v>29960</v>
      </c>
      <c r="K1311" s="175" t="s">
        <v>61</v>
      </c>
      <c r="L1311" s="175" t="s">
        <v>439</v>
      </c>
      <c r="M1311" s="175" t="s">
        <v>1343</v>
      </c>
      <c r="N1311" s="198"/>
      <c r="O1311" s="199"/>
      <c r="P1311" s="181">
        <v>0</v>
      </c>
      <c r="Q1311" s="177">
        <v>43617</v>
      </c>
      <c r="R1311" s="178">
        <v>549.6400799999999</v>
      </c>
      <c r="S1311" s="179">
        <v>260190</v>
      </c>
      <c r="T1311" s="182" t="s">
        <v>45</v>
      </c>
      <c r="U1311" s="183">
        <v>3.9203999999999999</v>
      </c>
      <c r="V1311" s="179">
        <v>13720</v>
      </c>
      <c r="W1311" s="179">
        <v>0</v>
      </c>
      <c r="X1311" s="196" t="s">
        <v>45</v>
      </c>
      <c r="Y1311" s="200">
        <v>3.9203999999999999</v>
      </c>
      <c r="Z1311" s="220" t="s">
        <v>2125</v>
      </c>
      <c r="AA1311" s="201">
        <f>Delivery[[#This Row],[Quantity delivered]]*VLOOKUP(Delivery[[#This Row],[Unit]],References!$U:$X,4,FALSE)*VLOOKUP(CONCATENATE(Delivery[[#This Row],[Coffee specie]],Delivery[[#This Row],[Coffee state]]),References!$U:$X,4,FALSE)</f>
        <v>29960</v>
      </c>
      <c r="AB1311" s="202">
        <f>SUMIF(Allocation!C:C,Delivery[[#This Row],[Delivery ID]],Allocation!D:D)/Delivery[[#This Row],[Quantity delivered]]</f>
        <v>0.71368491321762351</v>
      </c>
      <c r="AC1311" s="203">
        <f>Delivery[[#This Row],[Quantity delivered]]*Delivery[[#This Row],[Base price (Unidad)]]/60</f>
        <v>274453.61327999993</v>
      </c>
      <c r="AD1311" s="204">
        <f>Delivery[[#This Row],[Nespresso total]]-Delivery[[#This Row],[Qt. Delivery * Base Price]]</f>
        <v>-14263.613279999932</v>
      </c>
      <c r="AE1311" s="204">
        <f>Delivery[[#This Row],[AAA Premium (total)]]/Delivery[[#This Row],[Quantity delivered]]*60/Delivery[[#This Row],[Exchange rate VS USD]]</f>
        <v>7.0086306280019111</v>
      </c>
      <c r="AF1311" s="204">
        <f>Delivery[[#This Row],[BEN premium (total)]]/Delivery[[#This Row],[Quantity delivered]]*60/Delivery[[#This Row],[Exchange rate for premiums VS USD]]</f>
        <v>0</v>
      </c>
      <c r="AG1311" s="204">
        <f>COUNTIF(Delivery[Delivery ID],Delivery[[#This Row],[Delivery ID]])</f>
        <v>1</v>
      </c>
      <c r="AH1311" s="204">
        <f>(Delivery[[#This Row],[Nespresso total]]/SUMIF(Allocation!C:C,Delivery[Delivery ID],Allocation!H:H))/Delivery[[#This Row],[Exchange rate VS USD]]</f>
        <v>9.4059279665340281</v>
      </c>
      <c r="AI1311" s="204">
        <f>(Delivery[[#This Row],[AAA Premium (total)]]/SUMIF(Allocation!C:C,Delivery[Delivery ID],Allocation!H:H))/Delivery[[#This Row],[Exchange rate VS USD]]</f>
        <v>0.49598113571177543</v>
      </c>
      <c r="AJ1311" s="204">
        <f>Delivery[[#This Row],[Valor Prêmio Nespresso AAA por Kg (em US$)]]*60</f>
        <v>29.758868142706525</v>
      </c>
      <c r="AK1311" s="204">
        <f>Delivery[[#This Row],[Valor Prêmio Nespresso AAA por saca (em US$)]]/1.3228/100</f>
        <v>0.22496876430833479</v>
      </c>
      <c r="AL1311" s="204">
        <f>(Delivery[[#This Row],[BEN premium (total)]]/SUMIF(Allocation!C:C,Delivery[Delivery ID],Allocation!H:H))/Delivery[[#This Row],[Exchange rate for premiums VS USD]]</f>
        <v>0</v>
      </c>
      <c r="AM1311" s="204">
        <f>Delivery[[#This Row],[Valor Prêmio Nespresso BEN por Kg (em US$)]]*60</f>
        <v>0</v>
      </c>
      <c r="AN1311" s="204">
        <f>Delivery[[#This Row],[Valor Prêmio Nespresso BEN por saca (em US$)]]/1.3228/100</f>
        <v>0</v>
      </c>
      <c r="AO1311" s="204">
        <f>SUMIF(Allocation[Delivery ID],Delivery[[#This Row],[Delivery ID]],Allocation[Quantity allocated])*16*1.3228*Delivery[[#This Row],[Exchange rate VS USD]]/60</f>
        <v>9757.799073791999</v>
      </c>
      <c r="AP1311" s="204">
        <f>Delivery[[#This Row],[AAA Premium (total)]]</f>
        <v>13720</v>
      </c>
      <c r="AQ1311" s="204">
        <f>Delivery[[#This Row],[Valor pago pelo Cluster]]-Delivery[[#This Row],[Valor efetivamente pago pela Nespresso]]</f>
        <v>3962.200926208001</v>
      </c>
    </row>
    <row r="1312" spans="1:43" ht="15.75">
      <c r="A1312" s="174" t="s">
        <v>69</v>
      </c>
      <c r="B1312" s="232" t="s">
        <v>68</v>
      </c>
      <c r="C1312" s="157">
        <v>1</v>
      </c>
      <c r="D1312" s="157" t="s">
        <v>468</v>
      </c>
      <c r="E1312" s="177" t="s">
        <v>468</v>
      </c>
      <c r="F1312" s="240" t="s">
        <v>2220</v>
      </c>
      <c r="G1312" s="234">
        <v>43700</v>
      </c>
      <c r="H1312" s="157" t="s">
        <v>2232</v>
      </c>
      <c r="I1312" s="236" t="s">
        <v>1742</v>
      </c>
      <c r="J1312" s="237">
        <v>9896</v>
      </c>
      <c r="K1312" s="175" t="s">
        <v>61</v>
      </c>
      <c r="L1312" s="175" t="s">
        <v>439</v>
      </c>
      <c r="M1312" s="175" t="s">
        <v>1343</v>
      </c>
      <c r="N1312" s="198"/>
      <c r="O1312" s="199"/>
      <c r="P1312" s="181">
        <v>0</v>
      </c>
      <c r="Q1312" s="177">
        <v>43617</v>
      </c>
      <c r="R1312" s="178">
        <v>549.6400799999999</v>
      </c>
      <c r="S1312" s="179">
        <v>85862.7</v>
      </c>
      <c r="T1312" s="182" t="s">
        <v>45</v>
      </c>
      <c r="U1312" s="183">
        <v>3.9203999999999999</v>
      </c>
      <c r="V1312" s="179">
        <v>4527.6000000000004</v>
      </c>
      <c r="W1312" s="179">
        <v>0</v>
      </c>
      <c r="X1312" s="196" t="s">
        <v>45</v>
      </c>
      <c r="Y1312" s="200">
        <v>3.9203999999999999</v>
      </c>
      <c r="Z1312" s="220" t="s">
        <v>2125</v>
      </c>
      <c r="AA1312" s="201">
        <f>Delivery[[#This Row],[Quantity delivered]]*VLOOKUP(Delivery[[#This Row],[Unit]],References!$U:$X,4,FALSE)*VLOOKUP(CONCATENATE(Delivery[[#This Row],[Coffee specie]],Delivery[[#This Row],[Coffee state]]),References!$U:$X,4,FALSE)</f>
        <v>9896</v>
      </c>
      <c r="AB1312" s="202">
        <f>SUMIF(Allocation!C:C,Delivery[[#This Row],[Delivery ID]],Allocation!D:D)/Delivery[[#This Row],[Quantity delivered]]</f>
        <v>0.71382376717865803</v>
      </c>
      <c r="AC1312" s="203">
        <f>Delivery[[#This Row],[Quantity delivered]]*Delivery[[#This Row],[Base price (Unidad)]]/60</f>
        <v>90653.970527999991</v>
      </c>
      <c r="AD1312" s="204">
        <f>Delivery[[#This Row],[Nespresso total]]-Delivery[[#This Row],[Qt. Delivery * Base Price]]</f>
        <v>-4791.2705279999936</v>
      </c>
      <c r="AE1312" s="204">
        <f>Delivery[[#This Row],[AAA Premium (total)]]/Delivery[[#This Row],[Quantity delivered]]*60/Delivery[[#This Row],[Exchange rate VS USD]]</f>
        <v>7.0021149245078114</v>
      </c>
      <c r="AF1312" s="204">
        <f>Delivery[[#This Row],[BEN premium (total)]]/Delivery[[#This Row],[Quantity delivered]]*60/Delivery[[#This Row],[Exchange rate for premiums VS USD]]</f>
        <v>0</v>
      </c>
      <c r="AG1312" s="204">
        <f>COUNTIF(Delivery[Delivery ID],Delivery[[#This Row],[Delivery ID]])</f>
        <v>1</v>
      </c>
      <c r="AH1312" s="204">
        <f>(Delivery[[#This Row],[Nespresso total]]/SUMIF(Allocation!C:C,Delivery[Delivery ID],Allocation!H:H))/Delivery[[#This Row],[Exchange rate VS USD]]</f>
        <v>9.395759395759395</v>
      </c>
      <c r="AI1312" s="204">
        <f>(Delivery[[#This Row],[AAA Premium (total)]]/SUMIF(Allocation!C:C,Delivery[Delivery ID],Allocation!H:H))/Delivery[[#This Row],[Exchange rate VS USD]]</f>
        <v>0.49544493988938437</v>
      </c>
      <c r="AJ1312" s="204">
        <f>Delivery[[#This Row],[Valor Prêmio Nespresso AAA por Kg (em US$)]]*60</f>
        <v>29.726696393363063</v>
      </c>
      <c r="AK1312" s="204">
        <f>Delivery[[#This Row],[Valor Prêmio Nespresso AAA por saca (em US$)]]/1.3228/100</f>
        <v>0.22472555483340689</v>
      </c>
      <c r="AL1312" s="204">
        <f>(Delivery[[#This Row],[BEN premium (total)]]/SUMIF(Allocation!C:C,Delivery[Delivery ID],Allocation!H:H))/Delivery[[#This Row],[Exchange rate for premiums VS USD]]</f>
        <v>0</v>
      </c>
      <c r="AM1312" s="204">
        <f>Delivery[[#This Row],[Valor Prêmio Nespresso BEN por Kg (em US$)]]*60</f>
        <v>0</v>
      </c>
      <c r="AN1312" s="204">
        <f>Delivery[[#This Row],[Valor Prêmio Nespresso BEN por saca (em US$)]]/1.3228/100</f>
        <v>0</v>
      </c>
      <c r="AO1312" s="204">
        <f>SUMIF(Allocation[Delivery ID],Delivery[[#This Row],[Delivery ID]],Allocation[Quantity allocated])*16*1.3228*Delivery[[#This Row],[Exchange rate VS USD]]/60</f>
        <v>3223.5586225920001</v>
      </c>
      <c r="AP1312" s="204">
        <f>Delivery[[#This Row],[AAA Premium (total)]]</f>
        <v>4527.6000000000004</v>
      </c>
      <c r="AQ1312" s="204">
        <f>Delivery[[#This Row],[Valor pago pelo Cluster]]-Delivery[[#This Row],[Valor efetivamente pago pela Nespresso]]</f>
        <v>1304.0413774080002</v>
      </c>
    </row>
    <row r="1313" spans="1:43" ht="15.75">
      <c r="A1313" s="174" t="s">
        <v>69</v>
      </c>
      <c r="B1313" s="232" t="s">
        <v>68</v>
      </c>
      <c r="C1313" s="157">
        <v>1</v>
      </c>
      <c r="D1313" s="157" t="s">
        <v>468</v>
      </c>
      <c r="E1313" s="177" t="s">
        <v>468</v>
      </c>
      <c r="F1313" s="240" t="s">
        <v>2220</v>
      </c>
      <c r="G1313" s="234">
        <v>43700</v>
      </c>
      <c r="H1313" s="157" t="s">
        <v>2233</v>
      </c>
      <c r="I1313" s="236" t="s">
        <v>1742</v>
      </c>
      <c r="J1313" s="237">
        <v>20094</v>
      </c>
      <c r="K1313" s="175" t="s">
        <v>61</v>
      </c>
      <c r="L1313" s="175" t="s">
        <v>439</v>
      </c>
      <c r="M1313" s="175" t="s">
        <v>1343</v>
      </c>
      <c r="N1313" s="198"/>
      <c r="O1313" s="199"/>
      <c r="P1313" s="181">
        <v>0</v>
      </c>
      <c r="Q1313" s="177">
        <v>43617</v>
      </c>
      <c r="R1313" s="178">
        <v>549.6400799999999</v>
      </c>
      <c r="S1313" s="179">
        <v>174327.3</v>
      </c>
      <c r="T1313" s="182" t="s">
        <v>45</v>
      </c>
      <c r="U1313" s="183">
        <v>3.9203999999999999</v>
      </c>
      <c r="V1313" s="179">
        <v>9192.4</v>
      </c>
      <c r="W1313" s="179">
        <v>0</v>
      </c>
      <c r="X1313" s="196" t="s">
        <v>45</v>
      </c>
      <c r="Y1313" s="200">
        <v>3.9203999999999999</v>
      </c>
      <c r="Z1313" s="220" t="s">
        <v>2125</v>
      </c>
      <c r="AA1313" s="201">
        <f>Delivery[[#This Row],[Quantity delivered]]*VLOOKUP(Delivery[[#This Row],[Unit]],References!$U:$X,4,FALSE)*VLOOKUP(CONCATENATE(Delivery[[#This Row],[Coffee specie]],Delivery[[#This Row],[Coffee state]]),References!$U:$X,4,FALSE)</f>
        <v>20094</v>
      </c>
      <c r="AB1313" s="202">
        <f>SUMIF(Allocation!C:C,Delivery[[#This Row],[Delivery ID]],Allocation!D:D)/Delivery[[#This Row],[Quantity delivered]]</f>
        <v>0.71359609833781223</v>
      </c>
      <c r="AC1313" s="203">
        <f>Delivery[[#This Row],[Quantity delivered]]*Delivery[[#This Row],[Base price (Unidad)]]/60</f>
        <v>184074.46279199995</v>
      </c>
      <c r="AD1313" s="204">
        <f>Delivery[[#This Row],[Nespresso total]]-Delivery[[#This Row],[Qt. Delivery * Base Price]]</f>
        <v>-9747.1627919999592</v>
      </c>
      <c r="AE1313" s="204">
        <f>Delivery[[#This Row],[AAA Premium (total)]]/Delivery[[#This Row],[Quantity delivered]]*60/Delivery[[#This Row],[Exchange rate VS USD]]</f>
        <v>7.0013757500750442</v>
      </c>
      <c r="AF1313" s="204">
        <f>Delivery[[#This Row],[BEN premium (total)]]/Delivery[[#This Row],[Quantity delivered]]*60/Delivery[[#This Row],[Exchange rate for premiums VS USD]]</f>
        <v>0</v>
      </c>
      <c r="AG1313" s="204">
        <f>COUNTIF(Delivery[Delivery ID],Delivery[[#This Row],[Delivery ID]])</f>
        <v>1</v>
      </c>
      <c r="AH1313" s="204">
        <f>(Delivery[[#This Row],[Nespresso total]]/SUMIF(Allocation!C:C,Delivery[Delivery ID],Allocation!H:H))/Delivery[[#This Row],[Exchange rate VS USD]]</f>
        <v>9.397022945973994</v>
      </c>
      <c r="AI1313" s="204">
        <f>(Delivery[[#This Row],[AAA Premium (total)]]/SUMIF(Allocation!C:C,Delivery[Delivery ID],Allocation!H:H))/Delivery[[#This Row],[Exchange rate VS USD]]</f>
        <v>0.49551156777263999</v>
      </c>
      <c r="AJ1313" s="204">
        <f>Delivery[[#This Row],[Valor Prêmio Nespresso AAA por Kg (em US$)]]*60</f>
        <v>29.730694066358399</v>
      </c>
      <c r="AK1313" s="204">
        <f>Delivery[[#This Row],[Valor Prêmio Nespresso AAA por saca (em US$)]]/1.3228/100</f>
        <v>0.22475577612910794</v>
      </c>
      <c r="AL1313" s="204">
        <f>(Delivery[[#This Row],[BEN premium (total)]]/SUMIF(Allocation!C:C,Delivery[Delivery ID],Allocation!H:H))/Delivery[[#This Row],[Exchange rate for premiums VS USD]]</f>
        <v>0</v>
      </c>
      <c r="AM1313" s="204">
        <f>Delivery[[#This Row],[Valor Prêmio Nespresso BEN por Kg (em US$)]]*60</f>
        <v>0</v>
      </c>
      <c r="AN1313" s="204">
        <f>Delivery[[#This Row],[Valor Prêmio Nespresso BEN por saca (em US$)]]/1.3228/100</f>
        <v>0</v>
      </c>
      <c r="AO1313" s="204">
        <f>SUMIF(Allocation[Delivery ID],Delivery[[#This Row],[Delivery ID]],Allocation[Quantity allocated])*16*1.3228*Delivery[[#This Row],[Exchange rate VS USD]]/60</f>
        <v>6543.9208074239996</v>
      </c>
      <c r="AP1313" s="204">
        <f>Delivery[[#This Row],[AAA Premium (total)]]</f>
        <v>9192.4</v>
      </c>
      <c r="AQ1313" s="204">
        <f>Delivery[[#This Row],[Valor pago pelo Cluster]]-Delivery[[#This Row],[Valor efetivamente pago pela Nespresso]]</f>
        <v>2648.4791925760001</v>
      </c>
    </row>
    <row r="1314" spans="1:43" ht="15.75">
      <c r="A1314" s="174" t="s">
        <v>69</v>
      </c>
      <c r="B1314" s="232" t="s">
        <v>68</v>
      </c>
      <c r="C1314" s="157">
        <v>1</v>
      </c>
      <c r="D1314" s="157" t="s">
        <v>468</v>
      </c>
      <c r="E1314" s="177" t="s">
        <v>468</v>
      </c>
      <c r="F1314" s="240" t="s">
        <v>2220</v>
      </c>
      <c r="G1314" s="234">
        <v>43707</v>
      </c>
      <c r="H1314" s="157" t="s">
        <v>2234</v>
      </c>
      <c r="I1314" s="236" t="s">
        <v>511</v>
      </c>
      <c r="J1314" s="237">
        <v>31940</v>
      </c>
      <c r="K1314" s="175" t="s">
        <v>61</v>
      </c>
      <c r="L1314" s="175" t="s">
        <v>439</v>
      </c>
      <c r="M1314" s="175" t="s">
        <v>1343</v>
      </c>
      <c r="N1314" s="198"/>
      <c r="O1314" s="199"/>
      <c r="P1314" s="181">
        <v>0</v>
      </c>
      <c r="Q1314" s="177">
        <v>43702</v>
      </c>
      <c r="R1314" s="178">
        <v>403.44639999999998</v>
      </c>
      <c r="S1314" s="179">
        <v>223815.23</v>
      </c>
      <c r="T1314" s="182" t="s">
        <v>45</v>
      </c>
      <c r="U1314" s="183">
        <v>4.1167999999999996</v>
      </c>
      <c r="V1314" s="179">
        <v>15361.05</v>
      </c>
      <c r="W1314" s="179">
        <v>0</v>
      </c>
      <c r="X1314" s="196" t="s">
        <v>45</v>
      </c>
      <c r="Y1314" s="200">
        <v>4.1167999999999996</v>
      </c>
      <c r="Z1314" s="220" t="s">
        <v>2125</v>
      </c>
      <c r="AA1314" s="201">
        <f>Delivery[[#This Row],[Quantity delivered]]*VLOOKUP(Delivery[[#This Row],[Unit]],References!$U:$X,4,FALSE)*VLOOKUP(CONCATENATE(Delivery[[#This Row],[Coffee specie]],Delivery[[#This Row],[Coffee state]]),References!$U:$X,4,FALSE)</f>
        <v>31940</v>
      </c>
      <c r="AB1314" s="202">
        <f>SUMIF(Allocation!C:C,Delivery[[#This Row],[Delivery ID]],Allocation!D:D)/Delivery[[#This Row],[Quantity delivered]]</f>
        <v>0.22667501565435191</v>
      </c>
      <c r="AC1314" s="203">
        <f>Delivery[[#This Row],[Quantity delivered]]*Delivery[[#This Row],[Base price (Unidad)]]/60</f>
        <v>214767.96693333331</v>
      </c>
      <c r="AD1314" s="204">
        <f>Delivery[[#This Row],[Nespresso total]]-Delivery[[#This Row],[Qt. Delivery * Base Price]]</f>
        <v>9047.2630666666955</v>
      </c>
      <c r="AE1314" s="204">
        <f>Delivery[[#This Row],[AAA Premium (total)]]/Delivery[[#This Row],[Quantity delivered]]*60/Delivery[[#This Row],[Exchange rate VS USD]]</f>
        <v>7.0093455811652294</v>
      </c>
      <c r="AF1314" s="204">
        <f>Delivery[[#This Row],[BEN premium (total)]]/Delivery[[#This Row],[Quantity delivered]]*60/Delivery[[#This Row],[Exchange rate for premiums VS USD]]</f>
        <v>0</v>
      </c>
      <c r="AG1314" s="204">
        <f>COUNTIF(Delivery[Delivery ID],Delivery[[#This Row],[Delivery ID]])</f>
        <v>1</v>
      </c>
      <c r="AH1314" s="204">
        <f>(Delivery[[#This Row],[Nespresso total]]/SUMIF(Allocation!C:C,Delivery[Delivery ID],Allocation!H:H))/Delivery[[#This Row],[Exchange rate VS USD]]</f>
        <v>25.030530024213771</v>
      </c>
      <c r="AI1314" s="204">
        <f>(Delivery[[#This Row],[AAA Premium (total)]]/SUMIF(Allocation!C:C,Delivery[Delivery ID],Allocation!H:H))/Delivery[[#This Row],[Exchange rate VS USD]]</f>
        <v>1.717913580896389</v>
      </c>
      <c r="AJ1314" s="204">
        <f>Delivery[[#This Row],[Valor Prêmio Nespresso AAA por Kg (em US$)]]*60</f>
        <v>103.07481485378334</v>
      </c>
      <c r="AK1314" s="204">
        <f>Delivery[[#This Row],[Valor Prêmio Nespresso AAA por saca (em US$)]]/1.3228/100</f>
        <v>0.77921692511175789</v>
      </c>
      <c r="AL1314" s="204">
        <f>(Delivery[[#This Row],[BEN premium (total)]]/SUMIF(Allocation!C:C,Delivery[Delivery ID],Allocation!H:H))/Delivery[[#This Row],[Exchange rate for premiums VS USD]]</f>
        <v>0</v>
      </c>
      <c r="AM1314" s="204">
        <f>Delivery[[#This Row],[Valor Prêmio Nespresso BEN por Kg (em US$)]]*60</f>
        <v>0</v>
      </c>
      <c r="AN1314" s="204">
        <f>Delivery[[#This Row],[Valor Prêmio Nespresso BEN por saca (em US$)]]/1.3228/100</f>
        <v>0</v>
      </c>
      <c r="AO1314" s="204">
        <f>SUMIF(Allocation[Delivery ID],Delivery[[#This Row],[Delivery ID]],Allocation[Quantity allocated])*16*1.3228*Delivery[[#This Row],[Exchange rate VS USD]]/60</f>
        <v>3154.1512007679994</v>
      </c>
      <c r="AP1314" s="204">
        <f>Delivery[[#This Row],[AAA Premium (total)]]</f>
        <v>15361.05</v>
      </c>
      <c r="AQ1314" s="204">
        <f>Delivery[[#This Row],[Valor pago pelo Cluster]]-Delivery[[#This Row],[Valor efetivamente pago pela Nespresso]]</f>
        <v>12206.898799232</v>
      </c>
    </row>
    <row r="1315" spans="1:43" ht="15.75">
      <c r="A1315" s="174" t="s">
        <v>69</v>
      </c>
      <c r="B1315" s="232" t="s">
        <v>68</v>
      </c>
      <c r="C1315" s="157">
        <v>1</v>
      </c>
      <c r="D1315" s="157" t="s">
        <v>468</v>
      </c>
      <c r="E1315" s="177" t="s">
        <v>468</v>
      </c>
      <c r="F1315" s="240" t="s">
        <v>2220</v>
      </c>
      <c r="G1315" s="234">
        <v>43707</v>
      </c>
      <c r="H1315" s="157" t="s">
        <v>2235</v>
      </c>
      <c r="I1315" s="236" t="s">
        <v>511</v>
      </c>
      <c r="J1315" s="237">
        <v>31940</v>
      </c>
      <c r="K1315" s="175" t="s">
        <v>61</v>
      </c>
      <c r="L1315" s="175" t="s">
        <v>439</v>
      </c>
      <c r="M1315" s="175" t="s">
        <v>1343</v>
      </c>
      <c r="N1315" s="198"/>
      <c r="O1315" s="199"/>
      <c r="P1315" s="181">
        <v>0</v>
      </c>
      <c r="Q1315" s="177">
        <v>43702</v>
      </c>
      <c r="R1315" s="178">
        <v>403.44639999999998</v>
      </c>
      <c r="S1315" s="179">
        <v>223815.23</v>
      </c>
      <c r="T1315" s="182" t="s">
        <v>45</v>
      </c>
      <c r="U1315" s="183">
        <v>4.1167999999999996</v>
      </c>
      <c r="V1315" s="179">
        <v>15361.05</v>
      </c>
      <c r="W1315" s="179">
        <v>0</v>
      </c>
      <c r="X1315" s="196" t="s">
        <v>45</v>
      </c>
      <c r="Y1315" s="200">
        <v>4.1167999999999996</v>
      </c>
      <c r="Z1315" s="220" t="s">
        <v>2125</v>
      </c>
      <c r="AA1315" s="201">
        <f>Delivery[[#This Row],[Quantity delivered]]*VLOOKUP(Delivery[[#This Row],[Unit]],References!$U:$X,4,FALSE)*VLOOKUP(CONCATENATE(Delivery[[#This Row],[Coffee specie]],Delivery[[#This Row],[Coffee state]]),References!$U:$X,4,FALSE)</f>
        <v>31940</v>
      </c>
      <c r="AB1315" s="202">
        <f>SUMIF(Allocation!C:C,Delivery[[#This Row],[Delivery ID]],Allocation!D:D)/Delivery[[#This Row],[Quantity delivered]]</f>
        <v>0.22667501565435191</v>
      </c>
      <c r="AC1315" s="203">
        <f>Delivery[[#This Row],[Quantity delivered]]*Delivery[[#This Row],[Base price (Unidad)]]/60</f>
        <v>214767.96693333331</v>
      </c>
      <c r="AD1315" s="204">
        <f>Delivery[[#This Row],[Nespresso total]]-Delivery[[#This Row],[Qt. Delivery * Base Price]]</f>
        <v>9047.2630666666955</v>
      </c>
      <c r="AE1315" s="204">
        <f>Delivery[[#This Row],[AAA Premium (total)]]/Delivery[[#This Row],[Quantity delivered]]*60/Delivery[[#This Row],[Exchange rate VS USD]]</f>
        <v>7.0093455811652294</v>
      </c>
      <c r="AF1315" s="204">
        <f>Delivery[[#This Row],[BEN premium (total)]]/Delivery[[#This Row],[Quantity delivered]]*60/Delivery[[#This Row],[Exchange rate for premiums VS USD]]</f>
        <v>0</v>
      </c>
      <c r="AG1315" s="204">
        <f>COUNTIF(Delivery[Delivery ID],Delivery[[#This Row],[Delivery ID]])</f>
        <v>1</v>
      </c>
      <c r="AH1315" s="204">
        <f>(Delivery[[#This Row],[Nespresso total]]/SUMIF(Allocation!C:C,Delivery[Delivery ID],Allocation!H:H))/Delivery[[#This Row],[Exchange rate VS USD]]</f>
        <v>25.030530024213771</v>
      </c>
      <c r="AI1315" s="204">
        <f>(Delivery[[#This Row],[AAA Premium (total)]]/SUMIF(Allocation!C:C,Delivery[Delivery ID],Allocation!H:H))/Delivery[[#This Row],[Exchange rate VS USD]]</f>
        <v>1.717913580896389</v>
      </c>
      <c r="AJ1315" s="204">
        <f>Delivery[[#This Row],[Valor Prêmio Nespresso AAA por Kg (em US$)]]*60</f>
        <v>103.07481485378334</v>
      </c>
      <c r="AK1315" s="204">
        <f>Delivery[[#This Row],[Valor Prêmio Nespresso AAA por saca (em US$)]]/1.3228/100</f>
        <v>0.77921692511175789</v>
      </c>
      <c r="AL1315" s="204">
        <f>(Delivery[[#This Row],[BEN premium (total)]]/SUMIF(Allocation!C:C,Delivery[Delivery ID],Allocation!H:H))/Delivery[[#This Row],[Exchange rate for premiums VS USD]]</f>
        <v>0</v>
      </c>
      <c r="AM1315" s="204">
        <f>Delivery[[#This Row],[Valor Prêmio Nespresso BEN por Kg (em US$)]]*60</f>
        <v>0</v>
      </c>
      <c r="AN1315" s="204">
        <f>Delivery[[#This Row],[Valor Prêmio Nespresso BEN por saca (em US$)]]/1.3228/100</f>
        <v>0</v>
      </c>
      <c r="AO1315" s="204">
        <f>SUMIF(Allocation[Delivery ID],Delivery[[#This Row],[Delivery ID]],Allocation[Quantity allocated])*16*1.3228*Delivery[[#This Row],[Exchange rate VS USD]]/60</f>
        <v>3154.1512007679994</v>
      </c>
      <c r="AP1315" s="204">
        <f>Delivery[[#This Row],[AAA Premium (total)]]</f>
        <v>15361.05</v>
      </c>
      <c r="AQ1315" s="204">
        <f>Delivery[[#This Row],[Valor pago pelo Cluster]]-Delivery[[#This Row],[Valor efetivamente pago pela Nespresso]]</f>
        <v>12206.898799232</v>
      </c>
    </row>
    <row r="1316" spans="1:43" ht="15.75">
      <c r="A1316" s="174" t="s">
        <v>69</v>
      </c>
      <c r="B1316" s="232" t="s">
        <v>68</v>
      </c>
      <c r="C1316" s="157">
        <v>1</v>
      </c>
      <c r="D1316" s="157" t="s">
        <v>468</v>
      </c>
      <c r="E1316" s="177" t="s">
        <v>468</v>
      </c>
      <c r="F1316" s="240" t="s">
        <v>2220</v>
      </c>
      <c r="G1316" s="234">
        <v>43707</v>
      </c>
      <c r="H1316" s="157" t="s">
        <v>2236</v>
      </c>
      <c r="I1316" s="236" t="s">
        <v>511</v>
      </c>
      <c r="J1316" s="237">
        <v>31860</v>
      </c>
      <c r="K1316" s="175" t="s">
        <v>61</v>
      </c>
      <c r="L1316" s="175" t="s">
        <v>439</v>
      </c>
      <c r="M1316" s="175" t="s">
        <v>1343</v>
      </c>
      <c r="N1316" s="198"/>
      <c r="O1316" s="199"/>
      <c r="P1316" s="181">
        <v>0</v>
      </c>
      <c r="Q1316" s="177">
        <v>43702</v>
      </c>
      <c r="R1316" s="178">
        <v>403.44639999999998</v>
      </c>
      <c r="S1316" s="179">
        <v>223395.31</v>
      </c>
      <c r="T1316" s="182" t="s">
        <v>45</v>
      </c>
      <c r="U1316" s="183">
        <v>4.1167999999999996</v>
      </c>
      <c r="V1316" s="179">
        <v>15332.24</v>
      </c>
      <c r="W1316" s="179">
        <v>0</v>
      </c>
      <c r="X1316" s="196" t="s">
        <v>45</v>
      </c>
      <c r="Y1316" s="200">
        <v>4.1167999999999996</v>
      </c>
      <c r="Z1316" s="220" t="s">
        <v>2125</v>
      </c>
      <c r="AA1316" s="201">
        <f>Delivery[[#This Row],[Quantity delivered]]*VLOOKUP(Delivery[[#This Row],[Unit]],References!$U:$X,4,FALSE)*VLOOKUP(CONCATENATE(Delivery[[#This Row],[Coffee specie]],Delivery[[#This Row],[Coffee state]]),References!$U:$X,4,FALSE)</f>
        <v>31860</v>
      </c>
      <c r="AB1316" s="202">
        <f>SUMIF(Allocation!C:C,Delivery[[#This Row],[Delivery ID]],Allocation!D:D)/Delivery[[#This Row],[Quantity delivered]]</f>
        <v>0.22661644695543001</v>
      </c>
      <c r="AC1316" s="203">
        <f>Delivery[[#This Row],[Quantity delivered]]*Delivery[[#This Row],[Base price (Unidad)]]/60</f>
        <v>214230.03839999999</v>
      </c>
      <c r="AD1316" s="204">
        <f>Delivery[[#This Row],[Nespresso total]]-Delivery[[#This Row],[Qt. Delivery * Base Price]]</f>
        <v>9165.2716000000073</v>
      </c>
      <c r="AE1316" s="204">
        <f>Delivery[[#This Row],[AAA Premium (total)]]/Delivery[[#This Row],[Quantity delivered]]*60/Delivery[[#This Row],[Exchange rate VS USD]]</f>
        <v>7.0137667491544455</v>
      </c>
      <c r="AF1316" s="204">
        <f>Delivery[[#This Row],[BEN premium (total)]]/Delivery[[#This Row],[Quantity delivered]]*60/Delivery[[#This Row],[Exchange rate for premiums VS USD]]</f>
        <v>0</v>
      </c>
      <c r="AG1316" s="204">
        <f>COUNTIF(Delivery[Delivery ID],Delivery[[#This Row],[Delivery ID]])</f>
        <v>1</v>
      </c>
      <c r="AH1316" s="204">
        <f>(Delivery[[#This Row],[Nespresso total]]/SUMIF(Allocation!C:C,Delivery[Delivery ID],Allocation!H:H))/Delivery[[#This Row],[Exchange rate VS USD]]</f>
        <v>25.05277454200683</v>
      </c>
      <c r="AI1316" s="204">
        <f>(Delivery[[#This Row],[AAA Premium (total)]]/SUMIF(Allocation!C:C,Delivery[Delivery ID],Allocation!H:H))/Delivery[[#This Row],[Exchange rate VS USD]]</f>
        <v>1.7194414329644556</v>
      </c>
      <c r="AJ1316" s="204">
        <f>Delivery[[#This Row],[Valor Prêmio Nespresso AAA por Kg (em US$)]]*60</f>
        <v>103.16648597786734</v>
      </c>
      <c r="AK1316" s="204">
        <f>Delivery[[#This Row],[Valor Prêmio Nespresso AAA por saca (em US$)]]/1.3228/100</f>
        <v>0.77990993330713143</v>
      </c>
      <c r="AL1316" s="204">
        <f>(Delivery[[#This Row],[BEN premium (total)]]/SUMIF(Allocation!C:C,Delivery[Delivery ID],Allocation!H:H))/Delivery[[#This Row],[Exchange rate for premiums VS USD]]</f>
        <v>0</v>
      </c>
      <c r="AM1316" s="204">
        <f>Delivery[[#This Row],[Valor Prêmio Nespresso BEN por Kg (em US$)]]*60</f>
        <v>0</v>
      </c>
      <c r="AN1316" s="204">
        <f>Delivery[[#This Row],[Valor Prêmio Nespresso BEN por saca (em US$)]]/1.3228/100</f>
        <v>0</v>
      </c>
      <c r="AO1316" s="204">
        <f>SUMIF(Allocation[Delivery ID],Delivery[[#This Row],[Delivery ID]],Allocation[Quantity allocated])*16*1.3228*Delivery[[#This Row],[Exchange rate VS USD]]/60</f>
        <v>3145.4380759039996</v>
      </c>
      <c r="AP1316" s="204">
        <f>Delivery[[#This Row],[AAA Premium (total)]]</f>
        <v>15332.24</v>
      </c>
      <c r="AQ1316" s="204">
        <f>Delivery[[#This Row],[Valor pago pelo Cluster]]-Delivery[[#This Row],[Valor efetivamente pago pela Nespresso]]</f>
        <v>12186.801924096</v>
      </c>
    </row>
    <row r="1317" spans="1:43" ht="15.75">
      <c r="A1317" s="174" t="s">
        <v>69</v>
      </c>
      <c r="B1317" s="232" t="s">
        <v>68</v>
      </c>
      <c r="C1317" s="157">
        <v>1</v>
      </c>
      <c r="D1317" s="157" t="s">
        <v>468</v>
      </c>
      <c r="E1317" s="177" t="s">
        <v>468</v>
      </c>
      <c r="F1317" s="240" t="s">
        <v>2220</v>
      </c>
      <c r="G1317" s="234">
        <v>43707</v>
      </c>
      <c r="H1317" s="157" t="s">
        <v>2237</v>
      </c>
      <c r="I1317" s="236" t="s">
        <v>511</v>
      </c>
      <c r="J1317" s="237">
        <v>14060</v>
      </c>
      <c r="K1317" s="175" t="s">
        <v>61</v>
      </c>
      <c r="L1317" s="175" t="s">
        <v>439</v>
      </c>
      <c r="M1317" s="175" t="s">
        <v>1343</v>
      </c>
      <c r="N1317" s="198"/>
      <c r="O1317" s="199"/>
      <c r="P1317" s="181">
        <v>0</v>
      </c>
      <c r="Q1317" s="177">
        <v>43702</v>
      </c>
      <c r="R1317" s="178">
        <v>403.44639999999998</v>
      </c>
      <c r="S1317" s="179">
        <v>98680.26</v>
      </c>
      <c r="T1317" s="182" t="s">
        <v>45</v>
      </c>
      <c r="U1317" s="183">
        <v>4.1167999999999996</v>
      </c>
      <c r="V1317" s="179">
        <v>6772.24</v>
      </c>
      <c r="W1317" s="179">
        <v>0</v>
      </c>
      <c r="X1317" s="196" t="s">
        <v>45</v>
      </c>
      <c r="Y1317" s="200">
        <v>4.1167999999999996</v>
      </c>
      <c r="Z1317" s="220" t="s">
        <v>2125</v>
      </c>
      <c r="AA1317" s="201">
        <f>Delivery[[#This Row],[Quantity delivered]]*VLOOKUP(Delivery[[#This Row],[Unit]],References!$U:$X,4,FALSE)*VLOOKUP(CONCATENATE(Delivery[[#This Row],[Coffee specie]],Delivery[[#This Row],[Coffee state]]),References!$U:$X,4,FALSE)</f>
        <v>14060</v>
      </c>
      <c r="AB1317" s="202">
        <f>SUMIF(Allocation!C:C,Delivery[[#This Row],[Delivery ID]],Allocation!D:D)/Delivery[[#This Row],[Quantity delivered]]</f>
        <v>0.22667140825035562</v>
      </c>
      <c r="AC1317" s="203">
        <f>Delivery[[#This Row],[Quantity delivered]]*Delivery[[#This Row],[Base price (Unidad)]]/60</f>
        <v>94540.939733333333</v>
      </c>
      <c r="AD1317" s="204">
        <f>Delivery[[#This Row],[Nespresso total]]-Delivery[[#This Row],[Qt. Delivery * Base Price]]</f>
        <v>4139.3202666666621</v>
      </c>
      <c r="AE1317" s="204">
        <f>Delivery[[#This Row],[AAA Premium (total)]]/Delivery[[#This Row],[Quantity delivered]]*60/Delivery[[#This Row],[Exchange rate VS USD]]</f>
        <v>7.0200224566415983</v>
      </c>
      <c r="AF1317" s="204">
        <f>Delivery[[#This Row],[BEN premium (total)]]/Delivery[[#This Row],[Quantity delivered]]*60/Delivery[[#This Row],[Exchange rate for premiums VS USD]]</f>
        <v>0</v>
      </c>
      <c r="AG1317" s="204">
        <f>COUNTIF(Delivery[Delivery ID],Delivery[[#This Row],[Delivery ID]])</f>
        <v>1</v>
      </c>
      <c r="AH1317" s="204">
        <f>(Delivery[[#This Row],[Nespresso total]]/SUMIF(Allocation!C:C,Delivery[Delivery ID],Allocation!H:H))/Delivery[[#This Row],[Exchange rate VS USD]]</f>
        <v>25.07336506235497</v>
      </c>
      <c r="AI1317" s="204">
        <f>(Delivery[[#This Row],[AAA Premium (total)]]/SUMIF(Allocation!C:C,Delivery[Delivery ID],Allocation!H:H))/Delivery[[#This Row],[Exchange rate VS USD]]</f>
        <v>1.7207377221126374</v>
      </c>
      <c r="AJ1317" s="204">
        <f>Delivery[[#This Row],[Valor Prêmio Nespresso AAA por Kg (em US$)]]*60</f>
        <v>103.24426332675824</v>
      </c>
      <c r="AK1317" s="204">
        <f>Delivery[[#This Row],[Valor Prêmio Nespresso AAA por saca (em US$)]]/1.3228/100</f>
        <v>0.7804979084272623</v>
      </c>
      <c r="AL1317" s="204">
        <f>(Delivery[[#This Row],[BEN premium (total)]]/SUMIF(Allocation!C:C,Delivery[Delivery ID],Allocation!H:H))/Delivery[[#This Row],[Exchange rate for premiums VS USD]]</f>
        <v>0</v>
      </c>
      <c r="AM1317" s="204">
        <f>Delivery[[#This Row],[Valor Prêmio Nespresso BEN por Kg (em US$)]]*60</f>
        <v>0</v>
      </c>
      <c r="AN1317" s="204">
        <f>Delivery[[#This Row],[Valor Prêmio Nespresso BEN por saca (em US$)]]/1.3228/100</f>
        <v>0</v>
      </c>
      <c r="AO1317" s="204">
        <f>SUMIF(Allocation[Delivery ID],Delivery[[#This Row],[Delivery ID]],Allocation[Quantity allocated])*16*1.3228*Delivery[[#This Row],[Exchange rate VS USD]]/60</f>
        <v>1388.2912283306664</v>
      </c>
      <c r="AP1317" s="204">
        <f>Delivery[[#This Row],[AAA Premium (total)]]</f>
        <v>6772.24</v>
      </c>
      <c r="AQ1317" s="204">
        <f>Delivery[[#This Row],[Valor pago pelo Cluster]]-Delivery[[#This Row],[Valor efetivamente pago pela Nespresso]]</f>
        <v>5383.9487716693329</v>
      </c>
    </row>
    <row r="1318" spans="1:43" ht="15.75">
      <c r="A1318" s="174" t="s">
        <v>69</v>
      </c>
      <c r="B1318" s="232" t="s">
        <v>68</v>
      </c>
      <c r="C1318" s="157">
        <v>1</v>
      </c>
      <c r="D1318" s="157" t="s">
        <v>468</v>
      </c>
      <c r="E1318" s="177" t="s">
        <v>468</v>
      </c>
      <c r="F1318" s="240" t="s">
        <v>2220</v>
      </c>
      <c r="G1318" s="234">
        <v>43712</v>
      </c>
      <c r="H1318" s="157" t="s">
        <v>2238</v>
      </c>
      <c r="I1318" s="236" t="s">
        <v>511</v>
      </c>
      <c r="J1318" s="237">
        <v>29990</v>
      </c>
      <c r="K1318" s="175" t="s">
        <v>61</v>
      </c>
      <c r="L1318" s="175" t="s">
        <v>439</v>
      </c>
      <c r="M1318" s="175" t="s">
        <v>1343</v>
      </c>
      <c r="N1318" s="198"/>
      <c r="O1318" s="199"/>
      <c r="P1318" s="181">
        <v>0</v>
      </c>
      <c r="Q1318" s="177">
        <v>43705</v>
      </c>
      <c r="R1318" s="178">
        <v>403.95676000000003</v>
      </c>
      <c r="S1318" s="179">
        <v>208848</v>
      </c>
      <c r="T1318" s="182" t="s">
        <v>45</v>
      </c>
      <c r="U1318" s="183">
        <v>4.1474000000000002</v>
      </c>
      <c r="V1318" s="179">
        <v>14515</v>
      </c>
      <c r="W1318" s="179">
        <v>0</v>
      </c>
      <c r="X1318" s="196" t="s">
        <v>45</v>
      </c>
      <c r="Y1318" s="200">
        <v>4.1474000000000002</v>
      </c>
      <c r="Z1318" s="220" t="s">
        <v>2125</v>
      </c>
      <c r="AA1318" s="201">
        <f>Delivery[[#This Row],[Quantity delivered]]*VLOOKUP(Delivery[[#This Row],[Unit]],References!$U:$X,4,FALSE)*VLOOKUP(CONCATENATE(Delivery[[#This Row],[Coffee specie]],Delivery[[#This Row],[Coffee state]]),References!$U:$X,4,FALSE)</f>
        <v>29990</v>
      </c>
      <c r="AB1318" s="202">
        <f>SUMIF(Allocation!C:C,Delivery[[#This Row],[Delivery ID]],Allocation!D:D)/Delivery[[#This Row],[Quantity delivered]]</f>
        <v>0.19996665555185061</v>
      </c>
      <c r="AC1318" s="203">
        <f>Delivery[[#This Row],[Quantity delivered]]*Delivery[[#This Row],[Base price (Unidad)]]/60</f>
        <v>201911.05387333332</v>
      </c>
      <c r="AD1318" s="204">
        <f>Delivery[[#This Row],[Nespresso total]]-Delivery[[#This Row],[Qt. Delivery * Base Price]]</f>
        <v>6936.9461266666767</v>
      </c>
      <c r="AE1318" s="204">
        <f>Delivery[[#This Row],[AAA Premium (total)]]/Delivery[[#This Row],[Quantity delivered]]*60/Delivery[[#This Row],[Exchange rate VS USD]]</f>
        <v>7.0018999598056046</v>
      </c>
      <c r="AF1318" s="204">
        <f>Delivery[[#This Row],[BEN premium (total)]]/Delivery[[#This Row],[Quantity delivered]]*60/Delivery[[#This Row],[Exchange rate for premiums VS USD]]</f>
        <v>0</v>
      </c>
      <c r="AG1318" s="204">
        <f>COUNTIF(Delivery[Delivery ID],Delivery[[#This Row],[Delivery ID]])</f>
        <v>1</v>
      </c>
      <c r="AH1318" s="204">
        <f>(Delivery[[#This Row],[Nespresso total]]/SUMIF(Allocation!C:C,Delivery[Delivery ID],Allocation!H:H))/Delivery[[#This Row],[Exchange rate VS USD]]</f>
        <v>24.696600218202494</v>
      </c>
      <c r="AI1318" s="204">
        <f>(Delivery[[#This Row],[AAA Premium (total)]]/SUMIF(Allocation!C:C,Delivery[Delivery ID],Allocation!H:H))/Delivery[[#This Row],[Exchange rate VS USD]]</f>
        <v>1.7164212832644277</v>
      </c>
      <c r="AJ1318" s="204">
        <f>Delivery[[#This Row],[Valor Prêmio Nespresso AAA por Kg (em US$)]]*60</f>
        <v>102.98527699586566</v>
      </c>
      <c r="AK1318" s="204">
        <f>Delivery[[#This Row],[Valor Prêmio Nespresso AAA por saca (em US$)]]/1.3228/100</f>
        <v>0.77854004381513209</v>
      </c>
      <c r="AL1318" s="204">
        <f>(Delivery[[#This Row],[BEN premium (total)]]/SUMIF(Allocation!C:C,Delivery[Delivery ID],Allocation!H:H))/Delivery[[#This Row],[Exchange rate for premiums VS USD]]</f>
        <v>0</v>
      </c>
      <c r="AM1318" s="204">
        <f>Delivery[[#This Row],[Valor Prêmio Nespresso BEN por Kg (em US$)]]*60</f>
        <v>0</v>
      </c>
      <c r="AN1318" s="204">
        <f>Delivery[[#This Row],[Valor Prêmio Nespresso BEN por saca (em US$)]]/1.3228/100</f>
        <v>0</v>
      </c>
      <c r="AO1318" s="204">
        <f>SUMIF(Allocation[Delivery ID],Delivery[[#This Row],[Delivery ID]],Allocation[Quantity allocated])*16*1.3228*Delivery[[#This Row],[Exchange rate VS USD]]/60</f>
        <v>2983.0193301546665</v>
      </c>
      <c r="AP1318" s="204">
        <f>Delivery[[#This Row],[AAA Premium (total)]]</f>
        <v>14515</v>
      </c>
      <c r="AQ1318" s="204">
        <f>Delivery[[#This Row],[Valor pago pelo Cluster]]-Delivery[[#This Row],[Valor efetivamente pago pela Nespresso]]</f>
        <v>11531.980669845334</v>
      </c>
    </row>
  </sheetData>
  <conditionalFormatting sqref="AE2:AE1318">
    <cfRule type="cellIs" dxfId="148" priority="151" operator="greaterThan">
      <formula>7</formula>
    </cfRule>
  </conditionalFormatting>
  <conditionalFormatting sqref="AF2:AF1318">
    <cfRule type="cellIs" dxfId="147" priority="150" operator="greaterThan">
      <formula>5</formula>
    </cfRule>
  </conditionalFormatting>
  <conditionalFormatting sqref="AQ2:AQ1318">
    <cfRule type="cellIs" dxfId="146" priority="148" operator="lessThan">
      <formula>0</formula>
    </cfRule>
  </conditionalFormatting>
  <conditionalFormatting sqref="H1271:H1299 H1068 H2:H1015">
    <cfRule type="duplicateValues" dxfId="145" priority="23"/>
  </conditionalFormatting>
  <conditionalFormatting sqref="H1271:H1299 H2:H1068">
    <cfRule type="duplicateValues" dxfId="144" priority="22"/>
  </conditionalFormatting>
  <conditionalFormatting sqref="H1271:H1299">
    <cfRule type="duplicateValues" dxfId="143" priority="21"/>
  </conditionalFormatting>
  <conditionalFormatting sqref="H1271:H1299 H2:H1099">
    <cfRule type="duplicateValues" dxfId="142" priority="20"/>
  </conditionalFormatting>
  <conditionalFormatting sqref="H1271:H1299 H2:H1100">
    <cfRule type="duplicateValues" dxfId="141" priority="18"/>
    <cfRule type="duplicateValues" dxfId="140" priority="19"/>
  </conditionalFormatting>
  <conditionalFormatting sqref="H1271:H1299 H2:H1124 H1126:H1154">
    <cfRule type="duplicateValues" dxfId="139" priority="17"/>
  </conditionalFormatting>
  <conditionalFormatting sqref="H1125">
    <cfRule type="duplicateValues" dxfId="138" priority="16"/>
  </conditionalFormatting>
  <conditionalFormatting sqref="H1271:H1299 H2:H1199">
    <cfRule type="duplicateValues" dxfId="137" priority="15"/>
  </conditionalFormatting>
  <conditionalFormatting sqref="H1200">
    <cfRule type="duplicateValues" dxfId="136" priority="14"/>
  </conditionalFormatting>
  <conditionalFormatting sqref="H1249 H1251:H1265 H1267 H1269 H1271:H1299 H2:H1247">
    <cfRule type="duplicateValues" dxfId="135" priority="13"/>
  </conditionalFormatting>
  <conditionalFormatting sqref="H1248">
    <cfRule type="duplicateValues" dxfId="134" priority="12"/>
  </conditionalFormatting>
  <conditionalFormatting sqref="H1250">
    <cfRule type="duplicateValues" dxfId="133" priority="11"/>
  </conditionalFormatting>
  <conditionalFormatting sqref="H1266">
    <cfRule type="duplicateValues" dxfId="132" priority="10"/>
  </conditionalFormatting>
  <conditionalFormatting sqref="H1268">
    <cfRule type="duplicateValues" dxfId="131" priority="9"/>
  </conditionalFormatting>
  <conditionalFormatting sqref="H1270">
    <cfRule type="duplicateValues" dxfId="130" priority="8"/>
  </conditionalFormatting>
  <conditionalFormatting sqref="H2:H1299">
    <cfRule type="duplicateValues" dxfId="129" priority="6"/>
    <cfRule type="duplicateValues" dxfId="128" priority="7"/>
  </conditionalFormatting>
  <conditionalFormatting sqref="H2:H1308">
    <cfRule type="duplicateValues" dxfId="127" priority="5"/>
  </conditionalFormatting>
  <conditionalFormatting sqref="H2:H1318">
    <cfRule type="duplicateValues" dxfId="126" priority="3"/>
    <cfRule type="duplicateValues" dxfId="125" priority="4"/>
  </conditionalFormatting>
  <conditionalFormatting sqref="H1300:H1302">
    <cfRule type="duplicateValues" dxfId="124" priority="1"/>
    <cfRule type="duplicateValues" dxfId="123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Z2860"/>
  <sheetViews>
    <sheetView tabSelected="1" topLeftCell="L1" zoomScaleNormal="100" workbookViewId="0">
      <selection activeCell="N1532" sqref="N1532"/>
    </sheetView>
  </sheetViews>
  <sheetFormatPr defaultRowHeight="15"/>
  <cols>
    <col min="2" max="2" width="15.28515625" bestFit="1" customWidth="1"/>
    <col min="3" max="3" width="15.140625" bestFit="1" customWidth="1"/>
    <col min="4" max="4" width="10.7109375" style="34" customWidth="1"/>
    <col min="5" max="5" width="33" bestFit="1" customWidth="1"/>
    <col min="6" max="6" width="14" style="41" bestFit="1" customWidth="1"/>
    <col min="7" max="7" width="10.7109375" customWidth="1"/>
    <col min="8" max="8" width="10.7109375" style="34" customWidth="1"/>
    <col min="9" max="9" width="10.7109375" customWidth="1"/>
    <col min="10" max="10" width="10.7109375" style="34" customWidth="1"/>
    <col min="11" max="11" width="12.140625" style="41" bestFit="1" customWidth="1"/>
    <col min="12" max="12" width="14.7109375" bestFit="1" customWidth="1"/>
    <col min="13" max="13" width="12.42578125" bestFit="1" customWidth="1"/>
    <col min="14" max="14" width="10.7109375" customWidth="1"/>
    <col min="15" max="15" width="10.7109375" style="123" customWidth="1"/>
    <col min="16" max="16" width="12.42578125" style="43" customWidth="1"/>
    <col min="17" max="17" width="12.42578125" style="34" customWidth="1"/>
    <col min="18" max="18" width="12.42578125" style="63" customWidth="1"/>
    <col min="19" max="19" width="12.42578125" style="34" customWidth="1"/>
    <col min="20" max="20" width="12.42578125" style="59" customWidth="1"/>
    <col min="21" max="21" width="16.140625" customWidth="1"/>
    <col min="22" max="22" width="22.140625" style="34" customWidth="1"/>
    <col min="23" max="23" width="26.85546875" style="34" customWidth="1"/>
    <col min="24" max="24" width="26.7109375" style="34" customWidth="1"/>
    <col min="25" max="25" width="15.85546875" customWidth="1"/>
    <col min="26" max="26" width="13" bestFit="1" customWidth="1"/>
  </cols>
  <sheetData>
    <row r="1" spans="1:26" ht="38.25">
      <c r="A1" s="40" t="s">
        <v>32</v>
      </c>
      <c r="B1" s="1" t="s">
        <v>0</v>
      </c>
      <c r="C1" s="1" t="s">
        <v>4</v>
      </c>
      <c r="D1" s="5" t="s">
        <v>20</v>
      </c>
      <c r="E1" s="1" t="s">
        <v>21</v>
      </c>
      <c r="F1" s="2" t="s">
        <v>22</v>
      </c>
      <c r="G1" s="3" t="s">
        <v>23</v>
      </c>
      <c r="H1" s="5" t="s">
        <v>24</v>
      </c>
      <c r="I1" s="4" t="s">
        <v>25</v>
      </c>
      <c r="J1" s="5" t="s">
        <v>26</v>
      </c>
      <c r="K1" s="2" t="s">
        <v>27</v>
      </c>
      <c r="L1" s="6" t="s">
        <v>28</v>
      </c>
      <c r="M1" s="6" t="s">
        <v>29</v>
      </c>
      <c r="N1" s="2" t="s">
        <v>30</v>
      </c>
      <c r="O1" s="124" t="s">
        <v>31</v>
      </c>
      <c r="P1" s="42" t="s">
        <v>70</v>
      </c>
      <c r="Q1" s="44" t="s">
        <v>71</v>
      </c>
      <c r="R1" s="62" t="s">
        <v>72</v>
      </c>
      <c r="S1" s="44" t="s">
        <v>73</v>
      </c>
      <c r="T1" s="58" t="s">
        <v>74</v>
      </c>
      <c r="U1" s="26" t="s">
        <v>75</v>
      </c>
      <c r="V1" s="115" t="s">
        <v>76</v>
      </c>
      <c r="W1" s="115" t="s">
        <v>77</v>
      </c>
      <c r="X1" s="115" t="s">
        <v>78</v>
      </c>
      <c r="Y1" s="28" t="s">
        <v>79</v>
      </c>
      <c r="Z1" s="28" t="s">
        <v>435</v>
      </c>
    </row>
    <row r="2" spans="1:26">
      <c r="A2" s="247" t="s">
        <v>467</v>
      </c>
      <c r="B2" s="160" t="s">
        <v>68</v>
      </c>
      <c r="C2" s="248" t="s">
        <v>544</v>
      </c>
      <c r="D2" s="161">
        <v>6258</v>
      </c>
      <c r="E2" s="160" t="s">
        <v>1168</v>
      </c>
      <c r="F2" s="158">
        <v>43462</v>
      </c>
      <c r="G2" s="162">
        <v>2.88</v>
      </c>
      <c r="H2" s="159">
        <v>2065</v>
      </c>
      <c r="I2" s="160">
        <v>1419818</v>
      </c>
      <c r="J2" s="163">
        <v>19175</v>
      </c>
      <c r="K2" s="158">
        <v>43472</v>
      </c>
      <c r="L2" s="160" t="s">
        <v>1169</v>
      </c>
      <c r="M2" s="160">
        <v>4615515804</v>
      </c>
      <c r="N2" s="158">
        <v>43490</v>
      </c>
      <c r="O2" s="164">
        <v>3.7612999999999999</v>
      </c>
      <c r="P2" s="165">
        <v>19927</v>
      </c>
      <c r="Q2" s="34">
        <f>SUMIF(Allocation[Delivery ID],Allocation[[#This Row],[Delivery ID]],Allocation[Quantity Processed])</f>
        <v>8509</v>
      </c>
      <c r="R2" s="61">
        <f>Allocation[[#This Row],[Total volume used]]/VLOOKUP(Allocation[[#This Row],[Delivery ID]],Delivery[[Delivery ID]:[Quantity delivered]],3,FALSE)</f>
        <v>0.44317708333333333</v>
      </c>
      <c r="S2" s="34">
        <f>Allocation[[#This Row],[Quantity Processed]]/Allocation[[#This Row],[Dilution rate]]</f>
        <v>2172.916666666667</v>
      </c>
      <c r="T2" s="59">
        <f>SUMIF(Allocation[Delivery ID],Allocation[[#This Row],[Delivery ID]],Allocation[Quantity allocated])/SUMIF(Allocation[Delivery ID],Allocation[[#This Row],[Delivery ID]],Allocation[Volume available (kg)])</f>
        <v>0.9992647861030981</v>
      </c>
      <c r="U2" s="61">
        <f>Allocation[[#This Row],[Total volume used]]/VLOOKUP(Allocation[[#This Row],[Delivery ID]],Delivery[[Delivery ID]:[Quantity delivered]],3,FALSE)</f>
        <v>0.44317708333333333</v>
      </c>
      <c r="V2" s="34" t="e">
        <f>VLOOKUP(Allocation[[#This Row],[SAP Contract number]],Shipments[[SAP Contract number]:[Contracted container weight]],2,FALSE)</f>
        <v>#N/A</v>
      </c>
      <c r="W2" s="34" t="e">
        <f>VLOOKUP(Allocation[[#This Row],[SAP Contract number]],Shipments[[SAP Contract number]:[AAA Premium USD]],24,FALSE)</f>
        <v>#N/A</v>
      </c>
      <c r="X2" s="34" t="e">
        <f>VLOOKUP(Allocation[[#This Row],[SAP Contract number]],Shipments[[SAP Contract number]:[RA Premium USD]],25,FALSE)</f>
        <v>#N/A</v>
      </c>
      <c r="Y2" s="38">
        <f>Allocation[[#This Row],[Quantity Processed]]/Allocation[[#This Row],[Quantity allocated]]</f>
        <v>3.0305084745762714</v>
      </c>
      <c r="Z2" s="34" t="b">
        <f>Allocation[[#This Row],[Quantity allocated]]&lt;=Allocation[[#This Row],[Quantity Processed]]</f>
        <v>1</v>
      </c>
    </row>
    <row r="3" spans="1:26">
      <c r="A3" s="247" t="s">
        <v>467</v>
      </c>
      <c r="B3" s="160" t="s">
        <v>68</v>
      </c>
      <c r="C3" s="249" t="s">
        <v>546</v>
      </c>
      <c r="D3" s="161">
        <v>15205</v>
      </c>
      <c r="E3" s="160" t="s">
        <v>1168</v>
      </c>
      <c r="F3" s="158">
        <v>43462</v>
      </c>
      <c r="G3" s="162">
        <v>2.88</v>
      </c>
      <c r="H3" s="159">
        <v>6082</v>
      </c>
      <c r="I3" s="160">
        <v>1419818</v>
      </c>
      <c r="J3" s="163">
        <v>19175</v>
      </c>
      <c r="K3" s="158">
        <v>43472</v>
      </c>
      <c r="L3" s="160" t="s">
        <v>1169</v>
      </c>
      <c r="M3" s="160">
        <v>4615515804</v>
      </c>
      <c r="N3" s="158">
        <v>43490</v>
      </c>
      <c r="O3" s="164">
        <v>3.7612999999999999</v>
      </c>
      <c r="P3" s="165">
        <v>19927</v>
      </c>
      <c r="Q3" s="34">
        <f>SUMIF(Allocation[Delivery ID],Allocation[[#This Row],[Delivery ID]],Allocation[Quantity Processed])</f>
        <v>19430</v>
      </c>
      <c r="R3" s="61">
        <f>Allocation[[#This Row],[Total volume used]]/VLOOKUP(Allocation[[#This Row],[Delivery ID]],Delivery[[Delivery ID]:[Quantity delivered]],3,FALSE)</f>
        <v>1</v>
      </c>
      <c r="S3" s="34">
        <f>Allocation[[#This Row],[Quantity Processed]]/Allocation[[#This Row],[Dilution rate]]</f>
        <v>5279.5138888888887</v>
      </c>
      <c r="T3" s="59">
        <f>SUMIF(Allocation[Delivery ID],Allocation[[#This Row],[Delivery ID]],Allocation[Quantity allocated])/SUMIF(Allocation[Delivery ID],Allocation[[#This Row],[Delivery ID]],Allocation[Volume available (kg)])</f>
        <v>1.1710195217975039</v>
      </c>
      <c r="U3" s="61">
        <f>Allocation[[#This Row],[Total volume used]]/VLOOKUP(Allocation[[#This Row],[Delivery ID]],Delivery[[Delivery ID]:[Quantity delivered]],3,FALSE)</f>
        <v>1</v>
      </c>
      <c r="V3" s="34" t="e">
        <f>VLOOKUP(Allocation[[#This Row],[SAP Contract number]],Shipments[[SAP Contract number]:[Contracted container weight]],2,FALSE)</f>
        <v>#N/A</v>
      </c>
      <c r="W3" s="34" t="e">
        <f>VLOOKUP(Allocation[[#This Row],[SAP Contract number]],Shipments[[SAP Contract number]:[AAA Premium USD]],24,FALSE)</f>
        <v>#N/A</v>
      </c>
      <c r="X3" s="34" t="e">
        <f>VLOOKUP(Allocation[[#This Row],[SAP Contract number]],Shipments[[SAP Contract number]:[RA Premium USD]],25,FALSE)</f>
        <v>#N/A</v>
      </c>
      <c r="Y3" s="38">
        <f>Allocation[[#This Row],[Quantity Processed]]/Allocation[[#This Row],[Quantity allocated]]</f>
        <v>2.5</v>
      </c>
      <c r="Z3" s="34" t="b">
        <f>Allocation[[#This Row],[Quantity allocated]]&lt;=Allocation[[#This Row],[Quantity Processed]]</f>
        <v>1</v>
      </c>
    </row>
    <row r="4" spans="1:26">
      <c r="A4" s="247" t="s">
        <v>467</v>
      </c>
      <c r="B4" s="160" t="s">
        <v>68</v>
      </c>
      <c r="C4" s="249" t="s">
        <v>555</v>
      </c>
      <c r="D4" s="161">
        <v>5536</v>
      </c>
      <c r="E4" s="160" t="s">
        <v>1168</v>
      </c>
      <c r="F4" s="158">
        <v>43462</v>
      </c>
      <c r="G4" s="162">
        <v>2.88</v>
      </c>
      <c r="H4" s="159">
        <v>1827</v>
      </c>
      <c r="I4" s="160">
        <v>1419818</v>
      </c>
      <c r="J4" s="163">
        <v>19175</v>
      </c>
      <c r="K4" s="158">
        <v>43472</v>
      </c>
      <c r="L4" s="160" t="s">
        <v>1169</v>
      </c>
      <c r="M4" s="160">
        <v>4615515804</v>
      </c>
      <c r="N4" s="158">
        <v>43490</v>
      </c>
      <c r="O4" s="164">
        <v>3.7612999999999999</v>
      </c>
      <c r="P4" s="165">
        <v>19927</v>
      </c>
      <c r="Q4" s="34">
        <f>SUMIF(Allocation[Delivery ID],Allocation[[#This Row],[Delivery ID]],Allocation[Quantity Processed])</f>
        <v>7715</v>
      </c>
      <c r="R4" s="61">
        <f>Allocation[[#This Row],[Total volume used]]/VLOOKUP(Allocation[[#This Row],[Delivery ID]],Delivery[[Delivery ID]:[Quantity delivered]],3,FALSE)</f>
        <v>0.80853070635086988</v>
      </c>
      <c r="S4" s="34">
        <f>Allocation[[#This Row],[Quantity Processed]]/Allocation[[#This Row],[Dilution rate]]</f>
        <v>1922.2222222222224</v>
      </c>
      <c r="T4" s="59">
        <f>SUMIF(Allocation[Delivery ID],Allocation[[#This Row],[Delivery ID]],Allocation[Quantity allocated])/SUMIF(Allocation[Delivery ID],Allocation[[#This Row],[Delivery ID]],Allocation[Volume available (kg)])</f>
        <v>0.95502162162162152</v>
      </c>
      <c r="U4" s="61">
        <f>Allocation[[#This Row],[Total volume used]]/VLOOKUP(Allocation[[#This Row],[Delivery ID]],Delivery[[Delivery ID]:[Quantity delivered]],3,FALSE)</f>
        <v>0.80853070635086988</v>
      </c>
      <c r="V4" s="34" t="e">
        <f>VLOOKUP(Allocation[[#This Row],[SAP Contract number]],Shipments[[SAP Contract number]:[Contracted container weight]],2,FALSE)</f>
        <v>#N/A</v>
      </c>
      <c r="W4" s="34" t="e">
        <f>VLOOKUP(Allocation[[#This Row],[SAP Contract number]],Shipments[[SAP Contract number]:[AAA Premium USD]],24,FALSE)</f>
        <v>#N/A</v>
      </c>
      <c r="X4" s="34" t="e">
        <f>VLOOKUP(Allocation[[#This Row],[SAP Contract number]],Shipments[[SAP Contract number]:[RA Premium USD]],25,FALSE)</f>
        <v>#N/A</v>
      </c>
      <c r="Y4" s="38">
        <f>Allocation[[#This Row],[Quantity Processed]]/Allocation[[#This Row],[Quantity allocated]]</f>
        <v>3.030103995621237</v>
      </c>
      <c r="Z4" s="34" t="b">
        <f>Allocation[[#This Row],[Quantity allocated]]&lt;=Allocation[[#This Row],[Quantity Processed]]</f>
        <v>1</v>
      </c>
    </row>
    <row r="5" spans="1:26">
      <c r="A5" s="247" t="s">
        <v>467</v>
      </c>
      <c r="B5" s="160" t="s">
        <v>68</v>
      </c>
      <c r="C5" s="249" t="s">
        <v>563</v>
      </c>
      <c r="D5" s="161">
        <v>13953</v>
      </c>
      <c r="E5" s="160" t="s">
        <v>1168</v>
      </c>
      <c r="F5" s="158">
        <v>43462</v>
      </c>
      <c r="G5" s="162">
        <v>2.88</v>
      </c>
      <c r="H5" s="159">
        <v>4186</v>
      </c>
      <c r="I5" s="160">
        <v>1419818</v>
      </c>
      <c r="J5" s="163">
        <v>19175</v>
      </c>
      <c r="K5" s="158">
        <v>43472</v>
      </c>
      <c r="L5" s="160" t="s">
        <v>1169</v>
      </c>
      <c r="M5" s="160">
        <v>4615515804</v>
      </c>
      <c r="N5" s="158">
        <v>43490</v>
      </c>
      <c r="O5" s="164">
        <v>3.7612999999999999</v>
      </c>
      <c r="P5" s="165">
        <v>19927</v>
      </c>
      <c r="Q5" s="34">
        <f>SUMIF(Allocation[Delivery ID],Allocation[[#This Row],[Delivery ID]],Allocation[Quantity Processed])</f>
        <v>22906</v>
      </c>
      <c r="R5" s="61">
        <f>Allocation[[#This Row],[Total volume used]]/VLOOKUP(Allocation[[#This Row],[Delivery ID]],Delivery[[Delivery ID]:[Quantity delivered]],3,FALSE)</f>
        <v>0.97472340425531911</v>
      </c>
      <c r="S5" s="34">
        <f>Allocation[[#This Row],[Quantity Processed]]/Allocation[[#This Row],[Dilution rate]]</f>
        <v>4844.791666666667</v>
      </c>
      <c r="T5" s="59">
        <f>SUMIF(Allocation[Delivery ID],Allocation[[#This Row],[Delivery ID]],Allocation[Quantity allocated])/SUMIF(Allocation[Delivery ID],Allocation[[#This Row],[Delivery ID]],Allocation[Volume available (kg)])</f>
        <v>0.86982683618399714</v>
      </c>
      <c r="U5" s="61">
        <f>Allocation[[#This Row],[Total volume used]]/VLOOKUP(Allocation[[#This Row],[Delivery ID]],Delivery[[Delivery ID]:[Quantity delivered]],3,FALSE)</f>
        <v>0.97472340425531911</v>
      </c>
      <c r="V5" s="34" t="e">
        <f>VLOOKUP(Allocation[[#This Row],[SAP Contract number]],Shipments[[SAP Contract number]:[Contracted container weight]],2,FALSE)</f>
        <v>#N/A</v>
      </c>
      <c r="W5" s="34" t="e">
        <f>VLOOKUP(Allocation[[#This Row],[SAP Contract number]],Shipments[[SAP Contract number]:[AAA Premium USD]],24,FALSE)</f>
        <v>#N/A</v>
      </c>
      <c r="X5" s="34" t="e">
        <f>VLOOKUP(Allocation[[#This Row],[SAP Contract number]],Shipments[[SAP Contract number]:[RA Premium USD]],25,FALSE)</f>
        <v>#N/A</v>
      </c>
      <c r="Y5" s="38">
        <f>Allocation[[#This Row],[Quantity Processed]]/Allocation[[#This Row],[Quantity allocated]]</f>
        <v>3.3332537028189204</v>
      </c>
      <c r="Z5" s="34" t="b">
        <f>Allocation[[#This Row],[Quantity allocated]]&lt;=Allocation[[#This Row],[Quantity Processed]]</f>
        <v>1</v>
      </c>
    </row>
    <row r="6" spans="1:26">
      <c r="A6" s="247" t="s">
        <v>467</v>
      </c>
      <c r="B6" s="160" t="s">
        <v>68</v>
      </c>
      <c r="C6" s="249" t="s">
        <v>564</v>
      </c>
      <c r="D6" s="161">
        <v>16010</v>
      </c>
      <c r="E6" s="160" t="s">
        <v>1168</v>
      </c>
      <c r="F6" s="158">
        <v>43462</v>
      </c>
      <c r="G6" s="162">
        <v>2.88</v>
      </c>
      <c r="H6" s="159">
        <v>5015</v>
      </c>
      <c r="I6" s="160">
        <v>1419818</v>
      </c>
      <c r="J6" s="163">
        <v>19175</v>
      </c>
      <c r="K6" s="158">
        <v>43472</v>
      </c>
      <c r="L6" s="160" t="s">
        <v>1169</v>
      </c>
      <c r="M6" s="160">
        <v>4615515804</v>
      </c>
      <c r="N6" s="158">
        <v>43490</v>
      </c>
      <c r="O6" s="164">
        <v>3.7612999999999999</v>
      </c>
      <c r="P6" s="165">
        <v>19927</v>
      </c>
      <c r="Q6" s="34">
        <f>SUMIF(Allocation[Delivery ID],Allocation[[#This Row],[Delivery ID]],Allocation[Quantity Processed])</f>
        <v>24390</v>
      </c>
      <c r="R6" s="61">
        <f>Allocation[[#This Row],[Total volume used]]/VLOOKUP(Allocation[[#This Row],[Delivery ID]],Delivery[[Delivery ID]:[Quantity delivered]],3,FALSE)</f>
        <v>1</v>
      </c>
      <c r="S6" s="34">
        <f>Allocation[[#This Row],[Quantity Processed]]/Allocation[[#This Row],[Dilution rate]]</f>
        <v>5559.0277777777783</v>
      </c>
      <c r="T6" s="59">
        <f>SUMIF(Allocation[Delivery ID],Allocation[[#This Row],[Delivery ID]],Allocation[Quantity allocated])/SUMIF(Allocation[Delivery ID],Allocation[[#This Row],[Delivery ID]],Allocation[Volume available (kg)])</f>
        <v>0.90214022140221406</v>
      </c>
      <c r="U6" s="61">
        <f>Allocation[[#This Row],[Total volume used]]/VLOOKUP(Allocation[[#This Row],[Delivery ID]],Delivery[[Delivery ID]:[Quantity delivered]],3,FALSE)</f>
        <v>1</v>
      </c>
      <c r="V6" s="34" t="e">
        <f>VLOOKUP(Allocation[[#This Row],[SAP Contract number]],Shipments[[SAP Contract number]:[Contracted container weight]],2,FALSE)</f>
        <v>#N/A</v>
      </c>
      <c r="W6" s="34" t="e">
        <f>VLOOKUP(Allocation[[#This Row],[SAP Contract number]],Shipments[[SAP Contract number]:[AAA Premium USD]],24,FALSE)</f>
        <v>#N/A</v>
      </c>
      <c r="X6" s="34" t="e">
        <f>VLOOKUP(Allocation[[#This Row],[SAP Contract number]],Shipments[[SAP Contract number]:[RA Premium USD]],25,FALSE)</f>
        <v>#N/A</v>
      </c>
      <c r="Y6" s="38">
        <f>Allocation[[#This Row],[Quantity Processed]]/Allocation[[#This Row],[Quantity allocated]]</f>
        <v>3.1924227318045864</v>
      </c>
      <c r="Z6" s="34" t="b">
        <f>Allocation[[#This Row],[Quantity allocated]]&lt;=Allocation[[#This Row],[Quantity Processed]]</f>
        <v>1</v>
      </c>
    </row>
    <row r="7" spans="1:26">
      <c r="A7" s="247" t="s">
        <v>467</v>
      </c>
      <c r="B7" s="160" t="s">
        <v>68</v>
      </c>
      <c r="C7" s="249" t="s">
        <v>564</v>
      </c>
      <c r="D7" s="161">
        <v>8380</v>
      </c>
      <c r="E7" s="160" t="s">
        <v>1168</v>
      </c>
      <c r="F7" s="158">
        <v>43462</v>
      </c>
      <c r="G7" s="162">
        <v>2.88</v>
      </c>
      <c r="H7" s="159">
        <v>2625</v>
      </c>
      <c r="I7" s="160">
        <v>1419819</v>
      </c>
      <c r="J7" s="163">
        <v>19175</v>
      </c>
      <c r="K7" s="158">
        <v>43472</v>
      </c>
      <c r="L7" s="160" t="s">
        <v>1170</v>
      </c>
      <c r="M7" s="160">
        <v>4615515804</v>
      </c>
      <c r="N7" s="158">
        <v>43490</v>
      </c>
      <c r="O7" s="164">
        <v>3.7612999999999999</v>
      </c>
      <c r="P7" s="165">
        <v>19927</v>
      </c>
      <c r="Q7" s="34">
        <f>SUMIF(Allocation[Delivery ID],Allocation[[#This Row],[Delivery ID]],Allocation[Quantity Processed])</f>
        <v>24390</v>
      </c>
      <c r="R7" s="61">
        <f>Allocation[[#This Row],[Total volume used]]/VLOOKUP(Allocation[[#This Row],[Delivery ID]],Delivery[[Delivery ID]:[Quantity delivered]],3,FALSE)</f>
        <v>1</v>
      </c>
      <c r="S7" s="34">
        <f>Allocation[[#This Row],[Quantity Processed]]/Allocation[[#This Row],[Dilution rate]]</f>
        <v>2909.7222222222222</v>
      </c>
      <c r="T7" s="59">
        <f>SUMIF(Allocation[Delivery ID],Allocation[[#This Row],[Delivery ID]],Allocation[Quantity allocated])/SUMIF(Allocation[Delivery ID],Allocation[[#This Row],[Delivery ID]],Allocation[Volume available (kg)])</f>
        <v>0.90214022140221406</v>
      </c>
      <c r="U7" s="61">
        <f>Allocation[[#This Row],[Total volume used]]/VLOOKUP(Allocation[[#This Row],[Delivery ID]],Delivery[[Delivery ID]:[Quantity delivered]],3,FALSE)</f>
        <v>1</v>
      </c>
      <c r="V7" s="34" t="e">
        <f>VLOOKUP(Allocation[[#This Row],[SAP Contract number]],Shipments[[SAP Contract number]:[Contracted container weight]],2,FALSE)</f>
        <v>#N/A</v>
      </c>
      <c r="W7" s="34" t="e">
        <f>VLOOKUP(Allocation[[#This Row],[SAP Contract number]],Shipments[[SAP Contract number]:[AAA Premium USD]],24,FALSE)</f>
        <v>#N/A</v>
      </c>
      <c r="X7" s="34" t="e">
        <f>VLOOKUP(Allocation[[#This Row],[SAP Contract number]],Shipments[[SAP Contract number]:[RA Premium USD]],25,FALSE)</f>
        <v>#N/A</v>
      </c>
      <c r="Y7" s="38">
        <f>Allocation[[#This Row],[Quantity Processed]]/Allocation[[#This Row],[Quantity allocated]]</f>
        <v>3.1923809523809523</v>
      </c>
      <c r="Z7" s="34" t="b">
        <f>Allocation[[#This Row],[Quantity allocated]]&lt;=Allocation[[#This Row],[Quantity Processed]]</f>
        <v>1</v>
      </c>
    </row>
    <row r="8" spans="1:26">
      <c r="A8" s="247" t="s">
        <v>467</v>
      </c>
      <c r="B8" s="160" t="s">
        <v>68</v>
      </c>
      <c r="C8" s="249" t="s">
        <v>565</v>
      </c>
      <c r="D8" s="161">
        <v>25030</v>
      </c>
      <c r="E8" s="160" t="s">
        <v>1168</v>
      </c>
      <c r="F8" s="158">
        <v>43462</v>
      </c>
      <c r="G8" s="162">
        <v>2.88</v>
      </c>
      <c r="H8" s="159">
        <v>7827</v>
      </c>
      <c r="I8" s="160">
        <v>1419819</v>
      </c>
      <c r="J8" s="163">
        <v>19175</v>
      </c>
      <c r="K8" s="158">
        <v>43472</v>
      </c>
      <c r="L8" s="160" t="s">
        <v>1170</v>
      </c>
      <c r="M8" s="160">
        <v>4615515804</v>
      </c>
      <c r="N8" s="158">
        <v>43490</v>
      </c>
      <c r="O8" s="164">
        <v>3.7612999999999999</v>
      </c>
      <c r="P8" s="165">
        <v>19927</v>
      </c>
      <c r="Q8" s="34">
        <f>SUMIF(Allocation[Delivery ID],Allocation[[#This Row],[Delivery ID]],Allocation[Quantity Processed])</f>
        <v>25030</v>
      </c>
      <c r="R8" s="61">
        <f>Allocation[[#This Row],[Total volume used]]/VLOOKUP(Allocation[[#This Row],[Delivery ID]],Delivery[[Delivery ID]:[Quantity delivered]],3,FALSE)</f>
        <v>1</v>
      </c>
      <c r="S8" s="34">
        <f>Allocation[[#This Row],[Quantity Processed]]/Allocation[[#This Row],[Dilution rate]]</f>
        <v>8690.9722222222226</v>
      </c>
      <c r="T8" s="59">
        <f>SUMIF(Allocation[Delivery ID],Allocation[[#This Row],[Delivery ID]],Allocation[Quantity allocated])/SUMIF(Allocation[Delivery ID],Allocation[[#This Row],[Delivery ID]],Allocation[Volume available (kg)])</f>
        <v>0.90058969236915698</v>
      </c>
      <c r="U8" s="61">
        <f>Allocation[[#This Row],[Total volume used]]/VLOOKUP(Allocation[[#This Row],[Delivery ID]],Delivery[[Delivery ID]:[Quantity delivered]],3,FALSE)</f>
        <v>1</v>
      </c>
      <c r="V8" s="34" t="e">
        <f>VLOOKUP(Allocation[[#This Row],[SAP Contract number]],Shipments[[SAP Contract number]:[Contracted container weight]],2,FALSE)</f>
        <v>#N/A</v>
      </c>
      <c r="W8" s="34" t="e">
        <f>VLOOKUP(Allocation[[#This Row],[SAP Contract number]],Shipments[[SAP Contract number]:[AAA Premium USD]],24,FALSE)</f>
        <v>#N/A</v>
      </c>
      <c r="X8" s="34" t="e">
        <f>VLOOKUP(Allocation[[#This Row],[SAP Contract number]],Shipments[[SAP Contract number]:[RA Premium USD]],25,FALSE)</f>
        <v>#N/A</v>
      </c>
      <c r="Y8" s="38">
        <f>Allocation[[#This Row],[Quantity Processed]]/Allocation[[#This Row],[Quantity allocated]]</f>
        <v>3.1979046888974065</v>
      </c>
      <c r="Z8" s="34" t="b">
        <f>Allocation[[#This Row],[Quantity allocated]]&lt;=Allocation[[#This Row],[Quantity Processed]]</f>
        <v>1</v>
      </c>
    </row>
    <row r="9" spans="1:26">
      <c r="A9" s="247" t="s">
        <v>467</v>
      </c>
      <c r="B9" s="160" t="s">
        <v>68</v>
      </c>
      <c r="C9" s="249" t="s">
        <v>566</v>
      </c>
      <c r="D9" s="161">
        <v>10818</v>
      </c>
      <c r="E9" s="160" t="s">
        <v>1168</v>
      </c>
      <c r="F9" s="158">
        <v>43462</v>
      </c>
      <c r="G9" s="162">
        <v>2.88</v>
      </c>
      <c r="H9" s="159">
        <v>3570</v>
      </c>
      <c r="I9" s="160">
        <v>1419819</v>
      </c>
      <c r="J9" s="163">
        <v>19175</v>
      </c>
      <c r="K9" s="158">
        <v>43472</v>
      </c>
      <c r="L9" s="160" t="s">
        <v>1170</v>
      </c>
      <c r="M9" s="160">
        <v>4615515804</v>
      </c>
      <c r="N9" s="158">
        <v>43490</v>
      </c>
      <c r="O9" s="164">
        <v>3.7612999999999999</v>
      </c>
      <c r="P9" s="165">
        <v>19927</v>
      </c>
      <c r="Q9" s="34">
        <f>SUMIF(Allocation[Delivery ID],Allocation[[#This Row],[Delivery ID]],Allocation[Quantity Processed])</f>
        <v>24135</v>
      </c>
      <c r="R9" s="61">
        <f>Allocation[[#This Row],[Total volume used]]/VLOOKUP(Allocation[[#This Row],[Delivery ID]],Delivery[[Delivery ID]:[Quantity delivered]],3,FALSE)</f>
        <v>0.96617293835068052</v>
      </c>
      <c r="S9" s="34">
        <f>Allocation[[#This Row],[Quantity Processed]]/Allocation[[#This Row],[Dilution rate]]</f>
        <v>3756.25</v>
      </c>
      <c r="T9" s="59">
        <f>SUMIF(Allocation[Delivery ID],Allocation[[#This Row],[Delivery ID]],Allocation[Quantity allocated])/SUMIF(Allocation[Delivery ID],Allocation[[#This Row],[Delivery ID]],Allocation[Volume available (kg)])</f>
        <v>0.91130291778551509</v>
      </c>
      <c r="U9" s="61">
        <f>Allocation[[#This Row],[Total volume used]]/VLOOKUP(Allocation[[#This Row],[Delivery ID]],Delivery[[Delivery ID]:[Quantity delivered]],3,FALSE)</f>
        <v>0.96617293835068052</v>
      </c>
      <c r="V9" s="34" t="e">
        <f>VLOOKUP(Allocation[[#This Row],[SAP Contract number]],Shipments[[SAP Contract number]:[Contracted container weight]],2,FALSE)</f>
        <v>#N/A</v>
      </c>
      <c r="W9" s="34" t="e">
        <f>VLOOKUP(Allocation[[#This Row],[SAP Contract number]],Shipments[[SAP Contract number]:[AAA Premium USD]],24,FALSE)</f>
        <v>#N/A</v>
      </c>
      <c r="X9" s="34" t="e">
        <f>VLOOKUP(Allocation[[#This Row],[SAP Contract number]],Shipments[[SAP Contract number]:[RA Premium USD]],25,FALSE)</f>
        <v>#N/A</v>
      </c>
      <c r="Y9" s="38">
        <f>Allocation[[#This Row],[Quantity Processed]]/Allocation[[#This Row],[Quantity allocated]]</f>
        <v>3.030252100840336</v>
      </c>
      <c r="Z9" s="34" t="b">
        <f>Allocation[[#This Row],[Quantity allocated]]&lt;=Allocation[[#This Row],[Quantity Processed]]</f>
        <v>1</v>
      </c>
    </row>
    <row r="10" spans="1:26">
      <c r="A10" s="247" t="s">
        <v>467</v>
      </c>
      <c r="B10" s="160" t="s">
        <v>68</v>
      </c>
      <c r="C10" s="249" t="s">
        <v>576</v>
      </c>
      <c r="D10" s="161">
        <v>7003</v>
      </c>
      <c r="E10" s="160" t="s">
        <v>1168</v>
      </c>
      <c r="F10" s="158">
        <v>43462</v>
      </c>
      <c r="G10" s="162">
        <v>2.88</v>
      </c>
      <c r="H10" s="159">
        <v>2101</v>
      </c>
      <c r="I10" s="160">
        <v>1419819</v>
      </c>
      <c r="J10" s="163">
        <v>19175</v>
      </c>
      <c r="K10" s="158">
        <v>43472</v>
      </c>
      <c r="L10" s="160" t="s">
        <v>1170</v>
      </c>
      <c r="M10" s="160">
        <v>4615515804</v>
      </c>
      <c r="N10" s="158">
        <v>43490</v>
      </c>
      <c r="O10" s="164">
        <v>3.7612999999999999</v>
      </c>
      <c r="P10" s="165">
        <v>19927</v>
      </c>
      <c r="Q10" s="34">
        <f>SUMIF(Allocation[Delivery ID],Allocation[[#This Row],[Delivery ID]],Allocation[Quantity Processed])</f>
        <v>18256</v>
      </c>
      <c r="R10" s="61">
        <f>Allocation[[#This Row],[Total volume used]]/VLOOKUP(Allocation[[#This Row],[Delivery ID]],Delivery[[Delivery ID]:[Quantity delivered]],3,FALSE)</f>
        <v>0.96084210526315794</v>
      </c>
      <c r="S10" s="34">
        <f>Allocation[[#This Row],[Quantity Processed]]/Allocation[[#This Row],[Dilution rate]]</f>
        <v>2431.5972222222222</v>
      </c>
      <c r="T10" s="59">
        <f>SUMIF(Allocation[Delivery ID],Allocation[[#This Row],[Delivery ID]],Allocation[Quantity allocated])/SUMIF(Allocation[Delivery ID],Allocation[[#This Row],[Delivery ID]],Allocation[Volume available (kg)])</f>
        <v>0.87321671957244107</v>
      </c>
      <c r="U10" s="61">
        <f>Allocation[[#This Row],[Total volume used]]/VLOOKUP(Allocation[[#This Row],[Delivery ID]],Delivery[[Delivery ID]:[Quantity delivered]],3,FALSE)</f>
        <v>0.96084210526315794</v>
      </c>
      <c r="V10" s="34" t="e">
        <f>VLOOKUP(Allocation[[#This Row],[SAP Contract number]],Shipments[[SAP Contract number]:[Contracted container weight]],2,FALSE)</f>
        <v>#N/A</v>
      </c>
      <c r="W10" s="34" t="e">
        <f>VLOOKUP(Allocation[[#This Row],[SAP Contract number]],Shipments[[SAP Contract number]:[AAA Premium USD]],24,FALSE)</f>
        <v>#N/A</v>
      </c>
      <c r="X10" s="34" t="e">
        <f>VLOOKUP(Allocation[[#This Row],[SAP Contract number]],Shipments[[SAP Contract number]:[RA Premium USD]],25,FALSE)</f>
        <v>#N/A</v>
      </c>
      <c r="Y10" s="38">
        <f>Allocation[[#This Row],[Quantity Processed]]/Allocation[[#This Row],[Quantity allocated]]</f>
        <v>3.3331746787244168</v>
      </c>
      <c r="Z10" s="34" t="b">
        <f>Allocation[[#This Row],[Quantity allocated]]&lt;=Allocation[[#This Row],[Quantity Processed]]</f>
        <v>1</v>
      </c>
    </row>
    <row r="11" spans="1:26">
      <c r="A11" s="247" t="s">
        <v>467</v>
      </c>
      <c r="B11" s="160" t="s">
        <v>68</v>
      </c>
      <c r="C11" s="249" t="s">
        <v>577</v>
      </c>
      <c r="D11" s="161">
        <v>10173</v>
      </c>
      <c r="E11" s="160" t="s">
        <v>1168</v>
      </c>
      <c r="F11" s="158">
        <v>43462</v>
      </c>
      <c r="G11" s="162">
        <v>2.88</v>
      </c>
      <c r="H11" s="159">
        <v>3052</v>
      </c>
      <c r="I11" s="160">
        <v>1419819</v>
      </c>
      <c r="J11" s="163">
        <v>19175</v>
      </c>
      <c r="K11" s="158">
        <v>43472</v>
      </c>
      <c r="L11" s="160" t="s">
        <v>1170</v>
      </c>
      <c r="M11" s="160">
        <v>4615515804</v>
      </c>
      <c r="N11" s="158">
        <v>43490</v>
      </c>
      <c r="O11" s="164">
        <v>3.7612999999999999</v>
      </c>
      <c r="P11" s="165">
        <v>19927</v>
      </c>
      <c r="Q11" s="34">
        <f>SUMIF(Allocation[Delivery ID],Allocation[[#This Row],[Delivery ID]],Allocation[Quantity Processed])</f>
        <v>25030</v>
      </c>
      <c r="R11" s="61">
        <f>Allocation[[#This Row],[Total volume used]]/VLOOKUP(Allocation[[#This Row],[Delivery ID]],Delivery[[Delivery ID]:[Quantity delivered]],3,FALSE)</f>
        <v>1</v>
      </c>
      <c r="S11" s="34">
        <f>Allocation[[#This Row],[Quantity Processed]]/Allocation[[#This Row],[Dilution rate]]</f>
        <v>3532.291666666667</v>
      </c>
      <c r="T11" s="59">
        <f>SUMIF(Allocation[Delivery ID],Allocation[[#This Row],[Delivery ID]],Allocation[Quantity allocated])/SUMIF(Allocation[Delivery ID],Allocation[[#This Row],[Delivery ID]],Allocation[Volume available (kg)])</f>
        <v>0.87253740397613011</v>
      </c>
      <c r="U11" s="61">
        <f>Allocation[[#This Row],[Total volume used]]/VLOOKUP(Allocation[[#This Row],[Delivery ID]],Delivery[[Delivery ID]:[Quantity delivered]],3,FALSE)</f>
        <v>1</v>
      </c>
      <c r="V11" s="34" t="e">
        <f>VLOOKUP(Allocation[[#This Row],[SAP Contract number]],Shipments[[SAP Contract number]:[Contracted container weight]],2,FALSE)</f>
        <v>#N/A</v>
      </c>
      <c r="W11" s="34" t="e">
        <f>VLOOKUP(Allocation[[#This Row],[SAP Contract number]],Shipments[[SAP Contract number]:[AAA Premium USD]],24,FALSE)</f>
        <v>#N/A</v>
      </c>
      <c r="X11" s="34" t="e">
        <f>VLOOKUP(Allocation[[#This Row],[SAP Contract number]],Shipments[[SAP Contract number]:[RA Premium USD]],25,FALSE)</f>
        <v>#N/A</v>
      </c>
      <c r="Y11" s="38">
        <f>Allocation[[#This Row],[Quantity Processed]]/Allocation[[#This Row],[Quantity allocated]]</f>
        <v>3.333224115334207</v>
      </c>
      <c r="Z11" s="34" t="b">
        <f>Allocation[[#This Row],[Quantity allocated]]&lt;=Allocation[[#This Row],[Quantity Processed]]</f>
        <v>1</v>
      </c>
    </row>
    <row r="12" spans="1:26">
      <c r="A12" s="247" t="s">
        <v>467</v>
      </c>
      <c r="B12" s="160" t="s">
        <v>68</v>
      </c>
      <c r="C12" s="249" t="s">
        <v>577</v>
      </c>
      <c r="D12" s="161">
        <v>3987</v>
      </c>
      <c r="E12" s="160" t="s">
        <v>1168</v>
      </c>
      <c r="F12" s="158">
        <v>43462</v>
      </c>
      <c r="G12" s="162">
        <v>2.88</v>
      </c>
      <c r="H12" s="159">
        <v>1196</v>
      </c>
      <c r="I12" s="160">
        <v>1419820</v>
      </c>
      <c r="J12" s="163">
        <v>19175</v>
      </c>
      <c r="K12" s="158">
        <v>43472</v>
      </c>
      <c r="L12" s="160" t="s">
        <v>1171</v>
      </c>
      <c r="M12" s="160">
        <v>4615515804</v>
      </c>
      <c r="N12" s="158">
        <v>43490</v>
      </c>
      <c r="O12" s="164">
        <v>3.7612999999999999</v>
      </c>
      <c r="P12" s="165">
        <v>19927</v>
      </c>
      <c r="Q12" s="34">
        <f>SUMIF(Allocation[Delivery ID],Allocation[[#This Row],[Delivery ID]],Allocation[Quantity Processed])</f>
        <v>25030</v>
      </c>
      <c r="R12" s="61">
        <f>Allocation[[#This Row],[Total volume used]]/VLOOKUP(Allocation[[#This Row],[Delivery ID]],Delivery[[Delivery ID]:[Quantity delivered]],3,FALSE)</f>
        <v>1</v>
      </c>
      <c r="S12" s="34">
        <f>Allocation[[#This Row],[Quantity Processed]]/Allocation[[#This Row],[Dilution rate]]</f>
        <v>1384.375</v>
      </c>
      <c r="T12" s="59">
        <f>SUMIF(Allocation[Delivery ID],Allocation[[#This Row],[Delivery ID]],Allocation[Quantity allocated])/SUMIF(Allocation[Delivery ID],Allocation[[#This Row],[Delivery ID]],Allocation[Volume available (kg)])</f>
        <v>0.87253740397613011</v>
      </c>
      <c r="U12" s="61">
        <f>Allocation[[#This Row],[Total volume used]]/VLOOKUP(Allocation[[#This Row],[Delivery ID]],Delivery[[Delivery ID]:[Quantity delivered]],3,FALSE)</f>
        <v>1</v>
      </c>
      <c r="V12" s="34" t="e">
        <f>VLOOKUP(Allocation[[#This Row],[SAP Contract number]],Shipments[[SAP Contract number]:[Contracted container weight]],2,FALSE)</f>
        <v>#N/A</v>
      </c>
      <c r="W12" s="34" t="e">
        <f>VLOOKUP(Allocation[[#This Row],[SAP Contract number]],Shipments[[SAP Contract number]:[AAA Premium USD]],24,FALSE)</f>
        <v>#N/A</v>
      </c>
      <c r="X12" s="34" t="e">
        <f>VLOOKUP(Allocation[[#This Row],[SAP Contract number]],Shipments[[SAP Contract number]:[RA Premium USD]],25,FALSE)</f>
        <v>#N/A</v>
      </c>
      <c r="Y12" s="38">
        <f>Allocation[[#This Row],[Quantity Processed]]/Allocation[[#This Row],[Quantity allocated]]</f>
        <v>3.3336120401337794</v>
      </c>
      <c r="Z12" s="34" t="b">
        <f>Allocation[[#This Row],[Quantity allocated]]&lt;=Allocation[[#This Row],[Quantity Processed]]</f>
        <v>1</v>
      </c>
    </row>
    <row r="13" spans="1:26">
      <c r="A13" s="247" t="s">
        <v>467</v>
      </c>
      <c r="B13" s="160" t="s">
        <v>68</v>
      </c>
      <c r="C13" s="249" t="s">
        <v>578</v>
      </c>
      <c r="D13" s="161">
        <v>697</v>
      </c>
      <c r="E13" s="160" t="s">
        <v>1168</v>
      </c>
      <c r="F13" s="158">
        <v>43462</v>
      </c>
      <c r="G13" s="162">
        <v>2.88</v>
      </c>
      <c r="H13" s="159">
        <v>230</v>
      </c>
      <c r="I13" s="160">
        <v>1419820</v>
      </c>
      <c r="J13" s="163">
        <v>19175</v>
      </c>
      <c r="K13" s="158">
        <v>43472</v>
      </c>
      <c r="L13" s="160" t="s">
        <v>1171</v>
      </c>
      <c r="M13" s="160">
        <v>4615515804</v>
      </c>
      <c r="N13" s="158">
        <v>43490</v>
      </c>
      <c r="O13" s="164">
        <v>3.7612999999999999</v>
      </c>
      <c r="P13" s="165">
        <v>19927</v>
      </c>
      <c r="Q13" s="34">
        <f>SUMIF(Allocation[Delivery ID],Allocation[[#This Row],[Delivery ID]],Allocation[Quantity Processed])</f>
        <v>1190</v>
      </c>
      <c r="R13" s="61">
        <f>Allocation[[#This Row],[Total volume used]]/VLOOKUP(Allocation[[#This Row],[Delivery ID]],Delivery[[Delivery ID]:[Quantity delivered]],3,FALSE)</f>
        <v>1</v>
      </c>
      <c r="S13" s="34">
        <f>Allocation[[#This Row],[Quantity Processed]]/Allocation[[#This Row],[Dilution rate]]</f>
        <v>242.01388888888889</v>
      </c>
      <c r="T13" s="59">
        <f>SUMIF(Allocation[Delivery ID],Allocation[[#This Row],[Delivery ID]],Allocation[Quantity allocated])/SUMIF(Allocation[Delivery ID],Allocation[[#This Row],[Delivery ID]],Allocation[Volume available (kg)])</f>
        <v>0.99689652084747482</v>
      </c>
      <c r="U13" s="61">
        <f>Allocation[[#This Row],[Total volume used]]/VLOOKUP(Allocation[[#This Row],[Delivery ID]],Delivery[[Delivery ID]:[Quantity delivered]],3,FALSE)</f>
        <v>1</v>
      </c>
      <c r="V13" s="34" t="e">
        <f>VLOOKUP(Allocation[[#This Row],[SAP Contract number]],Shipments[[SAP Contract number]:[Contracted container weight]],2,FALSE)</f>
        <v>#N/A</v>
      </c>
      <c r="W13" s="34" t="e">
        <f>VLOOKUP(Allocation[[#This Row],[SAP Contract number]],Shipments[[SAP Contract number]:[AAA Premium USD]],24,FALSE)</f>
        <v>#N/A</v>
      </c>
      <c r="X13" s="34" t="e">
        <f>VLOOKUP(Allocation[[#This Row],[SAP Contract number]],Shipments[[SAP Contract number]:[RA Premium USD]],25,FALSE)</f>
        <v>#N/A</v>
      </c>
      <c r="Y13" s="38">
        <f>Allocation[[#This Row],[Quantity Processed]]/Allocation[[#This Row],[Quantity allocated]]</f>
        <v>3.0304347826086957</v>
      </c>
      <c r="Z13" s="34" t="b">
        <f>Allocation[[#This Row],[Quantity allocated]]&lt;=Allocation[[#This Row],[Quantity Processed]]</f>
        <v>1</v>
      </c>
    </row>
    <row r="14" spans="1:26">
      <c r="A14" s="247" t="s">
        <v>467</v>
      </c>
      <c r="B14" s="160" t="s">
        <v>68</v>
      </c>
      <c r="C14" s="249" t="s">
        <v>579</v>
      </c>
      <c r="D14" s="161">
        <v>11145</v>
      </c>
      <c r="E14" s="160" t="s">
        <v>1168</v>
      </c>
      <c r="F14" s="158">
        <v>43462</v>
      </c>
      <c r="G14" s="162">
        <v>2.88</v>
      </c>
      <c r="H14" s="159">
        <v>3678</v>
      </c>
      <c r="I14" s="160">
        <v>1419820</v>
      </c>
      <c r="J14" s="163">
        <v>19175</v>
      </c>
      <c r="K14" s="158">
        <v>43472</v>
      </c>
      <c r="L14" s="160" t="s">
        <v>1171</v>
      </c>
      <c r="M14" s="160">
        <v>4615515804</v>
      </c>
      <c r="N14" s="158">
        <v>43490</v>
      </c>
      <c r="O14" s="164">
        <v>3.7612999999999999</v>
      </c>
      <c r="P14" s="165">
        <v>19927</v>
      </c>
      <c r="Q14" s="34">
        <f>SUMIF(Allocation[Delivery ID],Allocation[[#This Row],[Delivery ID]],Allocation[Quantity Processed])</f>
        <v>15530</v>
      </c>
      <c r="R14" s="61">
        <f>Allocation[[#This Row],[Total volume used]]/VLOOKUP(Allocation[[#This Row],[Delivery ID]],Delivery[[Delivery ID]:[Quantity delivered]],3,FALSE)</f>
        <v>0.80801248699271588</v>
      </c>
      <c r="S14" s="34">
        <f>Allocation[[#This Row],[Quantity Processed]]/Allocation[[#This Row],[Dilution rate]]</f>
        <v>3869.791666666667</v>
      </c>
      <c r="T14" s="59">
        <f>SUMIF(Allocation[Delivery ID],Allocation[[#This Row],[Delivery ID]],Allocation[Quantity allocated])/SUMIF(Allocation[Delivery ID],Allocation[[#This Row],[Delivery ID]],Allocation[Volume available (kg)])</f>
        <v>0.95502018940611011</v>
      </c>
      <c r="U14" s="61">
        <f>Allocation[[#This Row],[Total volume used]]/VLOOKUP(Allocation[[#This Row],[Delivery ID]],Delivery[[Delivery ID]:[Quantity delivered]],3,FALSE)</f>
        <v>0.80801248699271588</v>
      </c>
      <c r="V14" s="34" t="e">
        <f>VLOOKUP(Allocation[[#This Row],[SAP Contract number]],Shipments[[SAP Contract number]:[Contracted container weight]],2,FALSE)</f>
        <v>#N/A</v>
      </c>
      <c r="W14" s="34" t="e">
        <f>VLOOKUP(Allocation[[#This Row],[SAP Contract number]],Shipments[[SAP Contract number]:[AAA Premium USD]],24,FALSE)</f>
        <v>#N/A</v>
      </c>
      <c r="X14" s="34" t="e">
        <f>VLOOKUP(Allocation[[#This Row],[SAP Contract number]],Shipments[[SAP Contract number]:[RA Premium USD]],25,FALSE)</f>
        <v>#N/A</v>
      </c>
      <c r="Y14" s="38">
        <f>Allocation[[#This Row],[Quantity Processed]]/Allocation[[#This Row],[Quantity allocated]]</f>
        <v>3.030179445350734</v>
      </c>
      <c r="Z14" s="34" t="b">
        <f>Allocation[[#This Row],[Quantity allocated]]&lt;=Allocation[[#This Row],[Quantity Processed]]</f>
        <v>1</v>
      </c>
    </row>
    <row r="15" spans="1:26">
      <c r="A15" s="247" t="s">
        <v>467</v>
      </c>
      <c r="B15" s="160" t="s">
        <v>68</v>
      </c>
      <c r="C15" s="249" t="s">
        <v>580</v>
      </c>
      <c r="D15" s="161">
        <v>9818</v>
      </c>
      <c r="E15" s="160" t="s">
        <v>1168</v>
      </c>
      <c r="F15" s="158">
        <v>43462</v>
      </c>
      <c r="G15" s="162">
        <v>2.88</v>
      </c>
      <c r="H15" s="159">
        <v>3240</v>
      </c>
      <c r="I15" s="160">
        <v>1419820</v>
      </c>
      <c r="J15" s="163">
        <v>19175</v>
      </c>
      <c r="K15" s="158">
        <v>43472</v>
      </c>
      <c r="L15" s="160" t="s">
        <v>1171</v>
      </c>
      <c r="M15" s="160">
        <v>4615515804</v>
      </c>
      <c r="N15" s="158">
        <v>43490</v>
      </c>
      <c r="O15" s="164">
        <v>3.7612999999999999</v>
      </c>
      <c r="P15" s="165">
        <v>19927</v>
      </c>
      <c r="Q15" s="34">
        <f>SUMIF(Allocation[Delivery ID],Allocation[[#This Row],[Delivery ID]],Allocation[Quantity Processed])</f>
        <v>12588</v>
      </c>
      <c r="R15" s="61">
        <f>Allocation[[#This Row],[Total volume used]]/VLOOKUP(Allocation[[#This Row],[Delivery ID]],Delivery[[Delivery ID]:[Quantity delivered]],3,FALSE)</f>
        <v>0.67207688200747462</v>
      </c>
      <c r="S15" s="34">
        <f>Allocation[[#This Row],[Quantity Processed]]/Allocation[[#This Row],[Dilution rate]]</f>
        <v>3409.0277777777778</v>
      </c>
      <c r="T15" s="59">
        <f>SUMIF(Allocation[Delivery ID],Allocation[[#This Row],[Delivery ID]],Allocation[Quantity allocated])/SUMIF(Allocation[Delivery ID],Allocation[[#This Row],[Delivery ID]],Allocation[Volume available (kg)])</f>
        <v>0.95397314525175847</v>
      </c>
      <c r="U15" s="61">
        <f>Allocation[[#This Row],[Total volume used]]/VLOOKUP(Allocation[[#This Row],[Delivery ID]],Delivery[[Delivery ID]:[Quantity delivered]],3,FALSE)</f>
        <v>0.67207688200747462</v>
      </c>
      <c r="V15" s="34" t="e">
        <f>VLOOKUP(Allocation[[#This Row],[SAP Contract number]],Shipments[[SAP Contract number]:[Contracted container weight]],2,FALSE)</f>
        <v>#N/A</v>
      </c>
      <c r="W15" s="34" t="e">
        <f>VLOOKUP(Allocation[[#This Row],[SAP Contract number]],Shipments[[SAP Contract number]:[AAA Premium USD]],24,FALSE)</f>
        <v>#N/A</v>
      </c>
      <c r="X15" s="34" t="e">
        <f>VLOOKUP(Allocation[[#This Row],[SAP Contract number]],Shipments[[SAP Contract number]:[RA Premium USD]],25,FALSE)</f>
        <v>#N/A</v>
      </c>
      <c r="Y15" s="38">
        <f>Allocation[[#This Row],[Quantity Processed]]/Allocation[[#This Row],[Quantity allocated]]</f>
        <v>3.030246913580247</v>
      </c>
      <c r="Z15" s="34" t="b">
        <f>Allocation[[#This Row],[Quantity allocated]]&lt;=Allocation[[#This Row],[Quantity Processed]]</f>
        <v>1</v>
      </c>
    </row>
    <row r="16" spans="1:26">
      <c r="A16" s="247" t="s">
        <v>467</v>
      </c>
      <c r="B16" s="160" t="s">
        <v>68</v>
      </c>
      <c r="C16" s="249" t="s">
        <v>591</v>
      </c>
      <c r="D16" s="161">
        <v>7507</v>
      </c>
      <c r="E16" s="160" t="s">
        <v>1168</v>
      </c>
      <c r="F16" s="158">
        <v>43462</v>
      </c>
      <c r="G16" s="162">
        <v>2.88</v>
      </c>
      <c r="H16" s="159">
        <v>2252</v>
      </c>
      <c r="I16" s="160">
        <v>1419820</v>
      </c>
      <c r="J16" s="163">
        <v>19175</v>
      </c>
      <c r="K16" s="158">
        <v>43472</v>
      </c>
      <c r="L16" s="160" t="s">
        <v>1171</v>
      </c>
      <c r="M16" s="160">
        <v>4615515804</v>
      </c>
      <c r="N16" s="158">
        <v>43490</v>
      </c>
      <c r="O16" s="164">
        <v>3.7612999999999999</v>
      </c>
      <c r="P16" s="165">
        <v>19927</v>
      </c>
      <c r="Q16" s="34">
        <f>SUMIF(Allocation[Delivery ID],Allocation[[#This Row],[Delivery ID]],Allocation[Quantity Processed])</f>
        <v>9230</v>
      </c>
      <c r="R16" s="61">
        <f>Allocation[[#This Row],[Total volume used]]/VLOOKUP(Allocation[[#This Row],[Delivery ID]],Delivery[[Delivery ID]:[Quantity delivered]],3,FALSE)</f>
        <v>1</v>
      </c>
      <c r="S16" s="34">
        <f>Allocation[[#This Row],[Quantity Processed]]/Allocation[[#This Row],[Dilution rate]]</f>
        <v>2606.5972222222222</v>
      </c>
      <c r="T16" s="59">
        <f>SUMIF(Allocation[Delivery ID],Allocation[[#This Row],[Delivery ID]],Allocation[Quantity allocated])/SUMIF(Allocation[Delivery ID],Allocation[[#This Row],[Delivery ID]],Allocation[Volume available (kg)])</f>
        <v>0.87302158377461025</v>
      </c>
      <c r="U16" s="61">
        <f>Allocation[[#This Row],[Total volume used]]/VLOOKUP(Allocation[[#This Row],[Delivery ID]],Delivery[[Delivery ID]:[Quantity delivered]],3,FALSE)</f>
        <v>1</v>
      </c>
      <c r="V16" s="34" t="e">
        <f>VLOOKUP(Allocation[[#This Row],[SAP Contract number]],Shipments[[SAP Contract number]:[Contracted container weight]],2,FALSE)</f>
        <v>#N/A</v>
      </c>
      <c r="W16" s="34" t="e">
        <f>VLOOKUP(Allocation[[#This Row],[SAP Contract number]],Shipments[[SAP Contract number]:[AAA Premium USD]],24,FALSE)</f>
        <v>#N/A</v>
      </c>
      <c r="X16" s="34" t="e">
        <f>VLOOKUP(Allocation[[#This Row],[SAP Contract number]],Shipments[[SAP Contract number]:[RA Premium USD]],25,FALSE)</f>
        <v>#N/A</v>
      </c>
      <c r="Y16" s="38">
        <f>Allocation[[#This Row],[Quantity Processed]]/Allocation[[#This Row],[Quantity allocated]]</f>
        <v>3.3334813499111902</v>
      </c>
      <c r="Z16" s="34" t="b">
        <f>Allocation[[#This Row],[Quantity allocated]]&lt;=Allocation[[#This Row],[Quantity Processed]]</f>
        <v>1</v>
      </c>
    </row>
    <row r="17" spans="1:26">
      <c r="A17" s="247" t="s">
        <v>467</v>
      </c>
      <c r="B17" s="160" t="s">
        <v>68</v>
      </c>
      <c r="C17" s="249" t="s">
        <v>593</v>
      </c>
      <c r="D17" s="161">
        <v>3715</v>
      </c>
      <c r="E17" s="160" t="s">
        <v>1168</v>
      </c>
      <c r="F17" s="158">
        <v>43462</v>
      </c>
      <c r="G17" s="162">
        <v>2.88</v>
      </c>
      <c r="H17" s="159">
        <v>1226</v>
      </c>
      <c r="I17" s="160">
        <v>1419820</v>
      </c>
      <c r="J17" s="163">
        <v>19175</v>
      </c>
      <c r="K17" s="158">
        <v>43472</v>
      </c>
      <c r="L17" s="160" t="s">
        <v>1171</v>
      </c>
      <c r="M17" s="160">
        <v>4615515804</v>
      </c>
      <c r="N17" s="158">
        <v>43490</v>
      </c>
      <c r="O17" s="164">
        <v>3.7612999999999999</v>
      </c>
      <c r="P17" s="165">
        <v>19927</v>
      </c>
      <c r="Q17" s="34">
        <f>SUMIF(Allocation[Delivery ID],Allocation[[#This Row],[Delivery ID]],Allocation[Quantity Processed])</f>
        <v>9685</v>
      </c>
      <c r="R17" s="61">
        <f>Allocation[[#This Row],[Total volume used]]/VLOOKUP(Allocation[[#This Row],[Delivery ID]],Delivery[[Delivery ID]:[Quantity delivered]],3,FALSE)</f>
        <v>0.87252252252252249</v>
      </c>
      <c r="S17" s="34">
        <f>Allocation[[#This Row],[Quantity Processed]]/Allocation[[#This Row],[Dilution rate]]</f>
        <v>1289.9305555555557</v>
      </c>
      <c r="T17" s="59">
        <f>SUMIF(Allocation[Delivery ID],Allocation[[#This Row],[Delivery ID]],Allocation[Quantity allocated])/SUMIF(Allocation[Delivery ID],Allocation[[#This Row],[Delivery ID]],Allocation[Volume available (kg)])</f>
        <v>0.96048857223752648</v>
      </c>
      <c r="U17" s="61">
        <f>Allocation[[#This Row],[Total volume used]]/VLOOKUP(Allocation[[#This Row],[Delivery ID]],Delivery[[Delivery ID]:[Quantity delivered]],3,FALSE)</f>
        <v>0.87252252252252249</v>
      </c>
      <c r="V17" s="34" t="e">
        <f>VLOOKUP(Allocation[[#This Row],[SAP Contract number]],Shipments[[SAP Contract number]:[Contracted container weight]],2,FALSE)</f>
        <v>#N/A</v>
      </c>
      <c r="W17" s="34" t="e">
        <f>VLOOKUP(Allocation[[#This Row],[SAP Contract number]],Shipments[[SAP Contract number]:[AAA Premium USD]],24,FALSE)</f>
        <v>#N/A</v>
      </c>
      <c r="X17" s="34" t="e">
        <f>VLOOKUP(Allocation[[#This Row],[SAP Contract number]],Shipments[[SAP Contract number]:[RA Premium USD]],25,FALSE)</f>
        <v>#N/A</v>
      </c>
      <c r="Y17" s="38">
        <f>Allocation[[#This Row],[Quantity Processed]]/Allocation[[#This Row],[Quantity allocated]]</f>
        <v>3.030179445350734</v>
      </c>
      <c r="Z17" s="34" t="b">
        <f>Allocation[[#This Row],[Quantity allocated]]&lt;=Allocation[[#This Row],[Quantity Processed]]</f>
        <v>1</v>
      </c>
    </row>
    <row r="18" spans="1:26">
      <c r="A18" s="247" t="s">
        <v>467</v>
      </c>
      <c r="B18" s="160" t="s">
        <v>68</v>
      </c>
      <c r="C18" s="249" t="s">
        <v>594</v>
      </c>
      <c r="D18" s="161">
        <v>17918</v>
      </c>
      <c r="E18" s="160" t="s">
        <v>1168</v>
      </c>
      <c r="F18" s="158">
        <v>43462</v>
      </c>
      <c r="G18" s="162">
        <v>2.88</v>
      </c>
      <c r="H18" s="159">
        <v>5913</v>
      </c>
      <c r="I18" s="160">
        <v>1419820</v>
      </c>
      <c r="J18" s="163">
        <v>19175</v>
      </c>
      <c r="K18" s="158">
        <v>43472</v>
      </c>
      <c r="L18" s="160" t="s">
        <v>1171</v>
      </c>
      <c r="M18" s="160">
        <v>4615515804</v>
      </c>
      <c r="N18" s="158">
        <v>43490</v>
      </c>
      <c r="O18" s="164">
        <v>3.7612999999999999</v>
      </c>
      <c r="P18" s="165">
        <v>19927</v>
      </c>
      <c r="Q18" s="34">
        <f>SUMIF(Allocation[Delivery ID],Allocation[[#This Row],[Delivery ID]],Allocation[Quantity Processed])</f>
        <v>18880</v>
      </c>
      <c r="R18" s="61">
        <f>Allocation[[#This Row],[Total volume used]]/VLOOKUP(Allocation[[#This Row],[Delivery ID]],Delivery[[Delivery ID]:[Quantity delivered]],3,FALSE)</f>
        <v>1</v>
      </c>
      <c r="S18" s="34">
        <f>Allocation[[#This Row],[Quantity Processed]]/Allocation[[#This Row],[Dilution rate]]</f>
        <v>6221.5277777777783</v>
      </c>
      <c r="T18" s="59">
        <f>SUMIF(Allocation[Delivery ID],Allocation[[#This Row],[Delivery ID]],Allocation[Quantity allocated])/SUMIF(Allocation[Delivery ID],Allocation[[#This Row],[Delivery ID]],Allocation[Volume available (kg)])</f>
        <v>0.95742571326734238</v>
      </c>
      <c r="U18" s="61">
        <f>Allocation[[#This Row],[Total volume used]]/VLOOKUP(Allocation[[#This Row],[Delivery ID]],Delivery[[Delivery ID]:[Quantity delivered]],3,FALSE)</f>
        <v>1</v>
      </c>
      <c r="V18" s="34" t="e">
        <f>VLOOKUP(Allocation[[#This Row],[SAP Contract number]],Shipments[[SAP Contract number]:[Contracted container weight]],2,FALSE)</f>
        <v>#N/A</v>
      </c>
      <c r="W18" s="34" t="e">
        <f>VLOOKUP(Allocation[[#This Row],[SAP Contract number]],Shipments[[SAP Contract number]:[AAA Premium USD]],24,FALSE)</f>
        <v>#N/A</v>
      </c>
      <c r="X18" s="34" t="e">
        <f>VLOOKUP(Allocation[[#This Row],[SAP Contract number]],Shipments[[SAP Contract number]:[RA Premium USD]],25,FALSE)</f>
        <v>#N/A</v>
      </c>
      <c r="Y18" s="38">
        <f>Allocation[[#This Row],[Quantity Processed]]/Allocation[[#This Row],[Quantity allocated]]</f>
        <v>3.0302722814138341</v>
      </c>
      <c r="Z18" s="34" t="b">
        <f>Allocation[[#This Row],[Quantity allocated]]&lt;=Allocation[[#This Row],[Quantity Processed]]</f>
        <v>1</v>
      </c>
    </row>
    <row r="19" spans="1:26">
      <c r="A19" s="247" t="s">
        <v>467</v>
      </c>
      <c r="B19" s="160" t="s">
        <v>68</v>
      </c>
      <c r="C19" s="249" t="s">
        <v>595</v>
      </c>
      <c r="D19" s="161">
        <v>4364</v>
      </c>
      <c r="E19" s="160" t="s">
        <v>1168</v>
      </c>
      <c r="F19" s="158">
        <v>43462</v>
      </c>
      <c r="G19" s="162">
        <v>2.88</v>
      </c>
      <c r="H19" s="159">
        <v>1440</v>
      </c>
      <c r="I19" s="160">
        <v>1419820</v>
      </c>
      <c r="J19" s="163">
        <v>19175</v>
      </c>
      <c r="K19" s="158">
        <v>43472</v>
      </c>
      <c r="L19" s="160" t="s">
        <v>1171</v>
      </c>
      <c r="M19" s="160">
        <v>4615515804</v>
      </c>
      <c r="N19" s="158">
        <v>43490</v>
      </c>
      <c r="O19" s="164">
        <v>3.7612999999999999</v>
      </c>
      <c r="P19" s="165">
        <v>19927</v>
      </c>
      <c r="Q19" s="34">
        <f>SUMIF(Allocation[Delivery ID],Allocation[[#This Row],[Delivery ID]],Allocation[Quantity Processed])</f>
        <v>14315</v>
      </c>
      <c r="R19" s="61">
        <f>Allocation[[#This Row],[Total volume used]]/VLOOKUP(Allocation[[#This Row],[Delivery ID]],Delivery[[Delivery ID]:[Quantity delivered]],3,FALSE)</f>
        <v>0.80967194570135748</v>
      </c>
      <c r="S19" s="34">
        <f>Allocation[[#This Row],[Quantity Processed]]/Allocation[[#This Row],[Dilution rate]]</f>
        <v>1515.2777777777778</v>
      </c>
      <c r="T19" s="59">
        <f>SUMIF(Allocation[Delivery ID],Allocation[[#This Row],[Delivery ID]],Allocation[Quantity allocated])/SUMIF(Allocation[Delivery ID],Allocation[[#This Row],[Delivery ID]],Allocation[Volume available (kg)])</f>
        <v>0.95501173550610485</v>
      </c>
      <c r="U19" s="61">
        <f>Allocation[[#This Row],[Total volume used]]/VLOOKUP(Allocation[[#This Row],[Delivery ID]],Delivery[[Delivery ID]:[Quantity delivered]],3,FALSE)</f>
        <v>0.80967194570135748</v>
      </c>
      <c r="V19" s="34" t="e">
        <f>VLOOKUP(Allocation[[#This Row],[SAP Contract number]],Shipments[[SAP Contract number]:[Contracted container weight]],2,FALSE)</f>
        <v>#N/A</v>
      </c>
      <c r="W19" s="34" t="e">
        <f>VLOOKUP(Allocation[[#This Row],[SAP Contract number]],Shipments[[SAP Contract number]:[AAA Premium USD]],24,FALSE)</f>
        <v>#N/A</v>
      </c>
      <c r="X19" s="34" t="e">
        <f>VLOOKUP(Allocation[[#This Row],[SAP Contract number]],Shipments[[SAP Contract number]:[RA Premium USD]],25,FALSE)</f>
        <v>#N/A</v>
      </c>
      <c r="Y19" s="38">
        <f>Allocation[[#This Row],[Quantity Processed]]/Allocation[[#This Row],[Quantity allocated]]</f>
        <v>3.0305555555555554</v>
      </c>
      <c r="Z19" s="34" t="b">
        <f>Allocation[[#This Row],[Quantity allocated]]&lt;=Allocation[[#This Row],[Quantity Processed]]</f>
        <v>1</v>
      </c>
    </row>
    <row r="20" spans="1:26">
      <c r="A20" s="247" t="s">
        <v>467</v>
      </c>
      <c r="B20" s="160" t="s">
        <v>68</v>
      </c>
      <c r="C20" s="249" t="s">
        <v>595</v>
      </c>
      <c r="D20" s="161">
        <v>5909</v>
      </c>
      <c r="E20" s="160" t="s">
        <v>1168</v>
      </c>
      <c r="F20" s="158">
        <v>43462</v>
      </c>
      <c r="G20" s="162">
        <v>2.88</v>
      </c>
      <c r="H20" s="159">
        <v>1950</v>
      </c>
      <c r="I20" s="160">
        <v>1419821</v>
      </c>
      <c r="J20" s="163">
        <v>19175</v>
      </c>
      <c r="K20" s="158">
        <v>43472</v>
      </c>
      <c r="L20" s="160" t="s">
        <v>1172</v>
      </c>
      <c r="M20" s="160">
        <v>4615515804</v>
      </c>
      <c r="N20" s="158">
        <v>43490</v>
      </c>
      <c r="O20" s="164">
        <v>3.7612999999999999</v>
      </c>
      <c r="P20" s="165">
        <v>19927</v>
      </c>
      <c r="Q20" s="34">
        <f>SUMIF(Allocation[Delivery ID],Allocation[[#This Row],[Delivery ID]],Allocation[Quantity Processed])</f>
        <v>14315</v>
      </c>
      <c r="R20" s="61">
        <f>Allocation[[#This Row],[Total volume used]]/VLOOKUP(Allocation[[#This Row],[Delivery ID]],Delivery[[Delivery ID]:[Quantity delivered]],3,FALSE)</f>
        <v>0.80967194570135748</v>
      </c>
      <c r="S20" s="34">
        <f>Allocation[[#This Row],[Quantity Processed]]/Allocation[[#This Row],[Dilution rate]]</f>
        <v>2051.7361111111113</v>
      </c>
      <c r="T20" s="59">
        <f>SUMIF(Allocation[Delivery ID],Allocation[[#This Row],[Delivery ID]],Allocation[Quantity allocated])/SUMIF(Allocation[Delivery ID],Allocation[[#This Row],[Delivery ID]],Allocation[Volume available (kg)])</f>
        <v>0.95501173550610485</v>
      </c>
      <c r="U20" s="61">
        <f>Allocation[[#This Row],[Total volume used]]/VLOOKUP(Allocation[[#This Row],[Delivery ID]],Delivery[[Delivery ID]:[Quantity delivered]],3,FALSE)</f>
        <v>0.80967194570135748</v>
      </c>
      <c r="V20" s="34" t="e">
        <f>VLOOKUP(Allocation[[#This Row],[SAP Contract number]],Shipments[[SAP Contract number]:[Contracted container weight]],2,FALSE)</f>
        <v>#N/A</v>
      </c>
      <c r="W20" s="34" t="e">
        <f>VLOOKUP(Allocation[[#This Row],[SAP Contract number]],Shipments[[SAP Contract number]:[AAA Premium USD]],24,FALSE)</f>
        <v>#N/A</v>
      </c>
      <c r="X20" s="34" t="e">
        <f>VLOOKUP(Allocation[[#This Row],[SAP Contract number]],Shipments[[SAP Contract number]:[RA Premium USD]],25,FALSE)</f>
        <v>#N/A</v>
      </c>
      <c r="Y20" s="38">
        <f>Allocation[[#This Row],[Quantity Processed]]/Allocation[[#This Row],[Quantity allocated]]</f>
        <v>3.0302564102564102</v>
      </c>
      <c r="Z20" s="34" t="b">
        <f>Allocation[[#This Row],[Quantity allocated]]&lt;=Allocation[[#This Row],[Quantity Processed]]</f>
        <v>1</v>
      </c>
    </row>
    <row r="21" spans="1:26">
      <c r="A21" s="247" t="s">
        <v>467</v>
      </c>
      <c r="B21" s="160" t="s">
        <v>68</v>
      </c>
      <c r="C21" s="249" t="s">
        <v>596</v>
      </c>
      <c r="D21" s="161">
        <v>2055</v>
      </c>
      <c r="E21" s="160" t="s">
        <v>1168</v>
      </c>
      <c r="F21" s="158">
        <v>43462</v>
      </c>
      <c r="G21" s="162">
        <v>2.88</v>
      </c>
      <c r="H21" s="159">
        <v>678</v>
      </c>
      <c r="I21" s="160">
        <v>1419821</v>
      </c>
      <c r="J21" s="163">
        <v>19175</v>
      </c>
      <c r="K21" s="158">
        <v>43472</v>
      </c>
      <c r="L21" s="160" t="s">
        <v>1172</v>
      </c>
      <c r="M21" s="160">
        <v>4615515804</v>
      </c>
      <c r="N21" s="158">
        <v>43490</v>
      </c>
      <c r="O21" s="164">
        <v>3.7612999999999999</v>
      </c>
      <c r="P21" s="165">
        <v>19927</v>
      </c>
      <c r="Q21" s="34">
        <f>SUMIF(Allocation[Delivery ID],Allocation[[#This Row],[Delivery ID]],Allocation[Quantity Processed])</f>
        <v>2864</v>
      </c>
      <c r="R21" s="61">
        <f>Allocation[[#This Row],[Total volume used]]/VLOOKUP(Allocation[[#This Row],[Delivery ID]],Delivery[[Delivery ID]:[Quantity delivered]],3,FALSE)</f>
        <v>0.81133144475920682</v>
      </c>
      <c r="S21" s="34">
        <f>Allocation[[#This Row],[Quantity Processed]]/Allocation[[#This Row],[Dilution rate]]</f>
        <v>713.54166666666674</v>
      </c>
      <c r="T21" s="59">
        <f>SUMIF(Allocation[Delivery ID],Allocation[[#This Row],[Delivery ID]],Allocation[Quantity allocated])/SUMIF(Allocation[Delivery ID],Allocation[[#This Row],[Delivery ID]],Allocation[Volume available (kg)])</f>
        <v>0.95488218874946562</v>
      </c>
      <c r="U21" s="61">
        <f>Allocation[[#This Row],[Total volume used]]/VLOOKUP(Allocation[[#This Row],[Delivery ID]],Delivery[[Delivery ID]:[Quantity delivered]],3,FALSE)</f>
        <v>0.81133144475920682</v>
      </c>
      <c r="V21" s="34" t="e">
        <f>VLOOKUP(Allocation[[#This Row],[SAP Contract number]],Shipments[[SAP Contract number]:[Contracted container weight]],2,FALSE)</f>
        <v>#N/A</v>
      </c>
      <c r="W21" s="34" t="e">
        <f>VLOOKUP(Allocation[[#This Row],[SAP Contract number]],Shipments[[SAP Contract number]:[AAA Premium USD]],24,FALSE)</f>
        <v>#N/A</v>
      </c>
      <c r="X21" s="34" t="e">
        <f>VLOOKUP(Allocation[[#This Row],[SAP Contract number]],Shipments[[SAP Contract number]:[RA Premium USD]],25,FALSE)</f>
        <v>#N/A</v>
      </c>
      <c r="Y21" s="38">
        <f>Allocation[[#This Row],[Quantity Processed]]/Allocation[[#This Row],[Quantity allocated]]</f>
        <v>3.0309734513274336</v>
      </c>
      <c r="Z21" s="34" t="b">
        <f>Allocation[[#This Row],[Quantity allocated]]&lt;=Allocation[[#This Row],[Quantity Processed]]</f>
        <v>1</v>
      </c>
    </row>
    <row r="22" spans="1:26">
      <c r="A22" s="247" t="s">
        <v>467</v>
      </c>
      <c r="B22" s="160" t="s">
        <v>68</v>
      </c>
      <c r="C22" s="249" t="s">
        <v>945</v>
      </c>
      <c r="D22" s="161">
        <v>21555</v>
      </c>
      <c r="E22" s="160" t="s">
        <v>1168</v>
      </c>
      <c r="F22" s="158">
        <v>43462</v>
      </c>
      <c r="G22" s="162">
        <v>2.88</v>
      </c>
      <c r="H22" s="159">
        <v>7113</v>
      </c>
      <c r="I22" s="160">
        <v>1419821</v>
      </c>
      <c r="J22" s="163">
        <v>19175</v>
      </c>
      <c r="K22" s="158">
        <v>43472</v>
      </c>
      <c r="L22" s="160" t="s">
        <v>1172</v>
      </c>
      <c r="M22" s="160">
        <v>4615515804</v>
      </c>
      <c r="N22" s="158">
        <v>43490</v>
      </c>
      <c r="O22" s="164">
        <v>3.7612999999999999</v>
      </c>
      <c r="P22" s="165">
        <v>19927</v>
      </c>
      <c r="Q22" s="34">
        <f>SUMIF(Allocation[Delivery ID],Allocation[[#This Row],[Delivery ID]],Allocation[Quantity Processed])</f>
        <v>21555</v>
      </c>
      <c r="R22" s="61">
        <f>Allocation[[#This Row],[Total volume used]]/VLOOKUP(Allocation[[#This Row],[Delivery ID]],Delivery[[Delivery ID]:[Quantity delivered]],3,FALSE)</f>
        <v>0.71778221778221774</v>
      </c>
      <c r="S22" s="34">
        <f>Allocation[[#This Row],[Quantity Processed]]/Allocation[[#This Row],[Dilution rate]]</f>
        <v>7484.375</v>
      </c>
      <c r="T22" s="59">
        <f>SUMIF(Allocation[Delivery ID],Allocation[[#This Row],[Delivery ID]],Allocation[Quantity allocated])/SUMIF(Allocation[Delivery ID],Allocation[[#This Row],[Delivery ID]],Allocation[Volume available (kg)])</f>
        <v>0.95037995824634658</v>
      </c>
      <c r="U22" s="61">
        <f>Allocation[[#This Row],[Total volume used]]/VLOOKUP(Allocation[[#This Row],[Delivery ID]],Delivery[[Delivery ID]:[Quantity delivered]],3,FALSE)</f>
        <v>0.71778221778221774</v>
      </c>
      <c r="V22" s="34" t="e">
        <f>VLOOKUP(Allocation[[#This Row],[SAP Contract number]],Shipments[[SAP Contract number]:[Contracted container weight]],2,FALSE)</f>
        <v>#N/A</v>
      </c>
      <c r="W22" s="34" t="e">
        <f>VLOOKUP(Allocation[[#This Row],[SAP Contract number]],Shipments[[SAP Contract number]:[AAA Premium USD]],24,FALSE)</f>
        <v>#N/A</v>
      </c>
      <c r="X22" s="34" t="e">
        <f>VLOOKUP(Allocation[[#This Row],[SAP Contract number]],Shipments[[SAP Contract number]:[RA Premium USD]],25,FALSE)</f>
        <v>#N/A</v>
      </c>
      <c r="Y22" s="38">
        <f>Allocation[[#This Row],[Quantity Processed]]/Allocation[[#This Row],[Quantity allocated]]</f>
        <v>3.0303669337832138</v>
      </c>
      <c r="Z22" s="34" t="b">
        <f>Allocation[[#This Row],[Quantity allocated]]&lt;=Allocation[[#This Row],[Quantity Processed]]</f>
        <v>1</v>
      </c>
    </row>
    <row r="23" spans="1:26">
      <c r="A23" s="247" t="s">
        <v>467</v>
      </c>
      <c r="B23" s="160" t="s">
        <v>68</v>
      </c>
      <c r="C23" s="249" t="s">
        <v>946</v>
      </c>
      <c r="D23" s="161">
        <v>18938</v>
      </c>
      <c r="E23" s="160" t="s">
        <v>1168</v>
      </c>
      <c r="F23" s="158">
        <v>43462</v>
      </c>
      <c r="G23" s="162">
        <v>2.88</v>
      </c>
      <c r="H23" s="159">
        <v>8522</v>
      </c>
      <c r="I23" s="160">
        <v>1419821</v>
      </c>
      <c r="J23" s="163">
        <v>19175</v>
      </c>
      <c r="K23" s="158">
        <v>43472</v>
      </c>
      <c r="L23" s="160" t="s">
        <v>1172</v>
      </c>
      <c r="M23" s="160">
        <v>4615515804</v>
      </c>
      <c r="N23" s="158">
        <v>43490</v>
      </c>
      <c r="O23" s="164">
        <v>3.7612999999999999</v>
      </c>
      <c r="P23" s="165">
        <v>19927</v>
      </c>
      <c r="Q23" s="34">
        <f>SUMIF(Allocation[Delivery ID],Allocation[[#This Row],[Delivery ID]],Allocation[Quantity Processed])</f>
        <v>27170</v>
      </c>
      <c r="R23" s="61">
        <f>Allocation[[#This Row],[Total volume used]]/VLOOKUP(Allocation[[#This Row],[Delivery ID]],Delivery[[Delivery ID]:[Quantity delivered]],3,FALSE)</f>
        <v>1</v>
      </c>
      <c r="S23" s="34">
        <f>Allocation[[#This Row],[Quantity Processed]]/Allocation[[#This Row],[Dilution rate]]</f>
        <v>6575.6944444444443</v>
      </c>
      <c r="T23" s="59">
        <f>SUMIF(Allocation[Delivery ID],Allocation[[#This Row],[Delivery ID]],Allocation[Quantity allocated])/SUMIF(Allocation[Delivery ID],Allocation[[#This Row],[Delivery ID]],Allocation[Volume available (kg)])</f>
        <v>1.3210089233741391</v>
      </c>
      <c r="U23" s="61">
        <f>Allocation[[#This Row],[Total volume used]]/VLOOKUP(Allocation[[#This Row],[Delivery ID]],Delivery[[Delivery ID]:[Quantity delivered]],3,FALSE)</f>
        <v>1</v>
      </c>
      <c r="V23" s="34" t="e">
        <f>VLOOKUP(Allocation[[#This Row],[SAP Contract number]],Shipments[[SAP Contract number]:[Contracted container weight]],2,FALSE)</f>
        <v>#N/A</v>
      </c>
      <c r="W23" s="34" t="e">
        <f>VLOOKUP(Allocation[[#This Row],[SAP Contract number]],Shipments[[SAP Contract number]:[AAA Premium USD]],24,FALSE)</f>
        <v>#N/A</v>
      </c>
      <c r="X23" s="34" t="e">
        <f>VLOOKUP(Allocation[[#This Row],[SAP Contract number]],Shipments[[SAP Contract number]:[RA Premium USD]],25,FALSE)</f>
        <v>#N/A</v>
      </c>
      <c r="Y23" s="38">
        <f>Allocation[[#This Row],[Quantity Processed]]/Allocation[[#This Row],[Quantity allocated]]</f>
        <v>2.2222482985214738</v>
      </c>
      <c r="Z23" s="34" t="b">
        <f>Allocation[[#This Row],[Quantity allocated]]&lt;=Allocation[[#This Row],[Quantity Processed]]</f>
        <v>1</v>
      </c>
    </row>
    <row r="24" spans="1:26">
      <c r="A24" s="247" t="s">
        <v>467</v>
      </c>
      <c r="B24" s="160" t="s">
        <v>68</v>
      </c>
      <c r="C24" s="249" t="s">
        <v>948</v>
      </c>
      <c r="D24" s="161">
        <v>2764</v>
      </c>
      <c r="E24" s="160" t="s">
        <v>1168</v>
      </c>
      <c r="F24" s="158">
        <v>43462</v>
      </c>
      <c r="G24" s="162">
        <v>2.88</v>
      </c>
      <c r="H24" s="159">
        <v>912</v>
      </c>
      <c r="I24" s="160">
        <v>1419821</v>
      </c>
      <c r="J24" s="163">
        <v>19175</v>
      </c>
      <c r="K24" s="158">
        <v>43472</v>
      </c>
      <c r="L24" s="160" t="s">
        <v>1172</v>
      </c>
      <c r="M24" s="160">
        <v>4615515804</v>
      </c>
      <c r="N24" s="158">
        <v>43490</v>
      </c>
      <c r="O24" s="164">
        <v>3.7612999999999999</v>
      </c>
      <c r="P24" s="165">
        <v>19927</v>
      </c>
      <c r="Q24" s="34">
        <f>SUMIF(Allocation[Delivery ID],Allocation[[#This Row],[Delivery ID]],Allocation[Quantity Processed])</f>
        <v>21555</v>
      </c>
      <c r="R24" s="61">
        <f>Allocation[[#This Row],[Total volume used]]/VLOOKUP(Allocation[[#This Row],[Delivery ID]],Delivery[[Delivery ID]:[Quantity delivered]],3,FALSE)</f>
        <v>0.72211055276381908</v>
      </c>
      <c r="S24" s="34">
        <f>Allocation[[#This Row],[Quantity Processed]]/Allocation[[#This Row],[Dilution rate]]</f>
        <v>959.72222222222229</v>
      </c>
      <c r="T24" s="59">
        <f>SUMIF(Allocation[Delivery ID],Allocation[[#This Row],[Delivery ID]],Allocation[Quantity allocated])/SUMIF(Allocation[Delivery ID],Allocation[[#This Row],[Delivery ID]],Allocation[Volume available (kg)])</f>
        <v>0.95037995824634647</v>
      </c>
      <c r="U24" s="61">
        <f>Allocation[[#This Row],[Total volume used]]/VLOOKUP(Allocation[[#This Row],[Delivery ID]],Delivery[[Delivery ID]:[Quantity delivered]],3,FALSE)</f>
        <v>0.72211055276381908</v>
      </c>
      <c r="V24" s="34" t="e">
        <f>VLOOKUP(Allocation[[#This Row],[SAP Contract number]],Shipments[[SAP Contract number]:[Contracted container weight]],2,FALSE)</f>
        <v>#N/A</v>
      </c>
      <c r="W24" s="34" t="e">
        <f>VLOOKUP(Allocation[[#This Row],[SAP Contract number]],Shipments[[SAP Contract number]:[AAA Premium USD]],24,FALSE)</f>
        <v>#N/A</v>
      </c>
      <c r="X24" s="34" t="e">
        <f>VLOOKUP(Allocation[[#This Row],[SAP Contract number]],Shipments[[SAP Contract number]:[RA Premium USD]],25,FALSE)</f>
        <v>#N/A</v>
      </c>
      <c r="Y24" s="38">
        <f>Allocation[[#This Row],[Quantity Processed]]/Allocation[[#This Row],[Quantity allocated]]</f>
        <v>3.0307017543859649</v>
      </c>
      <c r="Z24" s="34" t="b">
        <f>Allocation[[#This Row],[Quantity allocated]]&lt;=Allocation[[#This Row],[Quantity Processed]]</f>
        <v>1</v>
      </c>
    </row>
    <row r="25" spans="1:26">
      <c r="A25" s="247" t="s">
        <v>467</v>
      </c>
      <c r="B25" s="160" t="s">
        <v>68</v>
      </c>
      <c r="C25" s="249" t="s">
        <v>948</v>
      </c>
      <c r="D25" s="161">
        <v>18791</v>
      </c>
      <c r="E25" s="160" t="s">
        <v>1168</v>
      </c>
      <c r="F25" s="158">
        <v>43462</v>
      </c>
      <c r="G25" s="162">
        <v>2.88</v>
      </c>
      <c r="H25" s="159">
        <v>6201</v>
      </c>
      <c r="I25" s="160">
        <v>1419822</v>
      </c>
      <c r="J25" s="163">
        <v>19175</v>
      </c>
      <c r="K25" s="158">
        <v>43472</v>
      </c>
      <c r="L25" s="160" t="s">
        <v>1173</v>
      </c>
      <c r="M25" s="160">
        <v>4615515804</v>
      </c>
      <c r="N25" s="158">
        <v>43490</v>
      </c>
      <c r="O25" s="164">
        <v>3.7612999999999999</v>
      </c>
      <c r="P25" s="165">
        <v>19927</v>
      </c>
      <c r="Q25" s="34">
        <f>SUMIF(Allocation[Delivery ID],Allocation[[#This Row],[Delivery ID]],Allocation[Quantity Processed])</f>
        <v>21555</v>
      </c>
      <c r="R25" s="61">
        <f>Allocation[[#This Row],[Total volume used]]/VLOOKUP(Allocation[[#This Row],[Delivery ID]],Delivery[[Delivery ID]:[Quantity delivered]],3,FALSE)</f>
        <v>0.72211055276381908</v>
      </c>
      <c r="S25" s="34">
        <f>Allocation[[#This Row],[Quantity Processed]]/Allocation[[#This Row],[Dilution rate]]</f>
        <v>6524.6527777777783</v>
      </c>
      <c r="T25" s="59">
        <f>SUMIF(Allocation[Delivery ID],Allocation[[#This Row],[Delivery ID]],Allocation[Quantity allocated])/SUMIF(Allocation[Delivery ID],Allocation[[#This Row],[Delivery ID]],Allocation[Volume available (kg)])</f>
        <v>0.95037995824634647</v>
      </c>
      <c r="U25" s="61">
        <f>Allocation[[#This Row],[Total volume used]]/VLOOKUP(Allocation[[#This Row],[Delivery ID]],Delivery[[Delivery ID]:[Quantity delivered]],3,FALSE)</f>
        <v>0.72211055276381908</v>
      </c>
      <c r="V25" s="34" t="e">
        <f>VLOOKUP(Allocation[[#This Row],[SAP Contract number]],Shipments[[SAP Contract number]:[Contracted container weight]],2,FALSE)</f>
        <v>#N/A</v>
      </c>
      <c r="W25" s="34" t="e">
        <f>VLOOKUP(Allocation[[#This Row],[SAP Contract number]],Shipments[[SAP Contract number]:[AAA Premium USD]],24,FALSE)</f>
        <v>#N/A</v>
      </c>
      <c r="X25" s="34" t="e">
        <f>VLOOKUP(Allocation[[#This Row],[SAP Contract number]],Shipments[[SAP Contract number]:[RA Premium USD]],25,FALSE)</f>
        <v>#N/A</v>
      </c>
      <c r="Y25" s="38">
        <f>Allocation[[#This Row],[Quantity Processed]]/Allocation[[#This Row],[Quantity allocated]]</f>
        <v>3.0303176906950493</v>
      </c>
      <c r="Z25" s="34" t="b">
        <f>Allocation[[#This Row],[Quantity allocated]]&lt;=Allocation[[#This Row],[Quantity Processed]]</f>
        <v>1</v>
      </c>
    </row>
    <row r="26" spans="1:26">
      <c r="A26" s="247" t="s">
        <v>467</v>
      </c>
      <c r="B26" s="160" t="s">
        <v>68</v>
      </c>
      <c r="C26" s="249" t="s">
        <v>969</v>
      </c>
      <c r="D26" s="161">
        <v>7073</v>
      </c>
      <c r="E26" s="160" t="s">
        <v>1168</v>
      </c>
      <c r="F26" s="158">
        <v>43462</v>
      </c>
      <c r="G26" s="162">
        <v>2.88</v>
      </c>
      <c r="H26" s="159">
        <v>2334</v>
      </c>
      <c r="I26" s="160">
        <v>1419822</v>
      </c>
      <c r="J26" s="163">
        <v>19175</v>
      </c>
      <c r="K26" s="158">
        <v>43472</v>
      </c>
      <c r="L26" s="160" t="s">
        <v>1173</v>
      </c>
      <c r="M26" s="160">
        <v>4615515804</v>
      </c>
      <c r="N26" s="158">
        <v>43490</v>
      </c>
      <c r="O26" s="164">
        <v>3.7612999999999999</v>
      </c>
      <c r="P26" s="165">
        <v>19927</v>
      </c>
      <c r="Q26" s="34">
        <f>SUMIF(Allocation[Delivery ID],Allocation[[#This Row],[Delivery ID]],Allocation[Quantity Processed])</f>
        <v>18000</v>
      </c>
      <c r="R26" s="61">
        <f>Allocation[[#This Row],[Total volume used]]/VLOOKUP(Allocation[[#This Row],[Delivery ID]],Delivery[[Delivery ID]:[Quantity delivered]],3,FALSE)</f>
        <v>1</v>
      </c>
      <c r="S26" s="34">
        <f>Allocation[[#This Row],[Quantity Processed]]/Allocation[[#This Row],[Dilution rate]]</f>
        <v>2455.9027777777778</v>
      </c>
      <c r="T26" s="59">
        <f>SUMIF(Allocation[Delivery ID],Allocation[[#This Row],[Delivery ID]],Allocation[Quantity allocated])/SUMIF(Allocation[Delivery ID],Allocation[[#This Row],[Delivery ID]],Allocation[Volume available (kg)])</f>
        <v>0.96600716753857985</v>
      </c>
      <c r="U26" s="61">
        <f>Allocation[[#This Row],[Total volume used]]/VLOOKUP(Allocation[[#This Row],[Delivery ID]],Delivery[[Delivery ID]:[Quantity delivered]],3,FALSE)</f>
        <v>1</v>
      </c>
      <c r="V26" s="34" t="e">
        <f>VLOOKUP(Allocation[[#This Row],[SAP Contract number]],Shipments[[SAP Contract number]:[Contracted container weight]],2,FALSE)</f>
        <v>#N/A</v>
      </c>
      <c r="W26" s="34" t="e">
        <f>VLOOKUP(Allocation[[#This Row],[SAP Contract number]],Shipments[[SAP Contract number]:[AAA Premium USD]],24,FALSE)</f>
        <v>#N/A</v>
      </c>
      <c r="X26" s="34" t="e">
        <f>VLOOKUP(Allocation[[#This Row],[SAP Contract number]],Shipments[[SAP Contract number]:[RA Premium USD]],25,FALSE)</f>
        <v>#N/A</v>
      </c>
      <c r="Y26" s="38">
        <f>Allocation[[#This Row],[Quantity Processed]]/Allocation[[#This Row],[Quantity allocated]]</f>
        <v>3.0304198800342759</v>
      </c>
      <c r="Z26" s="34" t="b">
        <f>Allocation[[#This Row],[Quantity allocated]]&lt;=Allocation[[#This Row],[Quantity Processed]]</f>
        <v>1</v>
      </c>
    </row>
    <row r="27" spans="1:26">
      <c r="A27" s="247" t="s">
        <v>467</v>
      </c>
      <c r="B27" s="160" t="s">
        <v>68</v>
      </c>
      <c r="C27" s="249" t="s">
        <v>971</v>
      </c>
      <c r="D27" s="161">
        <v>22415</v>
      </c>
      <c r="E27" s="160" t="s">
        <v>1168</v>
      </c>
      <c r="F27" s="158">
        <v>43462</v>
      </c>
      <c r="G27" s="162">
        <v>2.88</v>
      </c>
      <c r="H27" s="159">
        <v>7397</v>
      </c>
      <c r="I27" s="160">
        <v>1419822</v>
      </c>
      <c r="J27" s="163">
        <v>19175</v>
      </c>
      <c r="K27" s="158">
        <v>43472</v>
      </c>
      <c r="L27" s="160" t="s">
        <v>1173</v>
      </c>
      <c r="M27" s="160">
        <v>4615515804</v>
      </c>
      <c r="N27" s="158">
        <v>43490</v>
      </c>
      <c r="O27" s="164">
        <v>3.7612999999999999</v>
      </c>
      <c r="P27" s="165">
        <v>19927</v>
      </c>
      <c r="Q27" s="34">
        <f>SUMIF(Allocation[Delivery ID],Allocation[[#This Row],[Delivery ID]],Allocation[Quantity Processed])</f>
        <v>22415</v>
      </c>
      <c r="R27" s="61">
        <f>Allocation[[#This Row],[Total volume used]]/VLOOKUP(Allocation[[#This Row],[Delivery ID]],Delivery[[Delivery ID]:[Quantity delivered]],3,FALSE)</f>
        <v>0.71889031430404104</v>
      </c>
      <c r="S27" s="34">
        <f>Allocation[[#This Row],[Quantity Processed]]/Allocation[[#This Row],[Dilution rate]]</f>
        <v>7782.9861111111113</v>
      </c>
      <c r="T27" s="59">
        <f>SUMIF(Allocation[Delivery ID],Allocation[[#This Row],[Delivery ID]],Allocation[Quantity allocated])/SUMIF(Allocation[Delivery ID],Allocation[[#This Row],[Delivery ID]],Allocation[Volume available (kg)])</f>
        <v>0.95040642426946242</v>
      </c>
      <c r="U27" s="61">
        <f>Allocation[[#This Row],[Total volume used]]/VLOOKUP(Allocation[[#This Row],[Delivery ID]],Delivery[[Delivery ID]:[Quantity delivered]],3,FALSE)</f>
        <v>0.71889031430404104</v>
      </c>
      <c r="V27" s="34" t="e">
        <f>VLOOKUP(Allocation[[#This Row],[SAP Contract number]],Shipments[[SAP Contract number]:[Contracted container weight]],2,FALSE)</f>
        <v>#N/A</v>
      </c>
      <c r="W27" s="34" t="e">
        <f>VLOOKUP(Allocation[[#This Row],[SAP Contract number]],Shipments[[SAP Contract number]:[AAA Premium USD]],24,FALSE)</f>
        <v>#N/A</v>
      </c>
      <c r="X27" s="34" t="e">
        <f>VLOOKUP(Allocation[[#This Row],[SAP Contract number]],Shipments[[SAP Contract number]:[RA Premium USD]],25,FALSE)</f>
        <v>#N/A</v>
      </c>
      <c r="Y27" s="38">
        <f>Allocation[[#This Row],[Quantity Processed]]/Allocation[[#This Row],[Quantity allocated]]</f>
        <v>3.0302825469785049</v>
      </c>
      <c r="Z27" s="34" t="b">
        <f>Allocation[[#This Row],[Quantity allocated]]&lt;=Allocation[[#This Row],[Quantity Processed]]</f>
        <v>1</v>
      </c>
    </row>
    <row r="28" spans="1:26">
      <c r="A28" s="247" t="s">
        <v>467</v>
      </c>
      <c r="B28" s="160" t="s">
        <v>68</v>
      </c>
      <c r="C28" s="249" t="s">
        <v>972</v>
      </c>
      <c r="D28" s="161">
        <v>9827</v>
      </c>
      <c r="E28" s="160" t="s">
        <v>1168</v>
      </c>
      <c r="F28" s="158">
        <v>43462</v>
      </c>
      <c r="G28" s="162">
        <v>2.88</v>
      </c>
      <c r="H28" s="159">
        <v>3243</v>
      </c>
      <c r="I28" s="160">
        <v>1419822</v>
      </c>
      <c r="J28" s="163">
        <v>19175</v>
      </c>
      <c r="K28" s="158">
        <v>43472</v>
      </c>
      <c r="L28" s="160" t="s">
        <v>1173</v>
      </c>
      <c r="M28" s="160">
        <v>4615515804</v>
      </c>
      <c r="N28" s="158">
        <v>43490</v>
      </c>
      <c r="O28" s="164">
        <v>3.7612999999999999</v>
      </c>
      <c r="P28" s="165">
        <v>19927</v>
      </c>
      <c r="Q28" s="34">
        <f>SUMIF(Allocation[Delivery ID],Allocation[[#This Row],[Delivery ID]],Allocation[Quantity Processed])</f>
        <v>22415</v>
      </c>
      <c r="R28" s="61">
        <f>Allocation[[#This Row],[Total volume used]]/VLOOKUP(Allocation[[#This Row],[Delivery ID]],Delivery[[Delivery ID]:[Quantity delivered]],3,FALSE)</f>
        <v>0.71842948717948718</v>
      </c>
      <c r="S28" s="34">
        <f>Allocation[[#This Row],[Quantity Processed]]/Allocation[[#This Row],[Dilution rate]]</f>
        <v>3412.1527777777778</v>
      </c>
      <c r="T28" s="59">
        <f>SUMIF(Allocation[Delivery ID],Allocation[[#This Row],[Delivery ID]],Allocation[Quantity allocated])/SUMIF(Allocation[Delivery ID],Allocation[[#This Row],[Delivery ID]],Allocation[Volume available (kg)])</f>
        <v>0.95040642426946242</v>
      </c>
      <c r="U28" s="61">
        <f>Allocation[[#This Row],[Total volume used]]/VLOOKUP(Allocation[[#This Row],[Delivery ID]],Delivery[[Delivery ID]:[Quantity delivered]],3,FALSE)</f>
        <v>0.71842948717948718</v>
      </c>
      <c r="V28" s="34" t="e">
        <f>VLOOKUP(Allocation[[#This Row],[SAP Contract number]],Shipments[[SAP Contract number]:[Contracted container weight]],2,FALSE)</f>
        <v>#N/A</v>
      </c>
      <c r="W28" s="34" t="e">
        <f>VLOOKUP(Allocation[[#This Row],[SAP Contract number]],Shipments[[SAP Contract number]:[AAA Premium USD]],24,FALSE)</f>
        <v>#N/A</v>
      </c>
      <c r="X28" s="34" t="e">
        <f>VLOOKUP(Allocation[[#This Row],[SAP Contract number]],Shipments[[SAP Contract number]:[RA Premium USD]],25,FALSE)</f>
        <v>#N/A</v>
      </c>
      <c r="Y28" s="38">
        <f>Allocation[[#This Row],[Quantity Processed]]/Allocation[[#This Row],[Quantity allocated]]</f>
        <v>3.030218933086648</v>
      </c>
      <c r="Z28" s="34" t="b">
        <f>Allocation[[#This Row],[Quantity allocated]]&lt;=Allocation[[#This Row],[Quantity Processed]]</f>
        <v>1</v>
      </c>
    </row>
    <row r="29" spans="1:26">
      <c r="A29" s="247" t="s">
        <v>467</v>
      </c>
      <c r="B29" s="160" t="s">
        <v>68</v>
      </c>
      <c r="C29" s="249" t="s">
        <v>972</v>
      </c>
      <c r="D29" s="161">
        <v>12588</v>
      </c>
      <c r="E29" s="160" t="s">
        <v>1168</v>
      </c>
      <c r="F29" s="158">
        <v>43462</v>
      </c>
      <c r="G29" s="162">
        <v>2.88</v>
      </c>
      <c r="H29" s="159">
        <v>4154</v>
      </c>
      <c r="I29" s="160">
        <v>1419823</v>
      </c>
      <c r="J29" s="163">
        <v>19175</v>
      </c>
      <c r="K29" s="158">
        <v>43472</v>
      </c>
      <c r="L29" s="160" t="s">
        <v>1174</v>
      </c>
      <c r="M29" s="160">
        <v>4615515804</v>
      </c>
      <c r="N29" s="158">
        <v>43490</v>
      </c>
      <c r="O29" s="164">
        <v>3.7612999999999999</v>
      </c>
      <c r="P29" s="165">
        <v>19927</v>
      </c>
      <c r="Q29" s="34">
        <f>SUMIF(Allocation[Delivery ID],Allocation[[#This Row],[Delivery ID]],Allocation[Quantity Processed])</f>
        <v>22415</v>
      </c>
      <c r="R29" s="61">
        <f>Allocation[[#This Row],[Total volume used]]/VLOOKUP(Allocation[[#This Row],[Delivery ID]],Delivery[[Delivery ID]:[Quantity delivered]],3,FALSE)</f>
        <v>0.71842948717948718</v>
      </c>
      <c r="S29" s="34">
        <f>Allocation[[#This Row],[Quantity Processed]]/Allocation[[#This Row],[Dilution rate]]</f>
        <v>4370.8333333333339</v>
      </c>
      <c r="T29" s="59">
        <f>SUMIF(Allocation[Delivery ID],Allocation[[#This Row],[Delivery ID]],Allocation[Quantity allocated])/SUMIF(Allocation[Delivery ID],Allocation[[#This Row],[Delivery ID]],Allocation[Volume available (kg)])</f>
        <v>0.95040642426946242</v>
      </c>
      <c r="U29" s="61">
        <f>Allocation[[#This Row],[Total volume used]]/VLOOKUP(Allocation[[#This Row],[Delivery ID]],Delivery[[Delivery ID]:[Quantity delivered]],3,FALSE)</f>
        <v>0.71842948717948718</v>
      </c>
      <c r="V29" s="34" t="e">
        <f>VLOOKUP(Allocation[[#This Row],[SAP Contract number]],Shipments[[SAP Contract number]:[Contracted container weight]],2,FALSE)</f>
        <v>#N/A</v>
      </c>
      <c r="W29" s="34" t="e">
        <f>VLOOKUP(Allocation[[#This Row],[SAP Contract number]],Shipments[[SAP Contract number]:[AAA Premium USD]],24,FALSE)</f>
        <v>#N/A</v>
      </c>
      <c r="X29" s="34" t="e">
        <f>VLOOKUP(Allocation[[#This Row],[SAP Contract number]],Shipments[[SAP Contract number]:[RA Premium USD]],25,FALSE)</f>
        <v>#N/A</v>
      </c>
      <c r="Y29" s="38">
        <f>Allocation[[#This Row],[Quantity Processed]]/Allocation[[#This Row],[Quantity allocated]]</f>
        <v>3.0303322099181513</v>
      </c>
      <c r="Z29" s="34" t="b">
        <f>Allocation[[#This Row],[Quantity allocated]]&lt;=Allocation[[#This Row],[Quantity Processed]]</f>
        <v>1</v>
      </c>
    </row>
    <row r="30" spans="1:26">
      <c r="A30" s="247" t="s">
        <v>467</v>
      </c>
      <c r="B30" s="160" t="s">
        <v>68</v>
      </c>
      <c r="C30" s="249" t="s">
        <v>980</v>
      </c>
      <c r="D30" s="161">
        <v>22373</v>
      </c>
      <c r="E30" s="160" t="s">
        <v>1168</v>
      </c>
      <c r="F30" s="158">
        <v>43462</v>
      </c>
      <c r="G30" s="162">
        <v>2.88</v>
      </c>
      <c r="H30" s="159">
        <v>7383</v>
      </c>
      <c r="I30" s="160">
        <v>1419823</v>
      </c>
      <c r="J30" s="163">
        <v>19175</v>
      </c>
      <c r="K30" s="158">
        <v>43472</v>
      </c>
      <c r="L30" s="160" t="s">
        <v>1174</v>
      </c>
      <c r="M30" s="160">
        <v>4615515804</v>
      </c>
      <c r="N30" s="158">
        <v>43490</v>
      </c>
      <c r="O30" s="164">
        <v>3.7612999999999999</v>
      </c>
      <c r="P30" s="165">
        <v>19927</v>
      </c>
      <c r="Q30" s="34">
        <f>SUMIF(Allocation[Delivery ID],Allocation[[#This Row],[Delivery ID]],Allocation[Quantity Processed])</f>
        <v>22373</v>
      </c>
      <c r="R30" s="61">
        <f>Allocation[[#This Row],[Total volume used]]/VLOOKUP(Allocation[[#This Row],[Delivery ID]],Delivery[[Delivery ID]:[Quantity delivered]],3,FALSE)</f>
        <v>0.72170967741935488</v>
      </c>
      <c r="S30" s="34">
        <f>Allocation[[#This Row],[Quantity Processed]]/Allocation[[#This Row],[Dilution rate]]</f>
        <v>7768.4027777777783</v>
      </c>
      <c r="T30" s="59">
        <f>SUMIF(Allocation[Delivery ID],Allocation[[#This Row],[Delivery ID]],Allocation[Quantity allocated])/SUMIF(Allocation[Delivery ID],Allocation[[#This Row],[Delivery ID]],Allocation[Volume available (kg)])</f>
        <v>0.95038841460689216</v>
      </c>
      <c r="U30" s="61">
        <f>Allocation[[#This Row],[Total volume used]]/VLOOKUP(Allocation[[#This Row],[Delivery ID]],Delivery[[Delivery ID]:[Quantity delivered]],3,FALSE)</f>
        <v>0.72170967741935488</v>
      </c>
      <c r="V30" s="34" t="e">
        <f>VLOOKUP(Allocation[[#This Row],[SAP Contract number]],Shipments[[SAP Contract number]:[Contracted container weight]],2,FALSE)</f>
        <v>#N/A</v>
      </c>
      <c r="W30" s="34" t="e">
        <f>VLOOKUP(Allocation[[#This Row],[SAP Contract number]],Shipments[[SAP Contract number]:[AAA Premium USD]],24,FALSE)</f>
        <v>#N/A</v>
      </c>
      <c r="X30" s="34" t="e">
        <f>VLOOKUP(Allocation[[#This Row],[SAP Contract number]],Shipments[[SAP Contract number]:[RA Premium USD]],25,FALSE)</f>
        <v>#N/A</v>
      </c>
      <c r="Y30" s="38">
        <f>Allocation[[#This Row],[Quantity Processed]]/Allocation[[#This Row],[Quantity allocated]]</f>
        <v>3.030339970201815</v>
      </c>
      <c r="Z30" s="34" t="b">
        <f>Allocation[[#This Row],[Quantity allocated]]&lt;=Allocation[[#This Row],[Quantity Processed]]</f>
        <v>1</v>
      </c>
    </row>
    <row r="31" spans="1:26">
      <c r="A31" s="247" t="s">
        <v>467</v>
      </c>
      <c r="B31" s="160" t="s">
        <v>68</v>
      </c>
      <c r="C31" s="249" t="s">
        <v>981</v>
      </c>
      <c r="D31" s="161">
        <v>10042</v>
      </c>
      <c r="E31" s="160" t="s">
        <v>1168</v>
      </c>
      <c r="F31" s="158">
        <v>43462</v>
      </c>
      <c r="G31" s="162">
        <v>2.88</v>
      </c>
      <c r="H31" s="159">
        <v>3314</v>
      </c>
      <c r="I31" s="160">
        <v>1419823</v>
      </c>
      <c r="J31" s="163">
        <v>19175</v>
      </c>
      <c r="K31" s="158">
        <v>43472</v>
      </c>
      <c r="L31" s="160" t="s">
        <v>1174</v>
      </c>
      <c r="M31" s="160">
        <v>4615515804</v>
      </c>
      <c r="N31" s="158">
        <v>43490</v>
      </c>
      <c r="O31" s="164">
        <v>3.7612999999999999</v>
      </c>
      <c r="P31" s="165">
        <v>19927</v>
      </c>
      <c r="Q31" s="34">
        <f>SUMIF(Allocation[Delivery ID],Allocation[[#This Row],[Delivery ID]],Allocation[Quantity Processed])</f>
        <v>30430</v>
      </c>
      <c r="R31" s="61">
        <f>Allocation[[#This Row],[Total volume used]]/VLOOKUP(Allocation[[#This Row],[Delivery ID]],Delivery[[Delivery ID]:[Quantity delivered]],3,FALSE)</f>
        <v>1</v>
      </c>
      <c r="S31" s="34">
        <f>Allocation[[#This Row],[Quantity Processed]]/Allocation[[#This Row],[Dilution rate]]</f>
        <v>3486.8055555555557</v>
      </c>
      <c r="T31" s="59">
        <f>SUMIF(Allocation[Delivery ID],Allocation[[#This Row],[Delivery ID]],Allocation[Quantity allocated])/SUMIF(Allocation[Delivery ID],Allocation[[#This Row],[Delivery ID]],Allocation[Volume available (kg)])</f>
        <v>0.96235892467140538</v>
      </c>
      <c r="U31" s="61">
        <f>Allocation[[#This Row],[Total volume used]]/VLOOKUP(Allocation[[#This Row],[Delivery ID]],Delivery[[Delivery ID]:[Quantity delivered]],3,FALSE)</f>
        <v>1</v>
      </c>
      <c r="V31" s="34" t="e">
        <f>VLOOKUP(Allocation[[#This Row],[SAP Contract number]],Shipments[[SAP Contract number]:[Contracted container weight]],2,FALSE)</f>
        <v>#N/A</v>
      </c>
      <c r="W31" s="34" t="e">
        <f>VLOOKUP(Allocation[[#This Row],[SAP Contract number]],Shipments[[SAP Contract number]:[AAA Premium USD]],24,FALSE)</f>
        <v>#N/A</v>
      </c>
      <c r="X31" s="34" t="e">
        <f>VLOOKUP(Allocation[[#This Row],[SAP Contract number]],Shipments[[SAP Contract number]:[RA Premium USD]],25,FALSE)</f>
        <v>#N/A</v>
      </c>
      <c r="Y31" s="38">
        <f>Allocation[[#This Row],[Quantity Processed]]/Allocation[[#This Row],[Quantity allocated]]</f>
        <v>3.0301750150875075</v>
      </c>
      <c r="Z31" s="34" t="b">
        <f>Allocation[[#This Row],[Quantity allocated]]&lt;=Allocation[[#This Row],[Quantity Processed]]</f>
        <v>1</v>
      </c>
    </row>
    <row r="32" spans="1:26">
      <c r="A32" s="247" t="s">
        <v>467</v>
      </c>
      <c r="B32" s="160" t="s">
        <v>68</v>
      </c>
      <c r="C32" s="249" t="s">
        <v>983</v>
      </c>
      <c r="D32" s="161">
        <v>10042</v>
      </c>
      <c r="E32" s="160" t="s">
        <v>1168</v>
      </c>
      <c r="F32" s="158">
        <v>43462</v>
      </c>
      <c r="G32" s="162">
        <v>2.88</v>
      </c>
      <c r="H32" s="159">
        <v>3314</v>
      </c>
      <c r="I32" s="160">
        <v>1419823</v>
      </c>
      <c r="J32" s="163">
        <v>19175</v>
      </c>
      <c r="K32" s="158">
        <v>43472</v>
      </c>
      <c r="L32" s="160" t="s">
        <v>1174</v>
      </c>
      <c r="M32" s="160">
        <v>4615515804</v>
      </c>
      <c r="N32" s="158">
        <v>43490</v>
      </c>
      <c r="O32" s="164">
        <v>3.7612999999999999</v>
      </c>
      <c r="P32" s="165">
        <v>19927</v>
      </c>
      <c r="Q32" s="34">
        <f>SUMIF(Allocation[Delivery ID],Allocation[[#This Row],[Delivery ID]],Allocation[Quantity Processed])</f>
        <v>30130</v>
      </c>
      <c r="R32" s="61">
        <f>Allocation[[#This Row],[Total volume used]]/VLOOKUP(Allocation[[#This Row],[Delivery ID]],Delivery[[Delivery ID]:[Quantity delivered]],3,FALSE)</f>
        <v>1</v>
      </c>
      <c r="S32" s="34">
        <f>Allocation[[#This Row],[Quantity Processed]]/Allocation[[#This Row],[Dilution rate]]</f>
        <v>3486.8055555555557</v>
      </c>
      <c r="T32" s="59">
        <f>SUMIF(Allocation[Delivery ID],Allocation[[#This Row],[Delivery ID]],Allocation[Quantity allocated])/SUMIF(Allocation[Delivery ID],Allocation[[#This Row],[Delivery ID]],Allocation[Volume available (kg)])</f>
        <v>0.96608471696275622</v>
      </c>
      <c r="U32" s="61">
        <f>Allocation[[#This Row],[Total volume used]]/VLOOKUP(Allocation[[#This Row],[Delivery ID]],Delivery[[Delivery ID]:[Quantity delivered]],3,FALSE)</f>
        <v>1</v>
      </c>
      <c r="V32" s="34" t="e">
        <f>VLOOKUP(Allocation[[#This Row],[SAP Contract number]],Shipments[[SAP Contract number]:[Contracted container weight]],2,FALSE)</f>
        <v>#N/A</v>
      </c>
      <c r="W32" s="34" t="e">
        <f>VLOOKUP(Allocation[[#This Row],[SAP Contract number]],Shipments[[SAP Contract number]:[AAA Premium USD]],24,FALSE)</f>
        <v>#N/A</v>
      </c>
      <c r="X32" s="34" t="e">
        <f>VLOOKUP(Allocation[[#This Row],[SAP Contract number]],Shipments[[SAP Contract number]:[RA Premium USD]],25,FALSE)</f>
        <v>#N/A</v>
      </c>
      <c r="Y32" s="38">
        <f>Allocation[[#This Row],[Quantity Processed]]/Allocation[[#This Row],[Quantity allocated]]</f>
        <v>3.0301750150875075</v>
      </c>
      <c r="Z32" s="34" t="b">
        <f>Allocation[[#This Row],[Quantity allocated]]&lt;=Allocation[[#This Row],[Quantity Processed]]</f>
        <v>1</v>
      </c>
    </row>
    <row r="33" spans="1:26">
      <c r="A33" s="247" t="s">
        <v>467</v>
      </c>
      <c r="B33" s="160" t="s">
        <v>68</v>
      </c>
      <c r="C33" s="249" t="s">
        <v>993</v>
      </c>
      <c r="D33" s="161">
        <v>3060</v>
      </c>
      <c r="E33" s="160" t="s">
        <v>1168</v>
      </c>
      <c r="F33" s="158">
        <v>43462</v>
      </c>
      <c r="G33" s="162">
        <v>2.88</v>
      </c>
      <c r="H33" s="159">
        <v>1010</v>
      </c>
      <c r="I33" s="160">
        <v>1419823</v>
      </c>
      <c r="J33" s="163">
        <v>19175</v>
      </c>
      <c r="K33" s="158">
        <v>43472</v>
      </c>
      <c r="L33" s="160" t="s">
        <v>1174</v>
      </c>
      <c r="M33" s="160">
        <v>4615515804</v>
      </c>
      <c r="N33" s="158">
        <v>43490</v>
      </c>
      <c r="O33" s="164">
        <v>3.7612999999999999</v>
      </c>
      <c r="P33" s="165">
        <v>19927</v>
      </c>
      <c r="Q33" s="34">
        <f>SUMIF(Allocation[Delivery ID],Allocation[[#This Row],[Delivery ID]],Allocation[Quantity Processed])</f>
        <v>29220</v>
      </c>
      <c r="R33" s="61">
        <f>Allocation[[#This Row],[Total volume used]]/VLOOKUP(Allocation[[#This Row],[Delivery ID]],Delivery[[Delivery ID]:[Quantity delivered]],3,FALSE)</f>
        <v>1</v>
      </c>
      <c r="S33" s="34">
        <f>Allocation[[#This Row],[Quantity Processed]]/Allocation[[#This Row],[Dilution rate]]</f>
        <v>1062.5</v>
      </c>
      <c r="T33" s="59">
        <f>SUMIF(Allocation[Delivery ID],Allocation[[#This Row],[Delivery ID]],Allocation[Quantity allocated])/SUMIF(Allocation[Delivery ID],Allocation[[#This Row],[Delivery ID]],Allocation[Volume available (kg)])</f>
        <v>0.96628873897445777</v>
      </c>
      <c r="U33" s="61">
        <f>Allocation[[#This Row],[Total volume used]]/VLOOKUP(Allocation[[#This Row],[Delivery ID]],Delivery[[Delivery ID]:[Quantity delivered]],3,FALSE)</f>
        <v>1</v>
      </c>
      <c r="V33" s="34" t="e">
        <f>VLOOKUP(Allocation[[#This Row],[SAP Contract number]],Shipments[[SAP Contract number]:[Contracted container weight]],2,FALSE)</f>
        <v>#N/A</v>
      </c>
      <c r="W33" s="34" t="e">
        <f>VLOOKUP(Allocation[[#This Row],[SAP Contract number]],Shipments[[SAP Contract number]:[AAA Premium USD]],24,FALSE)</f>
        <v>#N/A</v>
      </c>
      <c r="X33" s="34" t="e">
        <f>VLOOKUP(Allocation[[#This Row],[SAP Contract number]],Shipments[[SAP Contract number]:[RA Premium USD]],25,FALSE)</f>
        <v>#N/A</v>
      </c>
      <c r="Y33" s="38">
        <f>Allocation[[#This Row],[Quantity Processed]]/Allocation[[#This Row],[Quantity allocated]]</f>
        <v>3.0297029702970297</v>
      </c>
      <c r="Z33" s="34" t="b">
        <f>Allocation[[#This Row],[Quantity allocated]]&lt;=Allocation[[#This Row],[Quantity Processed]]</f>
        <v>1</v>
      </c>
    </row>
    <row r="34" spans="1:26">
      <c r="A34" s="247" t="s">
        <v>467</v>
      </c>
      <c r="B34" s="160" t="s">
        <v>68</v>
      </c>
      <c r="C34" s="249" t="s">
        <v>993</v>
      </c>
      <c r="D34" s="161">
        <v>6982</v>
      </c>
      <c r="E34" s="160" t="s">
        <v>1168</v>
      </c>
      <c r="F34" s="158">
        <v>43462</v>
      </c>
      <c r="G34" s="162">
        <v>2.88</v>
      </c>
      <c r="H34" s="159">
        <v>2304</v>
      </c>
      <c r="I34" s="160">
        <v>1419824</v>
      </c>
      <c r="J34" s="163">
        <v>19175</v>
      </c>
      <c r="K34" s="158">
        <v>43472</v>
      </c>
      <c r="L34" s="160" t="s">
        <v>1175</v>
      </c>
      <c r="M34" s="160">
        <v>4615515804</v>
      </c>
      <c r="N34" s="158">
        <v>43490</v>
      </c>
      <c r="O34" s="164">
        <v>3.7612999999999999</v>
      </c>
      <c r="P34" s="165">
        <v>19927</v>
      </c>
      <c r="Q34" s="34">
        <f>SUMIF(Allocation[Delivery ID],Allocation[[#This Row],[Delivery ID]],Allocation[Quantity Processed])</f>
        <v>29220</v>
      </c>
      <c r="R34" s="61">
        <f>Allocation[[#This Row],[Total volume used]]/VLOOKUP(Allocation[[#This Row],[Delivery ID]],Delivery[[Delivery ID]:[Quantity delivered]],3,FALSE)</f>
        <v>1</v>
      </c>
      <c r="S34" s="34">
        <f>Allocation[[#This Row],[Quantity Processed]]/Allocation[[#This Row],[Dilution rate]]</f>
        <v>2424.3055555555557</v>
      </c>
      <c r="T34" s="59">
        <f>SUMIF(Allocation[Delivery ID],Allocation[[#This Row],[Delivery ID]],Allocation[Quantity allocated])/SUMIF(Allocation[Delivery ID],Allocation[[#This Row],[Delivery ID]],Allocation[Volume available (kg)])</f>
        <v>0.96628873897445777</v>
      </c>
      <c r="U34" s="61">
        <f>Allocation[[#This Row],[Total volume used]]/VLOOKUP(Allocation[[#This Row],[Delivery ID]],Delivery[[Delivery ID]:[Quantity delivered]],3,FALSE)</f>
        <v>1</v>
      </c>
      <c r="V34" s="34" t="e">
        <f>VLOOKUP(Allocation[[#This Row],[SAP Contract number]],Shipments[[SAP Contract number]:[Contracted container weight]],2,FALSE)</f>
        <v>#N/A</v>
      </c>
      <c r="W34" s="34" t="e">
        <f>VLOOKUP(Allocation[[#This Row],[SAP Contract number]],Shipments[[SAP Contract number]:[AAA Premium USD]],24,FALSE)</f>
        <v>#N/A</v>
      </c>
      <c r="X34" s="34" t="e">
        <f>VLOOKUP(Allocation[[#This Row],[SAP Contract number]],Shipments[[SAP Contract number]:[RA Premium USD]],25,FALSE)</f>
        <v>#N/A</v>
      </c>
      <c r="Y34" s="38">
        <f>Allocation[[#This Row],[Quantity Processed]]/Allocation[[#This Row],[Quantity allocated]]</f>
        <v>3.0303819444444446</v>
      </c>
      <c r="Z34" s="34" t="b">
        <f>Allocation[[#This Row],[Quantity allocated]]&lt;=Allocation[[#This Row],[Quantity Processed]]</f>
        <v>1</v>
      </c>
    </row>
    <row r="35" spans="1:26">
      <c r="A35" s="247" t="s">
        <v>467</v>
      </c>
      <c r="B35" s="160" t="s">
        <v>68</v>
      </c>
      <c r="C35" s="249" t="s">
        <v>994</v>
      </c>
      <c r="D35" s="161">
        <v>1370</v>
      </c>
      <c r="E35" s="160" t="s">
        <v>1168</v>
      </c>
      <c r="F35" s="158">
        <v>43462</v>
      </c>
      <c r="G35" s="162">
        <v>2.88</v>
      </c>
      <c r="H35" s="159">
        <v>411</v>
      </c>
      <c r="I35" s="160">
        <v>1419824</v>
      </c>
      <c r="J35" s="163">
        <v>19175</v>
      </c>
      <c r="K35" s="158">
        <v>43472</v>
      </c>
      <c r="L35" s="160" t="s">
        <v>1175</v>
      </c>
      <c r="M35" s="160">
        <v>4615515804</v>
      </c>
      <c r="N35" s="158">
        <v>43490</v>
      </c>
      <c r="O35" s="164">
        <v>3.7612999999999999</v>
      </c>
      <c r="P35" s="165">
        <v>19927</v>
      </c>
      <c r="Q35" s="34">
        <f>SUMIF(Allocation[Delivery ID],Allocation[[#This Row],[Delivery ID]],Allocation[Quantity Processed])</f>
        <v>1370</v>
      </c>
      <c r="R35" s="61">
        <f>Allocation[[#This Row],[Total volume used]]/VLOOKUP(Allocation[[#This Row],[Delivery ID]],Delivery[[Delivery ID]:[Quantity delivered]],3,FALSE)</f>
        <v>0.37248504622077216</v>
      </c>
      <c r="S35" s="34">
        <f>Allocation[[#This Row],[Quantity Processed]]/Allocation[[#This Row],[Dilution rate]]</f>
        <v>475.69444444444446</v>
      </c>
      <c r="T35" s="59">
        <f>SUMIF(Allocation[Delivery ID],Allocation[[#This Row],[Delivery ID]],Allocation[Quantity allocated])/SUMIF(Allocation[Delivery ID],Allocation[[#This Row],[Delivery ID]],Allocation[Volume available (kg)])</f>
        <v>0.86399999999999999</v>
      </c>
      <c r="U35" s="61">
        <f>Allocation[[#This Row],[Total volume used]]/VLOOKUP(Allocation[[#This Row],[Delivery ID]],Delivery[[Delivery ID]:[Quantity delivered]],3,FALSE)</f>
        <v>0.37248504622077216</v>
      </c>
      <c r="V35" s="34" t="e">
        <f>VLOOKUP(Allocation[[#This Row],[SAP Contract number]],Shipments[[SAP Contract number]:[Contracted container weight]],2,FALSE)</f>
        <v>#N/A</v>
      </c>
      <c r="W35" s="34" t="e">
        <f>VLOOKUP(Allocation[[#This Row],[SAP Contract number]],Shipments[[SAP Contract number]:[AAA Premium USD]],24,FALSE)</f>
        <v>#N/A</v>
      </c>
      <c r="X35" s="34" t="e">
        <f>VLOOKUP(Allocation[[#This Row],[SAP Contract number]],Shipments[[SAP Contract number]:[RA Premium USD]],25,FALSE)</f>
        <v>#N/A</v>
      </c>
      <c r="Y35" s="38">
        <f>Allocation[[#This Row],[Quantity Processed]]/Allocation[[#This Row],[Quantity allocated]]</f>
        <v>3.3333333333333335</v>
      </c>
      <c r="Z35" s="34" t="b">
        <f>Allocation[[#This Row],[Quantity allocated]]&lt;=Allocation[[#This Row],[Quantity Processed]]</f>
        <v>1</v>
      </c>
    </row>
    <row r="36" spans="1:26">
      <c r="A36" s="247" t="s">
        <v>467</v>
      </c>
      <c r="B36" s="160" t="s">
        <v>68</v>
      </c>
      <c r="C36" s="249" t="s">
        <v>995</v>
      </c>
      <c r="D36" s="161">
        <v>4153</v>
      </c>
      <c r="E36" s="160" t="s">
        <v>1168</v>
      </c>
      <c r="F36" s="158">
        <v>43462</v>
      </c>
      <c r="G36" s="162">
        <v>2.88</v>
      </c>
      <c r="H36" s="159">
        <v>1246</v>
      </c>
      <c r="I36" s="160">
        <v>1419824</v>
      </c>
      <c r="J36" s="163">
        <v>19175</v>
      </c>
      <c r="K36" s="158">
        <v>43472</v>
      </c>
      <c r="L36" s="160" t="s">
        <v>1175</v>
      </c>
      <c r="M36" s="160">
        <v>4615515804</v>
      </c>
      <c r="N36" s="158">
        <v>43490</v>
      </c>
      <c r="O36" s="164">
        <v>3.7612999999999999</v>
      </c>
      <c r="P36" s="165">
        <v>19927</v>
      </c>
      <c r="Q36" s="34">
        <f>SUMIF(Allocation[Delivery ID],Allocation[[#This Row],[Delivery ID]],Allocation[Quantity Processed])</f>
        <v>4153</v>
      </c>
      <c r="R36" s="61">
        <f>Allocation[[#This Row],[Total volume used]]/VLOOKUP(Allocation[[#This Row],[Delivery ID]],Delivery[[Delivery ID]:[Quantity delivered]],3,FALSE)</f>
        <v>0.37234948670820817</v>
      </c>
      <c r="S36" s="34">
        <f>Allocation[[#This Row],[Quantity Processed]]/Allocation[[#This Row],[Dilution rate]]</f>
        <v>1442.0138888888889</v>
      </c>
      <c r="T36" s="59">
        <f>SUMIF(Allocation[Delivery ID],Allocation[[#This Row],[Delivery ID]],Allocation[Quantity allocated])/SUMIF(Allocation[Delivery ID],Allocation[[#This Row],[Delivery ID]],Allocation[Volume available (kg)])</f>
        <v>0.86406934745966768</v>
      </c>
      <c r="U36" s="61">
        <f>Allocation[[#This Row],[Total volume used]]/VLOOKUP(Allocation[[#This Row],[Delivery ID]],Delivery[[Delivery ID]:[Quantity delivered]],3,FALSE)</f>
        <v>0.37234948670820817</v>
      </c>
      <c r="V36" s="34" t="e">
        <f>VLOOKUP(Allocation[[#This Row],[SAP Contract number]],Shipments[[SAP Contract number]:[Contracted container weight]],2,FALSE)</f>
        <v>#N/A</v>
      </c>
      <c r="W36" s="34" t="e">
        <f>VLOOKUP(Allocation[[#This Row],[SAP Contract number]],Shipments[[SAP Contract number]:[AAA Premium USD]],24,FALSE)</f>
        <v>#N/A</v>
      </c>
      <c r="X36" s="34" t="e">
        <f>VLOOKUP(Allocation[[#This Row],[SAP Contract number]],Shipments[[SAP Contract number]:[RA Premium USD]],25,FALSE)</f>
        <v>#N/A</v>
      </c>
      <c r="Y36" s="38">
        <f>Allocation[[#This Row],[Quantity Processed]]/Allocation[[#This Row],[Quantity allocated]]</f>
        <v>3.3330658105939004</v>
      </c>
      <c r="Z36" s="34" t="b">
        <f>Allocation[[#This Row],[Quantity allocated]]&lt;=Allocation[[#This Row],[Quantity Processed]]</f>
        <v>1</v>
      </c>
    </row>
    <row r="37" spans="1:26">
      <c r="A37" s="247" t="s">
        <v>467</v>
      </c>
      <c r="B37" s="160" t="s">
        <v>68</v>
      </c>
      <c r="C37" s="249" t="s">
        <v>998</v>
      </c>
      <c r="D37" s="161">
        <v>10042</v>
      </c>
      <c r="E37" s="160" t="s">
        <v>1168</v>
      </c>
      <c r="F37" s="158">
        <v>43462</v>
      </c>
      <c r="G37" s="162">
        <v>2.88</v>
      </c>
      <c r="H37" s="159">
        <v>3314</v>
      </c>
      <c r="I37" s="160">
        <v>1419824</v>
      </c>
      <c r="J37" s="163">
        <v>19175</v>
      </c>
      <c r="K37" s="158">
        <v>43472</v>
      </c>
      <c r="L37" s="160" t="s">
        <v>1175</v>
      </c>
      <c r="M37" s="160">
        <v>4615515804</v>
      </c>
      <c r="N37" s="158">
        <v>43490</v>
      </c>
      <c r="O37" s="164">
        <v>3.7612999999999999</v>
      </c>
      <c r="P37" s="165">
        <v>19927</v>
      </c>
      <c r="Q37" s="34">
        <f>SUMIF(Allocation[Delivery ID],Allocation[[#This Row],[Delivery ID]],Allocation[Quantity Processed])</f>
        <v>30300</v>
      </c>
      <c r="R37" s="61">
        <f>Allocation[[#This Row],[Total volume used]]/VLOOKUP(Allocation[[#This Row],[Delivery ID]],Delivery[[Delivery ID]:[Quantity delivered]],3,FALSE)</f>
        <v>1</v>
      </c>
      <c r="S37" s="34">
        <f>Allocation[[#This Row],[Quantity Processed]]/Allocation[[#This Row],[Dilution rate]]</f>
        <v>3486.8055555555557</v>
      </c>
      <c r="T37" s="59">
        <f>SUMIF(Allocation[Delivery ID],Allocation[[#This Row],[Delivery ID]],Allocation[Quantity allocated])/SUMIF(Allocation[Delivery ID],Allocation[[#This Row],[Delivery ID]],Allocation[Volume available (kg)])</f>
        <v>0.96646423619142252</v>
      </c>
      <c r="U37" s="61">
        <f>Allocation[[#This Row],[Total volume used]]/VLOOKUP(Allocation[[#This Row],[Delivery ID]],Delivery[[Delivery ID]:[Quantity delivered]],3,FALSE)</f>
        <v>1</v>
      </c>
      <c r="V37" s="34" t="e">
        <f>VLOOKUP(Allocation[[#This Row],[SAP Contract number]],Shipments[[SAP Contract number]:[Contracted container weight]],2,FALSE)</f>
        <v>#N/A</v>
      </c>
      <c r="W37" s="34" t="e">
        <f>VLOOKUP(Allocation[[#This Row],[SAP Contract number]],Shipments[[SAP Contract number]:[AAA Premium USD]],24,FALSE)</f>
        <v>#N/A</v>
      </c>
      <c r="X37" s="34" t="e">
        <f>VLOOKUP(Allocation[[#This Row],[SAP Contract number]],Shipments[[SAP Contract number]:[RA Premium USD]],25,FALSE)</f>
        <v>#N/A</v>
      </c>
      <c r="Y37" s="38">
        <f>Allocation[[#This Row],[Quantity Processed]]/Allocation[[#This Row],[Quantity allocated]]</f>
        <v>3.0301750150875075</v>
      </c>
      <c r="Z37" s="34" t="b">
        <f>Allocation[[#This Row],[Quantity allocated]]&lt;=Allocation[[#This Row],[Quantity Processed]]</f>
        <v>1</v>
      </c>
    </row>
    <row r="38" spans="1:26">
      <c r="A38" s="247" t="s">
        <v>467</v>
      </c>
      <c r="B38" s="160" t="s">
        <v>68</v>
      </c>
      <c r="C38" s="249" t="s">
        <v>999</v>
      </c>
      <c r="D38" s="161">
        <v>10042</v>
      </c>
      <c r="E38" s="160" t="s">
        <v>1168</v>
      </c>
      <c r="F38" s="158">
        <v>43462</v>
      </c>
      <c r="G38" s="162">
        <v>2.88</v>
      </c>
      <c r="H38" s="159">
        <v>3314</v>
      </c>
      <c r="I38" s="160">
        <v>1419824</v>
      </c>
      <c r="J38" s="163">
        <v>19175</v>
      </c>
      <c r="K38" s="158">
        <v>43472</v>
      </c>
      <c r="L38" s="160" t="s">
        <v>1175</v>
      </c>
      <c r="M38" s="160">
        <v>4615515804</v>
      </c>
      <c r="N38" s="158">
        <v>43490</v>
      </c>
      <c r="O38" s="164">
        <v>3.7612999999999999</v>
      </c>
      <c r="P38" s="165">
        <v>19927</v>
      </c>
      <c r="Q38" s="34">
        <f>SUMIF(Allocation[Delivery ID],Allocation[[#This Row],[Delivery ID]],Allocation[Quantity Processed])</f>
        <v>29980</v>
      </c>
      <c r="R38" s="61">
        <f>Allocation[[#This Row],[Total volume used]]/VLOOKUP(Allocation[[#This Row],[Delivery ID]],Delivery[[Delivery ID]:[Quantity delivered]],3,FALSE)</f>
        <v>1</v>
      </c>
      <c r="S38" s="34">
        <f>Allocation[[#This Row],[Quantity Processed]]/Allocation[[#This Row],[Dilution rate]]</f>
        <v>3486.8055555555557</v>
      </c>
      <c r="T38" s="59">
        <f>SUMIF(Allocation[Delivery ID],Allocation[[#This Row],[Delivery ID]],Allocation[Quantity allocated])/SUMIF(Allocation[Delivery ID],Allocation[[#This Row],[Delivery ID]],Allocation[Volume available (kg)])</f>
        <v>0.96506041027353484</v>
      </c>
      <c r="U38" s="61">
        <f>Allocation[[#This Row],[Total volume used]]/VLOOKUP(Allocation[[#This Row],[Delivery ID]],Delivery[[Delivery ID]:[Quantity delivered]],3,FALSE)</f>
        <v>1</v>
      </c>
      <c r="V38" s="34" t="e">
        <f>VLOOKUP(Allocation[[#This Row],[SAP Contract number]],Shipments[[SAP Contract number]:[Contracted container weight]],2,FALSE)</f>
        <v>#N/A</v>
      </c>
      <c r="W38" s="34" t="e">
        <f>VLOOKUP(Allocation[[#This Row],[SAP Contract number]],Shipments[[SAP Contract number]:[AAA Premium USD]],24,FALSE)</f>
        <v>#N/A</v>
      </c>
      <c r="X38" s="34" t="e">
        <f>VLOOKUP(Allocation[[#This Row],[SAP Contract number]],Shipments[[SAP Contract number]:[RA Premium USD]],25,FALSE)</f>
        <v>#N/A</v>
      </c>
      <c r="Y38" s="38">
        <f>Allocation[[#This Row],[Quantity Processed]]/Allocation[[#This Row],[Quantity allocated]]</f>
        <v>3.0301750150875075</v>
      </c>
      <c r="Z38" s="34" t="b">
        <f>Allocation[[#This Row],[Quantity allocated]]&lt;=Allocation[[#This Row],[Quantity Processed]]</f>
        <v>1</v>
      </c>
    </row>
    <row r="39" spans="1:26">
      <c r="A39" s="247" t="s">
        <v>467</v>
      </c>
      <c r="B39" s="160" t="s">
        <v>68</v>
      </c>
      <c r="C39" s="249" t="s">
        <v>1008</v>
      </c>
      <c r="D39" s="161">
        <v>9164</v>
      </c>
      <c r="E39" s="160" t="s">
        <v>1168</v>
      </c>
      <c r="F39" s="158">
        <v>43462</v>
      </c>
      <c r="G39" s="162">
        <v>2.88</v>
      </c>
      <c r="H39" s="159">
        <v>4124</v>
      </c>
      <c r="I39" s="160">
        <v>1419824</v>
      </c>
      <c r="J39" s="163">
        <v>19175</v>
      </c>
      <c r="K39" s="158">
        <v>43472</v>
      </c>
      <c r="L39" s="160" t="s">
        <v>1175</v>
      </c>
      <c r="M39" s="160">
        <v>4615515804</v>
      </c>
      <c r="N39" s="158">
        <v>43490</v>
      </c>
      <c r="O39" s="164">
        <v>3.7612999999999999</v>
      </c>
      <c r="P39" s="165">
        <v>19927</v>
      </c>
      <c r="Q39" s="34">
        <f>SUMIF(Allocation[Delivery ID],Allocation[[#This Row],[Delivery ID]],Allocation[Quantity Processed])</f>
        <v>31840</v>
      </c>
      <c r="R39" s="61">
        <f>Allocation[[#This Row],[Total volume used]]/VLOOKUP(Allocation[[#This Row],[Delivery ID]],Delivery[[Delivery ID]:[Quantity delivered]],3,FALSE)</f>
        <v>1</v>
      </c>
      <c r="S39" s="34">
        <f>Allocation[[#This Row],[Quantity Processed]]/Allocation[[#This Row],[Dilution rate]]</f>
        <v>3181.9444444444443</v>
      </c>
      <c r="T39" s="59">
        <f>SUMIF(Allocation[Delivery ID],Allocation[[#This Row],[Delivery ID]],Allocation[Quantity allocated])/SUMIF(Allocation[Delivery ID],Allocation[[#This Row],[Delivery ID]],Allocation[Volume available (kg)])</f>
        <v>1.3166143315675141</v>
      </c>
      <c r="U39" s="61">
        <f>Allocation[[#This Row],[Total volume used]]/VLOOKUP(Allocation[[#This Row],[Delivery ID]],Delivery[[Delivery ID]:[Quantity delivered]],3,FALSE)</f>
        <v>1</v>
      </c>
      <c r="V39" s="34" t="e">
        <f>VLOOKUP(Allocation[[#This Row],[SAP Contract number]],Shipments[[SAP Contract number]:[Contracted container weight]],2,FALSE)</f>
        <v>#N/A</v>
      </c>
      <c r="W39" s="34" t="e">
        <f>VLOOKUP(Allocation[[#This Row],[SAP Contract number]],Shipments[[SAP Contract number]:[AAA Premium USD]],24,FALSE)</f>
        <v>#N/A</v>
      </c>
      <c r="X39" s="34" t="e">
        <f>VLOOKUP(Allocation[[#This Row],[SAP Contract number]],Shipments[[SAP Contract number]:[RA Premium USD]],25,FALSE)</f>
        <v>#N/A</v>
      </c>
      <c r="Y39" s="38">
        <f>Allocation[[#This Row],[Quantity Processed]]/Allocation[[#This Row],[Quantity allocated]]</f>
        <v>2.2221144519883609</v>
      </c>
      <c r="Z39" s="34" t="b">
        <f>Allocation[[#This Row],[Quantity allocated]]&lt;=Allocation[[#This Row],[Quantity Processed]]</f>
        <v>1</v>
      </c>
    </row>
    <row r="40" spans="1:26">
      <c r="A40" s="247" t="s">
        <v>467</v>
      </c>
      <c r="B40" s="160" t="s">
        <v>68</v>
      </c>
      <c r="C40" s="249" t="s">
        <v>1017</v>
      </c>
      <c r="D40" s="161">
        <v>14873</v>
      </c>
      <c r="E40" s="160" t="s">
        <v>1168</v>
      </c>
      <c r="F40" s="158">
        <v>43462</v>
      </c>
      <c r="G40" s="162">
        <v>2.88</v>
      </c>
      <c r="H40" s="159">
        <v>4462</v>
      </c>
      <c r="I40" s="160">
        <v>1419824</v>
      </c>
      <c r="J40" s="163">
        <v>19175</v>
      </c>
      <c r="K40" s="158">
        <v>43472</v>
      </c>
      <c r="L40" s="160" t="s">
        <v>1175</v>
      </c>
      <c r="M40" s="160">
        <v>4615515804</v>
      </c>
      <c r="N40" s="158">
        <v>43490</v>
      </c>
      <c r="O40" s="164">
        <v>3.7612999999999999</v>
      </c>
      <c r="P40" s="165">
        <v>19927</v>
      </c>
      <c r="Q40" s="34">
        <f>SUMIF(Allocation[Delivery ID],Allocation[[#This Row],[Delivery ID]],Allocation[Quantity Processed])</f>
        <v>37820</v>
      </c>
      <c r="R40" s="61">
        <f>Allocation[[#This Row],[Total volume used]]/VLOOKUP(Allocation[[#This Row],[Delivery ID]],Delivery[[Delivery ID]:[Quantity delivered]],3,FALSE)</f>
        <v>1</v>
      </c>
      <c r="S40" s="34">
        <f>Allocation[[#This Row],[Quantity Processed]]/Allocation[[#This Row],[Dilution rate]]</f>
        <v>5164.2361111111113</v>
      </c>
      <c r="T40" s="59">
        <f>SUMIF(Allocation[Delivery ID],Allocation[[#This Row],[Delivery ID]],Allocation[Quantity allocated])/SUMIF(Allocation[Delivery ID],Allocation[[#This Row],[Delivery ID]],Allocation[Volume available (kg)])</f>
        <v>0.8720713987603268</v>
      </c>
      <c r="U40" s="61">
        <f>Allocation[[#This Row],[Total volume used]]/VLOOKUP(Allocation[[#This Row],[Delivery ID]],Delivery[[Delivery ID]:[Quantity delivered]],3,FALSE)</f>
        <v>1</v>
      </c>
      <c r="V40" s="34" t="e">
        <f>VLOOKUP(Allocation[[#This Row],[SAP Contract number]],Shipments[[SAP Contract number]:[Contracted container weight]],2,FALSE)</f>
        <v>#N/A</v>
      </c>
      <c r="W40" s="34" t="e">
        <f>VLOOKUP(Allocation[[#This Row],[SAP Contract number]],Shipments[[SAP Contract number]:[AAA Premium USD]],24,FALSE)</f>
        <v>#N/A</v>
      </c>
      <c r="X40" s="34" t="e">
        <f>VLOOKUP(Allocation[[#This Row],[SAP Contract number]],Shipments[[SAP Contract number]:[RA Premium USD]],25,FALSE)</f>
        <v>#N/A</v>
      </c>
      <c r="Y40" s="38">
        <f>Allocation[[#This Row],[Quantity Processed]]/Allocation[[#This Row],[Quantity allocated]]</f>
        <v>3.3332586284177497</v>
      </c>
      <c r="Z40" s="34" t="b">
        <f>Allocation[[#This Row],[Quantity allocated]]&lt;=Allocation[[#This Row],[Quantity Processed]]</f>
        <v>1</v>
      </c>
    </row>
    <row r="41" spans="1:26">
      <c r="A41" s="247" t="s">
        <v>467</v>
      </c>
      <c r="B41" s="160" t="s">
        <v>68</v>
      </c>
      <c r="C41" s="249" t="s">
        <v>1017</v>
      </c>
      <c r="D41" s="161">
        <v>1467</v>
      </c>
      <c r="E41" s="160" t="s">
        <v>1168</v>
      </c>
      <c r="F41" s="158">
        <v>43462</v>
      </c>
      <c r="G41" s="162">
        <v>2.88</v>
      </c>
      <c r="H41" s="159">
        <v>440</v>
      </c>
      <c r="I41" s="160">
        <v>1419825</v>
      </c>
      <c r="J41" s="163">
        <v>19175</v>
      </c>
      <c r="K41" s="158">
        <v>43472</v>
      </c>
      <c r="L41" s="160" t="s">
        <v>1176</v>
      </c>
      <c r="M41" s="160">
        <v>4615515804</v>
      </c>
      <c r="N41" s="158">
        <v>43490</v>
      </c>
      <c r="O41" s="164">
        <v>3.7612999999999999</v>
      </c>
      <c r="P41" s="165">
        <v>19927</v>
      </c>
      <c r="Q41" s="34">
        <f>SUMIF(Allocation[Delivery ID],Allocation[[#This Row],[Delivery ID]],Allocation[Quantity Processed])</f>
        <v>37820</v>
      </c>
      <c r="R41" s="61">
        <f>Allocation[[#This Row],[Total volume used]]/VLOOKUP(Allocation[[#This Row],[Delivery ID]],Delivery[[Delivery ID]:[Quantity delivered]],3,FALSE)</f>
        <v>1</v>
      </c>
      <c r="S41" s="34">
        <f>Allocation[[#This Row],[Quantity Processed]]/Allocation[[#This Row],[Dilution rate]]</f>
        <v>509.375</v>
      </c>
      <c r="T41" s="59">
        <f>SUMIF(Allocation[Delivery ID],Allocation[[#This Row],[Delivery ID]],Allocation[Quantity allocated])/SUMIF(Allocation[Delivery ID],Allocation[[#This Row],[Delivery ID]],Allocation[Volume available (kg)])</f>
        <v>0.8720713987603268</v>
      </c>
      <c r="U41" s="61">
        <f>Allocation[[#This Row],[Total volume used]]/VLOOKUP(Allocation[[#This Row],[Delivery ID]],Delivery[[Delivery ID]:[Quantity delivered]],3,FALSE)</f>
        <v>1</v>
      </c>
      <c r="V41" s="34" t="e">
        <f>VLOOKUP(Allocation[[#This Row],[SAP Contract number]],Shipments[[SAP Contract number]:[Contracted container weight]],2,FALSE)</f>
        <v>#N/A</v>
      </c>
      <c r="W41" s="34" t="e">
        <f>VLOOKUP(Allocation[[#This Row],[SAP Contract number]],Shipments[[SAP Contract number]:[AAA Premium USD]],24,FALSE)</f>
        <v>#N/A</v>
      </c>
      <c r="X41" s="34" t="e">
        <f>VLOOKUP(Allocation[[#This Row],[SAP Contract number]],Shipments[[SAP Contract number]:[RA Premium USD]],25,FALSE)</f>
        <v>#N/A</v>
      </c>
      <c r="Y41" s="38">
        <f>Allocation[[#This Row],[Quantity Processed]]/Allocation[[#This Row],[Quantity allocated]]</f>
        <v>3.334090909090909</v>
      </c>
      <c r="Z41" s="34" t="b">
        <f>Allocation[[#This Row],[Quantity allocated]]&lt;=Allocation[[#This Row],[Quantity Processed]]</f>
        <v>1</v>
      </c>
    </row>
    <row r="42" spans="1:26">
      <c r="A42" s="247" t="s">
        <v>467</v>
      </c>
      <c r="B42" s="160" t="s">
        <v>68</v>
      </c>
      <c r="C42" s="249" t="s">
        <v>1018</v>
      </c>
      <c r="D42" s="161">
        <v>13747</v>
      </c>
      <c r="E42" s="160" t="s">
        <v>1168</v>
      </c>
      <c r="F42" s="158">
        <v>43462</v>
      </c>
      <c r="G42" s="162">
        <v>2.88</v>
      </c>
      <c r="H42" s="159">
        <v>4124</v>
      </c>
      <c r="I42" s="160">
        <v>1419825</v>
      </c>
      <c r="J42" s="163">
        <v>19175</v>
      </c>
      <c r="K42" s="158">
        <v>43472</v>
      </c>
      <c r="L42" s="160" t="s">
        <v>1176</v>
      </c>
      <c r="M42" s="160">
        <v>4615515804</v>
      </c>
      <c r="N42" s="158">
        <v>43490</v>
      </c>
      <c r="O42" s="164">
        <v>3.7612999999999999</v>
      </c>
      <c r="P42" s="165">
        <v>19927</v>
      </c>
      <c r="Q42" s="34">
        <f>SUMIF(Allocation[Delivery ID],Allocation[[#This Row],[Delivery ID]],Allocation[Quantity Processed])</f>
        <v>31780</v>
      </c>
      <c r="R42" s="61">
        <f>Allocation[[#This Row],[Total volume used]]/VLOOKUP(Allocation[[#This Row],[Delivery ID]],Delivery[[Delivery ID]:[Quantity delivered]],3,FALSE)</f>
        <v>1</v>
      </c>
      <c r="S42" s="34">
        <f>Allocation[[#This Row],[Quantity Processed]]/Allocation[[#This Row],[Dilution rate]]</f>
        <v>4773.2638888888887</v>
      </c>
      <c r="T42" s="59">
        <f>SUMIF(Allocation[Delivery ID],Allocation[[#This Row],[Delivery ID]],Allocation[Quantity allocated])/SUMIF(Allocation[Delivery ID],Allocation[[#This Row],[Delivery ID]],Allocation[Volume available (kg)])</f>
        <v>0.8793112263626629</v>
      </c>
      <c r="U42" s="61">
        <f>Allocation[[#This Row],[Total volume used]]/VLOOKUP(Allocation[[#This Row],[Delivery ID]],Delivery[[Delivery ID]:[Quantity delivered]],3,FALSE)</f>
        <v>1</v>
      </c>
      <c r="V42" s="34" t="e">
        <f>VLOOKUP(Allocation[[#This Row],[SAP Contract number]],Shipments[[SAP Contract number]:[Contracted container weight]],2,FALSE)</f>
        <v>#N/A</v>
      </c>
      <c r="W42" s="34" t="e">
        <f>VLOOKUP(Allocation[[#This Row],[SAP Contract number]],Shipments[[SAP Contract number]:[AAA Premium USD]],24,FALSE)</f>
        <v>#N/A</v>
      </c>
      <c r="X42" s="34" t="e">
        <f>VLOOKUP(Allocation[[#This Row],[SAP Contract number]],Shipments[[SAP Contract number]:[RA Premium USD]],25,FALSE)</f>
        <v>#N/A</v>
      </c>
      <c r="Y42" s="38">
        <f>Allocation[[#This Row],[Quantity Processed]]/Allocation[[#This Row],[Quantity allocated]]</f>
        <v>3.3334141610087293</v>
      </c>
      <c r="Z42" s="34" t="b">
        <f>Allocation[[#This Row],[Quantity allocated]]&lt;=Allocation[[#This Row],[Quantity Processed]]</f>
        <v>1</v>
      </c>
    </row>
    <row r="43" spans="1:26">
      <c r="A43" s="247" t="s">
        <v>467</v>
      </c>
      <c r="B43" s="160" t="s">
        <v>68</v>
      </c>
      <c r="C43" s="249" t="s">
        <v>1022</v>
      </c>
      <c r="D43" s="161">
        <v>13747</v>
      </c>
      <c r="E43" s="160" t="s">
        <v>1168</v>
      </c>
      <c r="F43" s="158">
        <v>43462</v>
      </c>
      <c r="G43" s="162">
        <v>2.88</v>
      </c>
      <c r="H43" s="159">
        <v>4124</v>
      </c>
      <c r="I43" s="160">
        <v>1419825</v>
      </c>
      <c r="J43" s="163">
        <v>19175</v>
      </c>
      <c r="K43" s="158">
        <v>43472</v>
      </c>
      <c r="L43" s="160" t="s">
        <v>1176</v>
      </c>
      <c r="M43" s="160">
        <v>4615515804</v>
      </c>
      <c r="N43" s="158">
        <v>43490</v>
      </c>
      <c r="O43" s="164">
        <v>3.7612999999999999</v>
      </c>
      <c r="P43" s="165">
        <v>19927</v>
      </c>
      <c r="Q43" s="34">
        <f>SUMIF(Allocation[Delivery ID],Allocation[[#This Row],[Delivery ID]],Allocation[Quantity Processed])</f>
        <v>31770</v>
      </c>
      <c r="R43" s="61">
        <f>Allocation[[#This Row],[Total volume used]]/VLOOKUP(Allocation[[#This Row],[Delivery ID]],Delivery[[Delivery ID]:[Quantity delivered]],3,FALSE)</f>
        <v>1</v>
      </c>
      <c r="S43" s="34">
        <f>Allocation[[#This Row],[Quantity Processed]]/Allocation[[#This Row],[Dilution rate]]</f>
        <v>4773.2638888888887</v>
      </c>
      <c r="T43" s="59">
        <f>SUMIF(Allocation[Delivery ID],Allocation[[#This Row],[Delivery ID]],Allocation[Quantity allocated])/SUMIF(Allocation[Delivery ID],Allocation[[#This Row],[Delivery ID]],Allocation[Volume available (kg)])</f>
        <v>0.87958593674997942</v>
      </c>
      <c r="U43" s="61">
        <f>Allocation[[#This Row],[Total volume used]]/VLOOKUP(Allocation[[#This Row],[Delivery ID]],Delivery[[Delivery ID]:[Quantity delivered]],3,FALSE)</f>
        <v>1</v>
      </c>
      <c r="V43" s="34" t="e">
        <f>VLOOKUP(Allocation[[#This Row],[SAP Contract number]],Shipments[[SAP Contract number]:[Contracted container weight]],2,FALSE)</f>
        <v>#N/A</v>
      </c>
      <c r="W43" s="34" t="e">
        <f>VLOOKUP(Allocation[[#This Row],[SAP Contract number]],Shipments[[SAP Contract number]:[AAA Premium USD]],24,FALSE)</f>
        <v>#N/A</v>
      </c>
      <c r="X43" s="34" t="e">
        <f>VLOOKUP(Allocation[[#This Row],[SAP Contract number]],Shipments[[SAP Contract number]:[RA Premium USD]],25,FALSE)</f>
        <v>#N/A</v>
      </c>
      <c r="Y43" s="38">
        <f>Allocation[[#This Row],[Quantity Processed]]/Allocation[[#This Row],[Quantity allocated]]</f>
        <v>3.3334141610087293</v>
      </c>
      <c r="Z43" s="34" t="b">
        <f>Allocation[[#This Row],[Quantity allocated]]&lt;=Allocation[[#This Row],[Quantity Processed]]</f>
        <v>1</v>
      </c>
    </row>
    <row r="44" spans="1:26">
      <c r="A44" s="247" t="s">
        <v>467</v>
      </c>
      <c r="B44" s="160" t="s">
        <v>68</v>
      </c>
      <c r="C44" s="249" t="s">
        <v>1023</v>
      </c>
      <c r="D44" s="161">
        <v>13747</v>
      </c>
      <c r="E44" s="160" t="s">
        <v>1168</v>
      </c>
      <c r="F44" s="158">
        <v>43462</v>
      </c>
      <c r="G44" s="162">
        <v>2.88</v>
      </c>
      <c r="H44" s="159">
        <v>4124</v>
      </c>
      <c r="I44" s="160">
        <v>1419825</v>
      </c>
      <c r="J44" s="163">
        <v>19175</v>
      </c>
      <c r="K44" s="158">
        <v>43472</v>
      </c>
      <c r="L44" s="160" t="s">
        <v>1176</v>
      </c>
      <c r="M44" s="160">
        <v>4615515804</v>
      </c>
      <c r="N44" s="158">
        <v>43490</v>
      </c>
      <c r="O44" s="164">
        <v>3.7612999999999999</v>
      </c>
      <c r="P44" s="165">
        <v>19927</v>
      </c>
      <c r="Q44" s="34">
        <f>SUMIF(Allocation[Delivery ID],Allocation[[#This Row],[Delivery ID]],Allocation[Quantity Processed])</f>
        <v>31830</v>
      </c>
      <c r="R44" s="61">
        <f>Allocation[[#This Row],[Total volume used]]/VLOOKUP(Allocation[[#This Row],[Delivery ID]],Delivery[[Delivery ID]:[Quantity delivered]],3,FALSE)</f>
        <v>1</v>
      </c>
      <c r="S44" s="34">
        <f>Allocation[[#This Row],[Quantity Processed]]/Allocation[[#This Row],[Dilution rate]]</f>
        <v>4773.2638888888887</v>
      </c>
      <c r="T44" s="59">
        <f>SUMIF(Allocation[Delivery ID],Allocation[[#This Row],[Delivery ID]],Allocation[Quantity allocated])/SUMIF(Allocation[Delivery ID],Allocation[[#This Row],[Delivery ID]],Allocation[Volume available (kg)])</f>
        <v>0.87254962361036303</v>
      </c>
      <c r="U44" s="61">
        <f>Allocation[[#This Row],[Total volume used]]/VLOOKUP(Allocation[[#This Row],[Delivery ID]],Delivery[[Delivery ID]:[Quantity delivered]],3,FALSE)</f>
        <v>1</v>
      </c>
      <c r="V44" s="34" t="e">
        <f>VLOOKUP(Allocation[[#This Row],[SAP Contract number]],Shipments[[SAP Contract number]:[Contracted container weight]],2,FALSE)</f>
        <v>#N/A</v>
      </c>
      <c r="W44" s="34" t="e">
        <f>VLOOKUP(Allocation[[#This Row],[SAP Contract number]],Shipments[[SAP Contract number]:[AAA Premium USD]],24,FALSE)</f>
        <v>#N/A</v>
      </c>
      <c r="X44" s="34" t="e">
        <f>VLOOKUP(Allocation[[#This Row],[SAP Contract number]],Shipments[[SAP Contract number]:[RA Premium USD]],25,FALSE)</f>
        <v>#N/A</v>
      </c>
      <c r="Y44" s="38">
        <f>Allocation[[#This Row],[Quantity Processed]]/Allocation[[#This Row],[Quantity allocated]]</f>
        <v>3.3334141610087293</v>
      </c>
      <c r="Z44" s="34" t="b">
        <f>Allocation[[#This Row],[Quantity allocated]]&lt;=Allocation[[#This Row],[Quantity Processed]]</f>
        <v>1</v>
      </c>
    </row>
    <row r="45" spans="1:26">
      <c r="A45" s="247" t="s">
        <v>467</v>
      </c>
      <c r="B45" s="160" t="s">
        <v>68</v>
      </c>
      <c r="C45" s="249" t="s">
        <v>1024</v>
      </c>
      <c r="D45" s="161">
        <v>13747</v>
      </c>
      <c r="E45" s="160" t="s">
        <v>1168</v>
      </c>
      <c r="F45" s="158">
        <v>43462</v>
      </c>
      <c r="G45" s="162">
        <v>2.88</v>
      </c>
      <c r="H45" s="159">
        <v>4124</v>
      </c>
      <c r="I45" s="160">
        <v>1419825</v>
      </c>
      <c r="J45" s="163">
        <v>19175</v>
      </c>
      <c r="K45" s="158">
        <v>43472</v>
      </c>
      <c r="L45" s="160" t="s">
        <v>1176</v>
      </c>
      <c r="M45" s="160">
        <v>4615515804</v>
      </c>
      <c r="N45" s="158">
        <v>43490</v>
      </c>
      <c r="O45" s="164">
        <v>3.7612999999999999</v>
      </c>
      <c r="P45" s="165">
        <v>19927</v>
      </c>
      <c r="Q45" s="34">
        <f>SUMIF(Allocation[Delivery ID],Allocation[[#This Row],[Delivery ID]],Allocation[Quantity Processed])</f>
        <v>31870</v>
      </c>
      <c r="R45" s="61">
        <f>Allocation[[#This Row],[Total volume used]]/VLOOKUP(Allocation[[#This Row],[Delivery ID]],Delivery[[Delivery ID]:[Quantity delivered]],3,FALSE)</f>
        <v>1</v>
      </c>
      <c r="S45" s="34">
        <f>Allocation[[#This Row],[Quantity Processed]]/Allocation[[#This Row],[Dilution rate]]</f>
        <v>4773.2638888888887</v>
      </c>
      <c r="T45" s="59">
        <f>SUMIF(Allocation[Delivery ID],Allocation[[#This Row],[Delivery ID]],Allocation[Quantity allocated])/SUMIF(Allocation[Delivery ID],Allocation[[#This Row],[Delivery ID]],Allocation[Volume available (kg)])</f>
        <v>0.87684653295909787</v>
      </c>
      <c r="U45" s="61">
        <f>Allocation[[#This Row],[Total volume used]]/VLOOKUP(Allocation[[#This Row],[Delivery ID]],Delivery[[Delivery ID]:[Quantity delivered]],3,FALSE)</f>
        <v>1</v>
      </c>
      <c r="V45" s="34" t="e">
        <f>VLOOKUP(Allocation[[#This Row],[SAP Contract number]],Shipments[[SAP Contract number]:[Contracted container weight]],2,FALSE)</f>
        <v>#N/A</v>
      </c>
      <c r="W45" s="34" t="e">
        <f>VLOOKUP(Allocation[[#This Row],[SAP Contract number]],Shipments[[SAP Contract number]:[AAA Premium USD]],24,FALSE)</f>
        <v>#N/A</v>
      </c>
      <c r="X45" s="34" t="e">
        <f>VLOOKUP(Allocation[[#This Row],[SAP Contract number]],Shipments[[SAP Contract number]:[RA Premium USD]],25,FALSE)</f>
        <v>#N/A</v>
      </c>
      <c r="Y45" s="38">
        <f>Allocation[[#This Row],[Quantity Processed]]/Allocation[[#This Row],[Quantity allocated]]</f>
        <v>3.3334141610087293</v>
      </c>
      <c r="Z45" s="34" t="b">
        <f>Allocation[[#This Row],[Quantity allocated]]&lt;=Allocation[[#This Row],[Quantity Processed]]</f>
        <v>1</v>
      </c>
    </row>
    <row r="46" spans="1:26">
      <c r="A46" s="247" t="s">
        <v>467</v>
      </c>
      <c r="B46" s="160" t="s">
        <v>68</v>
      </c>
      <c r="C46" s="249" t="s">
        <v>1025</v>
      </c>
      <c r="D46" s="161">
        <v>7464</v>
      </c>
      <c r="E46" s="160" t="s">
        <v>1168</v>
      </c>
      <c r="F46" s="158">
        <v>43462</v>
      </c>
      <c r="G46" s="162">
        <v>2.88</v>
      </c>
      <c r="H46" s="159">
        <v>2239</v>
      </c>
      <c r="I46" s="160">
        <v>1419825</v>
      </c>
      <c r="J46" s="163">
        <v>19175</v>
      </c>
      <c r="K46" s="158">
        <v>43472</v>
      </c>
      <c r="L46" s="160" t="s">
        <v>1176</v>
      </c>
      <c r="M46" s="160">
        <v>4615515804</v>
      </c>
      <c r="N46" s="158">
        <v>43490</v>
      </c>
      <c r="O46" s="164">
        <v>3.7612999999999999</v>
      </c>
      <c r="P46" s="165">
        <v>19927</v>
      </c>
      <c r="Q46" s="34">
        <f>SUMIF(Allocation[Delivery ID],Allocation[[#This Row],[Delivery ID]],Allocation[Quantity Processed])</f>
        <v>31230</v>
      </c>
      <c r="R46" s="61">
        <f>Allocation[[#This Row],[Total volume used]]/VLOOKUP(Allocation[[#This Row],[Delivery ID]],Delivery[[Delivery ID]:[Quantity delivered]],3,FALSE)</f>
        <v>1</v>
      </c>
      <c r="S46" s="34">
        <f>Allocation[[#This Row],[Quantity Processed]]/Allocation[[#This Row],[Dilution rate]]</f>
        <v>2591.666666666667</v>
      </c>
      <c r="T46" s="59">
        <f>SUMIF(Allocation[Delivery ID],Allocation[[#This Row],[Delivery ID]],Allocation[Quantity allocated])/SUMIF(Allocation[Delivery ID],Allocation[[#This Row],[Delivery ID]],Allocation[Volume available (kg)])</f>
        <v>0.87646291441703661</v>
      </c>
      <c r="U46" s="61">
        <f>Allocation[[#This Row],[Total volume used]]/VLOOKUP(Allocation[[#This Row],[Delivery ID]],Delivery[[Delivery ID]:[Quantity delivered]],3,FALSE)</f>
        <v>1</v>
      </c>
      <c r="V46" s="34" t="e">
        <f>VLOOKUP(Allocation[[#This Row],[SAP Contract number]],Shipments[[SAP Contract number]:[Contracted container weight]],2,FALSE)</f>
        <v>#N/A</v>
      </c>
      <c r="W46" s="34" t="e">
        <f>VLOOKUP(Allocation[[#This Row],[SAP Contract number]],Shipments[[SAP Contract number]:[AAA Premium USD]],24,FALSE)</f>
        <v>#N/A</v>
      </c>
      <c r="X46" s="34" t="e">
        <f>VLOOKUP(Allocation[[#This Row],[SAP Contract number]],Shipments[[SAP Contract number]:[RA Premium USD]],25,FALSE)</f>
        <v>#N/A</v>
      </c>
      <c r="Y46" s="38">
        <f>Allocation[[#This Row],[Quantity Processed]]/Allocation[[#This Row],[Quantity allocated]]</f>
        <v>3.3336310853059401</v>
      </c>
      <c r="Z46" s="34" t="b">
        <f>Allocation[[#This Row],[Quantity allocated]]&lt;=Allocation[[#This Row],[Quantity Processed]]</f>
        <v>1</v>
      </c>
    </row>
    <row r="47" spans="1:26">
      <c r="A47" s="247" t="s">
        <v>467</v>
      </c>
      <c r="B47" s="160" t="s">
        <v>68</v>
      </c>
      <c r="C47" s="249" t="s">
        <v>1025</v>
      </c>
      <c r="D47" s="161">
        <v>6023</v>
      </c>
      <c r="E47" s="160" t="s">
        <v>1168</v>
      </c>
      <c r="F47" s="158">
        <v>43462</v>
      </c>
      <c r="G47" s="162">
        <v>2.88</v>
      </c>
      <c r="H47" s="159">
        <v>1807</v>
      </c>
      <c r="I47" s="160">
        <v>1419826</v>
      </c>
      <c r="J47" s="163">
        <v>19175</v>
      </c>
      <c r="K47" s="158">
        <v>43472</v>
      </c>
      <c r="L47" s="160" t="s">
        <v>1177</v>
      </c>
      <c r="M47" s="160">
        <v>4615515804</v>
      </c>
      <c r="N47" s="158">
        <v>43490</v>
      </c>
      <c r="O47" s="164">
        <v>3.7612999999999999</v>
      </c>
      <c r="P47" s="165">
        <v>19927</v>
      </c>
      <c r="Q47" s="34">
        <f>SUMIF(Allocation[Delivery ID],Allocation[[#This Row],[Delivery ID]],Allocation[Quantity Processed])</f>
        <v>31230</v>
      </c>
      <c r="R47" s="61">
        <f>Allocation[[#This Row],[Total volume used]]/VLOOKUP(Allocation[[#This Row],[Delivery ID]],Delivery[[Delivery ID]:[Quantity delivered]],3,FALSE)</f>
        <v>1</v>
      </c>
      <c r="S47" s="34">
        <f>Allocation[[#This Row],[Quantity Processed]]/Allocation[[#This Row],[Dilution rate]]</f>
        <v>2091.3194444444443</v>
      </c>
      <c r="T47" s="59">
        <f>SUMIF(Allocation[Delivery ID],Allocation[[#This Row],[Delivery ID]],Allocation[Quantity allocated])/SUMIF(Allocation[Delivery ID],Allocation[[#This Row],[Delivery ID]],Allocation[Volume available (kg)])</f>
        <v>0.87646291441703661</v>
      </c>
      <c r="U47" s="61">
        <f>Allocation[[#This Row],[Total volume used]]/VLOOKUP(Allocation[[#This Row],[Delivery ID]],Delivery[[Delivery ID]:[Quantity delivered]],3,FALSE)</f>
        <v>1</v>
      </c>
      <c r="V47" s="34" t="e">
        <f>VLOOKUP(Allocation[[#This Row],[SAP Contract number]],Shipments[[SAP Contract number]:[Contracted container weight]],2,FALSE)</f>
        <v>#N/A</v>
      </c>
      <c r="W47" s="34" t="e">
        <f>VLOOKUP(Allocation[[#This Row],[SAP Contract number]],Shipments[[SAP Contract number]:[AAA Premium USD]],24,FALSE)</f>
        <v>#N/A</v>
      </c>
      <c r="X47" s="34" t="e">
        <f>VLOOKUP(Allocation[[#This Row],[SAP Contract number]],Shipments[[SAP Contract number]:[RA Premium USD]],25,FALSE)</f>
        <v>#N/A</v>
      </c>
      <c r="Y47" s="38">
        <f>Allocation[[#This Row],[Quantity Processed]]/Allocation[[#This Row],[Quantity allocated]]</f>
        <v>3.3331488655229662</v>
      </c>
      <c r="Z47" s="34" t="b">
        <f>Allocation[[#This Row],[Quantity allocated]]&lt;=Allocation[[#This Row],[Quantity Processed]]</f>
        <v>1</v>
      </c>
    </row>
    <row r="48" spans="1:26">
      <c r="A48" s="247" t="s">
        <v>467</v>
      </c>
      <c r="B48" s="160" t="s">
        <v>68</v>
      </c>
      <c r="C48" s="249" t="s">
        <v>1026</v>
      </c>
      <c r="D48" s="161">
        <v>13747</v>
      </c>
      <c r="E48" s="160" t="s">
        <v>1168</v>
      </c>
      <c r="F48" s="158">
        <v>43462</v>
      </c>
      <c r="G48" s="162">
        <v>2.88</v>
      </c>
      <c r="H48" s="159">
        <v>4124</v>
      </c>
      <c r="I48" s="160">
        <v>1419826</v>
      </c>
      <c r="J48" s="163">
        <v>19175</v>
      </c>
      <c r="K48" s="158">
        <v>43472</v>
      </c>
      <c r="L48" s="160" t="s">
        <v>1177</v>
      </c>
      <c r="M48" s="160">
        <v>4615515804</v>
      </c>
      <c r="N48" s="158">
        <v>43490</v>
      </c>
      <c r="O48" s="164">
        <v>3.7612999999999999</v>
      </c>
      <c r="P48" s="165">
        <v>19927</v>
      </c>
      <c r="Q48" s="34">
        <f>SUMIF(Allocation[Delivery ID],Allocation[[#This Row],[Delivery ID]],Allocation[Quantity Processed])</f>
        <v>31840</v>
      </c>
      <c r="R48" s="61">
        <f>Allocation[[#This Row],[Total volume used]]/VLOOKUP(Allocation[[#This Row],[Delivery ID]],Delivery[[Delivery ID]:[Quantity delivered]],3,FALSE)</f>
        <v>1</v>
      </c>
      <c r="S48" s="34">
        <f>Allocation[[#This Row],[Quantity Processed]]/Allocation[[#This Row],[Dilution rate]]</f>
        <v>4773.2638888888887</v>
      </c>
      <c r="T48" s="59">
        <f>SUMIF(Allocation[Delivery ID],Allocation[[#This Row],[Delivery ID]],Allocation[Quantity allocated])/SUMIF(Allocation[Delivery ID],Allocation[[#This Row],[Delivery ID]],Allocation[Volume available (kg)])</f>
        <v>0.8722776204977889</v>
      </c>
      <c r="U48" s="61">
        <f>Allocation[[#This Row],[Total volume used]]/VLOOKUP(Allocation[[#This Row],[Delivery ID]],Delivery[[Delivery ID]:[Quantity delivered]],3,FALSE)</f>
        <v>1</v>
      </c>
      <c r="V48" s="34" t="e">
        <f>VLOOKUP(Allocation[[#This Row],[SAP Contract number]],Shipments[[SAP Contract number]:[Contracted container weight]],2,FALSE)</f>
        <v>#N/A</v>
      </c>
      <c r="W48" s="34" t="e">
        <f>VLOOKUP(Allocation[[#This Row],[SAP Contract number]],Shipments[[SAP Contract number]:[AAA Premium USD]],24,FALSE)</f>
        <v>#N/A</v>
      </c>
      <c r="X48" s="34" t="e">
        <f>VLOOKUP(Allocation[[#This Row],[SAP Contract number]],Shipments[[SAP Contract number]:[RA Premium USD]],25,FALSE)</f>
        <v>#N/A</v>
      </c>
      <c r="Y48" s="38">
        <f>Allocation[[#This Row],[Quantity Processed]]/Allocation[[#This Row],[Quantity allocated]]</f>
        <v>3.3334141610087293</v>
      </c>
      <c r="Z48" s="34" t="b">
        <f>Allocation[[#This Row],[Quantity allocated]]&lt;=Allocation[[#This Row],[Quantity Processed]]</f>
        <v>1</v>
      </c>
    </row>
    <row r="49" spans="1:26">
      <c r="A49" s="247" t="s">
        <v>467</v>
      </c>
      <c r="B49" s="160" t="s">
        <v>68</v>
      </c>
      <c r="C49" s="249" t="s">
        <v>1027</v>
      </c>
      <c r="D49" s="161">
        <v>13487</v>
      </c>
      <c r="E49" s="160" t="s">
        <v>1168</v>
      </c>
      <c r="F49" s="158">
        <v>43462</v>
      </c>
      <c r="G49" s="162">
        <v>2.88</v>
      </c>
      <c r="H49" s="159">
        <v>4046</v>
      </c>
      <c r="I49" s="160">
        <v>1419826</v>
      </c>
      <c r="J49" s="163">
        <v>19175</v>
      </c>
      <c r="K49" s="158">
        <v>43472</v>
      </c>
      <c r="L49" s="160" t="s">
        <v>1177</v>
      </c>
      <c r="M49" s="160">
        <v>4615515804</v>
      </c>
      <c r="N49" s="158">
        <v>43490</v>
      </c>
      <c r="O49" s="164">
        <v>3.7612999999999999</v>
      </c>
      <c r="P49" s="165">
        <v>19927</v>
      </c>
      <c r="Q49" s="34">
        <f>SUMIF(Allocation[Delivery ID],Allocation[[#This Row],[Delivery ID]],Allocation[Quantity Processed])</f>
        <v>32270</v>
      </c>
      <c r="R49" s="61">
        <f>Allocation[[#This Row],[Total volume used]]/VLOOKUP(Allocation[[#This Row],[Delivery ID]],Delivery[[Delivery ID]:[Quantity delivered]],3,FALSE)</f>
        <v>1</v>
      </c>
      <c r="S49" s="34">
        <f>Allocation[[#This Row],[Quantity Processed]]/Allocation[[#This Row],[Dilution rate]]</f>
        <v>4682.9861111111113</v>
      </c>
      <c r="T49" s="59">
        <f>SUMIF(Allocation[Delivery ID],Allocation[[#This Row],[Delivery ID]],Allocation[Quantity allocated])/SUMIF(Allocation[Delivery ID],Allocation[[#This Row],[Delivery ID]],Allocation[Volume available (kg)])</f>
        <v>0.87528209806547141</v>
      </c>
      <c r="U49" s="61">
        <f>Allocation[[#This Row],[Total volume used]]/VLOOKUP(Allocation[[#This Row],[Delivery ID]],Delivery[[Delivery ID]:[Quantity delivered]],3,FALSE)</f>
        <v>1</v>
      </c>
      <c r="V49" s="34" t="e">
        <f>VLOOKUP(Allocation[[#This Row],[SAP Contract number]],Shipments[[SAP Contract number]:[Contracted container weight]],2,FALSE)</f>
        <v>#N/A</v>
      </c>
      <c r="W49" s="34" t="e">
        <f>VLOOKUP(Allocation[[#This Row],[SAP Contract number]],Shipments[[SAP Contract number]:[AAA Premium USD]],24,FALSE)</f>
        <v>#N/A</v>
      </c>
      <c r="X49" s="34" t="e">
        <f>VLOOKUP(Allocation[[#This Row],[SAP Contract number]],Shipments[[SAP Contract number]:[RA Premium USD]],25,FALSE)</f>
        <v>#N/A</v>
      </c>
      <c r="Y49" s="38">
        <f>Allocation[[#This Row],[Quantity Processed]]/Allocation[[#This Row],[Quantity allocated]]</f>
        <v>3.333415719228868</v>
      </c>
      <c r="Z49" s="34" t="b">
        <f>Allocation[[#This Row],[Quantity allocated]]&lt;=Allocation[[#This Row],[Quantity Processed]]</f>
        <v>1</v>
      </c>
    </row>
    <row r="50" spans="1:26">
      <c r="A50" s="247" t="s">
        <v>467</v>
      </c>
      <c r="B50" s="160" t="s">
        <v>68</v>
      </c>
      <c r="C50" s="249" t="s">
        <v>1028</v>
      </c>
      <c r="D50" s="161">
        <v>1211</v>
      </c>
      <c r="E50" s="160" t="s">
        <v>1168</v>
      </c>
      <c r="F50" s="158">
        <v>43462</v>
      </c>
      <c r="G50" s="162">
        <v>2.88</v>
      </c>
      <c r="H50" s="159">
        <v>545</v>
      </c>
      <c r="I50" s="160">
        <v>1419826</v>
      </c>
      <c r="J50" s="163">
        <v>19175</v>
      </c>
      <c r="K50" s="158">
        <v>43472</v>
      </c>
      <c r="L50" s="160" t="s">
        <v>1177</v>
      </c>
      <c r="M50" s="160">
        <v>4615515804</v>
      </c>
      <c r="N50" s="158">
        <v>43490</v>
      </c>
      <c r="O50" s="164">
        <v>3.7612999999999999</v>
      </c>
      <c r="P50" s="165">
        <v>19927</v>
      </c>
      <c r="Q50" s="34">
        <f>SUMIF(Allocation[Delivery ID],Allocation[[#This Row],[Delivery ID]],Allocation[Quantity Processed])</f>
        <v>4205</v>
      </c>
      <c r="R50" s="61">
        <f>Allocation[[#This Row],[Total volume used]]/VLOOKUP(Allocation[[#This Row],[Delivery ID]],Delivery[[Delivery ID]:[Quantity delivered]],3,FALSE)</f>
        <v>1</v>
      </c>
      <c r="S50" s="34">
        <f>Allocation[[#This Row],[Quantity Processed]]/Allocation[[#This Row],[Dilution rate]]</f>
        <v>420.48611111111114</v>
      </c>
      <c r="T50" s="59">
        <f>SUMIF(Allocation[Delivery ID],Allocation[[#This Row],[Delivery ID]],Allocation[Quantity allocated])/SUMIF(Allocation[Delivery ID],Allocation[[#This Row],[Delivery ID]],Allocation[Volume available (kg)])</f>
        <v>1.3161803616058407</v>
      </c>
      <c r="U50" s="61">
        <f>Allocation[[#This Row],[Total volume used]]/VLOOKUP(Allocation[[#This Row],[Delivery ID]],Delivery[[Delivery ID]:[Quantity delivered]],3,FALSE)</f>
        <v>1</v>
      </c>
      <c r="V50" s="34" t="e">
        <f>VLOOKUP(Allocation[[#This Row],[SAP Contract number]],Shipments[[SAP Contract number]:[Contracted container weight]],2,FALSE)</f>
        <v>#N/A</v>
      </c>
      <c r="W50" s="34" t="e">
        <f>VLOOKUP(Allocation[[#This Row],[SAP Contract number]],Shipments[[SAP Contract number]:[AAA Premium USD]],24,FALSE)</f>
        <v>#N/A</v>
      </c>
      <c r="X50" s="34" t="e">
        <f>VLOOKUP(Allocation[[#This Row],[SAP Contract number]],Shipments[[SAP Contract number]:[RA Premium USD]],25,FALSE)</f>
        <v>#N/A</v>
      </c>
      <c r="Y50" s="38">
        <f>Allocation[[#This Row],[Quantity Processed]]/Allocation[[#This Row],[Quantity allocated]]</f>
        <v>2.2220183486238532</v>
      </c>
      <c r="Z50" s="34" t="b">
        <f>Allocation[[#This Row],[Quantity allocated]]&lt;=Allocation[[#This Row],[Quantity Processed]]</f>
        <v>1</v>
      </c>
    </row>
    <row r="51" spans="1:26">
      <c r="A51" s="247" t="s">
        <v>467</v>
      </c>
      <c r="B51" s="160" t="s">
        <v>68</v>
      </c>
      <c r="C51" s="249" t="s">
        <v>1029</v>
      </c>
      <c r="D51" s="161">
        <v>3113</v>
      </c>
      <c r="E51" s="160" t="s">
        <v>1168</v>
      </c>
      <c r="F51" s="158">
        <v>43462</v>
      </c>
      <c r="G51" s="162">
        <v>2.88</v>
      </c>
      <c r="H51" s="159">
        <v>934</v>
      </c>
      <c r="I51" s="160">
        <v>1419826</v>
      </c>
      <c r="J51" s="163">
        <v>19175</v>
      </c>
      <c r="K51" s="158">
        <v>43472</v>
      </c>
      <c r="L51" s="160" t="s">
        <v>1177</v>
      </c>
      <c r="M51" s="160">
        <v>4615515804</v>
      </c>
      <c r="N51" s="158">
        <v>43490</v>
      </c>
      <c r="O51" s="164">
        <v>3.7612999999999999</v>
      </c>
      <c r="P51" s="165">
        <v>19927</v>
      </c>
      <c r="Q51" s="34">
        <f>SUMIF(Allocation[Delivery ID],Allocation[[#This Row],[Delivery ID]],Allocation[Quantity Processed])</f>
        <v>7210</v>
      </c>
      <c r="R51" s="61">
        <f>Allocation[[#This Row],[Total volume used]]/VLOOKUP(Allocation[[#This Row],[Delivery ID]],Delivery[[Delivery ID]:[Quantity delivered]],3,FALSE)</f>
        <v>1</v>
      </c>
      <c r="S51" s="34">
        <f>Allocation[[#This Row],[Quantity Processed]]/Allocation[[#This Row],[Dilution rate]]</f>
        <v>1080.9027777777778</v>
      </c>
      <c r="T51" s="59">
        <f>SUMIF(Allocation[Delivery ID],Allocation[[#This Row],[Delivery ID]],Allocation[Quantity allocated])/SUMIF(Allocation[Delivery ID],Allocation[[#This Row],[Delivery ID]],Allocation[Volume available (kg)])</f>
        <v>0.96402209321501209</v>
      </c>
      <c r="U51" s="61">
        <f>Allocation[[#This Row],[Total volume used]]/VLOOKUP(Allocation[[#This Row],[Delivery ID]],Delivery[[Delivery ID]:[Quantity delivered]],3,FALSE)</f>
        <v>1</v>
      </c>
      <c r="V51" s="34" t="e">
        <f>VLOOKUP(Allocation[[#This Row],[SAP Contract number]],Shipments[[SAP Contract number]:[Contracted container weight]],2,FALSE)</f>
        <v>#N/A</v>
      </c>
      <c r="W51" s="34" t="e">
        <f>VLOOKUP(Allocation[[#This Row],[SAP Contract number]],Shipments[[SAP Contract number]:[AAA Premium USD]],24,FALSE)</f>
        <v>#N/A</v>
      </c>
      <c r="X51" s="34" t="e">
        <f>VLOOKUP(Allocation[[#This Row],[SAP Contract number]],Shipments[[SAP Contract number]:[RA Premium USD]],25,FALSE)</f>
        <v>#N/A</v>
      </c>
      <c r="Y51" s="38">
        <f>Allocation[[#This Row],[Quantity Processed]]/Allocation[[#This Row],[Quantity allocated]]</f>
        <v>3.3329764453961457</v>
      </c>
      <c r="Z51" s="34" t="b">
        <f>Allocation[[#This Row],[Quantity allocated]]&lt;=Allocation[[#This Row],[Quantity Processed]]</f>
        <v>1</v>
      </c>
    </row>
    <row r="52" spans="1:26">
      <c r="A52" s="247" t="s">
        <v>467</v>
      </c>
      <c r="B52" s="160" t="s">
        <v>68</v>
      </c>
      <c r="C52" s="249" t="s">
        <v>1033</v>
      </c>
      <c r="D52" s="161">
        <v>12893</v>
      </c>
      <c r="E52" s="160" t="s">
        <v>1168</v>
      </c>
      <c r="F52" s="158">
        <v>43462</v>
      </c>
      <c r="G52" s="162">
        <v>2.88</v>
      </c>
      <c r="H52" s="159">
        <v>4046</v>
      </c>
      <c r="I52" s="160">
        <v>1419826</v>
      </c>
      <c r="J52" s="163">
        <v>19175</v>
      </c>
      <c r="K52" s="158">
        <v>43472</v>
      </c>
      <c r="L52" s="160" t="s">
        <v>1177</v>
      </c>
      <c r="M52" s="160">
        <v>4615515804</v>
      </c>
      <c r="N52" s="158">
        <v>43490</v>
      </c>
      <c r="O52" s="164">
        <v>3.7612999999999999</v>
      </c>
      <c r="P52" s="165">
        <v>19927</v>
      </c>
      <c r="Q52" s="34">
        <f>SUMIF(Allocation[Delivery ID],Allocation[[#This Row],[Delivery ID]],Allocation[Quantity Processed])</f>
        <v>31250</v>
      </c>
      <c r="R52" s="61">
        <f>Allocation[[#This Row],[Total volume used]]/VLOOKUP(Allocation[[#This Row],[Delivery ID]],Delivery[[Delivery ID]:[Quantity delivered]],3,FALSE)</f>
        <v>1</v>
      </c>
      <c r="S52" s="34">
        <f>Allocation[[#This Row],[Quantity Processed]]/Allocation[[#This Row],[Dilution rate]]</f>
        <v>4476.7361111111113</v>
      </c>
      <c r="T52" s="59">
        <f>SUMIF(Allocation[Delivery ID],Allocation[[#This Row],[Delivery ID]],Allocation[Quantity allocated])/SUMIF(Allocation[Delivery ID],Allocation[[#This Row],[Delivery ID]],Allocation[Volume available (kg)])</f>
        <v>0.92068530063679843</v>
      </c>
      <c r="U52" s="61">
        <f>Allocation[[#This Row],[Total volume used]]/VLOOKUP(Allocation[[#This Row],[Delivery ID]],Delivery[[Delivery ID]:[Quantity delivered]],3,FALSE)</f>
        <v>1</v>
      </c>
      <c r="V52" s="34" t="e">
        <f>VLOOKUP(Allocation[[#This Row],[SAP Contract number]],Shipments[[SAP Contract number]:[Contracted container weight]],2,FALSE)</f>
        <v>#N/A</v>
      </c>
      <c r="W52" s="34" t="e">
        <f>VLOOKUP(Allocation[[#This Row],[SAP Contract number]],Shipments[[SAP Contract number]:[AAA Premium USD]],24,FALSE)</f>
        <v>#N/A</v>
      </c>
      <c r="X52" s="34" t="e">
        <f>VLOOKUP(Allocation[[#This Row],[SAP Contract number]],Shipments[[SAP Contract number]:[RA Premium USD]],25,FALSE)</f>
        <v>#N/A</v>
      </c>
      <c r="Y52" s="38">
        <f>Allocation[[#This Row],[Quantity Processed]]/Allocation[[#This Row],[Quantity allocated]]</f>
        <v>3.1866040533860605</v>
      </c>
      <c r="Z52" s="34" t="b">
        <f>Allocation[[#This Row],[Quantity allocated]]&lt;=Allocation[[#This Row],[Quantity Processed]]</f>
        <v>1</v>
      </c>
    </row>
    <row r="53" spans="1:26">
      <c r="A53" s="247" t="s">
        <v>467</v>
      </c>
      <c r="B53" s="160" t="s">
        <v>68</v>
      </c>
      <c r="C53" s="249" t="s">
        <v>1044</v>
      </c>
      <c r="D53" s="161">
        <v>6227</v>
      </c>
      <c r="E53" s="160" t="s">
        <v>1168</v>
      </c>
      <c r="F53" s="158">
        <v>43462</v>
      </c>
      <c r="G53" s="162">
        <v>2.88</v>
      </c>
      <c r="H53" s="159">
        <v>1868</v>
      </c>
      <c r="I53" s="160">
        <v>1419826</v>
      </c>
      <c r="J53" s="163">
        <v>19175</v>
      </c>
      <c r="K53" s="158">
        <v>43472</v>
      </c>
      <c r="L53" s="160" t="s">
        <v>1177</v>
      </c>
      <c r="M53" s="160">
        <v>4615515804</v>
      </c>
      <c r="N53" s="158">
        <v>43490</v>
      </c>
      <c r="O53" s="164">
        <v>3.7612999999999999</v>
      </c>
      <c r="P53" s="165">
        <v>19927</v>
      </c>
      <c r="Q53" s="34">
        <f>SUMIF(Allocation[Delivery ID],Allocation[[#This Row],[Delivery ID]],Allocation[Quantity Processed])</f>
        <v>14423</v>
      </c>
      <c r="R53" s="61">
        <f>Allocation[[#This Row],[Total volume used]]/VLOOKUP(Allocation[[#This Row],[Delivery ID]],Delivery[[Delivery ID]:[Quantity delivered]],3,FALSE)</f>
        <v>1</v>
      </c>
      <c r="S53" s="34">
        <f>Allocation[[#This Row],[Quantity Processed]]/Allocation[[#This Row],[Dilution rate]]</f>
        <v>2162.1527777777778</v>
      </c>
      <c r="T53" s="59">
        <f>SUMIF(Allocation[Delivery ID],Allocation[[#This Row],[Delivery ID]],Allocation[Quantity allocated])/SUMIF(Allocation[Delivery ID],Allocation[[#This Row],[Delivery ID]],Allocation[Volume available (kg)])</f>
        <v>0.86965772424532728</v>
      </c>
      <c r="U53" s="61">
        <f>Allocation[[#This Row],[Total volume used]]/VLOOKUP(Allocation[[#This Row],[Delivery ID]],Delivery[[Delivery ID]:[Quantity delivered]],3,FALSE)</f>
        <v>1</v>
      </c>
      <c r="V53" s="34" t="e">
        <f>VLOOKUP(Allocation[[#This Row],[SAP Contract number]],Shipments[[SAP Contract number]:[Contracted container weight]],2,FALSE)</f>
        <v>#N/A</v>
      </c>
      <c r="W53" s="34" t="e">
        <f>VLOOKUP(Allocation[[#This Row],[SAP Contract number]],Shipments[[SAP Contract number]:[AAA Premium USD]],24,FALSE)</f>
        <v>#N/A</v>
      </c>
      <c r="X53" s="34" t="e">
        <f>VLOOKUP(Allocation[[#This Row],[SAP Contract number]],Shipments[[SAP Contract number]:[RA Premium USD]],25,FALSE)</f>
        <v>#N/A</v>
      </c>
      <c r="Y53" s="38">
        <f>Allocation[[#This Row],[Quantity Processed]]/Allocation[[#This Row],[Quantity allocated]]</f>
        <v>3.3335117773019274</v>
      </c>
      <c r="Z53" s="34" t="b">
        <f>Allocation[[#This Row],[Quantity allocated]]&lt;=Allocation[[#This Row],[Quantity Processed]]</f>
        <v>1</v>
      </c>
    </row>
    <row r="54" spans="1:26">
      <c r="A54" s="247" t="s">
        <v>467</v>
      </c>
      <c r="B54" s="160" t="s">
        <v>68</v>
      </c>
      <c r="C54" s="249" t="s">
        <v>1053</v>
      </c>
      <c r="D54" s="161">
        <v>5470</v>
      </c>
      <c r="E54" s="160" t="s">
        <v>1168</v>
      </c>
      <c r="F54" s="158">
        <v>43462</v>
      </c>
      <c r="G54" s="162">
        <v>2.88</v>
      </c>
      <c r="H54" s="159">
        <v>1805</v>
      </c>
      <c r="I54" s="160">
        <v>1419826</v>
      </c>
      <c r="J54" s="163">
        <v>19175</v>
      </c>
      <c r="K54" s="158">
        <v>43472</v>
      </c>
      <c r="L54" s="160" t="s">
        <v>1177</v>
      </c>
      <c r="M54" s="160">
        <v>4615515804</v>
      </c>
      <c r="N54" s="158">
        <v>43490</v>
      </c>
      <c r="O54" s="164">
        <v>3.7612999999999999</v>
      </c>
      <c r="P54" s="165">
        <v>19927</v>
      </c>
      <c r="Q54" s="34">
        <f>SUMIF(Allocation[Delivery ID],Allocation[[#This Row],[Delivery ID]],Allocation[Quantity Processed])</f>
        <v>30600</v>
      </c>
      <c r="R54" s="61">
        <f>Allocation[[#This Row],[Total volume used]]/VLOOKUP(Allocation[[#This Row],[Delivery ID]],Delivery[[Delivery ID]:[Quantity delivered]],3,FALSE)</f>
        <v>1</v>
      </c>
      <c r="S54" s="34">
        <f>Allocation[[#This Row],[Quantity Processed]]/Allocation[[#This Row],[Dilution rate]]</f>
        <v>1899.3055555555557</v>
      </c>
      <c r="T54" s="59">
        <f>SUMIF(Allocation[Delivery ID],Allocation[[#This Row],[Delivery ID]],Allocation[Quantity allocated])/SUMIF(Allocation[Delivery ID],Allocation[[#This Row],[Delivery ID]],Allocation[Volume available (kg)])</f>
        <v>0.95237441594490635</v>
      </c>
      <c r="U54" s="61">
        <f>Allocation[[#This Row],[Total volume used]]/VLOOKUP(Allocation[[#This Row],[Delivery ID]],Delivery[[Delivery ID]:[Quantity delivered]],3,FALSE)</f>
        <v>1</v>
      </c>
      <c r="V54" s="34" t="e">
        <f>VLOOKUP(Allocation[[#This Row],[SAP Contract number]],Shipments[[SAP Contract number]:[Contracted container weight]],2,FALSE)</f>
        <v>#N/A</v>
      </c>
      <c r="W54" s="34" t="e">
        <f>VLOOKUP(Allocation[[#This Row],[SAP Contract number]],Shipments[[SAP Contract number]:[AAA Premium USD]],24,FALSE)</f>
        <v>#N/A</v>
      </c>
      <c r="X54" s="34" t="e">
        <f>VLOOKUP(Allocation[[#This Row],[SAP Contract number]],Shipments[[SAP Contract number]:[RA Premium USD]],25,FALSE)</f>
        <v>#N/A</v>
      </c>
      <c r="Y54" s="38">
        <f>Allocation[[#This Row],[Quantity Processed]]/Allocation[[#This Row],[Quantity allocated]]</f>
        <v>3.0304709141274238</v>
      </c>
      <c r="Z54" s="34" t="b">
        <f>Allocation[[#This Row],[Quantity allocated]]&lt;=Allocation[[#This Row],[Quantity Processed]]</f>
        <v>1</v>
      </c>
    </row>
    <row r="55" spans="1:26">
      <c r="A55" s="247" t="s">
        <v>467</v>
      </c>
      <c r="B55" s="160" t="s">
        <v>68</v>
      </c>
      <c r="C55" s="249" t="s">
        <v>1053</v>
      </c>
      <c r="D55" s="161">
        <v>23539</v>
      </c>
      <c r="E55" s="160" t="s">
        <v>1168</v>
      </c>
      <c r="F55" s="158">
        <v>43462</v>
      </c>
      <c r="G55" s="162">
        <v>2.88</v>
      </c>
      <c r="H55" s="159">
        <v>7768</v>
      </c>
      <c r="I55" s="160">
        <v>1419827</v>
      </c>
      <c r="J55" s="163">
        <v>19175</v>
      </c>
      <c r="K55" s="158">
        <v>43472</v>
      </c>
      <c r="L55" s="160" t="s">
        <v>1178</v>
      </c>
      <c r="M55" s="160">
        <v>4615515804</v>
      </c>
      <c r="N55" s="158">
        <v>43490</v>
      </c>
      <c r="O55" s="164">
        <v>3.7612999999999999</v>
      </c>
      <c r="P55" s="165">
        <v>19927</v>
      </c>
      <c r="Q55" s="34">
        <f>SUMIF(Allocation[Delivery ID],Allocation[[#This Row],[Delivery ID]],Allocation[Quantity Processed])</f>
        <v>30600</v>
      </c>
      <c r="R55" s="61">
        <f>Allocation[[#This Row],[Total volume used]]/VLOOKUP(Allocation[[#This Row],[Delivery ID]],Delivery[[Delivery ID]:[Quantity delivered]],3,FALSE)</f>
        <v>1</v>
      </c>
      <c r="S55" s="34">
        <f>Allocation[[#This Row],[Quantity Processed]]/Allocation[[#This Row],[Dilution rate]]</f>
        <v>8173.2638888888896</v>
      </c>
      <c r="T55" s="59">
        <f>SUMIF(Allocation[Delivery ID],Allocation[[#This Row],[Delivery ID]],Allocation[Quantity allocated])/SUMIF(Allocation[Delivery ID],Allocation[[#This Row],[Delivery ID]],Allocation[Volume available (kg)])</f>
        <v>0.95237441594490635</v>
      </c>
      <c r="U55" s="61">
        <f>Allocation[[#This Row],[Total volume used]]/VLOOKUP(Allocation[[#This Row],[Delivery ID]],Delivery[[Delivery ID]:[Quantity delivered]],3,FALSE)</f>
        <v>1</v>
      </c>
      <c r="V55" s="34" t="e">
        <f>VLOOKUP(Allocation[[#This Row],[SAP Contract number]],Shipments[[SAP Contract number]:[Contracted container weight]],2,FALSE)</f>
        <v>#N/A</v>
      </c>
      <c r="W55" s="34" t="e">
        <f>VLOOKUP(Allocation[[#This Row],[SAP Contract number]],Shipments[[SAP Contract number]:[AAA Premium USD]],24,FALSE)</f>
        <v>#N/A</v>
      </c>
      <c r="X55" s="34" t="e">
        <f>VLOOKUP(Allocation[[#This Row],[SAP Contract number]],Shipments[[SAP Contract number]:[RA Premium USD]],25,FALSE)</f>
        <v>#N/A</v>
      </c>
      <c r="Y55" s="38">
        <f>Allocation[[#This Row],[Quantity Processed]]/Allocation[[#This Row],[Quantity allocated]]</f>
        <v>3.0302523171987641</v>
      </c>
      <c r="Z55" s="34" t="b">
        <f>Allocation[[#This Row],[Quantity allocated]]&lt;=Allocation[[#This Row],[Quantity Processed]]</f>
        <v>1</v>
      </c>
    </row>
    <row r="56" spans="1:26">
      <c r="A56" s="247" t="s">
        <v>467</v>
      </c>
      <c r="B56" s="160" t="s">
        <v>68</v>
      </c>
      <c r="C56" s="249" t="s">
        <v>1054</v>
      </c>
      <c r="D56" s="161">
        <v>28404</v>
      </c>
      <c r="E56" s="160" t="s">
        <v>1168</v>
      </c>
      <c r="F56" s="158">
        <v>43462</v>
      </c>
      <c r="G56" s="162">
        <v>2.88</v>
      </c>
      <c r="H56" s="159">
        <v>9385</v>
      </c>
      <c r="I56" s="160">
        <v>1419827</v>
      </c>
      <c r="J56" s="163">
        <v>19175</v>
      </c>
      <c r="K56" s="158">
        <v>43472</v>
      </c>
      <c r="L56" s="160" t="s">
        <v>1178</v>
      </c>
      <c r="M56" s="160">
        <v>4615515804</v>
      </c>
      <c r="N56" s="158">
        <v>43490</v>
      </c>
      <c r="O56" s="164">
        <v>3.7612999999999999</v>
      </c>
      <c r="P56" s="165">
        <v>19927</v>
      </c>
      <c r="Q56" s="34">
        <f>SUMIF(Allocation[Delivery ID],Allocation[[#This Row],[Delivery ID]],Allocation[Quantity Processed])</f>
        <v>29990</v>
      </c>
      <c r="R56" s="61">
        <f>Allocation[[#This Row],[Total volume used]]/VLOOKUP(Allocation[[#This Row],[Delivery ID]],Delivery[[Delivery ID]:[Quantity delivered]],3,FALSE)</f>
        <v>1</v>
      </c>
      <c r="S56" s="34">
        <f>Allocation[[#This Row],[Quantity Processed]]/Allocation[[#This Row],[Dilution rate]]</f>
        <v>9862.5</v>
      </c>
      <c r="T56" s="59">
        <f>SUMIF(Allocation[Delivery ID],Allocation[[#This Row],[Delivery ID]],Allocation[Quantity allocated])/SUMIF(Allocation[Delivery ID],Allocation[[#This Row],[Delivery ID]],Allocation[Volume available (kg)])</f>
        <v>0.95369027945789675</v>
      </c>
      <c r="U56" s="61">
        <f>Allocation[[#This Row],[Total volume used]]/VLOOKUP(Allocation[[#This Row],[Delivery ID]],Delivery[[Delivery ID]:[Quantity delivered]],3,FALSE)</f>
        <v>1</v>
      </c>
      <c r="V56" s="34" t="e">
        <f>VLOOKUP(Allocation[[#This Row],[SAP Contract number]],Shipments[[SAP Contract number]:[Contracted container weight]],2,FALSE)</f>
        <v>#N/A</v>
      </c>
      <c r="W56" s="34" t="e">
        <f>VLOOKUP(Allocation[[#This Row],[SAP Contract number]],Shipments[[SAP Contract number]:[AAA Premium USD]],24,FALSE)</f>
        <v>#N/A</v>
      </c>
      <c r="X56" s="34" t="e">
        <f>VLOOKUP(Allocation[[#This Row],[SAP Contract number]],Shipments[[SAP Contract number]:[RA Premium USD]],25,FALSE)</f>
        <v>#N/A</v>
      </c>
      <c r="Y56" s="38">
        <f>Allocation[[#This Row],[Quantity Processed]]/Allocation[[#This Row],[Quantity allocated]]</f>
        <v>3.0265316995205116</v>
      </c>
      <c r="Z56" s="34" t="b">
        <f>Allocation[[#This Row],[Quantity allocated]]&lt;=Allocation[[#This Row],[Quantity Processed]]</f>
        <v>1</v>
      </c>
    </row>
    <row r="57" spans="1:26">
      <c r="A57" s="247" t="s">
        <v>467</v>
      </c>
      <c r="B57" s="160" t="s">
        <v>68</v>
      </c>
      <c r="C57" s="249" t="s">
        <v>1055</v>
      </c>
      <c r="D57" s="161">
        <v>6127</v>
      </c>
      <c r="E57" s="160" t="s">
        <v>1168</v>
      </c>
      <c r="F57" s="158">
        <v>43462</v>
      </c>
      <c r="G57" s="162">
        <v>2.88</v>
      </c>
      <c r="H57" s="159">
        <v>2022</v>
      </c>
      <c r="I57" s="160">
        <v>1419827</v>
      </c>
      <c r="J57" s="163">
        <v>19175</v>
      </c>
      <c r="K57" s="158">
        <v>43472</v>
      </c>
      <c r="L57" s="160" t="s">
        <v>1178</v>
      </c>
      <c r="M57" s="160">
        <v>4615515804</v>
      </c>
      <c r="N57" s="158">
        <v>43490</v>
      </c>
      <c r="O57" s="164">
        <v>3.7612999999999999</v>
      </c>
      <c r="P57" s="165">
        <v>19927</v>
      </c>
      <c r="Q57" s="34">
        <f>SUMIF(Allocation[Delivery ID],Allocation[[#This Row],[Delivery ID]],Allocation[Quantity Processed])</f>
        <v>30000</v>
      </c>
      <c r="R57" s="61">
        <f>Allocation[[#This Row],[Total volume used]]/VLOOKUP(Allocation[[#This Row],[Delivery ID]],Delivery[[Delivery ID]:[Quantity delivered]],3,FALSE)</f>
        <v>1</v>
      </c>
      <c r="S57" s="34">
        <f>Allocation[[#This Row],[Quantity Processed]]/Allocation[[#This Row],[Dilution rate]]</f>
        <v>2127.4305555555557</v>
      </c>
      <c r="T57" s="59">
        <f>SUMIF(Allocation[Delivery ID],Allocation[[#This Row],[Delivery ID]],Allocation[Quantity allocated])/SUMIF(Allocation[Delivery ID],Allocation[[#This Row],[Delivery ID]],Allocation[Volume available (kg)])</f>
        <v>0.95335852597215165</v>
      </c>
      <c r="U57" s="61">
        <f>Allocation[[#This Row],[Total volume used]]/VLOOKUP(Allocation[[#This Row],[Delivery ID]],Delivery[[Delivery ID]:[Quantity delivered]],3,FALSE)</f>
        <v>1</v>
      </c>
      <c r="V57" s="34" t="e">
        <f>VLOOKUP(Allocation[[#This Row],[SAP Contract number]],Shipments[[SAP Contract number]:[Contracted container weight]],2,FALSE)</f>
        <v>#N/A</v>
      </c>
      <c r="W57" s="34" t="e">
        <f>VLOOKUP(Allocation[[#This Row],[SAP Contract number]],Shipments[[SAP Contract number]:[AAA Premium USD]],24,FALSE)</f>
        <v>#N/A</v>
      </c>
      <c r="X57" s="34" t="e">
        <f>VLOOKUP(Allocation[[#This Row],[SAP Contract number]],Shipments[[SAP Contract number]:[RA Premium USD]],25,FALSE)</f>
        <v>#N/A</v>
      </c>
      <c r="Y57" s="38">
        <f>Allocation[[#This Row],[Quantity Processed]]/Allocation[[#This Row],[Quantity allocated]]</f>
        <v>3.0301681503461917</v>
      </c>
      <c r="Z57" s="34" t="b">
        <f>Allocation[[#This Row],[Quantity allocated]]&lt;=Allocation[[#This Row],[Quantity Processed]]</f>
        <v>1</v>
      </c>
    </row>
    <row r="58" spans="1:26">
      <c r="A58" s="247" t="s">
        <v>467</v>
      </c>
      <c r="B58" s="160" t="s">
        <v>68</v>
      </c>
      <c r="C58" s="249" t="s">
        <v>1055</v>
      </c>
      <c r="D58" s="161">
        <v>22312</v>
      </c>
      <c r="E58" s="160" t="s">
        <v>1168</v>
      </c>
      <c r="F58" s="158">
        <v>43462</v>
      </c>
      <c r="G58" s="162">
        <v>2.88</v>
      </c>
      <c r="H58" s="159">
        <v>7363</v>
      </c>
      <c r="I58" s="160">
        <v>1419828</v>
      </c>
      <c r="J58" s="163">
        <v>19175</v>
      </c>
      <c r="K58" s="158">
        <v>43472</v>
      </c>
      <c r="L58" s="160" t="s">
        <v>1179</v>
      </c>
      <c r="M58" s="160">
        <v>4615515804</v>
      </c>
      <c r="N58" s="158">
        <v>43490</v>
      </c>
      <c r="O58" s="164">
        <v>3.7612999999999999</v>
      </c>
      <c r="P58" s="165">
        <v>19927</v>
      </c>
      <c r="Q58" s="34">
        <f>SUMIF(Allocation[Delivery ID],Allocation[[#This Row],[Delivery ID]],Allocation[Quantity Processed])</f>
        <v>30000</v>
      </c>
      <c r="R58" s="61">
        <f>Allocation[[#This Row],[Total volume used]]/VLOOKUP(Allocation[[#This Row],[Delivery ID]],Delivery[[Delivery ID]:[Quantity delivered]],3,FALSE)</f>
        <v>1</v>
      </c>
      <c r="S58" s="34">
        <f>Allocation[[#This Row],[Quantity Processed]]/Allocation[[#This Row],[Dilution rate]]</f>
        <v>7747.2222222222226</v>
      </c>
      <c r="T58" s="59">
        <f>SUMIF(Allocation[Delivery ID],Allocation[[#This Row],[Delivery ID]],Allocation[Quantity allocated])/SUMIF(Allocation[Delivery ID],Allocation[[#This Row],[Delivery ID]],Allocation[Volume available (kg)])</f>
        <v>0.95335852597215165</v>
      </c>
      <c r="U58" s="61">
        <f>Allocation[[#This Row],[Total volume used]]/VLOOKUP(Allocation[[#This Row],[Delivery ID]],Delivery[[Delivery ID]:[Quantity delivered]],3,FALSE)</f>
        <v>1</v>
      </c>
      <c r="V58" s="34" t="e">
        <f>VLOOKUP(Allocation[[#This Row],[SAP Contract number]],Shipments[[SAP Contract number]:[Contracted container weight]],2,FALSE)</f>
        <v>#N/A</v>
      </c>
      <c r="W58" s="34" t="e">
        <f>VLOOKUP(Allocation[[#This Row],[SAP Contract number]],Shipments[[SAP Contract number]:[AAA Premium USD]],24,FALSE)</f>
        <v>#N/A</v>
      </c>
      <c r="X58" s="34" t="e">
        <f>VLOOKUP(Allocation[[#This Row],[SAP Contract number]],Shipments[[SAP Contract number]:[RA Premium USD]],25,FALSE)</f>
        <v>#N/A</v>
      </c>
      <c r="Y58" s="38">
        <f>Allocation[[#This Row],[Quantity Processed]]/Allocation[[#This Row],[Quantity allocated]]</f>
        <v>3.0302865679750104</v>
      </c>
      <c r="Z58" s="34" t="b">
        <f>Allocation[[#This Row],[Quantity allocated]]&lt;=Allocation[[#This Row],[Quantity Processed]]</f>
        <v>1</v>
      </c>
    </row>
    <row r="59" spans="1:26">
      <c r="A59" s="247" t="s">
        <v>467</v>
      </c>
      <c r="B59" s="160" t="s">
        <v>68</v>
      </c>
      <c r="C59" s="249" t="s">
        <v>1056</v>
      </c>
      <c r="D59" s="161">
        <v>19085</v>
      </c>
      <c r="E59" s="160" t="s">
        <v>1168</v>
      </c>
      <c r="F59" s="158">
        <v>43462</v>
      </c>
      <c r="G59" s="162">
        <v>2.88</v>
      </c>
      <c r="H59" s="159">
        <v>6298</v>
      </c>
      <c r="I59" s="160">
        <v>1419828</v>
      </c>
      <c r="J59" s="163">
        <v>19175</v>
      </c>
      <c r="K59" s="158">
        <v>43472</v>
      </c>
      <c r="L59" s="160" t="s">
        <v>1179</v>
      </c>
      <c r="M59" s="160">
        <v>4615515804</v>
      </c>
      <c r="N59" s="158">
        <v>43490</v>
      </c>
      <c r="O59" s="164">
        <v>3.7612999999999999</v>
      </c>
      <c r="P59" s="165">
        <v>19927</v>
      </c>
      <c r="Q59" s="34">
        <f>SUMIF(Allocation[Delivery ID],Allocation[[#This Row],[Delivery ID]],Allocation[Quantity Processed])</f>
        <v>26594</v>
      </c>
      <c r="R59" s="61">
        <f>Allocation[[#This Row],[Total volume used]]/VLOOKUP(Allocation[[#This Row],[Delivery ID]],Delivery[[Delivery ID]:[Quantity delivered]],3,FALSE)</f>
        <v>0.80955859969558597</v>
      </c>
      <c r="S59" s="34">
        <f>Allocation[[#This Row],[Quantity Processed]]/Allocation[[#This Row],[Dilution rate]]</f>
        <v>6626.7361111111113</v>
      </c>
      <c r="T59" s="59">
        <f>SUMIF(Allocation[Delivery ID],Allocation[[#This Row],[Delivery ID]],Allocation[Quantity allocated])/SUMIF(Allocation[Delivery ID],Allocation[[#This Row],[Delivery ID]],Allocation[Volume available (kg)])</f>
        <v>0.95499938164912568</v>
      </c>
      <c r="U59" s="61">
        <f>Allocation[[#This Row],[Total volume used]]/VLOOKUP(Allocation[[#This Row],[Delivery ID]],Delivery[[Delivery ID]:[Quantity delivered]],3,FALSE)</f>
        <v>0.80955859969558597</v>
      </c>
      <c r="V59" s="34" t="e">
        <f>VLOOKUP(Allocation[[#This Row],[SAP Contract number]],Shipments[[SAP Contract number]:[Contracted container weight]],2,FALSE)</f>
        <v>#N/A</v>
      </c>
      <c r="W59" s="34" t="e">
        <f>VLOOKUP(Allocation[[#This Row],[SAP Contract number]],Shipments[[SAP Contract number]:[AAA Premium USD]],24,FALSE)</f>
        <v>#N/A</v>
      </c>
      <c r="X59" s="34" t="e">
        <f>VLOOKUP(Allocation[[#This Row],[SAP Contract number]],Shipments[[SAP Contract number]:[RA Premium USD]],25,FALSE)</f>
        <v>#N/A</v>
      </c>
      <c r="Y59" s="38">
        <f>Allocation[[#This Row],[Quantity Processed]]/Allocation[[#This Row],[Quantity allocated]]</f>
        <v>3.0303270879644333</v>
      </c>
      <c r="Z59" s="34" t="b">
        <f>Allocation[[#This Row],[Quantity allocated]]&lt;=Allocation[[#This Row],[Quantity Processed]]</f>
        <v>1</v>
      </c>
    </row>
    <row r="60" spans="1:26">
      <c r="A60" s="247" t="s">
        <v>467</v>
      </c>
      <c r="B60" s="160" t="s">
        <v>68</v>
      </c>
      <c r="C60" s="249" t="s">
        <v>1057</v>
      </c>
      <c r="D60" s="161">
        <v>16709</v>
      </c>
      <c r="E60" s="160" t="s">
        <v>1168</v>
      </c>
      <c r="F60" s="158">
        <v>43462</v>
      </c>
      <c r="G60" s="162">
        <v>2.88</v>
      </c>
      <c r="H60" s="159">
        <v>5514</v>
      </c>
      <c r="I60" s="160">
        <v>1419828</v>
      </c>
      <c r="J60" s="163">
        <v>19175</v>
      </c>
      <c r="K60" s="158">
        <v>43472</v>
      </c>
      <c r="L60" s="160" t="s">
        <v>1179</v>
      </c>
      <c r="M60" s="160">
        <v>4615515804</v>
      </c>
      <c r="N60" s="158">
        <v>43490</v>
      </c>
      <c r="O60" s="164">
        <v>3.7612999999999999</v>
      </c>
      <c r="P60" s="165">
        <v>19927</v>
      </c>
      <c r="Q60" s="34">
        <f>SUMIF(Allocation[Delivery ID],Allocation[[#This Row],[Delivery ID]],Allocation[Quantity Processed])</f>
        <v>28250</v>
      </c>
      <c r="R60" s="61">
        <f>Allocation[[#This Row],[Total volume used]]/VLOOKUP(Allocation[[#This Row],[Delivery ID]],Delivery[[Delivery ID]:[Quantity delivered]],3,FALSE)</f>
        <v>1</v>
      </c>
      <c r="S60" s="34">
        <f>Allocation[[#This Row],[Quantity Processed]]/Allocation[[#This Row],[Dilution rate]]</f>
        <v>5801.7361111111113</v>
      </c>
      <c r="T60" s="59">
        <f>SUMIF(Allocation[Delivery ID],Allocation[[#This Row],[Delivery ID]],Allocation[Quantity allocated])/SUMIF(Allocation[Delivery ID],Allocation[[#This Row],[Delivery ID]],Allocation[Volume available (kg)])</f>
        <v>0.95077919045508696</v>
      </c>
      <c r="U60" s="61">
        <f>Allocation[[#This Row],[Total volume used]]/VLOOKUP(Allocation[[#This Row],[Delivery ID]],Delivery[[Delivery ID]:[Quantity delivered]],3,FALSE)</f>
        <v>1</v>
      </c>
      <c r="V60" s="34" t="e">
        <f>VLOOKUP(Allocation[[#This Row],[SAP Contract number]],Shipments[[SAP Contract number]:[Contracted container weight]],2,FALSE)</f>
        <v>#N/A</v>
      </c>
      <c r="W60" s="34" t="e">
        <f>VLOOKUP(Allocation[[#This Row],[SAP Contract number]],Shipments[[SAP Contract number]:[AAA Premium USD]],24,FALSE)</f>
        <v>#N/A</v>
      </c>
      <c r="X60" s="34" t="e">
        <f>VLOOKUP(Allocation[[#This Row],[SAP Contract number]],Shipments[[SAP Contract number]:[RA Premium USD]],25,FALSE)</f>
        <v>#N/A</v>
      </c>
      <c r="Y60" s="38">
        <f>Allocation[[#This Row],[Quantity Processed]]/Allocation[[#This Row],[Quantity allocated]]</f>
        <v>3.0302865433442148</v>
      </c>
      <c r="Z60" s="34" t="b">
        <f>Allocation[[#This Row],[Quantity allocated]]&lt;=Allocation[[#This Row],[Quantity Processed]]</f>
        <v>1</v>
      </c>
    </row>
    <row r="61" spans="1:26">
      <c r="A61" s="247" t="s">
        <v>467</v>
      </c>
      <c r="B61" s="160" t="s">
        <v>68</v>
      </c>
      <c r="C61" s="249" t="s">
        <v>1057</v>
      </c>
      <c r="D61" s="161">
        <v>10082</v>
      </c>
      <c r="E61" s="160" t="s">
        <v>1168</v>
      </c>
      <c r="F61" s="158">
        <v>43462</v>
      </c>
      <c r="G61" s="162">
        <v>2.88</v>
      </c>
      <c r="H61" s="159">
        <v>3327</v>
      </c>
      <c r="I61" s="160">
        <v>1419829</v>
      </c>
      <c r="J61" s="163">
        <v>19175</v>
      </c>
      <c r="K61" s="158">
        <v>43472</v>
      </c>
      <c r="L61" s="160" t="s">
        <v>1180</v>
      </c>
      <c r="M61" s="160">
        <v>4615515804</v>
      </c>
      <c r="N61" s="158">
        <v>43490</v>
      </c>
      <c r="O61" s="164">
        <v>3.7612999999999999</v>
      </c>
      <c r="P61" s="165">
        <v>19927</v>
      </c>
      <c r="Q61" s="34">
        <f>SUMIF(Allocation[Delivery ID],Allocation[[#This Row],[Delivery ID]],Allocation[Quantity Processed])</f>
        <v>28250</v>
      </c>
      <c r="R61" s="61">
        <f>Allocation[[#This Row],[Total volume used]]/VLOOKUP(Allocation[[#This Row],[Delivery ID]],Delivery[[Delivery ID]:[Quantity delivered]],3,FALSE)</f>
        <v>1</v>
      </c>
      <c r="S61" s="34">
        <f>Allocation[[#This Row],[Quantity Processed]]/Allocation[[#This Row],[Dilution rate]]</f>
        <v>3500.6944444444448</v>
      </c>
      <c r="T61" s="59">
        <f>SUMIF(Allocation[Delivery ID],Allocation[[#This Row],[Delivery ID]],Allocation[Quantity allocated])/SUMIF(Allocation[Delivery ID],Allocation[[#This Row],[Delivery ID]],Allocation[Volume available (kg)])</f>
        <v>0.95077919045508696</v>
      </c>
      <c r="U61" s="61">
        <f>Allocation[[#This Row],[Total volume used]]/VLOOKUP(Allocation[[#This Row],[Delivery ID]],Delivery[[Delivery ID]:[Quantity delivered]],3,FALSE)</f>
        <v>1</v>
      </c>
      <c r="V61" s="34" t="e">
        <f>VLOOKUP(Allocation[[#This Row],[SAP Contract number]],Shipments[[SAP Contract number]:[Contracted container weight]],2,FALSE)</f>
        <v>#N/A</v>
      </c>
      <c r="W61" s="34" t="e">
        <f>VLOOKUP(Allocation[[#This Row],[SAP Contract number]],Shipments[[SAP Contract number]:[AAA Premium USD]],24,FALSE)</f>
        <v>#N/A</v>
      </c>
      <c r="X61" s="34" t="e">
        <f>VLOOKUP(Allocation[[#This Row],[SAP Contract number]],Shipments[[SAP Contract number]:[RA Premium USD]],25,FALSE)</f>
        <v>#N/A</v>
      </c>
      <c r="Y61" s="38">
        <f>Allocation[[#This Row],[Quantity Processed]]/Allocation[[#This Row],[Quantity allocated]]</f>
        <v>3.0303576795912233</v>
      </c>
      <c r="Z61" s="34" t="b">
        <f>Allocation[[#This Row],[Quantity allocated]]&lt;=Allocation[[#This Row],[Quantity Processed]]</f>
        <v>1</v>
      </c>
    </row>
    <row r="62" spans="1:26">
      <c r="A62" s="247" t="s">
        <v>467</v>
      </c>
      <c r="B62" s="160" t="s">
        <v>68</v>
      </c>
      <c r="C62" s="249" t="s">
        <v>1058</v>
      </c>
      <c r="D62" s="161">
        <v>19085</v>
      </c>
      <c r="E62" s="160" t="s">
        <v>1168</v>
      </c>
      <c r="F62" s="158">
        <v>43462</v>
      </c>
      <c r="G62" s="162">
        <v>2.88</v>
      </c>
      <c r="H62" s="159">
        <v>6298</v>
      </c>
      <c r="I62" s="160">
        <v>1419829</v>
      </c>
      <c r="J62" s="163">
        <v>19175</v>
      </c>
      <c r="K62" s="158">
        <v>43472</v>
      </c>
      <c r="L62" s="160" t="s">
        <v>1180</v>
      </c>
      <c r="M62" s="160">
        <v>4615515804</v>
      </c>
      <c r="N62" s="158">
        <v>43490</v>
      </c>
      <c r="O62" s="164">
        <v>3.7612999999999999</v>
      </c>
      <c r="P62" s="165">
        <v>19927</v>
      </c>
      <c r="Q62" s="34">
        <f>SUMIF(Allocation[Delivery ID],Allocation[[#This Row],[Delivery ID]],Allocation[Quantity Processed])</f>
        <v>26594</v>
      </c>
      <c r="R62" s="61">
        <f>Allocation[[#This Row],[Total volume used]]/VLOOKUP(Allocation[[#This Row],[Delivery ID]],Delivery[[Delivery ID]:[Quantity delivered]],3,FALSE)</f>
        <v>0.81029859841560026</v>
      </c>
      <c r="S62" s="34">
        <f>Allocation[[#This Row],[Quantity Processed]]/Allocation[[#This Row],[Dilution rate]]</f>
        <v>6626.7361111111113</v>
      </c>
      <c r="T62" s="59">
        <f>SUMIF(Allocation[Delivery ID],Allocation[[#This Row],[Delivery ID]],Allocation[Quantity allocated])/SUMIF(Allocation[Delivery ID],Allocation[[#This Row],[Delivery ID]],Allocation[Volume available (kg)])</f>
        <v>0.95499938164912568</v>
      </c>
      <c r="U62" s="61">
        <f>Allocation[[#This Row],[Total volume used]]/VLOOKUP(Allocation[[#This Row],[Delivery ID]],Delivery[[Delivery ID]:[Quantity delivered]],3,FALSE)</f>
        <v>0.81029859841560026</v>
      </c>
      <c r="V62" s="34" t="e">
        <f>VLOOKUP(Allocation[[#This Row],[SAP Contract number]],Shipments[[SAP Contract number]:[Contracted container weight]],2,FALSE)</f>
        <v>#N/A</v>
      </c>
      <c r="W62" s="34" t="e">
        <f>VLOOKUP(Allocation[[#This Row],[SAP Contract number]],Shipments[[SAP Contract number]:[AAA Premium USD]],24,FALSE)</f>
        <v>#N/A</v>
      </c>
      <c r="X62" s="34" t="e">
        <f>VLOOKUP(Allocation[[#This Row],[SAP Contract number]],Shipments[[SAP Contract number]:[RA Premium USD]],25,FALSE)</f>
        <v>#N/A</v>
      </c>
      <c r="Y62" s="38">
        <f>Allocation[[#This Row],[Quantity Processed]]/Allocation[[#This Row],[Quantity allocated]]</f>
        <v>3.0303270879644333</v>
      </c>
      <c r="Z62" s="34" t="b">
        <f>Allocation[[#This Row],[Quantity allocated]]&lt;=Allocation[[#This Row],[Quantity Processed]]</f>
        <v>1</v>
      </c>
    </row>
    <row r="63" spans="1:26">
      <c r="A63" s="247" t="s">
        <v>467</v>
      </c>
      <c r="B63" s="160" t="s">
        <v>68</v>
      </c>
      <c r="C63" s="249" t="s">
        <v>1059</v>
      </c>
      <c r="D63" s="161">
        <v>19085</v>
      </c>
      <c r="E63" s="160" t="s">
        <v>1168</v>
      </c>
      <c r="F63" s="158">
        <v>43462</v>
      </c>
      <c r="G63" s="162">
        <v>2.88</v>
      </c>
      <c r="H63" s="159">
        <v>6298</v>
      </c>
      <c r="I63" s="160">
        <v>1419829</v>
      </c>
      <c r="J63" s="163">
        <v>19175</v>
      </c>
      <c r="K63" s="158">
        <v>43472</v>
      </c>
      <c r="L63" s="160" t="s">
        <v>1180</v>
      </c>
      <c r="M63" s="160">
        <v>4615515804</v>
      </c>
      <c r="N63" s="158">
        <v>43490</v>
      </c>
      <c r="O63" s="164">
        <v>3.7612999999999999</v>
      </c>
      <c r="P63" s="165">
        <v>19927</v>
      </c>
      <c r="Q63" s="34">
        <f>SUMIF(Allocation[Delivery ID],Allocation[[#This Row],[Delivery ID]],Allocation[Quantity Processed])</f>
        <v>26594</v>
      </c>
      <c r="R63" s="61">
        <f>Allocation[[#This Row],[Total volume used]]/VLOOKUP(Allocation[[#This Row],[Delivery ID]],Delivery[[Delivery ID]:[Quantity delivered]],3,FALSE)</f>
        <v>0.80931223371880701</v>
      </c>
      <c r="S63" s="34">
        <f>Allocation[[#This Row],[Quantity Processed]]/Allocation[[#This Row],[Dilution rate]]</f>
        <v>6626.7361111111113</v>
      </c>
      <c r="T63" s="59">
        <f>SUMIF(Allocation[Delivery ID],Allocation[[#This Row],[Delivery ID]],Allocation[Quantity allocated])/SUMIF(Allocation[Delivery ID],Allocation[[#This Row],[Delivery ID]],Allocation[Volume available (kg)])</f>
        <v>0.95499938164912568</v>
      </c>
      <c r="U63" s="61">
        <f>Allocation[[#This Row],[Total volume used]]/VLOOKUP(Allocation[[#This Row],[Delivery ID]],Delivery[[Delivery ID]:[Quantity delivered]],3,FALSE)</f>
        <v>0.80931223371880701</v>
      </c>
      <c r="V63" s="34" t="e">
        <f>VLOOKUP(Allocation[[#This Row],[SAP Contract number]],Shipments[[SAP Contract number]:[Contracted container weight]],2,FALSE)</f>
        <v>#N/A</v>
      </c>
      <c r="W63" s="34" t="e">
        <f>VLOOKUP(Allocation[[#This Row],[SAP Contract number]],Shipments[[SAP Contract number]:[AAA Premium USD]],24,FALSE)</f>
        <v>#N/A</v>
      </c>
      <c r="X63" s="34" t="e">
        <f>VLOOKUP(Allocation[[#This Row],[SAP Contract number]],Shipments[[SAP Contract number]:[RA Premium USD]],25,FALSE)</f>
        <v>#N/A</v>
      </c>
      <c r="Y63" s="38">
        <f>Allocation[[#This Row],[Quantity Processed]]/Allocation[[#This Row],[Quantity allocated]]</f>
        <v>3.0303270879644333</v>
      </c>
      <c r="Z63" s="34" t="b">
        <f>Allocation[[#This Row],[Quantity allocated]]&lt;=Allocation[[#This Row],[Quantity Processed]]</f>
        <v>1</v>
      </c>
    </row>
    <row r="64" spans="1:26">
      <c r="A64" s="247" t="s">
        <v>467</v>
      </c>
      <c r="B64" s="160" t="s">
        <v>68</v>
      </c>
      <c r="C64" s="249" t="s">
        <v>1061</v>
      </c>
      <c r="D64" s="161">
        <v>9854</v>
      </c>
      <c r="E64" s="160" t="s">
        <v>1168</v>
      </c>
      <c r="F64" s="158">
        <v>43462</v>
      </c>
      <c r="G64" s="162">
        <v>2.88</v>
      </c>
      <c r="H64" s="159">
        <v>3252</v>
      </c>
      <c r="I64" s="160">
        <v>1419829</v>
      </c>
      <c r="J64" s="163">
        <v>19175</v>
      </c>
      <c r="K64" s="158">
        <v>43472</v>
      </c>
      <c r="L64" s="160" t="s">
        <v>1180</v>
      </c>
      <c r="M64" s="160">
        <v>4615515804</v>
      </c>
      <c r="N64" s="158">
        <v>43490</v>
      </c>
      <c r="O64" s="164">
        <v>3.7612999999999999</v>
      </c>
      <c r="P64" s="165">
        <v>19927</v>
      </c>
      <c r="Q64" s="34">
        <f>SUMIF(Allocation[Delivery ID],Allocation[[#This Row],[Delivery ID]],Allocation[Quantity Processed])</f>
        <v>29990</v>
      </c>
      <c r="R64" s="61">
        <f>Allocation[[#This Row],[Total volume used]]/VLOOKUP(Allocation[[#This Row],[Delivery ID]],Delivery[[Delivery ID]:[Quantity delivered]],3,FALSE)</f>
        <v>1</v>
      </c>
      <c r="S64" s="34">
        <f>Allocation[[#This Row],[Quantity Processed]]/Allocation[[#This Row],[Dilution rate]]</f>
        <v>3421.5277777777778</v>
      </c>
      <c r="T64" s="59">
        <f>SUMIF(Allocation[Delivery ID],Allocation[[#This Row],[Delivery ID]],Allocation[Quantity allocated])/SUMIF(Allocation[Delivery ID],Allocation[[#This Row],[Delivery ID]],Allocation[Volume available (kg)])</f>
        <v>0.95367126934162871</v>
      </c>
      <c r="U64" s="61">
        <f>Allocation[[#This Row],[Total volume used]]/VLOOKUP(Allocation[[#This Row],[Delivery ID]],Delivery[[Delivery ID]:[Quantity delivered]],3,FALSE)</f>
        <v>1</v>
      </c>
      <c r="V64" s="34" t="e">
        <f>VLOOKUP(Allocation[[#This Row],[SAP Contract number]],Shipments[[SAP Contract number]:[Contracted container weight]],2,FALSE)</f>
        <v>#N/A</v>
      </c>
      <c r="W64" s="34" t="e">
        <f>VLOOKUP(Allocation[[#This Row],[SAP Contract number]],Shipments[[SAP Contract number]:[AAA Premium USD]],24,FALSE)</f>
        <v>#N/A</v>
      </c>
      <c r="X64" s="34" t="e">
        <f>VLOOKUP(Allocation[[#This Row],[SAP Contract number]],Shipments[[SAP Contract number]:[RA Premium USD]],25,FALSE)</f>
        <v>#N/A</v>
      </c>
      <c r="Y64" s="38">
        <f>Allocation[[#This Row],[Quantity Processed]]/Allocation[[#This Row],[Quantity allocated]]</f>
        <v>3.0301353013530137</v>
      </c>
      <c r="Z64" s="34" t="b">
        <f>Allocation[[#This Row],[Quantity allocated]]&lt;=Allocation[[#This Row],[Quantity Processed]]</f>
        <v>1</v>
      </c>
    </row>
    <row r="65" spans="1:26">
      <c r="A65" s="247" t="s">
        <v>467</v>
      </c>
      <c r="B65" s="160" t="s">
        <v>68</v>
      </c>
      <c r="C65" s="249" t="s">
        <v>1061</v>
      </c>
      <c r="D65" s="161">
        <v>18585</v>
      </c>
      <c r="E65" s="160" t="s">
        <v>1168</v>
      </c>
      <c r="F65" s="158">
        <v>43462</v>
      </c>
      <c r="G65" s="162">
        <v>2.88</v>
      </c>
      <c r="H65" s="159">
        <v>6133</v>
      </c>
      <c r="I65" s="160">
        <v>1419830</v>
      </c>
      <c r="J65" s="163">
        <v>19175</v>
      </c>
      <c r="K65" s="158">
        <v>43472</v>
      </c>
      <c r="L65" s="160" t="s">
        <v>1181</v>
      </c>
      <c r="M65" s="160">
        <v>4615515804</v>
      </c>
      <c r="N65" s="158">
        <v>43490</v>
      </c>
      <c r="O65" s="164">
        <v>3.7612999999999999</v>
      </c>
      <c r="P65" s="165">
        <v>19927</v>
      </c>
      <c r="Q65" s="34">
        <f>SUMIF(Allocation[Delivery ID],Allocation[[#This Row],[Delivery ID]],Allocation[Quantity Processed])</f>
        <v>29990</v>
      </c>
      <c r="R65" s="61">
        <f>Allocation[[#This Row],[Total volume used]]/VLOOKUP(Allocation[[#This Row],[Delivery ID]],Delivery[[Delivery ID]:[Quantity delivered]],3,FALSE)</f>
        <v>1</v>
      </c>
      <c r="S65" s="34">
        <f>Allocation[[#This Row],[Quantity Processed]]/Allocation[[#This Row],[Dilution rate]]</f>
        <v>6453.125</v>
      </c>
      <c r="T65" s="59">
        <f>SUMIF(Allocation[Delivery ID],Allocation[[#This Row],[Delivery ID]],Allocation[Quantity allocated])/SUMIF(Allocation[Delivery ID],Allocation[[#This Row],[Delivery ID]],Allocation[Volume available (kg)])</f>
        <v>0.95367126934162871</v>
      </c>
      <c r="U65" s="61">
        <f>Allocation[[#This Row],[Total volume used]]/VLOOKUP(Allocation[[#This Row],[Delivery ID]],Delivery[[Delivery ID]:[Quantity delivered]],3,FALSE)</f>
        <v>1</v>
      </c>
      <c r="V65" s="34" t="e">
        <f>VLOOKUP(Allocation[[#This Row],[SAP Contract number]],Shipments[[SAP Contract number]:[Contracted container weight]],2,FALSE)</f>
        <v>#N/A</v>
      </c>
      <c r="W65" s="34" t="e">
        <f>VLOOKUP(Allocation[[#This Row],[SAP Contract number]],Shipments[[SAP Contract number]:[AAA Premium USD]],24,FALSE)</f>
        <v>#N/A</v>
      </c>
      <c r="X65" s="34" t="e">
        <f>VLOOKUP(Allocation[[#This Row],[SAP Contract number]],Shipments[[SAP Contract number]:[RA Premium USD]],25,FALSE)</f>
        <v>#N/A</v>
      </c>
      <c r="Y65" s="38">
        <f>Allocation[[#This Row],[Quantity Processed]]/Allocation[[#This Row],[Quantity allocated]]</f>
        <v>3.030327735203</v>
      </c>
      <c r="Z65" s="34" t="b">
        <f>Allocation[[#This Row],[Quantity allocated]]&lt;=Allocation[[#This Row],[Quantity Processed]]</f>
        <v>1</v>
      </c>
    </row>
    <row r="66" spans="1:26">
      <c r="A66" s="247" t="s">
        <v>467</v>
      </c>
      <c r="B66" s="160" t="s">
        <v>68</v>
      </c>
      <c r="C66" s="249" t="s">
        <v>1062</v>
      </c>
      <c r="D66" s="161">
        <v>6467</v>
      </c>
      <c r="E66" s="160" t="s">
        <v>1168</v>
      </c>
      <c r="F66" s="158">
        <v>43462</v>
      </c>
      <c r="G66" s="162">
        <v>2.88</v>
      </c>
      <c r="H66" s="159">
        <v>2910</v>
      </c>
      <c r="I66" s="160">
        <v>1419830</v>
      </c>
      <c r="J66" s="163">
        <v>19175</v>
      </c>
      <c r="K66" s="158">
        <v>43472</v>
      </c>
      <c r="L66" s="160" t="s">
        <v>1181</v>
      </c>
      <c r="M66" s="160">
        <v>4615515804</v>
      </c>
      <c r="N66" s="158">
        <v>43490</v>
      </c>
      <c r="O66" s="164">
        <v>3.7612999999999999</v>
      </c>
      <c r="P66" s="165">
        <v>19927</v>
      </c>
      <c r="Q66" s="34">
        <f>SUMIF(Allocation[Delivery ID],Allocation[[#This Row],[Delivery ID]],Allocation[Quantity Processed])</f>
        <v>17572</v>
      </c>
      <c r="R66" s="61">
        <f>Allocation[[#This Row],[Total volume used]]/VLOOKUP(Allocation[[#This Row],[Delivery ID]],Delivery[[Delivery ID]:[Quantity delivered]],3,FALSE)</f>
        <v>0.78097777777777777</v>
      </c>
      <c r="S66" s="34">
        <f>Allocation[[#This Row],[Quantity Processed]]/Allocation[[#This Row],[Dilution rate]]</f>
        <v>2245.4861111111113</v>
      </c>
      <c r="T66" s="59">
        <f>SUMIF(Allocation[Delivery ID],Allocation[[#This Row],[Delivery ID]],Allocation[Quantity allocated])/SUMIF(Allocation[Delivery ID],Allocation[[#This Row],[Delivery ID]],Allocation[Volume available (kg)])</f>
        <v>1.3108909975420102</v>
      </c>
      <c r="U66" s="61">
        <f>Allocation[[#This Row],[Total volume used]]/VLOOKUP(Allocation[[#This Row],[Delivery ID]],Delivery[[Delivery ID]:[Quantity delivered]],3,FALSE)</f>
        <v>0.78097777777777777</v>
      </c>
      <c r="V66" s="34" t="e">
        <f>VLOOKUP(Allocation[[#This Row],[SAP Contract number]],Shipments[[SAP Contract number]:[Contracted container weight]],2,FALSE)</f>
        <v>#N/A</v>
      </c>
      <c r="W66" s="34" t="e">
        <f>VLOOKUP(Allocation[[#This Row],[SAP Contract number]],Shipments[[SAP Contract number]:[AAA Premium USD]],24,FALSE)</f>
        <v>#N/A</v>
      </c>
      <c r="X66" s="34" t="e">
        <f>VLOOKUP(Allocation[[#This Row],[SAP Contract number]],Shipments[[SAP Contract number]:[RA Premium USD]],25,FALSE)</f>
        <v>#N/A</v>
      </c>
      <c r="Y66" s="38">
        <f>Allocation[[#This Row],[Quantity Processed]]/Allocation[[#This Row],[Quantity allocated]]</f>
        <v>2.2223367697594503</v>
      </c>
      <c r="Z66" s="34" t="b">
        <f>Allocation[[#This Row],[Quantity allocated]]&lt;=Allocation[[#This Row],[Quantity Processed]]</f>
        <v>1</v>
      </c>
    </row>
    <row r="67" spans="1:26">
      <c r="A67" s="247" t="s">
        <v>467</v>
      </c>
      <c r="B67" s="160" t="s">
        <v>68</v>
      </c>
      <c r="C67" s="249" t="s">
        <v>1065</v>
      </c>
      <c r="D67" s="161">
        <v>2676</v>
      </c>
      <c r="E67" s="160" t="s">
        <v>1168</v>
      </c>
      <c r="F67" s="158">
        <v>43462</v>
      </c>
      <c r="G67" s="162">
        <v>2.88</v>
      </c>
      <c r="H67" s="159">
        <v>1097</v>
      </c>
      <c r="I67" s="160">
        <v>1419830</v>
      </c>
      <c r="J67" s="163">
        <v>19175</v>
      </c>
      <c r="K67" s="158">
        <v>43472</v>
      </c>
      <c r="L67" s="160" t="s">
        <v>1181</v>
      </c>
      <c r="M67" s="160">
        <v>4615515804</v>
      </c>
      <c r="N67" s="158">
        <v>43490</v>
      </c>
      <c r="O67" s="164">
        <v>3.7612999999999999</v>
      </c>
      <c r="P67" s="165">
        <v>19927</v>
      </c>
      <c r="Q67" s="34">
        <f>SUMIF(Allocation[Delivery ID],Allocation[[#This Row],[Delivery ID]],Allocation[Quantity Processed])</f>
        <v>8479</v>
      </c>
      <c r="R67" s="61">
        <f>Allocation[[#This Row],[Total volume used]]/VLOOKUP(Allocation[[#This Row],[Delivery ID]],Delivery[[Delivery ID]:[Quantity delivered]],3,FALSE)</f>
        <v>1</v>
      </c>
      <c r="S67" s="34">
        <f>Allocation[[#This Row],[Quantity Processed]]/Allocation[[#This Row],[Dilution rate]]</f>
        <v>929.16666666666674</v>
      </c>
      <c r="T67" s="59">
        <f>SUMIF(Allocation[Delivery ID],Allocation[[#This Row],[Delivery ID]],Allocation[Quantity allocated])/SUMIF(Allocation[Delivery ID],Allocation[[#This Row],[Delivery ID]],Allocation[Volume available (kg)])</f>
        <v>1.1968583858483142</v>
      </c>
      <c r="U67" s="61">
        <f>Allocation[[#This Row],[Total volume used]]/VLOOKUP(Allocation[[#This Row],[Delivery ID]],Delivery[[Delivery ID]:[Quantity delivered]],3,FALSE)</f>
        <v>1</v>
      </c>
      <c r="V67" s="34" t="e">
        <f>VLOOKUP(Allocation[[#This Row],[SAP Contract number]],Shipments[[SAP Contract number]:[Contracted container weight]],2,FALSE)</f>
        <v>#N/A</v>
      </c>
      <c r="W67" s="34" t="e">
        <f>VLOOKUP(Allocation[[#This Row],[SAP Contract number]],Shipments[[SAP Contract number]:[AAA Premium USD]],24,FALSE)</f>
        <v>#N/A</v>
      </c>
      <c r="X67" s="34" t="e">
        <f>VLOOKUP(Allocation[[#This Row],[SAP Contract number]],Shipments[[SAP Contract number]:[RA Premium USD]],25,FALSE)</f>
        <v>#N/A</v>
      </c>
      <c r="Y67" s="38">
        <f>Allocation[[#This Row],[Quantity Processed]]/Allocation[[#This Row],[Quantity allocated]]</f>
        <v>2.439380127620784</v>
      </c>
      <c r="Z67" s="34" t="b">
        <f>Allocation[[#This Row],[Quantity allocated]]&lt;=Allocation[[#This Row],[Quantity Processed]]</f>
        <v>1</v>
      </c>
    </row>
    <row r="68" spans="1:26">
      <c r="A68" s="247" t="s">
        <v>467</v>
      </c>
      <c r="B68" s="160" t="s">
        <v>68</v>
      </c>
      <c r="C68" s="249" t="s">
        <v>1068</v>
      </c>
      <c r="D68" s="161">
        <v>27378</v>
      </c>
      <c r="E68" s="160" t="s">
        <v>1168</v>
      </c>
      <c r="F68" s="158">
        <v>43462</v>
      </c>
      <c r="G68" s="162">
        <v>2.88</v>
      </c>
      <c r="H68" s="159">
        <v>9035</v>
      </c>
      <c r="I68" s="160">
        <v>1419830</v>
      </c>
      <c r="J68" s="163">
        <v>19175</v>
      </c>
      <c r="K68" s="158">
        <v>43472</v>
      </c>
      <c r="L68" s="160" t="s">
        <v>1181</v>
      </c>
      <c r="M68" s="160">
        <v>4615515804</v>
      </c>
      <c r="N68" s="158">
        <v>43490</v>
      </c>
      <c r="O68" s="164">
        <v>3.7612999999999999</v>
      </c>
      <c r="P68" s="165">
        <v>19927</v>
      </c>
      <c r="Q68" s="34">
        <f>SUMIF(Allocation[Delivery ID],Allocation[[#This Row],[Delivery ID]],Allocation[Quantity Processed])</f>
        <v>29980</v>
      </c>
      <c r="R68" s="61">
        <f>Allocation[[#This Row],[Total volume used]]/VLOOKUP(Allocation[[#This Row],[Delivery ID]],Delivery[[Delivery ID]:[Quantity delivered]],3,FALSE)</f>
        <v>1</v>
      </c>
      <c r="S68" s="34">
        <f>Allocation[[#This Row],[Quantity Processed]]/Allocation[[#This Row],[Dilution rate]]</f>
        <v>9506.25</v>
      </c>
      <c r="T68" s="59">
        <f>SUMIF(Allocation[Delivery ID],Allocation[[#This Row],[Delivery ID]],Allocation[Quantity allocated])/SUMIF(Allocation[Delivery ID],Allocation[[#This Row],[Delivery ID]],Allocation[Volume available (kg)])</f>
        <v>0.95398421796549515</v>
      </c>
      <c r="U68" s="61">
        <f>Allocation[[#This Row],[Total volume used]]/VLOOKUP(Allocation[[#This Row],[Delivery ID]],Delivery[[Delivery ID]:[Quantity delivered]],3,FALSE)</f>
        <v>1</v>
      </c>
      <c r="V68" s="34" t="e">
        <f>VLOOKUP(Allocation[[#This Row],[SAP Contract number]],Shipments[[SAP Contract number]:[Contracted container weight]],2,FALSE)</f>
        <v>#N/A</v>
      </c>
      <c r="W68" s="34" t="e">
        <f>VLOOKUP(Allocation[[#This Row],[SAP Contract number]],Shipments[[SAP Contract number]:[AAA Premium USD]],24,FALSE)</f>
        <v>#N/A</v>
      </c>
      <c r="X68" s="34" t="e">
        <f>VLOOKUP(Allocation[[#This Row],[SAP Contract number]],Shipments[[SAP Contract number]:[RA Premium USD]],25,FALSE)</f>
        <v>#N/A</v>
      </c>
      <c r="Y68" s="38">
        <f>Allocation[[#This Row],[Quantity Processed]]/Allocation[[#This Row],[Quantity allocated]]</f>
        <v>3.0302158273381297</v>
      </c>
      <c r="Z68" s="34" t="b">
        <f>Allocation[[#This Row],[Quantity allocated]]&lt;=Allocation[[#This Row],[Quantity Processed]]</f>
        <v>1</v>
      </c>
    </row>
    <row r="69" spans="1:26">
      <c r="A69" s="247" t="s">
        <v>467</v>
      </c>
      <c r="B69" s="160" t="s">
        <v>68</v>
      </c>
      <c r="C69" s="249" t="s">
        <v>1068</v>
      </c>
      <c r="D69" s="161">
        <v>1061</v>
      </c>
      <c r="E69" s="160" t="s">
        <v>1168</v>
      </c>
      <c r="F69" s="158">
        <v>43462</v>
      </c>
      <c r="G69" s="162">
        <v>2.88</v>
      </c>
      <c r="H69" s="159">
        <v>350</v>
      </c>
      <c r="I69" s="160">
        <v>1419831</v>
      </c>
      <c r="J69" s="163">
        <v>19175</v>
      </c>
      <c r="K69" s="158">
        <v>43472</v>
      </c>
      <c r="L69" s="160" t="s">
        <v>1182</v>
      </c>
      <c r="M69" s="160">
        <v>4615515804</v>
      </c>
      <c r="N69" s="158">
        <v>43490</v>
      </c>
      <c r="O69" s="164">
        <v>3.7612999999999999</v>
      </c>
      <c r="P69" s="165">
        <v>19927</v>
      </c>
      <c r="Q69" s="34">
        <f>SUMIF(Allocation[Delivery ID],Allocation[[#This Row],[Delivery ID]],Allocation[Quantity Processed])</f>
        <v>29980</v>
      </c>
      <c r="R69" s="61">
        <f>Allocation[[#This Row],[Total volume used]]/VLOOKUP(Allocation[[#This Row],[Delivery ID]],Delivery[[Delivery ID]:[Quantity delivered]],3,FALSE)</f>
        <v>1</v>
      </c>
      <c r="S69" s="34">
        <f>Allocation[[#This Row],[Quantity Processed]]/Allocation[[#This Row],[Dilution rate]]</f>
        <v>368.40277777777777</v>
      </c>
      <c r="T69" s="59">
        <f>SUMIF(Allocation[Delivery ID],Allocation[[#This Row],[Delivery ID]],Allocation[Quantity allocated])/SUMIF(Allocation[Delivery ID],Allocation[[#This Row],[Delivery ID]],Allocation[Volume available (kg)])</f>
        <v>0.95398421796549515</v>
      </c>
      <c r="U69" s="61">
        <f>Allocation[[#This Row],[Total volume used]]/VLOOKUP(Allocation[[#This Row],[Delivery ID]],Delivery[[Delivery ID]:[Quantity delivered]],3,FALSE)</f>
        <v>1</v>
      </c>
      <c r="V69" s="34" t="e">
        <f>VLOOKUP(Allocation[[#This Row],[SAP Contract number]],Shipments[[SAP Contract number]:[Contracted container weight]],2,FALSE)</f>
        <v>#N/A</v>
      </c>
      <c r="W69" s="34" t="e">
        <f>VLOOKUP(Allocation[[#This Row],[SAP Contract number]],Shipments[[SAP Contract number]:[AAA Premium USD]],24,FALSE)</f>
        <v>#N/A</v>
      </c>
      <c r="X69" s="34" t="e">
        <f>VLOOKUP(Allocation[[#This Row],[SAP Contract number]],Shipments[[SAP Contract number]:[RA Premium USD]],25,FALSE)</f>
        <v>#N/A</v>
      </c>
      <c r="Y69" s="38">
        <f>Allocation[[#This Row],[Quantity Processed]]/Allocation[[#This Row],[Quantity allocated]]</f>
        <v>3.0314285714285716</v>
      </c>
      <c r="Z69" s="34" t="b">
        <f>Allocation[[#This Row],[Quantity allocated]]&lt;=Allocation[[#This Row],[Quantity Processed]]</f>
        <v>1</v>
      </c>
    </row>
    <row r="70" spans="1:26">
      <c r="A70" s="247" t="s">
        <v>467</v>
      </c>
      <c r="B70" s="160" t="s">
        <v>68</v>
      </c>
      <c r="C70" s="249" t="s">
        <v>1069</v>
      </c>
      <c r="D70" s="161">
        <v>29009</v>
      </c>
      <c r="E70" s="160" t="s">
        <v>1168</v>
      </c>
      <c r="F70" s="158">
        <v>43462</v>
      </c>
      <c r="G70" s="162">
        <v>2.88</v>
      </c>
      <c r="H70" s="159">
        <v>9573</v>
      </c>
      <c r="I70" s="160">
        <v>1419831</v>
      </c>
      <c r="J70" s="163">
        <v>19175</v>
      </c>
      <c r="K70" s="158">
        <v>43472</v>
      </c>
      <c r="L70" s="160" t="s">
        <v>1182</v>
      </c>
      <c r="M70" s="160">
        <v>4615515804</v>
      </c>
      <c r="N70" s="158">
        <v>43490</v>
      </c>
      <c r="O70" s="164">
        <v>3.7612999999999999</v>
      </c>
      <c r="P70" s="165">
        <v>19927</v>
      </c>
      <c r="Q70" s="34">
        <f>SUMIF(Allocation[Delivery ID],Allocation[[#This Row],[Delivery ID]],Allocation[Quantity Processed])</f>
        <v>30620</v>
      </c>
      <c r="R70" s="61">
        <f>Allocation[[#This Row],[Total volume used]]/VLOOKUP(Allocation[[#This Row],[Delivery ID]],Delivery[[Delivery ID]:[Quantity delivered]],3,FALSE)</f>
        <v>1</v>
      </c>
      <c r="S70" s="34">
        <f>Allocation[[#This Row],[Quantity Processed]]/Allocation[[#This Row],[Dilution rate]]</f>
        <v>10072.569444444445</v>
      </c>
      <c r="T70" s="59">
        <f>SUMIF(Allocation[Delivery ID],Allocation[[#This Row],[Delivery ID]],Allocation[Quantity allocated])/SUMIF(Allocation[Delivery ID],Allocation[[#This Row],[Delivery ID]],Allocation[Volume available (kg)])</f>
        <v>0.95176242148108925</v>
      </c>
      <c r="U70" s="61">
        <f>Allocation[[#This Row],[Total volume used]]/VLOOKUP(Allocation[[#This Row],[Delivery ID]],Delivery[[Delivery ID]:[Quantity delivered]],3,FALSE)</f>
        <v>1</v>
      </c>
      <c r="V70" s="34" t="e">
        <f>VLOOKUP(Allocation[[#This Row],[SAP Contract number]],Shipments[[SAP Contract number]:[Contracted container weight]],2,FALSE)</f>
        <v>#N/A</v>
      </c>
      <c r="W70" s="34" t="e">
        <f>VLOOKUP(Allocation[[#This Row],[SAP Contract number]],Shipments[[SAP Contract number]:[AAA Premium USD]],24,FALSE)</f>
        <v>#N/A</v>
      </c>
      <c r="X70" s="34" t="e">
        <f>VLOOKUP(Allocation[[#This Row],[SAP Contract number]],Shipments[[SAP Contract number]:[RA Premium USD]],25,FALSE)</f>
        <v>#N/A</v>
      </c>
      <c r="Y70" s="38">
        <f>Allocation[[#This Row],[Quantity Processed]]/Allocation[[#This Row],[Quantity allocated]]</f>
        <v>3.03029353389742</v>
      </c>
      <c r="Z70" s="34" t="b">
        <f>Allocation[[#This Row],[Quantity allocated]]&lt;=Allocation[[#This Row],[Quantity Processed]]</f>
        <v>1</v>
      </c>
    </row>
    <row r="71" spans="1:26">
      <c r="A71" s="247" t="s">
        <v>467</v>
      </c>
      <c r="B71" s="160" t="s">
        <v>68</v>
      </c>
      <c r="C71" s="249" t="s">
        <v>1070</v>
      </c>
      <c r="D71" s="161">
        <v>19118</v>
      </c>
      <c r="E71" s="160" t="s">
        <v>1168</v>
      </c>
      <c r="F71" s="158">
        <v>43462</v>
      </c>
      <c r="G71" s="162">
        <v>2.88</v>
      </c>
      <c r="H71" s="159">
        <v>6309</v>
      </c>
      <c r="I71" s="160">
        <v>1419831</v>
      </c>
      <c r="J71" s="163">
        <v>19175</v>
      </c>
      <c r="K71" s="158">
        <v>43472</v>
      </c>
      <c r="L71" s="160" t="s">
        <v>1182</v>
      </c>
      <c r="M71" s="160">
        <v>4615515804</v>
      </c>
      <c r="N71" s="158">
        <v>43490</v>
      </c>
      <c r="O71" s="164">
        <v>3.7612999999999999</v>
      </c>
      <c r="P71" s="165">
        <v>19927</v>
      </c>
      <c r="Q71" s="34">
        <f>SUMIF(Allocation[Delivery ID],Allocation[[#This Row],[Delivery ID]],Allocation[Quantity Processed])</f>
        <v>26642</v>
      </c>
      <c r="R71" s="61">
        <f>Allocation[[#This Row],[Total volume used]]/VLOOKUP(Allocation[[#This Row],[Delivery ID]],Delivery[[Delivery ID]:[Quantity delivered]],3,FALSE)</f>
        <v>0.81027980535279809</v>
      </c>
      <c r="S71" s="34">
        <f>Allocation[[#This Row],[Quantity Processed]]/Allocation[[#This Row],[Dilution rate]]</f>
        <v>6638.1944444444443</v>
      </c>
      <c r="T71" s="59">
        <f>SUMIF(Allocation[Delivery ID],Allocation[[#This Row],[Delivery ID]],Allocation[Quantity allocated])/SUMIF(Allocation[Delivery ID],Allocation[[#This Row],[Delivery ID]],Allocation[Volume available (kg)])</f>
        <v>0.9550176546626975</v>
      </c>
      <c r="U71" s="61">
        <f>Allocation[[#This Row],[Total volume used]]/VLOOKUP(Allocation[[#This Row],[Delivery ID]],Delivery[[Delivery ID]:[Quantity delivered]],3,FALSE)</f>
        <v>0.81027980535279809</v>
      </c>
      <c r="V71" s="34" t="e">
        <f>VLOOKUP(Allocation[[#This Row],[SAP Contract number]],Shipments[[SAP Contract number]:[Contracted container weight]],2,FALSE)</f>
        <v>#N/A</v>
      </c>
      <c r="W71" s="34" t="e">
        <f>VLOOKUP(Allocation[[#This Row],[SAP Contract number]],Shipments[[SAP Contract number]:[AAA Premium USD]],24,FALSE)</f>
        <v>#N/A</v>
      </c>
      <c r="X71" s="34" t="e">
        <f>VLOOKUP(Allocation[[#This Row],[SAP Contract number]],Shipments[[SAP Contract number]:[RA Premium USD]],25,FALSE)</f>
        <v>#N/A</v>
      </c>
      <c r="Y71" s="38">
        <f>Allocation[[#This Row],[Quantity Processed]]/Allocation[[#This Row],[Quantity allocated]]</f>
        <v>3.0302742114439689</v>
      </c>
      <c r="Z71" s="34" t="b">
        <f>Allocation[[#This Row],[Quantity allocated]]&lt;=Allocation[[#This Row],[Quantity Processed]]</f>
        <v>1</v>
      </c>
    </row>
    <row r="72" spans="1:26">
      <c r="A72" s="247" t="s">
        <v>467</v>
      </c>
      <c r="B72" s="160" t="s">
        <v>68</v>
      </c>
      <c r="C72" s="249" t="s">
        <v>1079</v>
      </c>
      <c r="D72" s="161">
        <v>9411</v>
      </c>
      <c r="E72" s="160" t="s">
        <v>1168</v>
      </c>
      <c r="F72" s="158">
        <v>43462</v>
      </c>
      <c r="G72" s="162">
        <v>2.88</v>
      </c>
      <c r="H72" s="159">
        <v>2943</v>
      </c>
      <c r="I72" s="160">
        <v>1419831</v>
      </c>
      <c r="J72" s="163">
        <v>19175</v>
      </c>
      <c r="K72" s="158">
        <v>43472</v>
      </c>
      <c r="L72" s="160" t="s">
        <v>1182</v>
      </c>
      <c r="M72" s="160">
        <v>4615515804</v>
      </c>
      <c r="N72" s="158">
        <v>43490</v>
      </c>
      <c r="O72" s="164">
        <v>3.7612999999999999</v>
      </c>
      <c r="P72" s="165">
        <v>19927</v>
      </c>
      <c r="Q72" s="34">
        <f>SUMIF(Allocation[Delivery ID],Allocation[[#This Row],[Delivery ID]],Allocation[Quantity Processed])</f>
        <v>30010</v>
      </c>
      <c r="R72" s="61">
        <f>Allocation[[#This Row],[Total volume used]]/VLOOKUP(Allocation[[#This Row],[Delivery ID]],Delivery[[Delivery ID]:[Quantity delivered]],3,FALSE)</f>
        <v>1</v>
      </c>
      <c r="S72" s="34">
        <f>Allocation[[#This Row],[Quantity Processed]]/Allocation[[#This Row],[Dilution rate]]</f>
        <v>3267.7083333333335</v>
      </c>
      <c r="T72" s="59">
        <f>SUMIF(Allocation[Delivery ID],Allocation[[#This Row],[Delivery ID]],Allocation[Quantity allocated])/SUMIF(Allocation[Delivery ID],Allocation[[#This Row],[Delivery ID]],Allocation[Volume available (kg)])</f>
        <v>0.90065978007330894</v>
      </c>
      <c r="U72" s="61">
        <f>Allocation[[#This Row],[Total volume used]]/VLOOKUP(Allocation[[#This Row],[Delivery ID]],Delivery[[Delivery ID]:[Quantity delivered]],3,FALSE)</f>
        <v>1</v>
      </c>
      <c r="V72" s="34" t="e">
        <f>VLOOKUP(Allocation[[#This Row],[SAP Contract number]],Shipments[[SAP Contract number]:[Contracted container weight]],2,FALSE)</f>
        <v>#N/A</v>
      </c>
      <c r="W72" s="34" t="e">
        <f>VLOOKUP(Allocation[[#This Row],[SAP Contract number]],Shipments[[SAP Contract number]:[AAA Premium USD]],24,FALSE)</f>
        <v>#N/A</v>
      </c>
      <c r="X72" s="34" t="e">
        <f>VLOOKUP(Allocation[[#This Row],[SAP Contract number]],Shipments[[SAP Contract number]:[RA Premium USD]],25,FALSE)</f>
        <v>#N/A</v>
      </c>
      <c r="Y72" s="38">
        <f>Allocation[[#This Row],[Quantity Processed]]/Allocation[[#This Row],[Quantity allocated]]</f>
        <v>3.1977573904179408</v>
      </c>
      <c r="Z72" s="34" t="b">
        <f>Allocation[[#This Row],[Quantity allocated]]&lt;=Allocation[[#This Row],[Quantity Processed]]</f>
        <v>1</v>
      </c>
    </row>
    <row r="73" spans="1:26">
      <c r="A73" s="247" t="s">
        <v>467</v>
      </c>
      <c r="B73" s="160" t="s">
        <v>68</v>
      </c>
      <c r="C73" s="249" t="s">
        <v>1079</v>
      </c>
      <c r="D73" s="161">
        <v>20599</v>
      </c>
      <c r="E73" s="160" t="s">
        <v>1168</v>
      </c>
      <c r="F73" s="158">
        <v>43462</v>
      </c>
      <c r="G73" s="162">
        <v>2.88</v>
      </c>
      <c r="H73" s="159">
        <v>6442</v>
      </c>
      <c r="I73" s="160">
        <v>1419832</v>
      </c>
      <c r="J73" s="163">
        <v>19175</v>
      </c>
      <c r="K73" s="158">
        <v>43472</v>
      </c>
      <c r="L73" s="160" t="s">
        <v>1183</v>
      </c>
      <c r="M73" s="160">
        <v>4615515804</v>
      </c>
      <c r="N73" s="158">
        <v>43490</v>
      </c>
      <c r="O73" s="164">
        <v>3.7612999999999999</v>
      </c>
      <c r="P73" s="165">
        <v>19927</v>
      </c>
      <c r="Q73" s="34">
        <f>SUMIF(Allocation[Delivery ID],Allocation[[#This Row],[Delivery ID]],Allocation[Quantity Processed])</f>
        <v>30010</v>
      </c>
      <c r="R73" s="61">
        <f>Allocation[[#This Row],[Total volume used]]/VLOOKUP(Allocation[[#This Row],[Delivery ID]],Delivery[[Delivery ID]:[Quantity delivered]],3,FALSE)</f>
        <v>1</v>
      </c>
      <c r="S73" s="34">
        <f>Allocation[[#This Row],[Quantity Processed]]/Allocation[[#This Row],[Dilution rate]]</f>
        <v>7152.4305555555557</v>
      </c>
      <c r="T73" s="59">
        <f>SUMIF(Allocation[Delivery ID],Allocation[[#This Row],[Delivery ID]],Allocation[Quantity allocated])/SUMIF(Allocation[Delivery ID],Allocation[[#This Row],[Delivery ID]],Allocation[Volume available (kg)])</f>
        <v>0.90065978007330894</v>
      </c>
      <c r="U73" s="61">
        <f>Allocation[[#This Row],[Total volume used]]/VLOOKUP(Allocation[[#This Row],[Delivery ID]],Delivery[[Delivery ID]:[Quantity delivered]],3,FALSE)</f>
        <v>1</v>
      </c>
      <c r="V73" s="34" t="e">
        <f>VLOOKUP(Allocation[[#This Row],[SAP Contract number]],Shipments[[SAP Contract number]:[Contracted container weight]],2,FALSE)</f>
        <v>#N/A</v>
      </c>
      <c r="W73" s="34" t="e">
        <f>VLOOKUP(Allocation[[#This Row],[SAP Contract number]],Shipments[[SAP Contract number]:[AAA Premium USD]],24,FALSE)</f>
        <v>#N/A</v>
      </c>
      <c r="X73" s="34" t="e">
        <f>VLOOKUP(Allocation[[#This Row],[SAP Contract number]],Shipments[[SAP Contract number]:[RA Premium USD]],25,FALSE)</f>
        <v>#N/A</v>
      </c>
      <c r="Y73" s="38">
        <f>Allocation[[#This Row],[Quantity Processed]]/Allocation[[#This Row],[Quantity allocated]]</f>
        <v>3.1976094380627136</v>
      </c>
      <c r="Z73" s="34" t="b">
        <f>Allocation[[#This Row],[Quantity allocated]]&lt;=Allocation[[#This Row],[Quantity Processed]]</f>
        <v>1</v>
      </c>
    </row>
    <row r="74" spans="1:26">
      <c r="A74" s="247" t="s">
        <v>467</v>
      </c>
      <c r="B74" s="160" t="s">
        <v>68</v>
      </c>
      <c r="C74" s="249" t="s">
        <v>1080</v>
      </c>
      <c r="D74" s="161">
        <v>11047</v>
      </c>
      <c r="E74" s="160" t="s">
        <v>1168</v>
      </c>
      <c r="F74" s="158">
        <v>43462</v>
      </c>
      <c r="G74" s="162">
        <v>2.88</v>
      </c>
      <c r="H74" s="159">
        <v>3314</v>
      </c>
      <c r="I74" s="160">
        <v>1419832</v>
      </c>
      <c r="J74" s="163">
        <v>19175</v>
      </c>
      <c r="K74" s="158">
        <v>43472</v>
      </c>
      <c r="L74" s="160" t="s">
        <v>1183</v>
      </c>
      <c r="M74" s="160">
        <v>4615515804</v>
      </c>
      <c r="N74" s="158">
        <v>43490</v>
      </c>
      <c r="O74" s="164">
        <v>3.7612999999999999</v>
      </c>
      <c r="P74" s="165">
        <v>19927</v>
      </c>
      <c r="Q74" s="34">
        <f>SUMIF(Allocation[Delivery ID],Allocation[[#This Row],[Delivery ID]],Allocation[Quantity Processed])</f>
        <v>30030</v>
      </c>
      <c r="R74" s="61">
        <f>Allocation[[#This Row],[Total volume used]]/VLOOKUP(Allocation[[#This Row],[Delivery ID]],Delivery[[Delivery ID]:[Quantity delivered]],3,FALSE)</f>
        <v>1</v>
      </c>
      <c r="S74" s="34">
        <f>Allocation[[#This Row],[Quantity Processed]]/Allocation[[#This Row],[Dilution rate]]</f>
        <v>3835.7638888888891</v>
      </c>
      <c r="T74" s="59">
        <f>SUMIF(Allocation[Delivery ID],Allocation[[#This Row],[Delivery ID]],Allocation[Quantity allocated])/SUMIF(Allocation[Delivery ID],Allocation[[#This Row],[Delivery ID]],Allocation[Volume available (kg)])</f>
        <v>0.87623339259812449</v>
      </c>
      <c r="U74" s="61">
        <f>Allocation[[#This Row],[Total volume used]]/VLOOKUP(Allocation[[#This Row],[Delivery ID]],Delivery[[Delivery ID]:[Quantity delivered]],3,FALSE)</f>
        <v>1</v>
      </c>
      <c r="V74" s="34" t="e">
        <f>VLOOKUP(Allocation[[#This Row],[SAP Contract number]],Shipments[[SAP Contract number]:[Contracted container weight]],2,FALSE)</f>
        <v>#N/A</v>
      </c>
      <c r="W74" s="34" t="e">
        <f>VLOOKUP(Allocation[[#This Row],[SAP Contract number]],Shipments[[SAP Contract number]:[AAA Premium USD]],24,FALSE)</f>
        <v>#N/A</v>
      </c>
      <c r="X74" s="34" t="e">
        <f>VLOOKUP(Allocation[[#This Row],[SAP Contract number]],Shipments[[SAP Contract number]:[RA Premium USD]],25,FALSE)</f>
        <v>#N/A</v>
      </c>
      <c r="Y74" s="38">
        <f>Allocation[[#This Row],[Quantity Processed]]/Allocation[[#This Row],[Quantity allocated]]</f>
        <v>3.3334339167169582</v>
      </c>
      <c r="Z74" s="34" t="b">
        <f>Allocation[[#This Row],[Quantity allocated]]&lt;=Allocation[[#This Row],[Quantity Processed]]</f>
        <v>1</v>
      </c>
    </row>
    <row r="75" spans="1:26">
      <c r="A75" s="247" t="s">
        <v>467</v>
      </c>
      <c r="B75" s="160" t="s">
        <v>68</v>
      </c>
      <c r="C75" s="249" t="s">
        <v>1081</v>
      </c>
      <c r="D75" s="161">
        <v>30010</v>
      </c>
      <c r="E75" s="160" t="s">
        <v>1168</v>
      </c>
      <c r="F75" s="158">
        <v>43462</v>
      </c>
      <c r="G75" s="162">
        <v>2.88</v>
      </c>
      <c r="H75" s="159">
        <v>9385</v>
      </c>
      <c r="I75" s="160">
        <v>1419832</v>
      </c>
      <c r="J75" s="163">
        <v>19175</v>
      </c>
      <c r="K75" s="158">
        <v>43472</v>
      </c>
      <c r="L75" s="160" t="s">
        <v>1183</v>
      </c>
      <c r="M75" s="160">
        <v>4615515804</v>
      </c>
      <c r="N75" s="158">
        <v>43490</v>
      </c>
      <c r="O75" s="164">
        <v>3.7612999999999999</v>
      </c>
      <c r="P75" s="165">
        <v>19927</v>
      </c>
      <c r="Q75" s="34">
        <f>SUMIF(Allocation[Delivery ID],Allocation[[#This Row],[Delivery ID]],Allocation[Quantity Processed])</f>
        <v>30010</v>
      </c>
      <c r="R75" s="61">
        <f>Allocation[[#This Row],[Total volume used]]/VLOOKUP(Allocation[[#This Row],[Delivery ID]],Delivery[[Delivery ID]:[Quantity delivered]],3,FALSE)</f>
        <v>1</v>
      </c>
      <c r="S75" s="34">
        <f>Allocation[[#This Row],[Quantity Processed]]/Allocation[[#This Row],[Dilution rate]]</f>
        <v>10420.138888888889</v>
      </c>
      <c r="T75" s="59">
        <f>SUMIF(Allocation[Delivery ID],Allocation[[#This Row],[Delivery ID]],Allocation[Quantity allocated])/SUMIF(Allocation[Delivery ID],Allocation[[#This Row],[Delivery ID]],Allocation[Volume available (kg)])</f>
        <v>0.90065978007330894</v>
      </c>
      <c r="U75" s="61">
        <f>Allocation[[#This Row],[Total volume used]]/VLOOKUP(Allocation[[#This Row],[Delivery ID]],Delivery[[Delivery ID]:[Quantity delivered]],3,FALSE)</f>
        <v>1</v>
      </c>
      <c r="V75" s="34" t="e">
        <f>VLOOKUP(Allocation[[#This Row],[SAP Contract number]],Shipments[[SAP Contract number]:[Contracted container weight]],2,FALSE)</f>
        <v>#N/A</v>
      </c>
      <c r="W75" s="34" t="e">
        <f>VLOOKUP(Allocation[[#This Row],[SAP Contract number]],Shipments[[SAP Contract number]:[AAA Premium USD]],24,FALSE)</f>
        <v>#N/A</v>
      </c>
      <c r="X75" s="34" t="e">
        <f>VLOOKUP(Allocation[[#This Row],[SAP Contract number]],Shipments[[SAP Contract number]:[RA Premium USD]],25,FALSE)</f>
        <v>#N/A</v>
      </c>
      <c r="Y75" s="38">
        <f>Allocation[[#This Row],[Quantity Processed]]/Allocation[[#This Row],[Quantity allocated]]</f>
        <v>3.1976558337773042</v>
      </c>
      <c r="Z75" s="34" t="b">
        <f>Allocation[[#This Row],[Quantity allocated]]&lt;=Allocation[[#This Row],[Quantity Processed]]</f>
        <v>1</v>
      </c>
    </row>
    <row r="76" spans="1:26">
      <c r="A76" s="247" t="s">
        <v>467</v>
      </c>
      <c r="B76" s="160" t="s">
        <v>68</v>
      </c>
      <c r="C76" s="249" t="s">
        <v>1087</v>
      </c>
      <c r="D76" s="161">
        <v>35</v>
      </c>
      <c r="E76" s="160" t="s">
        <v>1168</v>
      </c>
      <c r="F76" s="158">
        <v>43462</v>
      </c>
      <c r="G76" s="162">
        <v>2.88</v>
      </c>
      <c r="H76" s="159">
        <v>34</v>
      </c>
      <c r="I76" s="160">
        <v>1419832</v>
      </c>
      <c r="J76" s="163">
        <v>19175</v>
      </c>
      <c r="K76" s="158">
        <v>43472</v>
      </c>
      <c r="L76" s="160" t="s">
        <v>1183</v>
      </c>
      <c r="M76" s="160">
        <v>4615515804</v>
      </c>
      <c r="N76" s="158">
        <v>43490</v>
      </c>
      <c r="O76" s="164">
        <v>3.7612999999999999</v>
      </c>
      <c r="P76" s="165">
        <v>19927</v>
      </c>
      <c r="Q76" s="34">
        <f>SUMIF(Allocation[Delivery ID],Allocation[[#This Row],[Delivery ID]],Allocation[Quantity Processed])</f>
        <v>28880</v>
      </c>
      <c r="R76" s="61">
        <f>Allocation[[#This Row],[Total volume used]]/VLOOKUP(Allocation[[#This Row],[Delivery ID]],Delivery[[Delivery ID]:[Quantity delivered]],3,FALSE)</f>
        <v>1</v>
      </c>
      <c r="S76" s="34">
        <f>Allocation[[#This Row],[Quantity Processed]]/Allocation[[#This Row],[Dilution rate]]</f>
        <v>12.152777777777779</v>
      </c>
      <c r="T76" s="59">
        <f>SUMIF(Allocation[Delivery ID],Allocation[[#This Row],[Delivery ID]],Allocation[Quantity allocated])/SUMIF(Allocation[Delivery ID],Allocation[[#This Row],[Delivery ID]],Allocation[Volume available (kg)])</f>
        <v>2.8300387811634349</v>
      </c>
      <c r="U76" s="61">
        <f>Allocation[[#This Row],[Total volume used]]/VLOOKUP(Allocation[[#This Row],[Delivery ID]],Delivery[[Delivery ID]:[Quantity delivered]],3,FALSE)</f>
        <v>1</v>
      </c>
      <c r="V76" s="34" t="e">
        <f>VLOOKUP(Allocation[[#This Row],[SAP Contract number]],Shipments[[SAP Contract number]:[Contracted container weight]],2,FALSE)</f>
        <v>#N/A</v>
      </c>
      <c r="W76" s="34" t="e">
        <f>VLOOKUP(Allocation[[#This Row],[SAP Contract number]],Shipments[[SAP Contract number]:[AAA Premium USD]],24,FALSE)</f>
        <v>#N/A</v>
      </c>
      <c r="X76" s="34" t="e">
        <f>VLOOKUP(Allocation[[#This Row],[SAP Contract number]],Shipments[[SAP Contract number]:[RA Premium USD]],25,FALSE)</f>
        <v>#N/A</v>
      </c>
      <c r="Y76" s="38">
        <f>Allocation[[#This Row],[Quantity Processed]]/Allocation[[#This Row],[Quantity allocated]]</f>
        <v>1.0294117647058822</v>
      </c>
      <c r="Z76" s="34" t="b">
        <f>Allocation[[#This Row],[Quantity allocated]]&lt;=Allocation[[#This Row],[Quantity Processed]]</f>
        <v>1</v>
      </c>
    </row>
    <row r="77" spans="1:26">
      <c r="A77" s="247" t="s">
        <v>467</v>
      </c>
      <c r="B77" s="160" t="s">
        <v>68</v>
      </c>
      <c r="C77" s="249" t="s">
        <v>1087</v>
      </c>
      <c r="D77" s="161">
        <v>19513</v>
      </c>
      <c r="E77" s="160" t="s">
        <v>1168</v>
      </c>
      <c r="F77" s="158">
        <v>43462</v>
      </c>
      <c r="G77" s="162">
        <v>2.88</v>
      </c>
      <c r="H77" s="159">
        <v>19175</v>
      </c>
      <c r="I77" s="160">
        <v>1419833</v>
      </c>
      <c r="J77" s="163">
        <v>19175</v>
      </c>
      <c r="K77" s="158">
        <v>43472</v>
      </c>
      <c r="L77" s="160" t="s">
        <v>1184</v>
      </c>
      <c r="M77" s="160">
        <v>4615515804</v>
      </c>
      <c r="N77" s="158">
        <v>43490</v>
      </c>
      <c r="O77" s="164">
        <v>3.7612999999999999</v>
      </c>
      <c r="P77" s="165">
        <v>19927</v>
      </c>
      <c r="Q77" s="34">
        <f>SUMIF(Allocation[Delivery ID],Allocation[[#This Row],[Delivery ID]],Allocation[Quantity Processed])</f>
        <v>28880</v>
      </c>
      <c r="R77" s="61">
        <f>Allocation[[#This Row],[Total volume used]]/VLOOKUP(Allocation[[#This Row],[Delivery ID]],Delivery[[Delivery ID]:[Quantity delivered]],3,FALSE)</f>
        <v>1</v>
      </c>
      <c r="S77" s="34">
        <f>Allocation[[#This Row],[Quantity Processed]]/Allocation[[#This Row],[Dilution rate]]</f>
        <v>6775.3472222222226</v>
      </c>
      <c r="T77" s="59">
        <f>SUMIF(Allocation[Delivery ID],Allocation[[#This Row],[Delivery ID]],Allocation[Quantity allocated])/SUMIF(Allocation[Delivery ID],Allocation[[#This Row],[Delivery ID]],Allocation[Volume available (kg)])</f>
        <v>2.8300387811634349</v>
      </c>
      <c r="U77" s="61">
        <f>Allocation[[#This Row],[Total volume used]]/VLOOKUP(Allocation[[#This Row],[Delivery ID]],Delivery[[Delivery ID]:[Quantity delivered]],3,FALSE)</f>
        <v>1</v>
      </c>
      <c r="V77" s="34" t="e">
        <f>VLOOKUP(Allocation[[#This Row],[SAP Contract number]],Shipments[[SAP Contract number]:[Contracted container weight]],2,FALSE)</f>
        <v>#N/A</v>
      </c>
      <c r="W77" s="34" t="e">
        <f>VLOOKUP(Allocation[[#This Row],[SAP Contract number]],Shipments[[SAP Contract number]:[AAA Premium USD]],24,FALSE)</f>
        <v>#N/A</v>
      </c>
      <c r="X77" s="34" t="e">
        <f>VLOOKUP(Allocation[[#This Row],[SAP Contract number]],Shipments[[SAP Contract number]:[RA Premium USD]],25,FALSE)</f>
        <v>#N/A</v>
      </c>
      <c r="Y77" s="38">
        <f>Allocation[[#This Row],[Quantity Processed]]/Allocation[[#This Row],[Quantity allocated]]</f>
        <v>1.0176271186440677</v>
      </c>
      <c r="Z77" s="34" t="b">
        <f>Allocation[[#This Row],[Quantity allocated]]&lt;=Allocation[[#This Row],[Quantity Processed]]</f>
        <v>1</v>
      </c>
    </row>
    <row r="78" spans="1:26">
      <c r="A78" s="247" t="s">
        <v>467</v>
      </c>
      <c r="B78" s="160" t="s">
        <v>68</v>
      </c>
      <c r="C78" s="249" t="s">
        <v>1087</v>
      </c>
      <c r="D78" s="161">
        <v>9332</v>
      </c>
      <c r="E78" s="160" t="s">
        <v>1168</v>
      </c>
      <c r="F78" s="158">
        <v>43462</v>
      </c>
      <c r="G78" s="162">
        <v>2.88</v>
      </c>
      <c r="H78" s="159">
        <v>9170</v>
      </c>
      <c r="I78" s="160">
        <v>1419834</v>
      </c>
      <c r="J78" s="163">
        <v>19175</v>
      </c>
      <c r="K78" s="158">
        <v>43472</v>
      </c>
      <c r="L78" s="160" t="s">
        <v>1185</v>
      </c>
      <c r="M78" s="160">
        <v>4615515804</v>
      </c>
      <c r="N78" s="158">
        <v>43490</v>
      </c>
      <c r="O78" s="164">
        <v>3.7612999999999999</v>
      </c>
      <c r="P78" s="165">
        <v>19927</v>
      </c>
      <c r="Q78" s="34">
        <f>SUMIF(Allocation[Delivery ID],Allocation[[#This Row],[Delivery ID]],Allocation[Quantity Processed])</f>
        <v>28880</v>
      </c>
      <c r="R78" s="61">
        <f>Allocation[[#This Row],[Total volume used]]/VLOOKUP(Allocation[[#This Row],[Delivery ID]],Delivery[[Delivery ID]:[Quantity delivered]],3,FALSE)</f>
        <v>1</v>
      </c>
      <c r="S78" s="34">
        <f>Allocation[[#This Row],[Quantity Processed]]/Allocation[[#This Row],[Dilution rate]]</f>
        <v>3240.2777777777778</v>
      </c>
      <c r="T78" s="59">
        <f>SUMIF(Allocation[Delivery ID],Allocation[[#This Row],[Delivery ID]],Allocation[Quantity allocated])/SUMIF(Allocation[Delivery ID],Allocation[[#This Row],[Delivery ID]],Allocation[Volume available (kg)])</f>
        <v>2.8300387811634349</v>
      </c>
      <c r="U78" s="61">
        <f>Allocation[[#This Row],[Total volume used]]/VLOOKUP(Allocation[[#This Row],[Delivery ID]],Delivery[[Delivery ID]:[Quantity delivered]],3,FALSE)</f>
        <v>1</v>
      </c>
      <c r="V78" s="34" t="e">
        <f>VLOOKUP(Allocation[[#This Row],[SAP Contract number]],Shipments[[SAP Contract number]:[Contracted container weight]],2,FALSE)</f>
        <v>#N/A</v>
      </c>
      <c r="W78" s="34" t="e">
        <f>VLOOKUP(Allocation[[#This Row],[SAP Contract number]],Shipments[[SAP Contract number]:[AAA Premium USD]],24,FALSE)</f>
        <v>#N/A</v>
      </c>
      <c r="X78" s="34" t="e">
        <f>VLOOKUP(Allocation[[#This Row],[SAP Contract number]],Shipments[[SAP Contract number]:[RA Premium USD]],25,FALSE)</f>
        <v>#N/A</v>
      </c>
      <c r="Y78" s="38">
        <f>Allocation[[#This Row],[Quantity Processed]]/Allocation[[#This Row],[Quantity allocated]]</f>
        <v>1.0176663031624864</v>
      </c>
      <c r="Z78" s="34" t="b">
        <f>Allocation[[#This Row],[Quantity allocated]]&lt;=Allocation[[#This Row],[Quantity Processed]]</f>
        <v>1</v>
      </c>
    </row>
    <row r="79" spans="1:26">
      <c r="A79" s="247" t="s">
        <v>467</v>
      </c>
      <c r="B79" s="160" t="s">
        <v>68</v>
      </c>
      <c r="C79" s="249" t="s">
        <v>1093</v>
      </c>
      <c r="D79" s="161">
        <v>5790</v>
      </c>
      <c r="E79" s="160" t="s">
        <v>1168</v>
      </c>
      <c r="F79" s="158">
        <v>43462</v>
      </c>
      <c r="G79" s="162">
        <v>2.88</v>
      </c>
      <c r="H79" s="159">
        <v>1737</v>
      </c>
      <c r="I79" s="160">
        <v>1419834</v>
      </c>
      <c r="J79" s="163">
        <v>19175</v>
      </c>
      <c r="K79" s="158">
        <v>43472</v>
      </c>
      <c r="L79" s="160" t="s">
        <v>1185</v>
      </c>
      <c r="M79" s="160">
        <v>4615515804</v>
      </c>
      <c r="N79" s="158">
        <v>43490</v>
      </c>
      <c r="O79" s="164">
        <v>3.7612999999999999</v>
      </c>
      <c r="P79" s="165">
        <v>19927</v>
      </c>
      <c r="Q79" s="34">
        <f>SUMIF(Allocation[Delivery ID],Allocation[[#This Row],[Delivery ID]],Allocation[Quantity Processed])</f>
        <v>15754</v>
      </c>
      <c r="R79" s="61">
        <f>Allocation[[#This Row],[Total volume used]]/VLOOKUP(Allocation[[#This Row],[Delivery ID]],Delivery[[Delivery ID]:[Quantity delivered]],3,FALSE)</f>
        <v>0.99987306422949984</v>
      </c>
      <c r="S79" s="34">
        <f>Allocation[[#This Row],[Quantity Processed]]/Allocation[[#This Row],[Dilution rate]]</f>
        <v>2010.4166666666667</v>
      </c>
      <c r="T79" s="59">
        <f>SUMIF(Allocation[Delivery ID],Allocation[[#This Row],[Delivery ID]],Allocation[Quantity allocated])/SUMIF(Allocation[Delivery ID],Allocation[[#This Row],[Delivery ID]],Allocation[Volume available (kg)])</f>
        <v>0.83661374187436022</v>
      </c>
      <c r="U79" s="61">
        <f>Allocation[[#This Row],[Total volume used]]/VLOOKUP(Allocation[[#This Row],[Delivery ID]],Delivery[[Delivery ID]:[Quantity delivered]],3,FALSE)</f>
        <v>0.99987306422949984</v>
      </c>
      <c r="V79" s="34" t="e">
        <f>VLOOKUP(Allocation[[#This Row],[SAP Contract number]],Shipments[[SAP Contract number]:[Contracted container weight]],2,FALSE)</f>
        <v>#N/A</v>
      </c>
      <c r="W79" s="34" t="e">
        <f>VLOOKUP(Allocation[[#This Row],[SAP Contract number]],Shipments[[SAP Contract number]:[AAA Premium USD]],24,FALSE)</f>
        <v>#N/A</v>
      </c>
      <c r="X79" s="34" t="e">
        <f>VLOOKUP(Allocation[[#This Row],[SAP Contract number]],Shipments[[SAP Contract number]:[RA Premium USD]],25,FALSE)</f>
        <v>#N/A</v>
      </c>
      <c r="Y79" s="38">
        <f>Allocation[[#This Row],[Quantity Processed]]/Allocation[[#This Row],[Quantity allocated]]</f>
        <v>3.3333333333333335</v>
      </c>
      <c r="Z79" s="34" t="b">
        <f>Allocation[[#This Row],[Quantity allocated]]&lt;=Allocation[[#This Row],[Quantity Processed]]</f>
        <v>1</v>
      </c>
    </row>
    <row r="80" spans="1:26">
      <c r="A80" s="247" t="s">
        <v>467</v>
      </c>
      <c r="B80" s="160" t="s">
        <v>68</v>
      </c>
      <c r="C80" s="249" t="s">
        <v>1095</v>
      </c>
      <c r="D80" s="161">
        <v>5260</v>
      </c>
      <c r="E80" s="160" t="s">
        <v>1168</v>
      </c>
      <c r="F80" s="158">
        <v>43462</v>
      </c>
      <c r="G80" s="162">
        <v>2.88</v>
      </c>
      <c r="H80" s="159">
        <v>1578</v>
      </c>
      <c r="I80" s="160">
        <v>1419834</v>
      </c>
      <c r="J80" s="163">
        <v>19175</v>
      </c>
      <c r="K80" s="158">
        <v>43472</v>
      </c>
      <c r="L80" s="160" t="s">
        <v>1185</v>
      </c>
      <c r="M80" s="160">
        <v>4615515804</v>
      </c>
      <c r="N80" s="158">
        <v>43490</v>
      </c>
      <c r="O80" s="164">
        <v>3.7612999999999999</v>
      </c>
      <c r="P80" s="165">
        <v>19927</v>
      </c>
      <c r="Q80" s="34">
        <f>SUMIF(Allocation[Delivery ID],Allocation[[#This Row],[Delivery ID]],Allocation[Quantity Processed])</f>
        <v>14314</v>
      </c>
      <c r="R80" s="61">
        <f>Allocation[[#This Row],[Total volume used]]/VLOOKUP(Allocation[[#This Row],[Delivery ID]],Delivery[[Delivery ID]:[Quantity delivered]],3,FALSE)</f>
        <v>1</v>
      </c>
      <c r="S80" s="34">
        <f>Allocation[[#This Row],[Quantity Processed]]/Allocation[[#This Row],[Dilution rate]]</f>
        <v>1826.3888888888889</v>
      </c>
      <c r="T80" s="59">
        <f>SUMIF(Allocation[Delivery ID],Allocation[[#This Row],[Delivery ID]],Allocation[Quantity allocated])/SUMIF(Allocation[Delivery ID],Allocation[[#This Row],[Delivery ID]],Allocation[Volume available (kg)])</f>
        <v>0.83657221531783688</v>
      </c>
      <c r="U80" s="61">
        <f>Allocation[[#This Row],[Total volume used]]/VLOOKUP(Allocation[[#This Row],[Delivery ID]],Delivery[[Delivery ID]:[Quantity delivered]],3,FALSE)</f>
        <v>1</v>
      </c>
      <c r="V80" s="34" t="e">
        <f>VLOOKUP(Allocation[[#This Row],[SAP Contract number]],Shipments[[SAP Contract number]:[Contracted container weight]],2,FALSE)</f>
        <v>#N/A</v>
      </c>
      <c r="W80" s="34" t="e">
        <f>VLOOKUP(Allocation[[#This Row],[SAP Contract number]],Shipments[[SAP Contract number]:[AAA Premium USD]],24,FALSE)</f>
        <v>#N/A</v>
      </c>
      <c r="X80" s="34" t="e">
        <f>VLOOKUP(Allocation[[#This Row],[SAP Contract number]],Shipments[[SAP Contract number]:[RA Premium USD]],25,FALSE)</f>
        <v>#N/A</v>
      </c>
      <c r="Y80" s="38">
        <f>Allocation[[#This Row],[Quantity Processed]]/Allocation[[#This Row],[Quantity allocated]]</f>
        <v>3.3333333333333335</v>
      </c>
      <c r="Z80" s="34" t="b">
        <f>Allocation[[#This Row],[Quantity allocated]]&lt;=Allocation[[#This Row],[Quantity Processed]]</f>
        <v>1</v>
      </c>
    </row>
    <row r="81" spans="1:26">
      <c r="A81" s="247" t="s">
        <v>467</v>
      </c>
      <c r="B81" s="160" t="s">
        <v>68</v>
      </c>
      <c r="C81" s="249" t="s">
        <v>1096</v>
      </c>
      <c r="D81" s="161">
        <v>11247</v>
      </c>
      <c r="E81" s="160" t="s">
        <v>1168</v>
      </c>
      <c r="F81" s="158">
        <v>43462</v>
      </c>
      <c r="G81" s="162">
        <v>2.88</v>
      </c>
      <c r="H81" s="159">
        <v>3374</v>
      </c>
      <c r="I81" s="160">
        <v>1419834</v>
      </c>
      <c r="J81" s="163">
        <v>19175</v>
      </c>
      <c r="K81" s="158">
        <v>43472</v>
      </c>
      <c r="L81" s="160" t="s">
        <v>1185</v>
      </c>
      <c r="M81" s="160">
        <v>4615515804</v>
      </c>
      <c r="N81" s="158">
        <v>43490</v>
      </c>
      <c r="O81" s="164">
        <v>3.7612999999999999</v>
      </c>
      <c r="P81" s="165">
        <v>19927</v>
      </c>
      <c r="Q81" s="34">
        <f>SUMIF(Allocation[Delivery ID],Allocation[[#This Row],[Delivery ID]],Allocation[Quantity Processed])</f>
        <v>30560</v>
      </c>
      <c r="R81" s="61">
        <f>Allocation[[#This Row],[Total volume used]]/VLOOKUP(Allocation[[#This Row],[Delivery ID]],Delivery[[Delivery ID]:[Quantity delivered]],3,FALSE)</f>
        <v>1</v>
      </c>
      <c r="S81" s="34">
        <f>Allocation[[#This Row],[Quantity Processed]]/Allocation[[#This Row],[Dilution rate]]</f>
        <v>3905.2083333333335</v>
      </c>
      <c r="T81" s="59">
        <f>SUMIF(Allocation[Delivery ID],Allocation[[#This Row],[Delivery ID]],Allocation[Quantity allocated])/SUMIF(Allocation[Delivery ID],Allocation[[#This Row],[Delivery ID]],Allocation[Volume available (kg)])</f>
        <v>0.83788430502234557</v>
      </c>
      <c r="U81" s="61">
        <f>Allocation[[#This Row],[Total volume used]]/VLOOKUP(Allocation[[#This Row],[Delivery ID]],Delivery[[Delivery ID]:[Quantity delivered]],3,FALSE)</f>
        <v>1</v>
      </c>
      <c r="V81" s="34" t="e">
        <f>VLOOKUP(Allocation[[#This Row],[SAP Contract number]],Shipments[[SAP Contract number]:[Contracted container weight]],2,FALSE)</f>
        <v>#N/A</v>
      </c>
      <c r="W81" s="34" t="e">
        <f>VLOOKUP(Allocation[[#This Row],[SAP Contract number]],Shipments[[SAP Contract number]:[AAA Premium USD]],24,FALSE)</f>
        <v>#N/A</v>
      </c>
      <c r="X81" s="34" t="e">
        <f>VLOOKUP(Allocation[[#This Row],[SAP Contract number]],Shipments[[SAP Contract number]:[RA Premium USD]],25,FALSE)</f>
        <v>#N/A</v>
      </c>
      <c r="Y81" s="38">
        <f>Allocation[[#This Row],[Quantity Processed]]/Allocation[[#This Row],[Quantity allocated]]</f>
        <v>3.3334321280379373</v>
      </c>
      <c r="Z81" s="34" t="b">
        <f>Allocation[[#This Row],[Quantity allocated]]&lt;=Allocation[[#This Row],[Quantity Processed]]</f>
        <v>1</v>
      </c>
    </row>
    <row r="82" spans="1:26">
      <c r="A82" s="247" t="s">
        <v>467</v>
      </c>
      <c r="B82" s="160" t="s">
        <v>68</v>
      </c>
      <c r="C82" s="249" t="s">
        <v>1097</v>
      </c>
      <c r="D82" s="161">
        <v>11053</v>
      </c>
      <c r="E82" s="160" t="s">
        <v>1168</v>
      </c>
      <c r="F82" s="158">
        <v>43462</v>
      </c>
      <c r="G82" s="162">
        <v>2.88</v>
      </c>
      <c r="H82" s="159">
        <v>3316</v>
      </c>
      <c r="I82" s="160">
        <v>1419834</v>
      </c>
      <c r="J82" s="163">
        <v>19175</v>
      </c>
      <c r="K82" s="158">
        <v>43472</v>
      </c>
      <c r="L82" s="160" t="s">
        <v>1185</v>
      </c>
      <c r="M82" s="160">
        <v>4615515804</v>
      </c>
      <c r="N82" s="158">
        <v>43490</v>
      </c>
      <c r="O82" s="164">
        <v>3.7612999999999999</v>
      </c>
      <c r="P82" s="165">
        <v>19927</v>
      </c>
      <c r="Q82" s="34">
        <f>SUMIF(Allocation[Delivery ID],Allocation[[#This Row],[Delivery ID]],Allocation[Quantity Processed])</f>
        <v>30050</v>
      </c>
      <c r="R82" s="61">
        <f>Allocation[[#This Row],[Total volume used]]/VLOOKUP(Allocation[[#This Row],[Delivery ID]],Delivery[[Delivery ID]:[Quantity delivered]],3,FALSE)</f>
        <v>1</v>
      </c>
      <c r="S82" s="34">
        <f>Allocation[[#This Row],[Quantity Processed]]/Allocation[[#This Row],[Dilution rate]]</f>
        <v>3837.8472222222222</v>
      </c>
      <c r="T82" s="59">
        <f>SUMIF(Allocation[Delivery ID],Allocation[[#This Row],[Delivery ID]],Allocation[Quantity allocated])/SUMIF(Allocation[Delivery ID],Allocation[[#This Row],[Delivery ID]],Allocation[Volume available (kg)])</f>
        <v>0.83718735910049358</v>
      </c>
      <c r="U82" s="61">
        <f>Allocation[[#This Row],[Total volume used]]/VLOOKUP(Allocation[[#This Row],[Delivery ID]],Delivery[[Delivery ID]:[Quantity delivered]],3,FALSE)</f>
        <v>1</v>
      </c>
      <c r="V82" s="34" t="e">
        <f>VLOOKUP(Allocation[[#This Row],[SAP Contract number]],Shipments[[SAP Contract number]:[Contracted container weight]],2,FALSE)</f>
        <v>#N/A</v>
      </c>
      <c r="W82" s="34" t="e">
        <f>VLOOKUP(Allocation[[#This Row],[SAP Contract number]],Shipments[[SAP Contract number]:[AAA Premium USD]],24,FALSE)</f>
        <v>#N/A</v>
      </c>
      <c r="X82" s="34" t="e">
        <f>VLOOKUP(Allocation[[#This Row],[SAP Contract number]],Shipments[[SAP Contract number]:[RA Premium USD]],25,FALSE)</f>
        <v>#N/A</v>
      </c>
      <c r="Y82" s="38">
        <f>Allocation[[#This Row],[Quantity Processed]]/Allocation[[#This Row],[Quantity allocated]]</f>
        <v>3.3332328106151992</v>
      </c>
      <c r="Z82" s="34" t="b">
        <f>Allocation[[#This Row],[Quantity allocated]]&lt;=Allocation[[#This Row],[Quantity Processed]]</f>
        <v>1</v>
      </c>
    </row>
    <row r="83" spans="1:26">
      <c r="A83" s="247" t="s">
        <v>467</v>
      </c>
      <c r="B83" s="160" t="s">
        <v>68</v>
      </c>
      <c r="C83" s="249" t="s">
        <v>955</v>
      </c>
      <c r="D83" s="250">
        <v>28078</v>
      </c>
      <c r="E83" s="160" t="s">
        <v>1186</v>
      </c>
      <c r="F83" s="158">
        <v>43487</v>
      </c>
      <c r="G83" s="162">
        <v>2.93</v>
      </c>
      <c r="H83" s="250">
        <v>8490</v>
      </c>
      <c r="I83" s="160">
        <v>1423913</v>
      </c>
      <c r="J83" s="163">
        <v>21600</v>
      </c>
      <c r="K83" s="158">
        <v>43494</v>
      </c>
      <c r="L83" s="160" t="s">
        <v>1187</v>
      </c>
      <c r="M83" s="160">
        <v>4615513976</v>
      </c>
      <c r="N83" s="158">
        <v>43516</v>
      </c>
      <c r="O83" s="164">
        <v>3.7094</v>
      </c>
      <c r="P83" s="165" t="s">
        <v>1322</v>
      </c>
      <c r="Q83" s="34">
        <f>SUMIF(Allocation[Delivery ID],Allocation[[#This Row],[Delivery ID]],Allocation[Quantity Processed])</f>
        <v>30760</v>
      </c>
      <c r="R83" s="61">
        <f>Allocation[[#This Row],[Total volume used]]/VLOOKUP(Allocation[[#This Row],[Delivery ID]],Delivery[[Delivery ID]:[Quantity delivered]],3,FALSE)</f>
        <v>1</v>
      </c>
      <c r="S83" s="34">
        <f>Allocation[[#This Row],[Quantity Processed]]/Allocation[[#This Row],[Dilution rate]]</f>
        <v>9582.9351535836176</v>
      </c>
      <c r="T83" s="59">
        <f>SUMIF(Allocation[Delivery ID],Allocation[[#This Row],[Delivery ID]],Allocation[Quantity allocated])/SUMIF(Allocation[Delivery ID],Allocation[[#This Row],[Delivery ID]],Allocation[Volume available (kg)])</f>
        <v>0.88595351105331599</v>
      </c>
      <c r="U83" s="61">
        <f>Allocation[[#This Row],[Total volume used]]/VLOOKUP(Allocation[[#This Row],[Delivery ID]],Delivery[[Delivery ID]:[Quantity delivered]],3,FALSE)</f>
        <v>1</v>
      </c>
      <c r="V83" s="34" t="e">
        <f>VLOOKUP(Allocation[[#This Row],[SAP Contract number]],Shipments[[SAP Contract number]:[Contracted container weight]],2,FALSE)</f>
        <v>#N/A</v>
      </c>
      <c r="W83" s="34" t="e">
        <f>VLOOKUP(Allocation[[#This Row],[SAP Contract number]],Shipments[[SAP Contract number]:[AAA Premium USD]],24,FALSE)</f>
        <v>#N/A</v>
      </c>
      <c r="X83" s="34" t="e">
        <f>VLOOKUP(Allocation[[#This Row],[SAP Contract number]],Shipments[[SAP Contract number]:[RA Premium USD]],25,FALSE)</f>
        <v>#N/A</v>
      </c>
      <c r="Y83" s="38">
        <f>Allocation[[#This Row],[Quantity Processed]]/Allocation[[#This Row],[Quantity allocated]]</f>
        <v>3.3071849234393405</v>
      </c>
      <c r="Z83" s="34" t="b">
        <f>Allocation[[#This Row],[Quantity allocated]]&lt;=Allocation[[#This Row],[Quantity Processed]]</f>
        <v>1</v>
      </c>
    </row>
    <row r="84" spans="1:26">
      <c r="A84" s="247" t="s">
        <v>467</v>
      </c>
      <c r="B84" s="160" t="s">
        <v>68</v>
      </c>
      <c r="C84" s="249" t="s">
        <v>956</v>
      </c>
      <c r="D84" s="250">
        <v>13810</v>
      </c>
      <c r="E84" s="160" t="s">
        <v>1186</v>
      </c>
      <c r="F84" s="158">
        <v>43487</v>
      </c>
      <c r="G84" s="162">
        <v>2.93</v>
      </c>
      <c r="H84" s="250">
        <v>4174</v>
      </c>
      <c r="I84" s="160">
        <v>1423913</v>
      </c>
      <c r="J84" s="163">
        <v>21600</v>
      </c>
      <c r="K84" s="158">
        <v>43494</v>
      </c>
      <c r="L84" s="160" t="s">
        <v>1187</v>
      </c>
      <c r="M84" s="160">
        <v>4615513976</v>
      </c>
      <c r="N84" s="158">
        <v>43516</v>
      </c>
      <c r="O84" s="164">
        <v>3.7094</v>
      </c>
      <c r="P84" s="165" t="s">
        <v>1322</v>
      </c>
      <c r="Q84" s="34">
        <f>SUMIF(Allocation[Delivery ID],Allocation[[#This Row],[Delivery ID]],Allocation[Quantity Processed])</f>
        <v>13810</v>
      </c>
      <c r="R84" s="61">
        <f>Allocation[[#This Row],[Total volume used]]/VLOOKUP(Allocation[[#This Row],[Delivery ID]],Delivery[[Delivery ID]:[Quantity delivered]],3,FALSE)</f>
        <v>1</v>
      </c>
      <c r="S84" s="34">
        <f>Allocation[[#This Row],[Quantity Processed]]/Allocation[[#This Row],[Dilution rate]]</f>
        <v>4713.3105802047776</v>
      </c>
      <c r="T84" s="59">
        <f>SUMIF(Allocation[Delivery ID],Allocation[[#This Row],[Delivery ID]],Allocation[Quantity allocated])/SUMIF(Allocation[Delivery ID],Allocation[[#This Row],[Delivery ID]],Allocation[Volume available (kg)])</f>
        <v>0.88557711803041284</v>
      </c>
      <c r="U84" s="61">
        <f>Allocation[[#This Row],[Total volume used]]/VLOOKUP(Allocation[[#This Row],[Delivery ID]],Delivery[[Delivery ID]:[Quantity delivered]],3,FALSE)</f>
        <v>1</v>
      </c>
      <c r="V84" s="34" t="e">
        <f>VLOOKUP(Allocation[[#This Row],[SAP Contract number]],Shipments[[SAP Contract number]:[Contracted container weight]],2,FALSE)</f>
        <v>#N/A</v>
      </c>
      <c r="W84" s="34" t="e">
        <f>VLOOKUP(Allocation[[#This Row],[SAP Contract number]],Shipments[[SAP Contract number]:[AAA Premium USD]],24,FALSE)</f>
        <v>#N/A</v>
      </c>
      <c r="X84" s="34" t="e">
        <f>VLOOKUP(Allocation[[#This Row],[SAP Contract number]],Shipments[[SAP Contract number]:[RA Premium USD]],25,FALSE)</f>
        <v>#N/A</v>
      </c>
      <c r="Y84" s="38">
        <f>Allocation[[#This Row],[Quantity Processed]]/Allocation[[#This Row],[Quantity allocated]]</f>
        <v>3.3085769046478197</v>
      </c>
      <c r="Z84" s="34" t="b">
        <f>Allocation[[#This Row],[Quantity allocated]]&lt;=Allocation[[#This Row],[Quantity Processed]]</f>
        <v>1</v>
      </c>
    </row>
    <row r="85" spans="1:26">
      <c r="A85" s="247" t="s">
        <v>467</v>
      </c>
      <c r="B85" s="160" t="s">
        <v>68</v>
      </c>
      <c r="C85" s="249" t="s">
        <v>969</v>
      </c>
      <c r="D85" s="250">
        <v>10927</v>
      </c>
      <c r="E85" s="160" t="s">
        <v>1186</v>
      </c>
      <c r="F85" s="158">
        <v>43487</v>
      </c>
      <c r="G85" s="162">
        <v>2.93</v>
      </c>
      <c r="H85" s="250">
        <v>3641</v>
      </c>
      <c r="I85" s="160">
        <v>1423913</v>
      </c>
      <c r="J85" s="163">
        <v>21600</v>
      </c>
      <c r="K85" s="158">
        <v>43494</v>
      </c>
      <c r="L85" s="160" t="s">
        <v>1187</v>
      </c>
      <c r="M85" s="160">
        <v>4615513976</v>
      </c>
      <c r="N85" s="158">
        <v>43516</v>
      </c>
      <c r="O85" s="164">
        <v>3.7094</v>
      </c>
      <c r="P85" s="165" t="s">
        <v>1322</v>
      </c>
      <c r="Q85" s="34">
        <f>SUMIF(Allocation[Delivery ID],Allocation[[#This Row],[Delivery ID]],Allocation[Quantity Processed])</f>
        <v>18000</v>
      </c>
      <c r="R85" s="61">
        <f>Allocation[[#This Row],[Total volume used]]/VLOOKUP(Allocation[[#This Row],[Delivery ID]],Delivery[[Delivery ID]:[Quantity delivered]],3,FALSE)</f>
        <v>1</v>
      </c>
      <c r="S85" s="34">
        <f>Allocation[[#This Row],[Quantity Processed]]/Allocation[[#This Row],[Dilution rate]]</f>
        <v>3729.3515358361774</v>
      </c>
      <c r="T85" s="59">
        <f>SUMIF(Allocation[Delivery ID],Allocation[[#This Row],[Delivery ID]],Allocation[Quantity allocated])/SUMIF(Allocation[Delivery ID],Allocation[[#This Row],[Delivery ID]],Allocation[Volume available (kg)])</f>
        <v>0.96600716753857985</v>
      </c>
      <c r="U85" s="61">
        <f>Allocation[[#This Row],[Total volume used]]/VLOOKUP(Allocation[[#This Row],[Delivery ID]],Delivery[[Delivery ID]:[Quantity delivered]],3,FALSE)</f>
        <v>1</v>
      </c>
      <c r="V85" s="34" t="e">
        <f>VLOOKUP(Allocation[[#This Row],[SAP Contract number]],Shipments[[SAP Contract number]:[Contracted container weight]],2,FALSE)</f>
        <v>#N/A</v>
      </c>
      <c r="W85" s="34" t="e">
        <f>VLOOKUP(Allocation[[#This Row],[SAP Contract number]],Shipments[[SAP Contract number]:[AAA Premium USD]],24,FALSE)</f>
        <v>#N/A</v>
      </c>
      <c r="X85" s="34" t="e">
        <f>VLOOKUP(Allocation[[#This Row],[SAP Contract number]],Shipments[[SAP Contract number]:[RA Premium USD]],25,FALSE)</f>
        <v>#N/A</v>
      </c>
      <c r="Y85" s="38">
        <f>Allocation[[#This Row],[Quantity Processed]]/Allocation[[#This Row],[Quantity allocated]]</f>
        <v>3.0010985992859105</v>
      </c>
      <c r="Z85" s="34" t="b">
        <f>Allocation[[#This Row],[Quantity allocated]]&lt;=Allocation[[#This Row],[Quantity Processed]]</f>
        <v>1</v>
      </c>
    </row>
    <row r="86" spans="1:26">
      <c r="A86" s="247" t="s">
        <v>467</v>
      </c>
      <c r="B86" s="160" t="s">
        <v>68</v>
      </c>
      <c r="C86" s="249" t="s">
        <v>981</v>
      </c>
      <c r="D86" s="250">
        <v>16022</v>
      </c>
      <c r="E86" s="160" t="s">
        <v>1186</v>
      </c>
      <c r="F86" s="158">
        <v>43487</v>
      </c>
      <c r="G86" s="162">
        <v>2.93</v>
      </c>
      <c r="H86" s="250">
        <v>5295</v>
      </c>
      <c r="I86" s="160">
        <v>1423913</v>
      </c>
      <c r="J86" s="163">
        <v>21600</v>
      </c>
      <c r="K86" s="158">
        <v>43494</v>
      </c>
      <c r="L86" s="160" t="s">
        <v>1187</v>
      </c>
      <c r="M86" s="160">
        <v>4615513976</v>
      </c>
      <c r="N86" s="158">
        <v>43516</v>
      </c>
      <c r="O86" s="164">
        <v>3.7094</v>
      </c>
      <c r="P86" s="165" t="s">
        <v>1322</v>
      </c>
      <c r="Q86" s="34">
        <f>SUMIF(Allocation[Delivery ID],Allocation[[#This Row],[Delivery ID]],Allocation[Quantity Processed])</f>
        <v>30430</v>
      </c>
      <c r="R86" s="61">
        <f>Allocation[[#This Row],[Total volume used]]/VLOOKUP(Allocation[[#This Row],[Delivery ID]],Delivery[[Delivery ID]:[Quantity delivered]],3,FALSE)</f>
        <v>1</v>
      </c>
      <c r="S86" s="34">
        <f>Allocation[[#This Row],[Quantity Processed]]/Allocation[[#This Row],[Dilution rate]]</f>
        <v>5468.2593856655285</v>
      </c>
      <c r="T86" s="59">
        <f>SUMIF(Allocation[Delivery ID],Allocation[[#This Row],[Delivery ID]],Allocation[Quantity allocated])/SUMIF(Allocation[Delivery ID],Allocation[[#This Row],[Delivery ID]],Allocation[Volume available (kg)])</f>
        <v>0.96235892467140538</v>
      </c>
      <c r="U86" s="61">
        <f>Allocation[[#This Row],[Total volume used]]/VLOOKUP(Allocation[[#This Row],[Delivery ID]],Delivery[[Delivery ID]:[Quantity delivered]],3,FALSE)</f>
        <v>1</v>
      </c>
      <c r="V86" s="34" t="e">
        <f>VLOOKUP(Allocation[[#This Row],[SAP Contract number]],Shipments[[SAP Contract number]:[Contracted container weight]],2,FALSE)</f>
        <v>#N/A</v>
      </c>
      <c r="W86" s="34" t="e">
        <f>VLOOKUP(Allocation[[#This Row],[SAP Contract number]],Shipments[[SAP Contract number]:[AAA Premium USD]],24,FALSE)</f>
        <v>#N/A</v>
      </c>
      <c r="X86" s="34" t="e">
        <f>VLOOKUP(Allocation[[#This Row],[SAP Contract number]],Shipments[[SAP Contract number]:[RA Premium USD]],25,FALSE)</f>
        <v>#N/A</v>
      </c>
      <c r="Y86" s="38">
        <f>Allocation[[#This Row],[Quantity Processed]]/Allocation[[#This Row],[Quantity allocated]]</f>
        <v>3.0258734655335222</v>
      </c>
      <c r="Z86" s="34" t="b">
        <f>Allocation[[#This Row],[Quantity allocated]]&lt;=Allocation[[#This Row],[Quantity Processed]]</f>
        <v>1</v>
      </c>
    </row>
    <row r="87" spans="1:26">
      <c r="A87" s="247" t="s">
        <v>467</v>
      </c>
      <c r="B87" s="160" t="s">
        <v>68</v>
      </c>
      <c r="C87" s="249" t="s">
        <v>981</v>
      </c>
      <c r="D87" s="250">
        <v>4366</v>
      </c>
      <c r="E87" s="160" t="s">
        <v>1186</v>
      </c>
      <c r="F87" s="158">
        <v>43487</v>
      </c>
      <c r="G87" s="162">
        <v>2.93</v>
      </c>
      <c r="H87" s="250">
        <v>1443</v>
      </c>
      <c r="I87" s="160">
        <v>1423914</v>
      </c>
      <c r="J87" s="163">
        <v>21600</v>
      </c>
      <c r="K87" s="158">
        <v>43494</v>
      </c>
      <c r="L87" s="160" t="s">
        <v>1188</v>
      </c>
      <c r="M87" s="160">
        <v>4615513976</v>
      </c>
      <c r="N87" s="158">
        <v>43516</v>
      </c>
      <c r="O87" s="164">
        <v>3.7094</v>
      </c>
      <c r="P87" s="165" t="s">
        <v>1322</v>
      </c>
      <c r="Q87" s="34">
        <f>SUMIF(Allocation[Delivery ID],Allocation[[#This Row],[Delivery ID]],Allocation[Quantity Processed])</f>
        <v>30430</v>
      </c>
      <c r="R87" s="61">
        <f>Allocation[[#This Row],[Total volume used]]/VLOOKUP(Allocation[[#This Row],[Delivery ID]],Delivery[[Delivery ID]:[Quantity delivered]],3,FALSE)</f>
        <v>1</v>
      </c>
      <c r="S87" s="34">
        <f>Allocation[[#This Row],[Quantity Processed]]/Allocation[[#This Row],[Dilution rate]]</f>
        <v>1490.1023890784982</v>
      </c>
      <c r="T87" s="59">
        <f>SUMIF(Allocation[Delivery ID],Allocation[[#This Row],[Delivery ID]],Allocation[Quantity allocated])/SUMIF(Allocation[Delivery ID],Allocation[[#This Row],[Delivery ID]],Allocation[Volume available (kg)])</f>
        <v>0.96235892467140538</v>
      </c>
      <c r="U87" s="61">
        <f>Allocation[[#This Row],[Total volume used]]/VLOOKUP(Allocation[[#This Row],[Delivery ID]],Delivery[[Delivery ID]:[Quantity delivered]],3,FALSE)</f>
        <v>1</v>
      </c>
      <c r="V87" s="34" t="e">
        <f>VLOOKUP(Allocation[[#This Row],[SAP Contract number]],Shipments[[SAP Contract number]:[Contracted container weight]],2,FALSE)</f>
        <v>#N/A</v>
      </c>
      <c r="W87" s="34" t="e">
        <f>VLOOKUP(Allocation[[#This Row],[SAP Contract number]],Shipments[[SAP Contract number]:[AAA Premium USD]],24,FALSE)</f>
        <v>#N/A</v>
      </c>
      <c r="X87" s="34" t="e">
        <f>VLOOKUP(Allocation[[#This Row],[SAP Contract number]],Shipments[[SAP Contract number]:[RA Premium USD]],25,FALSE)</f>
        <v>#N/A</v>
      </c>
      <c r="Y87" s="38">
        <f>Allocation[[#This Row],[Quantity Processed]]/Allocation[[#This Row],[Quantity allocated]]</f>
        <v>3.0256410256410255</v>
      </c>
      <c r="Z87" s="34" t="b">
        <f>Allocation[[#This Row],[Quantity allocated]]&lt;=Allocation[[#This Row],[Quantity Processed]]</f>
        <v>1</v>
      </c>
    </row>
    <row r="88" spans="1:26">
      <c r="A88" s="247" t="s">
        <v>467</v>
      </c>
      <c r="B88" s="160" t="s">
        <v>68</v>
      </c>
      <c r="C88" s="249" t="s">
        <v>983</v>
      </c>
      <c r="D88" s="250">
        <v>20088</v>
      </c>
      <c r="E88" s="160" t="s">
        <v>1186</v>
      </c>
      <c r="F88" s="158">
        <v>43487</v>
      </c>
      <c r="G88" s="162">
        <v>2.93</v>
      </c>
      <c r="H88" s="250">
        <v>6678</v>
      </c>
      <c r="I88" s="160">
        <v>1423914</v>
      </c>
      <c r="J88" s="163">
        <v>21600</v>
      </c>
      <c r="K88" s="158">
        <v>43494</v>
      </c>
      <c r="L88" s="160" t="s">
        <v>1188</v>
      </c>
      <c r="M88" s="160">
        <v>4615513976</v>
      </c>
      <c r="N88" s="158">
        <v>43516</v>
      </c>
      <c r="O88" s="164">
        <v>3.7094</v>
      </c>
      <c r="P88" s="165" t="s">
        <v>1322</v>
      </c>
      <c r="Q88" s="34">
        <f>SUMIF(Allocation[Delivery ID],Allocation[[#This Row],[Delivery ID]],Allocation[Quantity Processed])</f>
        <v>30130</v>
      </c>
      <c r="R88" s="61">
        <f>Allocation[[#This Row],[Total volume used]]/VLOOKUP(Allocation[[#This Row],[Delivery ID]],Delivery[[Delivery ID]:[Quantity delivered]],3,FALSE)</f>
        <v>1</v>
      </c>
      <c r="S88" s="34">
        <f>Allocation[[#This Row],[Quantity Processed]]/Allocation[[#This Row],[Dilution rate]]</f>
        <v>6855.9726962457335</v>
      </c>
      <c r="T88" s="59">
        <f>SUMIF(Allocation[Delivery ID],Allocation[[#This Row],[Delivery ID]],Allocation[Quantity allocated])/SUMIF(Allocation[Delivery ID],Allocation[[#This Row],[Delivery ID]],Allocation[Volume available (kg)])</f>
        <v>0.96608471696275622</v>
      </c>
      <c r="U88" s="61">
        <f>Allocation[[#This Row],[Total volume used]]/VLOOKUP(Allocation[[#This Row],[Delivery ID]],Delivery[[Delivery ID]:[Quantity delivered]],3,FALSE)</f>
        <v>1</v>
      </c>
      <c r="V88" s="34" t="e">
        <f>VLOOKUP(Allocation[[#This Row],[SAP Contract number]],Shipments[[SAP Contract number]:[Contracted container weight]],2,FALSE)</f>
        <v>#N/A</v>
      </c>
      <c r="W88" s="34" t="e">
        <f>VLOOKUP(Allocation[[#This Row],[SAP Contract number]],Shipments[[SAP Contract number]:[AAA Premium USD]],24,FALSE)</f>
        <v>#N/A</v>
      </c>
      <c r="X88" s="34" t="e">
        <f>VLOOKUP(Allocation[[#This Row],[SAP Contract number]],Shipments[[SAP Contract number]:[RA Premium USD]],25,FALSE)</f>
        <v>#N/A</v>
      </c>
      <c r="Y88" s="38">
        <f>Allocation[[#This Row],[Quantity Processed]]/Allocation[[#This Row],[Quantity allocated]]</f>
        <v>3.0080862533692723</v>
      </c>
      <c r="Z88" s="34" t="b">
        <f>Allocation[[#This Row],[Quantity allocated]]&lt;=Allocation[[#This Row],[Quantity Processed]]</f>
        <v>1</v>
      </c>
    </row>
    <row r="89" spans="1:26">
      <c r="A89" s="247" t="s">
        <v>467</v>
      </c>
      <c r="B89" s="160" t="s">
        <v>68</v>
      </c>
      <c r="C89" s="249" t="s">
        <v>993</v>
      </c>
      <c r="D89" s="250">
        <v>19178</v>
      </c>
      <c r="E89" s="160" t="s">
        <v>1186</v>
      </c>
      <c r="F89" s="158">
        <v>43487</v>
      </c>
      <c r="G89" s="162">
        <v>2.93</v>
      </c>
      <c r="H89" s="250">
        <v>6380</v>
      </c>
      <c r="I89" s="160">
        <v>1423914</v>
      </c>
      <c r="J89" s="163">
        <v>21600</v>
      </c>
      <c r="K89" s="158">
        <v>43494</v>
      </c>
      <c r="L89" s="160" t="s">
        <v>1188</v>
      </c>
      <c r="M89" s="160">
        <v>4615513976</v>
      </c>
      <c r="N89" s="158">
        <v>43516</v>
      </c>
      <c r="O89" s="164">
        <v>3.7094</v>
      </c>
      <c r="P89" s="165" t="s">
        <v>1322</v>
      </c>
      <c r="Q89" s="34">
        <f>SUMIF(Allocation[Delivery ID],Allocation[[#This Row],[Delivery ID]],Allocation[Quantity Processed])</f>
        <v>29220</v>
      </c>
      <c r="R89" s="61">
        <f>Allocation[[#This Row],[Total volume used]]/VLOOKUP(Allocation[[#This Row],[Delivery ID]],Delivery[[Delivery ID]:[Quantity delivered]],3,FALSE)</f>
        <v>1</v>
      </c>
      <c r="S89" s="34">
        <f>Allocation[[#This Row],[Quantity Processed]]/Allocation[[#This Row],[Dilution rate]]</f>
        <v>6545.3924914675763</v>
      </c>
      <c r="T89" s="59">
        <f>SUMIF(Allocation[Delivery ID],Allocation[[#This Row],[Delivery ID]],Allocation[Quantity allocated])/SUMIF(Allocation[Delivery ID],Allocation[[#This Row],[Delivery ID]],Allocation[Volume available (kg)])</f>
        <v>0.96628873897445777</v>
      </c>
      <c r="U89" s="61">
        <f>Allocation[[#This Row],[Total volume used]]/VLOOKUP(Allocation[[#This Row],[Delivery ID]],Delivery[[Delivery ID]:[Quantity delivered]],3,FALSE)</f>
        <v>1</v>
      </c>
      <c r="V89" s="34" t="e">
        <f>VLOOKUP(Allocation[[#This Row],[SAP Contract number]],Shipments[[SAP Contract number]:[Contracted container weight]],2,FALSE)</f>
        <v>#N/A</v>
      </c>
      <c r="W89" s="34" t="e">
        <f>VLOOKUP(Allocation[[#This Row],[SAP Contract number]],Shipments[[SAP Contract number]:[AAA Premium USD]],24,FALSE)</f>
        <v>#N/A</v>
      </c>
      <c r="X89" s="34" t="e">
        <f>VLOOKUP(Allocation[[#This Row],[SAP Contract number]],Shipments[[SAP Contract number]:[RA Premium USD]],25,FALSE)</f>
        <v>#N/A</v>
      </c>
      <c r="Y89" s="38">
        <f>Allocation[[#This Row],[Quantity Processed]]/Allocation[[#This Row],[Quantity allocated]]</f>
        <v>3.0059561128526644</v>
      </c>
      <c r="Z89" s="34" t="b">
        <f>Allocation[[#This Row],[Quantity allocated]]&lt;=Allocation[[#This Row],[Quantity Processed]]</f>
        <v>1</v>
      </c>
    </row>
    <row r="90" spans="1:26">
      <c r="A90" s="247" t="s">
        <v>467</v>
      </c>
      <c r="B90" s="160" t="s">
        <v>68</v>
      </c>
      <c r="C90" s="249" t="s">
        <v>998</v>
      </c>
      <c r="D90" s="250">
        <v>20258</v>
      </c>
      <c r="E90" s="160" t="s">
        <v>1186</v>
      </c>
      <c r="F90" s="158">
        <v>43487</v>
      </c>
      <c r="G90" s="162">
        <v>2.93</v>
      </c>
      <c r="H90" s="250">
        <v>6738</v>
      </c>
      <c r="I90" s="160">
        <v>1423914</v>
      </c>
      <c r="J90" s="163">
        <v>21600</v>
      </c>
      <c r="K90" s="158">
        <v>43494</v>
      </c>
      <c r="L90" s="160" t="s">
        <v>1188</v>
      </c>
      <c r="M90" s="160">
        <v>4615513976</v>
      </c>
      <c r="N90" s="158">
        <v>43516</v>
      </c>
      <c r="O90" s="164">
        <v>3.7094</v>
      </c>
      <c r="P90" s="165" t="s">
        <v>1322</v>
      </c>
      <c r="Q90" s="34">
        <f>SUMIF(Allocation[Delivery ID],Allocation[[#This Row],[Delivery ID]],Allocation[Quantity Processed])</f>
        <v>30300</v>
      </c>
      <c r="R90" s="61">
        <f>Allocation[[#This Row],[Total volume used]]/VLOOKUP(Allocation[[#This Row],[Delivery ID]],Delivery[[Delivery ID]:[Quantity delivered]],3,FALSE)</f>
        <v>1</v>
      </c>
      <c r="S90" s="34">
        <f>Allocation[[#This Row],[Quantity Processed]]/Allocation[[#This Row],[Dilution rate]]</f>
        <v>6913.9931740614329</v>
      </c>
      <c r="T90" s="59">
        <f>SUMIF(Allocation[Delivery ID],Allocation[[#This Row],[Delivery ID]],Allocation[Quantity allocated])/SUMIF(Allocation[Delivery ID],Allocation[[#This Row],[Delivery ID]],Allocation[Volume available (kg)])</f>
        <v>0.96646423619142252</v>
      </c>
      <c r="U90" s="61">
        <f>Allocation[[#This Row],[Total volume used]]/VLOOKUP(Allocation[[#This Row],[Delivery ID]],Delivery[[Delivery ID]:[Quantity delivered]],3,FALSE)</f>
        <v>1</v>
      </c>
      <c r="V90" s="34" t="e">
        <f>VLOOKUP(Allocation[[#This Row],[SAP Contract number]],Shipments[[SAP Contract number]:[Contracted container weight]],2,FALSE)</f>
        <v>#N/A</v>
      </c>
      <c r="W90" s="34" t="e">
        <f>VLOOKUP(Allocation[[#This Row],[SAP Contract number]],Shipments[[SAP Contract number]:[AAA Premium USD]],24,FALSE)</f>
        <v>#N/A</v>
      </c>
      <c r="X90" s="34" t="e">
        <f>VLOOKUP(Allocation[[#This Row],[SAP Contract number]],Shipments[[SAP Contract number]:[RA Premium USD]],25,FALSE)</f>
        <v>#N/A</v>
      </c>
      <c r="Y90" s="38">
        <f>Allocation[[#This Row],[Quantity Processed]]/Allocation[[#This Row],[Quantity allocated]]</f>
        <v>3.006530127634313</v>
      </c>
      <c r="Z90" s="34" t="b">
        <f>Allocation[[#This Row],[Quantity allocated]]&lt;=Allocation[[#This Row],[Quantity Processed]]</f>
        <v>1</v>
      </c>
    </row>
    <row r="91" spans="1:26">
      <c r="A91" s="247" t="s">
        <v>467</v>
      </c>
      <c r="B91" s="160" t="s">
        <v>68</v>
      </c>
      <c r="C91" s="249" t="s">
        <v>999</v>
      </c>
      <c r="D91" s="250">
        <v>1088</v>
      </c>
      <c r="E91" s="160" t="s">
        <v>1186</v>
      </c>
      <c r="F91" s="158">
        <v>43487</v>
      </c>
      <c r="G91" s="162">
        <v>2.93</v>
      </c>
      <c r="H91" s="250">
        <v>361</v>
      </c>
      <c r="I91" s="160">
        <v>1423914</v>
      </c>
      <c r="J91" s="163">
        <v>21600</v>
      </c>
      <c r="K91" s="158">
        <v>43494</v>
      </c>
      <c r="L91" s="160" t="s">
        <v>1188</v>
      </c>
      <c r="M91" s="160">
        <v>4615513976</v>
      </c>
      <c r="N91" s="158">
        <v>43516</v>
      </c>
      <c r="O91" s="164">
        <v>3.7094</v>
      </c>
      <c r="P91" s="165" t="s">
        <v>1322</v>
      </c>
      <c r="Q91" s="34">
        <f>SUMIF(Allocation[Delivery ID],Allocation[[#This Row],[Delivery ID]],Allocation[Quantity Processed])</f>
        <v>29980</v>
      </c>
      <c r="R91" s="61">
        <f>Allocation[[#This Row],[Total volume used]]/VLOOKUP(Allocation[[#This Row],[Delivery ID]],Delivery[[Delivery ID]:[Quantity delivered]],3,FALSE)</f>
        <v>1</v>
      </c>
      <c r="S91" s="34">
        <f>Allocation[[#This Row],[Quantity Processed]]/Allocation[[#This Row],[Dilution rate]]</f>
        <v>371.33105802047777</v>
      </c>
      <c r="T91" s="59">
        <f>SUMIF(Allocation[Delivery ID],Allocation[[#This Row],[Delivery ID]],Allocation[Quantity allocated])/SUMIF(Allocation[Delivery ID],Allocation[[#This Row],[Delivery ID]],Allocation[Volume available (kg)])</f>
        <v>0.96506041027353484</v>
      </c>
      <c r="U91" s="61">
        <f>Allocation[[#This Row],[Total volume used]]/VLOOKUP(Allocation[[#This Row],[Delivery ID]],Delivery[[Delivery ID]:[Quantity delivered]],3,FALSE)</f>
        <v>1</v>
      </c>
      <c r="V91" s="34" t="e">
        <f>VLOOKUP(Allocation[[#This Row],[SAP Contract number]],Shipments[[SAP Contract number]:[Contracted container weight]],2,FALSE)</f>
        <v>#N/A</v>
      </c>
      <c r="W91" s="34" t="e">
        <f>VLOOKUP(Allocation[[#This Row],[SAP Contract number]],Shipments[[SAP Contract number]:[AAA Premium USD]],24,FALSE)</f>
        <v>#N/A</v>
      </c>
      <c r="X91" s="34" t="e">
        <f>VLOOKUP(Allocation[[#This Row],[SAP Contract number]],Shipments[[SAP Contract number]:[RA Premium USD]],25,FALSE)</f>
        <v>#N/A</v>
      </c>
      <c r="Y91" s="38">
        <f>Allocation[[#This Row],[Quantity Processed]]/Allocation[[#This Row],[Quantity allocated]]</f>
        <v>3.0138504155124655</v>
      </c>
      <c r="Z91" s="34" t="b">
        <f>Allocation[[#This Row],[Quantity allocated]]&lt;=Allocation[[#This Row],[Quantity Processed]]</f>
        <v>1</v>
      </c>
    </row>
    <row r="92" spans="1:26">
      <c r="A92" s="247" t="s">
        <v>467</v>
      </c>
      <c r="B92" s="160" t="s">
        <v>68</v>
      </c>
      <c r="C92" s="249" t="s">
        <v>999</v>
      </c>
      <c r="D92" s="250">
        <v>18850</v>
      </c>
      <c r="E92" s="160" t="s">
        <v>1186</v>
      </c>
      <c r="F92" s="158">
        <v>43487</v>
      </c>
      <c r="G92" s="162">
        <v>2.93</v>
      </c>
      <c r="H92" s="250">
        <v>6257</v>
      </c>
      <c r="I92" s="160">
        <v>1423915</v>
      </c>
      <c r="J92" s="163">
        <v>21600</v>
      </c>
      <c r="K92" s="158">
        <v>43494</v>
      </c>
      <c r="L92" s="160" t="s">
        <v>1189</v>
      </c>
      <c r="M92" s="160">
        <v>4615513976</v>
      </c>
      <c r="N92" s="158">
        <v>43516</v>
      </c>
      <c r="O92" s="164">
        <v>3.7094</v>
      </c>
      <c r="P92" s="165" t="s">
        <v>1322</v>
      </c>
      <c r="Q92" s="34">
        <f>SUMIF(Allocation[Delivery ID],Allocation[[#This Row],[Delivery ID]],Allocation[Quantity Processed])</f>
        <v>29980</v>
      </c>
      <c r="R92" s="61">
        <f>Allocation[[#This Row],[Total volume used]]/VLOOKUP(Allocation[[#This Row],[Delivery ID]],Delivery[[Delivery ID]:[Quantity delivered]],3,FALSE)</f>
        <v>1</v>
      </c>
      <c r="S92" s="34">
        <f>Allocation[[#This Row],[Quantity Processed]]/Allocation[[#This Row],[Dilution rate]]</f>
        <v>6433.4470989761085</v>
      </c>
      <c r="T92" s="59">
        <f>SUMIF(Allocation[Delivery ID],Allocation[[#This Row],[Delivery ID]],Allocation[Quantity allocated])/SUMIF(Allocation[Delivery ID],Allocation[[#This Row],[Delivery ID]],Allocation[Volume available (kg)])</f>
        <v>0.96506041027353484</v>
      </c>
      <c r="U92" s="61">
        <f>Allocation[[#This Row],[Total volume used]]/VLOOKUP(Allocation[[#This Row],[Delivery ID]],Delivery[[Delivery ID]:[Quantity delivered]],3,FALSE)</f>
        <v>1</v>
      </c>
      <c r="V92" s="34" t="e">
        <f>VLOOKUP(Allocation[[#This Row],[SAP Contract number]],Shipments[[SAP Contract number]:[Contracted container weight]],2,FALSE)</f>
        <v>#N/A</v>
      </c>
      <c r="W92" s="34" t="e">
        <f>VLOOKUP(Allocation[[#This Row],[SAP Contract number]],Shipments[[SAP Contract number]:[AAA Premium USD]],24,FALSE)</f>
        <v>#N/A</v>
      </c>
      <c r="X92" s="34" t="e">
        <f>VLOOKUP(Allocation[[#This Row],[SAP Contract number]],Shipments[[SAP Contract number]:[RA Premium USD]],25,FALSE)</f>
        <v>#N/A</v>
      </c>
      <c r="Y92" s="38">
        <f>Allocation[[#This Row],[Quantity Processed]]/Allocation[[#This Row],[Quantity allocated]]</f>
        <v>3.0126258590378776</v>
      </c>
      <c r="Z92" s="34" t="b">
        <f>Allocation[[#This Row],[Quantity allocated]]&lt;=Allocation[[#This Row],[Quantity Processed]]</f>
        <v>1</v>
      </c>
    </row>
    <row r="93" spans="1:26">
      <c r="A93" s="247" t="s">
        <v>467</v>
      </c>
      <c r="B93" s="160" t="s">
        <v>68</v>
      </c>
      <c r="C93" s="249" t="s">
        <v>1008</v>
      </c>
      <c r="D93" s="250">
        <v>22676</v>
      </c>
      <c r="E93" s="160" t="s">
        <v>1186</v>
      </c>
      <c r="F93" s="158">
        <v>43487</v>
      </c>
      <c r="G93" s="162">
        <v>2.93</v>
      </c>
      <c r="H93" s="250">
        <v>10255</v>
      </c>
      <c r="I93" s="160">
        <v>1423915</v>
      </c>
      <c r="J93" s="163">
        <v>21600</v>
      </c>
      <c r="K93" s="158">
        <v>43494</v>
      </c>
      <c r="L93" s="160" t="s">
        <v>1189</v>
      </c>
      <c r="M93" s="160">
        <v>4615513976</v>
      </c>
      <c r="N93" s="158">
        <v>43516</v>
      </c>
      <c r="O93" s="164">
        <v>3.7094</v>
      </c>
      <c r="P93" s="165" t="s">
        <v>1322</v>
      </c>
      <c r="Q93" s="34">
        <f>SUMIF(Allocation[Delivery ID],Allocation[[#This Row],[Delivery ID]],Allocation[Quantity Processed])</f>
        <v>31840</v>
      </c>
      <c r="R93" s="61">
        <f>Allocation[[#This Row],[Total volume used]]/VLOOKUP(Allocation[[#This Row],[Delivery ID]],Delivery[[Delivery ID]:[Quantity delivered]],3,FALSE)</f>
        <v>1</v>
      </c>
      <c r="S93" s="34">
        <f>Allocation[[#This Row],[Quantity Processed]]/Allocation[[#This Row],[Dilution rate]]</f>
        <v>7739.2491467576783</v>
      </c>
      <c r="T93" s="59">
        <f>SUMIF(Allocation[Delivery ID],Allocation[[#This Row],[Delivery ID]],Allocation[Quantity allocated])/SUMIF(Allocation[Delivery ID],Allocation[[#This Row],[Delivery ID]],Allocation[Volume available (kg)])</f>
        <v>1.3166143315675141</v>
      </c>
      <c r="U93" s="61">
        <f>Allocation[[#This Row],[Total volume used]]/VLOOKUP(Allocation[[#This Row],[Delivery ID]],Delivery[[Delivery ID]:[Quantity delivered]],3,FALSE)</f>
        <v>1</v>
      </c>
      <c r="V93" s="34" t="e">
        <f>VLOOKUP(Allocation[[#This Row],[SAP Contract number]],Shipments[[SAP Contract number]:[Contracted container weight]],2,FALSE)</f>
        <v>#N/A</v>
      </c>
      <c r="W93" s="34" t="e">
        <f>VLOOKUP(Allocation[[#This Row],[SAP Contract number]],Shipments[[SAP Contract number]:[AAA Premium USD]],24,FALSE)</f>
        <v>#N/A</v>
      </c>
      <c r="X93" s="34" t="e">
        <f>VLOOKUP(Allocation[[#This Row],[SAP Contract number]],Shipments[[SAP Contract number]:[RA Premium USD]],25,FALSE)</f>
        <v>#N/A</v>
      </c>
      <c r="Y93" s="38">
        <f>Allocation[[#This Row],[Quantity Processed]]/Allocation[[#This Row],[Quantity allocated]]</f>
        <v>2.2112140419307655</v>
      </c>
      <c r="Z93" s="34" t="b">
        <f>Allocation[[#This Row],[Quantity allocated]]&lt;=Allocation[[#This Row],[Quantity Processed]]</f>
        <v>1</v>
      </c>
    </row>
    <row r="94" spans="1:26">
      <c r="A94" s="247" t="s">
        <v>467</v>
      </c>
      <c r="B94" s="160" t="s">
        <v>68</v>
      </c>
      <c r="C94" s="249" t="s">
        <v>1017</v>
      </c>
      <c r="D94" s="250">
        <v>16973</v>
      </c>
      <c r="E94" s="160" t="s">
        <v>1186</v>
      </c>
      <c r="F94" s="158">
        <v>43487</v>
      </c>
      <c r="G94" s="162">
        <v>2.93</v>
      </c>
      <c r="H94" s="250">
        <v>5088</v>
      </c>
      <c r="I94" s="160">
        <v>1423915</v>
      </c>
      <c r="J94" s="163">
        <v>21600</v>
      </c>
      <c r="K94" s="158">
        <v>43494</v>
      </c>
      <c r="L94" s="160" t="s">
        <v>1189</v>
      </c>
      <c r="M94" s="160">
        <v>4615513976</v>
      </c>
      <c r="N94" s="158">
        <v>43516</v>
      </c>
      <c r="O94" s="164">
        <v>3.7094</v>
      </c>
      <c r="P94" s="165" t="s">
        <v>1322</v>
      </c>
      <c r="Q94" s="34">
        <f>SUMIF(Allocation[Delivery ID],Allocation[[#This Row],[Delivery ID]],Allocation[Quantity Processed])</f>
        <v>37820</v>
      </c>
      <c r="R94" s="61">
        <f>Allocation[[#This Row],[Total volume used]]/VLOOKUP(Allocation[[#This Row],[Delivery ID]],Delivery[[Delivery ID]:[Quantity delivered]],3,FALSE)</f>
        <v>1</v>
      </c>
      <c r="S94" s="34">
        <f>Allocation[[#This Row],[Quantity Processed]]/Allocation[[#This Row],[Dilution rate]]</f>
        <v>5792.8327645051195</v>
      </c>
      <c r="T94" s="59">
        <f>SUMIF(Allocation[Delivery ID],Allocation[[#This Row],[Delivery ID]],Allocation[Quantity allocated])/SUMIF(Allocation[Delivery ID],Allocation[[#This Row],[Delivery ID]],Allocation[Volume available (kg)])</f>
        <v>0.8720713987603268</v>
      </c>
      <c r="U94" s="61">
        <f>Allocation[[#This Row],[Total volume used]]/VLOOKUP(Allocation[[#This Row],[Delivery ID]],Delivery[[Delivery ID]:[Quantity delivered]],3,FALSE)</f>
        <v>1</v>
      </c>
      <c r="V94" s="34" t="e">
        <f>VLOOKUP(Allocation[[#This Row],[SAP Contract number]],Shipments[[SAP Contract number]:[Contracted container weight]],2,FALSE)</f>
        <v>#N/A</v>
      </c>
      <c r="W94" s="34" t="e">
        <f>VLOOKUP(Allocation[[#This Row],[SAP Contract number]],Shipments[[SAP Contract number]:[AAA Premium USD]],24,FALSE)</f>
        <v>#N/A</v>
      </c>
      <c r="X94" s="34" t="e">
        <f>VLOOKUP(Allocation[[#This Row],[SAP Contract number]],Shipments[[SAP Contract number]:[RA Premium USD]],25,FALSE)</f>
        <v>#N/A</v>
      </c>
      <c r="Y94" s="38">
        <f>Allocation[[#This Row],[Quantity Processed]]/Allocation[[#This Row],[Quantity allocated]]</f>
        <v>3.335888364779874</v>
      </c>
      <c r="Z94" s="34" t="b">
        <f>Allocation[[#This Row],[Quantity allocated]]&lt;=Allocation[[#This Row],[Quantity Processed]]</f>
        <v>1</v>
      </c>
    </row>
    <row r="95" spans="1:26">
      <c r="A95" s="247" t="s">
        <v>467</v>
      </c>
      <c r="B95" s="160" t="s">
        <v>68</v>
      </c>
      <c r="C95" s="249" t="s">
        <v>1017</v>
      </c>
      <c r="D95" s="250">
        <v>4507</v>
      </c>
      <c r="E95" s="160" t="s">
        <v>1186</v>
      </c>
      <c r="F95" s="158">
        <v>43487</v>
      </c>
      <c r="G95" s="162">
        <v>2.93</v>
      </c>
      <c r="H95" s="250">
        <v>1351</v>
      </c>
      <c r="I95" s="160">
        <v>1423916</v>
      </c>
      <c r="J95" s="163">
        <v>21600</v>
      </c>
      <c r="K95" s="158">
        <v>43494</v>
      </c>
      <c r="L95" s="160" t="s">
        <v>1190</v>
      </c>
      <c r="M95" s="160">
        <v>4615513976</v>
      </c>
      <c r="N95" s="158">
        <v>43516</v>
      </c>
      <c r="O95" s="164">
        <v>3.7094</v>
      </c>
      <c r="P95" s="165" t="s">
        <v>1322</v>
      </c>
      <c r="Q95" s="34">
        <f>SUMIF(Allocation[Delivery ID],Allocation[[#This Row],[Delivery ID]],Allocation[Quantity Processed])</f>
        <v>37820</v>
      </c>
      <c r="R95" s="61">
        <f>Allocation[[#This Row],[Total volume used]]/VLOOKUP(Allocation[[#This Row],[Delivery ID]],Delivery[[Delivery ID]:[Quantity delivered]],3,FALSE)</f>
        <v>1</v>
      </c>
      <c r="S95" s="34">
        <f>Allocation[[#This Row],[Quantity Processed]]/Allocation[[#This Row],[Dilution rate]]</f>
        <v>1538.2252559726962</v>
      </c>
      <c r="T95" s="59">
        <f>SUMIF(Allocation[Delivery ID],Allocation[[#This Row],[Delivery ID]],Allocation[Quantity allocated])/SUMIF(Allocation[Delivery ID],Allocation[[#This Row],[Delivery ID]],Allocation[Volume available (kg)])</f>
        <v>0.8720713987603268</v>
      </c>
      <c r="U95" s="61">
        <f>Allocation[[#This Row],[Total volume used]]/VLOOKUP(Allocation[[#This Row],[Delivery ID]],Delivery[[Delivery ID]:[Quantity delivered]],3,FALSE)</f>
        <v>1</v>
      </c>
      <c r="V95" s="34" t="e">
        <f>VLOOKUP(Allocation[[#This Row],[SAP Contract number]],Shipments[[SAP Contract number]:[Contracted container weight]],2,FALSE)</f>
        <v>#N/A</v>
      </c>
      <c r="W95" s="34" t="e">
        <f>VLOOKUP(Allocation[[#This Row],[SAP Contract number]],Shipments[[SAP Contract number]:[AAA Premium USD]],24,FALSE)</f>
        <v>#N/A</v>
      </c>
      <c r="X95" s="34" t="e">
        <f>VLOOKUP(Allocation[[#This Row],[SAP Contract number]],Shipments[[SAP Contract number]:[RA Premium USD]],25,FALSE)</f>
        <v>#N/A</v>
      </c>
      <c r="Y95" s="38">
        <f>Allocation[[#This Row],[Quantity Processed]]/Allocation[[#This Row],[Quantity allocated]]</f>
        <v>3.3360473723168025</v>
      </c>
      <c r="Z95" s="34" t="b">
        <f>Allocation[[#This Row],[Quantity allocated]]&lt;=Allocation[[#This Row],[Quantity Processed]]</f>
        <v>1</v>
      </c>
    </row>
    <row r="96" spans="1:26">
      <c r="A96" s="247" t="s">
        <v>467</v>
      </c>
      <c r="B96" s="160" t="s">
        <v>68</v>
      </c>
      <c r="C96" s="249" t="s">
        <v>1018</v>
      </c>
      <c r="D96" s="250">
        <v>18033</v>
      </c>
      <c r="E96" s="160" t="s">
        <v>1186</v>
      </c>
      <c r="F96" s="158">
        <v>43487</v>
      </c>
      <c r="G96" s="162">
        <v>2.93</v>
      </c>
      <c r="H96" s="250">
        <v>5485</v>
      </c>
      <c r="I96" s="160">
        <v>1423916</v>
      </c>
      <c r="J96" s="163">
        <v>21600</v>
      </c>
      <c r="K96" s="158">
        <v>43494</v>
      </c>
      <c r="L96" s="160" t="s">
        <v>1190</v>
      </c>
      <c r="M96" s="160">
        <v>4615513976</v>
      </c>
      <c r="N96" s="158">
        <v>43516</v>
      </c>
      <c r="O96" s="164">
        <v>3.7094</v>
      </c>
      <c r="P96" s="165" t="s">
        <v>1322</v>
      </c>
      <c r="Q96" s="34">
        <f>SUMIF(Allocation[Delivery ID],Allocation[[#This Row],[Delivery ID]],Allocation[Quantity Processed])</f>
        <v>31780</v>
      </c>
      <c r="R96" s="61">
        <f>Allocation[[#This Row],[Total volume used]]/VLOOKUP(Allocation[[#This Row],[Delivery ID]],Delivery[[Delivery ID]:[Quantity delivered]],3,FALSE)</f>
        <v>1</v>
      </c>
      <c r="S96" s="34">
        <f>Allocation[[#This Row],[Quantity Processed]]/Allocation[[#This Row],[Dilution rate]]</f>
        <v>6154.6075085324228</v>
      </c>
      <c r="T96" s="59">
        <f>SUMIF(Allocation[Delivery ID],Allocation[[#This Row],[Delivery ID]],Allocation[Quantity allocated])/SUMIF(Allocation[Delivery ID],Allocation[[#This Row],[Delivery ID]],Allocation[Volume available (kg)])</f>
        <v>0.8793112263626629</v>
      </c>
      <c r="U96" s="61">
        <f>Allocation[[#This Row],[Total volume used]]/VLOOKUP(Allocation[[#This Row],[Delivery ID]],Delivery[[Delivery ID]:[Quantity delivered]],3,FALSE)</f>
        <v>1</v>
      </c>
      <c r="V96" s="34" t="e">
        <f>VLOOKUP(Allocation[[#This Row],[SAP Contract number]],Shipments[[SAP Contract number]:[Contracted container weight]],2,FALSE)</f>
        <v>#N/A</v>
      </c>
      <c r="W96" s="34" t="e">
        <f>VLOOKUP(Allocation[[#This Row],[SAP Contract number]],Shipments[[SAP Contract number]:[AAA Premium USD]],24,FALSE)</f>
        <v>#N/A</v>
      </c>
      <c r="X96" s="34" t="e">
        <f>VLOOKUP(Allocation[[#This Row],[SAP Contract number]],Shipments[[SAP Contract number]:[RA Premium USD]],25,FALSE)</f>
        <v>#N/A</v>
      </c>
      <c r="Y96" s="38">
        <f>Allocation[[#This Row],[Quantity Processed]]/Allocation[[#This Row],[Quantity allocated]]</f>
        <v>3.2876937101185049</v>
      </c>
      <c r="Z96" s="34" t="b">
        <f>Allocation[[#This Row],[Quantity allocated]]&lt;=Allocation[[#This Row],[Quantity Processed]]</f>
        <v>1</v>
      </c>
    </row>
    <row r="97" spans="1:26">
      <c r="A97" s="247" t="s">
        <v>467</v>
      </c>
      <c r="B97" s="160" t="s">
        <v>68</v>
      </c>
      <c r="C97" s="249" t="s">
        <v>1022</v>
      </c>
      <c r="D97" s="250">
        <v>18023</v>
      </c>
      <c r="E97" s="160" t="s">
        <v>1186</v>
      </c>
      <c r="F97" s="158">
        <v>43487</v>
      </c>
      <c r="G97" s="162">
        <v>2.93</v>
      </c>
      <c r="H97" s="250">
        <v>5485</v>
      </c>
      <c r="I97" s="160">
        <v>1423916</v>
      </c>
      <c r="J97" s="163">
        <v>21600</v>
      </c>
      <c r="K97" s="158">
        <v>43494</v>
      </c>
      <c r="L97" s="160" t="s">
        <v>1190</v>
      </c>
      <c r="M97" s="160">
        <v>4615513976</v>
      </c>
      <c r="N97" s="158">
        <v>43516</v>
      </c>
      <c r="O97" s="164">
        <v>3.7094</v>
      </c>
      <c r="P97" s="165" t="s">
        <v>1322</v>
      </c>
      <c r="Q97" s="34">
        <f>SUMIF(Allocation[Delivery ID],Allocation[[#This Row],[Delivery ID]],Allocation[Quantity Processed])</f>
        <v>31770</v>
      </c>
      <c r="R97" s="61">
        <f>Allocation[[#This Row],[Total volume used]]/VLOOKUP(Allocation[[#This Row],[Delivery ID]],Delivery[[Delivery ID]:[Quantity delivered]],3,FALSE)</f>
        <v>1</v>
      </c>
      <c r="S97" s="34">
        <f>Allocation[[#This Row],[Quantity Processed]]/Allocation[[#This Row],[Dilution rate]]</f>
        <v>6151.1945392491461</v>
      </c>
      <c r="T97" s="59">
        <f>SUMIF(Allocation[Delivery ID],Allocation[[#This Row],[Delivery ID]],Allocation[Quantity allocated])/SUMIF(Allocation[Delivery ID],Allocation[[#This Row],[Delivery ID]],Allocation[Volume available (kg)])</f>
        <v>0.87958593674997942</v>
      </c>
      <c r="U97" s="61">
        <f>Allocation[[#This Row],[Total volume used]]/VLOOKUP(Allocation[[#This Row],[Delivery ID]],Delivery[[Delivery ID]:[Quantity delivered]],3,FALSE)</f>
        <v>1</v>
      </c>
      <c r="V97" s="34" t="e">
        <f>VLOOKUP(Allocation[[#This Row],[SAP Contract number]],Shipments[[SAP Contract number]:[Contracted container weight]],2,FALSE)</f>
        <v>#N/A</v>
      </c>
      <c r="W97" s="34" t="e">
        <f>VLOOKUP(Allocation[[#This Row],[SAP Contract number]],Shipments[[SAP Contract number]:[AAA Premium USD]],24,FALSE)</f>
        <v>#N/A</v>
      </c>
      <c r="X97" s="34" t="e">
        <f>VLOOKUP(Allocation[[#This Row],[SAP Contract number]],Shipments[[SAP Contract number]:[RA Premium USD]],25,FALSE)</f>
        <v>#N/A</v>
      </c>
      <c r="Y97" s="38">
        <f>Allocation[[#This Row],[Quantity Processed]]/Allocation[[#This Row],[Quantity allocated]]</f>
        <v>3.2858705560619872</v>
      </c>
      <c r="Z97" s="34" t="b">
        <f>Allocation[[#This Row],[Quantity allocated]]&lt;=Allocation[[#This Row],[Quantity Processed]]</f>
        <v>1</v>
      </c>
    </row>
    <row r="98" spans="1:26">
      <c r="A98" s="247" t="s">
        <v>467</v>
      </c>
      <c r="B98" s="160" t="s">
        <v>68</v>
      </c>
      <c r="C98" s="249" t="s">
        <v>1023</v>
      </c>
      <c r="D98" s="250">
        <v>18083</v>
      </c>
      <c r="E98" s="160" t="s">
        <v>1186</v>
      </c>
      <c r="F98" s="158">
        <v>43487</v>
      </c>
      <c r="G98" s="162">
        <v>2.93</v>
      </c>
      <c r="H98" s="250">
        <v>5426</v>
      </c>
      <c r="I98" s="160">
        <v>1423916</v>
      </c>
      <c r="J98" s="163">
        <v>21600</v>
      </c>
      <c r="K98" s="158">
        <v>43494</v>
      </c>
      <c r="L98" s="160" t="s">
        <v>1190</v>
      </c>
      <c r="M98" s="160">
        <v>4615513976</v>
      </c>
      <c r="N98" s="158">
        <v>43516</v>
      </c>
      <c r="O98" s="164">
        <v>3.7094</v>
      </c>
      <c r="P98" s="165" t="s">
        <v>1322</v>
      </c>
      <c r="Q98" s="34">
        <f>SUMIF(Allocation[Delivery ID],Allocation[[#This Row],[Delivery ID]],Allocation[Quantity Processed])</f>
        <v>31830</v>
      </c>
      <c r="R98" s="61">
        <f>Allocation[[#This Row],[Total volume used]]/VLOOKUP(Allocation[[#This Row],[Delivery ID]],Delivery[[Delivery ID]:[Quantity delivered]],3,FALSE)</f>
        <v>1</v>
      </c>
      <c r="S98" s="34">
        <f>Allocation[[#This Row],[Quantity Processed]]/Allocation[[#This Row],[Dilution rate]]</f>
        <v>6171.6723549488052</v>
      </c>
      <c r="T98" s="59">
        <f>SUMIF(Allocation[Delivery ID],Allocation[[#This Row],[Delivery ID]],Allocation[Quantity allocated])/SUMIF(Allocation[Delivery ID],Allocation[[#This Row],[Delivery ID]],Allocation[Volume available (kg)])</f>
        <v>0.87254962361036303</v>
      </c>
      <c r="U98" s="61">
        <f>Allocation[[#This Row],[Total volume used]]/VLOOKUP(Allocation[[#This Row],[Delivery ID]],Delivery[[Delivery ID]:[Quantity delivered]],3,FALSE)</f>
        <v>1</v>
      </c>
      <c r="V98" s="34" t="e">
        <f>VLOOKUP(Allocation[[#This Row],[SAP Contract number]],Shipments[[SAP Contract number]:[Contracted container weight]],2,FALSE)</f>
        <v>#N/A</v>
      </c>
      <c r="W98" s="34" t="e">
        <f>VLOOKUP(Allocation[[#This Row],[SAP Contract number]],Shipments[[SAP Contract number]:[AAA Premium USD]],24,FALSE)</f>
        <v>#N/A</v>
      </c>
      <c r="X98" s="34" t="e">
        <f>VLOOKUP(Allocation[[#This Row],[SAP Contract number]],Shipments[[SAP Contract number]:[RA Premium USD]],25,FALSE)</f>
        <v>#N/A</v>
      </c>
      <c r="Y98" s="38">
        <f>Allocation[[#This Row],[Quantity Processed]]/Allocation[[#This Row],[Quantity allocated]]</f>
        <v>3.3326575746406193</v>
      </c>
      <c r="Z98" s="34" t="b">
        <f>Allocation[[#This Row],[Quantity allocated]]&lt;=Allocation[[#This Row],[Quantity Processed]]</f>
        <v>1</v>
      </c>
    </row>
    <row r="99" spans="1:26">
      <c r="A99" s="247" t="s">
        <v>467</v>
      </c>
      <c r="B99" s="160" t="s">
        <v>68</v>
      </c>
      <c r="C99" s="249" t="s">
        <v>1024</v>
      </c>
      <c r="D99" s="250">
        <v>12731</v>
      </c>
      <c r="E99" s="160" t="s">
        <v>1186</v>
      </c>
      <c r="F99" s="158">
        <v>43487</v>
      </c>
      <c r="G99" s="162">
        <v>2.93</v>
      </c>
      <c r="H99" s="250">
        <v>3853</v>
      </c>
      <c r="I99" s="160">
        <v>1423916</v>
      </c>
      <c r="J99" s="163">
        <v>21600</v>
      </c>
      <c r="K99" s="158">
        <v>43494</v>
      </c>
      <c r="L99" s="160" t="s">
        <v>1190</v>
      </c>
      <c r="M99" s="160">
        <v>4615513976</v>
      </c>
      <c r="N99" s="158">
        <v>43516</v>
      </c>
      <c r="O99" s="164">
        <v>3.7094</v>
      </c>
      <c r="P99" s="165" t="s">
        <v>1322</v>
      </c>
      <c r="Q99" s="34">
        <f>SUMIF(Allocation[Delivery ID],Allocation[[#This Row],[Delivery ID]],Allocation[Quantity Processed])</f>
        <v>31870</v>
      </c>
      <c r="R99" s="61">
        <f>Allocation[[#This Row],[Total volume used]]/VLOOKUP(Allocation[[#This Row],[Delivery ID]],Delivery[[Delivery ID]:[Quantity delivered]],3,FALSE)</f>
        <v>1</v>
      </c>
      <c r="S99" s="34">
        <f>Allocation[[#This Row],[Quantity Processed]]/Allocation[[#This Row],[Dilution rate]]</f>
        <v>4345.0511945392491</v>
      </c>
      <c r="T99" s="59">
        <f>SUMIF(Allocation[Delivery ID],Allocation[[#This Row],[Delivery ID]],Allocation[Quantity allocated])/SUMIF(Allocation[Delivery ID],Allocation[[#This Row],[Delivery ID]],Allocation[Volume available (kg)])</f>
        <v>0.87684653295909787</v>
      </c>
      <c r="U99" s="61">
        <f>Allocation[[#This Row],[Total volume used]]/VLOOKUP(Allocation[[#This Row],[Delivery ID]],Delivery[[Delivery ID]:[Quantity delivered]],3,FALSE)</f>
        <v>1</v>
      </c>
      <c r="V99" s="34" t="e">
        <f>VLOOKUP(Allocation[[#This Row],[SAP Contract number]],Shipments[[SAP Contract number]:[Contracted container weight]],2,FALSE)</f>
        <v>#N/A</v>
      </c>
      <c r="W99" s="34" t="e">
        <f>VLOOKUP(Allocation[[#This Row],[SAP Contract number]],Shipments[[SAP Contract number]:[AAA Premium USD]],24,FALSE)</f>
        <v>#N/A</v>
      </c>
      <c r="X99" s="34" t="e">
        <f>VLOOKUP(Allocation[[#This Row],[SAP Contract number]],Shipments[[SAP Contract number]:[RA Premium USD]],25,FALSE)</f>
        <v>#N/A</v>
      </c>
      <c r="Y99" s="38">
        <f>Allocation[[#This Row],[Quantity Processed]]/Allocation[[#This Row],[Quantity allocated]]</f>
        <v>3.3041785621593562</v>
      </c>
      <c r="Z99" s="34" t="b">
        <f>Allocation[[#This Row],[Quantity allocated]]&lt;=Allocation[[#This Row],[Quantity Processed]]</f>
        <v>1</v>
      </c>
    </row>
    <row r="100" spans="1:26">
      <c r="A100" s="247" t="s">
        <v>467</v>
      </c>
      <c r="B100" s="160" t="s">
        <v>68</v>
      </c>
      <c r="C100" s="249" t="s">
        <v>1024</v>
      </c>
      <c r="D100" s="250">
        <v>5392</v>
      </c>
      <c r="E100" s="160" t="s">
        <v>1186</v>
      </c>
      <c r="F100" s="158">
        <v>43487</v>
      </c>
      <c r="G100" s="162">
        <v>2.93</v>
      </c>
      <c r="H100" s="250">
        <v>1632</v>
      </c>
      <c r="I100" s="160">
        <v>1423917</v>
      </c>
      <c r="J100" s="163">
        <v>21600</v>
      </c>
      <c r="K100" s="158">
        <v>43494</v>
      </c>
      <c r="L100" s="160" t="s">
        <v>1191</v>
      </c>
      <c r="M100" s="160">
        <v>4615513976</v>
      </c>
      <c r="N100" s="158">
        <v>43516</v>
      </c>
      <c r="O100" s="164">
        <v>3.7094</v>
      </c>
      <c r="P100" s="165" t="s">
        <v>1322</v>
      </c>
      <c r="Q100" s="34">
        <f>SUMIF(Allocation[Delivery ID],Allocation[[#This Row],[Delivery ID]],Allocation[Quantity Processed])</f>
        <v>31870</v>
      </c>
      <c r="R100" s="61">
        <f>Allocation[[#This Row],[Total volume used]]/VLOOKUP(Allocation[[#This Row],[Delivery ID]],Delivery[[Delivery ID]:[Quantity delivered]],3,FALSE)</f>
        <v>1</v>
      </c>
      <c r="S100" s="34">
        <f>Allocation[[#This Row],[Quantity Processed]]/Allocation[[#This Row],[Dilution rate]]</f>
        <v>1840.273037542662</v>
      </c>
      <c r="T100" s="59">
        <f>SUMIF(Allocation[Delivery ID],Allocation[[#This Row],[Delivery ID]],Allocation[Quantity allocated])/SUMIF(Allocation[Delivery ID],Allocation[[#This Row],[Delivery ID]],Allocation[Volume available (kg)])</f>
        <v>0.87684653295909787</v>
      </c>
      <c r="U100" s="61">
        <f>Allocation[[#This Row],[Total volume used]]/VLOOKUP(Allocation[[#This Row],[Delivery ID]],Delivery[[Delivery ID]:[Quantity delivered]],3,FALSE)</f>
        <v>1</v>
      </c>
      <c r="V100" s="34" t="e">
        <f>VLOOKUP(Allocation[[#This Row],[SAP Contract number]],Shipments[[SAP Contract number]:[Contracted container weight]],2,FALSE)</f>
        <v>#N/A</v>
      </c>
      <c r="W100" s="34" t="e">
        <f>VLOOKUP(Allocation[[#This Row],[SAP Contract number]],Shipments[[SAP Contract number]:[AAA Premium USD]],24,FALSE)</f>
        <v>#N/A</v>
      </c>
      <c r="X100" s="34" t="e">
        <f>VLOOKUP(Allocation[[#This Row],[SAP Contract number]],Shipments[[SAP Contract number]:[RA Premium USD]],25,FALSE)</f>
        <v>#N/A</v>
      </c>
      <c r="Y100" s="38">
        <f>Allocation[[#This Row],[Quantity Processed]]/Allocation[[#This Row],[Quantity allocated]]</f>
        <v>3.3039215686274508</v>
      </c>
      <c r="Z100" s="34" t="b">
        <f>Allocation[[#This Row],[Quantity allocated]]&lt;=Allocation[[#This Row],[Quantity Processed]]</f>
        <v>1</v>
      </c>
    </row>
    <row r="101" spans="1:26">
      <c r="A101" s="247" t="s">
        <v>467</v>
      </c>
      <c r="B101" s="160" t="s">
        <v>68</v>
      </c>
      <c r="C101" s="249" t="s">
        <v>1025</v>
      </c>
      <c r="D101" s="250">
        <v>17743</v>
      </c>
      <c r="E101" s="160" t="s">
        <v>1186</v>
      </c>
      <c r="F101" s="158">
        <v>43487</v>
      </c>
      <c r="G101" s="162">
        <v>2.93</v>
      </c>
      <c r="H101" s="250">
        <v>5366</v>
      </c>
      <c r="I101" s="160">
        <v>1423917</v>
      </c>
      <c r="J101" s="163">
        <v>21600</v>
      </c>
      <c r="K101" s="158">
        <v>43494</v>
      </c>
      <c r="L101" s="160" t="s">
        <v>1191</v>
      </c>
      <c r="M101" s="160">
        <v>4615513976</v>
      </c>
      <c r="N101" s="158">
        <v>43516</v>
      </c>
      <c r="O101" s="164">
        <v>3.7094</v>
      </c>
      <c r="P101" s="165" t="s">
        <v>1322</v>
      </c>
      <c r="Q101" s="34">
        <f>SUMIF(Allocation[Delivery ID],Allocation[[#This Row],[Delivery ID]],Allocation[Quantity Processed])</f>
        <v>31230</v>
      </c>
      <c r="R101" s="61">
        <f>Allocation[[#This Row],[Total volume used]]/VLOOKUP(Allocation[[#This Row],[Delivery ID]],Delivery[[Delivery ID]:[Quantity delivered]],3,FALSE)</f>
        <v>1</v>
      </c>
      <c r="S101" s="34">
        <f>Allocation[[#This Row],[Quantity Processed]]/Allocation[[#This Row],[Dilution rate]]</f>
        <v>6055.6313993174062</v>
      </c>
      <c r="T101" s="59">
        <f>SUMIF(Allocation[Delivery ID],Allocation[[#This Row],[Delivery ID]],Allocation[Quantity allocated])/SUMIF(Allocation[Delivery ID],Allocation[[#This Row],[Delivery ID]],Allocation[Volume available (kg)])</f>
        <v>0.87646291441703661</v>
      </c>
      <c r="U101" s="61">
        <f>Allocation[[#This Row],[Total volume used]]/VLOOKUP(Allocation[[#This Row],[Delivery ID]],Delivery[[Delivery ID]:[Quantity delivered]],3,FALSE)</f>
        <v>1</v>
      </c>
      <c r="V101" s="34" t="e">
        <f>VLOOKUP(Allocation[[#This Row],[SAP Contract number]],Shipments[[SAP Contract number]:[Contracted container weight]],2,FALSE)</f>
        <v>#N/A</v>
      </c>
      <c r="W101" s="34" t="e">
        <f>VLOOKUP(Allocation[[#This Row],[SAP Contract number]],Shipments[[SAP Contract number]:[AAA Premium USD]],24,FALSE)</f>
        <v>#N/A</v>
      </c>
      <c r="X101" s="34" t="e">
        <f>VLOOKUP(Allocation[[#This Row],[SAP Contract number]],Shipments[[SAP Contract number]:[RA Premium USD]],25,FALSE)</f>
        <v>#N/A</v>
      </c>
      <c r="Y101" s="38">
        <f>Allocation[[#This Row],[Quantity Processed]]/Allocation[[#This Row],[Quantity allocated]]</f>
        <v>3.3065598210957883</v>
      </c>
      <c r="Z101" s="34" t="b">
        <f>Allocation[[#This Row],[Quantity allocated]]&lt;=Allocation[[#This Row],[Quantity Processed]]</f>
        <v>1</v>
      </c>
    </row>
    <row r="102" spans="1:26">
      <c r="A102" s="247" t="s">
        <v>467</v>
      </c>
      <c r="B102" s="160" t="s">
        <v>68</v>
      </c>
      <c r="C102" s="249" t="s">
        <v>1026</v>
      </c>
      <c r="D102" s="250">
        <v>18093</v>
      </c>
      <c r="E102" s="160" t="s">
        <v>1186</v>
      </c>
      <c r="F102" s="158">
        <v>43487</v>
      </c>
      <c r="G102" s="162">
        <v>2.93</v>
      </c>
      <c r="H102" s="250">
        <v>5426</v>
      </c>
      <c r="I102" s="160">
        <v>1423917</v>
      </c>
      <c r="J102" s="163">
        <v>21600</v>
      </c>
      <c r="K102" s="158">
        <v>43494</v>
      </c>
      <c r="L102" s="160" t="s">
        <v>1191</v>
      </c>
      <c r="M102" s="160">
        <v>4615513976</v>
      </c>
      <c r="N102" s="158">
        <v>43516</v>
      </c>
      <c r="O102" s="164">
        <v>3.7094</v>
      </c>
      <c r="P102" s="165" t="s">
        <v>1322</v>
      </c>
      <c r="Q102" s="34">
        <f>SUMIF(Allocation[Delivery ID],Allocation[[#This Row],[Delivery ID]],Allocation[Quantity Processed])</f>
        <v>31840</v>
      </c>
      <c r="R102" s="61">
        <f>Allocation[[#This Row],[Total volume used]]/VLOOKUP(Allocation[[#This Row],[Delivery ID]],Delivery[[Delivery ID]:[Quantity delivered]],3,FALSE)</f>
        <v>1</v>
      </c>
      <c r="S102" s="34">
        <f>Allocation[[#This Row],[Quantity Processed]]/Allocation[[#This Row],[Dilution rate]]</f>
        <v>6175.0853242320818</v>
      </c>
      <c r="T102" s="59">
        <f>SUMIF(Allocation[Delivery ID],Allocation[[#This Row],[Delivery ID]],Allocation[Quantity allocated])/SUMIF(Allocation[Delivery ID],Allocation[[#This Row],[Delivery ID]],Allocation[Volume available (kg)])</f>
        <v>0.8722776204977889</v>
      </c>
      <c r="U102" s="61">
        <f>Allocation[[#This Row],[Total volume used]]/VLOOKUP(Allocation[[#This Row],[Delivery ID]],Delivery[[Delivery ID]:[Quantity delivered]],3,FALSE)</f>
        <v>1</v>
      </c>
      <c r="V102" s="34" t="e">
        <f>VLOOKUP(Allocation[[#This Row],[SAP Contract number]],Shipments[[SAP Contract number]:[Contracted container weight]],2,FALSE)</f>
        <v>#N/A</v>
      </c>
      <c r="W102" s="34" t="e">
        <f>VLOOKUP(Allocation[[#This Row],[SAP Contract number]],Shipments[[SAP Contract number]:[AAA Premium USD]],24,FALSE)</f>
        <v>#N/A</v>
      </c>
      <c r="X102" s="34" t="e">
        <f>VLOOKUP(Allocation[[#This Row],[SAP Contract number]],Shipments[[SAP Contract number]:[RA Premium USD]],25,FALSE)</f>
        <v>#N/A</v>
      </c>
      <c r="Y102" s="38">
        <f>Allocation[[#This Row],[Quantity Processed]]/Allocation[[#This Row],[Quantity allocated]]</f>
        <v>3.3345005528934757</v>
      </c>
      <c r="Z102" s="34" t="b">
        <f>Allocation[[#This Row],[Quantity allocated]]&lt;=Allocation[[#This Row],[Quantity Processed]]</f>
        <v>1</v>
      </c>
    </row>
    <row r="103" spans="1:26">
      <c r="A103" s="247" t="s">
        <v>467</v>
      </c>
      <c r="B103" s="160" t="s">
        <v>68</v>
      </c>
      <c r="C103" s="249" t="s">
        <v>1027</v>
      </c>
      <c r="D103" s="250">
        <v>18783</v>
      </c>
      <c r="E103" s="160" t="s">
        <v>1186</v>
      </c>
      <c r="F103" s="158">
        <v>43487</v>
      </c>
      <c r="G103" s="162">
        <v>2.93</v>
      </c>
      <c r="H103" s="250">
        <v>5664</v>
      </c>
      <c r="I103" s="160">
        <v>1423917</v>
      </c>
      <c r="J103" s="163">
        <v>21600</v>
      </c>
      <c r="K103" s="158">
        <v>43494</v>
      </c>
      <c r="L103" s="160" t="s">
        <v>1191</v>
      </c>
      <c r="M103" s="160">
        <v>4615513976</v>
      </c>
      <c r="N103" s="158">
        <v>43516</v>
      </c>
      <c r="O103" s="164">
        <v>3.7094</v>
      </c>
      <c r="P103" s="165" t="s">
        <v>1322</v>
      </c>
      <c r="Q103" s="34">
        <f>SUMIF(Allocation[Delivery ID],Allocation[[#This Row],[Delivery ID]],Allocation[Quantity Processed])</f>
        <v>32270</v>
      </c>
      <c r="R103" s="61">
        <f>Allocation[[#This Row],[Total volume used]]/VLOOKUP(Allocation[[#This Row],[Delivery ID]],Delivery[[Delivery ID]:[Quantity delivered]],3,FALSE)</f>
        <v>1</v>
      </c>
      <c r="S103" s="34">
        <f>Allocation[[#This Row],[Quantity Processed]]/Allocation[[#This Row],[Dilution rate]]</f>
        <v>6410.5802047781563</v>
      </c>
      <c r="T103" s="59">
        <f>SUMIF(Allocation[Delivery ID],Allocation[[#This Row],[Delivery ID]],Allocation[Quantity allocated])/SUMIF(Allocation[Delivery ID],Allocation[[#This Row],[Delivery ID]],Allocation[Volume available (kg)])</f>
        <v>0.87528209806547141</v>
      </c>
      <c r="U103" s="61">
        <f>Allocation[[#This Row],[Total volume used]]/VLOOKUP(Allocation[[#This Row],[Delivery ID]],Delivery[[Delivery ID]:[Quantity delivered]],3,FALSE)</f>
        <v>1</v>
      </c>
      <c r="V103" s="34" t="e">
        <f>VLOOKUP(Allocation[[#This Row],[SAP Contract number]],Shipments[[SAP Contract number]:[Contracted container weight]],2,FALSE)</f>
        <v>#N/A</v>
      </c>
      <c r="W103" s="34" t="e">
        <f>VLOOKUP(Allocation[[#This Row],[SAP Contract number]],Shipments[[SAP Contract number]:[AAA Premium USD]],24,FALSE)</f>
        <v>#N/A</v>
      </c>
      <c r="X103" s="34" t="e">
        <f>VLOOKUP(Allocation[[#This Row],[SAP Contract number]],Shipments[[SAP Contract number]:[RA Premium USD]],25,FALSE)</f>
        <v>#N/A</v>
      </c>
      <c r="Y103" s="38">
        <f>Allocation[[#This Row],[Quantity Processed]]/Allocation[[#This Row],[Quantity allocated]]</f>
        <v>3.316207627118644</v>
      </c>
      <c r="Z103" s="34" t="b">
        <f>Allocation[[#This Row],[Quantity allocated]]&lt;=Allocation[[#This Row],[Quantity Processed]]</f>
        <v>1</v>
      </c>
    </row>
    <row r="104" spans="1:26">
      <c r="A104" s="247" t="s">
        <v>467</v>
      </c>
      <c r="B104" s="160" t="s">
        <v>68</v>
      </c>
      <c r="C104" s="249" t="s">
        <v>1028</v>
      </c>
      <c r="D104" s="250">
        <v>1889</v>
      </c>
      <c r="E104" s="160" t="s">
        <v>1186</v>
      </c>
      <c r="F104" s="158">
        <v>43487</v>
      </c>
      <c r="G104" s="162">
        <v>2.93</v>
      </c>
      <c r="H104" s="250">
        <v>850</v>
      </c>
      <c r="I104" s="160">
        <v>1423917</v>
      </c>
      <c r="J104" s="163">
        <v>21600</v>
      </c>
      <c r="K104" s="158">
        <v>43494</v>
      </c>
      <c r="L104" s="160" t="s">
        <v>1191</v>
      </c>
      <c r="M104" s="160">
        <v>4615513976</v>
      </c>
      <c r="N104" s="158">
        <v>43516</v>
      </c>
      <c r="O104" s="164">
        <v>3.7094</v>
      </c>
      <c r="P104" s="165" t="s">
        <v>1322</v>
      </c>
      <c r="Q104" s="34">
        <f>SUMIF(Allocation[Delivery ID],Allocation[[#This Row],[Delivery ID]],Allocation[Quantity Processed])</f>
        <v>4205</v>
      </c>
      <c r="R104" s="61">
        <f>Allocation[[#This Row],[Total volume used]]/VLOOKUP(Allocation[[#This Row],[Delivery ID]],Delivery[[Delivery ID]:[Quantity delivered]],3,FALSE)</f>
        <v>1</v>
      </c>
      <c r="S104" s="34">
        <f>Allocation[[#This Row],[Quantity Processed]]/Allocation[[#This Row],[Dilution rate]]</f>
        <v>644.70989761092142</v>
      </c>
      <c r="T104" s="59">
        <f>SUMIF(Allocation[Delivery ID],Allocation[[#This Row],[Delivery ID]],Allocation[Quantity allocated])/SUMIF(Allocation[Delivery ID],Allocation[[#This Row],[Delivery ID]],Allocation[Volume available (kg)])</f>
        <v>1.3161803616058407</v>
      </c>
      <c r="U104" s="61">
        <f>Allocation[[#This Row],[Total volume used]]/VLOOKUP(Allocation[[#This Row],[Delivery ID]],Delivery[[Delivery ID]:[Quantity delivered]],3,FALSE)</f>
        <v>1</v>
      </c>
      <c r="V104" s="34" t="e">
        <f>VLOOKUP(Allocation[[#This Row],[SAP Contract number]],Shipments[[SAP Contract number]:[Contracted container weight]],2,FALSE)</f>
        <v>#N/A</v>
      </c>
      <c r="W104" s="34" t="e">
        <f>VLOOKUP(Allocation[[#This Row],[SAP Contract number]],Shipments[[SAP Contract number]:[AAA Premium USD]],24,FALSE)</f>
        <v>#N/A</v>
      </c>
      <c r="X104" s="34" t="e">
        <f>VLOOKUP(Allocation[[#This Row],[SAP Contract number]],Shipments[[SAP Contract number]:[RA Premium USD]],25,FALSE)</f>
        <v>#N/A</v>
      </c>
      <c r="Y104" s="38">
        <f>Allocation[[#This Row],[Quantity Processed]]/Allocation[[#This Row],[Quantity allocated]]</f>
        <v>2.2223529411764704</v>
      </c>
      <c r="Z104" s="34" t="b">
        <f>Allocation[[#This Row],[Quantity allocated]]&lt;=Allocation[[#This Row],[Quantity Processed]]</f>
        <v>1</v>
      </c>
    </row>
    <row r="105" spans="1:26">
      <c r="A105" s="247" t="s">
        <v>467</v>
      </c>
      <c r="B105" s="160" t="s">
        <v>68</v>
      </c>
      <c r="C105" s="249" t="s">
        <v>1029</v>
      </c>
      <c r="D105" s="250">
        <v>4097</v>
      </c>
      <c r="E105" s="160" t="s">
        <v>1186</v>
      </c>
      <c r="F105" s="158">
        <v>43487</v>
      </c>
      <c r="G105" s="162">
        <v>2.93</v>
      </c>
      <c r="H105" s="250">
        <v>1456</v>
      </c>
      <c r="I105" s="160">
        <v>1423917</v>
      </c>
      <c r="J105" s="163">
        <v>21600</v>
      </c>
      <c r="K105" s="158">
        <v>43494</v>
      </c>
      <c r="L105" s="160" t="s">
        <v>1191</v>
      </c>
      <c r="M105" s="160">
        <v>4615513976</v>
      </c>
      <c r="N105" s="158">
        <v>43516</v>
      </c>
      <c r="O105" s="164">
        <v>3.7094</v>
      </c>
      <c r="P105" s="165" t="s">
        <v>1322</v>
      </c>
      <c r="Q105" s="34">
        <f>SUMIF(Allocation[Delivery ID],Allocation[[#This Row],[Delivery ID]],Allocation[Quantity Processed])</f>
        <v>7210</v>
      </c>
      <c r="R105" s="61">
        <f>Allocation[[#This Row],[Total volume used]]/VLOOKUP(Allocation[[#This Row],[Delivery ID]],Delivery[[Delivery ID]:[Quantity delivered]],3,FALSE)</f>
        <v>1</v>
      </c>
      <c r="S105" s="34">
        <f>Allocation[[#This Row],[Quantity Processed]]/Allocation[[#This Row],[Dilution rate]]</f>
        <v>1398.2935153583617</v>
      </c>
      <c r="T105" s="59">
        <f>SUMIF(Allocation[Delivery ID],Allocation[[#This Row],[Delivery ID]],Allocation[Quantity allocated])/SUMIF(Allocation[Delivery ID],Allocation[[#This Row],[Delivery ID]],Allocation[Volume available (kg)])</f>
        <v>0.96402209321501209</v>
      </c>
      <c r="U105" s="61">
        <f>Allocation[[#This Row],[Total volume used]]/VLOOKUP(Allocation[[#This Row],[Delivery ID]],Delivery[[Delivery ID]:[Quantity delivered]],3,FALSE)</f>
        <v>1</v>
      </c>
      <c r="V105" s="34" t="e">
        <f>VLOOKUP(Allocation[[#This Row],[SAP Contract number]],Shipments[[SAP Contract number]:[Contracted container weight]],2,FALSE)</f>
        <v>#N/A</v>
      </c>
      <c r="W105" s="34" t="e">
        <f>VLOOKUP(Allocation[[#This Row],[SAP Contract number]],Shipments[[SAP Contract number]:[AAA Premium USD]],24,FALSE)</f>
        <v>#N/A</v>
      </c>
      <c r="X105" s="34" t="e">
        <f>VLOOKUP(Allocation[[#This Row],[SAP Contract number]],Shipments[[SAP Contract number]:[RA Premium USD]],25,FALSE)</f>
        <v>#N/A</v>
      </c>
      <c r="Y105" s="38">
        <f>Allocation[[#This Row],[Quantity Processed]]/Allocation[[#This Row],[Quantity allocated]]</f>
        <v>2.8138736263736264</v>
      </c>
      <c r="Z105" s="34" t="b">
        <f>Allocation[[#This Row],[Quantity allocated]]&lt;=Allocation[[#This Row],[Quantity Processed]]</f>
        <v>1</v>
      </c>
    </row>
    <row r="106" spans="1:26">
      <c r="A106" s="247" t="s">
        <v>467</v>
      </c>
      <c r="B106" s="160" t="s">
        <v>68</v>
      </c>
      <c r="C106" s="249" t="s">
        <v>1033</v>
      </c>
      <c r="D106" s="250">
        <v>3816</v>
      </c>
      <c r="E106" s="160" t="s">
        <v>1186</v>
      </c>
      <c r="F106" s="158">
        <v>43487</v>
      </c>
      <c r="G106" s="162">
        <v>2.93</v>
      </c>
      <c r="H106" s="250">
        <v>1206</v>
      </c>
      <c r="I106" s="160">
        <v>1423917</v>
      </c>
      <c r="J106" s="163">
        <v>21600</v>
      </c>
      <c r="K106" s="158">
        <v>43494</v>
      </c>
      <c r="L106" s="160" t="s">
        <v>1191</v>
      </c>
      <c r="M106" s="160">
        <v>4615513976</v>
      </c>
      <c r="N106" s="158">
        <v>43516</v>
      </c>
      <c r="O106" s="164">
        <v>3.7094</v>
      </c>
      <c r="P106" s="165" t="s">
        <v>1322</v>
      </c>
      <c r="Q106" s="34">
        <f>SUMIF(Allocation[Delivery ID],Allocation[[#This Row],[Delivery ID]],Allocation[Quantity Processed])</f>
        <v>31250</v>
      </c>
      <c r="R106" s="61">
        <f>Allocation[[#This Row],[Total volume used]]/VLOOKUP(Allocation[[#This Row],[Delivery ID]],Delivery[[Delivery ID]:[Quantity delivered]],3,FALSE)</f>
        <v>1</v>
      </c>
      <c r="S106" s="34">
        <f>Allocation[[#This Row],[Quantity Processed]]/Allocation[[#This Row],[Dilution rate]]</f>
        <v>1302.3890784982934</v>
      </c>
      <c r="T106" s="59">
        <f>SUMIF(Allocation[Delivery ID],Allocation[[#This Row],[Delivery ID]],Allocation[Quantity allocated])/SUMIF(Allocation[Delivery ID],Allocation[[#This Row],[Delivery ID]],Allocation[Volume available (kg)])</f>
        <v>0.92068530063679843</v>
      </c>
      <c r="U106" s="61">
        <f>Allocation[[#This Row],[Total volume used]]/VLOOKUP(Allocation[[#This Row],[Delivery ID]],Delivery[[Delivery ID]:[Quantity delivered]],3,FALSE)</f>
        <v>1</v>
      </c>
      <c r="V106" s="34" t="e">
        <f>VLOOKUP(Allocation[[#This Row],[SAP Contract number]],Shipments[[SAP Contract number]:[Contracted container weight]],2,FALSE)</f>
        <v>#N/A</v>
      </c>
      <c r="W106" s="34" t="e">
        <f>VLOOKUP(Allocation[[#This Row],[SAP Contract number]],Shipments[[SAP Contract number]:[AAA Premium USD]],24,FALSE)</f>
        <v>#N/A</v>
      </c>
      <c r="X106" s="34" t="e">
        <f>VLOOKUP(Allocation[[#This Row],[SAP Contract number]],Shipments[[SAP Contract number]:[RA Premium USD]],25,FALSE)</f>
        <v>#N/A</v>
      </c>
      <c r="Y106" s="38">
        <f>Allocation[[#This Row],[Quantity Processed]]/Allocation[[#This Row],[Quantity allocated]]</f>
        <v>3.1641791044776117</v>
      </c>
      <c r="Z106" s="34" t="b">
        <f>Allocation[[#This Row],[Quantity allocated]]&lt;=Allocation[[#This Row],[Quantity Processed]]</f>
        <v>1</v>
      </c>
    </row>
    <row r="107" spans="1:26">
      <c r="A107" s="247" t="s">
        <v>467</v>
      </c>
      <c r="B107" s="160" t="s">
        <v>68</v>
      </c>
      <c r="C107" s="249" t="s">
        <v>476</v>
      </c>
      <c r="D107" s="250">
        <v>9033</v>
      </c>
      <c r="E107" s="160" t="s">
        <v>1186</v>
      </c>
      <c r="F107" s="158">
        <v>43487</v>
      </c>
      <c r="G107" s="162">
        <v>2.93</v>
      </c>
      <c r="H107" s="250">
        <v>2981</v>
      </c>
      <c r="I107" s="160">
        <v>1425069</v>
      </c>
      <c r="J107" s="163">
        <v>21600</v>
      </c>
      <c r="K107" s="158">
        <v>43494</v>
      </c>
      <c r="L107" s="160" t="s">
        <v>1192</v>
      </c>
      <c r="M107" s="160">
        <v>4615513976</v>
      </c>
      <c r="N107" s="158">
        <v>43516</v>
      </c>
      <c r="O107" s="164">
        <v>3.7094</v>
      </c>
      <c r="P107" s="165">
        <v>19739</v>
      </c>
      <c r="Q107" s="34">
        <f>SUMIF(Allocation[Delivery ID],Allocation[[#This Row],[Delivery ID]],Allocation[Quantity Processed])</f>
        <v>9033</v>
      </c>
      <c r="R107" s="61">
        <f>Allocation[[#This Row],[Total volume used]]/VLOOKUP(Allocation[[#This Row],[Delivery ID]],Delivery[[Delivery ID]:[Quantity delivered]],3,FALSE)</f>
        <v>0.55966542750929371</v>
      </c>
      <c r="S107" s="34">
        <f>Allocation[[#This Row],[Quantity Processed]]/Allocation[[#This Row],[Dilution rate]]</f>
        <v>3082.9351535836176</v>
      </c>
      <c r="T107" s="59">
        <f>SUMIF(Allocation[Delivery ID],Allocation[[#This Row],[Delivery ID]],Allocation[Quantity allocated])/SUMIF(Allocation[Delivery ID],Allocation[[#This Row],[Delivery ID]],Allocation[Volume available (kg)])</f>
        <v>0.96693568028340537</v>
      </c>
      <c r="U107" s="61">
        <f>Allocation[[#This Row],[Total volume used]]/VLOOKUP(Allocation[[#This Row],[Delivery ID]],Delivery[[Delivery ID]:[Quantity delivered]],3,FALSE)</f>
        <v>0.55966542750929371</v>
      </c>
      <c r="V107" s="34" t="e">
        <f>VLOOKUP(Allocation[[#This Row],[SAP Contract number]],Shipments[[SAP Contract number]:[Contracted container weight]],2,FALSE)</f>
        <v>#N/A</v>
      </c>
      <c r="W107" s="34" t="e">
        <f>VLOOKUP(Allocation[[#This Row],[SAP Contract number]],Shipments[[SAP Contract number]:[AAA Premium USD]],24,FALSE)</f>
        <v>#N/A</v>
      </c>
      <c r="X107" s="34" t="e">
        <f>VLOOKUP(Allocation[[#This Row],[SAP Contract number]],Shipments[[SAP Contract number]:[RA Premium USD]],25,FALSE)</f>
        <v>#N/A</v>
      </c>
      <c r="Y107" s="38">
        <f>Allocation[[#This Row],[Quantity Processed]]/Allocation[[#This Row],[Quantity allocated]]</f>
        <v>3.0301912110030189</v>
      </c>
      <c r="Z107" s="34" t="b">
        <f>Allocation[[#This Row],[Quantity allocated]]&lt;=Allocation[[#This Row],[Quantity Processed]]</f>
        <v>1</v>
      </c>
    </row>
    <row r="108" spans="1:26">
      <c r="A108" s="247" t="s">
        <v>467</v>
      </c>
      <c r="B108" s="160" t="s">
        <v>68</v>
      </c>
      <c r="C108" s="249" t="s">
        <v>512</v>
      </c>
      <c r="D108" s="250">
        <v>7950</v>
      </c>
      <c r="E108" s="160" t="s">
        <v>1186</v>
      </c>
      <c r="F108" s="158">
        <v>43487</v>
      </c>
      <c r="G108" s="162">
        <v>2.93</v>
      </c>
      <c r="H108" s="250">
        <v>2385</v>
      </c>
      <c r="I108" s="160">
        <v>1425069</v>
      </c>
      <c r="J108" s="163">
        <v>21600</v>
      </c>
      <c r="K108" s="158">
        <v>43494</v>
      </c>
      <c r="L108" s="160" t="s">
        <v>1192</v>
      </c>
      <c r="M108" s="160">
        <v>4615513976</v>
      </c>
      <c r="N108" s="158">
        <v>43516</v>
      </c>
      <c r="O108" s="164">
        <v>3.7094</v>
      </c>
      <c r="P108" s="165">
        <v>19739</v>
      </c>
      <c r="Q108" s="34">
        <f>SUMIF(Allocation[Delivery ID],Allocation[[#This Row],[Delivery ID]],Allocation[Quantity Processed])</f>
        <v>7950</v>
      </c>
      <c r="R108" s="61">
        <f>Allocation[[#This Row],[Total volume used]]/VLOOKUP(Allocation[[#This Row],[Delivery ID]],Delivery[[Delivery ID]:[Quantity delivered]],3,FALSE)</f>
        <v>0.43777533039647576</v>
      </c>
      <c r="S108" s="34">
        <f>Allocation[[#This Row],[Quantity Processed]]/Allocation[[#This Row],[Dilution rate]]</f>
        <v>2713.310580204778</v>
      </c>
      <c r="T108" s="59">
        <f>SUMIF(Allocation[Delivery ID],Allocation[[#This Row],[Delivery ID]],Allocation[Quantity allocated])/SUMIF(Allocation[Delivery ID],Allocation[[#This Row],[Delivery ID]],Allocation[Volume available (kg)])</f>
        <v>0.879</v>
      </c>
      <c r="U108" s="61">
        <f>Allocation[[#This Row],[Total volume used]]/VLOOKUP(Allocation[[#This Row],[Delivery ID]],Delivery[[Delivery ID]:[Quantity delivered]],3,FALSE)</f>
        <v>0.43777533039647576</v>
      </c>
      <c r="V108" s="34" t="e">
        <f>VLOOKUP(Allocation[[#This Row],[SAP Contract number]],Shipments[[SAP Contract number]:[Contracted container weight]],2,FALSE)</f>
        <v>#N/A</v>
      </c>
      <c r="W108" s="34" t="e">
        <f>VLOOKUP(Allocation[[#This Row],[SAP Contract number]],Shipments[[SAP Contract number]:[AAA Premium USD]],24,FALSE)</f>
        <v>#N/A</v>
      </c>
      <c r="X108" s="34" t="e">
        <f>VLOOKUP(Allocation[[#This Row],[SAP Contract number]],Shipments[[SAP Contract number]:[RA Premium USD]],25,FALSE)</f>
        <v>#N/A</v>
      </c>
      <c r="Y108" s="38">
        <f>Allocation[[#This Row],[Quantity Processed]]/Allocation[[#This Row],[Quantity allocated]]</f>
        <v>3.3333333333333335</v>
      </c>
      <c r="Z108" s="34" t="b">
        <f>Allocation[[#This Row],[Quantity allocated]]&lt;=Allocation[[#This Row],[Quantity Processed]]</f>
        <v>1</v>
      </c>
    </row>
    <row r="109" spans="1:26">
      <c r="A109" s="247" t="s">
        <v>467</v>
      </c>
      <c r="B109" s="160" t="s">
        <v>68</v>
      </c>
      <c r="C109" s="249" t="s">
        <v>513</v>
      </c>
      <c r="D109" s="250">
        <v>7227</v>
      </c>
      <c r="E109" s="160" t="s">
        <v>1186</v>
      </c>
      <c r="F109" s="158">
        <v>43487</v>
      </c>
      <c r="G109" s="162">
        <v>2.93</v>
      </c>
      <c r="H109" s="250">
        <v>2385</v>
      </c>
      <c r="I109" s="160">
        <v>1425069</v>
      </c>
      <c r="J109" s="163">
        <v>21600</v>
      </c>
      <c r="K109" s="158">
        <v>43494</v>
      </c>
      <c r="L109" s="160" t="s">
        <v>1192</v>
      </c>
      <c r="M109" s="160">
        <v>4615513976</v>
      </c>
      <c r="N109" s="158">
        <v>43516</v>
      </c>
      <c r="O109" s="164">
        <v>3.7094</v>
      </c>
      <c r="P109" s="165">
        <v>19739</v>
      </c>
      <c r="Q109" s="34">
        <f>SUMIF(Allocation[Delivery ID],Allocation[[#This Row],[Delivery ID]],Allocation[Quantity Processed])</f>
        <v>7227</v>
      </c>
      <c r="R109" s="61">
        <f>Allocation[[#This Row],[Total volume used]]/VLOOKUP(Allocation[[#This Row],[Delivery ID]],Delivery[[Delivery ID]:[Quantity delivered]],3,FALSE)</f>
        <v>0.34267425320056899</v>
      </c>
      <c r="S109" s="34">
        <f>Allocation[[#This Row],[Quantity Processed]]/Allocation[[#This Row],[Dilution rate]]</f>
        <v>2466.5529010238906</v>
      </c>
      <c r="T109" s="59">
        <f>SUMIF(Allocation[Delivery ID],Allocation[[#This Row],[Delivery ID]],Allocation[Quantity allocated])/SUMIF(Allocation[Delivery ID],Allocation[[#This Row],[Delivery ID]],Allocation[Volume available (kg)])</f>
        <v>0.96693648816936495</v>
      </c>
      <c r="U109" s="61">
        <f>Allocation[[#This Row],[Total volume used]]/VLOOKUP(Allocation[[#This Row],[Delivery ID]],Delivery[[Delivery ID]:[Quantity delivered]],3,FALSE)</f>
        <v>0.34267425320056899</v>
      </c>
      <c r="V109" s="34" t="e">
        <f>VLOOKUP(Allocation[[#This Row],[SAP Contract number]],Shipments[[SAP Contract number]:[Contracted container weight]],2,FALSE)</f>
        <v>#N/A</v>
      </c>
      <c r="W109" s="34" t="e">
        <f>VLOOKUP(Allocation[[#This Row],[SAP Contract number]],Shipments[[SAP Contract number]:[AAA Premium USD]],24,FALSE)</f>
        <v>#N/A</v>
      </c>
      <c r="X109" s="34" t="e">
        <f>VLOOKUP(Allocation[[#This Row],[SAP Contract number]],Shipments[[SAP Contract number]:[RA Premium USD]],25,FALSE)</f>
        <v>#N/A</v>
      </c>
      <c r="Y109" s="38">
        <f>Allocation[[#This Row],[Quantity Processed]]/Allocation[[#This Row],[Quantity allocated]]</f>
        <v>3.030188679245283</v>
      </c>
      <c r="Z109" s="34" t="b">
        <f>Allocation[[#This Row],[Quantity allocated]]&lt;=Allocation[[#This Row],[Quantity Processed]]</f>
        <v>1</v>
      </c>
    </row>
    <row r="110" spans="1:26">
      <c r="A110" s="247" t="s">
        <v>467</v>
      </c>
      <c r="B110" s="160" t="s">
        <v>68</v>
      </c>
      <c r="C110" s="249" t="s">
        <v>514</v>
      </c>
      <c r="D110" s="250">
        <v>5421</v>
      </c>
      <c r="E110" s="160" t="s">
        <v>1186</v>
      </c>
      <c r="F110" s="158">
        <v>43487</v>
      </c>
      <c r="G110" s="162">
        <v>2.93</v>
      </c>
      <c r="H110" s="250">
        <v>1789</v>
      </c>
      <c r="I110" s="160">
        <v>1425069</v>
      </c>
      <c r="J110" s="163">
        <v>21600</v>
      </c>
      <c r="K110" s="158">
        <v>43494</v>
      </c>
      <c r="L110" s="160" t="s">
        <v>1192</v>
      </c>
      <c r="M110" s="160">
        <v>4615513976</v>
      </c>
      <c r="N110" s="158">
        <v>43516</v>
      </c>
      <c r="O110" s="164">
        <v>3.7094</v>
      </c>
      <c r="P110" s="165">
        <v>19739</v>
      </c>
      <c r="Q110" s="34">
        <f>SUMIF(Allocation[Delivery ID],Allocation[[#This Row],[Delivery ID]],Allocation[Quantity Processed])</f>
        <v>5422</v>
      </c>
      <c r="R110" s="61">
        <f>Allocation[[#This Row],[Total volume used]]/VLOOKUP(Allocation[[#This Row],[Delivery ID]],Delivery[[Delivery ID]:[Quantity delivered]],3,FALSE)</f>
        <v>0.31160919540229887</v>
      </c>
      <c r="S110" s="34">
        <f>Allocation[[#This Row],[Quantity Processed]]/Allocation[[#This Row],[Dilution rate]]</f>
        <v>1850.1706484641638</v>
      </c>
      <c r="T110" s="59">
        <f>SUMIF(Allocation[Delivery ID],Allocation[[#This Row],[Delivery ID]],Allocation[Quantity allocated])/SUMIF(Allocation[Delivery ID],Allocation[[#This Row],[Delivery ID]],Allocation[Volume available (kg)])</f>
        <v>0.96690715454987397</v>
      </c>
      <c r="U110" s="61">
        <f>Allocation[[#This Row],[Total volume used]]/VLOOKUP(Allocation[[#This Row],[Delivery ID]],Delivery[[Delivery ID]:[Quantity delivered]],3,FALSE)</f>
        <v>0.31160919540229887</v>
      </c>
      <c r="V110" s="34" t="e">
        <f>VLOOKUP(Allocation[[#This Row],[SAP Contract number]],Shipments[[SAP Contract number]:[Contracted container weight]],2,FALSE)</f>
        <v>#N/A</v>
      </c>
      <c r="W110" s="34" t="e">
        <f>VLOOKUP(Allocation[[#This Row],[SAP Contract number]],Shipments[[SAP Contract number]:[AAA Premium USD]],24,FALSE)</f>
        <v>#N/A</v>
      </c>
      <c r="X110" s="34" t="e">
        <f>VLOOKUP(Allocation[[#This Row],[SAP Contract number]],Shipments[[SAP Contract number]:[RA Premium USD]],25,FALSE)</f>
        <v>#N/A</v>
      </c>
      <c r="Y110" s="38">
        <f>Allocation[[#This Row],[Quantity Processed]]/Allocation[[#This Row],[Quantity allocated]]</f>
        <v>3.0301844605925097</v>
      </c>
      <c r="Z110" s="34" t="b">
        <f>Allocation[[#This Row],[Quantity allocated]]&lt;=Allocation[[#This Row],[Quantity Processed]]</f>
        <v>1</v>
      </c>
    </row>
    <row r="111" spans="1:26">
      <c r="A111" s="247" t="s">
        <v>467</v>
      </c>
      <c r="B111" s="160" t="s">
        <v>68</v>
      </c>
      <c r="C111" s="249" t="s">
        <v>515</v>
      </c>
      <c r="D111" s="250">
        <v>4518</v>
      </c>
      <c r="E111" s="160" t="s">
        <v>1186</v>
      </c>
      <c r="F111" s="158">
        <v>43487</v>
      </c>
      <c r="G111" s="162">
        <v>2.93</v>
      </c>
      <c r="H111" s="250">
        <v>1491</v>
      </c>
      <c r="I111" s="160">
        <v>1425069</v>
      </c>
      <c r="J111" s="163">
        <v>21600</v>
      </c>
      <c r="K111" s="158">
        <v>43494</v>
      </c>
      <c r="L111" s="160" t="s">
        <v>1192</v>
      </c>
      <c r="M111" s="160">
        <v>4615513976</v>
      </c>
      <c r="N111" s="158">
        <v>43516</v>
      </c>
      <c r="O111" s="164">
        <v>3.7094</v>
      </c>
      <c r="P111" s="165">
        <v>19739</v>
      </c>
      <c r="Q111" s="34">
        <f>SUMIF(Allocation[Delivery ID],Allocation[[#This Row],[Delivery ID]],Allocation[Quantity Processed])</f>
        <v>4518</v>
      </c>
      <c r="R111" s="61">
        <f>Allocation[[#This Row],[Total volume used]]/VLOOKUP(Allocation[[#This Row],[Delivery ID]],Delivery[[Delivery ID]:[Quantity delivered]],3,FALSE)</f>
        <v>0.25353535353535356</v>
      </c>
      <c r="S111" s="34">
        <f>Allocation[[#This Row],[Quantity Processed]]/Allocation[[#This Row],[Dilution rate]]</f>
        <v>1541.9795221843003</v>
      </c>
      <c r="T111" s="59">
        <f>SUMIF(Allocation[Delivery ID],Allocation[[#This Row],[Delivery ID]],Allocation[Quantity allocated])/SUMIF(Allocation[Delivery ID],Allocation[[#This Row],[Delivery ID]],Allocation[Volume available (kg)])</f>
        <v>0.96693891102257634</v>
      </c>
      <c r="U111" s="61">
        <f>Allocation[[#This Row],[Total volume used]]/VLOOKUP(Allocation[[#This Row],[Delivery ID]],Delivery[[Delivery ID]:[Quantity delivered]],3,FALSE)</f>
        <v>0.25353535353535356</v>
      </c>
      <c r="V111" s="34" t="e">
        <f>VLOOKUP(Allocation[[#This Row],[SAP Contract number]],Shipments[[SAP Contract number]:[Contracted container weight]],2,FALSE)</f>
        <v>#N/A</v>
      </c>
      <c r="W111" s="34" t="e">
        <f>VLOOKUP(Allocation[[#This Row],[SAP Contract number]],Shipments[[SAP Contract number]:[AAA Premium USD]],24,FALSE)</f>
        <v>#N/A</v>
      </c>
      <c r="X111" s="34" t="e">
        <f>VLOOKUP(Allocation[[#This Row],[SAP Contract number]],Shipments[[SAP Contract number]:[RA Premium USD]],25,FALSE)</f>
        <v>#N/A</v>
      </c>
      <c r="Y111" s="38">
        <f>Allocation[[#This Row],[Quantity Processed]]/Allocation[[#This Row],[Quantity allocated]]</f>
        <v>3.0301810865191148</v>
      </c>
      <c r="Z111" s="34" t="b">
        <f>Allocation[[#This Row],[Quantity allocated]]&lt;=Allocation[[#This Row],[Quantity Processed]]</f>
        <v>1</v>
      </c>
    </row>
    <row r="112" spans="1:26">
      <c r="A112" s="247" t="s">
        <v>467</v>
      </c>
      <c r="B112" s="160" t="s">
        <v>68</v>
      </c>
      <c r="C112" s="249" t="s">
        <v>516</v>
      </c>
      <c r="D112" s="250">
        <v>5421</v>
      </c>
      <c r="E112" s="160" t="s">
        <v>1186</v>
      </c>
      <c r="F112" s="158">
        <v>43487</v>
      </c>
      <c r="G112" s="162">
        <v>2.93</v>
      </c>
      <c r="H112" s="250">
        <v>1789</v>
      </c>
      <c r="I112" s="160">
        <v>1425069</v>
      </c>
      <c r="J112" s="163">
        <v>21600</v>
      </c>
      <c r="K112" s="158">
        <v>43494</v>
      </c>
      <c r="L112" s="160" t="s">
        <v>1192</v>
      </c>
      <c r="M112" s="160">
        <v>4615513976</v>
      </c>
      <c r="N112" s="158">
        <v>43516</v>
      </c>
      <c r="O112" s="164">
        <v>3.7094</v>
      </c>
      <c r="P112" s="165">
        <v>19739</v>
      </c>
      <c r="Q112" s="34">
        <f>SUMIF(Allocation[Delivery ID],Allocation[[#This Row],[Delivery ID]],Allocation[Quantity Processed])</f>
        <v>5421</v>
      </c>
      <c r="R112" s="61">
        <f>Allocation[[#This Row],[Total volume used]]/VLOOKUP(Allocation[[#This Row],[Delivery ID]],Delivery[[Delivery ID]:[Quantity delivered]],3,FALSE)</f>
        <v>0.31262975778546714</v>
      </c>
      <c r="S112" s="34">
        <f>Allocation[[#This Row],[Quantity Processed]]/Allocation[[#This Row],[Dilution rate]]</f>
        <v>1850.1706484641638</v>
      </c>
      <c r="T112" s="59">
        <f>SUMIF(Allocation[Delivery ID],Allocation[[#This Row],[Delivery ID]],Allocation[Quantity allocated])/SUMIF(Allocation[Delivery ID],Allocation[[#This Row],[Delivery ID]],Allocation[Volume available (kg)])</f>
        <v>0.96693783434790626</v>
      </c>
      <c r="U112" s="61">
        <f>Allocation[[#This Row],[Total volume used]]/VLOOKUP(Allocation[[#This Row],[Delivery ID]],Delivery[[Delivery ID]:[Quantity delivered]],3,FALSE)</f>
        <v>0.31262975778546714</v>
      </c>
      <c r="V112" s="34" t="e">
        <f>VLOOKUP(Allocation[[#This Row],[SAP Contract number]],Shipments[[SAP Contract number]:[Contracted container weight]],2,FALSE)</f>
        <v>#N/A</v>
      </c>
      <c r="W112" s="34" t="e">
        <f>VLOOKUP(Allocation[[#This Row],[SAP Contract number]],Shipments[[SAP Contract number]:[AAA Premium USD]],24,FALSE)</f>
        <v>#N/A</v>
      </c>
      <c r="X112" s="34" t="e">
        <f>VLOOKUP(Allocation[[#This Row],[SAP Contract number]],Shipments[[SAP Contract number]:[RA Premium USD]],25,FALSE)</f>
        <v>#N/A</v>
      </c>
      <c r="Y112" s="38">
        <f>Allocation[[#This Row],[Quantity Processed]]/Allocation[[#This Row],[Quantity allocated]]</f>
        <v>3.0301844605925097</v>
      </c>
      <c r="Z112" s="34" t="b">
        <f>Allocation[[#This Row],[Quantity allocated]]&lt;=Allocation[[#This Row],[Quantity Processed]]</f>
        <v>1</v>
      </c>
    </row>
    <row r="113" spans="1:26">
      <c r="A113" s="247" t="s">
        <v>467</v>
      </c>
      <c r="B113" s="160" t="s">
        <v>68</v>
      </c>
      <c r="C113" s="249" t="s">
        <v>517</v>
      </c>
      <c r="D113" s="250">
        <v>4336</v>
      </c>
      <c r="E113" s="160" t="s">
        <v>1186</v>
      </c>
      <c r="F113" s="158">
        <v>43487</v>
      </c>
      <c r="G113" s="162">
        <v>2.93</v>
      </c>
      <c r="H113" s="250">
        <v>1431</v>
      </c>
      <c r="I113" s="160">
        <v>1425069</v>
      </c>
      <c r="J113" s="163">
        <v>21600</v>
      </c>
      <c r="K113" s="158">
        <v>43494</v>
      </c>
      <c r="L113" s="160" t="s">
        <v>1192</v>
      </c>
      <c r="M113" s="160">
        <v>4615513976</v>
      </c>
      <c r="N113" s="158">
        <v>43516</v>
      </c>
      <c r="O113" s="164">
        <v>3.7094</v>
      </c>
      <c r="P113" s="165">
        <v>19739</v>
      </c>
      <c r="Q113" s="34">
        <f>SUMIF(Allocation[Delivery ID],Allocation[[#This Row],[Delivery ID]],Allocation[Quantity Processed])</f>
        <v>4336</v>
      </c>
      <c r="R113" s="61">
        <f>Allocation[[#This Row],[Total volume used]]/VLOOKUP(Allocation[[#This Row],[Delivery ID]],Delivery[[Delivery ID]:[Quantity delivered]],3,FALSE)</f>
        <v>0.25268065268065271</v>
      </c>
      <c r="S113" s="34">
        <f>Allocation[[#This Row],[Quantity Processed]]/Allocation[[#This Row],[Dilution rate]]</f>
        <v>1479.8634812286689</v>
      </c>
      <c r="T113" s="59">
        <f>SUMIF(Allocation[Delivery ID],Allocation[[#This Row],[Delivery ID]],Allocation[Quantity allocated])/SUMIF(Allocation[Delivery ID],Allocation[[#This Row],[Delivery ID]],Allocation[Volume available (kg)])</f>
        <v>0.9669810885608856</v>
      </c>
      <c r="U113" s="61">
        <f>Allocation[[#This Row],[Total volume used]]/VLOOKUP(Allocation[[#This Row],[Delivery ID]],Delivery[[Delivery ID]:[Quantity delivered]],3,FALSE)</f>
        <v>0.25268065268065271</v>
      </c>
      <c r="V113" s="34" t="e">
        <f>VLOOKUP(Allocation[[#This Row],[SAP Contract number]],Shipments[[SAP Contract number]:[Contracted container weight]],2,FALSE)</f>
        <v>#N/A</v>
      </c>
      <c r="W113" s="34" t="e">
        <f>VLOOKUP(Allocation[[#This Row],[SAP Contract number]],Shipments[[SAP Contract number]:[AAA Premium USD]],24,FALSE)</f>
        <v>#N/A</v>
      </c>
      <c r="X113" s="34" t="e">
        <f>VLOOKUP(Allocation[[#This Row],[SAP Contract number]],Shipments[[SAP Contract number]:[RA Premium USD]],25,FALSE)</f>
        <v>#N/A</v>
      </c>
      <c r="Y113" s="38">
        <f>Allocation[[#This Row],[Quantity Processed]]/Allocation[[#This Row],[Quantity allocated]]</f>
        <v>3.0300489168413698</v>
      </c>
      <c r="Z113" s="34" t="b">
        <f>Allocation[[#This Row],[Quantity allocated]]&lt;=Allocation[[#This Row],[Quantity Processed]]</f>
        <v>1</v>
      </c>
    </row>
    <row r="114" spans="1:26">
      <c r="A114" s="247" t="s">
        <v>467</v>
      </c>
      <c r="B114" s="160" t="s">
        <v>68</v>
      </c>
      <c r="C114" s="249" t="s">
        <v>518</v>
      </c>
      <c r="D114" s="250">
        <v>7227</v>
      </c>
      <c r="E114" s="160" t="s">
        <v>1186</v>
      </c>
      <c r="F114" s="158">
        <v>43487</v>
      </c>
      <c r="G114" s="162">
        <v>2.93</v>
      </c>
      <c r="H114" s="250">
        <v>2385</v>
      </c>
      <c r="I114" s="160">
        <v>1425069</v>
      </c>
      <c r="J114" s="163">
        <v>21600</v>
      </c>
      <c r="K114" s="158">
        <v>43494</v>
      </c>
      <c r="L114" s="160" t="s">
        <v>1192</v>
      </c>
      <c r="M114" s="160">
        <v>4615513976</v>
      </c>
      <c r="N114" s="158">
        <v>43516</v>
      </c>
      <c r="O114" s="164">
        <v>3.7094</v>
      </c>
      <c r="P114" s="165">
        <v>19739</v>
      </c>
      <c r="Q114" s="34">
        <f>SUMIF(Allocation[Delivery ID],Allocation[[#This Row],[Delivery ID]],Allocation[Quantity Processed])</f>
        <v>7227</v>
      </c>
      <c r="R114" s="61">
        <f>Allocation[[#This Row],[Total volume used]]/VLOOKUP(Allocation[[#This Row],[Delivery ID]],Delivery[[Delivery ID]:[Quantity delivered]],3,FALSE)</f>
        <v>0.40969387755102044</v>
      </c>
      <c r="S114" s="34">
        <f>Allocation[[#This Row],[Quantity Processed]]/Allocation[[#This Row],[Dilution rate]]</f>
        <v>2466.5529010238906</v>
      </c>
      <c r="T114" s="59">
        <f>SUMIF(Allocation[Delivery ID],Allocation[[#This Row],[Delivery ID]],Allocation[Quantity allocated])/SUMIF(Allocation[Delivery ID],Allocation[[#This Row],[Delivery ID]],Allocation[Volume available (kg)])</f>
        <v>0.96693648816936495</v>
      </c>
      <c r="U114" s="61">
        <f>Allocation[[#This Row],[Total volume used]]/VLOOKUP(Allocation[[#This Row],[Delivery ID]],Delivery[[Delivery ID]:[Quantity delivered]],3,FALSE)</f>
        <v>0.40969387755102044</v>
      </c>
      <c r="V114" s="34" t="e">
        <f>VLOOKUP(Allocation[[#This Row],[SAP Contract number]],Shipments[[SAP Contract number]:[Contracted container weight]],2,FALSE)</f>
        <v>#N/A</v>
      </c>
      <c r="W114" s="34" t="e">
        <f>VLOOKUP(Allocation[[#This Row],[SAP Contract number]],Shipments[[SAP Contract number]:[AAA Premium USD]],24,FALSE)</f>
        <v>#N/A</v>
      </c>
      <c r="X114" s="34" t="e">
        <f>VLOOKUP(Allocation[[#This Row],[SAP Contract number]],Shipments[[SAP Contract number]:[RA Premium USD]],25,FALSE)</f>
        <v>#N/A</v>
      </c>
      <c r="Y114" s="38">
        <f>Allocation[[#This Row],[Quantity Processed]]/Allocation[[#This Row],[Quantity allocated]]</f>
        <v>3.030188679245283</v>
      </c>
      <c r="Z114" s="34" t="b">
        <f>Allocation[[#This Row],[Quantity allocated]]&lt;=Allocation[[#This Row],[Quantity Processed]]</f>
        <v>1</v>
      </c>
    </row>
    <row r="115" spans="1:26">
      <c r="A115" s="247" t="s">
        <v>467</v>
      </c>
      <c r="B115" s="160" t="s">
        <v>68</v>
      </c>
      <c r="C115" s="249" t="s">
        <v>519</v>
      </c>
      <c r="D115" s="250">
        <v>5421</v>
      </c>
      <c r="E115" s="160" t="s">
        <v>1186</v>
      </c>
      <c r="F115" s="158">
        <v>43487</v>
      </c>
      <c r="G115" s="162">
        <v>2.93</v>
      </c>
      <c r="H115" s="250">
        <v>1789</v>
      </c>
      <c r="I115" s="160">
        <v>1425069</v>
      </c>
      <c r="J115" s="163">
        <v>21600</v>
      </c>
      <c r="K115" s="158">
        <v>43494</v>
      </c>
      <c r="L115" s="160" t="s">
        <v>1192</v>
      </c>
      <c r="M115" s="160">
        <v>4615513976</v>
      </c>
      <c r="N115" s="158">
        <v>43516</v>
      </c>
      <c r="O115" s="164">
        <v>3.7094</v>
      </c>
      <c r="P115" s="165">
        <v>19739</v>
      </c>
      <c r="Q115" s="34">
        <f>SUMIF(Allocation[Delivery ID],Allocation[[#This Row],[Delivery ID]],Allocation[Quantity Processed])</f>
        <v>5421</v>
      </c>
      <c r="R115" s="61">
        <f>Allocation[[#This Row],[Total volume used]]/VLOOKUP(Allocation[[#This Row],[Delivery ID]],Delivery[[Delivery ID]:[Quantity delivered]],3,FALSE)</f>
        <v>0.32383512544802867</v>
      </c>
      <c r="S115" s="34">
        <f>Allocation[[#This Row],[Quantity Processed]]/Allocation[[#This Row],[Dilution rate]]</f>
        <v>1850.1706484641638</v>
      </c>
      <c r="T115" s="59">
        <f>SUMIF(Allocation[Delivery ID],Allocation[[#This Row],[Delivery ID]],Allocation[Quantity allocated])/SUMIF(Allocation[Delivery ID],Allocation[[#This Row],[Delivery ID]],Allocation[Volume available (kg)])</f>
        <v>0.96693783434790626</v>
      </c>
      <c r="U115" s="61">
        <f>Allocation[[#This Row],[Total volume used]]/VLOOKUP(Allocation[[#This Row],[Delivery ID]],Delivery[[Delivery ID]:[Quantity delivered]],3,FALSE)</f>
        <v>0.32383512544802867</v>
      </c>
      <c r="V115" s="34" t="e">
        <f>VLOOKUP(Allocation[[#This Row],[SAP Contract number]],Shipments[[SAP Contract number]:[Contracted container weight]],2,FALSE)</f>
        <v>#N/A</v>
      </c>
      <c r="W115" s="34" t="e">
        <f>VLOOKUP(Allocation[[#This Row],[SAP Contract number]],Shipments[[SAP Contract number]:[AAA Premium USD]],24,FALSE)</f>
        <v>#N/A</v>
      </c>
      <c r="X115" s="34" t="e">
        <f>VLOOKUP(Allocation[[#This Row],[SAP Contract number]],Shipments[[SAP Contract number]:[RA Premium USD]],25,FALSE)</f>
        <v>#N/A</v>
      </c>
      <c r="Y115" s="38">
        <f>Allocation[[#This Row],[Quantity Processed]]/Allocation[[#This Row],[Quantity allocated]]</f>
        <v>3.0301844605925097</v>
      </c>
      <c r="Z115" s="34" t="b">
        <f>Allocation[[#This Row],[Quantity allocated]]&lt;=Allocation[[#This Row],[Quantity Processed]]</f>
        <v>1</v>
      </c>
    </row>
    <row r="116" spans="1:26">
      <c r="A116" s="247" t="s">
        <v>467</v>
      </c>
      <c r="B116" s="160" t="s">
        <v>68</v>
      </c>
      <c r="C116" s="249" t="s">
        <v>520</v>
      </c>
      <c r="D116" s="250">
        <v>5421</v>
      </c>
      <c r="E116" s="160" t="s">
        <v>1186</v>
      </c>
      <c r="F116" s="158">
        <v>43487</v>
      </c>
      <c r="G116" s="162">
        <v>2.93</v>
      </c>
      <c r="H116" s="250">
        <v>1789</v>
      </c>
      <c r="I116" s="160">
        <v>1425069</v>
      </c>
      <c r="J116" s="163">
        <v>21600</v>
      </c>
      <c r="K116" s="158">
        <v>43494</v>
      </c>
      <c r="L116" s="160" t="s">
        <v>1192</v>
      </c>
      <c r="M116" s="160">
        <v>4615513976</v>
      </c>
      <c r="N116" s="158">
        <v>43516</v>
      </c>
      <c r="O116" s="164">
        <v>3.7094</v>
      </c>
      <c r="P116" s="165">
        <v>19739</v>
      </c>
      <c r="Q116" s="34">
        <f>SUMIF(Allocation[Delivery ID],Allocation[[#This Row],[Delivery ID]],Allocation[Quantity Processed])</f>
        <v>5421</v>
      </c>
      <c r="R116" s="61">
        <f>Allocation[[#This Row],[Total volume used]]/VLOOKUP(Allocation[[#This Row],[Delivery ID]],Delivery[[Delivery ID]:[Quantity delivered]],3,FALSE)</f>
        <v>0.30116666666666669</v>
      </c>
      <c r="S116" s="34">
        <f>Allocation[[#This Row],[Quantity Processed]]/Allocation[[#This Row],[Dilution rate]]</f>
        <v>1850.1706484641638</v>
      </c>
      <c r="T116" s="59">
        <f>SUMIF(Allocation[Delivery ID],Allocation[[#This Row],[Delivery ID]],Allocation[Quantity allocated])/SUMIF(Allocation[Delivery ID],Allocation[[#This Row],[Delivery ID]],Allocation[Volume available (kg)])</f>
        <v>0.96693783434790626</v>
      </c>
      <c r="U116" s="61">
        <f>Allocation[[#This Row],[Total volume used]]/VLOOKUP(Allocation[[#This Row],[Delivery ID]],Delivery[[Delivery ID]:[Quantity delivered]],3,FALSE)</f>
        <v>0.30116666666666669</v>
      </c>
      <c r="V116" s="34" t="e">
        <f>VLOOKUP(Allocation[[#This Row],[SAP Contract number]],Shipments[[SAP Contract number]:[Contracted container weight]],2,FALSE)</f>
        <v>#N/A</v>
      </c>
      <c r="W116" s="34" t="e">
        <f>VLOOKUP(Allocation[[#This Row],[SAP Contract number]],Shipments[[SAP Contract number]:[AAA Premium USD]],24,FALSE)</f>
        <v>#N/A</v>
      </c>
      <c r="X116" s="34" t="e">
        <f>VLOOKUP(Allocation[[#This Row],[SAP Contract number]],Shipments[[SAP Contract number]:[RA Premium USD]],25,FALSE)</f>
        <v>#N/A</v>
      </c>
      <c r="Y116" s="38">
        <f>Allocation[[#This Row],[Quantity Processed]]/Allocation[[#This Row],[Quantity allocated]]</f>
        <v>3.0301844605925097</v>
      </c>
      <c r="Z116" s="34" t="b">
        <f>Allocation[[#This Row],[Quantity allocated]]&lt;=Allocation[[#This Row],[Quantity Processed]]</f>
        <v>1</v>
      </c>
    </row>
    <row r="117" spans="1:26">
      <c r="A117" s="247" t="s">
        <v>467</v>
      </c>
      <c r="B117" s="160" t="s">
        <v>68</v>
      </c>
      <c r="C117" s="249" t="s">
        <v>521</v>
      </c>
      <c r="D117" s="250">
        <v>4200</v>
      </c>
      <c r="E117" s="160" t="s">
        <v>1186</v>
      </c>
      <c r="F117" s="158">
        <v>43487</v>
      </c>
      <c r="G117" s="162">
        <v>2.93</v>
      </c>
      <c r="H117" s="250">
        <v>1386</v>
      </c>
      <c r="I117" s="160">
        <v>1425069</v>
      </c>
      <c r="J117" s="163">
        <v>21600</v>
      </c>
      <c r="K117" s="158">
        <v>43494</v>
      </c>
      <c r="L117" s="160" t="s">
        <v>1192</v>
      </c>
      <c r="M117" s="160">
        <v>4615513976</v>
      </c>
      <c r="N117" s="158">
        <v>43516</v>
      </c>
      <c r="O117" s="164">
        <v>3.7094</v>
      </c>
      <c r="P117" s="165">
        <v>19739</v>
      </c>
      <c r="Q117" s="34">
        <f>SUMIF(Allocation[Delivery ID],Allocation[[#This Row],[Delivery ID]],Allocation[Quantity Processed])</f>
        <v>5421</v>
      </c>
      <c r="R117" s="61">
        <f>Allocation[[#This Row],[Total volume used]]/VLOOKUP(Allocation[[#This Row],[Delivery ID]],Delivery[[Delivery ID]:[Quantity delivered]],3,FALSE)</f>
        <v>0.55091463414634145</v>
      </c>
      <c r="S117" s="34">
        <f>Allocation[[#This Row],[Quantity Processed]]/Allocation[[#This Row],[Dilution rate]]</f>
        <v>1433.4470989761091</v>
      </c>
      <c r="T117" s="59">
        <f>SUMIF(Allocation[Delivery ID],Allocation[[#This Row],[Delivery ID]],Allocation[Quantity allocated])/SUMIF(Allocation[Delivery ID],Allocation[[#This Row],[Delivery ID]],Allocation[Volume available (kg)])</f>
        <v>0.96693783434790637</v>
      </c>
      <c r="U117" s="61">
        <f>Allocation[[#This Row],[Total volume used]]/VLOOKUP(Allocation[[#This Row],[Delivery ID]],Delivery[[Delivery ID]:[Quantity delivered]],3,FALSE)</f>
        <v>0.55091463414634145</v>
      </c>
      <c r="V117" s="34" t="e">
        <f>VLOOKUP(Allocation[[#This Row],[SAP Contract number]],Shipments[[SAP Contract number]:[Contracted container weight]],2,FALSE)</f>
        <v>#N/A</v>
      </c>
      <c r="W117" s="34" t="e">
        <f>VLOOKUP(Allocation[[#This Row],[SAP Contract number]],Shipments[[SAP Contract number]:[AAA Premium USD]],24,FALSE)</f>
        <v>#N/A</v>
      </c>
      <c r="X117" s="34" t="e">
        <f>VLOOKUP(Allocation[[#This Row],[SAP Contract number]],Shipments[[SAP Contract number]:[RA Premium USD]],25,FALSE)</f>
        <v>#N/A</v>
      </c>
      <c r="Y117" s="38">
        <f>Allocation[[#This Row],[Quantity Processed]]/Allocation[[#This Row],[Quantity allocated]]</f>
        <v>3.0303030303030303</v>
      </c>
      <c r="Z117" s="34" t="b">
        <f>Allocation[[#This Row],[Quantity allocated]]&lt;=Allocation[[#This Row],[Quantity Processed]]</f>
        <v>1</v>
      </c>
    </row>
    <row r="118" spans="1:26">
      <c r="A118" s="247" t="s">
        <v>467</v>
      </c>
      <c r="B118" s="160" t="s">
        <v>68</v>
      </c>
      <c r="C118" s="249" t="s">
        <v>521</v>
      </c>
      <c r="D118" s="250">
        <v>1221</v>
      </c>
      <c r="E118" s="160" t="s">
        <v>1186</v>
      </c>
      <c r="F118" s="158">
        <v>43487</v>
      </c>
      <c r="G118" s="162">
        <v>2.93</v>
      </c>
      <c r="H118" s="250">
        <v>403</v>
      </c>
      <c r="I118" s="160">
        <v>1425070</v>
      </c>
      <c r="J118" s="163">
        <v>21600</v>
      </c>
      <c r="K118" s="158">
        <v>43494</v>
      </c>
      <c r="L118" s="160" t="s">
        <v>1193</v>
      </c>
      <c r="M118" s="160">
        <v>4615513976</v>
      </c>
      <c r="N118" s="158">
        <v>43516</v>
      </c>
      <c r="O118" s="164">
        <v>3.7094</v>
      </c>
      <c r="P118" s="165">
        <v>19739</v>
      </c>
      <c r="Q118" s="34">
        <f>SUMIF(Allocation[Delivery ID],Allocation[[#This Row],[Delivery ID]],Allocation[Quantity Processed])</f>
        <v>5421</v>
      </c>
      <c r="R118" s="61">
        <f>Allocation[[#This Row],[Total volume used]]/VLOOKUP(Allocation[[#This Row],[Delivery ID]],Delivery[[Delivery ID]:[Quantity delivered]],3,FALSE)</f>
        <v>0.55091463414634145</v>
      </c>
      <c r="S118" s="34">
        <f>Allocation[[#This Row],[Quantity Processed]]/Allocation[[#This Row],[Dilution rate]]</f>
        <v>416.72354948805457</v>
      </c>
      <c r="T118" s="59">
        <f>SUMIF(Allocation[Delivery ID],Allocation[[#This Row],[Delivery ID]],Allocation[Quantity allocated])/SUMIF(Allocation[Delivery ID],Allocation[[#This Row],[Delivery ID]],Allocation[Volume available (kg)])</f>
        <v>0.96693783434790637</v>
      </c>
      <c r="U118" s="61">
        <f>Allocation[[#This Row],[Total volume used]]/VLOOKUP(Allocation[[#This Row],[Delivery ID]],Delivery[[Delivery ID]:[Quantity delivered]],3,FALSE)</f>
        <v>0.55091463414634145</v>
      </c>
      <c r="V118" s="34" t="e">
        <f>VLOOKUP(Allocation[[#This Row],[SAP Contract number]],Shipments[[SAP Contract number]:[Contracted container weight]],2,FALSE)</f>
        <v>#N/A</v>
      </c>
      <c r="W118" s="34" t="e">
        <f>VLOOKUP(Allocation[[#This Row],[SAP Contract number]],Shipments[[SAP Contract number]:[AAA Premium USD]],24,FALSE)</f>
        <v>#N/A</v>
      </c>
      <c r="X118" s="34" t="e">
        <f>VLOOKUP(Allocation[[#This Row],[SAP Contract number]],Shipments[[SAP Contract number]:[RA Premium USD]],25,FALSE)</f>
        <v>#N/A</v>
      </c>
      <c r="Y118" s="38">
        <f>Allocation[[#This Row],[Quantity Processed]]/Allocation[[#This Row],[Quantity allocated]]</f>
        <v>3.0297766749379651</v>
      </c>
      <c r="Z118" s="34" t="b">
        <f>Allocation[[#This Row],[Quantity allocated]]&lt;=Allocation[[#This Row],[Quantity Processed]]</f>
        <v>1</v>
      </c>
    </row>
    <row r="119" spans="1:26">
      <c r="A119" s="247" t="s">
        <v>467</v>
      </c>
      <c r="B119" s="160" t="s">
        <v>68</v>
      </c>
      <c r="C119" s="249" t="s">
        <v>522</v>
      </c>
      <c r="D119" s="250">
        <v>5421</v>
      </c>
      <c r="E119" s="160" t="s">
        <v>1186</v>
      </c>
      <c r="F119" s="158">
        <v>43487</v>
      </c>
      <c r="G119" s="162">
        <v>2.93</v>
      </c>
      <c r="H119" s="250">
        <v>1789</v>
      </c>
      <c r="I119" s="160">
        <v>1425070</v>
      </c>
      <c r="J119" s="163">
        <v>21600</v>
      </c>
      <c r="K119" s="158">
        <v>43494</v>
      </c>
      <c r="L119" s="160" t="s">
        <v>1193</v>
      </c>
      <c r="M119" s="160">
        <v>4615513976</v>
      </c>
      <c r="N119" s="158">
        <v>43516</v>
      </c>
      <c r="O119" s="164">
        <v>3.7094</v>
      </c>
      <c r="P119" s="165">
        <v>19739</v>
      </c>
      <c r="Q119" s="34">
        <f>SUMIF(Allocation[Delivery ID],Allocation[[#This Row],[Delivery ID]],Allocation[Quantity Processed])</f>
        <v>5421</v>
      </c>
      <c r="R119" s="61">
        <f>Allocation[[#This Row],[Total volume used]]/VLOOKUP(Allocation[[#This Row],[Delivery ID]],Delivery[[Delivery ID]:[Quantity delivered]],3,FALSE)</f>
        <v>0.31590909090909092</v>
      </c>
      <c r="S119" s="34">
        <f>Allocation[[#This Row],[Quantity Processed]]/Allocation[[#This Row],[Dilution rate]]</f>
        <v>1850.1706484641638</v>
      </c>
      <c r="T119" s="59">
        <f>SUMIF(Allocation[Delivery ID],Allocation[[#This Row],[Delivery ID]],Allocation[Quantity allocated])/SUMIF(Allocation[Delivery ID],Allocation[[#This Row],[Delivery ID]],Allocation[Volume available (kg)])</f>
        <v>0.96693783434790626</v>
      </c>
      <c r="U119" s="61">
        <f>Allocation[[#This Row],[Total volume used]]/VLOOKUP(Allocation[[#This Row],[Delivery ID]],Delivery[[Delivery ID]:[Quantity delivered]],3,FALSE)</f>
        <v>0.31590909090909092</v>
      </c>
      <c r="V119" s="34" t="e">
        <f>VLOOKUP(Allocation[[#This Row],[SAP Contract number]],Shipments[[SAP Contract number]:[Contracted container weight]],2,FALSE)</f>
        <v>#N/A</v>
      </c>
      <c r="W119" s="34" t="e">
        <f>VLOOKUP(Allocation[[#This Row],[SAP Contract number]],Shipments[[SAP Contract number]:[AAA Premium USD]],24,FALSE)</f>
        <v>#N/A</v>
      </c>
      <c r="X119" s="34" t="e">
        <f>VLOOKUP(Allocation[[#This Row],[SAP Contract number]],Shipments[[SAP Contract number]:[RA Premium USD]],25,FALSE)</f>
        <v>#N/A</v>
      </c>
      <c r="Y119" s="38">
        <f>Allocation[[#This Row],[Quantity Processed]]/Allocation[[#This Row],[Quantity allocated]]</f>
        <v>3.0301844605925097</v>
      </c>
      <c r="Z119" s="34" t="b">
        <f>Allocation[[#This Row],[Quantity allocated]]&lt;=Allocation[[#This Row],[Quantity Processed]]</f>
        <v>1</v>
      </c>
    </row>
    <row r="120" spans="1:26">
      <c r="A120" s="247" t="s">
        <v>467</v>
      </c>
      <c r="B120" s="160" t="s">
        <v>68</v>
      </c>
      <c r="C120" s="249" t="s">
        <v>523</v>
      </c>
      <c r="D120" s="250">
        <v>5421</v>
      </c>
      <c r="E120" s="160" t="s">
        <v>1186</v>
      </c>
      <c r="F120" s="158">
        <v>43487</v>
      </c>
      <c r="G120" s="162">
        <v>2.93</v>
      </c>
      <c r="H120" s="250">
        <v>1789</v>
      </c>
      <c r="I120" s="160">
        <v>1425070</v>
      </c>
      <c r="J120" s="163">
        <v>21600</v>
      </c>
      <c r="K120" s="158">
        <v>43494</v>
      </c>
      <c r="L120" s="160" t="s">
        <v>1193</v>
      </c>
      <c r="M120" s="160">
        <v>4615513976</v>
      </c>
      <c r="N120" s="158">
        <v>43516</v>
      </c>
      <c r="O120" s="164">
        <v>3.7094</v>
      </c>
      <c r="P120" s="165">
        <v>19739</v>
      </c>
      <c r="Q120" s="34">
        <f>SUMIF(Allocation[Delivery ID],Allocation[[#This Row],[Delivery ID]],Allocation[Quantity Processed])</f>
        <v>5421</v>
      </c>
      <c r="R120" s="61">
        <f>Allocation[[#This Row],[Total volume used]]/VLOOKUP(Allocation[[#This Row],[Delivery ID]],Delivery[[Delivery ID]:[Quantity delivered]],3,FALSE)</f>
        <v>0.29622950819672134</v>
      </c>
      <c r="S120" s="34">
        <f>Allocation[[#This Row],[Quantity Processed]]/Allocation[[#This Row],[Dilution rate]]</f>
        <v>1850.1706484641638</v>
      </c>
      <c r="T120" s="59">
        <f>SUMIF(Allocation[Delivery ID],Allocation[[#This Row],[Delivery ID]],Allocation[Quantity allocated])/SUMIF(Allocation[Delivery ID],Allocation[[#This Row],[Delivery ID]],Allocation[Volume available (kg)])</f>
        <v>0.96693783434790626</v>
      </c>
      <c r="U120" s="61">
        <f>Allocation[[#This Row],[Total volume used]]/VLOOKUP(Allocation[[#This Row],[Delivery ID]],Delivery[[Delivery ID]:[Quantity delivered]],3,FALSE)</f>
        <v>0.29622950819672134</v>
      </c>
      <c r="V120" s="34" t="e">
        <f>VLOOKUP(Allocation[[#This Row],[SAP Contract number]],Shipments[[SAP Contract number]:[Contracted container weight]],2,FALSE)</f>
        <v>#N/A</v>
      </c>
      <c r="W120" s="34" t="e">
        <f>VLOOKUP(Allocation[[#This Row],[SAP Contract number]],Shipments[[SAP Contract number]:[AAA Premium USD]],24,FALSE)</f>
        <v>#N/A</v>
      </c>
      <c r="X120" s="34" t="e">
        <f>VLOOKUP(Allocation[[#This Row],[SAP Contract number]],Shipments[[SAP Contract number]:[RA Premium USD]],25,FALSE)</f>
        <v>#N/A</v>
      </c>
      <c r="Y120" s="38">
        <f>Allocation[[#This Row],[Quantity Processed]]/Allocation[[#This Row],[Quantity allocated]]</f>
        <v>3.0301844605925097</v>
      </c>
      <c r="Z120" s="34" t="b">
        <f>Allocation[[#This Row],[Quantity allocated]]&lt;=Allocation[[#This Row],[Quantity Processed]]</f>
        <v>1</v>
      </c>
    </row>
    <row r="121" spans="1:26">
      <c r="A121" s="247" t="s">
        <v>467</v>
      </c>
      <c r="B121" s="160" t="s">
        <v>68</v>
      </c>
      <c r="C121" s="249" t="s">
        <v>524</v>
      </c>
      <c r="D121" s="250">
        <v>9033</v>
      </c>
      <c r="E121" s="160" t="s">
        <v>1186</v>
      </c>
      <c r="F121" s="158">
        <v>43487</v>
      </c>
      <c r="G121" s="162">
        <v>2.93</v>
      </c>
      <c r="H121" s="250">
        <v>2981</v>
      </c>
      <c r="I121" s="160">
        <v>1425070</v>
      </c>
      <c r="J121" s="163">
        <v>21600</v>
      </c>
      <c r="K121" s="158">
        <v>43494</v>
      </c>
      <c r="L121" s="160" t="s">
        <v>1193</v>
      </c>
      <c r="M121" s="160">
        <v>4615513976</v>
      </c>
      <c r="N121" s="158">
        <v>43516</v>
      </c>
      <c r="O121" s="164">
        <v>3.7094</v>
      </c>
      <c r="P121" s="165">
        <v>19739</v>
      </c>
      <c r="Q121" s="34">
        <f>SUMIF(Allocation[Delivery ID],Allocation[[#This Row],[Delivery ID]],Allocation[Quantity Processed])</f>
        <v>9033</v>
      </c>
      <c r="R121" s="61">
        <f>Allocation[[#This Row],[Total volume used]]/VLOOKUP(Allocation[[#This Row],[Delivery ID]],Delivery[[Delivery ID]:[Quantity delivered]],3,FALSE)</f>
        <v>0.5138225255972696</v>
      </c>
      <c r="S121" s="34">
        <f>Allocation[[#This Row],[Quantity Processed]]/Allocation[[#This Row],[Dilution rate]]</f>
        <v>3082.9351535836176</v>
      </c>
      <c r="T121" s="59">
        <f>SUMIF(Allocation[Delivery ID],Allocation[[#This Row],[Delivery ID]],Allocation[Quantity allocated])/SUMIF(Allocation[Delivery ID],Allocation[[#This Row],[Delivery ID]],Allocation[Volume available (kg)])</f>
        <v>0.96693568028340537</v>
      </c>
      <c r="U121" s="61">
        <f>Allocation[[#This Row],[Total volume used]]/VLOOKUP(Allocation[[#This Row],[Delivery ID]],Delivery[[Delivery ID]:[Quantity delivered]],3,FALSE)</f>
        <v>0.5138225255972696</v>
      </c>
      <c r="V121" s="34" t="e">
        <f>VLOOKUP(Allocation[[#This Row],[SAP Contract number]],Shipments[[SAP Contract number]:[Contracted container weight]],2,FALSE)</f>
        <v>#N/A</v>
      </c>
      <c r="W121" s="34" t="e">
        <f>VLOOKUP(Allocation[[#This Row],[SAP Contract number]],Shipments[[SAP Contract number]:[AAA Premium USD]],24,FALSE)</f>
        <v>#N/A</v>
      </c>
      <c r="X121" s="34" t="e">
        <f>VLOOKUP(Allocation[[#This Row],[SAP Contract number]],Shipments[[SAP Contract number]:[RA Premium USD]],25,FALSE)</f>
        <v>#N/A</v>
      </c>
      <c r="Y121" s="38">
        <f>Allocation[[#This Row],[Quantity Processed]]/Allocation[[#This Row],[Quantity allocated]]</f>
        <v>3.0301912110030189</v>
      </c>
      <c r="Z121" s="34" t="b">
        <f>Allocation[[#This Row],[Quantity allocated]]&lt;=Allocation[[#This Row],[Quantity Processed]]</f>
        <v>1</v>
      </c>
    </row>
    <row r="122" spans="1:26">
      <c r="A122" s="247" t="s">
        <v>467</v>
      </c>
      <c r="B122" s="160" t="s">
        <v>68</v>
      </c>
      <c r="C122" s="249" t="s">
        <v>525</v>
      </c>
      <c r="D122" s="250">
        <v>7227</v>
      </c>
      <c r="E122" s="160" t="s">
        <v>1186</v>
      </c>
      <c r="F122" s="158">
        <v>43487</v>
      </c>
      <c r="G122" s="162">
        <v>2.93</v>
      </c>
      <c r="H122" s="250">
        <v>2385</v>
      </c>
      <c r="I122" s="160">
        <v>1425070</v>
      </c>
      <c r="J122" s="163">
        <v>21600</v>
      </c>
      <c r="K122" s="158">
        <v>43494</v>
      </c>
      <c r="L122" s="160" t="s">
        <v>1193</v>
      </c>
      <c r="M122" s="160">
        <v>4615513976</v>
      </c>
      <c r="N122" s="158">
        <v>43516</v>
      </c>
      <c r="O122" s="164">
        <v>3.7094</v>
      </c>
      <c r="P122" s="165">
        <v>19739</v>
      </c>
      <c r="Q122" s="34">
        <f>SUMIF(Allocation[Delivery ID],Allocation[[#This Row],[Delivery ID]],Allocation[Quantity Processed])</f>
        <v>7227</v>
      </c>
      <c r="R122" s="61">
        <f>Allocation[[#This Row],[Total volume used]]/VLOOKUP(Allocation[[#This Row],[Delivery ID]],Delivery[[Delivery ID]:[Quantity delivered]],3,FALSE)</f>
        <v>0.86035714285714282</v>
      </c>
      <c r="S122" s="34">
        <f>Allocation[[#This Row],[Quantity Processed]]/Allocation[[#This Row],[Dilution rate]]</f>
        <v>2466.5529010238906</v>
      </c>
      <c r="T122" s="59">
        <f>SUMIF(Allocation[Delivery ID],Allocation[[#This Row],[Delivery ID]],Allocation[Quantity allocated])/SUMIF(Allocation[Delivery ID],Allocation[[#This Row],[Delivery ID]],Allocation[Volume available (kg)])</f>
        <v>0.96693648816936495</v>
      </c>
      <c r="U122" s="61">
        <f>Allocation[[#This Row],[Total volume used]]/VLOOKUP(Allocation[[#This Row],[Delivery ID]],Delivery[[Delivery ID]:[Quantity delivered]],3,FALSE)</f>
        <v>0.86035714285714282</v>
      </c>
      <c r="V122" s="34" t="e">
        <f>VLOOKUP(Allocation[[#This Row],[SAP Contract number]],Shipments[[SAP Contract number]:[Contracted container weight]],2,FALSE)</f>
        <v>#N/A</v>
      </c>
      <c r="W122" s="34" t="e">
        <f>VLOOKUP(Allocation[[#This Row],[SAP Contract number]],Shipments[[SAP Contract number]:[AAA Premium USD]],24,FALSE)</f>
        <v>#N/A</v>
      </c>
      <c r="X122" s="34" t="e">
        <f>VLOOKUP(Allocation[[#This Row],[SAP Contract number]],Shipments[[SAP Contract number]:[RA Premium USD]],25,FALSE)</f>
        <v>#N/A</v>
      </c>
      <c r="Y122" s="38">
        <f>Allocation[[#This Row],[Quantity Processed]]/Allocation[[#This Row],[Quantity allocated]]</f>
        <v>3.030188679245283</v>
      </c>
      <c r="Z122" s="34" t="b">
        <f>Allocation[[#This Row],[Quantity allocated]]&lt;=Allocation[[#This Row],[Quantity Processed]]</f>
        <v>1</v>
      </c>
    </row>
    <row r="123" spans="1:26">
      <c r="A123" s="247" t="s">
        <v>467</v>
      </c>
      <c r="B123" s="160" t="s">
        <v>68</v>
      </c>
      <c r="C123" s="249" t="s">
        <v>526</v>
      </c>
      <c r="D123" s="250">
        <v>9033</v>
      </c>
      <c r="E123" s="160" t="s">
        <v>1186</v>
      </c>
      <c r="F123" s="158">
        <v>43487</v>
      </c>
      <c r="G123" s="162">
        <v>2.93</v>
      </c>
      <c r="H123" s="250">
        <v>2981</v>
      </c>
      <c r="I123" s="160">
        <v>1425070</v>
      </c>
      <c r="J123" s="163">
        <v>21600</v>
      </c>
      <c r="K123" s="158">
        <v>43494</v>
      </c>
      <c r="L123" s="160" t="s">
        <v>1193</v>
      </c>
      <c r="M123" s="160">
        <v>4615513976</v>
      </c>
      <c r="N123" s="158">
        <v>43516</v>
      </c>
      <c r="O123" s="164">
        <v>3.7094</v>
      </c>
      <c r="P123" s="165">
        <v>19739</v>
      </c>
      <c r="Q123" s="34">
        <f>SUMIF(Allocation[Delivery ID],Allocation[[#This Row],[Delivery ID]],Allocation[Quantity Processed])</f>
        <v>9033</v>
      </c>
      <c r="R123" s="61">
        <f>Allocation[[#This Row],[Total volume used]]/VLOOKUP(Allocation[[#This Row],[Delivery ID]],Delivery[[Delivery ID]:[Quantity delivered]],3,FALSE)</f>
        <v>0.64337606837606842</v>
      </c>
      <c r="S123" s="34">
        <f>Allocation[[#This Row],[Quantity Processed]]/Allocation[[#This Row],[Dilution rate]]</f>
        <v>3082.9351535836176</v>
      </c>
      <c r="T123" s="59">
        <f>SUMIF(Allocation[Delivery ID],Allocation[[#This Row],[Delivery ID]],Allocation[Quantity allocated])/SUMIF(Allocation[Delivery ID],Allocation[[#This Row],[Delivery ID]],Allocation[Volume available (kg)])</f>
        <v>0.96693568028340537</v>
      </c>
      <c r="U123" s="61">
        <f>Allocation[[#This Row],[Total volume used]]/VLOOKUP(Allocation[[#This Row],[Delivery ID]],Delivery[[Delivery ID]:[Quantity delivered]],3,FALSE)</f>
        <v>0.64337606837606842</v>
      </c>
      <c r="V123" s="34" t="e">
        <f>VLOOKUP(Allocation[[#This Row],[SAP Contract number]],Shipments[[SAP Contract number]:[Contracted container weight]],2,FALSE)</f>
        <v>#N/A</v>
      </c>
      <c r="W123" s="34" t="e">
        <f>VLOOKUP(Allocation[[#This Row],[SAP Contract number]],Shipments[[SAP Contract number]:[AAA Premium USD]],24,FALSE)</f>
        <v>#N/A</v>
      </c>
      <c r="X123" s="34" t="e">
        <f>VLOOKUP(Allocation[[#This Row],[SAP Contract number]],Shipments[[SAP Contract number]:[RA Premium USD]],25,FALSE)</f>
        <v>#N/A</v>
      </c>
      <c r="Y123" s="38">
        <f>Allocation[[#This Row],[Quantity Processed]]/Allocation[[#This Row],[Quantity allocated]]</f>
        <v>3.0301912110030189</v>
      </c>
      <c r="Z123" s="34" t="b">
        <f>Allocation[[#This Row],[Quantity allocated]]&lt;=Allocation[[#This Row],[Quantity Processed]]</f>
        <v>1</v>
      </c>
    </row>
    <row r="124" spans="1:26">
      <c r="A124" s="247" t="s">
        <v>467</v>
      </c>
      <c r="B124" s="160" t="s">
        <v>68</v>
      </c>
      <c r="C124" s="249" t="s">
        <v>527</v>
      </c>
      <c r="D124" s="250">
        <v>2511</v>
      </c>
      <c r="E124" s="160" t="s">
        <v>1186</v>
      </c>
      <c r="F124" s="158">
        <v>43487</v>
      </c>
      <c r="G124" s="162">
        <v>2.93</v>
      </c>
      <c r="H124" s="250">
        <v>1431</v>
      </c>
      <c r="I124" s="160">
        <v>1425070</v>
      </c>
      <c r="J124" s="163">
        <v>21600</v>
      </c>
      <c r="K124" s="158">
        <v>43494</v>
      </c>
      <c r="L124" s="160" t="s">
        <v>1193</v>
      </c>
      <c r="M124" s="160">
        <v>4615513976</v>
      </c>
      <c r="N124" s="158">
        <v>43516</v>
      </c>
      <c r="O124" s="164">
        <v>3.7094</v>
      </c>
      <c r="P124" s="165">
        <v>19739</v>
      </c>
      <c r="Q124" s="34">
        <f>SUMIF(Allocation[Delivery ID],Allocation[[#This Row],[Delivery ID]],Allocation[Quantity Processed])</f>
        <v>2511</v>
      </c>
      <c r="R124" s="61">
        <f>Allocation[[#This Row],[Total volume used]]/VLOOKUP(Allocation[[#This Row],[Delivery ID]],Delivery[[Delivery ID]:[Quantity delivered]],3,FALSE)</f>
        <v>0.19022727272727272</v>
      </c>
      <c r="S124" s="34">
        <f>Allocation[[#This Row],[Quantity Processed]]/Allocation[[#This Row],[Dilution rate]]</f>
        <v>856.99658703071668</v>
      </c>
      <c r="T124" s="59">
        <f>SUMIF(Allocation[Delivery ID],Allocation[[#This Row],[Delivery ID]],Allocation[Quantity allocated])/SUMIF(Allocation[Delivery ID],Allocation[[#This Row],[Delivery ID]],Allocation[Volume available (kg)])</f>
        <v>1.6697849462365593</v>
      </c>
      <c r="U124" s="61">
        <f>Allocation[[#This Row],[Total volume used]]/VLOOKUP(Allocation[[#This Row],[Delivery ID]],Delivery[[Delivery ID]:[Quantity delivered]],3,FALSE)</f>
        <v>0.19022727272727272</v>
      </c>
      <c r="V124" s="34" t="e">
        <f>VLOOKUP(Allocation[[#This Row],[SAP Contract number]],Shipments[[SAP Contract number]:[Contracted container weight]],2,FALSE)</f>
        <v>#N/A</v>
      </c>
      <c r="W124" s="34" t="e">
        <f>VLOOKUP(Allocation[[#This Row],[SAP Contract number]],Shipments[[SAP Contract number]:[AAA Premium USD]],24,FALSE)</f>
        <v>#N/A</v>
      </c>
      <c r="X124" s="34" t="e">
        <f>VLOOKUP(Allocation[[#This Row],[SAP Contract number]],Shipments[[SAP Contract number]:[RA Premium USD]],25,FALSE)</f>
        <v>#N/A</v>
      </c>
      <c r="Y124" s="38">
        <f>Allocation[[#This Row],[Quantity Processed]]/Allocation[[#This Row],[Quantity allocated]]</f>
        <v>1.7547169811320755</v>
      </c>
      <c r="Z124" s="34" t="b">
        <f>Allocation[[#This Row],[Quantity allocated]]&lt;=Allocation[[#This Row],[Quantity Processed]]</f>
        <v>1</v>
      </c>
    </row>
    <row r="125" spans="1:26">
      <c r="A125" s="247" t="s">
        <v>467</v>
      </c>
      <c r="B125" s="160" t="s">
        <v>68</v>
      </c>
      <c r="C125" s="249" t="s">
        <v>528</v>
      </c>
      <c r="D125" s="250">
        <v>5421</v>
      </c>
      <c r="E125" s="160" t="s">
        <v>1186</v>
      </c>
      <c r="F125" s="158">
        <v>43487</v>
      </c>
      <c r="G125" s="162">
        <v>2.93</v>
      </c>
      <c r="H125" s="250">
        <v>1789</v>
      </c>
      <c r="I125" s="160">
        <v>1425070</v>
      </c>
      <c r="J125" s="163">
        <v>21600</v>
      </c>
      <c r="K125" s="158">
        <v>43494</v>
      </c>
      <c r="L125" s="160" t="s">
        <v>1193</v>
      </c>
      <c r="M125" s="160">
        <v>4615513976</v>
      </c>
      <c r="N125" s="158">
        <v>43516</v>
      </c>
      <c r="O125" s="164">
        <v>3.7094</v>
      </c>
      <c r="P125" s="165">
        <v>19739</v>
      </c>
      <c r="Q125" s="34">
        <f>SUMIF(Allocation[Delivery ID],Allocation[[#This Row],[Delivery ID]],Allocation[Quantity Processed])</f>
        <v>5421</v>
      </c>
      <c r="R125" s="61">
        <f>Allocation[[#This Row],[Total volume used]]/VLOOKUP(Allocation[[#This Row],[Delivery ID]],Delivery[[Delivery ID]:[Quantity delivered]],3,FALSE)</f>
        <v>0.29429967426710096</v>
      </c>
      <c r="S125" s="34">
        <f>Allocation[[#This Row],[Quantity Processed]]/Allocation[[#This Row],[Dilution rate]]</f>
        <v>1850.1706484641638</v>
      </c>
      <c r="T125" s="59">
        <f>SUMIF(Allocation[Delivery ID],Allocation[[#This Row],[Delivery ID]],Allocation[Quantity allocated])/SUMIF(Allocation[Delivery ID],Allocation[[#This Row],[Delivery ID]],Allocation[Volume available (kg)])</f>
        <v>0.96693783434790626</v>
      </c>
      <c r="U125" s="61">
        <f>Allocation[[#This Row],[Total volume used]]/VLOOKUP(Allocation[[#This Row],[Delivery ID]],Delivery[[Delivery ID]:[Quantity delivered]],3,FALSE)</f>
        <v>0.29429967426710096</v>
      </c>
      <c r="V125" s="34" t="e">
        <f>VLOOKUP(Allocation[[#This Row],[SAP Contract number]],Shipments[[SAP Contract number]:[Contracted container weight]],2,FALSE)</f>
        <v>#N/A</v>
      </c>
      <c r="W125" s="34" t="e">
        <f>VLOOKUP(Allocation[[#This Row],[SAP Contract number]],Shipments[[SAP Contract number]:[AAA Premium USD]],24,FALSE)</f>
        <v>#N/A</v>
      </c>
      <c r="X125" s="34" t="e">
        <f>VLOOKUP(Allocation[[#This Row],[SAP Contract number]],Shipments[[SAP Contract number]:[RA Premium USD]],25,FALSE)</f>
        <v>#N/A</v>
      </c>
      <c r="Y125" s="38">
        <f>Allocation[[#This Row],[Quantity Processed]]/Allocation[[#This Row],[Quantity allocated]]</f>
        <v>3.0301844605925097</v>
      </c>
      <c r="Z125" s="34" t="b">
        <f>Allocation[[#This Row],[Quantity allocated]]&lt;=Allocation[[#This Row],[Quantity Processed]]</f>
        <v>1</v>
      </c>
    </row>
    <row r="126" spans="1:26">
      <c r="A126" s="247" t="s">
        <v>467</v>
      </c>
      <c r="B126" s="160" t="s">
        <v>68</v>
      </c>
      <c r="C126" s="249" t="s">
        <v>530</v>
      </c>
      <c r="D126" s="250">
        <v>5100</v>
      </c>
      <c r="E126" s="160" t="s">
        <v>1186</v>
      </c>
      <c r="F126" s="158">
        <v>43487</v>
      </c>
      <c r="G126" s="162">
        <v>2.93</v>
      </c>
      <c r="H126" s="250">
        <v>1789</v>
      </c>
      <c r="I126" s="160">
        <v>1425070</v>
      </c>
      <c r="J126" s="163">
        <v>21600</v>
      </c>
      <c r="K126" s="158">
        <v>43494</v>
      </c>
      <c r="L126" s="160" t="s">
        <v>1193</v>
      </c>
      <c r="M126" s="160">
        <v>4615513976</v>
      </c>
      <c r="N126" s="158">
        <v>43516</v>
      </c>
      <c r="O126" s="164">
        <v>3.7094</v>
      </c>
      <c r="P126" s="165">
        <v>19739</v>
      </c>
      <c r="Q126" s="34">
        <f>SUMIF(Allocation[Delivery ID],Allocation[[#This Row],[Delivery ID]],Allocation[Quantity Processed])</f>
        <v>5100</v>
      </c>
      <c r="R126" s="61">
        <f>Allocation[[#This Row],[Total volume used]]/VLOOKUP(Allocation[[#This Row],[Delivery ID]],Delivery[[Delivery ID]:[Quantity delivered]],3,FALSE)</f>
        <v>1</v>
      </c>
      <c r="S126" s="34">
        <f>Allocation[[#This Row],[Quantity Processed]]/Allocation[[#This Row],[Dilution rate]]</f>
        <v>1740.6143344709897</v>
      </c>
      <c r="T126" s="59">
        <f>SUMIF(Allocation[Delivery ID],Allocation[[#This Row],[Delivery ID]],Allocation[Quantity allocated])/SUMIF(Allocation[Delivery ID],Allocation[[#This Row],[Delivery ID]],Allocation[Volume available (kg)])</f>
        <v>1.0277980392156862</v>
      </c>
      <c r="U126" s="61">
        <f>Allocation[[#This Row],[Total volume used]]/VLOOKUP(Allocation[[#This Row],[Delivery ID]],Delivery[[Delivery ID]:[Quantity delivered]],3,FALSE)</f>
        <v>1</v>
      </c>
      <c r="V126" s="34" t="e">
        <f>VLOOKUP(Allocation[[#This Row],[SAP Contract number]],Shipments[[SAP Contract number]:[Contracted container weight]],2,FALSE)</f>
        <v>#N/A</v>
      </c>
      <c r="W126" s="34" t="e">
        <f>VLOOKUP(Allocation[[#This Row],[SAP Contract number]],Shipments[[SAP Contract number]:[AAA Premium USD]],24,FALSE)</f>
        <v>#N/A</v>
      </c>
      <c r="X126" s="34" t="e">
        <f>VLOOKUP(Allocation[[#This Row],[SAP Contract number]],Shipments[[SAP Contract number]:[RA Premium USD]],25,FALSE)</f>
        <v>#N/A</v>
      </c>
      <c r="Y126" s="38">
        <f>Allocation[[#This Row],[Quantity Processed]]/Allocation[[#This Row],[Quantity allocated]]</f>
        <v>2.8507546115148128</v>
      </c>
      <c r="Z126" s="34" t="b">
        <f>Allocation[[#This Row],[Quantity allocated]]&lt;=Allocation[[#This Row],[Quantity Processed]]</f>
        <v>1</v>
      </c>
    </row>
    <row r="127" spans="1:26">
      <c r="A127" s="247" t="s">
        <v>467</v>
      </c>
      <c r="B127" s="160" t="s">
        <v>68</v>
      </c>
      <c r="C127" s="249" t="s">
        <v>531</v>
      </c>
      <c r="D127" s="250">
        <v>9394</v>
      </c>
      <c r="E127" s="160" t="s">
        <v>1186</v>
      </c>
      <c r="F127" s="158">
        <v>43487</v>
      </c>
      <c r="G127" s="162">
        <v>2.93</v>
      </c>
      <c r="H127" s="250">
        <v>3100</v>
      </c>
      <c r="I127" s="160">
        <v>1425070</v>
      </c>
      <c r="J127" s="163">
        <v>21600</v>
      </c>
      <c r="K127" s="158">
        <v>43494</v>
      </c>
      <c r="L127" s="160" t="s">
        <v>1193</v>
      </c>
      <c r="M127" s="160">
        <v>4615513976</v>
      </c>
      <c r="N127" s="158">
        <v>43516</v>
      </c>
      <c r="O127" s="164">
        <v>3.7094</v>
      </c>
      <c r="P127" s="165">
        <v>19739</v>
      </c>
      <c r="Q127" s="34">
        <f>SUMIF(Allocation[Delivery ID],Allocation[[#This Row],[Delivery ID]],Allocation[Quantity Processed])</f>
        <v>9394</v>
      </c>
      <c r="R127" s="61">
        <f>Allocation[[#This Row],[Total volume used]]/VLOOKUP(Allocation[[#This Row],[Delivery ID]],Delivery[[Delivery ID]:[Quantity delivered]],3,FALSE)</f>
        <v>0.47588652482269506</v>
      </c>
      <c r="S127" s="34">
        <f>Allocation[[#This Row],[Quantity Processed]]/Allocation[[#This Row],[Dilution rate]]</f>
        <v>3206.1433447098975</v>
      </c>
      <c r="T127" s="59">
        <f>SUMIF(Allocation[Delivery ID],Allocation[[#This Row],[Delivery ID]],Allocation[Quantity allocated])/SUMIF(Allocation[Delivery ID],Allocation[[#This Row],[Delivery ID]],Allocation[Volume available (kg)])</f>
        <v>0.96689376197572918</v>
      </c>
      <c r="U127" s="61">
        <f>Allocation[[#This Row],[Total volume used]]/VLOOKUP(Allocation[[#This Row],[Delivery ID]],Delivery[[Delivery ID]:[Quantity delivered]],3,FALSE)</f>
        <v>0.47588652482269506</v>
      </c>
      <c r="V127" s="34" t="e">
        <f>VLOOKUP(Allocation[[#This Row],[SAP Contract number]],Shipments[[SAP Contract number]:[Contracted container weight]],2,FALSE)</f>
        <v>#N/A</v>
      </c>
      <c r="W127" s="34" t="e">
        <f>VLOOKUP(Allocation[[#This Row],[SAP Contract number]],Shipments[[SAP Contract number]:[AAA Premium USD]],24,FALSE)</f>
        <v>#N/A</v>
      </c>
      <c r="X127" s="34" t="e">
        <f>VLOOKUP(Allocation[[#This Row],[SAP Contract number]],Shipments[[SAP Contract number]:[RA Premium USD]],25,FALSE)</f>
        <v>#N/A</v>
      </c>
      <c r="Y127" s="38">
        <f>Allocation[[#This Row],[Quantity Processed]]/Allocation[[#This Row],[Quantity allocated]]</f>
        <v>3.0303225806451612</v>
      </c>
      <c r="Z127" s="34" t="b">
        <f>Allocation[[#This Row],[Quantity allocated]]&lt;=Allocation[[#This Row],[Quantity Processed]]</f>
        <v>1</v>
      </c>
    </row>
    <row r="128" spans="1:26">
      <c r="A128" s="247" t="s">
        <v>467</v>
      </c>
      <c r="B128" s="160" t="s">
        <v>68</v>
      </c>
      <c r="C128" s="249" t="s">
        <v>532</v>
      </c>
      <c r="D128" s="250">
        <v>3524</v>
      </c>
      <c r="E128" s="160" t="s">
        <v>1186</v>
      </c>
      <c r="F128" s="158">
        <v>43487</v>
      </c>
      <c r="G128" s="162">
        <v>2.93</v>
      </c>
      <c r="H128" s="250">
        <v>1163</v>
      </c>
      <c r="I128" s="160">
        <v>1425070</v>
      </c>
      <c r="J128" s="163">
        <v>21600</v>
      </c>
      <c r="K128" s="158">
        <v>43494</v>
      </c>
      <c r="L128" s="160" t="s">
        <v>1193</v>
      </c>
      <c r="M128" s="160">
        <v>4615513976</v>
      </c>
      <c r="N128" s="158">
        <v>43516</v>
      </c>
      <c r="O128" s="164">
        <v>3.7094</v>
      </c>
      <c r="P128" s="165">
        <v>19739</v>
      </c>
      <c r="Q128" s="34">
        <f>SUMIF(Allocation[Delivery ID],Allocation[[#This Row],[Delivery ID]],Allocation[Quantity Processed])</f>
        <v>7227</v>
      </c>
      <c r="R128" s="61">
        <f>Allocation[[#This Row],[Total volume used]]/VLOOKUP(Allocation[[#This Row],[Delivery ID]],Delivery[[Delivery ID]:[Quantity delivered]],3,FALSE)</f>
        <v>0.84823943661971835</v>
      </c>
      <c r="S128" s="34">
        <f>Allocation[[#This Row],[Quantity Processed]]/Allocation[[#This Row],[Dilution rate]]</f>
        <v>1202.7303754266211</v>
      </c>
      <c r="T128" s="59">
        <f>SUMIF(Allocation[Delivery ID],Allocation[[#This Row],[Delivery ID]],Allocation[Quantity allocated])/SUMIF(Allocation[Delivery ID],Allocation[[#This Row],[Delivery ID]],Allocation[Volume available (kg)])</f>
        <v>0.96693648816936495</v>
      </c>
      <c r="U128" s="61">
        <f>Allocation[[#This Row],[Total volume used]]/VLOOKUP(Allocation[[#This Row],[Delivery ID]],Delivery[[Delivery ID]:[Quantity delivered]],3,FALSE)</f>
        <v>0.84823943661971835</v>
      </c>
      <c r="V128" s="34" t="e">
        <f>VLOOKUP(Allocation[[#This Row],[SAP Contract number]],Shipments[[SAP Contract number]:[Contracted container weight]],2,FALSE)</f>
        <v>#N/A</v>
      </c>
      <c r="W128" s="34" t="e">
        <f>VLOOKUP(Allocation[[#This Row],[SAP Contract number]],Shipments[[SAP Contract number]:[AAA Premium USD]],24,FALSE)</f>
        <v>#N/A</v>
      </c>
      <c r="X128" s="34" t="e">
        <f>VLOOKUP(Allocation[[#This Row],[SAP Contract number]],Shipments[[SAP Contract number]:[RA Premium USD]],25,FALSE)</f>
        <v>#N/A</v>
      </c>
      <c r="Y128" s="38">
        <f>Allocation[[#This Row],[Quantity Processed]]/Allocation[[#This Row],[Quantity allocated]]</f>
        <v>3.0300945829750643</v>
      </c>
      <c r="Z128" s="34" t="b">
        <f>Allocation[[#This Row],[Quantity allocated]]&lt;=Allocation[[#This Row],[Quantity Processed]]</f>
        <v>1</v>
      </c>
    </row>
    <row r="129" spans="1:26">
      <c r="A129" s="247" t="s">
        <v>467</v>
      </c>
      <c r="B129" s="160" t="s">
        <v>68</v>
      </c>
      <c r="C129" s="249" t="s">
        <v>532</v>
      </c>
      <c r="D129" s="250">
        <v>3703</v>
      </c>
      <c r="E129" s="160" t="s">
        <v>1186</v>
      </c>
      <c r="F129" s="158">
        <v>43487</v>
      </c>
      <c r="G129" s="162">
        <v>2.93</v>
      </c>
      <c r="H129" s="250">
        <v>1222</v>
      </c>
      <c r="I129" s="160">
        <v>1425071</v>
      </c>
      <c r="J129" s="163">
        <v>21600</v>
      </c>
      <c r="K129" s="158">
        <v>43494</v>
      </c>
      <c r="L129" s="160" t="s">
        <v>1194</v>
      </c>
      <c r="M129" s="160">
        <v>4615513976</v>
      </c>
      <c r="N129" s="158">
        <v>43516</v>
      </c>
      <c r="O129" s="164">
        <v>3.7094</v>
      </c>
      <c r="P129" s="165">
        <v>19739</v>
      </c>
      <c r="Q129" s="34">
        <f>SUMIF(Allocation[Delivery ID],Allocation[[#This Row],[Delivery ID]],Allocation[Quantity Processed])</f>
        <v>7227</v>
      </c>
      <c r="R129" s="61">
        <f>Allocation[[#This Row],[Total volume used]]/VLOOKUP(Allocation[[#This Row],[Delivery ID]],Delivery[[Delivery ID]:[Quantity delivered]],3,FALSE)</f>
        <v>0.84823943661971835</v>
      </c>
      <c r="S129" s="34">
        <f>Allocation[[#This Row],[Quantity Processed]]/Allocation[[#This Row],[Dilution rate]]</f>
        <v>1263.8225255972695</v>
      </c>
      <c r="T129" s="59">
        <f>SUMIF(Allocation[Delivery ID],Allocation[[#This Row],[Delivery ID]],Allocation[Quantity allocated])/SUMIF(Allocation[Delivery ID],Allocation[[#This Row],[Delivery ID]],Allocation[Volume available (kg)])</f>
        <v>0.96693648816936495</v>
      </c>
      <c r="U129" s="61">
        <f>Allocation[[#This Row],[Total volume used]]/VLOOKUP(Allocation[[#This Row],[Delivery ID]],Delivery[[Delivery ID]:[Quantity delivered]],3,FALSE)</f>
        <v>0.84823943661971835</v>
      </c>
      <c r="V129" s="34" t="e">
        <f>VLOOKUP(Allocation[[#This Row],[SAP Contract number]],Shipments[[SAP Contract number]:[Contracted container weight]],2,FALSE)</f>
        <v>#N/A</v>
      </c>
      <c r="W129" s="34" t="e">
        <f>VLOOKUP(Allocation[[#This Row],[SAP Contract number]],Shipments[[SAP Contract number]:[AAA Premium USD]],24,FALSE)</f>
        <v>#N/A</v>
      </c>
      <c r="X129" s="34" t="e">
        <f>VLOOKUP(Allocation[[#This Row],[SAP Contract number]],Shipments[[SAP Contract number]:[RA Premium USD]],25,FALSE)</f>
        <v>#N/A</v>
      </c>
      <c r="Y129" s="38">
        <f>Allocation[[#This Row],[Quantity Processed]]/Allocation[[#This Row],[Quantity allocated]]</f>
        <v>3.0302782324058919</v>
      </c>
      <c r="Z129" s="34" t="b">
        <f>Allocation[[#This Row],[Quantity allocated]]&lt;=Allocation[[#This Row],[Quantity Processed]]</f>
        <v>1</v>
      </c>
    </row>
    <row r="130" spans="1:26">
      <c r="A130" s="247" t="s">
        <v>467</v>
      </c>
      <c r="B130" s="160" t="s">
        <v>68</v>
      </c>
      <c r="C130" s="249" t="s">
        <v>533</v>
      </c>
      <c r="D130" s="250">
        <v>5421</v>
      </c>
      <c r="E130" s="160" t="s">
        <v>1186</v>
      </c>
      <c r="F130" s="158">
        <v>43487</v>
      </c>
      <c r="G130" s="162">
        <v>2.93</v>
      </c>
      <c r="H130" s="250">
        <v>1789</v>
      </c>
      <c r="I130" s="160">
        <v>1425071</v>
      </c>
      <c r="J130" s="163">
        <v>21600</v>
      </c>
      <c r="K130" s="158">
        <v>43494</v>
      </c>
      <c r="L130" s="160" t="s">
        <v>1194</v>
      </c>
      <c r="M130" s="160">
        <v>4615513976</v>
      </c>
      <c r="N130" s="158">
        <v>43516</v>
      </c>
      <c r="O130" s="164">
        <v>3.7094</v>
      </c>
      <c r="P130" s="165">
        <v>19739</v>
      </c>
      <c r="Q130" s="34">
        <f>SUMIF(Allocation[Delivery ID],Allocation[[#This Row],[Delivery ID]],Allocation[Quantity Processed])</f>
        <v>5421</v>
      </c>
      <c r="R130" s="61">
        <f>Allocation[[#This Row],[Total volume used]]/VLOOKUP(Allocation[[#This Row],[Delivery ID]],Delivery[[Delivery ID]:[Quantity delivered]],3,FALSE)</f>
        <v>0.59440789473684208</v>
      </c>
      <c r="S130" s="34">
        <f>Allocation[[#This Row],[Quantity Processed]]/Allocation[[#This Row],[Dilution rate]]</f>
        <v>1850.1706484641638</v>
      </c>
      <c r="T130" s="59">
        <f>SUMIF(Allocation[Delivery ID],Allocation[[#This Row],[Delivery ID]],Allocation[Quantity allocated])/SUMIF(Allocation[Delivery ID],Allocation[[#This Row],[Delivery ID]],Allocation[Volume available (kg)])</f>
        <v>0.96693783434790626</v>
      </c>
      <c r="U130" s="61">
        <f>Allocation[[#This Row],[Total volume used]]/VLOOKUP(Allocation[[#This Row],[Delivery ID]],Delivery[[Delivery ID]:[Quantity delivered]],3,FALSE)</f>
        <v>0.59440789473684208</v>
      </c>
      <c r="V130" s="34" t="e">
        <f>VLOOKUP(Allocation[[#This Row],[SAP Contract number]],Shipments[[SAP Contract number]:[Contracted container weight]],2,FALSE)</f>
        <v>#N/A</v>
      </c>
      <c r="W130" s="34" t="e">
        <f>VLOOKUP(Allocation[[#This Row],[SAP Contract number]],Shipments[[SAP Contract number]:[AAA Premium USD]],24,FALSE)</f>
        <v>#N/A</v>
      </c>
      <c r="X130" s="34" t="e">
        <f>VLOOKUP(Allocation[[#This Row],[SAP Contract number]],Shipments[[SAP Contract number]:[RA Premium USD]],25,FALSE)</f>
        <v>#N/A</v>
      </c>
      <c r="Y130" s="38">
        <f>Allocation[[#This Row],[Quantity Processed]]/Allocation[[#This Row],[Quantity allocated]]</f>
        <v>3.0301844605925097</v>
      </c>
      <c r="Z130" s="34" t="b">
        <f>Allocation[[#This Row],[Quantity allocated]]&lt;=Allocation[[#This Row],[Quantity Processed]]</f>
        <v>1</v>
      </c>
    </row>
    <row r="131" spans="1:26">
      <c r="A131" s="247" t="s">
        <v>467</v>
      </c>
      <c r="B131" s="160" t="s">
        <v>68</v>
      </c>
      <c r="C131" s="249" t="s">
        <v>534</v>
      </c>
      <c r="D131" s="250">
        <v>9033</v>
      </c>
      <c r="E131" s="160" t="s">
        <v>1186</v>
      </c>
      <c r="F131" s="158">
        <v>43487</v>
      </c>
      <c r="G131" s="162">
        <v>2.93</v>
      </c>
      <c r="H131" s="250">
        <v>2981</v>
      </c>
      <c r="I131" s="160">
        <v>1425071</v>
      </c>
      <c r="J131" s="163">
        <v>21600</v>
      </c>
      <c r="K131" s="158">
        <v>43494</v>
      </c>
      <c r="L131" s="160" t="s">
        <v>1194</v>
      </c>
      <c r="M131" s="160">
        <v>4615513976</v>
      </c>
      <c r="N131" s="158">
        <v>43516</v>
      </c>
      <c r="O131" s="164">
        <v>3.7094</v>
      </c>
      <c r="P131" s="165">
        <v>19739</v>
      </c>
      <c r="Q131" s="34">
        <f>SUMIF(Allocation[Delivery ID],Allocation[[#This Row],[Delivery ID]],Allocation[Quantity Processed])</f>
        <v>9033</v>
      </c>
      <c r="R131" s="61">
        <f>Allocation[[#This Row],[Total volume used]]/VLOOKUP(Allocation[[#This Row],[Delivery ID]],Delivery[[Delivery ID]:[Quantity delivered]],3,FALSE)</f>
        <v>0.97129032258064518</v>
      </c>
      <c r="S131" s="34">
        <f>Allocation[[#This Row],[Quantity Processed]]/Allocation[[#This Row],[Dilution rate]]</f>
        <v>3082.9351535836176</v>
      </c>
      <c r="T131" s="59">
        <f>SUMIF(Allocation[Delivery ID],Allocation[[#This Row],[Delivery ID]],Allocation[Quantity allocated])/SUMIF(Allocation[Delivery ID],Allocation[[#This Row],[Delivery ID]],Allocation[Volume available (kg)])</f>
        <v>0.96693568028340537</v>
      </c>
      <c r="U131" s="61">
        <f>Allocation[[#This Row],[Total volume used]]/VLOOKUP(Allocation[[#This Row],[Delivery ID]],Delivery[[Delivery ID]:[Quantity delivered]],3,FALSE)</f>
        <v>0.97129032258064518</v>
      </c>
      <c r="V131" s="34" t="e">
        <f>VLOOKUP(Allocation[[#This Row],[SAP Contract number]],Shipments[[SAP Contract number]:[Contracted container weight]],2,FALSE)</f>
        <v>#N/A</v>
      </c>
      <c r="W131" s="34" t="e">
        <f>VLOOKUP(Allocation[[#This Row],[SAP Contract number]],Shipments[[SAP Contract number]:[AAA Premium USD]],24,FALSE)</f>
        <v>#N/A</v>
      </c>
      <c r="X131" s="34" t="e">
        <f>VLOOKUP(Allocation[[#This Row],[SAP Contract number]],Shipments[[SAP Contract number]:[RA Premium USD]],25,FALSE)</f>
        <v>#N/A</v>
      </c>
      <c r="Y131" s="38">
        <f>Allocation[[#This Row],[Quantity Processed]]/Allocation[[#This Row],[Quantity allocated]]</f>
        <v>3.0301912110030189</v>
      </c>
      <c r="Z131" s="34" t="b">
        <f>Allocation[[#This Row],[Quantity allocated]]&lt;=Allocation[[#This Row],[Quantity Processed]]</f>
        <v>1</v>
      </c>
    </row>
    <row r="132" spans="1:26">
      <c r="A132" s="247" t="s">
        <v>467</v>
      </c>
      <c r="B132" s="160" t="s">
        <v>68</v>
      </c>
      <c r="C132" s="249" t="s">
        <v>535</v>
      </c>
      <c r="D132" s="250">
        <v>7227</v>
      </c>
      <c r="E132" s="160" t="s">
        <v>1186</v>
      </c>
      <c r="F132" s="158">
        <v>43487</v>
      </c>
      <c r="G132" s="162">
        <v>2.93</v>
      </c>
      <c r="H132" s="250">
        <v>2385</v>
      </c>
      <c r="I132" s="160">
        <v>1425071</v>
      </c>
      <c r="J132" s="163">
        <v>21600</v>
      </c>
      <c r="K132" s="158">
        <v>43494</v>
      </c>
      <c r="L132" s="160" t="s">
        <v>1194</v>
      </c>
      <c r="M132" s="160">
        <v>4615513976</v>
      </c>
      <c r="N132" s="158">
        <v>43516</v>
      </c>
      <c r="O132" s="164">
        <v>3.7094</v>
      </c>
      <c r="P132" s="165">
        <v>19739</v>
      </c>
      <c r="Q132" s="34">
        <f>SUMIF(Allocation[Delivery ID],Allocation[[#This Row],[Delivery ID]],Allocation[Quantity Processed])</f>
        <v>7227</v>
      </c>
      <c r="R132" s="61">
        <f>Allocation[[#This Row],[Total volume used]]/VLOOKUP(Allocation[[#This Row],[Delivery ID]],Delivery[[Delivery ID]:[Quantity delivered]],3,FALSE)</f>
        <v>0.34218749999999998</v>
      </c>
      <c r="S132" s="34">
        <f>Allocation[[#This Row],[Quantity Processed]]/Allocation[[#This Row],[Dilution rate]]</f>
        <v>2466.5529010238906</v>
      </c>
      <c r="T132" s="59">
        <f>SUMIF(Allocation[Delivery ID],Allocation[[#This Row],[Delivery ID]],Allocation[Quantity allocated])/SUMIF(Allocation[Delivery ID],Allocation[[#This Row],[Delivery ID]],Allocation[Volume available (kg)])</f>
        <v>0.96693648816936495</v>
      </c>
      <c r="U132" s="61">
        <f>Allocation[[#This Row],[Total volume used]]/VLOOKUP(Allocation[[#This Row],[Delivery ID]],Delivery[[Delivery ID]:[Quantity delivered]],3,FALSE)</f>
        <v>0.34218749999999998</v>
      </c>
      <c r="V132" s="34" t="e">
        <f>VLOOKUP(Allocation[[#This Row],[SAP Contract number]],Shipments[[SAP Contract number]:[Contracted container weight]],2,FALSE)</f>
        <v>#N/A</v>
      </c>
      <c r="W132" s="34" t="e">
        <f>VLOOKUP(Allocation[[#This Row],[SAP Contract number]],Shipments[[SAP Contract number]:[AAA Premium USD]],24,FALSE)</f>
        <v>#N/A</v>
      </c>
      <c r="X132" s="34" t="e">
        <f>VLOOKUP(Allocation[[#This Row],[SAP Contract number]],Shipments[[SAP Contract number]:[RA Premium USD]],25,FALSE)</f>
        <v>#N/A</v>
      </c>
      <c r="Y132" s="38">
        <f>Allocation[[#This Row],[Quantity Processed]]/Allocation[[#This Row],[Quantity allocated]]</f>
        <v>3.030188679245283</v>
      </c>
      <c r="Z132" s="34" t="b">
        <f>Allocation[[#This Row],[Quantity allocated]]&lt;=Allocation[[#This Row],[Quantity Processed]]</f>
        <v>1</v>
      </c>
    </row>
    <row r="133" spans="1:26">
      <c r="A133" s="247" t="s">
        <v>467</v>
      </c>
      <c r="B133" s="160" t="s">
        <v>68</v>
      </c>
      <c r="C133" s="249" t="s">
        <v>536</v>
      </c>
      <c r="D133" s="250">
        <v>542</v>
      </c>
      <c r="E133" s="160" t="s">
        <v>1186</v>
      </c>
      <c r="F133" s="158">
        <v>43487</v>
      </c>
      <c r="G133" s="162">
        <v>2.93</v>
      </c>
      <c r="H133" s="250">
        <v>179</v>
      </c>
      <c r="I133" s="160">
        <v>1425071</v>
      </c>
      <c r="J133" s="163">
        <v>21600</v>
      </c>
      <c r="K133" s="158">
        <v>43494</v>
      </c>
      <c r="L133" s="160" t="s">
        <v>1194</v>
      </c>
      <c r="M133" s="160">
        <v>4615513976</v>
      </c>
      <c r="N133" s="158">
        <v>43516</v>
      </c>
      <c r="O133" s="164">
        <v>3.7094</v>
      </c>
      <c r="P133" s="165">
        <v>19739</v>
      </c>
      <c r="Q133" s="34">
        <f>SUMIF(Allocation[Delivery ID],Allocation[[#This Row],[Delivery ID]],Allocation[Quantity Processed])</f>
        <v>542</v>
      </c>
      <c r="R133" s="61">
        <f>Allocation[[#This Row],[Total volume used]]/VLOOKUP(Allocation[[#This Row],[Delivery ID]],Delivery[[Delivery ID]:[Quantity delivered]],3,FALSE)</f>
        <v>0.12044444444444445</v>
      </c>
      <c r="S133" s="34">
        <f>Allocation[[#This Row],[Quantity Processed]]/Allocation[[#This Row],[Dilution rate]]</f>
        <v>184.98293515358361</v>
      </c>
      <c r="T133" s="59">
        <f>SUMIF(Allocation[Delivery ID],Allocation[[#This Row],[Delivery ID]],Allocation[Quantity allocated])/SUMIF(Allocation[Delivery ID],Allocation[[#This Row],[Delivery ID]],Allocation[Volume available (kg)])</f>
        <v>0.96765682656826568</v>
      </c>
      <c r="U133" s="61">
        <f>Allocation[[#This Row],[Total volume used]]/VLOOKUP(Allocation[[#This Row],[Delivery ID]],Delivery[[Delivery ID]:[Quantity delivered]],3,FALSE)</f>
        <v>0.12044444444444445</v>
      </c>
      <c r="V133" s="34" t="e">
        <f>VLOOKUP(Allocation[[#This Row],[SAP Contract number]],Shipments[[SAP Contract number]:[Contracted container weight]],2,FALSE)</f>
        <v>#N/A</v>
      </c>
      <c r="W133" s="34" t="e">
        <f>VLOOKUP(Allocation[[#This Row],[SAP Contract number]],Shipments[[SAP Contract number]:[AAA Premium USD]],24,FALSE)</f>
        <v>#N/A</v>
      </c>
      <c r="X133" s="34" t="e">
        <f>VLOOKUP(Allocation[[#This Row],[SAP Contract number]],Shipments[[SAP Contract number]:[RA Premium USD]],25,FALSE)</f>
        <v>#N/A</v>
      </c>
      <c r="Y133" s="38">
        <f>Allocation[[#This Row],[Quantity Processed]]/Allocation[[#This Row],[Quantity allocated]]</f>
        <v>3.0279329608938546</v>
      </c>
      <c r="Z133" s="34" t="b">
        <f>Allocation[[#This Row],[Quantity allocated]]&lt;=Allocation[[#This Row],[Quantity Processed]]</f>
        <v>1</v>
      </c>
    </row>
    <row r="134" spans="1:26">
      <c r="A134" s="247" t="s">
        <v>467</v>
      </c>
      <c r="B134" s="160" t="s">
        <v>68</v>
      </c>
      <c r="C134" s="249" t="s">
        <v>537</v>
      </c>
      <c r="D134" s="250">
        <v>815</v>
      </c>
      <c r="E134" s="160" t="s">
        <v>1186</v>
      </c>
      <c r="F134" s="158">
        <v>43487</v>
      </c>
      <c r="G134" s="162">
        <v>2.93</v>
      </c>
      <c r="H134" s="250">
        <v>269</v>
      </c>
      <c r="I134" s="160">
        <v>1425071</v>
      </c>
      <c r="J134" s="163">
        <v>21600</v>
      </c>
      <c r="K134" s="158">
        <v>43494</v>
      </c>
      <c r="L134" s="160" t="s">
        <v>1194</v>
      </c>
      <c r="M134" s="160">
        <v>4615513976</v>
      </c>
      <c r="N134" s="158">
        <v>43516</v>
      </c>
      <c r="O134" s="164">
        <v>3.7094</v>
      </c>
      <c r="P134" s="165">
        <v>19739</v>
      </c>
      <c r="Q134" s="34">
        <f>SUMIF(Allocation[Delivery ID],Allocation[[#This Row],[Delivery ID]],Allocation[Quantity Processed])</f>
        <v>815</v>
      </c>
      <c r="R134" s="61">
        <f>Allocation[[#This Row],[Total volume used]]/VLOOKUP(Allocation[[#This Row],[Delivery ID]],Delivery[[Delivery ID]:[Quantity delivered]],3,FALSE)</f>
        <v>4.7001153402537486E-2</v>
      </c>
      <c r="S134" s="34">
        <f>Allocation[[#This Row],[Quantity Processed]]/Allocation[[#This Row],[Dilution rate]]</f>
        <v>278.15699658703068</v>
      </c>
      <c r="T134" s="59">
        <f>SUMIF(Allocation[Delivery ID],Allocation[[#This Row],[Delivery ID]],Allocation[Quantity allocated])/SUMIF(Allocation[Delivery ID],Allocation[[#This Row],[Delivery ID]],Allocation[Volume available (kg)])</f>
        <v>0.96707975460122708</v>
      </c>
      <c r="U134" s="61">
        <f>Allocation[[#This Row],[Total volume used]]/VLOOKUP(Allocation[[#This Row],[Delivery ID]],Delivery[[Delivery ID]:[Quantity delivered]],3,FALSE)</f>
        <v>4.7001153402537486E-2</v>
      </c>
      <c r="V134" s="34" t="e">
        <f>VLOOKUP(Allocation[[#This Row],[SAP Contract number]],Shipments[[SAP Contract number]:[Contracted container weight]],2,FALSE)</f>
        <v>#N/A</v>
      </c>
      <c r="W134" s="34" t="e">
        <f>VLOOKUP(Allocation[[#This Row],[SAP Contract number]],Shipments[[SAP Contract number]:[AAA Premium USD]],24,FALSE)</f>
        <v>#N/A</v>
      </c>
      <c r="X134" s="34" t="e">
        <f>VLOOKUP(Allocation[[#This Row],[SAP Contract number]],Shipments[[SAP Contract number]:[RA Premium USD]],25,FALSE)</f>
        <v>#N/A</v>
      </c>
      <c r="Y134" s="38">
        <f>Allocation[[#This Row],[Quantity Processed]]/Allocation[[#This Row],[Quantity allocated]]</f>
        <v>3.029739776951673</v>
      </c>
      <c r="Z134" s="34" t="b">
        <f>Allocation[[#This Row],[Quantity allocated]]&lt;=Allocation[[#This Row],[Quantity Processed]]</f>
        <v>1</v>
      </c>
    </row>
    <row r="135" spans="1:26">
      <c r="A135" s="247" t="s">
        <v>467</v>
      </c>
      <c r="B135" s="160" t="s">
        <v>68</v>
      </c>
      <c r="C135" s="249" t="s">
        <v>538</v>
      </c>
      <c r="D135" s="250">
        <v>894</v>
      </c>
      <c r="E135" s="160" t="s">
        <v>1186</v>
      </c>
      <c r="F135" s="158">
        <v>43487</v>
      </c>
      <c r="G135" s="162">
        <v>2.93</v>
      </c>
      <c r="H135" s="250">
        <v>295</v>
      </c>
      <c r="I135" s="160">
        <v>1425071</v>
      </c>
      <c r="J135" s="163">
        <v>21600</v>
      </c>
      <c r="K135" s="158">
        <v>43494</v>
      </c>
      <c r="L135" s="160" t="s">
        <v>1194</v>
      </c>
      <c r="M135" s="160">
        <v>4615513976</v>
      </c>
      <c r="N135" s="158">
        <v>43516</v>
      </c>
      <c r="O135" s="164">
        <v>3.7094</v>
      </c>
      <c r="P135" s="165">
        <v>19739</v>
      </c>
      <c r="Q135" s="34">
        <f>SUMIF(Allocation[Delivery ID],Allocation[[#This Row],[Delivery ID]],Allocation[Quantity Processed])</f>
        <v>894</v>
      </c>
      <c r="R135" s="61">
        <f>Allocation[[#This Row],[Total volume used]]/VLOOKUP(Allocation[[#This Row],[Delivery ID]],Delivery[[Delivery ID]:[Quantity delivered]],3,FALSE)</f>
        <v>4.7151898734177217E-2</v>
      </c>
      <c r="S135" s="34">
        <f>Allocation[[#This Row],[Quantity Processed]]/Allocation[[#This Row],[Dilution rate]]</f>
        <v>305.11945392491464</v>
      </c>
      <c r="T135" s="59">
        <f>SUMIF(Allocation[Delivery ID],Allocation[[#This Row],[Delivery ID]],Allocation[Quantity allocated])/SUMIF(Allocation[Delivery ID],Allocation[[#This Row],[Delivery ID]],Allocation[Volume available (kg)])</f>
        <v>0.96683445190156614</v>
      </c>
      <c r="U135" s="61">
        <f>Allocation[[#This Row],[Total volume used]]/VLOOKUP(Allocation[[#This Row],[Delivery ID]],Delivery[[Delivery ID]:[Quantity delivered]],3,FALSE)</f>
        <v>4.7151898734177217E-2</v>
      </c>
      <c r="V135" s="34" t="e">
        <f>VLOOKUP(Allocation[[#This Row],[SAP Contract number]],Shipments[[SAP Contract number]:[Contracted container weight]],2,FALSE)</f>
        <v>#N/A</v>
      </c>
      <c r="W135" s="34" t="e">
        <f>VLOOKUP(Allocation[[#This Row],[SAP Contract number]],Shipments[[SAP Contract number]:[AAA Premium USD]],24,FALSE)</f>
        <v>#N/A</v>
      </c>
      <c r="X135" s="34" t="e">
        <f>VLOOKUP(Allocation[[#This Row],[SAP Contract number]],Shipments[[SAP Contract number]:[RA Premium USD]],25,FALSE)</f>
        <v>#N/A</v>
      </c>
      <c r="Y135" s="38">
        <f>Allocation[[#This Row],[Quantity Processed]]/Allocation[[#This Row],[Quantity allocated]]</f>
        <v>3.0305084745762714</v>
      </c>
      <c r="Z135" s="34" t="b">
        <f>Allocation[[#This Row],[Quantity allocated]]&lt;=Allocation[[#This Row],[Quantity Processed]]</f>
        <v>1</v>
      </c>
    </row>
    <row r="136" spans="1:26">
      <c r="A136" s="247" t="s">
        <v>467</v>
      </c>
      <c r="B136" s="160" t="s">
        <v>68</v>
      </c>
      <c r="C136" s="249" t="s">
        <v>539</v>
      </c>
      <c r="D136" s="250">
        <v>870</v>
      </c>
      <c r="E136" s="160" t="s">
        <v>1186</v>
      </c>
      <c r="F136" s="158">
        <v>43487</v>
      </c>
      <c r="G136" s="162">
        <v>2.93</v>
      </c>
      <c r="H136" s="250">
        <v>287</v>
      </c>
      <c r="I136" s="160">
        <v>1425071</v>
      </c>
      <c r="J136" s="163">
        <v>21600</v>
      </c>
      <c r="K136" s="158">
        <v>43494</v>
      </c>
      <c r="L136" s="160" t="s">
        <v>1194</v>
      </c>
      <c r="M136" s="160">
        <v>4615513976</v>
      </c>
      <c r="N136" s="158">
        <v>43516</v>
      </c>
      <c r="O136" s="164">
        <v>3.7094</v>
      </c>
      <c r="P136" s="165">
        <v>19739</v>
      </c>
      <c r="Q136" s="34">
        <f>SUMIF(Allocation[Delivery ID],Allocation[[#This Row],[Delivery ID]],Allocation[Quantity Processed])</f>
        <v>870</v>
      </c>
      <c r="R136" s="61">
        <f>Allocation[[#This Row],[Total volume used]]/VLOOKUP(Allocation[[#This Row],[Delivery ID]],Delivery[[Delivery ID]:[Quantity delivered]],3,FALSE)</f>
        <v>4.707792207792208E-2</v>
      </c>
      <c r="S136" s="34">
        <f>Allocation[[#This Row],[Quantity Processed]]/Allocation[[#This Row],[Dilution rate]]</f>
        <v>296.92832764505118</v>
      </c>
      <c r="T136" s="59">
        <f>SUMIF(Allocation[Delivery ID],Allocation[[#This Row],[Delivery ID]],Allocation[Quantity allocated])/SUMIF(Allocation[Delivery ID],Allocation[[#This Row],[Delivery ID]],Allocation[Volume available (kg)])</f>
        <v>0.96656321839080461</v>
      </c>
      <c r="U136" s="61">
        <f>Allocation[[#This Row],[Total volume used]]/VLOOKUP(Allocation[[#This Row],[Delivery ID]],Delivery[[Delivery ID]:[Quantity delivered]],3,FALSE)</f>
        <v>4.707792207792208E-2</v>
      </c>
      <c r="V136" s="34" t="e">
        <f>VLOOKUP(Allocation[[#This Row],[SAP Contract number]],Shipments[[SAP Contract number]:[Contracted container weight]],2,FALSE)</f>
        <v>#N/A</v>
      </c>
      <c r="W136" s="34" t="e">
        <f>VLOOKUP(Allocation[[#This Row],[SAP Contract number]],Shipments[[SAP Contract number]:[AAA Premium USD]],24,FALSE)</f>
        <v>#N/A</v>
      </c>
      <c r="X136" s="34" t="e">
        <f>VLOOKUP(Allocation[[#This Row],[SAP Contract number]],Shipments[[SAP Contract number]:[RA Premium USD]],25,FALSE)</f>
        <v>#N/A</v>
      </c>
      <c r="Y136" s="38">
        <f>Allocation[[#This Row],[Quantity Processed]]/Allocation[[#This Row],[Quantity allocated]]</f>
        <v>3.0313588850174216</v>
      </c>
      <c r="Z136" s="34" t="b">
        <f>Allocation[[#This Row],[Quantity allocated]]&lt;=Allocation[[#This Row],[Quantity Processed]]</f>
        <v>1</v>
      </c>
    </row>
    <row r="137" spans="1:26">
      <c r="A137" s="247" t="s">
        <v>467</v>
      </c>
      <c r="B137" s="160" t="s">
        <v>68</v>
      </c>
      <c r="C137" s="249" t="s">
        <v>540</v>
      </c>
      <c r="D137" s="250">
        <v>1009</v>
      </c>
      <c r="E137" s="160" t="s">
        <v>1186</v>
      </c>
      <c r="F137" s="158">
        <v>43487</v>
      </c>
      <c r="G137" s="162">
        <v>2.93</v>
      </c>
      <c r="H137" s="250">
        <v>333</v>
      </c>
      <c r="I137" s="160">
        <v>1425071</v>
      </c>
      <c r="J137" s="163">
        <v>21600</v>
      </c>
      <c r="K137" s="158">
        <v>43494</v>
      </c>
      <c r="L137" s="160" t="s">
        <v>1194</v>
      </c>
      <c r="M137" s="160">
        <v>4615513976</v>
      </c>
      <c r="N137" s="158">
        <v>43516</v>
      </c>
      <c r="O137" s="164">
        <v>3.7094</v>
      </c>
      <c r="P137" s="165">
        <v>19739</v>
      </c>
      <c r="Q137" s="34">
        <f>SUMIF(Allocation[Delivery ID],Allocation[[#This Row],[Delivery ID]],Allocation[Quantity Processed])</f>
        <v>1009</v>
      </c>
      <c r="R137" s="61">
        <f>Allocation[[#This Row],[Total volume used]]/VLOOKUP(Allocation[[#This Row],[Delivery ID]],Delivery[[Delivery ID]:[Quantity delivered]],3,FALSE)</f>
        <v>4.7105508870214752E-2</v>
      </c>
      <c r="S137" s="34">
        <f>Allocation[[#This Row],[Quantity Processed]]/Allocation[[#This Row],[Dilution rate]]</f>
        <v>344.36860068259386</v>
      </c>
      <c r="T137" s="59">
        <f>SUMIF(Allocation[Delivery ID],Allocation[[#This Row],[Delivery ID]],Allocation[Quantity allocated])/SUMIF(Allocation[Delivery ID],Allocation[[#This Row],[Delivery ID]],Allocation[Volume available (kg)])</f>
        <v>0.96698711595639242</v>
      </c>
      <c r="U137" s="61">
        <f>Allocation[[#This Row],[Total volume used]]/VLOOKUP(Allocation[[#This Row],[Delivery ID]],Delivery[[Delivery ID]:[Quantity delivered]],3,FALSE)</f>
        <v>4.7105508870214752E-2</v>
      </c>
      <c r="V137" s="34" t="e">
        <f>VLOOKUP(Allocation[[#This Row],[SAP Contract number]],Shipments[[SAP Contract number]:[Contracted container weight]],2,FALSE)</f>
        <v>#N/A</v>
      </c>
      <c r="W137" s="34" t="e">
        <f>VLOOKUP(Allocation[[#This Row],[SAP Contract number]],Shipments[[SAP Contract number]:[AAA Premium USD]],24,FALSE)</f>
        <v>#N/A</v>
      </c>
      <c r="X137" s="34" t="e">
        <f>VLOOKUP(Allocation[[#This Row],[SAP Contract number]],Shipments[[SAP Contract number]:[RA Premium USD]],25,FALSE)</f>
        <v>#N/A</v>
      </c>
      <c r="Y137" s="38">
        <f>Allocation[[#This Row],[Quantity Processed]]/Allocation[[#This Row],[Quantity allocated]]</f>
        <v>3.03003003003003</v>
      </c>
      <c r="Z137" s="34" t="b">
        <f>Allocation[[#This Row],[Quantity allocated]]&lt;=Allocation[[#This Row],[Quantity Processed]]</f>
        <v>1</v>
      </c>
    </row>
    <row r="138" spans="1:26">
      <c r="A138" s="247" t="s">
        <v>467</v>
      </c>
      <c r="B138" s="160" t="s">
        <v>68</v>
      </c>
      <c r="C138" s="249" t="s">
        <v>544</v>
      </c>
      <c r="D138" s="250">
        <v>1808</v>
      </c>
      <c r="E138" s="160" t="s">
        <v>1186</v>
      </c>
      <c r="F138" s="158">
        <v>43487</v>
      </c>
      <c r="G138" s="162">
        <v>2.93</v>
      </c>
      <c r="H138" s="250">
        <v>723</v>
      </c>
      <c r="I138" s="160">
        <v>1425071</v>
      </c>
      <c r="J138" s="163">
        <v>21600</v>
      </c>
      <c r="K138" s="158">
        <v>43494</v>
      </c>
      <c r="L138" s="160" t="s">
        <v>1194</v>
      </c>
      <c r="M138" s="160">
        <v>4615513976</v>
      </c>
      <c r="N138" s="158">
        <v>43516</v>
      </c>
      <c r="O138" s="164">
        <v>3.7094</v>
      </c>
      <c r="P138" s="165">
        <v>19739</v>
      </c>
      <c r="Q138" s="34">
        <f>SUMIF(Allocation[Delivery ID],Allocation[[#This Row],[Delivery ID]],Allocation[Quantity Processed])</f>
        <v>8509</v>
      </c>
      <c r="R138" s="61">
        <f>Allocation[[#This Row],[Total volume used]]/VLOOKUP(Allocation[[#This Row],[Delivery ID]],Delivery[[Delivery ID]:[Quantity delivered]],3,FALSE)</f>
        <v>0.44317708333333333</v>
      </c>
      <c r="S138" s="34">
        <f>Allocation[[#This Row],[Quantity Processed]]/Allocation[[#This Row],[Dilution rate]]</f>
        <v>617.06484641638224</v>
      </c>
      <c r="T138" s="59">
        <f>SUMIF(Allocation[Delivery ID],Allocation[[#This Row],[Delivery ID]],Allocation[Quantity allocated])/SUMIF(Allocation[Delivery ID],Allocation[[#This Row],[Delivery ID]],Allocation[Volume available (kg)])</f>
        <v>0.9992647861030981</v>
      </c>
      <c r="U138" s="61">
        <f>Allocation[[#This Row],[Total volume used]]/VLOOKUP(Allocation[[#This Row],[Delivery ID]],Delivery[[Delivery ID]:[Quantity delivered]],3,FALSE)</f>
        <v>0.44317708333333333</v>
      </c>
      <c r="V138" s="34" t="e">
        <f>VLOOKUP(Allocation[[#This Row],[SAP Contract number]],Shipments[[SAP Contract number]:[Contracted container weight]],2,FALSE)</f>
        <v>#N/A</v>
      </c>
      <c r="W138" s="34" t="e">
        <f>VLOOKUP(Allocation[[#This Row],[SAP Contract number]],Shipments[[SAP Contract number]:[AAA Premium USD]],24,FALSE)</f>
        <v>#N/A</v>
      </c>
      <c r="X138" s="34" t="e">
        <f>VLOOKUP(Allocation[[#This Row],[SAP Contract number]],Shipments[[SAP Contract number]:[RA Premium USD]],25,FALSE)</f>
        <v>#N/A</v>
      </c>
      <c r="Y138" s="38">
        <f>Allocation[[#This Row],[Quantity Processed]]/Allocation[[#This Row],[Quantity allocated]]</f>
        <v>2.5006915629322268</v>
      </c>
      <c r="Z138" s="34" t="b">
        <f>Allocation[[#This Row],[Quantity allocated]]&lt;=Allocation[[#This Row],[Quantity Processed]]</f>
        <v>1</v>
      </c>
    </row>
    <row r="139" spans="1:26">
      <c r="A139" s="247" t="s">
        <v>467</v>
      </c>
      <c r="B139" s="160" t="s">
        <v>68</v>
      </c>
      <c r="C139" s="249" t="s">
        <v>546</v>
      </c>
      <c r="D139" s="250">
        <v>4225</v>
      </c>
      <c r="E139" s="160" t="s">
        <v>1186</v>
      </c>
      <c r="F139" s="158">
        <v>43487</v>
      </c>
      <c r="G139" s="162">
        <v>2.93</v>
      </c>
      <c r="H139" s="250">
        <v>1789</v>
      </c>
      <c r="I139" s="160">
        <v>1425071</v>
      </c>
      <c r="J139" s="163">
        <v>21600</v>
      </c>
      <c r="K139" s="158">
        <v>43494</v>
      </c>
      <c r="L139" s="160" t="s">
        <v>1194</v>
      </c>
      <c r="M139" s="160">
        <v>4615513976</v>
      </c>
      <c r="N139" s="158">
        <v>43516</v>
      </c>
      <c r="O139" s="164">
        <v>3.7094</v>
      </c>
      <c r="P139" s="165">
        <v>19739</v>
      </c>
      <c r="Q139" s="34">
        <f>SUMIF(Allocation[Delivery ID],Allocation[[#This Row],[Delivery ID]],Allocation[Quantity Processed])</f>
        <v>19430</v>
      </c>
      <c r="R139" s="61">
        <f>Allocation[[#This Row],[Total volume used]]/VLOOKUP(Allocation[[#This Row],[Delivery ID]],Delivery[[Delivery ID]:[Quantity delivered]],3,FALSE)</f>
        <v>1</v>
      </c>
      <c r="S139" s="34">
        <f>Allocation[[#This Row],[Quantity Processed]]/Allocation[[#This Row],[Dilution rate]]</f>
        <v>1441.9795221843003</v>
      </c>
      <c r="T139" s="59">
        <f>SUMIF(Allocation[Delivery ID],Allocation[[#This Row],[Delivery ID]],Allocation[Quantity allocated])/SUMIF(Allocation[Delivery ID],Allocation[[#This Row],[Delivery ID]],Allocation[Volume available (kg)])</f>
        <v>1.1710195217975039</v>
      </c>
      <c r="U139" s="61">
        <f>Allocation[[#This Row],[Total volume used]]/VLOOKUP(Allocation[[#This Row],[Delivery ID]],Delivery[[Delivery ID]:[Quantity delivered]],3,FALSE)</f>
        <v>1</v>
      </c>
      <c r="V139" s="34" t="e">
        <f>VLOOKUP(Allocation[[#This Row],[SAP Contract number]],Shipments[[SAP Contract number]:[Contracted container weight]],2,FALSE)</f>
        <v>#N/A</v>
      </c>
      <c r="W139" s="34" t="e">
        <f>VLOOKUP(Allocation[[#This Row],[SAP Contract number]],Shipments[[SAP Contract number]:[AAA Premium USD]],24,FALSE)</f>
        <v>#N/A</v>
      </c>
      <c r="X139" s="34" t="e">
        <f>VLOOKUP(Allocation[[#This Row],[SAP Contract number]],Shipments[[SAP Contract number]:[RA Premium USD]],25,FALSE)</f>
        <v>#N/A</v>
      </c>
      <c r="Y139" s="38">
        <f>Allocation[[#This Row],[Quantity Processed]]/Allocation[[#This Row],[Quantity allocated]]</f>
        <v>2.3616545556176636</v>
      </c>
      <c r="Z139" s="34" t="b">
        <f>Allocation[[#This Row],[Quantity allocated]]&lt;=Allocation[[#This Row],[Quantity Processed]]</f>
        <v>1</v>
      </c>
    </row>
    <row r="140" spans="1:26">
      <c r="A140" s="247" t="s">
        <v>467</v>
      </c>
      <c r="B140" s="160" t="s">
        <v>68</v>
      </c>
      <c r="C140" s="249" t="s">
        <v>555</v>
      </c>
      <c r="D140" s="250">
        <v>2179</v>
      </c>
      <c r="E140" s="160" t="s">
        <v>1186</v>
      </c>
      <c r="F140" s="158">
        <v>43487</v>
      </c>
      <c r="G140" s="162">
        <v>2.93</v>
      </c>
      <c r="H140" s="250">
        <v>719</v>
      </c>
      <c r="I140" s="160">
        <v>1425071</v>
      </c>
      <c r="J140" s="163">
        <v>21600</v>
      </c>
      <c r="K140" s="158">
        <v>43494</v>
      </c>
      <c r="L140" s="160" t="s">
        <v>1194</v>
      </c>
      <c r="M140" s="160">
        <v>4615513976</v>
      </c>
      <c r="N140" s="158">
        <v>43516</v>
      </c>
      <c r="O140" s="164">
        <v>3.7094</v>
      </c>
      <c r="P140" s="165">
        <v>19739</v>
      </c>
      <c r="Q140" s="34">
        <f>SUMIF(Allocation[Delivery ID],Allocation[[#This Row],[Delivery ID]],Allocation[Quantity Processed])</f>
        <v>7715</v>
      </c>
      <c r="R140" s="61">
        <f>Allocation[[#This Row],[Total volume used]]/VLOOKUP(Allocation[[#This Row],[Delivery ID]],Delivery[[Delivery ID]:[Quantity delivered]],3,FALSE)</f>
        <v>0.80853070635086988</v>
      </c>
      <c r="S140" s="34">
        <f>Allocation[[#This Row],[Quantity Processed]]/Allocation[[#This Row],[Dilution rate]]</f>
        <v>743.68600682593853</v>
      </c>
      <c r="T140" s="59">
        <f>SUMIF(Allocation[Delivery ID],Allocation[[#This Row],[Delivery ID]],Allocation[Quantity allocated])/SUMIF(Allocation[Delivery ID],Allocation[[#This Row],[Delivery ID]],Allocation[Volume available (kg)])</f>
        <v>0.95502162162162152</v>
      </c>
      <c r="U140" s="61">
        <f>Allocation[[#This Row],[Total volume used]]/VLOOKUP(Allocation[[#This Row],[Delivery ID]],Delivery[[Delivery ID]:[Quantity delivered]],3,FALSE)</f>
        <v>0.80853070635086988</v>
      </c>
      <c r="V140" s="34" t="e">
        <f>VLOOKUP(Allocation[[#This Row],[SAP Contract number]],Shipments[[SAP Contract number]:[Contracted container weight]],2,FALSE)</f>
        <v>#N/A</v>
      </c>
      <c r="W140" s="34" t="e">
        <f>VLOOKUP(Allocation[[#This Row],[SAP Contract number]],Shipments[[SAP Contract number]:[AAA Premium USD]],24,FALSE)</f>
        <v>#N/A</v>
      </c>
      <c r="X140" s="34" t="e">
        <f>VLOOKUP(Allocation[[#This Row],[SAP Contract number]],Shipments[[SAP Contract number]:[RA Premium USD]],25,FALSE)</f>
        <v>#N/A</v>
      </c>
      <c r="Y140" s="38">
        <f>Allocation[[#This Row],[Quantity Processed]]/Allocation[[#This Row],[Quantity allocated]]</f>
        <v>3.030598052851182</v>
      </c>
      <c r="Z140" s="34" t="b">
        <f>Allocation[[#This Row],[Quantity allocated]]&lt;=Allocation[[#This Row],[Quantity Processed]]</f>
        <v>1</v>
      </c>
    </row>
    <row r="141" spans="1:26">
      <c r="A141" s="247" t="s">
        <v>467</v>
      </c>
      <c r="B141" s="160" t="s">
        <v>68</v>
      </c>
      <c r="C141" s="249" t="s">
        <v>563</v>
      </c>
      <c r="D141" s="250">
        <v>8953</v>
      </c>
      <c r="E141" s="160" t="s">
        <v>1186</v>
      </c>
      <c r="F141" s="158">
        <v>43487</v>
      </c>
      <c r="G141" s="162">
        <v>2.93</v>
      </c>
      <c r="H141" s="250">
        <v>2686</v>
      </c>
      <c r="I141" s="160">
        <v>1425071</v>
      </c>
      <c r="J141" s="163">
        <v>21600</v>
      </c>
      <c r="K141" s="158">
        <v>43494</v>
      </c>
      <c r="L141" s="160" t="s">
        <v>1194</v>
      </c>
      <c r="M141" s="160">
        <v>4615513976</v>
      </c>
      <c r="N141" s="158">
        <v>43516</v>
      </c>
      <c r="O141" s="164">
        <v>3.7094</v>
      </c>
      <c r="P141" s="165">
        <v>19739</v>
      </c>
      <c r="Q141" s="34">
        <f>SUMIF(Allocation[Delivery ID],Allocation[[#This Row],[Delivery ID]],Allocation[Quantity Processed])</f>
        <v>22906</v>
      </c>
      <c r="R141" s="61">
        <f>Allocation[[#This Row],[Total volume used]]/VLOOKUP(Allocation[[#This Row],[Delivery ID]],Delivery[[Delivery ID]:[Quantity delivered]],3,FALSE)</f>
        <v>0.97472340425531911</v>
      </c>
      <c r="S141" s="34">
        <f>Allocation[[#This Row],[Quantity Processed]]/Allocation[[#This Row],[Dilution rate]]</f>
        <v>3055.6313993174058</v>
      </c>
      <c r="T141" s="59">
        <f>SUMIF(Allocation[Delivery ID],Allocation[[#This Row],[Delivery ID]],Allocation[Quantity allocated])/SUMIF(Allocation[Delivery ID],Allocation[[#This Row],[Delivery ID]],Allocation[Volume available (kg)])</f>
        <v>0.86982683618399714</v>
      </c>
      <c r="U141" s="61">
        <f>Allocation[[#This Row],[Total volume used]]/VLOOKUP(Allocation[[#This Row],[Delivery ID]],Delivery[[Delivery ID]:[Quantity delivered]],3,FALSE)</f>
        <v>0.97472340425531911</v>
      </c>
      <c r="V141" s="34" t="e">
        <f>VLOOKUP(Allocation[[#This Row],[SAP Contract number]],Shipments[[SAP Contract number]:[Contracted container weight]],2,FALSE)</f>
        <v>#N/A</v>
      </c>
      <c r="W141" s="34" t="e">
        <f>VLOOKUP(Allocation[[#This Row],[SAP Contract number]],Shipments[[SAP Contract number]:[AAA Premium USD]],24,FALSE)</f>
        <v>#N/A</v>
      </c>
      <c r="X141" s="34" t="e">
        <f>VLOOKUP(Allocation[[#This Row],[SAP Contract number]],Shipments[[SAP Contract number]:[RA Premium USD]],25,FALSE)</f>
        <v>#N/A</v>
      </c>
      <c r="Y141" s="38">
        <f>Allocation[[#This Row],[Quantity Processed]]/Allocation[[#This Row],[Quantity allocated]]</f>
        <v>3.3332092330603129</v>
      </c>
      <c r="Z141" s="34" t="b">
        <f>Allocation[[#This Row],[Quantity allocated]]&lt;=Allocation[[#This Row],[Quantity Processed]]</f>
        <v>1</v>
      </c>
    </row>
    <row r="142" spans="1:26">
      <c r="A142" s="247" t="s">
        <v>467</v>
      </c>
      <c r="B142" s="160" t="s">
        <v>68</v>
      </c>
      <c r="C142" s="249" t="s">
        <v>566</v>
      </c>
      <c r="D142" s="250">
        <v>13317</v>
      </c>
      <c r="E142" s="160" t="s">
        <v>1186</v>
      </c>
      <c r="F142" s="158">
        <v>43487</v>
      </c>
      <c r="G142" s="162">
        <v>2.93</v>
      </c>
      <c r="H142" s="250">
        <v>3995</v>
      </c>
      <c r="I142" s="160">
        <v>1425071</v>
      </c>
      <c r="J142" s="163">
        <v>21600</v>
      </c>
      <c r="K142" s="158">
        <v>43494</v>
      </c>
      <c r="L142" s="160" t="s">
        <v>1194</v>
      </c>
      <c r="M142" s="160">
        <v>4615513976</v>
      </c>
      <c r="N142" s="158">
        <v>43516</v>
      </c>
      <c r="O142" s="164">
        <v>3.7094</v>
      </c>
      <c r="P142" s="165">
        <v>19739</v>
      </c>
      <c r="Q142" s="34">
        <f>SUMIF(Allocation[Delivery ID],Allocation[[#This Row],[Delivery ID]],Allocation[Quantity Processed])</f>
        <v>24135</v>
      </c>
      <c r="R142" s="61">
        <f>Allocation[[#This Row],[Total volume used]]/VLOOKUP(Allocation[[#This Row],[Delivery ID]],Delivery[[Delivery ID]:[Quantity delivered]],3,FALSE)</f>
        <v>0.96617293835068052</v>
      </c>
      <c r="S142" s="34">
        <f>Allocation[[#This Row],[Quantity Processed]]/Allocation[[#This Row],[Dilution rate]]</f>
        <v>4545.0511945392491</v>
      </c>
      <c r="T142" s="59">
        <f>SUMIF(Allocation[Delivery ID],Allocation[[#This Row],[Delivery ID]],Allocation[Quantity allocated])/SUMIF(Allocation[Delivery ID],Allocation[[#This Row],[Delivery ID]],Allocation[Volume available (kg)])</f>
        <v>0.91130291778551509</v>
      </c>
      <c r="U142" s="61">
        <f>Allocation[[#This Row],[Total volume used]]/VLOOKUP(Allocation[[#This Row],[Delivery ID]],Delivery[[Delivery ID]:[Quantity delivered]],3,FALSE)</f>
        <v>0.96617293835068052</v>
      </c>
      <c r="V142" s="34" t="e">
        <f>VLOOKUP(Allocation[[#This Row],[SAP Contract number]],Shipments[[SAP Contract number]:[Contracted container weight]],2,FALSE)</f>
        <v>#N/A</v>
      </c>
      <c r="W142" s="34" t="e">
        <f>VLOOKUP(Allocation[[#This Row],[SAP Contract number]],Shipments[[SAP Contract number]:[AAA Premium USD]],24,FALSE)</f>
        <v>#N/A</v>
      </c>
      <c r="X142" s="34" t="e">
        <f>VLOOKUP(Allocation[[#This Row],[SAP Contract number]],Shipments[[SAP Contract number]:[RA Premium USD]],25,FALSE)</f>
        <v>#N/A</v>
      </c>
      <c r="Y142" s="38">
        <f>Allocation[[#This Row],[Quantity Processed]]/Allocation[[#This Row],[Quantity allocated]]</f>
        <v>3.3334167709637046</v>
      </c>
      <c r="Z142" s="34" t="b">
        <f>Allocation[[#This Row],[Quantity allocated]]&lt;=Allocation[[#This Row],[Quantity Processed]]</f>
        <v>1</v>
      </c>
    </row>
    <row r="143" spans="1:26">
      <c r="A143" s="247" t="s">
        <v>467</v>
      </c>
      <c r="B143" s="160" t="s">
        <v>68</v>
      </c>
      <c r="C143" s="249" t="s">
        <v>576</v>
      </c>
      <c r="D143" s="250">
        <v>6493</v>
      </c>
      <c r="E143" s="160" t="s">
        <v>1186</v>
      </c>
      <c r="F143" s="158">
        <v>43487</v>
      </c>
      <c r="G143" s="162">
        <v>2.93</v>
      </c>
      <c r="H143" s="250">
        <v>1948</v>
      </c>
      <c r="I143" s="160">
        <v>1425071</v>
      </c>
      <c r="J143" s="163">
        <v>21600</v>
      </c>
      <c r="K143" s="158">
        <v>43494</v>
      </c>
      <c r="L143" s="160" t="s">
        <v>1194</v>
      </c>
      <c r="M143" s="160">
        <v>4615513976</v>
      </c>
      <c r="N143" s="158">
        <v>43516</v>
      </c>
      <c r="O143" s="164">
        <v>3.7094</v>
      </c>
      <c r="P143" s="165">
        <v>19739</v>
      </c>
      <c r="Q143" s="34">
        <f>SUMIF(Allocation[Delivery ID],Allocation[[#This Row],[Delivery ID]],Allocation[Quantity Processed])</f>
        <v>18256</v>
      </c>
      <c r="R143" s="61">
        <f>Allocation[[#This Row],[Total volume used]]/VLOOKUP(Allocation[[#This Row],[Delivery ID]],Delivery[[Delivery ID]:[Quantity delivered]],3,FALSE)</f>
        <v>0.96084210526315794</v>
      </c>
      <c r="S143" s="34">
        <f>Allocation[[#This Row],[Quantity Processed]]/Allocation[[#This Row],[Dilution rate]]</f>
        <v>2216.0409556313994</v>
      </c>
      <c r="T143" s="59">
        <f>SUMIF(Allocation[Delivery ID],Allocation[[#This Row],[Delivery ID]],Allocation[Quantity allocated])/SUMIF(Allocation[Delivery ID],Allocation[[#This Row],[Delivery ID]],Allocation[Volume available (kg)])</f>
        <v>0.87321671957244107</v>
      </c>
      <c r="U143" s="61">
        <f>Allocation[[#This Row],[Total volume used]]/VLOOKUP(Allocation[[#This Row],[Delivery ID]],Delivery[[Delivery ID]:[Quantity delivered]],3,FALSE)</f>
        <v>0.96084210526315794</v>
      </c>
      <c r="V143" s="34" t="e">
        <f>VLOOKUP(Allocation[[#This Row],[SAP Contract number]],Shipments[[SAP Contract number]:[Contracted container weight]],2,FALSE)</f>
        <v>#N/A</v>
      </c>
      <c r="W143" s="34" t="e">
        <f>VLOOKUP(Allocation[[#This Row],[SAP Contract number]],Shipments[[SAP Contract number]:[AAA Premium USD]],24,FALSE)</f>
        <v>#N/A</v>
      </c>
      <c r="X143" s="34" t="e">
        <f>VLOOKUP(Allocation[[#This Row],[SAP Contract number]],Shipments[[SAP Contract number]:[RA Premium USD]],25,FALSE)</f>
        <v>#N/A</v>
      </c>
      <c r="Y143" s="38">
        <f>Allocation[[#This Row],[Quantity Processed]]/Allocation[[#This Row],[Quantity allocated]]</f>
        <v>3.3331622176591376</v>
      </c>
      <c r="Z143" s="34" t="b">
        <f>Allocation[[#This Row],[Quantity allocated]]&lt;=Allocation[[#This Row],[Quantity Processed]]</f>
        <v>1</v>
      </c>
    </row>
    <row r="144" spans="1:26">
      <c r="A144" s="247" t="s">
        <v>467</v>
      </c>
      <c r="B144" s="160" t="s">
        <v>68</v>
      </c>
      <c r="C144" s="249" t="s">
        <v>576</v>
      </c>
      <c r="D144" s="250">
        <v>4760</v>
      </c>
      <c r="E144" s="160" t="s">
        <v>1186</v>
      </c>
      <c r="F144" s="158">
        <v>43487</v>
      </c>
      <c r="G144" s="162">
        <v>2.93</v>
      </c>
      <c r="H144" s="250">
        <v>1428</v>
      </c>
      <c r="I144" s="160">
        <v>1425072</v>
      </c>
      <c r="J144" s="163">
        <v>21600</v>
      </c>
      <c r="K144" s="158">
        <v>43494</v>
      </c>
      <c r="L144" s="160" t="s">
        <v>1195</v>
      </c>
      <c r="M144" s="160">
        <v>4615513976</v>
      </c>
      <c r="N144" s="158">
        <v>43516</v>
      </c>
      <c r="O144" s="164">
        <v>3.7094</v>
      </c>
      <c r="P144" s="165">
        <v>19739</v>
      </c>
      <c r="Q144" s="34">
        <f>SUMIF(Allocation[Delivery ID],Allocation[[#This Row],[Delivery ID]],Allocation[Quantity Processed])</f>
        <v>18256</v>
      </c>
      <c r="R144" s="61">
        <f>Allocation[[#This Row],[Total volume used]]/VLOOKUP(Allocation[[#This Row],[Delivery ID]],Delivery[[Delivery ID]:[Quantity delivered]],3,FALSE)</f>
        <v>0.96084210526315794</v>
      </c>
      <c r="S144" s="34">
        <f>Allocation[[#This Row],[Quantity Processed]]/Allocation[[#This Row],[Dilution rate]]</f>
        <v>1624.5733788395903</v>
      </c>
      <c r="T144" s="59">
        <f>SUMIF(Allocation[Delivery ID],Allocation[[#This Row],[Delivery ID]],Allocation[Quantity allocated])/SUMIF(Allocation[Delivery ID],Allocation[[#This Row],[Delivery ID]],Allocation[Volume available (kg)])</f>
        <v>0.87321671957244107</v>
      </c>
      <c r="U144" s="61">
        <f>Allocation[[#This Row],[Total volume used]]/VLOOKUP(Allocation[[#This Row],[Delivery ID]],Delivery[[Delivery ID]:[Quantity delivered]],3,FALSE)</f>
        <v>0.96084210526315794</v>
      </c>
      <c r="V144" s="34" t="e">
        <f>VLOOKUP(Allocation[[#This Row],[SAP Contract number]],Shipments[[SAP Contract number]:[Contracted container weight]],2,FALSE)</f>
        <v>#N/A</v>
      </c>
      <c r="W144" s="34" t="e">
        <f>VLOOKUP(Allocation[[#This Row],[SAP Contract number]],Shipments[[SAP Contract number]:[AAA Premium USD]],24,FALSE)</f>
        <v>#N/A</v>
      </c>
      <c r="X144" s="34" t="e">
        <f>VLOOKUP(Allocation[[#This Row],[SAP Contract number]],Shipments[[SAP Contract number]:[RA Premium USD]],25,FALSE)</f>
        <v>#N/A</v>
      </c>
      <c r="Y144" s="38">
        <f>Allocation[[#This Row],[Quantity Processed]]/Allocation[[#This Row],[Quantity allocated]]</f>
        <v>3.3333333333333335</v>
      </c>
      <c r="Z144" s="34" t="b">
        <f>Allocation[[#This Row],[Quantity allocated]]&lt;=Allocation[[#This Row],[Quantity Processed]]</f>
        <v>1</v>
      </c>
    </row>
    <row r="145" spans="1:26">
      <c r="A145" s="247" t="s">
        <v>467</v>
      </c>
      <c r="B145" s="160" t="s">
        <v>68</v>
      </c>
      <c r="C145" s="249" t="s">
        <v>577</v>
      </c>
      <c r="D145" s="250">
        <v>10870</v>
      </c>
      <c r="E145" s="160" t="s">
        <v>1186</v>
      </c>
      <c r="F145" s="158">
        <v>43487</v>
      </c>
      <c r="G145" s="162">
        <v>2.93</v>
      </c>
      <c r="H145" s="250">
        <v>3279</v>
      </c>
      <c r="I145" s="160">
        <v>1425072</v>
      </c>
      <c r="J145" s="163">
        <v>21600</v>
      </c>
      <c r="K145" s="158">
        <v>43494</v>
      </c>
      <c r="L145" s="160" t="s">
        <v>1195</v>
      </c>
      <c r="M145" s="160">
        <v>4615513976</v>
      </c>
      <c r="N145" s="158">
        <v>43516</v>
      </c>
      <c r="O145" s="164">
        <v>3.7094</v>
      </c>
      <c r="P145" s="165">
        <v>19739</v>
      </c>
      <c r="Q145" s="34">
        <f>SUMIF(Allocation[Delivery ID],Allocation[[#This Row],[Delivery ID]],Allocation[Quantity Processed])</f>
        <v>25030</v>
      </c>
      <c r="R145" s="61">
        <f>Allocation[[#This Row],[Total volume used]]/VLOOKUP(Allocation[[#This Row],[Delivery ID]],Delivery[[Delivery ID]:[Quantity delivered]],3,FALSE)</f>
        <v>1</v>
      </c>
      <c r="S145" s="34">
        <f>Allocation[[#This Row],[Quantity Processed]]/Allocation[[#This Row],[Dilution rate]]</f>
        <v>3709.8976109215014</v>
      </c>
      <c r="T145" s="59">
        <f>SUMIF(Allocation[Delivery ID],Allocation[[#This Row],[Delivery ID]],Allocation[Quantity allocated])/SUMIF(Allocation[Delivery ID],Allocation[[#This Row],[Delivery ID]],Allocation[Volume available (kg)])</f>
        <v>0.87253740397613011</v>
      </c>
      <c r="U145" s="61">
        <f>Allocation[[#This Row],[Total volume used]]/VLOOKUP(Allocation[[#This Row],[Delivery ID]],Delivery[[Delivery ID]:[Quantity delivered]],3,FALSE)</f>
        <v>1</v>
      </c>
      <c r="V145" s="34" t="e">
        <f>VLOOKUP(Allocation[[#This Row],[SAP Contract number]],Shipments[[SAP Contract number]:[Contracted container weight]],2,FALSE)</f>
        <v>#N/A</v>
      </c>
      <c r="W145" s="34" t="e">
        <f>VLOOKUP(Allocation[[#This Row],[SAP Contract number]],Shipments[[SAP Contract number]:[AAA Premium USD]],24,FALSE)</f>
        <v>#N/A</v>
      </c>
      <c r="X145" s="34" t="e">
        <f>VLOOKUP(Allocation[[#This Row],[SAP Contract number]],Shipments[[SAP Contract number]:[RA Premium USD]],25,FALSE)</f>
        <v>#N/A</v>
      </c>
      <c r="Y145" s="38">
        <f>Allocation[[#This Row],[Quantity Processed]]/Allocation[[#This Row],[Quantity allocated]]</f>
        <v>3.3150350716681913</v>
      </c>
      <c r="Z145" s="34" t="b">
        <f>Allocation[[#This Row],[Quantity allocated]]&lt;=Allocation[[#This Row],[Quantity Processed]]</f>
        <v>1</v>
      </c>
    </row>
    <row r="146" spans="1:26">
      <c r="A146" s="247" t="s">
        <v>467</v>
      </c>
      <c r="B146" s="160" t="s">
        <v>68</v>
      </c>
      <c r="C146" s="249" t="s">
        <v>578</v>
      </c>
      <c r="D146" s="250">
        <v>493</v>
      </c>
      <c r="E146" s="160" t="s">
        <v>1186</v>
      </c>
      <c r="F146" s="158">
        <v>43487</v>
      </c>
      <c r="G146" s="162">
        <v>2.93</v>
      </c>
      <c r="H146" s="250">
        <v>179</v>
      </c>
      <c r="I146" s="160">
        <v>1425072</v>
      </c>
      <c r="J146" s="163">
        <v>21600</v>
      </c>
      <c r="K146" s="158">
        <v>43494</v>
      </c>
      <c r="L146" s="160" t="s">
        <v>1195</v>
      </c>
      <c r="M146" s="160">
        <v>4615513976</v>
      </c>
      <c r="N146" s="158">
        <v>43516</v>
      </c>
      <c r="O146" s="164">
        <v>3.7094</v>
      </c>
      <c r="P146" s="165">
        <v>19739</v>
      </c>
      <c r="Q146" s="34">
        <f>SUMIF(Allocation[Delivery ID],Allocation[[#This Row],[Delivery ID]],Allocation[Quantity Processed])</f>
        <v>1190</v>
      </c>
      <c r="R146" s="61">
        <f>Allocation[[#This Row],[Total volume used]]/VLOOKUP(Allocation[[#This Row],[Delivery ID]],Delivery[[Delivery ID]:[Quantity delivered]],3,FALSE)</f>
        <v>1</v>
      </c>
      <c r="S146" s="34">
        <f>Allocation[[#This Row],[Quantity Processed]]/Allocation[[#This Row],[Dilution rate]]</f>
        <v>168.25938566552901</v>
      </c>
      <c r="T146" s="59">
        <f>SUMIF(Allocation[Delivery ID],Allocation[[#This Row],[Delivery ID]],Allocation[Quantity allocated])/SUMIF(Allocation[Delivery ID],Allocation[[#This Row],[Delivery ID]],Allocation[Volume available (kg)])</f>
        <v>0.99689652084747482</v>
      </c>
      <c r="U146" s="61">
        <f>Allocation[[#This Row],[Total volume used]]/VLOOKUP(Allocation[[#This Row],[Delivery ID]],Delivery[[Delivery ID]:[Quantity delivered]],3,FALSE)</f>
        <v>1</v>
      </c>
      <c r="V146" s="34" t="e">
        <f>VLOOKUP(Allocation[[#This Row],[SAP Contract number]],Shipments[[SAP Contract number]:[Contracted container weight]],2,FALSE)</f>
        <v>#N/A</v>
      </c>
      <c r="W146" s="34" t="e">
        <f>VLOOKUP(Allocation[[#This Row],[SAP Contract number]],Shipments[[SAP Contract number]:[AAA Premium USD]],24,FALSE)</f>
        <v>#N/A</v>
      </c>
      <c r="X146" s="34" t="e">
        <f>VLOOKUP(Allocation[[#This Row],[SAP Contract number]],Shipments[[SAP Contract number]:[RA Premium USD]],25,FALSE)</f>
        <v>#N/A</v>
      </c>
      <c r="Y146" s="38">
        <f>Allocation[[#This Row],[Quantity Processed]]/Allocation[[#This Row],[Quantity allocated]]</f>
        <v>2.7541899441340782</v>
      </c>
      <c r="Z146" s="34" t="b">
        <f>Allocation[[#This Row],[Quantity allocated]]&lt;=Allocation[[#This Row],[Quantity Processed]]</f>
        <v>1</v>
      </c>
    </row>
    <row r="147" spans="1:26">
      <c r="A147" s="247" t="s">
        <v>467</v>
      </c>
      <c r="B147" s="160" t="s">
        <v>68</v>
      </c>
      <c r="C147" s="249" t="s">
        <v>579</v>
      </c>
      <c r="D147" s="250">
        <v>4385</v>
      </c>
      <c r="E147" s="160" t="s">
        <v>1186</v>
      </c>
      <c r="F147" s="158">
        <v>43487</v>
      </c>
      <c r="G147" s="162">
        <v>2.93</v>
      </c>
      <c r="H147" s="250">
        <v>1447</v>
      </c>
      <c r="I147" s="160">
        <v>1425072</v>
      </c>
      <c r="J147" s="163">
        <v>21600</v>
      </c>
      <c r="K147" s="158">
        <v>43494</v>
      </c>
      <c r="L147" s="160" t="s">
        <v>1195</v>
      </c>
      <c r="M147" s="160">
        <v>4615513976</v>
      </c>
      <c r="N147" s="158">
        <v>43516</v>
      </c>
      <c r="O147" s="164">
        <v>3.7094</v>
      </c>
      <c r="P147" s="165">
        <v>19739</v>
      </c>
      <c r="Q147" s="34">
        <f>SUMIF(Allocation[Delivery ID],Allocation[[#This Row],[Delivery ID]],Allocation[Quantity Processed])</f>
        <v>15530</v>
      </c>
      <c r="R147" s="61">
        <f>Allocation[[#This Row],[Total volume used]]/VLOOKUP(Allocation[[#This Row],[Delivery ID]],Delivery[[Delivery ID]:[Quantity delivered]],3,FALSE)</f>
        <v>0.80801248699271588</v>
      </c>
      <c r="S147" s="34">
        <f>Allocation[[#This Row],[Quantity Processed]]/Allocation[[#This Row],[Dilution rate]]</f>
        <v>1496.5870307167236</v>
      </c>
      <c r="T147" s="59">
        <f>SUMIF(Allocation[Delivery ID],Allocation[[#This Row],[Delivery ID]],Allocation[Quantity allocated])/SUMIF(Allocation[Delivery ID],Allocation[[#This Row],[Delivery ID]],Allocation[Volume available (kg)])</f>
        <v>0.95502018940611011</v>
      </c>
      <c r="U147" s="61">
        <f>Allocation[[#This Row],[Total volume used]]/VLOOKUP(Allocation[[#This Row],[Delivery ID]],Delivery[[Delivery ID]:[Quantity delivered]],3,FALSE)</f>
        <v>0.80801248699271588</v>
      </c>
      <c r="V147" s="34" t="e">
        <f>VLOOKUP(Allocation[[#This Row],[SAP Contract number]],Shipments[[SAP Contract number]:[Contracted container weight]],2,FALSE)</f>
        <v>#N/A</v>
      </c>
      <c r="W147" s="34" t="e">
        <f>VLOOKUP(Allocation[[#This Row],[SAP Contract number]],Shipments[[SAP Contract number]:[AAA Premium USD]],24,FALSE)</f>
        <v>#N/A</v>
      </c>
      <c r="X147" s="34" t="e">
        <f>VLOOKUP(Allocation[[#This Row],[SAP Contract number]],Shipments[[SAP Contract number]:[RA Premium USD]],25,FALSE)</f>
        <v>#N/A</v>
      </c>
      <c r="Y147" s="38">
        <f>Allocation[[#This Row],[Quantity Processed]]/Allocation[[#This Row],[Quantity allocated]]</f>
        <v>3.0304077401520386</v>
      </c>
      <c r="Z147" s="34" t="b">
        <f>Allocation[[#This Row],[Quantity allocated]]&lt;=Allocation[[#This Row],[Quantity Processed]]</f>
        <v>1</v>
      </c>
    </row>
    <row r="148" spans="1:26">
      <c r="A148" s="247" t="s">
        <v>467</v>
      </c>
      <c r="B148" s="160" t="s">
        <v>68</v>
      </c>
      <c r="C148" s="249" t="s">
        <v>580</v>
      </c>
      <c r="D148" s="250">
        <v>2770</v>
      </c>
      <c r="E148" s="160" t="s">
        <v>1186</v>
      </c>
      <c r="F148" s="158">
        <v>43487</v>
      </c>
      <c r="G148" s="162">
        <v>2.93</v>
      </c>
      <c r="H148" s="250">
        <v>914</v>
      </c>
      <c r="I148" s="160">
        <v>1425072</v>
      </c>
      <c r="J148" s="163">
        <v>21600</v>
      </c>
      <c r="K148" s="158">
        <v>43494</v>
      </c>
      <c r="L148" s="160" t="s">
        <v>1195</v>
      </c>
      <c r="M148" s="160">
        <v>4615513976</v>
      </c>
      <c r="N148" s="158">
        <v>43516</v>
      </c>
      <c r="O148" s="164">
        <v>3.7094</v>
      </c>
      <c r="P148" s="165">
        <v>19739</v>
      </c>
      <c r="Q148" s="34">
        <f>SUMIF(Allocation[Delivery ID],Allocation[[#This Row],[Delivery ID]],Allocation[Quantity Processed])</f>
        <v>12588</v>
      </c>
      <c r="R148" s="61">
        <f>Allocation[[#This Row],[Total volume used]]/VLOOKUP(Allocation[[#This Row],[Delivery ID]],Delivery[[Delivery ID]:[Quantity delivered]],3,FALSE)</f>
        <v>0.67207688200747462</v>
      </c>
      <c r="S148" s="34">
        <f>Allocation[[#This Row],[Quantity Processed]]/Allocation[[#This Row],[Dilution rate]]</f>
        <v>945.39249146757675</v>
      </c>
      <c r="T148" s="59">
        <f>SUMIF(Allocation[Delivery ID],Allocation[[#This Row],[Delivery ID]],Allocation[Quantity allocated])/SUMIF(Allocation[Delivery ID],Allocation[[#This Row],[Delivery ID]],Allocation[Volume available (kg)])</f>
        <v>0.95397314525175847</v>
      </c>
      <c r="U148" s="61">
        <f>Allocation[[#This Row],[Total volume used]]/VLOOKUP(Allocation[[#This Row],[Delivery ID]],Delivery[[Delivery ID]:[Quantity delivered]],3,FALSE)</f>
        <v>0.67207688200747462</v>
      </c>
      <c r="V148" s="34" t="e">
        <f>VLOOKUP(Allocation[[#This Row],[SAP Contract number]],Shipments[[SAP Contract number]:[Contracted container weight]],2,FALSE)</f>
        <v>#N/A</v>
      </c>
      <c r="W148" s="34" t="e">
        <f>VLOOKUP(Allocation[[#This Row],[SAP Contract number]],Shipments[[SAP Contract number]:[AAA Premium USD]],24,FALSE)</f>
        <v>#N/A</v>
      </c>
      <c r="X148" s="34" t="e">
        <f>VLOOKUP(Allocation[[#This Row],[SAP Contract number]],Shipments[[SAP Contract number]:[RA Premium USD]],25,FALSE)</f>
        <v>#N/A</v>
      </c>
      <c r="Y148" s="38">
        <f>Allocation[[#This Row],[Quantity Processed]]/Allocation[[#This Row],[Quantity allocated]]</f>
        <v>3.0306345733041575</v>
      </c>
      <c r="Z148" s="34" t="b">
        <f>Allocation[[#This Row],[Quantity allocated]]&lt;=Allocation[[#This Row],[Quantity Processed]]</f>
        <v>1</v>
      </c>
    </row>
    <row r="149" spans="1:26">
      <c r="A149" s="247" t="s">
        <v>467</v>
      </c>
      <c r="B149" s="160" t="s">
        <v>68</v>
      </c>
      <c r="C149" s="249" t="s">
        <v>591</v>
      </c>
      <c r="D149" s="250">
        <v>1723</v>
      </c>
      <c r="E149" s="160" t="s">
        <v>1186</v>
      </c>
      <c r="F149" s="158">
        <v>43487</v>
      </c>
      <c r="G149" s="162">
        <v>2.93</v>
      </c>
      <c r="H149" s="250">
        <v>537</v>
      </c>
      <c r="I149" s="160">
        <v>1425072</v>
      </c>
      <c r="J149" s="163">
        <v>21600</v>
      </c>
      <c r="K149" s="158">
        <v>43494</v>
      </c>
      <c r="L149" s="160" t="s">
        <v>1195</v>
      </c>
      <c r="M149" s="160">
        <v>4615513976</v>
      </c>
      <c r="N149" s="158">
        <v>43516</v>
      </c>
      <c r="O149" s="164">
        <v>3.7094</v>
      </c>
      <c r="P149" s="165">
        <v>19739</v>
      </c>
      <c r="Q149" s="34">
        <f>SUMIF(Allocation[Delivery ID],Allocation[[#This Row],[Delivery ID]],Allocation[Quantity Processed])</f>
        <v>9230</v>
      </c>
      <c r="R149" s="61">
        <f>Allocation[[#This Row],[Total volume used]]/VLOOKUP(Allocation[[#This Row],[Delivery ID]],Delivery[[Delivery ID]:[Quantity delivered]],3,FALSE)</f>
        <v>1</v>
      </c>
      <c r="S149" s="34">
        <f>Allocation[[#This Row],[Quantity Processed]]/Allocation[[#This Row],[Dilution rate]]</f>
        <v>588.0546075085324</v>
      </c>
      <c r="T149" s="59">
        <f>SUMIF(Allocation[Delivery ID],Allocation[[#This Row],[Delivery ID]],Allocation[Quantity allocated])/SUMIF(Allocation[Delivery ID],Allocation[[#This Row],[Delivery ID]],Allocation[Volume available (kg)])</f>
        <v>0.87302158377461025</v>
      </c>
      <c r="U149" s="61">
        <f>Allocation[[#This Row],[Total volume used]]/VLOOKUP(Allocation[[#This Row],[Delivery ID]],Delivery[[Delivery ID]:[Quantity delivered]],3,FALSE)</f>
        <v>1</v>
      </c>
      <c r="V149" s="34" t="e">
        <f>VLOOKUP(Allocation[[#This Row],[SAP Contract number]],Shipments[[SAP Contract number]:[Contracted container weight]],2,FALSE)</f>
        <v>#N/A</v>
      </c>
      <c r="W149" s="34" t="e">
        <f>VLOOKUP(Allocation[[#This Row],[SAP Contract number]],Shipments[[SAP Contract number]:[AAA Premium USD]],24,FALSE)</f>
        <v>#N/A</v>
      </c>
      <c r="X149" s="34" t="e">
        <f>VLOOKUP(Allocation[[#This Row],[SAP Contract number]],Shipments[[SAP Contract number]:[RA Premium USD]],25,FALSE)</f>
        <v>#N/A</v>
      </c>
      <c r="Y149" s="38">
        <f>Allocation[[#This Row],[Quantity Processed]]/Allocation[[#This Row],[Quantity allocated]]</f>
        <v>3.2085661080074486</v>
      </c>
      <c r="Z149" s="34" t="b">
        <f>Allocation[[#This Row],[Quantity allocated]]&lt;=Allocation[[#This Row],[Quantity Processed]]</f>
        <v>1</v>
      </c>
    </row>
    <row r="150" spans="1:26">
      <c r="A150" s="247" t="s">
        <v>467</v>
      </c>
      <c r="B150" s="160" t="s">
        <v>68</v>
      </c>
      <c r="C150" s="249" t="s">
        <v>593</v>
      </c>
      <c r="D150" s="250">
        <v>5970</v>
      </c>
      <c r="E150" s="160" t="s">
        <v>1186</v>
      </c>
      <c r="F150" s="158">
        <v>43487</v>
      </c>
      <c r="G150" s="162">
        <v>2.93</v>
      </c>
      <c r="H150" s="250">
        <v>1970</v>
      </c>
      <c r="I150" s="160">
        <v>1425072</v>
      </c>
      <c r="J150" s="163">
        <v>21600</v>
      </c>
      <c r="K150" s="158">
        <v>43494</v>
      </c>
      <c r="L150" s="160" t="s">
        <v>1195</v>
      </c>
      <c r="M150" s="160">
        <v>4615513976</v>
      </c>
      <c r="N150" s="158">
        <v>43516</v>
      </c>
      <c r="O150" s="164">
        <v>3.7094</v>
      </c>
      <c r="P150" s="165">
        <v>19739</v>
      </c>
      <c r="Q150" s="34">
        <f>SUMIF(Allocation[Delivery ID],Allocation[[#This Row],[Delivery ID]],Allocation[Quantity Processed])</f>
        <v>9685</v>
      </c>
      <c r="R150" s="61">
        <f>Allocation[[#This Row],[Total volume used]]/VLOOKUP(Allocation[[#This Row],[Delivery ID]],Delivery[[Delivery ID]:[Quantity delivered]],3,FALSE)</f>
        <v>0.87252252252252249</v>
      </c>
      <c r="S150" s="34">
        <f>Allocation[[#This Row],[Quantity Processed]]/Allocation[[#This Row],[Dilution rate]]</f>
        <v>2037.5426621160409</v>
      </c>
      <c r="T150" s="59">
        <f>SUMIF(Allocation[Delivery ID],Allocation[[#This Row],[Delivery ID]],Allocation[Quantity allocated])/SUMIF(Allocation[Delivery ID],Allocation[[#This Row],[Delivery ID]],Allocation[Volume available (kg)])</f>
        <v>0.96048857223752648</v>
      </c>
      <c r="U150" s="61">
        <f>Allocation[[#This Row],[Total volume used]]/VLOOKUP(Allocation[[#This Row],[Delivery ID]],Delivery[[Delivery ID]:[Quantity delivered]],3,FALSE)</f>
        <v>0.87252252252252249</v>
      </c>
      <c r="V150" s="34" t="e">
        <f>VLOOKUP(Allocation[[#This Row],[SAP Contract number]],Shipments[[SAP Contract number]:[Contracted container weight]],2,FALSE)</f>
        <v>#N/A</v>
      </c>
      <c r="W150" s="34" t="e">
        <f>VLOOKUP(Allocation[[#This Row],[SAP Contract number]],Shipments[[SAP Contract number]:[AAA Premium USD]],24,FALSE)</f>
        <v>#N/A</v>
      </c>
      <c r="X150" s="34" t="e">
        <f>VLOOKUP(Allocation[[#This Row],[SAP Contract number]],Shipments[[SAP Contract number]:[RA Premium USD]],25,FALSE)</f>
        <v>#N/A</v>
      </c>
      <c r="Y150" s="38">
        <f>Allocation[[#This Row],[Quantity Processed]]/Allocation[[#This Row],[Quantity allocated]]</f>
        <v>3.030456852791878</v>
      </c>
      <c r="Z150" s="34" t="b">
        <f>Allocation[[#This Row],[Quantity allocated]]&lt;=Allocation[[#This Row],[Quantity Processed]]</f>
        <v>1</v>
      </c>
    </row>
    <row r="151" spans="1:26">
      <c r="A151" s="247" t="s">
        <v>467</v>
      </c>
      <c r="B151" s="160" t="s">
        <v>68</v>
      </c>
      <c r="C151" s="249" t="s">
        <v>594</v>
      </c>
      <c r="D151" s="250">
        <v>962</v>
      </c>
      <c r="E151" s="160" t="s">
        <v>1186</v>
      </c>
      <c r="F151" s="158">
        <v>43487</v>
      </c>
      <c r="G151" s="162">
        <v>2.93</v>
      </c>
      <c r="H151" s="250">
        <v>358</v>
      </c>
      <c r="I151" s="160">
        <v>1425072</v>
      </c>
      <c r="J151" s="163">
        <v>21600</v>
      </c>
      <c r="K151" s="158">
        <v>43494</v>
      </c>
      <c r="L151" s="160" t="s">
        <v>1195</v>
      </c>
      <c r="M151" s="160">
        <v>4615513976</v>
      </c>
      <c r="N151" s="158">
        <v>43516</v>
      </c>
      <c r="O151" s="164">
        <v>3.7094</v>
      </c>
      <c r="P151" s="165">
        <v>19739</v>
      </c>
      <c r="Q151" s="34">
        <f>SUMIF(Allocation[Delivery ID],Allocation[[#This Row],[Delivery ID]],Allocation[Quantity Processed])</f>
        <v>18880</v>
      </c>
      <c r="R151" s="61">
        <f>Allocation[[#This Row],[Total volume used]]/VLOOKUP(Allocation[[#This Row],[Delivery ID]],Delivery[[Delivery ID]:[Quantity delivered]],3,FALSE)</f>
        <v>1</v>
      </c>
      <c r="S151" s="34">
        <f>Allocation[[#This Row],[Quantity Processed]]/Allocation[[#This Row],[Dilution rate]]</f>
        <v>328.32764505119451</v>
      </c>
      <c r="T151" s="59">
        <f>SUMIF(Allocation[Delivery ID],Allocation[[#This Row],[Delivery ID]],Allocation[Quantity allocated])/SUMIF(Allocation[Delivery ID],Allocation[[#This Row],[Delivery ID]],Allocation[Volume available (kg)])</f>
        <v>0.95742571326734238</v>
      </c>
      <c r="U151" s="61">
        <f>Allocation[[#This Row],[Total volume used]]/VLOOKUP(Allocation[[#This Row],[Delivery ID]],Delivery[[Delivery ID]:[Quantity delivered]],3,FALSE)</f>
        <v>1</v>
      </c>
      <c r="V151" s="34" t="e">
        <f>VLOOKUP(Allocation[[#This Row],[SAP Contract number]],Shipments[[SAP Contract number]:[Contracted container weight]],2,FALSE)</f>
        <v>#N/A</v>
      </c>
      <c r="W151" s="34" t="e">
        <f>VLOOKUP(Allocation[[#This Row],[SAP Contract number]],Shipments[[SAP Contract number]:[AAA Premium USD]],24,FALSE)</f>
        <v>#N/A</v>
      </c>
      <c r="X151" s="34" t="e">
        <f>VLOOKUP(Allocation[[#This Row],[SAP Contract number]],Shipments[[SAP Contract number]:[RA Premium USD]],25,FALSE)</f>
        <v>#N/A</v>
      </c>
      <c r="Y151" s="38">
        <f>Allocation[[#This Row],[Quantity Processed]]/Allocation[[#This Row],[Quantity allocated]]</f>
        <v>2.6871508379888267</v>
      </c>
      <c r="Z151" s="34" t="b">
        <f>Allocation[[#This Row],[Quantity allocated]]&lt;=Allocation[[#This Row],[Quantity Processed]]</f>
        <v>1</v>
      </c>
    </row>
    <row r="152" spans="1:26">
      <c r="A152" s="247" t="s">
        <v>467</v>
      </c>
      <c r="B152" s="160" t="s">
        <v>68</v>
      </c>
      <c r="C152" s="249" t="s">
        <v>595</v>
      </c>
      <c r="D152" s="250">
        <v>4042</v>
      </c>
      <c r="E152" s="160" t="s">
        <v>1186</v>
      </c>
      <c r="F152" s="158">
        <v>43487</v>
      </c>
      <c r="G152" s="162">
        <v>2.93</v>
      </c>
      <c r="H152" s="250">
        <v>1334</v>
      </c>
      <c r="I152" s="160">
        <v>1425072</v>
      </c>
      <c r="J152" s="163">
        <v>21600</v>
      </c>
      <c r="K152" s="158">
        <v>43494</v>
      </c>
      <c r="L152" s="160" t="s">
        <v>1195</v>
      </c>
      <c r="M152" s="160">
        <v>4615513976</v>
      </c>
      <c r="N152" s="158">
        <v>43516</v>
      </c>
      <c r="O152" s="164">
        <v>3.7094</v>
      </c>
      <c r="P152" s="165">
        <v>19739</v>
      </c>
      <c r="Q152" s="34">
        <f>SUMIF(Allocation[Delivery ID],Allocation[[#This Row],[Delivery ID]],Allocation[Quantity Processed])</f>
        <v>14315</v>
      </c>
      <c r="R152" s="61">
        <f>Allocation[[#This Row],[Total volume used]]/VLOOKUP(Allocation[[#This Row],[Delivery ID]],Delivery[[Delivery ID]:[Quantity delivered]],3,FALSE)</f>
        <v>0.80967194570135748</v>
      </c>
      <c r="S152" s="34">
        <f>Allocation[[#This Row],[Quantity Processed]]/Allocation[[#This Row],[Dilution rate]]</f>
        <v>1379.5221843003412</v>
      </c>
      <c r="T152" s="59">
        <f>SUMIF(Allocation[Delivery ID],Allocation[[#This Row],[Delivery ID]],Allocation[Quantity allocated])/SUMIF(Allocation[Delivery ID],Allocation[[#This Row],[Delivery ID]],Allocation[Volume available (kg)])</f>
        <v>0.95501173550610485</v>
      </c>
      <c r="U152" s="61">
        <f>Allocation[[#This Row],[Total volume used]]/VLOOKUP(Allocation[[#This Row],[Delivery ID]],Delivery[[Delivery ID]:[Quantity delivered]],3,FALSE)</f>
        <v>0.80967194570135748</v>
      </c>
      <c r="V152" s="34" t="e">
        <f>VLOOKUP(Allocation[[#This Row],[SAP Contract number]],Shipments[[SAP Contract number]:[Contracted container weight]],2,FALSE)</f>
        <v>#N/A</v>
      </c>
      <c r="W152" s="34" t="e">
        <f>VLOOKUP(Allocation[[#This Row],[SAP Contract number]],Shipments[[SAP Contract number]:[AAA Premium USD]],24,FALSE)</f>
        <v>#N/A</v>
      </c>
      <c r="X152" s="34" t="e">
        <f>VLOOKUP(Allocation[[#This Row],[SAP Contract number]],Shipments[[SAP Contract number]:[RA Premium USD]],25,FALSE)</f>
        <v>#N/A</v>
      </c>
      <c r="Y152" s="38">
        <f>Allocation[[#This Row],[Quantity Processed]]/Allocation[[#This Row],[Quantity allocated]]</f>
        <v>3.029985007496252</v>
      </c>
      <c r="Z152" s="34" t="b">
        <f>Allocation[[#This Row],[Quantity allocated]]&lt;=Allocation[[#This Row],[Quantity Processed]]</f>
        <v>1</v>
      </c>
    </row>
    <row r="153" spans="1:26">
      <c r="A153" s="247" t="s">
        <v>467</v>
      </c>
      <c r="B153" s="160" t="s">
        <v>68</v>
      </c>
      <c r="C153" s="249" t="s">
        <v>596</v>
      </c>
      <c r="D153" s="250">
        <v>809</v>
      </c>
      <c r="E153" s="160" t="s">
        <v>1186</v>
      </c>
      <c r="F153" s="158">
        <v>43487</v>
      </c>
      <c r="G153" s="162">
        <v>2.93</v>
      </c>
      <c r="H153" s="250">
        <v>267</v>
      </c>
      <c r="I153" s="160">
        <v>1425072</v>
      </c>
      <c r="J153" s="163">
        <v>21600</v>
      </c>
      <c r="K153" s="158">
        <v>43494</v>
      </c>
      <c r="L153" s="160" t="s">
        <v>1195</v>
      </c>
      <c r="M153" s="160">
        <v>4615513976</v>
      </c>
      <c r="N153" s="158">
        <v>43516</v>
      </c>
      <c r="O153" s="164">
        <v>3.7094</v>
      </c>
      <c r="P153" s="165">
        <v>19739</v>
      </c>
      <c r="Q153" s="34">
        <f>SUMIF(Allocation[Delivery ID],Allocation[[#This Row],[Delivery ID]],Allocation[Quantity Processed])</f>
        <v>2864</v>
      </c>
      <c r="R153" s="61">
        <f>Allocation[[#This Row],[Total volume used]]/VLOOKUP(Allocation[[#This Row],[Delivery ID]],Delivery[[Delivery ID]:[Quantity delivered]],3,FALSE)</f>
        <v>0.81133144475920682</v>
      </c>
      <c r="S153" s="34">
        <f>Allocation[[#This Row],[Quantity Processed]]/Allocation[[#This Row],[Dilution rate]]</f>
        <v>276.10921501706486</v>
      </c>
      <c r="T153" s="59">
        <f>SUMIF(Allocation[Delivery ID],Allocation[[#This Row],[Delivery ID]],Allocation[Quantity allocated])/SUMIF(Allocation[Delivery ID],Allocation[[#This Row],[Delivery ID]],Allocation[Volume available (kg)])</f>
        <v>0.95488218874946562</v>
      </c>
      <c r="U153" s="61">
        <f>Allocation[[#This Row],[Total volume used]]/VLOOKUP(Allocation[[#This Row],[Delivery ID]],Delivery[[Delivery ID]:[Quantity delivered]],3,FALSE)</f>
        <v>0.81133144475920682</v>
      </c>
      <c r="V153" s="34" t="e">
        <f>VLOOKUP(Allocation[[#This Row],[SAP Contract number]],Shipments[[SAP Contract number]:[Contracted container weight]],2,FALSE)</f>
        <v>#N/A</v>
      </c>
      <c r="W153" s="34" t="e">
        <f>VLOOKUP(Allocation[[#This Row],[SAP Contract number]],Shipments[[SAP Contract number]:[AAA Premium USD]],24,FALSE)</f>
        <v>#N/A</v>
      </c>
      <c r="X153" s="34" t="e">
        <f>VLOOKUP(Allocation[[#This Row],[SAP Contract number]],Shipments[[SAP Contract number]:[RA Premium USD]],25,FALSE)</f>
        <v>#N/A</v>
      </c>
      <c r="Y153" s="38">
        <f>Allocation[[#This Row],[Quantity Processed]]/Allocation[[#This Row],[Quantity allocated]]</f>
        <v>3.0299625468164795</v>
      </c>
      <c r="Z153" s="34" t="b">
        <f>Allocation[[#This Row],[Quantity allocated]]&lt;=Allocation[[#This Row],[Quantity Processed]]</f>
        <v>1</v>
      </c>
    </row>
    <row r="154" spans="1:26">
      <c r="A154" s="247" t="s">
        <v>467</v>
      </c>
      <c r="B154" s="160" t="s">
        <v>68</v>
      </c>
      <c r="C154" s="249" t="s">
        <v>601</v>
      </c>
      <c r="D154" s="250">
        <v>542</v>
      </c>
      <c r="E154" s="160" t="s">
        <v>1186</v>
      </c>
      <c r="F154" s="158">
        <v>43487</v>
      </c>
      <c r="G154" s="162">
        <v>2.93</v>
      </c>
      <c r="H154" s="250">
        <v>179</v>
      </c>
      <c r="I154" s="160">
        <v>1425072</v>
      </c>
      <c r="J154" s="163">
        <v>21600</v>
      </c>
      <c r="K154" s="158">
        <v>43494</v>
      </c>
      <c r="L154" s="160" t="s">
        <v>1195</v>
      </c>
      <c r="M154" s="160">
        <v>4615513976</v>
      </c>
      <c r="N154" s="158">
        <v>43516</v>
      </c>
      <c r="O154" s="164">
        <v>3.7094</v>
      </c>
      <c r="P154" s="165">
        <v>19739</v>
      </c>
      <c r="Q154" s="34">
        <f>SUMIF(Allocation[Delivery ID],Allocation[[#This Row],[Delivery ID]],Allocation[Quantity Processed])</f>
        <v>542</v>
      </c>
      <c r="R154" s="61">
        <f>Allocation[[#This Row],[Total volume used]]/VLOOKUP(Allocation[[#This Row],[Delivery ID]],Delivery[[Delivery ID]:[Quantity delivered]],3,FALSE)</f>
        <v>5.281621516273631E-2</v>
      </c>
      <c r="S154" s="34">
        <f>Allocation[[#This Row],[Quantity Processed]]/Allocation[[#This Row],[Dilution rate]]</f>
        <v>184.98293515358361</v>
      </c>
      <c r="T154" s="59">
        <f>SUMIF(Allocation[Delivery ID],Allocation[[#This Row],[Delivery ID]],Allocation[Quantity allocated])/SUMIF(Allocation[Delivery ID],Allocation[[#This Row],[Delivery ID]],Allocation[Volume available (kg)])</f>
        <v>0.96765682656826568</v>
      </c>
      <c r="U154" s="61">
        <f>Allocation[[#This Row],[Total volume used]]/VLOOKUP(Allocation[[#This Row],[Delivery ID]],Delivery[[Delivery ID]:[Quantity delivered]],3,FALSE)</f>
        <v>5.281621516273631E-2</v>
      </c>
      <c r="V154" s="34" t="e">
        <f>VLOOKUP(Allocation[[#This Row],[SAP Contract number]],Shipments[[SAP Contract number]:[Contracted container weight]],2,FALSE)</f>
        <v>#N/A</v>
      </c>
      <c r="W154" s="34" t="e">
        <f>VLOOKUP(Allocation[[#This Row],[SAP Contract number]],Shipments[[SAP Contract number]:[AAA Premium USD]],24,FALSE)</f>
        <v>#N/A</v>
      </c>
      <c r="X154" s="34" t="e">
        <f>VLOOKUP(Allocation[[#This Row],[SAP Contract number]],Shipments[[SAP Contract number]:[RA Premium USD]],25,FALSE)</f>
        <v>#N/A</v>
      </c>
      <c r="Y154" s="38">
        <f>Allocation[[#This Row],[Quantity Processed]]/Allocation[[#This Row],[Quantity allocated]]</f>
        <v>3.0279329608938546</v>
      </c>
      <c r="Z154" s="34" t="b">
        <f>Allocation[[#This Row],[Quantity allocated]]&lt;=Allocation[[#This Row],[Quantity Processed]]</f>
        <v>1</v>
      </c>
    </row>
    <row r="155" spans="1:26">
      <c r="A155" s="247" t="s">
        <v>467</v>
      </c>
      <c r="B155" s="160" t="s">
        <v>68</v>
      </c>
      <c r="C155" s="249" t="s">
        <v>602</v>
      </c>
      <c r="D155" s="250">
        <v>542</v>
      </c>
      <c r="E155" s="160" t="s">
        <v>1186</v>
      </c>
      <c r="F155" s="158">
        <v>43487</v>
      </c>
      <c r="G155" s="162">
        <v>2.93</v>
      </c>
      <c r="H155" s="250">
        <v>179</v>
      </c>
      <c r="I155" s="160">
        <v>1425072</v>
      </c>
      <c r="J155" s="163">
        <v>21600</v>
      </c>
      <c r="K155" s="158">
        <v>43494</v>
      </c>
      <c r="L155" s="160" t="s">
        <v>1195</v>
      </c>
      <c r="M155" s="160">
        <v>4615513976</v>
      </c>
      <c r="N155" s="158">
        <v>43516</v>
      </c>
      <c r="O155" s="164">
        <v>3.7094</v>
      </c>
      <c r="P155" s="165">
        <v>19739</v>
      </c>
      <c r="Q155" s="34">
        <f>SUMIF(Allocation[Delivery ID],Allocation[[#This Row],[Delivery ID]],Allocation[Quantity Processed])</f>
        <v>542</v>
      </c>
      <c r="R155" s="61">
        <f>Allocation[[#This Row],[Total volume used]]/VLOOKUP(Allocation[[#This Row],[Delivery ID]],Delivery[[Delivery ID]:[Quantity delivered]],3,FALSE)</f>
        <v>0.11011783827712313</v>
      </c>
      <c r="S155" s="34">
        <f>Allocation[[#This Row],[Quantity Processed]]/Allocation[[#This Row],[Dilution rate]]</f>
        <v>184.98293515358361</v>
      </c>
      <c r="T155" s="59">
        <f>SUMIF(Allocation[Delivery ID],Allocation[[#This Row],[Delivery ID]],Allocation[Quantity allocated])/SUMIF(Allocation[Delivery ID],Allocation[[#This Row],[Delivery ID]],Allocation[Volume available (kg)])</f>
        <v>0.96765682656826568</v>
      </c>
      <c r="U155" s="61">
        <f>Allocation[[#This Row],[Total volume used]]/VLOOKUP(Allocation[[#This Row],[Delivery ID]],Delivery[[Delivery ID]:[Quantity delivered]],3,FALSE)</f>
        <v>0.11011783827712313</v>
      </c>
      <c r="V155" s="34" t="e">
        <f>VLOOKUP(Allocation[[#This Row],[SAP Contract number]],Shipments[[SAP Contract number]:[Contracted container weight]],2,FALSE)</f>
        <v>#N/A</v>
      </c>
      <c r="W155" s="34" t="e">
        <f>VLOOKUP(Allocation[[#This Row],[SAP Contract number]],Shipments[[SAP Contract number]:[AAA Premium USD]],24,FALSE)</f>
        <v>#N/A</v>
      </c>
      <c r="X155" s="34" t="e">
        <f>VLOOKUP(Allocation[[#This Row],[SAP Contract number]],Shipments[[SAP Contract number]:[RA Premium USD]],25,FALSE)</f>
        <v>#N/A</v>
      </c>
      <c r="Y155" s="38">
        <f>Allocation[[#This Row],[Quantity Processed]]/Allocation[[#This Row],[Quantity allocated]]</f>
        <v>3.0279329608938546</v>
      </c>
      <c r="Z155" s="34" t="b">
        <f>Allocation[[#This Row],[Quantity allocated]]&lt;=Allocation[[#This Row],[Quantity Processed]]</f>
        <v>1</v>
      </c>
    </row>
    <row r="156" spans="1:26">
      <c r="A156" s="247" t="s">
        <v>467</v>
      </c>
      <c r="B156" s="160" t="s">
        <v>68</v>
      </c>
      <c r="C156" s="249" t="s">
        <v>632</v>
      </c>
      <c r="D156" s="250">
        <v>597</v>
      </c>
      <c r="E156" s="160" t="s">
        <v>1186</v>
      </c>
      <c r="F156" s="158">
        <v>43487</v>
      </c>
      <c r="G156" s="162">
        <v>2.93</v>
      </c>
      <c r="H156" s="250">
        <v>179</v>
      </c>
      <c r="I156" s="160">
        <v>1425072</v>
      </c>
      <c r="J156" s="163">
        <v>21600</v>
      </c>
      <c r="K156" s="158">
        <v>43494</v>
      </c>
      <c r="L156" s="160" t="s">
        <v>1195</v>
      </c>
      <c r="M156" s="160">
        <v>4615513976</v>
      </c>
      <c r="N156" s="158">
        <v>43516</v>
      </c>
      <c r="O156" s="164">
        <v>3.7094</v>
      </c>
      <c r="P156" s="165">
        <v>19739</v>
      </c>
      <c r="Q156" s="34">
        <f>SUMIF(Allocation[Delivery ID],Allocation[[#This Row],[Delivery ID]],Allocation[Quantity Processed])</f>
        <v>597</v>
      </c>
      <c r="R156" s="61">
        <f>Allocation[[#This Row],[Total volume used]]/VLOOKUP(Allocation[[#This Row],[Delivery ID]],Delivery[[Delivery ID]:[Quantity delivered]],3,FALSE)</f>
        <v>1.9900000000000001E-2</v>
      </c>
      <c r="S156" s="34">
        <f>Allocation[[#This Row],[Quantity Processed]]/Allocation[[#This Row],[Dilution rate]]</f>
        <v>203.75426621160409</v>
      </c>
      <c r="T156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56" s="61">
        <f>Allocation[[#This Row],[Total volume used]]/VLOOKUP(Allocation[[#This Row],[Delivery ID]],Delivery[[Delivery ID]:[Quantity delivered]],3,FALSE)</f>
        <v>1.9900000000000001E-2</v>
      </c>
      <c r="V156" s="34" t="e">
        <f>VLOOKUP(Allocation[[#This Row],[SAP Contract number]],Shipments[[SAP Contract number]:[Contracted container weight]],2,FALSE)</f>
        <v>#N/A</v>
      </c>
      <c r="W156" s="34" t="e">
        <f>VLOOKUP(Allocation[[#This Row],[SAP Contract number]],Shipments[[SAP Contract number]:[AAA Premium USD]],24,FALSE)</f>
        <v>#N/A</v>
      </c>
      <c r="X156" s="34" t="e">
        <f>VLOOKUP(Allocation[[#This Row],[SAP Contract number]],Shipments[[SAP Contract number]:[RA Premium USD]],25,FALSE)</f>
        <v>#N/A</v>
      </c>
      <c r="Y156" s="38">
        <f>Allocation[[#This Row],[Quantity Processed]]/Allocation[[#This Row],[Quantity allocated]]</f>
        <v>3.3351955307262569</v>
      </c>
      <c r="Z156" s="34" t="b">
        <f>Allocation[[#This Row],[Quantity allocated]]&lt;=Allocation[[#This Row],[Quantity Processed]]</f>
        <v>1</v>
      </c>
    </row>
    <row r="157" spans="1:26">
      <c r="A157" s="247" t="s">
        <v>467</v>
      </c>
      <c r="B157" s="160" t="s">
        <v>68</v>
      </c>
      <c r="C157" s="249" t="s">
        <v>633</v>
      </c>
      <c r="D157" s="250">
        <v>597</v>
      </c>
      <c r="E157" s="160" t="s">
        <v>1186</v>
      </c>
      <c r="F157" s="158">
        <v>43487</v>
      </c>
      <c r="G157" s="162">
        <v>2.93</v>
      </c>
      <c r="H157" s="250">
        <v>179</v>
      </c>
      <c r="I157" s="160">
        <v>1425072</v>
      </c>
      <c r="J157" s="163">
        <v>21600</v>
      </c>
      <c r="K157" s="158">
        <v>43494</v>
      </c>
      <c r="L157" s="160" t="s">
        <v>1195</v>
      </c>
      <c r="M157" s="160">
        <v>4615513976</v>
      </c>
      <c r="N157" s="158">
        <v>43516</v>
      </c>
      <c r="O157" s="164">
        <v>3.7094</v>
      </c>
      <c r="P157" s="165">
        <v>19739</v>
      </c>
      <c r="Q157" s="34">
        <f>SUMIF(Allocation[Delivery ID],Allocation[[#This Row],[Delivery ID]],Allocation[Quantity Processed])</f>
        <v>597</v>
      </c>
      <c r="R157" s="61">
        <f>Allocation[[#This Row],[Total volume used]]/VLOOKUP(Allocation[[#This Row],[Delivery ID]],Delivery[[Delivery ID]:[Quantity delivered]],3,FALSE)</f>
        <v>1.9520010462987184E-2</v>
      </c>
      <c r="S157" s="34">
        <f>Allocation[[#This Row],[Quantity Processed]]/Allocation[[#This Row],[Dilution rate]]</f>
        <v>203.75426621160409</v>
      </c>
      <c r="T157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57" s="61">
        <f>Allocation[[#This Row],[Total volume used]]/VLOOKUP(Allocation[[#This Row],[Delivery ID]],Delivery[[Delivery ID]:[Quantity delivered]],3,FALSE)</f>
        <v>1.9520010462987184E-2</v>
      </c>
      <c r="V157" s="34" t="e">
        <f>VLOOKUP(Allocation[[#This Row],[SAP Contract number]],Shipments[[SAP Contract number]:[Contracted container weight]],2,FALSE)</f>
        <v>#N/A</v>
      </c>
      <c r="W157" s="34" t="e">
        <f>VLOOKUP(Allocation[[#This Row],[SAP Contract number]],Shipments[[SAP Contract number]:[AAA Premium USD]],24,FALSE)</f>
        <v>#N/A</v>
      </c>
      <c r="X157" s="34" t="e">
        <f>VLOOKUP(Allocation[[#This Row],[SAP Contract number]],Shipments[[SAP Contract number]:[RA Premium USD]],25,FALSE)</f>
        <v>#N/A</v>
      </c>
      <c r="Y157" s="38">
        <f>Allocation[[#This Row],[Quantity Processed]]/Allocation[[#This Row],[Quantity allocated]]</f>
        <v>3.3351955307262569</v>
      </c>
      <c r="Z157" s="34" t="b">
        <f>Allocation[[#This Row],[Quantity allocated]]&lt;=Allocation[[#This Row],[Quantity Processed]]</f>
        <v>1</v>
      </c>
    </row>
    <row r="158" spans="1:26">
      <c r="A158" s="247" t="s">
        <v>467</v>
      </c>
      <c r="B158" s="160" t="s">
        <v>68</v>
      </c>
      <c r="C158" s="249" t="s">
        <v>635</v>
      </c>
      <c r="D158" s="250">
        <v>597</v>
      </c>
      <c r="E158" s="160" t="s">
        <v>1186</v>
      </c>
      <c r="F158" s="158">
        <v>43487</v>
      </c>
      <c r="G158" s="162">
        <v>2.93</v>
      </c>
      <c r="H158" s="250">
        <v>179</v>
      </c>
      <c r="I158" s="160">
        <v>1425072</v>
      </c>
      <c r="J158" s="163">
        <v>21600</v>
      </c>
      <c r="K158" s="158">
        <v>43494</v>
      </c>
      <c r="L158" s="160" t="s">
        <v>1195</v>
      </c>
      <c r="M158" s="160">
        <v>4615513976</v>
      </c>
      <c r="N158" s="158">
        <v>43516</v>
      </c>
      <c r="O158" s="164">
        <v>3.7094</v>
      </c>
      <c r="P158" s="165">
        <v>19739</v>
      </c>
      <c r="Q158" s="34">
        <f>SUMIF(Allocation[Delivery ID],Allocation[[#This Row],[Delivery ID]],Allocation[Quantity Processed])</f>
        <v>597</v>
      </c>
      <c r="R158" s="61">
        <f>Allocation[[#This Row],[Total volume used]]/VLOOKUP(Allocation[[#This Row],[Delivery ID]],Delivery[[Delivery ID]:[Quantity delivered]],3,FALSE)</f>
        <v>1.9702970297029703E-2</v>
      </c>
      <c r="S158" s="34">
        <f>Allocation[[#This Row],[Quantity Processed]]/Allocation[[#This Row],[Dilution rate]]</f>
        <v>203.75426621160409</v>
      </c>
      <c r="T158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58" s="61">
        <f>Allocation[[#This Row],[Total volume used]]/VLOOKUP(Allocation[[#This Row],[Delivery ID]],Delivery[[Delivery ID]:[Quantity delivered]],3,FALSE)</f>
        <v>1.9702970297029703E-2</v>
      </c>
      <c r="V158" s="34" t="e">
        <f>VLOOKUP(Allocation[[#This Row],[SAP Contract number]],Shipments[[SAP Contract number]:[Contracted container weight]],2,FALSE)</f>
        <v>#N/A</v>
      </c>
      <c r="W158" s="34" t="e">
        <f>VLOOKUP(Allocation[[#This Row],[SAP Contract number]],Shipments[[SAP Contract number]:[AAA Premium USD]],24,FALSE)</f>
        <v>#N/A</v>
      </c>
      <c r="X158" s="34" t="e">
        <f>VLOOKUP(Allocation[[#This Row],[SAP Contract number]],Shipments[[SAP Contract number]:[RA Premium USD]],25,FALSE)</f>
        <v>#N/A</v>
      </c>
      <c r="Y158" s="38">
        <f>Allocation[[#This Row],[Quantity Processed]]/Allocation[[#This Row],[Quantity allocated]]</f>
        <v>3.3351955307262569</v>
      </c>
      <c r="Z158" s="34" t="b">
        <f>Allocation[[#This Row],[Quantity allocated]]&lt;=Allocation[[#This Row],[Quantity Processed]]</f>
        <v>1</v>
      </c>
    </row>
    <row r="159" spans="1:26">
      <c r="A159" s="247" t="s">
        <v>467</v>
      </c>
      <c r="B159" s="160" t="s">
        <v>68</v>
      </c>
      <c r="C159" s="249" t="s">
        <v>636</v>
      </c>
      <c r="D159" s="250">
        <v>4770</v>
      </c>
      <c r="E159" s="160" t="s">
        <v>1186</v>
      </c>
      <c r="F159" s="158">
        <v>43487</v>
      </c>
      <c r="G159" s="162">
        <v>2.93</v>
      </c>
      <c r="H159" s="250">
        <v>1431</v>
      </c>
      <c r="I159" s="160">
        <v>1425072</v>
      </c>
      <c r="J159" s="163">
        <v>21600</v>
      </c>
      <c r="K159" s="158">
        <v>43494</v>
      </c>
      <c r="L159" s="160" t="s">
        <v>1195</v>
      </c>
      <c r="M159" s="160">
        <v>4615513976</v>
      </c>
      <c r="N159" s="158">
        <v>43516</v>
      </c>
      <c r="O159" s="164">
        <v>3.7094</v>
      </c>
      <c r="P159" s="165">
        <v>19739</v>
      </c>
      <c r="Q159" s="34">
        <f>SUMIF(Allocation[Delivery ID],Allocation[[#This Row],[Delivery ID]],Allocation[Quantity Processed])</f>
        <v>4770</v>
      </c>
      <c r="R159" s="61">
        <f>Allocation[[#This Row],[Total volume used]]/VLOOKUP(Allocation[[#This Row],[Delivery ID]],Delivery[[Delivery ID]:[Quantity delivered]],3,FALSE)</f>
        <v>0.15673260169547218</v>
      </c>
      <c r="S159" s="34">
        <f>Allocation[[#This Row],[Quantity Processed]]/Allocation[[#This Row],[Dilution rate]]</f>
        <v>1627.9863481228667</v>
      </c>
      <c r="T159" s="59">
        <f>SUMIF(Allocation[Delivery ID],Allocation[[#This Row],[Delivery ID]],Allocation[Quantity allocated])/SUMIF(Allocation[Delivery ID],Allocation[[#This Row],[Delivery ID]],Allocation[Volume available (kg)])</f>
        <v>0.87900000000000011</v>
      </c>
      <c r="U159" s="61">
        <f>Allocation[[#This Row],[Total volume used]]/VLOOKUP(Allocation[[#This Row],[Delivery ID]],Delivery[[Delivery ID]:[Quantity delivered]],3,FALSE)</f>
        <v>0.15673260169547218</v>
      </c>
      <c r="V159" s="34" t="e">
        <f>VLOOKUP(Allocation[[#This Row],[SAP Contract number]],Shipments[[SAP Contract number]:[Contracted container weight]],2,FALSE)</f>
        <v>#N/A</v>
      </c>
      <c r="W159" s="34" t="e">
        <f>VLOOKUP(Allocation[[#This Row],[SAP Contract number]],Shipments[[SAP Contract number]:[AAA Premium USD]],24,FALSE)</f>
        <v>#N/A</v>
      </c>
      <c r="X159" s="34" t="e">
        <f>VLOOKUP(Allocation[[#This Row],[SAP Contract number]],Shipments[[SAP Contract number]:[RA Premium USD]],25,FALSE)</f>
        <v>#N/A</v>
      </c>
      <c r="Y159" s="38">
        <f>Allocation[[#This Row],[Quantity Processed]]/Allocation[[#This Row],[Quantity allocated]]</f>
        <v>3.3333333333333335</v>
      </c>
      <c r="Z159" s="34" t="b">
        <f>Allocation[[#This Row],[Quantity allocated]]&lt;=Allocation[[#This Row],[Quantity Processed]]</f>
        <v>1</v>
      </c>
    </row>
    <row r="160" spans="1:26">
      <c r="A160" s="247" t="s">
        <v>467</v>
      </c>
      <c r="B160" s="160" t="s">
        <v>68</v>
      </c>
      <c r="C160" s="249" t="s">
        <v>637</v>
      </c>
      <c r="D160" s="250">
        <v>3973</v>
      </c>
      <c r="E160" s="160" t="s">
        <v>1186</v>
      </c>
      <c r="F160" s="158">
        <v>43487</v>
      </c>
      <c r="G160" s="162">
        <v>2.93</v>
      </c>
      <c r="H160" s="250">
        <v>1192</v>
      </c>
      <c r="I160" s="160">
        <v>1425072</v>
      </c>
      <c r="J160" s="163">
        <v>21600</v>
      </c>
      <c r="K160" s="158">
        <v>43494</v>
      </c>
      <c r="L160" s="160" t="s">
        <v>1195</v>
      </c>
      <c r="M160" s="160">
        <v>4615513976</v>
      </c>
      <c r="N160" s="158">
        <v>43516</v>
      </c>
      <c r="O160" s="164">
        <v>3.7094</v>
      </c>
      <c r="P160" s="165">
        <v>19739</v>
      </c>
      <c r="Q160" s="34">
        <f>SUMIF(Allocation[Delivery ID],Allocation[[#This Row],[Delivery ID]],Allocation[Quantity Processed])</f>
        <v>3973</v>
      </c>
      <c r="R160" s="61">
        <f>Allocation[[#This Row],[Total volume used]]/VLOOKUP(Allocation[[#This Row],[Delivery ID]],Delivery[[Delivery ID]:[Quantity delivered]],3,FALSE)</f>
        <v>0.1312780861749934</v>
      </c>
      <c r="S160" s="34">
        <f>Allocation[[#This Row],[Quantity Processed]]/Allocation[[#This Row],[Dilution rate]]</f>
        <v>1355.9726962457337</v>
      </c>
      <c r="T160" s="59">
        <f>SUMIF(Allocation[Delivery ID],Allocation[[#This Row],[Delivery ID]],Allocation[Quantity allocated])/SUMIF(Allocation[Delivery ID],Allocation[[#This Row],[Delivery ID]],Allocation[Volume available (kg)])</f>
        <v>0.87907374779763414</v>
      </c>
      <c r="U160" s="61">
        <f>Allocation[[#This Row],[Total volume used]]/VLOOKUP(Allocation[[#This Row],[Delivery ID]],Delivery[[Delivery ID]:[Quantity delivered]],3,FALSE)</f>
        <v>0.1312780861749934</v>
      </c>
      <c r="V160" s="34" t="e">
        <f>VLOOKUP(Allocation[[#This Row],[SAP Contract number]],Shipments[[SAP Contract number]:[Contracted container weight]],2,FALSE)</f>
        <v>#N/A</v>
      </c>
      <c r="W160" s="34" t="e">
        <f>VLOOKUP(Allocation[[#This Row],[SAP Contract number]],Shipments[[SAP Contract number]:[AAA Premium USD]],24,FALSE)</f>
        <v>#N/A</v>
      </c>
      <c r="X160" s="34" t="e">
        <f>VLOOKUP(Allocation[[#This Row],[SAP Contract number]],Shipments[[SAP Contract number]:[RA Premium USD]],25,FALSE)</f>
        <v>#N/A</v>
      </c>
      <c r="Y160" s="38">
        <f>Allocation[[#This Row],[Quantity Processed]]/Allocation[[#This Row],[Quantity allocated]]</f>
        <v>3.3330536912751678</v>
      </c>
      <c r="Z160" s="34" t="b">
        <f>Allocation[[#This Row],[Quantity allocated]]&lt;=Allocation[[#This Row],[Quantity Processed]]</f>
        <v>1</v>
      </c>
    </row>
    <row r="161" spans="1:26">
      <c r="A161" s="247" t="s">
        <v>467</v>
      </c>
      <c r="B161" s="160" t="s">
        <v>68</v>
      </c>
      <c r="C161" s="249" t="s">
        <v>638</v>
      </c>
      <c r="D161" s="250">
        <v>2980</v>
      </c>
      <c r="E161" s="160" t="s">
        <v>1186</v>
      </c>
      <c r="F161" s="158">
        <v>43487</v>
      </c>
      <c r="G161" s="162">
        <v>2.93</v>
      </c>
      <c r="H161" s="250">
        <v>894</v>
      </c>
      <c r="I161" s="160">
        <v>1425072</v>
      </c>
      <c r="J161" s="163">
        <v>21600</v>
      </c>
      <c r="K161" s="158">
        <v>43494</v>
      </c>
      <c r="L161" s="160" t="s">
        <v>1195</v>
      </c>
      <c r="M161" s="160">
        <v>4615513976</v>
      </c>
      <c r="N161" s="158">
        <v>43516</v>
      </c>
      <c r="O161" s="164">
        <v>3.7094</v>
      </c>
      <c r="P161" s="165">
        <v>19739</v>
      </c>
      <c r="Q161" s="34">
        <f>SUMIF(Allocation[Delivery ID],Allocation[[#This Row],[Delivery ID]],Allocation[Quantity Processed])</f>
        <v>2980</v>
      </c>
      <c r="R161" s="61">
        <f>Allocation[[#This Row],[Total volume used]]/VLOOKUP(Allocation[[#This Row],[Delivery ID]],Delivery[[Delivery ID]:[Quantity delivered]],3,FALSE)</f>
        <v>9.7711325332808713E-2</v>
      </c>
      <c r="S161" s="34">
        <f>Allocation[[#This Row],[Quantity Processed]]/Allocation[[#This Row],[Dilution rate]]</f>
        <v>1017.0648464163822</v>
      </c>
      <c r="T161" s="59">
        <f>SUMIF(Allocation[Delivery ID],Allocation[[#This Row],[Delivery ID]],Allocation[Quantity allocated])/SUMIF(Allocation[Delivery ID],Allocation[[#This Row],[Delivery ID]],Allocation[Volume available (kg)])</f>
        <v>0.879</v>
      </c>
      <c r="U161" s="61">
        <f>Allocation[[#This Row],[Total volume used]]/VLOOKUP(Allocation[[#This Row],[Delivery ID]],Delivery[[Delivery ID]:[Quantity delivered]],3,FALSE)</f>
        <v>9.7711325332808713E-2</v>
      </c>
      <c r="V161" s="34" t="e">
        <f>VLOOKUP(Allocation[[#This Row],[SAP Contract number]],Shipments[[SAP Contract number]:[Contracted container weight]],2,FALSE)</f>
        <v>#N/A</v>
      </c>
      <c r="W161" s="34" t="e">
        <f>VLOOKUP(Allocation[[#This Row],[SAP Contract number]],Shipments[[SAP Contract number]:[AAA Premium USD]],24,FALSE)</f>
        <v>#N/A</v>
      </c>
      <c r="X161" s="34" t="e">
        <f>VLOOKUP(Allocation[[#This Row],[SAP Contract number]],Shipments[[SAP Contract number]:[RA Premium USD]],25,FALSE)</f>
        <v>#N/A</v>
      </c>
      <c r="Y161" s="38">
        <f>Allocation[[#This Row],[Quantity Processed]]/Allocation[[#This Row],[Quantity allocated]]</f>
        <v>3.3333333333333335</v>
      </c>
      <c r="Z161" s="34" t="b">
        <f>Allocation[[#This Row],[Quantity allocated]]&lt;=Allocation[[#This Row],[Quantity Processed]]</f>
        <v>1</v>
      </c>
    </row>
    <row r="162" spans="1:26">
      <c r="A162" s="247" t="s">
        <v>467</v>
      </c>
      <c r="B162" s="160" t="s">
        <v>68</v>
      </c>
      <c r="C162" s="249" t="s">
        <v>639</v>
      </c>
      <c r="D162" s="250">
        <v>1987</v>
      </c>
      <c r="E162" s="160" t="s">
        <v>1186</v>
      </c>
      <c r="F162" s="158">
        <v>43487</v>
      </c>
      <c r="G162" s="162">
        <v>2.93</v>
      </c>
      <c r="H162" s="250">
        <v>596</v>
      </c>
      <c r="I162" s="160">
        <v>1425072</v>
      </c>
      <c r="J162" s="163">
        <v>21600</v>
      </c>
      <c r="K162" s="158">
        <v>43494</v>
      </c>
      <c r="L162" s="160" t="s">
        <v>1195</v>
      </c>
      <c r="M162" s="160">
        <v>4615513976</v>
      </c>
      <c r="N162" s="158">
        <v>43516</v>
      </c>
      <c r="O162" s="164">
        <v>3.7094</v>
      </c>
      <c r="P162" s="165">
        <v>19739</v>
      </c>
      <c r="Q162" s="34">
        <f>SUMIF(Allocation[Delivery ID],Allocation[[#This Row],[Delivery ID]],Allocation[Quantity Processed])</f>
        <v>1987</v>
      </c>
      <c r="R162" s="61">
        <f>Allocation[[#This Row],[Total volume used]]/VLOOKUP(Allocation[[#This Row],[Delivery ID]],Delivery[[Delivery ID]:[Quantity delivered]],3,FALSE)</f>
        <v>6.5577557755775576E-2</v>
      </c>
      <c r="S162" s="34">
        <f>Allocation[[#This Row],[Quantity Processed]]/Allocation[[#This Row],[Dilution rate]]</f>
        <v>678.15699658703068</v>
      </c>
      <c r="T162" s="59">
        <f>SUMIF(Allocation[Delivery ID],Allocation[[#This Row],[Delivery ID]],Allocation[Quantity allocated])/SUMIF(Allocation[Delivery ID],Allocation[[#This Row],[Delivery ID]],Allocation[Volume available (kg)])</f>
        <v>0.87885254151987924</v>
      </c>
      <c r="U162" s="61">
        <f>Allocation[[#This Row],[Total volume used]]/VLOOKUP(Allocation[[#This Row],[Delivery ID]],Delivery[[Delivery ID]:[Quantity delivered]],3,FALSE)</f>
        <v>6.5577557755775576E-2</v>
      </c>
      <c r="V162" s="34" t="e">
        <f>VLOOKUP(Allocation[[#This Row],[SAP Contract number]],Shipments[[SAP Contract number]:[Contracted container weight]],2,FALSE)</f>
        <v>#N/A</v>
      </c>
      <c r="W162" s="34" t="e">
        <f>VLOOKUP(Allocation[[#This Row],[SAP Contract number]],Shipments[[SAP Contract number]:[AAA Premium USD]],24,FALSE)</f>
        <v>#N/A</v>
      </c>
      <c r="X162" s="34" t="e">
        <f>VLOOKUP(Allocation[[#This Row],[SAP Contract number]],Shipments[[SAP Contract number]:[RA Premium USD]],25,FALSE)</f>
        <v>#N/A</v>
      </c>
      <c r="Y162" s="38">
        <f>Allocation[[#This Row],[Quantity Processed]]/Allocation[[#This Row],[Quantity allocated]]</f>
        <v>3.3338926174496644</v>
      </c>
      <c r="Z162" s="34" t="b">
        <f>Allocation[[#This Row],[Quantity allocated]]&lt;=Allocation[[#This Row],[Quantity Processed]]</f>
        <v>1</v>
      </c>
    </row>
    <row r="163" spans="1:26">
      <c r="A163" s="247" t="s">
        <v>467</v>
      </c>
      <c r="B163" s="160" t="s">
        <v>68</v>
      </c>
      <c r="C163" s="249" t="s">
        <v>640</v>
      </c>
      <c r="D163" s="250">
        <v>2583</v>
      </c>
      <c r="E163" s="160" t="s">
        <v>1186</v>
      </c>
      <c r="F163" s="158">
        <v>43487</v>
      </c>
      <c r="G163" s="162">
        <v>2.93</v>
      </c>
      <c r="H163" s="250">
        <v>775</v>
      </c>
      <c r="I163" s="160">
        <v>1425072</v>
      </c>
      <c r="J163" s="163">
        <v>21600</v>
      </c>
      <c r="K163" s="158">
        <v>43494</v>
      </c>
      <c r="L163" s="160" t="s">
        <v>1195</v>
      </c>
      <c r="M163" s="160">
        <v>4615513976</v>
      </c>
      <c r="N163" s="158">
        <v>43516</v>
      </c>
      <c r="O163" s="164">
        <v>3.7094</v>
      </c>
      <c r="P163" s="165">
        <v>19739</v>
      </c>
      <c r="Q163" s="34">
        <f>SUMIF(Allocation[Delivery ID],Allocation[[#This Row],[Delivery ID]],Allocation[Quantity Processed])</f>
        <v>2584</v>
      </c>
      <c r="R163" s="61">
        <f>Allocation[[#This Row],[Total volume used]]/VLOOKUP(Allocation[[#This Row],[Delivery ID]],Delivery[[Delivery ID]:[Quantity delivered]],3,FALSE)</f>
        <v>8.5280528052805282E-2</v>
      </c>
      <c r="S163" s="34">
        <f>Allocation[[#This Row],[Quantity Processed]]/Allocation[[#This Row],[Dilution rate]]</f>
        <v>881.5699658703071</v>
      </c>
      <c r="T163" s="59">
        <f>SUMIF(Allocation[Delivery ID],Allocation[[#This Row],[Delivery ID]],Allocation[Quantity allocated])/SUMIF(Allocation[Delivery ID],Allocation[[#This Row],[Delivery ID]],Allocation[Volume available (kg)])</f>
        <v>0.87908889191586337</v>
      </c>
      <c r="U163" s="61">
        <f>Allocation[[#This Row],[Total volume used]]/VLOOKUP(Allocation[[#This Row],[Delivery ID]],Delivery[[Delivery ID]:[Quantity delivered]],3,FALSE)</f>
        <v>8.5280528052805282E-2</v>
      </c>
      <c r="V163" s="34" t="e">
        <f>VLOOKUP(Allocation[[#This Row],[SAP Contract number]],Shipments[[SAP Contract number]:[Contracted container weight]],2,FALSE)</f>
        <v>#N/A</v>
      </c>
      <c r="W163" s="34" t="e">
        <f>VLOOKUP(Allocation[[#This Row],[SAP Contract number]],Shipments[[SAP Contract number]:[AAA Premium USD]],24,FALSE)</f>
        <v>#N/A</v>
      </c>
      <c r="X163" s="34" t="e">
        <f>VLOOKUP(Allocation[[#This Row],[SAP Contract number]],Shipments[[SAP Contract number]:[RA Premium USD]],25,FALSE)</f>
        <v>#N/A</v>
      </c>
      <c r="Y163" s="38">
        <f>Allocation[[#This Row],[Quantity Processed]]/Allocation[[#This Row],[Quantity allocated]]</f>
        <v>3.3329032258064517</v>
      </c>
      <c r="Z163" s="34" t="b">
        <f>Allocation[[#This Row],[Quantity allocated]]&lt;=Allocation[[#This Row],[Quantity Processed]]</f>
        <v>1</v>
      </c>
    </row>
    <row r="164" spans="1:26">
      <c r="A164" s="247" t="s">
        <v>467</v>
      </c>
      <c r="B164" s="160" t="s">
        <v>68</v>
      </c>
      <c r="C164" s="249" t="s">
        <v>641</v>
      </c>
      <c r="D164" s="250">
        <v>1790</v>
      </c>
      <c r="E164" s="160" t="s">
        <v>1186</v>
      </c>
      <c r="F164" s="158">
        <v>43487</v>
      </c>
      <c r="G164" s="162">
        <v>2.93</v>
      </c>
      <c r="H164" s="250">
        <v>537</v>
      </c>
      <c r="I164" s="160">
        <v>1425072</v>
      </c>
      <c r="J164" s="163">
        <v>21600</v>
      </c>
      <c r="K164" s="158">
        <v>43494</v>
      </c>
      <c r="L164" s="160" t="s">
        <v>1195</v>
      </c>
      <c r="M164" s="160">
        <v>4615513976</v>
      </c>
      <c r="N164" s="158">
        <v>43516</v>
      </c>
      <c r="O164" s="164">
        <v>3.7094</v>
      </c>
      <c r="P164" s="165">
        <v>19739</v>
      </c>
      <c r="Q164" s="34">
        <f>SUMIF(Allocation[Delivery ID],Allocation[[#This Row],[Delivery ID]],Allocation[Quantity Processed])</f>
        <v>1790</v>
      </c>
      <c r="R164" s="61">
        <f>Allocation[[#This Row],[Total volume used]]/VLOOKUP(Allocation[[#This Row],[Delivery ID]],Delivery[[Delivery ID]:[Quantity delivered]],3,FALSE)</f>
        <v>8.1345148829811406E-2</v>
      </c>
      <c r="S164" s="34">
        <f>Allocation[[#This Row],[Quantity Processed]]/Allocation[[#This Row],[Dilution rate]]</f>
        <v>610.92150170648461</v>
      </c>
      <c r="T164" s="59">
        <f>SUMIF(Allocation[Delivery ID],Allocation[[#This Row],[Delivery ID]],Allocation[Quantity allocated])/SUMIF(Allocation[Delivery ID],Allocation[[#This Row],[Delivery ID]],Allocation[Volume available (kg)])</f>
        <v>0.879</v>
      </c>
      <c r="U164" s="61">
        <f>Allocation[[#This Row],[Total volume used]]/VLOOKUP(Allocation[[#This Row],[Delivery ID]],Delivery[[Delivery ID]:[Quantity delivered]],3,FALSE)</f>
        <v>8.1345148829811406E-2</v>
      </c>
      <c r="V164" s="34" t="e">
        <f>VLOOKUP(Allocation[[#This Row],[SAP Contract number]],Shipments[[SAP Contract number]:[Contracted container weight]],2,FALSE)</f>
        <v>#N/A</v>
      </c>
      <c r="W164" s="34" t="e">
        <f>VLOOKUP(Allocation[[#This Row],[SAP Contract number]],Shipments[[SAP Contract number]:[AAA Premium USD]],24,FALSE)</f>
        <v>#N/A</v>
      </c>
      <c r="X164" s="34" t="e">
        <f>VLOOKUP(Allocation[[#This Row],[SAP Contract number]],Shipments[[SAP Contract number]:[RA Premium USD]],25,FALSE)</f>
        <v>#N/A</v>
      </c>
      <c r="Y164" s="38">
        <f>Allocation[[#This Row],[Quantity Processed]]/Allocation[[#This Row],[Quantity allocated]]</f>
        <v>3.3333333333333335</v>
      </c>
      <c r="Z164" s="34" t="b">
        <f>Allocation[[#This Row],[Quantity allocated]]&lt;=Allocation[[#This Row],[Quantity Processed]]</f>
        <v>1</v>
      </c>
    </row>
    <row r="165" spans="1:26">
      <c r="A165" s="247" t="s">
        <v>467</v>
      </c>
      <c r="B165" s="160" t="s">
        <v>68</v>
      </c>
      <c r="C165" s="249" t="s">
        <v>642</v>
      </c>
      <c r="D165" s="250">
        <v>597</v>
      </c>
      <c r="E165" s="160" t="s">
        <v>1186</v>
      </c>
      <c r="F165" s="158">
        <v>43487</v>
      </c>
      <c r="G165" s="162">
        <v>2.93</v>
      </c>
      <c r="H165" s="250">
        <v>179</v>
      </c>
      <c r="I165" s="160">
        <v>1425072</v>
      </c>
      <c r="J165" s="163">
        <v>21600</v>
      </c>
      <c r="K165" s="158">
        <v>43494</v>
      </c>
      <c r="L165" s="160" t="s">
        <v>1195</v>
      </c>
      <c r="M165" s="160">
        <v>4615513976</v>
      </c>
      <c r="N165" s="158">
        <v>43516</v>
      </c>
      <c r="O165" s="164">
        <v>3.7094</v>
      </c>
      <c r="P165" s="165">
        <v>19739</v>
      </c>
      <c r="Q165" s="34">
        <f>SUMIF(Allocation[Delivery ID],Allocation[[#This Row],[Delivery ID]],Allocation[Quantity Processed])</f>
        <v>597</v>
      </c>
      <c r="R165" s="61">
        <f>Allocation[[#This Row],[Total volume used]]/VLOOKUP(Allocation[[#This Row],[Delivery ID]],Delivery[[Delivery ID]:[Quantity delivered]],3,FALSE)</f>
        <v>1.9536618888670726E-2</v>
      </c>
      <c r="S165" s="34">
        <f>Allocation[[#This Row],[Quantity Processed]]/Allocation[[#This Row],[Dilution rate]]</f>
        <v>203.75426621160409</v>
      </c>
      <c r="T165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65" s="61">
        <f>Allocation[[#This Row],[Total volume used]]/VLOOKUP(Allocation[[#This Row],[Delivery ID]],Delivery[[Delivery ID]:[Quantity delivered]],3,FALSE)</f>
        <v>1.9536618888670726E-2</v>
      </c>
      <c r="V165" s="34" t="e">
        <f>VLOOKUP(Allocation[[#This Row],[SAP Contract number]],Shipments[[SAP Contract number]:[Contracted container weight]],2,FALSE)</f>
        <v>#N/A</v>
      </c>
      <c r="W165" s="34" t="e">
        <f>VLOOKUP(Allocation[[#This Row],[SAP Contract number]],Shipments[[SAP Contract number]:[AAA Premium USD]],24,FALSE)</f>
        <v>#N/A</v>
      </c>
      <c r="X165" s="34" t="e">
        <f>VLOOKUP(Allocation[[#This Row],[SAP Contract number]],Shipments[[SAP Contract number]:[RA Premium USD]],25,FALSE)</f>
        <v>#N/A</v>
      </c>
      <c r="Y165" s="38">
        <f>Allocation[[#This Row],[Quantity Processed]]/Allocation[[#This Row],[Quantity allocated]]</f>
        <v>3.3351955307262569</v>
      </c>
      <c r="Z165" s="34" t="b">
        <f>Allocation[[#This Row],[Quantity allocated]]&lt;=Allocation[[#This Row],[Quantity Processed]]</f>
        <v>1</v>
      </c>
    </row>
    <row r="166" spans="1:26">
      <c r="A166" s="247" t="s">
        <v>467</v>
      </c>
      <c r="B166" s="160" t="s">
        <v>68</v>
      </c>
      <c r="C166" s="249" t="s">
        <v>643</v>
      </c>
      <c r="D166" s="250">
        <v>597</v>
      </c>
      <c r="E166" s="160" t="s">
        <v>1186</v>
      </c>
      <c r="F166" s="158">
        <v>43487</v>
      </c>
      <c r="G166" s="162">
        <v>2.93</v>
      </c>
      <c r="H166" s="250">
        <v>179</v>
      </c>
      <c r="I166" s="160">
        <v>1425072</v>
      </c>
      <c r="J166" s="163">
        <v>21600</v>
      </c>
      <c r="K166" s="158">
        <v>43494</v>
      </c>
      <c r="L166" s="160" t="s">
        <v>1195</v>
      </c>
      <c r="M166" s="160">
        <v>4615513976</v>
      </c>
      <c r="N166" s="158">
        <v>43516</v>
      </c>
      <c r="O166" s="164">
        <v>3.7094</v>
      </c>
      <c r="P166" s="165">
        <v>19739</v>
      </c>
      <c r="Q166" s="34">
        <f>SUMIF(Allocation[Delivery ID],Allocation[[#This Row],[Delivery ID]],Allocation[Quantity Processed])</f>
        <v>597</v>
      </c>
      <c r="R166" s="61">
        <f>Allocation[[#This Row],[Total volume used]]/VLOOKUP(Allocation[[#This Row],[Delivery ID]],Delivery[[Delivery ID]:[Quantity delivered]],3,FALSE)</f>
        <v>1.9702970297029703E-2</v>
      </c>
      <c r="S166" s="34">
        <f>Allocation[[#This Row],[Quantity Processed]]/Allocation[[#This Row],[Dilution rate]]</f>
        <v>203.75426621160409</v>
      </c>
      <c r="T166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66" s="61">
        <f>Allocation[[#This Row],[Total volume used]]/VLOOKUP(Allocation[[#This Row],[Delivery ID]],Delivery[[Delivery ID]:[Quantity delivered]],3,FALSE)</f>
        <v>1.9702970297029703E-2</v>
      </c>
      <c r="V166" s="34" t="e">
        <f>VLOOKUP(Allocation[[#This Row],[SAP Contract number]],Shipments[[SAP Contract number]:[Contracted container weight]],2,FALSE)</f>
        <v>#N/A</v>
      </c>
      <c r="W166" s="34" t="e">
        <f>VLOOKUP(Allocation[[#This Row],[SAP Contract number]],Shipments[[SAP Contract number]:[AAA Premium USD]],24,FALSE)</f>
        <v>#N/A</v>
      </c>
      <c r="X166" s="34" t="e">
        <f>VLOOKUP(Allocation[[#This Row],[SAP Contract number]],Shipments[[SAP Contract number]:[RA Premium USD]],25,FALSE)</f>
        <v>#N/A</v>
      </c>
      <c r="Y166" s="38">
        <f>Allocation[[#This Row],[Quantity Processed]]/Allocation[[#This Row],[Quantity allocated]]</f>
        <v>3.3351955307262569</v>
      </c>
      <c r="Z166" s="34" t="b">
        <f>Allocation[[#This Row],[Quantity allocated]]&lt;=Allocation[[#This Row],[Quantity Processed]]</f>
        <v>1</v>
      </c>
    </row>
    <row r="167" spans="1:26">
      <c r="A167" s="247" t="s">
        <v>467</v>
      </c>
      <c r="B167" s="160" t="s">
        <v>68</v>
      </c>
      <c r="C167" s="249" t="s">
        <v>644</v>
      </c>
      <c r="D167" s="250">
        <v>597</v>
      </c>
      <c r="E167" s="160" t="s">
        <v>1186</v>
      </c>
      <c r="F167" s="158">
        <v>43487</v>
      </c>
      <c r="G167" s="162">
        <v>2.93</v>
      </c>
      <c r="H167" s="250">
        <v>179</v>
      </c>
      <c r="I167" s="160">
        <v>1425072</v>
      </c>
      <c r="J167" s="163">
        <v>21600</v>
      </c>
      <c r="K167" s="158">
        <v>43494</v>
      </c>
      <c r="L167" s="160" t="s">
        <v>1195</v>
      </c>
      <c r="M167" s="160">
        <v>4615513976</v>
      </c>
      <c r="N167" s="158">
        <v>43516</v>
      </c>
      <c r="O167" s="164">
        <v>3.7094</v>
      </c>
      <c r="P167" s="165">
        <v>19739</v>
      </c>
      <c r="Q167" s="34">
        <f>SUMIF(Allocation[Delivery ID],Allocation[[#This Row],[Delivery ID]],Allocation[Quantity Processed])</f>
        <v>597</v>
      </c>
      <c r="R167" s="61">
        <f>Allocation[[#This Row],[Total volume used]]/VLOOKUP(Allocation[[#This Row],[Delivery ID]],Delivery[[Delivery ID]:[Quantity delivered]],3,FALSE)</f>
        <v>1.9594328475777866E-2</v>
      </c>
      <c r="S167" s="34">
        <f>Allocation[[#This Row],[Quantity Processed]]/Allocation[[#This Row],[Dilution rate]]</f>
        <v>203.75426621160409</v>
      </c>
      <c r="T167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67" s="61">
        <f>Allocation[[#This Row],[Total volume used]]/VLOOKUP(Allocation[[#This Row],[Delivery ID]],Delivery[[Delivery ID]:[Quantity delivered]],3,FALSE)</f>
        <v>1.9594328475777866E-2</v>
      </c>
      <c r="V167" s="34" t="e">
        <f>VLOOKUP(Allocation[[#This Row],[SAP Contract number]],Shipments[[SAP Contract number]:[Contracted container weight]],2,FALSE)</f>
        <v>#N/A</v>
      </c>
      <c r="W167" s="34" t="e">
        <f>VLOOKUP(Allocation[[#This Row],[SAP Contract number]],Shipments[[SAP Contract number]:[AAA Premium USD]],24,FALSE)</f>
        <v>#N/A</v>
      </c>
      <c r="X167" s="34" t="e">
        <f>VLOOKUP(Allocation[[#This Row],[SAP Contract number]],Shipments[[SAP Contract number]:[RA Premium USD]],25,FALSE)</f>
        <v>#N/A</v>
      </c>
      <c r="Y167" s="38">
        <f>Allocation[[#This Row],[Quantity Processed]]/Allocation[[#This Row],[Quantity allocated]]</f>
        <v>3.3351955307262569</v>
      </c>
      <c r="Z167" s="34" t="b">
        <f>Allocation[[#This Row],[Quantity allocated]]&lt;=Allocation[[#This Row],[Quantity Processed]]</f>
        <v>1</v>
      </c>
    </row>
    <row r="168" spans="1:26">
      <c r="A168" s="247" t="s">
        <v>467</v>
      </c>
      <c r="B168" s="160" t="s">
        <v>68</v>
      </c>
      <c r="C168" s="249" t="s">
        <v>645</v>
      </c>
      <c r="D168" s="250">
        <v>597</v>
      </c>
      <c r="E168" s="160" t="s">
        <v>1186</v>
      </c>
      <c r="F168" s="158">
        <v>43487</v>
      </c>
      <c r="G168" s="162">
        <v>2.93</v>
      </c>
      <c r="H168" s="250">
        <v>179</v>
      </c>
      <c r="I168" s="160">
        <v>1425072</v>
      </c>
      <c r="J168" s="163">
        <v>21600</v>
      </c>
      <c r="K168" s="158">
        <v>43494</v>
      </c>
      <c r="L168" s="160" t="s">
        <v>1195</v>
      </c>
      <c r="M168" s="160">
        <v>4615513976</v>
      </c>
      <c r="N168" s="158">
        <v>43516</v>
      </c>
      <c r="O168" s="164">
        <v>3.7094</v>
      </c>
      <c r="P168" s="165">
        <v>19739</v>
      </c>
      <c r="Q168" s="34">
        <f>SUMIF(Allocation[Delivery ID],Allocation[[#This Row],[Delivery ID]],Allocation[Quantity Processed])</f>
        <v>597</v>
      </c>
      <c r="R168" s="61">
        <f>Allocation[[#This Row],[Total volume used]]/VLOOKUP(Allocation[[#This Row],[Delivery ID]],Delivery[[Delivery ID]:[Quantity delivered]],3,FALSE)</f>
        <v>4.793255720594139E-2</v>
      </c>
      <c r="S168" s="34">
        <f>Allocation[[#This Row],[Quantity Processed]]/Allocation[[#This Row],[Dilution rate]]</f>
        <v>203.75426621160409</v>
      </c>
      <c r="T168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68" s="61">
        <f>Allocation[[#This Row],[Total volume used]]/VLOOKUP(Allocation[[#This Row],[Delivery ID]],Delivery[[Delivery ID]:[Quantity delivered]],3,FALSE)</f>
        <v>4.793255720594139E-2</v>
      </c>
      <c r="V168" s="34" t="e">
        <f>VLOOKUP(Allocation[[#This Row],[SAP Contract number]],Shipments[[SAP Contract number]:[Contracted container weight]],2,FALSE)</f>
        <v>#N/A</v>
      </c>
      <c r="W168" s="34" t="e">
        <f>VLOOKUP(Allocation[[#This Row],[SAP Contract number]],Shipments[[SAP Contract number]:[AAA Premium USD]],24,FALSE)</f>
        <v>#N/A</v>
      </c>
      <c r="X168" s="34" t="e">
        <f>VLOOKUP(Allocation[[#This Row],[SAP Contract number]],Shipments[[SAP Contract number]:[RA Premium USD]],25,FALSE)</f>
        <v>#N/A</v>
      </c>
      <c r="Y168" s="38">
        <f>Allocation[[#This Row],[Quantity Processed]]/Allocation[[#This Row],[Quantity allocated]]</f>
        <v>3.3351955307262569</v>
      </c>
      <c r="Z168" s="34" t="b">
        <f>Allocation[[#This Row],[Quantity allocated]]&lt;=Allocation[[#This Row],[Quantity Processed]]</f>
        <v>1</v>
      </c>
    </row>
    <row r="169" spans="1:26">
      <c r="A169" s="247" t="s">
        <v>467</v>
      </c>
      <c r="B169" s="160" t="s">
        <v>68</v>
      </c>
      <c r="C169" s="249" t="s">
        <v>646</v>
      </c>
      <c r="D169" s="250">
        <v>597</v>
      </c>
      <c r="E169" s="160" t="s">
        <v>1186</v>
      </c>
      <c r="F169" s="158">
        <v>43487</v>
      </c>
      <c r="G169" s="162">
        <v>2.93</v>
      </c>
      <c r="H169" s="250">
        <v>179</v>
      </c>
      <c r="I169" s="160">
        <v>1425072</v>
      </c>
      <c r="J169" s="163">
        <v>21600</v>
      </c>
      <c r="K169" s="158">
        <v>43494</v>
      </c>
      <c r="L169" s="160" t="s">
        <v>1195</v>
      </c>
      <c r="M169" s="160">
        <v>4615513976</v>
      </c>
      <c r="N169" s="158">
        <v>43516</v>
      </c>
      <c r="O169" s="164">
        <v>3.7094</v>
      </c>
      <c r="P169" s="165">
        <v>19739</v>
      </c>
      <c r="Q169" s="34">
        <f>SUMIF(Allocation[Delivery ID],Allocation[[#This Row],[Delivery ID]],Allocation[Quantity Processed])</f>
        <v>597</v>
      </c>
      <c r="R169" s="61">
        <f>Allocation[[#This Row],[Total volume used]]/VLOOKUP(Allocation[[#This Row],[Delivery ID]],Delivery[[Delivery ID]:[Quantity delivered]],3,FALSE)</f>
        <v>3.4310344827586207E-2</v>
      </c>
      <c r="S169" s="34">
        <f>Allocation[[#This Row],[Quantity Processed]]/Allocation[[#This Row],[Dilution rate]]</f>
        <v>203.75426621160409</v>
      </c>
      <c r="T169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69" s="61">
        <f>Allocation[[#This Row],[Total volume used]]/VLOOKUP(Allocation[[#This Row],[Delivery ID]],Delivery[[Delivery ID]:[Quantity delivered]],3,FALSE)</f>
        <v>3.4310344827586207E-2</v>
      </c>
      <c r="V169" s="34" t="e">
        <f>VLOOKUP(Allocation[[#This Row],[SAP Contract number]],Shipments[[SAP Contract number]:[Contracted container weight]],2,FALSE)</f>
        <v>#N/A</v>
      </c>
      <c r="W169" s="34" t="e">
        <f>VLOOKUP(Allocation[[#This Row],[SAP Contract number]],Shipments[[SAP Contract number]:[AAA Premium USD]],24,FALSE)</f>
        <v>#N/A</v>
      </c>
      <c r="X169" s="34" t="e">
        <f>VLOOKUP(Allocation[[#This Row],[SAP Contract number]],Shipments[[SAP Contract number]:[RA Premium USD]],25,FALSE)</f>
        <v>#N/A</v>
      </c>
      <c r="Y169" s="38">
        <f>Allocation[[#This Row],[Quantity Processed]]/Allocation[[#This Row],[Quantity allocated]]</f>
        <v>3.3351955307262569</v>
      </c>
      <c r="Z169" s="34" t="b">
        <f>Allocation[[#This Row],[Quantity allocated]]&lt;=Allocation[[#This Row],[Quantity Processed]]</f>
        <v>1</v>
      </c>
    </row>
    <row r="170" spans="1:26">
      <c r="A170" s="247" t="s">
        <v>467</v>
      </c>
      <c r="B170" s="160" t="s">
        <v>68</v>
      </c>
      <c r="C170" s="249" t="s">
        <v>647</v>
      </c>
      <c r="D170" s="250">
        <v>397</v>
      </c>
      <c r="E170" s="160" t="s">
        <v>1186</v>
      </c>
      <c r="F170" s="158">
        <v>43487</v>
      </c>
      <c r="G170" s="162">
        <v>2.93</v>
      </c>
      <c r="H170" s="250">
        <v>119</v>
      </c>
      <c r="I170" s="160">
        <v>1425072</v>
      </c>
      <c r="J170" s="163">
        <v>21600</v>
      </c>
      <c r="K170" s="158">
        <v>43494</v>
      </c>
      <c r="L170" s="160" t="s">
        <v>1195</v>
      </c>
      <c r="M170" s="160">
        <v>4615513976</v>
      </c>
      <c r="N170" s="158">
        <v>43516</v>
      </c>
      <c r="O170" s="164">
        <v>3.7094</v>
      </c>
      <c r="P170" s="165">
        <v>19739</v>
      </c>
      <c r="Q170" s="34">
        <f>SUMIF(Allocation[Delivery ID],Allocation[[#This Row],[Delivery ID]],Allocation[Quantity Processed])</f>
        <v>397</v>
      </c>
      <c r="R170" s="61">
        <f>Allocation[[#This Row],[Total volume used]]/VLOOKUP(Allocation[[#This Row],[Delivery ID]],Delivery[[Delivery ID]:[Quantity delivered]],3,FALSE)</f>
        <v>3.0491551459293394E-2</v>
      </c>
      <c r="S170" s="34">
        <f>Allocation[[#This Row],[Quantity Processed]]/Allocation[[#This Row],[Dilution rate]]</f>
        <v>135.49488054607508</v>
      </c>
      <c r="T170" s="59">
        <f>SUMIF(Allocation[Delivery ID],Allocation[[#This Row],[Delivery ID]],Allocation[Quantity allocated])/SUMIF(Allocation[Delivery ID],Allocation[[#This Row],[Delivery ID]],Allocation[Volume available (kg)])</f>
        <v>0.87826196473551643</v>
      </c>
      <c r="U170" s="61">
        <f>Allocation[[#This Row],[Total volume used]]/VLOOKUP(Allocation[[#This Row],[Delivery ID]],Delivery[[Delivery ID]:[Quantity delivered]],3,FALSE)</f>
        <v>3.0491551459293394E-2</v>
      </c>
      <c r="V170" s="34" t="e">
        <f>VLOOKUP(Allocation[[#This Row],[SAP Contract number]],Shipments[[SAP Contract number]:[Contracted container weight]],2,FALSE)</f>
        <v>#N/A</v>
      </c>
      <c r="W170" s="34" t="e">
        <f>VLOOKUP(Allocation[[#This Row],[SAP Contract number]],Shipments[[SAP Contract number]:[AAA Premium USD]],24,FALSE)</f>
        <v>#N/A</v>
      </c>
      <c r="X170" s="34" t="e">
        <f>VLOOKUP(Allocation[[#This Row],[SAP Contract number]],Shipments[[SAP Contract number]:[RA Premium USD]],25,FALSE)</f>
        <v>#N/A</v>
      </c>
      <c r="Y170" s="38">
        <f>Allocation[[#This Row],[Quantity Processed]]/Allocation[[#This Row],[Quantity allocated]]</f>
        <v>3.3361344537815127</v>
      </c>
      <c r="Z170" s="34" t="b">
        <f>Allocation[[#This Row],[Quantity allocated]]&lt;=Allocation[[#This Row],[Quantity Processed]]</f>
        <v>1</v>
      </c>
    </row>
    <row r="171" spans="1:26">
      <c r="A171" s="247" t="s">
        <v>467</v>
      </c>
      <c r="B171" s="160" t="s">
        <v>68</v>
      </c>
      <c r="C171" s="249" t="s">
        <v>648</v>
      </c>
      <c r="D171" s="250">
        <v>597</v>
      </c>
      <c r="E171" s="160" t="s">
        <v>1186</v>
      </c>
      <c r="F171" s="158">
        <v>43487</v>
      </c>
      <c r="G171" s="162">
        <v>2.93</v>
      </c>
      <c r="H171" s="250">
        <v>179</v>
      </c>
      <c r="I171" s="160">
        <v>1425072</v>
      </c>
      <c r="J171" s="163">
        <v>21600</v>
      </c>
      <c r="K171" s="158">
        <v>43494</v>
      </c>
      <c r="L171" s="160" t="s">
        <v>1195</v>
      </c>
      <c r="M171" s="160">
        <v>4615513976</v>
      </c>
      <c r="N171" s="158">
        <v>43516</v>
      </c>
      <c r="O171" s="164">
        <v>3.7094</v>
      </c>
      <c r="P171" s="165">
        <v>19739</v>
      </c>
      <c r="Q171" s="34">
        <f>SUMIF(Allocation[Delivery ID],Allocation[[#This Row],[Delivery ID]],Allocation[Quantity Processed])</f>
        <v>597</v>
      </c>
      <c r="R171" s="61">
        <f>Allocation[[#This Row],[Total volume used]]/VLOOKUP(Allocation[[#This Row],[Delivery ID]],Delivery[[Delivery ID]:[Quantity delivered]],3,FALSE)</f>
        <v>3.2305194805194802E-2</v>
      </c>
      <c r="S171" s="34">
        <f>Allocation[[#This Row],[Quantity Processed]]/Allocation[[#This Row],[Dilution rate]]</f>
        <v>203.75426621160409</v>
      </c>
      <c r="T171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71" s="61">
        <f>Allocation[[#This Row],[Total volume used]]/VLOOKUP(Allocation[[#This Row],[Delivery ID]],Delivery[[Delivery ID]:[Quantity delivered]],3,FALSE)</f>
        <v>3.2305194805194802E-2</v>
      </c>
      <c r="V171" s="34" t="e">
        <f>VLOOKUP(Allocation[[#This Row],[SAP Contract number]],Shipments[[SAP Contract number]:[Contracted container weight]],2,FALSE)</f>
        <v>#N/A</v>
      </c>
      <c r="W171" s="34" t="e">
        <f>VLOOKUP(Allocation[[#This Row],[SAP Contract number]],Shipments[[SAP Contract number]:[AAA Premium USD]],24,FALSE)</f>
        <v>#N/A</v>
      </c>
      <c r="X171" s="34" t="e">
        <f>VLOOKUP(Allocation[[#This Row],[SAP Contract number]],Shipments[[SAP Contract number]:[RA Premium USD]],25,FALSE)</f>
        <v>#N/A</v>
      </c>
      <c r="Y171" s="38">
        <f>Allocation[[#This Row],[Quantity Processed]]/Allocation[[#This Row],[Quantity allocated]]</f>
        <v>3.3351955307262569</v>
      </c>
      <c r="Z171" s="34" t="b">
        <f>Allocation[[#This Row],[Quantity allocated]]&lt;=Allocation[[#This Row],[Quantity Processed]]</f>
        <v>1</v>
      </c>
    </row>
    <row r="172" spans="1:26">
      <c r="A172" s="247" t="s">
        <v>467</v>
      </c>
      <c r="B172" s="160" t="s">
        <v>68</v>
      </c>
      <c r="C172" s="249" t="s">
        <v>649</v>
      </c>
      <c r="D172" s="250">
        <v>597</v>
      </c>
      <c r="E172" s="160" t="s">
        <v>1186</v>
      </c>
      <c r="F172" s="158">
        <v>43487</v>
      </c>
      <c r="G172" s="162">
        <v>2.93</v>
      </c>
      <c r="H172" s="250">
        <v>179</v>
      </c>
      <c r="I172" s="160">
        <v>1425072</v>
      </c>
      <c r="J172" s="163">
        <v>21600</v>
      </c>
      <c r="K172" s="158">
        <v>43494</v>
      </c>
      <c r="L172" s="160" t="s">
        <v>1195</v>
      </c>
      <c r="M172" s="160">
        <v>4615513976</v>
      </c>
      <c r="N172" s="158">
        <v>43516</v>
      </c>
      <c r="O172" s="164">
        <v>3.7094</v>
      </c>
      <c r="P172" s="165">
        <v>19739</v>
      </c>
      <c r="Q172" s="34">
        <f>SUMIF(Allocation[Delivery ID],Allocation[[#This Row],[Delivery ID]],Allocation[Quantity Processed])</f>
        <v>598</v>
      </c>
      <c r="R172" s="61">
        <f>Allocation[[#This Row],[Total volume used]]/VLOOKUP(Allocation[[#This Row],[Delivery ID]],Delivery[[Delivery ID]:[Quantity delivered]],3,FALSE)</f>
        <v>1.9735973597359735E-2</v>
      </c>
      <c r="S172" s="34">
        <f>Allocation[[#This Row],[Quantity Processed]]/Allocation[[#This Row],[Dilution rate]]</f>
        <v>203.75426621160409</v>
      </c>
      <c r="T172" s="59">
        <f>SUMIF(Allocation[Delivery ID],Allocation[[#This Row],[Delivery ID]],Allocation[Quantity allocated])/SUMIF(Allocation[Delivery ID],Allocation[[#This Row],[Delivery ID]],Allocation[Volume available (kg)])</f>
        <v>0.87840437198665278</v>
      </c>
      <c r="U172" s="61">
        <f>Allocation[[#This Row],[Total volume used]]/VLOOKUP(Allocation[[#This Row],[Delivery ID]],Delivery[[Delivery ID]:[Quantity delivered]],3,FALSE)</f>
        <v>1.9735973597359735E-2</v>
      </c>
      <c r="V172" s="34" t="e">
        <f>VLOOKUP(Allocation[[#This Row],[SAP Contract number]],Shipments[[SAP Contract number]:[Contracted container weight]],2,FALSE)</f>
        <v>#N/A</v>
      </c>
      <c r="W172" s="34" t="e">
        <f>VLOOKUP(Allocation[[#This Row],[SAP Contract number]],Shipments[[SAP Contract number]:[AAA Premium USD]],24,FALSE)</f>
        <v>#N/A</v>
      </c>
      <c r="X172" s="34" t="e">
        <f>VLOOKUP(Allocation[[#This Row],[SAP Contract number]],Shipments[[SAP Contract number]:[RA Premium USD]],25,FALSE)</f>
        <v>#N/A</v>
      </c>
      <c r="Y172" s="38">
        <f>Allocation[[#This Row],[Quantity Processed]]/Allocation[[#This Row],[Quantity allocated]]</f>
        <v>3.3351955307262569</v>
      </c>
      <c r="Z172" s="34" t="b">
        <f>Allocation[[#This Row],[Quantity allocated]]&lt;=Allocation[[#This Row],[Quantity Processed]]</f>
        <v>1</v>
      </c>
    </row>
    <row r="173" spans="1:26">
      <c r="A173" s="247" t="s">
        <v>467</v>
      </c>
      <c r="B173" s="160" t="s">
        <v>68</v>
      </c>
      <c r="C173" s="249" t="s">
        <v>651</v>
      </c>
      <c r="D173" s="250">
        <v>389</v>
      </c>
      <c r="E173" s="160" t="s">
        <v>1186</v>
      </c>
      <c r="F173" s="158">
        <v>43487</v>
      </c>
      <c r="G173" s="162">
        <v>2.93</v>
      </c>
      <c r="H173" s="250">
        <v>179</v>
      </c>
      <c r="I173" s="160">
        <v>1425072</v>
      </c>
      <c r="J173" s="163">
        <v>21600</v>
      </c>
      <c r="K173" s="158">
        <v>43494</v>
      </c>
      <c r="L173" s="160" t="s">
        <v>1195</v>
      </c>
      <c r="M173" s="160">
        <v>4615513976</v>
      </c>
      <c r="N173" s="158">
        <v>43516</v>
      </c>
      <c r="O173" s="164">
        <v>3.7094</v>
      </c>
      <c r="P173" s="165">
        <v>19739</v>
      </c>
      <c r="Q173" s="34">
        <f>SUMIF(Allocation[Delivery ID],Allocation[[#This Row],[Delivery ID]],Allocation[Quantity Processed])</f>
        <v>517</v>
      </c>
      <c r="R173" s="61">
        <f>Allocation[[#This Row],[Total volume used]]/VLOOKUP(Allocation[[#This Row],[Delivery ID]],Delivery[[Delivery ID]:[Quantity delivered]],3,FALSE)</f>
        <v>1.7096560846560846E-2</v>
      </c>
      <c r="S173" s="34">
        <f>Allocation[[#This Row],[Quantity Processed]]/Allocation[[#This Row],[Dilution rate]]</f>
        <v>132.76450511945393</v>
      </c>
      <c r="T173" s="59">
        <f>SUMIF(Allocation[Delivery ID],Allocation[[#This Row],[Delivery ID]],Allocation[Quantity allocated])/SUMIF(Allocation[Delivery ID],Allocation[[#This Row],[Delivery ID]],Allocation[Volume available (kg)])</f>
        <v>1.2937278299716521</v>
      </c>
      <c r="U173" s="61">
        <f>Allocation[[#This Row],[Total volume used]]/VLOOKUP(Allocation[[#This Row],[Delivery ID]],Delivery[[Delivery ID]:[Quantity delivered]],3,FALSE)</f>
        <v>1.7096560846560846E-2</v>
      </c>
      <c r="V173" s="34" t="e">
        <f>VLOOKUP(Allocation[[#This Row],[SAP Contract number]],Shipments[[SAP Contract number]:[Contracted container weight]],2,FALSE)</f>
        <v>#N/A</v>
      </c>
      <c r="W173" s="34" t="e">
        <f>VLOOKUP(Allocation[[#This Row],[SAP Contract number]],Shipments[[SAP Contract number]:[AAA Premium USD]],24,FALSE)</f>
        <v>#N/A</v>
      </c>
      <c r="X173" s="34" t="e">
        <f>VLOOKUP(Allocation[[#This Row],[SAP Contract number]],Shipments[[SAP Contract number]:[RA Premium USD]],25,FALSE)</f>
        <v>#N/A</v>
      </c>
      <c r="Y173" s="38">
        <f>Allocation[[#This Row],[Quantity Processed]]/Allocation[[#This Row],[Quantity allocated]]</f>
        <v>2.1731843575418996</v>
      </c>
      <c r="Z173" s="34" t="b">
        <f>Allocation[[#This Row],[Quantity allocated]]&lt;=Allocation[[#This Row],[Quantity Processed]]</f>
        <v>1</v>
      </c>
    </row>
    <row r="174" spans="1:26">
      <c r="A174" s="247" t="s">
        <v>467</v>
      </c>
      <c r="B174" s="160" t="s">
        <v>68</v>
      </c>
      <c r="C174" s="249" t="s">
        <v>652</v>
      </c>
      <c r="D174" s="250">
        <v>389</v>
      </c>
      <c r="E174" s="160" t="s">
        <v>1186</v>
      </c>
      <c r="F174" s="158">
        <v>43487</v>
      </c>
      <c r="G174" s="162">
        <v>2.93</v>
      </c>
      <c r="H174" s="250">
        <v>179</v>
      </c>
      <c r="I174" s="160">
        <v>1425072</v>
      </c>
      <c r="J174" s="163">
        <v>21600</v>
      </c>
      <c r="K174" s="158">
        <v>43494</v>
      </c>
      <c r="L174" s="160" t="s">
        <v>1195</v>
      </c>
      <c r="M174" s="160">
        <v>4615513976</v>
      </c>
      <c r="N174" s="158">
        <v>43516</v>
      </c>
      <c r="O174" s="164">
        <v>3.7094</v>
      </c>
      <c r="P174" s="165">
        <v>19739</v>
      </c>
      <c r="Q174" s="34">
        <f>SUMIF(Allocation[Delivery ID],Allocation[[#This Row],[Delivery ID]],Allocation[Quantity Processed])</f>
        <v>517</v>
      </c>
      <c r="R174" s="61">
        <f>Allocation[[#This Row],[Total volume used]]/VLOOKUP(Allocation[[#This Row],[Delivery ID]],Delivery[[Delivery ID]:[Quantity delivered]],3,FALSE)</f>
        <v>1.7096560846560846E-2</v>
      </c>
      <c r="S174" s="34">
        <f>Allocation[[#This Row],[Quantity Processed]]/Allocation[[#This Row],[Dilution rate]]</f>
        <v>132.76450511945393</v>
      </c>
      <c r="T174" s="59">
        <f>SUMIF(Allocation[Delivery ID],Allocation[[#This Row],[Delivery ID]],Allocation[Quantity allocated])/SUMIF(Allocation[Delivery ID],Allocation[[#This Row],[Delivery ID]],Allocation[Volume available (kg)])</f>
        <v>1.2937278299716521</v>
      </c>
      <c r="U174" s="61">
        <f>Allocation[[#This Row],[Total volume used]]/VLOOKUP(Allocation[[#This Row],[Delivery ID]],Delivery[[Delivery ID]:[Quantity delivered]],3,FALSE)</f>
        <v>1.7096560846560846E-2</v>
      </c>
      <c r="V174" s="34" t="e">
        <f>VLOOKUP(Allocation[[#This Row],[SAP Contract number]],Shipments[[SAP Contract number]:[Contracted container weight]],2,FALSE)</f>
        <v>#N/A</v>
      </c>
      <c r="W174" s="34" t="e">
        <f>VLOOKUP(Allocation[[#This Row],[SAP Contract number]],Shipments[[SAP Contract number]:[AAA Premium USD]],24,FALSE)</f>
        <v>#N/A</v>
      </c>
      <c r="X174" s="34" t="e">
        <f>VLOOKUP(Allocation[[#This Row],[SAP Contract number]],Shipments[[SAP Contract number]:[RA Premium USD]],25,FALSE)</f>
        <v>#N/A</v>
      </c>
      <c r="Y174" s="38">
        <f>Allocation[[#This Row],[Quantity Processed]]/Allocation[[#This Row],[Quantity allocated]]</f>
        <v>2.1731843575418996</v>
      </c>
      <c r="Z174" s="34" t="b">
        <f>Allocation[[#This Row],[Quantity allocated]]&lt;=Allocation[[#This Row],[Quantity Processed]]</f>
        <v>1</v>
      </c>
    </row>
    <row r="175" spans="1:26">
      <c r="A175" s="247" t="s">
        <v>467</v>
      </c>
      <c r="B175" s="160" t="s">
        <v>68</v>
      </c>
      <c r="C175" s="249" t="s">
        <v>653</v>
      </c>
      <c r="D175" s="250">
        <v>389</v>
      </c>
      <c r="E175" s="160" t="s">
        <v>1186</v>
      </c>
      <c r="F175" s="158">
        <v>43487</v>
      </c>
      <c r="G175" s="162">
        <v>2.93</v>
      </c>
      <c r="H175" s="250">
        <v>179</v>
      </c>
      <c r="I175" s="160">
        <v>1425072</v>
      </c>
      <c r="J175" s="163">
        <v>21600</v>
      </c>
      <c r="K175" s="158">
        <v>43494</v>
      </c>
      <c r="L175" s="160" t="s">
        <v>1195</v>
      </c>
      <c r="M175" s="160">
        <v>4615513976</v>
      </c>
      <c r="N175" s="158">
        <v>43516</v>
      </c>
      <c r="O175" s="164">
        <v>3.7094</v>
      </c>
      <c r="P175" s="165">
        <v>19739</v>
      </c>
      <c r="Q175" s="34">
        <f>SUMIF(Allocation[Delivery ID],Allocation[[#This Row],[Delivery ID]],Allocation[Quantity Processed])</f>
        <v>517</v>
      </c>
      <c r="R175" s="61">
        <f>Allocation[[#This Row],[Total volume used]]/VLOOKUP(Allocation[[#This Row],[Delivery ID]],Delivery[[Delivery ID]:[Quantity delivered]],3,FALSE)</f>
        <v>1.7096560846560846E-2</v>
      </c>
      <c r="S175" s="34">
        <f>Allocation[[#This Row],[Quantity Processed]]/Allocation[[#This Row],[Dilution rate]]</f>
        <v>132.76450511945393</v>
      </c>
      <c r="T175" s="59">
        <f>SUMIF(Allocation[Delivery ID],Allocation[[#This Row],[Delivery ID]],Allocation[Quantity allocated])/SUMIF(Allocation[Delivery ID],Allocation[[#This Row],[Delivery ID]],Allocation[Volume available (kg)])</f>
        <v>1.2937278299716521</v>
      </c>
      <c r="U175" s="61">
        <f>Allocation[[#This Row],[Total volume used]]/VLOOKUP(Allocation[[#This Row],[Delivery ID]],Delivery[[Delivery ID]:[Quantity delivered]],3,FALSE)</f>
        <v>1.7096560846560846E-2</v>
      </c>
      <c r="V175" s="34" t="e">
        <f>VLOOKUP(Allocation[[#This Row],[SAP Contract number]],Shipments[[SAP Contract number]:[Contracted container weight]],2,FALSE)</f>
        <v>#N/A</v>
      </c>
      <c r="W175" s="34" t="e">
        <f>VLOOKUP(Allocation[[#This Row],[SAP Contract number]],Shipments[[SAP Contract number]:[AAA Premium USD]],24,FALSE)</f>
        <v>#N/A</v>
      </c>
      <c r="X175" s="34" t="e">
        <f>VLOOKUP(Allocation[[#This Row],[SAP Contract number]],Shipments[[SAP Contract number]:[RA Premium USD]],25,FALSE)</f>
        <v>#N/A</v>
      </c>
      <c r="Y175" s="38">
        <f>Allocation[[#This Row],[Quantity Processed]]/Allocation[[#This Row],[Quantity allocated]]</f>
        <v>2.1731843575418996</v>
      </c>
      <c r="Z175" s="34" t="b">
        <f>Allocation[[#This Row],[Quantity allocated]]&lt;=Allocation[[#This Row],[Quantity Processed]]</f>
        <v>1</v>
      </c>
    </row>
    <row r="176" spans="1:26">
      <c r="A176" s="247" t="s">
        <v>467</v>
      </c>
      <c r="B176" s="160" t="s">
        <v>68</v>
      </c>
      <c r="C176" s="249" t="s">
        <v>654</v>
      </c>
      <c r="D176" s="250">
        <v>389</v>
      </c>
      <c r="E176" s="160" t="s">
        <v>1186</v>
      </c>
      <c r="F176" s="158">
        <v>43487</v>
      </c>
      <c r="G176" s="162">
        <v>2.93</v>
      </c>
      <c r="H176" s="250">
        <v>179</v>
      </c>
      <c r="I176" s="160">
        <v>1425072</v>
      </c>
      <c r="J176" s="163">
        <v>21600</v>
      </c>
      <c r="K176" s="158">
        <v>43494</v>
      </c>
      <c r="L176" s="160" t="s">
        <v>1195</v>
      </c>
      <c r="M176" s="160">
        <v>4615513976</v>
      </c>
      <c r="N176" s="158">
        <v>43516</v>
      </c>
      <c r="O176" s="164">
        <v>3.7094</v>
      </c>
      <c r="P176" s="165">
        <v>19739</v>
      </c>
      <c r="Q176" s="34">
        <f>SUMIF(Allocation[Delivery ID],Allocation[[#This Row],[Delivery ID]],Allocation[Quantity Processed])</f>
        <v>517</v>
      </c>
      <c r="R176" s="61">
        <f>Allocation[[#This Row],[Total volume used]]/VLOOKUP(Allocation[[#This Row],[Delivery ID]],Delivery[[Delivery ID]:[Quantity delivered]],3,FALSE)</f>
        <v>2.3351400180668475E-2</v>
      </c>
      <c r="S176" s="34">
        <f>Allocation[[#This Row],[Quantity Processed]]/Allocation[[#This Row],[Dilution rate]]</f>
        <v>132.76450511945393</v>
      </c>
      <c r="T176" s="59">
        <f>SUMIF(Allocation[Delivery ID],Allocation[[#This Row],[Delivery ID]],Allocation[Quantity allocated])/SUMIF(Allocation[Delivery ID],Allocation[[#This Row],[Delivery ID]],Allocation[Volume available (kg)])</f>
        <v>1.2937278299716521</v>
      </c>
      <c r="U176" s="61">
        <f>Allocation[[#This Row],[Total volume used]]/VLOOKUP(Allocation[[#This Row],[Delivery ID]],Delivery[[Delivery ID]:[Quantity delivered]],3,FALSE)</f>
        <v>2.3351400180668475E-2</v>
      </c>
      <c r="V176" s="34" t="e">
        <f>VLOOKUP(Allocation[[#This Row],[SAP Contract number]],Shipments[[SAP Contract number]:[Contracted container weight]],2,FALSE)</f>
        <v>#N/A</v>
      </c>
      <c r="W176" s="34" t="e">
        <f>VLOOKUP(Allocation[[#This Row],[SAP Contract number]],Shipments[[SAP Contract number]:[AAA Premium USD]],24,FALSE)</f>
        <v>#N/A</v>
      </c>
      <c r="X176" s="34" t="e">
        <f>VLOOKUP(Allocation[[#This Row],[SAP Contract number]],Shipments[[SAP Contract number]:[RA Premium USD]],25,FALSE)</f>
        <v>#N/A</v>
      </c>
      <c r="Y176" s="38">
        <f>Allocation[[#This Row],[Quantity Processed]]/Allocation[[#This Row],[Quantity allocated]]</f>
        <v>2.1731843575418996</v>
      </c>
      <c r="Z176" s="34" t="b">
        <f>Allocation[[#This Row],[Quantity allocated]]&lt;=Allocation[[#This Row],[Quantity Processed]]</f>
        <v>1</v>
      </c>
    </row>
    <row r="177" spans="1:26">
      <c r="A177" s="247" t="s">
        <v>467</v>
      </c>
      <c r="B177" s="160" t="s">
        <v>68</v>
      </c>
      <c r="C177" s="249" t="s">
        <v>655</v>
      </c>
      <c r="D177" s="250">
        <v>482</v>
      </c>
      <c r="E177" s="160" t="s">
        <v>1186</v>
      </c>
      <c r="F177" s="158">
        <v>43487</v>
      </c>
      <c r="G177" s="162">
        <v>2.93</v>
      </c>
      <c r="H177" s="250">
        <v>159</v>
      </c>
      <c r="I177" s="160">
        <v>1425072</v>
      </c>
      <c r="J177" s="163">
        <v>21600</v>
      </c>
      <c r="K177" s="158">
        <v>43494</v>
      </c>
      <c r="L177" s="160" t="s">
        <v>1195</v>
      </c>
      <c r="M177" s="160">
        <v>4615513976</v>
      </c>
      <c r="N177" s="158">
        <v>43516</v>
      </c>
      <c r="O177" s="164">
        <v>3.7094</v>
      </c>
      <c r="P177" s="165">
        <v>19739</v>
      </c>
      <c r="Q177" s="34">
        <f>SUMIF(Allocation[Delivery ID],Allocation[[#This Row],[Delivery ID]],Allocation[Quantity Processed])</f>
        <v>661</v>
      </c>
      <c r="R177" s="61">
        <f>Allocation[[#This Row],[Total volume used]]/VLOOKUP(Allocation[[#This Row],[Delivery ID]],Delivery[[Delivery ID]:[Quantity delivered]],3,FALSE)</f>
        <v>2.1719129920483669E-2</v>
      </c>
      <c r="S177" s="34">
        <f>Allocation[[#This Row],[Quantity Processed]]/Allocation[[#This Row],[Dilution rate]]</f>
        <v>164.50511945392492</v>
      </c>
      <c r="T177" s="59">
        <f>SUMIF(Allocation[Delivery ID],Allocation[[#This Row],[Delivery ID]],Allocation[Quantity allocated])/SUMIF(Allocation[Delivery ID],Allocation[[#This Row],[Delivery ID]],Allocation[Volume available (kg)])</f>
        <v>0.92331754815058953</v>
      </c>
      <c r="U177" s="61">
        <f>Allocation[[#This Row],[Total volume used]]/VLOOKUP(Allocation[[#This Row],[Delivery ID]],Delivery[[Delivery ID]:[Quantity delivered]],3,FALSE)</f>
        <v>2.1719129920483669E-2</v>
      </c>
      <c r="V177" s="34" t="e">
        <f>VLOOKUP(Allocation[[#This Row],[SAP Contract number]],Shipments[[SAP Contract number]:[Contracted container weight]],2,FALSE)</f>
        <v>#N/A</v>
      </c>
      <c r="W177" s="34" t="e">
        <f>VLOOKUP(Allocation[[#This Row],[SAP Contract number]],Shipments[[SAP Contract number]:[AAA Premium USD]],24,FALSE)</f>
        <v>#N/A</v>
      </c>
      <c r="X177" s="34" t="e">
        <f>VLOOKUP(Allocation[[#This Row],[SAP Contract number]],Shipments[[SAP Contract number]:[RA Premium USD]],25,FALSE)</f>
        <v>#N/A</v>
      </c>
      <c r="Y177" s="38">
        <f>Allocation[[#This Row],[Quantity Processed]]/Allocation[[#This Row],[Quantity allocated]]</f>
        <v>3.0314465408805034</v>
      </c>
      <c r="Z177" s="34" t="b">
        <f>Allocation[[#This Row],[Quantity allocated]]&lt;=Allocation[[#This Row],[Quantity Processed]]</f>
        <v>1</v>
      </c>
    </row>
    <row r="178" spans="1:26">
      <c r="A178" s="247" t="s">
        <v>467</v>
      </c>
      <c r="B178" s="160" t="s">
        <v>68</v>
      </c>
      <c r="C178" s="249" t="s">
        <v>656</v>
      </c>
      <c r="D178" s="250">
        <v>530</v>
      </c>
      <c r="E178" s="160" t="s">
        <v>1186</v>
      </c>
      <c r="F178" s="158">
        <v>43487</v>
      </c>
      <c r="G178" s="162">
        <v>2.93</v>
      </c>
      <c r="H178" s="250">
        <v>159</v>
      </c>
      <c r="I178" s="160">
        <v>1425072</v>
      </c>
      <c r="J178" s="163">
        <v>21600</v>
      </c>
      <c r="K178" s="158">
        <v>43494</v>
      </c>
      <c r="L178" s="160" t="s">
        <v>1195</v>
      </c>
      <c r="M178" s="160">
        <v>4615513976</v>
      </c>
      <c r="N178" s="158">
        <v>43516</v>
      </c>
      <c r="O178" s="164">
        <v>3.7094</v>
      </c>
      <c r="P178" s="165">
        <v>19739</v>
      </c>
      <c r="Q178" s="34">
        <f>SUMIF(Allocation[Delivery ID],Allocation[[#This Row],[Delivery ID]],Allocation[Quantity Processed])</f>
        <v>727</v>
      </c>
      <c r="R178" s="61">
        <f>Allocation[[#This Row],[Total volume used]]/VLOOKUP(Allocation[[#This Row],[Delivery ID]],Delivery[[Delivery ID]:[Quantity delivered]],3,FALSE)</f>
        <v>2.3859533967837215E-2</v>
      </c>
      <c r="S178" s="34">
        <f>Allocation[[#This Row],[Quantity Processed]]/Allocation[[#This Row],[Dilution rate]]</f>
        <v>180.88737201365186</v>
      </c>
      <c r="T178" s="59">
        <f>SUMIF(Allocation[Delivery ID],Allocation[[#This Row],[Delivery ID]],Allocation[Quantity allocated])/SUMIF(Allocation[Delivery ID],Allocation[[#This Row],[Delivery ID]],Allocation[Volume available (kg)])</f>
        <v>0.83947093118004856</v>
      </c>
      <c r="U178" s="61">
        <f>Allocation[[#This Row],[Total volume used]]/VLOOKUP(Allocation[[#This Row],[Delivery ID]],Delivery[[Delivery ID]:[Quantity delivered]],3,FALSE)</f>
        <v>2.3859533967837215E-2</v>
      </c>
      <c r="V178" s="34" t="e">
        <f>VLOOKUP(Allocation[[#This Row],[SAP Contract number]],Shipments[[SAP Contract number]:[Contracted container weight]],2,FALSE)</f>
        <v>#N/A</v>
      </c>
      <c r="W178" s="34" t="e">
        <f>VLOOKUP(Allocation[[#This Row],[SAP Contract number]],Shipments[[SAP Contract number]:[AAA Premium USD]],24,FALSE)</f>
        <v>#N/A</v>
      </c>
      <c r="X178" s="34" t="e">
        <f>VLOOKUP(Allocation[[#This Row],[SAP Contract number]],Shipments[[SAP Contract number]:[RA Premium USD]],25,FALSE)</f>
        <v>#N/A</v>
      </c>
      <c r="Y178" s="38">
        <f>Allocation[[#This Row],[Quantity Processed]]/Allocation[[#This Row],[Quantity allocated]]</f>
        <v>3.3333333333333335</v>
      </c>
      <c r="Z178" s="34" t="b">
        <f>Allocation[[#This Row],[Quantity allocated]]&lt;=Allocation[[#This Row],[Quantity Processed]]</f>
        <v>1</v>
      </c>
    </row>
    <row r="179" spans="1:26">
      <c r="A179" s="247" t="s">
        <v>467</v>
      </c>
      <c r="B179" s="160" t="s">
        <v>68</v>
      </c>
      <c r="C179" s="249" t="s">
        <v>657</v>
      </c>
      <c r="D179" s="250">
        <v>597</v>
      </c>
      <c r="E179" s="160" t="s">
        <v>1186</v>
      </c>
      <c r="F179" s="158">
        <v>43487</v>
      </c>
      <c r="G179" s="162">
        <v>2.93</v>
      </c>
      <c r="H179" s="250">
        <v>179</v>
      </c>
      <c r="I179" s="160">
        <v>1425072</v>
      </c>
      <c r="J179" s="163">
        <v>21600</v>
      </c>
      <c r="K179" s="158">
        <v>43494</v>
      </c>
      <c r="L179" s="160" t="s">
        <v>1195</v>
      </c>
      <c r="M179" s="160">
        <v>4615513976</v>
      </c>
      <c r="N179" s="158">
        <v>43516</v>
      </c>
      <c r="O179" s="164">
        <v>3.7094</v>
      </c>
      <c r="P179" s="165">
        <v>19739</v>
      </c>
      <c r="Q179" s="34">
        <f>SUMIF(Allocation[Delivery ID],Allocation[[#This Row],[Delivery ID]],Allocation[Quantity Processed])</f>
        <v>597</v>
      </c>
      <c r="R179" s="61">
        <f>Allocation[[#This Row],[Total volume used]]/VLOOKUP(Allocation[[#This Row],[Delivery ID]],Delivery[[Delivery ID]:[Quantity delivered]],3,FALSE)</f>
        <v>2.3803827751196171E-2</v>
      </c>
      <c r="S179" s="34">
        <f>Allocation[[#This Row],[Quantity Processed]]/Allocation[[#This Row],[Dilution rate]]</f>
        <v>203.75426621160409</v>
      </c>
      <c r="T179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79" s="61">
        <f>Allocation[[#This Row],[Total volume used]]/VLOOKUP(Allocation[[#This Row],[Delivery ID]],Delivery[[Delivery ID]:[Quantity delivered]],3,FALSE)</f>
        <v>2.3803827751196171E-2</v>
      </c>
      <c r="V179" s="34" t="e">
        <f>VLOOKUP(Allocation[[#This Row],[SAP Contract number]],Shipments[[SAP Contract number]:[Contracted container weight]],2,FALSE)</f>
        <v>#N/A</v>
      </c>
      <c r="W179" s="34" t="e">
        <f>VLOOKUP(Allocation[[#This Row],[SAP Contract number]],Shipments[[SAP Contract number]:[AAA Premium USD]],24,FALSE)</f>
        <v>#N/A</v>
      </c>
      <c r="X179" s="34" t="e">
        <f>VLOOKUP(Allocation[[#This Row],[SAP Contract number]],Shipments[[SAP Contract number]:[RA Premium USD]],25,FALSE)</f>
        <v>#N/A</v>
      </c>
      <c r="Y179" s="38">
        <f>Allocation[[#This Row],[Quantity Processed]]/Allocation[[#This Row],[Quantity allocated]]</f>
        <v>3.3351955307262569</v>
      </c>
      <c r="Z179" s="34" t="b">
        <f>Allocation[[#This Row],[Quantity allocated]]&lt;=Allocation[[#This Row],[Quantity Processed]]</f>
        <v>1</v>
      </c>
    </row>
    <row r="180" spans="1:26">
      <c r="A180" s="247" t="s">
        <v>467</v>
      </c>
      <c r="B180" s="160" t="s">
        <v>68</v>
      </c>
      <c r="C180" s="249" t="s">
        <v>658</v>
      </c>
      <c r="D180" s="250">
        <v>597</v>
      </c>
      <c r="E180" s="160" t="s">
        <v>1186</v>
      </c>
      <c r="F180" s="158">
        <v>43487</v>
      </c>
      <c r="G180" s="162">
        <v>2.93</v>
      </c>
      <c r="H180" s="250">
        <v>179</v>
      </c>
      <c r="I180" s="160">
        <v>1425072</v>
      </c>
      <c r="J180" s="163">
        <v>21600</v>
      </c>
      <c r="K180" s="158">
        <v>43494</v>
      </c>
      <c r="L180" s="160" t="s">
        <v>1195</v>
      </c>
      <c r="M180" s="160">
        <v>4615513976</v>
      </c>
      <c r="N180" s="158">
        <v>43516</v>
      </c>
      <c r="O180" s="164">
        <v>3.7094</v>
      </c>
      <c r="P180" s="165">
        <v>19739</v>
      </c>
      <c r="Q180" s="34">
        <f>SUMIF(Allocation[Delivery ID],Allocation[[#This Row],[Delivery ID]],Allocation[Quantity Processed])</f>
        <v>794</v>
      </c>
      <c r="R180" s="61">
        <f>Allocation[[#This Row],[Total volume used]]/VLOOKUP(Allocation[[#This Row],[Delivery ID]],Delivery[[Delivery ID]:[Quantity delivered]],3,FALSE)</f>
        <v>2.6049868766404201E-2</v>
      </c>
      <c r="S180" s="34">
        <f>Allocation[[#This Row],[Quantity Processed]]/Allocation[[#This Row],[Dilution rate]]</f>
        <v>203.75426621160409</v>
      </c>
      <c r="T180" s="59">
        <f>SUMIF(Allocation[Delivery ID],Allocation[[#This Row],[Delivery ID]],Allocation[Quantity allocated])/SUMIF(Allocation[Delivery ID],Allocation[[#This Row],[Delivery ID]],Allocation[Volume available (kg)])</f>
        <v>0.84231607326630298</v>
      </c>
      <c r="U180" s="61">
        <f>Allocation[[#This Row],[Total volume used]]/VLOOKUP(Allocation[[#This Row],[Delivery ID]],Delivery[[Delivery ID]:[Quantity delivered]],3,FALSE)</f>
        <v>2.6049868766404201E-2</v>
      </c>
      <c r="V180" s="34" t="e">
        <f>VLOOKUP(Allocation[[#This Row],[SAP Contract number]],Shipments[[SAP Contract number]:[Contracted container weight]],2,FALSE)</f>
        <v>#N/A</v>
      </c>
      <c r="W180" s="34" t="e">
        <f>VLOOKUP(Allocation[[#This Row],[SAP Contract number]],Shipments[[SAP Contract number]:[AAA Premium USD]],24,FALSE)</f>
        <v>#N/A</v>
      </c>
      <c r="X180" s="34" t="e">
        <f>VLOOKUP(Allocation[[#This Row],[SAP Contract number]],Shipments[[SAP Contract number]:[RA Premium USD]],25,FALSE)</f>
        <v>#N/A</v>
      </c>
      <c r="Y180" s="38">
        <f>Allocation[[#This Row],[Quantity Processed]]/Allocation[[#This Row],[Quantity allocated]]</f>
        <v>3.3351955307262569</v>
      </c>
      <c r="Z180" s="34" t="b">
        <f>Allocation[[#This Row],[Quantity allocated]]&lt;=Allocation[[#This Row],[Quantity Processed]]</f>
        <v>1</v>
      </c>
    </row>
    <row r="181" spans="1:26">
      <c r="A181" s="247" t="s">
        <v>467</v>
      </c>
      <c r="B181" s="160" t="s">
        <v>68</v>
      </c>
      <c r="C181" s="249" t="s">
        <v>659</v>
      </c>
      <c r="D181" s="250">
        <v>597</v>
      </c>
      <c r="E181" s="160" t="s">
        <v>1186</v>
      </c>
      <c r="F181" s="158">
        <v>43487</v>
      </c>
      <c r="G181" s="162">
        <v>2.93</v>
      </c>
      <c r="H181" s="250">
        <v>179</v>
      </c>
      <c r="I181" s="160">
        <v>1425072</v>
      </c>
      <c r="J181" s="163">
        <v>21600</v>
      </c>
      <c r="K181" s="158">
        <v>43494</v>
      </c>
      <c r="L181" s="160" t="s">
        <v>1195</v>
      </c>
      <c r="M181" s="160">
        <v>4615513976</v>
      </c>
      <c r="N181" s="158">
        <v>43516</v>
      </c>
      <c r="O181" s="164">
        <v>3.7094</v>
      </c>
      <c r="P181" s="165">
        <v>19739</v>
      </c>
      <c r="Q181" s="34">
        <f>SUMIF(Allocation[Delivery ID],Allocation[[#This Row],[Delivery ID]],Allocation[Quantity Processed])</f>
        <v>794</v>
      </c>
      <c r="R181" s="61">
        <f>Allocation[[#This Row],[Total volume used]]/VLOOKUP(Allocation[[#This Row],[Delivery ID]],Delivery[[Delivery ID]:[Quantity delivered]],3,FALSE)</f>
        <v>2.5998690242305174E-2</v>
      </c>
      <c r="S181" s="34">
        <f>Allocation[[#This Row],[Quantity Processed]]/Allocation[[#This Row],[Dilution rate]]</f>
        <v>203.75426621160409</v>
      </c>
      <c r="T181" s="59">
        <f>SUMIF(Allocation[Delivery ID],Allocation[[#This Row],[Delivery ID]],Allocation[Quantity allocated])/SUMIF(Allocation[Delivery ID],Allocation[[#This Row],[Delivery ID]],Allocation[Volume available (kg)])</f>
        <v>0.84231607326630298</v>
      </c>
      <c r="U181" s="61">
        <f>Allocation[[#This Row],[Total volume used]]/VLOOKUP(Allocation[[#This Row],[Delivery ID]],Delivery[[Delivery ID]:[Quantity delivered]],3,FALSE)</f>
        <v>2.5998690242305174E-2</v>
      </c>
      <c r="V181" s="34" t="e">
        <f>VLOOKUP(Allocation[[#This Row],[SAP Contract number]],Shipments[[SAP Contract number]:[Contracted container weight]],2,FALSE)</f>
        <v>#N/A</v>
      </c>
      <c r="W181" s="34" t="e">
        <f>VLOOKUP(Allocation[[#This Row],[SAP Contract number]],Shipments[[SAP Contract number]:[AAA Premium USD]],24,FALSE)</f>
        <v>#N/A</v>
      </c>
      <c r="X181" s="34" t="e">
        <f>VLOOKUP(Allocation[[#This Row],[SAP Contract number]],Shipments[[SAP Contract number]:[RA Premium USD]],25,FALSE)</f>
        <v>#N/A</v>
      </c>
      <c r="Y181" s="38">
        <f>Allocation[[#This Row],[Quantity Processed]]/Allocation[[#This Row],[Quantity allocated]]</f>
        <v>3.3351955307262569</v>
      </c>
      <c r="Z181" s="34" t="b">
        <f>Allocation[[#This Row],[Quantity allocated]]&lt;=Allocation[[#This Row],[Quantity Processed]]</f>
        <v>1</v>
      </c>
    </row>
    <row r="182" spans="1:26">
      <c r="A182" s="247" t="s">
        <v>467</v>
      </c>
      <c r="B182" s="160" t="s">
        <v>68</v>
      </c>
      <c r="C182" s="249" t="s">
        <v>660</v>
      </c>
      <c r="D182" s="250">
        <v>389</v>
      </c>
      <c r="E182" s="160" t="s">
        <v>1186</v>
      </c>
      <c r="F182" s="158">
        <v>43487</v>
      </c>
      <c r="G182" s="162">
        <v>2.93</v>
      </c>
      <c r="H182" s="250">
        <v>179</v>
      </c>
      <c r="I182" s="160">
        <v>1425072</v>
      </c>
      <c r="J182" s="163">
        <v>21600</v>
      </c>
      <c r="K182" s="158">
        <v>43494</v>
      </c>
      <c r="L182" s="160" t="s">
        <v>1195</v>
      </c>
      <c r="M182" s="160">
        <v>4615513976</v>
      </c>
      <c r="N182" s="158">
        <v>43516</v>
      </c>
      <c r="O182" s="164">
        <v>3.7094</v>
      </c>
      <c r="P182" s="165">
        <v>19739</v>
      </c>
      <c r="Q182" s="34">
        <f>SUMIF(Allocation[Delivery ID],Allocation[[#This Row],[Delivery ID]],Allocation[Quantity Processed])</f>
        <v>517</v>
      </c>
      <c r="R182" s="61">
        <f>Allocation[[#This Row],[Total volume used]]/VLOOKUP(Allocation[[#This Row],[Delivery ID]],Delivery[[Delivery ID]:[Quantity delivered]],3,FALSE)</f>
        <v>1.7096560846560846E-2</v>
      </c>
      <c r="S182" s="34">
        <f>Allocation[[#This Row],[Quantity Processed]]/Allocation[[#This Row],[Dilution rate]]</f>
        <v>132.76450511945393</v>
      </c>
      <c r="T182" s="59">
        <f>SUMIF(Allocation[Delivery ID],Allocation[[#This Row],[Delivery ID]],Allocation[Quantity allocated])/SUMIF(Allocation[Delivery ID],Allocation[[#This Row],[Delivery ID]],Allocation[Volume available (kg)])</f>
        <v>1.2937278299716521</v>
      </c>
      <c r="U182" s="61">
        <f>Allocation[[#This Row],[Total volume used]]/VLOOKUP(Allocation[[#This Row],[Delivery ID]],Delivery[[Delivery ID]:[Quantity delivered]],3,FALSE)</f>
        <v>1.7096560846560846E-2</v>
      </c>
      <c r="V182" s="34" t="e">
        <f>VLOOKUP(Allocation[[#This Row],[SAP Contract number]],Shipments[[SAP Contract number]:[Contracted container weight]],2,FALSE)</f>
        <v>#N/A</v>
      </c>
      <c r="W182" s="34" t="e">
        <f>VLOOKUP(Allocation[[#This Row],[SAP Contract number]],Shipments[[SAP Contract number]:[AAA Premium USD]],24,FALSE)</f>
        <v>#N/A</v>
      </c>
      <c r="X182" s="34" t="e">
        <f>VLOOKUP(Allocation[[#This Row],[SAP Contract number]],Shipments[[SAP Contract number]:[RA Premium USD]],25,FALSE)</f>
        <v>#N/A</v>
      </c>
      <c r="Y182" s="38">
        <f>Allocation[[#This Row],[Quantity Processed]]/Allocation[[#This Row],[Quantity allocated]]</f>
        <v>2.1731843575418996</v>
      </c>
      <c r="Z182" s="34" t="b">
        <f>Allocation[[#This Row],[Quantity allocated]]&lt;=Allocation[[#This Row],[Quantity Processed]]</f>
        <v>1</v>
      </c>
    </row>
    <row r="183" spans="1:26">
      <c r="A183" s="247" t="s">
        <v>467</v>
      </c>
      <c r="B183" s="160" t="s">
        <v>68</v>
      </c>
      <c r="C183" s="249" t="s">
        <v>661</v>
      </c>
      <c r="D183" s="250">
        <v>542</v>
      </c>
      <c r="E183" s="160" t="s">
        <v>1186</v>
      </c>
      <c r="F183" s="158">
        <v>43487</v>
      </c>
      <c r="G183" s="162">
        <v>2.93</v>
      </c>
      <c r="H183" s="250">
        <v>179</v>
      </c>
      <c r="I183" s="160">
        <v>1425072</v>
      </c>
      <c r="J183" s="163">
        <v>21600</v>
      </c>
      <c r="K183" s="158">
        <v>43494</v>
      </c>
      <c r="L183" s="160" t="s">
        <v>1195</v>
      </c>
      <c r="M183" s="160">
        <v>4615513976</v>
      </c>
      <c r="N183" s="158">
        <v>43516</v>
      </c>
      <c r="O183" s="164">
        <v>3.7094</v>
      </c>
      <c r="P183" s="165">
        <v>19739</v>
      </c>
      <c r="Q183" s="34">
        <f>SUMIF(Allocation[Delivery ID],Allocation[[#This Row],[Delivery ID]],Allocation[Quantity Processed])</f>
        <v>721</v>
      </c>
      <c r="R183" s="61">
        <f>Allocation[[#This Row],[Total volume used]]/VLOOKUP(Allocation[[#This Row],[Delivery ID]],Delivery[[Delivery ID]:[Quantity delivered]],3,FALSE)</f>
        <v>2.3937583001328023E-2</v>
      </c>
      <c r="S183" s="34">
        <f>Allocation[[#This Row],[Quantity Processed]]/Allocation[[#This Row],[Dilution rate]]</f>
        <v>184.98293515358361</v>
      </c>
      <c r="T183" s="59">
        <f>SUMIF(Allocation[Delivery ID],Allocation[[#This Row],[Delivery ID]],Allocation[Quantity allocated])/SUMIF(Allocation[Delivery ID],Allocation[[#This Row],[Delivery ID]],Allocation[Volume available (kg)])</f>
        <v>0.92757532708689161</v>
      </c>
      <c r="U183" s="61">
        <f>Allocation[[#This Row],[Total volume used]]/VLOOKUP(Allocation[[#This Row],[Delivery ID]],Delivery[[Delivery ID]:[Quantity delivered]],3,FALSE)</f>
        <v>2.3937583001328023E-2</v>
      </c>
      <c r="V183" s="34" t="e">
        <f>VLOOKUP(Allocation[[#This Row],[SAP Contract number]],Shipments[[SAP Contract number]:[Contracted container weight]],2,FALSE)</f>
        <v>#N/A</v>
      </c>
      <c r="W183" s="34" t="e">
        <f>VLOOKUP(Allocation[[#This Row],[SAP Contract number]],Shipments[[SAP Contract number]:[AAA Premium USD]],24,FALSE)</f>
        <v>#N/A</v>
      </c>
      <c r="X183" s="34" t="e">
        <f>VLOOKUP(Allocation[[#This Row],[SAP Contract number]],Shipments[[SAP Contract number]:[RA Premium USD]],25,FALSE)</f>
        <v>#N/A</v>
      </c>
      <c r="Y183" s="38">
        <f>Allocation[[#This Row],[Quantity Processed]]/Allocation[[#This Row],[Quantity allocated]]</f>
        <v>3.0279329608938546</v>
      </c>
      <c r="Z183" s="34" t="b">
        <f>Allocation[[#This Row],[Quantity allocated]]&lt;=Allocation[[#This Row],[Quantity Processed]]</f>
        <v>1</v>
      </c>
    </row>
    <row r="184" spans="1:26">
      <c r="A184" s="247" t="s">
        <v>467</v>
      </c>
      <c r="B184" s="160" t="s">
        <v>68</v>
      </c>
      <c r="C184" s="249" t="s">
        <v>662</v>
      </c>
      <c r="D184" s="250">
        <v>476</v>
      </c>
      <c r="E184" s="160" t="s">
        <v>1186</v>
      </c>
      <c r="F184" s="158">
        <v>43487</v>
      </c>
      <c r="G184" s="162">
        <v>2.93</v>
      </c>
      <c r="H184" s="250">
        <v>157</v>
      </c>
      <c r="I184" s="160">
        <v>1425072</v>
      </c>
      <c r="J184" s="163">
        <v>21600</v>
      </c>
      <c r="K184" s="158">
        <v>43494</v>
      </c>
      <c r="L184" s="160" t="s">
        <v>1195</v>
      </c>
      <c r="M184" s="160">
        <v>4615513976</v>
      </c>
      <c r="N184" s="158">
        <v>43516</v>
      </c>
      <c r="O184" s="164">
        <v>3.7094</v>
      </c>
      <c r="P184" s="165">
        <v>19739</v>
      </c>
      <c r="Q184" s="34">
        <f>SUMIF(Allocation[Delivery ID],Allocation[[#This Row],[Delivery ID]],Allocation[Quantity Processed])</f>
        <v>655</v>
      </c>
      <c r="R184" s="61">
        <f>Allocation[[#This Row],[Total volume used]]/VLOOKUP(Allocation[[#This Row],[Delivery ID]],Delivery[[Delivery ID]:[Quantity delivered]],3,FALSE)</f>
        <v>2.1783956365571372E-2</v>
      </c>
      <c r="S184" s="34">
        <f>Allocation[[#This Row],[Quantity Processed]]/Allocation[[#This Row],[Dilution rate]]</f>
        <v>162.45733788395904</v>
      </c>
      <c r="T184" s="59">
        <f>SUMIF(Allocation[Delivery ID],Allocation[[#This Row],[Delivery ID]],Allocation[Quantity allocated])/SUMIF(Allocation[Delivery ID],Allocation[[#This Row],[Delivery ID]],Allocation[Volume available (kg)])</f>
        <v>0.92285079353969457</v>
      </c>
      <c r="U184" s="61">
        <f>Allocation[[#This Row],[Total volume used]]/VLOOKUP(Allocation[[#This Row],[Delivery ID]],Delivery[[Delivery ID]:[Quantity delivered]],3,FALSE)</f>
        <v>2.1783956365571372E-2</v>
      </c>
      <c r="V184" s="34" t="e">
        <f>VLOOKUP(Allocation[[#This Row],[SAP Contract number]],Shipments[[SAP Contract number]:[Contracted container weight]],2,FALSE)</f>
        <v>#N/A</v>
      </c>
      <c r="W184" s="34" t="e">
        <f>VLOOKUP(Allocation[[#This Row],[SAP Contract number]],Shipments[[SAP Contract number]:[AAA Premium USD]],24,FALSE)</f>
        <v>#N/A</v>
      </c>
      <c r="X184" s="34" t="e">
        <f>VLOOKUP(Allocation[[#This Row],[SAP Contract number]],Shipments[[SAP Contract number]:[RA Premium USD]],25,FALSE)</f>
        <v>#N/A</v>
      </c>
      <c r="Y184" s="38">
        <f>Allocation[[#This Row],[Quantity Processed]]/Allocation[[#This Row],[Quantity allocated]]</f>
        <v>3.031847133757962</v>
      </c>
      <c r="Z184" s="34" t="b">
        <f>Allocation[[#This Row],[Quantity allocated]]&lt;=Allocation[[#This Row],[Quantity Processed]]</f>
        <v>1</v>
      </c>
    </row>
    <row r="185" spans="1:26">
      <c r="A185" s="247" t="s">
        <v>467</v>
      </c>
      <c r="B185" s="160" t="s">
        <v>68</v>
      </c>
      <c r="C185" s="249" t="s">
        <v>663</v>
      </c>
      <c r="D185" s="250">
        <v>330</v>
      </c>
      <c r="E185" s="160" t="s">
        <v>1186</v>
      </c>
      <c r="F185" s="158">
        <v>43487</v>
      </c>
      <c r="G185" s="162">
        <v>2.93</v>
      </c>
      <c r="H185" s="250">
        <v>109</v>
      </c>
      <c r="I185" s="160">
        <v>1425072</v>
      </c>
      <c r="J185" s="163">
        <v>21600</v>
      </c>
      <c r="K185" s="158">
        <v>43494</v>
      </c>
      <c r="L185" s="160" t="s">
        <v>1195</v>
      </c>
      <c r="M185" s="160">
        <v>4615513976</v>
      </c>
      <c r="N185" s="158">
        <v>43516</v>
      </c>
      <c r="O185" s="164">
        <v>3.7094</v>
      </c>
      <c r="P185" s="165">
        <v>19739</v>
      </c>
      <c r="Q185" s="34">
        <f>SUMIF(Allocation[Delivery ID],Allocation[[#This Row],[Delivery ID]],Allocation[Quantity Processed])</f>
        <v>721</v>
      </c>
      <c r="R185" s="61">
        <f>Allocation[[#This Row],[Total volume used]]/VLOOKUP(Allocation[[#This Row],[Delivery ID]],Delivery[[Delivery ID]:[Quantity delivered]],3,FALSE)</f>
        <v>2.3937583001328023E-2</v>
      </c>
      <c r="S185" s="34">
        <f>Allocation[[#This Row],[Quantity Processed]]/Allocation[[#This Row],[Dilution rate]]</f>
        <v>112.62798634812286</v>
      </c>
      <c r="T185" s="59">
        <f>SUMIF(Allocation[Delivery ID],Allocation[[#This Row],[Delivery ID]],Allocation[Quantity allocated])/SUMIF(Allocation[Delivery ID],Allocation[[#This Row],[Delivery ID]],Allocation[Volume available (kg)])</f>
        <v>0.92757532708689161</v>
      </c>
      <c r="U185" s="61">
        <f>Allocation[[#This Row],[Total volume used]]/VLOOKUP(Allocation[[#This Row],[Delivery ID]],Delivery[[Delivery ID]:[Quantity delivered]],3,FALSE)</f>
        <v>2.3937583001328023E-2</v>
      </c>
      <c r="V185" s="34" t="e">
        <f>VLOOKUP(Allocation[[#This Row],[SAP Contract number]],Shipments[[SAP Contract number]:[Contracted container weight]],2,FALSE)</f>
        <v>#N/A</v>
      </c>
      <c r="W185" s="34" t="e">
        <f>VLOOKUP(Allocation[[#This Row],[SAP Contract number]],Shipments[[SAP Contract number]:[AAA Premium USD]],24,FALSE)</f>
        <v>#N/A</v>
      </c>
      <c r="X185" s="34" t="e">
        <f>VLOOKUP(Allocation[[#This Row],[SAP Contract number]],Shipments[[SAP Contract number]:[RA Premium USD]],25,FALSE)</f>
        <v>#N/A</v>
      </c>
      <c r="Y185" s="38">
        <f>Allocation[[#This Row],[Quantity Processed]]/Allocation[[#This Row],[Quantity allocated]]</f>
        <v>3.0275229357798166</v>
      </c>
      <c r="Z185" s="34" t="b">
        <f>Allocation[[#This Row],[Quantity allocated]]&lt;=Allocation[[#This Row],[Quantity Processed]]</f>
        <v>1</v>
      </c>
    </row>
    <row r="186" spans="1:26">
      <c r="A186" s="247" t="s">
        <v>467</v>
      </c>
      <c r="B186" s="160" t="s">
        <v>68</v>
      </c>
      <c r="C186" s="249" t="s">
        <v>663</v>
      </c>
      <c r="D186" s="250">
        <v>212</v>
      </c>
      <c r="E186" s="160" t="s">
        <v>1186</v>
      </c>
      <c r="F186" s="158">
        <v>43487</v>
      </c>
      <c r="G186" s="162">
        <v>2.93</v>
      </c>
      <c r="H186" s="250">
        <v>70</v>
      </c>
      <c r="I186" s="160">
        <v>1425073</v>
      </c>
      <c r="J186" s="163">
        <v>21600</v>
      </c>
      <c r="K186" s="158">
        <v>43494</v>
      </c>
      <c r="L186" s="160" t="s">
        <v>1196</v>
      </c>
      <c r="M186" s="160">
        <v>4615513976</v>
      </c>
      <c r="N186" s="158">
        <v>43516</v>
      </c>
      <c r="O186" s="164">
        <v>3.7094</v>
      </c>
      <c r="P186" s="165">
        <v>19739</v>
      </c>
      <c r="Q186" s="34">
        <f>SUMIF(Allocation[Delivery ID],Allocation[[#This Row],[Delivery ID]],Allocation[Quantity Processed])</f>
        <v>721</v>
      </c>
      <c r="R186" s="61">
        <f>Allocation[[#This Row],[Total volume used]]/VLOOKUP(Allocation[[#This Row],[Delivery ID]],Delivery[[Delivery ID]:[Quantity delivered]],3,FALSE)</f>
        <v>2.3937583001328023E-2</v>
      </c>
      <c r="S186" s="34">
        <f>Allocation[[#This Row],[Quantity Processed]]/Allocation[[#This Row],[Dilution rate]]</f>
        <v>72.354948805460751</v>
      </c>
      <c r="T186" s="59">
        <f>SUMIF(Allocation[Delivery ID],Allocation[[#This Row],[Delivery ID]],Allocation[Quantity allocated])/SUMIF(Allocation[Delivery ID],Allocation[[#This Row],[Delivery ID]],Allocation[Volume available (kg)])</f>
        <v>0.92757532708689161</v>
      </c>
      <c r="U186" s="61">
        <f>Allocation[[#This Row],[Total volume used]]/VLOOKUP(Allocation[[#This Row],[Delivery ID]],Delivery[[Delivery ID]:[Quantity delivered]],3,FALSE)</f>
        <v>2.3937583001328023E-2</v>
      </c>
      <c r="V186" s="34" t="e">
        <f>VLOOKUP(Allocation[[#This Row],[SAP Contract number]],Shipments[[SAP Contract number]:[Contracted container weight]],2,FALSE)</f>
        <v>#N/A</v>
      </c>
      <c r="W186" s="34" t="e">
        <f>VLOOKUP(Allocation[[#This Row],[SAP Contract number]],Shipments[[SAP Contract number]:[AAA Premium USD]],24,FALSE)</f>
        <v>#N/A</v>
      </c>
      <c r="X186" s="34" t="e">
        <f>VLOOKUP(Allocation[[#This Row],[SAP Contract number]],Shipments[[SAP Contract number]:[RA Premium USD]],25,FALSE)</f>
        <v>#N/A</v>
      </c>
      <c r="Y186" s="38">
        <f>Allocation[[#This Row],[Quantity Processed]]/Allocation[[#This Row],[Quantity allocated]]</f>
        <v>3.0285714285714285</v>
      </c>
      <c r="Z186" s="34" t="b">
        <f>Allocation[[#This Row],[Quantity allocated]]&lt;=Allocation[[#This Row],[Quantity Processed]]</f>
        <v>1</v>
      </c>
    </row>
    <row r="187" spans="1:26">
      <c r="A187" s="247" t="s">
        <v>467</v>
      </c>
      <c r="B187" s="160" t="s">
        <v>68</v>
      </c>
      <c r="C187" s="249" t="s">
        <v>664</v>
      </c>
      <c r="D187" s="250">
        <v>542</v>
      </c>
      <c r="E187" s="160" t="s">
        <v>1186</v>
      </c>
      <c r="F187" s="158">
        <v>43487</v>
      </c>
      <c r="G187" s="162">
        <v>2.93</v>
      </c>
      <c r="H187" s="250">
        <v>179</v>
      </c>
      <c r="I187" s="160">
        <v>1425073</v>
      </c>
      <c r="J187" s="163">
        <v>21600</v>
      </c>
      <c r="K187" s="158">
        <v>43494</v>
      </c>
      <c r="L187" s="160" t="s">
        <v>1196</v>
      </c>
      <c r="M187" s="160">
        <v>4615513976</v>
      </c>
      <c r="N187" s="158">
        <v>43516</v>
      </c>
      <c r="O187" s="164">
        <v>3.7094</v>
      </c>
      <c r="P187" s="165">
        <v>19739</v>
      </c>
      <c r="Q187" s="34">
        <f>SUMIF(Allocation[Delivery ID],Allocation[[#This Row],[Delivery ID]],Allocation[Quantity Processed])</f>
        <v>721</v>
      </c>
      <c r="R187" s="61">
        <f>Allocation[[#This Row],[Total volume used]]/VLOOKUP(Allocation[[#This Row],[Delivery ID]],Delivery[[Delivery ID]:[Quantity delivered]],3,FALSE)</f>
        <v>2.3937583001328023E-2</v>
      </c>
      <c r="S187" s="34">
        <f>Allocation[[#This Row],[Quantity Processed]]/Allocation[[#This Row],[Dilution rate]]</f>
        <v>184.98293515358361</v>
      </c>
      <c r="T187" s="59">
        <f>SUMIF(Allocation[Delivery ID],Allocation[[#This Row],[Delivery ID]],Allocation[Quantity allocated])/SUMIF(Allocation[Delivery ID],Allocation[[#This Row],[Delivery ID]],Allocation[Volume available (kg)])</f>
        <v>0.92757532708689161</v>
      </c>
      <c r="U187" s="61">
        <f>Allocation[[#This Row],[Total volume used]]/VLOOKUP(Allocation[[#This Row],[Delivery ID]],Delivery[[Delivery ID]:[Quantity delivered]],3,FALSE)</f>
        <v>2.3937583001328023E-2</v>
      </c>
      <c r="V187" s="34" t="e">
        <f>VLOOKUP(Allocation[[#This Row],[SAP Contract number]],Shipments[[SAP Contract number]:[Contracted container weight]],2,FALSE)</f>
        <v>#N/A</v>
      </c>
      <c r="W187" s="34" t="e">
        <f>VLOOKUP(Allocation[[#This Row],[SAP Contract number]],Shipments[[SAP Contract number]:[AAA Premium USD]],24,FALSE)</f>
        <v>#N/A</v>
      </c>
      <c r="X187" s="34" t="e">
        <f>VLOOKUP(Allocation[[#This Row],[SAP Contract number]],Shipments[[SAP Contract number]:[RA Premium USD]],25,FALSE)</f>
        <v>#N/A</v>
      </c>
      <c r="Y187" s="38">
        <f>Allocation[[#This Row],[Quantity Processed]]/Allocation[[#This Row],[Quantity allocated]]</f>
        <v>3.0279329608938546</v>
      </c>
      <c r="Z187" s="34" t="b">
        <f>Allocation[[#This Row],[Quantity allocated]]&lt;=Allocation[[#This Row],[Quantity Processed]]</f>
        <v>1</v>
      </c>
    </row>
    <row r="188" spans="1:26">
      <c r="A188" s="247" t="s">
        <v>467</v>
      </c>
      <c r="B188" s="160" t="s">
        <v>68</v>
      </c>
      <c r="C188" s="249" t="s">
        <v>665</v>
      </c>
      <c r="D188" s="250">
        <v>542</v>
      </c>
      <c r="E188" s="160" t="s">
        <v>1186</v>
      </c>
      <c r="F188" s="158">
        <v>43487</v>
      </c>
      <c r="G188" s="162">
        <v>2.93</v>
      </c>
      <c r="H188" s="250">
        <v>179</v>
      </c>
      <c r="I188" s="160">
        <v>1425073</v>
      </c>
      <c r="J188" s="163">
        <v>21600</v>
      </c>
      <c r="K188" s="158">
        <v>43494</v>
      </c>
      <c r="L188" s="160" t="s">
        <v>1196</v>
      </c>
      <c r="M188" s="160">
        <v>4615513976</v>
      </c>
      <c r="N188" s="158">
        <v>43516</v>
      </c>
      <c r="O188" s="164">
        <v>3.7094</v>
      </c>
      <c r="P188" s="165">
        <v>19739</v>
      </c>
      <c r="Q188" s="34">
        <f>SUMIF(Allocation[Delivery ID],Allocation[[#This Row],[Delivery ID]],Allocation[Quantity Processed])</f>
        <v>721</v>
      </c>
      <c r="R188" s="61">
        <f>Allocation[[#This Row],[Total volume used]]/VLOOKUP(Allocation[[#This Row],[Delivery ID]],Delivery[[Delivery ID]:[Quantity delivered]],3,FALSE)</f>
        <v>2.3937583001328023E-2</v>
      </c>
      <c r="S188" s="34">
        <f>Allocation[[#This Row],[Quantity Processed]]/Allocation[[#This Row],[Dilution rate]]</f>
        <v>184.98293515358361</v>
      </c>
      <c r="T188" s="59">
        <f>SUMIF(Allocation[Delivery ID],Allocation[[#This Row],[Delivery ID]],Allocation[Quantity allocated])/SUMIF(Allocation[Delivery ID],Allocation[[#This Row],[Delivery ID]],Allocation[Volume available (kg)])</f>
        <v>0.92757532708689161</v>
      </c>
      <c r="U188" s="61">
        <f>Allocation[[#This Row],[Total volume used]]/VLOOKUP(Allocation[[#This Row],[Delivery ID]],Delivery[[Delivery ID]:[Quantity delivered]],3,FALSE)</f>
        <v>2.3937583001328023E-2</v>
      </c>
      <c r="V188" s="34" t="e">
        <f>VLOOKUP(Allocation[[#This Row],[SAP Contract number]],Shipments[[SAP Contract number]:[Contracted container weight]],2,FALSE)</f>
        <v>#N/A</v>
      </c>
      <c r="W188" s="34" t="e">
        <f>VLOOKUP(Allocation[[#This Row],[SAP Contract number]],Shipments[[SAP Contract number]:[AAA Premium USD]],24,FALSE)</f>
        <v>#N/A</v>
      </c>
      <c r="X188" s="34" t="e">
        <f>VLOOKUP(Allocation[[#This Row],[SAP Contract number]],Shipments[[SAP Contract number]:[RA Premium USD]],25,FALSE)</f>
        <v>#N/A</v>
      </c>
      <c r="Y188" s="38">
        <f>Allocation[[#This Row],[Quantity Processed]]/Allocation[[#This Row],[Quantity allocated]]</f>
        <v>3.0279329608938546</v>
      </c>
      <c r="Z188" s="34" t="b">
        <f>Allocation[[#This Row],[Quantity allocated]]&lt;=Allocation[[#This Row],[Quantity Processed]]</f>
        <v>1</v>
      </c>
    </row>
    <row r="189" spans="1:26">
      <c r="A189" s="247" t="s">
        <v>467</v>
      </c>
      <c r="B189" s="160" t="s">
        <v>68</v>
      </c>
      <c r="C189" s="249" t="s">
        <v>666</v>
      </c>
      <c r="D189" s="250">
        <v>542</v>
      </c>
      <c r="E189" s="160" t="s">
        <v>1186</v>
      </c>
      <c r="F189" s="158">
        <v>43487</v>
      </c>
      <c r="G189" s="162">
        <v>2.93</v>
      </c>
      <c r="H189" s="250">
        <v>179</v>
      </c>
      <c r="I189" s="160">
        <v>1425073</v>
      </c>
      <c r="J189" s="163">
        <v>21600</v>
      </c>
      <c r="K189" s="158">
        <v>43494</v>
      </c>
      <c r="L189" s="160" t="s">
        <v>1196</v>
      </c>
      <c r="M189" s="160">
        <v>4615513976</v>
      </c>
      <c r="N189" s="158">
        <v>43516</v>
      </c>
      <c r="O189" s="164">
        <v>3.7094</v>
      </c>
      <c r="P189" s="165">
        <v>19739</v>
      </c>
      <c r="Q189" s="34">
        <f>SUMIF(Allocation[Delivery ID],Allocation[[#This Row],[Delivery ID]],Allocation[Quantity Processed])</f>
        <v>721</v>
      </c>
      <c r="R189" s="61">
        <f>Allocation[[#This Row],[Total volume used]]/VLOOKUP(Allocation[[#This Row],[Delivery ID]],Delivery[[Delivery ID]:[Quantity delivered]],3,FALSE)</f>
        <v>2.4227150537634409E-2</v>
      </c>
      <c r="S189" s="34">
        <f>Allocation[[#This Row],[Quantity Processed]]/Allocation[[#This Row],[Dilution rate]]</f>
        <v>184.98293515358361</v>
      </c>
      <c r="T189" s="59">
        <f>SUMIF(Allocation[Delivery ID],Allocation[[#This Row],[Delivery ID]],Allocation[Quantity allocated])/SUMIF(Allocation[Delivery ID],Allocation[[#This Row],[Delivery ID]],Allocation[Volume available (kg)])</f>
        <v>0.92757532708689161</v>
      </c>
      <c r="U189" s="61">
        <f>Allocation[[#This Row],[Total volume used]]/VLOOKUP(Allocation[[#This Row],[Delivery ID]],Delivery[[Delivery ID]:[Quantity delivered]],3,FALSE)</f>
        <v>2.4227150537634409E-2</v>
      </c>
      <c r="V189" s="34" t="e">
        <f>VLOOKUP(Allocation[[#This Row],[SAP Contract number]],Shipments[[SAP Contract number]:[Contracted container weight]],2,FALSE)</f>
        <v>#N/A</v>
      </c>
      <c r="W189" s="34" t="e">
        <f>VLOOKUP(Allocation[[#This Row],[SAP Contract number]],Shipments[[SAP Contract number]:[AAA Premium USD]],24,FALSE)</f>
        <v>#N/A</v>
      </c>
      <c r="X189" s="34" t="e">
        <f>VLOOKUP(Allocation[[#This Row],[SAP Contract number]],Shipments[[SAP Contract number]:[RA Premium USD]],25,FALSE)</f>
        <v>#N/A</v>
      </c>
      <c r="Y189" s="38">
        <f>Allocation[[#This Row],[Quantity Processed]]/Allocation[[#This Row],[Quantity allocated]]</f>
        <v>3.0279329608938546</v>
      </c>
      <c r="Z189" s="34" t="b">
        <f>Allocation[[#This Row],[Quantity allocated]]&lt;=Allocation[[#This Row],[Quantity Processed]]</f>
        <v>1</v>
      </c>
    </row>
    <row r="190" spans="1:26">
      <c r="A190" s="247" t="s">
        <v>467</v>
      </c>
      <c r="B190" s="160" t="s">
        <v>68</v>
      </c>
      <c r="C190" s="249" t="s">
        <v>667</v>
      </c>
      <c r="D190" s="250">
        <v>597</v>
      </c>
      <c r="E190" s="160" t="s">
        <v>1186</v>
      </c>
      <c r="F190" s="158">
        <v>43487</v>
      </c>
      <c r="G190" s="162">
        <v>2.93</v>
      </c>
      <c r="H190" s="250">
        <v>179</v>
      </c>
      <c r="I190" s="160">
        <v>1425073</v>
      </c>
      <c r="J190" s="163">
        <v>21600</v>
      </c>
      <c r="K190" s="158">
        <v>43494</v>
      </c>
      <c r="L190" s="160" t="s">
        <v>1196</v>
      </c>
      <c r="M190" s="160">
        <v>4615513976</v>
      </c>
      <c r="N190" s="158">
        <v>43516</v>
      </c>
      <c r="O190" s="164">
        <v>3.7094</v>
      </c>
      <c r="P190" s="165">
        <v>19739</v>
      </c>
      <c r="Q190" s="34">
        <f>SUMIF(Allocation[Delivery ID],Allocation[[#This Row],[Delivery ID]],Allocation[Quantity Processed])</f>
        <v>597</v>
      </c>
      <c r="R190" s="61">
        <f>Allocation[[#This Row],[Total volume used]]/VLOOKUP(Allocation[[#This Row],[Delivery ID]],Delivery[[Delivery ID]:[Quantity delivered]],3,FALSE)</f>
        <v>2.426829268292683E-2</v>
      </c>
      <c r="S190" s="34">
        <f>Allocation[[#This Row],[Quantity Processed]]/Allocation[[#This Row],[Dilution rate]]</f>
        <v>203.75426621160409</v>
      </c>
      <c r="T190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90" s="61">
        <f>Allocation[[#This Row],[Total volume used]]/VLOOKUP(Allocation[[#This Row],[Delivery ID]],Delivery[[Delivery ID]:[Quantity delivered]],3,FALSE)</f>
        <v>2.426829268292683E-2</v>
      </c>
      <c r="V190" s="34" t="e">
        <f>VLOOKUP(Allocation[[#This Row],[SAP Contract number]],Shipments[[SAP Contract number]:[Contracted container weight]],2,FALSE)</f>
        <v>#N/A</v>
      </c>
      <c r="W190" s="34" t="e">
        <f>VLOOKUP(Allocation[[#This Row],[SAP Contract number]],Shipments[[SAP Contract number]:[AAA Premium USD]],24,FALSE)</f>
        <v>#N/A</v>
      </c>
      <c r="X190" s="34" t="e">
        <f>VLOOKUP(Allocation[[#This Row],[SAP Contract number]],Shipments[[SAP Contract number]:[RA Premium USD]],25,FALSE)</f>
        <v>#N/A</v>
      </c>
      <c r="Y190" s="38">
        <f>Allocation[[#This Row],[Quantity Processed]]/Allocation[[#This Row],[Quantity allocated]]</f>
        <v>3.3351955307262569</v>
      </c>
      <c r="Z190" s="34" t="b">
        <f>Allocation[[#This Row],[Quantity allocated]]&lt;=Allocation[[#This Row],[Quantity Processed]]</f>
        <v>1</v>
      </c>
    </row>
    <row r="191" spans="1:26">
      <c r="A191" s="247" t="s">
        <v>467</v>
      </c>
      <c r="B191" s="160" t="s">
        <v>68</v>
      </c>
      <c r="C191" s="249" t="s">
        <v>669</v>
      </c>
      <c r="D191" s="250">
        <v>597</v>
      </c>
      <c r="E191" s="160" t="s">
        <v>1186</v>
      </c>
      <c r="F191" s="158">
        <v>43487</v>
      </c>
      <c r="G191" s="162">
        <v>2.93</v>
      </c>
      <c r="H191" s="250">
        <v>179</v>
      </c>
      <c r="I191" s="160">
        <v>1425073</v>
      </c>
      <c r="J191" s="163">
        <v>21600</v>
      </c>
      <c r="K191" s="158">
        <v>43494</v>
      </c>
      <c r="L191" s="160" t="s">
        <v>1196</v>
      </c>
      <c r="M191" s="160">
        <v>4615513976</v>
      </c>
      <c r="N191" s="158">
        <v>43516</v>
      </c>
      <c r="O191" s="164">
        <v>3.7094</v>
      </c>
      <c r="P191" s="165">
        <v>19739</v>
      </c>
      <c r="Q191" s="34">
        <f>SUMIF(Allocation[Delivery ID],Allocation[[#This Row],[Delivery ID]],Allocation[Quantity Processed])</f>
        <v>597</v>
      </c>
      <c r="R191" s="61">
        <f>Allocation[[#This Row],[Total volume used]]/VLOOKUP(Allocation[[#This Row],[Delivery ID]],Delivery[[Delivery ID]:[Quantity delivered]],3,FALSE)</f>
        <v>1.9900000000000001E-2</v>
      </c>
      <c r="S191" s="34">
        <f>Allocation[[#This Row],[Quantity Processed]]/Allocation[[#This Row],[Dilution rate]]</f>
        <v>203.75426621160409</v>
      </c>
      <c r="T191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91" s="61">
        <f>Allocation[[#This Row],[Total volume used]]/VLOOKUP(Allocation[[#This Row],[Delivery ID]],Delivery[[Delivery ID]:[Quantity delivered]],3,FALSE)</f>
        <v>1.9900000000000001E-2</v>
      </c>
      <c r="V191" s="34" t="e">
        <f>VLOOKUP(Allocation[[#This Row],[SAP Contract number]],Shipments[[SAP Contract number]:[Contracted container weight]],2,FALSE)</f>
        <v>#N/A</v>
      </c>
      <c r="W191" s="34" t="e">
        <f>VLOOKUP(Allocation[[#This Row],[SAP Contract number]],Shipments[[SAP Contract number]:[AAA Premium USD]],24,FALSE)</f>
        <v>#N/A</v>
      </c>
      <c r="X191" s="34" t="e">
        <f>VLOOKUP(Allocation[[#This Row],[SAP Contract number]],Shipments[[SAP Contract number]:[RA Premium USD]],25,FALSE)</f>
        <v>#N/A</v>
      </c>
      <c r="Y191" s="38">
        <f>Allocation[[#This Row],[Quantity Processed]]/Allocation[[#This Row],[Quantity allocated]]</f>
        <v>3.3351955307262569</v>
      </c>
      <c r="Z191" s="34" t="b">
        <f>Allocation[[#This Row],[Quantity allocated]]&lt;=Allocation[[#This Row],[Quantity Processed]]</f>
        <v>1</v>
      </c>
    </row>
    <row r="192" spans="1:26">
      <c r="A192" s="247" t="s">
        <v>467</v>
      </c>
      <c r="B192" s="160" t="s">
        <v>68</v>
      </c>
      <c r="C192" s="249" t="s">
        <v>670</v>
      </c>
      <c r="D192" s="250">
        <v>597</v>
      </c>
      <c r="E192" s="160" t="s">
        <v>1186</v>
      </c>
      <c r="F192" s="158">
        <v>43487</v>
      </c>
      <c r="G192" s="162">
        <v>2.93</v>
      </c>
      <c r="H192" s="250">
        <v>179</v>
      </c>
      <c r="I192" s="160">
        <v>1425073</v>
      </c>
      <c r="J192" s="163">
        <v>21600</v>
      </c>
      <c r="K192" s="158">
        <v>43494</v>
      </c>
      <c r="L192" s="160" t="s">
        <v>1196</v>
      </c>
      <c r="M192" s="160">
        <v>4615513976</v>
      </c>
      <c r="N192" s="158">
        <v>43516</v>
      </c>
      <c r="O192" s="164">
        <v>3.7094</v>
      </c>
      <c r="P192" s="165">
        <v>19739</v>
      </c>
      <c r="Q192" s="34">
        <f>SUMIF(Allocation[Delivery ID],Allocation[[#This Row],[Delivery ID]],Allocation[Quantity Processed])</f>
        <v>597</v>
      </c>
      <c r="R192" s="61">
        <f>Allocation[[#This Row],[Total volume used]]/VLOOKUP(Allocation[[#This Row],[Delivery ID]],Delivery[[Delivery ID]:[Quantity delivered]],3,FALSE)</f>
        <v>1.9900000000000001E-2</v>
      </c>
      <c r="S192" s="34">
        <f>Allocation[[#This Row],[Quantity Processed]]/Allocation[[#This Row],[Dilution rate]]</f>
        <v>203.75426621160409</v>
      </c>
      <c r="T192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92" s="61">
        <f>Allocation[[#This Row],[Total volume used]]/VLOOKUP(Allocation[[#This Row],[Delivery ID]],Delivery[[Delivery ID]:[Quantity delivered]],3,FALSE)</f>
        <v>1.9900000000000001E-2</v>
      </c>
      <c r="V192" s="34" t="e">
        <f>VLOOKUP(Allocation[[#This Row],[SAP Contract number]],Shipments[[SAP Contract number]:[Contracted container weight]],2,FALSE)</f>
        <v>#N/A</v>
      </c>
      <c r="W192" s="34" t="e">
        <f>VLOOKUP(Allocation[[#This Row],[SAP Contract number]],Shipments[[SAP Contract number]:[AAA Premium USD]],24,FALSE)</f>
        <v>#N/A</v>
      </c>
      <c r="X192" s="34" t="e">
        <f>VLOOKUP(Allocation[[#This Row],[SAP Contract number]],Shipments[[SAP Contract number]:[RA Premium USD]],25,FALSE)</f>
        <v>#N/A</v>
      </c>
      <c r="Y192" s="38">
        <f>Allocation[[#This Row],[Quantity Processed]]/Allocation[[#This Row],[Quantity allocated]]</f>
        <v>3.3351955307262569</v>
      </c>
      <c r="Z192" s="34" t="b">
        <f>Allocation[[#This Row],[Quantity allocated]]&lt;=Allocation[[#This Row],[Quantity Processed]]</f>
        <v>1</v>
      </c>
    </row>
    <row r="193" spans="1:26">
      <c r="A193" s="247" t="s">
        <v>467</v>
      </c>
      <c r="B193" s="160" t="s">
        <v>68</v>
      </c>
      <c r="C193" s="249" t="s">
        <v>671</v>
      </c>
      <c r="D193" s="250">
        <v>597</v>
      </c>
      <c r="E193" s="160" t="s">
        <v>1186</v>
      </c>
      <c r="F193" s="158">
        <v>43487</v>
      </c>
      <c r="G193" s="162">
        <v>2.93</v>
      </c>
      <c r="H193" s="250">
        <v>179</v>
      </c>
      <c r="I193" s="160">
        <v>1425073</v>
      </c>
      <c r="J193" s="163">
        <v>21600</v>
      </c>
      <c r="K193" s="158">
        <v>43494</v>
      </c>
      <c r="L193" s="160" t="s">
        <v>1196</v>
      </c>
      <c r="M193" s="160">
        <v>4615513976</v>
      </c>
      <c r="N193" s="158">
        <v>43516</v>
      </c>
      <c r="O193" s="164">
        <v>3.7094</v>
      </c>
      <c r="P193" s="165">
        <v>19739</v>
      </c>
      <c r="Q193" s="34">
        <f>SUMIF(Allocation[Delivery ID],Allocation[[#This Row],[Delivery ID]],Allocation[Quantity Processed])</f>
        <v>597</v>
      </c>
      <c r="R193" s="61">
        <f>Allocation[[#This Row],[Total volume used]]/VLOOKUP(Allocation[[#This Row],[Delivery ID]],Delivery[[Delivery ID]:[Quantity delivered]],3,FALSE)</f>
        <v>1.9282945736434107E-2</v>
      </c>
      <c r="S193" s="34">
        <f>Allocation[[#This Row],[Quantity Processed]]/Allocation[[#This Row],[Dilution rate]]</f>
        <v>203.75426621160409</v>
      </c>
      <c r="T193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93" s="61">
        <f>Allocation[[#This Row],[Total volume used]]/VLOOKUP(Allocation[[#This Row],[Delivery ID]],Delivery[[Delivery ID]:[Quantity delivered]],3,FALSE)</f>
        <v>1.9282945736434107E-2</v>
      </c>
      <c r="V193" s="34" t="e">
        <f>VLOOKUP(Allocation[[#This Row],[SAP Contract number]],Shipments[[SAP Contract number]:[Contracted container weight]],2,FALSE)</f>
        <v>#N/A</v>
      </c>
      <c r="W193" s="34" t="e">
        <f>VLOOKUP(Allocation[[#This Row],[SAP Contract number]],Shipments[[SAP Contract number]:[AAA Premium USD]],24,FALSE)</f>
        <v>#N/A</v>
      </c>
      <c r="X193" s="34" t="e">
        <f>VLOOKUP(Allocation[[#This Row],[SAP Contract number]],Shipments[[SAP Contract number]:[RA Premium USD]],25,FALSE)</f>
        <v>#N/A</v>
      </c>
      <c r="Y193" s="38">
        <f>Allocation[[#This Row],[Quantity Processed]]/Allocation[[#This Row],[Quantity allocated]]</f>
        <v>3.3351955307262569</v>
      </c>
      <c r="Z193" s="34" t="b">
        <f>Allocation[[#This Row],[Quantity allocated]]&lt;=Allocation[[#This Row],[Quantity Processed]]</f>
        <v>1</v>
      </c>
    </row>
    <row r="194" spans="1:26">
      <c r="A194" s="247" t="s">
        <v>467</v>
      </c>
      <c r="B194" s="160" t="s">
        <v>68</v>
      </c>
      <c r="C194" s="249" t="s">
        <v>673</v>
      </c>
      <c r="D194" s="250">
        <v>597</v>
      </c>
      <c r="E194" s="160" t="s">
        <v>1186</v>
      </c>
      <c r="F194" s="158">
        <v>43487</v>
      </c>
      <c r="G194" s="162">
        <v>2.93</v>
      </c>
      <c r="H194" s="250">
        <v>179</v>
      </c>
      <c r="I194" s="160">
        <v>1425073</v>
      </c>
      <c r="J194" s="163">
        <v>21600</v>
      </c>
      <c r="K194" s="158">
        <v>43494</v>
      </c>
      <c r="L194" s="160" t="s">
        <v>1196</v>
      </c>
      <c r="M194" s="160">
        <v>4615513976</v>
      </c>
      <c r="N194" s="158">
        <v>43516</v>
      </c>
      <c r="O194" s="164">
        <v>3.7094</v>
      </c>
      <c r="P194" s="165">
        <v>19739</v>
      </c>
      <c r="Q194" s="34">
        <f>SUMIF(Allocation[Delivery ID],Allocation[[#This Row],[Delivery ID]],Allocation[Quantity Processed])</f>
        <v>597</v>
      </c>
      <c r="R194" s="61">
        <f>Allocation[[#This Row],[Total volume used]]/VLOOKUP(Allocation[[#This Row],[Delivery ID]],Delivery[[Delivery ID]:[Quantity delivered]],3,FALSE)</f>
        <v>4.1458333333333333E-2</v>
      </c>
      <c r="S194" s="34">
        <f>Allocation[[#This Row],[Quantity Processed]]/Allocation[[#This Row],[Dilution rate]]</f>
        <v>203.75426621160409</v>
      </c>
      <c r="T194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94" s="61">
        <f>Allocation[[#This Row],[Total volume used]]/VLOOKUP(Allocation[[#This Row],[Delivery ID]],Delivery[[Delivery ID]:[Quantity delivered]],3,FALSE)</f>
        <v>4.1458333333333333E-2</v>
      </c>
      <c r="V194" s="34" t="e">
        <f>VLOOKUP(Allocation[[#This Row],[SAP Contract number]],Shipments[[SAP Contract number]:[Contracted container weight]],2,FALSE)</f>
        <v>#N/A</v>
      </c>
      <c r="W194" s="34" t="e">
        <f>VLOOKUP(Allocation[[#This Row],[SAP Contract number]],Shipments[[SAP Contract number]:[AAA Premium USD]],24,FALSE)</f>
        <v>#N/A</v>
      </c>
      <c r="X194" s="34" t="e">
        <f>VLOOKUP(Allocation[[#This Row],[SAP Contract number]],Shipments[[SAP Contract number]:[RA Premium USD]],25,FALSE)</f>
        <v>#N/A</v>
      </c>
      <c r="Y194" s="38">
        <f>Allocation[[#This Row],[Quantity Processed]]/Allocation[[#This Row],[Quantity allocated]]</f>
        <v>3.3351955307262569</v>
      </c>
      <c r="Z194" s="34" t="b">
        <f>Allocation[[#This Row],[Quantity allocated]]&lt;=Allocation[[#This Row],[Quantity Processed]]</f>
        <v>1</v>
      </c>
    </row>
    <row r="195" spans="1:26">
      <c r="A195" s="247" t="s">
        <v>467</v>
      </c>
      <c r="B195" s="160" t="s">
        <v>68</v>
      </c>
      <c r="C195" s="249" t="s">
        <v>674</v>
      </c>
      <c r="D195" s="250">
        <v>597</v>
      </c>
      <c r="E195" s="160" t="s">
        <v>1186</v>
      </c>
      <c r="F195" s="158">
        <v>43487</v>
      </c>
      <c r="G195" s="162">
        <v>2.93</v>
      </c>
      <c r="H195" s="250">
        <v>179</v>
      </c>
      <c r="I195" s="160">
        <v>1425073</v>
      </c>
      <c r="J195" s="163">
        <v>21600</v>
      </c>
      <c r="K195" s="158">
        <v>43494</v>
      </c>
      <c r="L195" s="160" t="s">
        <v>1196</v>
      </c>
      <c r="M195" s="160">
        <v>4615513976</v>
      </c>
      <c r="N195" s="158">
        <v>43516</v>
      </c>
      <c r="O195" s="164">
        <v>3.7094</v>
      </c>
      <c r="P195" s="165">
        <v>19739</v>
      </c>
      <c r="Q195" s="34">
        <f>SUMIF(Allocation[Delivery ID],Allocation[[#This Row],[Delivery ID]],Allocation[Quantity Processed])</f>
        <v>598</v>
      </c>
      <c r="R195" s="61">
        <f>Allocation[[#This Row],[Total volume used]]/VLOOKUP(Allocation[[#This Row],[Delivery ID]],Delivery[[Delivery ID]:[Quantity delivered]],3,FALSE)</f>
        <v>3.5835205992509361E-2</v>
      </c>
      <c r="S195" s="34">
        <f>Allocation[[#This Row],[Quantity Processed]]/Allocation[[#This Row],[Dilution rate]]</f>
        <v>203.75426621160409</v>
      </c>
      <c r="T195" s="59">
        <f>SUMIF(Allocation[Delivery ID],Allocation[[#This Row],[Delivery ID]],Allocation[Quantity allocated])/SUMIF(Allocation[Delivery ID],Allocation[[#This Row],[Delivery ID]],Allocation[Volume available (kg)])</f>
        <v>0.87840437198665278</v>
      </c>
      <c r="U195" s="61">
        <f>Allocation[[#This Row],[Total volume used]]/VLOOKUP(Allocation[[#This Row],[Delivery ID]],Delivery[[Delivery ID]:[Quantity delivered]],3,FALSE)</f>
        <v>3.5835205992509361E-2</v>
      </c>
      <c r="V195" s="34" t="e">
        <f>VLOOKUP(Allocation[[#This Row],[SAP Contract number]],Shipments[[SAP Contract number]:[Contracted container weight]],2,FALSE)</f>
        <v>#N/A</v>
      </c>
      <c r="W195" s="34" t="e">
        <f>VLOOKUP(Allocation[[#This Row],[SAP Contract number]],Shipments[[SAP Contract number]:[AAA Premium USD]],24,FALSE)</f>
        <v>#N/A</v>
      </c>
      <c r="X195" s="34" t="e">
        <f>VLOOKUP(Allocation[[#This Row],[SAP Contract number]],Shipments[[SAP Contract number]:[RA Premium USD]],25,FALSE)</f>
        <v>#N/A</v>
      </c>
      <c r="Y195" s="38">
        <f>Allocation[[#This Row],[Quantity Processed]]/Allocation[[#This Row],[Quantity allocated]]</f>
        <v>3.3351955307262569</v>
      </c>
      <c r="Z195" s="34" t="b">
        <f>Allocation[[#This Row],[Quantity allocated]]&lt;=Allocation[[#This Row],[Quantity Processed]]</f>
        <v>1</v>
      </c>
    </row>
    <row r="196" spans="1:26">
      <c r="A196" s="247" t="s">
        <v>467</v>
      </c>
      <c r="B196" s="160" t="s">
        <v>68</v>
      </c>
      <c r="C196" s="249" t="s">
        <v>675</v>
      </c>
      <c r="D196" s="250">
        <v>597</v>
      </c>
      <c r="E196" s="160" t="s">
        <v>1186</v>
      </c>
      <c r="F196" s="158">
        <v>43487</v>
      </c>
      <c r="G196" s="162">
        <v>2.93</v>
      </c>
      <c r="H196" s="250">
        <v>179</v>
      </c>
      <c r="I196" s="160">
        <v>1425073</v>
      </c>
      <c r="J196" s="163">
        <v>21600</v>
      </c>
      <c r="K196" s="158">
        <v>43494</v>
      </c>
      <c r="L196" s="160" t="s">
        <v>1196</v>
      </c>
      <c r="M196" s="160">
        <v>4615513976</v>
      </c>
      <c r="N196" s="158">
        <v>43516</v>
      </c>
      <c r="O196" s="164">
        <v>3.7094</v>
      </c>
      <c r="P196" s="165">
        <v>19739</v>
      </c>
      <c r="Q196" s="34">
        <f>SUMIF(Allocation[Delivery ID],Allocation[[#This Row],[Delivery ID]],Allocation[Quantity Processed])</f>
        <v>597</v>
      </c>
      <c r="R196" s="61">
        <f>Allocation[[#This Row],[Total volume used]]/VLOOKUP(Allocation[[#This Row],[Delivery ID]],Delivery[[Delivery ID]:[Quantity delivered]],3,FALSE)</f>
        <v>1.9061302681992336E-2</v>
      </c>
      <c r="S196" s="34">
        <f>Allocation[[#This Row],[Quantity Processed]]/Allocation[[#This Row],[Dilution rate]]</f>
        <v>203.75426621160409</v>
      </c>
      <c r="T196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96" s="61">
        <f>Allocation[[#This Row],[Total volume used]]/VLOOKUP(Allocation[[#This Row],[Delivery ID]],Delivery[[Delivery ID]:[Quantity delivered]],3,FALSE)</f>
        <v>1.9061302681992336E-2</v>
      </c>
      <c r="V196" s="34" t="e">
        <f>VLOOKUP(Allocation[[#This Row],[SAP Contract number]],Shipments[[SAP Contract number]:[Contracted container weight]],2,FALSE)</f>
        <v>#N/A</v>
      </c>
      <c r="W196" s="34" t="e">
        <f>VLOOKUP(Allocation[[#This Row],[SAP Contract number]],Shipments[[SAP Contract number]:[AAA Premium USD]],24,FALSE)</f>
        <v>#N/A</v>
      </c>
      <c r="X196" s="34" t="e">
        <f>VLOOKUP(Allocation[[#This Row],[SAP Contract number]],Shipments[[SAP Contract number]:[RA Premium USD]],25,FALSE)</f>
        <v>#N/A</v>
      </c>
      <c r="Y196" s="38">
        <f>Allocation[[#This Row],[Quantity Processed]]/Allocation[[#This Row],[Quantity allocated]]</f>
        <v>3.3351955307262569</v>
      </c>
      <c r="Z196" s="34" t="b">
        <f>Allocation[[#This Row],[Quantity allocated]]&lt;=Allocation[[#This Row],[Quantity Processed]]</f>
        <v>1</v>
      </c>
    </row>
    <row r="197" spans="1:26">
      <c r="A197" s="247" t="s">
        <v>467</v>
      </c>
      <c r="B197" s="160" t="s">
        <v>68</v>
      </c>
      <c r="C197" s="249" t="s">
        <v>676</v>
      </c>
      <c r="D197" s="250">
        <v>597</v>
      </c>
      <c r="E197" s="160" t="s">
        <v>1186</v>
      </c>
      <c r="F197" s="158">
        <v>43487</v>
      </c>
      <c r="G197" s="162">
        <v>2.93</v>
      </c>
      <c r="H197" s="250">
        <v>179</v>
      </c>
      <c r="I197" s="160">
        <v>1425073</v>
      </c>
      <c r="J197" s="163">
        <v>21600</v>
      </c>
      <c r="K197" s="158">
        <v>43494</v>
      </c>
      <c r="L197" s="160" t="s">
        <v>1196</v>
      </c>
      <c r="M197" s="160">
        <v>4615513976</v>
      </c>
      <c r="N197" s="158">
        <v>43516</v>
      </c>
      <c r="O197" s="164">
        <v>3.7094</v>
      </c>
      <c r="P197" s="165">
        <v>19739</v>
      </c>
      <c r="Q197" s="34">
        <f>SUMIF(Allocation[Delivery ID],Allocation[[#This Row],[Delivery ID]],Allocation[Quantity Processed])</f>
        <v>598</v>
      </c>
      <c r="R197" s="61">
        <f>Allocation[[#This Row],[Total volume used]]/VLOOKUP(Allocation[[#This Row],[Delivery ID]],Delivery[[Delivery ID]:[Quantity delivered]],3,FALSE)</f>
        <v>1.9056724028043339E-2</v>
      </c>
      <c r="S197" s="34">
        <f>Allocation[[#This Row],[Quantity Processed]]/Allocation[[#This Row],[Dilution rate]]</f>
        <v>203.75426621160409</v>
      </c>
      <c r="T197" s="59">
        <f>SUMIF(Allocation[Delivery ID],Allocation[[#This Row],[Delivery ID]],Allocation[Quantity allocated])/SUMIF(Allocation[Delivery ID],Allocation[[#This Row],[Delivery ID]],Allocation[Volume available (kg)])</f>
        <v>0.87840437198665278</v>
      </c>
      <c r="U197" s="61">
        <f>Allocation[[#This Row],[Total volume used]]/VLOOKUP(Allocation[[#This Row],[Delivery ID]],Delivery[[Delivery ID]:[Quantity delivered]],3,FALSE)</f>
        <v>1.9056724028043339E-2</v>
      </c>
      <c r="V197" s="34" t="e">
        <f>VLOOKUP(Allocation[[#This Row],[SAP Contract number]],Shipments[[SAP Contract number]:[Contracted container weight]],2,FALSE)</f>
        <v>#N/A</v>
      </c>
      <c r="W197" s="34" t="e">
        <f>VLOOKUP(Allocation[[#This Row],[SAP Contract number]],Shipments[[SAP Contract number]:[AAA Premium USD]],24,FALSE)</f>
        <v>#N/A</v>
      </c>
      <c r="X197" s="34" t="e">
        <f>VLOOKUP(Allocation[[#This Row],[SAP Contract number]],Shipments[[SAP Contract number]:[RA Premium USD]],25,FALSE)</f>
        <v>#N/A</v>
      </c>
      <c r="Y197" s="38">
        <f>Allocation[[#This Row],[Quantity Processed]]/Allocation[[#This Row],[Quantity allocated]]</f>
        <v>3.3351955307262569</v>
      </c>
      <c r="Z197" s="34" t="b">
        <f>Allocation[[#This Row],[Quantity allocated]]&lt;=Allocation[[#This Row],[Quantity Processed]]</f>
        <v>1</v>
      </c>
    </row>
    <row r="198" spans="1:26">
      <c r="A198" s="247" t="s">
        <v>467</v>
      </c>
      <c r="B198" s="160" t="s">
        <v>68</v>
      </c>
      <c r="C198" s="249" t="s">
        <v>677</v>
      </c>
      <c r="D198" s="250">
        <v>597</v>
      </c>
      <c r="E198" s="160" t="s">
        <v>1186</v>
      </c>
      <c r="F198" s="158">
        <v>43487</v>
      </c>
      <c r="G198" s="162">
        <v>2.93</v>
      </c>
      <c r="H198" s="250">
        <v>179</v>
      </c>
      <c r="I198" s="160">
        <v>1425073</v>
      </c>
      <c r="J198" s="163">
        <v>21600</v>
      </c>
      <c r="K198" s="158">
        <v>43494</v>
      </c>
      <c r="L198" s="160" t="s">
        <v>1196</v>
      </c>
      <c r="M198" s="160">
        <v>4615513976</v>
      </c>
      <c r="N198" s="158">
        <v>43516</v>
      </c>
      <c r="O198" s="164">
        <v>3.7094</v>
      </c>
      <c r="P198" s="165">
        <v>19739</v>
      </c>
      <c r="Q198" s="34">
        <f>SUMIF(Allocation[Delivery ID],Allocation[[#This Row],[Delivery ID]],Allocation[Quantity Processed])</f>
        <v>597</v>
      </c>
      <c r="R198" s="61">
        <f>Allocation[[#This Row],[Total volume used]]/VLOOKUP(Allocation[[#This Row],[Delivery ID]],Delivery[[Delivery ID]:[Quantity delivered]],3,FALSE)</f>
        <v>7.5905912269548639E-2</v>
      </c>
      <c r="S198" s="34">
        <f>Allocation[[#This Row],[Quantity Processed]]/Allocation[[#This Row],[Dilution rate]]</f>
        <v>203.75426621160409</v>
      </c>
      <c r="T198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198" s="61">
        <f>Allocation[[#This Row],[Total volume used]]/VLOOKUP(Allocation[[#This Row],[Delivery ID]],Delivery[[Delivery ID]:[Quantity delivered]],3,FALSE)</f>
        <v>7.5905912269548639E-2</v>
      </c>
      <c r="V198" s="34" t="e">
        <f>VLOOKUP(Allocation[[#This Row],[SAP Contract number]],Shipments[[SAP Contract number]:[Contracted container weight]],2,FALSE)</f>
        <v>#N/A</v>
      </c>
      <c r="W198" s="34" t="e">
        <f>VLOOKUP(Allocation[[#This Row],[SAP Contract number]],Shipments[[SAP Contract number]:[AAA Premium USD]],24,FALSE)</f>
        <v>#N/A</v>
      </c>
      <c r="X198" s="34" t="e">
        <f>VLOOKUP(Allocation[[#This Row],[SAP Contract number]],Shipments[[SAP Contract number]:[RA Premium USD]],25,FALSE)</f>
        <v>#N/A</v>
      </c>
      <c r="Y198" s="38">
        <f>Allocation[[#This Row],[Quantity Processed]]/Allocation[[#This Row],[Quantity allocated]]</f>
        <v>3.3351955307262569</v>
      </c>
      <c r="Z198" s="34" t="b">
        <f>Allocation[[#This Row],[Quantity allocated]]&lt;=Allocation[[#This Row],[Quantity Processed]]</f>
        <v>1</v>
      </c>
    </row>
    <row r="199" spans="1:26">
      <c r="A199" s="247" t="s">
        <v>467</v>
      </c>
      <c r="B199" s="160" t="s">
        <v>68</v>
      </c>
      <c r="C199" s="249" t="s">
        <v>678</v>
      </c>
      <c r="D199" s="250">
        <v>533</v>
      </c>
      <c r="E199" s="160" t="s">
        <v>1186</v>
      </c>
      <c r="F199" s="158">
        <v>43487</v>
      </c>
      <c r="G199" s="162">
        <v>2.93</v>
      </c>
      <c r="H199" s="250">
        <v>160</v>
      </c>
      <c r="I199" s="160">
        <v>1425073</v>
      </c>
      <c r="J199" s="163">
        <v>21600</v>
      </c>
      <c r="K199" s="158">
        <v>43494</v>
      </c>
      <c r="L199" s="160" t="s">
        <v>1196</v>
      </c>
      <c r="M199" s="160">
        <v>4615513976</v>
      </c>
      <c r="N199" s="158">
        <v>43516</v>
      </c>
      <c r="O199" s="164">
        <v>3.7094</v>
      </c>
      <c r="P199" s="165">
        <v>19739</v>
      </c>
      <c r="Q199" s="34">
        <f>SUMIF(Allocation[Delivery ID],Allocation[[#This Row],[Delivery ID]],Allocation[Quantity Processed])</f>
        <v>533</v>
      </c>
      <c r="R199" s="61">
        <f>Allocation[[#This Row],[Total volume used]]/VLOOKUP(Allocation[[#This Row],[Delivery ID]],Delivery[[Delivery ID]:[Quantity delivered]],3,FALSE)</f>
        <v>1.7426273458445041E-2</v>
      </c>
      <c r="S199" s="34">
        <f>Allocation[[#This Row],[Quantity Processed]]/Allocation[[#This Row],[Dilution rate]]</f>
        <v>181.91126279863479</v>
      </c>
      <c r="T199" s="59">
        <f>SUMIF(Allocation[Delivery ID],Allocation[[#This Row],[Delivery ID]],Allocation[Quantity allocated])/SUMIF(Allocation[Delivery ID],Allocation[[#This Row],[Delivery ID]],Allocation[Volume available (kg)])</f>
        <v>0.87954971857410891</v>
      </c>
      <c r="U199" s="61">
        <f>Allocation[[#This Row],[Total volume used]]/VLOOKUP(Allocation[[#This Row],[Delivery ID]],Delivery[[Delivery ID]:[Quantity delivered]],3,FALSE)</f>
        <v>1.7426273458445041E-2</v>
      </c>
      <c r="V199" s="34" t="e">
        <f>VLOOKUP(Allocation[[#This Row],[SAP Contract number]],Shipments[[SAP Contract number]:[Contracted container weight]],2,FALSE)</f>
        <v>#N/A</v>
      </c>
      <c r="W199" s="34" t="e">
        <f>VLOOKUP(Allocation[[#This Row],[SAP Contract number]],Shipments[[SAP Contract number]:[AAA Premium USD]],24,FALSE)</f>
        <v>#N/A</v>
      </c>
      <c r="X199" s="34" t="e">
        <f>VLOOKUP(Allocation[[#This Row],[SAP Contract number]],Shipments[[SAP Contract number]:[RA Premium USD]],25,FALSE)</f>
        <v>#N/A</v>
      </c>
      <c r="Y199" s="38">
        <f>Allocation[[#This Row],[Quantity Processed]]/Allocation[[#This Row],[Quantity allocated]]</f>
        <v>3.3312499999999998</v>
      </c>
      <c r="Z199" s="34" t="b">
        <f>Allocation[[#This Row],[Quantity allocated]]&lt;=Allocation[[#This Row],[Quantity Processed]]</f>
        <v>1</v>
      </c>
    </row>
    <row r="200" spans="1:26">
      <c r="A200" s="247" t="s">
        <v>467</v>
      </c>
      <c r="B200" s="160" t="s">
        <v>68</v>
      </c>
      <c r="C200" s="249" t="s">
        <v>679</v>
      </c>
      <c r="D200" s="250">
        <v>537</v>
      </c>
      <c r="E200" s="160" t="s">
        <v>1186</v>
      </c>
      <c r="F200" s="158">
        <v>43487</v>
      </c>
      <c r="G200" s="162">
        <v>2.93</v>
      </c>
      <c r="H200" s="250">
        <v>161</v>
      </c>
      <c r="I200" s="160">
        <v>1425073</v>
      </c>
      <c r="J200" s="163">
        <v>21600</v>
      </c>
      <c r="K200" s="158">
        <v>43494</v>
      </c>
      <c r="L200" s="160" t="s">
        <v>1196</v>
      </c>
      <c r="M200" s="160">
        <v>4615513976</v>
      </c>
      <c r="N200" s="158">
        <v>43516</v>
      </c>
      <c r="O200" s="164">
        <v>3.7094</v>
      </c>
      <c r="P200" s="165">
        <v>19739</v>
      </c>
      <c r="Q200" s="34">
        <f>SUMIF(Allocation[Delivery ID],Allocation[[#This Row],[Delivery ID]],Allocation[Quantity Processed])</f>
        <v>537</v>
      </c>
      <c r="R200" s="61">
        <f>Allocation[[#This Row],[Total volume used]]/VLOOKUP(Allocation[[#This Row],[Delivery ID]],Delivery[[Delivery ID]:[Quantity delivered]],3,FALSE)</f>
        <v>1.7524965733307224E-2</v>
      </c>
      <c r="S200" s="34">
        <f>Allocation[[#This Row],[Quantity Processed]]/Allocation[[#This Row],[Dilution rate]]</f>
        <v>183.27645051194537</v>
      </c>
      <c r="T200" s="59">
        <f>SUMIF(Allocation[Delivery ID],Allocation[[#This Row],[Delivery ID]],Allocation[Quantity allocated])/SUMIF(Allocation[Delivery ID],Allocation[[#This Row],[Delivery ID]],Allocation[Volume available (kg)])</f>
        <v>0.87845437616387345</v>
      </c>
      <c r="U200" s="61">
        <f>Allocation[[#This Row],[Total volume used]]/VLOOKUP(Allocation[[#This Row],[Delivery ID]],Delivery[[Delivery ID]:[Quantity delivered]],3,FALSE)</f>
        <v>1.7524965733307224E-2</v>
      </c>
      <c r="V200" s="34" t="e">
        <f>VLOOKUP(Allocation[[#This Row],[SAP Contract number]],Shipments[[SAP Contract number]:[Contracted container weight]],2,FALSE)</f>
        <v>#N/A</v>
      </c>
      <c r="W200" s="34" t="e">
        <f>VLOOKUP(Allocation[[#This Row],[SAP Contract number]],Shipments[[SAP Contract number]:[AAA Premium USD]],24,FALSE)</f>
        <v>#N/A</v>
      </c>
      <c r="X200" s="34" t="e">
        <f>VLOOKUP(Allocation[[#This Row],[SAP Contract number]],Shipments[[SAP Contract number]:[RA Premium USD]],25,FALSE)</f>
        <v>#N/A</v>
      </c>
      <c r="Y200" s="38">
        <f>Allocation[[#This Row],[Quantity Processed]]/Allocation[[#This Row],[Quantity allocated]]</f>
        <v>3.3354037267080745</v>
      </c>
      <c r="Z200" s="34" t="b">
        <f>Allocation[[#This Row],[Quantity allocated]]&lt;=Allocation[[#This Row],[Quantity Processed]]</f>
        <v>1</v>
      </c>
    </row>
    <row r="201" spans="1:26">
      <c r="A201" s="247" t="s">
        <v>467</v>
      </c>
      <c r="B201" s="160" t="s">
        <v>68</v>
      </c>
      <c r="C201" s="249" t="s">
        <v>680</v>
      </c>
      <c r="D201" s="250">
        <v>597</v>
      </c>
      <c r="E201" s="160" t="s">
        <v>1186</v>
      </c>
      <c r="F201" s="158">
        <v>43487</v>
      </c>
      <c r="G201" s="162">
        <v>2.93</v>
      </c>
      <c r="H201" s="250">
        <v>179</v>
      </c>
      <c r="I201" s="160">
        <v>1425073</v>
      </c>
      <c r="J201" s="163">
        <v>21600</v>
      </c>
      <c r="K201" s="158">
        <v>43494</v>
      </c>
      <c r="L201" s="160" t="s">
        <v>1196</v>
      </c>
      <c r="M201" s="160">
        <v>4615513976</v>
      </c>
      <c r="N201" s="158">
        <v>43516</v>
      </c>
      <c r="O201" s="164">
        <v>3.7094</v>
      </c>
      <c r="P201" s="165">
        <v>19739</v>
      </c>
      <c r="Q201" s="34">
        <f>SUMIF(Allocation[Delivery ID],Allocation[[#This Row],[Delivery ID]],Allocation[Quantity Processed])</f>
        <v>597</v>
      </c>
      <c r="R201" s="61">
        <f>Allocation[[#This Row],[Total volume used]]/VLOOKUP(Allocation[[#This Row],[Delivery ID]],Delivery[[Delivery ID]:[Quantity delivered]],3,FALSE)</f>
        <v>1.9900000000000001E-2</v>
      </c>
      <c r="S201" s="34">
        <f>Allocation[[#This Row],[Quantity Processed]]/Allocation[[#This Row],[Dilution rate]]</f>
        <v>203.75426621160409</v>
      </c>
      <c r="T201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201" s="61">
        <f>Allocation[[#This Row],[Total volume used]]/VLOOKUP(Allocation[[#This Row],[Delivery ID]],Delivery[[Delivery ID]:[Quantity delivered]],3,FALSE)</f>
        <v>1.9900000000000001E-2</v>
      </c>
      <c r="V201" s="34" t="e">
        <f>VLOOKUP(Allocation[[#This Row],[SAP Contract number]],Shipments[[SAP Contract number]:[Contracted container weight]],2,FALSE)</f>
        <v>#N/A</v>
      </c>
      <c r="W201" s="34" t="e">
        <f>VLOOKUP(Allocation[[#This Row],[SAP Contract number]],Shipments[[SAP Contract number]:[AAA Premium USD]],24,FALSE)</f>
        <v>#N/A</v>
      </c>
      <c r="X201" s="34" t="e">
        <f>VLOOKUP(Allocation[[#This Row],[SAP Contract number]],Shipments[[SAP Contract number]:[RA Premium USD]],25,FALSE)</f>
        <v>#N/A</v>
      </c>
      <c r="Y201" s="38">
        <f>Allocation[[#This Row],[Quantity Processed]]/Allocation[[#This Row],[Quantity allocated]]</f>
        <v>3.3351955307262569</v>
      </c>
      <c r="Z201" s="34" t="b">
        <f>Allocation[[#This Row],[Quantity allocated]]&lt;=Allocation[[#This Row],[Quantity Processed]]</f>
        <v>1</v>
      </c>
    </row>
    <row r="202" spans="1:26">
      <c r="A202" s="247" t="s">
        <v>467</v>
      </c>
      <c r="B202" s="160" t="s">
        <v>68</v>
      </c>
      <c r="C202" s="249" t="s">
        <v>681</v>
      </c>
      <c r="D202" s="250">
        <v>597</v>
      </c>
      <c r="E202" s="160" t="s">
        <v>1186</v>
      </c>
      <c r="F202" s="158">
        <v>43487</v>
      </c>
      <c r="G202" s="162">
        <v>2.93</v>
      </c>
      <c r="H202" s="250">
        <v>179</v>
      </c>
      <c r="I202" s="160">
        <v>1425073</v>
      </c>
      <c r="J202" s="163">
        <v>21600</v>
      </c>
      <c r="K202" s="158">
        <v>43494</v>
      </c>
      <c r="L202" s="160" t="s">
        <v>1196</v>
      </c>
      <c r="M202" s="160">
        <v>4615513976</v>
      </c>
      <c r="N202" s="158">
        <v>43516</v>
      </c>
      <c r="O202" s="164">
        <v>3.7094</v>
      </c>
      <c r="P202" s="165">
        <v>19739</v>
      </c>
      <c r="Q202" s="34">
        <f>SUMIF(Allocation[Delivery ID],Allocation[[#This Row],[Delivery ID]],Allocation[Quantity Processed])</f>
        <v>597</v>
      </c>
      <c r="R202" s="61">
        <f>Allocation[[#This Row],[Total volume used]]/VLOOKUP(Allocation[[#This Row],[Delivery ID]],Delivery[[Delivery ID]:[Quantity delivered]],3,FALSE)</f>
        <v>1.9900000000000001E-2</v>
      </c>
      <c r="S202" s="34">
        <f>Allocation[[#This Row],[Quantity Processed]]/Allocation[[#This Row],[Dilution rate]]</f>
        <v>203.75426621160409</v>
      </c>
      <c r="T202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202" s="61">
        <f>Allocation[[#This Row],[Total volume used]]/VLOOKUP(Allocation[[#This Row],[Delivery ID]],Delivery[[Delivery ID]:[Quantity delivered]],3,FALSE)</f>
        <v>1.9900000000000001E-2</v>
      </c>
      <c r="V202" s="34" t="e">
        <f>VLOOKUP(Allocation[[#This Row],[SAP Contract number]],Shipments[[SAP Contract number]:[Contracted container weight]],2,FALSE)</f>
        <v>#N/A</v>
      </c>
      <c r="W202" s="34" t="e">
        <f>VLOOKUP(Allocation[[#This Row],[SAP Contract number]],Shipments[[SAP Contract number]:[AAA Premium USD]],24,FALSE)</f>
        <v>#N/A</v>
      </c>
      <c r="X202" s="34" t="e">
        <f>VLOOKUP(Allocation[[#This Row],[SAP Contract number]],Shipments[[SAP Contract number]:[RA Premium USD]],25,FALSE)</f>
        <v>#N/A</v>
      </c>
      <c r="Y202" s="38">
        <f>Allocation[[#This Row],[Quantity Processed]]/Allocation[[#This Row],[Quantity allocated]]</f>
        <v>3.3351955307262569</v>
      </c>
      <c r="Z202" s="34" t="b">
        <f>Allocation[[#This Row],[Quantity allocated]]&lt;=Allocation[[#This Row],[Quantity Processed]]</f>
        <v>1</v>
      </c>
    </row>
    <row r="203" spans="1:26">
      <c r="A203" s="247" t="s">
        <v>467</v>
      </c>
      <c r="B203" s="160" t="s">
        <v>68</v>
      </c>
      <c r="C203" s="249" t="s">
        <v>682</v>
      </c>
      <c r="D203" s="250">
        <v>597</v>
      </c>
      <c r="E203" s="160" t="s">
        <v>1186</v>
      </c>
      <c r="F203" s="158">
        <v>43487</v>
      </c>
      <c r="G203" s="162">
        <v>2.93</v>
      </c>
      <c r="H203" s="250">
        <v>179</v>
      </c>
      <c r="I203" s="160">
        <v>1425073</v>
      </c>
      <c r="J203" s="163">
        <v>21600</v>
      </c>
      <c r="K203" s="158">
        <v>43494</v>
      </c>
      <c r="L203" s="160" t="s">
        <v>1196</v>
      </c>
      <c r="M203" s="160">
        <v>4615513976</v>
      </c>
      <c r="N203" s="158">
        <v>43516</v>
      </c>
      <c r="O203" s="164">
        <v>3.7094</v>
      </c>
      <c r="P203" s="165">
        <v>19739</v>
      </c>
      <c r="Q203" s="34">
        <f>SUMIF(Allocation[Delivery ID],Allocation[[#This Row],[Delivery ID]],Allocation[Quantity Processed])</f>
        <v>597</v>
      </c>
      <c r="R203" s="61">
        <f>Allocation[[#This Row],[Total volume used]]/VLOOKUP(Allocation[[#This Row],[Delivery ID]],Delivery[[Delivery ID]:[Quantity delivered]],3,FALSE)</f>
        <v>1.9208494208494208E-2</v>
      </c>
      <c r="S203" s="34">
        <f>Allocation[[#This Row],[Quantity Processed]]/Allocation[[#This Row],[Dilution rate]]</f>
        <v>203.75426621160409</v>
      </c>
      <c r="T203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203" s="61">
        <f>Allocation[[#This Row],[Total volume used]]/VLOOKUP(Allocation[[#This Row],[Delivery ID]],Delivery[[Delivery ID]:[Quantity delivered]],3,FALSE)</f>
        <v>1.9208494208494208E-2</v>
      </c>
      <c r="V203" s="34" t="e">
        <f>VLOOKUP(Allocation[[#This Row],[SAP Contract number]],Shipments[[SAP Contract number]:[Contracted container weight]],2,FALSE)</f>
        <v>#N/A</v>
      </c>
      <c r="W203" s="34" t="e">
        <f>VLOOKUP(Allocation[[#This Row],[SAP Contract number]],Shipments[[SAP Contract number]:[AAA Premium USD]],24,FALSE)</f>
        <v>#N/A</v>
      </c>
      <c r="X203" s="34" t="e">
        <f>VLOOKUP(Allocation[[#This Row],[SAP Contract number]],Shipments[[SAP Contract number]:[RA Premium USD]],25,FALSE)</f>
        <v>#N/A</v>
      </c>
      <c r="Y203" s="38">
        <f>Allocation[[#This Row],[Quantity Processed]]/Allocation[[#This Row],[Quantity allocated]]</f>
        <v>3.3351955307262569</v>
      </c>
      <c r="Z203" s="34" t="b">
        <f>Allocation[[#This Row],[Quantity allocated]]&lt;=Allocation[[#This Row],[Quantity Processed]]</f>
        <v>1</v>
      </c>
    </row>
    <row r="204" spans="1:26">
      <c r="A204" s="247" t="s">
        <v>467</v>
      </c>
      <c r="B204" s="160" t="s">
        <v>68</v>
      </c>
      <c r="C204" s="249" t="s">
        <v>683</v>
      </c>
      <c r="D204" s="250">
        <v>253</v>
      </c>
      <c r="E204" s="160" t="s">
        <v>1186</v>
      </c>
      <c r="F204" s="158">
        <v>43487</v>
      </c>
      <c r="G204" s="162">
        <v>2.93</v>
      </c>
      <c r="H204" s="250">
        <v>119</v>
      </c>
      <c r="I204" s="160">
        <v>1425073</v>
      </c>
      <c r="J204" s="163">
        <v>21600</v>
      </c>
      <c r="K204" s="158">
        <v>43494</v>
      </c>
      <c r="L204" s="160" t="s">
        <v>1196</v>
      </c>
      <c r="M204" s="160">
        <v>4615513976</v>
      </c>
      <c r="N204" s="158">
        <v>43516</v>
      </c>
      <c r="O204" s="164">
        <v>3.7094</v>
      </c>
      <c r="P204" s="165">
        <v>19739</v>
      </c>
      <c r="Q204" s="34">
        <f>SUMIF(Allocation[Delivery ID],Allocation[[#This Row],[Delivery ID]],Allocation[Quantity Processed])</f>
        <v>253</v>
      </c>
      <c r="R204" s="61">
        <f>Allocation[[#This Row],[Total volume used]]/VLOOKUP(Allocation[[#This Row],[Delivery ID]],Delivery[[Delivery ID]:[Quantity delivered]],3,FALSE)</f>
        <v>4.9661399548532728E-2</v>
      </c>
      <c r="S204" s="34">
        <f>Allocation[[#This Row],[Quantity Processed]]/Allocation[[#This Row],[Dilution rate]]</f>
        <v>86.348122866894187</v>
      </c>
      <c r="T204" s="59">
        <f>SUMIF(Allocation[Delivery ID],Allocation[[#This Row],[Delivery ID]],Allocation[Quantity allocated])/SUMIF(Allocation[Delivery ID],Allocation[[#This Row],[Delivery ID]],Allocation[Volume available (kg)])</f>
        <v>1.3781422924901188</v>
      </c>
      <c r="U204" s="61">
        <f>Allocation[[#This Row],[Total volume used]]/VLOOKUP(Allocation[[#This Row],[Delivery ID]],Delivery[[Delivery ID]:[Quantity delivered]],3,FALSE)</f>
        <v>4.9661399548532728E-2</v>
      </c>
      <c r="V204" s="34" t="e">
        <f>VLOOKUP(Allocation[[#This Row],[SAP Contract number]],Shipments[[SAP Contract number]:[Contracted container weight]],2,FALSE)</f>
        <v>#N/A</v>
      </c>
      <c r="W204" s="34" t="e">
        <f>VLOOKUP(Allocation[[#This Row],[SAP Contract number]],Shipments[[SAP Contract number]:[AAA Premium USD]],24,FALSE)</f>
        <v>#N/A</v>
      </c>
      <c r="X204" s="34" t="e">
        <f>VLOOKUP(Allocation[[#This Row],[SAP Contract number]],Shipments[[SAP Contract number]:[RA Premium USD]],25,FALSE)</f>
        <v>#N/A</v>
      </c>
      <c r="Y204" s="38">
        <f>Allocation[[#This Row],[Quantity Processed]]/Allocation[[#This Row],[Quantity allocated]]</f>
        <v>2.1260504201680672</v>
      </c>
      <c r="Z204" s="34" t="b">
        <f>Allocation[[#This Row],[Quantity allocated]]&lt;=Allocation[[#This Row],[Quantity Processed]]</f>
        <v>1</v>
      </c>
    </row>
    <row r="205" spans="1:26">
      <c r="A205" s="247" t="s">
        <v>467</v>
      </c>
      <c r="B205" s="160" t="s">
        <v>68</v>
      </c>
      <c r="C205" s="249" t="s">
        <v>684</v>
      </c>
      <c r="D205" s="250">
        <v>526</v>
      </c>
      <c r="E205" s="160" t="s">
        <v>1186</v>
      </c>
      <c r="F205" s="158">
        <v>43487</v>
      </c>
      <c r="G205" s="162">
        <v>2.93</v>
      </c>
      <c r="H205" s="250">
        <v>179</v>
      </c>
      <c r="I205" s="160">
        <v>1425073</v>
      </c>
      <c r="J205" s="163">
        <v>21600</v>
      </c>
      <c r="K205" s="158">
        <v>43494</v>
      </c>
      <c r="L205" s="160" t="s">
        <v>1196</v>
      </c>
      <c r="M205" s="160">
        <v>4615513976</v>
      </c>
      <c r="N205" s="158">
        <v>43516</v>
      </c>
      <c r="O205" s="164">
        <v>3.7094</v>
      </c>
      <c r="P205" s="165">
        <v>19739</v>
      </c>
      <c r="Q205" s="34">
        <f>SUMIF(Allocation[Delivery ID],Allocation[[#This Row],[Delivery ID]],Allocation[Quantity Processed])</f>
        <v>526</v>
      </c>
      <c r="R205" s="61">
        <f>Allocation[[#This Row],[Total volume used]]/VLOOKUP(Allocation[[#This Row],[Delivery ID]],Delivery[[Delivery ID]:[Quantity delivered]],3,FALSE)</f>
        <v>4.1824036894207453E-2</v>
      </c>
      <c r="S205" s="34">
        <f>Allocation[[#This Row],[Quantity Processed]]/Allocation[[#This Row],[Dilution rate]]</f>
        <v>179.52218430034128</v>
      </c>
      <c r="T205" s="59">
        <f>SUMIF(Allocation[Delivery ID],Allocation[[#This Row],[Delivery ID]],Allocation[Quantity allocated])/SUMIF(Allocation[Delivery ID],Allocation[[#This Row],[Delivery ID]],Allocation[Volume available (kg)])</f>
        <v>0.99709125475285176</v>
      </c>
      <c r="U205" s="61">
        <f>Allocation[[#This Row],[Total volume used]]/VLOOKUP(Allocation[[#This Row],[Delivery ID]],Delivery[[Delivery ID]:[Quantity delivered]],3,FALSE)</f>
        <v>4.1824036894207453E-2</v>
      </c>
      <c r="V205" s="34" t="e">
        <f>VLOOKUP(Allocation[[#This Row],[SAP Contract number]],Shipments[[SAP Contract number]:[Contracted container weight]],2,FALSE)</f>
        <v>#N/A</v>
      </c>
      <c r="W205" s="34" t="e">
        <f>VLOOKUP(Allocation[[#This Row],[SAP Contract number]],Shipments[[SAP Contract number]:[AAA Premium USD]],24,FALSE)</f>
        <v>#N/A</v>
      </c>
      <c r="X205" s="34" t="e">
        <f>VLOOKUP(Allocation[[#This Row],[SAP Contract number]],Shipments[[SAP Contract number]:[RA Premium USD]],25,FALSE)</f>
        <v>#N/A</v>
      </c>
      <c r="Y205" s="38">
        <f>Allocation[[#This Row],[Quantity Processed]]/Allocation[[#This Row],[Quantity allocated]]</f>
        <v>2.9385474860335195</v>
      </c>
      <c r="Z205" s="34" t="b">
        <f>Allocation[[#This Row],[Quantity allocated]]&lt;=Allocation[[#This Row],[Quantity Processed]]</f>
        <v>1</v>
      </c>
    </row>
    <row r="206" spans="1:26">
      <c r="A206" s="247" t="s">
        <v>467</v>
      </c>
      <c r="B206" s="160" t="s">
        <v>68</v>
      </c>
      <c r="C206" s="249" t="s">
        <v>685</v>
      </c>
      <c r="D206" s="250">
        <v>526</v>
      </c>
      <c r="E206" s="160" t="s">
        <v>1186</v>
      </c>
      <c r="F206" s="158">
        <v>43487</v>
      </c>
      <c r="G206" s="162">
        <v>2.93</v>
      </c>
      <c r="H206" s="250">
        <v>179</v>
      </c>
      <c r="I206" s="160">
        <v>1425073</v>
      </c>
      <c r="J206" s="163">
        <v>21600</v>
      </c>
      <c r="K206" s="158">
        <v>43494</v>
      </c>
      <c r="L206" s="160" t="s">
        <v>1196</v>
      </c>
      <c r="M206" s="160">
        <v>4615513976</v>
      </c>
      <c r="N206" s="158">
        <v>43516</v>
      </c>
      <c r="O206" s="164">
        <v>3.7094</v>
      </c>
      <c r="P206" s="165">
        <v>19739</v>
      </c>
      <c r="Q206" s="34">
        <f>SUMIF(Allocation[Delivery ID],Allocation[[#This Row],[Delivery ID]],Allocation[Quantity Processed])</f>
        <v>526</v>
      </c>
      <c r="R206" s="61">
        <f>Allocation[[#This Row],[Total volume used]]/VLOOKUP(Allocation[[#This Row],[Delivery ID]],Delivery[[Delivery ID]:[Quantity delivered]],3,FALSE)</f>
        <v>3.0286454584712824E-2</v>
      </c>
      <c r="S206" s="34">
        <f>Allocation[[#This Row],[Quantity Processed]]/Allocation[[#This Row],[Dilution rate]]</f>
        <v>179.52218430034128</v>
      </c>
      <c r="T206" s="59">
        <f>SUMIF(Allocation[Delivery ID],Allocation[[#This Row],[Delivery ID]],Allocation[Quantity allocated])/SUMIF(Allocation[Delivery ID],Allocation[[#This Row],[Delivery ID]],Allocation[Volume available (kg)])</f>
        <v>0.99709125475285176</v>
      </c>
      <c r="U206" s="61">
        <f>Allocation[[#This Row],[Total volume used]]/VLOOKUP(Allocation[[#This Row],[Delivery ID]],Delivery[[Delivery ID]:[Quantity delivered]],3,FALSE)</f>
        <v>3.0286454584712824E-2</v>
      </c>
      <c r="V206" s="34" t="e">
        <f>VLOOKUP(Allocation[[#This Row],[SAP Contract number]],Shipments[[SAP Contract number]:[Contracted container weight]],2,FALSE)</f>
        <v>#N/A</v>
      </c>
      <c r="W206" s="34" t="e">
        <f>VLOOKUP(Allocation[[#This Row],[SAP Contract number]],Shipments[[SAP Contract number]:[AAA Premium USD]],24,FALSE)</f>
        <v>#N/A</v>
      </c>
      <c r="X206" s="34" t="e">
        <f>VLOOKUP(Allocation[[#This Row],[SAP Contract number]],Shipments[[SAP Contract number]:[RA Premium USD]],25,FALSE)</f>
        <v>#N/A</v>
      </c>
      <c r="Y206" s="38">
        <f>Allocation[[#This Row],[Quantity Processed]]/Allocation[[#This Row],[Quantity allocated]]</f>
        <v>2.9385474860335195</v>
      </c>
      <c r="Z206" s="34" t="b">
        <f>Allocation[[#This Row],[Quantity allocated]]&lt;=Allocation[[#This Row],[Quantity Processed]]</f>
        <v>1</v>
      </c>
    </row>
    <row r="207" spans="1:26">
      <c r="A207" s="247" t="s">
        <v>467</v>
      </c>
      <c r="B207" s="160" t="s">
        <v>68</v>
      </c>
      <c r="C207" s="249" t="s">
        <v>686</v>
      </c>
      <c r="D207" s="250">
        <v>526</v>
      </c>
      <c r="E207" s="160" t="s">
        <v>1186</v>
      </c>
      <c r="F207" s="158">
        <v>43487</v>
      </c>
      <c r="G207" s="162">
        <v>2.93</v>
      </c>
      <c r="H207" s="250">
        <v>179</v>
      </c>
      <c r="I207" s="160">
        <v>1425073</v>
      </c>
      <c r="J207" s="163">
        <v>21600</v>
      </c>
      <c r="K207" s="158">
        <v>43494</v>
      </c>
      <c r="L207" s="160" t="s">
        <v>1196</v>
      </c>
      <c r="M207" s="160">
        <v>4615513976</v>
      </c>
      <c r="N207" s="158">
        <v>43516</v>
      </c>
      <c r="O207" s="164">
        <v>3.7094</v>
      </c>
      <c r="P207" s="165">
        <v>19739</v>
      </c>
      <c r="Q207" s="34">
        <f>SUMIF(Allocation[Delivery ID],Allocation[[#This Row],[Delivery ID]],Allocation[Quantity Processed])</f>
        <v>526</v>
      </c>
      <c r="R207" s="61">
        <f>Allocation[[#This Row],[Total volume used]]/VLOOKUP(Allocation[[#This Row],[Delivery ID]],Delivery[[Delivery ID]:[Quantity delivered]],3,FALSE)</f>
        <v>0.10956050822745261</v>
      </c>
      <c r="S207" s="34">
        <f>Allocation[[#This Row],[Quantity Processed]]/Allocation[[#This Row],[Dilution rate]]</f>
        <v>179.52218430034128</v>
      </c>
      <c r="T207" s="59">
        <f>SUMIF(Allocation[Delivery ID],Allocation[[#This Row],[Delivery ID]],Allocation[Quantity allocated])/SUMIF(Allocation[Delivery ID],Allocation[[#This Row],[Delivery ID]],Allocation[Volume available (kg)])</f>
        <v>0.99709125475285176</v>
      </c>
      <c r="U207" s="61">
        <f>Allocation[[#This Row],[Total volume used]]/VLOOKUP(Allocation[[#This Row],[Delivery ID]],Delivery[[Delivery ID]:[Quantity delivered]],3,FALSE)</f>
        <v>0.10956050822745261</v>
      </c>
      <c r="V207" s="34" t="e">
        <f>VLOOKUP(Allocation[[#This Row],[SAP Contract number]],Shipments[[SAP Contract number]:[Contracted container weight]],2,FALSE)</f>
        <v>#N/A</v>
      </c>
      <c r="W207" s="34" t="e">
        <f>VLOOKUP(Allocation[[#This Row],[SAP Contract number]],Shipments[[SAP Contract number]:[AAA Premium USD]],24,FALSE)</f>
        <v>#N/A</v>
      </c>
      <c r="X207" s="34" t="e">
        <f>VLOOKUP(Allocation[[#This Row],[SAP Contract number]],Shipments[[SAP Contract number]:[RA Premium USD]],25,FALSE)</f>
        <v>#N/A</v>
      </c>
      <c r="Y207" s="38">
        <f>Allocation[[#This Row],[Quantity Processed]]/Allocation[[#This Row],[Quantity allocated]]</f>
        <v>2.9385474860335195</v>
      </c>
      <c r="Z207" s="34" t="b">
        <f>Allocation[[#This Row],[Quantity allocated]]&lt;=Allocation[[#This Row],[Quantity Processed]]</f>
        <v>1</v>
      </c>
    </row>
    <row r="208" spans="1:26">
      <c r="A208" s="247" t="s">
        <v>467</v>
      </c>
      <c r="B208" s="160" t="s">
        <v>68</v>
      </c>
      <c r="C208" s="249" t="s">
        <v>687</v>
      </c>
      <c r="D208" s="250">
        <v>381</v>
      </c>
      <c r="E208" s="160" t="s">
        <v>1186</v>
      </c>
      <c r="F208" s="158">
        <v>43487</v>
      </c>
      <c r="G208" s="162">
        <v>2.93</v>
      </c>
      <c r="H208" s="250">
        <v>179</v>
      </c>
      <c r="I208" s="160">
        <v>1425073</v>
      </c>
      <c r="J208" s="163">
        <v>21600</v>
      </c>
      <c r="K208" s="158">
        <v>43494</v>
      </c>
      <c r="L208" s="160" t="s">
        <v>1196</v>
      </c>
      <c r="M208" s="160">
        <v>4615513976</v>
      </c>
      <c r="N208" s="158">
        <v>43516</v>
      </c>
      <c r="O208" s="164">
        <v>3.7094</v>
      </c>
      <c r="P208" s="165">
        <v>19739</v>
      </c>
      <c r="Q208" s="34">
        <f>SUMIF(Allocation[Delivery ID],Allocation[[#This Row],[Delivery ID]],Allocation[Quantity Processed])</f>
        <v>381</v>
      </c>
      <c r="R208" s="61">
        <f>Allocation[[#This Row],[Total volume used]]/VLOOKUP(Allocation[[#This Row],[Delivery ID]],Delivery[[Delivery ID]:[Quantity delivered]],3,FALSE)</f>
        <v>7.0516379789006114E-2</v>
      </c>
      <c r="S208" s="34">
        <f>Allocation[[#This Row],[Quantity Processed]]/Allocation[[#This Row],[Dilution rate]]</f>
        <v>130.03412969283275</v>
      </c>
      <c r="T208" s="59">
        <f>SUMIF(Allocation[Delivery ID],Allocation[[#This Row],[Delivery ID]],Allocation[Quantity allocated])/SUMIF(Allocation[Delivery ID],Allocation[[#This Row],[Delivery ID]],Allocation[Volume available (kg)])</f>
        <v>1.3765616797900264</v>
      </c>
      <c r="U208" s="61">
        <f>Allocation[[#This Row],[Total volume used]]/VLOOKUP(Allocation[[#This Row],[Delivery ID]],Delivery[[Delivery ID]:[Quantity delivered]],3,FALSE)</f>
        <v>7.0516379789006114E-2</v>
      </c>
      <c r="V208" s="34" t="e">
        <f>VLOOKUP(Allocation[[#This Row],[SAP Contract number]],Shipments[[SAP Contract number]:[Contracted container weight]],2,FALSE)</f>
        <v>#N/A</v>
      </c>
      <c r="W208" s="34" t="e">
        <f>VLOOKUP(Allocation[[#This Row],[SAP Contract number]],Shipments[[SAP Contract number]:[AAA Premium USD]],24,FALSE)</f>
        <v>#N/A</v>
      </c>
      <c r="X208" s="34" t="e">
        <f>VLOOKUP(Allocation[[#This Row],[SAP Contract number]],Shipments[[SAP Contract number]:[RA Premium USD]],25,FALSE)</f>
        <v>#N/A</v>
      </c>
      <c r="Y208" s="38">
        <f>Allocation[[#This Row],[Quantity Processed]]/Allocation[[#This Row],[Quantity allocated]]</f>
        <v>2.1284916201117317</v>
      </c>
      <c r="Z208" s="34" t="b">
        <f>Allocation[[#This Row],[Quantity allocated]]&lt;=Allocation[[#This Row],[Quantity Processed]]</f>
        <v>1</v>
      </c>
    </row>
    <row r="209" spans="1:26">
      <c r="A209" s="247" t="s">
        <v>467</v>
      </c>
      <c r="B209" s="160" t="s">
        <v>68</v>
      </c>
      <c r="C209" s="249" t="s">
        <v>688</v>
      </c>
      <c r="D209" s="250">
        <v>597</v>
      </c>
      <c r="E209" s="160" t="s">
        <v>1186</v>
      </c>
      <c r="F209" s="158">
        <v>43487</v>
      </c>
      <c r="G209" s="162">
        <v>2.93</v>
      </c>
      <c r="H209" s="250">
        <v>179</v>
      </c>
      <c r="I209" s="160">
        <v>1425073</v>
      </c>
      <c r="J209" s="163">
        <v>21600</v>
      </c>
      <c r="K209" s="158">
        <v>43494</v>
      </c>
      <c r="L209" s="160" t="s">
        <v>1196</v>
      </c>
      <c r="M209" s="160">
        <v>4615513976</v>
      </c>
      <c r="N209" s="158">
        <v>43516</v>
      </c>
      <c r="O209" s="164">
        <v>3.7094</v>
      </c>
      <c r="P209" s="165">
        <v>19739</v>
      </c>
      <c r="Q209" s="34">
        <f>SUMIF(Allocation[Delivery ID],Allocation[[#This Row],[Delivery ID]],Allocation[Quantity Processed])</f>
        <v>597</v>
      </c>
      <c r="R209" s="61">
        <f>Allocation[[#This Row],[Total volume used]]/VLOOKUP(Allocation[[#This Row],[Delivery ID]],Delivery[[Delivery ID]:[Quantity delivered]],3,FALSE)</f>
        <v>3.481049562682216E-2</v>
      </c>
      <c r="S209" s="34">
        <f>Allocation[[#This Row],[Quantity Processed]]/Allocation[[#This Row],[Dilution rate]]</f>
        <v>203.75426621160409</v>
      </c>
      <c r="T209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209" s="61">
        <f>Allocation[[#This Row],[Total volume used]]/VLOOKUP(Allocation[[#This Row],[Delivery ID]],Delivery[[Delivery ID]:[Quantity delivered]],3,FALSE)</f>
        <v>3.481049562682216E-2</v>
      </c>
      <c r="V209" s="34" t="e">
        <f>VLOOKUP(Allocation[[#This Row],[SAP Contract number]],Shipments[[SAP Contract number]:[Contracted container weight]],2,FALSE)</f>
        <v>#N/A</v>
      </c>
      <c r="W209" s="34" t="e">
        <f>VLOOKUP(Allocation[[#This Row],[SAP Contract number]],Shipments[[SAP Contract number]:[AAA Premium USD]],24,FALSE)</f>
        <v>#N/A</v>
      </c>
      <c r="X209" s="34" t="e">
        <f>VLOOKUP(Allocation[[#This Row],[SAP Contract number]],Shipments[[SAP Contract number]:[RA Premium USD]],25,FALSE)</f>
        <v>#N/A</v>
      </c>
      <c r="Y209" s="38">
        <f>Allocation[[#This Row],[Quantity Processed]]/Allocation[[#This Row],[Quantity allocated]]</f>
        <v>3.3351955307262569</v>
      </c>
      <c r="Z209" s="34" t="b">
        <f>Allocation[[#This Row],[Quantity allocated]]&lt;=Allocation[[#This Row],[Quantity Processed]]</f>
        <v>1</v>
      </c>
    </row>
    <row r="210" spans="1:26">
      <c r="A210" s="247" t="s">
        <v>467</v>
      </c>
      <c r="B210" s="160" t="s">
        <v>68</v>
      </c>
      <c r="C210" s="249" t="s">
        <v>689</v>
      </c>
      <c r="D210" s="250">
        <v>381</v>
      </c>
      <c r="E210" s="160" t="s">
        <v>1186</v>
      </c>
      <c r="F210" s="158">
        <v>43487</v>
      </c>
      <c r="G210" s="162">
        <v>2.93</v>
      </c>
      <c r="H210" s="250">
        <v>179</v>
      </c>
      <c r="I210" s="160">
        <v>1425073</v>
      </c>
      <c r="J210" s="163">
        <v>21600</v>
      </c>
      <c r="K210" s="158">
        <v>43494</v>
      </c>
      <c r="L210" s="160" t="s">
        <v>1196</v>
      </c>
      <c r="M210" s="160">
        <v>4615513976</v>
      </c>
      <c r="N210" s="158">
        <v>43516</v>
      </c>
      <c r="O210" s="164">
        <v>3.7094</v>
      </c>
      <c r="P210" s="165">
        <v>19739</v>
      </c>
      <c r="Q210" s="34">
        <f>SUMIF(Allocation[Delivery ID],Allocation[[#This Row],[Delivery ID]],Allocation[Quantity Processed])</f>
        <v>381</v>
      </c>
      <c r="R210" s="61">
        <f>Allocation[[#This Row],[Total volume used]]/VLOOKUP(Allocation[[#This Row],[Delivery ID]],Delivery[[Delivery ID]:[Quantity delivered]],3,FALSE)</f>
        <v>2.7253218884120172E-2</v>
      </c>
      <c r="S210" s="34">
        <f>Allocation[[#This Row],[Quantity Processed]]/Allocation[[#This Row],[Dilution rate]]</f>
        <v>130.03412969283275</v>
      </c>
      <c r="T210" s="59">
        <f>SUMIF(Allocation[Delivery ID],Allocation[[#This Row],[Delivery ID]],Allocation[Quantity allocated])/SUMIF(Allocation[Delivery ID],Allocation[[#This Row],[Delivery ID]],Allocation[Volume available (kg)])</f>
        <v>1.3765616797900264</v>
      </c>
      <c r="U210" s="61">
        <f>Allocation[[#This Row],[Total volume used]]/VLOOKUP(Allocation[[#This Row],[Delivery ID]],Delivery[[Delivery ID]:[Quantity delivered]],3,FALSE)</f>
        <v>2.7253218884120172E-2</v>
      </c>
      <c r="V210" s="34" t="e">
        <f>VLOOKUP(Allocation[[#This Row],[SAP Contract number]],Shipments[[SAP Contract number]:[Contracted container weight]],2,FALSE)</f>
        <v>#N/A</v>
      </c>
      <c r="W210" s="34" t="e">
        <f>VLOOKUP(Allocation[[#This Row],[SAP Contract number]],Shipments[[SAP Contract number]:[AAA Premium USD]],24,FALSE)</f>
        <v>#N/A</v>
      </c>
      <c r="X210" s="34" t="e">
        <f>VLOOKUP(Allocation[[#This Row],[SAP Contract number]],Shipments[[SAP Contract number]:[RA Premium USD]],25,FALSE)</f>
        <v>#N/A</v>
      </c>
      <c r="Y210" s="38">
        <f>Allocation[[#This Row],[Quantity Processed]]/Allocation[[#This Row],[Quantity allocated]]</f>
        <v>2.1284916201117317</v>
      </c>
      <c r="Z210" s="34" t="b">
        <f>Allocation[[#This Row],[Quantity allocated]]&lt;=Allocation[[#This Row],[Quantity Processed]]</f>
        <v>1</v>
      </c>
    </row>
    <row r="211" spans="1:26">
      <c r="A211" s="247" t="s">
        <v>467</v>
      </c>
      <c r="B211" s="160" t="s">
        <v>68</v>
      </c>
      <c r="C211" s="249" t="s">
        <v>690</v>
      </c>
      <c r="D211" s="250">
        <v>381</v>
      </c>
      <c r="E211" s="160" t="s">
        <v>1186</v>
      </c>
      <c r="F211" s="158">
        <v>43487</v>
      </c>
      <c r="G211" s="162">
        <v>2.93</v>
      </c>
      <c r="H211" s="250">
        <v>179</v>
      </c>
      <c r="I211" s="160">
        <v>1425073</v>
      </c>
      <c r="J211" s="163">
        <v>21600</v>
      </c>
      <c r="K211" s="158">
        <v>43494</v>
      </c>
      <c r="L211" s="160" t="s">
        <v>1196</v>
      </c>
      <c r="M211" s="160">
        <v>4615513976</v>
      </c>
      <c r="N211" s="158">
        <v>43516</v>
      </c>
      <c r="O211" s="164">
        <v>3.7094</v>
      </c>
      <c r="P211" s="165">
        <v>19739</v>
      </c>
      <c r="Q211" s="34">
        <f>SUMIF(Allocation[Delivery ID],Allocation[[#This Row],[Delivery ID]],Allocation[Quantity Processed])</f>
        <v>381</v>
      </c>
      <c r="R211" s="61">
        <f>Allocation[[#This Row],[Total volume used]]/VLOOKUP(Allocation[[#This Row],[Delivery ID]],Delivery[[Delivery ID]:[Quantity delivered]],3,FALSE)</f>
        <v>4.0353757347879042E-2</v>
      </c>
      <c r="S211" s="34">
        <f>Allocation[[#This Row],[Quantity Processed]]/Allocation[[#This Row],[Dilution rate]]</f>
        <v>130.03412969283275</v>
      </c>
      <c r="T211" s="59">
        <f>SUMIF(Allocation[Delivery ID],Allocation[[#This Row],[Delivery ID]],Allocation[Quantity allocated])/SUMIF(Allocation[Delivery ID],Allocation[[#This Row],[Delivery ID]],Allocation[Volume available (kg)])</f>
        <v>1.3765616797900264</v>
      </c>
      <c r="U211" s="61">
        <f>Allocation[[#This Row],[Total volume used]]/VLOOKUP(Allocation[[#This Row],[Delivery ID]],Delivery[[Delivery ID]:[Quantity delivered]],3,FALSE)</f>
        <v>4.0353757347879042E-2</v>
      </c>
      <c r="V211" s="34" t="e">
        <f>VLOOKUP(Allocation[[#This Row],[SAP Contract number]],Shipments[[SAP Contract number]:[Contracted container weight]],2,FALSE)</f>
        <v>#N/A</v>
      </c>
      <c r="W211" s="34" t="e">
        <f>VLOOKUP(Allocation[[#This Row],[SAP Contract number]],Shipments[[SAP Contract number]:[AAA Premium USD]],24,FALSE)</f>
        <v>#N/A</v>
      </c>
      <c r="X211" s="34" t="e">
        <f>VLOOKUP(Allocation[[#This Row],[SAP Contract number]],Shipments[[SAP Contract number]:[RA Premium USD]],25,FALSE)</f>
        <v>#N/A</v>
      </c>
      <c r="Y211" s="38">
        <f>Allocation[[#This Row],[Quantity Processed]]/Allocation[[#This Row],[Quantity allocated]]</f>
        <v>2.1284916201117317</v>
      </c>
      <c r="Z211" s="34" t="b">
        <f>Allocation[[#This Row],[Quantity allocated]]&lt;=Allocation[[#This Row],[Quantity Processed]]</f>
        <v>1</v>
      </c>
    </row>
    <row r="212" spans="1:26">
      <c r="A212" s="247" t="s">
        <v>467</v>
      </c>
      <c r="B212" s="160" t="s">
        <v>68</v>
      </c>
      <c r="C212" s="249" t="s">
        <v>691</v>
      </c>
      <c r="D212" s="250">
        <v>597</v>
      </c>
      <c r="E212" s="160" t="s">
        <v>1186</v>
      </c>
      <c r="F212" s="158">
        <v>43487</v>
      </c>
      <c r="G212" s="162">
        <v>2.93</v>
      </c>
      <c r="H212" s="250">
        <v>179</v>
      </c>
      <c r="I212" s="160">
        <v>1425073</v>
      </c>
      <c r="J212" s="163">
        <v>21600</v>
      </c>
      <c r="K212" s="158">
        <v>43494</v>
      </c>
      <c r="L212" s="160" t="s">
        <v>1196</v>
      </c>
      <c r="M212" s="160">
        <v>4615513976</v>
      </c>
      <c r="N212" s="158">
        <v>43516</v>
      </c>
      <c r="O212" s="164">
        <v>3.7094</v>
      </c>
      <c r="P212" s="165">
        <v>19739</v>
      </c>
      <c r="Q212" s="34">
        <f>SUMIF(Allocation[Delivery ID],Allocation[[#This Row],[Delivery ID]],Allocation[Quantity Processed])</f>
        <v>597</v>
      </c>
      <c r="R212" s="61">
        <f>Allocation[[#This Row],[Total volume used]]/VLOOKUP(Allocation[[#This Row],[Delivery ID]],Delivery[[Delivery ID]:[Quantity delivered]],3,FALSE)</f>
        <v>2.0347648261758691E-2</v>
      </c>
      <c r="S212" s="34">
        <f>Allocation[[#This Row],[Quantity Processed]]/Allocation[[#This Row],[Dilution rate]]</f>
        <v>203.75426621160409</v>
      </c>
      <c r="T212" s="59">
        <f>SUMIF(Allocation[Delivery ID],Allocation[[#This Row],[Delivery ID]],Allocation[Quantity allocated])/SUMIF(Allocation[Delivery ID],Allocation[[#This Row],[Delivery ID]],Allocation[Volume available (kg)])</f>
        <v>0.87850921273031823</v>
      </c>
      <c r="U212" s="61">
        <f>Allocation[[#This Row],[Total volume used]]/VLOOKUP(Allocation[[#This Row],[Delivery ID]],Delivery[[Delivery ID]:[Quantity delivered]],3,FALSE)</f>
        <v>2.0347648261758691E-2</v>
      </c>
      <c r="V212" s="34" t="e">
        <f>VLOOKUP(Allocation[[#This Row],[SAP Contract number]],Shipments[[SAP Contract number]:[Contracted container weight]],2,FALSE)</f>
        <v>#N/A</v>
      </c>
      <c r="W212" s="34" t="e">
        <f>VLOOKUP(Allocation[[#This Row],[SAP Contract number]],Shipments[[SAP Contract number]:[AAA Premium USD]],24,FALSE)</f>
        <v>#N/A</v>
      </c>
      <c r="X212" s="34" t="e">
        <f>VLOOKUP(Allocation[[#This Row],[SAP Contract number]],Shipments[[SAP Contract number]:[RA Premium USD]],25,FALSE)</f>
        <v>#N/A</v>
      </c>
      <c r="Y212" s="38">
        <f>Allocation[[#This Row],[Quantity Processed]]/Allocation[[#This Row],[Quantity allocated]]</f>
        <v>3.3351955307262569</v>
      </c>
      <c r="Z212" s="34" t="b">
        <f>Allocation[[#This Row],[Quantity allocated]]&lt;=Allocation[[#This Row],[Quantity Processed]]</f>
        <v>1</v>
      </c>
    </row>
    <row r="213" spans="1:26">
      <c r="A213" s="247" t="s">
        <v>467</v>
      </c>
      <c r="B213" s="160" t="s">
        <v>68</v>
      </c>
      <c r="C213" s="249" t="s">
        <v>692</v>
      </c>
      <c r="D213" s="250">
        <v>542</v>
      </c>
      <c r="E213" s="160" t="s">
        <v>1186</v>
      </c>
      <c r="F213" s="158">
        <v>43487</v>
      </c>
      <c r="G213" s="162">
        <v>2.93</v>
      </c>
      <c r="H213" s="250">
        <v>179</v>
      </c>
      <c r="I213" s="160">
        <v>1425073</v>
      </c>
      <c r="J213" s="163">
        <v>21600</v>
      </c>
      <c r="K213" s="158">
        <v>43494</v>
      </c>
      <c r="L213" s="160" t="s">
        <v>1196</v>
      </c>
      <c r="M213" s="160">
        <v>4615513976</v>
      </c>
      <c r="N213" s="158">
        <v>43516</v>
      </c>
      <c r="O213" s="164">
        <v>3.7094</v>
      </c>
      <c r="P213" s="165">
        <v>19739</v>
      </c>
      <c r="Q213" s="34">
        <f>SUMIF(Allocation[Delivery ID],Allocation[[#This Row],[Delivery ID]],Allocation[Quantity Processed])</f>
        <v>543</v>
      </c>
      <c r="R213" s="61">
        <f>Allocation[[#This Row],[Total volume used]]/VLOOKUP(Allocation[[#This Row],[Delivery ID]],Delivery[[Delivery ID]:[Quantity delivered]],3,FALSE)</f>
        <v>1.8103620724144828E-2</v>
      </c>
      <c r="S213" s="34">
        <f>Allocation[[#This Row],[Quantity Processed]]/Allocation[[#This Row],[Dilution rate]]</f>
        <v>184.98293515358361</v>
      </c>
      <c r="T213" s="59">
        <f>SUMIF(Allocation[Delivery ID],Allocation[[#This Row],[Delivery ID]],Allocation[Quantity allocated])/SUMIF(Allocation[Delivery ID],Allocation[[#This Row],[Delivery ID]],Allocation[Volume available (kg)])</f>
        <v>0.96718718932492842</v>
      </c>
      <c r="U213" s="61">
        <f>Allocation[[#This Row],[Total volume used]]/VLOOKUP(Allocation[[#This Row],[Delivery ID]],Delivery[[Delivery ID]:[Quantity delivered]],3,FALSE)</f>
        <v>1.8103620724144828E-2</v>
      </c>
      <c r="V213" s="34" t="e">
        <f>VLOOKUP(Allocation[[#This Row],[SAP Contract number]],Shipments[[SAP Contract number]:[Contracted container weight]],2,FALSE)</f>
        <v>#N/A</v>
      </c>
      <c r="W213" s="34" t="e">
        <f>VLOOKUP(Allocation[[#This Row],[SAP Contract number]],Shipments[[SAP Contract number]:[AAA Premium USD]],24,FALSE)</f>
        <v>#N/A</v>
      </c>
      <c r="X213" s="34" t="e">
        <f>VLOOKUP(Allocation[[#This Row],[SAP Contract number]],Shipments[[SAP Contract number]:[RA Premium USD]],25,FALSE)</f>
        <v>#N/A</v>
      </c>
      <c r="Y213" s="38">
        <f>Allocation[[#This Row],[Quantity Processed]]/Allocation[[#This Row],[Quantity allocated]]</f>
        <v>3.0279329608938546</v>
      </c>
      <c r="Z213" s="34" t="b">
        <f>Allocation[[#This Row],[Quantity allocated]]&lt;=Allocation[[#This Row],[Quantity Processed]]</f>
        <v>1</v>
      </c>
    </row>
    <row r="214" spans="1:26">
      <c r="A214" s="247" t="s">
        <v>467</v>
      </c>
      <c r="B214" s="160" t="s">
        <v>68</v>
      </c>
      <c r="C214" s="249" t="s">
        <v>694</v>
      </c>
      <c r="D214" s="250">
        <v>542</v>
      </c>
      <c r="E214" s="160" t="s">
        <v>1186</v>
      </c>
      <c r="F214" s="158">
        <v>43487</v>
      </c>
      <c r="G214" s="162">
        <v>2.93</v>
      </c>
      <c r="H214" s="250">
        <v>179</v>
      </c>
      <c r="I214" s="160">
        <v>1425073</v>
      </c>
      <c r="J214" s="163">
        <v>21600</v>
      </c>
      <c r="K214" s="158">
        <v>43494</v>
      </c>
      <c r="L214" s="160" t="s">
        <v>1196</v>
      </c>
      <c r="M214" s="160">
        <v>4615513976</v>
      </c>
      <c r="N214" s="158">
        <v>43516</v>
      </c>
      <c r="O214" s="164">
        <v>3.7094</v>
      </c>
      <c r="P214" s="165">
        <v>19739</v>
      </c>
      <c r="Q214" s="34">
        <f>SUMIF(Allocation[Delivery ID],Allocation[[#This Row],[Delivery ID]],Allocation[Quantity Processed])</f>
        <v>543</v>
      </c>
      <c r="R214" s="61">
        <f>Allocation[[#This Row],[Total volume used]]/VLOOKUP(Allocation[[#This Row],[Delivery ID]],Delivery[[Delivery ID]:[Quantity delivered]],3,FALSE)</f>
        <v>2.5397567820392892E-2</v>
      </c>
      <c r="S214" s="34">
        <f>Allocation[[#This Row],[Quantity Processed]]/Allocation[[#This Row],[Dilution rate]]</f>
        <v>184.98293515358361</v>
      </c>
      <c r="T214" s="59">
        <f>SUMIF(Allocation[Delivery ID],Allocation[[#This Row],[Delivery ID]],Allocation[Quantity allocated])/SUMIF(Allocation[Delivery ID],Allocation[[#This Row],[Delivery ID]],Allocation[Volume available (kg)])</f>
        <v>0.96734901651778815</v>
      </c>
      <c r="U214" s="61">
        <f>Allocation[[#This Row],[Total volume used]]/VLOOKUP(Allocation[[#This Row],[Delivery ID]],Delivery[[Delivery ID]:[Quantity delivered]],3,FALSE)</f>
        <v>2.5397567820392892E-2</v>
      </c>
      <c r="V214" s="34" t="e">
        <f>VLOOKUP(Allocation[[#This Row],[SAP Contract number]],Shipments[[SAP Contract number]:[Contracted container weight]],2,FALSE)</f>
        <v>#N/A</v>
      </c>
      <c r="W214" s="34" t="e">
        <f>VLOOKUP(Allocation[[#This Row],[SAP Contract number]],Shipments[[SAP Contract number]:[AAA Premium USD]],24,FALSE)</f>
        <v>#N/A</v>
      </c>
      <c r="X214" s="34" t="e">
        <f>VLOOKUP(Allocation[[#This Row],[SAP Contract number]],Shipments[[SAP Contract number]:[RA Premium USD]],25,FALSE)</f>
        <v>#N/A</v>
      </c>
      <c r="Y214" s="38">
        <f>Allocation[[#This Row],[Quantity Processed]]/Allocation[[#This Row],[Quantity allocated]]</f>
        <v>3.0279329608938546</v>
      </c>
      <c r="Z214" s="34" t="b">
        <f>Allocation[[#This Row],[Quantity allocated]]&lt;=Allocation[[#This Row],[Quantity Processed]]</f>
        <v>1</v>
      </c>
    </row>
    <row r="215" spans="1:26">
      <c r="A215" s="247" t="s">
        <v>467</v>
      </c>
      <c r="B215" s="160" t="s">
        <v>68</v>
      </c>
      <c r="C215" s="249" t="s">
        <v>695</v>
      </c>
      <c r="D215" s="250">
        <v>542</v>
      </c>
      <c r="E215" s="160" t="s">
        <v>1186</v>
      </c>
      <c r="F215" s="158">
        <v>43487</v>
      </c>
      <c r="G215" s="162">
        <v>2.93</v>
      </c>
      <c r="H215" s="250">
        <v>179</v>
      </c>
      <c r="I215" s="160">
        <v>1425073</v>
      </c>
      <c r="J215" s="163">
        <v>21600</v>
      </c>
      <c r="K215" s="158">
        <v>43494</v>
      </c>
      <c r="L215" s="160" t="s">
        <v>1196</v>
      </c>
      <c r="M215" s="160">
        <v>4615513976</v>
      </c>
      <c r="N215" s="158">
        <v>43516</v>
      </c>
      <c r="O215" s="164">
        <v>3.7094</v>
      </c>
      <c r="P215" s="165">
        <v>19739</v>
      </c>
      <c r="Q215" s="34">
        <f>SUMIF(Allocation[Delivery ID],Allocation[[#This Row],[Delivery ID]],Allocation[Quantity Processed])</f>
        <v>542</v>
      </c>
      <c r="R215" s="61">
        <f>Allocation[[#This Row],[Total volume used]]/VLOOKUP(Allocation[[#This Row],[Delivery ID]],Delivery[[Delivery ID]:[Quantity delivered]],3,FALSE)</f>
        <v>0.10343511450381679</v>
      </c>
      <c r="S215" s="34">
        <f>Allocation[[#This Row],[Quantity Processed]]/Allocation[[#This Row],[Dilution rate]]</f>
        <v>184.98293515358361</v>
      </c>
      <c r="T215" s="59">
        <f>SUMIF(Allocation[Delivery ID],Allocation[[#This Row],[Delivery ID]],Allocation[Quantity allocated])/SUMIF(Allocation[Delivery ID],Allocation[[#This Row],[Delivery ID]],Allocation[Volume available (kg)])</f>
        <v>0.96765682656826568</v>
      </c>
      <c r="U215" s="61">
        <f>Allocation[[#This Row],[Total volume used]]/VLOOKUP(Allocation[[#This Row],[Delivery ID]],Delivery[[Delivery ID]:[Quantity delivered]],3,FALSE)</f>
        <v>0.10343511450381679</v>
      </c>
      <c r="V215" s="34" t="e">
        <f>VLOOKUP(Allocation[[#This Row],[SAP Contract number]],Shipments[[SAP Contract number]:[Contracted container weight]],2,FALSE)</f>
        <v>#N/A</v>
      </c>
      <c r="W215" s="34" t="e">
        <f>VLOOKUP(Allocation[[#This Row],[SAP Contract number]],Shipments[[SAP Contract number]:[AAA Premium USD]],24,FALSE)</f>
        <v>#N/A</v>
      </c>
      <c r="X215" s="34" t="e">
        <f>VLOOKUP(Allocation[[#This Row],[SAP Contract number]],Shipments[[SAP Contract number]:[RA Premium USD]],25,FALSE)</f>
        <v>#N/A</v>
      </c>
      <c r="Y215" s="38">
        <f>Allocation[[#This Row],[Quantity Processed]]/Allocation[[#This Row],[Quantity allocated]]</f>
        <v>3.0279329608938546</v>
      </c>
      <c r="Z215" s="34" t="b">
        <f>Allocation[[#This Row],[Quantity allocated]]&lt;=Allocation[[#This Row],[Quantity Processed]]</f>
        <v>1</v>
      </c>
    </row>
    <row r="216" spans="1:26">
      <c r="A216" s="247" t="s">
        <v>467</v>
      </c>
      <c r="B216" s="160" t="s">
        <v>68</v>
      </c>
      <c r="C216" s="249" t="s">
        <v>696</v>
      </c>
      <c r="D216" s="250">
        <v>542</v>
      </c>
      <c r="E216" s="160" t="s">
        <v>1186</v>
      </c>
      <c r="F216" s="158">
        <v>43487</v>
      </c>
      <c r="G216" s="162">
        <v>2.93</v>
      </c>
      <c r="H216" s="250">
        <v>179</v>
      </c>
      <c r="I216" s="160">
        <v>1425073</v>
      </c>
      <c r="J216" s="163">
        <v>21600</v>
      </c>
      <c r="K216" s="158">
        <v>43494</v>
      </c>
      <c r="L216" s="160" t="s">
        <v>1196</v>
      </c>
      <c r="M216" s="160">
        <v>4615513976</v>
      </c>
      <c r="N216" s="158">
        <v>43516</v>
      </c>
      <c r="O216" s="164">
        <v>3.7094</v>
      </c>
      <c r="P216" s="165">
        <v>19739</v>
      </c>
      <c r="Q216" s="34">
        <f>SUMIF(Allocation[Delivery ID],Allocation[[#This Row],[Delivery ID]],Allocation[Quantity Processed])</f>
        <v>542</v>
      </c>
      <c r="R216" s="61">
        <f>Allocation[[#This Row],[Total volume used]]/VLOOKUP(Allocation[[#This Row],[Delivery ID]],Delivery[[Delivery ID]:[Quantity delivered]],3,FALSE)</f>
        <v>3.0912253685801465E-2</v>
      </c>
      <c r="S216" s="34">
        <f>Allocation[[#This Row],[Quantity Processed]]/Allocation[[#This Row],[Dilution rate]]</f>
        <v>184.98293515358361</v>
      </c>
      <c r="T216" s="59">
        <f>SUMIF(Allocation[Delivery ID],Allocation[[#This Row],[Delivery ID]],Allocation[Quantity allocated])/SUMIF(Allocation[Delivery ID],Allocation[[#This Row],[Delivery ID]],Allocation[Volume available (kg)])</f>
        <v>0.96765682656826568</v>
      </c>
      <c r="U216" s="61">
        <f>Allocation[[#This Row],[Total volume used]]/VLOOKUP(Allocation[[#This Row],[Delivery ID]],Delivery[[Delivery ID]:[Quantity delivered]],3,FALSE)</f>
        <v>3.0912253685801465E-2</v>
      </c>
      <c r="V216" s="34" t="e">
        <f>VLOOKUP(Allocation[[#This Row],[SAP Contract number]],Shipments[[SAP Contract number]:[Contracted container weight]],2,FALSE)</f>
        <v>#N/A</v>
      </c>
      <c r="W216" s="34" t="e">
        <f>VLOOKUP(Allocation[[#This Row],[SAP Contract number]],Shipments[[SAP Contract number]:[AAA Premium USD]],24,FALSE)</f>
        <v>#N/A</v>
      </c>
      <c r="X216" s="34" t="e">
        <f>VLOOKUP(Allocation[[#This Row],[SAP Contract number]],Shipments[[SAP Contract number]:[RA Premium USD]],25,FALSE)</f>
        <v>#N/A</v>
      </c>
      <c r="Y216" s="38">
        <f>Allocation[[#This Row],[Quantity Processed]]/Allocation[[#This Row],[Quantity allocated]]</f>
        <v>3.0279329608938546</v>
      </c>
      <c r="Z216" s="34" t="b">
        <f>Allocation[[#This Row],[Quantity allocated]]&lt;=Allocation[[#This Row],[Quantity Processed]]</f>
        <v>1</v>
      </c>
    </row>
    <row r="217" spans="1:26">
      <c r="A217" s="247" t="s">
        <v>467</v>
      </c>
      <c r="B217" s="160" t="s">
        <v>68</v>
      </c>
      <c r="C217" s="249" t="s">
        <v>697</v>
      </c>
      <c r="D217" s="250">
        <v>542</v>
      </c>
      <c r="E217" s="160" t="s">
        <v>1186</v>
      </c>
      <c r="F217" s="158">
        <v>43487</v>
      </c>
      <c r="G217" s="162">
        <v>2.93</v>
      </c>
      <c r="H217" s="250">
        <v>179</v>
      </c>
      <c r="I217" s="160">
        <v>1425073</v>
      </c>
      <c r="J217" s="163">
        <v>21600</v>
      </c>
      <c r="K217" s="158">
        <v>43494</v>
      </c>
      <c r="L217" s="160" t="s">
        <v>1196</v>
      </c>
      <c r="M217" s="160">
        <v>4615513976</v>
      </c>
      <c r="N217" s="158">
        <v>43516</v>
      </c>
      <c r="O217" s="164">
        <v>3.7094</v>
      </c>
      <c r="P217" s="165">
        <v>19739</v>
      </c>
      <c r="Q217" s="34">
        <f>SUMIF(Allocation[Delivery ID],Allocation[[#This Row],[Delivery ID]],Allocation[Quantity Processed])</f>
        <v>542</v>
      </c>
      <c r="R217" s="61">
        <f>Allocation[[#This Row],[Total volume used]]/VLOOKUP(Allocation[[#This Row],[Delivery ID]],Delivery[[Delivery ID]:[Quantity delivered]],3,FALSE)</f>
        <v>4.3396453020537254E-2</v>
      </c>
      <c r="S217" s="34">
        <f>Allocation[[#This Row],[Quantity Processed]]/Allocation[[#This Row],[Dilution rate]]</f>
        <v>184.98293515358361</v>
      </c>
      <c r="T217" s="59">
        <f>SUMIF(Allocation[Delivery ID],Allocation[[#This Row],[Delivery ID]],Allocation[Quantity allocated])/SUMIF(Allocation[Delivery ID],Allocation[[#This Row],[Delivery ID]],Allocation[Volume available (kg)])</f>
        <v>0.96765682656826568</v>
      </c>
      <c r="U217" s="61">
        <f>Allocation[[#This Row],[Total volume used]]/VLOOKUP(Allocation[[#This Row],[Delivery ID]],Delivery[[Delivery ID]:[Quantity delivered]],3,FALSE)</f>
        <v>4.3396453020537254E-2</v>
      </c>
      <c r="V217" s="34" t="e">
        <f>VLOOKUP(Allocation[[#This Row],[SAP Contract number]],Shipments[[SAP Contract number]:[Contracted container weight]],2,FALSE)</f>
        <v>#N/A</v>
      </c>
      <c r="W217" s="34" t="e">
        <f>VLOOKUP(Allocation[[#This Row],[SAP Contract number]],Shipments[[SAP Contract number]:[AAA Premium USD]],24,FALSE)</f>
        <v>#N/A</v>
      </c>
      <c r="X217" s="34" t="e">
        <f>VLOOKUP(Allocation[[#This Row],[SAP Contract number]],Shipments[[SAP Contract number]:[RA Premium USD]],25,FALSE)</f>
        <v>#N/A</v>
      </c>
      <c r="Y217" s="38">
        <f>Allocation[[#This Row],[Quantity Processed]]/Allocation[[#This Row],[Quantity allocated]]</f>
        <v>3.0279329608938546</v>
      </c>
      <c r="Z217" s="34" t="b">
        <f>Allocation[[#This Row],[Quantity allocated]]&lt;=Allocation[[#This Row],[Quantity Processed]]</f>
        <v>1</v>
      </c>
    </row>
    <row r="218" spans="1:26">
      <c r="A218" s="247" t="s">
        <v>467</v>
      </c>
      <c r="B218" s="160" t="s">
        <v>68</v>
      </c>
      <c r="C218" s="249" t="s">
        <v>698</v>
      </c>
      <c r="D218" s="250">
        <v>570</v>
      </c>
      <c r="E218" s="160" t="s">
        <v>1186</v>
      </c>
      <c r="F218" s="158">
        <v>43487</v>
      </c>
      <c r="G218" s="162">
        <v>2.93</v>
      </c>
      <c r="H218" s="250">
        <v>228</v>
      </c>
      <c r="I218" s="160">
        <v>1425073</v>
      </c>
      <c r="J218" s="163">
        <v>21600</v>
      </c>
      <c r="K218" s="158">
        <v>43494</v>
      </c>
      <c r="L218" s="160" t="s">
        <v>1196</v>
      </c>
      <c r="M218" s="160">
        <v>4615513976</v>
      </c>
      <c r="N218" s="158">
        <v>43516</v>
      </c>
      <c r="O218" s="164">
        <v>3.7094</v>
      </c>
      <c r="P218" s="165">
        <v>19739</v>
      </c>
      <c r="Q218" s="34">
        <f>SUMIF(Allocation[Delivery ID],Allocation[[#This Row],[Delivery ID]],Allocation[Quantity Processed])</f>
        <v>570</v>
      </c>
      <c r="R218" s="61">
        <f>Allocation[[#This Row],[Total volume used]]/VLOOKUP(Allocation[[#This Row],[Delivery ID]],Delivery[[Delivery ID]:[Quantity delivered]],3,FALSE)</f>
        <v>1.7975685520112271E-2</v>
      </c>
      <c r="S218" s="34">
        <f>Allocation[[#This Row],[Quantity Processed]]/Allocation[[#This Row],[Dilution rate]]</f>
        <v>194.53924914675767</v>
      </c>
      <c r="T218" s="59">
        <f>SUMIF(Allocation[Delivery ID],Allocation[[#This Row],[Delivery ID]],Allocation[Quantity allocated])/SUMIF(Allocation[Delivery ID],Allocation[[#This Row],[Delivery ID]],Allocation[Volume available (kg)])</f>
        <v>1.1720000000000002</v>
      </c>
      <c r="U218" s="61">
        <f>Allocation[[#This Row],[Total volume used]]/VLOOKUP(Allocation[[#This Row],[Delivery ID]],Delivery[[Delivery ID]:[Quantity delivered]],3,FALSE)</f>
        <v>1.7975685520112271E-2</v>
      </c>
      <c r="V218" s="34" t="e">
        <f>VLOOKUP(Allocation[[#This Row],[SAP Contract number]],Shipments[[SAP Contract number]:[Contracted container weight]],2,FALSE)</f>
        <v>#N/A</v>
      </c>
      <c r="W218" s="34" t="e">
        <f>VLOOKUP(Allocation[[#This Row],[SAP Contract number]],Shipments[[SAP Contract number]:[AAA Premium USD]],24,FALSE)</f>
        <v>#N/A</v>
      </c>
      <c r="X218" s="34" t="e">
        <f>VLOOKUP(Allocation[[#This Row],[SAP Contract number]],Shipments[[SAP Contract number]:[RA Premium USD]],25,FALSE)</f>
        <v>#N/A</v>
      </c>
      <c r="Y218" s="38">
        <f>Allocation[[#This Row],[Quantity Processed]]/Allocation[[#This Row],[Quantity allocated]]</f>
        <v>2.5</v>
      </c>
      <c r="Z218" s="34" t="b">
        <f>Allocation[[#This Row],[Quantity allocated]]&lt;=Allocation[[#This Row],[Quantity Processed]]</f>
        <v>1</v>
      </c>
    </row>
    <row r="219" spans="1:26">
      <c r="A219" s="247" t="s">
        <v>467</v>
      </c>
      <c r="B219" s="160" t="s">
        <v>68</v>
      </c>
      <c r="C219" s="249" t="s">
        <v>700</v>
      </c>
      <c r="D219" s="250">
        <v>361</v>
      </c>
      <c r="E219" s="160" t="s">
        <v>1186</v>
      </c>
      <c r="F219" s="158">
        <v>43487</v>
      </c>
      <c r="G219" s="162">
        <v>2.93</v>
      </c>
      <c r="H219" s="250">
        <v>119</v>
      </c>
      <c r="I219" s="160">
        <v>1425073</v>
      </c>
      <c r="J219" s="163">
        <v>21600</v>
      </c>
      <c r="K219" s="158">
        <v>43494</v>
      </c>
      <c r="L219" s="160" t="s">
        <v>1196</v>
      </c>
      <c r="M219" s="160">
        <v>4615513976</v>
      </c>
      <c r="N219" s="158">
        <v>43516</v>
      </c>
      <c r="O219" s="164">
        <v>3.7094</v>
      </c>
      <c r="P219" s="165">
        <v>19739</v>
      </c>
      <c r="Q219" s="34">
        <f>SUMIF(Allocation[Delivery ID],Allocation[[#This Row],[Delivery ID]],Allocation[Quantity Processed])</f>
        <v>361</v>
      </c>
      <c r="R219" s="61">
        <f>Allocation[[#This Row],[Total volume used]]/VLOOKUP(Allocation[[#This Row],[Delivery ID]],Delivery[[Delivery ID]:[Quantity delivered]],3,FALSE)</f>
        <v>3.0936669808895364E-2</v>
      </c>
      <c r="S219" s="34">
        <f>Allocation[[#This Row],[Quantity Processed]]/Allocation[[#This Row],[Dilution rate]]</f>
        <v>123.20819112627986</v>
      </c>
      <c r="T219" s="59">
        <f>SUMIF(Allocation[Delivery ID],Allocation[[#This Row],[Delivery ID]],Allocation[Quantity allocated])/SUMIF(Allocation[Delivery ID],Allocation[[#This Row],[Delivery ID]],Allocation[Volume available (kg)])</f>
        <v>0.9658448753462604</v>
      </c>
      <c r="U219" s="61">
        <f>Allocation[[#This Row],[Total volume used]]/VLOOKUP(Allocation[[#This Row],[Delivery ID]],Delivery[[Delivery ID]:[Quantity delivered]],3,FALSE)</f>
        <v>3.0936669808895364E-2</v>
      </c>
      <c r="V219" s="34" t="e">
        <f>VLOOKUP(Allocation[[#This Row],[SAP Contract number]],Shipments[[SAP Contract number]:[Contracted container weight]],2,FALSE)</f>
        <v>#N/A</v>
      </c>
      <c r="W219" s="34" t="e">
        <f>VLOOKUP(Allocation[[#This Row],[SAP Contract number]],Shipments[[SAP Contract number]:[AAA Premium USD]],24,FALSE)</f>
        <v>#N/A</v>
      </c>
      <c r="X219" s="34" t="e">
        <f>VLOOKUP(Allocation[[#This Row],[SAP Contract number]],Shipments[[SAP Contract number]:[RA Premium USD]],25,FALSE)</f>
        <v>#N/A</v>
      </c>
      <c r="Y219" s="38">
        <f>Allocation[[#This Row],[Quantity Processed]]/Allocation[[#This Row],[Quantity allocated]]</f>
        <v>3.0336134453781511</v>
      </c>
      <c r="Z219" s="34" t="b">
        <f>Allocation[[#This Row],[Quantity allocated]]&lt;=Allocation[[#This Row],[Quantity Processed]]</f>
        <v>1</v>
      </c>
    </row>
    <row r="220" spans="1:26">
      <c r="A220" s="247" t="s">
        <v>467</v>
      </c>
      <c r="B220" s="160" t="s">
        <v>68</v>
      </c>
      <c r="C220" s="249" t="s">
        <v>701</v>
      </c>
      <c r="D220" s="250">
        <v>482</v>
      </c>
      <c r="E220" s="160" t="s">
        <v>1186</v>
      </c>
      <c r="F220" s="158">
        <v>43487</v>
      </c>
      <c r="G220" s="162">
        <v>2.93</v>
      </c>
      <c r="H220" s="250">
        <v>159</v>
      </c>
      <c r="I220" s="160">
        <v>1425073</v>
      </c>
      <c r="J220" s="163">
        <v>21600</v>
      </c>
      <c r="K220" s="158">
        <v>43494</v>
      </c>
      <c r="L220" s="160" t="s">
        <v>1196</v>
      </c>
      <c r="M220" s="160">
        <v>4615513976</v>
      </c>
      <c r="N220" s="158">
        <v>43516</v>
      </c>
      <c r="O220" s="164">
        <v>3.7094</v>
      </c>
      <c r="P220" s="165">
        <v>19739</v>
      </c>
      <c r="Q220" s="34">
        <f>SUMIF(Allocation[Delivery ID],Allocation[[#This Row],[Delivery ID]],Allocation[Quantity Processed])</f>
        <v>483</v>
      </c>
      <c r="R220" s="61">
        <f>Allocation[[#This Row],[Total volume used]]/VLOOKUP(Allocation[[#This Row],[Delivery ID]],Delivery[[Delivery ID]:[Quantity delivered]],3,FALSE)</f>
        <v>1.799720540288775E-2</v>
      </c>
      <c r="S220" s="34">
        <f>Allocation[[#This Row],[Quantity Processed]]/Allocation[[#This Row],[Dilution rate]]</f>
        <v>164.50511945392492</v>
      </c>
      <c r="T220" s="59">
        <f>SUMIF(Allocation[Delivery ID],Allocation[[#This Row],[Delivery ID]],Allocation[Quantity allocated])/SUMIF(Allocation[Delivery ID],Allocation[[#This Row],[Delivery ID]],Allocation[Volume available (kg)])</f>
        <v>0.96619195648754486</v>
      </c>
      <c r="U220" s="61">
        <f>Allocation[[#This Row],[Total volume used]]/VLOOKUP(Allocation[[#This Row],[Delivery ID]],Delivery[[Delivery ID]:[Quantity delivered]],3,FALSE)</f>
        <v>1.799720540288775E-2</v>
      </c>
      <c r="V220" s="34" t="e">
        <f>VLOOKUP(Allocation[[#This Row],[SAP Contract number]],Shipments[[SAP Contract number]:[Contracted container weight]],2,FALSE)</f>
        <v>#N/A</v>
      </c>
      <c r="W220" s="34" t="e">
        <f>VLOOKUP(Allocation[[#This Row],[SAP Contract number]],Shipments[[SAP Contract number]:[AAA Premium USD]],24,FALSE)</f>
        <v>#N/A</v>
      </c>
      <c r="X220" s="34" t="e">
        <f>VLOOKUP(Allocation[[#This Row],[SAP Contract number]],Shipments[[SAP Contract number]:[RA Premium USD]],25,FALSE)</f>
        <v>#N/A</v>
      </c>
      <c r="Y220" s="38">
        <f>Allocation[[#This Row],[Quantity Processed]]/Allocation[[#This Row],[Quantity allocated]]</f>
        <v>3.0314465408805034</v>
      </c>
      <c r="Z220" s="34" t="b">
        <f>Allocation[[#This Row],[Quantity allocated]]&lt;=Allocation[[#This Row],[Quantity Processed]]</f>
        <v>1</v>
      </c>
    </row>
    <row r="221" spans="1:26">
      <c r="A221" s="247" t="s">
        <v>467</v>
      </c>
      <c r="B221" s="160" t="s">
        <v>68</v>
      </c>
      <c r="C221" s="249" t="s">
        <v>702</v>
      </c>
      <c r="D221" s="250">
        <v>298</v>
      </c>
      <c r="E221" s="160" t="s">
        <v>1186</v>
      </c>
      <c r="F221" s="158">
        <v>43487</v>
      </c>
      <c r="G221" s="162">
        <v>2.93</v>
      </c>
      <c r="H221" s="250">
        <v>119</v>
      </c>
      <c r="I221" s="160">
        <v>1425073</v>
      </c>
      <c r="J221" s="163">
        <v>21600</v>
      </c>
      <c r="K221" s="158">
        <v>43494</v>
      </c>
      <c r="L221" s="160" t="s">
        <v>1196</v>
      </c>
      <c r="M221" s="160">
        <v>4615513976</v>
      </c>
      <c r="N221" s="158">
        <v>43516</v>
      </c>
      <c r="O221" s="164">
        <v>3.7094</v>
      </c>
      <c r="P221" s="165">
        <v>19739</v>
      </c>
      <c r="Q221" s="34">
        <f>SUMIF(Allocation[Delivery ID],Allocation[[#This Row],[Delivery ID]],Allocation[Quantity Processed])</f>
        <v>298</v>
      </c>
      <c r="R221" s="61">
        <f>Allocation[[#This Row],[Total volume used]]/VLOOKUP(Allocation[[#This Row],[Delivery ID]],Delivery[[Delivery ID]:[Quantity delivered]],3,FALSE)</f>
        <v>1.6527092230048251E-2</v>
      </c>
      <c r="S221" s="34">
        <f>Allocation[[#This Row],[Quantity Processed]]/Allocation[[#This Row],[Dilution rate]]</f>
        <v>101.70648464163823</v>
      </c>
      <c r="T221" s="59">
        <f>SUMIF(Allocation[Delivery ID],Allocation[[#This Row],[Delivery ID]],Allocation[Quantity allocated])/SUMIF(Allocation[Delivery ID],Allocation[[#This Row],[Delivery ID]],Allocation[Volume available (kg)])</f>
        <v>1.1700335570469798</v>
      </c>
      <c r="U221" s="61">
        <f>Allocation[[#This Row],[Total volume used]]/VLOOKUP(Allocation[[#This Row],[Delivery ID]],Delivery[[Delivery ID]:[Quantity delivered]],3,FALSE)</f>
        <v>1.6527092230048251E-2</v>
      </c>
      <c r="V221" s="34" t="e">
        <f>VLOOKUP(Allocation[[#This Row],[SAP Contract number]],Shipments[[SAP Contract number]:[Contracted container weight]],2,FALSE)</f>
        <v>#N/A</v>
      </c>
      <c r="W221" s="34" t="e">
        <f>VLOOKUP(Allocation[[#This Row],[SAP Contract number]],Shipments[[SAP Contract number]:[AAA Premium USD]],24,FALSE)</f>
        <v>#N/A</v>
      </c>
      <c r="X221" s="34" t="e">
        <f>VLOOKUP(Allocation[[#This Row],[SAP Contract number]],Shipments[[SAP Contract number]:[RA Premium USD]],25,FALSE)</f>
        <v>#N/A</v>
      </c>
      <c r="Y221" s="38">
        <f>Allocation[[#This Row],[Quantity Processed]]/Allocation[[#This Row],[Quantity allocated]]</f>
        <v>2.5042016806722689</v>
      </c>
      <c r="Z221" s="34" t="b">
        <f>Allocation[[#This Row],[Quantity allocated]]&lt;=Allocation[[#This Row],[Quantity Processed]]</f>
        <v>1</v>
      </c>
    </row>
    <row r="222" spans="1:26">
      <c r="A222" s="247" t="s">
        <v>467</v>
      </c>
      <c r="B222" s="160" t="s">
        <v>68</v>
      </c>
      <c r="C222" s="249" t="s">
        <v>703</v>
      </c>
      <c r="D222" s="250">
        <v>361</v>
      </c>
      <c r="E222" s="160" t="s">
        <v>1186</v>
      </c>
      <c r="F222" s="158">
        <v>43487</v>
      </c>
      <c r="G222" s="162">
        <v>2.93</v>
      </c>
      <c r="H222" s="250">
        <v>119</v>
      </c>
      <c r="I222" s="160">
        <v>1425073</v>
      </c>
      <c r="J222" s="163">
        <v>21600</v>
      </c>
      <c r="K222" s="158">
        <v>43494</v>
      </c>
      <c r="L222" s="160" t="s">
        <v>1196</v>
      </c>
      <c r="M222" s="160">
        <v>4615513976</v>
      </c>
      <c r="N222" s="158">
        <v>43516</v>
      </c>
      <c r="O222" s="164">
        <v>3.7094</v>
      </c>
      <c r="P222" s="165">
        <v>19739</v>
      </c>
      <c r="Q222" s="34">
        <f>SUMIF(Allocation[Delivery ID],Allocation[[#This Row],[Delivery ID]],Allocation[Quantity Processed])</f>
        <v>361</v>
      </c>
      <c r="R222" s="61">
        <f>Allocation[[#This Row],[Total volume used]]/VLOOKUP(Allocation[[#This Row],[Delivery ID]],Delivery[[Delivery ID]:[Quantity delivered]],3,FALSE)</f>
        <v>2.5587411843923876E-2</v>
      </c>
      <c r="S222" s="34">
        <f>Allocation[[#This Row],[Quantity Processed]]/Allocation[[#This Row],[Dilution rate]]</f>
        <v>123.20819112627986</v>
      </c>
      <c r="T222" s="59">
        <f>SUMIF(Allocation[Delivery ID],Allocation[[#This Row],[Delivery ID]],Allocation[Quantity allocated])/SUMIF(Allocation[Delivery ID],Allocation[[#This Row],[Delivery ID]],Allocation[Volume available (kg)])</f>
        <v>0.9658448753462604</v>
      </c>
      <c r="U222" s="61">
        <f>Allocation[[#This Row],[Total volume used]]/VLOOKUP(Allocation[[#This Row],[Delivery ID]],Delivery[[Delivery ID]:[Quantity delivered]],3,FALSE)</f>
        <v>2.5587411843923876E-2</v>
      </c>
      <c r="V222" s="34" t="e">
        <f>VLOOKUP(Allocation[[#This Row],[SAP Contract number]],Shipments[[SAP Contract number]:[Contracted container weight]],2,FALSE)</f>
        <v>#N/A</v>
      </c>
      <c r="W222" s="34" t="e">
        <f>VLOOKUP(Allocation[[#This Row],[SAP Contract number]],Shipments[[SAP Contract number]:[AAA Premium USD]],24,FALSE)</f>
        <v>#N/A</v>
      </c>
      <c r="X222" s="34" t="e">
        <f>VLOOKUP(Allocation[[#This Row],[SAP Contract number]],Shipments[[SAP Contract number]:[RA Premium USD]],25,FALSE)</f>
        <v>#N/A</v>
      </c>
      <c r="Y222" s="38">
        <f>Allocation[[#This Row],[Quantity Processed]]/Allocation[[#This Row],[Quantity allocated]]</f>
        <v>3.0336134453781511</v>
      </c>
      <c r="Z222" s="34" t="b">
        <f>Allocation[[#This Row],[Quantity allocated]]&lt;=Allocation[[#This Row],[Quantity Processed]]</f>
        <v>1</v>
      </c>
    </row>
    <row r="223" spans="1:26">
      <c r="A223" s="247" t="s">
        <v>467</v>
      </c>
      <c r="B223" s="160" t="s">
        <v>68</v>
      </c>
      <c r="C223" s="249" t="s">
        <v>705</v>
      </c>
      <c r="D223" s="250">
        <v>593</v>
      </c>
      <c r="E223" s="160" t="s">
        <v>1186</v>
      </c>
      <c r="F223" s="158">
        <v>43487</v>
      </c>
      <c r="G223" s="162">
        <v>2.93</v>
      </c>
      <c r="H223" s="250">
        <v>178</v>
      </c>
      <c r="I223" s="160">
        <v>1425073</v>
      </c>
      <c r="J223" s="163">
        <v>21600</v>
      </c>
      <c r="K223" s="158">
        <v>43494</v>
      </c>
      <c r="L223" s="160" t="s">
        <v>1196</v>
      </c>
      <c r="M223" s="160">
        <v>4615513976</v>
      </c>
      <c r="N223" s="158">
        <v>43516</v>
      </c>
      <c r="O223" s="164">
        <v>3.7094</v>
      </c>
      <c r="P223" s="165">
        <v>19739</v>
      </c>
      <c r="Q223" s="34">
        <f>SUMIF(Allocation[Delivery ID],Allocation[[#This Row],[Delivery ID]],Allocation[Quantity Processed])</f>
        <v>593</v>
      </c>
      <c r="R223" s="61">
        <f>Allocation[[#This Row],[Total volume used]]/VLOOKUP(Allocation[[#This Row],[Delivery ID]],Delivery[[Delivery ID]:[Quantity delivered]],3,FALSE)</f>
        <v>2.3238953659253454E-2</v>
      </c>
      <c r="S223" s="34">
        <f>Allocation[[#This Row],[Quantity Processed]]/Allocation[[#This Row],[Dilution rate]]</f>
        <v>202.38907849829351</v>
      </c>
      <c r="T223" s="59">
        <f>SUMIF(Allocation[Delivery ID],Allocation[[#This Row],[Delivery ID]],Allocation[Quantity allocated])/SUMIF(Allocation[Delivery ID],Allocation[[#This Row],[Delivery ID]],Allocation[Volume available (kg)])</f>
        <v>0.87949409780775722</v>
      </c>
      <c r="U223" s="61">
        <f>Allocation[[#This Row],[Total volume used]]/VLOOKUP(Allocation[[#This Row],[Delivery ID]],Delivery[[Delivery ID]:[Quantity delivered]],3,FALSE)</f>
        <v>2.3238953659253454E-2</v>
      </c>
      <c r="V223" s="34" t="e">
        <f>VLOOKUP(Allocation[[#This Row],[SAP Contract number]],Shipments[[SAP Contract number]:[Contracted container weight]],2,FALSE)</f>
        <v>#N/A</v>
      </c>
      <c r="W223" s="34" t="e">
        <f>VLOOKUP(Allocation[[#This Row],[SAP Contract number]],Shipments[[SAP Contract number]:[AAA Premium USD]],24,FALSE)</f>
        <v>#N/A</v>
      </c>
      <c r="X223" s="34" t="e">
        <f>VLOOKUP(Allocation[[#This Row],[SAP Contract number]],Shipments[[SAP Contract number]:[RA Premium USD]],25,FALSE)</f>
        <v>#N/A</v>
      </c>
      <c r="Y223" s="38">
        <f>Allocation[[#This Row],[Quantity Processed]]/Allocation[[#This Row],[Quantity allocated]]</f>
        <v>3.3314606741573032</v>
      </c>
      <c r="Z223" s="34" t="b">
        <f>Allocation[[#This Row],[Quantity allocated]]&lt;=Allocation[[#This Row],[Quantity Processed]]</f>
        <v>1</v>
      </c>
    </row>
    <row r="224" spans="1:26">
      <c r="A224" s="247" t="s">
        <v>467</v>
      </c>
      <c r="B224" s="160" t="s">
        <v>68</v>
      </c>
      <c r="C224" s="249" t="s">
        <v>707</v>
      </c>
      <c r="D224" s="250">
        <v>548</v>
      </c>
      <c r="E224" s="160" t="s">
        <v>1186</v>
      </c>
      <c r="F224" s="158">
        <v>43487</v>
      </c>
      <c r="G224" s="162">
        <v>2.93</v>
      </c>
      <c r="H224" s="250">
        <v>181</v>
      </c>
      <c r="I224" s="160">
        <v>1425073</v>
      </c>
      <c r="J224" s="163">
        <v>21600</v>
      </c>
      <c r="K224" s="158">
        <v>43494</v>
      </c>
      <c r="L224" s="160" t="s">
        <v>1196</v>
      </c>
      <c r="M224" s="160">
        <v>4615513976</v>
      </c>
      <c r="N224" s="158">
        <v>43516</v>
      </c>
      <c r="O224" s="164">
        <v>3.7094</v>
      </c>
      <c r="P224" s="165">
        <v>19739</v>
      </c>
      <c r="Q224" s="34">
        <f>SUMIF(Allocation[Delivery ID],Allocation[[#This Row],[Delivery ID]],Allocation[Quantity Processed])</f>
        <v>548</v>
      </c>
      <c r="R224" s="61">
        <f>Allocation[[#This Row],[Total volume used]]/VLOOKUP(Allocation[[#This Row],[Delivery ID]],Delivery[[Delivery ID]:[Quantity delivered]],3,FALSE)</f>
        <v>1.8271234475285489E-2</v>
      </c>
      <c r="S224" s="34">
        <f>Allocation[[#This Row],[Quantity Processed]]/Allocation[[#This Row],[Dilution rate]]</f>
        <v>187.03071672354949</v>
      </c>
      <c r="T224" s="59">
        <f>SUMIF(Allocation[Delivery ID],Allocation[[#This Row],[Delivery ID]],Allocation[Quantity allocated])/SUMIF(Allocation[Delivery ID],Allocation[[#This Row],[Delivery ID]],Allocation[Volume available (kg)])</f>
        <v>0.96775547445255472</v>
      </c>
      <c r="U224" s="61">
        <f>Allocation[[#This Row],[Total volume used]]/VLOOKUP(Allocation[[#This Row],[Delivery ID]],Delivery[[Delivery ID]:[Quantity delivered]],3,FALSE)</f>
        <v>1.8271234475285489E-2</v>
      </c>
      <c r="V224" s="34" t="e">
        <f>VLOOKUP(Allocation[[#This Row],[SAP Contract number]],Shipments[[SAP Contract number]:[Contracted container weight]],2,FALSE)</f>
        <v>#N/A</v>
      </c>
      <c r="W224" s="34" t="e">
        <f>VLOOKUP(Allocation[[#This Row],[SAP Contract number]],Shipments[[SAP Contract number]:[AAA Premium USD]],24,FALSE)</f>
        <v>#N/A</v>
      </c>
      <c r="X224" s="34" t="e">
        <f>VLOOKUP(Allocation[[#This Row],[SAP Contract number]],Shipments[[SAP Contract number]:[RA Premium USD]],25,FALSE)</f>
        <v>#N/A</v>
      </c>
      <c r="Y224" s="38">
        <f>Allocation[[#This Row],[Quantity Processed]]/Allocation[[#This Row],[Quantity allocated]]</f>
        <v>3.027624309392265</v>
      </c>
      <c r="Z224" s="34" t="b">
        <f>Allocation[[#This Row],[Quantity allocated]]&lt;=Allocation[[#This Row],[Quantity Processed]]</f>
        <v>1</v>
      </c>
    </row>
    <row r="225" spans="1:26">
      <c r="A225" s="247" t="s">
        <v>467</v>
      </c>
      <c r="B225" s="160" t="s">
        <v>68</v>
      </c>
      <c r="C225" s="249" t="s">
        <v>708</v>
      </c>
      <c r="D225" s="250">
        <v>1094</v>
      </c>
      <c r="E225" s="160" t="s">
        <v>1186</v>
      </c>
      <c r="F225" s="158">
        <v>43487</v>
      </c>
      <c r="G225" s="162">
        <v>2.93</v>
      </c>
      <c r="H225" s="250">
        <v>361</v>
      </c>
      <c r="I225" s="160">
        <v>1425073</v>
      </c>
      <c r="J225" s="163">
        <v>21600</v>
      </c>
      <c r="K225" s="158">
        <v>43494</v>
      </c>
      <c r="L225" s="160" t="s">
        <v>1196</v>
      </c>
      <c r="M225" s="160">
        <v>4615513976</v>
      </c>
      <c r="N225" s="158">
        <v>43516</v>
      </c>
      <c r="O225" s="164">
        <v>3.7094</v>
      </c>
      <c r="P225" s="165">
        <v>19739</v>
      </c>
      <c r="Q225" s="34">
        <f>SUMIF(Allocation[Delivery ID],Allocation[[#This Row],[Delivery ID]],Allocation[Quantity Processed])</f>
        <v>1094</v>
      </c>
      <c r="R225" s="61">
        <f>Allocation[[#This Row],[Total volume used]]/VLOOKUP(Allocation[[#This Row],[Delivery ID]],Delivery[[Delivery ID]:[Quantity delivered]],3,FALSE)</f>
        <v>3.6004015072978887E-2</v>
      </c>
      <c r="S225" s="34">
        <f>Allocation[[#This Row],[Quantity Processed]]/Allocation[[#This Row],[Dilution rate]]</f>
        <v>373.37883959044365</v>
      </c>
      <c r="T225" s="59">
        <f>SUMIF(Allocation[Delivery ID],Allocation[[#This Row],[Delivery ID]],Allocation[Quantity allocated])/SUMIF(Allocation[Delivery ID],Allocation[[#This Row],[Delivery ID]],Allocation[Volume available (kg)])</f>
        <v>0.96684643510054857</v>
      </c>
      <c r="U225" s="61">
        <f>Allocation[[#This Row],[Total volume used]]/VLOOKUP(Allocation[[#This Row],[Delivery ID]],Delivery[[Delivery ID]:[Quantity delivered]],3,FALSE)</f>
        <v>3.6004015072978887E-2</v>
      </c>
      <c r="V225" s="34" t="e">
        <f>VLOOKUP(Allocation[[#This Row],[SAP Contract number]],Shipments[[SAP Contract number]:[Contracted container weight]],2,FALSE)</f>
        <v>#N/A</v>
      </c>
      <c r="W225" s="34" t="e">
        <f>VLOOKUP(Allocation[[#This Row],[SAP Contract number]],Shipments[[SAP Contract number]:[AAA Premium USD]],24,FALSE)</f>
        <v>#N/A</v>
      </c>
      <c r="X225" s="34" t="e">
        <f>VLOOKUP(Allocation[[#This Row],[SAP Contract number]],Shipments[[SAP Contract number]:[RA Premium USD]],25,FALSE)</f>
        <v>#N/A</v>
      </c>
      <c r="Y225" s="38">
        <f>Allocation[[#This Row],[Quantity Processed]]/Allocation[[#This Row],[Quantity allocated]]</f>
        <v>3.0304709141274238</v>
      </c>
      <c r="Z225" s="34" t="b">
        <f>Allocation[[#This Row],[Quantity allocated]]&lt;=Allocation[[#This Row],[Quantity Processed]]</f>
        <v>1</v>
      </c>
    </row>
    <row r="226" spans="1:26">
      <c r="A226" s="247" t="s">
        <v>467</v>
      </c>
      <c r="B226" s="160" t="s">
        <v>68</v>
      </c>
      <c r="C226" s="249" t="s">
        <v>709</v>
      </c>
      <c r="D226" s="250">
        <v>1005</v>
      </c>
      <c r="E226" s="160" t="s">
        <v>1186</v>
      </c>
      <c r="F226" s="158">
        <v>43487</v>
      </c>
      <c r="G226" s="162">
        <v>2.93</v>
      </c>
      <c r="H226" s="250">
        <v>754</v>
      </c>
      <c r="I226" s="160">
        <v>1425073</v>
      </c>
      <c r="J226" s="163">
        <v>21600</v>
      </c>
      <c r="K226" s="158">
        <v>43494</v>
      </c>
      <c r="L226" s="160" t="s">
        <v>1196</v>
      </c>
      <c r="M226" s="160">
        <v>4615513976</v>
      </c>
      <c r="N226" s="158">
        <v>43516</v>
      </c>
      <c r="O226" s="164">
        <v>3.7094</v>
      </c>
      <c r="P226" s="165">
        <v>19739</v>
      </c>
      <c r="Q226" s="34">
        <f>SUMIF(Allocation[Delivery ID],Allocation[[#This Row],[Delivery ID]],Allocation[Quantity Processed])</f>
        <v>1005</v>
      </c>
      <c r="R226" s="61">
        <f>Allocation[[#This Row],[Total volume used]]/VLOOKUP(Allocation[[#This Row],[Delivery ID]],Delivery[[Delivery ID]:[Quantity delivered]],3,FALSE)</f>
        <v>3.2242540904716073E-2</v>
      </c>
      <c r="S226" s="34">
        <f>Allocation[[#This Row],[Quantity Processed]]/Allocation[[#This Row],[Dilution rate]]</f>
        <v>343.00341296928326</v>
      </c>
      <c r="T226" s="59">
        <f>SUMIF(Allocation[Delivery ID],Allocation[[#This Row],[Delivery ID]],Allocation[Quantity allocated])/SUMIF(Allocation[Delivery ID],Allocation[[#This Row],[Delivery ID]],Allocation[Volume available (kg)])</f>
        <v>2.1982288557213931</v>
      </c>
      <c r="U226" s="61">
        <f>Allocation[[#This Row],[Total volume used]]/VLOOKUP(Allocation[[#This Row],[Delivery ID]],Delivery[[Delivery ID]:[Quantity delivered]],3,FALSE)</f>
        <v>3.2242540904716073E-2</v>
      </c>
      <c r="V226" s="34" t="e">
        <f>VLOOKUP(Allocation[[#This Row],[SAP Contract number]],Shipments[[SAP Contract number]:[Contracted container weight]],2,FALSE)</f>
        <v>#N/A</v>
      </c>
      <c r="W226" s="34" t="e">
        <f>VLOOKUP(Allocation[[#This Row],[SAP Contract number]],Shipments[[SAP Contract number]:[AAA Premium USD]],24,FALSE)</f>
        <v>#N/A</v>
      </c>
      <c r="X226" s="34" t="e">
        <f>VLOOKUP(Allocation[[#This Row],[SAP Contract number]],Shipments[[SAP Contract number]:[RA Premium USD]],25,FALSE)</f>
        <v>#N/A</v>
      </c>
      <c r="Y226" s="38">
        <f>Allocation[[#This Row],[Quantity Processed]]/Allocation[[#This Row],[Quantity allocated]]</f>
        <v>1.3328912466843501</v>
      </c>
      <c r="Z226" s="34" t="b">
        <f>Allocation[[#This Row],[Quantity allocated]]&lt;=Allocation[[#This Row],[Quantity Processed]]</f>
        <v>1</v>
      </c>
    </row>
    <row r="227" spans="1:26">
      <c r="A227" s="247" t="s">
        <v>467</v>
      </c>
      <c r="B227" s="160" t="s">
        <v>68</v>
      </c>
      <c r="C227" s="249" t="s">
        <v>711</v>
      </c>
      <c r="D227" s="250">
        <v>272</v>
      </c>
      <c r="E227" s="160" t="s">
        <v>1186</v>
      </c>
      <c r="F227" s="158">
        <v>43487</v>
      </c>
      <c r="G227" s="162">
        <v>2.93</v>
      </c>
      <c r="H227" s="250">
        <v>204</v>
      </c>
      <c r="I227" s="160">
        <v>1425073</v>
      </c>
      <c r="J227" s="163">
        <v>21600</v>
      </c>
      <c r="K227" s="158">
        <v>43494</v>
      </c>
      <c r="L227" s="160" t="s">
        <v>1196</v>
      </c>
      <c r="M227" s="160">
        <v>4615513976</v>
      </c>
      <c r="N227" s="158">
        <v>43516</v>
      </c>
      <c r="O227" s="164">
        <v>3.7094</v>
      </c>
      <c r="P227" s="165">
        <v>19739</v>
      </c>
      <c r="Q227" s="34">
        <f>SUMIF(Allocation[Delivery ID],Allocation[[#This Row],[Delivery ID]],Allocation[Quantity Processed])</f>
        <v>272</v>
      </c>
      <c r="R227" s="61">
        <f>Allocation[[#This Row],[Total volume used]]/VLOOKUP(Allocation[[#This Row],[Delivery ID]],Delivery[[Delivery ID]:[Quantity delivered]],3,FALSE)</f>
        <v>8.7459807073954985E-3</v>
      </c>
      <c r="S227" s="34">
        <f>Allocation[[#This Row],[Quantity Processed]]/Allocation[[#This Row],[Dilution rate]]</f>
        <v>92.832764505119442</v>
      </c>
      <c r="T227" s="59">
        <f>SUMIF(Allocation[Delivery ID],Allocation[[#This Row],[Delivery ID]],Allocation[Quantity allocated])/SUMIF(Allocation[Delivery ID],Allocation[[#This Row],[Delivery ID]],Allocation[Volume available (kg)])</f>
        <v>2.1975000000000002</v>
      </c>
      <c r="U227" s="61">
        <f>Allocation[[#This Row],[Total volume used]]/VLOOKUP(Allocation[[#This Row],[Delivery ID]],Delivery[[Delivery ID]:[Quantity delivered]],3,FALSE)</f>
        <v>8.7459807073954985E-3</v>
      </c>
      <c r="V227" s="34" t="e">
        <f>VLOOKUP(Allocation[[#This Row],[SAP Contract number]],Shipments[[SAP Contract number]:[Contracted container weight]],2,FALSE)</f>
        <v>#N/A</v>
      </c>
      <c r="W227" s="34" t="e">
        <f>VLOOKUP(Allocation[[#This Row],[SAP Contract number]],Shipments[[SAP Contract number]:[AAA Premium USD]],24,FALSE)</f>
        <v>#N/A</v>
      </c>
      <c r="X227" s="34" t="e">
        <f>VLOOKUP(Allocation[[#This Row],[SAP Contract number]],Shipments[[SAP Contract number]:[RA Premium USD]],25,FALSE)</f>
        <v>#N/A</v>
      </c>
      <c r="Y227" s="38">
        <f>Allocation[[#This Row],[Quantity Processed]]/Allocation[[#This Row],[Quantity allocated]]</f>
        <v>1.3333333333333333</v>
      </c>
      <c r="Z227" s="34" t="b">
        <f>Allocation[[#This Row],[Quantity allocated]]&lt;=Allocation[[#This Row],[Quantity Processed]]</f>
        <v>1</v>
      </c>
    </row>
    <row r="228" spans="1:26">
      <c r="A228" s="247" t="s">
        <v>467</v>
      </c>
      <c r="B228" s="160" t="s">
        <v>68</v>
      </c>
      <c r="C228" s="249" t="s">
        <v>712</v>
      </c>
      <c r="D228" s="250">
        <v>548</v>
      </c>
      <c r="E228" s="160" t="s">
        <v>1186</v>
      </c>
      <c r="F228" s="158">
        <v>43487</v>
      </c>
      <c r="G228" s="162">
        <v>2.93</v>
      </c>
      <c r="H228" s="250">
        <v>181</v>
      </c>
      <c r="I228" s="160">
        <v>1425073</v>
      </c>
      <c r="J228" s="163">
        <v>21600</v>
      </c>
      <c r="K228" s="158">
        <v>43494</v>
      </c>
      <c r="L228" s="160" t="s">
        <v>1196</v>
      </c>
      <c r="M228" s="160">
        <v>4615513976</v>
      </c>
      <c r="N228" s="158">
        <v>43516</v>
      </c>
      <c r="O228" s="164">
        <v>3.7094</v>
      </c>
      <c r="P228" s="165">
        <v>19739</v>
      </c>
      <c r="Q228" s="34">
        <f>SUMIF(Allocation[Delivery ID],Allocation[[#This Row],[Delivery ID]],Allocation[Quantity Processed])</f>
        <v>549</v>
      </c>
      <c r="R228" s="61">
        <f>Allocation[[#This Row],[Total volume used]]/VLOOKUP(Allocation[[#This Row],[Delivery ID]],Delivery[[Delivery ID]:[Quantity delivered]],3,FALSE)</f>
        <v>1.8101487025619045E-2</v>
      </c>
      <c r="S228" s="34">
        <f>Allocation[[#This Row],[Quantity Processed]]/Allocation[[#This Row],[Dilution rate]]</f>
        <v>187.03071672354949</v>
      </c>
      <c r="T228" s="59">
        <f>SUMIF(Allocation[Delivery ID],Allocation[[#This Row],[Delivery ID]],Allocation[Quantity allocated])/SUMIF(Allocation[Delivery ID],Allocation[[#This Row],[Delivery ID]],Allocation[Volume available (kg)])</f>
        <v>0.96745081686611845</v>
      </c>
      <c r="U228" s="61">
        <f>Allocation[[#This Row],[Total volume used]]/VLOOKUP(Allocation[[#This Row],[Delivery ID]],Delivery[[Delivery ID]:[Quantity delivered]],3,FALSE)</f>
        <v>1.8101487025619045E-2</v>
      </c>
      <c r="V228" s="34" t="e">
        <f>VLOOKUP(Allocation[[#This Row],[SAP Contract number]],Shipments[[SAP Contract number]:[Contracted container weight]],2,FALSE)</f>
        <v>#N/A</v>
      </c>
      <c r="W228" s="34" t="e">
        <f>VLOOKUP(Allocation[[#This Row],[SAP Contract number]],Shipments[[SAP Contract number]:[AAA Premium USD]],24,FALSE)</f>
        <v>#N/A</v>
      </c>
      <c r="X228" s="34" t="e">
        <f>VLOOKUP(Allocation[[#This Row],[SAP Contract number]],Shipments[[SAP Contract number]:[RA Premium USD]],25,FALSE)</f>
        <v>#N/A</v>
      </c>
      <c r="Y228" s="38">
        <f>Allocation[[#This Row],[Quantity Processed]]/Allocation[[#This Row],[Quantity allocated]]</f>
        <v>3.027624309392265</v>
      </c>
      <c r="Z228" s="34" t="b">
        <f>Allocation[[#This Row],[Quantity allocated]]&lt;=Allocation[[#This Row],[Quantity Processed]]</f>
        <v>1</v>
      </c>
    </row>
    <row r="229" spans="1:26">
      <c r="A229" s="247" t="s">
        <v>467</v>
      </c>
      <c r="B229" s="160" t="s">
        <v>68</v>
      </c>
      <c r="C229" s="249" t="s">
        <v>713</v>
      </c>
      <c r="D229" s="250">
        <v>1269</v>
      </c>
      <c r="E229" s="160" t="s">
        <v>1186</v>
      </c>
      <c r="F229" s="158">
        <v>43487</v>
      </c>
      <c r="G229" s="162">
        <v>2.93</v>
      </c>
      <c r="H229" s="250">
        <v>495</v>
      </c>
      <c r="I229" s="160">
        <v>1425073</v>
      </c>
      <c r="J229" s="163">
        <v>21600</v>
      </c>
      <c r="K229" s="158">
        <v>43494</v>
      </c>
      <c r="L229" s="160" t="s">
        <v>1196</v>
      </c>
      <c r="M229" s="160">
        <v>4615513976</v>
      </c>
      <c r="N229" s="158">
        <v>43516</v>
      </c>
      <c r="O229" s="164">
        <v>3.7094</v>
      </c>
      <c r="P229" s="165">
        <v>19739</v>
      </c>
      <c r="Q229" s="34">
        <f>SUMIF(Allocation[Delivery ID],Allocation[[#This Row],[Delivery ID]],Allocation[Quantity Processed])</f>
        <v>1269</v>
      </c>
      <c r="R229" s="61">
        <f>Allocation[[#This Row],[Total volume used]]/VLOOKUP(Allocation[[#This Row],[Delivery ID]],Delivery[[Delivery ID]:[Quantity delivered]],3,FALSE)</f>
        <v>4.2299999999999997E-2</v>
      </c>
      <c r="S229" s="34">
        <f>Allocation[[#This Row],[Quantity Processed]]/Allocation[[#This Row],[Dilution rate]]</f>
        <v>433.10580204778154</v>
      </c>
      <c r="T229" s="59">
        <f>SUMIF(Allocation[Delivery ID],Allocation[[#This Row],[Delivery ID]],Allocation[Quantity allocated])/SUMIF(Allocation[Delivery ID],Allocation[[#This Row],[Delivery ID]],Allocation[Volume available (kg)])</f>
        <v>1.1429078014184397</v>
      </c>
      <c r="U229" s="61">
        <f>Allocation[[#This Row],[Total volume used]]/VLOOKUP(Allocation[[#This Row],[Delivery ID]],Delivery[[Delivery ID]:[Quantity delivered]],3,FALSE)</f>
        <v>4.2299999999999997E-2</v>
      </c>
      <c r="V229" s="34" t="e">
        <f>VLOOKUP(Allocation[[#This Row],[SAP Contract number]],Shipments[[SAP Contract number]:[Contracted container weight]],2,FALSE)</f>
        <v>#N/A</v>
      </c>
      <c r="W229" s="34" t="e">
        <f>VLOOKUP(Allocation[[#This Row],[SAP Contract number]],Shipments[[SAP Contract number]:[AAA Premium USD]],24,FALSE)</f>
        <v>#N/A</v>
      </c>
      <c r="X229" s="34" t="e">
        <f>VLOOKUP(Allocation[[#This Row],[SAP Contract number]],Shipments[[SAP Contract number]:[RA Premium USD]],25,FALSE)</f>
        <v>#N/A</v>
      </c>
      <c r="Y229" s="38">
        <f>Allocation[[#This Row],[Quantity Processed]]/Allocation[[#This Row],[Quantity allocated]]</f>
        <v>2.5636363636363635</v>
      </c>
      <c r="Z229" s="34" t="b">
        <f>Allocation[[#This Row],[Quantity allocated]]&lt;=Allocation[[#This Row],[Quantity Processed]]</f>
        <v>1</v>
      </c>
    </row>
    <row r="230" spans="1:26">
      <c r="A230" s="247" t="s">
        <v>467</v>
      </c>
      <c r="B230" s="160" t="s">
        <v>68</v>
      </c>
      <c r="C230" s="249" t="s">
        <v>714</v>
      </c>
      <c r="D230" s="250">
        <v>1237</v>
      </c>
      <c r="E230" s="160" t="s">
        <v>1186</v>
      </c>
      <c r="F230" s="158">
        <v>43487</v>
      </c>
      <c r="G230" s="162">
        <v>2.93</v>
      </c>
      <c r="H230" s="250">
        <v>928</v>
      </c>
      <c r="I230" s="160">
        <v>1425073</v>
      </c>
      <c r="J230" s="163">
        <v>21600</v>
      </c>
      <c r="K230" s="158">
        <v>43494</v>
      </c>
      <c r="L230" s="160" t="s">
        <v>1196</v>
      </c>
      <c r="M230" s="160">
        <v>4615513976</v>
      </c>
      <c r="N230" s="158">
        <v>43516</v>
      </c>
      <c r="O230" s="164">
        <v>3.7094</v>
      </c>
      <c r="P230" s="165">
        <v>19739</v>
      </c>
      <c r="Q230" s="34">
        <f>SUMIF(Allocation[Delivery ID],Allocation[[#This Row],[Delivery ID]],Allocation[Quantity Processed])</f>
        <v>1237</v>
      </c>
      <c r="R230" s="61">
        <f>Allocation[[#This Row],[Total volume used]]/VLOOKUP(Allocation[[#This Row],[Delivery ID]],Delivery[[Delivery ID]:[Quantity delivered]],3,FALSE)</f>
        <v>3.224040867389491E-2</v>
      </c>
      <c r="S230" s="34">
        <f>Allocation[[#This Row],[Quantity Processed]]/Allocation[[#This Row],[Dilution rate]]</f>
        <v>422.18430034129693</v>
      </c>
      <c r="T230" s="59">
        <f>SUMIF(Allocation[Delivery ID],Allocation[[#This Row],[Delivery ID]],Allocation[Quantity allocated])/SUMIF(Allocation[Delivery ID],Allocation[[#This Row],[Delivery ID]],Allocation[Volume available (kg)])</f>
        <v>2.1980921584478579</v>
      </c>
      <c r="U230" s="61">
        <f>Allocation[[#This Row],[Total volume used]]/VLOOKUP(Allocation[[#This Row],[Delivery ID]],Delivery[[Delivery ID]:[Quantity delivered]],3,FALSE)</f>
        <v>3.224040867389491E-2</v>
      </c>
      <c r="V230" s="34" t="e">
        <f>VLOOKUP(Allocation[[#This Row],[SAP Contract number]],Shipments[[SAP Contract number]:[Contracted container weight]],2,FALSE)</f>
        <v>#N/A</v>
      </c>
      <c r="W230" s="34" t="e">
        <f>VLOOKUP(Allocation[[#This Row],[SAP Contract number]],Shipments[[SAP Contract number]:[AAA Premium USD]],24,FALSE)</f>
        <v>#N/A</v>
      </c>
      <c r="X230" s="34" t="e">
        <f>VLOOKUP(Allocation[[#This Row],[SAP Contract number]],Shipments[[SAP Contract number]:[RA Premium USD]],25,FALSE)</f>
        <v>#N/A</v>
      </c>
      <c r="Y230" s="38">
        <f>Allocation[[#This Row],[Quantity Processed]]/Allocation[[#This Row],[Quantity allocated]]</f>
        <v>1.3329741379310345</v>
      </c>
      <c r="Z230" s="34" t="b">
        <f>Allocation[[#This Row],[Quantity allocated]]&lt;=Allocation[[#This Row],[Quantity Processed]]</f>
        <v>1</v>
      </c>
    </row>
    <row r="231" spans="1:26">
      <c r="A231" s="247" t="s">
        <v>467</v>
      </c>
      <c r="B231" s="160" t="s">
        <v>68</v>
      </c>
      <c r="C231" s="249" t="s">
        <v>715</v>
      </c>
      <c r="D231" s="250">
        <v>539</v>
      </c>
      <c r="E231" s="160" t="s">
        <v>1186</v>
      </c>
      <c r="F231" s="158">
        <v>43487</v>
      </c>
      <c r="G231" s="162">
        <v>2.93</v>
      </c>
      <c r="H231" s="250">
        <v>178</v>
      </c>
      <c r="I231" s="160">
        <v>1425073</v>
      </c>
      <c r="J231" s="163">
        <v>21600</v>
      </c>
      <c r="K231" s="158">
        <v>43494</v>
      </c>
      <c r="L231" s="160" t="s">
        <v>1196</v>
      </c>
      <c r="M231" s="160">
        <v>4615513976</v>
      </c>
      <c r="N231" s="158">
        <v>43516</v>
      </c>
      <c r="O231" s="164">
        <v>3.7094</v>
      </c>
      <c r="P231" s="165">
        <v>19739</v>
      </c>
      <c r="Q231" s="34">
        <f>SUMIF(Allocation[Delivery ID],Allocation[[#This Row],[Delivery ID]],Allocation[Quantity Processed])</f>
        <v>540</v>
      </c>
      <c r="R231" s="61">
        <f>Allocation[[#This Row],[Total volume used]]/VLOOKUP(Allocation[[#This Row],[Delivery ID]],Delivery[[Delivery ID]:[Quantity delivered]],3,FALSE)</f>
        <v>1.8066242890598862E-2</v>
      </c>
      <c r="S231" s="34">
        <f>Allocation[[#This Row],[Quantity Processed]]/Allocation[[#This Row],[Dilution rate]]</f>
        <v>183.95904436860067</v>
      </c>
      <c r="T231" s="59">
        <f>SUMIF(Allocation[Delivery ID],Allocation[[#This Row],[Delivery ID]],Allocation[Quantity allocated])/SUMIF(Allocation[Delivery ID],Allocation[[#This Row],[Delivery ID]],Allocation[Volume available (kg)])</f>
        <v>0.96729726827751172</v>
      </c>
      <c r="U231" s="61">
        <f>Allocation[[#This Row],[Total volume used]]/VLOOKUP(Allocation[[#This Row],[Delivery ID]],Delivery[[Delivery ID]:[Quantity delivered]],3,FALSE)</f>
        <v>1.8066242890598862E-2</v>
      </c>
      <c r="V231" s="34" t="e">
        <f>VLOOKUP(Allocation[[#This Row],[SAP Contract number]],Shipments[[SAP Contract number]:[Contracted container weight]],2,FALSE)</f>
        <v>#N/A</v>
      </c>
      <c r="W231" s="34" t="e">
        <f>VLOOKUP(Allocation[[#This Row],[SAP Contract number]],Shipments[[SAP Contract number]:[AAA Premium USD]],24,FALSE)</f>
        <v>#N/A</v>
      </c>
      <c r="X231" s="34" t="e">
        <f>VLOOKUP(Allocation[[#This Row],[SAP Contract number]],Shipments[[SAP Contract number]:[RA Premium USD]],25,FALSE)</f>
        <v>#N/A</v>
      </c>
      <c r="Y231" s="38">
        <f>Allocation[[#This Row],[Quantity Processed]]/Allocation[[#This Row],[Quantity allocated]]</f>
        <v>3.0280898876404496</v>
      </c>
      <c r="Z231" s="34" t="b">
        <f>Allocation[[#This Row],[Quantity allocated]]&lt;=Allocation[[#This Row],[Quantity Processed]]</f>
        <v>1</v>
      </c>
    </row>
    <row r="232" spans="1:26">
      <c r="A232" s="247" t="s">
        <v>467</v>
      </c>
      <c r="B232" s="160" t="s">
        <v>68</v>
      </c>
      <c r="C232" s="249" t="s">
        <v>716</v>
      </c>
      <c r="D232" s="250">
        <v>542</v>
      </c>
      <c r="E232" s="160" t="s">
        <v>1186</v>
      </c>
      <c r="F232" s="158">
        <v>43487</v>
      </c>
      <c r="G232" s="162">
        <v>2.93</v>
      </c>
      <c r="H232" s="250">
        <v>179</v>
      </c>
      <c r="I232" s="160">
        <v>1425073</v>
      </c>
      <c r="J232" s="163">
        <v>21600</v>
      </c>
      <c r="K232" s="158">
        <v>43494</v>
      </c>
      <c r="L232" s="160" t="s">
        <v>1196</v>
      </c>
      <c r="M232" s="160">
        <v>4615513976</v>
      </c>
      <c r="N232" s="158">
        <v>43516</v>
      </c>
      <c r="O232" s="164">
        <v>3.7094</v>
      </c>
      <c r="P232" s="165">
        <v>19739</v>
      </c>
      <c r="Q232" s="34">
        <f>SUMIF(Allocation[Delivery ID],Allocation[[#This Row],[Delivery ID]],Allocation[Quantity Processed])</f>
        <v>542</v>
      </c>
      <c r="R232" s="61">
        <f>Allocation[[#This Row],[Total volume used]]/VLOOKUP(Allocation[[#This Row],[Delivery ID]],Delivery[[Delivery ID]:[Quantity delivered]],3,FALSE)</f>
        <v>1.7964865760689428E-2</v>
      </c>
      <c r="S232" s="34">
        <f>Allocation[[#This Row],[Quantity Processed]]/Allocation[[#This Row],[Dilution rate]]</f>
        <v>184.98293515358361</v>
      </c>
      <c r="T232" s="59">
        <f>SUMIF(Allocation[Delivery ID],Allocation[[#This Row],[Delivery ID]],Allocation[Quantity allocated])/SUMIF(Allocation[Delivery ID],Allocation[[#This Row],[Delivery ID]],Allocation[Volume available (kg)])</f>
        <v>0.96765682656826568</v>
      </c>
      <c r="U232" s="61">
        <f>Allocation[[#This Row],[Total volume used]]/VLOOKUP(Allocation[[#This Row],[Delivery ID]],Delivery[[Delivery ID]:[Quantity delivered]],3,FALSE)</f>
        <v>1.7964865760689428E-2</v>
      </c>
      <c r="V232" s="34" t="e">
        <f>VLOOKUP(Allocation[[#This Row],[SAP Contract number]],Shipments[[SAP Contract number]:[Contracted container weight]],2,FALSE)</f>
        <v>#N/A</v>
      </c>
      <c r="W232" s="34" t="e">
        <f>VLOOKUP(Allocation[[#This Row],[SAP Contract number]],Shipments[[SAP Contract number]:[AAA Premium USD]],24,FALSE)</f>
        <v>#N/A</v>
      </c>
      <c r="X232" s="34" t="e">
        <f>VLOOKUP(Allocation[[#This Row],[SAP Contract number]],Shipments[[SAP Contract number]:[RA Premium USD]],25,FALSE)</f>
        <v>#N/A</v>
      </c>
      <c r="Y232" s="38">
        <f>Allocation[[#This Row],[Quantity Processed]]/Allocation[[#This Row],[Quantity allocated]]</f>
        <v>3.0279329608938546</v>
      </c>
      <c r="Z232" s="34" t="b">
        <f>Allocation[[#This Row],[Quantity allocated]]&lt;=Allocation[[#This Row],[Quantity Processed]]</f>
        <v>1</v>
      </c>
    </row>
    <row r="233" spans="1:26">
      <c r="A233" s="247" t="s">
        <v>467</v>
      </c>
      <c r="B233" s="160" t="s">
        <v>68</v>
      </c>
      <c r="C233" s="249" t="s">
        <v>717</v>
      </c>
      <c r="D233" s="250">
        <v>506</v>
      </c>
      <c r="E233" s="160" t="s">
        <v>1186</v>
      </c>
      <c r="F233" s="158">
        <v>43487</v>
      </c>
      <c r="G233" s="162">
        <v>2.93</v>
      </c>
      <c r="H233" s="250">
        <v>167</v>
      </c>
      <c r="I233" s="160">
        <v>1425073</v>
      </c>
      <c r="J233" s="163">
        <v>21600</v>
      </c>
      <c r="K233" s="158">
        <v>43494</v>
      </c>
      <c r="L233" s="160" t="s">
        <v>1196</v>
      </c>
      <c r="M233" s="160">
        <v>4615513976</v>
      </c>
      <c r="N233" s="158">
        <v>43516</v>
      </c>
      <c r="O233" s="164">
        <v>3.7094</v>
      </c>
      <c r="P233" s="165">
        <v>19739</v>
      </c>
      <c r="Q233" s="34">
        <f>SUMIF(Allocation[Delivery ID],Allocation[[#This Row],[Delivery ID]],Allocation[Quantity Processed])</f>
        <v>507</v>
      </c>
      <c r="R233" s="61">
        <f>Allocation[[#This Row],[Total volume used]]/VLOOKUP(Allocation[[#This Row],[Delivery ID]],Delivery[[Delivery ID]:[Quantity delivered]],3,FALSE)</f>
        <v>1.8037569375266828E-2</v>
      </c>
      <c r="S233" s="34">
        <f>Allocation[[#This Row],[Quantity Processed]]/Allocation[[#This Row],[Dilution rate]]</f>
        <v>172.69624573378837</v>
      </c>
      <c r="T233" s="59">
        <f>SUMIF(Allocation[Delivery ID],Allocation[[#This Row],[Delivery ID]],Allocation[Quantity allocated])/SUMIF(Allocation[Delivery ID],Allocation[[#This Row],[Delivery ID]],Allocation[Volume available (kg)])</f>
        <v>0.96668763259801427</v>
      </c>
      <c r="U233" s="61">
        <f>Allocation[[#This Row],[Total volume used]]/VLOOKUP(Allocation[[#This Row],[Delivery ID]],Delivery[[Delivery ID]:[Quantity delivered]],3,FALSE)</f>
        <v>1.8037569375266828E-2</v>
      </c>
      <c r="V233" s="34" t="e">
        <f>VLOOKUP(Allocation[[#This Row],[SAP Contract number]],Shipments[[SAP Contract number]:[Contracted container weight]],2,FALSE)</f>
        <v>#N/A</v>
      </c>
      <c r="W233" s="34" t="e">
        <f>VLOOKUP(Allocation[[#This Row],[SAP Contract number]],Shipments[[SAP Contract number]:[AAA Premium USD]],24,FALSE)</f>
        <v>#N/A</v>
      </c>
      <c r="X233" s="34" t="e">
        <f>VLOOKUP(Allocation[[#This Row],[SAP Contract number]],Shipments[[SAP Contract number]:[RA Premium USD]],25,FALSE)</f>
        <v>#N/A</v>
      </c>
      <c r="Y233" s="38">
        <f>Allocation[[#This Row],[Quantity Processed]]/Allocation[[#This Row],[Quantity allocated]]</f>
        <v>3.0299401197604792</v>
      </c>
      <c r="Z233" s="34" t="b">
        <f>Allocation[[#This Row],[Quantity allocated]]&lt;=Allocation[[#This Row],[Quantity Processed]]</f>
        <v>1</v>
      </c>
    </row>
    <row r="234" spans="1:26">
      <c r="A234" s="247" t="s">
        <v>467</v>
      </c>
      <c r="B234" s="160" t="s">
        <v>68</v>
      </c>
      <c r="C234" s="249" t="s">
        <v>718</v>
      </c>
      <c r="D234" s="250">
        <v>1269</v>
      </c>
      <c r="E234" s="160" t="s">
        <v>1186</v>
      </c>
      <c r="F234" s="158">
        <v>43487</v>
      </c>
      <c r="G234" s="162">
        <v>2.93</v>
      </c>
      <c r="H234" s="250">
        <v>495</v>
      </c>
      <c r="I234" s="160">
        <v>1425073</v>
      </c>
      <c r="J234" s="163">
        <v>21600</v>
      </c>
      <c r="K234" s="158">
        <v>43494</v>
      </c>
      <c r="L234" s="160" t="s">
        <v>1196</v>
      </c>
      <c r="M234" s="160">
        <v>4615513976</v>
      </c>
      <c r="N234" s="158">
        <v>43516</v>
      </c>
      <c r="O234" s="164">
        <v>3.7094</v>
      </c>
      <c r="P234" s="165">
        <v>19739</v>
      </c>
      <c r="Q234" s="34">
        <f>SUMIF(Allocation[Delivery ID],Allocation[[#This Row],[Delivery ID]],Allocation[Quantity Processed])</f>
        <v>1269</v>
      </c>
      <c r="R234" s="61">
        <f>Allocation[[#This Row],[Total volume used]]/VLOOKUP(Allocation[[#This Row],[Delivery ID]],Delivery[[Delivery ID]:[Quantity delivered]],3,FALSE)</f>
        <v>4.2193110786008778E-2</v>
      </c>
      <c r="S234" s="34">
        <f>Allocation[[#This Row],[Quantity Processed]]/Allocation[[#This Row],[Dilution rate]]</f>
        <v>433.10580204778154</v>
      </c>
      <c r="T234" s="59">
        <f>SUMIF(Allocation[Delivery ID],Allocation[[#This Row],[Delivery ID]],Allocation[Quantity allocated])/SUMIF(Allocation[Delivery ID],Allocation[[#This Row],[Delivery ID]],Allocation[Volume available (kg)])</f>
        <v>1.1429078014184397</v>
      </c>
      <c r="U234" s="61">
        <f>Allocation[[#This Row],[Total volume used]]/VLOOKUP(Allocation[[#This Row],[Delivery ID]],Delivery[[Delivery ID]:[Quantity delivered]],3,FALSE)</f>
        <v>4.2193110786008778E-2</v>
      </c>
      <c r="V234" s="34" t="e">
        <f>VLOOKUP(Allocation[[#This Row],[SAP Contract number]],Shipments[[SAP Contract number]:[Contracted container weight]],2,FALSE)</f>
        <v>#N/A</v>
      </c>
      <c r="W234" s="34" t="e">
        <f>VLOOKUP(Allocation[[#This Row],[SAP Contract number]],Shipments[[SAP Contract number]:[AAA Premium USD]],24,FALSE)</f>
        <v>#N/A</v>
      </c>
      <c r="X234" s="34" t="e">
        <f>VLOOKUP(Allocation[[#This Row],[SAP Contract number]],Shipments[[SAP Contract number]:[RA Premium USD]],25,FALSE)</f>
        <v>#N/A</v>
      </c>
      <c r="Y234" s="38">
        <f>Allocation[[#This Row],[Quantity Processed]]/Allocation[[#This Row],[Quantity allocated]]</f>
        <v>2.5636363636363635</v>
      </c>
      <c r="Z234" s="34" t="b">
        <f>Allocation[[#This Row],[Quantity allocated]]&lt;=Allocation[[#This Row],[Quantity Processed]]</f>
        <v>1</v>
      </c>
    </row>
    <row r="235" spans="1:26">
      <c r="A235" s="247" t="s">
        <v>467</v>
      </c>
      <c r="B235" s="160" t="s">
        <v>68</v>
      </c>
      <c r="C235" s="249" t="s">
        <v>719</v>
      </c>
      <c r="D235" s="250">
        <v>1269</v>
      </c>
      <c r="E235" s="160" t="s">
        <v>1186</v>
      </c>
      <c r="F235" s="158">
        <v>43487</v>
      </c>
      <c r="G235" s="162">
        <v>2.93</v>
      </c>
      <c r="H235" s="250">
        <v>495</v>
      </c>
      <c r="I235" s="160">
        <v>1425073</v>
      </c>
      <c r="J235" s="163">
        <v>21600</v>
      </c>
      <c r="K235" s="158">
        <v>43494</v>
      </c>
      <c r="L235" s="160" t="s">
        <v>1196</v>
      </c>
      <c r="M235" s="160">
        <v>4615513976</v>
      </c>
      <c r="N235" s="158">
        <v>43516</v>
      </c>
      <c r="O235" s="164">
        <v>3.7094</v>
      </c>
      <c r="P235" s="165">
        <v>19739</v>
      </c>
      <c r="Q235" s="34">
        <f>SUMIF(Allocation[Delivery ID],Allocation[[#This Row],[Delivery ID]],Allocation[Quantity Processed])</f>
        <v>1269</v>
      </c>
      <c r="R235" s="61">
        <f>Allocation[[#This Row],[Total volume used]]/VLOOKUP(Allocation[[#This Row],[Delivery ID]],Delivery[[Delivery ID]:[Quantity delivered]],3,FALSE)</f>
        <v>4.2285904698433859E-2</v>
      </c>
      <c r="S235" s="34">
        <f>Allocation[[#This Row],[Quantity Processed]]/Allocation[[#This Row],[Dilution rate]]</f>
        <v>433.10580204778154</v>
      </c>
      <c r="T235" s="59">
        <f>SUMIF(Allocation[Delivery ID],Allocation[[#This Row],[Delivery ID]],Allocation[Quantity allocated])/SUMIF(Allocation[Delivery ID],Allocation[[#This Row],[Delivery ID]],Allocation[Volume available (kg)])</f>
        <v>1.1429078014184397</v>
      </c>
      <c r="U235" s="61">
        <f>Allocation[[#This Row],[Total volume used]]/VLOOKUP(Allocation[[#This Row],[Delivery ID]],Delivery[[Delivery ID]:[Quantity delivered]],3,FALSE)</f>
        <v>4.2285904698433859E-2</v>
      </c>
      <c r="V235" s="34" t="e">
        <f>VLOOKUP(Allocation[[#This Row],[SAP Contract number]],Shipments[[SAP Contract number]:[Contracted container weight]],2,FALSE)</f>
        <v>#N/A</v>
      </c>
      <c r="W235" s="34" t="e">
        <f>VLOOKUP(Allocation[[#This Row],[SAP Contract number]],Shipments[[SAP Contract number]:[AAA Premium USD]],24,FALSE)</f>
        <v>#N/A</v>
      </c>
      <c r="X235" s="34" t="e">
        <f>VLOOKUP(Allocation[[#This Row],[SAP Contract number]],Shipments[[SAP Contract number]:[RA Premium USD]],25,FALSE)</f>
        <v>#N/A</v>
      </c>
      <c r="Y235" s="38">
        <f>Allocation[[#This Row],[Quantity Processed]]/Allocation[[#This Row],[Quantity allocated]]</f>
        <v>2.5636363636363635</v>
      </c>
      <c r="Z235" s="34" t="b">
        <f>Allocation[[#This Row],[Quantity allocated]]&lt;=Allocation[[#This Row],[Quantity Processed]]</f>
        <v>1</v>
      </c>
    </row>
    <row r="236" spans="1:26">
      <c r="A236" s="247" t="s">
        <v>467</v>
      </c>
      <c r="B236" s="160" t="s">
        <v>68</v>
      </c>
      <c r="C236" s="249" t="s">
        <v>720</v>
      </c>
      <c r="D236" s="250">
        <v>361</v>
      </c>
      <c r="E236" s="160" t="s">
        <v>1186</v>
      </c>
      <c r="F236" s="158">
        <v>43487</v>
      </c>
      <c r="G236" s="162">
        <v>2.93</v>
      </c>
      <c r="H236" s="250">
        <v>119</v>
      </c>
      <c r="I236" s="160">
        <v>1425073</v>
      </c>
      <c r="J236" s="163">
        <v>21600</v>
      </c>
      <c r="K236" s="158">
        <v>43494</v>
      </c>
      <c r="L236" s="160" t="s">
        <v>1196</v>
      </c>
      <c r="M236" s="160">
        <v>4615513976</v>
      </c>
      <c r="N236" s="158">
        <v>43516</v>
      </c>
      <c r="O236" s="164">
        <v>3.7094</v>
      </c>
      <c r="P236" s="165">
        <v>19739</v>
      </c>
      <c r="Q236" s="34">
        <f>SUMIF(Allocation[Delivery ID],Allocation[[#This Row],[Delivery ID]],Allocation[Quantity Processed])</f>
        <v>361</v>
      </c>
      <c r="R236" s="61">
        <f>Allocation[[#This Row],[Total volume used]]/VLOOKUP(Allocation[[#This Row],[Delivery ID]],Delivery[[Delivery ID]:[Quantity delivered]],3,FALSE)</f>
        <v>2.0003324652296782E-2</v>
      </c>
      <c r="S236" s="34">
        <f>Allocation[[#This Row],[Quantity Processed]]/Allocation[[#This Row],[Dilution rate]]</f>
        <v>123.20819112627986</v>
      </c>
      <c r="T236" s="59">
        <f>SUMIF(Allocation[Delivery ID],Allocation[[#This Row],[Delivery ID]],Allocation[Quantity allocated])/SUMIF(Allocation[Delivery ID],Allocation[[#This Row],[Delivery ID]],Allocation[Volume available (kg)])</f>
        <v>0.9658448753462604</v>
      </c>
      <c r="U236" s="61">
        <f>Allocation[[#This Row],[Total volume used]]/VLOOKUP(Allocation[[#This Row],[Delivery ID]],Delivery[[Delivery ID]:[Quantity delivered]],3,FALSE)</f>
        <v>2.0003324652296782E-2</v>
      </c>
      <c r="V236" s="34" t="e">
        <f>VLOOKUP(Allocation[[#This Row],[SAP Contract number]],Shipments[[SAP Contract number]:[Contracted container weight]],2,FALSE)</f>
        <v>#N/A</v>
      </c>
      <c r="W236" s="34" t="e">
        <f>VLOOKUP(Allocation[[#This Row],[SAP Contract number]],Shipments[[SAP Contract number]:[AAA Premium USD]],24,FALSE)</f>
        <v>#N/A</v>
      </c>
      <c r="X236" s="34" t="e">
        <f>VLOOKUP(Allocation[[#This Row],[SAP Contract number]],Shipments[[SAP Contract number]:[RA Premium USD]],25,FALSE)</f>
        <v>#N/A</v>
      </c>
      <c r="Y236" s="38">
        <f>Allocation[[#This Row],[Quantity Processed]]/Allocation[[#This Row],[Quantity allocated]]</f>
        <v>3.0336134453781511</v>
      </c>
      <c r="Z236" s="34" t="b">
        <f>Allocation[[#This Row],[Quantity allocated]]&lt;=Allocation[[#This Row],[Quantity Processed]]</f>
        <v>1</v>
      </c>
    </row>
    <row r="237" spans="1:26">
      <c r="A237" s="247" t="s">
        <v>467</v>
      </c>
      <c r="B237" s="160" t="s">
        <v>68</v>
      </c>
      <c r="C237" s="249" t="s">
        <v>721</v>
      </c>
      <c r="D237" s="250">
        <v>361</v>
      </c>
      <c r="E237" s="160" t="s">
        <v>1186</v>
      </c>
      <c r="F237" s="158">
        <v>43487</v>
      </c>
      <c r="G237" s="162">
        <v>2.93</v>
      </c>
      <c r="H237" s="250">
        <v>119</v>
      </c>
      <c r="I237" s="160">
        <v>1425073</v>
      </c>
      <c r="J237" s="163">
        <v>21600</v>
      </c>
      <c r="K237" s="158">
        <v>43494</v>
      </c>
      <c r="L237" s="160" t="s">
        <v>1196</v>
      </c>
      <c r="M237" s="160">
        <v>4615513976</v>
      </c>
      <c r="N237" s="158">
        <v>43516</v>
      </c>
      <c r="O237" s="164">
        <v>3.7094</v>
      </c>
      <c r="P237" s="165">
        <v>19739</v>
      </c>
      <c r="Q237" s="34">
        <f>SUMIF(Allocation[Delivery ID],Allocation[[#This Row],[Delivery ID]],Allocation[Quantity Processed])</f>
        <v>361</v>
      </c>
      <c r="R237" s="61">
        <f>Allocation[[#This Row],[Total volume used]]/VLOOKUP(Allocation[[#This Row],[Delivery ID]],Delivery[[Delivery ID]:[Quantity delivered]],3,FALSE)</f>
        <v>3.0564727796122258E-2</v>
      </c>
      <c r="S237" s="34">
        <f>Allocation[[#This Row],[Quantity Processed]]/Allocation[[#This Row],[Dilution rate]]</f>
        <v>123.20819112627986</v>
      </c>
      <c r="T237" s="59">
        <f>SUMIF(Allocation[Delivery ID],Allocation[[#This Row],[Delivery ID]],Allocation[Quantity allocated])/SUMIF(Allocation[Delivery ID],Allocation[[#This Row],[Delivery ID]],Allocation[Volume available (kg)])</f>
        <v>0.9658448753462604</v>
      </c>
      <c r="U237" s="61">
        <f>Allocation[[#This Row],[Total volume used]]/VLOOKUP(Allocation[[#This Row],[Delivery ID]],Delivery[[Delivery ID]:[Quantity delivered]],3,FALSE)</f>
        <v>3.0564727796122258E-2</v>
      </c>
      <c r="V237" s="34" t="e">
        <f>VLOOKUP(Allocation[[#This Row],[SAP Contract number]],Shipments[[SAP Contract number]:[Contracted container weight]],2,FALSE)</f>
        <v>#N/A</v>
      </c>
      <c r="W237" s="34" t="e">
        <f>VLOOKUP(Allocation[[#This Row],[SAP Contract number]],Shipments[[SAP Contract number]:[AAA Premium USD]],24,FALSE)</f>
        <v>#N/A</v>
      </c>
      <c r="X237" s="34" t="e">
        <f>VLOOKUP(Allocation[[#This Row],[SAP Contract number]],Shipments[[SAP Contract number]:[RA Premium USD]],25,FALSE)</f>
        <v>#N/A</v>
      </c>
      <c r="Y237" s="38">
        <f>Allocation[[#This Row],[Quantity Processed]]/Allocation[[#This Row],[Quantity allocated]]</f>
        <v>3.0336134453781511</v>
      </c>
      <c r="Z237" s="34" t="b">
        <f>Allocation[[#This Row],[Quantity allocated]]&lt;=Allocation[[#This Row],[Quantity Processed]]</f>
        <v>1</v>
      </c>
    </row>
    <row r="238" spans="1:26">
      <c r="A238" s="247" t="s">
        <v>467</v>
      </c>
      <c r="B238" s="160" t="s">
        <v>68</v>
      </c>
      <c r="C238" s="249" t="s">
        <v>722</v>
      </c>
      <c r="D238" s="250">
        <v>361</v>
      </c>
      <c r="E238" s="160" t="s">
        <v>1186</v>
      </c>
      <c r="F238" s="158">
        <v>43487</v>
      </c>
      <c r="G238" s="162">
        <v>2.93</v>
      </c>
      <c r="H238" s="250">
        <v>119</v>
      </c>
      <c r="I238" s="160">
        <v>1425073</v>
      </c>
      <c r="J238" s="163">
        <v>21600</v>
      </c>
      <c r="K238" s="158">
        <v>43494</v>
      </c>
      <c r="L238" s="160" t="s">
        <v>1196</v>
      </c>
      <c r="M238" s="160">
        <v>4615513976</v>
      </c>
      <c r="N238" s="158">
        <v>43516</v>
      </c>
      <c r="O238" s="164">
        <v>3.7094</v>
      </c>
      <c r="P238" s="165">
        <v>19739</v>
      </c>
      <c r="Q238" s="34">
        <f>SUMIF(Allocation[Delivery ID],Allocation[[#This Row],[Delivery ID]],Allocation[Quantity Processed])</f>
        <v>361</v>
      </c>
      <c r="R238" s="61">
        <f>Allocation[[#This Row],[Total volume used]]/VLOOKUP(Allocation[[#This Row],[Delivery ID]],Delivery[[Delivery ID]:[Quantity delivered]],3,FALSE)</f>
        <v>4.2583308758478322E-2</v>
      </c>
      <c r="S238" s="34">
        <f>Allocation[[#This Row],[Quantity Processed]]/Allocation[[#This Row],[Dilution rate]]</f>
        <v>123.20819112627986</v>
      </c>
      <c r="T238" s="59">
        <f>SUMIF(Allocation[Delivery ID],Allocation[[#This Row],[Delivery ID]],Allocation[Quantity allocated])/SUMIF(Allocation[Delivery ID],Allocation[[#This Row],[Delivery ID]],Allocation[Volume available (kg)])</f>
        <v>0.9658448753462604</v>
      </c>
      <c r="U238" s="61">
        <f>Allocation[[#This Row],[Total volume used]]/VLOOKUP(Allocation[[#This Row],[Delivery ID]],Delivery[[Delivery ID]:[Quantity delivered]],3,FALSE)</f>
        <v>4.2583308758478322E-2</v>
      </c>
      <c r="V238" s="34" t="e">
        <f>VLOOKUP(Allocation[[#This Row],[SAP Contract number]],Shipments[[SAP Contract number]:[Contracted container weight]],2,FALSE)</f>
        <v>#N/A</v>
      </c>
      <c r="W238" s="34" t="e">
        <f>VLOOKUP(Allocation[[#This Row],[SAP Contract number]],Shipments[[SAP Contract number]:[AAA Premium USD]],24,FALSE)</f>
        <v>#N/A</v>
      </c>
      <c r="X238" s="34" t="e">
        <f>VLOOKUP(Allocation[[#This Row],[SAP Contract number]],Shipments[[SAP Contract number]:[RA Premium USD]],25,FALSE)</f>
        <v>#N/A</v>
      </c>
      <c r="Y238" s="38">
        <f>Allocation[[#This Row],[Quantity Processed]]/Allocation[[#This Row],[Quantity allocated]]</f>
        <v>3.0336134453781511</v>
      </c>
      <c r="Z238" s="34" t="b">
        <f>Allocation[[#This Row],[Quantity allocated]]&lt;=Allocation[[#This Row],[Quantity Processed]]</f>
        <v>1</v>
      </c>
    </row>
    <row r="239" spans="1:26">
      <c r="A239" s="247" t="s">
        <v>467</v>
      </c>
      <c r="B239" s="160" t="s">
        <v>68</v>
      </c>
      <c r="C239" s="249" t="s">
        <v>723</v>
      </c>
      <c r="D239" s="250">
        <v>269</v>
      </c>
      <c r="E239" s="160" t="s">
        <v>1186</v>
      </c>
      <c r="F239" s="158">
        <v>43487</v>
      </c>
      <c r="G239" s="162">
        <v>2.93</v>
      </c>
      <c r="H239" s="250">
        <v>202</v>
      </c>
      <c r="I239" s="160">
        <v>1425073</v>
      </c>
      <c r="J239" s="163">
        <v>21600</v>
      </c>
      <c r="K239" s="158">
        <v>43494</v>
      </c>
      <c r="L239" s="160" t="s">
        <v>1196</v>
      </c>
      <c r="M239" s="160">
        <v>4615513976</v>
      </c>
      <c r="N239" s="158">
        <v>43516</v>
      </c>
      <c r="O239" s="164">
        <v>3.7094</v>
      </c>
      <c r="P239" s="165">
        <v>19739</v>
      </c>
      <c r="Q239" s="34">
        <f>SUMIF(Allocation[Delivery ID],Allocation[[#This Row],[Delivery ID]],Allocation[Quantity Processed])</f>
        <v>269</v>
      </c>
      <c r="R239" s="61">
        <f>Allocation[[#This Row],[Total volume used]]/VLOOKUP(Allocation[[#This Row],[Delivery ID]],Delivery[[Delivery ID]:[Quantity delivered]],3,FALSE)</f>
        <v>8.7156557801969931E-3</v>
      </c>
      <c r="S239" s="34">
        <f>Allocation[[#This Row],[Quantity Processed]]/Allocation[[#This Row],[Dilution rate]]</f>
        <v>91.808873720136518</v>
      </c>
      <c r="T239" s="59">
        <f>SUMIF(Allocation[Delivery ID],Allocation[[#This Row],[Delivery ID]],Allocation[Quantity allocated])/SUMIF(Allocation[Delivery ID],Allocation[[#This Row],[Delivery ID]],Allocation[Volume available (kg)])</f>
        <v>2.2002230483271377</v>
      </c>
      <c r="U239" s="61">
        <f>Allocation[[#This Row],[Total volume used]]/VLOOKUP(Allocation[[#This Row],[Delivery ID]],Delivery[[Delivery ID]:[Quantity delivered]],3,FALSE)</f>
        <v>8.7156557801969931E-3</v>
      </c>
      <c r="V239" s="34" t="e">
        <f>VLOOKUP(Allocation[[#This Row],[SAP Contract number]],Shipments[[SAP Contract number]:[Contracted container weight]],2,FALSE)</f>
        <v>#N/A</v>
      </c>
      <c r="W239" s="34" t="e">
        <f>VLOOKUP(Allocation[[#This Row],[SAP Contract number]],Shipments[[SAP Contract number]:[AAA Premium USD]],24,FALSE)</f>
        <v>#N/A</v>
      </c>
      <c r="X239" s="34" t="e">
        <f>VLOOKUP(Allocation[[#This Row],[SAP Contract number]],Shipments[[SAP Contract number]:[RA Premium USD]],25,FALSE)</f>
        <v>#N/A</v>
      </c>
      <c r="Y239" s="38">
        <f>Allocation[[#This Row],[Quantity Processed]]/Allocation[[#This Row],[Quantity allocated]]</f>
        <v>1.3316831683168318</v>
      </c>
      <c r="Z239" s="34" t="b">
        <f>Allocation[[#This Row],[Quantity allocated]]&lt;=Allocation[[#This Row],[Quantity Processed]]</f>
        <v>1</v>
      </c>
    </row>
    <row r="240" spans="1:26">
      <c r="A240" s="247" t="s">
        <v>467</v>
      </c>
      <c r="B240" s="160" t="s">
        <v>68</v>
      </c>
      <c r="C240" s="249" t="s">
        <v>724</v>
      </c>
      <c r="D240" s="250">
        <v>1269</v>
      </c>
      <c r="E240" s="160" t="s">
        <v>1186</v>
      </c>
      <c r="F240" s="158">
        <v>43487</v>
      </c>
      <c r="G240" s="162">
        <v>2.93</v>
      </c>
      <c r="H240" s="250">
        <v>495</v>
      </c>
      <c r="I240" s="160">
        <v>1425073</v>
      </c>
      <c r="J240" s="163">
        <v>21600</v>
      </c>
      <c r="K240" s="158">
        <v>43494</v>
      </c>
      <c r="L240" s="160" t="s">
        <v>1196</v>
      </c>
      <c r="M240" s="160">
        <v>4615513976</v>
      </c>
      <c r="N240" s="158">
        <v>43516</v>
      </c>
      <c r="O240" s="164">
        <v>3.7094</v>
      </c>
      <c r="P240" s="165">
        <v>19739</v>
      </c>
      <c r="Q240" s="34">
        <f>SUMIF(Allocation[Delivery ID],Allocation[[#This Row],[Delivery ID]],Allocation[Quantity Processed])</f>
        <v>1269</v>
      </c>
      <c r="R240" s="61">
        <f>Allocation[[#This Row],[Total volume used]]/VLOOKUP(Allocation[[#This Row],[Delivery ID]],Delivery[[Delivery ID]:[Quantity delivered]],3,FALSE)</f>
        <v>4.2226104317444474E-2</v>
      </c>
      <c r="S240" s="34">
        <f>Allocation[[#This Row],[Quantity Processed]]/Allocation[[#This Row],[Dilution rate]]</f>
        <v>433.10580204778154</v>
      </c>
      <c r="T240" s="59">
        <f>SUMIF(Allocation[Delivery ID],Allocation[[#This Row],[Delivery ID]],Allocation[Quantity allocated])/SUMIF(Allocation[Delivery ID],Allocation[[#This Row],[Delivery ID]],Allocation[Volume available (kg)])</f>
        <v>1.1429078014184397</v>
      </c>
      <c r="U240" s="61">
        <f>Allocation[[#This Row],[Total volume used]]/VLOOKUP(Allocation[[#This Row],[Delivery ID]],Delivery[[Delivery ID]:[Quantity delivered]],3,FALSE)</f>
        <v>4.2226104317444474E-2</v>
      </c>
      <c r="V240" s="34" t="e">
        <f>VLOOKUP(Allocation[[#This Row],[SAP Contract number]],Shipments[[SAP Contract number]:[Contracted container weight]],2,FALSE)</f>
        <v>#N/A</v>
      </c>
      <c r="W240" s="34" t="e">
        <f>VLOOKUP(Allocation[[#This Row],[SAP Contract number]],Shipments[[SAP Contract number]:[AAA Premium USD]],24,FALSE)</f>
        <v>#N/A</v>
      </c>
      <c r="X240" s="34" t="e">
        <f>VLOOKUP(Allocation[[#This Row],[SAP Contract number]],Shipments[[SAP Contract number]:[RA Premium USD]],25,FALSE)</f>
        <v>#N/A</v>
      </c>
      <c r="Y240" s="38">
        <f>Allocation[[#This Row],[Quantity Processed]]/Allocation[[#This Row],[Quantity allocated]]</f>
        <v>2.5636363636363635</v>
      </c>
      <c r="Z240" s="34" t="b">
        <f>Allocation[[#This Row],[Quantity allocated]]&lt;=Allocation[[#This Row],[Quantity Processed]]</f>
        <v>1</v>
      </c>
    </row>
    <row r="241" spans="1:26">
      <c r="A241" s="247" t="s">
        <v>467</v>
      </c>
      <c r="B241" s="160" t="s">
        <v>68</v>
      </c>
      <c r="C241" s="249" t="s">
        <v>725</v>
      </c>
      <c r="D241" s="250">
        <v>1269</v>
      </c>
      <c r="E241" s="160" t="s">
        <v>1186</v>
      </c>
      <c r="F241" s="158">
        <v>43487</v>
      </c>
      <c r="G241" s="162">
        <v>2.93</v>
      </c>
      <c r="H241" s="250">
        <v>495</v>
      </c>
      <c r="I241" s="160">
        <v>1425073</v>
      </c>
      <c r="J241" s="163">
        <v>21600</v>
      </c>
      <c r="K241" s="158">
        <v>43494</v>
      </c>
      <c r="L241" s="160" t="s">
        <v>1196</v>
      </c>
      <c r="M241" s="160">
        <v>4615513976</v>
      </c>
      <c r="N241" s="158">
        <v>43516</v>
      </c>
      <c r="O241" s="164">
        <v>3.7094</v>
      </c>
      <c r="P241" s="165">
        <v>19739</v>
      </c>
      <c r="Q241" s="34">
        <f>SUMIF(Allocation[Delivery ID],Allocation[[#This Row],[Delivery ID]],Allocation[Quantity Processed])</f>
        <v>1269</v>
      </c>
      <c r="R241" s="61">
        <f>Allocation[[#This Row],[Total volume used]]/VLOOKUP(Allocation[[#This Row],[Delivery ID]],Delivery[[Delivery ID]:[Quantity delivered]],3,FALSE)</f>
        <v>4.2249300838993205E-2</v>
      </c>
      <c r="S241" s="34">
        <f>Allocation[[#This Row],[Quantity Processed]]/Allocation[[#This Row],[Dilution rate]]</f>
        <v>433.10580204778154</v>
      </c>
      <c r="T241" s="59">
        <f>SUMIF(Allocation[Delivery ID],Allocation[[#This Row],[Delivery ID]],Allocation[Quantity allocated])/SUMIF(Allocation[Delivery ID],Allocation[[#This Row],[Delivery ID]],Allocation[Volume available (kg)])</f>
        <v>1.1429078014184397</v>
      </c>
      <c r="U241" s="61">
        <f>Allocation[[#This Row],[Total volume used]]/VLOOKUP(Allocation[[#This Row],[Delivery ID]],Delivery[[Delivery ID]:[Quantity delivered]],3,FALSE)</f>
        <v>4.2249300838993205E-2</v>
      </c>
      <c r="V241" s="34" t="e">
        <f>VLOOKUP(Allocation[[#This Row],[SAP Contract number]],Shipments[[SAP Contract number]:[Contracted container weight]],2,FALSE)</f>
        <v>#N/A</v>
      </c>
      <c r="W241" s="34" t="e">
        <f>VLOOKUP(Allocation[[#This Row],[SAP Contract number]],Shipments[[SAP Contract number]:[AAA Premium USD]],24,FALSE)</f>
        <v>#N/A</v>
      </c>
      <c r="X241" s="34" t="e">
        <f>VLOOKUP(Allocation[[#This Row],[SAP Contract number]],Shipments[[SAP Contract number]:[RA Premium USD]],25,FALSE)</f>
        <v>#N/A</v>
      </c>
      <c r="Y241" s="38">
        <f>Allocation[[#This Row],[Quantity Processed]]/Allocation[[#This Row],[Quantity allocated]]</f>
        <v>2.5636363636363635</v>
      </c>
      <c r="Z241" s="34" t="b">
        <f>Allocation[[#This Row],[Quantity allocated]]&lt;=Allocation[[#This Row],[Quantity Processed]]</f>
        <v>1</v>
      </c>
    </row>
    <row r="242" spans="1:26">
      <c r="A242" s="247" t="s">
        <v>467</v>
      </c>
      <c r="B242" s="160" t="s">
        <v>68</v>
      </c>
      <c r="C242" s="249" t="s">
        <v>726</v>
      </c>
      <c r="D242" s="250">
        <v>595</v>
      </c>
      <c r="E242" s="160" t="s">
        <v>1186</v>
      </c>
      <c r="F242" s="158">
        <v>43487</v>
      </c>
      <c r="G242" s="162">
        <v>2.93</v>
      </c>
      <c r="H242" s="250">
        <v>446</v>
      </c>
      <c r="I242" s="160">
        <v>1425073</v>
      </c>
      <c r="J242" s="163">
        <v>21600</v>
      </c>
      <c r="K242" s="158">
        <v>43494</v>
      </c>
      <c r="L242" s="160" t="s">
        <v>1196</v>
      </c>
      <c r="M242" s="160">
        <v>4615513976</v>
      </c>
      <c r="N242" s="158">
        <v>43516</v>
      </c>
      <c r="O242" s="164">
        <v>3.7094</v>
      </c>
      <c r="P242" s="165">
        <v>19739</v>
      </c>
      <c r="Q242" s="34">
        <f>SUMIF(Allocation[Delivery ID],Allocation[[#This Row],[Delivery ID]],Allocation[Quantity Processed])</f>
        <v>595</v>
      </c>
      <c r="R242" s="61">
        <f>Allocation[[#This Row],[Total volume used]]/VLOOKUP(Allocation[[#This Row],[Delivery ID]],Delivery[[Delivery ID]:[Quantity delivered]],3,FALSE)</f>
        <v>1.5902287791319223E-2</v>
      </c>
      <c r="S242" s="34">
        <f>Allocation[[#This Row],[Quantity Processed]]/Allocation[[#This Row],[Dilution rate]]</f>
        <v>203.07167235494879</v>
      </c>
      <c r="T242" s="59">
        <f>SUMIF(Allocation[Delivery ID],Allocation[[#This Row],[Delivery ID]],Allocation[Quantity allocated])/SUMIF(Allocation[Delivery ID],Allocation[[#This Row],[Delivery ID]],Allocation[Volume available (kg)])</f>
        <v>2.1962689075630255</v>
      </c>
      <c r="U242" s="61">
        <f>Allocation[[#This Row],[Total volume used]]/VLOOKUP(Allocation[[#This Row],[Delivery ID]],Delivery[[Delivery ID]:[Quantity delivered]],3,FALSE)</f>
        <v>1.5902287791319223E-2</v>
      </c>
      <c r="V242" s="34" t="e">
        <f>VLOOKUP(Allocation[[#This Row],[SAP Contract number]],Shipments[[SAP Contract number]:[Contracted container weight]],2,FALSE)</f>
        <v>#N/A</v>
      </c>
      <c r="W242" s="34" t="e">
        <f>VLOOKUP(Allocation[[#This Row],[SAP Contract number]],Shipments[[SAP Contract number]:[AAA Premium USD]],24,FALSE)</f>
        <v>#N/A</v>
      </c>
      <c r="X242" s="34" t="e">
        <f>VLOOKUP(Allocation[[#This Row],[SAP Contract number]],Shipments[[SAP Contract number]:[RA Premium USD]],25,FALSE)</f>
        <v>#N/A</v>
      </c>
      <c r="Y242" s="38">
        <f>Allocation[[#This Row],[Quantity Processed]]/Allocation[[#This Row],[Quantity allocated]]</f>
        <v>1.3340807174887892</v>
      </c>
      <c r="Z242" s="34" t="b">
        <f>Allocation[[#This Row],[Quantity allocated]]&lt;=Allocation[[#This Row],[Quantity Processed]]</f>
        <v>1</v>
      </c>
    </row>
    <row r="243" spans="1:26">
      <c r="A243" s="247" t="s">
        <v>467</v>
      </c>
      <c r="B243" s="160" t="s">
        <v>68</v>
      </c>
      <c r="C243" s="249" t="s">
        <v>727</v>
      </c>
      <c r="D243" s="250">
        <v>596</v>
      </c>
      <c r="E243" s="160" t="s">
        <v>1186</v>
      </c>
      <c r="F243" s="158">
        <v>43487</v>
      </c>
      <c r="G243" s="162">
        <v>2.93</v>
      </c>
      <c r="H243" s="250">
        <v>447</v>
      </c>
      <c r="I243" s="160">
        <v>1425073</v>
      </c>
      <c r="J243" s="163">
        <v>21600</v>
      </c>
      <c r="K243" s="158">
        <v>43494</v>
      </c>
      <c r="L243" s="160" t="s">
        <v>1196</v>
      </c>
      <c r="M243" s="160">
        <v>4615513976</v>
      </c>
      <c r="N243" s="158">
        <v>43516</v>
      </c>
      <c r="O243" s="164">
        <v>3.7094</v>
      </c>
      <c r="P243" s="165">
        <v>19739</v>
      </c>
      <c r="Q243" s="34">
        <f>SUMIF(Allocation[Delivery ID],Allocation[[#This Row],[Delivery ID]],Allocation[Quantity Processed])</f>
        <v>596</v>
      </c>
      <c r="R243" s="61">
        <f>Allocation[[#This Row],[Total volume used]]/VLOOKUP(Allocation[[#This Row],[Delivery ID]],Delivery[[Delivery ID]:[Quantity delivered]],3,FALSE)</f>
        <v>1.5836322572073867E-2</v>
      </c>
      <c r="S243" s="34">
        <f>Allocation[[#This Row],[Quantity Processed]]/Allocation[[#This Row],[Dilution rate]]</f>
        <v>203.41296928327645</v>
      </c>
      <c r="T243" s="59">
        <f>SUMIF(Allocation[Delivery ID],Allocation[[#This Row],[Delivery ID]],Allocation[Quantity allocated])/SUMIF(Allocation[Delivery ID],Allocation[[#This Row],[Delivery ID]],Allocation[Volume available (kg)])</f>
        <v>2.1974999999999998</v>
      </c>
      <c r="U243" s="61">
        <f>Allocation[[#This Row],[Total volume used]]/VLOOKUP(Allocation[[#This Row],[Delivery ID]],Delivery[[Delivery ID]:[Quantity delivered]],3,FALSE)</f>
        <v>1.5836322572073867E-2</v>
      </c>
      <c r="V243" s="34" t="e">
        <f>VLOOKUP(Allocation[[#This Row],[SAP Contract number]],Shipments[[SAP Contract number]:[Contracted container weight]],2,FALSE)</f>
        <v>#N/A</v>
      </c>
      <c r="W243" s="34" t="e">
        <f>VLOOKUP(Allocation[[#This Row],[SAP Contract number]],Shipments[[SAP Contract number]:[AAA Premium USD]],24,FALSE)</f>
        <v>#N/A</v>
      </c>
      <c r="X243" s="34" t="e">
        <f>VLOOKUP(Allocation[[#This Row],[SAP Contract number]],Shipments[[SAP Contract number]:[RA Premium USD]],25,FALSE)</f>
        <v>#N/A</v>
      </c>
      <c r="Y243" s="38">
        <f>Allocation[[#This Row],[Quantity Processed]]/Allocation[[#This Row],[Quantity allocated]]</f>
        <v>1.3333333333333333</v>
      </c>
      <c r="Z243" s="34" t="b">
        <f>Allocation[[#This Row],[Quantity allocated]]&lt;=Allocation[[#This Row],[Quantity Processed]]</f>
        <v>1</v>
      </c>
    </row>
    <row r="244" spans="1:26">
      <c r="A244" s="247" t="s">
        <v>467</v>
      </c>
      <c r="B244" s="160" t="s">
        <v>68</v>
      </c>
      <c r="C244" s="249" t="s">
        <v>728</v>
      </c>
      <c r="D244" s="250">
        <v>1144</v>
      </c>
      <c r="E244" s="160" t="s">
        <v>1186</v>
      </c>
      <c r="F244" s="158">
        <v>43487</v>
      </c>
      <c r="G244" s="162">
        <v>2.93</v>
      </c>
      <c r="H244" s="250">
        <v>446</v>
      </c>
      <c r="I244" s="160">
        <v>1425073</v>
      </c>
      <c r="J244" s="163">
        <v>21600</v>
      </c>
      <c r="K244" s="158">
        <v>43494</v>
      </c>
      <c r="L244" s="160" t="s">
        <v>1196</v>
      </c>
      <c r="M244" s="160">
        <v>4615513976</v>
      </c>
      <c r="N244" s="158">
        <v>43516</v>
      </c>
      <c r="O244" s="164">
        <v>3.7094</v>
      </c>
      <c r="P244" s="165">
        <v>19739</v>
      </c>
      <c r="Q244" s="34">
        <f>SUMIF(Allocation[Delivery ID],Allocation[[#This Row],[Delivery ID]],Allocation[Quantity Processed])</f>
        <v>1144</v>
      </c>
      <c r="R244" s="61">
        <f>Allocation[[#This Row],[Total volume used]]/VLOOKUP(Allocation[[#This Row],[Delivery ID]],Delivery[[Delivery ID]:[Quantity delivered]],3,FALSE)</f>
        <v>4.2393922549564575E-2</v>
      </c>
      <c r="S244" s="34">
        <f>Allocation[[#This Row],[Quantity Processed]]/Allocation[[#This Row],[Dilution rate]]</f>
        <v>390.44368600682594</v>
      </c>
      <c r="T244" s="59">
        <f>SUMIF(Allocation[Delivery ID],Allocation[[#This Row],[Delivery ID]],Allocation[Quantity allocated])/SUMIF(Allocation[Delivery ID],Allocation[[#This Row],[Delivery ID]],Allocation[Volume available (kg)])</f>
        <v>1.1422902097902097</v>
      </c>
      <c r="U244" s="61">
        <f>Allocation[[#This Row],[Total volume used]]/VLOOKUP(Allocation[[#This Row],[Delivery ID]],Delivery[[Delivery ID]:[Quantity delivered]],3,FALSE)</f>
        <v>4.2393922549564575E-2</v>
      </c>
      <c r="V244" s="34" t="e">
        <f>VLOOKUP(Allocation[[#This Row],[SAP Contract number]],Shipments[[SAP Contract number]:[Contracted container weight]],2,FALSE)</f>
        <v>#N/A</v>
      </c>
      <c r="W244" s="34" t="e">
        <f>VLOOKUP(Allocation[[#This Row],[SAP Contract number]],Shipments[[SAP Contract number]:[AAA Premium USD]],24,FALSE)</f>
        <v>#N/A</v>
      </c>
      <c r="X244" s="34" t="e">
        <f>VLOOKUP(Allocation[[#This Row],[SAP Contract number]],Shipments[[SAP Contract number]:[RA Premium USD]],25,FALSE)</f>
        <v>#N/A</v>
      </c>
      <c r="Y244" s="38">
        <f>Allocation[[#This Row],[Quantity Processed]]/Allocation[[#This Row],[Quantity allocated]]</f>
        <v>2.5650224215246635</v>
      </c>
      <c r="Z244" s="34" t="b">
        <f>Allocation[[#This Row],[Quantity allocated]]&lt;=Allocation[[#This Row],[Quantity Processed]]</f>
        <v>1</v>
      </c>
    </row>
    <row r="245" spans="1:26">
      <c r="A245" s="247" t="s">
        <v>467</v>
      </c>
      <c r="B245" s="160" t="s">
        <v>68</v>
      </c>
      <c r="C245" s="249" t="s">
        <v>729</v>
      </c>
      <c r="D245" s="250">
        <v>1205</v>
      </c>
      <c r="E245" s="160" t="s">
        <v>1186</v>
      </c>
      <c r="F245" s="158">
        <v>43487</v>
      </c>
      <c r="G245" s="162">
        <v>2.93</v>
      </c>
      <c r="H245" s="250">
        <v>470</v>
      </c>
      <c r="I245" s="160">
        <v>1425073</v>
      </c>
      <c r="J245" s="163">
        <v>21600</v>
      </c>
      <c r="K245" s="158">
        <v>43494</v>
      </c>
      <c r="L245" s="160" t="s">
        <v>1196</v>
      </c>
      <c r="M245" s="160">
        <v>4615513976</v>
      </c>
      <c r="N245" s="158">
        <v>43516</v>
      </c>
      <c r="O245" s="164">
        <v>3.7094</v>
      </c>
      <c r="P245" s="165">
        <v>19739</v>
      </c>
      <c r="Q245" s="34">
        <f>SUMIF(Allocation[Delivery ID],Allocation[[#This Row],[Delivery ID]],Allocation[Quantity Processed])</f>
        <v>1205</v>
      </c>
      <c r="R245" s="61">
        <f>Allocation[[#This Row],[Total volume used]]/VLOOKUP(Allocation[[#This Row],[Delivery ID]],Delivery[[Delivery ID]:[Quantity delivered]],3,FALSE)</f>
        <v>4.016666666666667E-2</v>
      </c>
      <c r="S245" s="34">
        <f>Allocation[[#This Row],[Quantity Processed]]/Allocation[[#This Row],[Dilution rate]]</f>
        <v>411.26279863481227</v>
      </c>
      <c r="T245" s="59">
        <f>SUMIF(Allocation[Delivery ID],Allocation[[#This Row],[Delivery ID]],Allocation[Quantity allocated])/SUMIF(Allocation[Delivery ID],Allocation[[#This Row],[Delivery ID]],Allocation[Volume available (kg)])</f>
        <v>1.1428215767634855</v>
      </c>
      <c r="U245" s="61">
        <f>Allocation[[#This Row],[Total volume used]]/VLOOKUP(Allocation[[#This Row],[Delivery ID]],Delivery[[Delivery ID]:[Quantity delivered]],3,FALSE)</f>
        <v>4.016666666666667E-2</v>
      </c>
      <c r="V245" s="34" t="e">
        <f>VLOOKUP(Allocation[[#This Row],[SAP Contract number]],Shipments[[SAP Contract number]:[Contracted container weight]],2,FALSE)</f>
        <v>#N/A</v>
      </c>
      <c r="W245" s="34" t="e">
        <f>VLOOKUP(Allocation[[#This Row],[SAP Contract number]],Shipments[[SAP Contract number]:[AAA Premium USD]],24,FALSE)</f>
        <v>#N/A</v>
      </c>
      <c r="X245" s="34" t="e">
        <f>VLOOKUP(Allocation[[#This Row],[SAP Contract number]],Shipments[[SAP Contract number]:[RA Premium USD]],25,FALSE)</f>
        <v>#N/A</v>
      </c>
      <c r="Y245" s="38">
        <f>Allocation[[#This Row],[Quantity Processed]]/Allocation[[#This Row],[Quantity allocated]]</f>
        <v>2.5638297872340425</v>
      </c>
      <c r="Z245" s="34" t="b">
        <f>Allocation[[#This Row],[Quantity allocated]]&lt;=Allocation[[#This Row],[Quantity Processed]]</f>
        <v>1</v>
      </c>
    </row>
    <row r="246" spans="1:26">
      <c r="A246" s="247" t="s">
        <v>467</v>
      </c>
      <c r="B246" s="160" t="s">
        <v>68</v>
      </c>
      <c r="C246" s="249" t="s">
        <v>730</v>
      </c>
      <c r="D246" s="250">
        <v>790</v>
      </c>
      <c r="E246" s="160" t="s">
        <v>1186</v>
      </c>
      <c r="F246" s="158">
        <v>43487</v>
      </c>
      <c r="G246" s="162">
        <v>2.93</v>
      </c>
      <c r="H246" s="250">
        <v>308</v>
      </c>
      <c r="I246" s="160">
        <v>1425073</v>
      </c>
      <c r="J246" s="163">
        <v>21600</v>
      </c>
      <c r="K246" s="158">
        <v>43494</v>
      </c>
      <c r="L246" s="160" t="s">
        <v>1196</v>
      </c>
      <c r="M246" s="160">
        <v>4615513976</v>
      </c>
      <c r="N246" s="158">
        <v>43516</v>
      </c>
      <c r="O246" s="164">
        <v>3.7094</v>
      </c>
      <c r="P246" s="165">
        <v>19739</v>
      </c>
      <c r="Q246" s="34">
        <f>SUMIF(Allocation[Delivery ID],Allocation[[#This Row],[Delivery ID]],Allocation[Quantity Processed])</f>
        <v>790</v>
      </c>
      <c r="R246" s="61">
        <f>Allocation[[#This Row],[Total volume used]]/VLOOKUP(Allocation[[#This Row],[Delivery ID]],Delivery[[Delivery ID]:[Quantity delivered]],3,FALSE)</f>
        <v>4.2334280049300684E-2</v>
      </c>
      <c r="S246" s="34">
        <f>Allocation[[#This Row],[Quantity Processed]]/Allocation[[#This Row],[Dilution rate]]</f>
        <v>269.62457337883956</v>
      </c>
      <c r="T246" s="59">
        <f>SUMIF(Allocation[Delivery ID],Allocation[[#This Row],[Delivery ID]],Allocation[Quantity allocated])/SUMIF(Allocation[Delivery ID],Allocation[[#This Row],[Delivery ID]],Allocation[Volume available (kg)])</f>
        <v>1.1423291139240508</v>
      </c>
      <c r="U246" s="61">
        <f>Allocation[[#This Row],[Total volume used]]/VLOOKUP(Allocation[[#This Row],[Delivery ID]],Delivery[[Delivery ID]:[Quantity delivered]],3,FALSE)</f>
        <v>4.2334280049300684E-2</v>
      </c>
      <c r="V246" s="34" t="e">
        <f>VLOOKUP(Allocation[[#This Row],[SAP Contract number]],Shipments[[SAP Contract number]:[Contracted container weight]],2,FALSE)</f>
        <v>#N/A</v>
      </c>
      <c r="W246" s="34" t="e">
        <f>VLOOKUP(Allocation[[#This Row],[SAP Contract number]],Shipments[[SAP Contract number]:[AAA Premium USD]],24,FALSE)</f>
        <v>#N/A</v>
      </c>
      <c r="X246" s="34" t="e">
        <f>VLOOKUP(Allocation[[#This Row],[SAP Contract number]],Shipments[[SAP Contract number]:[RA Premium USD]],25,FALSE)</f>
        <v>#N/A</v>
      </c>
      <c r="Y246" s="38">
        <f>Allocation[[#This Row],[Quantity Processed]]/Allocation[[#This Row],[Quantity allocated]]</f>
        <v>2.5649350649350651</v>
      </c>
      <c r="Z246" s="34" t="b">
        <f>Allocation[[#This Row],[Quantity allocated]]&lt;=Allocation[[#This Row],[Quantity Processed]]</f>
        <v>1</v>
      </c>
    </row>
    <row r="247" spans="1:26">
      <c r="A247" s="247" t="s">
        <v>467</v>
      </c>
      <c r="B247" s="160" t="s">
        <v>68</v>
      </c>
      <c r="C247" s="249" t="s">
        <v>731</v>
      </c>
      <c r="D247" s="250">
        <v>479</v>
      </c>
      <c r="E247" s="160" t="s">
        <v>1186</v>
      </c>
      <c r="F247" s="158">
        <v>43487</v>
      </c>
      <c r="G247" s="162">
        <v>2.93</v>
      </c>
      <c r="H247" s="250">
        <v>187</v>
      </c>
      <c r="I247" s="160">
        <v>1425073</v>
      </c>
      <c r="J247" s="163">
        <v>21600</v>
      </c>
      <c r="K247" s="158">
        <v>43494</v>
      </c>
      <c r="L247" s="160" t="s">
        <v>1196</v>
      </c>
      <c r="M247" s="160">
        <v>4615513976</v>
      </c>
      <c r="N247" s="158">
        <v>43516</v>
      </c>
      <c r="O247" s="164">
        <v>3.7094</v>
      </c>
      <c r="P247" s="165">
        <v>19739</v>
      </c>
      <c r="Q247" s="34">
        <f>SUMIF(Allocation[Delivery ID],Allocation[[#This Row],[Delivery ID]],Allocation[Quantity Processed])</f>
        <v>480</v>
      </c>
      <c r="R247" s="61">
        <f>Allocation[[#This Row],[Total volume used]]/VLOOKUP(Allocation[[#This Row],[Delivery ID]],Delivery[[Delivery ID]:[Quantity delivered]],3,FALSE)</f>
        <v>4.2344845838295619E-2</v>
      </c>
      <c r="S247" s="34">
        <f>Allocation[[#This Row],[Quantity Processed]]/Allocation[[#This Row],[Dilution rate]]</f>
        <v>163.48122866894198</v>
      </c>
      <c r="T247" s="59">
        <f>SUMIF(Allocation[Delivery ID],Allocation[[#This Row],[Delivery ID]],Allocation[Quantity allocated])/SUMIF(Allocation[Delivery ID],Allocation[[#This Row],[Delivery ID]],Allocation[Volume available (kg)])</f>
        <v>1.1430839365893888</v>
      </c>
      <c r="U247" s="61">
        <f>Allocation[[#This Row],[Total volume used]]/VLOOKUP(Allocation[[#This Row],[Delivery ID]],Delivery[[Delivery ID]:[Quantity delivered]],3,FALSE)</f>
        <v>4.2344845838295619E-2</v>
      </c>
      <c r="V247" s="34" t="e">
        <f>VLOOKUP(Allocation[[#This Row],[SAP Contract number]],Shipments[[SAP Contract number]:[Contracted container weight]],2,FALSE)</f>
        <v>#N/A</v>
      </c>
      <c r="W247" s="34" t="e">
        <f>VLOOKUP(Allocation[[#This Row],[SAP Contract number]],Shipments[[SAP Contract number]:[AAA Premium USD]],24,FALSE)</f>
        <v>#N/A</v>
      </c>
      <c r="X247" s="34" t="e">
        <f>VLOOKUP(Allocation[[#This Row],[SAP Contract number]],Shipments[[SAP Contract number]:[RA Premium USD]],25,FALSE)</f>
        <v>#N/A</v>
      </c>
      <c r="Y247" s="38">
        <f>Allocation[[#This Row],[Quantity Processed]]/Allocation[[#This Row],[Quantity allocated]]</f>
        <v>2.5614973262032086</v>
      </c>
      <c r="Z247" s="34" t="b">
        <f>Allocation[[#This Row],[Quantity allocated]]&lt;=Allocation[[#This Row],[Quantity Processed]]</f>
        <v>1</v>
      </c>
    </row>
    <row r="248" spans="1:26">
      <c r="A248" s="247" t="s">
        <v>467</v>
      </c>
      <c r="B248" s="160" t="s">
        <v>68</v>
      </c>
      <c r="C248" s="249" t="s">
        <v>732</v>
      </c>
      <c r="D248" s="250">
        <v>1269</v>
      </c>
      <c r="E248" s="160" t="s">
        <v>1186</v>
      </c>
      <c r="F248" s="158">
        <v>43487</v>
      </c>
      <c r="G248" s="162">
        <v>2.93</v>
      </c>
      <c r="H248" s="250">
        <v>495</v>
      </c>
      <c r="I248" s="160">
        <v>1425073</v>
      </c>
      <c r="J248" s="163">
        <v>21600</v>
      </c>
      <c r="K248" s="158">
        <v>43494</v>
      </c>
      <c r="L248" s="160" t="s">
        <v>1196</v>
      </c>
      <c r="M248" s="160">
        <v>4615513976</v>
      </c>
      <c r="N248" s="158">
        <v>43516</v>
      </c>
      <c r="O248" s="164">
        <v>3.7094</v>
      </c>
      <c r="P248" s="165">
        <v>19739</v>
      </c>
      <c r="Q248" s="34">
        <f>SUMIF(Allocation[Delivery ID],Allocation[[#This Row],[Delivery ID]],Allocation[Quantity Processed])</f>
        <v>1269</v>
      </c>
      <c r="R248" s="61">
        <f>Allocation[[#This Row],[Total volume used]]/VLOOKUP(Allocation[[#This Row],[Delivery ID]],Delivery[[Delivery ID]:[Quantity delivered]],3,FALSE)</f>
        <v>4.2299999999999997E-2</v>
      </c>
      <c r="S248" s="34">
        <f>Allocation[[#This Row],[Quantity Processed]]/Allocation[[#This Row],[Dilution rate]]</f>
        <v>433.10580204778154</v>
      </c>
      <c r="T248" s="59">
        <f>SUMIF(Allocation[Delivery ID],Allocation[[#This Row],[Delivery ID]],Allocation[Quantity allocated])/SUMIF(Allocation[Delivery ID],Allocation[[#This Row],[Delivery ID]],Allocation[Volume available (kg)])</f>
        <v>1.1429078014184397</v>
      </c>
      <c r="U248" s="61">
        <f>Allocation[[#This Row],[Total volume used]]/VLOOKUP(Allocation[[#This Row],[Delivery ID]],Delivery[[Delivery ID]:[Quantity delivered]],3,FALSE)</f>
        <v>4.2299999999999997E-2</v>
      </c>
      <c r="V248" s="34" t="e">
        <f>VLOOKUP(Allocation[[#This Row],[SAP Contract number]],Shipments[[SAP Contract number]:[Contracted container weight]],2,FALSE)</f>
        <v>#N/A</v>
      </c>
      <c r="W248" s="34" t="e">
        <f>VLOOKUP(Allocation[[#This Row],[SAP Contract number]],Shipments[[SAP Contract number]:[AAA Premium USD]],24,FALSE)</f>
        <v>#N/A</v>
      </c>
      <c r="X248" s="34" t="e">
        <f>VLOOKUP(Allocation[[#This Row],[SAP Contract number]],Shipments[[SAP Contract number]:[RA Premium USD]],25,FALSE)</f>
        <v>#N/A</v>
      </c>
      <c r="Y248" s="38">
        <f>Allocation[[#This Row],[Quantity Processed]]/Allocation[[#This Row],[Quantity allocated]]</f>
        <v>2.5636363636363635</v>
      </c>
      <c r="Z248" s="34" t="b">
        <f>Allocation[[#This Row],[Quantity allocated]]&lt;=Allocation[[#This Row],[Quantity Processed]]</f>
        <v>1</v>
      </c>
    </row>
    <row r="249" spans="1:26">
      <c r="A249" s="247" t="s">
        <v>467</v>
      </c>
      <c r="B249" s="160" t="s">
        <v>68</v>
      </c>
      <c r="C249" s="249" t="s">
        <v>733</v>
      </c>
      <c r="D249" s="250">
        <v>204</v>
      </c>
      <c r="E249" s="160" t="s">
        <v>1186</v>
      </c>
      <c r="F249" s="158">
        <v>43487</v>
      </c>
      <c r="G249" s="162">
        <v>2.93</v>
      </c>
      <c r="H249" s="250">
        <v>153</v>
      </c>
      <c r="I249" s="160">
        <v>1425073</v>
      </c>
      <c r="J249" s="163">
        <v>21600</v>
      </c>
      <c r="K249" s="158">
        <v>43494</v>
      </c>
      <c r="L249" s="160" t="s">
        <v>1196</v>
      </c>
      <c r="M249" s="160">
        <v>4615513976</v>
      </c>
      <c r="N249" s="158">
        <v>43516</v>
      </c>
      <c r="O249" s="164">
        <v>3.7094</v>
      </c>
      <c r="P249" s="165">
        <v>19739</v>
      </c>
      <c r="Q249" s="34">
        <f>SUMIF(Allocation[Delivery ID],Allocation[[#This Row],[Delivery ID]],Allocation[Quantity Processed])</f>
        <v>204</v>
      </c>
      <c r="R249" s="61">
        <f>Allocation[[#This Row],[Total volume used]]/VLOOKUP(Allocation[[#This Row],[Delivery ID]],Delivery[[Delivery ID]:[Quantity delivered]],3,FALSE)</f>
        <v>8.6915768395040682E-3</v>
      </c>
      <c r="S249" s="34">
        <f>Allocation[[#This Row],[Quantity Processed]]/Allocation[[#This Row],[Dilution rate]]</f>
        <v>69.624573378839585</v>
      </c>
      <c r="T249" s="59">
        <f>SUMIF(Allocation[Delivery ID],Allocation[[#This Row],[Delivery ID]],Allocation[Quantity allocated])/SUMIF(Allocation[Delivery ID],Allocation[[#This Row],[Delivery ID]],Allocation[Volume available (kg)])</f>
        <v>2.1975000000000002</v>
      </c>
      <c r="U249" s="61">
        <f>Allocation[[#This Row],[Total volume used]]/VLOOKUP(Allocation[[#This Row],[Delivery ID]],Delivery[[Delivery ID]:[Quantity delivered]],3,FALSE)</f>
        <v>8.6915768395040682E-3</v>
      </c>
      <c r="V249" s="34" t="e">
        <f>VLOOKUP(Allocation[[#This Row],[SAP Contract number]],Shipments[[SAP Contract number]:[Contracted container weight]],2,FALSE)</f>
        <v>#N/A</v>
      </c>
      <c r="W249" s="34" t="e">
        <f>VLOOKUP(Allocation[[#This Row],[SAP Contract number]],Shipments[[SAP Contract number]:[AAA Premium USD]],24,FALSE)</f>
        <v>#N/A</v>
      </c>
      <c r="X249" s="34" t="e">
        <f>VLOOKUP(Allocation[[#This Row],[SAP Contract number]],Shipments[[SAP Contract number]:[RA Premium USD]],25,FALSE)</f>
        <v>#N/A</v>
      </c>
      <c r="Y249" s="38">
        <f>Allocation[[#This Row],[Quantity Processed]]/Allocation[[#This Row],[Quantity allocated]]</f>
        <v>1.3333333333333333</v>
      </c>
      <c r="Z249" s="34" t="b">
        <f>Allocation[[#This Row],[Quantity allocated]]&lt;=Allocation[[#This Row],[Quantity Processed]]</f>
        <v>1</v>
      </c>
    </row>
    <row r="250" spans="1:26">
      <c r="A250" s="247" t="s">
        <v>467</v>
      </c>
      <c r="B250" s="160" t="s">
        <v>68</v>
      </c>
      <c r="C250" s="249" t="s">
        <v>734</v>
      </c>
      <c r="D250" s="250">
        <v>272</v>
      </c>
      <c r="E250" s="160" t="s">
        <v>1186</v>
      </c>
      <c r="F250" s="158">
        <v>43487</v>
      </c>
      <c r="G250" s="162">
        <v>2.93</v>
      </c>
      <c r="H250" s="250">
        <v>204</v>
      </c>
      <c r="I250" s="160">
        <v>1425073</v>
      </c>
      <c r="J250" s="163">
        <v>21600</v>
      </c>
      <c r="K250" s="158">
        <v>43494</v>
      </c>
      <c r="L250" s="160" t="s">
        <v>1196</v>
      </c>
      <c r="M250" s="160">
        <v>4615513976</v>
      </c>
      <c r="N250" s="158">
        <v>43516</v>
      </c>
      <c r="O250" s="164">
        <v>3.7094</v>
      </c>
      <c r="P250" s="165">
        <v>19739</v>
      </c>
      <c r="Q250" s="34">
        <f>SUMIF(Allocation[Delivery ID],Allocation[[#This Row],[Delivery ID]],Allocation[Quantity Processed])</f>
        <v>272</v>
      </c>
      <c r="R250" s="61">
        <f>Allocation[[#This Row],[Total volume used]]/VLOOKUP(Allocation[[#This Row],[Delivery ID]],Delivery[[Delivery ID]:[Quantity delivered]],3,FALSE)</f>
        <v>8.7033037357011431E-3</v>
      </c>
      <c r="S250" s="34">
        <f>Allocation[[#This Row],[Quantity Processed]]/Allocation[[#This Row],[Dilution rate]]</f>
        <v>92.832764505119442</v>
      </c>
      <c r="T250" s="59">
        <f>SUMIF(Allocation[Delivery ID],Allocation[[#This Row],[Delivery ID]],Allocation[Quantity allocated])/SUMIF(Allocation[Delivery ID],Allocation[[#This Row],[Delivery ID]],Allocation[Volume available (kg)])</f>
        <v>2.1975000000000002</v>
      </c>
      <c r="U250" s="61">
        <f>Allocation[[#This Row],[Total volume used]]/VLOOKUP(Allocation[[#This Row],[Delivery ID]],Delivery[[Delivery ID]:[Quantity delivered]],3,FALSE)</f>
        <v>8.7033037357011431E-3</v>
      </c>
      <c r="V250" s="34" t="e">
        <f>VLOOKUP(Allocation[[#This Row],[SAP Contract number]],Shipments[[SAP Contract number]:[Contracted container weight]],2,FALSE)</f>
        <v>#N/A</v>
      </c>
      <c r="W250" s="34" t="e">
        <f>VLOOKUP(Allocation[[#This Row],[SAP Contract number]],Shipments[[SAP Contract number]:[AAA Premium USD]],24,FALSE)</f>
        <v>#N/A</v>
      </c>
      <c r="X250" s="34" t="e">
        <f>VLOOKUP(Allocation[[#This Row],[SAP Contract number]],Shipments[[SAP Contract number]:[RA Premium USD]],25,FALSE)</f>
        <v>#N/A</v>
      </c>
      <c r="Y250" s="38">
        <f>Allocation[[#This Row],[Quantity Processed]]/Allocation[[#This Row],[Quantity allocated]]</f>
        <v>1.3333333333333333</v>
      </c>
      <c r="Z250" s="34" t="b">
        <f>Allocation[[#This Row],[Quantity allocated]]&lt;=Allocation[[#This Row],[Quantity Processed]]</f>
        <v>1</v>
      </c>
    </row>
    <row r="251" spans="1:26">
      <c r="A251" s="247" t="s">
        <v>467</v>
      </c>
      <c r="B251" s="160" t="s">
        <v>68</v>
      </c>
      <c r="C251" s="249" t="s">
        <v>735</v>
      </c>
      <c r="D251" s="250">
        <v>397</v>
      </c>
      <c r="E251" s="160" t="s">
        <v>1186</v>
      </c>
      <c r="F251" s="158">
        <v>43487</v>
      </c>
      <c r="G251" s="162">
        <v>2.93</v>
      </c>
      <c r="H251" s="250">
        <v>119</v>
      </c>
      <c r="I251" s="160">
        <v>1425073</v>
      </c>
      <c r="J251" s="163">
        <v>21600</v>
      </c>
      <c r="K251" s="158">
        <v>43494</v>
      </c>
      <c r="L251" s="160" t="s">
        <v>1196</v>
      </c>
      <c r="M251" s="160">
        <v>4615513976</v>
      </c>
      <c r="N251" s="158">
        <v>43516</v>
      </c>
      <c r="O251" s="164">
        <v>3.7094</v>
      </c>
      <c r="P251" s="165">
        <v>19739</v>
      </c>
      <c r="Q251" s="34">
        <f>SUMIF(Allocation[Delivery ID],Allocation[[#This Row],[Delivery ID]],Allocation[Quantity Processed])</f>
        <v>397</v>
      </c>
      <c r="R251" s="61">
        <f>Allocation[[#This Row],[Total volume used]]/VLOOKUP(Allocation[[#This Row],[Delivery ID]],Delivery[[Delivery ID]:[Quantity delivered]],3,FALSE)</f>
        <v>0.12129544760158875</v>
      </c>
      <c r="S251" s="34">
        <f>Allocation[[#This Row],[Quantity Processed]]/Allocation[[#This Row],[Dilution rate]]</f>
        <v>135.49488054607508</v>
      </c>
      <c r="T251" s="59">
        <f>SUMIF(Allocation[Delivery ID],Allocation[[#This Row],[Delivery ID]],Allocation[Quantity allocated])/SUMIF(Allocation[Delivery ID],Allocation[[#This Row],[Delivery ID]],Allocation[Volume available (kg)])</f>
        <v>0.87826196473551643</v>
      </c>
      <c r="U251" s="61">
        <f>Allocation[[#This Row],[Total volume used]]/VLOOKUP(Allocation[[#This Row],[Delivery ID]],Delivery[[Delivery ID]:[Quantity delivered]],3,FALSE)</f>
        <v>0.12129544760158875</v>
      </c>
      <c r="V251" s="34" t="e">
        <f>VLOOKUP(Allocation[[#This Row],[SAP Contract number]],Shipments[[SAP Contract number]:[Contracted container weight]],2,FALSE)</f>
        <v>#N/A</v>
      </c>
      <c r="W251" s="34" t="e">
        <f>VLOOKUP(Allocation[[#This Row],[SAP Contract number]],Shipments[[SAP Contract number]:[AAA Premium USD]],24,FALSE)</f>
        <v>#N/A</v>
      </c>
      <c r="X251" s="34" t="e">
        <f>VLOOKUP(Allocation[[#This Row],[SAP Contract number]],Shipments[[SAP Contract number]:[RA Premium USD]],25,FALSE)</f>
        <v>#N/A</v>
      </c>
      <c r="Y251" s="38">
        <f>Allocation[[#This Row],[Quantity Processed]]/Allocation[[#This Row],[Quantity allocated]]</f>
        <v>3.3361344537815127</v>
      </c>
      <c r="Z251" s="34" t="b">
        <f>Allocation[[#This Row],[Quantity allocated]]&lt;=Allocation[[#This Row],[Quantity Processed]]</f>
        <v>1</v>
      </c>
    </row>
    <row r="252" spans="1:26">
      <c r="A252" s="247" t="s">
        <v>467</v>
      </c>
      <c r="B252" s="160" t="s">
        <v>68</v>
      </c>
      <c r="C252" s="249" t="s">
        <v>739</v>
      </c>
      <c r="D252" s="250">
        <v>1500</v>
      </c>
      <c r="E252" s="160" t="s">
        <v>1186</v>
      </c>
      <c r="F252" s="158">
        <v>43487</v>
      </c>
      <c r="G252" s="162">
        <v>2.93</v>
      </c>
      <c r="H252" s="250">
        <v>495</v>
      </c>
      <c r="I252" s="160">
        <v>1425073</v>
      </c>
      <c r="J252" s="163">
        <v>21600</v>
      </c>
      <c r="K252" s="158">
        <v>43494</v>
      </c>
      <c r="L252" s="160" t="s">
        <v>1196</v>
      </c>
      <c r="M252" s="160">
        <v>4615513976</v>
      </c>
      <c r="N252" s="158">
        <v>43516</v>
      </c>
      <c r="O252" s="164">
        <v>3.7094</v>
      </c>
      <c r="P252" s="165">
        <v>19739</v>
      </c>
      <c r="Q252" s="34">
        <f>SUMIF(Allocation[Delivery ID],Allocation[[#This Row],[Delivery ID]],Allocation[Quantity Processed])</f>
        <v>1500</v>
      </c>
      <c r="R252" s="61">
        <f>Allocation[[#This Row],[Total volume used]]/VLOOKUP(Allocation[[#This Row],[Delivery ID]],Delivery[[Delivery ID]:[Quantity delivered]],3,FALSE)</f>
        <v>5.0073441046868741E-2</v>
      </c>
      <c r="S252" s="34">
        <f>Allocation[[#This Row],[Quantity Processed]]/Allocation[[#This Row],[Dilution rate]]</f>
        <v>511.94539249146754</v>
      </c>
      <c r="T252" s="59">
        <f>SUMIF(Allocation[Delivery ID],Allocation[[#This Row],[Delivery ID]],Allocation[Quantity allocated])/SUMIF(Allocation[Delivery ID],Allocation[[#This Row],[Delivery ID]],Allocation[Volume available (kg)])</f>
        <v>0.96690000000000009</v>
      </c>
      <c r="U252" s="61">
        <f>Allocation[[#This Row],[Total volume used]]/VLOOKUP(Allocation[[#This Row],[Delivery ID]],Delivery[[Delivery ID]:[Quantity delivered]],3,FALSE)</f>
        <v>5.0073441046868741E-2</v>
      </c>
      <c r="V252" s="34" t="e">
        <f>VLOOKUP(Allocation[[#This Row],[SAP Contract number]],Shipments[[SAP Contract number]:[Contracted container weight]],2,FALSE)</f>
        <v>#N/A</v>
      </c>
      <c r="W252" s="34" t="e">
        <f>VLOOKUP(Allocation[[#This Row],[SAP Contract number]],Shipments[[SAP Contract number]:[AAA Premium USD]],24,FALSE)</f>
        <v>#N/A</v>
      </c>
      <c r="X252" s="34" t="e">
        <f>VLOOKUP(Allocation[[#This Row],[SAP Contract number]],Shipments[[SAP Contract number]:[RA Premium USD]],25,FALSE)</f>
        <v>#N/A</v>
      </c>
      <c r="Y252" s="38">
        <f>Allocation[[#This Row],[Quantity Processed]]/Allocation[[#This Row],[Quantity allocated]]</f>
        <v>3.0303030303030303</v>
      </c>
      <c r="Z252" s="34" t="b">
        <f>Allocation[[#This Row],[Quantity allocated]]&lt;=Allocation[[#This Row],[Quantity Processed]]</f>
        <v>1</v>
      </c>
    </row>
    <row r="253" spans="1:26">
      <c r="A253" s="247" t="s">
        <v>467</v>
      </c>
      <c r="B253" s="160" t="s">
        <v>68</v>
      </c>
      <c r="C253" s="249" t="s">
        <v>740</v>
      </c>
      <c r="D253" s="250">
        <v>588</v>
      </c>
      <c r="E253" s="160" t="s">
        <v>1186</v>
      </c>
      <c r="F253" s="158">
        <v>43487</v>
      </c>
      <c r="G253" s="162">
        <v>2.93</v>
      </c>
      <c r="H253" s="250">
        <v>376</v>
      </c>
      <c r="I253" s="160">
        <v>1425073</v>
      </c>
      <c r="J253" s="163">
        <v>21600</v>
      </c>
      <c r="K253" s="158">
        <v>43494</v>
      </c>
      <c r="L253" s="160" t="s">
        <v>1196</v>
      </c>
      <c r="M253" s="160">
        <v>4615513976</v>
      </c>
      <c r="N253" s="158">
        <v>43516</v>
      </c>
      <c r="O253" s="164">
        <v>3.7094</v>
      </c>
      <c r="P253" s="165">
        <v>19739</v>
      </c>
      <c r="Q253" s="34">
        <f>SUMIF(Allocation[Delivery ID],Allocation[[#This Row],[Delivery ID]],Allocation[Quantity Processed])</f>
        <v>680</v>
      </c>
      <c r="R253" s="61">
        <f>Allocation[[#This Row],[Total volume used]]/VLOOKUP(Allocation[[#This Row],[Delivery ID]],Delivery[[Delivery ID]:[Quantity delivered]],3,FALSE)</f>
        <v>2.1504016191259249E-2</v>
      </c>
      <c r="S253" s="34">
        <f>Allocation[[#This Row],[Quantity Processed]]/Allocation[[#This Row],[Dilution rate]]</f>
        <v>200.68259385665527</v>
      </c>
      <c r="T253" s="59">
        <f>SUMIF(Allocation[Delivery ID],Allocation[[#This Row],[Delivery ID]],Allocation[Quantity allocated])/SUMIF(Allocation[Delivery ID],Allocation[[#This Row],[Delivery ID]],Allocation[Volume available (kg)])</f>
        <v>1.8317131918416152</v>
      </c>
      <c r="U253" s="61">
        <f>Allocation[[#This Row],[Total volume used]]/VLOOKUP(Allocation[[#This Row],[Delivery ID]],Delivery[[Delivery ID]:[Quantity delivered]],3,FALSE)</f>
        <v>2.1504016191259249E-2</v>
      </c>
      <c r="V253" s="34" t="e">
        <f>VLOOKUP(Allocation[[#This Row],[SAP Contract number]],Shipments[[SAP Contract number]:[Contracted container weight]],2,FALSE)</f>
        <v>#N/A</v>
      </c>
      <c r="W253" s="34" t="e">
        <f>VLOOKUP(Allocation[[#This Row],[SAP Contract number]],Shipments[[SAP Contract number]:[AAA Premium USD]],24,FALSE)</f>
        <v>#N/A</v>
      </c>
      <c r="X253" s="34" t="e">
        <f>VLOOKUP(Allocation[[#This Row],[SAP Contract number]],Shipments[[SAP Contract number]:[RA Premium USD]],25,FALSE)</f>
        <v>#N/A</v>
      </c>
      <c r="Y253" s="38">
        <f>Allocation[[#This Row],[Quantity Processed]]/Allocation[[#This Row],[Quantity allocated]]</f>
        <v>1.5638297872340425</v>
      </c>
      <c r="Z253" s="34" t="b">
        <f>Allocation[[#This Row],[Quantity allocated]]&lt;=Allocation[[#This Row],[Quantity Processed]]</f>
        <v>1</v>
      </c>
    </row>
    <row r="254" spans="1:26">
      <c r="A254" s="247" t="s">
        <v>467</v>
      </c>
      <c r="B254" s="160" t="s">
        <v>68</v>
      </c>
      <c r="C254" s="249" t="s">
        <v>742</v>
      </c>
      <c r="D254" s="250">
        <v>313</v>
      </c>
      <c r="E254" s="160" t="s">
        <v>1186</v>
      </c>
      <c r="F254" s="158">
        <v>43487</v>
      </c>
      <c r="G254" s="162">
        <v>2.93</v>
      </c>
      <c r="H254" s="250">
        <v>119</v>
      </c>
      <c r="I254" s="160">
        <v>1425073</v>
      </c>
      <c r="J254" s="163">
        <v>21600</v>
      </c>
      <c r="K254" s="158">
        <v>43494</v>
      </c>
      <c r="L254" s="160" t="s">
        <v>1196</v>
      </c>
      <c r="M254" s="160">
        <v>4615513976</v>
      </c>
      <c r="N254" s="158">
        <v>43516</v>
      </c>
      <c r="O254" s="164">
        <v>3.7094</v>
      </c>
      <c r="P254" s="165">
        <v>19739</v>
      </c>
      <c r="Q254" s="34">
        <f>SUMIF(Allocation[Delivery ID],Allocation[[#This Row],[Delivery ID]],Allocation[Quantity Processed])</f>
        <v>313</v>
      </c>
      <c r="R254" s="61">
        <f>Allocation[[#This Row],[Total volume used]]/VLOOKUP(Allocation[[#This Row],[Delivery ID]],Delivery[[Delivery ID]:[Quantity delivered]],3,FALSE)</f>
        <v>2.0866666666666665E-2</v>
      </c>
      <c r="S254" s="34">
        <f>Allocation[[#This Row],[Quantity Processed]]/Allocation[[#This Row],[Dilution rate]]</f>
        <v>106.82593856655289</v>
      </c>
      <c r="T254" s="59">
        <f>SUMIF(Allocation[Delivery ID],Allocation[[#This Row],[Delivery ID]],Allocation[Quantity allocated])/SUMIF(Allocation[Delivery ID],Allocation[[#This Row],[Delivery ID]],Allocation[Volume available (kg)])</f>
        <v>1.113961661341853</v>
      </c>
      <c r="U254" s="61">
        <f>Allocation[[#This Row],[Total volume used]]/VLOOKUP(Allocation[[#This Row],[Delivery ID]],Delivery[[Delivery ID]:[Quantity delivered]],3,FALSE)</f>
        <v>2.0866666666666665E-2</v>
      </c>
      <c r="V254" s="34" t="e">
        <f>VLOOKUP(Allocation[[#This Row],[SAP Contract number]],Shipments[[SAP Contract number]:[Contracted container weight]],2,FALSE)</f>
        <v>#N/A</v>
      </c>
      <c r="W254" s="34" t="e">
        <f>VLOOKUP(Allocation[[#This Row],[SAP Contract number]],Shipments[[SAP Contract number]:[AAA Premium USD]],24,FALSE)</f>
        <v>#N/A</v>
      </c>
      <c r="X254" s="34" t="e">
        <f>VLOOKUP(Allocation[[#This Row],[SAP Contract number]],Shipments[[SAP Contract number]:[RA Premium USD]],25,FALSE)</f>
        <v>#N/A</v>
      </c>
      <c r="Y254" s="38">
        <f>Allocation[[#This Row],[Quantity Processed]]/Allocation[[#This Row],[Quantity allocated]]</f>
        <v>2.6302521008403361</v>
      </c>
      <c r="Z254" s="34" t="b">
        <f>Allocation[[#This Row],[Quantity allocated]]&lt;=Allocation[[#This Row],[Quantity Processed]]</f>
        <v>1</v>
      </c>
    </row>
    <row r="255" spans="1:26">
      <c r="A255" s="247" t="s">
        <v>467</v>
      </c>
      <c r="B255" s="160" t="s">
        <v>68</v>
      </c>
      <c r="C255" s="249" t="s">
        <v>746</v>
      </c>
      <c r="D255" s="250">
        <v>313</v>
      </c>
      <c r="E255" s="160" t="s">
        <v>1186</v>
      </c>
      <c r="F255" s="158">
        <v>43487</v>
      </c>
      <c r="G255" s="162">
        <v>2.93</v>
      </c>
      <c r="H255" s="250">
        <v>119</v>
      </c>
      <c r="I255" s="160">
        <v>1425073</v>
      </c>
      <c r="J255" s="163">
        <v>21600</v>
      </c>
      <c r="K255" s="158">
        <v>43494</v>
      </c>
      <c r="L255" s="160" t="s">
        <v>1196</v>
      </c>
      <c r="M255" s="160">
        <v>4615513976</v>
      </c>
      <c r="N255" s="158">
        <v>43516</v>
      </c>
      <c r="O255" s="164">
        <v>3.7094</v>
      </c>
      <c r="P255" s="165">
        <v>19739</v>
      </c>
      <c r="Q255" s="34">
        <f>SUMIF(Allocation[Delivery ID],Allocation[[#This Row],[Delivery ID]],Allocation[Quantity Processed])</f>
        <v>468</v>
      </c>
      <c r="R255" s="61">
        <f>Allocation[[#This Row],[Total volume used]]/VLOOKUP(Allocation[[#This Row],[Delivery ID]],Delivery[[Delivery ID]:[Quantity delivered]],3,FALSE)</f>
        <v>1.481176712610574E-2</v>
      </c>
      <c r="S255" s="34">
        <f>Allocation[[#This Row],[Quantity Processed]]/Allocation[[#This Row],[Dilution rate]]</f>
        <v>106.82593856655289</v>
      </c>
      <c r="T255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255" s="61">
        <f>Allocation[[#This Row],[Total volume used]]/VLOOKUP(Allocation[[#This Row],[Delivery ID]],Delivery[[Delivery ID]:[Quantity delivered]],3,FALSE)</f>
        <v>1.481176712610574E-2</v>
      </c>
      <c r="V255" s="34" t="e">
        <f>VLOOKUP(Allocation[[#This Row],[SAP Contract number]],Shipments[[SAP Contract number]:[Contracted container weight]],2,FALSE)</f>
        <v>#N/A</v>
      </c>
      <c r="W255" s="34" t="e">
        <f>VLOOKUP(Allocation[[#This Row],[SAP Contract number]],Shipments[[SAP Contract number]:[AAA Premium USD]],24,FALSE)</f>
        <v>#N/A</v>
      </c>
      <c r="X255" s="34" t="e">
        <f>VLOOKUP(Allocation[[#This Row],[SAP Contract number]],Shipments[[SAP Contract number]:[RA Premium USD]],25,FALSE)</f>
        <v>#N/A</v>
      </c>
      <c r="Y255" s="38">
        <f>Allocation[[#This Row],[Quantity Processed]]/Allocation[[#This Row],[Quantity allocated]]</f>
        <v>2.6302521008403361</v>
      </c>
      <c r="Z255" s="34" t="b">
        <f>Allocation[[#This Row],[Quantity allocated]]&lt;=Allocation[[#This Row],[Quantity Processed]]</f>
        <v>1</v>
      </c>
    </row>
    <row r="256" spans="1:26">
      <c r="A256" s="247" t="s">
        <v>467</v>
      </c>
      <c r="B256" s="160" t="s">
        <v>68</v>
      </c>
      <c r="C256" s="249" t="s">
        <v>749</v>
      </c>
      <c r="D256" s="250">
        <v>313</v>
      </c>
      <c r="E256" s="160" t="s">
        <v>1186</v>
      </c>
      <c r="F256" s="158">
        <v>43487</v>
      </c>
      <c r="G256" s="162">
        <v>2.93</v>
      </c>
      <c r="H256" s="250">
        <v>119</v>
      </c>
      <c r="I256" s="160">
        <v>1425073</v>
      </c>
      <c r="J256" s="163">
        <v>21600</v>
      </c>
      <c r="K256" s="158">
        <v>43494</v>
      </c>
      <c r="L256" s="160" t="s">
        <v>1196</v>
      </c>
      <c r="M256" s="160">
        <v>4615513976</v>
      </c>
      <c r="N256" s="158">
        <v>43516</v>
      </c>
      <c r="O256" s="164">
        <v>3.7094</v>
      </c>
      <c r="P256" s="165">
        <v>19739</v>
      </c>
      <c r="Q256" s="34">
        <f>SUMIF(Allocation[Delivery ID],Allocation[[#This Row],[Delivery ID]],Allocation[Quantity Processed])</f>
        <v>468</v>
      </c>
      <c r="R256" s="61">
        <f>Allocation[[#This Row],[Total volume used]]/VLOOKUP(Allocation[[#This Row],[Delivery ID]],Delivery[[Delivery ID]:[Quantity delivered]],3,FALSE)</f>
        <v>1.4793039685173771E-2</v>
      </c>
      <c r="S256" s="34">
        <f>Allocation[[#This Row],[Quantity Processed]]/Allocation[[#This Row],[Dilution rate]]</f>
        <v>106.82593856655289</v>
      </c>
      <c r="T256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256" s="61">
        <f>Allocation[[#This Row],[Total volume used]]/VLOOKUP(Allocation[[#This Row],[Delivery ID]],Delivery[[Delivery ID]:[Quantity delivered]],3,FALSE)</f>
        <v>1.4793039685173771E-2</v>
      </c>
      <c r="V256" s="34" t="e">
        <f>VLOOKUP(Allocation[[#This Row],[SAP Contract number]],Shipments[[SAP Contract number]:[Contracted container weight]],2,FALSE)</f>
        <v>#N/A</v>
      </c>
      <c r="W256" s="34" t="e">
        <f>VLOOKUP(Allocation[[#This Row],[SAP Contract number]],Shipments[[SAP Contract number]:[AAA Premium USD]],24,FALSE)</f>
        <v>#N/A</v>
      </c>
      <c r="X256" s="34" t="e">
        <f>VLOOKUP(Allocation[[#This Row],[SAP Contract number]],Shipments[[SAP Contract number]:[RA Premium USD]],25,FALSE)</f>
        <v>#N/A</v>
      </c>
      <c r="Y256" s="38">
        <f>Allocation[[#This Row],[Quantity Processed]]/Allocation[[#This Row],[Quantity allocated]]</f>
        <v>2.6302521008403361</v>
      </c>
      <c r="Z256" s="34" t="b">
        <f>Allocation[[#This Row],[Quantity allocated]]&lt;=Allocation[[#This Row],[Quantity Processed]]</f>
        <v>1</v>
      </c>
    </row>
    <row r="257" spans="1:26">
      <c r="A257" s="247" t="s">
        <v>467</v>
      </c>
      <c r="B257" s="160" t="s">
        <v>68</v>
      </c>
      <c r="C257" s="249" t="s">
        <v>751</v>
      </c>
      <c r="D257" s="250">
        <v>313</v>
      </c>
      <c r="E257" s="160" t="s">
        <v>1186</v>
      </c>
      <c r="F257" s="158">
        <v>43487</v>
      </c>
      <c r="G257" s="162">
        <v>2.93</v>
      </c>
      <c r="H257" s="250">
        <v>119</v>
      </c>
      <c r="I257" s="160">
        <v>1425073</v>
      </c>
      <c r="J257" s="163">
        <v>21600</v>
      </c>
      <c r="K257" s="158">
        <v>43494</v>
      </c>
      <c r="L257" s="160" t="s">
        <v>1196</v>
      </c>
      <c r="M257" s="160">
        <v>4615513976</v>
      </c>
      <c r="N257" s="158">
        <v>43516</v>
      </c>
      <c r="O257" s="164">
        <v>3.7094</v>
      </c>
      <c r="P257" s="165">
        <v>19739</v>
      </c>
      <c r="Q257" s="34">
        <f>SUMIF(Allocation[Delivery ID],Allocation[[#This Row],[Delivery ID]],Allocation[Quantity Processed])</f>
        <v>468</v>
      </c>
      <c r="R257" s="61">
        <f>Allocation[[#This Row],[Total volume used]]/VLOOKUP(Allocation[[#This Row],[Delivery ID]],Delivery[[Delivery ID]:[Quantity delivered]],3,FALSE)</f>
        <v>1.4788365222062472E-2</v>
      </c>
      <c r="S257" s="34">
        <f>Allocation[[#This Row],[Quantity Processed]]/Allocation[[#This Row],[Dilution rate]]</f>
        <v>106.82593856655289</v>
      </c>
      <c r="T257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257" s="61">
        <f>Allocation[[#This Row],[Total volume used]]/VLOOKUP(Allocation[[#This Row],[Delivery ID]],Delivery[[Delivery ID]:[Quantity delivered]],3,FALSE)</f>
        <v>1.4788365222062472E-2</v>
      </c>
      <c r="V257" s="34" t="e">
        <f>VLOOKUP(Allocation[[#This Row],[SAP Contract number]],Shipments[[SAP Contract number]:[Contracted container weight]],2,FALSE)</f>
        <v>#N/A</v>
      </c>
      <c r="W257" s="34" t="e">
        <f>VLOOKUP(Allocation[[#This Row],[SAP Contract number]],Shipments[[SAP Contract number]:[AAA Premium USD]],24,FALSE)</f>
        <v>#N/A</v>
      </c>
      <c r="X257" s="34" t="e">
        <f>VLOOKUP(Allocation[[#This Row],[SAP Contract number]],Shipments[[SAP Contract number]:[RA Premium USD]],25,FALSE)</f>
        <v>#N/A</v>
      </c>
      <c r="Y257" s="38">
        <f>Allocation[[#This Row],[Quantity Processed]]/Allocation[[#This Row],[Quantity allocated]]</f>
        <v>2.6302521008403361</v>
      </c>
      <c r="Z257" s="34" t="b">
        <f>Allocation[[#This Row],[Quantity allocated]]&lt;=Allocation[[#This Row],[Quantity Processed]]</f>
        <v>1</v>
      </c>
    </row>
    <row r="258" spans="1:26">
      <c r="A258" s="247" t="s">
        <v>467</v>
      </c>
      <c r="B258" s="160" t="s">
        <v>68</v>
      </c>
      <c r="C258" s="249" t="s">
        <v>754</v>
      </c>
      <c r="D258" s="250">
        <v>313</v>
      </c>
      <c r="E258" s="160" t="s">
        <v>1186</v>
      </c>
      <c r="F258" s="158">
        <v>43487</v>
      </c>
      <c r="G258" s="162">
        <v>2.93</v>
      </c>
      <c r="H258" s="250">
        <v>119</v>
      </c>
      <c r="I258" s="160">
        <v>1425073</v>
      </c>
      <c r="J258" s="163">
        <v>21600</v>
      </c>
      <c r="K258" s="158">
        <v>43494</v>
      </c>
      <c r="L258" s="160" t="s">
        <v>1196</v>
      </c>
      <c r="M258" s="160">
        <v>4615513976</v>
      </c>
      <c r="N258" s="158">
        <v>43516</v>
      </c>
      <c r="O258" s="164">
        <v>3.7094</v>
      </c>
      <c r="P258" s="165">
        <v>19739</v>
      </c>
      <c r="Q258" s="34">
        <f>SUMIF(Allocation[Delivery ID],Allocation[[#This Row],[Delivery ID]],Allocation[Quantity Processed])</f>
        <v>468</v>
      </c>
      <c r="R258" s="61">
        <f>Allocation[[#This Row],[Total volume used]]/VLOOKUP(Allocation[[#This Row],[Delivery ID]],Delivery[[Delivery ID]:[Quantity delivered]],3,FALSE)</f>
        <v>1.4788365222062472E-2</v>
      </c>
      <c r="S258" s="34">
        <f>Allocation[[#This Row],[Quantity Processed]]/Allocation[[#This Row],[Dilution rate]]</f>
        <v>106.82593856655289</v>
      </c>
      <c r="T258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258" s="61">
        <f>Allocation[[#This Row],[Total volume used]]/VLOOKUP(Allocation[[#This Row],[Delivery ID]],Delivery[[Delivery ID]:[Quantity delivered]],3,FALSE)</f>
        <v>1.4788365222062472E-2</v>
      </c>
      <c r="V258" s="34" t="e">
        <f>VLOOKUP(Allocation[[#This Row],[SAP Contract number]],Shipments[[SAP Contract number]:[Contracted container weight]],2,FALSE)</f>
        <v>#N/A</v>
      </c>
      <c r="W258" s="34" t="e">
        <f>VLOOKUP(Allocation[[#This Row],[SAP Contract number]],Shipments[[SAP Contract number]:[AAA Premium USD]],24,FALSE)</f>
        <v>#N/A</v>
      </c>
      <c r="X258" s="34" t="e">
        <f>VLOOKUP(Allocation[[#This Row],[SAP Contract number]],Shipments[[SAP Contract number]:[RA Premium USD]],25,FALSE)</f>
        <v>#N/A</v>
      </c>
      <c r="Y258" s="38">
        <f>Allocation[[#This Row],[Quantity Processed]]/Allocation[[#This Row],[Quantity allocated]]</f>
        <v>2.6302521008403361</v>
      </c>
      <c r="Z258" s="34" t="b">
        <f>Allocation[[#This Row],[Quantity allocated]]&lt;=Allocation[[#This Row],[Quantity Processed]]</f>
        <v>1</v>
      </c>
    </row>
    <row r="259" spans="1:26">
      <c r="A259" s="247" t="s">
        <v>467</v>
      </c>
      <c r="B259" s="160" t="s">
        <v>68</v>
      </c>
      <c r="C259" s="249" t="s">
        <v>755</v>
      </c>
      <c r="D259" s="250">
        <v>313</v>
      </c>
      <c r="E259" s="160" t="s">
        <v>1186</v>
      </c>
      <c r="F259" s="158">
        <v>43487</v>
      </c>
      <c r="G259" s="162">
        <v>2.93</v>
      </c>
      <c r="H259" s="250">
        <v>119</v>
      </c>
      <c r="I259" s="160">
        <v>1425073</v>
      </c>
      <c r="J259" s="163">
        <v>21600</v>
      </c>
      <c r="K259" s="158">
        <v>43494</v>
      </c>
      <c r="L259" s="160" t="s">
        <v>1196</v>
      </c>
      <c r="M259" s="160">
        <v>4615513976</v>
      </c>
      <c r="N259" s="158">
        <v>43516</v>
      </c>
      <c r="O259" s="164">
        <v>3.7094</v>
      </c>
      <c r="P259" s="165">
        <v>19739</v>
      </c>
      <c r="Q259" s="34">
        <f>SUMIF(Allocation[Delivery ID],Allocation[[#This Row],[Delivery ID]],Allocation[Quantity Processed])</f>
        <v>468</v>
      </c>
      <c r="R259" s="61">
        <f>Allocation[[#This Row],[Total volume used]]/VLOOKUP(Allocation[[#This Row],[Delivery ID]],Delivery[[Delivery ID]:[Quantity delivered]],3,FALSE)</f>
        <v>1.4849129041469683E-2</v>
      </c>
      <c r="S259" s="34">
        <f>Allocation[[#This Row],[Quantity Processed]]/Allocation[[#This Row],[Dilution rate]]</f>
        <v>106.82593856655289</v>
      </c>
      <c r="T259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259" s="61">
        <f>Allocation[[#This Row],[Total volume used]]/VLOOKUP(Allocation[[#This Row],[Delivery ID]],Delivery[[Delivery ID]:[Quantity delivered]],3,FALSE)</f>
        <v>1.4849129041469683E-2</v>
      </c>
      <c r="V259" s="34" t="e">
        <f>VLOOKUP(Allocation[[#This Row],[SAP Contract number]],Shipments[[SAP Contract number]:[Contracted container weight]],2,FALSE)</f>
        <v>#N/A</v>
      </c>
      <c r="W259" s="34" t="e">
        <f>VLOOKUP(Allocation[[#This Row],[SAP Contract number]],Shipments[[SAP Contract number]:[AAA Premium USD]],24,FALSE)</f>
        <v>#N/A</v>
      </c>
      <c r="X259" s="34" t="e">
        <f>VLOOKUP(Allocation[[#This Row],[SAP Contract number]],Shipments[[SAP Contract number]:[RA Premium USD]],25,FALSE)</f>
        <v>#N/A</v>
      </c>
      <c r="Y259" s="38">
        <f>Allocation[[#This Row],[Quantity Processed]]/Allocation[[#This Row],[Quantity allocated]]</f>
        <v>2.6302521008403361</v>
      </c>
      <c r="Z259" s="34" t="b">
        <f>Allocation[[#This Row],[Quantity allocated]]&lt;=Allocation[[#This Row],[Quantity Processed]]</f>
        <v>1</v>
      </c>
    </row>
    <row r="260" spans="1:26">
      <c r="A260" s="247" t="s">
        <v>467</v>
      </c>
      <c r="B260" s="160" t="s">
        <v>68</v>
      </c>
      <c r="C260" s="249" t="s">
        <v>756</v>
      </c>
      <c r="D260" s="250">
        <v>313</v>
      </c>
      <c r="E260" s="160" t="s">
        <v>1186</v>
      </c>
      <c r="F260" s="158">
        <v>43487</v>
      </c>
      <c r="G260" s="162">
        <v>2.93</v>
      </c>
      <c r="H260" s="250">
        <v>119</v>
      </c>
      <c r="I260" s="160">
        <v>1425073</v>
      </c>
      <c r="J260" s="163">
        <v>21600</v>
      </c>
      <c r="K260" s="158">
        <v>43494</v>
      </c>
      <c r="L260" s="160" t="s">
        <v>1196</v>
      </c>
      <c r="M260" s="160">
        <v>4615513976</v>
      </c>
      <c r="N260" s="158">
        <v>43516</v>
      </c>
      <c r="O260" s="164">
        <v>3.7094</v>
      </c>
      <c r="P260" s="165">
        <v>19739</v>
      </c>
      <c r="Q260" s="34">
        <f>SUMIF(Allocation[Delivery ID],Allocation[[#This Row],[Delivery ID]],Allocation[Quantity Processed])</f>
        <v>468</v>
      </c>
      <c r="R260" s="61">
        <f>Allocation[[#This Row],[Total volume used]]/VLOOKUP(Allocation[[#This Row],[Delivery ID]],Delivery[[Delivery ID]:[Quantity delivered]],3,FALSE)</f>
        <v>1.4858557957900753E-2</v>
      </c>
      <c r="S260" s="34">
        <f>Allocation[[#This Row],[Quantity Processed]]/Allocation[[#This Row],[Dilution rate]]</f>
        <v>106.82593856655289</v>
      </c>
      <c r="T260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260" s="61">
        <f>Allocation[[#This Row],[Total volume used]]/VLOOKUP(Allocation[[#This Row],[Delivery ID]],Delivery[[Delivery ID]:[Quantity delivered]],3,FALSE)</f>
        <v>1.4858557957900753E-2</v>
      </c>
      <c r="V260" s="34" t="e">
        <f>VLOOKUP(Allocation[[#This Row],[SAP Contract number]],Shipments[[SAP Contract number]:[Contracted container weight]],2,FALSE)</f>
        <v>#N/A</v>
      </c>
      <c r="W260" s="34" t="e">
        <f>VLOOKUP(Allocation[[#This Row],[SAP Contract number]],Shipments[[SAP Contract number]:[AAA Premium USD]],24,FALSE)</f>
        <v>#N/A</v>
      </c>
      <c r="X260" s="34" t="e">
        <f>VLOOKUP(Allocation[[#This Row],[SAP Contract number]],Shipments[[SAP Contract number]:[RA Premium USD]],25,FALSE)</f>
        <v>#N/A</v>
      </c>
      <c r="Y260" s="38">
        <f>Allocation[[#This Row],[Quantity Processed]]/Allocation[[#This Row],[Quantity allocated]]</f>
        <v>2.6302521008403361</v>
      </c>
      <c r="Z260" s="34" t="b">
        <f>Allocation[[#This Row],[Quantity allocated]]&lt;=Allocation[[#This Row],[Quantity Processed]]</f>
        <v>1</v>
      </c>
    </row>
    <row r="261" spans="1:26">
      <c r="A261" s="247" t="s">
        <v>467</v>
      </c>
      <c r="B261" s="160" t="s">
        <v>68</v>
      </c>
      <c r="C261" s="249" t="s">
        <v>757</v>
      </c>
      <c r="D261" s="250">
        <v>313</v>
      </c>
      <c r="E261" s="160" t="s">
        <v>1186</v>
      </c>
      <c r="F261" s="158">
        <v>43487</v>
      </c>
      <c r="G261" s="162">
        <v>2.93</v>
      </c>
      <c r="H261" s="250">
        <v>119</v>
      </c>
      <c r="I261" s="160">
        <v>1425073</v>
      </c>
      <c r="J261" s="163">
        <v>21600</v>
      </c>
      <c r="K261" s="158">
        <v>43494</v>
      </c>
      <c r="L261" s="160" t="s">
        <v>1196</v>
      </c>
      <c r="M261" s="160">
        <v>4615513976</v>
      </c>
      <c r="N261" s="158">
        <v>43516</v>
      </c>
      <c r="O261" s="164">
        <v>3.7094</v>
      </c>
      <c r="P261" s="165">
        <v>19739</v>
      </c>
      <c r="Q261" s="34">
        <f>SUMIF(Allocation[Delivery ID],Allocation[[#This Row],[Delivery ID]],Allocation[Quantity Processed])</f>
        <v>468</v>
      </c>
      <c r="R261" s="61">
        <f>Allocation[[#This Row],[Total volume used]]/VLOOKUP(Allocation[[#This Row],[Delivery ID]],Delivery[[Delivery ID]:[Quantity delivered]],3,FALSE)</f>
        <v>1.478369371219181E-2</v>
      </c>
      <c r="S261" s="34">
        <f>Allocation[[#This Row],[Quantity Processed]]/Allocation[[#This Row],[Dilution rate]]</f>
        <v>106.82593856655289</v>
      </c>
      <c r="T261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261" s="61">
        <f>Allocation[[#This Row],[Total volume used]]/VLOOKUP(Allocation[[#This Row],[Delivery ID]],Delivery[[Delivery ID]:[Quantity delivered]],3,FALSE)</f>
        <v>1.478369371219181E-2</v>
      </c>
      <c r="V261" s="34" t="e">
        <f>VLOOKUP(Allocation[[#This Row],[SAP Contract number]],Shipments[[SAP Contract number]:[Contracted container weight]],2,FALSE)</f>
        <v>#N/A</v>
      </c>
      <c r="W261" s="34" t="e">
        <f>VLOOKUP(Allocation[[#This Row],[SAP Contract number]],Shipments[[SAP Contract number]:[AAA Premium USD]],24,FALSE)</f>
        <v>#N/A</v>
      </c>
      <c r="X261" s="34" t="e">
        <f>VLOOKUP(Allocation[[#This Row],[SAP Contract number]],Shipments[[SAP Contract number]:[RA Premium USD]],25,FALSE)</f>
        <v>#N/A</v>
      </c>
      <c r="Y261" s="38">
        <f>Allocation[[#This Row],[Quantity Processed]]/Allocation[[#This Row],[Quantity allocated]]</f>
        <v>2.6302521008403361</v>
      </c>
      <c r="Z261" s="34" t="b">
        <f>Allocation[[#This Row],[Quantity allocated]]&lt;=Allocation[[#This Row],[Quantity Processed]]</f>
        <v>1</v>
      </c>
    </row>
    <row r="262" spans="1:26">
      <c r="A262" s="247" t="s">
        <v>467</v>
      </c>
      <c r="B262" s="160" t="s">
        <v>68</v>
      </c>
      <c r="C262" s="249" t="s">
        <v>758</v>
      </c>
      <c r="D262" s="250">
        <v>458</v>
      </c>
      <c r="E262" s="160" t="s">
        <v>1186</v>
      </c>
      <c r="F262" s="158">
        <v>43487</v>
      </c>
      <c r="G262" s="162">
        <v>2.93</v>
      </c>
      <c r="H262" s="250">
        <v>119</v>
      </c>
      <c r="I262" s="160">
        <v>1425073</v>
      </c>
      <c r="J262" s="163">
        <v>21600</v>
      </c>
      <c r="K262" s="158">
        <v>43494</v>
      </c>
      <c r="L262" s="160" t="s">
        <v>1196</v>
      </c>
      <c r="M262" s="160">
        <v>4615513976</v>
      </c>
      <c r="N262" s="158">
        <v>43516</v>
      </c>
      <c r="O262" s="164">
        <v>3.7094</v>
      </c>
      <c r="P262" s="165">
        <v>19739</v>
      </c>
      <c r="Q262" s="34">
        <f>SUMIF(Allocation[Delivery ID],Allocation[[#This Row],[Delivery ID]],Allocation[Quantity Processed])</f>
        <v>458</v>
      </c>
      <c r="R262" s="61">
        <f>Allocation[[#This Row],[Total volume used]]/VLOOKUP(Allocation[[#This Row],[Delivery ID]],Delivery[[Delivery ID]:[Quantity delivered]],3,FALSE)</f>
        <v>3.8848127571143816E-2</v>
      </c>
      <c r="S262" s="34">
        <f>Allocation[[#This Row],[Quantity Processed]]/Allocation[[#This Row],[Dilution rate]]</f>
        <v>156.31399317406144</v>
      </c>
      <c r="T262" s="59">
        <f>SUMIF(Allocation[Delivery ID],Allocation[[#This Row],[Delivery ID]],Allocation[Quantity allocated])/SUMIF(Allocation[Delivery ID],Allocation[[#This Row],[Delivery ID]],Allocation[Volume available (kg)])</f>
        <v>0.76128820960698684</v>
      </c>
      <c r="U262" s="61">
        <f>Allocation[[#This Row],[Total volume used]]/VLOOKUP(Allocation[[#This Row],[Delivery ID]],Delivery[[Delivery ID]:[Quantity delivered]],3,FALSE)</f>
        <v>3.8848127571143816E-2</v>
      </c>
      <c r="V262" s="34" t="e">
        <f>VLOOKUP(Allocation[[#This Row],[SAP Contract number]],Shipments[[SAP Contract number]:[Contracted container weight]],2,FALSE)</f>
        <v>#N/A</v>
      </c>
      <c r="W262" s="34" t="e">
        <f>VLOOKUP(Allocation[[#This Row],[SAP Contract number]],Shipments[[SAP Contract number]:[AAA Premium USD]],24,FALSE)</f>
        <v>#N/A</v>
      </c>
      <c r="X262" s="34" t="e">
        <f>VLOOKUP(Allocation[[#This Row],[SAP Contract number]],Shipments[[SAP Contract number]:[RA Premium USD]],25,FALSE)</f>
        <v>#N/A</v>
      </c>
      <c r="Y262" s="38">
        <f>Allocation[[#This Row],[Quantity Processed]]/Allocation[[#This Row],[Quantity allocated]]</f>
        <v>3.8487394957983194</v>
      </c>
      <c r="Z262" s="34" t="b">
        <f>Allocation[[#This Row],[Quantity allocated]]&lt;=Allocation[[#This Row],[Quantity Processed]]</f>
        <v>1</v>
      </c>
    </row>
    <row r="263" spans="1:26">
      <c r="A263" s="247" t="s">
        <v>467</v>
      </c>
      <c r="B263" s="160" t="s">
        <v>68</v>
      </c>
      <c r="C263" s="249" t="s">
        <v>760</v>
      </c>
      <c r="D263" s="250">
        <v>765</v>
      </c>
      <c r="E263" s="160" t="s">
        <v>1186</v>
      </c>
      <c r="F263" s="158">
        <v>43487</v>
      </c>
      <c r="G263" s="162">
        <v>2.93</v>
      </c>
      <c r="H263" s="250">
        <v>199</v>
      </c>
      <c r="I263" s="160">
        <v>1425073</v>
      </c>
      <c r="J263" s="163">
        <v>21600</v>
      </c>
      <c r="K263" s="158">
        <v>43494</v>
      </c>
      <c r="L263" s="160" t="s">
        <v>1196</v>
      </c>
      <c r="M263" s="160">
        <v>4615513976</v>
      </c>
      <c r="N263" s="158">
        <v>43516</v>
      </c>
      <c r="O263" s="164">
        <v>3.7094</v>
      </c>
      <c r="P263" s="165">
        <v>19739</v>
      </c>
      <c r="Q263" s="34">
        <f>SUMIF(Allocation[Delivery ID],Allocation[[#This Row],[Delivery ID]],Allocation[Quantity Processed])</f>
        <v>765</v>
      </c>
      <c r="R263" s="61">
        <f>Allocation[[#This Row],[Total volume used]]/VLOOKUP(Allocation[[#This Row],[Delivery ID]],Delivery[[Delivery ID]:[Quantity delivered]],3,FALSE)</f>
        <v>4.5609014487569308E-2</v>
      </c>
      <c r="S263" s="34">
        <f>Allocation[[#This Row],[Quantity Processed]]/Allocation[[#This Row],[Dilution rate]]</f>
        <v>261.09215017064844</v>
      </c>
      <c r="T263" s="59">
        <f>SUMIF(Allocation[Delivery ID],Allocation[[#This Row],[Delivery ID]],Allocation[Quantity allocated])/SUMIF(Allocation[Delivery ID],Allocation[[#This Row],[Delivery ID]],Allocation[Volume available (kg)])</f>
        <v>0.76218300653594784</v>
      </c>
      <c r="U263" s="61">
        <f>Allocation[[#This Row],[Total volume used]]/VLOOKUP(Allocation[[#This Row],[Delivery ID]],Delivery[[Delivery ID]:[Quantity delivered]],3,FALSE)</f>
        <v>4.5609014487569308E-2</v>
      </c>
      <c r="V263" s="34" t="e">
        <f>VLOOKUP(Allocation[[#This Row],[SAP Contract number]],Shipments[[SAP Contract number]:[Contracted container weight]],2,FALSE)</f>
        <v>#N/A</v>
      </c>
      <c r="W263" s="34" t="e">
        <f>VLOOKUP(Allocation[[#This Row],[SAP Contract number]],Shipments[[SAP Contract number]:[AAA Premium USD]],24,FALSE)</f>
        <v>#N/A</v>
      </c>
      <c r="X263" s="34" t="e">
        <f>VLOOKUP(Allocation[[#This Row],[SAP Contract number]],Shipments[[SAP Contract number]:[RA Premium USD]],25,FALSE)</f>
        <v>#N/A</v>
      </c>
      <c r="Y263" s="38">
        <f>Allocation[[#This Row],[Quantity Processed]]/Allocation[[#This Row],[Quantity allocated]]</f>
        <v>3.8442211055276383</v>
      </c>
      <c r="Z263" s="34" t="b">
        <f>Allocation[[#This Row],[Quantity allocated]]&lt;=Allocation[[#This Row],[Quantity Processed]]</f>
        <v>1</v>
      </c>
    </row>
    <row r="264" spans="1:26">
      <c r="A264" s="247" t="s">
        <v>467</v>
      </c>
      <c r="B264" s="160" t="s">
        <v>68</v>
      </c>
      <c r="C264" s="249" t="s">
        <v>761</v>
      </c>
      <c r="D264" s="250">
        <v>783</v>
      </c>
      <c r="E264" s="160" t="s">
        <v>1186</v>
      </c>
      <c r="F264" s="158">
        <v>43487</v>
      </c>
      <c r="G264" s="162">
        <v>2.93</v>
      </c>
      <c r="H264" s="250">
        <v>744</v>
      </c>
      <c r="I264" s="160">
        <v>1425073</v>
      </c>
      <c r="J264" s="163">
        <v>21600</v>
      </c>
      <c r="K264" s="158">
        <v>43494</v>
      </c>
      <c r="L264" s="160" t="s">
        <v>1196</v>
      </c>
      <c r="M264" s="160">
        <v>4615513976</v>
      </c>
      <c r="N264" s="158">
        <v>43516</v>
      </c>
      <c r="O264" s="164">
        <v>3.7094</v>
      </c>
      <c r="P264" s="165">
        <v>19739</v>
      </c>
      <c r="Q264" s="34">
        <f>SUMIF(Allocation[Delivery ID],Allocation[[#This Row],[Delivery ID]],Allocation[Quantity Processed])</f>
        <v>783</v>
      </c>
      <c r="R264" s="61">
        <f>Allocation[[#This Row],[Total volume used]]/VLOOKUP(Allocation[[#This Row],[Delivery ID]],Delivery[[Delivery ID]:[Quantity delivered]],3,FALSE)</f>
        <v>2.5455136540962289E-2</v>
      </c>
      <c r="S264" s="34">
        <f>Allocation[[#This Row],[Quantity Processed]]/Allocation[[#This Row],[Dilution rate]]</f>
        <v>267.23549488054607</v>
      </c>
      <c r="T264" s="59">
        <f>SUMIF(Allocation[Delivery ID],Allocation[[#This Row],[Delivery ID]],Allocation[Quantity allocated])/SUMIF(Allocation[Delivery ID],Allocation[[#This Row],[Delivery ID]],Allocation[Volume available (kg)])</f>
        <v>2.7840613026819923</v>
      </c>
      <c r="U264" s="61">
        <f>Allocation[[#This Row],[Total volume used]]/VLOOKUP(Allocation[[#This Row],[Delivery ID]],Delivery[[Delivery ID]:[Quantity delivered]],3,FALSE)</f>
        <v>2.5455136540962289E-2</v>
      </c>
      <c r="V264" s="34" t="e">
        <f>VLOOKUP(Allocation[[#This Row],[SAP Contract number]],Shipments[[SAP Contract number]:[Contracted container weight]],2,FALSE)</f>
        <v>#N/A</v>
      </c>
      <c r="W264" s="34" t="e">
        <f>VLOOKUP(Allocation[[#This Row],[SAP Contract number]],Shipments[[SAP Contract number]:[AAA Premium USD]],24,FALSE)</f>
        <v>#N/A</v>
      </c>
      <c r="X264" s="34" t="e">
        <f>VLOOKUP(Allocation[[#This Row],[SAP Contract number]],Shipments[[SAP Contract number]:[RA Premium USD]],25,FALSE)</f>
        <v>#N/A</v>
      </c>
      <c r="Y264" s="38">
        <f>Allocation[[#This Row],[Quantity Processed]]/Allocation[[#This Row],[Quantity allocated]]</f>
        <v>1.0524193548387097</v>
      </c>
      <c r="Z264" s="34" t="b">
        <f>Allocation[[#This Row],[Quantity allocated]]&lt;=Allocation[[#This Row],[Quantity Processed]]</f>
        <v>1</v>
      </c>
    </row>
    <row r="265" spans="1:26">
      <c r="A265" s="247" t="s">
        <v>467</v>
      </c>
      <c r="B265" s="160" t="s">
        <v>68</v>
      </c>
      <c r="C265" s="249" t="s">
        <v>762</v>
      </c>
      <c r="D265" s="250">
        <v>783</v>
      </c>
      <c r="E265" s="160" t="s">
        <v>1186</v>
      </c>
      <c r="F265" s="158">
        <v>43487</v>
      </c>
      <c r="G265" s="162">
        <v>2.93</v>
      </c>
      <c r="H265" s="250">
        <v>744</v>
      </c>
      <c r="I265" s="160">
        <v>1425073</v>
      </c>
      <c r="J265" s="163">
        <v>21600</v>
      </c>
      <c r="K265" s="158">
        <v>43494</v>
      </c>
      <c r="L265" s="160" t="s">
        <v>1196</v>
      </c>
      <c r="M265" s="160">
        <v>4615513976</v>
      </c>
      <c r="N265" s="158">
        <v>43516</v>
      </c>
      <c r="O265" s="164">
        <v>3.7094</v>
      </c>
      <c r="P265" s="165">
        <v>19739</v>
      </c>
      <c r="Q265" s="34">
        <f>SUMIF(Allocation[Delivery ID],Allocation[[#This Row],[Delivery ID]],Allocation[Quantity Processed])</f>
        <v>783</v>
      </c>
      <c r="R265" s="61">
        <f>Allocation[[#This Row],[Total volume used]]/VLOOKUP(Allocation[[#This Row],[Delivery ID]],Delivery[[Delivery ID]:[Quantity delivered]],3,FALSE)</f>
        <v>2.5469212503659369E-2</v>
      </c>
      <c r="S265" s="34">
        <f>Allocation[[#This Row],[Quantity Processed]]/Allocation[[#This Row],[Dilution rate]]</f>
        <v>267.23549488054607</v>
      </c>
      <c r="T265" s="59">
        <f>SUMIF(Allocation[Delivery ID],Allocation[[#This Row],[Delivery ID]],Allocation[Quantity allocated])/SUMIF(Allocation[Delivery ID],Allocation[[#This Row],[Delivery ID]],Allocation[Volume available (kg)])</f>
        <v>2.7840613026819923</v>
      </c>
      <c r="U265" s="61">
        <f>Allocation[[#This Row],[Total volume used]]/VLOOKUP(Allocation[[#This Row],[Delivery ID]],Delivery[[Delivery ID]:[Quantity delivered]],3,FALSE)</f>
        <v>2.5469212503659369E-2</v>
      </c>
      <c r="V265" s="34" t="e">
        <f>VLOOKUP(Allocation[[#This Row],[SAP Contract number]],Shipments[[SAP Contract number]:[Contracted container weight]],2,FALSE)</f>
        <v>#N/A</v>
      </c>
      <c r="W265" s="34" t="e">
        <f>VLOOKUP(Allocation[[#This Row],[SAP Contract number]],Shipments[[SAP Contract number]:[AAA Premium USD]],24,FALSE)</f>
        <v>#N/A</v>
      </c>
      <c r="X265" s="34" t="e">
        <f>VLOOKUP(Allocation[[#This Row],[SAP Contract number]],Shipments[[SAP Contract number]:[RA Premium USD]],25,FALSE)</f>
        <v>#N/A</v>
      </c>
      <c r="Y265" s="38">
        <f>Allocation[[#This Row],[Quantity Processed]]/Allocation[[#This Row],[Quantity allocated]]</f>
        <v>1.0524193548387097</v>
      </c>
      <c r="Z265" s="34" t="b">
        <f>Allocation[[#This Row],[Quantity allocated]]&lt;=Allocation[[#This Row],[Quantity Processed]]</f>
        <v>1</v>
      </c>
    </row>
    <row r="266" spans="1:26">
      <c r="A266" s="247" t="s">
        <v>467</v>
      </c>
      <c r="B266" s="160" t="s">
        <v>68</v>
      </c>
      <c r="C266" s="249" t="s">
        <v>763</v>
      </c>
      <c r="D266" s="250">
        <v>783</v>
      </c>
      <c r="E266" s="160" t="s">
        <v>1186</v>
      </c>
      <c r="F266" s="158">
        <v>43487</v>
      </c>
      <c r="G266" s="162">
        <v>2.93</v>
      </c>
      <c r="H266" s="250">
        <v>744</v>
      </c>
      <c r="I266" s="160">
        <v>1425073</v>
      </c>
      <c r="J266" s="163">
        <v>21600</v>
      </c>
      <c r="K266" s="158">
        <v>43494</v>
      </c>
      <c r="L266" s="160" t="s">
        <v>1196</v>
      </c>
      <c r="M266" s="160">
        <v>4615513976</v>
      </c>
      <c r="N266" s="158">
        <v>43516</v>
      </c>
      <c r="O266" s="164">
        <v>3.7094</v>
      </c>
      <c r="P266" s="165">
        <v>19739</v>
      </c>
      <c r="Q266" s="34">
        <f>SUMIF(Allocation[Delivery ID],Allocation[[#This Row],[Delivery ID]],Allocation[Quantity Processed])</f>
        <v>783</v>
      </c>
      <c r="R266" s="61">
        <f>Allocation[[#This Row],[Total volume used]]/VLOOKUP(Allocation[[#This Row],[Delivery ID]],Delivery[[Delivery ID]:[Quantity delivered]],3,FALSE)</f>
        <v>2.5444383063074772E-2</v>
      </c>
      <c r="S266" s="34">
        <f>Allocation[[#This Row],[Quantity Processed]]/Allocation[[#This Row],[Dilution rate]]</f>
        <v>267.23549488054607</v>
      </c>
      <c r="T266" s="59">
        <f>SUMIF(Allocation[Delivery ID],Allocation[[#This Row],[Delivery ID]],Allocation[Quantity allocated])/SUMIF(Allocation[Delivery ID],Allocation[[#This Row],[Delivery ID]],Allocation[Volume available (kg)])</f>
        <v>2.7840613026819923</v>
      </c>
      <c r="U266" s="61">
        <f>Allocation[[#This Row],[Total volume used]]/VLOOKUP(Allocation[[#This Row],[Delivery ID]],Delivery[[Delivery ID]:[Quantity delivered]],3,FALSE)</f>
        <v>2.5444383063074772E-2</v>
      </c>
      <c r="V266" s="34" t="e">
        <f>VLOOKUP(Allocation[[#This Row],[SAP Contract number]],Shipments[[SAP Contract number]:[Contracted container weight]],2,FALSE)</f>
        <v>#N/A</v>
      </c>
      <c r="W266" s="34" t="e">
        <f>VLOOKUP(Allocation[[#This Row],[SAP Contract number]],Shipments[[SAP Contract number]:[AAA Premium USD]],24,FALSE)</f>
        <v>#N/A</v>
      </c>
      <c r="X266" s="34" t="e">
        <f>VLOOKUP(Allocation[[#This Row],[SAP Contract number]],Shipments[[SAP Contract number]:[RA Premium USD]],25,FALSE)</f>
        <v>#N/A</v>
      </c>
      <c r="Y266" s="38">
        <f>Allocation[[#This Row],[Quantity Processed]]/Allocation[[#This Row],[Quantity allocated]]</f>
        <v>1.0524193548387097</v>
      </c>
      <c r="Z266" s="34" t="b">
        <f>Allocation[[#This Row],[Quantity allocated]]&lt;=Allocation[[#This Row],[Quantity Processed]]</f>
        <v>1</v>
      </c>
    </row>
    <row r="267" spans="1:26">
      <c r="A267" s="247" t="s">
        <v>467</v>
      </c>
      <c r="B267" s="160" t="s">
        <v>68</v>
      </c>
      <c r="C267" s="249" t="s">
        <v>764</v>
      </c>
      <c r="D267" s="250">
        <v>969</v>
      </c>
      <c r="E267" s="160" t="s">
        <v>1186</v>
      </c>
      <c r="F267" s="158">
        <v>43487</v>
      </c>
      <c r="G267" s="162">
        <v>2.93</v>
      </c>
      <c r="H267" s="250">
        <v>921</v>
      </c>
      <c r="I267" s="160">
        <v>1425073</v>
      </c>
      <c r="J267" s="163">
        <v>21600</v>
      </c>
      <c r="K267" s="158">
        <v>43494</v>
      </c>
      <c r="L267" s="160" t="s">
        <v>1196</v>
      </c>
      <c r="M267" s="160">
        <v>4615513976</v>
      </c>
      <c r="N267" s="158">
        <v>43516</v>
      </c>
      <c r="O267" s="164">
        <v>3.7094</v>
      </c>
      <c r="P267" s="165">
        <v>19739</v>
      </c>
      <c r="Q267" s="34">
        <f>SUMIF(Allocation[Delivery ID],Allocation[[#This Row],[Delivery ID]],Allocation[Quantity Processed])</f>
        <v>969</v>
      </c>
      <c r="R267" s="61">
        <f>Allocation[[#This Row],[Total volume used]]/VLOOKUP(Allocation[[#This Row],[Delivery ID]],Delivery[[Delivery ID]:[Quantity delivered]],3,FALSE)</f>
        <v>2.5503020094484873E-2</v>
      </c>
      <c r="S267" s="34">
        <f>Allocation[[#This Row],[Quantity Processed]]/Allocation[[#This Row],[Dilution rate]]</f>
        <v>330.71672354948805</v>
      </c>
      <c r="T267" s="59">
        <f>SUMIF(Allocation[Delivery ID],Allocation[[#This Row],[Delivery ID]],Allocation[Quantity allocated])/SUMIF(Allocation[Delivery ID],Allocation[[#This Row],[Delivery ID]],Allocation[Volume available (kg)])</f>
        <v>2.7848606811145511</v>
      </c>
      <c r="U267" s="61">
        <f>Allocation[[#This Row],[Total volume used]]/VLOOKUP(Allocation[[#This Row],[Delivery ID]],Delivery[[Delivery ID]:[Quantity delivered]],3,FALSE)</f>
        <v>2.5503020094484873E-2</v>
      </c>
      <c r="V267" s="34" t="e">
        <f>VLOOKUP(Allocation[[#This Row],[SAP Contract number]],Shipments[[SAP Contract number]:[Contracted container weight]],2,FALSE)</f>
        <v>#N/A</v>
      </c>
      <c r="W267" s="34" t="e">
        <f>VLOOKUP(Allocation[[#This Row],[SAP Contract number]],Shipments[[SAP Contract number]:[AAA Premium USD]],24,FALSE)</f>
        <v>#N/A</v>
      </c>
      <c r="X267" s="34" t="e">
        <f>VLOOKUP(Allocation[[#This Row],[SAP Contract number]],Shipments[[SAP Contract number]:[RA Premium USD]],25,FALSE)</f>
        <v>#N/A</v>
      </c>
      <c r="Y267" s="38">
        <f>Allocation[[#This Row],[Quantity Processed]]/Allocation[[#This Row],[Quantity allocated]]</f>
        <v>1.0521172638436482</v>
      </c>
      <c r="Z267" s="34" t="b">
        <f>Allocation[[#This Row],[Quantity allocated]]&lt;=Allocation[[#This Row],[Quantity Processed]]</f>
        <v>1</v>
      </c>
    </row>
    <row r="268" spans="1:26">
      <c r="A268" s="247" t="s">
        <v>467</v>
      </c>
      <c r="B268" s="160" t="s">
        <v>68</v>
      </c>
      <c r="C268" s="249" t="s">
        <v>765</v>
      </c>
      <c r="D268" s="250">
        <v>298</v>
      </c>
      <c r="E268" s="160" t="s">
        <v>1186</v>
      </c>
      <c r="F268" s="158">
        <v>43487</v>
      </c>
      <c r="G268" s="162">
        <v>2.93</v>
      </c>
      <c r="H268" s="250">
        <v>119</v>
      </c>
      <c r="I268" s="160">
        <v>1425073</v>
      </c>
      <c r="J268" s="163">
        <v>21600</v>
      </c>
      <c r="K268" s="158">
        <v>43494</v>
      </c>
      <c r="L268" s="160" t="s">
        <v>1196</v>
      </c>
      <c r="M268" s="160">
        <v>4615513976</v>
      </c>
      <c r="N268" s="158">
        <v>43516</v>
      </c>
      <c r="O268" s="164">
        <v>3.7094</v>
      </c>
      <c r="P268" s="165">
        <v>19739</v>
      </c>
      <c r="Q268" s="34">
        <f>SUMIF(Allocation[Delivery ID],Allocation[[#This Row],[Delivery ID]],Allocation[Quantity Processed])</f>
        <v>298</v>
      </c>
      <c r="R268" s="61">
        <f>Allocation[[#This Row],[Total volume used]]/VLOOKUP(Allocation[[#This Row],[Delivery ID]],Delivery[[Delivery ID]:[Quantity delivered]],3,FALSE)</f>
        <v>5.3309481216457962E-2</v>
      </c>
      <c r="S268" s="34">
        <f>Allocation[[#This Row],[Quantity Processed]]/Allocation[[#This Row],[Dilution rate]]</f>
        <v>101.70648464163823</v>
      </c>
      <c r="T268" s="59">
        <f>SUMIF(Allocation[Delivery ID],Allocation[[#This Row],[Delivery ID]],Allocation[Quantity allocated])/SUMIF(Allocation[Delivery ID],Allocation[[#This Row],[Delivery ID]],Allocation[Volume available (kg)])</f>
        <v>1.1700335570469798</v>
      </c>
      <c r="U268" s="61">
        <f>Allocation[[#This Row],[Total volume used]]/VLOOKUP(Allocation[[#This Row],[Delivery ID]],Delivery[[Delivery ID]:[Quantity delivered]],3,FALSE)</f>
        <v>5.3309481216457962E-2</v>
      </c>
      <c r="V268" s="34" t="e">
        <f>VLOOKUP(Allocation[[#This Row],[SAP Contract number]],Shipments[[SAP Contract number]:[Contracted container weight]],2,FALSE)</f>
        <v>#N/A</v>
      </c>
      <c r="W268" s="34" t="e">
        <f>VLOOKUP(Allocation[[#This Row],[SAP Contract number]],Shipments[[SAP Contract number]:[AAA Premium USD]],24,FALSE)</f>
        <v>#N/A</v>
      </c>
      <c r="X268" s="34" t="e">
        <f>VLOOKUP(Allocation[[#This Row],[SAP Contract number]],Shipments[[SAP Contract number]:[RA Premium USD]],25,FALSE)</f>
        <v>#N/A</v>
      </c>
      <c r="Y268" s="38">
        <f>Allocation[[#This Row],[Quantity Processed]]/Allocation[[#This Row],[Quantity allocated]]</f>
        <v>2.5042016806722689</v>
      </c>
      <c r="Z268" s="34" t="b">
        <f>Allocation[[#This Row],[Quantity allocated]]&lt;=Allocation[[#This Row],[Quantity Processed]]</f>
        <v>1</v>
      </c>
    </row>
    <row r="269" spans="1:26">
      <c r="A269" s="247" t="s">
        <v>467</v>
      </c>
      <c r="B269" s="160" t="s">
        <v>68</v>
      </c>
      <c r="C269" s="249" t="s">
        <v>766</v>
      </c>
      <c r="D269" s="250">
        <v>298</v>
      </c>
      <c r="E269" s="160" t="s">
        <v>1186</v>
      </c>
      <c r="F269" s="158">
        <v>43487</v>
      </c>
      <c r="G269" s="162">
        <v>2.93</v>
      </c>
      <c r="H269" s="250">
        <v>119</v>
      </c>
      <c r="I269" s="160">
        <v>1425073</v>
      </c>
      <c r="J269" s="163">
        <v>21600</v>
      </c>
      <c r="K269" s="158">
        <v>43494</v>
      </c>
      <c r="L269" s="160" t="s">
        <v>1196</v>
      </c>
      <c r="M269" s="160">
        <v>4615513976</v>
      </c>
      <c r="N269" s="158">
        <v>43516</v>
      </c>
      <c r="O269" s="164">
        <v>3.7094</v>
      </c>
      <c r="P269" s="165">
        <v>19739</v>
      </c>
      <c r="Q269" s="34">
        <f>SUMIF(Allocation[Delivery ID],Allocation[[#This Row],[Delivery ID]],Allocation[Quantity Processed])</f>
        <v>298</v>
      </c>
      <c r="R269" s="61">
        <f>Allocation[[#This Row],[Total volume used]]/VLOOKUP(Allocation[[#This Row],[Delivery ID]],Delivery[[Delivery ID]:[Quantity delivered]],3,FALSE)</f>
        <v>5.8385579937304075E-2</v>
      </c>
      <c r="S269" s="34">
        <f>Allocation[[#This Row],[Quantity Processed]]/Allocation[[#This Row],[Dilution rate]]</f>
        <v>101.70648464163823</v>
      </c>
      <c r="T269" s="59">
        <f>SUMIF(Allocation[Delivery ID],Allocation[[#This Row],[Delivery ID]],Allocation[Quantity allocated])/SUMIF(Allocation[Delivery ID],Allocation[[#This Row],[Delivery ID]],Allocation[Volume available (kg)])</f>
        <v>1.1700335570469798</v>
      </c>
      <c r="U269" s="61">
        <f>Allocation[[#This Row],[Total volume used]]/VLOOKUP(Allocation[[#This Row],[Delivery ID]],Delivery[[Delivery ID]:[Quantity delivered]],3,FALSE)</f>
        <v>5.8385579937304075E-2</v>
      </c>
      <c r="V269" s="34" t="e">
        <f>VLOOKUP(Allocation[[#This Row],[SAP Contract number]],Shipments[[SAP Contract number]:[Contracted container weight]],2,FALSE)</f>
        <v>#N/A</v>
      </c>
      <c r="W269" s="34" t="e">
        <f>VLOOKUP(Allocation[[#This Row],[SAP Contract number]],Shipments[[SAP Contract number]:[AAA Premium USD]],24,FALSE)</f>
        <v>#N/A</v>
      </c>
      <c r="X269" s="34" t="e">
        <f>VLOOKUP(Allocation[[#This Row],[SAP Contract number]],Shipments[[SAP Contract number]:[RA Premium USD]],25,FALSE)</f>
        <v>#N/A</v>
      </c>
      <c r="Y269" s="38">
        <f>Allocation[[#This Row],[Quantity Processed]]/Allocation[[#This Row],[Quantity allocated]]</f>
        <v>2.5042016806722689</v>
      </c>
      <c r="Z269" s="34" t="b">
        <f>Allocation[[#This Row],[Quantity allocated]]&lt;=Allocation[[#This Row],[Quantity Processed]]</f>
        <v>1</v>
      </c>
    </row>
    <row r="270" spans="1:26">
      <c r="A270" s="247" t="s">
        <v>467</v>
      </c>
      <c r="B270" s="160" t="s">
        <v>68</v>
      </c>
      <c r="C270" s="249" t="s">
        <v>767</v>
      </c>
      <c r="D270" s="250">
        <v>298</v>
      </c>
      <c r="E270" s="160" t="s">
        <v>1186</v>
      </c>
      <c r="F270" s="158">
        <v>43487</v>
      </c>
      <c r="G270" s="162">
        <v>2.93</v>
      </c>
      <c r="H270" s="250">
        <v>119</v>
      </c>
      <c r="I270" s="160">
        <v>1425073</v>
      </c>
      <c r="J270" s="163">
        <v>21600</v>
      </c>
      <c r="K270" s="158">
        <v>43494</v>
      </c>
      <c r="L270" s="160" t="s">
        <v>1196</v>
      </c>
      <c r="M270" s="160">
        <v>4615513976</v>
      </c>
      <c r="N270" s="158">
        <v>43516</v>
      </c>
      <c r="O270" s="164">
        <v>3.7094</v>
      </c>
      <c r="P270" s="165">
        <v>19739</v>
      </c>
      <c r="Q270" s="34">
        <f>SUMIF(Allocation[Delivery ID],Allocation[[#This Row],[Delivery ID]],Allocation[Quantity Processed])</f>
        <v>298</v>
      </c>
      <c r="R270" s="61">
        <f>Allocation[[#This Row],[Total volume used]]/VLOOKUP(Allocation[[#This Row],[Delivery ID]],Delivery[[Delivery ID]:[Quantity delivered]],3,FALSE)</f>
        <v>3.2695156069998357E-2</v>
      </c>
      <c r="S270" s="34">
        <f>Allocation[[#This Row],[Quantity Processed]]/Allocation[[#This Row],[Dilution rate]]</f>
        <v>101.70648464163823</v>
      </c>
      <c r="T270" s="59">
        <f>SUMIF(Allocation[Delivery ID],Allocation[[#This Row],[Delivery ID]],Allocation[Quantity allocated])/SUMIF(Allocation[Delivery ID],Allocation[[#This Row],[Delivery ID]],Allocation[Volume available (kg)])</f>
        <v>1.1700335570469798</v>
      </c>
      <c r="U270" s="61">
        <f>Allocation[[#This Row],[Total volume used]]/VLOOKUP(Allocation[[#This Row],[Delivery ID]],Delivery[[Delivery ID]:[Quantity delivered]],3,FALSE)</f>
        <v>3.2695156069998357E-2</v>
      </c>
      <c r="V270" s="34" t="e">
        <f>VLOOKUP(Allocation[[#This Row],[SAP Contract number]],Shipments[[SAP Contract number]:[Contracted container weight]],2,FALSE)</f>
        <v>#N/A</v>
      </c>
      <c r="W270" s="34" t="e">
        <f>VLOOKUP(Allocation[[#This Row],[SAP Contract number]],Shipments[[SAP Contract number]:[AAA Premium USD]],24,FALSE)</f>
        <v>#N/A</v>
      </c>
      <c r="X270" s="34" t="e">
        <f>VLOOKUP(Allocation[[#This Row],[SAP Contract number]],Shipments[[SAP Contract number]:[RA Premium USD]],25,FALSE)</f>
        <v>#N/A</v>
      </c>
      <c r="Y270" s="38">
        <f>Allocation[[#This Row],[Quantity Processed]]/Allocation[[#This Row],[Quantity allocated]]</f>
        <v>2.5042016806722689</v>
      </c>
      <c r="Z270" s="34" t="b">
        <f>Allocation[[#This Row],[Quantity allocated]]&lt;=Allocation[[#This Row],[Quantity Processed]]</f>
        <v>1</v>
      </c>
    </row>
    <row r="271" spans="1:26">
      <c r="A271" s="247" t="s">
        <v>467</v>
      </c>
      <c r="B271" s="160" t="s">
        <v>68</v>
      </c>
      <c r="C271" s="249" t="s">
        <v>768</v>
      </c>
      <c r="D271" s="250">
        <v>158</v>
      </c>
      <c r="E271" s="160" t="s">
        <v>1186</v>
      </c>
      <c r="F271" s="158">
        <v>43487</v>
      </c>
      <c r="G271" s="162">
        <v>2.93</v>
      </c>
      <c r="H271" s="250">
        <v>63</v>
      </c>
      <c r="I271" s="160">
        <v>1425073</v>
      </c>
      <c r="J271" s="163">
        <v>21600</v>
      </c>
      <c r="K271" s="158">
        <v>43494</v>
      </c>
      <c r="L271" s="160" t="s">
        <v>1196</v>
      </c>
      <c r="M271" s="160">
        <v>4615513976</v>
      </c>
      <c r="N271" s="158">
        <v>43516</v>
      </c>
      <c r="O271" s="164">
        <v>3.7094</v>
      </c>
      <c r="P271" s="165">
        <v>19739</v>
      </c>
      <c r="Q271" s="34">
        <f>SUMIF(Allocation[Delivery ID],Allocation[[#This Row],[Delivery ID]],Allocation[Quantity Processed])</f>
        <v>298</v>
      </c>
      <c r="R271" s="61">
        <f>Allocation[[#This Row],[Total volume used]]/VLOOKUP(Allocation[[#This Row],[Delivery ID]],Delivery[[Delivery ID]:[Quantity delivered]],3,FALSE)</f>
        <v>4.5409523809523809E-2</v>
      </c>
      <c r="S271" s="34">
        <f>Allocation[[#This Row],[Quantity Processed]]/Allocation[[#This Row],[Dilution rate]]</f>
        <v>53.924914675767916</v>
      </c>
      <c r="T271" s="59">
        <f>SUMIF(Allocation[Delivery ID],Allocation[[#This Row],[Delivery ID]],Allocation[Quantity allocated])/SUMIF(Allocation[Delivery ID],Allocation[[#This Row],[Delivery ID]],Allocation[Volume available (kg)])</f>
        <v>1.17003355704698</v>
      </c>
      <c r="U271" s="61">
        <f>Allocation[[#This Row],[Total volume used]]/VLOOKUP(Allocation[[#This Row],[Delivery ID]],Delivery[[Delivery ID]:[Quantity delivered]],3,FALSE)</f>
        <v>4.5409523809523809E-2</v>
      </c>
      <c r="V271" s="34" t="e">
        <f>VLOOKUP(Allocation[[#This Row],[SAP Contract number]],Shipments[[SAP Contract number]:[Contracted container weight]],2,FALSE)</f>
        <v>#N/A</v>
      </c>
      <c r="W271" s="34" t="e">
        <f>VLOOKUP(Allocation[[#This Row],[SAP Contract number]],Shipments[[SAP Contract number]:[AAA Premium USD]],24,FALSE)</f>
        <v>#N/A</v>
      </c>
      <c r="X271" s="34" t="e">
        <f>VLOOKUP(Allocation[[#This Row],[SAP Contract number]],Shipments[[SAP Contract number]:[RA Premium USD]],25,FALSE)</f>
        <v>#N/A</v>
      </c>
      <c r="Y271" s="38">
        <f>Allocation[[#This Row],[Quantity Processed]]/Allocation[[#This Row],[Quantity allocated]]</f>
        <v>2.5079365079365079</v>
      </c>
      <c r="Z271" s="34" t="b">
        <f>Allocation[[#This Row],[Quantity allocated]]&lt;=Allocation[[#This Row],[Quantity Processed]]</f>
        <v>1</v>
      </c>
    </row>
    <row r="272" spans="1:26">
      <c r="A272" s="247" t="s">
        <v>467</v>
      </c>
      <c r="B272" s="160" t="s">
        <v>68</v>
      </c>
      <c r="C272" s="249" t="s">
        <v>768</v>
      </c>
      <c r="D272" s="250">
        <v>140</v>
      </c>
      <c r="E272" s="160" t="s">
        <v>1186</v>
      </c>
      <c r="F272" s="158">
        <v>43487</v>
      </c>
      <c r="G272" s="162">
        <v>2.93</v>
      </c>
      <c r="H272" s="250">
        <v>56</v>
      </c>
      <c r="I272" s="160">
        <v>1425074</v>
      </c>
      <c r="J272" s="163">
        <v>21600</v>
      </c>
      <c r="K272" s="158">
        <v>43494</v>
      </c>
      <c r="L272" s="160" t="s">
        <v>1197</v>
      </c>
      <c r="M272" s="160">
        <v>4615513976</v>
      </c>
      <c r="N272" s="158">
        <v>43516</v>
      </c>
      <c r="O272" s="164">
        <v>3.7094</v>
      </c>
      <c r="P272" s="165">
        <v>19739</v>
      </c>
      <c r="Q272" s="34">
        <f>SUMIF(Allocation[Delivery ID],Allocation[[#This Row],[Delivery ID]],Allocation[Quantity Processed])</f>
        <v>298</v>
      </c>
      <c r="R272" s="61">
        <f>Allocation[[#This Row],[Total volume used]]/VLOOKUP(Allocation[[#This Row],[Delivery ID]],Delivery[[Delivery ID]:[Quantity delivered]],3,FALSE)</f>
        <v>4.5409523809523809E-2</v>
      </c>
      <c r="S272" s="34">
        <f>Allocation[[#This Row],[Quantity Processed]]/Allocation[[#This Row],[Dilution rate]]</f>
        <v>47.781569965870304</v>
      </c>
      <c r="T272" s="59">
        <f>SUMIF(Allocation[Delivery ID],Allocation[[#This Row],[Delivery ID]],Allocation[Quantity allocated])/SUMIF(Allocation[Delivery ID],Allocation[[#This Row],[Delivery ID]],Allocation[Volume available (kg)])</f>
        <v>1.17003355704698</v>
      </c>
      <c r="U272" s="61">
        <f>Allocation[[#This Row],[Total volume used]]/VLOOKUP(Allocation[[#This Row],[Delivery ID]],Delivery[[Delivery ID]:[Quantity delivered]],3,FALSE)</f>
        <v>4.5409523809523809E-2</v>
      </c>
      <c r="V272" s="34" t="e">
        <f>VLOOKUP(Allocation[[#This Row],[SAP Contract number]],Shipments[[SAP Contract number]:[Contracted container weight]],2,FALSE)</f>
        <v>#N/A</v>
      </c>
      <c r="W272" s="34" t="e">
        <f>VLOOKUP(Allocation[[#This Row],[SAP Contract number]],Shipments[[SAP Contract number]:[AAA Premium USD]],24,FALSE)</f>
        <v>#N/A</v>
      </c>
      <c r="X272" s="34" t="e">
        <f>VLOOKUP(Allocation[[#This Row],[SAP Contract number]],Shipments[[SAP Contract number]:[RA Premium USD]],25,FALSE)</f>
        <v>#N/A</v>
      </c>
      <c r="Y272" s="38">
        <f>Allocation[[#This Row],[Quantity Processed]]/Allocation[[#This Row],[Quantity allocated]]</f>
        <v>2.5</v>
      </c>
      <c r="Z272" s="34" t="b">
        <f>Allocation[[#This Row],[Quantity allocated]]&lt;=Allocation[[#This Row],[Quantity Processed]]</f>
        <v>1</v>
      </c>
    </row>
    <row r="273" spans="1:26">
      <c r="A273" s="247" t="s">
        <v>467</v>
      </c>
      <c r="B273" s="160" t="s">
        <v>68</v>
      </c>
      <c r="C273" s="249" t="s">
        <v>769</v>
      </c>
      <c r="D273" s="250">
        <v>298</v>
      </c>
      <c r="E273" s="160" t="s">
        <v>1186</v>
      </c>
      <c r="F273" s="158">
        <v>43487</v>
      </c>
      <c r="G273" s="162">
        <v>2.93</v>
      </c>
      <c r="H273" s="250">
        <v>119</v>
      </c>
      <c r="I273" s="160">
        <v>1425074</v>
      </c>
      <c r="J273" s="163">
        <v>21600</v>
      </c>
      <c r="K273" s="158">
        <v>43494</v>
      </c>
      <c r="L273" s="160" t="s">
        <v>1197</v>
      </c>
      <c r="M273" s="160">
        <v>4615513976</v>
      </c>
      <c r="N273" s="158">
        <v>43516</v>
      </c>
      <c r="O273" s="164">
        <v>3.7094</v>
      </c>
      <c r="P273" s="165">
        <v>19739</v>
      </c>
      <c r="Q273" s="34">
        <f>SUMIF(Allocation[Delivery ID],Allocation[[#This Row],[Delivery ID]],Allocation[Quantity Processed])</f>
        <v>298</v>
      </c>
      <c r="R273" s="61">
        <f>Allocation[[#This Row],[Total volume used]]/VLOOKUP(Allocation[[#This Row],[Delivery ID]],Delivery[[Delivery ID]:[Quantity delivered]],3,FALSE)</f>
        <v>5.346250448510944E-2</v>
      </c>
      <c r="S273" s="34">
        <f>Allocation[[#This Row],[Quantity Processed]]/Allocation[[#This Row],[Dilution rate]]</f>
        <v>101.70648464163823</v>
      </c>
      <c r="T273" s="59">
        <f>SUMIF(Allocation[Delivery ID],Allocation[[#This Row],[Delivery ID]],Allocation[Quantity allocated])/SUMIF(Allocation[Delivery ID],Allocation[[#This Row],[Delivery ID]],Allocation[Volume available (kg)])</f>
        <v>1.1700335570469798</v>
      </c>
      <c r="U273" s="61">
        <f>Allocation[[#This Row],[Total volume used]]/VLOOKUP(Allocation[[#This Row],[Delivery ID]],Delivery[[Delivery ID]:[Quantity delivered]],3,FALSE)</f>
        <v>5.346250448510944E-2</v>
      </c>
      <c r="V273" s="34" t="e">
        <f>VLOOKUP(Allocation[[#This Row],[SAP Contract number]],Shipments[[SAP Contract number]:[Contracted container weight]],2,FALSE)</f>
        <v>#N/A</v>
      </c>
      <c r="W273" s="34" t="e">
        <f>VLOOKUP(Allocation[[#This Row],[SAP Contract number]],Shipments[[SAP Contract number]:[AAA Premium USD]],24,FALSE)</f>
        <v>#N/A</v>
      </c>
      <c r="X273" s="34" t="e">
        <f>VLOOKUP(Allocation[[#This Row],[SAP Contract number]],Shipments[[SAP Contract number]:[RA Premium USD]],25,FALSE)</f>
        <v>#N/A</v>
      </c>
      <c r="Y273" s="38">
        <f>Allocation[[#This Row],[Quantity Processed]]/Allocation[[#This Row],[Quantity allocated]]</f>
        <v>2.5042016806722689</v>
      </c>
      <c r="Z273" s="34" t="b">
        <f>Allocation[[#This Row],[Quantity allocated]]&lt;=Allocation[[#This Row],[Quantity Processed]]</f>
        <v>1</v>
      </c>
    </row>
    <row r="274" spans="1:26">
      <c r="A274" s="247" t="s">
        <v>467</v>
      </c>
      <c r="B274" s="160" t="s">
        <v>68</v>
      </c>
      <c r="C274" s="249" t="s">
        <v>770</v>
      </c>
      <c r="D274" s="250">
        <v>298</v>
      </c>
      <c r="E274" s="160" t="s">
        <v>1186</v>
      </c>
      <c r="F274" s="158">
        <v>43487</v>
      </c>
      <c r="G274" s="162">
        <v>2.93</v>
      </c>
      <c r="H274" s="250">
        <v>119</v>
      </c>
      <c r="I274" s="160">
        <v>1425074</v>
      </c>
      <c r="J274" s="163">
        <v>21600</v>
      </c>
      <c r="K274" s="158">
        <v>43494</v>
      </c>
      <c r="L274" s="160" t="s">
        <v>1197</v>
      </c>
      <c r="M274" s="160">
        <v>4615513976</v>
      </c>
      <c r="N274" s="158">
        <v>43516</v>
      </c>
      <c r="O274" s="164">
        <v>3.7094</v>
      </c>
      <c r="P274" s="165">
        <v>19739</v>
      </c>
      <c r="Q274" s="34">
        <f>SUMIF(Allocation[Delivery ID],Allocation[[#This Row],[Delivery ID]],Allocation[Quantity Processed])</f>
        <v>298</v>
      </c>
      <c r="R274" s="61">
        <f>Allocation[[#This Row],[Total volume used]]/VLOOKUP(Allocation[[#This Row],[Delivery ID]],Delivery[[Delivery ID]:[Quantity delivered]],3,FALSE)</f>
        <v>3.2785081687661588E-2</v>
      </c>
      <c r="S274" s="34">
        <f>Allocation[[#This Row],[Quantity Processed]]/Allocation[[#This Row],[Dilution rate]]</f>
        <v>101.70648464163823</v>
      </c>
      <c r="T274" s="59">
        <f>SUMIF(Allocation[Delivery ID],Allocation[[#This Row],[Delivery ID]],Allocation[Quantity allocated])/SUMIF(Allocation[Delivery ID],Allocation[[#This Row],[Delivery ID]],Allocation[Volume available (kg)])</f>
        <v>1.1700335570469798</v>
      </c>
      <c r="U274" s="61">
        <f>Allocation[[#This Row],[Total volume used]]/VLOOKUP(Allocation[[#This Row],[Delivery ID]],Delivery[[Delivery ID]:[Quantity delivered]],3,FALSE)</f>
        <v>3.2785081687661588E-2</v>
      </c>
      <c r="V274" s="34" t="e">
        <f>VLOOKUP(Allocation[[#This Row],[SAP Contract number]],Shipments[[SAP Contract number]:[Contracted container weight]],2,FALSE)</f>
        <v>#N/A</v>
      </c>
      <c r="W274" s="34" t="e">
        <f>VLOOKUP(Allocation[[#This Row],[SAP Contract number]],Shipments[[SAP Contract number]:[AAA Premium USD]],24,FALSE)</f>
        <v>#N/A</v>
      </c>
      <c r="X274" s="34" t="e">
        <f>VLOOKUP(Allocation[[#This Row],[SAP Contract number]],Shipments[[SAP Contract number]:[RA Premium USD]],25,FALSE)</f>
        <v>#N/A</v>
      </c>
      <c r="Y274" s="38">
        <f>Allocation[[#This Row],[Quantity Processed]]/Allocation[[#This Row],[Quantity allocated]]</f>
        <v>2.5042016806722689</v>
      </c>
      <c r="Z274" s="34" t="b">
        <f>Allocation[[#This Row],[Quantity allocated]]&lt;=Allocation[[#This Row],[Quantity Processed]]</f>
        <v>1</v>
      </c>
    </row>
    <row r="275" spans="1:26">
      <c r="A275" s="247" t="s">
        <v>467</v>
      </c>
      <c r="B275" s="160" t="s">
        <v>68</v>
      </c>
      <c r="C275" s="249" t="s">
        <v>771</v>
      </c>
      <c r="D275" s="250">
        <v>298</v>
      </c>
      <c r="E275" s="160" t="s">
        <v>1186</v>
      </c>
      <c r="F275" s="158">
        <v>43487</v>
      </c>
      <c r="G275" s="162">
        <v>2.93</v>
      </c>
      <c r="H275" s="250">
        <v>119</v>
      </c>
      <c r="I275" s="160">
        <v>1425074</v>
      </c>
      <c r="J275" s="163">
        <v>21600</v>
      </c>
      <c r="K275" s="158">
        <v>43494</v>
      </c>
      <c r="L275" s="160" t="s">
        <v>1197</v>
      </c>
      <c r="M275" s="160">
        <v>4615513976</v>
      </c>
      <c r="N275" s="158">
        <v>43516</v>
      </c>
      <c r="O275" s="164">
        <v>3.7094</v>
      </c>
      <c r="P275" s="165">
        <v>19739</v>
      </c>
      <c r="Q275" s="34">
        <f>SUMIF(Allocation[Delivery ID],Allocation[[#This Row],[Delivery ID]],Allocation[Quantity Processed])</f>
        <v>298</v>
      </c>
      <c r="R275" s="61">
        <f>Allocation[[#This Row],[Total volume used]]/VLOOKUP(Allocation[[#This Row],[Delivery ID]],Delivery[[Delivery ID]:[Quantity delivered]],3,FALSE)</f>
        <v>3.2785081687661588E-2</v>
      </c>
      <c r="S275" s="34">
        <f>Allocation[[#This Row],[Quantity Processed]]/Allocation[[#This Row],[Dilution rate]]</f>
        <v>101.70648464163823</v>
      </c>
      <c r="T275" s="59">
        <f>SUMIF(Allocation[Delivery ID],Allocation[[#This Row],[Delivery ID]],Allocation[Quantity allocated])/SUMIF(Allocation[Delivery ID],Allocation[[#This Row],[Delivery ID]],Allocation[Volume available (kg)])</f>
        <v>1.1700335570469798</v>
      </c>
      <c r="U275" s="61">
        <f>Allocation[[#This Row],[Total volume used]]/VLOOKUP(Allocation[[#This Row],[Delivery ID]],Delivery[[Delivery ID]:[Quantity delivered]],3,FALSE)</f>
        <v>3.2785081687661588E-2</v>
      </c>
      <c r="V275" s="34" t="e">
        <f>VLOOKUP(Allocation[[#This Row],[SAP Contract number]],Shipments[[SAP Contract number]:[Contracted container weight]],2,FALSE)</f>
        <v>#N/A</v>
      </c>
      <c r="W275" s="34" t="e">
        <f>VLOOKUP(Allocation[[#This Row],[SAP Contract number]],Shipments[[SAP Contract number]:[AAA Premium USD]],24,FALSE)</f>
        <v>#N/A</v>
      </c>
      <c r="X275" s="34" t="e">
        <f>VLOOKUP(Allocation[[#This Row],[SAP Contract number]],Shipments[[SAP Contract number]:[RA Premium USD]],25,FALSE)</f>
        <v>#N/A</v>
      </c>
      <c r="Y275" s="38">
        <f>Allocation[[#This Row],[Quantity Processed]]/Allocation[[#This Row],[Quantity allocated]]</f>
        <v>2.5042016806722689</v>
      </c>
      <c r="Z275" s="34" t="b">
        <f>Allocation[[#This Row],[Quantity allocated]]&lt;=Allocation[[#This Row],[Quantity Processed]]</f>
        <v>1</v>
      </c>
    </row>
    <row r="276" spans="1:26">
      <c r="A276" s="247" t="s">
        <v>467</v>
      </c>
      <c r="B276" s="160" t="s">
        <v>68</v>
      </c>
      <c r="C276" s="249" t="s">
        <v>772</v>
      </c>
      <c r="D276" s="250">
        <v>533</v>
      </c>
      <c r="E276" s="160" t="s">
        <v>1186</v>
      </c>
      <c r="F276" s="158">
        <v>43487</v>
      </c>
      <c r="G276" s="162">
        <v>2.93</v>
      </c>
      <c r="H276" s="250">
        <v>213</v>
      </c>
      <c r="I276" s="160">
        <v>1425074</v>
      </c>
      <c r="J276" s="163">
        <v>21600</v>
      </c>
      <c r="K276" s="158">
        <v>43494</v>
      </c>
      <c r="L276" s="160" t="s">
        <v>1197</v>
      </c>
      <c r="M276" s="160">
        <v>4615513976</v>
      </c>
      <c r="N276" s="158">
        <v>43516</v>
      </c>
      <c r="O276" s="164">
        <v>3.7094</v>
      </c>
      <c r="P276" s="165">
        <v>19739</v>
      </c>
      <c r="Q276" s="34">
        <f>SUMIF(Allocation[Delivery ID],Allocation[[#This Row],[Delivery ID]],Allocation[Quantity Processed])</f>
        <v>681</v>
      </c>
      <c r="R276" s="61">
        <f>Allocation[[#This Row],[Total volume used]]/VLOOKUP(Allocation[[#This Row],[Delivery ID]],Delivery[[Delivery ID]:[Quantity delivered]],3,FALSE)</f>
        <v>2.2139501617386498E-2</v>
      </c>
      <c r="S276" s="34">
        <f>Allocation[[#This Row],[Quantity Processed]]/Allocation[[#This Row],[Dilution rate]]</f>
        <v>181.91126279863479</v>
      </c>
      <c r="T276" s="59">
        <f>SUMIF(Allocation[Delivery ID],Allocation[[#This Row],[Delivery ID]],Allocation[Quantity allocated])/SUMIF(Allocation[Delivery ID],Allocation[[#This Row],[Delivery ID]],Allocation[Volume available (kg)])</f>
        <v>1.1281098893632442</v>
      </c>
      <c r="U276" s="61">
        <f>Allocation[[#This Row],[Total volume used]]/VLOOKUP(Allocation[[#This Row],[Delivery ID]],Delivery[[Delivery ID]:[Quantity delivered]],3,FALSE)</f>
        <v>2.2139501617386498E-2</v>
      </c>
      <c r="V276" s="34" t="e">
        <f>VLOOKUP(Allocation[[#This Row],[SAP Contract number]],Shipments[[SAP Contract number]:[Contracted container weight]],2,FALSE)</f>
        <v>#N/A</v>
      </c>
      <c r="W276" s="34" t="e">
        <f>VLOOKUP(Allocation[[#This Row],[SAP Contract number]],Shipments[[SAP Contract number]:[AAA Premium USD]],24,FALSE)</f>
        <v>#N/A</v>
      </c>
      <c r="X276" s="34" t="e">
        <f>VLOOKUP(Allocation[[#This Row],[SAP Contract number]],Shipments[[SAP Contract number]:[RA Premium USD]],25,FALSE)</f>
        <v>#N/A</v>
      </c>
      <c r="Y276" s="38">
        <f>Allocation[[#This Row],[Quantity Processed]]/Allocation[[#This Row],[Quantity allocated]]</f>
        <v>2.5023474178403755</v>
      </c>
      <c r="Z276" s="34" t="b">
        <f>Allocation[[#This Row],[Quantity allocated]]&lt;=Allocation[[#This Row],[Quantity Processed]]</f>
        <v>1</v>
      </c>
    </row>
    <row r="277" spans="1:26">
      <c r="A277" s="247" t="s">
        <v>467</v>
      </c>
      <c r="B277" s="160" t="s">
        <v>68</v>
      </c>
      <c r="C277" s="249" t="s">
        <v>773</v>
      </c>
      <c r="D277" s="250">
        <v>723</v>
      </c>
      <c r="E277" s="160" t="s">
        <v>1186</v>
      </c>
      <c r="F277" s="158">
        <v>43487</v>
      </c>
      <c r="G277" s="162">
        <v>2.93</v>
      </c>
      <c r="H277" s="250">
        <v>289</v>
      </c>
      <c r="I277" s="160">
        <v>1425074</v>
      </c>
      <c r="J277" s="163">
        <v>21600</v>
      </c>
      <c r="K277" s="158">
        <v>43494</v>
      </c>
      <c r="L277" s="160" t="s">
        <v>1197</v>
      </c>
      <c r="M277" s="160">
        <v>4615513976</v>
      </c>
      <c r="N277" s="158">
        <v>43516</v>
      </c>
      <c r="O277" s="164">
        <v>3.7094</v>
      </c>
      <c r="P277" s="165">
        <v>19739</v>
      </c>
      <c r="Q277" s="34">
        <f>SUMIF(Allocation[Delivery ID],Allocation[[#This Row],[Delivery ID]],Allocation[Quantity Processed])</f>
        <v>723</v>
      </c>
      <c r="R277" s="61">
        <f>Allocation[[#This Row],[Total volume used]]/VLOOKUP(Allocation[[#This Row],[Delivery ID]],Delivery[[Delivery ID]:[Quantity delivered]],3,FALSE)</f>
        <v>2.3497294398674012E-2</v>
      </c>
      <c r="S277" s="34">
        <f>Allocation[[#This Row],[Quantity Processed]]/Allocation[[#This Row],[Dilution rate]]</f>
        <v>246.75767918088735</v>
      </c>
      <c r="T277" s="59">
        <f>SUMIF(Allocation[Delivery ID],Allocation[[#This Row],[Delivery ID]],Allocation[Quantity allocated])/SUMIF(Allocation[Delivery ID],Allocation[[#This Row],[Delivery ID]],Allocation[Volume available (kg)])</f>
        <v>1.1711894882434302</v>
      </c>
      <c r="U277" s="61">
        <f>Allocation[[#This Row],[Total volume used]]/VLOOKUP(Allocation[[#This Row],[Delivery ID]],Delivery[[Delivery ID]:[Quantity delivered]],3,FALSE)</f>
        <v>2.3497294398674012E-2</v>
      </c>
      <c r="V277" s="34" t="e">
        <f>VLOOKUP(Allocation[[#This Row],[SAP Contract number]],Shipments[[SAP Contract number]:[Contracted container weight]],2,FALSE)</f>
        <v>#N/A</v>
      </c>
      <c r="W277" s="34" t="e">
        <f>VLOOKUP(Allocation[[#This Row],[SAP Contract number]],Shipments[[SAP Contract number]:[AAA Premium USD]],24,FALSE)</f>
        <v>#N/A</v>
      </c>
      <c r="X277" s="34" t="e">
        <f>VLOOKUP(Allocation[[#This Row],[SAP Contract number]],Shipments[[SAP Contract number]:[RA Premium USD]],25,FALSE)</f>
        <v>#N/A</v>
      </c>
      <c r="Y277" s="38">
        <f>Allocation[[#This Row],[Quantity Processed]]/Allocation[[#This Row],[Quantity allocated]]</f>
        <v>2.5017301038062283</v>
      </c>
      <c r="Z277" s="34" t="b">
        <f>Allocation[[#This Row],[Quantity allocated]]&lt;=Allocation[[#This Row],[Quantity Processed]]</f>
        <v>1</v>
      </c>
    </row>
    <row r="278" spans="1:26">
      <c r="A278" s="247" t="s">
        <v>467</v>
      </c>
      <c r="B278" s="160" t="s">
        <v>68</v>
      </c>
      <c r="C278" s="249" t="s">
        <v>774</v>
      </c>
      <c r="D278" s="250">
        <v>415</v>
      </c>
      <c r="E278" s="160" t="s">
        <v>1186</v>
      </c>
      <c r="F278" s="158">
        <v>43487</v>
      </c>
      <c r="G278" s="162">
        <v>2.93</v>
      </c>
      <c r="H278" s="250">
        <v>166</v>
      </c>
      <c r="I278" s="160">
        <v>1425074</v>
      </c>
      <c r="J278" s="163">
        <v>21600</v>
      </c>
      <c r="K278" s="158">
        <v>43494</v>
      </c>
      <c r="L278" s="160" t="s">
        <v>1197</v>
      </c>
      <c r="M278" s="160">
        <v>4615513976</v>
      </c>
      <c r="N278" s="158">
        <v>43516</v>
      </c>
      <c r="O278" s="164">
        <v>3.7094</v>
      </c>
      <c r="P278" s="165">
        <v>19739</v>
      </c>
      <c r="Q278" s="34">
        <f>SUMIF(Allocation[Delivery ID],Allocation[[#This Row],[Delivery ID]],Allocation[Quantity Processed])</f>
        <v>563</v>
      </c>
      <c r="R278" s="61">
        <f>Allocation[[#This Row],[Total volume used]]/VLOOKUP(Allocation[[#This Row],[Delivery ID]],Delivery[[Delivery ID]:[Quantity delivered]],3,FALSE)</f>
        <v>2.3412483885723791E-2</v>
      </c>
      <c r="S278" s="34">
        <f>Allocation[[#This Row],[Quantity Processed]]/Allocation[[#This Row],[Dilution rate]]</f>
        <v>141.63822525597269</v>
      </c>
      <c r="T278" s="59">
        <f>SUMIF(Allocation[Delivery ID],Allocation[[#This Row],[Delivery ID]],Allocation[Quantity allocated])/SUMIF(Allocation[Delivery ID],Allocation[[#This Row],[Delivery ID]],Allocation[Volume available (kg)])</f>
        <v>1.1203046616909336</v>
      </c>
      <c r="U278" s="61">
        <f>Allocation[[#This Row],[Total volume used]]/VLOOKUP(Allocation[[#This Row],[Delivery ID]],Delivery[[Delivery ID]:[Quantity delivered]],3,FALSE)</f>
        <v>2.3412483885723791E-2</v>
      </c>
      <c r="V278" s="34" t="e">
        <f>VLOOKUP(Allocation[[#This Row],[SAP Contract number]],Shipments[[SAP Contract number]:[Contracted container weight]],2,FALSE)</f>
        <v>#N/A</v>
      </c>
      <c r="W278" s="34" t="e">
        <f>VLOOKUP(Allocation[[#This Row],[SAP Contract number]],Shipments[[SAP Contract number]:[AAA Premium USD]],24,FALSE)</f>
        <v>#N/A</v>
      </c>
      <c r="X278" s="34" t="e">
        <f>VLOOKUP(Allocation[[#This Row],[SAP Contract number]],Shipments[[SAP Contract number]:[RA Premium USD]],25,FALSE)</f>
        <v>#N/A</v>
      </c>
      <c r="Y278" s="38">
        <f>Allocation[[#This Row],[Quantity Processed]]/Allocation[[#This Row],[Quantity allocated]]</f>
        <v>2.5</v>
      </c>
      <c r="Z278" s="34" t="b">
        <f>Allocation[[#This Row],[Quantity allocated]]&lt;=Allocation[[#This Row],[Quantity Processed]]</f>
        <v>1</v>
      </c>
    </row>
    <row r="279" spans="1:26">
      <c r="A279" s="247" t="s">
        <v>467</v>
      </c>
      <c r="B279" s="160" t="s">
        <v>68</v>
      </c>
      <c r="C279" s="249" t="s">
        <v>775</v>
      </c>
      <c r="D279" s="250">
        <v>298</v>
      </c>
      <c r="E279" s="160" t="s">
        <v>1186</v>
      </c>
      <c r="F279" s="158">
        <v>43487</v>
      </c>
      <c r="G279" s="162">
        <v>2.93</v>
      </c>
      <c r="H279" s="250">
        <v>119</v>
      </c>
      <c r="I279" s="160">
        <v>1425074</v>
      </c>
      <c r="J279" s="163">
        <v>21600</v>
      </c>
      <c r="K279" s="158">
        <v>43494</v>
      </c>
      <c r="L279" s="160" t="s">
        <v>1197</v>
      </c>
      <c r="M279" s="160">
        <v>4615513976</v>
      </c>
      <c r="N279" s="158">
        <v>43516</v>
      </c>
      <c r="O279" s="164">
        <v>3.7094</v>
      </c>
      <c r="P279" s="165">
        <v>19739</v>
      </c>
      <c r="Q279" s="34">
        <f>SUMIF(Allocation[Delivery ID],Allocation[[#This Row],[Delivery ID]],Allocation[Quantity Processed])</f>
        <v>298</v>
      </c>
      <c r="R279" s="61">
        <f>Allocation[[#This Row],[Total volume used]]/VLOOKUP(Allocation[[#This Row],[Delivery ID]],Delivery[[Delivery ID]:[Quantity delivered]],3,FALSE)</f>
        <v>7.7473027427531524E-2</v>
      </c>
      <c r="S279" s="34">
        <f>Allocation[[#This Row],[Quantity Processed]]/Allocation[[#This Row],[Dilution rate]]</f>
        <v>101.70648464163823</v>
      </c>
      <c r="T279" s="59">
        <f>SUMIF(Allocation[Delivery ID],Allocation[[#This Row],[Delivery ID]],Allocation[Quantity allocated])/SUMIF(Allocation[Delivery ID],Allocation[[#This Row],[Delivery ID]],Allocation[Volume available (kg)])</f>
        <v>1.1700335570469798</v>
      </c>
      <c r="U279" s="61">
        <f>Allocation[[#This Row],[Total volume used]]/VLOOKUP(Allocation[[#This Row],[Delivery ID]],Delivery[[Delivery ID]:[Quantity delivered]],3,FALSE)</f>
        <v>7.7473027427531524E-2</v>
      </c>
      <c r="V279" s="34" t="e">
        <f>VLOOKUP(Allocation[[#This Row],[SAP Contract number]],Shipments[[SAP Contract number]:[Contracted container weight]],2,FALSE)</f>
        <v>#N/A</v>
      </c>
      <c r="W279" s="34" t="e">
        <f>VLOOKUP(Allocation[[#This Row],[SAP Contract number]],Shipments[[SAP Contract number]:[AAA Premium USD]],24,FALSE)</f>
        <v>#N/A</v>
      </c>
      <c r="X279" s="34" t="e">
        <f>VLOOKUP(Allocation[[#This Row],[SAP Contract number]],Shipments[[SAP Contract number]:[RA Premium USD]],25,FALSE)</f>
        <v>#N/A</v>
      </c>
      <c r="Y279" s="38">
        <f>Allocation[[#This Row],[Quantity Processed]]/Allocation[[#This Row],[Quantity allocated]]</f>
        <v>2.5042016806722689</v>
      </c>
      <c r="Z279" s="34" t="b">
        <f>Allocation[[#This Row],[Quantity allocated]]&lt;=Allocation[[#This Row],[Quantity Processed]]</f>
        <v>1</v>
      </c>
    </row>
    <row r="280" spans="1:26">
      <c r="A280" s="247" t="s">
        <v>467</v>
      </c>
      <c r="B280" s="160" t="s">
        <v>68</v>
      </c>
      <c r="C280" s="249" t="s">
        <v>776</v>
      </c>
      <c r="D280" s="250">
        <v>721</v>
      </c>
      <c r="E280" s="160" t="s">
        <v>1186</v>
      </c>
      <c r="F280" s="158">
        <v>43487</v>
      </c>
      <c r="G280" s="162">
        <v>2.93</v>
      </c>
      <c r="H280" s="250">
        <v>238</v>
      </c>
      <c r="I280" s="160">
        <v>1425074</v>
      </c>
      <c r="J280" s="163">
        <v>21600</v>
      </c>
      <c r="K280" s="158">
        <v>43494</v>
      </c>
      <c r="L280" s="160" t="s">
        <v>1197</v>
      </c>
      <c r="M280" s="160">
        <v>4615513976</v>
      </c>
      <c r="N280" s="158">
        <v>43516</v>
      </c>
      <c r="O280" s="164">
        <v>3.7094</v>
      </c>
      <c r="P280" s="165">
        <v>19739</v>
      </c>
      <c r="Q280" s="34">
        <f>SUMIF(Allocation[Delivery ID],Allocation[[#This Row],[Delivery ID]],Allocation[Quantity Processed])</f>
        <v>721</v>
      </c>
      <c r="R280" s="61">
        <f>Allocation[[#This Row],[Total volume used]]/VLOOKUP(Allocation[[#This Row],[Delivery ID]],Delivery[[Delivery ID]:[Quantity delivered]],3,FALSE)</f>
        <v>2.222564734895191E-2</v>
      </c>
      <c r="S280" s="34">
        <f>Allocation[[#This Row],[Quantity Processed]]/Allocation[[#This Row],[Dilution rate]]</f>
        <v>246.07508532423208</v>
      </c>
      <c r="T280" s="59">
        <f>SUMIF(Allocation[Delivery ID],Allocation[[#This Row],[Delivery ID]],Allocation[Quantity allocated])/SUMIF(Allocation[Delivery ID],Allocation[[#This Row],[Delivery ID]],Allocation[Volume available (kg)])</f>
        <v>0.96718446601941754</v>
      </c>
      <c r="U280" s="61">
        <f>Allocation[[#This Row],[Total volume used]]/VLOOKUP(Allocation[[#This Row],[Delivery ID]],Delivery[[Delivery ID]:[Quantity delivered]],3,FALSE)</f>
        <v>2.222564734895191E-2</v>
      </c>
      <c r="V280" s="34" t="e">
        <f>VLOOKUP(Allocation[[#This Row],[SAP Contract number]],Shipments[[SAP Contract number]:[Contracted container weight]],2,FALSE)</f>
        <v>#N/A</v>
      </c>
      <c r="W280" s="34" t="e">
        <f>VLOOKUP(Allocation[[#This Row],[SAP Contract number]],Shipments[[SAP Contract number]:[AAA Premium USD]],24,FALSE)</f>
        <v>#N/A</v>
      </c>
      <c r="X280" s="34" t="e">
        <f>VLOOKUP(Allocation[[#This Row],[SAP Contract number]],Shipments[[SAP Contract number]:[RA Premium USD]],25,FALSE)</f>
        <v>#N/A</v>
      </c>
      <c r="Y280" s="38">
        <f>Allocation[[#This Row],[Quantity Processed]]/Allocation[[#This Row],[Quantity allocated]]</f>
        <v>3.0294117647058822</v>
      </c>
      <c r="Z280" s="34" t="b">
        <f>Allocation[[#This Row],[Quantity allocated]]&lt;=Allocation[[#This Row],[Quantity Processed]]</f>
        <v>1</v>
      </c>
    </row>
    <row r="281" spans="1:26">
      <c r="A281" s="247" t="s">
        <v>467</v>
      </c>
      <c r="B281" s="160" t="s">
        <v>68</v>
      </c>
      <c r="C281" s="249" t="s">
        <v>777</v>
      </c>
      <c r="D281" s="250">
        <v>723</v>
      </c>
      <c r="E281" s="160" t="s">
        <v>1186</v>
      </c>
      <c r="F281" s="158">
        <v>43487</v>
      </c>
      <c r="G281" s="162">
        <v>2.93</v>
      </c>
      <c r="H281" s="250">
        <v>289</v>
      </c>
      <c r="I281" s="160">
        <v>1425074</v>
      </c>
      <c r="J281" s="163">
        <v>21600</v>
      </c>
      <c r="K281" s="158">
        <v>43494</v>
      </c>
      <c r="L281" s="160" t="s">
        <v>1197</v>
      </c>
      <c r="M281" s="160">
        <v>4615513976</v>
      </c>
      <c r="N281" s="158">
        <v>43516</v>
      </c>
      <c r="O281" s="164">
        <v>3.7094</v>
      </c>
      <c r="P281" s="165">
        <v>19739</v>
      </c>
      <c r="Q281" s="34">
        <f>SUMIF(Allocation[Delivery ID],Allocation[[#This Row],[Delivery ID]],Allocation[Quantity Processed])</f>
        <v>723</v>
      </c>
      <c r="R281" s="61">
        <f>Allocation[[#This Row],[Total volume used]]/VLOOKUP(Allocation[[#This Row],[Delivery ID]],Delivery[[Delivery ID]:[Quantity delivered]],3,FALSE)</f>
        <v>2.3802077332060377E-2</v>
      </c>
      <c r="S281" s="34">
        <f>Allocation[[#This Row],[Quantity Processed]]/Allocation[[#This Row],[Dilution rate]]</f>
        <v>246.75767918088735</v>
      </c>
      <c r="T281" s="59">
        <f>SUMIF(Allocation[Delivery ID],Allocation[[#This Row],[Delivery ID]],Allocation[Quantity allocated])/SUMIF(Allocation[Delivery ID],Allocation[[#This Row],[Delivery ID]],Allocation[Volume available (kg)])</f>
        <v>1.1711894882434302</v>
      </c>
      <c r="U281" s="61">
        <f>Allocation[[#This Row],[Total volume used]]/VLOOKUP(Allocation[[#This Row],[Delivery ID]],Delivery[[Delivery ID]:[Quantity delivered]],3,FALSE)</f>
        <v>2.3802077332060377E-2</v>
      </c>
      <c r="V281" s="34" t="e">
        <f>VLOOKUP(Allocation[[#This Row],[SAP Contract number]],Shipments[[SAP Contract number]:[Contracted container weight]],2,FALSE)</f>
        <v>#N/A</v>
      </c>
      <c r="W281" s="34" t="e">
        <f>VLOOKUP(Allocation[[#This Row],[SAP Contract number]],Shipments[[SAP Contract number]:[AAA Premium USD]],24,FALSE)</f>
        <v>#N/A</v>
      </c>
      <c r="X281" s="34" t="e">
        <f>VLOOKUP(Allocation[[#This Row],[SAP Contract number]],Shipments[[SAP Contract number]:[RA Premium USD]],25,FALSE)</f>
        <v>#N/A</v>
      </c>
      <c r="Y281" s="38">
        <f>Allocation[[#This Row],[Quantity Processed]]/Allocation[[#This Row],[Quantity allocated]]</f>
        <v>2.5017301038062283</v>
      </c>
      <c r="Z281" s="34" t="b">
        <f>Allocation[[#This Row],[Quantity allocated]]&lt;=Allocation[[#This Row],[Quantity Processed]]</f>
        <v>1</v>
      </c>
    </row>
    <row r="282" spans="1:26">
      <c r="A282" s="247" t="s">
        <v>467</v>
      </c>
      <c r="B282" s="160" t="s">
        <v>68</v>
      </c>
      <c r="C282" s="249" t="s">
        <v>778</v>
      </c>
      <c r="D282" s="250">
        <v>718</v>
      </c>
      <c r="E282" s="160" t="s">
        <v>1186</v>
      </c>
      <c r="F282" s="158">
        <v>43487</v>
      </c>
      <c r="G282" s="162">
        <v>2.93</v>
      </c>
      <c r="H282" s="250">
        <v>237</v>
      </c>
      <c r="I282" s="160">
        <v>1425074</v>
      </c>
      <c r="J282" s="163">
        <v>21600</v>
      </c>
      <c r="K282" s="158">
        <v>43494</v>
      </c>
      <c r="L282" s="160" t="s">
        <v>1197</v>
      </c>
      <c r="M282" s="160">
        <v>4615513976</v>
      </c>
      <c r="N282" s="158">
        <v>43516</v>
      </c>
      <c r="O282" s="164">
        <v>3.7094</v>
      </c>
      <c r="P282" s="165">
        <v>19739</v>
      </c>
      <c r="Q282" s="34">
        <f>SUMIF(Allocation[Delivery ID],Allocation[[#This Row],[Delivery ID]],Allocation[Quantity Processed])</f>
        <v>718</v>
      </c>
      <c r="R282" s="61">
        <f>Allocation[[#This Row],[Total volume used]]/VLOOKUP(Allocation[[#This Row],[Delivery ID]],Delivery[[Delivery ID]:[Quantity delivered]],3,FALSE)</f>
        <v>2.2214659199900993E-2</v>
      </c>
      <c r="S282" s="34">
        <f>Allocation[[#This Row],[Quantity Processed]]/Allocation[[#This Row],[Dilution rate]]</f>
        <v>245.05119453924914</v>
      </c>
      <c r="T282" s="59">
        <f>SUMIF(Allocation[Delivery ID],Allocation[[#This Row],[Delivery ID]],Allocation[Quantity allocated])/SUMIF(Allocation[Delivery ID],Allocation[[#This Row],[Delivery ID]],Allocation[Volume available (kg)])</f>
        <v>0.96714484679665746</v>
      </c>
      <c r="U282" s="61">
        <f>Allocation[[#This Row],[Total volume used]]/VLOOKUP(Allocation[[#This Row],[Delivery ID]],Delivery[[Delivery ID]:[Quantity delivered]],3,FALSE)</f>
        <v>2.2214659199900993E-2</v>
      </c>
      <c r="V282" s="34" t="e">
        <f>VLOOKUP(Allocation[[#This Row],[SAP Contract number]],Shipments[[SAP Contract number]:[Contracted container weight]],2,FALSE)</f>
        <v>#N/A</v>
      </c>
      <c r="W282" s="34" t="e">
        <f>VLOOKUP(Allocation[[#This Row],[SAP Contract number]],Shipments[[SAP Contract number]:[AAA Premium USD]],24,FALSE)</f>
        <v>#N/A</v>
      </c>
      <c r="X282" s="34" t="e">
        <f>VLOOKUP(Allocation[[#This Row],[SAP Contract number]],Shipments[[SAP Contract number]:[RA Premium USD]],25,FALSE)</f>
        <v>#N/A</v>
      </c>
      <c r="Y282" s="38">
        <f>Allocation[[#This Row],[Quantity Processed]]/Allocation[[#This Row],[Quantity allocated]]</f>
        <v>3.0295358649789028</v>
      </c>
      <c r="Z282" s="34" t="b">
        <f>Allocation[[#This Row],[Quantity allocated]]&lt;=Allocation[[#This Row],[Quantity Processed]]</f>
        <v>1</v>
      </c>
    </row>
    <row r="283" spans="1:26">
      <c r="A283" s="247" t="s">
        <v>467</v>
      </c>
      <c r="B283" s="160" t="s">
        <v>68</v>
      </c>
      <c r="C283" s="249" t="s">
        <v>779</v>
      </c>
      <c r="D283" s="250">
        <v>718</v>
      </c>
      <c r="E283" s="160" t="s">
        <v>1186</v>
      </c>
      <c r="F283" s="158">
        <v>43487</v>
      </c>
      <c r="G283" s="162">
        <v>2.93</v>
      </c>
      <c r="H283" s="250">
        <v>237</v>
      </c>
      <c r="I283" s="160">
        <v>1425074</v>
      </c>
      <c r="J283" s="163">
        <v>21600</v>
      </c>
      <c r="K283" s="158">
        <v>43494</v>
      </c>
      <c r="L283" s="160" t="s">
        <v>1197</v>
      </c>
      <c r="M283" s="160">
        <v>4615513976</v>
      </c>
      <c r="N283" s="158">
        <v>43516</v>
      </c>
      <c r="O283" s="164">
        <v>3.7094</v>
      </c>
      <c r="P283" s="165">
        <v>19739</v>
      </c>
      <c r="Q283" s="34">
        <f>SUMIF(Allocation[Delivery ID],Allocation[[#This Row],[Delivery ID]],Allocation[Quantity Processed])</f>
        <v>718</v>
      </c>
      <c r="R283" s="61">
        <f>Allocation[[#This Row],[Total volume used]]/VLOOKUP(Allocation[[#This Row],[Delivery ID]],Delivery[[Delivery ID]:[Quantity delivered]],3,FALSE)</f>
        <v>2.2221534461947943E-2</v>
      </c>
      <c r="S283" s="34">
        <f>Allocation[[#This Row],[Quantity Processed]]/Allocation[[#This Row],[Dilution rate]]</f>
        <v>245.05119453924914</v>
      </c>
      <c r="T283" s="59">
        <f>SUMIF(Allocation[Delivery ID],Allocation[[#This Row],[Delivery ID]],Allocation[Quantity allocated])/SUMIF(Allocation[Delivery ID],Allocation[[#This Row],[Delivery ID]],Allocation[Volume available (kg)])</f>
        <v>0.96714484679665746</v>
      </c>
      <c r="U283" s="61">
        <f>Allocation[[#This Row],[Total volume used]]/VLOOKUP(Allocation[[#This Row],[Delivery ID]],Delivery[[Delivery ID]:[Quantity delivered]],3,FALSE)</f>
        <v>2.2221534461947943E-2</v>
      </c>
      <c r="V283" s="34" t="e">
        <f>VLOOKUP(Allocation[[#This Row],[SAP Contract number]],Shipments[[SAP Contract number]:[Contracted container weight]],2,FALSE)</f>
        <v>#N/A</v>
      </c>
      <c r="W283" s="34" t="e">
        <f>VLOOKUP(Allocation[[#This Row],[SAP Contract number]],Shipments[[SAP Contract number]:[AAA Premium USD]],24,FALSE)</f>
        <v>#N/A</v>
      </c>
      <c r="X283" s="34" t="e">
        <f>VLOOKUP(Allocation[[#This Row],[SAP Contract number]],Shipments[[SAP Contract number]:[RA Premium USD]],25,FALSE)</f>
        <v>#N/A</v>
      </c>
      <c r="Y283" s="38">
        <f>Allocation[[#This Row],[Quantity Processed]]/Allocation[[#This Row],[Quantity allocated]]</f>
        <v>3.0295358649789028</v>
      </c>
      <c r="Z283" s="34" t="b">
        <f>Allocation[[#This Row],[Quantity allocated]]&lt;=Allocation[[#This Row],[Quantity Processed]]</f>
        <v>1</v>
      </c>
    </row>
    <row r="284" spans="1:26">
      <c r="A284" s="247" t="s">
        <v>467</v>
      </c>
      <c r="B284" s="160" t="s">
        <v>68</v>
      </c>
      <c r="C284" s="249" t="s">
        <v>780</v>
      </c>
      <c r="D284" s="250">
        <v>718</v>
      </c>
      <c r="E284" s="160" t="s">
        <v>1186</v>
      </c>
      <c r="F284" s="158">
        <v>43487</v>
      </c>
      <c r="G284" s="162">
        <v>2.93</v>
      </c>
      <c r="H284" s="250">
        <v>237</v>
      </c>
      <c r="I284" s="160">
        <v>1425074</v>
      </c>
      <c r="J284" s="163">
        <v>21600</v>
      </c>
      <c r="K284" s="158">
        <v>43494</v>
      </c>
      <c r="L284" s="160" t="s">
        <v>1197</v>
      </c>
      <c r="M284" s="160">
        <v>4615513976</v>
      </c>
      <c r="N284" s="158">
        <v>43516</v>
      </c>
      <c r="O284" s="164">
        <v>3.7094</v>
      </c>
      <c r="P284" s="165">
        <v>19739</v>
      </c>
      <c r="Q284" s="34">
        <f>SUMIF(Allocation[Delivery ID],Allocation[[#This Row],[Delivery ID]],Allocation[Quantity Processed])</f>
        <v>718</v>
      </c>
      <c r="R284" s="61">
        <f>Allocation[[#This Row],[Total volume used]]/VLOOKUP(Allocation[[#This Row],[Delivery ID]],Delivery[[Delivery ID]:[Quantity delivered]],3,FALSE)</f>
        <v>2.2228413980991301E-2</v>
      </c>
      <c r="S284" s="34">
        <f>Allocation[[#This Row],[Quantity Processed]]/Allocation[[#This Row],[Dilution rate]]</f>
        <v>245.05119453924914</v>
      </c>
      <c r="T284" s="59">
        <f>SUMIF(Allocation[Delivery ID],Allocation[[#This Row],[Delivery ID]],Allocation[Quantity allocated])/SUMIF(Allocation[Delivery ID],Allocation[[#This Row],[Delivery ID]],Allocation[Volume available (kg)])</f>
        <v>0.96714484679665746</v>
      </c>
      <c r="U284" s="61">
        <f>Allocation[[#This Row],[Total volume used]]/VLOOKUP(Allocation[[#This Row],[Delivery ID]],Delivery[[Delivery ID]:[Quantity delivered]],3,FALSE)</f>
        <v>2.2228413980991301E-2</v>
      </c>
      <c r="V284" s="34" t="e">
        <f>VLOOKUP(Allocation[[#This Row],[SAP Contract number]],Shipments[[SAP Contract number]:[Contracted container weight]],2,FALSE)</f>
        <v>#N/A</v>
      </c>
      <c r="W284" s="34" t="e">
        <f>VLOOKUP(Allocation[[#This Row],[SAP Contract number]],Shipments[[SAP Contract number]:[AAA Premium USD]],24,FALSE)</f>
        <v>#N/A</v>
      </c>
      <c r="X284" s="34" t="e">
        <f>VLOOKUP(Allocation[[#This Row],[SAP Contract number]],Shipments[[SAP Contract number]:[RA Premium USD]],25,FALSE)</f>
        <v>#N/A</v>
      </c>
      <c r="Y284" s="38">
        <f>Allocation[[#This Row],[Quantity Processed]]/Allocation[[#This Row],[Quantity allocated]]</f>
        <v>3.0295358649789028</v>
      </c>
      <c r="Z284" s="34" t="b">
        <f>Allocation[[#This Row],[Quantity allocated]]&lt;=Allocation[[#This Row],[Quantity Processed]]</f>
        <v>1</v>
      </c>
    </row>
    <row r="285" spans="1:26">
      <c r="A285" s="247" t="s">
        <v>467</v>
      </c>
      <c r="B285" s="160" t="s">
        <v>68</v>
      </c>
      <c r="C285" s="249" t="s">
        <v>781</v>
      </c>
      <c r="D285" s="250">
        <v>391</v>
      </c>
      <c r="E285" s="160" t="s">
        <v>1186</v>
      </c>
      <c r="F285" s="158">
        <v>43487</v>
      </c>
      <c r="G285" s="162">
        <v>2.93</v>
      </c>
      <c r="H285" s="250">
        <v>129</v>
      </c>
      <c r="I285" s="160">
        <v>1425074</v>
      </c>
      <c r="J285" s="163">
        <v>21600</v>
      </c>
      <c r="K285" s="158">
        <v>43494</v>
      </c>
      <c r="L285" s="160" t="s">
        <v>1197</v>
      </c>
      <c r="M285" s="160">
        <v>4615513976</v>
      </c>
      <c r="N285" s="158">
        <v>43516</v>
      </c>
      <c r="O285" s="164">
        <v>3.7094</v>
      </c>
      <c r="P285" s="165">
        <v>19739</v>
      </c>
      <c r="Q285" s="34">
        <f>SUMIF(Allocation[Delivery ID],Allocation[[#This Row],[Delivery ID]],Allocation[Quantity Processed])</f>
        <v>391</v>
      </c>
      <c r="R285" s="61">
        <f>Allocation[[#This Row],[Total volume used]]/VLOOKUP(Allocation[[#This Row],[Delivery ID]],Delivery[[Delivery ID]:[Quantity delivered]],3,FALSE)</f>
        <v>2.8424993638908075E-2</v>
      </c>
      <c r="S285" s="34">
        <f>Allocation[[#This Row],[Quantity Processed]]/Allocation[[#This Row],[Dilution rate]]</f>
        <v>133.4470989761092</v>
      </c>
      <c r="T285" s="59">
        <f>SUMIF(Allocation[Delivery ID],Allocation[[#This Row],[Delivery ID]],Allocation[Quantity allocated])/SUMIF(Allocation[Delivery ID],Allocation[[#This Row],[Delivery ID]],Allocation[Volume available (kg)])</f>
        <v>0.96667519181585682</v>
      </c>
      <c r="U285" s="61">
        <f>Allocation[[#This Row],[Total volume used]]/VLOOKUP(Allocation[[#This Row],[Delivery ID]],Delivery[[Delivery ID]:[Quantity delivered]],3,FALSE)</f>
        <v>2.8424993638908075E-2</v>
      </c>
      <c r="V285" s="34" t="e">
        <f>VLOOKUP(Allocation[[#This Row],[SAP Contract number]],Shipments[[SAP Contract number]:[Contracted container weight]],2,FALSE)</f>
        <v>#N/A</v>
      </c>
      <c r="W285" s="34" t="e">
        <f>VLOOKUP(Allocation[[#This Row],[SAP Contract number]],Shipments[[SAP Contract number]:[AAA Premium USD]],24,FALSE)</f>
        <v>#N/A</v>
      </c>
      <c r="X285" s="34" t="e">
        <f>VLOOKUP(Allocation[[#This Row],[SAP Contract number]],Shipments[[SAP Contract number]:[RA Premium USD]],25,FALSE)</f>
        <v>#N/A</v>
      </c>
      <c r="Y285" s="38">
        <f>Allocation[[#This Row],[Quantity Processed]]/Allocation[[#This Row],[Quantity allocated]]</f>
        <v>3.0310077519379846</v>
      </c>
      <c r="Z285" s="34" t="b">
        <f>Allocation[[#This Row],[Quantity allocated]]&lt;=Allocation[[#This Row],[Quantity Processed]]</f>
        <v>1</v>
      </c>
    </row>
    <row r="286" spans="1:26">
      <c r="A286" s="247" t="s">
        <v>467</v>
      </c>
      <c r="B286" s="160" t="s">
        <v>68</v>
      </c>
      <c r="C286" s="249" t="s">
        <v>782</v>
      </c>
      <c r="D286" s="250">
        <v>298</v>
      </c>
      <c r="E286" s="160" t="s">
        <v>1186</v>
      </c>
      <c r="F286" s="158">
        <v>43487</v>
      </c>
      <c r="G286" s="162">
        <v>2.93</v>
      </c>
      <c r="H286" s="250">
        <v>119</v>
      </c>
      <c r="I286" s="160">
        <v>1425074</v>
      </c>
      <c r="J286" s="163">
        <v>21600</v>
      </c>
      <c r="K286" s="158">
        <v>43494</v>
      </c>
      <c r="L286" s="160" t="s">
        <v>1197</v>
      </c>
      <c r="M286" s="160">
        <v>4615513976</v>
      </c>
      <c r="N286" s="158">
        <v>43516</v>
      </c>
      <c r="O286" s="164">
        <v>3.7094</v>
      </c>
      <c r="P286" s="165">
        <v>19739</v>
      </c>
      <c r="Q286" s="34">
        <f>SUMIF(Allocation[Delivery ID],Allocation[[#This Row],[Delivery ID]],Allocation[Quantity Processed])</f>
        <v>298</v>
      </c>
      <c r="R286" s="61">
        <f>Allocation[[#This Row],[Total volume used]]/VLOOKUP(Allocation[[#This Row],[Delivery ID]],Delivery[[Delivery ID]:[Quantity delivered]],3,FALSE)</f>
        <v>8.3990980834272824E-2</v>
      </c>
      <c r="S286" s="34">
        <f>Allocation[[#This Row],[Quantity Processed]]/Allocation[[#This Row],[Dilution rate]]</f>
        <v>101.70648464163823</v>
      </c>
      <c r="T286" s="59">
        <f>SUMIF(Allocation[Delivery ID],Allocation[[#This Row],[Delivery ID]],Allocation[Quantity allocated])/SUMIF(Allocation[Delivery ID],Allocation[[#This Row],[Delivery ID]],Allocation[Volume available (kg)])</f>
        <v>1.1700335570469798</v>
      </c>
      <c r="U286" s="61">
        <f>Allocation[[#This Row],[Total volume used]]/VLOOKUP(Allocation[[#This Row],[Delivery ID]],Delivery[[Delivery ID]:[Quantity delivered]],3,FALSE)</f>
        <v>8.3990980834272824E-2</v>
      </c>
      <c r="V286" s="34" t="e">
        <f>VLOOKUP(Allocation[[#This Row],[SAP Contract number]],Shipments[[SAP Contract number]:[Contracted container weight]],2,FALSE)</f>
        <v>#N/A</v>
      </c>
      <c r="W286" s="34" t="e">
        <f>VLOOKUP(Allocation[[#This Row],[SAP Contract number]],Shipments[[SAP Contract number]:[AAA Premium USD]],24,FALSE)</f>
        <v>#N/A</v>
      </c>
      <c r="X286" s="34" t="e">
        <f>VLOOKUP(Allocation[[#This Row],[SAP Contract number]],Shipments[[SAP Contract number]:[RA Premium USD]],25,FALSE)</f>
        <v>#N/A</v>
      </c>
      <c r="Y286" s="38">
        <f>Allocation[[#This Row],[Quantity Processed]]/Allocation[[#This Row],[Quantity allocated]]</f>
        <v>2.5042016806722689</v>
      </c>
      <c r="Z286" s="34" t="b">
        <f>Allocation[[#This Row],[Quantity allocated]]&lt;=Allocation[[#This Row],[Quantity Processed]]</f>
        <v>1</v>
      </c>
    </row>
    <row r="287" spans="1:26">
      <c r="A287" s="247" t="s">
        <v>467</v>
      </c>
      <c r="B287" s="160" t="s">
        <v>68</v>
      </c>
      <c r="C287" s="249" t="s">
        <v>783</v>
      </c>
      <c r="D287" s="250">
        <v>298</v>
      </c>
      <c r="E287" s="160" t="s">
        <v>1186</v>
      </c>
      <c r="F287" s="158">
        <v>43487</v>
      </c>
      <c r="G287" s="162">
        <v>2.93</v>
      </c>
      <c r="H287" s="250">
        <v>119</v>
      </c>
      <c r="I287" s="160">
        <v>1425074</v>
      </c>
      <c r="J287" s="163">
        <v>21600</v>
      </c>
      <c r="K287" s="158">
        <v>43494</v>
      </c>
      <c r="L287" s="160" t="s">
        <v>1197</v>
      </c>
      <c r="M287" s="160">
        <v>4615513976</v>
      </c>
      <c r="N287" s="158">
        <v>43516</v>
      </c>
      <c r="O287" s="164">
        <v>3.7094</v>
      </c>
      <c r="P287" s="165">
        <v>19739</v>
      </c>
      <c r="Q287" s="34">
        <f>SUMIF(Allocation[Delivery ID],Allocation[[#This Row],[Delivery ID]],Allocation[Quantity Processed])</f>
        <v>298</v>
      </c>
      <c r="R287" s="61">
        <f>Allocation[[#This Row],[Total volume used]]/VLOOKUP(Allocation[[#This Row],[Delivery ID]],Delivery[[Delivery ID]:[Quantity delivered]],3,FALSE)</f>
        <v>2.1545802906514352E-2</v>
      </c>
      <c r="S287" s="34">
        <f>Allocation[[#This Row],[Quantity Processed]]/Allocation[[#This Row],[Dilution rate]]</f>
        <v>101.70648464163823</v>
      </c>
      <c r="T287" s="59">
        <f>SUMIF(Allocation[Delivery ID],Allocation[[#This Row],[Delivery ID]],Allocation[Quantity allocated])/SUMIF(Allocation[Delivery ID],Allocation[[#This Row],[Delivery ID]],Allocation[Volume available (kg)])</f>
        <v>1.1700335570469798</v>
      </c>
      <c r="U287" s="61">
        <f>Allocation[[#This Row],[Total volume used]]/VLOOKUP(Allocation[[#This Row],[Delivery ID]],Delivery[[Delivery ID]:[Quantity delivered]],3,FALSE)</f>
        <v>2.1545802906514352E-2</v>
      </c>
      <c r="V287" s="34" t="e">
        <f>VLOOKUP(Allocation[[#This Row],[SAP Contract number]],Shipments[[SAP Contract number]:[Contracted container weight]],2,FALSE)</f>
        <v>#N/A</v>
      </c>
      <c r="W287" s="34" t="e">
        <f>VLOOKUP(Allocation[[#This Row],[SAP Contract number]],Shipments[[SAP Contract number]:[AAA Premium USD]],24,FALSE)</f>
        <v>#N/A</v>
      </c>
      <c r="X287" s="34" t="e">
        <f>VLOOKUP(Allocation[[#This Row],[SAP Contract number]],Shipments[[SAP Contract number]:[RA Premium USD]],25,FALSE)</f>
        <v>#N/A</v>
      </c>
      <c r="Y287" s="38">
        <f>Allocation[[#This Row],[Quantity Processed]]/Allocation[[#This Row],[Quantity allocated]]</f>
        <v>2.5042016806722689</v>
      </c>
      <c r="Z287" s="34" t="b">
        <f>Allocation[[#This Row],[Quantity allocated]]&lt;=Allocation[[#This Row],[Quantity Processed]]</f>
        <v>1</v>
      </c>
    </row>
    <row r="288" spans="1:26">
      <c r="A288" s="247" t="s">
        <v>467</v>
      </c>
      <c r="B288" s="160" t="s">
        <v>68</v>
      </c>
      <c r="C288" s="249" t="s">
        <v>784</v>
      </c>
      <c r="D288" s="250">
        <v>298</v>
      </c>
      <c r="E288" s="160" t="s">
        <v>1186</v>
      </c>
      <c r="F288" s="158">
        <v>43487</v>
      </c>
      <c r="G288" s="162">
        <v>2.93</v>
      </c>
      <c r="H288" s="250">
        <v>119</v>
      </c>
      <c r="I288" s="160">
        <v>1425074</v>
      </c>
      <c r="J288" s="163">
        <v>21600</v>
      </c>
      <c r="K288" s="158">
        <v>43494</v>
      </c>
      <c r="L288" s="160" t="s">
        <v>1197</v>
      </c>
      <c r="M288" s="160">
        <v>4615513976</v>
      </c>
      <c r="N288" s="158">
        <v>43516</v>
      </c>
      <c r="O288" s="164">
        <v>3.7094</v>
      </c>
      <c r="P288" s="165">
        <v>19739</v>
      </c>
      <c r="Q288" s="34">
        <f>SUMIF(Allocation[Delivery ID],Allocation[[#This Row],[Delivery ID]],Allocation[Quantity Processed])</f>
        <v>298</v>
      </c>
      <c r="R288" s="61">
        <f>Allocation[[#This Row],[Total volume used]]/VLOOKUP(Allocation[[#This Row],[Delivery ID]],Delivery[[Delivery ID]:[Quantity delivered]],3,FALSE)</f>
        <v>2.2627182991647683E-2</v>
      </c>
      <c r="S288" s="34">
        <f>Allocation[[#This Row],[Quantity Processed]]/Allocation[[#This Row],[Dilution rate]]</f>
        <v>101.70648464163823</v>
      </c>
      <c r="T288" s="59">
        <f>SUMIF(Allocation[Delivery ID],Allocation[[#This Row],[Delivery ID]],Allocation[Quantity allocated])/SUMIF(Allocation[Delivery ID],Allocation[[#This Row],[Delivery ID]],Allocation[Volume available (kg)])</f>
        <v>1.1700335570469798</v>
      </c>
      <c r="U288" s="61">
        <f>Allocation[[#This Row],[Total volume used]]/VLOOKUP(Allocation[[#This Row],[Delivery ID]],Delivery[[Delivery ID]:[Quantity delivered]],3,FALSE)</f>
        <v>2.2627182991647683E-2</v>
      </c>
      <c r="V288" s="34" t="e">
        <f>VLOOKUP(Allocation[[#This Row],[SAP Contract number]],Shipments[[SAP Contract number]:[Contracted container weight]],2,FALSE)</f>
        <v>#N/A</v>
      </c>
      <c r="W288" s="34" t="e">
        <f>VLOOKUP(Allocation[[#This Row],[SAP Contract number]],Shipments[[SAP Contract number]:[AAA Premium USD]],24,FALSE)</f>
        <v>#N/A</v>
      </c>
      <c r="X288" s="34" t="e">
        <f>VLOOKUP(Allocation[[#This Row],[SAP Contract number]],Shipments[[SAP Contract number]:[RA Premium USD]],25,FALSE)</f>
        <v>#N/A</v>
      </c>
      <c r="Y288" s="38">
        <f>Allocation[[#This Row],[Quantity Processed]]/Allocation[[#This Row],[Quantity allocated]]</f>
        <v>2.5042016806722689</v>
      </c>
      <c r="Z288" s="34" t="b">
        <f>Allocation[[#This Row],[Quantity allocated]]&lt;=Allocation[[#This Row],[Quantity Processed]]</f>
        <v>1</v>
      </c>
    </row>
    <row r="289" spans="1:26">
      <c r="A289" s="247" t="s">
        <v>467</v>
      </c>
      <c r="B289" s="160" t="s">
        <v>68</v>
      </c>
      <c r="C289" s="249" t="s">
        <v>785</v>
      </c>
      <c r="D289" s="250">
        <v>485</v>
      </c>
      <c r="E289" s="160" t="s">
        <v>1186</v>
      </c>
      <c r="F289" s="158">
        <v>43487</v>
      </c>
      <c r="G289" s="162">
        <v>2.93</v>
      </c>
      <c r="H289" s="250">
        <v>194</v>
      </c>
      <c r="I289" s="160">
        <v>1425074</v>
      </c>
      <c r="J289" s="163">
        <v>21600</v>
      </c>
      <c r="K289" s="158">
        <v>43494</v>
      </c>
      <c r="L289" s="160" t="s">
        <v>1197</v>
      </c>
      <c r="M289" s="160">
        <v>4615513976</v>
      </c>
      <c r="N289" s="158">
        <v>43516</v>
      </c>
      <c r="O289" s="164">
        <v>3.7094</v>
      </c>
      <c r="P289" s="165">
        <v>19739</v>
      </c>
      <c r="Q289" s="34">
        <f>SUMIF(Allocation[Delivery ID],Allocation[[#This Row],[Delivery ID]],Allocation[Quantity Processed])</f>
        <v>485</v>
      </c>
      <c r="R289" s="61">
        <f>Allocation[[#This Row],[Total volume used]]/VLOOKUP(Allocation[[#This Row],[Delivery ID]],Delivery[[Delivery ID]:[Quantity delivered]],3,FALSE)</f>
        <v>2.3442409009618637E-2</v>
      </c>
      <c r="S289" s="34">
        <f>Allocation[[#This Row],[Quantity Processed]]/Allocation[[#This Row],[Dilution rate]]</f>
        <v>165.52901023890783</v>
      </c>
      <c r="T289" s="59">
        <f>SUMIF(Allocation[Delivery ID],Allocation[[#This Row],[Delivery ID]],Allocation[Quantity allocated])/SUMIF(Allocation[Delivery ID],Allocation[[#This Row],[Delivery ID]],Allocation[Volume available (kg)])</f>
        <v>1.1720000000000002</v>
      </c>
      <c r="U289" s="61">
        <f>Allocation[[#This Row],[Total volume used]]/VLOOKUP(Allocation[[#This Row],[Delivery ID]],Delivery[[Delivery ID]:[Quantity delivered]],3,FALSE)</f>
        <v>2.3442409009618637E-2</v>
      </c>
      <c r="V289" s="34" t="e">
        <f>VLOOKUP(Allocation[[#This Row],[SAP Contract number]],Shipments[[SAP Contract number]:[Contracted container weight]],2,FALSE)</f>
        <v>#N/A</v>
      </c>
      <c r="W289" s="34" t="e">
        <f>VLOOKUP(Allocation[[#This Row],[SAP Contract number]],Shipments[[SAP Contract number]:[AAA Premium USD]],24,FALSE)</f>
        <v>#N/A</v>
      </c>
      <c r="X289" s="34" t="e">
        <f>VLOOKUP(Allocation[[#This Row],[SAP Contract number]],Shipments[[SAP Contract number]:[RA Premium USD]],25,FALSE)</f>
        <v>#N/A</v>
      </c>
      <c r="Y289" s="38">
        <f>Allocation[[#This Row],[Quantity Processed]]/Allocation[[#This Row],[Quantity allocated]]</f>
        <v>2.5</v>
      </c>
      <c r="Z289" s="34" t="b">
        <f>Allocation[[#This Row],[Quantity allocated]]&lt;=Allocation[[#This Row],[Quantity Processed]]</f>
        <v>1</v>
      </c>
    </row>
    <row r="290" spans="1:26">
      <c r="A290" s="247" t="s">
        <v>467</v>
      </c>
      <c r="B290" s="160" t="s">
        <v>68</v>
      </c>
      <c r="C290" s="249" t="s">
        <v>786</v>
      </c>
      <c r="D290" s="250">
        <v>298</v>
      </c>
      <c r="E290" s="160" t="s">
        <v>1186</v>
      </c>
      <c r="F290" s="158">
        <v>43487</v>
      </c>
      <c r="G290" s="162">
        <v>2.93</v>
      </c>
      <c r="H290" s="250">
        <v>119</v>
      </c>
      <c r="I290" s="160">
        <v>1425074</v>
      </c>
      <c r="J290" s="163">
        <v>21600</v>
      </c>
      <c r="K290" s="158">
        <v>43494</v>
      </c>
      <c r="L290" s="160" t="s">
        <v>1197</v>
      </c>
      <c r="M290" s="160">
        <v>4615513976</v>
      </c>
      <c r="N290" s="158">
        <v>43516</v>
      </c>
      <c r="O290" s="164">
        <v>3.7094</v>
      </c>
      <c r="P290" s="165">
        <v>19739</v>
      </c>
      <c r="Q290" s="34">
        <f>SUMIF(Allocation[Delivery ID],Allocation[[#This Row],[Delivery ID]],Allocation[Quantity Processed])</f>
        <v>298</v>
      </c>
      <c r="R290" s="61">
        <f>Allocation[[#This Row],[Total volume used]]/VLOOKUP(Allocation[[#This Row],[Delivery ID]],Delivery[[Delivery ID]:[Quantity delivered]],3,FALSE)</f>
        <v>2.1175300220279969E-2</v>
      </c>
      <c r="S290" s="34">
        <f>Allocation[[#This Row],[Quantity Processed]]/Allocation[[#This Row],[Dilution rate]]</f>
        <v>101.70648464163823</v>
      </c>
      <c r="T290" s="59">
        <f>SUMIF(Allocation[Delivery ID],Allocation[[#This Row],[Delivery ID]],Allocation[Quantity allocated])/SUMIF(Allocation[Delivery ID],Allocation[[#This Row],[Delivery ID]],Allocation[Volume available (kg)])</f>
        <v>1.1700335570469798</v>
      </c>
      <c r="U290" s="61">
        <f>Allocation[[#This Row],[Total volume used]]/VLOOKUP(Allocation[[#This Row],[Delivery ID]],Delivery[[Delivery ID]:[Quantity delivered]],3,FALSE)</f>
        <v>2.1175300220279969E-2</v>
      </c>
      <c r="V290" s="34" t="e">
        <f>VLOOKUP(Allocation[[#This Row],[SAP Contract number]],Shipments[[SAP Contract number]:[Contracted container weight]],2,FALSE)</f>
        <v>#N/A</v>
      </c>
      <c r="W290" s="34" t="e">
        <f>VLOOKUP(Allocation[[#This Row],[SAP Contract number]],Shipments[[SAP Contract number]:[AAA Premium USD]],24,FALSE)</f>
        <v>#N/A</v>
      </c>
      <c r="X290" s="34" t="e">
        <f>VLOOKUP(Allocation[[#This Row],[SAP Contract number]],Shipments[[SAP Contract number]:[RA Premium USD]],25,FALSE)</f>
        <v>#N/A</v>
      </c>
      <c r="Y290" s="38">
        <f>Allocation[[#This Row],[Quantity Processed]]/Allocation[[#This Row],[Quantity allocated]]</f>
        <v>2.5042016806722689</v>
      </c>
      <c r="Z290" s="34" t="b">
        <f>Allocation[[#This Row],[Quantity allocated]]&lt;=Allocation[[#This Row],[Quantity Processed]]</f>
        <v>1</v>
      </c>
    </row>
    <row r="291" spans="1:26">
      <c r="A291" s="247" t="s">
        <v>467</v>
      </c>
      <c r="B291" s="160" t="s">
        <v>68</v>
      </c>
      <c r="C291" s="249" t="s">
        <v>799</v>
      </c>
      <c r="D291" s="250">
        <v>484</v>
      </c>
      <c r="E291" s="160" t="s">
        <v>1186</v>
      </c>
      <c r="F291" s="158">
        <v>43487</v>
      </c>
      <c r="G291" s="162">
        <v>2.93</v>
      </c>
      <c r="H291" s="250">
        <v>218</v>
      </c>
      <c r="I291" s="160">
        <v>1425074</v>
      </c>
      <c r="J291" s="163">
        <v>21600</v>
      </c>
      <c r="K291" s="158">
        <v>43494</v>
      </c>
      <c r="L291" s="160" t="s">
        <v>1197</v>
      </c>
      <c r="M291" s="160">
        <v>4615513976</v>
      </c>
      <c r="N291" s="158">
        <v>43516</v>
      </c>
      <c r="O291" s="164">
        <v>3.7094</v>
      </c>
      <c r="P291" s="165">
        <v>19739</v>
      </c>
      <c r="Q291" s="34">
        <f>SUMIF(Allocation[Delivery ID],Allocation[[#This Row],[Delivery ID]],Allocation[Quantity Processed])</f>
        <v>484</v>
      </c>
      <c r="R291" s="61">
        <f>Allocation[[#This Row],[Total volume used]]/VLOOKUP(Allocation[[#This Row],[Delivery ID]],Delivery[[Delivery ID]:[Quantity delivered]],3,FALSE)</f>
        <v>4.2942063703309379E-2</v>
      </c>
      <c r="S291" s="34">
        <f>Allocation[[#This Row],[Quantity Processed]]/Allocation[[#This Row],[Dilution rate]]</f>
        <v>165.18771331058019</v>
      </c>
      <c r="T291" s="59">
        <f>SUMIF(Allocation[Delivery ID],Allocation[[#This Row],[Delivery ID]],Allocation[Quantity allocated])/SUMIF(Allocation[Delivery ID],Allocation[[#This Row],[Delivery ID]],Allocation[Volume available (kg)])</f>
        <v>1.3197107438016529</v>
      </c>
      <c r="U291" s="61">
        <f>Allocation[[#This Row],[Total volume used]]/VLOOKUP(Allocation[[#This Row],[Delivery ID]],Delivery[[Delivery ID]:[Quantity delivered]],3,FALSE)</f>
        <v>4.2942063703309379E-2</v>
      </c>
      <c r="V291" s="34" t="e">
        <f>VLOOKUP(Allocation[[#This Row],[SAP Contract number]],Shipments[[SAP Contract number]:[Contracted container weight]],2,FALSE)</f>
        <v>#N/A</v>
      </c>
      <c r="W291" s="34" t="e">
        <f>VLOOKUP(Allocation[[#This Row],[SAP Contract number]],Shipments[[SAP Contract number]:[AAA Premium USD]],24,FALSE)</f>
        <v>#N/A</v>
      </c>
      <c r="X291" s="34" t="e">
        <f>VLOOKUP(Allocation[[#This Row],[SAP Contract number]],Shipments[[SAP Contract number]:[RA Premium USD]],25,FALSE)</f>
        <v>#N/A</v>
      </c>
      <c r="Y291" s="38">
        <f>Allocation[[#This Row],[Quantity Processed]]/Allocation[[#This Row],[Quantity allocated]]</f>
        <v>2.2201834862385321</v>
      </c>
      <c r="Z291" s="34" t="b">
        <f>Allocation[[#This Row],[Quantity allocated]]&lt;=Allocation[[#This Row],[Quantity Processed]]</f>
        <v>1</v>
      </c>
    </row>
    <row r="292" spans="1:26">
      <c r="A292" s="247" t="s">
        <v>467</v>
      </c>
      <c r="B292" s="160" t="s">
        <v>68</v>
      </c>
      <c r="C292" s="249" t="s">
        <v>800</v>
      </c>
      <c r="D292" s="250">
        <v>836</v>
      </c>
      <c r="E292" s="160" t="s">
        <v>1186</v>
      </c>
      <c r="F292" s="158">
        <v>43487</v>
      </c>
      <c r="G292" s="162">
        <v>2.93</v>
      </c>
      <c r="H292" s="250">
        <v>376</v>
      </c>
      <c r="I292" s="160">
        <v>1425074</v>
      </c>
      <c r="J292" s="163">
        <v>21600</v>
      </c>
      <c r="K292" s="158">
        <v>43494</v>
      </c>
      <c r="L292" s="160" t="s">
        <v>1197</v>
      </c>
      <c r="M292" s="160">
        <v>4615513976</v>
      </c>
      <c r="N292" s="158">
        <v>43516</v>
      </c>
      <c r="O292" s="164">
        <v>3.7094</v>
      </c>
      <c r="P292" s="165">
        <v>19739</v>
      </c>
      <c r="Q292" s="34">
        <f>SUMIF(Allocation[Delivery ID],Allocation[[#This Row],[Delivery ID]],Allocation[Quantity Processed])</f>
        <v>836</v>
      </c>
      <c r="R292" s="61">
        <f>Allocation[[#This Row],[Total volume used]]/VLOOKUP(Allocation[[#This Row],[Delivery ID]],Delivery[[Delivery ID]:[Quantity delivered]],3,FALSE)</f>
        <v>4.5460724870170478E-2</v>
      </c>
      <c r="S292" s="34">
        <f>Allocation[[#This Row],[Quantity Processed]]/Allocation[[#This Row],[Dilution rate]]</f>
        <v>285.32423208191125</v>
      </c>
      <c r="T292" s="59">
        <f>SUMIF(Allocation[Delivery ID],Allocation[[#This Row],[Delivery ID]],Allocation[Quantity allocated])/SUMIF(Allocation[Delivery ID],Allocation[[#This Row],[Delivery ID]],Allocation[Volume available (kg)])</f>
        <v>1.3177990430622011</v>
      </c>
      <c r="U292" s="61">
        <f>Allocation[[#This Row],[Total volume used]]/VLOOKUP(Allocation[[#This Row],[Delivery ID]],Delivery[[Delivery ID]:[Quantity delivered]],3,FALSE)</f>
        <v>4.5460724870170478E-2</v>
      </c>
      <c r="V292" s="34" t="e">
        <f>VLOOKUP(Allocation[[#This Row],[SAP Contract number]],Shipments[[SAP Contract number]:[Contracted container weight]],2,FALSE)</f>
        <v>#N/A</v>
      </c>
      <c r="W292" s="34" t="e">
        <f>VLOOKUP(Allocation[[#This Row],[SAP Contract number]],Shipments[[SAP Contract number]:[AAA Premium USD]],24,FALSE)</f>
        <v>#N/A</v>
      </c>
      <c r="X292" s="34" t="e">
        <f>VLOOKUP(Allocation[[#This Row],[SAP Contract number]],Shipments[[SAP Contract number]:[RA Premium USD]],25,FALSE)</f>
        <v>#N/A</v>
      </c>
      <c r="Y292" s="38">
        <f>Allocation[[#This Row],[Quantity Processed]]/Allocation[[#This Row],[Quantity allocated]]</f>
        <v>2.2234042553191489</v>
      </c>
      <c r="Z292" s="34" t="b">
        <f>Allocation[[#This Row],[Quantity allocated]]&lt;=Allocation[[#This Row],[Quantity Processed]]</f>
        <v>1</v>
      </c>
    </row>
    <row r="293" spans="1:26">
      <c r="A293" s="247" t="s">
        <v>467</v>
      </c>
      <c r="B293" s="160" t="s">
        <v>68</v>
      </c>
      <c r="C293" s="249" t="s">
        <v>811</v>
      </c>
      <c r="D293" s="250">
        <v>2229</v>
      </c>
      <c r="E293" s="160" t="s">
        <v>1186</v>
      </c>
      <c r="F293" s="158">
        <v>43487</v>
      </c>
      <c r="G293" s="162">
        <v>2.93</v>
      </c>
      <c r="H293" s="250">
        <v>624</v>
      </c>
      <c r="I293" s="160">
        <v>1425074</v>
      </c>
      <c r="J293" s="163">
        <v>21600</v>
      </c>
      <c r="K293" s="158">
        <v>43494</v>
      </c>
      <c r="L293" s="160" t="s">
        <v>1197</v>
      </c>
      <c r="M293" s="160">
        <v>4615513976</v>
      </c>
      <c r="N293" s="158">
        <v>43516</v>
      </c>
      <c r="O293" s="164">
        <v>3.7094</v>
      </c>
      <c r="P293" s="165">
        <v>19739</v>
      </c>
      <c r="Q293" s="34">
        <f>SUMIF(Allocation[Delivery ID],Allocation[[#This Row],[Delivery ID]],Allocation[Quantity Processed])</f>
        <v>2229</v>
      </c>
      <c r="R293" s="61">
        <f>Allocation[[#This Row],[Total volume used]]/VLOOKUP(Allocation[[#This Row],[Delivery ID]],Delivery[[Delivery ID]:[Quantity delivered]],3,FALSE)</f>
        <v>7.2331380916067695E-2</v>
      </c>
      <c r="S293" s="34">
        <f>Allocation[[#This Row],[Quantity Processed]]/Allocation[[#This Row],[Dilution rate]]</f>
        <v>760.75085324232077</v>
      </c>
      <c r="T293" s="59">
        <f>SUMIF(Allocation[Delivery ID],Allocation[[#This Row],[Delivery ID]],Allocation[Quantity allocated])/SUMIF(Allocation[Delivery ID],Allocation[[#This Row],[Delivery ID]],Allocation[Volume available (kg)])</f>
        <v>0.82024226110363396</v>
      </c>
      <c r="U293" s="61">
        <f>Allocation[[#This Row],[Total volume used]]/VLOOKUP(Allocation[[#This Row],[Delivery ID]],Delivery[[Delivery ID]:[Quantity delivered]],3,FALSE)</f>
        <v>7.2331380916067695E-2</v>
      </c>
      <c r="V293" s="34" t="e">
        <f>VLOOKUP(Allocation[[#This Row],[SAP Contract number]],Shipments[[SAP Contract number]:[Contracted container weight]],2,FALSE)</f>
        <v>#N/A</v>
      </c>
      <c r="W293" s="34" t="e">
        <f>VLOOKUP(Allocation[[#This Row],[SAP Contract number]],Shipments[[SAP Contract number]:[AAA Premium USD]],24,FALSE)</f>
        <v>#N/A</v>
      </c>
      <c r="X293" s="34" t="e">
        <f>VLOOKUP(Allocation[[#This Row],[SAP Contract number]],Shipments[[SAP Contract number]:[RA Premium USD]],25,FALSE)</f>
        <v>#N/A</v>
      </c>
      <c r="Y293" s="38">
        <f>Allocation[[#This Row],[Quantity Processed]]/Allocation[[#This Row],[Quantity allocated]]</f>
        <v>3.5721153846153846</v>
      </c>
      <c r="Z293" s="34" t="b">
        <f>Allocation[[#This Row],[Quantity allocated]]&lt;=Allocation[[#This Row],[Quantity Processed]]</f>
        <v>1</v>
      </c>
    </row>
    <row r="294" spans="1:26">
      <c r="A294" s="247" t="s">
        <v>467</v>
      </c>
      <c r="B294" s="160" t="s">
        <v>68</v>
      </c>
      <c r="C294" s="249" t="s">
        <v>813</v>
      </c>
      <c r="D294" s="250">
        <v>1910</v>
      </c>
      <c r="E294" s="160" t="s">
        <v>1186</v>
      </c>
      <c r="F294" s="158">
        <v>43487</v>
      </c>
      <c r="G294" s="162">
        <v>2.93</v>
      </c>
      <c r="H294" s="250">
        <v>573</v>
      </c>
      <c r="I294" s="160">
        <v>1425074</v>
      </c>
      <c r="J294" s="163">
        <v>21600</v>
      </c>
      <c r="K294" s="158">
        <v>43494</v>
      </c>
      <c r="L294" s="160" t="s">
        <v>1197</v>
      </c>
      <c r="M294" s="160">
        <v>4615513976</v>
      </c>
      <c r="N294" s="158">
        <v>43516</v>
      </c>
      <c r="O294" s="164">
        <v>3.7094</v>
      </c>
      <c r="P294" s="165">
        <v>19739</v>
      </c>
      <c r="Q294" s="34">
        <f>SUMIF(Allocation[Delivery ID],Allocation[[#This Row],[Delivery ID]],Allocation[Quantity Processed])</f>
        <v>1910</v>
      </c>
      <c r="R294" s="61">
        <f>Allocation[[#This Row],[Total volume used]]/VLOOKUP(Allocation[[#This Row],[Delivery ID]],Delivery[[Delivery ID]:[Quantity delivered]],3,FALSE)</f>
        <v>6.4309764309764303E-2</v>
      </c>
      <c r="S294" s="34">
        <f>Allocation[[#This Row],[Quantity Processed]]/Allocation[[#This Row],[Dilution rate]]</f>
        <v>651.87713310580205</v>
      </c>
      <c r="T294" s="59">
        <f>SUMIF(Allocation[Delivery ID],Allocation[[#This Row],[Delivery ID]],Allocation[Quantity allocated])/SUMIF(Allocation[Delivery ID],Allocation[[#This Row],[Delivery ID]],Allocation[Volume available (kg)])</f>
        <v>0.879</v>
      </c>
      <c r="U294" s="61">
        <f>Allocation[[#This Row],[Total volume used]]/VLOOKUP(Allocation[[#This Row],[Delivery ID]],Delivery[[Delivery ID]:[Quantity delivered]],3,FALSE)</f>
        <v>6.4309764309764303E-2</v>
      </c>
      <c r="V294" s="34" t="e">
        <f>VLOOKUP(Allocation[[#This Row],[SAP Contract number]],Shipments[[SAP Contract number]:[Contracted container weight]],2,FALSE)</f>
        <v>#N/A</v>
      </c>
      <c r="W294" s="34" t="e">
        <f>VLOOKUP(Allocation[[#This Row],[SAP Contract number]],Shipments[[SAP Contract number]:[AAA Premium USD]],24,FALSE)</f>
        <v>#N/A</v>
      </c>
      <c r="X294" s="34" t="e">
        <f>VLOOKUP(Allocation[[#This Row],[SAP Contract number]],Shipments[[SAP Contract number]:[RA Premium USD]],25,FALSE)</f>
        <v>#N/A</v>
      </c>
      <c r="Y294" s="38">
        <f>Allocation[[#This Row],[Quantity Processed]]/Allocation[[#This Row],[Quantity allocated]]</f>
        <v>3.3333333333333335</v>
      </c>
      <c r="Z294" s="34" t="b">
        <f>Allocation[[#This Row],[Quantity allocated]]&lt;=Allocation[[#This Row],[Quantity Processed]]</f>
        <v>1</v>
      </c>
    </row>
    <row r="295" spans="1:26">
      <c r="A295" s="247" t="s">
        <v>467</v>
      </c>
      <c r="B295" s="160" t="s">
        <v>68</v>
      </c>
      <c r="C295" s="249" t="s">
        <v>814</v>
      </c>
      <c r="D295" s="250">
        <v>1910</v>
      </c>
      <c r="E295" s="160" t="s">
        <v>1186</v>
      </c>
      <c r="F295" s="158">
        <v>43487</v>
      </c>
      <c r="G295" s="162">
        <v>2.93</v>
      </c>
      <c r="H295" s="250">
        <v>573</v>
      </c>
      <c r="I295" s="160">
        <v>1425074</v>
      </c>
      <c r="J295" s="163">
        <v>21600</v>
      </c>
      <c r="K295" s="158">
        <v>43494</v>
      </c>
      <c r="L295" s="160" t="s">
        <v>1197</v>
      </c>
      <c r="M295" s="160">
        <v>4615513976</v>
      </c>
      <c r="N295" s="158">
        <v>43516</v>
      </c>
      <c r="O295" s="164">
        <v>3.7094</v>
      </c>
      <c r="P295" s="165">
        <v>19739</v>
      </c>
      <c r="Q295" s="34">
        <f>SUMIF(Allocation[Delivery ID],Allocation[[#This Row],[Delivery ID]],Allocation[Quantity Processed])</f>
        <v>1910</v>
      </c>
      <c r="R295" s="61">
        <f>Allocation[[#This Row],[Total volume used]]/VLOOKUP(Allocation[[#This Row],[Delivery ID]],Delivery[[Delivery ID]:[Quantity delivered]],3,FALSE)</f>
        <v>6.3879598662207354E-2</v>
      </c>
      <c r="S295" s="34">
        <f>Allocation[[#This Row],[Quantity Processed]]/Allocation[[#This Row],[Dilution rate]]</f>
        <v>651.87713310580205</v>
      </c>
      <c r="T295" s="59">
        <f>SUMIF(Allocation[Delivery ID],Allocation[[#This Row],[Delivery ID]],Allocation[Quantity allocated])/SUMIF(Allocation[Delivery ID],Allocation[[#This Row],[Delivery ID]],Allocation[Volume available (kg)])</f>
        <v>0.879</v>
      </c>
      <c r="U295" s="61">
        <f>Allocation[[#This Row],[Total volume used]]/VLOOKUP(Allocation[[#This Row],[Delivery ID]],Delivery[[Delivery ID]:[Quantity delivered]],3,FALSE)</f>
        <v>6.3879598662207354E-2</v>
      </c>
      <c r="V295" s="34" t="e">
        <f>VLOOKUP(Allocation[[#This Row],[SAP Contract number]],Shipments[[SAP Contract number]:[Contracted container weight]],2,FALSE)</f>
        <v>#N/A</v>
      </c>
      <c r="W295" s="34" t="e">
        <f>VLOOKUP(Allocation[[#This Row],[SAP Contract number]],Shipments[[SAP Contract number]:[AAA Premium USD]],24,FALSE)</f>
        <v>#N/A</v>
      </c>
      <c r="X295" s="34" t="e">
        <f>VLOOKUP(Allocation[[#This Row],[SAP Contract number]],Shipments[[SAP Contract number]:[RA Premium USD]],25,FALSE)</f>
        <v>#N/A</v>
      </c>
      <c r="Y295" s="38">
        <f>Allocation[[#This Row],[Quantity Processed]]/Allocation[[#This Row],[Quantity allocated]]</f>
        <v>3.3333333333333335</v>
      </c>
      <c r="Z295" s="34" t="b">
        <f>Allocation[[#This Row],[Quantity allocated]]&lt;=Allocation[[#This Row],[Quantity Processed]]</f>
        <v>1</v>
      </c>
    </row>
    <row r="296" spans="1:26">
      <c r="A296" s="247" t="s">
        <v>467</v>
      </c>
      <c r="B296" s="160" t="s">
        <v>68</v>
      </c>
      <c r="C296" s="249" t="s">
        <v>815</v>
      </c>
      <c r="D296" s="250">
        <v>1910</v>
      </c>
      <c r="E296" s="160" t="s">
        <v>1186</v>
      </c>
      <c r="F296" s="158">
        <v>43487</v>
      </c>
      <c r="G296" s="162">
        <v>2.93</v>
      </c>
      <c r="H296" s="250">
        <v>573</v>
      </c>
      <c r="I296" s="160">
        <v>1425074</v>
      </c>
      <c r="J296" s="163">
        <v>21600</v>
      </c>
      <c r="K296" s="158">
        <v>43494</v>
      </c>
      <c r="L296" s="160" t="s">
        <v>1197</v>
      </c>
      <c r="M296" s="160">
        <v>4615513976</v>
      </c>
      <c r="N296" s="158">
        <v>43516</v>
      </c>
      <c r="O296" s="164">
        <v>3.7094</v>
      </c>
      <c r="P296" s="165">
        <v>19739</v>
      </c>
      <c r="Q296" s="34">
        <f>SUMIF(Allocation[Delivery ID],Allocation[[#This Row],[Delivery ID]],Allocation[Quantity Processed])</f>
        <v>1910</v>
      </c>
      <c r="R296" s="61">
        <f>Allocation[[#This Row],[Total volume used]]/VLOOKUP(Allocation[[#This Row],[Delivery ID]],Delivery[[Delivery ID]:[Quantity delivered]],3,FALSE)</f>
        <v>6.4223268325487554E-2</v>
      </c>
      <c r="S296" s="34">
        <f>Allocation[[#This Row],[Quantity Processed]]/Allocation[[#This Row],[Dilution rate]]</f>
        <v>651.87713310580205</v>
      </c>
      <c r="T296" s="59">
        <f>SUMIF(Allocation[Delivery ID],Allocation[[#This Row],[Delivery ID]],Allocation[Quantity allocated])/SUMIF(Allocation[Delivery ID],Allocation[[#This Row],[Delivery ID]],Allocation[Volume available (kg)])</f>
        <v>0.879</v>
      </c>
      <c r="U296" s="61">
        <f>Allocation[[#This Row],[Total volume used]]/VLOOKUP(Allocation[[#This Row],[Delivery ID]],Delivery[[Delivery ID]:[Quantity delivered]],3,FALSE)</f>
        <v>6.4223268325487554E-2</v>
      </c>
      <c r="V296" s="34" t="e">
        <f>VLOOKUP(Allocation[[#This Row],[SAP Contract number]],Shipments[[SAP Contract number]:[Contracted container weight]],2,FALSE)</f>
        <v>#N/A</v>
      </c>
      <c r="W296" s="34" t="e">
        <f>VLOOKUP(Allocation[[#This Row],[SAP Contract number]],Shipments[[SAP Contract number]:[AAA Premium USD]],24,FALSE)</f>
        <v>#N/A</v>
      </c>
      <c r="X296" s="34" t="e">
        <f>VLOOKUP(Allocation[[#This Row],[SAP Contract number]],Shipments[[SAP Contract number]:[RA Premium USD]],25,FALSE)</f>
        <v>#N/A</v>
      </c>
      <c r="Y296" s="38">
        <f>Allocation[[#This Row],[Quantity Processed]]/Allocation[[#This Row],[Quantity allocated]]</f>
        <v>3.3333333333333335</v>
      </c>
      <c r="Z296" s="34" t="b">
        <f>Allocation[[#This Row],[Quantity allocated]]&lt;=Allocation[[#This Row],[Quantity Processed]]</f>
        <v>1</v>
      </c>
    </row>
    <row r="297" spans="1:26">
      <c r="A297" s="247" t="s">
        <v>467</v>
      </c>
      <c r="B297" s="160" t="s">
        <v>68</v>
      </c>
      <c r="C297" s="249" t="s">
        <v>816</v>
      </c>
      <c r="D297" s="250">
        <v>930</v>
      </c>
      <c r="E297" s="160" t="s">
        <v>1186</v>
      </c>
      <c r="F297" s="158">
        <v>43487</v>
      </c>
      <c r="G297" s="162">
        <v>2.93</v>
      </c>
      <c r="H297" s="250">
        <v>279</v>
      </c>
      <c r="I297" s="160">
        <v>1425074</v>
      </c>
      <c r="J297" s="163">
        <v>21600</v>
      </c>
      <c r="K297" s="158">
        <v>43494</v>
      </c>
      <c r="L297" s="160" t="s">
        <v>1197</v>
      </c>
      <c r="M297" s="160">
        <v>4615513976</v>
      </c>
      <c r="N297" s="158">
        <v>43516</v>
      </c>
      <c r="O297" s="164">
        <v>3.7094</v>
      </c>
      <c r="P297" s="165">
        <v>19739</v>
      </c>
      <c r="Q297" s="34">
        <f>SUMIF(Allocation[Delivery ID],Allocation[[#This Row],[Delivery ID]],Allocation[Quantity Processed])</f>
        <v>930</v>
      </c>
      <c r="R297" s="61">
        <f>Allocation[[#This Row],[Total volume used]]/VLOOKUP(Allocation[[#This Row],[Delivery ID]],Delivery[[Delivery ID]:[Quantity delivered]],3,FALSE)</f>
        <v>4.6364384176284371E-2</v>
      </c>
      <c r="S297" s="34">
        <f>Allocation[[#This Row],[Quantity Processed]]/Allocation[[#This Row],[Dilution rate]]</f>
        <v>317.4061433447099</v>
      </c>
      <c r="T297" s="59">
        <f>SUMIF(Allocation[Delivery ID],Allocation[[#This Row],[Delivery ID]],Allocation[Quantity allocated])/SUMIF(Allocation[Delivery ID],Allocation[[#This Row],[Delivery ID]],Allocation[Volume available (kg)])</f>
        <v>0.879</v>
      </c>
      <c r="U297" s="61">
        <f>Allocation[[#This Row],[Total volume used]]/VLOOKUP(Allocation[[#This Row],[Delivery ID]],Delivery[[Delivery ID]:[Quantity delivered]],3,FALSE)</f>
        <v>4.6364384176284371E-2</v>
      </c>
      <c r="V297" s="34" t="e">
        <f>VLOOKUP(Allocation[[#This Row],[SAP Contract number]],Shipments[[SAP Contract number]:[Contracted container weight]],2,FALSE)</f>
        <v>#N/A</v>
      </c>
      <c r="W297" s="34" t="e">
        <f>VLOOKUP(Allocation[[#This Row],[SAP Contract number]],Shipments[[SAP Contract number]:[AAA Premium USD]],24,FALSE)</f>
        <v>#N/A</v>
      </c>
      <c r="X297" s="34" t="e">
        <f>VLOOKUP(Allocation[[#This Row],[SAP Contract number]],Shipments[[SAP Contract number]:[RA Premium USD]],25,FALSE)</f>
        <v>#N/A</v>
      </c>
      <c r="Y297" s="38">
        <f>Allocation[[#This Row],[Quantity Processed]]/Allocation[[#This Row],[Quantity allocated]]</f>
        <v>3.3333333333333335</v>
      </c>
      <c r="Z297" s="34" t="b">
        <f>Allocation[[#This Row],[Quantity allocated]]&lt;=Allocation[[#This Row],[Quantity Processed]]</f>
        <v>1</v>
      </c>
    </row>
    <row r="298" spans="1:26">
      <c r="A298" s="247" t="s">
        <v>467</v>
      </c>
      <c r="B298" s="160" t="s">
        <v>68</v>
      </c>
      <c r="C298" s="249" t="s">
        <v>817</v>
      </c>
      <c r="D298" s="250">
        <v>470</v>
      </c>
      <c r="E298" s="160" t="s">
        <v>1186</v>
      </c>
      <c r="F298" s="158">
        <v>43487</v>
      </c>
      <c r="G298" s="162">
        <v>2.93</v>
      </c>
      <c r="H298" s="250">
        <v>155</v>
      </c>
      <c r="I298" s="160">
        <v>1425074</v>
      </c>
      <c r="J298" s="163">
        <v>21600</v>
      </c>
      <c r="K298" s="158">
        <v>43494</v>
      </c>
      <c r="L298" s="160" t="s">
        <v>1197</v>
      </c>
      <c r="M298" s="160">
        <v>4615513976</v>
      </c>
      <c r="N298" s="158">
        <v>43516</v>
      </c>
      <c r="O298" s="164">
        <v>3.7094</v>
      </c>
      <c r="P298" s="165">
        <v>19739</v>
      </c>
      <c r="Q298" s="34">
        <f>SUMIF(Allocation[Delivery ID],Allocation[[#This Row],[Delivery ID]],Allocation[Quantity Processed])</f>
        <v>470</v>
      </c>
      <c r="R298" s="61">
        <f>Allocation[[#This Row],[Total volume used]]/VLOOKUP(Allocation[[#This Row],[Delivery ID]],Delivery[[Delivery ID]:[Quantity delivered]],3,FALSE)</f>
        <v>4.3329952982391444E-2</v>
      </c>
      <c r="S298" s="34">
        <f>Allocation[[#This Row],[Quantity Processed]]/Allocation[[#This Row],[Dilution rate]]</f>
        <v>160.40955631399316</v>
      </c>
      <c r="T298" s="59">
        <f>SUMIF(Allocation[Delivery ID],Allocation[[#This Row],[Delivery ID]],Allocation[Quantity allocated])/SUMIF(Allocation[Delivery ID],Allocation[[#This Row],[Delivery ID]],Allocation[Volume available (kg)])</f>
        <v>0.96627659574468094</v>
      </c>
      <c r="U298" s="61">
        <f>Allocation[[#This Row],[Total volume used]]/VLOOKUP(Allocation[[#This Row],[Delivery ID]],Delivery[[Delivery ID]:[Quantity delivered]],3,FALSE)</f>
        <v>4.3329952982391444E-2</v>
      </c>
      <c r="V298" s="34" t="e">
        <f>VLOOKUP(Allocation[[#This Row],[SAP Contract number]],Shipments[[SAP Contract number]:[Contracted container weight]],2,FALSE)</f>
        <v>#N/A</v>
      </c>
      <c r="W298" s="34" t="e">
        <f>VLOOKUP(Allocation[[#This Row],[SAP Contract number]],Shipments[[SAP Contract number]:[AAA Premium USD]],24,FALSE)</f>
        <v>#N/A</v>
      </c>
      <c r="X298" s="34" t="e">
        <f>VLOOKUP(Allocation[[#This Row],[SAP Contract number]],Shipments[[SAP Contract number]:[RA Premium USD]],25,FALSE)</f>
        <v>#N/A</v>
      </c>
      <c r="Y298" s="38">
        <f>Allocation[[#This Row],[Quantity Processed]]/Allocation[[#This Row],[Quantity allocated]]</f>
        <v>3.032258064516129</v>
      </c>
      <c r="Z298" s="34" t="b">
        <f>Allocation[[#This Row],[Quantity allocated]]&lt;=Allocation[[#This Row],[Quantity Processed]]</f>
        <v>1</v>
      </c>
    </row>
    <row r="299" spans="1:26">
      <c r="A299" s="247" t="s">
        <v>467</v>
      </c>
      <c r="B299" s="160" t="s">
        <v>68</v>
      </c>
      <c r="C299" s="249" t="s">
        <v>818</v>
      </c>
      <c r="D299" s="250">
        <v>976</v>
      </c>
      <c r="E299" s="160" t="s">
        <v>1186</v>
      </c>
      <c r="F299" s="158">
        <v>43487</v>
      </c>
      <c r="G299" s="162">
        <v>2.93</v>
      </c>
      <c r="H299" s="250">
        <v>322</v>
      </c>
      <c r="I299" s="160">
        <v>1425074</v>
      </c>
      <c r="J299" s="163">
        <v>21600</v>
      </c>
      <c r="K299" s="158">
        <v>43494</v>
      </c>
      <c r="L299" s="160" t="s">
        <v>1197</v>
      </c>
      <c r="M299" s="160">
        <v>4615513976</v>
      </c>
      <c r="N299" s="158">
        <v>43516</v>
      </c>
      <c r="O299" s="164">
        <v>3.7094</v>
      </c>
      <c r="P299" s="165">
        <v>19739</v>
      </c>
      <c r="Q299" s="34">
        <f>SUMIF(Allocation[Delivery ID],Allocation[[#This Row],[Delivery ID]],Allocation[Quantity Processed])</f>
        <v>976</v>
      </c>
      <c r="R299" s="61">
        <f>Allocation[[#This Row],[Total volume used]]/VLOOKUP(Allocation[[#This Row],[Delivery ID]],Delivery[[Delivery ID]:[Quantity delivered]],3,FALSE)</f>
        <v>5.1056706423938066E-2</v>
      </c>
      <c r="S299" s="34">
        <f>Allocation[[#This Row],[Quantity Processed]]/Allocation[[#This Row],[Dilution rate]]</f>
        <v>333.10580204778154</v>
      </c>
      <c r="T299" s="59">
        <f>SUMIF(Allocation[Delivery ID],Allocation[[#This Row],[Delivery ID]],Allocation[Quantity allocated])/SUMIF(Allocation[Delivery ID],Allocation[[#This Row],[Delivery ID]],Allocation[Volume available (kg)])</f>
        <v>0.96665983606557382</v>
      </c>
      <c r="U299" s="61">
        <f>Allocation[[#This Row],[Total volume used]]/VLOOKUP(Allocation[[#This Row],[Delivery ID]],Delivery[[Delivery ID]:[Quantity delivered]],3,FALSE)</f>
        <v>5.1056706423938066E-2</v>
      </c>
      <c r="V299" s="34" t="e">
        <f>VLOOKUP(Allocation[[#This Row],[SAP Contract number]],Shipments[[SAP Contract number]:[Contracted container weight]],2,FALSE)</f>
        <v>#N/A</v>
      </c>
      <c r="W299" s="34" t="e">
        <f>VLOOKUP(Allocation[[#This Row],[SAP Contract number]],Shipments[[SAP Contract number]:[AAA Premium USD]],24,FALSE)</f>
        <v>#N/A</v>
      </c>
      <c r="X299" s="34" t="e">
        <f>VLOOKUP(Allocation[[#This Row],[SAP Contract number]],Shipments[[SAP Contract number]:[RA Premium USD]],25,FALSE)</f>
        <v>#N/A</v>
      </c>
      <c r="Y299" s="38">
        <f>Allocation[[#This Row],[Quantity Processed]]/Allocation[[#This Row],[Quantity allocated]]</f>
        <v>3.031055900621118</v>
      </c>
      <c r="Z299" s="34" t="b">
        <f>Allocation[[#This Row],[Quantity allocated]]&lt;=Allocation[[#This Row],[Quantity Processed]]</f>
        <v>1</v>
      </c>
    </row>
    <row r="300" spans="1:26">
      <c r="A300" s="247" t="s">
        <v>467</v>
      </c>
      <c r="B300" s="160" t="s">
        <v>68</v>
      </c>
      <c r="C300" s="249" t="s">
        <v>819</v>
      </c>
      <c r="D300" s="250">
        <v>536</v>
      </c>
      <c r="E300" s="160" t="s">
        <v>1186</v>
      </c>
      <c r="F300" s="158">
        <v>43487</v>
      </c>
      <c r="G300" s="162">
        <v>2.93</v>
      </c>
      <c r="H300" s="250">
        <v>177</v>
      </c>
      <c r="I300" s="160">
        <v>1425074</v>
      </c>
      <c r="J300" s="163">
        <v>21600</v>
      </c>
      <c r="K300" s="158">
        <v>43494</v>
      </c>
      <c r="L300" s="160" t="s">
        <v>1197</v>
      </c>
      <c r="M300" s="160">
        <v>4615513976</v>
      </c>
      <c r="N300" s="158">
        <v>43516</v>
      </c>
      <c r="O300" s="164">
        <v>3.7094</v>
      </c>
      <c r="P300" s="165">
        <v>19739</v>
      </c>
      <c r="Q300" s="34">
        <f>SUMIF(Allocation[Delivery ID],Allocation[[#This Row],[Delivery ID]],Allocation[Quantity Processed])</f>
        <v>536</v>
      </c>
      <c r="R300" s="61">
        <f>Allocation[[#This Row],[Total volume used]]/VLOOKUP(Allocation[[#This Row],[Delivery ID]],Delivery[[Delivery ID]:[Quantity delivered]],3,FALSE)</f>
        <v>5.1062208249976183E-2</v>
      </c>
      <c r="S300" s="34">
        <f>Allocation[[#This Row],[Quantity Processed]]/Allocation[[#This Row],[Dilution rate]]</f>
        <v>182.93515358361773</v>
      </c>
      <c r="T300" s="59">
        <f>SUMIF(Allocation[Delivery ID],Allocation[[#This Row],[Delivery ID]],Allocation[Quantity allocated])/SUMIF(Allocation[Delivery ID],Allocation[[#This Row],[Delivery ID]],Allocation[Volume available (kg)])</f>
        <v>0.96755597014925376</v>
      </c>
      <c r="U300" s="61">
        <f>Allocation[[#This Row],[Total volume used]]/VLOOKUP(Allocation[[#This Row],[Delivery ID]],Delivery[[Delivery ID]:[Quantity delivered]],3,FALSE)</f>
        <v>5.1062208249976183E-2</v>
      </c>
      <c r="V300" s="34" t="e">
        <f>VLOOKUP(Allocation[[#This Row],[SAP Contract number]],Shipments[[SAP Contract number]:[Contracted container weight]],2,FALSE)</f>
        <v>#N/A</v>
      </c>
      <c r="W300" s="34" t="e">
        <f>VLOOKUP(Allocation[[#This Row],[SAP Contract number]],Shipments[[SAP Contract number]:[AAA Premium USD]],24,FALSE)</f>
        <v>#N/A</v>
      </c>
      <c r="X300" s="34" t="e">
        <f>VLOOKUP(Allocation[[#This Row],[SAP Contract number]],Shipments[[SAP Contract number]:[RA Premium USD]],25,FALSE)</f>
        <v>#N/A</v>
      </c>
      <c r="Y300" s="38">
        <f>Allocation[[#This Row],[Quantity Processed]]/Allocation[[#This Row],[Quantity allocated]]</f>
        <v>3.0282485875706215</v>
      </c>
      <c r="Z300" s="34" t="b">
        <f>Allocation[[#This Row],[Quantity allocated]]&lt;=Allocation[[#This Row],[Quantity Processed]]</f>
        <v>1</v>
      </c>
    </row>
    <row r="301" spans="1:26">
      <c r="A301" s="247" t="s">
        <v>467</v>
      </c>
      <c r="B301" s="160" t="s">
        <v>68</v>
      </c>
      <c r="C301" s="249" t="s">
        <v>820</v>
      </c>
      <c r="D301" s="250">
        <v>1000</v>
      </c>
      <c r="E301" s="160" t="s">
        <v>1186</v>
      </c>
      <c r="F301" s="158">
        <v>43487</v>
      </c>
      <c r="G301" s="162">
        <v>2.93</v>
      </c>
      <c r="H301" s="250">
        <v>330</v>
      </c>
      <c r="I301" s="160">
        <v>1425074</v>
      </c>
      <c r="J301" s="163">
        <v>21600</v>
      </c>
      <c r="K301" s="158">
        <v>43494</v>
      </c>
      <c r="L301" s="160" t="s">
        <v>1197</v>
      </c>
      <c r="M301" s="160">
        <v>4615513976</v>
      </c>
      <c r="N301" s="158">
        <v>43516</v>
      </c>
      <c r="O301" s="164">
        <v>3.7094</v>
      </c>
      <c r="P301" s="165">
        <v>19739</v>
      </c>
      <c r="Q301" s="34">
        <f>SUMIF(Allocation[Delivery ID],Allocation[[#This Row],[Delivery ID]],Allocation[Quantity Processed])</f>
        <v>1000</v>
      </c>
      <c r="R301" s="61">
        <f>Allocation[[#This Row],[Total volume used]]/VLOOKUP(Allocation[[#This Row],[Delivery ID]],Delivery[[Delivery ID]:[Quantity delivered]],3,FALSE)</f>
        <v>5.098659052669148E-2</v>
      </c>
      <c r="S301" s="34">
        <f>Allocation[[#This Row],[Quantity Processed]]/Allocation[[#This Row],[Dilution rate]]</f>
        <v>341.29692832764505</v>
      </c>
      <c r="T301" s="59">
        <f>SUMIF(Allocation[Delivery ID],Allocation[[#This Row],[Delivery ID]],Allocation[Quantity allocated])/SUMIF(Allocation[Delivery ID],Allocation[[#This Row],[Delivery ID]],Allocation[Volume available (kg)])</f>
        <v>0.96689999999999998</v>
      </c>
      <c r="U301" s="61">
        <f>Allocation[[#This Row],[Total volume used]]/VLOOKUP(Allocation[[#This Row],[Delivery ID]],Delivery[[Delivery ID]:[Quantity delivered]],3,FALSE)</f>
        <v>5.098659052669148E-2</v>
      </c>
      <c r="V301" s="34" t="e">
        <f>VLOOKUP(Allocation[[#This Row],[SAP Contract number]],Shipments[[SAP Contract number]:[Contracted container weight]],2,FALSE)</f>
        <v>#N/A</v>
      </c>
      <c r="W301" s="34" t="e">
        <f>VLOOKUP(Allocation[[#This Row],[SAP Contract number]],Shipments[[SAP Contract number]:[AAA Premium USD]],24,FALSE)</f>
        <v>#N/A</v>
      </c>
      <c r="X301" s="34" t="e">
        <f>VLOOKUP(Allocation[[#This Row],[SAP Contract number]],Shipments[[SAP Contract number]:[RA Premium USD]],25,FALSE)</f>
        <v>#N/A</v>
      </c>
      <c r="Y301" s="38">
        <f>Allocation[[#This Row],[Quantity Processed]]/Allocation[[#This Row],[Quantity allocated]]</f>
        <v>3.0303030303030303</v>
      </c>
      <c r="Z301" s="34" t="b">
        <f>Allocation[[#This Row],[Quantity allocated]]&lt;=Allocation[[#This Row],[Quantity Processed]]</f>
        <v>1</v>
      </c>
    </row>
    <row r="302" spans="1:26">
      <c r="A302" s="247" t="s">
        <v>467</v>
      </c>
      <c r="B302" s="160" t="s">
        <v>68</v>
      </c>
      <c r="C302" s="249" t="s">
        <v>821</v>
      </c>
      <c r="D302" s="250">
        <v>7409</v>
      </c>
      <c r="E302" s="160" t="s">
        <v>1186</v>
      </c>
      <c r="F302" s="158">
        <v>43487</v>
      </c>
      <c r="G302" s="162">
        <v>2.93</v>
      </c>
      <c r="H302" s="250">
        <v>2445</v>
      </c>
      <c r="I302" s="160">
        <v>1425074</v>
      </c>
      <c r="J302" s="163">
        <v>21600</v>
      </c>
      <c r="K302" s="158">
        <v>43494</v>
      </c>
      <c r="L302" s="160" t="s">
        <v>1197</v>
      </c>
      <c r="M302" s="160">
        <v>4615513976</v>
      </c>
      <c r="N302" s="158">
        <v>43516</v>
      </c>
      <c r="O302" s="164">
        <v>3.7094</v>
      </c>
      <c r="P302" s="165">
        <v>19739</v>
      </c>
      <c r="Q302" s="34">
        <f>SUMIF(Allocation[Delivery ID],Allocation[[#This Row],[Delivery ID]],Allocation[Quantity Processed])</f>
        <v>7409</v>
      </c>
      <c r="R302" s="61">
        <f>Allocation[[#This Row],[Total volume used]]/VLOOKUP(Allocation[[#This Row],[Delivery ID]],Delivery[[Delivery ID]:[Quantity delivered]],3,FALSE)</f>
        <v>0.4078049317481286</v>
      </c>
      <c r="S302" s="34">
        <f>Allocation[[#This Row],[Quantity Processed]]/Allocation[[#This Row],[Dilution rate]]</f>
        <v>2528.6689419795221</v>
      </c>
      <c r="T302" s="59">
        <f>SUMIF(Allocation[Delivery ID],Allocation[[#This Row],[Delivery ID]],Allocation[Quantity allocated])/SUMIF(Allocation[Delivery ID],Allocation[[#This Row],[Delivery ID]],Allocation[Volume available (kg)])</f>
        <v>0.96691186394925099</v>
      </c>
      <c r="U302" s="61">
        <f>Allocation[[#This Row],[Total volume used]]/VLOOKUP(Allocation[[#This Row],[Delivery ID]],Delivery[[Delivery ID]:[Quantity delivered]],3,FALSE)</f>
        <v>0.4078049317481286</v>
      </c>
      <c r="V302" s="34" t="e">
        <f>VLOOKUP(Allocation[[#This Row],[SAP Contract number]],Shipments[[SAP Contract number]:[Contracted container weight]],2,FALSE)</f>
        <v>#N/A</v>
      </c>
      <c r="W302" s="34" t="e">
        <f>VLOOKUP(Allocation[[#This Row],[SAP Contract number]],Shipments[[SAP Contract number]:[AAA Premium USD]],24,FALSE)</f>
        <v>#N/A</v>
      </c>
      <c r="X302" s="34" t="e">
        <f>VLOOKUP(Allocation[[#This Row],[SAP Contract number]],Shipments[[SAP Contract number]:[RA Premium USD]],25,FALSE)</f>
        <v>#N/A</v>
      </c>
      <c r="Y302" s="38">
        <f>Allocation[[#This Row],[Quantity Processed]]/Allocation[[#This Row],[Quantity allocated]]</f>
        <v>3.0302658486707568</v>
      </c>
      <c r="Z302" s="34" t="b">
        <f>Allocation[[#This Row],[Quantity allocated]]&lt;=Allocation[[#This Row],[Quantity Processed]]</f>
        <v>1</v>
      </c>
    </row>
    <row r="303" spans="1:26">
      <c r="A303" s="247" t="s">
        <v>467</v>
      </c>
      <c r="B303" s="160" t="s">
        <v>68</v>
      </c>
      <c r="C303" s="249" t="s">
        <v>822</v>
      </c>
      <c r="D303" s="250">
        <v>9414</v>
      </c>
      <c r="E303" s="160" t="s">
        <v>1186</v>
      </c>
      <c r="F303" s="158">
        <v>43487</v>
      </c>
      <c r="G303" s="162">
        <v>2.93</v>
      </c>
      <c r="H303" s="250">
        <v>3160</v>
      </c>
      <c r="I303" s="160">
        <v>1425074</v>
      </c>
      <c r="J303" s="163">
        <v>21600</v>
      </c>
      <c r="K303" s="158">
        <v>43494</v>
      </c>
      <c r="L303" s="160" t="s">
        <v>1197</v>
      </c>
      <c r="M303" s="160">
        <v>4615513976</v>
      </c>
      <c r="N303" s="158">
        <v>43516</v>
      </c>
      <c r="O303" s="164">
        <v>3.7094</v>
      </c>
      <c r="P303" s="165">
        <v>19739</v>
      </c>
      <c r="Q303" s="34">
        <f>SUMIF(Allocation[Delivery ID],Allocation[[#This Row],[Delivery ID]],Allocation[Quantity Processed])</f>
        <v>9414</v>
      </c>
      <c r="R303" s="61">
        <f>Allocation[[#This Row],[Total volume used]]/VLOOKUP(Allocation[[#This Row],[Delivery ID]],Delivery[[Delivery ID]:[Quantity delivered]],3,FALSE)</f>
        <v>1</v>
      </c>
      <c r="S303" s="34">
        <f>Allocation[[#This Row],[Quantity Processed]]/Allocation[[#This Row],[Dilution rate]]</f>
        <v>3212.9692832764504</v>
      </c>
      <c r="T303" s="59">
        <f>SUMIF(Allocation[Delivery ID],Allocation[[#This Row],[Delivery ID]],Allocation[Quantity allocated])/SUMIF(Allocation[Delivery ID],Allocation[[#This Row],[Delivery ID]],Allocation[Volume available (kg)])</f>
        <v>0.98351391544508182</v>
      </c>
      <c r="U303" s="61">
        <f>Allocation[[#This Row],[Total volume used]]/VLOOKUP(Allocation[[#This Row],[Delivery ID]],Delivery[[Delivery ID]:[Quantity delivered]],3,FALSE)</f>
        <v>1</v>
      </c>
      <c r="V303" s="34" t="e">
        <f>VLOOKUP(Allocation[[#This Row],[SAP Contract number]],Shipments[[SAP Contract number]:[Contracted container weight]],2,FALSE)</f>
        <v>#N/A</v>
      </c>
      <c r="W303" s="34" t="e">
        <f>VLOOKUP(Allocation[[#This Row],[SAP Contract number]],Shipments[[SAP Contract number]:[AAA Premium USD]],24,FALSE)</f>
        <v>#N/A</v>
      </c>
      <c r="X303" s="34" t="e">
        <f>VLOOKUP(Allocation[[#This Row],[SAP Contract number]],Shipments[[SAP Contract number]:[RA Premium USD]],25,FALSE)</f>
        <v>#N/A</v>
      </c>
      <c r="Y303" s="38">
        <f>Allocation[[#This Row],[Quantity Processed]]/Allocation[[#This Row],[Quantity allocated]]</f>
        <v>2.9791139240506328</v>
      </c>
      <c r="Z303" s="34" t="b">
        <f>Allocation[[#This Row],[Quantity allocated]]&lt;=Allocation[[#This Row],[Quantity Processed]]</f>
        <v>1</v>
      </c>
    </row>
    <row r="304" spans="1:26">
      <c r="A304" s="247" t="s">
        <v>467</v>
      </c>
      <c r="B304" s="160" t="s">
        <v>68</v>
      </c>
      <c r="C304" s="249" t="s">
        <v>823</v>
      </c>
      <c r="D304" s="250">
        <v>8130</v>
      </c>
      <c r="E304" s="160" t="s">
        <v>1186</v>
      </c>
      <c r="F304" s="158">
        <v>43487</v>
      </c>
      <c r="G304" s="162">
        <v>2.93</v>
      </c>
      <c r="H304" s="250">
        <v>2683</v>
      </c>
      <c r="I304" s="160">
        <v>1425074</v>
      </c>
      <c r="J304" s="163">
        <v>21600</v>
      </c>
      <c r="K304" s="158">
        <v>43494</v>
      </c>
      <c r="L304" s="160" t="s">
        <v>1197</v>
      </c>
      <c r="M304" s="160">
        <v>4615513976</v>
      </c>
      <c r="N304" s="158">
        <v>43516</v>
      </c>
      <c r="O304" s="164">
        <v>3.7094</v>
      </c>
      <c r="P304" s="165">
        <v>19739</v>
      </c>
      <c r="Q304" s="34">
        <f>SUMIF(Allocation[Delivery ID],Allocation[[#This Row],[Delivery ID]],Allocation[Quantity Processed])</f>
        <v>8130</v>
      </c>
      <c r="R304" s="61">
        <f>Allocation[[#This Row],[Total volume used]]/VLOOKUP(Allocation[[#This Row],[Delivery ID]],Delivery[[Delivery ID]:[Quantity delivered]],3,FALSE)</f>
        <v>0.4737762237762238</v>
      </c>
      <c r="S304" s="34">
        <f>Allocation[[#This Row],[Quantity Processed]]/Allocation[[#This Row],[Dilution rate]]</f>
        <v>2774.7440273037541</v>
      </c>
      <c r="T304" s="59">
        <f>SUMIF(Allocation[Delivery ID],Allocation[[#This Row],[Delivery ID]],Allocation[Quantity allocated])/SUMIF(Allocation[Delivery ID],Allocation[[#This Row],[Delivery ID]],Allocation[Volume available (kg)])</f>
        <v>0.96693603936039363</v>
      </c>
      <c r="U304" s="61">
        <f>Allocation[[#This Row],[Total volume used]]/VLOOKUP(Allocation[[#This Row],[Delivery ID]],Delivery[[Delivery ID]:[Quantity delivered]],3,FALSE)</f>
        <v>0.4737762237762238</v>
      </c>
      <c r="V304" s="34" t="e">
        <f>VLOOKUP(Allocation[[#This Row],[SAP Contract number]],Shipments[[SAP Contract number]:[Contracted container weight]],2,FALSE)</f>
        <v>#N/A</v>
      </c>
      <c r="W304" s="34" t="e">
        <f>VLOOKUP(Allocation[[#This Row],[SAP Contract number]],Shipments[[SAP Contract number]:[AAA Premium USD]],24,FALSE)</f>
        <v>#N/A</v>
      </c>
      <c r="X304" s="34" t="e">
        <f>VLOOKUP(Allocation[[#This Row],[SAP Contract number]],Shipments[[SAP Contract number]:[RA Premium USD]],25,FALSE)</f>
        <v>#N/A</v>
      </c>
      <c r="Y304" s="38">
        <f>Allocation[[#This Row],[Quantity Processed]]/Allocation[[#This Row],[Quantity allocated]]</f>
        <v>3.0301900857249349</v>
      </c>
      <c r="Z304" s="34" t="b">
        <f>Allocation[[#This Row],[Quantity allocated]]&lt;=Allocation[[#This Row],[Quantity Processed]]</f>
        <v>1</v>
      </c>
    </row>
    <row r="305" spans="1:26">
      <c r="A305" s="247" t="s">
        <v>467</v>
      </c>
      <c r="B305" s="160" t="s">
        <v>68</v>
      </c>
      <c r="C305" s="249" t="s">
        <v>824</v>
      </c>
      <c r="D305" s="250">
        <v>4155</v>
      </c>
      <c r="E305" s="160" t="s">
        <v>1186</v>
      </c>
      <c r="F305" s="158">
        <v>43487</v>
      </c>
      <c r="G305" s="162">
        <v>2.93</v>
      </c>
      <c r="H305" s="250">
        <v>1371</v>
      </c>
      <c r="I305" s="160">
        <v>1425074</v>
      </c>
      <c r="J305" s="163">
        <v>21600</v>
      </c>
      <c r="K305" s="158">
        <v>43494</v>
      </c>
      <c r="L305" s="160" t="s">
        <v>1197</v>
      </c>
      <c r="M305" s="160">
        <v>4615513976</v>
      </c>
      <c r="N305" s="158">
        <v>43516</v>
      </c>
      <c r="O305" s="164">
        <v>3.7094</v>
      </c>
      <c r="P305" s="165">
        <v>19739</v>
      </c>
      <c r="Q305" s="34">
        <f>SUMIF(Allocation[Delivery ID],Allocation[[#This Row],[Delivery ID]],Allocation[Quantity Processed])</f>
        <v>4155</v>
      </c>
      <c r="R305" s="61">
        <f>Allocation[[#This Row],[Total volume used]]/VLOOKUP(Allocation[[#This Row],[Delivery ID]],Delivery[[Delivery ID]:[Quantity delivered]],3,FALSE)</f>
        <v>0.23784990554696891</v>
      </c>
      <c r="S305" s="34">
        <f>Allocation[[#This Row],[Quantity Processed]]/Allocation[[#This Row],[Dilution rate]]</f>
        <v>1418.0887372013651</v>
      </c>
      <c r="T305" s="59">
        <f>SUMIF(Allocation[Delivery ID],Allocation[[#This Row],[Delivery ID]],Allocation[Quantity allocated])/SUMIF(Allocation[Delivery ID],Allocation[[#This Row],[Delivery ID]],Allocation[Volume available (kg)])</f>
        <v>0.96679422382671487</v>
      </c>
      <c r="U305" s="61">
        <f>Allocation[[#This Row],[Total volume used]]/VLOOKUP(Allocation[[#This Row],[Delivery ID]],Delivery[[Delivery ID]:[Quantity delivered]],3,FALSE)</f>
        <v>0.23784990554696891</v>
      </c>
      <c r="V305" s="34" t="e">
        <f>VLOOKUP(Allocation[[#This Row],[SAP Contract number]],Shipments[[SAP Contract number]:[Contracted container weight]],2,FALSE)</f>
        <v>#N/A</v>
      </c>
      <c r="W305" s="34" t="e">
        <f>VLOOKUP(Allocation[[#This Row],[SAP Contract number]],Shipments[[SAP Contract number]:[AAA Premium USD]],24,FALSE)</f>
        <v>#N/A</v>
      </c>
      <c r="X305" s="34" t="e">
        <f>VLOOKUP(Allocation[[#This Row],[SAP Contract number]],Shipments[[SAP Contract number]:[RA Premium USD]],25,FALSE)</f>
        <v>#N/A</v>
      </c>
      <c r="Y305" s="38">
        <f>Allocation[[#This Row],[Quantity Processed]]/Allocation[[#This Row],[Quantity allocated]]</f>
        <v>3.0306345733041575</v>
      </c>
      <c r="Z305" s="34" t="b">
        <f>Allocation[[#This Row],[Quantity allocated]]&lt;=Allocation[[#This Row],[Quantity Processed]]</f>
        <v>1</v>
      </c>
    </row>
    <row r="306" spans="1:26">
      <c r="A306" s="247" t="s">
        <v>467</v>
      </c>
      <c r="B306" s="160" t="s">
        <v>68</v>
      </c>
      <c r="C306" s="249" t="s">
        <v>825</v>
      </c>
      <c r="D306" s="250">
        <v>9758</v>
      </c>
      <c r="E306" s="160" t="s">
        <v>1186</v>
      </c>
      <c r="F306" s="158">
        <v>43487</v>
      </c>
      <c r="G306" s="162">
        <v>2.93</v>
      </c>
      <c r="H306" s="250">
        <v>3220</v>
      </c>
      <c r="I306" s="160">
        <v>1425074</v>
      </c>
      <c r="J306" s="163">
        <v>21600</v>
      </c>
      <c r="K306" s="158">
        <v>43494</v>
      </c>
      <c r="L306" s="160" t="s">
        <v>1197</v>
      </c>
      <c r="M306" s="160">
        <v>4615513976</v>
      </c>
      <c r="N306" s="158">
        <v>43516</v>
      </c>
      <c r="O306" s="164">
        <v>3.7094</v>
      </c>
      <c r="P306" s="165">
        <v>19739</v>
      </c>
      <c r="Q306" s="34">
        <f>SUMIF(Allocation[Delivery ID],Allocation[[#This Row],[Delivery ID]],Allocation[Quantity Processed])</f>
        <v>9758</v>
      </c>
      <c r="R306" s="61">
        <f>Allocation[[#This Row],[Total volume used]]/VLOOKUP(Allocation[[#This Row],[Delivery ID]],Delivery[[Delivery ID]:[Quantity delivered]],3,FALSE)</f>
        <v>0.78415300546448086</v>
      </c>
      <c r="S306" s="34">
        <f>Allocation[[#This Row],[Quantity Processed]]/Allocation[[#This Row],[Dilution rate]]</f>
        <v>3330.3754266211604</v>
      </c>
      <c r="T306" s="59">
        <f>SUMIF(Allocation[Delivery ID],Allocation[[#This Row],[Delivery ID]],Allocation[Quantity allocated])/SUMIF(Allocation[Delivery ID],Allocation[[#This Row],[Delivery ID]],Allocation[Volume available (kg)])</f>
        <v>0.96685796269727409</v>
      </c>
      <c r="U306" s="61">
        <f>Allocation[[#This Row],[Total volume used]]/VLOOKUP(Allocation[[#This Row],[Delivery ID]],Delivery[[Delivery ID]:[Quantity delivered]],3,FALSE)</f>
        <v>0.78415300546448086</v>
      </c>
      <c r="V306" s="34" t="e">
        <f>VLOOKUP(Allocation[[#This Row],[SAP Contract number]],Shipments[[SAP Contract number]:[Contracted container weight]],2,FALSE)</f>
        <v>#N/A</v>
      </c>
      <c r="W306" s="34" t="e">
        <f>VLOOKUP(Allocation[[#This Row],[SAP Contract number]],Shipments[[SAP Contract number]:[AAA Premium USD]],24,FALSE)</f>
        <v>#N/A</v>
      </c>
      <c r="X306" s="34" t="e">
        <f>VLOOKUP(Allocation[[#This Row],[SAP Contract number]],Shipments[[SAP Contract number]:[RA Premium USD]],25,FALSE)</f>
        <v>#N/A</v>
      </c>
      <c r="Y306" s="38">
        <f>Allocation[[#This Row],[Quantity Processed]]/Allocation[[#This Row],[Quantity allocated]]</f>
        <v>3.0304347826086957</v>
      </c>
      <c r="Z306" s="34" t="b">
        <f>Allocation[[#This Row],[Quantity allocated]]&lt;=Allocation[[#This Row],[Quantity Processed]]</f>
        <v>1</v>
      </c>
    </row>
    <row r="307" spans="1:26">
      <c r="A307" s="247" t="s">
        <v>467</v>
      </c>
      <c r="B307" s="160" t="s">
        <v>68</v>
      </c>
      <c r="C307" s="249" t="s">
        <v>826</v>
      </c>
      <c r="D307" s="250">
        <v>3891</v>
      </c>
      <c r="E307" s="160" t="s">
        <v>1186</v>
      </c>
      <c r="F307" s="158">
        <v>43487</v>
      </c>
      <c r="G307" s="162">
        <v>2.93</v>
      </c>
      <c r="H307" s="250">
        <v>1284</v>
      </c>
      <c r="I307" s="160">
        <v>1425074</v>
      </c>
      <c r="J307" s="163">
        <v>21600</v>
      </c>
      <c r="K307" s="158">
        <v>43494</v>
      </c>
      <c r="L307" s="160" t="s">
        <v>1197</v>
      </c>
      <c r="M307" s="160">
        <v>4615513976</v>
      </c>
      <c r="N307" s="158">
        <v>43516</v>
      </c>
      <c r="O307" s="164">
        <v>3.7094</v>
      </c>
      <c r="P307" s="165">
        <v>19739</v>
      </c>
      <c r="Q307" s="34">
        <f>SUMIF(Allocation[Delivery ID],Allocation[[#This Row],[Delivery ID]],Allocation[Quantity Processed])</f>
        <v>4518</v>
      </c>
      <c r="R307" s="61">
        <f>Allocation[[#This Row],[Total volume used]]/VLOOKUP(Allocation[[#This Row],[Delivery ID]],Delivery[[Delivery ID]:[Quantity delivered]],3,FALSE)</f>
        <v>0.22810117635179483</v>
      </c>
      <c r="S307" s="34">
        <f>Allocation[[#This Row],[Quantity Processed]]/Allocation[[#This Row],[Dilution rate]]</f>
        <v>1327.9863481228667</v>
      </c>
      <c r="T307" s="59">
        <f>SUMIF(Allocation[Delivery ID],Allocation[[#This Row],[Delivery ID]],Allocation[Quantity allocated])/SUMIF(Allocation[Delivery ID],Allocation[[#This Row],[Delivery ID]],Allocation[Volume available (kg)])</f>
        <v>0.96693891102257656</v>
      </c>
      <c r="U307" s="61">
        <f>Allocation[[#This Row],[Total volume used]]/VLOOKUP(Allocation[[#This Row],[Delivery ID]],Delivery[[Delivery ID]:[Quantity delivered]],3,FALSE)</f>
        <v>0.22810117635179483</v>
      </c>
      <c r="V307" s="34" t="e">
        <f>VLOOKUP(Allocation[[#This Row],[SAP Contract number]],Shipments[[SAP Contract number]:[Contracted container weight]],2,FALSE)</f>
        <v>#N/A</v>
      </c>
      <c r="W307" s="34" t="e">
        <f>VLOOKUP(Allocation[[#This Row],[SAP Contract number]],Shipments[[SAP Contract number]:[AAA Premium USD]],24,FALSE)</f>
        <v>#N/A</v>
      </c>
      <c r="X307" s="34" t="e">
        <f>VLOOKUP(Allocation[[#This Row],[SAP Contract number]],Shipments[[SAP Contract number]:[RA Premium USD]],25,FALSE)</f>
        <v>#N/A</v>
      </c>
      <c r="Y307" s="38">
        <f>Allocation[[#This Row],[Quantity Processed]]/Allocation[[#This Row],[Quantity allocated]]</f>
        <v>3.0303738317757007</v>
      </c>
      <c r="Z307" s="34" t="b">
        <f>Allocation[[#This Row],[Quantity allocated]]&lt;=Allocation[[#This Row],[Quantity Processed]]</f>
        <v>1</v>
      </c>
    </row>
    <row r="308" spans="1:26">
      <c r="A308" s="247" t="s">
        <v>467</v>
      </c>
      <c r="B308" s="160" t="s">
        <v>68</v>
      </c>
      <c r="C308" s="249" t="s">
        <v>826</v>
      </c>
      <c r="D308" s="250">
        <v>627</v>
      </c>
      <c r="E308" s="160" t="s">
        <v>1186</v>
      </c>
      <c r="F308" s="158">
        <v>43487</v>
      </c>
      <c r="G308" s="162">
        <v>2.93</v>
      </c>
      <c r="H308" s="250">
        <v>207</v>
      </c>
      <c r="I308" s="160">
        <v>1425075</v>
      </c>
      <c r="J308" s="163">
        <v>21600</v>
      </c>
      <c r="K308" s="158">
        <v>43494</v>
      </c>
      <c r="L308" s="160" t="s">
        <v>1198</v>
      </c>
      <c r="M308" s="160">
        <v>4615513976</v>
      </c>
      <c r="N308" s="158">
        <v>43516</v>
      </c>
      <c r="O308" s="164">
        <v>3.7094</v>
      </c>
      <c r="P308" s="165">
        <v>19739</v>
      </c>
      <c r="Q308" s="34">
        <f>SUMIF(Allocation[Delivery ID],Allocation[[#This Row],[Delivery ID]],Allocation[Quantity Processed])</f>
        <v>4518</v>
      </c>
      <c r="R308" s="61">
        <f>Allocation[[#This Row],[Total volume used]]/VLOOKUP(Allocation[[#This Row],[Delivery ID]],Delivery[[Delivery ID]:[Quantity delivered]],3,FALSE)</f>
        <v>0.22810117635179483</v>
      </c>
      <c r="S308" s="34">
        <f>Allocation[[#This Row],[Quantity Processed]]/Allocation[[#This Row],[Dilution rate]]</f>
        <v>213.99317406143342</v>
      </c>
      <c r="T308" s="59">
        <f>SUMIF(Allocation[Delivery ID],Allocation[[#This Row],[Delivery ID]],Allocation[Quantity allocated])/SUMIF(Allocation[Delivery ID],Allocation[[#This Row],[Delivery ID]],Allocation[Volume available (kg)])</f>
        <v>0.96693891102257656</v>
      </c>
      <c r="U308" s="61">
        <f>Allocation[[#This Row],[Total volume used]]/VLOOKUP(Allocation[[#This Row],[Delivery ID]],Delivery[[Delivery ID]:[Quantity delivered]],3,FALSE)</f>
        <v>0.22810117635179483</v>
      </c>
      <c r="V308" s="34" t="e">
        <f>VLOOKUP(Allocation[[#This Row],[SAP Contract number]],Shipments[[SAP Contract number]:[Contracted container weight]],2,FALSE)</f>
        <v>#N/A</v>
      </c>
      <c r="W308" s="34" t="e">
        <f>VLOOKUP(Allocation[[#This Row],[SAP Contract number]],Shipments[[SAP Contract number]:[AAA Premium USD]],24,FALSE)</f>
        <v>#N/A</v>
      </c>
      <c r="X308" s="34" t="e">
        <f>VLOOKUP(Allocation[[#This Row],[SAP Contract number]],Shipments[[SAP Contract number]:[RA Premium USD]],25,FALSE)</f>
        <v>#N/A</v>
      </c>
      <c r="Y308" s="38">
        <f>Allocation[[#This Row],[Quantity Processed]]/Allocation[[#This Row],[Quantity allocated]]</f>
        <v>3.0289855072463769</v>
      </c>
      <c r="Z308" s="34" t="b">
        <f>Allocation[[#This Row],[Quantity allocated]]&lt;=Allocation[[#This Row],[Quantity Processed]]</f>
        <v>1</v>
      </c>
    </row>
    <row r="309" spans="1:26">
      <c r="A309" s="247" t="s">
        <v>467</v>
      </c>
      <c r="B309" s="160" t="s">
        <v>68</v>
      </c>
      <c r="C309" s="249" t="s">
        <v>827</v>
      </c>
      <c r="D309" s="250">
        <v>2709</v>
      </c>
      <c r="E309" s="160" t="s">
        <v>1186</v>
      </c>
      <c r="F309" s="158">
        <v>43487</v>
      </c>
      <c r="G309" s="162">
        <v>2.93</v>
      </c>
      <c r="H309" s="250">
        <v>894</v>
      </c>
      <c r="I309" s="160">
        <v>1425075</v>
      </c>
      <c r="J309" s="163">
        <v>21600</v>
      </c>
      <c r="K309" s="158">
        <v>43494</v>
      </c>
      <c r="L309" s="160" t="s">
        <v>1198</v>
      </c>
      <c r="M309" s="160">
        <v>4615513976</v>
      </c>
      <c r="N309" s="158">
        <v>43516</v>
      </c>
      <c r="O309" s="164">
        <v>3.7094</v>
      </c>
      <c r="P309" s="165">
        <v>19739</v>
      </c>
      <c r="Q309" s="34">
        <f>SUMIF(Allocation[Delivery ID],Allocation[[#This Row],[Delivery ID]],Allocation[Quantity Processed])</f>
        <v>2709</v>
      </c>
      <c r="R309" s="61">
        <f>Allocation[[#This Row],[Total volume used]]/VLOOKUP(Allocation[[#This Row],[Delivery ID]],Delivery[[Delivery ID]:[Quantity delivered]],3,FALSE)</f>
        <v>0.25396081372457113</v>
      </c>
      <c r="S309" s="34">
        <f>Allocation[[#This Row],[Quantity Processed]]/Allocation[[#This Row],[Dilution rate]]</f>
        <v>924.57337883959042</v>
      </c>
      <c r="T309" s="59">
        <f>SUMIF(Allocation[Delivery ID],Allocation[[#This Row],[Delivery ID]],Allocation[Quantity allocated])/SUMIF(Allocation[Delivery ID],Allocation[[#This Row],[Delivery ID]],Allocation[Volume available (kg)])</f>
        <v>0.96693244739756368</v>
      </c>
      <c r="U309" s="61">
        <f>Allocation[[#This Row],[Total volume used]]/VLOOKUP(Allocation[[#This Row],[Delivery ID]],Delivery[[Delivery ID]:[Quantity delivered]],3,FALSE)</f>
        <v>0.25396081372457113</v>
      </c>
      <c r="V309" s="34" t="e">
        <f>VLOOKUP(Allocation[[#This Row],[SAP Contract number]],Shipments[[SAP Contract number]:[Contracted container weight]],2,FALSE)</f>
        <v>#N/A</v>
      </c>
      <c r="W309" s="34" t="e">
        <f>VLOOKUP(Allocation[[#This Row],[SAP Contract number]],Shipments[[SAP Contract number]:[AAA Premium USD]],24,FALSE)</f>
        <v>#N/A</v>
      </c>
      <c r="X309" s="34" t="e">
        <f>VLOOKUP(Allocation[[#This Row],[SAP Contract number]],Shipments[[SAP Contract number]:[RA Premium USD]],25,FALSE)</f>
        <v>#N/A</v>
      </c>
      <c r="Y309" s="38">
        <f>Allocation[[#This Row],[Quantity Processed]]/Allocation[[#This Row],[Quantity allocated]]</f>
        <v>3.0302013422818792</v>
      </c>
      <c r="Z309" s="34" t="b">
        <f>Allocation[[#This Row],[Quantity allocated]]&lt;=Allocation[[#This Row],[Quantity Processed]]</f>
        <v>1</v>
      </c>
    </row>
    <row r="310" spans="1:26">
      <c r="A310" s="247" t="s">
        <v>467</v>
      </c>
      <c r="B310" s="160" t="s">
        <v>68</v>
      </c>
      <c r="C310" s="249" t="s">
        <v>828</v>
      </c>
      <c r="D310" s="250">
        <v>7227</v>
      </c>
      <c r="E310" s="160" t="s">
        <v>1186</v>
      </c>
      <c r="F310" s="158">
        <v>43487</v>
      </c>
      <c r="G310" s="162">
        <v>2.93</v>
      </c>
      <c r="H310" s="250">
        <v>2385</v>
      </c>
      <c r="I310" s="160">
        <v>1425075</v>
      </c>
      <c r="J310" s="163">
        <v>21600</v>
      </c>
      <c r="K310" s="158">
        <v>43494</v>
      </c>
      <c r="L310" s="160" t="s">
        <v>1198</v>
      </c>
      <c r="M310" s="160">
        <v>4615513976</v>
      </c>
      <c r="N310" s="158">
        <v>43516</v>
      </c>
      <c r="O310" s="164">
        <v>3.7094</v>
      </c>
      <c r="P310" s="165">
        <v>19739</v>
      </c>
      <c r="Q310" s="34">
        <f>SUMIF(Allocation[Delivery ID],Allocation[[#This Row],[Delivery ID]],Allocation[Quantity Processed])</f>
        <v>7227</v>
      </c>
      <c r="R310" s="61">
        <f>Allocation[[#This Row],[Total volume used]]/VLOOKUP(Allocation[[#This Row],[Delivery ID]],Delivery[[Delivery ID]:[Quantity delivered]],3,FALSE)</f>
        <v>0.38529615610172202</v>
      </c>
      <c r="S310" s="34">
        <f>Allocation[[#This Row],[Quantity Processed]]/Allocation[[#This Row],[Dilution rate]]</f>
        <v>2466.5529010238906</v>
      </c>
      <c r="T310" s="59">
        <f>SUMIF(Allocation[Delivery ID],Allocation[[#This Row],[Delivery ID]],Allocation[Quantity allocated])/SUMIF(Allocation[Delivery ID],Allocation[[#This Row],[Delivery ID]],Allocation[Volume available (kg)])</f>
        <v>0.96693648816936495</v>
      </c>
      <c r="U310" s="61">
        <f>Allocation[[#This Row],[Total volume used]]/VLOOKUP(Allocation[[#This Row],[Delivery ID]],Delivery[[Delivery ID]:[Quantity delivered]],3,FALSE)</f>
        <v>0.38529615610172202</v>
      </c>
      <c r="V310" s="34" t="e">
        <f>VLOOKUP(Allocation[[#This Row],[SAP Contract number]],Shipments[[SAP Contract number]:[Contracted container weight]],2,FALSE)</f>
        <v>#N/A</v>
      </c>
      <c r="W310" s="34" t="e">
        <f>VLOOKUP(Allocation[[#This Row],[SAP Contract number]],Shipments[[SAP Contract number]:[AAA Premium USD]],24,FALSE)</f>
        <v>#N/A</v>
      </c>
      <c r="X310" s="34" t="e">
        <f>VLOOKUP(Allocation[[#This Row],[SAP Contract number]],Shipments[[SAP Contract number]:[RA Premium USD]],25,FALSE)</f>
        <v>#N/A</v>
      </c>
      <c r="Y310" s="38">
        <f>Allocation[[#This Row],[Quantity Processed]]/Allocation[[#This Row],[Quantity allocated]]</f>
        <v>3.030188679245283</v>
      </c>
      <c r="Z310" s="34" t="b">
        <f>Allocation[[#This Row],[Quantity allocated]]&lt;=Allocation[[#This Row],[Quantity Processed]]</f>
        <v>1</v>
      </c>
    </row>
    <row r="311" spans="1:26">
      <c r="A311" s="247" t="s">
        <v>467</v>
      </c>
      <c r="B311" s="160" t="s">
        <v>68</v>
      </c>
      <c r="C311" s="249" t="s">
        <v>829</v>
      </c>
      <c r="D311" s="250">
        <v>555</v>
      </c>
      <c r="E311" s="160" t="s">
        <v>1186</v>
      </c>
      <c r="F311" s="158">
        <v>43487</v>
      </c>
      <c r="G311" s="162">
        <v>2.93</v>
      </c>
      <c r="H311" s="250">
        <v>183</v>
      </c>
      <c r="I311" s="160">
        <v>1425075</v>
      </c>
      <c r="J311" s="163">
        <v>21600</v>
      </c>
      <c r="K311" s="158">
        <v>43494</v>
      </c>
      <c r="L311" s="160" t="s">
        <v>1198</v>
      </c>
      <c r="M311" s="160">
        <v>4615513976</v>
      </c>
      <c r="N311" s="158">
        <v>43516</v>
      </c>
      <c r="O311" s="164">
        <v>3.7094</v>
      </c>
      <c r="P311" s="165">
        <v>19739</v>
      </c>
      <c r="Q311" s="34">
        <f>SUMIF(Allocation[Delivery ID],Allocation[[#This Row],[Delivery ID]],Allocation[Quantity Processed])</f>
        <v>555</v>
      </c>
      <c r="R311" s="61">
        <f>Allocation[[#This Row],[Total volume used]]/VLOOKUP(Allocation[[#This Row],[Delivery ID]],Delivery[[Delivery ID]:[Quantity delivered]],3,FALSE)</f>
        <v>5.1185096375541826E-2</v>
      </c>
      <c r="S311" s="34">
        <f>Allocation[[#This Row],[Quantity Processed]]/Allocation[[#This Row],[Dilution rate]]</f>
        <v>189.419795221843</v>
      </c>
      <c r="T311" s="59">
        <f>SUMIF(Allocation[Delivery ID],Allocation[[#This Row],[Delivery ID]],Allocation[Quantity allocated])/SUMIF(Allocation[Delivery ID],Allocation[[#This Row],[Delivery ID]],Allocation[Volume available (kg)])</f>
        <v>0.9661081081081081</v>
      </c>
      <c r="U311" s="61">
        <f>Allocation[[#This Row],[Total volume used]]/VLOOKUP(Allocation[[#This Row],[Delivery ID]],Delivery[[Delivery ID]:[Quantity delivered]],3,FALSE)</f>
        <v>5.1185096375541826E-2</v>
      </c>
      <c r="V311" s="34" t="e">
        <f>VLOOKUP(Allocation[[#This Row],[SAP Contract number]],Shipments[[SAP Contract number]:[Contracted container weight]],2,FALSE)</f>
        <v>#N/A</v>
      </c>
      <c r="W311" s="34" t="e">
        <f>VLOOKUP(Allocation[[#This Row],[SAP Contract number]],Shipments[[SAP Contract number]:[AAA Premium USD]],24,FALSE)</f>
        <v>#N/A</v>
      </c>
      <c r="X311" s="34" t="e">
        <f>VLOOKUP(Allocation[[#This Row],[SAP Contract number]],Shipments[[SAP Contract number]:[RA Premium USD]],25,FALSE)</f>
        <v>#N/A</v>
      </c>
      <c r="Y311" s="38">
        <f>Allocation[[#This Row],[Quantity Processed]]/Allocation[[#This Row],[Quantity allocated]]</f>
        <v>3.0327868852459017</v>
      </c>
      <c r="Z311" s="34" t="b">
        <f>Allocation[[#This Row],[Quantity allocated]]&lt;=Allocation[[#This Row],[Quantity Processed]]</f>
        <v>1</v>
      </c>
    </row>
    <row r="312" spans="1:26">
      <c r="A312" s="247" t="s">
        <v>467</v>
      </c>
      <c r="B312" s="160" t="s">
        <v>68</v>
      </c>
      <c r="C312" s="249" t="s">
        <v>830</v>
      </c>
      <c r="D312" s="250">
        <v>900</v>
      </c>
      <c r="E312" s="160" t="s">
        <v>1186</v>
      </c>
      <c r="F312" s="158">
        <v>43487</v>
      </c>
      <c r="G312" s="162">
        <v>2.93</v>
      </c>
      <c r="H312" s="250">
        <v>297</v>
      </c>
      <c r="I312" s="160">
        <v>1425075</v>
      </c>
      <c r="J312" s="163">
        <v>21600</v>
      </c>
      <c r="K312" s="158">
        <v>43494</v>
      </c>
      <c r="L312" s="160" t="s">
        <v>1198</v>
      </c>
      <c r="M312" s="160">
        <v>4615513976</v>
      </c>
      <c r="N312" s="158">
        <v>43516</v>
      </c>
      <c r="O312" s="164">
        <v>3.7094</v>
      </c>
      <c r="P312" s="165">
        <v>19739</v>
      </c>
      <c r="Q312" s="34">
        <f>SUMIF(Allocation[Delivery ID],Allocation[[#This Row],[Delivery ID]],Allocation[Quantity Processed])</f>
        <v>900</v>
      </c>
      <c r="R312" s="61">
        <f>Allocation[[#This Row],[Total volume used]]/VLOOKUP(Allocation[[#This Row],[Delivery ID]],Delivery[[Delivery ID]:[Quantity delivered]],3,FALSE)</f>
        <v>5.1100070972320798E-2</v>
      </c>
      <c r="S312" s="34">
        <f>Allocation[[#This Row],[Quantity Processed]]/Allocation[[#This Row],[Dilution rate]]</f>
        <v>307.16723549488052</v>
      </c>
      <c r="T312" s="59">
        <f>SUMIF(Allocation[Delivery ID],Allocation[[#This Row],[Delivery ID]],Allocation[Quantity allocated])/SUMIF(Allocation[Delivery ID],Allocation[[#This Row],[Delivery ID]],Allocation[Volume available (kg)])</f>
        <v>0.96690000000000009</v>
      </c>
      <c r="U312" s="61">
        <f>Allocation[[#This Row],[Total volume used]]/VLOOKUP(Allocation[[#This Row],[Delivery ID]],Delivery[[Delivery ID]:[Quantity delivered]],3,FALSE)</f>
        <v>5.1100070972320798E-2</v>
      </c>
      <c r="V312" s="34" t="e">
        <f>VLOOKUP(Allocation[[#This Row],[SAP Contract number]],Shipments[[SAP Contract number]:[Contracted container weight]],2,FALSE)</f>
        <v>#N/A</v>
      </c>
      <c r="W312" s="34" t="e">
        <f>VLOOKUP(Allocation[[#This Row],[SAP Contract number]],Shipments[[SAP Contract number]:[AAA Premium USD]],24,FALSE)</f>
        <v>#N/A</v>
      </c>
      <c r="X312" s="34" t="e">
        <f>VLOOKUP(Allocation[[#This Row],[SAP Contract number]],Shipments[[SAP Contract number]:[RA Premium USD]],25,FALSE)</f>
        <v>#N/A</v>
      </c>
      <c r="Y312" s="38">
        <f>Allocation[[#This Row],[Quantity Processed]]/Allocation[[#This Row],[Quantity allocated]]</f>
        <v>3.0303030303030303</v>
      </c>
      <c r="Z312" s="34" t="b">
        <f>Allocation[[#This Row],[Quantity allocated]]&lt;=Allocation[[#This Row],[Quantity Processed]]</f>
        <v>1</v>
      </c>
    </row>
    <row r="313" spans="1:26">
      <c r="A313" s="247" t="s">
        <v>467</v>
      </c>
      <c r="B313" s="160" t="s">
        <v>68</v>
      </c>
      <c r="C313" s="249" t="s">
        <v>831</v>
      </c>
      <c r="D313" s="250">
        <v>503</v>
      </c>
      <c r="E313" s="160" t="s">
        <v>1186</v>
      </c>
      <c r="F313" s="158">
        <v>43487</v>
      </c>
      <c r="G313" s="162">
        <v>2.93</v>
      </c>
      <c r="H313" s="250">
        <v>166</v>
      </c>
      <c r="I313" s="160">
        <v>1425075</v>
      </c>
      <c r="J313" s="163">
        <v>21600</v>
      </c>
      <c r="K313" s="158">
        <v>43494</v>
      </c>
      <c r="L313" s="160" t="s">
        <v>1198</v>
      </c>
      <c r="M313" s="160">
        <v>4615513976</v>
      </c>
      <c r="N313" s="158">
        <v>43516</v>
      </c>
      <c r="O313" s="164">
        <v>3.7094</v>
      </c>
      <c r="P313" s="165">
        <v>19739</v>
      </c>
      <c r="Q313" s="34">
        <f>SUMIF(Allocation[Delivery ID],Allocation[[#This Row],[Delivery ID]],Allocation[Quantity Processed])</f>
        <v>503</v>
      </c>
      <c r="R313" s="61">
        <f>Allocation[[#This Row],[Total volume used]]/VLOOKUP(Allocation[[#This Row],[Delivery ID]],Delivery[[Delivery ID]:[Quantity delivered]],3,FALSE)</f>
        <v>4.326695625994581E-2</v>
      </c>
      <c r="S313" s="34">
        <f>Allocation[[#This Row],[Quantity Processed]]/Allocation[[#This Row],[Dilution rate]]</f>
        <v>171.67235494880546</v>
      </c>
      <c r="T313" s="59">
        <f>SUMIF(Allocation[Delivery ID],Allocation[[#This Row],[Delivery ID]],Allocation[Quantity allocated])/SUMIF(Allocation[Delivery ID],Allocation[[#This Row],[Delivery ID]],Allocation[Volume available (kg)])</f>
        <v>0.96695825049701789</v>
      </c>
      <c r="U313" s="61">
        <f>Allocation[[#This Row],[Total volume used]]/VLOOKUP(Allocation[[#This Row],[Delivery ID]],Delivery[[Delivery ID]:[Quantity delivered]],3,FALSE)</f>
        <v>4.326695625994581E-2</v>
      </c>
      <c r="V313" s="34" t="e">
        <f>VLOOKUP(Allocation[[#This Row],[SAP Contract number]],Shipments[[SAP Contract number]:[Contracted container weight]],2,FALSE)</f>
        <v>#N/A</v>
      </c>
      <c r="W313" s="34" t="e">
        <f>VLOOKUP(Allocation[[#This Row],[SAP Contract number]],Shipments[[SAP Contract number]:[AAA Premium USD]],24,FALSE)</f>
        <v>#N/A</v>
      </c>
      <c r="X313" s="34" t="e">
        <f>VLOOKUP(Allocation[[#This Row],[SAP Contract number]],Shipments[[SAP Contract number]:[RA Premium USD]],25,FALSE)</f>
        <v>#N/A</v>
      </c>
      <c r="Y313" s="38">
        <f>Allocation[[#This Row],[Quantity Processed]]/Allocation[[#This Row],[Quantity allocated]]</f>
        <v>3.0301204819277108</v>
      </c>
      <c r="Z313" s="34" t="b">
        <f>Allocation[[#This Row],[Quantity allocated]]&lt;=Allocation[[#This Row],[Quantity Processed]]</f>
        <v>1</v>
      </c>
    </row>
    <row r="314" spans="1:26">
      <c r="A314" s="247" t="s">
        <v>467</v>
      </c>
      <c r="B314" s="160" t="s">
        <v>68</v>
      </c>
      <c r="C314" s="249" t="s">
        <v>832</v>
      </c>
      <c r="D314" s="250">
        <v>1907</v>
      </c>
      <c r="E314" s="160" t="s">
        <v>1186</v>
      </c>
      <c r="F314" s="158">
        <v>43487</v>
      </c>
      <c r="G314" s="162">
        <v>2.93</v>
      </c>
      <c r="H314" s="250">
        <v>572</v>
      </c>
      <c r="I314" s="160">
        <v>1425075</v>
      </c>
      <c r="J314" s="163">
        <v>21600</v>
      </c>
      <c r="K314" s="158">
        <v>43494</v>
      </c>
      <c r="L314" s="160" t="s">
        <v>1198</v>
      </c>
      <c r="M314" s="160">
        <v>4615513976</v>
      </c>
      <c r="N314" s="158">
        <v>43516</v>
      </c>
      <c r="O314" s="164">
        <v>3.7094</v>
      </c>
      <c r="P314" s="165">
        <v>19739</v>
      </c>
      <c r="Q314" s="34">
        <f>SUMIF(Allocation[Delivery ID],Allocation[[#This Row],[Delivery ID]],Allocation[Quantity Processed])</f>
        <v>1907</v>
      </c>
      <c r="R314" s="61">
        <f>Allocation[[#This Row],[Total volume used]]/VLOOKUP(Allocation[[#This Row],[Delivery ID]],Delivery[[Delivery ID]:[Quantity delivered]],3,FALSE)</f>
        <v>9.3354546567127647E-2</v>
      </c>
      <c r="S314" s="34">
        <f>Allocation[[#This Row],[Quantity Processed]]/Allocation[[#This Row],[Dilution rate]]</f>
        <v>650.85324232081905</v>
      </c>
      <c r="T314" s="59">
        <f>SUMIF(Allocation[Delivery ID],Allocation[[#This Row],[Delivery ID]],Allocation[Quantity allocated])/SUMIF(Allocation[Delivery ID],Allocation[[#This Row],[Delivery ID]],Allocation[Volume available (kg)])</f>
        <v>0.87884635553224966</v>
      </c>
      <c r="U314" s="61">
        <f>Allocation[[#This Row],[Total volume used]]/VLOOKUP(Allocation[[#This Row],[Delivery ID]],Delivery[[Delivery ID]:[Quantity delivered]],3,FALSE)</f>
        <v>9.3354546567127647E-2</v>
      </c>
      <c r="V314" s="34" t="e">
        <f>VLOOKUP(Allocation[[#This Row],[SAP Contract number]],Shipments[[SAP Contract number]:[Contracted container weight]],2,FALSE)</f>
        <v>#N/A</v>
      </c>
      <c r="W314" s="34" t="e">
        <f>VLOOKUP(Allocation[[#This Row],[SAP Contract number]],Shipments[[SAP Contract number]:[AAA Premium USD]],24,FALSE)</f>
        <v>#N/A</v>
      </c>
      <c r="X314" s="34" t="e">
        <f>VLOOKUP(Allocation[[#This Row],[SAP Contract number]],Shipments[[SAP Contract number]:[RA Premium USD]],25,FALSE)</f>
        <v>#N/A</v>
      </c>
      <c r="Y314" s="38">
        <f>Allocation[[#This Row],[Quantity Processed]]/Allocation[[#This Row],[Quantity allocated]]</f>
        <v>3.3339160839160837</v>
      </c>
      <c r="Z314" s="34" t="b">
        <f>Allocation[[#This Row],[Quantity allocated]]&lt;=Allocation[[#This Row],[Quantity Processed]]</f>
        <v>1</v>
      </c>
    </row>
    <row r="315" spans="1:26">
      <c r="A315" s="247" t="s">
        <v>467</v>
      </c>
      <c r="B315" s="160" t="s">
        <v>68</v>
      </c>
      <c r="C315" s="249" t="s">
        <v>833</v>
      </c>
      <c r="D315" s="250">
        <v>1683</v>
      </c>
      <c r="E315" s="160" t="s">
        <v>1186</v>
      </c>
      <c r="F315" s="158">
        <v>43487</v>
      </c>
      <c r="G315" s="162">
        <v>2.93</v>
      </c>
      <c r="H315" s="250">
        <v>505</v>
      </c>
      <c r="I315" s="160">
        <v>1425075</v>
      </c>
      <c r="J315" s="163">
        <v>21600</v>
      </c>
      <c r="K315" s="158">
        <v>43494</v>
      </c>
      <c r="L315" s="160" t="s">
        <v>1198</v>
      </c>
      <c r="M315" s="160">
        <v>4615513976</v>
      </c>
      <c r="N315" s="158">
        <v>43516</v>
      </c>
      <c r="O315" s="164">
        <v>3.7094</v>
      </c>
      <c r="P315" s="165">
        <v>19739</v>
      </c>
      <c r="Q315" s="34">
        <f>SUMIF(Allocation[Delivery ID],Allocation[[#This Row],[Delivery ID]],Allocation[Quantity Processed])</f>
        <v>1683</v>
      </c>
      <c r="R315" s="61">
        <f>Allocation[[#This Row],[Total volume used]]/VLOOKUP(Allocation[[#This Row],[Delivery ID]],Delivery[[Delivery ID]:[Quantity delivered]],3,FALSE)</f>
        <v>9.3282341203857672E-2</v>
      </c>
      <c r="S315" s="34">
        <f>Allocation[[#This Row],[Quantity Processed]]/Allocation[[#This Row],[Dilution rate]]</f>
        <v>574.40273037542659</v>
      </c>
      <c r="T315" s="59">
        <f>SUMIF(Allocation[Delivery ID],Allocation[[#This Row],[Delivery ID]],Allocation[Quantity allocated])/SUMIF(Allocation[Delivery ID],Allocation[[#This Row],[Delivery ID]],Allocation[Volume available (kg)])</f>
        <v>0.87917409387997625</v>
      </c>
      <c r="U315" s="61">
        <f>Allocation[[#This Row],[Total volume used]]/VLOOKUP(Allocation[[#This Row],[Delivery ID]],Delivery[[Delivery ID]:[Quantity delivered]],3,FALSE)</f>
        <v>9.3282341203857672E-2</v>
      </c>
      <c r="V315" s="34" t="e">
        <f>VLOOKUP(Allocation[[#This Row],[SAP Contract number]],Shipments[[SAP Contract number]:[Contracted container weight]],2,FALSE)</f>
        <v>#N/A</v>
      </c>
      <c r="W315" s="34" t="e">
        <f>VLOOKUP(Allocation[[#This Row],[SAP Contract number]],Shipments[[SAP Contract number]:[AAA Premium USD]],24,FALSE)</f>
        <v>#N/A</v>
      </c>
      <c r="X315" s="34" t="e">
        <f>VLOOKUP(Allocation[[#This Row],[SAP Contract number]],Shipments[[SAP Contract number]:[RA Premium USD]],25,FALSE)</f>
        <v>#N/A</v>
      </c>
      <c r="Y315" s="38">
        <f>Allocation[[#This Row],[Quantity Processed]]/Allocation[[#This Row],[Quantity allocated]]</f>
        <v>3.3326732673267325</v>
      </c>
      <c r="Z315" s="34" t="b">
        <f>Allocation[[#This Row],[Quantity allocated]]&lt;=Allocation[[#This Row],[Quantity Processed]]</f>
        <v>1</v>
      </c>
    </row>
    <row r="316" spans="1:26">
      <c r="A316" s="247" t="s">
        <v>467</v>
      </c>
      <c r="B316" s="160" t="s">
        <v>68</v>
      </c>
      <c r="C316" s="249" t="s">
        <v>834</v>
      </c>
      <c r="D316" s="250">
        <v>1113</v>
      </c>
      <c r="E316" s="160" t="s">
        <v>1186</v>
      </c>
      <c r="F316" s="158">
        <v>43487</v>
      </c>
      <c r="G316" s="162">
        <v>2.93</v>
      </c>
      <c r="H316" s="250">
        <v>334</v>
      </c>
      <c r="I316" s="160">
        <v>1425075</v>
      </c>
      <c r="J316" s="163">
        <v>21600</v>
      </c>
      <c r="K316" s="158">
        <v>43494</v>
      </c>
      <c r="L316" s="160" t="s">
        <v>1198</v>
      </c>
      <c r="M316" s="160">
        <v>4615513976</v>
      </c>
      <c r="N316" s="158">
        <v>43516</v>
      </c>
      <c r="O316" s="164">
        <v>3.7094</v>
      </c>
      <c r="P316" s="165">
        <v>19739</v>
      </c>
      <c r="Q316" s="34">
        <f>SUMIF(Allocation[Delivery ID],Allocation[[#This Row],[Delivery ID]],Allocation[Quantity Processed])</f>
        <v>1113</v>
      </c>
      <c r="R316" s="61">
        <f>Allocation[[#This Row],[Total volume used]]/VLOOKUP(Allocation[[#This Row],[Delivery ID]],Delivery[[Delivery ID]:[Quantity delivered]],3,FALSE)</f>
        <v>9.3309859154929578E-2</v>
      </c>
      <c r="S316" s="34">
        <f>Allocation[[#This Row],[Quantity Processed]]/Allocation[[#This Row],[Dilution rate]]</f>
        <v>379.86348122866895</v>
      </c>
      <c r="T316" s="59">
        <f>SUMIF(Allocation[Delivery ID],Allocation[[#This Row],[Delivery ID]],Allocation[Quantity allocated])/SUMIF(Allocation[Delivery ID],Allocation[[#This Row],[Delivery ID]],Allocation[Volume available (kg)])</f>
        <v>0.87926325247079962</v>
      </c>
      <c r="U316" s="61">
        <f>Allocation[[#This Row],[Total volume used]]/VLOOKUP(Allocation[[#This Row],[Delivery ID]],Delivery[[Delivery ID]:[Quantity delivered]],3,FALSE)</f>
        <v>9.3309859154929578E-2</v>
      </c>
      <c r="V316" s="34" t="e">
        <f>VLOOKUP(Allocation[[#This Row],[SAP Contract number]],Shipments[[SAP Contract number]:[Contracted container weight]],2,FALSE)</f>
        <v>#N/A</v>
      </c>
      <c r="W316" s="34" t="e">
        <f>VLOOKUP(Allocation[[#This Row],[SAP Contract number]],Shipments[[SAP Contract number]:[AAA Premium USD]],24,FALSE)</f>
        <v>#N/A</v>
      </c>
      <c r="X316" s="34" t="e">
        <f>VLOOKUP(Allocation[[#This Row],[SAP Contract number]],Shipments[[SAP Contract number]:[RA Premium USD]],25,FALSE)</f>
        <v>#N/A</v>
      </c>
      <c r="Y316" s="38">
        <f>Allocation[[#This Row],[Quantity Processed]]/Allocation[[#This Row],[Quantity allocated]]</f>
        <v>3.3323353293413174</v>
      </c>
      <c r="Z316" s="34" t="b">
        <f>Allocation[[#This Row],[Quantity allocated]]&lt;=Allocation[[#This Row],[Quantity Processed]]</f>
        <v>1</v>
      </c>
    </row>
    <row r="317" spans="1:26">
      <c r="A317" s="247" t="s">
        <v>467</v>
      </c>
      <c r="B317" s="160" t="s">
        <v>68</v>
      </c>
      <c r="C317" s="249" t="s">
        <v>835</v>
      </c>
      <c r="D317" s="250">
        <v>1227</v>
      </c>
      <c r="E317" s="160" t="s">
        <v>1186</v>
      </c>
      <c r="F317" s="158">
        <v>43487</v>
      </c>
      <c r="G317" s="162">
        <v>2.93</v>
      </c>
      <c r="H317" s="250">
        <v>368</v>
      </c>
      <c r="I317" s="160">
        <v>1425075</v>
      </c>
      <c r="J317" s="163">
        <v>21600</v>
      </c>
      <c r="K317" s="158">
        <v>43494</v>
      </c>
      <c r="L317" s="160" t="s">
        <v>1198</v>
      </c>
      <c r="M317" s="160">
        <v>4615513976</v>
      </c>
      <c r="N317" s="158">
        <v>43516</v>
      </c>
      <c r="O317" s="164">
        <v>3.7094</v>
      </c>
      <c r="P317" s="165">
        <v>19739</v>
      </c>
      <c r="Q317" s="34">
        <f>SUMIF(Allocation[Delivery ID],Allocation[[#This Row],[Delivery ID]],Allocation[Quantity Processed])</f>
        <v>1227</v>
      </c>
      <c r="R317" s="61">
        <f>Allocation[[#This Row],[Total volume used]]/VLOOKUP(Allocation[[#This Row],[Delivery ID]],Delivery[[Delivery ID]:[Quantity delivered]],3,FALSE)</f>
        <v>9.3442997486863147E-2</v>
      </c>
      <c r="S317" s="34">
        <f>Allocation[[#This Row],[Quantity Processed]]/Allocation[[#This Row],[Dilution rate]]</f>
        <v>418.77133105802045</v>
      </c>
      <c r="T317" s="59">
        <f>SUMIF(Allocation[Delivery ID],Allocation[[#This Row],[Delivery ID]],Allocation[Quantity allocated])/SUMIF(Allocation[Delivery ID],Allocation[[#This Row],[Delivery ID]],Allocation[Volume available (kg)])</f>
        <v>0.87876120619396914</v>
      </c>
      <c r="U317" s="61">
        <f>Allocation[[#This Row],[Total volume used]]/VLOOKUP(Allocation[[#This Row],[Delivery ID]],Delivery[[Delivery ID]:[Quantity delivered]],3,FALSE)</f>
        <v>9.3442997486863147E-2</v>
      </c>
      <c r="V317" s="34" t="e">
        <f>VLOOKUP(Allocation[[#This Row],[SAP Contract number]],Shipments[[SAP Contract number]:[Contracted container weight]],2,FALSE)</f>
        <v>#N/A</v>
      </c>
      <c r="W317" s="34" t="e">
        <f>VLOOKUP(Allocation[[#This Row],[SAP Contract number]],Shipments[[SAP Contract number]:[AAA Premium USD]],24,FALSE)</f>
        <v>#N/A</v>
      </c>
      <c r="X317" s="34" t="e">
        <f>VLOOKUP(Allocation[[#This Row],[SAP Contract number]],Shipments[[SAP Contract number]:[RA Premium USD]],25,FALSE)</f>
        <v>#N/A</v>
      </c>
      <c r="Y317" s="38">
        <f>Allocation[[#This Row],[Quantity Processed]]/Allocation[[#This Row],[Quantity allocated]]</f>
        <v>3.3342391304347827</v>
      </c>
      <c r="Z317" s="34" t="b">
        <f>Allocation[[#This Row],[Quantity allocated]]&lt;=Allocation[[#This Row],[Quantity Processed]]</f>
        <v>1</v>
      </c>
    </row>
    <row r="318" spans="1:26">
      <c r="A318" s="247" t="s">
        <v>467</v>
      </c>
      <c r="B318" s="160" t="s">
        <v>68</v>
      </c>
      <c r="C318" s="249" t="s">
        <v>836</v>
      </c>
      <c r="D318" s="250">
        <v>1573</v>
      </c>
      <c r="E318" s="160" t="s">
        <v>1186</v>
      </c>
      <c r="F318" s="158">
        <v>43487</v>
      </c>
      <c r="G318" s="162">
        <v>2.93</v>
      </c>
      <c r="H318" s="250">
        <v>472</v>
      </c>
      <c r="I318" s="160">
        <v>1425075</v>
      </c>
      <c r="J318" s="163">
        <v>21600</v>
      </c>
      <c r="K318" s="158">
        <v>43494</v>
      </c>
      <c r="L318" s="160" t="s">
        <v>1198</v>
      </c>
      <c r="M318" s="160">
        <v>4615513976</v>
      </c>
      <c r="N318" s="158">
        <v>43516</v>
      </c>
      <c r="O318" s="164">
        <v>3.7094</v>
      </c>
      <c r="P318" s="165">
        <v>19739</v>
      </c>
      <c r="Q318" s="34">
        <f>SUMIF(Allocation[Delivery ID],Allocation[[#This Row],[Delivery ID]],Allocation[Quantity Processed])</f>
        <v>1573</v>
      </c>
      <c r="R318" s="61">
        <f>Allocation[[#This Row],[Total volume used]]/VLOOKUP(Allocation[[#This Row],[Delivery ID]],Delivery[[Delivery ID]:[Quantity delivered]],3,FALSE)</f>
        <v>9.3361426833249245E-2</v>
      </c>
      <c r="S318" s="34">
        <f>Allocation[[#This Row],[Quantity Processed]]/Allocation[[#This Row],[Dilution rate]]</f>
        <v>536.86006825938568</v>
      </c>
      <c r="T318" s="59">
        <f>SUMIF(Allocation[Delivery ID],Allocation[[#This Row],[Delivery ID]],Allocation[Quantity allocated])/SUMIF(Allocation[Delivery ID],Allocation[[#This Row],[Delivery ID]],Allocation[Volume available (kg)])</f>
        <v>0.87918626827717739</v>
      </c>
      <c r="U318" s="61">
        <f>Allocation[[#This Row],[Total volume used]]/VLOOKUP(Allocation[[#This Row],[Delivery ID]],Delivery[[Delivery ID]:[Quantity delivered]],3,FALSE)</f>
        <v>9.3361426833249245E-2</v>
      </c>
      <c r="V318" s="34" t="e">
        <f>VLOOKUP(Allocation[[#This Row],[SAP Contract number]],Shipments[[SAP Contract number]:[Contracted container weight]],2,FALSE)</f>
        <v>#N/A</v>
      </c>
      <c r="W318" s="34" t="e">
        <f>VLOOKUP(Allocation[[#This Row],[SAP Contract number]],Shipments[[SAP Contract number]:[AAA Premium USD]],24,FALSE)</f>
        <v>#N/A</v>
      </c>
      <c r="X318" s="34" t="e">
        <f>VLOOKUP(Allocation[[#This Row],[SAP Contract number]],Shipments[[SAP Contract number]:[RA Premium USD]],25,FALSE)</f>
        <v>#N/A</v>
      </c>
      <c r="Y318" s="38">
        <f>Allocation[[#This Row],[Quantity Processed]]/Allocation[[#This Row],[Quantity allocated]]</f>
        <v>3.3326271186440679</v>
      </c>
      <c r="Z318" s="34" t="b">
        <f>Allocation[[#This Row],[Quantity allocated]]&lt;=Allocation[[#This Row],[Quantity Processed]]</f>
        <v>1</v>
      </c>
    </row>
    <row r="319" spans="1:26">
      <c r="A319" s="247" t="s">
        <v>467</v>
      </c>
      <c r="B319" s="160" t="s">
        <v>68</v>
      </c>
      <c r="C319" s="249" t="s">
        <v>837</v>
      </c>
      <c r="D319" s="250">
        <v>1320</v>
      </c>
      <c r="E319" s="160" t="s">
        <v>1186</v>
      </c>
      <c r="F319" s="158">
        <v>43487</v>
      </c>
      <c r="G319" s="162">
        <v>2.93</v>
      </c>
      <c r="H319" s="250">
        <v>396</v>
      </c>
      <c r="I319" s="160">
        <v>1425075</v>
      </c>
      <c r="J319" s="163">
        <v>21600</v>
      </c>
      <c r="K319" s="158">
        <v>43494</v>
      </c>
      <c r="L319" s="160" t="s">
        <v>1198</v>
      </c>
      <c r="M319" s="160">
        <v>4615513976</v>
      </c>
      <c r="N319" s="158">
        <v>43516</v>
      </c>
      <c r="O319" s="164">
        <v>3.7094</v>
      </c>
      <c r="P319" s="165">
        <v>19739</v>
      </c>
      <c r="Q319" s="34">
        <f>SUMIF(Allocation[Delivery ID],Allocation[[#This Row],[Delivery ID]],Allocation[Quantity Processed])</f>
        <v>1320</v>
      </c>
      <c r="R319" s="61">
        <f>Allocation[[#This Row],[Total volume used]]/VLOOKUP(Allocation[[#This Row],[Delivery ID]],Delivery[[Delivery ID]:[Quantity delivered]],3,FALSE)</f>
        <v>9.3249973508530259E-2</v>
      </c>
      <c r="S319" s="34">
        <f>Allocation[[#This Row],[Quantity Processed]]/Allocation[[#This Row],[Dilution rate]]</f>
        <v>450.51194539249144</v>
      </c>
      <c r="T319" s="59">
        <f>SUMIF(Allocation[Delivery ID],Allocation[[#This Row],[Delivery ID]],Allocation[Quantity allocated])/SUMIF(Allocation[Delivery ID],Allocation[[#This Row],[Delivery ID]],Allocation[Volume available (kg)])</f>
        <v>0.879</v>
      </c>
      <c r="U319" s="61">
        <f>Allocation[[#This Row],[Total volume used]]/VLOOKUP(Allocation[[#This Row],[Delivery ID]],Delivery[[Delivery ID]:[Quantity delivered]],3,FALSE)</f>
        <v>9.3249973508530259E-2</v>
      </c>
      <c r="V319" s="34" t="e">
        <f>VLOOKUP(Allocation[[#This Row],[SAP Contract number]],Shipments[[SAP Contract number]:[Contracted container weight]],2,FALSE)</f>
        <v>#N/A</v>
      </c>
      <c r="W319" s="34" t="e">
        <f>VLOOKUP(Allocation[[#This Row],[SAP Contract number]],Shipments[[SAP Contract number]:[AAA Premium USD]],24,FALSE)</f>
        <v>#N/A</v>
      </c>
      <c r="X319" s="34" t="e">
        <f>VLOOKUP(Allocation[[#This Row],[SAP Contract number]],Shipments[[SAP Contract number]:[RA Premium USD]],25,FALSE)</f>
        <v>#N/A</v>
      </c>
      <c r="Y319" s="38">
        <f>Allocation[[#This Row],[Quantity Processed]]/Allocation[[#This Row],[Quantity allocated]]</f>
        <v>3.3333333333333335</v>
      </c>
      <c r="Z319" s="34" t="b">
        <f>Allocation[[#This Row],[Quantity allocated]]&lt;=Allocation[[#This Row],[Quantity Processed]]</f>
        <v>1</v>
      </c>
    </row>
    <row r="320" spans="1:26">
      <c r="A320" s="247" t="s">
        <v>467</v>
      </c>
      <c r="B320" s="160" t="s">
        <v>68</v>
      </c>
      <c r="C320" s="249" t="s">
        <v>838</v>
      </c>
      <c r="D320" s="250">
        <v>1477</v>
      </c>
      <c r="E320" s="160" t="s">
        <v>1186</v>
      </c>
      <c r="F320" s="158">
        <v>43487</v>
      </c>
      <c r="G320" s="162">
        <v>2.93</v>
      </c>
      <c r="H320" s="250">
        <v>443</v>
      </c>
      <c r="I320" s="160">
        <v>1425075</v>
      </c>
      <c r="J320" s="163">
        <v>21600</v>
      </c>
      <c r="K320" s="158">
        <v>43494</v>
      </c>
      <c r="L320" s="160" t="s">
        <v>1198</v>
      </c>
      <c r="M320" s="160">
        <v>4615513976</v>
      </c>
      <c r="N320" s="158">
        <v>43516</v>
      </c>
      <c r="O320" s="164">
        <v>3.7094</v>
      </c>
      <c r="P320" s="165">
        <v>19739</v>
      </c>
      <c r="Q320" s="34">
        <f>SUMIF(Allocation[Delivery ID],Allocation[[#This Row],[Delivery ID]],Allocation[Quantity Processed])</f>
        <v>1477</v>
      </c>
      <c r="R320" s="61">
        <f>Allocation[[#This Row],[Total volume used]]/VLOOKUP(Allocation[[#This Row],[Delivery ID]],Delivery[[Delivery ID]:[Quantity delivered]],3,FALSE)</f>
        <v>9.3277337459345105E-2</v>
      </c>
      <c r="S320" s="34">
        <f>Allocation[[#This Row],[Quantity Processed]]/Allocation[[#This Row],[Dilution rate]]</f>
        <v>504.0955631399317</v>
      </c>
      <c r="T320" s="59">
        <f>SUMIF(Allocation[Delivery ID],Allocation[[#This Row],[Delivery ID]],Allocation[Quantity allocated])/SUMIF(Allocation[Delivery ID],Allocation[[#This Row],[Delivery ID]],Allocation[Volume available (kg)])</f>
        <v>0.87880162491536906</v>
      </c>
      <c r="U320" s="61">
        <f>Allocation[[#This Row],[Total volume used]]/VLOOKUP(Allocation[[#This Row],[Delivery ID]],Delivery[[Delivery ID]:[Quantity delivered]],3,FALSE)</f>
        <v>9.3277337459345105E-2</v>
      </c>
      <c r="V320" s="34" t="e">
        <f>VLOOKUP(Allocation[[#This Row],[SAP Contract number]],Shipments[[SAP Contract number]:[Contracted container weight]],2,FALSE)</f>
        <v>#N/A</v>
      </c>
      <c r="W320" s="34" t="e">
        <f>VLOOKUP(Allocation[[#This Row],[SAP Contract number]],Shipments[[SAP Contract number]:[AAA Premium USD]],24,FALSE)</f>
        <v>#N/A</v>
      </c>
      <c r="X320" s="34" t="e">
        <f>VLOOKUP(Allocation[[#This Row],[SAP Contract number]],Shipments[[SAP Contract number]:[RA Premium USD]],25,FALSE)</f>
        <v>#N/A</v>
      </c>
      <c r="Y320" s="38">
        <f>Allocation[[#This Row],[Quantity Processed]]/Allocation[[#This Row],[Quantity allocated]]</f>
        <v>3.3340857787810383</v>
      </c>
      <c r="Z320" s="34" t="b">
        <f>Allocation[[#This Row],[Quantity allocated]]&lt;=Allocation[[#This Row],[Quantity Processed]]</f>
        <v>1</v>
      </c>
    </row>
    <row r="321" spans="1:26">
      <c r="A321" s="247" t="s">
        <v>467</v>
      </c>
      <c r="B321" s="160" t="s">
        <v>68</v>
      </c>
      <c r="C321" s="249" t="s">
        <v>839</v>
      </c>
      <c r="D321" s="250">
        <v>1930</v>
      </c>
      <c r="E321" s="160" t="s">
        <v>1186</v>
      </c>
      <c r="F321" s="158">
        <v>43487</v>
      </c>
      <c r="G321" s="162">
        <v>2.93</v>
      </c>
      <c r="H321" s="250">
        <v>579</v>
      </c>
      <c r="I321" s="160">
        <v>1425075</v>
      </c>
      <c r="J321" s="163">
        <v>21600</v>
      </c>
      <c r="K321" s="158">
        <v>43494</v>
      </c>
      <c r="L321" s="160" t="s">
        <v>1198</v>
      </c>
      <c r="M321" s="160">
        <v>4615513976</v>
      </c>
      <c r="N321" s="158">
        <v>43516</v>
      </c>
      <c r="O321" s="164">
        <v>3.7094</v>
      </c>
      <c r="P321" s="165">
        <v>19739</v>
      </c>
      <c r="Q321" s="34">
        <f>SUMIF(Allocation[Delivery ID],Allocation[[#This Row],[Delivery ID]],Allocation[Quantity Processed])</f>
        <v>1930</v>
      </c>
      <c r="R321" s="61">
        <f>Allocation[[#This Row],[Total volume used]]/VLOOKUP(Allocation[[#This Row],[Delivery ID]],Delivery[[Delivery ID]:[Quantity delivered]],3,FALSE)</f>
        <v>9.3322373192785649E-2</v>
      </c>
      <c r="S321" s="34">
        <f>Allocation[[#This Row],[Quantity Processed]]/Allocation[[#This Row],[Dilution rate]]</f>
        <v>658.70307167235489</v>
      </c>
      <c r="T321" s="59">
        <f>SUMIF(Allocation[Delivery ID],Allocation[[#This Row],[Delivery ID]],Allocation[Quantity allocated])/SUMIF(Allocation[Delivery ID],Allocation[[#This Row],[Delivery ID]],Allocation[Volume available (kg)])</f>
        <v>0.87900000000000011</v>
      </c>
      <c r="U321" s="61">
        <f>Allocation[[#This Row],[Total volume used]]/VLOOKUP(Allocation[[#This Row],[Delivery ID]],Delivery[[Delivery ID]:[Quantity delivered]],3,FALSE)</f>
        <v>9.3322373192785649E-2</v>
      </c>
      <c r="V321" s="34" t="e">
        <f>VLOOKUP(Allocation[[#This Row],[SAP Contract number]],Shipments[[SAP Contract number]:[Contracted container weight]],2,FALSE)</f>
        <v>#N/A</v>
      </c>
      <c r="W321" s="34" t="e">
        <f>VLOOKUP(Allocation[[#This Row],[SAP Contract number]],Shipments[[SAP Contract number]:[AAA Premium USD]],24,FALSE)</f>
        <v>#N/A</v>
      </c>
      <c r="X321" s="34" t="e">
        <f>VLOOKUP(Allocation[[#This Row],[SAP Contract number]],Shipments[[SAP Contract number]:[RA Premium USD]],25,FALSE)</f>
        <v>#N/A</v>
      </c>
      <c r="Y321" s="38">
        <f>Allocation[[#This Row],[Quantity Processed]]/Allocation[[#This Row],[Quantity allocated]]</f>
        <v>3.3333333333333335</v>
      </c>
      <c r="Z321" s="34" t="b">
        <f>Allocation[[#This Row],[Quantity allocated]]&lt;=Allocation[[#This Row],[Quantity Processed]]</f>
        <v>1</v>
      </c>
    </row>
    <row r="322" spans="1:26">
      <c r="A322" s="247" t="s">
        <v>467</v>
      </c>
      <c r="B322" s="160" t="s">
        <v>68</v>
      </c>
      <c r="C322" s="249" t="s">
        <v>840</v>
      </c>
      <c r="D322" s="250">
        <v>577</v>
      </c>
      <c r="E322" s="160" t="s">
        <v>1186</v>
      </c>
      <c r="F322" s="158">
        <v>43487</v>
      </c>
      <c r="G322" s="162">
        <v>2.93</v>
      </c>
      <c r="H322" s="250">
        <v>173</v>
      </c>
      <c r="I322" s="160">
        <v>1425075</v>
      </c>
      <c r="J322" s="163">
        <v>21600</v>
      </c>
      <c r="K322" s="158">
        <v>43494</v>
      </c>
      <c r="L322" s="160" t="s">
        <v>1198</v>
      </c>
      <c r="M322" s="160">
        <v>4615513976</v>
      </c>
      <c r="N322" s="158">
        <v>43516</v>
      </c>
      <c r="O322" s="164">
        <v>3.7094</v>
      </c>
      <c r="P322" s="165">
        <v>19739</v>
      </c>
      <c r="Q322" s="34">
        <f>SUMIF(Allocation[Delivery ID],Allocation[[#This Row],[Delivery ID]],Allocation[Quantity Processed])</f>
        <v>577</v>
      </c>
      <c r="R322" s="61">
        <f>Allocation[[#This Row],[Total volume used]]/VLOOKUP(Allocation[[#This Row],[Delivery ID]],Delivery[[Delivery ID]:[Quantity delivered]],3,FALSE)</f>
        <v>9.3448862256053117E-2</v>
      </c>
      <c r="S322" s="34">
        <f>Allocation[[#This Row],[Quantity Processed]]/Allocation[[#This Row],[Dilution rate]]</f>
        <v>196.92832764505118</v>
      </c>
      <c r="T322" s="59">
        <f>SUMIF(Allocation[Delivery ID],Allocation[[#This Row],[Delivery ID]],Allocation[Quantity allocated])/SUMIF(Allocation[Delivery ID],Allocation[[#This Row],[Delivery ID]],Allocation[Volume available (kg)])</f>
        <v>0.87849220103986136</v>
      </c>
      <c r="U322" s="61">
        <f>Allocation[[#This Row],[Total volume used]]/VLOOKUP(Allocation[[#This Row],[Delivery ID]],Delivery[[Delivery ID]:[Quantity delivered]],3,FALSE)</f>
        <v>9.3448862256053117E-2</v>
      </c>
      <c r="V322" s="34" t="e">
        <f>VLOOKUP(Allocation[[#This Row],[SAP Contract number]],Shipments[[SAP Contract number]:[Contracted container weight]],2,FALSE)</f>
        <v>#N/A</v>
      </c>
      <c r="W322" s="34" t="e">
        <f>VLOOKUP(Allocation[[#This Row],[SAP Contract number]],Shipments[[SAP Contract number]:[AAA Premium USD]],24,FALSE)</f>
        <v>#N/A</v>
      </c>
      <c r="X322" s="34" t="e">
        <f>VLOOKUP(Allocation[[#This Row],[SAP Contract number]],Shipments[[SAP Contract number]:[RA Premium USD]],25,FALSE)</f>
        <v>#N/A</v>
      </c>
      <c r="Y322" s="38">
        <f>Allocation[[#This Row],[Quantity Processed]]/Allocation[[#This Row],[Quantity allocated]]</f>
        <v>3.3352601156069364</v>
      </c>
      <c r="Z322" s="34" t="b">
        <f>Allocation[[#This Row],[Quantity allocated]]&lt;=Allocation[[#This Row],[Quantity Processed]]</f>
        <v>1</v>
      </c>
    </row>
    <row r="323" spans="1:26">
      <c r="A323" s="247" t="s">
        <v>467</v>
      </c>
      <c r="B323" s="160" t="s">
        <v>68</v>
      </c>
      <c r="C323" s="249" t="s">
        <v>841</v>
      </c>
      <c r="D323" s="250">
        <v>757</v>
      </c>
      <c r="E323" s="160" t="s">
        <v>1186</v>
      </c>
      <c r="F323" s="158">
        <v>43487</v>
      </c>
      <c r="G323" s="162">
        <v>2.93</v>
      </c>
      <c r="H323" s="250">
        <v>227</v>
      </c>
      <c r="I323" s="160">
        <v>1425075</v>
      </c>
      <c r="J323" s="163">
        <v>21600</v>
      </c>
      <c r="K323" s="158">
        <v>43494</v>
      </c>
      <c r="L323" s="160" t="s">
        <v>1198</v>
      </c>
      <c r="M323" s="160">
        <v>4615513976</v>
      </c>
      <c r="N323" s="158">
        <v>43516</v>
      </c>
      <c r="O323" s="164">
        <v>3.7094</v>
      </c>
      <c r="P323" s="165">
        <v>19739</v>
      </c>
      <c r="Q323" s="34">
        <f>SUMIF(Allocation[Delivery ID],Allocation[[#This Row],[Delivery ID]],Allocation[Quantity Processed])</f>
        <v>757</v>
      </c>
      <c r="R323" s="61">
        <f>Allocation[[#This Row],[Total volume used]]/VLOOKUP(Allocation[[#This Row],[Delivery ID]],Delivery[[Delivery ID]:[Quantity delivered]],3,FALSE)</f>
        <v>9.3502964426877472E-2</v>
      </c>
      <c r="S323" s="34">
        <f>Allocation[[#This Row],[Quantity Processed]]/Allocation[[#This Row],[Dilution rate]]</f>
        <v>258.36177474402729</v>
      </c>
      <c r="T323" s="59">
        <f>SUMIF(Allocation[Delivery ID],Allocation[[#This Row],[Delivery ID]],Allocation[Quantity allocated])/SUMIF(Allocation[Delivery ID],Allocation[[#This Row],[Delivery ID]],Allocation[Volume available (kg)])</f>
        <v>0.87861294583883753</v>
      </c>
      <c r="U323" s="61">
        <f>Allocation[[#This Row],[Total volume used]]/VLOOKUP(Allocation[[#This Row],[Delivery ID]],Delivery[[Delivery ID]:[Quantity delivered]],3,FALSE)</f>
        <v>9.3502964426877472E-2</v>
      </c>
      <c r="V323" s="34" t="e">
        <f>VLOOKUP(Allocation[[#This Row],[SAP Contract number]],Shipments[[SAP Contract number]:[Contracted container weight]],2,FALSE)</f>
        <v>#N/A</v>
      </c>
      <c r="W323" s="34" t="e">
        <f>VLOOKUP(Allocation[[#This Row],[SAP Contract number]],Shipments[[SAP Contract number]:[AAA Premium USD]],24,FALSE)</f>
        <v>#N/A</v>
      </c>
      <c r="X323" s="34" t="e">
        <f>VLOOKUP(Allocation[[#This Row],[SAP Contract number]],Shipments[[SAP Contract number]:[RA Premium USD]],25,FALSE)</f>
        <v>#N/A</v>
      </c>
      <c r="Y323" s="38">
        <f>Allocation[[#This Row],[Quantity Processed]]/Allocation[[#This Row],[Quantity allocated]]</f>
        <v>3.3348017621145374</v>
      </c>
      <c r="Z323" s="34" t="b">
        <f>Allocation[[#This Row],[Quantity allocated]]&lt;=Allocation[[#This Row],[Quantity Processed]]</f>
        <v>1</v>
      </c>
    </row>
    <row r="324" spans="1:26">
      <c r="A324" s="247" t="s">
        <v>467</v>
      </c>
      <c r="B324" s="160" t="s">
        <v>68</v>
      </c>
      <c r="C324" s="249" t="s">
        <v>842</v>
      </c>
      <c r="D324" s="250">
        <v>1923</v>
      </c>
      <c r="E324" s="160" t="s">
        <v>1186</v>
      </c>
      <c r="F324" s="158">
        <v>43487</v>
      </c>
      <c r="G324" s="162">
        <v>2.93</v>
      </c>
      <c r="H324" s="250">
        <v>577</v>
      </c>
      <c r="I324" s="160">
        <v>1425075</v>
      </c>
      <c r="J324" s="163">
        <v>21600</v>
      </c>
      <c r="K324" s="158">
        <v>43494</v>
      </c>
      <c r="L324" s="160" t="s">
        <v>1198</v>
      </c>
      <c r="M324" s="160">
        <v>4615513976</v>
      </c>
      <c r="N324" s="158">
        <v>43516</v>
      </c>
      <c r="O324" s="164">
        <v>3.7094</v>
      </c>
      <c r="P324" s="165">
        <v>19739</v>
      </c>
      <c r="Q324" s="34">
        <f>SUMIF(Allocation[Delivery ID],Allocation[[#This Row],[Delivery ID]],Allocation[Quantity Processed])</f>
        <v>1923</v>
      </c>
      <c r="R324" s="61">
        <f>Allocation[[#This Row],[Total volume used]]/VLOOKUP(Allocation[[#This Row],[Delivery ID]],Delivery[[Delivery ID]:[Quantity delivered]],3,FALSE)</f>
        <v>9.3168604651162792E-2</v>
      </c>
      <c r="S324" s="34">
        <f>Allocation[[#This Row],[Quantity Processed]]/Allocation[[#This Row],[Dilution rate]]</f>
        <v>656.31399317406135</v>
      </c>
      <c r="T324" s="59">
        <f>SUMIF(Allocation[Delivery ID],Allocation[[#This Row],[Delivery ID]],Allocation[Quantity allocated])/SUMIF(Allocation[Delivery ID],Allocation[[#This Row],[Delivery ID]],Allocation[Volume available (kg)])</f>
        <v>0.87915236609464387</v>
      </c>
      <c r="U324" s="61">
        <f>Allocation[[#This Row],[Total volume used]]/VLOOKUP(Allocation[[#This Row],[Delivery ID]],Delivery[[Delivery ID]:[Quantity delivered]],3,FALSE)</f>
        <v>9.3168604651162792E-2</v>
      </c>
      <c r="V324" s="34" t="e">
        <f>VLOOKUP(Allocation[[#This Row],[SAP Contract number]],Shipments[[SAP Contract number]:[Contracted container weight]],2,FALSE)</f>
        <v>#N/A</v>
      </c>
      <c r="W324" s="34" t="e">
        <f>VLOOKUP(Allocation[[#This Row],[SAP Contract number]],Shipments[[SAP Contract number]:[AAA Premium USD]],24,FALSE)</f>
        <v>#N/A</v>
      </c>
      <c r="X324" s="34" t="e">
        <f>VLOOKUP(Allocation[[#This Row],[SAP Contract number]],Shipments[[SAP Contract number]:[RA Premium USD]],25,FALSE)</f>
        <v>#N/A</v>
      </c>
      <c r="Y324" s="38">
        <f>Allocation[[#This Row],[Quantity Processed]]/Allocation[[#This Row],[Quantity allocated]]</f>
        <v>3.3327556325823222</v>
      </c>
      <c r="Z324" s="34" t="b">
        <f>Allocation[[#This Row],[Quantity allocated]]&lt;=Allocation[[#This Row],[Quantity Processed]]</f>
        <v>1</v>
      </c>
    </row>
    <row r="325" spans="1:26">
      <c r="A325" s="247" t="s">
        <v>467</v>
      </c>
      <c r="B325" s="160" t="s">
        <v>68</v>
      </c>
      <c r="C325" s="249" t="s">
        <v>843</v>
      </c>
      <c r="D325" s="250">
        <v>653</v>
      </c>
      <c r="E325" s="160" t="s">
        <v>1186</v>
      </c>
      <c r="F325" s="158">
        <v>43487</v>
      </c>
      <c r="G325" s="162">
        <v>2.93</v>
      </c>
      <c r="H325" s="250">
        <v>196</v>
      </c>
      <c r="I325" s="160">
        <v>1425075</v>
      </c>
      <c r="J325" s="163">
        <v>21600</v>
      </c>
      <c r="K325" s="158">
        <v>43494</v>
      </c>
      <c r="L325" s="160" t="s">
        <v>1198</v>
      </c>
      <c r="M325" s="160">
        <v>4615513976</v>
      </c>
      <c r="N325" s="158">
        <v>43516</v>
      </c>
      <c r="O325" s="164">
        <v>3.7094</v>
      </c>
      <c r="P325" s="165">
        <v>19739</v>
      </c>
      <c r="Q325" s="34">
        <f>SUMIF(Allocation[Delivery ID],Allocation[[#This Row],[Delivery ID]],Allocation[Quantity Processed])</f>
        <v>653</v>
      </c>
      <c r="R325" s="61">
        <f>Allocation[[#This Row],[Total volume used]]/VLOOKUP(Allocation[[#This Row],[Delivery ID]],Delivery[[Delivery ID]:[Quantity delivered]],3,FALSE)</f>
        <v>9.3019943019943013E-2</v>
      </c>
      <c r="S325" s="34">
        <f>Allocation[[#This Row],[Quantity Processed]]/Allocation[[#This Row],[Dilution rate]]</f>
        <v>222.86689419795221</v>
      </c>
      <c r="T325" s="59">
        <f>SUMIF(Allocation[Delivery ID],Allocation[[#This Row],[Delivery ID]],Allocation[Quantity allocated])/SUMIF(Allocation[Delivery ID],Allocation[[#This Row],[Delivery ID]],Allocation[Volume available (kg)])</f>
        <v>0.87944869831546713</v>
      </c>
      <c r="U325" s="61">
        <f>Allocation[[#This Row],[Total volume used]]/VLOOKUP(Allocation[[#This Row],[Delivery ID]],Delivery[[Delivery ID]:[Quantity delivered]],3,FALSE)</f>
        <v>9.3019943019943013E-2</v>
      </c>
      <c r="V325" s="34" t="e">
        <f>VLOOKUP(Allocation[[#This Row],[SAP Contract number]],Shipments[[SAP Contract number]:[Contracted container weight]],2,FALSE)</f>
        <v>#N/A</v>
      </c>
      <c r="W325" s="34" t="e">
        <f>VLOOKUP(Allocation[[#This Row],[SAP Contract number]],Shipments[[SAP Contract number]:[AAA Premium USD]],24,FALSE)</f>
        <v>#N/A</v>
      </c>
      <c r="X325" s="34" t="e">
        <f>VLOOKUP(Allocation[[#This Row],[SAP Contract number]],Shipments[[SAP Contract number]:[RA Premium USD]],25,FALSE)</f>
        <v>#N/A</v>
      </c>
      <c r="Y325" s="38">
        <f>Allocation[[#This Row],[Quantity Processed]]/Allocation[[#This Row],[Quantity allocated]]</f>
        <v>3.3316326530612246</v>
      </c>
      <c r="Z325" s="34" t="b">
        <f>Allocation[[#This Row],[Quantity allocated]]&lt;=Allocation[[#This Row],[Quantity Processed]]</f>
        <v>1</v>
      </c>
    </row>
    <row r="326" spans="1:26">
      <c r="A326" s="247" t="s">
        <v>467</v>
      </c>
      <c r="B326" s="160" t="s">
        <v>68</v>
      </c>
      <c r="C326" s="249" t="s">
        <v>844</v>
      </c>
      <c r="D326" s="250">
        <v>973</v>
      </c>
      <c r="E326" s="160" t="s">
        <v>1186</v>
      </c>
      <c r="F326" s="158">
        <v>43487</v>
      </c>
      <c r="G326" s="162">
        <v>2.93</v>
      </c>
      <c r="H326" s="250">
        <v>292</v>
      </c>
      <c r="I326" s="160">
        <v>1425075</v>
      </c>
      <c r="J326" s="163">
        <v>21600</v>
      </c>
      <c r="K326" s="158">
        <v>43494</v>
      </c>
      <c r="L326" s="160" t="s">
        <v>1198</v>
      </c>
      <c r="M326" s="160">
        <v>4615513976</v>
      </c>
      <c r="N326" s="158">
        <v>43516</v>
      </c>
      <c r="O326" s="164">
        <v>3.7094</v>
      </c>
      <c r="P326" s="165">
        <v>19739</v>
      </c>
      <c r="Q326" s="34">
        <f>SUMIF(Allocation[Delivery ID],Allocation[[#This Row],[Delivery ID]],Allocation[Quantity Processed])</f>
        <v>973</v>
      </c>
      <c r="R326" s="61">
        <f>Allocation[[#This Row],[Total volume used]]/VLOOKUP(Allocation[[#This Row],[Delivery ID]],Delivery[[Delivery ID]:[Quantity delivered]],3,FALSE)</f>
        <v>9.336467878904188E-2</v>
      </c>
      <c r="S326" s="34">
        <f>Allocation[[#This Row],[Quantity Processed]]/Allocation[[#This Row],[Dilution rate]]</f>
        <v>332.0819112627986</v>
      </c>
      <c r="T326" s="59">
        <f>SUMIF(Allocation[Delivery ID],Allocation[[#This Row],[Delivery ID]],Allocation[Quantity allocated])/SUMIF(Allocation[Delivery ID],Allocation[[#This Row],[Delivery ID]],Allocation[Volume available (kg)])</f>
        <v>0.87930113052415215</v>
      </c>
      <c r="U326" s="61">
        <f>Allocation[[#This Row],[Total volume used]]/VLOOKUP(Allocation[[#This Row],[Delivery ID]],Delivery[[Delivery ID]:[Quantity delivered]],3,FALSE)</f>
        <v>9.336467878904188E-2</v>
      </c>
      <c r="V326" s="34" t="e">
        <f>VLOOKUP(Allocation[[#This Row],[SAP Contract number]],Shipments[[SAP Contract number]:[Contracted container weight]],2,FALSE)</f>
        <v>#N/A</v>
      </c>
      <c r="W326" s="34" t="e">
        <f>VLOOKUP(Allocation[[#This Row],[SAP Contract number]],Shipments[[SAP Contract number]:[AAA Premium USD]],24,FALSE)</f>
        <v>#N/A</v>
      </c>
      <c r="X326" s="34" t="e">
        <f>VLOOKUP(Allocation[[#This Row],[SAP Contract number]],Shipments[[SAP Contract number]:[RA Premium USD]],25,FALSE)</f>
        <v>#N/A</v>
      </c>
      <c r="Y326" s="38">
        <f>Allocation[[#This Row],[Quantity Processed]]/Allocation[[#This Row],[Quantity allocated]]</f>
        <v>3.3321917808219177</v>
      </c>
      <c r="Z326" s="34" t="b">
        <f>Allocation[[#This Row],[Quantity allocated]]&lt;=Allocation[[#This Row],[Quantity Processed]]</f>
        <v>1</v>
      </c>
    </row>
    <row r="327" spans="1:26">
      <c r="A327" s="247" t="s">
        <v>467</v>
      </c>
      <c r="B327" s="160" t="s">
        <v>68</v>
      </c>
      <c r="C327" s="249" t="s">
        <v>845</v>
      </c>
      <c r="D327" s="250">
        <v>1830</v>
      </c>
      <c r="E327" s="160" t="s">
        <v>1186</v>
      </c>
      <c r="F327" s="158">
        <v>43487</v>
      </c>
      <c r="G327" s="162">
        <v>2.93</v>
      </c>
      <c r="H327" s="250">
        <v>549</v>
      </c>
      <c r="I327" s="160">
        <v>1425075</v>
      </c>
      <c r="J327" s="163">
        <v>21600</v>
      </c>
      <c r="K327" s="158">
        <v>43494</v>
      </c>
      <c r="L327" s="160" t="s">
        <v>1198</v>
      </c>
      <c r="M327" s="160">
        <v>4615513976</v>
      </c>
      <c r="N327" s="158">
        <v>43516</v>
      </c>
      <c r="O327" s="164">
        <v>3.7094</v>
      </c>
      <c r="P327" s="165">
        <v>19739</v>
      </c>
      <c r="Q327" s="34">
        <f>SUMIF(Allocation[Delivery ID],Allocation[[#This Row],[Delivery ID]],Allocation[Quantity Processed])</f>
        <v>1830</v>
      </c>
      <c r="R327" s="61">
        <f>Allocation[[#This Row],[Total volume used]]/VLOOKUP(Allocation[[#This Row],[Delivery ID]],Delivery[[Delivery ID]:[Quantity delivered]],3,FALSE)</f>
        <v>9.3438856267551704E-2</v>
      </c>
      <c r="S327" s="34">
        <f>Allocation[[#This Row],[Quantity Processed]]/Allocation[[#This Row],[Dilution rate]]</f>
        <v>624.57337883959042</v>
      </c>
      <c r="T327" s="59">
        <f>SUMIF(Allocation[Delivery ID],Allocation[[#This Row],[Delivery ID]],Allocation[Quantity allocated])/SUMIF(Allocation[Delivery ID],Allocation[[#This Row],[Delivery ID]],Allocation[Volume available (kg)])</f>
        <v>0.879</v>
      </c>
      <c r="U327" s="61">
        <f>Allocation[[#This Row],[Total volume used]]/VLOOKUP(Allocation[[#This Row],[Delivery ID]],Delivery[[Delivery ID]:[Quantity delivered]],3,FALSE)</f>
        <v>9.3438856267551704E-2</v>
      </c>
      <c r="V327" s="34" t="e">
        <f>VLOOKUP(Allocation[[#This Row],[SAP Contract number]],Shipments[[SAP Contract number]:[Contracted container weight]],2,FALSE)</f>
        <v>#N/A</v>
      </c>
      <c r="W327" s="34" t="e">
        <f>VLOOKUP(Allocation[[#This Row],[SAP Contract number]],Shipments[[SAP Contract number]:[AAA Premium USD]],24,FALSE)</f>
        <v>#N/A</v>
      </c>
      <c r="X327" s="34" t="e">
        <f>VLOOKUP(Allocation[[#This Row],[SAP Contract number]],Shipments[[SAP Contract number]:[RA Premium USD]],25,FALSE)</f>
        <v>#N/A</v>
      </c>
      <c r="Y327" s="38">
        <f>Allocation[[#This Row],[Quantity Processed]]/Allocation[[#This Row],[Quantity allocated]]</f>
        <v>3.3333333333333335</v>
      </c>
      <c r="Z327" s="34" t="b">
        <f>Allocation[[#This Row],[Quantity allocated]]&lt;=Allocation[[#This Row],[Quantity Processed]]</f>
        <v>1</v>
      </c>
    </row>
    <row r="328" spans="1:26">
      <c r="A328" s="247" t="s">
        <v>467</v>
      </c>
      <c r="B328" s="160" t="s">
        <v>68</v>
      </c>
      <c r="C328" s="249" t="s">
        <v>846</v>
      </c>
      <c r="D328" s="250">
        <v>1663</v>
      </c>
      <c r="E328" s="160" t="s">
        <v>1186</v>
      </c>
      <c r="F328" s="158">
        <v>43487</v>
      </c>
      <c r="G328" s="162">
        <v>2.93</v>
      </c>
      <c r="H328" s="250">
        <v>499</v>
      </c>
      <c r="I328" s="160">
        <v>1425075</v>
      </c>
      <c r="J328" s="163">
        <v>21600</v>
      </c>
      <c r="K328" s="158">
        <v>43494</v>
      </c>
      <c r="L328" s="160" t="s">
        <v>1198</v>
      </c>
      <c r="M328" s="160">
        <v>4615513976</v>
      </c>
      <c r="N328" s="158">
        <v>43516</v>
      </c>
      <c r="O328" s="164">
        <v>3.7094</v>
      </c>
      <c r="P328" s="165">
        <v>19739</v>
      </c>
      <c r="Q328" s="34">
        <f>SUMIF(Allocation[Delivery ID],Allocation[[#This Row],[Delivery ID]],Allocation[Quantity Processed])</f>
        <v>1663</v>
      </c>
      <c r="R328" s="61">
        <f>Allocation[[#This Row],[Total volume used]]/VLOOKUP(Allocation[[#This Row],[Delivery ID]],Delivery[[Delivery ID]:[Quantity delivered]],3,FALSE)</f>
        <v>9.345846914690345E-2</v>
      </c>
      <c r="S328" s="34">
        <f>Allocation[[#This Row],[Quantity Processed]]/Allocation[[#This Row],[Dilution rate]]</f>
        <v>567.57679180887374</v>
      </c>
      <c r="T328" s="59">
        <f>SUMIF(Allocation[Delivery ID],Allocation[[#This Row],[Delivery ID]],Allocation[Quantity allocated])/SUMIF(Allocation[Delivery ID],Allocation[[#This Row],[Delivery ID]],Allocation[Volume available (kg)])</f>
        <v>0.87917618761274807</v>
      </c>
      <c r="U328" s="61">
        <f>Allocation[[#This Row],[Total volume used]]/VLOOKUP(Allocation[[#This Row],[Delivery ID]],Delivery[[Delivery ID]:[Quantity delivered]],3,FALSE)</f>
        <v>9.345846914690345E-2</v>
      </c>
      <c r="V328" s="34" t="e">
        <f>VLOOKUP(Allocation[[#This Row],[SAP Contract number]],Shipments[[SAP Contract number]:[Contracted container weight]],2,FALSE)</f>
        <v>#N/A</v>
      </c>
      <c r="W328" s="34" t="e">
        <f>VLOOKUP(Allocation[[#This Row],[SAP Contract number]],Shipments[[SAP Contract number]:[AAA Premium USD]],24,FALSE)</f>
        <v>#N/A</v>
      </c>
      <c r="X328" s="34" t="e">
        <f>VLOOKUP(Allocation[[#This Row],[SAP Contract number]],Shipments[[SAP Contract number]:[RA Premium USD]],25,FALSE)</f>
        <v>#N/A</v>
      </c>
      <c r="Y328" s="38">
        <f>Allocation[[#This Row],[Quantity Processed]]/Allocation[[#This Row],[Quantity allocated]]</f>
        <v>3.3326653306613228</v>
      </c>
      <c r="Z328" s="34" t="b">
        <f>Allocation[[#This Row],[Quantity allocated]]&lt;=Allocation[[#This Row],[Quantity Processed]]</f>
        <v>1</v>
      </c>
    </row>
    <row r="329" spans="1:26">
      <c r="A329" s="247" t="s">
        <v>467</v>
      </c>
      <c r="B329" s="160" t="s">
        <v>68</v>
      </c>
      <c r="C329" s="249" t="s">
        <v>847</v>
      </c>
      <c r="D329" s="250">
        <v>897</v>
      </c>
      <c r="E329" s="160" t="s">
        <v>1186</v>
      </c>
      <c r="F329" s="158">
        <v>43487</v>
      </c>
      <c r="G329" s="162">
        <v>2.93</v>
      </c>
      <c r="H329" s="250">
        <v>269</v>
      </c>
      <c r="I329" s="160">
        <v>1425075</v>
      </c>
      <c r="J329" s="163">
        <v>21600</v>
      </c>
      <c r="K329" s="158">
        <v>43494</v>
      </c>
      <c r="L329" s="160" t="s">
        <v>1198</v>
      </c>
      <c r="M329" s="160">
        <v>4615513976</v>
      </c>
      <c r="N329" s="158">
        <v>43516</v>
      </c>
      <c r="O329" s="164">
        <v>3.7094</v>
      </c>
      <c r="P329" s="165">
        <v>19739</v>
      </c>
      <c r="Q329" s="34">
        <f>SUMIF(Allocation[Delivery ID],Allocation[[#This Row],[Delivery ID]],Allocation[Quantity Processed])</f>
        <v>897</v>
      </c>
      <c r="R329" s="61">
        <f>Allocation[[#This Row],[Total volume used]]/VLOOKUP(Allocation[[#This Row],[Delivery ID]],Delivery[[Delivery ID]:[Quantity delivered]],3,FALSE)</f>
        <v>9.3573962027957439E-2</v>
      </c>
      <c r="S329" s="34">
        <f>Allocation[[#This Row],[Quantity Processed]]/Allocation[[#This Row],[Dilution rate]]</f>
        <v>306.14334470989758</v>
      </c>
      <c r="T329" s="59">
        <f>SUMIF(Allocation[Delivery ID],Allocation[[#This Row],[Delivery ID]],Allocation[Quantity allocated])/SUMIF(Allocation[Delivery ID],Allocation[[#This Row],[Delivery ID]],Allocation[Volume available (kg)])</f>
        <v>0.87867335562987747</v>
      </c>
      <c r="U329" s="61">
        <f>Allocation[[#This Row],[Total volume used]]/VLOOKUP(Allocation[[#This Row],[Delivery ID]],Delivery[[Delivery ID]:[Quantity delivered]],3,FALSE)</f>
        <v>9.3573962027957439E-2</v>
      </c>
      <c r="V329" s="34" t="e">
        <f>VLOOKUP(Allocation[[#This Row],[SAP Contract number]],Shipments[[SAP Contract number]:[Contracted container weight]],2,FALSE)</f>
        <v>#N/A</v>
      </c>
      <c r="W329" s="34" t="e">
        <f>VLOOKUP(Allocation[[#This Row],[SAP Contract number]],Shipments[[SAP Contract number]:[AAA Premium USD]],24,FALSE)</f>
        <v>#N/A</v>
      </c>
      <c r="X329" s="34" t="e">
        <f>VLOOKUP(Allocation[[#This Row],[SAP Contract number]],Shipments[[SAP Contract number]:[RA Premium USD]],25,FALSE)</f>
        <v>#N/A</v>
      </c>
      <c r="Y329" s="38">
        <f>Allocation[[#This Row],[Quantity Processed]]/Allocation[[#This Row],[Quantity allocated]]</f>
        <v>3.3345724907063197</v>
      </c>
      <c r="Z329" s="34" t="b">
        <f>Allocation[[#This Row],[Quantity allocated]]&lt;=Allocation[[#This Row],[Quantity Processed]]</f>
        <v>1</v>
      </c>
    </row>
    <row r="330" spans="1:26">
      <c r="A330" s="247" t="s">
        <v>467</v>
      </c>
      <c r="B330" s="160" t="s">
        <v>68</v>
      </c>
      <c r="C330" s="249" t="s">
        <v>848</v>
      </c>
      <c r="D330" s="250">
        <v>667</v>
      </c>
      <c r="E330" s="160" t="s">
        <v>1186</v>
      </c>
      <c r="F330" s="158">
        <v>43487</v>
      </c>
      <c r="G330" s="162">
        <v>2.93</v>
      </c>
      <c r="H330" s="250">
        <v>200</v>
      </c>
      <c r="I330" s="160">
        <v>1425075</v>
      </c>
      <c r="J330" s="163">
        <v>21600</v>
      </c>
      <c r="K330" s="158">
        <v>43494</v>
      </c>
      <c r="L330" s="160" t="s">
        <v>1198</v>
      </c>
      <c r="M330" s="160">
        <v>4615513976</v>
      </c>
      <c r="N330" s="158">
        <v>43516</v>
      </c>
      <c r="O330" s="164">
        <v>3.7094</v>
      </c>
      <c r="P330" s="165">
        <v>19739</v>
      </c>
      <c r="Q330" s="34">
        <f>SUMIF(Allocation[Delivery ID],Allocation[[#This Row],[Delivery ID]],Allocation[Quantity Processed])</f>
        <v>667</v>
      </c>
      <c r="R330" s="61">
        <f>Allocation[[#This Row],[Total volume used]]/VLOOKUP(Allocation[[#This Row],[Delivery ID]],Delivery[[Delivery ID]:[Quantity delivered]],3,FALSE)</f>
        <v>9.3469730941704035E-2</v>
      </c>
      <c r="S330" s="34">
        <f>Allocation[[#This Row],[Quantity Processed]]/Allocation[[#This Row],[Dilution rate]]</f>
        <v>227.64505119453923</v>
      </c>
      <c r="T330" s="59">
        <f>SUMIF(Allocation[Delivery ID],Allocation[[#This Row],[Delivery ID]],Allocation[Quantity allocated])/SUMIF(Allocation[Delivery ID],Allocation[[#This Row],[Delivery ID]],Allocation[Volume available (kg)])</f>
        <v>0.87856071964018001</v>
      </c>
      <c r="U330" s="61">
        <f>Allocation[[#This Row],[Total volume used]]/VLOOKUP(Allocation[[#This Row],[Delivery ID]],Delivery[[Delivery ID]:[Quantity delivered]],3,FALSE)</f>
        <v>9.3469730941704035E-2</v>
      </c>
      <c r="V330" s="34" t="e">
        <f>VLOOKUP(Allocation[[#This Row],[SAP Contract number]],Shipments[[SAP Contract number]:[Contracted container weight]],2,FALSE)</f>
        <v>#N/A</v>
      </c>
      <c r="W330" s="34" t="e">
        <f>VLOOKUP(Allocation[[#This Row],[SAP Contract number]],Shipments[[SAP Contract number]:[AAA Premium USD]],24,FALSE)</f>
        <v>#N/A</v>
      </c>
      <c r="X330" s="34" t="e">
        <f>VLOOKUP(Allocation[[#This Row],[SAP Contract number]],Shipments[[SAP Contract number]:[RA Premium USD]],25,FALSE)</f>
        <v>#N/A</v>
      </c>
      <c r="Y330" s="38">
        <f>Allocation[[#This Row],[Quantity Processed]]/Allocation[[#This Row],[Quantity allocated]]</f>
        <v>3.335</v>
      </c>
      <c r="Z330" s="34" t="b">
        <f>Allocation[[#This Row],[Quantity allocated]]&lt;=Allocation[[#This Row],[Quantity Processed]]</f>
        <v>1</v>
      </c>
    </row>
    <row r="331" spans="1:26">
      <c r="A331" s="247" t="s">
        <v>467</v>
      </c>
      <c r="B331" s="160" t="s">
        <v>68</v>
      </c>
      <c r="C331" s="249" t="s">
        <v>849</v>
      </c>
      <c r="D331" s="250">
        <v>1880</v>
      </c>
      <c r="E331" s="160" t="s">
        <v>1186</v>
      </c>
      <c r="F331" s="158">
        <v>43487</v>
      </c>
      <c r="G331" s="162">
        <v>2.93</v>
      </c>
      <c r="H331" s="250">
        <v>564</v>
      </c>
      <c r="I331" s="160">
        <v>1425075</v>
      </c>
      <c r="J331" s="163">
        <v>21600</v>
      </c>
      <c r="K331" s="158">
        <v>43494</v>
      </c>
      <c r="L331" s="160" t="s">
        <v>1198</v>
      </c>
      <c r="M331" s="160">
        <v>4615513976</v>
      </c>
      <c r="N331" s="158">
        <v>43516</v>
      </c>
      <c r="O331" s="164">
        <v>3.7094</v>
      </c>
      <c r="P331" s="165">
        <v>19739</v>
      </c>
      <c r="Q331" s="34">
        <f>SUMIF(Allocation[Delivery ID],Allocation[[#This Row],[Delivery ID]],Allocation[Quantity Processed])</f>
        <v>1880</v>
      </c>
      <c r="R331" s="61">
        <f>Allocation[[#This Row],[Total volume used]]/VLOOKUP(Allocation[[#This Row],[Delivery ID]],Delivery[[Delivery ID]:[Quantity delivered]],3,FALSE)</f>
        <v>9.3307194083926848E-2</v>
      </c>
      <c r="S331" s="34">
        <f>Allocation[[#This Row],[Quantity Processed]]/Allocation[[#This Row],[Dilution rate]]</f>
        <v>641.63822525597266</v>
      </c>
      <c r="T331" s="59">
        <f>SUMIF(Allocation[Delivery ID],Allocation[[#This Row],[Delivery ID]],Allocation[Quantity allocated])/SUMIF(Allocation[Delivery ID],Allocation[[#This Row],[Delivery ID]],Allocation[Volume available (kg)])</f>
        <v>0.879</v>
      </c>
      <c r="U331" s="61">
        <f>Allocation[[#This Row],[Total volume used]]/VLOOKUP(Allocation[[#This Row],[Delivery ID]],Delivery[[Delivery ID]:[Quantity delivered]],3,FALSE)</f>
        <v>9.3307194083926848E-2</v>
      </c>
      <c r="V331" s="34" t="e">
        <f>VLOOKUP(Allocation[[#This Row],[SAP Contract number]],Shipments[[SAP Contract number]:[Contracted container weight]],2,FALSE)</f>
        <v>#N/A</v>
      </c>
      <c r="W331" s="34" t="e">
        <f>VLOOKUP(Allocation[[#This Row],[SAP Contract number]],Shipments[[SAP Contract number]:[AAA Premium USD]],24,FALSE)</f>
        <v>#N/A</v>
      </c>
      <c r="X331" s="34" t="e">
        <f>VLOOKUP(Allocation[[#This Row],[SAP Contract number]],Shipments[[SAP Contract number]:[RA Premium USD]],25,FALSE)</f>
        <v>#N/A</v>
      </c>
      <c r="Y331" s="38">
        <f>Allocation[[#This Row],[Quantity Processed]]/Allocation[[#This Row],[Quantity allocated]]</f>
        <v>3.3333333333333335</v>
      </c>
      <c r="Z331" s="34" t="b">
        <f>Allocation[[#This Row],[Quantity allocated]]&lt;=Allocation[[#This Row],[Quantity Processed]]</f>
        <v>1</v>
      </c>
    </row>
    <row r="332" spans="1:26">
      <c r="A332" s="247" t="s">
        <v>467</v>
      </c>
      <c r="B332" s="160" t="s">
        <v>68</v>
      </c>
      <c r="C332" s="249" t="s">
        <v>850</v>
      </c>
      <c r="D332" s="250">
        <v>1157</v>
      </c>
      <c r="E332" s="160" t="s">
        <v>1186</v>
      </c>
      <c r="F332" s="158">
        <v>43487</v>
      </c>
      <c r="G332" s="162">
        <v>2.93</v>
      </c>
      <c r="H332" s="250">
        <v>347</v>
      </c>
      <c r="I332" s="160">
        <v>1425075</v>
      </c>
      <c r="J332" s="163">
        <v>21600</v>
      </c>
      <c r="K332" s="158">
        <v>43494</v>
      </c>
      <c r="L332" s="160" t="s">
        <v>1198</v>
      </c>
      <c r="M332" s="160">
        <v>4615513976</v>
      </c>
      <c r="N332" s="158">
        <v>43516</v>
      </c>
      <c r="O332" s="164">
        <v>3.7094</v>
      </c>
      <c r="P332" s="165">
        <v>19739</v>
      </c>
      <c r="Q332" s="34">
        <f>SUMIF(Allocation[Delivery ID],Allocation[[#This Row],[Delivery ID]],Allocation[Quantity Processed])</f>
        <v>1157</v>
      </c>
      <c r="R332" s="61">
        <f>Allocation[[#This Row],[Total volume used]]/VLOOKUP(Allocation[[#This Row],[Delivery ID]],Delivery[[Delivery ID]:[Quantity delivered]],3,FALSE)</f>
        <v>9.3216242346116668E-2</v>
      </c>
      <c r="S332" s="34">
        <f>Allocation[[#This Row],[Quantity Processed]]/Allocation[[#This Row],[Dilution rate]]</f>
        <v>394.88054607508531</v>
      </c>
      <c r="T332" s="59">
        <f>SUMIF(Allocation[Delivery ID],Allocation[[#This Row],[Delivery ID]],Allocation[Quantity allocated])/SUMIF(Allocation[Delivery ID],Allocation[[#This Row],[Delivery ID]],Allocation[Volume available (kg)])</f>
        <v>0.87874675885911846</v>
      </c>
      <c r="U332" s="61">
        <f>Allocation[[#This Row],[Total volume used]]/VLOOKUP(Allocation[[#This Row],[Delivery ID]],Delivery[[Delivery ID]:[Quantity delivered]],3,FALSE)</f>
        <v>9.3216242346116668E-2</v>
      </c>
      <c r="V332" s="34" t="e">
        <f>VLOOKUP(Allocation[[#This Row],[SAP Contract number]],Shipments[[SAP Contract number]:[Contracted container weight]],2,FALSE)</f>
        <v>#N/A</v>
      </c>
      <c r="W332" s="34" t="e">
        <f>VLOOKUP(Allocation[[#This Row],[SAP Contract number]],Shipments[[SAP Contract number]:[AAA Premium USD]],24,FALSE)</f>
        <v>#N/A</v>
      </c>
      <c r="X332" s="34" t="e">
        <f>VLOOKUP(Allocation[[#This Row],[SAP Contract number]],Shipments[[SAP Contract number]:[RA Premium USD]],25,FALSE)</f>
        <v>#N/A</v>
      </c>
      <c r="Y332" s="38">
        <f>Allocation[[#This Row],[Quantity Processed]]/Allocation[[#This Row],[Quantity allocated]]</f>
        <v>3.3342939481268012</v>
      </c>
      <c r="Z332" s="34" t="b">
        <f>Allocation[[#This Row],[Quantity allocated]]&lt;=Allocation[[#This Row],[Quantity Processed]]</f>
        <v>1</v>
      </c>
    </row>
    <row r="333" spans="1:26">
      <c r="A333" s="247" t="s">
        <v>467</v>
      </c>
      <c r="B333" s="160" t="s">
        <v>68</v>
      </c>
      <c r="C333" s="249" t="s">
        <v>851</v>
      </c>
      <c r="D333" s="250">
        <v>1287</v>
      </c>
      <c r="E333" s="160" t="s">
        <v>1186</v>
      </c>
      <c r="F333" s="158">
        <v>43487</v>
      </c>
      <c r="G333" s="162">
        <v>2.93</v>
      </c>
      <c r="H333" s="250">
        <v>386</v>
      </c>
      <c r="I333" s="160">
        <v>1425075</v>
      </c>
      <c r="J333" s="163">
        <v>21600</v>
      </c>
      <c r="K333" s="158">
        <v>43494</v>
      </c>
      <c r="L333" s="160" t="s">
        <v>1198</v>
      </c>
      <c r="M333" s="160">
        <v>4615513976</v>
      </c>
      <c r="N333" s="158">
        <v>43516</v>
      </c>
      <c r="O333" s="164">
        <v>3.7094</v>
      </c>
      <c r="P333" s="165">
        <v>19739</v>
      </c>
      <c r="Q333" s="34">
        <f>SUMIF(Allocation[Delivery ID],Allocation[[#This Row],[Delivery ID]],Allocation[Quantity Processed])</f>
        <v>1287</v>
      </c>
      <c r="R333" s="61">
        <f>Allocation[[#This Row],[Total volume used]]/VLOOKUP(Allocation[[#This Row],[Delivery ID]],Delivery[[Delivery ID]:[Quantity delivered]],3,FALSE)</f>
        <v>9.3321731564063523E-2</v>
      </c>
      <c r="S333" s="34">
        <f>Allocation[[#This Row],[Quantity Processed]]/Allocation[[#This Row],[Dilution rate]]</f>
        <v>439.24914675767917</v>
      </c>
      <c r="T333" s="59">
        <f>SUMIF(Allocation[Delivery ID],Allocation[[#This Row],[Delivery ID]],Allocation[Quantity allocated])/SUMIF(Allocation[Delivery ID],Allocation[[#This Row],[Delivery ID]],Allocation[Volume available (kg)])</f>
        <v>0.87877233877233885</v>
      </c>
      <c r="U333" s="61">
        <f>Allocation[[#This Row],[Total volume used]]/VLOOKUP(Allocation[[#This Row],[Delivery ID]],Delivery[[Delivery ID]:[Quantity delivered]],3,FALSE)</f>
        <v>9.3321731564063523E-2</v>
      </c>
      <c r="V333" s="34" t="e">
        <f>VLOOKUP(Allocation[[#This Row],[SAP Contract number]],Shipments[[SAP Contract number]:[Contracted container weight]],2,FALSE)</f>
        <v>#N/A</v>
      </c>
      <c r="W333" s="34" t="e">
        <f>VLOOKUP(Allocation[[#This Row],[SAP Contract number]],Shipments[[SAP Contract number]:[AAA Premium USD]],24,FALSE)</f>
        <v>#N/A</v>
      </c>
      <c r="X333" s="34" t="e">
        <f>VLOOKUP(Allocation[[#This Row],[SAP Contract number]],Shipments[[SAP Contract number]:[RA Premium USD]],25,FALSE)</f>
        <v>#N/A</v>
      </c>
      <c r="Y333" s="38">
        <f>Allocation[[#This Row],[Quantity Processed]]/Allocation[[#This Row],[Quantity allocated]]</f>
        <v>3.3341968911917097</v>
      </c>
      <c r="Z333" s="34" t="b">
        <f>Allocation[[#This Row],[Quantity allocated]]&lt;=Allocation[[#This Row],[Quantity Processed]]</f>
        <v>1</v>
      </c>
    </row>
    <row r="334" spans="1:26">
      <c r="A334" s="247" t="s">
        <v>467</v>
      </c>
      <c r="B334" s="160" t="s">
        <v>68</v>
      </c>
      <c r="C334" s="249" t="s">
        <v>852</v>
      </c>
      <c r="D334" s="250">
        <v>1190</v>
      </c>
      <c r="E334" s="160" t="s">
        <v>1186</v>
      </c>
      <c r="F334" s="158">
        <v>43487</v>
      </c>
      <c r="G334" s="162">
        <v>2.93</v>
      </c>
      <c r="H334" s="250">
        <v>357</v>
      </c>
      <c r="I334" s="160">
        <v>1425075</v>
      </c>
      <c r="J334" s="163">
        <v>21600</v>
      </c>
      <c r="K334" s="158">
        <v>43494</v>
      </c>
      <c r="L334" s="160" t="s">
        <v>1198</v>
      </c>
      <c r="M334" s="160">
        <v>4615513976</v>
      </c>
      <c r="N334" s="158">
        <v>43516</v>
      </c>
      <c r="O334" s="164">
        <v>3.7094</v>
      </c>
      <c r="P334" s="165">
        <v>19739</v>
      </c>
      <c r="Q334" s="34">
        <f>SUMIF(Allocation[Delivery ID],Allocation[[#This Row],[Delivery ID]],Allocation[Quantity Processed])</f>
        <v>1190</v>
      </c>
      <c r="R334" s="61">
        <f>Allocation[[#This Row],[Total volume used]]/VLOOKUP(Allocation[[#This Row],[Delivery ID]],Delivery[[Delivery ID]:[Quantity delivered]],3,FALSE)</f>
        <v>6.7579078880118118E-2</v>
      </c>
      <c r="S334" s="34">
        <f>Allocation[[#This Row],[Quantity Processed]]/Allocation[[#This Row],[Dilution rate]]</f>
        <v>406.14334470989758</v>
      </c>
      <c r="T334" s="59">
        <f>SUMIF(Allocation[Delivery ID],Allocation[[#This Row],[Delivery ID]],Allocation[Quantity allocated])/SUMIF(Allocation[Delivery ID],Allocation[[#This Row],[Delivery ID]],Allocation[Volume available (kg)])</f>
        <v>0.87900000000000011</v>
      </c>
      <c r="U334" s="61">
        <f>Allocation[[#This Row],[Total volume used]]/VLOOKUP(Allocation[[#This Row],[Delivery ID]],Delivery[[Delivery ID]:[Quantity delivered]],3,FALSE)</f>
        <v>6.7579078880118118E-2</v>
      </c>
      <c r="V334" s="34" t="e">
        <f>VLOOKUP(Allocation[[#This Row],[SAP Contract number]],Shipments[[SAP Contract number]:[Contracted container weight]],2,FALSE)</f>
        <v>#N/A</v>
      </c>
      <c r="W334" s="34" t="e">
        <f>VLOOKUP(Allocation[[#This Row],[SAP Contract number]],Shipments[[SAP Contract number]:[AAA Premium USD]],24,FALSE)</f>
        <v>#N/A</v>
      </c>
      <c r="X334" s="34" t="e">
        <f>VLOOKUP(Allocation[[#This Row],[SAP Contract number]],Shipments[[SAP Contract number]:[RA Premium USD]],25,FALSE)</f>
        <v>#N/A</v>
      </c>
      <c r="Y334" s="38">
        <f>Allocation[[#This Row],[Quantity Processed]]/Allocation[[#This Row],[Quantity allocated]]</f>
        <v>3.3333333333333335</v>
      </c>
      <c r="Z334" s="34" t="b">
        <f>Allocation[[#This Row],[Quantity allocated]]&lt;=Allocation[[#This Row],[Quantity Processed]]</f>
        <v>1</v>
      </c>
    </row>
    <row r="335" spans="1:26">
      <c r="A335" s="247" t="s">
        <v>467</v>
      </c>
      <c r="B335" s="160" t="s">
        <v>68</v>
      </c>
      <c r="C335" s="249" t="s">
        <v>853</v>
      </c>
      <c r="D335" s="250">
        <v>520</v>
      </c>
      <c r="E335" s="160" t="s">
        <v>1186</v>
      </c>
      <c r="F335" s="158">
        <v>43487</v>
      </c>
      <c r="G335" s="162">
        <v>2.93</v>
      </c>
      <c r="H335" s="250">
        <v>156</v>
      </c>
      <c r="I335" s="160">
        <v>1425075</v>
      </c>
      <c r="J335" s="163">
        <v>21600</v>
      </c>
      <c r="K335" s="158">
        <v>43494</v>
      </c>
      <c r="L335" s="160" t="s">
        <v>1198</v>
      </c>
      <c r="M335" s="160">
        <v>4615513976</v>
      </c>
      <c r="N335" s="158">
        <v>43516</v>
      </c>
      <c r="O335" s="164">
        <v>3.7094</v>
      </c>
      <c r="P335" s="165">
        <v>19739</v>
      </c>
      <c r="Q335" s="34">
        <f>SUMIF(Allocation[Delivery ID],Allocation[[#This Row],[Delivery ID]],Allocation[Quantity Processed])</f>
        <v>521</v>
      </c>
      <c r="R335" s="61">
        <f>Allocation[[#This Row],[Total volume used]]/VLOOKUP(Allocation[[#This Row],[Delivery ID]],Delivery[[Delivery ID]:[Quantity delivered]],3,FALSE)</f>
        <v>4.7540834017702344E-2</v>
      </c>
      <c r="S335" s="34">
        <f>Allocation[[#This Row],[Quantity Processed]]/Allocation[[#This Row],[Dilution rate]]</f>
        <v>177.47440273037543</v>
      </c>
      <c r="T335" s="59">
        <f>SUMIF(Allocation[Delivery ID],Allocation[[#This Row],[Delivery ID]],Allocation[Quantity allocated])/SUMIF(Allocation[Delivery ID],Allocation[[#This Row],[Delivery ID]],Allocation[Volume available (kg)])</f>
        <v>0.87887856600124337</v>
      </c>
      <c r="U335" s="61">
        <f>Allocation[[#This Row],[Total volume used]]/VLOOKUP(Allocation[[#This Row],[Delivery ID]],Delivery[[Delivery ID]:[Quantity delivered]],3,FALSE)</f>
        <v>4.7540834017702344E-2</v>
      </c>
      <c r="V335" s="34" t="e">
        <f>VLOOKUP(Allocation[[#This Row],[SAP Contract number]],Shipments[[SAP Contract number]:[Contracted container weight]],2,FALSE)</f>
        <v>#N/A</v>
      </c>
      <c r="W335" s="34" t="e">
        <f>VLOOKUP(Allocation[[#This Row],[SAP Contract number]],Shipments[[SAP Contract number]:[AAA Premium USD]],24,FALSE)</f>
        <v>#N/A</v>
      </c>
      <c r="X335" s="34" t="e">
        <f>VLOOKUP(Allocation[[#This Row],[SAP Contract number]],Shipments[[SAP Contract number]:[RA Premium USD]],25,FALSE)</f>
        <v>#N/A</v>
      </c>
      <c r="Y335" s="38">
        <f>Allocation[[#This Row],[Quantity Processed]]/Allocation[[#This Row],[Quantity allocated]]</f>
        <v>3.3333333333333335</v>
      </c>
      <c r="Z335" s="34" t="b">
        <f>Allocation[[#This Row],[Quantity allocated]]&lt;=Allocation[[#This Row],[Quantity Processed]]</f>
        <v>1</v>
      </c>
    </row>
    <row r="336" spans="1:26">
      <c r="A336" s="247" t="s">
        <v>467</v>
      </c>
      <c r="B336" s="160" t="s">
        <v>68</v>
      </c>
      <c r="C336" s="249" t="s">
        <v>854</v>
      </c>
      <c r="D336" s="250">
        <v>933</v>
      </c>
      <c r="E336" s="160" t="s">
        <v>1186</v>
      </c>
      <c r="F336" s="158">
        <v>43487</v>
      </c>
      <c r="G336" s="162">
        <v>2.93</v>
      </c>
      <c r="H336" s="250">
        <v>280</v>
      </c>
      <c r="I336" s="160">
        <v>1425075</v>
      </c>
      <c r="J336" s="163">
        <v>21600</v>
      </c>
      <c r="K336" s="158">
        <v>43494</v>
      </c>
      <c r="L336" s="160" t="s">
        <v>1198</v>
      </c>
      <c r="M336" s="160">
        <v>4615513976</v>
      </c>
      <c r="N336" s="158">
        <v>43516</v>
      </c>
      <c r="O336" s="164">
        <v>3.7094</v>
      </c>
      <c r="P336" s="165">
        <v>19739</v>
      </c>
      <c r="Q336" s="34">
        <f>SUMIF(Allocation[Delivery ID],Allocation[[#This Row],[Delivery ID]],Allocation[Quantity Processed])</f>
        <v>933</v>
      </c>
      <c r="R336" s="61">
        <f>Allocation[[#This Row],[Total volume used]]/VLOOKUP(Allocation[[#This Row],[Delivery ID]],Delivery[[Delivery ID]:[Quantity delivered]],3,FALSE)</f>
        <v>4.74797078954734E-2</v>
      </c>
      <c r="S336" s="34">
        <f>Allocation[[#This Row],[Quantity Processed]]/Allocation[[#This Row],[Dilution rate]]</f>
        <v>318.43003412969284</v>
      </c>
      <c r="T336" s="59">
        <f>SUMIF(Allocation[Delivery ID],Allocation[[#This Row],[Delivery ID]],Allocation[Quantity allocated])/SUMIF(Allocation[Delivery ID],Allocation[[#This Row],[Delivery ID]],Allocation[Volume available (kg)])</f>
        <v>0.87931404072883168</v>
      </c>
      <c r="U336" s="61">
        <f>Allocation[[#This Row],[Total volume used]]/VLOOKUP(Allocation[[#This Row],[Delivery ID]],Delivery[[Delivery ID]:[Quantity delivered]],3,FALSE)</f>
        <v>4.74797078954734E-2</v>
      </c>
      <c r="V336" s="34" t="e">
        <f>VLOOKUP(Allocation[[#This Row],[SAP Contract number]],Shipments[[SAP Contract number]:[Contracted container weight]],2,FALSE)</f>
        <v>#N/A</v>
      </c>
      <c r="W336" s="34" t="e">
        <f>VLOOKUP(Allocation[[#This Row],[SAP Contract number]],Shipments[[SAP Contract number]:[AAA Premium USD]],24,FALSE)</f>
        <v>#N/A</v>
      </c>
      <c r="X336" s="34" t="e">
        <f>VLOOKUP(Allocation[[#This Row],[SAP Contract number]],Shipments[[SAP Contract number]:[RA Premium USD]],25,FALSE)</f>
        <v>#N/A</v>
      </c>
      <c r="Y336" s="38">
        <f>Allocation[[#This Row],[Quantity Processed]]/Allocation[[#This Row],[Quantity allocated]]</f>
        <v>3.3321428571428573</v>
      </c>
      <c r="Z336" s="34" t="b">
        <f>Allocation[[#This Row],[Quantity allocated]]&lt;=Allocation[[#This Row],[Quantity Processed]]</f>
        <v>1</v>
      </c>
    </row>
    <row r="337" spans="1:26">
      <c r="A337" s="247" t="s">
        <v>467</v>
      </c>
      <c r="B337" s="160" t="s">
        <v>68</v>
      </c>
      <c r="C337" s="249" t="s">
        <v>855</v>
      </c>
      <c r="D337" s="250">
        <v>693</v>
      </c>
      <c r="E337" s="160" t="s">
        <v>1186</v>
      </c>
      <c r="F337" s="158">
        <v>43487</v>
      </c>
      <c r="G337" s="162">
        <v>2.93</v>
      </c>
      <c r="H337" s="250">
        <v>208</v>
      </c>
      <c r="I337" s="160">
        <v>1425075</v>
      </c>
      <c r="J337" s="163">
        <v>21600</v>
      </c>
      <c r="K337" s="158">
        <v>43494</v>
      </c>
      <c r="L337" s="160" t="s">
        <v>1198</v>
      </c>
      <c r="M337" s="160">
        <v>4615513976</v>
      </c>
      <c r="N337" s="158">
        <v>43516</v>
      </c>
      <c r="O337" s="164">
        <v>3.7094</v>
      </c>
      <c r="P337" s="165">
        <v>19739</v>
      </c>
      <c r="Q337" s="34">
        <f>SUMIF(Allocation[Delivery ID],Allocation[[#This Row],[Delivery ID]],Allocation[Quantity Processed])</f>
        <v>693</v>
      </c>
      <c r="R337" s="61">
        <f>Allocation[[#This Row],[Total volume used]]/VLOOKUP(Allocation[[#This Row],[Delivery ID]],Delivery[[Delivery ID]:[Quantity delivered]],3,FALSE)</f>
        <v>4.7563486616334937E-2</v>
      </c>
      <c r="S337" s="34">
        <f>Allocation[[#This Row],[Quantity Processed]]/Allocation[[#This Row],[Dilution rate]]</f>
        <v>236.51877133105802</v>
      </c>
      <c r="T337" s="59">
        <f>SUMIF(Allocation[Delivery ID],Allocation[[#This Row],[Delivery ID]],Allocation[Quantity allocated])/SUMIF(Allocation[Delivery ID],Allocation[[#This Row],[Delivery ID]],Allocation[Volume available (kg)])</f>
        <v>0.87942279942279944</v>
      </c>
      <c r="U337" s="61">
        <f>Allocation[[#This Row],[Total volume used]]/VLOOKUP(Allocation[[#This Row],[Delivery ID]],Delivery[[Delivery ID]:[Quantity delivered]],3,FALSE)</f>
        <v>4.7563486616334937E-2</v>
      </c>
      <c r="V337" s="34" t="e">
        <f>VLOOKUP(Allocation[[#This Row],[SAP Contract number]],Shipments[[SAP Contract number]:[Contracted container weight]],2,FALSE)</f>
        <v>#N/A</v>
      </c>
      <c r="W337" s="34" t="e">
        <f>VLOOKUP(Allocation[[#This Row],[SAP Contract number]],Shipments[[SAP Contract number]:[AAA Premium USD]],24,FALSE)</f>
        <v>#N/A</v>
      </c>
      <c r="X337" s="34" t="e">
        <f>VLOOKUP(Allocation[[#This Row],[SAP Contract number]],Shipments[[SAP Contract number]:[RA Premium USD]],25,FALSE)</f>
        <v>#N/A</v>
      </c>
      <c r="Y337" s="38">
        <f>Allocation[[#This Row],[Quantity Processed]]/Allocation[[#This Row],[Quantity allocated]]</f>
        <v>3.3317307692307692</v>
      </c>
      <c r="Z337" s="34" t="b">
        <f>Allocation[[#This Row],[Quantity allocated]]&lt;=Allocation[[#This Row],[Quantity Processed]]</f>
        <v>1</v>
      </c>
    </row>
    <row r="338" spans="1:26">
      <c r="A338" s="247" t="s">
        <v>467</v>
      </c>
      <c r="B338" s="160" t="s">
        <v>68</v>
      </c>
      <c r="C338" s="249" t="s">
        <v>856</v>
      </c>
      <c r="D338" s="250">
        <v>863</v>
      </c>
      <c r="E338" s="160" t="s">
        <v>1186</v>
      </c>
      <c r="F338" s="158">
        <v>43487</v>
      </c>
      <c r="G338" s="162">
        <v>2.93</v>
      </c>
      <c r="H338" s="250">
        <v>259</v>
      </c>
      <c r="I338" s="160">
        <v>1425075</v>
      </c>
      <c r="J338" s="163">
        <v>21600</v>
      </c>
      <c r="K338" s="158">
        <v>43494</v>
      </c>
      <c r="L338" s="160" t="s">
        <v>1198</v>
      </c>
      <c r="M338" s="160">
        <v>4615513976</v>
      </c>
      <c r="N338" s="158">
        <v>43516</v>
      </c>
      <c r="O338" s="164">
        <v>3.7094</v>
      </c>
      <c r="P338" s="165">
        <v>19739</v>
      </c>
      <c r="Q338" s="34">
        <f>SUMIF(Allocation[Delivery ID],Allocation[[#This Row],[Delivery ID]],Allocation[Quantity Processed])</f>
        <v>863</v>
      </c>
      <c r="R338" s="61">
        <f>Allocation[[#This Row],[Total volume used]]/VLOOKUP(Allocation[[#This Row],[Delivery ID]],Delivery[[Delivery ID]:[Quantity delivered]],3,FALSE)</f>
        <v>6.7731428795667695E-2</v>
      </c>
      <c r="S338" s="34">
        <f>Allocation[[#This Row],[Quantity Processed]]/Allocation[[#This Row],[Dilution rate]]</f>
        <v>294.53924914675764</v>
      </c>
      <c r="T338" s="59">
        <f>SUMIF(Allocation[Delivery ID],Allocation[[#This Row],[Delivery ID]],Allocation[Quantity allocated])/SUMIF(Allocation[Delivery ID],Allocation[[#This Row],[Delivery ID]],Allocation[Volume available (kg)])</f>
        <v>0.87933951332560845</v>
      </c>
      <c r="U338" s="61">
        <f>Allocation[[#This Row],[Total volume used]]/VLOOKUP(Allocation[[#This Row],[Delivery ID]],Delivery[[Delivery ID]:[Quantity delivered]],3,FALSE)</f>
        <v>6.7731428795667695E-2</v>
      </c>
      <c r="V338" s="34" t="e">
        <f>VLOOKUP(Allocation[[#This Row],[SAP Contract number]],Shipments[[SAP Contract number]:[Contracted container weight]],2,FALSE)</f>
        <v>#N/A</v>
      </c>
      <c r="W338" s="34" t="e">
        <f>VLOOKUP(Allocation[[#This Row],[SAP Contract number]],Shipments[[SAP Contract number]:[AAA Premium USD]],24,FALSE)</f>
        <v>#N/A</v>
      </c>
      <c r="X338" s="34" t="e">
        <f>VLOOKUP(Allocation[[#This Row],[SAP Contract number]],Shipments[[SAP Contract number]:[RA Premium USD]],25,FALSE)</f>
        <v>#N/A</v>
      </c>
      <c r="Y338" s="38">
        <f>Allocation[[#This Row],[Quantity Processed]]/Allocation[[#This Row],[Quantity allocated]]</f>
        <v>3.3320463320463318</v>
      </c>
      <c r="Z338" s="34" t="b">
        <f>Allocation[[#This Row],[Quantity allocated]]&lt;=Allocation[[#This Row],[Quantity Processed]]</f>
        <v>1</v>
      </c>
    </row>
    <row r="339" spans="1:26">
      <c r="A339" s="247" t="s">
        <v>467</v>
      </c>
      <c r="B339" s="160" t="s">
        <v>68</v>
      </c>
      <c r="C339" s="249" t="s">
        <v>857</v>
      </c>
      <c r="D339" s="250">
        <v>1080</v>
      </c>
      <c r="E339" s="160" t="s">
        <v>1186</v>
      </c>
      <c r="F339" s="158">
        <v>43487</v>
      </c>
      <c r="G339" s="162">
        <v>2.93</v>
      </c>
      <c r="H339" s="250">
        <v>324</v>
      </c>
      <c r="I339" s="160">
        <v>1425075</v>
      </c>
      <c r="J339" s="163">
        <v>21600</v>
      </c>
      <c r="K339" s="158">
        <v>43494</v>
      </c>
      <c r="L339" s="160" t="s">
        <v>1198</v>
      </c>
      <c r="M339" s="160">
        <v>4615513976</v>
      </c>
      <c r="N339" s="158">
        <v>43516</v>
      </c>
      <c r="O339" s="164">
        <v>3.7094</v>
      </c>
      <c r="P339" s="165">
        <v>19739</v>
      </c>
      <c r="Q339" s="34">
        <f>SUMIF(Allocation[Delivery ID],Allocation[[#This Row],[Delivery ID]],Allocation[Quantity Processed])</f>
        <v>1080</v>
      </c>
      <c r="R339" s="61">
        <f>Allocation[[#This Row],[Total volume used]]/VLOOKUP(Allocation[[#This Row],[Delivery ID]],Delivery[[Delivery ID]:[Quantity delivered]],3,FALSE)</f>
        <v>6.7440989134507301E-2</v>
      </c>
      <c r="S339" s="34">
        <f>Allocation[[#This Row],[Quantity Processed]]/Allocation[[#This Row],[Dilution rate]]</f>
        <v>368.60068259385662</v>
      </c>
      <c r="T339" s="59">
        <f>SUMIF(Allocation[Delivery ID],Allocation[[#This Row],[Delivery ID]],Allocation[Quantity allocated])/SUMIF(Allocation[Delivery ID],Allocation[[#This Row],[Delivery ID]],Allocation[Volume available (kg)])</f>
        <v>0.87900000000000011</v>
      </c>
      <c r="U339" s="61">
        <f>Allocation[[#This Row],[Total volume used]]/VLOOKUP(Allocation[[#This Row],[Delivery ID]],Delivery[[Delivery ID]:[Quantity delivered]],3,FALSE)</f>
        <v>6.7440989134507301E-2</v>
      </c>
      <c r="V339" s="34" t="e">
        <f>VLOOKUP(Allocation[[#This Row],[SAP Contract number]],Shipments[[SAP Contract number]:[Contracted container weight]],2,FALSE)</f>
        <v>#N/A</v>
      </c>
      <c r="W339" s="34" t="e">
        <f>VLOOKUP(Allocation[[#This Row],[SAP Contract number]],Shipments[[SAP Contract number]:[AAA Premium USD]],24,FALSE)</f>
        <v>#N/A</v>
      </c>
      <c r="X339" s="34" t="e">
        <f>VLOOKUP(Allocation[[#This Row],[SAP Contract number]],Shipments[[SAP Contract number]:[RA Premium USD]],25,FALSE)</f>
        <v>#N/A</v>
      </c>
      <c r="Y339" s="38">
        <f>Allocation[[#This Row],[Quantity Processed]]/Allocation[[#This Row],[Quantity allocated]]</f>
        <v>3.3333333333333335</v>
      </c>
      <c r="Z339" s="34" t="b">
        <f>Allocation[[#This Row],[Quantity allocated]]&lt;=Allocation[[#This Row],[Quantity Processed]]</f>
        <v>1</v>
      </c>
    </row>
    <row r="340" spans="1:26">
      <c r="A340" s="247" t="s">
        <v>467</v>
      </c>
      <c r="B340" s="160" t="s">
        <v>68</v>
      </c>
      <c r="C340" s="249" t="s">
        <v>858</v>
      </c>
      <c r="D340" s="250">
        <v>361</v>
      </c>
      <c r="E340" s="160" t="s">
        <v>1186</v>
      </c>
      <c r="F340" s="158">
        <v>43487</v>
      </c>
      <c r="G340" s="162">
        <v>2.93</v>
      </c>
      <c r="H340" s="250">
        <v>119</v>
      </c>
      <c r="I340" s="160">
        <v>1425075</v>
      </c>
      <c r="J340" s="163">
        <v>21600</v>
      </c>
      <c r="K340" s="158">
        <v>43494</v>
      </c>
      <c r="L340" s="160" t="s">
        <v>1198</v>
      </c>
      <c r="M340" s="160">
        <v>4615513976</v>
      </c>
      <c r="N340" s="158">
        <v>43516</v>
      </c>
      <c r="O340" s="164">
        <v>3.7094</v>
      </c>
      <c r="P340" s="165">
        <v>19739</v>
      </c>
      <c r="Q340" s="34">
        <f>SUMIF(Allocation[Delivery ID],Allocation[[#This Row],[Delivery ID]],Allocation[Quantity Processed])</f>
        <v>361</v>
      </c>
      <c r="R340" s="61">
        <f>Allocation[[#This Row],[Total volume used]]/VLOOKUP(Allocation[[#This Row],[Delivery ID]],Delivery[[Delivery ID]:[Quantity delivered]],3,FALSE)</f>
        <v>4.274718768502072E-2</v>
      </c>
      <c r="S340" s="34">
        <f>Allocation[[#This Row],[Quantity Processed]]/Allocation[[#This Row],[Dilution rate]]</f>
        <v>123.20819112627986</v>
      </c>
      <c r="T340" s="59">
        <f>SUMIF(Allocation[Delivery ID],Allocation[[#This Row],[Delivery ID]],Allocation[Quantity allocated])/SUMIF(Allocation[Delivery ID],Allocation[[#This Row],[Delivery ID]],Allocation[Volume available (kg)])</f>
        <v>0.9658448753462604</v>
      </c>
      <c r="U340" s="61">
        <f>Allocation[[#This Row],[Total volume used]]/VLOOKUP(Allocation[[#This Row],[Delivery ID]],Delivery[[Delivery ID]:[Quantity delivered]],3,FALSE)</f>
        <v>4.274718768502072E-2</v>
      </c>
      <c r="V340" s="34" t="e">
        <f>VLOOKUP(Allocation[[#This Row],[SAP Contract number]],Shipments[[SAP Contract number]:[Contracted container weight]],2,FALSE)</f>
        <v>#N/A</v>
      </c>
      <c r="W340" s="34" t="e">
        <f>VLOOKUP(Allocation[[#This Row],[SAP Contract number]],Shipments[[SAP Contract number]:[AAA Premium USD]],24,FALSE)</f>
        <v>#N/A</v>
      </c>
      <c r="X340" s="34" t="e">
        <f>VLOOKUP(Allocation[[#This Row],[SAP Contract number]],Shipments[[SAP Contract number]:[RA Premium USD]],25,FALSE)</f>
        <v>#N/A</v>
      </c>
      <c r="Y340" s="38">
        <f>Allocation[[#This Row],[Quantity Processed]]/Allocation[[#This Row],[Quantity allocated]]</f>
        <v>3.0336134453781511</v>
      </c>
      <c r="Z340" s="34" t="b">
        <f>Allocation[[#This Row],[Quantity allocated]]&lt;=Allocation[[#This Row],[Quantity Processed]]</f>
        <v>1</v>
      </c>
    </row>
    <row r="341" spans="1:26">
      <c r="A341" s="247" t="s">
        <v>467</v>
      </c>
      <c r="B341" s="160" t="s">
        <v>68</v>
      </c>
      <c r="C341" s="249" t="s">
        <v>859</v>
      </c>
      <c r="D341" s="250">
        <v>903</v>
      </c>
      <c r="E341" s="160" t="s">
        <v>1186</v>
      </c>
      <c r="F341" s="158">
        <v>43487</v>
      </c>
      <c r="G341" s="162">
        <v>2.93</v>
      </c>
      <c r="H341" s="250">
        <v>298</v>
      </c>
      <c r="I341" s="160">
        <v>1425075</v>
      </c>
      <c r="J341" s="163">
        <v>21600</v>
      </c>
      <c r="K341" s="158">
        <v>43494</v>
      </c>
      <c r="L341" s="160" t="s">
        <v>1198</v>
      </c>
      <c r="M341" s="160">
        <v>4615513976</v>
      </c>
      <c r="N341" s="158">
        <v>43516</v>
      </c>
      <c r="O341" s="164">
        <v>3.7094</v>
      </c>
      <c r="P341" s="165">
        <v>19739</v>
      </c>
      <c r="Q341" s="34">
        <f>SUMIF(Allocation[Delivery ID],Allocation[[#This Row],[Delivery ID]],Allocation[Quantity Processed])</f>
        <v>903</v>
      </c>
      <c r="R341" s="61">
        <f>Allocation[[#This Row],[Total volume used]]/VLOOKUP(Allocation[[#This Row],[Delivery ID]],Delivery[[Delivery ID]:[Quantity delivered]],3,FALSE)</f>
        <v>4.3701301843875523E-2</v>
      </c>
      <c r="S341" s="34">
        <f>Allocation[[#This Row],[Quantity Processed]]/Allocation[[#This Row],[Dilution rate]]</f>
        <v>308.19112627986345</v>
      </c>
      <c r="T341" s="59">
        <f>SUMIF(Allocation[Delivery ID],Allocation[[#This Row],[Delivery ID]],Allocation[Quantity allocated])/SUMIF(Allocation[Delivery ID],Allocation[[#This Row],[Delivery ID]],Allocation[Volume available (kg)])</f>
        <v>0.96693244739756379</v>
      </c>
      <c r="U341" s="61">
        <f>Allocation[[#This Row],[Total volume used]]/VLOOKUP(Allocation[[#This Row],[Delivery ID]],Delivery[[Delivery ID]:[Quantity delivered]],3,FALSE)</f>
        <v>4.3701301843875523E-2</v>
      </c>
      <c r="V341" s="34" t="e">
        <f>VLOOKUP(Allocation[[#This Row],[SAP Contract number]],Shipments[[SAP Contract number]:[Contracted container weight]],2,FALSE)</f>
        <v>#N/A</v>
      </c>
      <c r="W341" s="34" t="e">
        <f>VLOOKUP(Allocation[[#This Row],[SAP Contract number]],Shipments[[SAP Contract number]:[AAA Premium USD]],24,FALSE)</f>
        <v>#N/A</v>
      </c>
      <c r="X341" s="34" t="e">
        <f>VLOOKUP(Allocation[[#This Row],[SAP Contract number]],Shipments[[SAP Contract number]:[RA Premium USD]],25,FALSE)</f>
        <v>#N/A</v>
      </c>
      <c r="Y341" s="38">
        <f>Allocation[[#This Row],[Quantity Processed]]/Allocation[[#This Row],[Quantity allocated]]</f>
        <v>3.0302013422818792</v>
      </c>
      <c r="Z341" s="34" t="b">
        <f>Allocation[[#This Row],[Quantity allocated]]&lt;=Allocation[[#This Row],[Quantity Processed]]</f>
        <v>1</v>
      </c>
    </row>
    <row r="342" spans="1:26">
      <c r="A342" s="247" t="s">
        <v>467</v>
      </c>
      <c r="B342" s="160" t="s">
        <v>68</v>
      </c>
      <c r="C342" s="249" t="s">
        <v>860</v>
      </c>
      <c r="D342" s="250">
        <v>1480</v>
      </c>
      <c r="E342" s="160" t="s">
        <v>1186</v>
      </c>
      <c r="F342" s="158">
        <v>43487</v>
      </c>
      <c r="G342" s="162">
        <v>2.93</v>
      </c>
      <c r="H342" s="250">
        <v>444</v>
      </c>
      <c r="I342" s="160">
        <v>1425075</v>
      </c>
      <c r="J342" s="163">
        <v>21600</v>
      </c>
      <c r="K342" s="158">
        <v>43494</v>
      </c>
      <c r="L342" s="160" t="s">
        <v>1198</v>
      </c>
      <c r="M342" s="160">
        <v>4615513976</v>
      </c>
      <c r="N342" s="158">
        <v>43516</v>
      </c>
      <c r="O342" s="164">
        <v>3.7094</v>
      </c>
      <c r="P342" s="165">
        <v>19739</v>
      </c>
      <c r="Q342" s="34">
        <f>SUMIF(Allocation[Delivery ID],Allocation[[#This Row],[Delivery ID]],Allocation[Quantity Processed])</f>
        <v>1480</v>
      </c>
      <c r="R342" s="61">
        <f>Allocation[[#This Row],[Total volume used]]/VLOOKUP(Allocation[[#This Row],[Delivery ID]],Delivery[[Delivery ID]:[Quantity delivered]],3,FALSE)</f>
        <v>4.7548673134999678E-2</v>
      </c>
      <c r="S342" s="34">
        <f>Allocation[[#This Row],[Quantity Processed]]/Allocation[[#This Row],[Dilution rate]]</f>
        <v>505.11945392491464</v>
      </c>
      <c r="T342" s="59">
        <f>SUMIF(Allocation[Delivery ID],Allocation[[#This Row],[Delivery ID]],Allocation[Quantity allocated])/SUMIF(Allocation[Delivery ID],Allocation[[#This Row],[Delivery ID]],Allocation[Volume available (kg)])</f>
        <v>0.87900000000000011</v>
      </c>
      <c r="U342" s="61">
        <f>Allocation[[#This Row],[Total volume used]]/VLOOKUP(Allocation[[#This Row],[Delivery ID]],Delivery[[Delivery ID]:[Quantity delivered]],3,FALSE)</f>
        <v>4.7548673134999678E-2</v>
      </c>
      <c r="V342" s="34" t="e">
        <f>VLOOKUP(Allocation[[#This Row],[SAP Contract number]],Shipments[[SAP Contract number]:[Contracted container weight]],2,FALSE)</f>
        <v>#N/A</v>
      </c>
      <c r="W342" s="34" t="e">
        <f>VLOOKUP(Allocation[[#This Row],[SAP Contract number]],Shipments[[SAP Contract number]:[AAA Premium USD]],24,FALSE)</f>
        <v>#N/A</v>
      </c>
      <c r="X342" s="34" t="e">
        <f>VLOOKUP(Allocation[[#This Row],[SAP Contract number]],Shipments[[SAP Contract number]:[RA Premium USD]],25,FALSE)</f>
        <v>#N/A</v>
      </c>
      <c r="Y342" s="38">
        <f>Allocation[[#This Row],[Quantity Processed]]/Allocation[[#This Row],[Quantity allocated]]</f>
        <v>3.3333333333333335</v>
      </c>
      <c r="Z342" s="34" t="b">
        <f>Allocation[[#This Row],[Quantity allocated]]&lt;=Allocation[[#This Row],[Quantity Processed]]</f>
        <v>1</v>
      </c>
    </row>
    <row r="343" spans="1:26">
      <c r="A343" s="247" t="s">
        <v>467</v>
      </c>
      <c r="B343" s="160" t="s">
        <v>68</v>
      </c>
      <c r="C343" s="249" t="s">
        <v>861</v>
      </c>
      <c r="D343" s="250">
        <v>361</v>
      </c>
      <c r="E343" s="160" t="s">
        <v>1186</v>
      </c>
      <c r="F343" s="158">
        <v>43487</v>
      </c>
      <c r="G343" s="162">
        <v>2.93</v>
      </c>
      <c r="H343" s="250">
        <v>119</v>
      </c>
      <c r="I343" s="160">
        <v>1425075</v>
      </c>
      <c r="J343" s="163">
        <v>21600</v>
      </c>
      <c r="K343" s="158">
        <v>43494</v>
      </c>
      <c r="L343" s="160" t="s">
        <v>1198</v>
      </c>
      <c r="M343" s="160">
        <v>4615513976</v>
      </c>
      <c r="N343" s="158">
        <v>43516</v>
      </c>
      <c r="O343" s="164">
        <v>3.7094</v>
      </c>
      <c r="P343" s="165">
        <v>19739</v>
      </c>
      <c r="Q343" s="34">
        <f>SUMIF(Allocation[Delivery ID],Allocation[[#This Row],[Delivery ID]],Allocation[Quantity Processed])</f>
        <v>361</v>
      </c>
      <c r="R343" s="61">
        <f>Allocation[[#This Row],[Total volume used]]/VLOOKUP(Allocation[[#This Row],[Delivery ID]],Delivery[[Delivery ID]:[Quantity delivered]],3,FALSE)</f>
        <v>3.5038338348053963E-2</v>
      </c>
      <c r="S343" s="34">
        <f>Allocation[[#This Row],[Quantity Processed]]/Allocation[[#This Row],[Dilution rate]]</f>
        <v>123.20819112627986</v>
      </c>
      <c r="T343" s="59">
        <f>SUMIF(Allocation[Delivery ID],Allocation[[#This Row],[Delivery ID]],Allocation[Quantity allocated])/SUMIF(Allocation[Delivery ID],Allocation[[#This Row],[Delivery ID]],Allocation[Volume available (kg)])</f>
        <v>0.9658448753462604</v>
      </c>
      <c r="U343" s="61">
        <f>Allocation[[#This Row],[Total volume used]]/VLOOKUP(Allocation[[#This Row],[Delivery ID]],Delivery[[Delivery ID]:[Quantity delivered]],3,FALSE)</f>
        <v>3.5038338348053963E-2</v>
      </c>
      <c r="V343" s="34" t="e">
        <f>VLOOKUP(Allocation[[#This Row],[SAP Contract number]],Shipments[[SAP Contract number]:[Contracted container weight]],2,FALSE)</f>
        <v>#N/A</v>
      </c>
      <c r="W343" s="34" t="e">
        <f>VLOOKUP(Allocation[[#This Row],[SAP Contract number]],Shipments[[SAP Contract number]:[AAA Premium USD]],24,FALSE)</f>
        <v>#N/A</v>
      </c>
      <c r="X343" s="34" t="e">
        <f>VLOOKUP(Allocation[[#This Row],[SAP Contract number]],Shipments[[SAP Contract number]:[RA Premium USD]],25,FALSE)</f>
        <v>#N/A</v>
      </c>
      <c r="Y343" s="38">
        <f>Allocation[[#This Row],[Quantity Processed]]/Allocation[[#This Row],[Quantity allocated]]</f>
        <v>3.0336134453781511</v>
      </c>
      <c r="Z343" s="34" t="b">
        <f>Allocation[[#This Row],[Quantity allocated]]&lt;=Allocation[[#This Row],[Quantity Processed]]</f>
        <v>1</v>
      </c>
    </row>
    <row r="344" spans="1:26">
      <c r="A344" s="247" t="s">
        <v>467</v>
      </c>
      <c r="B344" s="160" t="s">
        <v>68</v>
      </c>
      <c r="C344" s="249" t="s">
        <v>862</v>
      </c>
      <c r="D344" s="250">
        <v>861</v>
      </c>
      <c r="E344" s="160" t="s">
        <v>1186</v>
      </c>
      <c r="F344" s="158">
        <v>43487</v>
      </c>
      <c r="G344" s="162">
        <v>2.93</v>
      </c>
      <c r="H344" s="250">
        <v>284</v>
      </c>
      <c r="I344" s="160">
        <v>1425075</v>
      </c>
      <c r="J344" s="163">
        <v>21600</v>
      </c>
      <c r="K344" s="158">
        <v>43494</v>
      </c>
      <c r="L344" s="160" t="s">
        <v>1198</v>
      </c>
      <c r="M344" s="160">
        <v>4615513976</v>
      </c>
      <c r="N344" s="158">
        <v>43516</v>
      </c>
      <c r="O344" s="164">
        <v>3.7094</v>
      </c>
      <c r="P344" s="165">
        <v>19739</v>
      </c>
      <c r="Q344" s="34">
        <f>SUMIF(Allocation[Delivery ID],Allocation[[#This Row],[Delivery ID]],Allocation[Quantity Processed])</f>
        <v>861</v>
      </c>
      <c r="R344" s="61">
        <f>Allocation[[#This Row],[Total volume used]]/VLOOKUP(Allocation[[#This Row],[Delivery ID]],Delivery[[Delivery ID]:[Quantity delivered]],3,FALSE)</f>
        <v>4.3823484501450606E-2</v>
      </c>
      <c r="S344" s="34">
        <f>Allocation[[#This Row],[Quantity Processed]]/Allocation[[#This Row],[Dilution rate]]</f>
        <v>293.85665529010237</v>
      </c>
      <c r="T344" s="59">
        <f>SUMIF(Allocation[Delivery ID],Allocation[[#This Row],[Delivery ID]],Allocation[Quantity allocated])/SUMIF(Allocation[Delivery ID],Allocation[[#This Row],[Delivery ID]],Allocation[Volume available (kg)])</f>
        <v>0.96645760743321729</v>
      </c>
      <c r="U344" s="61">
        <f>Allocation[[#This Row],[Total volume used]]/VLOOKUP(Allocation[[#This Row],[Delivery ID]],Delivery[[Delivery ID]:[Quantity delivered]],3,FALSE)</f>
        <v>4.3823484501450606E-2</v>
      </c>
      <c r="V344" s="34" t="e">
        <f>VLOOKUP(Allocation[[#This Row],[SAP Contract number]],Shipments[[SAP Contract number]:[Contracted container weight]],2,FALSE)</f>
        <v>#N/A</v>
      </c>
      <c r="W344" s="34" t="e">
        <f>VLOOKUP(Allocation[[#This Row],[SAP Contract number]],Shipments[[SAP Contract number]:[AAA Premium USD]],24,FALSE)</f>
        <v>#N/A</v>
      </c>
      <c r="X344" s="34" t="e">
        <f>VLOOKUP(Allocation[[#This Row],[SAP Contract number]],Shipments[[SAP Contract number]:[RA Premium USD]],25,FALSE)</f>
        <v>#N/A</v>
      </c>
      <c r="Y344" s="38">
        <f>Allocation[[#This Row],[Quantity Processed]]/Allocation[[#This Row],[Quantity allocated]]</f>
        <v>3.0316901408450705</v>
      </c>
      <c r="Z344" s="34" t="b">
        <f>Allocation[[#This Row],[Quantity allocated]]&lt;=Allocation[[#This Row],[Quantity Processed]]</f>
        <v>1</v>
      </c>
    </row>
    <row r="345" spans="1:26">
      <c r="A345" s="247" t="s">
        <v>467</v>
      </c>
      <c r="B345" s="160" t="s">
        <v>68</v>
      </c>
      <c r="C345" s="249" t="s">
        <v>863</v>
      </c>
      <c r="D345" s="250">
        <v>361</v>
      </c>
      <c r="E345" s="160" t="s">
        <v>1186</v>
      </c>
      <c r="F345" s="158">
        <v>43487</v>
      </c>
      <c r="G345" s="162">
        <v>2.93</v>
      </c>
      <c r="H345" s="250">
        <v>119</v>
      </c>
      <c r="I345" s="160">
        <v>1425075</v>
      </c>
      <c r="J345" s="163">
        <v>21600</v>
      </c>
      <c r="K345" s="158">
        <v>43494</v>
      </c>
      <c r="L345" s="160" t="s">
        <v>1198</v>
      </c>
      <c r="M345" s="160">
        <v>4615513976</v>
      </c>
      <c r="N345" s="158">
        <v>43516</v>
      </c>
      <c r="O345" s="164">
        <v>3.7094</v>
      </c>
      <c r="P345" s="165">
        <v>19739</v>
      </c>
      <c r="Q345" s="34">
        <f>SUMIF(Allocation[Delivery ID],Allocation[[#This Row],[Delivery ID]],Allocation[Quantity Processed])</f>
        <v>361</v>
      </c>
      <c r="R345" s="61">
        <f>Allocation[[#This Row],[Total volume used]]/VLOOKUP(Allocation[[#This Row],[Delivery ID]],Delivery[[Delivery ID]:[Quantity delivered]],3,FALSE)</f>
        <v>3.6292349452096112E-2</v>
      </c>
      <c r="S345" s="34">
        <f>Allocation[[#This Row],[Quantity Processed]]/Allocation[[#This Row],[Dilution rate]]</f>
        <v>123.20819112627986</v>
      </c>
      <c r="T345" s="59">
        <f>SUMIF(Allocation[Delivery ID],Allocation[[#This Row],[Delivery ID]],Allocation[Quantity allocated])/SUMIF(Allocation[Delivery ID],Allocation[[#This Row],[Delivery ID]],Allocation[Volume available (kg)])</f>
        <v>0.9658448753462604</v>
      </c>
      <c r="U345" s="61">
        <f>Allocation[[#This Row],[Total volume used]]/VLOOKUP(Allocation[[#This Row],[Delivery ID]],Delivery[[Delivery ID]:[Quantity delivered]],3,FALSE)</f>
        <v>3.6292349452096112E-2</v>
      </c>
      <c r="V345" s="34" t="e">
        <f>VLOOKUP(Allocation[[#This Row],[SAP Contract number]],Shipments[[SAP Contract number]:[Contracted container weight]],2,FALSE)</f>
        <v>#N/A</v>
      </c>
      <c r="W345" s="34" t="e">
        <f>VLOOKUP(Allocation[[#This Row],[SAP Contract number]],Shipments[[SAP Contract number]:[AAA Premium USD]],24,FALSE)</f>
        <v>#N/A</v>
      </c>
      <c r="X345" s="34" t="e">
        <f>VLOOKUP(Allocation[[#This Row],[SAP Contract number]],Shipments[[SAP Contract number]:[RA Premium USD]],25,FALSE)</f>
        <v>#N/A</v>
      </c>
      <c r="Y345" s="38">
        <f>Allocation[[#This Row],[Quantity Processed]]/Allocation[[#This Row],[Quantity allocated]]</f>
        <v>3.0336134453781511</v>
      </c>
      <c r="Z345" s="34" t="b">
        <f>Allocation[[#This Row],[Quantity allocated]]&lt;=Allocation[[#This Row],[Quantity Processed]]</f>
        <v>1</v>
      </c>
    </row>
    <row r="346" spans="1:26">
      <c r="A346" s="247" t="s">
        <v>467</v>
      </c>
      <c r="B346" s="160" t="s">
        <v>68</v>
      </c>
      <c r="C346" s="249" t="s">
        <v>864</v>
      </c>
      <c r="D346" s="250">
        <v>876</v>
      </c>
      <c r="E346" s="160" t="s">
        <v>1186</v>
      </c>
      <c r="F346" s="158">
        <v>43487</v>
      </c>
      <c r="G346" s="162">
        <v>2.93</v>
      </c>
      <c r="H346" s="250">
        <v>289</v>
      </c>
      <c r="I346" s="160">
        <v>1425075</v>
      </c>
      <c r="J346" s="163">
        <v>21600</v>
      </c>
      <c r="K346" s="158">
        <v>43494</v>
      </c>
      <c r="L346" s="160" t="s">
        <v>1198</v>
      </c>
      <c r="M346" s="160">
        <v>4615513976</v>
      </c>
      <c r="N346" s="158">
        <v>43516</v>
      </c>
      <c r="O346" s="164">
        <v>3.7094</v>
      </c>
      <c r="P346" s="165">
        <v>19739</v>
      </c>
      <c r="Q346" s="34">
        <f>SUMIF(Allocation[Delivery ID],Allocation[[#This Row],[Delivery ID]],Allocation[Quantity Processed])</f>
        <v>876</v>
      </c>
      <c r="R346" s="61">
        <f>Allocation[[#This Row],[Total volume used]]/VLOOKUP(Allocation[[#This Row],[Delivery ID]],Delivery[[Delivery ID]:[Quantity delivered]],3,FALSE)</f>
        <v>4.3771548493479237E-2</v>
      </c>
      <c r="S346" s="34">
        <f>Allocation[[#This Row],[Quantity Processed]]/Allocation[[#This Row],[Dilution rate]]</f>
        <v>298.97610921501706</v>
      </c>
      <c r="T346" s="59">
        <f>SUMIF(Allocation[Delivery ID],Allocation[[#This Row],[Delivery ID]],Allocation[Quantity allocated])/SUMIF(Allocation[Delivery ID],Allocation[[#This Row],[Delivery ID]],Allocation[Volume available (kg)])</f>
        <v>0.96663242009132422</v>
      </c>
      <c r="U346" s="61">
        <f>Allocation[[#This Row],[Total volume used]]/VLOOKUP(Allocation[[#This Row],[Delivery ID]],Delivery[[Delivery ID]:[Quantity delivered]],3,FALSE)</f>
        <v>4.3771548493479237E-2</v>
      </c>
      <c r="V346" s="34" t="e">
        <f>VLOOKUP(Allocation[[#This Row],[SAP Contract number]],Shipments[[SAP Contract number]:[Contracted container weight]],2,FALSE)</f>
        <v>#N/A</v>
      </c>
      <c r="W346" s="34" t="e">
        <f>VLOOKUP(Allocation[[#This Row],[SAP Contract number]],Shipments[[SAP Contract number]:[AAA Premium USD]],24,FALSE)</f>
        <v>#N/A</v>
      </c>
      <c r="X346" s="34" t="e">
        <f>VLOOKUP(Allocation[[#This Row],[SAP Contract number]],Shipments[[SAP Contract number]:[RA Premium USD]],25,FALSE)</f>
        <v>#N/A</v>
      </c>
      <c r="Y346" s="38">
        <f>Allocation[[#This Row],[Quantity Processed]]/Allocation[[#This Row],[Quantity allocated]]</f>
        <v>3.0311418685121105</v>
      </c>
      <c r="Z346" s="34" t="b">
        <f>Allocation[[#This Row],[Quantity allocated]]&lt;=Allocation[[#This Row],[Quantity Processed]]</f>
        <v>1</v>
      </c>
    </row>
    <row r="347" spans="1:26">
      <c r="A347" s="247" t="s">
        <v>467</v>
      </c>
      <c r="B347" s="160" t="s">
        <v>68</v>
      </c>
      <c r="C347" s="249" t="s">
        <v>865</v>
      </c>
      <c r="D347" s="250">
        <v>1200</v>
      </c>
      <c r="E347" s="160" t="s">
        <v>1186</v>
      </c>
      <c r="F347" s="158">
        <v>43487</v>
      </c>
      <c r="G347" s="162">
        <v>2.93</v>
      </c>
      <c r="H347" s="250">
        <v>396</v>
      </c>
      <c r="I347" s="160">
        <v>1425075</v>
      </c>
      <c r="J347" s="163">
        <v>21600</v>
      </c>
      <c r="K347" s="158">
        <v>43494</v>
      </c>
      <c r="L347" s="160" t="s">
        <v>1198</v>
      </c>
      <c r="M347" s="160">
        <v>4615513976</v>
      </c>
      <c r="N347" s="158">
        <v>43516</v>
      </c>
      <c r="O347" s="164">
        <v>3.7094</v>
      </c>
      <c r="P347" s="165">
        <v>19739</v>
      </c>
      <c r="Q347" s="34">
        <f>SUMIF(Allocation[Delivery ID],Allocation[[#This Row],[Delivery ID]],Allocation[Quantity Processed])</f>
        <v>1200</v>
      </c>
      <c r="R347" s="61">
        <f>Allocation[[#This Row],[Total volume used]]/VLOOKUP(Allocation[[#This Row],[Delivery ID]],Delivery[[Delivery ID]:[Quantity delivered]],3,FALSE)</f>
        <v>6.1465963222865336E-2</v>
      </c>
      <c r="S347" s="34">
        <f>Allocation[[#This Row],[Quantity Processed]]/Allocation[[#This Row],[Dilution rate]]</f>
        <v>409.55631399317406</v>
      </c>
      <c r="T347" s="59">
        <f>SUMIF(Allocation[Delivery ID],Allocation[[#This Row],[Delivery ID]],Allocation[Quantity allocated])/SUMIF(Allocation[Delivery ID],Allocation[[#This Row],[Delivery ID]],Allocation[Volume available (kg)])</f>
        <v>0.96689999999999998</v>
      </c>
      <c r="U347" s="61">
        <f>Allocation[[#This Row],[Total volume used]]/VLOOKUP(Allocation[[#This Row],[Delivery ID]],Delivery[[Delivery ID]:[Quantity delivered]],3,FALSE)</f>
        <v>6.1465963222865336E-2</v>
      </c>
      <c r="V347" s="34" t="e">
        <f>VLOOKUP(Allocation[[#This Row],[SAP Contract number]],Shipments[[SAP Contract number]:[Contracted container weight]],2,FALSE)</f>
        <v>#N/A</v>
      </c>
      <c r="W347" s="34" t="e">
        <f>VLOOKUP(Allocation[[#This Row],[SAP Contract number]],Shipments[[SAP Contract number]:[AAA Premium USD]],24,FALSE)</f>
        <v>#N/A</v>
      </c>
      <c r="X347" s="34" t="e">
        <f>VLOOKUP(Allocation[[#This Row],[SAP Contract number]],Shipments[[SAP Contract number]:[RA Premium USD]],25,FALSE)</f>
        <v>#N/A</v>
      </c>
      <c r="Y347" s="38">
        <f>Allocation[[#This Row],[Quantity Processed]]/Allocation[[#This Row],[Quantity allocated]]</f>
        <v>3.0303030303030303</v>
      </c>
      <c r="Z347" s="34" t="b">
        <f>Allocation[[#This Row],[Quantity allocated]]&lt;=Allocation[[#This Row],[Quantity Processed]]</f>
        <v>1</v>
      </c>
    </row>
    <row r="348" spans="1:26">
      <c r="A348" s="247" t="s">
        <v>467</v>
      </c>
      <c r="B348" s="160" t="s">
        <v>68</v>
      </c>
      <c r="C348" s="249" t="s">
        <v>866</v>
      </c>
      <c r="D348" s="250">
        <v>639</v>
      </c>
      <c r="E348" s="160" t="s">
        <v>1186</v>
      </c>
      <c r="F348" s="158">
        <v>43487</v>
      </c>
      <c r="G348" s="162">
        <v>2.93</v>
      </c>
      <c r="H348" s="250">
        <v>211</v>
      </c>
      <c r="I348" s="160">
        <v>1425075</v>
      </c>
      <c r="J348" s="163">
        <v>21600</v>
      </c>
      <c r="K348" s="158">
        <v>43494</v>
      </c>
      <c r="L348" s="160" t="s">
        <v>1198</v>
      </c>
      <c r="M348" s="160">
        <v>4615513976</v>
      </c>
      <c r="N348" s="158">
        <v>43516</v>
      </c>
      <c r="O348" s="164">
        <v>3.7094</v>
      </c>
      <c r="P348" s="165">
        <v>19739</v>
      </c>
      <c r="Q348" s="34">
        <f>SUMIF(Allocation[Delivery ID],Allocation[[#This Row],[Delivery ID]],Allocation[Quantity Processed])</f>
        <v>639</v>
      </c>
      <c r="R348" s="61">
        <f>Allocation[[#This Row],[Total volume used]]/VLOOKUP(Allocation[[#This Row],[Delivery ID]],Delivery[[Delivery ID]:[Quantity delivered]],3,FALSE)</f>
        <v>6.1324376199616122E-2</v>
      </c>
      <c r="S348" s="34">
        <f>Allocation[[#This Row],[Quantity Processed]]/Allocation[[#This Row],[Dilution rate]]</f>
        <v>218.08873720136518</v>
      </c>
      <c r="T348" s="59">
        <f>SUMIF(Allocation[Delivery ID],Allocation[[#This Row],[Delivery ID]],Allocation[Quantity allocated])/SUMIF(Allocation[Delivery ID],Allocation[[#This Row],[Delivery ID]],Allocation[Volume available (kg)])</f>
        <v>0.96749608763693273</v>
      </c>
      <c r="U348" s="61">
        <f>Allocation[[#This Row],[Total volume used]]/VLOOKUP(Allocation[[#This Row],[Delivery ID]],Delivery[[Delivery ID]:[Quantity delivered]],3,FALSE)</f>
        <v>6.1324376199616122E-2</v>
      </c>
      <c r="V348" s="34" t="e">
        <f>VLOOKUP(Allocation[[#This Row],[SAP Contract number]],Shipments[[SAP Contract number]:[Contracted container weight]],2,FALSE)</f>
        <v>#N/A</v>
      </c>
      <c r="W348" s="34" t="e">
        <f>VLOOKUP(Allocation[[#This Row],[SAP Contract number]],Shipments[[SAP Contract number]:[AAA Premium USD]],24,FALSE)</f>
        <v>#N/A</v>
      </c>
      <c r="X348" s="34" t="e">
        <f>VLOOKUP(Allocation[[#This Row],[SAP Contract number]],Shipments[[SAP Contract number]:[RA Premium USD]],25,FALSE)</f>
        <v>#N/A</v>
      </c>
      <c r="Y348" s="38">
        <f>Allocation[[#This Row],[Quantity Processed]]/Allocation[[#This Row],[Quantity allocated]]</f>
        <v>3.028436018957346</v>
      </c>
      <c r="Z348" s="34" t="b">
        <f>Allocation[[#This Row],[Quantity allocated]]&lt;=Allocation[[#This Row],[Quantity Processed]]</f>
        <v>1</v>
      </c>
    </row>
    <row r="349" spans="1:26">
      <c r="A349" s="247" t="s">
        <v>467</v>
      </c>
      <c r="B349" s="160" t="s">
        <v>68</v>
      </c>
      <c r="C349" s="249" t="s">
        <v>867</v>
      </c>
      <c r="D349" s="250">
        <v>1480</v>
      </c>
      <c r="E349" s="160" t="s">
        <v>1186</v>
      </c>
      <c r="F349" s="158">
        <v>43487</v>
      </c>
      <c r="G349" s="162">
        <v>2.93</v>
      </c>
      <c r="H349" s="250">
        <v>444</v>
      </c>
      <c r="I349" s="160">
        <v>1425075</v>
      </c>
      <c r="J349" s="163">
        <v>21600</v>
      </c>
      <c r="K349" s="158">
        <v>43494</v>
      </c>
      <c r="L349" s="160" t="s">
        <v>1198</v>
      </c>
      <c r="M349" s="160">
        <v>4615513976</v>
      </c>
      <c r="N349" s="158">
        <v>43516</v>
      </c>
      <c r="O349" s="164">
        <v>3.7094</v>
      </c>
      <c r="P349" s="165">
        <v>19739</v>
      </c>
      <c r="Q349" s="34">
        <f>SUMIF(Allocation[Delivery ID],Allocation[[#This Row],[Delivery ID]],Allocation[Quantity Processed])</f>
        <v>1480</v>
      </c>
      <c r="R349" s="61">
        <f>Allocation[[#This Row],[Total volume used]]/VLOOKUP(Allocation[[#This Row],[Delivery ID]],Delivery[[Delivery ID]:[Quantity delivered]],3,FALSE)</f>
        <v>4.7533401849948614E-2</v>
      </c>
      <c r="S349" s="34">
        <f>Allocation[[#This Row],[Quantity Processed]]/Allocation[[#This Row],[Dilution rate]]</f>
        <v>505.11945392491464</v>
      </c>
      <c r="T349" s="59">
        <f>SUMIF(Allocation[Delivery ID],Allocation[[#This Row],[Delivery ID]],Allocation[Quantity allocated])/SUMIF(Allocation[Delivery ID],Allocation[[#This Row],[Delivery ID]],Allocation[Volume available (kg)])</f>
        <v>0.87900000000000011</v>
      </c>
      <c r="U349" s="61">
        <f>Allocation[[#This Row],[Total volume used]]/VLOOKUP(Allocation[[#This Row],[Delivery ID]],Delivery[[Delivery ID]:[Quantity delivered]],3,FALSE)</f>
        <v>4.7533401849948614E-2</v>
      </c>
      <c r="V349" s="34" t="e">
        <f>VLOOKUP(Allocation[[#This Row],[SAP Contract number]],Shipments[[SAP Contract number]:[Contracted container weight]],2,FALSE)</f>
        <v>#N/A</v>
      </c>
      <c r="W349" s="34" t="e">
        <f>VLOOKUP(Allocation[[#This Row],[SAP Contract number]],Shipments[[SAP Contract number]:[AAA Premium USD]],24,FALSE)</f>
        <v>#N/A</v>
      </c>
      <c r="X349" s="34" t="e">
        <f>VLOOKUP(Allocation[[#This Row],[SAP Contract number]],Shipments[[SAP Contract number]:[RA Premium USD]],25,FALSE)</f>
        <v>#N/A</v>
      </c>
      <c r="Y349" s="38">
        <f>Allocation[[#This Row],[Quantity Processed]]/Allocation[[#This Row],[Quantity allocated]]</f>
        <v>3.3333333333333335</v>
      </c>
      <c r="Z349" s="34" t="b">
        <f>Allocation[[#This Row],[Quantity allocated]]&lt;=Allocation[[#This Row],[Quantity Processed]]</f>
        <v>1</v>
      </c>
    </row>
    <row r="350" spans="1:26">
      <c r="A350" s="247" t="s">
        <v>467</v>
      </c>
      <c r="B350" s="160" t="s">
        <v>68</v>
      </c>
      <c r="C350" s="249" t="s">
        <v>868</v>
      </c>
      <c r="D350" s="250">
        <v>515</v>
      </c>
      <c r="E350" s="160" t="s">
        <v>1186</v>
      </c>
      <c r="F350" s="158">
        <v>43487</v>
      </c>
      <c r="G350" s="162">
        <v>2.93</v>
      </c>
      <c r="H350" s="250">
        <v>170</v>
      </c>
      <c r="I350" s="160">
        <v>1425075</v>
      </c>
      <c r="J350" s="163">
        <v>21600</v>
      </c>
      <c r="K350" s="158">
        <v>43494</v>
      </c>
      <c r="L350" s="160" t="s">
        <v>1198</v>
      </c>
      <c r="M350" s="160">
        <v>4615513976</v>
      </c>
      <c r="N350" s="158">
        <v>43516</v>
      </c>
      <c r="O350" s="164">
        <v>3.7094</v>
      </c>
      <c r="P350" s="165">
        <v>19739</v>
      </c>
      <c r="Q350" s="34">
        <f>SUMIF(Allocation[Delivery ID],Allocation[[#This Row],[Delivery ID]],Allocation[Quantity Processed])</f>
        <v>515</v>
      </c>
      <c r="R350" s="61">
        <f>Allocation[[#This Row],[Total volume used]]/VLOOKUP(Allocation[[#This Row],[Delivery ID]],Delivery[[Delivery ID]:[Quantity delivered]],3,FALSE)</f>
        <v>4.3584969532836831E-2</v>
      </c>
      <c r="S350" s="34">
        <f>Allocation[[#This Row],[Quantity Processed]]/Allocation[[#This Row],[Dilution rate]]</f>
        <v>175.76791808873719</v>
      </c>
      <c r="T350" s="59">
        <f>SUMIF(Allocation[Delivery ID],Allocation[[#This Row],[Delivery ID]],Allocation[Quantity allocated])/SUMIF(Allocation[Delivery ID],Allocation[[#This Row],[Delivery ID]],Allocation[Volume available (kg)])</f>
        <v>0.96718446601941754</v>
      </c>
      <c r="U350" s="61">
        <f>Allocation[[#This Row],[Total volume used]]/VLOOKUP(Allocation[[#This Row],[Delivery ID]],Delivery[[Delivery ID]:[Quantity delivered]],3,FALSE)</f>
        <v>4.3584969532836831E-2</v>
      </c>
      <c r="V350" s="34" t="e">
        <f>VLOOKUP(Allocation[[#This Row],[SAP Contract number]],Shipments[[SAP Contract number]:[Contracted container weight]],2,FALSE)</f>
        <v>#N/A</v>
      </c>
      <c r="W350" s="34" t="e">
        <f>VLOOKUP(Allocation[[#This Row],[SAP Contract number]],Shipments[[SAP Contract number]:[AAA Premium USD]],24,FALSE)</f>
        <v>#N/A</v>
      </c>
      <c r="X350" s="34" t="e">
        <f>VLOOKUP(Allocation[[#This Row],[SAP Contract number]],Shipments[[SAP Contract number]:[RA Premium USD]],25,FALSE)</f>
        <v>#N/A</v>
      </c>
      <c r="Y350" s="38">
        <f>Allocation[[#This Row],[Quantity Processed]]/Allocation[[#This Row],[Quantity allocated]]</f>
        <v>3.0294117647058822</v>
      </c>
      <c r="Z350" s="34" t="b">
        <f>Allocation[[#This Row],[Quantity allocated]]&lt;=Allocation[[#This Row],[Quantity Processed]]</f>
        <v>1</v>
      </c>
    </row>
    <row r="351" spans="1:26">
      <c r="A351" s="247" t="s">
        <v>467</v>
      </c>
      <c r="B351" s="160" t="s">
        <v>68</v>
      </c>
      <c r="C351" s="249" t="s">
        <v>869</v>
      </c>
      <c r="D351" s="250">
        <v>794</v>
      </c>
      <c r="E351" s="160" t="s">
        <v>1186</v>
      </c>
      <c r="F351" s="158">
        <v>43487</v>
      </c>
      <c r="G351" s="162">
        <v>2.93</v>
      </c>
      <c r="H351" s="250">
        <v>262</v>
      </c>
      <c r="I351" s="160">
        <v>1425075</v>
      </c>
      <c r="J351" s="163">
        <v>21600</v>
      </c>
      <c r="K351" s="158">
        <v>43494</v>
      </c>
      <c r="L351" s="160" t="s">
        <v>1198</v>
      </c>
      <c r="M351" s="160">
        <v>4615513976</v>
      </c>
      <c r="N351" s="158">
        <v>43516</v>
      </c>
      <c r="O351" s="164">
        <v>3.7094</v>
      </c>
      <c r="P351" s="165">
        <v>19739</v>
      </c>
      <c r="Q351" s="34">
        <f>SUMIF(Allocation[Delivery ID],Allocation[[#This Row],[Delivery ID]],Allocation[Quantity Processed])</f>
        <v>794</v>
      </c>
      <c r="R351" s="61">
        <f>Allocation[[#This Row],[Total volume used]]/VLOOKUP(Allocation[[#This Row],[Delivery ID]],Delivery[[Delivery ID]:[Quantity delivered]],3,FALSE)</f>
        <v>4.3688786178056563E-2</v>
      </c>
      <c r="S351" s="34">
        <f>Allocation[[#This Row],[Quantity Processed]]/Allocation[[#This Row],[Dilution rate]]</f>
        <v>270.98976109215016</v>
      </c>
      <c r="T351" s="59">
        <f>SUMIF(Allocation[Delivery ID],Allocation[[#This Row],[Delivery ID]],Allocation[Quantity allocated])/SUMIF(Allocation[Delivery ID],Allocation[[#This Row],[Delivery ID]],Allocation[Volume available (kg)])</f>
        <v>0.96682619647355172</v>
      </c>
      <c r="U351" s="61">
        <f>Allocation[[#This Row],[Total volume used]]/VLOOKUP(Allocation[[#This Row],[Delivery ID]],Delivery[[Delivery ID]:[Quantity delivered]],3,FALSE)</f>
        <v>4.3688786178056563E-2</v>
      </c>
      <c r="V351" s="34" t="e">
        <f>VLOOKUP(Allocation[[#This Row],[SAP Contract number]],Shipments[[SAP Contract number]:[Contracted container weight]],2,FALSE)</f>
        <v>#N/A</v>
      </c>
      <c r="W351" s="34" t="e">
        <f>VLOOKUP(Allocation[[#This Row],[SAP Contract number]],Shipments[[SAP Contract number]:[AAA Premium USD]],24,FALSE)</f>
        <v>#N/A</v>
      </c>
      <c r="X351" s="34" t="e">
        <f>VLOOKUP(Allocation[[#This Row],[SAP Contract number]],Shipments[[SAP Contract number]:[RA Premium USD]],25,FALSE)</f>
        <v>#N/A</v>
      </c>
      <c r="Y351" s="38">
        <f>Allocation[[#This Row],[Quantity Processed]]/Allocation[[#This Row],[Quantity allocated]]</f>
        <v>3.0305343511450382</v>
      </c>
      <c r="Z351" s="34" t="b">
        <f>Allocation[[#This Row],[Quantity allocated]]&lt;=Allocation[[#This Row],[Quantity Processed]]</f>
        <v>1</v>
      </c>
    </row>
    <row r="352" spans="1:26">
      <c r="A352" s="247" t="s">
        <v>467</v>
      </c>
      <c r="B352" s="160" t="s">
        <v>68</v>
      </c>
      <c r="C352" s="249" t="s">
        <v>870</v>
      </c>
      <c r="D352" s="250">
        <v>361</v>
      </c>
      <c r="E352" s="160" t="s">
        <v>1186</v>
      </c>
      <c r="F352" s="158">
        <v>43487</v>
      </c>
      <c r="G352" s="162">
        <v>2.93</v>
      </c>
      <c r="H352" s="250">
        <v>119</v>
      </c>
      <c r="I352" s="160">
        <v>1425075</v>
      </c>
      <c r="J352" s="163">
        <v>21600</v>
      </c>
      <c r="K352" s="158">
        <v>43494</v>
      </c>
      <c r="L352" s="160" t="s">
        <v>1198</v>
      </c>
      <c r="M352" s="160">
        <v>4615513976</v>
      </c>
      <c r="N352" s="158">
        <v>43516</v>
      </c>
      <c r="O352" s="164">
        <v>3.7094</v>
      </c>
      <c r="P352" s="165">
        <v>19739</v>
      </c>
      <c r="Q352" s="34">
        <f>SUMIF(Allocation[Delivery ID],Allocation[[#This Row],[Delivery ID]],Allocation[Quantity Processed])</f>
        <v>361</v>
      </c>
      <c r="R352" s="61">
        <f>Allocation[[#This Row],[Total volume used]]/VLOOKUP(Allocation[[#This Row],[Delivery ID]],Delivery[[Delivery ID]:[Quantity delivered]],3,FALSE)</f>
        <v>3.5795736241943481E-2</v>
      </c>
      <c r="S352" s="34">
        <f>Allocation[[#This Row],[Quantity Processed]]/Allocation[[#This Row],[Dilution rate]]</f>
        <v>123.20819112627986</v>
      </c>
      <c r="T352" s="59">
        <f>SUMIF(Allocation[Delivery ID],Allocation[[#This Row],[Delivery ID]],Allocation[Quantity allocated])/SUMIF(Allocation[Delivery ID],Allocation[[#This Row],[Delivery ID]],Allocation[Volume available (kg)])</f>
        <v>0.9658448753462604</v>
      </c>
      <c r="U352" s="61">
        <f>Allocation[[#This Row],[Total volume used]]/VLOOKUP(Allocation[[#This Row],[Delivery ID]],Delivery[[Delivery ID]:[Quantity delivered]],3,FALSE)</f>
        <v>3.5795736241943481E-2</v>
      </c>
      <c r="V352" s="34" t="e">
        <f>VLOOKUP(Allocation[[#This Row],[SAP Contract number]],Shipments[[SAP Contract number]:[Contracted container weight]],2,FALSE)</f>
        <v>#N/A</v>
      </c>
      <c r="W352" s="34" t="e">
        <f>VLOOKUP(Allocation[[#This Row],[SAP Contract number]],Shipments[[SAP Contract number]:[AAA Premium USD]],24,FALSE)</f>
        <v>#N/A</v>
      </c>
      <c r="X352" s="34" t="e">
        <f>VLOOKUP(Allocation[[#This Row],[SAP Contract number]],Shipments[[SAP Contract number]:[RA Premium USD]],25,FALSE)</f>
        <v>#N/A</v>
      </c>
      <c r="Y352" s="38">
        <f>Allocation[[#This Row],[Quantity Processed]]/Allocation[[#This Row],[Quantity allocated]]</f>
        <v>3.0336134453781511</v>
      </c>
      <c r="Z352" s="34" t="b">
        <f>Allocation[[#This Row],[Quantity allocated]]&lt;=Allocation[[#This Row],[Quantity Processed]]</f>
        <v>1</v>
      </c>
    </row>
    <row r="353" spans="1:26">
      <c r="A353" s="247" t="s">
        <v>467</v>
      </c>
      <c r="B353" s="160" t="s">
        <v>68</v>
      </c>
      <c r="C353" s="249" t="s">
        <v>871</v>
      </c>
      <c r="D353" s="250">
        <v>870</v>
      </c>
      <c r="E353" s="160" t="s">
        <v>1186</v>
      </c>
      <c r="F353" s="158">
        <v>43487</v>
      </c>
      <c r="G353" s="162">
        <v>2.93</v>
      </c>
      <c r="H353" s="250">
        <v>287</v>
      </c>
      <c r="I353" s="160">
        <v>1425075</v>
      </c>
      <c r="J353" s="163">
        <v>21600</v>
      </c>
      <c r="K353" s="158">
        <v>43494</v>
      </c>
      <c r="L353" s="160" t="s">
        <v>1198</v>
      </c>
      <c r="M353" s="160">
        <v>4615513976</v>
      </c>
      <c r="N353" s="158">
        <v>43516</v>
      </c>
      <c r="O353" s="164">
        <v>3.7094</v>
      </c>
      <c r="P353" s="165">
        <v>19739</v>
      </c>
      <c r="Q353" s="34">
        <f>SUMIF(Allocation[Delivery ID],Allocation[[#This Row],[Delivery ID]],Allocation[Quantity Processed])</f>
        <v>870</v>
      </c>
      <c r="R353" s="61">
        <f>Allocation[[#This Row],[Total volume used]]/VLOOKUP(Allocation[[#This Row],[Delivery ID]],Delivery[[Delivery ID]:[Quantity delivered]],3,FALSE)</f>
        <v>4.3913888398152585E-2</v>
      </c>
      <c r="S353" s="34">
        <f>Allocation[[#This Row],[Quantity Processed]]/Allocation[[#This Row],[Dilution rate]]</f>
        <v>296.92832764505118</v>
      </c>
      <c r="T353" s="59">
        <f>SUMIF(Allocation[Delivery ID],Allocation[[#This Row],[Delivery ID]],Allocation[Quantity allocated])/SUMIF(Allocation[Delivery ID],Allocation[[#This Row],[Delivery ID]],Allocation[Volume available (kg)])</f>
        <v>0.96656321839080461</v>
      </c>
      <c r="U353" s="61">
        <f>Allocation[[#This Row],[Total volume used]]/VLOOKUP(Allocation[[#This Row],[Delivery ID]],Delivery[[Delivery ID]:[Quantity delivered]],3,FALSE)</f>
        <v>4.3913888398152585E-2</v>
      </c>
      <c r="V353" s="34" t="e">
        <f>VLOOKUP(Allocation[[#This Row],[SAP Contract number]],Shipments[[SAP Contract number]:[Contracted container weight]],2,FALSE)</f>
        <v>#N/A</v>
      </c>
      <c r="W353" s="34" t="e">
        <f>VLOOKUP(Allocation[[#This Row],[SAP Contract number]],Shipments[[SAP Contract number]:[AAA Premium USD]],24,FALSE)</f>
        <v>#N/A</v>
      </c>
      <c r="X353" s="34" t="e">
        <f>VLOOKUP(Allocation[[#This Row],[SAP Contract number]],Shipments[[SAP Contract number]:[RA Premium USD]],25,FALSE)</f>
        <v>#N/A</v>
      </c>
      <c r="Y353" s="38">
        <f>Allocation[[#This Row],[Quantity Processed]]/Allocation[[#This Row],[Quantity allocated]]</f>
        <v>3.0313588850174216</v>
      </c>
      <c r="Z353" s="34" t="b">
        <f>Allocation[[#This Row],[Quantity allocated]]&lt;=Allocation[[#This Row],[Quantity Processed]]</f>
        <v>1</v>
      </c>
    </row>
    <row r="354" spans="1:26">
      <c r="A354" s="247" t="s">
        <v>467</v>
      </c>
      <c r="B354" s="160" t="s">
        <v>68</v>
      </c>
      <c r="C354" s="249" t="s">
        <v>872</v>
      </c>
      <c r="D354" s="250">
        <v>497</v>
      </c>
      <c r="E354" s="160" t="s">
        <v>1186</v>
      </c>
      <c r="F354" s="158">
        <v>43487</v>
      </c>
      <c r="G354" s="162">
        <v>2.93</v>
      </c>
      <c r="H354" s="250">
        <v>164</v>
      </c>
      <c r="I354" s="160">
        <v>1425075</v>
      </c>
      <c r="J354" s="163">
        <v>21600</v>
      </c>
      <c r="K354" s="158">
        <v>43494</v>
      </c>
      <c r="L354" s="160" t="s">
        <v>1198</v>
      </c>
      <c r="M354" s="160">
        <v>4615513976</v>
      </c>
      <c r="N354" s="158">
        <v>43516</v>
      </c>
      <c r="O354" s="164">
        <v>3.7094</v>
      </c>
      <c r="P354" s="165">
        <v>19739</v>
      </c>
      <c r="Q354" s="34">
        <f>SUMIF(Allocation[Delivery ID],Allocation[[#This Row],[Delivery ID]],Allocation[Quantity Processed])</f>
        <v>497</v>
      </c>
      <c r="R354" s="61">
        <f>Allocation[[#This Row],[Total volume used]]/VLOOKUP(Allocation[[#This Row],[Delivery ID]],Delivery[[Delivery ID]:[Quantity delivered]],3,FALSE)</f>
        <v>4.346495255586165E-2</v>
      </c>
      <c r="S354" s="34">
        <f>Allocation[[#This Row],[Quantity Processed]]/Allocation[[#This Row],[Dilution rate]]</f>
        <v>169.62457337883959</v>
      </c>
      <c r="T354" s="59">
        <f>SUMIF(Allocation[Delivery ID],Allocation[[#This Row],[Delivery ID]],Allocation[Quantity allocated])/SUMIF(Allocation[Delivery ID],Allocation[[#This Row],[Delivery ID]],Allocation[Volume available (kg)])</f>
        <v>0.96684104627766598</v>
      </c>
      <c r="U354" s="61">
        <f>Allocation[[#This Row],[Total volume used]]/VLOOKUP(Allocation[[#This Row],[Delivery ID]],Delivery[[Delivery ID]:[Quantity delivered]],3,FALSE)</f>
        <v>4.346495255586165E-2</v>
      </c>
      <c r="V354" s="34" t="e">
        <f>VLOOKUP(Allocation[[#This Row],[SAP Contract number]],Shipments[[SAP Contract number]:[Contracted container weight]],2,FALSE)</f>
        <v>#N/A</v>
      </c>
      <c r="W354" s="34" t="e">
        <f>VLOOKUP(Allocation[[#This Row],[SAP Contract number]],Shipments[[SAP Contract number]:[AAA Premium USD]],24,FALSE)</f>
        <v>#N/A</v>
      </c>
      <c r="X354" s="34" t="e">
        <f>VLOOKUP(Allocation[[#This Row],[SAP Contract number]],Shipments[[SAP Contract number]:[RA Premium USD]],25,FALSE)</f>
        <v>#N/A</v>
      </c>
      <c r="Y354" s="38">
        <f>Allocation[[#This Row],[Quantity Processed]]/Allocation[[#This Row],[Quantity allocated]]</f>
        <v>3.0304878048780486</v>
      </c>
      <c r="Z354" s="34" t="b">
        <f>Allocation[[#This Row],[Quantity allocated]]&lt;=Allocation[[#This Row],[Quantity Processed]]</f>
        <v>1</v>
      </c>
    </row>
    <row r="355" spans="1:26">
      <c r="A355" s="247" t="s">
        <v>467</v>
      </c>
      <c r="B355" s="160" t="s">
        <v>68</v>
      </c>
      <c r="C355" s="249" t="s">
        <v>873</v>
      </c>
      <c r="D355" s="250">
        <v>809</v>
      </c>
      <c r="E355" s="160" t="s">
        <v>1186</v>
      </c>
      <c r="F355" s="158">
        <v>43487</v>
      </c>
      <c r="G355" s="162">
        <v>2.93</v>
      </c>
      <c r="H355" s="250">
        <v>267</v>
      </c>
      <c r="I355" s="160">
        <v>1425075</v>
      </c>
      <c r="J355" s="163">
        <v>21600</v>
      </c>
      <c r="K355" s="158">
        <v>43494</v>
      </c>
      <c r="L355" s="160" t="s">
        <v>1198</v>
      </c>
      <c r="M355" s="160">
        <v>4615513976</v>
      </c>
      <c r="N355" s="158">
        <v>43516</v>
      </c>
      <c r="O355" s="164">
        <v>3.7094</v>
      </c>
      <c r="P355" s="165">
        <v>19739</v>
      </c>
      <c r="Q355" s="34">
        <f>SUMIF(Allocation[Delivery ID],Allocation[[#This Row],[Delivery ID]],Allocation[Quantity Processed])</f>
        <v>809</v>
      </c>
      <c r="R355" s="61">
        <f>Allocation[[#This Row],[Total volume used]]/VLOOKUP(Allocation[[#This Row],[Delivery ID]],Delivery[[Delivery ID]:[Quantity delivered]],3,FALSE)</f>
        <v>4.3505149095211207E-2</v>
      </c>
      <c r="S355" s="34">
        <f>Allocation[[#This Row],[Quantity Processed]]/Allocation[[#This Row],[Dilution rate]]</f>
        <v>276.10921501706486</v>
      </c>
      <c r="T355" s="59">
        <f>SUMIF(Allocation[Delivery ID],Allocation[[#This Row],[Delivery ID]],Allocation[Quantity allocated])/SUMIF(Allocation[Delivery ID],Allocation[[#This Row],[Delivery ID]],Allocation[Volume available (kg)])</f>
        <v>0.96700865265760194</v>
      </c>
      <c r="U355" s="61">
        <f>Allocation[[#This Row],[Total volume used]]/VLOOKUP(Allocation[[#This Row],[Delivery ID]],Delivery[[Delivery ID]:[Quantity delivered]],3,FALSE)</f>
        <v>4.3505149095211207E-2</v>
      </c>
      <c r="V355" s="34" t="e">
        <f>VLOOKUP(Allocation[[#This Row],[SAP Contract number]],Shipments[[SAP Contract number]:[Contracted container weight]],2,FALSE)</f>
        <v>#N/A</v>
      </c>
      <c r="W355" s="34" t="e">
        <f>VLOOKUP(Allocation[[#This Row],[SAP Contract number]],Shipments[[SAP Contract number]:[AAA Premium USD]],24,FALSE)</f>
        <v>#N/A</v>
      </c>
      <c r="X355" s="34" t="e">
        <f>VLOOKUP(Allocation[[#This Row],[SAP Contract number]],Shipments[[SAP Contract number]:[RA Premium USD]],25,FALSE)</f>
        <v>#N/A</v>
      </c>
      <c r="Y355" s="38">
        <f>Allocation[[#This Row],[Quantity Processed]]/Allocation[[#This Row],[Quantity allocated]]</f>
        <v>3.0299625468164795</v>
      </c>
      <c r="Z355" s="34" t="b">
        <f>Allocation[[#This Row],[Quantity allocated]]&lt;=Allocation[[#This Row],[Quantity Processed]]</f>
        <v>1</v>
      </c>
    </row>
    <row r="356" spans="1:26">
      <c r="A356" s="247" t="s">
        <v>467</v>
      </c>
      <c r="B356" s="160" t="s">
        <v>68</v>
      </c>
      <c r="C356" s="249" t="s">
        <v>874</v>
      </c>
      <c r="D356" s="250">
        <v>461</v>
      </c>
      <c r="E356" s="160" t="s">
        <v>1186</v>
      </c>
      <c r="F356" s="158">
        <v>43487</v>
      </c>
      <c r="G356" s="162">
        <v>2.93</v>
      </c>
      <c r="H356" s="250">
        <v>152</v>
      </c>
      <c r="I356" s="160">
        <v>1425075</v>
      </c>
      <c r="J356" s="163">
        <v>21600</v>
      </c>
      <c r="K356" s="158">
        <v>43494</v>
      </c>
      <c r="L356" s="160" t="s">
        <v>1198</v>
      </c>
      <c r="M356" s="160">
        <v>4615513976</v>
      </c>
      <c r="N356" s="158">
        <v>43516</v>
      </c>
      <c r="O356" s="164">
        <v>3.7094</v>
      </c>
      <c r="P356" s="165">
        <v>19739</v>
      </c>
      <c r="Q356" s="34">
        <f>SUMIF(Allocation[Delivery ID],Allocation[[#This Row],[Delivery ID]],Allocation[Quantity Processed])</f>
        <v>461</v>
      </c>
      <c r="R356" s="61">
        <f>Allocation[[#This Row],[Total volume used]]/VLOOKUP(Allocation[[#This Row],[Delivery ID]],Delivery[[Delivery ID]:[Quantity delivered]],3,FALSE)</f>
        <v>4.3669776914697103E-2</v>
      </c>
      <c r="S356" s="34">
        <f>Allocation[[#This Row],[Quantity Processed]]/Allocation[[#This Row],[Dilution rate]]</f>
        <v>157.33788395904435</v>
      </c>
      <c r="T356" s="59">
        <f>SUMIF(Allocation[Delivery ID],Allocation[[#This Row],[Delivery ID]],Allocation[Quantity allocated])/SUMIF(Allocation[Delivery ID],Allocation[[#This Row],[Delivery ID]],Allocation[Volume available (kg)])</f>
        <v>0.96607375271149687</v>
      </c>
      <c r="U356" s="61">
        <f>Allocation[[#This Row],[Total volume used]]/VLOOKUP(Allocation[[#This Row],[Delivery ID]],Delivery[[Delivery ID]:[Quantity delivered]],3,FALSE)</f>
        <v>4.3669776914697103E-2</v>
      </c>
      <c r="V356" s="34" t="e">
        <f>VLOOKUP(Allocation[[#This Row],[SAP Contract number]],Shipments[[SAP Contract number]:[Contracted container weight]],2,FALSE)</f>
        <v>#N/A</v>
      </c>
      <c r="W356" s="34" t="e">
        <f>VLOOKUP(Allocation[[#This Row],[SAP Contract number]],Shipments[[SAP Contract number]:[AAA Premium USD]],24,FALSE)</f>
        <v>#N/A</v>
      </c>
      <c r="X356" s="34" t="e">
        <f>VLOOKUP(Allocation[[#This Row],[SAP Contract number]],Shipments[[SAP Contract number]:[RA Premium USD]],25,FALSE)</f>
        <v>#N/A</v>
      </c>
      <c r="Y356" s="38">
        <f>Allocation[[#This Row],[Quantity Processed]]/Allocation[[#This Row],[Quantity allocated]]</f>
        <v>3.0328947368421053</v>
      </c>
      <c r="Z356" s="34" t="b">
        <f>Allocation[[#This Row],[Quantity allocated]]&lt;=Allocation[[#This Row],[Quantity Processed]]</f>
        <v>1</v>
      </c>
    </row>
    <row r="357" spans="1:26">
      <c r="A357" s="247" t="s">
        <v>467</v>
      </c>
      <c r="B357" s="160" t="s">
        <v>68</v>
      </c>
      <c r="C357" s="249" t="s">
        <v>875</v>
      </c>
      <c r="D357" s="250">
        <v>848</v>
      </c>
      <c r="E357" s="160" t="s">
        <v>1186</v>
      </c>
      <c r="F357" s="158">
        <v>43487</v>
      </c>
      <c r="G357" s="162">
        <v>2.93</v>
      </c>
      <c r="H357" s="250">
        <v>280</v>
      </c>
      <c r="I357" s="160">
        <v>1425075</v>
      </c>
      <c r="J357" s="163">
        <v>21600</v>
      </c>
      <c r="K357" s="158">
        <v>43494</v>
      </c>
      <c r="L357" s="160" t="s">
        <v>1198</v>
      </c>
      <c r="M357" s="160">
        <v>4615513976</v>
      </c>
      <c r="N357" s="158">
        <v>43516</v>
      </c>
      <c r="O357" s="164">
        <v>3.7094</v>
      </c>
      <c r="P357" s="165">
        <v>19739</v>
      </c>
      <c r="Q357" s="34">
        <f>SUMIF(Allocation[Delivery ID],Allocation[[#This Row],[Delivery ID]],Allocation[Quantity Processed])</f>
        <v>848</v>
      </c>
      <c r="R357" s="61">
        <f>Allocation[[#This Row],[Total volume used]]/VLOOKUP(Allocation[[#This Row],[Delivery ID]],Delivery[[Delivery ID]:[Quantity delivered]],3,FALSE)</f>
        <v>4.363598939974786E-2</v>
      </c>
      <c r="S357" s="34">
        <f>Allocation[[#This Row],[Quantity Processed]]/Allocation[[#This Row],[Dilution rate]]</f>
        <v>289.419795221843</v>
      </c>
      <c r="T357" s="59">
        <f>SUMIF(Allocation[Delivery ID],Allocation[[#This Row],[Delivery ID]],Allocation[Quantity allocated])/SUMIF(Allocation[Delivery ID],Allocation[[#This Row],[Delivery ID]],Allocation[Volume available (kg)])</f>
        <v>0.96745283018867922</v>
      </c>
      <c r="U357" s="61">
        <f>Allocation[[#This Row],[Total volume used]]/VLOOKUP(Allocation[[#This Row],[Delivery ID]],Delivery[[Delivery ID]:[Quantity delivered]],3,FALSE)</f>
        <v>4.363598939974786E-2</v>
      </c>
      <c r="V357" s="34" t="e">
        <f>VLOOKUP(Allocation[[#This Row],[SAP Contract number]],Shipments[[SAP Contract number]:[Contracted container weight]],2,FALSE)</f>
        <v>#N/A</v>
      </c>
      <c r="W357" s="34" t="e">
        <f>VLOOKUP(Allocation[[#This Row],[SAP Contract number]],Shipments[[SAP Contract number]:[AAA Premium USD]],24,FALSE)</f>
        <v>#N/A</v>
      </c>
      <c r="X357" s="34" t="e">
        <f>VLOOKUP(Allocation[[#This Row],[SAP Contract number]],Shipments[[SAP Contract number]:[RA Premium USD]],25,FALSE)</f>
        <v>#N/A</v>
      </c>
      <c r="Y357" s="38">
        <f>Allocation[[#This Row],[Quantity Processed]]/Allocation[[#This Row],[Quantity allocated]]</f>
        <v>3.0285714285714285</v>
      </c>
      <c r="Z357" s="34" t="b">
        <f>Allocation[[#This Row],[Quantity allocated]]&lt;=Allocation[[#This Row],[Quantity Processed]]</f>
        <v>1</v>
      </c>
    </row>
    <row r="358" spans="1:26">
      <c r="A358" s="247" t="s">
        <v>467</v>
      </c>
      <c r="B358" s="160" t="s">
        <v>68</v>
      </c>
      <c r="C358" s="249" t="s">
        <v>876</v>
      </c>
      <c r="D358" s="250">
        <v>1480</v>
      </c>
      <c r="E358" s="160" t="s">
        <v>1186</v>
      </c>
      <c r="F358" s="158">
        <v>43487</v>
      </c>
      <c r="G358" s="162">
        <v>2.93</v>
      </c>
      <c r="H358" s="250">
        <v>444</v>
      </c>
      <c r="I358" s="160">
        <v>1425075</v>
      </c>
      <c r="J358" s="163">
        <v>21600</v>
      </c>
      <c r="K358" s="158">
        <v>43494</v>
      </c>
      <c r="L358" s="160" t="s">
        <v>1198</v>
      </c>
      <c r="M358" s="160">
        <v>4615513976</v>
      </c>
      <c r="N358" s="158">
        <v>43516</v>
      </c>
      <c r="O358" s="164">
        <v>3.7094</v>
      </c>
      <c r="P358" s="165">
        <v>19739</v>
      </c>
      <c r="Q358" s="34">
        <f>SUMIF(Allocation[Delivery ID],Allocation[[#This Row],[Delivery ID]],Allocation[Quantity Processed])</f>
        <v>1480</v>
      </c>
      <c r="R358" s="61">
        <f>Allocation[[#This Row],[Total volume used]]/VLOOKUP(Allocation[[#This Row],[Delivery ID]],Delivery[[Delivery ID]:[Quantity delivered]],3,FALSE)</f>
        <v>4.7502888689177042E-2</v>
      </c>
      <c r="S358" s="34">
        <f>Allocation[[#This Row],[Quantity Processed]]/Allocation[[#This Row],[Dilution rate]]</f>
        <v>505.11945392491464</v>
      </c>
      <c r="T358" s="59">
        <f>SUMIF(Allocation[Delivery ID],Allocation[[#This Row],[Delivery ID]],Allocation[Quantity allocated])/SUMIF(Allocation[Delivery ID],Allocation[[#This Row],[Delivery ID]],Allocation[Volume available (kg)])</f>
        <v>0.87900000000000011</v>
      </c>
      <c r="U358" s="61">
        <f>Allocation[[#This Row],[Total volume used]]/VLOOKUP(Allocation[[#This Row],[Delivery ID]],Delivery[[Delivery ID]:[Quantity delivered]],3,FALSE)</f>
        <v>4.7502888689177042E-2</v>
      </c>
      <c r="V358" s="34" t="e">
        <f>VLOOKUP(Allocation[[#This Row],[SAP Contract number]],Shipments[[SAP Contract number]:[Contracted container weight]],2,FALSE)</f>
        <v>#N/A</v>
      </c>
      <c r="W358" s="34" t="e">
        <f>VLOOKUP(Allocation[[#This Row],[SAP Contract number]],Shipments[[SAP Contract number]:[AAA Premium USD]],24,FALSE)</f>
        <v>#N/A</v>
      </c>
      <c r="X358" s="34" t="e">
        <f>VLOOKUP(Allocation[[#This Row],[SAP Contract number]],Shipments[[SAP Contract number]:[RA Premium USD]],25,FALSE)</f>
        <v>#N/A</v>
      </c>
      <c r="Y358" s="38">
        <f>Allocation[[#This Row],[Quantity Processed]]/Allocation[[#This Row],[Quantity allocated]]</f>
        <v>3.3333333333333335</v>
      </c>
      <c r="Z358" s="34" t="b">
        <f>Allocation[[#This Row],[Quantity allocated]]&lt;=Allocation[[#This Row],[Quantity Processed]]</f>
        <v>1</v>
      </c>
    </row>
    <row r="359" spans="1:26">
      <c r="A359" s="247" t="s">
        <v>467</v>
      </c>
      <c r="B359" s="160" t="s">
        <v>68</v>
      </c>
      <c r="C359" s="249" t="s">
        <v>877</v>
      </c>
      <c r="D359" s="250">
        <v>361</v>
      </c>
      <c r="E359" s="160" t="s">
        <v>1186</v>
      </c>
      <c r="F359" s="158">
        <v>43487</v>
      </c>
      <c r="G359" s="162">
        <v>2.93</v>
      </c>
      <c r="H359" s="250">
        <v>119</v>
      </c>
      <c r="I359" s="160">
        <v>1425075</v>
      </c>
      <c r="J359" s="163">
        <v>21600</v>
      </c>
      <c r="K359" s="158">
        <v>43494</v>
      </c>
      <c r="L359" s="160" t="s">
        <v>1198</v>
      </c>
      <c r="M359" s="160">
        <v>4615513976</v>
      </c>
      <c r="N359" s="158">
        <v>43516</v>
      </c>
      <c r="O359" s="164">
        <v>3.7094</v>
      </c>
      <c r="P359" s="165">
        <v>19739</v>
      </c>
      <c r="Q359" s="34">
        <f>SUMIF(Allocation[Delivery ID],Allocation[[#This Row],[Delivery ID]],Allocation[Quantity Processed])</f>
        <v>361</v>
      </c>
      <c r="R359" s="61">
        <f>Allocation[[#This Row],[Total volume used]]/VLOOKUP(Allocation[[#This Row],[Delivery ID]],Delivery[[Delivery ID]:[Quantity delivered]],3,FALSE)</f>
        <v>3.7136097109350889E-2</v>
      </c>
      <c r="S359" s="34">
        <f>Allocation[[#This Row],[Quantity Processed]]/Allocation[[#This Row],[Dilution rate]]</f>
        <v>123.20819112627986</v>
      </c>
      <c r="T359" s="59">
        <f>SUMIF(Allocation[Delivery ID],Allocation[[#This Row],[Delivery ID]],Allocation[Quantity allocated])/SUMIF(Allocation[Delivery ID],Allocation[[#This Row],[Delivery ID]],Allocation[Volume available (kg)])</f>
        <v>0.9658448753462604</v>
      </c>
      <c r="U359" s="61">
        <f>Allocation[[#This Row],[Total volume used]]/VLOOKUP(Allocation[[#This Row],[Delivery ID]],Delivery[[Delivery ID]:[Quantity delivered]],3,FALSE)</f>
        <v>3.7136097109350889E-2</v>
      </c>
      <c r="V359" s="34" t="e">
        <f>VLOOKUP(Allocation[[#This Row],[SAP Contract number]],Shipments[[SAP Contract number]:[Contracted container weight]],2,FALSE)</f>
        <v>#N/A</v>
      </c>
      <c r="W359" s="34" t="e">
        <f>VLOOKUP(Allocation[[#This Row],[SAP Contract number]],Shipments[[SAP Contract number]:[AAA Premium USD]],24,FALSE)</f>
        <v>#N/A</v>
      </c>
      <c r="X359" s="34" t="e">
        <f>VLOOKUP(Allocation[[#This Row],[SAP Contract number]],Shipments[[SAP Contract number]:[RA Premium USD]],25,FALSE)</f>
        <v>#N/A</v>
      </c>
      <c r="Y359" s="38">
        <f>Allocation[[#This Row],[Quantity Processed]]/Allocation[[#This Row],[Quantity allocated]]</f>
        <v>3.0336134453781511</v>
      </c>
      <c r="Z359" s="34" t="b">
        <f>Allocation[[#This Row],[Quantity allocated]]&lt;=Allocation[[#This Row],[Quantity Processed]]</f>
        <v>1</v>
      </c>
    </row>
    <row r="360" spans="1:26">
      <c r="A360" s="247" t="s">
        <v>467</v>
      </c>
      <c r="B360" s="160" t="s">
        <v>68</v>
      </c>
      <c r="C360" s="249" t="s">
        <v>878</v>
      </c>
      <c r="D360" s="250">
        <v>885</v>
      </c>
      <c r="E360" s="160" t="s">
        <v>1186</v>
      </c>
      <c r="F360" s="158">
        <v>43487</v>
      </c>
      <c r="G360" s="162">
        <v>2.93</v>
      </c>
      <c r="H360" s="250">
        <v>292</v>
      </c>
      <c r="I360" s="160">
        <v>1425075</v>
      </c>
      <c r="J360" s="163">
        <v>21600</v>
      </c>
      <c r="K360" s="158">
        <v>43494</v>
      </c>
      <c r="L360" s="160" t="s">
        <v>1198</v>
      </c>
      <c r="M360" s="160">
        <v>4615513976</v>
      </c>
      <c r="N360" s="158">
        <v>43516</v>
      </c>
      <c r="O360" s="164">
        <v>3.7094</v>
      </c>
      <c r="P360" s="165">
        <v>19739</v>
      </c>
      <c r="Q360" s="34">
        <f>SUMIF(Allocation[Delivery ID],Allocation[[#This Row],[Delivery ID]],Allocation[Quantity Processed])</f>
        <v>885</v>
      </c>
      <c r="R360" s="61">
        <f>Allocation[[#This Row],[Total volume used]]/VLOOKUP(Allocation[[#This Row],[Delivery ID]],Delivery[[Delivery ID]:[Quantity delivered]],3,FALSE)</f>
        <v>4.363367434980895E-2</v>
      </c>
      <c r="S360" s="34">
        <f>Allocation[[#This Row],[Quantity Processed]]/Allocation[[#This Row],[Dilution rate]]</f>
        <v>302.04778156996588</v>
      </c>
      <c r="T360" s="59">
        <f>SUMIF(Allocation[Delivery ID],Allocation[[#This Row],[Delivery ID]],Allocation[Quantity allocated])/SUMIF(Allocation[Delivery ID],Allocation[[#This Row],[Delivery ID]],Allocation[Volume available (kg)])</f>
        <v>0.9667344632768361</v>
      </c>
      <c r="U360" s="61">
        <f>Allocation[[#This Row],[Total volume used]]/VLOOKUP(Allocation[[#This Row],[Delivery ID]],Delivery[[Delivery ID]:[Quantity delivered]],3,FALSE)</f>
        <v>4.363367434980895E-2</v>
      </c>
      <c r="V360" s="34" t="e">
        <f>VLOOKUP(Allocation[[#This Row],[SAP Contract number]],Shipments[[SAP Contract number]:[Contracted container weight]],2,FALSE)</f>
        <v>#N/A</v>
      </c>
      <c r="W360" s="34" t="e">
        <f>VLOOKUP(Allocation[[#This Row],[SAP Contract number]],Shipments[[SAP Contract number]:[AAA Premium USD]],24,FALSE)</f>
        <v>#N/A</v>
      </c>
      <c r="X360" s="34" t="e">
        <f>VLOOKUP(Allocation[[#This Row],[SAP Contract number]],Shipments[[SAP Contract number]:[RA Premium USD]],25,FALSE)</f>
        <v>#N/A</v>
      </c>
      <c r="Y360" s="38">
        <f>Allocation[[#This Row],[Quantity Processed]]/Allocation[[#This Row],[Quantity allocated]]</f>
        <v>3.0308219178082192</v>
      </c>
      <c r="Z360" s="34" t="b">
        <f>Allocation[[#This Row],[Quantity allocated]]&lt;=Allocation[[#This Row],[Quantity Processed]]</f>
        <v>1</v>
      </c>
    </row>
    <row r="361" spans="1:26">
      <c r="A361" s="247" t="s">
        <v>467</v>
      </c>
      <c r="B361" s="160" t="s">
        <v>68</v>
      </c>
      <c r="C361" s="249" t="s">
        <v>879</v>
      </c>
      <c r="D361" s="250">
        <v>3612</v>
      </c>
      <c r="E361" s="160" t="s">
        <v>1186</v>
      </c>
      <c r="F361" s="158">
        <v>43487</v>
      </c>
      <c r="G361" s="162">
        <v>2.93</v>
      </c>
      <c r="H361" s="250">
        <v>1192</v>
      </c>
      <c r="I361" s="160">
        <v>1425075</v>
      </c>
      <c r="J361" s="163">
        <v>21600</v>
      </c>
      <c r="K361" s="158">
        <v>43494</v>
      </c>
      <c r="L361" s="160" t="s">
        <v>1198</v>
      </c>
      <c r="M361" s="160">
        <v>4615513976</v>
      </c>
      <c r="N361" s="158">
        <v>43516</v>
      </c>
      <c r="O361" s="164">
        <v>3.7094</v>
      </c>
      <c r="P361" s="165">
        <v>19739</v>
      </c>
      <c r="Q361" s="34">
        <f>SUMIF(Allocation[Delivery ID],Allocation[[#This Row],[Delivery ID]],Allocation[Quantity Processed])</f>
        <v>3612</v>
      </c>
      <c r="R361" s="61">
        <f>Allocation[[#This Row],[Total volume used]]/VLOOKUP(Allocation[[#This Row],[Delivery ID]],Delivery[[Delivery ID]:[Quantity delivered]],3,FALSE)</f>
        <v>0.1746277315799652</v>
      </c>
      <c r="S361" s="34">
        <f>Allocation[[#This Row],[Quantity Processed]]/Allocation[[#This Row],[Dilution rate]]</f>
        <v>1232.7645051194538</v>
      </c>
      <c r="T361" s="59">
        <f>SUMIF(Allocation[Delivery ID],Allocation[[#This Row],[Delivery ID]],Allocation[Quantity allocated])/SUMIF(Allocation[Delivery ID],Allocation[[#This Row],[Delivery ID]],Allocation[Volume available (kg)])</f>
        <v>0.96693244739756379</v>
      </c>
      <c r="U361" s="61">
        <f>Allocation[[#This Row],[Total volume used]]/VLOOKUP(Allocation[[#This Row],[Delivery ID]],Delivery[[Delivery ID]:[Quantity delivered]],3,FALSE)</f>
        <v>0.1746277315799652</v>
      </c>
      <c r="V361" s="34" t="e">
        <f>VLOOKUP(Allocation[[#This Row],[SAP Contract number]],Shipments[[SAP Contract number]:[Contracted container weight]],2,FALSE)</f>
        <v>#N/A</v>
      </c>
      <c r="W361" s="34" t="e">
        <f>VLOOKUP(Allocation[[#This Row],[SAP Contract number]],Shipments[[SAP Contract number]:[AAA Premium USD]],24,FALSE)</f>
        <v>#N/A</v>
      </c>
      <c r="X361" s="34" t="e">
        <f>VLOOKUP(Allocation[[#This Row],[SAP Contract number]],Shipments[[SAP Contract number]:[RA Premium USD]],25,FALSE)</f>
        <v>#N/A</v>
      </c>
      <c r="Y361" s="38">
        <f>Allocation[[#This Row],[Quantity Processed]]/Allocation[[#This Row],[Quantity allocated]]</f>
        <v>3.0302013422818792</v>
      </c>
      <c r="Z361" s="34" t="b">
        <f>Allocation[[#This Row],[Quantity allocated]]&lt;=Allocation[[#This Row],[Quantity Processed]]</f>
        <v>1</v>
      </c>
    </row>
    <row r="362" spans="1:26">
      <c r="A362" s="247" t="s">
        <v>467</v>
      </c>
      <c r="B362" s="160" t="s">
        <v>68</v>
      </c>
      <c r="C362" s="249" t="s">
        <v>880</v>
      </c>
      <c r="D362" s="250">
        <v>4439</v>
      </c>
      <c r="E362" s="160" t="s">
        <v>1186</v>
      </c>
      <c r="F362" s="158">
        <v>43487</v>
      </c>
      <c r="G362" s="162">
        <v>2.93</v>
      </c>
      <c r="H362" s="250">
        <v>1465</v>
      </c>
      <c r="I362" s="160">
        <v>1425075</v>
      </c>
      <c r="J362" s="163">
        <v>21600</v>
      </c>
      <c r="K362" s="158">
        <v>43494</v>
      </c>
      <c r="L362" s="160" t="s">
        <v>1198</v>
      </c>
      <c r="M362" s="160">
        <v>4615513976</v>
      </c>
      <c r="N362" s="158">
        <v>43516</v>
      </c>
      <c r="O362" s="164">
        <v>3.7094</v>
      </c>
      <c r="P362" s="165">
        <v>19739</v>
      </c>
      <c r="Q362" s="34">
        <f>SUMIF(Allocation[Delivery ID],Allocation[[#This Row],[Delivery ID]],Allocation[Quantity Processed])</f>
        <v>7588</v>
      </c>
      <c r="R362" s="61">
        <f>Allocation[[#This Row],[Total volume used]]/VLOOKUP(Allocation[[#This Row],[Delivery ID]],Delivery[[Delivery ID]:[Quantity delivered]],3,FALSE)</f>
        <v>0.81657250470809795</v>
      </c>
      <c r="S362" s="34">
        <f>Allocation[[#This Row],[Quantity Processed]]/Allocation[[#This Row],[Dilution rate]]</f>
        <v>1515.0170648464164</v>
      </c>
      <c r="T362" s="59">
        <f>SUMIF(Allocation[Delivery ID],Allocation[[#This Row],[Delivery ID]],Allocation[Quantity allocated])/SUMIF(Allocation[Delivery ID],Allocation[[#This Row],[Delivery ID]],Allocation[Volume available (kg)])</f>
        <v>0.96688455455983136</v>
      </c>
      <c r="U362" s="61">
        <f>Allocation[[#This Row],[Total volume used]]/VLOOKUP(Allocation[[#This Row],[Delivery ID]],Delivery[[Delivery ID]:[Quantity delivered]],3,FALSE)</f>
        <v>0.81657250470809795</v>
      </c>
      <c r="V362" s="34" t="e">
        <f>VLOOKUP(Allocation[[#This Row],[SAP Contract number]],Shipments[[SAP Contract number]:[Contracted container weight]],2,FALSE)</f>
        <v>#N/A</v>
      </c>
      <c r="W362" s="34" t="e">
        <f>VLOOKUP(Allocation[[#This Row],[SAP Contract number]],Shipments[[SAP Contract number]:[AAA Premium USD]],24,FALSE)</f>
        <v>#N/A</v>
      </c>
      <c r="X362" s="34" t="e">
        <f>VLOOKUP(Allocation[[#This Row],[SAP Contract number]],Shipments[[SAP Contract number]:[RA Premium USD]],25,FALSE)</f>
        <v>#N/A</v>
      </c>
      <c r="Y362" s="38">
        <f>Allocation[[#This Row],[Quantity Processed]]/Allocation[[#This Row],[Quantity allocated]]</f>
        <v>3.0300341296928326</v>
      </c>
      <c r="Z362" s="34" t="b">
        <f>Allocation[[#This Row],[Quantity allocated]]&lt;=Allocation[[#This Row],[Quantity Processed]]</f>
        <v>1</v>
      </c>
    </row>
    <row r="363" spans="1:26">
      <c r="A363" s="247" t="s">
        <v>467</v>
      </c>
      <c r="B363" s="160" t="s">
        <v>68</v>
      </c>
      <c r="C363" s="249" t="s">
        <v>880</v>
      </c>
      <c r="D363" s="250">
        <v>3149</v>
      </c>
      <c r="E363" s="160" t="s">
        <v>1186</v>
      </c>
      <c r="F363" s="158">
        <v>43487</v>
      </c>
      <c r="G363" s="162">
        <v>2.93</v>
      </c>
      <c r="H363" s="250">
        <v>1039</v>
      </c>
      <c r="I363" s="160">
        <v>1425076</v>
      </c>
      <c r="J363" s="163">
        <v>21600</v>
      </c>
      <c r="K363" s="158">
        <v>43494</v>
      </c>
      <c r="L363" s="160" t="s">
        <v>1199</v>
      </c>
      <c r="M363" s="160">
        <v>4615513976</v>
      </c>
      <c r="N363" s="158">
        <v>43516</v>
      </c>
      <c r="O363" s="164">
        <v>3.7094</v>
      </c>
      <c r="P363" s="165">
        <v>19739</v>
      </c>
      <c r="Q363" s="34">
        <f>SUMIF(Allocation[Delivery ID],Allocation[[#This Row],[Delivery ID]],Allocation[Quantity Processed])</f>
        <v>7588</v>
      </c>
      <c r="R363" s="61">
        <f>Allocation[[#This Row],[Total volume used]]/VLOOKUP(Allocation[[#This Row],[Delivery ID]],Delivery[[Delivery ID]:[Quantity delivered]],3,FALSE)</f>
        <v>0.81657250470809795</v>
      </c>
      <c r="S363" s="34">
        <f>Allocation[[#This Row],[Quantity Processed]]/Allocation[[#This Row],[Dilution rate]]</f>
        <v>1074.7440273037541</v>
      </c>
      <c r="T363" s="59">
        <f>SUMIF(Allocation[Delivery ID],Allocation[[#This Row],[Delivery ID]],Allocation[Quantity allocated])/SUMIF(Allocation[Delivery ID],Allocation[[#This Row],[Delivery ID]],Allocation[Volume available (kg)])</f>
        <v>0.96688455455983136</v>
      </c>
      <c r="U363" s="61">
        <f>Allocation[[#This Row],[Total volume used]]/VLOOKUP(Allocation[[#This Row],[Delivery ID]],Delivery[[Delivery ID]:[Quantity delivered]],3,FALSE)</f>
        <v>0.81657250470809795</v>
      </c>
      <c r="V363" s="34" t="e">
        <f>VLOOKUP(Allocation[[#This Row],[SAP Contract number]],Shipments[[SAP Contract number]:[Contracted container weight]],2,FALSE)</f>
        <v>#N/A</v>
      </c>
      <c r="W363" s="34" t="e">
        <f>VLOOKUP(Allocation[[#This Row],[SAP Contract number]],Shipments[[SAP Contract number]:[AAA Premium USD]],24,FALSE)</f>
        <v>#N/A</v>
      </c>
      <c r="X363" s="34" t="e">
        <f>VLOOKUP(Allocation[[#This Row],[SAP Contract number]],Shipments[[SAP Contract number]:[RA Premium USD]],25,FALSE)</f>
        <v>#N/A</v>
      </c>
      <c r="Y363" s="38">
        <f>Allocation[[#This Row],[Quantity Processed]]/Allocation[[#This Row],[Quantity allocated]]</f>
        <v>3.0307988450433108</v>
      </c>
      <c r="Z363" s="34" t="b">
        <f>Allocation[[#This Row],[Quantity allocated]]&lt;=Allocation[[#This Row],[Quantity Processed]]</f>
        <v>1</v>
      </c>
    </row>
    <row r="364" spans="1:26">
      <c r="A364" s="247" t="s">
        <v>467</v>
      </c>
      <c r="B364" s="160" t="s">
        <v>68</v>
      </c>
      <c r="C364" s="249" t="s">
        <v>881</v>
      </c>
      <c r="D364" s="250">
        <v>4314</v>
      </c>
      <c r="E364" s="160" t="s">
        <v>1186</v>
      </c>
      <c r="F364" s="158">
        <v>43487</v>
      </c>
      <c r="G364" s="162">
        <v>2.93</v>
      </c>
      <c r="H364" s="250">
        <v>1491</v>
      </c>
      <c r="I364" s="160">
        <v>1425076</v>
      </c>
      <c r="J364" s="163">
        <v>21600</v>
      </c>
      <c r="K364" s="158">
        <v>43494</v>
      </c>
      <c r="L364" s="160" t="s">
        <v>1199</v>
      </c>
      <c r="M364" s="160">
        <v>4615513976</v>
      </c>
      <c r="N364" s="158">
        <v>43516</v>
      </c>
      <c r="O364" s="164">
        <v>3.7094</v>
      </c>
      <c r="P364" s="165">
        <v>19739</v>
      </c>
      <c r="Q364" s="34">
        <f>SUMIF(Allocation[Delivery ID],Allocation[[#This Row],[Delivery ID]],Allocation[Quantity Processed])</f>
        <v>4314</v>
      </c>
      <c r="R364" s="61">
        <f>Allocation[[#This Row],[Total volume used]]/VLOOKUP(Allocation[[#This Row],[Delivery ID]],Delivery[[Delivery ID]:[Quantity delivered]],3,FALSE)</f>
        <v>1</v>
      </c>
      <c r="S364" s="34">
        <f>Allocation[[#This Row],[Quantity Processed]]/Allocation[[#This Row],[Dilution rate]]</f>
        <v>1472.3549488054607</v>
      </c>
      <c r="T364" s="59">
        <f>SUMIF(Allocation[Delivery ID],Allocation[[#This Row],[Delivery ID]],Allocation[Quantity allocated])/SUMIF(Allocation[Delivery ID],Allocation[[#This Row],[Delivery ID]],Allocation[Volume available (kg)])</f>
        <v>1.012663421418637</v>
      </c>
      <c r="U364" s="61">
        <f>Allocation[[#This Row],[Total volume used]]/VLOOKUP(Allocation[[#This Row],[Delivery ID]],Delivery[[Delivery ID]:[Quantity delivered]],3,FALSE)</f>
        <v>1</v>
      </c>
      <c r="V364" s="34" t="e">
        <f>VLOOKUP(Allocation[[#This Row],[SAP Contract number]],Shipments[[SAP Contract number]:[Contracted container weight]],2,FALSE)</f>
        <v>#N/A</v>
      </c>
      <c r="W364" s="34" t="e">
        <f>VLOOKUP(Allocation[[#This Row],[SAP Contract number]],Shipments[[SAP Contract number]:[AAA Premium USD]],24,FALSE)</f>
        <v>#N/A</v>
      </c>
      <c r="X364" s="34" t="e">
        <f>VLOOKUP(Allocation[[#This Row],[SAP Contract number]],Shipments[[SAP Contract number]:[RA Premium USD]],25,FALSE)</f>
        <v>#N/A</v>
      </c>
      <c r="Y364" s="38">
        <f>Allocation[[#This Row],[Quantity Processed]]/Allocation[[#This Row],[Quantity allocated]]</f>
        <v>2.8933601609657948</v>
      </c>
      <c r="Z364" s="34" t="b">
        <f>Allocation[[#This Row],[Quantity allocated]]&lt;=Allocation[[#This Row],[Quantity Processed]]</f>
        <v>1</v>
      </c>
    </row>
    <row r="365" spans="1:26">
      <c r="A365" s="247" t="s">
        <v>467</v>
      </c>
      <c r="B365" s="160" t="s">
        <v>68</v>
      </c>
      <c r="C365" s="249" t="s">
        <v>882</v>
      </c>
      <c r="D365" s="250">
        <v>5512</v>
      </c>
      <c r="E365" s="160" t="s">
        <v>1186</v>
      </c>
      <c r="F365" s="158">
        <v>43487</v>
      </c>
      <c r="G365" s="162">
        <v>2.93</v>
      </c>
      <c r="H365" s="250">
        <v>1848</v>
      </c>
      <c r="I365" s="160">
        <v>1425076</v>
      </c>
      <c r="J365" s="163">
        <v>21600</v>
      </c>
      <c r="K365" s="158">
        <v>43494</v>
      </c>
      <c r="L365" s="160" t="s">
        <v>1199</v>
      </c>
      <c r="M365" s="160">
        <v>4615513976</v>
      </c>
      <c r="N365" s="158">
        <v>43516</v>
      </c>
      <c r="O365" s="164">
        <v>3.7094</v>
      </c>
      <c r="P365" s="165">
        <v>19739</v>
      </c>
      <c r="Q365" s="34">
        <f>SUMIF(Allocation[Delivery ID],Allocation[[#This Row],[Delivery ID]],Allocation[Quantity Processed])</f>
        <v>5512</v>
      </c>
      <c r="R365" s="61">
        <f>Allocation[[#This Row],[Total volume used]]/VLOOKUP(Allocation[[#This Row],[Delivery ID]],Delivery[[Delivery ID]:[Quantity delivered]],3,FALSE)</f>
        <v>1</v>
      </c>
      <c r="S365" s="34">
        <f>Allocation[[#This Row],[Quantity Processed]]/Allocation[[#This Row],[Dilution rate]]</f>
        <v>1881.2286689419793</v>
      </c>
      <c r="T365" s="59">
        <f>SUMIF(Allocation[Delivery ID],Allocation[[#This Row],[Delivery ID]],Allocation[Quantity allocated])/SUMIF(Allocation[Delivery ID],Allocation[[#This Row],[Delivery ID]],Allocation[Volume available (kg)])</f>
        <v>0.98233671988388982</v>
      </c>
      <c r="U365" s="61">
        <f>Allocation[[#This Row],[Total volume used]]/VLOOKUP(Allocation[[#This Row],[Delivery ID]],Delivery[[Delivery ID]:[Quantity delivered]],3,FALSE)</f>
        <v>1</v>
      </c>
      <c r="V365" s="34" t="e">
        <f>VLOOKUP(Allocation[[#This Row],[SAP Contract number]],Shipments[[SAP Contract number]:[Contracted container weight]],2,FALSE)</f>
        <v>#N/A</v>
      </c>
      <c r="W365" s="34" t="e">
        <f>VLOOKUP(Allocation[[#This Row],[SAP Contract number]],Shipments[[SAP Contract number]:[AAA Premium USD]],24,FALSE)</f>
        <v>#N/A</v>
      </c>
      <c r="X365" s="34" t="e">
        <f>VLOOKUP(Allocation[[#This Row],[SAP Contract number]],Shipments[[SAP Contract number]:[RA Premium USD]],25,FALSE)</f>
        <v>#N/A</v>
      </c>
      <c r="Y365" s="38">
        <f>Allocation[[#This Row],[Quantity Processed]]/Allocation[[#This Row],[Quantity allocated]]</f>
        <v>2.9826839826839828</v>
      </c>
      <c r="Z365" s="34" t="b">
        <f>Allocation[[#This Row],[Quantity allocated]]&lt;=Allocation[[#This Row],[Quantity Processed]]</f>
        <v>1</v>
      </c>
    </row>
    <row r="366" spans="1:26">
      <c r="A366" s="247" t="s">
        <v>467</v>
      </c>
      <c r="B366" s="160" t="s">
        <v>68</v>
      </c>
      <c r="C366" s="249" t="s">
        <v>883</v>
      </c>
      <c r="D366" s="250">
        <v>858</v>
      </c>
      <c r="E366" s="160" t="s">
        <v>1186</v>
      </c>
      <c r="F366" s="158">
        <v>43487</v>
      </c>
      <c r="G366" s="162">
        <v>2.93</v>
      </c>
      <c r="H366" s="250">
        <v>283</v>
      </c>
      <c r="I366" s="160">
        <v>1425076</v>
      </c>
      <c r="J366" s="163">
        <v>21600</v>
      </c>
      <c r="K366" s="158">
        <v>43494</v>
      </c>
      <c r="L366" s="160" t="s">
        <v>1199</v>
      </c>
      <c r="M366" s="160">
        <v>4615513976</v>
      </c>
      <c r="N366" s="158">
        <v>43516</v>
      </c>
      <c r="O366" s="164">
        <v>3.7094</v>
      </c>
      <c r="P366" s="165">
        <v>19739</v>
      </c>
      <c r="Q366" s="34">
        <f>SUMIF(Allocation[Delivery ID],Allocation[[#This Row],[Delivery ID]],Allocation[Quantity Processed])</f>
        <v>858</v>
      </c>
      <c r="R366" s="61">
        <f>Allocation[[#This Row],[Total volume used]]/VLOOKUP(Allocation[[#This Row],[Delivery ID]],Delivery[[Delivery ID]:[Quantity delivered]],3,FALSE)</f>
        <v>4.3794502718015466E-2</v>
      </c>
      <c r="S366" s="34">
        <f>Allocation[[#This Row],[Quantity Processed]]/Allocation[[#This Row],[Dilution rate]]</f>
        <v>292.83276450511943</v>
      </c>
      <c r="T366" s="59">
        <f>SUMIF(Allocation[Delivery ID],Allocation[[#This Row],[Delivery ID]],Allocation[Quantity allocated])/SUMIF(Allocation[Delivery ID],Allocation[[#This Row],[Delivery ID]],Allocation[Volume available (kg)])</f>
        <v>0.96642191142191147</v>
      </c>
      <c r="U366" s="61">
        <f>Allocation[[#This Row],[Total volume used]]/VLOOKUP(Allocation[[#This Row],[Delivery ID]],Delivery[[Delivery ID]:[Quantity delivered]],3,FALSE)</f>
        <v>4.3794502718015466E-2</v>
      </c>
      <c r="V366" s="34" t="e">
        <f>VLOOKUP(Allocation[[#This Row],[SAP Contract number]],Shipments[[SAP Contract number]:[Contracted container weight]],2,FALSE)</f>
        <v>#N/A</v>
      </c>
      <c r="W366" s="34" t="e">
        <f>VLOOKUP(Allocation[[#This Row],[SAP Contract number]],Shipments[[SAP Contract number]:[AAA Premium USD]],24,FALSE)</f>
        <v>#N/A</v>
      </c>
      <c r="X366" s="34" t="e">
        <f>VLOOKUP(Allocation[[#This Row],[SAP Contract number]],Shipments[[SAP Contract number]:[RA Premium USD]],25,FALSE)</f>
        <v>#N/A</v>
      </c>
      <c r="Y366" s="38">
        <f>Allocation[[#This Row],[Quantity Processed]]/Allocation[[#This Row],[Quantity allocated]]</f>
        <v>3.0318021201413425</v>
      </c>
      <c r="Z366" s="34" t="b">
        <f>Allocation[[#This Row],[Quantity allocated]]&lt;=Allocation[[#This Row],[Quantity Processed]]</f>
        <v>1</v>
      </c>
    </row>
    <row r="367" spans="1:26">
      <c r="A367" s="247" t="s">
        <v>467</v>
      </c>
      <c r="B367" s="160" t="s">
        <v>68</v>
      </c>
      <c r="C367" s="249" t="s">
        <v>946</v>
      </c>
      <c r="D367" s="250">
        <v>8232</v>
      </c>
      <c r="E367" s="160" t="s">
        <v>1186</v>
      </c>
      <c r="F367" s="158">
        <v>43487</v>
      </c>
      <c r="G367" s="162">
        <v>2.93</v>
      </c>
      <c r="H367" s="250">
        <v>3876</v>
      </c>
      <c r="I367" s="160">
        <v>1425076</v>
      </c>
      <c r="J367" s="163">
        <v>21600</v>
      </c>
      <c r="K367" s="158">
        <v>43494</v>
      </c>
      <c r="L367" s="160" t="s">
        <v>1199</v>
      </c>
      <c r="M367" s="160">
        <v>4615513976</v>
      </c>
      <c r="N367" s="158">
        <v>43516</v>
      </c>
      <c r="O367" s="164">
        <v>3.7094</v>
      </c>
      <c r="P367" s="165">
        <v>19739</v>
      </c>
      <c r="Q367" s="34">
        <f>SUMIF(Allocation[Delivery ID],Allocation[[#This Row],[Delivery ID]],Allocation[Quantity Processed])</f>
        <v>27170</v>
      </c>
      <c r="R367" s="61">
        <f>Allocation[[#This Row],[Total volume used]]/VLOOKUP(Allocation[[#This Row],[Delivery ID]],Delivery[[Delivery ID]:[Quantity delivered]],3,FALSE)</f>
        <v>1</v>
      </c>
      <c r="S367" s="34">
        <f>Allocation[[#This Row],[Quantity Processed]]/Allocation[[#This Row],[Dilution rate]]</f>
        <v>2809.5563139931737</v>
      </c>
      <c r="T367" s="59">
        <f>SUMIF(Allocation[Delivery ID],Allocation[[#This Row],[Delivery ID]],Allocation[Quantity allocated])/SUMIF(Allocation[Delivery ID],Allocation[[#This Row],[Delivery ID]],Allocation[Volume available (kg)])</f>
        <v>1.3210089233741391</v>
      </c>
      <c r="U367" s="61">
        <f>Allocation[[#This Row],[Total volume used]]/VLOOKUP(Allocation[[#This Row],[Delivery ID]],Delivery[[Delivery ID]:[Quantity delivered]],3,FALSE)</f>
        <v>1</v>
      </c>
      <c r="V367" s="34" t="e">
        <f>VLOOKUP(Allocation[[#This Row],[SAP Contract number]],Shipments[[SAP Contract number]:[Contracted container weight]],2,FALSE)</f>
        <v>#N/A</v>
      </c>
      <c r="W367" s="34" t="e">
        <f>VLOOKUP(Allocation[[#This Row],[SAP Contract number]],Shipments[[SAP Contract number]:[AAA Premium USD]],24,FALSE)</f>
        <v>#N/A</v>
      </c>
      <c r="X367" s="34" t="e">
        <f>VLOOKUP(Allocation[[#This Row],[SAP Contract number]],Shipments[[SAP Contract number]:[RA Premium USD]],25,FALSE)</f>
        <v>#N/A</v>
      </c>
      <c r="Y367" s="38">
        <f>Allocation[[#This Row],[Quantity Processed]]/Allocation[[#This Row],[Quantity allocated]]</f>
        <v>2.1238390092879258</v>
      </c>
      <c r="Z367" s="34" t="b">
        <f>Allocation[[#This Row],[Quantity allocated]]&lt;=Allocation[[#This Row],[Quantity Processed]]</f>
        <v>1</v>
      </c>
    </row>
    <row r="368" spans="1:26">
      <c r="A368" s="247" t="s">
        <v>467</v>
      </c>
      <c r="B368" s="160" t="s">
        <v>68</v>
      </c>
      <c r="C368" s="249" t="s">
        <v>949</v>
      </c>
      <c r="D368" s="250">
        <v>30700</v>
      </c>
      <c r="E368" s="160" t="s">
        <v>1186</v>
      </c>
      <c r="F368" s="158">
        <v>43487</v>
      </c>
      <c r="G368" s="162">
        <v>2.93</v>
      </c>
      <c r="H368" s="250">
        <v>9242</v>
      </c>
      <c r="I368" s="160">
        <v>1425076</v>
      </c>
      <c r="J368" s="163">
        <v>21600</v>
      </c>
      <c r="K368" s="158">
        <v>43494</v>
      </c>
      <c r="L368" s="160" t="s">
        <v>1199</v>
      </c>
      <c r="M368" s="160">
        <v>4615513976</v>
      </c>
      <c r="N368" s="158">
        <v>43516</v>
      </c>
      <c r="O368" s="164">
        <v>3.7094</v>
      </c>
      <c r="P368" s="165">
        <v>19739</v>
      </c>
      <c r="Q368" s="34">
        <f>SUMIF(Allocation[Delivery ID],Allocation[[#This Row],[Delivery ID]],Allocation[Quantity Processed])</f>
        <v>30700</v>
      </c>
      <c r="R368" s="61">
        <f>Allocation[[#This Row],[Total volume used]]/VLOOKUP(Allocation[[#This Row],[Delivery ID]],Delivery[[Delivery ID]:[Quantity delivered]],3,FALSE)</f>
        <v>1</v>
      </c>
      <c r="S368" s="34">
        <f>Allocation[[#This Row],[Quantity Processed]]/Allocation[[#This Row],[Dilution rate]]</f>
        <v>10477.815699658702</v>
      </c>
      <c r="T368" s="59">
        <f>SUMIF(Allocation[Delivery ID],Allocation[[#This Row],[Delivery ID]],Allocation[Quantity allocated])/SUMIF(Allocation[Delivery ID],Allocation[[#This Row],[Delivery ID]],Allocation[Volume available (kg)])</f>
        <v>0.88205407166123784</v>
      </c>
      <c r="U368" s="61">
        <f>Allocation[[#This Row],[Total volume used]]/VLOOKUP(Allocation[[#This Row],[Delivery ID]],Delivery[[Delivery ID]:[Quantity delivered]],3,FALSE)</f>
        <v>1</v>
      </c>
      <c r="V368" s="34" t="e">
        <f>VLOOKUP(Allocation[[#This Row],[SAP Contract number]],Shipments[[SAP Contract number]:[Contracted container weight]],2,FALSE)</f>
        <v>#N/A</v>
      </c>
      <c r="W368" s="34" t="e">
        <f>VLOOKUP(Allocation[[#This Row],[SAP Contract number]],Shipments[[SAP Contract number]:[AAA Premium USD]],24,FALSE)</f>
        <v>#N/A</v>
      </c>
      <c r="X368" s="34" t="e">
        <f>VLOOKUP(Allocation[[#This Row],[SAP Contract number]],Shipments[[SAP Contract number]:[RA Premium USD]],25,FALSE)</f>
        <v>#N/A</v>
      </c>
      <c r="Y368" s="38">
        <f>Allocation[[#This Row],[Quantity Processed]]/Allocation[[#This Row],[Quantity allocated]]</f>
        <v>3.3217918199523915</v>
      </c>
      <c r="Z368" s="34" t="b">
        <f>Allocation[[#This Row],[Quantity allocated]]&lt;=Allocation[[#This Row],[Quantity Processed]]</f>
        <v>1</v>
      </c>
    </row>
    <row r="369" spans="1:26">
      <c r="A369" s="247" t="s">
        <v>467</v>
      </c>
      <c r="B369" s="160" t="s">
        <v>68</v>
      </c>
      <c r="C369" s="249" t="s">
        <v>950</v>
      </c>
      <c r="D369" s="250">
        <v>12684</v>
      </c>
      <c r="E369" s="160" t="s">
        <v>1186</v>
      </c>
      <c r="F369" s="158">
        <v>43487</v>
      </c>
      <c r="G369" s="162">
        <v>2.93</v>
      </c>
      <c r="H369" s="250">
        <v>3821</v>
      </c>
      <c r="I369" s="160">
        <v>1425076</v>
      </c>
      <c r="J369" s="163">
        <v>21600</v>
      </c>
      <c r="K369" s="158">
        <v>43494</v>
      </c>
      <c r="L369" s="160" t="s">
        <v>1199</v>
      </c>
      <c r="M369" s="160">
        <v>4615513976</v>
      </c>
      <c r="N369" s="158">
        <v>43516</v>
      </c>
      <c r="O369" s="164">
        <v>3.7094</v>
      </c>
      <c r="P369" s="165">
        <v>19739</v>
      </c>
      <c r="Q369" s="34">
        <f>SUMIF(Allocation[Delivery ID],Allocation[[#This Row],[Delivery ID]],Allocation[Quantity Processed])</f>
        <v>30680</v>
      </c>
      <c r="R369" s="61">
        <f>Allocation[[#This Row],[Total volume used]]/VLOOKUP(Allocation[[#This Row],[Delivery ID]],Delivery[[Delivery ID]:[Quantity delivered]],3,FALSE)</f>
        <v>1</v>
      </c>
      <c r="S369" s="34">
        <f>Allocation[[#This Row],[Quantity Processed]]/Allocation[[#This Row],[Dilution rate]]</f>
        <v>4329.0102389078493</v>
      </c>
      <c r="T369" s="59">
        <f>SUMIF(Allocation[Delivery ID],Allocation[[#This Row],[Delivery ID]],Allocation[Quantity allocated])/SUMIF(Allocation[Delivery ID],Allocation[[#This Row],[Delivery ID]],Allocation[Volume available (kg)])</f>
        <v>0.88262907431551507</v>
      </c>
      <c r="U369" s="61">
        <f>Allocation[[#This Row],[Total volume used]]/VLOOKUP(Allocation[[#This Row],[Delivery ID]],Delivery[[Delivery ID]:[Quantity delivered]],3,FALSE)</f>
        <v>1</v>
      </c>
      <c r="V369" s="34" t="e">
        <f>VLOOKUP(Allocation[[#This Row],[SAP Contract number]],Shipments[[SAP Contract number]:[Contracted container weight]],2,FALSE)</f>
        <v>#N/A</v>
      </c>
      <c r="W369" s="34" t="e">
        <f>VLOOKUP(Allocation[[#This Row],[SAP Contract number]],Shipments[[SAP Contract number]:[AAA Premium USD]],24,FALSE)</f>
        <v>#N/A</v>
      </c>
      <c r="X369" s="34" t="e">
        <f>VLOOKUP(Allocation[[#This Row],[SAP Contract number]],Shipments[[SAP Contract number]:[RA Premium USD]],25,FALSE)</f>
        <v>#N/A</v>
      </c>
      <c r="Y369" s="38">
        <f>Allocation[[#This Row],[Quantity Processed]]/Allocation[[#This Row],[Quantity allocated]]</f>
        <v>3.3195498560586234</v>
      </c>
      <c r="Z369" s="34" t="b">
        <f>Allocation[[#This Row],[Quantity allocated]]&lt;=Allocation[[#This Row],[Quantity Processed]]</f>
        <v>1</v>
      </c>
    </row>
    <row r="370" spans="1:26">
      <c r="A370" s="247" t="s">
        <v>467</v>
      </c>
      <c r="B370" s="160" t="s">
        <v>68</v>
      </c>
      <c r="C370" s="249" t="s">
        <v>950</v>
      </c>
      <c r="D370" s="250">
        <v>17996</v>
      </c>
      <c r="E370" s="160" t="s">
        <v>1186</v>
      </c>
      <c r="F370" s="158">
        <v>43487</v>
      </c>
      <c r="G370" s="162">
        <v>2.93</v>
      </c>
      <c r="H370" s="250">
        <v>5421</v>
      </c>
      <c r="I370" s="160">
        <v>1425077</v>
      </c>
      <c r="J370" s="163">
        <v>21600</v>
      </c>
      <c r="K370" s="158">
        <v>43494</v>
      </c>
      <c r="L370" s="160" t="s">
        <v>1200</v>
      </c>
      <c r="M370" s="160">
        <v>4615513976</v>
      </c>
      <c r="N370" s="158">
        <v>43516</v>
      </c>
      <c r="O370" s="164">
        <v>3.7094</v>
      </c>
      <c r="P370" s="165">
        <v>19739</v>
      </c>
      <c r="Q370" s="34">
        <f>SUMIF(Allocation[Delivery ID],Allocation[[#This Row],[Delivery ID]],Allocation[Quantity Processed])</f>
        <v>30680</v>
      </c>
      <c r="R370" s="61">
        <f>Allocation[[#This Row],[Total volume used]]/VLOOKUP(Allocation[[#This Row],[Delivery ID]],Delivery[[Delivery ID]:[Quantity delivered]],3,FALSE)</f>
        <v>1</v>
      </c>
      <c r="S370" s="34">
        <f>Allocation[[#This Row],[Quantity Processed]]/Allocation[[#This Row],[Dilution rate]]</f>
        <v>6141.9795221842996</v>
      </c>
      <c r="T370" s="59">
        <f>SUMIF(Allocation[Delivery ID],Allocation[[#This Row],[Delivery ID]],Allocation[Quantity allocated])/SUMIF(Allocation[Delivery ID],Allocation[[#This Row],[Delivery ID]],Allocation[Volume available (kg)])</f>
        <v>0.88262907431551507</v>
      </c>
      <c r="U370" s="61">
        <f>Allocation[[#This Row],[Total volume used]]/VLOOKUP(Allocation[[#This Row],[Delivery ID]],Delivery[[Delivery ID]:[Quantity delivered]],3,FALSE)</f>
        <v>1</v>
      </c>
      <c r="V370" s="34" t="e">
        <f>VLOOKUP(Allocation[[#This Row],[SAP Contract number]],Shipments[[SAP Contract number]:[Contracted container weight]],2,FALSE)</f>
        <v>#N/A</v>
      </c>
      <c r="W370" s="34" t="e">
        <f>VLOOKUP(Allocation[[#This Row],[SAP Contract number]],Shipments[[SAP Contract number]:[AAA Premium USD]],24,FALSE)</f>
        <v>#N/A</v>
      </c>
      <c r="X370" s="34" t="e">
        <f>VLOOKUP(Allocation[[#This Row],[SAP Contract number]],Shipments[[SAP Contract number]:[RA Premium USD]],25,FALSE)</f>
        <v>#N/A</v>
      </c>
      <c r="Y370" s="38">
        <f>Allocation[[#This Row],[Quantity Processed]]/Allocation[[#This Row],[Quantity allocated]]</f>
        <v>3.3196827153661688</v>
      </c>
      <c r="Z370" s="34" t="b">
        <f>Allocation[[#This Row],[Quantity allocated]]&lt;=Allocation[[#This Row],[Quantity Processed]]</f>
        <v>1</v>
      </c>
    </row>
    <row r="371" spans="1:26">
      <c r="A371" s="247" t="s">
        <v>467</v>
      </c>
      <c r="B371" s="160" t="s">
        <v>68</v>
      </c>
      <c r="C371" s="249" t="s">
        <v>951</v>
      </c>
      <c r="D371" s="250">
        <v>30750</v>
      </c>
      <c r="E371" s="160" t="s">
        <v>1186</v>
      </c>
      <c r="F371" s="158">
        <v>43487</v>
      </c>
      <c r="G371" s="162">
        <v>2.93</v>
      </c>
      <c r="H371" s="250">
        <v>9242</v>
      </c>
      <c r="I371" s="160">
        <v>1425077</v>
      </c>
      <c r="J371" s="163">
        <v>21600</v>
      </c>
      <c r="K371" s="158">
        <v>43494</v>
      </c>
      <c r="L371" s="160" t="s">
        <v>1200</v>
      </c>
      <c r="M371" s="160">
        <v>4615513976</v>
      </c>
      <c r="N371" s="158">
        <v>43516</v>
      </c>
      <c r="O371" s="164">
        <v>3.7094</v>
      </c>
      <c r="P371" s="165">
        <v>19739</v>
      </c>
      <c r="Q371" s="34">
        <f>SUMIF(Allocation[Delivery ID],Allocation[[#This Row],[Delivery ID]],Allocation[Quantity Processed])</f>
        <v>30750</v>
      </c>
      <c r="R371" s="61">
        <f>Allocation[[#This Row],[Total volume used]]/VLOOKUP(Allocation[[#This Row],[Delivery ID]],Delivery[[Delivery ID]:[Quantity delivered]],3,FALSE)</f>
        <v>1</v>
      </c>
      <c r="S371" s="34">
        <f>Allocation[[#This Row],[Quantity Processed]]/Allocation[[#This Row],[Dilution rate]]</f>
        <v>10494.880546075085</v>
      </c>
      <c r="T371" s="59">
        <f>SUMIF(Allocation[Delivery ID],Allocation[[#This Row],[Delivery ID]],Allocation[Quantity allocated])/SUMIF(Allocation[Delivery ID],Allocation[[#This Row],[Delivery ID]],Allocation[Volume available (kg)])</f>
        <v>0.88061983739837402</v>
      </c>
      <c r="U371" s="61">
        <f>Allocation[[#This Row],[Total volume used]]/VLOOKUP(Allocation[[#This Row],[Delivery ID]],Delivery[[Delivery ID]:[Quantity delivered]],3,FALSE)</f>
        <v>1</v>
      </c>
      <c r="V371" s="34" t="e">
        <f>VLOOKUP(Allocation[[#This Row],[SAP Contract number]],Shipments[[SAP Contract number]:[Contracted container weight]],2,FALSE)</f>
        <v>#N/A</v>
      </c>
      <c r="W371" s="34" t="e">
        <f>VLOOKUP(Allocation[[#This Row],[SAP Contract number]],Shipments[[SAP Contract number]:[AAA Premium USD]],24,FALSE)</f>
        <v>#N/A</v>
      </c>
      <c r="X371" s="34" t="e">
        <f>VLOOKUP(Allocation[[#This Row],[SAP Contract number]],Shipments[[SAP Contract number]:[RA Premium USD]],25,FALSE)</f>
        <v>#N/A</v>
      </c>
      <c r="Y371" s="38">
        <f>Allocation[[#This Row],[Quantity Processed]]/Allocation[[#This Row],[Quantity allocated]]</f>
        <v>3.3272019043497076</v>
      </c>
      <c r="Z371" s="34" t="b">
        <f>Allocation[[#This Row],[Quantity allocated]]&lt;=Allocation[[#This Row],[Quantity Processed]]</f>
        <v>1</v>
      </c>
    </row>
    <row r="372" spans="1:26">
      <c r="A372" s="247" t="s">
        <v>467</v>
      </c>
      <c r="B372" s="160" t="s">
        <v>68</v>
      </c>
      <c r="C372" s="249" t="s">
        <v>952</v>
      </c>
      <c r="D372" s="250">
        <v>23066</v>
      </c>
      <c r="E372" s="160" t="s">
        <v>1186</v>
      </c>
      <c r="F372" s="158">
        <v>43487</v>
      </c>
      <c r="G372" s="162">
        <v>2.93</v>
      </c>
      <c r="H372" s="250">
        <v>6937</v>
      </c>
      <c r="I372" s="160">
        <v>1425077</v>
      </c>
      <c r="J372" s="163">
        <v>21600</v>
      </c>
      <c r="K372" s="158">
        <v>43494</v>
      </c>
      <c r="L372" s="160" t="s">
        <v>1200</v>
      </c>
      <c r="M372" s="160">
        <v>4615513976</v>
      </c>
      <c r="N372" s="158">
        <v>43516</v>
      </c>
      <c r="O372" s="164">
        <v>3.7094</v>
      </c>
      <c r="P372" s="165">
        <v>19739</v>
      </c>
      <c r="Q372" s="34">
        <f>SUMIF(Allocation[Delivery ID],Allocation[[#This Row],[Delivery ID]],Allocation[Quantity Processed])</f>
        <v>30730</v>
      </c>
      <c r="R372" s="61">
        <f>Allocation[[#This Row],[Total volume used]]/VLOOKUP(Allocation[[#This Row],[Delivery ID]],Delivery[[Delivery ID]:[Quantity delivered]],3,FALSE)</f>
        <v>1</v>
      </c>
      <c r="S372" s="34">
        <f>Allocation[[#This Row],[Quantity Processed]]/Allocation[[#This Row],[Dilution rate]]</f>
        <v>7872.3549488054605</v>
      </c>
      <c r="T372" s="59">
        <f>SUMIF(Allocation[Delivery ID],Allocation[[#This Row],[Delivery ID]],Allocation[Quantity allocated])/SUMIF(Allocation[Delivery ID],Allocation[[#This Row],[Delivery ID]],Allocation[Volume available (kg)])</f>
        <v>0.88119297103807348</v>
      </c>
      <c r="U372" s="61">
        <f>Allocation[[#This Row],[Total volume used]]/VLOOKUP(Allocation[[#This Row],[Delivery ID]],Delivery[[Delivery ID]:[Quantity delivered]],3,FALSE)</f>
        <v>1</v>
      </c>
      <c r="V372" s="34" t="e">
        <f>VLOOKUP(Allocation[[#This Row],[SAP Contract number]],Shipments[[SAP Contract number]:[Contracted container weight]],2,FALSE)</f>
        <v>#N/A</v>
      </c>
      <c r="W372" s="34" t="e">
        <f>VLOOKUP(Allocation[[#This Row],[SAP Contract number]],Shipments[[SAP Contract number]:[AAA Premium USD]],24,FALSE)</f>
        <v>#N/A</v>
      </c>
      <c r="X372" s="34" t="e">
        <f>VLOOKUP(Allocation[[#This Row],[SAP Contract number]],Shipments[[SAP Contract number]:[RA Premium USD]],25,FALSE)</f>
        <v>#N/A</v>
      </c>
      <c r="Y372" s="38">
        <f>Allocation[[#This Row],[Quantity Processed]]/Allocation[[#This Row],[Quantity allocated]]</f>
        <v>3.3250684734034883</v>
      </c>
      <c r="Z372" s="34" t="b">
        <f>Allocation[[#This Row],[Quantity allocated]]&lt;=Allocation[[#This Row],[Quantity Processed]]</f>
        <v>1</v>
      </c>
    </row>
    <row r="373" spans="1:26">
      <c r="A373" s="247" t="s">
        <v>467</v>
      </c>
      <c r="B373" s="160" t="s">
        <v>68</v>
      </c>
      <c r="C373" s="249" t="s">
        <v>952</v>
      </c>
      <c r="D373" s="250">
        <v>7664</v>
      </c>
      <c r="E373" s="160" t="s">
        <v>1186</v>
      </c>
      <c r="F373" s="158">
        <v>43487</v>
      </c>
      <c r="G373" s="162">
        <v>2.93</v>
      </c>
      <c r="H373" s="250">
        <v>2305</v>
      </c>
      <c r="I373" s="160">
        <v>1425078</v>
      </c>
      <c r="J373" s="163">
        <v>21600</v>
      </c>
      <c r="K373" s="158">
        <v>43494</v>
      </c>
      <c r="L373" s="160" t="s">
        <v>1201</v>
      </c>
      <c r="M373" s="160">
        <v>4615513976</v>
      </c>
      <c r="N373" s="158">
        <v>43516</v>
      </c>
      <c r="O373" s="164">
        <v>3.7094</v>
      </c>
      <c r="P373" s="165">
        <v>19739</v>
      </c>
      <c r="Q373" s="34">
        <f>SUMIF(Allocation[Delivery ID],Allocation[[#This Row],[Delivery ID]],Allocation[Quantity Processed])</f>
        <v>30730</v>
      </c>
      <c r="R373" s="61">
        <f>Allocation[[#This Row],[Total volume used]]/VLOOKUP(Allocation[[#This Row],[Delivery ID]],Delivery[[Delivery ID]:[Quantity delivered]],3,FALSE)</f>
        <v>1</v>
      </c>
      <c r="S373" s="34">
        <f>Allocation[[#This Row],[Quantity Processed]]/Allocation[[#This Row],[Dilution rate]]</f>
        <v>2615.6996587030717</v>
      </c>
      <c r="T373" s="59">
        <f>SUMIF(Allocation[Delivery ID],Allocation[[#This Row],[Delivery ID]],Allocation[Quantity allocated])/SUMIF(Allocation[Delivery ID],Allocation[[#This Row],[Delivery ID]],Allocation[Volume available (kg)])</f>
        <v>0.88119297103807348</v>
      </c>
      <c r="U373" s="61">
        <f>Allocation[[#This Row],[Total volume used]]/VLOOKUP(Allocation[[#This Row],[Delivery ID]],Delivery[[Delivery ID]:[Quantity delivered]],3,FALSE)</f>
        <v>1</v>
      </c>
      <c r="V373" s="34" t="e">
        <f>VLOOKUP(Allocation[[#This Row],[SAP Contract number]],Shipments[[SAP Contract number]:[Contracted container weight]],2,FALSE)</f>
        <v>#N/A</v>
      </c>
      <c r="W373" s="34" t="e">
        <f>VLOOKUP(Allocation[[#This Row],[SAP Contract number]],Shipments[[SAP Contract number]:[AAA Premium USD]],24,FALSE)</f>
        <v>#N/A</v>
      </c>
      <c r="X373" s="34" t="e">
        <f>VLOOKUP(Allocation[[#This Row],[SAP Contract number]],Shipments[[SAP Contract number]:[RA Premium USD]],25,FALSE)</f>
        <v>#N/A</v>
      </c>
      <c r="Y373" s="38">
        <f>Allocation[[#This Row],[Quantity Processed]]/Allocation[[#This Row],[Quantity allocated]]</f>
        <v>3.3249457700650757</v>
      </c>
      <c r="Z373" s="34" t="b">
        <f>Allocation[[#This Row],[Quantity allocated]]&lt;=Allocation[[#This Row],[Quantity Processed]]</f>
        <v>1</v>
      </c>
    </row>
    <row r="374" spans="1:26">
      <c r="A374" s="247" t="s">
        <v>467</v>
      </c>
      <c r="B374" s="160" t="s">
        <v>68</v>
      </c>
      <c r="C374" s="249" t="s">
        <v>953</v>
      </c>
      <c r="D374" s="250">
        <v>30680</v>
      </c>
      <c r="E374" s="160" t="s">
        <v>1186</v>
      </c>
      <c r="F374" s="158">
        <v>43487</v>
      </c>
      <c r="G374" s="162">
        <v>2.93</v>
      </c>
      <c r="H374" s="250">
        <v>9242</v>
      </c>
      <c r="I374" s="160">
        <v>1425078</v>
      </c>
      <c r="J374" s="163">
        <v>21600</v>
      </c>
      <c r="K374" s="158">
        <v>43494</v>
      </c>
      <c r="L374" s="160" t="s">
        <v>1201</v>
      </c>
      <c r="M374" s="160">
        <v>4615513976</v>
      </c>
      <c r="N374" s="158">
        <v>43516</v>
      </c>
      <c r="O374" s="164">
        <v>3.7094</v>
      </c>
      <c r="P374" s="165">
        <v>19739</v>
      </c>
      <c r="Q374" s="34">
        <f>SUMIF(Allocation[Delivery ID],Allocation[[#This Row],[Delivery ID]],Allocation[Quantity Processed])</f>
        <v>30680</v>
      </c>
      <c r="R374" s="61">
        <f>Allocation[[#This Row],[Total volume used]]/VLOOKUP(Allocation[[#This Row],[Delivery ID]],Delivery[[Delivery ID]:[Quantity delivered]],3,FALSE)</f>
        <v>1</v>
      </c>
      <c r="S374" s="34">
        <f>Allocation[[#This Row],[Quantity Processed]]/Allocation[[#This Row],[Dilution rate]]</f>
        <v>10470.989761092149</v>
      </c>
      <c r="T374" s="59">
        <f>SUMIF(Allocation[Delivery ID],Allocation[[#This Row],[Delivery ID]],Allocation[Quantity allocated])/SUMIF(Allocation[Delivery ID],Allocation[[#This Row],[Delivery ID]],Allocation[Volume available (kg)])</f>
        <v>0.88262907431551507</v>
      </c>
      <c r="U374" s="61">
        <f>Allocation[[#This Row],[Total volume used]]/VLOOKUP(Allocation[[#This Row],[Delivery ID]],Delivery[[Delivery ID]:[Quantity delivered]],3,FALSE)</f>
        <v>1</v>
      </c>
      <c r="V374" s="34" t="e">
        <f>VLOOKUP(Allocation[[#This Row],[SAP Contract number]],Shipments[[SAP Contract number]:[Contracted container weight]],2,FALSE)</f>
        <v>#N/A</v>
      </c>
      <c r="W374" s="34" t="e">
        <f>VLOOKUP(Allocation[[#This Row],[SAP Contract number]],Shipments[[SAP Contract number]:[AAA Premium USD]],24,FALSE)</f>
        <v>#N/A</v>
      </c>
      <c r="X374" s="34" t="e">
        <f>VLOOKUP(Allocation[[#This Row],[SAP Contract number]],Shipments[[SAP Contract number]:[RA Premium USD]],25,FALSE)</f>
        <v>#N/A</v>
      </c>
      <c r="Y374" s="38">
        <f>Allocation[[#This Row],[Quantity Processed]]/Allocation[[#This Row],[Quantity allocated]]</f>
        <v>3.3196277861934647</v>
      </c>
      <c r="Z374" s="34" t="b">
        <f>Allocation[[#This Row],[Quantity allocated]]&lt;=Allocation[[#This Row],[Quantity Processed]]</f>
        <v>1</v>
      </c>
    </row>
    <row r="375" spans="1:26">
      <c r="A375" s="247" t="s">
        <v>467</v>
      </c>
      <c r="B375" s="160" t="s">
        <v>68</v>
      </c>
      <c r="C375" s="249" t="s">
        <v>954</v>
      </c>
      <c r="D375" s="250">
        <v>30700</v>
      </c>
      <c r="E375" s="160" t="s">
        <v>1186</v>
      </c>
      <c r="F375" s="158">
        <v>43487</v>
      </c>
      <c r="G375" s="162">
        <v>2.93</v>
      </c>
      <c r="H375" s="250">
        <v>9242</v>
      </c>
      <c r="I375" s="160">
        <v>1425078</v>
      </c>
      <c r="J375" s="163">
        <v>21600</v>
      </c>
      <c r="K375" s="158">
        <v>43494</v>
      </c>
      <c r="L375" s="160" t="s">
        <v>1201</v>
      </c>
      <c r="M375" s="160">
        <v>4615513976</v>
      </c>
      <c r="N375" s="158">
        <v>43516</v>
      </c>
      <c r="O375" s="164">
        <v>3.7094</v>
      </c>
      <c r="P375" s="165">
        <v>19739</v>
      </c>
      <c r="Q375" s="34">
        <f>SUMIF(Allocation[Delivery ID],Allocation[[#This Row],[Delivery ID]],Allocation[Quantity Processed])</f>
        <v>30700</v>
      </c>
      <c r="R375" s="61">
        <f>Allocation[[#This Row],[Total volume used]]/VLOOKUP(Allocation[[#This Row],[Delivery ID]],Delivery[[Delivery ID]:[Quantity delivered]],3,FALSE)</f>
        <v>1</v>
      </c>
      <c r="S375" s="34">
        <f>Allocation[[#This Row],[Quantity Processed]]/Allocation[[#This Row],[Dilution rate]]</f>
        <v>10477.815699658702</v>
      </c>
      <c r="T375" s="59">
        <f>SUMIF(Allocation[Delivery ID],Allocation[[#This Row],[Delivery ID]],Allocation[Quantity allocated])/SUMIF(Allocation[Delivery ID],Allocation[[#This Row],[Delivery ID]],Allocation[Volume available (kg)])</f>
        <v>0.88205407166123784</v>
      </c>
      <c r="U375" s="61">
        <f>Allocation[[#This Row],[Total volume used]]/VLOOKUP(Allocation[[#This Row],[Delivery ID]],Delivery[[Delivery ID]:[Quantity delivered]],3,FALSE)</f>
        <v>1</v>
      </c>
      <c r="V375" s="34" t="e">
        <f>VLOOKUP(Allocation[[#This Row],[SAP Contract number]],Shipments[[SAP Contract number]:[Contracted container weight]],2,FALSE)</f>
        <v>#N/A</v>
      </c>
      <c r="W375" s="34" t="e">
        <f>VLOOKUP(Allocation[[#This Row],[SAP Contract number]],Shipments[[SAP Contract number]:[AAA Premium USD]],24,FALSE)</f>
        <v>#N/A</v>
      </c>
      <c r="X375" s="34" t="e">
        <f>VLOOKUP(Allocation[[#This Row],[SAP Contract number]],Shipments[[SAP Contract number]:[RA Premium USD]],25,FALSE)</f>
        <v>#N/A</v>
      </c>
      <c r="Y375" s="38">
        <f>Allocation[[#This Row],[Quantity Processed]]/Allocation[[#This Row],[Quantity allocated]]</f>
        <v>3.3217918199523915</v>
      </c>
      <c r="Z375" s="34" t="b">
        <f>Allocation[[#This Row],[Quantity allocated]]&lt;=Allocation[[#This Row],[Quantity Processed]]</f>
        <v>1</v>
      </c>
    </row>
    <row r="376" spans="1:26">
      <c r="A376" s="247" t="s">
        <v>467</v>
      </c>
      <c r="B376" s="160" t="s">
        <v>68</v>
      </c>
      <c r="C376" s="249" t="s">
        <v>955</v>
      </c>
      <c r="D376" s="250">
        <v>2682</v>
      </c>
      <c r="E376" s="160" t="s">
        <v>1186</v>
      </c>
      <c r="F376" s="158">
        <v>43487</v>
      </c>
      <c r="G376" s="162">
        <v>2.93</v>
      </c>
      <c r="H376" s="250">
        <v>811</v>
      </c>
      <c r="I376" s="160">
        <v>1425078</v>
      </c>
      <c r="J376" s="163">
        <v>21600</v>
      </c>
      <c r="K376" s="158">
        <v>43494</v>
      </c>
      <c r="L376" s="160" t="s">
        <v>1201</v>
      </c>
      <c r="M376" s="160">
        <v>4615513976</v>
      </c>
      <c r="N376" s="158">
        <v>43516</v>
      </c>
      <c r="O376" s="164">
        <v>3.7094</v>
      </c>
      <c r="P376" s="165">
        <v>19739</v>
      </c>
      <c r="Q376" s="34">
        <f>SUMIF(Allocation[Delivery ID],Allocation[[#This Row],[Delivery ID]],Allocation[Quantity Processed])</f>
        <v>30760</v>
      </c>
      <c r="R376" s="61">
        <f>Allocation[[#This Row],[Total volume used]]/VLOOKUP(Allocation[[#This Row],[Delivery ID]],Delivery[[Delivery ID]:[Quantity delivered]],3,FALSE)</f>
        <v>1</v>
      </c>
      <c r="S376" s="34">
        <f>Allocation[[#This Row],[Quantity Processed]]/Allocation[[#This Row],[Dilution rate]]</f>
        <v>915.35836177474403</v>
      </c>
      <c r="T376" s="59">
        <f>SUMIF(Allocation[Delivery ID],Allocation[[#This Row],[Delivery ID]],Allocation[Quantity allocated])/SUMIF(Allocation[Delivery ID],Allocation[[#This Row],[Delivery ID]],Allocation[Volume available (kg)])</f>
        <v>0.88595351105331599</v>
      </c>
      <c r="U376" s="61">
        <f>Allocation[[#This Row],[Total volume used]]/VLOOKUP(Allocation[[#This Row],[Delivery ID]],Delivery[[Delivery ID]:[Quantity delivered]],3,FALSE)</f>
        <v>1</v>
      </c>
      <c r="V376" s="34" t="e">
        <f>VLOOKUP(Allocation[[#This Row],[SAP Contract number]],Shipments[[SAP Contract number]:[Contracted container weight]],2,FALSE)</f>
        <v>#N/A</v>
      </c>
      <c r="W376" s="34" t="e">
        <f>VLOOKUP(Allocation[[#This Row],[SAP Contract number]],Shipments[[SAP Contract number]:[AAA Premium USD]],24,FALSE)</f>
        <v>#N/A</v>
      </c>
      <c r="X376" s="34" t="e">
        <f>VLOOKUP(Allocation[[#This Row],[SAP Contract number]],Shipments[[SAP Contract number]:[RA Premium USD]],25,FALSE)</f>
        <v>#N/A</v>
      </c>
      <c r="Y376" s="38">
        <f>Allocation[[#This Row],[Quantity Processed]]/Allocation[[#This Row],[Quantity allocated]]</f>
        <v>3.3070283600493218</v>
      </c>
      <c r="Z376" s="34" t="b">
        <f>Allocation[[#This Row],[Quantity allocated]]&lt;=Allocation[[#This Row],[Quantity Processed]]</f>
        <v>1</v>
      </c>
    </row>
    <row r="377" spans="1:26">
      <c r="A377" s="247" t="s">
        <v>467</v>
      </c>
      <c r="B377" s="160" t="s">
        <v>68</v>
      </c>
      <c r="C377" s="249" t="s">
        <v>1033</v>
      </c>
      <c r="D377" s="250">
        <v>13165</v>
      </c>
      <c r="E377" s="160" t="s">
        <v>1186</v>
      </c>
      <c r="F377" s="158">
        <v>43487</v>
      </c>
      <c r="G377" s="162">
        <v>2.93</v>
      </c>
      <c r="H377" s="250">
        <v>4160</v>
      </c>
      <c r="I377" s="160">
        <v>1423927</v>
      </c>
      <c r="J377" s="163">
        <v>19175</v>
      </c>
      <c r="K377" s="158">
        <v>43494</v>
      </c>
      <c r="L377" s="160" t="s">
        <v>1202</v>
      </c>
      <c r="M377" s="160">
        <v>4615492548</v>
      </c>
      <c r="N377" s="158">
        <v>43516</v>
      </c>
      <c r="O377" s="164">
        <v>3.7094</v>
      </c>
      <c r="P377" s="165">
        <v>19880</v>
      </c>
      <c r="Q377" s="34">
        <f>SUMIF(Allocation[Delivery ID],Allocation[[#This Row],[Delivery ID]],Allocation[Quantity Processed])</f>
        <v>31250</v>
      </c>
      <c r="R377" s="61">
        <f>Allocation[[#This Row],[Total volume used]]/VLOOKUP(Allocation[[#This Row],[Delivery ID]],Delivery[[Delivery ID]:[Quantity delivered]],3,FALSE)</f>
        <v>1</v>
      </c>
      <c r="S377" s="34">
        <f>Allocation[[#This Row],[Quantity Processed]]/Allocation[[#This Row],[Dilution rate]]</f>
        <v>4493.1740614334467</v>
      </c>
      <c r="T377" s="59">
        <f>SUMIF(Allocation[Delivery ID],Allocation[[#This Row],[Delivery ID]],Allocation[Quantity allocated])/SUMIF(Allocation[Delivery ID],Allocation[[#This Row],[Delivery ID]],Allocation[Volume available (kg)])</f>
        <v>0.92068530063679843</v>
      </c>
      <c r="U377" s="61">
        <f>Allocation[[#This Row],[Total volume used]]/VLOOKUP(Allocation[[#This Row],[Delivery ID]],Delivery[[Delivery ID]:[Quantity delivered]],3,FALSE)</f>
        <v>1</v>
      </c>
      <c r="V377" s="34">
        <f>VLOOKUP(Allocation[[#This Row],[SAP Contract number]],Shipments[[SAP Contract number]:[Contracted container weight]],2,FALSE)</f>
        <v>19175</v>
      </c>
      <c r="W377" s="34">
        <f>VLOOKUP(Allocation[[#This Row],[SAP Contract number]],Shipments[[SAP Contract number]:[AAA Premium USD]],24,FALSE)</f>
        <v>6763.7822038320437</v>
      </c>
      <c r="X377" s="34">
        <f>VLOOKUP(Allocation[[#This Row],[SAP Contract number]],Shipments[[SAP Contract number]:[RA Premium USD]],25,FALSE)</f>
        <v>2113.6819386975139</v>
      </c>
      <c r="Y377" s="38">
        <f>Allocation[[#This Row],[Quantity Processed]]/Allocation[[#This Row],[Quantity allocated]]</f>
        <v>3.1646634615384617</v>
      </c>
      <c r="Z377" s="34" t="b">
        <f>Allocation[[#This Row],[Quantity allocated]]&lt;=Allocation[[#This Row],[Quantity Processed]]</f>
        <v>1</v>
      </c>
    </row>
    <row r="378" spans="1:26">
      <c r="A378" s="247" t="s">
        <v>467</v>
      </c>
      <c r="B378" s="160" t="s">
        <v>68</v>
      </c>
      <c r="C378" s="249" t="s">
        <v>1044</v>
      </c>
      <c r="D378" s="250">
        <v>8196</v>
      </c>
      <c r="E378" s="160" t="s">
        <v>1186</v>
      </c>
      <c r="F378" s="158">
        <v>43487</v>
      </c>
      <c r="G378" s="162">
        <v>2.93</v>
      </c>
      <c r="H378" s="250">
        <v>2445</v>
      </c>
      <c r="I378" s="160">
        <v>1423927</v>
      </c>
      <c r="J378" s="163">
        <v>19175</v>
      </c>
      <c r="K378" s="158">
        <v>43494</v>
      </c>
      <c r="L378" s="160" t="s">
        <v>1202</v>
      </c>
      <c r="M378" s="160">
        <v>4615492548</v>
      </c>
      <c r="N378" s="158">
        <v>43516</v>
      </c>
      <c r="O378" s="164">
        <v>3.7094</v>
      </c>
      <c r="P378" s="165">
        <v>19880</v>
      </c>
      <c r="Q378" s="34">
        <f>SUMIF(Allocation[Delivery ID],Allocation[[#This Row],[Delivery ID]],Allocation[Quantity Processed])</f>
        <v>14423</v>
      </c>
      <c r="R378" s="61">
        <f>Allocation[[#This Row],[Total volume used]]/VLOOKUP(Allocation[[#This Row],[Delivery ID]],Delivery[[Delivery ID]:[Quantity delivered]],3,FALSE)</f>
        <v>1</v>
      </c>
      <c r="S378" s="34">
        <f>Allocation[[#This Row],[Quantity Processed]]/Allocation[[#This Row],[Dilution rate]]</f>
        <v>2797.2696245733787</v>
      </c>
      <c r="T378" s="59">
        <f>SUMIF(Allocation[Delivery ID],Allocation[[#This Row],[Delivery ID]],Allocation[Quantity allocated])/SUMIF(Allocation[Delivery ID],Allocation[[#This Row],[Delivery ID]],Allocation[Volume available (kg)])</f>
        <v>0.86965772424532728</v>
      </c>
      <c r="U378" s="61">
        <f>Allocation[[#This Row],[Total volume used]]/VLOOKUP(Allocation[[#This Row],[Delivery ID]],Delivery[[Delivery ID]:[Quantity delivered]],3,FALSE)</f>
        <v>1</v>
      </c>
      <c r="V378" s="34">
        <f>VLOOKUP(Allocation[[#This Row],[SAP Contract number]],Shipments[[SAP Contract number]:[Contracted container weight]],2,FALSE)</f>
        <v>19175</v>
      </c>
      <c r="W378" s="34">
        <f>VLOOKUP(Allocation[[#This Row],[SAP Contract number]],Shipments[[SAP Contract number]:[AAA Premium USD]],24,FALSE)</f>
        <v>6763.7822038320437</v>
      </c>
      <c r="X378" s="34">
        <f>VLOOKUP(Allocation[[#This Row],[SAP Contract number]],Shipments[[SAP Contract number]:[RA Premium USD]],25,FALSE)</f>
        <v>2113.6819386975139</v>
      </c>
      <c r="Y378" s="38">
        <f>Allocation[[#This Row],[Quantity Processed]]/Allocation[[#This Row],[Quantity allocated]]</f>
        <v>3.3521472392638039</v>
      </c>
      <c r="Z378" s="34" t="b">
        <f>Allocation[[#This Row],[Quantity allocated]]&lt;=Allocation[[#This Row],[Quantity Processed]]</f>
        <v>1</v>
      </c>
    </row>
    <row r="379" spans="1:26">
      <c r="A379" s="247" t="s">
        <v>467</v>
      </c>
      <c r="B379" s="160" t="s">
        <v>68</v>
      </c>
      <c r="C379" s="249" t="s">
        <v>1053</v>
      </c>
      <c r="D379" s="250">
        <v>1591</v>
      </c>
      <c r="E379" s="160" t="s">
        <v>1186</v>
      </c>
      <c r="F379" s="158">
        <v>43487</v>
      </c>
      <c r="G379" s="162">
        <v>2.93</v>
      </c>
      <c r="H379" s="250">
        <v>537</v>
      </c>
      <c r="I379" s="160">
        <v>1423927</v>
      </c>
      <c r="J379" s="163">
        <v>19175</v>
      </c>
      <c r="K379" s="158">
        <v>43494</v>
      </c>
      <c r="L379" s="160" t="s">
        <v>1202</v>
      </c>
      <c r="M379" s="160">
        <v>4615492548</v>
      </c>
      <c r="N379" s="158">
        <v>43516</v>
      </c>
      <c r="O379" s="164">
        <v>3.7094</v>
      </c>
      <c r="P379" s="165">
        <v>19880</v>
      </c>
      <c r="Q379" s="34">
        <f>SUMIF(Allocation[Delivery ID],Allocation[[#This Row],[Delivery ID]],Allocation[Quantity Processed])</f>
        <v>30600</v>
      </c>
      <c r="R379" s="61">
        <f>Allocation[[#This Row],[Total volume used]]/VLOOKUP(Allocation[[#This Row],[Delivery ID]],Delivery[[Delivery ID]:[Quantity delivered]],3,FALSE)</f>
        <v>1</v>
      </c>
      <c r="S379" s="34">
        <f>Allocation[[#This Row],[Quantity Processed]]/Allocation[[#This Row],[Dilution rate]]</f>
        <v>543.0034129692832</v>
      </c>
      <c r="T379" s="59">
        <f>SUMIF(Allocation[Delivery ID],Allocation[[#This Row],[Delivery ID]],Allocation[Quantity allocated])/SUMIF(Allocation[Delivery ID],Allocation[[#This Row],[Delivery ID]],Allocation[Volume available (kg)])</f>
        <v>0.95237441594490635</v>
      </c>
      <c r="U379" s="61">
        <f>Allocation[[#This Row],[Total volume used]]/VLOOKUP(Allocation[[#This Row],[Delivery ID]],Delivery[[Delivery ID]:[Quantity delivered]],3,FALSE)</f>
        <v>1</v>
      </c>
      <c r="V379" s="34">
        <f>VLOOKUP(Allocation[[#This Row],[SAP Contract number]],Shipments[[SAP Contract number]:[Contracted container weight]],2,FALSE)</f>
        <v>19175</v>
      </c>
      <c r="W379" s="34">
        <f>VLOOKUP(Allocation[[#This Row],[SAP Contract number]],Shipments[[SAP Contract number]:[AAA Premium USD]],24,FALSE)</f>
        <v>6763.7822038320437</v>
      </c>
      <c r="X379" s="34">
        <f>VLOOKUP(Allocation[[#This Row],[SAP Contract number]],Shipments[[SAP Contract number]:[RA Premium USD]],25,FALSE)</f>
        <v>2113.6819386975139</v>
      </c>
      <c r="Y379" s="38">
        <f>Allocation[[#This Row],[Quantity Processed]]/Allocation[[#This Row],[Quantity allocated]]</f>
        <v>2.9627560521415268</v>
      </c>
      <c r="Z379" s="34" t="b">
        <f>Allocation[[#This Row],[Quantity allocated]]&lt;=Allocation[[#This Row],[Quantity Processed]]</f>
        <v>1</v>
      </c>
    </row>
    <row r="380" spans="1:26">
      <c r="A380" s="247" t="s">
        <v>467</v>
      </c>
      <c r="B380" s="160" t="s">
        <v>68</v>
      </c>
      <c r="C380" s="249" t="s">
        <v>1054</v>
      </c>
      <c r="D380" s="250">
        <v>1586</v>
      </c>
      <c r="E380" s="160" t="s">
        <v>1186</v>
      </c>
      <c r="F380" s="158">
        <v>43487</v>
      </c>
      <c r="G380" s="162">
        <v>2.93</v>
      </c>
      <c r="H380" s="250">
        <v>537</v>
      </c>
      <c r="I380" s="160">
        <v>1423927</v>
      </c>
      <c r="J380" s="163">
        <v>19175</v>
      </c>
      <c r="K380" s="158">
        <v>43494</v>
      </c>
      <c r="L380" s="160" t="s">
        <v>1202</v>
      </c>
      <c r="M380" s="160">
        <v>4615492548</v>
      </c>
      <c r="N380" s="158">
        <v>43516</v>
      </c>
      <c r="O380" s="164">
        <v>3.7094</v>
      </c>
      <c r="P380" s="165">
        <v>19880</v>
      </c>
      <c r="Q380" s="34">
        <f>SUMIF(Allocation[Delivery ID],Allocation[[#This Row],[Delivery ID]],Allocation[Quantity Processed])</f>
        <v>29990</v>
      </c>
      <c r="R380" s="61">
        <f>Allocation[[#This Row],[Total volume used]]/VLOOKUP(Allocation[[#This Row],[Delivery ID]],Delivery[[Delivery ID]:[Quantity delivered]],3,FALSE)</f>
        <v>1</v>
      </c>
      <c r="S380" s="34">
        <f>Allocation[[#This Row],[Quantity Processed]]/Allocation[[#This Row],[Dilution rate]]</f>
        <v>541.29692832764499</v>
      </c>
      <c r="T380" s="59">
        <f>SUMIF(Allocation[Delivery ID],Allocation[[#This Row],[Delivery ID]],Allocation[Quantity allocated])/SUMIF(Allocation[Delivery ID],Allocation[[#This Row],[Delivery ID]],Allocation[Volume available (kg)])</f>
        <v>0.95369027945789675</v>
      </c>
      <c r="U380" s="61">
        <f>Allocation[[#This Row],[Total volume used]]/VLOOKUP(Allocation[[#This Row],[Delivery ID]],Delivery[[Delivery ID]:[Quantity delivered]],3,FALSE)</f>
        <v>1</v>
      </c>
      <c r="V380" s="34">
        <f>VLOOKUP(Allocation[[#This Row],[SAP Contract number]],Shipments[[SAP Contract number]:[Contracted container weight]],2,FALSE)</f>
        <v>19175</v>
      </c>
      <c r="W380" s="34">
        <f>VLOOKUP(Allocation[[#This Row],[SAP Contract number]],Shipments[[SAP Contract number]:[AAA Premium USD]],24,FALSE)</f>
        <v>6763.7822038320437</v>
      </c>
      <c r="X380" s="34">
        <f>VLOOKUP(Allocation[[#This Row],[SAP Contract number]],Shipments[[SAP Contract number]:[RA Premium USD]],25,FALSE)</f>
        <v>2113.6819386975139</v>
      </c>
      <c r="Y380" s="38">
        <f>Allocation[[#This Row],[Quantity Processed]]/Allocation[[#This Row],[Quantity allocated]]</f>
        <v>2.9534450651769086</v>
      </c>
      <c r="Z380" s="34" t="b">
        <f>Allocation[[#This Row],[Quantity allocated]]&lt;=Allocation[[#This Row],[Quantity Processed]]</f>
        <v>1</v>
      </c>
    </row>
    <row r="381" spans="1:26">
      <c r="A381" s="247" t="s">
        <v>467</v>
      </c>
      <c r="B381" s="160" t="s">
        <v>68</v>
      </c>
      <c r="C381" s="249" t="s">
        <v>1055</v>
      </c>
      <c r="D381" s="250">
        <v>1561</v>
      </c>
      <c r="E381" s="160" t="s">
        <v>1186</v>
      </c>
      <c r="F381" s="158">
        <v>43487</v>
      </c>
      <c r="G381" s="162">
        <v>2.93</v>
      </c>
      <c r="H381" s="250">
        <v>537</v>
      </c>
      <c r="I381" s="160">
        <v>1423927</v>
      </c>
      <c r="J381" s="163">
        <v>19175</v>
      </c>
      <c r="K381" s="158">
        <v>43494</v>
      </c>
      <c r="L381" s="160" t="s">
        <v>1202</v>
      </c>
      <c r="M381" s="160">
        <v>4615492548</v>
      </c>
      <c r="N381" s="158">
        <v>43516</v>
      </c>
      <c r="O381" s="164">
        <v>3.7094</v>
      </c>
      <c r="P381" s="165">
        <v>19880</v>
      </c>
      <c r="Q381" s="34">
        <f>SUMIF(Allocation[Delivery ID],Allocation[[#This Row],[Delivery ID]],Allocation[Quantity Processed])</f>
        <v>30000</v>
      </c>
      <c r="R381" s="61">
        <f>Allocation[[#This Row],[Total volume used]]/VLOOKUP(Allocation[[#This Row],[Delivery ID]],Delivery[[Delivery ID]:[Quantity delivered]],3,FALSE)</f>
        <v>1</v>
      </c>
      <c r="S381" s="34">
        <f>Allocation[[#This Row],[Quantity Processed]]/Allocation[[#This Row],[Dilution rate]]</f>
        <v>532.76450511945393</v>
      </c>
      <c r="T381" s="59">
        <f>SUMIF(Allocation[Delivery ID],Allocation[[#This Row],[Delivery ID]],Allocation[Quantity allocated])/SUMIF(Allocation[Delivery ID],Allocation[[#This Row],[Delivery ID]],Allocation[Volume available (kg)])</f>
        <v>0.95335852597215165</v>
      </c>
      <c r="U381" s="61">
        <f>Allocation[[#This Row],[Total volume used]]/VLOOKUP(Allocation[[#This Row],[Delivery ID]],Delivery[[Delivery ID]:[Quantity delivered]],3,FALSE)</f>
        <v>1</v>
      </c>
      <c r="V381" s="34">
        <f>VLOOKUP(Allocation[[#This Row],[SAP Contract number]],Shipments[[SAP Contract number]:[Contracted container weight]],2,FALSE)</f>
        <v>19175</v>
      </c>
      <c r="W381" s="34">
        <f>VLOOKUP(Allocation[[#This Row],[SAP Contract number]],Shipments[[SAP Contract number]:[AAA Premium USD]],24,FALSE)</f>
        <v>6763.7822038320437</v>
      </c>
      <c r="X381" s="34">
        <f>VLOOKUP(Allocation[[#This Row],[SAP Contract number]],Shipments[[SAP Contract number]:[RA Premium USD]],25,FALSE)</f>
        <v>2113.6819386975139</v>
      </c>
      <c r="Y381" s="38">
        <f>Allocation[[#This Row],[Quantity Processed]]/Allocation[[#This Row],[Quantity allocated]]</f>
        <v>2.9068901303538177</v>
      </c>
      <c r="Z381" s="34" t="b">
        <f>Allocation[[#This Row],[Quantity allocated]]&lt;=Allocation[[#This Row],[Quantity Processed]]</f>
        <v>1</v>
      </c>
    </row>
    <row r="382" spans="1:26">
      <c r="A382" s="247" t="s">
        <v>467</v>
      </c>
      <c r="B382" s="160" t="s">
        <v>68</v>
      </c>
      <c r="C382" s="249" t="s">
        <v>1056</v>
      </c>
      <c r="D382" s="250">
        <v>7509</v>
      </c>
      <c r="E382" s="160" t="s">
        <v>1186</v>
      </c>
      <c r="F382" s="158">
        <v>43487</v>
      </c>
      <c r="G382" s="162">
        <v>2.93</v>
      </c>
      <c r="H382" s="250">
        <v>2478</v>
      </c>
      <c r="I382" s="160">
        <v>1423927</v>
      </c>
      <c r="J382" s="163">
        <v>19175</v>
      </c>
      <c r="K382" s="158">
        <v>43494</v>
      </c>
      <c r="L382" s="160" t="s">
        <v>1202</v>
      </c>
      <c r="M382" s="160">
        <v>4615492548</v>
      </c>
      <c r="N382" s="158">
        <v>43516</v>
      </c>
      <c r="O382" s="164">
        <v>3.7094</v>
      </c>
      <c r="P382" s="165">
        <v>19880</v>
      </c>
      <c r="Q382" s="34">
        <f>SUMIF(Allocation[Delivery ID],Allocation[[#This Row],[Delivery ID]],Allocation[Quantity Processed])</f>
        <v>26594</v>
      </c>
      <c r="R382" s="61">
        <f>Allocation[[#This Row],[Total volume used]]/VLOOKUP(Allocation[[#This Row],[Delivery ID]],Delivery[[Delivery ID]:[Quantity delivered]],3,FALSE)</f>
        <v>0.80955859969558597</v>
      </c>
      <c r="S382" s="34">
        <f>Allocation[[#This Row],[Quantity Processed]]/Allocation[[#This Row],[Dilution rate]]</f>
        <v>2562.7986348122868</v>
      </c>
      <c r="T382" s="59">
        <f>SUMIF(Allocation[Delivery ID],Allocation[[#This Row],[Delivery ID]],Allocation[Quantity allocated])/SUMIF(Allocation[Delivery ID],Allocation[[#This Row],[Delivery ID]],Allocation[Volume available (kg)])</f>
        <v>0.95499938164912568</v>
      </c>
      <c r="U382" s="61">
        <f>Allocation[[#This Row],[Total volume used]]/VLOOKUP(Allocation[[#This Row],[Delivery ID]],Delivery[[Delivery ID]:[Quantity delivered]],3,FALSE)</f>
        <v>0.80955859969558597</v>
      </c>
      <c r="V382" s="34">
        <f>VLOOKUP(Allocation[[#This Row],[SAP Contract number]],Shipments[[SAP Contract number]:[Contracted container weight]],2,FALSE)</f>
        <v>19175</v>
      </c>
      <c r="W382" s="34">
        <f>VLOOKUP(Allocation[[#This Row],[SAP Contract number]],Shipments[[SAP Contract number]:[AAA Premium USD]],24,FALSE)</f>
        <v>6763.7822038320437</v>
      </c>
      <c r="X382" s="34">
        <f>VLOOKUP(Allocation[[#This Row],[SAP Contract number]],Shipments[[SAP Contract number]:[RA Premium USD]],25,FALSE)</f>
        <v>2113.6819386975139</v>
      </c>
      <c r="Y382" s="38">
        <f>Allocation[[#This Row],[Quantity Processed]]/Allocation[[#This Row],[Quantity allocated]]</f>
        <v>3.0302663438256658</v>
      </c>
      <c r="Z382" s="34" t="b">
        <f>Allocation[[#This Row],[Quantity allocated]]&lt;=Allocation[[#This Row],[Quantity Processed]]</f>
        <v>1</v>
      </c>
    </row>
    <row r="383" spans="1:26">
      <c r="A383" s="247" t="s">
        <v>467</v>
      </c>
      <c r="B383" s="160" t="s">
        <v>68</v>
      </c>
      <c r="C383" s="249" t="s">
        <v>1057</v>
      </c>
      <c r="D383" s="250">
        <v>1459</v>
      </c>
      <c r="E383" s="160" t="s">
        <v>1186</v>
      </c>
      <c r="F383" s="158">
        <v>43487</v>
      </c>
      <c r="G383" s="162">
        <v>2.93</v>
      </c>
      <c r="H383" s="250">
        <v>477</v>
      </c>
      <c r="I383" s="160">
        <v>1423927</v>
      </c>
      <c r="J383" s="163">
        <v>19175</v>
      </c>
      <c r="K383" s="158">
        <v>43494</v>
      </c>
      <c r="L383" s="160" t="s">
        <v>1202</v>
      </c>
      <c r="M383" s="160">
        <v>4615492548</v>
      </c>
      <c r="N383" s="158">
        <v>43516</v>
      </c>
      <c r="O383" s="164">
        <v>3.7094</v>
      </c>
      <c r="P383" s="165">
        <v>19880</v>
      </c>
      <c r="Q383" s="34">
        <f>SUMIF(Allocation[Delivery ID],Allocation[[#This Row],[Delivery ID]],Allocation[Quantity Processed])</f>
        <v>28250</v>
      </c>
      <c r="R383" s="61">
        <f>Allocation[[#This Row],[Total volume used]]/VLOOKUP(Allocation[[#This Row],[Delivery ID]],Delivery[[Delivery ID]:[Quantity delivered]],3,FALSE)</f>
        <v>1</v>
      </c>
      <c r="S383" s="34">
        <f>Allocation[[#This Row],[Quantity Processed]]/Allocation[[#This Row],[Dilution rate]]</f>
        <v>497.95221843003412</v>
      </c>
      <c r="T383" s="59">
        <f>SUMIF(Allocation[Delivery ID],Allocation[[#This Row],[Delivery ID]],Allocation[Quantity allocated])/SUMIF(Allocation[Delivery ID],Allocation[[#This Row],[Delivery ID]],Allocation[Volume available (kg)])</f>
        <v>0.95077919045508696</v>
      </c>
      <c r="U383" s="61">
        <f>Allocation[[#This Row],[Total volume used]]/VLOOKUP(Allocation[[#This Row],[Delivery ID]],Delivery[[Delivery ID]:[Quantity delivered]],3,FALSE)</f>
        <v>1</v>
      </c>
      <c r="V383" s="34">
        <f>VLOOKUP(Allocation[[#This Row],[SAP Contract number]],Shipments[[SAP Contract number]:[Contracted container weight]],2,FALSE)</f>
        <v>19175</v>
      </c>
      <c r="W383" s="34">
        <f>VLOOKUP(Allocation[[#This Row],[SAP Contract number]],Shipments[[SAP Contract number]:[AAA Premium USD]],24,FALSE)</f>
        <v>6763.7822038320437</v>
      </c>
      <c r="X383" s="34">
        <f>VLOOKUP(Allocation[[#This Row],[SAP Contract number]],Shipments[[SAP Contract number]:[RA Premium USD]],25,FALSE)</f>
        <v>2113.6819386975139</v>
      </c>
      <c r="Y383" s="38">
        <f>Allocation[[#This Row],[Quantity Processed]]/Allocation[[#This Row],[Quantity allocated]]</f>
        <v>3.058700209643606</v>
      </c>
      <c r="Z383" s="34" t="b">
        <f>Allocation[[#This Row],[Quantity allocated]]&lt;=Allocation[[#This Row],[Quantity Processed]]</f>
        <v>1</v>
      </c>
    </row>
    <row r="384" spans="1:26">
      <c r="A384" s="247" t="s">
        <v>467</v>
      </c>
      <c r="B384" s="160" t="s">
        <v>68</v>
      </c>
      <c r="C384" s="249" t="s">
        <v>1058</v>
      </c>
      <c r="D384" s="250">
        <v>7509</v>
      </c>
      <c r="E384" s="160" t="s">
        <v>1186</v>
      </c>
      <c r="F384" s="158">
        <v>43487</v>
      </c>
      <c r="G384" s="162">
        <v>2.93</v>
      </c>
      <c r="H384" s="250">
        <v>2478</v>
      </c>
      <c r="I384" s="160">
        <v>1423927</v>
      </c>
      <c r="J384" s="163">
        <v>19175</v>
      </c>
      <c r="K384" s="158">
        <v>43494</v>
      </c>
      <c r="L384" s="160" t="s">
        <v>1202</v>
      </c>
      <c r="M384" s="160">
        <v>4615492548</v>
      </c>
      <c r="N384" s="158">
        <v>43516</v>
      </c>
      <c r="O384" s="164">
        <v>3.7094</v>
      </c>
      <c r="P384" s="165">
        <v>19880</v>
      </c>
      <c r="Q384" s="34">
        <f>SUMIF(Allocation[Delivery ID],Allocation[[#This Row],[Delivery ID]],Allocation[Quantity Processed])</f>
        <v>26594</v>
      </c>
      <c r="R384" s="61">
        <f>Allocation[[#This Row],[Total volume used]]/VLOOKUP(Allocation[[#This Row],[Delivery ID]],Delivery[[Delivery ID]:[Quantity delivered]],3,FALSE)</f>
        <v>0.81029859841560026</v>
      </c>
      <c r="S384" s="34">
        <f>Allocation[[#This Row],[Quantity Processed]]/Allocation[[#This Row],[Dilution rate]]</f>
        <v>2562.7986348122868</v>
      </c>
      <c r="T384" s="59">
        <f>SUMIF(Allocation[Delivery ID],Allocation[[#This Row],[Delivery ID]],Allocation[Quantity allocated])/SUMIF(Allocation[Delivery ID],Allocation[[#This Row],[Delivery ID]],Allocation[Volume available (kg)])</f>
        <v>0.95499938164912568</v>
      </c>
      <c r="U384" s="61">
        <f>Allocation[[#This Row],[Total volume used]]/VLOOKUP(Allocation[[#This Row],[Delivery ID]],Delivery[[Delivery ID]:[Quantity delivered]],3,FALSE)</f>
        <v>0.81029859841560026</v>
      </c>
      <c r="V384" s="34">
        <f>VLOOKUP(Allocation[[#This Row],[SAP Contract number]],Shipments[[SAP Contract number]:[Contracted container weight]],2,FALSE)</f>
        <v>19175</v>
      </c>
      <c r="W384" s="34">
        <f>VLOOKUP(Allocation[[#This Row],[SAP Contract number]],Shipments[[SAP Contract number]:[AAA Premium USD]],24,FALSE)</f>
        <v>6763.7822038320437</v>
      </c>
      <c r="X384" s="34">
        <f>VLOOKUP(Allocation[[#This Row],[SAP Contract number]],Shipments[[SAP Contract number]:[RA Premium USD]],25,FALSE)</f>
        <v>2113.6819386975139</v>
      </c>
      <c r="Y384" s="38">
        <f>Allocation[[#This Row],[Quantity Processed]]/Allocation[[#This Row],[Quantity allocated]]</f>
        <v>3.0302663438256658</v>
      </c>
      <c r="Z384" s="34" t="b">
        <f>Allocation[[#This Row],[Quantity allocated]]&lt;=Allocation[[#This Row],[Quantity Processed]]</f>
        <v>1</v>
      </c>
    </row>
    <row r="385" spans="1:26">
      <c r="A385" s="247" t="s">
        <v>467</v>
      </c>
      <c r="B385" s="160" t="s">
        <v>68</v>
      </c>
      <c r="C385" s="249" t="s">
        <v>1059</v>
      </c>
      <c r="D385" s="250">
        <v>7509</v>
      </c>
      <c r="E385" s="160" t="s">
        <v>1186</v>
      </c>
      <c r="F385" s="158">
        <v>43487</v>
      </c>
      <c r="G385" s="162">
        <v>2.93</v>
      </c>
      <c r="H385" s="250">
        <v>2478</v>
      </c>
      <c r="I385" s="160">
        <v>1423927</v>
      </c>
      <c r="J385" s="163">
        <v>19175</v>
      </c>
      <c r="K385" s="158">
        <v>43494</v>
      </c>
      <c r="L385" s="160" t="s">
        <v>1202</v>
      </c>
      <c r="M385" s="160">
        <v>4615492548</v>
      </c>
      <c r="N385" s="158">
        <v>43516</v>
      </c>
      <c r="O385" s="164">
        <v>3.7094</v>
      </c>
      <c r="P385" s="165">
        <v>19880</v>
      </c>
      <c r="Q385" s="34">
        <f>SUMIF(Allocation[Delivery ID],Allocation[[#This Row],[Delivery ID]],Allocation[Quantity Processed])</f>
        <v>26594</v>
      </c>
      <c r="R385" s="61">
        <f>Allocation[[#This Row],[Total volume used]]/VLOOKUP(Allocation[[#This Row],[Delivery ID]],Delivery[[Delivery ID]:[Quantity delivered]],3,FALSE)</f>
        <v>0.80931223371880701</v>
      </c>
      <c r="S385" s="34">
        <f>Allocation[[#This Row],[Quantity Processed]]/Allocation[[#This Row],[Dilution rate]]</f>
        <v>2562.7986348122868</v>
      </c>
      <c r="T385" s="59">
        <f>SUMIF(Allocation[Delivery ID],Allocation[[#This Row],[Delivery ID]],Allocation[Quantity allocated])/SUMIF(Allocation[Delivery ID],Allocation[[#This Row],[Delivery ID]],Allocation[Volume available (kg)])</f>
        <v>0.95499938164912568</v>
      </c>
      <c r="U385" s="61">
        <f>Allocation[[#This Row],[Total volume used]]/VLOOKUP(Allocation[[#This Row],[Delivery ID]],Delivery[[Delivery ID]:[Quantity delivered]],3,FALSE)</f>
        <v>0.80931223371880701</v>
      </c>
      <c r="V385" s="34">
        <f>VLOOKUP(Allocation[[#This Row],[SAP Contract number]],Shipments[[SAP Contract number]:[Contracted container weight]],2,FALSE)</f>
        <v>19175</v>
      </c>
      <c r="W385" s="34">
        <f>VLOOKUP(Allocation[[#This Row],[SAP Contract number]],Shipments[[SAP Contract number]:[AAA Premium USD]],24,FALSE)</f>
        <v>6763.7822038320437</v>
      </c>
      <c r="X385" s="34">
        <f>VLOOKUP(Allocation[[#This Row],[SAP Contract number]],Shipments[[SAP Contract number]:[RA Premium USD]],25,FALSE)</f>
        <v>2113.6819386975139</v>
      </c>
      <c r="Y385" s="38">
        <f>Allocation[[#This Row],[Quantity Processed]]/Allocation[[#This Row],[Quantity allocated]]</f>
        <v>3.0302663438256658</v>
      </c>
      <c r="Z385" s="34" t="b">
        <f>Allocation[[#This Row],[Quantity allocated]]&lt;=Allocation[[#This Row],[Quantity Processed]]</f>
        <v>1</v>
      </c>
    </row>
    <row r="386" spans="1:26">
      <c r="A386" s="247" t="s">
        <v>467</v>
      </c>
      <c r="B386" s="160" t="s">
        <v>68</v>
      </c>
      <c r="C386" s="249" t="s">
        <v>1061</v>
      </c>
      <c r="D386" s="250">
        <v>1551</v>
      </c>
      <c r="E386" s="160" t="s">
        <v>1186</v>
      </c>
      <c r="F386" s="158">
        <v>43487</v>
      </c>
      <c r="G386" s="162">
        <v>2.93</v>
      </c>
      <c r="H386" s="250">
        <v>537</v>
      </c>
      <c r="I386" s="160">
        <v>1423927</v>
      </c>
      <c r="J386" s="163">
        <v>19175</v>
      </c>
      <c r="K386" s="158">
        <v>43494</v>
      </c>
      <c r="L386" s="160" t="s">
        <v>1202</v>
      </c>
      <c r="M386" s="160">
        <v>4615492548</v>
      </c>
      <c r="N386" s="158">
        <v>43516</v>
      </c>
      <c r="O386" s="164">
        <v>3.7094</v>
      </c>
      <c r="P386" s="165">
        <v>19880</v>
      </c>
      <c r="Q386" s="34">
        <f>SUMIF(Allocation[Delivery ID],Allocation[[#This Row],[Delivery ID]],Allocation[Quantity Processed])</f>
        <v>29990</v>
      </c>
      <c r="R386" s="61">
        <f>Allocation[[#This Row],[Total volume used]]/VLOOKUP(Allocation[[#This Row],[Delivery ID]],Delivery[[Delivery ID]:[Quantity delivered]],3,FALSE)</f>
        <v>1</v>
      </c>
      <c r="S386" s="34">
        <f>Allocation[[#This Row],[Quantity Processed]]/Allocation[[#This Row],[Dilution rate]]</f>
        <v>529.35153583617739</v>
      </c>
      <c r="T386" s="59">
        <f>SUMIF(Allocation[Delivery ID],Allocation[[#This Row],[Delivery ID]],Allocation[Quantity allocated])/SUMIF(Allocation[Delivery ID],Allocation[[#This Row],[Delivery ID]],Allocation[Volume available (kg)])</f>
        <v>0.95367126934162871</v>
      </c>
      <c r="U386" s="61">
        <f>Allocation[[#This Row],[Total volume used]]/VLOOKUP(Allocation[[#This Row],[Delivery ID]],Delivery[[Delivery ID]:[Quantity delivered]],3,FALSE)</f>
        <v>1</v>
      </c>
      <c r="V386" s="34">
        <f>VLOOKUP(Allocation[[#This Row],[SAP Contract number]],Shipments[[SAP Contract number]:[Contracted container weight]],2,FALSE)</f>
        <v>19175</v>
      </c>
      <c r="W386" s="34">
        <f>VLOOKUP(Allocation[[#This Row],[SAP Contract number]],Shipments[[SAP Contract number]:[AAA Premium USD]],24,FALSE)</f>
        <v>6763.7822038320437</v>
      </c>
      <c r="X386" s="34">
        <f>VLOOKUP(Allocation[[#This Row],[SAP Contract number]],Shipments[[SAP Contract number]:[RA Premium USD]],25,FALSE)</f>
        <v>2113.6819386975139</v>
      </c>
      <c r="Y386" s="38">
        <f>Allocation[[#This Row],[Quantity Processed]]/Allocation[[#This Row],[Quantity allocated]]</f>
        <v>2.8882681564245809</v>
      </c>
      <c r="Z386" s="34" t="b">
        <f>Allocation[[#This Row],[Quantity allocated]]&lt;=Allocation[[#This Row],[Quantity Processed]]</f>
        <v>1</v>
      </c>
    </row>
    <row r="387" spans="1:26">
      <c r="A387" s="247" t="s">
        <v>467</v>
      </c>
      <c r="B387" s="160" t="s">
        <v>68</v>
      </c>
      <c r="C387" s="249" t="s">
        <v>1062</v>
      </c>
      <c r="D387" s="250">
        <v>5580</v>
      </c>
      <c r="E387" s="160" t="s">
        <v>1186</v>
      </c>
      <c r="F387" s="158">
        <v>43487</v>
      </c>
      <c r="G387" s="162">
        <v>2.93</v>
      </c>
      <c r="H387" s="250">
        <v>2511</v>
      </c>
      <c r="I387" s="160">
        <v>1423927</v>
      </c>
      <c r="J387" s="163">
        <v>19175</v>
      </c>
      <c r="K387" s="158">
        <v>43494</v>
      </c>
      <c r="L387" s="160" t="s">
        <v>1202</v>
      </c>
      <c r="M387" s="160">
        <v>4615492548</v>
      </c>
      <c r="N387" s="158">
        <v>43516</v>
      </c>
      <c r="O387" s="164">
        <v>3.7094</v>
      </c>
      <c r="P387" s="165">
        <v>19880</v>
      </c>
      <c r="Q387" s="34">
        <f>SUMIF(Allocation[Delivery ID],Allocation[[#This Row],[Delivery ID]],Allocation[Quantity Processed])</f>
        <v>17572</v>
      </c>
      <c r="R387" s="61">
        <f>Allocation[[#This Row],[Total volume used]]/VLOOKUP(Allocation[[#This Row],[Delivery ID]],Delivery[[Delivery ID]:[Quantity delivered]],3,FALSE)</f>
        <v>0.78097777777777777</v>
      </c>
      <c r="S387" s="34">
        <f>Allocation[[#This Row],[Quantity Processed]]/Allocation[[#This Row],[Dilution rate]]</f>
        <v>1904.4368600682592</v>
      </c>
      <c r="T387" s="59">
        <f>SUMIF(Allocation[Delivery ID],Allocation[[#This Row],[Delivery ID]],Allocation[Quantity allocated])/SUMIF(Allocation[Delivery ID],Allocation[[#This Row],[Delivery ID]],Allocation[Volume available (kg)])</f>
        <v>1.3108909975420102</v>
      </c>
      <c r="U387" s="61">
        <f>Allocation[[#This Row],[Total volume used]]/VLOOKUP(Allocation[[#This Row],[Delivery ID]],Delivery[[Delivery ID]:[Quantity delivered]],3,FALSE)</f>
        <v>0.78097777777777777</v>
      </c>
      <c r="V387" s="34">
        <f>VLOOKUP(Allocation[[#This Row],[SAP Contract number]],Shipments[[SAP Contract number]:[Contracted container weight]],2,FALSE)</f>
        <v>19175</v>
      </c>
      <c r="W387" s="34">
        <f>VLOOKUP(Allocation[[#This Row],[SAP Contract number]],Shipments[[SAP Contract number]:[AAA Premium USD]],24,FALSE)</f>
        <v>6763.7822038320437</v>
      </c>
      <c r="X387" s="34">
        <f>VLOOKUP(Allocation[[#This Row],[SAP Contract number]],Shipments[[SAP Contract number]:[RA Premium USD]],25,FALSE)</f>
        <v>2113.6819386975139</v>
      </c>
      <c r="Y387" s="38">
        <f>Allocation[[#This Row],[Quantity Processed]]/Allocation[[#This Row],[Quantity allocated]]</f>
        <v>2.2222222222222223</v>
      </c>
      <c r="Z387" s="34" t="b">
        <f>Allocation[[#This Row],[Quantity allocated]]&lt;=Allocation[[#This Row],[Quantity Processed]]</f>
        <v>1</v>
      </c>
    </row>
    <row r="388" spans="1:26">
      <c r="A388" s="247" t="s">
        <v>467</v>
      </c>
      <c r="B388" s="160" t="s">
        <v>68</v>
      </c>
      <c r="C388" s="249" t="s">
        <v>1062</v>
      </c>
      <c r="D388" s="250">
        <v>4507</v>
      </c>
      <c r="E388" s="160" t="s">
        <v>1186</v>
      </c>
      <c r="F388" s="158">
        <v>43487</v>
      </c>
      <c r="G388" s="162">
        <v>2.93</v>
      </c>
      <c r="H388" s="250">
        <v>2028</v>
      </c>
      <c r="I388" s="160">
        <v>1423928</v>
      </c>
      <c r="J388" s="163">
        <v>19175</v>
      </c>
      <c r="K388" s="158">
        <v>43494</v>
      </c>
      <c r="L388" s="160" t="s">
        <v>1203</v>
      </c>
      <c r="M388" s="160">
        <v>4615492548</v>
      </c>
      <c r="N388" s="158">
        <v>43516</v>
      </c>
      <c r="O388" s="164">
        <v>3.7094</v>
      </c>
      <c r="P388" s="165">
        <v>19880</v>
      </c>
      <c r="Q388" s="34">
        <f>SUMIF(Allocation[Delivery ID],Allocation[[#This Row],[Delivery ID]],Allocation[Quantity Processed])</f>
        <v>17572</v>
      </c>
      <c r="R388" s="61">
        <f>Allocation[[#This Row],[Total volume used]]/VLOOKUP(Allocation[[#This Row],[Delivery ID]],Delivery[[Delivery ID]:[Quantity delivered]],3,FALSE)</f>
        <v>0.78097777777777777</v>
      </c>
      <c r="S388" s="34">
        <f>Allocation[[#This Row],[Quantity Processed]]/Allocation[[#This Row],[Dilution rate]]</f>
        <v>1538.2252559726962</v>
      </c>
      <c r="T388" s="59">
        <f>SUMIF(Allocation[Delivery ID],Allocation[[#This Row],[Delivery ID]],Allocation[Quantity allocated])/SUMIF(Allocation[Delivery ID],Allocation[[#This Row],[Delivery ID]],Allocation[Volume available (kg)])</f>
        <v>1.3108909975420102</v>
      </c>
      <c r="U388" s="61">
        <f>Allocation[[#This Row],[Total volume used]]/VLOOKUP(Allocation[[#This Row],[Delivery ID]],Delivery[[Delivery ID]:[Quantity delivered]],3,FALSE)</f>
        <v>0.78097777777777777</v>
      </c>
      <c r="V388" s="34">
        <f>VLOOKUP(Allocation[[#This Row],[SAP Contract number]],Shipments[[SAP Contract number]:[Contracted container weight]],2,FALSE)</f>
        <v>19175</v>
      </c>
      <c r="W388" s="34">
        <f>VLOOKUP(Allocation[[#This Row],[SAP Contract number]],Shipments[[SAP Contract number]:[AAA Premium USD]],24,FALSE)</f>
        <v>6763.7822038320437</v>
      </c>
      <c r="X388" s="34">
        <f>VLOOKUP(Allocation[[#This Row],[SAP Contract number]],Shipments[[SAP Contract number]:[RA Premium USD]],25,FALSE)</f>
        <v>2113.6819386975139</v>
      </c>
      <c r="Y388" s="38">
        <f>Allocation[[#This Row],[Quantity Processed]]/Allocation[[#This Row],[Quantity allocated]]</f>
        <v>2.222386587771203</v>
      </c>
      <c r="Z388" s="34" t="b">
        <f>Allocation[[#This Row],[Quantity allocated]]&lt;=Allocation[[#This Row],[Quantity Processed]]</f>
        <v>1</v>
      </c>
    </row>
    <row r="389" spans="1:26">
      <c r="A389" s="247" t="s">
        <v>467</v>
      </c>
      <c r="B389" s="160" t="s">
        <v>68</v>
      </c>
      <c r="C389" s="249" t="s">
        <v>1065</v>
      </c>
      <c r="D389" s="250">
        <v>4173</v>
      </c>
      <c r="E389" s="160" t="s">
        <v>1186</v>
      </c>
      <c r="F389" s="158">
        <v>43487</v>
      </c>
      <c r="G389" s="162">
        <v>2.93</v>
      </c>
      <c r="H389" s="250">
        <v>1711</v>
      </c>
      <c r="I389" s="160">
        <v>1423928</v>
      </c>
      <c r="J389" s="163">
        <v>19175</v>
      </c>
      <c r="K389" s="158">
        <v>43494</v>
      </c>
      <c r="L389" s="160" t="s">
        <v>1203</v>
      </c>
      <c r="M389" s="160">
        <v>4615492548</v>
      </c>
      <c r="N389" s="158">
        <v>43516</v>
      </c>
      <c r="O389" s="164">
        <v>3.7094</v>
      </c>
      <c r="P389" s="165">
        <v>19880</v>
      </c>
      <c r="Q389" s="34">
        <f>SUMIF(Allocation[Delivery ID],Allocation[[#This Row],[Delivery ID]],Allocation[Quantity Processed])</f>
        <v>8479</v>
      </c>
      <c r="R389" s="61">
        <f>Allocation[[#This Row],[Total volume used]]/VLOOKUP(Allocation[[#This Row],[Delivery ID]],Delivery[[Delivery ID]:[Quantity delivered]],3,FALSE)</f>
        <v>1</v>
      </c>
      <c r="S389" s="34">
        <f>Allocation[[#This Row],[Quantity Processed]]/Allocation[[#This Row],[Dilution rate]]</f>
        <v>1424.2320819112626</v>
      </c>
      <c r="T389" s="59">
        <f>SUMIF(Allocation[Delivery ID],Allocation[[#This Row],[Delivery ID]],Allocation[Quantity allocated])/SUMIF(Allocation[Delivery ID],Allocation[[#This Row],[Delivery ID]],Allocation[Volume available (kg)])</f>
        <v>1.1968583858483142</v>
      </c>
      <c r="U389" s="61">
        <f>Allocation[[#This Row],[Total volume used]]/VLOOKUP(Allocation[[#This Row],[Delivery ID]],Delivery[[Delivery ID]:[Quantity delivered]],3,FALSE)</f>
        <v>1</v>
      </c>
      <c r="V389" s="34">
        <f>VLOOKUP(Allocation[[#This Row],[SAP Contract number]],Shipments[[SAP Contract number]:[Contracted container weight]],2,FALSE)</f>
        <v>19175</v>
      </c>
      <c r="W389" s="34">
        <f>VLOOKUP(Allocation[[#This Row],[SAP Contract number]],Shipments[[SAP Contract number]:[AAA Premium USD]],24,FALSE)</f>
        <v>6763.7822038320437</v>
      </c>
      <c r="X389" s="34">
        <f>VLOOKUP(Allocation[[#This Row],[SAP Contract number]],Shipments[[SAP Contract number]:[RA Premium USD]],25,FALSE)</f>
        <v>2113.6819386975139</v>
      </c>
      <c r="Y389" s="38">
        <f>Allocation[[#This Row],[Quantity Processed]]/Allocation[[#This Row],[Quantity allocated]]</f>
        <v>2.4389246054938631</v>
      </c>
      <c r="Z389" s="34" t="b">
        <f>Allocation[[#This Row],[Quantity allocated]]&lt;=Allocation[[#This Row],[Quantity Processed]]</f>
        <v>1</v>
      </c>
    </row>
    <row r="390" spans="1:26">
      <c r="A390" s="247" t="s">
        <v>467</v>
      </c>
      <c r="B390" s="160" t="s">
        <v>68</v>
      </c>
      <c r="C390" s="249" t="s">
        <v>1068</v>
      </c>
      <c r="D390" s="250">
        <v>1541</v>
      </c>
      <c r="E390" s="160" t="s">
        <v>1186</v>
      </c>
      <c r="F390" s="158">
        <v>43487</v>
      </c>
      <c r="G390" s="162">
        <v>2.93</v>
      </c>
      <c r="H390" s="250">
        <v>537</v>
      </c>
      <c r="I390" s="160">
        <v>1423928</v>
      </c>
      <c r="J390" s="163">
        <v>19175</v>
      </c>
      <c r="K390" s="158">
        <v>43494</v>
      </c>
      <c r="L390" s="160" t="s">
        <v>1203</v>
      </c>
      <c r="M390" s="160">
        <v>4615492548</v>
      </c>
      <c r="N390" s="158">
        <v>43516</v>
      </c>
      <c r="O390" s="164">
        <v>3.7094</v>
      </c>
      <c r="P390" s="165">
        <v>19880</v>
      </c>
      <c r="Q390" s="34">
        <f>SUMIF(Allocation[Delivery ID],Allocation[[#This Row],[Delivery ID]],Allocation[Quantity Processed])</f>
        <v>29980</v>
      </c>
      <c r="R390" s="61">
        <f>Allocation[[#This Row],[Total volume used]]/VLOOKUP(Allocation[[#This Row],[Delivery ID]],Delivery[[Delivery ID]:[Quantity delivered]],3,FALSE)</f>
        <v>1</v>
      </c>
      <c r="S390" s="34">
        <f>Allocation[[#This Row],[Quantity Processed]]/Allocation[[#This Row],[Dilution rate]]</f>
        <v>525.93856655290097</v>
      </c>
      <c r="T390" s="59">
        <f>SUMIF(Allocation[Delivery ID],Allocation[[#This Row],[Delivery ID]],Allocation[Quantity allocated])/SUMIF(Allocation[Delivery ID],Allocation[[#This Row],[Delivery ID]],Allocation[Volume available (kg)])</f>
        <v>0.95398421796549515</v>
      </c>
      <c r="U390" s="61">
        <f>Allocation[[#This Row],[Total volume used]]/VLOOKUP(Allocation[[#This Row],[Delivery ID]],Delivery[[Delivery ID]:[Quantity delivered]],3,FALSE)</f>
        <v>1</v>
      </c>
      <c r="V390" s="34">
        <f>VLOOKUP(Allocation[[#This Row],[SAP Contract number]],Shipments[[SAP Contract number]:[Contracted container weight]],2,FALSE)</f>
        <v>19175</v>
      </c>
      <c r="W390" s="34">
        <f>VLOOKUP(Allocation[[#This Row],[SAP Contract number]],Shipments[[SAP Contract number]:[AAA Premium USD]],24,FALSE)</f>
        <v>6763.7822038320437</v>
      </c>
      <c r="X390" s="34">
        <f>VLOOKUP(Allocation[[#This Row],[SAP Contract number]],Shipments[[SAP Contract number]:[RA Premium USD]],25,FALSE)</f>
        <v>2113.6819386975139</v>
      </c>
      <c r="Y390" s="38">
        <f>Allocation[[#This Row],[Quantity Processed]]/Allocation[[#This Row],[Quantity allocated]]</f>
        <v>2.8696461824953445</v>
      </c>
      <c r="Z390" s="34" t="b">
        <f>Allocation[[#This Row],[Quantity allocated]]&lt;=Allocation[[#This Row],[Quantity Processed]]</f>
        <v>1</v>
      </c>
    </row>
    <row r="391" spans="1:26">
      <c r="A391" s="247" t="s">
        <v>467</v>
      </c>
      <c r="B391" s="160" t="s">
        <v>68</v>
      </c>
      <c r="C391" s="249" t="s">
        <v>1069</v>
      </c>
      <c r="D391" s="250">
        <v>1611</v>
      </c>
      <c r="E391" s="160" t="s">
        <v>1186</v>
      </c>
      <c r="F391" s="158">
        <v>43487</v>
      </c>
      <c r="G391" s="162">
        <v>2.93</v>
      </c>
      <c r="H391" s="250">
        <v>537</v>
      </c>
      <c r="I391" s="160">
        <v>1423928</v>
      </c>
      <c r="J391" s="163">
        <v>19175</v>
      </c>
      <c r="K391" s="158">
        <v>43494</v>
      </c>
      <c r="L391" s="160" t="s">
        <v>1203</v>
      </c>
      <c r="M391" s="160">
        <v>4615492548</v>
      </c>
      <c r="N391" s="158">
        <v>43516</v>
      </c>
      <c r="O391" s="164">
        <v>3.7094</v>
      </c>
      <c r="P391" s="165">
        <v>19880</v>
      </c>
      <c r="Q391" s="34">
        <f>SUMIF(Allocation[Delivery ID],Allocation[[#This Row],[Delivery ID]],Allocation[Quantity Processed])</f>
        <v>30620</v>
      </c>
      <c r="R391" s="61">
        <f>Allocation[[#This Row],[Total volume used]]/VLOOKUP(Allocation[[#This Row],[Delivery ID]],Delivery[[Delivery ID]:[Quantity delivered]],3,FALSE)</f>
        <v>1</v>
      </c>
      <c r="S391" s="34">
        <f>Allocation[[#This Row],[Quantity Processed]]/Allocation[[#This Row],[Dilution rate]]</f>
        <v>549.82935153583617</v>
      </c>
      <c r="T391" s="59">
        <f>SUMIF(Allocation[Delivery ID],Allocation[[#This Row],[Delivery ID]],Allocation[Quantity allocated])/SUMIF(Allocation[Delivery ID],Allocation[[#This Row],[Delivery ID]],Allocation[Volume available (kg)])</f>
        <v>0.95176242148108925</v>
      </c>
      <c r="U391" s="61">
        <f>Allocation[[#This Row],[Total volume used]]/VLOOKUP(Allocation[[#This Row],[Delivery ID]],Delivery[[Delivery ID]:[Quantity delivered]],3,FALSE)</f>
        <v>1</v>
      </c>
      <c r="V391" s="34">
        <f>VLOOKUP(Allocation[[#This Row],[SAP Contract number]],Shipments[[SAP Contract number]:[Contracted container weight]],2,FALSE)</f>
        <v>19175</v>
      </c>
      <c r="W391" s="34">
        <f>VLOOKUP(Allocation[[#This Row],[SAP Contract number]],Shipments[[SAP Contract number]:[AAA Premium USD]],24,FALSE)</f>
        <v>6763.7822038320437</v>
      </c>
      <c r="X391" s="34">
        <f>VLOOKUP(Allocation[[#This Row],[SAP Contract number]],Shipments[[SAP Contract number]:[RA Premium USD]],25,FALSE)</f>
        <v>2113.6819386975139</v>
      </c>
      <c r="Y391" s="38">
        <f>Allocation[[#This Row],[Quantity Processed]]/Allocation[[#This Row],[Quantity allocated]]</f>
        <v>3</v>
      </c>
      <c r="Z391" s="34" t="b">
        <f>Allocation[[#This Row],[Quantity allocated]]&lt;=Allocation[[#This Row],[Quantity Processed]]</f>
        <v>1</v>
      </c>
    </row>
    <row r="392" spans="1:26">
      <c r="A392" s="247" t="s">
        <v>467</v>
      </c>
      <c r="B392" s="160" t="s">
        <v>68</v>
      </c>
      <c r="C392" s="249" t="s">
        <v>1070</v>
      </c>
      <c r="D392" s="250">
        <v>7524</v>
      </c>
      <c r="E392" s="160" t="s">
        <v>1186</v>
      </c>
      <c r="F392" s="158">
        <v>43487</v>
      </c>
      <c r="G392" s="162">
        <v>2.93</v>
      </c>
      <c r="H392" s="250">
        <v>2483</v>
      </c>
      <c r="I392" s="160">
        <v>1423928</v>
      </c>
      <c r="J392" s="163">
        <v>19175</v>
      </c>
      <c r="K392" s="158">
        <v>43494</v>
      </c>
      <c r="L392" s="160" t="s">
        <v>1203</v>
      </c>
      <c r="M392" s="160">
        <v>4615492548</v>
      </c>
      <c r="N392" s="158">
        <v>43516</v>
      </c>
      <c r="O392" s="164">
        <v>3.7094</v>
      </c>
      <c r="P392" s="165">
        <v>19880</v>
      </c>
      <c r="Q392" s="34">
        <f>SUMIF(Allocation[Delivery ID],Allocation[[#This Row],[Delivery ID]],Allocation[Quantity Processed])</f>
        <v>26642</v>
      </c>
      <c r="R392" s="61">
        <f>Allocation[[#This Row],[Total volume used]]/VLOOKUP(Allocation[[#This Row],[Delivery ID]],Delivery[[Delivery ID]:[Quantity delivered]],3,FALSE)</f>
        <v>0.81027980535279809</v>
      </c>
      <c r="S392" s="34">
        <f>Allocation[[#This Row],[Quantity Processed]]/Allocation[[#This Row],[Dilution rate]]</f>
        <v>2567.9180887372013</v>
      </c>
      <c r="T392" s="59">
        <f>SUMIF(Allocation[Delivery ID],Allocation[[#This Row],[Delivery ID]],Allocation[Quantity allocated])/SUMIF(Allocation[Delivery ID],Allocation[[#This Row],[Delivery ID]],Allocation[Volume available (kg)])</f>
        <v>0.9550176546626975</v>
      </c>
      <c r="U392" s="61">
        <f>Allocation[[#This Row],[Total volume used]]/VLOOKUP(Allocation[[#This Row],[Delivery ID]],Delivery[[Delivery ID]:[Quantity delivered]],3,FALSE)</f>
        <v>0.81027980535279809</v>
      </c>
      <c r="V392" s="34">
        <f>VLOOKUP(Allocation[[#This Row],[SAP Contract number]],Shipments[[SAP Contract number]:[Contracted container weight]],2,FALSE)</f>
        <v>19175</v>
      </c>
      <c r="W392" s="34">
        <f>VLOOKUP(Allocation[[#This Row],[SAP Contract number]],Shipments[[SAP Contract number]:[AAA Premium USD]],24,FALSE)</f>
        <v>6763.7822038320437</v>
      </c>
      <c r="X392" s="34">
        <f>VLOOKUP(Allocation[[#This Row],[SAP Contract number]],Shipments[[SAP Contract number]:[RA Premium USD]],25,FALSE)</f>
        <v>2113.6819386975139</v>
      </c>
      <c r="Y392" s="38">
        <f>Allocation[[#This Row],[Quantity Processed]]/Allocation[[#This Row],[Quantity allocated]]</f>
        <v>3.0302053966975433</v>
      </c>
      <c r="Z392" s="34" t="b">
        <f>Allocation[[#This Row],[Quantity allocated]]&lt;=Allocation[[#This Row],[Quantity Processed]]</f>
        <v>1</v>
      </c>
    </row>
    <row r="393" spans="1:26">
      <c r="A393" s="247" t="s">
        <v>467</v>
      </c>
      <c r="B393" s="160" t="s">
        <v>68</v>
      </c>
      <c r="C393" s="249" t="s">
        <v>1080</v>
      </c>
      <c r="D393" s="250">
        <v>18983</v>
      </c>
      <c r="E393" s="160" t="s">
        <v>1186</v>
      </c>
      <c r="F393" s="158">
        <v>43487</v>
      </c>
      <c r="G393" s="162">
        <v>2.93</v>
      </c>
      <c r="H393" s="250">
        <v>5724</v>
      </c>
      <c r="I393" s="160">
        <v>1423928</v>
      </c>
      <c r="J393" s="163">
        <v>19175</v>
      </c>
      <c r="K393" s="158">
        <v>43494</v>
      </c>
      <c r="L393" s="160" t="s">
        <v>1203</v>
      </c>
      <c r="M393" s="160">
        <v>4615492548</v>
      </c>
      <c r="N393" s="158">
        <v>43516</v>
      </c>
      <c r="O393" s="164">
        <v>3.7094</v>
      </c>
      <c r="P393" s="165">
        <v>19880</v>
      </c>
      <c r="Q393" s="34">
        <f>SUMIF(Allocation[Delivery ID],Allocation[[#This Row],[Delivery ID]],Allocation[Quantity Processed])</f>
        <v>30030</v>
      </c>
      <c r="R393" s="61">
        <f>Allocation[[#This Row],[Total volume used]]/VLOOKUP(Allocation[[#This Row],[Delivery ID]],Delivery[[Delivery ID]:[Quantity delivered]],3,FALSE)</f>
        <v>1</v>
      </c>
      <c r="S393" s="34">
        <f>Allocation[[#This Row],[Quantity Processed]]/Allocation[[#This Row],[Dilution rate]]</f>
        <v>6478.8395904436857</v>
      </c>
      <c r="T393" s="59">
        <f>SUMIF(Allocation[Delivery ID],Allocation[[#This Row],[Delivery ID]],Allocation[Quantity allocated])/SUMIF(Allocation[Delivery ID],Allocation[[#This Row],[Delivery ID]],Allocation[Volume available (kg)])</f>
        <v>0.87623339259812449</v>
      </c>
      <c r="U393" s="61">
        <f>Allocation[[#This Row],[Total volume used]]/VLOOKUP(Allocation[[#This Row],[Delivery ID]],Delivery[[Delivery ID]:[Quantity delivered]],3,FALSE)</f>
        <v>1</v>
      </c>
      <c r="V393" s="34">
        <f>VLOOKUP(Allocation[[#This Row],[SAP Contract number]],Shipments[[SAP Contract number]:[Contracted container weight]],2,FALSE)</f>
        <v>19175</v>
      </c>
      <c r="W393" s="34">
        <f>VLOOKUP(Allocation[[#This Row],[SAP Contract number]],Shipments[[SAP Contract number]:[AAA Premium USD]],24,FALSE)</f>
        <v>6763.7822038320437</v>
      </c>
      <c r="X393" s="34">
        <f>VLOOKUP(Allocation[[#This Row],[SAP Contract number]],Shipments[[SAP Contract number]:[RA Premium USD]],25,FALSE)</f>
        <v>2113.6819386975139</v>
      </c>
      <c r="Y393" s="38">
        <f>Allocation[[#This Row],[Quantity Processed]]/Allocation[[#This Row],[Quantity allocated]]</f>
        <v>3.31638714185884</v>
      </c>
      <c r="Z393" s="34" t="b">
        <f>Allocation[[#This Row],[Quantity allocated]]&lt;=Allocation[[#This Row],[Quantity Processed]]</f>
        <v>1</v>
      </c>
    </row>
    <row r="394" spans="1:26">
      <c r="A394" s="247" t="s">
        <v>467</v>
      </c>
      <c r="B394" s="160" t="s">
        <v>68</v>
      </c>
      <c r="C394" s="249" t="s">
        <v>1093</v>
      </c>
      <c r="D394" s="250">
        <v>9964</v>
      </c>
      <c r="E394" s="160" t="s">
        <v>1186</v>
      </c>
      <c r="F394" s="158">
        <v>43487</v>
      </c>
      <c r="G394" s="162">
        <v>2.93</v>
      </c>
      <c r="H394" s="250">
        <v>2790</v>
      </c>
      <c r="I394" s="160">
        <v>1423928</v>
      </c>
      <c r="J394" s="163">
        <v>19175</v>
      </c>
      <c r="K394" s="158">
        <v>43494</v>
      </c>
      <c r="L394" s="160" t="s">
        <v>1203</v>
      </c>
      <c r="M394" s="160">
        <v>4615492548</v>
      </c>
      <c r="N394" s="158">
        <v>43516</v>
      </c>
      <c r="O394" s="164">
        <v>3.7094</v>
      </c>
      <c r="P394" s="165">
        <v>19880</v>
      </c>
      <c r="Q394" s="34">
        <f>SUMIF(Allocation[Delivery ID],Allocation[[#This Row],[Delivery ID]],Allocation[Quantity Processed])</f>
        <v>15754</v>
      </c>
      <c r="R394" s="61">
        <f>Allocation[[#This Row],[Total volume used]]/VLOOKUP(Allocation[[#This Row],[Delivery ID]],Delivery[[Delivery ID]:[Quantity delivered]],3,FALSE)</f>
        <v>0.99987306422949984</v>
      </c>
      <c r="S394" s="34">
        <f>Allocation[[#This Row],[Quantity Processed]]/Allocation[[#This Row],[Dilution rate]]</f>
        <v>3400.6825938566553</v>
      </c>
      <c r="T394" s="59">
        <f>SUMIF(Allocation[Delivery ID],Allocation[[#This Row],[Delivery ID]],Allocation[Quantity allocated])/SUMIF(Allocation[Delivery ID],Allocation[[#This Row],[Delivery ID]],Allocation[Volume available (kg)])</f>
        <v>0.83661374187436022</v>
      </c>
      <c r="U394" s="61">
        <f>Allocation[[#This Row],[Total volume used]]/VLOOKUP(Allocation[[#This Row],[Delivery ID]],Delivery[[Delivery ID]:[Quantity delivered]],3,FALSE)</f>
        <v>0.99987306422949984</v>
      </c>
      <c r="V394" s="34">
        <f>VLOOKUP(Allocation[[#This Row],[SAP Contract number]],Shipments[[SAP Contract number]:[Contracted container weight]],2,FALSE)</f>
        <v>19175</v>
      </c>
      <c r="W394" s="34">
        <f>VLOOKUP(Allocation[[#This Row],[SAP Contract number]],Shipments[[SAP Contract number]:[AAA Premium USD]],24,FALSE)</f>
        <v>6763.7822038320437</v>
      </c>
      <c r="X394" s="34">
        <f>VLOOKUP(Allocation[[#This Row],[SAP Contract number]],Shipments[[SAP Contract number]:[RA Premium USD]],25,FALSE)</f>
        <v>2113.6819386975139</v>
      </c>
      <c r="Y394" s="38">
        <f>Allocation[[#This Row],[Quantity Processed]]/Allocation[[#This Row],[Quantity allocated]]</f>
        <v>3.5713261648745518</v>
      </c>
      <c r="Z394" s="34" t="b">
        <f>Allocation[[#This Row],[Quantity allocated]]&lt;=Allocation[[#This Row],[Quantity Processed]]</f>
        <v>1</v>
      </c>
    </row>
    <row r="395" spans="1:26">
      <c r="A395" s="247" t="s">
        <v>467</v>
      </c>
      <c r="B395" s="160" t="s">
        <v>68</v>
      </c>
      <c r="C395" s="249" t="s">
        <v>1095</v>
      </c>
      <c r="D395" s="250">
        <v>9054</v>
      </c>
      <c r="E395" s="160" t="s">
        <v>1186</v>
      </c>
      <c r="F395" s="158">
        <v>43487</v>
      </c>
      <c r="G395" s="162">
        <v>2.93</v>
      </c>
      <c r="H395" s="250">
        <v>2535</v>
      </c>
      <c r="I395" s="160">
        <v>1423928</v>
      </c>
      <c r="J395" s="163">
        <v>19175</v>
      </c>
      <c r="K395" s="158">
        <v>43494</v>
      </c>
      <c r="L395" s="160" t="s">
        <v>1203</v>
      </c>
      <c r="M395" s="160">
        <v>4615492548</v>
      </c>
      <c r="N395" s="158">
        <v>43516</v>
      </c>
      <c r="O395" s="164">
        <v>3.7094</v>
      </c>
      <c r="P395" s="165">
        <v>19880</v>
      </c>
      <c r="Q395" s="34">
        <f>SUMIF(Allocation[Delivery ID],Allocation[[#This Row],[Delivery ID]],Allocation[Quantity Processed])</f>
        <v>14314</v>
      </c>
      <c r="R395" s="61">
        <f>Allocation[[#This Row],[Total volume used]]/VLOOKUP(Allocation[[#This Row],[Delivery ID]],Delivery[[Delivery ID]:[Quantity delivered]],3,FALSE)</f>
        <v>1</v>
      </c>
      <c r="S395" s="34">
        <f>Allocation[[#This Row],[Quantity Processed]]/Allocation[[#This Row],[Dilution rate]]</f>
        <v>3090.1023890784982</v>
      </c>
      <c r="T395" s="59">
        <f>SUMIF(Allocation[Delivery ID],Allocation[[#This Row],[Delivery ID]],Allocation[Quantity allocated])/SUMIF(Allocation[Delivery ID],Allocation[[#This Row],[Delivery ID]],Allocation[Volume available (kg)])</f>
        <v>0.83657221531783688</v>
      </c>
      <c r="U395" s="61">
        <f>Allocation[[#This Row],[Total volume used]]/VLOOKUP(Allocation[[#This Row],[Delivery ID]],Delivery[[Delivery ID]:[Quantity delivered]],3,FALSE)</f>
        <v>1</v>
      </c>
      <c r="V395" s="34">
        <f>VLOOKUP(Allocation[[#This Row],[SAP Contract number]],Shipments[[SAP Contract number]:[Contracted container weight]],2,FALSE)</f>
        <v>19175</v>
      </c>
      <c r="W395" s="34">
        <f>VLOOKUP(Allocation[[#This Row],[SAP Contract number]],Shipments[[SAP Contract number]:[AAA Premium USD]],24,FALSE)</f>
        <v>6763.7822038320437</v>
      </c>
      <c r="X395" s="34">
        <f>VLOOKUP(Allocation[[#This Row],[SAP Contract number]],Shipments[[SAP Contract number]:[RA Premium USD]],25,FALSE)</f>
        <v>2113.6819386975139</v>
      </c>
      <c r="Y395" s="38">
        <f>Allocation[[#This Row],[Quantity Processed]]/Allocation[[#This Row],[Quantity allocated]]</f>
        <v>3.5715976331360948</v>
      </c>
      <c r="Z395" s="34" t="b">
        <f>Allocation[[#This Row],[Quantity allocated]]&lt;=Allocation[[#This Row],[Quantity Processed]]</f>
        <v>1</v>
      </c>
    </row>
    <row r="396" spans="1:26">
      <c r="A396" s="247" t="s">
        <v>467</v>
      </c>
      <c r="B396" s="160" t="s">
        <v>68</v>
      </c>
      <c r="C396" s="249" t="s">
        <v>1096</v>
      </c>
      <c r="D396" s="250">
        <v>2957</v>
      </c>
      <c r="E396" s="160" t="s">
        <v>1186</v>
      </c>
      <c r="F396" s="158">
        <v>43487</v>
      </c>
      <c r="G396" s="162">
        <v>2.93</v>
      </c>
      <c r="H396" s="250">
        <v>830</v>
      </c>
      <c r="I396" s="160">
        <v>1423928</v>
      </c>
      <c r="J396" s="163">
        <v>19175</v>
      </c>
      <c r="K396" s="158">
        <v>43494</v>
      </c>
      <c r="L396" s="160" t="s">
        <v>1203</v>
      </c>
      <c r="M396" s="160">
        <v>4615492548</v>
      </c>
      <c r="N396" s="158">
        <v>43516</v>
      </c>
      <c r="O396" s="164">
        <v>3.7094</v>
      </c>
      <c r="P396" s="165">
        <v>19880</v>
      </c>
      <c r="Q396" s="34">
        <f>SUMIF(Allocation[Delivery ID],Allocation[[#This Row],[Delivery ID]],Allocation[Quantity Processed])</f>
        <v>30560</v>
      </c>
      <c r="R396" s="61">
        <f>Allocation[[#This Row],[Total volume used]]/VLOOKUP(Allocation[[#This Row],[Delivery ID]],Delivery[[Delivery ID]:[Quantity delivered]],3,FALSE)</f>
        <v>1</v>
      </c>
      <c r="S396" s="34">
        <f>Allocation[[#This Row],[Quantity Processed]]/Allocation[[#This Row],[Dilution rate]]</f>
        <v>1009.2150170648464</v>
      </c>
      <c r="T396" s="59">
        <f>SUMIF(Allocation[Delivery ID],Allocation[[#This Row],[Delivery ID]],Allocation[Quantity allocated])/SUMIF(Allocation[Delivery ID],Allocation[[#This Row],[Delivery ID]],Allocation[Volume available (kg)])</f>
        <v>0.83788430502234557</v>
      </c>
      <c r="U396" s="61">
        <f>Allocation[[#This Row],[Total volume used]]/VLOOKUP(Allocation[[#This Row],[Delivery ID]],Delivery[[Delivery ID]:[Quantity delivered]],3,FALSE)</f>
        <v>1</v>
      </c>
      <c r="V396" s="34">
        <f>VLOOKUP(Allocation[[#This Row],[SAP Contract number]],Shipments[[SAP Contract number]:[Contracted container weight]],2,FALSE)</f>
        <v>19175</v>
      </c>
      <c r="W396" s="34">
        <f>VLOOKUP(Allocation[[#This Row],[SAP Contract number]],Shipments[[SAP Contract number]:[AAA Premium USD]],24,FALSE)</f>
        <v>6763.7822038320437</v>
      </c>
      <c r="X396" s="34">
        <f>VLOOKUP(Allocation[[#This Row],[SAP Contract number]],Shipments[[SAP Contract number]:[RA Premium USD]],25,FALSE)</f>
        <v>2113.6819386975139</v>
      </c>
      <c r="Y396" s="38">
        <f>Allocation[[#This Row],[Quantity Processed]]/Allocation[[#This Row],[Quantity allocated]]</f>
        <v>3.5626506024096387</v>
      </c>
      <c r="Z396" s="34" t="b">
        <f>Allocation[[#This Row],[Quantity allocated]]&lt;=Allocation[[#This Row],[Quantity Processed]]</f>
        <v>1</v>
      </c>
    </row>
    <row r="397" spans="1:26">
      <c r="A397" s="247" t="s">
        <v>467</v>
      </c>
      <c r="B397" s="160" t="s">
        <v>68</v>
      </c>
      <c r="C397" s="249" t="s">
        <v>1096</v>
      </c>
      <c r="D397" s="250">
        <v>16356</v>
      </c>
      <c r="E397" s="160" t="s">
        <v>1186</v>
      </c>
      <c r="F397" s="158">
        <v>43487</v>
      </c>
      <c r="G397" s="162">
        <v>2.93</v>
      </c>
      <c r="H397" s="250">
        <v>4591</v>
      </c>
      <c r="I397" s="160">
        <v>1423929</v>
      </c>
      <c r="J397" s="163">
        <v>19175</v>
      </c>
      <c r="K397" s="158">
        <v>43494</v>
      </c>
      <c r="L397" s="160" t="s">
        <v>1204</v>
      </c>
      <c r="M397" s="160">
        <v>4615492548</v>
      </c>
      <c r="N397" s="158">
        <v>43516</v>
      </c>
      <c r="O397" s="164">
        <v>3.7094</v>
      </c>
      <c r="P397" s="165">
        <v>19880</v>
      </c>
      <c r="Q397" s="34">
        <f>SUMIF(Allocation[Delivery ID],Allocation[[#This Row],[Delivery ID]],Allocation[Quantity Processed])</f>
        <v>30560</v>
      </c>
      <c r="R397" s="61">
        <f>Allocation[[#This Row],[Total volume used]]/VLOOKUP(Allocation[[#This Row],[Delivery ID]],Delivery[[Delivery ID]:[Quantity delivered]],3,FALSE)</f>
        <v>1</v>
      </c>
      <c r="S397" s="34">
        <f>Allocation[[#This Row],[Quantity Processed]]/Allocation[[#This Row],[Dilution rate]]</f>
        <v>5582.2525597269623</v>
      </c>
      <c r="T397" s="59">
        <f>SUMIF(Allocation[Delivery ID],Allocation[[#This Row],[Delivery ID]],Allocation[Quantity allocated])/SUMIF(Allocation[Delivery ID],Allocation[[#This Row],[Delivery ID]],Allocation[Volume available (kg)])</f>
        <v>0.83788430502234557</v>
      </c>
      <c r="U397" s="61">
        <f>Allocation[[#This Row],[Total volume used]]/VLOOKUP(Allocation[[#This Row],[Delivery ID]],Delivery[[Delivery ID]:[Quantity delivered]],3,FALSE)</f>
        <v>1</v>
      </c>
      <c r="V397" s="34">
        <f>VLOOKUP(Allocation[[#This Row],[SAP Contract number]],Shipments[[SAP Contract number]:[Contracted container weight]],2,FALSE)</f>
        <v>19175</v>
      </c>
      <c r="W397" s="34">
        <f>VLOOKUP(Allocation[[#This Row],[SAP Contract number]],Shipments[[SAP Contract number]:[AAA Premium USD]],24,FALSE)</f>
        <v>6763.7822038320437</v>
      </c>
      <c r="X397" s="34">
        <f>VLOOKUP(Allocation[[#This Row],[SAP Contract number]],Shipments[[SAP Contract number]:[RA Premium USD]],25,FALSE)</f>
        <v>2113.6819386975139</v>
      </c>
      <c r="Y397" s="38">
        <f>Allocation[[#This Row],[Quantity Processed]]/Allocation[[#This Row],[Quantity allocated]]</f>
        <v>3.5626225223262904</v>
      </c>
      <c r="Z397" s="34" t="b">
        <f>Allocation[[#This Row],[Quantity allocated]]&lt;=Allocation[[#This Row],[Quantity Processed]]</f>
        <v>1</v>
      </c>
    </row>
    <row r="398" spans="1:26">
      <c r="A398" s="247" t="s">
        <v>467</v>
      </c>
      <c r="B398" s="160" t="s">
        <v>68</v>
      </c>
      <c r="C398" s="249" t="s">
        <v>1097</v>
      </c>
      <c r="D398" s="250">
        <v>18997</v>
      </c>
      <c r="E398" s="160" t="s">
        <v>1186</v>
      </c>
      <c r="F398" s="158">
        <v>43487</v>
      </c>
      <c r="G398" s="162">
        <v>2.93</v>
      </c>
      <c r="H398" s="250">
        <v>5325</v>
      </c>
      <c r="I398" s="160">
        <v>1423929</v>
      </c>
      <c r="J398" s="163">
        <v>19175</v>
      </c>
      <c r="K398" s="158">
        <v>43494</v>
      </c>
      <c r="L398" s="160" t="s">
        <v>1204</v>
      </c>
      <c r="M398" s="160">
        <v>4615492548</v>
      </c>
      <c r="N398" s="158">
        <v>43516</v>
      </c>
      <c r="O398" s="164">
        <v>3.7094</v>
      </c>
      <c r="P398" s="165">
        <v>19880</v>
      </c>
      <c r="Q398" s="34">
        <f>SUMIF(Allocation[Delivery ID],Allocation[[#This Row],[Delivery ID]],Allocation[Quantity Processed])</f>
        <v>30050</v>
      </c>
      <c r="R398" s="61">
        <f>Allocation[[#This Row],[Total volume used]]/VLOOKUP(Allocation[[#This Row],[Delivery ID]],Delivery[[Delivery ID]:[Quantity delivered]],3,FALSE)</f>
        <v>1</v>
      </c>
      <c r="S398" s="34">
        <f>Allocation[[#This Row],[Quantity Processed]]/Allocation[[#This Row],[Dilution rate]]</f>
        <v>6483.617747440273</v>
      </c>
      <c r="T398" s="59">
        <f>SUMIF(Allocation[Delivery ID],Allocation[[#This Row],[Delivery ID]],Allocation[Quantity allocated])/SUMIF(Allocation[Delivery ID],Allocation[[#This Row],[Delivery ID]],Allocation[Volume available (kg)])</f>
        <v>0.83718735910049358</v>
      </c>
      <c r="U398" s="61">
        <f>Allocation[[#This Row],[Total volume used]]/VLOOKUP(Allocation[[#This Row],[Delivery ID]],Delivery[[Delivery ID]:[Quantity delivered]],3,FALSE)</f>
        <v>1</v>
      </c>
      <c r="V398" s="34">
        <f>VLOOKUP(Allocation[[#This Row],[SAP Contract number]],Shipments[[SAP Contract number]:[Contracted container weight]],2,FALSE)</f>
        <v>19175</v>
      </c>
      <c r="W398" s="34">
        <f>VLOOKUP(Allocation[[#This Row],[SAP Contract number]],Shipments[[SAP Contract number]:[AAA Premium USD]],24,FALSE)</f>
        <v>6763.7822038320437</v>
      </c>
      <c r="X398" s="34">
        <f>VLOOKUP(Allocation[[#This Row],[SAP Contract number]],Shipments[[SAP Contract number]:[RA Premium USD]],25,FALSE)</f>
        <v>2113.6819386975139</v>
      </c>
      <c r="Y398" s="38">
        <f>Allocation[[#This Row],[Quantity Processed]]/Allocation[[#This Row],[Quantity allocated]]</f>
        <v>3.5675117370892018</v>
      </c>
      <c r="Z398" s="34" t="b">
        <f>Allocation[[#This Row],[Quantity allocated]]&lt;=Allocation[[#This Row],[Quantity Processed]]</f>
        <v>1</v>
      </c>
    </row>
    <row r="399" spans="1:26">
      <c r="A399" s="247" t="s">
        <v>467</v>
      </c>
      <c r="B399" s="160" t="s">
        <v>68</v>
      </c>
      <c r="C399" s="249" t="s">
        <v>1112</v>
      </c>
      <c r="D399" s="250">
        <v>23086</v>
      </c>
      <c r="E399" s="160" t="s">
        <v>1186</v>
      </c>
      <c r="F399" s="158">
        <v>43487</v>
      </c>
      <c r="G399" s="162">
        <v>2.93</v>
      </c>
      <c r="H399" s="250">
        <v>9259</v>
      </c>
      <c r="I399" s="160">
        <v>1423929</v>
      </c>
      <c r="J399" s="163">
        <v>19175</v>
      </c>
      <c r="K399" s="158">
        <v>43494</v>
      </c>
      <c r="L399" s="160" t="s">
        <v>1204</v>
      </c>
      <c r="M399" s="160">
        <v>4615492548</v>
      </c>
      <c r="N399" s="158">
        <v>43516</v>
      </c>
      <c r="O399" s="164">
        <v>3.7094</v>
      </c>
      <c r="P399" s="165">
        <v>19880</v>
      </c>
      <c r="Q399" s="34">
        <f>SUMIF(Allocation[Delivery ID],Allocation[[#This Row],[Delivery ID]],Allocation[Quantity Processed])</f>
        <v>30030</v>
      </c>
      <c r="R399" s="61">
        <f>Allocation[[#This Row],[Total volume used]]/VLOOKUP(Allocation[[#This Row],[Delivery ID]],Delivery[[Delivery ID]:[Quantity delivered]],3,FALSE)</f>
        <v>1</v>
      </c>
      <c r="S399" s="34">
        <f>Allocation[[#This Row],[Quantity Processed]]/Allocation[[#This Row],[Dilution rate]]</f>
        <v>7879.1808873720129</v>
      </c>
      <c r="T399" s="59">
        <f>SUMIF(Allocation[Delivery ID],Allocation[[#This Row],[Delivery ID]],Allocation[Quantity allocated])/SUMIF(Allocation[Delivery ID],Allocation[[#This Row],[Delivery ID]],Allocation[Volume available (kg)])</f>
        <v>1.1751222111222113</v>
      </c>
      <c r="U399" s="61">
        <f>Allocation[[#This Row],[Total volume used]]/VLOOKUP(Allocation[[#This Row],[Delivery ID]],Delivery[[Delivery ID]:[Quantity delivered]],3,FALSE)</f>
        <v>1</v>
      </c>
      <c r="V399" s="34">
        <f>VLOOKUP(Allocation[[#This Row],[SAP Contract number]],Shipments[[SAP Contract number]:[Contracted container weight]],2,FALSE)</f>
        <v>19175</v>
      </c>
      <c r="W399" s="34">
        <f>VLOOKUP(Allocation[[#This Row],[SAP Contract number]],Shipments[[SAP Contract number]:[AAA Premium USD]],24,FALSE)</f>
        <v>6763.7822038320437</v>
      </c>
      <c r="X399" s="34">
        <f>VLOOKUP(Allocation[[#This Row],[SAP Contract number]],Shipments[[SAP Contract number]:[RA Premium USD]],25,FALSE)</f>
        <v>2113.6819386975139</v>
      </c>
      <c r="Y399" s="38">
        <f>Allocation[[#This Row],[Quantity Processed]]/Allocation[[#This Row],[Quantity allocated]]</f>
        <v>2.4933578140187924</v>
      </c>
      <c r="Z399" s="34" t="b">
        <f>Allocation[[#This Row],[Quantity allocated]]&lt;=Allocation[[#This Row],[Quantity Processed]]</f>
        <v>1</v>
      </c>
    </row>
    <row r="400" spans="1:26">
      <c r="A400" s="247" t="s">
        <v>467</v>
      </c>
      <c r="B400" s="160" t="s">
        <v>68</v>
      </c>
      <c r="C400" s="249" t="s">
        <v>1112</v>
      </c>
      <c r="D400" s="250">
        <v>6944</v>
      </c>
      <c r="E400" s="160" t="s">
        <v>1186</v>
      </c>
      <c r="F400" s="158">
        <v>43487</v>
      </c>
      <c r="G400" s="162">
        <v>2.93</v>
      </c>
      <c r="H400" s="250">
        <v>2785</v>
      </c>
      <c r="I400" s="160">
        <v>1423930</v>
      </c>
      <c r="J400" s="163">
        <v>19175</v>
      </c>
      <c r="K400" s="158">
        <v>43494</v>
      </c>
      <c r="L400" s="160" t="s">
        <v>1205</v>
      </c>
      <c r="M400" s="160">
        <v>4615492548</v>
      </c>
      <c r="N400" s="158">
        <v>43516</v>
      </c>
      <c r="O400" s="164">
        <v>3.7094</v>
      </c>
      <c r="P400" s="165">
        <v>19880</v>
      </c>
      <c r="Q400" s="34">
        <f>SUMIF(Allocation[Delivery ID],Allocation[[#This Row],[Delivery ID]],Allocation[Quantity Processed])</f>
        <v>30030</v>
      </c>
      <c r="R400" s="61">
        <f>Allocation[[#This Row],[Total volume used]]/VLOOKUP(Allocation[[#This Row],[Delivery ID]],Delivery[[Delivery ID]:[Quantity delivered]],3,FALSE)</f>
        <v>1</v>
      </c>
      <c r="S400" s="34">
        <f>Allocation[[#This Row],[Quantity Processed]]/Allocation[[#This Row],[Dilution rate]]</f>
        <v>2369.9658703071673</v>
      </c>
      <c r="T400" s="59">
        <f>SUMIF(Allocation[Delivery ID],Allocation[[#This Row],[Delivery ID]],Allocation[Quantity allocated])/SUMIF(Allocation[Delivery ID],Allocation[[#This Row],[Delivery ID]],Allocation[Volume available (kg)])</f>
        <v>1.1751222111222113</v>
      </c>
      <c r="U400" s="61">
        <f>Allocation[[#This Row],[Total volume used]]/VLOOKUP(Allocation[[#This Row],[Delivery ID]],Delivery[[Delivery ID]:[Quantity delivered]],3,FALSE)</f>
        <v>1</v>
      </c>
      <c r="V400" s="34">
        <f>VLOOKUP(Allocation[[#This Row],[SAP Contract number]],Shipments[[SAP Contract number]:[Contracted container weight]],2,FALSE)</f>
        <v>19175</v>
      </c>
      <c r="W400" s="34">
        <f>VLOOKUP(Allocation[[#This Row],[SAP Contract number]],Shipments[[SAP Contract number]:[AAA Premium USD]],24,FALSE)</f>
        <v>6763.7822038320437</v>
      </c>
      <c r="X400" s="34">
        <f>VLOOKUP(Allocation[[#This Row],[SAP Contract number]],Shipments[[SAP Contract number]:[RA Premium USD]],25,FALSE)</f>
        <v>2113.6819386975139</v>
      </c>
      <c r="Y400" s="38">
        <f>Allocation[[#This Row],[Quantity Processed]]/Allocation[[#This Row],[Quantity allocated]]</f>
        <v>2.4933572710951526</v>
      </c>
      <c r="Z400" s="34" t="b">
        <f>Allocation[[#This Row],[Quantity allocated]]&lt;=Allocation[[#This Row],[Quantity Processed]]</f>
        <v>1</v>
      </c>
    </row>
    <row r="401" spans="1:26">
      <c r="A401" s="247" t="s">
        <v>467</v>
      </c>
      <c r="B401" s="160" t="s">
        <v>68</v>
      </c>
      <c r="C401" s="249" t="s">
        <v>1114</v>
      </c>
      <c r="D401" s="250">
        <v>37810</v>
      </c>
      <c r="E401" s="160" t="s">
        <v>1186</v>
      </c>
      <c r="F401" s="158">
        <v>43487</v>
      </c>
      <c r="G401" s="162">
        <v>2.93</v>
      </c>
      <c r="H401" s="250">
        <v>15145</v>
      </c>
      <c r="I401" s="160">
        <v>1423930</v>
      </c>
      <c r="J401" s="163">
        <v>19175</v>
      </c>
      <c r="K401" s="158">
        <v>43494</v>
      </c>
      <c r="L401" s="160" t="s">
        <v>1205</v>
      </c>
      <c r="M401" s="160">
        <v>4615492548</v>
      </c>
      <c r="N401" s="158">
        <v>43516</v>
      </c>
      <c r="O401" s="164">
        <v>3.7094</v>
      </c>
      <c r="P401" s="165">
        <v>19880</v>
      </c>
      <c r="Q401" s="34">
        <f>SUMIF(Allocation[Delivery ID],Allocation[[#This Row],[Delivery ID]],Allocation[Quantity Processed])</f>
        <v>37810</v>
      </c>
      <c r="R401" s="61">
        <f>Allocation[[#This Row],[Total volume used]]/VLOOKUP(Allocation[[#This Row],[Delivery ID]],Delivery[[Delivery ID]:[Quantity delivered]],3,FALSE)</f>
        <v>1</v>
      </c>
      <c r="S401" s="34">
        <f>Allocation[[#This Row],[Quantity Processed]]/Allocation[[#This Row],[Dilution rate]]</f>
        <v>12904.436860068259</v>
      </c>
      <c r="T401" s="59">
        <f>SUMIF(Allocation[Delivery ID],Allocation[[#This Row],[Delivery ID]],Allocation[Quantity allocated])/SUMIF(Allocation[Delivery ID],Allocation[[#This Row],[Delivery ID]],Allocation[Volume available (kg)])</f>
        <v>1.1736273472626289</v>
      </c>
      <c r="U401" s="61">
        <f>Allocation[[#This Row],[Total volume used]]/VLOOKUP(Allocation[[#This Row],[Delivery ID]],Delivery[[Delivery ID]:[Quantity delivered]],3,FALSE)</f>
        <v>1</v>
      </c>
      <c r="V401" s="34">
        <f>VLOOKUP(Allocation[[#This Row],[SAP Contract number]],Shipments[[SAP Contract number]:[Contracted container weight]],2,FALSE)</f>
        <v>19175</v>
      </c>
      <c r="W401" s="34">
        <f>VLOOKUP(Allocation[[#This Row],[SAP Contract number]],Shipments[[SAP Contract number]:[AAA Premium USD]],24,FALSE)</f>
        <v>6763.7822038320437</v>
      </c>
      <c r="X401" s="34">
        <f>VLOOKUP(Allocation[[#This Row],[SAP Contract number]],Shipments[[SAP Contract number]:[RA Premium USD]],25,FALSE)</f>
        <v>2113.6819386975139</v>
      </c>
      <c r="Y401" s="38">
        <f>Allocation[[#This Row],[Quantity Processed]]/Allocation[[#This Row],[Quantity allocated]]</f>
        <v>2.4965335094090459</v>
      </c>
      <c r="Z401" s="34" t="b">
        <f>Allocation[[#This Row],[Quantity allocated]]&lt;=Allocation[[#This Row],[Quantity Processed]]</f>
        <v>1</v>
      </c>
    </row>
    <row r="402" spans="1:26">
      <c r="A402" s="247" t="s">
        <v>467</v>
      </c>
      <c r="B402" s="160" t="s">
        <v>68</v>
      </c>
      <c r="C402" s="249" t="s">
        <v>1117</v>
      </c>
      <c r="D402" s="250">
        <v>3771</v>
      </c>
      <c r="E402" s="160" t="s">
        <v>1186</v>
      </c>
      <c r="F402" s="158">
        <v>43487</v>
      </c>
      <c r="G402" s="162">
        <v>2.93</v>
      </c>
      <c r="H402" s="250">
        <v>1245</v>
      </c>
      <c r="I402" s="160">
        <v>1423930</v>
      </c>
      <c r="J402" s="163">
        <v>19175</v>
      </c>
      <c r="K402" s="158">
        <v>43494</v>
      </c>
      <c r="L402" s="160" t="s">
        <v>1205</v>
      </c>
      <c r="M402" s="160">
        <v>4615492548</v>
      </c>
      <c r="N402" s="158">
        <v>43516</v>
      </c>
      <c r="O402" s="164">
        <v>3.7094</v>
      </c>
      <c r="P402" s="165">
        <v>19880</v>
      </c>
      <c r="Q402" s="34">
        <f>SUMIF(Allocation[Delivery ID],Allocation[[#This Row],[Delivery ID]],Allocation[Quantity Processed])</f>
        <v>29080</v>
      </c>
      <c r="R402" s="61">
        <f>Allocation[[#This Row],[Total volume used]]/VLOOKUP(Allocation[[#This Row],[Delivery ID]],Delivery[[Delivery ID]:[Quantity delivered]],3,FALSE)</f>
        <v>1</v>
      </c>
      <c r="S402" s="34">
        <f>Allocation[[#This Row],[Quantity Processed]]/Allocation[[#This Row],[Dilution rate]]</f>
        <v>1287.0307167235494</v>
      </c>
      <c r="T402" s="59">
        <f>SUMIF(Allocation[Delivery ID],Allocation[[#This Row],[Delivery ID]],Allocation[Quantity allocated])/SUMIF(Allocation[Delivery ID],Allocation[[#This Row],[Delivery ID]],Allocation[Volume available (kg)])</f>
        <v>0.96726272352132059</v>
      </c>
      <c r="U402" s="61">
        <f>Allocation[[#This Row],[Total volume used]]/VLOOKUP(Allocation[[#This Row],[Delivery ID]],Delivery[[Delivery ID]:[Quantity delivered]],3,FALSE)</f>
        <v>1</v>
      </c>
      <c r="V402" s="34">
        <f>VLOOKUP(Allocation[[#This Row],[SAP Contract number]],Shipments[[SAP Contract number]:[Contracted container weight]],2,FALSE)</f>
        <v>19175</v>
      </c>
      <c r="W402" s="34">
        <f>VLOOKUP(Allocation[[#This Row],[SAP Contract number]],Shipments[[SAP Contract number]:[AAA Premium USD]],24,FALSE)</f>
        <v>6763.7822038320437</v>
      </c>
      <c r="X402" s="34">
        <f>VLOOKUP(Allocation[[#This Row],[SAP Contract number]],Shipments[[SAP Contract number]:[RA Premium USD]],25,FALSE)</f>
        <v>2113.6819386975139</v>
      </c>
      <c r="Y402" s="38">
        <f>Allocation[[#This Row],[Quantity Processed]]/Allocation[[#This Row],[Quantity allocated]]</f>
        <v>3.0289156626506024</v>
      </c>
      <c r="Z402" s="34" t="b">
        <f>Allocation[[#This Row],[Quantity allocated]]&lt;=Allocation[[#This Row],[Quantity Processed]]</f>
        <v>1</v>
      </c>
    </row>
    <row r="403" spans="1:26">
      <c r="A403" s="247" t="s">
        <v>467</v>
      </c>
      <c r="B403" s="160" t="s">
        <v>68</v>
      </c>
      <c r="C403" s="249" t="s">
        <v>1117</v>
      </c>
      <c r="D403" s="250">
        <v>25309</v>
      </c>
      <c r="E403" s="160" t="s">
        <v>1186</v>
      </c>
      <c r="F403" s="158">
        <v>43487</v>
      </c>
      <c r="G403" s="162">
        <v>2.93</v>
      </c>
      <c r="H403" s="250">
        <v>8355</v>
      </c>
      <c r="I403" s="160">
        <v>1423931</v>
      </c>
      <c r="J403" s="163">
        <v>19175</v>
      </c>
      <c r="K403" s="158">
        <v>43494</v>
      </c>
      <c r="L403" s="160" t="s">
        <v>1206</v>
      </c>
      <c r="M403" s="160">
        <v>4615492548</v>
      </c>
      <c r="N403" s="158">
        <v>43516</v>
      </c>
      <c r="O403" s="164">
        <v>3.7094</v>
      </c>
      <c r="P403" s="165">
        <v>19880</v>
      </c>
      <c r="Q403" s="34">
        <f>SUMIF(Allocation[Delivery ID],Allocation[[#This Row],[Delivery ID]],Allocation[Quantity Processed])</f>
        <v>29080</v>
      </c>
      <c r="R403" s="61">
        <f>Allocation[[#This Row],[Total volume used]]/VLOOKUP(Allocation[[#This Row],[Delivery ID]],Delivery[[Delivery ID]:[Quantity delivered]],3,FALSE)</f>
        <v>1</v>
      </c>
      <c r="S403" s="34">
        <f>Allocation[[#This Row],[Quantity Processed]]/Allocation[[#This Row],[Dilution rate]]</f>
        <v>8637.8839590443677</v>
      </c>
      <c r="T403" s="59">
        <f>SUMIF(Allocation[Delivery ID],Allocation[[#This Row],[Delivery ID]],Allocation[Quantity allocated])/SUMIF(Allocation[Delivery ID],Allocation[[#This Row],[Delivery ID]],Allocation[Volume available (kg)])</f>
        <v>0.96726272352132059</v>
      </c>
      <c r="U403" s="61">
        <f>Allocation[[#This Row],[Total volume used]]/VLOOKUP(Allocation[[#This Row],[Delivery ID]],Delivery[[Delivery ID]:[Quantity delivered]],3,FALSE)</f>
        <v>1</v>
      </c>
      <c r="V403" s="34">
        <f>VLOOKUP(Allocation[[#This Row],[SAP Contract number]],Shipments[[SAP Contract number]:[Contracted container weight]],2,FALSE)</f>
        <v>19175</v>
      </c>
      <c r="W403" s="34">
        <f>VLOOKUP(Allocation[[#This Row],[SAP Contract number]],Shipments[[SAP Contract number]:[AAA Premium USD]],24,FALSE)</f>
        <v>6763.7822038320437</v>
      </c>
      <c r="X403" s="34">
        <f>VLOOKUP(Allocation[[#This Row],[SAP Contract number]],Shipments[[SAP Contract number]:[RA Premium USD]],25,FALSE)</f>
        <v>2113.6819386975139</v>
      </c>
      <c r="Y403" s="38">
        <f>Allocation[[#This Row],[Quantity Processed]]/Allocation[[#This Row],[Quantity allocated]]</f>
        <v>3.0292040694195093</v>
      </c>
      <c r="Z403" s="34" t="b">
        <f>Allocation[[#This Row],[Quantity allocated]]&lt;=Allocation[[#This Row],[Quantity Processed]]</f>
        <v>1</v>
      </c>
    </row>
    <row r="404" spans="1:26">
      <c r="A404" s="247" t="s">
        <v>467</v>
      </c>
      <c r="B404" s="160" t="s">
        <v>68</v>
      </c>
      <c r="C404" s="249" t="s">
        <v>1120</v>
      </c>
      <c r="D404" s="250">
        <v>29130</v>
      </c>
      <c r="E404" s="160" t="s">
        <v>1186</v>
      </c>
      <c r="F404" s="158">
        <v>43487</v>
      </c>
      <c r="G404" s="162">
        <v>2.93</v>
      </c>
      <c r="H404" s="250">
        <v>9659</v>
      </c>
      <c r="I404" s="160">
        <v>1423931</v>
      </c>
      <c r="J404" s="163">
        <v>19175</v>
      </c>
      <c r="K404" s="158">
        <v>43494</v>
      </c>
      <c r="L404" s="160" t="s">
        <v>1206</v>
      </c>
      <c r="M404" s="160">
        <v>4615492548</v>
      </c>
      <c r="N404" s="158">
        <v>43516</v>
      </c>
      <c r="O404" s="164">
        <v>3.7094</v>
      </c>
      <c r="P404" s="165">
        <v>19880</v>
      </c>
      <c r="Q404" s="34">
        <f>SUMIF(Allocation[Delivery ID],Allocation[[#This Row],[Delivery ID]],Allocation[Quantity Processed])</f>
        <v>29130</v>
      </c>
      <c r="R404" s="61">
        <f>Allocation[[#This Row],[Total volume used]]/VLOOKUP(Allocation[[#This Row],[Delivery ID]],Delivery[[Delivery ID]:[Quantity delivered]],3,FALSE)</f>
        <v>1</v>
      </c>
      <c r="S404" s="34">
        <f>Allocation[[#This Row],[Quantity Processed]]/Allocation[[#This Row],[Dilution rate]]</f>
        <v>9941.9795221842996</v>
      </c>
      <c r="T404" s="59">
        <f>SUMIF(Allocation[Delivery ID],Allocation[[#This Row],[Delivery ID]],Allocation[Quantity allocated])/SUMIF(Allocation[Delivery ID],Allocation[[#This Row],[Delivery ID]],Allocation[Volume available (kg)])</f>
        <v>0.97153690353587374</v>
      </c>
      <c r="U404" s="61">
        <f>Allocation[[#This Row],[Total volume used]]/VLOOKUP(Allocation[[#This Row],[Delivery ID]],Delivery[[Delivery ID]:[Quantity delivered]],3,FALSE)</f>
        <v>1</v>
      </c>
      <c r="V404" s="34">
        <f>VLOOKUP(Allocation[[#This Row],[SAP Contract number]],Shipments[[SAP Contract number]:[Contracted container weight]],2,FALSE)</f>
        <v>19175</v>
      </c>
      <c r="W404" s="34">
        <f>VLOOKUP(Allocation[[#This Row],[SAP Contract number]],Shipments[[SAP Contract number]:[AAA Premium USD]],24,FALSE)</f>
        <v>6763.7822038320437</v>
      </c>
      <c r="X404" s="34">
        <f>VLOOKUP(Allocation[[#This Row],[SAP Contract number]],Shipments[[SAP Contract number]:[RA Premium USD]],25,FALSE)</f>
        <v>2113.6819386975139</v>
      </c>
      <c r="Y404" s="38">
        <f>Allocation[[#This Row],[Quantity Processed]]/Allocation[[#This Row],[Quantity allocated]]</f>
        <v>3.0158401490837559</v>
      </c>
      <c r="Z404" s="34" t="b">
        <f>Allocation[[#This Row],[Quantity allocated]]&lt;=Allocation[[#This Row],[Quantity Processed]]</f>
        <v>1</v>
      </c>
    </row>
    <row r="405" spans="1:26">
      <c r="A405" s="247" t="s">
        <v>467</v>
      </c>
      <c r="B405" s="160" t="s">
        <v>68</v>
      </c>
      <c r="C405" s="249" t="s">
        <v>1122</v>
      </c>
      <c r="D405" s="250">
        <v>3518</v>
      </c>
      <c r="E405" s="160" t="s">
        <v>1186</v>
      </c>
      <c r="F405" s="158">
        <v>43487</v>
      </c>
      <c r="G405" s="162">
        <v>2.93</v>
      </c>
      <c r="H405" s="250">
        <v>1161</v>
      </c>
      <c r="I405" s="160">
        <v>1423931</v>
      </c>
      <c r="J405" s="163">
        <v>19175</v>
      </c>
      <c r="K405" s="158">
        <v>43494</v>
      </c>
      <c r="L405" s="160" t="s">
        <v>1206</v>
      </c>
      <c r="M405" s="160">
        <v>4615492548</v>
      </c>
      <c r="N405" s="158">
        <v>43516</v>
      </c>
      <c r="O405" s="164">
        <v>3.7094</v>
      </c>
      <c r="P405" s="165">
        <v>19880</v>
      </c>
      <c r="Q405" s="34">
        <f>SUMIF(Allocation[Delivery ID],Allocation[[#This Row],[Delivery ID]],Allocation[Quantity Processed])</f>
        <v>21236</v>
      </c>
      <c r="R405" s="61">
        <f>Allocation[[#This Row],[Total volume used]]/VLOOKUP(Allocation[[#This Row],[Delivery ID]],Delivery[[Delivery ID]:[Quantity delivered]],3,FALSE)</f>
        <v>0.82150870406189558</v>
      </c>
      <c r="S405" s="34">
        <f>Allocation[[#This Row],[Quantity Processed]]/Allocation[[#This Row],[Dilution rate]]</f>
        <v>1200.6825938566553</v>
      </c>
      <c r="T405" s="59">
        <f>SUMIF(Allocation[Delivery ID],Allocation[[#This Row],[Delivery ID]],Allocation[Quantity allocated])/SUMIF(Allocation[Delivery ID],Allocation[[#This Row],[Delivery ID]],Allocation[Volume available (kg)])</f>
        <v>0.96691655679035604</v>
      </c>
      <c r="U405" s="61">
        <f>Allocation[[#This Row],[Total volume used]]/VLOOKUP(Allocation[[#This Row],[Delivery ID]],Delivery[[Delivery ID]:[Quantity delivered]],3,FALSE)</f>
        <v>0.82150870406189558</v>
      </c>
      <c r="V405" s="34">
        <f>VLOOKUP(Allocation[[#This Row],[SAP Contract number]],Shipments[[SAP Contract number]:[Contracted container weight]],2,FALSE)</f>
        <v>19175</v>
      </c>
      <c r="W405" s="34">
        <f>VLOOKUP(Allocation[[#This Row],[SAP Contract number]],Shipments[[SAP Contract number]:[AAA Premium USD]],24,FALSE)</f>
        <v>6763.7822038320437</v>
      </c>
      <c r="X405" s="34">
        <f>VLOOKUP(Allocation[[#This Row],[SAP Contract number]],Shipments[[SAP Contract number]:[RA Premium USD]],25,FALSE)</f>
        <v>2113.6819386975139</v>
      </c>
      <c r="Y405" s="38">
        <f>Allocation[[#This Row],[Quantity Processed]]/Allocation[[#This Row],[Quantity allocated]]</f>
        <v>3.0301464254952628</v>
      </c>
      <c r="Z405" s="34" t="b">
        <f>Allocation[[#This Row],[Quantity allocated]]&lt;=Allocation[[#This Row],[Quantity Processed]]</f>
        <v>1</v>
      </c>
    </row>
    <row r="406" spans="1:26">
      <c r="A406" s="247" t="s">
        <v>467</v>
      </c>
      <c r="B406" s="160" t="s">
        <v>68</v>
      </c>
      <c r="C406" s="249" t="s">
        <v>1122</v>
      </c>
      <c r="D406" s="250">
        <v>17718</v>
      </c>
      <c r="E406" s="160" t="s">
        <v>1186</v>
      </c>
      <c r="F406" s="158">
        <v>43487</v>
      </c>
      <c r="G406" s="162">
        <v>2.93</v>
      </c>
      <c r="H406" s="250">
        <v>5847</v>
      </c>
      <c r="I406" s="160">
        <v>1423932</v>
      </c>
      <c r="J406" s="163">
        <v>19175</v>
      </c>
      <c r="K406" s="158">
        <v>43494</v>
      </c>
      <c r="L406" s="160" t="s">
        <v>1207</v>
      </c>
      <c r="M406" s="160">
        <v>4615492548</v>
      </c>
      <c r="N406" s="158">
        <v>43516</v>
      </c>
      <c r="O406" s="164">
        <v>3.7094</v>
      </c>
      <c r="P406" s="165">
        <v>19880</v>
      </c>
      <c r="Q406" s="34">
        <f>SUMIF(Allocation[Delivery ID],Allocation[[#This Row],[Delivery ID]],Allocation[Quantity Processed])</f>
        <v>21236</v>
      </c>
      <c r="R406" s="61">
        <f>Allocation[[#This Row],[Total volume used]]/VLOOKUP(Allocation[[#This Row],[Delivery ID]],Delivery[[Delivery ID]:[Quantity delivered]],3,FALSE)</f>
        <v>0.82150870406189558</v>
      </c>
      <c r="S406" s="34">
        <f>Allocation[[#This Row],[Quantity Processed]]/Allocation[[#This Row],[Dilution rate]]</f>
        <v>6047.0989761092151</v>
      </c>
      <c r="T406" s="59">
        <f>SUMIF(Allocation[Delivery ID],Allocation[[#This Row],[Delivery ID]],Allocation[Quantity allocated])/SUMIF(Allocation[Delivery ID],Allocation[[#This Row],[Delivery ID]],Allocation[Volume available (kg)])</f>
        <v>0.96691655679035604</v>
      </c>
      <c r="U406" s="61">
        <f>Allocation[[#This Row],[Total volume used]]/VLOOKUP(Allocation[[#This Row],[Delivery ID]],Delivery[[Delivery ID]:[Quantity delivered]],3,FALSE)</f>
        <v>0.82150870406189558</v>
      </c>
      <c r="V406" s="34">
        <f>VLOOKUP(Allocation[[#This Row],[SAP Contract number]],Shipments[[SAP Contract number]:[Contracted container weight]],2,FALSE)</f>
        <v>19175</v>
      </c>
      <c r="W406" s="34">
        <f>VLOOKUP(Allocation[[#This Row],[SAP Contract number]],Shipments[[SAP Contract number]:[AAA Premium USD]],24,FALSE)</f>
        <v>6763.7822038320437</v>
      </c>
      <c r="X406" s="34">
        <f>VLOOKUP(Allocation[[#This Row],[SAP Contract number]],Shipments[[SAP Contract number]:[RA Premium USD]],25,FALSE)</f>
        <v>2113.6819386975139</v>
      </c>
      <c r="Y406" s="38">
        <f>Allocation[[#This Row],[Quantity Processed]]/Allocation[[#This Row],[Quantity allocated]]</f>
        <v>3.0302719343252948</v>
      </c>
      <c r="Z406" s="34" t="b">
        <f>Allocation[[#This Row],[Quantity allocated]]&lt;=Allocation[[#This Row],[Quantity Processed]]</f>
        <v>1</v>
      </c>
    </row>
    <row r="407" spans="1:26">
      <c r="A407" s="247" t="s">
        <v>467</v>
      </c>
      <c r="B407" s="160" t="s">
        <v>68</v>
      </c>
      <c r="C407" s="249" t="s">
        <v>1128</v>
      </c>
      <c r="D407" s="250">
        <v>32600</v>
      </c>
      <c r="E407" s="160" t="s">
        <v>1186</v>
      </c>
      <c r="F407" s="158">
        <v>43487</v>
      </c>
      <c r="G407" s="162">
        <v>2.93</v>
      </c>
      <c r="H407" s="250">
        <v>13117</v>
      </c>
      <c r="I407" s="160">
        <v>1423932</v>
      </c>
      <c r="J407" s="163">
        <v>19175</v>
      </c>
      <c r="K407" s="158">
        <v>43494</v>
      </c>
      <c r="L407" s="160" t="s">
        <v>1207</v>
      </c>
      <c r="M407" s="160">
        <v>4615492548</v>
      </c>
      <c r="N407" s="158">
        <v>43516</v>
      </c>
      <c r="O407" s="164">
        <v>3.7094</v>
      </c>
      <c r="P407" s="165">
        <v>19880</v>
      </c>
      <c r="Q407" s="34">
        <f>SUMIF(Allocation[Delivery ID],Allocation[[#This Row],[Delivery ID]],Allocation[Quantity Processed])</f>
        <v>32600</v>
      </c>
      <c r="R407" s="61">
        <f>Allocation[[#This Row],[Total volume used]]/VLOOKUP(Allocation[[#This Row],[Delivery ID]],Delivery[[Delivery ID]:[Quantity delivered]],3,FALSE)</f>
        <v>1</v>
      </c>
      <c r="S407" s="34">
        <f>Allocation[[#This Row],[Quantity Processed]]/Allocation[[#This Row],[Dilution rate]]</f>
        <v>11126.279863481228</v>
      </c>
      <c r="T407" s="59">
        <f>SUMIF(Allocation[Delivery ID],Allocation[[#This Row],[Delivery ID]],Allocation[Quantity allocated])/SUMIF(Allocation[Delivery ID],Allocation[[#This Row],[Delivery ID]],Allocation[Volume available (kg)])</f>
        <v>1.1789205521472392</v>
      </c>
      <c r="U407" s="61">
        <f>Allocation[[#This Row],[Total volume used]]/VLOOKUP(Allocation[[#This Row],[Delivery ID]],Delivery[[Delivery ID]:[Quantity delivered]],3,FALSE)</f>
        <v>1</v>
      </c>
      <c r="V407" s="34">
        <f>VLOOKUP(Allocation[[#This Row],[SAP Contract number]],Shipments[[SAP Contract number]:[Contracted container weight]],2,FALSE)</f>
        <v>19175</v>
      </c>
      <c r="W407" s="34">
        <f>VLOOKUP(Allocation[[#This Row],[SAP Contract number]],Shipments[[SAP Contract number]:[AAA Premium USD]],24,FALSE)</f>
        <v>6763.7822038320437</v>
      </c>
      <c r="X407" s="34">
        <f>VLOOKUP(Allocation[[#This Row],[SAP Contract number]],Shipments[[SAP Contract number]:[RA Premium USD]],25,FALSE)</f>
        <v>2113.6819386975139</v>
      </c>
      <c r="Y407" s="38">
        <f>Allocation[[#This Row],[Quantity Processed]]/Allocation[[#This Row],[Quantity allocated]]</f>
        <v>2.4853243881985212</v>
      </c>
      <c r="Z407" s="34" t="b">
        <f>Allocation[[#This Row],[Quantity allocated]]&lt;=Allocation[[#This Row],[Quantity Processed]]</f>
        <v>1</v>
      </c>
    </row>
    <row r="408" spans="1:26">
      <c r="A408" s="247" t="s">
        <v>467</v>
      </c>
      <c r="B408" s="160" t="s">
        <v>68</v>
      </c>
      <c r="C408" s="249" t="s">
        <v>1129</v>
      </c>
      <c r="D408" s="250">
        <v>525</v>
      </c>
      <c r="E408" s="160" t="s">
        <v>1186</v>
      </c>
      <c r="F408" s="158">
        <v>43487</v>
      </c>
      <c r="G408" s="162">
        <v>2.93</v>
      </c>
      <c r="H408" s="250">
        <v>211</v>
      </c>
      <c r="I408" s="160">
        <v>1423932</v>
      </c>
      <c r="J408" s="163">
        <v>19175</v>
      </c>
      <c r="K408" s="158">
        <v>43494</v>
      </c>
      <c r="L408" s="160" t="s">
        <v>1207</v>
      </c>
      <c r="M408" s="160">
        <v>4615492548</v>
      </c>
      <c r="N408" s="158">
        <v>43516</v>
      </c>
      <c r="O408" s="164">
        <v>3.7094</v>
      </c>
      <c r="P408" s="165">
        <v>19880</v>
      </c>
      <c r="Q408" s="34">
        <f>SUMIF(Allocation[Delivery ID],Allocation[[#This Row],[Delivery ID]],Allocation[Quantity Processed])</f>
        <v>32640</v>
      </c>
      <c r="R408" s="61">
        <f>Allocation[[#This Row],[Total volume used]]/VLOOKUP(Allocation[[#This Row],[Delivery ID]],Delivery[[Delivery ID]:[Quantity delivered]],3,FALSE)</f>
        <v>1</v>
      </c>
      <c r="S408" s="34">
        <f>Allocation[[#This Row],[Quantity Processed]]/Allocation[[#This Row],[Dilution rate]]</f>
        <v>179.18088737201364</v>
      </c>
      <c r="T408" s="59">
        <f>SUMIF(Allocation[Delivery ID],Allocation[[#This Row],[Delivery ID]],Allocation[Quantity allocated])/SUMIF(Allocation[Delivery ID],Allocation[[#This Row],[Delivery ID]],Allocation[Volume available (kg)])</f>
        <v>1.1774757965686276</v>
      </c>
      <c r="U408" s="61">
        <f>Allocation[[#This Row],[Total volume used]]/VLOOKUP(Allocation[[#This Row],[Delivery ID]],Delivery[[Delivery ID]:[Quantity delivered]],3,FALSE)</f>
        <v>1</v>
      </c>
      <c r="V408" s="34">
        <f>VLOOKUP(Allocation[[#This Row],[SAP Contract number]],Shipments[[SAP Contract number]:[Contracted container weight]],2,FALSE)</f>
        <v>19175</v>
      </c>
      <c r="W408" s="34">
        <f>VLOOKUP(Allocation[[#This Row],[SAP Contract number]],Shipments[[SAP Contract number]:[AAA Premium USD]],24,FALSE)</f>
        <v>6763.7822038320437</v>
      </c>
      <c r="X408" s="34">
        <f>VLOOKUP(Allocation[[#This Row],[SAP Contract number]],Shipments[[SAP Contract number]:[RA Premium USD]],25,FALSE)</f>
        <v>2113.6819386975139</v>
      </c>
      <c r="Y408" s="38">
        <f>Allocation[[#This Row],[Quantity Processed]]/Allocation[[#This Row],[Quantity allocated]]</f>
        <v>2.4881516587677726</v>
      </c>
      <c r="Z408" s="34" t="b">
        <f>Allocation[[#This Row],[Quantity allocated]]&lt;=Allocation[[#This Row],[Quantity Processed]]</f>
        <v>1</v>
      </c>
    </row>
    <row r="409" spans="1:26">
      <c r="A409" s="247" t="s">
        <v>467</v>
      </c>
      <c r="B409" s="160" t="s">
        <v>68</v>
      </c>
      <c r="C409" s="249" t="s">
        <v>1129</v>
      </c>
      <c r="D409" s="250">
        <v>32115</v>
      </c>
      <c r="E409" s="160" t="s">
        <v>1186</v>
      </c>
      <c r="F409" s="158">
        <v>43487</v>
      </c>
      <c r="G409" s="162">
        <v>2.93</v>
      </c>
      <c r="H409" s="250">
        <v>12906</v>
      </c>
      <c r="I409" s="160">
        <v>1423933</v>
      </c>
      <c r="J409" s="163">
        <v>19175</v>
      </c>
      <c r="K409" s="158">
        <v>43494</v>
      </c>
      <c r="L409" s="160" t="s">
        <v>1208</v>
      </c>
      <c r="M409" s="160">
        <v>4615492548</v>
      </c>
      <c r="N409" s="158">
        <v>43516</v>
      </c>
      <c r="O409" s="164">
        <v>3.7094</v>
      </c>
      <c r="P409" s="165">
        <v>19880</v>
      </c>
      <c r="Q409" s="34">
        <f>SUMIF(Allocation[Delivery ID],Allocation[[#This Row],[Delivery ID]],Allocation[Quantity Processed])</f>
        <v>32640</v>
      </c>
      <c r="R409" s="61">
        <f>Allocation[[#This Row],[Total volume used]]/VLOOKUP(Allocation[[#This Row],[Delivery ID]],Delivery[[Delivery ID]:[Quantity delivered]],3,FALSE)</f>
        <v>1</v>
      </c>
      <c r="S409" s="34">
        <f>Allocation[[#This Row],[Quantity Processed]]/Allocation[[#This Row],[Dilution rate]]</f>
        <v>10960.75085324232</v>
      </c>
      <c r="T409" s="59">
        <f>SUMIF(Allocation[Delivery ID],Allocation[[#This Row],[Delivery ID]],Allocation[Quantity allocated])/SUMIF(Allocation[Delivery ID],Allocation[[#This Row],[Delivery ID]],Allocation[Volume available (kg)])</f>
        <v>1.1774757965686276</v>
      </c>
      <c r="U409" s="61">
        <f>Allocation[[#This Row],[Total volume used]]/VLOOKUP(Allocation[[#This Row],[Delivery ID]],Delivery[[Delivery ID]:[Quantity delivered]],3,FALSE)</f>
        <v>1</v>
      </c>
      <c r="V409" s="34">
        <f>VLOOKUP(Allocation[[#This Row],[SAP Contract number]],Shipments[[SAP Contract number]:[Contracted container weight]],2,FALSE)</f>
        <v>19175</v>
      </c>
      <c r="W409" s="34">
        <f>VLOOKUP(Allocation[[#This Row],[SAP Contract number]],Shipments[[SAP Contract number]:[AAA Premium USD]],24,FALSE)</f>
        <v>6763.7822038320437</v>
      </c>
      <c r="X409" s="34">
        <f>VLOOKUP(Allocation[[#This Row],[SAP Contract number]],Shipments[[SAP Contract number]:[RA Premium USD]],25,FALSE)</f>
        <v>2113.6819386975139</v>
      </c>
      <c r="Y409" s="38">
        <f>Allocation[[#This Row],[Quantity Processed]]/Allocation[[#This Row],[Quantity allocated]]</f>
        <v>2.4883774988377501</v>
      </c>
      <c r="Z409" s="34" t="b">
        <f>Allocation[[#This Row],[Quantity allocated]]&lt;=Allocation[[#This Row],[Quantity Processed]]</f>
        <v>1</v>
      </c>
    </row>
    <row r="410" spans="1:26">
      <c r="A410" s="247" t="s">
        <v>467</v>
      </c>
      <c r="B410" s="160" t="s">
        <v>68</v>
      </c>
      <c r="C410" s="249" t="s">
        <v>1130</v>
      </c>
      <c r="D410" s="250">
        <v>15609</v>
      </c>
      <c r="E410" s="160" t="s">
        <v>1186</v>
      </c>
      <c r="F410" s="158">
        <v>43487</v>
      </c>
      <c r="G410" s="162">
        <v>2.93</v>
      </c>
      <c r="H410" s="250">
        <v>6269</v>
      </c>
      <c r="I410" s="160">
        <v>1423933</v>
      </c>
      <c r="J410" s="163">
        <v>19175</v>
      </c>
      <c r="K410" s="158">
        <v>43494</v>
      </c>
      <c r="L410" s="160" t="s">
        <v>1208</v>
      </c>
      <c r="M410" s="160">
        <v>4615492548</v>
      </c>
      <c r="N410" s="158">
        <v>43516</v>
      </c>
      <c r="O410" s="164">
        <v>3.7094</v>
      </c>
      <c r="P410" s="165">
        <v>19880</v>
      </c>
      <c r="Q410" s="34">
        <f>SUMIF(Allocation[Delivery ID],Allocation[[#This Row],[Delivery ID]],Allocation[Quantity Processed])</f>
        <v>32660</v>
      </c>
      <c r="R410" s="61">
        <f>Allocation[[#This Row],[Total volume used]]/VLOOKUP(Allocation[[#This Row],[Delivery ID]],Delivery[[Delivery ID]:[Quantity delivered]],3,FALSE)</f>
        <v>1</v>
      </c>
      <c r="S410" s="34">
        <f>Allocation[[#This Row],[Quantity Processed]]/Allocation[[#This Row],[Dilution rate]]</f>
        <v>5327.3037542662114</v>
      </c>
      <c r="T410" s="59">
        <f>SUMIF(Allocation[Delivery ID],Allocation[[#This Row],[Delivery ID]],Allocation[Quantity allocated])/SUMIF(Allocation[Delivery ID],Allocation[[#This Row],[Delivery ID]],Allocation[Volume available (kg)])</f>
        <v>1.1767547458665035</v>
      </c>
      <c r="U410" s="61">
        <f>Allocation[[#This Row],[Total volume used]]/VLOOKUP(Allocation[[#This Row],[Delivery ID]],Delivery[[Delivery ID]:[Quantity delivered]],3,FALSE)</f>
        <v>1</v>
      </c>
      <c r="V410" s="34">
        <f>VLOOKUP(Allocation[[#This Row],[SAP Contract number]],Shipments[[SAP Contract number]:[Contracted container weight]],2,FALSE)</f>
        <v>19175</v>
      </c>
      <c r="W410" s="34">
        <f>VLOOKUP(Allocation[[#This Row],[SAP Contract number]],Shipments[[SAP Contract number]:[AAA Premium USD]],24,FALSE)</f>
        <v>6763.7822038320437</v>
      </c>
      <c r="X410" s="34">
        <f>VLOOKUP(Allocation[[#This Row],[SAP Contract number]],Shipments[[SAP Contract number]:[RA Premium USD]],25,FALSE)</f>
        <v>2113.6819386975139</v>
      </c>
      <c r="Y410" s="38">
        <f>Allocation[[#This Row],[Quantity Processed]]/Allocation[[#This Row],[Quantity allocated]]</f>
        <v>2.4898707927899189</v>
      </c>
      <c r="Z410" s="34" t="b">
        <f>Allocation[[#This Row],[Quantity allocated]]&lt;=Allocation[[#This Row],[Quantity Processed]]</f>
        <v>1</v>
      </c>
    </row>
    <row r="411" spans="1:26">
      <c r="A411" s="247" t="s">
        <v>467</v>
      </c>
      <c r="B411" s="160" t="s">
        <v>68</v>
      </c>
      <c r="C411" s="249" t="s">
        <v>1130</v>
      </c>
      <c r="D411" s="250">
        <v>17051</v>
      </c>
      <c r="E411" s="160" t="s">
        <v>1186</v>
      </c>
      <c r="F411" s="158">
        <v>43487</v>
      </c>
      <c r="G411" s="162">
        <v>2.93</v>
      </c>
      <c r="H411" s="250">
        <v>6848</v>
      </c>
      <c r="I411" s="160">
        <v>1423934</v>
      </c>
      <c r="J411" s="163">
        <v>19175</v>
      </c>
      <c r="K411" s="158">
        <v>43494</v>
      </c>
      <c r="L411" s="160" t="s">
        <v>1209</v>
      </c>
      <c r="M411" s="160">
        <v>4615492548</v>
      </c>
      <c r="N411" s="158">
        <v>43516</v>
      </c>
      <c r="O411" s="164">
        <v>3.7094</v>
      </c>
      <c r="P411" s="165">
        <v>19880</v>
      </c>
      <c r="Q411" s="34">
        <f>SUMIF(Allocation[Delivery ID],Allocation[[#This Row],[Delivery ID]],Allocation[Quantity Processed])</f>
        <v>32660</v>
      </c>
      <c r="R411" s="61">
        <f>Allocation[[#This Row],[Total volume used]]/VLOOKUP(Allocation[[#This Row],[Delivery ID]],Delivery[[Delivery ID]:[Quantity delivered]],3,FALSE)</f>
        <v>1</v>
      </c>
      <c r="S411" s="34">
        <f>Allocation[[#This Row],[Quantity Processed]]/Allocation[[#This Row],[Dilution rate]]</f>
        <v>5819.4539249146756</v>
      </c>
      <c r="T411" s="59">
        <f>SUMIF(Allocation[Delivery ID],Allocation[[#This Row],[Delivery ID]],Allocation[Quantity allocated])/SUMIF(Allocation[Delivery ID],Allocation[[#This Row],[Delivery ID]],Allocation[Volume available (kg)])</f>
        <v>1.1767547458665035</v>
      </c>
      <c r="U411" s="61">
        <f>Allocation[[#This Row],[Total volume used]]/VLOOKUP(Allocation[[#This Row],[Delivery ID]],Delivery[[Delivery ID]:[Quantity delivered]],3,FALSE)</f>
        <v>1</v>
      </c>
      <c r="V411" s="34">
        <f>VLOOKUP(Allocation[[#This Row],[SAP Contract number]],Shipments[[SAP Contract number]:[Contracted container weight]],2,FALSE)</f>
        <v>19175</v>
      </c>
      <c r="W411" s="34">
        <f>VLOOKUP(Allocation[[#This Row],[SAP Contract number]],Shipments[[SAP Contract number]:[AAA Premium USD]],24,FALSE)</f>
        <v>6763.7822038320437</v>
      </c>
      <c r="X411" s="34">
        <f>VLOOKUP(Allocation[[#This Row],[SAP Contract number]],Shipments[[SAP Contract number]:[RA Premium USD]],25,FALSE)</f>
        <v>2113.6819386975139</v>
      </c>
      <c r="Y411" s="38">
        <f>Allocation[[#This Row],[Quantity Processed]]/Allocation[[#This Row],[Quantity allocated]]</f>
        <v>2.4899240654205608</v>
      </c>
      <c r="Z411" s="34" t="b">
        <f>Allocation[[#This Row],[Quantity allocated]]&lt;=Allocation[[#This Row],[Quantity Processed]]</f>
        <v>1</v>
      </c>
    </row>
    <row r="412" spans="1:26">
      <c r="A412" s="247" t="s">
        <v>467</v>
      </c>
      <c r="B412" s="160" t="s">
        <v>68</v>
      </c>
      <c r="C412" s="249" t="s">
        <v>1137</v>
      </c>
      <c r="D412" s="250">
        <v>27440</v>
      </c>
      <c r="E412" s="160" t="s">
        <v>1186</v>
      </c>
      <c r="F412" s="158">
        <v>43487</v>
      </c>
      <c r="G412" s="162">
        <v>2.93</v>
      </c>
      <c r="H412" s="250">
        <v>10976</v>
      </c>
      <c r="I412" s="160">
        <v>1423934</v>
      </c>
      <c r="J412" s="163">
        <v>19175</v>
      </c>
      <c r="K412" s="158">
        <v>43494</v>
      </c>
      <c r="L412" s="160" t="s">
        <v>1209</v>
      </c>
      <c r="M412" s="160">
        <v>4615492548</v>
      </c>
      <c r="N412" s="158">
        <v>43516</v>
      </c>
      <c r="O412" s="164">
        <v>3.7094</v>
      </c>
      <c r="P412" s="165">
        <v>19880</v>
      </c>
      <c r="Q412" s="34">
        <f>SUMIF(Allocation[Delivery ID],Allocation[[#This Row],[Delivery ID]],Allocation[Quantity Processed])</f>
        <v>27440</v>
      </c>
      <c r="R412" s="61">
        <f>Allocation[[#This Row],[Total volume used]]/VLOOKUP(Allocation[[#This Row],[Delivery ID]],Delivery[[Delivery ID]:[Quantity delivered]],3,FALSE)</f>
        <v>0.85964912280701755</v>
      </c>
      <c r="S412" s="34">
        <f>Allocation[[#This Row],[Quantity Processed]]/Allocation[[#This Row],[Dilution rate]]</f>
        <v>9365.1877133105791</v>
      </c>
      <c r="T412" s="59">
        <f>SUMIF(Allocation[Delivery ID],Allocation[[#This Row],[Delivery ID]],Allocation[Quantity allocated])/SUMIF(Allocation[Delivery ID],Allocation[[#This Row],[Delivery ID]],Allocation[Volume available (kg)])</f>
        <v>1.1720000000000002</v>
      </c>
      <c r="U412" s="61">
        <f>Allocation[[#This Row],[Total volume used]]/VLOOKUP(Allocation[[#This Row],[Delivery ID]],Delivery[[Delivery ID]:[Quantity delivered]],3,FALSE)</f>
        <v>0.85964912280701755</v>
      </c>
      <c r="V412" s="34">
        <f>VLOOKUP(Allocation[[#This Row],[SAP Contract number]],Shipments[[SAP Contract number]:[Contracted container weight]],2,FALSE)</f>
        <v>19175</v>
      </c>
      <c r="W412" s="34">
        <f>VLOOKUP(Allocation[[#This Row],[SAP Contract number]],Shipments[[SAP Contract number]:[AAA Premium USD]],24,FALSE)</f>
        <v>6763.7822038320437</v>
      </c>
      <c r="X412" s="34">
        <f>VLOOKUP(Allocation[[#This Row],[SAP Contract number]],Shipments[[SAP Contract number]:[RA Premium USD]],25,FALSE)</f>
        <v>2113.6819386975139</v>
      </c>
      <c r="Y412" s="38">
        <f>Allocation[[#This Row],[Quantity Processed]]/Allocation[[#This Row],[Quantity allocated]]</f>
        <v>2.5</v>
      </c>
      <c r="Z412" s="34" t="b">
        <f>Allocation[[#This Row],[Quantity allocated]]&lt;=Allocation[[#This Row],[Quantity Processed]]</f>
        <v>1</v>
      </c>
    </row>
    <row r="413" spans="1:26">
      <c r="A413" s="247" t="s">
        <v>467</v>
      </c>
      <c r="B413" s="160" t="s">
        <v>68</v>
      </c>
      <c r="C413" s="249" t="s">
        <v>1142</v>
      </c>
      <c r="D413" s="250">
        <v>3142</v>
      </c>
      <c r="E413" s="160" t="s">
        <v>1186</v>
      </c>
      <c r="F413" s="158">
        <v>43487</v>
      </c>
      <c r="G413" s="162">
        <v>2.93</v>
      </c>
      <c r="H413" s="250">
        <v>1351</v>
      </c>
      <c r="I413" s="160">
        <v>1423934</v>
      </c>
      <c r="J413" s="163">
        <v>19175</v>
      </c>
      <c r="K413" s="158">
        <v>43494</v>
      </c>
      <c r="L413" s="160" t="s">
        <v>1209</v>
      </c>
      <c r="M413" s="160">
        <v>4615492548</v>
      </c>
      <c r="N413" s="158">
        <v>43516</v>
      </c>
      <c r="O413" s="164">
        <v>3.7094</v>
      </c>
      <c r="P413" s="165">
        <v>19880</v>
      </c>
      <c r="Q413" s="34">
        <f>SUMIF(Allocation[Delivery ID],Allocation[[#This Row],[Delivery ID]],Allocation[Quantity Processed])</f>
        <v>20421</v>
      </c>
      <c r="R413" s="61">
        <f>Allocation[[#This Row],[Total volume used]]/VLOOKUP(Allocation[[#This Row],[Delivery ID]],Delivery[[Delivery ID]:[Quantity delivered]],3,FALSE)</f>
        <v>0.62853185595567862</v>
      </c>
      <c r="S413" s="34">
        <f>Allocation[[#This Row],[Quantity Processed]]/Allocation[[#This Row],[Dilution rate]]</f>
        <v>1072.3549488054607</v>
      </c>
      <c r="T413" s="59">
        <f>SUMIF(Allocation[Delivery ID],Allocation[[#This Row],[Delivery ID]],Allocation[Quantity allocated])/SUMIF(Allocation[Delivery ID],Allocation[[#This Row],[Delivery ID]],Allocation[Volume available (kg)])</f>
        <v>1.259895695607463</v>
      </c>
      <c r="U413" s="61">
        <f>Allocation[[#This Row],[Total volume used]]/VLOOKUP(Allocation[[#This Row],[Delivery ID]],Delivery[[Delivery ID]:[Quantity delivered]],3,FALSE)</f>
        <v>0.62853185595567862</v>
      </c>
      <c r="V413" s="34">
        <f>VLOOKUP(Allocation[[#This Row],[SAP Contract number]],Shipments[[SAP Contract number]:[Contracted container weight]],2,FALSE)</f>
        <v>19175</v>
      </c>
      <c r="W413" s="34">
        <f>VLOOKUP(Allocation[[#This Row],[SAP Contract number]],Shipments[[SAP Contract number]:[AAA Premium USD]],24,FALSE)</f>
        <v>6763.7822038320437</v>
      </c>
      <c r="X413" s="34">
        <f>VLOOKUP(Allocation[[#This Row],[SAP Contract number]],Shipments[[SAP Contract number]:[RA Premium USD]],25,FALSE)</f>
        <v>2113.6819386975139</v>
      </c>
      <c r="Y413" s="38">
        <f>Allocation[[#This Row],[Quantity Processed]]/Allocation[[#This Row],[Quantity allocated]]</f>
        <v>2.3256846780162843</v>
      </c>
      <c r="Z413" s="34" t="b">
        <f>Allocation[[#This Row],[Quantity allocated]]&lt;=Allocation[[#This Row],[Quantity Processed]]</f>
        <v>1</v>
      </c>
    </row>
    <row r="414" spans="1:26">
      <c r="A414" s="247" t="s">
        <v>467</v>
      </c>
      <c r="B414" s="160" t="s">
        <v>68</v>
      </c>
      <c r="C414" s="249" t="s">
        <v>1142</v>
      </c>
      <c r="D414" s="250">
        <v>17279</v>
      </c>
      <c r="E414" s="160" t="s">
        <v>1186</v>
      </c>
      <c r="F414" s="158">
        <v>43487</v>
      </c>
      <c r="G414" s="162">
        <v>2.93</v>
      </c>
      <c r="H414" s="250">
        <v>7430</v>
      </c>
      <c r="I414" s="160">
        <v>1423935</v>
      </c>
      <c r="J414" s="163">
        <v>19175</v>
      </c>
      <c r="K414" s="158">
        <v>43494</v>
      </c>
      <c r="L414" s="160" t="s">
        <v>1210</v>
      </c>
      <c r="M414" s="160">
        <v>4615492548</v>
      </c>
      <c r="N414" s="158">
        <v>43516</v>
      </c>
      <c r="O414" s="164">
        <v>3.7094</v>
      </c>
      <c r="P414" s="165">
        <v>19880</v>
      </c>
      <c r="Q414" s="34">
        <f>SUMIF(Allocation[Delivery ID],Allocation[[#This Row],[Delivery ID]],Allocation[Quantity Processed])</f>
        <v>20421</v>
      </c>
      <c r="R414" s="61">
        <f>Allocation[[#This Row],[Total volume used]]/VLOOKUP(Allocation[[#This Row],[Delivery ID]],Delivery[[Delivery ID]:[Quantity delivered]],3,FALSE)</f>
        <v>0.62853185595567862</v>
      </c>
      <c r="S414" s="34">
        <f>Allocation[[#This Row],[Quantity Processed]]/Allocation[[#This Row],[Dilution rate]]</f>
        <v>5897.2696245733787</v>
      </c>
      <c r="T414" s="59">
        <f>SUMIF(Allocation[Delivery ID],Allocation[[#This Row],[Delivery ID]],Allocation[Quantity allocated])/SUMIF(Allocation[Delivery ID],Allocation[[#This Row],[Delivery ID]],Allocation[Volume available (kg)])</f>
        <v>1.259895695607463</v>
      </c>
      <c r="U414" s="61">
        <f>Allocation[[#This Row],[Total volume used]]/VLOOKUP(Allocation[[#This Row],[Delivery ID]],Delivery[[Delivery ID]:[Quantity delivered]],3,FALSE)</f>
        <v>0.62853185595567862</v>
      </c>
      <c r="V414" s="34">
        <f>VLOOKUP(Allocation[[#This Row],[SAP Contract number]],Shipments[[SAP Contract number]:[Contracted container weight]],2,FALSE)</f>
        <v>19175</v>
      </c>
      <c r="W414" s="34">
        <f>VLOOKUP(Allocation[[#This Row],[SAP Contract number]],Shipments[[SAP Contract number]:[AAA Premium USD]],24,FALSE)</f>
        <v>6763.7822038320437</v>
      </c>
      <c r="X414" s="34">
        <f>VLOOKUP(Allocation[[#This Row],[SAP Contract number]],Shipments[[SAP Contract number]:[RA Premium USD]],25,FALSE)</f>
        <v>2113.6819386975139</v>
      </c>
      <c r="Y414" s="38">
        <f>Allocation[[#This Row],[Quantity Processed]]/Allocation[[#This Row],[Quantity allocated]]</f>
        <v>2.32557200538358</v>
      </c>
      <c r="Z414" s="34" t="b">
        <f>Allocation[[#This Row],[Quantity allocated]]&lt;=Allocation[[#This Row],[Quantity Processed]]</f>
        <v>1</v>
      </c>
    </row>
    <row r="415" spans="1:26">
      <c r="A415" s="247" t="s">
        <v>467</v>
      </c>
      <c r="B415" s="160" t="s">
        <v>68</v>
      </c>
      <c r="C415" s="249" t="s">
        <v>1143</v>
      </c>
      <c r="D415" s="250">
        <v>11853</v>
      </c>
      <c r="E415" s="160" t="s">
        <v>1186</v>
      </c>
      <c r="F415" s="158">
        <v>43487</v>
      </c>
      <c r="G415" s="162">
        <v>2.93</v>
      </c>
      <c r="H415" s="250">
        <v>4741</v>
      </c>
      <c r="I415" s="160">
        <v>1423935</v>
      </c>
      <c r="J415" s="163">
        <v>19175</v>
      </c>
      <c r="K415" s="158">
        <v>43494</v>
      </c>
      <c r="L415" s="160" t="s">
        <v>1210</v>
      </c>
      <c r="M415" s="160">
        <v>4615492548</v>
      </c>
      <c r="N415" s="158">
        <v>43516</v>
      </c>
      <c r="O415" s="164">
        <v>3.7094</v>
      </c>
      <c r="P415" s="165">
        <v>19880</v>
      </c>
      <c r="Q415" s="34">
        <f>SUMIF(Allocation[Delivery ID],Allocation[[#This Row],[Delivery ID]],Allocation[Quantity Processed])</f>
        <v>11853</v>
      </c>
      <c r="R415" s="61">
        <f>Allocation[[#This Row],[Total volume used]]/VLOOKUP(Allocation[[#This Row],[Delivery ID]],Delivery[[Delivery ID]:[Quantity delivered]],3,FALSE)</f>
        <v>0.85704989154013012</v>
      </c>
      <c r="S415" s="34">
        <f>Allocation[[#This Row],[Quantity Processed]]/Allocation[[#This Row],[Dilution rate]]</f>
        <v>4045.3924914675767</v>
      </c>
      <c r="T415" s="59">
        <f>SUMIF(Allocation[Delivery ID],Allocation[[#This Row],[Delivery ID]],Allocation[Quantity allocated])/SUMIF(Allocation[Delivery ID],Allocation[[#This Row],[Delivery ID]],Allocation[Volume available (kg)])</f>
        <v>1.1719505610393994</v>
      </c>
      <c r="U415" s="61">
        <f>Allocation[[#This Row],[Total volume used]]/VLOOKUP(Allocation[[#This Row],[Delivery ID]],Delivery[[Delivery ID]:[Quantity delivered]],3,FALSE)</f>
        <v>0.85704989154013012</v>
      </c>
      <c r="V415" s="34">
        <f>VLOOKUP(Allocation[[#This Row],[SAP Contract number]],Shipments[[SAP Contract number]:[Contracted container weight]],2,FALSE)</f>
        <v>19175</v>
      </c>
      <c r="W415" s="34">
        <f>VLOOKUP(Allocation[[#This Row],[SAP Contract number]],Shipments[[SAP Contract number]:[AAA Premium USD]],24,FALSE)</f>
        <v>6763.7822038320437</v>
      </c>
      <c r="X415" s="34">
        <f>VLOOKUP(Allocation[[#This Row],[SAP Contract number]],Shipments[[SAP Contract number]:[RA Premium USD]],25,FALSE)</f>
        <v>2113.6819386975139</v>
      </c>
      <c r="Y415" s="38">
        <f>Allocation[[#This Row],[Quantity Processed]]/Allocation[[#This Row],[Quantity allocated]]</f>
        <v>2.5001054629824933</v>
      </c>
      <c r="Z415" s="34" t="b">
        <f>Allocation[[#This Row],[Quantity allocated]]&lt;=Allocation[[#This Row],[Quantity Processed]]</f>
        <v>1</v>
      </c>
    </row>
    <row r="416" spans="1:26">
      <c r="A416" s="247" t="s">
        <v>467</v>
      </c>
      <c r="B416" s="160" t="s">
        <v>68</v>
      </c>
      <c r="C416" s="249" t="s">
        <v>1144</v>
      </c>
      <c r="D416" s="250">
        <v>16288</v>
      </c>
      <c r="E416" s="160" t="s">
        <v>1186</v>
      </c>
      <c r="F416" s="158">
        <v>43487</v>
      </c>
      <c r="G416" s="162">
        <v>2.93</v>
      </c>
      <c r="H416" s="250">
        <v>7004</v>
      </c>
      <c r="I416" s="160">
        <v>1423935</v>
      </c>
      <c r="J416" s="163">
        <v>19175</v>
      </c>
      <c r="K416" s="158">
        <v>43494</v>
      </c>
      <c r="L416" s="160" t="s">
        <v>1210</v>
      </c>
      <c r="M416" s="160">
        <v>4615492548</v>
      </c>
      <c r="N416" s="158">
        <v>43516</v>
      </c>
      <c r="O416" s="164">
        <v>3.7094</v>
      </c>
      <c r="P416" s="165">
        <v>19880</v>
      </c>
      <c r="Q416" s="34">
        <f>SUMIF(Allocation[Delivery ID],Allocation[[#This Row],[Delivery ID]],Allocation[Quantity Processed])</f>
        <v>20228</v>
      </c>
      <c r="R416" s="61">
        <f>Allocation[[#This Row],[Total volume used]]/VLOOKUP(Allocation[[#This Row],[Delivery ID]],Delivery[[Delivery ID]:[Quantity delivered]],3,FALSE)</f>
        <v>0.63074524477705018</v>
      </c>
      <c r="S416" s="34">
        <f>Allocation[[#This Row],[Quantity Processed]]/Allocation[[#This Row],[Dilution rate]]</f>
        <v>5559.044368600682</v>
      </c>
      <c r="T416" s="59">
        <f>SUMIF(Allocation[Delivery ID],Allocation[[#This Row],[Delivery ID]],Allocation[Quantity allocated])/SUMIF(Allocation[Delivery ID],Allocation[[#This Row],[Delivery ID]],Allocation[Volume available (kg)])</f>
        <v>1.2598942060510185</v>
      </c>
      <c r="U416" s="61">
        <f>Allocation[[#This Row],[Total volume used]]/VLOOKUP(Allocation[[#This Row],[Delivery ID]],Delivery[[Delivery ID]:[Quantity delivered]],3,FALSE)</f>
        <v>0.63074524477705018</v>
      </c>
      <c r="V416" s="34">
        <f>VLOOKUP(Allocation[[#This Row],[SAP Contract number]],Shipments[[SAP Contract number]:[Contracted container weight]],2,FALSE)</f>
        <v>19175</v>
      </c>
      <c r="W416" s="34">
        <f>VLOOKUP(Allocation[[#This Row],[SAP Contract number]],Shipments[[SAP Contract number]:[AAA Premium USD]],24,FALSE)</f>
        <v>6763.7822038320437</v>
      </c>
      <c r="X416" s="34">
        <f>VLOOKUP(Allocation[[#This Row],[SAP Contract number]],Shipments[[SAP Contract number]:[RA Premium USD]],25,FALSE)</f>
        <v>2113.6819386975139</v>
      </c>
      <c r="Y416" s="38">
        <f>Allocation[[#This Row],[Quantity Processed]]/Allocation[[#This Row],[Quantity allocated]]</f>
        <v>2.3255282695602513</v>
      </c>
      <c r="Z416" s="34" t="b">
        <f>Allocation[[#This Row],[Quantity allocated]]&lt;=Allocation[[#This Row],[Quantity Processed]]</f>
        <v>1</v>
      </c>
    </row>
    <row r="417" spans="1:26">
      <c r="A417" s="247" t="s">
        <v>467</v>
      </c>
      <c r="B417" s="160" t="s">
        <v>68</v>
      </c>
      <c r="C417" s="249" t="s">
        <v>1144</v>
      </c>
      <c r="D417" s="250">
        <v>3940</v>
      </c>
      <c r="E417" s="160" t="s">
        <v>1186</v>
      </c>
      <c r="F417" s="158">
        <v>43487</v>
      </c>
      <c r="G417" s="162">
        <v>2.93</v>
      </c>
      <c r="H417" s="250">
        <v>1694</v>
      </c>
      <c r="I417" s="160">
        <v>1423936</v>
      </c>
      <c r="J417" s="163">
        <v>19175</v>
      </c>
      <c r="K417" s="158">
        <v>43494</v>
      </c>
      <c r="L417" s="160" t="s">
        <v>1211</v>
      </c>
      <c r="M417" s="160">
        <v>4615492548</v>
      </c>
      <c r="N417" s="158">
        <v>43516</v>
      </c>
      <c r="O417" s="164">
        <v>3.7094</v>
      </c>
      <c r="P417" s="165">
        <v>19880</v>
      </c>
      <c r="Q417" s="34">
        <f>SUMIF(Allocation[Delivery ID],Allocation[[#This Row],[Delivery ID]],Allocation[Quantity Processed])</f>
        <v>20228</v>
      </c>
      <c r="R417" s="61">
        <f>Allocation[[#This Row],[Total volume used]]/VLOOKUP(Allocation[[#This Row],[Delivery ID]],Delivery[[Delivery ID]:[Quantity delivered]],3,FALSE)</f>
        <v>0.63074524477705018</v>
      </c>
      <c r="S417" s="34">
        <f>Allocation[[#This Row],[Quantity Processed]]/Allocation[[#This Row],[Dilution rate]]</f>
        <v>1344.7098976109214</v>
      </c>
      <c r="T417" s="59">
        <f>SUMIF(Allocation[Delivery ID],Allocation[[#This Row],[Delivery ID]],Allocation[Quantity allocated])/SUMIF(Allocation[Delivery ID],Allocation[[#This Row],[Delivery ID]],Allocation[Volume available (kg)])</f>
        <v>1.2598942060510185</v>
      </c>
      <c r="U417" s="61">
        <f>Allocation[[#This Row],[Total volume used]]/VLOOKUP(Allocation[[#This Row],[Delivery ID]],Delivery[[Delivery ID]:[Quantity delivered]],3,FALSE)</f>
        <v>0.63074524477705018</v>
      </c>
      <c r="V417" s="34">
        <f>VLOOKUP(Allocation[[#This Row],[SAP Contract number]],Shipments[[SAP Contract number]:[Contracted container weight]],2,FALSE)</f>
        <v>19175</v>
      </c>
      <c r="W417" s="34">
        <f>VLOOKUP(Allocation[[#This Row],[SAP Contract number]],Shipments[[SAP Contract number]:[AAA Premium USD]],24,FALSE)</f>
        <v>6763.7822038320437</v>
      </c>
      <c r="X417" s="34">
        <f>VLOOKUP(Allocation[[#This Row],[SAP Contract number]],Shipments[[SAP Contract number]:[RA Premium USD]],25,FALSE)</f>
        <v>2113.6819386975139</v>
      </c>
      <c r="Y417" s="38">
        <f>Allocation[[#This Row],[Quantity Processed]]/Allocation[[#This Row],[Quantity allocated]]</f>
        <v>2.3258559622195984</v>
      </c>
      <c r="Z417" s="34" t="b">
        <f>Allocation[[#This Row],[Quantity allocated]]&lt;=Allocation[[#This Row],[Quantity Processed]]</f>
        <v>1</v>
      </c>
    </row>
    <row r="418" spans="1:26">
      <c r="A418" s="247" t="s">
        <v>467</v>
      </c>
      <c r="B418" s="160" t="s">
        <v>68</v>
      </c>
      <c r="C418" s="249" t="s">
        <v>1145</v>
      </c>
      <c r="D418" s="250">
        <v>20419</v>
      </c>
      <c r="E418" s="160" t="s">
        <v>1186</v>
      </c>
      <c r="F418" s="158">
        <v>43487</v>
      </c>
      <c r="G418" s="162">
        <v>2.93</v>
      </c>
      <c r="H418" s="250">
        <v>8780</v>
      </c>
      <c r="I418" s="160">
        <v>1423936</v>
      </c>
      <c r="J418" s="163">
        <v>19175</v>
      </c>
      <c r="K418" s="158">
        <v>43494</v>
      </c>
      <c r="L418" s="160" t="s">
        <v>1211</v>
      </c>
      <c r="M418" s="160">
        <v>4615492548</v>
      </c>
      <c r="N418" s="158">
        <v>43516</v>
      </c>
      <c r="O418" s="164">
        <v>3.7094</v>
      </c>
      <c r="P418" s="165">
        <v>19880</v>
      </c>
      <c r="Q418" s="34">
        <f>SUMIF(Allocation[Delivery ID],Allocation[[#This Row],[Delivery ID]],Allocation[Quantity Processed])</f>
        <v>20419</v>
      </c>
      <c r="R418" s="61">
        <f>Allocation[[#This Row],[Total volume used]]/VLOOKUP(Allocation[[#This Row],[Delivery ID]],Delivery[[Delivery ID]:[Quantity delivered]],3,FALSE)</f>
        <v>0.63080012357120796</v>
      </c>
      <c r="S418" s="34">
        <f>Allocation[[#This Row],[Quantity Processed]]/Allocation[[#This Row],[Dilution rate]]</f>
        <v>6968.9419795221838</v>
      </c>
      <c r="T418" s="59">
        <f>SUMIF(Allocation[Delivery ID],Allocation[[#This Row],[Delivery ID]],Allocation[Quantity allocated])/SUMIF(Allocation[Delivery ID],Allocation[[#This Row],[Delivery ID]],Allocation[Volume available (kg)])</f>
        <v>1.2598756060531859</v>
      </c>
      <c r="U418" s="61">
        <f>Allocation[[#This Row],[Total volume used]]/VLOOKUP(Allocation[[#This Row],[Delivery ID]],Delivery[[Delivery ID]:[Quantity delivered]],3,FALSE)</f>
        <v>0.63080012357120796</v>
      </c>
      <c r="V418" s="34">
        <f>VLOOKUP(Allocation[[#This Row],[SAP Contract number]],Shipments[[SAP Contract number]:[Contracted container weight]],2,FALSE)</f>
        <v>19175</v>
      </c>
      <c r="W418" s="34">
        <f>VLOOKUP(Allocation[[#This Row],[SAP Contract number]],Shipments[[SAP Contract number]:[AAA Premium USD]],24,FALSE)</f>
        <v>6763.7822038320437</v>
      </c>
      <c r="X418" s="34">
        <f>VLOOKUP(Allocation[[#This Row],[SAP Contract number]],Shipments[[SAP Contract number]:[RA Premium USD]],25,FALSE)</f>
        <v>2113.6819386975139</v>
      </c>
      <c r="Y418" s="38">
        <f>Allocation[[#This Row],[Quantity Processed]]/Allocation[[#This Row],[Quantity allocated]]</f>
        <v>2.3256264236902049</v>
      </c>
      <c r="Z418" s="34" t="b">
        <f>Allocation[[#This Row],[Quantity allocated]]&lt;=Allocation[[#This Row],[Quantity Processed]]</f>
        <v>1</v>
      </c>
    </row>
    <row r="419" spans="1:26">
      <c r="A419" s="247" t="s">
        <v>467</v>
      </c>
      <c r="B419" s="160" t="s">
        <v>68</v>
      </c>
      <c r="C419" s="249" t="s">
        <v>1150</v>
      </c>
      <c r="D419" s="250">
        <v>20235</v>
      </c>
      <c r="E419" s="160" t="s">
        <v>1186</v>
      </c>
      <c r="F419" s="158">
        <v>43487</v>
      </c>
      <c r="G419" s="162">
        <v>2.93</v>
      </c>
      <c r="H419" s="161">
        <v>8701</v>
      </c>
      <c r="I419" s="160">
        <v>1423936</v>
      </c>
      <c r="J419" s="163">
        <v>19175</v>
      </c>
      <c r="K419" s="158">
        <v>43494</v>
      </c>
      <c r="L419" s="160" t="s">
        <v>1211</v>
      </c>
      <c r="M419" s="160">
        <v>4615492548</v>
      </c>
      <c r="N419" s="158">
        <v>43516</v>
      </c>
      <c r="O419" s="164">
        <v>3.7094</v>
      </c>
      <c r="P419" s="165">
        <v>19880</v>
      </c>
      <c r="Q419" s="34">
        <f>SUMIF(Allocation[Delivery ID],Allocation[[#This Row],[Delivery ID]],Allocation[Quantity Processed])</f>
        <v>20235</v>
      </c>
      <c r="R419" s="61">
        <f>Allocation[[#This Row],[Total volume used]]/VLOOKUP(Allocation[[#This Row],[Delivery ID]],Delivery[[Delivery ID]:[Quantity delivered]],3,FALSE)</f>
        <v>0.63532182103610679</v>
      </c>
      <c r="S419" s="34">
        <f>Allocation[[#This Row],[Quantity Processed]]/Allocation[[#This Row],[Dilution rate]]</f>
        <v>6906.1433447098971</v>
      </c>
      <c r="T419" s="59">
        <f>SUMIF(Allocation[Delivery ID],Allocation[[#This Row],[Delivery ID]],Allocation[Quantity allocated])/SUMIF(Allocation[Delivery ID],Allocation[[#This Row],[Delivery ID]],Allocation[Volume available (kg)])</f>
        <v>1.2598927600691872</v>
      </c>
      <c r="U419" s="61">
        <f>Allocation[[#This Row],[Total volume used]]/VLOOKUP(Allocation[[#This Row],[Delivery ID]],Delivery[[Delivery ID]:[Quantity delivered]],3,FALSE)</f>
        <v>0.63532182103610679</v>
      </c>
      <c r="V419" s="34">
        <f>VLOOKUP(Allocation[[#This Row],[SAP Contract number]],Shipments[[SAP Contract number]:[Contracted container weight]],2,FALSE)</f>
        <v>19175</v>
      </c>
      <c r="W419" s="34">
        <f>VLOOKUP(Allocation[[#This Row],[SAP Contract number]],Shipments[[SAP Contract number]:[AAA Premium USD]],24,FALSE)</f>
        <v>6763.7822038320437</v>
      </c>
      <c r="X419" s="34">
        <f>VLOOKUP(Allocation[[#This Row],[SAP Contract number]],Shipments[[SAP Contract number]:[RA Premium USD]],25,FALSE)</f>
        <v>2113.6819386975139</v>
      </c>
      <c r="Y419" s="38">
        <f>Allocation[[#This Row],[Quantity Processed]]/Allocation[[#This Row],[Quantity allocated]]</f>
        <v>2.3255947592230779</v>
      </c>
      <c r="Z419" s="34" t="b">
        <f>Allocation[[#This Row],[Quantity allocated]]&lt;=Allocation[[#This Row],[Quantity Processed]]</f>
        <v>1</v>
      </c>
    </row>
    <row r="420" spans="1:26">
      <c r="A420" s="247" t="s">
        <v>467</v>
      </c>
      <c r="B420" s="160" t="s">
        <v>68</v>
      </c>
      <c r="C420" s="249" t="s">
        <v>547</v>
      </c>
      <c r="D420" s="251">
        <v>3814</v>
      </c>
      <c r="E420" s="160" t="s">
        <v>1212</v>
      </c>
      <c r="F420" s="158">
        <v>43495</v>
      </c>
      <c r="G420" s="162">
        <v>2.1</v>
      </c>
      <c r="H420" s="159">
        <v>1678</v>
      </c>
      <c r="I420" s="166">
        <v>1428318</v>
      </c>
      <c r="J420" s="163">
        <v>21600</v>
      </c>
      <c r="K420" s="158">
        <v>43499</v>
      </c>
      <c r="L420" s="160" t="s">
        <v>1213</v>
      </c>
      <c r="M420" s="160">
        <v>4615485015</v>
      </c>
      <c r="N420" s="158">
        <v>43592</v>
      </c>
      <c r="O420" s="164">
        <v>3.9874000000000001</v>
      </c>
      <c r="P420" s="165">
        <v>19525</v>
      </c>
      <c r="Q420" s="34">
        <f>SUMIF(Allocation[Delivery ID],Allocation[[#This Row],[Delivery ID]],Allocation[Quantity Processed])</f>
        <v>8706</v>
      </c>
      <c r="R420" s="61">
        <f>Allocation[[#This Row],[Total volume used]]/VLOOKUP(Allocation[[#This Row],[Delivery ID]],Delivery[[Delivery ID]:[Quantity delivered]],3,FALSE)</f>
        <v>0.72550000000000003</v>
      </c>
      <c r="S420" s="34">
        <f>Allocation[[#This Row],[Quantity Processed]]/Allocation[[#This Row],[Dilution rate]]</f>
        <v>1816.1904761904761</v>
      </c>
      <c r="T420" s="59">
        <f>SUMIF(Allocation[Delivery ID],Allocation[[#This Row],[Delivery ID]],Allocation[Quantity allocated])/SUMIF(Allocation[Delivery ID],Allocation[[#This Row],[Delivery ID]],Allocation[Volume available (kg)])</f>
        <v>1.0493621698535043</v>
      </c>
      <c r="U420" s="61">
        <f>Allocation[[#This Row],[Total volume used]]/VLOOKUP(Allocation[[#This Row],[Delivery ID]],Delivery[[Delivery ID]:[Quantity delivered]],3,FALSE)</f>
        <v>0.72550000000000003</v>
      </c>
      <c r="V420" s="34" t="e">
        <f>VLOOKUP(Allocation[[#This Row],[SAP Contract number]],Shipments[[SAP Contract number]:[Contracted container weight]],2,FALSE)</f>
        <v>#N/A</v>
      </c>
      <c r="W420" s="34" t="e">
        <f>VLOOKUP(Allocation[[#This Row],[SAP Contract number]],Shipments[[SAP Contract number]:[AAA Premium USD]],24,FALSE)</f>
        <v>#N/A</v>
      </c>
      <c r="X420" s="34" t="e">
        <f>VLOOKUP(Allocation[[#This Row],[SAP Contract number]],Shipments[[SAP Contract number]:[RA Premium USD]],25,FALSE)</f>
        <v>#N/A</v>
      </c>
      <c r="Y420" s="38">
        <f>Allocation[[#This Row],[Quantity Processed]]/Allocation[[#This Row],[Quantity allocated]]</f>
        <v>2.2729439809296781</v>
      </c>
      <c r="Z420" s="34" t="b">
        <f>Allocation[[#This Row],[Quantity allocated]]&lt;=Allocation[[#This Row],[Quantity Processed]]</f>
        <v>1</v>
      </c>
    </row>
    <row r="421" spans="1:26">
      <c r="A421" s="247" t="s">
        <v>467</v>
      </c>
      <c r="B421" s="160" t="s">
        <v>68</v>
      </c>
      <c r="C421" s="249" t="s">
        <v>549</v>
      </c>
      <c r="D421" s="161">
        <v>1286</v>
      </c>
      <c r="E421" s="160" t="s">
        <v>1212</v>
      </c>
      <c r="F421" s="158">
        <v>43495</v>
      </c>
      <c r="G421" s="162">
        <v>2.1</v>
      </c>
      <c r="H421" s="159">
        <v>630</v>
      </c>
      <c r="I421" s="166">
        <v>1428318</v>
      </c>
      <c r="J421" s="163">
        <v>21600</v>
      </c>
      <c r="K421" s="158">
        <v>43499</v>
      </c>
      <c r="L421" s="160" t="s">
        <v>1213</v>
      </c>
      <c r="M421" s="160">
        <v>4615485015</v>
      </c>
      <c r="N421" s="158">
        <v>43592</v>
      </c>
      <c r="O421" s="164">
        <v>3.9874000000000001</v>
      </c>
      <c r="P421" s="165">
        <v>19525</v>
      </c>
      <c r="Q421" s="34">
        <f>SUMIF(Allocation[Delivery ID],Allocation[[#This Row],[Delivery ID]],Allocation[Quantity Processed])</f>
        <v>5072</v>
      </c>
      <c r="R421" s="61">
        <f>Allocation[[#This Row],[Total volume used]]/VLOOKUP(Allocation[[#This Row],[Delivery ID]],Delivery[[Delivery ID]:[Quantity delivered]],3,FALSE)</f>
        <v>0.84533333333333338</v>
      </c>
      <c r="S421" s="34">
        <f>Allocation[[#This Row],[Quantity Processed]]/Allocation[[#This Row],[Dilution rate]]</f>
        <v>612.38095238095241</v>
      </c>
      <c r="T421" s="59">
        <f>SUMIF(Allocation[Delivery ID],Allocation[[#This Row],[Delivery ID]],Allocation[Quantity allocated])/SUMIF(Allocation[Delivery ID],Allocation[[#This Row],[Delivery ID]],Allocation[Volume available (kg)])</f>
        <v>1.2229337091198389</v>
      </c>
      <c r="U421" s="61">
        <f>Allocation[[#This Row],[Total volume used]]/VLOOKUP(Allocation[[#This Row],[Delivery ID]],Delivery[[Delivery ID]:[Quantity delivered]],3,FALSE)</f>
        <v>0.84533333333333338</v>
      </c>
      <c r="V421" s="34" t="e">
        <f>VLOOKUP(Allocation[[#This Row],[SAP Contract number]],Shipments[[SAP Contract number]:[Contracted container weight]],2,FALSE)</f>
        <v>#N/A</v>
      </c>
      <c r="W421" s="34" t="e">
        <f>VLOOKUP(Allocation[[#This Row],[SAP Contract number]],Shipments[[SAP Contract number]:[AAA Premium USD]],24,FALSE)</f>
        <v>#N/A</v>
      </c>
      <c r="X421" s="34" t="e">
        <f>VLOOKUP(Allocation[[#This Row],[SAP Contract number]],Shipments[[SAP Contract number]:[RA Premium USD]],25,FALSE)</f>
        <v>#N/A</v>
      </c>
      <c r="Y421" s="38">
        <f>Allocation[[#This Row],[Quantity Processed]]/Allocation[[#This Row],[Quantity allocated]]</f>
        <v>2.0412698412698411</v>
      </c>
      <c r="Z421" s="34" t="b">
        <f>Allocation[[#This Row],[Quantity allocated]]&lt;=Allocation[[#This Row],[Quantity Processed]]</f>
        <v>1</v>
      </c>
    </row>
    <row r="422" spans="1:26">
      <c r="A422" s="247" t="s">
        <v>467</v>
      </c>
      <c r="B422" s="160" t="s">
        <v>68</v>
      </c>
      <c r="C422" s="249" t="s">
        <v>551</v>
      </c>
      <c r="D422" s="161">
        <v>12191</v>
      </c>
      <c r="E422" s="160" t="s">
        <v>1212</v>
      </c>
      <c r="F422" s="158">
        <v>43495</v>
      </c>
      <c r="G422" s="162">
        <v>2.1</v>
      </c>
      <c r="H422" s="159">
        <v>4023</v>
      </c>
      <c r="I422" s="166">
        <v>1428318</v>
      </c>
      <c r="J422" s="163">
        <v>21600</v>
      </c>
      <c r="K422" s="158">
        <v>43499</v>
      </c>
      <c r="L422" s="160" t="s">
        <v>1213</v>
      </c>
      <c r="M422" s="160">
        <v>4615485015</v>
      </c>
      <c r="N422" s="158">
        <v>43592</v>
      </c>
      <c r="O422" s="164">
        <v>3.9874000000000001</v>
      </c>
      <c r="P422" s="165">
        <v>19525</v>
      </c>
      <c r="Q422" s="34">
        <f>SUMIF(Allocation[Delivery ID],Allocation[[#This Row],[Delivery ID]],Allocation[Quantity Processed])</f>
        <v>15141</v>
      </c>
      <c r="R422" s="61">
        <f>Allocation[[#This Row],[Total volume used]]/VLOOKUP(Allocation[[#This Row],[Delivery ID]],Delivery[[Delivery ID]:[Quantity delivered]],3,FALSE)</f>
        <v>0.67443207126948779</v>
      </c>
      <c r="S422" s="34">
        <f>Allocation[[#This Row],[Quantity Processed]]/Allocation[[#This Row],[Dilution rate]]</f>
        <v>5805.2380952380954</v>
      </c>
      <c r="T422" s="59">
        <f>SUMIF(Allocation[Delivery ID],Allocation[[#This Row],[Delivery ID]],Allocation[Quantity allocated])/SUMIF(Allocation[Delivery ID],Allocation[[#This Row],[Delivery ID]],Allocation[Volume available (kg)])</f>
        <v>0.72304231515186435</v>
      </c>
      <c r="U422" s="61">
        <f>Allocation[[#This Row],[Total volume used]]/VLOOKUP(Allocation[[#This Row],[Delivery ID]],Delivery[[Delivery ID]:[Quantity delivered]],3,FALSE)</f>
        <v>0.67443207126948779</v>
      </c>
      <c r="V422" s="34" t="e">
        <f>VLOOKUP(Allocation[[#This Row],[SAP Contract number]],Shipments[[SAP Contract number]:[Contracted container weight]],2,FALSE)</f>
        <v>#N/A</v>
      </c>
      <c r="W422" s="34" t="e">
        <f>VLOOKUP(Allocation[[#This Row],[SAP Contract number]],Shipments[[SAP Contract number]:[AAA Premium USD]],24,FALSE)</f>
        <v>#N/A</v>
      </c>
      <c r="X422" s="34" t="e">
        <f>VLOOKUP(Allocation[[#This Row],[SAP Contract number]],Shipments[[SAP Contract number]:[RA Premium USD]],25,FALSE)</f>
        <v>#N/A</v>
      </c>
      <c r="Y422" s="38">
        <f>Allocation[[#This Row],[Quantity Processed]]/Allocation[[#This Row],[Quantity allocated]]</f>
        <v>3.0303256276410639</v>
      </c>
      <c r="Z422" s="34" t="b">
        <f>Allocation[[#This Row],[Quantity allocated]]&lt;=Allocation[[#This Row],[Quantity Processed]]</f>
        <v>1</v>
      </c>
    </row>
    <row r="423" spans="1:26">
      <c r="A423" s="247" t="s">
        <v>467</v>
      </c>
      <c r="B423" s="160" t="s">
        <v>68</v>
      </c>
      <c r="C423" s="249" t="s">
        <v>553</v>
      </c>
      <c r="D423" s="161">
        <v>12485</v>
      </c>
      <c r="E423" s="160" t="s">
        <v>1212</v>
      </c>
      <c r="F423" s="158">
        <v>43495</v>
      </c>
      <c r="G423" s="162">
        <v>2.1</v>
      </c>
      <c r="H423" s="159">
        <v>4120</v>
      </c>
      <c r="I423" s="166">
        <v>1428318</v>
      </c>
      <c r="J423" s="163">
        <v>21600</v>
      </c>
      <c r="K423" s="158">
        <v>43499</v>
      </c>
      <c r="L423" s="160" t="s">
        <v>1213</v>
      </c>
      <c r="M423" s="160">
        <v>4615485015</v>
      </c>
      <c r="N423" s="158">
        <v>43592</v>
      </c>
      <c r="O423" s="164">
        <v>3.9874000000000001</v>
      </c>
      <c r="P423" s="165">
        <v>19525</v>
      </c>
      <c r="Q423" s="34">
        <f>SUMIF(Allocation[Delivery ID],Allocation[[#This Row],[Delivery ID]],Allocation[Quantity Processed])</f>
        <v>15504</v>
      </c>
      <c r="R423" s="61">
        <f>Allocation[[#This Row],[Total volume used]]/VLOOKUP(Allocation[[#This Row],[Delivery ID]],Delivery[[Delivery ID]:[Quantity delivered]],3,FALSE)</f>
        <v>0.67555555555555558</v>
      </c>
      <c r="S423" s="34">
        <f>Allocation[[#This Row],[Quantity Processed]]/Allocation[[#This Row],[Dilution rate]]</f>
        <v>5945.2380952380954</v>
      </c>
      <c r="T423" s="59">
        <f>SUMIF(Allocation[Delivery ID],Allocation[[#This Row],[Delivery ID]],Allocation[Quantity allocated])/SUMIF(Allocation[Delivery ID],Allocation[[#This Row],[Delivery ID]],Allocation[Volume available (kg)])</f>
        <v>0.72304788105801232</v>
      </c>
      <c r="U423" s="61">
        <f>Allocation[[#This Row],[Total volume used]]/VLOOKUP(Allocation[[#This Row],[Delivery ID]],Delivery[[Delivery ID]:[Quantity delivered]],3,FALSE)</f>
        <v>0.67555555555555558</v>
      </c>
      <c r="V423" s="34" t="e">
        <f>VLOOKUP(Allocation[[#This Row],[SAP Contract number]],Shipments[[SAP Contract number]:[Contracted container weight]],2,FALSE)</f>
        <v>#N/A</v>
      </c>
      <c r="W423" s="34" t="e">
        <f>VLOOKUP(Allocation[[#This Row],[SAP Contract number]],Shipments[[SAP Contract number]:[AAA Premium USD]],24,FALSE)</f>
        <v>#N/A</v>
      </c>
      <c r="X423" s="34" t="e">
        <f>VLOOKUP(Allocation[[#This Row],[SAP Contract number]],Shipments[[SAP Contract number]:[RA Premium USD]],25,FALSE)</f>
        <v>#N/A</v>
      </c>
      <c r="Y423" s="38">
        <f>Allocation[[#This Row],[Quantity Processed]]/Allocation[[#This Row],[Quantity allocated]]</f>
        <v>3.0303398058252426</v>
      </c>
      <c r="Z423" s="34" t="b">
        <f>Allocation[[#This Row],[Quantity allocated]]&lt;=Allocation[[#This Row],[Quantity Processed]]</f>
        <v>1</v>
      </c>
    </row>
    <row r="424" spans="1:26">
      <c r="A424" s="247" t="s">
        <v>467</v>
      </c>
      <c r="B424" s="160" t="s">
        <v>68</v>
      </c>
      <c r="C424" s="249" t="s">
        <v>554</v>
      </c>
      <c r="D424" s="161">
        <v>10691</v>
      </c>
      <c r="E424" s="160" t="s">
        <v>1212</v>
      </c>
      <c r="F424" s="158">
        <v>43495</v>
      </c>
      <c r="G424" s="162">
        <v>2.1</v>
      </c>
      <c r="H424" s="159">
        <v>3528</v>
      </c>
      <c r="I424" s="166">
        <v>1428318</v>
      </c>
      <c r="J424" s="163">
        <v>21600</v>
      </c>
      <c r="K424" s="158">
        <v>43499</v>
      </c>
      <c r="L424" s="160" t="s">
        <v>1213</v>
      </c>
      <c r="M424" s="160">
        <v>4615485015</v>
      </c>
      <c r="N424" s="158">
        <v>43592</v>
      </c>
      <c r="O424" s="164">
        <v>3.9874000000000001</v>
      </c>
      <c r="P424" s="165">
        <v>19525</v>
      </c>
      <c r="Q424" s="34">
        <f>SUMIF(Allocation[Delivery ID],Allocation[[#This Row],[Delivery ID]],Allocation[Quantity Processed])</f>
        <v>13277</v>
      </c>
      <c r="R424" s="61">
        <f>Allocation[[#This Row],[Total volume used]]/VLOOKUP(Allocation[[#This Row],[Delivery ID]],Delivery[[Delivery ID]:[Quantity delivered]],3,FALSE)</f>
        <v>0.67464430894308947</v>
      </c>
      <c r="S424" s="34">
        <f>Allocation[[#This Row],[Quantity Processed]]/Allocation[[#This Row],[Dilution rate]]</f>
        <v>5090.9523809523807</v>
      </c>
      <c r="T424" s="59">
        <f>SUMIF(Allocation[Delivery ID],Allocation[[#This Row],[Delivery ID]],Allocation[Quantity allocated])/SUMIF(Allocation[Delivery ID],Allocation[[#This Row],[Delivery ID]],Allocation[Volume available (kg)])</f>
        <v>0.72304006354556072</v>
      </c>
      <c r="U424" s="61">
        <f>Allocation[[#This Row],[Total volume used]]/VLOOKUP(Allocation[[#This Row],[Delivery ID]],Delivery[[Delivery ID]:[Quantity delivered]],3,FALSE)</f>
        <v>0.67464430894308947</v>
      </c>
      <c r="V424" s="34" t="e">
        <f>VLOOKUP(Allocation[[#This Row],[SAP Contract number]],Shipments[[SAP Contract number]:[Contracted container weight]],2,FALSE)</f>
        <v>#N/A</v>
      </c>
      <c r="W424" s="34" t="e">
        <f>VLOOKUP(Allocation[[#This Row],[SAP Contract number]],Shipments[[SAP Contract number]:[AAA Premium USD]],24,FALSE)</f>
        <v>#N/A</v>
      </c>
      <c r="X424" s="34" t="e">
        <f>VLOOKUP(Allocation[[#This Row],[SAP Contract number]],Shipments[[SAP Contract number]:[RA Premium USD]],25,FALSE)</f>
        <v>#N/A</v>
      </c>
      <c r="Y424" s="38">
        <f>Allocation[[#This Row],[Quantity Processed]]/Allocation[[#This Row],[Quantity allocated]]</f>
        <v>3.0303287981859413</v>
      </c>
      <c r="Z424" s="34" t="b">
        <f>Allocation[[#This Row],[Quantity allocated]]&lt;=Allocation[[#This Row],[Quantity Processed]]</f>
        <v>1</v>
      </c>
    </row>
    <row r="425" spans="1:26">
      <c r="A425" s="247" t="s">
        <v>467</v>
      </c>
      <c r="B425" s="160" t="s">
        <v>68</v>
      </c>
      <c r="C425" s="249" t="s">
        <v>557</v>
      </c>
      <c r="D425" s="161">
        <v>4670</v>
      </c>
      <c r="E425" s="160" t="s">
        <v>1212</v>
      </c>
      <c r="F425" s="158">
        <v>43495</v>
      </c>
      <c r="G425" s="162">
        <v>2.1</v>
      </c>
      <c r="H425" s="159">
        <v>1401</v>
      </c>
      <c r="I425" s="166">
        <v>1428318</v>
      </c>
      <c r="J425" s="163">
        <v>21600</v>
      </c>
      <c r="K425" s="158">
        <v>43499</v>
      </c>
      <c r="L425" s="160" t="s">
        <v>1213</v>
      </c>
      <c r="M425" s="160">
        <v>4615485015</v>
      </c>
      <c r="N425" s="158">
        <v>43592</v>
      </c>
      <c r="O425" s="164">
        <v>3.9874000000000001</v>
      </c>
      <c r="P425" s="165">
        <v>19525</v>
      </c>
      <c r="Q425" s="34">
        <f>SUMIF(Allocation[Delivery ID],Allocation[[#This Row],[Delivery ID]],Allocation[Quantity Processed])</f>
        <v>9990</v>
      </c>
      <c r="R425" s="61">
        <f>Allocation[[#This Row],[Total volume used]]/VLOOKUP(Allocation[[#This Row],[Delivery ID]],Delivery[[Delivery ID]:[Quantity delivered]],3,FALSE)</f>
        <v>1</v>
      </c>
      <c r="S425" s="34">
        <f>Allocation[[#This Row],[Quantity Processed]]/Allocation[[#This Row],[Dilution rate]]</f>
        <v>2223.8095238095239</v>
      </c>
      <c r="T425" s="59">
        <f>SUMIF(Allocation[Delivery ID],Allocation[[#This Row],[Delivery ID]],Allocation[Quantity allocated])/SUMIF(Allocation[Delivery ID],Allocation[[#This Row],[Delivery ID]],Allocation[Volume available (kg)])</f>
        <v>0.73686309988954335</v>
      </c>
      <c r="U425" s="61">
        <f>Allocation[[#This Row],[Total volume used]]/VLOOKUP(Allocation[[#This Row],[Delivery ID]],Delivery[[Delivery ID]:[Quantity delivered]],3,FALSE)</f>
        <v>1</v>
      </c>
      <c r="V425" s="34" t="e">
        <f>VLOOKUP(Allocation[[#This Row],[SAP Contract number]],Shipments[[SAP Contract number]:[Contracted container weight]],2,FALSE)</f>
        <v>#N/A</v>
      </c>
      <c r="W425" s="34" t="e">
        <f>VLOOKUP(Allocation[[#This Row],[SAP Contract number]],Shipments[[SAP Contract number]:[AAA Premium USD]],24,FALSE)</f>
        <v>#N/A</v>
      </c>
      <c r="X425" s="34" t="e">
        <f>VLOOKUP(Allocation[[#This Row],[SAP Contract number]],Shipments[[SAP Contract number]:[RA Premium USD]],25,FALSE)</f>
        <v>#N/A</v>
      </c>
      <c r="Y425" s="38">
        <f>Allocation[[#This Row],[Quantity Processed]]/Allocation[[#This Row],[Quantity allocated]]</f>
        <v>3.3333333333333335</v>
      </c>
      <c r="Z425" s="34" t="b">
        <f>Allocation[[#This Row],[Quantity allocated]]&lt;=Allocation[[#This Row],[Quantity Processed]]</f>
        <v>1</v>
      </c>
    </row>
    <row r="426" spans="1:26">
      <c r="A426" s="247" t="s">
        <v>467</v>
      </c>
      <c r="B426" s="160" t="s">
        <v>68</v>
      </c>
      <c r="C426" s="249" t="s">
        <v>559</v>
      </c>
      <c r="D426" s="161">
        <v>12224</v>
      </c>
      <c r="E426" s="160" t="s">
        <v>1212</v>
      </c>
      <c r="F426" s="158">
        <v>43495</v>
      </c>
      <c r="G426" s="162">
        <v>2.1</v>
      </c>
      <c r="H426" s="159">
        <v>4034</v>
      </c>
      <c r="I426" s="166">
        <v>1428318</v>
      </c>
      <c r="J426" s="163">
        <v>21600</v>
      </c>
      <c r="K426" s="158">
        <v>43499</v>
      </c>
      <c r="L426" s="160" t="s">
        <v>1213</v>
      </c>
      <c r="M426" s="160">
        <v>4615485015</v>
      </c>
      <c r="N426" s="158">
        <v>43592</v>
      </c>
      <c r="O426" s="164">
        <v>3.9874000000000001</v>
      </c>
      <c r="P426" s="165">
        <v>19525</v>
      </c>
      <c r="Q426" s="34">
        <f>SUMIF(Allocation[Delivery ID],Allocation[[#This Row],[Delivery ID]],Allocation[Quantity Processed])</f>
        <v>15180</v>
      </c>
      <c r="R426" s="61">
        <f>Allocation[[#This Row],[Total volume used]]/VLOOKUP(Allocation[[#This Row],[Delivery ID]],Delivery[[Delivery ID]:[Quantity delivered]],3,FALSE)</f>
        <v>0.67496665184526461</v>
      </c>
      <c r="S426" s="34">
        <f>Allocation[[#This Row],[Quantity Processed]]/Allocation[[#This Row],[Dilution rate]]</f>
        <v>5820.9523809523807</v>
      </c>
      <c r="T426" s="59">
        <f>SUMIF(Allocation[Delivery ID],Allocation[[#This Row],[Delivery ID]],Allocation[Quantity allocated])/SUMIF(Allocation[Delivery ID],Allocation[[#This Row],[Delivery ID]],Allocation[Volume available (kg)])</f>
        <v>0.72304148531501</v>
      </c>
      <c r="U426" s="61">
        <f>Allocation[[#This Row],[Total volume used]]/VLOOKUP(Allocation[[#This Row],[Delivery ID]],Delivery[[Delivery ID]:[Quantity delivered]],3,FALSE)</f>
        <v>0.67496665184526461</v>
      </c>
      <c r="V426" s="34" t="e">
        <f>VLOOKUP(Allocation[[#This Row],[SAP Contract number]],Shipments[[SAP Contract number]:[Contracted container weight]],2,FALSE)</f>
        <v>#N/A</v>
      </c>
      <c r="W426" s="34" t="e">
        <f>VLOOKUP(Allocation[[#This Row],[SAP Contract number]],Shipments[[SAP Contract number]:[AAA Premium USD]],24,FALSE)</f>
        <v>#N/A</v>
      </c>
      <c r="X426" s="34" t="e">
        <f>VLOOKUP(Allocation[[#This Row],[SAP Contract number]],Shipments[[SAP Contract number]:[RA Premium USD]],25,FALSE)</f>
        <v>#N/A</v>
      </c>
      <c r="Y426" s="38">
        <f>Allocation[[#This Row],[Quantity Processed]]/Allocation[[#This Row],[Quantity allocated]]</f>
        <v>3.0302429350520574</v>
      </c>
      <c r="Z426" s="34" t="b">
        <f>Allocation[[#This Row],[Quantity allocated]]&lt;=Allocation[[#This Row],[Quantity Processed]]</f>
        <v>1</v>
      </c>
    </row>
    <row r="427" spans="1:26">
      <c r="A427" s="247" t="s">
        <v>467</v>
      </c>
      <c r="B427" s="160" t="s">
        <v>68</v>
      </c>
      <c r="C427" s="249" t="s">
        <v>561</v>
      </c>
      <c r="D427" s="161">
        <v>4472</v>
      </c>
      <c r="E427" s="160" t="s">
        <v>1212</v>
      </c>
      <c r="F427" s="158">
        <v>43495</v>
      </c>
      <c r="G427" s="162">
        <v>2.1</v>
      </c>
      <c r="H427" s="159">
        <v>1610</v>
      </c>
      <c r="I427" s="166">
        <v>1428318</v>
      </c>
      <c r="J427" s="163">
        <v>21600</v>
      </c>
      <c r="K427" s="158">
        <v>43499</v>
      </c>
      <c r="L427" s="160" t="s">
        <v>1213</v>
      </c>
      <c r="M427" s="160">
        <v>4615485015</v>
      </c>
      <c r="N427" s="158">
        <v>43592</v>
      </c>
      <c r="O427" s="164">
        <v>3.9874000000000001</v>
      </c>
      <c r="P427" s="165">
        <v>19525</v>
      </c>
      <c r="Q427" s="34">
        <f>SUMIF(Allocation[Delivery ID],Allocation[[#This Row],[Delivery ID]],Allocation[Quantity Processed])</f>
        <v>10736</v>
      </c>
      <c r="R427" s="61">
        <f>Allocation[[#This Row],[Total volume used]]/VLOOKUP(Allocation[[#This Row],[Delivery ID]],Delivery[[Delivery ID]:[Quantity delivered]],3,FALSE)</f>
        <v>0.93356521739130438</v>
      </c>
      <c r="S427" s="34">
        <f>Allocation[[#This Row],[Quantity Processed]]/Allocation[[#This Row],[Dilution rate]]</f>
        <v>2129.5238095238096</v>
      </c>
      <c r="T427" s="59">
        <f>SUMIF(Allocation[Delivery ID],Allocation[[#This Row],[Delivery ID]],Allocation[Quantity allocated])/SUMIF(Allocation[Delivery ID],Allocation[[#This Row],[Delivery ID]],Allocation[Volume available (kg)])</f>
        <v>0.8212168824808399</v>
      </c>
      <c r="U427" s="61">
        <f>Allocation[[#This Row],[Total volume used]]/VLOOKUP(Allocation[[#This Row],[Delivery ID]],Delivery[[Delivery ID]:[Quantity delivered]],3,FALSE)</f>
        <v>0.93356521739130438</v>
      </c>
      <c r="V427" s="34" t="e">
        <f>VLOOKUP(Allocation[[#This Row],[SAP Contract number]],Shipments[[SAP Contract number]:[Contracted container weight]],2,FALSE)</f>
        <v>#N/A</v>
      </c>
      <c r="W427" s="34" t="e">
        <f>VLOOKUP(Allocation[[#This Row],[SAP Contract number]],Shipments[[SAP Contract number]:[AAA Premium USD]],24,FALSE)</f>
        <v>#N/A</v>
      </c>
      <c r="X427" s="34" t="e">
        <f>VLOOKUP(Allocation[[#This Row],[SAP Contract number]],Shipments[[SAP Contract number]:[RA Premium USD]],25,FALSE)</f>
        <v>#N/A</v>
      </c>
      <c r="Y427" s="38">
        <f>Allocation[[#This Row],[Quantity Processed]]/Allocation[[#This Row],[Quantity allocated]]</f>
        <v>2.7776397515527949</v>
      </c>
      <c r="Z427" s="34" t="b">
        <f>Allocation[[#This Row],[Quantity allocated]]&lt;=Allocation[[#This Row],[Quantity Processed]]</f>
        <v>1</v>
      </c>
    </row>
    <row r="428" spans="1:26">
      <c r="A428" s="247" t="s">
        <v>467</v>
      </c>
      <c r="B428" s="160" t="s">
        <v>68</v>
      </c>
      <c r="C428" s="249" t="s">
        <v>567</v>
      </c>
      <c r="D428" s="161">
        <v>1745</v>
      </c>
      <c r="E428" s="160" t="s">
        <v>1212</v>
      </c>
      <c r="F428" s="158">
        <v>43495</v>
      </c>
      <c r="G428" s="162">
        <v>2.1</v>
      </c>
      <c r="H428" s="159">
        <v>576</v>
      </c>
      <c r="I428" s="166">
        <v>1428318</v>
      </c>
      <c r="J428" s="163">
        <v>21600</v>
      </c>
      <c r="K428" s="158">
        <v>43499</v>
      </c>
      <c r="L428" s="160" t="s">
        <v>1213</v>
      </c>
      <c r="M428" s="160">
        <v>4615485015</v>
      </c>
      <c r="N428" s="158">
        <v>43592</v>
      </c>
      <c r="O428" s="164">
        <v>3.9874000000000001</v>
      </c>
      <c r="P428" s="165">
        <v>19525</v>
      </c>
      <c r="Q428" s="34">
        <f>SUMIF(Allocation[Delivery ID],Allocation[[#This Row],[Delivery ID]],Allocation[Quantity Processed])</f>
        <v>9599</v>
      </c>
      <c r="R428" s="61">
        <f>Allocation[[#This Row],[Total volume used]]/VLOOKUP(Allocation[[#This Row],[Delivery ID]],Delivery[[Delivery ID]:[Quantity delivered]],3,FALSE)</f>
        <v>0.67456078706957134</v>
      </c>
      <c r="S428" s="34">
        <f>Allocation[[#This Row],[Quantity Processed]]/Allocation[[#This Row],[Dilution rate]]</f>
        <v>830.95238095238096</v>
      </c>
      <c r="T428" s="59">
        <f>SUMIF(Allocation[Delivery ID],Allocation[[#This Row],[Delivery ID]],Allocation[Quantity allocated])/SUMIF(Allocation[Delivery ID],Allocation[[#This Row],[Delivery ID]],Allocation[Volume available (kg)])</f>
        <v>0.72327415502228787</v>
      </c>
      <c r="U428" s="61">
        <f>Allocation[[#This Row],[Total volume used]]/VLOOKUP(Allocation[[#This Row],[Delivery ID]],Delivery[[Delivery ID]:[Quantity delivered]],3,FALSE)</f>
        <v>0.67456078706957134</v>
      </c>
      <c r="V428" s="34" t="e">
        <f>VLOOKUP(Allocation[[#This Row],[SAP Contract number]],Shipments[[SAP Contract number]:[Contracted container weight]],2,FALSE)</f>
        <v>#N/A</v>
      </c>
      <c r="W428" s="34" t="e">
        <f>VLOOKUP(Allocation[[#This Row],[SAP Contract number]],Shipments[[SAP Contract number]:[AAA Premium USD]],24,FALSE)</f>
        <v>#N/A</v>
      </c>
      <c r="X428" s="34" t="e">
        <f>VLOOKUP(Allocation[[#This Row],[SAP Contract number]],Shipments[[SAP Contract number]:[RA Premium USD]],25,FALSE)</f>
        <v>#N/A</v>
      </c>
      <c r="Y428" s="38">
        <f>Allocation[[#This Row],[Quantity Processed]]/Allocation[[#This Row],[Quantity allocated]]</f>
        <v>3.0295138888888888</v>
      </c>
      <c r="Z428" s="34" t="b">
        <f>Allocation[[#This Row],[Quantity allocated]]&lt;=Allocation[[#This Row],[Quantity Processed]]</f>
        <v>1</v>
      </c>
    </row>
    <row r="429" spans="1:26">
      <c r="A429" s="247" t="s">
        <v>467</v>
      </c>
      <c r="B429" s="160" t="s">
        <v>68</v>
      </c>
      <c r="C429" s="249" t="s">
        <v>567</v>
      </c>
      <c r="D429" s="161">
        <v>5979</v>
      </c>
      <c r="E429" s="160" t="s">
        <v>1212</v>
      </c>
      <c r="F429" s="158">
        <v>43495</v>
      </c>
      <c r="G429" s="162">
        <v>2.1</v>
      </c>
      <c r="H429" s="159">
        <v>1973</v>
      </c>
      <c r="I429" s="166">
        <v>1428319</v>
      </c>
      <c r="J429" s="163">
        <v>21600</v>
      </c>
      <c r="K429" s="158">
        <v>43499</v>
      </c>
      <c r="L429" s="160" t="s">
        <v>1214</v>
      </c>
      <c r="M429" s="160">
        <v>4615485015</v>
      </c>
      <c r="N429" s="158">
        <v>43592</v>
      </c>
      <c r="O429" s="164">
        <v>3.9874000000000001</v>
      </c>
      <c r="P429" s="165">
        <v>19525</v>
      </c>
      <c r="Q429" s="34">
        <f>SUMIF(Allocation[Delivery ID],Allocation[[#This Row],[Delivery ID]],Allocation[Quantity Processed])</f>
        <v>9599</v>
      </c>
      <c r="R429" s="61">
        <f>Allocation[[#This Row],[Total volume used]]/VLOOKUP(Allocation[[#This Row],[Delivery ID]],Delivery[[Delivery ID]:[Quantity delivered]],3,FALSE)</f>
        <v>0.67456078706957134</v>
      </c>
      <c r="S429" s="34">
        <f>Allocation[[#This Row],[Quantity Processed]]/Allocation[[#This Row],[Dilution rate]]</f>
        <v>2847.1428571428569</v>
      </c>
      <c r="T429" s="59">
        <f>SUMIF(Allocation[Delivery ID],Allocation[[#This Row],[Delivery ID]],Allocation[Quantity allocated])/SUMIF(Allocation[Delivery ID],Allocation[[#This Row],[Delivery ID]],Allocation[Volume available (kg)])</f>
        <v>0.72327415502228787</v>
      </c>
      <c r="U429" s="61">
        <f>Allocation[[#This Row],[Total volume used]]/VLOOKUP(Allocation[[#This Row],[Delivery ID]],Delivery[[Delivery ID]:[Quantity delivered]],3,FALSE)</f>
        <v>0.67456078706957134</v>
      </c>
      <c r="V429" s="34" t="e">
        <f>VLOOKUP(Allocation[[#This Row],[SAP Contract number]],Shipments[[SAP Contract number]:[Contracted container weight]],2,FALSE)</f>
        <v>#N/A</v>
      </c>
      <c r="W429" s="34" t="e">
        <f>VLOOKUP(Allocation[[#This Row],[SAP Contract number]],Shipments[[SAP Contract number]:[AAA Premium USD]],24,FALSE)</f>
        <v>#N/A</v>
      </c>
      <c r="X429" s="34" t="e">
        <f>VLOOKUP(Allocation[[#This Row],[SAP Contract number]],Shipments[[SAP Contract number]:[RA Premium USD]],25,FALSE)</f>
        <v>#N/A</v>
      </c>
      <c r="Y429" s="38">
        <f>Allocation[[#This Row],[Quantity Processed]]/Allocation[[#This Row],[Quantity allocated]]</f>
        <v>3.0304105423213379</v>
      </c>
      <c r="Z429" s="34" t="b">
        <f>Allocation[[#This Row],[Quantity allocated]]&lt;=Allocation[[#This Row],[Quantity Processed]]</f>
        <v>1</v>
      </c>
    </row>
    <row r="430" spans="1:26">
      <c r="A430" s="247" t="s">
        <v>467</v>
      </c>
      <c r="B430" s="160" t="s">
        <v>68</v>
      </c>
      <c r="C430" s="249" t="s">
        <v>569</v>
      </c>
      <c r="D430" s="161">
        <v>5667</v>
      </c>
      <c r="E430" s="160" t="s">
        <v>1212</v>
      </c>
      <c r="F430" s="158">
        <v>43495</v>
      </c>
      <c r="G430" s="162">
        <v>2.1</v>
      </c>
      <c r="H430" s="159">
        <v>1700</v>
      </c>
      <c r="I430" s="166">
        <v>1428319</v>
      </c>
      <c r="J430" s="163">
        <v>21600</v>
      </c>
      <c r="K430" s="158">
        <v>43499</v>
      </c>
      <c r="L430" s="160" t="s">
        <v>1214</v>
      </c>
      <c r="M430" s="160">
        <v>4615485015</v>
      </c>
      <c r="N430" s="158">
        <v>43592</v>
      </c>
      <c r="O430" s="164">
        <v>3.9874000000000001</v>
      </c>
      <c r="P430" s="165">
        <v>19525</v>
      </c>
      <c r="Q430" s="34">
        <f>SUMIF(Allocation[Delivery ID],Allocation[[#This Row],[Delivery ID]],Allocation[Quantity Processed])</f>
        <v>7262</v>
      </c>
      <c r="R430" s="61">
        <f>Allocation[[#This Row],[Total volume used]]/VLOOKUP(Allocation[[#This Row],[Delivery ID]],Delivery[[Delivery ID]:[Quantity delivered]],3,FALSE)</f>
        <v>0.60516666666666663</v>
      </c>
      <c r="S430" s="34">
        <f>Allocation[[#This Row],[Quantity Processed]]/Allocation[[#This Row],[Dilution rate]]</f>
        <v>2698.5714285714284</v>
      </c>
      <c r="T430" s="59">
        <f>SUMIF(Allocation[Delivery ID],Allocation[[#This Row],[Delivery ID]],Allocation[Quantity allocated])/SUMIF(Allocation[Delivery ID],Allocation[[#This Row],[Delivery ID]],Allocation[Volume available (kg)])</f>
        <v>0.67035577324738682</v>
      </c>
      <c r="U430" s="61">
        <f>Allocation[[#This Row],[Total volume used]]/VLOOKUP(Allocation[[#This Row],[Delivery ID]],Delivery[[Delivery ID]:[Quantity delivered]],3,FALSE)</f>
        <v>0.60516666666666663</v>
      </c>
      <c r="V430" s="34" t="e">
        <f>VLOOKUP(Allocation[[#This Row],[SAP Contract number]],Shipments[[SAP Contract number]:[Contracted container weight]],2,FALSE)</f>
        <v>#N/A</v>
      </c>
      <c r="W430" s="34" t="e">
        <f>VLOOKUP(Allocation[[#This Row],[SAP Contract number]],Shipments[[SAP Contract number]:[AAA Premium USD]],24,FALSE)</f>
        <v>#N/A</v>
      </c>
      <c r="X430" s="34" t="e">
        <f>VLOOKUP(Allocation[[#This Row],[SAP Contract number]],Shipments[[SAP Contract number]:[RA Premium USD]],25,FALSE)</f>
        <v>#N/A</v>
      </c>
      <c r="Y430" s="38">
        <f>Allocation[[#This Row],[Quantity Processed]]/Allocation[[#This Row],[Quantity allocated]]</f>
        <v>3.3335294117647059</v>
      </c>
      <c r="Z430" s="34" t="b">
        <f>Allocation[[#This Row],[Quantity allocated]]&lt;=Allocation[[#This Row],[Quantity Processed]]</f>
        <v>1</v>
      </c>
    </row>
    <row r="431" spans="1:26">
      <c r="A431" s="247" t="s">
        <v>467</v>
      </c>
      <c r="B431" s="160" t="s">
        <v>68</v>
      </c>
      <c r="C431" s="249" t="s">
        <v>571</v>
      </c>
      <c r="D431" s="161">
        <v>1945</v>
      </c>
      <c r="E431" s="160" t="s">
        <v>1212</v>
      </c>
      <c r="F431" s="158">
        <v>43495</v>
      </c>
      <c r="G431" s="162">
        <v>2.1</v>
      </c>
      <c r="H431" s="159">
        <v>914</v>
      </c>
      <c r="I431" s="166">
        <v>1428319</v>
      </c>
      <c r="J431" s="163">
        <v>21600</v>
      </c>
      <c r="K431" s="158">
        <v>43499</v>
      </c>
      <c r="L431" s="160" t="s">
        <v>1214</v>
      </c>
      <c r="M431" s="160">
        <v>4615485015</v>
      </c>
      <c r="N431" s="158">
        <v>43592</v>
      </c>
      <c r="O431" s="164">
        <v>3.9874000000000001</v>
      </c>
      <c r="P431" s="165">
        <v>19525</v>
      </c>
      <c r="Q431" s="34">
        <f>SUMIF(Allocation[Delivery ID],Allocation[[#This Row],[Delivery ID]],Allocation[Quantity Processed])</f>
        <v>2415</v>
      </c>
      <c r="R431" s="61">
        <f>Allocation[[#This Row],[Total volume used]]/VLOOKUP(Allocation[[#This Row],[Delivery ID]],Delivery[[Delivery ID]:[Quantity delivered]],3,FALSE)</f>
        <v>0.4716796875</v>
      </c>
      <c r="S431" s="34">
        <f>Allocation[[#This Row],[Quantity Processed]]/Allocation[[#This Row],[Dilution rate]]</f>
        <v>926.19047619047615</v>
      </c>
      <c r="T431" s="59">
        <f>SUMIF(Allocation[Delivery ID],Allocation[[#This Row],[Delivery ID]],Allocation[Quantity allocated])/SUMIF(Allocation[Delivery ID],Allocation[[#This Row],[Delivery ID]],Allocation[Volume available (kg)])</f>
        <v>1.0297957209646704</v>
      </c>
      <c r="U431" s="61">
        <f>Allocation[[#This Row],[Total volume used]]/VLOOKUP(Allocation[[#This Row],[Delivery ID]],Delivery[[Delivery ID]:[Quantity delivered]],3,FALSE)</f>
        <v>0.4716796875</v>
      </c>
      <c r="V431" s="34" t="e">
        <f>VLOOKUP(Allocation[[#This Row],[SAP Contract number]],Shipments[[SAP Contract number]:[Contracted container weight]],2,FALSE)</f>
        <v>#N/A</v>
      </c>
      <c r="W431" s="34" t="e">
        <f>VLOOKUP(Allocation[[#This Row],[SAP Contract number]],Shipments[[SAP Contract number]:[AAA Premium USD]],24,FALSE)</f>
        <v>#N/A</v>
      </c>
      <c r="X431" s="34" t="e">
        <f>VLOOKUP(Allocation[[#This Row],[SAP Contract number]],Shipments[[SAP Contract number]:[RA Premium USD]],25,FALSE)</f>
        <v>#N/A</v>
      </c>
      <c r="Y431" s="38">
        <f>Allocation[[#This Row],[Quantity Processed]]/Allocation[[#This Row],[Quantity allocated]]</f>
        <v>2.1280087527352296</v>
      </c>
      <c r="Z431" s="34" t="b">
        <f>Allocation[[#This Row],[Quantity allocated]]&lt;=Allocation[[#This Row],[Quantity Processed]]</f>
        <v>1</v>
      </c>
    </row>
    <row r="432" spans="1:26">
      <c r="A432" s="247" t="s">
        <v>467</v>
      </c>
      <c r="B432" s="160" t="s">
        <v>68</v>
      </c>
      <c r="C432" s="249" t="s">
        <v>573</v>
      </c>
      <c r="D432" s="161">
        <v>9680</v>
      </c>
      <c r="E432" s="160" t="s">
        <v>1212</v>
      </c>
      <c r="F432" s="158">
        <v>43495</v>
      </c>
      <c r="G432" s="162">
        <v>2.1</v>
      </c>
      <c r="H432" s="159">
        <v>2904</v>
      </c>
      <c r="I432" s="166">
        <v>1428319</v>
      </c>
      <c r="J432" s="163">
        <v>21600</v>
      </c>
      <c r="K432" s="158">
        <v>43499</v>
      </c>
      <c r="L432" s="160" t="s">
        <v>1214</v>
      </c>
      <c r="M432" s="160">
        <v>4615485015</v>
      </c>
      <c r="N432" s="158">
        <v>43592</v>
      </c>
      <c r="O432" s="164">
        <v>3.9874000000000001</v>
      </c>
      <c r="P432" s="165">
        <v>19525</v>
      </c>
      <c r="Q432" s="34">
        <f>SUMIF(Allocation[Delivery ID],Allocation[[#This Row],[Delivery ID]],Allocation[Quantity Processed])</f>
        <v>12026</v>
      </c>
      <c r="R432" s="61">
        <f>Allocation[[#This Row],[Total volume used]]/VLOOKUP(Allocation[[#This Row],[Delivery ID]],Delivery[[Delivery ID]:[Quantity delivered]],3,FALSE)</f>
        <v>0.74188772362739053</v>
      </c>
      <c r="S432" s="34">
        <f>Allocation[[#This Row],[Quantity Processed]]/Allocation[[#This Row],[Dilution rate]]</f>
        <v>4609.5238095238092</v>
      </c>
      <c r="T432" s="59">
        <f>SUMIF(Allocation[Delivery ID],Allocation[[#This Row],[Delivery ID]],Allocation[Quantity allocated])/SUMIF(Allocation[Delivery ID],Allocation[[#This Row],[Delivery ID]],Allocation[Volume available (kg)])</f>
        <v>0.65745962201999164</v>
      </c>
      <c r="U432" s="61">
        <f>Allocation[[#This Row],[Total volume used]]/VLOOKUP(Allocation[[#This Row],[Delivery ID]],Delivery[[Delivery ID]:[Quantity delivered]],3,FALSE)</f>
        <v>0.74188772362739053</v>
      </c>
      <c r="V432" s="34" t="e">
        <f>VLOOKUP(Allocation[[#This Row],[SAP Contract number]],Shipments[[SAP Contract number]:[Contracted container weight]],2,FALSE)</f>
        <v>#N/A</v>
      </c>
      <c r="W432" s="34" t="e">
        <f>VLOOKUP(Allocation[[#This Row],[SAP Contract number]],Shipments[[SAP Contract number]:[AAA Premium USD]],24,FALSE)</f>
        <v>#N/A</v>
      </c>
      <c r="X432" s="34" t="e">
        <f>VLOOKUP(Allocation[[#This Row],[SAP Contract number]],Shipments[[SAP Contract number]:[RA Premium USD]],25,FALSE)</f>
        <v>#N/A</v>
      </c>
      <c r="Y432" s="38">
        <f>Allocation[[#This Row],[Quantity Processed]]/Allocation[[#This Row],[Quantity allocated]]</f>
        <v>3.3333333333333335</v>
      </c>
      <c r="Z432" s="34" t="b">
        <f>Allocation[[#This Row],[Quantity allocated]]&lt;=Allocation[[#This Row],[Quantity Processed]]</f>
        <v>1</v>
      </c>
    </row>
    <row r="433" spans="1:26">
      <c r="A433" s="247" t="s">
        <v>467</v>
      </c>
      <c r="B433" s="160" t="s">
        <v>68</v>
      </c>
      <c r="C433" s="249" t="s">
        <v>574</v>
      </c>
      <c r="D433" s="161">
        <v>3621</v>
      </c>
      <c r="E433" s="160" t="s">
        <v>1212</v>
      </c>
      <c r="F433" s="158">
        <v>43495</v>
      </c>
      <c r="G433" s="162">
        <v>2.1</v>
      </c>
      <c r="H433" s="159">
        <v>1195</v>
      </c>
      <c r="I433" s="166">
        <v>1428319</v>
      </c>
      <c r="J433" s="163">
        <v>21600</v>
      </c>
      <c r="K433" s="158">
        <v>43499</v>
      </c>
      <c r="L433" s="160" t="s">
        <v>1214</v>
      </c>
      <c r="M433" s="160">
        <v>4615485015</v>
      </c>
      <c r="N433" s="158">
        <v>43592</v>
      </c>
      <c r="O433" s="164">
        <v>3.9874000000000001</v>
      </c>
      <c r="P433" s="165">
        <v>19525</v>
      </c>
      <c r="Q433" s="34">
        <f>SUMIF(Allocation[Delivery ID],Allocation[[#This Row],[Delivery ID]],Allocation[Quantity Processed])</f>
        <v>6000</v>
      </c>
      <c r="R433" s="61">
        <f>Allocation[[#This Row],[Total volume used]]/VLOOKUP(Allocation[[#This Row],[Delivery ID]],Delivery[[Delivery ID]:[Quantity delivered]],3,FALSE)</f>
        <v>1</v>
      </c>
      <c r="S433" s="34">
        <f>Allocation[[#This Row],[Quantity Processed]]/Allocation[[#This Row],[Dilution rate]]</f>
        <v>1724.2857142857142</v>
      </c>
      <c r="T433" s="59">
        <f>SUMIF(Allocation[Delivery ID],Allocation[[#This Row],[Delivery ID]],Allocation[Quantity allocated])/SUMIF(Allocation[Delivery ID],Allocation[[#This Row],[Delivery ID]],Allocation[Volume available (kg)])</f>
        <v>0.74754324711936126</v>
      </c>
      <c r="U433" s="61">
        <f>Allocation[[#This Row],[Total volume used]]/VLOOKUP(Allocation[[#This Row],[Delivery ID]],Delivery[[Delivery ID]:[Quantity delivered]],3,FALSE)</f>
        <v>1</v>
      </c>
      <c r="V433" s="34" t="e">
        <f>VLOOKUP(Allocation[[#This Row],[SAP Contract number]],Shipments[[SAP Contract number]:[Contracted container weight]],2,FALSE)</f>
        <v>#N/A</v>
      </c>
      <c r="W433" s="34" t="e">
        <f>VLOOKUP(Allocation[[#This Row],[SAP Contract number]],Shipments[[SAP Contract number]:[AAA Premium USD]],24,FALSE)</f>
        <v>#N/A</v>
      </c>
      <c r="X433" s="34" t="e">
        <f>VLOOKUP(Allocation[[#This Row],[SAP Contract number]],Shipments[[SAP Contract number]:[RA Premium USD]],25,FALSE)</f>
        <v>#N/A</v>
      </c>
      <c r="Y433" s="38">
        <f>Allocation[[#This Row],[Quantity Processed]]/Allocation[[#This Row],[Quantity allocated]]</f>
        <v>3.0301255230125523</v>
      </c>
      <c r="Z433" s="34" t="b">
        <f>Allocation[[#This Row],[Quantity allocated]]&lt;=Allocation[[#This Row],[Quantity Processed]]</f>
        <v>1</v>
      </c>
    </row>
    <row r="434" spans="1:26">
      <c r="A434" s="247" t="s">
        <v>467</v>
      </c>
      <c r="B434" s="160" t="s">
        <v>68</v>
      </c>
      <c r="C434" s="249" t="s">
        <v>581</v>
      </c>
      <c r="D434" s="161">
        <v>12518</v>
      </c>
      <c r="E434" s="160" t="s">
        <v>1212</v>
      </c>
      <c r="F434" s="158">
        <v>43495</v>
      </c>
      <c r="G434" s="162">
        <v>2.1</v>
      </c>
      <c r="H434" s="159">
        <v>4131</v>
      </c>
      <c r="I434" s="166">
        <v>1428319</v>
      </c>
      <c r="J434" s="163">
        <v>21600</v>
      </c>
      <c r="K434" s="158">
        <v>43499</v>
      </c>
      <c r="L434" s="160" t="s">
        <v>1214</v>
      </c>
      <c r="M434" s="160">
        <v>4615485015</v>
      </c>
      <c r="N434" s="158">
        <v>43592</v>
      </c>
      <c r="O434" s="164">
        <v>3.9874000000000001</v>
      </c>
      <c r="P434" s="165">
        <v>19525</v>
      </c>
      <c r="Q434" s="34">
        <f>SUMIF(Allocation[Delivery ID],Allocation[[#This Row],[Delivery ID]],Allocation[Quantity Processed])</f>
        <v>15552</v>
      </c>
      <c r="R434" s="61">
        <f>Allocation[[#This Row],[Total volume used]]/VLOOKUP(Allocation[[#This Row],[Delivery ID]],Delivery[[Delivery ID]:[Quantity delivered]],3,FALSE)</f>
        <v>0.67588005215123859</v>
      </c>
      <c r="S434" s="34">
        <f>Allocation[[#This Row],[Quantity Processed]]/Allocation[[#This Row],[Dilution rate]]</f>
        <v>5960.9523809523807</v>
      </c>
      <c r="T434" s="59">
        <f>SUMIF(Allocation[Delivery ID],Allocation[[#This Row],[Delivery ID]],Allocation[Quantity allocated])/SUMIF(Allocation[Delivery ID],Allocation[[#This Row],[Delivery ID]],Allocation[Volume available (kg)])</f>
        <v>0.72313923676224701</v>
      </c>
      <c r="U434" s="61">
        <f>Allocation[[#This Row],[Total volume used]]/VLOOKUP(Allocation[[#This Row],[Delivery ID]],Delivery[[Delivery ID]:[Quantity delivered]],3,FALSE)</f>
        <v>0.67588005215123859</v>
      </c>
      <c r="V434" s="34" t="e">
        <f>VLOOKUP(Allocation[[#This Row],[SAP Contract number]],Shipments[[SAP Contract number]:[Contracted container weight]],2,FALSE)</f>
        <v>#N/A</v>
      </c>
      <c r="W434" s="34" t="e">
        <f>VLOOKUP(Allocation[[#This Row],[SAP Contract number]],Shipments[[SAP Contract number]:[AAA Premium USD]],24,FALSE)</f>
        <v>#N/A</v>
      </c>
      <c r="X434" s="34" t="e">
        <f>VLOOKUP(Allocation[[#This Row],[SAP Contract number]],Shipments[[SAP Contract number]:[RA Premium USD]],25,FALSE)</f>
        <v>#N/A</v>
      </c>
      <c r="Y434" s="38">
        <f>Allocation[[#This Row],[Quantity Processed]]/Allocation[[#This Row],[Quantity allocated]]</f>
        <v>3.030259017187122</v>
      </c>
      <c r="Z434" s="34" t="b">
        <f>Allocation[[#This Row],[Quantity allocated]]&lt;=Allocation[[#This Row],[Quantity Processed]]</f>
        <v>1</v>
      </c>
    </row>
    <row r="435" spans="1:26">
      <c r="A435" s="247" t="s">
        <v>467</v>
      </c>
      <c r="B435" s="160" t="s">
        <v>68</v>
      </c>
      <c r="C435" s="249" t="s">
        <v>582</v>
      </c>
      <c r="D435" s="161">
        <v>4727</v>
      </c>
      <c r="E435" s="160" t="s">
        <v>1212</v>
      </c>
      <c r="F435" s="158">
        <v>43495</v>
      </c>
      <c r="G435" s="162">
        <v>2.1</v>
      </c>
      <c r="H435" s="159">
        <v>1560</v>
      </c>
      <c r="I435" s="166">
        <v>1428319</v>
      </c>
      <c r="J435" s="163">
        <v>21600</v>
      </c>
      <c r="K435" s="158">
        <v>43499</v>
      </c>
      <c r="L435" s="160" t="s">
        <v>1214</v>
      </c>
      <c r="M435" s="160">
        <v>4615485015</v>
      </c>
      <c r="N435" s="158">
        <v>43592</v>
      </c>
      <c r="O435" s="164">
        <v>3.9874000000000001</v>
      </c>
      <c r="P435" s="165">
        <v>19525</v>
      </c>
      <c r="Q435" s="34">
        <f>SUMIF(Allocation[Delivery ID],Allocation[[#This Row],[Delivery ID]],Allocation[Quantity Processed])</f>
        <v>5879</v>
      </c>
      <c r="R435" s="61">
        <f>Allocation[[#This Row],[Total volume used]]/VLOOKUP(Allocation[[#This Row],[Delivery ID]],Delivery[[Delivery ID]:[Quantity delivered]],3,FALSE)</f>
        <v>0.67265446224256298</v>
      </c>
      <c r="S435" s="34">
        <f>Allocation[[#This Row],[Quantity Processed]]/Allocation[[#This Row],[Dilution rate]]</f>
        <v>2250.9523809523807</v>
      </c>
      <c r="T435" s="59">
        <f>SUMIF(Allocation[Delivery ID],Allocation[[#This Row],[Delivery ID]],Allocation[Quantity allocated])/SUMIF(Allocation[Delivery ID],Allocation[[#This Row],[Delivery ID]],Allocation[Volume available (kg)])</f>
        <v>0.72326677996293631</v>
      </c>
      <c r="U435" s="61">
        <f>Allocation[[#This Row],[Total volume used]]/VLOOKUP(Allocation[[#This Row],[Delivery ID]],Delivery[[Delivery ID]:[Quantity delivered]],3,FALSE)</f>
        <v>0.67265446224256298</v>
      </c>
      <c r="V435" s="34" t="e">
        <f>VLOOKUP(Allocation[[#This Row],[SAP Contract number]],Shipments[[SAP Contract number]:[Contracted container weight]],2,FALSE)</f>
        <v>#N/A</v>
      </c>
      <c r="W435" s="34" t="e">
        <f>VLOOKUP(Allocation[[#This Row],[SAP Contract number]],Shipments[[SAP Contract number]:[AAA Premium USD]],24,FALSE)</f>
        <v>#N/A</v>
      </c>
      <c r="X435" s="34" t="e">
        <f>VLOOKUP(Allocation[[#This Row],[SAP Contract number]],Shipments[[SAP Contract number]:[RA Premium USD]],25,FALSE)</f>
        <v>#N/A</v>
      </c>
      <c r="Y435" s="38">
        <f>Allocation[[#This Row],[Quantity Processed]]/Allocation[[#This Row],[Quantity allocated]]</f>
        <v>3.030128205128205</v>
      </c>
      <c r="Z435" s="34" t="b">
        <f>Allocation[[#This Row],[Quantity allocated]]&lt;=Allocation[[#This Row],[Quantity Processed]]</f>
        <v>1</v>
      </c>
    </row>
    <row r="436" spans="1:26">
      <c r="A436" s="247" t="s">
        <v>467</v>
      </c>
      <c r="B436" s="160" t="s">
        <v>68</v>
      </c>
      <c r="C436" s="249" t="s">
        <v>583</v>
      </c>
      <c r="D436" s="161">
        <v>12582</v>
      </c>
      <c r="E436" s="160" t="s">
        <v>1212</v>
      </c>
      <c r="F436" s="158">
        <v>43495</v>
      </c>
      <c r="G436" s="162">
        <v>2.1</v>
      </c>
      <c r="H436" s="159">
        <v>4152</v>
      </c>
      <c r="I436" s="166">
        <v>1428319</v>
      </c>
      <c r="J436" s="163">
        <v>21600</v>
      </c>
      <c r="K436" s="158">
        <v>43499</v>
      </c>
      <c r="L436" s="160" t="s">
        <v>1214</v>
      </c>
      <c r="M436" s="160">
        <v>4615485015</v>
      </c>
      <c r="N436" s="158">
        <v>43592</v>
      </c>
      <c r="O436" s="164">
        <v>3.9874000000000001</v>
      </c>
      <c r="P436" s="165">
        <v>19525</v>
      </c>
      <c r="Q436" s="34">
        <f>SUMIF(Allocation[Delivery ID],Allocation[[#This Row],[Delivery ID]],Allocation[Quantity Processed])</f>
        <v>15619</v>
      </c>
      <c r="R436" s="61">
        <f>Allocation[[#This Row],[Total volume used]]/VLOOKUP(Allocation[[#This Row],[Delivery ID]],Delivery[[Delivery ID]:[Quantity delivered]],3,FALSE)</f>
        <v>0.67410444540353909</v>
      </c>
      <c r="S436" s="34">
        <f>Allocation[[#This Row],[Quantity Processed]]/Allocation[[#This Row],[Dilution rate]]</f>
        <v>5991.4285714285716</v>
      </c>
      <c r="T436" s="59">
        <f>SUMIF(Allocation[Delivery ID],Allocation[[#This Row],[Delivery ID]],Allocation[Quantity allocated])/SUMIF(Allocation[Delivery ID],Allocation[[#This Row],[Delivery ID]],Allocation[Volume available (kg)])</f>
        <v>0.72302027462828689</v>
      </c>
      <c r="U436" s="61">
        <f>Allocation[[#This Row],[Total volume used]]/VLOOKUP(Allocation[[#This Row],[Delivery ID]],Delivery[[Delivery ID]:[Quantity delivered]],3,FALSE)</f>
        <v>0.67410444540353909</v>
      </c>
      <c r="V436" s="34" t="e">
        <f>VLOOKUP(Allocation[[#This Row],[SAP Contract number]],Shipments[[SAP Contract number]:[Contracted container weight]],2,FALSE)</f>
        <v>#N/A</v>
      </c>
      <c r="W436" s="34" t="e">
        <f>VLOOKUP(Allocation[[#This Row],[SAP Contract number]],Shipments[[SAP Contract number]:[AAA Premium USD]],24,FALSE)</f>
        <v>#N/A</v>
      </c>
      <c r="X436" s="34" t="e">
        <f>VLOOKUP(Allocation[[#This Row],[SAP Contract number]],Shipments[[SAP Contract number]:[RA Premium USD]],25,FALSE)</f>
        <v>#N/A</v>
      </c>
      <c r="Y436" s="38">
        <f>Allocation[[#This Row],[Quantity Processed]]/Allocation[[#This Row],[Quantity allocated]]</f>
        <v>3.0303468208092488</v>
      </c>
      <c r="Z436" s="34" t="b">
        <f>Allocation[[#This Row],[Quantity allocated]]&lt;=Allocation[[#This Row],[Quantity Processed]]</f>
        <v>1</v>
      </c>
    </row>
    <row r="437" spans="1:26">
      <c r="A437" s="247" t="s">
        <v>467</v>
      </c>
      <c r="B437" s="160" t="s">
        <v>68</v>
      </c>
      <c r="C437" s="249" t="s">
        <v>584</v>
      </c>
      <c r="D437" s="161">
        <v>9027</v>
      </c>
      <c r="E437" s="160" t="s">
        <v>1212</v>
      </c>
      <c r="F437" s="158">
        <v>43495</v>
      </c>
      <c r="G437" s="162">
        <v>2.1</v>
      </c>
      <c r="H437" s="159">
        <v>2979</v>
      </c>
      <c r="I437" s="166">
        <v>1428319</v>
      </c>
      <c r="J437" s="163">
        <v>21600</v>
      </c>
      <c r="K437" s="158">
        <v>43499</v>
      </c>
      <c r="L437" s="160" t="s">
        <v>1214</v>
      </c>
      <c r="M437" s="160">
        <v>4615485015</v>
      </c>
      <c r="N437" s="158">
        <v>43592</v>
      </c>
      <c r="O437" s="164">
        <v>3.9874000000000001</v>
      </c>
      <c r="P437" s="165">
        <v>19525</v>
      </c>
      <c r="Q437" s="34">
        <f>SUMIF(Allocation[Delivery ID],Allocation[[#This Row],[Delivery ID]],Allocation[Quantity Processed])</f>
        <v>28370</v>
      </c>
      <c r="R437" s="61">
        <f>Allocation[[#This Row],[Total volume used]]/VLOOKUP(Allocation[[#This Row],[Delivery ID]],Delivery[[Delivery ID]:[Quantity delivered]],3,FALSE)</f>
        <v>1</v>
      </c>
      <c r="S437" s="34">
        <f>Allocation[[#This Row],[Quantity Processed]]/Allocation[[#This Row],[Dilution rate]]</f>
        <v>4298.5714285714284</v>
      </c>
      <c r="T437" s="59">
        <f>SUMIF(Allocation[Delivery ID],Allocation[[#This Row],[Delivery ID]],Allocation[Quantity allocated])/SUMIF(Allocation[Delivery ID],Allocation[[#This Row],[Delivery ID]],Allocation[Volume available (kg)])</f>
        <v>0.81474893473147059</v>
      </c>
      <c r="U437" s="61">
        <f>Allocation[[#This Row],[Total volume used]]/VLOOKUP(Allocation[[#This Row],[Delivery ID]],Delivery[[Delivery ID]:[Quantity delivered]],3,FALSE)</f>
        <v>1</v>
      </c>
      <c r="V437" s="34" t="e">
        <f>VLOOKUP(Allocation[[#This Row],[SAP Contract number]],Shipments[[SAP Contract number]:[Contracted container weight]],2,FALSE)</f>
        <v>#N/A</v>
      </c>
      <c r="W437" s="34" t="e">
        <f>VLOOKUP(Allocation[[#This Row],[SAP Contract number]],Shipments[[SAP Contract number]:[AAA Premium USD]],24,FALSE)</f>
        <v>#N/A</v>
      </c>
      <c r="X437" s="34" t="e">
        <f>VLOOKUP(Allocation[[#This Row],[SAP Contract number]],Shipments[[SAP Contract number]:[RA Premium USD]],25,FALSE)</f>
        <v>#N/A</v>
      </c>
      <c r="Y437" s="38">
        <f>Allocation[[#This Row],[Quantity Processed]]/Allocation[[#This Row],[Quantity allocated]]</f>
        <v>3.0302114803625377</v>
      </c>
      <c r="Z437" s="34" t="b">
        <f>Allocation[[#This Row],[Quantity allocated]]&lt;=Allocation[[#This Row],[Quantity Processed]]</f>
        <v>1</v>
      </c>
    </row>
    <row r="438" spans="1:26">
      <c r="A438" s="247" t="s">
        <v>467</v>
      </c>
      <c r="B438" s="160" t="s">
        <v>68</v>
      </c>
      <c r="C438" s="249" t="s">
        <v>586</v>
      </c>
      <c r="D438" s="161">
        <v>279</v>
      </c>
      <c r="E438" s="160" t="s">
        <v>1212</v>
      </c>
      <c r="F438" s="158">
        <v>43495</v>
      </c>
      <c r="G438" s="162">
        <v>2.1</v>
      </c>
      <c r="H438" s="159">
        <v>92</v>
      </c>
      <c r="I438" s="166">
        <v>1428319</v>
      </c>
      <c r="J438" s="163">
        <v>21600</v>
      </c>
      <c r="K438" s="158">
        <v>43499</v>
      </c>
      <c r="L438" s="160" t="s">
        <v>1214</v>
      </c>
      <c r="M438" s="160">
        <v>4615485015</v>
      </c>
      <c r="N438" s="158">
        <v>43592</v>
      </c>
      <c r="O438" s="164">
        <v>3.9874000000000001</v>
      </c>
      <c r="P438" s="165">
        <v>19525</v>
      </c>
      <c r="Q438" s="34">
        <f>SUMIF(Allocation[Delivery ID],Allocation[[#This Row],[Delivery ID]],Allocation[Quantity Processed])</f>
        <v>27030</v>
      </c>
      <c r="R438" s="61">
        <f>Allocation[[#This Row],[Total volume used]]/VLOOKUP(Allocation[[#This Row],[Delivery ID]],Delivery[[Delivery ID]:[Quantity delivered]],3,FALSE)</f>
        <v>1</v>
      </c>
      <c r="S438" s="34">
        <f>Allocation[[#This Row],[Quantity Processed]]/Allocation[[#This Row],[Dilution rate]]</f>
        <v>132.85714285714286</v>
      </c>
      <c r="T438" s="59">
        <f>SUMIF(Allocation[Delivery ID],Allocation[[#This Row],[Delivery ID]],Allocation[Quantity allocated])/SUMIF(Allocation[Delivery ID],Allocation[[#This Row],[Delivery ID]],Allocation[Volume available (kg)])</f>
        <v>0.81452364840962477</v>
      </c>
      <c r="U438" s="61">
        <f>Allocation[[#This Row],[Total volume used]]/VLOOKUP(Allocation[[#This Row],[Delivery ID]],Delivery[[Delivery ID]:[Quantity delivered]],3,FALSE)</f>
        <v>1</v>
      </c>
      <c r="V438" s="34" t="e">
        <f>VLOOKUP(Allocation[[#This Row],[SAP Contract number]],Shipments[[SAP Contract number]:[Contracted container weight]],2,FALSE)</f>
        <v>#N/A</v>
      </c>
      <c r="W438" s="34" t="e">
        <f>VLOOKUP(Allocation[[#This Row],[SAP Contract number]],Shipments[[SAP Contract number]:[AAA Premium USD]],24,FALSE)</f>
        <v>#N/A</v>
      </c>
      <c r="X438" s="34" t="e">
        <f>VLOOKUP(Allocation[[#This Row],[SAP Contract number]],Shipments[[SAP Contract number]:[RA Premium USD]],25,FALSE)</f>
        <v>#N/A</v>
      </c>
      <c r="Y438" s="38">
        <f>Allocation[[#This Row],[Quantity Processed]]/Allocation[[#This Row],[Quantity allocated]]</f>
        <v>3.0326086956521738</v>
      </c>
      <c r="Z438" s="34" t="b">
        <f>Allocation[[#This Row],[Quantity allocated]]&lt;=Allocation[[#This Row],[Quantity Processed]]</f>
        <v>1</v>
      </c>
    </row>
    <row r="439" spans="1:26">
      <c r="A439" s="247" t="s">
        <v>467</v>
      </c>
      <c r="B439" s="160" t="s">
        <v>68</v>
      </c>
      <c r="C439" s="249" t="s">
        <v>586</v>
      </c>
      <c r="D439" s="161">
        <v>8309</v>
      </c>
      <c r="E439" s="160" t="s">
        <v>1212</v>
      </c>
      <c r="F439" s="158">
        <v>43495</v>
      </c>
      <c r="G439" s="162">
        <v>2.1</v>
      </c>
      <c r="H439" s="159">
        <v>2742</v>
      </c>
      <c r="I439" s="166">
        <v>1428320</v>
      </c>
      <c r="J439" s="163">
        <v>21600</v>
      </c>
      <c r="K439" s="158">
        <v>43499</v>
      </c>
      <c r="L439" s="160" t="s">
        <v>1215</v>
      </c>
      <c r="M439" s="160">
        <v>4615485015</v>
      </c>
      <c r="N439" s="158">
        <v>43592</v>
      </c>
      <c r="O439" s="164">
        <v>3.9874000000000001</v>
      </c>
      <c r="P439" s="165">
        <v>19525</v>
      </c>
      <c r="Q439" s="34">
        <f>SUMIF(Allocation[Delivery ID],Allocation[[#This Row],[Delivery ID]],Allocation[Quantity Processed])</f>
        <v>27030</v>
      </c>
      <c r="R439" s="61">
        <f>Allocation[[#This Row],[Total volume used]]/VLOOKUP(Allocation[[#This Row],[Delivery ID]],Delivery[[Delivery ID]:[Quantity delivered]],3,FALSE)</f>
        <v>1</v>
      </c>
      <c r="S439" s="34">
        <f>Allocation[[#This Row],[Quantity Processed]]/Allocation[[#This Row],[Dilution rate]]</f>
        <v>3956.6666666666665</v>
      </c>
      <c r="T439" s="59">
        <f>SUMIF(Allocation[Delivery ID],Allocation[[#This Row],[Delivery ID]],Allocation[Quantity allocated])/SUMIF(Allocation[Delivery ID],Allocation[[#This Row],[Delivery ID]],Allocation[Volume available (kg)])</f>
        <v>0.81452364840962477</v>
      </c>
      <c r="U439" s="61">
        <f>Allocation[[#This Row],[Total volume used]]/VLOOKUP(Allocation[[#This Row],[Delivery ID]],Delivery[[Delivery ID]:[Quantity delivered]],3,FALSE)</f>
        <v>1</v>
      </c>
      <c r="V439" s="34" t="e">
        <f>VLOOKUP(Allocation[[#This Row],[SAP Contract number]],Shipments[[SAP Contract number]:[Contracted container weight]],2,FALSE)</f>
        <v>#N/A</v>
      </c>
      <c r="W439" s="34" t="e">
        <f>VLOOKUP(Allocation[[#This Row],[SAP Contract number]],Shipments[[SAP Contract number]:[AAA Premium USD]],24,FALSE)</f>
        <v>#N/A</v>
      </c>
      <c r="X439" s="34" t="e">
        <f>VLOOKUP(Allocation[[#This Row],[SAP Contract number]],Shipments[[SAP Contract number]:[RA Premium USD]],25,FALSE)</f>
        <v>#N/A</v>
      </c>
      <c r="Y439" s="38">
        <f>Allocation[[#This Row],[Quantity Processed]]/Allocation[[#This Row],[Quantity allocated]]</f>
        <v>3.0302698760029174</v>
      </c>
      <c r="Z439" s="34" t="b">
        <f>Allocation[[#This Row],[Quantity allocated]]&lt;=Allocation[[#This Row],[Quantity Processed]]</f>
        <v>1</v>
      </c>
    </row>
    <row r="440" spans="1:26">
      <c r="A440" s="247" t="s">
        <v>467</v>
      </c>
      <c r="B440" s="160" t="s">
        <v>68</v>
      </c>
      <c r="C440" s="249" t="s">
        <v>587</v>
      </c>
      <c r="D440" s="161">
        <v>5173</v>
      </c>
      <c r="E440" s="160" t="s">
        <v>1212</v>
      </c>
      <c r="F440" s="158">
        <v>43495</v>
      </c>
      <c r="G440" s="162">
        <v>2.1</v>
      </c>
      <c r="H440" s="159">
        <v>1707</v>
      </c>
      <c r="I440" s="166">
        <v>1428320</v>
      </c>
      <c r="J440" s="163">
        <v>21600</v>
      </c>
      <c r="K440" s="158">
        <v>43499</v>
      </c>
      <c r="L440" s="160" t="s">
        <v>1215</v>
      </c>
      <c r="M440" s="160">
        <v>4615485015</v>
      </c>
      <c r="N440" s="158">
        <v>43592</v>
      </c>
      <c r="O440" s="164">
        <v>3.9874000000000001</v>
      </c>
      <c r="P440" s="165">
        <v>19525</v>
      </c>
      <c r="Q440" s="34">
        <f>SUMIF(Allocation[Delivery ID],Allocation[[#This Row],[Delivery ID]],Allocation[Quantity Processed])</f>
        <v>16230</v>
      </c>
      <c r="R440" s="61">
        <f>Allocation[[#This Row],[Total volume used]]/VLOOKUP(Allocation[[#This Row],[Delivery ID]],Delivery[[Delivery ID]:[Quantity delivered]],3,FALSE)</f>
        <v>1</v>
      </c>
      <c r="S440" s="34">
        <f>Allocation[[#This Row],[Quantity Processed]]/Allocation[[#This Row],[Dilution rate]]</f>
        <v>2463.333333333333</v>
      </c>
      <c r="T440" s="59">
        <f>SUMIF(Allocation[Delivery ID],Allocation[[#This Row],[Delivery ID]],Allocation[Quantity allocated])/SUMIF(Allocation[Delivery ID],Allocation[[#This Row],[Delivery ID]],Allocation[Volume available (kg)])</f>
        <v>0.81574057047417459</v>
      </c>
      <c r="U440" s="61">
        <f>Allocation[[#This Row],[Total volume used]]/VLOOKUP(Allocation[[#This Row],[Delivery ID]],Delivery[[Delivery ID]:[Quantity delivered]],3,FALSE)</f>
        <v>1</v>
      </c>
      <c r="V440" s="34" t="e">
        <f>VLOOKUP(Allocation[[#This Row],[SAP Contract number]],Shipments[[SAP Contract number]:[Contracted container weight]],2,FALSE)</f>
        <v>#N/A</v>
      </c>
      <c r="W440" s="34" t="e">
        <f>VLOOKUP(Allocation[[#This Row],[SAP Contract number]],Shipments[[SAP Contract number]:[AAA Premium USD]],24,FALSE)</f>
        <v>#N/A</v>
      </c>
      <c r="X440" s="34" t="e">
        <f>VLOOKUP(Allocation[[#This Row],[SAP Contract number]],Shipments[[SAP Contract number]:[RA Premium USD]],25,FALSE)</f>
        <v>#N/A</v>
      </c>
      <c r="Y440" s="38">
        <f>Allocation[[#This Row],[Quantity Processed]]/Allocation[[#This Row],[Quantity allocated]]</f>
        <v>3.030462800234329</v>
      </c>
      <c r="Z440" s="34" t="b">
        <f>Allocation[[#This Row],[Quantity allocated]]&lt;=Allocation[[#This Row],[Quantity Processed]]</f>
        <v>1</v>
      </c>
    </row>
    <row r="441" spans="1:26">
      <c r="A441" s="247" t="s">
        <v>467</v>
      </c>
      <c r="B441" s="160" t="s">
        <v>68</v>
      </c>
      <c r="C441" s="249" t="s">
        <v>589</v>
      </c>
      <c r="D441" s="161">
        <v>2120</v>
      </c>
      <c r="E441" s="160" t="s">
        <v>1212</v>
      </c>
      <c r="F441" s="158">
        <v>43495</v>
      </c>
      <c r="G441" s="162">
        <v>2.1</v>
      </c>
      <c r="H441" s="159">
        <v>636</v>
      </c>
      <c r="I441" s="166">
        <v>1428320</v>
      </c>
      <c r="J441" s="163">
        <v>21600</v>
      </c>
      <c r="K441" s="158">
        <v>43499</v>
      </c>
      <c r="L441" s="160" t="s">
        <v>1215</v>
      </c>
      <c r="M441" s="160">
        <v>4615485015</v>
      </c>
      <c r="N441" s="158">
        <v>43592</v>
      </c>
      <c r="O441" s="164">
        <v>3.9874000000000001</v>
      </c>
      <c r="P441" s="165">
        <v>19525</v>
      </c>
      <c r="Q441" s="34">
        <f>SUMIF(Allocation[Delivery ID],Allocation[[#This Row],[Delivery ID]],Allocation[Quantity Processed])</f>
        <v>6060</v>
      </c>
      <c r="R441" s="61">
        <f>Allocation[[#This Row],[Total volume used]]/VLOOKUP(Allocation[[#This Row],[Delivery ID]],Delivery[[Delivery ID]:[Quantity delivered]],3,FALSE)</f>
        <v>1</v>
      </c>
      <c r="S441" s="34">
        <f>Allocation[[#This Row],[Quantity Processed]]/Allocation[[#This Row],[Dilution rate]]</f>
        <v>1009.5238095238095</v>
      </c>
      <c r="T441" s="59">
        <f>SUMIF(Allocation[Delivery ID],Allocation[[#This Row],[Delivery ID]],Allocation[Quantity allocated])/SUMIF(Allocation[Delivery ID],Allocation[[#This Row],[Delivery ID]],Allocation[Volume available (kg)])</f>
        <v>0.77383181596254924</v>
      </c>
      <c r="U441" s="61">
        <f>Allocation[[#This Row],[Total volume used]]/VLOOKUP(Allocation[[#This Row],[Delivery ID]],Delivery[[Delivery ID]:[Quantity delivered]],3,FALSE)</f>
        <v>1</v>
      </c>
      <c r="V441" s="34" t="e">
        <f>VLOOKUP(Allocation[[#This Row],[SAP Contract number]],Shipments[[SAP Contract number]:[Contracted container weight]],2,FALSE)</f>
        <v>#N/A</v>
      </c>
      <c r="W441" s="34" t="e">
        <f>VLOOKUP(Allocation[[#This Row],[SAP Contract number]],Shipments[[SAP Contract number]:[AAA Premium USD]],24,FALSE)</f>
        <v>#N/A</v>
      </c>
      <c r="X441" s="34" t="e">
        <f>VLOOKUP(Allocation[[#This Row],[SAP Contract number]],Shipments[[SAP Contract number]:[RA Premium USD]],25,FALSE)</f>
        <v>#N/A</v>
      </c>
      <c r="Y441" s="38">
        <f>Allocation[[#This Row],[Quantity Processed]]/Allocation[[#This Row],[Quantity allocated]]</f>
        <v>3.3333333333333335</v>
      </c>
      <c r="Z441" s="34" t="b">
        <f>Allocation[[#This Row],[Quantity allocated]]&lt;=Allocation[[#This Row],[Quantity Processed]]</f>
        <v>1</v>
      </c>
    </row>
    <row r="442" spans="1:26">
      <c r="A442" s="247" t="s">
        <v>467</v>
      </c>
      <c r="B442" s="160" t="s">
        <v>68</v>
      </c>
      <c r="C442" s="249" t="s">
        <v>592</v>
      </c>
      <c r="D442" s="161">
        <v>3927</v>
      </c>
      <c r="E442" s="160" t="s">
        <v>1212</v>
      </c>
      <c r="F442" s="158">
        <v>43495</v>
      </c>
      <c r="G442" s="162">
        <v>2.1</v>
      </c>
      <c r="H442" s="159">
        <v>1178</v>
      </c>
      <c r="I442" s="166">
        <v>1428320</v>
      </c>
      <c r="J442" s="163">
        <v>21600</v>
      </c>
      <c r="K442" s="158">
        <v>43499</v>
      </c>
      <c r="L442" s="160" t="s">
        <v>1215</v>
      </c>
      <c r="M442" s="160">
        <v>4615485015</v>
      </c>
      <c r="N442" s="158">
        <v>43592</v>
      </c>
      <c r="O442" s="164">
        <v>3.9874000000000001</v>
      </c>
      <c r="P442" s="165">
        <v>19525</v>
      </c>
      <c r="Q442" s="34">
        <f>SUMIF(Allocation[Delivery ID],Allocation[[#This Row],[Delivery ID]],Allocation[Quantity Processed])</f>
        <v>11220</v>
      </c>
      <c r="R442" s="61">
        <f>Allocation[[#This Row],[Total volume used]]/VLOOKUP(Allocation[[#This Row],[Delivery ID]],Delivery[[Delivery ID]:[Quantity delivered]],3,FALSE)</f>
        <v>1</v>
      </c>
      <c r="S442" s="34">
        <f>Allocation[[#This Row],[Quantity Processed]]/Allocation[[#This Row],[Dilution rate]]</f>
        <v>1870</v>
      </c>
      <c r="T442" s="59">
        <f>SUMIF(Allocation[Delivery ID],Allocation[[#This Row],[Delivery ID]],Allocation[Quantity allocated])/SUMIF(Allocation[Delivery ID],Allocation[[#This Row],[Delivery ID]],Allocation[Volume available (kg)])</f>
        <v>0.7826926411263051</v>
      </c>
      <c r="U442" s="61">
        <f>Allocation[[#This Row],[Total volume used]]/VLOOKUP(Allocation[[#This Row],[Delivery ID]],Delivery[[Delivery ID]:[Quantity delivered]],3,FALSE)</f>
        <v>1</v>
      </c>
      <c r="V442" s="34" t="e">
        <f>VLOOKUP(Allocation[[#This Row],[SAP Contract number]],Shipments[[SAP Contract number]:[Contracted container weight]],2,FALSE)</f>
        <v>#N/A</v>
      </c>
      <c r="W442" s="34" t="e">
        <f>VLOOKUP(Allocation[[#This Row],[SAP Contract number]],Shipments[[SAP Contract number]:[AAA Premium USD]],24,FALSE)</f>
        <v>#N/A</v>
      </c>
      <c r="X442" s="34" t="e">
        <f>VLOOKUP(Allocation[[#This Row],[SAP Contract number]],Shipments[[SAP Contract number]:[RA Premium USD]],25,FALSE)</f>
        <v>#N/A</v>
      </c>
      <c r="Y442" s="38">
        <f>Allocation[[#This Row],[Quantity Processed]]/Allocation[[#This Row],[Quantity allocated]]</f>
        <v>3.333616298811545</v>
      </c>
      <c r="Z442" s="34" t="b">
        <f>Allocation[[#This Row],[Quantity allocated]]&lt;=Allocation[[#This Row],[Quantity Processed]]</f>
        <v>1</v>
      </c>
    </row>
    <row r="443" spans="1:26">
      <c r="A443" s="247" t="s">
        <v>467</v>
      </c>
      <c r="B443" s="160" t="s">
        <v>68</v>
      </c>
      <c r="C443" s="249" t="s">
        <v>597</v>
      </c>
      <c r="D443" s="161">
        <v>7486</v>
      </c>
      <c r="E443" s="160" t="s">
        <v>1212</v>
      </c>
      <c r="F443" s="158">
        <v>43495</v>
      </c>
      <c r="G443" s="162">
        <v>2.1</v>
      </c>
      <c r="H443" s="159">
        <v>3668</v>
      </c>
      <c r="I443" s="166">
        <v>1428320</v>
      </c>
      <c r="J443" s="163">
        <v>21600</v>
      </c>
      <c r="K443" s="158">
        <v>43499</v>
      </c>
      <c r="L443" s="160" t="s">
        <v>1215</v>
      </c>
      <c r="M443" s="160">
        <v>4615485015</v>
      </c>
      <c r="N443" s="158">
        <v>43592</v>
      </c>
      <c r="O443" s="164">
        <v>3.9874000000000001</v>
      </c>
      <c r="P443" s="165">
        <v>19525</v>
      </c>
      <c r="Q443" s="34">
        <f>SUMIF(Allocation[Delivery ID],Allocation[[#This Row],[Delivery ID]],Allocation[Quantity Processed])</f>
        <v>9699</v>
      </c>
      <c r="R443" s="61">
        <f>Allocation[[#This Row],[Total volume used]]/VLOOKUP(Allocation[[#This Row],[Delivery ID]],Delivery[[Delivery ID]:[Quantity delivered]],3,FALSE)</f>
        <v>0.4747430249632893</v>
      </c>
      <c r="S443" s="34">
        <f>Allocation[[#This Row],[Quantity Processed]]/Allocation[[#This Row],[Dilution rate]]</f>
        <v>3564.7619047619046</v>
      </c>
      <c r="T443" s="59">
        <f>SUMIF(Allocation[Delivery ID],Allocation[[#This Row],[Delivery ID]],Allocation[Quantity allocated])/SUMIF(Allocation[Delivery ID],Allocation[[#This Row],[Delivery ID]],Allocation[Volume available (kg)])</f>
        <v>1.0809257549804461</v>
      </c>
      <c r="U443" s="61">
        <f>Allocation[[#This Row],[Total volume used]]/VLOOKUP(Allocation[[#This Row],[Delivery ID]],Delivery[[Delivery ID]:[Quantity delivered]],3,FALSE)</f>
        <v>0.4747430249632893</v>
      </c>
      <c r="V443" s="34" t="e">
        <f>VLOOKUP(Allocation[[#This Row],[SAP Contract number]],Shipments[[SAP Contract number]:[Contracted container weight]],2,FALSE)</f>
        <v>#N/A</v>
      </c>
      <c r="W443" s="34" t="e">
        <f>VLOOKUP(Allocation[[#This Row],[SAP Contract number]],Shipments[[SAP Contract number]:[AAA Premium USD]],24,FALSE)</f>
        <v>#N/A</v>
      </c>
      <c r="X443" s="34" t="e">
        <f>VLOOKUP(Allocation[[#This Row],[SAP Contract number]],Shipments[[SAP Contract number]:[RA Premium USD]],25,FALSE)</f>
        <v>#N/A</v>
      </c>
      <c r="Y443" s="38">
        <f>Allocation[[#This Row],[Quantity Processed]]/Allocation[[#This Row],[Quantity allocated]]</f>
        <v>2.0408942202835334</v>
      </c>
      <c r="Z443" s="34" t="b">
        <f>Allocation[[#This Row],[Quantity allocated]]&lt;=Allocation[[#This Row],[Quantity Processed]]</f>
        <v>1</v>
      </c>
    </row>
    <row r="444" spans="1:26">
      <c r="A444" s="247" t="s">
        <v>467</v>
      </c>
      <c r="B444" s="160" t="s">
        <v>68</v>
      </c>
      <c r="C444" s="249" t="s">
        <v>934</v>
      </c>
      <c r="D444" s="161">
        <v>13167</v>
      </c>
      <c r="E444" s="160" t="s">
        <v>1212</v>
      </c>
      <c r="F444" s="158">
        <v>43495</v>
      </c>
      <c r="G444" s="162">
        <v>2.1</v>
      </c>
      <c r="H444" s="159">
        <v>4345</v>
      </c>
      <c r="I444" s="166">
        <v>1428320</v>
      </c>
      <c r="J444" s="163">
        <v>21600</v>
      </c>
      <c r="K444" s="158">
        <v>43499</v>
      </c>
      <c r="L444" s="160" t="s">
        <v>1215</v>
      </c>
      <c r="M444" s="160">
        <v>4615485015</v>
      </c>
      <c r="N444" s="158">
        <v>43592</v>
      </c>
      <c r="O444" s="164">
        <v>3.9874000000000001</v>
      </c>
      <c r="P444" s="165">
        <v>19525</v>
      </c>
      <c r="Q444" s="34">
        <f>SUMIF(Allocation[Delivery ID],Allocation[[#This Row],[Delivery ID]],Allocation[Quantity Processed])</f>
        <v>30146</v>
      </c>
      <c r="R444" s="61">
        <f>Allocation[[#This Row],[Total volume used]]/VLOOKUP(Allocation[[#This Row],[Delivery ID]],Delivery[[Delivery ID]:[Quantity delivered]],3,FALSE)</f>
        <v>0.96525887739745764</v>
      </c>
      <c r="S444" s="34">
        <f>Allocation[[#This Row],[Quantity Processed]]/Allocation[[#This Row],[Dilution rate]]</f>
        <v>6270</v>
      </c>
      <c r="T444" s="59">
        <f>SUMIF(Allocation[Delivery ID],Allocation[[#This Row],[Delivery ID]],Allocation[Quantity allocated])/SUMIF(Allocation[Delivery ID],Allocation[[#This Row],[Delivery ID]],Allocation[Volume available (kg)])</f>
        <v>0.7873812275223806</v>
      </c>
      <c r="U444" s="61">
        <f>Allocation[[#This Row],[Total volume used]]/VLOOKUP(Allocation[[#This Row],[Delivery ID]],Delivery[[Delivery ID]:[Quantity delivered]],3,FALSE)</f>
        <v>0.96525887739745764</v>
      </c>
      <c r="V444" s="34" t="e">
        <f>VLOOKUP(Allocation[[#This Row],[SAP Contract number]],Shipments[[SAP Contract number]:[Contracted container weight]],2,FALSE)</f>
        <v>#N/A</v>
      </c>
      <c r="W444" s="34" t="e">
        <f>VLOOKUP(Allocation[[#This Row],[SAP Contract number]],Shipments[[SAP Contract number]:[AAA Premium USD]],24,FALSE)</f>
        <v>#N/A</v>
      </c>
      <c r="X444" s="34" t="e">
        <f>VLOOKUP(Allocation[[#This Row],[SAP Contract number]],Shipments[[SAP Contract number]:[RA Premium USD]],25,FALSE)</f>
        <v>#N/A</v>
      </c>
      <c r="Y444" s="38">
        <f>Allocation[[#This Row],[Quantity Processed]]/Allocation[[#This Row],[Quantity allocated]]</f>
        <v>3.0303797468354432</v>
      </c>
      <c r="Z444" s="34" t="b">
        <f>Allocation[[#This Row],[Quantity allocated]]&lt;=Allocation[[#This Row],[Quantity Processed]]</f>
        <v>1</v>
      </c>
    </row>
    <row r="445" spans="1:26">
      <c r="A445" s="247" t="s">
        <v>467</v>
      </c>
      <c r="B445" s="160" t="s">
        <v>68</v>
      </c>
      <c r="C445" s="249" t="s">
        <v>936</v>
      </c>
      <c r="D445" s="161">
        <v>13142</v>
      </c>
      <c r="E445" s="160" t="s">
        <v>1212</v>
      </c>
      <c r="F445" s="158">
        <v>43495</v>
      </c>
      <c r="G445" s="162">
        <v>2.1</v>
      </c>
      <c r="H445" s="159">
        <v>4337</v>
      </c>
      <c r="I445" s="166">
        <v>1428320</v>
      </c>
      <c r="J445" s="163">
        <v>21600</v>
      </c>
      <c r="K445" s="158">
        <v>43499</v>
      </c>
      <c r="L445" s="160" t="s">
        <v>1215</v>
      </c>
      <c r="M445" s="160">
        <v>4615485015</v>
      </c>
      <c r="N445" s="158">
        <v>43592</v>
      </c>
      <c r="O445" s="164">
        <v>3.9874000000000001</v>
      </c>
      <c r="P445" s="165">
        <v>19525</v>
      </c>
      <c r="Q445" s="34">
        <f>SUMIF(Allocation[Delivery ID],Allocation[[#This Row],[Delivery ID]],Allocation[Quantity Processed])</f>
        <v>30003</v>
      </c>
      <c r="R445" s="61">
        <f>Allocation[[#This Row],[Total volume used]]/VLOOKUP(Allocation[[#This Row],[Delivery ID]],Delivery[[Delivery ID]:[Quantity delivered]],3,FALSE)</f>
        <v>0.96747980587846449</v>
      </c>
      <c r="S445" s="34">
        <f>Allocation[[#This Row],[Quantity Processed]]/Allocation[[#This Row],[Dilution rate]]</f>
        <v>6258.0952380952376</v>
      </c>
      <c r="T445" s="59">
        <f>SUMIF(Allocation[Delivery ID],Allocation[[#This Row],[Delivery ID]],Allocation[Quantity allocated])/SUMIF(Allocation[Delivery ID],Allocation[[#This Row],[Delivery ID]],Allocation[Volume available (kg)])</f>
        <v>0.7871596743518644</v>
      </c>
      <c r="U445" s="61">
        <f>Allocation[[#This Row],[Total volume used]]/VLOOKUP(Allocation[[#This Row],[Delivery ID]],Delivery[[Delivery ID]:[Quantity delivered]],3,FALSE)</f>
        <v>0.96747980587846449</v>
      </c>
      <c r="V445" s="34" t="e">
        <f>VLOOKUP(Allocation[[#This Row],[SAP Contract number]],Shipments[[SAP Contract number]:[Contracted container weight]],2,FALSE)</f>
        <v>#N/A</v>
      </c>
      <c r="W445" s="34" t="e">
        <f>VLOOKUP(Allocation[[#This Row],[SAP Contract number]],Shipments[[SAP Contract number]:[AAA Premium USD]],24,FALSE)</f>
        <v>#N/A</v>
      </c>
      <c r="X445" s="34" t="e">
        <f>VLOOKUP(Allocation[[#This Row],[SAP Contract number]],Shipments[[SAP Contract number]:[RA Premium USD]],25,FALSE)</f>
        <v>#N/A</v>
      </c>
      <c r="Y445" s="38">
        <f>Allocation[[#This Row],[Quantity Processed]]/Allocation[[#This Row],[Quantity allocated]]</f>
        <v>3.0302052109753284</v>
      </c>
      <c r="Z445" s="34" t="b">
        <f>Allocation[[#This Row],[Quantity allocated]]&lt;=Allocation[[#This Row],[Quantity Processed]]</f>
        <v>1</v>
      </c>
    </row>
    <row r="446" spans="1:26">
      <c r="A446" s="247" t="s">
        <v>467</v>
      </c>
      <c r="B446" s="160" t="s">
        <v>68</v>
      </c>
      <c r="C446" s="249" t="s">
        <v>937</v>
      </c>
      <c r="D446" s="161">
        <v>7285</v>
      </c>
      <c r="E446" s="160" t="s">
        <v>1212</v>
      </c>
      <c r="F446" s="158">
        <v>43495</v>
      </c>
      <c r="G446" s="162">
        <v>2.1</v>
      </c>
      <c r="H446" s="159">
        <v>2987</v>
      </c>
      <c r="I446" s="166">
        <v>1428320</v>
      </c>
      <c r="J446" s="163">
        <v>21600</v>
      </c>
      <c r="K446" s="158">
        <v>43499</v>
      </c>
      <c r="L446" s="160" t="s">
        <v>1215</v>
      </c>
      <c r="M446" s="160">
        <v>4615485015</v>
      </c>
      <c r="N446" s="158">
        <v>43592</v>
      </c>
      <c r="O446" s="164">
        <v>3.9874000000000001</v>
      </c>
      <c r="P446" s="165">
        <v>19525</v>
      </c>
      <c r="Q446" s="34">
        <f>SUMIF(Allocation[Delivery ID],Allocation[[#This Row],[Delivery ID]],Allocation[Quantity Processed])</f>
        <v>23371</v>
      </c>
      <c r="R446" s="61">
        <f>Allocation[[#This Row],[Total volume used]]/VLOOKUP(Allocation[[#This Row],[Delivery ID]],Delivery[[Delivery ID]:[Quantity delivered]],3,FALSE)</f>
        <v>0.77825507825507823</v>
      </c>
      <c r="S446" s="34">
        <f>Allocation[[#This Row],[Quantity Processed]]/Allocation[[#This Row],[Dilution rate]]</f>
        <v>3469.0476190476188</v>
      </c>
      <c r="T446" s="59">
        <f>SUMIF(Allocation[Delivery ID],Allocation[[#This Row],[Delivery ID]],Allocation[Quantity allocated])/SUMIF(Allocation[Delivery ID],Allocation[[#This Row],[Delivery ID]],Allocation[Volume available (kg)])</f>
        <v>0.97805484651195362</v>
      </c>
      <c r="U446" s="61">
        <f>Allocation[[#This Row],[Total volume used]]/VLOOKUP(Allocation[[#This Row],[Delivery ID]],Delivery[[Delivery ID]:[Quantity delivered]],3,FALSE)</f>
        <v>0.77825507825507823</v>
      </c>
      <c r="V446" s="34" t="e">
        <f>VLOOKUP(Allocation[[#This Row],[SAP Contract number]],Shipments[[SAP Contract number]:[Contracted container weight]],2,FALSE)</f>
        <v>#N/A</v>
      </c>
      <c r="W446" s="34" t="e">
        <f>VLOOKUP(Allocation[[#This Row],[SAP Contract number]],Shipments[[SAP Contract number]:[AAA Premium USD]],24,FALSE)</f>
        <v>#N/A</v>
      </c>
      <c r="X446" s="34" t="e">
        <f>VLOOKUP(Allocation[[#This Row],[SAP Contract number]],Shipments[[SAP Contract number]:[RA Premium USD]],25,FALSE)</f>
        <v>#N/A</v>
      </c>
      <c r="Y446" s="38">
        <f>Allocation[[#This Row],[Quantity Processed]]/Allocation[[#This Row],[Quantity allocated]]</f>
        <v>2.4389019082691665</v>
      </c>
      <c r="Z446" s="34" t="b">
        <f>Allocation[[#This Row],[Quantity allocated]]&lt;=Allocation[[#This Row],[Quantity Processed]]</f>
        <v>1</v>
      </c>
    </row>
    <row r="447" spans="1:26">
      <c r="A447" s="247" t="s">
        <v>467</v>
      </c>
      <c r="B447" s="160" t="s">
        <v>68</v>
      </c>
      <c r="C447" s="249" t="s">
        <v>937</v>
      </c>
      <c r="D447" s="161">
        <v>2944</v>
      </c>
      <c r="E447" s="160" t="s">
        <v>1212</v>
      </c>
      <c r="F447" s="158">
        <v>43495</v>
      </c>
      <c r="G447" s="162">
        <v>2.1</v>
      </c>
      <c r="H447" s="159">
        <v>1207</v>
      </c>
      <c r="I447" s="166">
        <v>1428321</v>
      </c>
      <c r="J447" s="163">
        <v>21600</v>
      </c>
      <c r="K447" s="158">
        <v>43499</v>
      </c>
      <c r="L447" s="160" t="s">
        <v>1216</v>
      </c>
      <c r="M447" s="160">
        <v>4615485015</v>
      </c>
      <c r="N447" s="158">
        <v>43592</v>
      </c>
      <c r="O447" s="164">
        <v>3.9874000000000001</v>
      </c>
      <c r="P447" s="165">
        <v>19525</v>
      </c>
      <c r="Q447" s="34">
        <f>SUMIF(Allocation[Delivery ID],Allocation[[#This Row],[Delivery ID]],Allocation[Quantity Processed])</f>
        <v>23371</v>
      </c>
      <c r="R447" s="61">
        <f>Allocation[[#This Row],[Total volume used]]/VLOOKUP(Allocation[[#This Row],[Delivery ID]],Delivery[[Delivery ID]:[Quantity delivered]],3,FALSE)</f>
        <v>0.77825507825507823</v>
      </c>
      <c r="S447" s="34">
        <f>Allocation[[#This Row],[Quantity Processed]]/Allocation[[#This Row],[Dilution rate]]</f>
        <v>1401.9047619047619</v>
      </c>
      <c r="T447" s="59">
        <f>SUMIF(Allocation[Delivery ID],Allocation[[#This Row],[Delivery ID]],Allocation[Quantity allocated])/SUMIF(Allocation[Delivery ID],Allocation[[#This Row],[Delivery ID]],Allocation[Volume available (kg)])</f>
        <v>0.97805484651195362</v>
      </c>
      <c r="U447" s="61">
        <f>Allocation[[#This Row],[Total volume used]]/VLOOKUP(Allocation[[#This Row],[Delivery ID]],Delivery[[Delivery ID]:[Quantity delivered]],3,FALSE)</f>
        <v>0.77825507825507823</v>
      </c>
      <c r="V447" s="34" t="e">
        <f>VLOOKUP(Allocation[[#This Row],[SAP Contract number]],Shipments[[SAP Contract number]:[Contracted container weight]],2,FALSE)</f>
        <v>#N/A</v>
      </c>
      <c r="W447" s="34" t="e">
        <f>VLOOKUP(Allocation[[#This Row],[SAP Contract number]],Shipments[[SAP Contract number]:[AAA Premium USD]],24,FALSE)</f>
        <v>#N/A</v>
      </c>
      <c r="X447" s="34" t="e">
        <f>VLOOKUP(Allocation[[#This Row],[SAP Contract number]],Shipments[[SAP Contract number]:[RA Premium USD]],25,FALSE)</f>
        <v>#N/A</v>
      </c>
      <c r="Y447" s="38">
        <f>Allocation[[#This Row],[Quantity Processed]]/Allocation[[#This Row],[Quantity allocated]]</f>
        <v>2.4391052195526099</v>
      </c>
      <c r="Z447" s="34" t="b">
        <f>Allocation[[#This Row],[Quantity allocated]]&lt;=Allocation[[#This Row],[Quantity Processed]]</f>
        <v>1</v>
      </c>
    </row>
    <row r="448" spans="1:26">
      <c r="A448" s="247" t="s">
        <v>467</v>
      </c>
      <c r="B448" s="160" t="s">
        <v>68</v>
      </c>
      <c r="C448" s="249" t="s">
        <v>939</v>
      </c>
      <c r="D448" s="161">
        <v>5845</v>
      </c>
      <c r="E448" s="160" t="s">
        <v>1212</v>
      </c>
      <c r="F448" s="158">
        <v>43495</v>
      </c>
      <c r="G448" s="162">
        <v>2.1</v>
      </c>
      <c r="H448" s="159">
        <v>1929</v>
      </c>
      <c r="I448" s="166">
        <v>1428321</v>
      </c>
      <c r="J448" s="163">
        <v>21600</v>
      </c>
      <c r="K448" s="158">
        <v>43499</v>
      </c>
      <c r="L448" s="160" t="s">
        <v>1216</v>
      </c>
      <c r="M448" s="160">
        <v>4615485015</v>
      </c>
      <c r="N448" s="158">
        <v>43592</v>
      </c>
      <c r="O448" s="164">
        <v>3.9874000000000001</v>
      </c>
      <c r="P448" s="165">
        <v>19525</v>
      </c>
      <c r="Q448" s="34">
        <f>SUMIF(Allocation[Delivery ID],Allocation[[#This Row],[Delivery ID]],Allocation[Quantity Processed])</f>
        <v>13750</v>
      </c>
      <c r="R448" s="61">
        <f>Allocation[[#This Row],[Total volume used]]/VLOOKUP(Allocation[[#This Row],[Delivery ID]],Delivery[[Delivery ID]:[Quantity delivered]],3,FALSE)</f>
        <v>1</v>
      </c>
      <c r="S448" s="34">
        <f>Allocation[[#This Row],[Quantity Processed]]/Allocation[[#This Row],[Dilution rate]]</f>
        <v>2783.333333333333</v>
      </c>
      <c r="T448" s="59">
        <f>SUMIF(Allocation[Delivery ID],Allocation[[#This Row],[Delivery ID]],Allocation[Quantity allocated])/SUMIF(Allocation[Delivery ID],Allocation[[#This Row],[Delivery ID]],Allocation[Volume available (kg)])</f>
        <v>0.78913135555090075</v>
      </c>
      <c r="U448" s="61">
        <f>Allocation[[#This Row],[Total volume used]]/VLOOKUP(Allocation[[#This Row],[Delivery ID]],Delivery[[Delivery ID]:[Quantity delivered]],3,FALSE)</f>
        <v>1</v>
      </c>
      <c r="V448" s="34" t="e">
        <f>VLOOKUP(Allocation[[#This Row],[SAP Contract number]],Shipments[[SAP Contract number]:[Contracted container weight]],2,FALSE)</f>
        <v>#N/A</v>
      </c>
      <c r="W448" s="34" t="e">
        <f>VLOOKUP(Allocation[[#This Row],[SAP Contract number]],Shipments[[SAP Contract number]:[AAA Premium USD]],24,FALSE)</f>
        <v>#N/A</v>
      </c>
      <c r="X448" s="34" t="e">
        <f>VLOOKUP(Allocation[[#This Row],[SAP Contract number]],Shipments[[SAP Contract number]:[RA Premium USD]],25,FALSE)</f>
        <v>#N/A</v>
      </c>
      <c r="Y448" s="38">
        <f>Allocation[[#This Row],[Quantity Processed]]/Allocation[[#This Row],[Quantity allocated]]</f>
        <v>3.0300673924313117</v>
      </c>
      <c r="Z448" s="34" t="b">
        <f>Allocation[[#This Row],[Quantity allocated]]&lt;=Allocation[[#This Row],[Quantity Processed]]</f>
        <v>1</v>
      </c>
    </row>
    <row r="449" spans="1:26">
      <c r="A449" s="247" t="s">
        <v>467</v>
      </c>
      <c r="B449" s="160" t="s">
        <v>68</v>
      </c>
      <c r="C449" s="249" t="s">
        <v>941</v>
      </c>
      <c r="D449" s="161">
        <v>13980</v>
      </c>
      <c r="E449" s="160" t="s">
        <v>1212</v>
      </c>
      <c r="F449" s="158">
        <v>43495</v>
      </c>
      <c r="G449" s="162">
        <v>2.1</v>
      </c>
      <c r="H449" s="159">
        <v>4194</v>
      </c>
      <c r="I449" s="166">
        <v>1428321</v>
      </c>
      <c r="J449" s="163">
        <v>21600</v>
      </c>
      <c r="K449" s="158">
        <v>43499</v>
      </c>
      <c r="L449" s="160" t="s">
        <v>1216</v>
      </c>
      <c r="M449" s="160">
        <v>4615485015</v>
      </c>
      <c r="N449" s="158">
        <v>43592</v>
      </c>
      <c r="O449" s="164">
        <v>3.9874000000000001</v>
      </c>
      <c r="P449" s="165">
        <v>19525</v>
      </c>
      <c r="Q449" s="34">
        <f>SUMIF(Allocation[Delivery ID],Allocation[[#This Row],[Delivery ID]],Allocation[Quantity Processed])</f>
        <v>30050</v>
      </c>
      <c r="R449" s="61">
        <f>Allocation[[#This Row],[Total volume used]]/VLOOKUP(Allocation[[#This Row],[Delivery ID]],Delivery[[Delivery ID]:[Quantity delivered]],3,FALSE)</f>
        <v>1</v>
      </c>
      <c r="S449" s="34">
        <f>Allocation[[#This Row],[Quantity Processed]]/Allocation[[#This Row],[Dilution rate]]</f>
        <v>6657.1428571428569</v>
      </c>
      <c r="T449" s="59">
        <f>SUMIF(Allocation[Delivery ID],Allocation[[#This Row],[Delivery ID]],Allocation[Quantity allocated])/SUMIF(Allocation[Delivery ID],Allocation[[#This Row],[Delivery ID]],Allocation[Volume available (kg)])</f>
        <v>0.71267222293301935</v>
      </c>
      <c r="U449" s="61">
        <f>Allocation[[#This Row],[Total volume used]]/VLOOKUP(Allocation[[#This Row],[Delivery ID]],Delivery[[Delivery ID]:[Quantity delivered]],3,FALSE)</f>
        <v>1</v>
      </c>
      <c r="V449" s="34" t="e">
        <f>VLOOKUP(Allocation[[#This Row],[SAP Contract number]],Shipments[[SAP Contract number]:[Contracted container weight]],2,FALSE)</f>
        <v>#N/A</v>
      </c>
      <c r="W449" s="34" t="e">
        <f>VLOOKUP(Allocation[[#This Row],[SAP Contract number]],Shipments[[SAP Contract number]:[AAA Premium USD]],24,FALSE)</f>
        <v>#N/A</v>
      </c>
      <c r="X449" s="34" t="e">
        <f>VLOOKUP(Allocation[[#This Row],[SAP Contract number]],Shipments[[SAP Contract number]:[RA Premium USD]],25,FALSE)</f>
        <v>#N/A</v>
      </c>
      <c r="Y449" s="38">
        <f>Allocation[[#This Row],[Quantity Processed]]/Allocation[[#This Row],[Quantity allocated]]</f>
        <v>3.3333333333333335</v>
      </c>
      <c r="Z449" s="34" t="b">
        <f>Allocation[[#This Row],[Quantity allocated]]&lt;=Allocation[[#This Row],[Quantity Processed]]</f>
        <v>1</v>
      </c>
    </row>
    <row r="450" spans="1:26">
      <c r="A450" s="247" t="s">
        <v>467</v>
      </c>
      <c r="B450" s="160" t="s">
        <v>68</v>
      </c>
      <c r="C450" s="249" t="s">
        <v>943</v>
      </c>
      <c r="D450" s="161">
        <v>13980</v>
      </c>
      <c r="E450" s="160" t="s">
        <v>1212</v>
      </c>
      <c r="F450" s="158">
        <v>43495</v>
      </c>
      <c r="G450" s="162">
        <v>2.1</v>
      </c>
      <c r="H450" s="159">
        <v>4194</v>
      </c>
      <c r="I450" s="166">
        <v>1428321</v>
      </c>
      <c r="J450" s="163">
        <v>21600</v>
      </c>
      <c r="K450" s="158">
        <v>43499</v>
      </c>
      <c r="L450" s="160" t="s">
        <v>1216</v>
      </c>
      <c r="M450" s="160">
        <v>4615485015</v>
      </c>
      <c r="N450" s="158">
        <v>43592</v>
      </c>
      <c r="O450" s="164">
        <v>3.9874000000000001</v>
      </c>
      <c r="P450" s="165">
        <v>19525</v>
      </c>
      <c r="Q450" s="34">
        <f>SUMIF(Allocation[Delivery ID],Allocation[[#This Row],[Delivery ID]],Allocation[Quantity Processed])</f>
        <v>30020</v>
      </c>
      <c r="R450" s="61">
        <f>Allocation[[#This Row],[Total volume used]]/VLOOKUP(Allocation[[#This Row],[Delivery ID]],Delivery[[Delivery ID]:[Quantity delivered]],3,FALSE)</f>
        <v>1</v>
      </c>
      <c r="S450" s="34">
        <f>Allocation[[#This Row],[Quantity Processed]]/Allocation[[#This Row],[Dilution rate]]</f>
        <v>6657.1428571428569</v>
      </c>
      <c r="T450" s="59">
        <f>SUMIF(Allocation[Delivery ID],Allocation[[#This Row],[Delivery ID]],Allocation[Quantity allocated])/SUMIF(Allocation[Delivery ID],Allocation[[#This Row],[Delivery ID]],Allocation[Volume available (kg)])</f>
        <v>0.71299381953263574</v>
      </c>
      <c r="U450" s="61">
        <f>Allocation[[#This Row],[Total volume used]]/VLOOKUP(Allocation[[#This Row],[Delivery ID]],Delivery[[Delivery ID]:[Quantity delivered]],3,FALSE)</f>
        <v>1</v>
      </c>
      <c r="V450" s="34" t="e">
        <f>VLOOKUP(Allocation[[#This Row],[SAP Contract number]],Shipments[[SAP Contract number]:[Contracted container weight]],2,FALSE)</f>
        <v>#N/A</v>
      </c>
      <c r="W450" s="34" t="e">
        <f>VLOOKUP(Allocation[[#This Row],[SAP Contract number]],Shipments[[SAP Contract number]:[AAA Premium USD]],24,FALSE)</f>
        <v>#N/A</v>
      </c>
      <c r="X450" s="34" t="e">
        <f>VLOOKUP(Allocation[[#This Row],[SAP Contract number]],Shipments[[SAP Contract number]:[RA Premium USD]],25,FALSE)</f>
        <v>#N/A</v>
      </c>
      <c r="Y450" s="38">
        <f>Allocation[[#This Row],[Quantity Processed]]/Allocation[[#This Row],[Quantity allocated]]</f>
        <v>3.3333333333333335</v>
      </c>
      <c r="Z450" s="34" t="b">
        <f>Allocation[[#This Row],[Quantity allocated]]&lt;=Allocation[[#This Row],[Quantity Processed]]</f>
        <v>1</v>
      </c>
    </row>
    <row r="451" spans="1:26">
      <c r="A451" s="247" t="s">
        <v>467</v>
      </c>
      <c r="B451" s="160" t="s">
        <v>68</v>
      </c>
      <c r="C451" s="249" t="s">
        <v>944</v>
      </c>
      <c r="D451" s="161">
        <v>13980</v>
      </c>
      <c r="E451" s="160" t="s">
        <v>1212</v>
      </c>
      <c r="F451" s="158">
        <v>43495</v>
      </c>
      <c r="G451" s="162">
        <v>2.1</v>
      </c>
      <c r="H451" s="159">
        <v>4194</v>
      </c>
      <c r="I451" s="166">
        <v>1428321</v>
      </c>
      <c r="J451" s="163">
        <v>21600</v>
      </c>
      <c r="K451" s="158">
        <v>43499</v>
      </c>
      <c r="L451" s="160" t="s">
        <v>1216</v>
      </c>
      <c r="M451" s="160">
        <v>4615485015</v>
      </c>
      <c r="N451" s="158">
        <v>43592</v>
      </c>
      <c r="O451" s="164">
        <v>3.9874000000000001</v>
      </c>
      <c r="P451" s="165">
        <v>19525</v>
      </c>
      <c r="Q451" s="34">
        <f>SUMIF(Allocation[Delivery ID],Allocation[[#This Row],[Delivery ID]],Allocation[Quantity Processed])</f>
        <v>29990</v>
      </c>
      <c r="R451" s="61">
        <f>Allocation[[#This Row],[Total volume used]]/VLOOKUP(Allocation[[#This Row],[Delivery ID]],Delivery[[Delivery ID]:[Quantity delivered]],3,FALSE)</f>
        <v>1</v>
      </c>
      <c r="S451" s="34">
        <f>Allocation[[#This Row],[Quantity Processed]]/Allocation[[#This Row],[Dilution rate]]</f>
        <v>6657.1428571428569</v>
      </c>
      <c r="T451" s="59">
        <f>SUMIF(Allocation[Delivery ID],Allocation[[#This Row],[Delivery ID]],Allocation[Quantity allocated])/SUMIF(Allocation[Delivery ID],Allocation[[#This Row],[Delivery ID]],Allocation[Volume available (kg)])</f>
        <v>0.71339638192221222</v>
      </c>
      <c r="U451" s="61">
        <f>Allocation[[#This Row],[Total volume used]]/VLOOKUP(Allocation[[#This Row],[Delivery ID]],Delivery[[Delivery ID]:[Quantity delivered]],3,FALSE)</f>
        <v>1</v>
      </c>
      <c r="V451" s="34" t="e">
        <f>VLOOKUP(Allocation[[#This Row],[SAP Contract number]],Shipments[[SAP Contract number]:[Contracted container weight]],2,FALSE)</f>
        <v>#N/A</v>
      </c>
      <c r="W451" s="34" t="e">
        <f>VLOOKUP(Allocation[[#This Row],[SAP Contract number]],Shipments[[SAP Contract number]:[AAA Premium USD]],24,FALSE)</f>
        <v>#N/A</v>
      </c>
      <c r="X451" s="34" t="e">
        <f>VLOOKUP(Allocation[[#This Row],[SAP Contract number]],Shipments[[SAP Contract number]:[RA Premium USD]],25,FALSE)</f>
        <v>#N/A</v>
      </c>
      <c r="Y451" s="38">
        <f>Allocation[[#This Row],[Quantity Processed]]/Allocation[[#This Row],[Quantity allocated]]</f>
        <v>3.3333333333333335</v>
      </c>
      <c r="Z451" s="34" t="b">
        <f>Allocation[[#This Row],[Quantity allocated]]&lt;=Allocation[[#This Row],[Quantity Processed]]</f>
        <v>1</v>
      </c>
    </row>
    <row r="452" spans="1:26">
      <c r="A452" s="247" t="s">
        <v>467</v>
      </c>
      <c r="B452" s="160" t="s">
        <v>68</v>
      </c>
      <c r="C452" s="249" t="s">
        <v>957</v>
      </c>
      <c r="D452" s="161">
        <v>7636</v>
      </c>
      <c r="E452" s="160" t="s">
        <v>1212</v>
      </c>
      <c r="F452" s="158">
        <v>43495</v>
      </c>
      <c r="G452" s="162">
        <v>2.1</v>
      </c>
      <c r="H452" s="159">
        <v>2520</v>
      </c>
      <c r="I452" s="166">
        <v>1428321</v>
      </c>
      <c r="J452" s="163">
        <v>21600</v>
      </c>
      <c r="K452" s="158">
        <v>43499</v>
      </c>
      <c r="L452" s="160" t="s">
        <v>1216</v>
      </c>
      <c r="M452" s="160">
        <v>4615485015</v>
      </c>
      <c r="N452" s="158">
        <v>43592</v>
      </c>
      <c r="O452" s="164">
        <v>3.9874000000000001</v>
      </c>
      <c r="P452" s="165">
        <v>19525</v>
      </c>
      <c r="Q452" s="34">
        <f>SUMIF(Allocation[Delivery ID],Allocation[[#This Row],[Delivery ID]],Allocation[Quantity Processed])</f>
        <v>24170</v>
      </c>
      <c r="R452" s="61">
        <f>Allocation[[#This Row],[Total volume used]]/VLOOKUP(Allocation[[#This Row],[Delivery ID]],Delivery[[Delivery ID]:[Quantity delivered]],3,FALSE)</f>
        <v>1</v>
      </c>
      <c r="S452" s="34">
        <f>Allocation[[#This Row],[Quantity Processed]]/Allocation[[#This Row],[Dilution rate]]</f>
        <v>3636.1904761904761</v>
      </c>
      <c r="T452" s="59">
        <f>SUMIF(Allocation[Delivery ID],Allocation[[#This Row],[Delivery ID]],Allocation[Quantity allocated])/SUMIF(Allocation[Delivery ID],Allocation[[#This Row],[Delivery ID]],Allocation[Volume available (kg)])</f>
        <v>0.81588700460773944</v>
      </c>
      <c r="U452" s="61">
        <f>Allocation[[#This Row],[Total volume used]]/VLOOKUP(Allocation[[#This Row],[Delivery ID]],Delivery[[Delivery ID]:[Quantity delivered]],3,FALSE)</f>
        <v>1</v>
      </c>
      <c r="V452" s="34" t="e">
        <f>VLOOKUP(Allocation[[#This Row],[SAP Contract number]],Shipments[[SAP Contract number]:[Contracted container weight]],2,FALSE)</f>
        <v>#N/A</v>
      </c>
      <c r="W452" s="34" t="e">
        <f>VLOOKUP(Allocation[[#This Row],[SAP Contract number]],Shipments[[SAP Contract number]:[AAA Premium USD]],24,FALSE)</f>
        <v>#N/A</v>
      </c>
      <c r="X452" s="34" t="e">
        <f>VLOOKUP(Allocation[[#This Row],[SAP Contract number]],Shipments[[SAP Contract number]:[RA Premium USD]],25,FALSE)</f>
        <v>#N/A</v>
      </c>
      <c r="Y452" s="38">
        <f>Allocation[[#This Row],[Quantity Processed]]/Allocation[[#This Row],[Quantity allocated]]</f>
        <v>3.0301587301587301</v>
      </c>
      <c r="Z452" s="34" t="b">
        <f>Allocation[[#This Row],[Quantity allocated]]&lt;=Allocation[[#This Row],[Quantity Processed]]</f>
        <v>1</v>
      </c>
    </row>
    <row r="453" spans="1:26">
      <c r="A453" s="247" t="s">
        <v>467</v>
      </c>
      <c r="B453" s="160" t="s">
        <v>68</v>
      </c>
      <c r="C453" s="249" t="s">
        <v>959</v>
      </c>
      <c r="D453" s="161">
        <v>9046.5</v>
      </c>
      <c r="E453" s="160" t="s">
        <v>1212</v>
      </c>
      <c r="F453" s="158">
        <v>43495</v>
      </c>
      <c r="G453" s="162">
        <v>2.1</v>
      </c>
      <c r="H453" s="159">
        <v>3362</v>
      </c>
      <c r="I453" s="166">
        <v>1428321</v>
      </c>
      <c r="J453" s="163">
        <v>21600</v>
      </c>
      <c r="K453" s="158">
        <v>43499</v>
      </c>
      <c r="L453" s="160" t="s">
        <v>1216</v>
      </c>
      <c r="M453" s="160">
        <v>4615485015</v>
      </c>
      <c r="N453" s="158">
        <v>43592</v>
      </c>
      <c r="O453" s="164">
        <v>3.9874000000000001</v>
      </c>
      <c r="P453" s="165">
        <v>19525</v>
      </c>
      <c r="Q453" s="34">
        <f>SUMIF(Allocation[Delivery ID],Allocation[[#This Row],[Delivery ID]],Allocation[Quantity Processed])</f>
        <v>9046.5</v>
      </c>
      <c r="R453" s="61">
        <f>Allocation[[#This Row],[Total volume used]]/VLOOKUP(Allocation[[#This Row],[Delivery ID]],Delivery[[Delivery ID]:[Quantity delivered]],3,FALSE)</f>
        <v>1</v>
      </c>
      <c r="S453" s="34">
        <f>Allocation[[#This Row],[Quantity Processed]]/Allocation[[#This Row],[Dilution rate]]</f>
        <v>4307.8571428571431</v>
      </c>
      <c r="T453" s="59">
        <f>SUMIF(Allocation[Delivery ID],Allocation[[#This Row],[Delivery ID]],Allocation[Quantity allocated])/SUMIF(Allocation[Delivery ID],Allocation[[#This Row],[Delivery ID]],Allocation[Volume available (kg)])</f>
        <v>0.78043442215221348</v>
      </c>
      <c r="U453" s="61">
        <f>Allocation[[#This Row],[Total volume used]]/VLOOKUP(Allocation[[#This Row],[Delivery ID]],Delivery[[Delivery ID]:[Quantity delivered]],3,FALSE)</f>
        <v>1</v>
      </c>
      <c r="V453" s="34" t="e">
        <f>VLOOKUP(Allocation[[#This Row],[SAP Contract number]],Shipments[[SAP Contract number]:[Contracted container weight]],2,FALSE)</f>
        <v>#N/A</v>
      </c>
      <c r="W453" s="34" t="e">
        <f>VLOOKUP(Allocation[[#This Row],[SAP Contract number]],Shipments[[SAP Contract number]:[AAA Premium USD]],24,FALSE)</f>
        <v>#N/A</v>
      </c>
      <c r="X453" s="34" t="e">
        <f>VLOOKUP(Allocation[[#This Row],[SAP Contract number]],Shipments[[SAP Contract number]:[RA Premium USD]],25,FALSE)</f>
        <v>#N/A</v>
      </c>
      <c r="Y453" s="38">
        <f>Allocation[[#This Row],[Quantity Processed]]/Allocation[[#This Row],[Quantity allocated]]</f>
        <v>2.6908090422367636</v>
      </c>
      <c r="Z453" s="34" t="b">
        <f>Allocation[[#This Row],[Quantity allocated]]&lt;=Allocation[[#This Row],[Quantity Processed]]</f>
        <v>1</v>
      </c>
    </row>
    <row r="454" spans="1:26">
      <c r="A454" s="247" t="s">
        <v>467</v>
      </c>
      <c r="B454" s="160" t="s">
        <v>68</v>
      </c>
      <c r="C454" s="249" t="s">
        <v>965</v>
      </c>
      <c r="D454" s="161">
        <v>1930</v>
      </c>
      <c r="E454" s="160" t="s">
        <v>1212</v>
      </c>
      <c r="F454" s="158">
        <v>43495</v>
      </c>
      <c r="G454" s="162">
        <v>2.1</v>
      </c>
      <c r="H454" s="159">
        <v>747</v>
      </c>
      <c r="I454" s="166">
        <v>1428322</v>
      </c>
      <c r="J454" s="163">
        <v>21600</v>
      </c>
      <c r="K454" s="158">
        <v>43499</v>
      </c>
      <c r="L454" s="160" t="s">
        <v>1217</v>
      </c>
      <c r="M454" s="160">
        <v>4615485015</v>
      </c>
      <c r="N454" s="158">
        <v>43592</v>
      </c>
      <c r="O454" s="164">
        <v>3.9874000000000001</v>
      </c>
      <c r="P454" s="165">
        <v>19525</v>
      </c>
      <c r="Q454" s="34">
        <f>SUMIF(Allocation[Delivery ID],Allocation[[#This Row],[Delivery ID]],Allocation[Quantity Processed])</f>
        <v>1930</v>
      </c>
      <c r="R454" s="61">
        <f>Allocation[[#This Row],[Total volume used]]/VLOOKUP(Allocation[[#This Row],[Delivery ID]],Delivery[[Delivery ID]:[Quantity delivered]],3,FALSE)</f>
        <v>1</v>
      </c>
      <c r="S454" s="34">
        <f>Allocation[[#This Row],[Quantity Processed]]/Allocation[[#This Row],[Dilution rate]]</f>
        <v>919.04761904761904</v>
      </c>
      <c r="T454" s="59">
        <f>SUMIF(Allocation[Delivery ID],Allocation[[#This Row],[Delivery ID]],Allocation[Quantity allocated])/SUMIF(Allocation[Delivery ID],Allocation[[#This Row],[Delivery ID]],Allocation[Volume available (kg)])</f>
        <v>0.81279792746113988</v>
      </c>
      <c r="U454" s="61">
        <f>Allocation[[#This Row],[Total volume used]]/VLOOKUP(Allocation[[#This Row],[Delivery ID]],Delivery[[Delivery ID]:[Quantity delivered]],3,FALSE)</f>
        <v>1</v>
      </c>
      <c r="V454" s="34" t="e">
        <f>VLOOKUP(Allocation[[#This Row],[SAP Contract number]],Shipments[[SAP Contract number]:[Contracted container weight]],2,FALSE)</f>
        <v>#N/A</v>
      </c>
      <c r="W454" s="34" t="e">
        <f>VLOOKUP(Allocation[[#This Row],[SAP Contract number]],Shipments[[SAP Contract number]:[AAA Premium USD]],24,FALSE)</f>
        <v>#N/A</v>
      </c>
      <c r="X454" s="34" t="e">
        <f>VLOOKUP(Allocation[[#This Row],[SAP Contract number]],Shipments[[SAP Contract number]:[RA Premium USD]],25,FALSE)</f>
        <v>#N/A</v>
      </c>
      <c r="Y454" s="38">
        <f>Allocation[[#This Row],[Quantity Processed]]/Allocation[[#This Row],[Quantity allocated]]</f>
        <v>2.5836680053547525</v>
      </c>
      <c r="Z454" s="34" t="b">
        <f>Allocation[[#This Row],[Quantity allocated]]&lt;=Allocation[[#This Row],[Quantity Processed]]</f>
        <v>1</v>
      </c>
    </row>
    <row r="455" spans="1:26">
      <c r="A455" s="247" t="s">
        <v>467</v>
      </c>
      <c r="B455" s="160" t="s">
        <v>68</v>
      </c>
      <c r="C455" s="249" t="s">
        <v>967</v>
      </c>
      <c r="D455" s="161">
        <v>4448</v>
      </c>
      <c r="E455" s="160" t="s">
        <v>1212</v>
      </c>
      <c r="F455" s="158">
        <v>43495</v>
      </c>
      <c r="G455" s="162">
        <v>2.1</v>
      </c>
      <c r="H455" s="159">
        <v>1468</v>
      </c>
      <c r="I455" s="166">
        <v>1428322</v>
      </c>
      <c r="J455" s="163">
        <v>21600</v>
      </c>
      <c r="K455" s="158">
        <v>43499</v>
      </c>
      <c r="L455" s="160" t="s">
        <v>1217</v>
      </c>
      <c r="M455" s="160">
        <v>4615485015</v>
      </c>
      <c r="N455" s="158">
        <v>43592</v>
      </c>
      <c r="O455" s="164">
        <v>3.9874000000000001</v>
      </c>
      <c r="P455" s="165">
        <v>19525</v>
      </c>
      <c r="Q455" s="34">
        <f>SUMIF(Allocation[Delivery ID],Allocation[[#This Row],[Delivery ID]],Allocation[Quantity Processed])</f>
        <v>13980</v>
      </c>
      <c r="R455" s="61">
        <f>Allocation[[#This Row],[Total volume used]]/VLOOKUP(Allocation[[#This Row],[Delivery ID]],Delivery[[Delivery ID]:[Quantity delivered]],3,FALSE)</f>
        <v>1</v>
      </c>
      <c r="S455" s="34">
        <f>Allocation[[#This Row],[Quantity Processed]]/Allocation[[#This Row],[Dilution rate]]</f>
        <v>2118.0952380952381</v>
      </c>
      <c r="T455" s="59">
        <f>SUMIF(Allocation[Delivery ID],Allocation[[#This Row],[Delivery ID]],Allocation[Quantity allocated])/SUMIF(Allocation[Delivery ID],Allocation[[#This Row],[Delivery ID]],Allocation[Volume available (kg)])</f>
        <v>0.81689670470480924</v>
      </c>
      <c r="U455" s="61">
        <f>Allocation[[#This Row],[Total volume used]]/VLOOKUP(Allocation[[#This Row],[Delivery ID]],Delivery[[Delivery ID]:[Quantity delivered]],3,FALSE)</f>
        <v>1</v>
      </c>
      <c r="V455" s="34" t="e">
        <f>VLOOKUP(Allocation[[#This Row],[SAP Contract number]],Shipments[[SAP Contract number]:[Contracted container weight]],2,FALSE)</f>
        <v>#N/A</v>
      </c>
      <c r="W455" s="34" t="e">
        <f>VLOOKUP(Allocation[[#This Row],[SAP Contract number]],Shipments[[SAP Contract number]:[AAA Premium USD]],24,FALSE)</f>
        <v>#N/A</v>
      </c>
      <c r="X455" s="34" t="e">
        <f>VLOOKUP(Allocation[[#This Row],[SAP Contract number]],Shipments[[SAP Contract number]:[RA Premium USD]],25,FALSE)</f>
        <v>#N/A</v>
      </c>
      <c r="Y455" s="38">
        <f>Allocation[[#This Row],[Quantity Processed]]/Allocation[[#This Row],[Quantity allocated]]</f>
        <v>3.0299727520435966</v>
      </c>
      <c r="Z455" s="34" t="b">
        <f>Allocation[[#This Row],[Quantity allocated]]&lt;=Allocation[[#This Row],[Quantity Processed]]</f>
        <v>1</v>
      </c>
    </row>
    <row r="456" spans="1:26">
      <c r="A456" s="247" t="s">
        <v>467</v>
      </c>
      <c r="B456" s="160" t="s">
        <v>68</v>
      </c>
      <c r="C456" s="249" t="s">
        <v>973</v>
      </c>
      <c r="D456" s="161">
        <v>13790</v>
      </c>
      <c r="E456" s="160" t="s">
        <v>1212</v>
      </c>
      <c r="F456" s="158">
        <v>43495</v>
      </c>
      <c r="G456" s="162">
        <v>2.1</v>
      </c>
      <c r="H456" s="159">
        <v>5378</v>
      </c>
      <c r="I456" s="166">
        <v>1428322</v>
      </c>
      <c r="J456" s="163">
        <v>21600</v>
      </c>
      <c r="K456" s="158">
        <v>43499</v>
      </c>
      <c r="L456" s="160" t="s">
        <v>1217</v>
      </c>
      <c r="M456" s="160">
        <v>4615485015</v>
      </c>
      <c r="N456" s="158">
        <v>43592</v>
      </c>
      <c r="O456" s="164">
        <v>3.9874000000000001</v>
      </c>
      <c r="P456" s="165">
        <v>19525</v>
      </c>
      <c r="Q456" s="34">
        <f>SUMIF(Allocation[Delivery ID],Allocation[[#This Row],[Delivery ID]],Allocation[Quantity Processed])</f>
        <v>18984</v>
      </c>
      <c r="R456" s="61">
        <f>Allocation[[#This Row],[Total volume used]]/VLOOKUP(Allocation[[#This Row],[Delivery ID]],Delivery[[Delivery ID]:[Quantity delivered]],3,FALSE)</f>
        <v>0.63174708818635605</v>
      </c>
      <c r="S456" s="34">
        <f>Allocation[[#This Row],[Quantity Processed]]/Allocation[[#This Row],[Dilution rate]]</f>
        <v>6566.6666666666661</v>
      </c>
      <c r="T456" s="59">
        <f>SUMIF(Allocation[Delivery ID],Allocation[[#This Row],[Delivery ID]],Allocation[Quantity allocated])/SUMIF(Allocation[Delivery ID],Allocation[[#This Row],[Delivery ID]],Allocation[Volume available (kg)])</f>
        <v>0.86980715245582985</v>
      </c>
      <c r="U456" s="61">
        <f>Allocation[[#This Row],[Total volume used]]/VLOOKUP(Allocation[[#This Row],[Delivery ID]],Delivery[[Delivery ID]:[Quantity delivered]],3,FALSE)</f>
        <v>0.63174708818635605</v>
      </c>
      <c r="V456" s="34" t="e">
        <f>VLOOKUP(Allocation[[#This Row],[SAP Contract number]],Shipments[[SAP Contract number]:[Contracted container weight]],2,FALSE)</f>
        <v>#N/A</v>
      </c>
      <c r="W456" s="34" t="e">
        <f>VLOOKUP(Allocation[[#This Row],[SAP Contract number]],Shipments[[SAP Contract number]:[AAA Premium USD]],24,FALSE)</f>
        <v>#N/A</v>
      </c>
      <c r="X456" s="34" t="e">
        <f>VLOOKUP(Allocation[[#This Row],[SAP Contract number]],Shipments[[SAP Contract number]:[RA Premium USD]],25,FALSE)</f>
        <v>#N/A</v>
      </c>
      <c r="Y456" s="38">
        <f>Allocation[[#This Row],[Quantity Processed]]/Allocation[[#This Row],[Quantity allocated]]</f>
        <v>2.5641502417255486</v>
      </c>
      <c r="Z456" s="34" t="b">
        <f>Allocation[[#This Row],[Quantity allocated]]&lt;=Allocation[[#This Row],[Quantity Processed]]</f>
        <v>1</v>
      </c>
    </row>
    <row r="457" spans="1:26">
      <c r="A457" s="247" t="s">
        <v>467</v>
      </c>
      <c r="B457" s="160" t="s">
        <v>68</v>
      </c>
      <c r="C457" s="249" t="s">
        <v>976</v>
      </c>
      <c r="D457" s="161">
        <v>4690</v>
      </c>
      <c r="E457" s="160" t="s">
        <v>1212</v>
      </c>
      <c r="F457" s="158">
        <v>43495</v>
      </c>
      <c r="G457" s="162">
        <v>2.1</v>
      </c>
      <c r="H457" s="159">
        <v>1829</v>
      </c>
      <c r="I457" s="166">
        <v>1428322</v>
      </c>
      <c r="J457" s="163">
        <v>21600</v>
      </c>
      <c r="K457" s="158">
        <v>43499</v>
      </c>
      <c r="L457" s="160" t="s">
        <v>1217</v>
      </c>
      <c r="M457" s="160">
        <v>4615485015</v>
      </c>
      <c r="N457" s="158">
        <v>43592</v>
      </c>
      <c r="O457" s="164">
        <v>3.9874000000000001</v>
      </c>
      <c r="P457" s="165">
        <v>19525</v>
      </c>
      <c r="Q457" s="34">
        <f>SUMIF(Allocation[Delivery ID],Allocation[[#This Row],[Delivery ID]],Allocation[Quantity Processed])</f>
        <v>5762</v>
      </c>
      <c r="R457" s="61">
        <f>Allocation[[#This Row],[Total volume used]]/VLOOKUP(Allocation[[#This Row],[Delivery ID]],Delivery[[Delivery ID]:[Quantity delivered]],3,FALSE)</f>
        <v>0.56517900931829324</v>
      </c>
      <c r="S457" s="34">
        <f>Allocation[[#This Row],[Quantity Processed]]/Allocation[[#This Row],[Dilution rate]]</f>
        <v>2233.333333333333</v>
      </c>
      <c r="T457" s="59">
        <f>SUMIF(Allocation[Delivery ID],Allocation[[#This Row],[Delivery ID]],Allocation[Quantity allocated])/SUMIF(Allocation[Delivery ID],Allocation[[#This Row],[Delivery ID]],Allocation[Volume available (kg)])</f>
        <v>0.8530439681206371</v>
      </c>
      <c r="U457" s="61">
        <f>Allocation[[#This Row],[Total volume used]]/VLOOKUP(Allocation[[#This Row],[Delivery ID]],Delivery[[Delivery ID]:[Quantity delivered]],3,FALSE)</f>
        <v>0.56517900931829324</v>
      </c>
      <c r="V457" s="34" t="e">
        <f>VLOOKUP(Allocation[[#This Row],[SAP Contract number]],Shipments[[SAP Contract number]:[Contracted container weight]],2,FALSE)</f>
        <v>#N/A</v>
      </c>
      <c r="W457" s="34" t="e">
        <f>VLOOKUP(Allocation[[#This Row],[SAP Contract number]],Shipments[[SAP Contract number]:[AAA Premium USD]],24,FALSE)</f>
        <v>#N/A</v>
      </c>
      <c r="X457" s="34" t="e">
        <f>VLOOKUP(Allocation[[#This Row],[SAP Contract number]],Shipments[[SAP Contract number]:[RA Premium USD]],25,FALSE)</f>
        <v>#N/A</v>
      </c>
      <c r="Y457" s="38">
        <f>Allocation[[#This Row],[Quantity Processed]]/Allocation[[#This Row],[Quantity allocated]]</f>
        <v>2.5642427556041554</v>
      </c>
      <c r="Z457" s="34" t="b">
        <f>Allocation[[#This Row],[Quantity allocated]]&lt;=Allocation[[#This Row],[Quantity Processed]]</f>
        <v>1</v>
      </c>
    </row>
    <row r="458" spans="1:26">
      <c r="A458" s="247" t="s">
        <v>467</v>
      </c>
      <c r="B458" s="160" t="s">
        <v>68</v>
      </c>
      <c r="C458" s="249" t="s">
        <v>978</v>
      </c>
      <c r="D458" s="161">
        <v>8963</v>
      </c>
      <c r="E458" s="160" t="s">
        <v>1212</v>
      </c>
      <c r="F458" s="158">
        <v>43495</v>
      </c>
      <c r="G458" s="162">
        <v>2.1</v>
      </c>
      <c r="H458" s="159">
        <v>2689</v>
      </c>
      <c r="I458" s="166">
        <v>1428322</v>
      </c>
      <c r="J458" s="163">
        <v>21600</v>
      </c>
      <c r="K458" s="158">
        <v>43499</v>
      </c>
      <c r="L458" s="160" t="s">
        <v>1217</v>
      </c>
      <c r="M458" s="160">
        <v>4615485015</v>
      </c>
      <c r="N458" s="158">
        <v>43592</v>
      </c>
      <c r="O458" s="164">
        <v>3.9874000000000001</v>
      </c>
      <c r="P458" s="165">
        <v>19525</v>
      </c>
      <c r="Q458" s="34">
        <f>SUMIF(Allocation[Delivery ID],Allocation[[#This Row],[Delivery ID]],Allocation[Quantity Processed])</f>
        <v>10932</v>
      </c>
      <c r="R458" s="61">
        <f>Allocation[[#This Row],[Total volume used]]/VLOOKUP(Allocation[[#This Row],[Delivery ID]],Delivery[[Delivery ID]:[Quantity delivered]],3,FALSE)</f>
        <v>0.72807192807192811</v>
      </c>
      <c r="S458" s="34">
        <f>Allocation[[#This Row],[Quantity Processed]]/Allocation[[#This Row],[Dilution rate]]</f>
        <v>4268.0952380952376</v>
      </c>
      <c r="T458" s="59">
        <f>SUMIF(Allocation[Delivery ID],Allocation[[#This Row],[Delivery ID]],Allocation[Quantity allocated])/SUMIF(Allocation[Delivery ID],Allocation[[#This Row],[Delivery ID]],Allocation[Volume available (kg)])</f>
        <v>0.66709261121584584</v>
      </c>
      <c r="U458" s="61">
        <f>Allocation[[#This Row],[Total volume used]]/VLOOKUP(Allocation[[#This Row],[Delivery ID]],Delivery[[Delivery ID]:[Quantity delivered]],3,FALSE)</f>
        <v>0.72807192807192811</v>
      </c>
      <c r="V458" s="34" t="e">
        <f>VLOOKUP(Allocation[[#This Row],[SAP Contract number]],Shipments[[SAP Contract number]:[Contracted container weight]],2,FALSE)</f>
        <v>#N/A</v>
      </c>
      <c r="W458" s="34" t="e">
        <f>VLOOKUP(Allocation[[#This Row],[SAP Contract number]],Shipments[[SAP Contract number]:[AAA Premium USD]],24,FALSE)</f>
        <v>#N/A</v>
      </c>
      <c r="X458" s="34" t="e">
        <f>VLOOKUP(Allocation[[#This Row],[SAP Contract number]],Shipments[[SAP Contract number]:[RA Premium USD]],25,FALSE)</f>
        <v>#N/A</v>
      </c>
      <c r="Y458" s="38">
        <f>Allocation[[#This Row],[Quantity Processed]]/Allocation[[#This Row],[Quantity allocated]]</f>
        <v>3.3332093715135738</v>
      </c>
      <c r="Z458" s="34" t="b">
        <f>Allocation[[#This Row],[Quantity allocated]]&lt;=Allocation[[#This Row],[Quantity Processed]]</f>
        <v>1</v>
      </c>
    </row>
    <row r="459" spans="1:26">
      <c r="A459" s="247" t="s">
        <v>467</v>
      </c>
      <c r="B459" s="160" t="s">
        <v>68</v>
      </c>
      <c r="C459" s="249" t="s">
        <v>984</v>
      </c>
      <c r="D459" s="161">
        <v>13039</v>
      </c>
      <c r="E459" s="160" t="s">
        <v>1212</v>
      </c>
      <c r="F459" s="158">
        <v>43495</v>
      </c>
      <c r="G459" s="162">
        <v>2.1</v>
      </c>
      <c r="H459" s="159">
        <v>4303</v>
      </c>
      <c r="I459" s="166">
        <v>1428322</v>
      </c>
      <c r="J459" s="163">
        <v>21600</v>
      </c>
      <c r="K459" s="158">
        <v>43499</v>
      </c>
      <c r="L459" s="160" t="s">
        <v>1217</v>
      </c>
      <c r="M459" s="160">
        <v>4615485015</v>
      </c>
      <c r="N459" s="158">
        <v>43592</v>
      </c>
      <c r="O459" s="164">
        <v>3.9874000000000001</v>
      </c>
      <c r="P459" s="165">
        <v>19525</v>
      </c>
      <c r="Q459" s="34">
        <f>SUMIF(Allocation[Delivery ID],Allocation[[#This Row],[Delivery ID]],Allocation[Quantity Processed])</f>
        <v>16184</v>
      </c>
      <c r="R459" s="61">
        <f>Allocation[[#This Row],[Total volume used]]/VLOOKUP(Allocation[[#This Row],[Delivery ID]],Delivery[[Delivery ID]:[Quantity delivered]],3,FALSE)</f>
        <v>0.675741127348643</v>
      </c>
      <c r="S459" s="34">
        <f>Allocation[[#This Row],[Quantity Processed]]/Allocation[[#This Row],[Dilution rate]]</f>
        <v>6209.0476190476184</v>
      </c>
      <c r="T459" s="59">
        <f>SUMIF(Allocation[Delivery ID],Allocation[[#This Row],[Delivery ID]],Allocation[Quantity allocated])/SUMIF(Allocation[Delivery ID],Allocation[[#This Row],[Delivery ID]],Allocation[Volume available (kg)])</f>
        <v>0.72306862817030149</v>
      </c>
      <c r="U459" s="61">
        <f>Allocation[[#This Row],[Total volume used]]/VLOOKUP(Allocation[[#This Row],[Delivery ID]],Delivery[[Delivery ID]:[Quantity delivered]],3,FALSE)</f>
        <v>0.675741127348643</v>
      </c>
      <c r="V459" s="34" t="e">
        <f>VLOOKUP(Allocation[[#This Row],[SAP Contract number]],Shipments[[SAP Contract number]:[Contracted container weight]],2,FALSE)</f>
        <v>#N/A</v>
      </c>
      <c r="W459" s="34" t="e">
        <f>VLOOKUP(Allocation[[#This Row],[SAP Contract number]],Shipments[[SAP Contract number]:[AAA Premium USD]],24,FALSE)</f>
        <v>#N/A</v>
      </c>
      <c r="X459" s="34" t="e">
        <f>VLOOKUP(Allocation[[#This Row],[SAP Contract number]],Shipments[[SAP Contract number]:[RA Premium USD]],25,FALSE)</f>
        <v>#N/A</v>
      </c>
      <c r="Y459" s="38">
        <f>Allocation[[#This Row],[Quantity Processed]]/Allocation[[#This Row],[Quantity allocated]]</f>
        <v>3.0302114803625377</v>
      </c>
      <c r="Z459" s="34" t="b">
        <f>Allocation[[#This Row],[Quantity allocated]]&lt;=Allocation[[#This Row],[Quantity Processed]]</f>
        <v>1</v>
      </c>
    </row>
    <row r="460" spans="1:26">
      <c r="A460" s="247" t="s">
        <v>467</v>
      </c>
      <c r="B460" s="160" t="s">
        <v>68</v>
      </c>
      <c r="C460" s="249" t="s">
        <v>985</v>
      </c>
      <c r="D460" s="161">
        <v>5686</v>
      </c>
      <c r="E460" s="160" t="s">
        <v>1212</v>
      </c>
      <c r="F460" s="158">
        <v>43495</v>
      </c>
      <c r="G460" s="162">
        <v>2.1</v>
      </c>
      <c r="H460" s="159">
        <v>1990</v>
      </c>
      <c r="I460" s="166">
        <v>1428322</v>
      </c>
      <c r="J460" s="163">
        <v>21600</v>
      </c>
      <c r="K460" s="158">
        <v>43499</v>
      </c>
      <c r="L460" s="160" t="s">
        <v>1217</v>
      </c>
      <c r="M460" s="160">
        <v>4615485015</v>
      </c>
      <c r="N460" s="158">
        <v>43592</v>
      </c>
      <c r="O460" s="164">
        <v>3.9874000000000001</v>
      </c>
      <c r="P460" s="165">
        <v>19525</v>
      </c>
      <c r="Q460" s="34">
        <f>SUMIF(Allocation[Delivery ID],Allocation[[#This Row],[Delivery ID]],Allocation[Quantity Processed])</f>
        <v>7053</v>
      </c>
      <c r="R460" s="61">
        <f>Allocation[[#This Row],[Total volume used]]/VLOOKUP(Allocation[[#This Row],[Delivery ID]],Delivery[[Delivery ID]:[Quantity delivered]],3,FALSE)</f>
        <v>0.63770343580470168</v>
      </c>
      <c r="S460" s="34">
        <f>Allocation[[#This Row],[Quantity Processed]]/Allocation[[#This Row],[Dilution rate]]</f>
        <v>2707.6190476190477</v>
      </c>
      <c r="T460" s="59">
        <f>SUMIF(Allocation[Delivery ID],Allocation[[#This Row],[Delivery ID]],Allocation[Quantity allocated])/SUMIF(Allocation[Delivery ID],Allocation[[#This Row],[Delivery ID]],Allocation[Volume available (kg)])</f>
        <v>0.76690120298999431</v>
      </c>
      <c r="U460" s="61">
        <f>Allocation[[#This Row],[Total volume used]]/VLOOKUP(Allocation[[#This Row],[Delivery ID]],Delivery[[Delivery ID]:[Quantity delivered]],3,FALSE)</f>
        <v>0.63770343580470168</v>
      </c>
      <c r="V460" s="34" t="e">
        <f>VLOOKUP(Allocation[[#This Row],[SAP Contract number]],Shipments[[SAP Contract number]:[Contracted container weight]],2,FALSE)</f>
        <v>#N/A</v>
      </c>
      <c r="W460" s="34" t="e">
        <f>VLOOKUP(Allocation[[#This Row],[SAP Contract number]],Shipments[[SAP Contract number]:[AAA Premium USD]],24,FALSE)</f>
        <v>#N/A</v>
      </c>
      <c r="X460" s="34" t="e">
        <f>VLOOKUP(Allocation[[#This Row],[SAP Contract number]],Shipments[[SAP Contract number]:[RA Premium USD]],25,FALSE)</f>
        <v>#N/A</v>
      </c>
      <c r="Y460" s="38">
        <f>Allocation[[#This Row],[Quantity Processed]]/Allocation[[#This Row],[Quantity allocated]]</f>
        <v>2.8572864321608038</v>
      </c>
      <c r="Z460" s="34" t="b">
        <f>Allocation[[#This Row],[Quantity allocated]]&lt;=Allocation[[#This Row],[Quantity Processed]]</f>
        <v>1</v>
      </c>
    </row>
    <row r="461" spans="1:26">
      <c r="A461" s="247" t="s">
        <v>467</v>
      </c>
      <c r="B461" s="160" t="s">
        <v>68</v>
      </c>
      <c r="C461" s="249" t="s">
        <v>987</v>
      </c>
      <c r="D461" s="161">
        <v>2688</v>
      </c>
      <c r="E461" s="160" t="s">
        <v>1212</v>
      </c>
      <c r="F461" s="158">
        <v>43495</v>
      </c>
      <c r="G461" s="162">
        <v>2.1</v>
      </c>
      <c r="H461" s="159">
        <v>914</v>
      </c>
      <c r="I461" s="166">
        <v>1428322</v>
      </c>
      <c r="J461" s="163">
        <v>21600</v>
      </c>
      <c r="K461" s="158">
        <v>43499</v>
      </c>
      <c r="L461" s="160" t="s">
        <v>1217</v>
      </c>
      <c r="M461" s="160">
        <v>4615485015</v>
      </c>
      <c r="N461" s="158">
        <v>43592</v>
      </c>
      <c r="O461" s="164">
        <v>3.9874000000000001</v>
      </c>
      <c r="P461" s="165">
        <v>19525</v>
      </c>
      <c r="Q461" s="34">
        <f>SUMIF(Allocation[Delivery ID],Allocation[[#This Row],[Delivery ID]],Allocation[Quantity Processed])</f>
        <v>3339</v>
      </c>
      <c r="R461" s="61">
        <f>Allocation[[#This Row],[Total volume used]]/VLOOKUP(Allocation[[#This Row],[Delivery ID]],Delivery[[Delivery ID]:[Quantity delivered]],3,FALSE)</f>
        <v>0.65573448546739987</v>
      </c>
      <c r="S461" s="34">
        <f>Allocation[[#This Row],[Quantity Processed]]/Allocation[[#This Row],[Dilution rate]]</f>
        <v>1280</v>
      </c>
      <c r="T461" s="59">
        <f>SUMIF(Allocation[Delivery ID],Allocation[[#This Row],[Delivery ID]],Allocation[Quantity allocated])/SUMIF(Allocation[Delivery ID],Allocation[[#This Row],[Delivery ID]],Allocation[Volume available (kg)])</f>
        <v>0.74487926835387097</v>
      </c>
      <c r="U461" s="61">
        <f>Allocation[[#This Row],[Total volume used]]/VLOOKUP(Allocation[[#This Row],[Delivery ID]],Delivery[[Delivery ID]:[Quantity delivered]],3,FALSE)</f>
        <v>0.65573448546739987</v>
      </c>
      <c r="V461" s="34" t="e">
        <f>VLOOKUP(Allocation[[#This Row],[SAP Contract number]],Shipments[[SAP Contract number]:[Contracted container weight]],2,FALSE)</f>
        <v>#N/A</v>
      </c>
      <c r="W461" s="34" t="e">
        <f>VLOOKUP(Allocation[[#This Row],[SAP Contract number]],Shipments[[SAP Contract number]:[AAA Premium USD]],24,FALSE)</f>
        <v>#N/A</v>
      </c>
      <c r="X461" s="34" t="e">
        <f>VLOOKUP(Allocation[[#This Row],[SAP Contract number]],Shipments[[SAP Contract number]:[RA Premium USD]],25,FALSE)</f>
        <v>#N/A</v>
      </c>
      <c r="Y461" s="38">
        <f>Allocation[[#This Row],[Quantity Processed]]/Allocation[[#This Row],[Quantity allocated]]</f>
        <v>2.9409190371991247</v>
      </c>
      <c r="Z461" s="34" t="b">
        <f>Allocation[[#This Row],[Quantity allocated]]&lt;=Allocation[[#This Row],[Quantity Processed]]</f>
        <v>1</v>
      </c>
    </row>
    <row r="462" spans="1:26">
      <c r="A462" s="247" t="s">
        <v>467</v>
      </c>
      <c r="B462" s="160" t="s">
        <v>68</v>
      </c>
      <c r="C462" s="249" t="s">
        <v>989</v>
      </c>
      <c r="D462" s="161">
        <v>2753</v>
      </c>
      <c r="E462" s="160" t="s">
        <v>1212</v>
      </c>
      <c r="F462" s="158">
        <v>43495</v>
      </c>
      <c r="G462" s="162">
        <v>2.1</v>
      </c>
      <c r="H462" s="159">
        <v>936</v>
      </c>
      <c r="I462" s="166">
        <v>1428322</v>
      </c>
      <c r="J462" s="163">
        <v>21600</v>
      </c>
      <c r="K462" s="158">
        <v>43499</v>
      </c>
      <c r="L462" s="160" t="s">
        <v>1217</v>
      </c>
      <c r="M462" s="160">
        <v>4615485015</v>
      </c>
      <c r="N462" s="158">
        <v>43592</v>
      </c>
      <c r="O462" s="164">
        <v>3.9874000000000001</v>
      </c>
      <c r="P462" s="165">
        <v>19525</v>
      </c>
      <c r="Q462" s="34">
        <f>SUMIF(Allocation[Delivery ID],Allocation[[#This Row],[Delivery ID]],Allocation[Quantity Processed])</f>
        <v>3415</v>
      </c>
      <c r="R462" s="61">
        <f>Allocation[[#This Row],[Total volume used]]/VLOOKUP(Allocation[[#This Row],[Delivery ID]],Delivery[[Delivery ID]:[Quantity delivered]],3,FALSE)</f>
        <v>0.65521872601688413</v>
      </c>
      <c r="S462" s="34">
        <f>Allocation[[#This Row],[Quantity Processed]]/Allocation[[#This Row],[Dilution rate]]</f>
        <v>1310.952380952381</v>
      </c>
      <c r="T462" s="59">
        <f>SUMIF(Allocation[Delivery ID],Allocation[[#This Row],[Delivery ID]],Allocation[Quantity allocated])/SUMIF(Allocation[Delivery ID],Allocation[[#This Row],[Delivery ID]],Allocation[Volume available (kg)])</f>
        <v>0.74479024256456761</v>
      </c>
      <c r="U462" s="61">
        <f>Allocation[[#This Row],[Total volume used]]/VLOOKUP(Allocation[[#This Row],[Delivery ID]],Delivery[[Delivery ID]:[Quantity delivered]],3,FALSE)</f>
        <v>0.65521872601688413</v>
      </c>
      <c r="V462" s="34" t="e">
        <f>VLOOKUP(Allocation[[#This Row],[SAP Contract number]],Shipments[[SAP Contract number]:[Contracted container weight]],2,FALSE)</f>
        <v>#N/A</v>
      </c>
      <c r="W462" s="34" t="e">
        <f>VLOOKUP(Allocation[[#This Row],[SAP Contract number]],Shipments[[SAP Contract number]:[AAA Premium USD]],24,FALSE)</f>
        <v>#N/A</v>
      </c>
      <c r="X462" s="34" t="e">
        <f>VLOOKUP(Allocation[[#This Row],[SAP Contract number]],Shipments[[SAP Contract number]:[RA Premium USD]],25,FALSE)</f>
        <v>#N/A</v>
      </c>
      <c r="Y462" s="38">
        <f>Allocation[[#This Row],[Quantity Processed]]/Allocation[[#This Row],[Quantity allocated]]</f>
        <v>2.9412393162393164</v>
      </c>
      <c r="Z462" s="34" t="b">
        <f>Allocation[[#This Row],[Quantity allocated]]&lt;=Allocation[[#This Row],[Quantity Processed]]</f>
        <v>1</v>
      </c>
    </row>
    <row r="463" spans="1:26">
      <c r="A463" s="247" t="s">
        <v>467</v>
      </c>
      <c r="B463" s="160" t="s">
        <v>68</v>
      </c>
      <c r="C463" s="249" t="s">
        <v>990</v>
      </c>
      <c r="D463" s="161">
        <v>3418</v>
      </c>
      <c r="E463" s="160" t="s">
        <v>1212</v>
      </c>
      <c r="F463" s="158">
        <v>43495</v>
      </c>
      <c r="G463" s="162">
        <v>2.1</v>
      </c>
      <c r="H463" s="159">
        <v>1162</v>
      </c>
      <c r="I463" s="166">
        <v>1428322</v>
      </c>
      <c r="J463" s="163">
        <v>21600</v>
      </c>
      <c r="K463" s="158">
        <v>43499</v>
      </c>
      <c r="L463" s="160" t="s">
        <v>1217</v>
      </c>
      <c r="M463" s="160">
        <v>4615485015</v>
      </c>
      <c r="N463" s="158">
        <v>43592</v>
      </c>
      <c r="O463" s="164">
        <v>3.9874000000000001</v>
      </c>
      <c r="P463" s="165">
        <v>19525</v>
      </c>
      <c r="Q463" s="34">
        <f>SUMIF(Allocation[Delivery ID],Allocation[[#This Row],[Delivery ID]],Allocation[Quantity Processed])</f>
        <v>4243</v>
      </c>
      <c r="R463" s="61">
        <f>Allocation[[#This Row],[Total volume used]]/VLOOKUP(Allocation[[#This Row],[Delivery ID]],Delivery[[Delivery ID]:[Quantity delivered]],3,FALSE)</f>
        <v>0.65584666512095213</v>
      </c>
      <c r="S463" s="34">
        <f>Allocation[[#This Row],[Quantity Processed]]/Allocation[[#This Row],[Dilution rate]]</f>
        <v>1627.6190476190475</v>
      </c>
      <c r="T463" s="59">
        <f>SUMIF(Allocation[Delivery ID],Allocation[[#This Row],[Delivery ID]],Allocation[Quantity allocated])/SUMIF(Allocation[Delivery ID],Allocation[[#This Row],[Delivery ID]],Allocation[Volume available (kg)])</f>
        <v>0.74465989275145106</v>
      </c>
      <c r="U463" s="61">
        <f>Allocation[[#This Row],[Total volume used]]/VLOOKUP(Allocation[[#This Row],[Delivery ID]],Delivery[[Delivery ID]:[Quantity delivered]],3,FALSE)</f>
        <v>0.65584666512095213</v>
      </c>
      <c r="V463" s="34" t="e">
        <f>VLOOKUP(Allocation[[#This Row],[SAP Contract number]],Shipments[[SAP Contract number]:[Contracted container weight]],2,FALSE)</f>
        <v>#N/A</v>
      </c>
      <c r="W463" s="34" t="e">
        <f>VLOOKUP(Allocation[[#This Row],[SAP Contract number]],Shipments[[SAP Contract number]:[AAA Premium USD]],24,FALSE)</f>
        <v>#N/A</v>
      </c>
      <c r="X463" s="34" t="e">
        <f>VLOOKUP(Allocation[[#This Row],[SAP Contract number]],Shipments[[SAP Contract number]:[RA Premium USD]],25,FALSE)</f>
        <v>#N/A</v>
      </c>
      <c r="Y463" s="38">
        <f>Allocation[[#This Row],[Quantity Processed]]/Allocation[[#This Row],[Quantity allocated]]</f>
        <v>2.9414802065404473</v>
      </c>
      <c r="Z463" s="34" t="b">
        <f>Allocation[[#This Row],[Quantity allocated]]&lt;=Allocation[[#This Row],[Quantity Processed]]</f>
        <v>1</v>
      </c>
    </row>
    <row r="464" spans="1:26">
      <c r="A464" s="247" t="s">
        <v>467</v>
      </c>
      <c r="B464" s="160" t="s">
        <v>68</v>
      </c>
      <c r="C464" s="249" t="s">
        <v>991</v>
      </c>
      <c r="D464" s="161">
        <v>558</v>
      </c>
      <c r="E464" s="160" t="s">
        <v>1212</v>
      </c>
      <c r="F464" s="158">
        <v>43495</v>
      </c>
      <c r="G464" s="162">
        <v>2.1</v>
      </c>
      <c r="H464" s="159">
        <v>184</v>
      </c>
      <c r="I464" s="166">
        <v>1428322</v>
      </c>
      <c r="J464" s="163">
        <v>21600</v>
      </c>
      <c r="K464" s="158">
        <v>43499</v>
      </c>
      <c r="L464" s="160" t="s">
        <v>1217</v>
      </c>
      <c r="M464" s="160">
        <v>4615485015</v>
      </c>
      <c r="N464" s="158">
        <v>43592</v>
      </c>
      <c r="O464" s="164">
        <v>3.9874000000000001</v>
      </c>
      <c r="P464" s="165">
        <v>19525</v>
      </c>
      <c r="Q464" s="34">
        <f>SUMIF(Allocation[Delivery ID],Allocation[[#This Row],[Delivery ID]],Allocation[Quantity Processed])</f>
        <v>25620</v>
      </c>
      <c r="R464" s="61">
        <f>Allocation[[#This Row],[Total volume used]]/VLOOKUP(Allocation[[#This Row],[Delivery ID]],Delivery[[Delivery ID]:[Quantity delivered]],3,FALSE)</f>
        <v>1</v>
      </c>
      <c r="S464" s="34">
        <f>Allocation[[#This Row],[Quantity Processed]]/Allocation[[#This Row],[Dilution rate]]</f>
        <v>265.71428571428572</v>
      </c>
      <c r="T464" s="59">
        <f>SUMIF(Allocation[Delivery ID],Allocation[[#This Row],[Delivery ID]],Allocation[Quantity allocated])/SUMIF(Allocation[Delivery ID],Allocation[[#This Row],[Delivery ID]],Allocation[Volume available (kg)])</f>
        <v>0.80361740714337937</v>
      </c>
      <c r="U464" s="61">
        <f>Allocation[[#This Row],[Total volume used]]/VLOOKUP(Allocation[[#This Row],[Delivery ID]],Delivery[[Delivery ID]:[Quantity delivered]],3,FALSE)</f>
        <v>1</v>
      </c>
      <c r="V464" s="34" t="e">
        <f>VLOOKUP(Allocation[[#This Row],[SAP Contract number]],Shipments[[SAP Contract number]:[Contracted container weight]],2,FALSE)</f>
        <v>#N/A</v>
      </c>
      <c r="W464" s="34" t="e">
        <f>VLOOKUP(Allocation[[#This Row],[SAP Contract number]],Shipments[[SAP Contract number]:[AAA Premium USD]],24,FALSE)</f>
        <v>#N/A</v>
      </c>
      <c r="X464" s="34" t="e">
        <f>VLOOKUP(Allocation[[#This Row],[SAP Contract number]],Shipments[[SAP Contract number]:[RA Premium USD]],25,FALSE)</f>
        <v>#N/A</v>
      </c>
      <c r="Y464" s="38">
        <f>Allocation[[#This Row],[Quantity Processed]]/Allocation[[#This Row],[Quantity allocated]]</f>
        <v>3.0326086956521738</v>
      </c>
      <c r="Z464" s="34" t="b">
        <f>Allocation[[#This Row],[Quantity allocated]]&lt;=Allocation[[#This Row],[Quantity Processed]]</f>
        <v>1</v>
      </c>
    </row>
    <row r="465" spans="1:26">
      <c r="A465" s="247" t="s">
        <v>467</v>
      </c>
      <c r="B465" s="160" t="s">
        <v>68</v>
      </c>
      <c r="C465" s="249" t="s">
        <v>991</v>
      </c>
      <c r="D465" s="161">
        <v>8984</v>
      </c>
      <c r="E465" s="160" t="s">
        <v>1212</v>
      </c>
      <c r="F465" s="158">
        <v>43495</v>
      </c>
      <c r="G465" s="162">
        <v>2.1</v>
      </c>
      <c r="H465" s="159">
        <v>2965</v>
      </c>
      <c r="I465" s="166">
        <v>1428323</v>
      </c>
      <c r="J465" s="163">
        <v>21600</v>
      </c>
      <c r="K465" s="158">
        <v>43499</v>
      </c>
      <c r="L465" s="160" t="s">
        <v>1218</v>
      </c>
      <c r="M465" s="160">
        <v>4615485015</v>
      </c>
      <c r="N465" s="158">
        <v>43592</v>
      </c>
      <c r="O465" s="164">
        <v>3.9874000000000001</v>
      </c>
      <c r="P465" s="165">
        <v>19525</v>
      </c>
      <c r="Q465" s="34">
        <f>SUMIF(Allocation[Delivery ID],Allocation[[#This Row],[Delivery ID]],Allocation[Quantity Processed])</f>
        <v>25620</v>
      </c>
      <c r="R465" s="61">
        <f>Allocation[[#This Row],[Total volume used]]/VLOOKUP(Allocation[[#This Row],[Delivery ID]],Delivery[[Delivery ID]:[Quantity delivered]],3,FALSE)</f>
        <v>1</v>
      </c>
      <c r="S465" s="34">
        <f>Allocation[[#This Row],[Quantity Processed]]/Allocation[[#This Row],[Dilution rate]]</f>
        <v>4278.0952380952376</v>
      </c>
      <c r="T465" s="59">
        <f>SUMIF(Allocation[Delivery ID],Allocation[[#This Row],[Delivery ID]],Allocation[Quantity allocated])/SUMIF(Allocation[Delivery ID],Allocation[[#This Row],[Delivery ID]],Allocation[Volume available (kg)])</f>
        <v>0.80361740714337937</v>
      </c>
      <c r="U465" s="61">
        <f>Allocation[[#This Row],[Total volume used]]/VLOOKUP(Allocation[[#This Row],[Delivery ID]],Delivery[[Delivery ID]:[Quantity delivered]],3,FALSE)</f>
        <v>1</v>
      </c>
      <c r="V465" s="34" t="e">
        <f>VLOOKUP(Allocation[[#This Row],[SAP Contract number]],Shipments[[SAP Contract number]:[Contracted container weight]],2,FALSE)</f>
        <v>#N/A</v>
      </c>
      <c r="W465" s="34" t="e">
        <f>VLOOKUP(Allocation[[#This Row],[SAP Contract number]],Shipments[[SAP Contract number]:[AAA Premium USD]],24,FALSE)</f>
        <v>#N/A</v>
      </c>
      <c r="X465" s="34" t="e">
        <f>VLOOKUP(Allocation[[#This Row],[SAP Contract number]],Shipments[[SAP Contract number]:[RA Premium USD]],25,FALSE)</f>
        <v>#N/A</v>
      </c>
      <c r="Y465" s="38">
        <f>Allocation[[#This Row],[Quantity Processed]]/Allocation[[#This Row],[Quantity allocated]]</f>
        <v>3.030016863406408</v>
      </c>
      <c r="Z465" s="34" t="b">
        <f>Allocation[[#This Row],[Quantity allocated]]&lt;=Allocation[[#This Row],[Quantity Processed]]</f>
        <v>1</v>
      </c>
    </row>
    <row r="466" spans="1:26">
      <c r="A466" s="247" t="s">
        <v>467</v>
      </c>
      <c r="B466" s="160" t="s">
        <v>68</v>
      </c>
      <c r="C466" s="249" t="s">
        <v>996</v>
      </c>
      <c r="D466" s="161">
        <v>6318</v>
      </c>
      <c r="E466" s="160" t="s">
        <v>1212</v>
      </c>
      <c r="F466" s="158">
        <v>43495</v>
      </c>
      <c r="G466" s="162">
        <v>2.1</v>
      </c>
      <c r="H466" s="159">
        <v>2085</v>
      </c>
      <c r="I466" s="166">
        <v>1428323</v>
      </c>
      <c r="J466" s="163">
        <v>21600</v>
      </c>
      <c r="K466" s="158">
        <v>43499</v>
      </c>
      <c r="L466" s="160" t="s">
        <v>1218</v>
      </c>
      <c r="M466" s="160">
        <v>4615485015</v>
      </c>
      <c r="N466" s="158">
        <v>43592</v>
      </c>
      <c r="O466" s="164">
        <v>3.9874000000000001</v>
      </c>
      <c r="P466" s="165">
        <v>19525</v>
      </c>
      <c r="Q466" s="34">
        <f>SUMIF(Allocation[Delivery ID],Allocation[[#This Row],[Delivery ID]],Allocation[Quantity Processed])</f>
        <v>20080</v>
      </c>
      <c r="R466" s="61">
        <f>Allocation[[#This Row],[Total volume used]]/VLOOKUP(Allocation[[#This Row],[Delivery ID]],Delivery[[Delivery ID]:[Quantity delivered]],3,FALSE)</f>
        <v>1</v>
      </c>
      <c r="S466" s="34">
        <f>Allocation[[#This Row],[Quantity Processed]]/Allocation[[#This Row],[Dilution rate]]</f>
        <v>3008.5714285714284</v>
      </c>
      <c r="T466" s="59">
        <f>SUMIF(Allocation[Delivery ID],Allocation[[#This Row],[Delivery ID]],Allocation[Quantity allocated])/SUMIF(Allocation[Delivery ID],Allocation[[#This Row],[Delivery ID]],Allocation[Volume available (kg)])</f>
        <v>0.81624488094994108</v>
      </c>
      <c r="U466" s="61">
        <f>Allocation[[#This Row],[Total volume used]]/VLOOKUP(Allocation[[#This Row],[Delivery ID]],Delivery[[Delivery ID]:[Quantity delivered]],3,FALSE)</f>
        <v>1</v>
      </c>
      <c r="V466" s="34" t="e">
        <f>VLOOKUP(Allocation[[#This Row],[SAP Contract number]],Shipments[[SAP Contract number]:[Contracted container weight]],2,FALSE)</f>
        <v>#N/A</v>
      </c>
      <c r="W466" s="34" t="e">
        <f>VLOOKUP(Allocation[[#This Row],[SAP Contract number]],Shipments[[SAP Contract number]:[AAA Premium USD]],24,FALSE)</f>
        <v>#N/A</v>
      </c>
      <c r="X466" s="34" t="e">
        <f>VLOOKUP(Allocation[[#This Row],[SAP Contract number]],Shipments[[SAP Contract number]:[RA Premium USD]],25,FALSE)</f>
        <v>#N/A</v>
      </c>
      <c r="Y466" s="38">
        <f>Allocation[[#This Row],[Quantity Processed]]/Allocation[[#This Row],[Quantity allocated]]</f>
        <v>3.0302158273381297</v>
      </c>
      <c r="Z466" s="34" t="b">
        <f>Allocation[[#This Row],[Quantity allocated]]&lt;=Allocation[[#This Row],[Quantity Processed]]</f>
        <v>1</v>
      </c>
    </row>
    <row r="467" spans="1:26">
      <c r="A467" s="247" t="s">
        <v>467</v>
      </c>
      <c r="B467" s="160" t="s">
        <v>68</v>
      </c>
      <c r="C467" s="249" t="s">
        <v>1001</v>
      </c>
      <c r="D467" s="161">
        <v>7326</v>
      </c>
      <c r="E467" s="160" t="s">
        <v>1212</v>
      </c>
      <c r="F467" s="158">
        <v>43495</v>
      </c>
      <c r="G467" s="162">
        <v>2.1</v>
      </c>
      <c r="H467" s="159">
        <v>3370</v>
      </c>
      <c r="I467" s="166">
        <v>1428323</v>
      </c>
      <c r="J467" s="163">
        <v>21600</v>
      </c>
      <c r="K467" s="158">
        <v>43499</v>
      </c>
      <c r="L467" s="160" t="s">
        <v>1218</v>
      </c>
      <c r="M467" s="160">
        <v>4615485015</v>
      </c>
      <c r="N467" s="158">
        <v>43592</v>
      </c>
      <c r="O467" s="164">
        <v>3.9874000000000001</v>
      </c>
      <c r="P467" s="165">
        <v>19525</v>
      </c>
      <c r="Q467" s="34">
        <f>SUMIF(Allocation[Delivery ID],Allocation[[#This Row],[Delivery ID]],Allocation[Quantity Processed])</f>
        <v>28867</v>
      </c>
      <c r="R467" s="61">
        <f>Allocation[[#This Row],[Total volume used]]/VLOOKUP(Allocation[[#This Row],[Delivery ID]],Delivery[[Delivery ID]:[Quantity delivered]],3,FALSE)</f>
        <v>0.89900342572407355</v>
      </c>
      <c r="S467" s="34">
        <f>Allocation[[#This Row],[Quantity Processed]]/Allocation[[#This Row],[Dilution rate]]</f>
        <v>3488.5714285714284</v>
      </c>
      <c r="T467" s="59">
        <f>SUMIF(Allocation[Delivery ID],Allocation[[#This Row],[Delivery ID]],Allocation[Quantity allocated])/SUMIF(Allocation[Delivery ID],Allocation[[#This Row],[Delivery ID]],Allocation[Volume available (kg)])</f>
        <v>1.1481266053320882</v>
      </c>
      <c r="U467" s="61">
        <f>Allocation[[#This Row],[Total volume used]]/VLOOKUP(Allocation[[#This Row],[Delivery ID]],Delivery[[Delivery ID]:[Quantity delivered]],3,FALSE)</f>
        <v>0.89900342572407355</v>
      </c>
      <c r="V467" s="34" t="e">
        <f>VLOOKUP(Allocation[[#This Row],[SAP Contract number]],Shipments[[SAP Contract number]:[Contracted container weight]],2,FALSE)</f>
        <v>#N/A</v>
      </c>
      <c r="W467" s="34" t="e">
        <f>VLOOKUP(Allocation[[#This Row],[SAP Contract number]],Shipments[[SAP Contract number]:[AAA Premium USD]],24,FALSE)</f>
        <v>#N/A</v>
      </c>
      <c r="X467" s="34" t="e">
        <f>VLOOKUP(Allocation[[#This Row],[SAP Contract number]],Shipments[[SAP Contract number]:[RA Premium USD]],25,FALSE)</f>
        <v>#N/A</v>
      </c>
      <c r="Y467" s="38">
        <f>Allocation[[#This Row],[Quantity Processed]]/Allocation[[#This Row],[Quantity allocated]]</f>
        <v>2.1738872403560832</v>
      </c>
      <c r="Z467" s="34" t="b">
        <f>Allocation[[#This Row],[Quantity allocated]]&lt;=Allocation[[#This Row],[Quantity Processed]]</f>
        <v>1</v>
      </c>
    </row>
    <row r="468" spans="1:26">
      <c r="A468" s="247" t="s">
        <v>467</v>
      </c>
      <c r="B468" s="160" t="s">
        <v>68</v>
      </c>
      <c r="C468" s="249" t="s">
        <v>1003</v>
      </c>
      <c r="D468" s="161">
        <v>7326</v>
      </c>
      <c r="E468" s="160" t="s">
        <v>1212</v>
      </c>
      <c r="F468" s="158">
        <v>43495</v>
      </c>
      <c r="G468" s="162">
        <v>2.1</v>
      </c>
      <c r="H468" s="159">
        <v>3370</v>
      </c>
      <c r="I468" s="166">
        <v>1428323</v>
      </c>
      <c r="J468" s="163">
        <v>21600</v>
      </c>
      <c r="K468" s="158">
        <v>43499</v>
      </c>
      <c r="L468" s="160" t="s">
        <v>1218</v>
      </c>
      <c r="M468" s="160">
        <v>4615485015</v>
      </c>
      <c r="N468" s="158">
        <v>43592</v>
      </c>
      <c r="O468" s="164">
        <v>3.9874000000000001</v>
      </c>
      <c r="P468" s="165">
        <v>19525</v>
      </c>
      <c r="Q468" s="34">
        <f>SUMIF(Allocation[Delivery ID],Allocation[[#This Row],[Delivery ID]],Allocation[Quantity Processed])</f>
        <v>28873</v>
      </c>
      <c r="R468" s="61">
        <f>Allocation[[#This Row],[Total volume used]]/VLOOKUP(Allocation[[#This Row],[Delivery ID]],Delivery[[Delivery ID]:[Quantity delivered]],3,FALSE)</f>
        <v>0.89891033623910332</v>
      </c>
      <c r="S468" s="34">
        <f>Allocation[[#This Row],[Quantity Processed]]/Allocation[[#This Row],[Dilution rate]]</f>
        <v>3488.5714285714284</v>
      </c>
      <c r="T468" s="59">
        <f>SUMIF(Allocation[Delivery ID],Allocation[[#This Row],[Delivery ID]],Allocation[Quantity allocated])/SUMIF(Allocation[Delivery ID],Allocation[[#This Row],[Delivery ID]],Allocation[Volume available (kg)])</f>
        <v>1.1481625917339773</v>
      </c>
      <c r="U468" s="61">
        <f>Allocation[[#This Row],[Total volume used]]/VLOOKUP(Allocation[[#This Row],[Delivery ID]],Delivery[[Delivery ID]:[Quantity delivered]],3,FALSE)</f>
        <v>0.89891033623910332</v>
      </c>
      <c r="V468" s="34" t="e">
        <f>VLOOKUP(Allocation[[#This Row],[SAP Contract number]],Shipments[[SAP Contract number]:[Contracted container weight]],2,FALSE)</f>
        <v>#N/A</v>
      </c>
      <c r="W468" s="34" t="e">
        <f>VLOOKUP(Allocation[[#This Row],[SAP Contract number]],Shipments[[SAP Contract number]:[AAA Premium USD]],24,FALSE)</f>
        <v>#N/A</v>
      </c>
      <c r="X468" s="34" t="e">
        <f>VLOOKUP(Allocation[[#This Row],[SAP Contract number]],Shipments[[SAP Contract number]:[RA Premium USD]],25,FALSE)</f>
        <v>#N/A</v>
      </c>
      <c r="Y468" s="38">
        <f>Allocation[[#This Row],[Quantity Processed]]/Allocation[[#This Row],[Quantity allocated]]</f>
        <v>2.1738872403560832</v>
      </c>
      <c r="Z468" s="34" t="b">
        <f>Allocation[[#This Row],[Quantity allocated]]&lt;=Allocation[[#This Row],[Quantity Processed]]</f>
        <v>1</v>
      </c>
    </row>
    <row r="469" spans="1:26">
      <c r="A469" s="247" t="s">
        <v>467</v>
      </c>
      <c r="B469" s="160" t="s">
        <v>68</v>
      </c>
      <c r="C469" s="249" t="s">
        <v>1004</v>
      </c>
      <c r="D469" s="161">
        <v>4163</v>
      </c>
      <c r="E469" s="160" t="s">
        <v>1212</v>
      </c>
      <c r="F469" s="158">
        <v>43495</v>
      </c>
      <c r="G469" s="162">
        <v>2.1</v>
      </c>
      <c r="H469" s="159">
        <v>1915</v>
      </c>
      <c r="I469" s="166">
        <v>1428323</v>
      </c>
      <c r="J469" s="163">
        <v>21600</v>
      </c>
      <c r="K469" s="158">
        <v>43499</v>
      </c>
      <c r="L469" s="160" t="s">
        <v>1218</v>
      </c>
      <c r="M469" s="160">
        <v>4615485015</v>
      </c>
      <c r="N469" s="158">
        <v>43592</v>
      </c>
      <c r="O469" s="164">
        <v>3.9874000000000001</v>
      </c>
      <c r="P469" s="165">
        <v>19525</v>
      </c>
      <c r="Q469" s="34">
        <f>SUMIF(Allocation[Delivery ID],Allocation[[#This Row],[Delivery ID]],Allocation[Quantity Processed])</f>
        <v>16278</v>
      </c>
      <c r="R469" s="61">
        <f>Allocation[[#This Row],[Total volume used]]/VLOOKUP(Allocation[[#This Row],[Delivery ID]],Delivery[[Delivery ID]:[Quantity delivered]],3,FALSE)</f>
        <v>0.90132890365448504</v>
      </c>
      <c r="S469" s="34">
        <f>Allocation[[#This Row],[Quantity Processed]]/Allocation[[#This Row],[Dilution rate]]</f>
        <v>1982.3809523809523</v>
      </c>
      <c r="T469" s="59">
        <f>SUMIF(Allocation[Delivery ID],Allocation[[#This Row],[Delivery ID]],Allocation[Quantity allocated])/SUMIF(Allocation[Delivery ID],Allocation[[#This Row],[Delivery ID]],Allocation[Volume available (kg)])</f>
        <v>1.1475658695106412</v>
      </c>
      <c r="U469" s="61">
        <f>Allocation[[#This Row],[Total volume used]]/VLOOKUP(Allocation[[#This Row],[Delivery ID]],Delivery[[Delivery ID]:[Quantity delivered]],3,FALSE)</f>
        <v>0.90132890365448504</v>
      </c>
      <c r="V469" s="34" t="e">
        <f>VLOOKUP(Allocation[[#This Row],[SAP Contract number]],Shipments[[SAP Contract number]:[Contracted container weight]],2,FALSE)</f>
        <v>#N/A</v>
      </c>
      <c r="W469" s="34" t="e">
        <f>VLOOKUP(Allocation[[#This Row],[SAP Contract number]],Shipments[[SAP Contract number]:[AAA Premium USD]],24,FALSE)</f>
        <v>#N/A</v>
      </c>
      <c r="X469" s="34" t="e">
        <f>VLOOKUP(Allocation[[#This Row],[SAP Contract number]],Shipments[[SAP Contract number]:[RA Premium USD]],25,FALSE)</f>
        <v>#N/A</v>
      </c>
      <c r="Y469" s="38">
        <f>Allocation[[#This Row],[Quantity Processed]]/Allocation[[#This Row],[Quantity allocated]]</f>
        <v>2.1738903394255873</v>
      </c>
      <c r="Z469" s="34" t="b">
        <f>Allocation[[#This Row],[Quantity allocated]]&lt;=Allocation[[#This Row],[Quantity Processed]]</f>
        <v>1</v>
      </c>
    </row>
    <row r="470" spans="1:26">
      <c r="A470" s="247" t="s">
        <v>467</v>
      </c>
      <c r="B470" s="160" t="s">
        <v>68</v>
      </c>
      <c r="C470" s="249" t="s">
        <v>1005</v>
      </c>
      <c r="D470" s="161">
        <v>1414</v>
      </c>
      <c r="E470" s="160" t="s">
        <v>1212</v>
      </c>
      <c r="F470" s="158">
        <v>43495</v>
      </c>
      <c r="G470" s="162">
        <v>2.1</v>
      </c>
      <c r="H470" s="159">
        <v>523</v>
      </c>
      <c r="I470" s="166">
        <v>1428323</v>
      </c>
      <c r="J470" s="163">
        <v>21600</v>
      </c>
      <c r="K470" s="158">
        <v>43499</v>
      </c>
      <c r="L470" s="160" t="s">
        <v>1218</v>
      </c>
      <c r="M470" s="160">
        <v>4615485015</v>
      </c>
      <c r="N470" s="158">
        <v>43592</v>
      </c>
      <c r="O470" s="164">
        <v>3.9874000000000001</v>
      </c>
      <c r="P470" s="165">
        <v>19525</v>
      </c>
      <c r="Q470" s="34">
        <f>SUMIF(Allocation[Delivery ID],Allocation[[#This Row],[Delivery ID]],Allocation[Quantity Processed])</f>
        <v>5052.5</v>
      </c>
      <c r="R470" s="61">
        <f>Allocation[[#This Row],[Total volume used]]/VLOOKUP(Allocation[[#This Row],[Delivery ID]],Delivery[[Delivery ID]:[Quantity delivered]],3,FALSE)</f>
        <v>1</v>
      </c>
      <c r="S470" s="34">
        <f>Allocation[[#This Row],[Quantity Processed]]/Allocation[[#This Row],[Dilution rate]]</f>
        <v>673.33333333333326</v>
      </c>
      <c r="T470" s="59">
        <f>SUMIF(Allocation[Delivery ID],Allocation[[#This Row],[Delivery ID]],Allocation[Quantity allocated])/SUMIF(Allocation[Delivery ID],Allocation[[#This Row],[Delivery ID]],Allocation[Volume available (kg)])</f>
        <v>0.92122640629060271</v>
      </c>
      <c r="U470" s="61">
        <f>Allocation[[#This Row],[Total volume used]]/VLOOKUP(Allocation[[#This Row],[Delivery ID]],Delivery[[Delivery ID]:[Quantity delivered]],3,FALSE)</f>
        <v>1</v>
      </c>
      <c r="V470" s="34" t="e">
        <f>VLOOKUP(Allocation[[#This Row],[SAP Contract number]],Shipments[[SAP Contract number]:[Contracted container weight]],2,FALSE)</f>
        <v>#N/A</v>
      </c>
      <c r="W470" s="34" t="e">
        <f>VLOOKUP(Allocation[[#This Row],[SAP Contract number]],Shipments[[SAP Contract number]:[AAA Premium USD]],24,FALSE)</f>
        <v>#N/A</v>
      </c>
      <c r="X470" s="34" t="e">
        <f>VLOOKUP(Allocation[[#This Row],[SAP Contract number]],Shipments[[SAP Contract number]:[RA Premium USD]],25,FALSE)</f>
        <v>#N/A</v>
      </c>
      <c r="Y470" s="38">
        <f>Allocation[[#This Row],[Quantity Processed]]/Allocation[[#This Row],[Quantity allocated]]</f>
        <v>2.7036328871892925</v>
      </c>
      <c r="Z470" s="34" t="b">
        <f>Allocation[[#This Row],[Quantity allocated]]&lt;=Allocation[[#This Row],[Quantity Processed]]</f>
        <v>1</v>
      </c>
    </row>
    <row r="471" spans="1:26">
      <c r="A471" s="247" t="s">
        <v>467</v>
      </c>
      <c r="B471" s="160" t="s">
        <v>68</v>
      </c>
      <c r="C471" s="249" t="s">
        <v>1007</v>
      </c>
      <c r="D471" s="161">
        <v>8141</v>
      </c>
      <c r="E471" s="160" t="s">
        <v>1212</v>
      </c>
      <c r="F471" s="158">
        <v>43495</v>
      </c>
      <c r="G471" s="162">
        <v>2.1</v>
      </c>
      <c r="H471" s="159">
        <v>3338</v>
      </c>
      <c r="I471" s="166">
        <v>1428323</v>
      </c>
      <c r="J471" s="163">
        <v>21600</v>
      </c>
      <c r="K471" s="158">
        <v>43499</v>
      </c>
      <c r="L471" s="160" t="s">
        <v>1218</v>
      </c>
      <c r="M471" s="160">
        <v>4615485015</v>
      </c>
      <c r="N471" s="158">
        <v>43592</v>
      </c>
      <c r="O471" s="164">
        <v>3.9874000000000001</v>
      </c>
      <c r="P471" s="165">
        <v>19525</v>
      </c>
      <c r="Q471" s="34">
        <f>SUMIF(Allocation[Delivery ID],Allocation[[#This Row],[Delivery ID]],Allocation[Quantity Processed])</f>
        <v>31880</v>
      </c>
      <c r="R471" s="61">
        <f>Allocation[[#This Row],[Total volume used]]/VLOOKUP(Allocation[[#This Row],[Delivery ID]],Delivery[[Delivery ID]:[Quantity delivered]],3,FALSE)</f>
        <v>1</v>
      </c>
      <c r="S471" s="34">
        <f>Allocation[[#This Row],[Quantity Processed]]/Allocation[[#This Row],[Dilution rate]]</f>
        <v>3876.6666666666665</v>
      </c>
      <c r="T471" s="59">
        <f>SUMIF(Allocation[Delivery ID],Allocation[[#This Row],[Delivery ID]],Allocation[Quantity allocated])/SUMIF(Allocation[Delivery ID],Allocation[[#This Row],[Delivery ID]],Allocation[Volume available (kg)])</f>
        <v>1.0232020361011271</v>
      </c>
      <c r="U471" s="61">
        <f>Allocation[[#This Row],[Total volume used]]/VLOOKUP(Allocation[[#This Row],[Delivery ID]],Delivery[[Delivery ID]:[Quantity delivered]],3,FALSE)</f>
        <v>1</v>
      </c>
      <c r="V471" s="34" t="e">
        <f>VLOOKUP(Allocation[[#This Row],[SAP Contract number]],Shipments[[SAP Contract number]:[Contracted container weight]],2,FALSE)</f>
        <v>#N/A</v>
      </c>
      <c r="W471" s="34" t="e">
        <f>VLOOKUP(Allocation[[#This Row],[SAP Contract number]],Shipments[[SAP Contract number]:[AAA Premium USD]],24,FALSE)</f>
        <v>#N/A</v>
      </c>
      <c r="X471" s="34" t="e">
        <f>VLOOKUP(Allocation[[#This Row],[SAP Contract number]],Shipments[[SAP Contract number]:[RA Premium USD]],25,FALSE)</f>
        <v>#N/A</v>
      </c>
      <c r="Y471" s="38">
        <f>Allocation[[#This Row],[Quantity Processed]]/Allocation[[#This Row],[Quantity allocated]]</f>
        <v>2.4388855602156978</v>
      </c>
      <c r="Z471" s="34" t="b">
        <f>Allocation[[#This Row],[Quantity allocated]]&lt;=Allocation[[#This Row],[Quantity Processed]]</f>
        <v>1</v>
      </c>
    </row>
    <row r="472" spans="1:26">
      <c r="A472" s="247" t="s">
        <v>467</v>
      </c>
      <c r="B472" s="160" t="s">
        <v>68</v>
      </c>
      <c r="C472" s="249" t="s">
        <v>1010</v>
      </c>
      <c r="D472" s="161">
        <v>1998</v>
      </c>
      <c r="E472" s="160" t="s">
        <v>1212</v>
      </c>
      <c r="F472" s="158">
        <v>43495</v>
      </c>
      <c r="G472" s="162">
        <v>2.1</v>
      </c>
      <c r="H472" s="159">
        <v>819</v>
      </c>
      <c r="I472" s="166">
        <v>1428323</v>
      </c>
      <c r="J472" s="163">
        <v>21600</v>
      </c>
      <c r="K472" s="158">
        <v>43499</v>
      </c>
      <c r="L472" s="160" t="s">
        <v>1218</v>
      </c>
      <c r="M472" s="160">
        <v>4615485015</v>
      </c>
      <c r="N472" s="158">
        <v>43592</v>
      </c>
      <c r="O472" s="164">
        <v>3.9874000000000001</v>
      </c>
      <c r="P472" s="165">
        <v>19525</v>
      </c>
      <c r="Q472" s="34">
        <f>SUMIF(Allocation[Delivery ID],Allocation[[#This Row],[Delivery ID]],Allocation[Quantity Processed])</f>
        <v>7793</v>
      </c>
      <c r="R472" s="61">
        <f>Allocation[[#This Row],[Total volume used]]/VLOOKUP(Allocation[[#This Row],[Delivery ID]],Delivery[[Delivery ID]:[Quantity delivered]],3,FALSE)</f>
        <v>1</v>
      </c>
      <c r="S472" s="34">
        <f>Allocation[[#This Row],[Quantity Processed]]/Allocation[[#This Row],[Dilution rate]]</f>
        <v>951.42857142857144</v>
      </c>
      <c r="T472" s="59">
        <f>SUMIF(Allocation[Delivery ID],Allocation[[#This Row],[Delivery ID]],Allocation[Quantity allocated])/SUMIF(Allocation[Delivery ID],Allocation[[#This Row],[Delivery ID]],Allocation[Volume available (kg)])</f>
        <v>1.0231604080667922</v>
      </c>
      <c r="U472" s="61">
        <f>Allocation[[#This Row],[Total volume used]]/VLOOKUP(Allocation[[#This Row],[Delivery ID]],Delivery[[Delivery ID]:[Quantity delivered]],3,FALSE)</f>
        <v>1</v>
      </c>
      <c r="V472" s="34" t="e">
        <f>VLOOKUP(Allocation[[#This Row],[SAP Contract number]],Shipments[[SAP Contract number]:[Contracted container weight]],2,FALSE)</f>
        <v>#N/A</v>
      </c>
      <c r="W472" s="34" t="e">
        <f>VLOOKUP(Allocation[[#This Row],[SAP Contract number]],Shipments[[SAP Contract number]:[AAA Premium USD]],24,FALSE)</f>
        <v>#N/A</v>
      </c>
      <c r="X472" s="34" t="e">
        <f>VLOOKUP(Allocation[[#This Row],[SAP Contract number]],Shipments[[SAP Contract number]:[RA Premium USD]],25,FALSE)</f>
        <v>#N/A</v>
      </c>
      <c r="Y472" s="38">
        <f>Allocation[[#This Row],[Quantity Processed]]/Allocation[[#This Row],[Quantity allocated]]</f>
        <v>2.4395604395604398</v>
      </c>
      <c r="Z472" s="34" t="b">
        <f>Allocation[[#This Row],[Quantity allocated]]&lt;=Allocation[[#This Row],[Quantity Processed]]</f>
        <v>1</v>
      </c>
    </row>
    <row r="473" spans="1:26">
      <c r="A473" s="247" t="s">
        <v>467</v>
      </c>
      <c r="B473" s="160" t="s">
        <v>68</v>
      </c>
      <c r="C473" s="249" t="s">
        <v>1012</v>
      </c>
      <c r="D473" s="161">
        <v>10716</v>
      </c>
      <c r="E473" s="160" t="s">
        <v>1212</v>
      </c>
      <c r="F473" s="158">
        <v>43495</v>
      </c>
      <c r="G473" s="162">
        <v>2.1</v>
      </c>
      <c r="H473" s="159">
        <v>3215</v>
      </c>
      <c r="I473" s="166">
        <v>1428323</v>
      </c>
      <c r="J473" s="163">
        <v>21600</v>
      </c>
      <c r="K473" s="158">
        <v>43499</v>
      </c>
      <c r="L473" s="160" t="s">
        <v>1218</v>
      </c>
      <c r="M473" s="160">
        <v>4615485015</v>
      </c>
      <c r="N473" s="158">
        <v>43592</v>
      </c>
      <c r="O473" s="164">
        <v>3.9874000000000001</v>
      </c>
      <c r="P473" s="165">
        <v>19525</v>
      </c>
      <c r="Q473" s="34">
        <f>SUMIF(Allocation[Delivery ID],Allocation[[#This Row],[Delivery ID]],Allocation[Quantity Processed])</f>
        <v>32230</v>
      </c>
      <c r="R473" s="61">
        <f>Allocation[[#This Row],[Total volume used]]/VLOOKUP(Allocation[[#This Row],[Delivery ID]],Delivery[[Delivery ID]:[Quantity delivered]],3,FALSE)</f>
        <v>1</v>
      </c>
      <c r="S473" s="34">
        <f>Allocation[[#This Row],[Quantity Processed]]/Allocation[[#This Row],[Dilution rate]]</f>
        <v>5102.8571428571422</v>
      </c>
      <c r="T473" s="59">
        <f>SUMIF(Allocation[Delivery ID],Allocation[[#This Row],[Delivery ID]],Allocation[Quantity allocated])/SUMIF(Allocation[Delivery ID],Allocation[[#This Row],[Delivery ID]],Allocation[Volume available (kg)])</f>
        <v>0.78335528312298286</v>
      </c>
      <c r="U473" s="61">
        <f>Allocation[[#This Row],[Total volume used]]/VLOOKUP(Allocation[[#This Row],[Delivery ID]],Delivery[[Delivery ID]:[Quantity delivered]],3,FALSE)</f>
        <v>1</v>
      </c>
      <c r="V473" s="34" t="e">
        <f>VLOOKUP(Allocation[[#This Row],[SAP Contract number]],Shipments[[SAP Contract number]:[Contracted container weight]],2,FALSE)</f>
        <v>#N/A</v>
      </c>
      <c r="W473" s="34" t="e">
        <f>VLOOKUP(Allocation[[#This Row],[SAP Contract number]],Shipments[[SAP Contract number]:[AAA Premium USD]],24,FALSE)</f>
        <v>#N/A</v>
      </c>
      <c r="X473" s="34" t="e">
        <f>VLOOKUP(Allocation[[#This Row],[SAP Contract number]],Shipments[[SAP Contract number]:[RA Premium USD]],25,FALSE)</f>
        <v>#N/A</v>
      </c>
      <c r="Y473" s="38">
        <f>Allocation[[#This Row],[Quantity Processed]]/Allocation[[#This Row],[Quantity allocated]]</f>
        <v>3.3331259720062207</v>
      </c>
      <c r="Z473" s="34" t="b">
        <f>Allocation[[#This Row],[Quantity allocated]]&lt;=Allocation[[#This Row],[Quantity Processed]]</f>
        <v>1</v>
      </c>
    </row>
    <row r="474" spans="1:26">
      <c r="A474" s="247" t="s">
        <v>467</v>
      </c>
      <c r="B474" s="160" t="s">
        <v>68</v>
      </c>
      <c r="C474" s="249" t="s">
        <v>1012</v>
      </c>
      <c r="D474" s="161">
        <v>557</v>
      </c>
      <c r="E474" s="160" t="s">
        <v>1212</v>
      </c>
      <c r="F474" s="158">
        <v>43495</v>
      </c>
      <c r="G474" s="162">
        <v>2.1</v>
      </c>
      <c r="H474" s="159">
        <v>167</v>
      </c>
      <c r="I474" s="166">
        <v>1428324</v>
      </c>
      <c r="J474" s="163">
        <v>21600</v>
      </c>
      <c r="K474" s="158">
        <v>43499</v>
      </c>
      <c r="L474" s="160" t="s">
        <v>1219</v>
      </c>
      <c r="M474" s="160">
        <v>4615485015</v>
      </c>
      <c r="N474" s="158">
        <v>43592</v>
      </c>
      <c r="O474" s="164">
        <v>3.9874000000000001</v>
      </c>
      <c r="P474" s="165">
        <v>19525</v>
      </c>
      <c r="Q474" s="34">
        <f>SUMIF(Allocation[Delivery ID],Allocation[[#This Row],[Delivery ID]],Allocation[Quantity Processed])</f>
        <v>32230</v>
      </c>
      <c r="R474" s="61">
        <f>Allocation[[#This Row],[Total volume used]]/VLOOKUP(Allocation[[#This Row],[Delivery ID]],Delivery[[Delivery ID]:[Quantity delivered]],3,FALSE)</f>
        <v>1</v>
      </c>
      <c r="S474" s="34">
        <f>Allocation[[#This Row],[Quantity Processed]]/Allocation[[#This Row],[Dilution rate]]</f>
        <v>265.23809523809524</v>
      </c>
      <c r="T474" s="59">
        <f>SUMIF(Allocation[Delivery ID],Allocation[[#This Row],[Delivery ID]],Allocation[Quantity allocated])/SUMIF(Allocation[Delivery ID],Allocation[[#This Row],[Delivery ID]],Allocation[Volume available (kg)])</f>
        <v>0.78335528312298286</v>
      </c>
      <c r="U474" s="61">
        <f>Allocation[[#This Row],[Total volume used]]/VLOOKUP(Allocation[[#This Row],[Delivery ID]],Delivery[[Delivery ID]:[Quantity delivered]],3,FALSE)</f>
        <v>1</v>
      </c>
      <c r="V474" s="34" t="e">
        <f>VLOOKUP(Allocation[[#This Row],[SAP Contract number]],Shipments[[SAP Contract number]:[Contracted container weight]],2,FALSE)</f>
        <v>#N/A</v>
      </c>
      <c r="W474" s="34" t="e">
        <f>VLOOKUP(Allocation[[#This Row],[SAP Contract number]],Shipments[[SAP Contract number]:[AAA Premium USD]],24,FALSE)</f>
        <v>#N/A</v>
      </c>
      <c r="X474" s="34" t="e">
        <f>VLOOKUP(Allocation[[#This Row],[SAP Contract number]],Shipments[[SAP Contract number]:[RA Premium USD]],25,FALSE)</f>
        <v>#N/A</v>
      </c>
      <c r="Y474" s="38">
        <f>Allocation[[#This Row],[Quantity Processed]]/Allocation[[#This Row],[Quantity allocated]]</f>
        <v>3.3353293413173652</v>
      </c>
      <c r="Z474" s="34" t="b">
        <f>Allocation[[#This Row],[Quantity allocated]]&lt;=Allocation[[#This Row],[Quantity Processed]]</f>
        <v>1</v>
      </c>
    </row>
    <row r="475" spans="1:26">
      <c r="A475" s="247" t="s">
        <v>467</v>
      </c>
      <c r="B475" s="160" t="s">
        <v>68</v>
      </c>
      <c r="C475" s="249" t="s">
        <v>1014</v>
      </c>
      <c r="D475" s="161">
        <v>1260</v>
      </c>
      <c r="E475" s="160" t="s">
        <v>1212</v>
      </c>
      <c r="F475" s="158">
        <v>43495</v>
      </c>
      <c r="G475" s="162">
        <v>2.1</v>
      </c>
      <c r="H475" s="159">
        <v>693</v>
      </c>
      <c r="I475" s="166">
        <v>1428324</v>
      </c>
      <c r="J475" s="163">
        <v>21600</v>
      </c>
      <c r="K475" s="158">
        <v>43499</v>
      </c>
      <c r="L475" s="160" t="s">
        <v>1219</v>
      </c>
      <c r="M475" s="160">
        <v>4615485015</v>
      </c>
      <c r="N475" s="158">
        <v>43592</v>
      </c>
      <c r="O475" s="164">
        <v>3.9874000000000001</v>
      </c>
      <c r="P475" s="165">
        <v>19525</v>
      </c>
      <c r="Q475" s="34">
        <f>SUMIF(Allocation[Delivery ID],Allocation[[#This Row],[Delivery ID]],Allocation[Quantity Processed])</f>
        <v>2591</v>
      </c>
      <c r="R475" s="61">
        <f>Allocation[[#This Row],[Total volume used]]/VLOOKUP(Allocation[[#This Row],[Delivery ID]],Delivery[[Delivery ID]:[Quantity delivered]],3,FALSE)</f>
        <v>0.74411257897759908</v>
      </c>
      <c r="S475" s="34">
        <f>Allocation[[#This Row],[Quantity Processed]]/Allocation[[#This Row],[Dilution rate]]</f>
        <v>600</v>
      </c>
      <c r="T475" s="59">
        <f>SUMIF(Allocation[Delivery ID],Allocation[[#This Row],[Delivery ID]],Allocation[Quantity allocated])/SUMIF(Allocation[Delivery ID],Allocation[[#This Row],[Delivery ID]],Allocation[Volume available (kg)])</f>
        <v>1.1196930302978436</v>
      </c>
      <c r="U475" s="61">
        <f>Allocation[[#This Row],[Total volume used]]/VLOOKUP(Allocation[[#This Row],[Delivery ID]],Delivery[[Delivery ID]:[Quantity delivered]],3,FALSE)</f>
        <v>0.74411257897759908</v>
      </c>
      <c r="V475" s="34" t="e">
        <f>VLOOKUP(Allocation[[#This Row],[SAP Contract number]],Shipments[[SAP Contract number]:[Contracted container weight]],2,FALSE)</f>
        <v>#N/A</v>
      </c>
      <c r="W475" s="34" t="e">
        <f>VLOOKUP(Allocation[[#This Row],[SAP Contract number]],Shipments[[SAP Contract number]:[AAA Premium USD]],24,FALSE)</f>
        <v>#N/A</v>
      </c>
      <c r="X475" s="34" t="e">
        <f>VLOOKUP(Allocation[[#This Row],[SAP Contract number]],Shipments[[SAP Contract number]:[RA Premium USD]],25,FALSE)</f>
        <v>#N/A</v>
      </c>
      <c r="Y475" s="38">
        <f>Allocation[[#This Row],[Quantity Processed]]/Allocation[[#This Row],[Quantity allocated]]</f>
        <v>1.8181818181818181</v>
      </c>
      <c r="Z475" s="34" t="b">
        <f>Allocation[[#This Row],[Quantity allocated]]&lt;=Allocation[[#This Row],[Quantity Processed]]</f>
        <v>1</v>
      </c>
    </row>
    <row r="476" spans="1:26">
      <c r="A476" s="247" t="s">
        <v>467</v>
      </c>
      <c r="B476" s="160" t="s">
        <v>68</v>
      </c>
      <c r="C476" s="249" t="s">
        <v>1016</v>
      </c>
      <c r="D476" s="161">
        <v>11337</v>
      </c>
      <c r="E476" s="160" t="s">
        <v>1212</v>
      </c>
      <c r="F476" s="158">
        <v>43495</v>
      </c>
      <c r="G476" s="162">
        <v>2.1</v>
      </c>
      <c r="H476" s="159">
        <v>3401</v>
      </c>
      <c r="I476" s="166">
        <v>1428324</v>
      </c>
      <c r="J476" s="163">
        <v>21600</v>
      </c>
      <c r="K476" s="158">
        <v>43499</v>
      </c>
      <c r="L476" s="160" t="s">
        <v>1219</v>
      </c>
      <c r="M476" s="160">
        <v>4615485015</v>
      </c>
      <c r="N476" s="158">
        <v>43592</v>
      </c>
      <c r="O476" s="164">
        <v>3.9874000000000001</v>
      </c>
      <c r="P476" s="165">
        <v>19525</v>
      </c>
      <c r="Q476" s="34">
        <f>SUMIF(Allocation[Delivery ID],Allocation[[#This Row],[Delivery ID]],Allocation[Quantity Processed])</f>
        <v>32470</v>
      </c>
      <c r="R476" s="61">
        <f>Allocation[[#This Row],[Total volume used]]/VLOOKUP(Allocation[[#This Row],[Delivery ID]],Delivery[[Delivery ID]:[Quantity delivered]],3,FALSE)</f>
        <v>1</v>
      </c>
      <c r="S476" s="34">
        <f>Allocation[[#This Row],[Quantity Processed]]/Allocation[[#This Row],[Dilution rate]]</f>
        <v>5398.5714285714284</v>
      </c>
      <c r="T476" s="59">
        <f>SUMIF(Allocation[Delivery ID],Allocation[[#This Row],[Delivery ID]],Allocation[Quantity allocated])/SUMIF(Allocation[Delivery ID],Allocation[[#This Row],[Delivery ID]],Allocation[Volume available (kg)])</f>
        <v>0.78287780426263942</v>
      </c>
      <c r="U476" s="61">
        <f>Allocation[[#This Row],[Total volume used]]/VLOOKUP(Allocation[[#This Row],[Delivery ID]],Delivery[[Delivery ID]:[Quantity delivered]],3,FALSE)</f>
        <v>1</v>
      </c>
      <c r="V476" s="34" t="e">
        <f>VLOOKUP(Allocation[[#This Row],[SAP Contract number]],Shipments[[SAP Contract number]:[Contracted container weight]],2,FALSE)</f>
        <v>#N/A</v>
      </c>
      <c r="W476" s="34" t="e">
        <f>VLOOKUP(Allocation[[#This Row],[SAP Contract number]],Shipments[[SAP Contract number]:[AAA Premium USD]],24,FALSE)</f>
        <v>#N/A</v>
      </c>
      <c r="X476" s="34" t="e">
        <f>VLOOKUP(Allocation[[#This Row],[SAP Contract number]],Shipments[[SAP Contract number]:[RA Premium USD]],25,FALSE)</f>
        <v>#N/A</v>
      </c>
      <c r="Y476" s="38">
        <f>Allocation[[#This Row],[Quantity Processed]]/Allocation[[#This Row],[Quantity allocated]]</f>
        <v>3.3334313437224345</v>
      </c>
      <c r="Z476" s="34" t="b">
        <f>Allocation[[#This Row],[Quantity allocated]]&lt;=Allocation[[#This Row],[Quantity Processed]]</f>
        <v>1</v>
      </c>
    </row>
    <row r="477" spans="1:26">
      <c r="A477" s="247" t="s">
        <v>467</v>
      </c>
      <c r="B477" s="160" t="s">
        <v>68</v>
      </c>
      <c r="C477" s="249" t="s">
        <v>1019</v>
      </c>
      <c r="D477" s="161">
        <v>22707</v>
      </c>
      <c r="E477" s="160" t="s">
        <v>1212</v>
      </c>
      <c r="F477" s="158">
        <v>43495</v>
      </c>
      <c r="G477" s="162">
        <v>2.1</v>
      </c>
      <c r="H477" s="159">
        <v>6812</v>
      </c>
      <c r="I477" s="166">
        <v>1428324</v>
      </c>
      <c r="J477" s="163">
        <v>21600</v>
      </c>
      <c r="K477" s="158">
        <v>43499</v>
      </c>
      <c r="L477" s="160" t="s">
        <v>1219</v>
      </c>
      <c r="M477" s="160">
        <v>4615485015</v>
      </c>
      <c r="N477" s="158">
        <v>43592</v>
      </c>
      <c r="O477" s="164">
        <v>3.9874000000000001</v>
      </c>
      <c r="P477" s="165">
        <v>19525</v>
      </c>
      <c r="Q477" s="34">
        <f>SUMIF(Allocation[Delivery ID],Allocation[[#This Row],[Delivery ID]],Allocation[Quantity Processed])</f>
        <v>34180</v>
      </c>
      <c r="R477" s="61">
        <f>Allocation[[#This Row],[Total volume used]]/VLOOKUP(Allocation[[#This Row],[Delivery ID]],Delivery[[Delivery ID]:[Quantity delivered]],3,FALSE)</f>
        <v>1</v>
      </c>
      <c r="S477" s="34">
        <f>Allocation[[#This Row],[Quantity Processed]]/Allocation[[#This Row],[Dilution rate]]</f>
        <v>10812.857142857143</v>
      </c>
      <c r="T477" s="59">
        <f>SUMIF(Allocation[Delivery ID],Allocation[[#This Row],[Delivery ID]],Allocation[Quantity allocated])/SUMIF(Allocation[Delivery ID],Allocation[[#This Row],[Delivery ID]],Allocation[Volume available (kg)])</f>
        <v>0.61008720035374187</v>
      </c>
      <c r="U477" s="61">
        <f>Allocation[[#This Row],[Total volume used]]/VLOOKUP(Allocation[[#This Row],[Delivery ID]],Delivery[[Delivery ID]:[Quantity delivered]],3,FALSE)</f>
        <v>1</v>
      </c>
      <c r="V477" s="34" t="e">
        <f>VLOOKUP(Allocation[[#This Row],[SAP Contract number]],Shipments[[SAP Contract number]:[Contracted container weight]],2,FALSE)</f>
        <v>#N/A</v>
      </c>
      <c r="W477" s="34" t="e">
        <f>VLOOKUP(Allocation[[#This Row],[SAP Contract number]],Shipments[[SAP Contract number]:[AAA Premium USD]],24,FALSE)</f>
        <v>#N/A</v>
      </c>
      <c r="X477" s="34" t="e">
        <f>VLOOKUP(Allocation[[#This Row],[SAP Contract number]],Shipments[[SAP Contract number]:[RA Premium USD]],25,FALSE)</f>
        <v>#N/A</v>
      </c>
      <c r="Y477" s="38">
        <f>Allocation[[#This Row],[Quantity Processed]]/Allocation[[#This Row],[Quantity allocated]]</f>
        <v>3.3333822665883734</v>
      </c>
      <c r="Z477" s="34" t="b">
        <f>Allocation[[#This Row],[Quantity allocated]]&lt;=Allocation[[#This Row],[Quantity Processed]]</f>
        <v>1</v>
      </c>
    </row>
    <row r="478" spans="1:26">
      <c r="A478" s="247" t="s">
        <v>467</v>
      </c>
      <c r="B478" s="160" t="s">
        <v>68</v>
      </c>
      <c r="C478" s="249" t="s">
        <v>1021</v>
      </c>
      <c r="D478" s="161">
        <v>8923</v>
      </c>
      <c r="E478" s="160" t="s">
        <v>1212</v>
      </c>
      <c r="F478" s="158">
        <v>43495</v>
      </c>
      <c r="G478" s="162">
        <v>2.1</v>
      </c>
      <c r="H478" s="159">
        <v>2677</v>
      </c>
      <c r="I478" s="166">
        <v>1428324</v>
      </c>
      <c r="J478" s="163">
        <v>21600</v>
      </c>
      <c r="K478" s="158">
        <v>43499</v>
      </c>
      <c r="L478" s="160" t="s">
        <v>1219</v>
      </c>
      <c r="M478" s="160">
        <v>4615485015</v>
      </c>
      <c r="N478" s="158">
        <v>43592</v>
      </c>
      <c r="O478" s="164">
        <v>3.9874000000000001</v>
      </c>
      <c r="P478" s="165">
        <v>19525</v>
      </c>
      <c r="Q478" s="34">
        <f>SUMIF(Allocation[Delivery ID],Allocation[[#This Row],[Delivery ID]],Allocation[Quantity Processed])</f>
        <v>13420</v>
      </c>
      <c r="R478" s="61">
        <f>Allocation[[#This Row],[Total volume used]]/VLOOKUP(Allocation[[#This Row],[Delivery ID]],Delivery[[Delivery ID]:[Quantity delivered]],3,FALSE)</f>
        <v>1</v>
      </c>
      <c r="S478" s="34">
        <f>Allocation[[#This Row],[Quantity Processed]]/Allocation[[#This Row],[Dilution rate]]</f>
        <v>4249.0476190476193</v>
      </c>
      <c r="T478" s="59">
        <f>SUMIF(Allocation[Delivery ID],Allocation[[#This Row],[Delivery ID]],Allocation[Quantity allocated])/SUMIF(Allocation[Delivery ID],Allocation[[#This Row],[Delivery ID]],Allocation[Volume available (kg)])</f>
        <v>0.60941750092863034</v>
      </c>
      <c r="U478" s="61">
        <f>Allocation[[#This Row],[Total volume used]]/VLOOKUP(Allocation[[#This Row],[Delivery ID]],Delivery[[Delivery ID]:[Quantity delivered]],3,FALSE)</f>
        <v>1</v>
      </c>
      <c r="V478" s="34" t="e">
        <f>VLOOKUP(Allocation[[#This Row],[SAP Contract number]],Shipments[[SAP Contract number]:[Contracted container weight]],2,FALSE)</f>
        <v>#N/A</v>
      </c>
      <c r="W478" s="34" t="e">
        <f>VLOOKUP(Allocation[[#This Row],[SAP Contract number]],Shipments[[SAP Contract number]:[AAA Premium USD]],24,FALSE)</f>
        <v>#N/A</v>
      </c>
      <c r="X478" s="34" t="e">
        <f>VLOOKUP(Allocation[[#This Row],[SAP Contract number]],Shipments[[SAP Contract number]:[RA Premium USD]],25,FALSE)</f>
        <v>#N/A</v>
      </c>
      <c r="Y478" s="38">
        <f>Allocation[[#This Row],[Quantity Processed]]/Allocation[[#This Row],[Quantity allocated]]</f>
        <v>3.3332088158386255</v>
      </c>
      <c r="Z478" s="34" t="b">
        <f>Allocation[[#This Row],[Quantity allocated]]&lt;=Allocation[[#This Row],[Quantity Processed]]</f>
        <v>1</v>
      </c>
    </row>
    <row r="479" spans="1:26">
      <c r="A479" s="247" t="s">
        <v>467</v>
      </c>
      <c r="B479" s="160" t="s">
        <v>68</v>
      </c>
      <c r="C479" s="249" t="s">
        <v>1031</v>
      </c>
      <c r="D479" s="161">
        <v>7157</v>
      </c>
      <c r="E479" s="160" t="s">
        <v>1212</v>
      </c>
      <c r="F479" s="158">
        <v>43495</v>
      </c>
      <c r="G479" s="162">
        <v>2.1</v>
      </c>
      <c r="H479" s="159">
        <v>3149</v>
      </c>
      <c r="I479" s="166">
        <v>1428324</v>
      </c>
      <c r="J479" s="163">
        <v>21600</v>
      </c>
      <c r="K479" s="158">
        <v>43499</v>
      </c>
      <c r="L479" s="160" t="s">
        <v>1219</v>
      </c>
      <c r="M479" s="160">
        <v>4615485015</v>
      </c>
      <c r="N479" s="158">
        <v>43592</v>
      </c>
      <c r="O479" s="164">
        <v>3.9874000000000001</v>
      </c>
      <c r="P479" s="165">
        <v>19525</v>
      </c>
      <c r="Q479" s="34">
        <f>SUMIF(Allocation[Delivery ID],Allocation[[#This Row],[Delivery ID]],Allocation[Quantity Processed])</f>
        <v>27391</v>
      </c>
      <c r="R479" s="61">
        <f>Allocation[[#This Row],[Total volume used]]/VLOOKUP(Allocation[[#This Row],[Delivery ID]],Delivery[[Delivery ID]:[Quantity delivered]],3,FALSE)</f>
        <v>0.94942807625649916</v>
      </c>
      <c r="S479" s="34">
        <f>Allocation[[#This Row],[Quantity Processed]]/Allocation[[#This Row],[Dilution rate]]</f>
        <v>3408.0952380952381</v>
      </c>
      <c r="T479" s="59">
        <f>SUMIF(Allocation[Delivery ID],Allocation[[#This Row],[Delivery ID]],Allocation[Quantity allocated])/SUMIF(Allocation[Delivery ID],Allocation[[#This Row],[Delivery ID]],Allocation[Volume available (kg)])</f>
        <v>1.0961111825794865</v>
      </c>
      <c r="U479" s="61">
        <f>Allocation[[#This Row],[Total volume used]]/VLOOKUP(Allocation[[#This Row],[Delivery ID]],Delivery[[Delivery ID]:[Quantity delivered]],3,FALSE)</f>
        <v>0.94942807625649916</v>
      </c>
      <c r="V479" s="34" t="e">
        <f>VLOOKUP(Allocation[[#This Row],[SAP Contract number]],Shipments[[SAP Contract number]:[Contracted container weight]],2,FALSE)</f>
        <v>#N/A</v>
      </c>
      <c r="W479" s="34" t="e">
        <f>VLOOKUP(Allocation[[#This Row],[SAP Contract number]],Shipments[[SAP Contract number]:[AAA Premium USD]],24,FALSE)</f>
        <v>#N/A</v>
      </c>
      <c r="X479" s="34" t="e">
        <f>VLOOKUP(Allocation[[#This Row],[SAP Contract number]],Shipments[[SAP Contract number]:[RA Premium USD]],25,FALSE)</f>
        <v>#N/A</v>
      </c>
      <c r="Y479" s="38">
        <f>Allocation[[#This Row],[Quantity Processed]]/Allocation[[#This Row],[Quantity allocated]]</f>
        <v>2.2727850111146397</v>
      </c>
      <c r="Z479" s="34" t="b">
        <f>Allocation[[#This Row],[Quantity allocated]]&lt;=Allocation[[#This Row],[Quantity Processed]]</f>
        <v>1</v>
      </c>
    </row>
    <row r="480" spans="1:26">
      <c r="A480" s="247" t="s">
        <v>467</v>
      </c>
      <c r="B480" s="160" t="s">
        <v>68</v>
      </c>
      <c r="C480" s="249" t="s">
        <v>1035</v>
      </c>
      <c r="D480" s="161">
        <v>5564</v>
      </c>
      <c r="E480" s="160" t="s">
        <v>1212</v>
      </c>
      <c r="F480" s="158">
        <v>43495</v>
      </c>
      <c r="G480" s="162">
        <v>2.1</v>
      </c>
      <c r="H480" s="159">
        <v>2242</v>
      </c>
      <c r="I480" s="166">
        <v>1428324</v>
      </c>
      <c r="J480" s="163">
        <v>21600</v>
      </c>
      <c r="K480" s="158">
        <v>43499</v>
      </c>
      <c r="L480" s="160" t="s">
        <v>1219</v>
      </c>
      <c r="M480" s="160">
        <v>4615485015</v>
      </c>
      <c r="N480" s="158">
        <v>43592</v>
      </c>
      <c r="O480" s="164">
        <v>3.9874000000000001</v>
      </c>
      <c r="P480" s="165">
        <v>19525</v>
      </c>
      <c r="Q480" s="34">
        <f>SUMIF(Allocation[Delivery ID],Allocation[[#This Row],[Delivery ID]],Allocation[Quantity Processed])</f>
        <v>11118</v>
      </c>
      <c r="R480" s="61">
        <f>Allocation[[#This Row],[Total volume used]]/VLOOKUP(Allocation[[#This Row],[Delivery ID]],Delivery[[Delivery ID]:[Quantity delivered]],3,FALSE)</f>
        <v>1</v>
      </c>
      <c r="S480" s="34">
        <f>Allocation[[#This Row],[Quantity Processed]]/Allocation[[#This Row],[Dilution rate]]</f>
        <v>2649.5238095238096</v>
      </c>
      <c r="T480" s="59">
        <f>SUMIF(Allocation[Delivery ID],Allocation[[#This Row],[Delivery ID]],Allocation[Quantity allocated])/SUMIF(Allocation[Delivery ID],Allocation[[#This Row],[Delivery ID]],Allocation[Volume available (kg)])</f>
        <v>0.9518627605279133</v>
      </c>
      <c r="U480" s="61">
        <f>Allocation[[#This Row],[Total volume used]]/VLOOKUP(Allocation[[#This Row],[Delivery ID]],Delivery[[Delivery ID]:[Quantity delivered]],3,FALSE)</f>
        <v>1</v>
      </c>
      <c r="V480" s="34" t="e">
        <f>VLOOKUP(Allocation[[#This Row],[SAP Contract number]],Shipments[[SAP Contract number]:[Contracted container weight]],2,FALSE)</f>
        <v>#N/A</v>
      </c>
      <c r="W480" s="34" t="e">
        <f>VLOOKUP(Allocation[[#This Row],[SAP Contract number]],Shipments[[SAP Contract number]:[AAA Premium USD]],24,FALSE)</f>
        <v>#N/A</v>
      </c>
      <c r="X480" s="34" t="e">
        <f>VLOOKUP(Allocation[[#This Row],[SAP Contract number]],Shipments[[SAP Contract number]:[RA Premium USD]],25,FALSE)</f>
        <v>#N/A</v>
      </c>
      <c r="Y480" s="38">
        <f>Allocation[[#This Row],[Quantity Processed]]/Allocation[[#This Row],[Quantity allocated]]</f>
        <v>2.4817127564674397</v>
      </c>
      <c r="Z480" s="34" t="b">
        <f>Allocation[[#This Row],[Quantity allocated]]&lt;=Allocation[[#This Row],[Quantity Processed]]</f>
        <v>1</v>
      </c>
    </row>
    <row r="481" spans="1:26">
      <c r="A481" s="247" t="s">
        <v>467</v>
      </c>
      <c r="B481" s="160" t="s">
        <v>68</v>
      </c>
      <c r="C481" s="249" t="s">
        <v>1037</v>
      </c>
      <c r="D481" s="161">
        <v>2178</v>
      </c>
      <c r="E481" s="160" t="s">
        <v>1212</v>
      </c>
      <c r="F481" s="158">
        <v>43495</v>
      </c>
      <c r="G481" s="162">
        <v>2.1</v>
      </c>
      <c r="H481" s="159">
        <v>1002</v>
      </c>
      <c r="I481" s="166">
        <v>1428324</v>
      </c>
      <c r="J481" s="163">
        <v>21600</v>
      </c>
      <c r="K481" s="158">
        <v>43499</v>
      </c>
      <c r="L481" s="160" t="s">
        <v>1219</v>
      </c>
      <c r="M481" s="160">
        <v>4615485015</v>
      </c>
      <c r="N481" s="158">
        <v>43592</v>
      </c>
      <c r="O481" s="164">
        <v>3.9874000000000001</v>
      </c>
      <c r="P481" s="165">
        <v>19525</v>
      </c>
      <c r="Q481" s="34">
        <f>SUMIF(Allocation[Delivery ID],Allocation[[#This Row],[Delivery ID]],Allocation[Quantity Processed])</f>
        <v>8667</v>
      </c>
      <c r="R481" s="61">
        <f>Allocation[[#This Row],[Total volume used]]/VLOOKUP(Allocation[[#This Row],[Delivery ID]],Delivery[[Delivery ID]:[Quantity delivered]],3,FALSE)</f>
        <v>0.89623080502559327</v>
      </c>
      <c r="S481" s="34">
        <f>Allocation[[#This Row],[Quantity Processed]]/Allocation[[#This Row],[Dilution rate]]</f>
        <v>1037.1428571428571</v>
      </c>
      <c r="T481" s="59">
        <f>SUMIF(Allocation[Delivery ID],Allocation[[#This Row],[Delivery ID]],Allocation[Quantity allocated])/SUMIF(Allocation[Delivery ID],Allocation[[#This Row],[Delivery ID]],Allocation[Volume available (kg)])</f>
        <v>1.1488915260962267</v>
      </c>
      <c r="U481" s="61">
        <f>Allocation[[#This Row],[Total volume used]]/VLOOKUP(Allocation[[#This Row],[Delivery ID]],Delivery[[Delivery ID]:[Quantity delivered]],3,FALSE)</f>
        <v>0.89623080502559327</v>
      </c>
      <c r="V481" s="34" t="e">
        <f>VLOOKUP(Allocation[[#This Row],[SAP Contract number]],Shipments[[SAP Contract number]:[Contracted container weight]],2,FALSE)</f>
        <v>#N/A</v>
      </c>
      <c r="W481" s="34" t="e">
        <f>VLOOKUP(Allocation[[#This Row],[SAP Contract number]],Shipments[[SAP Contract number]:[AAA Premium USD]],24,FALSE)</f>
        <v>#N/A</v>
      </c>
      <c r="X481" s="34" t="e">
        <f>VLOOKUP(Allocation[[#This Row],[SAP Contract number]],Shipments[[SAP Contract number]:[RA Premium USD]],25,FALSE)</f>
        <v>#N/A</v>
      </c>
      <c r="Y481" s="38">
        <f>Allocation[[#This Row],[Quantity Processed]]/Allocation[[#This Row],[Quantity allocated]]</f>
        <v>2.1736526946107784</v>
      </c>
      <c r="Z481" s="34" t="b">
        <f>Allocation[[#This Row],[Quantity allocated]]&lt;=Allocation[[#This Row],[Quantity Processed]]</f>
        <v>1</v>
      </c>
    </row>
    <row r="482" spans="1:26">
      <c r="A482" s="247" t="s">
        <v>467</v>
      </c>
      <c r="B482" s="160" t="s">
        <v>68</v>
      </c>
      <c r="C482" s="249" t="s">
        <v>1039</v>
      </c>
      <c r="D482" s="161">
        <v>2488</v>
      </c>
      <c r="E482" s="160" t="s">
        <v>1212</v>
      </c>
      <c r="F482" s="158">
        <v>43495</v>
      </c>
      <c r="G482" s="162">
        <v>2.1</v>
      </c>
      <c r="H482" s="159">
        <v>995</v>
      </c>
      <c r="I482" s="166">
        <v>1428324</v>
      </c>
      <c r="J482" s="163">
        <v>21600</v>
      </c>
      <c r="K482" s="158">
        <v>43499</v>
      </c>
      <c r="L482" s="160" t="s">
        <v>1219</v>
      </c>
      <c r="M482" s="160">
        <v>4615485015</v>
      </c>
      <c r="N482" s="158">
        <v>43592</v>
      </c>
      <c r="O482" s="164">
        <v>3.9874000000000001</v>
      </c>
      <c r="P482" s="165">
        <v>19525</v>
      </c>
      <c r="Q482" s="34">
        <f>SUMIF(Allocation[Delivery ID],Allocation[[#This Row],[Delivery ID]],Allocation[Quantity Processed])</f>
        <v>9713</v>
      </c>
      <c r="R482" s="61">
        <f>Allocation[[#This Row],[Total volume used]]/VLOOKUP(Allocation[[#This Row],[Delivery ID]],Delivery[[Delivery ID]:[Quantity delivered]],3,FALSE)</f>
        <v>1</v>
      </c>
      <c r="S482" s="34">
        <f>Allocation[[#This Row],[Quantity Processed]]/Allocation[[#This Row],[Dilution rate]]</f>
        <v>1184.7619047619048</v>
      </c>
      <c r="T482" s="59">
        <f>SUMIF(Allocation[Delivery ID],Allocation[[#This Row],[Delivery ID]],Allocation[Quantity allocated])/SUMIF(Allocation[Delivery ID],Allocation[[#This Row],[Delivery ID]],Allocation[Volume available (kg)])</f>
        <v>0.99890031407161339</v>
      </c>
      <c r="U482" s="61">
        <f>Allocation[[#This Row],[Total volume used]]/VLOOKUP(Allocation[[#This Row],[Delivery ID]],Delivery[[Delivery ID]:[Quantity delivered]],3,FALSE)</f>
        <v>1</v>
      </c>
      <c r="V482" s="34" t="e">
        <f>VLOOKUP(Allocation[[#This Row],[SAP Contract number]],Shipments[[SAP Contract number]:[Contracted container weight]],2,FALSE)</f>
        <v>#N/A</v>
      </c>
      <c r="W482" s="34" t="e">
        <f>VLOOKUP(Allocation[[#This Row],[SAP Contract number]],Shipments[[SAP Contract number]:[AAA Premium USD]],24,FALSE)</f>
        <v>#N/A</v>
      </c>
      <c r="X482" s="34" t="e">
        <f>VLOOKUP(Allocation[[#This Row],[SAP Contract number]],Shipments[[SAP Contract number]:[RA Premium USD]],25,FALSE)</f>
        <v>#N/A</v>
      </c>
      <c r="Y482" s="38">
        <f>Allocation[[#This Row],[Quantity Processed]]/Allocation[[#This Row],[Quantity allocated]]</f>
        <v>2.500502512562814</v>
      </c>
      <c r="Z482" s="34" t="b">
        <f>Allocation[[#This Row],[Quantity allocated]]&lt;=Allocation[[#This Row],[Quantity Processed]]</f>
        <v>1</v>
      </c>
    </row>
    <row r="483" spans="1:26">
      <c r="A483" s="247" t="s">
        <v>467</v>
      </c>
      <c r="B483" s="160" t="s">
        <v>68</v>
      </c>
      <c r="C483" s="249" t="s">
        <v>1041</v>
      </c>
      <c r="D483" s="161">
        <v>1400</v>
      </c>
      <c r="E483" s="160" t="s">
        <v>1212</v>
      </c>
      <c r="F483" s="158">
        <v>43495</v>
      </c>
      <c r="G483" s="162">
        <v>2.1</v>
      </c>
      <c r="H483" s="159">
        <v>462</v>
      </c>
      <c r="I483" s="166">
        <v>1428324</v>
      </c>
      <c r="J483" s="163">
        <v>21600</v>
      </c>
      <c r="K483" s="158">
        <v>43499</v>
      </c>
      <c r="L483" s="160" t="s">
        <v>1219</v>
      </c>
      <c r="M483" s="160">
        <v>4615485015</v>
      </c>
      <c r="N483" s="158">
        <v>43592</v>
      </c>
      <c r="O483" s="164">
        <v>3.9874000000000001</v>
      </c>
      <c r="P483" s="165">
        <v>19525</v>
      </c>
      <c r="Q483" s="34">
        <f>SUMIF(Allocation[Delivery ID],Allocation[[#This Row],[Delivery ID]],Allocation[Quantity Processed])</f>
        <v>12665</v>
      </c>
      <c r="R483" s="61">
        <f>Allocation[[#This Row],[Total volume used]]/VLOOKUP(Allocation[[#This Row],[Delivery ID]],Delivery[[Delivery ID]:[Quantity delivered]],3,FALSE)</f>
        <v>1</v>
      </c>
      <c r="S483" s="34">
        <f>Allocation[[#This Row],[Quantity Processed]]/Allocation[[#This Row],[Dilution rate]]</f>
        <v>666.66666666666663</v>
      </c>
      <c r="T483" s="59">
        <f>SUMIF(Allocation[Delivery ID],Allocation[[#This Row],[Delivery ID]],Allocation[Quantity allocated])/SUMIF(Allocation[Delivery ID],Allocation[[#This Row],[Delivery ID]],Allocation[Volume available (kg)])</f>
        <v>0.81590882258219166</v>
      </c>
      <c r="U483" s="61">
        <f>Allocation[[#This Row],[Total volume used]]/VLOOKUP(Allocation[[#This Row],[Delivery ID]],Delivery[[Delivery ID]:[Quantity delivered]],3,FALSE)</f>
        <v>1</v>
      </c>
      <c r="V483" s="34" t="e">
        <f>VLOOKUP(Allocation[[#This Row],[SAP Contract number]],Shipments[[SAP Contract number]:[Contracted container weight]],2,FALSE)</f>
        <v>#N/A</v>
      </c>
      <c r="W483" s="34" t="e">
        <f>VLOOKUP(Allocation[[#This Row],[SAP Contract number]],Shipments[[SAP Contract number]:[AAA Premium USD]],24,FALSE)</f>
        <v>#N/A</v>
      </c>
      <c r="X483" s="34" t="e">
        <f>VLOOKUP(Allocation[[#This Row],[SAP Contract number]],Shipments[[SAP Contract number]:[RA Premium USD]],25,FALSE)</f>
        <v>#N/A</v>
      </c>
      <c r="Y483" s="38">
        <f>Allocation[[#This Row],[Quantity Processed]]/Allocation[[#This Row],[Quantity allocated]]</f>
        <v>3.0303030303030303</v>
      </c>
      <c r="Z483" s="34" t="b">
        <f>Allocation[[#This Row],[Quantity allocated]]&lt;=Allocation[[#This Row],[Quantity Processed]]</f>
        <v>1</v>
      </c>
    </row>
    <row r="484" spans="1:26">
      <c r="A484" s="247" t="s">
        <v>467</v>
      </c>
      <c r="B484" s="160" t="s">
        <v>68</v>
      </c>
      <c r="C484" s="249" t="s">
        <v>1041</v>
      </c>
      <c r="D484" s="161">
        <v>2533</v>
      </c>
      <c r="E484" s="160" t="s">
        <v>1212</v>
      </c>
      <c r="F484" s="158">
        <v>43495</v>
      </c>
      <c r="G484" s="162">
        <v>2.1</v>
      </c>
      <c r="H484" s="159">
        <v>836</v>
      </c>
      <c r="I484" s="166">
        <v>1428325</v>
      </c>
      <c r="J484" s="163">
        <v>21600</v>
      </c>
      <c r="K484" s="158">
        <v>43499</v>
      </c>
      <c r="L484" s="160" t="s">
        <v>1220</v>
      </c>
      <c r="M484" s="160">
        <v>4615485015</v>
      </c>
      <c r="N484" s="158">
        <v>43592</v>
      </c>
      <c r="O484" s="164">
        <v>3.9874000000000001</v>
      </c>
      <c r="P484" s="165">
        <v>19525</v>
      </c>
      <c r="Q484" s="34">
        <f>SUMIF(Allocation[Delivery ID],Allocation[[#This Row],[Delivery ID]],Allocation[Quantity Processed])</f>
        <v>12665</v>
      </c>
      <c r="R484" s="61">
        <f>Allocation[[#This Row],[Total volume used]]/VLOOKUP(Allocation[[#This Row],[Delivery ID]],Delivery[[Delivery ID]:[Quantity delivered]],3,FALSE)</f>
        <v>1</v>
      </c>
      <c r="S484" s="34">
        <f>Allocation[[#This Row],[Quantity Processed]]/Allocation[[#This Row],[Dilution rate]]</f>
        <v>1206.1904761904761</v>
      </c>
      <c r="T484" s="59">
        <f>SUMIF(Allocation[Delivery ID],Allocation[[#This Row],[Delivery ID]],Allocation[Quantity allocated])/SUMIF(Allocation[Delivery ID],Allocation[[#This Row],[Delivery ID]],Allocation[Volume available (kg)])</f>
        <v>0.81590882258219166</v>
      </c>
      <c r="U484" s="61">
        <f>Allocation[[#This Row],[Total volume used]]/VLOOKUP(Allocation[[#This Row],[Delivery ID]],Delivery[[Delivery ID]:[Quantity delivered]],3,FALSE)</f>
        <v>1</v>
      </c>
      <c r="V484" s="34" t="e">
        <f>VLOOKUP(Allocation[[#This Row],[SAP Contract number]],Shipments[[SAP Contract number]:[Contracted container weight]],2,FALSE)</f>
        <v>#N/A</v>
      </c>
      <c r="W484" s="34" t="e">
        <f>VLOOKUP(Allocation[[#This Row],[SAP Contract number]],Shipments[[SAP Contract number]:[AAA Premium USD]],24,FALSE)</f>
        <v>#N/A</v>
      </c>
      <c r="X484" s="34" t="e">
        <f>VLOOKUP(Allocation[[#This Row],[SAP Contract number]],Shipments[[SAP Contract number]:[RA Premium USD]],25,FALSE)</f>
        <v>#N/A</v>
      </c>
      <c r="Y484" s="38">
        <f>Allocation[[#This Row],[Quantity Processed]]/Allocation[[#This Row],[Quantity allocated]]</f>
        <v>3.0299043062200957</v>
      </c>
      <c r="Z484" s="34" t="b">
        <f>Allocation[[#This Row],[Quantity allocated]]&lt;=Allocation[[#This Row],[Quantity Processed]]</f>
        <v>1</v>
      </c>
    </row>
    <row r="485" spans="1:26">
      <c r="A485" s="247" t="s">
        <v>467</v>
      </c>
      <c r="B485" s="160" t="s">
        <v>68</v>
      </c>
      <c r="C485" s="249" t="s">
        <v>1042</v>
      </c>
      <c r="D485" s="161">
        <v>5097</v>
      </c>
      <c r="E485" s="160" t="s">
        <v>1212</v>
      </c>
      <c r="F485" s="158">
        <v>43495</v>
      </c>
      <c r="G485" s="162">
        <v>2.1</v>
      </c>
      <c r="H485" s="159">
        <v>1682</v>
      </c>
      <c r="I485" s="166">
        <v>1428325</v>
      </c>
      <c r="J485" s="163">
        <v>21600</v>
      </c>
      <c r="K485" s="158">
        <v>43499</v>
      </c>
      <c r="L485" s="160" t="s">
        <v>1220</v>
      </c>
      <c r="M485" s="160">
        <v>4615485015</v>
      </c>
      <c r="N485" s="158">
        <v>43592</v>
      </c>
      <c r="O485" s="164">
        <v>3.9874000000000001</v>
      </c>
      <c r="P485" s="165">
        <v>19525</v>
      </c>
      <c r="Q485" s="34">
        <f>SUMIF(Allocation[Delivery ID],Allocation[[#This Row],[Delivery ID]],Allocation[Quantity Processed])</f>
        <v>16416.5</v>
      </c>
      <c r="R485" s="61">
        <f>Allocation[[#This Row],[Total volume used]]/VLOOKUP(Allocation[[#This Row],[Delivery ID]],Delivery[[Delivery ID]:[Quantity delivered]],3,FALSE)</f>
        <v>1</v>
      </c>
      <c r="S485" s="34">
        <f>Allocation[[#This Row],[Quantity Processed]]/Allocation[[#This Row],[Dilution rate]]</f>
        <v>2427.1428571428569</v>
      </c>
      <c r="T485" s="59">
        <f>SUMIF(Allocation[Delivery ID],Allocation[[#This Row],[Delivery ID]],Allocation[Quantity allocated])/SUMIF(Allocation[Delivery ID],Allocation[[#This Row],[Delivery ID]],Allocation[Volume available (kg)])</f>
        <v>0.81599988935082768</v>
      </c>
      <c r="U485" s="61">
        <f>Allocation[[#This Row],[Total volume used]]/VLOOKUP(Allocation[[#This Row],[Delivery ID]],Delivery[[Delivery ID]:[Quantity delivered]],3,FALSE)</f>
        <v>1</v>
      </c>
      <c r="V485" s="34" t="e">
        <f>VLOOKUP(Allocation[[#This Row],[SAP Contract number]],Shipments[[SAP Contract number]:[Contracted container weight]],2,FALSE)</f>
        <v>#N/A</v>
      </c>
      <c r="W485" s="34" t="e">
        <f>VLOOKUP(Allocation[[#This Row],[SAP Contract number]],Shipments[[SAP Contract number]:[AAA Premium USD]],24,FALSE)</f>
        <v>#N/A</v>
      </c>
      <c r="X485" s="34" t="e">
        <f>VLOOKUP(Allocation[[#This Row],[SAP Contract number]],Shipments[[SAP Contract number]:[RA Premium USD]],25,FALSE)</f>
        <v>#N/A</v>
      </c>
      <c r="Y485" s="38">
        <f>Allocation[[#This Row],[Quantity Processed]]/Allocation[[#This Row],[Quantity allocated]]</f>
        <v>3.030321046373365</v>
      </c>
      <c r="Z485" s="34" t="b">
        <f>Allocation[[#This Row],[Quantity allocated]]&lt;=Allocation[[#This Row],[Quantity Processed]]</f>
        <v>1</v>
      </c>
    </row>
    <row r="486" spans="1:26">
      <c r="A486" s="247" t="s">
        <v>467</v>
      </c>
      <c r="B486" s="160" t="s">
        <v>68</v>
      </c>
      <c r="C486" s="249" t="s">
        <v>1043</v>
      </c>
      <c r="D486" s="161">
        <v>6244</v>
      </c>
      <c r="E486" s="160" t="s">
        <v>1212</v>
      </c>
      <c r="F486" s="158">
        <v>43495</v>
      </c>
      <c r="G486" s="162">
        <v>2.1</v>
      </c>
      <c r="H486" s="159">
        <v>2123</v>
      </c>
      <c r="I486" s="166">
        <v>1428325</v>
      </c>
      <c r="J486" s="163">
        <v>21600</v>
      </c>
      <c r="K486" s="158">
        <v>43499</v>
      </c>
      <c r="L486" s="160" t="s">
        <v>1220</v>
      </c>
      <c r="M486" s="160">
        <v>4615485015</v>
      </c>
      <c r="N486" s="158">
        <v>43592</v>
      </c>
      <c r="O486" s="164">
        <v>3.9874000000000001</v>
      </c>
      <c r="P486" s="165">
        <v>19525</v>
      </c>
      <c r="Q486" s="34">
        <f>SUMIF(Allocation[Delivery ID],Allocation[[#This Row],[Delivery ID]],Allocation[Quantity Processed])</f>
        <v>20140</v>
      </c>
      <c r="R486" s="61">
        <f>Allocation[[#This Row],[Total volume used]]/VLOOKUP(Allocation[[#This Row],[Delivery ID]],Delivery[[Delivery ID]:[Quantity delivered]],3,FALSE)</f>
        <v>1</v>
      </c>
      <c r="S486" s="34">
        <f>Allocation[[#This Row],[Quantity Processed]]/Allocation[[#This Row],[Dilution rate]]</f>
        <v>2973.333333333333</v>
      </c>
      <c r="T486" s="59">
        <f>SUMIF(Allocation[Delivery ID],Allocation[[#This Row],[Delivery ID]],Allocation[Quantity allocated])/SUMIF(Allocation[Delivery ID],Allocation[[#This Row],[Delivery ID]],Allocation[Volume available (kg)])</f>
        <v>0.8401933700928752</v>
      </c>
      <c r="U486" s="61">
        <f>Allocation[[#This Row],[Total volume used]]/VLOOKUP(Allocation[[#This Row],[Delivery ID]],Delivery[[Delivery ID]:[Quantity delivered]],3,FALSE)</f>
        <v>1</v>
      </c>
      <c r="V486" s="34" t="e">
        <f>VLOOKUP(Allocation[[#This Row],[SAP Contract number]],Shipments[[SAP Contract number]:[Contracted container weight]],2,FALSE)</f>
        <v>#N/A</v>
      </c>
      <c r="W486" s="34" t="e">
        <f>VLOOKUP(Allocation[[#This Row],[SAP Contract number]],Shipments[[SAP Contract number]:[AAA Premium USD]],24,FALSE)</f>
        <v>#N/A</v>
      </c>
      <c r="X486" s="34" t="e">
        <f>VLOOKUP(Allocation[[#This Row],[SAP Contract number]],Shipments[[SAP Contract number]:[RA Premium USD]],25,FALSE)</f>
        <v>#N/A</v>
      </c>
      <c r="Y486" s="38">
        <f>Allocation[[#This Row],[Quantity Processed]]/Allocation[[#This Row],[Quantity allocated]]</f>
        <v>2.9411210551106923</v>
      </c>
      <c r="Z486" s="34" t="b">
        <f>Allocation[[#This Row],[Quantity allocated]]&lt;=Allocation[[#This Row],[Quantity Processed]]</f>
        <v>1</v>
      </c>
    </row>
    <row r="487" spans="1:26">
      <c r="A487" s="247" t="s">
        <v>467</v>
      </c>
      <c r="B487" s="160" t="s">
        <v>68</v>
      </c>
      <c r="C487" s="249" t="s">
        <v>1046</v>
      </c>
      <c r="D487" s="161">
        <v>3835</v>
      </c>
      <c r="E487" s="160" t="s">
        <v>1212</v>
      </c>
      <c r="F487" s="158">
        <v>43495</v>
      </c>
      <c r="G487" s="162">
        <v>2.1</v>
      </c>
      <c r="H487" s="159">
        <v>1764</v>
      </c>
      <c r="I487" s="166">
        <v>1428325</v>
      </c>
      <c r="J487" s="163">
        <v>21600</v>
      </c>
      <c r="K487" s="158">
        <v>43499</v>
      </c>
      <c r="L487" s="160" t="s">
        <v>1220</v>
      </c>
      <c r="M487" s="160">
        <v>4615485015</v>
      </c>
      <c r="N487" s="158">
        <v>43592</v>
      </c>
      <c r="O487" s="164">
        <v>3.9874000000000001</v>
      </c>
      <c r="P487" s="165">
        <v>19525</v>
      </c>
      <c r="Q487" s="34">
        <f>SUMIF(Allocation[Delivery ID],Allocation[[#This Row],[Delivery ID]],Allocation[Quantity Processed])</f>
        <v>15124</v>
      </c>
      <c r="R487" s="61">
        <f>Allocation[[#This Row],[Total volume used]]/VLOOKUP(Allocation[[#This Row],[Delivery ID]],Delivery[[Delivery ID]:[Quantity delivered]],3,FALSE)</f>
        <v>0.89879360551494625</v>
      </c>
      <c r="S487" s="34">
        <f>Allocation[[#This Row],[Quantity Processed]]/Allocation[[#This Row],[Dilution rate]]</f>
        <v>1826.1904761904761</v>
      </c>
      <c r="T487" s="59">
        <f>SUMIF(Allocation[Delivery ID],Allocation[[#This Row],[Delivery ID]],Allocation[Quantity allocated])/SUMIF(Allocation[Delivery ID],Allocation[[#This Row],[Delivery ID]],Allocation[Volume available (kg)])</f>
        <v>1.1481700980151472</v>
      </c>
      <c r="U487" s="61">
        <f>Allocation[[#This Row],[Total volume used]]/VLOOKUP(Allocation[[#This Row],[Delivery ID]],Delivery[[Delivery ID]:[Quantity delivered]],3,FALSE)</f>
        <v>0.89879360551494625</v>
      </c>
      <c r="V487" s="34" t="e">
        <f>VLOOKUP(Allocation[[#This Row],[SAP Contract number]],Shipments[[SAP Contract number]:[Contracted container weight]],2,FALSE)</f>
        <v>#N/A</v>
      </c>
      <c r="W487" s="34" t="e">
        <f>VLOOKUP(Allocation[[#This Row],[SAP Contract number]],Shipments[[SAP Contract number]:[AAA Premium USD]],24,FALSE)</f>
        <v>#N/A</v>
      </c>
      <c r="X487" s="34" t="e">
        <f>VLOOKUP(Allocation[[#This Row],[SAP Contract number]],Shipments[[SAP Contract number]:[RA Premium USD]],25,FALSE)</f>
        <v>#N/A</v>
      </c>
      <c r="Y487" s="38">
        <f>Allocation[[#This Row],[Quantity Processed]]/Allocation[[#This Row],[Quantity allocated]]</f>
        <v>2.1740362811791383</v>
      </c>
      <c r="Z487" s="34" t="b">
        <f>Allocation[[#This Row],[Quantity allocated]]&lt;=Allocation[[#This Row],[Quantity Processed]]</f>
        <v>1</v>
      </c>
    </row>
    <row r="488" spans="1:26">
      <c r="A488" s="247" t="s">
        <v>467</v>
      </c>
      <c r="B488" s="160" t="s">
        <v>68</v>
      </c>
      <c r="C488" s="249" t="s">
        <v>1047</v>
      </c>
      <c r="D488" s="161">
        <v>4545</v>
      </c>
      <c r="E488" s="160" t="s">
        <v>1212</v>
      </c>
      <c r="F488" s="158">
        <v>43495</v>
      </c>
      <c r="G488" s="162">
        <v>2.1</v>
      </c>
      <c r="H488" s="159">
        <v>1909</v>
      </c>
      <c r="I488" s="166">
        <v>1428325</v>
      </c>
      <c r="J488" s="163">
        <v>21600</v>
      </c>
      <c r="K488" s="158">
        <v>43499</v>
      </c>
      <c r="L488" s="160" t="s">
        <v>1220</v>
      </c>
      <c r="M488" s="160">
        <v>4615485015</v>
      </c>
      <c r="N488" s="158">
        <v>43592</v>
      </c>
      <c r="O488" s="164">
        <v>3.9874000000000001</v>
      </c>
      <c r="P488" s="165">
        <v>19525</v>
      </c>
      <c r="Q488" s="34">
        <f>SUMIF(Allocation[Delivery ID],Allocation[[#This Row],[Delivery ID]],Allocation[Quantity Processed])</f>
        <v>18140</v>
      </c>
      <c r="R488" s="61">
        <f>Allocation[[#This Row],[Total volume used]]/VLOOKUP(Allocation[[#This Row],[Delivery ID]],Delivery[[Delivery ID]:[Quantity delivered]],3,FALSE)</f>
        <v>1</v>
      </c>
      <c r="S488" s="34">
        <f>Allocation[[#This Row],[Quantity Processed]]/Allocation[[#This Row],[Dilution rate]]</f>
        <v>2164.2857142857142</v>
      </c>
      <c r="T488" s="59">
        <f>SUMIF(Allocation[Delivery ID],Allocation[[#This Row],[Delivery ID]],Allocation[Quantity allocated])/SUMIF(Allocation[Delivery ID],Allocation[[#This Row],[Delivery ID]],Allocation[Volume available (kg)])</f>
        <v>1.0487957952321874</v>
      </c>
      <c r="U488" s="61">
        <f>Allocation[[#This Row],[Total volume used]]/VLOOKUP(Allocation[[#This Row],[Delivery ID]],Delivery[[Delivery ID]:[Quantity delivered]],3,FALSE)</f>
        <v>1</v>
      </c>
      <c r="V488" s="34" t="e">
        <f>VLOOKUP(Allocation[[#This Row],[SAP Contract number]],Shipments[[SAP Contract number]:[Contracted container weight]],2,FALSE)</f>
        <v>#N/A</v>
      </c>
      <c r="W488" s="34" t="e">
        <f>VLOOKUP(Allocation[[#This Row],[SAP Contract number]],Shipments[[SAP Contract number]:[AAA Premium USD]],24,FALSE)</f>
        <v>#N/A</v>
      </c>
      <c r="X488" s="34" t="e">
        <f>VLOOKUP(Allocation[[#This Row],[SAP Contract number]],Shipments[[SAP Contract number]:[RA Premium USD]],25,FALSE)</f>
        <v>#N/A</v>
      </c>
      <c r="Y488" s="38">
        <f>Allocation[[#This Row],[Quantity Processed]]/Allocation[[#This Row],[Quantity allocated]]</f>
        <v>2.3808276584599266</v>
      </c>
      <c r="Z488" s="34" t="b">
        <f>Allocation[[#This Row],[Quantity allocated]]&lt;=Allocation[[#This Row],[Quantity Processed]]</f>
        <v>1</v>
      </c>
    </row>
    <row r="489" spans="1:26">
      <c r="A489" s="247" t="s">
        <v>467</v>
      </c>
      <c r="B489" s="160" t="s">
        <v>68</v>
      </c>
      <c r="C489" s="249" t="s">
        <v>1048</v>
      </c>
      <c r="D489" s="161">
        <v>4200</v>
      </c>
      <c r="E489" s="160" t="s">
        <v>1212</v>
      </c>
      <c r="F489" s="158">
        <v>43495</v>
      </c>
      <c r="G489" s="162">
        <v>2.1</v>
      </c>
      <c r="H489" s="159">
        <v>1260</v>
      </c>
      <c r="I489" s="166">
        <v>1428325</v>
      </c>
      <c r="J489" s="163">
        <v>21600</v>
      </c>
      <c r="K489" s="158">
        <v>43499</v>
      </c>
      <c r="L489" s="160" t="s">
        <v>1220</v>
      </c>
      <c r="M489" s="160">
        <v>4615485015</v>
      </c>
      <c r="N489" s="158">
        <v>43592</v>
      </c>
      <c r="O489" s="164">
        <v>3.9874000000000001</v>
      </c>
      <c r="P489" s="165">
        <v>19525</v>
      </c>
      <c r="Q489" s="34">
        <f>SUMIF(Allocation[Delivery ID],Allocation[[#This Row],[Delivery ID]],Allocation[Quantity Processed])</f>
        <v>12002</v>
      </c>
      <c r="R489" s="61">
        <f>Allocation[[#This Row],[Total volume used]]/VLOOKUP(Allocation[[#This Row],[Delivery ID]],Delivery[[Delivery ID]:[Quantity delivered]],3,FALSE)</f>
        <v>1</v>
      </c>
      <c r="S489" s="34">
        <f>Allocation[[#This Row],[Quantity Processed]]/Allocation[[#This Row],[Dilution rate]]</f>
        <v>2000</v>
      </c>
      <c r="T489" s="59">
        <f>SUMIF(Allocation[Delivery ID],Allocation[[#This Row],[Delivery ID]],Allocation[Quantity allocated])/SUMIF(Allocation[Delivery ID],Allocation[[#This Row],[Delivery ID]],Allocation[Volume available (kg)])</f>
        <v>0.78353734344791937</v>
      </c>
      <c r="U489" s="61">
        <f>Allocation[[#This Row],[Total volume used]]/VLOOKUP(Allocation[[#This Row],[Delivery ID]],Delivery[[Delivery ID]:[Quantity delivered]],3,FALSE)</f>
        <v>1</v>
      </c>
      <c r="V489" s="34" t="e">
        <f>VLOOKUP(Allocation[[#This Row],[SAP Contract number]],Shipments[[SAP Contract number]:[Contracted container weight]],2,FALSE)</f>
        <v>#N/A</v>
      </c>
      <c r="W489" s="34" t="e">
        <f>VLOOKUP(Allocation[[#This Row],[SAP Contract number]],Shipments[[SAP Contract number]:[AAA Premium USD]],24,FALSE)</f>
        <v>#N/A</v>
      </c>
      <c r="X489" s="34" t="e">
        <f>VLOOKUP(Allocation[[#This Row],[SAP Contract number]],Shipments[[SAP Contract number]:[RA Premium USD]],25,FALSE)</f>
        <v>#N/A</v>
      </c>
      <c r="Y489" s="38">
        <f>Allocation[[#This Row],[Quantity Processed]]/Allocation[[#This Row],[Quantity allocated]]</f>
        <v>3.3333333333333335</v>
      </c>
      <c r="Z489" s="34" t="b">
        <f>Allocation[[#This Row],[Quantity allocated]]&lt;=Allocation[[#This Row],[Quantity Processed]]</f>
        <v>1</v>
      </c>
    </row>
    <row r="490" spans="1:26">
      <c r="A490" s="247" t="s">
        <v>467</v>
      </c>
      <c r="B490" s="160" t="s">
        <v>68</v>
      </c>
      <c r="C490" s="249" t="s">
        <v>1050</v>
      </c>
      <c r="D490" s="161">
        <v>28420</v>
      </c>
      <c r="E490" s="160" t="s">
        <v>1212</v>
      </c>
      <c r="F490" s="158">
        <v>43495</v>
      </c>
      <c r="G490" s="162">
        <v>2.1</v>
      </c>
      <c r="H490" s="159">
        <v>12026</v>
      </c>
      <c r="I490" s="166">
        <v>1428325</v>
      </c>
      <c r="J490" s="163">
        <v>21600</v>
      </c>
      <c r="K490" s="158">
        <v>43499</v>
      </c>
      <c r="L490" s="160" t="s">
        <v>1220</v>
      </c>
      <c r="M490" s="160">
        <v>4615485015</v>
      </c>
      <c r="N490" s="158">
        <v>43592</v>
      </c>
      <c r="O490" s="164">
        <v>3.9874000000000001</v>
      </c>
      <c r="P490" s="165">
        <v>19525</v>
      </c>
      <c r="Q490" s="34">
        <f>SUMIF(Allocation[Delivery ID],Allocation[[#This Row],[Delivery ID]],Allocation[Quantity Processed])</f>
        <v>30010</v>
      </c>
      <c r="R490" s="61">
        <f>Allocation[[#This Row],[Total volume used]]/VLOOKUP(Allocation[[#This Row],[Delivery ID]],Delivery[[Delivery ID]:[Quantity delivered]],3,FALSE)</f>
        <v>1</v>
      </c>
      <c r="S490" s="34">
        <f>Allocation[[#This Row],[Quantity Processed]]/Allocation[[#This Row],[Dilution rate]]</f>
        <v>13533.333333333332</v>
      </c>
      <c r="T490" s="59">
        <f>SUMIF(Allocation[Delivery ID],Allocation[[#This Row],[Delivery ID]],Allocation[Quantity allocated])/SUMIF(Allocation[Delivery ID],Allocation[[#This Row],[Delivery ID]],Allocation[Volume available (kg)])</f>
        <v>0.88863378873708776</v>
      </c>
      <c r="U490" s="61">
        <f>Allocation[[#This Row],[Total volume used]]/VLOOKUP(Allocation[[#This Row],[Delivery ID]],Delivery[[Delivery ID]:[Quantity delivered]],3,FALSE)</f>
        <v>1</v>
      </c>
      <c r="V490" s="34" t="e">
        <f>VLOOKUP(Allocation[[#This Row],[SAP Contract number]],Shipments[[SAP Contract number]:[Contracted container weight]],2,FALSE)</f>
        <v>#N/A</v>
      </c>
      <c r="W490" s="34" t="e">
        <f>VLOOKUP(Allocation[[#This Row],[SAP Contract number]],Shipments[[SAP Contract number]:[AAA Premium USD]],24,FALSE)</f>
        <v>#N/A</v>
      </c>
      <c r="X490" s="34" t="e">
        <f>VLOOKUP(Allocation[[#This Row],[SAP Contract number]],Shipments[[SAP Contract number]:[RA Premium USD]],25,FALSE)</f>
        <v>#N/A</v>
      </c>
      <c r="Y490" s="38">
        <f>Allocation[[#This Row],[Quantity Processed]]/Allocation[[#This Row],[Quantity allocated]]</f>
        <v>2.3632130384167636</v>
      </c>
      <c r="Z490" s="34" t="b">
        <f>Allocation[[#This Row],[Quantity allocated]]&lt;=Allocation[[#This Row],[Quantity Processed]]</f>
        <v>1</v>
      </c>
    </row>
    <row r="491" spans="1:26">
      <c r="A491" s="247" t="s">
        <v>467</v>
      </c>
      <c r="B491" s="160" t="s">
        <v>68</v>
      </c>
      <c r="C491" s="249" t="s">
        <v>1050</v>
      </c>
      <c r="D491" s="161">
        <v>1590</v>
      </c>
      <c r="E491" s="160" t="s">
        <v>1212</v>
      </c>
      <c r="F491" s="158">
        <v>43495</v>
      </c>
      <c r="G491" s="162">
        <v>2.1</v>
      </c>
      <c r="H491" s="159">
        <v>673</v>
      </c>
      <c r="I491" s="166">
        <v>1428326</v>
      </c>
      <c r="J491" s="163">
        <v>21600</v>
      </c>
      <c r="K491" s="158">
        <v>43499</v>
      </c>
      <c r="L491" s="160" t="s">
        <v>1221</v>
      </c>
      <c r="M491" s="160">
        <v>4615485015</v>
      </c>
      <c r="N491" s="158">
        <v>43592</v>
      </c>
      <c r="O491" s="164">
        <v>3.9874000000000001</v>
      </c>
      <c r="P491" s="165">
        <v>19525</v>
      </c>
      <c r="Q491" s="34">
        <f>SUMIF(Allocation[Delivery ID],Allocation[[#This Row],[Delivery ID]],Allocation[Quantity Processed])</f>
        <v>30010</v>
      </c>
      <c r="R491" s="61">
        <f>Allocation[[#This Row],[Total volume used]]/VLOOKUP(Allocation[[#This Row],[Delivery ID]],Delivery[[Delivery ID]:[Quantity delivered]],3,FALSE)</f>
        <v>1</v>
      </c>
      <c r="S491" s="34">
        <f>Allocation[[#This Row],[Quantity Processed]]/Allocation[[#This Row],[Dilution rate]]</f>
        <v>757.14285714285711</v>
      </c>
      <c r="T491" s="59">
        <f>SUMIF(Allocation[Delivery ID],Allocation[[#This Row],[Delivery ID]],Allocation[Quantity allocated])/SUMIF(Allocation[Delivery ID],Allocation[[#This Row],[Delivery ID]],Allocation[Volume available (kg)])</f>
        <v>0.88863378873708776</v>
      </c>
      <c r="U491" s="61">
        <f>Allocation[[#This Row],[Total volume used]]/VLOOKUP(Allocation[[#This Row],[Delivery ID]],Delivery[[Delivery ID]:[Quantity delivered]],3,FALSE)</f>
        <v>1</v>
      </c>
      <c r="V491" s="34" t="e">
        <f>VLOOKUP(Allocation[[#This Row],[SAP Contract number]],Shipments[[SAP Contract number]:[Contracted container weight]],2,FALSE)</f>
        <v>#N/A</v>
      </c>
      <c r="W491" s="34" t="e">
        <f>VLOOKUP(Allocation[[#This Row],[SAP Contract number]],Shipments[[SAP Contract number]:[AAA Premium USD]],24,FALSE)</f>
        <v>#N/A</v>
      </c>
      <c r="X491" s="34" t="e">
        <f>VLOOKUP(Allocation[[#This Row],[SAP Contract number]],Shipments[[SAP Contract number]:[RA Premium USD]],25,FALSE)</f>
        <v>#N/A</v>
      </c>
      <c r="Y491" s="38">
        <f>Allocation[[#This Row],[Quantity Processed]]/Allocation[[#This Row],[Quantity allocated]]</f>
        <v>2.362555720653789</v>
      </c>
      <c r="Z491" s="34" t="b">
        <f>Allocation[[#This Row],[Quantity allocated]]&lt;=Allocation[[#This Row],[Quantity Processed]]</f>
        <v>1</v>
      </c>
    </row>
    <row r="492" spans="1:26">
      <c r="A492" s="247" t="s">
        <v>467</v>
      </c>
      <c r="B492" s="160" t="s">
        <v>68</v>
      </c>
      <c r="C492" s="249" t="s">
        <v>1051</v>
      </c>
      <c r="D492" s="161">
        <v>30000</v>
      </c>
      <c r="E492" s="160" t="s">
        <v>1212</v>
      </c>
      <c r="F492" s="158">
        <v>43495</v>
      </c>
      <c r="G492" s="162">
        <v>2.1</v>
      </c>
      <c r="H492" s="159">
        <v>12699</v>
      </c>
      <c r="I492" s="166">
        <v>1428326</v>
      </c>
      <c r="J492" s="163">
        <v>21600</v>
      </c>
      <c r="K492" s="158">
        <v>43499</v>
      </c>
      <c r="L492" s="160" t="s">
        <v>1221</v>
      </c>
      <c r="M492" s="160">
        <v>4615485015</v>
      </c>
      <c r="N492" s="158">
        <v>43592</v>
      </c>
      <c r="O492" s="164">
        <v>3.9874000000000001</v>
      </c>
      <c r="P492" s="165">
        <v>19525</v>
      </c>
      <c r="Q492" s="34">
        <f>SUMIF(Allocation[Delivery ID],Allocation[[#This Row],[Delivery ID]],Allocation[Quantity Processed])</f>
        <v>30000</v>
      </c>
      <c r="R492" s="61">
        <f>Allocation[[#This Row],[Total volume used]]/VLOOKUP(Allocation[[#This Row],[Delivery ID]],Delivery[[Delivery ID]:[Quantity delivered]],3,FALSE)</f>
        <v>1</v>
      </c>
      <c r="S492" s="34">
        <f>Allocation[[#This Row],[Quantity Processed]]/Allocation[[#This Row],[Dilution rate]]</f>
        <v>14285.714285714284</v>
      </c>
      <c r="T492" s="59">
        <f>SUMIF(Allocation[Delivery ID],Allocation[[#This Row],[Delivery ID]],Allocation[Quantity allocated])/SUMIF(Allocation[Delivery ID],Allocation[[#This Row],[Delivery ID]],Allocation[Volume available (kg)])</f>
        <v>0.88893000000000011</v>
      </c>
      <c r="U492" s="61">
        <f>Allocation[[#This Row],[Total volume used]]/VLOOKUP(Allocation[[#This Row],[Delivery ID]],Delivery[[Delivery ID]:[Quantity delivered]],3,FALSE)</f>
        <v>1</v>
      </c>
      <c r="V492" s="34" t="e">
        <f>VLOOKUP(Allocation[[#This Row],[SAP Contract number]],Shipments[[SAP Contract number]:[Contracted container weight]],2,FALSE)</f>
        <v>#N/A</v>
      </c>
      <c r="W492" s="34" t="e">
        <f>VLOOKUP(Allocation[[#This Row],[SAP Contract number]],Shipments[[SAP Contract number]:[AAA Premium USD]],24,FALSE)</f>
        <v>#N/A</v>
      </c>
      <c r="X492" s="34" t="e">
        <f>VLOOKUP(Allocation[[#This Row],[SAP Contract number]],Shipments[[SAP Contract number]:[RA Premium USD]],25,FALSE)</f>
        <v>#N/A</v>
      </c>
      <c r="Y492" s="38">
        <f>Allocation[[#This Row],[Quantity Processed]]/Allocation[[#This Row],[Quantity allocated]]</f>
        <v>2.3623907394283012</v>
      </c>
      <c r="Z492" s="34" t="b">
        <f>Allocation[[#This Row],[Quantity allocated]]&lt;=Allocation[[#This Row],[Quantity Processed]]</f>
        <v>1</v>
      </c>
    </row>
    <row r="493" spans="1:26">
      <c r="A493" s="247" t="s">
        <v>467</v>
      </c>
      <c r="B493" s="160" t="s">
        <v>68</v>
      </c>
      <c r="C493" s="249" t="s">
        <v>1052</v>
      </c>
      <c r="D493" s="161">
        <v>19619</v>
      </c>
      <c r="E493" s="160" t="s">
        <v>1212</v>
      </c>
      <c r="F493" s="158">
        <v>43495</v>
      </c>
      <c r="G493" s="162">
        <v>2.1</v>
      </c>
      <c r="H493" s="159">
        <v>8228</v>
      </c>
      <c r="I493" s="166">
        <v>1428326</v>
      </c>
      <c r="J493" s="163">
        <v>21600</v>
      </c>
      <c r="K493" s="158">
        <v>43499</v>
      </c>
      <c r="L493" s="160" t="s">
        <v>1221</v>
      </c>
      <c r="M493" s="160">
        <v>4615485015</v>
      </c>
      <c r="N493" s="158">
        <v>43592</v>
      </c>
      <c r="O493" s="164">
        <v>3.9874000000000001</v>
      </c>
      <c r="P493" s="165">
        <v>19525</v>
      </c>
      <c r="Q493" s="34">
        <f>SUMIF(Allocation[Delivery ID],Allocation[[#This Row],[Delivery ID]],Allocation[Quantity Processed])</f>
        <v>30280</v>
      </c>
      <c r="R493" s="61">
        <f>Allocation[[#This Row],[Total volume used]]/VLOOKUP(Allocation[[#This Row],[Delivery ID]],Delivery[[Delivery ID]:[Quantity delivered]],3,FALSE)</f>
        <v>1</v>
      </c>
      <c r="S493" s="34">
        <f>Allocation[[#This Row],[Quantity Processed]]/Allocation[[#This Row],[Dilution rate]]</f>
        <v>9342.3809523809523</v>
      </c>
      <c r="T493" s="59">
        <f>SUMIF(Allocation[Delivery ID],Allocation[[#This Row],[Delivery ID]],Allocation[Quantity allocated])/SUMIF(Allocation[Delivery ID],Allocation[[#This Row],[Delivery ID]],Allocation[Volume available (kg)])</f>
        <v>0.88071003963011896</v>
      </c>
      <c r="U493" s="61">
        <f>Allocation[[#This Row],[Total volume used]]/VLOOKUP(Allocation[[#This Row],[Delivery ID]],Delivery[[Delivery ID]:[Quantity delivered]],3,FALSE)</f>
        <v>1</v>
      </c>
      <c r="V493" s="34" t="e">
        <f>VLOOKUP(Allocation[[#This Row],[SAP Contract number]],Shipments[[SAP Contract number]:[Contracted container weight]],2,FALSE)</f>
        <v>#N/A</v>
      </c>
      <c r="W493" s="34" t="e">
        <f>VLOOKUP(Allocation[[#This Row],[SAP Contract number]],Shipments[[SAP Contract number]:[AAA Premium USD]],24,FALSE)</f>
        <v>#N/A</v>
      </c>
      <c r="X493" s="34" t="e">
        <f>VLOOKUP(Allocation[[#This Row],[SAP Contract number]],Shipments[[SAP Contract number]:[RA Premium USD]],25,FALSE)</f>
        <v>#N/A</v>
      </c>
      <c r="Y493" s="38">
        <f>Allocation[[#This Row],[Quantity Processed]]/Allocation[[#This Row],[Quantity allocated]]</f>
        <v>2.3844190568789498</v>
      </c>
      <c r="Z493" s="34" t="b">
        <f>Allocation[[#This Row],[Quantity allocated]]&lt;=Allocation[[#This Row],[Quantity Processed]]</f>
        <v>1</v>
      </c>
    </row>
    <row r="494" spans="1:26">
      <c r="A494" s="247" t="s">
        <v>467</v>
      </c>
      <c r="B494" s="160" t="s">
        <v>68</v>
      </c>
      <c r="C494" s="249" t="s">
        <v>1052</v>
      </c>
      <c r="D494" s="161">
        <v>10661</v>
      </c>
      <c r="E494" s="160" t="s">
        <v>1212</v>
      </c>
      <c r="F494" s="158">
        <v>43495</v>
      </c>
      <c r="G494" s="162">
        <v>2.1</v>
      </c>
      <c r="H494" s="159">
        <v>4471</v>
      </c>
      <c r="I494" s="166">
        <v>1428327</v>
      </c>
      <c r="J494" s="163">
        <v>21600</v>
      </c>
      <c r="K494" s="158">
        <v>43499</v>
      </c>
      <c r="L494" s="160" t="s">
        <v>1222</v>
      </c>
      <c r="M494" s="160">
        <v>4615485015</v>
      </c>
      <c r="N494" s="158">
        <v>43592</v>
      </c>
      <c r="O494" s="164">
        <v>3.9874000000000001</v>
      </c>
      <c r="P494" s="165">
        <v>19525</v>
      </c>
      <c r="Q494" s="34">
        <f>SUMIF(Allocation[Delivery ID],Allocation[[#This Row],[Delivery ID]],Allocation[Quantity Processed])</f>
        <v>30280</v>
      </c>
      <c r="R494" s="61">
        <f>Allocation[[#This Row],[Total volume used]]/VLOOKUP(Allocation[[#This Row],[Delivery ID]],Delivery[[Delivery ID]:[Quantity delivered]],3,FALSE)</f>
        <v>1</v>
      </c>
      <c r="S494" s="34">
        <f>Allocation[[#This Row],[Quantity Processed]]/Allocation[[#This Row],[Dilution rate]]</f>
        <v>5076.6666666666661</v>
      </c>
      <c r="T494" s="59">
        <f>SUMIF(Allocation[Delivery ID],Allocation[[#This Row],[Delivery ID]],Allocation[Quantity allocated])/SUMIF(Allocation[Delivery ID],Allocation[[#This Row],[Delivery ID]],Allocation[Volume available (kg)])</f>
        <v>0.88071003963011896</v>
      </c>
      <c r="U494" s="61">
        <f>Allocation[[#This Row],[Total volume used]]/VLOOKUP(Allocation[[#This Row],[Delivery ID]],Delivery[[Delivery ID]:[Quantity delivered]],3,FALSE)</f>
        <v>1</v>
      </c>
      <c r="V494" s="34" t="e">
        <f>VLOOKUP(Allocation[[#This Row],[SAP Contract number]],Shipments[[SAP Contract number]:[Contracted container weight]],2,FALSE)</f>
        <v>#N/A</v>
      </c>
      <c r="W494" s="34" t="e">
        <f>VLOOKUP(Allocation[[#This Row],[SAP Contract number]],Shipments[[SAP Contract number]:[AAA Premium USD]],24,FALSE)</f>
        <v>#N/A</v>
      </c>
      <c r="X494" s="34" t="e">
        <f>VLOOKUP(Allocation[[#This Row],[SAP Contract number]],Shipments[[SAP Contract number]:[RA Premium USD]],25,FALSE)</f>
        <v>#N/A</v>
      </c>
      <c r="Y494" s="38">
        <f>Allocation[[#This Row],[Quantity Processed]]/Allocation[[#This Row],[Quantity allocated]]</f>
        <v>2.3844777454708117</v>
      </c>
      <c r="Z494" s="34" t="b">
        <f>Allocation[[#This Row],[Quantity allocated]]&lt;=Allocation[[#This Row],[Quantity Processed]]</f>
        <v>1</v>
      </c>
    </row>
    <row r="495" spans="1:26">
      <c r="A495" s="247" t="s">
        <v>467</v>
      </c>
      <c r="B495" s="160" t="s">
        <v>68</v>
      </c>
      <c r="C495" s="249" t="s">
        <v>1060</v>
      </c>
      <c r="D495" s="161">
        <v>29700</v>
      </c>
      <c r="E495" s="160" t="s">
        <v>1212</v>
      </c>
      <c r="F495" s="158">
        <v>43495</v>
      </c>
      <c r="G495" s="162">
        <v>2.1</v>
      </c>
      <c r="H495" s="159">
        <v>12699</v>
      </c>
      <c r="I495" s="166">
        <v>1428327</v>
      </c>
      <c r="J495" s="163">
        <v>21600</v>
      </c>
      <c r="K495" s="158">
        <v>43499</v>
      </c>
      <c r="L495" s="160" t="s">
        <v>1222</v>
      </c>
      <c r="M495" s="160">
        <v>4615485015</v>
      </c>
      <c r="N495" s="158">
        <v>43592</v>
      </c>
      <c r="O495" s="164">
        <v>3.9874000000000001</v>
      </c>
      <c r="P495" s="165">
        <v>19525</v>
      </c>
      <c r="Q495" s="34">
        <f>SUMIF(Allocation[Delivery ID],Allocation[[#This Row],[Delivery ID]],Allocation[Quantity Processed])</f>
        <v>29700</v>
      </c>
      <c r="R495" s="61">
        <f>Allocation[[#This Row],[Total volume used]]/VLOOKUP(Allocation[[#This Row],[Delivery ID]],Delivery[[Delivery ID]:[Quantity delivered]],3,FALSE)</f>
        <v>1</v>
      </c>
      <c r="S495" s="34">
        <f>Allocation[[#This Row],[Quantity Processed]]/Allocation[[#This Row],[Dilution rate]]</f>
        <v>14142.857142857143</v>
      </c>
      <c r="T495" s="59">
        <f>SUMIF(Allocation[Delivery ID],Allocation[[#This Row],[Delivery ID]],Allocation[Quantity allocated])/SUMIF(Allocation[Delivery ID],Allocation[[#This Row],[Delivery ID]],Allocation[Volume available (kg)])</f>
        <v>0.89790909090909088</v>
      </c>
      <c r="U495" s="61">
        <f>Allocation[[#This Row],[Total volume used]]/VLOOKUP(Allocation[[#This Row],[Delivery ID]],Delivery[[Delivery ID]:[Quantity delivered]],3,FALSE)</f>
        <v>1</v>
      </c>
      <c r="V495" s="34" t="e">
        <f>VLOOKUP(Allocation[[#This Row],[SAP Contract number]],Shipments[[SAP Contract number]:[Contracted container weight]],2,FALSE)</f>
        <v>#N/A</v>
      </c>
      <c r="W495" s="34" t="e">
        <f>VLOOKUP(Allocation[[#This Row],[SAP Contract number]],Shipments[[SAP Contract number]:[AAA Premium USD]],24,FALSE)</f>
        <v>#N/A</v>
      </c>
      <c r="X495" s="34" t="e">
        <f>VLOOKUP(Allocation[[#This Row],[SAP Contract number]],Shipments[[SAP Contract number]:[RA Premium USD]],25,FALSE)</f>
        <v>#N/A</v>
      </c>
      <c r="Y495" s="38">
        <f>Allocation[[#This Row],[Quantity Processed]]/Allocation[[#This Row],[Quantity allocated]]</f>
        <v>2.3387668320340183</v>
      </c>
      <c r="Z495" s="34" t="b">
        <f>Allocation[[#This Row],[Quantity allocated]]&lt;=Allocation[[#This Row],[Quantity Processed]]</f>
        <v>1</v>
      </c>
    </row>
    <row r="496" spans="1:26">
      <c r="A496" s="247" t="s">
        <v>467</v>
      </c>
      <c r="B496" s="160" t="s">
        <v>68</v>
      </c>
      <c r="C496" s="249" t="s">
        <v>1064</v>
      </c>
      <c r="D496" s="161">
        <v>1245</v>
      </c>
      <c r="E496" s="160" t="s">
        <v>1212</v>
      </c>
      <c r="F496" s="158">
        <v>43495</v>
      </c>
      <c r="G496" s="162">
        <v>2.1</v>
      </c>
      <c r="H496" s="159">
        <v>498</v>
      </c>
      <c r="I496" s="166">
        <v>1428327</v>
      </c>
      <c r="J496" s="163">
        <v>21600</v>
      </c>
      <c r="K496" s="158">
        <v>43499</v>
      </c>
      <c r="L496" s="160" t="s">
        <v>1222</v>
      </c>
      <c r="M496" s="160">
        <v>4615485015</v>
      </c>
      <c r="N496" s="158">
        <v>43592</v>
      </c>
      <c r="O496" s="164">
        <v>3.9874000000000001</v>
      </c>
      <c r="P496" s="165">
        <v>19525</v>
      </c>
      <c r="Q496" s="34">
        <f>SUMIF(Allocation[Delivery ID],Allocation[[#This Row],[Delivery ID]],Allocation[Quantity Processed])</f>
        <v>4700.5</v>
      </c>
      <c r="R496" s="61">
        <f>Allocation[[#This Row],[Total volume used]]/VLOOKUP(Allocation[[#This Row],[Delivery ID]],Delivery[[Delivery ID]:[Quantity delivered]],3,FALSE)</f>
        <v>1</v>
      </c>
      <c r="S496" s="34">
        <f>Allocation[[#This Row],[Quantity Processed]]/Allocation[[#This Row],[Dilution rate]]</f>
        <v>592.85714285714278</v>
      </c>
      <c r="T496" s="59">
        <f>SUMIF(Allocation[Delivery ID],Allocation[[#This Row],[Delivery ID]],Allocation[Quantity allocated])/SUMIF(Allocation[Delivery ID],Allocation[[#This Row],[Delivery ID]],Allocation[Volume available (kg)])</f>
        <v>0.99634426923687691</v>
      </c>
      <c r="U496" s="61">
        <f>Allocation[[#This Row],[Total volume used]]/VLOOKUP(Allocation[[#This Row],[Delivery ID]],Delivery[[Delivery ID]:[Quantity delivered]],3,FALSE)</f>
        <v>1</v>
      </c>
      <c r="V496" s="34" t="e">
        <f>VLOOKUP(Allocation[[#This Row],[SAP Contract number]],Shipments[[SAP Contract number]:[Contracted container weight]],2,FALSE)</f>
        <v>#N/A</v>
      </c>
      <c r="W496" s="34" t="e">
        <f>VLOOKUP(Allocation[[#This Row],[SAP Contract number]],Shipments[[SAP Contract number]:[AAA Premium USD]],24,FALSE)</f>
        <v>#N/A</v>
      </c>
      <c r="X496" s="34" t="e">
        <f>VLOOKUP(Allocation[[#This Row],[SAP Contract number]],Shipments[[SAP Contract number]:[RA Premium USD]],25,FALSE)</f>
        <v>#N/A</v>
      </c>
      <c r="Y496" s="38">
        <f>Allocation[[#This Row],[Quantity Processed]]/Allocation[[#This Row],[Quantity allocated]]</f>
        <v>2.5</v>
      </c>
      <c r="Z496" s="34" t="b">
        <f>Allocation[[#This Row],[Quantity allocated]]&lt;=Allocation[[#This Row],[Quantity Processed]]</f>
        <v>1</v>
      </c>
    </row>
    <row r="497" spans="1:26">
      <c r="A497" s="247" t="s">
        <v>467</v>
      </c>
      <c r="B497" s="160" t="s">
        <v>68</v>
      </c>
      <c r="C497" s="249" t="s">
        <v>1067</v>
      </c>
      <c r="D497" s="161">
        <v>3426</v>
      </c>
      <c r="E497" s="160" t="s">
        <v>1212</v>
      </c>
      <c r="F497" s="158">
        <v>43495</v>
      </c>
      <c r="G497" s="162">
        <v>2.1</v>
      </c>
      <c r="H497" s="159">
        <v>1713</v>
      </c>
      <c r="I497" s="166">
        <v>1428327</v>
      </c>
      <c r="J497" s="163">
        <v>21600</v>
      </c>
      <c r="K497" s="158">
        <v>43499</v>
      </c>
      <c r="L497" s="160" t="s">
        <v>1222</v>
      </c>
      <c r="M497" s="160">
        <v>4615485015</v>
      </c>
      <c r="N497" s="158">
        <v>43592</v>
      </c>
      <c r="O497" s="164">
        <v>3.9874000000000001</v>
      </c>
      <c r="P497" s="165">
        <v>19525</v>
      </c>
      <c r="Q497" s="34">
        <f>SUMIF(Allocation[Delivery ID],Allocation[[#This Row],[Delivery ID]],Allocation[Quantity Processed])</f>
        <v>13526</v>
      </c>
      <c r="R497" s="61">
        <f>Allocation[[#This Row],[Total volume used]]/VLOOKUP(Allocation[[#This Row],[Delivery ID]],Delivery[[Delivery ID]:[Quantity delivered]],3,FALSE)</f>
        <v>0.82682315544959961</v>
      </c>
      <c r="S497" s="34">
        <f>Allocation[[#This Row],[Quantity Processed]]/Allocation[[#This Row],[Dilution rate]]</f>
        <v>1631.4285714285713</v>
      </c>
      <c r="T497" s="59">
        <f>SUMIF(Allocation[Delivery ID],Allocation[[#This Row],[Delivery ID]],Allocation[Quantity allocated])/SUMIF(Allocation[Delivery ID],Allocation[[#This Row],[Delivery ID]],Allocation[Volume available (kg)])</f>
        <v>1.2481077066953579</v>
      </c>
      <c r="U497" s="61">
        <f>Allocation[[#This Row],[Total volume used]]/VLOOKUP(Allocation[[#This Row],[Delivery ID]],Delivery[[Delivery ID]:[Quantity delivered]],3,FALSE)</f>
        <v>0.82682315544959961</v>
      </c>
      <c r="V497" s="34" t="e">
        <f>VLOOKUP(Allocation[[#This Row],[SAP Contract number]],Shipments[[SAP Contract number]:[Contracted container weight]],2,FALSE)</f>
        <v>#N/A</v>
      </c>
      <c r="W497" s="34" t="e">
        <f>VLOOKUP(Allocation[[#This Row],[SAP Contract number]],Shipments[[SAP Contract number]:[AAA Premium USD]],24,FALSE)</f>
        <v>#N/A</v>
      </c>
      <c r="X497" s="34" t="e">
        <f>VLOOKUP(Allocation[[#This Row],[SAP Contract number]],Shipments[[SAP Contract number]:[RA Premium USD]],25,FALSE)</f>
        <v>#N/A</v>
      </c>
      <c r="Y497" s="38">
        <f>Allocation[[#This Row],[Quantity Processed]]/Allocation[[#This Row],[Quantity allocated]]</f>
        <v>2</v>
      </c>
      <c r="Z497" s="34" t="b">
        <f>Allocation[[#This Row],[Quantity allocated]]&lt;=Allocation[[#This Row],[Quantity Processed]]</f>
        <v>1</v>
      </c>
    </row>
    <row r="498" spans="1:26">
      <c r="A498" s="247" t="s">
        <v>467</v>
      </c>
      <c r="B498" s="160" t="s">
        <v>68</v>
      </c>
      <c r="C498" s="249" t="s">
        <v>1071</v>
      </c>
      <c r="D498" s="161">
        <v>7396</v>
      </c>
      <c r="E498" s="160" t="s">
        <v>1212</v>
      </c>
      <c r="F498" s="158">
        <v>43495</v>
      </c>
      <c r="G498" s="162">
        <v>2.1</v>
      </c>
      <c r="H498" s="159">
        <v>2219</v>
      </c>
      <c r="I498" s="166">
        <v>1428327</v>
      </c>
      <c r="J498" s="163">
        <v>21600</v>
      </c>
      <c r="K498" s="158">
        <v>43499</v>
      </c>
      <c r="L498" s="160" t="s">
        <v>1222</v>
      </c>
      <c r="M498" s="160">
        <v>4615485015</v>
      </c>
      <c r="N498" s="158">
        <v>43592</v>
      </c>
      <c r="O498" s="164">
        <v>3.9874000000000001</v>
      </c>
      <c r="P498" s="165">
        <v>19525</v>
      </c>
      <c r="Q498" s="34">
        <f>SUMIF(Allocation[Delivery ID],Allocation[[#This Row],[Delivery ID]],Allocation[Quantity Processed])</f>
        <v>31243</v>
      </c>
      <c r="R498" s="61">
        <f>Allocation[[#This Row],[Total volume used]]/VLOOKUP(Allocation[[#This Row],[Delivery ID]],Delivery[[Delivery ID]:[Quantity delivered]],3,FALSE)</f>
        <v>1</v>
      </c>
      <c r="S498" s="34">
        <f>Allocation[[#This Row],[Quantity Processed]]/Allocation[[#This Row],[Dilution rate]]</f>
        <v>3521.9047619047619</v>
      </c>
      <c r="T498" s="59">
        <f>SUMIF(Allocation[Delivery ID],Allocation[[#This Row],[Delivery ID]],Allocation[Quantity allocated])/SUMIF(Allocation[Delivery ID],Allocation[[#This Row],[Delivery ID]],Allocation[Volume available (kg)])</f>
        <v>0.78364678265018262</v>
      </c>
      <c r="U498" s="61">
        <f>Allocation[[#This Row],[Total volume used]]/VLOOKUP(Allocation[[#This Row],[Delivery ID]],Delivery[[Delivery ID]:[Quantity delivered]],3,FALSE)</f>
        <v>1</v>
      </c>
      <c r="V498" s="34" t="e">
        <f>VLOOKUP(Allocation[[#This Row],[SAP Contract number]],Shipments[[SAP Contract number]:[Contracted container weight]],2,FALSE)</f>
        <v>#N/A</v>
      </c>
      <c r="W498" s="34" t="e">
        <f>VLOOKUP(Allocation[[#This Row],[SAP Contract number]],Shipments[[SAP Contract number]:[AAA Premium USD]],24,FALSE)</f>
        <v>#N/A</v>
      </c>
      <c r="X498" s="34" t="e">
        <f>VLOOKUP(Allocation[[#This Row],[SAP Contract number]],Shipments[[SAP Contract number]:[RA Premium USD]],25,FALSE)</f>
        <v>#N/A</v>
      </c>
      <c r="Y498" s="38">
        <f>Allocation[[#This Row],[Quantity Processed]]/Allocation[[#This Row],[Quantity allocated]]</f>
        <v>3.3330328977016674</v>
      </c>
      <c r="Z498" s="34" t="b">
        <f>Allocation[[#This Row],[Quantity allocated]]&lt;=Allocation[[#This Row],[Quantity Processed]]</f>
        <v>1</v>
      </c>
    </row>
    <row r="499" spans="1:26">
      <c r="A499" s="247" t="s">
        <v>467</v>
      </c>
      <c r="B499" s="160" t="s">
        <v>68</v>
      </c>
      <c r="C499" s="249" t="s">
        <v>1071</v>
      </c>
      <c r="D499" s="161">
        <v>3397</v>
      </c>
      <c r="E499" s="160" t="s">
        <v>1212</v>
      </c>
      <c r="F499" s="158">
        <v>43495</v>
      </c>
      <c r="G499" s="162">
        <v>2.1</v>
      </c>
      <c r="H499" s="159">
        <v>1019</v>
      </c>
      <c r="I499" s="166">
        <v>1428328</v>
      </c>
      <c r="J499" s="163">
        <v>21600</v>
      </c>
      <c r="K499" s="158">
        <v>43499</v>
      </c>
      <c r="L499" s="160" t="s">
        <v>1223</v>
      </c>
      <c r="M499" s="160">
        <v>4615485015</v>
      </c>
      <c r="N499" s="158">
        <v>43592</v>
      </c>
      <c r="O499" s="164">
        <v>3.9874000000000001</v>
      </c>
      <c r="P499" s="165">
        <v>19525</v>
      </c>
      <c r="Q499" s="34">
        <f>SUMIF(Allocation[Delivery ID],Allocation[[#This Row],[Delivery ID]],Allocation[Quantity Processed])</f>
        <v>31243</v>
      </c>
      <c r="R499" s="61">
        <f>Allocation[[#This Row],[Total volume used]]/VLOOKUP(Allocation[[#This Row],[Delivery ID]],Delivery[[Delivery ID]:[Quantity delivered]],3,FALSE)</f>
        <v>1</v>
      </c>
      <c r="S499" s="34">
        <f>Allocation[[#This Row],[Quantity Processed]]/Allocation[[#This Row],[Dilution rate]]</f>
        <v>1617.6190476190475</v>
      </c>
      <c r="T499" s="59">
        <f>SUMIF(Allocation[Delivery ID],Allocation[[#This Row],[Delivery ID]],Allocation[Quantity allocated])/SUMIF(Allocation[Delivery ID],Allocation[[#This Row],[Delivery ID]],Allocation[Volume available (kg)])</f>
        <v>0.78364678265018262</v>
      </c>
      <c r="U499" s="61">
        <f>Allocation[[#This Row],[Total volume used]]/VLOOKUP(Allocation[[#This Row],[Delivery ID]],Delivery[[Delivery ID]:[Quantity delivered]],3,FALSE)</f>
        <v>1</v>
      </c>
      <c r="V499" s="34" t="e">
        <f>VLOOKUP(Allocation[[#This Row],[SAP Contract number]],Shipments[[SAP Contract number]:[Contracted container weight]],2,FALSE)</f>
        <v>#N/A</v>
      </c>
      <c r="W499" s="34" t="e">
        <f>VLOOKUP(Allocation[[#This Row],[SAP Contract number]],Shipments[[SAP Contract number]:[AAA Premium USD]],24,FALSE)</f>
        <v>#N/A</v>
      </c>
      <c r="X499" s="34" t="e">
        <f>VLOOKUP(Allocation[[#This Row],[SAP Contract number]],Shipments[[SAP Contract number]:[RA Premium USD]],25,FALSE)</f>
        <v>#N/A</v>
      </c>
      <c r="Y499" s="38">
        <f>Allocation[[#This Row],[Quantity Processed]]/Allocation[[#This Row],[Quantity allocated]]</f>
        <v>3.3336604514229635</v>
      </c>
      <c r="Z499" s="34" t="b">
        <f>Allocation[[#This Row],[Quantity allocated]]&lt;=Allocation[[#This Row],[Quantity Processed]]</f>
        <v>1</v>
      </c>
    </row>
    <row r="500" spans="1:26">
      <c r="A500" s="247" t="s">
        <v>467</v>
      </c>
      <c r="B500" s="160" t="s">
        <v>68</v>
      </c>
      <c r="C500" s="249" t="s">
        <v>1072</v>
      </c>
      <c r="D500" s="161">
        <v>28861</v>
      </c>
      <c r="E500" s="160" t="s">
        <v>1212</v>
      </c>
      <c r="F500" s="158">
        <v>43495</v>
      </c>
      <c r="G500" s="162">
        <v>2.1</v>
      </c>
      <c r="H500" s="159">
        <v>12699</v>
      </c>
      <c r="I500" s="166">
        <v>1428328</v>
      </c>
      <c r="J500" s="163">
        <v>21600</v>
      </c>
      <c r="K500" s="158">
        <v>43499</v>
      </c>
      <c r="L500" s="160" t="s">
        <v>1223</v>
      </c>
      <c r="M500" s="160">
        <v>4615485015</v>
      </c>
      <c r="N500" s="158">
        <v>43592</v>
      </c>
      <c r="O500" s="164">
        <v>3.9874000000000001</v>
      </c>
      <c r="P500" s="165">
        <v>19525</v>
      </c>
      <c r="Q500" s="34">
        <f>SUMIF(Allocation[Delivery ID],Allocation[[#This Row],[Delivery ID]],Allocation[Quantity Processed])</f>
        <v>30040</v>
      </c>
      <c r="R500" s="61">
        <f>Allocation[[#This Row],[Total volume used]]/VLOOKUP(Allocation[[#This Row],[Delivery ID]],Delivery[[Delivery ID]:[Quantity delivered]],3,FALSE)</f>
        <v>1</v>
      </c>
      <c r="S500" s="34">
        <f>Allocation[[#This Row],[Quantity Processed]]/Allocation[[#This Row],[Dilution rate]]</f>
        <v>13743.333333333332</v>
      </c>
      <c r="T500" s="59">
        <f>SUMIF(Allocation[Delivery ID],Allocation[[#This Row],[Delivery ID]],Allocation[Quantity allocated])/SUMIF(Allocation[Delivery ID],Allocation[[#This Row],[Delivery ID]],Allocation[Volume available (kg)])</f>
        <v>0.94237863643458852</v>
      </c>
      <c r="U500" s="61">
        <f>Allocation[[#This Row],[Total volume used]]/VLOOKUP(Allocation[[#This Row],[Delivery ID]],Delivery[[Delivery ID]:[Quantity delivered]],3,FALSE)</f>
        <v>1</v>
      </c>
      <c r="V500" s="34" t="e">
        <f>VLOOKUP(Allocation[[#This Row],[SAP Contract number]],Shipments[[SAP Contract number]:[Contracted container weight]],2,FALSE)</f>
        <v>#N/A</v>
      </c>
      <c r="W500" s="34" t="e">
        <f>VLOOKUP(Allocation[[#This Row],[SAP Contract number]],Shipments[[SAP Contract number]:[AAA Premium USD]],24,FALSE)</f>
        <v>#N/A</v>
      </c>
      <c r="X500" s="34" t="e">
        <f>VLOOKUP(Allocation[[#This Row],[SAP Contract number]],Shipments[[SAP Contract number]:[RA Premium USD]],25,FALSE)</f>
        <v>#N/A</v>
      </c>
      <c r="Y500" s="38">
        <f>Allocation[[#This Row],[Quantity Processed]]/Allocation[[#This Row],[Quantity allocated]]</f>
        <v>2.272698637688007</v>
      </c>
      <c r="Z500" s="34" t="b">
        <f>Allocation[[#This Row],[Quantity allocated]]&lt;=Allocation[[#This Row],[Quantity Processed]]</f>
        <v>1</v>
      </c>
    </row>
    <row r="501" spans="1:26">
      <c r="A501" s="247" t="s">
        <v>467</v>
      </c>
      <c r="B501" s="160" t="s">
        <v>68</v>
      </c>
      <c r="C501" s="249" t="s">
        <v>1073</v>
      </c>
      <c r="D501" s="161">
        <v>17913</v>
      </c>
      <c r="E501" s="160" t="s">
        <v>1212</v>
      </c>
      <c r="F501" s="158">
        <v>43495</v>
      </c>
      <c r="G501" s="162">
        <v>2.1</v>
      </c>
      <c r="H501" s="159">
        <v>7882</v>
      </c>
      <c r="I501" s="166">
        <v>1428328</v>
      </c>
      <c r="J501" s="163">
        <v>21600</v>
      </c>
      <c r="K501" s="158">
        <v>43499</v>
      </c>
      <c r="L501" s="160" t="s">
        <v>1223</v>
      </c>
      <c r="M501" s="160">
        <v>4615485015</v>
      </c>
      <c r="N501" s="158">
        <v>43592</v>
      </c>
      <c r="O501" s="164">
        <v>3.9874000000000001</v>
      </c>
      <c r="P501" s="165">
        <v>19525</v>
      </c>
      <c r="Q501" s="34">
        <f>SUMIF(Allocation[Delivery ID],Allocation[[#This Row],[Delivery ID]],Allocation[Quantity Processed])</f>
        <v>30150</v>
      </c>
      <c r="R501" s="61">
        <f>Allocation[[#This Row],[Total volume used]]/VLOOKUP(Allocation[[#This Row],[Delivery ID]],Delivery[[Delivery ID]:[Quantity delivered]],3,FALSE)</f>
        <v>1</v>
      </c>
      <c r="S501" s="34">
        <f>Allocation[[#This Row],[Quantity Processed]]/Allocation[[#This Row],[Dilution rate]]</f>
        <v>8530</v>
      </c>
      <c r="T501" s="59">
        <f>SUMIF(Allocation[Delivery ID],Allocation[[#This Row],[Delivery ID]],Allocation[Quantity allocated])/SUMIF(Allocation[Delivery ID],Allocation[[#This Row],[Delivery ID]],Allocation[Volume available (kg)])</f>
        <v>0.93979997096973344</v>
      </c>
      <c r="U501" s="61">
        <f>Allocation[[#This Row],[Total volume used]]/VLOOKUP(Allocation[[#This Row],[Delivery ID]],Delivery[[Delivery ID]:[Quantity delivered]],3,FALSE)</f>
        <v>1</v>
      </c>
      <c r="V501" s="34" t="e">
        <f>VLOOKUP(Allocation[[#This Row],[SAP Contract number]],Shipments[[SAP Contract number]:[Contracted container weight]],2,FALSE)</f>
        <v>#N/A</v>
      </c>
      <c r="W501" s="34" t="e">
        <f>VLOOKUP(Allocation[[#This Row],[SAP Contract number]],Shipments[[SAP Contract number]:[AAA Premium USD]],24,FALSE)</f>
        <v>#N/A</v>
      </c>
      <c r="X501" s="34" t="e">
        <f>VLOOKUP(Allocation[[#This Row],[SAP Contract number]],Shipments[[SAP Contract number]:[RA Premium USD]],25,FALSE)</f>
        <v>#N/A</v>
      </c>
      <c r="Y501" s="38">
        <f>Allocation[[#This Row],[Quantity Processed]]/Allocation[[#This Row],[Quantity allocated]]</f>
        <v>2.2726465364120783</v>
      </c>
      <c r="Z501" s="34" t="b">
        <f>Allocation[[#This Row],[Quantity allocated]]&lt;=Allocation[[#This Row],[Quantity Processed]]</f>
        <v>1</v>
      </c>
    </row>
    <row r="502" spans="1:26">
      <c r="A502" s="247" t="s">
        <v>467</v>
      </c>
      <c r="B502" s="160" t="s">
        <v>68</v>
      </c>
      <c r="C502" s="249" t="s">
        <v>1073</v>
      </c>
      <c r="D502" s="161">
        <v>10948</v>
      </c>
      <c r="E502" s="160" t="s">
        <v>1212</v>
      </c>
      <c r="F502" s="158">
        <v>43495</v>
      </c>
      <c r="G502" s="162">
        <v>2.1</v>
      </c>
      <c r="H502" s="159">
        <v>4817</v>
      </c>
      <c r="I502" s="166">
        <v>1428329</v>
      </c>
      <c r="J502" s="163">
        <v>21600</v>
      </c>
      <c r="K502" s="158">
        <v>43499</v>
      </c>
      <c r="L502" s="160" t="s">
        <v>1224</v>
      </c>
      <c r="M502" s="160">
        <v>4615485015</v>
      </c>
      <c r="N502" s="158">
        <v>43592</v>
      </c>
      <c r="O502" s="164">
        <v>3.9874000000000001</v>
      </c>
      <c r="P502" s="165">
        <v>19525</v>
      </c>
      <c r="Q502" s="34">
        <f>SUMIF(Allocation[Delivery ID],Allocation[[#This Row],[Delivery ID]],Allocation[Quantity Processed])</f>
        <v>30150</v>
      </c>
      <c r="R502" s="61">
        <f>Allocation[[#This Row],[Total volume used]]/VLOOKUP(Allocation[[#This Row],[Delivery ID]],Delivery[[Delivery ID]:[Quantity delivered]],3,FALSE)</f>
        <v>1</v>
      </c>
      <c r="S502" s="34">
        <f>Allocation[[#This Row],[Quantity Processed]]/Allocation[[#This Row],[Dilution rate]]</f>
        <v>5213.333333333333</v>
      </c>
      <c r="T502" s="59">
        <f>SUMIF(Allocation[Delivery ID],Allocation[[#This Row],[Delivery ID]],Allocation[Quantity allocated])/SUMIF(Allocation[Delivery ID],Allocation[[#This Row],[Delivery ID]],Allocation[Volume available (kg)])</f>
        <v>0.93979997096973344</v>
      </c>
      <c r="U502" s="61">
        <f>Allocation[[#This Row],[Total volume used]]/VLOOKUP(Allocation[[#This Row],[Delivery ID]],Delivery[[Delivery ID]:[Quantity delivered]],3,FALSE)</f>
        <v>1</v>
      </c>
      <c r="V502" s="34" t="e">
        <f>VLOOKUP(Allocation[[#This Row],[SAP Contract number]],Shipments[[SAP Contract number]:[Contracted container weight]],2,FALSE)</f>
        <v>#N/A</v>
      </c>
      <c r="W502" s="34" t="e">
        <f>VLOOKUP(Allocation[[#This Row],[SAP Contract number]],Shipments[[SAP Contract number]:[AAA Premium USD]],24,FALSE)</f>
        <v>#N/A</v>
      </c>
      <c r="X502" s="34" t="e">
        <f>VLOOKUP(Allocation[[#This Row],[SAP Contract number]],Shipments[[SAP Contract number]:[RA Premium USD]],25,FALSE)</f>
        <v>#N/A</v>
      </c>
      <c r="Y502" s="38">
        <f>Allocation[[#This Row],[Quantity Processed]]/Allocation[[#This Row],[Quantity allocated]]</f>
        <v>2.2727838903882085</v>
      </c>
      <c r="Z502" s="34" t="b">
        <f>Allocation[[#This Row],[Quantity allocated]]&lt;=Allocation[[#This Row],[Quantity Processed]]</f>
        <v>1</v>
      </c>
    </row>
    <row r="503" spans="1:26">
      <c r="A503" s="247" t="s">
        <v>467</v>
      </c>
      <c r="B503" s="160" t="s">
        <v>68</v>
      </c>
      <c r="C503" s="249" t="s">
        <v>1074</v>
      </c>
      <c r="D503" s="161">
        <v>9564</v>
      </c>
      <c r="E503" s="160" t="s">
        <v>1212</v>
      </c>
      <c r="F503" s="158">
        <v>43495</v>
      </c>
      <c r="G503" s="162">
        <v>2.1</v>
      </c>
      <c r="H503" s="159">
        <v>3156</v>
      </c>
      <c r="I503" s="166">
        <v>1428329</v>
      </c>
      <c r="J503" s="163">
        <v>21600</v>
      </c>
      <c r="K503" s="158">
        <v>43499</v>
      </c>
      <c r="L503" s="160" t="s">
        <v>1224</v>
      </c>
      <c r="M503" s="160">
        <v>4615485015</v>
      </c>
      <c r="N503" s="158">
        <v>43592</v>
      </c>
      <c r="O503" s="164">
        <v>3.9874000000000001</v>
      </c>
      <c r="P503" s="165">
        <v>19525</v>
      </c>
      <c r="Q503" s="34">
        <f>SUMIF(Allocation[Delivery ID],Allocation[[#This Row],[Delivery ID]],Allocation[Quantity Processed])</f>
        <v>30070</v>
      </c>
      <c r="R503" s="61">
        <f>Allocation[[#This Row],[Total volume used]]/VLOOKUP(Allocation[[#This Row],[Delivery ID]],Delivery[[Delivery ID]:[Quantity delivered]],3,FALSE)</f>
        <v>1</v>
      </c>
      <c r="S503" s="34">
        <f>Allocation[[#This Row],[Quantity Processed]]/Allocation[[#This Row],[Dilution rate]]</f>
        <v>4554.2857142857138</v>
      </c>
      <c r="T503" s="59">
        <f>SUMIF(Allocation[Delivery ID],Allocation[[#This Row],[Delivery ID]],Allocation[Quantity allocated])/SUMIF(Allocation[Delivery ID],Allocation[[#This Row],[Delivery ID]],Allocation[Volume available (kg)])</f>
        <v>0.81441196854888298</v>
      </c>
      <c r="U503" s="61">
        <f>Allocation[[#This Row],[Total volume used]]/VLOOKUP(Allocation[[#This Row],[Delivery ID]],Delivery[[Delivery ID]:[Quantity delivered]],3,FALSE)</f>
        <v>1</v>
      </c>
      <c r="V503" s="34" t="e">
        <f>VLOOKUP(Allocation[[#This Row],[SAP Contract number]],Shipments[[SAP Contract number]:[Contracted container weight]],2,FALSE)</f>
        <v>#N/A</v>
      </c>
      <c r="W503" s="34" t="e">
        <f>VLOOKUP(Allocation[[#This Row],[SAP Contract number]],Shipments[[SAP Contract number]:[AAA Premium USD]],24,FALSE)</f>
        <v>#N/A</v>
      </c>
      <c r="X503" s="34" t="e">
        <f>VLOOKUP(Allocation[[#This Row],[SAP Contract number]],Shipments[[SAP Contract number]:[RA Premium USD]],25,FALSE)</f>
        <v>#N/A</v>
      </c>
      <c r="Y503" s="38">
        <f>Allocation[[#This Row],[Quantity Processed]]/Allocation[[#This Row],[Quantity allocated]]</f>
        <v>3.0304182509505702</v>
      </c>
      <c r="Z503" s="34" t="b">
        <f>Allocation[[#This Row],[Quantity allocated]]&lt;=Allocation[[#This Row],[Quantity Processed]]</f>
        <v>1</v>
      </c>
    </row>
    <row r="504" spans="1:26">
      <c r="A504" s="247" t="s">
        <v>467</v>
      </c>
      <c r="B504" s="160" t="s">
        <v>68</v>
      </c>
      <c r="C504" s="249" t="s">
        <v>1076</v>
      </c>
      <c r="D504" s="161">
        <v>2238</v>
      </c>
      <c r="E504" s="160" t="s">
        <v>1212</v>
      </c>
      <c r="F504" s="158">
        <v>43495</v>
      </c>
      <c r="G504" s="162">
        <v>2.1</v>
      </c>
      <c r="H504" s="159">
        <v>1298</v>
      </c>
      <c r="I504" s="166">
        <v>1428329</v>
      </c>
      <c r="J504" s="163">
        <v>21600</v>
      </c>
      <c r="K504" s="158">
        <v>43499</v>
      </c>
      <c r="L504" s="160" t="s">
        <v>1224</v>
      </c>
      <c r="M504" s="160">
        <v>4615485015</v>
      </c>
      <c r="N504" s="158">
        <v>43592</v>
      </c>
      <c r="O504" s="164">
        <v>3.9874000000000001</v>
      </c>
      <c r="P504" s="165">
        <v>19525</v>
      </c>
      <c r="Q504" s="34">
        <f>SUMIF(Allocation[Delivery ID],Allocation[[#This Row],[Delivery ID]],Allocation[Quantity Processed])</f>
        <v>8805</v>
      </c>
      <c r="R504" s="61">
        <f>Allocation[[#This Row],[Total volume used]]/VLOOKUP(Allocation[[#This Row],[Delivery ID]],Delivery[[Delivery ID]:[Quantity delivered]],3,FALSE)</f>
        <v>0.71341759844433639</v>
      </c>
      <c r="S504" s="34">
        <f>Allocation[[#This Row],[Quantity Processed]]/Allocation[[#This Row],[Dilution rate]]</f>
        <v>1065.7142857142858</v>
      </c>
      <c r="T504" s="59">
        <f>SUMIF(Allocation[Delivery ID],Allocation[[#This Row],[Delivery ID]],Allocation[Quantity allocated])/SUMIF(Allocation[Delivery ID],Allocation[[#This Row],[Delivery ID]],Allocation[Volume available (kg)])</f>
        <v>1.4474976748977335</v>
      </c>
      <c r="U504" s="61">
        <f>Allocation[[#This Row],[Total volume used]]/VLOOKUP(Allocation[[#This Row],[Delivery ID]],Delivery[[Delivery ID]:[Quantity delivered]],3,FALSE)</f>
        <v>0.71341759844433639</v>
      </c>
      <c r="V504" s="34" t="e">
        <f>VLOOKUP(Allocation[[#This Row],[SAP Contract number]],Shipments[[SAP Contract number]:[Contracted container weight]],2,FALSE)</f>
        <v>#N/A</v>
      </c>
      <c r="W504" s="34" t="e">
        <f>VLOOKUP(Allocation[[#This Row],[SAP Contract number]],Shipments[[SAP Contract number]:[AAA Premium USD]],24,FALSE)</f>
        <v>#N/A</v>
      </c>
      <c r="X504" s="34" t="e">
        <f>VLOOKUP(Allocation[[#This Row],[SAP Contract number]],Shipments[[SAP Contract number]:[RA Premium USD]],25,FALSE)</f>
        <v>#N/A</v>
      </c>
      <c r="Y504" s="38">
        <f>Allocation[[#This Row],[Quantity Processed]]/Allocation[[#This Row],[Quantity allocated]]</f>
        <v>1.724191063174114</v>
      </c>
      <c r="Z504" s="34" t="b">
        <f>Allocation[[#This Row],[Quantity allocated]]&lt;=Allocation[[#This Row],[Quantity Processed]]</f>
        <v>1</v>
      </c>
    </row>
    <row r="505" spans="1:26">
      <c r="A505" s="247" t="s">
        <v>467</v>
      </c>
      <c r="B505" s="160" t="s">
        <v>68</v>
      </c>
      <c r="C505" s="249" t="s">
        <v>1077</v>
      </c>
      <c r="D505" s="161">
        <v>28020</v>
      </c>
      <c r="E505" s="160" t="s">
        <v>1212</v>
      </c>
      <c r="F505" s="158">
        <v>43495</v>
      </c>
      <c r="G505" s="162">
        <v>2.1</v>
      </c>
      <c r="H505" s="159">
        <v>12329</v>
      </c>
      <c r="I505" s="166">
        <v>1428329</v>
      </c>
      <c r="J505" s="163">
        <v>21600</v>
      </c>
      <c r="K505" s="158">
        <v>43499</v>
      </c>
      <c r="L505" s="160" t="s">
        <v>1224</v>
      </c>
      <c r="M505" s="160">
        <v>4615485015</v>
      </c>
      <c r="N505" s="158">
        <v>43592</v>
      </c>
      <c r="O505" s="164">
        <v>3.9874000000000001</v>
      </c>
      <c r="P505" s="165">
        <v>19525</v>
      </c>
      <c r="Q505" s="34">
        <f>SUMIF(Allocation[Delivery ID],Allocation[[#This Row],[Delivery ID]],Allocation[Quantity Processed])</f>
        <v>30130</v>
      </c>
      <c r="R505" s="61">
        <f>Allocation[[#This Row],[Total volume used]]/VLOOKUP(Allocation[[#This Row],[Delivery ID]],Delivery[[Delivery ID]:[Quantity delivered]],3,FALSE)</f>
        <v>1</v>
      </c>
      <c r="S505" s="34">
        <f>Allocation[[#This Row],[Quantity Processed]]/Allocation[[#This Row],[Dilution rate]]</f>
        <v>13342.857142857143</v>
      </c>
      <c r="T505" s="59">
        <f>SUMIF(Allocation[Delivery ID],Allocation[[#This Row],[Delivery ID]],Allocation[Quantity allocated])/SUMIF(Allocation[Delivery ID],Allocation[[#This Row],[Delivery ID]],Allocation[Volume available (kg)])</f>
        <v>0.94029328961343239</v>
      </c>
      <c r="U505" s="61">
        <f>Allocation[[#This Row],[Total volume used]]/VLOOKUP(Allocation[[#This Row],[Delivery ID]],Delivery[[Delivery ID]:[Quantity delivered]],3,FALSE)</f>
        <v>1</v>
      </c>
      <c r="V505" s="34" t="e">
        <f>VLOOKUP(Allocation[[#This Row],[SAP Contract number]],Shipments[[SAP Contract number]:[Contracted container weight]],2,FALSE)</f>
        <v>#N/A</v>
      </c>
      <c r="W505" s="34" t="e">
        <f>VLOOKUP(Allocation[[#This Row],[SAP Contract number]],Shipments[[SAP Contract number]:[AAA Premium USD]],24,FALSE)</f>
        <v>#N/A</v>
      </c>
      <c r="X505" s="34" t="e">
        <f>VLOOKUP(Allocation[[#This Row],[SAP Contract number]],Shipments[[SAP Contract number]:[RA Premium USD]],25,FALSE)</f>
        <v>#N/A</v>
      </c>
      <c r="Y505" s="38">
        <f>Allocation[[#This Row],[Quantity Processed]]/Allocation[[#This Row],[Quantity allocated]]</f>
        <v>2.2726904047367995</v>
      </c>
      <c r="Z505" s="34" t="b">
        <f>Allocation[[#This Row],[Quantity allocated]]&lt;=Allocation[[#This Row],[Quantity Processed]]</f>
        <v>1</v>
      </c>
    </row>
    <row r="506" spans="1:26">
      <c r="A506" s="247" t="s">
        <v>467</v>
      </c>
      <c r="B506" s="160" t="s">
        <v>68</v>
      </c>
      <c r="C506" s="249" t="s">
        <v>1077</v>
      </c>
      <c r="D506" s="161">
        <v>841</v>
      </c>
      <c r="E506" s="160" t="s">
        <v>1212</v>
      </c>
      <c r="F506" s="158">
        <v>43495</v>
      </c>
      <c r="G506" s="162">
        <v>2.1</v>
      </c>
      <c r="H506" s="159">
        <v>370</v>
      </c>
      <c r="I506" s="160">
        <v>1429587</v>
      </c>
      <c r="J506" s="163">
        <v>21600</v>
      </c>
      <c r="K506" s="158">
        <v>43513</v>
      </c>
      <c r="L506" s="160" t="s">
        <v>1225</v>
      </c>
      <c r="M506" s="160">
        <v>4615485015</v>
      </c>
      <c r="N506" s="158">
        <v>43621</v>
      </c>
      <c r="O506" s="164">
        <v>3.8605</v>
      </c>
      <c r="P506" s="165">
        <v>19526</v>
      </c>
      <c r="Q506" s="34">
        <f>SUMIF(Allocation[Delivery ID],Allocation[[#This Row],[Delivery ID]],Allocation[Quantity Processed])</f>
        <v>30130</v>
      </c>
      <c r="R506" s="61">
        <f>Allocation[[#This Row],[Total volume used]]/VLOOKUP(Allocation[[#This Row],[Delivery ID]],Delivery[[Delivery ID]:[Quantity delivered]],3,FALSE)</f>
        <v>1</v>
      </c>
      <c r="S506" s="34">
        <f>Allocation[[#This Row],[Quantity Processed]]/Allocation[[#This Row],[Dilution rate]]</f>
        <v>400.47619047619048</v>
      </c>
      <c r="T506" s="59">
        <f>SUMIF(Allocation[Delivery ID],Allocation[[#This Row],[Delivery ID]],Allocation[Quantity allocated])/SUMIF(Allocation[Delivery ID],Allocation[[#This Row],[Delivery ID]],Allocation[Volume available (kg)])</f>
        <v>0.94029328961343239</v>
      </c>
      <c r="U506" s="61">
        <f>Allocation[[#This Row],[Total volume used]]/VLOOKUP(Allocation[[#This Row],[Delivery ID]],Delivery[[Delivery ID]:[Quantity delivered]],3,FALSE)</f>
        <v>1</v>
      </c>
      <c r="V506" s="34" t="e">
        <f>VLOOKUP(Allocation[[#This Row],[SAP Contract number]],Shipments[[SAP Contract number]:[Contracted container weight]],2,FALSE)</f>
        <v>#N/A</v>
      </c>
      <c r="W506" s="34" t="e">
        <f>VLOOKUP(Allocation[[#This Row],[SAP Contract number]],Shipments[[SAP Contract number]:[AAA Premium USD]],24,FALSE)</f>
        <v>#N/A</v>
      </c>
      <c r="X506" s="34" t="e">
        <f>VLOOKUP(Allocation[[#This Row],[SAP Contract number]],Shipments[[SAP Contract number]:[RA Premium USD]],25,FALSE)</f>
        <v>#N/A</v>
      </c>
      <c r="Y506" s="38">
        <f>Allocation[[#This Row],[Quantity Processed]]/Allocation[[#This Row],[Quantity allocated]]</f>
        <v>2.2729729729729731</v>
      </c>
      <c r="Z506" s="34" t="b">
        <f>Allocation[[#This Row],[Quantity allocated]]&lt;=Allocation[[#This Row],[Quantity Processed]]</f>
        <v>1</v>
      </c>
    </row>
    <row r="507" spans="1:26">
      <c r="A507" s="247" t="s">
        <v>467</v>
      </c>
      <c r="B507" s="160" t="s">
        <v>68</v>
      </c>
      <c r="C507" s="249" t="s">
        <v>1078</v>
      </c>
      <c r="D507" s="161">
        <v>4862</v>
      </c>
      <c r="E507" s="160" t="s">
        <v>1212</v>
      </c>
      <c r="F507" s="158">
        <v>43495</v>
      </c>
      <c r="G507" s="162">
        <v>2.1</v>
      </c>
      <c r="H507" s="159">
        <v>1896</v>
      </c>
      <c r="I507" s="160">
        <v>1429587</v>
      </c>
      <c r="J507" s="163">
        <v>21600</v>
      </c>
      <c r="K507" s="158">
        <v>43513</v>
      </c>
      <c r="L507" s="160" t="s">
        <v>1225</v>
      </c>
      <c r="M507" s="160">
        <v>4615485015</v>
      </c>
      <c r="N507" s="158">
        <v>43621</v>
      </c>
      <c r="O507" s="164">
        <v>3.8605</v>
      </c>
      <c r="P507" s="165">
        <v>19526</v>
      </c>
      <c r="Q507" s="34">
        <f>SUMIF(Allocation[Delivery ID],Allocation[[#This Row],[Delivery ID]],Allocation[Quantity Processed])</f>
        <v>18130</v>
      </c>
      <c r="R507" s="61">
        <f>Allocation[[#This Row],[Total volume used]]/VLOOKUP(Allocation[[#This Row],[Delivery ID]],Delivery[[Delivery ID]:[Quantity delivered]],3,FALSE)</f>
        <v>1</v>
      </c>
      <c r="S507" s="34">
        <f>Allocation[[#This Row],[Quantity Processed]]/Allocation[[#This Row],[Dilution rate]]</f>
        <v>2315.238095238095</v>
      </c>
      <c r="T507" s="59">
        <f>SUMIF(Allocation[Delivery ID],Allocation[[#This Row],[Delivery ID]],Allocation[Quantity allocated])/SUMIF(Allocation[Delivery ID],Allocation[[#This Row],[Delivery ID]],Allocation[Volume available (kg)])</f>
        <v>0.97337423777567733</v>
      </c>
      <c r="U507" s="61">
        <f>Allocation[[#This Row],[Total volume used]]/VLOOKUP(Allocation[[#This Row],[Delivery ID]],Delivery[[Delivery ID]:[Quantity delivered]],3,FALSE)</f>
        <v>1</v>
      </c>
      <c r="V507" s="34" t="e">
        <f>VLOOKUP(Allocation[[#This Row],[SAP Contract number]],Shipments[[SAP Contract number]:[Contracted container weight]],2,FALSE)</f>
        <v>#N/A</v>
      </c>
      <c r="W507" s="34" t="e">
        <f>VLOOKUP(Allocation[[#This Row],[SAP Contract number]],Shipments[[SAP Contract number]:[AAA Premium USD]],24,FALSE)</f>
        <v>#N/A</v>
      </c>
      <c r="X507" s="34" t="e">
        <f>VLOOKUP(Allocation[[#This Row],[SAP Contract number]],Shipments[[SAP Contract number]:[RA Premium USD]],25,FALSE)</f>
        <v>#N/A</v>
      </c>
      <c r="Y507" s="38">
        <f>Allocation[[#This Row],[Quantity Processed]]/Allocation[[#This Row],[Quantity allocated]]</f>
        <v>2.5643459915611815</v>
      </c>
      <c r="Z507" s="34" t="b">
        <f>Allocation[[#This Row],[Quantity allocated]]&lt;=Allocation[[#This Row],[Quantity Processed]]</f>
        <v>1</v>
      </c>
    </row>
    <row r="508" spans="1:26">
      <c r="A508" s="247" t="s">
        <v>467</v>
      </c>
      <c r="B508" s="160" t="s">
        <v>68</v>
      </c>
      <c r="C508" s="249" t="s">
        <v>1082</v>
      </c>
      <c r="D508" s="161">
        <v>28909</v>
      </c>
      <c r="E508" s="160" t="s">
        <v>1212</v>
      </c>
      <c r="F508" s="158">
        <v>43495</v>
      </c>
      <c r="G508" s="162">
        <v>2.1</v>
      </c>
      <c r="H508" s="159">
        <v>12720</v>
      </c>
      <c r="I508" s="160">
        <v>1429587</v>
      </c>
      <c r="J508" s="163">
        <v>21600</v>
      </c>
      <c r="K508" s="158">
        <v>43513</v>
      </c>
      <c r="L508" s="160" t="s">
        <v>1225</v>
      </c>
      <c r="M508" s="160">
        <v>4615485015</v>
      </c>
      <c r="N508" s="158">
        <v>43621</v>
      </c>
      <c r="O508" s="164">
        <v>3.8605</v>
      </c>
      <c r="P508" s="165">
        <v>19526</v>
      </c>
      <c r="Q508" s="34">
        <f>SUMIF(Allocation[Delivery ID],Allocation[[#This Row],[Delivery ID]],Allocation[Quantity Processed])</f>
        <v>29600</v>
      </c>
      <c r="R508" s="61">
        <f>Allocation[[#This Row],[Total volume used]]/VLOOKUP(Allocation[[#This Row],[Delivery ID]],Delivery[[Delivery ID]:[Quantity delivered]],3,FALSE)</f>
        <v>1</v>
      </c>
      <c r="S508" s="34">
        <f>Allocation[[#This Row],[Quantity Processed]]/Allocation[[#This Row],[Dilution rate]]</f>
        <v>13766.190476190475</v>
      </c>
      <c r="T508" s="59">
        <f>SUMIF(Allocation[Delivery ID],Allocation[[#This Row],[Delivery ID]],Allocation[Quantity allocated])/SUMIF(Allocation[Delivery ID],Allocation[[#This Row],[Delivery ID]],Allocation[Volume available (kg)])</f>
        <v>0.95386301455948908</v>
      </c>
      <c r="U508" s="61">
        <f>Allocation[[#This Row],[Total volume used]]/VLOOKUP(Allocation[[#This Row],[Delivery ID]],Delivery[[Delivery ID]:[Quantity delivered]],3,FALSE)</f>
        <v>1</v>
      </c>
      <c r="V508" s="34" t="e">
        <f>VLOOKUP(Allocation[[#This Row],[SAP Contract number]],Shipments[[SAP Contract number]:[Contracted container weight]],2,FALSE)</f>
        <v>#N/A</v>
      </c>
      <c r="W508" s="34" t="e">
        <f>VLOOKUP(Allocation[[#This Row],[SAP Contract number]],Shipments[[SAP Contract number]:[AAA Premium USD]],24,FALSE)</f>
        <v>#N/A</v>
      </c>
      <c r="X508" s="34" t="e">
        <f>VLOOKUP(Allocation[[#This Row],[SAP Contract number]],Shipments[[SAP Contract number]:[RA Premium USD]],25,FALSE)</f>
        <v>#N/A</v>
      </c>
      <c r="Y508" s="38">
        <f>Allocation[[#This Row],[Quantity Processed]]/Allocation[[#This Row],[Quantity allocated]]</f>
        <v>2.2727201257861633</v>
      </c>
      <c r="Z508" s="34" t="b">
        <f>Allocation[[#This Row],[Quantity allocated]]&lt;=Allocation[[#This Row],[Quantity Processed]]</f>
        <v>1</v>
      </c>
    </row>
    <row r="509" spans="1:26">
      <c r="A509" s="247" t="s">
        <v>467</v>
      </c>
      <c r="B509" s="160" t="s">
        <v>68</v>
      </c>
      <c r="C509" s="249" t="s">
        <v>1083</v>
      </c>
      <c r="D509" s="161">
        <v>2148</v>
      </c>
      <c r="E509" s="160" t="s">
        <v>1212</v>
      </c>
      <c r="F509" s="158">
        <v>43495</v>
      </c>
      <c r="G509" s="162">
        <v>2.1</v>
      </c>
      <c r="H509" s="159">
        <v>902</v>
      </c>
      <c r="I509" s="160">
        <v>1429587</v>
      </c>
      <c r="J509" s="163">
        <v>21600</v>
      </c>
      <c r="K509" s="158">
        <v>43513</v>
      </c>
      <c r="L509" s="160" t="s">
        <v>1225</v>
      </c>
      <c r="M509" s="160">
        <v>4615485015</v>
      </c>
      <c r="N509" s="158">
        <v>43621</v>
      </c>
      <c r="O509" s="164">
        <v>3.8605</v>
      </c>
      <c r="P509" s="165">
        <v>19526</v>
      </c>
      <c r="Q509" s="34">
        <f>SUMIF(Allocation[Delivery ID],Allocation[[#This Row],[Delivery ID]],Allocation[Quantity Processed])</f>
        <v>12310</v>
      </c>
      <c r="R509" s="61">
        <f>Allocation[[#This Row],[Total volume used]]/VLOOKUP(Allocation[[#This Row],[Delivery ID]],Delivery[[Delivery ID]:[Quantity delivered]],3,FALSE)</f>
        <v>0.85694396101635917</v>
      </c>
      <c r="S509" s="34">
        <f>Allocation[[#This Row],[Quantity Processed]]/Allocation[[#This Row],[Dilution rate]]</f>
        <v>1022.8571428571428</v>
      </c>
      <c r="T509" s="59">
        <f>SUMIF(Allocation[Delivery ID],Allocation[[#This Row],[Delivery ID]],Allocation[Quantity allocated])/SUMIF(Allocation[Delivery ID],Allocation[[#This Row],[Delivery ID]],Allocation[Volume available (kg)])</f>
        <v>1.0696976228020301</v>
      </c>
      <c r="U509" s="61">
        <f>Allocation[[#This Row],[Total volume used]]/VLOOKUP(Allocation[[#This Row],[Delivery ID]],Delivery[[Delivery ID]:[Quantity delivered]],3,FALSE)</f>
        <v>0.85694396101635917</v>
      </c>
      <c r="V509" s="34" t="e">
        <f>VLOOKUP(Allocation[[#This Row],[SAP Contract number]],Shipments[[SAP Contract number]:[Contracted container weight]],2,FALSE)</f>
        <v>#N/A</v>
      </c>
      <c r="W509" s="34" t="e">
        <f>VLOOKUP(Allocation[[#This Row],[SAP Contract number]],Shipments[[SAP Contract number]:[AAA Premium USD]],24,FALSE)</f>
        <v>#N/A</v>
      </c>
      <c r="X509" s="34" t="e">
        <f>VLOOKUP(Allocation[[#This Row],[SAP Contract number]],Shipments[[SAP Contract number]:[RA Premium USD]],25,FALSE)</f>
        <v>#N/A</v>
      </c>
      <c r="Y509" s="38">
        <f>Allocation[[#This Row],[Quantity Processed]]/Allocation[[#This Row],[Quantity allocated]]</f>
        <v>2.3813747228381374</v>
      </c>
      <c r="Z509" s="34" t="b">
        <f>Allocation[[#This Row],[Quantity allocated]]&lt;=Allocation[[#This Row],[Quantity Processed]]</f>
        <v>1</v>
      </c>
    </row>
    <row r="510" spans="1:26">
      <c r="A510" s="247" t="s">
        <v>467</v>
      </c>
      <c r="B510" s="160" t="s">
        <v>68</v>
      </c>
      <c r="C510" s="249" t="s">
        <v>1084</v>
      </c>
      <c r="D510" s="161">
        <v>1167</v>
      </c>
      <c r="E510" s="160" t="s">
        <v>1212</v>
      </c>
      <c r="F510" s="158">
        <v>43495</v>
      </c>
      <c r="G510" s="162">
        <v>2.1</v>
      </c>
      <c r="H510" s="159">
        <v>490</v>
      </c>
      <c r="I510" s="160">
        <v>1429587</v>
      </c>
      <c r="J510" s="163">
        <v>21600</v>
      </c>
      <c r="K510" s="158">
        <v>43513</v>
      </c>
      <c r="L510" s="160" t="s">
        <v>1225</v>
      </c>
      <c r="M510" s="160">
        <v>4615485015</v>
      </c>
      <c r="N510" s="158">
        <v>43621</v>
      </c>
      <c r="O510" s="164">
        <v>3.8605</v>
      </c>
      <c r="P510" s="165">
        <v>19526</v>
      </c>
      <c r="Q510" s="34">
        <f>SUMIF(Allocation[Delivery ID],Allocation[[#This Row],[Delivery ID]],Allocation[Quantity Processed])</f>
        <v>6696</v>
      </c>
      <c r="R510" s="61">
        <f>Allocation[[#This Row],[Total volume used]]/VLOOKUP(Allocation[[#This Row],[Delivery ID]],Delivery[[Delivery ID]:[Quantity delivered]],3,FALSE)</f>
        <v>0.85681381957773517</v>
      </c>
      <c r="S510" s="34">
        <f>Allocation[[#This Row],[Quantity Processed]]/Allocation[[#This Row],[Dilution rate]]</f>
        <v>555.71428571428567</v>
      </c>
      <c r="T510" s="59">
        <f>SUMIF(Allocation[Delivery ID],Allocation[[#This Row],[Delivery ID]],Allocation[Quantity allocated])/SUMIF(Allocation[Delivery ID],Allocation[[#This Row],[Delivery ID]],Allocation[Volume available (kg)])</f>
        <v>1.0696839892515559</v>
      </c>
      <c r="U510" s="61">
        <f>Allocation[[#This Row],[Total volume used]]/VLOOKUP(Allocation[[#This Row],[Delivery ID]],Delivery[[Delivery ID]:[Quantity delivered]],3,FALSE)</f>
        <v>0.85681381957773517</v>
      </c>
      <c r="V510" s="34" t="e">
        <f>VLOOKUP(Allocation[[#This Row],[SAP Contract number]],Shipments[[SAP Contract number]:[Contracted container weight]],2,FALSE)</f>
        <v>#N/A</v>
      </c>
      <c r="W510" s="34" t="e">
        <f>VLOOKUP(Allocation[[#This Row],[SAP Contract number]],Shipments[[SAP Contract number]:[AAA Premium USD]],24,FALSE)</f>
        <v>#N/A</v>
      </c>
      <c r="X510" s="34" t="e">
        <f>VLOOKUP(Allocation[[#This Row],[SAP Contract number]],Shipments[[SAP Contract number]:[RA Premium USD]],25,FALSE)</f>
        <v>#N/A</v>
      </c>
      <c r="Y510" s="38">
        <f>Allocation[[#This Row],[Quantity Processed]]/Allocation[[#This Row],[Quantity allocated]]</f>
        <v>2.3816326530612244</v>
      </c>
      <c r="Z510" s="34" t="b">
        <f>Allocation[[#This Row],[Quantity allocated]]&lt;=Allocation[[#This Row],[Quantity Processed]]</f>
        <v>1</v>
      </c>
    </row>
    <row r="511" spans="1:26">
      <c r="A511" s="247" t="s">
        <v>467</v>
      </c>
      <c r="B511" s="160" t="s">
        <v>68</v>
      </c>
      <c r="C511" s="249" t="s">
        <v>1085</v>
      </c>
      <c r="D511" s="161">
        <v>10879</v>
      </c>
      <c r="E511" s="160" t="s">
        <v>1212</v>
      </c>
      <c r="F511" s="158">
        <v>43495</v>
      </c>
      <c r="G511" s="162">
        <v>2.1</v>
      </c>
      <c r="H511" s="159">
        <v>5222</v>
      </c>
      <c r="I511" s="160">
        <v>1429587</v>
      </c>
      <c r="J511" s="163">
        <v>21600</v>
      </c>
      <c r="K511" s="158">
        <v>43513</v>
      </c>
      <c r="L511" s="160" t="s">
        <v>1225</v>
      </c>
      <c r="M511" s="160">
        <v>4615485015</v>
      </c>
      <c r="N511" s="158">
        <v>43621</v>
      </c>
      <c r="O511" s="164">
        <v>3.8605</v>
      </c>
      <c r="P511" s="165">
        <v>19526</v>
      </c>
      <c r="Q511" s="34">
        <f>SUMIF(Allocation[Delivery ID],Allocation[[#This Row],[Delivery ID]],Allocation[Quantity Processed])</f>
        <v>26624</v>
      </c>
      <c r="R511" s="61">
        <f>Allocation[[#This Row],[Total volume used]]/VLOOKUP(Allocation[[#This Row],[Delivery ID]],Delivery[[Delivery ID]:[Quantity delivered]],3,FALSE)</f>
        <v>0.85224071702944937</v>
      </c>
      <c r="S511" s="34">
        <f>Allocation[[#This Row],[Quantity Processed]]/Allocation[[#This Row],[Dilution rate]]</f>
        <v>5180.4761904761899</v>
      </c>
      <c r="T511" s="59">
        <f>SUMIF(Allocation[Delivery ID],Allocation[[#This Row],[Delivery ID]],Allocation[Quantity allocated])/SUMIF(Allocation[Delivery ID],Allocation[[#This Row],[Delivery ID]],Allocation[Volume available (kg)])</f>
        <v>0.97718912475220943</v>
      </c>
      <c r="U511" s="61">
        <f>Allocation[[#This Row],[Total volume used]]/VLOOKUP(Allocation[[#This Row],[Delivery ID]],Delivery[[Delivery ID]:[Quantity delivered]],3,FALSE)</f>
        <v>0.85224071702944937</v>
      </c>
      <c r="V511" s="34" t="e">
        <f>VLOOKUP(Allocation[[#This Row],[SAP Contract number]],Shipments[[SAP Contract number]:[Contracted container weight]],2,FALSE)</f>
        <v>#N/A</v>
      </c>
      <c r="W511" s="34" t="e">
        <f>VLOOKUP(Allocation[[#This Row],[SAP Contract number]],Shipments[[SAP Contract number]:[AAA Premium USD]],24,FALSE)</f>
        <v>#N/A</v>
      </c>
      <c r="X511" s="34" t="e">
        <f>VLOOKUP(Allocation[[#This Row],[SAP Contract number]],Shipments[[SAP Contract number]:[RA Premium USD]],25,FALSE)</f>
        <v>#N/A</v>
      </c>
      <c r="Y511" s="38">
        <f>Allocation[[#This Row],[Quantity Processed]]/Allocation[[#This Row],[Quantity allocated]]</f>
        <v>2.0833014170815778</v>
      </c>
      <c r="Z511" s="34" t="b">
        <f>Allocation[[#This Row],[Quantity allocated]]&lt;=Allocation[[#This Row],[Quantity Processed]]</f>
        <v>1</v>
      </c>
    </row>
    <row r="512" spans="1:26">
      <c r="A512" s="247" t="s">
        <v>467</v>
      </c>
      <c r="B512" s="160" t="s">
        <v>68</v>
      </c>
      <c r="C512" s="249" t="s">
        <v>1085</v>
      </c>
      <c r="D512" s="161">
        <v>2067</v>
      </c>
      <c r="E512" s="160" t="s">
        <v>1212</v>
      </c>
      <c r="F512" s="158">
        <v>43495</v>
      </c>
      <c r="G512" s="162">
        <v>2.1</v>
      </c>
      <c r="H512" s="159">
        <v>992</v>
      </c>
      <c r="I512" s="160">
        <v>1429588</v>
      </c>
      <c r="J512" s="163">
        <v>21600</v>
      </c>
      <c r="K512" s="158">
        <v>43513</v>
      </c>
      <c r="L512" s="160" t="s">
        <v>1226</v>
      </c>
      <c r="M512" s="160">
        <v>4615485015</v>
      </c>
      <c r="N512" s="158">
        <v>43621</v>
      </c>
      <c r="O512" s="164">
        <v>3.8605</v>
      </c>
      <c r="P512" s="165">
        <v>19526</v>
      </c>
      <c r="Q512" s="34">
        <f>SUMIF(Allocation[Delivery ID],Allocation[[#This Row],[Delivery ID]],Allocation[Quantity Processed])</f>
        <v>26624</v>
      </c>
      <c r="R512" s="61">
        <f>Allocation[[#This Row],[Total volume used]]/VLOOKUP(Allocation[[#This Row],[Delivery ID]],Delivery[[Delivery ID]:[Quantity delivered]],3,FALSE)</f>
        <v>0.85224071702944937</v>
      </c>
      <c r="S512" s="34">
        <f>Allocation[[#This Row],[Quantity Processed]]/Allocation[[#This Row],[Dilution rate]]</f>
        <v>984.28571428571422</v>
      </c>
      <c r="T512" s="59">
        <f>SUMIF(Allocation[Delivery ID],Allocation[[#This Row],[Delivery ID]],Allocation[Quantity allocated])/SUMIF(Allocation[Delivery ID],Allocation[[#This Row],[Delivery ID]],Allocation[Volume available (kg)])</f>
        <v>0.97718912475220943</v>
      </c>
      <c r="U512" s="61">
        <f>Allocation[[#This Row],[Total volume used]]/VLOOKUP(Allocation[[#This Row],[Delivery ID]],Delivery[[Delivery ID]:[Quantity delivered]],3,FALSE)</f>
        <v>0.85224071702944937</v>
      </c>
      <c r="V512" s="34" t="e">
        <f>VLOOKUP(Allocation[[#This Row],[SAP Contract number]],Shipments[[SAP Contract number]:[Contracted container weight]],2,FALSE)</f>
        <v>#N/A</v>
      </c>
      <c r="W512" s="34" t="e">
        <f>VLOOKUP(Allocation[[#This Row],[SAP Contract number]],Shipments[[SAP Contract number]:[AAA Premium USD]],24,FALSE)</f>
        <v>#N/A</v>
      </c>
      <c r="X512" s="34" t="e">
        <f>VLOOKUP(Allocation[[#This Row],[SAP Contract number]],Shipments[[SAP Contract number]:[RA Premium USD]],25,FALSE)</f>
        <v>#N/A</v>
      </c>
      <c r="Y512" s="38">
        <f>Allocation[[#This Row],[Quantity Processed]]/Allocation[[#This Row],[Quantity allocated]]</f>
        <v>2.0836693548387095</v>
      </c>
      <c r="Z512" s="34" t="b">
        <f>Allocation[[#This Row],[Quantity allocated]]&lt;=Allocation[[#This Row],[Quantity Processed]]</f>
        <v>1</v>
      </c>
    </row>
    <row r="513" spans="1:26">
      <c r="A513" s="247" t="s">
        <v>467</v>
      </c>
      <c r="B513" s="160" t="s">
        <v>68</v>
      </c>
      <c r="C513" s="249" t="s">
        <v>1088</v>
      </c>
      <c r="D513" s="161">
        <v>15660</v>
      </c>
      <c r="E513" s="160" t="s">
        <v>1212</v>
      </c>
      <c r="F513" s="158">
        <v>43495</v>
      </c>
      <c r="G513" s="162">
        <v>2.1</v>
      </c>
      <c r="H513" s="159">
        <v>7517</v>
      </c>
      <c r="I513" s="160">
        <v>1429588</v>
      </c>
      <c r="J513" s="163">
        <v>21600</v>
      </c>
      <c r="K513" s="158">
        <v>43513</v>
      </c>
      <c r="L513" s="160" t="s">
        <v>1226</v>
      </c>
      <c r="M513" s="160">
        <v>4615485015</v>
      </c>
      <c r="N513" s="158">
        <v>43621</v>
      </c>
      <c r="O513" s="164">
        <v>3.8605</v>
      </c>
      <c r="P513" s="165">
        <v>19526</v>
      </c>
      <c r="Q513" s="34">
        <f>SUMIF(Allocation[Delivery ID],Allocation[[#This Row],[Delivery ID]],Allocation[Quantity Processed])</f>
        <v>32243</v>
      </c>
      <c r="R513" s="61">
        <f>Allocation[[#This Row],[Total volume used]]/VLOOKUP(Allocation[[#This Row],[Delivery ID]],Delivery[[Delivery ID]:[Quantity delivered]],3,FALSE)</f>
        <v>0.85141272775283861</v>
      </c>
      <c r="S513" s="34">
        <f>Allocation[[#This Row],[Quantity Processed]]/Allocation[[#This Row],[Dilution rate]]</f>
        <v>7457.1428571428569</v>
      </c>
      <c r="T513" s="59">
        <f>SUMIF(Allocation[Delivery ID],Allocation[[#This Row],[Delivery ID]],Allocation[Quantity allocated])/SUMIF(Allocation[Delivery ID],Allocation[[#This Row],[Delivery ID]],Allocation[Volume available (kg)])</f>
        <v>0.97723555782784222</v>
      </c>
      <c r="U513" s="61">
        <f>Allocation[[#This Row],[Total volume used]]/VLOOKUP(Allocation[[#This Row],[Delivery ID]],Delivery[[Delivery ID]:[Quantity delivered]],3,FALSE)</f>
        <v>0.85141272775283861</v>
      </c>
      <c r="V513" s="34" t="e">
        <f>VLOOKUP(Allocation[[#This Row],[SAP Contract number]],Shipments[[SAP Contract number]:[Contracted container weight]],2,FALSE)</f>
        <v>#N/A</v>
      </c>
      <c r="W513" s="34" t="e">
        <f>VLOOKUP(Allocation[[#This Row],[SAP Contract number]],Shipments[[SAP Contract number]:[AAA Premium USD]],24,FALSE)</f>
        <v>#N/A</v>
      </c>
      <c r="X513" s="34" t="e">
        <f>VLOOKUP(Allocation[[#This Row],[SAP Contract number]],Shipments[[SAP Contract number]:[RA Premium USD]],25,FALSE)</f>
        <v>#N/A</v>
      </c>
      <c r="Y513" s="38">
        <f>Allocation[[#This Row],[Quantity Processed]]/Allocation[[#This Row],[Quantity allocated]]</f>
        <v>2.0832779034189173</v>
      </c>
      <c r="Z513" s="34" t="b">
        <f>Allocation[[#This Row],[Quantity allocated]]&lt;=Allocation[[#This Row],[Quantity Processed]]</f>
        <v>1</v>
      </c>
    </row>
    <row r="514" spans="1:26">
      <c r="A514" s="247" t="s">
        <v>467</v>
      </c>
      <c r="B514" s="160" t="s">
        <v>68</v>
      </c>
      <c r="C514" s="249" t="s">
        <v>1089</v>
      </c>
      <c r="D514" s="161">
        <v>6682</v>
      </c>
      <c r="E514" s="160" t="s">
        <v>1212</v>
      </c>
      <c r="F514" s="158">
        <v>43495</v>
      </c>
      <c r="G514" s="162">
        <v>2.1</v>
      </c>
      <c r="H514" s="159">
        <v>1871</v>
      </c>
      <c r="I514" s="160">
        <v>1429588</v>
      </c>
      <c r="J514" s="163">
        <v>21600</v>
      </c>
      <c r="K514" s="158">
        <v>43513</v>
      </c>
      <c r="L514" s="160" t="s">
        <v>1226</v>
      </c>
      <c r="M514" s="160">
        <v>4615485015</v>
      </c>
      <c r="N514" s="158">
        <v>43621</v>
      </c>
      <c r="O514" s="164">
        <v>3.8605</v>
      </c>
      <c r="P514" s="165">
        <v>19526</v>
      </c>
      <c r="Q514" s="34">
        <f>SUMIF(Allocation[Delivery ID],Allocation[[#This Row],[Delivery ID]],Allocation[Quantity Processed])</f>
        <v>29932</v>
      </c>
      <c r="R514" s="61">
        <f>Allocation[[#This Row],[Total volume used]]/VLOOKUP(Allocation[[#This Row],[Delivery ID]],Delivery[[Delivery ID]:[Quantity delivered]],3,FALSE)</f>
        <v>1</v>
      </c>
      <c r="S514" s="34">
        <f>Allocation[[#This Row],[Quantity Processed]]/Allocation[[#This Row],[Dilution rate]]</f>
        <v>3181.9047619047619</v>
      </c>
      <c r="T514" s="59">
        <f>SUMIF(Allocation[Delivery ID],Allocation[[#This Row],[Delivery ID]],Allocation[Quantity allocated])/SUMIF(Allocation[Delivery ID],Allocation[[#This Row],[Delivery ID]],Allocation[Volume available (kg)])</f>
        <v>0.74687739269496001</v>
      </c>
      <c r="U514" s="61">
        <f>Allocation[[#This Row],[Total volume used]]/VLOOKUP(Allocation[[#This Row],[Delivery ID]],Delivery[[Delivery ID]:[Quantity delivered]],3,FALSE)</f>
        <v>1</v>
      </c>
      <c r="V514" s="34" t="e">
        <f>VLOOKUP(Allocation[[#This Row],[SAP Contract number]],Shipments[[SAP Contract number]:[Contracted container weight]],2,FALSE)</f>
        <v>#N/A</v>
      </c>
      <c r="W514" s="34" t="e">
        <f>VLOOKUP(Allocation[[#This Row],[SAP Contract number]],Shipments[[SAP Contract number]:[AAA Premium USD]],24,FALSE)</f>
        <v>#N/A</v>
      </c>
      <c r="X514" s="34" t="e">
        <f>VLOOKUP(Allocation[[#This Row],[SAP Contract number]],Shipments[[SAP Contract number]:[RA Premium USD]],25,FALSE)</f>
        <v>#N/A</v>
      </c>
      <c r="Y514" s="38">
        <f>Allocation[[#This Row],[Quantity Processed]]/Allocation[[#This Row],[Quantity allocated]]</f>
        <v>3.571352218065206</v>
      </c>
      <c r="Z514" s="34" t="b">
        <f>Allocation[[#This Row],[Quantity allocated]]&lt;=Allocation[[#This Row],[Quantity Processed]]</f>
        <v>1</v>
      </c>
    </row>
    <row r="515" spans="1:26">
      <c r="A515" s="247" t="s">
        <v>467</v>
      </c>
      <c r="B515" s="160" t="s">
        <v>68</v>
      </c>
      <c r="C515" s="249" t="s">
        <v>1090</v>
      </c>
      <c r="D515" s="161">
        <v>3911</v>
      </c>
      <c r="E515" s="160" t="s">
        <v>1212</v>
      </c>
      <c r="F515" s="158">
        <v>43495</v>
      </c>
      <c r="G515" s="162">
        <v>2.1</v>
      </c>
      <c r="H515" s="159">
        <v>1799</v>
      </c>
      <c r="I515" s="160">
        <v>1429588</v>
      </c>
      <c r="J515" s="163">
        <v>21600</v>
      </c>
      <c r="K515" s="158">
        <v>43513</v>
      </c>
      <c r="L515" s="160" t="s">
        <v>1226</v>
      </c>
      <c r="M515" s="160">
        <v>4615485015</v>
      </c>
      <c r="N515" s="158">
        <v>43621</v>
      </c>
      <c r="O515" s="164">
        <v>3.8605</v>
      </c>
      <c r="P515" s="165">
        <v>19526</v>
      </c>
      <c r="Q515" s="34">
        <f>SUMIF(Allocation[Delivery ID],Allocation[[#This Row],[Delivery ID]],Allocation[Quantity Processed])</f>
        <v>22447</v>
      </c>
      <c r="R515" s="61">
        <f>Allocation[[#This Row],[Total volume used]]/VLOOKUP(Allocation[[#This Row],[Delivery ID]],Delivery[[Delivery ID]:[Quantity delivered]],3,FALSE)</f>
        <v>0.78212543554006964</v>
      </c>
      <c r="S515" s="34">
        <f>Allocation[[#This Row],[Quantity Processed]]/Allocation[[#This Row],[Dilution rate]]</f>
        <v>1862.3809523809523</v>
      </c>
      <c r="T515" s="59">
        <f>SUMIF(Allocation[Delivery ID],Allocation[[#This Row],[Delivery ID]],Allocation[Quantity allocated])/SUMIF(Allocation[Delivery ID],Allocation[[#This Row],[Delivery ID]],Allocation[Volume available (kg)])</f>
        <v>1.1716289140490868</v>
      </c>
      <c r="U515" s="61">
        <f>Allocation[[#This Row],[Total volume used]]/VLOOKUP(Allocation[[#This Row],[Delivery ID]],Delivery[[Delivery ID]:[Quantity delivered]],3,FALSE)</f>
        <v>0.78212543554006964</v>
      </c>
      <c r="V515" s="34" t="e">
        <f>VLOOKUP(Allocation[[#This Row],[SAP Contract number]],Shipments[[SAP Contract number]:[Contracted container weight]],2,FALSE)</f>
        <v>#N/A</v>
      </c>
      <c r="W515" s="34" t="e">
        <f>VLOOKUP(Allocation[[#This Row],[SAP Contract number]],Shipments[[SAP Contract number]:[AAA Premium USD]],24,FALSE)</f>
        <v>#N/A</v>
      </c>
      <c r="X515" s="34" t="e">
        <f>VLOOKUP(Allocation[[#This Row],[SAP Contract number]],Shipments[[SAP Contract number]:[RA Premium USD]],25,FALSE)</f>
        <v>#N/A</v>
      </c>
      <c r="Y515" s="38">
        <f>Allocation[[#This Row],[Quantity Processed]]/Allocation[[#This Row],[Quantity allocated]]</f>
        <v>2.1739855475264034</v>
      </c>
      <c r="Z515" s="34" t="b">
        <f>Allocation[[#This Row],[Quantity allocated]]&lt;=Allocation[[#This Row],[Quantity Processed]]</f>
        <v>1</v>
      </c>
    </row>
    <row r="516" spans="1:26">
      <c r="A516" s="247" t="s">
        <v>467</v>
      </c>
      <c r="B516" s="160" t="s">
        <v>68</v>
      </c>
      <c r="C516" s="249" t="s">
        <v>1091</v>
      </c>
      <c r="D516" s="161">
        <v>3904</v>
      </c>
      <c r="E516" s="160" t="s">
        <v>1212</v>
      </c>
      <c r="F516" s="158">
        <v>43495</v>
      </c>
      <c r="G516" s="162">
        <v>2.1</v>
      </c>
      <c r="H516" s="159">
        <v>1796</v>
      </c>
      <c r="I516" s="160">
        <v>1429588</v>
      </c>
      <c r="J516" s="163">
        <v>21600</v>
      </c>
      <c r="K516" s="158">
        <v>43513</v>
      </c>
      <c r="L516" s="160" t="s">
        <v>1226</v>
      </c>
      <c r="M516" s="160">
        <v>4615485015</v>
      </c>
      <c r="N516" s="158">
        <v>43621</v>
      </c>
      <c r="O516" s="164">
        <v>3.8605</v>
      </c>
      <c r="P516" s="165">
        <v>19526</v>
      </c>
      <c r="Q516" s="34">
        <f>SUMIF(Allocation[Delivery ID],Allocation[[#This Row],[Delivery ID]],Allocation[Quantity Processed])</f>
        <v>12660</v>
      </c>
      <c r="R516" s="61">
        <f>Allocation[[#This Row],[Total volume used]]/VLOOKUP(Allocation[[#This Row],[Delivery ID]],Delivery[[Delivery ID]:[Quantity delivered]],3,FALSE)</f>
        <v>1</v>
      </c>
      <c r="S516" s="34">
        <f>Allocation[[#This Row],[Quantity Processed]]/Allocation[[#This Row],[Dilution rate]]</f>
        <v>1859.047619047619</v>
      </c>
      <c r="T516" s="59">
        <f>SUMIF(Allocation[Delivery ID],Allocation[[#This Row],[Delivery ID]],Allocation[Quantity allocated])/SUMIF(Allocation[Delivery ID],Allocation[[#This Row],[Delivery ID]],Allocation[Volume available (kg)])</f>
        <v>1.1563446163310067</v>
      </c>
      <c r="U516" s="61">
        <f>Allocation[[#This Row],[Total volume used]]/VLOOKUP(Allocation[[#This Row],[Delivery ID]],Delivery[[Delivery ID]:[Quantity delivered]],3,FALSE)</f>
        <v>1</v>
      </c>
      <c r="V516" s="34" t="e">
        <f>VLOOKUP(Allocation[[#This Row],[SAP Contract number]],Shipments[[SAP Contract number]:[Contracted container weight]],2,FALSE)</f>
        <v>#N/A</v>
      </c>
      <c r="W516" s="34" t="e">
        <f>VLOOKUP(Allocation[[#This Row],[SAP Contract number]],Shipments[[SAP Contract number]:[AAA Premium USD]],24,FALSE)</f>
        <v>#N/A</v>
      </c>
      <c r="X516" s="34" t="e">
        <f>VLOOKUP(Allocation[[#This Row],[SAP Contract number]],Shipments[[SAP Contract number]:[RA Premium USD]],25,FALSE)</f>
        <v>#N/A</v>
      </c>
      <c r="Y516" s="38">
        <f>Allocation[[#This Row],[Quantity Processed]]/Allocation[[#This Row],[Quantity allocated]]</f>
        <v>2.1737193763919822</v>
      </c>
      <c r="Z516" s="34" t="b">
        <f>Allocation[[#This Row],[Quantity allocated]]&lt;=Allocation[[#This Row],[Quantity Processed]]</f>
        <v>1</v>
      </c>
    </row>
    <row r="517" spans="1:26">
      <c r="A517" s="247" t="s">
        <v>467</v>
      </c>
      <c r="B517" s="160" t="s">
        <v>68</v>
      </c>
      <c r="C517" s="249" t="s">
        <v>1098</v>
      </c>
      <c r="D517" s="161">
        <v>12439</v>
      </c>
      <c r="E517" s="160" t="s">
        <v>1212</v>
      </c>
      <c r="F517" s="158">
        <v>43495</v>
      </c>
      <c r="G517" s="162">
        <v>2.1</v>
      </c>
      <c r="H517" s="159">
        <v>6095</v>
      </c>
      <c r="I517" s="160">
        <v>1429588</v>
      </c>
      <c r="J517" s="163">
        <v>21600</v>
      </c>
      <c r="K517" s="158">
        <v>43513</v>
      </c>
      <c r="L517" s="160" t="s">
        <v>1226</v>
      </c>
      <c r="M517" s="160">
        <v>4615485015</v>
      </c>
      <c r="N517" s="158">
        <v>43621</v>
      </c>
      <c r="O517" s="164">
        <v>3.8605</v>
      </c>
      <c r="P517" s="165">
        <v>19526</v>
      </c>
      <c r="Q517" s="34">
        <f>SUMIF(Allocation[Delivery ID],Allocation[[#This Row],[Delivery ID]],Allocation[Quantity Processed])</f>
        <v>25564</v>
      </c>
      <c r="R517" s="61">
        <f>Allocation[[#This Row],[Total volume used]]/VLOOKUP(Allocation[[#This Row],[Delivery ID]],Delivery[[Delivery ID]:[Quantity delivered]],3,FALSE)</f>
        <v>0.83556136623631316</v>
      </c>
      <c r="S517" s="34">
        <f>Allocation[[#This Row],[Quantity Processed]]/Allocation[[#This Row],[Dilution rate]]</f>
        <v>5923.333333333333</v>
      </c>
      <c r="T517" s="59">
        <f>SUMIF(Allocation[Delivery ID],Allocation[[#This Row],[Delivery ID]],Allocation[Quantity allocated])/SUMIF(Allocation[Delivery ID],Allocation[[#This Row],[Delivery ID]],Allocation[Volume available (kg)])</f>
        <v>0.99759340323742973</v>
      </c>
      <c r="U517" s="61">
        <f>Allocation[[#This Row],[Total volume used]]/VLOOKUP(Allocation[[#This Row],[Delivery ID]],Delivery[[Delivery ID]:[Quantity delivered]],3,FALSE)</f>
        <v>0.83556136623631316</v>
      </c>
      <c r="V517" s="34" t="e">
        <f>VLOOKUP(Allocation[[#This Row],[SAP Contract number]],Shipments[[SAP Contract number]:[Contracted container weight]],2,FALSE)</f>
        <v>#N/A</v>
      </c>
      <c r="W517" s="34" t="e">
        <f>VLOOKUP(Allocation[[#This Row],[SAP Contract number]],Shipments[[SAP Contract number]:[AAA Premium USD]],24,FALSE)</f>
        <v>#N/A</v>
      </c>
      <c r="X517" s="34" t="e">
        <f>VLOOKUP(Allocation[[#This Row],[SAP Contract number]],Shipments[[SAP Contract number]:[RA Premium USD]],25,FALSE)</f>
        <v>#N/A</v>
      </c>
      <c r="Y517" s="38">
        <f>Allocation[[#This Row],[Quantity Processed]]/Allocation[[#This Row],[Quantity allocated]]</f>
        <v>2.0408531583264971</v>
      </c>
      <c r="Z517" s="34" t="b">
        <f>Allocation[[#This Row],[Quantity allocated]]&lt;=Allocation[[#This Row],[Quantity Processed]]</f>
        <v>1</v>
      </c>
    </row>
    <row r="518" spans="1:26">
      <c r="A518" s="247" t="s">
        <v>467</v>
      </c>
      <c r="B518" s="160" t="s">
        <v>68</v>
      </c>
      <c r="C518" s="249" t="s">
        <v>1100</v>
      </c>
      <c r="D518" s="161">
        <v>2571</v>
      </c>
      <c r="E518" s="160" t="s">
        <v>1212</v>
      </c>
      <c r="F518" s="158">
        <v>43495</v>
      </c>
      <c r="G518" s="162">
        <v>2.1</v>
      </c>
      <c r="H518" s="159">
        <v>1530</v>
      </c>
      <c r="I518" s="160">
        <v>1429588</v>
      </c>
      <c r="J518" s="163">
        <v>21600</v>
      </c>
      <c r="K518" s="158">
        <v>43513</v>
      </c>
      <c r="L518" s="160" t="s">
        <v>1226</v>
      </c>
      <c r="M518" s="160">
        <v>4615485015</v>
      </c>
      <c r="N518" s="158">
        <v>43621</v>
      </c>
      <c r="O518" s="164">
        <v>3.8605</v>
      </c>
      <c r="P518" s="165">
        <v>19526</v>
      </c>
      <c r="Q518" s="34">
        <f>SUMIF(Allocation[Delivery ID],Allocation[[#This Row],[Delivery ID]],Allocation[Quantity Processed])</f>
        <v>16433</v>
      </c>
      <c r="R518" s="61">
        <f>Allocation[[#This Row],[Total volume used]]/VLOOKUP(Allocation[[#This Row],[Delivery ID]],Delivery[[Delivery ID]:[Quantity delivered]],3,FALSE)</f>
        <v>1</v>
      </c>
      <c r="S518" s="34">
        <f>Allocation[[#This Row],[Quantity Processed]]/Allocation[[#This Row],[Dilution rate]]</f>
        <v>1224.2857142857142</v>
      </c>
      <c r="T518" s="59">
        <f>SUMIF(Allocation[Delivery ID],Allocation[[#This Row],[Delivery ID]],Allocation[Quantity allocated])/SUMIF(Allocation[Delivery ID],Allocation[[#This Row],[Delivery ID]],Allocation[Volume available (kg)])</f>
        <v>1.2498022272257043</v>
      </c>
      <c r="U518" s="61">
        <f>Allocation[[#This Row],[Total volume used]]/VLOOKUP(Allocation[[#This Row],[Delivery ID]],Delivery[[Delivery ID]:[Quantity delivered]],3,FALSE)</f>
        <v>1</v>
      </c>
      <c r="V518" s="34" t="e">
        <f>VLOOKUP(Allocation[[#This Row],[SAP Contract number]],Shipments[[SAP Contract number]:[Contracted container weight]],2,FALSE)</f>
        <v>#N/A</v>
      </c>
      <c r="W518" s="34" t="e">
        <f>VLOOKUP(Allocation[[#This Row],[SAP Contract number]],Shipments[[SAP Contract number]:[AAA Premium USD]],24,FALSE)</f>
        <v>#N/A</v>
      </c>
      <c r="X518" s="34" t="e">
        <f>VLOOKUP(Allocation[[#This Row],[SAP Contract number]],Shipments[[SAP Contract number]:[RA Premium USD]],25,FALSE)</f>
        <v>#N/A</v>
      </c>
      <c r="Y518" s="38">
        <f>Allocation[[#This Row],[Quantity Processed]]/Allocation[[#This Row],[Quantity allocated]]</f>
        <v>1.6803921568627451</v>
      </c>
      <c r="Z518" s="34" t="b">
        <f>Allocation[[#This Row],[Quantity allocated]]&lt;=Allocation[[#This Row],[Quantity Processed]]</f>
        <v>1</v>
      </c>
    </row>
    <row r="519" spans="1:26">
      <c r="A519" s="247" t="s">
        <v>467</v>
      </c>
      <c r="B519" s="160" t="s">
        <v>68</v>
      </c>
      <c r="C519" s="249" t="s">
        <v>1100</v>
      </c>
      <c r="D519" s="161">
        <v>13862</v>
      </c>
      <c r="E519" s="160" t="s">
        <v>1212</v>
      </c>
      <c r="F519" s="158">
        <v>43495</v>
      </c>
      <c r="G519" s="162">
        <v>2.1</v>
      </c>
      <c r="H519" s="159">
        <v>8250</v>
      </c>
      <c r="I519" s="160">
        <v>1429589</v>
      </c>
      <c r="J519" s="163">
        <v>21600</v>
      </c>
      <c r="K519" s="158">
        <v>43513</v>
      </c>
      <c r="L519" s="160" t="s">
        <v>1227</v>
      </c>
      <c r="M519" s="160">
        <v>4615485015</v>
      </c>
      <c r="N519" s="158">
        <v>43621</v>
      </c>
      <c r="O519" s="164">
        <v>3.8605</v>
      </c>
      <c r="P519" s="165">
        <v>19526</v>
      </c>
      <c r="Q519" s="34">
        <f>SUMIF(Allocation[Delivery ID],Allocation[[#This Row],[Delivery ID]],Allocation[Quantity Processed])</f>
        <v>16433</v>
      </c>
      <c r="R519" s="61">
        <f>Allocation[[#This Row],[Total volume used]]/VLOOKUP(Allocation[[#This Row],[Delivery ID]],Delivery[[Delivery ID]:[Quantity delivered]],3,FALSE)</f>
        <v>1</v>
      </c>
      <c r="S519" s="34">
        <f>Allocation[[#This Row],[Quantity Processed]]/Allocation[[#This Row],[Dilution rate]]</f>
        <v>6600.9523809523807</v>
      </c>
      <c r="T519" s="59">
        <f>SUMIF(Allocation[Delivery ID],Allocation[[#This Row],[Delivery ID]],Allocation[Quantity allocated])/SUMIF(Allocation[Delivery ID],Allocation[[#This Row],[Delivery ID]],Allocation[Volume available (kg)])</f>
        <v>1.2498022272257043</v>
      </c>
      <c r="U519" s="61">
        <f>Allocation[[#This Row],[Total volume used]]/VLOOKUP(Allocation[[#This Row],[Delivery ID]],Delivery[[Delivery ID]:[Quantity delivered]],3,FALSE)</f>
        <v>1</v>
      </c>
      <c r="V519" s="34" t="e">
        <f>VLOOKUP(Allocation[[#This Row],[SAP Contract number]],Shipments[[SAP Contract number]:[Contracted container weight]],2,FALSE)</f>
        <v>#N/A</v>
      </c>
      <c r="W519" s="34" t="e">
        <f>VLOOKUP(Allocation[[#This Row],[SAP Contract number]],Shipments[[SAP Contract number]:[AAA Premium USD]],24,FALSE)</f>
        <v>#N/A</v>
      </c>
      <c r="X519" s="34" t="e">
        <f>VLOOKUP(Allocation[[#This Row],[SAP Contract number]],Shipments[[SAP Contract number]:[RA Premium USD]],25,FALSE)</f>
        <v>#N/A</v>
      </c>
      <c r="Y519" s="38">
        <f>Allocation[[#This Row],[Quantity Processed]]/Allocation[[#This Row],[Quantity allocated]]</f>
        <v>1.6802424242424243</v>
      </c>
      <c r="Z519" s="34" t="b">
        <f>Allocation[[#This Row],[Quantity allocated]]&lt;=Allocation[[#This Row],[Quantity Processed]]</f>
        <v>1</v>
      </c>
    </row>
    <row r="520" spans="1:26">
      <c r="A520" s="247" t="s">
        <v>467</v>
      </c>
      <c r="B520" s="160" t="s">
        <v>68</v>
      </c>
      <c r="C520" s="249" t="s">
        <v>1101</v>
      </c>
      <c r="D520" s="161">
        <v>5635</v>
      </c>
      <c r="E520" s="160" t="s">
        <v>1212</v>
      </c>
      <c r="F520" s="158">
        <v>43495</v>
      </c>
      <c r="G520" s="162">
        <v>2.1</v>
      </c>
      <c r="H520" s="159">
        <v>2761</v>
      </c>
      <c r="I520" s="160">
        <v>1429589</v>
      </c>
      <c r="J520" s="163">
        <v>21600</v>
      </c>
      <c r="K520" s="158">
        <v>43513</v>
      </c>
      <c r="L520" s="160" t="s">
        <v>1227</v>
      </c>
      <c r="M520" s="160">
        <v>4615485015</v>
      </c>
      <c r="N520" s="158">
        <v>43621</v>
      </c>
      <c r="O520" s="164">
        <v>3.8605</v>
      </c>
      <c r="P520" s="165">
        <v>19526</v>
      </c>
      <c r="Q520" s="34">
        <f>SUMIF(Allocation[Delivery ID],Allocation[[#This Row],[Delivery ID]],Allocation[Quantity Processed])</f>
        <v>11579</v>
      </c>
      <c r="R520" s="61">
        <f>Allocation[[#This Row],[Total volume used]]/VLOOKUP(Allocation[[#This Row],[Delivery ID]],Delivery[[Delivery ID]:[Quantity delivered]],3,FALSE)</f>
        <v>0.83575733516186079</v>
      </c>
      <c r="S520" s="34">
        <f>Allocation[[#This Row],[Quantity Processed]]/Allocation[[#This Row],[Dilution rate]]</f>
        <v>2683.333333333333</v>
      </c>
      <c r="T520" s="59">
        <f>SUMIF(Allocation[Delivery ID],Allocation[[#This Row],[Delivery ID]],Allocation[Quantity allocated])/SUMIF(Allocation[Delivery ID],Allocation[[#This Row],[Delivery ID]],Allocation[Volume available (kg)])</f>
        <v>0.99752687119755723</v>
      </c>
      <c r="U520" s="61">
        <f>Allocation[[#This Row],[Total volume used]]/VLOOKUP(Allocation[[#This Row],[Delivery ID]],Delivery[[Delivery ID]:[Quantity delivered]],3,FALSE)</f>
        <v>0.83575733516186079</v>
      </c>
      <c r="V520" s="34" t="e">
        <f>VLOOKUP(Allocation[[#This Row],[SAP Contract number]],Shipments[[SAP Contract number]:[Contracted container weight]],2,FALSE)</f>
        <v>#N/A</v>
      </c>
      <c r="W520" s="34" t="e">
        <f>VLOOKUP(Allocation[[#This Row],[SAP Contract number]],Shipments[[SAP Contract number]:[AAA Premium USD]],24,FALSE)</f>
        <v>#N/A</v>
      </c>
      <c r="X520" s="34" t="e">
        <f>VLOOKUP(Allocation[[#This Row],[SAP Contract number]],Shipments[[SAP Contract number]:[RA Premium USD]],25,FALSE)</f>
        <v>#N/A</v>
      </c>
      <c r="Y520" s="38">
        <f>Allocation[[#This Row],[Quantity Processed]]/Allocation[[#This Row],[Quantity allocated]]</f>
        <v>2.0409272002897501</v>
      </c>
      <c r="Z520" s="34" t="b">
        <f>Allocation[[#This Row],[Quantity allocated]]&lt;=Allocation[[#This Row],[Quantity Processed]]</f>
        <v>1</v>
      </c>
    </row>
    <row r="521" spans="1:26">
      <c r="A521" s="247" t="s">
        <v>467</v>
      </c>
      <c r="B521" s="160" t="s">
        <v>68</v>
      </c>
      <c r="C521" s="249" t="s">
        <v>1102</v>
      </c>
      <c r="D521" s="161">
        <v>12439</v>
      </c>
      <c r="E521" s="160" t="s">
        <v>1212</v>
      </c>
      <c r="F521" s="158">
        <v>43495</v>
      </c>
      <c r="G521" s="162">
        <v>2.1</v>
      </c>
      <c r="H521" s="159">
        <v>6095</v>
      </c>
      <c r="I521" s="160">
        <v>1429589</v>
      </c>
      <c r="J521" s="163">
        <v>21600</v>
      </c>
      <c r="K521" s="158">
        <v>43513</v>
      </c>
      <c r="L521" s="160" t="s">
        <v>1227</v>
      </c>
      <c r="M521" s="160">
        <v>4615485015</v>
      </c>
      <c r="N521" s="158">
        <v>43621</v>
      </c>
      <c r="O521" s="164">
        <v>3.8605</v>
      </c>
      <c r="P521" s="165">
        <v>19526</v>
      </c>
      <c r="Q521" s="34">
        <f>SUMIF(Allocation[Delivery ID],Allocation[[#This Row],[Delivery ID]],Allocation[Quantity Processed])</f>
        <v>25580</v>
      </c>
      <c r="R521" s="61">
        <f>Allocation[[#This Row],[Total volume used]]/VLOOKUP(Allocation[[#This Row],[Delivery ID]],Delivery[[Delivery ID]:[Quantity delivered]],3,FALSE)</f>
        <v>0.83499265545944179</v>
      </c>
      <c r="S521" s="34">
        <f>Allocation[[#This Row],[Quantity Processed]]/Allocation[[#This Row],[Dilution rate]]</f>
        <v>5923.333333333333</v>
      </c>
      <c r="T521" s="59">
        <f>SUMIF(Allocation[Delivery ID],Allocation[[#This Row],[Delivery ID]],Allocation[Quantity allocated])/SUMIF(Allocation[Delivery ID],Allocation[[#This Row],[Delivery ID]],Allocation[Volume available (kg)])</f>
        <v>0.9975858438419607</v>
      </c>
      <c r="U521" s="61">
        <f>Allocation[[#This Row],[Total volume used]]/VLOOKUP(Allocation[[#This Row],[Delivery ID]],Delivery[[Delivery ID]:[Quantity delivered]],3,FALSE)</f>
        <v>0.83499265545944179</v>
      </c>
      <c r="V521" s="34" t="e">
        <f>VLOOKUP(Allocation[[#This Row],[SAP Contract number]],Shipments[[SAP Contract number]:[Contracted container weight]],2,FALSE)</f>
        <v>#N/A</v>
      </c>
      <c r="W521" s="34" t="e">
        <f>VLOOKUP(Allocation[[#This Row],[SAP Contract number]],Shipments[[SAP Contract number]:[AAA Premium USD]],24,FALSE)</f>
        <v>#N/A</v>
      </c>
      <c r="X521" s="34" t="e">
        <f>VLOOKUP(Allocation[[#This Row],[SAP Contract number]],Shipments[[SAP Contract number]:[RA Premium USD]],25,FALSE)</f>
        <v>#N/A</v>
      </c>
      <c r="Y521" s="38">
        <f>Allocation[[#This Row],[Quantity Processed]]/Allocation[[#This Row],[Quantity allocated]]</f>
        <v>2.0408531583264971</v>
      </c>
      <c r="Z521" s="34" t="b">
        <f>Allocation[[#This Row],[Quantity allocated]]&lt;=Allocation[[#This Row],[Quantity Processed]]</f>
        <v>1</v>
      </c>
    </row>
    <row r="522" spans="1:26">
      <c r="A522" s="247" t="s">
        <v>467</v>
      </c>
      <c r="B522" s="160" t="s">
        <v>68</v>
      </c>
      <c r="C522" s="249" t="s">
        <v>1103</v>
      </c>
      <c r="D522" s="161">
        <v>9172</v>
      </c>
      <c r="E522" s="160" t="s">
        <v>1212</v>
      </c>
      <c r="F522" s="158">
        <v>43495</v>
      </c>
      <c r="G522" s="162">
        <v>2.1</v>
      </c>
      <c r="H522" s="159">
        <v>4494</v>
      </c>
      <c r="I522" s="160">
        <v>1429589</v>
      </c>
      <c r="J522" s="163">
        <v>21600</v>
      </c>
      <c r="K522" s="158">
        <v>43513</v>
      </c>
      <c r="L522" s="160" t="s">
        <v>1227</v>
      </c>
      <c r="M522" s="160">
        <v>4615485015</v>
      </c>
      <c r="N522" s="158">
        <v>43621</v>
      </c>
      <c r="O522" s="164">
        <v>3.8605</v>
      </c>
      <c r="P522" s="165">
        <v>19526</v>
      </c>
      <c r="Q522" s="34">
        <f>SUMIF(Allocation[Delivery ID],Allocation[[#This Row],[Delivery ID]],Allocation[Quantity Processed])</f>
        <v>21556</v>
      </c>
      <c r="R522" s="61">
        <f>Allocation[[#This Row],[Total volume used]]/VLOOKUP(Allocation[[#This Row],[Delivery ID]],Delivery[[Delivery ID]:[Quantity delivered]],3,FALSE)</f>
        <v>0.83534198798682424</v>
      </c>
      <c r="S522" s="34">
        <f>Allocation[[#This Row],[Quantity Processed]]/Allocation[[#This Row],[Dilution rate]]</f>
        <v>4367.6190476190477</v>
      </c>
      <c r="T522" s="59">
        <f>SUMIF(Allocation[Delivery ID],Allocation[[#This Row],[Delivery ID]],Allocation[Quantity allocated])/SUMIF(Allocation[Delivery ID],Allocation[[#This Row],[Delivery ID]],Allocation[Volume available (kg)])</f>
        <v>0.99766113176726967</v>
      </c>
      <c r="U522" s="61">
        <f>Allocation[[#This Row],[Total volume used]]/VLOOKUP(Allocation[[#This Row],[Delivery ID]],Delivery[[Delivery ID]:[Quantity delivered]],3,FALSE)</f>
        <v>0.83534198798682424</v>
      </c>
      <c r="V522" s="34" t="e">
        <f>VLOOKUP(Allocation[[#This Row],[SAP Contract number]],Shipments[[SAP Contract number]:[Contracted container weight]],2,FALSE)</f>
        <v>#N/A</v>
      </c>
      <c r="W522" s="34" t="e">
        <f>VLOOKUP(Allocation[[#This Row],[SAP Contract number]],Shipments[[SAP Contract number]:[AAA Premium USD]],24,FALSE)</f>
        <v>#N/A</v>
      </c>
      <c r="X522" s="34" t="e">
        <f>VLOOKUP(Allocation[[#This Row],[SAP Contract number]],Shipments[[SAP Contract number]:[RA Premium USD]],25,FALSE)</f>
        <v>#N/A</v>
      </c>
      <c r="Y522" s="38">
        <f>Allocation[[#This Row],[Quantity Processed]]/Allocation[[#This Row],[Quantity allocated]]</f>
        <v>2.0409434801958168</v>
      </c>
      <c r="Z522" s="34" t="b">
        <f>Allocation[[#This Row],[Quantity allocated]]&lt;=Allocation[[#This Row],[Quantity Processed]]</f>
        <v>1</v>
      </c>
    </row>
    <row r="523" spans="1:26">
      <c r="A523" s="247" t="s">
        <v>467</v>
      </c>
      <c r="B523" s="160" t="s">
        <v>68</v>
      </c>
      <c r="C523" s="249" t="s">
        <v>1103</v>
      </c>
      <c r="D523" s="161">
        <v>1316</v>
      </c>
      <c r="E523" s="160" t="s">
        <v>1212</v>
      </c>
      <c r="F523" s="158">
        <v>43495</v>
      </c>
      <c r="G523" s="162">
        <v>2.1</v>
      </c>
      <c r="H523" s="159">
        <v>645</v>
      </c>
      <c r="I523" s="160">
        <v>1429590</v>
      </c>
      <c r="J523" s="163">
        <v>21600</v>
      </c>
      <c r="K523" s="158">
        <v>43513</v>
      </c>
      <c r="L523" s="160" t="s">
        <v>1228</v>
      </c>
      <c r="M523" s="160">
        <v>4615485015</v>
      </c>
      <c r="N523" s="158">
        <v>43621</v>
      </c>
      <c r="O523" s="164">
        <v>3.8605</v>
      </c>
      <c r="P523" s="165">
        <v>19526</v>
      </c>
      <c r="Q523" s="34">
        <f>SUMIF(Allocation[Delivery ID],Allocation[[#This Row],[Delivery ID]],Allocation[Quantity Processed])</f>
        <v>21556</v>
      </c>
      <c r="R523" s="61">
        <f>Allocation[[#This Row],[Total volume used]]/VLOOKUP(Allocation[[#This Row],[Delivery ID]],Delivery[[Delivery ID]:[Quantity delivered]],3,FALSE)</f>
        <v>0.83534198798682424</v>
      </c>
      <c r="S523" s="34">
        <f>Allocation[[#This Row],[Quantity Processed]]/Allocation[[#This Row],[Dilution rate]]</f>
        <v>626.66666666666663</v>
      </c>
      <c r="T523" s="59">
        <f>SUMIF(Allocation[Delivery ID],Allocation[[#This Row],[Delivery ID]],Allocation[Quantity allocated])/SUMIF(Allocation[Delivery ID],Allocation[[#This Row],[Delivery ID]],Allocation[Volume available (kg)])</f>
        <v>0.99766113176726967</v>
      </c>
      <c r="U523" s="61">
        <f>Allocation[[#This Row],[Total volume used]]/VLOOKUP(Allocation[[#This Row],[Delivery ID]],Delivery[[Delivery ID]:[Quantity delivered]],3,FALSE)</f>
        <v>0.83534198798682424</v>
      </c>
      <c r="V523" s="34" t="e">
        <f>VLOOKUP(Allocation[[#This Row],[SAP Contract number]],Shipments[[SAP Contract number]:[Contracted container weight]],2,FALSE)</f>
        <v>#N/A</v>
      </c>
      <c r="W523" s="34" t="e">
        <f>VLOOKUP(Allocation[[#This Row],[SAP Contract number]],Shipments[[SAP Contract number]:[AAA Premium USD]],24,FALSE)</f>
        <v>#N/A</v>
      </c>
      <c r="X523" s="34" t="e">
        <f>VLOOKUP(Allocation[[#This Row],[SAP Contract number]],Shipments[[SAP Contract number]:[RA Premium USD]],25,FALSE)</f>
        <v>#N/A</v>
      </c>
      <c r="Y523" s="38">
        <f>Allocation[[#This Row],[Quantity Processed]]/Allocation[[#This Row],[Quantity allocated]]</f>
        <v>2.0403100775193797</v>
      </c>
      <c r="Z523" s="34" t="b">
        <f>Allocation[[#This Row],[Quantity allocated]]&lt;=Allocation[[#This Row],[Quantity Processed]]</f>
        <v>1</v>
      </c>
    </row>
    <row r="524" spans="1:26">
      <c r="A524" s="247" t="s">
        <v>467</v>
      </c>
      <c r="B524" s="160" t="s">
        <v>68</v>
      </c>
      <c r="C524" s="249" t="s">
        <v>1104</v>
      </c>
      <c r="D524" s="161">
        <v>725</v>
      </c>
      <c r="E524" s="160" t="s">
        <v>1212</v>
      </c>
      <c r="F524" s="158">
        <v>43495</v>
      </c>
      <c r="G524" s="162">
        <v>2.1</v>
      </c>
      <c r="H524" s="159">
        <v>290</v>
      </c>
      <c r="I524" s="160">
        <v>1429590</v>
      </c>
      <c r="J524" s="163">
        <v>21600</v>
      </c>
      <c r="K524" s="158">
        <v>43513</v>
      </c>
      <c r="L524" s="160" t="s">
        <v>1228</v>
      </c>
      <c r="M524" s="160">
        <v>4615485015</v>
      </c>
      <c r="N524" s="158">
        <v>43621</v>
      </c>
      <c r="O524" s="164">
        <v>3.8605</v>
      </c>
      <c r="P524" s="165">
        <v>19526</v>
      </c>
      <c r="Q524" s="34">
        <f>SUMIF(Allocation[Delivery ID],Allocation[[#This Row],[Delivery ID]],Allocation[Quantity Processed])</f>
        <v>4717.5</v>
      </c>
      <c r="R524" s="61">
        <f>Allocation[[#This Row],[Total volume used]]/VLOOKUP(Allocation[[#This Row],[Delivery ID]],Delivery[[Delivery ID]:[Quantity delivered]],3,FALSE)</f>
        <v>1</v>
      </c>
      <c r="S524" s="34">
        <f>Allocation[[#This Row],[Quantity Processed]]/Allocation[[#This Row],[Dilution rate]]</f>
        <v>345.23809523809524</v>
      </c>
      <c r="T524" s="59">
        <f>SUMIF(Allocation[Delivery ID],Allocation[[#This Row],[Delivery ID]],Allocation[Quantity allocated])/SUMIF(Allocation[Delivery ID],Allocation[[#This Row],[Delivery ID]],Allocation[Volume available (kg)])</f>
        <v>1.0217175128487634</v>
      </c>
      <c r="U524" s="61">
        <f>Allocation[[#This Row],[Total volume used]]/VLOOKUP(Allocation[[#This Row],[Delivery ID]],Delivery[[Delivery ID]:[Quantity delivered]],3,FALSE)</f>
        <v>1</v>
      </c>
      <c r="V524" s="34" t="e">
        <f>VLOOKUP(Allocation[[#This Row],[SAP Contract number]],Shipments[[SAP Contract number]:[Contracted container weight]],2,FALSE)</f>
        <v>#N/A</v>
      </c>
      <c r="W524" s="34" t="e">
        <f>VLOOKUP(Allocation[[#This Row],[SAP Contract number]],Shipments[[SAP Contract number]:[AAA Premium USD]],24,FALSE)</f>
        <v>#N/A</v>
      </c>
      <c r="X524" s="34" t="e">
        <f>VLOOKUP(Allocation[[#This Row],[SAP Contract number]],Shipments[[SAP Contract number]:[RA Premium USD]],25,FALSE)</f>
        <v>#N/A</v>
      </c>
      <c r="Y524" s="38">
        <f>Allocation[[#This Row],[Quantity Processed]]/Allocation[[#This Row],[Quantity allocated]]</f>
        <v>2.5</v>
      </c>
      <c r="Z524" s="34" t="b">
        <f>Allocation[[#This Row],[Quantity allocated]]&lt;=Allocation[[#This Row],[Quantity Processed]]</f>
        <v>1</v>
      </c>
    </row>
    <row r="525" spans="1:26">
      <c r="A525" s="247" t="s">
        <v>467</v>
      </c>
      <c r="B525" s="160" t="s">
        <v>68</v>
      </c>
      <c r="C525" s="249" t="s">
        <v>1105</v>
      </c>
      <c r="D525" s="161">
        <v>2170</v>
      </c>
      <c r="E525" s="160" t="s">
        <v>1212</v>
      </c>
      <c r="F525" s="158">
        <v>43495</v>
      </c>
      <c r="G525" s="162">
        <v>2.1</v>
      </c>
      <c r="H525" s="159">
        <v>868</v>
      </c>
      <c r="I525" s="160">
        <v>1429590</v>
      </c>
      <c r="J525" s="163">
        <v>21600</v>
      </c>
      <c r="K525" s="158">
        <v>43513</v>
      </c>
      <c r="L525" s="160" t="s">
        <v>1228</v>
      </c>
      <c r="M525" s="160">
        <v>4615485015</v>
      </c>
      <c r="N525" s="158">
        <v>43621</v>
      </c>
      <c r="O525" s="164">
        <v>3.8605</v>
      </c>
      <c r="P525" s="165">
        <v>19526</v>
      </c>
      <c r="Q525" s="34">
        <f>SUMIF(Allocation[Delivery ID],Allocation[[#This Row],[Delivery ID]],Allocation[Quantity Processed])</f>
        <v>12457</v>
      </c>
      <c r="R525" s="61">
        <f>Allocation[[#This Row],[Total volume used]]/VLOOKUP(Allocation[[#This Row],[Delivery ID]],Delivery[[Delivery ID]:[Quantity delivered]],3,FALSE)</f>
        <v>0.89961724561276812</v>
      </c>
      <c r="S525" s="34">
        <f>Allocation[[#This Row],[Quantity Processed]]/Allocation[[#This Row],[Dilution rate]]</f>
        <v>1033.3333333333333</v>
      </c>
      <c r="T525" s="59">
        <f>SUMIF(Allocation[Delivery ID],Allocation[[#This Row],[Delivery ID]],Allocation[Quantity allocated])/SUMIF(Allocation[Delivery ID],Allocation[[#This Row],[Delivery ID]],Allocation[Volume available (kg)])</f>
        <v>1.0187170394824583</v>
      </c>
      <c r="U525" s="61">
        <f>Allocation[[#This Row],[Total volume used]]/VLOOKUP(Allocation[[#This Row],[Delivery ID]],Delivery[[Delivery ID]:[Quantity delivered]],3,FALSE)</f>
        <v>0.89961724561276812</v>
      </c>
      <c r="V525" s="34" t="e">
        <f>VLOOKUP(Allocation[[#This Row],[SAP Contract number]],Shipments[[SAP Contract number]:[Contracted container weight]],2,FALSE)</f>
        <v>#N/A</v>
      </c>
      <c r="W525" s="34" t="e">
        <f>VLOOKUP(Allocation[[#This Row],[SAP Contract number]],Shipments[[SAP Contract number]:[AAA Premium USD]],24,FALSE)</f>
        <v>#N/A</v>
      </c>
      <c r="X525" s="34" t="e">
        <f>VLOOKUP(Allocation[[#This Row],[SAP Contract number]],Shipments[[SAP Contract number]:[RA Premium USD]],25,FALSE)</f>
        <v>#N/A</v>
      </c>
      <c r="Y525" s="38">
        <f>Allocation[[#This Row],[Quantity Processed]]/Allocation[[#This Row],[Quantity allocated]]</f>
        <v>2.5</v>
      </c>
      <c r="Z525" s="34" t="b">
        <f>Allocation[[#This Row],[Quantity allocated]]&lt;=Allocation[[#This Row],[Quantity Processed]]</f>
        <v>1</v>
      </c>
    </row>
    <row r="526" spans="1:26">
      <c r="A526" s="247" t="s">
        <v>467</v>
      </c>
      <c r="B526" s="160" t="s">
        <v>68</v>
      </c>
      <c r="C526" s="249" t="s">
        <v>1109</v>
      </c>
      <c r="D526" s="161">
        <v>4183</v>
      </c>
      <c r="E526" s="160" t="s">
        <v>1212</v>
      </c>
      <c r="F526" s="158">
        <v>43495</v>
      </c>
      <c r="G526" s="162">
        <v>2.1</v>
      </c>
      <c r="H526" s="159">
        <v>1464</v>
      </c>
      <c r="I526" s="160">
        <v>1429590</v>
      </c>
      <c r="J526" s="163">
        <v>21600</v>
      </c>
      <c r="K526" s="158">
        <v>43513</v>
      </c>
      <c r="L526" s="160" t="s">
        <v>1228</v>
      </c>
      <c r="M526" s="160">
        <v>4615485015</v>
      </c>
      <c r="N526" s="158">
        <v>43621</v>
      </c>
      <c r="O526" s="164">
        <v>3.8605</v>
      </c>
      <c r="P526" s="165">
        <v>19526</v>
      </c>
      <c r="Q526" s="34">
        <f>SUMIF(Allocation[Delivery ID],Allocation[[#This Row],[Delivery ID]],Allocation[Quantity Processed])</f>
        <v>23260</v>
      </c>
      <c r="R526" s="61">
        <f>Allocation[[#This Row],[Total volume used]]/VLOOKUP(Allocation[[#This Row],[Delivery ID]],Delivery[[Delivery ID]:[Quantity delivered]],3,FALSE)</f>
        <v>1</v>
      </c>
      <c r="S526" s="34">
        <f>Allocation[[#This Row],[Quantity Processed]]/Allocation[[#This Row],[Dilution rate]]</f>
        <v>1991.9047619047619</v>
      </c>
      <c r="T526" s="59">
        <f>SUMIF(Allocation[Delivery ID],Allocation[[#This Row],[Delivery ID]],Allocation[Quantity allocated])/SUMIF(Allocation[Delivery ID],Allocation[[#This Row],[Delivery ID]],Allocation[Volume available (kg)])</f>
        <v>0.89085097920131462</v>
      </c>
      <c r="U526" s="61">
        <f>Allocation[[#This Row],[Total volume used]]/VLOOKUP(Allocation[[#This Row],[Delivery ID]],Delivery[[Delivery ID]:[Quantity delivered]],3,FALSE)</f>
        <v>1</v>
      </c>
      <c r="V526" s="34" t="e">
        <f>VLOOKUP(Allocation[[#This Row],[SAP Contract number]],Shipments[[SAP Contract number]:[Contracted container weight]],2,FALSE)</f>
        <v>#N/A</v>
      </c>
      <c r="W526" s="34" t="e">
        <f>VLOOKUP(Allocation[[#This Row],[SAP Contract number]],Shipments[[SAP Contract number]:[AAA Premium USD]],24,FALSE)</f>
        <v>#N/A</v>
      </c>
      <c r="X526" s="34" t="e">
        <f>VLOOKUP(Allocation[[#This Row],[SAP Contract number]],Shipments[[SAP Contract number]:[RA Premium USD]],25,FALSE)</f>
        <v>#N/A</v>
      </c>
      <c r="Y526" s="38">
        <f>Allocation[[#This Row],[Quantity Processed]]/Allocation[[#This Row],[Quantity allocated]]</f>
        <v>2.8572404371584699</v>
      </c>
      <c r="Z526" s="34" t="b">
        <f>Allocation[[#This Row],[Quantity allocated]]&lt;=Allocation[[#This Row],[Quantity Processed]]</f>
        <v>1</v>
      </c>
    </row>
    <row r="527" spans="1:26">
      <c r="A527" s="247" t="s">
        <v>467</v>
      </c>
      <c r="B527" s="160" t="s">
        <v>68</v>
      </c>
      <c r="C527" s="249" t="s">
        <v>1116</v>
      </c>
      <c r="D527" s="161">
        <v>4438</v>
      </c>
      <c r="E527" s="160" t="s">
        <v>1212</v>
      </c>
      <c r="F527" s="158">
        <v>43495</v>
      </c>
      <c r="G527" s="162">
        <v>2.1</v>
      </c>
      <c r="H527" s="159">
        <v>1509</v>
      </c>
      <c r="I527" s="160">
        <v>1429590</v>
      </c>
      <c r="J527" s="163">
        <v>21600</v>
      </c>
      <c r="K527" s="158">
        <v>43513</v>
      </c>
      <c r="L527" s="160" t="s">
        <v>1228</v>
      </c>
      <c r="M527" s="160">
        <v>4615485015</v>
      </c>
      <c r="N527" s="158">
        <v>43621</v>
      </c>
      <c r="O527" s="164">
        <v>3.8605</v>
      </c>
      <c r="P527" s="165">
        <v>19526</v>
      </c>
      <c r="Q527" s="34">
        <f>SUMIF(Allocation[Delivery ID],Allocation[[#This Row],[Delivery ID]],Allocation[Quantity Processed])</f>
        <v>24010</v>
      </c>
      <c r="R527" s="61">
        <f>Allocation[[#This Row],[Total volume used]]/VLOOKUP(Allocation[[#This Row],[Delivery ID]],Delivery[[Delivery ID]:[Quantity delivered]],3,FALSE)</f>
        <v>1</v>
      </c>
      <c r="S527" s="34">
        <f>Allocation[[#This Row],[Quantity Processed]]/Allocation[[#This Row],[Dilution rate]]</f>
        <v>2113.333333333333</v>
      </c>
      <c r="T527" s="59">
        <f>SUMIF(Allocation[Delivery ID],Allocation[[#This Row],[Delivery ID]],Allocation[Quantity allocated])/SUMIF(Allocation[Delivery ID],Allocation[[#This Row],[Delivery ID]],Allocation[Volume available (kg)])</f>
        <v>0.86627879989489276</v>
      </c>
      <c r="U527" s="61">
        <f>Allocation[[#This Row],[Total volume used]]/VLOOKUP(Allocation[[#This Row],[Delivery ID]],Delivery[[Delivery ID]:[Quantity delivered]],3,FALSE)</f>
        <v>1</v>
      </c>
      <c r="V527" s="34" t="e">
        <f>VLOOKUP(Allocation[[#This Row],[SAP Contract number]],Shipments[[SAP Contract number]:[Contracted container weight]],2,FALSE)</f>
        <v>#N/A</v>
      </c>
      <c r="W527" s="34" t="e">
        <f>VLOOKUP(Allocation[[#This Row],[SAP Contract number]],Shipments[[SAP Contract number]:[AAA Premium USD]],24,FALSE)</f>
        <v>#N/A</v>
      </c>
      <c r="X527" s="34" t="e">
        <f>VLOOKUP(Allocation[[#This Row],[SAP Contract number]],Shipments[[SAP Contract number]:[RA Premium USD]],25,FALSE)</f>
        <v>#N/A</v>
      </c>
      <c r="Y527" s="38">
        <f>Allocation[[#This Row],[Quantity Processed]]/Allocation[[#This Row],[Quantity allocated]]</f>
        <v>2.9410205434062293</v>
      </c>
      <c r="Z527" s="34" t="b">
        <f>Allocation[[#This Row],[Quantity allocated]]&lt;=Allocation[[#This Row],[Quantity Processed]]</f>
        <v>1</v>
      </c>
    </row>
    <row r="528" spans="1:26">
      <c r="A528" s="247" t="s">
        <v>467</v>
      </c>
      <c r="B528" s="160" t="s">
        <v>68</v>
      </c>
      <c r="C528" s="249" t="s">
        <v>1118</v>
      </c>
      <c r="D528" s="161">
        <v>17444</v>
      </c>
      <c r="E528" s="160" t="s">
        <v>1212</v>
      </c>
      <c r="F528" s="158">
        <v>43495</v>
      </c>
      <c r="G528" s="162">
        <v>2.1</v>
      </c>
      <c r="H528" s="159">
        <v>7501</v>
      </c>
      <c r="I528" s="160">
        <v>1429590</v>
      </c>
      <c r="J528" s="163">
        <v>21600</v>
      </c>
      <c r="K528" s="158">
        <v>43513</v>
      </c>
      <c r="L528" s="160" t="s">
        <v>1228</v>
      </c>
      <c r="M528" s="160">
        <v>4615485015</v>
      </c>
      <c r="N528" s="158">
        <v>43621</v>
      </c>
      <c r="O528" s="164">
        <v>3.8605</v>
      </c>
      <c r="P528" s="165">
        <v>19526</v>
      </c>
      <c r="Q528" s="34">
        <f>SUMIF(Allocation[Delivery ID],Allocation[[#This Row],[Delivery ID]],Allocation[Quantity Processed])</f>
        <v>29102</v>
      </c>
      <c r="R528" s="61">
        <f>Allocation[[#This Row],[Total volume used]]/VLOOKUP(Allocation[[#This Row],[Delivery ID]],Delivery[[Delivery ID]:[Quantity delivered]],3,FALSE)</f>
        <v>0.93816892327530621</v>
      </c>
      <c r="S528" s="34">
        <f>Allocation[[#This Row],[Quantity Processed]]/Allocation[[#This Row],[Dilution rate]]</f>
        <v>8306.6666666666661</v>
      </c>
      <c r="T528" s="59">
        <f>SUMIF(Allocation[Delivery ID],Allocation[[#This Row],[Delivery ID]],Allocation[Quantity allocated])/SUMIF(Allocation[Delivery ID],Allocation[[#This Row],[Delivery ID]],Allocation[Volume available (kg)])</f>
        <v>0.98724339684173867</v>
      </c>
      <c r="U528" s="61">
        <f>Allocation[[#This Row],[Total volume used]]/VLOOKUP(Allocation[[#This Row],[Delivery ID]],Delivery[[Delivery ID]:[Quantity delivered]],3,FALSE)</f>
        <v>0.93816892327530621</v>
      </c>
      <c r="V528" s="34" t="e">
        <f>VLOOKUP(Allocation[[#This Row],[SAP Contract number]],Shipments[[SAP Contract number]:[Contracted container weight]],2,FALSE)</f>
        <v>#N/A</v>
      </c>
      <c r="W528" s="34" t="e">
        <f>VLOOKUP(Allocation[[#This Row],[SAP Contract number]],Shipments[[SAP Contract number]:[AAA Premium USD]],24,FALSE)</f>
        <v>#N/A</v>
      </c>
      <c r="X528" s="34" t="e">
        <f>VLOOKUP(Allocation[[#This Row],[SAP Contract number]],Shipments[[SAP Contract number]:[RA Premium USD]],25,FALSE)</f>
        <v>#N/A</v>
      </c>
      <c r="Y528" s="38">
        <f>Allocation[[#This Row],[Quantity Processed]]/Allocation[[#This Row],[Quantity allocated]]</f>
        <v>2.3255565924543395</v>
      </c>
      <c r="Z528" s="34" t="b">
        <f>Allocation[[#This Row],[Quantity allocated]]&lt;=Allocation[[#This Row],[Quantity Processed]]</f>
        <v>1</v>
      </c>
    </row>
    <row r="529" spans="1:26">
      <c r="A529" s="247" t="s">
        <v>467</v>
      </c>
      <c r="B529" s="160" t="s">
        <v>68</v>
      </c>
      <c r="C529" s="249" t="s">
        <v>1119</v>
      </c>
      <c r="D529" s="161">
        <v>17444</v>
      </c>
      <c r="E529" s="160" t="s">
        <v>1212</v>
      </c>
      <c r="F529" s="158">
        <v>43495</v>
      </c>
      <c r="G529" s="162">
        <v>2.1</v>
      </c>
      <c r="H529" s="159">
        <v>7501</v>
      </c>
      <c r="I529" s="160">
        <v>1429590</v>
      </c>
      <c r="J529" s="163">
        <v>21600</v>
      </c>
      <c r="K529" s="158">
        <v>43513</v>
      </c>
      <c r="L529" s="160" t="s">
        <v>1228</v>
      </c>
      <c r="M529" s="160">
        <v>4615485015</v>
      </c>
      <c r="N529" s="158">
        <v>43621</v>
      </c>
      <c r="O529" s="164">
        <v>3.8605</v>
      </c>
      <c r="P529" s="165">
        <v>19526</v>
      </c>
      <c r="Q529" s="34">
        <f>SUMIF(Allocation[Delivery ID],Allocation[[#This Row],[Delivery ID]],Allocation[Quantity Processed])</f>
        <v>29056</v>
      </c>
      <c r="R529" s="61">
        <f>Allocation[[#This Row],[Total volume used]]/VLOOKUP(Allocation[[#This Row],[Delivery ID]],Delivery[[Delivery ID]:[Quantity delivered]],3,FALSE)</f>
        <v>0.94062803496277114</v>
      </c>
      <c r="S529" s="34">
        <f>Allocation[[#This Row],[Quantity Processed]]/Allocation[[#This Row],[Dilution rate]]</f>
        <v>8306.6666666666661</v>
      </c>
      <c r="T529" s="59">
        <f>SUMIF(Allocation[Delivery ID],Allocation[[#This Row],[Delivery ID]],Allocation[Quantity allocated])/SUMIF(Allocation[Delivery ID],Allocation[[#This Row],[Delivery ID]],Allocation[Volume available (kg)])</f>
        <v>0.98700841277560369</v>
      </c>
      <c r="U529" s="61">
        <f>Allocation[[#This Row],[Total volume used]]/VLOOKUP(Allocation[[#This Row],[Delivery ID]],Delivery[[Delivery ID]:[Quantity delivered]],3,FALSE)</f>
        <v>0.94062803496277114</v>
      </c>
      <c r="V529" s="34" t="e">
        <f>VLOOKUP(Allocation[[#This Row],[SAP Contract number]],Shipments[[SAP Contract number]:[Contracted container weight]],2,FALSE)</f>
        <v>#N/A</v>
      </c>
      <c r="W529" s="34" t="e">
        <f>VLOOKUP(Allocation[[#This Row],[SAP Contract number]],Shipments[[SAP Contract number]:[AAA Premium USD]],24,FALSE)</f>
        <v>#N/A</v>
      </c>
      <c r="X529" s="34" t="e">
        <f>VLOOKUP(Allocation[[#This Row],[SAP Contract number]],Shipments[[SAP Contract number]:[RA Premium USD]],25,FALSE)</f>
        <v>#N/A</v>
      </c>
      <c r="Y529" s="38">
        <f>Allocation[[#This Row],[Quantity Processed]]/Allocation[[#This Row],[Quantity allocated]]</f>
        <v>2.3255565924543395</v>
      </c>
      <c r="Z529" s="34" t="b">
        <f>Allocation[[#This Row],[Quantity allocated]]&lt;=Allocation[[#This Row],[Quantity Processed]]</f>
        <v>1</v>
      </c>
    </row>
    <row r="530" spans="1:26">
      <c r="A530" s="247" t="s">
        <v>467</v>
      </c>
      <c r="B530" s="160" t="s">
        <v>68</v>
      </c>
      <c r="C530" s="249" t="s">
        <v>1121</v>
      </c>
      <c r="D530" s="161">
        <v>4237</v>
      </c>
      <c r="E530" s="160" t="s">
        <v>1212</v>
      </c>
      <c r="F530" s="158">
        <v>43495</v>
      </c>
      <c r="G530" s="162">
        <v>2.1</v>
      </c>
      <c r="H530" s="159">
        <v>1822</v>
      </c>
      <c r="I530" s="160">
        <v>1429590</v>
      </c>
      <c r="J530" s="163">
        <v>21600</v>
      </c>
      <c r="K530" s="158">
        <v>43513</v>
      </c>
      <c r="L530" s="160" t="s">
        <v>1228</v>
      </c>
      <c r="M530" s="160">
        <v>4615485015</v>
      </c>
      <c r="N530" s="158">
        <v>43621</v>
      </c>
      <c r="O530" s="164">
        <v>3.8605</v>
      </c>
      <c r="P530" s="165">
        <v>19526</v>
      </c>
      <c r="Q530" s="34">
        <f>SUMIF(Allocation[Delivery ID],Allocation[[#This Row],[Delivery ID]],Allocation[Quantity Processed])</f>
        <v>29140</v>
      </c>
      <c r="R530" s="61">
        <f>Allocation[[#This Row],[Total volume used]]/VLOOKUP(Allocation[[#This Row],[Delivery ID]],Delivery[[Delivery ID]:[Quantity delivered]],3,FALSE)</f>
        <v>0.93099041533546323</v>
      </c>
      <c r="S530" s="34">
        <f>Allocation[[#This Row],[Quantity Processed]]/Allocation[[#This Row],[Dilution rate]]</f>
        <v>2017.6190476190475</v>
      </c>
      <c r="T530" s="59">
        <f>SUMIF(Allocation[Delivery ID],Allocation[[#This Row],[Delivery ID]],Allocation[Quantity allocated])/SUMIF(Allocation[Delivery ID],Allocation[[#This Row],[Delivery ID]],Allocation[Volume available (kg)])</f>
        <v>0.98792443374064631</v>
      </c>
      <c r="U530" s="61">
        <f>Allocation[[#This Row],[Total volume used]]/VLOOKUP(Allocation[[#This Row],[Delivery ID]],Delivery[[Delivery ID]:[Quantity delivered]],3,FALSE)</f>
        <v>0.93099041533546323</v>
      </c>
      <c r="V530" s="34" t="e">
        <f>VLOOKUP(Allocation[[#This Row],[SAP Contract number]],Shipments[[SAP Contract number]:[Contracted container weight]],2,FALSE)</f>
        <v>#N/A</v>
      </c>
      <c r="W530" s="34" t="e">
        <f>VLOOKUP(Allocation[[#This Row],[SAP Contract number]],Shipments[[SAP Contract number]:[AAA Premium USD]],24,FALSE)</f>
        <v>#N/A</v>
      </c>
      <c r="X530" s="34" t="e">
        <f>VLOOKUP(Allocation[[#This Row],[SAP Contract number]],Shipments[[SAP Contract number]:[RA Premium USD]],25,FALSE)</f>
        <v>#N/A</v>
      </c>
      <c r="Y530" s="38">
        <f>Allocation[[#This Row],[Quantity Processed]]/Allocation[[#This Row],[Quantity allocated]]</f>
        <v>2.3254665203073546</v>
      </c>
      <c r="Z530" s="34" t="b">
        <f>Allocation[[#This Row],[Quantity allocated]]&lt;=Allocation[[#This Row],[Quantity Processed]]</f>
        <v>1</v>
      </c>
    </row>
    <row r="531" spans="1:26">
      <c r="A531" s="247" t="s">
        <v>467</v>
      </c>
      <c r="B531" s="160" t="s">
        <v>68</v>
      </c>
      <c r="C531" s="249" t="s">
        <v>1121</v>
      </c>
      <c r="D531" s="161">
        <v>13140</v>
      </c>
      <c r="E531" s="160" t="s">
        <v>1212</v>
      </c>
      <c r="F531" s="158">
        <v>43495</v>
      </c>
      <c r="G531" s="162">
        <v>2.1</v>
      </c>
      <c r="H531" s="159">
        <v>5650</v>
      </c>
      <c r="I531" s="160">
        <v>1429591</v>
      </c>
      <c r="J531" s="163">
        <v>21600</v>
      </c>
      <c r="K531" s="158">
        <v>43513</v>
      </c>
      <c r="L531" s="160" t="s">
        <v>1229</v>
      </c>
      <c r="M531" s="160">
        <v>4615485015</v>
      </c>
      <c r="N531" s="158">
        <v>43621</v>
      </c>
      <c r="O531" s="164">
        <v>3.8605</v>
      </c>
      <c r="P531" s="165">
        <v>19526</v>
      </c>
      <c r="Q531" s="34">
        <f>SUMIF(Allocation[Delivery ID],Allocation[[#This Row],[Delivery ID]],Allocation[Quantity Processed])</f>
        <v>29140</v>
      </c>
      <c r="R531" s="61">
        <f>Allocation[[#This Row],[Total volume used]]/VLOOKUP(Allocation[[#This Row],[Delivery ID]],Delivery[[Delivery ID]:[Quantity delivered]],3,FALSE)</f>
        <v>0.93099041533546323</v>
      </c>
      <c r="S531" s="34">
        <f>Allocation[[#This Row],[Quantity Processed]]/Allocation[[#This Row],[Dilution rate]]</f>
        <v>6257.1428571428569</v>
      </c>
      <c r="T531" s="59">
        <f>SUMIF(Allocation[Delivery ID],Allocation[[#This Row],[Delivery ID]],Allocation[Quantity allocated])/SUMIF(Allocation[Delivery ID],Allocation[[#This Row],[Delivery ID]],Allocation[Volume available (kg)])</f>
        <v>0.98792443374064631</v>
      </c>
      <c r="U531" s="61">
        <f>Allocation[[#This Row],[Total volume used]]/VLOOKUP(Allocation[[#This Row],[Delivery ID]],Delivery[[Delivery ID]:[Quantity delivered]],3,FALSE)</f>
        <v>0.93099041533546323</v>
      </c>
      <c r="V531" s="34" t="e">
        <f>VLOOKUP(Allocation[[#This Row],[SAP Contract number]],Shipments[[SAP Contract number]:[Contracted container weight]],2,FALSE)</f>
        <v>#N/A</v>
      </c>
      <c r="W531" s="34" t="e">
        <f>VLOOKUP(Allocation[[#This Row],[SAP Contract number]],Shipments[[SAP Contract number]:[AAA Premium USD]],24,FALSE)</f>
        <v>#N/A</v>
      </c>
      <c r="X531" s="34" t="e">
        <f>VLOOKUP(Allocation[[#This Row],[SAP Contract number]],Shipments[[SAP Contract number]:[RA Premium USD]],25,FALSE)</f>
        <v>#N/A</v>
      </c>
      <c r="Y531" s="38">
        <f>Allocation[[#This Row],[Quantity Processed]]/Allocation[[#This Row],[Quantity allocated]]</f>
        <v>2.3256637168141592</v>
      </c>
      <c r="Z531" s="34" t="b">
        <f>Allocation[[#This Row],[Quantity allocated]]&lt;=Allocation[[#This Row],[Quantity Processed]]</f>
        <v>1</v>
      </c>
    </row>
    <row r="532" spans="1:26">
      <c r="A532" s="247" t="s">
        <v>467</v>
      </c>
      <c r="B532" s="160" t="s">
        <v>68</v>
      </c>
      <c r="C532" s="249" t="s">
        <v>1123</v>
      </c>
      <c r="D532" s="161">
        <v>17444</v>
      </c>
      <c r="E532" s="160" t="s">
        <v>1212</v>
      </c>
      <c r="F532" s="158">
        <v>43495</v>
      </c>
      <c r="G532" s="162">
        <v>2.1</v>
      </c>
      <c r="H532" s="159">
        <v>7501</v>
      </c>
      <c r="I532" s="160">
        <v>1429591</v>
      </c>
      <c r="J532" s="163">
        <v>21600</v>
      </c>
      <c r="K532" s="158">
        <v>43513</v>
      </c>
      <c r="L532" s="160" t="s">
        <v>1229</v>
      </c>
      <c r="M532" s="160">
        <v>4615485015</v>
      </c>
      <c r="N532" s="158">
        <v>43621</v>
      </c>
      <c r="O532" s="164">
        <v>3.8605</v>
      </c>
      <c r="P532" s="165">
        <v>19526</v>
      </c>
      <c r="Q532" s="34">
        <f>SUMIF(Allocation[Delivery ID],Allocation[[#This Row],[Delivery ID]],Allocation[Quantity Processed])</f>
        <v>28827</v>
      </c>
      <c r="R532" s="61">
        <f>Allocation[[#This Row],[Total volume used]]/VLOOKUP(Allocation[[#This Row],[Delivery ID]],Delivery[[Delivery ID]:[Quantity delivered]],3,FALSE)</f>
        <v>0.95201453104359313</v>
      </c>
      <c r="S532" s="34">
        <f>Allocation[[#This Row],[Quantity Processed]]/Allocation[[#This Row],[Dilution rate]]</f>
        <v>8306.6666666666661</v>
      </c>
      <c r="T532" s="59">
        <f>SUMIF(Allocation[Delivery ID],Allocation[[#This Row],[Delivery ID]],Allocation[Quantity allocated])/SUMIF(Allocation[Delivery ID],Allocation[[#This Row],[Delivery ID]],Allocation[Volume available (kg)])</f>
        <v>0.98595213653173808</v>
      </c>
      <c r="U532" s="61">
        <f>Allocation[[#This Row],[Total volume used]]/VLOOKUP(Allocation[[#This Row],[Delivery ID]],Delivery[[Delivery ID]:[Quantity delivered]],3,FALSE)</f>
        <v>0.95201453104359313</v>
      </c>
      <c r="V532" s="34" t="e">
        <f>VLOOKUP(Allocation[[#This Row],[SAP Contract number]],Shipments[[SAP Contract number]:[Contracted container weight]],2,FALSE)</f>
        <v>#N/A</v>
      </c>
      <c r="W532" s="34" t="e">
        <f>VLOOKUP(Allocation[[#This Row],[SAP Contract number]],Shipments[[SAP Contract number]:[AAA Premium USD]],24,FALSE)</f>
        <v>#N/A</v>
      </c>
      <c r="X532" s="34" t="e">
        <f>VLOOKUP(Allocation[[#This Row],[SAP Contract number]],Shipments[[SAP Contract number]:[RA Premium USD]],25,FALSE)</f>
        <v>#N/A</v>
      </c>
      <c r="Y532" s="38">
        <f>Allocation[[#This Row],[Quantity Processed]]/Allocation[[#This Row],[Quantity allocated]]</f>
        <v>2.3255565924543395</v>
      </c>
      <c r="Z532" s="34" t="b">
        <f>Allocation[[#This Row],[Quantity allocated]]&lt;=Allocation[[#This Row],[Quantity Processed]]</f>
        <v>1</v>
      </c>
    </row>
    <row r="533" spans="1:26">
      <c r="A533" s="247" t="s">
        <v>467</v>
      </c>
      <c r="B533" s="160" t="s">
        <v>68</v>
      </c>
      <c r="C533" s="249" t="s">
        <v>1124</v>
      </c>
      <c r="D533" s="161">
        <v>1788</v>
      </c>
      <c r="E533" s="160" t="s">
        <v>1212</v>
      </c>
      <c r="F533" s="158">
        <v>43495</v>
      </c>
      <c r="G533" s="162">
        <v>2.1</v>
      </c>
      <c r="H533" s="159">
        <v>894</v>
      </c>
      <c r="I533" s="160">
        <v>1429591</v>
      </c>
      <c r="J533" s="163">
        <v>21600</v>
      </c>
      <c r="K533" s="158">
        <v>43513</v>
      </c>
      <c r="L533" s="160" t="s">
        <v>1229</v>
      </c>
      <c r="M533" s="160">
        <v>4615485015</v>
      </c>
      <c r="N533" s="158">
        <v>43621</v>
      </c>
      <c r="O533" s="164">
        <v>3.8605</v>
      </c>
      <c r="P533" s="165">
        <v>19526</v>
      </c>
      <c r="Q533" s="34">
        <f>SUMIF(Allocation[Delivery ID],Allocation[[#This Row],[Delivery ID]],Allocation[Quantity Processed])</f>
        <v>10256</v>
      </c>
      <c r="R533" s="61">
        <f>Allocation[[#This Row],[Total volume used]]/VLOOKUP(Allocation[[#This Row],[Delivery ID]],Delivery[[Delivery ID]:[Quantity delivered]],3,FALSE)</f>
        <v>0.71964354629337268</v>
      </c>
      <c r="S533" s="34">
        <f>Allocation[[#This Row],[Quantity Processed]]/Allocation[[#This Row],[Dilution rate]]</f>
        <v>851.42857142857144</v>
      </c>
      <c r="T533" s="59">
        <f>SUMIF(Allocation[Delivery ID],Allocation[[#This Row],[Delivery ID]],Allocation[Quantity allocated])/SUMIF(Allocation[Delivery ID],Allocation[[#This Row],[Delivery ID]],Allocation[Volume available (kg)])</f>
        <v>1.2735516020343203</v>
      </c>
      <c r="U533" s="61">
        <f>Allocation[[#This Row],[Total volume used]]/VLOOKUP(Allocation[[#This Row],[Delivery ID]],Delivery[[Delivery ID]:[Quantity delivered]],3,FALSE)</f>
        <v>0.71964354629337268</v>
      </c>
      <c r="V533" s="34" t="e">
        <f>VLOOKUP(Allocation[[#This Row],[SAP Contract number]],Shipments[[SAP Contract number]:[Contracted container weight]],2,FALSE)</f>
        <v>#N/A</v>
      </c>
      <c r="W533" s="34" t="e">
        <f>VLOOKUP(Allocation[[#This Row],[SAP Contract number]],Shipments[[SAP Contract number]:[AAA Premium USD]],24,FALSE)</f>
        <v>#N/A</v>
      </c>
      <c r="X533" s="34" t="e">
        <f>VLOOKUP(Allocation[[#This Row],[SAP Contract number]],Shipments[[SAP Contract number]:[RA Premium USD]],25,FALSE)</f>
        <v>#N/A</v>
      </c>
      <c r="Y533" s="38">
        <f>Allocation[[#This Row],[Quantity Processed]]/Allocation[[#This Row],[Quantity allocated]]</f>
        <v>2</v>
      </c>
      <c r="Z533" s="34" t="b">
        <f>Allocation[[#This Row],[Quantity allocated]]&lt;=Allocation[[#This Row],[Quantity Processed]]</f>
        <v>1</v>
      </c>
    </row>
    <row r="534" spans="1:26">
      <c r="A534" s="247" t="s">
        <v>467</v>
      </c>
      <c r="B534" s="160" t="s">
        <v>68</v>
      </c>
      <c r="C534" s="249" t="s">
        <v>1135</v>
      </c>
      <c r="D534" s="161">
        <v>4600</v>
      </c>
      <c r="E534" s="160" t="s">
        <v>1212</v>
      </c>
      <c r="F534" s="158">
        <v>43495</v>
      </c>
      <c r="G534" s="162">
        <v>2.1</v>
      </c>
      <c r="H534" s="159">
        <v>1380</v>
      </c>
      <c r="I534" s="160">
        <v>1429591</v>
      </c>
      <c r="J534" s="163">
        <v>21600</v>
      </c>
      <c r="K534" s="158">
        <v>43513</v>
      </c>
      <c r="L534" s="160" t="s">
        <v>1229</v>
      </c>
      <c r="M534" s="160">
        <v>4615485015</v>
      </c>
      <c r="N534" s="158">
        <v>43621</v>
      </c>
      <c r="O534" s="164">
        <v>3.8605</v>
      </c>
      <c r="P534" s="165">
        <v>19526</v>
      </c>
      <c r="Q534" s="34">
        <f>SUMIF(Allocation[Delivery ID],Allocation[[#This Row],[Delivery ID]],Allocation[Quantity Processed])</f>
        <v>22090</v>
      </c>
      <c r="R534" s="61">
        <f>Allocation[[#This Row],[Total volume used]]/VLOOKUP(Allocation[[#This Row],[Delivery ID]],Delivery[[Delivery ID]:[Quantity delivered]],3,FALSE)</f>
        <v>1</v>
      </c>
      <c r="S534" s="34">
        <f>Allocation[[#This Row],[Quantity Processed]]/Allocation[[#This Row],[Dilution rate]]</f>
        <v>2190.4761904761904</v>
      </c>
      <c r="T534" s="59">
        <f>SUMIF(Allocation[Delivery ID],Allocation[[#This Row],[Delivery ID]],Allocation[Quantity allocated])/SUMIF(Allocation[Delivery ID],Allocation[[#This Row],[Delivery ID]],Allocation[Volume available (kg)])</f>
        <v>0.76070962260021724</v>
      </c>
      <c r="U534" s="61">
        <f>Allocation[[#This Row],[Total volume used]]/VLOOKUP(Allocation[[#This Row],[Delivery ID]],Delivery[[Delivery ID]:[Quantity delivered]],3,FALSE)</f>
        <v>1</v>
      </c>
      <c r="V534" s="34" t="e">
        <f>VLOOKUP(Allocation[[#This Row],[SAP Contract number]],Shipments[[SAP Contract number]:[Contracted container weight]],2,FALSE)</f>
        <v>#N/A</v>
      </c>
      <c r="W534" s="34" t="e">
        <f>VLOOKUP(Allocation[[#This Row],[SAP Contract number]],Shipments[[SAP Contract number]:[AAA Premium USD]],24,FALSE)</f>
        <v>#N/A</v>
      </c>
      <c r="X534" s="34" t="e">
        <f>VLOOKUP(Allocation[[#This Row],[SAP Contract number]],Shipments[[SAP Contract number]:[RA Premium USD]],25,FALSE)</f>
        <v>#N/A</v>
      </c>
      <c r="Y534" s="38">
        <f>Allocation[[#This Row],[Quantity Processed]]/Allocation[[#This Row],[Quantity allocated]]</f>
        <v>3.3333333333333335</v>
      </c>
      <c r="Z534" s="34" t="b">
        <f>Allocation[[#This Row],[Quantity allocated]]&lt;=Allocation[[#This Row],[Quantity Processed]]</f>
        <v>1</v>
      </c>
    </row>
    <row r="535" spans="1:26">
      <c r="A535" s="247" t="s">
        <v>467</v>
      </c>
      <c r="B535" s="160" t="s">
        <v>68</v>
      </c>
      <c r="C535" s="249" t="s">
        <v>1138</v>
      </c>
      <c r="D535" s="161">
        <v>2409</v>
      </c>
      <c r="E535" s="160" t="s">
        <v>1212</v>
      </c>
      <c r="F535" s="158">
        <v>43495</v>
      </c>
      <c r="G535" s="162">
        <v>2.1</v>
      </c>
      <c r="H535" s="159">
        <v>1132</v>
      </c>
      <c r="I535" s="160">
        <v>1429591</v>
      </c>
      <c r="J535" s="163">
        <v>21600</v>
      </c>
      <c r="K535" s="158">
        <v>43513</v>
      </c>
      <c r="L535" s="160" t="s">
        <v>1229</v>
      </c>
      <c r="M535" s="160">
        <v>4615485015</v>
      </c>
      <c r="N535" s="158">
        <v>43621</v>
      </c>
      <c r="O535" s="164">
        <v>3.8605</v>
      </c>
      <c r="P535" s="165">
        <v>19526</v>
      </c>
      <c r="Q535" s="34">
        <f>SUMIF(Allocation[Delivery ID],Allocation[[#This Row],[Delivery ID]],Allocation[Quantity Processed])</f>
        <v>3000</v>
      </c>
      <c r="R535" s="61">
        <f>Allocation[[#This Row],[Total volume used]]/VLOOKUP(Allocation[[#This Row],[Delivery ID]],Delivery[[Delivery ID]:[Quantity delivered]],3,FALSE)</f>
        <v>1</v>
      </c>
      <c r="S535" s="34">
        <f>Allocation[[#This Row],[Quantity Processed]]/Allocation[[#This Row],[Dilution rate]]</f>
        <v>1147.1428571428571</v>
      </c>
      <c r="T535" s="59">
        <f>SUMIF(Allocation[Delivery ID],Allocation[[#This Row],[Delivery ID]],Allocation[Quantity allocated])/SUMIF(Allocation[Delivery ID],Allocation[[#This Row],[Delivery ID]],Allocation[Volume available (kg)])</f>
        <v>1.0309540327546829</v>
      </c>
      <c r="U535" s="61">
        <f>Allocation[[#This Row],[Total volume used]]/VLOOKUP(Allocation[[#This Row],[Delivery ID]],Delivery[[Delivery ID]:[Quantity delivered]],3,FALSE)</f>
        <v>1</v>
      </c>
      <c r="V535" s="34" t="e">
        <f>VLOOKUP(Allocation[[#This Row],[SAP Contract number]],Shipments[[SAP Contract number]:[Contracted container weight]],2,FALSE)</f>
        <v>#N/A</v>
      </c>
      <c r="W535" s="34" t="e">
        <f>VLOOKUP(Allocation[[#This Row],[SAP Contract number]],Shipments[[SAP Contract number]:[AAA Premium USD]],24,FALSE)</f>
        <v>#N/A</v>
      </c>
      <c r="X535" s="34" t="e">
        <f>VLOOKUP(Allocation[[#This Row],[SAP Contract number]],Shipments[[SAP Contract number]:[RA Premium USD]],25,FALSE)</f>
        <v>#N/A</v>
      </c>
      <c r="Y535" s="38">
        <f>Allocation[[#This Row],[Quantity Processed]]/Allocation[[#This Row],[Quantity allocated]]</f>
        <v>2.1280918727915195</v>
      </c>
      <c r="Z535" s="34" t="b">
        <f>Allocation[[#This Row],[Quantity allocated]]&lt;=Allocation[[#This Row],[Quantity Processed]]</f>
        <v>1</v>
      </c>
    </row>
    <row r="536" spans="1:26">
      <c r="A536" s="247" t="s">
        <v>467</v>
      </c>
      <c r="B536" s="160" t="s">
        <v>68</v>
      </c>
      <c r="C536" s="249" t="s">
        <v>1140</v>
      </c>
      <c r="D536" s="161">
        <v>3509</v>
      </c>
      <c r="E536" s="160" t="s">
        <v>1212</v>
      </c>
      <c r="F536" s="158">
        <v>43495</v>
      </c>
      <c r="G536" s="162">
        <v>2.1</v>
      </c>
      <c r="H536" s="159">
        <v>1649</v>
      </c>
      <c r="I536" s="160">
        <v>1429591</v>
      </c>
      <c r="J536" s="163">
        <v>21600</v>
      </c>
      <c r="K536" s="158">
        <v>43513</v>
      </c>
      <c r="L536" s="160" t="s">
        <v>1229</v>
      </c>
      <c r="M536" s="160">
        <v>4615485015</v>
      </c>
      <c r="N536" s="158">
        <v>43621</v>
      </c>
      <c r="O536" s="164">
        <v>3.8605</v>
      </c>
      <c r="P536" s="165">
        <v>19526</v>
      </c>
      <c r="Q536" s="34">
        <f>SUMIF(Allocation[Delivery ID],Allocation[[#This Row],[Delivery ID]],Allocation[Quantity Processed])</f>
        <v>26473</v>
      </c>
      <c r="R536" s="61">
        <f>Allocation[[#This Row],[Total volume used]]/VLOOKUP(Allocation[[#This Row],[Delivery ID]],Delivery[[Delivery ID]:[Quantity delivered]],3,FALSE)</f>
        <v>0.70935155412647377</v>
      </c>
      <c r="S536" s="34">
        <f>Allocation[[#This Row],[Quantity Processed]]/Allocation[[#This Row],[Dilution rate]]</f>
        <v>1670.952380952381</v>
      </c>
      <c r="T536" s="59">
        <f>SUMIF(Allocation[Delivery ID],Allocation[[#This Row],[Delivery ID]],Allocation[Quantity allocated])/SUMIF(Allocation[Delivery ID],Allocation[[#This Row],[Delivery ID]],Allocation[Volume available (kg)])</f>
        <v>1.2088176972477704</v>
      </c>
      <c r="U536" s="61">
        <f>Allocation[[#This Row],[Total volume used]]/VLOOKUP(Allocation[[#This Row],[Delivery ID]],Delivery[[Delivery ID]:[Quantity delivered]],3,FALSE)</f>
        <v>0.70935155412647377</v>
      </c>
      <c r="V536" s="34" t="e">
        <f>VLOOKUP(Allocation[[#This Row],[SAP Contract number]],Shipments[[SAP Contract number]:[Contracted container weight]],2,FALSE)</f>
        <v>#N/A</v>
      </c>
      <c r="W536" s="34" t="e">
        <f>VLOOKUP(Allocation[[#This Row],[SAP Contract number]],Shipments[[SAP Contract number]:[AAA Premium USD]],24,FALSE)</f>
        <v>#N/A</v>
      </c>
      <c r="X536" s="34" t="e">
        <f>VLOOKUP(Allocation[[#This Row],[SAP Contract number]],Shipments[[SAP Contract number]:[RA Premium USD]],25,FALSE)</f>
        <v>#N/A</v>
      </c>
      <c r="Y536" s="38">
        <f>Allocation[[#This Row],[Quantity Processed]]/Allocation[[#This Row],[Quantity allocated]]</f>
        <v>2.1279563371740449</v>
      </c>
      <c r="Z536" s="34" t="b">
        <f>Allocation[[#This Row],[Quantity allocated]]&lt;=Allocation[[#This Row],[Quantity Processed]]</f>
        <v>1</v>
      </c>
    </row>
    <row r="537" spans="1:26">
      <c r="A537" s="247" t="s">
        <v>467</v>
      </c>
      <c r="B537" s="160" t="s">
        <v>68</v>
      </c>
      <c r="C537" s="249" t="s">
        <v>1146</v>
      </c>
      <c r="D537" s="161">
        <v>3463</v>
      </c>
      <c r="E537" s="160" t="s">
        <v>1212</v>
      </c>
      <c r="F537" s="158">
        <v>43495</v>
      </c>
      <c r="G537" s="162">
        <v>2.1</v>
      </c>
      <c r="H537" s="159">
        <v>3394</v>
      </c>
      <c r="I537" s="160">
        <v>1429591</v>
      </c>
      <c r="J537" s="163">
        <v>21600</v>
      </c>
      <c r="K537" s="158">
        <v>43513</v>
      </c>
      <c r="L537" s="160" t="s">
        <v>1229</v>
      </c>
      <c r="M537" s="160">
        <v>4615485015</v>
      </c>
      <c r="N537" s="158">
        <v>43621</v>
      </c>
      <c r="O537" s="164">
        <v>3.8605</v>
      </c>
      <c r="P537" s="165">
        <v>19526</v>
      </c>
      <c r="Q537" s="34">
        <f>SUMIF(Allocation[Delivery ID],Allocation[[#This Row],[Delivery ID]],Allocation[Quantity Processed])</f>
        <v>21146</v>
      </c>
      <c r="R537" s="61">
        <f>Allocation[[#This Row],[Total volume used]]/VLOOKUP(Allocation[[#This Row],[Delivery ID]],Delivery[[Delivery ID]:[Quantity delivered]],3,FALSE)</f>
        <v>0.71102891728312034</v>
      </c>
      <c r="S537" s="34">
        <f>Allocation[[#This Row],[Quantity Processed]]/Allocation[[#This Row],[Dilution rate]]</f>
        <v>1649.047619047619</v>
      </c>
      <c r="T537" s="59">
        <f>SUMIF(Allocation[Delivery ID],Allocation[[#This Row],[Delivery ID]],Allocation[Quantity allocated])/SUMIF(Allocation[Delivery ID],Allocation[[#This Row],[Delivery ID]],Allocation[Volume available (kg)])</f>
        <v>1.9882647142436314</v>
      </c>
      <c r="U537" s="61">
        <f>Allocation[[#This Row],[Total volume used]]/VLOOKUP(Allocation[[#This Row],[Delivery ID]],Delivery[[Delivery ID]:[Quantity delivered]],3,FALSE)</f>
        <v>0.71102891728312034</v>
      </c>
      <c r="V537" s="34" t="e">
        <f>VLOOKUP(Allocation[[#This Row],[SAP Contract number]],Shipments[[SAP Contract number]:[Contracted container weight]],2,FALSE)</f>
        <v>#N/A</v>
      </c>
      <c r="W537" s="34" t="e">
        <f>VLOOKUP(Allocation[[#This Row],[SAP Contract number]],Shipments[[SAP Contract number]:[AAA Premium USD]],24,FALSE)</f>
        <v>#N/A</v>
      </c>
      <c r="X537" s="34" t="e">
        <f>VLOOKUP(Allocation[[#This Row],[SAP Contract number]],Shipments[[SAP Contract number]:[RA Premium USD]],25,FALSE)</f>
        <v>#N/A</v>
      </c>
      <c r="Y537" s="38">
        <f>Allocation[[#This Row],[Quantity Processed]]/Allocation[[#This Row],[Quantity allocated]]</f>
        <v>1.0203299941072481</v>
      </c>
      <c r="Z537" s="34" t="b">
        <f>Allocation[[#This Row],[Quantity allocated]]&lt;=Allocation[[#This Row],[Quantity Processed]]</f>
        <v>1</v>
      </c>
    </row>
    <row r="538" spans="1:26">
      <c r="A538" s="247" t="s">
        <v>467</v>
      </c>
      <c r="B538" s="160" t="s">
        <v>68</v>
      </c>
      <c r="C538" s="249" t="s">
        <v>1146</v>
      </c>
      <c r="D538" s="161">
        <v>14746</v>
      </c>
      <c r="E538" s="160" t="s">
        <v>1212</v>
      </c>
      <c r="F538" s="158">
        <v>43495</v>
      </c>
      <c r="G538" s="162">
        <v>2.1</v>
      </c>
      <c r="H538" s="159">
        <v>14451</v>
      </c>
      <c r="I538" s="160">
        <v>1429592</v>
      </c>
      <c r="J538" s="163">
        <v>21600</v>
      </c>
      <c r="K538" s="158">
        <v>43513</v>
      </c>
      <c r="L538" s="160" t="s">
        <v>1230</v>
      </c>
      <c r="M538" s="160">
        <v>4615485015</v>
      </c>
      <c r="N538" s="158">
        <v>43621</v>
      </c>
      <c r="O538" s="164">
        <v>3.8605</v>
      </c>
      <c r="P538" s="165">
        <v>19526</v>
      </c>
      <c r="Q538" s="34">
        <f>SUMIF(Allocation[Delivery ID],Allocation[[#This Row],[Delivery ID]],Allocation[Quantity Processed])</f>
        <v>21146</v>
      </c>
      <c r="R538" s="61">
        <f>Allocation[[#This Row],[Total volume used]]/VLOOKUP(Allocation[[#This Row],[Delivery ID]],Delivery[[Delivery ID]:[Quantity delivered]],3,FALSE)</f>
        <v>0.71102891728312034</v>
      </c>
      <c r="S538" s="34">
        <f>Allocation[[#This Row],[Quantity Processed]]/Allocation[[#This Row],[Dilution rate]]</f>
        <v>7021.9047619047615</v>
      </c>
      <c r="T538" s="59">
        <f>SUMIF(Allocation[Delivery ID],Allocation[[#This Row],[Delivery ID]],Allocation[Quantity allocated])/SUMIF(Allocation[Delivery ID],Allocation[[#This Row],[Delivery ID]],Allocation[Volume available (kg)])</f>
        <v>1.9882647142436314</v>
      </c>
      <c r="U538" s="61">
        <f>Allocation[[#This Row],[Total volume used]]/VLOOKUP(Allocation[[#This Row],[Delivery ID]],Delivery[[Delivery ID]:[Quantity delivered]],3,FALSE)</f>
        <v>0.71102891728312034</v>
      </c>
      <c r="V538" s="34" t="e">
        <f>VLOOKUP(Allocation[[#This Row],[SAP Contract number]],Shipments[[SAP Contract number]:[Contracted container weight]],2,FALSE)</f>
        <v>#N/A</v>
      </c>
      <c r="W538" s="34" t="e">
        <f>VLOOKUP(Allocation[[#This Row],[SAP Contract number]],Shipments[[SAP Contract number]:[AAA Premium USD]],24,FALSE)</f>
        <v>#N/A</v>
      </c>
      <c r="X538" s="34" t="e">
        <f>VLOOKUP(Allocation[[#This Row],[SAP Contract number]],Shipments[[SAP Contract number]:[RA Premium USD]],25,FALSE)</f>
        <v>#N/A</v>
      </c>
      <c r="Y538" s="38">
        <f>Allocation[[#This Row],[Quantity Processed]]/Allocation[[#This Row],[Quantity allocated]]</f>
        <v>1.0204138121929278</v>
      </c>
      <c r="Z538" s="34" t="b">
        <f>Allocation[[#This Row],[Quantity allocated]]&lt;=Allocation[[#This Row],[Quantity Processed]]</f>
        <v>1</v>
      </c>
    </row>
    <row r="539" spans="1:26">
      <c r="A539" s="247" t="s">
        <v>467</v>
      </c>
      <c r="B539" s="160" t="s">
        <v>68</v>
      </c>
      <c r="C539" s="249" t="s">
        <v>1148</v>
      </c>
      <c r="D539" s="161">
        <v>7295</v>
      </c>
      <c r="E539" s="160" t="s">
        <v>1212</v>
      </c>
      <c r="F539" s="158">
        <v>43495</v>
      </c>
      <c r="G539" s="162">
        <v>2.1</v>
      </c>
      <c r="H539" s="159">
        <v>7149</v>
      </c>
      <c r="I539" s="160">
        <v>1429592</v>
      </c>
      <c r="J539" s="163">
        <v>21600</v>
      </c>
      <c r="K539" s="158">
        <v>43513</v>
      </c>
      <c r="L539" s="160" t="s">
        <v>1230</v>
      </c>
      <c r="M539" s="160">
        <v>4615485015</v>
      </c>
      <c r="N539" s="158">
        <v>43621</v>
      </c>
      <c r="O539" s="164">
        <v>3.8605</v>
      </c>
      <c r="P539" s="165">
        <v>19526</v>
      </c>
      <c r="Q539" s="34">
        <f>SUMIF(Allocation[Delivery ID],Allocation[[#This Row],[Delivery ID]],Allocation[Quantity Processed])</f>
        <v>21200</v>
      </c>
      <c r="R539" s="61">
        <f>Allocation[[#This Row],[Total volume used]]/VLOOKUP(Allocation[[#This Row],[Delivery ID]],Delivery[[Delivery ID]:[Quantity delivered]],3,FALSE)</f>
        <v>0.70013210039630114</v>
      </c>
      <c r="S539" s="34">
        <f>Allocation[[#This Row],[Quantity Processed]]/Allocation[[#This Row],[Dilution rate]]</f>
        <v>3473.8095238095239</v>
      </c>
      <c r="T539" s="59">
        <f>SUMIF(Allocation[Delivery ID],Allocation[[#This Row],[Delivery ID]],Allocation[Quantity allocated])/SUMIF(Allocation[Delivery ID],Allocation[[#This Row],[Delivery ID]],Allocation[Volume available (kg)])</f>
        <v>1.9871252268254587</v>
      </c>
      <c r="U539" s="61">
        <f>Allocation[[#This Row],[Total volume used]]/VLOOKUP(Allocation[[#This Row],[Delivery ID]],Delivery[[Delivery ID]:[Quantity delivered]],3,FALSE)</f>
        <v>0.70013210039630114</v>
      </c>
      <c r="V539" s="34" t="e">
        <f>VLOOKUP(Allocation[[#This Row],[SAP Contract number]],Shipments[[SAP Contract number]:[Contracted container weight]],2,FALSE)</f>
        <v>#N/A</v>
      </c>
      <c r="W539" s="34" t="e">
        <f>VLOOKUP(Allocation[[#This Row],[SAP Contract number]],Shipments[[SAP Contract number]:[AAA Premium USD]],24,FALSE)</f>
        <v>#N/A</v>
      </c>
      <c r="X539" s="34" t="e">
        <f>VLOOKUP(Allocation[[#This Row],[SAP Contract number]],Shipments[[SAP Contract number]:[RA Premium USD]],25,FALSE)</f>
        <v>#N/A</v>
      </c>
      <c r="Y539" s="38">
        <f>Allocation[[#This Row],[Quantity Processed]]/Allocation[[#This Row],[Quantity allocated]]</f>
        <v>1.0204224367044341</v>
      </c>
      <c r="Z539" s="34" t="b">
        <f>Allocation[[#This Row],[Quantity allocated]]&lt;=Allocation[[#This Row],[Quantity Processed]]</f>
        <v>1</v>
      </c>
    </row>
    <row r="540" spans="1:26">
      <c r="A540" s="247" t="s">
        <v>467</v>
      </c>
      <c r="B540" s="160" t="s">
        <v>68</v>
      </c>
      <c r="C540" s="249" t="s">
        <v>1148</v>
      </c>
      <c r="D540" s="161">
        <v>10914</v>
      </c>
      <c r="E540" s="160" t="s">
        <v>1212</v>
      </c>
      <c r="F540" s="158">
        <v>43495</v>
      </c>
      <c r="G540" s="162">
        <v>2.1</v>
      </c>
      <c r="H540" s="159">
        <v>10696</v>
      </c>
      <c r="I540" s="160">
        <v>1429593</v>
      </c>
      <c r="J540" s="163">
        <v>21600</v>
      </c>
      <c r="K540" s="158">
        <v>43513</v>
      </c>
      <c r="L540" s="160" t="s">
        <v>1231</v>
      </c>
      <c r="M540" s="160">
        <v>4615485015</v>
      </c>
      <c r="N540" s="158">
        <v>43621</v>
      </c>
      <c r="O540" s="164">
        <v>3.8605</v>
      </c>
      <c r="P540" s="165">
        <v>19526</v>
      </c>
      <c r="Q540" s="34">
        <f>SUMIF(Allocation[Delivery ID],Allocation[[#This Row],[Delivery ID]],Allocation[Quantity Processed])</f>
        <v>21200</v>
      </c>
      <c r="R540" s="61">
        <f>Allocation[[#This Row],[Total volume used]]/VLOOKUP(Allocation[[#This Row],[Delivery ID]],Delivery[[Delivery ID]:[Quantity delivered]],3,FALSE)</f>
        <v>0.70013210039630114</v>
      </c>
      <c r="S540" s="34">
        <f>Allocation[[#This Row],[Quantity Processed]]/Allocation[[#This Row],[Dilution rate]]</f>
        <v>5197.1428571428569</v>
      </c>
      <c r="T540" s="59">
        <f>SUMIF(Allocation[Delivery ID],Allocation[[#This Row],[Delivery ID]],Allocation[Quantity allocated])/SUMIF(Allocation[Delivery ID],Allocation[[#This Row],[Delivery ID]],Allocation[Volume available (kg)])</f>
        <v>1.9871252268254587</v>
      </c>
      <c r="U540" s="61">
        <f>Allocation[[#This Row],[Total volume used]]/VLOOKUP(Allocation[[#This Row],[Delivery ID]],Delivery[[Delivery ID]:[Quantity delivered]],3,FALSE)</f>
        <v>0.70013210039630114</v>
      </c>
      <c r="V540" s="34" t="e">
        <f>VLOOKUP(Allocation[[#This Row],[SAP Contract number]],Shipments[[SAP Contract number]:[Contracted container weight]],2,FALSE)</f>
        <v>#N/A</v>
      </c>
      <c r="W540" s="34" t="e">
        <f>VLOOKUP(Allocation[[#This Row],[SAP Contract number]],Shipments[[SAP Contract number]:[AAA Premium USD]],24,FALSE)</f>
        <v>#N/A</v>
      </c>
      <c r="X540" s="34" t="e">
        <f>VLOOKUP(Allocation[[#This Row],[SAP Contract number]],Shipments[[SAP Contract number]:[RA Premium USD]],25,FALSE)</f>
        <v>#N/A</v>
      </c>
      <c r="Y540" s="38">
        <f>Allocation[[#This Row],[Quantity Processed]]/Allocation[[#This Row],[Quantity allocated]]</f>
        <v>1.0203814510097233</v>
      </c>
      <c r="Z540" s="34" t="b">
        <f>Allocation[[#This Row],[Quantity allocated]]&lt;=Allocation[[#This Row],[Quantity Processed]]</f>
        <v>1</v>
      </c>
    </row>
    <row r="541" spans="1:26">
      <c r="A541" s="247" t="s">
        <v>467</v>
      </c>
      <c r="B541" s="160" t="s">
        <v>68</v>
      </c>
      <c r="C541" s="249" t="s">
        <v>1149</v>
      </c>
      <c r="D541" s="161">
        <v>11126</v>
      </c>
      <c r="E541" s="160" t="s">
        <v>1212</v>
      </c>
      <c r="F541" s="158">
        <v>43495</v>
      </c>
      <c r="G541" s="162">
        <v>2.1</v>
      </c>
      <c r="H541" s="159">
        <v>10904</v>
      </c>
      <c r="I541" s="160">
        <v>1429593</v>
      </c>
      <c r="J541" s="163">
        <v>21600</v>
      </c>
      <c r="K541" s="158">
        <v>43513</v>
      </c>
      <c r="L541" s="160" t="s">
        <v>1231</v>
      </c>
      <c r="M541" s="160">
        <v>4615485015</v>
      </c>
      <c r="N541" s="158">
        <v>43621</v>
      </c>
      <c r="O541" s="164">
        <v>3.8605</v>
      </c>
      <c r="P541" s="165">
        <v>19526</v>
      </c>
      <c r="Q541" s="34">
        <f>SUMIF(Allocation[Delivery ID],Allocation[[#This Row],[Delivery ID]],Allocation[Quantity Processed])</f>
        <v>21167</v>
      </c>
      <c r="R541" s="61">
        <f>Allocation[[#This Row],[Total volume used]]/VLOOKUP(Allocation[[#This Row],[Delivery ID]],Delivery[[Delivery ID]:[Quantity delivered]],3,FALSE)</f>
        <v>0.70698062792251171</v>
      </c>
      <c r="S541" s="34">
        <f>Allocation[[#This Row],[Quantity Processed]]/Allocation[[#This Row],[Dilution rate]]</f>
        <v>5298.0952380952376</v>
      </c>
      <c r="T541" s="59">
        <f>SUMIF(Allocation[Delivery ID],Allocation[[#This Row],[Delivery ID]],Allocation[Quantity allocated])/SUMIF(Allocation[Delivery ID],Allocation[[#This Row],[Delivery ID]],Allocation[Volume available (kg)])</f>
        <v>1.987832972087862</v>
      </c>
      <c r="U541" s="61">
        <f>Allocation[[#This Row],[Total volume used]]/VLOOKUP(Allocation[[#This Row],[Delivery ID]],Delivery[[Delivery ID]:[Quantity delivered]],3,FALSE)</f>
        <v>0.70698062792251171</v>
      </c>
      <c r="V541" s="34" t="e">
        <f>VLOOKUP(Allocation[[#This Row],[SAP Contract number]],Shipments[[SAP Contract number]:[Contracted container weight]],2,FALSE)</f>
        <v>#N/A</v>
      </c>
      <c r="W541" s="34" t="e">
        <f>VLOOKUP(Allocation[[#This Row],[SAP Contract number]],Shipments[[SAP Contract number]:[AAA Premium USD]],24,FALSE)</f>
        <v>#N/A</v>
      </c>
      <c r="X541" s="34" t="e">
        <f>VLOOKUP(Allocation[[#This Row],[SAP Contract number]],Shipments[[SAP Contract number]:[RA Premium USD]],25,FALSE)</f>
        <v>#N/A</v>
      </c>
      <c r="Y541" s="38">
        <f>Allocation[[#This Row],[Quantity Processed]]/Allocation[[#This Row],[Quantity allocated]]</f>
        <v>1.0203595011005135</v>
      </c>
      <c r="Z541" s="34" t="b">
        <f>Allocation[[#This Row],[Quantity allocated]]&lt;=Allocation[[#This Row],[Quantity Processed]]</f>
        <v>1</v>
      </c>
    </row>
    <row r="542" spans="1:26">
      <c r="A542" s="247" t="s">
        <v>467</v>
      </c>
      <c r="B542" s="160" t="s">
        <v>68</v>
      </c>
      <c r="C542" s="249" t="s">
        <v>1149</v>
      </c>
      <c r="D542" s="161">
        <v>7083</v>
      </c>
      <c r="E542" s="160" t="s">
        <v>1212</v>
      </c>
      <c r="F542" s="158">
        <v>43495</v>
      </c>
      <c r="G542" s="162">
        <v>2.1</v>
      </c>
      <c r="H542" s="159">
        <v>6941</v>
      </c>
      <c r="I542" s="160">
        <v>1429594</v>
      </c>
      <c r="J542" s="163">
        <v>21600</v>
      </c>
      <c r="K542" s="158">
        <v>43513</v>
      </c>
      <c r="L542" s="160" t="s">
        <v>1232</v>
      </c>
      <c r="M542" s="160">
        <v>4615485015</v>
      </c>
      <c r="N542" s="158">
        <v>43621</v>
      </c>
      <c r="O542" s="164">
        <v>3.8605</v>
      </c>
      <c r="P542" s="165">
        <v>19526</v>
      </c>
      <c r="Q542" s="34">
        <f>SUMIF(Allocation[Delivery ID],Allocation[[#This Row],[Delivery ID]],Allocation[Quantity Processed])</f>
        <v>21167</v>
      </c>
      <c r="R542" s="61">
        <f>Allocation[[#This Row],[Total volume used]]/VLOOKUP(Allocation[[#This Row],[Delivery ID]],Delivery[[Delivery ID]:[Quantity delivered]],3,FALSE)</f>
        <v>0.70698062792251171</v>
      </c>
      <c r="S542" s="34">
        <f>Allocation[[#This Row],[Quantity Processed]]/Allocation[[#This Row],[Dilution rate]]</f>
        <v>3372.8571428571427</v>
      </c>
      <c r="T542" s="59">
        <f>SUMIF(Allocation[Delivery ID],Allocation[[#This Row],[Delivery ID]],Allocation[Quantity allocated])/SUMIF(Allocation[Delivery ID],Allocation[[#This Row],[Delivery ID]],Allocation[Volume available (kg)])</f>
        <v>1.987832972087862</v>
      </c>
      <c r="U542" s="61">
        <f>Allocation[[#This Row],[Total volume used]]/VLOOKUP(Allocation[[#This Row],[Delivery ID]],Delivery[[Delivery ID]:[Quantity delivered]],3,FALSE)</f>
        <v>0.70698062792251171</v>
      </c>
      <c r="V542" s="34" t="e">
        <f>VLOOKUP(Allocation[[#This Row],[SAP Contract number]],Shipments[[SAP Contract number]:[Contracted container weight]],2,FALSE)</f>
        <v>#N/A</v>
      </c>
      <c r="W542" s="34" t="e">
        <f>VLOOKUP(Allocation[[#This Row],[SAP Contract number]],Shipments[[SAP Contract number]:[AAA Premium USD]],24,FALSE)</f>
        <v>#N/A</v>
      </c>
      <c r="X542" s="34" t="e">
        <f>VLOOKUP(Allocation[[#This Row],[SAP Contract number]],Shipments[[SAP Contract number]:[RA Premium USD]],25,FALSE)</f>
        <v>#N/A</v>
      </c>
      <c r="Y542" s="38">
        <f>Allocation[[#This Row],[Quantity Processed]]/Allocation[[#This Row],[Quantity allocated]]</f>
        <v>1.0204581472410315</v>
      </c>
      <c r="Z542" s="34" t="b">
        <f>Allocation[[#This Row],[Quantity allocated]]&lt;=Allocation[[#This Row],[Quantity Processed]]</f>
        <v>1</v>
      </c>
    </row>
    <row r="543" spans="1:26">
      <c r="A543" s="247" t="s">
        <v>467</v>
      </c>
      <c r="B543" s="160" t="s">
        <v>68</v>
      </c>
      <c r="C543" s="249" t="s">
        <v>1151</v>
      </c>
      <c r="D543" s="161">
        <v>14958</v>
      </c>
      <c r="E543" s="160" t="s">
        <v>1212</v>
      </c>
      <c r="F543" s="158">
        <v>43495</v>
      </c>
      <c r="G543" s="162">
        <v>2.1</v>
      </c>
      <c r="H543" s="159">
        <v>14659</v>
      </c>
      <c r="I543" s="160">
        <v>1429594</v>
      </c>
      <c r="J543" s="163">
        <v>21600</v>
      </c>
      <c r="K543" s="158">
        <v>43513</v>
      </c>
      <c r="L543" s="160" t="s">
        <v>1232</v>
      </c>
      <c r="M543" s="160">
        <v>4615485015</v>
      </c>
      <c r="N543" s="158">
        <v>43621</v>
      </c>
      <c r="O543" s="164">
        <v>3.8605</v>
      </c>
      <c r="P543" s="165">
        <v>19526</v>
      </c>
      <c r="Q543" s="34">
        <f>SUMIF(Allocation[Delivery ID],Allocation[[#This Row],[Delivery ID]],Allocation[Quantity Processed])</f>
        <v>21146</v>
      </c>
      <c r="R543" s="61">
        <f>Allocation[[#This Row],[Total volume used]]/VLOOKUP(Allocation[[#This Row],[Delivery ID]],Delivery[[Delivery ID]:[Quantity delivered]],3,FALSE)</f>
        <v>0.71102891728312034</v>
      </c>
      <c r="S543" s="34">
        <f>Allocation[[#This Row],[Quantity Processed]]/Allocation[[#This Row],[Dilution rate]]</f>
        <v>7122.8571428571422</v>
      </c>
      <c r="T543" s="59">
        <f>SUMIF(Allocation[Delivery ID],Allocation[[#This Row],[Delivery ID]],Allocation[Quantity allocated])/SUMIF(Allocation[Delivery ID],Allocation[[#This Row],[Delivery ID]],Allocation[Volume available (kg)])</f>
        <v>1.9882647142436314</v>
      </c>
      <c r="U543" s="61">
        <f>Allocation[[#This Row],[Total volume used]]/VLOOKUP(Allocation[[#This Row],[Delivery ID]],Delivery[[Delivery ID]:[Quantity delivered]],3,FALSE)</f>
        <v>0.71102891728312034</v>
      </c>
      <c r="V543" s="34" t="e">
        <f>VLOOKUP(Allocation[[#This Row],[SAP Contract number]],Shipments[[SAP Contract number]:[Contracted container weight]],2,FALSE)</f>
        <v>#N/A</v>
      </c>
      <c r="W543" s="34" t="e">
        <f>VLOOKUP(Allocation[[#This Row],[SAP Contract number]],Shipments[[SAP Contract number]:[AAA Premium USD]],24,FALSE)</f>
        <v>#N/A</v>
      </c>
      <c r="X543" s="34" t="e">
        <f>VLOOKUP(Allocation[[#This Row],[SAP Contract number]],Shipments[[SAP Contract number]:[RA Premium USD]],25,FALSE)</f>
        <v>#N/A</v>
      </c>
      <c r="Y543" s="38">
        <f>Allocation[[#This Row],[Quantity Processed]]/Allocation[[#This Row],[Quantity allocated]]</f>
        <v>1.0203970257179888</v>
      </c>
      <c r="Z543" s="34" t="b">
        <f>Allocation[[#This Row],[Quantity allocated]]&lt;=Allocation[[#This Row],[Quantity Processed]]</f>
        <v>1</v>
      </c>
    </row>
    <row r="544" spans="1:26">
      <c r="A544" s="247" t="s">
        <v>467</v>
      </c>
      <c r="B544" s="160" t="s">
        <v>68</v>
      </c>
      <c r="C544" s="249" t="s">
        <v>1151</v>
      </c>
      <c r="D544" s="161">
        <v>3251</v>
      </c>
      <c r="E544" s="160" t="s">
        <v>1212</v>
      </c>
      <c r="F544" s="158">
        <v>43495</v>
      </c>
      <c r="G544" s="162">
        <v>2.1</v>
      </c>
      <c r="H544" s="159">
        <v>3186</v>
      </c>
      <c r="I544" s="160">
        <v>1429595</v>
      </c>
      <c r="J544" s="163">
        <v>21600</v>
      </c>
      <c r="K544" s="158">
        <v>43513</v>
      </c>
      <c r="L544" s="160" t="s">
        <v>1233</v>
      </c>
      <c r="M544" s="160">
        <v>4615485015</v>
      </c>
      <c r="N544" s="158">
        <v>43621</v>
      </c>
      <c r="O544" s="164">
        <v>3.8605</v>
      </c>
      <c r="P544" s="165">
        <v>19526</v>
      </c>
      <c r="Q544" s="34">
        <f>SUMIF(Allocation[Delivery ID],Allocation[[#This Row],[Delivery ID]],Allocation[Quantity Processed])</f>
        <v>21146</v>
      </c>
      <c r="R544" s="61">
        <f>Allocation[[#This Row],[Total volume used]]/VLOOKUP(Allocation[[#This Row],[Delivery ID]],Delivery[[Delivery ID]:[Quantity delivered]],3,FALSE)</f>
        <v>0.71102891728312034</v>
      </c>
      <c r="S544" s="34">
        <f>Allocation[[#This Row],[Quantity Processed]]/Allocation[[#This Row],[Dilution rate]]</f>
        <v>1548.0952380952381</v>
      </c>
      <c r="T544" s="59">
        <f>SUMIF(Allocation[Delivery ID],Allocation[[#This Row],[Delivery ID]],Allocation[Quantity allocated])/SUMIF(Allocation[Delivery ID],Allocation[[#This Row],[Delivery ID]],Allocation[Volume available (kg)])</f>
        <v>1.9882647142436314</v>
      </c>
      <c r="U544" s="61">
        <f>Allocation[[#This Row],[Total volume used]]/VLOOKUP(Allocation[[#This Row],[Delivery ID]],Delivery[[Delivery ID]:[Quantity delivered]],3,FALSE)</f>
        <v>0.71102891728312034</v>
      </c>
      <c r="V544" s="34" t="e">
        <f>VLOOKUP(Allocation[[#This Row],[SAP Contract number]],Shipments[[SAP Contract number]:[Contracted container weight]],2,FALSE)</f>
        <v>#N/A</v>
      </c>
      <c r="W544" s="34" t="e">
        <f>VLOOKUP(Allocation[[#This Row],[SAP Contract number]],Shipments[[SAP Contract number]:[AAA Premium USD]],24,FALSE)</f>
        <v>#N/A</v>
      </c>
      <c r="X544" s="34" t="e">
        <f>VLOOKUP(Allocation[[#This Row],[SAP Contract number]],Shipments[[SAP Contract number]:[RA Premium USD]],25,FALSE)</f>
        <v>#N/A</v>
      </c>
      <c r="Y544" s="38">
        <f>Allocation[[#This Row],[Quantity Processed]]/Allocation[[#This Row],[Quantity allocated]]</f>
        <v>1.0204017576898934</v>
      </c>
      <c r="Z544" s="34" t="b">
        <f>Allocation[[#This Row],[Quantity allocated]]&lt;=Allocation[[#This Row],[Quantity Processed]]</f>
        <v>1</v>
      </c>
    </row>
    <row r="545" spans="1:26">
      <c r="A545" s="247" t="s">
        <v>467</v>
      </c>
      <c r="B545" s="160" t="s">
        <v>68</v>
      </c>
      <c r="C545" s="249" t="s">
        <v>1152</v>
      </c>
      <c r="D545" s="161">
        <v>4311</v>
      </c>
      <c r="E545" s="160" t="s">
        <v>1212</v>
      </c>
      <c r="F545" s="158">
        <v>43495</v>
      </c>
      <c r="G545" s="162">
        <v>2.1</v>
      </c>
      <c r="H545" s="159">
        <v>1509</v>
      </c>
      <c r="I545" s="160">
        <v>1429595</v>
      </c>
      <c r="J545" s="163">
        <v>21600</v>
      </c>
      <c r="K545" s="158">
        <v>43513</v>
      </c>
      <c r="L545" s="160" t="s">
        <v>1233</v>
      </c>
      <c r="M545" s="160">
        <v>4615485015</v>
      </c>
      <c r="N545" s="158">
        <v>43621</v>
      </c>
      <c r="O545" s="164">
        <v>3.8605</v>
      </c>
      <c r="P545" s="165">
        <v>19526</v>
      </c>
      <c r="Q545" s="34">
        <f>SUMIF(Allocation[Delivery ID],Allocation[[#This Row],[Delivery ID]],Allocation[Quantity Processed])</f>
        <v>24112</v>
      </c>
      <c r="R545" s="61">
        <f>Allocation[[#This Row],[Total volume used]]/VLOOKUP(Allocation[[#This Row],[Delivery ID]],Delivery[[Delivery ID]:[Quantity delivered]],3,FALSE)</f>
        <v>1</v>
      </c>
      <c r="S545" s="34">
        <f>Allocation[[#This Row],[Quantity Processed]]/Allocation[[#This Row],[Dilution rate]]</f>
        <v>2052.8571428571427</v>
      </c>
      <c r="T545" s="59">
        <f>SUMIF(Allocation[Delivery ID],Allocation[[#This Row],[Delivery ID]],Allocation[Quantity allocated])/SUMIF(Allocation[Delivery ID],Allocation[[#This Row],[Delivery ID]],Allocation[Volume available (kg)])</f>
        <v>0.89115983858053149</v>
      </c>
      <c r="U545" s="61">
        <f>Allocation[[#This Row],[Total volume used]]/VLOOKUP(Allocation[[#This Row],[Delivery ID]],Delivery[[Delivery ID]:[Quantity delivered]],3,FALSE)</f>
        <v>1</v>
      </c>
      <c r="V545" s="34" t="e">
        <f>VLOOKUP(Allocation[[#This Row],[SAP Contract number]],Shipments[[SAP Contract number]:[Contracted container weight]],2,FALSE)</f>
        <v>#N/A</v>
      </c>
      <c r="W545" s="34" t="e">
        <f>VLOOKUP(Allocation[[#This Row],[SAP Contract number]],Shipments[[SAP Contract number]:[AAA Premium USD]],24,FALSE)</f>
        <v>#N/A</v>
      </c>
      <c r="X545" s="34" t="e">
        <f>VLOOKUP(Allocation[[#This Row],[SAP Contract number]],Shipments[[SAP Contract number]:[RA Premium USD]],25,FALSE)</f>
        <v>#N/A</v>
      </c>
      <c r="Y545" s="38">
        <f>Allocation[[#This Row],[Quantity Processed]]/Allocation[[#This Row],[Quantity allocated]]</f>
        <v>2.856858846918489</v>
      </c>
      <c r="Z545" s="34" t="b">
        <f>Allocation[[#This Row],[Quantity allocated]]&lt;=Allocation[[#This Row],[Quantity Processed]]</f>
        <v>1</v>
      </c>
    </row>
    <row r="546" spans="1:26">
      <c r="A546" s="247" t="s">
        <v>467</v>
      </c>
      <c r="B546" s="160" t="s">
        <v>68</v>
      </c>
      <c r="C546" s="249" t="s">
        <v>1153</v>
      </c>
      <c r="D546" s="161">
        <v>1077</v>
      </c>
      <c r="E546" s="160" t="s">
        <v>1212</v>
      </c>
      <c r="F546" s="158">
        <v>43495</v>
      </c>
      <c r="G546" s="162">
        <v>2.1</v>
      </c>
      <c r="H546" s="159">
        <v>377</v>
      </c>
      <c r="I546" s="160">
        <v>1429595</v>
      </c>
      <c r="J546" s="163">
        <v>21600</v>
      </c>
      <c r="K546" s="158">
        <v>43513</v>
      </c>
      <c r="L546" s="160" t="s">
        <v>1233</v>
      </c>
      <c r="M546" s="160">
        <v>4615485015</v>
      </c>
      <c r="N546" s="158">
        <v>43621</v>
      </c>
      <c r="O546" s="164">
        <v>3.8605</v>
      </c>
      <c r="P546" s="165">
        <v>19526</v>
      </c>
      <c r="Q546" s="34">
        <f>SUMIF(Allocation[Delivery ID],Allocation[[#This Row],[Delivery ID]],Allocation[Quantity Processed])</f>
        <v>6028</v>
      </c>
      <c r="R546" s="61">
        <f>Allocation[[#This Row],[Total volume used]]/VLOOKUP(Allocation[[#This Row],[Delivery ID]],Delivery[[Delivery ID]:[Quantity delivered]],3,FALSE)</f>
        <v>1</v>
      </c>
      <c r="S546" s="34">
        <f>Allocation[[#This Row],[Quantity Processed]]/Allocation[[#This Row],[Dilution rate]]</f>
        <v>512.85714285714289</v>
      </c>
      <c r="T546" s="59">
        <f>SUMIF(Allocation[Delivery ID],Allocation[[#This Row],[Delivery ID]],Allocation[Quantity allocated])/SUMIF(Allocation[Delivery ID],Allocation[[#This Row],[Delivery ID]],Allocation[Volume available (kg)])</f>
        <v>0.89160953867856818</v>
      </c>
      <c r="U546" s="61">
        <f>Allocation[[#This Row],[Total volume used]]/VLOOKUP(Allocation[[#This Row],[Delivery ID]],Delivery[[Delivery ID]:[Quantity delivered]],3,FALSE)</f>
        <v>1</v>
      </c>
      <c r="V546" s="34" t="e">
        <f>VLOOKUP(Allocation[[#This Row],[SAP Contract number]],Shipments[[SAP Contract number]:[Contracted container weight]],2,FALSE)</f>
        <v>#N/A</v>
      </c>
      <c r="W546" s="34" t="e">
        <f>VLOOKUP(Allocation[[#This Row],[SAP Contract number]],Shipments[[SAP Contract number]:[AAA Premium USD]],24,FALSE)</f>
        <v>#N/A</v>
      </c>
      <c r="X546" s="34" t="e">
        <f>VLOOKUP(Allocation[[#This Row],[SAP Contract number]],Shipments[[SAP Contract number]:[RA Premium USD]],25,FALSE)</f>
        <v>#N/A</v>
      </c>
      <c r="Y546" s="38">
        <f>Allocation[[#This Row],[Quantity Processed]]/Allocation[[#This Row],[Quantity allocated]]</f>
        <v>2.8567639257294428</v>
      </c>
      <c r="Z546" s="34" t="b">
        <f>Allocation[[#This Row],[Quantity allocated]]&lt;=Allocation[[#This Row],[Quantity Processed]]</f>
        <v>1</v>
      </c>
    </row>
    <row r="547" spans="1:26">
      <c r="A547" s="247" t="s">
        <v>467</v>
      </c>
      <c r="B547" s="160" t="s">
        <v>68</v>
      </c>
      <c r="C547" s="249" t="s">
        <v>1154</v>
      </c>
      <c r="D547" s="161">
        <v>5454</v>
      </c>
      <c r="E547" s="160" t="s">
        <v>1212</v>
      </c>
      <c r="F547" s="158">
        <v>43495</v>
      </c>
      <c r="G547" s="162">
        <v>2.1</v>
      </c>
      <c r="H547" s="159">
        <v>1909</v>
      </c>
      <c r="I547" s="160">
        <v>1429595</v>
      </c>
      <c r="J547" s="163">
        <v>21600</v>
      </c>
      <c r="K547" s="158">
        <v>43513</v>
      </c>
      <c r="L547" s="160" t="s">
        <v>1233</v>
      </c>
      <c r="M547" s="160">
        <v>4615485015</v>
      </c>
      <c r="N547" s="158">
        <v>43621</v>
      </c>
      <c r="O547" s="164">
        <v>3.8605</v>
      </c>
      <c r="P547" s="165">
        <v>19526</v>
      </c>
      <c r="Q547" s="34">
        <f>SUMIF(Allocation[Delivery ID],Allocation[[#This Row],[Delivery ID]],Allocation[Quantity Processed])</f>
        <v>30250</v>
      </c>
      <c r="R547" s="61">
        <f>Allocation[[#This Row],[Total volume used]]/VLOOKUP(Allocation[[#This Row],[Delivery ID]],Delivery[[Delivery ID]:[Quantity delivered]],3,FALSE)</f>
        <v>1</v>
      </c>
      <c r="S547" s="34">
        <f>Allocation[[#This Row],[Quantity Processed]]/Allocation[[#This Row],[Dilution rate]]</f>
        <v>2597.1428571428569</v>
      </c>
      <c r="T547" s="59">
        <f>SUMIF(Allocation[Delivery ID],Allocation[[#This Row],[Delivery ID]],Allocation[Quantity allocated])/SUMIF(Allocation[Delivery ID],Allocation[[#This Row],[Delivery ID]],Allocation[Volume available (kg)])</f>
        <v>0.89079977299863311</v>
      </c>
      <c r="U547" s="61">
        <f>Allocation[[#This Row],[Total volume used]]/VLOOKUP(Allocation[[#This Row],[Delivery ID]],Delivery[[Delivery ID]:[Quantity delivered]],3,FALSE)</f>
        <v>1</v>
      </c>
      <c r="V547" s="34" t="e">
        <f>VLOOKUP(Allocation[[#This Row],[SAP Contract number]],Shipments[[SAP Contract number]:[Contracted container weight]],2,FALSE)</f>
        <v>#N/A</v>
      </c>
      <c r="W547" s="34" t="e">
        <f>VLOOKUP(Allocation[[#This Row],[SAP Contract number]],Shipments[[SAP Contract number]:[AAA Premium USD]],24,FALSE)</f>
        <v>#N/A</v>
      </c>
      <c r="X547" s="34" t="e">
        <f>VLOOKUP(Allocation[[#This Row],[SAP Contract number]],Shipments[[SAP Contract number]:[RA Premium USD]],25,FALSE)</f>
        <v>#N/A</v>
      </c>
      <c r="Y547" s="38">
        <f>Allocation[[#This Row],[Quantity Processed]]/Allocation[[#This Row],[Quantity allocated]]</f>
        <v>2.8569931901519121</v>
      </c>
      <c r="Z547" s="34" t="b">
        <f>Allocation[[#This Row],[Quantity allocated]]&lt;=Allocation[[#This Row],[Quantity Processed]]</f>
        <v>1</v>
      </c>
    </row>
    <row r="548" spans="1:26">
      <c r="A548" s="247" t="s">
        <v>467</v>
      </c>
      <c r="B548" s="160" t="s">
        <v>68</v>
      </c>
      <c r="C548" s="249" t="s">
        <v>1155</v>
      </c>
      <c r="D548" s="161">
        <v>5400</v>
      </c>
      <c r="E548" s="160" t="s">
        <v>1212</v>
      </c>
      <c r="F548" s="158">
        <v>43495</v>
      </c>
      <c r="G548" s="162">
        <v>2.1</v>
      </c>
      <c r="H548" s="159">
        <v>1890</v>
      </c>
      <c r="I548" s="160">
        <v>1429595</v>
      </c>
      <c r="J548" s="163">
        <v>21600</v>
      </c>
      <c r="K548" s="158">
        <v>43513</v>
      </c>
      <c r="L548" s="160" t="s">
        <v>1233</v>
      </c>
      <c r="M548" s="160">
        <v>4615485015</v>
      </c>
      <c r="N548" s="158">
        <v>43621</v>
      </c>
      <c r="O548" s="164">
        <v>3.8605</v>
      </c>
      <c r="P548" s="165">
        <v>19526</v>
      </c>
      <c r="Q548" s="34">
        <f>SUMIF(Allocation[Delivery ID],Allocation[[#This Row],[Delivery ID]],Allocation[Quantity Processed])</f>
        <v>30110</v>
      </c>
      <c r="R548" s="61">
        <f>Allocation[[#This Row],[Total volume used]]/VLOOKUP(Allocation[[#This Row],[Delivery ID]],Delivery[[Delivery ID]:[Quantity delivered]],3,FALSE)</f>
        <v>1</v>
      </c>
      <c r="S548" s="34">
        <f>Allocation[[#This Row],[Quantity Processed]]/Allocation[[#This Row],[Dilution rate]]</f>
        <v>2571.4285714285711</v>
      </c>
      <c r="T548" s="59">
        <f>SUMIF(Allocation[Delivery ID],Allocation[[#This Row],[Delivery ID]],Allocation[Quantity allocated])/SUMIF(Allocation[Delivery ID],Allocation[[#This Row],[Delivery ID]],Allocation[Volume available (kg)])</f>
        <v>0.89099699146553557</v>
      </c>
      <c r="U548" s="61">
        <f>Allocation[[#This Row],[Total volume used]]/VLOOKUP(Allocation[[#This Row],[Delivery ID]],Delivery[[Delivery ID]:[Quantity delivered]],3,FALSE)</f>
        <v>1</v>
      </c>
      <c r="V548" s="34" t="e">
        <f>VLOOKUP(Allocation[[#This Row],[SAP Contract number]],Shipments[[SAP Contract number]:[Contracted container weight]],2,FALSE)</f>
        <v>#N/A</v>
      </c>
      <c r="W548" s="34" t="e">
        <f>VLOOKUP(Allocation[[#This Row],[SAP Contract number]],Shipments[[SAP Contract number]:[AAA Premium USD]],24,FALSE)</f>
        <v>#N/A</v>
      </c>
      <c r="X548" s="34" t="e">
        <f>VLOOKUP(Allocation[[#This Row],[SAP Contract number]],Shipments[[SAP Contract number]:[RA Premium USD]],25,FALSE)</f>
        <v>#N/A</v>
      </c>
      <c r="Y548" s="38">
        <f>Allocation[[#This Row],[Quantity Processed]]/Allocation[[#This Row],[Quantity allocated]]</f>
        <v>2.8571428571428572</v>
      </c>
      <c r="Z548" s="34" t="b">
        <f>Allocation[[#This Row],[Quantity allocated]]&lt;=Allocation[[#This Row],[Quantity Processed]]</f>
        <v>1</v>
      </c>
    </row>
    <row r="549" spans="1:26">
      <c r="A549" s="247" t="s">
        <v>467</v>
      </c>
      <c r="B549" s="160" t="s">
        <v>68</v>
      </c>
      <c r="C549" s="249" t="s">
        <v>1156</v>
      </c>
      <c r="D549" s="161">
        <v>5400</v>
      </c>
      <c r="E549" s="160" t="s">
        <v>1212</v>
      </c>
      <c r="F549" s="158">
        <v>43495</v>
      </c>
      <c r="G549" s="162">
        <v>2.1</v>
      </c>
      <c r="H549" s="159">
        <v>1890</v>
      </c>
      <c r="I549" s="160">
        <v>1429595</v>
      </c>
      <c r="J549" s="163">
        <v>21600</v>
      </c>
      <c r="K549" s="158">
        <v>43513</v>
      </c>
      <c r="L549" s="160" t="s">
        <v>1233</v>
      </c>
      <c r="M549" s="160">
        <v>4615485015</v>
      </c>
      <c r="N549" s="158">
        <v>43621</v>
      </c>
      <c r="O549" s="164">
        <v>3.8605</v>
      </c>
      <c r="P549" s="165">
        <v>19526</v>
      </c>
      <c r="Q549" s="34">
        <f>SUMIF(Allocation[Delivery ID],Allocation[[#This Row],[Delivery ID]],Allocation[Quantity Processed])</f>
        <v>17460</v>
      </c>
      <c r="R549" s="61">
        <f>Allocation[[#This Row],[Total volume used]]/VLOOKUP(Allocation[[#This Row],[Delivery ID]],Delivery[[Delivery ID]:[Quantity delivered]],3,FALSE)</f>
        <v>1</v>
      </c>
      <c r="S549" s="34">
        <f>Allocation[[#This Row],[Quantity Processed]]/Allocation[[#This Row],[Dilution rate]]</f>
        <v>2571.4285714285711</v>
      </c>
      <c r="T549" s="59">
        <f>SUMIF(Allocation[Delivery ID],Allocation[[#This Row],[Delivery ID]],Allocation[Quantity allocated])/SUMIF(Allocation[Delivery ID],Allocation[[#This Row],[Delivery ID]],Allocation[Volume available (kg)])</f>
        <v>0.87321674560920293</v>
      </c>
      <c r="U549" s="61">
        <f>Allocation[[#This Row],[Total volume used]]/VLOOKUP(Allocation[[#This Row],[Delivery ID]],Delivery[[Delivery ID]:[Quantity delivered]],3,FALSE)</f>
        <v>1</v>
      </c>
      <c r="V549" s="34" t="e">
        <f>VLOOKUP(Allocation[[#This Row],[SAP Contract number]],Shipments[[SAP Contract number]:[Contracted container weight]],2,FALSE)</f>
        <v>#N/A</v>
      </c>
      <c r="W549" s="34" t="e">
        <f>VLOOKUP(Allocation[[#This Row],[SAP Contract number]],Shipments[[SAP Contract number]:[AAA Premium USD]],24,FALSE)</f>
        <v>#N/A</v>
      </c>
      <c r="X549" s="34" t="e">
        <f>VLOOKUP(Allocation[[#This Row],[SAP Contract number]],Shipments[[SAP Contract number]:[RA Premium USD]],25,FALSE)</f>
        <v>#N/A</v>
      </c>
      <c r="Y549" s="38">
        <f>Allocation[[#This Row],[Quantity Processed]]/Allocation[[#This Row],[Quantity allocated]]</f>
        <v>2.8571428571428572</v>
      </c>
      <c r="Z549" s="34" t="b">
        <f>Allocation[[#This Row],[Quantity allocated]]&lt;=Allocation[[#This Row],[Quantity Processed]]</f>
        <v>1</v>
      </c>
    </row>
    <row r="550" spans="1:26">
      <c r="A550" s="247" t="s">
        <v>467</v>
      </c>
      <c r="B550" s="160" t="s">
        <v>68</v>
      </c>
      <c r="C550" s="249" t="s">
        <v>1157</v>
      </c>
      <c r="D550" s="161">
        <v>11174</v>
      </c>
      <c r="E550" s="160" t="s">
        <v>1212</v>
      </c>
      <c r="F550" s="158">
        <v>43495</v>
      </c>
      <c r="G550" s="162">
        <v>2.1</v>
      </c>
      <c r="H550" s="159">
        <v>10839</v>
      </c>
      <c r="I550" s="160">
        <v>1429595</v>
      </c>
      <c r="J550" s="163">
        <v>21600</v>
      </c>
      <c r="K550" s="158">
        <v>43513</v>
      </c>
      <c r="L550" s="160" t="s">
        <v>1233</v>
      </c>
      <c r="M550" s="160">
        <v>4615485015</v>
      </c>
      <c r="N550" s="158">
        <v>43621</v>
      </c>
      <c r="O550" s="164">
        <v>3.8605</v>
      </c>
      <c r="P550" s="165">
        <v>19526</v>
      </c>
      <c r="Q550" s="34">
        <f>SUMIF(Allocation[Delivery ID],Allocation[[#This Row],[Delivery ID]],Allocation[Quantity Processed])</f>
        <v>21103</v>
      </c>
      <c r="R550" s="61">
        <f>Allocation[[#This Row],[Total volume used]]/VLOOKUP(Allocation[[#This Row],[Delivery ID]],Delivery[[Delivery ID]:[Quantity delivered]],3,FALSE)</f>
        <v>0.70767940979208588</v>
      </c>
      <c r="S550" s="34">
        <f>Allocation[[#This Row],[Quantity Processed]]/Allocation[[#This Row],[Dilution rate]]</f>
        <v>5320.9523809523807</v>
      </c>
      <c r="T550" s="59">
        <f>SUMIF(Allocation[Delivery ID],Allocation[[#This Row],[Delivery ID]],Allocation[Quantity allocated])/SUMIF(Allocation[Delivery ID],Allocation[[#This Row],[Delivery ID]],Allocation[Volume available (kg)])</f>
        <v>1.9937856412751944</v>
      </c>
      <c r="U550" s="61">
        <f>Allocation[[#This Row],[Total volume used]]/VLOOKUP(Allocation[[#This Row],[Delivery ID]],Delivery[[Delivery ID]:[Quantity delivered]],3,FALSE)</f>
        <v>0.70767940979208588</v>
      </c>
      <c r="V550" s="34" t="e">
        <f>VLOOKUP(Allocation[[#This Row],[SAP Contract number]],Shipments[[SAP Contract number]:[Contracted container weight]],2,FALSE)</f>
        <v>#N/A</v>
      </c>
      <c r="W550" s="34" t="e">
        <f>VLOOKUP(Allocation[[#This Row],[SAP Contract number]],Shipments[[SAP Contract number]:[AAA Premium USD]],24,FALSE)</f>
        <v>#N/A</v>
      </c>
      <c r="X550" s="34" t="e">
        <f>VLOOKUP(Allocation[[#This Row],[SAP Contract number]],Shipments[[SAP Contract number]:[RA Premium USD]],25,FALSE)</f>
        <v>#N/A</v>
      </c>
      <c r="Y550" s="38">
        <f>Allocation[[#This Row],[Quantity Processed]]/Allocation[[#This Row],[Quantity allocated]]</f>
        <v>1.0309069102315711</v>
      </c>
      <c r="Z550" s="34" t="b">
        <f>Allocation[[#This Row],[Quantity allocated]]&lt;=Allocation[[#This Row],[Quantity Processed]]</f>
        <v>1</v>
      </c>
    </row>
    <row r="551" spans="1:26">
      <c r="A551" s="247" t="s">
        <v>467</v>
      </c>
      <c r="B551" s="160" t="s">
        <v>68</v>
      </c>
      <c r="C551" s="249" t="s">
        <v>1157</v>
      </c>
      <c r="D551" s="161">
        <v>7223</v>
      </c>
      <c r="E551" s="160" t="s">
        <v>1212</v>
      </c>
      <c r="F551" s="158">
        <v>43495</v>
      </c>
      <c r="G551" s="162">
        <v>2.1</v>
      </c>
      <c r="H551" s="159">
        <v>7006</v>
      </c>
      <c r="I551" s="160">
        <v>1429596</v>
      </c>
      <c r="J551" s="163">
        <v>21600</v>
      </c>
      <c r="K551" s="158">
        <v>43513</v>
      </c>
      <c r="L551" s="160" t="s">
        <v>1234</v>
      </c>
      <c r="M551" s="160">
        <v>4615485015</v>
      </c>
      <c r="N551" s="158">
        <v>43621</v>
      </c>
      <c r="O551" s="164">
        <v>3.8605</v>
      </c>
      <c r="P551" s="165">
        <v>19526</v>
      </c>
      <c r="Q551" s="34">
        <f>SUMIF(Allocation[Delivery ID],Allocation[[#This Row],[Delivery ID]],Allocation[Quantity Processed])</f>
        <v>21103</v>
      </c>
      <c r="R551" s="61">
        <f>Allocation[[#This Row],[Total volume used]]/VLOOKUP(Allocation[[#This Row],[Delivery ID]],Delivery[[Delivery ID]:[Quantity delivered]],3,FALSE)</f>
        <v>0.70767940979208588</v>
      </c>
      <c r="S551" s="34">
        <f>Allocation[[#This Row],[Quantity Processed]]/Allocation[[#This Row],[Dilution rate]]</f>
        <v>3439.5238095238092</v>
      </c>
      <c r="T551" s="59">
        <f>SUMIF(Allocation[Delivery ID],Allocation[[#This Row],[Delivery ID]],Allocation[Quantity allocated])/SUMIF(Allocation[Delivery ID],Allocation[[#This Row],[Delivery ID]],Allocation[Volume available (kg)])</f>
        <v>1.9937856412751944</v>
      </c>
      <c r="U551" s="61">
        <f>Allocation[[#This Row],[Total volume used]]/VLOOKUP(Allocation[[#This Row],[Delivery ID]],Delivery[[Delivery ID]:[Quantity delivered]],3,FALSE)</f>
        <v>0.70767940979208588</v>
      </c>
      <c r="V551" s="34" t="e">
        <f>VLOOKUP(Allocation[[#This Row],[SAP Contract number]],Shipments[[SAP Contract number]:[Contracted container weight]],2,FALSE)</f>
        <v>#N/A</v>
      </c>
      <c r="W551" s="34" t="e">
        <f>VLOOKUP(Allocation[[#This Row],[SAP Contract number]],Shipments[[SAP Contract number]:[AAA Premium USD]],24,FALSE)</f>
        <v>#N/A</v>
      </c>
      <c r="X551" s="34" t="e">
        <f>VLOOKUP(Allocation[[#This Row],[SAP Contract number]],Shipments[[SAP Contract number]:[RA Premium USD]],25,FALSE)</f>
        <v>#N/A</v>
      </c>
      <c r="Y551" s="38">
        <f>Allocation[[#This Row],[Quantity Processed]]/Allocation[[#This Row],[Quantity allocated]]</f>
        <v>1.0309734513274336</v>
      </c>
      <c r="Z551" s="34" t="b">
        <f>Allocation[[#This Row],[Quantity allocated]]&lt;=Allocation[[#This Row],[Quantity Processed]]</f>
        <v>1</v>
      </c>
    </row>
    <row r="552" spans="1:26">
      <c r="A552" s="247" t="s">
        <v>467</v>
      </c>
      <c r="B552" s="160" t="s">
        <v>68</v>
      </c>
      <c r="C552" s="249" t="s">
        <v>1158</v>
      </c>
      <c r="D552" s="161">
        <v>15045</v>
      </c>
      <c r="E552" s="160" t="s">
        <v>1212</v>
      </c>
      <c r="F552" s="158">
        <v>43495</v>
      </c>
      <c r="G552" s="162">
        <v>2.1</v>
      </c>
      <c r="H552" s="159">
        <v>14594</v>
      </c>
      <c r="I552" s="160">
        <v>1429596</v>
      </c>
      <c r="J552" s="163">
        <v>21600</v>
      </c>
      <c r="K552" s="158">
        <v>43513</v>
      </c>
      <c r="L552" s="160" t="s">
        <v>1234</v>
      </c>
      <c r="M552" s="160">
        <v>4615485015</v>
      </c>
      <c r="N552" s="158">
        <v>43621</v>
      </c>
      <c r="O552" s="164">
        <v>3.8605</v>
      </c>
      <c r="P552" s="165">
        <v>19526</v>
      </c>
      <c r="Q552" s="34">
        <f>SUMIF(Allocation[Delivery ID],Allocation[[#This Row],[Delivery ID]],Allocation[Quantity Processed])</f>
        <v>21164</v>
      </c>
      <c r="R552" s="61">
        <f>Allocation[[#This Row],[Total volume used]]/VLOOKUP(Allocation[[#This Row],[Delivery ID]],Delivery[[Delivery ID]:[Quantity delivered]],3,FALSE)</f>
        <v>0.69412922269596589</v>
      </c>
      <c r="S552" s="34">
        <f>Allocation[[#This Row],[Quantity Processed]]/Allocation[[#This Row],[Dilution rate]]</f>
        <v>7164.2857142857138</v>
      </c>
      <c r="T552" s="59">
        <f>SUMIF(Allocation[Delivery ID],Allocation[[#This Row],[Delivery ID]],Allocation[Quantity allocated])/SUMIF(Allocation[Delivery ID],Allocation[[#This Row],[Delivery ID]],Allocation[Volume available (kg)])</f>
        <v>1.9929348960070636</v>
      </c>
      <c r="U552" s="61">
        <f>Allocation[[#This Row],[Total volume used]]/VLOOKUP(Allocation[[#This Row],[Delivery ID]],Delivery[[Delivery ID]:[Quantity delivered]],3,FALSE)</f>
        <v>0.69412922269596589</v>
      </c>
      <c r="V552" s="34" t="e">
        <f>VLOOKUP(Allocation[[#This Row],[SAP Contract number]],Shipments[[SAP Contract number]:[Contracted container weight]],2,FALSE)</f>
        <v>#N/A</v>
      </c>
      <c r="W552" s="34" t="e">
        <f>VLOOKUP(Allocation[[#This Row],[SAP Contract number]],Shipments[[SAP Contract number]:[AAA Premium USD]],24,FALSE)</f>
        <v>#N/A</v>
      </c>
      <c r="X552" s="34" t="e">
        <f>VLOOKUP(Allocation[[#This Row],[SAP Contract number]],Shipments[[SAP Contract number]:[RA Premium USD]],25,FALSE)</f>
        <v>#N/A</v>
      </c>
      <c r="Y552" s="38">
        <f>Allocation[[#This Row],[Quantity Processed]]/Allocation[[#This Row],[Quantity allocated]]</f>
        <v>1.0309031108674798</v>
      </c>
      <c r="Z552" s="34" t="b">
        <f>Allocation[[#This Row],[Quantity allocated]]&lt;=Allocation[[#This Row],[Quantity Processed]]</f>
        <v>1</v>
      </c>
    </row>
    <row r="553" spans="1:26">
      <c r="A553" s="247" t="s">
        <v>467</v>
      </c>
      <c r="B553" s="160" t="s">
        <v>68</v>
      </c>
      <c r="C553" s="249" t="s">
        <v>1158</v>
      </c>
      <c r="D553" s="161">
        <v>3352</v>
      </c>
      <c r="E553" s="160" t="s">
        <v>1212</v>
      </c>
      <c r="F553" s="158">
        <v>43495</v>
      </c>
      <c r="G553" s="162">
        <v>2.1</v>
      </c>
      <c r="H553" s="159">
        <v>3251</v>
      </c>
      <c r="I553" s="160">
        <v>1429597</v>
      </c>
      <c r="J553" s="163">
        <v>21600</v>
      </c>
      <c r="K553" s="158">
        <v>43513</v>
      </c>
      <c r="L553" s="160" t="s">
        <v>1235</v>
      </c>
      <c r="M553" s="160">
        <v>4615485015</v>
      </c>
      <c r="N553" s="158">
        <v>43621</v>
      </c>
      <c r="O553" s="164">
        <v>3.8605</v>
      </c>
      <c r="P553" s="165">
        <v>19526</v>
      </c>
      <c r="Q553" s="34">
        <f>SUMIF(Allocation[Delivery ID],Allocation[[#This Row],[Delivery ID]],Allocation[Quantity Processed])</f>
        <v>21164</v>
      </c>
      <c r="R553" s="61">
        <f>Allocation[[#This Row],[Total volume used]]/VLOOKUP(Allocation[[#This Row],[Delivery ID]],Delivery[[Delivery ID]:[Quantity delivered]],3,FALSE)</f>
        <v>0.69412922269596589</v>
      </c>
      <c r="S553" s="34">
        <f>Allocation[[#This Row],[Quantity Processed]]/Allocation[[#This Row],[Dilution rate]]</f>
        <v>1596.1904761904761</v>
      </c>
      <c r="T553" s="59">
        <f>SUMIF(Allocation[Delivery ID],Allocation[[#This Row],[Delivery ID]],Allocation[Quantity allocated])/SUMIF(Allocation[Delivery ID],Allocation[[#This Row],[Delivery ID]],Allocation[Volume available (kg)])</f>
        <v>1.9929348960070636</v>
      </c>
      <c r="U553" s="61">
        <f>Allocation[[#This Row],[Total volume used]]/VLOOKUP(Allocation[[#This Row],[Delivery ID]],Delivery[[Delivery ID]:[Quantity delivered]],3,FALSE)</f>
        <v>0.69412922269596589</v>
      </c>
      <c r="V553" s="34" t="e">
        <f>VLOOKUP(Allocation[[#This Row],[SAP Contract number]],Shipments[[SAP Contract number]:[Contracted container weight]],2,FALSE)</f>
        <v>#N/A</v>
      </c>
      <c r="W553" s="34" t="e">
        <f>VLOOKUP(Allocation[[#This Row],[SAP Contract number]],Shipments[[SAP Contract number]:[AAA Premium USD]],24,FALSE)</f>
        <v>#N/A</v>
      </c>
      <c r="X553" s="34" t="e">
        <f>VLOOKUP(Allocation[[#This Row],[SAP Contract number]],Shipments[[SAP Contract number]:[RA Premium USD]],25,FALSE)</f>
        <v>#N/A</v>
      </c>
      <c r="Y553" s="38">
        <f>Allocation[[#This Row],[Quantity Processed]]/Allocation[[#This Row],[Quantity allocated]]</f>
        <v>1.0310673638880345</v>
      </c>
      <c r="Z553" s="34" t="b">
        <f>Allocation[[#This Row],[Quantity allocated]]&lt;=Allocation[[#This Row],[Quantity Processed]]</f>
        <v>1</v>
      </c>
    </row>
    <row r="554" spans="1:26">
      <c r="A554" s="247" t="s">
        <v>467</v>
      </c>
      <c r="B554" s="160" t="s">
        <v>68</v>
      </c>
      <c r="C554" s="249" t="s">
        <v>1159</v>
      </c>
      <c r="D554" s="161">
        <v>9200</v>
      </c>
      <c r="E554" s="160" t="s">
        <v>1212</v>
      </c>
      <c r="F554" s="158">
        <v>43495</v>
      </c>
      <c r="G554" s="162">
        <v>2.1</v>
      </c>
      <c r="H554" s="159">
        <v>8924</v>
      </c>
      <c r="I554" s="160">
        <v>1429597</v>
      </c>
      <c r="J554" s="163">
        <v>21600</v>
      </c>
      <c r="K554" s="158">
        <v>43513</v>
      </c>
      <c r="L554" s="160" t="s">
        <v>1235</v>
      </c>
      <c r="M554" s="160">
        <v>4615485015</v>
      </c>
      <c r="N554" s="158">
        <v>43621</v>
      </c>
      <c r="O554" s="164">
        <v>3.8605</v>
      </c>
      <c r="P554" s="165">
        <v>19526</v>
      </c>
      <c r="Q554" s="34">
        <f>SUMIF(Allocation[Delivery ID],Allocation[[#This Row],[Delivery ID]],Allocation[Quantity Processed])</f>
        <v>10523</v>
      </c>
      <c r="R554" s="61">
        <f>Allocation[[#This Row],[Total volume used]]/VLOOKUP(Allocation[[#This Row],[Delivery ID]],Delivery[[Delivery ID]:[Quantity delivered]],3,FALSE)</f>
        <v>0.7215936364259754</v>
      </c>
      <c r="S554" s="34">
        <f>Allocation[[#This Row],[Quantity Processed]]/Allocation[[#This Row],[Dilution rate]]</f>
        <v>4380.9523809523807</v>
      </c>
      <c r="T554" s="59">
        <f>SUMIF(Allocation[Delivery ID],Allocation[[#This Row],[Delivery ID]],Allocation[Quantity allocated])/SUMIF(Allocation[Delivery ID],Allocation[[#This Row],[Delivery ID]],Allocation[Volume available (kg)])</f>
        <v>1.9945582213103765</v>
      </c>
      <c r="U554" s="61">
        <f>Allocation[[#This Row],[Total volume used]]/VLOOKUP(Allocation[[#This Row],[Delivery ID]],Delivery[[Delivery ID]:[Quantity delivered]],3,FALSE)</f>
        <v>0.7215936364259754</v>
      </c>
      <c r="V554" s="34" t="e">
        <f>VLOOKUP(Allocation[[#This Row],[SAP Contract number]],Shipments[[SAP Contract number]:[Contracted container weight]],2,FALSE)</f>
        <v>#N/A</v>
      </c>
      <c r="W554" s="34" t="e">
        <f>VLOOKUP(Allocation[[#This Row],[SAP Contract number]],Shipments[[SAP Contract number]:[AAA Premium USD]],24,FALSE)</f>
        <v>#N/A</v>
      </c>
      <c r="X554" s="34" t="e">
        <f>VLOOKUP(Allocation[[#This Row],[SAP Contract number]],Shipments[[SAP Contract number]:[RA Premium USD]],25,FALSE)</f>
        <v>#N/A</v>
      </c>
      <c r="Y554" s="38">
        <f>Allocation[[#This Row],[Quantity Processed]]/Allocation[[#This Row],[Quantity allocated]]</f>
        <v>1.0309278350515463</v>
      </c>
      <c r="Z554" s="34" t="b">
        <f>Allocation[[#This Row],[Quantity allocated]]&lt;=Allocation[[#This Row],[Quantity Processed]]</f>
        <v>1</v>
      </c>
    </row>
    <row r="555" spans="1:26">
      <c r="A555" s="247" t="s">
        <v>467</v>
      </c>
      <c r="B555" s="160" t="s">
        <v>68</v>
      </c>
      <c r="C555" s="249" t="s">
        <v>1160</v>
      </c>
      <c r="D555" s="161">
        <v>7360</v>
      </c>
      <c r="E555" s="160" t="s">
        <v>1212</v>
      </c>
      <c r="F555" s="158">
        <v>43495</v>
      </c>
      <c r="G555" s="162">
        <v>2.1</v>
      </c>
      <c r="H555" s="159">
        <v>7139</v>
      </c>
      <c r="I555" s="160">
        <v>1429597</v>
      </c>
      <c r="J555" s="163">
        <v>21600</v>
      </c>
      <c r="K555" s="158">
        <v>43513</v>
      </c>
      <c r="L555" s="160" t="s">
        <v>1235</v>
      </c>
      <c r="M555" s="160">
        <v>4615485015</v>
      </c>
      <c r="N555" s="158">
        <v>43621</v>
      </c>
      <c r="O555" s="164">
        <v>3.8605</v>
      </c>
      <c r="P555" s="165">
        <v>19526</v>
      </c>
      <c r="Q555" s="34">
        <f>SUMIF(Allocation[Delivery ID],Allocation[[#This Row],[Delivery ID]],Allocation[Quantity Processed])</f>
        <v>8419</v>
      </c>
      <c r="R555" s="61">
        <f>Allocation[[#This Row],[Total volume used]]/VLOOKUP(Allocation[[#This Row],[Delivery ID]],Delivery[[Delivery ID]:[Quantity delivered]],3,FALSE)</f>
        <v>0.72163888055543646</v>
      </c>
      <c r="S555" s="34">
        <f>Allocation[[#This Row],[Quantity Processed]]/Allocation[[#This Row],[Dilution rate]]</f>
        <v>3504.7619047619046</v>
      </c>
      <c r="T555" s="59">
        <f>SUMIF(Allocation[Delivery ID],Allocation[[#This Row],[Delivery ID]],Allocation[Quantity allocated])/SUMIF(Allocation[Delivery ID],Allocation[[#This Row],[Delivery ID]],Allocation[Volume available (kg)])</f>
        <v>1.9946248301800347</v>
      </c>
      <c r="U555" s="61">
        <f>Allocation[[#This Row],[Total volume used]]/VLOOKUP(Allocation[[#This Row],[Delivery ID]],Delivery[[Delivery ID]:[Quantity delivered]],3,FALSE)</f>
        <v>0.72163888055543646</v>
      </c>
      <c r="V555" s="34" t="e">
        <f>VLOOKUP(Allocation[[#This Row],[SAP Contract number]],Shipments[[SAP Contract number]:[Contracted container weight]],2,FALSE)</f>
        <v>#N/A</v>
      </c>
      <c r="W555" s="34" t="e">
        <f>VLOOKUP(Allocation[[#This Row],[SAP Contract number]],Shipments[[SAP Contract number]:[AAA Premium USD]],24,FALSE)</f>
        <v>#N/A</v>
      </c>
      <c r="X555" s="34" t="e">
        <f>VLOOKUP(Allocation[[#This Row],[SAP Contract number]],Shipments[[SAP Contract number]:[RA Premium USD]],25,FALSE)</f>
        <v>#N/A</v>
      </c>
      <c r="Y555" s="38">
        <f>Allocation[[#This Row],[Quantity Processed]]/Allocation[[#This Row],[Quantity allocated]]</f>
        <v>1.0309567166269786</v>
      </c>
      <c r="Z555" s="34" t="b">
        <f>Allocation[[#This Row],[Quantity allocated]]&lt;=Allocation[[#This Row],[Quantity Processed]]</f>
        <v>1</v>
      </c>
    </row>
    <row r="556" spans="1:26">
      <c r="A556" s="247" t="s">
        <v>467</v>
      </c>
      <c r="B556" s="160" t="s">
        <v>68</v>
      </c>
      <c r="C556" s="249" t="s">
        <v>1161</v>
      </c>
      <c r="D556" s="161">
        <v>2024</v>
      </c>
      <c r="E556" s="160" t="s">
        <v>1212</v>
      </c>
      <c r="F556" s="158">
        <v>43495</v>
      </c>
      <c r="G556" s="162">
        <v>2.1</v>
      </c>
      <c r="H556" s="159">
        <v>1963</v>
      </c>
      <c r="I556" s="160">
        <v>1429597</v>
      </c>
      <c r="J556" s="163">
        <v>21600</v>
      </c>
      <c r="K556" s="158">
        <v>43513</v>
      </c>
      <c r="L556" s="160" t="s">
        <v>1235</v>
      </c>
      <c r="M556" s="160">
        <v>4615485015</v>
      </c>
      <c r="N556" s="158">
        <v>43621</v>
      </c>
      <c r="O556" s="164">
        <v>3.8605</v>
      </c>
      <c r="P556" s="165">
        <v>19526</v>
      </c>
      <c r="Q556" s="34">
        <f>SUMIF(Allocation[Delivery ID],Allocation[[#This Row],[Delivery ID]],Allocation[Quantity Processed])</f>
        <v>2315</v>
      </c>
      <c r="R556" s="61">
        <f>Allocation[[#This Row],[Total volume used]]/VLOOKUP(Allocation[[#This Row],[Delivery ID]],Delivery[[Delivery ID]:[Quantity delivered]],3,FALSE)</f>
        <v>0.72163341645885282</v>
      </c>
      <c r="S556" s="34">
        <f>Allocation[[#This Row],[Quantity Processed]]/Allocation[[#This Row],[Dilution rate]]</f>
        <v>963.80952380952374</v>
      </c>
      <c r="T556" s="59">
        <f>SUMIF(Allocation[Delivery ID],Allocation[[#This Row],[Delivery ID]],Allocation[Quantity allocated])/SUMIF(Allocation[Delivery ID],Allocation[[#This Row],[Delivery ID]],Allocation[Volume available (kg)])</f>
        <v>1.9942082011897166</v>
      </c>
      <c r="U556" s="61">
        <f>Allocation[[#This Row],[Total volume used]]/VLOOKUP(Allocation[[#This Row],[Delivery ID]],Delivery[[Delivery ID]:[Quantity delivered]],3,FALSE)</f>
        <v>0.72163341645885282</v>
      </c>
      <c r="V556" s="34" t="e">
        <f>VLOOKUP(Allocation[[#This Row],[SAP Contract number]],Shipments[[SAP Contract number]:[Contracted container weight]],2,FALSE)</f>
        <v>#N/A</v>
      </c>
      <c r="W556" s="34" t="e">
        <f>VLOOKUP(Allocation[[#This Row],[SAP Contract number]],Shipments[[SAP Contract number]:[AAA Premium USD]],24,FALSE)</f>
        <v>#N/A</v>
      </c>
      <c r="X556" s="34" t="e">
        <f>VLOOKUP(Allocation[[#This Row],[SAP Contract number]],Shipments[[SAP Contract number]:[RA Premium USD]],25,FALSE)</f>
        <v>#N/A</v>
      </c>
      <c r="Y556" s="38">
        <f>Allocation[[#This Row],[Quantity Processed]]/Allocation[[#This Row],[Quantity allocated]]</f>
        <v>1.0310748853795211</v>
      </c>
      <c r="Z556" s="34" t="b">
        <f>Allocation[[#This Row],[Quantity allocated]]&lt;=Allocation[[#This Row],[Quantity Processed]]</f>
        <v>1</v>
      </c>
    </row>
    <row r="557" spans="1:26">
      <c r="A557" s="247" t="s">
        <v>467</v>
      </c>
      <c r="B557" s="160" t="s">
        <v>68</v>
      </c>
      <c r="C557" s="249" t="s">
        <v>1162</v>
      </c>
      <c r="D557" s="161">
        <v>333</v>
      </c>
      <c r="E557" s="160" t="s">
        <v>1212</v>
      </c>
      <c r="F557" s="158">
        <v>43495</v>
      </c>
      <c r="G557" s="162">
        <v>2.1</v>
      </c>
      <c r="H557" s="159">
        <v>323</v>
      </c>
      <c r="I557" s="160">
        <v>1429597</v>
      </c>
      <c r="J557" s="163">
        <v>21600</v>
      </c>
      <c r="K557" s="158">
        <v>43513</v>
      </c>
      <c r="L557" s="160" t="s">
        <v>1235</v>
      </c>
      <c r="M557" s="160">
        <v>4615485015</v>
      </c>
      <c r="N557" s="158">
        <v>43621</v>
      </c>
      <c r="O557" s="164">
        <v>3.8605</v>
      </c>
      <c r="P557" s="165">
        <v>19526</v>
      </c>
      <c r="Q557" s="34">
        <f>SUMIF(Allocation[Delivery ID],Allocation[[#This Row],[Delivery ID]],Allocation[Quantity Processed])</f>
        <v>21145</v>
      </c>
      <c r="R557" s="61">
        <f>Allocation[[#This Row],[Total volume used]]/VLOOKUP(Allocation[[#This Row],[Delivery ID]],Delivery[[Delivery ID]:[Quantity delivered]],3,FALSE)</f>
        <v>0.6983157199471598</v>
      </c>
      <c r="S557" s="34">
        <f>Allocation[[#This Row],[Quantity Processed]]/Allocation[[#This Row],[Dilution rate]]</f>
        <v>158.57142857142856</v>
      </c>
      <c r="T557" s="59">
        <f>SUMIF(Allocation[Delivery ID],Allocation[[#This Row],[Delivery ID]],Allocation[Quantity allocated])/SUMIF(Allocation[Delivery ID],Allocation[[#This Row],[Delivery ID]],Allocation[Volume available (kg)])</f>
        <v>1.9932065907426038</v>
      </c>
      <c r="U557" s="61">
        <f>Allocation[[#This Row],[Total volume used]]/VLOOKUP(Allocation[[#This Row],[Delivery ID]],Delivery[[Delivery ID]:[Quantity delivered]],3,FALSE)</f>
        <v>0.6983157199471598</v>
      </c>
      <c r="V557" s="34" t="e">
        <f>VLOOKUP(Allocation[[#This Row],[SAP Contract number]],Shipments[[SAP Contract number]:[Contracted container weight]],2,FALSE)</f>
        <v>#N/A</v>
      </c>
      <c r="W557" s="34" t="e">
        <f>VLOOKUP(Allocation[[#This Row],[SAP Contract number]],Shipments[[SAP Contract number]:[AAA Premium USD]],24,FALSE)</f>
        <v>#N/A</v>
      </c>
      <c r="X557" s="34" t="e">
        <f>VLOOKUP(Allocation[[#This Row],[SAP Contract number]],Shipments[[SAP Contract number]:[RA Premium USD]],25,FALSE)</f>
        <v>#N/A</v>
      </c>
      <c r="Y557" s="38">
        <f>Allocation[[#This Row],[Quantity Processed]]/Allocation[[#This Row],[Quantity allocated]]</f>
        <v>1.0309597523219813</v>
      </c>
      <c r="Z557" s="34" t="b">
        <f>Allocation[[#This Row],[Quantity allocated]]&lt;=Allocation[[#This Row],[Quantity Processed]]</f>
        <v>1</v>
      </c>
    </row>
    <row r="558" spans="1:26">
      <c r="A558" s="247" t="s">
        <v>467</v>
      </c>
      <c r="B558" s="160" t="s">
        <v>68</v>
      </c>
      <c r="C558" s="249" t="s">
        <v>1162</v>
      </c>
      <c r="D558" s="161">
        <v>18064</v>
      </c>
      <c r="E558" s="160" t="s">
        <v>1212</v>
      </c>
      <c r="F558" s="158">
        <v>43495</v>
      </c>
      <c r="G558" s="162">
        <v>2.1</v>
      </c>
      <c r="H558" s="159">
        <v>17522</v>
      </c>
      <c r="I558" s="160">
        <v>1429598</v>
      </c>
      <c r="J558" s="163">
        <v>21600</v>
      </c>
      <c r="K558" s="158">
        <v>43513</v>
      </c>
      <c r="L558" s="160" t="s">
        <v>1236</v>
      </c>
      <c r="M558" s="160">
        <v>4615485015</v>
      </c>
      <c r="N558" s="158">
        <v>43621</v>
      </c>
      <c r="O558" s="164">
        <v>3.8605</v>
      </c>
      <c r="P558" s="165">
        <v>19526</v>
      </c>
      <c r="Q558" s="34">
        <f>SUMIF(Allocation[Delivery ID],Allocation[[#This Row],[Delivery ID]],Allocation[Quantity Processed])</f>
        <v>21145</v>
      </c>
      <c r="R558" s="61">
        <f>Allocation[[#This Row],[Total volume used]]/VLOOKUP(Allocation[[#This Row],[Delivery ID]],Delivery[[Delivery ID]:[Quantity delivered]],3,FALSE)</f>
        <v>0.6983157199471598</v>
      </c>
      <c r="S558" s="34">
        <f>Allocation[[#This Row],[Quantity Processed]]/Allocation[[#This Row],[Dilution rate]]</f>
        <v>8601.9047619047615</v>
      </c>
      <c r="T558" s="59">
        <f>SUMIF(Allocation[Delivery ID],Allocation[[#This Row],[Delivery ID]],Allocation[Quantity allocated])/SUMIF(Allocation[Delivery ID],Allocation[[#This Row],[Delivery ID]],Allocation[Volume available (kg)])</f>
        <v>1.9932065907426038</v>
      </c>
      <c r="U558" s="61">
        <f>Allocation[[#This Row],[Total volume used]]/VLOOKUP(Allocation[[#This Row],[Delivery ID]],Delivery[[Delivery ID]:[Quantity delivered]],3,FALSE)</f>
        <v>0.6983157199471598</v>
      </c>
      <c r="V558" s="34" t="e">
        <f>VLOOKUP(Allocation[[#This Row],[SAP Contract number]],Shipments[[SAP Contract number]:[Contracted container weight]],2,FALSE)</f>
        <v>#N/A</v>
      </c>
      <c r="W558" s="34" t="e">
        <f>VLOOKUP(Allocation[[#This Row],[SAP Contract number]],Shipments[[SAP Contract number]:[AAA Premium USD]],24,FALSE)</f>
        <v>#N/A</v>
      </c>
      <c r="X558" s="34" t="e">
        <f>VLOOKUP(Allocation[[#This Row],[SAP Contract number]],Shipments[[SAP Contract number]:[RA Premium USD]],25,FALSE)</f>
        <v>#N/A</v>
      </c>
      <c r="Y558" s="38">
        <f>Allocation[[#This Row],[Quantity Processed]]/Allocation[[#This Row],[Quantity allocated]]</f>
        <v>1.0309325419472664</v>
      </c>
      <c r="Z558" s="34" t="b">
        <f>Allocation[[#This Row],[Quantity allocated]]&lt;=Allocation[[#This Row],[Quantity Processed]]</f>
        <v>1</v>
      </c>
    </row>
    <row r="559" spans="1:26">
      <c r="A559" s="247" t="s">
        <v>467</v>
      </c>
      <c r="B559" s="160" t="s">
        <v>68</v>
      </c>
      <c r="C559" s="249" t="s">
        <v>1163</v>
      </c>
      <c r="D559" s="161">
        <v>5093</v>
      </c>
      <c r="E559" s="160" t="s">
        <v>1212</v>
      </c>
      <c r="F559" s="158">
        <v>43495</v>
      </c>
      <c r="G559" s="162">
        <v>2.1</v>
      </c>
      <c r="H559" s="159">
        <v>2037</v>
      </c>
      <c r="I559" s="160">
        <v>1429598</v>
      </c>
      <c r="J559" s="163">
        <v>21600</v>
      </c>
      <c r="K559" s="158">
        <v>43513</v>
      </c>
      <c r="L559" s="160" t="s">
        <v>1236</v>
      </c>
      <c r="M559" s="160">
        <v>4615485015</v>
      </c>
      <c r="N559" s="158">
        <v>43621</v>
      </c>
      <c r="O559" s="164">
        <v>3.8605</v>
      </c>
      <c r="P559" s="165">
        <v>19526</v>
      </c>
      <c r="Q559" s="34">
        <f>SUMIF(Allocation[Delivery ID],Allocation[[#This Row],[Delivery ID]],Allocation[Quantity Processed])</f>
        <v>32420</v>
      </c>
      <c r="R559" s="61">
        <f>Allocation[[#This Row],[Total volume used]]/VLOOKUP(Allocation[[#This Row],[Delivery ID]],Delivery[[Delivery ID]:[Quantity delivered]],3,FALSE)</f>
        <v>1</v>
      </c>
      <c r="S559" s="34">
        <f>Allocation[[#This Row],[Quantity Processed]]/Allocation[[#This Row],[Dilution rate]]</f>
        <v>2425.238095238095</v>
      </c>
      <c r="T559" s="59">
        <f>SUMIF(Allocation[Delivery ID],Allocation[[#This Row],[Delivery ID]],Allocation[Quantity allocated])/SUMIF(Allocation[Delivery ID],Allocation[[#This Row],[Delivery ID]],Allocation[Volume available (kg)])</f>
        <v>0.91573014953438914</v>
      </c>
      <c r="U559" s="61">
        <f>Allocation[[#This Row],[Total volume used]]/VLOOKUP(Allocation[[#This Row],[Delivery ID]],Delivery[[Delivery ID]:[Quantity delivered]],3,FALSE)</f>
        <v>1</v>
      </c>
      <c r="V559" s="34" t="e">
        <f>VLOOKUP(Allocation[[#This Row],[SAP Contract number]],Shipments[[SAP Contract number]:[Contracted container weight]],2,FALSE)</f>
        <v>#N/A</v>
      </c>
      <c r="W559" s="34" t="e">
        <f>VLOOKUP(Allocation[[#This Row],[SAP Contract number]],Shipments[[SAP Contract number]:[AAA Premium USD]],24,FALSE)</f>
        <v>#N/A</v>
      </c>
      <c r="X559" s="34" t="e">
        <f>VLOOKUP(Allocation[[#This Row],[SAP Contract number]],Shipments[[SAP Contract number]:[RA Premium USD]],25,FALSE)</f>
        <v>#N/A</v>
      </c>
      <c r="Y559" s="38">
        <f>Allocation[[#This Row],[Quantity Processed]]/Allocation[[#This Row],[Quantity allocated]]</f>
        <v>2.5002454590083456</v>
      </c>
      <c r="Z559" s="34" t="b">
        <f>Allocation[[#This Row],[Quantity allocated]]&lt;=Allocation[[#This Row],[Quantity Processed]]</f>
        <v>1</v>
      </c>
    </row>
    <row r="560" spans="1:26">
      <c r="A560" s="247" t="s">
        <v>467</v>
      </c>
      <c r="B560" s="160" t="s">
        <v>68</v>
      </c>
      <c r="C560" s="249" t="s">
        <v>1165</v>
      </c>
      <c r="D560" s="161">
        <v>4008</v>
      </c>
      <c r="E560" s="160" t="s">
        <v>1212</v>
      </c>
      <c r="F560" s="158">
        <v>43495</v>
      </c>
      <c r="G560" s="162">
        <v>2.1</v>
      </c>
      <c r="H560" s="159">
        <v>1603</v>
      </c>
      <c r="I560" s="160">
        <v>1429598</v>
      </c>
      <c r="J560" s="163">
        <v>21600</v>
      </c>
      <c r="K560" s="158">
        <v>43513</v>
      </c>
      <c r="L560" s="160" t="s">
        <v>1236</v>
      </c>
      <c r="M560" s="160">
        <v>4615485015</v>
      </c>
      <c r="N560" s="158">
        <v>43621</v>
      </c>
      <c r="O560" s="164">
        <v>3.8605</v>
      </c>
      <c r="P560" s="165">
        <v>19526</v>
      </c>
      <c r="Q560" s="34">
        <f>SUMIF(Allocation[Delivery ID],Allocation[[#This Row],[Delivery ID]],Allocation[Quantity Processed])</f>
        <v>25500</v>
      </c>
      <c r="R560" s="61">
        <f>Allocation[[#This Row],[Total volume used]]/VLOOKUP(Allocation[[#This Row],[Delivery ID]],Delivery[[Delivery ID]:[Quantity delivered]],3,FALSE)</f>
        <v>1</v>
      </c>
      <c r="S560" s="34">
        <f>Allocation[[#This Row],[Quantity Processed]]/Allocation[[#This Row],[Dilution rate]]</f>
        <v>1908.5714285714284</v>
      </c>
      <c r="T560" s="59">
        <f>SUMIF(Allocation[Delivery ID],Allocation[[#This Row],[Delivery ID]],Allocation[Quantity allocated])/SUMIF(Allocation[Delivery ID],Allocation[[#This Row],[Delivery ID]],Allocation[Volume available (kg)])</f>
        <v>0.91565224611931262</v>
      </c>
      <c r="U560" s="61">
        <f>Allocation[[#This Row],[Total volume used]]/VLOOKUP(Allocation[[#This Row],[Delivery ID]],Delivery[[Delivery ID]:[Quantity delivered]],3,FALSE)</f>
        <v>1</v>
      </c>
      <c r="V560" s="34" t="e">
        <f>VLOOKUP(Allocation[[#This Row],[SAP Contract number]],Shipments[[SAP Contract number]:[Contracted container weight]],2,FALSE)</f>
        <v>#N/A</v>
      </c>
      <c r="W560" s="34" t="e">
        <f>VLOOKUP(Allocation[[#This Row],[SAP Contract number]],Shipments[[SAP Contract number]:[AAA Premium USD]],24,FALSE)</f>
        <v>#N/A</v>
      </c>
      <c r="X560" s="34" t="e">
        <f>VLOOKUP(Allocation[[#This Row],[SAP Contract number]],Shipments[[SAP Contract number]:[RA Premium USD]],25,FALSE)</f>
        <v>#N/A</v>
      </c>
      <c r="Y560" s="38">
        <f>Allocation[[#This Row],[Quantity Processed]]/Allocation[[#This Row],[Quantity allocated]]</f>
        <v>2.5003119151590769</v>
      </c>
      <c r="Z560" s="34" t="b">
        <f>Allocation[[#This Row],[Quantity allocated]]&lt;=Allocation[[#This Row],[Quantity Processed]]</f>
        <v>1</v>
      </c>
    </row>
    <row r="561" spans="1:26">
      <c r="A561" s="247" t="s">
        <v>467</v>
      </c>
      <c r="B561" s="160" t="s">
        <v>68</v>
      </c>
      <c r="C561" s="249" t="s">
        <v>1166</v>
      </c>
      <c r="D561" s="161">
        <v>1095</v>
      </c>
      <c r="E561" s="160" t="s">
        <v>1212</v>
      </c>
      <c r="F561" s="158">
        <v>43495</v>
      </c>
      <c r="G561" s="162">
        <v>2.1</v>
      </c>
      <c r="H561" s="159">
        <v>438</v>
      </c>
      <c r="I561" s="160">
        <v>1429598</v>
      </c>
      <c r="J561" s="163">
        <v>21600</v>
      </c>
      <c r="K561" s="158">
        <v>43513</v>
      </c>
      <c r="L561" s="160" t="s">
        <v>1236</v>
      </c>
      <c r="M561" s="160">
        <v>4615485015</v>
      </c>
      <c r="N561" s="158">
        <v>43621</v>
      </c>
      <c r="O561" s="164">
        <v>3.8605</v>
      </c>
      <c r="P561" s="165">
        <v>19526</v>
      </c>
      <c r="Q561" s="34">
        <f>SUMIF(Allocation[Delivery ID],Allocation[[#This Row],[Delivery ID]],Allocation[Quantity Processed])</f>
        <v>6960</v>
      </c>
      <c r="R561" s="61">
        <f>Allocation[[#This Row],[Total volume used]]/VLOOKUP(Allocation[[#This Row],[Delivery ID]],Delivery[[Delivery ID]:[Quantity delivered]],3,FALSE)</f>
        <v>1</v>
      </c>
      <c r="S561" s="34">
        <f>Allocation[[#This Row],[Quantity Processed]]/Allocation[[#This Row],[Dilution rate]]</f>
        <v>521.42857142857144</v>
      </c>
      <c r="T561" s="59">
        <f>SUMIF(Allocation[Delivery ID],Allocation[[#This Row],[Delivery ID]],Allocation[Quantity allocated])/SUMIF(Allocation[Delivery ID],Allocation[[#This Row],[Delivery ID]],Allocation[Volume available (kg)])</f>
        <v>0.91648668745422734</v>
      </c>
      <c r="U561" s="61">
        <f>Allocation[[#This Row],[Total volume used]]/VLOOKUP(Allocation[[#This Row],[Delivery ID]],Delivery[[Delivery ID]:[Quantity delivered]],3,FALSE)</f>
        <v>1</v>
      </c>
      <c r="V561" s="34" t="e">
        <f>VLOOKUP(Allocation[[#This Row],[SAP Contract number]],Shipments[[SAP Contract number]:[Contracted container weight]],2,FALSE)</f>
        <v>#N/A</v>
      </c>
      <c r="W561" s="34" t="e">
        <f>VLOOKUP(Allocation[[#This Row],[SAP Contract number]],Shipments[[SAP Contract number]:[AAA Premium USD]],24,FALSE)</f>
        <v>#N/A</v>
      </c>
      <c r="X561" s="34" t="e">
        <f>VLOOKUP(Allocation[[#This Row],[SAP Contract number]],Shipments[[SAP Contract number]:[RA Premium USD]],25,FALSE)</f>
        <v>#N/A</v>
      </c>
      <c r="Y561" s="38">
        <f>Allocation[[#This Row],[Quantity Processed]]/Allocation[[#This Row],[Quantity allocated]]</f>
        <v>2.5</v>
      </c>
      <c r="Z561" s="34" t="b">
        <f>Allocation[[#This Row],[Quantity allocated]]&lt;=Allocation[[#This Row],[Quantity Processed]]</f>
        <v>1</v>
      </c>
    </row>
    <row r="562" spans="1:26">
      <c r="A562" s="247" t="s">
        <v>467</v>
      </c>
      <c r="B562" s="160" t="s">
        <v>68</v>
      </c>
      <c r="C562" s="252" t="s">
        <v>470</v>
      </c>
      <c r="D562" s="250">
        <v>715</v>
      </c>
      <c r="E562" s="160" t="s">
        <v>1237</v>
      </c>
      <c r="F562" s="158">
        <v>43514</v>
      </c>
      <c r="G562" s="162">
        <v>2.5</v>
      </c>
      <c r="H562" s="250">
        <v>236</v>
      </c>
      <c r="I562" s="160">
        <v>1433462</v>
      </c>
      <c r="J562" s="163">
        <v>19175</v>
      </c>
      <c r="K562" s="158">
        <v>43521</v>
      </c>
      <c r="L562" s="160" t="s">
        <v>1238</v>
      </c>
      <c r="M562" s="160">
        <v>4615516135</v>
      </c>
      <c r="N562" s="158">
        <v>43544</v>
      </c>
      <c r="O562" s="164">
        <v>3.7890999999999999</v>
      </c>
      <c r="P562" s="165" t="s">
        <v>1323</v>
      </c>
      <c r="Q562" s="34">
        <f>SUMIF(Allocation[Delivery ID],Allocation[[#This Row],[Delivery ID]],Allocation[Quantity Processed])</f>
        <v>715</v>
      </c>
      <c r="R562" s="61">
        <f>Allocation[[#This Row],[Total volume used]]/VLOOKUP(Allocation[[#This Row],[Delivery ID]],Delivery[[Delivery ID]:[Quantity delivered]],3,FALSE)</f>
        <v>6.6573556797020483E-2</v>
      </c>
      <c r="S562" s="34">
        <f>Allocation[[#This Row],[Quantity Processed]]/Allocation[[#This Row],[Dilution rate]]</f>
        <v>286</v>
      </c>
      <c r="T562" s="59">
        <f>SUMIF(Allocation[Delivery ID],Allocation[[#This Row],[Delivery ID]],Allocation[Quantity allocated])/SUMIF(Allocation[Delivery ID],Allocation[[#This Row],[Delivery ID]],Allocation[Volume available (kg)])</f>
        <v>0.82517482517482521</v>
      </c>
      <c r="U562" s="61">
        <f>Allocation[[#This Row],[Total volume used]]/VLOOKUP(Allocation[[#This Row],[Delivery ID]],Delivery[[Delivery ID]:[Quantity delivered]],3,FALSE)</f>
        <v>6.6573556797020483E-2</v>
      </c>
      <c r="V562" s="34" t="e">
        <f>VLOOKUP(Allocation[[#This Row],[SAP Contract number]],Shipments[[SAP Contract number]:[Contracted container weight]],2,FALSE)</f>
        <v>#N/A</v>
      </c>
      <c r="W562" s="34" t="e">
        <f>VLOOKUP(Allocation[[#This Row],[SAP Contract number]],Shipments[[SAP Contract number]:[AAA Premium USD]],24,FALSE)</f>
        <v>#N/A</v>
      </c>
      <c r="X562" s="34" t="e">
        <f>VLOOKUP(Allocation[[#This Row],[SAP Contract number]],Shipments[[SAP Contract number]:[RA Premium USD]],25,FALSE)</f>
        <v>#N/A</v>
      </c>
      <c r="Y562" s="38">
        <f>Allocation[[#This Row],[Quantity Processed]]/Allocation[[#This Row],[Quantity allocated]]</f>
        <v>3.0296610169491527</v>
      </c>
      <c r="Z562" s="34" t="b">
        <f>Allocation[[#This Row],[Quantity allocated]]&lt;=Allocation[[#This Row],[Quantity Processed]]</f>
        <v>1</v>
      </c>
    </row>
    <row r="563" spans="1:26">
      <c r="A563" s="247" t="s">
        <v>467</v>
      </c>
      <c r="B563" s="160" t="s">
        <v>68</v>
      </c>
      <c r="C563" s="252" t="s">
        <v>474</v>
      </c>
      <c r="D563" s="250">
        <v>179</v>
      </c>
      <c r="E563" s="160" t="s">
        <v>1237</v>
      </c>
      <c r="F563" s="158">
        <v>43514</v>
      </c>
      <c r="G563" s="162">
        <v>2.5</v>
      </c>
      <c r="H563" s="250">
        <v>59</v>
      </c>
      <c r="I563" s="160">
        <v>1433462</v>
      </c>
      <c r="J563" s="163">
        <v>19175</v>
      </c>
      <c r="K563" s="158">
        <v>43521</v>
      </c>
      <c r="L563" s="160" t="s">
        <v>1238</v>
      </c>
      <c r="M563" s="160">
        <v>4615516135</v>
      </c>
      <c r="N563" s="158">
        <v>43544</v>
      </c>
      <c r="O563" s="164">
        <v>3.7890999999999999</v>
      </c>
      <c r="P563" s="165" t="s">
        <v>1323</v>
      </c>
      <c r="Q563" s="34">
        <f>SUMIF(Allocation[Delivery ID],Allocation[[#This Row],[Delivery ID]],Allocation[Quantity Processed])</f>
        <v>179</v>
      </c>
      <c r="R563" s="61">
        <f>Allocation[[#This Row],[Total volume used]]/VLOOKUP(Allocation[[#This Row],[Delivery ID]],Delivery[[Delivery ID]:[Quantity delivered]],3,FALSE)</f>
        <v>4.2741165234001909E-3</v>
      </c>
      <c r="S563" s="34">
        <f>Allocation[[#This Row],[Quantity Processed]]/Allocation[[#This Row],[Dilution rate]]</f>
        <v>71.599999999999994</v>
      </c>
      <c r="T563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63" s="61">
        <f>Allocation[[#This Row],[Total volume used]]/VLOOKUP(Allocation[[#This Row],[Delivery ID]],Delivery[[Delivery ID]:[Quantity delivered]],3,FALSE)</f>
        <v>4.2741165234001909E-3</v>
      </c>
      <c r="V563" s="34" t="e">
        <f>VLOOKUP(Allocation[[#This Row],[SAP Contract number]],Shipments[[SAP Contract number]:[Contracted container weight]],2,FALSE)</f>
        <v>#N/A</v>
      </c>
      <c r="W563" s="34" t="e">
        <f>VLOOKUP(Allocation[[#This Row],[SAP Contract number]],Shipments[[SAP Contract number]:[AAA Premium USD]],24,FALSE)</f>
        <v>#N/A</v>
      </c>
      <c r="X563" s="34" t="e">
        <f>VLOOKUP(Allocation[[#This Row],[SAP Contract number]],Shipments[[SAP Contract number]:[RA Premium USD]],25,FALSE)</f>
        <v>#N/A</v>
      </c>
      <c r="Y563" s="38">
        <f>Allocation[[#This Row],[Quantity Processed]]/Allocation[[#This Row],[Quantity allocated]]</f>
        <v>3.0338983050847457</v>
      </c>
      <c r="Z563" s="34" t="b">
        <f>Allocation[[#This Row],[Quantity allocated]]&lt;=Allocation[[#This Row],[Quantity Processed]]</f>
        <v>1</v>
      </c>
    </row>
    <row r="564" spans="1:26">
      <c r="A564" s="247" t="s">
        <v>467</v>
      </c>
      <c r="B564" s="160" t="s">
        <v>68</v>
      </c>
      <c r="C564" s="252" t="s">
        <v>478</v>
      </c>
      <c r="D564" s="250">
        <v>1</v>
      </c>
      <c r="E564" s="160" t="s">
        <v>1237</v>
      </c>
      <c r="F564" s="158">
        <v>43514</v>
      </c>
      <c r="G564" s="162">
        <v>2.5</v>
      </c>
      <c r="H564" s="250">
        <v>0.33</v>
      </c>
      <c r="I564" s="160">
        <v>1433462</v>
      </c>
      <c r="J564" s="163">
        <v>19175</v>
      </c>
      <c r="K564" s="158">
        <v>43521</v>
      </c>
      <c r="L564" s="160" t="s">
        <v>1238</v>
      </c>
      <c r="M564" s="160">
        <v>4615516135</v>
      </c>
      <c r="N564" s="158">
        <v>43544</v>
      </c>
      <c r="O564" s="164">
        <v>3.7890999999999999</v>
      </c>
      <c r="P564" s="165" t="s">
        <v>1323</v>
      </c>
      <c r="Q564" s="34">
        <f>SUMIF(Allocation[Delivery ID],Allocation[[#This Row],[Delivery ID]],Allocation[Quantity Processed])</f>
        <v>1</v>
      </c>
      <c r="R564" s="61">
        <f>Allocation[[#This Row],[Total volume used]]/VLOOKUP(Allocation[[#This Row],[Delivery ID]],Delivery[[Delivery ID]:[Quantity delivered]],3,FALSE)</f>
        <v>7.0921985815602836E-5</v>
      </c>
      <c r="S564" s="34">
        <f>Allocation[[#This Row],[Quantity Processed]]/Allocation[[#This Row],[Dilution rate]]</f>
        <v>0.4</v>
      </c>
      <c r="T564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564" s="61">
        <f>Allocation[[#This Row],[Total volume used]]/VLOOKUP(Allocation[[#This Row],[Delivery ID]],Delivery[[Delivery ID]:[Quantity delivered]],3,FALSE)</f>
        <v>7.0921985815602836E-5</v>
      </c>
      <c r="V564" s="34" t="e">
        <f>VLOOKUP(Allocation[[#This Row],[SAP Contract number]],Shipments[[SAP Contract number]:[Contracted container weight]],2,FALSE)</f>
        <v>#N/A</v>
      </c>
      <c r="W564" s="34" t="e">
        <f>VLOOKUP(Allocation[[#This Row],[SAP Contract number]],Shipments[[SAP Contract number]:[AAA Premium USD]],24,FALSE)</f>
        <v>#N/A</v>
      </c>
      <c r="X564" s="34" t="e">
        <f>VLOOKUP(Allocation[[#This Row],[SAP Contract number]],Shipments[[SAP Contract number]:[RA Premium USD]],25,FALSE)</f>
        <v>#N/A</v>
      </c>
      <c r="Y564" s="38">
        <f>Allocation[[#This Row],[Quantity Processed]]/Allocation[[#This Row],[Quantity allocated]]</f>
        <v>3.0303030303030303</v>
      </c>
      <c r="Z564" s="34" t="b">
        <f>Allocation[[#This Row],[Quantity allocated]]&lt;=Allocation[[#This Row],[Quantity Processed]]</f>
        <v>1</v>
      </c>
    </row>
    <row r="565" spans="1:26">
      <c r="A565" s="247" t="s">
        <v>467</v>
      </c>
      <c r="B565" s="160" t="s">
        <v>68</v>
      </c>
      <c r="C565" s="252" t="s">
        <v>479</v>
      </c>
      <c r="D565" s="250">
        <v>179</v>
      </c>
      <c r="E565" s="160" t="s">
        <v>1237</v>
      </c>
      <c r="F565" s="158">
        <v>43514</v>
      </c>
      <c r="G565" s="162">
        <v>2.5</v>
      </c>
      <c r="H565" s="250">
        <v>59</v>
      </c>
      <c r="I565" s="160">
        <v>1433462</v>
      </c>
      <c r="J565" s="163">
        <v>19175</v>
      </c>
      <c r="K565" s="158">
        <v>43521</v>
      </c>
      <c r="L565" s="160" t="s">
        <v>1238</v>
      </c>
      <c r="M565" s="160">
        <v>4615516135</v>
      </c>
      <c r="N565" s="158">
        <v>43544</v>
      </c>
      <c r="O565" s="164">
        <v>3.7890999999999999</v>
      </c>
      <c r="P565" s="165" t="s">
        <v>1323</v>
      </c>
      <c r="Q565" s="34">
        <f>SUMIF(Allocation[Delivery ID],Allocation[[#This Row],[Delivery ID]],Allocation[Quantity Processed])</f>
        <v>179</v>
      </c>
      <c r="R565" s="61">
        <f>Allocation[[#This Row],[Total volume used]]/VLOOKUP(Allocation[[#This Row],[Delivery ID]],Delivery[[Delivery ID]:[Quantity delivered]],3,FALSE)</f>
        <v>8.8789682539682536E-3</v>
      </c>
      <c r="S565" s="34">
        <f>Allocation[[#This Row],[Quantity Processed]]/Allocation[[#This Row],[Dilution rate]]</f>
        <v>71.599999999999994</v>
      </c>
      <c r="T565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65" s="61">
        <f>Allocation[[#This Row],[Total volume used]]/VLOOKUP(Allocation[[#This Row],[Delivery ID]],Delivery[[Delivery ID]:[Quantity delivered]],3,FALSE)</f>
        <v>8.8789682539682536E-3</v>
      </c>
      <c r="V565" s="34" t="e">
        <f>VLOOKUP(Allocation[[#This Row],[SAP Contract number]],Shipments[[SAP Contract number]:[Contracted container weight]],2,FALSE)</f>
        <v>#N/A</v>
      </c>
      <c r="W565" s="34" t="e">
        <f>VLOOKUP(Allocation[[#This Row],[SAP Contract number]],Shipments[[SAP Contract number]:[AAA Premium USD]],24,FALSE)</f>
        <v>#N/A</v>
      </c>
      <c r="X565" s="34" t="e">
        <f>VLOOKUP(Allocation[[#This Row],[SAP Contract number]],Shipments[[SAP Contract number]:[RA Premium USD]],25,FALSE)</f>
        <v>#N/A</v>
      </c>
      <c r="Y565" s="38">
        <f>Allocation[[#This Row],[Quantity Processed]]/Allocation[[#This Row],[Quantity allocated]]</f>
        <v>3.0338983050847457</v>
      </c>
      <c r="Z565" s="34" t="b">
        <f>Allocation[[#This Row],[Quantity allocated]]&lt;=Allocation[[#This Row],[Quantity Processed]]</f>
        <v>1</v>
      </c>
    </row>
    <row r="566" spans="1:26">
      <c r="A566" s="247" t="s">
        <v>467</v>
      </c>
      <c r="B566" s="160" t="s">
        <v>68</v>
      </c>
      <c r="C566" s="252" t="s">
        <v>481</v>
      </c>
      <c r="D566" s="250">
        <v>179</v>
      </c>
      <c r="E566" s="160" t="s">
        <v>1237</v>
      </c>
      <c r="F566" s="158">
        <v>43514</v>
      </c>
      <c r="G566" s="162">
        <v>2.5</v>
      </c>
      <c r="H566" s="250">
        <v>59</v>
      </c>
      <c r="I566" s="160">
        <v>1433462</v>
      </c>
      <c r="J566" s="163">
        <v>19175</v>
      </c>
      <c r="K566" s="158">
        <v>43521</v>
      </c>
      <c r="L566" s="160" t="s">
        <v>1238</v>
      </c>
      <c r="M566" s="160">
        <v>4615516135</v>
      </c>
      <c r="N566" s="158">
        <v>43544</v>
      </c>
      <c r="O566" s="164">
        <v>3.7890999999999999</v>
      </c>
      <c r="P566" s="165" t="s">
        <v>1323</v>
      </c>
      <c r="Q566" s="34">
        <f>SUMIF(Allocation[Delivery ID],Allocation[[#This Row],[Delivery ID]],Allocation[Quantity Processed])</f>
        <v>179</v>
      </c>
      <c r="R566" s="61">
        <f>Allocation[[#This Row],[Total volume used]]/VLOOKUP(Allocation[[#This Row],[Delivery ID]],Delivery[[Delivery ID]:[Quantity delivered]],3,FALSE)</f>
        <v>9.151329243353783E-3</v>
      </c>
      <c r="S566" s="34">
        <f>Allocation[[#This Row],[Quantity Processed]]/Allocation[[#This Row],[Dilution rate]]</f>
        <v>71.599999999999994</v>
      </c>
      <c r="T566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66" s="61">
        <f>Allocation[[#This Row],[Total volume used]]/VLOOKUP(Allocation[[#This Row],[Delivery ID]],Delivery[[Delivery ID]:[Quantity delivered]],3,FALSE)</f>
        <v>9.151329243353783E-3</v>
      </c>
      <c r="V566" s="34" t="e">
        <f>VLOOKUP(Allocation[[#This Row],[SAP Contract number]],Shipments[[SAP Contract number]:[Contracted container weight]],2,FALSE)</f>
        <v>#N/A</v>
      </c>
      <c r="W566" s="34" t="e">
        <f>VLOOKUP(Allocation[[#This Row],[SAP Contract number]],Shipments[[SAP Contract number]:[AAA Premium USD]],24,FALSE)</f>
        <v>#N/A</v>
      </c>
      <c r="X566" s="34" t="e">
        <f>VLOOKUP(Allocation[[#This Row],[SAP Contract number]],Shipments[[SAP Contract number]:[RA Premium USD]],25,FALSE)</f>
        <v>#N/A</v>
      </c>
      <c r="Y566" s="38">
        <f>Allocation[[#This Row],[Quantity Processed]]/Allocation[[#This Row],[Quantity allocated]]</f>
        <v>3.0338983050847457</v>
      </c>
      <c r="Z566" s="34" t="b">
        <f>Allocation[[#This Row],[Quantity allocated]]&lt;=Allocation[[#This Row],[Quantity Processed]]</f>
        <v>1</v>
      </c>
    </row>
    <row r="567" spans="1:26">
      <c r="A567" s="247" t="s">
        <v>467</v>
      </c>
      <c r="B567" s="160" t="s">
        <v>68</v>
      </c>
      <c r="C567" s="252" t="s">
        <v>482</v>
      </c>
      <c r="D567" s="250">
        <v>179</v>
      </c>
      <c r="E567" s="160" t="s">
        <v>1237</v>
      </c>
      <c r="F567" s="158">
        <v>43514</v>
      </c>
      <c r="G567" s="162">
        <v>2.5</v>
      </c>
      <c r="H567" s="250">
        <v>59</v>
      </c>
      <c r="I567" s="160">
        <v>1433462</v>
      </c>
      <c r="J567" s="163">
        <v>19175</v>
      </c>
      <c r="K567" s="158">
        <v>43521</v>
      </c>
      <c r="L567" s="160" t="s">
        <v>1238</v>
      </c>
      <c r="M567" s="160">
        <v>4615516135</v>
      </c>
      <c r="N567" s="158">
        <v>43544</v>
      </c>
      <c r="O567" s="164">
        <v>3.7890999999999999</v>
      </c>
      <c r="P567" s="165" t="s">
        <v>1323</v>
      </c>
      <c r="Q567" s="34">
        <f>SUMIF(Allocation[Delivery ID],Allocation[[#This Row],[Delivery ID]],Allocation[Quantity Processed])</f>
        <v>179</v>
      </c>
      <c r="R567" s="61">
        <f>Allocation[[#This Row],[Total volume used]]/VLOOKUP(Allocation[[#This Row],[Delivery ID]],Delivery[[Delivery ID]:[Quantity delivered]],3,FALSE)</f>
        <v>1.0467836257309942E-2</v>
      </c>
      <c r="S567" s="34">
        <f>Allocation[[#This Row],[Quantity Processed]]/Allocation[[#This Row],[Dilution rate]]</f>
        <v>71.599999999999994</v>
      </c>
      <c r="T567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67" s="61">
        <f>Allocation[[#This Row],[Total volume used]]/VLOOKUP(Allocation[[#This Row],[Delivery ID]],Delivery[[Delivery ID]:[Quantity delivered]],3,FALSE)</f>
        <v>1.0467836257309942E-2</v>
      </c>
      <c r="V567" s="34" t="e">
        <f>VLOOKUP(Allocation[[#This Row],[SAP Contract number]],Shipments[[SAP Contract number]:[Contracted container weight]],2,FALSE)</f>
        <v>#N/A</v>
      </c>
      <c r="W567" s="34" t="e">
        <f>VLOOKUP(Allocation[[#This Row],[SAP Contract number]],Shipments[[SAP Contract number]:[AAA Premium USD]],24,FALSE)</f>
        <v>#N/A</v>
      </c>
      <c r="X567" s="34" t="e">
        <f>VLOOKUP(Allocation[[#This Row],[SAP Contract number]],Shipments[[SAP Contract number]:[RA Premium USD]],25,FALSE)</f>
        <v>#N/A</v>
      </c>
      <c r="Y567" s="38">
        <f>Allocation[[#This Row],[Quantity Processed]]/Allocation[[#This Row],[Quantity allocated]]</f>
        <v>3.0338983050847457</v>
      </c>
      <c r="Z567" s="34" t="b">
        <f>Allocation[[#This Row],[Quantity allocated]]&lt;=Allocation[[#This Row],[Quantity Processed]]</f>
        <v>1</v>
      </c>
    </row>
    <row r="568" spans="1:26">
      <c r="A568" s="247" t="s">
        <v>467</v>
      </c>
      <c r="B568" s="160" t="s">
        <v>68</v>
      </c>
      <c r="C568" s="252" t="s">
        <v>484</v>
      </c>
      <c r="D568" s="250">
        <v>179</v>
      </c>
      <c r="E568" s="160" t="s">
        <v>1237</v>
      </c>
      <c r="F568" s="158">
        <v>43514</v>
      </c>
      <c r="G568" s="162">
        <v>2.5</v>
      </c>
      <c r="H568" s="250">
        <v>59</v>
      </c>
      <c r="I568" s="160">
        <v>1433462</v>
      </c>
      <c r="J568" s="163">
        <v>19175</v>
      </c>
      <c r="K568" s="158">
        <v>43521</v>
      </c>
      <c r="L568" s="160" t="s">
        <v>1238</v>
      </c>
      <c r="M568" s="160">
        <v>4615516135</v>
      </c>
      <c r="N568" s="158">
        <v>43544</v>
      </c>
      <c r="O568" s="164">
        <v>3.7890999999999999</v>
      </c>
      <c r="P568" s="165" t="s">
        <v>1323</v>
      </c>
      <c r="Q568" s="34">
        <f>SUMIF(Allocation[Delivery ID],Allocation[[#This Row],[Delivery ID]],Allocation[Quantity Processed])</f>
        <v>179</v>
      </c>
      <c r="R568" s="61">
        <f>Allocation[[#This Row],[Total volume used]]/VLOOKUP(Allocation[[#This Row],[Delivery ID]],Delivery[[Delivery ID]:[Quantity delivered]],3,FALSE)</f>
        <v>8.985943775100402E-3</v>
      </c>
      <c r="S568" s="34">
        <f>Allocation[[#This Row],[Quantity Processed]]/Allocation[[#This Row],[Dilution rate]]</f>
        <v>71.599999999999994</v>
      </c>
      <c r="T568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68" s="61">
        <f>Allocation[[#This Row],[Total volume used]]/VLOOKUP(Allocation[[#This Row],[Delivery ID]],Delivery[[Delivery ID]:[Quantity delivered]],3,FALSE)</f>
        <v>8.985943775100402E-3</v>
      </c>
      <c r="V568" s="34" t="e">
        <f>VLOOKUP(Allocation[[#This Row],[SAP Contract number]],Shipments[[SAP Contract number]:[Contracted container weight]],2,FALSE)</f>
        <v>#N/A</v>
      </c>
      <c r="W568" s="34" t="e">
        <f>VLOOKUP(Allocation[[#This Row],[SAP Contract number]],Shipments[[SAP Contract number]:[AAA Premium USD]],24,FALSE)</f>
        <v>#N/A</v>
      </c>
      <c r="X568" s="34" t="e">
        <f>VLOOKUP(Allocation[[#This Row],[SAP Contract number]],Shipments[[SAP Contract number]:[RA Premium USD]],25,FALSE)</f>
        <v>#N/A</v>
      </c>
      <c r="Y568" s="38">
        <f>Allocation[[#This Row],[Quantity Processed]]/Allocation[[#This Row],[Quantity allocated]]</f>
        <v>3.0338983050847457</v>
      </c>
      <c r="Z568" s="34" t="b">
        <f>Allocation[[#This Row],[Quantity allocated]]&lt;=Allocation[[#This Row],[Quantity Processed]]</f>
        <v>1</v>
      </c>
    </row>
    <row r="569" spans="1:26">
      <c r="A569" s="247" t="s">
        <v>467</v>
      </c>
      <c r="B569" s="160" t="s">
        <v>68</v>
      </c>
      <c r="C569" s="252" t="s">
        <v>485</v>
      </c>
      <c r="D569" s="250">
        <v>179</v>
      </c>
      <c r="E569" s="160" t="s">
        <v>1237</v>
      </c>
      <c r="F569" s="158">
        <v>43514</v>
      </c>
      <c r="G569" s="162">
        <v>2.5</v>
      </c>
      <c r="H569" s="250">
        <v>59</v>
      </c>
      <c r="I569" s="160">
        <v>1433462</v>
      </c>
      <c r="J569" s="163">
        <v>19175</v>
      </c>
      <c r="K569" s="158">
        <v>43521</v>
      </c>
      <c r="L569" s="160" t="s">
        <v>1238</v>
      </c>
      <c r="M569" s="160">
        <v>4615516135</v>
      </c>
      <c r="N569" s="158">
        <v>43544</v>
      </c>
      <c r="O569" s="164">
        <v>3.7890999999999999</v>
      </c>
      <c r="P569" s="165" t="s">
        <v>1323</v>
      </c>
      <c r="Q569" s="34">
        <f>SUMIF(Allocation[Delivery ID],Allocation[[#This Row],[Delivery ID]],Allocation[Quantity Processed])</f>
        <v>179</v>
      </c>
      <c r="R569" s="61">
        <f>Allocation[[#This Row],[Total volume used]]/VLOOKUP(Allocation[[#This Row],[Delivery ID]],Delivery[[Delivery ID]:[Quantity delivered]],3,FALSE)</f>
        <v>1.2327823691460056E-2</v>
      </c>
      <c r="S569" s="34">
        <f>Allocation[[#This Row],[Quantity Processed]]/Allocation[[#This Row],[Dilution rate]]</f>
        <v>71.599999999999994</v>
      </c>
      <c r="T569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69" s="61">
        <f>Allocation[[#This Row],[Total volume used]]/VLOOKUP(Allocation[[#This Row],[Delivery ID]],Delivery[[Delivery ID]:[Quantity delivered]],3,FALSE)</f>
        <v>1.2327823691460056E-2</v>
      </c>
      <c r="V569" s="34" t="e">
        <f>VLOOKUP(Allocation[[#This Row],[SAP Contract number]],Shipments[[SAP Contract number]:[Contracted container weight]],2,FALSE)</f>
        <v>#N/A</v>
      </c>
      <c r="W569" s="34" t="e">
        <f>VLOOKUP(Allocation[[#This Row],[SAP Contract number]],Shipments[[SAP Contract number]:[AAA Premium USD]],24,FALSE)</f>
        <v>#N/A</v>
      </c>
      <c r="X569" s="34" t="e">
        <f>VLOOKUP(Allocation[[#This Row],[SAP Contract number]],Shipments[[SAP Contract number]:[RA Premium USD]],25,FALSE)</f>
        <v>#N/A</v>
      </c>
      <c r="Y569" s="38">
        <f>Allocation[[#This Row],[Quantity Processed]]/Allocation[[#This Row],[Quantity allocated]]</f>
        <v>3.0338983050847457</v>
      </c>
      <c r="Z569" s="34" t="b">
        <f>Allocation[[#This Row],[Quantity allocated]]&lt;=Allocation[[#This Row],[Quantity Processed]]</f>
        <v>1</v>
      </c>
    </row>
    <row r="570" spans="1:26">
      <c r="A570" s="247" t="s">
        <v>467</v>
      </c>
      <c r="B570" s="160" t="s">
        <v>68</v>
      </c>
      <c r="C570" s="252" t="s">
        <v>486</v>
      </c>
      <c r="D570" s="250">
        <v>179</v>
      </c>
      <c r="E570" s="160" t="s">
        <v>1237</v>
      </c>
      <c r="F570" s="158">
        <v>43514</v>
      </c>
      <c r="G570" s="162">
        <v>2.5</v>
      </c>
      <c r="H570" s="250">
        <v>59</v>
      </c>
      <c r="I570" s="160">
        <v>1433462</v>
      </c>
      <c r="J570" s="163">
        <v>19175</v>
      </c>
      <c r="K570" s="158">
        <v>43521</v>
      </c>
      <c r="L570" s="160" t="s">
        <v>1238</v>
      </c>
      <c r="M570" s="160">
        <v>4615516135</v>
      </c>
      <c r="N570" s="158">
        <v>43544</v>
      </c>
      <c r="O570" s="164">
        <v>3.7890999999999999</v>
      </c>
      <c r="P570" s="165" t="s">
        <v>1323</v>
      </c>
      <c r="Q570" s="34">
        <f>SUMIF(Allocation[Delivery ID],Allocation[[#This Row],[Delivery ID]],Allocation[Quantity Processed])</f>
        <v>179</v>
      </c>
      <c r="R570" s="61">
        <f>Allocation[[#This Row],[Total volume used]]/VLOOKUP(Allocation[[#This Row],[Delivery ID]],Delivery[[Delivery ID]:[Quantity delivered]],3,FALSE)</f>
        <v>8.9321357285429143E-3</v>
      </c>
      <c r="S570" s="34">
        <f>Allocation[[#This Row],[Quantity Processed]]/Allocation[[#This Row],[Dilution rate]]</f>
        <v>71.599999999999994</v>
      </c>
      <c r="T570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70" s="61">
        <f>Allocation[[#This Row],[Total volume used]]/VLOOKUP(Allocation[[#This Row],[Delivery ID]],Delivery[[Delivery ID]:[Quantity delivered]],3,FALSE)</f>
        <v>8.9321357285429143E-3</v>
      </c>
      <c r="V570" s="34" t="e">
        <f>VLOOKUP(Allocation[[#This Row],[SAP Contract number]],Shipments[[SAP Contract number]:[Contracted container weight]],2,FALSE)</f>
        <v>#N/A</v>
      </c>
      <c r="W570" s="34" t="e">
        <f>VLOOKUP(Allocation[[#This Row],[SAP Contract number]],Shipments[[SAP Contract number]:[AAA Premium USD]],24,FALSE)</f>
        <v>#N/A</v>
      </c>
      <c r="X570" s="34" t="e">
        <f>VLOOKUP(Allocation[[#This Row],[SAP Contract number]],Shipments[[SAP Contract number]:[RA Premium USD]],25,FALSE)</f>
        <v>#N/A</v>
      </c>
      <c r="Y570" s="38">
        <f>Allocation[[#This Row],[Quantity Processed]]/Allocation[[#This Row],[Quantity allocated]]</f>
        <v>3.0338983050847457</v>
      </c>
      <c r="Z570" s="34" t="b">
        <f>Allocation[[#This Row],[Quantity allocated]]&lt;=Allocation[[#This Row],[Quantity Processed]]</f>
        <v>1</v>
      </c>
    </row>
    <row r="571" spans="1:26">
      <c r="A571" s="247" t="s">
        <v>467</v>
      </c>
      <c r="B571" s="160" t="s">
        <v>68</v>
      </c>
      <c r="C571" s="252" t="s">
        <v>487</v>
      </c>
      <c r="D571" s="250">
        <v>179</v>
      </c>
      <c r="E571" s="160" t="s">
        <v>1237</v>
      </c>
      <c r="F571" s="158">
        <v>43514</v>
      </c>
      <c r="G571" s="162">
        <v>2.5</v>
      </c>
      <c r="H571" s="250">
        <v>59</v>
      </c>
      <c r="I571" s="160">
        <v>1433462</v>
      </c>
      <c r="J571" s="163">
        <v>19175</v>
      </c>
      <c r="K571" s="158">
        <v>43521</v>
      </c>
      <c r="L571" s="160" t="s">
        <v>1238</v>
      </c>
      <c r="M571" s="160">
        <v>4615516135</v>
      </c>
      <c r="N571" s="158">
        <v>43544</v>
      </c>
      <c r="O571" s="164">
        <v>3.7890999999999999</v>
      </c>
      <c r="P571" s="165" t="s">
        <v>1323</v>
      </c>
      <c r="Q571" s="34">
        <f>SUMIF(Allocation[Delivery ID],Allocation[[#This Row],[Delivery ID]],Allocation[Quantity Processed])</f>
        <v>179</v>
      </c>
      <c r="R571" s="61">
        <f>Allocation[[#This Row],[Total volume used]]/VLOOKUP(Allocation[[#This Row],[Delivery ID]],Delivery[[Delivery ID]:[Quantity delivered]],3,FALSE)</f>
        <v>1.0927960927960927E-2</v>
      </c>
      <c r="S571" s="34">
        <f>Allocation[[#This Row],[Quantity Processed]]/Allocation[[#This Row],[Dilution rate]]</f>
        <v>71.599999999999994</v>
      </c>
      <c r="T571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71" s="61">
        <f>Allocation[[#This Row],[Total volume used]]/VLOOKUP(Allocation[[#This Row],[Delivery ID]],Delivery[[Delivery ID]:[Quantity delivered]],3,FALSE)</f>
        <v>1.0927960927960927E-2</v>
      </c>
      <c r="V571" s="34" t="e">
        <f>VLOOKUP(Allocation[[#This Row],[SAP Contract number]],Shipments[[SAP Contract number]:[Contracted container weight]],2,FALSE)</f>
        <v>#N/A</v>
      </c>
      <c r="W571" s="34" t="e">
        <f>VLOOKUP(Allocation[[#This Row],[SAP Contract number]],Shipments[[SAP Contract number]:[AAA Premium USD]],24,FALSE)</f>
        <v>#N/A</v>
      </c>
      <c r="X571" s="34" t="e">
        <f>VLOOKUP(Allocation[[#This Row],[SAP Contract number]],Shipments[[SAP Contract number]:[RA Premium USD]],25,FALSE)</f>
        <v>#N/A</v>
      </c>
      <c r="Y571" s="38">
        <f>Allocation[[#This Row],[Quantity Processed]]/Allocation[[#This Row],[Quantity allocated]]</f>
        <v>3.0338983050847457</v>
      </c>
      <c r="Z571" s="34" t="b">
        <f>Allocation[[#This Row],[Quantity allocated]]&lt;=Allocation[[#This Row],[Quantity Processed]]</f>
        <v>1</v>
      </c>
    </row>
    <row r="572" spans="1:26">
      <c r="A572" s="247" t="s">
        <v>467</v>
      </c>
      <c r="B572" s="160" t="s">
        <v>68</v>
      </c>
      <c r="C572" s="252" t="s">
        <v>488</v>
      </c>
      <c r="D572" s="250">
        <v>179</v>
      </c>
      <c r="E572" s="160" t="s">
        <v>1237</v>
      </c>
      <c r="F572" s="158">
        <v>43514</v>
      </c>
      <c r="G572" s="162">
        <v>2.5</v>
      </c>
      <c r="H572" s="250">
        <v>59</v>
      </c>
      <c r="I572" s="160">
        <v>1433462</v>
      </c>
      <c r="J572" s="163">
        <v>19175</v>
      </c>
      <c r="K572" s="158">
        <v>43521</v>
      </c>
      <c r="L572" s="160" t="s">
        <v>1238</v>
      </c>
      <c r="M572" s="160">
        <v>4615516135</v>
      </c>
      <c r="N572" s="158">
        <v>43544</v>
      </c>
      <c r="O572" s="164">
        <v>3.7890999999999999</v>
      </c>
      <c r="P572" s="165" t="s">
        <v>1323</v>
      </c>
      <c r="Q572" s="34">
        <f>SUMIF(Allocation[Delivery ID],Allocation[[#This Row],[Delivery ID]],Allocation[Quantity Processed])</f>
        <v>179</v>
      </c>
      <c r="R572" s="61">
        <f>Allocation[[#This Row],[Total volume used]]/VLOOKUP(Allocation[[#This Row],[Delivery ID]],Delivery[[Delivery ID]:[Quantity delivered]],3,FALSE)</f>
        <v>0.15701754385964911</v>
      </c>
      <c r="S572" s="34">
        <f>Allocation[[#This Row],[Quantity Processed]]/Allocation[[#This Row],[Dilution rate]]</f>
        <v>71.599999999999994</v>
      </c>
      <c r="T572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72" s="61">
        <f>Allocation[[#This Row],[Total volume used]]/VLOOKUP(Allocation[[#This Row],[Delivery ID]],Delivery[[Delivery ID]:[Quantity delivered]],3,FALSE)</f>
        <v>0.15701754385964911</v>
      </c>
      <c r="V572" s="34" t="e">
        <f>VLOOKUP(Allocation[[#This Row],[SAP Contract number]],Shipments[[SAP Contract number]:[Contracted container weight]],2,FALSE)</f>
        <v>#N/A</v>
      </c>
      <c r="W572" s="34" t="e">
        <f>VLOOKUP(Allocation[[#This Row],[SAP Contract number]],Shipments[[SAP Contract number]:[AAA Premium USD]],24,FALSE)</f>
        <v>#N/A</v>
      </c>
      <c r="X572" s="34" t="e">
        <f>VLOOKUP(Allocation[[#This Row],[SAP Contract number]],Shipments[[SAP Contract number]:[RA Premium USD]],25,FALSE)</f>
        <v>#N/A</v>
      </c>
      <c r="Y572" s="38">
        <f>Allocation[[#This Row],[Quantity Processed]]/Allocation[[#This Row],[Quantity allocated]]</f>
        <v>3.0338983050847457</v>
      </c>
      <c r="Z572" s="34" t="b">
        <f>Allocation[[#This Row],[Quantity allocated]]&lt;=Allocation[[#This Row],[Quantity Processed]]</f>
        <v>1</v>
      </c>
    </row>
    <row r="573" spans="1:26">
      <c r="A573" s="247" t="s">
        <v>467</v>
      </c>
      <c r="B573" s="160" t="s">
        <v>68</v>
      </c>
      <c r="C573" s="252" t="s">
        <v>489</v>
      </c>
      <c r="D573" s="250">
        <v>179</v>
      </c>
      <c r="E573" s="160" t="s">
        <v>1237</v>
      </c>
      <c r="F573" s="158">
        <v>43514</v>
      </c>
      <c r="G573" s="162">
        <v>2.5</v>
      </c>
      <c r="H573" s="250">
        <v>59</v>
      </c>
      <c r="I573" s="160">
        <v>1433462</v>
      </c>
      <c r="J573" s="163">
        <v>19175</v>
      </c>
      <c r="K573" s="158">
        <v>43521</v>
      </c>
      <c r="L573" s="160" t="s">
        <v>1238</v>
      </c>
      <c r="M573" s="160">
        <v>4615516135</v>
      </c>
      <c r="N573" s="158">
        <v>43544</v>
      </c>
      <c r="O573" s="164">
        <v>3.7890999999999999</v>
      </c>
      <c r="P573" s="165" t="s">
        <v>1323</v>
      </c>
      <c r="Q573" s="34">
        <f>SUMIF(Allocation[Delivery ID],Allocation[[#This Row],[Delivery ID]],Allocation[Quantity Processed])</f>
        <v>179</v>
      </c>
      <c r="R573" s="61">
        <f>Allocation[[#This Row],[Total volume used]]/VLOOKUP(Allocation[[#This Row],[Delivery ID]],Delivery[[Delivery ID]:[Quantity delivered]],3,FALSE)</f>
        <v>1.0431235431235432E-2</v>
      </c>
      <c r="S573" s="34">
        <f>Allocation[[#This Row],[Quantity Processed]]/Allocation[[#This Row],[Dilution rate]]</f>
        <v>71.599999999999994</v>
      </c>
      <c r="T573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73" s="61">
        <f>Allocation[[#This Row],[Total volume used]]/VLOOKUP(Allocation[[#This Row],[Delivery ID]],Delivery[[Delivery ID]:[Quantity delivered]],3,FALSE)</f>
        <v>1.0431235431235432E-2</v>
      </c>
      <c r="V573" s="34" t="e">
        <f>VLOOKUP(Allocation[[#This Row],[SAP Contract number]],Shipments[[SAP Contract number]:[Contracted container weight]],2,FALSE)</f>
        <v>#N/A</v>
      </c>
      <c r="W573" s="34" t="e">
        <f>VLOOKUP(Allocation[[#This Row],[SAP Contract number]],Shipments[[SAP Contract number]:[AAA Premium USD]],24,FALSE)</f>
        <v>#N/A</v>
      </c>
      <c r="X573" s="34" t="e">
        <f>VLOOKUP(Allocation[[#This Row],[SAP Contract number]],Shipments[[SAP Contract number]:[RA Premium USD]],25,FALSE)</f>
        <v>#N/A</v>
      </c>
      <c r="Y573" s="38">
        <f>Allocation[[#This Row],[Quantity Processed]]/Allocation[[#This Row],[Quantity allocated]]</f>
        <v>3.0338983050847457</v>
      </c>
      <c r="Z573" s="34" t="b">
        <f>Allocation[[#This Row],[Quantity allocated]]&lt;=Allocation[[#This Row],[Quantity Processed]]</f>
        <v>1</v>
      </c>
    </row>
    <row r="574" spans="1:26">
      <c r="A574" s="247" t="s">
        <v>467</v>
      </c>
      <c r="B574" s="160" t="s">
        <v>68</v>
      </c>
      <c r="C574" s="252" t="s">
        <v>490</v>
      </c>
      <c r="D574" s="250">
        <v>179</v>
      </c>
      <c r="E574" s="160" t="s">
        <v>1237</v>
      </c>
      <c r="F574" s="158">
        <v>43514</v>
      </c>
      <c r="G574" s="162">
        <v>2.5</v>
      </c>
      <c r="H574" s="250">
        <v>59</v>
      </c>
      <c r="I574" s="160">
        <v>1433462</v>
      </c>
      <c r="J574" s="163">
        <v>19175</v>
      </c>
      <c r="K574" s="158">
        <v>43521</v>
      </c>
      <c r="L574" s="160" t="s">
        <v>1238</v>
      </c>
      <c r="M574" s="160">
        <v>4615516135</v>
      </c>
      <c r="N574" s="158">
        <v>43544</v>
      </c>
      <c r="O574" s="164">
        <v>3.7890999999999999</v>
      </c>
      <c r="P574" s="165" t="s">
        <v>1323</v>
      </c>
      <c r="Q574" s="34">
        <f>SUMIF(Allocation[Delivery ID],Allocation[[#This Row],[Delivery ID]],Allocation[Quantity Processed])</f>
        <v>179</v>
      </c>
      <c r="R574" s="61">
        <f>Allocation[[#This Row],[Total volume used]]/VLOOKUP(Allocation[[#This Row],[Delivery ID]],Delivery[[Delivery ID]:[Quantity delivered]],3,FALSE)</f>
        <v>1.0358796296296297E-2</v>
      </c>
      <c r="S574" s="34">
        <f>Allocation[[#This Row],[Quantity Processed]]/Allocation[[#This Row],[Dilution rate]]</f>
        <v>71.599999999999994</v>
      </c>
      <c r="T574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74" s="61">
        <f>Allocation[[#This Row],[Total volume used]]/VLOOKUP(Allocation[[#This Row],[Delivery ID]],Delivery[[Delivery ID]:[Quantity delivered]],3,FALSE)</f>
        <v>1.0358796296296297E-2</v>
      </c>
      <c r="V574" s="34" t="e">
        <f>VLOOKUP(Allocation[[#This Row],[SAP Contract number]],Shipments[[SAP Contract number]:[Contracted container weight]],2,FALSE)</f>
        <v>#N/A</v>
      </c>
      <c r="W574" s="34" t="e">
        <f>VLOOKUP(Allocation[[#This Row],[SAP Contract number]],Shipments[[SAP Contract number]:[AAA Premium USD]],24,FALSE)</f>
        <v>#N/A</v>
      </c>
      <c r="X574" s="34" t="e">
        <f>VLOOKUP(Allocation[[#This Row],[SAP Contract number]],Shipments[[SAP Contract number]:[RA Premium USD]],25,FALSE)</f>
        <v>#N/A</v>
      </c>
      <c r="Y574" s="38">
        <f>Allocation[[#This Row],[Quantity Processed]]/Allocation[[#This Row],[Quantity allocated]]</f>
        <v>3.0338983050847457</v>
      </c>
      <c r="Z574" s="34" t="b">
        <f>Allocation[[#This Row],[Quantity allocated]]&lt;=Allocation[[#This Row],[Quantity Processed]]</f>
        <v>1</v>
      </c>
    </row>
    <row r="575" spans="1:26">
      <c r="A575" s="247" t="s">
        <v>467</v>
      </c>
      <c r="B575" s="160" t="s">
        <v>68</v>
      </c>
      <c r="C575" s="252" t="s">
        <v>491</v>
      </c>
      <c r="D575" s="250">
        <v>179</v>
      </c>
      <c r="E575" s="160" t="s">
        <v>1237</v>
      </c>
      <c r="F575" s="158">
        <v>43514</v>
      </c>
      <c r="G575" s="162">
        <v>2.5</v>
      </c>
      <c r="H575" s="250">
        <v>59</v>
      </c>
      <c r="I575" s="160">
        <v>1433462</v>
      </c>
      <c r="J575" s="163">
        <v>19175</v>
      </c>
      <c r="K575" s="158">
        <v>43521</v>
      </c>
      <c r="L575" s="160" t="s">
        <v>1238</v>
      </c>
      <c r="M575" s="160">
        <v>4615516135</v>
      </c>
      <c r="N575" s="158">
        <v>43544</v>
      </c>
      <c r="O575" s="164">
        <v>3.7890999999999999</v>
      </c>
      <c r="P575" s="165" t="s">
        <v>1323</v>
      </c>
      <c r="Q575" s="34">
        <f>SUMIF(Allocation[Delivery ID],Allocation[[#This Row],[Delivery ID]],Allocation[Quantity Processed])</f>
        <v>179</v>
      </c>
      <c r="R575" s="61">
        <f>Allocation[[#This Row],[Total volume used]]/VLOOKUP(Allocation[[#This Row],[Delivery ID]],Delivery[[Delivery ID]:[Quantity delivered]],3,FALSE)</f>
        <v>1.0541813898704358E-2</v>
      </c>
      <c r="S575" s="34">
        <f>Allocation[[#This Row],[Quantity Processed]]/Allocation[[#This Row],[Dilution rate]]</f>
        <v>71.599999999999994</v>
      </c>
      <c r="T575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75" s="61">
        <f>Allocation[[#This Row],[Total volume used]]/VLOOKUP(Allocation[[#This Row],[Delivery ID]],Delivery[[Delivery ID]:[Quantity delivered]],3,FALSE)</f>
        <v>1.0541813898704358E-2</v>
      </c>
      <c r="V575" s="34" t="e">
        <f>VLOOKUP(Allocation[[#This Row],[SAP Contract number]],Shipments[[SAP Contract number]:[Contracted container weight]],2,FALSE)</f>
        <v>#N/A</v>
      </c>
      <c r="W575" s="34" t="e">
        <f>VLOOKUP(Allocation[[#This Row],[SAP Contract number]],Shipments[[SAP Contract number]:[AAA Premium USD]],24,FALSE)</f>
        <v>#N/A</v>
      </c>
      <c r="X575" s="34" t="e">
        <f>VLOOKUP(Allocation[[#This Row],[SAP Contract number]],Shipments[[SAP Contract number]:[RA Premium USD]],25,FALSE)</f>
        <v>#N/A</v>
      </c>
      <c r="Y575" s="38">
        <f>Allocation[[#This Row],[Quantity Processed]]/Allocation[[#This Row],[Quantity allocated]]</f>
        <v>3.0338983050847457</v>
      </c>
      <c r="Z575" s="34" t="b">
        <f>Allocation[[#This Row],[Quantity allocated]]&lt;=Allocation[[#This Row],[Quantity Processed]]</f>
        <v>1</v>
      </c>
    </row>
    <row r="576" spans="1:26">
      <c r="A576" s="247" t="s">
        <v>467</v>
      </c>
      <c r="B576" s="160" t="s">
        <v>68</v>
      </c>
      <c r="C576" s="252" t="s">
        <v>493</v>
      </c>
      <c r="D576" s="250">
        <v>179</v>
      </c>
      <c r="E576" s="160" t="s">
        <v>1237</v>
      </c>
      <c r="F576" s="158">
        <v>43514</v>
      </c>
      <c r="G576" s="162">
        <v>2.5</v>
      </c>
      <c r="H576" s="250">
        <v>59</v>
      </c>
      <c r="I576" s="160">
        <v>1433462</v>
      </c>
      <c r="J576" s="163">
        <v>19175</v>
      </c>
      <c r="K576" s="158">
        <v>43521</v>
      </c>
      <c r="L576" s="160" t="s">
        <v>1238</v>
      </c>
      <c r="M576" s="160">
        <v>4615516135</v>
      </c>
      <c r="N576" s="158">
        <v>43544</v>
      </c>
      <c r="O576" s="164">
        <v>3.7890999999999999</v>
      </c>
      <c r="P576" s="165" t="s">
        <v>1323</v>
      </c>
      <c r="Q576" s="34">
        <f>SUMIF(Allocation[Delivery ID],Allocation[[#This Row],[Delivery ID]],Allocation[Quantity Processed])</f>
        <v>179</v>
      </c>
      <c r="R576" s="61">
        <f>Allocation[[#This Row],[Total volume used]]/VLOOKUP(Allocation[[#This Row],[Delivery ID]],Delivery[[Delivery ID]:[Quantity delivered]],3,FALSE)</f>
        <v>1.0579196217494089E-2</v>
      </c>
      <c r="S576" s="34">
        <f>Allocation[[#This Row],[Quantity Processed]]/Allocation[[#This Row],[Dilution rate]]</f>
        <v>71.599999999999994</v>
      </c>
      <c r="T576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76" s="61">
        <f>Allocation[[#This Row],[Total volume used]]/VLOOKUP(Allocation[[#This Row],[Delivery ID]],Delivery[[Delivery ID]:[Quantity delivered]],3,FALSE)</f>
        <v>1.0579196217494089E-2</v>
      </c>
      <c r="V576" s="34" t="e">
        <f>VLOOKUP(Allocation[[#This Row],[SAP Contract number]],Shipments[[SAP Contract number]:[Contracted container weight]],2,FALSE)</f>
        <v>#N/A</v>
      </c>
      <c r="W576" s="34" t="e">
        <f>VLOOKUP(Allocation[[#This Row],[SAP Contract number]],Shipments[[SAP Contract number]:[AAA Premium USD]],24,FALSE)</f>
        <v>#N/A</v>
      </c>
      <c r="X576" s="34" t="e">
        <f>VLOOKUP(Allocation[[#This Row],[SAP Contract number]],Shipments[[SAP Contract number]:[RA Premium USD]],25,FALSE)</f>
        <v>#N/A</v>
      </c>
      <c r="Y576" s="38">
        <f>Allocation[[#This Row],[Quantity Processed]]/Allocation[[#This Row],[Quantity allocated]]</f>
        <v>3.0338983050847457</v>
      </c>
      <c r="Z576" s="34" t="b">
        <f>Allocation[[#This Row],[Quantity allocated]]&lt;=Allocation[[#This Row],[Quantity Processed]]</f>
        <v>1</v>
      </c>
    </row>
    <row r="577" spans="1:26">
      <c r="A577" s="247" t="s">
        <v>467</v>
      </c>
      <c r="B577" s="160" t="s">
        <v>68</v>
      </c>
      <c r="C577" s="252" t="s">
        <v>494</v>
      </c>
      <c r="D577" s="250">
        <v>179</v>
      </c>
      <c r="E577" s="160" t="s">
        <v>1237</v>
      </c>
      <c r="F577" s="158">
        <v>43514</v>
      </c>
      <c r="G577" s="162">
        <v>2.5</v>
      </c>
      <c r="H577" s="250">
        <v>59</v>
      </c>
      <c r="I577" s="160">
        <v>1433462</v>
      </c>
      <c r="J577" s="163">
        <v>19175</v>
      </c>
      <c r="K577" s="158">
        <v>43521</v>
      </c>
      <c r="L577" s="160" t="s">
        <v>1238</v>
      </c>
      <c r="M577" s="160">
        <v>4615516135</v>
      </c>
      <c r="N577" s="158">
        <v>43544</v>
      </c>
      <c r="O577" s="164">
        <v>3.7890999999999999</v>
      </c>
      <c r="P577" s="165" t="s">
        <v>1323</v>
      </c>
      <c r="Q577" s="34">
        <f>SUMIF(Allocation[Delivery ID],Allocation[[#This Row],[Delivery ID]],Allocation[Quantity Processed])</f>
        <v>179</v>
      </c>
      <c r="R577" s="61">
        <f>Allocation[[#This Row],[Total volume used]]/VLOOKUP(Allocation[[#This Row],[Delivery ID]],Delivery[[Delivery ID]:[Quantity delivered]],3,FALSE)</f>
        <v>1.0579196217494089E-2</v>
      </c>
      <c r="S577" s="34">
        <f>Allocation[[#This Row],[Quantity Processed]]/Allocation[[#This Row],[Dilution rate]]</f>
        <v>71.599999999999994</v>
      </c>
      <c r="T577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77" s="61">
        <f>Allocation[[#This Row],[Total volume used]]/VLOOKUP(Allocation[[#This Row],[Delivery ID]],Delivery[[Delivery ID]:[Quantity delivered]],3,FALSE)</f>
        <v>1.0579196217494089E-2</v>
      </c>
      <c r="V577" s="34" t="e">
        <f>VLOOKUP(Allocation[[#This Row],[SAP Contract number]],Shipments[[SAP Contract number]:[Contracted container weight]],2,FALSE)</f>
        <v>#N/A</v>
      </c>
      <c r="W577" s="34" t="e">
        <f>VLOOKUP(Allocation[[#This Row],[SAP Contract number]],Shipments[[SAP Contract number]:[AAA Premium USD]],24,FALSE)</f>
        <v>#N/A</v>
      </c>
      <c r="X577" s="34" t="e">
        <f>VLOOKUP(Allocation[[#This Row],[SAP Contract number]],Shipments[[SAP Contract number]:[RA Premium USD]],25,FALSE)</f>
        <v>#N/A</v>
      </c>
      <c r="Y577" s="38">
        <f>Allocation[[#This Row],[Quantity Processed]]/Allocation[[#This Row],[Quantity allocated]]</f>
        <v>3.0338983050847457</v>
      </c>
      <c r="Z577" s="34" t="b">
        <f>Allocation[[#This Row],[Quantity allocated]]&lt;=Allocation[[#This Row],[Quantity Processed]]</f>
        <v>1</v>
      </c>
    </row>
    <row r="578" spans="1:26">
      <c r="A578" s="247" t="s">
        <v>467</v>
      </c>
      <c r="B578" s="160" t="s">
        <v>68</v>
      </c>
      <c r="C578" s="252" t="s">
        <v>495</v>
      </c>
      <c r="D578" s="250">
        <v>179</v>
      </c>
      <c r="E578" s="160" t="s">
        <v>1237</v>
      </c>
      <c r="F578" s="158">
        <v>43514</v>
      </c>
      <c r="G578" s="162">
        <v>2.5</v>
      </c>
      <c r="H578" s="250">
        <v>59</v>
      </c>
      <c r="I578" s="160">
        <v>1433462</v>
      </c>
      <c r="J578" s="163">
        <v>19175</v>
      </c>
      <c r="K578" s="158">
        <v>43521</v>
      </c>
      <c r="L578" s="160" t="s">
        <v>1238</v>
      </c>
      <c r="M578" s="160">
        <v>4615516135</v>
      </c>
      <c r="N578" s="158">
        <v>43544</v>
      </c>
      <c r="O578" s="164">
        <v>3.7890999999999999</v>
      </c>
      <c r="P578" s="165" t="s">
        <v>1323</v>
      </c>
      <c r="Q578" s="34">
        <f>SUMIF(Allocation[Delivery ID],Allocation[[#This Row],[Delivery ID]],Allocation[Quantity Processed])</f>
        <v>179</v>
      </c>
      <c r="R578" s="61">
        <f>Allocation[[#This Row],[Total volume used]]/VLOOKUP(Allocation[[#This Row],[Delivery ID]],Delivery[[Delivery ID]:[Quantity delivered]],3,FALSE)</f>
        <v>9.5314164004259849E-3</v>
      </c>
      <c r="S578" s="34">
        <f>Allocation[[#This Row],[Quantity Processed]]/Allocation[[#This Row],[Dilution rate]]</f>
        <v>71.599999999999994</v>
      </c>
      <c r="T578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78" s="61">
        <f>Allocation[[#This Row],[Total volume used]]/VLOOKUP(Allocation[[#This Row],[Delivery ID]],Delivery[[Delivery ID]:[Quantity delivered]],3,FALSE)</f>
        <v>9.5314164004259849E-3</v>
      </c>
      <c r="V578" s="34" t="e">
        <f>VLOOKUP(Allocation[[#This Row],[SAP Contract number]],Shipments[[SAP Contract number]:[Contracted container weight]],2,FALSE)</f>
        <v>#N/A</v>
      </c>
      <c r="W578" s="34" t="e">
        <f>VLOOKUP(Allocation[[#This Row],[SAP Contract number]],Shipments[[SAP Contract number]:[AAA Premium USD]],24,FALSE)</f>
        <v>#N/A</v>
      </c>
      <c r="X578" s="34" t="e">
        <f>VLOOKUP(Allocation[[#This Row],[SAP Contract number]],Shipments[[SAP Contract number]:[RA Premium USD]],25,FALSE)</f>
        <v>#N/A</v>
      </c>
      <c r="Y578" s="38">
        <f>Allocation[[#This Row],[Quantity Processed]]/Allocation[[#This Row],[Quantity allocated]]</f>
        <v>3.0338983050847457</v>
      </c>
      <c r="Z578" s="34" t="b">
        <f>Allocation[[#This Row],[Quantity allocated]]&lt;=Allocation[[#This Row],[Quantity Processed]]</f>
        <v>1</v>
      </c>
    </row>
    <row r="579" spans="1:26">
      <c r="A579" s="247" t="s">
        <v>467</v>
      </c>
      <c r="B579" s="160" t="s">
        <v>68</v>
      </c>
      <c r="C579" s="252" t="s">
        <v>496</v>
      </c>
      <c r="D579" s="250">
        <v>179</v>
      </c>
      <c r="E579" s="160" t="s">
        <v>1237</v>
      </c>
      <c r="F579" s="158">
        <v>43514</v>
      </c>
      <c r="G579" s="162">
        <v>2.5</v>
      </c>
      <c r="H579" s="250">
        <v>59</v>
      </c>
      <c r="I579" s="160">
        <v>1433462</v>
      </c>
      <c r="J579" s="163">
        <v>19175</v>
      </c>
      <c r="K579" s="158">
        <v>43521</v>
      </c>
      <c r="L579" s="160" t="s">
        <v>1238</v>
      </c>
      <c r="M579" s="160">
        <v>4615516135</v>
      </c>
      <c r="N579" s="158">
        <v>43544</v>
      </c>
      <c r="O579" s="164">
        <v>3.7890999999999999</v>
      </c>
      <c r="P579" s="165" t="s">
        <v>1323</v>
      </c>
      <c r="Q579" s="34">
        <f>SUMIF(Allocation[Delivery ID],Allocation[[#This Row],[Delivery ID]],Allocation[Quantity Processed])</f>
        <v>179</v>
      </c>
      <c r="R579" s="61">
        <f>Allocation[[#This Row],[Total volume used]]/VLOOKUP(Allocation[[#This Row],[Delivery ID]],Delivery[[Delivery ID]:[Quantity delivered]],3,FALSE)</f>
        <v>1.0848484848484849E-2</v>
      </c>
      <c r="S579" s="34">
        <f>Allocation[[#This Row],[Quantity Processed]]/Allocation[[#This Row],[Dilution rate]]</f>
        <v>71.599999999999994</v>
      </c>
      <c r="T579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79" s="61">
        <f>Allocation[[#This Row],[Total volume used]]/VLOOKUP(Allocation[[#This Row],[Delivery ID]],Delivery[[Delivery ID]:[Quantity delivered]],3,FALSE)</f>
        <v>1.0848484848484849E-2</v>
      </c>
      <c r="V579" s="34" t="e">
        <f>VLOOKUP(Allocation[[#This Row],[SAP Contract number]],Shipments[[SAP Contract number]:[Contracted container weight]],2,FALSE)</f>
        <v>#N/A</v>
      </c>
      <c r="W579" s="34" t="e">
        <f>VLOOKUP(Allocation[[#This Row],[SAP Contract number]],Shipments[[SAP Contract number]:[AAA Premium USD]],24,FALSE)</f>
        <v>#N/A</v>
      </c>
      <c r="X579" s="34" t="e">
        <f>VLOOKUP(Allocation[[#This Row],[SAP Contract number]],Shipments[[SAP Contract number]:[RA Premium USD]],25,FALSE)</f>
        <v>#N/A</v>
      </c>
      <c r="Y579" s="38">
        <f>Allocation[[#This Row],[Quantity Processed]]/Allocation[[#This Row],[Quantity allocated]]</f>
        <v>3.0338983050847457</v>
      </c>
      <c r="Z579" s="34" t="b">
        <f>Allocation[[#This Row],[Quantity allocated]]&lt;=Allocation[[#This Row],[Quantity Processed]]</f>
        <v>1</v>
      </c>
    </row>
    <row r="580" spans="1:26">
      <c r="A580" s="247" t="s">
        <v>467</v>
      </c>
      <c r="B580" s="160" t="s">
        <v>68</v>
      </c>
      <c r="C580" s="252" t="s">
        <v>497</v>
      </c>
      <c r="D580" s="250">
        <v>179</v>
      </c>
      <c r="E580" s="160" t="s">
        <v>1237</v>
      </c>
      <c r="F580" s="158">
        <v>43514</v>
      </c>
      <c r="G580" s="162">
        <v>2.5</v>
      </c>
      <c r="H580" s="250">
        <v>59</v>
      </c>
      <c r="I580" s="160">
        <v>1433462</v>
      </c>
      <c r="J580" s="163">
        <v>19175</v>
      </c>
      <c r="K580" s="158">
        <v>43521</v>
      </c>
      <c r="L580" s="160" t="s">
        <v>1238</v>
      </c>
      <c r="M580" s="160">
        <v>4615516135</v>
      </c>
      <c r="N580" s="158">
        <v>43544</v>
      </c>
      <c r="O580" s="164">
        <v>3.7890999999999999</v>
      </c>
      <c r="P580" s="165" t="s">
        <v>1323</v>
      </c>
      <c r="Q580" s="34">
        <f>SUMIF(Allocation[Delivery ID],Allocation[[#This Row],[Delivery ID]],Allocation[Quantity Processed])</f>
        <v>179</v>
      </c>
      <c r="R580" s="61">
        <f>Allocation[[#This Row],[Total volume used]]/VLOOKUP(Allocation[[#This Row],[Delivery ID]],Delivery[[Delivery ID]:[Quantity delivered]],3,FALSE)</f>
        <v>1.0467836257309942E-2</v>
      </c>
      <c r="S580" s="34">
        <f>Allocation[[#This Row],[Quantity Processed]]/Allocation[[#This Row],[Dilution rate]]</f>
        <v>71.599999999999994</v>
      </c>
      <c r="T580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80" s="61">
        <f>Allocation[[#This Row],[Total volume used]]/VLOOKUP(Allocation[[#This Row],[Delivery ID]],Delivery[[Delivery ID]:[Quantity delivered]],3,FALSE)</f>
        <v>1.0467836257309942E-2</v>
      </c>
      <c r="V580" s="34" t="e">
        <f>VLOOKUP(Allocation[[#This Row],[SAP Contract number]],Shipments[[SAP Contract number]:[Contracted container weight]],2,FALSE)</f>
        <v>#N/A</v>
      </c>
      <c r="W580" s="34" t="e">
        <f>VLOOKUP(Allocation[[#This Row],[SAP Contract number]],Shipments[[SAP Contract number]:[AAA Premium USD]],24,FALSE)</f>
        <v>#N/A</v>
      </c>
      <c r="X580" s="34" t="e">
        <f>VLOOKUP(Allocation[[#This Row],[SAP Contract number]],Shipments[[SAP Contract number]:[RA Premium USD]],25,FALSE)</f>
        <v>#N/A</v>
      </c>
      <c r="Y580" s="38">
        <f>Allocation[[#This Row],[Quantity Processed]]/Allocation[[#This Row],[Quantity allocated]]</f>
        <v>3.0338983050847457</v>
      </c>
      <c r="Z580" s="34" t="b">
        <f>Allocation[[#This Row],[Quantity allocated]]&lt;=Allocation[[#This Row],[Quantity Processed]]</f>
        <v>1</v>
      </c>
    </row>
    <row r="581" spans="1:26">
      <c r="A581" s="247" t="s">
        <v>467</v>
      </c>
      <c r="B581" s="160" t="s">
        <v>68</v>
      </c>
      <c r="C581" s="252" t="s">
        <v>498</v>
      </c>
      <c r="D581" s="250">
        <v>179</v>
      </c>
      <c r="E581" s="160" t="s">
        <v>1237</v>
      </c>
      <c r="F581" s="158">
        <v>43514</v>
      </c>
      <c r="G581" s="162">
        <v>2.5</v>
      </c>
      <c r="H581" s="250">
        <v>59</v>
      </c>
      <c r="I581" s="160">
        <v>1433462</v>
      </c>
      <c r="J581" s="163">
        <v>19175</v>
      </c>
      <c r="K581" s="158">
        <v>43521</v>
      </c>
      <c r="L581" s="160" t="s">
        <v>1238</v>
      </c>
      <c r="M581" s="160">
        <v>4615516135</v>
      </c>
      <c r="N581" s="158">
        <v>43544</v>
      </c>
      <c r="O581" s="164">
        <v>3.7890999999999999</v>
      </c>
      <c r="P581" s="165" t="s">
        <v>1323</v>
      </c>
      <c r="Q581" s="34">
        <f>SUMIF(Allocation[Delivery ID],Allocation[[#This Row],[Delivery ID]],Allocation[Quantity Processed])</f>
        <v>179</v>
      </c>
      <c r="R581" s="61">
        <f>Allocation[[#This Row],[Total volume used]]/VLOOKUP(Allocation[[#This Row],[Delivery ID]],Delivery[[Delivery ID]:[Quantity delivered]],3,FALSE)</f>
        <v>1.0147392290249434E-2</v>
      </c>
      <c r="S581" s="34">
        <f>Allocation[[#This Row],[Quantity Processed]]/Allocation[[#This Row],[Dilution rate]]</f>
        <v>71.599999999999994</v>
      </c>
      <c r="T581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81" s="61">
        <f>Allocation[[#This Row],[Total volume used]]/VLOOKUP(Allocation[[#This Row],[Delivery ID]],Delivery[[Delivery ID]:[Quantity delivered]],3,FALSE)</f>
        <v>1.0147392290249434E-2</v>
      </c>
      <c r="V581" s="34" t="e">
        <f>VLOOKUP(Allocation[[#This Row],[SAP Contract number]],Shipments[[SAP Contract number]:[Contracted container weight]],2,FALSE)</f>
        <v>#N/A</v>
      </c>
      <c r="W581" s="34" t="e">
        <f>VLOOKUP(Allocation[[#This Row],[SAP Contract number]],Shipments[[SAP Contract number]:[AAA Premium USD]],24,FALSE)</f>
        <v>#N/A</v>
      </c>
      <c r="X581" s="34" t="e">
        <f>VLOOKUP(Allocation[[#This Row],[SAP Contract number]],Shipments[[SAP Contract number]:[RA Premium USD]],25,FALSE)</f>
        <v>#N/A</v>
      </c>
      <c r="Y581" s="38">
        <f>Allocation[[#This Row],[Quantity Processed]]/Allocation[[#This Row],[Quantity allocated]]</f>
        <v>3.0338983050847457</v>
      </c>
      <c r="Z581" s="34" t="b">
        <f>Allocation[[#This Row],[Quantity allocated]]&lt;=Allocation[[#This Row],[Quantity Processed]]</f>
        <v>1</v>
      </c>
    </row>
    <row r="582" spans="1:26">
      <c r="A582" s="247" t="s">
        <v>467</v>
      </c>
      <c r="B582" s="160" t="s">
        <v>68</v>
      </c>
      <c r="C582" s="252" t="s">
        <v>499</v>
      </c>
      <c r="D582" s="250">
        <v>179</v>
      </c>
      <c r="E582" s="160" t="s">
        <v>1237</v>
      </c>
      <c r="F582" s="158">
        <v>43514</v>
      </c>
      <c r="G582" s="162">
        <v>2.5</v>
      </c>
      <c r="H582" s="250">
        <v>59</v>
      </c>
      <c r="I582" s="160">
        <v>1433462</v>
      </c>
      <c r="J582" s="163">
        <v>19175</v>
      </c>
      <c r="K582" s="158">
        <v>43521</v>
      </c>
      <c r="L582" s="160" t="s">
        <v>1238</v>
      </c>
      <c r="M582" s="160">
        <v>4615516135</v>
      </c>
      <c r="N582" s="158">
        <v>43544</v>
      </c>
      <c r="O582" s="164">
        <v>3.7890999999999999</v>
      </c>
      <c r="P582" s="165" t="s">
        <v>1323</v>
      </c>
      <c r="Q582" s="34">
        <f>SUMIF(Allocation[Delivery ID],Allocation[[#This Row],[Delivery ID]],Allocation[Quantity Processed])</f>
        <v>179</v>
      </c>
      <c r="R582" s="61">
        <f>Allocation[[#This Row],[Total volume used]]/VLOOKUP(Allocation[[#This Row],[Delivery ID]],Delivery[[Delivery ID]:[Quantity delivered]],3,FALSE)</f>
        <v>1.7971887550200804E-2</v>
      </c>
      <c r="S582" s="34">
        <f>Allocation[[#This Row],[Quantity Processed]]/Allocation[[#This Row],[Dilution rate]]</f>
        <v>71.599999999999994</v>
      </c>
      <c r="T582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82" s="61">
        <f>Allocation[[#This Row],[Total volume used]]/VLOOKUP(Allocation[[#This Row],[Delivery ID]],Delivery[[Delivery ID]:[Quantity delivered]],3,FALSE)</f>
        <v>1.7971887550200804E-2</v>
      </c>
      <c r="V582" s="34" t="e">
        <f>VLOOKUP(Allocation[[#This Row],[SAP Contract number]],Shipments[[SAP Contract number]:[Contracted container weight]],2,FALSE)</f>
        <v>#N/A</v>
      </c>
      <c r="W582" s="34" t="e">
        <f>VLOOKUP(Allocation[[#This Row],[SAP Contract number]],Shipments[[SAP Contract number]:[AAA Premium USD]],24,FALSE)</f>
        <v>#N/A</v>
      </c>
      <c r="X582" s="34" t="e">
        <f>VLOOKUP(Allocation[[#This Row],[SAP Contract number]],Shipments[[SAP Contract number]:[RA Premium USD]],25,FALSE)</f>
        <v>#N/A</v>
      </c>
      <c r="Y582" s="38">
        <f>Allocation[[#This Row],[Quantity Processed]]/Allocation[[#This Row],[Quantity allocated]]</f>
        <v>3.0338983050847457</v>
      </c>
      <c r="Z582" s="34" t="b">
        <f>Allocation[[#This Row],[Quantity allocated]]&lt;=Allocation[[#This Row],[Quantity Processed]]</f>
        <v>1</v>
      </c>
    </row>
    <row r="583" spans="1:26">
      <c r="A583" s="247" t="s">
        <v>467</v>
      </c>
      <c r="B583" s="160" t="s">
        <v>68</v>
      </c>
      <c r="C583" s="252" t="s">
        <v>500</v>
      </c>
      <c r="D583" s="250">
        <v>179</v>
      </c>
      <c r="E583" s="160" t="s">
        <v>1237</v>
      </c>
      <c r="F583" s="158">
        <v>43514</v>
      </c>
      <c r="G583" s="162">
        <v>2.5</v>
      </c>
      <c r="H583" s="250">
        <v>59</v>
      </c>
      <c r="I583" s="160">
        <v>1433462</v>
      </c>
      <c r="J583" s="163">
        <v>19175</v>
      </c>
      <c r="K583" s="158">
        <v>43521</v>
      </c>
      <c r="L583" s="160" t="s">
        <v>1238</v>
      </c>
      <c r="M583" s="160">
        <v>4615516135</v>
      </c>
      <c r="N583" s="158">
        <v>43544</v>
      </c>
      <c r="O583" s="164">
        <v>3.7890999999999999</v>
      </c>
      <c r="P583" s="165" t="s">
        <v>1323</v>
      </c>
      <c r="Q583" s="34">
        <f>SUMIF(Allocation[Delivery ID],Allocation[[#This Row],[Delivery ID]],Allocation[Quantity Processed])</f>
        <v>179</v>
      </c>
      <c r="R583" s="61">
        <f>Allocation[[#This Row],[Total volume used]]/VLOOKUP(Allocation[[#This Row],[Delivery ID]],Delivery[[Delivery ID]:[Quantity delivered]],3,FALSE)</f>
        <v>1.0147392290249434E-2</v>
      </c>
      <c r="S583" s="34">
        <f>Allocation[[#This Row],[Quantity Processed]]/Allocation[[#This Row],[Dilution rate]]</f>
        <v>71.599999999999994</v>
      </c>
      <c r="T583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83" s="61">
        <f>Allocation[[#This Row],[Total volume used]]/VLOOKUP(Allocation[[#This Row],[Delivery ID]],Delivery[[Delivery ID]:[Quantity delivered]],3,FALSE)</f>
        <v>1.0147392290249434E-2</v>
      </c>
      <c r="V583" s="34" t="e">
        <f>VLOOKUP(Allocation[[#This Row],[SAP Contract number]],Shipments[[SAP Contract number]:[Contracted container weight]],2,FALSE)</f>
        <v>#N/A</v>
      </c>
      <c r="W583" s="34" t="e">
        <f>VLOOKUP(Allocation[[#This Row],[SAP Contract number]],Shipments[[SAP Contract number]:[AAA Premium USD]],24,FALSE)</f>
        <v>#N/A</v>
      </c>
      <c r="X583" s="34" t="e">
        <f>VLOOKUP(Allocation[[#This Row],[SAP Contract number]],Shipments[[SAP Contract number]:[RA Premium USD]],25,FALSE)</f>
        <v>#N/A</v>
      </c>
      <c r="Y583" s="38">
        <f>Allocation[[#This Row],[Quantity Processed]]/Allocation[[#This Row],[Quantity allocated]]</f>
        <v>3.0338983050847457</v>
      </c>
      <c r="Z583" s="34" t="b">
        <f>Allocation[[#This Row],[Quantity allocated]]&lt;=Allocation[[#This Row],[Quantity Processed]]</f>
        <v>1</v>
      </c>
    </row>
    <row r="584" spans="1:26">
      <c r="A584" s="247" t="s">
        <v>467</v>
      </c>
      <c r="B584" s="160" t="s">
        <v>68</v>
      </c>
      <c r="C584" s="252" t="s">
        <v>501</v>
      </c>
      <c r="D584" s="250">
        <v>179</v>
      </c>
      <c r="E584" s="160" t="s">
        <v>1237</v>
      </c>
      <c r="F584" s="158">
        <v>43514</v>
      </c>
      <c r="G584" s="162">
        <v>2.5</v>
      </c>
      <c r="H584" s="250">
        <v>59</v>
      </c>
      <c r="I584" s="160">
        <v>1433462</v>
      </c>
      <c r="J584" s="163">
        <v>19175</v>
      </c>
      <c r="K584" s="158">
        <v>43521</v>
      </c>
      <c r="L584" s="160" t="s">
        <v>1238</v>
      </c>
      <c r="M584" s="160">
        <v>4615516135</v>
      </c>
      <c r="N584" s="158">
        <v>43544</v>
      </c>
      <c r="O584" s="164">
        <v>3.7890999999999999</v>
      </c>
      <c r="P584" s="165" t="s">
        <v>1323</v>
      </c>
      <c r="Q584" s="34">
        <f>SUMIF(Allocation[Delivery ID],Allocation[[#This Row],[Delivery ID]],Allocation[Quantity Processed])</f>
        <v>179</v>
      </c>
      <c r="R584" s="61">
        <f>Allocation[[#This Row],[Total volume used]]/VLOOKUP(Allocation[[#This Row],[Delivery ID]],Delivery[[Delivery ID]:[Quantity delivered]],3,FALSE)</f>
        <v>9.207818930041153E-3</v>
      </c>
      <c r="S584" s="34">
        <f>Allocation[[#This Row],[Quantity Processed]]/Allocation[[#This Row],[Dilution rate]]</f>
        <v>71.599999999999994</v>
      </c>
      <c r="T584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84" s="61">
        <f>Allocation[[#This Row],[Total volume used]]/VLOOKUP(Allocation[[#This Row],[Delivery ID]],Delivery[[Delivery ID]:[Quantity delivered]],3,FALSE)</f>
        <v>9.207818930041153E-3</v>
      </c>
      <c r="V584" s="34" t="e">
        <f>VLOOKUP(Allocation[[#This Row],[SAP Contract number]],Shipments[[SAP Contract number]:[Contracted container weight]],2,FALSE)</f>
        <v>#N/A</v>
      </c>
      <c r="W584" s="34" t="e">
        <f>VLOOKUP(Allocation[[#This Row],[SAP Contract number]],Shipments[[SAP Contract number]:[AAA Premium USD]],24,FALSE)</f>
        <v>#N/A</v>
      </c>
      <c r="X584" s="34" t="e">
        <f>VLOOKUP(Allocation[[#This Row],[SAP Contract number]],Shipments[[SAP Contract number]:[RA Premium USD]],25,FALSE)</f>
        <v>#N/A</v>
      </c>
      <c r="Y584" s="38">
        <f>Allocation[[#This Row],[Quantity Processed]]/Allocation[[#This Row],[Quantity allocated]]</f>
        <v>3.0338983050847457</v>
      </c>
      <c r="Z584" s="34" t="b">
        <f>Allocation[[#This Row],[Quantity allocated]]&lt;=Allocation[[#This Row],[Quantity Processed]]</f>
        <v>1</v>
      </c>
    </row>
    <row r="585" spans="1:26">
      <c r="A585" s="247" t="s">
        <v>467</v>
      </c>
      <c r="B585" s="160" t="s">
        <v>68</v>
      </c>
      <c r="C585" s="252" t="s">
        <v>502</v>
      </c>
      <c r="D585" s="250">
        <v>179</v>
      </c>
      <c r="E585" s="160" t="s">
        <v>1237</v>
      </c>
      <c r="F585" s="158">
        <v>43514</v>
      </c>
      <c r="G585" s="162">
        <v>2.5</v>
      </c>
      <c r="H585" s="250">
        <v>59</v>
      </c>
      <c r="I585" s="160">
        <v>1433462</v>
      </c>
      <c r="J585" s="163">
        <v>19175</v>
      </c>
      <c r="K585" s="158">
        <v>43521</v>
      </c>
      <c r="L585" s="160" t="s">
        <v>1238</v>
      </c>
      <c r="M585" s="160">
        <v>4615516135</v>
      </c>
      <c r="N585" s="158">
        <v>43544</v>
      </c>
      <c r="O585" s="164">
        <v>3.7890999999999999</v>
      </c>
      <c r="P585" s="165" t="s">
        <v>1323</v>
      </c>
      <c r="Q585" s="34">
        <f>SUMIF(Allocation[Delivery ID],Allocation[[#This Row],[Delivery ID]],Allocation[Quantity Processed])</f>
        <v>179</v>
      </c>
      <c r="R585" s="61">
        <f>Allocation[[#This Row],[Total volume used]]/VLOOKUP(Allocation[[#This Row],[Delivery ID]],Delivery[[Delivery ID]:[Quantity delivered]],3,FALSE)</f>
        <v>1.0078828828828828E-2</v>
      </c>
      <c r="S585" s="34">
        <f>Allocation[[#This Row],[Quantity Processed]]/Allocation[[#This Row],[Dilution rate]]</f>
        <v>71.599999999999994</v>
      </c>
      <c r="T585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85" s="61">
        <f>Allocation[[#This Row],[Total volume used]]/VLOOKUP(Allocation[[#This Row],[Delivery ID]],Delivery[[Delivery ID]:[Quantity delivered]],3,FALSE)</f>
        <v>1.0078828828828828E-2</v>
      </c>
      <c r="V585" s="34" t="e">
        <f>VLOOKUP(Allocation[[#This Row],[SAP Contract number]],Shipments[[SAP Contract number]:[Contracted container weight]],2,FALSE)</f>
        <v>#N/A</v>
      </c>
      <c r="W585" s="34" t="e">
        <f>VLOOKUP(Allocation[[#This Row],[SAP Contract number]],Shipments[[SAP Contract number]:[AAA Premium USD]],24,FALSE)</f>
        <v>#N/A</v>
      </c>
      <c r="X585" s="34" t="e">
        <f>VLOOKUP(Allocation[[#This Row],[SAP Contract number]],Shipments[[SAP Contract number]:[RA Premium USD]],25,FALSE)</f>
        <v>#N/A</v>
      </c>
      <c r="Y585" s="38">
        <f>Allocation[[#This Row],[Quantity Processed]]/Allocation[[#This Row],[Quantity allocated]]</f>
        <v>3.0338983050847457</v>
      </c>
      <c r="Z585" s="34" t="b">
        <f>Allocation[[#This Row],[Quantity allocated]]&lt;=Allocation[[#This Row],[Quantity Processed]]</f>
        <v>1</v>
      </c>
    </row>
    <row r="586" spans="1:26">
      <c r="A586" s="247" t="s">
        <v>467</v>
      </c>
      <c r="B586" s="160" t="s">
        <v>68</v>
      </c>
      <c r="C586" s="252" t="s">
        <v>503</v>
      </c>
      <c r="D586" s="250">
        <v>179</v>
      </c>
      <c r="E586" s="160" t="s">
        <v>1237</v>
      </c>
      <c r="F586" s="158">
        <v>43514</v>
      </c>
      <c r="G586" s="162">
        <v>2.5</v>
      </c>
      <c r="H586" s="250">
        <v>59</v>
      </c>
      <c r="I586" s="160">
        <v>1433462</v>
      </c>
      <c r="J586" s="163">
        <v>19175</v>
      </c>
      <c r="K586" s="158">
        <v>43521</v>
      </c>
      <c r="L586" s="160" t="s">
        <v>1238</v>
      </c>
      <c r="M586" s="160">
        <v>4615516135</v>
      </c>
      <c r="N586" s="158">
        <v>43544</v>
      </c>
      <c r="O586" s="164">
        <v>3.7890999999999999</v>
      </c>
      <c r="P586" s="165" t="s">
        <v>1323</v>
      </c>
      <c r="Q586" s="34">
        <f>SUMIF(Allocation[Delivery ID],Allocation[[#This Row],[Delivery ID]],Allocation[Quantity Processed])</f>
        <v>179</v>
      </c>
      <c r="R586" s="61">
        <f>Allocation[[#This Row],[Total volume used]]/VLOOKUP(Allocation[[#This Row],[Delivery ID]],Delivery[[Delivery ID]:[Quantity delivered]],3,FALSE)</f>
        <v>9.6236559139784954E-3</v>
      </c>
      <c r="S586" s="34">
        <f>Allocation[[#This Row],[Quantity Processed]]/Allocation[[#This Row],[Dilution rate]]</f>
        <v>71.599999999999994</v>
      </c>
      <c r="T586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86" s="61">
        <f>Allocation[[#This Row],[Total volume used]]/VLOOKUP(Allocation[[#This Row],[Delivery ID]],Delivery[[Delivery ID]:[Quantity delivered]],3,FALSE)</f>
        <v>9.6236559139784954E-3</v>
      </c>
      <c r="V586" s="34" t="e">
        <f>VLOOKUP(Allocation[[#This Row],[SAP Contract number]],Shipments[[SAP Contract number]:[Contracted container weight]],2,FALSE)</f>
        <v>#N/A</v>
      </c>
      <c r="W586" s="34" t="e">
        <f>VLOOKUP(Allocation[[#This Row],[SAP Contract number]],Shipments[[SAP Contract number]:[AAA Premium USD]],24,FALSE)</f>
        <v>#N/A</v>
      </c>
      <c r="X586" s="34" t="e">
        <f>VLOOKUP(Allocation[[#This Row],[SAP Contract number]],Shipments[[SAP Contract number]:[RA Premium USD]],25,FALSE)</f>
        <v>#N/A</v>
      </c>
      <c r="Y586" s="38">
        <f>Allocation[[#This Row],[Quantity Processed]]/Allocation[[#This Row],[Quantity allocated]]</f>
        <v>3.0338983050847457</v>
      </c>
      <c r="Z586" s="34" t="b">
        <f>Allocation[[#This Row],[Quantity allocated]]&lt;=Allocation[[#This Row],[Quantity Processed]]</f>
        <v>1</v>
      </c>
    </row>
    <row r="587" spans="1:26">
      <c r="A587" s="247" t="s">
        <v>467</v>
      </c>
      <c r="B587" s="160" t="s">
        <v>68</v>
      </c>
      <c r="C587" s="252" t="s">
        <v>504</v>
      </c>
      <c r="D587" s="250">
        <v>179</v>
      </c>
      <c r="E587" s="160" t="s">
        <v>1237</v>
      </c>
      <c r="F587" s="158">
        <v>43514</v>
      </c>
      <c r="G587" s="162">
        <v>2.5</v>
      </c>
      <c r="H587" s="250">
        <v>59</v>
      </c>
      <c r="I587" s="160">
        <v>1433462</v>
      </c>
      <c r="J587" s="163">
        <v>19175</v>
      </c>
      <c r="K587" s="158">
        <v>43521</v>
      </c>
      <c r="L587" s="160" t="s">
        <v>1238</v>
      </c>
      <c r="M587" s="160">
        <v>4615516135</v>
      </c>
      <c r="N587" s="158">
        <v>43544</v>
      </c>
      <c r="O587" s="164">
        <v>3.7890999999999999</v>
      </c>
      <c r="P587" s="165" t="s">
        <v>1323</v>
      </c>
      <c r="Q587" s="34">
        <f>SUMIF(Allocation[Delivery ID],Allocation[[#This Row],[Delivery ID]],Allocation[Quantity Processed])</f>
        <v>179</v>
      </c>
      <c r="R587" s="61">
        <f>Allocation[[#This Row],[Total volume used]]/VLOOKUP(Allocation[[#This Row],[Delivery ID]],Delivery[[Delivery ID]:[Quantity delivered]],3,FALSE)</f>
        <v>1.0731414868105516E-2</v>
      </c>
      <c r="S587" s="34">
        <f>Allocation[[#This Row],[Quantity Processed]]/Allocation[[#This Row],[Dilution rate]]</f>
        <v>71.599999999999994</v>
      </c>
      <c r="T587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87" s="61">
        <f>Allocation[[#This Row],[Total volume used]]/VLOOKUP(Allocation[[#This Row],[Delivery ID]],Delivery[[Delivery ID]:[Quantity delivered]],3,FALSE)</f>
        <v>1.0731414868105516E-2</v>
      </c>
      <c r="V587" s="34" t="e">
        <f>VLOOKUP(Allocation[[#This Row],[SAP Contract number]],Shipments[[SAP Contract number]:[Contracted container weight]],2,FALSE)</f>
        <v>#N/A</v>
      </c>
      <c r="W587" s="34" t="e">
        <f>VLOOKUP(Allocation[[#This Row],[SAP Contract number]],Shipments[[SAP Contract number]:[AAA Premium USD]],24,FALSE)</f>
        <v>#N/A</v>
      </c>
      <c r="X587" s="34" t="e">
        <f>VLOOKUP(Allocation[[#This Row],[SAP Contract number]],Shipments[[SAP Contract number]:[RA Premium USD]],25,FALSE)</f>
        <v>#N/A</v>
      </c>
      <c r="Y587" s="38">
        <f>Allocation[[#This Row],[Quantity Processed]]/Allocation[[#This Row],[Quantity allocated]]</f>
        <v>3.0338983050847457</v>
      </c>
      <c r="Z587" s="34" t="b">
        <f>Allocation[[#This Row],[Quantity allocated]]&lt;=Allocation[[#This Row],[Quantity Processed]]</f>
        <v>1</v>
      </c>
    </row>
    <row r="588" spans="1:26">
      <c r="A588" s="247" t="s">
        <v>467</v>
      </c>
      <c r="B588" s="160" t="s">
        <v>68</v>
      </c>
      <c r="C588" s="252" t="s">
        <v>505</v>
      </c>
      <c r="D588" s="250">
        <v>179</v>
      </c>
      <c r="E588" s="160" t="s">
        <v>1237</v>
      </c>
      <c r="F588" s="158">
        <v>43514</v>
      </c>
      <c r="G588" s="162">
        <v>2.5</v>
      </c>
      <c r="H588" s="250">
        <v>59</v>
      </c>
      <c r="I588" s="160">
        <v>1433462</v>
      </c>
      <c r="J588" s="163">
        <v>19175</v>
      </c>
      <c r="K588" s="158">
        <v>43521</v>
      </c>
      <c r="L588" s="160" t="s">
        <v>1238</v>
      </c>
      <c r="M588" s="160">
        <v>4615516135</v>
      </c>
      <c r="N588" s="158">
        <v>43544</v>
      </c>
      <c r="O588" s="164">
        <v>3.7890999999999999</v>
      </c>
      <c r="P588" s="165" t="s">
        <v>1323</v>
      </c>
      <c r="Q588" s="34">
        <f>SUMIF(Allocation[Delivery ID],Allocation[[#This Row],[Delivery ID]],Allocation[Quantity Processed])</f>
        <v>179</v>
      </c>
      <c r="R588" s="61">
        <f>Allocation[[#This Row],[Total volume used]]/VLOOKUP(Allocation[[#This Row],[Delivery ID]],Delivery[[Delivery ID]:[Quantity delivered]],3,FALSE)</f>
        <v>9.5314164004259849E-3</v>
      </c>
      <c r="S588" s="34">
        <f>Allocation[[#This Row],[Quantity Processed]]/Allocation[[#This Row],[Dilution rate]]</f>
        <v>71.599999999999994</v>
      </c>
      <c r="T588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88" s="61">
        <f>Allocation[[#This Row],[Total volume used]]/VLOOKUP(Allocation[[#This Row],[Delivery ID]],Delivery[[Delivery ID]:[Quantity delivered]],3,FALSE)</f>
        <v>9.5314164004259849E-3</v>
      </c>
      <c r="V588" s="34" t="e">
        <f>VLOOKUP(Allocation[[#This Row],[SAP Contract number]],Shipments[[SAP Contract number]:[Contracted container weight]],2,FALSE)</f>
        <v>#N/A</v>
      </c>
      <c r="W588" s="34" t="e">
        <f>VLOOKUP(Allocation[[#This Row],[SAP Contract number]],Shipments[[SAP Contract number]:[AAA Premium USD]],24,FALSE)</f>
        <v>#N/A</v>
      </c>
      <c r="X588" s="34" t="e">
        <f>VLOOKUP(Allocation[[#This Row],[SAP Contract number]],Shipments[[SAP Contract number]:[RA Premium USD]],25,FALSE)</f>
        <v>#N/A</v>
      </c>
      <c r="Y588" s="38">
        <f>Allocation[[#This Row],[Quantity Processed]]/Allocation[[#This Row],[Quantity allocated]]</f>
        <v>3.0338983050847457</v>
      </c>
      <c r="Z588" s="34" t="b">
        <f>Allocation[[#This Row],[Quantity allocated]]&lt;=Allocation[[#This Row],[Quantity Processed]]</f>
        <v>1</v>
      </c>
    </row>
    <row r="589" spans="1:26">
      <c r="A589" s="247" t="s">
        <v>467</v>
      </c>
      <c r="B589" s="160" t="s">
        <v>68</v>
      </c>
      <c r="C589" s="252" t="s">
        <v>506</v>
      </c>
      <c r="D589" s="250">
        <v>179</v>
      </c>
      <c r="E589" s="160" t="s">
        <v>1237</v>
      </c>
      <c r="F589" s="158">
        <v>43514</v>
      </c>
      <c r="G589" s="162">
        <v>2.5</v>
      </c>
      <c r="H589" s="250">
        <v>59</v>
      </c>
      <c r="I589" s="160">
        <v>1433462</v>
      </c>
      <c r="J589" s="163">
        <v>19175</v>
      </c>
      <c r="K589" s="158">
        <v>43521</v>
      </c>
      <c r="L589" s="160" t="s">
        <v>1238</v>
      </c>
      <c r="M589" s="160">
        <v>4615516135</v>
      </c>
      <c r="N589" s="158">
        <v>43544</v>
      </c>
      <c r="O589" s="164">
        <v>3.7890999999999999</v>
      </c>
      <c r="P589" s="165" t="s">
        <v>1323</v>
      </c>
      <c r="Q589" s="34">
        <f>SUMIF(Allocation[Delivery ID],Allocation[[#This Row],[Delivery ID]],Allocation[Quantity Processed])</f>
        <v>179</v>
      </c>
      <c r="R589" s="61">
        <f>Allocation[[#This Row],[Total volume used]]/VLOOKUP(Allocation[[#This Row],[Delivery ID]],Delivery[[Delivery ID]:[Quantity delivered]],3,FALSE)</f>
        <v>9.2363261093911242E-3</v>
      </c>
      <c r="S589" s="34">
        <f>Allocation[[#This Row],[Quantity Processed]]/Allocation[[#This Row],[Dilution rate]]</f>
        <v>71.599999999999994</v>
      </c>
      <c r="T589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89" s="61">
        <f>Allocation[[#This Row],[Total volume used]]/VLOOKUP(Allocation[[#This Row],[Delivery ID]],Delivery[[Delivery ID]:[Quantity delivered]],3,FALSE)</f>
        <v>9.2363261093911242E-3</v>
      </c>
      <c r="V589" s="34" t="e">
        <f>VLOOKUP(Allocation[[#This Row],[SAP Contract number]],Shipments[[SAP Contract number]:[Contracted container weight]],2,FALSE)</f>
        <v>#N/A</v>
      </c>
      <c r="W589" s="34" t="e">
        <f>VLOOKUP(Allocation[[#This Row],[SAP Contract number]],Shipments[[SAP Contract number]:[AAA Premium USD]],24,FALSE)</f>
        <v>#N/A</v>
      </c>
      <c r="X589" s="34" t="e">
        <f>VLOOKUP(Allocation[[#This Row],[SAP Contract number]],Shipments[[SAP Contract number]:[RA Premium USD]],25,FALSE)</f>
        <v>#N/A</v>
      </c>
      <c r="Y589" s="38">
        <f>Allocation[[#This Row],[Quantity Processed]]/Allocation[[#This Row],[Quantity allocated]]</f>
        <v>3.0338983050847457</v>
      </c>
      <c r="Z589" s="34" t="b">
        <f>Allocation[[#This Row],[Quantity allocated]]&lt;=Allocation[[#This Row],[Quantity Processed]]</f>
        <v>1</v>
      </c>
    </row>
    <row r="590" spans="1:26">
      <c r="A590" s="247" t="s">
        <v>467</v>
      </c>
      <c r="B590" s="160" t="s">
        <v>68</v>
      </c>
      <c r="C590" s="252" t="s">
        <v>507</v>
      </c>
      <c r="D590" s="250">
        <v>179</v>
      </c>
      <c r="E590" s="160" t="s">
        <v>1237</v>
      </c>
      <c r="F590" s="158">
        <v>43514</v>
      </c>
      <c r="G590" s="162">
        <v>2.5</v>
      </c>
      <c r="H590" s="250">
        <v>59</v>
      </c>
      <c r="I590" s="160">
        <v>1433462</v>
      </c>
      <c r="J590" s="163">
        <v>19175</v>
      </c>
      <c r="K590" s="158">
        <v>43521</v>
      </c>
      <c r="L590" s="160" t="s">
        <v>1238</v>
      </c>
      <c r="M590" s="160">
        <v>4615516135</v>
      </c>
      <c r="N590" s="158">
        <v>43544</v>
      </c>
      <c r="O590" s="164">
        <v>3.7890999999999999</v>
      </c>
      <c r="P590" s="165" t="s">
        <v>1323</v>
      </c>
      <c r="Q590" s="34">
        <f>SUMIF(Allocation[Delivery ID],Allocation[[#This Row],[Delivery ID]],Allocation[Quantity Processed])</f>
        <v>179</v>
      </c>
      <c r="R590" s="61">
        <f>Allocation[[#This Row],[Total volume used]]/VLOOKUP(Allocation[[#This Row],[Delivery ID]],Delivery[[Delivery ID]:[Quantity delivered]],3,FALSE)</f>
        <v>1.2430555555555556E-2</v>
      </c>
      <c r="S590" s="34">
        <f>Allocation[[#This Row],[Quantity Processed]]/Allocation[[#This Row],[Dilution rate]]</f>
        <v>71.599999999999994</v>
      </c>
      <c r="T590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90" s="61">
        <f>Allocation[[#This Row],[Total volume used]]/VLOOKUP(Allocation[[#This Row],[Delivery ID]],Delivery[[Delivery ID]:[Quantity delivered]],3,FALSE)</f>
        <v>1.2430555555555556E-2</v>
      </c>
      <c r="V590" s="34" t="e">
        <f>VLOOKUP(Allocation[[#This Row],[SAP Contract number]],Shipments[[SAP Contract number]:[Contracted container weight]],2,FALSE)</f>
        <v>#N/A</v>
      </c>
      <c r="W590" s="34" t="e">
        <f>VLOOKUP(Allocation[[#This Row],[SAP Contract number]],Shipments[[SAP Contract number]:[AAA Premium USD]],24,FALSE)</f>
        <v>#N/A</v>
      </c>
      <c r="X590" s="34" t="e">
        <f>VLOOKUP(Allocation[[#This Row],[SAP Contract number]],Shipments[[SAP Contract number]:[RA Premium USD]],25,FALSE)</f>
        <v>#N/A</v>
      </c>
      <c r="Y590" s="38">
        <f>Allocation[[#This Row],[Quantity Processed]]/Allocation[[#This Row],[Quantity allocated]]</f>
        <v>3.0338983050847457</v>
      </c>
      <c r="Z590" s="34" t="b">
        <f>Allocation[[#This Row],[Quantity allocated]]&lt;=Allocation[[#This Row],[Quantity Processed]]</f>
        <v>1</v>
      </c>
    </row>
    <row r="591" spans="1:26">
      <c r="A591" s="247" t="s">
        <v>467</v>
      </c>
      <c r="B591" s="160" t="s">
        <v>68</v>
      </c>
      <c r="C591" s="252" t="s">
        <v>508</v>
      </c>
      <c r="D591" s="250">
        <v>179</v>
      </c>
      <c r="E591" s="160" t="s">
        <v>1237</v>
      </c>
      <c r="F591" s="158">
        <v>43514</v>
      </c>
      <c r="G591" s="162">
        <v>2.5</v>
      </c>
      <c r="H591" s="250">
        <v>59</v>
      </c>
      <c r="I591" s="160">
        <v>1433462</v>
      </c>
      <c r="J591" s="163">
        <v>19175</v>
      </c>
      <c r="K591" s="158">
        <v>43521</v>
      </c>
      <c r="L591" s="160" t="s">
        <v>1238</v>
      </c>
      <c r="M591" s="160">
        <v>4615516135</v>
      </c>
      <c r="N591" s="158">
        <v>43544</v>
      </c>
      <c r="O591" s="164">
        <v>3.7890999999999999</v>
      </c>
      <c r="P591" s="165" t="s">
        <v>1323</v>
      </c>
      <c r="Q591" s="34">
        <f>SUMIF(Allocation[Delivery ID],Allocation[[#This Row],[Delivery ID]],Allocation[Quantity Processed])</f>
        <v>179</v>
      </c>
      <c r="R591" s="61">
        <f>Allocation[[#This Row],[Total volume used]]/VLOOKUP(Allocation[[#This Row],[Delivery ID]],Delivery[[Delivery ID]:[Quantity delivered]],3,FALSE)</f>
        <v>1.2327823691460056E-2</v>
      </c>
      <c r="S591" s="34">
        <f>Allocation[[#This Row],[Quantity Processed]]/Allocation[[#This Row],[Dilution rate]]</f>
        <v>71.599999999999994</v>
      </c>
      <c r="T591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91" s="61">
        <f>Allocation[[#This Row],[Total volume used]]/VLOOKUP(Allocation[[#This Row],[Delivery ID]],Delivery[[Delivery ID]:[Quantity delivered]],3,FALSE)</f>
        <v>1.2327823691460056E-2</v>
      </c>
      <c r="V591" s="34" t="e">
        <f>VLOOKUP(Allocation[[#This Row],[SAP Contract number]],Shipments[[SAP Contract number]:[Contracted container weight]],2,FALSE)</f>
        <v>#N/A</v>
      </c>
      <c r="W591" s="34" t="e">
        <f>VLOOKUP(Allocation[[#This Row],[SAP Contract number]],Shipments[[SAP Contract number]:[AAA Premium USD]],24,FALSE)</f>
        <v>#N/A</v>
      </c>
      <c r="X591" s="34" t="e">
        <f>VLOOKUP(Allocation[[#This Row],[SAP Contract number]],Shipments[[SAP Contract number]:[RA Premium USD]],25,FALSE)</f>
        <v>#N/A</v>
      </c>
      <c r="Y591" s="38">
        <f>Allocation[[#This Row],[Quantity Processed]]/Allocation[[#This Row],[Quantity allocated]]</f>
        <v>3.0338983050847457</v>
      </c>
      <c r="Z591" s="34" t="b">
        <f>Allocation[[#This Row],[Quantity allocated]]&lt;=Allocation[[#This Row],[Quantity Processed]]</f>
        <v>1</v>
      </c>
    </row>
    <row r="592" spans="1:26">
      <c r="A592" s="247" t="s">
        <v>467</v>
      </c>
      <c r="B592" s="160" t="s">
        <v>68</v>
      </c>
      <c r="C592" s="252" t="s">
        <v>510</v>
      </c>
      <c r="D592" s="250">
        <v>179</v>
      </c>
      <c r="E592" s="160" t="s">
        <v>1237</v>
      </c>
      <c r="F592" s="158">
        <v>43514</v>
      </c>
      <c r="G592" s="162">
        <v>2.5</v>
      </c>
      <c r="H592" s="250">
        <v>59</v>
      </c>
      <c r="I592" s="160">
        <v>1433462</v>
      </c>
      <c r="J592" s="163">
        <v>19175</v>
      </c>
      <c r="K592" s="158">
        <v>43521</v>
      </c>
      <c r="L592" s="160" t="s">
        <v>1238</v>
      </c>
      <c r="M592" s="160">
        <v>4615516135</v>
      </c>
      <c r="N592" s="158">
        <v>43544</v>
      </c>
      <c r="O592" s="164">
        <v>3.7890999999999999</v>
      </c>
      <c r="P592" s="165" t="s">
        <v>1323</v>
      </c>
      <c r="Q592" s="34">
        <f>SUMIF(Allocation[Delivery ID],Allocation[[#This Row],[Delivery ID]],Allocation[Quantity Processed])</f>
        <v>179</v>
      </c>
      <c r="R592" s="61">
        <f>Allocation[[#This Row],[Total volume used]]/VLOOKUP(Allocation[[#This Row],[Delivery ID]],Delivery[[Delivery ID]:[Quantity delivered]],3,FALSE)</f>
        <v>5.7928802588996763E-3</v>
      </c>
      <c r="S592" s="34">
        <f>Allocation[[#This Row],[Quantity Processed]]/Allocation[[#This Row],[Dilution rate]]</f>
        <v>71.599999999999994</v>
      </c>
      <c r="T592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92" s="61">
        <f>Allocation[[#This Row],[Total volume used]]/VLOOKUP(Allocation[[#This Row],[Delivery ID]],Delivery[[Delivery ID]:[Quantity delivered]],3,FALSE)</f>
        <v>5.7928802588996763E-3</v>
      </c>
      <c r="V592" s="34" t="e">
        <f>VLOOKUP(Allocation[[#This Row],[SAP Contract number]],Shipments[[SAP Contract number]:[Contracted container weight]],2,FALSE)</f>
        <v>#N/A</v>
      </c>
      <c r="W592" s="34" t="e">
        <f>VLOOKUP(Allocation[[#This Row],[SAP Contract number]],Shipments[[SAP Contract number]:[AAA Premium USD]],24,FALSE)</f>
        <v>#N/A</v>
      </c>
      <c r="X592" s="34" t="e">
        <f>VLOOKUP(Allocation[[#This Row],[SAP Contract number]],Shipments[[SAP Contract number]:[RA Premium USD]],25,FALSE)</f>
        <v>#N/A</v>
      </c>
      <c r="Y592" s="38">
        <f>Allocation[[#This Row],[Quantity Processed]]/Allocation[[#This Row],[Quantity allocated]]</f>
        <v>3.0338983050847457</v>
      </c>
      <c r="Z592" s="34" t="b">
        <f>Allocation[[#This Row],[Quantity allocated]]&lt;=Allocation[[#This Row],[Quantity Processed]]</f>
        <v>1</v>
      </c>
    </row>
    <row r="593" spans="1:26">
      <c r="A593" s="247" t="s">
        <v>467</v>
      </c>
      <c r="B593" s="160" t="s">
        <v>68</v>
      </c>
      <c r="C593" s="252" t="s">
        <v>514</v>
      </c>
      <c r="D593" s="250">
        <v>1</v>
      </c>
      <c r="E593" s="160" t="s">
        <v>1237</v>
      </c>
      <c r="F593" s="158">
        <v>43514</v>
      </c>
      <c r="G593" s="162">
        <v>2.5</v>
      </c>
      <c r="H593" s="250">
        <v>0.33</v>
      </c>
      <c r="I593" s="160">
        <v>1433462</v>
      </c>
      <c r="J593" s="163">
        <v>19175</v>
      </c>
      <c r="K593" s="158">
        <v>43521</v>
      </c>
      <c r="L593" s="160" t="s">
        <v>1238</v>
      </c>
      <c r="M593" s="160">
        <v>4615516135</v>
      </c>
      <c r="N593" s="158">
        <v>43544</v>
      </c>
      <c r="O593" s="164">
        <v>3.7890999999999999</v>
      </c>
      <c r="P593" s="165" t="s">
        <v>1323</v>
      </c>
      <c r="Q593" s="34">
        <f>SUMIF(Allocation[Delivery ID],Allocation[[#This Row],[Delivery ID]],Allocation[Quantity Processed])</f>
        <v>5422</v>
      </c>
      <c r="R593" s="61">
        <f>Allocation[[#This Row],[Total volume used]]/VLOOKUP(Allocation[[#This Row],[Delivery ID]],Delivery[[Delivery ID]:[Quantity delivered]],3,FALSE)</f>
        <v>0.31160919540229887</v>
      </c>
      <c r="S593" s="34">
        <f>Allocation[[#This Row],[Quantity Processed]]/Allocation[[#This Row],[Dilution rate]]</f>
        <v>0.4</v>
      </c>
      <c r="T593" s="59">
        <f>SUMIF(Allocation[Delivery ID],Allocation[[#This Row],[Delivery ID]],Allocation[Quantity allocated])/SUMIF(Allocation[Delivery ID],Allocation[[#This Row],[Delivery ID]],Allocation[Volume available (kg)])</f>
        <v>0.96690715454987397</v>
      </c>
      <c r="U593" s="61">
        <f>Allocation[[#This Row],[Total volume used]]/VLOOKUP(Allocation[[#This Row],[Delivery ID]],Delivery[[Delivery ID]:[Quantity delivered]],3,FALSE)</f>
        <v>0.31160919540229887</v>
      </c>
      <c r="V593" s="34" t="e">
        <f>VLOOKUP(Allocation[[#This Row],[SAP Contract number]],Shipments[[SAP Contract number]:[Contracted container weight]],2,FALSE)</f>
        <v>#N/A</v>
      </c>
      <c r="W593" s="34" t="e">
        <f>VLOOKUP(Allocation[[#This Row],[SAP Contract number]],Shipments[[SAP Contract number]:[AAA Premium USD]],24,FALSE)</f>
        <v>#N/A</v>
      </c>
      <c r="X593" s="34" t="e">
        <f>VLOOKUP(Allocation[[#This Row],[SAP Contract number]],Shipments[[SAP Contract number]:[RA Premium USD]],25,FALSE)</f>
        <v>#N/A</v>
      </c>
      <c r="Y593" s="38">
        <f>Allocation[[#This Row],[Quantity Processed]]/Allocation[[#This Row],[Quantity allocated]]</f>
        <v>3.0303030303030303</v>
      </c>
      <c r="Z593" s="34" t="b">
        <f>Allocation[[#This Row],[Quantity allocated]]&lt;=Allocation[[#This Row],[Quantity Processed]]</f>
        <v>1</v>
      </c>
    </row>
    <row r="594" spans="1:26">
      <c r="A594" s="247" t="s">
        <v>467</v>
      </c>
      <c r="B594" s="160" t="s">
        <v>68</v>
      </c>
      <c r="C594" s="252" t="s">
        <v>542</v>
      </c>
      <c r="D594" s="250">
        <v>179</v>
      </c>
      <c r="E594" s="160" t="s">
        <v>1237</v>
      </c>
      <c r="F594" s="158">
        <v>43514</v>
      </c>
      <c r="G594" s="162">
        <v>2.5</v>
      </c>
      <c r="H594" s="250">
        <v>59</v>
      </c>
      <c r="I594" s="160">
        <v>1433462</v>
      </c>
      <c r="J594" s="163">
        <v>19175</v>
      </c>
      <c r="K594" s="158">
        <v>43521</v>
      </c>
      <c r="L594" s="160" t="s">
        <v>1238</v>
      </c>
      <c r="M594" s="160">
        <v>4615516135</v>
      </c>
      <c r="N594" s="158">
        <v>43544</v>
      </c>
      <c r="O594" s="164">
        <v>3.7890999999999999</v>
      </c>
      <c r="P594" s="165" t="s">
        <v>1323</v>
      </c>
      <c r="Q594" s="34">
        <f>SUMIF(Allocation[Delivery ID],Allocation[[#This Row],[Delivery ID]],Allocation[Quantity Processed])</f>
        <v>179</v>
      </c>
      <c r="R594" s="61">
        <f>Allocation[[#This Row],[Total volume used]]/VLOOKUP(Allocation[[#This Row],[Delivery ID]],Delivery[[Delivery ID]:[Quantity delivered]],3,FALSE)</f>
        <v>1.2370421561852108E-2</v>
      </c>
      <c r="S594" s="34">
        <f>Allocation[[#This Row],[Quantity Processed]]/Allocation[[#This Row],[Dilution rate]]</f>
        <v>71.599999999999994</v>
      </c>
      <c r="T594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594" s="61">
        <f>Allocation[[#This Row],[Total volume used]]/VLOOKUP(Allocation[[#This Row],[Delivery ID]],Delivery[[Delivery ID]:[Quantity delivered]],3,FALSE)</f>
        <v>1.2370421561852108E-2</v>
      </c>
      <c r="V594" s="34" t="e">
        <f>VLOOKUP(Allocation[[#This Row],[SAP Contract number]],Shipments[[SAP Contract number]:[Contracted container weight]],2,FALSE)</f>
        <v>#N/A</v>
      </c>
      <c r="W594" s="34" t="e">
        <f>VLOOKUP(Allocation[[#This Row],[SAP Contract number]],Shipments[[SAP Contract number]:[AAA Premium USD]],24,FALSE)</f>
        <v>#N/A</v>
      </c>
      <c r="X594" s="34" t="e">
        <f>VLOOKUP(Allocation[[#This Row],[SAP Contract number]],Shipments[[SAP Contract number]:[RA Premium USD]],25,FALSE)</f>
        <v>#N/A</v>
      </c>
      <c r="Y594" s="38">
        <f>Allocation[[#This Row],[Quantity Processed]]/Allocation[[#This Row],[Quantity allocated]]</f>
        <v>3.0338983050847457</v>
      </c>
      <c r="Z594" s="34" t="b">
        <f>Allocation[[#This Row],[Quantity allocated]]&lt;=Allocation[[#This Row],[Quantity Processed]]</f>
        <v>1</v>
      </c>
    </row>
    <row r="595" spans="1:26">
      <c r="A595" s="247" t="s">
        <v>467</v>
      </c>
      <c r="B595" s="160" t="s">
        <v>68</v>
      </c>
      <c r="C595" s="252" t="s">
        <v>544</v>
      </c>
      <c r="D595" s="250">
        <v>443</v>
      </c>
      <c r="E595" s="160" t="s">
        <v>1237</v>
      </c>
      <c r="F595" s="158">
        <v>43514</v>
      </c>
      <c r="G595" s="162">
        <v>2.5</v>
      </c>
      <c r="H595" s="250">
        <v>177</v>
      </c>
      <c r="I595" s="160">
        <v>1433462</v>
      </c>
      <c r="J595" s="163">
        <v>19175</v>
      </c>
      <c r="K595" s="158">
        <v>43521</v>
      </c>
      <c r="L595" s="160" t="s">
        <v>1238</v>
      </c>
      <c r="M595" s="160">
        <v>4615516135</v>
      </c>
      <c r="N595" s="158">
        <v>43544</v>
      </c>
      <c r="O595" s="164">
        <v>3.7890999999999999</v>
      </c>
      <c r="P595" s="165" t="s">
        <v>1323</v>
      </c>
      <c r="Q595" s="34">
        <f>SUMIF(Allocation[Delivery ID],Allocation[[#This Row],[Delivery ID]],Allocation[Quantity Processed])</f>
        <v>8509</v>
      </c>
      <c r="R595" s="61">
        <f>Allocation[[#This Row],[Total volume used]]/VLOOKUP(Allocation[[#This Row],[Delivery ID]],Delivery[[Delivery ID]:[Quantity delivered]],3,FALSE)</f>
        <v>0.44317708333333333</v>
      </c>
      <c r="S595" s="34">
        <f>Allocation[[#This Row],[Quantity Processed]]/Allocation[[#This Row],[Dilution rate]]</f>
        <v>177.2</v>
      </c>
      <c r="T595" s="59">
        <f>SUMIF(Allocation[Delivery ID],Allocation[[#This Row],[Delivery ID]],Allocation[Quantity allocated])/SUMIF(Allocation[Delivery ID],Allocation[[#This Row],[Delivery ID]],Allocation[Volume available (kg)])</f>
        <v>0.9992647861030981</v>
      </c>
      <c r="U595" s="61">
        <f>Allocation[[#This Row],[Total volume used]]/VLOOKUP(Allocation[[#This Row],[Delivery ID]],Delivery[[Delivery ID]:[Quantity delivered]],3,FALSE)</f>
        <v>0.44317708333333333</v>
      </c>
      <c r="V595" s="34" t="e">
        <f>VLOOKUP(Allocation[[#This Row],[SAP Contract number]],Shipments[[SAP Contract number]:[Contracted container weight]],2,FALSE)</f>
        <v>#N/A</v>
      </c>
      <c r="W595" s="34" t="e">
        <f>VLOOKUP(Allocation[[#This Row],[SAP Contract number]],Shipments[[SAP Contract number]:[AAA Premium USD]],24,FALSE)</f>
        <v>#N/A</v>
      </c>
      <c r="X595" s="34" t="e">
        <f>VLOOKUP(Allocation[[#This Row],[SAP Contract number]],Shipments[[SAP Contract number]:[RA Premium USD]],25,FALSE)</f>
        <v>#N/A</v>
      </c>
      <c r="Y595" s="38">
        <f>Allocation[[#This Row],[Quantity Processed]]/Allocation[[#This Row],[Quantity allocated]]</f>
        <v>2.5028248587570623</v>
      </c>
      <c r="Z595" s="34" t="b">
        <f>Allocation[[#This Row],[Quantity allocated]]&lt;=Allocation[[#This Row],[Quantity Processed]]</f>
        <v>1</v>
      </c>
    </row>
    <row r="596" spans="1:26">
      <c r="A596" s="247" t="s">
        <v>467</v>
      </c>
      <c r="B596" s="160" t="s">
        <v>68</v>
      </c>
      <c r="C596" s="252" t="s">
        <v>598</v>
      </c>
      <c r="D596" s="250">
        <v>1</v>
      </c>
      <c r="E596" s="160" t="s">
        <v>1237</v>
      </c>
      <c r="F596" s="158">
        <v>43514</v>
      </c>
      <c r="G596" s="162">
        <v>2.5</v>
      </c>
      <c r="H596" s="250">
        <v>0.33</v>
      </c>
      <c r="I596" s="160">
        <v>1433462</v>
      </c>
      <c r="J596" s="163">
        <v>19175</v>
      </c>
      <c r="K596" s="158">
        <v>43521</v>
      </c>
      <c r="L596" s="160" t="s">
        <v>1238</v>
      </c>
      <c r="M596" s="160">
        <v>4615516135</v>
      </c>
      <c r="N596" s="158">
        <v>43544</v>
      </c>
      <c r="O596" s="164">
        <v>3.7890999999999999</v>
      </c>
      <c r="P596" s="165" t="s">
        <v>1323</v>
      </c>
      <c r="Q596" s="34">
        <f>SUMIF(Allocation[Delivery ID],Allocation[[#This Row],[Delivery ID]],Allocation[Quantity Processed])</f>
        <v>1</v>
      </c>
      <c r="R596" s="61">
        <f>Allocation[[#This Row],[Total volume used]]/VLOOKUP(Allocation[[#This Row],[Delivery ID]],Delivery[[Delivery ID]:[Quantity delivered]],3,FALSE)</f>
        <v>3.2425421530479896E-5</v>
      </c>
      <c r="S596" s="34">
        <f>Allocation[[#This Row],[Quantity Processed]]/Allocation[[#This Row],[Dilution rate]]</f>
        <v>0.4</v>
      </c>
      <c r="T596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596" s="61">
        <f>Allocation[[#This Row],[Total volume used]]/VLOOKUP(Allocation[[#This Row],[Delivery ID]],Delivery[[Delivery ID]:[Quantity delivered]],3,FALSE)</f>
        <v>3.2425421530479896E-5</v>
      </c>
      <c r="V596" s="34" t="e">
        <f>VLOOKUP(Allocation[[#This Row],[SAP Contract number]],Shipments[[SAP Contract number]:[Contracted container weight]],2,FALSE)</f>
        <v>#N/A</v>
      </c>
      <c r="W596" s="34" t="e">
        <f>VLOOKUP(Allocation[[#This Row],[SAP Contract number]],Shipments[[SAP Contract number]:[AAA Premium USD]],24,FALSE)</f>
        <v>#N/A</v>
      </c>
      <c r="X596" s="34" t="e">
        <f>VLOOKUP(Allocation[[#This Row],[SAP Contract number]],Shipments[[SAP Contract number]:[RA Premium USD]],25,FALSE)</f>
        <v>#N/A</v>
      </c>
      <c r="Y596" s="38">
        <f>Allocation[[#This Row],[Quantity Processed]]/Allocation[[#This Row],[Quantity allocated]]</f>
        <v>3.0303030303030303</v>
      </c>
      <c r="Z596" s="34" t="b">
        <f>Allocation[[#This Row],[Quantity allocated]]&lt;=Allocation[[#This Row],[Quantity Processed]]</f>
        <v>1</v>
      </c>
    </row>
    <row r="597" spans="1:26">
      <c r="A597" s="247" t="s">
        <v>467</v>
      </c>
      <c r="B597" s="160" t="s">
        <v>68</v>
      </c>
      <c r="C597" s="252" t="s">
        <v>600</v>
      </c>
      <c r="D597" s="250">
        <v>1</v>
      </c>
      <c r="E597" s="160" t="s">
        <v>1237</v>
      </c>
      <c r="F597" s="158">
        <v>43514</v>
      </c>
      <c r="G597" s="162">
        <v>2.5</v>
      </c>
      <c r="H597" s="250">
        <v>0.33</v>
      </c>
      <c r="I597" s="160">
        <v>1433462</v>
      </c>
      <c r="J597" s="163">
        <v>19175</v>
      </c>
      <c r="K597" s="158">
        <v>43521</v>
      </c>
      <c r="L597" s="160" t="s">
        <v>1238</v>
      </c>
      <c r="M597" s="160">
        <v>4615516135</v>
      </c>
      <c r="N597" s="158">
        <v>43544</v>
      </c>
      <c r="O597" s="164">
        <v>3.7890999999999999</v>
      </c>
      <c r="P597" s="165" t="s">
        <v>1323</v>
      </c>
      <c r="Q597" s="34">
        <f>SUMIF(Allocation[Delivery ID],Allocation[[#This Row],[Delivery ID]],Allocation[Quantity Processed])</f>
        <v>1</v>
      </c>
      <c r="R597" s="61">
        <f>Allocation[[#This Row],[Total volume used]]/VLOOKUP(Allocation[[#This Row],[Delivery ID]],Delivery[[Delivery ID]:[Quantity delivered]],3,FALSE)</f>
        <v>5.3937432578209278E-5</v>
      </c>
      <c r="S597" s="34">
        <f>Allocation[[#This Row],[Quantity Processed]]/Allocation[[#This Row],[Dilution rate]]</f>
        <v>0.4</v>
      </c>
      <c r="T597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597" s="61">
        <f>Allocation[[#This Row],[Total volume used]]/VLOOKUP(Allocation[[#This Row],[Delivery ID]],Delivery[[Delivery ID]:[Quantity delivered]],3,FALSE)</f>
        <v>5.3937432578209278E-5</v>
      </c>
      <c r="V597" s="34" t="e">
        <f>VLOOKUP(Allocation[[#This Row],[SAP Contract number]],Shipments[[SAP Contract number]:[Contracted container weight]],2,FALSE)</f>
        <v>#N/A</v>
      </c>
      <c r="W597" s="34" t="e">
        <f>VLOOKUP(Allocation[[#This Row],[SAP Contract number]],Shipments[[SAP Contract number]:[AAA Premium USD]],24,FALSE)</f>
        <v>#N/A</v>
      </c>
      <c r="X597" s="34" t="e">
        <f>VLOOKUP(Allocation[[#This Row],[SAP Contract number]],Shipments[[SAP Contract number]:[RA Premium USD]],25,FALSE)</f>
        <v>#N/A</v>
      </c>
      <c r="Y597" s="38">
        <f>Allocation[[#This Row],[Quantity Processed]]/Allocation[[#This Row],[Quantity allocated]]</f>
        <v>3.0303030303030303</v>
      </c>
      <c r="Z597" s="34" t="b">
        <f>Allocation[[#This Row],[Quantity allocated]]&lt;=Allocation[[#This Row],[Quantity Processed]]</f>
        <v>1</v>
      </c>
    </row>
    <row r="598" spans="1:26">
      <c r="A598" s="247" t="s">
        <v>467</v>
      </c>
      <c r="B598" s="160" t="s">
        <v>68</v>
      </c>
      <c r="C598" s="252" t="s">
        <v>603</v>
      </c>
      <c r="D598" s="250">
        <v>148</v>
      </c>
      <c r="E598" s="160" t="s">
        <v>1237</v>
      </c>
      <c r="F598" s="158">
        <v>43514</v>
      </c>
      <c r="G598" s="162">
        <v>2.5</v>
      </c>
      <c r="H598" s="250">
        <v>59</v>
      </c>
      <c r="I598" s="160">
        <v>1433462</v>
      </c>
      <c r="J598" s="163">
        <v>19175</v>
      </c>
      <c r="K598" s="158">
        <v>43521</v>
      </c>
      <c r="L598" s="160" t="s">
        <v>1238</v>
      </c>
      <c r="M598" s="160">
        <v>4615516135</v>
      </c>
      <c r="N598" s="158">
        <v>43544</v>
      </c>
      <c r="O598" s="164">
        <v>3.7890999999999999</v>
      </c>
      <c r="P598" s="165" t="s">
        <v>1323</v>
      </c>
      <c r="Q598" s="34">
        <f>SUMIF(Allocation[Delivery ID],Allocation[[#This Row],[Delivery ID]],Allocation[Quantity Processed])</f>
        <v>148</v>
      </c>
      <c r="R598" s="61">
        <f>Allocation[[#This Row],[Total volume used]]/VLOOKUP(Allocation[[#This Row],[Delivery ID]],Delivery[[Delivery ID]:[Quantity delivered]],3,FALSE)</f>
        <v>2.0013522650439486E-2</v>
      </c>
      <c r="S598" s="34">
        <f>Allocation[[#This Row],[Quantity Processed]]/Allocation[[#This Row],[Dilution rate]]</f>
        <v>59.2</v>
      </c>
      <c r="T598" s="59">
        <f>SUMIF(Allocation[Delivery ID],Allocation[[#This Row],[Delivery ID]],Allocation[Quantity allocated])/SUMIF(Allocation[Delivery ID],Allocation[[#This Row],[Delivery ID]],Allocation[Volume available (kg)])</f>
        <v>0.9966216216216216</v>
      </c>
      <c r="U598" s="61">
        <f>Allocation[[#This Row],[Total volume used]]/VLOOKUP(Allocation[[#This Row],[Delivery ID]],Delivery[[Delivery ID]:[Quantity delivered]],3,FALSE)</f>
        <v>2.0013522650439486E-2</v>
      </c>
      <c r="V598" s="34" t="e">
        <f>VLOOKUP(Allocation[[#This Row],[SAP Contract number]],Shipments[[SAP Contract number]:[Contracted container weight]],2,FALSE)</f>
        <v>#N/A</v>
      </c>
      <c r="W598" s="34" t="e">
        <f>VLOOKUP(Allocation[[#This Row],[SAP Contract number]],Shipments[[SAP Contract number]:[AAA Premium USD]],24,FALSE)</f>
        <v>#N/A</v>
      </c>
      <c r="X598" s="34" t="e">
        <f>VLOOKUP(Allocation[[#This Row],[SAP Contract number]],Shipments[[SAP Contract number]:[RA Premium USD]],25,FALSE)</f>
        <v>#N/A</v>
      </c>
      <c r="Y598" s="38">
        <f>Allocation[[#This Row],[Quantity Processed]]/Allocation[[#This Row],[Quantity allocated]]</f>
        <v>2.5084745762711864</v>
      </c>
      <c r="Z598" s="34" t="b">
        <f>Allocation[[#This Row],[Quantity allocated]]&lt;=Allocation[[#This Row],[Quantity Processed]]</f>
        <v>1</v>
      </c>
    </row>
    <row r="599" spans="1:26">
      <c r="A599" s="247" t="s">
        <v>467</v>
      </c>
      <c r="B599" s="160" t="s">
        <v>68</v>
      </c>
      <c r="C599" s="252" t="s">
        <v>604</v>
      </c>
      <c r="D599" s="250">
        <v>38330</v>
      </c>
      <c r="E599" s="160" t="s">
        <v>1237</v>
      </c>
      <c r="F599" s="158">
        <v>43514</v>
      </c>
      <c r="G599" s="162">
        <v>2.5</v>
      </c>
      <c r="H599" s="250">
        <v>15397</v>
      </c>
      <c r="I599" s="160">
        <v>1433462</v>
      </c>
      <c r="J599" s="163">
        <v>19175</v>
      </c>
      <c r="K599" s="158">
        <v>43521</v>
      </c>
      <c r="L599" s="160" t="s">
        <v>1238</v>
      </c>
      <c r="M599" s="160">
        <v>4615516135</v>
      </c>
      <c r="N599" s="158">
        <v>43544</v>
      </c>
      <c r="O599" s="164">
        <v>3.7890999999999999</v>
      </c>
      <c r="P599" s="165" t="s">
        <v>1323</v>
      </c>
      <c r="Q599" s="34">
        <f>SUMIF(Allocation[Delivery ID],Allocation[[#This Row],[Delivery ID]],Allocation[Quantity Processed])</f>
        <v>38330</v>
      </c>
      <c r="R599" s="61">
        <f>Allocation[[#This Row],[Total volume used]]/VLOOKUP(Allocation[[#This Row],[Delivery ID]],Delivery[[Delivery ID]:[Quantity delivered]],3,FALSE)</f>
        <v>1</v>
      </c>
      <c r="S599" s="34">
        <f>Allocation[[#This Row],[Quantity Processed]]/Allocation[[#This Row],[Dilution rate]]</f>
        <v>15332</v>
      </c>
      <c r="T599" s="59">
        <f>SUMIF(Allocation[Delivery ID],Allocation[[#This Row],[Delivery ID]],Allocation[Quantity allocated])/SUMIF(Allocation[Delivery ID],Allocation[[#This Row],[Delivery ID]],Allocation[Volume available (kg)])</f>
        <v>1.004239499086877</v>
      </c>
      <c r="U599" s="61">
        <f>Allocation[[#This Row],[Total volume used]]/VLOOKUP(Allocation[[#This Row],[Delivery ID]],Delivery[[Delivery ID]:[Quantity delivered]],3,FALSE)</f>
        <v>1</v>
      </c>
      <c r="V599" s="34" t="e">
        <f>VLOOKUP(Allocation[[#This Row],[SAP Contract number]],Shipments[[SAP Contract number]:[Contracted container weight]],2,FALSE)</f>
        <v>#N/A</v>
      </c>
      <c r="W599" s="34" t="e">
        <f>VLOOKUP(Allocation[[#This Row],[SAP Contract number]],Shipments[[SAP Contract number]:[AAA Premium USD]],24,FALSE)</f>
        <v>#N/A</v>
      </c>
      <c r="X599" s="34" t="e">
        <f>VLOOKUP(Allocation[[#This Row],[SAP Contract number]],Shipments[[SAP Contract number]:[RA Premium USD]],25,FALSE)</f>
        <v>#N/A</v>
      </c>
      <c r="Y599" s="38">
        <f>Allocation[[#This Row],[Quantity Processed]]/Allocation[[#This Row],[Quantity allocated]]</f>
        <v>2.4894459959732416</v>
      </c>
      <c r="Z599" s="34" t="b">
        <f>Allocation[[#This Row],[Quantity allocated]]&lt;=Allocation[[#This Row],[Quantity Processed]]</f>
        <v>1</v>
      </c>
    </row>
    <row r="600" spans="1:26">
      <c r="A600" s="247" t="s">
        <v>467</v>
      </c>
      <c r="B600" s="160" t="s">
        <v>68</v>
      </c>
      <c r="C600" s="252" t="s">
        <v>605</v>
      </c>
      <c r="D600" s="250">
        <v>3825</v>
      </c>
      <c r="E600" s="160" t="s">
        <v>1237</v>
      </c>
      <c r="F600" s="158">
        <v>43514</v>
      </c>
      <c r="G600" s="162">
        <v>2.5</v>
      </c>
      <c r="H600" s="250">
        <v>1535</v>
      </c>
      <c r="I600" s="160">
        <v>1433462</v>
      </c>
      <c r="J600" s="163">
        <v>19175</v>
      </c>
      <c r="K600" s="158">
        <v>43521</v>
      </c>
      <c r="L600" s="160" t="s">
        <v>1238</v>
      </c>
      <c r="M600" s="160">
        <v>4615516135</v>
      </c>
      <c r="N600" s="158">
        <v>43544</v>
      </c>
      <c r="O600" s="164">
        <v>3.7890999999999999</v>
      </c>
      <c r="P600" s="165" t="s">
        <v>1323</v>
      </c>
      <c r="Q600" s="34">
        <f>SUMIF(Allocation[Delivery ID],Allocation[[#This Row],[Delivery ID]],Allocation[Quantity Processed])</f>
        <v>50950</v>
      </c>
      <c r="R600" s="61">
        <f>Allocation[[#This Row],[Total volume used]]/VLOOKUP(Allocation[[#This Row],[Delivery ID]],Delivery[[Delivery ID]:[Quantity delivered]],3,FALSE)</f>
        <v>1</v>
      </c>
      <c r="S600" s="34">
        <f>Allocation[[#This Row],[Quantity Processed]]/Allocation[[#This Row],[Dilution rate]]</f>
        <v>1530</v>
      </c>
      <c r="T600" s="59">
        <f>SUMIF(Allocation[Delivery ID],Allocation[[#This Row],[Delivery ID]],Allocation[Quantity allocated])/SUMIF(Allocation[Delivery ID],Allocation[[#This Row],[Delivery ID]],Allocation[Volume available (kg)])</f>
        <v>1.0033856722276742</v>
      </c>
      <c r="U600" s="61">
        <f>Allocation[[#This Row],[Total volume used]]/VLOOKUP(Allocation[[#This Row],[Delivery ID]],Delivery[[Delivery ID]:[Quantity delivered]],3,FALSE)</f>
        <v>1</v>
      </c>
      <c r="V600" s="34" t="e">
        <f>VLOOKUP(Allocation[[#This Row],[SAP Contract number]],Shipments[[SAP Contract number]:[Contracted container weight]],2,FALSE)</f>
        <v>#N/A</v>
      </c>
      <c r="W600" s="34" t="e">
        <f>VLOOKUP(Allocation[[#This Row],[SAP Contract number]],Shipments[[SAP Contract number]:[AAA Premium USD]],24,FALSE)</f>
        <v>#N/A</v>
      </c>
      <c r="X600" s="34" t="e">
        <f>VLOOKUP(Allocation[[#This Row],[SAP Contract number]],Shipments[[SAP Contract number]:[RA Premium USD]],25,FALSE)</f>
        <v>#N/A</v>
      </c>
      <c r="Y600" s="38">
        <f>Allocation[[#This Row],[Quantity Processed]]/Allocation[[#This Row],[Quantity allocated]]</f>
        <v>2.4918566775244302</v>
      </c>
      <c r="Z600" s="34" t="b">
        <f>Allocation[[#This Row],[Quantity allocated]]&lt;=Allocation[[#This Row],[Quantity Processed]]</f>
        <v>1</v>
      </c>
    </row>
    <row r="601" spans="1:26">
      <c r="A601" s="247" t="s">
        <v>467</v>
      </c>
      <c r="B601" s="160" t="s">
        <v>68</v>
      </c>
      <c r="C601" s="252" t="s">
        <v>605</v>
      </c>
      <c r="D601" s="250">
        <v>47125</v>
      </c>
      <c r="E601" s="160" t="s">
        <v>1237</v>
      </c>
      <c r="F601" s="158">
        <v>43514</v>
      </c>
      <c r="G601" s="162">
        <v>2.5</v>
      </c>
      <c r="H601" s="250">
        <v>18914</v>
      </c>
      <c r="I601" s="160">
        <v>1433463</v>
      </c>
      <c r="J601" s="163">
        <v>19175</v>
      </c>
      <c r="K601" s="158">
        <v>43521</v>
      </c>
      <c r="L601" s="160" t="s">
        <v>1239</v>
      </c>
      <c r="M601" s="160">
        <v>4615516135</v>
      </c>
      <c r="N601" s="158">
        <v>43544</v>
      </c>
      <c r="O601" s="164">
        <v>3.7890999999999999</v>
      </c>
      <c r="P601" s="165" t="s">
        <v>1323</v>
      </c>
      <c r="Q601" s="34">
        <f>SUMIF(Allocation[Delivery ID],Allocation[[#This Row],[Delivery ID]],Allocation[Quantity Processed])</f>
        <v>50950</v>
      </c>
      <c r="R601" s="61">
        <f>Allocation[[#This Row],[Total volume used]]/VLOOKUP(Allocation[[#This Row],[Delivery ID]],Delivery[[Delivery ID]:[Quantity delivered]],3,FALSE)</f>
        <v>1</v>
      </c>
      <c r="S601" s="34">
        <f>Allocation[[#This Row],[Quantity Processed]]/Allocation[[#This Row],[Dilution rate]]</f>
        <v>18850</v>
      </c>
      <c r="T601" s="59">
        <f>SUMIF(Allocation[Delivery ID],Allocation[[#This Row],[Delivery ID]],Allocation[Quantity allocated])/SUMIF(Allocation[Delivery ID],Allocation[[#This Row],[Delivery ID]],Allocation[Volume available (kg)])</f>
        <v>1.0033856722276742</v>
      </c>
      <c r="U601" s="61">
        <f>Allocation[[#This Row],[Total volume used]]/VLOOKUP(Allocation[[#This Row],[Delivery ID]],Delivery[[Delivery ID]:[Quantity delivered]],3,FALSE)</f>
        <v>1</v>
      </c>
      <c r="V601" s="34" t="e">
        <f>VLOOKUP(Allocation[[#This Row],[SAP Contract number]],Shipments[[SAP Contract number]:[Contracted container weight]],2,FALSE)</f>
        <v>#N/A</v>
      </c>
      <c r="W601" s="34" t="e">
        <f>VLOOKUP(Allocation[[#This Row],[SAP Contract number]],Shipments[[SAP Contract number]:[AAA Premium USD]],24,FALSE)</f>
        <v>#N/A</v>
      </c>
      <c r="X601" s="34" t="e">
        <f>VLOOKUP(Allocation[[#This Row],[SAP Contract number]],Shipments[[SAP Contract number]:[RA Premium USD]],25,FALSE)</f>
        <v>#N/A</v>
      </c>
      <c r="Y601" s="38">
        <f>Allocation[[#This Row],[Quantity Processed]]/Allocation[[#This Row],[Quantity allocated]]</f>
        <v>2.4915406577138626</v>
      </c>
      <c r="Z601" s="34" t="b">
        <f>Allocation[[#This Row],[Quantity allocated]]&lt;=Allocation[[#This Row],[Quantity Processed]]</f>
        <v>1</v>
      </c>
    </row>
    <row r="602" spans="1:26">
      <c r="A602" s="247" t="s">
        <v>467</v>
      </c>
      <c r="B602" s="160" t="s">
        <v>68</v>
      </c>
      <c r="C602" s="252" t="s">
        <v>606</v>
      </c>
      <c r="D602" s="250">
        <v>650</v>
      </c>
      <c r="E602" s="160" t="s">
        <v>1237</v>
      </c>
      <c r="F602" s="158">
        <v>43514</v>
      </c>
      <c r="G602" s="162">
        <v>2.5</v>
      </c>
      <c r="H602" s="250">
        <v>261</v>
      </c>
      <c r="I602" s="160">
        <v>1433463</v>
      </c>
      <c r="J602" s="163">
        <v>19175</v>
      </c>
      <c r="K602" s="158">
        <v>43521</v>
      </c>
      <c r="L602" s="160" t="s">
        <v>1239</v>
      </c>
      <c r="M602" s="160">
        <v>4615516135</v>
      </c>
      <c r="N602" s="158">
        <v>43544</v>
      </c>
      <c r="O602" s="164">
        <v>3.7890999999999999</v>
      </c>
      <c r="P602" s="165" t="s">
        <v>1323</v>
      </c>
      <c r="Q602" s="34">
        <f>SUMIF(Allocation[Delivery ID],Allocation[[#This Row],[Delivery ID]],Allocation[Quantity Processed])</f>
        <v>37760</v>
      </c>
      <c r="R602" s="61">
        <f>Allocation[[#This Row],[Total volume used]]/VLOOKUP(Allocation[[#This Row],[Delivery ID]],Delivery[[Delivery ID]:[Quantity delivered]],3,FALSE)</f>
        <v>1</v>
      </c>
      <c r="S602" s="34">
        <f>Allocation[[#This Row],[Quantity Processed]]/Allocation[[#This Row],[Dilution rate]]</f>
        <v>260</v>
      </c>
      <c r="T602" s="59">
        <f>SUMIF(Allocation[Delivery ID],Allocation[[#This Row],[Delivery ID]],Allocation[Quantity allocated])/SUMIF(Allocation[Delivery ID],Allocation[[#This Row],[Delivery ID]],Allocation[Volume available (kg)])</f>
        <v>1.0035090042372881</v>
      </c>
      <c r="U602" s="61">
        <f>Allocation[[#This Row],[Total volume used]]/VLOOKUP(Allocation[[#This Row],[Delivery ID]],Delivery[[Delivery ID]:[Quantity delivered]],3,FALSE)</f>
        <v>1</v>
      </c>
      <c r="V602" s="34" t="e">
        <f>VLOOKUP(Allocation[[#This Row],[SAP Contract number]],Shipments[[SAP Contract number]:[Contracted container weight]],2,FALSE)</f>
        <v>#N/A</v>
      </c>
      <c r="W602" s="34" t="e">
        <f>VLOOKUP(Allocation[[#This Row],[SAP Contract number]],Shipments[[SAP Contract number]:[AAA Premium USD]],24,FALSE)</f>
        <v>#N/A</v>
      </c>
      <c r="X602" s="34" t="e">
        <f>VLOOKUP(Allocation[[#This Row],[SAP Contract number]],Shipments[[SAP Contract number]:[RA Premium USD]],25,FALSE)</f>
        <v>#N/A</v>
      </c>
      <c r="Y602" s="38">
        <f>Allocation[[#This Row],[Quantity Processed]]/Allocation[[#This Row],[Quantity allocated]]</f>
        <v>2.4904214559386975</v>
      </c>
      <c r="Z602" s="34" t="b">
        <f>Allocation[[#This Row],[Quantity allocated]]&lt;=Allocation[[#This Row],[Quantity Processed]]</f>
        <v>1</v>
      </c>
    </row>
    <row r="603" spans="1:26">
      <c r="A603" s="247" t="s">
        <v>467</v>
      </c>
      <c r="B603" s="160" t="s">
        <v>68</v>
      </c>
      <c r="C603" s="252" t="s">
        <v>606</v>
      </c>
      <c r="D603" s="250">
        <v>37110</v>
      </c>
      <c r="E603" s="160" t="s">
        <v>1237</v>
      </c>
      <c r="F603" s="158">
        <v>43514</v>
      </c>
      <c r="G603" s="162">
        <v>2.5</v>
      </c>
      <c r="H603" s="250">
        <v>14896</v>
      </c>
      <c r="I603" s="160">
        <v>1433464</v>
      </c>
      <c r="J603" s="163">
        <v>19175</v>
      </c>
      <c r="K603" s="158">
        <v>43521</v>
      </c>
      <c r="L603" s="160" t="s">
        <v>1240</v>
      </c>
      <c r="M603" s="160">
        <v>4615516135</v>
      </c>
      <c r="N603" s="158">
        <v>43544</v>
      </c>
      <c r="O603" s="164">
        <v>3.7890999999999999</v>
      </c>
      <c r="P603" s="165" t="s">
        <v>1323</v>
      </c>
      <c r="Q603" s="34">
        <f>SUMIF(Allocation[Delivery ID],Allocation[[#This Row],[Delivery ID]],Allocation[Quantity Processed])</f>
        <v>37760</v>
      </c>
      <c r="R603" s="61">
        <f>Allocation[[#This Row],[Total volume used]]/VLOOKUP(Allocation[[#This Row],[Delivery ID]],Delivery[[Delivery ID]:[Quantity delivered]],3,FALSE)</f>
        <v>1</v>
      </c>
      <c r="S603" s="34">
        <f>Allocation[[#This Row],[Quantity Processed]]/Allocation[[#This Row],[Dilution rate]]</f>
        <v>14844</v>
      </c>
      <c r="T603" s="59">
        <f>SUMIF(Allocation[Delivery ID],Allocation[[#This Row],[Delivery ID]],Allocation[Quantity allocated])/SUMIF(Allocation[Delivery ID],Allocation[[#This Row],[Delivery ID]],Allocation[Volume available (kg)])</f>
        <v>1.0035090042372881</v>
      </c>
      <c r="U603" s="61">
        <f>Allocation[[#This Row],[Total volume used]]/VLOOKUP(Allocation[[#This Row],[Delivery ID]],Delivery[[Delivery ID]:[Quantity delivered]],3,FALSE)</f>
        <v>1</v>
      </c>
      <c r="V603" s="34" t="e">
        <f>VLOOKUP(Allocation[[#This Row],[SAP Contract number]],Shipments[[SAP Contract number]:[Contracted container weight]],2,FALSE)</f>
        <v>#N/A</v>
      </c>
      <c r="W603" s="34" t="e">
        <f>VLOOKUP(Allocation[[#This Row],[SAP Contract number]],Shipments[[SAP Contract number]:[AAA Premium USD]],24,FALSE)</f>
        <v>#N/A</v>
      </c>
      <c r="X603" s="34" t="e">
        <f>VLOOKUP(Allocation[[#This Row],[SAP Contract number]],Shipments[[SAP Contract number]:[RA Premium USD]],25,FALSE)</f>
        <v>#N/A</v>
      </c>
      <c r="Y603" s="38">
        <f>Allocation[[#This Row],[Quantity Processed]]/Allocation[[#This Row],[Quantity allocated]]</f>
        <v>2.4912728249194416</v>
      </c>
      <c r="Z603" s="34" t="b">
        <f>Allocation[[#This Row],[Quantity allocated]]&lt;=Allocation[[#This Row],[Quantity Processed]]</f>
        <v>1</v>
      </c>
    </row>
    <row r="604" spans="1:26">
      <c r="A604" s="247" t="s">
        <v>467</v>
      </c>
      <c r="B604" s="160" t="s">
        <v>68</v>
      </c>
      <c r="C604" s="252" t="s">
        <v>607</v>
      </c>
      <c r="D604" s="250">
        <v>10644</v>
      </c>
      <c r="E604" s="160" t="s">
        <v>1237</v>
      </c>
      <c r="F604" s="158">
        <v>43514</v>
      </c>
      <c r="G604" s="162">
        <v>2.5</v>
      </c>
      <c r="H604" s="250">
        <v>4279</v>
      </c>
      <c r="I604" s="160">
        <v>1433464</v>
      </c>
      <c r="J604" s="163">
        <v>19175</v>
      </c>
      <c r="K604" s="158">
        <v>43521</v>
      </c>
      <c r="L604" s="160" t="s">
        <v>1240</v>
      </c>
      <c r="M604" s="160">
        <v>4615516135</v>
      </c>
      <c r="N604" s="158">
        <v>43544</v>
      </c>
      <c r="O604" s="164">
        <v>3.7890999999999999</v>
      </c>
      <c r="P604" s="165" t="s">
        <v>1323</v>
      </c>
      <c r="Q604" s="34">
        <f>SUMIF(Allocation[Delivery ID],Allocation[[#This Row],[Delivery ID]],Allocation[Quantity Processed])</f>
        <v>38300</v>
      </c>
      <c r="R604" s="61">
        <f>Allocation[[#This Row],[Total volume used]]/VLOOKUP(Allocation[[#This Row],[Delivery ID]],Delivery[[Delivery ID]:[Quantity delivered]],3,FALSE)</f>
        <v>1</v>
      </c>
      <c r="S604" s="34">
        <f>Allocation[[#This Row],[Quantity Processed]]/Allocation[[#This Row],[Dilution rate]]</f>
        <v>4257.6000000000004</v>
      </c>
      <c r="T604" s="59">
        <f>SUMIF(Allocation[Delivery ID],Allocation[[#This Row],[Delivery ID]],Allocation[Quantity allocated])/SUMIF(Allocation[Delivery ID],Allocation[[#This Row],[Delivery ID]],Allocation[Volume available (kg)])</f>
        <v>1.0050261096605744</v>
      </c>
      <c r="U604" s="61">
        <f>Allocation[[#This Row],[Total volume used]]/VLOOKUP(Allocation[[#This Row],[Delivery ID]],Delivery[[Delivery ID]:[Quantity delivered]],3,FALSE)</f>
        <v>1</v>
      </c>
      <c r="V604" s="34" t="e">
        <f>VLOOKUP(Allocation[[#This Row],[SAP Contract number]],Shipments[[SAP Contract number]:[Contracted container weight]],2,FALSE)</f>
        <v>#N/A</v>
      </c>
      <c r="W604" s="34" t="e">
        <f>VLOOKUP(Allocation[[#This Row],[SAP Contract number]],Shipments[[SAP Contract number]:[AAA Premium USD]],24,FALSE)</f>
        <v>#N/A</v>
      </c>
      <c r="X604" s="34" t="e">
        <f>VLOOKUP(Allocation[[#This Row],[SAP Contract number]],Shipments[[SAP Contract number]:[RA Premium USD]],25,FALSE)</f>
        <v>#N/A</v>
      </c>
      <c r="Y604" s="38">
        <f>Allocation[[#This Row],[Quantity Processed]]/Allocation[[#This Row],[Quantity allocated]]</f>
        <v>2.4874970787567188</v>
      </c>
      <c r="Z604" s="34" t="b">
        <f>Allocation[[#This Row],[Quantity allocated]]&lt;=Allocation[[#This Row],[Quantity Processed]]</f>
        <v>1</v>
      </c>
    </row>
    <row r="605" spans="1:26">
      <c r="A605" s="247" t="s">
        <v>467</v>
      </c>
      <c r="B605" s="160" t="s">
        <v>68</v>
      </c>
      <c r="C605" s="252" t="s">
        <v>607</v>
      </c>
      <c r="D605" s="250">
        <v>27656</v>
      </c>
      <c r="E605" s="160" t="s">
        <v>1237</v>
      </c>
      <c r="F605" s="158">
        <v>43514</v>
      </c>
      <c r="G605" s="162">
        <v>2.5</v>
      </c>
      <c r="H605" s="250">
        <v>11118</v>
      </c>
      <c r="I605" s="160">
        <v>1433465</v>
      </c>
      <c r="J605" s="163">
        <v>19175</v>
      </c>
      <c r="K605" s="158">
        <v>43521</v>
      </c>
      <c r="L605" s="160" t="s">
        <v>1241</v>
      </c>
      <c r="M605" s="160">
        <v>4615516135</v>
      </c>
      <c r="N605" s="158">
        <v>43544</v>
      </c>
      <c r="O605" s="164">
        <v>3.7890999999999999</v>
      </c>
      <c r="P605" s="165" t="s">
        <v>1323</v>
      </c>
      <c r="Q605" s="34">
        <f>SUMIF(Allocation[Delivery ID],Allocation[[#This Row],[Delivery ID]],Allocation[Quantity Processed])</f>
        <v>38300</v>
      </c>
      <c r="R605" s="61">
        <f>Allocation[[#This Row],[Total volume used]]/VLOOKUP(Allocation[[#This Row],[Delivery ID]],Delivery[[Delivery ID]:[Quantity delivered]],3,FALSE)</f>
        <v>1</v>
      </c>
      <c r="S605" s="34">
        <f>Allocation[[#This Row],[Quantity Processed]]/Allocation[[#This Row],[Dilution rate]]</f>
        <v>11062.4</v>
      </c>
      <c r="T605" s="59">
        <f>SUMIF(Allocation[Delivery ID],Allocation[[#This Row],[Delivery ID]],Allocation[Quantity allocated])/SUMIF(Allocation[Delivery ID],Allocation[[#This Row],[Delivery ID]],Allocation[Volume available (kg)])</f>
        <v>1.0050261096605744</v>
      </c>
      <c r="U605" s="61">
        <f>Allocation[[#This Row],[Total volume used]]/VLOOKUP(Allocation[[#This Row],[Delivery ID]],Delivery[[Delivery ID]:[Quantity delivered]],3,FALSE)</f>
        <v>1</v>
      </c>
      <c r="V605" s="34" t="e">
        <f>VLOOKUP(Allocation[[#This Row],[SAP Contract number]],Shipments[[SAP Contract number]:[Contracted container weight]],2,FALSE)</f>
        <v>#N/A</v>
      </c>
      <c r="W605" s="34" t="e">
        <f>VLOOKUP(Allocation[[#This Row],[SAP Contract number]],Shipments[[SAP Contract number]:[AAA Premium USD]],24,FALSE)</f>
        <v>#N/A</v>
      </c>
      <c r="X605" s="34" t="e">
        <f>VLOOKUP(Allocation[[#This Row],[SAP Contract number]],Shipments[[SAP Contract number]:[RA Premium USD]],25,FALSE)</f>
        <v>#N/A</v>
      </c>
      <c r="Y605" s="38">
        <f>Allocation[[#This Row],[Quantity Processed]]/Allocation[[#This Row],[Quantity allocated]]</f>
        <v>2.4874977513941356</v>
      </c>
      <c r="Z605" s="34" t="b">
        <f>Allocation[[#This Row],[Quantity allocated]]&lt;=Allocation[[#This Row],[Quantity Processed]]</f>
        <v>1</v>
      </c>
    </row>
    <row r="606" spans="1:26">
      <c r="A606" s="247" t="s">
        <v>467</v>
      </c>
      <c r="B606" s="160" t="s">
        <v>68</v>
      </c>
      <c r="C606" s="252" t="s">
        <v>608</v>
      </c>
      <c r="D606" s="250">
        <v>20061</v>
      </c>
      <c r="E606" s="160" t="s">
        <v>1237</v>
      </c>
      <c r="F606" s="158">
        <v>43514</v>
      </c>
      <c r="G606" s="162">
        <v>2.5</v>
      </c>
      <c r="H606" s="250">
        <v>8057</v>
      </c>
      <c r="I606" s="160">
        <v>1433465</v>
      </c>
      <c r="J606" s="163">
        <v>19175</v>
      </c>
      <c r="K606" s="158">
        <v>43521</v>
      </c>
      <c r="L606" s="160" t="s">
        <v>1241</v>
      </c>
      <c r="M606" s="160">
        <v>4615516135</v>
      </c>
      <c r="N606" s="158">
        <v>43544</v>
      </c>
      <c r="O606" s="164">
        <v>3.7890999999999999</v>
      </c>
      <c r="P606" s="165" t="s">
        <v>1323</v>
      </c>
      <c r="Q606" s="34">
        <f>SUMIF(Allocation[Delivery ID],Allocation[[#This Row],[Delivery ID]],Allocation[Quantity Processed])</f>
        <v>37740</v>
      </c>
      <c r="R606" s="61">
        <f>Allocation[[#This Row],[Total volume used]]/VLOOKUP(Allocation[[#This Row],[Delivery ID]],Delivery[[Delivery ID]:[Quantity delivered]],3,FALSE)</f>
        <v>1</v>
      </c>
      <c r="S606" s="34">
        <f>Allocation[[#This Row],[Quantity Processed]]/Allocation[[#This Row],[Dilution rate]]</f>
        <v>8024.4</v>
      </c>
      <c r="T606" s="59">
        <f>SUMIF(Allocation[Delivery ID],Allocation[[#This Row],[Delivery ID]],Allocation[Quantity allocated])/SUMIF(Allocation[Delivery ID],Allocation[[#This Row],[Delivery ID]],Allocation[Volume available (kg)])</f>
        <v>1.0040408055113939</v>
      </c>
      <c r="U606" s="61">
        <f>Allocation[[#This Row],[Total volume used]]/VLOOKUP(Allocation[[#This Row],[Delivery ID]],Delivery[[Delivery ID]:[Quantity delivered]],3,FALSE)</f>
        <v>1</v>
      </c>
      <c r="V606" s="34" t="e">
        <f>VLOOKUP(Allocation[[#This Row],[SAP Contract number]],Shipments[[SAP Contract number]:[Contracted container weight]],2,FALSE)</f>
        <v>#N/A</v>
      </c>
      <c r="W606" s="34" t="e">
        <f>VLOOKUP(Allocation[[#This Row],[SAP Contract number]],Shipments[[SAP Contract number]:[AAA Premium USD]],24,FALSE)</f>
        <v>#N/A</v>
      </c>
      <c r="X606" s="34" t="e">
        <f>VLOOKUP(Allocation[[#This Row],[SAP Contract number]],Shipments[[SAP Contract number]:[RA Premium USD]],25,FALSE)</f>
        <v>#N/A</v>
      </c>
      <c r="Y606" s="38">
        <f>Allocation[[#This Row],[Quantity Processed]]/Allocation[[#This Row],[Quantity allocated]]</f>
        <v>2.4898845724214969</v>
      </c>
      <c r="Z606" s="34" t="b">
        <f>Allocation[[#This Row],[Quantity allocated]]&lt;=Allocation[[#This Row],[Quantity Processed]]</f>
        <v>1</v>
      </c>
    </row>
    <row r="607" spans="1:26">
      <c r="A607" s="247" t="s">
        <v>467</v>
      </c>
      <c r="B607" s="160" t="s">
        <v>68</v>
      </c>
      <c r="C607" s="252" t="s">
        <v>608</v>
      </c>
      <c r="D607" s="250">
        <v>17679</v>
      </c>
      <c r="E607" s="160" t="s">
        <v>1237</v>
      </c>
      <c r="F607" s="158">
        <v>43514</v>
      </c>
      <c r="G607" s="162">
        <v>2.5</v>
      </c>
      <c r="H607" s="250">
        <v>7100</v>
      </c>
      <c r="I607" s="160">
        <v>1433466</v>
      </c>
      <c r="J607" s="163">
        <v>19175</v>
      </c>
      <c r="K607" s="158">
        <v>43521</v>
      </c>
      <c r="L607" s="160" t="s">
        <v>1242</v>
      </c>
      <c r="M607" s="160">
        <v>4615516135</v>
      </c>
      <c r="N607" s="158">
        <v>43544</v>
      </c>
      <c r="O607" s="164">
        <v>3.7890999999999999</v>
      </c>
      <c r="P607" s="165" t="s">
        <v>1323</v>
      </c>
      <c r="Q607" s="34">
        <f>SUMIF(Allocation[Delivery ID],Allocation[[#This Row],[Delivery ID]],Allocation[Quantity Processed])</f>
        <v>37740</v>
      </c>
      <c r="R607" s="61">
        <f>Allocation[[#This Row],[Total volume used]]/VLOOKUP(Allocation[[#This Row],[Delivery ID]],Delivery[[Delivery ID]:[Quantity delivered]],3,FALSE)</f>
        <v>1</v>
      </c>
      <c r="S607" s="34">
        <f>Allocation[[#This Row],[Quantity Processed]]/Allocation[[#This Row],[Dilution rate]]</f>
        <v>7071.6</v>
      </c>
      <c r="T607" s="59">
        <f>SUMIF(Allocation[Delivery ID],Allocation[[#This Row],[Delivery ID]],Allocation[Quantity allocated])/SUMIF(Allocation[Delivery ID],Allocation[[#This Row],[Delivery ID]],Allocation[Volume available (kg)])</f>
        <v>1.0040408055113939</v>
      </c>
      <c r="U607" s="61">
        <f>Allocation[[#This Row],[Total volume used]]/VLOOKUP(Allocation[[#This Row],[Delivery ID]],Delivery[[Delivery ID]:[Quantity delivered]],3,FALSE)</f>
        <v>1</v>
      </c>
      <c r="V607" s="34" t="e">
        <f>VLOOKUP(Allocation[[#This Row],[SAP Contract number]],Shipments[[SAP Contract number]:[Contracted container weight]],2,FALSE)</f>
        <v>#N/A</v>
      </c>
      <c r="W607" s="34" t="e">
        <f>VLOOKUP(Allocation[[#This Row],[SAP Contract number]],Shipments[[SAP Contract number]:[AAA Premium USD]],24,FALSE)</f>
        <v>#N/A</v>
      </c>
      <c r="X607" s="34" t="e">
        <f>VLOOKUP(Allocation[[#This Row],[SAP Contract number]],Shipments[[SAP Contract number]:[RA Premium USD]],25,FALSE)</f>
        <v>#N/A</v>
      </c>
      <c r="Y607" s="38">
        <f>Allocation[[#This Row],[Quantity Processed]]/Allocation[[#This Row],[Quantity allocated]]</f>
        <v>2.4900000000000002</v>
      </c>
      <c r="Z607" s="34" t="b">
        <f>Allocation[[#This Row],[Quantity allocated]]&lt;=Allocation[[#This Row],[Quantity Processed]]</f>
        <v>1</v>
      </c>
    </row>
    <row r="608" spans="1:26">
      <c r="A608" s="247" t="s">
        <v>467</v>
      </c>
      <c r="B608" s="160" t="s">
        <v>68</v>
      </c>
      <c r="C608" s="252" t="s">
        <v>609</v>
      </c>
      <c r="D608" s="250">
        <v>30071</v>
      </c>
      <c r="E608" s="160" t="s">
        <v>1237</v>
      </c>
      <c r="F608" s="158">
        <v>43514</v>
      </c>
      <c r="G608" s="162">
        <v>2.5</v>
      </c>
      <c r="H608" s="250">
        <v>12075</v>
      </c>
      <c r="I608" s="160">
        <v>1433466</v>
      </c>
      <c r="J608" s="163">
        <v>19175</v>
      </c>
      <c r="K608" s="158">
        <v>43521</v>
      </c>
      <c r="L608" s="160" t="s">
        <v>1242</v>
      </c>
      <c r="M608" s="160">
        <v>4615516135</v>
      </c>
      <c r="N608" s="158">
        <v>43544</v>
      </c>
      <c r="O608" s="164">
        <v>3.7890999999999999</v>
      </c>
      <c r="P608" s="165" t="s">
        <v>1323</v>
      </c>
      <c r="Q608" s="34">
        <f>SUMIF(Allocation[Delivery ID],Allocation[[#This Row],[Delivery ID]],Allocation[Quantity Processed])</f>
        <v>34750</v>
      </c>
      <c r="R608" s="61">
        <f>Allocation[[#This Row],[Total volume used]]/VLOOKUP(Allocation[[#This Row],[Delivery ID]],Delivery[[Delivery ID]:[Quantity delivered]],3,FALSE)</f>
        <v>1</v>
      </c>
      <c r="S608" s="34">
        <f>Allocation[[#This Row],[Quantity Processed]]/Allocation[[#This Row],[Dilution rate]]</f>
        <v>12028.4</v>
      </c>
      <c r="T608" s="59">
        <f>SUMIF(Allocation[Delivery ID],Allocation[[#This Row],[Delivery ID]],Allocation[Quantity allocated])/SUMIF(Allocation[Delivery ID],Allocation[[#This Row],[Delivery ID]],Allocation[Volume available (kg)])</f>
        <v>1.003884892086331</v>
      </c>
      <c r="U608" s="61">
        <f>Allocation[[#This Row],[Total volume used]]/VLOOKUP(Allocation[[#This Row],[Delivery ID]],Delivery[[Delivery ID]:[Quantity delivered]],3,FALSE)</f>
        <v>1</v>
      </c>
      <c r="V608" s="34" t="e">
        <f>VLOOKUP(Allocation[[#This Row],[SAP Contract number]],Shipments[[SAP Contract number]:[Contracted container weight]],2,FALSE)</f>
        <v>#N/A</v>
      </c>
      <c r="W608" s="34" t="e">
        <f>VLOOKUP(Allocation[[#This Row],[SAP Contract number]],Shipments[[SAP Contract number]:[AAA Premium USD]],24,FALSE)</f>
        <v>#N/A</v>
      </c>
      <c r="X608" s="34" t="e">
        <f>VLOOKUP(Allocation[[#This Row],[SAP Contract number]],Shipments[[SAP Contract number]:[RA Premium USD]],25,FALSE)</f>
        <v>#N/A</v>
      </c>
      <c r="Y608" s="38">
        <f>Allocation[[#This Row],[Quantity Processed]]/Allocation[[#This Row],[Quantity allocated]]</f>
        <v>2.490351966873706</v>
      </c>
      <c r="Z608" s="34" t="b">
        <f>Allocation[[#This Row],[Quantity allocated]]&lt;=Allocation[[#This Row],[Quantity Processed]]</f>
        <v>1</v>
      </c>
    </row>
    <row r="609" spans="1:26">
      <c r="A609" s="247" t="s">
        <v>467</v>
      </c>
      <c r="B609" s="160" t="s">
        <v>68</v>
      </c>
      <c r="C609" s="252" t="s">
        <v>609</v>
      </c>
      <c r="D609" s="250">
        <v>4679</v>
      </c>
      <c r="E609" s="160" t="s">
        <v>1237</v>
      </c>
      <c r="F609" s="158">
        <v>43514</v>
      </c>
      <c r="G609" s="162">
        <v>2.5</v>
      </c>
      <c r="H609" s="250">
        <v>1879</v>
      </c>
      <c r="I609" s="160">
        <v>1433467</v>
      </c>
      <c r="J609" s="163">
        <v>19175</v>
      </c>
      <c r="K609" s="158">
        <v>43521</v>
      </c>
      <c r="L609" s="160" t="s">
        <v>1243</v>
      </c>
      <c r="M609" s="160">
        <v>4615516135</v>
      </c>
      <c r="N609" s="158">
        <v>43544</v>
      </c>
      <c r="O609" s="164">
        <v>3.7890999999999999</v>
      </c>
      <c r="P609" s="165" t="s">
        <v>1323</v>
      </c>
      <c r="Q609" s="34">
        <f>SUMIF(Allocation[Delivery ID],Allocation[[#This Row],[Delivery ID]],Allocation[Quantity Processed])</f>
        <v>34750</v>
      </c>
      <c r="R609" s="61">
        <f>Allocation[[#This Row],[Total volume used]]/VLOOKUP(Allocation[[#This Row],[Delivery ID]],Delivery[[Delivery ID]:[Quantity delivered]],3,FALSE)</f>
        <v>1</v>
      </c>
      <c r="S609" s="34">
        <f>Allocation[[#This Row],[Quantity Processed]]/Allocation[[#This Row],[Dilution rate]]</f>
        <v>1871.6</v>
      </c>
      <c r="T609" s="59">
        <f>SUMIF(Allocation[Delivery ID],Allocation[[#This Row],[Delivery ID]],Allocation[Quantity allocated])/SUMIF(Allocation[Delivery ID],Allocation[[#This Row],[Delivery ID]],Allocation[Volume available (kg)])</f>
        <v>1.003884892086331</v>
      </c>
      <c r="U609" s="61">
        <f>Allocation[[#This Row],[Total volume used]]/VLOOKUP(Allocation[[#This Row],[Delivery ID]],Delivery[[Delivery ID]:[Quantity delivered]],3,FALSE)</f>
        <v>1</v>
      </c>
      <c r="V609" s="34" t="e">
        <f>VLOOKUP(Allocation[[#This Row],[SAP Contract number]],Shipments[[SAP Contract number]:[Contracted container weight]],2,FALSE)</f>
        <v>#N/A</v>
      </c>
      <c r="W609" s="34" t="e">
        <f>VLOOKUP(Allocation[[#This Row],[SAP Contract number]],Shipments[[SAP Contract number]:[AAA Premium USD]],24,FALSE)</f>
        <v>#N/A</v>
      </c>
      <c r="X609" s="34" t="e">
        <f>VLOOKUP(Allocation[[#This Row],[SAP Contract number]],Shipments[[SAP Contract number]:[RA Premium USD]],25,FALSE)</f>
        <v>#N/A</v>
      </c>
      <c r="Y609" s="38">
        <f>Allocation[[#This Row],[Quantity Processed]]/Allocation[[#This Row],[Quantity allocated]]</f>
        <v>2.490154337413518</v>
      </c>
      <c r="Z609" s="34" t="b">
        <f>Allocation[[#This Row],[Quantity allocated]]&lt;=Allocation[[#This Row],[Quantity Processed]]</f>
        <v>1</v>
      </c>
    </row>
    <row r="610" spans="1:26">
      <c r="A610" s="247" t="s">
        <v>467</v>
      </c>
      <c r="B610" s="160" t="s">
        <v>68</v>
      </c>
      <c r="C610" s="252" t="s">
        <v>610</v>
      </c>
      <c r="D610" s="250">
        <v>37720</v>
      </c>
      <c r="E610" s="160" t="s">
        <v>1237</v>
      </c>
      <c r="F610" s="158">
        <v>43514</v>
      </c>
      <c r="G610" s="162">
        <v>2.5</v>
      </c>
      <c r="H610" s="250">
        <v>15157</v>
      </c>
      <c r="I610" s="160">
        <v>1433467</v>
      </c>
      <c r="J610" s="163">
        <v>19175</v>
      </c>
      <c r="K610" s="158">
        <v>43521</v>
      </c>
      <c r="L610" s="160" t="s">
        <v>1243</v>
      </c>
      <c r="M610" s="160">
        <v>4615516135</v>
      </c>
      <c r="N610" s="158">
        <v>43544</v>
      </c>
      <c r="O610" s="164">
        <v>3.7890999999999999</v>
      </c>
      <c r="P610" s="165" t="s">
        <v>1323</v>
      </c>
      <c r="Q610" s="34">
        <f>SUMIF(Allocation[Delivery ID],Allocation[[#This Row],[Delivery ID]],Allocation[Quantity Processed])</f>
        <v>37720</v>
      </c>
      <c r="R610" s="61">
        <f>Allocation[[#This Row],[Total volume used]]/VLOOKUP(Allocation[[#This Row],[Delivery ID]],Delivery[[Delivery ID]:[Quantity delivered]],3,FALSE)</f>
        <v>1</v>
      </c>
      <c r="S610" s="34">
        <f>Allocation[[#This Row],[Quantity Processed]]/Allocation[[#This Row],[Dilution rate]]</f>
        <v>15088</v>
      </c>
      <c r="T610" s="59">
        <f>SUMIF(Allocation[Delivery ID],Allocation[[#This Row],[Delivery ID]],Allocation[Quantity allocated])/SUMIF(Allocation[Delivery ID],Allocation[[#This Row],[Delivery ID]],Allocation[Volume available (kg)])</f>
        <v>1.0045731707317074</v>
      </c>
      <c r="U610" s="61">
        <f>Allocation[[#This Row],[Total volume used]]/VLOOKUP(Allocation[[#This Row],[Delivery ID]],Delivery[[Delivery ID]:[Quantity delivered]],3,FALSE)</f>
        <v>1</v>
      </c>
      <c r="V610" s="34" t="e">
        <f>VLOOKUP(Allocation[[#This Row],[SAP Contract number]],Shipments[[SAP Contract number]:[Contracted container weight]],2,FALSE)</f>
        <v>#N/A</v>
      </c>
      <c r="W610" s="34" t="e">
        <f>VLOOKUP(Allocation[[#This Row],[SAP Contract number]],Shipments[[SAP Contract number]:[AAA Premium USD]],24,FALSE)</f>
        <v>#N/A</v>
      </c>
      <c r="X610" s="34" t="e">
        <f>VLOOKUP(Allocation[[#This Row],[SAP Contract number]],Shipments[[SAP Contract number]:[RA Premium USD]],25,FALSE)</f>
        <v>#N/A</v>
      </c>
      <c r="Y610" s="38">
        <f>Allocation[[#This Row],[Quantity Processed]]/Allocation[[#This Row],[Quantity allocated]]</f>
        <v>2.4886191198786038</v>
      </c>
      <c r="Z610" s="34" t="b">
        <f>Allocation[[#This Row],[Quantity allocated]]&lt;=Allocation[[#This Row],[Quantity Processed]]</f>
        <v>1</v>
      </c>
    </row>
    <row r="611" spans="1:26">
      <c r="A611" s="247" t="s">
        <v>467</v>
      </c>
      <c r="B611" s="160" t="s">
        <v>68</v>
      </c>
      <c r="C611" s="252" t="s">
        <v>611</v>
      </c>
      <c r="D611" s="250">
        <v>5321</v>
      </c>
      <c r="E611" s="160" t="s">
        <v>1237</v>
      </c>
      <c r="F611" s="158">
        <v>43514</v>
      </c>
      <c r="G611" s="162">
        <v>2.5</v>
      </c>
      <c r="H611" s="250">
        <v>2139</v>
      </c>
      <c r="I611" s="160">
        <v>1433467</v>
      </c>
      <c r="J611" s="163">
        <v>19175</v>
      </c>
      <c r="K611" s="158">
        <v>43521</v>
      </c>
      <c r="L611" s="160" t="s">
        <v>1243</v>
      </c>
      <c r="M611" s="160">
        <v>4615516135</v>
      </c>
      <c r="N611" s="158">
        <v>43544</v>
      </c>
      <c r="O611" s="164">
        <v>3.7890999999999999</v>
      </c>
      <c r="P611" s="165" t="s">
        <v>1323</v>
      </c>
      <c r="Q611" s="34">
        <f>SUMIF(Allocation[Delivery ID],Allocation[[#This Row],[Delivery ID]],Allocation[Quantity Processed])</f>
        <v>28370</v>
      </c>
      <c r="R611" s="61">
        <f>Allocation[[#This Row],[Total volume used]]/VLOOKUP(Allocation[[#This Row],[Delivery ID]],Delivery[[Delivery ID]:[Quantity delivered]],3,FALSE)</f>
        <v>1</v>
      </c>
      <c r="S611" s="34">
        <f>Allocation[[#This Row],[Quantity Processed]]/Allocation[[#This Row],[Dilution rate]]</f>
        <v>2128.4</v>
      </c>
      <c r="T611" s="59">
        <f>SUMIF(Allocation[Delivery ID],Allocation[[#This Row],[Delivery ID]],Allocation[Quantity allocated])/SUMIF(Allocation[Delivery ID],Allocation[[#This Row],[Delivery ID]],Allocation[Volume available (kg)])</f>
        <v>1.0049347902714134</v>
      </c>
      <c r="U611" s="61">
        <f>Allocation[[#This Row],[Total volume used]]/VLOOKUP(Allocation[[#This Row],[Delivery ID]],Delivery[[Delivery ID]:[Quantity delivered]],3,FALSE)</f>
        <v>1</v>
      </c>
      <c r="V611" s="34" t="e">
        <f>VLOOKUP(Allocation[[#This Row],[SAP Contract number]],Shipments[[SAP Contract number]:[Contracted container weight]],2,FALSE)</f>
        <v>#N/A</v>
      </c>
      <c r="W611" s="34" t="e">
        <f>VLOOKUP(Allocation[[#This Row],[SAP Contract number]],Shipments[[SAP Contract number]:[AAA Premium USD]],24,FALSE)</f>
        <v>#N/A</v>
      </c>
      <c r="X611" s="34" t="e">
        <f>VLOOKUP(Allocation[[#This Row],[SAP Contract number]],Shipments[[SAP Contract number]:[RA Premium USD]],25,FALSE)</f>
        <v>#N/A</v>
      </c>
      <c r="Y611" s="38">
        <f>Allocation[[#This Row],[Quantity Processed]]/Allocation[[#This Row],[Quantity allocated]]</f>
        <v>2.487611033193081</v>
      </c>
      <c r="Z611" s="34" t="b">
        <f>Allocation[[#This Row],[Quantity allocated]]&lt;=Allocation[[#This Row],[Quantity Processed]]</f>
        <v>1</v>
      </c>
    </row>
    <row r="612" spans="1:26">
      <c r="A612" s="247" t="s">
        <v>467</v>
      </c>
      <c r="B612" s="160" t="s">
        <v>68</v>
      </c>
      <c r="C612" s="252" t="s">
        <v>611</v>
      </c>
      <c r="D612" s="250">
        <v>23049</v>
      </c>
      <c r="E612" s="160" t="s">
        <v>1237</v>
      </c>
      <c r="F612" s="158">
        <v>43514</v>
      </c>
      <c r="G612" s="162">
        <v>2.5</v>
      </c>
      <c r="H612" s="250">
        <v>9265</v>
      </c>
      <c r="I612" s="160">
        <v>1433468</v>
      </c>
      <c r="J612" s="163">
        <v>19175</v>
      </c>
      <c r="K612" s="158">
        <v>43521</v>
      </c>
      <c r="L612" s="160" t="s">
        <v>1244</v>
      </c>
      <c r="M612" s="160">
        <v>4615516135</v>
      </c>
      <c r="N612" s="158">
        <v>43544</v>
      </c>
      <c r="O612" s="164">
        <v>3.7890999999999999</v>
      </c>
      <c r="P612" s="165" t="s">
        <v>1323</v>
      </c>
      <c r="Q612" s="34">
        <f>SUMIF(Allocation[Delivery ID],Allocation[[#This Row],[Delivery ID]],Allocation[Quantity Processed])</f>
        <v>28370</v>
      </c>
      <c r="R612" s="61">
        <f>Allocation[[#This Row],[Total volume used]]/VLOOKUP(Allocation[[#This Row],[Delivery ID]],Delivery[[Delivery ID]:[Quantity delivered]],3,FALSE)</f>
        <v>1</v>
      </c>
      <c r="S612" s="34">
        <f>Allocation[[#This Row],[Quantity Processed]]/Allocation[[#This Row],[Dilution rate]]</f>
        <v>9219.6</v>
      </c>
      <c r="T612" s="59">
        <f>SUMIF(Allocation[Delivery ID],Allocation[[#This Row],[Delivery ID]],Allocation[Quantity allocated])/SUMIF(Allocation[Delivery ID],Allocation[[#This Row],[Delivery ID]],Allocation[Volume available (kg)])</f>
        <v>1.0049347902714134</v>
      </c>
      <c r="U612" s="61">
        <f>Allocation[[#This Row],[Total volume used]]/VLOOKUP(Allocation[[#This Row],[Delivery ID]],Delivery[[Delivery ID]:[Quantity delivered]],3,FALSE)</f>
        <v>1</v>
      </c>
      <c r="V612" s="34" t="e">
        <f>VLOOKUP(Allocation[[#This Row],[SAP Contract number]],Shipments[[SAP Contract number]:[Contracted container weight]],2,FALSE)</f>
        <v>#N/A</v>
      </c>
      <c r="W612" s="34" t="e">
        <f>VLOOKUP(Allocation[[#This Row],[SAP Contract number]],Shipments[[SAP Contract number]:[AAA Premium USD]],24,FALSE)</f>
        <v>#N/A</v>
      </c>
      <c r="X612" s="34" t="e">
        <f>VLOOKUP(Allocation[[#This Row],[SAP Contract number]],Shipments[[SAP Contract number]:[RA Premium USD]],25,FALSE)</f>
        <v>#N/A</v>
      </c>
      <c r="Y612" s="38">
        <f>Allocation[[#This Row],[Quantity Processed]]/Allocation[[#This Row],[Quantity allocated]]</f>
        <v>2.4877495952509445</v>
      </c>
      <c r="Z612" s="34" t="b">
        <f>Allocation[[#This Row],[Quantity allocated]]&lt;=Allocation[[#This Row],[Quantity Processed]]</f>
        <v>1</v>
      </c>
    </row>
    <row r="613" spans="1:26">
      <c r="A613" s="247" t="s">
        <v>467</v>
      </c>
      <c r="B613" s="160" t="s">
        <v>68</v>
      </c>
      <c r="C613" s="252" t="s">
        <v>612</v>
      </c>
      <c r="D613" s="250">
        <v>9340</v>
      </c>
      <c r="E613" s="160" t="s">
        <v>1237</v>
      </c>
      <c r="F613" s="158">
        <v>43514</v>
      </c>
      <c r="G613" s="162">
        <v>2.5</v>
      </c>
      <c r="H613" s="250">
        <v>3753</v>
      </c>
      <c r="I613" s="160">
        <v>1433468</v>
      </c>
      <c r="J613" s="163">
        <v>19175</v>
      </c>
      <c r="K613" s="158">
        <v>43521</v>
      </c>
      <c r="L613" s="160" t="s">
        <v>1244</v>
      </c>
      <c r="M613" s="160">
        <v>4615516135</v>
      </c>
      <c r="N613" s="158">
        <v>43544</v>
      </c>
      <c r="O613" s="164">
        <v>3.7890999999999999</v>
      </c>
      <c r="P613" s="165" t="s">
        <v>1323</v>
      </c>
      <c r="Q613" s="34">
        <f>SUMIF(Allocation[Delivery ID],Allocation[[#This Row],[Delivery ID]],Allocation[Quantity Processed])</f>
        <v>9340</v>
      </c>
      <c r="R613" s="61">
        <f>Allocation[[#This Row],[Total volume used]]/VLOOKUP(Allocation[[#This Row],[Delivery ID]],Delivery[[Delivery ID]:[Quantity delivered]],3,FALSE)</f>
        <v>1</v>
      </c>
      <c r="S613" s="34">
        <f>Allocation[[#This Row],[Quantity Processed]]/Allocation[[#This Row],[Dilution rate]]</f>
        <v>3736</v>
      </c>
      <c r="T613" s="59">
        <f>SUMIF(Allocation[Delivery ID],Allocation[[#This Row],[Delivery ID]],Allocation[Quantity allocated])/SUMIF(Allocation[Delivery ID],Allocation[[#This Row],[Delivery ID]],Allocation[Volume available (kg)])</f>
        <v>1.0045503211991436</v>
      </c>
      <c r="U613" s="61">
        <f>Allocation[[#This Row],[Total volume used]]/VLOOKUP(Allocation[[#This Row],[Delivery ID]],Delivery[[Delivery ID]:[Quantity delivered]],3,FALSE)</f>
        <v>1</v>
      </c>
      <c r="V613" s="34" t="e">
        <f>VLOOKUP(Allocation[[#This Row],[SAP Contract number]],Shipments[[SAP Contract number]:[Contracted container weight]],2,FALSE)</f>
        <v>#N/A</v>
      </c>
      <c r="W613" s="34" t="e">
        <f>VLOOKUP(Allocation[[#This Row],[SAP Contract number]],Shipments[[SAP Contract number]:[AAA Premium USD]],24,FALSE)</f>
        <v>#N/A</v>
      </c>
      <c r="X613" s="34" t="e">
        <f>VLOOKUP(Allocation[[#This Row],[SAP Contract number]],Shipments[[SAP Contract number]:[RA Premium USD]],25,FALSE)</f>
        <v>#N/A</v>
      </c>
      <c r="Y613" s="38">
        <f>Allocation[[#This Row],[Quantity Processed]]/Allocation[[#This Row],[Quantity allocated]]</f>
        <v>2.4886757260857979</v>
      </c>
      <c r="Z613" s="34" t="b">
        <f>Allocation[[#This Row],[Quantity allocated]]&lt;=Allocation[[#This Row],[Quantity Processed]]</f>
        <v>1</v>
      </c>
    </row>
    <row r="614" spans="1:26">
      <c r="A614" s="247" t="s">
        <v>467</v>
      </c>
      <c r="B614" s="160" t="s">
        <v>68</v>
      </c>
      <c r="C614" s="252" t="s">
        <v>613</v>
      </c>
      <c r="D614" s="250">
        <v>15351</v>
      </c>
      <c r="E614" s="160" t="s">
        <v>1237</v>
      </c>
      <c r="F614" s="158">
        <v>43514</v>
      </c>
      <c r="G614" s="162">
        <v>2.5</v>
      </c>
      <c r="H614" s="250">
        <v>6157</v>
      </c>
      <c r="I614" s="160">
        <v>1433468</v>
      </c>
      <c r="J614" s="163">
        <v>19175</v>
      </c>
      <c r="K614" s="158">
        <v>43521</v>
      </c>
      <c r="L614" s="160" t="s">
        <v>1244</v>
      </c>
      <c r="M614" s="160">
        <v>4615516135</v>
      </c>
      <c r="N614" s="158">
        <v>43544</v>
      </c>
      <c r="O614" s="164">
        <v>3.7890999999999999</v>
      </c>
      <c r="P614" s="165" t="s">
        <v>1323</v>
      </c>
      <c r="Q614" s="34">
        <f>SUMIF(Allocation[Delivery ID],Allocation[[#This Row],[Delivery ID]],Allocation[Quantity Processed])</f>
        <v>37790</v>
      </c>
      <c r="R614" s="61">
        <f>Allocation[[#This Row],[Total volume used]]/VLOOKUP(Allocation[[#This Row],[Delivery ID]],Delivery[[Delivery ID]:[Quantity delivered]],3,FALSE)</f>
        <v>1</v>
      </c>
      <c r="S614" s="34">
        <f>Allocation[[#This Row],[Quantity Processed]]/Allocation[[#This Row],[Dilution rate]]</f>
        <v>6140.4</v>
      </c>
      <c r="T614" s="59">
        <f>SUMIF(Allocation[Delivery ID],Allocation[[#This Row],[Delivery ID]],Allocation[Quantity allocated])/SUMIF(Allocation[Delivery ID],Allocation[[#This Row],[Delivery ID]],Allocation[Volume available (kg)])</f>
        <v>1.0027123577666048</v>
      </c>
      <c r="U614" s="61">
        <f>Allocation[[#This Row],[Total volume used]]/VLOOKUP(Allocation[[#This Row],[Delivery ID]],Delivery[[Delivery ID]:[Quantity delivered]],3,FALSE)</f>
        <v>1</v>
      </c>
      <c r="V614" s="34" t="e">
        <f>VLOOKUP(Allocation[[#This Row],[SAP Contract number]],Shipments[[SAP Contract number]:[Contracted container weight]],2,FALSE)</f>
        <v>#N/A</v>
      </c>
      <c r="W614" s="34" t="e">
        <f>VLOOKUP(Allocation[[#This Row],[SAP Contract number]],Shipments[[SAP Contract number]:[AAA Premium USD]],24,FALSE)</f>
        <v>#N/A</v>
      </c>
      <c r="X614" s="34" t="e">
        <f>VLOOKUP(Allocation[[#This Row],[SAP Contract number]],Shipments[[SAP Contract number]:[RA Premium USD]],25,FALSE)</f>
        <v>#N/A</v>
      </c>
      <c r="Y614" s="38">
        <f>Allocation[[#This Row],[Quantity Processed]]/Allocation[[#This Row],[Quantity allocated]]</f>
        <v>2.4932597044014941</v>
      </c>
      <c r="Z614" s="34" t="b">
        <f>Allocation[[#This Row],[Quantity allocated]]&lt;=Allocation[[#This Row],[Quantity Processed]]</f>
        <v>1</v>
      </c>
    </row>
    <row r="615" spans="1:26">
      <c r="A615" s="247" t="s">
        <v>467</v>
      </c>
      <c r="B615" s="160" t="s">
        <v>68</v>
      </c>
      <c r="C615" s="252" t="s">
        <v>613</v>
      </c>
      <c r="D615" s="250">
        <v>22439</v>
      </c>
      <c r="E615" s="160" t="s">
        <v>1237</v>
      </c>
      <c r="F615" s="158">
        <v>43514</v>
      </c>
      <c r="G615" s="162">
        <v>2.5</v>
      </c>
      <c r="H615" s="250">
        <v>9000</v>
      </c>
      <c r="I615" s="160">
        <v>1433469</v>
      </c>
      <c r="J615" s="163">
        <v>19175</v>
      </c>
      <c r="K615" s="158">
        <v>43521</v>
      </c>
      <c r="L615" s="160" t="s">
        <v>1245</v>
      </c>
      <c r="M615" s="160">
        <v>4615516135</v>
      </c>
      <c r="N615" s="158">
        <v>43544</v>
      </c>
      <c r="O615" s="164">
        <v>3.7890999999999999</v>
      </c>
      <c r="P615" s="165" t="s">
        <v>1323</v>
      </c>
      <c r="Q615" s="34">
        <f>SUMIF(Allocation[Delivery ID],Allocation[[#This Row],[Delivery ID]],Allocation[Quantity Processed])</f>
        <v>37790</v>
      </c>
      <c r="R615" s="61">
        <f>Allocation[[#This Row],[Total volume used]]/VLOOKUP(Allocation[[#This Row],[Delivery ID]],Delivery[[Delivery ID]:[Quantity delivered]],3,FALSE)</f>
        <v>1</v>
      </c>
      <c r="S615" s="34">
        <f>Allocation[[#This Row],[Quantity Processed]]/Allocation[[#This Row],[Dilution rate]]</f>
        <v>8975.6</v>
      </c>
      <c r="T615" s="59">
        <f>SUMIF(Allocation[Delivery ID],Allocation[[#This Row],[Delivery ID]],Allocation[Quantity allocated])/SUMIF(Allocation[Delivery ID],Allocation[[#This Row],[Delivery ID]],Allocation[Volume available (kg)])</f>
        <v>1.0027123577666048</v>
      </c>
      <c r="U615" s="61">
        <f>Allocation[[#This Row],[Total volume used]]/VLOOKUP(Allocation[[#This Row],[Delivery ID]],Delivery[[Delivery ID]:[Quantity delivered]],3,FALSE)</f>
        <v>1</v>
      </c>
      <c r="V615" s="34" t="e">
        <f>VLOOKUP(Allocation[[#This Row],[SAP Contract number]],Shipments[[SAP Contract number]:[Contracted container weight]],2,FALSE)</f>
        <v>#N/A</v>
      </c>
      <c r="W615" s="34" t="e">
        <f>VLOOKUP(Allocation[[#This Row],[SAP Contract number]],Shipments[[SAP Contract number]:[AAA Premium USD]],24,FALSE)</f>
        <v>#N/A</v>
      </c>
      <c r="X615" s="34" t="e">
        <f>VLOOKUP(Allocation[[#This Row],[SAP Contract number]],Shipments[[SAP Contract number]:[RA Premium USD]],25,FALSE)</f>
        <v>#N/A</v>
      </c>
      <c r="Y615" s="38">
        <f>Allocation[[#This Row],[Quantity Processed]]/Allocation[[#This Row],[Quantity allocated]]</f>
        <v>2.4932222222222222</v>
      </c>
      <c r="Z615" s="34" t="b">
        <f>Allocation[[#This Row],[Quantity allocated]]&lt;=Allocation[[#This Row],[Quantity Processed]]</f>
        <v>1</v>
      </c>
    </row>
    <row r="616" spans="1:26">
      <c r="A616" s="247" t="s">
        <v>467</v>
      </c>
      <c r="B616" s="160" t="s">
        <v>68</v>
      </c>
      <c r="C616" s="252" t="s">
        <v>614</v>
      </c>
      <c r="D616" s="250">
        <v>25317</v>
      </c>
      <c r="E616" s="160" t="s">
        <v>1237</v>
      </c>
      <c r="F616" s="158">
        <v>43514</v>
      </c>
      <c r="G616" s="162">
        <v>2.5</v>
      </c>
      <c r="H616" s="250">
        <v>10175</v>
      </c>
      <c r="I616" s="160">
        <v>1433469</v>
      </c>
      <c r="J616" s="163">
        <v>19175</v>
      </c>
      <c r="K616" s="158">
        <v>43521</v>
      </c>
      <c r="L616" s="160" t="s">
        <v>1245</v>
      </c>
      <c r="M616" s="160">
        <v>4615516135</v>
      </c>
      <c r="N616" s="158">
        <v>43544</v>
      </c>
      <c r="O616" s="164">
        <v>3.7890999999999999</v>
      </c>
      <c r="P616" s="165" t="s">
        <v>1323</v>
      </c>
      <c r="Q616" s="34">
        <f>SUMIF(Allocation[Delivery ID],Allocation[[#This Row],[Delivery ID]],Allocation[Quantity Processed])</f>
        <v>34720</v>
      </c>
      <c r="R616" s="61">
        <f>Allocation[[#This Row],[Total volume used]]/VLOOKUP(Allocation[[#This Row],[Delivery ID]],Delivery[[Delivery ID]:[Quantity delivered]],3,FALSE)</f>
        <v>1</v>
      </c>
      <c r="S616" s="34">
        <f>Allocation[[#This Row],[Quantity Processed]]/Allocation[[#This Row],[Dilution rate]]</f>
        <v>10126.799999999999</v>
      </c>
      <c r="T616" s="59">
        <f>SUMIF(Allocation[Delivery ID],Allocation[[#This Row],[Delivery ID]],Allocation[Quantity allocated])/SUMIF(Allocation[Delivery ID],Allocation[[#This Row],[Delivery ID]],Allocation[Volume available (kg)])</f>
        <v>1.0047523041474655</v>
      </c>
      <c r="U616" s="61">
        <f>Allocation[[#This Row],[Total volume used]]/VLOOKUP(Allocation[[#This Row],[Delivery ID]],Delivery[[Delivery ID]:[Quantity delivered]],3,FALSE)</f>
        <v>1</v>
      </c>
      <c r="V616" s="34" t="e">
        <f>VLOOKUP(Allocation[[#This Row],[SAP Contract number]],Shipments[[SAP Contract number]:[Contracted container weight]],2,FALSE)</f>
        <v>#N/A</v>
      </c>
      <c r="W616" s="34" t="e">
        <f>VLOOKUP(Allocation[[#This Row],[SAP Contract number]],Shipments[[SAP Contract number]:[AAA Premium USD]],24,FALSE)</f>
        <v>#N/A</v>
      </c>
      <c r="X616" s="34" t="e">
        <f>VLOOKUP(Allocation[[#This Row],[SAP Contract number]],Shipments[[SAP Contract number]:[RA Premium USD]],25,FALSE)</f>
        <v>#N/A</v>
      </c>
      <c r="Y616" s="38">
        <f>Allocation[[#This Row],[Quantity Processed]]/Allocation[[#This Row],[Quantity allocated]]</f>
        <v>2.4881572481572483</v>
      </c>
      <c r="Z616" s="34" t="b">
        <f>Allocation[[#This Row],[Quantity allocated]]&lt;=Allocation[[#This Row],[Quantity Processed]]</f>
        <v>1</v>
      </c>
    </row>
    <row r="617" spans="1:26">
      <c r="A617" s="247" t="s">
        <v>467</v>
      </c>
      <c r="B617" s="160" t="s">
        <v>68</v>
      </c>
      <c r="C617" s="252" t="s">
        <v>614</v>
      </c>
      <c r="D617" s="250">
        <v>9403</v>
      </c>
      <c r="E617" s="160" t="s">
        <v>1237</v>
      </c>
      <c r="F617" s="158">
        <v>43514</v>
      </c>
      <c r="G617" s="162">
        <v>2.5</v>
      </c>
      <c r="H617" s="250">
        <v>3779</v>
      </c>
      <c r="I617" s="160">
        <v>1433470</v>
      </c>
      <c r="J617" s="163">
        <v>19175</v>
      </c>
      <c r="K617" s="158">
        <v>43521</v>
      </c>
      <c r="L617" s="160" t="s">
        <v>1246</v>
      </c>
      <c r="M617" s="160">
        <v>4615516135</v>
      </c>
      <c r="N617" s="158">
        <v>43544</v>
      </c>
      <c r="O617" s="164">
        <v>3.7890999999999999</v>
      </c>
      <c r="P617" s="165" t="s">
        <v>1323</v>
      </c>
      <c r="Q617" s="34">
        <f>SUMIF(Allocation[Delivery ID],Allocation[[#This Row],[Delivery ID]],Allocation[Quantity Processed])</f>
        <v>34720</v>
      </c>
      <c r="R617" s="61">
        <f>Allocation[[#This Row],[Total volume used]]/VLOOKUP(Allocation[[#This Row],[Delivery ID]],Delivery[[Delivery ID]:[Quantity delivered]],3,FALSE)</f>
        <v>1</v>
      </c>
      <c r="S617" s="34">
        <f>Allocation[[#This Row],[Quantity Processed]]/Allocation[[#This Row],[Dilution rate]]</f>
        <v>3761.2</v>
      </c>
      <c r="T617" s="59">
        <f>SUMIF(Allocation[Delivery ID],Allocation[[#This Row],[Delivery ID]],Allocation[Quantity allocated])/SUMIF(Allocation[Delivery ID],Allocation[[#This Row],[Delivery ID]],Allocation[Volume available (kg)])</f>
        <v>1.0047523041474655</v>
      </c>
      <c r="U617" s="61">
        <f>Allocation[[#This Row],[Total volume used]]/VLOOKUP(Allocation[[#This Row],[Delivery ID]],Delivery[[Delivery ID]:[Quantity delivered]],3,FALSE)</f>
        <v>1</v>
      </c>
      <c r="V617" s="34" t="e">
        <f>VLOOKUP(Allocation[[#This Row],[SAP Contract number]],Shipments[[SAP Contract number]:[Contracted container weight]],2,FALSE)</f>
        <v>#N/A</v>
      </c>
      <c r="W617" s="34" t="e">
        <f>VLOOKUP(Allocation[[#This Row],[SAP Contract number]],Shipments[[SAP Contract number]:[AAA Premium USD]],24,FALSE)</f>
        <v>#N/A</v>
      </c>
      <c r="X617" s="34" t="e">
        <f>VLOOKUP(Allocation[[#This Row],[SAP Contract number]],Shipments[[SAP Contract number]:[RA Premium USD]],25,FALSE)</f>
        <v>#N/A</v>
      </c>
      <c r="Y617" s="38">
        <f>Allocation[[#This Row],[Quantity Processed]]/Allocation[[#This Row],[Quantity allocated]]</f>
        <v>2.4882243979888861</v>
      </c>
      <c r="Z617" s="34" t="b">
        <f>Allocation[[#This Row],[Quantity allocated]]&lt;=Allocation[[#This Row],[Quantity Processed]]</f>
        <v>1</v>
      </c>
    </row>
    <row r="618" spans="1:26">
      <c r="A618" s="247" t="s">
        <v>467</v>
      </c>
      <c r="B618" s="160" t="s">
        <v>68</v>
      </c>
      <c r="C618" s="252" t="s">
        <v>615</v>
      </c>
      <c r="D618" s="250">
        <v>37790</v>
      </c>
      <c r="E618" s="160" t="s">
        <v>1237</v>
      </c>
      <c r="F618" s="158">
        <v>43514</v>
      </c>
      <c r="G618" s="162">
        <v>2.5</v>
      </c>
      <c r="H618" s="250">
        <v>15187</v>
      </c>
      <c r="I618" s="160">
        <v>1433470</v>
      </c>
      <c r="J618" s="163">
        <v>19175</v>
      </c>
      <c r="K618" s="158">
        <v>43521</v>
      </c>
      <c r="L618" s="160" t="s">
        <v>1246</v>
      </c>
      <c r="M618" s="160">
        <v>4615516135</v>
      </c>
      <c r="N618" s="158">
        <v>43544</v>
      </c>
      <c r="O618" s="164">
        <v>3.7890999999999999</v>
      </c>
      <c r="P618" s="165" t="s">
        <v>1323</v>
      </c>
      <c r="Q618" s="34">
        <f>SUMIF(Allocation[Delivery ID],Allocation[[#This Row],[Delivery ID]],Allocation[Quantity Processed])</f>
        <v>37790</v>
      </c>
      <c r="R618" s="61">
        <f>Allocation[[#This Row],[Total volume used]]/VLOOKUP(Allocation[[#This Row],[Delivery ID]],Delivery[[Delivery ID]:[Quantity delivered]],3,FALSE)</f>
        <v>1</v>
      </c>
      <c r="S618" s="34">
        <f>Allocation[[#This Row],[Quantity Processed]]/Allocation[[#This Row],[Dilution rate]]</f>
        <v>15116</v>
      </c>
      <c r="T618" s="59">
        <f>SUMIF(Allocation[Delivery ID],Allocation[[#This Row],[Delivery ID]],Allocation[Quantity allocated])/SUMIF(Allocation[Delivery ID],Allocation[[#This Row],[Delivery ID]],Allocation[Volume available (kg)])</f>
        <v>1.00469700979095</v>
      </c>
      <c r="U618" s="61">
        <f>Allocation[[#This Row],[Total volume used]]/VLOOKUP(Allocation[[#This Row],[Delivery ID]],Delivery[[Delivery ID]:[Quantity delivered]],3,FALSE)</f>
        <v>1</v>
      </c>
      <c r="V618" s="34" t="e">
        <f>VLOOKUP(Allocation[[#This Row],[SAP Contract number]],Shipments[[SAP Contract number]:[Contracted container weight]],2,FALSE)</f>
        <v>#N/A</v>
      </c>
      <c r="W618" s="34" t="e">
        <f>VLOOKUP(Allocation[[#This Row],[SAP Contract number]],Shipments[[SAP Contract number]:[AAA Premium USD]],24,FALSE)</f>
        <v>#N/A</v>
      </c>
      <c r="X618" s="34" t="e">
        <f>VLOOKUP(Allocation[[#This Row],[SAP Contract number]],Shipments[[SAP Contract number]:[RA Premium USD]],25,FALSE)</f>
        <v>#N/A</v>
      </c>
      <c r="Y618" s="38">
        <f>Allocation[[#This Row],[Quantity Processed]]/Allocation[[#This Row],[Quantity allocated]]</f>
        <v>2.4883123724237834</v>
      </c>
      <c r="Z618" s="34" t="b">
        <f>Allocation[[#This Row],[Quantity allocated]]&lt;=Allocation[[#This Row],[Quantity Processed]]</f>
        <v>1</v>
      </c>
    </row>
    <row r="619" spans="1:26">
      <c r="A619" s="247" t="s">
        <v>467</v>
      </c>
      <c r="B619" s="160" t="s">
        <v>68</v>
      </c>
      <c r="C619" s="252" t="s">
        <v>616</v>
      </c>
      <c r="D619" s="250">
        <v>522</v>
      </c>
      <c r="E619" s="160" t="s">
        <v>1237</v>
      </c>
      <c r="F619" s="158">
        <v>43514</v>
      </c>
      <c r="G619" s="162">
        <v>2.5</v>
      </c>
      <c r="H619" s="250">
        <v>209</v>
      </c>
      <c r="I619" s="160">
        <v>1433470</v>
      </c>
      <c r="J619" s="163">
        <v>19175</v>
      </c>
      <c r="K619" s="158">
        <v>43521</v>
      </c>
      <c r="L619" s="160" t="s">
        <v>1246</v>
      </c>
      <c r="M619" s="160">
        <v>4615516135</v>
      </c>
      <c r="N619" s="158">
        <v>43544</v>
      </c>
      <c r="O619" s="164">
        <v>3.7890999999999999</v>
      </c>
      <c r="P619" s="165" t="s">
        <v>1323</v>
      </c>
      <c r="Q619" s="34">
        <f>SUMIF(Allocation[Delivery ID],Allocation[[#This Row],[Delivery ID]],Allocation[Quantity Processed])</f>
        <v>37850</v>
      </c>
      <c r="R619" s="61">
        <f>Allocation[[#This Row],[Total volume used]]/VLOOKUP(Allocation[[#This Row],[Delivery ID]],Delivery[[Delivery ID]:[Quantity delivered]],3,FALSE)</f>
        <v>1</v>
      </c>
      <c r="S619" s="34">
        <f>Allocation[[#This Row],[Quantity Processed]]/Allocation[[#This Row],[Dilution rate]]</f>
        <v>208.8</v>
      </c>
      <c r="T619" s="59">
        <f>SUMIF(Allocation[Delivery ID],Allocation[[#This Row],[Delivery ID]],Allocation[Quantity allocated])/SUMIF(Allocation[Delivery ID],Allocation[[#This Row],[Delivery ID]],Allocation[Volume available (kg)])</f>
        <v>1.0011228533685601</v>
      </c>
      <c r="U619" s="61">
        <f>Allocation[[#This Row],[Total volume used]]/VLOOKUP(Allocation[[#This Row],[Delivery ID]],Delivery[[Delivery ID]:[Quantity delivered]],3,FALSE)</f>
        <v>1</v>
      </c>
      <c r="V619" s="34" t="e">
        <f>VLOOKUP(Allocation[[#This Row],[SAP Contract number]],Shipments[[SAP Contract number]:[Contracted container weight]],2,FALSE)</f>
        <v>#N/A</v>
      </c>
      <c r="W619" s="34" t="e">
        <f>VLOOKUP(Allocation[[#This Row],[SAP Contract number]],Shipments[[SAP Contract number]:[AAA Premium USD]],24,FALSE)</f>
        <v>#N/A</v>
      </c>
      <c r="X619" s="34" t="e">
        <f>VLOOKUP(Allocation[[#This Row],[SAP Contract number]],Shipments[[SAP Contract number]:[RA Premium USD]],25,FALSE)</f>
        <v>#N/A</v>
      </c>
      <c r="Y619" s="38">
        <f>Allocation[[#This Row],[Quantity Processed]]/Allocation[[#This Row],[Quantity allocated]]</f>
        <v>2.4976076555023923</v>
      </c>
      <c r="Z619" s="34" t="b">
        <f>Allocation[[#This Row],[Quantity allocated]]&lt;=Allocation[[#This Row],[Quantity Processed]]</f>
        <v>1</v>
      </c>
    </row>
    <row r="620" spans="1:26">
      <c r="A620" s="247" t="s">
        <v>467</v>
      </c>
      <c r="B620" s="160" t="s">
        <v>68</v>
      </c>
      <c r="C620" s="252" t="s">
        <v>616</v>
      </c>
      <c r="D620" s="250">
        <v>37328</v>
      </c>
      <c r="E620" s="160" t="s">
        <v>1237</v>
      </c>
      <c r="F620" s="158">
        <v>43514</v>
      </c>
      <c r="G620" s="162">
        <v>2.5</v>
      </c>
      <c r="H620" s="250">
        <v>14948</v>
      </c>
      <c r="I620" s="160">
        <v>1433471</v>
      </c>
      <c r="J620" s="163">
        <v>19175</v>
      </c>
      <c r="K620" s="158">
        <v>43521</v>
      </c>
      <c r="L620" s="160" t="s">
        <v>1247</v>
      </c>
      <c r="M620" s="160">
        <v>4615516135</v>
      </c>
      <c r="N620" s="158">
        <v>43544</v>
      </c>
      <c r="O620" s="164">
        <v>3.7890999999999999</v>
      </c>
      <c r="P620" s="165" t="s">
        <v>1323</v>
      </c>
      <c r="Q620" s="34">
        <f>SUMIF(Allocation[Delivery ID],Allocation[[#This Row],[Delivery ID]],Allocation[Quantity Processed])</f>
        <v>37850</v>
      </c>
      <c r="R620" s="61">
        <f>Allocation[[#This Row],[Total volume used]]/VLOOKUP(Allocation[[#This Row],[Delivery ID]],Delivery[[Delivery ID]:[Quantity delivered]],3,FALSE)</f>
        <v>1</v>
      </c>
      <c r="S620" s="34">
        <f>Allocation[[#This Row],[Quantity Processed]]/Allocation[[#This Row],[Dilution rate]]</f>
        <v>14931.2</v>
      </c>
      <c r="T620" s="59">
        <f>SUMIF(Allocation[Delivery ID],Allocation[[#This Row],[Delivery ID]],Allocation[Quantity allocated])/SUMIF(Allocation[Delivery ID],Allocation[[#This Row],[Delivery ID]],Allocation[Volume available (kg)])</f>
        <v>1.0011228533685601</v>
      </c>
      <c r="U620" s="61">
        <f>Allocation[[#This Row],[Total volume used]]/VLOOKUP(Allocation[[#This Row],[Delivery ID]],Delivery[[Delivery ID]:[Quantity delivered]],3,FALSE)</f>
        <v>1</v>
      </c>
      <c r="V620" s="34" t="e">
        <f>VLOOKUP(Allocation[[#This Row],[SAP Contract number]],Shipments[[SAP Contract number]:[Contracted container weight]],2,FALSE)</f>
        <v>#N/A</v>
      </c>
      <c r="W620" s="34" t="e">
        <f>VLOOKUP(Allocation[[#This Row],[SAP Contract number]],Shipments[[SAP Contract number]:[AAA Premium USD]],24,FALSE)</f>
        <v>#N/A</v>
      </c>
      <c r="X620" s="34" t="e">
        <f>VLOOKUP(Allocation[[#This Row],[SAP Contract number]],Shipments[[SAP Contract number]:[RA Premium USD]],25,FALSE)</f>
        <v>#N/A</v>
      </c>
      <c r="Y620" s="38">
        <f>Allocation[[#This Row],[Quantity Processed]]/Allocation[[#This Row],[Quantity allocated]]</f>
        <v>2.497190259566497</v>
      </c>
      <c r="Z620" s="34" t="b">
        <f>Allocation[[#This Row],[Quantity allocated]]&lt;=Allocation[[#This Row],[Quantity Processed]]</f>
        <v>1</v>
      </c>
    </row>
    <row r="621" spans="1:26">
      <c r="A621" s="247" t="s">
        <v>467</v>
      </c>
      <c r="B621" s="160" t="s">
        <v>68</v>
      </c>
      <c r="C621" s="252" t="s">
        <v>617</v>
      </c>
      <c r="D621" s="250">
        <v>10542</v>
      </c>
      <c r="E621" s="160" t="s">
        <v>1237</v>
      </c>
      <c r="F621" s="158">
        <v>43514</v>
      </c>
      <c r="G621" s="162">
        <v>2.5</v>
      </c>
      <c r="H621" s="250">
        <v>4227</v>
      </c>
      <c r="I621" s="160">
        <v>1433471</v>
      </c>
      <c r="J621" s="163">
        <v>19175</v>
      </c>
      <c r="K621" s="158">
        <v>43521</v>
      </c>
      <c r="L621" s="160" t="s">
        <v>1247</v>
      </c>
      <c r="M621" s="160">
        <v>4615516135</v>
      </c>
      <c r="N621" s="158">
        <v>43544</v>
      </c>
      <c r="O621" s="164">
        <v>3.7890999999999999</v>
      </c>
      <c r="P621" s="165" t="s">
        <v>1323</v>
      </c>
      <c r="Q621" s="34">
        <f>SUMIF(Allocation[Delivery ID],Allocation[[#This Row],[Delivery ID]],Allocation[Quantity Processed])</f>
        <v>34800</v>
      </c>
      <c r="R621" s="61">
        <f>Allocation[[#This Row],[Total volume used]]/VLOOKUP(Allocation[[#This Row],[Delivery ID]],Delivery[[Delivery ID]:[Quantity delivered]],3,FALSE)</f>
        <v>1</v>
      </c>
      <c r="S621" s="34">
        <f>Allocation[[#This Row],[Quantity Processed]]/Allocation[[#This Row],[Dilution rate]]</f>
        <v>4216.8</v>
      </c>
      <c r="T621" s="59">
        <f>SUMIF(Allocation[Delivery ID],Allocation[[#This Row],[Delivery ID]],Allocation[Quantity allocated])/SUMIF(Allocation[Delivery ID],Allocation[[#This Row],[Delivery ID]],Allocation[Volume available (kg)])</f>
        <v>1.0024425287356322</v>
      </c>
      <c r="U621" s="61">
        <f>Allocation[[#This Row],[Total volume used]]/VLOOKUP(Allocation[[#This Row],[Delivery ID]],Delivery[[Delivery ID]:[Quantity delivered]],3,FALSE)</f>
        <v>1</v>
      </c>
      <c r="V621" s="34" t="e">
        <f>VLOOKUP(Allocation[[#This Row],[SAP Contract number]],Shipments[[SAP Contract number]:[Contracted container weight]],2,FALSE)</f>
        <v>#N/A</v>
      </c>
      <c r="W621" s="34" t="e">
        <f>VLOOKUP(Allocation[[#This Row],[SAP Contract number]],Shipments[[SAP Contract number]:[AAA Premium USD]],24,FALSE)</f>
        <v>#N/A</v>
      </c>
      <c r="X621" s="34" t="e">
        <f>VLOOKUP(Allocation[[#This Row],[SAP Contract number]],Shipments[[SAP Contract number]:[RA Premium USD]],25,FALSE)</f>
        <v>#N/A</v>
      </c>
      <c r="Y621" s="38">
        <f>Allocation[[#This Row],[Quantity Processed]]/Allocation[[#This Row],[Quantity allocated]]</f>
        <v>2.4939673527324344</v>
      </c>
      <c r="Z621" s="34" t="b">
        <f>Allocation[[#This Row],[Quantity allocated]]&lt;=Allocation[[#This Row],[Quantity Processed]]</f>
        <v>1</v>
      </c>
    </row>
    <row r="622" spans="1:26">
      <c r="A622" s="247" t="s">
        <v>467</v>
      </c>
      <c r="B622" s="160" t="s">
        <v>68</v>
      </c>
      <c r="C622" s="252" t="s">
        <v>617</v>
      </c>
      <c r="D622" s="250">
        <v>24258</v>
      </c>
      <c r="E622" s="160" t="s">
        <v>1237</v>
      </c>
      <c r="F622" s="158">
        <v>43514</v>
      </c>
      <c r="G622" s="162">
        <v>2.5</v>
      </c>
      <c r="H622" s="250">
        <v>9727</v>
      </c>
      <c r="I622" s="160">
        <v>1433472</v>
      </c>
      <c r="J622" s="163">
        <v>19175</v>
      </c>
      <c r="K622" s="158">
        <v>43521</v>
      </c>
      <c r="L622" s="160" t="s">
        <v>1248</v>
      </c>
      <c r="M622" s="160">
        <v>4615516135</v>
      </c>
      <c r="N622" s="158">
        <v>43544</v>
      </c>
      <c r="O622" s="164">
        <v>3.7890999999999999</v>
      </c>
      <c r="P622" s="165" t="s">
        <v>1323</v>
      </c>
      <c r="Q622" s="34">
        <f>SUMIF(Allocation[Delivery ID],Allocation[[#This Row],[Delivery ID]],Allocation[Quantity Processed])</f>
        <v>34800</v>
      </c>
      <c r="R622" s="61">
        <f>Allocation[[#This Row],[Total volume used]]/VLOOKUP(Allocation[[#This Row],[Delivery ID]],Delivery[[Delivery ID]:[Quantity delivered]],3,FALSE)</f>
        <v>1</v>
      </c>
      <c r="S622" s="34">
        <f>Allocation[[#This Row],[Quantity Processed]]/Allocation[[#This Row],[Dilution rate]]</f>
        <v>9703.2000000000007</v>
      </c>
      <c r="T622" s="59">
        <f>SUMIF(Allocation[Delivery ID],Allocation[[#This Row],[Delivery ID]],Allocation[Quantity allocated])/SUMIF(Allocation[Delivery ID],Allocation[[#This Row],[Delivery ID]],Allocation[Volume available (kg)])</f>
        <v>1.0024425287356322</v>
      </c>
      <c r="U622" s="61">
        <f>Allocation[[#This Row],[Total volume used]]/VLOOKUP(Allocation[[#This Row],[Delivery ID]],Delivery[[Delivery ID]:[Quantity delivered]],3,FALSE)</f>
        <v>1</v>
      </c>
      <c r="V622" s="34" t="e">
        <f>VLOOKUP(Allocation[[#This Row],[SAP Contract number]],Shipments[[SAP Contract number]:[Contracted container weight]],2,FALSE)</f>
        <v>#N/A</v>
      </c>
      <c r="W622" s="34" t="e">
        <f>VLOOKUP(Allocation[[#This Row],[SAP Contract number]],Shipments[[SAP Contract number]:[AAA Premium USD]],24,FALSE)</f>
        <v>#N/A</v>
      </c>
      <c r="X622" s="34" t="e">
        <f>VLOOKUP(Allocation[[#This Row],[SAP Contract number]],Shipments[[SAP Contract number]:[RA Premium USD]],25,FALSE)</f>
        <v>#N/A</v>
      </c>
      <c r="Y622" s="38">
        <f>Allocation[[#This Row],[Quantity Processed]]/Allocation[[#This Row],[Quantity allocated]]</f>
        <v>2.4938830060655905</v>
      </c>
      <c r="Z622" s="34" t="b">
        <f>Allocation[[#This Row],[Quantity allocated]]&lt;=Allocation[[#This Row],[Quantity Processed]]</f>
        <v>1</v>
      </c>
    </row>
    <row r="623" spans="1:26">
      <c r="A623" s="247" t="s">
        <v>467</v>
      </c>
      <c r="B623" s="160" t="s">
        <v>68</v>
      </c>
      <c r="C623" s="252" t="s">
        <v>618</v>
      </c>
      <c r="D623" s="250">
        <v>23587</v>
      </c>
      <c r="E623" s="160" t="s">
        <v>1237</v>
      </c>
      <c r="F623" s="158">
        <v>43514</v>
      </c>
      <c r="G623" s="162">
        <v>2.5</v>
      </c>
      <c r="H623" s="250">
        <v>9448</v>
      </c>
      <c r="I623" s="160">
        <v>1433472</v>
      </c>
      <c r="J623" s="163">
        <v>19175</v>
      </c>
      <c r="K623" s="158">
        <v>43521</v>
      </c>
      <c r="L623" s="160" t="s">
        <v>1248</v>
      </c>
      <c r="M623" s="160">
        <v>4615516135</v>
      </c>
      <c r="N623" s="158">
        <v>43544</v>
      </c>
      <c r="O623" s="164">
        <v>3.7890999999999999</v>
      </c>
      <c r="P623" s="165" t="s">
        <v>1323</v>
      </c>
      <c r="Q623" s="34">
        <f>SUMIF(Allocation[Delivery ID],Allocation[[#This Row],[Delivery ID]],Allocation[Quantity Processed])</f>
        <v>38080</v>
      </c>
      <c r="R623" s="61">
        <f>Allocation[[#This Row],[Total volume used]]/VLOOKUP(Allocation[[#This Row],[Delivery ID]],Delivery[[Delivery ID]:[Quantity delivered]],3,FALSE)</f>
        <v>1</v>
      </c>
      <c r="S623" s="34">
        <f>Allocation[[#This Row],[Quantity Processed]]/Allocation[[#This Row],[Dilution rate]]</f>
        <v>9434.7999999999993</v>
      </c>
      <c r="T623" s="59">
        <f>SUMIF(Allocation[Delivery ID],Allocation[[#This Row],[Delivery ID]],Allocation[Quantity allocated])/SUMIF(Allocation[Delivery ID],Allocation[[#This Row],[Delivery ID]],Allocation[Volume available (kg)])</f>
        <v>1.0013786764705883</v>
      </c>
      <c r="U623" s="61">
        <f>Allocation[[#This Row],[Total volume used]]/VLOOKUP(Allocation[[#This Row],[Delivery ID]],Delivery[[Delivery ID]:[Quantity delivered]],3,FALSE)</f>
        <v>1</v>
      </c>
      <c r="V623" s="34" t="e">
        <f>VLOOKUP(Allocation[[#This Row],[SAP Contract number]],Shipments[[SAP Contract number]:[Contracted container weight]],2,FALSE)</f>
        <v>#N/A</v>
      </c>
      <c r="W623" s="34" t="e">
        <f>VLOOKUP(Allocation[[#This Row],[SAP Contract number]],Shipments[[SAP Contract number]:[AAA Premium USD]],24,FALSE)</f>
        <v>#N/A</v>
      </c>
      <c r="X623" s="34" t="e">
        <f>VLOOKUP(Allocation[[#This Row],[SAP Contract number]],Shipments[[SAP Contract number]:[RA Premium USD]],25,FALSE)</f>
        <v>#N/A</v>
      </c>
      <c r="Y623" s="38">
        <f>Allocation[[#This Row],[Quantity Processed]]/Allocation[[#This Row],[Quantity allocated]]</f>
        <v>2.4965071972904318</v>
      </c>
      <c r="Z623" s="34" t="b">
        <f>Allocation[[#This Row],[Quantity allocated]]&lt;=Allocation[[#This Row],[Quantity Processed]]</f>
        <v>1</v>
      </c>
    </row>
    <row r="624" spans="1:26">
      <c r="A624" s="247" t="s">
        <v>467</v>
      </c>
      <c r="B624" s="160" t="s">
        <v>68</v>
      </c>
      <c r="C624" s="252" t="s">
        <v>618</v>
      </c>
      <c r="D624" s="250">
        <v>14493</v>
      </c>
      <c r="E624" s="160" t="s">
        <v>1237</v>
      </c>
      <c r="F624" s="158">
        <v>43514</v>
      </c>
      <c r="G624" s="162">
        <v>2.5</v>
      </c>
      <c r="H624" s="250">
        <v>5805</v>
      </c>
      <c r="I624" s="160">
        <v>1433473</v>
      </c>
      <c r="J624" s="163">
        <v>19175</v>
      </c>
      <c r="K624" s="158">
        <v>43521</v>
      </c>
      <c r="L624" s="160" t="s">
        <v>1249</v>
      </c>
      <c r="M624" s="160">
        <v>4615516135</v>
      </c>
      <c r="N624" s="158">
        <v>43544</v>
      </c>
      <c r="O624" s="164">
        <v>3.7890999999999999</v>
      </c>
      <c r="P624" s="165" t="s">
        <v>1323</v>
      </c>
      <c r="Q624" s="34">
        <f>SUMIF(Allocation[Delivery ID],Allocation[[#This Row],[Delivery ID]],Allocation[Quantity Processed])</f>
        <v>38080</v>
      </c>
      <c r="R624" s="61">
        <f>Allocation[[#This Row],[Total volume used]]/VLOOKUP(Allocation[[#This Row],[Delivery ID]],Delivery[[Delivery ID]:[Quantity delivered]],3,FALSE)</f>
        <v>1</v>
      </c>
      <c r="S624" s="34">
        <f>Allocation[[#This Row],[Quantity Processed]]/Allocation[[#This Row],[Dilution rate]]</f>
        <v>5797.2</v>
      </c>
      <c r="T624" s="59">
        <f>SUMIF(Allocation[Delivery ID],Allocation[[#This Row],[Delivery ID]],Allocation[Quantity allocated])/SUMIF(Allocation[Delivery ID],Allocation[[#This Row],[Delivery ID]],Allocation[Volume available (kg)])</f>
        <v>1.0013786764705883</v>
      </c>
      <c r="U624" s="61">
        <f>Allocation[[#This Row],[Total volume used]]/VLOOKUP(Allocation[[#This Row],[Delivery ID]],Delivery[[Delivery ID]:[Quantity delivered]],3,FALSE)</f>
        <v>1</v>
      </c>
      <c r="V624" s="34" t="e">
        <f>VLOOKUP(Allocation[[#This Row],[SAP Contract number]],Shipments[[SAP Contract number]:[Contracted container weight]],2,FALSE)</f>
        <v>#N/A</v>
      </c>
      <c r="W624" s="34" t="e">
        <f>VLOOKUP(Allocation[[#This Row],[SAP Contract number]],Shipments[[SAP Contract number]:[AAA Premium USD]],24,FALSE)</f>
        <v>#N/A</v>
      </c>
      <c r="X624" s="34" t="e">
        <f>VLOOKUP(Allocation[[#This Row],[SAP Contract number]],Shipments[[SAP Contract number]:[RA Premium USD]],25,FALSE)</f>
        <v>#N/A</v>
      </c>
      <c r="Y624" s="38">
        <f>Allocation[[#This Row],[Quantity Processed]]/Allocation[[#This Row],[Quantity allocated]]</f>
        <v>2.4966408268733851</v>
      </c>
      <c r="Z624" s="34" t="b">
        <f>Allocation[[#This Row],[Quantity allocated]]&lt;=Allocation[[#This Row],[Quantity Processed]]</f>
        <v>1</v>
      </c>
    </row>
    <row r="625" spans="1:26">
      <c r="A625" s="247" t="s">
        <v>467</v>
      </c>
      <c r="B625" s="160" t="s">
        <v>68</v>
      </c>
      <c r="C625" s="252" t="s">
        <v>619</v>
      </c>
      <c r="D625" s="250">
        <v>17553</v>
      </c>
      <c r="E625" s="160" t="s">
        <v>1237</v>
      </c>
      <c r="F625" s="158">
        <v>43514</v>
      </c>
      <c r="G625" s="162">
        <v>2.5</v>
      </c>
      <c r="H625" s="250">
        <v>7021</v>
      </c>
      <c r="I625" s="160">
        <v>1433473</v>
      </c>
      <c r="J625" s="163">
        <v>19175</v>
      </c>
      <c r="K625" s="158">
        <v>43521</v>
      </c>
      <c r="L625" s="160" t="s">
        <v>1249</v>
      </c>
      <c r="M625" s="160">
        <v>4615516135</v>
      </c>
      <c r="N625" s="158">
        <v>43544</v>
      </c>
      <c r="O625" s="164">
        <v>3.7890999999999999</v>
      </c>
      <c r="P625" s="165" t="s">
        <v>1323</v>
      </c>
      <c r="Q625" s="34">
        <f>SUMIF(Allocation[Delivery ID],Allocation[[#This Row],[Delivery ID]],Allocation[Quantity Processed])</f>
        <v>37830</v>
      </c>
      <c r="R625" s="61">
        <f>Allocation[[#This Row],[Total volume used]]/VLOOKUP(Allocation[[#This Row],[Delivery ID]],Delivery[[Delivery ID]:[Quantity delivered]],3,FALSE)</f>
        <v>1</v>
      </c>
      <c r="S625" s="34">
        <f>Allocation[[#This Row],[Quantity Processed]]/Allocation[[#This Row],[Dilution rate]]</f>
        <v>7021.2</v>
      </c>
      <c r="T625" s="59">
        <f>SUMIF(Allocation[Delivery ID],Allocation[[#This Row],[Delivery ID]],Allocation[Quantity allocated])/SUMIF(Allocation[Delivery ID],Allocation[[#This Row],[Delivery ID]],Allocation[Volume available (kg)])</f>
        <v>1.0126918948819126</v>
      </c>
      <c r="U625" s="61">
        <f>Allocation[[#This Row],[Total volume used]]/VLOOKUP(Allocation[[#This Row],[Delivery ID]],Delivery[[Delivery ID]:[Quantity delivered]],3,FALSE)</f>
        <v>1</v>
      </c>
      <c r="V625" s="34" t="e">
        <f>VLOOKUP(Allocation[[#This Row],[SAP Contract number]],Shipments[[SAP Contract number]:[Contracted container weight]],2,FALSE)</f>
        <v>#N/A</v>
      </c>
      <c r="W625" s="34" t="e">
        <f>VLOOKUP(Allocation[[#This Row],[SAP Contract number]],Shipments[[SAP Contract number]:[AAA Premium USD]],24,FALSE)</f>
        <v>#N/A</v>
      </c>
      <c r="X625" s="34" t="e">
        <f>VLOOKUP(Allocation[[#This Row],[SAP Contract number]],Shipments[[SAP Contract number]:[RA Premium USD]],25,FALSE)</f>
        <v>#N/A</v>
      </c>
      <c r="Y625" s="38">
        <f>Allocation[[#This Row],[Quantity Processed]]/Allocation[[#This Row],[Quantity allocated]]</f>
        <v>2.5000712149266486</v>
      </c>
      <c r="Z625" s="34" t="b">
        <f>Allocation[[#This Row],[Quantity allocated]]&lt;=Allocation[[#This Row],[Quantity Processed]]</f>
        <v>1</v>
      </c>
    </row>
    <row r="626" spans="1:26">
      <c r="A626" s="247" t="s">
        <v>467</v>
      </c>
      <c r="B626" s="160" t="s">
        <v>68</v>
      </c>
      <c r="C626" s="252" t="s">
        <v>620</v>
      </c>
      <c r="D626" s="250">
        <v>15818</v>
      </c>
      <c r="E626" s="160" t="s">
        <v>1237</v>
      </c>
      <c r="F626" s="158">
        <v>43514</v>
      </c>
      <c r="G626" s="162">
        <v>2.5</v>
      </c>
      <c r="H626" s="250">
        <v>6349</v>
      </c>
      <c r="I626" s="160">
        <v>1433473</v>
      </c>
      <c r="J626" s="163">
        <v>19175</v>
      </c>
      <c r="K626" s="158">
        <v>43521</v>
      </c>
      <c r="L626" s="160" t="s">
        <v>1249</v>
      </c>
      <c r="M626" s="160">
        <v>4615516135</v>
      </c>
      <c r="N626" s="158">
        <v>43544</v>
      </c>
      <c r="O626" s="164">
        <v>3.7890999999999999</v>
      </c>
      <c r="P626" s="165" t="s">
        <v>1323</v>
      </c>
      <c r="Q626" s="34">
        <f>SUMIF(Allocation[Delivery ID],Allocation[[#This Row],[Delivery ID]],Allocation[Quantity Processed])</f>
        <v>38360</v>
      </c>
      <c r="R626" s="61">
        <f>Allocation[[#This Row],[Total volume used]]/VLOOKUP(Allocation[[#This Row],[Delivery ID]],Delivery[[Delivery ID]:[Quantity delivered]],3,FALSE)</f>
        <v>1</v>
      </c>
      <c r="S626" s="34">
        <f>Allocation[[#This Row],[Quantity Processed]]/Allocation[[#This Row],[Dilution rate]]</f>
        <v>6327.2</v>
      </c>
      <c r="T626" s="59">
        <f>SUMIF(Allocation[Delivery ID],Allocation[[#This Row],[Delivery ID]],Allocation[Quantity allocated])/SUMIF(Allocation[Delivery ID],Allocation[[#This Row],[Delivery ID]],Allocation[Volume available (kg)])</f>
        <v>1.0034541188738269</v>
      </c>
      <c r="U626" s="61">
        <f>Allocation[[#This Row],[Total volume used]]/VLOOKUP(Allocation[[#This Row],[Delivery ID]],Delivery[[Delivery ID]:[Quantity delivered]],3,FALSE)</f>
        <v>1</v>
      </c>
      <c r="V626" s="34" t="e">
        <f>VLOOKUP(Allocation[[#This Row],[SAP Contract number]],Shipments[[SAP Contract number]:[Contracted container weight]],2,FALSE)</f>
        <v>#N/A</v>
      </c>
      <c r="W626" s="34" t="e">
        <f>VLOOKUP(Allocation[[#This Row],[SAP Contract number]],Shipments[[SAP Contract number]:[AAA Premium USD]],24,FALSE)</f>
        <v>#N/A</v>
      </c>
      <c r="X626" s="34" t="e">
        <f>VLOOKUP(Allocation[[#This Row],[SAP Contract number]],Shipments[[SAP Contract number]:[RA Premium USD]],25,FALSE)</f>
        <v>#N/A</v>
      </c>
      <c r="Y626" s="38">
        <f>Allocation[[#This Row],[Quantity Processed]]/Allocation[[#This Row],[Quantity allocated]]</f>
        <v>2.491415971019058</v>
      </c>
      <c r="Z626" s="34" t="b">
        <f>Allocation[[#This Row],[Quantity allocated]]&lt;=Allocation[[#This Row],[Quantity Processed]]</f>
        <v>1</v>
      </c>
    </row>
    <row r="627" spans="1:26">
      <c r="A627" s="247" t="s">
        <v>467</v>
      </c>
      <c r="B627" s="160" t="s">
        <v>68</v>
      </c>
      <c r="C627" s="252" t="s">
        <v>620</v>
      </c>
      <c r="D627" s="250">
        <v>22542</v>
      </c>
      <c r="E627" s="160" t="s">
        <v>1237</v>
      </c>
      <c r="F627" s="158">
        <v>43514</v>
      </c>
      <c r="G627" s="162">
        <v>2.5</v>
      </c>
      <c r="H627" s="250">
        <v>9048</v>
      </c>
      <c r="I627" s="160">
        <v>1433474</v>
      </c>
      <c r="J627" s="163">
        <v>19175</v>
      </c>
      <c r="K627" s="158">
        <v>43521</v>
      </c>
      <c r="L627" s="160" t="s">
        <v>1250</v>
      </c>
      <c r="M627" s="160">
        <v>4615516135</v>
      </c>
      <c r="N627" s="158">
        <v>43544</v>
      </c>
      <c r="O627" s="164">
        <v>3.7890999999999999</v>
      </c>
      <c r="P627" s="165" t="s">
        <v>1323</v>
      </c>
      <c r="Q627" s="34">
        <f>SUMIF(Allocation[Delivery ID],Allocation[[#This Row],[Delivery ID]],Allocation[Quantity Processed])</f>
        <v>38360</v>
      </c>
      <c r="R627" s="61">
        <f>Allocation[[#This Row],[Total volume used]]/VLOOKUP(Allocation[[#This Row],[Delivery ID]],Delivery[[Delivery ID]:[Quantity delivered]],3,FALSE)</f>
        <v>1</v>
      </c>
      <c r="S627" s="34">
        <f>Allocation[[#This Row],[Quantity Processed]]/Allocation[[#This Row],[Dilution rate]]</f>
        <v>9016.7999999999993</v>
      </c>
      <c r="T627" s="59">
        <f>SUMIF(Allocation[Delivery ID],Allocation[[#This Row],[Delivery ID]],Allocation[Quantity allocated])/SUMIF(Allocation[Delivery ID],Allocation[[#This Row],[Delivery ID]],Allocation[Volume available (kg)])</f>
        <v>1.0034541188738269</v>
      </c>
      <c r="U627" s="61">
        <f>Allocation[[#This Row],[Total volume used]]/VLOOKUP(Allocation[[#This Row],[Delivery ID]],Delivery[[Delivery ID]:[Quantity delivered]],3,FALSE)</f>
        <v>1</v>
      </c>
      <c r="V627" s="34" t="e">
        <f>VLOOKUP(Allocation[[#This Row],[SAP Contract number]],Shipments[[SAP Contract number]:[Contracted container weight]],2,FALSE)</f>
        <v>#N/A</v>
      </c>
      <c r="W627" s="34" t="e">
        <f>VLOOKUP(Allocation[[#This Row],[SAP Contract number]],Shipments[[SAP Contract number]:[AAA Premium USD]],24,FALSE)</f>
        <v>#N/A</v>
      </c>
      <c r="X627" s="34" t="e">
        <f>VLOOKUP(Allocation[[#This Row],[SAP Contract number]],Shipments[[SAP Contract number]:[RA Premium USD]],25,FALSE)</f>
        <v>#N/A</v>
      </c>
      <c r="Y627" s="38">
        <f>Allocation[[#This Row],[Quantity Processed]]/Allocation[[#This Row],[Quantity allocated]]</f>
        <v>2.4913793103448274</v>
      </c>
      <c r="Z627" s="34" t="b">
        <f>Allocation[[#This Row],[Quantity allocated]]&lt;=Allocation[[#This Row],[Quantity Processed]]</f>
        <v>1</v>
      </c>
    </row>
    <row r="628" spans="1:26">
      <c r="A628" s="247" t="s">
        <v>467</v>
      </c>
      <c r="B628" s="160" t="s">
        <v>68</v>
      </c>
      <c r="C628" s="252" t="s">
        <v>621</v>
      </c>
      <c r="D628" s="250">
        <v>14750</v>
      </c>
      <c r="E628" s="160" t="s">
        <v>1237</v>
      </c>
      <c r="F628" s="158">
        <v>43514</v>
      </c>
      <c r="G628" s="162">
        <v>2.5</v>
      </c>
      <c r="H628" s="250">
        <v>5900</v>
      </c>
      <c r="I628" s="160">
        <v>1433474</v>
      </c>
      <c r="J628" s="163">
        <v>19175</v>
      </c>
      <c r="K628" s="158">
        <v>43521</v>
      </c>
      <c r="L628" s="160" t="s">
        <v>1250</v>
      </c>
      <c r="M628" s="160">
        <v>4615516135</v>
      </c>
      <c r="N628" s="158">
        <v>43544</v>
      </c>
      <c r="O628" s="164">
        <v>3.7890999999999999</v>
      </c>
      <c r="P628" s="165" t="s">
        <v>1323</v>
      </c>
      <c r="Q628" s="34">
        <f>SUMIF(Allocation[Delivery ID],Allocation[[#This Row],[Delivery ID]],Allocation[Quantity Processed])</f>
        <v>34720</v>
      </c>
      <c r="R628" s="61">
        <f>Allocation[[#This Row],[Total volume used]]/VLOOKUP(Allocation[[#This Row],[Delivery ID]],Delivery[[Delivery ID]:[Quantity delivered]],3,FALSE)</f>
        <v>1</v>
      </c>
      <c r="S628" s="34">
        <f>Allocation[[#This Row],[Quantity Processed]]/Allocation[[#This Row],[Dilution rate]]</f>
        <v>5900</v>
      </c>
      <c r="T628" s="59">
        <f>SUMIF(Allocation[Delivery ID],Allocation[[#This Row],[Delivery ID]],Allocation[Quantity allocated])/SUMIF(Allocation[Delivery ID],Allocation[[#This Row],[Delivery ID]],Allocation[Volume available (kg)])</f>
        <v>1.019479928276064</v>
      </c>
      <c r="U628" s="61">
        <f>Allocation[[#This Row],[Total volume used]]/VLOOKUP(Allocation[[#This Row],[Delivery ID]],Delivery[[Delivery ID]:[Quantity delivered]],3,FALSE)</f>
        <v>1</v>
      </c>
      <c r="V628" s="34" t="e">
        <f>VLOOKUP(Allocation[[#This Row],[SAP Contract number]],Shipments[[SAP Contract number]:[Contracted container weight]],2,FALSE)</f>
        <v>#N/A</v>
      </c>
      <c r="W628" s="34" t="e">
        <f>VLOOKUP(Allocation[[#This Row],[SAP Contract number]],Shipments[[SAP Contract number]:[AAA Premium USD]],24,FALSE)</f>
        <v>#N/A</v>
      </c>
      <c r="X628" s="34" t="e">
        <f>VLOOKUP(Allocation[[#This Row],[SAP Contract number]],Shipments[[SAP Contract number]:[RA Premium USD]],25,FALSE)</f>
        <v>#N/A</v>
      </c>
      <c r="Y628" s="38">
        <f>Allocation[[#This Row],[Quantity Processed]]/Allocation[[#This Row],[Quantity allocated]]</f>
        <v>2.5</v>
      </c>
      <c r="Z628" s="34" t="b">
        <f>Allocation[[#This Row],[Quantity allocated]]&lt;=Allocation[[#This Row],[Quantity Processed]]</f>
        <v>1</v>
      </c>
    </row>
    <row r="629" spans="1:26">
      <c r="A629" s="247" t="s">
        <v>467</v>
      </c>
      <c r="B629" s="160" t="s">
        <v>68</v>
      </c>
      <c r="C629" s="252" t="s">
        <v>622</v>
      </c>
      <c r="D629" s="250">
        <v>10568</v>
      </c>
      <c r="E629" s="160" t="s">
        <v>1237</v>
      </c>
      <c r="F629" s="158">
        <v>43514</v>
      </c>
      <c r="G629" s="162">
        <v>2.5</v>
      </c>
      <c r="H629" s="250">
        <v>4227</v>
      </c>
      <c r="I629" s="160">
        <v>1433474</v>
      </c>
      <c r="J629" s="163">
        <v>19175</v>
      </c>
      <c r="K629" s="158">
        <v>43521</v>
      </c>
      <c r="L629" s="160" t="s">
        <v>1250</v>
      </c>
      <c r="M629" s="160">
        <v>4615516135</v>
      </c>
      <c r="N629" s="158">
        <v>43544</v>
      </c>
      <c r="O629" s="164">
        <v>3.7890999999999999</v>
      </c>
      <c r="P629" s="165" t="s">
        <v>1323</v>
      </c>
      <c r="Q629" s="34">
        <f>SUMIF(Allocation[Delivery ID],Allocation[[#This Row],[Delivery ID]],Allocation[Quantity Processed])</f>
        <v>50980</v>
      </c>
      <c r="R629" s="61">
        <f>Allocation[[#This Row],[Total volume used]]/VLOOKUP(Allocation[[#This Row],[Delivery ID]],Delivery[[Delivery ID]:[Quantity delivered]],3,FALSE)</f>
        <v>1</v>
      </c>
      <c r="S629" s="34">
        <f>Allocation[[#This Row],[Quantity Processed]]/Allocation[[#This Row],[Dilution rate]]</f>
        <v>4227.2</v>
      </c>
      <c r="T629" s="59">
        <f>SUMIF(Allocation[Delivery ID],Allocation[[#This Row],[Delivery ID]],Allocation[Quantity allocated])/SUMIF(Allocation[Delivery ID],Allocation[[#This Row],[Delivery ID]],Allocation[Volume available (kg)])</f>
        <v>1.0106063957106424</v>
      </c>
      <c r="U629" s="61">
        <f>Allocation[[#This Row],[Total volume used]]/VLOOKUP(Allocation[[#This Row],[Delivery ID]],Delivery[[Delivery ID]:[Quantity delivered]],3,FALSE)</f>
        <v>1</v>
      </c>
      <c r="V629" s="34" t="e">
        <f>VLOOKUP(Allocation[[#This Row],[SAP Contract number]],Shipments[[SAP Contract number]:[Contracted container weight]],2,FALSE)</f>
        <v>#N/A</v>
      </c>
      <c r="W629" s="34" t="e">
        <f>VLOOKUP(Allocation[[#This Row],[SAP Contract number]],Shipments[[SAP Contract number]:[AAA Premium USD]],24,FALSE)</f>
        <v>#N/A</v>
      </c>
      <c r="X629" s="34" t="e">
        <f>VLOOKUP(Allocation[[#This Row],[SAP Contract number]],Shipments[[SAP Contract number]:[RA Premium USD]],25,FALSE)</f>
        <v>#N/A</v>
      </c>
      <c r="Y629" s="38">
        <f>Allocation[[#This Row],[Quantity Processed]]/Allocation[[#This Row],[Quantity allocated]]</f>
        <v>2.500118287201325</v>
      </c>
      <c r="Z629" s="34" t="b">
        <f>Allocation[[#This Row],[Quantity allocated]]&lt;=Allocation[[#This Row],[Quantity Processed]]</f>
        <v>1</v>
      </c>
    </row>
    <row r="630" spans="1:26">
      <c r="A630" s="247" t="s">
        <v>467</v>
      </c>
      <c r="B630" s="160" t="s">
        <v>68</v>
      </c>
      <c r="C630" s="252" t="s">
        <v>622</v>
      </c>
      <c r="D630" s="250">
        <v>13125</v>
      </c>
      <c r="E630" s="160" t="s">
        <v>1237</v>
      </c>
      <c r="F630" s="158">
        <v>43514</v>
      </c>
      <c r="G630" s="162">
        <v>2.5</v>
      </c>
      <c r="H630" s="250">
        <v>5250</v>
      </c>
      <c r="I630" s="160">
        <v>1433475</v>
      </c>
      <c r="J630" s="163">
        <v>19175</v>
      </c>
      <c r="K630" s="158">
        <v>43521</v>
      </c>
      <c r="L630" s="160" t="s">
        <v>1251</v>
      </c>
      <c r="M630" s="160">
        <v>4615516135</v>
      </c>
      <c r="N630" s="158">
        <v>43544</v>
      </c>
      <c r="O630" s="164">
        <v>3.7890999999999999</v>
      </c>
      <c r="P630" s="165" t="s">
        <v>1323</v>
      </c>
      <c r="Q630" s="34">
        <f>SUMIF(Allocation[Delivery ID],Allocation[[#This Row],[Delivery ID]],Allocation[Quantity Processed])</f>
        <v>50980</v>
      </c>
      <c r="R630" s="61">
        <f>Allocation[[#This Row],[Total volume used]]/VLOOKUP(Allocation[[#This Row],[Delivery ID]],Delivery[[Delivery ID]:[Quantity delivered]],3,FALSE)</f>
        <v>1</v>
      </c>
      <c r="S630" s="34">
        <f>Allocation[[#This Row],[Quantity Processed]]/Allocation[[#This Row],[Dilution rate]]</f>
        <v>5250</v>
      </c>
      <c r="T630" s="59">
        <f>SUMIF(Allocation[Delivery ID],Allocation[[#This Row],[Delivery ID]],Allocation[Quantity allocated])/SUMIF(Allocation[Delivery ID],Allocation[[#This Row],[Delivery ID]],Allocation[Volume available (kg)])</f>
        <v>1.0106063957106424</v>
      </c>
      <c r="U630" s="61">
        <f>Allocation[[#This Row],[Total volume used]]/VLOOKUP(Allocation[[#This Row],[Delivery ID]],Delivery[[Delivery ID]:[Quantity delivered]],3,FALSE)</f>
        <v>1</v>
      </c>
      <c r="V630" s="34" t="e">
        <f>VLOOKUP(Allocation[[#This Row],[SAP Contract number]],Shipments[[SAP Contract number]:[Contracted container weight]],2,FALSE)</f>
        <v>#N/A</v>
      </c>
      <c r="W630" s="34" t="e">
        <f>VLOOKUP(Allocation[[#This Row],[SAP Contract number]],Shipments[[SAP Contract number]:[AAA Premium USD]],24,FALSE)</f>
        <v>#N/A</v>
      </c>
      <c r="X630" s="34" t="e">
        <f>VLOOKUP(Allocation[[#This Row],[SAP Contract number]],Shipments[[SAP Contract number]:[RA Premium USD]],25,FALSE)</f>
        <v>#N/A</v>
      </c>
      <c r="Y630" s="38">
        <f>Allocation[[#This Row],[Quantity Processed]]/Allocation[[#This Row],[Quantity allocated]]</f>
        <v>2.5</v>
      </c>
      <c r="Z630" s="34" t="b">
        <f>Allocation[[#This Row],[Quantity allocated]]&lt;=Allocation[[#This Row],[Quantity Processed]]</f>
        <v>1</v>
      </c>
    </row>
    <row r="631" spans="1:26">
      <c r="A631" s="247" t="s">
        <v>467</v>
      </c>
      <c r="B631" s="160" t="s">
        <v>68</v>
      </c>
      <c r="C631" s="252" t="s">
        <v>623</v>
      </c>
      <c r="D631" s="250">
        <v>24148</v>
      </c>
      <c r="E631" s="160" t="s">
        <v>1237</v>
      </c>
      <c r="F631" s="158">
        <v>43514</v>
      </c>
      <c r="G631" s="162">
        <v>2.5</v>
      </c>
      <c r="H631" s="250">
        <v>9659</v>
      </c>
      <c r="I631" s="160">
        <v>1433475</v>
      </c>
      <c r="J631" s="163">
        <v>19175</v>
      </c>
      <c r="K631" s="158">
        <v>43521</v>
      </c>
      <c r="L631" s="160" t="s">
        <v>1251</v>
      </c>
      <c r="M631" s="160">
        <v>4615516135</v>
      </c>
      <c r="N631" s="158">
        <v>43544</v>
      </c>
      <c r="O631" s="164">
        <v>3.7890999999999999</v>
      </c>
      <c r="P631" s="165" t="s">
        <v>1323</v>
      </c>
      <c r="Q631" s="34">
        <f>SUMIF(Allocation[Delivery ID],Allocation[[#This Row],[Delivery ID]],Allocation[Quantity Processed])</f>
        <v>51000</v>
      </c>
      <c r="R631" s="61">
        <f>Allocation[[#This Row],[Total volume used]]/VLOOKUP(Allocation[[#This Row],[Delivery ID]],Delivery[[Delivery ID]:[Quantity delivered]],3,FALSE)</f>
        <v>1</v>
      </c>
      <c r="S631" s="34">
        <f>Allocation[[#This Row],[Quantity Processed]]/Allocation[[#This Row],[Dilution rate]]</f>
        <v>9659.2000000000007</v>
      </c>
      <c r="T631" s="59">
        <f>SUMIF(Allocation[Delivery ID],Allocation[[#This Row],[Delivery ID]],Allocation[Quantity allocated])/SUMIF(Allocation[Delivery ID],Allocation[[#This Row],[Delivery ID]],Allocation[Volume available (kg)])</f>
        <v>1.0132051459356648</v>
      </c>
      <c r="U631" s="61">
        <f>Allocation[[#This Row],[Total volume used]]/VLOOKUP(Allocation[[#This Row],[Delivery ID]],Delivery[[Delivery ID]:[Quantity delivered]],3,FALSE)</f>
        <v>1</v>
      </c>
      <c r="V631" s="34" t="e">
        <f>VLOOKUP(Allocation[[#This Row],[SAP Contract number]],Shipments[[SAP Contract number]:[Contracted container weight]],2,FALSE)</f>
        <v>#N/A</v>
      </c>
      <c r="W631" s="34" t="e">
        <f>VLOOKUP(Allocation[[#This Row],[SAP Contract number]],Shipments[[SAP Contract number]:[AAA Premium USD]],24,FALSE)</f>
        <v>#N/A</v>
      </c>
      <c r="X631" s="34" t="e">
        <f>VLOOKUP(Allocation[[#This Row],[SAP Contract number]],Shipments[[SAP Contract number]:[RA Premium USD]],25,FALSE)</f>
        <v>#N/A</v>
      </c>
      <c r="Y631" s="38">
        <f>Allocation[[#This Row],[Quantity Processed]]/Allocation[[#This Row],[Quantity allocated]]</f>
        <v>2.500051765193084</v>
      </c>
      <c r="Z631" s="34" t="b">
        <f>Allocation[[#This Row],[Quantity allocated]]&lt;=Allocation[[#This Row],[Quantity Processed]]</f>
        <v>1</v>
      </c>
    </row>
    <row r="632" spans="1:26">
      <c r="A632" s="247" t="s">
        <v>467</v>
      </c>
      <c r="B632" s="160" t="s">
        <v>68</v>
      </c>
      <c r="C632" s="252" t="s">
        <v>624</v>
      </c>
      <c r="D632" s="250">
        <v>10665</v>
      </c>
      <c r="E632" s="160" t="s">
        <v>1237</v>
      </c>
      <c r="F632" s="158">
        <v>43514</v>
      </c>
      <c r="G632" s="162">
        <v>2.5</v>
      </c>
      <c r="H632" s="250">
        <v>4266</v>
      </c>
      <c r="I632" s="160">
        <v>1433475</v>
      </c>
      <c r="J632" s="163">
        <v>19175</v>
      </c>
      <c r="K632" s="158">
        <v>43521</v>
      </c>
      <c r="L632" s="160" t="s">
        <v>1251</v>
      </c>
      <c r="M632" s="160">
        <v>4615516135</v>
      </c>
      <c r="N632" s="158">
        <v>43544</v>
      </c>
      <c r="O632" s="164">
        <v>3.7890999999999999</v>
      </c>
      <c r="P632" s="165" t="s">
        <v>1323</v>
      </c>
      <c r="Q632" s="34">
        <f>SUMIF(Allocation[Delivery ID],Allocation[[#This Row],[Delivery ID]],Allocation[Quantity Processed])</f>
        <v>37920</v>
      </c>
      <c r="R632" s="61">
        <f>Allocation[[#This Row],[Total volume used]]/VLOOKUP(Allocation[[#This Row],[Delivery ID]],Delivery[[Delivery ID]:[Quantity delivered]],3,FALSE)</f>
        <v>1</v>
      </c>
      <c r="S632" s="34">
        <f>Allocation[[#This Row],[Quantity Processed]]/Allocation[[#This Row],[Dilution rate]]</f>
        <v>4266</v>
      </c>
      <c r="T632" s="59">
        <f>SUMIF(Allocation[Delivery ID],Allocation[[#This Row],[Delivery ID]],Allocation[Quantity allocated])/SUMIF(Allocation[Delivery ID],Allocation[[#This Row],[Delivery ID]],Allocation[Volume available (kg)])</f>
        <v>1.0142415705235235</v>
      </c>
      <c r="U632" s="61">
        <f>Allocation[[#This Row],[Total volume used]]/VLOOKUP(Allocation[[#This Row],[Delivery ID]],Delivery[[Delivery ID]:[Quantity delivered]],3,FALSE)</f>
        <v>1</v>
      </c>
      <c r="V632" s="34" t="e">
        <f>VLOOKUP(Allocation[[#This Row],[SAP Contract number]],Shipments[[SAP Contract number]:[Contracted container weight]],2,FALSE)</f>
        <v>#N/A</v>
      </c>
      <c r="W632" s="34" t="e">
        <f>VLOOKUP(Allocation[[#This Row],[SAP Contract number]],Shipments[[SAP Contract number]:[AAA Premium USD]],24,FALSE)</f>
        <v>#N/A</v>
      </c>
      <c r="X632" s="34" t="e">
        <f>VLOOKUP(Allocation[[#This Row],[SAP Contract number]],Shipments[[SAP Contract number]:[RA Premium USD]],25,FALSE)</f>
        <v>#N/A</v>
      </c>
      <c r="Y632" s="38">
        <f>Allocation[[#This Row],[Quantity Processed]]/Allocation[[#This Row],[Quantity allocated]]</f>
        <v>2.5</v>
      </c>
      <c r="Z632" s="34" t="b">
        <f>Allocation[[#This Row],[Quantity allocated]]&lt;=Allocation[[#This Row],[Quantity Processed]]</f>
        <v>1</v>
      </c>
    </row>
    <row r="633" spans="1:26">
      <c r="A633" s="247" t="s">
        <v>467</v>
      </c>
      <c r="B633" s="160" t="s">
        <v>68</v>
      </c>
      <c r="C633" s="252" t="s">
        <v>624</v>
      </c>
      <c r="D633" s="250">
        <v>6888</v>
      </c>
      <c r="E633" s="160" t="s">
        <v>1237</v>
      </c>
      <c r="F633" s="158">
        <v>43514</v>
      </c>
      <c r="G633" s="162">
        <v>2.5</v>
      </c>
      <c r="H633" s="250">
        <v>2755</v>
      </c>
      <c r="I633" s="160">
        <v>1433476</v>
      </c>
      <c r="J633" s="163">
        <v>19175</v>
      </c>
      <c r="K633" s="158">
        <v>43521</v>
      </c>
      <c r="L633" s="160" t="s">
        <v>1252</v>
      </c>
      <c r="M633" s="160">
        <v>4615516135</v>
      </c>
      <c r="N633" s="158">
        <v>43544</v>
      </c>
      <c r="O633" s="164">
        <v>3.7890999999999999</v>
      </c>
      <c r="P633" s="165" t="s">
        <v>1323</v>
      </c>
      <c r="Q633" s="34">
        <f>SUMIF(Allocation[Delivery ID],Allocation[[#This Row],[Delivery ID]],Allocation[Quantity Processed])</f>
        <v>37920</v>
      </c>
      <c r="R633" s="61">
        <f>Allocation[[#This Row],[Total volume used]]/VLOOKUP(Allocation[[#This Row],[Delivery ID]],Delivery[[Delivery ID]:[Quantity delivered]],3,FALSE)</f>
        <v>1</v>
      </c>
      <c r="S633" s="34">
        <f>Allocation[[#This Row],[Quantity Processed]]/Allocation[[#This Row],[Dilution rate]]</f>
        <v>2755.2</v>
      </c>
      <c r="T633" s="59">
        <f>SUMIF(Allocation[Delivery ID],Allocation[[#This Row],[Delivery ID]],Allocation[Quantity allocated])/SUMIF(Allocation[Delivery ID],Allocation[[#This Row],[Delivery ID]],Allocation[Volume available (kg)])</f>
        <v>1.0142415705235235</v>
      </c>
      <c r="U633" s="61">
        <f>Allocation[[#This Row],[Total volume used]]/VLOOKUP(Allocation[[#This Row],[Delivery ID]],Delivery[[Delivery ID]:[Quantity delivered]],3,FALSE)</f>
        <v>1</v>
      </c>
      <c r="V633" s="34" t="e">
        <f>VLOOKUP(Allocation[[#This Row],[SAP Contract number]],Shipments[[SAP Contract number]:[Contracted container weight]],2,FALSE)</f>
        <v>#N/A</v>
      </c>
      <c r="W633" s="34" t="e">
        <f>VLOOKUP(Allocation[[#This Row],[SAP Contract number]],Shipments[[SAP Contract number]:[AAA Premium USD]],24,FALSE)</f>
        <v>#N/A</v>
      </c>
      <c r="X633" s="34" t="e">
        <f>VLOOKUP(Allocation[[#This Row],[SAP Contract number]],Shipments[[SAP Contract number]:[RA Premium USD]],25,FALSE)</f>
        <v>#N/A</v>
      </c>
      <c r="Y633" s="38">
        <f>Allocation[[#This Row],[Quantity Processed]]/Allocation[[#This Row],[Quantity allocated]]</f>
        <v>2.5001814882032667</v>
      </c>
      <c r="Z633" s="34" t="b">
        <f>Allocation[[#This Row],[Quantity allocated]]&lt;=Allocation[[#This Row],[Quantity Processed]]</f>
        <v>1</v>
      </c>
    </row>
    <row r="634" spans="1:26">
      <c r="A634" s="247" t="s">
        <v>467</v>
      </c>
      <c r="B634" s="160" t="s">
        <v>68</v>
      </c>
      <c r="C634" s="252" t="s">
        <v>625</v>
      </c>
      <c r="D634" s="250">
        <v>23600</v>
      </c>
      <c r="E634" s="160" t="s">
        <v>1237</v>
      </c>
      <c r="F634" s="158">
        <v>43514</v>
      </c>
      <c r="G634" s="162">
        <v>2.5</v>
      </c>
      <c r="H634" s="250">
        <v>9440</v>
      </c>
      <c r="I634" s="160">
        <v>1433476</v>
      </c>
      <c r="J634" s="163">
        <v>19175</v>
      </c>
      <c r="K634" s="158">
        <v>43521</v>
      </c>
      <c r="L634" s="160" t="s">
        <v>1252</v>
      </c>
      <c r="M634" s="160">
        <v>4615516135</v>
      </c>
      <c r="N634" s="158">
        <v>43544</v>
      </c>
      <c r="O634" s="164">
        <v>3.7890999999999999</v>
      </c>
      <c r="P634" s="165" t="s">
        <v>1323</v>
      </c>
      <c r="Q634" s="34">
        <f>SUMIF(Allocation[Delivery ID],Allocation[[#This Row],[Delivery ID]],Allocation[Quantity Processed])</f>
        <v>51010</v>
      </c>
      <c r="R634" s="61">
        <f>Allocation[[#This Row],[Total volume used]]/VLOOKUP(Allocation[[#This Row],[Delivery ID]],Delivery[[Delivery ID]:[Quantity delivered]],3,FALSE)</f>
        <v>1</v>
      </c>
      <c r="S634" s="34">
        <f>Allocation[[#This Row],[Quantity Processed]]/Allocation[[#This Row],[Dilution rate]]</f>
        <v>9440</v>
      </c>
      <c r="T634" s="59">
        <f>SUMIF(Allocation[Delivery ID],Allocation[[#This Row],[Delivery ID]],Allocation[Quantity allocated])/SUMIF(Allocation[Delivery ID],Allocation[[#This Row],[Delivery ID]],Allocation[Volume available (kg)])</f>
        <v>1.0158779890354976</v>
      </c>
      <c r="U634" s="61">
        <f>Allocation[[#This Row],[Total volume used]]/VLOOKUP(Allocation[[#This Row],[Delivery ID]],Delivery[[Delivery ID]:[Quantity delivered]],3,FALSE)</f>
        <v>1</v>
      </c>
      <c r="V634" s="34" t="e">
        <f>VLOOKUP(Allocation[[#This Row],[SAP Contract number]],Shipments[[SAP Contract number]:[Contracted container weight]],2,FALSE)</f>
        <v>#N/A</v>
      </c>
      <c r="W634" s="34" t="e">
        <f>VLOOKUP(Allocation[[#This Row],[SAP Contract number]],Shipments[[SAP Contract number]:[AAA Premium USD]],24,FALSE)</f>
        <v>#N/A</v>
      </c>
      <c r="X634" s="34" t="e">
        <f>VLOOKUP(Allocation[[#This Row],[SAP Contract number]],Shipments[[SAP Contract number]:[RA Premium USD]],25,FALSE)</f>
        <v>#N/A</v>
      </c>
      <c r="Y634" s="38">
        <f>Allocation[[#This Row],[Quantity Processed]]/Allocation[[#This Row],[Quantity allocated]]</f>
        <v>2.5</v>
      </c>
      <c r="Z634" s="34" t="b">
        <f>Allocation[[#This Row],[Quantity allocated]]&lt;=Allocation[[#This Row],[Quantity Processed]]</f>
        <v>1</v>
      </c>
    </row>
    <row r="635" spans="1:26">
      <c r="A635" s="247" t="s">
        <v>467</v>
      </c>
      <c r="B635" s="160" t="s">
        <v>68</v>
      </c>
      <c r="C635" s="252" t="s">
        <v>626</v>
      </c>
      <c r="D635" s="250">
        <v>14750</v>
      </c>
      <c r="E635" s="160" t="s">
        <v>1237</v>
      </c>
      <c r="F635" s="158">
        <v>43514</v>
      </c>
      <c r="G635" s="162">
        <v>2.5</v>
      </c>
      <c r="H635" s="250">
        <v>5900</v>
      </c>
      <c r="I635" s="160">
        <v>1433476</v>
      </c>
      <c r="J635" s="163">
        <v>19175</v>
      </c>
      <c r="K635" s="158">
        <v>43521</v>
      </c>
      <c r="L635" s="160" t="s">
        <v>1252</v>
      </c>
      <c r="M635" s="160">
        <v>4615516135</v>
      </c>
      <c r="N635" s="158">
        <v>43544</v>
      </c>
      <c r="O635" s="164">
        <v>3.7890999999999999</v>
      </c>
      <c r="P635" s="165" t="s">
        <v>1323</v>
      </c>
      <c r="Q635" s="34">
        <f>SUMIF(Allocation[Delivery ID],Allocation[[#This Row],[Delivery ID]],Allocation[Quantity Processed])</f>
        <v>33020</v>
      </c>
      <c r="R635" s="61">
        <f>Allocation[[#This Row],[Total volume used]]/VLOOKUP(Allocation[[#This Row],[Delivery ID]],Delivery[[Delivery ID]:[Quantity delivered]],3,FALSE)</f>
        <v>1</v>
      </c>
      <c r="S635" s="34">
        <f>Allocation[[#This Row],[Quantity Processed]]/Allocation[[#This Row],[Dilution rate]]</f>
        <v>5900</v>
      </c>
      <c r="T635" s="59">
        <f>SUMIF(Allocation[Delivery ID],Allocation[[#This Row],[Delivery ID]],Allocation[Quantity allocated])/SUMIF(Allocation[Delivery ID],Allocation[[#This Row],[Delivery ID]],Allocation[Volume available (kg)])</f>
        <v>1.0162208215605302</v>
      </c>
      <c r="U635" s="61">
        <f>Allocation[[#This Row],[Total volume used]]/VLOOKUP(Allocation[[#This Row],[Delivery ID]],Delivery[[Delivery ID]:[Quantity delivered]],3,FALSE)</f>
        <v>1</v>
      </c>
      <c r="V635" s="34" t="e">
        <f>VLOOKUP(Allocation[[#This Row],[SAP Contract number]],Shipments[[SAP Contract number]:[Contracted container weight]],2,FALSE)</f>
        <v>#N/A</v>
      </c>
      <c r="W635" s="34" t="e">
        <f>VLOOKUP(Allocation[[#This Row],[SAP Contract number]],Shipments[[SAP Contract number]:[AAA Premium USD]],24,FALSE)</f>
        <v>#N/A</v>
      </c>
      <c r="X635" s="34" t="e">
        <f>VLOOKUP(Allocation[[#This Row],[SAP Contract number]],Shipments[[SAP Contract number]:[RA Premium USD]],25,FALSE)</f>
        <v>#N/A</v>
      </c>
      <c r="Y635" s="38">
        <f>Allocation[[#This Row],[Quantity Processed]]/Allocation[[#This Row],[Quantity allocated]]</f>
        <v>2.5</v>
      </c>
      <c r="Z635" s="34" t="b">
        <f>Allocation[[#This Row],[Quantity allocated]]&lt;=Allocation[[#This Row],[Quantity Processed]]</f>
        <v>1</v>
      </c>
    </row>
    <row r="636" spans="1:26">
      <c r="A636" s="247" t="s">
        <v>467</v>
      </c>
      <c r="B636" s="160" t="s">
        <v>68</v>
      </c>
      <c r="C636" s="252" t="s">
        <v>627</v>
      </c>
      <c r="D636" s="250">
        <v>2700</v>
      </c>
      <c r="E636" s="160" t="s">
        <v>1237</v>
      </c>
      <c r="F636" s="158">
        <v>43514</v>
      </c>
      <c r="G636" s="162">
        <v>2.5</v>
      </c>
      <c r="H636" s="250">
        <v>1080</v>
      </c>
      <c r="I636" s="160">
        <v>1433476</v>
      </c>
      <c r="J636" s="163">
        <v>19175</v>
      </c>
      <c r="K636" s="158">
        <v>43521</v>
      </c>
      <c r="L636" s="160" t="s">
        <v>1252</v>
      </c>
      <c r="M636" s="160">
        <v>4615516135</v>
      </c>
      <c r="N636" s="158">
        <v>43544</v>
      </c>
      <c r="O636" s="164">
        <v>3.7890999999999999</v>
      </c>
      <c r="P636" s="165" t="s">
        <v>1323</v>
      </c>
      <c r="Q636" s="34">
        <f>SUMIF(Allocation[Delivery ID],Allocation[[#This Row],[Delivery ID]],Allocation[Quantity Processed])</f>
        <v>33000</v>
      </c>
      <c r="R636" s="61">
        <f>Allocation[[#This Row],[Total volume used]]/VLOOKUP(Allocation[[#This Row],[Delivery ID]],Delivery[[Delivery ID]:[Quantity delivered]],3,FALSE)</f>
        <v>1</v>
      </c>
      <c r="S636" s="34">
        <f>Allocation[[#This Row],[Quantity Processed]]/Allocation[[#This Row],[Dilution rate]]</f>
        <v>1080</v>
      </c>
      <c r="T636" s="59">
        <f>SUMIF(Allocation[Delivery ID],Allocation[[#This Row],[Delivery ID]],Allocation[Quantity allocated])/SUMIF(Allocation[Delivery ID],Allocation[[#This Row],[Delivery ID]],Allocation[Volume available (kg)])</f>
        <v>1.0161353455399469</v>
      </c>
      <c r="U636" s="61">
        <f>Allocation[[#This Row],[Total volume used]]/VLOOKUP(Allocation[[#This Row],[Delivery ID]],Delivery[[Delivery ID]:[Quantity delivered]],3,FALSE)</f>
        <v>1</v>
      </c>
      <c r="V636" s="34" t="e">
        <f>VLOOKUP(Allocation[[#This Row],[SAP Contract number]],Shipments[[SAP Contract number]:[Contracted container weight]],2,FALSE)</f>
        <v>#N/A</v>
      </c>
      <c r="W636" s="34" t="e">
        <f>VLOOKUP(Allocation[[#This Row],[SAP Contract number]],Shipments[[SAP Contract number]:[AAA Premium USD]],24,FALSE)</f>
        <v>#N/A</v>
      </c>
      <c r="X636" s="34" t="e">
        <f>VLOOKUP(Allocation[[#This Row],[SAP Contract number]],Shipments[[SAP Contract number]:[RA Premium USD]],25,FALSE)</f>
        <v>#N/A</v>
      </c>
      <c r="Y636" s="38">
        <f>Allocation[[#This Row],[Quantity Processed]]/Allocation[[#This Row],[Quantity allocated]]</f>
        <v>2.5</v>
      </c>
      <c r="Z636" s="34" t="b">
        <f>Allocation[[#This Row],[Quantity allocated]]&lt;=Allocation[[#This Row],[Quantity Processed]]</f>
        <v>1</v>
      </c>
    </row>
    <row r="637" spans="1:26">
      <c r="A637" s="247" t="s">
        <v>467</v>
      </c>
      <c r="B637" s="160" t="s">
        <v>68</v>
      </c>
      <c r="C637" s="252" t="s">
        <v>627</v>
      </c>
      <c r="D637" s="250">
        <v>12050</v>
      </c>
      <c r="E637" s="160" t="s">
        <v>1237</v>
      </c>
      <c r="F637" s="158">
        <v>43514</v>
      </c>
      <c r="G637" s="162">
        <v>2.5</v>
      </c>
      <c r="H637" s="250">
        <v>4820</v>
      </c>
      <c r="I637" s="160">
        <v>1433477</v>
      </c>
      <c r="J637" s="163">
        <v>19175</v>
      </c>
      <c r="K637" s="158">
        <v>43521</v>
      </c>
      <c r="L637" s="160" t="s">
        <v>1253</v>
      </c>
      <c r="M637" s="160">
        <v>4615516135</v>
      </c>
      <c r="N637" s="158">
        <v>43544</v>
      </c>
      <c r="O637" s="164">
        <v>3.7890999999999999</v>
      </c>
      <c r="P637" s="165" t="s">
        <v>1323</v>
      </c>
      <c r="Q637" s="34">
        <f>SUMIF(Allocation[Delivery ID],Allocation[[#This Row],[Delivery ID]],Allocation[Quantity Processed])</f>
        <v>33000</v>
      </c>
      <c r="R637" s="61">
        <f>Allocation[[#This Row],[Total volume used]]/VLOOKUP(Allocation[[#This Row],[Delivery ID]],Delivery[[Delivery ID]:[Quantity delivered]],3,FALSE)</f>
        <v>1</v>
      </c>
      <c r="S637" s="34">
        <f>Allocation[[#This Row],[Quantity Processed]]/Allocation[[#This Row],[Dilution rate]]</f>
        <v>4820</v>
      </c>
      <c r="T637" s="59">
        <f>SUMIF(Allocation[Delivery ID],Allocation[[#This Row],[Delivery ID]],Allocation[Quantity allocated])/SUMIF(Allocation[Delivery ID],Allocation[[#This Row],[Delivery ID]],Allocation[Volume available (kg)])</f>
        <v>1.0161353455399469</v>
      </c>
      <c r="U637" s="61">
        <f>Allocation[[#This Row],[Total volume used]]/VLOOKUP(Allocation[[#This Row],[Delivery ID]],Delivery[[Delivery ID]:[Quantity delivered]],3,FALSE)</f>
        <v>1</v>
      </c>
      <c r="V637" s="34" t="e">
        <f>VLOOKUP(Allocation[[#This Row],[SAP Contract number]],Shipments[[SAP Contract number]:[Contracted container weight]],2,FALSE)</f>
        <v>#N/A</v>
      </c>
      <c r="W637" s="34" t="e">
        <f>VLOOKUP(Allocation[[#This Row],[SAP Contract number]],Shipments[[SAP Contract number]:[AAA Premium USD]],24,FALSE)</f>
        <v>#N/A</v>
      </c>
      <c r="X637" s="34" t="e">
        <f>VLOOKUP(Allocation[[#This Row],[SAP Contract number]],Shipments[[SAP Contract number]:[RA Premium USD]],25,FALSE)</f>
        <v>#N/A</v>
      </c>
      <c r="Y637" s="38">
        <f>Allocation[[#This Row],[Quantity Processed]]/Allocation[[#This Row],[Quantity allocated]]</f>
        <v>2.5</v>
      </c>
      <c r="Z637" s="34" t="b">
        <f>Allocation[[#This Row],[Quantity allocated]]&lt;=Allocation[[#This Row],[Quantity Processed]]</f>
        <v>1</v>
      </c>
    </row>
    <row r="638" spans="1:26">
      <c r="A638" s="247" t="s">
        <v>467</v>
      </c>
      <c r="B638" s="160" t="s">
        <v>68</v>
      </c>
      <c r="C638" s="252" t="s">
        <v>628</v>
      </c>
      <c r="D638" s="250">
        <v>14750</v>
      </c>
      <c r="E638" s="160" t="s">
        <v>1237</v>
      </c>
      <c r="F638" s="158">
        <v>43514</v>
      </c>
      <c r="G638" s="162">
        <v>2.5</v>
      </c>
      <c r="H638" s="250">
        <v>5900</v>
      </c>
      <c r="I638" s="160">
        <v>1433477</v>
      </c>
      <c r="J638" s="163">
        <v>19175</v>
      </c>
      <c r="K638" s="158">
        <v>43521</v>
      </c>
      <c r="L638" s="160" t="s">
        <v>1253</v>
      </c>
      <c r="M638" s="160">
        <v>4615516135</v>
      </c>
      <c r="N638" s="158">
        <v>43544</v>
      </c>
      <c r="O638" s="164">
        <v>3.7890999999999999</v>
      </c>
      <c r="P638" s="165" t="s">
        <v>1323</v>
      </c>
      <c r="Q638" s="34">
        <f>SUMIF(Allocation[Delivery ID],Allocation[[#This Row],[Delivery ID]],Allocation[Quantity Processed])</f>
        <v>33020</v>
      </c>
      <c r="R638" s="61">
        <f>Allocation[[#This Row],[Total volume used]]/VLOOKUP(Allocation[[#This Row],[Delivery ID]],Delivery[[Delivery ID]:[Quantity delivered]],3,FALSE)</f>
        <v>1</v>
      </c>
      <c r="S638" s="34">
        <f>Allocation[[#This Row],[Quantity Processed]]/Allocation[[#This Row],[Dilution rate]]</f>
        <v>5900</v>
      </c>
      <c r="T638" s="59">
        <f>SUMIF(Allocation[Delivery ID],Allocation[[#This Row],[Delivery ID]],Allocation[Quantity allocated])/SUMIF(Allocation[Delivery ID],Allocation[[#This Row],[Delivery ID]],Allocation[Volume available (kg)])</f>
        <v>1.0162208215605302</v>
      </c>
      <c r="U638" s="61">
        <f>Allocation[[#This Row],[Total volume used]]/VLOOKUP(Allocation[[#This Row],[Delivery ID]],Delivery[[Delivery ID]:[Quantity delivered]],3,FALSE)</f>
        <v>1</v>
      </c>
      <c r="V638" s="34" t="e">
        <f>VLOOKUP(Allocation[[#This Row],[SAP Contract number]],Shipments[[SAP Contract number]:[Contracted container weight]],2,FALSE)</f>
        <v>#N/A</v>
      </c>
      <c r="W638" s="34" t="e">
        <f>VLOOKUP(Allocation[[#This Row],[SAP Contract number]],Shipments[[SAP Contract number]:[AAA Premium USD]],24,FALSE)</f>
        <v>#N/A</v>
      </c>
      <c r="X638" s="34" t="e">
        <f>VLOOKUP(Allocation[[#This Row],[SAP Contract number]],Shipments[[SAP Contract number]:[RA Premium USD]],25,FALSE)</f>
        <v>#N/A</v>
      </c>
      <c r="Y638" s="38">
        <f>Allocation[[#This Row],[Quantity Processed]]/Allocation[[#This Row],[Quantity allocated]]</f>
        <v>2.5</v>
      </c>
      <c r="Z638" s="34" t="b">
        <f>Allocation[[#This Row],[Quantity allocated]]&lt;=Allocation[[#This Row],[Quantity Processed]]</f>
        <v>1</v>
      </c>
    </row>
    <row r="639" spans="1:26">
      <c r="A639" s="247" t="s">
        <v>467</v>
      </c>
      <c r="B639" s="160" t="s">
        <v>68</v>
      </c>
      <c r="C639" s="252" t="s">
        <v>629</v>
      </c>
      <c r="D639" s="250">
        <v>17258</v>
      </c>
      <c r="E639" s="160" t="s">
        <v>1237</v>
      </c>
      <c r="F639" s="158">
        <v>43514</v>
      </c>
      <c r="G639" s="162">
        <v>2.5</v>
      </c>
      <c r="H639" s="250">
        <v>6903</v>
      </c>
      <c r="I639" s="160">
        <v>1433477</v>
      </c>
      <c r="J639" s="163">
        <v>19175</v>
      </c>
      <c r="K639" s="158">
        <v>43521</v>
      </c>
      <c r="L639" s="160" t="s">
        <v>1253</v>
      </c>
      <c r="M639" s="160">
        <v>4615516135</v>
      </c>
      <c r="N639" s="158">
        <v>43544</v>
      </c>
      <c r="O639" s="164">
        <v>3.7890999999999999</v>
      </c>
      <c r="P639" s="165" t="s">
        <v>1323</v>
      </c>
      <c r="Q639" s="34">
        <f>SUMIF(Allocation[Delivery ID],Allocation[[#This Row],[Delivery ID]],Allocation[Quantity Processed])</f>
        <v>37180</v>
      </c>
      <c r="R639" s="61">
        <f>Allocation[[#This Row],[Total volume used]]/VLOOKUP(Allocation[[#This Row],[Delivery ID]],Delivery[[Delivery ID]:[Quantity delivered]],3,FALSE)</f>
        <v>1</v>
      </c>
      <c r="S639" s="34">
        <f>Allocation[[#This Row],[Quantity Processed]]/Allocation[[#This Row],[Dilution rate]]</f>
        <v>6903.2</v>
      </c>
      <c r="T639" s="59">
        <f>SUMIF(Allocation[Delivery ID],Allocation[[#This Row],[Delivery ID]],Allocation[Quantity allocated])/SUMIF(Allocation[Delivery ID],Allocation[[#This Row],[Delivery ID]],Allocation[Volume available (kg)])</f>
        <v>1.0143554351267257</v>
      </c>
      <c r="U639" s="61">
        <f>Allocation[[#This Row],[Total volume used]]/VLOOKUP(Allocation[[#This Row],[Delivery ID]],Delivery[[Delivery ID]:[Quantity delivered]],3,FALSE)</f>
        <v>1</v>
      </c>
      <c r="V639" s="34" t="e">
        <f>VLOOKUP(Allocation[[#This Row],[SAP Contract number]],Shipments[[SAP Contract number]:[Contracted container weight]],2,FALSE)</f>
        <v>#N/A</v>
      </c>
      <c r="W639" s="34" t="e">
        <f>VLOOKUP(Allocation[[#This Row],[SAP Contract number]],Shipments[[SAP Contract number]:[AAA Premium USD]],24,FALSE)</f>
        <v>#N/A</v>
      </c>
      <c r="X639" s="34" t="e">
        <f>VLOOKUP(Allocation[[#This Row],[SAP Contract number]],Shipments[[SAP Contract number]:[RA Premium USD]],25,FALSE)</f>
        <v>#N/A</v>
      </c>
      <c r="Y639" s="38">
        <f>Allocation[[#This Row],[Quantity Processed]]/Allocation[[#This Row],[Quantity allocated]]</f>
        <v>2.5000724322758221</v>
      </c>
      <c r="Z639" s="34" t="b">
        <f>Allocation[[#This Row],[Quantity allocated]]&lt;=Allocation[[#This Row],[Quantity Processed]]</f>
        <v>1</v>
      </c>
    </row>
    <row r="640" spans="1:26">
      <c r="A640" s="247" t="s">
        <v>467</v>
      </c>
      <c r="B640" s="160" t="s">
        <v>68</v>
      </c>
      <c r="C640" s="252" t="s">
        <v>630</v>
      </c>
      <c r="D640" s="250">
        <v>3880</v>
      </c>
      <c r="E640" s="160" t="s">
        <v>1237</v>
      </c>
      <c r="F640" s="158">
        <v>43514</v>
      </c>
      <c r="G640" s="162">
        <v>2.5</v>
      </c>
      <c r="H640" s="250">
        <v>1552</v>
      </c>
      <c r="I640" s="160">
        <v>1433477</v>
      </c>
      <c r="J640" s="163">
        <v>19175</v>
      </c>
      <c r="K640" s="158">
        <v>43521</v>
      </c>
      <c r="L640" s="160" t="s">
        <v>1253</v>
      </c>
      <c r="M640" s="160">
        <v>4615516135</v>
      </c>
      <c r="N640" s="158">
        <v>43544</v>
      </c>
      <c r="O640" s="164">
        <v>3.7890999999999999</v>
      </c>
      <c r="P640" s="165" t="s">
        <v>1323</v>
      </c>
      <c r="Q640" s="34">
        <f>SUMIF(Allocation[Delivery ID],Allocation[[#This Row],[Delivery ID]],Allocation[Quantity Processed])</f>
        <v>37170</v>
      </c>
      <c r="R640" s="61">
        <f>Allocation[[#This Row],[Total volume used]]/VLOOKUP(Allocation[[#This Row],[Delivery ID]],Delivery[[Delivery ID]:[Quantity delivered]],3,FALSE)</f>
        <v>1</v>
      </c>
      <c r="S640" s="34">
        <f>Allocation[[#This Row],[Quantity Processed]]/Allocation[[#This Row],[Dilution rate]]</f>
        <v>1552</v>
      </c>
      <c r="T640" s="59">
        <f>SUMIF(Allocation[Delivery ID],Allocation[[#This Row],[Delivery ID]],Allocation[Quantity allocated])/SUMIF(Allocation[Delivery ID],Allocation[[#This Row],[Delivery ID]],Allocation[Volume available (kg)])</f>
        <v>1.0235087220833625</v>
      </c>
      <c r="U640" s="61">
        <f>Allocation[[#This Row],[Total volume used]]/VLOOKUP(Allocation[[#This Row],[Delivery ID]],Delivery[[Delivery ID]:[Quantity delivered]],3,FALSE)</f>
        <v>1</v>
      </c>
      <c r="V640" s="34" t="e">
        <f>VLOOKUP(Allocation[[#This Row],[SAP Contract number]],Shipments[[SAP Contract number]:[Contracted container weight]],2,FALSE)</f>
        <v>#N/A</v>
      </c>
      <c r="W640" s="34" t="e">
        <f>VLOOKUP(Allocation[[#This Row],[SAP Contract number]],Shipments[[SAP Contract number]:[AAA Premium USD]],24,FALSE)</f>
        <v>#N/A</v>
      </c>
      <c r="X640" s="34" t="e">
        <f>VLOOKUP(Allocation[[#This Row],[SAP Contract number]],Shipments[[SAP Contract number]:[RA Premium USD]],25,FALSE)</f>
        <v>#N/A</v>
      </c>
      <c r="Y640" s="38">
        <f>Allocation[[#This Row],[Quantity Processed]]/Allocation[[#This Row],[Quantity allocated]]</f>
        <v>2.5</v>
      </c>
      <c r="Z640" s="34" t="b">
        <f>Allocation[[#This Row],[Quantity allocated]]&lt;=Allocation[[#This Row],[Quantity Processed]]</f>
        <v>1</v>
      </c>
    </row>
    <row r="641" spans="1:26">
      <c r="A641" s="247" t="s">
        <v>467</v>
      </c>
      <c r="B641" s="160" t="s">
        <v>68</v>
      </c>
      <c r="C641" s="252" t="s">
        <v>630</v>
      </c>
      <c r="D641" s="250">
        <v>10870</v>
      </c>
      <c r="E641" s="160" t="s">
        <v>1237</v>
      </c>
      <c r="F641" s="158">
        <v>43514</v>
      </c>
      <c r="G641" s="162">
        <v>2.5</v>
      </c>
      <c r="H641" s="250">
        <v>4348</v>
      </c>
      <c r="I641" s="160">
        <v>1433478</v>
      </c>
      <c r="J641" s="163">
        <v>19175</v>
      </c>
      <c r="K641" s="158">
        <v>43521</v>
      </c>
      <c r="L641" s="160" t="s">
        <v>1254</v>
      </c>
      <c r="M641" s="160">
        <v>4615516135</v>
      </c>
      <c r="N641" s="158">
        <v>43544</v>
      </c>
      <c r="O641" s="164">
        <v>3.7890999999999999</v>
      </c>
      <c r="P641" s="165" t="s">
        <v>1323</v>
      </c>
      <c r="Q641" s="34">
        <f>SUMIF(Allocation[Delivery ID],Allocation[[#This Row],[Delivery ID]],Allocation[Quantity Processed])</f>
        <v>37170</v>
      </c>
      <c r="R641" s="61">
        <f>Allocation[[#This Row],[Total volume used]]/VLOOKUP(Allocation[[#This Row],[Delivery ID]],Delivery[[Delivery ID]:[Quantity delivered]],3,FALSE)</f>
        <v>1</v>
      </c>
      <c r="S641" s="34">
        <f>Allocation[[#This Row],[Quantity Processed]]/Allocation[[#This Row],[Dilution rate]]</f>
        <v>4348</v>
      </c>
      <c r="T641" s="59">
        <f>SUMIF(Allocation[Delivery ID],Allocation[[#This Row],[Delivery ID]],Allocation[Quantity allocated])/SUMIF(Allocation[Delivery ID],Allocation[[#This Row],[Delivery ID]],Allocation[Volume available (kg)])</f>
        <v>1.0235087220833625</v>
      </c>
      <c r="U641" s="61">
        <f>Allocation[[#This Row],[Total volume used]]/VLOOKUP(Allocation[[#This Row],[Delivery ID]],Delivery[[Delivery ID]:[Quantity delivered]],3,FALSE)</f>
        <v>1</v>
      </c>
      <c r="V641" s="34" t="e">
        <f>VLOOKUP(Allocation[[#This Row],[SAP Contract number]],Shipments[[SAP Contract number]:[Contracted container weight]],2,FALSE)</f>
        <v>#N/A</v>
      </c>
      <c r="W641" s="34" t="e">
        <f>VLOOKUP(Allocation[[#This Row],[SAP Contract number]],Shipments[[SAP Contract number]:[AAA Premium USD]],24,FALSE)</f>
        <v>#N/A</v>
      </c>
      <c r="X641" s="34" t="e">
        <f>VLOOKUP(Allocation[[#This Row],[SAP Contract number]],Shipments[[SAP Contract number]:[RA Premium USD]],25,FALSE)</f>
        <v>#N/A</v>
      </c>
      <c r="Y641" s="38">
        <f>Allocation[[#This Row],[Quantity Processed]]/Allocation[[#This Row],[Quantity allocated]]</f>
        <v>2.5</v>
      </c>
      <c r="Z641" s="34" t="b">
        <f>Allocation[[#This Row],[Quantity allocated]]&lt;=Allocation[[#This Row],[Quantity Processed]]</f>
        <v>1</v>
      </c>
    </row>
    <row r="642" spans="1:26">
      <c r="A642" s="247" t="s">
        <v>467</v>
      </c>
      <c r="B642" s="160" t="s">
        <v>68</v>
      </c>
      <c r="C642" s="252" t="s">
        <v>631</v>
      </c>
      <c r="D642" s="250">
        <v>16225</v>
      </c>
      <c r="E642" s="160" t="s">
        <v>1237</v>
      </c>
      <c r="F642" s="158">
        <v>43514</v>
      </c>
      <c r="G642" s="162">
        <v>2.5</v>
      </c>
      <c r="H642" s="250">
        <v>6490</v>
      </c>
      <c r="I642" s="160">
        <v>1433478</v>
      </c>
      <c r="J642" s="163">
        <v>19175</v>
      </c>
      <c r="K642" s="158">
        <v>43521</v>
      </c>
      <c r="L642" s="160" t="s">
        <v>1254</v>
      </c>
      <c r="M642" s="160">
        <v>4615516135</v>
      </c>
      <c r="N642" s="158">
        <v>43544</v>
      </c>
      <c r="O642" s="164">
        <v>3.7890999999999999</v>
      </c>
      <c r="P642" s="165" t="s">
        <v>1323</v>
      </c>
      <c r="Q642" s="34">
        <f>SUMIF(Allocation[Delivery ID],Allocation[[#This Row],[Delivery ID]],Allocation[Quantity Processed])</f>
        <v>49860</v>
      </c>
      <c r="R642" s="61">
        <f>Allocation[[#This Row],[Total volume used]]/VLOOKUP(Allocation[[#This Row],[Delivery ID]],Delivery[[Delivery ID]:[Quantity delivered]],3,FALSE)</f>
        <v>1</v>
      </c>
      <c r="S642" s="34">
        <f>Allocation[[#This Row],[Quantity Processed]]/Allocation[[#This Row],[Dilution rate]]</f>
        <v>6490</v>
      </c>
      <c r="T642" s="59">
        <f>SUMIF(Allocation[Delivery ID],Allocation[[#This Row],[Delivery ID]],Allocation[Quantity allocated])/SUMIF(Allocation[Delivery ID],Allocation[[#This Row],[Delivery ID]],Allocation[Volume available (kg)])</f>
        <v>1.0206100407433714</v>
      </c>
      <c r="U642" s="61">
        <f>Allocation[[#This Row],[Total volume used]]/VLOOKUP(Allocation[[#This Row],[Delivery ID]],Delivery[[Delivery ID]:[Quantity delivered]],3,FALSE)</f>
        <v>1</v>
      </c>
      <c r="V642" s="34" t="e">
        <f>VLOOKUP(Allocation[[#This Row],[SAP Contract number]],Shipments[[SAP Contract number]:[Contracted container weight]],2,FALSE)</f>
        <v>#N/A</v>
      </c>
      <c r="W642" s="34" t="e">
        <f>VLOOKUP(Allocation[[#This Row],[SAP Contract number]],Shipments[[SAP Contract number]:[AAA Premium USD]],24,FALSE)</f>
        <v>#N/A</v>
      </c>
      <c r="X642" s="34" t="e">
        <f>VLOOKUP(Allocation[[#This Row],[SAP Contract number]],Shipments[[SAP Contract number]:[RA Premium USD]],25,FALSE)</f>
        <v>#N/A</v>
      </c>
      <c r="Y642" s="38">
        <f>Allocation[[#This Row],[Quantity Processed]]/Allocation[[#This Row],[Quantity allocated]]</f>
        <v>2.5</v>
      </c>
      <c r="Z642" s="34" t="b">
        <f>Allocation[[#This Row],[Quantity allocated]]&lt;=Allocation[[#This Row],[Quantity Processed]]</f>
        <v>1</v>
      </c>
    </row>
    <row r="643" spans="1:26">
      <c r="A643" s="247" t="s">
        <v>467</v>
      </c>
      <c r="B643" s="160" t="s">
        <v>68</v>
      </c>
      <c r="C643" s="252" t="s">
        <v>640</v>
      </c>
      <c r="D643" s="250">
        <v>1</v>
      </c>
      <c r="E643" s="160" t="s">
        <v>1237</v>
      </c>
      <c r="F643" s="158">
        <v>43514</v>
      </c>
      <c r="G643" s="162">
        <v>2.5</v>
      </c>
      <c r="H643" s="250">
        <v>0.33</v>
      </c>
      <c r="I643" s="160">
        <v>1433478</v>
      </c>
      <c r="J643" s="163">
        <v>19175</v>
      </c>
      <c r="K643" s="158">
        <v>43521</v>
      </c>
      <c r="L643" s="160" t="s">
        <v>1254</v>
      </c>
      <c r="M643" s="160">
        <v>4615516135</v>
      </c>
      <c r="N643" s="158">
        <v>43544</v>
      </c>
      <c r="O643" s="164">
        <v>3.7890999999999999</v>
      </c>
      <c r="P643" s="165" t="s">
        <v>1323</v>
      </c>
      <c r="Q643" s="34">
        <f>SUMIF(Allocation[Delivery ID],Allocation[[#This Row],[Delivery ID]],Allocation[Quantity Processed])</f>
        <v>2584</v>
      </c>
      <c r="R643" s="61">
        <f>Allocation[[#This Row],[Total volume used]]/VLOOKUP(Allocation[[#This Row],[Delivery ID]],Delivery[[Delivery ID]:[Quantity delivered]],3,FALSE)</f>
        <v>8.5280528052805282E-2</v>
      </c>
      <c r="S643" s="34">
        <f>Allocation[[#This Row],[Quantity Processed]]/Allocation[[#This Row],[Dilution rate]]</f>
        <v>0.4</v>
      </c>
      <c r="T643" s="59">
        <f>SUMIF(Allocation[Delivery ID],Allocation[[#This Row],[Delivery ID]],Allocation[Quantity allocated])/SUMIF(Allocation[Delivery ID],Allocation[[#This Row],[Delivery ID]],Allocation[Volume available (kg)])</f>
        <v>0.87908889191586337</v>
      </c>
      <c r="U643" s="61">
        <f>Allocation[[#This Row],[Total volume used]]/VLOOKUP(Allocation[[#This Row],[Delivery ID]],Delivery[[Delivery ID]:[Quantity delivered]],3,FALSE)</f>
        <v>8.5280528052805282E-2</v>
      </c>
      <c r="V643" s="34" t="e">
        <f>VLOOKUP(Allocation[[#This Row],[SAP Contract number]],Shipments[[SAP Contract number]:[Contracted container weight]],2,FALSE)</f>
        <v>#N/A</v>
      </c>
      <c r="W643" s="34" t="e">
        <f>VLOOKUP(Allocation[[#This Row],[SAP Contract number]],Shipments[[SAP Contract number]:[AAA Premium USD]],24,FALSE)</f>
        <v>#N/A</v>
      </c>
      <c r="X643" s="34" t="e">
        <f>VLOOKUP(Allocation[[#This Row],[SAP Contract number]],Shipments[[SAP Contract number]:[RA Premium USD]],25,FALSE)</f>
        <v>#N/A</v>
      </c>
      <c r="Y643" s="38">
        <f>Allocation[[#This Row],[Quantity Processed]]/Allocation[[#This Row],[Quantity allocated]]</f>
        <v>3.0303030303030303</v>
      </c>
      <c r="Z643" s="34" t="b">
        <f>Allocation[[#This Row],[Quantity allocated]]&lt;=Allocation[[#This Row],[Quantity Processed]]</f>
        <v>1</v>
      </c>
    </row>
    <row r="644" spans="1:26">
      <c r="A644" s="247" t="s">
        <v>467</v>
      </c>
      <c r="B644" s="160" t="s">
        <v>68</v>
      </c>
      <c r="C644" s="252" t="s">
        <v>649</v>
      </c>
      <c r="D644" s="250">
        <v>1</v>
      </c>
      <c r="E644" s="160" t="s">
        <v>1237</v>
      </c>
      <c r="F644" s="158">
        <v>43514</v>
      </c>
      <c r="G644" s="162">
        <v>2.5</v>
      </c>
      <c r="H644" s="250">
        <v>0.33</v>
      </c>
      <c r="I644" s="160">
        <v>1433478</v>
      </c>
      <c r="J644" s="163">
        <v>19175</v>
      </c>
      <c r="K644" s="158">
        <v>43521</v>
      </c>
      <c r="L644" s="160" t="s">
        <v>1254</v>
      </c>
      <c r="M644" s="160">
        <v>4615516135</v>
      </c>
      <c r="N644" s="158">
        <v>43544</v>
      </c>
      <c r="O644" s="164">
        <v>3.7890999999999999</v>
      </c>
      <c r="P644" s="165" t="s">
        <v>1323</v>
      </c>
      <c r="Q644" s="34">
        <f>SUMIF(Allocation[Delivery ID],Allocation[[#This Row],[Delivery ID]],Allocation[Quantity Processed])</f>
        <v>598</v>
      </c>
      <c r="R644" s="61">
        <f>Allocation[[#This Row],[Total volume used]]/VLOOKUP(Allocation[[#This Row],[Delivery ID]],Delivery[[Delivery ID]:[Quantity delivered]],3,FALSE)</f>
        <v>1.9735973597359735E-2</v>
      </c>
      <c r="S644" s="34">
        <f>Allocation[[#This Row],[Quantity Processed]]/Allocation[[#This Row],[Dilution rate]]</f>
        <v>0.4</v>
      </c>
      <c r="T644" s="59">
        <f>SUMIF(Allocation[Delivery ID],Allocation[[#This Row],[Delivery ID]],Allocation[Quantity allocated])/SUMIF(Allocation[Delivery ID],Allocation[[#This Row],[Delivery ID]],Allocation[Volume available (kg)])</f>
        <v>0.87840437198665278</v>
      </c>
      <c r="U644" s="61">
        <f>Allocation[[#This Row],[Total volume used]]/VLOOKUP(Allocation[[#This Row],[Delivery ID]],Delivery[[Delivery ID]:[Quantity delivered]],3,FALSE)</f>
        <v>1.9735973597359735E-2</v>
      </c>
      <c r="V644" s="34" t="e">
        <f>VLOOKUP(Allocation[[#This Row],[SAP Contract number]],Shipments[[SAP Contract number]:[Contracted container weight]],2,FALSE)</f>
        <v>#N/A</v>
      </c>
      <c r="W644" s="34" t="e">
        <f>VLOOKUP(Allocation[[#This Row],[SAP Contract number]],Shipments[[SAP Contract number]:[AAA Premium USD]],24,FALSE)</f>
        <v>#N/A</v>
      </c>
      <c r="X644" s="34" t="e">
        <f>VLOOKUP(Allocation[[#This Row],[SAP Contract number]],Shipments[[SAP Contract number]:[RA Premium USD]],25,FALSE)</f>
        <v>#N/A</v>
      </c>
      <c r="Y644" s="38">
        <f>Allocation[[#This Row],[Quantity Processed]]/Allocation[[#This Row],[Quantity allocated]]</f>
        <v>3.0303030303030303</v>
      </c>
      <c r="Z644" s="34" t="b">
        <f>Allocation[[#This Row],[Quantity allocated]]&lt;=Allocation[[#This Row],[Quantity Processed]]</f>
        <v>1</v>
      </c>
    </row>
    <row r="645" spans="1:26">
      <c r="A645" s="247" t="s">
        <v>467</v>
      </c>
      <c r="B645" s="160" t="s">
        <v>68</v>
      </c>
      <c r="C645" s="252" t="s">
        <v>651</v>
      </c>
      <c r="D645" s="250">
        <v>128</v>
      </c>
      <c r="E645" s="160" t="s">
        <v>1237</v>
      </c>
      <c r="F645" s="158">
        <v>43514</v>
      </c>
      <c r="G645" s="162">
        <v>2.5</v>
      </c>
      <c r="H645" s="250">
        <v>59</v>
      </c>
      <c r="I645" s="160">
        <v>1433478</v>
      </c>
      <c r="J645" s="163">
        <v>19175</v>
      </c>
      <c r="K645" s="158">
        <v>43521</v>
      </c>
      <c r="L645" s="160" t="s">
        <v>1254</v>
      </c>
      <c r="M645" s="160">
        <v>4615516135</v>
      </c>
      <c r="N645" s="158">
        <v>43544</v>
      </c>
      <c r="O645" s="164">
        <v>3.7890999999999999</v>
      </c>
      <c r="P645" s="165" t="s">
        <v>1323</v>
      </c>
      <c r="Q645" s="34">
        <f>SUMIF(Allocation[Delivery ID],Allocation[[#This Row],[Delivery ID]],Allocation[Quantity Processed])</f>
        <v>517</v>
      </c>
      <c r="R645" s="61">
        <f>Allocation[[#This Row],[Total volume used]]/VLOOKUP(Allocation[[#This Row],[Delivery ID]],Delivery[[Delivery ID]:[Quantity delivered]],3,FALSE)</f>
        <v>1.7096560846560846E-2</v>
      </c>
      <c r="S645" s="34">
        <f>Allocation[[#This Row],[Quantity Processed]]/Allocation[[#This Row],[Dilution rate]]</f>
        <v>51.2</v>
      </c>
      <c r="T645" s="59">
        <f>SUMIF(Allocation[Delivery ID],Allocation[[#This Row],[Delivery ID]],Allocation[Quantity allocated])/SUMIF(Allocation[Delivery ID],Allocation[[#This Row],[Delivery ID]],Allocation[Volume available (kg)])</f>
        <v>1.2937278299716521</v>
      </c>
      <c r="U645" s="61">
        <f>Allocation[[#This Row],[Total volume used]]/VLOOKUP(Allocation[[#This Row],[Delivery ID]],Delivery[[Delivery ID]:[Quantity delivered]],3,FALSE)</f>
        <v>1.7096560846560846E-2</v>
      </c>
      <c r="V645" s="34" t="e">
        <f>VLOOKUP(Allocation[[#This Row],[SAP Contract number]],Shipments[[SAP Contract number]:[Contracted container weight]],2,FALSE)</f>
        <v>#N/A</v>
      </c>
      <c r="W645" s="34" t="e">
        <f>VLOOKUP(Allocation[[#This Row],[SAP Contract number]],Shipments[[SAP Contract number]:[AAA Premium USD]],24,FALSE)</f>
        <v>#N/A</v>
      </c>
      <c r="X645" s="34" t="e">
        <f>VLOOKUP(Allocation[[#This Row],[SAP Contract number]],Shipments[[SAP Contract number]:[RA Premium USD]],25,FALSE)</f>
        <v>#N/A</v>
      </c>
      <c r="Y645" s="38">
        <f>Allocation[[#This Row],[Quantity Processed]]/Allocation[[#This Row],[Quantity allocated]]</f>
        <v>2.1694915254237288</v>
      </c>
      <c r="Z645" s="34" t="b">
        <f>Allocation[[#This Row],[Quantity allocated]]&lt;=Allocation[[#This Row],[Quantity Processed]]</f>
        <v>1</v>
      </c>
    </row>
    <row r="646" spans="1:26">
      <c r="A646" s="247" t="s">
        <v>467</v>
      </c>
      <c r="B646" s="160" t="s">
        <v>68</v>
      </c>
      <c r="C646" s="252" t="s">
        <v>652</v>
      </c>
      <c r="D646" s="250">
        <v>128</v>
      </c>
      <c r="E646" s="160" t="s">
        <v>1237</v>
      </c>
      <c r="F646" s="158">
        <v>43514</v>
      </c>
      <c r="G646" s="162">
        <v>2.5</v>
      </c>
      <c r="H646" s="250">
        <v>59</v>
      </c>
      <c r="I646" s="160">
        <v>1433478</v>
      </c>
      <c r="J646" s="163">
        <v>19175</v>
      </c>
      <c r="K646" s="158">
        <v>43521</v>
      </c>
      <c r="L646" s="160" t="s">
        <v>1254</v>
      </c>
      <c r="M646" s="160">
        <v>4615516135</v>
      </c>
      <c r="N646" s="158">
        <v>43544</v>
      </c>
      <c r="O646" s="164">
        <v>3.7890999999999999</v>
      </c>
      <c r="P646" s="165" t="s">
        <v>1323</v>
      </c>
      <c r="Q646" s="34">
        <f>SUMIF(Allocation[Delivery ID],Allocation[[#This Row],[Delivery ID]],Allocation[Quantity Processed])</f>
        <v>517</v>
      </c>
      <c r="R646" s="61">
        <f>Allocation[[#This Row],[Total volume used]]/VLOOKUP(Allocation[[#This Row],[Delivery ID]],Delivery[[Delivery ID]:[Quantity delivered]],3,FALSE)</f>
        <v>1.7096560846560846E-2</v>
      </c>
      <c r="S646" s="34">
        <f>Allocation[[#This Row],[Quantity Processed]]/Allocation[[#This Row],[Dilution rate]]</f>
        <v>51.2</v>
      </c>
      <c r="T646" s="59">
        <f>SUMIF(Allocation[Delivery ID],Allocation[[#This Row],[Delivery ID]],Allocation[Quantity allocated])/SUMIF(Allocation[Delivery ID],Allocation[[#This Row],[Delivery ID]],Allocation[Volume available (kg)])</f>
        <v>1.2937278299716521</v>
      </c>
      <c r="U646" s="61">
        <f>Allocation[[#This Row],[Total volume used]]/VLOOKUP(Allocation[[#This Row],[Delivery ID]],Delivery[[Delivery ID]:[Quantity delivered]],3,FALSE)</f>
        <v>1.7096560846560846E-2</v>
      </c>
      <c r="V646" s="34" t="e">
        <f>VLOOKUP(Allocation[[#This Row],[SAP Contract number]],Shipments[[SAP Contract number]:[Contracted container weight]],2,FALSE)</f>
        <v>#N/A</v>
      </c>
      <c r="W646" s="34" t="e">
        <f>VLOOKUP(Allocation[[#This Row],[SAP Contract number]],Shipments[[SAP Contract number]:[AAA Premium USD]],24,FALSE)</f>
        <v>#N/A</v>
      </c>
      <c r="X646" s="34" t="e">
        <f>VLOOKUP(Allocation[[#This Row],[SAP Contract number]],Shipments[[SAP Contract number]:[RA Premium USD]],25,FALSE)</f>
        <v>#N/A</v>
      </c>
      <c r="Y646" s="38">
        <f>Allocation[[#This Row],[Quantity Processed]]/Allocation[[#This Row],[Quantity allocated]]</f>
        <v>2.1694915254237288</v>
      </c>
      <c r="Z646" s="34" t="b">
        <f>Allocation[[#This Row],[Quantity allocated]]&lt;=Allocation[[#This Row],[Quantity Processed]]</f>
        <v>1</v>
      </c>
    </row>
    <row r="647" spans="1:26">
      <c r="A647" s="247" t="s">
        <v>467</v>
      </c>
      <c r="B647" s="160" t="s">
        <v>68</v>
      </c>
      <c r="C647" s="252" t="s">
        <v>653</v>
      </c>
      <c r="D647" s="250">
        <v>128</v>
      </c>
      <c r="E647" s="160" t="s">
        <v>1237</v>
      </c>
      <c r="F647" s="158">
        <v>43514</v>
      </c>
      <c r="G647" s="162">
        <v>2.5</v>
      </c>
      <c r="H647" s="250">
        <v>59</v>
      </c>
      <c r="I647" s="160">
        <v>1433478</v>
      </c>
      <c r="J647" s="163">
        <v>19175</v>
      </c>
      <c r="K647" s="158">
        <v>43521</v>
      </c>
      <c r="L647" s="160" t="s">
        <v>1254</v>
      </c>
      <c r="M647" s="160">
        <v>4615516135</v>
      </c>
      <c r="N647" s="158">
        <v>43544</v>
      </c>
      <c r="O647" s="164">
        <v>3.7890999999999999</v>
      </c>
      <c r="P647" s="165" t="s">
        <v>1323</v>
      </c>
      <c r="Q647" s="34">
        <f>SUMIF(Allocation[Delivery ID],Allocation[[#This Row],[Delivery ID]],Allocation[Quantity Processed])</f>
        <v>517</v>
      </c>
      <c r="R647" s="61">
        <f>Allocation[[#This Row],[Total volume used]]/VLOOKUP(Allocation[[#This Row],[Delivery ID]],Delivery[[Delivery ID]:[Quantity delivered]],3,FALSE)</f>
        <v>1.7096560846560846E-2</v>
      </c>
      <c r="S647" s="34">
        <f>Allocation[[#This Row],[Quantity Processed]]/Allocation[[#This Row],[Dilution rate]]</f>
        <v>51.2</v>
      </c>
      <c r="T647" s="59">
        <f>SUMIF(Allocation[Delivery ID],Allocation[[#This Row],[Delivery ID]],Allocation[Quantity allocated])/SUMIF(Allocation[Delivery ID],Allocation[[#This Row],[Delivery ID]],Allocation[Volume available (kg)])</f>
        <v>1.2937278299716521</v>
      </c>
      <c r="U647" s="61">
        <f>Allocation[[#This Row],[Total volume used]]/VLOOKUP(Allocation[[#This Row],[Delivery ID]],Delivery[[Delivery ID]:[Quantity delivered]],3,FALSE)</f>
        <v>1.7096560846560846E-2</v>
      </c>
      <c r="V647" s="34" t="e">
        <f>VLOOKUP(Allocation[[#This Row],[SAP Contract number]],Shipments[[SAP Contract number]:[Contracted container weight]],2,FALSE)</f>
        <v>#N/A</v>
      </c>
      <c r="W647" s="34" t="e">
        <f>VLOOKUP(Allocation[[#This Row],[SAP Contract number]],Shipments[[SAP Contract number]:[AAA Premium USD]],24,FALSE)</f>
        <v>#N/A</v>
      </c>
      <c r="X647" s="34" t="e">
        <f>VLOOKUP(Allocation[[#This Row],[SAP Contract number]],Shipments[[SAP Contract number]:[RA Premium USD]],25,FALSE)</f>
        <v>#N/A</v>
      </c>
      <c r="Y647" s="38">
        <f>Allocation[[#This Row],[Quantity Processed]]/Allocation[[#This Row],[Quantity allocated]]</f>
        <v>2.1694915254237288</v>
      </c>
      <c r="Z647" s="34" t="b">
        <f>Allocation[[#This Row],[Quantity allocated]]&lt;=Allocation[[#This Row],[Quantity Processed]]</f>
        <v>1</v>
      </c>
    </row>
    <row r="648" spans="1:26">
      <c r="A648" s="247" t="s">
        <v>467</v>
      </c>
      <c r="B648" s="160" t="s">
        <v>68</v>
      </c>
      <c r="C648" s="252" t="s">
        <v>654</v>
      </c>
      <c r="D648" s="250">
        <v>128</v>
      </c>
      <c r="E648" s="160" t="s">
        <v>1237</v>
      </c>
      <c r="F648" s="158">
        <v>43514</v>
      </c>
      <c r="G648" s="162">
        <v>2.5</v>
      </c>
      <c r="H648" s="250">
        <v>59</v>
      </c>
      <c r="I648" s="160">
        <v>1433478</v>
      </c>
      <c r="J648" s="163">
        <v>19175</v>
      </c>
      <c r="K648" s="158">
        <v>43521</v>
      </c>
      <c r="L648" s="160" t="s">
        <v>1254</v>
      </c>
      <c r="M648" s="160">
        <v>4615516135</v>
      </c>
      <c r="N648" s="158">
        <v>43544</v>
      </c>
      <c r="O648" s="164">
        <v>3.7890999999999999</v>
      </c>
      <c r="P648" s="165" t="s">
        <v>1323</v>
      </c>
      <c r="Q648" s="34">
        <f>SUMIF(Allocation[Delivery ID],Allocation[[#This Row],[Delivery ID]],Allocation[Quantity Processed])</f>
        <v>517</v>
      </c>
      <c r="R648" s="61">
        <f>Allocation[[#This Row],[Total volume used]]/VLOOKUP(Allocation[[#This Row],[Delivery ID]],Delivery[[Delivery ID]:[Quantity delivered]],3,FALSE)</f>
        <v>2.3351400180668475E-2</v>
      </c>
      <c r="S648" s="34">
        <f>Allocation[[#This Row],[Quantity Processed]]/Allocation[[#This Row],[Dilution rate]]</f>
        <v>51.2</v>
      </c>
      <c r="T648" s="59">
        <f>SUMIF(Allocation[Delivery ID],Allocation[[#This Row],[Delivery ID]],Allocation[Quantity allocated])/SUMIF(Allocation[Delivery ID],Allocation[[#This Row],[Delivery ID]],Allocation[Volume available (kg)])</f>
        <v>1.2937278299716521</v>
      </c>
      <c r="U648" s="61">
        <f>Allocation[[#This Row],[Total volume used]]/VLOOKUP(Allocation[[#This Row],[Delivery ID]],Delivery[[Delivery ID]:[Quantity delivered]],3,FALSE)</f>
        <v>2.3351400180668475E-2</v>
      </c>
      <c r="V648" s="34" t="e">
        <f>VLOOKUP(Allocation[[#This Row],[SAP Contract number]],Shipments[[SAP Contract number]:[Contracted container weight]],2,FALSE)</f>
        <v>#N/A</v>
      </c>
      <c r="W648" s="34" t="e">
        <f>VLOOKUP(Allocation[[#This Row],[SAP Contract number]],Shipments[[SAP Contract number]:[AAA Premium USD]],24,FALSE)</f>
        <v>#N/A</v>
      </c>
      <c r="X648" s="34" t="e">
        <f>VLOOKUP(Allocation[[#This Row],[SAP Contract number]],Shipments[[SAP Contract number]:[RA Premium USD]],25,FALSE)</f>
        <v>#N/A</v>
      </c>
      <c r="Y648" s="38">
        <f>Allocation[[#This Row],[Quantity Processed]]/Allocation[[#This Row],[Quantity allocated]]</f>
        <v>2.1694915254237288</v>
      </c>
      <c r="Z648" s="34" t="b">
        <f>Allocation[[#This Row],[Quantity allocated]]&lt;=Allocation[[#This Row],[Quantity Processed]]</f>
        <v>1</v>
      </c>
    </row>
    <row r="649" spans="1:26">
      <c r="A649" s="247" t="s">
        <v>467</v>
      </c>
      <c r="B649" s="160" t="s">
        <v>68</v>
      </c>
      <c r="C649" s="252" t="s">
        <v>655</v>
      </c>
      <c r="D649" s="250">
        <v>179</v>
      </c>
      <c r="E649" s="160" t="s">
        <v>1237</v>
      </c>
      <c r="F649" s="158">
        <v>43514</v>
      </c>
      <c r="G649" s="162">
        <v>2.5</v>
      </c>
      <c r="H649" s="250">
        <v>59</v>
      </c>
      <c r="I649" s="160">
        <v>1433478</v>
      </c>
      <c r="J649" s="163">
        <v>19175</v>
      </c>
      <c r="K649" s="158">
        <v>43521</v>
      </c>
      <c r="L649" s="160" t="s">
        <v>1254</v>
      </c>
      <c r="M649" s="160">
        <v>4615516135</v>
      </c>
      <c r="N649" s="158">
        <v>43544</v>
      </c>
      <c r="O649" s="164">
        <v>3.7890999999999999</v>
      </c>
      <c r="P649" s="165" t="s">
        <v>1323</v>
      </c>
      <c r="Q649" s="34">
        <f>SUMIF(Allocation[Delivery ID],Allocation[[#This Row],[Delivery ID]],Allocation[Quantity Processed])</f>
        <v>661</v>
      </c>
      <c r="R649" s="61">
        <f>Allocation[[#This Row],[Total volume used]]/VLOOKUP(Allocation[[#This Row],[Delivery ID]],Delivery[[Delivery ID]:[Quantity delivered]],3,FALSE)</f>
        <v>2.1719129920483669E-2</v>
      </c>
      <c r="S649" s="34">
        <f>Allocation[[#This Row],[Quantity Processed]]/Allocation[[#This Row],[Dilution rate]]</f>
        <v>71.599999999999994</v>
      </c>
      <c r="T649" s="59">
        <f>SUMIF(Allocation[Delivery ID],Allocation[[#This Row],[Delivery ID]],Allocation[Quantity allocated])/SUMIF(Allocation[Delivery ID],Allocation[[#This Row],[Delivery ID]],Allocation[Volume available (kg)])</f>
        <v>0.92331754815058953</v>
      </c>
      <c r="U649" s="61">
        <f>Allocation[[#This Row],[Total volume used]]/VLOOKUP(Allocation[[#This Row],[Delivery ID]],Delivery[[Delivery ID]:[Quantity delivered]],3,FALSE)</f>
        <v>2.1719129920483669E-2</v>
      </c>
      <c r="V649" s="34" t="e">
        <f>VLOOKUP(Allocation[[#This Row],[SAP Contract number]],Shipments[[SAP Contract number]:[Contracted container weight]],2,FALSE)</f>
        <v>#N/A</v>
      </c>
      <c r="W649" s="34" t="e">
        <f>VLOOKUP(Allocation[[#This Row],[SAP Contract number]],Shipments[[SAP Contract number]:[AAA Premium USD]],24,FALSE)</f>
        <v>#N/A</v>
      </c>
      <c r="X649" s="34" t="e">
        <f>VLOOKUP(Allocation[[#This Row],[SAP Contract number]],Shipments[[SAP Contract number]:[RA Premium USD]],25,FALSE)</f>
        <v>#N/A</v>
      </c>
      <c r="Y649" s="38">
        <f>Allocation[[#This Row],[Quantity Processed]]/Allocation[[#This Row],[Quantity allocated]]</f>
        <v>3.0338983050847457</v>
      </c>
      <c r="Z649" s="34" t="b">
        <f>Allocation[[#This Row],[Quantity allocated]]&lt;=Allocation[[#This Row],[Quantity Processed]]</f>
        <v>1</v>
      </c>
    </row>
    <row r="650" spans="1:26">
      <c r="A650" s="247" t="s">
        <v>467</v>
      </c>
      <c r="B650" s="160" t="s">
        <v>68</v>
      </c>
      <c r="C650" s="252" t="s">
        <v>656</v>
      </c>
      <c r="D650" s="250">
        <v>197</v>
      </c>
      <c r="E650" s="160" t="s">
        <v>1237</v>
      </c>
      <c r="F650" s="158">
        <v>43514</v>
      </c>
      <c r="G650" s="162">
        <v>2.5</v>
      </c>
      <c r="H650" s="250">
        <v>59</v>
      </c>
      <c r="I650" s="160">
        <v>1433478</v>
      </c>
      <c r="J650" s="163">
        <v>19175</v>
      </c>
      <c r="K650" s="158">
        <v>43521</v>
      </c>
      <c r="L650" s="160" t="s">
        <v>1254</v>
      </c>
      <c r="M650" s="160">
        <v>4615516135</v>
      </c>
      <c r="N650" s="158">
        <v>43544</v>
      </c>
      <c r="O650" s="164">
        <v>3.7890999999999999</v>
      </c>
      <c r="P650" s="165" t="s">
        <v>1323</v>
      </c>
      <c r="Q650" s="34">
        <f>SUMIF(Allocation[Delivery ID],Allocation[[#This Row],[Delivery ID]],Allocation[Quantity Processed])</f>
        <v>727</v>
      </c>
      <c r="R650" s="61">
        <f>Allocation[[#This Row],[Total volume used]]/VLOOKUP(Allocation[[#This Row],[Delivery ID]],Delivery[[Delivery ID]:[Quantity delivered]],3,FALSE)</f>
        <v>2.3859533967837215E-2</v>
      </c>
      <c r="S650" s="34">
        <f>Allocation[[#This Row],[Quantity Processed]]/Allocation[[#This Row],[Dilution rate]]</f>
        <v>78.8</v>
      </c>
      <c r="T650" s="59">
        <f>SUMIF(Allocation[Delivery ID],Allocation[[#This Row],[Delivery ID]],Allocation[Quantity allocated])/SUMIF(Allocation[Delivery ID],Allocation[[#This Row],[Delivery ID]],Allocation[Volume available (kg)])</f>
        <v>0.83947093118004856</v>
      </c>
      <c r="U650" s="61">
        <f>Allocation[[#This Row],[Total volume used]]/VLOOKUP(Allocation[[#This Row],[Delivery ID]],Delivery[[Delivery ID]:[Quantity delivered]],3,FALSE)</f>
        <v>2.3859533967837215E-2</v>
      </c>
      <c r="V650" s="34" t="e">
        <f>VLOOKUP(Allocation[[#This Row],[SAP Contract number]],Shipments[[SAP Contract number]:[Contracted container weight]],2,FALSE)</f>
        <v>#N/A</v>
      </c>
      <c r="W650" s="34" t="e">
        <f>VLOOKUP(Allocation[[#This Row],[SAP Contract number]],Shipments[[SAP Contract number]:[AAA Premium USD]],24,FALSE)</f>
        <v>#N/A</v>
      </c>
      <c r="X650" s="34" t="e">
        <f>VLOOKUP(Allocation[[#This Row],[SAP Contract number]],Shipments[[SAP Contract number]:[RA Premium USD]],25,FALSE)</f>
        <v>#N/A</v>
      </c>
      <c r="Y650" s="38">
        <f>Allocation[[#This Row],[Quantity Processed]]/Allocation[[#This Row],[Quantity allocated]]</f>
        <v>3.3389830508474576</v>
      </c>
      <c r="Z650" s="34" t="b">
        <f>Allocation[[#This Row],[Quantity allocated]]&lt;=Allocation[[#This Row],[Quantity Processed]]</f>
        <v>1</v>
      </c>
    </row>
    <row r="651" spans="1:26">
      <c r="A651" s="247" t="s">
        <v>467</v>
      </c>
      <c r="B651" s="160" t="s">
        <v>68</v>
      </c>
      <c r="C651" s="252" t="s">
        <v>658</v>
      </c>
      <c r="D651" s="250">
        <v>197</v>
      </c>
      <c r="E651" s="160" t="s">
        <v>1237</v>
      </c>
      <c r="F651" s="158">
        <v>43514</v>
      </c>
      <c r="G651" s="162">
        <v>2.5</v>
      </c>
      <c r="H651" s="250">
        <v>59</v>
      </c>
      <c r="I651" s="160">
        <v>1433478</v>
      </c>
      <c r="J651" s="163">
        <v>19175</v>
      </c>
      <c r="K651" s="158">
        <v>43521</v>
      </c>
      <c r="L651" s="160" t="s">
        <v>1254</v>
      </c>
      <c r="M651" s="160">
        <v>4615516135</v>
      </c>
      <c r="N651" s="158">
        <v>43544</v>
      </c>
      <c r="O651" s="164">
        <v>3.7890999999999999</v>
      </c>
      <c r="P651" s="165" t="s">
        <v>1323</v>
      </c>
      <c r="Q651" s="34">
        <f>SUMIF(Allocation[Delivery ID],Allocation[[#This Row],[Delivery ID]],Allocation[Quantity Processed])</f>
        <v>794</v>
      </c>
      <c r="R651" s="61">
        <f>Allocation[[#This Row],[Total volume used]]/VLOOKUP(Allocation[[#This Row],[Delivery ID]],Delivery[[Delivery ID]:[Quantity delivered]],3,FALSE)</f>
        <v>2.6049868766404201E-2</v>
      </c>
      <c r="S651" s="34">
        <f>Allocation[[#This Row],[Quantity Processed]]/Allocation[[#This Row],[Dilution rate]]</f>
        <v>78.8</v>
      </c>
      <c r="T651" s="59">
        <f>SUMIF(Allocation[Delivery ID],Allocation[[#This Row],[Delivery ID]],Allocation[Quantity allocated])/SUMIF(Allocation[Delivery ID],Allocation[[#This Row],[Delivery ID]],Allocation[Volume available (kg)])</f>
        <v>0.84231607326630298</v>
      </c>
      <c r="U651" s="61">
        <f>Allocation[[#This Row],[Total volume used]]/VLOOKUP(Allocation[[#This Row],[Delivery ID]],Delivery[[Delivery ID]:[Quantity delivered]],3,FALSE)</f>
        <v>2.6049868766404201E-2</v>
      </c>
      <c r="V651" s="34" t="e">
        <f>VLOOKUP(Allocation[[#This Row],[SAP Contract number]],Shipments[[SAP Contract number]:[Contracted container weight]],2,FALSE)</f>
        <v>#N/A</v>
      </c>
      <c r="W651" s="34" t="e">
        <f>VLOOKUP(Allocation[[#This Row],[SAP Contract number]],Shipments[[SAP Contract number]:[AAA Premium USD]],24,FALSE)</f>
        <v>#N/A</v>
      </c>
      <c r="X651" s="34" t="e">
        <f>VLOOKUP(Allocation[[#This Row],[SAP Contract number]],Shipments[[SAP Contract number]:[RA Premium USD]],25,FALSE)</f>
        <v>#N/A</v>
      </c>
      <c r="Y651" s="38">
        <f>Allocation[[#This Row],[Quantity Processed]]/Allocation[[#This Row],[Quantity allocated]]</f>
        <v>3.3389830508474576</v>
      </c>
      <c r="Z651" s="34" t="b">
        <f>Allocation[[#This Row],[Quantity allocated]]&lt;=Allocation[[#This Row],[Quantity Processed]]</f>
        <v>1</v>
      </c>
    </row>
    <row r="652" spans="1:26">
      <c r="A652" s="247" t="s">
        <v>467</v>
      </c>
      <c r="B652" s="160" t="s">
        <v>68</v>
      </c>
      <c r="C652" s="252" t="s">
        <v>659</v>
      </c>
      <c r="D652" s="250">
        <v>197</v>
      </c>
      <c r="E652" s="160" t="s">
        <v>1237</v>
      </c>
      <c r="F652" s="158">
        <v>43514</v>
      </c>
      <c r="G652" s="162">
        <v>2.5</v>
      </c>
      <c r="H652" s="250">
        <v>59</v>
      </c>
      <c r="I652" s="160">
        <v>1433478</v>
      </c>
      <c r="J652" s="163">
        <v>19175</v>
      </c>
      <c r="K652" s="158">
        <v>43521</v>
      </c>
      <c r="L652" s="160" t="s">
        <v>1254</v>
      </c>
      <c r="M652" s="160">
        <v>4615516135</v>
      </c>
      <c r="N652" s="158">
        <v>43544</v>
      </c>
      <c r="O652" s="164">
        <v>3.7890999999999999</v>
      </c>
      <c r="P652" s="165" t="s">
        <v>1323</v>
      </c>
      <c r="Q652" s="34">
        <f>SUMIF(Allocation[Delivery ID],Allocation[[#This Row],[Delivery ID]],Allocation[Quantity Processed])</f>
        <v>794</v>
      </c>
      <c r="R652" s="61">
        <f>Allocation[[#This Row],[Total volume used]]/VLOOKUP(Allocation[[#This Row],[Delivery ID]],Delivery[[Delivery ID]:[Quantity delivered]],3,FALSE)</f>
        <v>2.5998690242305174E-2</v>
      </c>
      <c r="S652" s="34">
        <f>Allocation[[#This Row],[Quantity Processed]]/Allocation[[#This Row],[Dilution rate]]</f>
        <v>78.8</v>
      </c>
      <c r="T652" s="59">
        <f>SUMIF(Allocation[Delivery ID],Allocation[[#This Row],[Delivery ID]],Allocation[Quantity allocated])/SUMIF(Allocation[Delivery ID],Allocation[[#This Row],[Delivery ID]],Allocation[Volume available (kg)])</f>
        <v>0.84231607326630298</v>
      </c>
      <c r="U652" s="61">
        <f>Allocation[[#This Row],[Total volume used]]/VLOOKUP(Allocation[[#This Row],[Delivery ID]],Delivery[[Delivery ID]:[Quantity delivered]],3,FALSE)</f>
        <v>2.5998690242305174E-2</v>
      </c>
      <c r="V652" s="34" t="e">
        <f>VLOOKUP(Allocation[[#This Row],[SAP Contract number]],Shipments[[SAP Contract number]:[Contracted container weight]],2,FALSE)</f>
        <v>#N/A</v>
      </c>
      <c r="W652" s="34" t="e">
        <f>VLOOKUP(Allocation[[#This Row],[SAP Contract number]],Shipments[[SAP Contract number]:[AAA Premium USD]],24,FALSE)</f>
        <v>#N/A</v>
      </c>
      <c r="X652" s="34" t="e">
        <f>VLOOKUP(Allocation[[#This Row],[SAP Contract number]],Shipments[[SAP Contract number]:[RA Premium USD]],25,FALSE)</f>
        <v>#N/A</v>
      </c>
      <c r="Y652" s="38">
        <f>Allocation[[#This Row],[Quantity Processed]]/Allocation[[#This Row],[Quantity allocated]]</f>
        <v>3.3389830508474576</v>
      </c>
      <c r="Z652" s="34" t="b">
        <f>Allocation[[#This Row],[Quantity allocated]]&lt;=Allocation[[#This Row],[Quantity Processed]]</f>
        <v>1</v>
      </c>
    </row>
    <row r="653" spans="1:26">
      <c r="A653" s="247" t="s">
        <v>467</v>
      </c>
      <c r="B653" s="160" t="s">
        <v>68</v>
      </c>
      <c r="C653" s="252" t="s">
        <v>660</v>
      </c>
      <c r="D653" s="250">
        <v>128</v>
      </c>
      <c r="E653" s="160" t="s">
        <v>1237</v>
      </c>
      <c r="F653" s="158">
        <v>43514</v>
      </c>
      <c r="G653" s="162">
        <v>2.5</v>
      </c>
      <c r="H653" s="250">
        <v>59</v>
      </c>
      <c r="I653" s="160">
        <v>1433478</v>
      </c>
      <c r="J653" s="163">
        <v>19175</v>
      </c>
      <c r="K653" s="158">
        <v>43521</v>
      </c>
      <c r="L653" s="160" t="s">
        <v>1254</v>
      </c>
      <c r="M653" s="160">
        <v>4615516135</v>
      </c>
      <c r="N653" s="158">
        <v>43544</v>
      </c>
      <c r="O653" s="164">
        <v>3.7890999999999999</v>
      </c>
      <c r="P653" s="165" t="s">
        <v>1323</v>
      </c>
      <c r="Q653" s="34">
        <f>SUMIF(Allocation[Delivery ID],Allocation[[#This Row],[Delivery ID]],Allocation[Quantity Processed])</f>
        <v>517</v>
      </c>
      <c r="R653" s="61">
        <f>Allocation[[#This Row],[Total volume used]]/VLOOKUP(Allocation[[#This Row],[Delivery ID]],Delivery[[Delivery ID]:[Quantity delivered]],3,FALSE)</f>
        <v>1.7096560846560846E-2</v>
      </c>
      <c r="S653" s="34">
        <f>Allocation[[#This Row],[Quantity Processed]]/Allocation[[#This Row],[Dilution rate]]</f>
        <v>51.2</v>
      </c>
      <c r="T653" s="59">
        <f>SUMIF(Allocation[Delivery ID],Allocation[[#This Row],[Delivery ID]],Allocation[Quantity allocated])/SUMIF(Allocation[Delivery ID],Allocation[[#This Row],[Delivery ID]],Allocation[Volume available (kg)])</f>
        <v>1.2937278299716521</v>
      </c>
      <c r="U653" s="61">
        <f>Allocation[[#This Row],[Total volume used]]/VLOOKUP(Allocation[[#This Row],[Delivery ID]],Delivery[[Delivery ID]:[Quantity delivered]],3,FALSE)</f>
        <v>1.7096560846560846E-2</v>
      </c>
      <c r="V653" s="34" t="e">
        <f>VLOOKUP(Allocation[[#This Row],[SAP Contract number]],Shipments[[SAP Contract number]:[Contracted container weight]],2,FALSE)</f>
        <v>#N/A</v>
      </c>
      <c r="W653" s="34" t="e">
        <f>VLOOKUP(Allocation[[#This Row],[SAP Contract number]],Shipments[[SAP Contract number]:[AAA Premium USD]],24,FALSE)</f>
        <v>#N/A</v>
      </c>
      <c r="X653" s="34" t="e">
        <f>VLOOKUP(Allocation[[#This Row],[SAP Contract number]],Shipments[[SAP Contract number]:[RA Premium USD]],25,FALSE)</f>
        <v>#N/A</v>
      </c>
      <c r="Y653" s="38">
        <f>Allocation[[#This Row],[Quantity Processed]]/Allocation[[#This Row],[Quantity allocated]]</f>
        <v>2.1694915254237288</v>
      </c>
      <c r="Z653" s="34" t="b">
        <f>Allocation[[#This Row],[Quantity allocated]]&lt;=Allocation[[#This Row],[Quantity Processed]]</f>
        <v>1</v>
      </c>
    </row>
    <row r="654" spans="1:26">
      <c r="A654" s="247" t="s">
        <v>467</v>
      </c>
      <c r="B654" s="160" t="s">
        <v>68</v>
      </c>
      <c r="C654" s="252" t="s">
        <v>661</v>
      </c>
      <c r="D654" s="250">
        <v>179</v>
      </c>
      <c r="E654" s="160" t="s">
        <v>1237</v>
      </c>
      <c r="F654" s="158">
        <v>43514</v>
      </c>
      <c r="G654" s="162">
        <v>2.5</v>
      </c>
      <c r="H654" s="250">
        <v>59</v>
      </c>
      <c r="I654" s="160">
        <v>1433478</v>
      </c>
      <c r="J654" s="163">
        <v>19175</v>
      </c>
      <c r="K654" s="158">
        <v>43521</v>
      </c>
      <c r="L654" s="160" t="s">
        <v>1254</v>
      </c>
      <c r="M654" s="160">
        <v>4615516135</v>
      </c>
      <c r="N654" s="158">
        <v>43544</v>
      </c>
      <c r="O654" s="164">
        <v>3.7890999999999999</v>
      </c>
      <c r="P654" s="165" t="s">
        <v>1323</v>
      </c>
      <c r="Q654" s="34">
        <f>SUMIF(Allocation[Delivery ID],Allocation[[#This Row],[Delivery ID]],Allocation[Quantity Processed])</f>
        <v>721</v>
      </c>
      <c r="R654" s="61">
        <f>Allocation[[#This Row],[Total volume used]]/VLOOKUP(Allocation[[#This Row],[Delivery ID]],Delivery[[Delivery ID]:[Quantity delivered]],3,FALSE)</f>
        <v>2.3937583001328023E-2</v>
      </c>
      <c r="S654" s="34">
        <f>Allocation[[#This Row],[Quantity Processed]]/Allocation[[#This Row],[Dilution rate]]</f>
        <v>71.599999999999994</v>
      </c>
      <c r="T654" s="59">
        <f>SUMIF(Allocation[Delivery ID],Allocation[[#This Row],[Delivery ID]],Allocation[Quantity allocated])/SUMIF(Allocation[Delivery ID],Allocation[[#This Row],[Delivery ID]],Allocation[Volume available (kg)])</f>
        <v>0.92757532708689161</v>
      </c>
      <c r="U654" s="61">
        <f>Allocation[[#This Row],[Total volume used]]/VLOOKUP(Allocation[[#This Row],[Delivery ID]],Delivery[[Delivery ID]:[Quantity delivered]],3,FALSE)</f>
        <v>2.3937583001328023E-2</v>
      </c>
      <c r="V654" s="34" t="e">
        <f>VLOOKUP(Allocation[[#This Row],[SAP Contract number]],Shipments[[SAP Contract number]:[Contracted container weight]],2,FALSE)</f>
        <v>#N/A</v>
      </c>
      <c r="W654" s="34" t="e">
        <f>VLOOKUP(Allocation[[#This Row],[SAP Contract number]],Shipments[[SAP Contract number]:[AAA Premium USD]],24,FALSE)</f>
        <v>#N/A</v>
      </c>
      <c r="X654" s="34" t="e">
        <f>VLOOKUP(Allocation[[#This Row],[SAP Contract number]],Shipments[[SAP Contract number]:[RA Premium USD]],25,FALSE)</f>
        <v>#N/A</v>
      </c>
      <c r="Y654" s="38">
        <f>Allocation[[#This Row],[Quantity Processed]]/Allocation[[#This Row],[Quantity allocated]]</f>
        <v>3.0338983050847457</v>
      </c>
      <c r="Z654" s="34" t="b">
        <f>Allocation[[#This Row],[Quantity allocated]]&lt;=Allocation[[#This Row],[Quantity Processed]]</f>
        <v>1</v>
      </c>
    </row>
    <row r="655" spans="1:26">
      <c r="A655" s="247" t="s">
        <v>467</v>
      </c>
      <c r="B655" s="160" t="s">
        <v>68</v>
      </c>
      <c r="C655" s="252" t="s">
        <v>662</v>
      </c>
      <c r="D655" s="250">
        <v>179</v>
      </c>
      <c r="E655" s="160" t="s">
        <v>1237</v>
      </c>
      <c r="F655" s="158">
        <v>43514</v>
      </c>
      <c r="G655" s="162">
        <v>2.5</v>
      </c>
      <c r="H655" s="250">
        <v>59</v>
      </c>
      <c r="I655" s="160">
        <v>1433478</v>
      </c>
      <c r="J655" s="163">
        <v>19175</v>
      </c>
      <c r="K655" s="158">
        <v>43521</v>
      </c>
      <c r="L655" s="160" t="s">
        <v>1254</v>
      </c>
      <c r="M655" s="160">
        <v>4615516135</v>
      </c>
      <c r="N655" s="158">
        <v>43544</v>
      </c>
      <c r="O655" s="164">
        <v>3.7890999999999999</v>
      </c>
      <c r="P655" s="165" t="s">
        <v>1323</v>
      </c>
      <c r="Q655" s="34">
        <f>SUMIF(Allocation[Delivery ID],Allocation[[#This Row],[Delivery ID]],Allocation[Quantity Processed])</f>
        <v>655</v>
      </c>
      <c r="R655" s="61">
        <f>Allocation[[#This Row],[Total volume used]]/VLOOKUP(Allocation[[#This Row],[Delivery ID]],Delivery[[Delivery ID]:[Quantity delivered]],3,FALSE)</f>
        <v>2.1783956365571372E-2</v>
      </c>
      <c r="S655" s="34">
        <f>Allocation[[#This Row],[Quantity Processed]]/Allocation[[#This Row],[Dilution rate]]</f>
        <v>71.599999999999994</v>
      </c>
      <c r="T655" s="59">
        <f>SUMIF(Allocation[Delivery ID],Allocation[[#This Row],[Delivery ID]],Allocation[Quantity allocated])/SUMIF(Allocation[Delivery ID],Allocation[[#This Row],[Delivery ID]],Allocation[Volume available (kg)])</f>
        <v>0.92285079353969457</v>
      </c>
      <c r="U655" s="61">
        <f>Allocation[[#This Row],[Total volume used]]/VLOOKUP(Allocation[[#This Row],[Delivery ID]],Delivery[[Delivery ID]:[Quantity delivered]],3,FALSE)</f>
        <v>2.1783956365571372E-2</v>
      </c>
      <c r="V655" s="34" t="e">
        <f>VLOOKUP(Allocation[[#This Row],[SAP Contract number]],Shipments[[SAP Contract number]:[Contracted container weight]],2,FALSE)</f>
        <v>#N/A</v>
      </c>
      <c r="W655" s="34" t="e">
        <f>VLOOKUP(Allocation[[#This Row],[SAP Contract number]],Shipments[[SAP Contract number]:[AAA Premium USD]],24,FALSE)</f>
        <v>#N/A</v>
      </c>
      <c r="X655" s="34" t="e">
        <f>VLOOKUP(Allocation[[#This Row],[SAP Contract number]],Shipments[[SAP Contract number]:[RA Premium USD]],25,FALSE)</f>
        <v>#N/A</v>
      </c>
      <c r="Y655" s="38">
        <f>Allocation[[#This Row],[Quantity Processed]]/Allocation[[#This Row],[Quantity allocated]]</f>
        <v>3.0338983050847457</v>
      </c>
      <c r="Z655" s="34" t="b">
        <f>Allocation[[#This Row],[Quantity allocated]]&lt;=Allocation[[#This Row],[Quantity Processed]]</f>
        <v>1</v>
      </c>
    </row>
    <row r="656" spans="1:26">
      <c r="A656" s="247" t="s">
        <v>467</v>
      </c>
      <c r="B656" s="160" t="s">
        <v>68</v>
      </c>
      <c r="C656" s="252" t="s">
        <v>663</v>
      </c>
      <c r="D656" s="250">
        <v>179</v>
      </c>
      <c r="E656" s="160" t="s">
        <v>1237</v>
      </c>
      <c r="F656" s="158">
        <v>43514</v>
      </c>
      <c r="G656" s="162">
        <v>2.5</v>
      </c>
      <c r="H656" s="250">
        <v>59</v>
      </c>
      <c r="I656" s="160">
        <v>1433478</v>
      </c>
      <c r="J656" s="163">
        <v>19175</v>
      </c>
      <c r="K656" s="158">
        <v>43521</v>
      </c>
      <c r="L656" s="160" t="s">
        <v>1254</v>
      </c>
      <c r="M656" s="160">
        <v>4615516135</v>
      </c>
      <c r="N656" s="158">
        <v>43544</v>
      </c>
      <c r="O656" s="164">
        <v>3.7890999999999999</v>
      </c>
      <c r="P656" s="165" t="s">
        <v>1323</v>
      </c>
      <c r="Q656" s="34">
        <f>SUMIF(Allocation[Delivery ID],Allocation[[#This Row],[Delivery ID]],Allocation[Quantity Processed])</f>
        <v>721</v>
      </c>
      <c r="R656" s="61">
        <f>Allocation[[#This Row],[Total volume used]]/VLOOKUP(Allocation[[#This Row],[Delivery ID]],Delivery[[Delivery ID]:[Quantity delivered]],3,FALSE)</f>
        <v>2.3937583001328023E-2</v>
      </c>
      <c r="S656" s="34">
        <f>Allocation[[#This Row],[Quantity Processed]]/Allocation[[#This Row],[Dilution rate]]</f>
        <v>71.599999999999994</v>
      </c>
      <c r="T656" s="59">
        <f>SUMIF(Allocation[Delivery ID],Allocation[[#This Row],[Delivery ID]],Allocation[Quantity allocated])/SUMIF(Allocation[Delivery ID],Allocation[[#This Row],[Delivery ID]],Allocation[Volume available (kg)])</f>
        <v>0.92757532708689161</v>
      </c>
      <c r="U656" s="61">
        <f>Allocation[[#This Row],[Total volume used]]/VLOOKUP(Allocation[[#This Row],[Delivery ID]],Delivery[[Delivery ID]:[Quantity delivered]],3,FALSE)</f>
        <v>2.3937583001328023E-2</v>
      </c>
      <c r="V656" s="34" t="e">
        <f>VLOOKUP(Allocation[[#This Row],[SAP Contract number]],Shipments[[SAP Contract number]:[Contracted container weight]],2,FALSE)</f>
        <v>#N/A</v>
      </c>
      <c r="W656" s="34" t="e">
        <f>VLOOKUP(Allocation[[#This Row],[SAP Contract number]],Shipments[[SAP Contract number]:[AAA Premium USD]],24,FALSE)</f>
        <v>#N/A</v>
      </c>
      <c r="X656" s="34" t="e">
        <f>VLOOKUP(Allocation[[#This Row],[SAP Contract number]],Shipments[[SAP Contract number]:[RA Premium USD]],25,FALSE)</f>
        <v>#N/A</v>
      </c>
      <c r="Y656" s="38">
        <f>Allocation[[#This Row],[Quantity Processed]]/Allocation[[#This Row],[Quantity allocated]]</f>
        <v>3.0338983050847457</v>
      </c>
      <c r="Z656" s="34" t="b">
        <f>Allocation[[#This Row],[Quantity allocated]]&lt;=Allocation[[#This Row],[Quantity Processed]]</f>
        <v>1</v>
      </c>
    </row>
    <row r="657" spans="1:26">
      <c r="A657" s="247" t="s">
        <v>467</v>
      </c>
      <c r="B657" s="160" t="s">
        <v>68</v>
      </c>
      <c r="C657" s="252" t="s">
        <v>664</v>
      </c>
      <c r="D657" s="250">
        <v>179</v>
      </c>
      <c r="E657" s="160" t="s">
        <v>1237</v>
      </c>
      <c r="F657" s="158">
        <v>43514</v>
      </c>
      <c r="G657" s="162">
        <v>2.5</v>
      </c>
      <c r="H657" s="250">
        <v>59</v>
      </c>
      <c r="I657" s="160">
        <v>1433478</v>
      </c>
      <c r="J657" s="163">
        <v>19175</v>
      </c>
      <c r="K657" s="158">
        <v>43521</v>
      </c>
      <c r="L657" s="160" t="s">
        <v>1254</v>
      </c>
      <c r="M657" s="160">
        <v>4615516135</v>
      </c>
      <c r="N657" s="158">
        <v>43544</v>
      </c>
      <c r="O657" s="164">
        <v>3.7890999999999999</v>
      </c>
      <c r="P657" s="165" t="s">
        <v>1323</v>
      </c>
      <c r="Q657" s="34">
        <f>SUMIF(Allocation[Delivery ID],Allocation[[#This Row],[Delivery ID]],Allocation[Quantity Processed])</f>
        <v>721</v>
      </c>
      <c r="R657" s="61">
        <f>Allocation[[#This Row],[Total volume used]]/VLOOKUP(Allocation[[#This Row],[Delivery ID]],Delivery[[Delivery ID]:[Quantity delivered]],3,FALSE)</f>
        <v>2.3937583001328023E-2</v>
      </c>
      <c r="S657" s="34">
        <f>Allocation[[#This Row],[Quantity Processed]]/Allocation[[#This Row],[Dilution rate]]</f>
        <v>71.599999999999994</v>
      </c>
      <c r="T657" s="59">
        <f>SUMIF(Allocation[Delivery ID],Allocation[[#This Row],[Delivery ID]],Allocation[Quantity allocated])/SUMIF(Allocation[Delivery ID],Allocation[[#This Row],[Delivery ID]],Allocation[Volume available (kg)])</f>
        <v>0.92757532708689161</v>
      </c>
      <c r="U657" s="61">
        <f>Allocation[[#This Row],[Total volume used]]/VLOOKUP(Allocation[[#This Row],[Delivery ID]],Delivery[[Delivery ID]:[Quantity delivered]],3,FALSE)</f>
        <v>2.3937583001328023E-2</v>
      </c>
      <c r="V657" s="34" t="e">
        <f>VLOOKUP(Allocation[[#This Row],[SAP Contract number]],Shipments[[SAP Contract number]:[Contracted container weight]],2,FALSE)</f>
        <v>#N/A</v>
      </c>
      <c r="W657" s="34" t="e">
        <f>VLOOKUP(Allocation[[#This Row],[SAP Contract number]],Shipments[[SAP Contract number]:[AAA Premium USD]],24,FALSE)</f>
        <v>#N/A</v>
      </c>
      <c r="X657" s="34" t="e">
        <f>VLOOKUP(Allocation[[#This Row],[SAP Contract number]],Shipments[[SAP Contract number]:[RA Premium USD]],25,FALSE)</f>
        <v>#N/A</v>
      </c>
      <c r="Y657" s="38">
        <f>Allocation[[#This Row],[Quantity Processed]]/Allocation[[#This Row],[Quantity allocated]]</f>
        <v>3.0338983050847457</v>
      </c>
      <c r="Z657" s="34" t="b">
        <f>Allocation[[#This Row],[Quantity allocated]]&lt;=Allocation[[#This Row],[Quantity Processed]]</f>
        <v>1</v>
      </c>
    </row>
    <row r="658" spans="1:26">
      <c r="A658" s="247" t="s">
        <v>467</v>
      </c>
      <c r="B658" s="160" t="s">
        <v>68</v>
      </c>
      <c r="C658" s="252" t="s">
        <v>665</v>
      </c>
      <c r="D658" s="250">
        <v>179</v>
      </c>
      <c r="E658" s="160" t="s">
        <v>1237</v>
      </c>
      <c r="F658" s="158">
        <v>43514</v>
      </c>
      <c r="G658" s="162">
        <v>2.5</v>
      </c>
      <c r="H658" s="250">
        <v>59</v>
      </c>
      <c r="I658" s="160">
        <v>1433478</v>
      </c>
      <c r="J658" s="163">
        <v>19175</v>
      </c>
      <c r="K658" s="158">
        <v>43521</v>
      </c>
      <c r="L658" s="160" t="s">
        <v>1254</v>
      </c>
      <c r="M658" s="160">
        <v>4615516135</v>
      </c>
      <c r="N658" s="158">
        <v>43544</v>
      </c>
      <c r="O658" s="164">
        <v>3.7890999999999999</v>
      </c>
      <c r="P658" s="165" t="s">
        <v>1323</v>
      </c>
      <c r="Q658" s="34">
        <f>SUMIF(Allocation[Delivery ID],Allocation[[#This Row],[Delivery ID]],Allocation[Quantity Processed])</f>
        <v>721</v>
      </c>
      <c r="R658" s="61">
        <f>Allocation[[#This Row],[Total volume used]]/VLOOKUP(Allocation[[#This Row],[Delivery ID]],Delivery[[Delivery ID]:[Quantity delivered]],3,FALSE)</f>
        <v>2.3937583001328023E-2</v>
      </c>
      <c r="S658" s="34">
        <f>Allocation[[#This Row],[Quantity Processed]]/Allocation[[#This Row],[Dilution rate]]</f>
        <v>71.599999999999994</v>
      </c>
      <c r="T658" s="59">
        <f>SUMIF(Allocation[Delivery ID],Allocation[[#This Row],[Delivery ID]],Allocation[Quantity allocated])/SUMIF(Allocation[Delivery ID],Allocation[[#This Row],[Delivery ID]],Allocation[Volume available (kg)])</f>
        <v>0.92757532708689161</v>
      </c>
      <c r="U658" s="61">
        <f>Allocation[[#This Row],[Total volume used]]/VLOOKUP(Allocation[[#This Row],[Delivery ID]],Delivery[[Delivery ID]:[Quantity delivered]],3,FALSE)</f>
        <v>2.3937583001328023E-2</v>
      </c>
      <c r="V658" s="34" t="e">
        <f>VLOOKUP(Allocation[[#This Row],[SAP Contract number]],Shipments[[SAP Contract number]:[Contracted container weight]],2,FALSE)</f>
        <v>#N/A</v>
      </c>
      <c r="W658" s="34" t="e">
        <f>VLOOKUP(Allocation[[#This Row],[SAP Contract number]],Shipments[[SAP Contract number]:[AAA Premium USD]],24,FALSE)</f>
        <v>#N/A</v>
      </c>
      <c r="X658" s="34" t="e">
        <f>VLOOKUP(Allocation[[#This Row],[SAP Contract number]],Shipments[[SAP Contract number]:[RA Premium USD]],25,FALSE)</f>
        <v>#N/A</v>
      </c>
      <c r="Y658" s="38">
        <f>Allocation[[#This Row],[Quantity Processed]]/Allocation[[#This Row],[Quantity allocated]]</f>
        <v>3.0338983050847457</v>
      </c>
      <c r="Z658" s="34" t="b">
        <f>Allocation[[#This Row],[Quantity allocated]]&lt;=Allocation[[#This Row],[Quantity Processed]]</f>
        <v>1</v>
      </c>
    </row>
    <row r="659" spans="1:26">
      <c r="A659" s="247" t="s">
        <v>467</v>
      </c>
      <c r="B659" s="160" t="s">
        <v>68</v>
      </c>
      <c r="C659" s="252" t="s">
        <v>666</v>
      </c>
      <c r="D659" s="250">
        <v>179</v>
      </c>
      <c r="E659" s="160" t="s">
        <v>1237</v>
      </c>
      <c r="F659" s="158">
        <v>43514</v>
      </c>
      <c r="G659" s="162">
        <v>2.5</v>
      </c>
      <c r="H659" s="250">
        <v>59</v>
      </c>
      <c r="I659" s="160">
        <v>1433478</v>
      </c>
      <c r="J659" s="163">
        <v>19175</v>
      </c>
      <c r="K659" s="158">
        <v>43521</v>
      </c>
      <c r="L659" s="160" t="s">
        <v>1254</v>
      </c>
      <c r="M659" s="160">
        <v>4615516135</v>
      </c>
      <c r="N659" s="158">
        <v>43544</v>
      </c>
      <c r="O659" s="164">
        <v>3.7890999999999999</v>
      </c>
      <c r="P659" s="165" t="s">
        <v>1323</v>
      </c>
      <c r="Q659" s="34">
        <f>SUMIF(Allocation[Delivery ID],Allocation[[#This Row],[Delivery ID]],Allocation[Quantity Processed])</f>
        <v>721</v>
      </c>
      <c r="R659" s="61">
        <f>Allocation[[#This Row],[Total volume used]]/VLOOKUP(Allocation[[#This Row],[Delivery ID]],Delivery[[Delivery ID]:[Quantity delivered]],3,FALSE)</f>
        <v>2.4227150537634409E-2</v>
      </c>
      <c r="S659" s="34">
        <f>Allocation[[#This Row],[Quantity Processed]]/Allocation[[#This Row],[Dilution rate]]</f>
        <v>71.599999999999994</v>
      </c>
      <c r="T659" s="59">
        <f>SUMIF(Allocation[Delivery ID],Allocation[[#This Row],[Delivery ID]],Allocation[Quantity allocated])/SUMIF(Allocation[Delivery ID],Allocation[[#This Row],[Delivery ID]],Allocation[Volume available (kg)])</f>
        <v>0.92757532708689161</v>
      </c>
      <c r="U659" s="61">
        <f>Allocation[[#This Row],[Total volume used]]/VLOOKUP(Allocation[[#This Row],[Delivery ID]],Delivery[[Delivery ID]:[Quantity delivered]],3,FALSE)</f>
        <v>2.4227150537634409E-2</v>
      </c>
      <c r="V659" s="34" t="e">
        <f>VLOOKUP(Allocation[[#This Row],[SAP Contract number]],Shipments[[SAP Contract number]:[Contracted container weight]],2,FALSE)</f>
        <v>#N/A</v>
      </c>
      <c r="W659" s="34" t="e">
        <f>VLOOKUP(Allocation[[#This Row],[SAP Contract number]],Shipments[[SAP Contract number]:[AAA Premium USD]],24,FALSE)</f>
        <v>#N/A</v>
      </c>
      <c r="X659" s="34" t="e">
        <f>VLOOKUP(Allocation[[#This Row],[SAP Contract number]],Shipments[[SAP Contract number]:[RA Premium USD]],25,FALSE)</f>
        <v>#N/A</v>
      </c>
      <c r="Y659" s="38">
        <f>Allocation[[#This Row],[Quantity Processed]]/Allocation[[#This Row],[Quantity allocated]]</f>
        <v>3.0338983050847457</v>
      </c>
      <c r="Z659" s="34" t="b">
        <f>Allocation[[#This Row],[Quantity allocated]]&lt;=Allocation[[#This Row],[Quantity Processed]]</f>
        <v>1</v>
      </c>
    </row>
    <row r="660" spans="1:26">
      <c r="A660" s="247" t="s">
        <v>467</v>
      </c>
      <c r="B660" s="160" t="s">
        <v>68</v>
      </c>
      <c r="C660" s="252" t="s">
        <v>674</v>
      </c>
      <c r="D660" s="250">
        <v>1</v>
      </c>
      <c r="E660" s="160" t="s">
        <v>1237</v>
      </c>
      <c r="F660" s="158">
        <v>43514</v>
      </c>
      <c r="G660" s="162">
        <v>2.5</v>
      </c>
      <c r="H660" s="250">
        <v>0.33</v>
      </c>
      <c r="I660" s="160">
        <v>1433478</v>
      </c>
      <c r="J660" s="163">
        <v>19175</v>
      </c>
      <c r="K660" s="158">
        <v>43521</v>
      </c>
      <c r="L660" s="160" t="s">
        <v>1254</v>
      </c>
      <c r="M660" s="160">
        <v>4615516135</v>
      </c>
      <c r="N660" s="158">
        <v>43544</v>
      </c>
      <c r="O660" s="164">
        <v>3.7890999999999999</v>
      </c>
      <c r="P660" s="165" t="s">
        <v>1323</v>
      </c>
      <c r="Q660" s="34">
        <f>SUMIF(Allocation[Delivery ID],Allocation[[#This Row],[Delivery ID]],Allocation[Quantity Processed])</f>
        <v>598</v>
      </c>
      <c r="R660" s="61">
        <f>Allocation[[#This Row],[Total volume used]]/VLOOKUP(Allocation[[#This Row],[Delivery ID]],Delivery[[Delivery ID]:[Quantity delivered]],3,FALSE)</f>
        <v>3.5835205992509361E-2</v>
      </c>
      <c r="S660" s="34">
        <f>Allocation[[#This Row],[Quantity Processed]]/Allocation[[#This Row],[Dilution rate]]</f>
        <v>0.4</v>
      </c>
      <c r="T660" s="59">
        <f>SUMIF(Allocation[Delivery ID],Allocation[[#This Row],[Delivery ID]],Allocation[Quantity allocated])/SUMIF(Allocation[Delivery ID],Allocation[[#This Row],[Delivery ID]],Allocation[Volume available (kg)])</f>
        <v>0.87840437198665278</v>
      </c>
      <c r="U660" s="61">
        <f>Allocation[[#This Row],[Total volume used]]/VLOOKUP(Allocation[[#This Row],[Delivery ID]],Delivery[[Delivery ID]:[Quantity delivered]],3,FALSE)</f>
        <v>3.5835205992509361E-2</v>
      </c>
      <c r="V660" s="34" t="e">
        <f>VLOOKUP(Allocation[[#This Row],[SAP Contract number]],Shipments[[SAP Contract number]:[Contracted container weight]],2,FALSE)</f>
        <v>#N/A</v>
      </c>
      <c r="W660" s="34" t="e">
        <f>VLOOKUP(Allocation[[#This Row],[SAP Contract number]],Shipments[[SAP Contract number]:[AAA Premium USD]],24,FALSE)</f>
        <v>#N/A</v>
      </c>
      <c r="X660" s="34" t="e">
        <f>VLOOKUP(Allocation[[#This Row],[SAP Contract number]],Shipments[[SAP Contract number]:[RA Premium USD]],25,FALSE)</f>
        <v>#N/A</v>
      </c>
      <c r="Y660" s="38">
        <f>Allocation[[#This Row],[Quantity Processed]]/Allocation[[#This Row],[Quantity allocated]]</f>
        <v>3.0303030303030303</v>
      </c>
      <c r="Z660" s="34" t="b">
        <f>Allocation[[#This Row],[Quantity allocated]]&lt;=Allocation[[#This Row],[Quantity Processed]]</f>
        <v>1</v>
      </c>
    </row>
    <row r="661" spans="1:26">
      <c r="A661" s="247" t="s">
        <v>467</v>
      </c>
      <c r="B661" s="160" t="s">
        <v>68</v>
      </c>
      <c r="C661" s="252" t="s">
        <v>676</v>
      </c>
      <c r="D661" s="250">
        <v>1</v>
      </c>
      <c r="E661" s="160" t="s">
        <v>1237</v>
      </c>
      <c r="F661" s="158">
        <v>43514</v>
      </c>
      <c r="G661" s="162">
        <v>2.5</v>
      </c>
      <c r="H661" s="250">
        <v>0.33</v>
      </c>
      <c r="I661" s="160">
        <v>1433478</v>
      </c>
      <c r="J661" s="163">
        <v>19175</v>
      </c>
      <c r="K661" s="158">
        <v>43521</v>
      </c>
      <c r="L661" s="160" t="s">
        <v>1254</v>
      </c>
      <c r="M661" s="160">
        <v>4615516135</v>
      </c>
      <c r="N661" s="158">
        <v>43544</v>
      </c>
      <c r="O661" s="164">
        <v>3.7890999999999999</v>
      </c>
      <c r="P661" s="165" t="s">
        <v>1323</v>
      </c>
      <c r="Q661" s="34">
        <f>SUMIF(Allocation[Delivery ID],Allocation[[#This Row],[Delivery ID]],Allocation[Quantity Processed])</f>
        <v>598</v>
      </c>
      <c r="R661" s="61">
        <f>Allocation[[#This Row],[Total volume used]]/VLOOKUP(Allocation[[#This Row],[Delivery ID]],Delivery[[Delivery ID]:[Quantity delivered]],3,FALSE)</f>
        <v>1.9056724028043339E-2</v>
      </c>
      <c r="S661" s="34">
        <f>Allocation[[#This Row],[Quantity Processed]]/Allocation[[#This Row],[Dilution rate]]</f>
        <v>0.4</v>
      </c>
      <c r="T661" s="59">
        <f>SUMIF(Allocation[Delivery ID],Allocation[[#This Row],[Delivery ID]],Allocation[Quantity allocated])/SUMIF(Allocation[Delivery ID],Allocation[[#This Row],[Delivery ID]],Allocation[Volume available (kg)])</f>
        <v>0.87840437198665278</v>
      </c>
      <c r="U661" s="61">
        <f>Allocation[[#This Row],[Total volume used]]/VLOOKUP(Allocation[[#This Row],[Delivery ID]],Delivery[[Delivery ID]:[Quantity delivered]],3,FALSE)</f>
        <v>1.9056724028043339E-2</v>
      </c>
      <c r="V661" s="34" t="e">
        <f>VLOOKUP(Allocation[[#This Row],[SAP Contract number]],Shipments[[SAP Contract number]:[Contracted container weight]],2,FALSE)</f>
        <v>#N/A</v>
      </c>
      <c r="W661" s="34" t="e">
        <f>VLOOKUP(Allocation[[#This Row],[SAP Contract number]],Shipments[[SAP Contract number]:[AAA Premium USD]],24,FALSE)</f>
        <v>#N/A</v>
      </c>
      <c r="X661" s="34" t="e">
        <f>VLOOKUP(Allocation[[#This Row],[SAP Contract number]],Shipments[[SAP Contract number]:[RA Premium USD]],25,FALSE)</f>
        <v>#N/A</v>
      </c>
      <c r="Y661" s="38">
        <f>Allocation[[#This Row],[Quantity Processed]]/Allocation[[#This Row],[Quantity allocated]]</f>
        <v>3.0303030303030303</v>
      </c>
      <c r="Z661" s="34" t="b">
        <f>Allocation[[#This Row],[Quantity allocated]]&lt;=Allocation[[#This Row],[Quantity Processed]]</f>
        <v>1</v>
      </c>
    </row>
    <row r="662" spans="1:26">
      <c r="A662" s="247" t="s">
        <v>467</v>
      </c>
      <c r="B662" s="160" t="s">
        <v>68</v>
      </c>
      <c r="C662" s="252" t="s">
        <v>692</v>
      </c>
      <c r="D662" s="250">
        <v>1</v>
      </c>
      <c r="E662" s="160" t="s">
        <v>1237</v>
      </c>
      <c r="F662" s="158">
        <v>43514</v>
      </c>
      <c r="G662" s="162">
        <v>2.5</v>
      </c>
      <c r="H662" s="250">
        <v>0.3</v>
      </c>
      <c r="I662" s="160">
        <v>1433478</v>
      </c>
      <c r="J662" s="163">
        <v>19175</v>
      </c>
      <c r="K662" s="158">
        <v>43521</v>
      </c>
      <c r="L662" s="160" t="s">
        <v>1254</v>
      </c>
      <c r="M662" s="160">
        <v>4615516135</v>
      </c>
      <c r="N662" s="158">
        <v>43544</v>
      </c>
      <c r="O662" s="164">
        <v>3.7890999999999999</v>
      </c>
      <c r="P662" s="165" t="s">
        <v>1323</v>
      </c>
      <c r="Q662" s="34">
        <f>SUMIF(Allocation[Delivery ID],Allocation[[#This Row],[Delivery ID]],Allocation[Quantity Processed])</f>
        <v>543</v>
      </c>
      <c r="R662" s="61">
        <f>Allocation[[#This Row],[Total volume used]]/VLOOKUP(Allocation[[#This Row],[Delivery ID]],Delivery[[Delivery ID]:[Quantity delivered]],3,FALSE)</f>
        <v>1.8103620724144828E-2</v>
      </c>
      <c r="S662" s="34">
        <f>Allocation[[#This Row],[Quantity Processed]]/Allocation[[#This Row],[Dilution rate]]</f>
        <v>0.4</v>
      </c>
      <c r="T662" s="59">
        <f>SUMIF(Allocation[Delivery ID],Allocation[[#This Row],[Delivery ID]],Allocation[Quantity allocated])/SUMIF(Allocation[Delivery ID],Allocation[[#This Row],[Delivery ID]],Allocation[Volume available (kg)])</f>
        <v>0.96718718932492842</v>
      </c>
      <c r="U662" s="61">
        <f>Allocation[[#This Row],[Total volume used]]/VLOOKUP(Allocation[[#This Row],[Delivery ID]],Delivery[[Delivery ID]:[Quantity delivered]],3,FALSE)</f>
        <v>1.8103620724144828E-2</v>
      </c>
      <c r="V662" s="34" t="e">
        <f>VLOOKUP(Allocation[[#This Row],[SAP Contract number]],Shipments[[SAP Contract number]:[Contracted container weight]],2,FALSE)</f>
        <v>#N/A</v>
      </c>
      <c r="W662" s="34" t="e">
        <f>VLOOKUP(Allocation[[#This Row],[SAP Contract number]],Shipments[[SAP Contract number]:[AAA Premium USD]],24,FALSE)</f>
        <v>#N/A</v>
      </c>
      <c r="X662" s="34" t="e">
        <f>VLOOKUP(Allocation[[#This Row],[SAP Contract number]],Shipments[[SAP Contract number]:[RA Premium USD]],25,FALSE)</f>
        <v>#N/A</v>
      </c>
      <c r="Y662" s="38">
        <f>Allocation[[#This Row],[Quantity Processed]]/Allocation[[#This Row],[Quantity allocated]]</f>
        <v>3.3333333333333335</v>
      </c>
      <c r="Z662" s="34" t="b">
        <f>Allocation[[#This Row],[Quantity allocated]]&lt;=Allocation[[#This Row],[Quantity Processed]]</f>
        <v>1</v>
      </c>
    </row>
    <row r="663" spans="1:26">
      <c r="A663" s="247" t="s">
        <v>467</v>
      </c>
      <c r="B663" s="160" t="s">
        <v>68</v>
      </c>
      <c r="C663" s="252" t="s">
        <v>693</v>
      </c>
      <c r="D663" s="250">
        <v>1</v>
      </c>
      <c r="E663" s="160" t="s">
        <v>1237</v>
      </c>
      <c r="F663" s="158">
        <v>43514</v>
      </c>
      <c r="G663" s="162">
        <v>2.5</v>
      </c>
      <c r="H663" s="250">
        <v>0.33</v>
      </c>
      <c r="I663" s="160">
        <v>1433478</v>
      </c>
      <c r="J663" s="163">
        <v>19175</v>
      </c>
      <c r="K663" s="158">
        <v>43521</v>
      </c>
      <c r="L663" s="160" t="s">
        <v>1254</v>
      </c>
      <c r="M663" s="160">
        <v>4615516135</v>
      </c>
      <c r="N663" s="158">
        <v>43544</v>
      </c>
      <c r="O663" s="164">
        <v>3.7890999999999999</v>
      </c>
      <c r="P663" s="165" t="s">
        <v>1323</v>
      </c>
      <c r="Q663" s="34">
        <f>SUMIF(Allocation[Delivery ID],Allocation[[#This Row],[Delivery ID]],Allocation[Quantity Processed])</f>
        <v>1</v>
      </c>
      <c r="R663" s="61">
        <f>Allocation[[#This Row],[Total volume used]]/VLOOKUP(Allocation[[#This Row],[Delivery ID]],Delivery[[Delivery ID]:[Quantity delivered]],3,FALSE)</f>
        <v>5.7656826568265681E-5</v>
      </c>
      <c r="S663" s="34">
        <f>Allocation[[#This Row],[Quantity Processed]]/Allocation[[#This Row],[Dilution rate]]</f>
        <v>0.4</v>
      </c>
      <c r="T663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663" s="61">
        <f>Allocation[[#This Row],[Total volume used]]/VLOOKUP(Allocation[[#This Row],[Delivery ID]],Delivery[[Delivery ID]:[Quantity delivered]],3,FALSE)</f>
        <v>5.7656826568265681E-5</v>
      </c>
      <c r="V663" s="34" t="e">
        <f>VLOOKUP(Allocation[[#This Row],[SAP Contract number]],Shipments[[SAP Contract number]:[Contracted container weight]],2,FALSE)</f>
        <v>#N/A</v>
      </c>
      <c r="W663" s="34" t="e">
        <f>VLOOKUP(Allocation[[#This Row],[SAP Contract number]],Shipments[[SAP Contract number]:[AAA Premium USD]],24,FALSE)</f>
        <v>#N/A</v>
      </c>
      <c r="X663" s="34" t="e">
        <f>VLOOKUP(Allocation[[#This Row],[SAP Contract number]],Shipments[[SAP Contract number]:[RA Premium USD]],25,FALSE)</f>
        <v>#N/A</v>
      </c>
      <c r="Y663" s="38">
        <f>Allocation[[#This Row],[Quantity Processed]]/Allocation[[#This Row],[Quantity allocated]]</f>
        <v>3.0303030303030303</v>
      </c>
      <c r="Z663" s="34" t="b">
        <f>Allocation[[#This Row],[Quantity allocated]]&lt;=Allocation[[#This Row],[Quantity Processed]]</f>
        <v>1</v>
      </c>
    </row>
    <row r="664" spans="1:26">
      <c r="A664" s="247" t="s">
        <v>467</v>
      </c>
      <c r="B664" s="160" t="s">
        <v>68</v>
      </c>
      <c r="C664" s="252" t="s">
        <v>694</v>
      </c>
      <c r="D664" s="250">
        <v>1</v>
      </c>
      <c r="E664" s="160" t="s">
        <v>1237</v>
      </c>
      <c r="F664" s="158">
        <v>43514</v>
      </c>
      <c r="G664" s="162">
        <v>2.5</v>
      </c>
      <c r="H664" s="250">
        <v>0.33</v>
      </c>
      <c r="I664" s="160">
        <v>1433478</v>
      </c>
      <c r="J664" s="163">
        <v>19175</v>
      </c>
      <c r="K664" s="158">
        <v>43521</v>
      </c>
      <c r="L664" s="160" t="s">
        <v>1254</v>
      </c>
      <c r="M664" s="160">
        <v>4615516135</v>
      </c>
      <c r="N664" s="158">
        <v>43544</v>
      </c>
      <c r="O664" s="164">
        <v>3.7890999999999999</v>
      </c>
      <c r="P664" s="165" t="s">
        <v>1323</v>
      </c>
      <c r="Q664" s="34">
        <f>SUMIF(Allocation[Delivery ID],Allocation[[#This Row],[Delivery ID]],Allocation[Quantity Processed])</f>
        <v>543</v>
      </c>
      <c r="R664" s="61">
        <f>Allocation[[#This Row],[Total volume used]]/VLOOKUP(Allocation[[#This Row],[Delivery ID]],Delivery[[Delivery ID]:[Quantity delivered]],3,FALSE)</f>
        <v>2.5397567820392892E-2</v>
      </c>
      <c r="S664" s="34">
        <f>Allocation[[#This Row],[Quantity Processed]]/Allocation[[#This Row],[Dilution rate]]</f>
        <v>0.4</v>
      </c>
      <c r="T664" s="59">
        <f>SUMIF(Allocation[Delivery ID],Allocation[[#This Row],[Delivery ID]],Allocation[Quantity allocated])/SUMIF(Allocation[Delivery ID],Allocation[[#This Row],[Delivery ID]],Allocation[Volume available (kg)])</f>
        <v>0.96734901651778815</v>
      </c>
      <c r="U664" s="61">
        <f>Allocation[[#This Row],[Total volume used]]/VLOOKUP(Allocation[[#This Row],[Delivery ID]],Delivery[[Delivery ID]:[Quantity delivered]],3,FALSE)</f>
        <v>2.5397567820392892E-2</v>
      </c>
      <c r="V664" s="34" t="e">
        <f>VLOOKUP(Allocation[[#This Row],[SAP Contract number]],Shipments[[SAP Contract number]:[Contracted container weight]],2,FALSE)</f>
        <v>#N/A</v>
      </c>
      <c r="W664" s="34" t="e">
        <f>VLOOKUP(Allocation[[#This Row],[SAP Contract number]],Shipments[[SAP Contract number]:[AAA Premium USD]],24,FALSE)</f>
        <v>#N/A</v>
      </c>
      <c r="X664" s="34" t="e">
        <f>VLOOKUP(Allocation[[#This Row],[SAP Contract number]],Shipments[[SAP Contract number]:[RA Premium USD]],25,FALSE)</f>
        <v>#N/A</v>
      </c>
      <c r="Y664" s="38">
        <f>Allocation[[#This Row],[Quantity Processed]]/Allocation[[#This Row],[Quantity allocated]]</f>
        <v>3.0303030303030303</v>
      </c>
      <c r="Z664" s="34" t="b">
        <f>Allocation[[#This Row],[Quantity allocated]]&lt;=Allocation[[#This Row],[Quantity Processed]]</f>
        <v>1</v>
      </c>
    </row>
    <row r="665" spans="1:26">
      <c r="A665" s="247" t="s">
        <v>467</v>
      </c>
      <c r="B665" s="160" t="s">
        <v>68</v>
      </c>
      <c r="C665" s="252" t="s">
        <v>701</v>
      </c>
      <c r="D665" s="250">
        <v>1</v>
      </c>
      <c r="E665" s="160" t="s">
        <v>1237</v>
      </c>
      <c r="F665" s="158">
        <v>43514</v>
      </c>
      <c r="G665" s="162">
        <v>2.5</v>
      </c>
      <c r="H665" s="250">
        <v>0.33</v>
      </c>
      <c r="I665" s="160">
        <v>1433478</v>
      </c>
      <c r="J665" s="163">
        <v>19175</v>
      </c>
      <c r="K665" s="158">
        <v>43521</v>
      </c>
      <c r="L665" s="160" t="s">
        <v>1254</v>
      </c>
      <c r="M665" s="160">
        <v>4615516135</v>
      </c>
      <c r="N665" s="158">
        <v>43544</v>
      </c>
      <c r="O665" s="164">
        <v>3.7890999999999999</v>
      </c>
      <c r="P665" s="165" t="s">
        <v>1323</v>
      </c>
      <c r="Q665" s="34">
        <f>SUMIF(Allocation[Delivery ID],Allocation[[#This Row],[Delivery ID]],Allocation[Quantity Processed])</f>
        <v>483</v>
      </c>
      <c r="R665" s="61">
        <f>Allocation[[#This Row],[Total volume used]]/VLOOKUP(Allocation[[#This Row],[Delivery ID]],Delivery[[Delivery ID]:[Quantity delivered]],3,FALSE)</f>
        <v>1.799720540288775E-2</v>
      </c>
      <c r="S665" s="34">
        <f>Allocation[[#This Row],[Quantity Processed]]/Allocation[[#This Row],[Dilution rate]]</f>
        <v>0.4</v>
      </c>
      <c r="T665" s="59">
        <f>SUMIF(Allocation[Delivery ID],Allocation[[#This Row],[Delivery ID]],Allocation[Quantity allocated])/SUMIF(Allocation[Delivery ID],Allocation[[#This Row],[Delivery ID]],Allocation[Volume available (kg)])</f>
        <v>0.96619195648754486</v>
      </c>
      <c r="U665" s="61">
        <f>Allocation[[#This Row],[Total volume used]]/VLOOKUP(Allocation[[#This Row],[Delivery ID]],Delivery[[Delivery ID]:[Quantity delivered]],3,FALSE)</f>
        <v>1.799720540288775E-2</v>
      </c>
      <c r="V665" s="34" t="e">
        <f>VLOOKUP(Allocation[[#This Row],[SAP Contract number]],Shipments[[SAP Contract number]:[Contracted container weight]],2,FALSE)</f>
        <v>#N/A</v>
      </c>
      <c r="W665" s="34" t="e">
        <f>VLOOKUP(Allocation[[#This Row],[SAP Contract number]],Shipments[[SAP Contract number]:[AAA Premium USD]],24,FALSE)</f>
        <v>#N/A</v>
      </c>
      <c r="X665" s="34" t="e">
        <f>VLOOKUP(Allocation[[#This Row],[SAP Contract number]],Shipments[[SAP Contract number]:[RA Premium USD]],25,FALSE)</f>
        <v>#N/A</v>
      </c>
      <c r="Y665" s="38">
        <f>Allocation[[#This Row],[Quantity Processed]]/Allocation[[#This Row],[Quantity allocated]]</f>
        <v>3.0303030303030303</v>
      </c>
      <c r="Z665" s="34" t="b">
        <f>Allocation[[#This Row],[Quantity allocated]]&lt;=Allocation[[#This Row],[Quantity Processed]]</f>
        <v>1</v>
      </c>
    </row>
    <row r="666" spans="1:26">
      <c r="A666" s="247" t="s">
        <v>467</v>
      </c>
      <c r="B666" s="160" t="s">
        <v>68</v>
      </c>
      <c r="C666" s="252" t="s">
        <v>704</v>
      </c>
      <c r="D666" s="250">
        <v>1</v>
      </c>
      <c r="E666" s="160" t="s">
        <v>1237</v>
      </c>
      <c r="F666" s="158">
        <v>43514</v>
      </c>
      <c r="G666" s="162">
        <v>2.5</v>
      </c>
      <c r="H666" s="250">
        <v>0.33</v>
      </c>
      <c r="I666" s="160">
        <v>1433478</v>
      </c>
      <c r="J666" s="163">
        <v>19175</v>
      </c>
      <c r="K666" s="158">
        <v>43521</v>
      </c>
      <c r="L666" s="160" t="s">
        <v>1254</v>
      </c>
      <c r="M666" s="160">
        <v>4615516135</v>
      </c>
      <c r="N666" s="158">
        <v>43544</v>
      </c>
      <c r="O666" s="164">
        <v>3.7890999999999999</v>
      </c>
      <c r="P666" s="165" t="s">
        <v>1323</v>
      </c>
      <c r="Q666" s="34">
        <f>SUMIF(Allocation[Delivery ID],Allocation[[#This Row],[Delivery ID]],Allocation[Quantity Processed])</f>
        <v>1</v>
      </c>
      <c r="R666" s="61">
        <f>Allocation[[#This Row],[Total volume used]]/VLOOKUP(Allocation[[#This Row],[Delivery ID]],Delivery[[Delivery ID]:[Quantity delivered]],3,FALSE)</f>
        <v>6.2853551225644248E-5</v>
      </c>
      <c r="S666" s="34">
        <f>Allocation[[#This Row],[Quantity Processed]]/Allocation[[#This Row],[Dilution rate]]</f>
        <v>0.4</v>
      </c>
      <c r="T666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666" s="61">
        <f>Allocation[[#This Row],[Total volume used]]/VLOOKUP(Allocation[[#This Row],[Delivery ID]],Delivery[[Delivery ID]:[Quantity delivered]],3,FALSE)</f>
        <v>6.2853551225644248E-5</v>
      </c>
      <c r="V666" s="34" t="e">
        <f>VLOOKUP(Allocation[[#This Row],[SAP Contract number]],Shipments[[SAP Contract number]:[Contracted container weight]],2,FALSE)</f>
        <v>#N/A</v>
      </c>
      <c r="W666" s="34" t="e">
        <f>VLOOKUP(Allocation[[#This Row],[SAP Contract number]],Shipments[[SAP Contract number]:[AAA Premium USD]],24,FALSE)</f>
        <v>#N/A</v>
      </c>
      <c r="X666" s="34" t="e">
        <f>VLOOKUP(Allocation[[#This Row],[SAP Contract number]],Shipments[[SAP Contract number]:[RA Premium USD]],25,FALSE)</f>
        <v>#N/A</v>
      </c>
      <c r="Y666" s="38">
        <f>Allocation[[#This Row],[Quantity Processed]]/Allocation[[#This Row],[Quantity allocated]]</f>
        <v>3.0303030303030303</v>
      </c>
      <c r="Z666" s="34" t="b">
        <f>Allocation[[#This Row],[Quantity allocated]]&lt;=Allocation[[#This Row],[Quantity Processed]]</f>
        <v>1</v>
      </c>
    </row>
    <row r="667" spans="1:26">
      <c r="A667" s="247" t="s">
        <v>467</v>
      </c>
      <c r="B667" s="160" t="s">
        <v>68</v>
      </c>
      <c r="C667" s="252" t="s">
        <v>712</v>
      </c>
      <c r="D667" s="250">
        <v>1</v>
      </c>
      <c r="E667" s="160" t="s">
        <v>1237</v>
      </c>
      <c r="F667" s="158">
        <v>43514</v>
      </c>
      <c r="G667" s="162">
        <v>2.5</v>
      </c>
      <c r="H667" s="250">
        <v>0.33</v>
      </c>
      <c r="I667" s="160">
        <v>1433478</v>
      </c>
      <c r="J667" s="163">
        <v>19175</v>
      </c>
      <c r="K667" s="158">
        <v>43521</v>
      </c>
      <c r="L667" s="160" t="s">
        <v>1254</v>
      </c>
      <c r="M667" s="160">
        <v>4615516135</v>
      </c>
      <c r="N667" s="158">
        <v>43544</v>
      </c>
      <c r="O667" s="164">
        <v>3.7890999999999999</v>
      </c>
      <c r="P667" s="165" t="s">
        <v>1323</v>
      </c>
      <c r="Q667" s="34">
        <f>SUMIF(Allocation[Delivery ID],Allocation[[#This Row],[Delivery ID]],Allocation[Quantity Processed])</f>
        <v>549</v>
      </c>
      <c r="R667" s="61">
        <f>Allocation[[#This Row],[Total volume used]]/VLOOKUP(Allocation[[#This Row],[Delivery ID]],Delivery[[Delivery ID]:[Quantity delivered]],3,FALSE)</f>
        <v>1.8101487025619045E-2</v>
      </c>
      <c r="S667" s="34">
        <f>Allocation[[#This Row],[Quantity Processed]]/Allocation[[#This Row],[Dilution rate]]</f>
        <v>0.4</v>
      </c>
      <c r="T667" s="59">
        <f>SUMIF(Allocation[Delivery ID],Allocation[[#This Row],[Delivery ID]],Allocation[Quantity allocated])/SUMIF(Allocation[Delivery ID],Allocation[[#This Row],[Delivery ID]],Allocation[Volume available (kg)])</f>
        <v>0.96745081686611845</v>
      </c>
      <c r="U667" s="61">
        <f>Allocation[[#This Row],[Total volume used]]/VLOOKUP(Allocation[[#This Row],[Delivery ID]],Delivery[[Delivery ID]:[Quantity delivered]],3,FALSE)</f>
        <v>1.8101487025619045E-2</v>
      </c>
      <c r="V667" s="34" t="e">
        <f>VLOOKUP(Allocation[[#This Row],[SAP Contract number]],Shipments[[SAP Contract number]:[Contracted container weight]],2,FALSE)</f>
        <v>#N/A</v>
      </c>
      <c r="W667" s="34" t="e">
        <f>VLOOKUP(Allocation[[#This Row],[SAP Contract number]],Shipments[[SAP Contract number]:[AAA Premium USD]],24,FALSE)</f>
        <v>#N/A</v>
      </c>
      <c r="X667" s="34" t="e">
        <f>VLOOKUP(Allocation[[#This Row],[SAP Contract number]],Shipments[[SAP Contract number]:[RA Premium USD]],25,FALSE)</f>
        <v>#N/A</v>
      </c>
      <c r="Y667" s="38">
        <f>Allocation[[#This Row],[Quantity Processed]]/Allocation[[#This Row],[Quantity allocated]]</f>
        <v>3.0303030303030303</v>
      </c>
      <c r="Z667" s="34" t="b">
        <f>Allocation[[#This Row],[Quantity allocated]]&lt;=Allocation[[#This Row],[Quantity Processed]]</f>
        <v>1</v>
      </c>
    </row>
    <row r="668" spans="1:26">
      <c r="A668" s="247" t="s">
        <v>467</v>
      </c>
      <c r="B668" s="160" t="s">
        <v>68</v>
      </c>
      <c r="C668" s="252" t="s">
        <v>715</v>
      </c>
      <c r="D668" s="250">
        <v>1</v>
      </c>
      <c r="E668" s="160" t="s">
        <v>1237</v>
      </c>
      <c r="F668" s="158">
        <v>43514</v>
      </c>
      <c r="G668" s="162">
        <v>2.5</v>
      </c>
      <c r="H668" s="250">
        <v>0.33</v>
      </c>
      <c r="I668" s="160">
        <v>1433478</v>
      </c>
      <c r="J668" s="163">
        <v>19175</v>
      </c>
      <c r="K668" s="158">
        <v>43521</v>
      </c>
      <c r="L668" s="160" t="s">
        <v>1254</v>
      </c>
      <c r="M668" s="160">
        <v>4615516135</v>
      </c>
      <c r="N668" s="158">
        <v>43544</v>
      </c>
      <c r="O668" s="164">
        <v>3.7890999999999999</v>
      </c>
      <c r="P668" s="165" t="s">
        <v>1323</v>
      </c>
      <c r="Q668" s="34">
        <f>SUMIF(Allocation[Delivery ID],Allocation[[#This Row],[Delivery ID]],Allocation[Quantity Processed])</f>
        <v>540</v>
      </c>
      <c r="R668" s="61">
        <f>Allocation[[#This Row],[Total volume used]]/VLOOKUP(Allocation[[#This Row],[Delivery ID]],Delivery[[Delivery ID]:[Quantity delivered]],3,FALSE)</f>
        <v>1.8066242890598862E-2</v>
      </c>
      <c r="S668" s="34">
        <f>Allocation[[#This Row],[Quantity Processed]]/Allocation[[#This Row],[Dilution rate]]</f>
        <v>0.4</v>
      </c>
      <c r="T668" s="59">
        <f>SUMIF(Allocation[Delivery ID],Allocation[[#This Row],[Delivery ID]],Allocation[Quantity allocated])/SUMIF(Allocation[Delivery ID],Allocation[[#This Row],[Delivery ID]],Allocation[Volume available (kg)])</f>
        <v>0.96729726827751172</v>
      </c>
      <c r="U668" s="61">
        <f>Allocation[[#This Row],[Total volume used]]/VLOOKUP(Allocation[[#This Row],[Delivery ID]],Delivery[[Delivery ID]:[Quantity delivered]],3,FALSE)</f>
        <v>1.8066242890598862E-2</v>
      </c>
      <c r="V668" s="34" t="e">
        <f>VLOOKUP(Allocation[[#This Row],[SAP Contract number]],Shipments[[SAP Contract number]:[Contracted container weight]],2,FALSE)</f>
        <v>#N/A</v>
      </c>
      <c r="W668" s="34" t="e">
        <f>VLOOKUP(Allocation[[#This Row],[SAP Contract number]],Shipments[[SAP Contract number]:[AAA Premium USD]],24,FALSE)</f>
        <v>#N/A</v>
      </c>
      <c r="X668" s="34" t="e">
        <f>VLOOKUP(Allocation[[#This Row],[SAP Contract number]],Shipments[[SAP Contract number]:[RA Premium USD]],25,FALSE)</f>
        <v>#N/A</v>
      </c>
      <c r="Y668" s="38">
        <f>Allocation[[#This Row],[Quantity Processed]]/Allocation[[#This Row],[Quantity allocated]]</f>
        <v>3.0303030303030303</v>
      </c>
      <c r="Z668" s="34" t="b">
        <f>Allocation[[#This Row],[Quantity allocated]]&lt;=Allocation[[#This Row],[Quantity Processed]]</f>
        <v>1</v>
      </c>
    </row>
    <row r="669" spans="1:26">
      <c r="A669" s="247" t="s">
        <v>467</v>
      </c>
      <c r="B669" s="160" t="s">
        <v>68</v>
      </c>
      <c r="C669" s="252" t="s">
        <v>717</v>
      </c>
      <c r="D669" s="250">
        <v>1</v>
      </c>
      <c r="E669" s="160" t="s">
        <v>1237</v>
      </c>
      <c r="F669" s="158">
        <v>43514</v>
      </c>
      <c r="G669" s="162">
        <v>2.5</v>
      </c>
      <c r="H669" s="250">
        <v>0.33</v>
      </c>
      <c r="I669" s="160">
        <v>1433478</v>
      </c>
      <c r="J669" s="163">
        <v>19175</v>
      </c>
      <c r="K669" s="158">
        <v>43521</v>
      </c>
      <c r="L669" s="160" t="s">
        <v>1254</v>
      </c>
      <c r="M669" s="160">
        <v>4615516135</v>
      </c>
      <c r="N669" s="158">
        <v>43544</v>
      </c>
      <c r="O669" s="164">
        <v>3.7890999999999999</v>
      </c>
      <c r="P669" s="165" t="s">
        <v>1323</v>
      </c>
      <c r="Q669" s="34">
        <f>SUMIF(Allocation[Delivery ID],Allocation[[#This Row],[Delivery ID]],Allocation[Quantity Processed])</f>
        <v>507</v>
      </c>
      <c r="R669" s="61">
        <f>Allocation[[#This Row],[Total volume used]]/VLOOKUP(Allocation[[#This Row],[Delivery ID]],Delivery[[Delivery ID]:[Quantity delivered]],3,FALSE)</f>
        <v>1.8037569375266828E-2</v>
      </c>
      <c r="S669" s="34">
        <f>Allocation[[#This Row],[Quantity Processed]]/Allocation[[#This Row],[Dilution rate]]</f>
        <v>0.4</v>
      </c>
      <c r="T669" s="59">
        <f>SUMIF(Allocation[Delivery ID],Allocation[[#This Row],[Delivery ID]],Allocation[Quantity allocated])/SUMIF(Allocation[Delivery ID],Allocation[[#This Row],[Delivery ID]],Allocation[Volume available (kg)])</f>
        <v>0.96668763259801427</v>
      </c>
      <c r="U669" s="61">
        <f>Allocation[[#This Row],[Total volume used]]/VLOOKUP(Allocation[[#This Row],[Delivery ID]],Delivery[[Delivery ID]:[Quantity delivered]],3,FALSE)</f>
        <v>1.8037569375266828E-2</v>
      </c>
      <c r="V669" s="34" t="e">
        <f>VLOOKUP(Allocation[[#This Row],[SAP Contract number]],Shipments[[SAP Contract number]:[Contracted container weight]],2,FALSE)</f>
        <v>#N/A</v>
      </c>
      <c r="W669" s="34" t="e">
        <f>VLOOKUP(Allocation[[#This Row],[SAP Contract number]],Shipments[[SAP Contract number]:[AAA Premium USD]],24,FALSE)</f>
        <v>#N/A</v>
      </c>
      <c r="X669" s="34" t="e">
        <f>VLOOKUP(Allocation[[#This Row],[SAP Contract number]],Shipments[[SAP Contract number]:[RA Premium USD]],25,FALSE)</f>
        <v>#N/A</v>
      </c>
      <c r="Y669" s="38">
        <f>Allocation[[#This Row],[Quantity Processed]]/Allocation[[#This Row],[Quantity allocated]]</f>
        <v>3.0303030303030303</v>
      </c>
      <c r="Z669" s="34" t="b">
        <f>Allocation[[#This Row],[Quantity allocated]]&lt;=Allocation[[#This Row],[Quantity Processed]]</f>
        <v>1</v>
      </c>
    </row>
    <row r="670" spans="1:26">
      <c r="A670" s="247" t="s">
        <v>467</v>
      </c>
      <c r="B670" s="160" t="s">
        <v>68</v>
      </c>
      <c r="C670" s="252" t="s">
        <v>731</v>
      </c>
      <c r="D670" s="250">
        <v>1</v>
      </c>
      <c r="E670" s="160" t="s">
        <v>1237</v>
      </c>
      <c r="F670" s="158">
        <v>43514</v>
      </c>
      <c r="G670" s="162">
        <v>2.5</v>
      </c>
      <c r="H670" s="250">
        <v>0.33</v>
      </c>
      <c r="I670" s="160">
        <v>1433478</v>
      </c>
      <c r="J670" s="163">
        <v>19175</v>
      </c>
      <c r="K670" s="158">
        <v>43521</v>
      </c>
      <c r="L670" s="160" t="s">
        <v>1254</v>
      </c>
      <c r="M670" s="160">
        <v>4615516135</v>
      </c>
      <c r="N670" s="158">
        <v>43544</v>
      </c>
      <c r="O670" s="164">
        <v>3.7890999999999999</v>
      </c>
      <c r="P670" s="165" t="s">
        <v>1323</v>
      </c>
      <c r="Q670" s="34">
        <f>SUMIF(Allocation[Delivery ID],Allocation[[#This Row],[Delivery ID]],Allocation[Quantity Processed])</f>
        <v>480</v>
      </c>
      <c r="R670" s="61">
        <f>Allocation[[#This Row],[Total volume used]]/VLOOKUP(Allocation[[#This Row],[Delivery ID]],Delivery[[Delivery ID]:[Quantity delivered]],3,FALSE)</f>
        <v>4.2344845838295619E-2</v>
      </c>
      <c r="S670" s="34">
        <f>Allocation[[#This Row],[Quantity Processed]]/Allocation[[#This Row],[Dilution rate]]</f>
        <v>0.4</v>
      </c>
      <c r="T670" s="59">
        <f>SUMIF(Allocation[Delivery ID],Allocation[[#This Row],[Delivery ID]],Allocation[Quantity allocated])/SUMIF(Allocation[Delivery ID],Allocation[[#This Row],[Delivery ID]],Allocation[Volume available (kg)])</f>
        <v>1.1430839365893888</v>
      </c>
      <c r="U670" s="61">
        <f>Allocation[[#This Row],[Total volume used]]/VLOOKUP(Allocation[[#This Row],[Delivery ID]],Delivery[[Delivery ID]:[Quantity delivered]],3,FALSE)</f>
        <v>4.2344845838295619E-2</v>
      </c>
      <c r="V670" s="34" t="e">
        <f>VLOOKUP(Allocation[[#This Row],[SAP Contract number]],Shipments[[SAP Contract number]:[Contracted container weight]],2,FALSE)</f>
        <v>#N/A</v>
      </c>
      <c r="W670" s="34" t="e">
        <f>VLOOKUP(Allocation[[#This Row],[SAP Contract number]],Shipments[[SAP Contract number]:[AAA Premium USD]],24,FALSE)</f>
        <v>#N/A</v>
      </c>
      <c r="X670" s="34" t="e">
        <f>VLOOKUP(Allocation[[#This Row],[SAP Contract number]],Shipments[[SAP Contract number]:[RA Premium USD]],25,FALSE)</f>
        <v>#N/A</v>
      </c>
      <c r="Y670" s="38">
        <f>Allocation[[#This Row],[Quantity Processed]]/Allocation[[#This Row],[Quantity allocated]]</f>
        <v>3.0303030303030303</v>
      </c>
      <c r="Z670" s="34" t="b">
        <f>Allocation[[#This Row],[Quantity allocated]]&lt;=Allocation[[#This Row],[Quantity Processed]]</f>
        <v>1</v>
      </c>
    </row>
    <row r="671" spans="1:26">
      <c r="A671" s="247" t="s">
        <v>467</v>
      </c>
      <c r="B671" s="160" t="s">
        <v>68</v>
      </c>
      <c r="C671" s="252" t="s">
        <v>736</v>
      </c>
      <c r="D671" s="250">
        <v>179</v>
      </c>
      <c r="E671" s="160" t="s">
        <v>1237</v>
      </c>
      <c r="F671" s="158">
        <v>43514</v>
      </c>
      <c r="G671" s="162">
        <v>2.5</v>
      </c>
      <c r="H671" s="250">
        <v>59</v>
      </c>
      <c r="I671" s="160">
        <v>1433478</v>
      </c>
      <c r="J671" s="163">
        <v>19175</v>
      </c>
      <c r="K671" s="158">
        <v>43521</v>
      </c>
      <c r="L671" s="160" t="s">
        <v>1254</v>
      </c>
      <c r="M671" s="160">
        <v>4615516135</v>
      </c>
      <c r="N671" s="158">
        <v>43544</v>
      </c>
      <c r="O671" s="164">
        <v>3.7890999999999999</v>
      </c>
      <c r="P671" s="165" t="s">
        <v>1323</v>
      </c>
      <c r="Q671" s="34">
        <f>SUMIF(Allocation[Delivery ID],Allocation[[#This Row],[Delivery ID]],Allocation[Quantity Processed])</f>
        <v>179</v>
      </c>
      <c r="R671" s="61">
        <f>Allocation[[#This Row],[Total volume used]]/VLOOKUP(Allocation[[#This Row],[Delivery ID]],Delivery[[Delivery ID]:[Quantity delivered]],3,FALSE)</f>
        <v>7.1009203427483342E-3</v>
      </c>
      <c r="S671" s="34">
        <f>Allocation[[#This Row],[Quantity Processed]]/Allocation[[#This Row],[Dilution rate]]</f>
        <v>71.599999999999994</v>
      </c>
      <c r="T671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71" s="61">
        <f>Allocation[[#This Row],[Total volume used]]/VLOOKUP(Allocation[[#This Row],[Delivery ID]],Delivery[[Delivery ID]:[Quantity delivered]],3,FALSE)</f>
        <v>7.1009203427483342E-3</v>
      </c>
      <c r="V671" s="34" t="e">
        <f>VLOOKUP(Allocation[[#This Row],[SAP Contract number]],Shipments[[SAP Contract number]:[Contracted container weight]],2,FALSE)</f>
        <v>#N/A</v>
      </c>
      <c r="W671" s="34" t="e">
        <f>VLOOKUP(Allocation[[#This Row],[SAP Contract number]],Shipments[[SAP Contract number]:[AAA Premium USD]],24,FALSE)</f>
        <v>#N/A</v>
      </c>
      <c r="X671" s="34" t="e">
        <f>VLOOKUP(Allocation[[#This Row],[SAP Contract number]],Shipments[[SAP Contract number]:[RA Premium USD]],25,FALSE)</f>
        <v>#N/A</v>
      </c>
      <c r="Y671" s="38">
        <f>Allocation[[#This Row],[Quantity Processed]]/Allocation[[#This Row],[Quantity allocated]]</f>
        <v>3.0338983050847457</v>
      </c>
      <c r="Z671" s="34" t="b">
        <f>Allocation[[#This Row],[Quantity allocated]]&lt;=Allocation[[#This Row],[Quantity Processed]]</f>
        <v>1</v>
      </c>
    </row>
    <row r="672" spans="1:26">
      <c r="A672" s="247" t="s">
        <v>467</v>
      </c>
      <c r="B672" s="160" t="s">
        <v>68</v>
      </c>
      <c r="C672" s="252" t="s">
        <v>738</v>
      </c>
      <c r="D672" s="250">
        <v>179</v>
      </c>
      <c r="E672" s="160" t="s">
        <v>1237</v>
      </c>
      <c r="F672" s="158">
        <v>43514</v>
      </c>
      <c r="G672" s="162">
        <v>2.5</v>
      </c>
      <c r="H672" s="250">
        <v>59</v>
      </c>
      <c r="I672" s="160">
        <v>1433478</v>
      </c>
      <c r="J672" s="163">
        <v>19175</v>
      </c>
      <c r="K672" s="158">
        <v>43521</v>
      </c>
      <c r="L672" s="160" t="s">
        <v>1254</v>
      </c>
      <c r="M672" s="160">
        <v>4615516135</v>
      </c>
      <c r="N672" s="158">
        <v>43544</v>
      </c>
      <c r="O672" s="164">
        <v>3.7890999999999999</v>
      </c>
      <c r="P672" s="165" t="s">
        <v>1323</v>
      </c>
      <c r="Q672" s="34">
        <f>SUMIF(Allocation[Delivery ID],Allocation[[#This Row],[Delivery ID]],Allocation[Quantity Processed])</f>
        <v>179</v>
      </c>
      <c r="R672" s="61">
        <f>Allocation[[#This Row],[Total volume used]]/VLOOKUP(Allocation[[#This Row],[Delivery ID]],Delivery[[Delivery ID]:[Quantity delivered]],3,FALSE)</f>
        <v>5.711732984460257E-3</v>
      </c>
      <c r="S672" s="34">
        <f>Allocation[[#This Row],[Quantity Processed]]/Allocation[[#This Row],[Dilution rate]]</f>
        <v>71.599999999999994</v>
      </c>
      <c r="T672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72" s="61">
        <f>Allocation[[#This Row],[Total volume used]]/VLOOKUP(Allocation[[#This Row],[Delivery ID]],Delivery[[Delivery ID]:[Quantity delivered]],3,FALSE)</f>
        <v>5.711732984460257E-3</v>
      </c>
      <c r="V672" s="34" t="e">
        <f>VLOOKUP(Allocation[[#This Row],[SAP Contract number]],Shipments[[SAP Contract number]:[Contracted container weight]],2,FALSE)</f>
        <v>#N/A</v>
      </c>
      <c r="W672" s="34" t="e">
        <f>VLOOKUP(Allocation[[#This Row],[SAP Contract number]],Shipments[[SAP Contract number]:[AAA Premium USD]],24,FALSE)</f>
        <v>#N/A</v>
      </c>
      <c r="X672" s="34" t="e">
        <f>VLOOKUP(Allocation[[#This Row],[SAP Contract number]],Shipments[[SAP Contract number]:[RA Premium USD]],25,FALSE)</f>
        <v>#N/A</v>
      </c>
      <c r="Y672" s="38">
        <f>Allocation[[#This Row],[Quantity Processed]]/Allocation[[#This Row],[Quantity allocated]]</f>
        <v>3.0338983050847457</v>
      </c>
      <c r="Z672" s="34" t="b">
        <f>Allocation[[#This Row],[Quantity allocated]]&lt;=Allocation[[#This Row],[Quantity Processed]]</f>
        <v>1</v>
      </c>
    </row>
    <row r="673" spans="1:26">
      <c r="A673" s="247" t="s">
        <v>467</v>
      </c>
      <c r="B673" s="160" t="s">
        <v>68</v>
      </c>
      <c r="C673" s="252" t="s">
        <v>740</v>
      </c>
      <c r="D673" s="250">
        <v>92</v>
      </c>
      <c r="E673" s="160" t="s">
        <v>1237</v>
      </c>
      <c r="F673" s="158">
        <v>43514</v>
      </c>
      <c r="G673" s="162">
        <v>2.5</v>
      </c>
      <c r="H673" s="250">
        <v>59</v>
      </c>
      <c r="I673" s="160">
        <v>1433478</v>
      </c>
      <c r="J673" s="163">
        <v>19175</v>
      </c>
      <c r="K673" s="158">
        <v>43521</v>
      </c>
      <c r="L673" s="160" t="s">
        <v>1254</v>
      </c>
      <c r="M673" s="160">
        <v>4615516135</v>
      </c>
      <c r="N673" s="158">
        <v>43544</v>
      </c>
      <c r="O673" s="164">
        <v>3.7890999999999999</v>
      </c>
      <c r="P673" s="165" t="s">
        <v>1323</v>
      </c>
      <c r="Q673" s="34">
        <f>SUMIF(Allocation[Delivery ID],Allocation[[#This Row],[Delivery ID]],Allocation[Quantity Processed])</f>
        <v>680</v>
      </c>
      <c r="R673" s="61">
        <f>Allocation[[#This Row],[Total volume used]]/VLOOKUP(Allocation[[#This Row],[Delivery ID]],Delivery[[Delivery ID]:[Quantity delivered]],3,FALSE)</f>
        <v>2.1504016191259249E-2</v>
      </c>
      <c r="S673" s="34">
        <f>Allocation[[#This Row],[Quantity Processed]]/Allocation[[#This Row],[Dilution rate]]</f>
        <v>36.799999999999997</v>
      </c>
      <c r="T673" s="59">
        <f>SUMIF(Allocation[Delivery ID],Allocation[[#This Row],[Delivery ID]],Allocation[Quantity allocated])/SUMIF(Allocation[Delivery ID],Allocation[[#This Row],[Delivery ID]],Allocation[Volume available (kg)])</f>
        <v>1.8317131918416152</v>
      </c>
      <c r="U673" s="61">
        <f>Allocation[[#This Row],[Total volume used]]/VLOOKUP(Allocation[[#This Row],[Delivery ID]],Delivery[[Delivery ID]:[Quantity delivered]],3,FALSE)</f>
        <v>2.1504016191259249E-2</v>
      </c>
      <c r="V673" s="34" t="e">
        <f>VLOOKUP(Allocation[[#This Row],[SAP Contract number]],Shipments[[SAP Contract number]:[Contracted container weight]],2,FALSE)</f>
        <v>#N/A</v>
      </c>
      <c r="W673" s="34" t="e">
        <f>VLOOKUP(Allocation[[#This Row],[SAP Contract number]],Shipments[[SAP Contract number]:[AAA Premium USD]],24,FALSE)</f>
        <v>#N/A</v>
      </c>
      <c r="X673" s="34" t="e">
        <f>VLOOKUP(Allocation[[#This Row],[SAP Contract number]],Shipments[[SAP Contract number]:[RA Premium USD]],25,FALSE)</f>
        <v>#N/A</v>
      </c>
      <c r="Y673" s="38">
        <f>Allocation[[#This Row],[Quantity Processed]]/Allocation[[#This Row],[Quantity allocated]]</f>
        <v>1.5593220338983051</v>
      </c>
      <c r="Z673" s="34" t="b">
        <f>Allocation[[#This Row],[Quantity allocated]]&lt;=Allocation[[#This Row],[Quantity Processed]]</f>
        <v>1</v>
      </c>
    </row>
    <row r="674" spans="1:26">
      <c r="A674" s="247" t="s">
        <v>467</v>
      </c>
      <c r="B674" s="160" t="s">
        <v>68</v>
      </c>
      <c r="C674" s="252" t="s">
        <v>743</v>
      </c>
      <c r="D674" s="250">
        <v>1</v>
      </c>
      <c r="E674" s="160" t="s">
        <v>1237</v>
      </c>
      <c r="F674" s="158">
        <v>43514</v>
      </c>
      <c r="G674" s="162">
        <v>2.5</v>
      </c>
      <c r="H674" s="250">
        <v>0.33</v>
      </c>
      <c r="I674" s="160">
        <v>1433478</v>
      </c>
      <c r="J674" s="163">
        <v>19175</v>
      </c>
      <c r="K674" s="158">
        <v>43521</v>
      </c>
      <c r="L674" s="160" t="s">
        <v>1254</v>
      </c>
      <c r="M674" s="160">
        <v>4615516135</v>
      </c>
      <c r="N674" s="158">
        <v>43544</v>
      </c>
      <c r="O674" s="164">
        <v>3.7890999999999999</v>
      </c>
      <c r="P674" s="165" t="s">
        <v>1323</v>
      </c>
      <c r="Q674" s="34">
        <f>SUMIF(Allocation[Delivery ID],Allocation[[#This Row],[Delivery ID]],Allocation[Quantity Processed])</f>
        <v>1</v>
      </c>
      <c r="R674" s="61">
        <f>Allocation[[#This Row],[Total volume used]]/VLOOKUP(Allocation[[#This Row],[Delivery ID]],Delivery[[Delivery ID]:[Quantity delivered]],3,FALSE)</f>
        <v>5.7527469366622561E-5</v>
      </c>
      <c r="S674" s="34">
        <f>Allocation[[#This Row],[Quantity Processed]]/Allocation[[#This Row],[Dilution rate]]</f>
        <v>0.4</v>
      </c>
      <c r="T674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674" s="61">
        <f>Allocation[[#This Row],[Total volume used]]/VLOOKUP(Allocation[[#This Row],[Delivery ID]],Delivery[[Delivery ID]:[Quantity delivered]],3,FALSE)</f>
        <v>5.7527469366622561E-5</v>
      </c>
      <c r="V674" s="34" t="e">
        <f>VLOOKUP(Allocation[[#This Row],[SAP Contract number]],Shipments[[SAP Contract number]:[Contracted container weight]],2,FALSE)</f>
        <v>#N/A</v>
      </c>
      <c r="W674" s="34" t="e">
        <f>VLOOKUP(Allocation[[#This Row],[SAP Contract number]],Shipments[[SAP Contract number]:[AAA Premium USD]],24,FALSE)</f>
        <v>#N/A</v>
      </c>
      <c r="X674" s="34" t="e">
        <f>VLOOKUP(Allocation[[#This Row],[SAP Contract number]],Shipments[[SAP Contract number]:[RA Premium USD]],25,FALSE)</f>
        <v>#N/A</v>
      </c>
      <c r="Y674" s="38">
        <f>Allocation[[#This Row],[Quantity Processed]]/Allocation[[#This Row],[Quantity allocated]]</f>
        <v>3.0303030303030303</v>
      </c>
      <c r="Z674" s="34" t="b">
        <f>Allocation[[#This Row],[Quantity allocated]]&lt;=Allocation[[#This Row],[Quantity Processed]]</f>
        <v>1</v>
      </c>
    </row>
    <row r="675" spans="1:26">
      <c r="A675" s="247" t="s">
        <v>467</v>
      </c>
      <c r="B675" s="160" t="s">
        <v>68</v>
      </c>
      <c r="C675" s="252" t="s">
        <v>745</v>
      </c>
      <c r="D675" s="250">
        <v>1</v>
      </c>
      <c r="E675" s="160" t="s">
        <v>1237</v>
      </c>
      <c r="F675" s="158">
        <v>43514</v>
      </c>
      <c r="G675" s="162">
        <v>2.5</v>
      </c>
      <c r="H675" s="250">
        <v>0.33</v>
      </c>
      <c r="I675" s="160">
        <v>1433478</v>
      </c>
      <c r="J675" s="163">
        <v>19175</v>
      </c>
      <c r="K675" s="158">
        <v>43521</v>
      </c>
      <c r="L675" s="160" t="s">
        <v>1254</v>
      </c>
      <c r="M675" s="160">
        <v>4615516135</v>
      </c>
      <c r="N675" s="158">
        <v>43544</v>
      </c>
      <c r="O675" s="164">
        <v>3.7890999999999999</v>
      </c>
      <c r="P675" s="165" t="s">
        <v>1323</v>
      </c>
      <c r="Q675" s="34">
        <f>SUMIF(Allocation[Delivery ID],Allocation[[#This Row],[Delivery ID]],Allocation[Quantity Processed])</f>
        <v>1</v>
      </c>
      <c r="R675" s="61">
        <f>Allocation[[#This Row],[Total volume used]]/VLOOKUP(Allocation[[#This Row],[Delivery ID]],Delivery[[Delivery ID]:[Quantity delivered]],3,FALSE)</f>
        <v>5.1187551187551191E-5</v>
      </c>
      <c r="S675" s="34">
        <f>Allocation[[#This Row],[Quantity Processed]]/Allocation[[#This Row],[Dilution rate]]</f>
        <v>0.4</v>
      </c>
      <c r="T675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675" s="61">
        <f>Allocation[[#This Row],[Total volume used]]/VLOOKUP(Allocation[[#This Row],[Delivery ID]],Delivery[[Delivery ID]:[Quantity delivered]],3,FALSE)</f>
        <v>5.1187551187551191E-5</v>
      </c>
      <c r="V675" s="34" t="e">
        <f>VLOOKUP(Allocation[[#This Row],[SAP Contract number]],Shipments[[SAP Contract number]:[Contracted container weight]],2,FALSE)</f>
        <v>#N/A</v>
      </c>
      <c r="W675" s="34" t="e">
        <f>VLOOKUP(Allocation[[#This Row],[SAP Contract number]],Shipments[[SAP Contract number]:[AAA Premium USD]],24,FALSE)</f>
        <v>#N/A</v>
      </c>
      <c r="X675" s="34" t="e">
        <f>VLOOKUP(Allocation[[#This Row],[SAP Contract number]],Shipments[[SAP Contract number]:[RA Premium USD]],25,FALSE)</f>
        <v>#N/A</v>
      </c>
      <c r="Y675" s="38">
        <f>Allocation[[#This Row],[Quantity Processed]]/Allocation[[#This Row],[Quantity allocated]]</f>
        <v>3.0303030303030303</v>
      </c>
      <c r="Z675" s="34" t="b">
        <f>Allocation[[#This Row],[Quantity allocated]]&lt;=Allocation[[#This Row],[Quantity Processed]]</f>
        <v>1</v>
      </c>
    </row>
    <row r="676" spans="1:26">
      <c r="A676" s="247" t="s">
        <v>467</v>
      </c>
      <c r="B676" s="160" t="s">
        <v>68</v>
      </c>
      <c r="C676" s="252" t="s">
        <v>746</v>
      </c>
      <c r="D676" s="250">
        <v>155</v>
      </c>
      <c r="E676" s="160" t="s">
        <v>1237</v>
      </c>
      <c r="F676" s="158">
        <v>43514</v>
      </c>
      <c r="G676" s="162">
        <v>2.5</v>
      </c>
      <c r="H676" s="250">
        <v>59</v>
      </c>
      <c r="I676" s="160">
        <v>1433478</v>
      </c>
      <c r="J676" s="163">
        <v>19175</v>
      </c>
      <c r="K676" s="158">
        <v>43521</v>
      </c>
      <c r="L676" s="160" t="s">
        <v>1254</v>
      </c>
      <c r="M676" s="160">
        <v>4615516135</v>
      </c>
      <c r="N676" s="158">
        <v>43544</v>
      </c>
      <c r="O676" s="164">
        <v>3.7890999999999999</v>
      </c>
      <c r="P676" s="165" t="s">
        <v>1323</v>
      </c>
      <c r="Q676" s="34">
        <f>SUMIF(Allocation[Delivery ID],Allocation[[#This Row],[Delivery ID]],Allocation[Quantity Processed])</f>
        <v>468</v>
      </c>
      <c r="R676" s="61">
        <f>Allocation[[#This Row],[Total volume used]]/VLOOKUP(Allocation[[#This Row],[Delivery ID]],Delivery[[Delivery ID]:[Quantity delivered]],3,FALSE)</f>
        <v>1.481176712610574E-2</v>
      </c>
      <c r="S676" s="34">
        <f>Allocation[[#This Row],[Quantity Processed]]/Allocation[[#This Row],[Dilution rate]]</f>
        <v>62</v>
      </c>
      <c r="T676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676" s="61">
        <f>Allocation[[#This Row],[Total volume used]]/VLOOKUP(Allocation[[#This Row],[Delivery ID]],Delivery[[Delivery ID]:[Quantity delivered]],3,FALSE)</f>
        <v>1.481176712610574E-2</v>
      </c>
      <c r="V676" s="34" t="e">
        <f>VLOOKUP(Allocation[[#This Row],[SAP Contract number]],Shipments[[SAP Contract number]:[Contracted container weight]],2,FALSE)</f>
        <v>#N/A</v>
      </c>
      <c r="W676" s="34" t="e">
        <f>VLOOKUP(Allocation[[#This Row],[SAP Contract number]],Shipments[[SAP Contract number]:[AAA Premium USD]],24,FALSE)</f>
        <v>#N/A</v>
      </c>
      <c r="X676" s="34" t="e">
        <f>VLOOKUP(Allocation[[#This Row],[SAP Contract number]],Shipments[[SAP Contract number]:[RA Premium USD]],25,FALSE)</f>
        <v>#N/A</v>
      </c>
      <c r="Y676" s="38">
        <f>Allocation[[#This Row],[Quantity Processed]]/Allocation[[#This Row],[Quantity allocated]]</f>
        <v>2.6271186440677967</v>
      </c>
      <c r="Z676" s="34" t="b">
        <f>Allocation[[#This Row],[Quantity allocated]]&lt;=Allocation[[#This Row],[Quantity Processed]]</f>
        <v>1</v>
      </c>
    </row>
    <row r="677" spans="1:26">
      <c r="A677" s="247" t="s">
        <v>467</v>
      </c>
      <c r="B677" s="160" t="s">
        <v>68</v>
      </c>
      <c r="C677" s="252" t="s">
        <v>747</v>
      </c>
      <c r="D677" s="250">
        <v>1</v>
      </c>
      <c r="E677" s="160" t="s">
        <v>1237</v>
      </c>
      <c r="F677" s="158">
        <v>43514</v>
      </c>
      <c r="G677" s="162">
        <v>2.5</v>
      </c>
      <c r="H677" s="250">
        <v>0.33</v>
      </c>
      <c r="I677" s="160">
        <v>1433478</v>
      </c>
      <c r="J677" s="163">
        <v>19175</v>
      </c>
      <c r="K677" s="158">
        <v>43521</v>
      </c>
      <c r="L677" s="160" t="s">
        <v>1254</v>
      </c>
      <c r="M677" s="160">
        <v>4615516135</v>
      </c>
      <c r="N677" s="158">
        <v>43544</v>
      </c>
      <c r="O677" s="164">
        <v>3.7890999999999999</v>
      </c>
      <c r="P677" s="165" t="s">
        <v>1323</v>
      </c>
      <c r="Q677" s="34">
        <f>SUMIF(Allocation[Delivery ID],Allocation[[#This Row],[Delivery ID]],Allocation[Quantity Processed])</f>
        <v>1</v>
      </c>
      <c r="R677" s="61">
        <f>Allocation[[#This Row],[Total volume used]]/VLOOKUP(Allocation[[#This Row],[Delivery ID]],Delivery[[Delivery ID]:[Quantity delivered]],3,FALSE)</f>
        <v>6.7796610169491525E-5</v>
      </c>
      <c r="S677" s="34">
        <f>Allocation[[#This Row],[Quantity Processed]]/Allocation[[#This Row],[Dilution rate]]</f>
        <v>0.4</v>
      </c>
      <c r="T677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677" s="61">
        <f>Allocation[[#This Row],[Total volume used]]/VLOOKUP(Allocation[[#This Row],[Delivery ID]],Delivery[[Delivery ID]:[Quantity delivered]],3,FALSE)</f>
        <v>6.7796610169491525E-5</v>
      </c>
      <c r="V677" s="34" t="e">
        <f>VLOOKUP(Allocation[[#This Row],[SAP Contract number]],Shipments[[SAP Contract number]:[Contracted container weight]],2,FALSE)</f>
        <v>#N/A</v>
      </c>
      <c r="W677" s="34" t="e">
        <f>VLOOKUP(Allocation[[#This Row],[SAP Contract number]],Shipments[[SAP Contract number]:[AAA Premium USD]],24,FALSE)</f>
        <v>#N/A</v>
      </c>
      <c r="X677" s="34" t="e">
        <f>VLOOKUP(Allocation[[#This Row],[SAP Contract number]],Shipments[[SAP Contract number]:[RA Premium USD]],25,FALSE)</f>
        <v>#N/A</v>
      </c>
      <c r="Y677" s="38">
        <f>Allocation[[#This Row],[Quantity Processed]]/Allocation[[#This Row],[Quantity allocated]]</f>
        <v>3.0303030303030303</v>
      </c>
      <c r="Z677" s="34" t="b">
        <f>Allocation[[#This Row],[Quantity allocated]]&lt;=Allocation[[#This Row],[Quantity Processed]]</f>
        <v>1</v>
      </c>
    </row>
    <row r="678" spans="1:26">
      <c r="A678" s="247" t="s">
        <v>467</v>
      </c>
      <c r="B678" s="160" t="s">
        <v>68</v>
      </c>
      <c r="C678" s="252" t="s">
        <v>749</v>
      </c>
      <c r="D678" s="250">
        <v>155</v>
      </c>
      <c r="E678" s="160" t="s">
        <v>1237</v>
      </c>
      <c r="F678" s="158">
        <v>43514</v>
      </c>
      <c r="G678" s="162">
        <v>2.5</v>
      </c>
      <c r="H678" s="250">
        <v>59</v>
      </c>
      <c r="I678" s="160">
        <v>1433478</v>
      </c>
      <c r="J678" s="163">
        <v>19175</v>
      </c>
      <c r="K678" s="158">
        <v>43521</v>
      </c>
      <c r="L678" s="160" t="s">
        <v>1254</v>
      </c>
      <c r="M678" s="160">
        <v>4615516135</v>
      </c>
      <c r="N678" s="158">
        <v>43544</v>
      </c>
      <c r="O678" s="164">
        <v>3.7890999999999999</v>
      </c>
      <c r="P678" s="165" t="s">
        <v>1323</v>
      </c>
      <c r="Q678" s="34">
        <f>SUMIF(Allocation[Delivery ID],Allocation[[#This Row],[Delivery ID]],Allocation[Quantity Processed])</f>
        <v>468</v>
      </c>
      <c r="R678" s="61">
        <f>Allocation[[#This Row],[Total volume used]]/VLOOKUP(Allocation[[#This Row],[Delivery ID]],Delivery[[Delivery ID]:[Quantity delivered]],3,FALSE)</f>
        <v>1.4793039685173771E-2</v>
      </c>
      <c r="S678" s="34">
        <f>Allocation[[#This Row],[Quantity Processed]]/Allocation[[#This Row],[Dilution rate]]</f>
        <v>62</v>
      </c>
      <c r="T678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678" s="61">
        <f>Allocation[[#This Row],[Total volume used]]/VLOOKUP(Allocation[[#This Row],[Delivery ID]],Delivery[[Delivery ID]:[Quantity delivered]],3,FALSE)</f>
        <v>1.4793039685173771E-2</v>
      </c>
      <c r="V678" s="34" t="e">
        <f>VLOOKUP(Allocation[[#This Row],[SAP Contract number]],Shipments[[SAP Contract number]:[Contracted container weight]],2,FALSE)</f>
        <v>#N/A</v>
      </c>
      <c r="W678" s="34" t="e">
        <f>VLOOKUP(Allocation[[#This Row],[SAP Contract number]],Shipments[[SAP Contract number]:[AAA Premium USD]],24,FALSE)</f>
        <v>#N/A</v>
      </c>
      <c r="X678" s="34" t="e">
        <f>VLOOKUP(Allocation[[#This Row],[SAP Contract number]],Shipments[[SAP Contract number]:[RA Premium USD]],25,FALSE)</f>
        <v>#N/A</v>
      </c>
      <c r="Y678" s="38">
        <f>Allocation[[#This Row],[Quantity Processed]]/Allocation[[#This Row],[Quantity allocated]]</f>
        <v>2.6271186440677967</v>
      </c>
      <c r="Z678" s="34" t="b">
        <f>Allocation[[#This Row],[Quantity allocated]]&lt;=Allocation[[#This Row],[Quantity Processed]]</f>
        <v>1</v>
      </c>
    </row>
    <row r="679" spans="1:26">
      <c r="A679" s="247" t="s">
        <v>467</v>
      </c>
      <c r="B679" s="160" t="s">
        <v>68</v>
      </c>
      <c r="C679" s="252" t="s">
        <v>750</v>
      </c>
      <c r="D679" s="250">
        <v>1</v>
      </c>
      <c r="E679" s="160" t="s">
        <v>1237</v>
      </c>
      <c r="F679" s="158">
        <v>43514</v>
      </c>
      <c r="G679" s="162">
        <v>2.5</v>
      </c>
      <c r="H679" s="250">
        <v>0.33</v>
      </c>
      <c r="I679" s="160">
        <v>1433478</v>
      </c>
      <c r="J679" s="163">
        <v>19175</v>
      </c>
      <c r="K679" s="158">
        <v>43521</v>
      </c>
      <c r="L679" s="160" t="s">
        <v>1254</v>
      </c>
      <c r="M679" s="160">
        <v>4615516135</v>
      </c>
      <c r="N679" s="158">
        <v>43544</v>
      </c>
      <c r="O679" s="164">
        <v>3.7890999999999999</v>
      </c>
      <c r="P679" s="165" t="s">
        <v>1323</v>
      </c>
      <c r="Q679" s="34">
        <f>SUMIF(Allocation[Delivery ID],Allocation[[#This Row],[Delivery ID]],Allocation[Quantity Processed])</f>
        <v>1</v>
      </c>
      <c r="R679" s="61">
        <f>Allocation[[#This Row],[Total volume used]]/VLOOKUP(Allocation[[#This Row],[Delivery ID]],Delivery[[Delivery ID]:[Quantity delivered]],3,FALSE)</f>
        <v>6.065384848668648E-5</v>
      </c>
      <c r="S679" s="34">
        <f>Allocation[[#This Row],[Quantity Processed]]/Allocation[[#This Row],[Dilution rate]]</f>
        <v>0.4</v>
      </c>
      <c r="T679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679" s="61">
        <f>Allocation[[#This Row],[Total volume used]]/VLOOKUP(Allocation[[#This Row],[Delivery ID]],Delivery[[Delivery ID]:[Quantity delivered]],3,FALSE)</f>
        <v>6.065384848668648E-5</v>
      </c>
      <c r="V679" s="34" t="e">
        <f>VLOOKUP(Allocation[[#This Row],[SAP Contract number]],Shipments[[SAP Contract number]:[Contracted container weight]],2,FALSE)</f>
        <v>#N/A</v>
      </c>
      <c r="W679" s="34" t="e">
        <f>VLOOKUP(Allocation[[#This Row],[SAP Contract number]],Shipments[[SAP Contract number]:[AAA Premium USD]],24,FALSE)</f>
        <v>#N/A</v>
      </c>
      <c r="X679" s="34" t="e">
        <f>VLOOKUP(Allocation[[#This Row],[SAP Contract number]],Shipments[[SAP Contract number]:[RA Premium USD]],25,FALSE)</f>
        <v>#N/A</v>
      </c>
      <c r="Y679" s="38">
        <f>Allocation[[#This Row],[Quantity Processed]]/Allocation[[#This Row],[Quantity allocated]]</f>
        <v>3.0303030303030303</v>
      </c>
      <c r="Z679" s="34" t="b">
        <f>Allocation[[#This Row],[Quantity allocated]]&lt;=Allocation[[#This Row],[Quantity Processed]]</f>
        <v>1</v>
      </c>
    </row>
    <row r="680" spans="1:26">
      <c r="A680" s="247" t="s">
        <v>467</v>
      </c>
      <c r="B680" s="160" t="s">
        <v>68</v>
      </c>
      <c r="C680" s="252" t="s">
        <v>751</v>
      </c>
      <c r="D680" s="250">
        <v>155</v>
      </c>
      <c r="E680" s="160" t="s">
        <v>1237</v>
      </c>
      <c r="F680" s="158">
        <v>43514</v>
      </c>
      <c r="G680" s="162">
        <v>2.5</v>
      </c>
      <c r="H680" s="250">
        <v>59</v>
      </c>
      <c r="I680" s="160">
        <v>1433478</v>
      </c>
      <c r="J680" s="163">
        <v>19175</v>
      </c>
      <c r="K680" s="158">
        <v>43521</v>
      </c>
      <c r="L680" s="160" t="s">
        <v>1254</v>
      </c>
      <c r="M680" s="160">
        <v>4615516135</v>
      </c>
      <c r="N680" s="158">
        <v>43544</v>
      </c>
      <c r="O680" s="164">
        <v>3.7890999999999999</v>
      </c>
      <c r="P680" s="165" t="s">
        <v>1323</v>
      </c>
      <c r="Q680" s="34">
        <f>SUMIF(Allocation[Delivery ID],Allocation[[#This Row],[Delivery ID]],Allocation[Quantity Processed])</f>
        <v>468</v>
      </c>
      <c r="R680" s="61">
        <f>Allocation[[#This Row],[Total volume used]]/VLOOKUP(Allocation[[#This Row],[Delivery ID]],Delivery[[Delivery ID]:[Quantity delivered]],3,FALSE)</f>
        <v>1.4788365222062472E-2</v>
      </c>
      <c r="S680" s="34">
        <f>Allocation[[#This Row],[Quantity Processed]]/Allocation[[#This Row],[Dilution rate]]</f>
        <v>62</v>
      </c>
      <c r="T680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680" s="61">
        <f>Allocation[[#This Row],[Total volume used]]/VLOOKUP(Allocation[[#This Row],[Delivery ID]],Delivery[[Delivery ID]:[Quantity delivered]],3,FALSE)</f>
        <v>1.4788365222062472E-2</v>
      </c>
      <c r="V680" s="34" t="e">
        <f>VLOOKUP(Allocation[[#This Row],[SAP Contract number]],Shipments[[SAP Contract number]:[Contracted container weight]],2,FALSE)</f>
        <v>#N/A</v>
      </c>
      <c r="W680" s="34" t="e">
        <f>VLOOKUP(Allocation[[#This Row],[SAP Contract number]],Shipments[[SAP Contract number]:[AAA Premium USD]],24,FALSE)</f>
        <v>#N/A</v>
      </c>
      <c r="X680" s="34" t="e">
        <f>VLOOKUP(Allocation[[#This Row],[SAP Contract number]],Shipments[[SAP Contract number]:[RA Premium USD]],25,FALSE)</f>
        <v>#N/A</v>
      </c>
      <c r="Y680" s="38">
        <f>Allocation[[#This Row],[Quantity Processed]]/Allocation[[#This Row],[Quantity allocated]]</f>
        <v>2.6271186440677967</v>
      </c>
      <c r="Z680" s="34" t="b">
        <f>Allocation[[#This Row],[Quantity allocated]]&lt;=Allocation[[#This Row],[Quantity Processed]]</f>
        <v>1</v>
      </c>
    </row>
    <row r="681" spans="1:26">
      <c r="A681" s="247" t="s">
        <v>467</v>
      </c>
      <c r="B681" s="160" t="s">
        <v>68</v>
      </c>
      <c r="C681" s="252" t="s">
        <v>752</v>
      </c>
      <c r="D681" s="250">
        <v>1</v>
      </c>
      <c r="E681" s="160" t="s">
        <v>1237</v>
      </c>
      <c r="F681" s="158">
        <v>43514</v>
      </c>
      <c r="G681" s="162">
        <v>2.5</v>
      </c>
      <c r="H681" s="250">
        <v>0.33</v>
      </c>
      <c r="I681" s="160">
        <v>1433478</v>
      </c>
      <c r="J681" s="163">
        <v>19175</v>
      </c>
      <c r="K681" s="158">
        <v>43521</v>
      </c>
      <c r="L681" s="160" t="s">
        <v>1254</v>
      </c>
      <c r="M681" s="160">
        <v>4615516135</v>
      </c>
      <c r="N681" s="158">
        <v>43544</v>
      </c>
      <c r="O681" s="164">
        <v>3.7890999999999999</v>
      </c>
      <c r="P681" s="165" t="s">
        <v>1323</v>
      </c>
      <c r="Q681" s="34">
        <f>SUMIF(Allocation[Delivery ID],Allocation[[#This Row],[Delivery ID]],Allocation[Quantity Processed])</f>
        <v>1</v>
      </c>
      <c r="R681" s="61">
        <f>Allocation[[#This Row],[Total volume used]]/VLOOKUP(Allocation[[#This Row],[Delivery ID]],Delivery[[Delivery ID]:[Quantity delivered]],3,FALSE)</f>
        <v>9.6918007365768554E-5</v>
      </c>
      <c r="S681" s="34">
        <f>Allocation[[#This Row],[Quantity Processed]]/Allocation[[#This Row],[Dilution rate]]</f>
        <v>0.4</v>
      </c>
      <c r="T681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681" s="61">
        <f>Allocation[[#This Row],[Total volume used]]/VLOOKUP(Allocation[[#This Row],[Delivery ID]],Delivery[[Delivery ID]:[Quantity delivered]],3,FALSE)</f>
        <v>9.6918007365768554E-5</v>
      </c>
      <c r="V681" s="34" t="e">
        <f>VLOOKUP(Allocation[[#This Row],[SAP Contract number]],Shipments[[SAP Contract number]:[Contracted container weight]],2,FALSE)</f>
        <v>#N/A</v>
      </c>
      <c r="W681" s="34" t="e">
        <f>VLOOKUP(Allocation[[#This Row],[SAP Contract number]],Shipments[[SAP Contract number]:[AAA Premium USD]],24,FALSE)</f>
        <v>#N/A</v>
      </c>
      <c r="X681" s="34" t="e">
        <f>VLOOKUP(Allocation[[#This Row],[SAP Contract number]],Shipments[[SAP Contract number]:[RA Premium USD]],25,FALSE)</f>
        <v>#N/A</v>
      </c>
      <c r="Y681" s="38">
        <f>Allocation[[#This Row],[Quantity Processed]]/Allocation[[#This Row],[Quantity allocated]]</f>
        <v>3.0303030303030303</v>
      </c>
      <c r="Z681" s="34" t="b">
        <f>Allocation[[#This Row],[Quantity allocated]]&lt;=Allocation[[#This Row],[Quantity Processed]]</f>
        <v>1</v>
      </c>
    </row>
    <row r="682" spans="1:26">
      <c r="A682" s="247" t="s">
        <v>467</v>
      </c>
      <c r="B682" s="160" t="s">
        <v>68</v>
      </c>
      <c r="C682" s="252" t="s">
        <v>753</v>
      </c>
      <c r="D682" s="250">
        <v>1</v>
      </c>
      <c r="E682" s="160" t="s">
        <v>1237</v>
      </c>
      <c r="F682" s="158">
        <v>43514</v>
      </c>
      <c r="G682" s="162">
        <v>2.5</v>
      </c>
      <c r="H682" s="250">
        <v>0.33</v>
      </c>
      <c r="I682" s="160">
        <v>1433478</v>
      </c>
      <c r="J682" s="163">
        <v>19175</v>
      </c>
      <c r="K682" s="158">
        <v>43521</v>
      </c>
      <c r="L682" s="160" t="s">
        <v>1254</v>
      </c>
      <c r="M682" s="160">
        <v>4615516135</v>
      </c>
      <c r="N682" s="158">
        <v>43544</v>
      </c>
      <c r="O682" s="164">
        <v>3.7890999999999999</v>
      </c>
      <c r="P682" s="165" t="s">
        <v>1323</v>
      </c>
      <c r="Q682" s="34">
        <f>SUMIF(Allocation[Delivery ID],Allocation[[#This Row],[Delivery ID]],Allocation[Quantity Processed])</f>
        <v>1</v>
      </c>
      <c r="R682" s="61">
        <f>Allocation[[#This Row],[Total volume used]]/VLOOKUP(Allocation[[#This Row],[Delivery ID]],Delivery[[Delivery ID]:[Quantity delivered]],3,FALSE)</f>
        <v>5.0825921219822107E-5</v>
      </c>
      <c r="S682" s="34">
        <f>Allocation[[#This Row],[Quantity Processed]]/Allocation[[#This Row],[Dilution rate]]</f>
        <v>0.4</v>
      </c>
      <c r="T682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682" s="61">
        <f>Allocation[[#This Row],[Total volume used]]/VLOOKUP(Allocation[[#This Row],[Delivery ID]],Delivery[[Delivery ID]:[Quantity delivered]],3,FALSE)</f>
        <v>5.0825921219822107E-5</v>
      </c>
      <c r="V682" s="34" t="e">
        <f>VLOOKUP(Allocation[[#This Row],[SAP Contract number]],Shipments[[SAP Contract number]:[Contracted container weight]],2,FALSE)</f>
        <v>#N/A</v>
      </c>
      <c r="W682" s="34" t="e">
        <f>VLOOKUP(Allocation[[#This Row],[SAP Contract number]],Shipments[[SAP Contract number]:[AAA Premium USD]],24,FALSE)</f>
        <v>#N/A</v>
      </c>
      <c r="X682" s="34" t="e">
        <f>VLOOKUP(Allocation[[#This Row],[SAP Contract number]],Shipments[[SAP Contract number]:[RA Premium USD]],25,FALSE)</f>
        <v>#N/A</v>
      </c>
      <c r="Y682" s="38">
        <f>Allocation[[#This Row],[Quantity Processed]]/Allocation[[#This Row],[Quantity allocated]]</f>
        <v>3.0303030303030303</v>
      </c>
      <c r="Z682" s="34" t="b">
        <f>Allocation[[#This Row],[Quantity allocated]]&lt;=Allocation[[#This Row],[Quantity Processed]]</f>
        <v>1</v>
      </c>
    </row>
    <row r="683" spans="1:26">
      <c r="A683" s="247" t="s">
        <v>467</v>
      </c>
      <c r="B683" s="160" t="s">
        <v>68</v>
      </c>
      <c r="C683" s="252" t="s">
        <v>754</v>
      </c>
      <c r="D683" s="250">
        <v>155</v>
      </c>
      <c r="E683" s="160" t="s">
        <v>1237</v>
      </c>
      <c r="F683" s="158">
        <v>43514</v>
      </c>
      <c r="G683" s="162">
        <v>2.5</v>
      </c>
      <c r="H683" s="250">
        <v>59</v>
      </c>
      <c r="I683" s="160">
        <v>1433478</v>
      </c>
      <c r="J683" s="163">
        <v>19175</v>
      </c>
      <c r="K683" s="158">
        <v>43521</v>
      </c>
      <c r="L683" s="160" t="s">
        <v>1254</v>
      </c>
      <c r="M683" s="160">
        <v>4615516135</v>
      </c>
      <c r="N683" s="158">
        <v>43544</v>
      </c>
      <c r="O683" s="164">
        <v>3.7890999999999999</v>
      </c>
      <c r="P683" s="165" t="s">
        <v>1323</v>
      </c>
      <c r="Q683" s="34">
        <f>SUMIF(Allocation[Delivery ID],Allocation[[#This Row],[Delivery ID]],Allocation[Quantity Processed])</f>
        <v>468</v>
      </c>
      <c r="R683" s="61">
        <f>Allocation[[#This Row],[Total volume used]]/VLOOKUP(Allocation[[#This Row],[Delivery ID]],Delivery[[Delivery ID]:[Quantity delivered]],3,FALSE)</f>
        <v>1.4788365222062472E-2</v>
      </c>
      <c r="S683" s="34">
        <f>Allocation[[#This Row],[Quantity Processed]]/Allocation[[#This Row],[Dilution rate]]</f>
        <v>62</v>
      </c>
      <c r="T683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683" s="61">
        <f>Allocation[[#This Row],[Total volume used]]/VLOOKUP(Allocation[[#This Row],[Delivery ID]],Delivery[[Delivery ID]:[Quantity delivered]],3,FALSE)</f>
        <v>1.4788365222062472E-2</v>
      </c>
      <c r="V683" s="34" t="e">
        <f>VLOOKUP(Allocation[[#This Row],[SAP Contract number]],Shipments[[SAP Contract number]:[Contracted container weight]],2,FALSE)</f>
        <v>#N/A</v>
      </c>
      <c r="W683" s="34" t="e">
        <f>VLOOKUP(Allocation[[#This Row],[SAP Contract number]],Shipments[[SAP Contract number]:[AAA Premium USD]],24,FALSE)</f>
        <v>#N/A</v>
      </c>
      <c r="X683" s="34" t="e">
        <f>VLOOKUP(Allocation[[#This Row],[SAP Contract number]],Shipments[[SAP Contract number]:[RA Premium USD]],25,FALSE)</f>
        <v>#N/A</v>
      </c>
      <c r="Y683" s="38">
        <f>Allocation[[#This Row],[Quantity Processed]]/Allocation[[#This Row],[Quantity allocated]]</f>
        <v>2.6271186440677967</v>
      </c>
      <c r="Z683" s="34" t="b">
        <f>Allocation[[#This Row],[Quantity allocated]]&lt;=Allocation[[#This Row],[Quantity Processed]]</f>
        <v>1</v>
      </c>
    </row>
    <row r="684" spans="1:26">
      <c r="A684" s="247" t="s">
        <v>467</v>
      </c>
      <c r="B684" s="160" t="s">
        <v>68</v>
      </c>
      <c r="C684" s="252" t="s">
        <v>755</v>
      </c>
      <c r="D684" s="250">
        <v>155</v>
      </c>
      <c r="E684" s="160" t="s">
        <v>1237</v>
      </c>
      <c r="F684" s="158">
        <v>43514</v>
      </c>
      <c r="G684" s="162">
        <v>2.5</v>
      </c>
      <c r="H684" s="250">
        <v>59</v>
      </c>
      <c r="I684" s="160">
        <v>1433478</v>
      </c>
      <c r="J684" s="163">
        <v>19175</v>
      </c>
      <c r="K684" s="158">
        <v>43521</v>
      </c>
      <c r="L684" s="160" t="s">
        <v>1254</v>
      </c>
      <c r="M684" s="160">
        <v>4615516135</v>
      </c>
      <c r="N684" s="158">
        <v>43544</v>
      </c>
      <c r="O684" s="164">
        <v>3.7890999999999999</v>
      </c>
      <c r="P684" s="165" t="s">
        <v>1323</v>
      </c>
      <c r="Q684" s="34">
        <f>SUMIF(Allocation[Delivery ID],Allocation[[#This Row],[Delivery ID]],Allocation[Quantity Processed])</f>
        <v>468</v>
      </c>
      <c r="R684" s="61">
        <f>Allocation[[#This Row],[Total volume used]]/VLOOKUP(Allocation[[#This Row],[Delivery ID]],Delivery[[Delivery ID]:[Quantity delivered]],3,FALSE)</f>
        <v>1.4849129041469683E-2</v>
      </c>
      <c r="S684" s="34">
        <f>Allocation[[#This Row],[Quantity Processed]]/Allocation[[#This Row],[Dilution rate]]</f>
        <v>62</v>
      </c>
      <c r="T684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684" s="61">
        <f>Allocation[[#This Row],[Total volume used]]/VLOOKUP(Allocation[[#This Row],[Delivery ID]],Delivery[[Delivery ID]:[Quantity delivered]],3,FALSE)</f>
        <v>1.4849129041469683E-2</v>
      </c>
      <c r="V684" s="34" t="e">
        <f>VLOOKUP(Allocation[[#This Row],[SAP Contract number]],Shipments[[SAP Contract number]:[Contracted container weight]],2,FALSE)</f>
        <v>#N/A</v>
      </c>
      <c r="W684" s="34" t="e">
        <f>VLOOKUP(Allocation[[#This Row],[SAP Contract number]],Shipments[[SAP Contract number]:[AAA Premium USD]],24,FALSE)</f>
        <v>#N/A</v>
      </c>
      <c r="X684" s="34" t="e">
        <f>VLOOKUP(Allocation[[#This Row],[SAP Contract number]],Shipments[[SAP Contract number]:[RA Premium USD]],25,FALSE)</f>
        <v>#N/A</v>
      </c>
      <c r="Y684" s="38">
        <f>Allocation[[#This Row],[Quantity Processed]]/Allocation[[#This Row],[Quantity allocated]]</f>
        <v>2.6271186440677967</v>
      </c>
      <c r="Z684" s="34" t="b">
        <f>Allocation[[#This Row],[Quantity allocated]]&lt;=Allocation[[#This Row],[Quantity Processed]]</f>
        <v>1</v>
      </c>
    </row>
    <row r="685" spans="1:26">
      <c r="A685" s="247" t="s">
        <v>467</v>
      </c>
      <c r="B685" s="160" t="s">
        <v>68</v>
      </c>
      <c r="C685" s="252" t="s">
        <v>756</v>
      </c>
      <c r="D685" s="250">
        <v>155</v>
      </c>
      <c r="E685" s="160" t="s">
        <v>1237</v>
      </c>
      <c r="F685" s="158">
        <v>43514</v>
      </c>
      <c r="G685" s="162">
        <v>2.5</v>
      </c>
      <c r="H685" s="250">
        <v>59</v>
      </c>
      <c r="I685" s="160">
        <v>1433478</v>
      </c>
      <c r="J685" s="163">
        <v>19175</v>
      </c>
      <c r="K685" s="158">
        <v>43521</v>
      </c>
      <c r="L685" s="160" t="s">
        <v>1254</v>
      </c>
      <c r="M685" s="160">
        <v>4615516135</v>
      </c>
      <c r="N685" s="158">
        <v>43544</v>
      </c>
      <c r="O685" s="164">
        <v>3.7890999999999999</v>
      </c>
      <c r="P685" s="165" t="s">
        <v>1323</v>
      </c>
      <c r="Q685" s="34">
        <f>SUMIF(Allocation[Delivery ID],Allocation[[#This Row],[Delivery ID]],Allocation[Quantity Processed])</f>
        <v>468</v>
      </c>
      <c r="R685" s="61">
        <f>Allocation[[#This Row],[Total volume used]]/VLOOKUP(Allocation[[#This Row],[Delivery ID]],Delivery[[Delivery ID]:[Quantity delivered]],3,FALSE)</f>
        <v>1.4858557957900753E-2</v>
      </c>
      <c r="S685" s="34">
        <f>Allocation[[#This Row],[Quantity Processed]]/Allocation[[#This Row],[Dilution rate]]</f>
        <v>62</v>
      </c>
      <c r="T685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685" s="61">
        <f>Allocation[[#This Row],[Total volume used]]/VLOOKUP(Allocation[[#This Row],[Delivery ID]],Delivery[[Delivery ID]:[Quantity delivered]],3,FALSE)</f>
        <v>1.4858557957900753E-2</v>
      </c>
      <c r="V685" s="34" t="e">
        <f>VLOOKUP(Allocation[[#This Row],[SAP Contract number]],Shipments[[SAP Contract number]:[Contracted container weight]],2,FALSE)</f>
        <v>#N/A</v>
      </c>
      <c r="W685" s="34" t="e">
        <f>VLOOKUP(Allocation[[#This Row],[SAP Contract number]],Shipments[[SAP Contract number]:[AAA Premium USD]],24,FALSE)</f>
        <v>#N/A</v>
      </c>
      <c r="X685" s="34" t="e">
        <f>VLOOKUP(Allocation[[#This Row],[SAP Contract number]],Shipments[[SAP Contract number]:[RA Premium USD]],25,FALSE)</f>
        <v>#N/A</v>
      </c>
      <c r="Y685" s="38">
        <f>Allocation[[#This Row],[Quantity Processed]]/Allocation[[#This Row],[Quantity allocated]]</f>
        <v>2.6271186440677967</v>
      </c>
      <c r="Z685" s="34" t="b">
        <f>Allocation[[#This Row],[Quantity allocated]]&lt;=Allocation[[#This Row],[Quantity Processed]]</f>
        <v>1</v>
      </c>
    </row>
    <row r="686" spans="1:26">
      <c r="A686" s="247" t="s">
        <v>467</v>
      </c>
      <c r="B686" s="160" t="s">
        <v>68</v>
      </c>
      <c r="C686" s="252" t="s">
        <v>757</v>
      </c>
      <c r="D686" s="250">
        <v>155</v>
      </c>
      <c r="E686" s="160" t="s">
        <v>1237</v>
      </c>
      <c r="F686" s="158">
        <v>43514</v>
      </c>
      <c r="G686" s="162">
        <v>2.5</v>
      </c>
      <c r="H686" s="250">
        <v>59</v>
      </c>
      <c r="I686" s="160">
        <v>1433478</v>
      </c>
      <c r="J686" s="163">
        <v>19175</v>
      </c>
      <c r="K686" s="158">
        <v>43521</v>
      </c>
      <c r="L686" s="160" t="s">
        <v>1254</v>
      </c>
      <c r="M686" s="160">
        <v>4615516135</v>
      </c>
      <c r="N686" s="158">
        <v>43544</v>
      </c>
      <c r="O686" s="164">
        <v>3.7890999999999999</v>
      </c>
      <c r="P686" s="165" t="s">
        <v>1323</v>
      </c>
      <c r="Q686" s="34">
        <f>SUMIF(Allocation[Delivery ID],Allocation[[#This Row],[Delivery ID]],Allocation[Quantity Processed])</f>
        <v>468</v>
      </c>
      <c r="R686" s="61">
        <f>Allocation[[#This Row],[Total volume used]]/VLOOKUP(Allocation[[#This Row],[Delivery ID]],Delivery[[Delivery ID]:[Quantity delivered]],3,FALSE)</f>
        <v>1.478369371219181E-2</v>
      </c>
      <c r="S686" s="34">
        <f>Allocation[[#This Row],[Quantity Processed]]/Allocation[[#This Row],[Dilution rate]]</f>
        <v>62</v>
      </c>
      <c r="T686" s="59">
        <f>SUMIF(Allocation[Delivery ID],Allocation[[#This Row],[Delivery ID]],Allocation[Quantity allocated])/SUMIF(Allocation[Delivery ID],Allocation[[#This Row],[Delivery ID]],Allocation[Volume available (kg)])</f>
        <v>1.0543403549913071</v>
      </c>
      <c r="U686" s="61">
        <f>Allocation[[#This Row],[Total volume used]]/VLOOKUP(Allocation[[#This Row],[Delivery ID]],Delivery[[Delivery ID]:[Quantity delivered]],3,FALSE)</f>
        <v>1.478369371219181E-2</v>
      </c>
      <c r="V686" s="34" t="e">
        <f>VLOOKUP(Allocation[[#This Row],[SAP Contract number]],Shipments[[SAP Contract number]:[Contracted container weight]],2,FALSE)</f>
        <v>#N/A</v>
      </c>
      <c r="W686" s="34" t="e">
        <f>VLOOKUP(Allocation[[#This Row],[SAP Contract number]],Shipments[[SAP Contract number]:[AAA Premium USD]],24,FALSE)</f>
        <v>#N/A</v>
      </c>
      <c r="X686" s="34" t="e">
        <f>VLOOKUP(Allocation[[#This Row],[SAP Contract number]],Shipments[[SAP Contract number]:[RA Premium USD]],25,FALSE)</f>
        <v>#N/A</v>
      </c>
      <c r="Y686" s="38">
        <f>Allocation[[#This Row],[Quantity Processed]]/Allocation[[#This Row],[Quantity allocated]]</f>
        <v>2.6271186440677967</v>
      </c>
      <c r="Z686" s="34" t="b">
        <f>Allocation[[#This Row],[Quantity allocated]]&lt;=Allocation[[#This Row],[Quantity Processed]]</f>
        <v>1</v>
      </c>
    </row>
    <row r="687" spans="1:26">
      <c r="A687" s="247" t="s">
        <v>467</v>
      </c>
      <c r="B687" s="160" t="s">
        <v>68</v>
      </c>
      <c r="C687" s="252" t="s">
        <v>772</v>
      </c>
      <c r="D687" s="250">
        <v>148</v>
      </c>
      <c r="E687" s="160" t="s">
        <v>1237</v>
      </c>
      <c r="F687" s="158">
        <v>43514</v>
      </c>
      <c r="G687" s="162">
        <v>2.5</v>
      </c>
      <c r="H687" s="250">
        <v>59</v>
      </c>
      <c r="I687" s="160">
        <v>1433478</v>
      </c>
      <c r="J687" s="163">
        <v>19175</v>
      </c>
      <c r="K687" s="158">
        <v>43521</v>
      </c>
      <c r="L687" s="160" t="s">
        <v>1254</v>
      </c>
      <c r="M687" s="160">
        <v>4615516135</v>
      </c>
      <c r="N687" s="158">
        <v>43544</v>
      </c>
      <c r="O687" s="164">
        <v>3.7890999999999999</v>
      </c>
      <c r="P687" s="165" t="s">
        <v>1323</v>
      </c>
      <c r="Q687" s="34">
        <f>SUMIF(Allocation[Delivery ID],Allocation[[#This Row],[Delivery ID]],Allocation[Quantity Processed])</f>
        <v>681</v>
      </c>
      <c r="R687" s="61">
        <f>Allocation[[#This Row],[Total volume used]]/VLOOKUP(Allocation[[#This Row],[Delivery ID]],Delivery[[Delivery ID]:[Quantity delivered]],3,FALSE)</f>
        <v>2.2139501617386498E-2</v>
      </c>
      <c r="S687" s="34">
        <f>Allocation[[#This Row],[Quantity Processed]]/Allocation[[#This Row],[Dilution rate]]</f>
        <v>59.2</v>
      </c>
      <c r="T687" s="59">
        <f>SUMIF(Allocation[Delivery ID],Allocation[[#This Row],[Delivery ID]],Allocation[Quantity allocated])/SUMIF(Allocation[Delivery ID],Allocation[[#This Row],[Delivery ID]],Allocation[Volume available (kg)])</f>
        <v>1.1281098893632442</v>
      </c>
      <c r="U687" s="61">
        <f>Allocation[[#This Row],[Total volume used]]/VLOOKUP(Allocation[[#This Row],[Delivery ID]],Delivery[[Delivery ID]:[Quantity delivered]],3,FALSE)</f>
        <v>2.2139501617386498E-2</v>
      </c>
      <c r="V687" s="34" t="e">
        <f>VLOOKUP(Allocation[[#This Row],[SAP Contract number]],Shipments[[SAP Contract number]:[Contracted container weight]],2,FALSE)</f>
        <v>#N/A</v>
      </c>
      <c r="W687" s="34" t="e">
        <f>VLOOKUP(Allocation[[#This Row],[SAP Contract number]],Shipments[[SAP Contract number]:[AAA Premium USD]],24,FALSE)</f>
        <v>#N/A</v>
      </c>
      <c r="X687" s="34" t="e">
        <f>VLOOKUP(Allocation[[#This Row],[SAP Contract number]],Shipments[[SAP Contract number]:[RA Premium USD]],25,FALSE)</f>
        <v>#N/A</v>
      </c>
      <c r="Y687" s="38">
        <f>Allocation[[#This Row],[Quantity Processed]]/Allocation[[#This Row],[Quantity allocated]]</f>
        <v>2.5084745762711864</v>
      </c>
      <c r="Z687" s="34" t="b">
        <f>Allocation[[#This Row],[Quantity allocated]]&lt;=Allocation[[#This Row],[Quantity Processed]]</f>
        <v>1</v>
      </c>
    </row>
    <row r="688" spans="1:26">
      <c r="A688" s="247" t="s">
        <v>467</v>
      </c>
      <c r="B688" s="160" t="s">
        <v>68</v>
      </c>
      <c r="C688" s="252" t="s">
        <v>774</v>
      </c>
      <c r="D688" s="250">
        <v>148</v>
      </c>
      <c r="E688" s="160" t="s">
        <v>1237</v>
      </c>
      <c r="F688" s="158">
        <v>43514</v>
      </c>
      <c r="G688" s="162">
        <v>2.5</v>
      </c>
      <c r="H688" s="250">
        <v>59</v>
      </c>
      <c r="I688" s="160">
        <v>1433478</v>
      </c>
      <c r="J688" s="163">
        <v>19175</v>
      </c>
      <c r="K688" s="158">
        <v>43521</v>
      </c>
      <c r="L688" s="160" t="s">
        <v>1254</v>
      </c>
      <c r="M688" s="160">
        <v>4615516135</v>
      </c>
      <c r="N688" s="158">
        <v>43544</v>
      </c>
      <c r="O688" s="164">
        <v>3.7890999999999999</v>
      </c>
      <c r="P688" s="165" t="s">
        <v>1323</v>
      </c>
      <c r="Q688" s="34">
        <f>SUMIF(Allocation[Delivery ID],Allocation[[#This Row],[Delivery ID]],Allocation[Quantity Processed])</f>
        <v>563</v>
      </c>
      <c r="R688" s="61">
        <f>Allocation[[#This Row],[Total volume used]]/VLOOKUP(Allocation[[#This Row],[Delivery ID]],Delivery[[Delivery ID]:[Quantity delivered]],3,FALSE)</f>
        <v>2.3412483885723791E-2</v>
      </c>
      <c r="S688" s="34">
        <f>Allocation[[#This Row],[Quantity Processed]]/Allocation[[#This Row],[Dilution rate]]</f>
        <v>59.2</v>
      </c>
      <c r="T688" s="59">
        <f>SUMIF(Allocation[Delivery ID],Allocation[[#This Row],[Delivery ID]],Allocation[Quantity allocated])/SUMIF(Allocation[Delivery ID],Allocation[[#This Row],[Delivery ID]],Allocation[Volume available (kg)])</f>
        <v>1.1203046616909336</v>
      </c>
      <c r="U688" s="61">
        <f>Allocation[[#This Row],[Total volume used]]/VLOOKUP(Allocation[[#This Row],[Delivery ID]],Delivery[[Delivery ID]:[Quantity delivered]],3,FALSE)</f>
        <v>2.3412483885723791E-2</v>
      </c>
      <c r="V688" s="34" t="e">
        <f>VLOOKUP(Allocation[[#This Row],[SAP Contract number]],Shipments[[SAP Contract number]:[Contracted container weight]],2,FALSE)</f>
        <v>#N/A</v>
      </c>
      <c r="W688" s="34" t="e">
        <f>VLOOKUP(Allocation[[#This Row],[SAP Contract number]],Shipments[[SAP Contract number]:[AAA Premium USD]],24,FALSE)</f>
        <v>#N/A</v>
      </c>
      <c r="X688" s="34" t="e">
        <f>VLOOKUP(Allocation[[#This Row],[SAP Contract number]],Shipments[[SAP Contract number]:[RA Premium USD]],25,FALSE)</f>
        <v>#N/A</v>
      </c>
      <c r="Y688" s="38">
        <f>Allocation[[#This Row],[Quantity Processed]]/Allocation[[#This Row],[Quantity allocated]]</f>
        <v>2.5084745762711864</v>
      </c>
      <c r="Z688" s="34" t="b">
        <f>Allocation[[#This Row],[Quantity allocated]]&lt;=Allocation[[#This Row],[Quantity Processed]]</f>
        <v>1</v>
      </c>
    </row>
    <row r="689" spans="1:26">
      <c r="A689" s="247" t="s">
        <v>467</v>
      </c>
      <c r="B689" s="160" t="s">
        <v>68</v>
      </c>
      <c r="C689" s="252" t="s">
        <v>787</v>
      </c>
      <c r="D689" s="250">
        <v>179</v>
      </c>
      <c r="E689" s="160" t="s">
        <v>1237</v>
      </c>
      <c r="F689" s="158">
        <v>43514</v>
      </c>
      <c r="G689" s="162">
        <v>2.5</v>
      </c>
      <c r="H689" s="250">
        <v>59</v>
      </c>
      <c r="I689" s="160">
        <v>1433478</v>
      </c>
      <c r="J689" s="163">
        <v>19175</v>
      </c>
      <c r="K689" s="158">
        <v>43521</v>
      </c>
      <c r="L689" s="160" t="s">
        <v>1254</v>
      </c>
      <c r="M689" s="160">
        <v>4615516135</v>
      </c>
      <c r="N689" s="158">
        <v>43544</v>
      </c>
      <c r="O689" s="164">
        <v>3.7890999999999999</v>
      </c>
      <c r="P689" s="165" t="s">
        <v>1323</v>
      </c>
      <c r="Q689" s="34">
        <f>SUMIF(Allocation[Delivery ID],Allocation[[#This Row],[Delivery ID]],Allocation[Quantity Processed])</f>
        <v>179</v>
      </c>
      <c r="R689" s="61">
        <f>Allocation[[#This Row],[Total volume used]]/VLOOKUP(Allocation[[#This Row],[Delivery ID]],Delivery[[Delivery ID]:[Quantity delivered]],3,FALSE)</f>
        <v>5.8602062530692424E-3</v>
      </c>
      <c r="S689" s="34">
        <f>Allocation[[#This Row],[Quantity Processed]]/Allocation[[#This Row],[Dilution rate]]</f>
        <v>71.599999999999994</v>
      </c>
      <c r="T689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89" s="61">
        <f>Allocation[[#This Row],[Total volume used]]/VLOOKUP(Allocation[[#This Row],[Delivery ID]],Delivery[[Delivery ID]:[Quantity delivered]],3,FALSE)</f>
        <v>5.8602062530692424E-3</v>
      </c>
      <c r="V689" s="34" t="e">
        <f>VLOOKUP(Allocation[[#This Row],[SAP Contract number]],Shipments[[SAP Contract number]:[Contracted container weight]],2,FALSE)</f>
        <v>#N/A</v>
      </c>
      <c r="W689" s="34" t="e">
        <f>VLOOKUP(Allocation[[#This Row],[SAP Contract number]],Shipments[[SAP Contract number]:[AAA Premium USD]],24,FALSE)</f>
        <v>#N/A</v>
      </c>
      <c r="X689" s="34" t="e">
        <f>VLOOKUP(Allocation[[#This Row],[SAP Contract number]],Shipments[[SAP Contract number]:[RA Premium USD]],25,FALSE)</f>
        <v>#N/A</v>
      </c>
      <c r="Y689" s="38">
        <f>Allocation[[#This Row],[Quantity Processed]]/Allocation[[#This Row],[Quantity allocated]]</f>
        <v>3.0338983050847457</v>
      </c>
      <c r="Z689" s="34" t="b">
        <f>Allocation[[#This Row],[Quantity allocated]]&lt;=Allocation[[#This Row],[Quantity Processed]]</f>
        <v>1</v>
      </c>
    </row>
    <row r="690" spans="1:26">
      <c r="A690" s="247" t="s">
        <v>467</v>
      </c>
      <c r="B690" s="160" t="s">
        <v>68</v>
      </c>
      <c r="C690" s="252" t="s">
        <v>788</v>
      </c>
      <c r="D690" s="250">
        <v>179</v>
      </c>
      <c r="E690" s="160" t="s">
        <v>1237</v>
      </c>
      <c r="F690" s="158">
        <v>43514</v>
      </c>
      <c r="G690" s="162">
        <v>2.5</v>
      </c>
      <c r="H690" s="250">
        <v>59</v>
      </c>
      <c r="I690" s="160">
        <v>1433478</v>
      </c>
      <c r="J690" s="163">
        <v>19175</v>
      </c>
      <c r="K690" s="158">
        <v>43521</v>
      </c>
      <c r="L690" s="160" t="s">
        <v>1254</v>
      </c>
      <c r="M690" s="160">
        <v>4615516135</v>
      </c>
      <c r="N690" s="158">
        <v>43544</v>
      </c>
      <c r="O690" s="164">
        <v>3.7890999999999999</v>
      </c>
      <c r="P690" s="165" t="s">
        <v>1323</v>
      </c>
      <c r="Q690" s="34">
        <f>SUMIF(Allocation[Delivery ID],Allocation[[#This Row],[Delivery ID]],Allocation[Quantity Processed])</f>
        <v>179</v>
      </c>
      <c r="R690" s="61">
        <f>Allocation[[#This Row],[Total volume used]]/VLOOKUP(Allocation[[#This Row],[Delivery ID]],Delivery[[Delivery ID]:[Quantity delivered]],3,FALSE)</f>
        <v>5.8563716669393093E-3</v>
      </c>
      <c r="S690" s="34">
        <f>Allocation[[#This Row],[Quantity Processed]]/Allocation[[#This Row],[Dilution rate]]</f>
        <v>71.599999999999994</v>
      </c>
      <c r="T690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90" s="61">
        <f>Allocation[[#This Row],[Total volume used]]/VLOOKUP(Allocation[[#This Row],[Delivery ID]],Delivery[[Delivery ID]:[Quantity delivered]],3,FALSE)</f>
        <v>5.8563716669393093E-3</v>
      </c>
      <c r="V690" s="34" t="e">
        <f>VLOOKUP(Allocation[[#This Row],[SAP Contract number]],Shipments[[SAP Contract number]:[Contracted container weight]],2,FALSE)</f>
        <v>#N/A</v>
      </c>
      <c r="W690" s="34" t="e">
        <f>VLOOKUP(Allocation[[#This Row],[SAP Contract number]],Shipments[[SAP Contract number]:[AAA Premium USD]],24,FALSE)</f>
        <v>#N/A</v>
      </c>
      <c r="X690" s="34" t="e">
        <f>VLOOKUP(Allocation[[#This Row],[SAP Contract number]],Shipments[[SAP Contract number]:[RA Premium USD]],25,FALSE)</f>
        <v>#N/A</v>
      </c>
      <c r="Y690" s="38">
        <f>Allocation[[#This Row],[Quantity Processed]]/Allocation[[#This Row],[Quantity allocated]]</f>
        <v>3.0338983050847457</v>
      </c>
      <c r="Z690" s="34" t="b">
        <f>Allocation[[#This Row],[Quantity allocated]]&lt;=Allocation[[#This Row],[Quantity Processed]]</f>
        <v>1</v>
      </c>
    </row>
    <row r="691" spans="1:26">
      <c r="A691" s="247" t="s">
        <v>467</v>
      </c>
      <c r="B691" s="160" t="s">
        <v>68</v>
      </c>
      <c r="C691" s="252" t="s">
        <v>789</v>
      </c>
      <c r="D691" s="250">
        <v>179</v>
      </c>
      <c r="E691" s="160" t="s">
        <v>1237</v>
      </c>
      <c r="F691" s="158">
        <v>43514</v>
      </c>
      <c r="G691" s="162">
        <v>2.5</v>
      </c>
      <c r="H691" s="250">
        <v>59</v>
      </c>
      <c r="I691" s="160">
        <v>1433478</v>
      </c>
      <c r="J691" s="163">
        <v>19175</v>
      </c>
      <c r="K691" s="158">
        <v>43521</v>
      </c>
      <c r="L691" s="160" t="s">
        <v>1254</v>
      </c>
      <c r="M691" s="160">
        <v>4615516135</v>
      </c>
      <c r="N691" s="158">
        <v>43544</v>
      </c>
      <c r="O691" s="164">
        <v>3.7890999999999999</v>
      </c>
      <c r="P691" s="165" t="s">
        <v>1323</v>
      </c>
      <c r="Q691" s="34">
        <f>SUMIF(Allocation[Delivery ID],Allocation[[#This Row],[Delivery ID]],Allocation[Quantity Processed])</f>
        <v>179</v>
      </c>
      <c r="R691" s="61">
        <f>Allocation[[#This Row],[Total volume used]]/VLOOKUP(Allocation[[#This Row],[Delivery ID]],Delivery[[Delivery ID]:[Quantity delivered]],3,FALSE)</f>
        <v>5.8353708231458842E-3</v>
      </c>
      <c r="S691" s="34">
        <f>Allocation[[#This Row],[Quantity Processed]]/Allocation[[#This Row],[Dilution rate]]</f>
        <v>71.599999999999994</v>
      </c>
      <c r="T691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91" s="61">
        <f>Allocation[[#This Row],[Total volume used]]/VLOOKUP(Allocation[[#This Row],[Delivery ID]],Delivery[[Delivery ID]:[Quantity delivered]],3,FALSE)</f>
        <v>5.8353708231458842E-3</v>
      </c>
      <c r="V691" s="34" t="e">
        <f>VLOOKUP(Allocation[[#This Row],[SAP Contract number]],Shipments[[SAP Contract number]:[Contracted container weight]],2,FALSE)</f>
        <v>#N/A</v>
      </c>
      <c r="W691" s="34" t="e">
        <f>VLOOKUP(Allocation[[#This Row],[SAP Contract number]],Shipments[[SAP Contract number]:[AAA Premium USD]],24,FALSE)</f>
        <v>#N/A</v>
      </c>
      <c r="X691" s="34" t="e">
        <f>VLOOKUP(Allocation[[#This Row],[SAP Contract number]],Shipments[[SAP Contract number]:[RA Premium USD]],25,FALSE)</f>
        <v>#N/A</v>
      </c>
      <c r="Y691" s="38">
        <f>Allocation[[#This Row],[Quantity Processed]]/Allocation[[#This Row],[Quantity allocated]]</f>
        <v>3.0338983050847457</v>
      </c>
      <c r="Z691" s="34" t="b">
        <f>Allocation[[#This Row],[Quantity allocated]]&lt;=Allocation[[#This Row],[Quantity Processed]]</f>
        <v>1</v>
      </c>
    </row>
    <row r="692" spans="1:26">
      <c r="A692" s="247" t="s">
        <v>467</v>
      </c>
      <c r="B692" s="160" t="s">
        <v>68</v>
      </c>
      <c r="C692" s="252" t="s">
        <v>790</v>
      </c>
      <c r="D692" s="250">
        <v>179</v>
      </c>
      <c r="E692" s="160" t="s">
        <v>1237</v>
      </c>
      <c r="F692" s="158">
        <v>43514</v>
      </c>
      <c r="G692" s="162">
        <v>2.5</v>
      </c>
      <c r="H692" s="250">
        <v>59</v>
      </c>
      <c r="I692" s="160">
        <v>1433478</v>
      </c>
      <c r="J692" s="163">
        <v>19175</v>
      </c>
      <c r="K692" s="158">
        <v>43521</v>
      </c>
      <c r="L692" s="160" t="s">
        <v>1254</v>
      </c>
      <c r="M692" s="160">
        <v>4615516135</v>
      </c>
      <c r="N692" s="158">
        <v>43544</v>
      </c>
      <c r="O692" s="164">
        <v>3.7890999999999999</v>
      </c>
      <c r="P692" s="165" t="s">
        <v>1323</v>
      </c>
      <c r="Q692" s="34">
        <f>SUMIF(Allocation[Delivery ID],Allocation[[#This Row],[Delivery ID]],Allocation[Quantity Processed])</f>
        <v>179</v>
      </c>
      <c r="R692" s="61">
        <f>Allocation[[#This Row],[Total volume used]]/VLOOKUP(Allocation[[#This Row],[Delivery ID]],Delivery[[Delivery ID]:[Quantity delivered]],3,FALSE)</f>
        <v>5.9079807248003172E-3</v>
      </c>
      <c r="S692" s="34">
        <f>Allocation[[#This Row],[Quantity Processed]]/Allocation[[#This Row],[Dilution rate]]</f>
        <v>71.599999999999994</v>
      </c>
      <c r="T692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92" s="61">
        <f>Allocation[[#This Row],[Total volume used]]/VLOOKUP(Allocation[[#This Row],[Delivery ID]],Delivery[[Delivery ID]:[Quantity delivered]],3,FALSE)</f>
        <v>5.9079807248003172E-3</v>
      </c>
      <c r="V692" s="34" t="e">
        <f>VLOOKUP(Allocation[[#This Row],[SAP Contract number]],Shipments[[SAP Contract number]:[Contracted container weight]],2,FALSE)</f>
        <v>#N/A</v>
      </c>
      <c r="W692" s="34" t="e">
        <f>VLOOKUP(Allocation[[#This Row],[SAP Contract number]],Shipments[[SAP Contract number]:[AAA Premium USD]],24,FALSE)</f>
        <v>#N/A</v>
      </c>
      <c r="X692" s="34" t="e">
        <f>VLOOKUP(Allocation[[#This Row],[SAP Contract number]],Shipments[[SAP Contract number]:[RA Premium USD]],25,FALSE)</f>
        <v>#N/A</v>
      </c>
      <c r="Y692" s="38">
        <f>Allocation[[#This Row],[Quantity Processed]]/Allocation[[#This Row],[Quantity allocated]]</f>
        <v>3.0338983050847457</v>
      </c>
      <c r="Z692" s="34" t="b">
        <f>Allocation[[#This Row],[Quantity allocated]]&lt;=Allocation[[#This Row],[Quantity Processed]]</f>
        <v>1</v>
      </c>
    </row>
    <row r="693" spans="1:26">
      <c r="A693" s="247" t="s">
        <v>467</v>
      </c>
      <c r="B693" s="160" t="s">
        <v>68</v>
      </c>
      <c r="C693" s="252" t="s">
        <v>791</v>
      </c>
      <c r="D693" s="250">
        <v>179</v>
      </c>
      <c r="E693" s="160" t="s">
        <v>1237</v>
      </c>
      <c r="F693" s="158">
        <v>43514</v>
      </c>
      <c r="G693" s="162">
        <v>2.5</v>
      </c>
      <c r="H693" s="250">
        <v>59</v>
      </c>
      <c r="I693" s="160">
        <v>1433478</v>
      </c>
      <c r="J693" s="163">
        <v>19175</v>
      </c>
      <c r="K693" s="158">
        <v>43521</v>
      </c>
      <c r="L693" s="160" t="s">
        <v>1254</v>
      </c>
      <c r="M693" s="160">
        <v>4615516135</v>
      </c>
      <c r="N693" s="158">
        <v>43544</v>
      </c>
      <c r="O693" s="164">
        <v>3.7890999999999999</v>
      </c>
      <c r="P693" s="165" t="s">
        <v>1323</v>
      </c>
      <c r="Q693" s="34">
        <f>SUMIF(Allocation[Delivery ID],Allocation[[#This Row],[Delivery ID]],Allocation[Quantity Processed])</f>
        <v>179</v>
      </c>
      <c r="R693" s="61">
        <f>Allocation[[#This Row],[Total volume used]]/VLOOKUP(Allocation[[#This Row],[Delivery ID]],Delivery[[Delivery ID]:[Quantity delivered]],3,FALSE)</f>
        <v>5.9099313259376651E-3</v>
      </c>
      <c r="S693" s="34">
        <f>Allocation[[#This Row],[Quantity Processed]]/Allocation[[#This Row],[Dilution rate]]</f>
        <v>71.599999999999994</v>
      </c>
      <c r="T693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93" s="61">
        <f>Allocation[[#This Row],[Total volume used]]/VLOOKUP(Allocation[[#This Row],[Delivery ID]],Delivery[[Delivery ID]:[Quantity delivered]],3,FALSE)</f>
        <v>5.9099313259376651E-3</v>
      </c>
      <c r="V693" s="34" t="e">
        <f>VLOOKUP(Allocation[[#This Row],[SAP Contract number]],Shipments[[SAP Contract number]:[Contracted container weight]],2,FALSE)</f>
        <v>#N/A</v>
      </c>
      <c r="W693" s="34" t="e">
        <f>VLOOKUP(Allocation[[#This Row],[SAP Contract number]],Shipments[[SAP Contract number]:[AAA Premium USD]],24,FALSE)</f>
        <v>#N/A</v>
      </c>
      <c r="X693" s="34" t="e">
        <f>VLOOKUP(Allocation[[#This Row],[SAP Contract number]],Shipments[[SAP Contract number]:[RA Premium USD]],25,FALSE)</f>
        <v>#N/A</v>
      </c>
      <c r="Y693" s="38">
        <f>Allocation[[#This Row],[Quantity Processed]]/Allocation[[#This Row],[Quantity allocated]]</f>
        <v>3.0338983050847457</v>
      </c>
      <c r="Z693" s="34" t="b">
        <f>Allocation[[#This Row],[Quantity allocated]]&lt;=Allocation[[#This Row],[Quantity Processed]]</f>
        <v>1</v>
      </c>
    </row>
    <row r="694" spans="1:26">
      <c r="A694" s="247" t="s">
        <v>467</v>
      </c>
      <c r="B694" s="160" t="s">
        <v>68</v>
      </c>
      <c r="C694" s="252" t="s">
        <v>792</v>
      </c>
      <c r="D694" s="250">
        <v>179</v>
      </c>
      <c r="E694" s="160" t="s">
        <v>1237</v>
      </c>
      <c r="F694" s="158">
        <v>43514</v>
      </c>
      <c r="G694" s="162">
        <v>2.5</v>
      </c>
      <c r="H694" s="250">
        <v>59</v>
      </c>
      <c r="I694" s="160">
        <v>1433478</v>
      </c>
      <c r="J694" s="163">
        <v>19175</v>
      </c>
      <c r="K694" s="158">
        <v>43521</v>
      </c>
      <c r="L694" s="160" t="s">
        <v>1254</v>
      </c>
      <c r="M694" s="160">
        <v>4615516135</v>
      </c>
      <c r="N694" s="158">
        <v>43544</v>
      </c>
      <c r="O694" s="164">
        <v>3.7890999999999999</v>
      </c>
      <c r="P694" s="165" t="s">
        <v>1323</v>
      </c>
      <c r="Q694" s="34">
        <f>SUMIF(Allocation[Delivery ID],Allocation[[#This Row],[Delivery ID]],Allocation[Quantity Processed])</f>
        <v>179</v>
      </c>
      <c r="R694" s="61">
        <f>Allocation[[#This Row],[Total volume used]]/VLOOKUP(Allocation[[#This Row],[Delivery ID]],Delivery[[Delivery ID]:[Quantity delivered]],3,FALSE)</f>
        <v>5.8525420957985944E-3</v>
      </c>
      <c r="S694" s="34">
        <f>Allocation[[#This Row],[Quantity Processed]]/Allocation[[#This Row],[Dilution rate]]</f>
        <v>71.599999999999994</v>
      </c>
      <c r="T694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94" s="61">
        <f>Allocation[[#This Row],[Total volume used]]/VLOOKUP(Allocation[[#This Row],[Delivery ID]],Delivery[[Delivery ID]:[Quantity delivered]],3,FALSE)</f>
        <v>5.8525420957985944E-3</v>
      </c>
      <c r="V694" s="34" t="e">
        <f>VLOOKUP(Allocation[[#This Row],[SAP Contract number]],Shipments[[SAP Contract number]:[Contracted container weight]],2,FALSE)</f>
        <v>#N/A</v>
      </c>
      <c r="W694" s="34" t="e">
        <f>VLOOKUP(Allocation[[#This Row],[SAP Contract number]],Shipments[[SAP Contract number]:[AAA Premium USD]],24,FALSE)</f>
        <v>#N/A</v>
      </c>
      <c r="X694" s="34" t="e">
        <f>VLOOKUP(Allocation[[#This Row],[SAP Contract number]],Shipments[[SAP Contract number]:[RA Premium USD]],25,FALSE)</f>
        <v>#N/A</v>
      </c>
      <c r="Y694" s="38">
        <f>Allocation[[#This Row],[Quantity Processed]]/Allocation[[#This Row],[Quantity allocated]]</f>
        <v>3.0338983050847457</v>
      </c>
      <c r="Z694" s="34" t="b">
        <f>Allocation[[#This Row],[Quantity allocated]]&lt;=Allocation[[#This Row],[Quantity Processed]]</f>
        <v>1</v>
      </c>
    </row>
    <row r="695" spans="1:26">
      <c r="A695" s="247" t="s">
        <v>467</v>
      </c>
      <c r="B695" s="160" t="s">
        <v>68</v>
      </c>
      <c r="C695" s="252" t="s">
        <v>793</v>
      </c>
      <c r="D695" s="250">
        <v>179</v>
      </c>
      <c r="E695" s="160" t="s">
        <v>1237</v>
      </c>
      <c r="F695" s="158">
        <v>43514</v>
      </c>
      <c r="G695" s="162">
        <v>2.5</v>
      </c>
      <c r="H695" s="250">
        <v>59</v>
      </c>
      <c r="I695" s="160">
        <v>1433478</v>
      </c>
      <c r="J695" s="163">
        <v>19175</v>
      </c>
      <c r="K695" s="158">
        <v>43521</v>
      </c>
      <c r="L695" s="160" t="s">
        <v>1254</v>
      </c>
      <c r="M695" s="160">
        <v>4615516135</v>
      </c>
      <c r="N695" s="158">
        <v>43544</v>
      </c>
      <c r="O695" s="164">
        <v>3.7890999999999999</v>
      </c>
      <c r="P695" s="165" t="s">
        <v>1323</v>
      </c>
      <c r="Q695" s="34">
        <f>SUMIF(Allocation[Delivery ID],Allocation[[#This Row],[Delivery ID]],Allocation[Quantity Processed])</f>
        <v>179</v>
      </c>
      <c r="R695" s="61">
        <f>Allocation[[#This Row],[Total volume used]]/VLOOKUP(Allocation[[#This Row],[Delivery ID]],Delivery[[Delivery ID]:[Quantity delivered]],3,FALSE)</f>
        <v>5.8525420957985944E-3</v>
      </c>
      <c r="S695" s="34">
        <f>Allocation[[#This Row],[Quantity Processed]]/Allocation[[#This Row],[Dilution rate]]</f>
        <v>71.599999999999994</v>
      </c>
      <c r="T695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95" s="61">
        <f>Allocation[[#This Row],[Total volume used]]/VLOOKUP(Allocation[[#This Row],[Delivery ID]],Delivery[[Delivery ID]:[Quantity delivered]],3,FALSE)</f>
        <v>5.8525420957985944E-3</v>
      </c>
      <c r="V695" s="34" t="e">
        <f>VLOOKUP(Allocation[[#This Row],[SAP Contract number]],Shipments[[SAP Contract number]:[Contracted container weight]],2,FALSE)</f>
        <v>#N/A</v>
      </c>
      <c r="W695" s="34" t="e">
        <f>VLOOKUP(Allocation[[#This Row],[SAP Contract number]],Shipments[[SAP Contract number]:[AAA Premium USD]],24,FALSE)</f>
        <v>#N/A</v>
      </c>
      <c r="X695" s="34" t="e">
        <f>VLOOKUP(Allocation[[#This Row],[SAP Contract number]],Shipments[[SAP Contract number]:[RA Premium USD]],25,FALSE)</f>
        <v>#N/A</v>
      </c>
      <c r="Y695" s="38">
        <f>Allocation[[#This Row],[Quantity Processed]]/Allocation[[#This Row],[Quantity allocated]]</f>
        <v>3.0338983050847457</v>
      </c>
      <c r="Z695" s="34" t="b">
        <f>Allocation[[#This Row],[Quantity allocated]]&lt;=Allocation[[#This Row],[Quantity Processed]]</f>
        <v>1</v>
      </c>
    </row>
    <row r="696" spans="1:26">
      <c r="A696" s="247" t="s">
        <v>467</v>
      </c>
      <c r="B696" s="160" t="s">
        <v>68</v>
      </c>
      <c r="C696" s="252" t="s">
        <v>794</v>
      </c>
      <c r="D696" s="250">
        <v>179</v>
      </c>
      <c r="E696" s="160" t="s">
        <v>1237</v>
      </c>
      <c r="F696" s="158">
        <v>43514</v>
      </c>
      <c r="G696" s="162">
        <v>2.5</v>
      </c>
      <c r="H696" s="250">
        <v>59</v>
      </c>
      <c r="I696" s="160">
        <v>1433478</v>
      </c>
      <c r="J696" s="163">
        <v>19175</v>
      </c>
      <c r="K696" s="158">
        <v>43521</v>
      </c>
      <c r="L696" s="160" t="s">
        <v>1254</v>
      </c>
      <c r="M696" s="160">
        <v>4615516135</v>
      </c>
      <c r="N696" s="158">
        <v>43544</v>
      </c>
      <c r="O696" s="164">
        <v>3.7890999999999999</v>
      </c>
      <c r="P696" s="165" t="s">
        <v>1323</v>
      </c>
      <c r="Q696" s="34">
        <f>SUMIF(Allocation[Delivery ID],Allocation[[#This Row],[Delivery ID]],Allocation[Quantity Processed])</f>
        <v>179</v>
      </c>
      <c r="R696" s="61">
        <f>Allocation[[#This Row],[Total volume used]]/VLOOKUP(Allocation[[#This Row],[Delivery ID]],Delivery[[Delivery ID]:[Quantity delivered]],3,FALSE)</f>
        <v>5.8487175298153893E-3</v>
      </c>
      <c r="S696" s="34">
        <f>Allocation[[#This Row],[Quantity Processed]]/Allocation[[#This Row],[Dilution rate]]</f>
        <v>71.599999999999994</v>
      </c>
      <c r="T696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96" s="61">
        <f>Allocation[[#This Row],[Total volume used]]/VLOOKUP(Allocation[[#This Row],[Delivery ID]],Delivery[[Delivery ID]:[Quantity delivered]],3,FALSE)</f>
        <v>5.8487175298153893E-3</v>
      </c>
      <c r="V696" s="34" t="e">
        <f>VLOOKUP(Allocation[[#This Row],[SAP Contract number]],Shipments[[SAP Contract number]:[Contracted container weight]],2,FALSE)</f>
        <v>#N/A</v>
      </c>
      <c r="W696" s="34" t="e">
        <f>VLOOKUP(Allocation[[#This Row],[SAP Contract number]],Shipments[[SAP Contract number]:[AAA Premium USD]],24,FALSE)</f>
        <v>#N/A</v>
      </c>
      <c r="X696" s="34" t="e">
        <f>VLOOKUP(Allocation[[#This Row],[SAP Contract number]],Shipments[[SAP Contract number]:[RA Premium USD]],25,FALSE)</f>
        <v>#N/A</v>
      </c>
      <c r="Y696" s="38">
        <f>Allocation[[#This Row],[Quantity Processed]]/Allocation[[#This Row],[Quantity allocated]]</f>
        <v>3.0338983050847457</v>
      </c>
      <c r="Z696" s="34" t="b">
        <f>Allocation[[#This Row],[Quantity allocated]]&lt;=Allocation[[#This Row],[Quantity Processed]]</f>
        <v>1</v>
      </c>
    </row>
    <row r="697" spans="1:26">
      <c r="A697" s="247" t="s">
        <v>467</v>
      </c>
      <c r="B697" s="160" t="s">
        <v>68</v>
      </c>
      <c r="C697" s="252" t="s">
        <v>795</v>
      </c>
      <c r="D697" s="250">
        <v>179</v>
      </c>
      <c r="E697" s="160" t="s">
        <v>1237</v>
      </c>
      <c r="F697" s="158">
        <v>43514</v>
      </c>
      <c r="G697" s="162">
        <v>2.5</v>
      </c>
      <c r="H697" s="250">
        <v>59</v>
      </c>
      <c r="I697" s="160">
        <v>1433478</v>
      </c>
      <c r="J697" s="163">
        <v>19175</v>
      </c>
      <c r="K697" s="158">
        <v>43521</v>
      </c>
      <c r="L697" s="160" t="s">
        <v>1254</v>
      </c>
      <c r="M697" s="160">
        <v>4615516135</v>
      </c>
      <c r="N697" s="158">
        <v>43544</v>
      </c>
      <c r="O697" s="164">
        <v>3.7890999999999999</v>
      </c>
      <c r="P697" s="165" t="s">
        <v>1323</v>
      </c>
      <c r="Q697" s="34">
        <f>SUMIF(Allocation[Delivery ID],Allocation[[#This Row],[Delivery ID]],Allocation[Quantity Processed])</f>
        <v>179</v>
      </c>
      <c r="R697" s="61">
        <f>Allocation[[#This Row],[Total volume used]]/VLOOKUP(Allocation[[#This Row],[Delivery ID]],Delivery[[Delivery ID]:[Quantity delivered]],3,FALSE)</f>
        <v>5.8487175298153893E-3</v>
      </c>
      <c r="S697" s="34">
        <f>Allocation[[#This Row],[Quantity Processed]]/Allocation[[#This Row],[Dilution rate]]</f>
        <v>71.599999999999994</v>
      </c>
      <c r="T697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97" s="61">
        <f>Allocation[[#This Row],[Total volume used]]/VLOOKUP(Allocation[[#This Row],[Delivery ID]],Delivery[[Delivery ID]:[Quantity delivered]],3,FALSE)</f>
        <v>5.8487175298153893E-3</v>
      </c>
      <c r="V697" s="34" t="e">
        <f>VLOOKUP(Allocation[[#This Row],[SAP Contract number]],Shipments[[SAP Contract number]:[Contracted container weight]],2,FALSE)</f>
        <v>#N/A</v>
      </c>
      <c r="W697" s="34" t="e">
        <f>VLOOKUP(Allocation[[#This Row],[SAP Contract number]],Shipments[[SAP Contract number]:[AAA Premium USD]],24,FALSE)</f>
        <v>#N/A</v>
      </c>
      <c r="X697" s="34" t="e">
        <f>VLOOKUP(Allocation[[#This Row],[SAP Contract number]],Shipments[[SAP Contract number]:[RA Premium USD]],25,FALSE)</f>
        <v>#N/A</v>
      </c>
      <c r="Y697" s="38">
        <f>Allocation[[#This Row],[Quantity Processed]]/Allocation[[#This Row],[Quantity allocated]]</f>
        <v>3.0338983050847457</v>
      </c>
      <c r="Z697" s="34" t="b">
        <f>Allocation[[#This Row],[Quantity allocated]]&lt;=Allocation[[#This Row],[Quantity Processed]]</f>
        <v>1</v>
      </c>
    </row>
    <row r="698" spans="1:26">
      <c r="A698" s="247" t="s">
        <v>467</v>
      </c>
      <c r="B698" s="160" t="s">
        <v>68</v>
      </c>
      <c r="C698" s="252" t="s">
        <v>796</v>
      </c>
      <c r="D698" s="250">
        <v>179</v>
      </c>
      <c r="E698" s="160" t="s">
        <v>1237</v>
      </c>
      <c r="F698" s="158">
        <v>43514</v>
      </c>
      <c r="G698" s="162">
        <v>2.5</v>
      </c>
      <c r="H698" s="250">
        <v>59</v>
      </c>
      <c r="I698" s="160">
        <v>1433478</v>
      </c>
      <c r="J698" s="163">
        <v>19175</v>
      </c>
      <c r="K698" s="158">
        <v>43521</v>
      </c>
      <c r="L698" s="160" t="s">
        <v>1254</v>
      </c>
      <c r="M698" s="160">
        <v>4615516135</v>
      </c>
      <c r="N698" s="158">
        <v>43544</v>
      </c>
      <c r="O698" s="164">
        <v>3.7890999999999999</v>
      </c>
      <c r="P698" s="165" t="s">
        <v>1323</v>
      </c>
      <c r="Q698" s="34">
        <f>SUMIF(Allocation[Delivery ID],Allocation[[#This Row],[Delivery ID]],Allocation[Quantity Processed])</f>
        <v>179</v>
      </c>
      <c r="R698" s="61">
        <f>Allocation[[#This Row],[Total volume used]]/VLOOKUP(Allocation[[#This Row],[Delivery ID]],Delivery[[Delivery ID]:[Quantity delivered]],3,FALSE)</f>
        <v>5.8429900440672431E-3</v>
      </c>
      <c r="S698" s="34">
        <f>Allocation[[#This Row],[Quantity Processed]]/Allocation[[#This Row],[Dilution rate]]</f>
        <v>71.599999999999994</v>
      </c>
      <c r="T698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98" s="61">
        <f>Allocation[[#This Row],[Total volume used]]/VLOOKUP(Allocation[[#This Row],[Delivery ID]],Delivery[[Delivery ID]:[Quantity delivered]],3,FALSE)</f>
        <v>5.8429900440672431E-3</v>
      </c>
      <c r="V698" s="34" t="e">
        <f>VLOOKUP(Allocation[[#This Row],[SAP Contract number]],Shipments[[SAP Contract number]:[Contracted container weight]],2,FALSE)</f>
        <v>#N/A</v>
      </c>
      <c r="W698" s="34" t="e">
        <f>VLOOKUP(Allocation[[#This Row],[SAP Contract number]],Shipments[[SAP Contract number]:[AAA Premium USD]],24,FALSE)</f>
        <v>#N/A</v>
      </c>
      <c r="X698" s="34" t="e">
        <f>VLOOKUP(Allocation[[#This Row],[SAP Contract number]],Shipments[[SAP Contract number]:[RA Premium USD]],25,FALSE)</f>
        <v>#N/A</v>
      </c>
      <c r="Y698" s="38">
        <f>Allocation[[#This Row],[Quantity Processed]]/Allocation[[#This Row],[Quantity allocated]]</f>
        <v>3.0338983050847457</v>
      </c>
      <c r="Z698" s="34" t="b">
        <f>Allocation[[#This Row],[Quantity allocated]]&lt;=Allocation[[#This Row],[Quantity Processed]]</f>
        <v>1</v>
      </c>
    </row>
    <row r="699" spans="1:26">
      <c r="A699" s="247" t="s">
        <v>467</v>
      </c>
      <c r="B699" s="160" t="s">
        <v>68</v>
      </c>
      <c r="C699" s="252" t="s">
        <v>797</v>
      </c>
      <c r="D699" s="250">
        <v>179</v>
      </c>
      <c r="E699" s="160" t="s">
        <v>1237</v>
      </c>
      <c r="F699" s="158">
        <v>43514</v>
      </c>
      <c r="G699" s="162">
        <v>2.5</v>
      </c>
      <c r="H699" s="250">
        <v>59</v>
      </c>
      <c r="I699" s="160">
        <v>1433478</v>
      </c>
      <c r="J699" s="163">
        <v>19175</v>
      </c>
      <c r="K699" s="158">
        <v>43521</v>
      </c>
      <c r="L699" s="160" t="s">
        <v>1254</v>
      </c>
      <c r="M699" s="160">
        <v>4615516135</v>
      </c>
      <c r="N699" s="158">
        <v>43544</v>
      </c>
      <c r="O699" s="164">
        <v>3.7890999999999999</v>
      </c>
      <c r="P699" s="165" t="s">
        <v>1323</v>
      </c>
      <c r="Q699" s="34">
        <f>SUMIF(Allocation[Delivery ID],Allocation[[#This Row],[Delivery ID]],Allocation[Quantity Processed])</f>
        <v>179</v>
      </c>
      <c r="R699" s="61">
        <f>Allocation[[#This Row],[Total volume used]]/VLOOKUP(Allocation[[#This Row],[Delivery ID]],Delivery[[Delivery ID]:[Quantity delivered]],3,FALSE)</f>
        <v>5.8582883325151366E-3</v>
      </c>
      <c r="S699" s="34">
        <f>Allocation[[#This Row],[Quantity Processed]]/Allocation[[#This Row],[Dilution rate]]</f>
        <v>71.599999999999994</v>
      </c>
      <c r="T699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699" s="61">
        <f>Allocation[[#This Row],[Total volume used]]/VLOOKUP(Allocation[[#This Row],[Delivery ID]],Delivery[[Delivery ID]:[Quantity delivered]],3,FALSE)</f>
        <v>5.8582883325151366E-3</v>
      </c>
      <c r="V699" s="34" t="e">
        <f>VLOOKUP(Allocation[[#This Row],[SAP Contract number]],Shipments[[SAP Contract number]:[Contracted container weight]],2,FALSE)</f>
        <v>#N/A</v>
      </c>
      <c r="W699" s="34" t="e">
        <f>VLOOKUP(Allocation[[#This Row],[SAP Contract number]],Shipments[[SAP Contract number]:[AAA Premium USD]],24,FALSE)</f>
        <v>#N/A</v>
      </c>
      <c r="X699" s="34" t="e">
        <f>VLOOKUP(Allocation[[#This Row],[SAP Contract number]],Shipments[[SAP Contract number]:[RA Premium USD]],25,FALSE)</f>
        <v>#N/A</v>
      </c>
      <c r="Y699" s="38">
        <f>Allocation[[#This Row],[Quantity Processed]]/Allocation[[#This Row],[Quantity allocated]]</f>
        <v>3.0338983050847457</v>
      </c>
      <c r="Z699" s="34" t="b">
        <f>Allocation[[#This Row],[Quantity allocated]]&lt;=Allocation[[#This Row],[Quantity Processed]]</f>
        <v>1</v>
      </c>
    </row>
    <row r="700" spans="1:26">
      <c r="A700" s="247" t="s">
        <v>467</v>
      </c>
      <c r="B700" s="160" t="s">
        <v>68</v>
      </c>
      <c r="C700" s="252" t="s">
        <v>798</v>
      </c>
      <c r="D700" s="250">
        <v>179</v>
      </c>
      <c r="E700" s="160" t="s">
        <v>1237</v>
      </c>
      <c r="F700" s="158">
        <v>43514</v>
      </c>
      <c r="G700" s="162">
        <v>2.5</v>
      </c>
      <c r="H700" s="250">
        <v>59</v>
      </c>
      <c r="I700" s="160">
        <v>1433478</v>
      </c>
      <c r="J700" s="163">
        <v>19175</v>
      </c>
      <c r="K700" s="158">
        <v>43521</v>
      </c>
      <c r="L700" s="160" t="s">
        <v>1254</v>
      </c>
      <c r="M700" s="160">
        <v>4615516135</v>
      </c>
      <c r="N700" s="158">
        <v>43544</v>
      </c>
      <c r="O700" s="164">
        <v>3.7890999999999999</v>
      </c>
      <c r="P700" s="165" t="s">
        <v>1323</v>
      </c>
      <c r="Q700" s="34">
        <f>SUMIF(Allocation[Delivery ID],Allocation[[#This Row],[Delivery ID]],Allocation[Quantity Processed])</f>
        <v>179</v>
      </c>
      <c r="R700" s="61">
        <f>Allocation[[#This Row],[Total volume used]]/VLOOKUP(Allocation[[#This Row],[Delivery ID]],Delivery[[Delivery ID]:[Quantity delivered]],3,FALSE)</f>
        <v>6.3617301062657708E-3</v>
      </c>
      <c r="S700" s="34">
        <f>Allocation[[#This Row],[Quantity Processed]]/Allocation[[#This Row],[Dilution rate]]</f>
        <v>71.599999999999994</v>
      </c>
      <c r="T700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00" s="61">
        <f>Allocation[[#This Row],[Total volume used]]/VLOOKUP(Allocation[[#This Row],[Delivery ID]],Delivery[[Delivery ID]:[Quantity delivered]],3,FALSE)</f>
        <v>6.3617301062657708E-3</v>
      </c>
      <c r="V700" s="34" t="e">
        <f>VLOOKUP(Allocation[[#This Row],[SAP Contract number]],Shipments[[SAP Contract number]:[Contracted container weight]],2,FALSE)</f>
        <v>#N/A</v>
      </c>
      <c r="W700" s="34" t="e">
        <f>VLOOKUP(Allocation[[#This Row],[SAP Contract number]],Shipments[[SAP Contract number]:[AAA Premium USD]],24,FALSE)</f>
        <v>#N/A</v>
      </c>
      <c r="X700" s="34" t="e">
        <f>VLOOKUP(Allocation[[#This Row],[SAP Contract number]],Shipments[[SAP Contract number]:[RA Premium USD]],25,FALSE)</f>
        <v>#N/A</v>
      </c>
      <c r="Y700" s="38">
        <f>Allocation[[#This Row],[Quantity Processed]]/Allocation[[#This Row],[Quantity allocated]]</f>
        <v>3.0338983050847457</v>
      </c>
      <c r="Z700" s="34" t="b">
        <f>Allocation[[#This Row],[Quantity allocated]]&lt;=Allocation[[#This Row],[Quantity Processed]]</f>
        <v>1</v>
      </c>
    </row>
    <row r="701" spans="1:26">
      <c r="A701" s="247" t="s">
        <v>467</v>
      </c>
      <c r="B701" s="160" t="s">
        <v>68</v>
      </c>
      <c r="C701" s="252" t="s">
        <v>801</v>
      </c>
      <c r="D701" s="250">
        <v>190</v>
      </c>
      <c r="E701" s="160" t="s">
        <v>1237</v>
      </c>
      <c r="F701" s="158">
        <v>43514</v>
      </c>
      <c r="G701" s="162">
        <v>2.5</v>
      </c>
      <c r="H701" s="250">
        <v>59</v>
      </c>
      <c r="I701" s="160">
        <v>1433478</v>
      </c>
      <c r="J701" s="163">
        <v>19175</v>
      </c>
      <c r="K701" s="158">
        <v>43521</v>
      </c>
      <c r="L701" s="160" t="s">
        <v>1254</v>
      </c>
      <c r="M701" s="160">
        <v>4615516135</v>
      </c>
      <c r="N701" s="158">
        <v>43544</v>
      </c>
      <c r="O701" s="164">
        <v>3.7890999999999999</v>
      </c>
      <c r="P701" s="165" t="s">
        <v>1323</v>
      </c>
      <c r="Q701" s="34">
        <f>SUMIF(Allocation[Delivery ID],Allocation[[#This Row],[Delivery ID]],Allocation[Quantity Processed])</f>
        <v>190</v>
      </c>
      <c r="R701" s="61">
        <f>Allocation[[#This Row],[Total volume used]]/VLOOKUP(Allocation[[#This Row],[Delivery ID]],Delivery[[Delivery ID]:[Quantity delivered]],3,FALSE)</f>
        <v>6.2976466688763671E-3</v>
      </c>
      <c r="S701" s="34">
        <f>Allocation[[#This Row],[Quantity Processed]]/Allocation[[#This Row],[Dilution rate]]</f>
        <v>76</v>
      </c>
      <c r="T701" s="59">
        <f>SUMIF(Allocation[Delivery ID],Allocation[[#This Row],[Delivery ID]],Allocation[Quantity allocated])/SUMIF(Allocation[Delivery ID],Allocation[[#This Row],[Delivery ID]],Allocation[Volume available (kg)])</f>
        <v>0.77631578947368418</v>
      </c>
      <c r="U701" s="61">
        <f>Allocation[[#This Row],[Total volume used]]/VLOOKUP(Allocation[[#This Row],[Delivery ID]],Delivery[[Delivery ID]:[Quantity delivered]],3,FALSE)</f>
        <v>6.2976466688763671E-3</v>
      </c>
      <c r="V701" s="34" t="e">
        <f>VLOOKUP(Allocation[[#This Row],[SAP Contract number]],Shipments[[SAP Contract number]:[Contracted container weight]],2,FALSE)</f>
        <v>#N/A</v>
      </c>
      <c r="W701" s="34" t="e">
        <f>VLOOKUP(Allocation[[#This Row],[SAP Contract number]],Shipments[[SAP Contract number]:[AAA Premium USD]],24,FALSE)</f>
        <v>#N/A</v>
      </c>
      <c r="X701" s="34" t="e">
        <f>VLOOKUP(Allocation[[#This Row],[SAP Contract number]],Shipments[[SAP Contract number]:[RA Premium USD]],25,FALSE)</f>
        <v>#N/A</v>
      </c>
      <c r="Y701" s="38">
        <f>Allocation[[#This Row],[Quantity Processed]]/Allocation[[#This Row],[Quantity allocated]]</f>
        <v>3.2203389830508473</v>
      </c>
      <c r="Z701" s="34" t="b">
        <f>Allocation[[#This Row],[Quantity allocated]]&lt;=Allocation[[#This Row],[Quantity Processed]]</f>
        <v>1</v>
      </c>
    </row>
    <row r="702" spans="1:26">
      <c r="A702" s="247" t="s">
        <v>467</v>
      </c>
      <c r="B702" s="160" t="s">
        <v>68</v>
      </c>
      <c r="C702" s="252" t="s">
        <v>803</v>
      </c>
      <c r="D702" s="250">
        <v>190</v>
      </c>
      <c r="E702" s="160" t="s">
        <v>1237</v>
      </c>
      <c r="F702" s="158">
        <v>43514</v>
      </c>
      <c r="G702" s="162">
        <v>2.5</v>
      </c>
      <c r="H702" s="250">
        <v>59</v>
      </c>
      <c r="I702" s="160">
        <v>1433478</v>
      </c>
      <c r="J702" s="163">
        <v>19175</v>
      </c>
      <c r="K702" s="158">
        <v>43521</v>
      </c>
      <c r="L702" s="160" t="s">
        <v>1254</v>
      </c>
      <c r="M702" s="160">
        <v>4615516135</v>
      </c>
      <c r="N702" s="158">
        <v>43544</v>
      </c>
      <c r="O702" s="164">
        <v>3.7890999999999999</v>
      </c>
      <c r="P702" s="165" t="s">
        <v>1323</v>
      </c>
      <c r="Q702" s="34">
        <f>SUMIF(Allocation[Delivery ID],Allocation[[#This Row],[Delivery ID]],Allocation[Quantity Processed])</f>
        <v>190</v>
      </c>
      <c r="R702" s="61">
        <f>Allocation[[#This Row],[Total volume used]]/VLOOKUP(Allocation[[#This Row],[Delivery ID]],Delivery[[Delivery ID]:[Quantity delivered]],3,FALSE)</f>
        <v>2.1481062747314868E-2</v>
      </c>
      <c r="S702" s="34">
        <f>Allocation[[#This Row],[Quantity Processed]]/Allocation[[#This Row],[Dilution rate]]</f>
        <v>76</v>
      </c>
      <c r="T702" s="59">
        <f>SUMIF(Allocation[Delivery ID],Allocation[[#This Row],[Delivery ID]],Allocation[Quantity allocated])/SUMIF(Allocation[Delivery ID],Allocation[[#This Row],[Delivery ID]],Allocation[Volume available (kg)])</f>
        <v>0.77631578947368418</v>
      </c>
      <c r="U702" s="61">
        <f>Allocation[[#This Row],[Total volume used]]/VLOOKUP(Allocation[[#This Row],[Delivery ID]],Delivery[[Delivery ID]:[Quantity delivered]],3,FALSE)</f>
        <v>2.1481062747314868E-2</v>
      </c>
      <c r="V702" s="34" t="e">
        <f>VLOOKUP(Allocation[[#This Row],[SAP Contract number]],Shipments[[SAP Contract number]:[Contracted container weight]],2,FALSE)</f>
        <v>#N/A</v>
      </c>
      <c r="W702" s="34" t="e">
        <f>VLOOKUP(Allocation[[#This Row],[SAP Contract number]],Shipments[[SAP Contract number]:[AAA Premium USD]],24,FALSE)</f>
        <v>#N/A</v>
      </c>
      <c r="X702" s="34" t="e">
        <f>VLOOKUP(Allocation[[#This Row],[SAP Contract number]],Shipments[[SAP Contract number]:[RA Premium USD]],25,FALSE)</f>
        <v>#N/A</v>
      </c>
      <c r="Y702" s="38">
        <f>Allocation[[#This Row],[Quantity Processed]]/Allocation[[#This Row],[Quantity allocated]]</f>
        <v>3.2203389830508473</v>
      </c>
      <c r="Z702" s="34" t="b">
        <f>Allocation[[#This Row],[Quantity allocated]]&lt;=Allocation[[#This Row],[Quantity Processed]]</f>
        <v>1</v>
      </c>
    </row>
    <row r="703" spans="1:26">
      <c r="A703" s="247" t="s">
        <v>467</v>
      </c>
      <c r="B703" s="160" t="s">
        <v>68</v>
      </c>
      <c r="C703" s="252" t="s">
        <v>804</v>
      </c>
      <c r="D703" s="250">
        <v>190</v>
      </c>
      <c r="E703" s="160" t="s">
        <v>1237</v>
      </c>
      <c r="F703" s="158">
        <v>43514</v>
      </c>
      <c r="G703" s="162">
        <v>2.5</v>
      </c>
      <c r="H703" s="250">
        <v>59</v>
      </c>
      <c r="I703" s="160">
        <v>1433478</v>
      </c>
      <c r="J703" s="163">
        <v>19175</v>
      </c>
      <c r="K703" s="158">
        <v>43521</v>
      </c>
      <c r="L703" s="160" t="s">
        <v>1254</v>
      </c>
      <c r="M703" s="160">
        <v>4615516135</v>
      </c>
      <c r="N703" s="158">
        <v>43544</v>
      </c>
      <c r="O703" s="164">
        <v>3.7890999999999999</v>
      </c>
      <c r="P703" s="165" t="s">
        <v>1323</v>
      </c>
      <c r="Q703" s="34">
        <f>SUMIF(Allocation[Delivery ID],Allocation[[#This Row],[Delivery ID]],Allocation[Quantity Processed])</f>
        <v>190</v>
      </c>
      <c r="R703" s="61">
        <f>Allocation[[#This Row],[Total volume used]]/VLOOKUP(Allocation[[#This Row],[Delivery ID]],Delivery[[Delivery ID]:[Quantity delivered]],3,FALSE)</f>
        <v>6.3101959481899703E-3</v>
      </c>
      <c r="S703" s="34">
        <f>Allocation[[#This Row],[Quantity Processed]]/Allocation[[#This Row],[Dilution rate]]</f>
        <v>76</v>
      </c>
      <c r="T703" s="59">
        <f>SUMIF(Allocation[Delivery ID],Allocation[[#This Row],[Delivery ID]],Allocation[Quantity allocated])/SUMIF(Allocation[Delivery ID],Allocation[[#This Row],[Delivery ID]],Allocation[Volume available (kg)])</f>
        <v>0.77631578947368418</v>
      </c>
      <c r="U703" s="61">
        <f>Allocation[[#This Row],[Total volume used]]/VLOOKUP(Allocation[[#This Row],[Delivery ID]],Delivery[[Delivery ID]:[Quantity delivered]],3,FALSE)</f>
        <v>6.3101959481899703E-3</v>
      </c>
      <c r="V703" s="34" t="e">
        <f>VLOOKUP(Allocation[[#This Row],[SAP Contract number]],Shipments[[SAP Contract number]:[Contracted container weight]],2,FALSE)</f>
        <v>#N/A</v>
      </c>
      <c r="W703" s="34" t="e">
        <f>VLOOKUP(Allocation[[#This Row],[SAP Contract number]],Shipments[[SAP Contract number]:[AAA Premium USD]],24,FALSE)</f>
        <v>#N/A</v>
      </c>
      <c r="X703" s="34" t="e">
        <f>VLOOKUP(Allocation[[#This Row],[SAP Contract number]],Shipments[[SAP Contract number]:[RA Premium USD]],25,FALSE)</f>
        <v>#N/A</v>
      </c>
      <c r="Y703" s="38">
        <f>Allocation[[#This Row],[Quantity Processed]]/Allocation[[#This Row],[Quantity allocated]]</f>
        <v>3.2203389830508473</v>
      </c>
      <c r="Z703" s="34" t="b">
        <f>Allocation[[#This Row],[Quantity allocated]]&lt;=Allocation[[#This Row],[Quantity Processed]]</f>
        <v>1</v>
      </c>
    </row>
    <row r="704" spans="1:26">
      <c r="A704" s="247" t="s">
        <v>467</v>
      </c>
      <c r="B704" s="160" t="s">
        <v>68</v>
      </c>
      <c r="C704" s="252" t="s">
        <v>805</v>
      </c>
      <c r="D704" s="250">
        <v>190</v>
      </c>
      <c r="E704" s="160" t="s">
        <v>1237</v>
      </c>
      <c r="F704" s="158">
        <v>43514</v>
      </c>
      <c r="G704" s="162">
        <v>2.5</v>
      </c>
      <c r="H704" s="250">
        <v>59</v>
      </c>
      <c r="I704" s="160">
        <v>1433478</v>
      </c>
      <c r="J704" s="163">
        <v>19175</v>
      </c>
      <c r="K704" s="158">
        <v>43521</v>
      </c>
      <c r="L704" s="160" t="s">
        <v>1254</v>
      </c>
      <c r="M704" s="160">
        <v>4615516135</v>
      </c>
      <c r="N704" s="158">
        <v>43544</v>
      </c>
      <c r="O704" s="164">
        <v>3.7890999999999999</v>
      </c>
      <c r="P704" s="165" t="s">
        <v>1323</v>
      </c>
      <c r="Q704" s="34">
        <f>SUMIF(Allocation[Delivery ID],Allocation[[#This Row],[Delivery ID]],Allocation[Quantity Processed])</f>
        <v>190</v>
      </c>
      <c r="R704" s="61">
        <f>Allocation[[#This Row],[Total volume used]]/VLOOKUP(Allocation[[#This Row],[Delivery ID]],Delivery[[Delivery ID]:[Quantity delivered]],3,FALSE)</f>
        <v>6.320691949434464E-3</v>
      </c>
      <c r="S704" s="34">
        <f>Allocation[[#This Row],[Quantity Processed]]/Allocation[[#This Row],[Dilution rate]]</f>
        <v>76</v>
      </c>
      <c r="T704" s="59">
        <f>SUMIF(Allocation[Delivery ID],Allocation[[#This Row],[Delivery ID]],Allocation[Quantity allocated])/SUMIF(Allocation[Delivery ID],Allocation[[#This Row],[Delivery ID]],Allocation[Volume available (kg)])</f>
        <v>0.77631578947368418</v>
      </c>
      <c r="U704" s="61">
        <f>Allocation[[#This Row],[Total volume used]]/VLOOKUP(Allocation[[#This Row],[Delivery ID]],Delivery[[Delivery ID]:[Quantity delivered]],3,FALSE)</f>
        <v>6.320691949434464E-3</v>
      </c>
      <c r="V704" s="34" t="e">
        <f>VLOOKUP(Allocation[[#This Row],[SAP Contract number]],Shipments[[SAP Contract number]:[Contracted container weight]],2,FALSE)</f>
        <v>#N/A</v>
      </c>
      <c r="W704" s="34" t="e">
        <f>VLOOKUP(Allocation[[#This Row],[SAP Contract number]],Shipments[[SAP Contract number]:[AAA Premium USD]],24,FALSE)</f>
        <v>#N/A</v>
      </c>
      <c r="X704" s="34" t="e">
        <f>VLOOKUP(Allocation[[#This Row],[SAP Contract number]],Shipments[[SAP Contract number]:[RA Premium USD]],25,FALSE)</f>
        <v>#N/A</v>
      </c>
      <c r="Y704" s="38">
        <f>Allocation[[#This Row],[Quantity Processed]]/Allocation[[#This Row],[Quantity allocated]]</f>
        <v>3.2203389830508473</v>
      </c>
      <c r="Z704" s="34" t="b">
        <f>Allocation[[#This Row],[Quantity allocated]]&lt;=Allocation[[#This Row],[Quantity Processed]]</f>
        <v>1</v>
      </c>
    </row>
    <row r="705" spans="1:26">
      <c r="A705" s="247" t="s">
        <v>467</v>
      </c>
      <c r="B705" s="160" t="s">
        <v>68</v>
      </c>
      <c r="C705" s="252" t="s">
        <v>806</v>
      </c>
      <c r="D705" s="250">
        <v>190</v>
      </c>
      <c r="E705" s="160" t="s">
        <v>1237</v>
      </c>
      <c r="F705" s="158">
        <v>43514</v>
      </c>
      <c r="G705" s="162">
        <v>2.5</v>
      </c>
      <c r="H705" s="250">
        <v>59</v>
      </c>
      <c r="I705" s="160">
        <v>1433478</v>
      </c>
      <c r="J705" s="163">
        <v>19175</v>
      </c>
      <c r="K705" s="158">
        <v>43521</v>
      </c>
      <c r="L705" s="160" t="s">
        <v>1254</v>
      </c>
      <c r="M705" s="160">
        <v>4615516135</v>
      </c>
      <c r="N705" s="158">
        <v>43544</v>
      </c>
      <c r="O705" s="164">
        <v>3.7890999999999999</v>
      </c>
      <c r="P705" s="165" t="s">
        <v>1323</v>
      </c>
      <c r="Q705" s="34">
        <f>SUMIF(Allocation[Delivery ID],Allocation[[#This Row],[Delivery ID]],Allocation[Quantity Processed])</f>
        <v>190</v>
      </c>
      <c r="R705" s="61">
        <f>Allocation[[#This Row],[Total volume used]]/VLOOKUP(Allocation[[#This Row],[Delivery ID]],Delivery[[Delivery ID]:[Quantity delivered]],3,FALSE)</f>
        <v>6.278916060806345E-3</v>
      </c>
      <c r="S705" s="34">
        <f>Allocation[[#This Row],[Quantity Processed]]/Allocation[[#This Row],[Dilution rate]]</f>
        <v>76</v>
      </c>
      <c r="T705" s="59">
        <f>SUMIF(Allocation[Delivery ID],Allocation[[#This Row],[Delivery ID]],Allocation[Quantity allocated])/SUMIF(Allocation[Delivery ID],Allocation[[#This Row],[Delivery ID]],Allocation[Volume available (kg)])</f>
        <v>0.77631578947368418</v>
      </c>
      <c r="U705" s="61">
        <f>Allocation[[#This Row],[Total volume used]]/VLOOKUP(Allocation[[#This Row],[Delivery ID]],Delivery[[Delivery ID]:[Quantity delivered]],3,FALSE)</f>
        <v>6.278916060806345E-3</v>
      </c>
      <c r="V705" s="34" t="e">
        <f>VLOOKUP(Allocation[[#This Row],[SAP Contract number]],Shipments[[SAP Contract number]:[Contracted container weight]],2,FALSE)</f>
        <v>#N/A</v>
      </c>
      <c r="W705" s="34" t="e">
        <f>VLOOKUP(Allocation[[#This Row],[SAP Contract number]],Shipments[[SAP Contract number]:[AAA Premium USD]],24,FALSE)</f>
        <v>#N/A</v>
      </c>
      <c r="X705" s="34" t="e">
        <f>VLOOKUP(Allocation[[#This Row],[SAP Contract number]],Shipments[[SAP Contract number]:[RA Premium USD]],25,FALSE)</f>
        <v>#N/A</v>
      </c>
      <c r="Y705" s="38">
        <f>Allocation[[#This Row],[Quantity Processed]]/Allocation[[#This Row],[Quantity allocated]]</f>
        <v>3.2203389830508473</v>
      </c>
      <c r="Z705" s="34" t="b">
        <f>Allocation[[#This Row],[Quantity allocated]]&lt;=Allocation[[#This Row],[Quantity Processed]]</f>
        <v>1</v>
      </c>
    </row>
    <row r="706" spans="1:26">
      <c r="A706" s="247" t="s">
        <v>467</v>
      </c>
      <c r="B706" s="160" t="s">
        <v>68</v>
      </c>
      <c r="C706" s="252" t="s">
        <v>807</v>
      </c>
      <c r="D706" s="250">
        <v>190</v>
      </c>
      <c r="E706" s="160" t="s">
        <v>1237</v>
      </c>
      <c r="F706" s="158">
        <v>43514</v>
      </c>
      <c r="G706" s="162">
        <v>2.5</v>
      </c>
      <c r="H706" s="250">
        <v>59</v>
      </c>
      <c r="I706" s="160">
        <v>1433478</v>
      </c>
      <c r="J706" s="163">
        <v>19175</v>
      </c>
      <c r="K706" s="158">
        <v>43521</v>
      </c>
      <c r="L706" s="160" t="s">
        <v>1254</v>
      </c>
      <c r="M706" s="160">
        <v>4615516135</v>
      </c>
      <c r="N706" s="158">
        <v>43544</v>
      </c>
      <c r="O706" s="164">
        <v>3.7890999999999999</v>
      </c>
      <c r="P706" s="165" t="s">
        <v>1323</v>
      </c>
      <c r="Q706" s="34">
        <f>SUMIF(Allocation[Delivery ID],Allocation[[#This Row],[Delivery ID]],Allocation[Quantity Processed])</f>
        <v>190</v>
      </c>
      <c r="R706" s="61">
        <f>Allocation[[#This Row],[Total volume used]]/VLOOKUP(Allocation[[#This Row],[Delivery ID]],Delivery[[Delivery ID]:[Quantity delivered]],3,FALSE)</f>
        <v>6.2747688243064729E-3</v>
      </c>
      <c r="S706" s="34">
        <f>Allocation[[#This Row],[Quantity Processed]]/Allocation[[#This Row],[Dilution rate]]</f>
        <v>76</v>
      </c>
      <c r="T706" s="59">
        <f>SUMIF(Allocation[Delivery ID],Allocation[[#This Row],[Delivery ID]],Allocation[Quantity allocated])/SUMIF(Allocation[Delivery ID],Allocation[[#This Row],[Delivery ID]],Allocation[Volume available (kg)])</f>
        <v>0.77631578947368418</v>
      </c>
      <c r="U706" s="61">
        <f>Allocation[[#This Row],[Total volume used]]/VLOOKUP(Allocation[[#This Row],[Delivery ID]],Delivery[[Delivery ID]:[Quantity delivered]],3,FALSE)</f>
        <v>6.2747688243064729E-3</v>
      </c>
      <c r="V706" s="34" t="e">
        <f>VLOOKUP(Allocation[[#This Row],[SAP Contract number]],Shipments[[SAP Contract number]:[Contracted container weight]],2,FALSE)</f>
        <v>#N/A</v>
      </c>
      <c r="W706" s="34" t="e">
        <f>VLOOKUP(Allocation[[#This Row],[SAP Contract number]],Shipments[[SAP Contract number]:[AAA Premium USD]],24,FALSE)</f>
        <v>#N/A</v>
      </c>
      <c r="X706" s="34" t="e">
        <f>VLOOKUP(Allocation[[#This Row],[SAP Contract number]],Shipments[[SAP Contract number]:[RA Premium USD]],25,FALSE)</f>
        <v>#N/A</v>
      </c>
      <c r="Y706" s="38">
        <f>Allocation[[#This Row],[Quantity Processed]]/Allocation[[#This Row],[Quantity allocated]]</f>
        <v>3.2203389830508473</v>
      </c>
      <c r="Z706" s="34" t="b">
        <f>Allocation[[#This Row],[Quantity allocated]]&lt;=Allocation[[#This Row],[Quantity Processed]]</f>
        <v>1</v>
      </c>
    </row>
    <row r="707" spans="1:26">
      <c r="A707" s="247" t="s">
        <v>467</v>
      </c>
      <c r="B707" s="160" t="s">
        <v>68</v>
      </c>
      <c r="C707" s="252" t="s">
        <v>808</v>
      </c>
      <c r="D707" s="250">
        <v>190</v>
      </c>
      <c r="E707" s="160" t="s">
        <v>1237</v>
      </c>
      <c r="F707" s="158">
        <v>43514</v>
      </c>
      <c r="G707" s="162">
        <v>2.5</v>
      </c>
      <c r="H707" s="250">
        <v>59</v>
      </c>
      <c r="I707" s="160">
        <v>1433478</v>
      </c>
      <c r="J707" s="163">
        <v>19175</v>
      </c>
      <c r="K707" s="158">
        <v>43521</v>
      </c>
      <c r="L707" s="160" t="s">
        <v>1254</v>
      </c>
      <c r="M707" s="160">
        <v>4615516135</v>
      </c>
      <c r="N707" s="158">
        <v>43544</v>
      </c>
      <c r="O707" s="164">
        <v>3.7890999999999999</v>
      </c>
      <c r="P707" s="165" t="s">
        <v>1323</v>
      </c>
      <c r="Q707" s="34">
        <f>SUMIF(Allocation[Delivery ID],Allocation[[#This Row],[Delivery ID]],Allocation[Quantity Processed])</f>
        <v>190</v>
      </c>
      <c r="R707" s="61">
        <f>Allocation[[#This Row],[Total volume used]]/VLOOKUP(Allocation[[#This Row],[Delivery ID]],Delivery[[Delivery ID]:[Quantity delivered]],3,FALSE)</f>
        <v>6.2747688243064729E-3</v>
      </c>
      <c r="S707" s="34">
        <f>Allocation[[#This Row],[Quantity Processed]]/Allocation[[#This Row],[Dilution rate]]</f>
        <v>76</v>
      </c>
      <c r="T707" s="59">
        <f>SUMIF(Allocation[Delivery ID],Allocation[[#This Row],[Delivery ID]],Allocation[Quantity allocated])/SUMIF(Allocation[Delivery ID],Allocation[[#This Row],[Delivery ID]],Allocation[Volume available (kg)])</f>
        <v>0.77631578947368418</v>
      </c>
      <c r="U707" s="61">
        <f>Allocation[[#This Row],[Total volume used]]/VLOOKUP(Allocation[[#This Row],[Delivery ID]],Delivery[[Delivery ID]:[Quantity delivered]],3,FALSE)</f>
        <v>6.2747688243064729E-3</v>
      </c>
      <c r="V707" s="34" t="e">
        <f>VLOOKUP(Allocation[[#This Row],[SAP Contract number]],Shipments[[SAP Contract number]:[Contracted container weight]],2,FALSE)</f>
        <v>#N/A</v>
      </c>
      <c r="W707" s="34" t="e">
        <f>VLOOKUP(Allocation[[#This Row],[SAP Contract number]],Shipments[[SAP Contract number]:[AAA Premium USD]],24,FALSE)</f>
        <v>#N/A</v>
      </c>
      <c r="X707" s="34" t="e">
        <f>VLOOKUP(Allocation[[#This Row],[SAP Contract number]],Shipments[[SAP Contract number]:[RA Premium USD]],25,FALSE)</f>
        <v>#N/A</v>
      </c>
      <c r="Y707" s="38">
        <f>Allocation[[#This Row],[Quantity Processed]]/Allocation[[#This Row],[Quantity allocated]]</f>
        <v>3.2203389830508473</v>
      </c>
      <c r="Z707" s="34" t="b">
        <f>Allocation[[#This Row],[Quantity allocated]]&lt;=Allocation[[#This Row],[Quantity Processed]]</f>
        <v>1</v>
      </c>
    </row>
    <row r="708" spans="1:26">
      <c r="A708" s="247" t="s">
        <v>467</v>
      </c>
      <c r="B708" s="160" t="s">
        <v>68</v>
      </c>
      <c r="C708" s="252" t="s">
        <v>809</v>
      </c>
      <c r="D708" s="250">
        <v>190</v>
      </c>
      <c r="E708" s="160" t="s">
        <v>1237</v>
      </c>
      <c r="F708" s="158">
        <v>43514</v>
      </c>
      <c r="G708" s="162">
        <v>2.5</v>
      </c>
      <c r="H708" s="250">
        <v>59</v>
      </c>
      <c r="I708" s="160">
        <v>1433478</v>
      </c>
      <c r="J708" s="163">
        <v>19175</v>
      </c>
      <c r="K708" s="158">
        <v>43521</v>
      </c>
      <c r="L708" s="160" t="s">
        <v>1254</v>
      </c>
      <c r="M708" s="160">
        <v>4615516135</v>
      </c>
      <c r="N708" s="158">
        <v>43544</v>
      </c>
      <c r="O708" s="164">
        <v>3.7890999999999999</v>
      </c>
      <c r="P708" s="165" t="s">
        <v>1323</v>
      </c>
      <c r="Q708" s="34">
        <f>SUMIF(Allocation[Delivery ID],Allocation[[#This Row],[Delivery ID]],Allocation[Quantity Processed])</f>
        <v>190</v>
      </c>
      <c r="R708" s="61">
        <f>Allocation[[#This Row],[Total volume used]]/VLOOKUP(Allocation[[#This Row],[Delivery ID]],Delivery[[Delivery ID]:[Quantity delivered]],3,FALSE)</f>
        <v>6.2893081761006293E-3</v>
      </c>
      <c r="S708" s="34">
        <f>Allocation[[#This Row],[Quantity Processed]]/Allocation[[#This Row],[Dilution rate]]</f>
        <v>76</v>
      </c>
      <c r="T708" s="59">
        <f>SUMIF(Allocation[Delivery ID],Allocation[[#This Row],[Delivery ID]],Allocation[Quantity allocated])/SUMIF(Allocation[Delivery ID],Allocation[[#This Row],[Delivery ID]],Allocation[Volume available (kg)])</f>
        <v>0.77631578947368418</v>
      </c>
      <c r="U708" s="61">
        <f>Allocation[[#This Row],[Total volume used]]/VLOOKUP(Allocation[[#This Row],[Delivery ID]],Delivery[[Delivery ID]:[Quantity delivered]],3,FALSE)</f>
        <v>6.2893081761006293E-3</v>
      </c>
      <c r="V708" s="34" t="e">
        <f>VLOOKUP(Allocation[[#This Row],[SAP Contract number]],Shipments[[SAP Contract number]:[Contracted container weight]],2,FALSE)</f>
        <v>#N/A</v>
      </c>
      <c r="W708" s="34" t="e">
        <f>VLOOKUP(Allocation[[#This Row],[SAP Contract number]],Shipments[[SAP Contract number]:[AAA Premium USD]],24,FALSE)</f>
        <v>#N/A</v>
      </c>
      <c r="X708" s="34" t="e">
        <f>VLOOKUP(Allocation[[#This Row],[SAP Contract number]],Shipments[[SAP Contract number]:[RA Premium USD]],25,FALSE)</f>
        <v>#N/A</v>
      </c>
      <c r="Y708" s="38">
        <f>Allocation[[#This Row],[Quantity Processed]]/Allocation[[#This Row],[Quantity allocated]]</f>
        <v>3.2203389830508473</v>
      </c>
      <c r="Z708" s="34" t="b">
        <f>Allocation[[#This Row],[Quantity allocated]]&lt;=Allocation[[#This Row],[Quantity Processed]]</f>
        <v>1</v>
      </c>
    </row>
    <row r="709" spans="1:26">
      <c r="A709" s="247" t="s">
        <v>467</v>
      </c>
      <c r="B709" s="160" t="s">
        <v>68</v>
      </c>
      <c r="C709" s="252" t="s">
        <v>810</v>
      </c>
      <c r="D709" s="250">
        <v>190</v>
      </c>
      <c r="E709" s="160" t="s">
        <v>1237</v>
      </c>
      <c r="F709" s="158">
        <v>43514</v>
      </c>
      <c r="G709" s="162">
        <v>2.5</v>
      </c>
      <c r="H709" s="250">
        <v>59</v>
      </c>
      <c r="I709" s="160">
        <v>1433478</v>
      </c>
      <c r="J709" s="163">
        <v>19175</v>
      </c>
      <c r="K709" s="158">
        <v>43521</v>
      </c>
      <c r="L709" s="160" t="s">
        <v>1254</v>
      </c>
      <c r="M709" s="160">
        <v>4615516135</v>
      </c>
      <c r="N709" s="158">
        <v>43544</v>
      </c>
      <c r="O709" s="164">
        <v>3.7890999999999999</v>
      </c>
      <c r="P709" s="165" t="s">
        <v>1323</v>
      </c>
      <c r="Q709" s="34">
        <f>SUMIF(Allocation[Delivery ID],Allocation[[#This Row],[Delivery ID]],Allocation[Quantity Processed])</f>
        <v>190</v>
      </c>
      <c r="R709" s="61">
        <f>Allocation[[#This Row],[Total volume used]]/VLOOKUP(Allocation[[#This Row],[Delivery ID]],Delivery[[Delivery ID]:[Quantity delivered]],3,FALSE)</f>
        <v>6.678383128295255E-3</v>
      </c>
      <c r="S709" s="34">
        <f>Allocation[[#This Row],[Quantity Processed]]/Allocation[[#This Row],[Dilution rate]]</f>
        <v>76</v>
      </c>
      <c r="T709" s="59">
        <f>SUMIF(Allocation[Delivery ID],Allocation[[#This Row],[Delivery ID]],Allocation[Quantity allocated])/SUMIF(Allocation[Delivery ID],Allocation[[#This Row],[Delivery ID]],Allocation[Volume available (kg)])</f>
        <v>0.77631578947368418</v>
      </c>
      <c r="U709" s="61">
        <f>Allocation[[#This Row],[Total volume used]]/VLOOKUP(Allocation[[#This Row],[Delivery ID]],Delivery[[Delivery ID]:[Quantity delivered]],3,FALSE)</f>
        <v>6.678383128295255E-3</v>
      </c>
      <c r="V709" s="34" t="e">
        <f>VLOOKUP(Allocation[[#This Row],[SAP Contract number]],Shipments[[SAP Contract number]:[Contracted container weight]],2,FALSE)</f>
        <v>#N/A</v>
      </c>
      <c r="W709" s="34" t="e">
        <f>VLOOKUP(Allocation[[#This Row],[SAP Contract number]],Shipments[[SAP Contract number]:[AAA Premium USD]],24,FALSE)</f>
        <v>#N/A</v>
      </c>
      <c r="X709" s="34" t="e">
        <f>VLOOKUP(Allocation[[#This Row],[SAP Contract number]],Shipments[[SAP Contract number]:[RA Premium USD]],25,FALSE)</f>
        <v>#N/A</v>
      </c>
      <c r="Y709" s="38">
        <f>Allocation[[#This Row],[Quantity Processed]]/Allocation[[#This Row],[Quantity allocated]]</f>
        <v>3.2203389830508473</v>
      </c>
      <c r="Z709" s="34" t="b">
        <f>Allocation[[#This Row],[Quantity allocated]]&lt;=Allocation[[#This Row],[Quantity Processed]]</f>
        <v>1</v>
      </c>
    </row>
    <row r="710" spans="1:26">
      <c r="A710" s="247" t="s">
        <v>467</v>
      </c>
      <c r="B710" s="160" t="s">
        <v>68</v>
      </c>
      <c r="C710" s="252" t="s">
        <v>853</v>
      </c>
      <c r="D710" s="250">
        <v>1</v>
      </c>
      <c r="E710" s="160" t="s">
        <v>1237</v>
      </c>
      <c r="F710" s="158">
        <v>43514</v>
      </c>
      <c r="G710" s="162">
        <v>2.5</v>
      </c>
      <c r="H710" s="250">
        <v>0.33</v>
      </c>
      <c r="I710" s="160">
        <v>1433478</v>
      </c>
      <c r="J710" s="163">
        <v>19175</v>
      </c>
      <c r="K710" s="158">
        <v>43521</v>
      </c>
      <c r="L710" s="160" t="s">
        <v>1254</v>
      </c>
      <c r="M710" s="160">
        <v>4615516135</v>
      </c>
      <c r="N710" s="158">
        <v>43544</v>
      </c>
      <c r="O710" s="164">
        <v>3.7890999999999999</v>
      </c>
      <c r="P710" s="165" t="s">
        <v>1323</v>
      </c>
      <c r="Q710" s="34">
        <f>SUMIF(Allocation[Delivery ID],Allocation[[#This Row],[Delivery ID]],Allocation[Quantity Processed])</f>
        <v>521</v>
      </c>
      <c r="R710" s="61">
        <f>Allocation[[#This Row],[Total volume used]]/VLOOKUP(Allocation[[#This Row],[Delivery ID]],Delivery[[Delivery ID]:[Quantity delivered]],3,FALSE)</f>
        <v>4.7540834017702344E-2</v>
      </c>
      <c r="S710" s="34">
        <f>Allocation[[#This Row],[Quantity Processed]]/Allocation[[#This Row],[Dilution rate]]</f>
        <v>0.4</v>
      </c>
      <c r="T710" s="59">
        <f>SUMIF(Allocation[Delivery ID],Allocation[[#This Row],[Delivery ID]],Allocation[Quantity allocated])/SUMIF(Allocation[Delivery ID],Allocation[[#This Row],[Delivery ID]],Allocation[Volume available (kg)])</f>
        <v>0.87887856600124337</v>
      </c>
      <c r="U710" s="61">
        <f>Allocation[[#This Row],[Total volume used]]/VLOOKUP(Allocation[[#This Row],[Delivery ID]],Delivery[[Delivery ID]:[Quantity delivered]],3,FALSE)</f>
        <v>4.7540834017702344E-2</v>
      </c>
      <c r="V710" s="34" t="e">
        <f>VLOOKUP(Allocation[[#This Row],[SAP Contract number]],Shipments[[SAP Contract number]:[Contracted container weight]],2,FALSE)</f>
        <v>#N/A</v>
      </c>
      <c r="W710" s="34" t="e">
        <f>VLOOKUP(Allocation[[#This Row],[SAP Contract number]],Shipments[[SAP Contract number]:[AAA Premium USD]],24,FALSE)</f>
        <v>#N/A</v>
      </c>
      <c r="X710" s="34" t="e">
        <f>VLOOKUP(Allocation[[#This Row],[SAP Contract number]],Shipments[[SAP Contract number]:[RA Premium USD]],25,FALSE)</f>
        <v>#N/A</v>
      </c>
      <c r="Y710" s="38">
        <f>Allocation[[#This Row],[Quantity Processed]]/Allocation[[#This Row],[Quantity allocated]]</f>
        <v>3.0303030303030303</v>
      </c>
      <c r="Z710" s="34" t="b">
        <f>Allocation[[#This Row],[Quantity allocated]]&lt;=Allocation[[#This Row],[Quantity Processed]]</f>
        <v>1</v>
      </c>
    </row>
    <row r="711" spans="1:26">
      <c r="A711" s="247" t="s">
        <v>467</v>
      </c>
      <c r="B711" s="160" t="s">
        <v>68</v>
      </c>
      <c r="C711" s="252" t="s">
        <v>884</v>
      </c>
      <c r="D711" s="250">
        <v>30</v>
      </c>
      <c r="E711" s="160" t="s">
        <v>1237</v>
      </c>
      <c r="F711" s="158">
        <v>43514</v>
      </c>
      <c r="G711" s="162">
        <v>2.5</v>
      </c>
      <c r="H711" s="250">
        <v>10</v>
      </c>
      <c r="I711" s="160">
        <v>1433478</v>
      </c>
      <c r="J711" s="163">
        <v>19175</v>
      </c>
      <c r="K711" s="158">
        <v>43521</v>
      </c>
      <c r="L711" s="160" t="s">
        <v>1254</v>
      </c>
      <c r="M711" s="160">
        <v>4615516135</v>
      </c>
      <c r="N711" s="158">
        <v>43544</v>
      </c>
      <c r="O711" s="164">
        <v>3.7890999999999999</v>
      </c>
      <c r="P711" s="165" t="s">
        <v>1323</v>
      </c>
      <c r="Q711" s="34">
        <f>SUMIF(Allocation[Delivery ID],Allocation[[#This Row],[Delivery ID]],Allocation[Quantity Processed])</f>
        <v>30</v>
      </c>
      <c r="R711" s="61">
        <f>Allocation[[#This Row],[Total volume used]]/VLOOKUP(Allocation[[#This Row],[Delivery ID]],Delivery[[Delivery ID]:[Quantity delivered]],3,FALSE)</f>
        <v>1.2881064834693002E-3</v>
      </c>
      <c r="S711" s="34">
        <f>Allocation[[#This Row],[Quantity Processed]]/Allocation[[#This Row],[Dilution rate]]</f>
        <v>12</v>
      </c>
      <c r="T711" s="59">
        <f>SUMIF(Allocation[Delivery ID],Allocation[[#This Row],[Delivery ID]],Allocation[Quantity allocated])/SUMIF(Allocation[Delivery ID],Allocation[[#This Row],[Delivery ID]],Allocation[Volume available (kg)])</f>
        <v>0.83333333333333337</v>
      </c>
      <c r="U711" s="61">
        <f>Allocation[[#This Row],[Total volume used]]/VLOOKUP(Allocation[[#This Row],[Delivery ID]],Delivery[[Delivery ID]:[Quantity delivered]],3,FALSE)</f>
        <v>1.2881064834693002E-3</v>
      </c>
      <c r="V711" s="34" t="e">
        <f>VLOOKUP(Allocation[[#This Row],[SAP Contract number]],Shipments[[SAP Contract number]:[Contracted container weight]],2,FALSE)</f>
        <v>#N/A</v>
      </c>
      <c r="W711" s="34" t="e">
        <f>VLOOKUP(Allocation[[#This Row],[SAP Contract number]],Shipments[[SAP Contract number]:[AAA Premium USD]],24,FALSE)</f>
        <v>#N/A</v>
      </c>
      <c r="X711" s="34" t="e">
        <f>VLOOKUP(Allocation[[#This Row],[SAP Contract number]],Shipments[[SAP Contract number]:[RA Premium USD]],25,FALSE)</f>
        <v>#N/A</v>
      </c>
      <c r="Y711" s="38">
        <f>Allocation[[#This Row],[Quantity Processed]]/Allocation[[#This Row],[Quantity allocated]]</f>
        <v>3</v>
      </c>
      <c r="Z711" s="34" t="b">
        <f>Allocation[[#This Row],[Quantity allocated]]&lt;=Allocation[[#This Row],[Quantity Processed]]</f>
        <v>1</v>
      </c>
    </row>
    <row r="712" spans="1:26">
      <c r="A712" s="247" t="s">
        <v>467</v>
      </c>
      <c r="B712" s="160" t="s">
        <v>68</v>
      </c>
      <c r="C712" s="252" t="s">
        <v>886</v>
      </c>
      <c r="D712" s="250">
        <v>197</v>
      </c>
      <c r="E712" s="160" t="s">
        <v>1237</v>
      </c>
      <c r="F712" s="158">
        <v>43514</v>
      </c>
      <c r="G712" s="162">
        <v>2.5</v>
      </c>
      <c r="H712" s="250">
        <v>59</v>
      </c>
      <c r="I712" s="160">
        <v>1433478</v>
      </c>
      <c r="J712" s="163">
        <v>19175</v>
      </c>
      <c r="K712" s="158">
        <v>43521</v>
      </c>
      <c r="L712" s="160" t="s">
        <v>1254</v>
      </c>
      <c r="M712" s="160">
        <v>4615516135</v>
      </c>
      <c r="N712" s="158">
        <v>43544</v>
      </c>
      <c r="O712" s="164">
        <v>3.7890999999999999</v>
      </c>
      <c r="P712" s="165" t="s">
        <v>1323</v>
      </c>
      <c r="Q712" s="34">
        <f>SUMIF(Allocation[Delivery ID],Allocation[[#This Row],[Delivery ID]],Allocation[Quantity Processed])</f>
        <v>197</v>
      </c>
      <c r="R712" s="61">
        <f>Allocation[[#This Row],[Total volume used]]/VLOOKUP(Allocation[[#This Row],[Delivery ID]],Delivery[[Delivery ID]:[Quantity delivered]],3,FALSE)</f>
        <v>1.4228963524738172E-2</v>
      </c>
      <c r="S712" s="34">
        <f>Allocation[[#This Row],[Quantity Processed]]/Allocation[[#This Row],[Dilution rate]]</f>
        <v>78.8</v>
      </c>
      <c r="T712" s="59">
        <f>SUMIF(Allocation[Delivery ID],Allocation[[#This Row],[Delivery ID]],Allocation[Quantity allocated])/SUMIF(Allocation[Delivery ID],Allocation[[#This Row],[Delivery ID]],Allocation[Volume available (kg)])</f>
        <v>0.74873096446700516</v>
      </c>
      <c r="U712" s="61">
        <f>Allocation[[#This Row],[Total volume used]]/VLOOKUP(Allocation[[#This Row],[Delivery ID]],Delivery[[Delivery ID]:[Quantity delivered]],3,FALSE)</f>
        <v>1.4228963524738172E-2</v>
      </c>
      <c r="V712" s="34" t="e">
        <f>VLOOKUP(Allocation[[#This Row],[SAP Contract number]],Shipments[[SAP Contract number]:[Contracted container weight]],2,FALSE)</f>
        <v>#N/A</v>
      </c>
      <c r="W712" s="34" t="e">
        <f>VLOOKUP(Allocation[[#This Row],[SAP Contract number]],Shipments[[SAP Contract number]:[AAA Premium USD]],24,FALSE)</f>
        <v>#N/A</v>
      </c>
      <c r="X712" s="34" t="e">
        <f>VLOOKUP(Allocation[[#This Row],[SAP Contract number]],Shipments[[SAP Contract number]:[RA Premium USD]],25,FALSE)</f>
        <v>#N/A</v>
      </c>
      <c r="Y712" s="38">
        <f>Allocation[[#This Row],[Quantity Processed]]/Allocation[[#This Row],[Quantity allocated]]</f>
        <v>3.3389830508474576</v>
      </c>
      <c r="Z712" s="34" t="b">
        <f>Allocation[[#This Row],[Quantity allocated]]&lt;=Allocation[[#This Row],[Quantity Processed]]</f>
        <v>1</v>
      </c>
    </row>
    <row r="713" spans="1:26">
      <c r="A713" s="247" t="s">
        <v>467</v>
      </c>
      <c r="B713" s="160" t="s">
        <v>68</v>
      </c>
      <c r="C713" s="252" t="s">
        <v>888</v>
      </c>
      <c r="D713" s="250">
        <v>197</v>
      </c>
      <c r="E713" s="160" t="s">
        <v>1237</v>
      </c>
      <c r="F713" s="158">
        <v>43514</v>
      </c>
      <c r="G713" s="162">
        <v>2.5</v>
      </c>
      <c r="H713" s="250">
        <v>59</v>
      </c>
      <c r="I713" s="160">
        <v>1433478</v>
      </c>
      <c r="J713" s="163">
        <v>19175</v>
      </c>
      <c r="K713" s="158">
        <v>43521</v>
      </c>
      <c r="L713" s="160" t="s">
        <v>1254</v>
      </c>
      <c r="M713" s="160">
        <v>4615516135</v>
      </c>
      <c r="N713" s="158">
        <v>43544</v>
      </c>
      <c r="O713" s="164">
        <v>3.7890999999999999</v>
      </c>
      <c r="P713" s="165" t="s">
        <v>1323</v>
      </c>
      <c r="Q713" s="34">
        <f>SUMIF(Allocation[Delivery ID],Allocation[[#This Row],[Delivery ID]],Allocation[Quantity Processed])</f>
        <v>197</v>
      </c>
      <c r="R713" s="61">
        <f>Allocation[[#This Row],[Total volume used]]/VLOOKUP(Allocation[[#This Row],[Delivery ID]],Delivery[[Delivery ID]:[Quantity delivered]],3,FALSE)</f>
        <v>6.3181526619627967E-3</v>
      </c>
      <c r="S713" s="34">
        <f>Allocation[[#This Row],[Quantity Processed]]/Allocation[[#This Row],[Dilution rate]]</f>
        <v>78.8</v>
      </c>
      <c r="T713" s="59">
        <f>SUMIF(Allocation[Delivery ID],Allocation[[#This Row],[Delivery ID]],Allocation[Quantity allocated])/SUMIF(Allocation[Delivery ID],Allocation[[#This Row],[Delivery ID]],Allocation[Volume available (kg)])</f>
        <v>0.74873096446700516</v>
      </c>
      <c r="U713" s="61">
        <f>Allocation[[#This Row],[Total volume used]]/VLOOKUP(Allocation[[#This Row],[Delivery ID]],Delivery[[Delivery ID]:[Quantity delivered]],3,FALSE)</f>
        <v>6.3181526619627967E-3</v>
      </c>
      <c r="V713" s="34" t="e">
        <f>VLOOKUP(Allocation[[#This Row],[SAP Contract number]],Shipments[[SAP Contract number]:[Contracted container weight]],2,FALSE)</f>
        <v>#N/A</v>
      </c>
      <c r="W713" s="34" t="e">
        <f>VLOOKUP(Allocation[[#This Row],[SAP Contract number]],Shipments[[SAP Contract number]:[AAA Premium USD]],24,FALSE)</f>
        <v>#N/A</v>
      </c>
      <c r="X713" s="34" t="e">
        <f>VLOOKUP(Allocation[[#This Row],[SAP Contract number]],Shipments[[SAP Contract number]:[RA Premium USD]],25,FALSE)</f>
        <v>#N/A</v>
      </c>
      <c r="Y713" s="38">
        <f>Allocation[[#This Row],[Quantity Processed]]/Allocation[[#This Row],[Quantity allocated]]</f>
        <v>3.3389830508474576</v>
      </c>
      <c r="Z713" s="34" t="b">
        <f>Allocation[[#This Row],[Quantity allocated]]&lt;=Allocation[[#This Row],[Quantity Processed]]</f>
        <v>1</v>
      </c>
    </row>
    <row r="714" spans="1:26">
      <c r="A714" s="247" t="s">
        <v>467</v>
      </c>
      <c r="B714" s="160" t="s">
        <v>68</v>
      </c>
      <c r="C714" s="252" t="s">
        <v>889</v>
      </c>
      <c r="D714" s="250">
        <v>197</v>
      </c>
      <c r="E714" s="160" t="s">
        <v>1237</v>
      </c>
      <c r="F714" s="158">
        <v>43514</v>
      </c>
      <c r="G714" s="162">
        <v>2.5</v>
      </c>
      <c r="H714" s="250">
        <v>59</v>
      </c>
      <c r="I714" s="160">
        <v>1433478</v>
      </c>
      <c r="J714" s="163">
        <v>19175</v>
      </c>
      <c r="K714" s="158">
        <v>43521</v>
      </c>
      <c r="L714" s="160" t="s">
        <v>1254</v>
      </c>
      <c r="M714" s="160">
        <v>4615516135</v>
      </c>
      <c r="N714" s="158">
        <v>43544</v>
      </c>
      <c r="O714" s="164">
        <v>3.7890999999999999</v>
      </c>
      <c r="P714" s="165" t="s">
        <v>1323</v>
      </c>
      <c r="Q714" s="34">
        <f>SUMIF(Allocation[Delivery ID],Allocation[[#This Row],[Delivery ID]],Allocation[Quantity Processed])</f>
        <v>197</v>
      </c>
      <c r="R714" s="61">
        <f>Allocation[[#This Row],[Total volume used]]/VLOOKUP(Allocation[[#This Row],[Delivery ID]],Delivery[[Delivery ID]:[Quantity delivered]],3,FALSE)</f>
        <v>6.3922643866508753E-3</v>
      </c>
      <c r="S714" s="34">
        <f>Allocation[[#This Row],[Quantity Processed]]/Allocation[[#This Row],[Dilution rate]]</f>
        <v>78.8</v>
      </c>
      <c r="T714" s="59">
        <f>SUMIF(Allocation[Delivery ID],Allocation[[#This Row],[Delivery ID]],Allocation[Quantity allocated])/SUMIF(Allocation[Delivery ID],Allocation[[#This Row],[Delivery ID]],Allocation[Volume available (kg)])</f>
        <v>0.74873096446700516</v>
      </c>
      <c r="U714" s="61">
        <f>Allocation[[#This Row],[Total volume used]]/VLOOKUP(Allocation[[#This Row],[Delivery ID]],Delivery[[Delivery ID]:[Quantity delivered]],3,FALSE)</f>
        <v>6.3922643866508753E-3</v>
      </c>
      <c r="V714" s="34" t="e">
        <f>VLOOKUP(Allocation[[#This Row],[SAP Contract number]],Shipments[[SAP Contract number]:[Contracted container weight]],2,FALSE)</f>
        <v>#N/A</v>
      </c>
      <c r="W714" s="34" t="e">
        <f>VLOOKUP(Allocation[[#This Row],[SAP Contract number]],Shipments[[SAP Contract number]:[AAA Premium USD]],24,FALSE)</f>
        <v>#N/A</v>
      </c>
      <c r="X714" s="34" t="e">
        <f>VLOOKUP(Allocation[[#This Row],[SAP Contract number]],Shipments[[SAP Contract number]:[RA Premium USD]],25,FALSE)</f>
        <v>#N/A</v>
      </c>
      <c r="Y714" s="38">
        <f>Allocation[[#This Row],[Quantity Processed]]/Allocation[[#This Row],[Quantity allocated]]</f>
        <v>3.3389830508474576</v>
      </c>
      <c r="Z714" s="34" t="b">
        <f>Allocation[[#This Row],[Quantity allocated]]&lt;=Allocation[[#This Row],[Quantity Processed]]</f>
        <v>1</v>
      </c>
    </row>
    <row r="715" spans="1:26">
      <c r="A715" s="247" t="s">
        <v>467</v>
      </c>
      <c r="B715" s="160" t="s">
        <v>68</v>
      </c>
      <c r="C715" s="252" t="s">
        <v>890</v>
      </c>
      <c r="D715" s="250">
        <v>197</v>
      </c>
      <c r="E715" s="160" t="s">
        <v>1237</v>
      </c>
      <c r="F715" s="158">
        <v>43514</v>
      </c>
      <c r="G715" s="162">
        <v>2.5</v>
      </c>
      <c r="H715" s="250">
        <v>59</v>
      </c>
      <c r="I715" s="160">
        <v>1433478</v>
      </c>
      <c r="J715" s="163">
        <v>19175</v>
      </c>
      <c r="K715" s="158">
        <v>43521</v>
      </c>
      <c r="L715" s="160" t="s">
        <v>1254</v>
      </c>
      <c r="M715" s="160">
        <v>4615516135</v>
      </c>
      <c r="N715" s="158">
        <v>43544</v>
      </c>
      <c r="O715" s="164">
        <v>3.7890999999999999</v>
      </c>
      <c r="P715" s="165" t="s">
        <v>1323</v>
      </c>
      <c r="Q715" s="34">
        <f>SUMIF(Allocation[Delivery ID],Allocation[[#This Row],[Delivery ID]],Allocation[Quantity Processed])</f>
        <v>197</v>
      </c>
      <c r="R715" s="61">
        <f>Allocation[[#This Row],[Total volume used]]/VLOOKUP(Allocation[[#This Row],[Delivery ID]],Delivery[[Delivery ID]:[Quantity delivered]],3,FALSE)</f>
        <v>6.2092224288460935E-3</v>
      </c>
      <c r="S715" s="34">
        <f>Allocation[[#This Row],[Quantity Processed]]/Allocation[[#This Row],[Dilution rate]]</f>
        <v>78.8</v>
      </c>
      <c r="T715" s="59">
        <f>SUMIF(Allocation[Delivery ID],Allocation[[#This Row],[Delivery ID]],Allocation[Quantity allocated])/SUMIF(Allocation[Delivery ID],Allocation[[#This Row],[Delivery ID]],Allocation[Volume available (kg)])</f>
        <v>0.74873096446700516</v>
      </c>
      <c r="U715" s="61">
        <f>Allocation[[#This Row],[Total volume used]]/VLOOKUP(Allocation[[#This Row],[Delivery ID]],Delivery[[Delivery ID]:[Quantity delivered]],3,FALSE)</f>
        <v>6.2092224288460935E-3</v>
      </c>
      <c r="V715" s="34" t="e">
        <f>VLOOKUP(Allocation[[#This Row],[SAP Contract number]],Shipments[[SAP Contract number]:[Contracted container weight]],2,FALSE)</f>
        <v>#N/A</v>
      </c>
      <c r="W715" s="34" t="e">
        <f>VLOOKUP(Allocation[[#This Row],[SAP Contract number]],Shipments[[SAP Contract number]:[AAA Premium USD]],24,FALSE)</f>
        <v>#N/A</v>
      </c>
      <c r="X715" s="34" t="e">
        <f>VLOOKUP(Allocation[[#This Row],[SAP Contract number]],Shipments[[SAP Contract number]:[RA Premium USD]],25,FALSE)</f>
        <v>#N/A</v>
      </c>
      <c r="Y715" s="38">
        <f>Allocation[[#This Row],[Quantity Processed]]/Allocation[[#This Row],[Quantity allocated]]</f>
        <v>3.3389830508474576</v>
      </c>
      <c r="Z715" s="34" t="b">
        <f>Allocation[[#This Row],[Quantity allocated]]&lt;=Allocation[[#This Row],[Quantity Processed]]</f>
        <v>1</v>
      </c>
    </row>
    <row r="716" spans="1:26">
      <c r="A716" s="247" t="s">
        <v>467</v>
      </c>
      <c r="B716" s="160" t="s">
        <v>68</v>
      </c>
      <c r="C716" s="252" t="s">
        <v>891</v>
      </c>
      <c r="D716" s="250">
        <v>197</v>
      </c>
      <c r="E716" s="160" t="s">
        <v>1237</v>
      </c>
      <c r="F716" s="158">
        <v>43514</v>
      </c>
      <c r="G716" s="162">
        <v>2.5</v>
      </c>
      <c r="H716" s="250">
        <v>59</v>
      </c>
      <c r="I716" s="160">
        <v>1433478</v>
      </c>
      <c r="J716" s="163">
        <v>19175</v>
      </c>
      <c r="K716" s="158">
        <v>43521</v>
      </c>
      <c r="L716" s="160" t="s">
        <v>1254</v>
      </c>
      <c r="M716" s="160">
        <v>4615516135</v>
      </c>
      <c r="N716" s="158">
        <v>43544</v>
      </c>
      <c r="O716" s="164">
        <v>3.7890999999999999</v>
      </c>
      <c r="P716" s="165" t="s">
        <v>1323</v>
      </c>
      <c r="Q716" s="34">
        <f>SUMIF(Allocation[Delivery ID],Allocation[[#This Row],[Delivery ID]],Allocation[Quantity Processed])</f>
        <v>197</v>
      </c>
      <c r="R716" s="61">
        <f>Allocation[[#This Row],[Total volume used]]/VLOOKUP(Allocation[[#This Row],[Delivery ID]],Delivery[[Delivery ID]:[Quantity delivered]],3,FALSE)</f>
        <v>6.2445518662334575E-3</v>
      </c>
      <c r="S716" s="34">
        <f>Allocation[[#This Row],[Quantity Processed]]/Allocation[[#This Row],[Dilution rate]]</f>
        <v>78.8</v>
      </c>
      <c r="T716" s="59">
        <f>SUMIF(Allocation[Delivery ID],Allocation[[#This Row],[Delivery ID]],Allocation[Quantity allocated])/SUMIF(Allocation[Delivery ID],Allocation[[#This Row],[Delivery ID]],Allocation[Volume available (kg)])</f>
        <v>0.74873096446700516</v>
      </c>
      <c r="U716" s="61">
        <f>Allocation[[#This Row],[Total volume used]]/VLOOKUP(Allocation[[#This Row],[Delivery ID]],Delivery[[Delivery ID]:[Quantity delivered]],3,FALSE)</f>
        <v>6.2445518662334575E-3</v>
      </c>
      <c r="V716" s="34" t="e">
        <f>VLOOKUP(Allocation[[#This Row],[SAP Contract number]],Shipments[[SAP Contract number]:[Contracted container weight]],2,FALSE)</f>
        <v>#N/A</v>
      </c>
      <c r="W716" s="34" t="e">
        <f>VLOOKUP(Allocation[[#This Row],[SAP Contract number]],Shipments[[SAP Contract number]:[AAA Premium USD]],24,FALSE)</f>
        <v>#N/A</v>
      </c>
      <c r="X716" s="34" t="e">
        <f>VLOOKUP(Allocation[[#This Row],[SAP Contract number]],Shipments[[SAP Contract number]:[RA Premium USD]],25,FALSE)</f>
        <v>#N/A</v>
      </c>
      <c r="Y716" s="38">
        <f>Allocation[[#This Row],[Quantity Processed]]/Allocation[[#This Row],[Quantity allocated]]</f>
        <v>3.3389830508474576</v>
      </c>
      <c r="Z716" s="34" t="b">
        <f>Allocation[[#This Row],[Quantity allocated]]&lt;=Allocation[[#This Row],[Quantity Processed]]</f>
        <v>1</v>
      </c>
    </row>
    <row r="717" spans="1:26">
      <c r="A717" s="247" t="s">
        <v>467</v>
      </c>
      <c r="B717" s="160" t="s">
        <v>68</v>
      </c>
      <c r="C717" s="252" t="s">
        <v>892</v>
      </c>
      <c r="D717" s="250">
        <v>197</v>
      </c>
      <c r="E717" s="160" t="s">
        <v>1237</v>
      </c>
      <c r="F717" s="158">
        <v>43514</v>
      </c>
      <c r="G717" s="162">
        <v>2.5</v>
      </c>
      <c r="H717" s="250">
        <v>59</v>
      </c>
      <c r="I717" s="160">
        <v>1433478</v>
      </c>
      <c r="J717" s="163">
        <v>19175</v>
      </c>
      <c r="K717" s="158">
        <v>43521</v>
      </c>
      <c r="L717" s="160" t="s">
        <v>1254</v>
      </c>
      <c r="M717" s="160">
        <v>4615516135</v>
      </c>
      <c r="N717" s="158">
        <v>43544</v>
      </c>
      <c r="O717" s="164">
        <v>3.7890999999999999</v>
      </c>
      <c r="P717" s="165" t="s">
        <v>1323</v>
      </c>
      <c r="Q717" s="34">
        <f>SUMIF(Allocation[Delivery ID],Allocation[[#This Row],[Delivery ID]],Allocation[Quantity Processed])</f>
        <v>197</v>
      </c>
      <c r="R717" s="61">
        <f>Allocation[[#This Row],[Total volume used]]/VLOOKUP(Allocation[[#This Row],[Delivery ID]],Delivery[[Delivery ID]:[Quantity delivered]],3,FALSE)</f>
        <v>6.2904127085495328E-3</v>
      </c>
      <c r="S717" s="34">
        <f>Allocation[[#This Row],[Quantity Processed]]/Allocation[[#This Row],[Dilution rate]]</f>
        <v>78.8</v>
      </c>
      <c r="T717" s="59">
        <f>SUMIF(Allocation[Delivery ID],Allocation[[#This Row],[Delivery ID]],Allocation[Quantity allocated])/SUMIF(Allocation[Delivery ID],Allocation[[#This Row],[Delivery ID]],Allocation[Volume available (kg)])</f>
        <v>0.74873096446700516</v>
      </c>
      <c r="U717" s="61">
        <f>Allocation[[#This Row],[Total volume used]]/VLOOKUP(Allocation[[#This Row],[Delivery ID]],Delivery[[Delivery ID]:[Quantity delivered]],3,FALSE)</f>
        <v>6.2904127085495328E-3</v>
      </c>
      <c r="V717" s="34" t="e">
        <f>VLOOKUP(Allocation[[#This Row],[SAP Contract number]],Shipments[[SAP Contract number]:[Contracted container weight]],2,FALSE)</f>
        <v>#N/A</v>
      </c>
      <c r="W717" s="34" t="e">
        <f>VLOOKUP(Allocation[[#This Row],[SAP Contract number]],Shipments[[SAP Contract number]:[AAA Premium USD]],24,FALSE)</f>
        <v>#N/A</v>
      </c>
      <c r="X717" s="34" t="e">
        <f>VLOOKUP(Allocation[[#This Row],[SAP Contract number]],Shipments[[SAP Contract number]:[RA Premium USD]],25,FALSE)</f>
        <v>#N/A</v>
      </c>
      <c r="Y717" s="38">
        <f>Allocation[[#This Row],[Quantity Processed]]/Allocation[[#This Row],[Quantity allocated]]</f>
        <v>3.3389830508474576</v>
      </c>
      <c r="Z717" s="34" t="b">
        <f>Allocation[[#This Row],[Quantity allocated]]&lt;=Allocation[[#This Row],[Quantity Processed]]</f>
        <v>1</v>
      </c>
    </row>
    <row r="718" spans="1:26">
      <c r="A718" s="247" t="s">
        <v>467</v>
      </c>
      <c r="B718" s="160" t="s">
        <v>68</v>
      </c>
      <c r="C718" s="252" t="s">
        <v>893</v>
      </c>
      <c r="D718" s="250">
        <v>179</v>
      </c>
      <c r="E718" s="160" t="s">
        <v>1237</v>
      </c>
      <c r="F718" s="158">
        <v>43514</v>
      </c>
      <c r="G718" s="162">
        <v>2.5</v>
      </c>
      <c r="H718" s="250">
        <v>59</v>
      </c>
      <c r="I718" s="160">
        <v>1433478</v>
      </c>
      <c r="J718" s="163">
        <v>19175</v>
      </c>
      <c r="K718" s="158">
        <v>43521</v>
      </c>
      <c r="L718" s="160" t="s">
        <v>1254</v>
      </c>
      <c r="M718" s="160">
        <v>4615516135</v>
      </c>
      <c r="N718" s="158">
        <v>43544</v>
      </c>
      <c r="O718" s="164">
        <v>3.7890999999999999</v>
      </c>
      <c r="P718" s="165" t="s">
        <v>1323</v>
      </c>
      <c r="Q718" s="34">
        <f>SUMIF(Allocation[Delivery ID],Allocation[[#This Row],[Delivery ID]],Allocation[Quantity Processed])</f>
        <v>179</v>
      </c>
      <c r="R718" s="61">
        <f>Allocation[[#This Row],[Total volume used]]/VLOOKUP(Allocation[[#This Row],[Delivery ID]],Delivery[[Delivery ID]:[Quantity delivered]],3,FALSE)</f>
        <v>5.5488390836665735E-3</v>
      </c>
      <c r="S718" s="34">
        <f>Allocation[[#This Row],[Quantity Processed]]/Allocation[[#This Row],[Dilution rate]]</f>
        <v>71.599999999999994</v>
      </c>
      <c r="T718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18" s="61">
        <f>Allocation[[#This Row],[Total volume used]]/VLOOKUP(Allocation[[#This Row],[Delivery ID]],Delivery[[Delivery ID]:[Quantity delivered]],3,FALSE)</f>
        <v>5.5488390836665735E-3</v>
      </c>
      <c r="V718" s="34" t="e">
        <f>VLOOKUP(Allocation[[#This Row],[SAP Contract number]],Shipments[[SAP Contract number]:[Contracted container weight]],2,FALSE)</f>
        <v>#N/A</v>
      </c>
      <c r="W718" s="34" t="e">
        <f>VLOOKUP(Allocation[[#This Row],[SAP Contract number]],Shipments[[SAP Contract number]:[AAA Premium USD]],24,FALSE)</f>
        <v>#N/A</v>
      </c>
      <c r="X718" s="34" t="e">
        <f>VLOOKUP(Allocation[[#This Row],[SAP Contract number]],Shipments[[SAP Contract number]:[RA Premium USD]],25,FALSE)</f>
        <v>#N/A</v>
      </c>
      <c r="Y718" s="38">
        <f>Allocation[[#This Row],[Quantity Processed]]/Allocation[[#This Row],[Quantity allocated]]</f>
        <v>3.0338983050847457</v>
      </c>
      <c r="Z718" s="34" t="b">
        <f>Allocation[[#This Row],[Quantity allocated]]&lt;=Allocation[[#This Row],[Quantity Processed]]</f>
        <v>1</v>
      </c>
    </row>
    <row r="719" spans="1:26">
      <c r="A719" s="247" t="s">
        <v>467</v>
      </c>
      <c r="B719" s="160" t="s">
        <v>68</v>
      </c>
      <c r="C719" s="252" t="s">
        <v>894</v>
      </c>
      <c r="D719" s="250">
        <v>179</v>
      </c>
      <c r="E719" s="160" t="s">
        <v>1237</v>
      </c>
      <c r="F719" s="158">
        <v>43514</v>
      </c>
      <c r="G719" s="162">
        <v>2.5</v>
      </c>
      <c r="H719" s="250">
        <v>59</v>
      </c>
      <c r="I719" s="160">
        <v>1433478</v>
      </c>
      <c r="J719" s="163">
        <v>19175</v>
      </c>
      <c r="K719" s="158">
        <v>43521</v>
      </c>
      <c r="L719" s="160" t="s">
        <v>1254</v>
      </c>
      <c r="M719" s="160">
        <v>4615516135</v>
      </c>
      <c r="N719" s="158">
        <v>43544</v>
      </c>
      <c r="O719" s="164">
        <v>3.7890999999999999</v>
      </c>
      <c r="P719" s="165" t="s">
        <v>1323</v>
      </c>
      <c r="Q719" s="34">
        <f>SUMIF(Allocation[Delivery ID],Allocation[[#This Row],[Delivery ID]],Allocation[Quantity Processed])</f>
        <v>179</v>
      </c>
      <c r="R719" s="61">
        <f>Allocation[[#This Row],[Total volume used]]/VLOOKUP(Allocation[[#This Row],[Delivery ID]],Delivery[[Delivery ID]:[Quantity delivered]],3,FALSE)</f>
        <v>5.583978038432743E-3</v>
      </c>
      <c r="S719" s="34">
        <f>Allocation[[#This Row],[Quantity Processed]]/Allocation[[#This Row],[Dilution rate]]</f>
        <v>71.599999999999994</v>
      </c>
      <c r="T719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19" s="61">
        <f>Allocation[[#This Row],[Total volume used]]/VLOOKUP(Allocation[[#This Row],[Delivery ID]],Delivery[[Delivery ID]:[Quantity delivered]],3,FALSE)</f>
        <v>5.583978038432743E-3</v>
      </c>
      <c r="V719" s="34" t="e">
        <f>VLOOKUP(Allocation[[#This Row],[SAP Contract number]],Shipments[[SAP Contract number]:[Contracted container weight]],2,FALSE)</f>
        <v>#N/A</v>
      </c>
      <c r="W719" s="34" t="e">
        <f>VLOOKUP(Allocation[[#This Row],[SAP Contract number]],Shipments[[SAP Contract number]:[AAA Premium USD]],24,FALSE)</f>
        <v>#N/A</v>
      </c>
      <c r="X719" s="34" t="e">
        <f>VLOOKUP(Allocation[[#This Row],[SAP Contract number]],Shipments[[SAP Contract number]:[RA Premium USD]],25,FALSE)</f>
        <v>#N/A</v>
      </c>
      <c r="Y719" s="38">
        <f>Allocation[[#This Row],[Quantity Processed]]/Allocation[[#This Row],[Quantity allocated]]</f>
        <v>3.0338983050847457</v>
      </c>
      <c r="Z719" s="34" t="b">
        <f>Allocation[[#This Row],[Quantity allocated]]&lt;=Allocation[[#This Row],[Quantity Processed]]</f>
        <v>1</v>
      </c>
    </row>
    <row r="720" spans="1:26">
      <c r="A720" s="247" t="s">
        <v>467</v>
      </c>
      <c r="B720" s="160" t="s">
        <v>68</v>
      </c>
      <c r="C720" s="252" t="s">
        <v>895</v>
      </c>
      <c r="D720" s="250">
        <v>179</v>
      </c>
      <c r="E720" s="160" t="s">
        <v>1237</v>
      </c>
      <c r="F720" s="158">
        <v>43514</v>
      </c>
      <c r="G720" s="162">
        <v>2.5</v>
      </c>
      <c r="H720" s="250">
        <v>59</v>
      </c>
      <c r="I720" s="160">
        <v>1433478</v>
      </c>
      <c r="J720" s="163">
        <v>19175</v>
      </c>
      <c r="K720" s="158">
        <v>43521</v>
      </c>
      <c r="L720" s="160" t="s">
        <v>1254</v>
      </c>
      <c r="M720" s="160">
        <v>4615516135</v>
      </c>
      <c r="N720" s="158">
        <v>43544</v>
      </c>
      <c r="O720" s="164">
        <v>3.7890999999999999</v>
      </c>
      <c r="P720" s="165" t="s">
        <v>1323</v>
      </c>
      <c r="Q720" s="34">
        <f>SUMIF(Allocation[Delivery ID],Allocation[[#This Row],[Delivery ID]],Allocation[Quantity Processed])</f>
        <v>179</v>
      </c>
      <c r="R720" s="61">
        <f>Allocation[[#This Row],[Total volume used]]/VLOOKUP(Allocation[[#This Row],[Delivery ID]],Delivery[[Delivery ID]:[Quantity delivered]],3,FALSE)</f>
        <v>5.9568378841578064E-3</v>
      </c>
      <c r="S720" s="34">
        <f>Allocation[[#This Row],[Quantity Processed]]/Allocation[[#This Row],[Dilution rate]]</f>
        <v>71.599999999999994</v>
      </c>
      <c r="T720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20" s="61">
        <f>Allocation[[#This Row],[Total volume used]]/VLOOKUP(Allocation[[#This Row],[Delivery ID]],Delivery[[Delivery ID]:[Quantity delivered]],3,FALSE)</f>
        <v>5.9568378841578064E-3</v>
      </c>
      <c r="V720" s="34" t="e">
        <f>VLOOKUP(Allocation[[#This Row],[SAP Contract number]],Shipments[[SAP Contract number]:[Contracted container weight]],2,FALSE)</f>
        <v>#N/A</v>
      </c>
      <c r="W720" s="34" t="e">
        <f>VLOOKUP(Allocation[[#This Row],[SAP Contract number]],Shipments[[SAP Contract number]:[AAA Premium USD]],24,FALSE)</f>
        <v>#N/A</v>
      </c>
      <c r="X720" s="34" t="e">
        <f>VLOOKUP(Allocation[[#This Row],[SAP Contract number]],Shipments[[SAP Contract number]:[RA Premium USD]],25,FALSE)</f>
        <v>#N/A</v>
      </c>
      <c r="Y720" s="38">
        <f>Allocation[[#This Row],[Quantity Processed]]/Allocation[[#This Row],[Quantity allocated]]</f>
        <v>3.0338983050847457</v>
      </c>
      <c r="Z720" s="34" t="b">
        <f>Allocation[[#This Row],[Quantity allocated]]&lt;=Allocation[[#This Row],[Quantity Processed]]</f>
        <v>1</v>
      </c>
    </row>
    <row r="721" spans="1:26">
      <c r="A721" s="247" t="s">
        <v>467</v>
      </c>
      <c r="B721" s="160" t="s">
        <v>68</v>
      </c>
      <c r="C721" s="252" t="s">
        <v>896</v>
      </c>
      <c r="D721" s="250">
        <v>179</v>
      </c>
      <c r="E721" s="160" t="s">
        <v>1237</v>
      </c>
      <c r="F721" s="158">
        <v>43514</v>
      </c>
      <c r="G721" s="162">
        <v>2.5</v>
      </c>
      <c r="H721" s="250">
        <v>59</v>
      </c>
      <c r="I721" s="160">
        <v>1433478</v>
      </c>
      <c r="J721" s="163">
        <v>19175</v>
      </c>
      <c r="K721" s="158">
        <v>43521</v>
      </c>
      <c r="L721" s="160" t="s">
        <v>1254</v>
      </c>
      <c r="M721" s="160">
        <v>4615516135</v>
      </c>
      <c r="N721" s="158">
        <v>43544</v>
      </c>
      <c r="O721" s="164">
        <v>3.7890999999999999</v>
      </c>
      <c r="P721" s="165" t="s">
        <v>1323</v>
      </c>
      <c r="Q721" s="34">
        <f>SUMIF(Allocation[Delivery ID],Allocation[[#This Row],[Delivery ID]],Allocation[Quantity Processed])</f>
        <v>179</v>
      </c>
      <c r="R721" s="61">
        <f>Allocation[[#This Row],[Total volume used]]/VLOOKUP(Allocation[[#This Row],[Delivery ID]],Delivery[[Delivery ID]:[Quantity delivered]],3,FALSE)</f>
        <v>7.840388953373776E-3</v>
      </c>
      <c r="S721" s="34">
        <f>Allocation[[#This Row],[Quantity Processed]]/Allocation[[#This Row],[Dilution rate]]</f>
        <v>71.599999999999994</v>
      </c>
      <c r="T721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21" s="61">
        <f>Allocation[[#This Row],[Total volume used]]/VLOOKUP(Allocation[[#This Row],[Delivery ID]],Delivery[[Delivery ID]:[Quantity delivered]],3,FALSE)</f>
        <v>7.840388953373776E-3</v>
      </c>
      <c r="V721" s="34" t="e">
        <f>VLOOKUP(Allocation[[#This Row],[SAP Contract number]],Shipments[[SAP Contract number]:[Contracted container weight]],2,FALSE)</f>
        <v>#N/A</v>
      </c>
      <c r="W721" s="34" t="e">
        <f>VLOOKUP(Allocation[[#This Row],[SAP Contract number]],Shipments[[SAP Contract number]:[AAA Premium USD]],24,FALSE)</f>
        <v>#N/A</v>
      </c>
      <c r="X721" s="34" t="e">
        <f>VLOOKUP(Allocation[[#This Row],[SAP Contract number]],Shipments[[SAP Contract number]:[RA Premium USD]],25,FALSE)</f>
        <v>#N/A</v>
      </c>
      <c r="Y721" s="38">
        <f>Allocation[[#This Row],[Quantity Processed]]/Allocation[[#This Row],[Quantity allocated]]</f>
        <v>3.0338983050847457</v>
      </c>
      <c r="Z721" s="34" t="b">
        <f>Allocation[[#This Row],[Quantity allocated]]&lt;=Allocation[[#This Row],[Quantity Processed]]</f>
        <v>1</v>
      </c>
    </row>
    <row r="722" spans="1:26">
      <c r="A722" s="247" t="s">
        <v>467</v>
      </c>
      <c r="B722" s="160" t="s">
        <v>68</v>
      </c>
      <c r="C722" s="252" t="s">
        <v>897</v>
      </c>
      <c r="D722" s="250">
        <v>179</v>
      </c>
      <c r="E722" s="160" t="s">
        <v>1237</v>
      </c>
      <c r="F722" s="158">
        <v>43514</v>
      </c>
      <c r="G722" s="162">
        <v>2.5</v>
      </c>
      <c r="H722" s="250">
        <v>59</v>
      </c>
      <c r="I722" s="160">
        <v>1433478</v>
      </c>
      <c r="J722" s="163">
        <v>19175</v>
      </c>
      <c r="K722" s="158">
        <v>43521</v>
      </c>
      <c r="L722" s="160" t="s">
        <v>1254</v>
      </c>
      <c r="M722" s="160">
        <v>4615516135</v>
      </c>
      <c r="N722" s="158">
        <v>43544</v>
      </c>
      <c r="O722" s="164">
        <v>3.7890999999999999</v>
      </c>
      <c r="P722" s="165" t="s">
        <v>1323</v>
      </c>
      <c r="Q722" s="34">
        <f>SUMIF(Allocation[Delivery ID],Allocation[[#This Row],[Delivery ID]],Allocation[Quantity Processed])</f>
        <v>179</v>
      </c>
      <c r="R722" s="61">
        <f>Allocation[[#This Row],[Total volume used]]/VLOOKUP(Allocation[[#This Row],[Delivery ID]],Delivery[[Delivery ID]:[Quantity delivered]],3,FALSE)</f>
        <v>2.4828351480685205E-2</v>
      </c>
      <c r="S722" s="34">
        <f>Allocation[[#This Row],[Quantity Processed]]/Allocation[[#This Row],[Dilution rate]]</f>
        <v>71.599999999999994</v>
      </c>
      <c r="T722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22" s="61">
        <f>Allocation[[#This Row],[Total volume used]]/VLOOKUP(Allocation[[#This Row],[Delivery ID]],Delivery[[Delivery ID]:[Quantity delivered]],3,FALSE)</f>
        <v>2.4828351480685205E-2</v>
      </c>
      <c r="V722" s="34" t="e">
        <f>VLOOKUP(Allocation[[#This Row],[SAP Contract number]],Shipments[[SAP Contract number]:[Contracted container weight]],2,FALSE)</f>
        <v>#N/A</v>
      </c>
      <c r="W722" s="34" t="e">
        <f>VLOOKUP(Allocation[[#This Row],[SAP Contract number]],Shipments[[SAP Contract number]:[AAA Premium USD]],24,FALSE)</f>
        <v>#N/A</v>
      </c>
      <c r="X722" s="34" t="e">
        <f>VLOOKUP(Allocation[[#This Row],[SAP Contract number]],Shipments[[SAP Contract number]:[RA Premium USD]],25,FALSE)</f>
        <v>#N/A</v>
      </c>
      <c r="Y722" s="38">
        <f>Allocation[[#This Row],[Quantity Processed]]/Allocation[[#This Row],[Quantity allocated]]</f>
        <v>3.0338983050847457</v>
      </c>
      <c r="Z722" s="34" t="b">
        <f>Allocation[[#This Row],[Quantity allocated]]&lt;=Allocation[[#This Row],[Quantity Processed]]</f>
        <v>1</v>
      </c>
    </row>
    <row r="723" spans="1:26">
      <c r="A723" s="247" t="s">
        <v>467</v>
      </c>
      <c r="B723" s="160" t="s">
        <v>68</v>
      </c>
      <c r="C723" s="252" t="s">
        <v>898</v>
      </c>
      <c r="D723" s="250">
        <v>179</v>
      </c>
      <c r="E723" s="160" t="s">
        <v>1237</v>
      </c>
      <c r="F723" s="158">
        <v>43514</v>
      </c>
      <c r="G723" s="162">
        <v>2.5</v>
      </c>
      <c r="H723" s="250">
        <v>59</v>
      </c>
      <c r="I723" s="160">
        <v>1433478</v>
      </c>
      <c r="J723" s="163">
        <v>19175</v>
      </c>
      <c r="K723" s="158">
        <v>43521</v>
      </c>
      <c r="L723" s="160" t="s">
        <v>1254</v>
      </c>
      <c r="M723" s="160">
        <v>4615516135</v>
      </c>
      <c r="N723" s="158">
        <v>43544</v>
      </c>
      <c r="O723" s="164">
        <v>3.7890999999999999</v>
      </c>
      <c r="P723" s="165" t="s">
        <v>1323</v>
      </c>
      <c r="Q723" s="34">
        <f>SUMIF(Allocation[Delivery ID],Allocation[[#This Row],[Delivery ID]],Allocation[Quantity Processed])</f>
        <v>179</v>
      </c>
      <c r="R723" s="61">
        <f>Allocation[[#This Row],[Total volume used]]/VLOOKUP(Allocation[[#This Row],[Delivery ID]],Delivery[[Delivery ID]:[Quantity delivered]],3,FALSE)</f>
        <v>9.7982866683088369E-3</v>
      </c>
      <c r="S723" s="34">
        <f>Allocation[[#This Row],[Quantity Processed]]/Allocation[[#This Row],[Dilution rate]]</f>
        <v>71.599999999999994</v>
      </c>
      <c r="T723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23" s="61">
        <f>Allocation[[#This Row],[Total volume used]]/VLOOKUP(Allocation[[#This Row],[Delivery ID]],Delivery[[Delivery ID]:[Quantity delivered]],3,FALSE)</f>
        <v>9.7982866683088369E-3</v>
      </c>
      <c r="V723" s="34" t="e">
        <f>VLOOKUP(Allocation[[#This Row],[SAP Contract number]],Shipments[[SAP Contract number]:[Contracted container weight]],2,FALSE)</f>
        <v>#N/A</v>
      </c>
      <c r="W723" s="34" t="e">
        <f>VLOOKUP(Allocation[[#This Row],[SAP Contract number]],Shipments[[SAP Contract number]:[AAA Premium USD]],24,FALSE)</f>
        <v>#N/A</v>
      </c>
      <c r="X723" s="34" t="e">
        <f>VLOOKUP(Allocation[[#This Row],[SAP Contract number]],Shipments[[SAP Contract number]:[RA Premium USD]],25,FALSE)</f>
        <v>#N/A</v>
      </c>
      <c r="Y723" s="38">
        <f>Allocation[[#This Row],[Quantity Processed]]/Allocation[[#This Row],[Quantity allocated]]</f>
        <v>3.0338983050847457</v>
      </c>
      <c r="Z723" s="34" t="b">
        <f>Allocation[[#This Row],[Quantity allocated]]&lt;=Allocation[[#This Row],[Quantity Processed]]</f>
        <v>1</v>
      </c>
    </row>
    <row r="724" spans="1:26">
      <c r="A724" s="247" t="s">
        <v>467</v>
      </c>
      <c r="B724" s="160" t="s">
        <v>68</v>
      </c>
      <c r="C724" s="252" t="s">
        <v>899</v>
      </c>
      <c r="D724" s="250">
        <v>179</v>
      </c>
      <c r="E724" s="160" t="s">
        <v>1237</v>
      </c>
      <c r="F724" s="158">
        <v>43514</v>
      </c>
      <c r="G724" s="162">
        <v>2.5</v>
      </c>
      <c r="H724" s="250">
        <v>59</v>
      </c>
      <c r="I724" s="160">
        <v>1433478</v>
      </c>
      <c r="J724" s="163">
        <v>19175</v>
      </c>
      <c r="K724" s="158">
        <v>43521</v>
      </c>
      <c r="L724" s="160" t="s">
        <v>1254</v>
      </c>
      <c r="M724" s="160">
        <v>4615516135</v>
      </c>
      <c r="N724" s="158">
        <v>43544</v>
      </c>
      <c r="O724" s="164">
        <v>3.7890999999999999</v>
      </c>
      <c r="P724" s="165" t="s">
        <v>1323</v>
      </c>
      <c r="Q724" s="34">
        <f>SUMIF(Allocation[Delivery ID],Allocation[[#This Row],[Delivery ID]],Allocation[Quantity Processed])</f>
        <v>179</v>
      </c>
      <c r="R724" s="61">
        <f>Allocation[[#This Row],[Total volume used]]/VLOOKUP(Allocation[[#This Row],[Delivery ID]],Delivery[[Delivery ID]:[Quantity delivered]],3,FALSE)</f>
        <v>1.4942816595709158E-2</v>
      </c>
      <c r="S724" s="34">
        <f>Allocation[[#This Row],[Quantity Processed]]/Allocation[[#This Row],[Dilution rate]]</f>
        <v>71.599999999999994</v>
      </c>
      <c r="T724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24" s="61">
        <f>Allocation[[#This Row],[Total volume used]]/VLOOKUP(Allocation[[#This Row],[Delivery ID]],Delivery[[Delivery ID]:[Quantity delivered]],3,FALSE)</f>
        <v>1.4942816595709158E-2</v>
      </c>
      <c r="V724" s="34" t="e">
        <f>VLOOKUP(Allocation[[#This Row],[SAP Contract number]],Shipments[[SAP Contract number]:[Contracted container weight]],2,FALSE)</f>
        <v>#N/A</v>
      </c>
      <c r="W724" s="34" t="e">
        <f>VLOOKUP(Allocation[[#This Row],[SAP Contract number]],Shipments[[SAP Contract number]:[AAA Premium USD]],24,FALSE)</f>
        <v>#N/A</v>
      </c>
      <c r="X724" s="34" t="e">
        <f>VLOOKUP(Allocation[[#This Row],[SAP Contract number]],Shipments[[SAP Contract number]:[RA Premium USD]],25,FALSE)</f>
        <v>#N/A</v>
      </c>
      <c r="Y724" s="38">
        <f>Allocation[[#This Row],[Quantity Processed]]/Allocation[[#This Row],[Quantity allocated]]</f>
        <v>3.0338983050847457</v>
      </c>
      <c r="Z724" s="34" t="b">
        <f>Allocation[[#This Row],[Quantity allocated]]&lt;=Allocation[[#This Row],[Quantity Processed]]</f>
        <v>1</v>
      </c>
    </row>
    <row r="725" spans="1:26">
      <c r="A725" s="247" t="s">
        <v>467</v>
      </c>
      <c r="B725" s="160" t="s">
        <v>68</v>
      </c>
      <c r="C725" s="252" t="s">
        <v>900</v>
      </c>
      <c r="D725" s="250">
        <v>179</v>
      </c>
      <c r="E725" s="160" t="s">
        <v>1237</v>
      </c>
      <c r="F725" s="158">
        <v>43514</v>
      </c>
      <c r="G725" s="162">
        <v>2.5</v>
      </c>
      <c r="H725" s="250">
        <v>59</v>
      </c>
      <c r="I725" s="160">
        <v>1433478</v>
      </c>
      <c r="J725" s="163">
        <v>19175</v>
      </c>
      <c r="K725" s="158">
        <v>43521</v>
      </c>
      <c r="L725" s="160" t="s">
        <v>1254</v>
      </c>
      <c r="M725" s="160">
        <v>4615516135</v>
      </c>
      <c r="N725" s="158">
        <v>43544</v>
      </c>
      <c r="O725" s="164">
        <v>3.7890999999999999</v>
      </c>
      <c r="P725" s="165" t="s">
        <v>1323</v>
      </c>
      <c r="Q725" s="34">
        <f>SUMIF(Allocation[Delivery ID],Allocation[[#This Row],[Delivery ID]],Allocation[Quantity Processed])</f>
        <v>179</v>
      </c>
      <c r="R725" s="61">
        <f>Allocation[[#This Row],[Total volume used]]/VLOOKUP(Allocation[[#This Row],[Delivery ID]],Delivery[[Delivery ID]:[Quantity delivered]],3,FALSE)</f>
        <v>2.7096578867696033E-2</v>
      </c>
      <c r="S725" s="34">
        <f>Allocation[[#This Row],[Quantity Processed]]/Allocation[[#This Row],[Dilution rate]]</f>
        <v>71.599999999999994</v>
      </c>
      <c r="T725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25" s="61">
        <f>Allocation[[#This Row],[Total volume used]]/VLOOKUP(Allocation[[#This Row],[Delivery ID]],Delivery[[Delivery ID]:[Quantity delivered]],3,FALSE)</f>
        <v>2.7096578867696033E-2</v>
      </c>
      <c r="V725" s="34" t="e">
        <f>VLOOKUP(Allocation[[#This Row],[SAP Contract number]],Shipments[[SAP Contract number]:[Contracted container weight]],2,FALSE)</f>
        <v>#N/A</v>
      </c>
      <c r="W725" s="34" t="e">
        <f>VLOOKUP(Allocation[[#This Row],[SAP Contract number]],Shipments[[SAP Contract number]:[AAA Premium USD]],24,FALSE)</f>
        <v>#N/A</v>
      </c>
      <c r="X725" s="34" t="e">
        <f>VLOOKUP(Allocation[[#This Row],[SAP Contract number]],Shipments[[SAP Contract number]:[RA Premium USD]],25,FALSE)</f>
        <v>#N/A</v>
      </c>
      <c r="Y725" s="38">
        <f>Allocation[[#This Row],[Quantity Processed]]/Allocation[[#This Row],[Quantity allocated]]</f>
        <v>3.0338983050847457</v>
      </c>
      <c r="Z725" s="34" t="b">
        <f>Allocation[[#This Row],[Quantity allocated]]&lt;=Allocation[[#This Row],[Quantity Processed]]</f>
        <v>1</v>
      </c>
    </row>
    <row r="726" spans="1:26">
      <c r="A726" s="247" t="s">
        <v>467</v>
      </c>
      <c r="B726" s="160" t="s">
        <v>68</v>
      </c>
      <c r="C726" s="252" t="s">
        <v>901</v>
      </c>
      <c r="D726" s="250">
        <v>179</v>
      </c>
      <c r="E726" s="160" t="s">
        <v>1237</v>
      </c>
      <c r="F726" s="158">
        <v>43514</v>
      </c>
      <c r="G726" s="162">
        <v>2.5</v>
      </c>
      <c r="H726" s="250">
        <v>59</v>
      </c>
      <c r="I726" s="160">
        <v>1433478</v>
      </c>
      <c r="J726" s="163">
        <v>19175</v>
      </c>
      <c r="K726" s="158">
        <v>43521</v>
      </c>
      <c r="L726" s="160" t="s">
        <v>1254</v>
      </c>
      <c r="M726" s="160">
        <v>4615516135</v>
      </c>
      <c r="N726" s="158">
        <v>43544</v>
      </c>
      <c r="O726" s="164">
        <v>3.7890999999999999</v>
      </c>
      <c r="P726" s="165" t="s">
        <v>1323</v>
      </c>
      <c r="Q726" s="34">
        <f>SUMIF(Allocation[Delivery ID],Allocation[[#This Row],[Delivery ID]],Allocation[Quantity Processed])</f>
        <v>179</v>
      </c>
      <c r="R726" s="61">
        <f>Allocation[[#This Row],[Total volume used]]/VLOOKUP(Allocation[[#This Row],[Delivery ID]],Delivery[[Delivery ID]:[Quantity delivered]],3,FALSE)</f>
        <v>7.5458971818814155E-3</v>
      </c>
      <c r="S726" s="34">
        <f>Allocation[[#This Row],[Quantity Processed]]/Allocation[[#This Row],[Dilution rate]]</f>
        <v>71.599999999999994</v>
      </c>
      <c r="T726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26" s="61">
        <f>Allocation[[#This Row],[Total volume used]]/VLOOKUP(Allocation[[#This Row],[Delivery ID]],Delivery[[Delivery ID]:[Quantity delivered]],3,FALSE)</f>
        <v>7.5458971818814155E-3</v>
      </c>
      <c r="V726" s="34" t="e">
        <f>VLOOKUP(Allocation[[#This Row],[SAP Contract number]],Shipments[[SAP Contract number]:[Contracted container weight]],2,FALSE)</f>
        <v>#N/A</v>
      </c>
      <c r="W726" s="34" t="e">
        <f>VLOOKUP(Allocation[[#This Row],[SAP Contract number]],Shipments[[SAP Contract number]:[AAA Premium USD]],24,FALSE)</f>
        <v>#N/A</v>
      </c>
      <c r="X726" s="34" t="e">
        <f>VLOOKUP(Allocation[[#This Row],[SAP Contract number]],Shipments[[SAP Contract number]:[RA Premium USD]],25,FALSE)</f>
        <v>#N/A</v>
      </c>
      <c r="Y726" s="38">
        <f>Allocation[[#This Row],[Quantity Processed]]/Allocation[[#This Row],[Quantity allocated]]</f>
        <v>3.0338983050847457</v>
      </c>
      <c r="Z726" s="34" t="b">
        <f>Allocation[[#This Row],[Quantity allocated]]&lt;=Allocation[[#This Row],[Quantity Processed]]</f>
        <v>1</v>
      </c>
    </row>
    <row r="727" spans="1:26">
      <c r="A727" s="247" t="s">
        <v>467</v>
      </c>
      <c r="B727" s="160" t="s">
        <v>68</v>
      </c>
      <c r="C727" s="252" t="s">
        <v>902</v>
      </c>
      <c r="D727" s="250">
        <v>179</v>
      </c>
      <c r="E727" s="160" t="s">
        <v>1237</v>
      </c>
      <c r="F727" s="158">
        <v>43514</v>
      </c>
      <c r="G727" s="162">
        <v>2.5</v>
      </c>
      <c r="H727" s="250">
        <v>59</v>
      </c>
      <c r="I727" s="160">
        <v>1433478</v>
      </c>
      <c r="J727" s="163">
        <v>19175</v>
      </c>
      <c r="K727" s="158">
        <v>43521</v>
      </c>
      <c r="L727" s="160" t="s">
        <v>1254</v>
      </c>
      <c r="M727" s="160">
        <v>4615516135</v>
      </c>
      <c r="N727" s="158">
        <v>43544</v>
      </c>
      <c r="O727" s="164">
        <v>3.7890999999999999</v>
      </c>
      <c r="P727" s="165" t="s">
        <v>1323</v>
      </c>
      <c r="Q727" s="34">
        <f>SUMIF(Allocation[Delivery ID],Allocation[[#This Row],[Delivery ID]],Allocation[Quantity Processed])</f>
        <v>179</v>
      </c>
      <c r="R727" s="61">
        <f>Allocation[[#This Row],[Total volume used]]/VLOOKUP(Allocation[[#This Row],[Delivery ID]],Delivery[[Delivery ID]:[Quantity delivered]],3,FALSE)</f>
        <v>1.9372294372294371E-2</v>
      </c>
      <c r="S727" s="34">
        <f>Allocation[[#This Row],[Quantity Processed]]/Allocation[[#This Row],[Dilution rate]]</f>
        <v>71.599999999999994</v>
      </c>
      <c r="T727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27" s="61">
        <f>Allocation[[#This Row],[Total volume used]]/VLOOKUP(Allocation[[#This Row],[Delivery ID]],Delivery[[Delivery ID]:[Quantity delivered]],3,FALSE)</f>
        <v>1.9372294372294371E-2</v>
      </c>
      <c r="V727" s="34" t="e">
        <f>VLOOKUP(Allocation[[#This Row],[SAP Contract number]],Shipments[[SAP Contract number]:[Contracted container weight]],2,FALSE)</f>
        <v>#N/A</v>
      </c>
      <c r="W727" s="34" t="e">
        <f>VLOOKUP(Allocation[[#This Row],[SAP Contract number]],Shipments[[SAP Contract number]:[AAA Premium USD]],24,FALSE)</f>
        <v>#N/A</v>
      </c>
      <c r="X727" s="34" t="e">
        <f>VLOOKUP(Allocation[[#This Row],[SAP Contract number]],Shipments[[SAP Contract number]:[RA Premium USD]],25,FALSE)</f>
        <v>#N/A</v>
      </c>
      <c r="Y727" s="38">
        <f>Allocation[[#This Row],[Quantity Processed]]/Allocation[[#This Row],[Quantity allocated]]</f>
        <v>3.0338983050847457</v>
      </c>
      <c r="Z727" s="34" t="b">
        <f>Allocation[[#This Row],[Quantity allocated]]&lt;=Allocation[[#This Row],[Quantity Processed]]</f>
        <v>1</v>
      </c>
    </row>
    <row r="728" spans="1:26">
      <c r="A728" s="247" t="s">
        <v>467</v>
      </c>
      <c r="B728" s="160" t="s">
        <v>68</v>
      </c>
      <c r="C728" s="252" t="s">
        <v>903</v>
      </c>
      <c r="D728" s="250">
        <v>179</v>
      </c>
      <c r="E728" s="160" t="s">
        <v>1237</v>
      </c>
      <c r="F728" s="158">
        <v>43514</v>
      </c>
      <c r="G728" s="162">
        <v>2.5</v>
      </c>
      <c r="H728" s="250">
        <v>59</v>
      </c>
      <c r="I728" s="160">
        <v>1433478</v>
      </c>
      <c r="J728" s="163">
        <v>19175</v>
      </c>
      <c r="K728" s="158">
        <v>43521</v>
      </c>
      <c r="L728" s="160" t="s">
        <v>1254</v>
      </c>
      <c r="M728" s="160">
        <v>4615516135</v>
      </c>
      <c r="N728" s="158">
        <v>43544</v>
      </c>
      <c r="O728" s="164">
        <v>3.7890999999999999</v>
      </c>
      <c r="P728" s="165" t="s">
        <v>1323</v>
      </c>
      <c r="Q728" s="34">
        <f>SUMIF(Allocation[Delivery ID],Allocation[[#This Row],[Delivery ID]],Allocation[Quantity Processed])</f>
        <v>179</v>
      </c>
      <c r="R728" s="61">
        <f>Allocation[[#This Row],[Total volume used]]/VLOOKUP(Allocation[[#This Row],[Delivery ID]],Delivery[[Delivery ID]:[Quantity delivered]],3,FALSE)</f>
        <v>1.7971887550200804E-2</v>
      </c>
      <c r="S728" s="34">
        <f>Allocation[[#This Row],[Quantity Processed]]/Allocation[[#This Row],[Dilution rate]]</f>
        <v>71.599999999999994</v>
      </c>
      <c r="T728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28" s="61">
        <f>Allocation[[#This Row],[Total volume used]]/VLOOKUP(Allocation[[#This Row],[Delivery ID]],Delivery[[Delivery ID]:[Quantity delivered]],3,FALSE)</f>
        <v>1.7971887550200804E-2</v>
      </c>
      <c r="V728" s="34" t="e">
        <f>VLOOKUP(Allocation[[#This Row],[SAP Contract number]],Shipments[[SAP Contract number]:[Contracted container weight]],2,FALSE)</f>
        <v>#N/A</v>
      </c>
      <c r="W728" s="34" t="e">
        <f>VLOOKUP(Allocation[[#This Row],[SAP Contract number]],Shipments[[SAP Contract number]:[AAA Premium USD]],24,FALSE)</f>
        <v>#N/A</v>
      </c>
      <c r="X728" s="34" t="e">
        <f>VLOOKUP(Allocation[[#This Row],[SAP Contract number]],Shipments[[SAP Contract number]:[RA Premium USD]],25,FALSE)</f>
        <v>#N/A</v>
      </c>
      <c r="Y728" s="38">
        <f>Allocation[[#This Row],[Quantity Processed]]/Allocation[[#This Row],[Quantity allocated]]</f>
        <v>3.0338983050847457</v>
      </c>
      <c r="Z728" s="34" t="b">
        <f>Allocation[[#This Row],[Quantity allocated]]&lt;=Allocation[[#This Row],[Quantity Processed]]</f>
        <v>1</v>
      </c>
    </row>
    <row r="729" spans="1:26">
      <c r="A729" s="247" t="s">
        <v>467</v>
      </c>
      <c r="B729" s="160" t="s">
        <v>68</v>
      </c>
      <c r="C729" s="252" t="s">
        <v>904</v>
      </c>
      <c r="D729" s="250">
        <v>715</v>
      </c>
      <c r="E729" s="160" t="s">
        <v>1237</v>
      </c>
      <c r="F729" s="158">
        <v>43514</v>
      </c>
      <c r="G729" s="162">
        <v>2.5</v>
      </c>
      <c r="H729" s="250">
        <v>236</v>
      </c>
      <c r="I729" s="160">
        <v>1433478</v>
      </c>
      <c r="J729" s="163">
        <v>19175</v>
      </c>
      <c r="K729" s="158">
        <v>43521</v>
      </c>
      <c r="L729" s="160" t="s">
        <v>1254</v>
      </c>
      <c r="M729" s="160">
        <v>4615516135</v>
      </c>
      <c r="N729" s="158">
        <v>43544</v>
      </c>
      <c r="O729" s="164">
        <v>3.7890999999999999</v>
      </c>
      <c r="P729" s="165" t="s">
        <v>1323</v>
      </c>
      <c r="Q729" s="34">
        <f>SUMIF(Allocation[Delivery ID],Allocation[[#This Row],[Delivery ID]],Allocation[Quantity Processed])</f>
        <v>715</v>
      </c>
      <c r="R729" s="61">
        <f>Allocation[[#This Row],[Total volume used]]/VLOOKUP(Allocation[[#This Row],[Delivery ID]],Delivery[[Delivery ID]:[Quantity delivered]],3,FALSE)</f>
        <v>2.3421121593291405E-2</v>
      </c>
      <c r="S729" s="34">
        <f>Allocation[[#This Row],[Quantity Processed]]/Allocation[[#This Row],[Dilution rate]]</f>
        <v>286</v>
      </c>
      <c r="T729" s="59">
        <f>SUMIF(Allocation[Delivery ID],Allocation[[#This Row],[Delivery ID]],Allocation[Quantity allocated])/SUMIF(Allocation[Delivery ID],Allocation[[#This Row],[Delivery ID]],Allocation[Volume available (kg)])</f>
        <v>0.82517482517482521</v>
      </c>
      <c r="U729" s="61">
        <f>Allocation[[#This Row],[Total volume used]]/VLOOKUP(Allocation[[#This Row],[Delivery ID]],Delivery[[Delivery ID]:[Quantity delivered]],3,FALSE)</f>
        <v>2.3421121593291405E-2</v>
      </c>
      <c r="V729" s="34" t="e">
        <f>VLOOKUP(Allocation[[#This Row],[SAP Contract number]],Shipments[[SAP Contract number]:[Contracted container weight]],2,FALSE)</f>
        <v>#N/A</v>
      </c>
      <c r="W729" s="34" t="e">
        <f>VLOOKUP(Allocation[[#This Row],[SAP Contract number]],Shipments[[SAP Contract number]:[AAA Premium USD]],24,FALSE)</f>
        <v>#N/A</v>
      </c>
      <c r="X729" s="34" t="e">
        <f>VLOOKUP(Allocation[[#This Row],[SAP Contract number]],Shipments[[SAP Contract number]:[RA Premium USD]],25,FALSE)</f>
        <v>#N/A</v>
      </c>
      <c r="Y729" s="38">
        <f>Allocation[[#This Row],[Quantity Processed]]/Allocation[[#This Row],[Quantity allocated]]</f>
        <v>3.0296610169491527</v>
      </c>
      <c r="Z729" s="34" t="b">
        <f>Allocation[[#This Row],[Quantity allocated]]&lt;=Allocation[[#This Row],[Quantity Processed]]</f>
        <v>1</v>
      </c>
    </row>
    <row r="730" spans="1:26">
      <c r="A730" s="247" t="s">
        <v>467</v>
      </c>
      <c r="B730" s="160" t="s">
        <v>68</v>
      </c>
      <c r="C730" s="252" t="s">
        <v>905</v>
      </c>
      <c r="D730" s="250">
        <v>715</v>
      </c>
      <c r="E730" s="160" t="s">
        <v>1237</v>
      </c>
      <c r="F730" s="158">
        <v>43514</v>
      </c>
      <c r="G730" s="162">
        <v>2.5</v>
      </c>
      <c r="H730" s="250">
        <v>236</v>
      </c>
      <c r="I730" s="160">
        <v>1433478</v>
      </c>
      <c r="J730" s="163">
        <v>19175</v>
      </c>
      <c r="K730" s="158">
        <v>43521</v>
      </c>
      <c r="L730" s="160" t="s">
        <v>1254</v>
      </c>
      <c r="M730" s="160">
        <v>4615516135</v>
      </c>
      <c r="N730" s="158">
        <v>43544</v>
      </c>
      <c r="O730" s="164">
        <v>3.7890999999999999</v>
      </c>
      <c r="P730" s="165" t="s">
        <v>1323</v>
      </c>
      <c r="Q730" s="34">
        <f>SUMIF(Allocation[Delivery ID],Allocation[[#This Row],[Delivery ID]],Allocation[Quantity Processed])</f>
        <v>715</v>
      </c>
      <c r="R730" s="61">
        <f>Allocation[[#This Row],[Total volume used]]/VLOOKUP(Allocation[[#This Row],[Delivery ID]],Delivery[[Delivery ID]:[Quantity delivered]],3,FALSE)</f>
        <v>2.3405787612937018E-2</v>
      </c>
      <c r="S730" s="34">
        <f>Allocation[[#This Row],[Quantity Processed]]/Allocation[[#This Row],[Dilution rate]]</f>
        <v>286</v>
      </c>
      <c r="T730" s="59">
        <f>SUMIF(Allocation[Delivery ID],Allocation[[#This Row],[Delivery ID]],Allocation[Quantity allocated])/SUMIF(Allocation[Delivery ID],Allocation[[#This Row],[Delivery ID]],Allocation[Volume available (kg)])</f>
        <v>0.82517482517482521</v>
      </c>
      <c r="U730" s="61">
        <f>Allocation[[#This Row],[Total volume used]]/VLOOKUP(Allocation[[#This Row],[Delivery ID]],Delivery[[Delivery ID]:[Quantity delivered]],3,FALSE)</f>
        <v>2.3405787612937018E-2</v>
      </c>
      <c r="V730" s="34" t="e">
        <f>VLOOKUP(Allocation[[#This Row],[SAP Contract number]],Shipments[[SAP Contract number]:[Contracted container weight]],2,FALSE)</f>
        <v>#N/A</v>
      </c>
      <c r="W730" s="34" t="e">
        <f>VLOOKUP(Allocation[[#This Row],[SAP Contract number]],Shipments[[SAP Contract number]:[AAA Premium USD]],24,FALSE)</f>
        <v>#N/A</v>
      </c>
      <c r="X730" s="34" t="e">
        <f>VLOOKUP(Allocation[[#This Row],[SAP Contract number]],Shipments[[SAP Contract number]:[RA Premium USD]],25,FALSE)</f>
        <v>#N/A</v>
      </c>
      <c r="Y730" s="38">
        <f>Allocation[[#This Row],[Quantity Processed]]/Allocation[[#This Row],[Quantity allocated]]</f>
        <v>3.0296610169491527</v>
      </c>
      <c r="Z730" s="34" t="b">
        <f>Allocation[[#This Row],[Quantity allocated]]&lt;=Allocation[[#This Row],[Quantity Processed]]</f>
        <v>1</v>
      </c>
    </row>
    <row r="731" spans="1:26">
      <c r="A731" s="247" t="s">
        <v>467</v>
      </c>
      <c r="B731" s="160" t="s">
        <v>68</v>
      </c>
      <c r="C731" s="252" t="s">
        <v>906</v>
      </c>
      <c r="D731" s="250">
        <v>715</v>
      </c>
      <c r="E731" s="160" t="s">
        <v>1237</v>
      </c>
      <c r="F731" s="158">
        <v>43514</v>
      </c>
      <c r="G731" s="162">
        <v>2.5</v>
      </c>
      <c r="H731" s="250">
        <v>236</v>
      </c>
      <c r="I731" s="160">
        <v>1433478</v>
      </c>
      <c r="J731" s="163">
        <v>19175</v>
      </c>
      <c r="K731" s="158">
        <v>43521</v>
      </c>
      <c r="L731" s="160" t="s">
        <v>1254</v>
      </c>
      <c r="M731" s="160">
        <v>4615516135</v>
      </c>
      <c r="N731" s="158">
        <v>43544</v>
      </c>
      <c r="O731" s="164">
        <v>3.7890999999999999</v>
      </c>
      <c r="P731" s="165" t="s">
        <v>1323</v>
      </c>
      <c r="Q731" s="34">
        <f>SUMIF(Allocation[Delivery ID],Allocation[[#This Row],[Delivery ID]],Allocation[Quantity Processed])</f>
        <v>715</v>
      </c>
      <c r="R731" s="61">
        <f>Allocation[[#This Row],[Total volume used]]/VLOOKUP(Allocation[[#This Row],[Delivery ID]],Delivery[[Delivery ID]:[Quantity delivered]],3,FALSE)</f>
        <v>2.3536770030943444E-2</v>
      </c>
      <c r="S731" s="34">
        <f>Allocation[[#This Row],[Quantity Processed]]/Allocation[[#This Row],[Dilution rate]]</f>
        <v>286</v>
      </c>
      <c r="T731" s="59">
        <f>SUMIF(Allocation[Delivery ID],Allocation[[#This Row],[Delivery ID]],Allocation[Quantity allocated])/SUMIF(Allocation[Delivery ID],Allocation[[#This Row],[Delivery ID]],Allocation[Volume available (kg)])</f>
        <v>0.82517482517482521</v>
      </c>
      <c r="U731" s="61">
        <f>Allocation[[#This Row],[Total volume used]]/VLOOKUP(Allocation[[#This Row],[Delivery ID]],Delivery[[Delivery ID]:[Quantity delivered]],3,FALSE)</f>
        <v>2.3536770030943444E-2</v>
      </c>
      <c r="V731" s="34" t="e">
        <f>VLOOKUP(Allocation[[#This Row],[SAP Contract number]],Shipments[[SAP Contract number]:[Contracted container weight]],2,FALSE)</f>
        <v>#N/A</v>
      </c>
      <c r="W731" s="34" t="e">
        <f>VLOOKUP(Allocation[[#This Row],[SAP Contract number]],Shipments[[SAP Contract number]:[AAA Premium USD]],24,FALSE)</f>
        <v>#N/A</v>
      </c>
      <c r="X731" s="34" t="e">
        <f>VLOOKUP(Allocation[[#This Row],[SAP Contract number]],Shipments[[SAP Contract number]:[RA Premium USD]],25,FALSE)</f>
        <v>#N/A</v>
      </c>
      <c r="Y731" s="38">
        <f>Allocation[[#This Row],[Quantity Processed]]/Allocation[[#This Row],[Quantity allocated]]</f>
        <v>3.0296610169491527</v>
      </c>
      <c r="Z731" s="34" t="b">
        <f>Allocation[[#This Row],[Quantity allocated]]&lt;=Allocation[[#This Row],[Quantity Processed]]</f>
        <v>1</v>
      </c>
    </row>
    <row r="732" spans="1:26">
      <c r="A732" s="247" t="s">
        <v>467</v>
      </c>
      <c r="B732" s="160" t="s">
        <v>68</v>
      </c>
      <c r="C732" s="252" t="s">
        <v>907</v>
      </c>
      <c r="D732" s="250">
        <v>536</v>
      </c>
      <c r="E732" s="160" t="s">
        <v>1237</v>
      </c>
      <c r="F732" s="158">
        <v>43514</v>
      </c>
      <c r="G732" s="162">
        <v>2.5</v>
      </c>
      <c r="H732" s="250">
        <v>177</v>
      </c>
      <c r="I732" s="160">
        <v>1433478</v>
      </c>
      <c r="J732" s="163">
        <v>19175</v>
      </c>
      <c r="K732" s="158">
        <v>43521</v>
      </c>
      <c r="L732" s="160" t="s">
        <v>1254</v>
      </c>
      <c r="M732" s="160">
        <v>4615516135</v>
      </c>
      <c r="N732" s="158">
        <v>43544</v>
      </c>
      <c r="O732" s="164">
        <v>3.7890999999999999</v>
      </c>
      <c r="P732" s="165" t="s">
        <v>1323</v>
      </c>
      <c r="Q732" s="34">
        <f>SUMIF(Allocation[Delivery ID],Allocation[[#This Row],[Delivery ID]],Allocation[Quantity Processed])</f>
        <v>536</v>
      </c>
      <c r="R732" s="61">
        <f>Allocation[[#This Row],[Total volume used]]/VLOOKUP(Allocation[[#This Row],[Delivery ID]],Delivery[[Delivery ID]:[Quantity delivered]],3,FALSE)</f>
        <v>1.7528655754860442E-2</v>
      </c>
      <c r="S732" s="34">
        <f>Allocation[[#This Row],[Quantity Processed]]/Allocation[[#This Row],[Dilution rate]]</f>
        <v>214.4</v>
      </c>
      <c r="T732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32" s="61">
        <f>Allocation[[#This Row],[Total volume used]]/VLOOKUP(Allocation[[#This Row],[Delivery ID]],Delivery[[Delivery ID]:[Quantity delivered]],3,FALSE)</f>
        <v>1.7528655754860442E-2</v>
      </c>
      <c r="V732" s="34" t="e">
        <f>VLOOKUP(Allocation[[#This Row],[SAP Contract number]],Shipments[[SAP Contract number]:[Contracted container weight]],2,FALSE)</f>
        <v>#N/A</v>
      </c>
      <c r="W732" s="34" t="e">
        <f>VLOOKUP(Allocation[[#This Row],[SAP Contract number]],Shipments[[SAP Contract number]:[AAA Premium USD]],24,FALSE)</f>
        <v>#N/A</v>
      </c>
      <c r="X732" s="34" t="e">
        <f>VLOOKUP(Allocation[[#This Row],[SAP Contract number]],Shipments[[SAP Contract number]:[RA Premium USD]],25,FALSE)</f>
        <v>#N/A</v>
      </c>
      <c r="Y732" s="38">
        <f>Allocation[[#This Row],[Quantity Processed]]/Allocation[[#This Row],[Quantity allocated]]</f>
        <v>3.0282485875706215</v>
      </c>
      <c r="Z732" s="34" t="b">
        <f>Allocation[[#This Row],[Quantity allocated]]&lt;=Allocation[[#This Row],[Quantity Processed]]</f>
        <v>1</v>
      </c>
    </row>
    <row r="733" spans="1:26">
      <c r="A733" s="247" t="s">
        <v>467</v>
      </c>
      <c r="B733" s="160" t="s">
        <v>68</v>
      </c>
      <c r="C733" s="252" t="s">
        <v>908</v>
      </c>
      <c r="D733" s="250">
        <v>358</v>
      </c>
      <c r="E733" s="160" t="s">
        <v>1237</v>
      </c>
      <c r="F733" s="158">
        <v>43514</v>
      </c>
      <c r="G733" s="162">
        <v>2.5</v>
      </c>
      <c r="H733" s="250">
        <v>118</v>
      </c>
      <c r="I733" s="160">
        <v>1433478</v>
      </c>
      <c r="J733" s="163">
        <v>19175</v>
      </c>
      <c r="K733" s="158">
        <v>43521</v>
      </c>
      <c r="L733" s="160" t="s">
        <v>1254</v>
      </c>
      <c r="M733" s="160">
        <v>4615516135</v>
      </c>
      <c r="N733" s="158">
        <v>43544</v>
      </c>
      <c r="O733" s="164">
        <v>3.7890999999999999</v>
      </c>
      <c r="P733" s="165" t="s">
        <v>1323</v>
      </c>
      <c r="Q733" s="34">
        <f>SUMIF(Allocation[Delivery ID],Allocation[[#This Row],[Delivery ID]],Allocation[Quantity Processed])</f>
        <v>358</v>
      </c>
      <c r="R733" s="61">
        <f>Allocation[[#This Row],[Total volume used]]/VLOOKUP(Allocation[[#This Row],[Delivery ID]],Delivery[[Delivery ID]:[Quantity delivered]],3,FALSE)</f>
        <v>1.8099547511312219E-2</v>
      </c>
      <c r="S733" s="34">
        <f>Allocation[[#This Row],[Quantity Processed]]/Allocation[[#This Row],[Dilution rate]]</f>
        <v>143.19999999999999</v>
      </c>
      <c r="T733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33" s="61">
        <f>Allocation[[#This Row],[Total volume used]]/VLOOKUP(Allocation[[#This Row],[Delivery ID]],Delivery[[Delivery ID]:[Quantity delivered]],3,FALSE)</f>
        <v>1.8099547511312219E-2</v>
      </c>
      <c r="V733" s="34" t="e">
        <f>VLOOKUP(Allocation[[#This Row],[SAP Contract number]],Shipments[[SAP Contract number]:[Contracted container weight]],2,FALSE)</f>
        <v>#N/A</v>
      </c>
      <c r="W733" s="34" t="e">
        <f>VLOOKUP(Allocation[[#This Row],[SAP Contract number]],Shipments[[SAP Contract number]:[AAA Premium USD]],24,FALSE)</f>
        <v>#N/A</v>
      </c>
      <c r="X733" s="34" t="e">
        <f>VLOOKUP(Allocation[[#This Row],[SAP Contract number]],Shipments[[SAP Contract number]:[RA Premium USD]],25,FALSE)</f>
        <v>#N/A</v>
      </c>
      <c r="Y733" s="38">
        <f>Allocation[[#This Row],[Quantity Processed]]/Allocation[[#This Row],[Quantity allocated]]</f>
        <v>3.0338983050847457</v>
      </c>
      <c r="Z733" s="34" t="b">
        <f>Allocation[[#This Row],[Quantity allocated]]&lt;=Allocation[[#This Row],[Quantity Processed]]</f>
        <v>1</v>
      </c>
    </row>
    <row r="734" spans="1:26">
      <c r="A734" s="247" t="s">
        <v>467</v>
      </c>
      <c r="B734" s="160" t="s">
        <v>68</v>
      </c>
      <c r="C734" s="252" t="s">
        <v>909</v>
      </c>
      <c r="D734" s="250">
        <v>715</v>
      </c>
      <c r="E734" s="160" t="s">
        <v>1237</v>
      </c>
      <c r="F734" s="158">
        <v>43514</v>
      </c>
      <c r="G734" s="162">
        <v>2.5</v>
      </c>
      <c r="H734" s="250">
        <v>236</v>
      </c>
      <c r="I734" s="160">
        <v>1433478</v>
      </c>
      <c r="J734" s="163">
        <v>19175</v>
      </c>
      <c r="K734" s="158">
        <v>43521</v>
      </c>
      <c r="L734" s="160" t="s">
        <v>1254</v>
      </c>
      <c r="M734" s="160">
        <v>4615516135</v>
      </c>
      <c r="N734" s="158">
        <v>43544</v>
      </c>
      <c r="O734" s="164">
        <v>3.7890999999999999</v>
      </c>
      <c r="P734" s="165" t="s">
        <v>1323</v>
      </c>
      <c r="Q734" s="34">
        <f>SUMIF(Allocation[Delivery ID],Allocation[[#This Row],[Delivery ID]],Allocation[Quantity Processed])</f>
        <v>715</v>
      </c>
      <c r="R734" s="61">
        <f>Allocation[[#This Row],[Total volume used]]/VLOOKUP(Allocation[[#This Row],[Delivery ID]],Delivery[[Delivery ID]:[Quantity delivered]],3,FALSE)</f>
        <v>2.3405787612937018E-2</v>
      </c>
      <c r="S734" s="34">
        <f>Allocation[[#This Row],[Quantity Processed]]/Allocation[[#This Row],[Dilution rate]]</f>
        <v>286</v>
      </c>
      <c r="T734" s="59">
        <f>SUMIF(Allocation[Delivery ID],Allocation[[#This Row],[Delivery ID]],Allocation[Quantity allocated])/SUMIF(Allocation[Delivery ID],Allocation[[#This Row],[Delivery ID]],Allocation[Volume available (kg)])</f>
        <v>0.82517482517482521</v>
      </c>
      <c r="U734" s="61">
        <f>Allocation[[#This Row],[Total volume used]]/VLOOKUP(Allocation[[#This Row],[Delivery ID]],Delivery[[Delivery ID]:[Quantity delivered]],3,FALSE)</f>
        <v>2.3405787612937018E-2</v>
      </c>
      <c r="V734" s="34" t="e">
        <f>VLOOKUP(Allocation[[#This Row],[SAP Contract number]],Shipments[[SAP Contract number]:[Contracted container weight]],2,FALSE)</f>
        <v>#N/A</v>
      </c>
      <c r="W734" s="34" t="e">
        <f>VLOOKUP(Allocation[[#This Row],[SAP Contract number]],Shipments[[SAP Contract number]:[AAA Premium USD]],24,FALSE)</f>
        <v>#N/A</v>
      </c>
      <c r="X734" s="34" t="e">
        <f>VLOOKUP(Allocation[[#This Row],[SAP Contract number]],Shipments[[SAP Contract number]:[RA Premium USD]],25,FALSE)</f>
        <v>#N/A</v>
      </c>
      <c r="Y734" s="38">
        <f>Allocation[[#This Row],[Quantity Processed]]/Allocation[[#This Row],[Quantity allocated]]</f>
        <v>3.0296610169491527</v>
      </c>
      <c r="Z734" s="34" t="b">
        <f>Allocation[[#This Row],[Quantity allocated]]&lt;=Allocation[[#This Row],[Quantity Processed]]</f>
        <v>1</v>
      </c>
    </row>
    <row r="735" spans="1:26">
      <c r="A735" s="247" t="s">
        <v>467</v>
      </c>
      <c r="B735" s="160" t="s">
        <v>68</v>
      </c>
      <c r="C735" s="252" t="s">
        <v>910</v>
      </c>
      <c r="D735" s="250">
        <v>715</v>
      </c>
      <c r="E735" s="160" t="s">
        <v>1237</v>
      </c>
      <c r="F735" s="158">
        <v>43514</v>
      </c>
      <c r="G735" s="162">
        <v>2.5</v>
      </c>
      <c r="H735" s="250">
        <v>236</v>
      </c>
      <c r="I735" s="160">
        <v>1433478</v>
      </c>
      <c r="J735" s="163">
        <v>19175</v>
      </c>
      <c r="K735" s="158">
        <v>43521</v>
      </c>
      <c r="L735" s="160" t="s">
        <v>1254</v>
      </c>
      <c r="M735" s="160">
        <v>4615516135</v>
      </c>
      <c r="N735" s="158">
        <v>43544</v>
      </c>
      <c r="O735" s="164">
        <v>3.7890999999999999</v>
      </c>
      <c r="P735" s="165" t="s">
        <v>1323</v>
      </c>
      <c r="Q735" s="34">
        <f>SUMIF(Allocation[Delivery ID],Allocation[[#This Row],[Delivery ID]],Allocation[Quantity Processed])</f>
        <v>715</v>
      </c>
      <c r="R735" s="61">
        <f>Allocation[[#This Row],[Total volume used]]/VLOOKUP(Allocation[[#This Row],[Delivery ID]],Delivery[[Delivery ID]:[Quantity delivered]],3,FALSE)</f>
        <v>2.3849232821881255E-2</v>
      </c>
      <c r="S735" s="34">
        <f>Allocation[[#This Row],[Quantity Processed]]/Allocation[[#This Row],[Dilution rate]]</f>
        <v>286</v>
      </c>
      <c r="T735" s="59">
        <f>SUMIF(Allocation[Delivery ID],Allocation[[#This Row],[Delivery ID]],Allocation[Quantity allocated])/SUMIF(Allocation[Delivery ID],Allocation[[#This Row],[Delivery ID]],Allocation[Volume available (kg)])</f>
        <v>0.82517482517482521</v>
      </c>
      <c r="U735" s="61">
        <f>Allocation[[#This Row],[Total volume used]]/VLOOKUP(Allocation[[#This Row],[Delivery ID]],Delivery[[Delivery ID]:[Quantity delivered]],3,FALSE)</f>
        <v>2.3849232821881255E-2</v>
      </c>
      <c r="V735" s="34" t="e">
        <f>VLOOKUP(Allocation[[#This Row],[SAP Contract number]],Shipments[[SAP Contract number]:[Contracted container weight]],2,FALSE)</f>
        <v>#N/A</v>
      </c>
      <c r="W735" s="34" t="e">
        <f>VLOOKUP(Allocation[[#This Row],[SAP Contract number]],Shipments[[SAP Contract number]:[AAA Premium USD]],24,FALSE)</f>
        <v>#N/A</v>
      </c>
      <c r="X735" s="34" t="e">
        <f>VLOOKUP(Allocation[[#This Row],[SAP Contract number]],Shipments[[SAP Contract number]:[RA Premium USD]],25,FALSE)</f>
        <v>#N/A</v>
      </c>
      <c r="Y735" s="38">
        <f>Allocation[[#This Row],[Quantity Processed]]/Allocation[[#This Row],[Quantity allocated]]</f>
        <v>3.0296610169491527</v>
      </c>
      <c r="Z735" s="34" t="b">
        <f>Allocation[[#This Row],[Quantity allocated]]&lt;=Allocation[[#This Row],[Quantity Processed]]</f>
        <v>1</v>
      </c>
    </row>
    <row r="736" spans="1:26">
      <c r="A736" s="247" t="s">
        <v>467</v>
      </c>
      <c r="B736" s="160" t="s">
        <v>68</v>
      </c>
      <c r="C736" s="252" t="s">
        <v>911</v>
      </c>
      <c r="D736" s="250">
        <v>715</v>
      </c>
      <c r="E736" s="160" t="s">
        <v>1237</v>
      </c>
      <c r="F736" s="158">
        <v>43514</v>
      </c>
      <c r="G736" s="162">
        <v>2.5</v>
      </c>
      <c r="H736" s="250">
        <v>236</v>
      </c>
      <c r="I736" s="160">
        <v>1433478</v>
      </c>
      <c r="J736" s="163">
        <v>19175</v>
      </c>
      <c r="K736" s="158">
        <v>43521</v>
      </c>
      <c r="L736" s="160" t="s">
        <v>1254</v>
      </c>
      <c r="M736" s="160">
        <v>4615516135</v>
      </c>
      <c r="N736" s="158">
        <v>43544</v>
      </c>
      <c r="O736" s="164">
        <v>3.7890999999999999</v>
      </c>
      <c r="P736" s="165" t="s">
        <v>1323</v>
      </c>
      <c r="Q736" s="34">
        <f>SUMIF(Allocation[Delivery ID],Allocation[[#This Row],[Delivery ID]],Allocation[Quantity Processed])</f>
        <v>715</v>
      </c>
      <c r="R736" s="61">
        <f>Allocation[[#This Row],[Total volume used]]/VLOOKUP(Allocation[[#This Row],[Delivery ID]],Delivery[[Delivery ID]:[Quantity delivered]],3,FALSE)</f>
        <v>2.4716537610619468E-2</v>
      </c>
      <c r="S736" s="34">
        <f>Allocation[[#This Row],[Quantity Processed]]/Allocation[[#This Row],[Dilution rate]]</f>
        <v>286</v>
      </c>
      <c r="T736" s="59">
        <f>SUMIF(Allocation[Delivery ID],Allocation[[#This Row],[Delivery ID]],Allocation[Quantity allocated])/SUMIF(Allocation[Delivery ID],Allocation[[#This Row],[Delivery ID]],Allocation[Volume available (kg)])</f>
        <v>0.82517482517482521</v>
      </c>
      <c r="U736" s="61">
        <f>Allocation[[#This Row],[Total volume used]]/VLOOKUP(Allocation[[#This Row],[Delivery ID]],Delivery[[Delivery ID]:[Quantity delivered]],3,FALSE)</f>
        <v>2.4716537610619468E-2</v>
      </c>
      <c r="V736" s="34" t="e">
        <f>VLOOKUP(Allocation[[#This Row],[SAP Contract number]],Shipments[[SAP Contract number]:[Contracted container weight]],2,FALSE)</f>
        <v>#N/A</v>
      </c>
      <c r="W736" s="34" t="e">
        <f>VLOOKUP(Allocation[[#This Row],[SAP Contract number]],Shipments[[SAP Contract number]:[AAA Premium USD]],24,FALSE)</f>
        <v>#N/A</v>
      </c>
      <c r="X736" s="34" t="e">
        <f>VLOOKUP(Allocation[[#This Row],[SAP Contract number]],Shipments[[SAP Contract number]:[RA Premium USD]],25,FALSE)</f>
        <v>#N/A</v>
      </c>
      <c r="Y736" s="38">
        <f>Allocation[[#This Row],[Quantity Processed]]/Allocation[[#This Row],[Quantity allocated]]</f>
        <v>3.0296610169491527</v>
      </c>
      <c r="Z736" s="34" t="b">
        <f>Allocation[[#This Row],[Quantity allocated]]&lt;=Allocation[[#This Row],[Quantity Processed]]</f>
        <v>1</v>
      </c>
    </row>
    <row r="737" spans="1:26">
      <c r="A737" s="247" t="s">
        <v>467</v>
      </c>
      <c r="B737" s="160" t="s">
        <v>68</v>
      </c>
      <c r="C737" s="252" t="s">
        <v>912</v>
      </c>
      <c r="D737" s="250">
        <v>536</v>
      </c>
      <c r="E737" s="160" t="s">
        <v>1237</v>
      </c>
      <c r="F737" s="158">
        <v>43514</v>
      </c>
      <c r="G737" s="162">
        <v>2.5</v>
      </c>
      <c r="H737" s="250">
        <v>177</v>
      </c>
      <c r="I737" s="160">
        <v>1433478</v>
      </c>
      <c r="J737" s="163">
        <v>19175</v>
      </c>
      <c r="K737" s="158">
        <v>43521</v>
      </c>
      <c r="L737" s="160" t="s">
        <v>1254</v>
      </c>
      <c r="M737" s="160">
        <v>4615516135</v>
      </c>
      <c r="N737" s="158">
        <v>43544</v>
      </c>
      <c r="O737" s="164">
        <v>3.7890999999999999</v>
      </c>
      <c r="P737" s="165" t="s">
        <v>1323</v>
      </c>
      <c r="Q737" s="34">
        <f>SUMIF(Allocation[Delivery ID],Allocation[[#This Row],[Delivery ID]],Allocation[Quantity Processed])</f>
        <v>536</v>
      </c>
      <c r="R737" s="61">
        <f>Allocation[[#This Row],[Total volume used]]/VLOOKUP(Allocation[[#This Row],[Delivery ID]],Delivery[[Delivery ID]:[Quantity delivered]],3,FALSE)</f>
        <v>1.7988086248846381E-2</v>
      </c>
      <c r="S737" s="34">
        <f>Allocation[[#This Row],[Quantity Processed]]/Allocation[[#This Row],[Dilution rate]]</f>
        <v>214.4</v>
      </c>
      <c r="T737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37" s="61">
        <f>Allocation[[#This Row],[Total volume used]]/VLOOKUP(Allocation[[#This Row],[Delivery ID]],Delivery[[Delivery ID]:[Quantity delivered]],3,FALSE)</f>
        <v>1.7988086248846381E-2</v>
      </c>
      <c r="V737" s="34" t="e">
        <f>VLOOKUP(Allocation[[#This Row],[SAP Contract number]],Shipments[[SAP Contract number]:[Contracted container weight]],2,FALSE)</f>
        <v>#N/A</v>
      </c>
      <c r="W737" s="34" t="e">
        <f>VLOOKUP(Allocation[[#This Row],[SAP Contract number]],Shipments[[SAP Contract number]:[AAA Premium USD]],24,FALSE)</f>
        <v>#N/A</v>
      </c>
      <c r="X737" s="34" t="e">
        <f>VLOOKUP(Allocation[[#This Row],[SAP Contract number]],Shipments[[SAP Contract number]:[RA Premium USD]],25,FALSE)</f>
        <v>#N/A</v>
      </c>
      <c r="Y737" s="38">
        <f>Allocation[[#This Row],[Quantity Processed]]/Allocation[[#This Row],[Quantity allocated]]</f>
        <v>3.0282485875706215</v>
      </c>
      <c r="Z737" s="34" t="b">
        <f>Allocation[[#This Row],[Quantity allocated]]&lt;=Allocation[[#This Row],[Quantity Processed]]</f>
        <v>1</v>
      </c>
    </row>
    <row r="738" spans="1:26">
      <c r="A738" s="247" t="s">
        <v>467</v>
      </c>
      <c r="B738" s="160" t="s">
        <v>68</v>
      </c>
      <c r="C738" s="252" t="s">
        <v>913</v>
      </c>
      <c r="D738" s="250">
        <v>358</v>
      </c>
      <c r="E738" s="160" t="s">
        <v>1237</v>
      </c>
      <c r="F738" s="158">
        <v>43514</v>
      </c>
      <c r="G738" s="162">
        <v>2.5</v>
      </c>
      <c r="H738" s="250">
        <v>118</v>
      </c>
      <c r="I738" s="160">
        <v>1433478</v>
      </c>
      <c r="J738" s="163">
        <v>19175</v>
      </c>
      <c r="K738" s="158">
        <v>43521</v>
      </c>
      <c r="L738" s="160" t="s">
        <v>1254</v>
      </c>
      <c r="M738" s="160">
        <v>4615516135</v>
      </c>
      <c r="N738" s="158">
        <v>43544</v>
      </c>
      <c r="O738" s="164">
        <v>3.7890999999999999</v>
      </c>
      <c r="P738" s="165" t="s">
        <v>1323</v>
      </c>
      <c r="Q738" s="34">
        <f>SUMIF(Allocation[Delivery ID],Allocation[[#This Row],[Delivery ID]],Allocation[Quantity Processed])</f>
        <v>358</v>
      </c>
      <c r="R738" s="61">
        <f>Allocation[[#This Row],[Total volume used]]/VLOOKUP(Allocation[[#This Row],[Delivery ID]],Delivery[[Delivery ID]:[Quantity delivered]],3,FALSE)</f>
        <v>2.5426136363636363E-2</v>
      </c>
      <c r="S738" s="34">
        <f>Allocation[[#This Row],[Quantity Processed]]/Allocation[[#This Row],[Dilution rate]]</f>
        <v>143.19999999999999</v>
      </c>
      <c r="T738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38" s="61">
        <f>Allocation[[#This Row],[Total volume used]]/VLOOKUP(Allocation[[#This Row],[Delivery ID]],Delivery[[Delivery ID]:[Quantity delivered]],3,FALSE)</f>
        <v>2.5426136363636363E-2</v>
      </c>
      <c r="V738" s="34" t="e">
        <f>VLOOKUP(Allocation[[#This Row],[SAP Contract number]],Shipments[[SAP Contract number]:[Contracted container weight]],2,FALSE)</f>
        <v>#N/A</v>
      </c>
      <c r="W738" s="34" t="e">
        <f>VLOOKUP(Allocation[[#This Row],[SAP Contract number]],Shipments[[SAP Contract number]:[AAA Premium USD]],24,FALSE)</f>
        <v>#N/A</v>
      </c>
      <c r="X738" s="34" t="e">
        <f>VLOOKUP(Allocation[[#This Row],[SAP Contract number]],Shipments[[SAP Contract number]:[RA Premium USD]],25,FALSE)</f>
        <v>#N/A</v>
      </c>
      <c r="Y738" s="38">
        <f>Allocation[[#This Row],[Quantity Processed]]/Allocation[[#This Row],[Quantity allocated]]</f>
        <v>3.0338983050847457</v>
      </c>
      <c r="Z738" s="34" t="b">
        <f>Allocation[[#This Row],[Quantity allocated]]&lt;=Allocation[[#This Row],[Quantity Processed]]</f>
        <v>1</v>
      </c>
    </row>
    <row r="739" spans="1:26">
      <c r="A739" s="247" t="s">
        <v>467</v>
      </c>
      <c r="B739" s="160" t="s">
        <v>68</v>
      </c>
      <c r="C739" s="252" t="s">
        <v>914</v>
      </c>
      <c r="D739" s="250">
        <v>716</v>
      </c>
      <c r="E739" s="160" t="s">
        <v>1237</v>
      </c>
      <c r="F739" s="158">
        <v>43514</v>
      </c>
      <c r="G739" s="162">
        <v>2.5</v>
      </c>
      <c r="H739" s="250">
        <v>236.12</v>
      </c>
      <c r="I739" s="160">
        <v>1433478</v>
      </c>
      <c r="J739" s="163">
        <v>19175</v>
      </c>
      <c r="K739" s="158">
        <v>43521</v>
      </c>
      <c r="L739" s="160" t="s">
        <v>1254</v>
      </c>
      <c r="M739" s="160">
        <v>4615516135</v>
      </c>
      <c r="N739" s="158">
        <v>43544</v>
      </c>
      <c r="O739" s="164">
        <v>3.7890999999999999</v>
      </c>
      <c r="P739" s="165" t="s">
        <v>1323</v>
      </c>
      <c r="Q739" s="34">
        <f>SUMIF(Allocation[Delivery ID],Allocation[[#This Row],[Delivery ID]],Allocation[Quantity Processed])</f>
        <v>716</v>
      </c>
      <c r="R739" s="61">
        <f>Allocation[[#This Row],[Total volume used]]/VLOOKUP(Allocation[[#This Row],[Delivery ID]],Delivery[[Delivery ID]:[Quantity delivered]],3,FALSE)</f>
        <v>2.3051786030488883E-2</v>
      </c>
      <c r="S739" s="34">
        <f>Allocation[[#This Row],[Quantity Processed]]/Allocation[[#This Row],[Dilution rate]]</f>
        <v>286.39999999999998</v>
      </c>
      <c r="T739" s="59">
        <f>SUMIF(Allocation[Delivery ID],Allocation[[#This Row],[Delivery ID]],Allocation[Quantity allocated])/SUMIF(Allocation[Delivery ID],Allocation[[#This Row],[Delivery ID]],Allocation[Volume available (kg)])</f>
        <v>0.82444134078212294</v>
      </c>
      <c r="U739" s="61">
        <f>Allocation[[#This Row],[Total volume used]]/VLOOKUP(Allocation[[#This Row],[Delivery ID]],Delivery[[Delivery ID]:[Quantity delivered]],3,FALSE)</f>
        <v>2.3051786030488883E-2</v>
      </c>
      <c r="V739" s="34" t="e">
        <f>VLOOKUP(Allocation[[#This Row],[SAP Contract number]],Shipments[[SAP Contract number]:[Contracted container weight]],2,FALSE)</f>
        <v>#N/A</v>
      </c>
      <c r="W739" s="34" t="e">
        <f>VLOOKUP(Allocation[[#This Row],[SAP Contract number]],Shipments[[SAP Contract number]:[AAA Premium USD]],24,FALSE)</f>
        <v>#N/A</v>
      </c>
      <c r="X739" s="34" t="e">
        <f>VLOOKUP(Allocation[[#This Row],[SAP Contract number]],Shipments[[SAP Contract number]:[RA Premium USD]],25,FALSE)</f>
        <v>#N/A</v>
      </c>
      <c r="Y739" s="38">
        <f>Allocation[[#This Row],[Quantity Processed]]/Allocation[[#This Row],[Quantity allocated]]</f>
        <v>3.03235642893444</v>
      </c>
      <c r="Z739" s="34" t="b">
        <f>Allocation[[#This Row],[Quantity allocated]]&lt;=Allocation[[#This Row],[Quantity Processed]]</f>
        <v>1</v>
      </c>
    </row>
    <row r="740" spans="1:26">
      <c r="A740" s="247" t="s">
        <v>467</v>
      </c>
      <c r="B740" s="160" t="s">
        <v>68</v>
      </c>
      <c r="C740" s="252" t="s">
        <v>915</v>
      </c>
      <c r="D740" s="250">
        <v>536</v>
      </c>
      <c r="E740" s="160" t="s">
        <v>1237</v>
      </c>
      <c r="F740" s="158">
        <v>43514</v>
      </c>
      <c r="G740" s="162">
        <v>2.5</v>
      </c>
      <c r="H740" s="250">
        <v>177</v>
      </c>
      <c r="I740" s="160">
        <v>1433478</v>
      </c>
      <c r="J740" s="163">
        <v>19175</v>
      </c>
      <c r="K740" s="158">
        <v>43521</v>
      </c>
      <c r="L740" s="160" t="s">
        <v>1254</v>
      </c>
      <c r="M740" s="160">
        <v>4615516135</v>
      </c>
      <c r="N740" s="158">
        <v>43544</v>
      </c>
      <c r="O740" s="164">
        <v>3.7890999999999999</v>
      </c>
      <c r="P740" s="165" t="s">
        <v>1323</v>
      </c>
      <c r="Q740" s="34">
        <f>SUMIF(Allocation[Delivery ID],Allocation[[#This Row],[Delivery ID]],Allocation[Quantity Processed])</f>
        <v>536</v>
      </c>
      <c r="R740" s="61">
        <f>Allocation[[#This Row],[Total volume used]]/VLOOKUP(Allocation[[#This Row],[Delivery ID]],Delivery[[Delivery ID]:[Quantity delivered]],3,FALSE)</f>
        <v>2.1511849577589146E-2</v>
      </c>
      <c r="S740" s="34">
        <f>Allocation[[#This Row],[Quantity Processed]]/Allocation[[#This Row],[Dilution rate]]</f>
        <v>214.4</v>
      </c>
      <c r="T740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40" s="61">
        <f>Allocation[[#This Row],[Total volume used]]/VLOOKUP(Allocation[[#This Row],[Delivery ID]],Delivery[[Delivery ID]:[Quantity delivered]],3,FALSE)</f>
        <v>2.1511849577589146E-2</v>
      </c>
      <c r="V740" s="34" t="e">
        <f>VLOOKUP(Allocation[[#This Row],[SAP Contract number]],Shipments[[SAP Contract number]:[Contracted container weight]],2,FALSE)</f>
        <v>#N/A</v>
      </c>
      <c r="W740" s="34" t="e">
        <f>VLOOKUP(Allocation[[#This Row],[SAP Contract number]],Shipments[[SAP Contract number]:[AAA Premium USD]],24,FALSE)</f>
        <v>#N/A</v>
      </c>
      <c r="X740" s="34" t="e">
        <f>VLOOKUP(Allocation[[#This Row],[SAP Contract number]],Shipments[[SAP Contract number]:[RA Premium USD]],25,FALSE)</f>
        <v>#N/A</v>
      </c>
      <c r="Y740" s="38">
        <f>Allocation[[#This Row],[Quantity Processed]]/Allocation[[#This Row],[Quantity allocated]]</f>
        <v>3.0282485875706215</v>
      </c>
      <c r="Z740" s="34" t="b">
        <f>Allocation[[#This Row],[Quantity allocated]]&lt;=Allocation[[#This Row],[Quantity Processed]]</f>
        <v>1</v>
      </c>
    </row>
    <row r="741" spans="1:26">
      <c r="A741" s="247" t="s">
        <v>467</v>
      </c>
      <c r="B741" s="160" t="s">
        <v>68</v>
      </c>
      <c r="C741" s="252" t="s">
        <v>916</v>
      </c>
      <c r="D741" s="250">
        <v>358</v>
      </c>
      <c r="E741" s="160" t="s">
        <v>1237</v>
      </c>
      <c r="F741" s="158">
        <v>43514</v>
      </c>
      <c r="G741" s="162">
        <v>2.5</v>
      </c>
      <c r="H741" s="250">
        <v>118</v>
      </c>
      <c r="I741" s="160">
        <v>1433478</v>
      </c>
      <c r="J741" s="163">
        <v>19175</v>
      </c>
      <c r="K741" s="158">
        <v>43521</v>
      </c>
      <c r="L741" s="160" t="s">
        <v>1254</v>
      </c>
      <c r="M741" s="160">
        <v>4615516135</v>
      </c>
      <c r="N741" s="158">
        <v>43544</v>
      </c>
      <c r="O741" s="164">
        <v>3.7890999999999999</v>
      </c>
      <c r="P741" s="165" t="s">
        <v>1323</v>
      </c>
      <c r="Q741" s="34">
        <f>SUMIF(Allocation[Delivery ID],Allocation[[#This Row],[Delivery ID]],Allocation[Quantity Processed])</f>
        <v>358</v>
      </c>
      <c r="R741" s="61">
        <f>Allocation[[#This Row],[Total volume used]]/VLOOKUP(Allocation[[#This Row],[Delivery ID]],Delivery[[Delivery ID]:[Quantity delivered]],3,FALSE)</f>
        <v>2.2702051428390248E-2</v>
      </c>
      <c r="S741" s="34">
        <f>Allocation[[#This Row],[Quantity Processed]]/Allocation[[#This Row],[Dilution rate]]</f>
        <v>143.19999999999999</v>
      </c>
      <c r="T741" s="59">
        <f>SUMIF(Allocation[Delivery ID],Allocation[[#This Row],[Delivery ID]],Allocation[Quantity allocated])/SUMIF(Allocation[Delivery ID],Allocation[[#This Row],[Delivery ID]],Allocation[Volume available (kg)])</f>
        <v>0.82402234636871519</v>
      </c>
      <c r="U741" s="61">
        <f>Allocation[[#This Row],[Total volume used]]/VLOOKUP(Allocation[[#This Row],[Delivery ID]],Delivery[[Delivery ID]:[Quantity delivered]],3,FALSE)</f>
        <v>2.2702051428390248E-2</v>
      </c>
      <c r="V741" s="34" t="e">
        <f>VLOOKUP(Allocation[[#This Row],[SAP Contract number]],Shipments[[SAP Contract number]:[Contracted container weight]],2,FALSE)</f>
        <v>#N/A</v>
      </c>
      <c r="W741" s="34" t="e">
        <f>VLOOKUP(Allocation[[#This Row],[SAP Contract number]],Shipments[[SAP Contract number]:[AAA Premium USD]],24,FALSE)</f>
        <v>#N/A</v>
      </c>
      <c r="X741" s="34" t="e">
        <f>VLOOKUP(Allocation[[#This Row],[SAP Contract number]],Shipments[[SAP Contract number]:[RA Premium USD]],25,FALSE)</f>
        <v>#N/A</v>
      </c>
      <c r="Y741" s="38">
        <f>Allocation[[#This Row],[Quantity Processed]]/Allocation[[#This Row],[Quantity allocated]]</f>
        <v>3.0338983050847457</v>
      </c>
      <c r="Z741" s="34" t="b">
        <f>Allocation[[#This Row],[Quantity allocated]]&lt;=Allocation[[#This Row],[Quantity Processed]]</f>
        <v>1</v>
      </c>
    </row>
    <row r="742" spans="1:26">
      <c r="A742" s="247" t="s">
        <v>467</v>
      </c>
      <c r="B742" s="160" t="s">
        <v>68</v>
      </c>
      <c r="C742" s="252" t="s">
        <v>918</v>
      </c>
      <c r="D742" s="250">
        <v>536</v>
      </c>
      <c r="E742" s="160" t="s">
        <v>1237</v>
      </c>
      <c r="F742" s="158">
        <v>43514</v>
      </c>
      <c r="G742" s="162">
        <v>2.5</v>
      </c>
      <c r="H742" s="250">
        <v>177</v>
      </c>
      <c r="I742" s="160">
        <v>1433478</v>
      </c>
      <c r="J742" s="163">
        <v>19175</v>
      </c>
      <c r="K742" s="158">
        <v>43521</v>
      </c>
      <c r="L742" s="160" t="s">
        <v>1254</v>
      </c>
      <c r="M742" s="160">
        <v>4615516135</v>
      </c>
      <c r="N742" s="158">
        <v>43544</v>
      </c>
      <c r="O742" s="164">
        <v>3.7890999999999999</v>
      </c>
      <c r="P742" s="165" t="s">
        <v>1323</v>
      </c>
      <c r="Q742" s="34">
        <f>SUMIF(Allocation[Delivery ID],Allocation[[#This Row],[Delivery ID]],Allocation[Quantity Processed])</f>
        <v>536</v>
      </c>
      <c r="R742" s="61">
        <f>Allocation[[#This Row],[Total volume used]]/VLOOKUP(Allocation[[#This Row],[Delivery ID]],Delivery[[Delivery ID]:[Quantity delivered]],3,FALSE)</f>
        <v>1.78369384359401E-2</v>
      </c>
      <c r="S742" s="34">
        <f>Allocation[[#This Row],[Quantity Processed]]/Allocation[[#This Row],[Dilution rate]]</f>
        <v>214.4</v>
      </c>
      <c r="T742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42" s="61">
        <f>Allocation[[#This Row],[Total volume used]]/VLOOKUP(Allocation[[#This Row],[Delivery ID]],Delivery[[Delivery ID]:[Quantity delivered]],3,FALSE)</f>
        <v>1.78369384359401E-2</v>
      </c>
      <c r="V742" s="34" t="e">
        <f>VLOOKUP(Allocation[[#This Row],[SAP Contract number]],Shipments[[SAP Contract number]:[Contracted container weight]],2,FALSE)</f>
        <v>#N/A</v>
      </c>
      <c r="W742" s="34" t="e">
        <f>VLOOKUP(Allocation[[#This Row],[SAP Contract number]],Shipments[[SAP Contract number]:[AAA Premium USD]],24,FALSE)</f>
        <v>#N/A</v>
      </c>
      <c r="X742" s="34" t="e">
        <f>VLOOKUP(Allocation[[#This Row],[SAP Contract number]],Shipments[[SAP Contract number]:[RA Premium USD]],25,FALSE)</f>
        <v>#N/A</v>
      </c>
      <c r="Y742" s="38">
        <f>Allocation[[#This Row],[Quantity Processed]]/Allocation[[#This Row],[Quantity allocated]]</f>
        <v>3.0282485875706215</v>
      </c>
      <c r="Z742" s="34" t="b">
        <f>Allocation[[#This Row],[Quantity allocated]]&lt;=Allocation[[#This Row],[Quantity Processed]]</f>
        <v>1</v>
      </c>
    </row>
    <row r="743" spans="1:26">
      <c r="A743" s="247" t="s">
        <v>467</v>
      </c>
      <c r="B743" s="160" t="s">
        <v>68</v>
      </c>
      <c r="C743" s="252" t="s">
        <v>920</v>
      </c>
      <c r="D743" s="250">
        <v>536</v>
      </c>
      <c r="E743" s="160" t="s">
        <v>1237</v>
      </c>
      <c r="F743" s="158">
        <v>43514</v>
      </c>
      <c r="G743" s="162">
        <v>2.5</v>
      </c>
      <c r="H743" s="250">
        <v>177</v>
      </c>
      <c r="I743" s="160">
        <v>1433478</v>
      </c>
      <c r="J743" s="163">
        <v>19175</v>
      </c>
      <c r="K743" s="158">
        <v>43521</v>
      </c>
      <c r="L743" s="160" t="s">
        <v>1254</v>
      </c>
      <c r="M743" s="160">
        <v>4615516135</v>
      </c>
      <c r="N743" s="158">
        <v>43544</v>
      </c>
      <c r="O743" s="164">
        <v>3.7890999999999999</v>
      </c>
      <c r="P743" s="165" t="s">
        <v>1323</v>
      </c>
      <c r="Q743" s="34">
        <f>SUMIF(Allocation[Delivery ID],Allocation[[#This Row],[Delivery ID]],Allocation[Quantity Processed])</f>
        <v>536</v>
      </c>
      <c r="R743" s="61">
        <f>Allocation[[#This Row],[Total volume used]]/VLOOKUP(Allocation[[#This Row],[Delivery ID]],Delivery[[Delivery ID]:[Quantity delivered]],3,FALSE)</f>
        <v>1.78369384359401E-2</v>
      </c>
      <c r="S743" s="34">
        <f>Allocation[[#This Row],[Quantity Processed]]/Allocation[[#This Row],[Dilution rate]]</f>
        <v>214.4</v>
      </c>
      <c r="T743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43" s="61">
        <f>Allocation[[#This Row],[Total volume used]]/VLOOKUP(Allocation[[#This Row],[Delivery ID]],Delivery[[Delivery ID]:[Quantity delivered]],3,FALSE)</f>
        <v>1.78369384359401E-2</v>
      </c>
      <c r="V743" s="34" t="e">
        <f>VLOOKUP(Allocation[[#This Row],[SAP Contract number]],Shipments[[SAP Contract number]:[Contracted container weight]],2,FALSE)</f>
        <v>#N/A</v>
      </c>
      <c r="W743" s="34" t="e">
        <f>VLOOKUP(Allocation[[#This Row],[SAP Contract number]],Shipments[[SAP Contract number]:[AAA Premium USD]],24,FALSE)</f>
        <v>#N/A</v>
      </c>
      <c r="X743" s="34" t="e">
        <f>VLOOKUP(Allocation[[#This Row],[SAP Contract number]],Shipments[[SAP Contract number]:[RA Premium USD]],25,FALSE)</f>
        <v>#N/A</v>
      </c>
      <c r="Y743" s="38">
        <f>Allocation[[#This Row],[Quantity Processed]]/Allocation[[#This Row],[Quantity allocated]]</f>
        <v>3.0282485875706215</v>
      </c>
      <c r="Z743" s="34" t="b">
        <f>Allocation[[#This Row],[Quantity allocated]]&lt;=Allocation[[#This Row],[Quantity Processed]]</f>
        <v>1</v>
      </c>
    </row>
    <row r="744" spans="1:26">
      <c r="A744" s="247" t="s">
        <v>467</v>
      </c>
      <c r="B744" s="160" t="s">
        <v>68</v>
      </c>
      <c r="C744" s="252" t="s">
        <v>921</v>
      </c>
      <c r="D744" s="250">
        <v>536</v>
      </c>
      <c r="E744" s="160" t="s">
        <v>1237</v>
      </c>
      <c r="F744" s="158">
        <v>43514</v>
      </c>
      <c r="G744" s="162">
        <v>2.5</v>
      </c>
      <c r="H744" s="250">
        <v>177</v>
      </c>
      <c r="I744" s="160">
        <v>1433478</v>
      </c>
      <c r="J744" s="163">
        <v>19175</v>
      </c>
      <c r="K744" s="158">
        <v>43521</v>
      </c>
      <c r="L744" s="160" t="s">
        <v>1254</v>
      </c>
      <c r="M744" s="160">
        <v>4615516135</v>
      </c>
      <c r="N744" s="158">
        <v>43544</v>
      </c>
      <c r="O744" s="164">
        <v>3.7890999999999999</v>
      </c>
      <c r="P744" s="165" t="s">
        <v>1323</v>
      </c>
      <c r="Q744" s="34">
        <f>SUMIF(Allocation[Delivery ID],Allocation[[#This Row],[Delivery ID]],Allocation[Quantity Processed])</f>
        <v>536</v>
      </c>
      <c r="R744" s="61">
        <f>Allocation[[#This Row],[Total volume used]]/VLOOKUP(Allocation[[#This Row],[Delivery ID]],Delivery[[Delivery ID]:[Quantity delivered]],3,FALSE)</f>
        <v>1.6897856242118536E-2</v>
      </c>
      <c r="S744" s="34">
        <f>Allocation[[#This Row],[Quantity Processed]]/Allocation[[#This Row],[Dilution rate]]</f>
        <v>214.4</v>
      </c>
      <c r="T744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44" s="61">
        <f>Allocation[[#This Row],[Total volume used]]/VLOOKUP(Allocation[[#This Row],[Delivery ID]],Delivery[[Delivery ID]:[Quantity delivered]],3,FALSE)</f>
        <v>1.6897856242118536E-2</v>
      </c>
      <c r="V744" s="34" t="e">
        <f>VLOOKUP(Allocation[[#This Row],[SAP Contract number]],Shipments[[SAP Contract number]:[Contracted container weight]],2,FALSE)</f>
        <v>#N/A</v>
      </c>
      <c r="W744" s="34" t="e">
        <f>VLOOKUP(Allocation[[#This Row],[SAP Contract number]],Shipments[[SAP Contract number]:[AAA Premium USD]],24,FALSE)</f>
        <v>#N/A</v>
      </c>
      <c r="X744" s="34" t="e">
        <f>VLOOKUP(Allocation[[#This Row],[SAP Contract number]],Shipments[[SAP Contract number]:[RA Premium USD]],25,FALSE)</f>
        <v>#N/A</v>
      </c>
      <c r="Y744" s="38">
        <f>Allocation[[#This Row],[Quantity Processed]]/Allocation[[#This Row],[Quantity allocated]]</f>
        <v>3.0282485875706215</v>
      </c>
      <c r="Z744" s="34" t="b">
        <f>Allocation[[#This Row],[Quantity allocated]]&lt;=Allocation[[#This Row],[Quantity Processed]]</f>
        <v>1</v>
      </c>
    </row>
    <row r="745" spans="1:26">
      <c r="A745" s="247" t="s">
        <v>467</v>
      </c>
      <c r="B745" s="160" t="s">
        <v>68</v>
      </c>
      <c r="C745" s="252" t="s">
        <v>922</v>
      </c>
      <c r="D745" s="250">
        <v>536</v>
      </c>
      <c r="E745" s="160" t="s">
        <v>1237</v>
      </c>
      <c r="F745" s="158">
        <v>43514</v>
      </c>
      <c r="G745" s="162">
        <v>2.5</v>
      </c>
      <c r="H745" s="250">
        <v>177</v>
      </c>
      <c r="I745" s="160">
        <v>1433478</v>
      </c>
      <c r="J745" s="163">
        <v>19175</v>
      </c>
      <c r="K745" s="158">
        <v>43521</v>
      </c>
      <c r="L745" s="160" t="s">
        <v>1254</v>
      </c>
      <c r="M745" s="160">
        <v>4615516135</v>
      </c>
      <c r="N745" s="158">
        <v>43544</v>
      </c>
      <c r="O745" s="164">
        <v>3.7890999999999999</v>
      </c>
      <c r="P745" s="165" t="s">
        <v>1323</v>
      </c>
      <c r="Q745" s="34">
        <f>SUMIF(Allocation[Delivery ID],Allocation[[#This Row],[Delivery ID]],Allocation[Quantity Processed])</f>
        <v>536</v>
      </c>
      <c r="R745" s="61">
        <f>Allocation[[#This Row],[Total volume used]]/VLOOKUP(Allocation[[#This Row],[Delivery ID]],Delivery[[Delivery ID]:[Quantity delivered]],3,FALSE)</f>
        <v>1.6739537788881948E-2</v>
      </c>
      <c r="S745" s="34">
        <f>Allocation[[#This Row],[Quantity Processed]]/Allocation[[#This Row],[Dilution rate]]</f>
        <v>214.4</v>
      </c>
      <c r="T745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45" s="61">
        <f>Allocation[[#This Row],[Total volume used]]/VLOOKUP(Allocation[[#This Row],[Delivery ID]],Delivery[[Delivery ID]:[Quantity delivered]],3,FALSE)</f>
        <v>1.6739537788881948E-2</v>
      </c>
      <c r="V745" s="34" t="e">
        <f>VLOOKUP(Allocation[[#This Row],[SAP Contract number]],Shipments[[SAP Contract number]:[Contracted container weight]],2,FALSE)</f>
        <v>#N/A</v>
      </c>
      <c r="W745" s="34" t="e">
        <f>VLOOKUP(Allocation[[#This Row],[SAP Contract number]],Shipments[[SAP Contract number]:[AAA Premium USD]],24,FALSE)</f>
        <v>#N/A</v>
      </c>
      <c r="X745" s="34" t="e">
        <f>VLOOKUP(Allocation[[#This Row],[SAP Contract number]],Shipments[[SAP Contract number]:[RA Premium USD]],25,FALSE)</f>
        <v>#N/A</v>
      </c>
      <c r="Y745" s="38">
        <f>Allocation[[#This Row],[Quantity Processed]]/Allocation[[#This Row],[Quantity allocated]]</f>
        <v>3.0282485875706215</v>
      </c>
      <c r="Z745" s="34" t="b">
        <f>Allocation[[#This Row],[Quantity allocated]]&lt;=Allocation[[#This Row],[Quantity Processed]]</f>
        <v>1</v>
      </c>
    </row>
    <row r="746" spans="1:26">
      <c r="A746" s="247" t="s">
        <v>467</v>
      </c>
      <c r="B746" s="160" t="s">
        <v>68</v>
      </c>
      <c r="C746" s="252" t="s">
        <v>923</v>
      </c>
      <c r="D746" s="250">
        <v>536</v>
      </c>
      <c r="E746" s="160" t="s">
        <v>1237</v>
      </c>
      <c r="F746" s="158">
        <v>43514</v>
      </c>
      <c r="G746" s="162">
        <v>2.5</v>
      </c>
      <c r="H746" s="250">
        <v>177</v>
      </c>
      <c r="I746" s="160">
        <v>1433478</v>
      </c>
      <c r="J746" s="163">
        <v>19175</v>
      </c>
      <c r="K746" s="158">
        <v>43521</v>
      </c>
      <c r="L746" s="160" t="s">
        <v>1254</v>
      </c>
      <c r="M746" s="160">
        <v>4615516135</v>
      </c>
      <c r="N746" s="158">
        <v>43544</v>
      </c>
      <c r="O746" s="164">
        <v>3.7890999999999999</v>
      </c>
      <c r="P746" s="165" t="s">
        <v>1323</v>
      </c>
      <c r="Q746" s="34">
        <f>SUMIF(Allocation[Delivery ID],Allocation[[#This Row],[Delivery ID]],Allocation[Quantity Processed])</f>
        <v>536</v>
      </c>
      <c r="R746" s="61">
        <f>Allocation[[#This Row],[Total volume used]]/VLOOKUP(Allocation[[#This Row],[Delivery ID]],Delivery[[Delivery ID]:[Quantity delivered]],3,FALSE)</f>
        <v>1.6802507836990596E-2</v>
      </c>
      <c r="S746" s="34">
        <f>Allocation[[#This Row],[Quantity Processed]]/Allocation[[#This Row],[Dilution rate]]</f>
        <v>214.4</v>
      </c>
      <c r="T746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46" s="61">
        <f>Allocation[[#This Row],[Total volume used]]/VLOOKUP(Allocation[[#This Row],[Delivery ID]],Delivery[[Delivery ID]:[Quantity delivered]],3,FALSE)</f>
        <v>1.6802507836990596E-2</v>
      </c>
      <c r="V746" s="34" t="e">
        <f>VLOOKUP(Allocation[[#This Row],[SAP Contract number]],Shipments[[SAP Contract number]:[Contracted container weight]],2,FALSE)</f>
        <v>#N/A</v>
      </c>
      <c r="W746" s="34" t="e">
        <f>VLOOKUP(Allocation[[#This Row],[SAP Contract number]],Shipments[[SAP Contract number]:[AAA Premium USD]],24,FALSE)</f>
        <v>#N/A</v>
      </c>
      <c r="X746" s="34" t="e">
        <f>VLOOKUP(Allocation[[#This Row],[SAP Contract number]],Shipments[[SAP Contract number]:[RA Premium USD]],25,FALSE)</f>
        <v>#N/A</v>
      </c>
      <c r="Y746" s="38">
        <f>Allocation[[#This Row],[Quantity Processed]]/Allocation[[#This Row],[Quantity allocated]]</f>
        <v>3.0282485875706215</v>
      </c>
      <c r="Z746" s="34" t="b">
        <f>Allocation[[#This Row],[Quantity allocated]]&lt;=Allocation[[#This Row],[Quantity Processed]]</f>
        <v>1</v>
      </c>
    </row>
    <row r="747" spans="1:26">
      <c r="A747" s="247" t="s">
        <v>467</v>
      </c>
      <c r="B747" s="160" t="s">
        <v>68</v>
      </c>
      <c r="C747" s="252" t="s">
        <v>924</v>
      </c>
      <c r="D747" s="250">
        <v>536</v>
      </c>
      <c r="E747" s="160" t="s">
        <v>1237</v>
      </c>
      <c r="F747" s="158">
        <v>43514</v>
      </c>
      <c r="G747" s="162">
        <v>2.5</v>
      </c>
      <c r="H747" s="250">
        <v>177</v>
      </c>
      <c r="I747" s="160">
        <v>1433478</v>
      </c>
      <c r="J747" s="163">
        <v>19175</v>
      </c>
      <c r="K747" s="158">
        <v>43521</v>
      </c>
      <c r="L747" s="160" t="s">
        <v>1254</v>
      </c>
      <c r="M747" s="160">
        <v>4615516135</v>
      </c>
      <c r="N747" s="158">
        <v>43544</v>
      </c>
      <c r="O747" s="164">
        <v>3.7890999999999999</v>
      </c>
      <c r="P747" s="165" t="s">
        <v>1323</v>
      </c>
      <c r="Q747" s="34">
        <f>SUMIF(Allocation[Delivery ID],Allocation[[#This Row],[Delivery ID]],Allocation[Quantity Processed])</f>
        <v>536</v>
      </c>
      <c r="R747" s="61">
        <f>Allocation[[#This Row],[Total volume used]]/VLOOKUP(Allocation[[#This Row],[Delivery ID]],Delivery[[Delivery ID]:[Quantity delivered]],3,FALSE)</f>
        <v>1.6671850699844479E-2</v>
      </c>
      <c r="S747" s="34">
        <f>Allocation[[#This Row],[Quantity Processed]]/Allocation[[#This Row],[Dilution rate]]</f>
        <v>214.4</v>
      </c>
      <c r="T747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47" s="61">
        <f>Allocation[[#This Row],[Total volume used]]/VLOOKUP(Allocation[[#This Row],[Delivery ID]],Delivery[[Delivery ID]:[Quantity delivered]],3,FALSE)</f>
        <v>1.6671850699844479E-2</v>
      </c>
      <c r="V747" s="34" t="e">
        <f>VLOOKUP(Allocation[[#This Row],[SAP Contract number]],Shipments[[SAP Contract number]:[Contracted container weight]],2,FALSE)</f>
        <v>#N/A</v>
      </c>
      <c r="W747" s="34" t="e">
        <f>VLOOKUP(Allocation[[#This Row],[SAP Contract number]],Shipments[[SAP Contract number]:[AAA Premium USD]],24,FALSE)</f>
        <v>#N/A</v>
      </c>
      <c r="X747" s="34" t="e">
        <f>VLOOKUP(Allocation[[#This Row],[SAP Contract number]],Shipments[[SAP Contract number]:[RA Premium USD]],25,FALSE)</f>
        <v>#N/A</v>
      </c>
      <c r="Y747" s="38">
        <f>Allocation[[#This Row],[Quantity Processed]]/Allocation[[#This Row],[Quantity allocated]]</f>
        <v>3.0282485875706215</v>
      </c>
      <c r="Z747" s="34" t="b">
        <f>Allocation[[#This Row],[Quantity allocated]]&lt;=Allocation[[#This Row],[Quantity Processed]]</f>
        <v>1</v>
      </c>
    </row>
    <row r="748" spans="1:26">
      <c r="A748" s="247" t="s">
        <v>467</v>
      </c>
      <c r="B748" s="160" t="s">
        <v>68</v>
      </c>
      <c r="C748" s="252" t="s">
        <v>925</v>
      </c>
      <c r="D748" s="250">
        <v>536</v>
      </c>
      <c r="E748" s="160" t="s">
        <v>1237</v>
      </c>
      <c r="F748" s="158">
        <v>43514</v>
      </c>
      <c r="G748" s="162">
        <v>2.5</v>
      </c>
      <c r="H748" s="250">
        <v>177</v>
      </c>
      <c r="I748" s="160">
        <v>1433478</v>
      </c>
      <c r="J748" s="163">
        <v>19175</v>
      </c>
      <c r="K748" s="158">
        <v>43521</v>
      </c>
      <c r="L748" s="160" t="s">
        <v>1254</v>
      </c>
      <c r="M748" s="160">
        <v>4615516135</v>
      </c>
      <c r="N748" s="158">
        <v>43544</v>
      </c>
      <c r="O748" s="164">
        <v>3.7890999999999999</v>
      </c>
      <c r="P748" s="165" t="s">
        <v>1323</v>
      </c>
      <c r="Q748" s="34">
        <f>SUMIF(Allocation[Delivery ID],Allocation[[#This Row],[Delivery ID]],Allocation[Quantity Processed])</f>
        <v>536</v>
      </c>
      <c r="R748" s="61">
        <f>Allocation[[#This Row],[Total volume used]]/VLOOKUP(Allocation[[#This Row],[Delivery ID]],Delivery[[Delivery ID]:[Quantity delivered]],3,FALSE)</f>
        <v>1.6908517350157727E-2</v>
      </c>
      <c r="S748" s="34">
        <f>Allocation[[#This Row],[Quantity Processed]]/Allocation[[#This Row],[Dilution rate]]</f>
        <v>214.4</v>
      </c>
      <c r="T748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48" s="61">
        <f>Allocation[[#This Row],[Total volume used]]/VLOOKUP(Allocation[[#This Row],[Delivery ID]],Delivery[[Delivery ID]:[Quantity delivered]],3,FALSE)</f>
        <v>1.6908517350157727E-2</v>
      </c>
      <c r="V748" s="34" t="e">
        <f>VLOOKUP(Allocation[[#This Row],[SAP Contract number]],Shipments[[SAP Contract number]:[Contracted container weight]],2,FALSE)</f>
        <v>#N/A</v>
      </c>
      <c r="W748" s="34" t="e">
        <f>VLOOKUP(Allocation[[#This Row],[SAP Contract number]],Shipments[[SAP Contract number]:[AAA Premium USD]],24,FALSE)</f>
        <v>#N/A</v>
      </c>
      <c r="X748" s="34" t="e">
        <f>VLOOKUP(Allocation[[#This Row],[SAP Contract number]],Shipments[[SAP Contract number]:[RA Premium USD]],25,FALSE)</f>
        <v>#N/A</v>
      </c>
      <c r="Y748" s="38">
        <f>Allocation[[#This Row],[Quantity Processed]]/Allocation[[#This Row],[Quantity allocated]]</f>
        <v>3.0282485875706215</v>
      </c>
      <c r="Z748" s="34" t="b">
        <f>Allocation[[#This Row],[Quantity allocated]]&lt;=Allocation[[#This Row],[Quantity Processed]]</f>
        <v>1</v>
      </c>
    </row>
    <row r="749" spans="1:26">
      <c r="A749" s="247" t="s">
        <v>467</v>
      </c>
      <c r="B749" s="160" t="s">
        <v>68</v>
      </c>
      <c r="C749" s="252" t="s">
        <v>926</v>
      </c>
      <c r="D749" s="250">
        <v>536</v>
      </c>
      <c r="E749" s="160" t="s">
        <v>1237</v>
      </c>
      <c r="F749" s="158">
        <v>43514</v>
      </c>
      <c r="G749" s="162">
        <v>2.5</v>
      </c>
      <c r="H749" s="250">
        <v>177</v>
      </c>
      <c r="I749" s="160">
        <v>1433478</v>
      </c>
      <c r="J749" s="163">
        <v>19175</v>
      </c>
      <c r="K749" s="158">
        <v>43521</v>
      </c>
      <c r="L749" s="160" t="s">
        <v>1254</v>
      </c>
      <c r="M749" s="160">
        <v>4615516135</v>
      </c>
      <c r="N749" s="158">
        <v>43544</v>
      </c>
      <c r="O749" s="164">
        <v>3.7890999999999999</v>
      </c>
      <c r="P749" s="165" t="s">
        <v>1323</v>
      </c>
      <c r="Q749" s="34">
        <f>SUMIF(Allocation[Delivery ID],Allocation[[#This Row],[Delivery ID]],Allocation[Quantity Processed])</f>
        <v>536</v>
      </c>
      <c r="R749" s="61">
        <f>Allocation[[#This Row],[Total volume used]]/VLOOKUP(Allocation[[#This Row],[Delivery ID]],Delivery[[Delivery ID]:[Quantity delivered]],3,FALSE)</f>
        <v>1.7196021815848572E-2</v>
      </c>
      <c r="S749" s="34">
        <f>Allocation[[#This Row],[Quantity Processed]]/Allocation[[#This Row],[Dilution rate]]</f>
        <v>214.4</v>
      </c>
      <c r="T749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49" s="61">
        <f>Allocation[[#This Row],[Total volume used]]/VLOOKUP(Allocation[[#This Row],[Delivery ID]],Delivery[[Delivery ID]:[Quantity delivered]],3,FALSE)</f>
        <v>1.7196021815848572E-2</v>
      </c>
      <c r="V749" s="34" t="e">
        <f>VLOOKUP(Allocation[[#This Row],[SAP Contract number]],Shipments[[SAP Contract number]:[Contracted container weight]],2,FALSE)</f>
        <v>#N/A</v>
      </c>
      <c r="W749" s="34" t="e">
        <f>VLOOKUP(Allocation[[#This Row],[SAP Contract number]],Shipments[[SAP Contract number]:[AAA Premium USD]],24,FALSE)</f>
        <v>#N/A</v>
      </c>
      <c r="X749" s="34" t="e">
        <f>VLOOKUP(Allocation[[#This Row],[SAP Contract number]],Shipments[[SAP Contract number]:[RA Premium USD]],25,FALSE)</f>
        <v>#N/A</v>
      </c>
      <c r="Y749" s="38">
        <f>Allocation[[#This Row],[Quantity Processed]]/Allocation[[#This Row],[Quantity allocated]]</f>
        <v>3.0282485875706215</v>
      </c>
      <c r="Z749" s="34" t="b">
        <f>Allocation[[#This Row],[Quantity allocated]]&lt;=Allocation[[#This Row],[Quantity Processed]]</f>
        <v>1</v>
      </c>
    </row>
    <row r="750" spans="1:26">
      <c r="A750" s="247" t="s">
        <v>467</v>
      </c>
      <c r="B750" s="160" t="s">
        <v>68</v>
      </c>
      <c r="C750" s="252" t="s">
        <v>928</v>
      </c>
      <c r="D750" s="250">
        <v>536</v>
      </c>
      <c r="E750" s="160" t="s">
        <v>1237</v>
      </c>
      <c r="F750" s="158">
        <v>43514</v>
      </c>
      <c r="G750" s="162">
        <v>2.5</v>
      </c>
      <c r="H750" s="250">
        <v>177</v>
      </c>
      <c r="I750" s="160">
        <v>1433478</v>
      </c>
      <c r="J750" s="163">
        <v>19175</v>
      </c>
      <c r="K750" s="158">
        <v>43521</v>
      </c>
      <c r="L750" s="160" t="s">
        <v>1254</v>
      </c>
      <c r="M750" s="160">
        <v>4615516135</v>
      </c>
      <c r="N750" s="158">
        <v>43544</v>
      </c>
      <c r="O750" s="164">
        <v>3.7890999999999999</v>
      </c>
      <c r="P750" s="165" t="s">
        <v>1323</v>
      </c>
      <c r="Q750" s="34">
        <f>SUMIF(Allocation[Delivery ID],Allocation[[#This Row],[Delivery ID]],Allocation[Quantity Processed])</f>
        <v>536</v>
      </c>
      <c r="R750" s="61">
        <f>Allocation[[#This Row],[Total volume used]]/VLOOKUP(Allocation[[#This Row],[Delivery ID]],Delivery[[Delivery ID]:[Quantity delivered]],3,FALSE)</f>
        <v>1.7190506735086594E-2</v>
      </c>
      <c r="S750" s="34">
        <f>Allocation[[#This Row],[Quantity Processed]]/Allocation[[#This Row],[Dilution rate]]</f>
        <v>214.4</v>
      </c>
      <c r="T750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50" s="61">
        <f>Allocation[[#This Row],[Total volume used]]/VLOOKUP(Allocation[[#This Row],[Delivery ID]],Delivery[[Delivery ID]:[Quantity delivered]],3,FALSE)</f>
        <v>1.7190506735086594E-2</v>
      </c>
      <c r="V750" s="34" t="e">
        <f>VLOOKUP(Allocation[[#This Row],[SAP Contract number]],Shipments[[SAP Contract number]:[Contracted container weight]],2,FALSE)</f>
        <v>#N/A</v>
      </c>
      <c r="W750" s="34" t="e">
        <f>VLOOKUP(Allocation[[#This Row],[SAP Contract number]],Shipments[[SAP Contract number]:[AAA Premium USD]],24,FALSE)</f>
        <v>#N/A</v>
      </c>
      <c r="X750" s="34" t="e">
        <f>VLOOKUP(Allocation[[#This Row],[SAP Contract number]],Shipments[[SAP Contract number]:[RA Premium USD]],25,FALSE)</f>
        <v>#N/A</v>
      </c>
      <c r="Y750" s="38">
        <f>Allocation[[#This Row],[Quantity Processed]]/Allocation[[#This Row],[Quantity allocated]]</f>
        <v>3.0282485875706215</v>
      </c>
      <c r="Z750" s="34" t="b">
        <f>Allocation[[#This Row],[Quantity allocated]]&lt;=Allocation[[#This Row],[Quantity Processed]]</f>
        <v>1</v>
      </c>
    </row>
    <row r="751" spans="1:26">
      <c r="A751" s="247" t="s">
        <v>467</v>
      </c>
      <c r="B751" s="160" t="s">
        <v>68</v>
      </c>
      <c r="C751" s="252" t="s">
        <v>929</v>
      </c>
      <c r="D751" s="250">
        <v>536</v>
      </c>
      <c r="E751" s="160" t="s">
        <v>1237</v>
      </c>
      <c r="F751" s="158">
        <v>43514</v>
      </c>
      <c r="G751" s="162">
        <v>2.5</v>
      </c>
      <c r="H751" s="250">
        <v>177</v>
      </c>
      <c r="I751" s="160">
        <v>1433478</v>
      </c>
      <c r="J751" s="163">
        <v>19175</v>
      </c>
      <c r="K751" s="158">
        <v>43521</v>
      </c>
      <c r="L751" s="160" t="s">
        <v>1254</v>
      </c>
      <c r="M751" s="160">
        <v>4615516135</v>
      </c>
      <c r="N751" s="158">
        <v>43544</v>
      </c>
      <c r="O751" s="164">
        <v>3.7890999999999999</v>
      </c>
      <c r="P751" s="165" t="s">
        <v>1323</v>
      </c>
      <c r="Q751" s="34">
        <f>SUMIF(Allocation[Delivery ID],Allocation[[#This Row],[Delivery ID]],Allocation[Quantity Processed])</f>
        <v>536</v>
      </c>
      <c r="R751" s="61">
        <f>Allocation[[#This Row],[Total volume used]]/VLOOKUP(Allocation[[#This Row],[Delivery ID]],Delivery[[Delivery ID]:[Quantity delivered]],3,FALSE)</f>
        <v>1.7179487179487179E-2</v>
      </c>
      <c r="S751" s="34">
        <f>Allocation[[#This Row],[Quantity Processed]]/Allocation[[#This Row],[Dilution rate]]</f>
        <v>214.4</v>
      </c>
      <c r="T751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51" s="61">
        <f>Allocation[[#This Row],[Total volume used]]/VLOOKUP(Allocation[[#This Row],[Delivery ID]],Delivery[[Delivery ID]:[Quantity delivered]],3,FALSE)</f>
        <v>1.7179487179487179E-2</v>
      </c>
      <c r="V751" s="34" t="e">
        <f>VLOOKUP(Allocation[[#This Row],[SAP Contract number]],Shipments[[SAP Contract number]:[Contracted container weight]],2,FALSE)</f>
        <v>#N/A</v>
      </c>
      <c r="W751" s="34" t="e">
        <f>VLOOKUP(Allocation[[#This Row],[SAP Contract number]],Shipments[[SAP Contract number]:[AAA Premium USD]],24,FALSE)</f>
        <v>#N/A</v>
      </c>
      <c r="X751" s="34" t="e">
        <f>VLOOKUP(Allocation[[#This Row],[SAP Contract number]],Shipments[[SAP Contract number]:[RA Premium USD]],25,FALSE)</f>
        <v>#N/A</v>
      </c>
      <c r="Y751" s="38">
        <f>Allocation[[#This Row],[Quantity Processed]]/Allocation[[#This Row],[Quantity allocated]]</f>
        <v>3.0282485875706215</v>
      </c>
      <c r="Z751" s="34" t="b">
        <f>Allocation[[#This Row],[Quantity allocated]]&lt;=Allocation[[#This Row],[Quantity Processed]]</f>
        <v>1</v>
      </c>
    </row>
    <row r="752" spans="1:26">
      <c r="A752" s="247" t="s">
        <v>467</v>
      </c>
      <c r="B752" s="160" t="s">
        <v>68</v>
      </c>
      <c r="C752" s="252" t="s">
        <v>930</v>
      </c>
      <c r="D752" s="250">
        <v>536</v>
      </c>
      <c r="E752" s="160" t="s">
        <v>1237</v>
      </c>
      <c r="F752" s="158">
        <v>43514</v>
      </c>
      <c r="G752" s="162">
        <v>2.5</v>
      </c>
      <c r="H752" s="250">
        <v>177</v>
      </c>
      <c r="I752" s="160">
        <v>1433478</v>
      </c>
      <c r="J752" s="163">
        <v>19175</v>
      </c>
      <c r="K752" s="158">
        <v>43521</v>
      </c>
      <c r="L752" s="160" t="s">
        <v>1254</v>
      </c>
      <c r="M752" s="160">
        <v>4615516135</v>
      </c>
      <c r="N752" s="158">
        <v>43544</v>
      </c>
      <c r="O752" s="164">
        <v>3.7890999999999999</v>
      </c>
      <c r="P752" s="165" t="s">
        <v>1323</v>
      </c>
      <c r="Q752" s="34">
        <f>SUMIF(Allocation[Delivery ID],Allocation[[#This Row],[Delivery ID]],Allocation[Quantity Processed])</f>
        <v>536</v>
      </c>
      <c r="R752" s="61">
        <f>Allocation[[#This Row],[Total volume used]]/VLOOKUP(Allocation[[#This Row],[Delivery ID]],Delivery[[Delivery ID]:[Quantity delivered]],3,FALSE)</f>
        <v>1.7234726688102893E-2</v>
      </c>
      <c r="S752" s="34">
        <f>Allocation[[#This Row],[Quantity Processed]]/Allocation[[#This Row],[Dilution rate]]</f>
        <v>214.4</v>
      </c>
      <c r="T752" s="59">
        <f>SUMIF(Allocation[Delivery ID],Allocation[[#This Row],[Delivery ID]],Allocation[Quantity allocated])/SUMIF(Allocation[Delivery ID],Allocation[[#This Row],[Delivery ID]],Allocation[Volume available (kg)])</f>
        <v>0.82555970149253732</v>
      </c>
      <c r="U752" s="61">
        <f>Allocation[[#This Row],[Total volume used]]/VLOOKUP(Allocation[[#This Row],[Delivery ID]],Delivery[[Delivery ID]:[Quantity delivered]],3,FALSE)</f>
        <v>1.7234726688102893E-2</v>
      </c>
      <c r="V752" s="34" t="e">
        <f>VLOOKUP(Allocation[[#This Row],[SAP Contract number]],Shipments[[SAP Contract number]:[Contracted container weight]],2,FALSE)</f>
        <v>#N/A</v>
      </c>
      <c r="W752" s="34" t="e">
        <f>VLOOKUP(Allocation[[#This Row],[SAP Contract number]],Shipments[[SAP Contract number]:[AAA Premium USD]],24,FALSE)</f>
        <v>#N/A</v>
      </c>
      <c r="X752" s="34" t="e">
        <f>VLOOKUP(Allocation[[#This Row],[SAP Contract number]],Shipments[[SAP Contract number]:[RA Premium USD]],25,FALSE)</f>
        <v>#N/A</v>
      </c>
      <c r="Y752" s="38">
        <f>Allocation[[#This Row],[Quantity Processed]]/Allocation[[#This Row],[Quantity allocated]]</f>
        <v>3.0282485875706215</v>
      </c>
      <c r="Z752" s="34" t="b">
        <f>Allocation[[#This Row],[Quantity allocated]]&lt;=Allocation[[#This Row],[Quantity Processed]]</f>
        <v>1</v>
      </c>
    </row>
    <row r="753" spans="1:26">
      <c r="A753" s="247" t="s">
        <v>467</v>
      </c>
      <c r="B753" s="160" t="s">
        <v>68</v>
      </c>
      <c r="C753" s="252" t="s">
        <v>931</v>
      </c>
      <c r="D753" s="250">
        <v>1</v>
      </c>
      <c r="E753" s="160" t="s">
        <v>1237</v>
      </c>
      <c r="F753" s="158">
        <v>43514</v>
      </c>
      <c r="G753" s="162">
        <v>2.5</v>
      </c>
      <c r="H753" s="250">
        <v>0.33</v>
      </c>
      <c r="I753" s="160">
        <v>1433478</v>
      </c>
      <c r="J753" s="163">
        <v>19175</v>
      </c>
      <c r="K753" s="158">
        <v>43521</v>
      </c>
      <c r="L753" s="160" t="s">
        <v>1254</v>
      </c>
      <c r="M753" s="160">
        <v>4615516135</v>
      </c>
      <c r="N753" s="158">
        <v>43544</v>
      </c>
      <c r="O753" s="164">
        <v>3.7890999999999999</v>
      </c>
      <c r="P753" s="165" t="s">
        <v>1323</v>
      </c>
      <c r="Q753" s="34">
        <f>SUMIF(Allocation[Delivery ID],Allocation[[#This Row],[Delivery ID]],Allocation[Quantity Processed])</f>
        <v>1</v>
      </c>
      <c r="R753" s="61">
        <f>Allocation[[#This Row],[Total volume used]]/VLOOKUP(Allocation[[#This Row],[Delivery ID]],Delivery[[Delivery ID]:[Quantity delivered]],3,FALSE)</f>
        <v>3.1456432840515883E-5</v>
      </c>
      <c r="S753" s="34">
        <f>Allocation[[#This Row],[Quantity Processed]]/Allocation[[#This Row],[Dilution rate]]</f>
        <v>0.4</v>
      </c>
      <c r="T753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753" s="61">
        <f>Allocation[[#This Row],[Total volume used]]/VLOOKUP(Allocation[[#This Row],[Delivery ID]],Delivery[[Delivery ID]:[Quantity delivered]],3,FALSE)</f>
        <v>3.1456432840515883E-5</v>
      </c>
      <c r="V753" s="34" t="e">
        <f>VLOOKUP(Allocation[[#This Row],[SAP Contract number]],Shipments[[SAP Contract number]:[Contracted container weight]],2,FALSE)</f>
        <v>#N/A</v>
      </c>
      <c r="W753" s="34" t="e">
        <f>VLOOKUP(Allocation[[#This Row],[SAP Contract number]],Shipments[[SAP Contract number]:[AAA Premium USD]],24,FALSE)</f>
        <v>#N/A</v>
      </c>
      <c r="X753" s="34" t="e">
        <f>VLOOKUP(Allocation[[#This Row],[SAP Contract number]],Shipments[[SAP Contract number]:[RA Premium USD]],25,FALSE)</f>
        <v>#N/A</v>
      </c>
      <c r="Y753" s="38">
        <f>Allocation[[#This Row],[Quantity Processed]]/Allocation[[#This Row],[Quantity allocated]]</f>
        <v>3.0303030303030303</v>
      </c>
      <c r="Z753" s="34" t="b">
        <f>Allocation[[#This Row],[Quantity allocated]]&lt;=Allocation[[#This Row],[Quantity Processed]]</f>
        <v>1</v>
      </c>
    </row>
    <row r="754" spans="1:26">
      <c r="A754" s="247" t="s">
        <v>467</v>
      </c>
      <c r="B754" s="160" t="s">
        <v>68</v>
      </c>
      <c r="C754" s="252" t="s">
        <v>932</v>
      </c>
      <c r="D754" s="250">
        <v>1</v>
      </c>
      <c r="E754" s="160" t="s">
        <v>1237</v>
      </c>
      <c r="F754" s="158">
        <v>43514</v>
      </c>
      <c r="G754" s="162">
        <v>2.5</v>
      </c>
      <c r="H754" s="250">
        <v>0.33</v>
      </c>
      <c r="I754" s="160">
        <v>1433478</v>
      </c>
      <c r="J754" s="163">
        <v>19175</v>
      </c>
      <c r="K754" s="158">
        <v>43521</v>
      </c>
      <c r="L754" s="160" t="s">
        <v>1254</v>
      </c>
      <c r="M754" s="160">
        <v>4615516135</v>
      </c>
      <c r="N754" s="158">
        <v>43544</v>
      </c>
      <c r="O754" s="164">
        <v>3.7890999999999999</v>
      </c>
      <c r="P754" s="165" t="s">
        <v>1323</v>
      </c>
      <c r="Q754" s="34">
        <f>SUMIF(Allocation[Delivery ID],Allocation[[#This Row],[Delivery ID]],Allocation[Quantity Processed])</f>
        <v>1</v>
      </c>
      <c r="R754" s="61">
        <f>Allocation[[#This Row],[Total volume used]]/VLOOKUP(Allocation[[#This Row],[Delivery ID]],Delivery[[Delivery ID]:[Quantity delivered]],3,FALSE)</f>
        <v>9.8039215686274506E-5</v>
      </c>
      <c r="S754" s="34">
        <f>Allocation[[#This Row],[Quantity Processed]]/Allocation[[#This Row],[Dilution rate]]</f>
        <v>0.4</v>
      </c>
      <c r="T754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754" s="61">
        <f>Allocation[[#This Row],[Total volume used]]/VLOOKUP(Allocation[[#This Row],[Delivery ID]],Delivery[[Delivery ID]:[Quantity delivered]],3,FALSE)</f>
        <v>9.8039215686274506E-5</v>
      </c>
      <c r="V754" s="34" t="e">
        <f>VLOOKUP(Allocation[[#This Row],[SAP Contract number]],Shipments[[SAP Contract number]:[Contracted container weight]],2,FALSE)</f>
        <v>#N/A</v>
      </c>
      <c r="W754" s="34" t="e">
        <f>VLOOKUP(Allocation[[#This Row],[SAP Contract number]],Shipments[[SAP Contract number]:[AAA Premium USD]],24,FALSE)</f>
        <v>#N/A</v>
      </c>
      <c r="X754" s="34" t="e">
        <f>VLOOKUP(Allocation[[#This Row],[SAP Contract number]],Shipments[[SAP Contract number]:[RA Premium USD]],25,FALSE)</f>
        <v>#N/A</v>
      </c>
      <c r="Y754" s="38">
        <f>Allocation[[#This Row],[Quantity Processed]]/Allocation[[#This Row],[Quantity allocated]]</f>
        <v>3.0303030303030303</v>
      </c>
      <c r="Z754" s="34" t="b">
        <f>Allocation[[#This Row],[Quantity allocated]]&lt;=Allocation[[#This Row],[Quantity Processed]]</f>
        <v>1</v>
      </c>
    </row>
    <row r="755" spans="1:26">
      <c r="A755" s="247" t="s">
        <v>467</v>
      </c>
      <c r="B755" s="160" t="s">
        <v>68</v>
      </c>
      <c r="C755" s="252" t="s">
        <v>933</v>
      </c>
      <c r="D755" s="250">
        <v>1</v>
      </c>
      <c r="E755" s="160" t="s">
        <v>1237</v>
      </c>
      <c r="F755" s="158">
        <v>43514</v>
      </c>
      <c r="G755" s="162">
        <v>2.5</v>
      </c>
      <c r="H755" s="250">
        <v>0.33</v>
      </c>
      <c r="I755" s="160">
        <v>1433478</v>
      </c>
      <c r="J755" s="163">
        <v>19175</v>
      </c>
      <c r="K755" s="158">
        <v>43521</v>
      </c>
      <c r="L755" s="160" t="s">
        <v>1254</v>
      </c>
      <c r="M755" s="160">
        <v>4615516135</v>
      </c>
      <c r="N755" s="158">
        <v>43544</v>
      </c>
      <c r="O755" s="164">
        <v>3.7890999999999999</v>
      </c>
      <c r="P755" s="165" t="s">
        <v>1323</v>
      </c>
      <c r="Q755" s="34">
        <f>SUMIF(Allocation[Delivery ID],Allocation[[#This Row],[Delivery ID]],Allocation[Quantity Processed])</f>
        <v>1</v>
      </c>
      <c r="R755" s="61">
        <f>Allocation[[#This Row],[Total volume used]]/VLOOKUP(Allocation[[#This Row],[Delivery ID]],Delivery[[Delivery ID]:[Quantity delivered]],3,FALSE)</f>
        <v>3.3277870216306153E-5</v>
      </c>
      <c r="S755" s="34">
        <f>Allocation[[#This Row],[Quantity Processed]]/Allocation[[#This Row],[Dilution rate]]</f>
        <v>0.4</v>
      </c>
      <c r="T755" s="59">
        <f>SUMIF(Allocation[Delivery ID],Allocation[[#This Row],[Delivery ID]],Allocation[Quantity allocated])/SUMIF(Allocation[Delivery ID],Allocation[[#This Row],[Delivery ID]],Allocation[Volume available (kg)])</f>
        <v>0.82499999999999996</v>
      </c>
      <c r="U755" s="61">
        <f>Allocation[[#This Row],[Total volume used]]/VLOOKUP(Allocation[[#This Row],[Delivery ID]],Delivery[[Delivery ID]:[Quantity delivered]],3,FALSE)</f>
        <v>3.3277870216306153E-5</v>
      </c>
      <c r="V755" s="34" t="e">
        <f>VLOOKUP(Allocation[[#This Row],[SAP Contract number]],Shipments[[SAP Contract number]:[Contracted container weight]],2,FALSE)</f>
        <v>#N/A</v>
      </c>
      <c r="W755" s="34" t="e">
        <f>VLOOKUP(Allocation[[#This Row],[SAP Contract number]],Shipments[[SAP Contract number]:[AAA Premium USD]],24,FALSE)</f>
        <v>#N/A</v>
      </c>
      <c r="X755" s="34" t="e">
        <f>VLOOKUP(Allocation[[#This Row],[SAP Contract number]],Shipments[[SAP Contract number]:[RA Premium USD]],25,FALSE)</f>
        <v>#N/A</v>
      </c>
      <c r="Y755" s="38">
        <f>Allocation[[#This Row],[Quantity Processed]]/Allocation[[#This Row],[Quantity allocated]]</f>
        <v>3.0303030303030303</v>
      </c>
      <c r="Z755" s="34" t="b">
        <f>Allocation[[#This Row],[Quantity allocated]]&lt;=Allocation[[#This Row],[Quantity Processed]]</f>
        <v>1</v>
      </c>
    </row>
    <row r="756" spans="1:26">
      <c r="A756" s="247" t="s">
        <v>467</v>
      </c>
      <c r="B756" s="160" t="s">
        <v>68</v>
      </c>
      <c r="C756" s="252" t="s">
        <v>619</v>
      </c>
      <c r="D756" s="250">
        <v>20277</v>
      </c>
      <c r="E756" s="160" t="s">
        <v>1255</v>
      </c>
      <c r="F756" s="158">
        <v>43522</v>
      </c>
      <c r="G756" s="162">
        <v>2.5499999999999998</v>
      </c>
      <c r="H756" s="250">
        <v>8142</v>
      </c>
      <c r="I756" s="160">
        <v>1435688</v>
      </c>
      <c r="J756" s="163">
        <v>19175</v>
      </c>
      <c r="K756" s="158">
        <v>43528</v>
      </c>
      <c r="L756" s="160" t="s">
        <v>1256</v>
      </c>
      <c r="M756" s="160">
        <v>4615509176</v>
      </c>
      <c r="N756" s="158">
        <v>43549</v>
      </c>
      <c r="O756" s="164">
        <v>3.8763999999999998</v>
      </c>
      <c r="P756" s="165" t="s">
        <v>1324</v>
      </c>
      <c r="Q756" s="34">
        <f>SUMIF(Allocation[Delivery ID],Allocation[[#This Row],[Delivery ID]],Allocation[Quantity Processed])</f>
        <v>37830</v>
      </c>
      <c r="R756" s="61">
        <f>Allocation[[#This Row],[Total volume used]]/VLOOKUP(Allocation[[#This Row],[Delivery ID]],Delivery[[Delivery ID]:[Quantity delivered]],3,FALSE)</f>
        <v>1</v>
      </c>
      <c r="S756" s="34">
        <f>Allocation[[#This Row],[Quantity Processed]]/Allocation[[#This Row],[Dilution rate]]</f>
        <v>7951.7647058823532</v>
      </c>
      <c r="T756" s="59">
        <f>SUMIF(Allocation[Delivery ID],Allocation[[#This Row],[Delivery ID]],Allocation[Quantity allocated])/SUMIF(Allocation[Delivery ID],Allocation[[#This Row],[Delivery ID]],Allocation[Volume available (kg)])</f>
        <v>1.0126918948819126</v>
      </c>
      <c r="U756" s="61">
        <f>Allocation[[#This Row],[Total volume used]]/VLOOKUP(Allocation[[#This Row],[Delivery ID]],Delivery[[Delivery ID]:[Quantity delivered]],3,FALSE)</f>
        <v>1</v>
      </c>
      <c r="V756" s="34">
        <f>VLOOKUP(Allocation[[#This Row],[SAP Contract number]],Shipments[[SAP Contract number]:[Contracted container weight]],2,FALSE)</f>
        <v>19175</v>
      </c>
      <c r="W756" s="34">
        <f>VLOOKUP(Allocation[[#This Row],[SAP Contract number]],Shipments[[SAP Contract number]:[AAA Premium USD]],24,FALSE)</f>
        <v>6763.7822038320437</v>
      </c>
      <c r="X756" s="34">
        <f>VLOOKUP(Allocation[[#This Row],[SAP Contract number]],Shipments[[SAP Contract number]:[RA Premium USD]],25,FALSE)</f>
        <v>2113.6819386975139</v>
      </c>
      <c r="Y756" s="38">
        <f>Allocation[[#This Row],[Quantity Processed]]/Allocation[[#This Row],[Quantity allocated]]</f>
        <v>2.4904200442151807</v>
      </c>
      <c r="Z756" s="34" t="b">
        <f>Allocation[[#This Row],[Quantity allocated]]&lt;=Allocation[[#This Row],[Quantity Processed]]</f>
        <v>1</v>
      </c>
    </row>
    <row r="757" spans="1:26">
      <c r="A757" s="247" t="s">
        <v>467</v>
      </c>
      <c r="B757" s="160" t="s">
        <v>68</v>
      </c>
      <c r="C757" s="252" t="s">
        <v>621</v>
      </c>
      <c r="D757" s="250">
        <v>17925</v>
      </c>
      <c r="E757" s="160" t="s">
        <v>1255</v>
      </c>
      <c r="F757" s="158">
        <v>43522</v>
      </c>
      <c r="G757" s="162">
        <v>2.5499999999999998</v>
      </c>
      <c r="H757" s="250">
        <v>7170</v>
      </c>
      <c r="I757" s="160">
        <v>1435688</v>
      </c>
      <c r="J757" s="163">
        <v>19175</v>
      </c>
      <c r="K757" s="158">
        <v>43528</v>
      </c>
      <c r="L757" s="160" t="s">
        <v>1256</v>
      </c>
      <c r="M757" s="160">
        <v>4615509176</v>
      </c>
      <c r="N757" s="158">
        <v>43549</v>
      </c>
      <c r="O757" s="164">
        <v>3.8763999999999998</v>
      </c>
      <c r="P757" s="165" t="s">
        <v>1324</v>
      </c>
      <c r="Q757" s="34">
        <f>SUMIF(Allocation[Delivery ID],Allocation[[#This Row],[Delivery ID]],Allocation[Quantity Processed])</f>
        <v>34720</v>
      </c>
      <c r="R757" s="61">
        <f>Allocation[[#This Row],[Total volume used]]/VLOOKUP(Allocation[[#This Row],[Delivery ID]],Delivery[[Delivery ID]:[Quantity delivered]],3,FALSE)</f>
        <v>1</v>
      </c>
      <c r="S757" s="34">
        <f>Allocation[[#This Row],[Quantity Processed]]/Allocation[[#This Row],[Dilution rate]]</f>
        <v>7029.4117647058829</v>
      </c>
      <c r="T757" s="59">
        <f>SUMIF(Allocation[Delivery ID],Allocation[[#This Row],[Delivery ID]],Allocation[Quantity allocated])/SUMIF(Allocation[Delivery ID],Allocation[[#This Row],[Delivery ID]],Allocation[Volume available (kg)])</f>
        <v>1.019479928276064</v>
      </c>
      <c r="U757" s="61">
        <f>Allocation[[#This Row],[Total volume used]]/VLOOKUP(Allocation[[#This Row],[Delivery ID]],Delivery[[Delivery ID]:[Quantity delivered]],3,FALSE)</f>
        <v>1</v>
      </c>
      <c r="V757" s="34">
        <f>VLOOKUP(Allocation[[#This Row],[SAP Contract number]],Shipments[[SAP Contract number]:[Contracted container weight]],2,FALSE)</f>
        <v>19175</v>
      </c>
      <c r="W757" s="34">
        <f>VLOOKUP(Allocation[[#This Row],[SAP Contract number]],Shipments[[SAP Contract number]:[AAA Premium USD]],24,FALSE)</f>
        <v>6763.7822038320437</v>
      </c>
      <c r="X757" s="34">
        <f>VLOOKUP(Allocation[[#This Row],[SAP Contract number]],Shipments[[SAP Contract number]:[RA Premium USD]],25,FALSE)</f>
        <v>2113.6819386975139</v>
      </c>
      <c r="Y757" s="38">
        <f>Allocation[[#This Row],[Quantity Processed]]/Allocation[[#This Row],[Quantity allocated]]</f>
        <v>2.5</v>
      </c>
      <c r="Z757" s="34" t="b">
        <f>Allocation[[#This Row],[Quantity allocated]]&lt;=Allocation[[#This Row],[Quantity Processed]]</f>
        <v>1</v>
      </c>
    </row>
    <row r="758" spans="1:26">
      <c r="A758" s="247" t="s">
        <v>467</v>
      </c>
      <c r="B758" s="160" t="s">
        <v>68</v>
      </c>
      <c r="C758" s="252" t="s">
        <v>622</v>
      </c>
      <c r="D758" s="250">
        <v>9657</v>
      </c>
      <c r="E758" s="160" t="s">
        <v>1255</v>
      </c>
      <c r="F758" s="158">
        <v>43522</v>
      </c>
      <c r="G758" s="162">
        <v>2.5499999999999998</v>
      </c>
      <c r="H758" s="250">
        <v>3863</v>
      </c>
      <c r="I758" s="160">
        <v>1435688</v>
      </c>
      <c r="J758" s="163">
        <v>19175</v>
      </c>
      <c r="K758" s="158">
        <v>43528</v>
      </c>
      <c r="L758" s="160" t="s">
        <v>1256</v>
      </c>
      <c r="M758" s="160">
        <v>4615509176</v>
      </c>
      <c r="N758" s="158">
        <v>43549</v>
      </c>
      <c r="O758" s="164">
        <v>3.8763999999999998</v>
      </c>
      <c r="P758" s="165" t="s">
        <v>1324</v>
      </c>
      <c r="Q758" s="34">
        <f>SUMIF(Allocation[Delivery ID],Allocation[[#This Row],[Delivery ID]],Allocation[Quantity Processed])</f>
        <v>50980</v>
      </c>
      <c r="R758" s="61">
        <f>Allocation[[#This Row],[Total volume used]]/VLOOKUP(Allocation[[#This Row],[Delivery ID]],Delivery[[Delivery ID]:[Quantity delivered]],3,FALSE)</f>
        <v>1</v>
      </c>
      <c r="S758" s="34">
        <f>Allocation[[#This Row],[Quantity Processed]]/Allocation[[#This Row],[Dilution rate]]</f>
        <v>3787.0588235294122</v>
      </c>
      <c r="T758" s="59">
        <f>SUMIF(Allocation[Delivery ID],Allocation[[#This Row],[Delivery ID]],Allocation[Quantity allocated])/SUMIF(Allocation[Delivery ID],Allocation[[#This Row],[Delivery ID]],Allocation[Volume available (kg)])</f>
        <v>1.0106063957106424</v>
      </c>
      <c r="U758" s="61">
        <f>Allocation[[#This Row],[Total volume used]]/VLOOKUP(Allocation[[#This Row],[Delivery ID]],Delivery[[Delivery ID]:[Quantity delivered]],3,FALSE)</f>
        <v>1</v>
      </c>
      <c r="V758" s="34">
        <f>VLOOKUP(Allocation[[#This Row],[SAP Contract number]],Shipments[[SAP Contract number]:[Contracted container weight]],2,FALSE)</f>
        <v>19175</v>
      </c>
      <c r="W758" s="34">
        <f>VLOOKUP(Allocation[[#This Row],[SAP Contract number]],Shipments[[SAP Contract number]:[AAA Premium USD]],24,FALSE)</f>
        <v>6763.7822038320437</v>
      </c>
      <c r="X758" s="34">
        <f>VLOOKUP(Allocation[[#This Row],[SAP Contract number]],Shipments[[SAP Contract number]:[RA Premium USD]],25,FALSE)</f>
        <v>2113.6819386975139</v>
      </c>
      <c r="Y758" s="38">
        <f>Allocation[[#This Row],[Quantity Processed]]/Allocation[[#This Row],[Quantity allocated]]</f>
        <v>2.4998705669169041</v>
      </c>
      <c r="Z758" s="34" t="b">
        <f>Allocation[[#This Row],[Quantity allocated]]&lt;=Allocation[[#This Row],[Quantity Processed]]</f>
        <v>1</v>
      </c>
    </row>
    <row r="759" spans="1:26">
      <c r="A759" s="247" t="s">
        <v>467</v>
      </c>
      <c r="B759" s="160" t="s">
        <v>68</v>
      </c>
      <c r="C759" s="252" t="s">
        <v>622</v>
      </c>
      <c r="D759" s="250">
        <v>17630</v>
      </c>
      <c r="E759" s="160" t="s">
        <v>1255</v>
      </c>
      <c r="F759" s="158">
        <v>43522</v>
      </c>
      <c r="G759" s="162">
        <v>2.5499999999999998</v>
      </c>
      <c r="H759" s="250">
        <v>7052</v>
      </c>
      <c r="I759" s="160">
        <v>1435689</v>
      </c>
      <c r="J759" s="163">
        <v>19175</v>
      </c>
      <c r="K759" s="158">
        <v>43528</v>
      </c>
      <c r="L759" s="160" t="s">
        <v>1257</v>
      </c>
      <c r="M759" s="160">
        <v>4615509176</v>
      </c>
      <c r="N759" s="158">
        <v>43549</v>
      </c>
      <c r="O759" s="164">
        <v>3.8763999999999998</v>
      </c>
      <c r="P759" s="165" t="s">
        <v>1324</v>
      </c>
      <c r="Q759" s="34">
        <f>SUMIF(Allocation[Delivery ID],Allocation[[#This Row],[Delivery ID]],Allocation[Quantity Processed])</f>
        <v>50980</v>
      </c>
      <c r="R759" s="61">
        <f>Allocation[[#This Row],[Total volume used]]/VLOOKUP(Allocation[[#This Row],[Delivery ID]],Delivery[[Delivery ID]:[Quantity delivered]],3,FALSE)</f>
        <v>1</v>
      </c>
      <c r="S759" s="34">
        <f>Allocation[[#This Row],[Quantity Processed]]/Allocation[[#This Row],[Dilution rate]]</f>
        <v>6913.7254901960787</v>
      </c>
      <c r="T759" s="59">
        <f>SUMIF(Allocation[Delivery ID],Allocation[[#This Row],[Delivery ID]],Allocation[Quantity allocated])/SUMIF(Allocation[Delivery ID],Allocation[[#This Row],[Delivery ID]],Allocation[Volume available (kg)])</f>
        <v>1.0106063957106424</v>
      </c>
      <c r="U759" s="61">
        <f>Allocation[[#This Row],[Total volume used]]/VLOOKUP(Allocation[[#This Row],[Delivery ID]],Delivery[[Delivery ID]:[Quantity delivered]],3,FALSE)</f>
        <v>1</v>
      </c>
      <c r="V759" s="34">
        <f>VLOOKUP(Allocation[[#This Row],[SAP Contract number]],Shipments[[SAP Contract number]:[Contracted container weight]],2,FALSE)</f>
        <v>19175</v>
      </c>
      <c r="W759" s="34">
        <f>VLOOKUP(Allocation[[#This Row],[SAP Contract number]],Shipments[[SAP Contract number]:[AAA Premium USD]],24,FALSE)</f>
        <v>6763.7822038320437</v>
      </c>
      <c r="X759" s="34">
        <f>VLOOKUP(Allocation[[#This Row],[SAP Contract number]],Shipments[[SAP Contract number]:[RA Premium USD]],25,FALSE)</f>
        <v>2113.6819386975139</v>
      </c>
      <c r="Y759" s="38">
        <f>Allocation[[#This Row],[Quantity Processed]]/Allocation[[#This Row],[Quantity allocated]]</f>
        <v>2.5</v>
      </c>
      <c r="Z759" s="34" t="b">
        <f>Allocation[[#This Row],[Quantity allocated]]&lt;=Allocation[[#This Row],[Quantity Processed]]</f>
        <v>1</v>
      </c>
    </row>
    <row r="760" spans="1:26">
      <c r="A760" s="247" t="s">
        <v>467</v>
      </c>
      <c r="B760" s="160" t="s">
        <v>68</v>
      </c>
      <c r="C760" s="252" t="s">
        <v>623</v>
      </c>
      <c r="D760" s="250">
        <v>26852</v>
      </c>
      <c r="E760" s="160" t="s">
        <v>1255</v>
      </c>
      <c r="F760" s="158">
        <v>43522</v>
      </c>
      <c r="G760" s="162">
        <v>2.5499999999999998</v>
      </c>
      <c r="H760" s="250">
        <v>10797</v>
      </c>
      <c r="I760" s="160">
        <v>1435689</v>
      </c>
      <c r="J760" s="163">
        <v>19175</v>
      </c>
      <c r="K760" s="158">
        <v>43528</v>
      </c>
      <c r="L760" s="160" t="s">
        <v>1257</v>
      </c>
      <c r="M760" s="160">
        <v>4615509176</v>
      </c>
      <c r="N760" s="158">
        <v>43549</v>
      </c>
      <c r="O760" s="164">
        <v>3.8763999999999998</v>
      </c>
      <c r="P760" s="165" t="s">
        <v>1324</v>
      </c>
      <c r="Q760" s="34">
        <f>SUMIF(Allocation[Delivery ID],Allocation[[#This Row],[Delivery ID]],Allocation[Quantity Processed])</f>
        <v>51000</v>
      </c>
      <c r="R760" s="61">
        <f>Allocation[[#This Row],[Total volume used]]/VLOOKUP(Allocation[[#This Row],[Delivery ID]],Delivery[[Delivery ID]:[Quantity delivered]],3,FALSE)</f>
        <v>1</v>
      </c>
      <c r="S760" s="34">
        <f>Allocation[[#This Row],[Quantity Processed]]/Allocation[[#This Row],[Dilution rate]]</f>
        <v>10530.196078431374</v>
      </c>
      <c r="T760" s="59">
        <f>SUMIF(Allocation[Delivery ID],Allocation[[#This Row],[Delivery ID]],Allocation[Quantity allocated])/SUMIF(Allocation[Delivery ID],Allocation[[#This Row],[Delivery ID]],Allocation[Volume available (kg)])</f>
        <v>1.0132051459356648</v>
      </c>
      <c r="U760" s="61">
        <f>Allocation[[#This Row],[Total volume used]]/VLOOKUP(Allocation[[#This Row],[Delivery ID]],Delivery[[Delivery ID]:[Quantity delivered]],3,FALSE)</f>
        <v>1</v>
      </c>
      <c r="V760" s="34">
        <f>VLOOKUP(Allocation[[#This Row],[SAP Contract number]],Shipments[[SAP Contract number]:[Contracted container weight]],2,FALSE)</f>
        <v>19175</v>
      </c>
      <c r="W760" s="34">
        <f>VLOOKUP(Allocation[[#This Row],[SAP Contract number]],Shipments[[SAP Contract number]:[AAA Premium USD]],24,FALSE)</f>
        <v>6763.7822038320437</v>
      </c>
      <c r="X760" s="34">
        <f>VLOOKUP(Allocation[[#This Row],[SAP Contract number]],Shipments[[SAP Contract number]:[RA Premium USD]],25,FALSE)</f>
        <v>2113.6819386975139</v>
      </c>
      <c r="Y760" s="38">
        <f>Allocation[[#This Row],[Quantity Processed]]/Allocation[[#This Row],[Quantity allocated]]</f>
        <v>2.4869871260535334</v>
      </c>
      <c r="Z760" s="34" t="b">
        <f>Allocation[[#This Row],[Quantity allocated]]&lt;=Allocation[[#This Row],[Quantity Processed]]</f>
        <v>1</v>
      </c>
    </row>
    <row r="761" spans="1:26">
      <c r="A761" s="247" t="s">
        <v>467</v>
      </c>
      <c r="B761" s="160" t="s">
        <v>68</v>
      </c>
      <c r="C761" s="252" t="s">
        <v>624</v>
      </c>
      <c r="D761" s="250">
        <v>3293</v>
      </c>
      <c r="E761" s="160" t="s">
        <v>1255</v>
      </c>
      <c r="F761" s="158">
        <v>43522</v>
      </c>
      <c r="G761" s="162">
        <v>2.5499999999999998</v>
      </c>
      <c r="H761" s="250">
        <v>1326</v>
      </c>
      <c r="I761" s="160">
        <v>1435689</v>
      </c>
      <c r="J761" s="163">
        <v>19175</v>
      </c>
      <c r="K761" s="158">
        <v>43528</v>
      </c>
      <c r="L761" s="160" t="s">
        <v>1257</v>
      </c>
      <c r="M761" s="160">
        <v>4615509176</v>
      </c>
      <c r="N761" s="158">
        <v>43549</v>
      </c>
      <c r="O761" s="164">
        <v>3.8763999999999998</v>
      </c>
      <c r="P761" s="165" t="s">
        <v>1324</v>
      </c>
      <c r="Q761" s="34">
        <f>SUMIF(Allocation[Delivery ID],Allocation[[#This Row],[Delivery ID]],Allocation[Quantity Processed])</f>
        <v>37920</v>
      </c>
      <c r="R761" s="61">
        <f>Allocation[[#This Row],[Total volume used]]/VLOOKUP(Allocation[[#This Row],[Delivery ID]],Delivery[[Delivery ID]:[Quantity delivered]],3,FALSE)</f>
        <v>1</v>
      </c>
      <c r="S761" s="34">
        <f>Allocation[[#This Row],[Quantity Processed]]/Allocation[[#This Row],[Dilution rate]]</f>
        <v>1291.372549019608</v>
      </c>
      <c r="T761" s="59">
        <f>SUMIF(Allocation[Delivery ID],Allocation[[#This Row],[Delivery ID]],Allocation[Quantity allocated])/SUMIF(Allocation[Delivery ID],Allocation[[#This Row],[Delivery ID]],Allocation[Volume available (kg)])</f>
        <v>1.0142415705235235</v>
      </c>
      <c r="U761" s="61">
        <f>Allocation[[#This Row],[Total volume used]]/VLOOKUP(Allocation[[#This Row],[Delivery ID]],Delivery[[Delivery ID]:[Quantity delivered]],3,FALSE)</f>
        <v>1</v>
      </c>
      <c r="V761" s="34">
        <f>VLOOKUP(Allocation[[#This Row],[SAP Contract number]],Shipments[[SAP Contract number]:[Contracted container weight]],2,FALSE)</f>
        <v>19175</v>
      </c>
      <c r="W761" s="34">
        <f>VLOOKUP(Allocation[[#This Row],[SAP Contract number]],Shipments[[SAP Contract number]:[AAA Premium USD]],24,FALSE)</f>
        <v>6763.7822038320437</v>
      </c>
      <c r="X761" s="34">
        <f>VLOOKUP(Allocation[[#This Row],[SAP Contract number]],Shipments[[SAP Contract number]:[RA Premium USD]],25,FALSE)</f>
        <v>2113.6819386975139</v>
      </c>
      <c r="Y761" s="38">
        <f>Allocation[[#This Row],[Quantity Processed]]/Allocation[[#This Row],[Quantity allocated]]</f>
        <v>2.4834087481146305</v>
      </c>
      <c r="Z761" s="34" t="b">
        <f>Allocation[[#This Row],[Quantity allocated]]&lt;=Allocation[[#This Row],[Quantity Processed]]</f>
        <v>1</v>
      </c>
    </row>
    <row r="762" spans="1:26">
      <c r="A762" s="247" t="s">
        <v>467</v>
      </c>
      <c r="B762" s="160" t="s">
        <v>68</v>
      </c>
      <c r="C762" s="252" t="s">
        <v>624</v>
      </c>
      <c r="D762" s="250">
        <v>17074</v>
      </c>
      <c r="E762" s="160" t="s">
        <v>1255</v>
      </c>
      <c r="F762" s="158">
        <v>43522</v>
      </c>
      <c r="G762" s="162">
        <v>2.5499999999999998</v>
      </c>
      <c r="H762" s="250">
        <v>6875</v>
      </c>
      <c r="I762" s="160">
        <v>1435690</v>
      </c>
      <c r="J762" s="163">
        <v>19175</v>
      </c>
      <c r="K762" s="158">
        <v>43528</v>
      </c>
      <c r="L762" s="160" t="s">
        <v>1258</v>
      </c>
      <c r="M762" s="160">
        <v>4615509176</v>
      </c>
      <c r="N762" s="158">
        <v>43549</v>
      </c>
      <c r="O762" s="164">
        <v>3.8763999999999998</v>
      </c>
      <c r="P762" s="165" t="s">
        <v>1324</v>
      </c>
      <c r="Q762" s="34">
        <f>SUMIF(Allocation[Delivery ID],Allocation[[#This Row],[Delivery ID]],Allocation[Quantity Processed])</f>
        <v>37920</v>
      </c>
      <c r="R762" s="61">
        <f>Allocation[[#This Row],[Total volume used]]/VLOOKUP(Allocation[[#This Row],[Delivery ID]],Delivery[[Delivery ID]:[Quantity delivered]],3,FALSE)</f>
        <v>1</v>
      </c>
      <c r="S762" s="34">
        <f>Allocation[[#This Row],[Quantity Processed]]/Allocation[[#This Row],[Dilution rate]]</f>
        <v>6695.6862745098042</v>
      </c>
      <c r="T762" s="59">
        <f>SUMIF(Allocation[Delivery ID],Allocation[[#This Row],[Delivery ID]],Allocation[Quantity allocated])/SUMIF(Allocation[Delivery ID],Allocation[[#This Row],[Delivery ID]],Allocation[Volume available (kg)])</f>
        <v>1.0142415705235235</v>
      </c>
      <c r="U762" s="61">
        <f>Allocation[[#This Row],[Total volume used]]/VLOOKUP(Allocation[[#This Row],[Delivery ID]],Delivery[[Delivery ID]:[Quantity delivered]],3,FALSE)</f>
        <v>1</v>
      </c>
      <c r="V762" s="34">
        <f>VLOOKUP(Allocation[[#This Row],[SAP Contract number]],Shipments[[SAP Contract number]:[Contracted container weight]],2,FALSE)</f>
        <v>19175</v>
      </c>
      <c r="W762" s="34">
        <f>VLOOKUP(Allocation[[#This Row],[SAP Contract number]],Shipments[[SAP Contract number]:[AAA Premium USD]],24,FALSE)</f>
        <v>6763.7822038320437</v>
      </c>
      <c r="X762" s="34">
        <f>VLOOKUP(Allocation[[#This Row],[SAP Contract number]],Shipments[[SAP Contract number]:[RA Premium USD]],25,FALSE)</f>
        <v>2113.6819386975139</v>
      </c>
      <c r="Y762" s="38">
        <f>Allocation[[#This Row],[Quantity Processed]]/Allocation[[#This Row],[Quantity allocated]]</f>
        <v>2.483490909090909</v>
      </c>
      <c r="Z762" s="34" t="b">
        <f>Allocation[[#This Row],[Quantity allocated]]&lt;=Allocation[[#This Row],[Quantity Processed]]</f>
        <v>1</v>
      </c>
    </row>
    <row r="763" spans="1:26">
      <c r="A763" s="247" t="s">
        <v>467</v>
      </c>
      <c r="B763" s="160" t="s">
        <v>68</v>
      </c>
      <c r="C763" s="252" t="s">
        <v>625</v>
      </c>
      <c r="D763" s="250">
        <v>26270</v>
      </c>
      <c r="E763" s="160" t="s">
        <v>1255</v>
      </c>
      <c r="F763" s="158">
        <v>43522</v>
      </c>
      <c r="G763" s="162">
        <v>2.5499999999999998</v>
      </c>
      <c r="H763" s="250">
        <v>10508</v>
      </c>
      <c r="I763" s="160">
        <v>1435690</v>
      </c>
      <c r="J763" s="163">
        <v>19175</v>
      </c>
      <c r="K763" s="158">
        <v>43528</v>
      </c>
      <c r="L763" s="160" t="s">
        <v>1258</v>
      </c>
      <c r="M763" s="160">
        <v>4615509176</v>
      </c>
      <c r="N763" s="158">
        <v>43549</v>
      </c>
      <c r="O763" s="164">
        <v>3.8763999999999998</v>
      </c>
      <c r="P763" s="165" t="s">
        <v>1324</v>
      </c>
      <c r="Q763" s="34">
        <f>SUMIF(Allocation[Delivery ID],Allocation[[#This Row],[Delivery ID]],Allocation[Quantity Processed])</f>
        <v>51010</v>
      </c>
      <c r="R763" s="61">
        <f>Allocation[[#This Row],[Total volume used]]/VLOOKUP(Allocation[[#This Row],[Delivery ID]],Delivery[[Delivery ID]:[Quantity delivered]],3,FALSE)</f>
        <v>1</v>
      </c>
      <c r="S763" s="34">
        <f>Allocation[[#This Row],[Quantity Processed]]/Allocation[[#This Row],[Dilution rate]]</f>
        <v>10301.960784313726</v>
      </c>
      <c r="T763" s="59">
        <f>SUMIF(Allocation[Delivery ID],Allocation[[#This Row],[Delivery ID]],Allocation[Quantity allocated])/SUMIF(Allocation[Delivery ID],Allocation[[#This Row],[Delivery ID]],Allocation[Volume available (kg)])</f>
        <v>1.0158779890354976</v>
      </c>
      <c r="U763" s="61">
        <f>Allocation[[#This Row],[Total volume used]]/VLOOKUP(Allocation[[#This Row],[Delivery ID]],Delivery[[Delivery ID]:[Quantity delivered]],3,FALSE)</f>
        <v>1</v>
      </c>
      <c r="V763" s="34">
        <f>VLOOKUP(Allocation[[#This Row],[SAP Contract number]],Shipments[[SAP Contract number]:[Contracted container weight]],2,FALSE)</f>
        <v>19175</v>
      </c>
      <c r="W763" s="34">
        <f>VLOOKUP(Allocation[[#This Row],[SAP Contract number]],Shipments[[SAP Contract number]:[AAA Premium USD]],24,FALSE)</f>
        <v>6763.7822038320437</v>
      </c>
      <c r="X763" s="34">
        <f>VLOOKUP(Allocation[[#This Row],[SAP Contract number]],Shipments[[SAP Contract number]:[RA Premium USD]],25,FALSE)</f>
        <v>2113.6819386975139</v>
      </c>
      <c r="Y763" s="38">
        <f>Allocation[[#This Row],[Quantity Processed]]/Allocation[[#This Row],[Quantity allocated]]</f>
        <v>2.5</v>
      </c>
      <c r="Z763" s="34" t="b">
        <f>Allocation[[#This Row],[Quantity allocated]]&lt;=Allocation[[#This Row],[Quantity Processed]]</f>
        <v>1</v>
      </c>
    </row>
    <row r="764" spans="1:26">
      <c r="A764" s="247" t="s">
        <v>467</v>
      </c>
      <c r="B764" s="160" t="s">
        <v>68</v>
      </c>
      <c r="C764" s="252" t="s">
        <v>626</v>
      </c>
      <c r="D764" s="250">
        <v>4480</v>
      </c>
      <c r="E764" s="160" t="s">
        <v>1255</v>
      </c>
      <c r="F764" s="158">
        <v>43522</v>
      </c>
      <c r="G764" s="162">
        <v>2.5499999999999998</v>
      </c>
      <c r="H764" s="250">
        <v>1792</v>
      </c>
      <c r="I764" s="160">
        <v>1435690</v>
      </c>
      <c r="J764" s="163">
        <v>19175</v>
      </c>
      <c r="K764" s="158">
        <v>43528</v>
      </c>
      <c r="L764" s="160" t="s">
        <v>1258</v>
      </c>
      <c r="M764" s="160">
        <v>4615509176</v>
      </c>
      <c r="N764" s="158">
        <v>43549</v>
      </c>
      <c r="O764" s="164">
        <v>3.8763999999999998</v>
      </c>
      <c r="P764" s="165" t="s">
        <v>1324</v>
      </c>
      <c r="Q764" s="34">
        <f>SUMIF(Allocation[Delivery ID],Allocation[[#This Row],[Delivery ID]],Allocation[Quantity Processed])</f>
        <v>33020</v>
      </c>
      <c r="R764" s="61">
        <f>Allocation[[#This Row],[Total volume used]]/VLOOKUP(Allocation[[#This Row],[Delivery ID]],Delivery[[Delivery ID]:[Quantity delivered]],3,FALSE)</f>
        <v>1</v>
      </c>
      <c r="S764" s="34">
        <f>Allocation[[#This Row],[Quantity Processed]]/Allocation[[#This Row],[Dilution rate]]</f>
        <v>1756.8627450980393</v>
      </c>
      <c r="T764" s="59">
        <f>SUMIF(Allocation[Delivery ID],Allocation[[#This Row],[Delivery ID]],Allocation[Quantity allocated])/SUMIF(Allocation[Delivery ID],Allocation[[#This Row],[Delivery ID]],Allocation[Volume available (kg)])</f>
        <v>1.0162208215605302</v>
      </c>
      <c r="U764" s="61">
        <f>Allocation[[#This Row],[Total volume used]]/VLOOKUP(Allocation[[#This Row],[Delivery ID]],Delivery[[Delivery ID]:[Quantity delivered]],3,FALSE)</f>
        <v>1</v>
      </c>
      <c r="V764" s="34">
        <f>VLOOKUP(Allocation[[#This Row],[SAP Contract number]],Shipments[[SAP Contract number]:[Contracted container weight]],2,FALSE)</f>
        <v>19175</v>
      </c>
      <c r="W764" s="34">
        <f>VLOOKUP(Allocation[[#This Row],[SAP Contract number]],Shipments[[SAP Contract number]:[AAA Premium USD]],24,FALSE)</f>
        <v>6763.7822038320437</v>
      </c>
      <c r="X764" s="34">
        <f>VLOOKUP(Allocation[[#This Row],[SAP Contract number]],Shipments[[SAP Contract number]:[RA Premium USD]],25,FALSE)</f>
        <v>2113.6819386975139</v>
      </c>
      <c r="Y764" s="38">
        <f>Allocation[[#This Row],[Quantity Processed]]/Allocation[[#This Row],[Quantity allocated]]</f>
        <v>2.5</v>
      </c>
      <c r="Z764" s="34" t="b">
        <f>Allocation[[#This Row],[Quantity allocated]]&lt;=Allocation[[#This Row],[Quantity Processed]]</f>
        <v>1</v>
      </c>
    </row>
    <row r="765" spans="1:26">
      <c r="A765" s="247" t="s">
        <v>467</v>
      </c>
      <c r="B765" s="160" t="s">
        <v>68</v>
      </c>
      <c r="C765" s="252" t="s">
        <v>626</v>
      </c>
      <c r="D765" s="250">
        <v>12520</v>
      </c>
      <c r="E765" s="160" t="s">
        <v>1255</v>
      </c>
      <c r="F765" s="158">
        <v>43522</v>
      </c>
      <c r="G765" s="162">
        <v>2.5499999999999998</v>
      </c>
      <c r="H765" s="250">
        <v>5008</v>
      </c>
      <c r="I765" s="160">
        <v>1435691</v>
      </c>
      <c r="J765" s="163">
        <v>19175</v>
      </c>
      <c r="K765" s="158">
        <v>43528</v>
      </c>
      <c r="L765" s="160" t="s">
        <v>1259</v>
      </c>
      <c r="M765" s="160">
        <v>4615509176</v>
      </c>
      <c r="N765" s="158">
        <v>43549</v>
      </c>
      <c r="O765" s="164">
        <v>3.8763999999999998</v>
      </c>
      <c r="P765" s="165" t="s">
        <v>1324</v>
      </c>
      <c r="Q765" s="34">
        <f>SUMIF(Allocation[Delivery ID],Allocation[[#This Row],[Delivery ID]],Allocation[Quantity Processed])</f>
        <v>33020</v>
      </c>
      <c r="R765" s="61">
        <f>Allocation[[#This Row],[Total volume used]]/VLOOKUP(Allocation[[#This Row],[Delivery ID]],Delivery[[Delivery ID]:[Quantity delivered]],3,FALSE)</f>
        <v>1</v>
      </c>
      <c r="S765" s="34">
        <f>Allocation[[#This Row],[Quantity Processed]]/Allocation[[#This Row],[Dilution rate]]</f>
        <v>4909.8039215686276</v>
      </c>
      <c r="T765" s="59">
        <f>SUMIF(Allocation[Delivery ID],Allocation[[#This Row],[Delivery ID]],Allocation[Quantity allocated])/SUMIF(Allocation[Delivery ID],Allocation[[#This Row],[Delivery ID]],Allocation[Volume available (kg)])</f>
        <v>1.0162208215605302</v>
      </c>
      <c r="U765" s="61">
        <f>Allocation[[#This Row],[Total volume used]]/VLOOKUP(Allocation[[#This Row],[Delivery ID]],Delivery[[Delivery ID]:[Quantity delivered]],3,FALSE)</f>
        <v>1</v>
      </c>
      <c r="V765" s="34">
        <f>VLOOKUP(Allocation[[#This Row],[SAP Contract number]],Shipments[[SAP Contract number]:[Contracted container weight]],2,FALSE)</f>
        <v>19175</v>
      </c>
      <c r="W765" s="34">
        <f>VLOOKUP(Allocation[[#This Row],[SAP Contract number]],Shipments[[SAP Contract number]:[AAA Premium USD]],24,FALSE)</f>
        <v>6763.7822038320437</v>
      </c>
      <c r="X765" s="34">
        <f>VLOOKUP(Allocation[[#This Row],[SAP Contract number]],Shipments[[SAP Contract number]:[RA Premium USD]],25,FALSE)</f>
        <v>2113.6819386975139</v>
      </c>
      <c r="Y765" s="38">
        <f>Allocation[[#This Row],[Quantity Processed]]/Allocation[[#This Row],[Quantity allocated]]</f>
        <v>2.5</v>
      </c>
      <c r="Z765" s="34" t="b">
        <f>Allocation[[#This Row],[Quantity allocated]]&lt;=Allocation[[#This Row],[Quantity Processed]]</f>
        <v>1</v>
      </c>
    </row>
    <row r="766" spans="1:26">
      <c r="A766" s="247" t="s">
        <v>467</v>
      </c>
      <c r="B766" s="160" t="s">
        <v>68</v>
      </c>
      <c r="C766" s="252" t="s">
        <v>627</v>
      </c>
      <c r="D766" s="250">
        <v>17000</v>
      </c>
      <c r="E766" s="160" t="s">
        <v>1255</v>
      </c>
      <c r="F766" s="158">
        <v>43522</v>
      </c>
      <c r="G766" s="162">
        <v>2.5499999999999998</v>
      </c>
      <c r="H766" s="250">
        <v>6800</v>
      </c>
      <c r="I766" s="160">
        <v>1435691</v>
      </c>
      <c r="J766" s="163">
        <v>19175</v>
      </c>
      <c r="K766" s="158">
        <v>43528</v>
      </c>
      <c r="L766" s="160" t="s">
        <v>1259</v>
      </c>
      <c r="M766" s="160">
        <v>4615509176</v>
      </c>
      <c r="N766" s="158">
        <v>43549</v>
      </c>
      <c r="O766" s="164">
        <v>3.8763999999999998</v>
      </c>
      <c r="P766" s="165" t="s">
        <v>1324</v>
      </c>
      <c r="Q766" s="34">
        <f>SUMIF(Allocation[Delivery ID],Allocation[[#This Row],[Delivery ID]],Allocation[Quantity Processed])</f>
        <v>33000</v>
      </c>
      <c r="R766" s="61">
        <f>Allocation[[#This Row],[Total volume used]]/VLOOKUP(Allocation[[#This Row],[Delivery ID]],Delivery[[Delivery ID]:[Quantity delivered]],3,FALSE)</f>
        <v>1</v>
      </c>
      <c r="S766" s="34">
        <f>Allocation[[#This Row],[Quantity Processed]]/Allocation[[#This Row],[Dilution rate]]</f>
        <v>6666.666666666667</v>
      </c>
      <c r="T766" s="59">
        <f>SUMIF(Allocation[Delivery ID],Allocation[[#This Row],[Delivery ID]],Allocation[Quantity allocated])/SUMIF(Allocation[Delivery ID],Allocation[[#This Row],[Delivery ID]],Allocation[Volume available (kg)])</f>
        <v>1.0161353455399469</v>
      </c>
      <c r="U766" s="61">
        <f>Allocation[[#This Row],[Total volume used]]/VLOOKUP(Allocation[[#This Row],[Delivery ID]],Delivery[[Delivery ID]:[Quantity delivered]],3,FALSE)</f>
        <v>1</v>
      </c>
      <c r="V766" s="34">
        <f>VLOOKUP(Allocation[[#This Row],[SAP Contract number]],Shipments[[SAP Contract number]:[Contracted container weight]],2,FALSE)</f>
        <v>19175</v>
      </c>
      <c r="W766" s="34">
        <f>VLOOKUP(Allocation[[#This Row],[SAP Contract number]],Shipments[[SAP Contract number]:[AAA Premium USD]],24,FALSE)</f>
        <v>6763.7822038320437</v>
      </c>
      <c r="X766" s="34">
        <f>VLOOKUP(Allocation[[#This Row],[SAP Contract number]],Shipments[[SAP Contract number]:[RA Premium USD]],25,FALSE)</f>
        <v>2113.6819386975139</v>
      </c>
      <c r="Y766" s="38">
        <f>Allocation[[#This Row],[Quantity Processed]]/Allocation[[#This Row],[Quantity allocated]]</f>
        <v>2.5</v>
      </c>
      <c r="Z766" s="34" t="b">
        <f>Allocation[[#This Row],[Quantity allocated]]&lt;=Allocation[[#This Row],[Quantity Processed]]</f>
        <v>1</v>
      </c>
    </row>
    <row r="767" spans="1:26">
      <c r="A767" s="247" t="s">
        <v>467</v>
      </c>
      <c r="B767" s="160" t="s">
        <v>68</v>
      </c>
      <c r="C767" s="252" t="s">
        <v>628</v>
      </c>
      <c r="D767" s="250">
        <v>17000</v>
      </c>
      <c r="E767" s="160" t="s">
        <v>1255</v>
      </c>
      <c r="F767" s="158">
        <v>43522</v>
      </c>
      <c r="G767" s="162">
        <v>2.5499999999999998</v>
      </c>
      <c r="H767" s="250">
        <v>6800</v>
      </c>
      <c r="I767" s="160">
        <v>1435691</v>
      </c>
      <c r="J767" s="163">
        <v>19175</v>
      </c>
      <c r="K767" s="158">
        <v>43528</v>
      </c>
      <c r="L767" s="160" t="s">
        <v>1259</v>
      </c>
      <c r="M767" s="160">
        <v>4615509176</v>
      </c>
      <c r="N767" s="158">
        <v>43549</v>
      </c>
      <c r="O767" s="164">
        <v>3.8763999999999998</v>
      </c>
      <c r="P767" s="165" t="s">
        <v>1324</v>
      </c>
      <c r="Q767" s="34">
        <f>SUMIF(Allocation[Delivery ID],Allocation[[#This Row],[Delivery ID]],Allocation[Quantity Processed])</f>
        <v>33020</v>
      </c>
      <c r="R767" s="61">
        <f>Allocation[[#This Row],[Total volume used]]/VLOOKUP(Allocation[[#This Row],[Delivery ID]],Delivery[[Delivery ID]:[Quantity delivered]],3,FALSE)</f>
        <v>1</v>
      </c>
      <c r="S767" s="34">
        <f>Allocation[[#This Row],[Quantity Processed]]/Allocation[[#This Row],[Dilution rate]]</f>
        <v>6666.666666666667</v>
      </c>
      <c r="T767" s="59">
        <f>SUMIF(Allocation[Delivery ID],Allocation[[#This Row],[Delivery ID]],Allocation[Quantity allocated])/SUMIF(Allocation[Delivery ID],Allocation[[#This Row],[Delivery ID]],Allocation[Volume available (kg)])</f>
        <v>1.0162208215605302</v>
      </c>
      <c r="U767" s="61">
        <f>Allocation[[#This Row],[Total volume used]]/VLOOKUP(Allocation[[#This Row],[Delivery ID]],Delivery[[Delivery ID]:[Quantity delivered]],3,FALSE)</f>
        <v>1</v>
      </c>
      <c r="V767" s="34">
        <f>VLOOKUP(Allocation[[#This Row],[SAP Contract number]],Shipments[[SAP Contract number]:[Contracted container weight]],2,FALSE)</f>
        <v>19175</v>
      </c>
      <c r="W767" s="34">
        <f>VLOOKUP(Allocation[[#This Row],[SAP Contract number]],Shipments[[SAP Contract number]:[AAA Premium USD]],24,FALSE)</f>
        <v>6763.7822038320437</v>
      </c>
      <c r="X767" s="34">
        <f>VLOOKUP(Allocation[[#This Row],[SAP Contract number]],Shipments[[SAP Contract number]:[RA Premium USD]],25,FALSE)</f>
        <v>2113.6819386975139</v>
      </c>
      <c r="Y767" s="38">
        <f>Allocation[[#This Row],[Quantity Processed]]/Allocation[[#This Row],[Quantity allocated]]</f>
        <v>2.5</v>
      </c>
      <c r="Z767" s="34" t="b">
        <f>Allocation[[#This Row],[Quantity allocated]]&lt;=Allocation[[#This Row],[Quantity Processed]]</f>
        <v>1</v>
      </c>
    </row>
    <row r="768" spans="1:26">
      <c r="A768" s="247" t="s">
        <v>467</v>
      </c>
      <c r="B768" s="160" t="s">
        <v>68</v>
      </c>
      <c r="C768" s="252" t="s">
        <v>629</v>
      </c>
      <c r="D768" s="250">
        <v>1408</v>
      </c>
      <c r="E768" s="160" t="s">
        <v>1255</v>
      </c>
      <c r="F768" s="158">
        <v>43522</v>
      </c>
      <c r="G768" s="162">
        <v>2.5499999999999998</v>
      </c>
      <c r="H768" s="250">
        <v>567</v>
      </c>
      <c r="I768" s="160">
        <v>1435691</v>
      </c>
      <c r="J768" s="163">
        <v>19175</v>
      </c>
      <c r="K768" s="158">
        <v>43528</v>
      </c>
      <c r="L768" s="160" t="s">
        <v>1259</v>
      </c>
      <c r="M768" s="160">
        <v>4615509176</v>
      </c>
      <c r="N768" s="158">
        <v>43549</v>
      </c>
      <c r="O768" s="164">
        <v>3.8763999999999998</v>
      </c>
      <c r="P768" s="165" t="s">
        <v>1324</v>
      </c>
      <c r="Q768" s="34">
        <f>SUMIF(Allocation[Delivery ID],Allocation[[#This Row],[Delivery ID]],Allocation[Quantity Processed])</f>
        <v>37180</v>
      </c>
      <c r="R768" s="61">
        <f>Allocation[[#This Row],[Total volume used]]/VLOOKUP(Allocation[[#This Row],[Delivery ID]],Delivery[[Delivery ID]:[Quantity delivered]],3,FALSE)</f>
        <v>1</v>
      </c>
      <c r="S768" s="34">
        <f>Allocation[[#This Row],[Quantity Processed]]/Allocation[[#This Row],[Dilution rate]]</f>
        <v>552.15686274509812</v>
      </c>
      <c r="T768" s="59">
        <f>SUMIF(Allocation[Delivery ID],Allocation[[#This Row],[Delivery ID]],Allocation[Quantity allocated])/SUMIF(Allocation[Delivery ID],Allocation[[#This Row],[Delivery ID]],Allocation[Volume available (kg)])</f>
        <v>1.0143554351267257</v>
      </c>
      <c r="U768" s="61">
        <f>Allocation[[#This Row],[Total volume used]]/VLOOKUP(Allocation[[#This Row],[Delivery ID]],Delivery[[Delivery ID]:[Quantity delivered]],3,FALSE)</f>
        <v>1</v>
      </c>
      <c r="V768" s="34">
        <f>VLOOKUP(Allocation[[#This Row],[SAP Contract number]],Shipments[[SAP Contract number]:[Contracted container weight]],2,FALSE)</f>
        <v>19175</v>
      </c>
      <c r="W768" s="34">
        <f>VLOOKUP(Allocation[[#This Row],[SAP Contract number]],Shipments[[SAP Contract number]:[AAA Premium USD]],24,FALSE)</f>
        <v>6763.7822038320437</v>
      </c>
      <c r="X768" s="34">
        <f>VLOOKUP(Allocation[[#This Row],[SAP Contract number]],Shipments[[SAP Contract number]:[RA Premium USD]],25,FALSE)</f>
        <v>2113.6819386975139</v>
      </c>
      <c r="Y768" s="38">
        <f>Allocation[[#This Row],[Quantity Processed]]/Allocation[[#This Row],[Quantity allocated]]</f>
        <v>2.4832451499118164</v>
      </c>
      <c r="Z768" s="34" t="b">
        <f>Allocation[[#This Row],[Quantity allocated]]&lt;=Allocation[[#This Row],[Quantity Processed]]</f>
        <v>1</v>
      </c>
    </row>
    <row r="769" spans="1:26">
      <c r="A769" s="247" t="s">
        <v>467</v>
      </c>
      <c r="B769" s="160" t="s">
        <v>68</v>
      </c>
      <c r="C769" s="252" t="s">
        <v>629</v>
      </c>
      <c r="D769" s="250">
        <v>18514</v>
      </c>
      <c r="E769" s="160" t="s">
        <v>1255</v>
      </c>
      <c r="F769" s="158">
        <v>43522</v>
      </c>
      <c r="G769" s="162">
        <v>2.5499999999999998</v>
      </c>
      <c r="H769" s="250">
        <v>7457</v>
      </c>
      <c r="I769" s="160">
        <v>1435692</v>
      </c>
      <c r="J769" s="163">
        <v>19175</v>
      </c>
      <c r="K769" s="158">
        <v>43528</v>
      </c>
      <c r="L769" s="160" t="s">
        <v>1260</v>
      </c>
      <c r="M769" s="160">
        <v>4615509176</v>
      </c>
      <c r="N769" s="158">
        <v>43549</v>
      </c>
      <c r="O769" s="164">
        <v>3.8763999999999998</v>
      </c>
      <c r="P769" s="165" t="s">
        <v>1324</v>
      </c>
      <c r="Q769" s="34">
        <f>SUMIF(Allocation[Delivery ID],Allocation[[#This Row],[Delivery ID]],Allocation[Quantity Processed])</f>
        <v>37180</v>
      </c>
      <c r="R769" s="61">
        <f>Allocation[[#This Row],[Total volume used]]/VLOOKUP(Allocation[[#This Row],[Delivery ID]],Delivery[[Delivery ID]:[Quantity delivered]],3,FALSE)</f>
        <v>1</v>
      </c>
      <c r="S769" s="34">
        <f>Allocation[[#This Row],[Quantity Processed]]/Allocation[[#This Row],[Dilution rate]]</f>
        <v>7260.3921568627457</v>
      </c>
      <c r="T769" s="59">
        <f>SUMIF(Allocation[Delivery ID],Allocation[[#This Row],[Delivery ID]],Allocation[Quantity allocated])/SUMIF(Allocation[Delivery ID],Allocation[[#This Row],[Delivery ID]],Allocation[Volume available (kg)])</f>
        <v>1.0143554351267257</v>
      </c>
      <c r="U769" s="61">
        <f>Allocation[[#This Row],[Total volume used]]/VLOOKUP(Allocation[[#This Row],[Delivery ID]],Delivery[[Delivery ID]:[Quantity delivered]],3,FALSE)</f>
        <v>1</v>
      </c>
      <c r="V769" s="34">
        <f>VLOOKUP(Allocation[[#This Row],[SAP Contract number]],Shipments[[SAP Contract number]:[Contracted container weight]],2,FALSE)</f>
        <v>19175</v>
      </c>
      <c r="W769" s="34">
        <f>VLOOKUP(Allocation[[#This Row],[SAP Contract number]],Shipments[[SAP Contract number]:[AAA Premium USD]],24,FALSE)</f>
        <v>6763.7822038320437</v>
      </c>
      <c r="X769" s="34">
        <f>VLOOKUP(Allocation[[#This Row],[SAP Contract number]],Shipments[[SAP Contract number]:[RA Premium USD]],25,FALSE)</f>
        <v>2113.6819386975139</v>
      </c>
      <c r="Y769" s="38">
        <f>Allocation[[#This Row],[Quantity Processed]]/Allocation[[#This Row],[Quantity allocated]]</f>
        <v>2.4827678691162665</v>
      </c>
      <c r="Z769" s="34" t="b">
        <f>Allocation[[#This Row],[Quantity allocated]]&lt;=Allocation[[#This Row],[Quantity Processed]]</f>
        <v>1</v>
      </c>
    </row>
    <row r="770" spans="1:26">
      <c r="A770" s="247" t="s">
        <v>467</v>
      </c>
      <c r="B770" s="160" t="s">
        <v>68</v>
      </c>
      <c r="C770" s="252" t="s">
        <v>630</v>
      </c>
      <c r="D770" s="250">
        <v>19323</v>
      </c>
      <c r="E770" s="160" t="s">
        <v>1255</v>
      </c>
      <c r="F770" s="158">
        <v>43522</v>
      </c>
      <c r="G770" s="162">
        <v>2.5499999999999998</v>
      </c>
      <c r="H770" s="250">
        <v>7729</v>
      </c>
      <c r="I770" s="160">
        <v>1435692</v>
      </c>
      <c r="J770" s="163">
        <v>19175</v>
      </c>
      <c r="K770" s="158">
        <v>43528</v>
      </c>
      <c r="L770" s="160" t="s">
        <v>1260</v>
      </c>
      <c r="M770" s="160">
        <v>4615509176</v>
      </c>
      <c r="N770" s="158">
        <v>43549</v>
      </c>
      <c r="O770" s="164">
        <v>3.8763999999999998</v>
      </c>
      <c r="P770" s="165" t="s">
        <v>1324</v>
      </c>
      <c r="Q770" s="34">
        <f>SUMIF(Allocation[Delivery ID],Allocation[[#This Row],[Delivery ID]],Allocation[Quantity Processed])</f>
        <v>37170</v>
      </c>
      <c r="R770" s="61">
        <f>Allocation[[#This Row],[Total volume used]]/VLOOKUP(Allocation[[#This Row],[Delivery ID]],Delivery[[Delivery ID]:[Quantity delivered]],3,FALSE)</f>
        <v>1</v>
      </c>
      <c r="S770" s="34">
        <f>Allocation[[#This Row],[Quantity Processed]]/Allocation[[#This Row],[Dilution rate]]</f>
        <v>7577.6470588235297</v>
      </c>
      <c r="T770" s="59">
        <f>SUMIF(Allocation[Delivery ID],Allocation[[#This Row],[Delivery ID]],Allocation[Quantity allocated])/SUMIF(Allocation[Delivery ID],Allocation[[#This Row],[Delivery ID]],Allocation[Volume available (kg)])</f>
        <v>1.0235087220833625</v>
      </c>
      <c r="U770" s="61">
        <f>Allocation[[#This Row],[Total volume used]]/VLOOKUP(Allocation[[#This Row],[Delivery ID]],Delivery[[Delivery ID]:[Quantity delivered]],3,FALSE)</f>
        <v>1</v>
      </c>
      <c r="V770" s="34">
        <f>VLOOKUP(Allocation[[#This Row],[SAP Contract number]],Shipments[[SAP Contract number]:[Contracted container weight]],2,FALSE)</f>
        <v>19175</v>
      </c>
      <c r="W770" s="34">
        <f>VLOOKUP(Allocation[[#This Row],[SAP Contract number]],Shipments[[SAP Contract number]:[AAA Premium USD]],24,FALSE)</f>
        <v>6763.7822038320437</v>
      </c>
      <c r="X770" s="34">
        <f>VLOOKUP(Allocation[[#This Row],[SAP Contract number]],Shipments[[SAP Contract number]:[RA Premium USD]],25,FALSE)</f>
        <v>2113.6819386975139</v>
      </c>
      <c r="Y770" s="38">
        <f>Allocation[[#This Row],[Quantity Processed]]/Allocation[[#This Row],[Quantity allocated]]</f>
        <v>2.5000646914219176</v>
      </c>
      <c r="Z770" s="34" t="b">
        <f>Allocation[[#This Row],[Quantity allocated]]&lt;=Allocation[[#This Row],[Quantity Processed]]</f>
        <v>1</v>
      </c>
    </row>
    <row r="771" spans="1:26">
      <c r="A771" s="247" t="s">
        <v>467</v>
      </c>
      <c r="B771" s="160" t="s">
        <v>68</v>
      </c>
      <c r="C771" s="252" t="s">
        <v>631</v>
      </c>
      <c r="D771" s="250">
        <v>9973</v>
      </c>
      <c r="E771" s="160" t="s">
        <v>1255</v>
      </c>
      <c r="F771" s="158">
        <v>43522</v>
      </c>
      <c r="G771" s="162">
        <v>2.5499999999999998</v>
      </c>
      <c r="H771" s="250">
        <v>3989</v>
      </c>
      <c r="I771" s="160">
        <v>1435692</v>
      </c>
      <c r="J771" s="163">
        <v>19175</v>
      </c>
      <c r="K771" s="158">
        <v>43528</v>
      </c>
      <c r="L771" s="160" t="s">
        <v>1260</v>
      </c>
      <c r="M771" s="160">
        <v>4615509176</v>
      </c>
      <c r="N771" s="158">
        <v>43549</v>
      </c>
      <c r="O771" s="164">
        <v>3.8763999999999998</v>
      </c>
      <c r="P771" s="165" t="s">
        <v>1324</v>
      </c>
      <c r="Q771" s="34">
        <f>SUMIF(Allocation[Delivery ID],Allocation[[#This Row],[Delivery ID]],Allocation[Quantity Processed])</f>
        <v>49860</v>
      </c>
      <c r="R771" s="61">
        <f>Allocation[[#This Row],[Total volume used]]/VLOOKUP(Allocation[[#This Row],[Delivery ID]],Delivery[[Delivery ID]:[Quantity delivered]],3,FALSE)</f>
        <v>1</v>
      </c>
      <c r="S771" s="34">
        <f>Allocation[[#This Row],[Quantity Processed]]/Allocation[[#This Row],[Dilution rate]]</f>
        <v>3910.9803921568632</v>
      </c>
      <c r="T771" s="59">
        <f>SUMIF(Allocation[Delivery ID],Allocation[[#This Row],[Delivery ID]],Allocation[Quantity allocated])/SUMIF(Allocation[Delivery ID],Allocation[[#This Row],[Delivery ID]],Allocation[Volume available (kg)])</f>
        <v>1.0206100407433714</v>
      </c>
      <c r="U771" s="61">
        <f>Allocation[[#This Row],[Total volume used]]/VLOOKUP(Allocation[[#This Row],[Delivery ID]],Delivery[[Delivery ID]:[Quantity delivered]],3,FALSE)</f>
        <v>1</v>
      </c>
      <c r="V771" s="34">
        <f>VLOOKUP(Allocation[[#This Row],[SAP Contract number]],Shipments[[SAP Contract number]:[Contracted container weight]],2,FALSE)</f>
        <v>19175</v>
      </c>
      <c r="W771" s="34">
        <f>VLOOKUP(Allocation[[#This Row],[SAP Contract number]],Shipments[[SAP Contract number]:[AAA Premium USD]],24,FALSE)</f>
        <v>6763.7822038320437</v>
      </c>
      <c r="X771" s="34">
        <f>VLOOKUP(Allocation[[#This Row],[SAP Contract number]],Shipments[[SAP Contract number]:[RA Premium USD]],25,FALSE)</f>
        <v>2113.6819386975139</v>
      </c>
      <c r="Y771" s="38">
        <f>Allocation[[#This Row],[Quantity Processed]]/Allocation[[#This Row],[Quantity allocated]]</f>
        <v>2.5001253446979192</v>
      </c>
      <c r="Z771" s="34" t="b">
        <f>Allocation[[#This Row],[Quantity allocated]]&lt;=Allocation[[#This Row],[Quantity Processed]]</f>
        <v>1</v>
      </c>
    </row>
    <row r="772" spans="1:26">
      <c r="A772" s="247" t="s">
        <v>467</v>
      </c>
      <c r="B772" s="160" t="s">
        <v>68</v>
      </c>
      <c r="C772" s="252" t="s">
        <v>631</v>
      </c>
      <c r="D772" s="250">
        <v>15340</v>
      </c>
      <c r="E772" s="160" t="s">
        <v>1255</v>
      </c>
      <c r="F772" s="158">
        <v>43522</v>
      </c>
      <c r="G772" s="162">
        <v>2.5499999999999998</v>
      </c>
      <c r="H772" s="250">
        <v>6136</v>
      </c>
      <c r="I772" s="160">
        <v>1435693</v>
      </c>
      <c r="J772" s="163">
        <v>19175</v>
      </c>
      <c r="K772" s="158">
        <v>43528</v>
      </c>
      <c r="L772" s="160" t="s">
        <v>1261</v>
      </c>
      <c r="M772" s="160">
        <v>4615509176</v>
      </c>
      <c r="N772" s="158">
        <v>43549</v>
      </c>
      <c r="O772" s="164">
        <v>3.8763999999999998</v>
      </c>
      <c r="P772" s="165" t="s">
        <v>1324</v>
      </c>
      <c r="Q772" s="34">
        <f>SUMIF(Allocation[Delivery ID],Allocation[[#This Row],[Delivery ID]],Allocation[Quantity Processed])</f>
        <v>49860</v>
      </c>
      <c r="R772" s="61">
        <f>Allocation[[#This Row],[Total volume used]]/VLOOKUP(Allocation[[#This Row],[Delivery ID]],Delivery[[Delivery ID]:[Quantity delivered]],3,FALSE)</f>
        <v>1</v>
      </c>
      <c r="S772" s="34">
        <f>Allocation[[#This Row],[Quantity Processed]]/Allocation[[#This Row],[Dilution rate]]</f>
        <v>6015.6862745098042</v>
      </c>
      <c r="T772" s="59">
        <f>SUMIF(Allocation[Delivery ID],Allocation[[#This Row],[Delivery ID]],Allocation[Quantity allocated])/SUMIF(Allocation[Delivery ID],Allocation[[#This Row],[Delivery ID]],Allocation[Volume available (kg)])</f>
        <v>1.0206100407433714</v>
      </c>
      <c r="U772" s="61">
        <f>Allocation[[#This Row],[Total volume used]]/VLOOKUP(Allocation[[#This Row],[Delivery ID]],Delivery[[Delivery ID]:[Quantity delivered]],3,FALSE)</f>
        <v>1</v>
      </c>
      <c r="V772" s="34">
        <f>VLOOKUP(Allocation[[#This Row],[SAP Contract number]],Shipments[[SAP Contract number]:[Contracted container weight]],2,FALSE)</f>
        <v>19175</v>
      </c>
      <c r="W772" s="34">
        <f>VLOOKUP(Allocation[[#This Row],[SAP Contract number]],Shipments[[SAP Contract number]:[AAA Premium USD]],24,FALSE)</f>
        <v>6763.7822038320437</v>
      </c>
      <c r="X772" s="34">
        <f>VLOOKUP(Allocation[[#This Row],[SAP Contract number]],Shipments[[SAP Contract number]:[RA Premium USD]],25,FALSE)</f>
        <v>2113.6819386975139</v>
      </c>
      <c r="Y772" s="38">
        <f>Allocation[[#This Row],[Quantity Processed]]/Allocation[[#This Row],[Quantity allocated]]</f>
        <v>2.5</v>
      </c>
      <c r="Z772" s="34" t="b">
        <f>Allocation[[#This Row],[Quantity allocated]]&lt;=Allocation[[#This Row],[Quantity Processed]]</f>
        <v>1</v>
      </c>
    </row>
    <row r="773" spans="1:26">
      <c r="A773" s="247" t="s">
        <v>467</v>
      </c>
      <c r="B773" s="160" t="s">
        <v>68</v>
      </c>
      <c r="C773" s="252" t="s">
        <v>1106</v>
      </c>
      <c r="D773" s="250">
        <v>22273</v>
      </c>
      <c r="E773" s="160" t="s">
        <v>1255</v>
      </c>
      <c r="F773" s="158">
        <v>43522</v>
      </c>
      <c r="G773" s="162">
        <v>2.5499999999999998</v>
      </c>
      <c r="H773" s="250">
        <v>8909</v>
      </c>
      <c r="I773" s="160">
        <v>1435693</v>
      </c>
      <c r="J773" s="163">
        <v>19175</v>
      </c>
      <c r="K773" s="158">
        <v>43528</v>
      </c>
      <c r="L773" s="160" t="s">
        <v>1261</v>
      </c>
      <c r="M773" s="160">
        <v>4615509176</v>
      </c>
      <c r="N773" s="158">
        <v>43549</v>
      </c>
      <c r="O773" s="164">
        <v>3.8763999999999998</v>
      </c>
      <c r="P773" s="165" t="s">
        <v>1324</v>
      </c>
      <c r="Q773" s="34">
        <f>SUMIF(Allocation[Delivery ID],Allocation[[#This Row],[Delivery ID]],Allocation[Quantity Processed])</f>
        <v>22273</v>
      </c>
      <c r="R773" s="61">
        <f>Allocation[[#This Row],[Total volume used]]/VLOOKUP(Allocation[[#This Row],[Delivery ID]],Delivery[[Delivery ID]:[Quantity delivered]],3,FALSE)</f>
        <v>0.74243333333333328</v>
      </c>
      <c r="S773" s="34">
        <f>Allocation[[#This Row],[Quantity Processed]]/Allocation[[#This Row],[Dilution rate]]</f>
        <v>8734.50980392157</v>
      </c>
      <c r="T773" s="59">
        <f>SUMIF(Allocation[Delivery ID],Allocation[[#This Row],[Delivery ID]],Allocation[Quantity allocated])/SUMIF(Allocation[Delivery ID],Allocation[[#This Row],[Delivery ID]],Allocation[Volume available (kg)])</f>
        <v>1.0199771023211959</v>
      </c>
      <c r="U773" s="61">
        <f>Allocation[[#This Row],[Total volume used]]/VLOOKUP(Allocation[[#This Row],[Delivery ID]],Delivery[[Delivery ID]:[Quantity delivered]],3,FALSE)</f>
        <v>0.74243333333333328</v>
      </c>
      <c r="V773" s="34">
        <f>VLOOKUP(Allocation[[#This Row],[SAP Contract number]],Shipments[[SAP Contract number]:[Contracted container weight]],2,FALSE)</f>
        <v>19175</v>
      </c>
      <c r="W773" s="34">
        <f>VLOOKUP(Allocation[[#This Row],[SAP Contract number]],Shipments[[SAP Contract number]:[AAA Premium USD]],24,FALSE)</f>
        <v>6763.7822038320437</v>
      </c>
      <c r="X773" s="34">
        <f>VLOOKUP(Allocation[[#This Row],[SAP Contract number]],Shipments[[SAP Contract number]:[RA Premium USD]],25,FALSE)</f>
        <v>2113.6819386975139</v>
      </c>
      <c r="Y773" s="38">
        <f>Allocation[[#This Row],[Quantity Processed]]/Allocation[[#This Row],[Quantity allocated]]</f>
        <v>2.5000561230216634</v>
      </c>
      <c r="Z773" s="34" t="b">
        <f>Allocation[[#This Row],[Quantity allocated]]&lt;=Allocation[[#This Row],[Quantity Processed]]</f>
        <v>1</v>
      </c>
    </row>
    <row r="774" spans="1:26">
      <c r="A774" s="247" t="s">
        <v>467</v>
      </c>
      <c r="B774" s="160" t="s">
        <v>68</v>
      </c>
      <c r="C774" s="252" t="s">
        <v>1108</v>
      </c>
      <c r="D774" s="250">
        <v>10325</v>
      </c>
      <c r="E774" s="160" t="s">
        <v>1255</v>
      </c>
      <c r="F774" s="158">
        <v>43522</v>
      </c>
      <c r="G774" s="162">
        <v>2.5499999999999998</v>
      </c>
      <c r="H774" s="250">
        <v>4130</v>
      </c>
      <c r="I774" s="160">
        <v>1435693</v>
      </c>
      <c r="J774" s="163">
        <v>19175</v>
      </c>
      <c r="K774" s="158">
        <v>43528</v>
      </c>
      <c r="L774" s="160" t="s">
        <v>1261</v>
      </c>
      <c r="M774" s="160">
        <v>4615509176</v>
      </c>
      <c r="N774" s="158">
        <v>43549</v>
      </c>
      <c r="O774" s="164">
        <v>3.8763999999999998</v>
      </c>
      <c r="P774" s="165" t="s">
        <v>1324</v>
      </c>
      <c r="Q774" s="34">
        <f>SUMIF(Allocation[Delivery ID],Allocation[[#This Row],[Delivery ID]],Allocation[Quantity Processed])</f>
        <v>22273</v>
      </c>
      <c r="R774" s="61">
        <f>Allocation[[#This Row],[Total volume used]]/VLOOKUP(Allocation[[#This Row],[Delivery ID]],Delivery[[Delivery ID]:[Quantity delivered]],3,FALSE)</f>
        <v>0.74193870752831448</v>
      </c>
      <c r="S774" s="34">
        <f>Allocation[[#This Row],[Quantity Processed]]/Allocation[[#This Row],[Dilution rate]]</f>
        <v>4049.0196078431377</v>
      </c>
      <c r="T774" s="59">
        <f>SUMIF(Allocation[Delivery ID],Allocation[[#This Row],[Delivery ID]],Allocation[Quantity allocated])/SUMIF(Allocation[Delivery ID],Allocation[[#This Row],[Delivery ID]],Allocation[Volume available (kg)])</f>
        <v>1.0199771023211959</v>
      </c>
      <c r="U774" s="61">
        <f>Allocation[[#This Row],[Total volume used]]/VLOOKUP(Allocation[[#This Row],[Delivery ID]],Delivery[[Delivery ID]:[Quantity delivered]],3,FALSE)</f>
        <v>0.74193870752831448</v>
      </c>
      <c r="V774" s="34">
        <f>VLOOKUP(Allocation[[#This Row],[SAP Contract number]],Shipments[[SAP Contract number]:[Contracted container weight]],2,FALSE)</f>
        <v>19175</v>
      </c>
      <c r="W774" s="34">
        <f>VLOOKUP(Allocation[[#This Row],[SAP Contract number]],Shipments[[SAP Contract number]:[AAA Premium USD]],24,FALSE)</f>
        <v>6763.7822038320437</v>
      </c>
      <c r="X774" s="34">
        <f>VLOOKUP(Allocation[[#This Row],[SAP Contract number]],Shipments[[SAP Contract number]:[RA Premium USD]],25,FALSE)</f>
        <v>2113.6819386975139</v>
      </c>
      <c r="Y774" s="38">
        <f>Allocation[[#This Row],[Quantity Processed]]/Allocation[[#This Row],[Quantity allocated]]</f>
        <v>2.5</v>
      </c>
      <c r="Z774" s="34" t="b">
        <f>Allocation[[#This Row],[Quantity allocated]]&lt;=Allocation[[#This Row],[Quantity Processed]]</f>
        <v>1</v>
      </c>
    </row>
    <row r="775" spans="1:26">
      <c r="A775" s="247" t="s">
        <v>467</v>
      </c>
      <c r="B775" s="160" t="s">
        <v>68</v>
      </c>
      <c r="C775" s="252" t="s">
        <v>1108</v>
      </c>
      <c r="D775" s="250">
        <v>11948</v>
      </c>
      <c r="E775" s="160" t="s">
        <v>1255</v>
      </c>
      <c r="F775" s="158">
        <v>43522</v>
      </c>
      <c r="G775" s="162">
        <v>2.5499999999999998</v>
      </c>
      <c r="H775" s="250">
        <v>4779</v>
      </c>
      <c r="I775" s="160">
        <v>1435694</v>
      </c>
      <c r="J775" s="163">
        <v>19175</v>
      </c>
      <c r="K775" s="158">
        <v>43528</v>
      </c>
      <c r="L775" s="160" t="s">
        <v>1262</v>
      </c>
      <c r="M775" s="160">
        <v>4615509176</v>
      </c>
      <c r="N775" s="158">
        <v>43549</v>
      </c>
      <c r="O775" s="164">
        <v>3.8763999999999998</v>
      </c>
      <c r="P775" s="165" t="s">
        <v>1325</v>
      </c>
      <c r="Q775" s="34">
        <f>SUMIF(Allocation[Delivery ID],Allocation[[#This Row],[Delivery ID]],Allocation[Quantity Processed])</f>
        <v>22273</v>
      </c>
      <c r="R775" s="61">
        <f>Allocation[[#This Row],[Total volume used]]/VLOOKUP(Allocation[[#This Row],[Delivery ID]],Delivery[[Delivery ID]:[Quantity delivered]],3,FALSE)</f>
        <v>0.74193870752831448</v>
      </c>
      <c r="S775" s="34">
        <f>Allocation[[#This Row],[Quantity Processed]]/Allocation[[#This Row],[Dilution rate]]</f>
        <v>4685.4901960784318</v>
      </c>
      <c r="T775" s="59">
        <f>SUMIF(Allocation[Delivery ID],Allocation[[#This Row],[Delivery ID]],Allocation[Quantity allocated])/SUMIF(Allocation[Delivery ID],Allocation[[#This Row],[Delivery ID]],Allocation[Volume available (kg)])</f>
        <v>1.0199771023211959</v>
      </c>
      <c r="U775" s="61">
        <f>Allocation[[#This Row],[Total volume used]]/VLOOKUP(Allocation[[#This Row],[Delivery ID]],Delivery[[Delivery ID]:[Quantity delivered]],3,FALSE)</f>
        <v>0.74193870752831448</v>
      </c>
      <c r="V775" s="34">
        <f>VLOOKUP(Allocation[[#This Row],[SAP Contract number]],Shipments[[SAP Contract number]:[Contracted container weight]],2,FALSE)</f>
        <v>19175</v>
      </c>
      <c r="W775" s="34">
        <f>VLOOKUP(Allocation[[#This Row],[SAP Contract number]],Shipments[[SAP Contract number]:[AAA Premium USD]],24,FALSE)</f>
        <v>6763.7822038320437</v>
      </c>
      <c r="X775" s="34">
        <f>VLOOKUP(Allocation[[#This Row],[SAP Contract number]],Shipments[[SAP Contract number]:[RA Premium USD]],25,FALSE)</f>
        <v>2113.6819386975139</v>
      </c>
      <c r="Y775" s="38">
        <f>Allocation[[#This Row],[Quantity Processed]]/Allocation[[#This Row],[Quantity allocated]]</f>
        <v>2.5001046243984097</v>
      </c>
      <c r="Z775" s="34" t="b">
        <f>Allocation[[#This Row],[Quantity allocated]]&lt;=Allocation[[#This Row],[Quantity Processed]]</f>
        <v>1</v>
      </c>
    </row>
    <row r="776" spans="1:26">
      <c r="A776" s="247" t="s">
        <v>467</v>
      </c>
      <c r="B776" s="160" t="s">
        <v>68</v>
      </c>
      <c r="C776" s="252" t="s">
        <v>1111</v>
      </c>
      <c r="D776" s="250">
        <v>22273</v>
      </c>
      <c r="E776" s="160" t="s">
        <v>1255</v>
      </c>
      <c r="F776" s="158">
        <v>43522</v>
      </c>
      <c r="G776" s="162">
        <v>2.5499999999999998</v>
      </c>
      <c r="H776" s="250">
        <v>8909</v>
      </c>
      <c r="I776" s="160">
        <v>1435694</v>
      </c>
      <c r="J776" s="163">
        <v>19175</v>
      </c>
      <c r="K776" s="158">
        <v>43528</v>
      </c>
      <c r="L776" s="160" t="s">
        <v>1262</v>
      </c>
      <c r="M776" s="160">
        <v>4615509176</v>
      </c>
      <c r="N776" s="158">
        <v>43549</v>
      </c>
      <c r="O776" s="164">
        <v>3.8763999999999998</v>
      </c>
      <c r="P776" s="165" t="s">
        <v>1325</v>
      </c>
      <c r="Q776" s="34">
        <f>SUMIF(Allocation[Delivery ID],Allocation[[#This Row],[Delivery ID]],Allocation[Quantity Processed])</f>
        <v>22273</v>
      </c>
      <c r="R776" s="61">
        <f>Allocation[[#This Row],[Total volume used]]/VLOOKUP(Allocation[[#This Row],[Delivery ID]],Delivery[[Delivery ID]:[Quantity delivered]],3,FALSE)</f>
        <v>0.74243333333333328</v>
      </c>
      <c r="S776" s="34">
        <f>Allocation[[#This Row],[Quantity Processed]]/Allocation[[#This Row],[Dilution rate]]</f>
        <v>8734.50980392157</v>
      </c>
      <c r="T776" s="59">
        <f>SUMIF(Allocation[Delivery ID],Allocation[[#This Row],[Delivery ID]],Allocation[Quantity allocated])/SUMIF(Allocation[Delivery ID],Allocation[[#This Row],[Delivery ID]],Allocation[Volume available (kg)])</f>
        <v>1.0199771023211959</v>
      </c>
      <c r="U776" s="61">
        <f>Allocation[[#This Row],[Total volume used]]/VLOOKUP(Allocation[[#This Row],[Delivery ID]],Delivery[[Delivery ID]:[Quantity delivered]],3,FALSE)</f>
        <v>0.74243333333333328</v>
      </c>
      <c r="V776" s="34">
        <f>VLOOKUP(Allocation[[#This Row],[SAP Contract number]],Shipments[[SAP Contract number]:[Contracted container weight]],2,FALSE)</f>
        <v>19175</v>
      </c>
      <c r="W776" s="34">
        <f>VLOOKUP(Allocation[[#This Row],[SAP Contract number]],Shipments[[SAP Contract number]:[AAA Premium USD]],24,FALSE)</f>
        <v>6763.7822038320437</v>
      </c>
      <c r="X776" s="34">
        <f>VLOOKUP(Allocation[[#This Row],[SAP Contract number]],Shipments[[SAP Contract number]:[RA Premium USD]],25,FALSE)</f>
        <v>2113.6819386975139</v>
      </c>
      <c r="Y776" s="38">
        <f>Allocation[[#This Row],[Quantity Processed]]/Allocation[[#This Row],[Quantity allocated]]</f>
        <v>2.5000561230216634</v>
      </c>
      <c r="Z776" s="34" t="b">
        <f>Allocation[[#This Row],[Quantity allocated]]&lt;=Allocation[[#This Row],[Quantity Processed]]</f>
        <v>1</v>
      </c>
    </row>
    <row r="777" spans="1:26">
      <c r="A777" s="247" t="s">
        <v>467</v>
      </c>
      <c r="B777" s="160" t="s">
        <v>68</v>
      </c>
      <c r="C777" s="252" t="s">
        <v>1113</v>
      </c>
      <c r="D777" s="250">
        <v>13718</v>
      </c>
      <c r="E777" s="160" t="s">
        <v>1255</v>
      </c>
      <c r="F777" s="158">
        <v>43522</v>
      </c>
      <c r="G777" s="162">
        <v>2.5499999999999998</v>
      </c>
      <c r="H777" s="250">
        <v>5487</v>
      </c>
      <c r="I777" s="160">
        <v>1435694</v>
      </c>
      <c r="J777" s="163">
        <v>19175</v>
      </c>
      <c r="K777" s="158">
        <v>43528</v>
      </c>
      <c r="L777" s="160" t="s">
        <v>1262</v>
      </c>
      <c r="M777" s="160">
        <v>4615509176</v>
      </c>
      <c r="N777" s="158">
        <v>43549</v>
      </c>
      <c r="O777" s="164">
        <v>3.8763999999999998</v>
      </c>
      <c r="P777" s="165" t="s">
        <v>1325</v>
      </c>
      <c r="Q777" s="34">
        <f>SUMIF(Allocation[Delivery ID],Allocation[[#This Row],[Delivery ID]],Allocation[Quantity Processed])</f>
        <v>22273</v>
      </c>
      <c r="R777" s="61">
        <f>Allocation[[#This Row],[Total volume used]]/VLOOKUP(Allocation[[#This Row],[Delivery ID]],Delivery[[Delivery ID]:[Quantity delivered]],3,FALSE)</f>
        <v>0.74144474034620511</v>
      </c>
      <c r="S777" s="34">
        <f>Allocation[[#This Row],[Quantity Processed]]/Allocation[[#This Row],[Dilution rate]]</f>
        <v>5379.6078431372553</v>
      </c>
      <c r="T777" s="59">
        <f>SUMIF(Allocation[Delivery ID],Allocation[[#This Row],[Delivery ID]],Allocation[Quantity allocated])/SUMIF(Allocation[Delivery ID],Allocation[[#This Row],[Delivery ID]],Allocation[Volume available (kg)])</f>
        <v>1.0199771023211959</v>
      </c>
      <c r="U777" s="61">
        <f>Allocation[[#This Row],[Total volume used]]/VLOOKUP(Allocation[[#This Row],[Delivery ID]],Delivery[[Delivery ID]:[Quantity delivered]],3,FALSE)</f>
        <v>0.74144474034620511</v>
      </c>
      <c r="V777" s="34">
        <f>VLOOKUP(Allocation[[#This Row],[SAP Contract number]],Shipments[[SAP Contract number]:[Contracted container weight]],2,FALSE)</f>
        <v>19175</v>
      </c>
      <c r="W777" s="34">
        <f>VLOOKUP(Allocation[[#This Row],[SAP Contract number]],Shipments[[SAP Contract number]:[AAA Premium USD]],24,FALSE)</f>
        <v>6763.7822038320437</v>
      </c>
      <c r="X777" s="34">
        <f>VLOOKUP(Allocation[[#This Row],[SAP Contract number]],Shipments[[SAP Contract number]:[RA Premium USD]],25,FALSE)</f>
        <v>2113.6819386975139</v>
      </c>
      <c r="Y777" s="38">
        <f>Allocation[[#This Row],[Quantity Processed]]/Allocation[[#This Row],[Quantity allocated]]</f>
        <v>2.5000911244760342</v>
      </c>
      <c r="Z777" s="34" t="b">
        <f>Allocation[[#This Row],[Quantity allocated]]&lt;=Allocation[[#This Row],[Quantity Processed]]</f>
        <v>1</v>
      </c>
    </row>
    <row r="778" spans="1:26">
      <c r="A778" s="247" t="s">
        <v>467</v>
      </c>
      <c r="B778" s="160" t="s">
        <v>68</v>
      </c>
      <c r="C778" s="252" t="s">
        <v>1113</v>
      </c>
      <c r="D778" s="250">
        <v>8555</v>
      </c>
      <c r="E778" s="160" t="s">
        <v>1255</v>
      </c>
      <c r="F778" s="158">
        <v>43522</v>
      </c>
      <c r="G778" s="162">
        <v>2.5499999999999998</v>
      </c>
      <c r="H778" s="250">
        <v>3422</v>
      </c>
      <c r="I778" s="160">
        <v>1435695</v>
      </c>
      <c r="J778" s="163">
        <v>19175</v>
      </c>
      <c r="K778" s="158">
        <v>43528</v>
      </c>
      <c r="L778" s="160" t="s">
        <v>1263</v>
      </c>
      <c r="M778" s="160">
        <v>4615509176</v>
      </c>
      <c r="N778" s="158">
        <v>43549</v>
      </c>
      <c r="O778" s="164">
        <v>3.8763999999999998</v>
      </c>
      <c r="P778" s="165" t="s">
        <v>1325</v>
      </c>
      <c r="Q778" s="34">
        <f>SUMIF(Allocation[Delivery ID],Allocation[[#This Row],[Delivery ID]],Allocation[Quantity Processed])</f>
        <v>22273</v>
      </c>
      <c r="R778" s="61">
        <f>Allocation[[#This Row],[Total volume used]]/VLOOKUP(Allocation[[#This Row],[Delivery ID]],Delivery[[Delivery ID]:[Quantity delivered]],3,FALSE)</f>
        <v>0.74144474034620511</v>
      </c>
      <c r="S778" s="34">
        <f>Allocation[[#This Row],[Quantity Processed]]/Allocation[[#This Row],[Dilution rate]]</f>
        <v>3354.9019607843138</v>
      </c>
      <c r="T778" s="59">
        <f>SUMIF(Allocation[Delivery ID],Allocation[[#This Row],[Delivery ID]],Allocation[Quantity allocated])/SUMIF(Allocation[Delivery ID],Allocation[[#This Row],[Delivery ID]],Allocation[Volume available (kg)])</f>
        <v>1.0199771023211959</v>
      </c>
      <c r="U778" s="61">
        <f>Allocation[[#This Row],[Total volume used]]/VLOOKUP(Allocation[[#This Row],[Delivery ID]],Delivery[[Delivery ID]:[Quantity delivered]],3,FALSE)</f>
        <v>0.74144474034620511</v>
      </c>
      <c r="V778" s="34">
        <f>VLOOKUP(Allocation[[#This Row],[SAP Contract number]],Shipments[[SAP Contract number]:[Contracted container weight]],2,FALSE)</f>
        <v>19175</v>
      </c>
      <c r="W778" s="34">
        <f>VLOOKUP(Allocation[[#This Row],[SAP Contract number]],Shipments[[SAP Contract number]:[AAA Premium USD]],24,FALSE)</f>
        <v>6763.7822038320437</v>
      </c>
      <c r="X778" s="34">
        <f>VLOOKUP(Allocation[[#This Row],[SAP Contract number]],Shipments[[SAP Contract number]:[RA Premium USD]],25,FALSE)</f>
        <v>2113.6819386975139</v>
      </c>
      <c r="Y778" s="38">
        <f>Allocation[[#This Row],[Quantity Processed]]/Allocation[[#This Row],[Quantity allocated]]</f>
        <v>2.5</v>
      </c>
      <c r="Z778" s="34" t="b">
        <f>Allocation[[#This Row],[Quantity allocated]]&lt;=Allocation[[#This Row],[Quantity Processed]]</f>
        <v>1</v>
      </c>
    </row>
    <row r="779" spans="1:26">
      <c r="A779" s="247" t="s">
        <v>467</v>
      </c>
      <c r="B779" s="160" t="s">
        <v>68</v>
      </c>
      <c r="C779" s="252" t="s">
        <v>1115</v>
      </c>
      <c r="D779" s="250">
        <v>22273</v>
      </c>
      <c r="E779" s="160" t="s">
        <v>1255</v>
      </c>
      <c r="F779" s="158">
        <v>43522</v>
      </c>
      <c r="G779" s="162">
        <v>2.5499999999999998</v>
      </c>
      <c r="H779" s="250">
        <v>8909</v>
      </c>
      <c r="I779" s="160">
        <v>1435695</v>
      </c>
      <c r="J779" s="163">
        <v>19175</v>
      </c>
      <c r="K779" s="158">
        <v>43528</v>
      </c>
      <c r="L779" s="160" t="s">
        <v>1263</v>
      </c>
      <c r="M779" s="160">
        <v>4615509176</v>
      </c>
      <c r="N779" s="158">
        <v>43549</v>
      </c>
      <c r="O779" s="164">
        <v>3.8763999999999998</v>
      </c>
      <c r="P779" s="165" t="s">
        <v>1325</v>
      </c>
      <c r="Q779" s="34">
        <f>SUMIF(Allocation[Delivery ID],Allocation[[#This Row],[Delivery ID]],Allocation[Quantity Processed])</f>
        <v>22273</v>
      </c>
      <c r="R779" s="61">
        <f>Allocation[[#This Row],[Total volume used]]/VLOOKUP(Allocation[[#This Row],[Delivery ID]],Delivery[[Delivery ID]:[Quantity delivered]],3,FALSE)</f>
        <v>0.7416916416916417</v>
      </c>
      <c r="S779" s="34">
        <f>Allocation[[#This Row],[Quantity Processed]]/Allocation[[#This Row],[Dilution rate]]</f>
        <v>8734.50980392157</v>
      </c>
      <c r="T779" s="59">
        <f>SUMIF(Allocation[Delivery ID],Allocation[[#This Row],[Delivery ID]],Allocation[Quantity allocated])/SUMIF(Allocation[Delivery ID],Allocation[[#This Row],[Delivery ID]],Allocation[Volume available (kg)])</f>
        <v>1.0199771023211959</v>
      </c>
      <c r="U779" s="61">
        <f>Allocation[[#This Row],[Total volume used]]/VLOOKUP(Allocation[[#This Row],[Delivery ID]],Delivery[[Delivery ID]:[Quantity delivered]],3,FALSE)</f>
        <v>0.7416916416916417</v>
      </c>
      <c r="V779" s="34">
        <f>VLOOKUP(Allocation[[#This Row],[SAP Contract number]],Shipments[[SAP Contract number]:[Contracted container weight]],2,FALSE)</f>
        <v>19175</v>
      </c>
      <c r="W779" s="34">
        <f>VLOOKUP(Allocation[[#This Row],[SAP Contract number]],Shipments[[SAP Contract number]:[AAA Premium USD]],24,FALSE)</f>
        <v>6763.7822038320437</v>
      </c>
      <c r="X779" s="34">
        <f>VLOOKUP(Allocation[[#This Row],[SAP Contract number]],Shipments[[SAP Contract number]:[RA Premium USD]],25,FALSE)</f>
        <v>2113.6819386975139</v>
      </c>
      <c r="Y779" s="38">
        <f>Allocation[[#This Row],[Quantity Processed]]/Allocation[[#This Row],[Quantity allocated]]</f>
        <v>2.5000561230216634</v>
      </c>
      <c r="Z779" s="34" t="b">
        <f>Allocation[[#This Row],[Quantity allocated]]&lt;=Allocation[[#This Row],[Quantity Processed]]</f>
        <v>1</v>
      </c>
    </row>
    <row r="780" spans="1:26">
      <c r="A780" s="247" t="s">
        <v>467</v>
      </c>
      <c r="B780" s="160" t="s">
        <v>68</v>
      </c>
      <c r="C780" s="252" t="s">
        <v>1126</v>
      </c>
      <c r="D780" s="250">
        <v>18711</v>
      </c>
      <c r="E780" s="160" t="s">
        <v>1255</v>
      </c>
      <c r="F780" s="158">
        <v>43522</v>
      </c>
      <c r="G780" s="162">
        <v>2.5499999999999998</v>
      </c>
      <c r="H780" s="250">
        <v>5239</v>
      </c>
      <c r="I780" s="160">
        <v>1435695</v>
      </c>
      <c r="J780" s="163">
        <v>19175</v>
      </c>
      <c r="K780" s="158">
        <v>43528</v>
      </c>
      <c r="L780" s="160" t="s">
        <v>1263</v>
      </c>
      <c r="M780" s="160">
        <v>4615509176</v>
      </c>
      <c r="N780" s="158">
        <v>43549</v>
      </c>
      <c r="O780" s="164">
        <v>3.8763999999999998</v>
      </c>
      <c r="P780" s="165" t="s">
        <v>1325</v>
      </c>
      <c r="Q780" s="34">
        <f>SUMIF(Allocation[Delivery ID],Allocation[[#This Row],[Delivery ID]],Allocation[Quantity Processed])</f>
        <v>18711</v>
      </c>
      <c r="R780" s="61">
        <f>Allocation[[#This Row],[Total volume used]]/VLOOKUP(Allocation[[#This Row],[Delivery ID]],Delivery[[Delivery ID]:[Quantity delivered]],3,FALSE)</f>
        <v>0.62245508982035924</v>
      </c>
      <c r="S780" s="34">
        <f>Allocation[[#This Row],[Quantity Processed]]/Allocation[[#This Row],[Dilution rate]]</f>
        <v>7337.6470588235297</v>
      </c>
      <c r="T780" s="59">
        <f>SUMIF(Allocation[Delivery ID],Allocation[[#This Row],[Delivery ID]],Allocation[Quantity allocated])/SUMIF(Allocation[Delivery ID],Allocation[[#This Row],[Delivery ID]],Allocation[Volume available (kg)])</f>
        <v>0.71398909732243065</v>
      </c>
      <c r="U780" s="61">
        <f>Allocation[[#This Row],[Total volume used]]/VLOOKUP(Allocation[[#This Row],[Delivery ID]],Delivery[[Delivery ID]:[Quantity delivered]],3,FALSE)</f>
        <v>0.62245508982035924</v>
      </c>
      <c r="V780" s="34">
        <f>VLOOKUP(Allocation[[#This Row],[SAP Contract number]],Shipments[[SAP Contract number]:[Contracted container weight]],2,FALSE)</f>
        <v>19175</v>
      </c>
      <c r="W780" s="34">
        <f>VLOOKUP(Allocation[[#This Row],[SAP Contract number]],Shipments[[SAP Contract number]:[AAA Premium USD]],24,FALSE)</f>
        <v>6763.7822038320437</v>
      </c>
      <c r="X780" s="34">
        <f>VLOOKUP(Allocation[[#This Row],[SAP Contract number]],Shipments[[SAP Contract number]:[RA Premium USD]],25,FALSE)</f>
        <v>2113.6819386975139</v>
      </c>
      <c r="Y780" s="38">
        <f>Allocation[[#This Row],[Quantity Processed]]/Allocation[[#This Row],[Quantity allocated]]</f>
        <v>3.5714831074632563</v>
      </c>
      <c r="Z780" s="34" t="b">
        <f>Allocation[[#This Row],[Quantity allocated]]&lt;=Allocation[[#This Row],[Quantity Processed]]</f>
        <v>1</v>
      </c>
    </row>
    <row r="781" spans="1:26">
      <c r="A781" s="247" t="s">
        <v>467</v>
      </c>
      <c r="B781" s="160" t="s">
        <v>68</v>
      </c>
      <c r="C781" s="252" t="s">
        <v>1127</v>
      </c>
      <c r="D781" s="250">
        <v>5732</v>
      </c>
      <c r="E781" s="160" t="s">
        <v>1255</v>
      </c>
      <c r="F781" s="158">
        <v>43522</v>
      </c>
      <c r="G781" s="162">
        <v>2.5499999999999998</v>
      </c>
      <c r="H781" s="250">
        <v>1605</v>
      </c>
      <c r="I781" s="160">
        <v>1435695</v>
      </c>
      <c r="J781" s="163">
        <v>19175</v>
      </c>
      <c r="K781" s="158">
        <v>43528</v>
      </c>
      <c r="L781" s="160" t="s">
        <v>1263</v>
      </c>
      <c r="M781" s="160">
        <v>4615509176</v>
      </c>
      <c r="N781" s="158">
        <v>43549</v>
      </c>
      <c r="O781" s="164">
        <v>3.8763999999999998</v>
      </c>
      <c r="P781" s="165" t="s">
        <v>1325</v>
      </c>
      <c r="Q781" s="34">
        <f>SUMIF(Allocation[Delivery ID],Allocation[[#This Row],[Delivery ID]],Allocation[Quantity Processed])</f>
        <v>18711</v>
      </c>
      <c r="R781" s="61">
        <f>Allocation[[#This Row],[Total volume used]]/VLOOKUP(Allocation[[#This Row],[Delivery ID]],Delivery[[Delivery ID]:[Quantity delivered]],3,FALSE)</f>
        <v>0.62328447701532308</v>
      </c>
      <c r="S781" s="34">
        <f>Allocation[[#This Row],[Quantity Processed]]/Allocation[[#This Row],[Dilution rate]]</f>
        <v>2247.8431372549021</v>
      </c>
      <c r="T781" s="59">
        <f>SUMIF(Allocation[Delivery ID],Allocation[[#This Row],[Delivery ID]],Allocation[Quantity allocated])/SUMIF(Allocation[Delivery ID],Allocation[[#This Row],[Delivery ID]],Allocation[Volume available (kg)])</f>
        <v>0.71398909732243065</v>
      </c>
      <c r="U781" s="61">
        <f>Allocation[[#This Row],[Total volume used]]/VLOOKUP(Allocation[[#This Row],[Delivery ID]],Delivery[[Delivery ID]:[Quantity delivered]],3,FALSE)</f>
        <v>0.62328447701532308</v>
      </c>
      <c r="V781" s="34">
        <f>VLOOKUP(Allocation[[#This Row],[SAP Contract number]],Shipments[[SAP Contract number]:[Contracted container weight]],2,FALSE)</f>
        <v>19175</v>
      </c>
      <c r="W781" s="34">
        <f>VLOOKUP(Allocation[[#This Row],[SAP Contract number]],Shipments[[SAP Contract number]:[AAA Premium USD]],24,FALSE)</f>
        <v>6763.7822038320437</v>
      </c>
      <c r="X781" s="34">
        <f>VLOOKUP(Allocation[[#This Row],[SAP Contract number]],Shipments[[SAP Contract number]:[RA Premium USD]],25,FALSE)</f>
        <v>2113.6819386975139</v>
      </c>
      <c r="Y781" s="38">
        <f>Allocation[[#This Row],[Quantity Processed]]/Allocation[[#This Row],[Quantity allocated]]</f>
        <v>3.5713395638629284</v>
      </c>
      <c r="Z781" s="34" t="b">
        <f>Allocation[[#This Row],[Quantity allocated]]&lt;=Allocation[[#This Row],[Quantity Processed]]</f>
        <v>1</v>
      </c>
    </row>
    <row r="782" spans="1:26">
      <c r="A782" s="247" t="s">
        <v>467</v>
      </c>
      <c r="B782" s="160" t="s">
        <v>68</v>
      </c>
      <c r="C782" s="252" t="s">
        <v>1127</v>
      </c>
      <c r="D782" s="250">
        <v>12979</v>
      </c>
      <c r="E782" s="160" t="s">
        <v>1255</v>
      </c>
      <c r="F782" s="158">
        <v>43522</v>
      </c>
      <c r="G782" s="162">
        <v>2.5499999999999998</v>
      </c>
      <c r="H782" s="250">
        <v>3634</v>
      </c>
      <c r="I782" s="160">
        <v>1435696</v>
      </c>
      <c r="J782" s="163">
        <v>19175</v>
      </c>
      <c r="K782" s="158">
        <v>43528</v>
      </c>
      <c r="L782" s="160" t="s">
        <v>1264</v>
      </c>
      <c r="M782" s="160">
        <v>4615509176</v>
      </c>
      <c r="N782" s="158">
        <v>43549</v>
      </c>
      <c r="O782" s="164">
        <v>3.8763999999999998</v>
      </c>
      <c r="P782" s="165" t="s">
        <v>1325</v>
      </c>
      <c r="Q782" s="34">
        <f>SUMIF(Allocation[Delivery ID],Allocation[[#This Row],[Delivery ID]],Allocation[Quantity Processed])</f>
        <v>18711</v>
      </c>
      <c r="R782" s="61">
        <f>Allocation[[#This Row],[Total volume used]]/VLOOKUP(Allocation[[#This Row],[Delivery ID]],Delivery[[Delivery ID]:[Quantity delivered]],3,FALSE)</f>
        <v>0.62328447701532308</v>
      </c>
      <c r="S782" s="34">
        <f>Allocation[[#This Row],[Quantity Processed]]/Allocation[[#This Row],[Dilution rate]]</f>
        <v>5089.8039215686276</v>
      </c>
      <c r="T782" s="59">
        <f>SUMIF(Allocation[Delivery ID],Allocation[[#This Row],[Delivery ID]],Allocation[Quantity allocated])/SUMIF(Allocation[Delivery ID],Allocation[[#This Row],[Delivery ID]],Allocation[Volume available (kg)])</f>
        <v>0.71398909732243065</v>
      </c>
      <c r="U782" s="61">
        <f>Allocation[[#This Row],[Total volume used]]/VLOOKUP(Allocation[[#This Row],[Delivery ID]],Delivery[[Delivery ID]:[Quantity delivered]],3,FALSE)</f>
        <v>0.62328447701532308</v>
      </c>
      <c r="V782" s="34">
        <f>VLOOKUP(Allocation[[#This Row],[SAP Contract number]],Shipments[[SAP Contract number]:[Contracted container weight]],2,FALSE)</f>
        <v>19175</v>
      </c>
      <c r="W782" s="34">
        <f>VLOOKUP(Allocation[[#This Row],[SAP Contract number]],Shipments[[SAP Contract number]:[AAA Premium USD]],24,FALSE)</f>
        <v>6763.7822038320437</v>
      </c>
      <c r="X782" s="34">
        <f>VLOOKUP(Allocation[[#This Row],[SAP Contract number]],Shipments[[SAP Contract number]:[RA Premium USD]],25,FALSE)</f>
        <v>2113.6819386975139</v>
      </c>
      <c r="Y782" s="38">
        <f>Allocation[[#This Row],[Quantity Processed]]/Allocation[[#This Row],[Quantity allocated]]</f>
        <v>3.5715465052283983</v>
      </c>
      <c r="Z782" s="34" t="b">
        <f>Allocation[[#This Row],[Quantity allocated]]&lt;=Allocation[[#This Row],[Quantity Processed]]</f>
        <v>1</v>
      </c>
    </row>
    <row r="783" spans="1:26">
      <c r="A783" s="247" t="s">
        <v>467</v>
      </c>
      <c r="B783" s="160" t="s">
        <v>68</v>
      </c>
      <c r="C783" s="252" t="s">
        <v>1131</v>
      </c>
      <c r="D783" s="250">
        <v>22273</v>
      </c>
      <c r="E783" s="160" t="s">
        <v>1255</v>
      </c>
      <c r="F783" s="158">
        <v>43522</v>
      </c>
      <c r="G783" s="162">
        <v>2.5499999999999998</v>
      </c>
      <c r="H783" s="250">
        <v>8909</v>
      </c>
      <c r="I783" s="160">
        <v>1435696</v>
      </c>
      <c r="J783" s="163">
        <v>19175</v>
      </c>
      <c r="K783" s="158">
        <v>43528</v>
      </c>
      <c r="L783" s="160" t="s">
        <v>1264</v>
      </c>
      <c r="M783" s="160">
        <v>4615509176</v>
      </c>
      <c r="N783" s="158">
        <v>43549</v>
      </c>
      <c r="O783" s="164">
        <v>3.8763999999999998</v>
      </c>
      <c r="P783" s="165" t="s">
        <v>1325</v>
      </c>
      <c r="Q783" s="34">
        <f>SUMIF(Allocation[Delivery ID],Allocation[[#This Row],[Delivery ID]],Allocation[Quantity Processed])</f>
        <v>22273</v>
      </c>
      <c r="R783" s="61">
        <f>Allocation[[#This Row],[Total volume used]]/VLOOKUP(Allocation[[#This Row],[Delivery ID]],Delivery[[Delivery ID]:[Quantity delivered]],3,FALSE)</f>
        <v>0.74193870752831448</v>
      </c>
      <c r="S783" s="34">
        <f>Allocation[[#This Row],[Quantity Processed]]/Allocation[[#This Row],[Dilution rate]]</f>
        <v>8734.50980392157</v>
      </c>
      <c r="T783" s="59">
        <f>SUMIF(Allocation[Delivery ID],Allocation[[#This Row],[Delivery ID]],Allocation[Quantity allocated])/SUMIF(Allocation[Delivery ID],Allocation[[#This Row],[Delivery ID]],Allocation[Volume available (kg)])</f>
        <v>1.0199771023211959</v>
      </c>
      <c r="U783" s="61">
        <f>Allocation[[#This Row],[Total volume used]]/VLOOKUP(Allocation[[#This Row],[Delivery ID]],Delivery[[Delivery ID]:[Quantity delivered]],3,FALSE)</f>
        <v>0.74193870752831448</v>
      </c>
      <c r="V783" s="34">
        <f>VLOOKUP(Allocation[[#This Row],[SAP Contract number]],Shipments[[SAP Contract number]:[Contracted container weight]],2,FALSE)</f>
        <v>19175</v>
      </c>
      <c r="W783" s="34">
        <f>VLOOKUP(Allocation[[#This Row],[SAP Contract number]],Shipments[[SAP Contract number]:[AAA Premium USD]],24,FALSE)</f>
        <v>6763.7822038320437</v>
      </c>
      <c r="X783" s="34">
        <f>VLOOKUP(Allocation[[#This Row],[SAP Contract number]],Shipments[[SAP Contract number]:[RA Premium USD]],25,FALSE)</f>
        <v>2113.6819386975139</v>
      </c>
      <c r="Y783" s="38">
        <f>Allocation[[#This Row],[Quantity Processed]]/Allocation[[#This Row],[Quantity allocated]]</f>
        <v>2.5000561230216634</v>
      </c>
      <c r="Z783" s="34" t="b">
        <f>Allocation[[#This Row],[Quantity allocated]]&lt;=Allocation[[#This Row],[Quantity Processed]]</f>
        <v>1</v>
      </c>
    </row>
    <row r="784" spans="1:26">
      <c r="A784" s="247" t="s">
        <v>467</v>
      </c>
      <c r="B784" s="160" t="s">
        <v>68</v>
      </c>
      <c r="C784" s="252" t="s">
        <v>1132</v>
      </c>
      <c r="D784" s="250">
        <v>18711</v>
      </c>
      <c r="E784" s="160" t="s">
        <v>1255</v>
      </c>
      <c r="F784" s="158">
        <v>43522</v>
      </c>
      <c r="G784" s="162">
        <v>2.5499999999999998</v>
      </c>
      <c r="H784" s="250">
        <v>5239</v>
      </c>
      <c r="I784" s="160">
        <v>1435696</v>
      </c>
      <c r="J784" s="163">
        <v>19175</v>
      </c>
      <c r="K784" s="158">
        <v>43528</v>
      </c>
      <c r="L784" s="160" t="s">
        <v>1264</v>
      </c>
      <c r="M784" s="160">
        <v>4615509176</v>
      </c>
      <c r="N784" s="158">
        <v>43549</v>
      </c>
      <c r="O784" s="164">
        <v>3.8763999999999998</v>
      </c>
      <c r="P784" s="165" t="s">
        <v>1325</v>
      </c>
      <c r="Q784" s="34">
        <f>SUMIF(Allocation[Delivery ID],Allocation[[#This Row],[Delivery ID]],Allocation[Quantity Processed])</f>
        <v>18711</v>
      </c>
      <c r="R784" s="61">
        <f>Allocation[[#This Row],[Total volume used]]/VLOOKUP(Allocation[[#This Row],[Delivery ID]],Delivery[[Delivery ID]:[Quantity delivered]],3,FALSE)</f>
        <v>0.62370000000000003</v>
      </c>
      <c r="S784" s="34">
        <f>Allocation[[#This Row],[Quantity Processed]]/Allocation[[#This Row],[Dilution rate]]</f>
        <v>7337.6470588235297</v>
      </c>
      <c r="T784" s="59">
        <f>SUMIF(Allocation[Delivery ID],Allocation[[#This Row],[Delivery ID]],Allocation[Quantity allocated])/SUMIF(Allocation[Delivery ID],Allocation[[#This Row],[Delivery ID]],Allocation[Volume available (kg)])</f>
        <v>0.71398909732243065</v>
      </c>
      <c r="U784" s="61">
        <f>Allocation[[#This Row],[Total volume used]]/VLOOKUP(Allocation[[#This Row],[Delivery ID]],Delivery[[Delivery ID]:[Quantity delivered]],3,FALSE)</f>
        <v>0.62370000000000003</v>
      </c>
      <c r="V784" s="34">
        <f>VLOOKUP(Allocation[[#This Row],[SAP Contract number]],Shipments[[SAP Contract number]:[Contracted container weight]],2,FALSE)</f>
        <v>19175</v>
      </c>
      <c r="W784" s="34">
        <f>VLOOKUP(Allocation[[#This Row],[SAP Contract number]],Shipments[[SAP Contract number]:[AAA Premium USD]],24,FALSE)</f>
        <v>6763.7822038320437</v>
      </c>
      <c r="X784" s="34">
        <f>VLOOKUP(Allocation[[#This Row],[SAP Contract number]],Shipments[[SAP Contract number]:[RA Premium USD]],25,FALSE)</f>
        <v>2113.6819386975139</v>
      </c>
      <c r="Y784" s="38">
        <f>Allocation[[#This Row],[Quantity Processed]]/Allocation[[#This Row],[Quantity allocated]]</f>
        <v>3.5714831074632563</v>
      </c>
      <c r="Z784" s="34" t="b">
        <f>Allocation[[#This Row],[Quantity allocated]]&lt;=Allocation[[#This Row],[Quantity Processed]]</f>
        <v>1</v>
      </c>
    </row>
    <row r="785" spans="1:26">
      <c r="A785" s="247" t="s">
        <v>467</v>
      </c>
      <c r="B785" s="160" t="s">
        <v>68</v>
      </c>
      <c r="C785" s="252" t="s">
        <v>1133</v>
      </c>
      <c r="D785" s="250">
        <v>4975</v>
      </c>
      <c r="E785" s="160" t="s">
        <v>1255</v>
      </c>
      <c r="F785" s="158">
        <v>43522</v>
      </c>
      <c r="G785" s="162">
        <v>2.5499999999999998</v>
      </c>
      <c r="H785" s="250">
        <v>1393</v>
      </c>
      <c r="I785" s="160">
        <v>1435696</v>
      </c>
      <c r="J785" s="163">
        <v>19175</v>
      </c>
      <c r="K785" s="158">
        <v>43528</v>
      </c>
      <c r="L785" s="160" t="s">
        <v>1264</v>
      </c>
      <c r="M785" s="160">
        <v>4615509176</v>
      </c>
      <c r="N785" s="158">
        <v>43549</v>
      </c>
      <c r="O785" s="164">
        <v>3.8763999999999998</v>
      </c>
      <c r="P785" s="165" t="s">
        <v>1325</v>
      </c>
      <c r="Q785" s="34">
        <f>SUMIF(Allocation[Delivery ID],Allocation[[#This Row],[Delivery ID]],Allocation[Quantity Processed])</f>
        <v>16857</v>
      </c>
      <c r="R785" s="61">
        <f>Allocation[[#This Row],[Total volume used]]/VLOOKUP(Allocation[[#This Row],[Delivery ID]],Delivery[[Delivery ID]:[Quantity delivered]],3,FALSE)</f>
        <v>0.8493903053512043</v>
      </c>
      <c r="S785" s="34">
        <f>Allocation[[#This Row],[Quantity Processed]]/Allocation[[#This Row],[Dilution rate]]</f>
        <v>1950.980392156863</v>
      </c>
      <c r="T785" s="59">
        <f>SUMIF(Allocation[Delivery ID],Allocation[[#This Row],[Delivery ID]],Allocation[Quantity allocated])/SUMIF(Allocation[Delivery ID],Allocation[[#This Row],[Delivery ID]],Allocation[Volume available (kg)])</f>
        <v>0.71400605089873637</v>
      </c>
      <c r="U785" s="61">
        <f>Allocation[[#This Row],[Total volume used]]/VLOOKUP(Allocation[[#This Row],[Delivery ID]],Delivery[[Delivery ID]:[Quantity delivered]],3,FALSE)</f>
        <v>0.8493903053512043</v>
      </c>
      <c r="V785" s="34">
        <f>VLOOKUP(Allocation[[#This Row],[SAP Contract number]],Shipments[[SAP Contract number]:[Contracted container weight]],2,FALSE)</f>
        <v>19175</v>
      </c>
      <c r="W785" s="34">
        <f>VLOOKUP(Allocation[[#This Row],[SAP Contract number]],Shipments[[SAP Contract number]:[AAA Premium USD]],24,FALSE)</f>
        <v>6763.7822038320437</v>
      </c>
      <c r="X785" s="34">
        <f>VLOOKUP(Allocation[[#This Row],[SAP Contract number]],Shipments[[SAP Contract number]:[RA Premium USD]],25,FALSE)</f>
        <v>2113.6819386975139</v>
      </c>
      <c r="Y785" s="38">
        <f>Allocation[[#This Row],[Quantity Processed]]/Allocation[[#This Row],[Quantity allocated]]</f>
        <v>3.5714285714285716</v>
      </c>
      <c r="Z785" s="34" t="b">
        <f>Allocation[[#This Row],[Quantity allocated]]&lt;=Allocation[[#This Row],[Quantity Processed]]</f>
        <v>1</v>
      </c>
    </row>
    <row r="786" spans="1:26">
      <c r="A786" s="247" t="s">
        <v>467</v>
      </c>
      <c r="B786" s="160" t="s">
        <v>68</v>
      </c>
      <c r="C786" s="252" t="s">
        <v>1133</v>
      </c>
      <c r="D786" s="250">
        <v>11882</v>
      </c>
      <c r="E786" s="160" t="s">
        <v>1255</v>
      </c>
      <c r="F786" s="158">
        <v>43522</v>
      </c>
      <c r="G786" s="162">
        <v>2.5499999999999998</v>
      </c>
      <c r="H786" s="250">
        <v>3327</v>
      </c>
      <c r="I786" s="160">
        <v>1435697</v>
      </c>
      <c r="J786" s="163">
        <v>19175</v>
      </c>
      <c r="K786" s="158">
        <v>43528</v>
      </c>
      <c r="L786" s="160" t="s">
        <v>1265</v>
      </c>
      <c r="M786" s="160">
        <v>4615509176</v>
      </c>
      <c r="N786" s="158">
        <v>43549</v>
      </c>
      <c r="O786" s="164">
        <v>3.8763999999999998</v>
      </c>
      <c r="P786" s="165" t="s">
        <v>1325</v>
      </c>
      <c r="Q786" s="34">
        <f>SUMIF(Allocation[Delivery ID],Allocation[[#This Row],[Delivery ID]],Allocation[Quantity Processed])</f>
        <v>16857</v>
      </c>
      <c r="R786" s="61">
        <f>Allocation[[#This Row],[Total volume used]]/VLOOKUP(Allocation[[#This Row],[Delivery ID]],Delivery[[Delivery ID]:[Quantity delivered]],3,FALSE)</f>
        <v>0.8493903053512043</v>
      </c>
      <c r="S786" s="34">
        <f>Allocation[[#This Row],[Quantity Processed]]/Allocation[[#This Row],[Dilution rate]]</f>
        <v>4659.6078431372553</v>
      </c>
      <c r="T786" s="59">
        <f>SUMIF(Allocation[Delivery ID],Allocation[[#This Row],[Delivery ID]],Allocation[Quantity allocated])/SUMIF(Allocation[Delivery ID],Allocation[[#This Row],[Delivery ID]],Allocation[Volume available (kg)])</f>
        <v>0.71400605089873637</v>
      </c>
      <c r="U786" s="61">
        <f>Allocation[[#This Row],[Total volume used]]/VLOOKUP(Allocation[[#This Row],[Delivery ID]],Delivery[[Delivery ID]:[Quantity delivered]],3,FALSE)</f>
        <v>0.8493903053512043</v>
      </c>
      <c r="V786" s="34">
        <f>VLOOKUP(Allocation[[#This Row],[SAP Contract number]],Shipments[[SAP Contract number]:[Contracted container weight]],2,FALSE)</f>
        <v>19175</v>
      </c>
      <c r="W786" s="34">
        <f>VLOOKUP(Allocation[[#This Row],[SAP Contract number]],Shipments[[SAP Contract number]:[AAA Premium USD]],24,FALSE)</f>
        <v>6763.7822038320437</v>
      </c>
      <c r="X786" s="34">
        <f>VLOOKUP(Allocation[[#This Row],[SAP Contract number]],Shipments[[SAP Contract number]:[RA Premium USD]],25,FALSE)</f>
        <v>2113.6819386975139</v>
      </c>
      <c r="Y786" s="38">
        <f>Allocation[[#This Row],[Quantity Processed]]/Allocation[[#This Row],[Quantity allocated]]</f>
        <v>3.571385632702134</v>
      </c>
      <c r="Z786" s="34" t="b">
        <f>Allocation[[#This Row],[Quantity allocated]]&lt;=Allocation[[#This Row],[Quantity Processed]]</f>
        <v>1</v>
      </c>
    </row>
    <row r="787" spans="1:26">
      <c r="A787" s="247" t="s">
        <v>467</v>
      </c>
      <c r="B787" s="160" t="s">
        <v>68</v>
      </c>
      <c r="C787" s="252" t="s">
        <v>1134</v>
      </c>
      <c r="D787" s="250">
        <v>7293</v>
      </c>
      <c r="E787" s="160" t="s">
        <v>1255</v>
      </c>
      <c r="F787" s="158">
        <v>43522</v>
      </c>
      <c r="G787" s="162">
        <v>2.5499999999999998</v>
      </c>
      <c r="H787" s="250">
        <v>2042</v>
      </c>
      <c r="I787" s="160">
        <v>1435697</v>
      </c>
      <c r="J787" s="163">
        <v>19175</v>
      </c>
      <c r="K787" s="158">
        <v>43528</v>
      </c>
      <c r="L787" s="160" t="s">
        <v>1265</v>
      </c>
      <c r="M787" s="160">
        <v>4615509176</v>
      </c>
      <c r="N787" s="158">
        <v>43549</v>
      </c>
      <c r="O787" s="164">
        <v>3.8763999999999998</v>
      </c>
      <c r="P787" s="165" t="s">
        <v>1325</v>
      </c>
      <c r="Q787" s="34">
        <f>SUMIF(Allocation[Delivery ID],Allocation[[#This Row],[Delivery ID]],Allocation[Quantity Processed])</f>
        <v>7293</v>
      </c>
      <c r="R787" s="61">
        <f>Allocation[[#This Row],[Total volume used]]/VLOOKUP(Allocation[[#This Row],[Delivery ID]],Delivery[[Delivery ID]:[Quantity delivered]],3,FALSE)</f>
        <v>0.71965660153937239</v>
      </c>
      <c r="S787" s="34">
        <f>Allocation[[#This Row],[Quantity Processed]]/Allocation[[#This Row],[Dilution rate]]</f>
        <v>2860</v>
      </c>
      <c r="T787" s="59">
        <f>SUMIF(Allocation[Delivery ID],Allocation[[#This Row],[Delivery ID]],Allocation[Quantity allocated])/SUMIF(Allocation[Delivery ID],Allocation[[#This Row],[Delivery ID]],Allocation[Volume available (kg)])</f>
        <v>0.71398601398601402</v>
      </c>
      <c r="U787" s="61">
        <f>Allocation[[#This Row],[Total volume used]]/VLOOKUP(Allocation[[#This Row],[Delivery ID]],Delivery[[Delivery ID]:[Quantity delivered]],3,FALSE)</f>
        <v>0.71965660153937239</v>
      </c>
      <c r="V787" s="34">
        <f>VLOOKUP(Allocation[[#This Row],[SAP Contract number]],Shipments[[SAP Contract number]:[Contracted container weight]],2,FALSE)</f>
        <v>19175</v>
      </c>
      <c r="W787" s="34">
        <f>VLOOKUP(Allocation[[#This Row],[SAP Contract number]],Shipments[[SAP Contract number]:[AAA Premium USD]],24,FALSE)</f>
        <v>6763.7822038320437</v>
      </c>
      <c r="X787" s="34">
        <f>VLOOKUP(Allocation[[#This Row],[SAP Contract number]],Shipments[[SAP Contract number]:[RA Premium USD]],25,FALSE)</f>
        <v>2113.6819386975139</v>
      </c>
      <c r="Y787" s="38">
        <f>Allocation[[#This Row],[Quantity Processed]]/Allocation[[#This Row],[Quantity allocated]]</f>
        <v>3.5714985308521059</v>
      </c>
      <c r="Z787" s="34" t="b">
        <f>Allocation[[#This Row],[Quantity allocated]]&lt;=Allocation[[#This Row],[Quantity Processed]]</f>
        <v>1</v>
      </c>
    </row>
    <row r="788" spans="1:26">
      <c r="A788" s="247" t="s">
        <v>467</v>
      </c>
      <c r="B788" s="160" t="s">
        <v>68</v>
      </c>
      <c r="C788" s="252" t="s">
        <v>1136</v>
      </c>
      <c r="D788" s="250">
        <v>10134</v>
      </c>
      <c r="E788" s="160" t="s">
        <v>1255</v>
      </c>
      <c r="F788" s="158">
        <v>43522</v>
      </c>
      <c r="G788" s="162">
        <v>2.5499999999999998</v>
      </c>
      <c r="H788" s="250">
        <v>4071</v>
      </c>
      <c r="I788" s="160">
        <v>1435697</v>
      </c>
      <c r="J788" s="163">
        <v>19175</v>
      </c>
      <c r="K788" s="158">
        <v>43528</v>
      </c>
      <c r="L788" s="160" t="s">
        <v>1265</v>
      </c>
      <c r="M788" s="160">
        <v>4615509176</v>
      </c>
      <c r="N788" s="158">
        <v>43549</v>
      </c>
      <c r="O788" s="164">
        <v>3.8763999999999998</v>
      </c>
      <c r="P788" s="165" t="s">
        <v>1325</v>
      </c>
      <c r="Q788" s="34">
        <f>SUMIF(Allocation[Delivery ID],Allocation[[#This Row],[Delivery ID]],Allocation[Quantity Processed])</f>
        <v>10134</v>
      </c>
      <c r="R788" s="61">
        <f>Allocation[[#This Row],[Total volume used]]/VLOOKUP(Allocation[[#This Row],[Delivery ID]],Delivery[[Delivery ID]:[Quantity delivered]],3,FALSE)</f>
        <v>0.3379126375458486</v>
      </c>
      <c r="S788" s="34">
        <f>Allocation[[#This Row],[Quantity Processed]]/Allocation[[#This Row],[Dilution rate]]</f>
        <v>3974.1176470588239</v>
      </c>
      <c r="T788" s="59">
        <f>SUMIF(Allocation[Delivery ID],Allocation[[#This Row],[Delivery ID]],Allocation[Quantity allocated])/SUMIF(Allocation[Delivery ID],Allocation[[#This Row],[Delivery ID]],Allocation[Volume available (kg)])</f>
        <v>1.0243783303730016</v>
      </c>
      <c r="U788" s="61">
        <f>Allocation[[#This Row],[Total volume used]]/VLOOKUP(Allocation[[#This Row],[Delivery ID]],Delivery[[Delivery ID]:[Quantity delivered]],3,FALSE)</f>
        <v>0.3379126375458486</v>
      </c>
      <c r="V788" s="34">
        <f>VLOOKUP(Allocation[[#This Row],[SAP Contract number]],Shipments[[SAP Contract number]:[Contracted container weight]],2,FALSE)</f>
        <v>19175</v>
      </c>
      <c r="W788" s="34">
        <f>VLOOKUP(Allocation[[#This Row],[SAP Contract number]],Shipments[[SAP Contract number]:[AAA Premium USD]],24,FALSE)</f>
        <v>6763.7822038320437</v>
      </c>
      <c r="X788" s="34">
        <f>VLOOKUP(Allocation[[#This Row],[SAP Contract number]],Shipments[[SAP Contract number]:[RA Premium USD]],25,FALSE)</f>
        <v>2113.6819386975139</v>
      </c>
      <c r="Y788" s="38">
        <f>Allocation[[#This Row],[Quantity Processed]]/Allocation[[#This Row],[Quantity allocated]]</f>
        <v>2.4893146647015474</v>
      </c>
      <c r="Z788" s="34" t="b">
        <f>Allocation[[#This Row],[Quantity allocated]]&lt;=Allocation[[#This Row],[Quantity Processed]]</f>
        <v>1</v>
      </c>
    </row>
    <row r="789" spans="1:26">
      <c r="A789" s="247" t="s">
        <v>467</v>
      </c>
      <c r="B789" s="160" t="s">
        <v>68</v>
      </c>
      <c r="C789" s="252" t="s">
        <v>1167</v>
      </c>
      <c r="D789" s="250">
        <v>10036</v>
      </c>
      <c r="E789" s="160" t="s">
        <v>1255</v>
      </c>
      <c r="F789" s="158">
        <v>43522</v>
      </c>
      <c r="G789" s="162">
        <v>2.5499999999999998</v>
      </c>
      <c r="H789" s="250">
        <v>9735</v>
      </c>
      <c r="I789" s="160">
        <v>1435697</v>
      </c>
      <c r="J789" s="163">
        <v>19175</v>
      </c>
      <c r="K789" s="158">
        <v>43528</v>
      </c>
      <c r="L789" s="160" t="s">
        <v>1265</v>
      </c>
      <c r="M789" s="160">
        <v>4615509176</v>
      </c>
      <c r="N789" s="158">
        <v>43549</v>
      </c>
      <c r="O789" s="164">
        <v>3.8763999999999998</v>
      </c>
      <c r="P789" s="165" t="s">
        <v>1325</v>
      </c>
      <c r="Q789" s="34">
        <f>SUMIF(Allocation[Delivery ID],Allocation[[#This Row],[Delivery ID]],Allocation[Quantity Processed])</f>
        <v>29950</v>
      </c>
      <c r="R789" s="61">
        <f>Allocation[[#This Row],[Total volume used]]/VLOOKUP(Allocation[[#This Row],[Delivery ID]],Delivery[[Delivery ID]:[Quantity delivered]],3,FALSE)</f>
        <v>1</v>
      </c>
      <c r="S789" s="34">
        <f>Allocation[[#This Row],[Quantity Processed]]/Allocation[[#This Row],[Dilution rate]]</f>
        <v>3935.6862745098042</v>
      </c>
      <c r="T789" s="59">
        <f>SUMIF(Allocation[Delivery ID],Allocation[[#This Row],[Delivery ID]],Allocation[Quantity allocated])/SUMIF(Allocation[Delivery ID],Allocation[[#This Row],[Delivery ID]],Allocation[Volume available (kg)])</f>
        <v>2.3907840155759827</v>
      </c>
      <c r="U789" s="61">
        <f>Allocation[[#This Row],[Total volume used]]/VLOOKUP(Allocation[[#This Row],[Delivery ID]],Delivery[[Delivery ID]:[Quantity delivered]],3,FALSE)</f>
        <v>1</v>
      </c>
      <c r="V789" s="34">
        <f>VLOOKUP(Allocation[[#This Row],[SAP Contract number]],Shipments[[SAP Contract number]:[Contracted container weight]],2,FALSE)</f>
        <v>19175</v>
      </c>
      <c r="W789" s="34">
        <f>VLOOKUP(Allocation[[#This Row],[SAP Contract number]],Shipments[[SAP Contract number]:[AAA Premium USD]],24,FALSE)</f>
        <v>6763.7822038320437</v>
      </c>
      <c r="X789" s="34">
        <f>VLOOKUP(Allocation[[#This Row],[SAP Contract number]],Shipments[[SAP Contract number]:[RA Premium USD]],25,FALSE)</f>
        <v>2113.6819386975139</v>
      </c>
      <c r="Y789" s="38">
        <f>Allocation[[#This Row],[Quantity Processed]]/Allocation[[#This Row],[Quantity allocated]]</f>
        <v>1.0309193631227529</v>
      </c>
      <c r="Z789" s="34" t="b">
        <f>Allocation[[#This Row],[Quantity allocated]]&lt;=Allocation[[#This Row],[Quantity Processed]]</f>
        <v>1</v>
      </c>
    </row>
    <row r="790" spans="1:26">
      <c r="A790" s="247" t="s">
        <v>467</v>
      </c>
      <c r="B790" s="160" t="s">
        <v>68</v>
      </c>
      <c r="C790" s="252" t="s">
        <v>1266</v>
      </c>
      <c r="D790" s="167">
        <v>24840</v>
      </c>
      <c r="E790" s="160" t="s">
        <v>1326</v>
      </c>
      <c r="F790" s="158">
        <v>43553</v>
      </c>
      <c r="G790" s="162">
        <v>2.9</v>
      </c>
      <c r="H790" s="161">
        <v>8260</v>
      </c>
      <c r="I790" s="166">
        <v>1442254</v>
      </c>
      <c r="J790" s="163">
        <v>20355</v>
      </c>
      <c r="K790" s="158">
        <v>43560</v>
      </c>
      <c r="L790" s="160" t="s">
        <v>1327</v>
      </c>
      <c r="M790" s="160">
        <v>4615465085</v>
      </c>
      <c r="N790" s="158">
        <v>43579</v>
      </c>
      <c r="O790" s="164">
        <v>3.9624000000000001</v>
      </c>
      <c r="P790" s="165">
        <v>20183</v>
      </c>
      <c r="Q790" s="34">
        <f>SUMIF(Allocation[Delivery ID],Allocation[[#This Row],[Delivery ID]],Allocation[Quantity Processed])</f>
        <v>24840</v>
      </c>
      <c r="R790" s="61">
        <f>Allocation[[#This Row],[Total volume used]]/VLOOKUP(Allocation[[#This Row],[Delivery ID]],Delivery[[Delivery ID]:[Quantity delivered]],3,FALSE)</f>
        <v>1</v>
      </c>
      <c r="S790" s="34">
        <f>Allocation[[#This Row],[Quantity Processed]]/Allocation[[#This Row],[Dilution rate]]</f>
        <v>8565.5172413793098</v>
      </c>
      <c r="T790" s="59">
        <f>SUMIF(Allocation[Delivery ID],Allocation[[#This Row],[Delivery ID]],Allocation[Quantity allocated])/SUMIF(Allocation[Delivery ID],Allocation[[#This Row],[Delivery ID]],Allocation[Volume available (kg)])</f>
        <v>0.96433172302737524</v>
      </c>
      <c r="U790" s="61">
        <f>Allocation[[#This Row],[Total volume used]]/VLOOKUP(Allocation[[#This Row],[Delivery ID]],Delivery[[Delivery ID]:[Quantity delivered]],3,FALSE)</f>
        <v>1</v>
      </c>
      <c r="V790" s="34" t="e">
        <f>VLOOKUP(Allocation[[#This Row],[SAP Contract number]],Shipments[[SAP Contract number]:[Contracted container weight]],2,FALSE)</f>
        <v>#N/A</v>
      </c>
      <c r="W790" s="34" t="e">
        <f>VLOOKUP(Allocation[[#This Row],[SAP Contract number]],Shipments[[SAP Contract number]:[AAA Premium USD]],24,FALSE)</f>
        <v>#N/A</v>
      </c>
      <c r="X790" s="34" t="e">
        <f>VLOOKUP(Allocation[[#This Row],[SAP Contract number]],Shipments[[SAP Contract number]:[RA Premium USD]],25,FALSE)</f>
        <v>#N/A</v>
      </c>
      <c r="Y790" s="38">
        <f>Allocation[[#This Row],[Quantity Processed]]/Allocation[[#This Row],[Quantity allocated]]</f>
        <v>3.0072639225181597</v>
      </c>
      <c r="Z790" s="34" t="b">
        <f>Allocation[[#This Row],[Quantity allocated]]&lt;=Allocation[[#This Row],[Quantity Processed]]</f>
        <v>1</v>
      </c>
    </row>
    <row r="791" spans="1:26">
      <c r="A791" s="247" t="s">
        <v>467</v>
      </c>
      <c r="B791" s="160" t="s">
        <v>68</v>
      </c>
      <c r="C791" s="252" t="s">
        <v>1267</v>
      </c>
      <c r="D791" s="167">
        <v>25110</v>
      </c>
      <c r="E791" s="160" t="s">
        <v>1326</v>
      </c>
      <c r="F791" s="158">
        <v>43553</v>
      </c>
      <c r="G791" s="162">
        <v>2.9</v>
      </c>
      <c r="H791" s="161">
        <v>8319</v>
      </c>
      <c r="I791" s="166">
        <v>1442254</v>
      </c>
      <c r="J791" s="163">
        <v>20355</v>
      </c>
      <c r="K791" s="158">
        <v>43560</v>
      </c>
      <c r="L791" s="160" t="s">
        <v>1327</v>
      </c>
      <c r="M791" s="160">
        <v>4615465085</v>
      </c>
      <c r="N791" s="158">
        <v>43579</v>
      </c>
      <c r="O791" s="164">
        <v>3.9624000000000001</v>
      </c>
      <c r="P791" s="165">
        <v>20183</v>
      </c>
      <c r="Q791" s="34">
        <f>SUMIF(Allocation[Delivery ID],Allocation[[#This Row],[Delivery ID]],Allocation[Quantity Processed])</f>
        <v>25110</v>
      </c>
      <c r="R791" s="61">
        <f>Allocation[[#This Row],[Total volume used]]/VLOOKUP(Allocation[[#This Row],[Delivery ID]],Delivery[[Delivery ID]:[Quantity delivered]],3,FALSE)</f>
        <v>1</v>
      </c>
      <c r="S791" s="34">
        <f>Allocation[[#This Row],[Quantity Processed]]/Allocation[[#This Row],[Dilution rate]]</f>
        <v>8658.6206896551721</v>
      </c>
      <c r="T791" s="59">
        <f>SUMIF(Allocation[Delivery ID],Allocation[[#This Row],[Delivery ID]],Allocation[Quantity allocated])/SUMIF(Allocation[Delivery ID],Allocation[[#This Row],[Delivery ID]],Allocation[Volume available (kg)])</f>
        <v>0.96077658303464764</v>
      </c>
      <c r="U791" s="61">
        <f>Allocation[[#This Row],[Total volume used]]/VLOOKUP(Allocation[[#This Row],[Delivery ID]],Delivery[[Delivery ID]:[Quantity delivered]],3,FALSE)</f>
        <v>1</v>
      </c>
      <c r="V791" s="34" t="e">
        <f>VLOOKUP(Allocation[[#This Row],[SAP Contract number]],Shipments[[SAP Contract number]:[Contracted container weight]],2,FALSE)</f>
        <v>#N/A</v>
      </c>
      <c r="W791" s="34" t="e">
        <f>VLOOKUP(Allocation[[#This Row],[SAP Contract number]],Shipments[[SAP Contract number]:[AAA Premium USD]],24,FALSE)</f>
        <v>#N/A</v>
      </c>
      <c r="X791" s="34" t="e">
        <f>VLOOKUP(Allocation[[#This Row],[SAP Contract number]],Shipments[[SAP Contract number]:[RA Premium USD]],25,FALSE)</f>
        <v>#N/A</v>
      </c>
      <c r="Y791" s="38">
        <f>Allocation[[#This Row],[Quantity Processed]]/Allocation[[#This Row],[Quantity allocated]]</f>
        <v>3.0183916336098089</v>
      </c>
      <c r="Z791" s="34" t="b">
        <f>Allocation[[#This Row],[Quantity allocated]]&lt;=Allocation[[#This Row],[Quantity Processed]]</f>
        <v>1</v>
      </c>
    </row>
    <row r="792" spans="1:26">
      <c r="A792" s="247" t="s">
        <v>467</v>
      </c>
      <c r="B792" s="160" t="s">
        <v>68</v>
      </c>
      <c r="C792" s="252" t="s">
        <v>1268</v>
      </c>
      <c r="D792" s="167">
        <v>11370</v>
      </c>
      <c r="E792" s="160" t="s">
        <v>1326</v>
      </c>
      <c r="F792" s="158">
        <v>43553</v>
      </c>
      <c r="G792" s="162">
        <v>2.9</v>
      </c>
      <c r="H792" s="161">
        <v>3776</v>
      </c>
      <c r="I792" s="166">
        <v>1442254</v>
      </c>
      <c r="J792" s="163">
        <v>20355</v>
      </c>
      <c r="K792" s="158">
        <v>43560</v>
      </c>
      <c r="L792" s="160" t="s">
        <v>1327</v>
      </c>
      <c r="M792" s="160">
        <v>4615465085</v>
      </c>
      <c r="N792" s="158">
        <v>43579</v>
      </c>
      <c r="O792" s="164">
        <v>3.9624000000000001</v>
      </c>
      <c r="P792" s="165">
        <v>20183</v>
      </c>
      <c r="Q792" s="34">
        <f>SUMIF(Allocation[Delivery ID],Allocation[[#This Row],[Delivery ID]],Allocation[Quantity Processed])</f>
        <v>25050</v>
      </c>
      <c r="R792" s="61">
        <f>Allocation[[#This Row],[Total volume used]]/VLOOKUP(Allocation[[#This Row],[Delivery ID]],Delivery[[Delivery ID]:[Quantity delivered]],3,FALSE)</f>
        <v>1</v>
      </c>
      <c r="S792" s="34">
        <f>Allocation[[#This Row],[Quantity Processed]]/Allocation[[#This Row],[Dilution rate]]</f>
        <v>3920.6896551724139</v>
      </c>
      <c r="T792" s="59">
        <f>SUMIF(Allocation[Delivery ID],Allocation[[#This Row],[Delivery ID]],Allocation[Quantity allocated])/SUMIF(Allocation[Delivery ID],Allocation[[#This Row],[Delivery ID]],Allocation[Volume available (kg)])</f>
        <v>0.96307784431137722</v>
      </c>
      <c r="U792" s="61">
        <f>Allocation[[#This Row],[Total volume used]]/VLOOKUP(Allocation[[#This Row],[Delivery ID]],Delivery[[Delivery ID]:[Quantity delivered]],3,FALSE)</f>
        <v>1</v>
      </c>
      <c r="V792" s="34" t="e">
        <f>VLOOKUP(Allocation[[#This Row],[SAP Contract number]],Shipments[[SAP Contract number]:[Contracted container weight]],2,FALSE)</f>
        <v>#N/A</v>
      </c>
      <c r="W792" s="34" t="e">
        <f>VLOOKUP(Allocation[[#This Row],[SAP Contract number]],Shipments[[SAP Contract number]:[AAA Premium USD]],24,FALSE)</f>
        <v>#N/A</v>
      </c>
      <c r="X792" s="34" t="e">
        <f>VLOOKUP(Allocation[[#This Row],[SAP Contract number]],Shipments[[SAP Contract number]:[RA Premium USD]],25,FALSE)</f>
        <v>#N/A</v>
      </c>
      <c r="Y792" s="38">
        <f>Allocation[[#This Row],[Quantity Processed]]/Allocation[[#This Row],[Quantity allocated]]</f>
        <v>3.0111228813559321</v>
      </c>
      <c r="Z792" s="34" t="b">
        <f>Allocation[[#This Row],[Quantity allocated]]&lt;=Allocation[[#This Row],[Quantity Processed]]</f>
        <v>1</v>
      </c>
    </row>
    <row r="793" spans="1:26">
      <c r="A793" s="247" t="s">
        <v>467</v>
      </c>
      <c r="B793" s="160" t="s">
        <v>68</v>
      </c>
      <c r="C793" s="252" t="s">
        <v>1268</v>
      </c>
      <c r="D793" s="167">
        <v>13680</v>
      </c>
      <c r="E793" s="160" t="s">
        <v>1326</v>
      </c>
      <c r="F793" s="158">
        <v>43553</v>
      </c>
      <c r="G793" s="162">
        <v>2.9</v>
      </c>
      <c r="H793" s="161">
        <v>4543</v>
      </c>
      <c r="I793" s="166">
        <v>1442255</v>
      </c>
      <c r="J793" s="163">
        <v>20355</v>
      </c>
      <c r="K793" s="158">
        <v>43560</v>
      </c>
      <c r="L793" s="160" t="s">
        <v>1328</v>
      </c>
      <c r="M793" s="160">
        <v>4615465085</v>
      </c>
      <c r="N793" s="158">
        <v>43579</v>
      </c>
      <c r="O793" s="164">
        <v>3.9624000000000001</v>
      </c>
      <c r="P793" s="165">
        <v>20183</v>
      </c>
      <c r="Q793" s="34">
        <f>SUMIF(Allocation[Delivery ID],Allocation[[#This Row],[Delivery ID]],Allocation[Quantity Processed])</f>
        <v>25050</v>
      </c>
      <c r="R793" s="61">
        <f>Allocation[[#This Row],[Total volume used]]/VLOOKUP(Allocation[[#This Row],[Delivery ID]],Delivery[[Delivery ID]:[Quantity delivered]],3,FALSE)</f>
        <v>1</v>
      </c>
      <c r="S793" s="34">
        <f>Allocation[[#This Row],[Quantity Processed]]/Allocation[[#This Row],[Dilution rate]]</f>
        <v>4717.2413793103451</v>
      </c>
      <c r="T793" s="59">
        <f>SUMIF(Allocation[Delivery ID],Allocation[[#This Row],[Delivery ID]],Allocation[Quantity allocated])/SUMIF(Allocation[Delivery ID],Allocation[[#This Row],[Delivery ID]],Allocation[Volume available (kg)])</f>
        <v>0.96307784431137722</v>
      </c>
      <c r="U793" s="61">
        <f>Allocation[[#This Row],[Total volume used]]/VLOOKUP(Allocation[[#This Row],[Delivery ID]],Delivery[[Delivery ID]:[Quantity delivered]],3,FALSE)</f>
        <v>1</v>
      </c>
      <c r="V793" s="34" t="e">
        <f>VLOOKUP(Allocation[[#This Row],[SAP Contract number]],Shipments[[SAP Contract number]:[Contracted container weight]],2,FALSE)</f>
        <v>#N/A</v>
      </c>
      <c r="W793" s="34" t="e">
        <f>VLOOKUP(Allocation[[#This Row],[SAP Contract number]],Shipments[[SAP Contract number]:[AAA Premium USD]],24,FALSE)</f>
        <v>#N/A</v>
      </c>
      <c r="X793" s="34" t="e">
        <f>VLOOKUP(Allocation[[#This Row],[SAP Contract number]],Shipments[[SAP Contract number]:[RA Premium USD]],25,FALSE)</f>
        <v>#N/A</v>
      </c>
      <c r="Y793" s="38">
        <f>Allocation[[#This Row],[Quantity Processed]]/Allocation[[#This Row],[Quantity allocated]]</f>
        <v>3.0112260620735198</v>
      </c>
      <c r="Z793" s="34" t="b">
        <f>Allocation[[#This Row],[Quantity allocated]]&lt;=Allocation[[#This Row],[Quantity Processed]]</f>
        <v>1</v>
      </c>
    </row>
    <row r="794" spans="1:26">
      <c r="A794" s="247" t="s">
        <v>467</v>
      </c>
      <c r="B794" s="160" t="s">
        <v>68</v>
      </c>
      <c r="C794" s="252" t="s">
        <v>1269</v>
      </c>
      <c r="D794" s="167">
        <v>15170</v>
      </c>
      <c r="E794" s="160" t="s">
        <v>1326</v>
      </c>
      <c r="F794" s="158">
        <v>43553</v>
      </c>
      <c r="G794" s="162">
        <v>2.9</v>
      </c>
      <c r="H794" s="161">
        <v>5015</v>
      </c>
      <c r="I794" s="166">
        <v>1442255</v>
      </c>
      <c r="J794" s="163">
        <v>20355</v>
      </c>
      <c r="K794" s="158">
        <v>43560</v>
      </c>
      <c r="L794" s="160" t="s">
        <v>1328</v>
      </c>
      <c r="M794" s="160">
        <v>4615465085</v>
      </c>
      <c r="N794" s="158">
        <v>43579</v>
      </c>
      <c r="O794" s="164">
        <v>3.9624000000000001</v>
      </c>
      <c r="P794" s="165">
        <v>20183</v>
      </c>
      <c r="Q794" s="34">
        <f>SUMIF(Allocation[Delivery ID],Allocation[[#This Row],[Delivery ID]],Allocation[Quantity Processed])</f>
        <v>15170</v>
      </c>
      <c r="R794" s="61">
        <f>Allocation[[#This Row],[Total volume used]]/VLOOKUP(Allocation[[#This Row],[Delivery ID]],Delivery[[Delivery ID]:[Quantity delivered]],3,FALSE)</f>
        <v>1</v>
      </c>
      <c r="S794" s="34">
        <f>Allocation[[#This Row],[Quantity Processed]]/Allocation[[#This Row],[Dilution rate]]</f>
        <v>5231.0344827586205</v>
      </c>
      <c r="T794" s="59">
        <f>SUMIF(Allocation[Delivery ID],Allocation[[#This Row],[Delivery ID]],Allocation[Quantity allocated])/SUMIF(Allocation[Delivery ID],Allocation[[#This Row],[Delivery ID]],Allocation[Volume available (kg)])</f>
        <v>0.95870138431114049</v>
      </c>
      <c r="U794" s="61">
        <f>Allocation[[#This Row],[Total volume used]]/VLOOKUP(Allocation[[#This Row],[Delivery ID]],Delivery[[Delivery ID]:[Quantity delivered]],3,FALSE)</f>
        <v>1</v>
      </c>
      <c r="V794" s="34" t="e">
        <f>VLOOKUP(Allocation[[#This Row],[SAP Contract number]],Shipments[[SAP Contract number]:[Contracted container weight]],2,FALSE)</f>
        <v>#N/A</v>
      </c>
      <c r="W794" s="34" t="e">
        <f>VLOOKUP(Allocation[[#This Row],[SAP Contract number]],Shipments[[SAP Contract number]:[AAA Premium USD]],24,FALSE)</f>
        <v>#N/A</v>
      </c>
      <c r="X794" s="34" t="e">
        <f>VLOOKUP(Allocation[[#This Row],[SAP Contract number]],Shipments[[SAP Contract number]:[RA Premium USD]],25,FALSE)</f>
        <v>#N/A</v>
      </c>
      <c r="Y794" s="38">
        <f>Allocation[[#This Row],[Quantity Processed]]/Allocation[[#This Row],[Quantity allocated]]</f>
        <v>3.0249252243270188</v>
      </c>
      <c r="Z794" s="34" t="b">
        <f>Allocation[[#This Row],[Quantity allocated]]&lt;=Allocation[[#This Row],[Quantity Processed]]</f>
        <v>1</v>
      </c>
    </row>
    <row r="795" spans="1:26">
      <c r="A795" s="247" t="s">
        <v>467</v>
      </c>
      <c r="B795" s="160" t="s">
        <v>68</v>
      </c>
      <c r="C795" s="252" t="s">
        <v>1270</v>
      </c>
      <c r="D795" s="167">
        <v>8460</v>
      </c>
      <c r="E795" s="160" t="s">
        <v>1326</v>
      </c>
      <c r="F795" s="158">
        <v>43553</v>
      </c>
      <c r="G795" s="162">
        <v>2.9</v>
      </c>
      <c r="H795" s="161">
        <v>2832</v>
      </c>
      <c r="I795" s="166">
        <v>1442255</v>
      </c>
      <c r="J795" s="163">
        <v>20355</v>
      </c>
      <c r="K795" s="158">
        <v>43560</v>
      </c>
      <c r="L795" s="160" t="s">
        <v>1328</v>
      </c>
      <c r="M795" s="160">
        <v>4615465085</v>
      </c>
      <c r="N795" s="158">
        <v>43579</v>
      </c>
      <c r="O795" s="164">
        <v>3.9624000000000001</v>
      </c>
      <c r="P795" s="165">
        <v>20183</v>
      </c>
      <c r="Q795" s="34">
        <f>SUMIF(Allocation[Delivery ID],Allocation[[#This Row],[Delivery ID]],Allocation[Quantity Processed])</f>
        <v>8460</v>
      </c>
      <c r="R795" s="61">
        <f>Allocation[[#This Row],[Total volume used]]/VLOOKUP(Allocation[[#This Row],[Delivery ID]],Delivery[[Delivery ID]:[Quantity delivered]],3,FALSE)</f>
        <v>1</v>
      </c>
      <c r="S795" s="34">
        <f>Allocation[[#This Row],[Quantity Processed]]/Allocation[[#This Row],[Dilution rate]]</f>
        <v>2917.2413793103451</v>
      </c>
      <c r="T795" s="59">
        <f>SUMIF(Allocation[Delivery ID],Allocation[[#This Row],[Delivery ID]],Allocation[Quantity allocated])/SUMIF(Allocation[Delivery ID],Allocation[[#This Row],[Delivery ID]],Allocation[Volume available (kg)])</f>
        <v>0.97078014184397154</v>
      </c>
      <c r="U795" s="61">
        <f>Allocation[[#This Row],[Total volume used]]/VLOOKUP(Allocation[[#This Row],[Delivery ID]],Delivery[[Delivery ID]:[Quantity delivered]],3,FALSE)</f>
        <v>1</v>
      </c>
      <c r="V795" s="34" t="e">
        <f>VLOOKUP(Allocation[[#This Row],[SAP Contract number]],Shipments[[SAP Contract number]:[Contracted container weight]],2,FALSE)</f>
        <v>#N/A</v>
      </c>
      <c r="W795" s="34" t="e">
        <f>VLOOKUP(Allocation[[#This Row],[SAP Contract number]],Shipments[[SAP Contract number]:[AAA Premium USD]],24,FALSE)</f>
        <v>#N/A</v>
      </c>
      <c r="X795" s="34" t="e">
        <f>VLOOKUP(Allocation[[#This Row],[SAP Contract number]],Shipments[[SAP Contract number]:[RA Premium USD]],25,FALSE)</f>
        <v>#N/A</v>
      </c>
      <c r="Y795" s="38">
        <f>Allocation[[#This Row],[Quantity Processed]]/Allocation[[#This Row],[Quantity allocated]]</f>
        <v>2.9872881355932202</v>
      </c>
      <c r="Z795" s="34" t="b">
        <f>Allocation[[#This Row],[Quantity allocated]]&lt;=Allocation[[#This Row],[Quantity Processed]]</f>
        <v>1</v>
      </c>
    </row>
    <row r="796" spans="1:26">
      <c r="A796" s="247" t="s">
        <v>467</v>
      </c>
      <c r="B796" s="160" t="s">
        <v>68</v>
      </c>
      <c r="C796" s="252" t="s">
        <v>1271</v>
      </c>
      <c r="D796" s="167">
        <v>2200</v>
      </c>
      <c r="E796" s="160" t="s">
        <v>1326</v>
      </c>
      <c r="F796" s="158">
        <v>43553</v>
      </c>
      <c r="G796" s="162">
        <v>2.9</v>
      </c>
      <c r="H796" s="161">
        <v>767</v>
      </c>
      <c r="I796" s="166">
        <v>1442255</v>
      </c>
      <c r="J796" s="163">
        <v>20355</v>
      </c>
      <c r="K796" s="158">
        <v>43560</v>
      </c>
      <c r="L796" s="160" t="s">
        <v>1328</v>
      </c>
      <c r="M796" s="160">
        <v>4615465085</v>
      </c>
      <c r="N796" s="158">
        <v>43579</v>
      </c>
      <c r="O796" s="164">
        <v>3.9624000000000001</v>
      </c>
      <c r="P796" s="165">
        <v>20183</v>
      </c>
      <c r="Q796" s="34">
        <f>SUMIF(Allocation[Delivery ID],Allocation[[#This Row],[Delivery ID]],Allocation[Quantity Processed])</f>
        <v>2200</v>
      </c>
      <c r="R796" s="61">
        <f>Allocation[[#This Row],[Total volume used]]/VLOOKUP(Allocation[[#This Row],[Delivery ID]],Delivery[[Delivery ID]:[Quantity delivered]],3,FALSE)</f>
        <v>1</v>
      </c>
      <c r="S796" s="34">
        <f>Allocation[[#This Row],[Quantity Processed]]/Allocation[[#This Row],[Dilution rate]]</f>
        <v>758.62068965517244</v>
      </c>
      <c r="T796" s="59">
        <f>SUMIF(Allocation[Delivery ID],Allocation[[#This Row],[Delivery ID]],Allocation[Quantity allocated])/SUMIF(Allocation[Delivery ID],Allocation[[#This Row],[Delivery ID]],Allocation[Volume available (kg)])</f>
        <v>1.0110454545454546</v>
      </c>
      <c r="U796" s="61">
        <f>Allocation[[#This Row],[Total volume used]]/VLOOKUP(Allocation[[#This Row],[Delivery ID]],Delivery[[Delivery ID]:[Quantity delivered]],3,FALSE)</f>
        <v>1</v>
      </c>
      <c r="V796" s="34" t="e">
        <f>VLOOKUP(Allocation[[#This Row],[SAP Contract number]],Shipments[[SAP Contract number]:[Contracted container weight]],2,FALSE)</f>
        <v>#N/A</v>
      </c>
      <c r="W796" s="34" t="e">
        <f>VLOOKUP(Allocation[[#This Row],[SAP Contract number]],Shipments[[SAP Contract number]:[AAA Premium USD]],24,FALSE)</f>
        <v>#N/A</v>
      </c>
      <c r="X796" s="34" t="e">
        <f>VLOOKUP(Allocation[[#This Row],[SAP Contract number]],Shipments[[SAP Contract number]:[RA Premium USD]],25,FALSE)</f>
        <v>#N/A</v>
      </c>
      <c r="Y796" s="38">
        <f>Allocation[[#This Row],[Quantity Processed]]/Allocation[[#This Row],[Quantity allocated]]</f>
        <v>2.8683181225554106</v>
      </c>
      <c r="Z796" s="34" t="b">
        <f>Allocation[[#This Row],[Quantity allocated]]&lt;=Allocation[[#This Row],[Quantity Processed]]</f>
        <v>1</v>
      </c>
    </row>
    <row r="797" spans="1:26">
      <c r="A797" s="247" t="s">
        <v>467</v>
      </c>
      <c r="B797" s="160" t="s">
        <v>68</v>
      </c>
      <c r="C797" s="252" t="s">
        <v>1272</v>
      </c>
      <c r="D797" s="167">
        <v>380</v>
      </c>
      <c r="E797" s="160" t="s">
        <v>1326</v>
      </c>
      <c r="F797" s="158">
        <v>43553</v>
      </c>
      <c r="G797" s="162">
        <v>2.9</v>
      </c>
      <c r="H797" s="161">
        <v>130</v>
      </c>
      <c r="I797" s="166">
        <v>1442255</v>
      </c>
      <c r="J797" s="163">
        <v>20355</v>
      </c>
      <c r="K797" s="158">
        <v>43560</v>
      </c>
      <c r="L797" s="160" t="s">
        <v>1328</v>
      </c>
      <c r="M797" s="160">
        <v>4615465085</v>
      </c>
      <c r="N797" s="158">
        <v>43579</v>
      </c>
      <c r="O797" s="164">
        <v>3.9624000000000001</v>
      </c>
      <c r="P797" s="165">
        <v>20183</v>
      </c>
      <c r="Q797" s="34">
        <f>SUMIF(Allocation[Delivery ID],Allocation[[#This Row],[Delivery ID]],Allocation[Quantity Processed])</f>
        <v>380</v>
      </c>
      <c r="R797" s="61">
        <f>Allocation[[#This Row],[Total volume used]]/VLOOKUP(Allocation[[#This Row],[Delivery ID]],Delivery[[Delivery ID]:[Quantity delivered]],3,FALSE)</f>
        <v>1</v>
      </c>
      <c r="S797" s="34">
        <f>Allocation[[#This Row],[Quantity Processed]]/Allocation[[#This Row],[Dilution rate]]</f>
        <v>131.0344827586207</v>
      </c>
      <c r="T797" s="59">
        <f>SUMIF(Allocation[Delivery ID],Allocation[[#This Row],[Delivery ID]],Allocation[Quantity allocated])/SUMIF(Allocation[Delivery ID],Allocation[[#This Row],[Delivery ID]],Allocation[Volume available (kg)])</f>
        <v>0.99210526315789471</v>
      </c>
      <c r="U797" s="61">
        <f>Allocation[[#This Row],[Total volume used]]/VLOOKUP(Allocation[[#This Row],[Delivery ID]],Delivery[[Delivery ID]:[Quantity delivered]],3,FALSE)</f>
        <v>1</v>
      </c>
      <c r="V797" s="34" t="e">
        <f>VLOOKUP(Allocation[[#This Row],[SAP Contract number]],Shipments[[SAP Contract number]:[Contracted container weight]],2,FALSE)</f>
        <v>#N/A</v>
      </c>
      <c r="W797" s="34" t="e">
        <f>VLOOKUP(Allocation[[#This Row],[SAP Contract number]],Shipments[[SAP Contract number]:[AAA Premium USD]],24,FALSE)</f>
        <v>#N/A</v>
      </c>
      <c r="X797" s="34" t="e">
        <f>VLOOKUP(Allocation[[#This Row],[SAP Contract number]],Shipments[[SAP Contract number]:[RA Premium USD]],25,FALSE)</f>
        <v>#N/A</v>
      </c>
      <c r="Y797" s="38">
        <f>Allocation[[#This Row],[Quantity Processed]]/Allocation[[#This Row],[Quantity allocated]]</f>
        <v>2.9230769230769229</v>
      </c>
      <c r="Z797" s="34" t="b">
        <f>Allocation[[#This Row],[Quantity allocated]]&lt;=Allocation[[#This Row],[Quantity Processed]]</f>
        <v>1</v>
      </c>
    </row>
    <row r="798" spans="1:26">
      <c r="A798" s="247" t="s">
        <v>467</v>
      </c>
      <c r="B798" s="160" t="s">
        <v>68</v>
      </c>
      <c r="C798" s="252" t="s">
        <v>1273</v>
      </c>
      <c r="D798" s="167">
        <v>4140</v>
      </c>
      <c r="E798" s="160" t="s">
        <v>1326</v>
      </c>
      <c r="F798" s="158">
        <v>43553</v>
      </c>
      <c r="G798" s="162">
        <v>2.9</v>
      </c>
      <c r="H798" s="161">
        <v>1416</v>
      </c>
      <c r="I798" s="166">
        <v>1442255</v>
      </c>
      <c r="J798" s="163">
        <v>20355</v>
      </c>
      <c r="K798" s="158">
        <v>43560</v>
      </c>
      <c r="L798" s="160" t="s">
        <v>1328</v>
      </c>
      <c r="M798" s="160">
        <v>4615465085</v>
      </c>
      <c r="N798" s="158">
        <v>43579</v>
      </c>
      <c r="O798" s="164">
        <v>3.9624000000000001</v>
      </c>
      <c r="P798" s="165">
        <v>20183</v>
      </c>
      <c r="Q798" s="34">
        <f>SUMIF(Allocation[Delivery ID],Allocation[[#This Row],[Delivery ID]],Allocation[Quantity Processed])</f>
        <v>4140</v>
      </c>
      <c r="R798" s="61">
        <f>Allocation[[#This Row],[Total volume used]]/VLOOKUP(Allocation[[#This Row],[Delivery ID]],Delivery[[Delivery ID]:[Quantity delivered]],3,FALSE)</f>
        <v>1</v>
      </c>
      <c r="S798" s="34">
        <f>Allocation[[#This Row],[Quantity Processed]]/Allocation[[#This Row],[Dilution rate]]</f>
        <v>1427.5862068965519</v>
      </c>
      <c r="T798" s="59">
        <f>SUMIF(Allocation[Delivery ID],Allocation[[#This Row],[Delivery ID]],Allocation[Quantity allocated])/SUMIF(Allocation[Delivery ID],Allocation[[#This Row],[Delivery ID]],Allocation[Volume available (kg)])</f>
        <v>0.99188405797101442</v>
      </c>
      <c r="U798" s="61">
        <f>Allocation[[#This Row],[Total volume used]]/VLOOKUP(Allocation[[#This Row],[Delivery ID]],Delivery[[Delivery ID]:[Quantity delivered]],3,FALSE)</f>
        <v>1</v>
      </c>
      <c r="V798" s="34" t="e">
        <f>VLOOKUP(Allocation[[#This Row],[SAP Contract number]],Shipments[[SAP Contract number]:[Contracted container weight]],2,FALSE)</f>
        <v>#N/A</v>
      </c>
      <c r="W798" s="34" t="e">
        <f>VLOOKUP(Allocation[[#This Row],[SAP Contract number]],Shipments[[SAP Contract number]:[AAA Premium USD]],24,FALSE)</f>
        <v>#N/A</v>
      </c>
      <c r="X798" s="34" t="e">
        <f>VLOOKUP(Allocation[[#This Row],[SAP Contract number]],Shipments[[SAP Contract number]:[RA Premium USD]],25,FALSE)</f>
        <v>#N/A</v>
      </c>
      <c r="Y798" s="38">
        <f>Allocation[[#This Row],[Quantity Processed]]/Allocation[[#This Row],[Quantity allocated]]</f>
        <v>2.9237288135593222</v>
      </c>
      <c r="Z798" s="34" t="b">
        <f>Allocation[[#This Row],[Quantity allocated]]&lt;=Allocation[[#This Row],[Quantity Processed]]</f>
        <v>1</v>
      </c>
    </row>
    <row r="799" spans="1:26">
      <c r="A799" s="247" t="s">
        <v>467</v>
      </c>
      <c r="B799" s="160" t="s">
        <v>68</v>
      </c>
      <c r="C799" s="252" t="s">
        <v>1274</v>
      </c>
      <c r="D799" s="167">
        <v>1530</v>
      </c>
      <c r="E799" s="160" t="s">
        <v>1326</v>
      </c>
      <c r="F799" s="158">
        <v>43553</v>
      </c>
      <c r="G799" s="162">
        <v>2.9</v>
      </c>
      <c r="H799" s="161">
        <v>531</v>
      </c>
      <c r="I799" s="166">
        <v>1442255</v>
      </c>
      <c r="J799" s="163">
        <v>20355</v>
      </c>
      <c r="K799" s="158">
        <v>43560</v>
      </c>
      <c r="L799" s="160" t="s">
        <v>1328</v>
      </c>
      <c r="M799" s="160">
        <v>4615465085</v>
      </c>
      <c r="N799" s="158">
        <v>43579</v>
      </c>
      <c r="O799" s="164">
        <v>3.9624000000000001</v>
      </c>
      <c r="P799" s="165">
        <v>20183</v>
      </c>
      <c r="Q799" s="34">
        <f>SUMIF(Allocation[Delivery ID],Allocation[[#This Row],[Delivery ID]],Allocation[Quantity Processed])</f>
        <v>1530</v>
      </c>
      <c r="R799" s="61">
        <f>Allocation[[#This Row],[Total volume used]]/VLOOKUP(Allocation[[#This Row],[Delivery ID]],Delivery[[Delivery ID]:[Quantity delivered]],3,FALSE)</f>
        <v>1</v>
      </c>
      <c r="S799" s="34">
        <f>Allocation[[#This Row],[Quantity Processed]]/Allocation[[#This Row],[Dilution rate]]</f>
        <v>527.58620689655174</v>
      </c>
      <c r="T799" s="59">
        <f>SUMIF(Allocation[Delivery ID],Allocation[[#This Row],[Delivery ID]],Allocation[Quantity allocated])/SUMIF(Allocation[Delivery ID],Allocation[[#This Row],[Delivery ID]],Allocation[Volume available (kg)])</f>
        <v>1.006470588235294</v>
      </c>
      <c r="U799" s="61">
        <f>Allocation[[#This Row],[Total volume used]]/VLOOKUP(Allocation[[#This Row],[Delivery ID]],Delivery[[Delivery ID]:[Quantity delivered]],3,FALSE)</f>
        <v>1</v>
      </c>
      <c r="V799" s="34" t="e">
        <f>VLOOKUP(Allocation[[#This Row],[SAP Contract number]],Shipments[[SAP Contract number]:[Contracted container weight]],2,FALSE)</f>
        <v>#N/A</v>
      </c>
      <c r="W799" s="34" t="e">
        <f>VLOOKUP(Allocation[[#This Row],[SAP Contract number]],Shipments[[SAP Contract number]:[AAA Premium USD]],24,FALSE)</f>
        <v>#N/A</v>
      </c>
      <c r="X799" s="34" t="e">
        <f>VLOOKUP(Allocation[[#This Row],[SAP Contract number]],Shipments[[SAP Contract number]:[RA Premium USD]],25,FALSE)</f>
        <v>#N/A</v>
      </c>
      <c r="Y799" s="38">
        <f>Allocation[[#This Row],[Quantity Processed]]/Allocation[[#This Row],[Quantity allocated]]</f>
        <v>2.8813559322033897</v>
      </c>
      <c r="Z799" s="34" t="b">
        <f>Allocation[[#This Row],[Quantity allocated]]&lt;=Allocation[[#This Row],[Quantity Processed]]</f>
        <v>1</v>
      </c>
    </row>
    <row r="800" spans="1:26">
      <c r="A800" s="247" t="s">
        <v>467</v>
      </c>
      <c r="B800" s="160" t="s">
        <v>68</v>
      </c>
      <c r="C800" s="252" t="s">
        <v>1275</v>
      </c>
      <c r="D800" s="167">
        <v>360</v>
      </c>
      <c r="E800" s="160" t="s">
        <v>1326</v>
      </c>
      <c r="F800" s="158">
        <v>43553</v>
      </c>
      <c r="G800" s="162">
        <v>2.9</v>
      </c>
      <c r="H800" s="161">
        <v>118</v>
      </c>
      <c r="I800" s="166">
        <v>1442255</v>
      </c>
      <c r="J800" s="163">
        <v>20355</v>
      </c>
      <c r="K800" s="158">
        <v>43560</v>
      </c>
      <c r="L800" s="160" t="s">
        <v>1328</v>
      </c>
      <c r="M800" s="160">
        <v>4615465085</v>
      </c>
      <c r="N800" s="158">
        <v>43579</v>
      </c>
      <c r="O800" s="164">
        <v>3.9624000000000001</v>
      </c>
      <c r="P800" s="165">
        <v>20183</v>
      </c>
      <c r="Q800" s="34">
        <f>SUMIF(Allocation[Delivery ID],Allocation[[#This Row],[Delivery ID]],Allocation[Quantity Processed])</f>
        <v>360</v>
      </c>
      <c r="R800" s="61">
        <f>Allocation[[#This Row],[Total volume used]]/VLOOKUP(Allocation[[#This Row],[Delivery ID]],Delivery[[Delivery ID]:[Quantity delivered]],3,FALSE)</f>
        <v>1</v>
      </c>
      <c r="S800" s="34">
        <f>Allocation[[#This Row],[Quantity Processed]]/Allocation[[#This Row],[Dilution rate]]</f>
        <v>124.13793103448276</v>
      </c>
      <c r="T800" s="59">
        <f>SUMIF(Allocation[Delivery ID],Allocation[[#This Row],[Delivery ID]],Allocation[Quantity allocated])/SUMIF(Allocation[Delivery ID],Allocation[[#This Row],[Delivery ID]],Allocation[Volume available (kg)])</f>
        <v>0.95055555555555549</v>
      </c>
      <c r="U800" s="61">
        <f>Allocation[[#This Row],[Total volume used]]/VLOOKUP(Allocation[[#This Row],[Delivery ID]],Delivery[[Delivery ID]:[Quantity delivered]],3,FALSE)</f>
        <v>1</v>
      </c>
      <c r="V800" s="34" t="e">
        <f>VLOOKUP(Allocation[[#This Row],[SAP Contract number]],Shipments[[SAP Contract number]:[Contracted container weight]],2,FALSE)</f>
        <v>#N/A</v>
      </c>
      <c r="W800" s="34" t="e">
        <f>VLOOKUP(Allocation[[#This Row],[SAP Contract number]],Shipments[[SAP Contract number]:[AAA Premium USD]],24,FALSE)</f>
        <v>#N/A</v>
      </c>
      <c r="X800" s="34" t="e">
        <f>VLOOKUP(Allocation[[#This Row],[SAP Contract number]],Shipments[[SAP Contract number]:[RA Premium USD]],25,FALSE)</f>
        <v>#N/A</v>
      </c>
      <c r="Y800" s="38">
        <f>Allocation[[#This Row],[Quantity Processed]]/Allocation[[#This Row],[Quantity allocated]]</f>
        <v>3.0508474576271185</v>
      </c>
      <c r="Z800" s="34" t="b">
        <f>Allocation[[#This Row],[Quantity allocated]]&lt;=Allocation[[#This Row],[Quantity Processed]]</f>
        <v>1</v>
      </c>
    </row>
    <row r="801" spans="1:26">
      <c r="A801" s="247" t="s">
        <v>467</v>
      </c>
      <c r="B801" s="160" t="s">
        <v>68</v>
      </c>
      <c r="C801" s="252" t="s">
        <v>1276</v>
      </c>
      <c r="D801" s="167">
        <v>250</v>
      </c>
      <c r="E801" s="160" t="s">
        <v>1326</v>
      </c>
      <c r="F801" s="158">
        <v>43553</v>
      </c>
      <c r="G801" s="162">
        <v>2.9</v>
      </c>
      <c r="H801" s="161">
        <v>83</v>
      </c>
      <c r="I801" s="166">
        <v>1442255</v>
      </c>
      <c r="J801" s="163">
        <v>20355</v>
      </c>
      <c r="K801" s="158">
        <v>43560</v>
      </c>
      <c r="L801" s="160" t="s">
        <v>1328</v>
      </c>
      <c r="M801" s="160">
        <v>4615465085</v>
      </c>
      <c r="N801" s="158">
        <v>43579</v>
      </c>
      <c r="O801" s="164">
        <v>3.9624000000000001</v>
      </c>
      <c r="P801" s="165">
        <v>20183</v>
      </c>
      <c r="Q801" s="34">
        <f>SUMIF(Allocation[Delivery ID],Allocation[[#This Row],[Delivery ID]],Allocation[Quantity Processed])</f>
        <v>250</v>
      </c>
      <c r="R801" s="61">
        <f>Allocation[[#This Row],[Total volume used]]/VLOOKUP(Allocation[[#This Row],[Delivery ID]],Delivery[[Delivery ID]:[Quantity delivered]],3,FALSE)</f>
        <v>1</v>
      </c>
      <c r="S801" s="34">
        <f>Allocation[[#This Row],[Quantity Processed]]/Allocation[[#This Row],[Dilution rate]]</f>
        <v>86.206896551724142</v>
      </c>
      <c r="T801" s="59">
        <f>SUMIF(Allocation[Delivery ID],Allocation[[#This Row],[Delivery ID]],Allocation[Quantity allocated])/SUMIF(Allocation[Delivery ID],Allocation[[#This Row],[Delivery ID]],Allocation[Volume available (kg)])</f>
        <v>0.96279999999999999</v>
      </c>
      <c r="U801" s="61">
        <f>Allocation[[#This Row],[Total volume used]]/VLOOKUP(Allocation[[#This Row],[Delivery ID]],Delivery[[Delivery ID]:[Quantity delivered]],3,FALSE)</f>
        <v>1</v>
      </c>
      <c r="V801" s="34" t="e">
        <f>VLOOKUP(Allocation[[#This Row],[SAP Contract number]],Shipments[[SAP Contract number]:[Contracted container weight]],2,FALSE)</f>
        <v>#N/A</v>
      </c>
      <c r="W801" s="34" t="e">
        <f>VLOOKUP(Allocation[[#This Row],[SAP Contract number]],Shipments[[SAP Contract number]:[AAA Premium USD]],24,FALSE)</f>
        <v>#N/A</v>
      </c>
      <c r="X801" s="34" t="e">
        <f>VLOOKUP(Allocation[[#This Row],[SAP Contract number]],Shipments[[SAP Contract number]:[RA Premium USD]],25,FALSE)</f>
        <v>#N/A</v>
      </c>
      <c r="Y801" s="38">
        <f>Allocation[[#This Row],[Quantity Processed]]/Allocation[[#This Row],[Quantity allocated]]</f>
        <v>3.0120481927710845</v>
      </c>
      <c r="Z801" s="34" t="b">
        <f>Allocation[[#This Row],[Quantity allocated]]&lt;=Allocation[[#This Row],[Quantity Processed]]</f>
        <v>1</v>
      </c>
    </row>
    <row r="802" spans="1:26">
      <c r="A802" s="247" t="s">
        <v>467</v>
      </c>
      <c r="B802" s="160" t="s">
        <v>68</v>
      </c>
      <c r="C802" s="252" t="s">
        <v>1277</v>
      </c>
      <c r="D802" s="167">
        <v>2820</v>
      </c>
      <c r="E802" s="160" t="s">
        <v>1326</v>
      </c>
      <c r="F802" s="158">
        <v>43553</v>
      </c>
      <c r="G802" s="162">
        <v>2.9</v>
      </c>
      <c r="H802" s="161">
        <v>944</v>
      </c>
      <c r="I802" s="166">
        <v>1442255</v>
      </c>
      <c r="J802" s="163">
        <v>20355</v>
      </c>
      <c r="K802" s="158">
        <v>43560</v>
      </c>
      <c r="L802" s="160" t="s">
        <v>1328</v>
      </c>
      <c r="M802" s="160">
        <v>4615465085</v>
      </c>
      <c r="N802" s="158">
        <v>43579</v>
      </c>
      <c r="O802" s="164">
        <v>3.9624000000000001</v>
      </c>
      <c r="P802" s="165">
        <v>20183</v>
      </c>
      <c r="Q802" s="34">
        <f>SUMIF(Allocation[Delivery ID],Allocation[[#This Row],[Delivery ID]],Allocation[Quantity Processed])</f>
        <v>2820</v>
      </c>
      <c r="R802" s="61">
        <f>Allocation[[#This Row],[Total volume used]]/VLOOKUP(Allocation[[#This Row],[Delivery ID]],Delivery[[Delivery ID]:[Quantity delivered]],3,FALSE)</f>
        <v>1</v>
      </c>
      <c r="S802" s="34">
        <f>Allocation[[#This Row],[Quantity Processed]]/Allocation[[#This Row],[Dilution rate]]</f>
        <v>972.41379310344826</v>
      </c>
      <c r="T802" s="59">
        <f>SUMIF(Allocation[Delivery ID],Allocation[[#This Row],[Delivery ID]],Allocation[Quantity allocated])/SUMIF(Allocation[Delivery ID],Allocation[[#This Row],[Delivery ID]],Allocation[Volume available (kg)])</f>
        <v>0.97078014184397166</v>
      </c>
      <c r="U802" s="61">
        <f>Allocation[[#This Row],[Total volume used]]/VLOOKUP(Allocation[[#This Row],[Delivery ID]],Delivery[[Delivery ID]:[Quantity delivered]],3,FALSE)</f>
        <v>1</v>
      </c>
      <c r="V802" s="34" t="e">
        <f>VLOOKUP(Allocation[[#This Row],[SAP Contract number]],Shipments[[SAP Contract number]:[Contracted container weight]],2,FALSE)</f>
        <v>#N/A</v>
      </c>
      <c r="W802" s="34" t="e">
        <f>VLOOKUP(Allocation[[#This Row],[SAP Contract number]],Shipments[[SAP Contract number]:[AAA Premium USD]],24,FALSE)</f>
        <v>#N/A</v>
      </c>
      <c r="X802" s="34" t="e">
        <f>VLOOKUP(Allocation[[#This Row],[SAP Contract number]],Shipments[[SAP Contract number]:[RA Premium USD]],25,FALSE)</f>
        <v>#N/A</v>
      </c>
      <c r="Y802" s="38">
        <f>Allocation[[#This Row],[Quantity Processed]]/Allocation[[#This Row],[Quantity allocated]]</f>
        <v>2.9872881355932202</v>
      </c>
      <c r="Z802" s="34" t="b">
        <f>Allocation[[#This Row],[Quantity allocated]]&lt;=Allocation[[#This Row],[Quantity Processed]]</f>
        <v>1</v>
      </c>
    </row>
    <row r="803" spans="1:26">
      <c r="A803" s="247" t="s">
        <v>467</v>
      </c>
      <c r="B803" s="160" t="s">
        <v>68</v>
      </c>
      <c r="C803" s="252" t="s">
        <v>1278</v>
      </c>
      <c r="D803" s="167">
        <v>1860</v>
      </c>
      <c r="E803" s="160" t="s">
        <v>1326</v>
      </c>
      <c r="F803" s="158">
        <v>43553</v>
      </c>
      <c r="G803" s="162">
        <v>2.9</v>
      </c>
      <c r="H803" s="161">
        <v>649</v>
      </c>
      <c r="I803" s="166">
        <v>1442255</v>
      </c>
      <c r="J803" s="163">
        <v>20355</v>
      </c>
      <c r="K803" s="158">
        <v>43560</v>
      </c>
      <c r="L803" s="160" t="s">
        <v>1328</v>
      </c>
      <c r="M803" s="160">
        <v>4615465085</v>
      </c>
      <c r="N803" s="158">
        <v>43579</v>
      </c>
      <c r="O803" s="164">
        <v>3.9624000000000001</v>
      </c>
      <c r="P803" s="165">
        <v>20183</v>
      </c>
      <c r="Q803" s="34">
        <f>SUMIF(Allocation[Delivery ID],Allocation[[#This Row],[Delivery ID]],Allocation[Quantity Processed])</f>
        <v>1860</v>
      </c>
      <c r="R803" s="61">
        <f>Allocation[[#This Row],[Total volume used]]/VLOOKUP(Allocation[[#This Row],[Delivery ID]],Delivery[[Delivery ID]:[Quantity delivered]],3,FALSE)</f>
        <v>1</v>
      </c>
      <c r="S803" s="34">
        <f>Allocation[[#This Row],[Quantity Processed]]/Allocation[[#This Row],[Dilution rate]]</f>
        <v>641.37931034482756</v>
      </c>
      <c r="T803" s="59">
        <f>SUMIF(Allocation[Delivery ID],Allocation[[#This Row],[Delivery ID]],Allocation[Quantity allocated])/SUMIF(Allocation[Delivery ID],Allocation[[#This Row],[Delivery ID]],Allocation[Volume available (kg)])</f>
        <v>1.0118817204301076</v>
      </c>
      <c r="U803" s="61">
        <f>Allocation[[#This Row],[Total volume used]]/VLOOKUP(Allocation[[#This Row],[Delivery ID]],Delivery[[Delivery ID]:[Quantity delivered]],3,FALSE)</f>
        <v>1</v>
      </c>
      <c r="V803" s="34" t="e">
        <f>VLOOKUP(Allocation[[#This Row],[SAP Contract number]],Shipments[[SAP Contract number]:[Contracted container weight]],2,FALSE)</f>
        <v>#N/A</v>
      </c>
      <c r="W803" s="34" t="e">
        <f>VLOOKUP(Allocation[[#This Row],[SAP Contract number]],Shipments[[SAP Contract number]:[AAA Premium USD]],24,FALSE)</f>
        <v>#N/A</v>
      </c>
      <c r="X803" s="34" t="e">
        <f>VLOOKUP(Allocation[[#This Row],[SAP Contract number]],Shipments[[SAP Contract number]:[RA Premium USD]],25,FALSE)</f>
        <v>#N/A</v>
      </c>
      <c r="Y803" s="38">
        <f>Allocation[[#This Row],[Quantity Processed]]/Allocation[[#This Row],[Quantity allocated]]</f>
        <v>2.8659476117103235</v>
      </c>
      <c r="Z803" s="34" t="b">
        <f>Allocation[[#This Row],[Quantity allocated]]&lt;=Allocation[[#This Row],[Quantity Processed]]</f>
        <v>1</v>
      </c>
    </row>
    <row r="804" spans="1:26">
      <c r="A804" s="247" t="s">
        <v>467</v>
      </c>
      <c r="B804" s="160" t="s">
        <v>68</v>
      </c>
      <c r="C804" s="252" t="s">
        <v>1279</v>
      </c>
      <c r="D804" s="167">
        <v>9988</v>
      </c>
      <c r="E804" s="160" t="s">
        <v>1326</v>
      </c>
      <c r="F804" s="158">
        <v>43553</v>
      </c>
      <c r="G804" s="162">
        <v>2.9</v>
      </c>
      <c r="H804" s="161">
        <v>3327</v>
      </c>
      <c r="I804" s="166">
        <v>1442255</v>
      </c>
      <c r="J804" s="163">
        <v>20355</v>
      </c>
      <c r="K804" s="158">
        <v>43560</v>
      </c>
      <c r="L804" s="160" t="s">
        <v>1328</v>
      </c>
      <c r="M804" s="160">
        <v>4615465085</v>
      </c>
      <c r="N804" s="158">
        <v>43579</v>
      </c>
      <c r="O804" s="164">
        <v>3.9624000000000001</v>
      </c>
      <c r="P804" s="165">
        <v>20183</v>
      </c>
      <c r="Q804" s="34">
        <f>SUMIF(Allocation[Delivery ID],Allocation[[#This Row],[Delivery ID]],Allocation[Quantity Processed])</f>
        <v>25330</v>
      </c>
      <c r="R804" s="61">
        <f>Allocation[[#This Row],[Total volume used]]/VLOOKUP(Allocation[[#This Row],[Delivery ID]],Delivery[[Delivery ID]:[Quantity delivered]],3,FALSE)</f>
        <v>1</v>
      </c>
      <c r="S804" s="34">
        <f>Allocation[[#This Row],[Quantity Processed]]/Allocation[[#This Row],[Dilution rate]]</f>
        <v>3444.1379310344828</v>
      </c>
      <c r="T804" s="59">
        <f>SUMIF(Allocation[Delivery ID],Allocation[[#This Row],[Delivery ID]],Allocation[Quantity allocated])/SUMIF(Allocation[Delivery ID],Allocation[[#This Row],[Delivery ID]],Allocation[Volume available (kg)])</f>
        <v>0.96594157125937619</v>
      </c>
      <c r="U804" s="61">
        <f>Allocation[[#This Row],[Total volume used]]/VLOOKUP(Allocation[[#This Row],[Delivery ID]],Delivery[[Delivery ID]:[Quantity delivered]],3,FALSE)</f>
        <v>1</v>
      </c>
      <c r="V804" s="34" t="e">
        <f>VLOOKUP(Allocation[[#This Row],[SAP Contract number]],Shipments[[SAP Contract number]:[Contracted container weight]],2,FALSE)</f>
        <v>#N/A</v>
      </c>
      <c r="W804" s="34" t="e">
        <f>VLOOKUP(Allocation[[#This Row],[SAP Contract number]],Shipments[[SAP Contract number]:[AAA Premium USD]],24,FALSE)</f>
        <v>#N/A</v>
      </c>
      <c r="X804" s="34" t="e">
        <f>VLOOKUP(Allocation[[#This Row],[SAP Contract number]],Shipments[[SAP Contract number]:[RA Premium USD]],25,FALSE)</f>
        <v>#N/A</v>
      </c>
      <c r="Y804" s="38">
        <f>Allocation[[#This Row],[Quantity Processed]]/Allocation[[#This Row],[Quantity allocated]]</f>
        <v>3.0021039975954311</v>
      </c>
      <c r="Z804" s="34" t="b">
        <f>Allocation[[#This Row],[Quantity allocated]]&lt;=Allocation[[#This Row],[Quantity Processed]]</f>
        <v>1</v>
      </c>
    </row>
    <row r="805" spans="1:26">
      <c r="A805" s="247" t="s">
        <v>467</v>
      </c>
      <c r="B805" s="160" t="s">
        <v>68</v>
      </c>
      <c r="C805" s="252" t="s">
        <v>1279</v>
      </c>
      <c r="D805" s="167">
        <v>15342</v>
      </c>
      <c r="E805" s="160" t="s">
        <v>1326</v>
      </c>
      <c r="F805" s="158">
        <v>43553</v>
      </c>
      <c r="G805" s="162">
        <v>2.9</v>
      </c>
      <c r="H805" s="161">
        <v>5110</v>
      </c>
      <c r="I805" s="166">
        <v>1442256</v>
      </c>
      <c r="J805" s="163">
        <v>20355</v>
      </c>
      <c r="K805" s="158">
        <v>43560</v>
      </c>
      <c r="L805" s="160" t="s">
        <v>1329</v>
      </c>
      <c r="M805" s="160">
        <v>4615465085</v>
      </c>
      <c r="N805" s="158">
        <v>43579</v>
      </c>
      <c r="O805" s="164">
        <v>3.9624000000000001</v>
      </c>
      <c r="P805" s="165">
        <v>20183</v>
      </c>
      <c r="Q805" s="34">
        <f>SUMIF(Allocation[Delivery ID],Allocation[[#This Row],[Delivery ID]],Allocation[Quantity Processed])</f>
        <v>25330</v>
      </c>
      <c r="R805" s="61">
        <f>Allocation[[#This Row],[Total volume used]]/VLOOKUP(Allocation[[#This Row],[Delivery ID]],Delivery[[Delivery ID]:[Quantity delivered]],3,FALSE)</f>
        <v>1</v>
      </c>
      <c r="S805" s="34">
        <f>Allocation[[#This Row],[Quantity Processed]]/Allocation[[#This Row],[Dilution rate]]</f>
        <v>5290.3448275862074</v>
      </c>
      <c r="T805" s="59">
        <f>SUMIF(Allocation[Delivery ID],Allocation[[#This Row],[Delivery ID]],Allocation[Quantity allocated])/SUMIF(Allocation[Delivery ID],Allocation[[#This Row],[Delivery ID]],Allocation[Volume available (kg)])</f>
        <v>0.96594157125937619</v>
      </c>
      <c r="U805" s="61">
        <f>Allocation[[#This Row],[Total volume used]]/VLOOKUP(Allocation[[#This Row],[Delivery ID]],Delivery[[Delivery ID]:[Quantity delivered]],3,FALSE)</f>
        <v>1</v>
      </c>
      <c r="V805" s="34" t="e">
        <f>VLOOKUP(Allocation[[#This Row],[SAP Contract number]],Shipments[[SAP Contract number]:[Contracted container weight]],2,FALSE)</f>
        <v>#N/A</v>
      </c>
      <c r="W805" s="34" t="e">
        <f>VLOOKUP(Allocation[[#This Row],[SAP Contract number]],Shipments[[SAP Contract number]:[AAA Premium USD]],24,FALSE)</f>
        <v>#N/A</v>
      </c>
      <c r="X805" s="34" t="e">
        <f>VLOOKUP(Allocation[[#This Row],[SAP Contract number]],Shipments[[SAP Contract number]:[RA Premium USD]],25,FALSE)</f>
        <v>#N/A</v>
      </c>
      <c r="Y805" s="38">
        <f>Allocation[[#This Row],[Quantity Processed]]/Allocation[[#This Row],[Quantity allocated]]</f>
        <v>3.002348336594912</v>
      </c>
      <c r="Z805" s="34" t="b">
        <f>Allocation[[#This Row],[Quantity allocated]]&lt;=Allocation[[#This Row],[Quantity Processed]]</f>
        <v>1</v>
      </c>
    </row>
    <row r="806" spans="1:26">
      <c r="A806" s="247" t="s">
        <v>467</v>
      </c>
      <c r="B806" s="160" t="s">
        <v>68</v>
      </c>
      <c r="C806" s="252" t="s">
        <v>1280</v>
      </c>
      <c r="D806" s="167">
        <v>18070</v>
      </c>
      <c r="E806" s="160" t="s">
        <v>1326</v>
      </c>
      <c r="F806" s="158">
        <v>43553</v>
      </c>
      <c r="G806" s="162">
        <v>2.9</v>
      </c>
      <c r="H806" s="161">
        <v>6018</v>
      </c>
      <c r="I806" s="166">
        <v>1442256</v>
      </c>
      <c r="J806" s="163">
        <v>20355</v>
      </c>
      <c r="K806" s="158">
        <v>43560</v>
      </c>
      <c r="L806" s="160" t="s">
        <v>1329</v>
      </c>
      <c r="M806" s="160">
        <v>4615465085</v>
      </c>
      <c r="N806" s="158">
        <v>43579</v>
      </c>
      <c r="O806" s="164">
        <v>3.9624000000000001</v>
      </c>
      <c r="P806" s="165">
        <v>20183</v>
      </c>
      <c r="Q806" s="34">
        <f>SUMIF(Allocation[Delivery ID],Allocation[[#This Row],[Delivery ID]],Allocation[Quantity Processed])</f>
        <v>18070</v>
      </c>
      <c r="R806" s="61">
        <f>Allocation[[#This Row],[Total volume used]]/VLOOKUP(Allocation[[#This Row],[Delivery ID]],Delivery[[Delivery ID]:[Quantity delivered]],3,FALSE)</f>
        <v>1</v>
      </c>
      <c r="S806" s="34">
        <f>Allocation[[#This Row],[Quantity Processed]]/Allocation[[#This Row],[Dilution rate]]</f>
        <v>6231.0344827586205</v>
      </c>
      <c r="T806" s="59">
        <f>SUMIF(Allocation[Delivery ID],Allocation[[#This Row],[Delivery ID]],Allocation[Quantity allocated])/SUMIF(Allocation[Delivery ID],Allocation[[#This Row],[Delivery ID]],Allocation[Volume available (kg)])</f>
        <v>0.96581073602656342</v>
      </c>
      <c r="U806" s="61">
        <f>Allocation[[#This Row],[Total volume used]]/VLOOKUP(Allocation[[#This Row],[Delivery ID]],Delivery[[Delivery ID]:[Quantity delivered]],3,FALSE)</f>
        <v>1</v>
      </c>
      <c r="V806" s="34" t="e">
        <f>VLOOKUP(Allocation[[#This Row],[SAP Contract number]],Shipments[[SAP Contract number]:[Contracted container weight]],2,FALSE)</f>
        <v>#N/A</v>
      </c>
      <c r="W806" s="34" t="e">
        <f>VLOOKUP(Allocation[[#This Row],[SAP Contract number]],Shipments[[SAP Contract number]:[AAA Premium USD]],24,FALSE)</f>
        <v>#N/A</v>
      </c>
      <c r="X806" s="34" t="e">
        <f>VLOOKUP(Allocation[[#This Row],[SAP Contract number]],Shipments[[SAP Contract number]:[RA Premium USD]],25,FALSE)</f>
        <v>#N/A</v>
      </c>
      <c r="Y806" s="38">
        <f>Allocation[[#This Row],[Quantity Processed]]/Allocation[[#This Row],[Quantity allocated]]</f>
        <v>3.002658690594882</v>
      </c>
      <c r="Z806" s="34" t="b">
        <f>Allocation[[#This Row],[Quantity allocated]]&lt;=Allocation[[#This Row],[Quantity Processed]]</f>
        <v>1</v>
      </c>
    </row>
    <row r="807" spans="1:26">
      <c r="A807" s="247" t="s">
        <v>467</v>
      </c>
      <c r="B807" s="160" t="s">
        <v>68</v>
      </c>
      <c r="C807" s="252" t="s">
        <v>1281</v>
      </c>
      <c r="D807" s="167">
        <v>7370</v>
      </c>
      <c r="E807" s="160" t="s">
        <v>1326</v>
      </c>
      <c r="F807" s="158">
        <v>43553</v>
      </c>
      <c r="G807" s="162">
        <v>2.9</v>
      </c>
      <c r="H807" s="161">
        <v>2478</v>
      </c>
      <c r="I807" s="166">
        <v>1442256</v>
      </c>
      <c r="J807" s="163">
        <v>20355</v>
      </c>
      <c r="K807" s="158">
        <v>43560</v>
      </c>
      <c r="L807" s="160" t="s">
        <v>1329</v>
      </c>
      <c r="M807" s="160">
        <v>4615465085</v>
      </c>
      <c r="N807" s="158">
        <v>43579</v>
      </c>
      <c r="O807" s="164">
        <v>3.9624000000000001</v>
      </c>
      <c r="P807" s="165">
        <v>20183</v>
      </c>
      <c r="Q807" s="34">
        <f>SUMIF(Allocation[Delivery ID],Allocation[[#This Row],[Delivery ID]],Allocation[Quantity Processed])</f>
        <v>7370</v>
      </c>
      <c r="R807" s="61">
        <f>Allocation[[#This Row],[Total volume used]]/VLOOKUP(Allocation[[#This Row],[Delivery ID]],Delivery[[Delivery ID]:[Quantity delivered]],3,FALSE)</f>
        <v>1</v>
      </c>
      <c r="S807" s="34">
        <f>Allocation[[#This Row],[Quantity Processed]]/Allocation[[#This Row],[Dilution rate]]</f>
        <v>2541.3793103448274</v>
      </c>
      <c r="T807" s="59">
        <f>SUMIF(Allocation[Delivery ID],Allocation[[#This Row],[Delivery ID]],Allocation[Quantity allocated])/SUMIF(Allocation[Delivery ID],Allocation[[#This Row],[Delivery ID]],Allocation[Volume available (kg)])</f>
        <v>0.97506105834464052</v>
      </c>
      <c r="U807" s="61">
        <f>Allocation[[#This Row],[Total volume used]]/VLOOKUP(Allocation[[#This Row],[Delivery ID]],Delivery[[Delivery ID]:[Quantity delivered]],3,FALSE)</f>
        <v>1</v>
      </c>
      <c r="V807" s="34" t="e">
        <f>VLOOKUP(Allocation[[#This Row],[SAP Contract number]],Shipments[[SAP Contract number]:[Contracted container weight]],2,FALSE)</f>
        <v>#N/A</v>
      </c>
      <c r="W807" s="34" t="e">
        <f>VLOOKUP(Allocation[[#This Row],[SAP Contract number]],Shipments[[SAP Contract number]:[AAA Premium USD]],24,FALSE)</f>
        <v>#N/A</v>
      </c>
      <c r="X807" s="34" t="e">
        <f>VLOOKUP(Allocation[[#This Row],[SAP Contract number]],Shipments[[SAP Contract number]:[RA Premium USD]],25,FALSE)</f>
        <v>#N/A</v>
      </c>
      <c r="Y807" s="38">
        <f>Allocation[[#This Row],[Quantity Processed]]/Allocation[[#This Row],[Quantity allocated]]</f>
        <v>2.974172719935432</v>
      </c>
      <c r="Z807" s="34" t="b">
        <f>Allocation[[#This Row],[Quantity allocated]]&lt;=Allocation[[#This Row],[Quantity Processed]]</f>
        <v>1</v>
      </c>
    </row>
    <row r="808" spans="1:26">
      <c r="A808" s="247" t="s">
        <v>467</v>
      </c>
      <c r="B808" s="160" t="s">
        <v>68</v>
      </c>
      <c r="C808" s="252" t="s">
        <v>1282</v>
      </c>
      <c r="D808" s="167">
        <v>18820</v>
      </c>
      <c r="E808" s="160" t="s">
        <v>1326</v>
      </c>
      <c r="F808" s="158">
        <v>43553</v>
      </c>
      <c r="G808" s="162">
        <v>2.9</v>
      </c>
      <c r="H808" s="161">
        <v>6254</v>
      </c>
      <c r="I808" s="166">
        <v>1442256</v>
      </c>
      <c r="J808" s="163">
        <v>20355</v>
      </c>
      <c r="K808" s="158">
        <v>43560</v>
      </c>
      <c r="L808" s="160" t="s">
        <v>1329</v>
      </c>
      <c r="M808" s="160">
        <v>4615465085</v>
      </c>
      <c r="N808" s="158">
        <v>43579</v>
      </c>
      <c r="O808" s="164">
        <v>3.9624000000000001</v>
      </c>
      <c r="P808" s="165">
        <v>20183</v>
      </c>
      <c r="Q808" s="34">
        <f>SUMIF(Allocation[Delivery ID],Allocation[[#This Row],[Delivery ID]],Allocation[Quantity Processed])</f>
        <v>18820</v>
      </c>
      <c r="R808" s="61">
        <f>Allocation[[#This Row],[Total volume used]]/VLOOKUP(Allocation[[#This Row],[Delivery ID]],Delivery[[Delivery ID]:[Quantity delivered]],3,FALSE)</f>
        <v>1</v>
      </c>
      <c r="S808" s="34">
        <f>Allocation[[#This Row],[Quantity Processed]]/Allocation[[#This Row],[Dilution rate]]</f>
        <v>6489.6551724137935</v>
      </c>
      <c r="T808" s="59">
        <f>SUMIF(Allocation[Delivery ID],Allocation[[#This Row],[Delivery ID]],Allocation[Quantity allocated])/SUMIF(Allocation[Delivery ID],Allocation[[#This Row],[Delivery ID]],Allocation[Volume available (kg)])</f>
        <v>0.96368756641870346</v>
      </c>
      <c r="U808" s="61">
        <f>Allocation[[#This Row],[Total volume used]]/VLOOKUP(Allocation[[#This Row],[Delivery ID]],Delivery[[Delivery ID]:[Quantity delivered]],3,FALSE)</f>
        <v>1</v>
      </c>
      <c r="V808" s="34" t="e">
        <f>VLOOKUP(Allocation[[#This Row],[SAP Contract number]],Shipments[[SAP Contract number]:[Contracted container weight]],2,FALSE)</f>
        <v>#N/A</v>
      </c>
      <c r="W808" s="34" t="e">
        <f>VLOOKUP(Allocation[[#This Row],[SAP Contract number]],Shipments[[SAP Contract number]:[AAA Premium USD]],24,FALSE)</f>
        <v>#N/A</v>
      </c>
      <c r="X808" s="34" t="e">
        <f>VLOOKUP(Allocation[[#This Row],[SAP Contract number]],Shipments[[SAP Contract number]:[RA Premium USD]],25,FALSE)</f>
        <v>#N/A</v>
      </c>
      <c r="Y808" s="38">
        <f>Allocation[[#This Row],[Quantity Processed]]/Allocation[[#This Row],[Quantity allocated]]</f>
        <v>3.0092740645986567</v>
      </c>
      <c r="Z808" s="34" t="b">
        <f>Allocation[[#This Row],[Quantity allocated]]&lt;=Allocation[[#This Row],[Quantity Processed]]</f>
        <v>1</v>
      </c>
    </row>
    <row r="809" spans="1:26">
      <c r="A809" s="247" t="s">
        <v>467</v>
      </c>
      <c r="B809" s="160" t="s">
        <v>68</v>
      </c>
      <c r="C809" s="252" t="s">
        <v>1283</v>
      </c>
      <c r="D809" s="167">
        <v>1485</v>
      </c>
      <c r="E809" s="160" t="s">
        <v>1326</v>
      </c>
      <c r="F809" s="158">
        <v>43553</v>
      </c>
      <c r="G809" s="162">
        <v>2.9</v>
      </c>
      <c r="H809" s="161">
        <v>495</v>
      </c>
      <c r="I809" s="166">
        <v>1442256</v>
      </c>
      <c r="J809" s="163">
        <v>20355</v>
      </c>
      <c r="K809" s="158">
        <v>43560</v>
      </c>
      <c r="L809" s="160" t="s">
        <v>1329</v>
      </c>
      <c r="M809" s="160">
        <v>4615465085</v>
      </c>
      <c r="N809" s="158">
        <v>43579</v>
      </c>
      <c r="O809" s="164">
        <v>3.9624000000000001</v>
      </c>
      <c r="P809" s="165">
        <v>20183</v>
      </c>
      <c r="Q809" s="34">
        <f>SUMIF(Allocation[Delivery ID],Allocation[[#This Row],[Delivery ID]],Allocation[Quantity Processed])</f>
        <v>26550</v>
      </c>
      <c r="R809" s="61">
        <f>Allocation[[#This Row],[Total volume used]]/VLOOKUP(Allocation[[#This Row],[Delivery ID]],Delivery[[Delivery ID]:[Quantity delivered]],3,FALSE)</f>
        <v>1</v>
      </c>
      <c r="S809" s="34">
        <f>Allocation[[#This Row],[Quantity Processed]]/Allocation[[#This Row],[Dilution rate]]</f>
        <v>512.06896551724139</v>
      </c>
      <c r="T809" s="59">
        <f>SUMIF(Allocation[Delivery ID],Allocation[[#This Row],[Delivery ID]],Allocation[Quantity allocated])/SUMIF(Allocation[Delivery ID],Allocation[[#This Row],[Delivery ID]],Allocation[Volume available (kg)])</f>
        <v>0.96666666666666667</v>
      </c>
      <c r="U809" s="61">
        <f>Allocation[[#This Row],[Total volume used]]/VLOOKUP(Allocation[[#This Row],[Delivery ID]],Delivery[[Delivery ID]:[Quantity delivered]],3,FALSE)</f>
        <v>1</v>
      </c>
      <c r="V809" s="34" t="e">
        <f>VLOOKUP(Allocation[[#This Row],[SAP Contract number]],Shipments[[SAP Contract number]:[Contracted container weight]],2,FALSE)</f>
        <v>#N/A</v>
      </c>
      <c r="W809" s="34" t="e">
        <f>VLOOKUP(Allocation[[#This Row],[SAP Contract number]],Shipments[[SAP Contract number]:[AAA Premium USD]],24,FALSE)</f>
        <v>#N/A</v>
      </c>
      <c r="X809" s="34" t="e">
        <f>VLOOKUP(Allocation[[#This Row],[SAP Contract number]],Shipments[[SAP Contract number]:[RA Premium USD]],25,FALSE)</f>
        <v>#N/A</v>
      </c>
      <c r="Y809" s="38">
        <f>Allocation[[#This Row],[Quantity Processed]]/Allocation[[#This Row],[Quantity allocated]]</f>
        <v>3</v>
      </c>
      <c r="Z809" s="34" t="b">
        <f>Allocation[[#This Row],[Quantity allocated]]&lt;=Allocation[[#This Row],[Quantity Processed]]</f>
        <v>1</v>
      </c>
    </row>
    <row r="810" spans="1:26">
      <c r="A810" s="247" t="s">
        <v>467</v>
      </c>
      <c r="B810" s="160" t="s">
        <v>68</v>
      </c>
      <c r="C810" s="252" t="s">
        <v>1283</v>
      </c>
      <c r="D810" s="167">
        <v>25065</v>
      </c>
      <c r="E810" s="160" t="s">
        <v>1326</v>
      </c>
      <c r="F810" s="158">
        <v>43553</v>
      </c>
      <c r="G810" s="162">
        <v>2.9</v>
      </c>
      <c r="H810" s="161">
        <v>8355</v>
      </c>
      <c r="I810" s="166">
        <v>1442257</v>
      </c>
      <c r="J810" s="163">
        <v>20355</v>
      </c>
      <c r="K810" s="158">
        <v>43560</v>
      </c>
      <c r="L810" s="160" t="s">
        <v>1330</v>
      </c>
      <c r="M810" s="160">
        <v>4615465085</v>
      </c>
      <c r="N810" s="158">
        <v>43579</v>
      </c>
      <c r="O810" s="164">
        <v>3.9624000000000001</v>
      </c>
      <c r="P810" s="165">
        <v>20183</v>
      </c>
      <c r="Q810" s="34">
        <f>SUMIF(Allocation[Delivery ID],Allocation[[#This Row],[Delivery ID]],Allocation[Quantity Processed])</f>
        <v>26550</v>
      </c>
      <c r="R810" s="61">
        <f>Allocation[[#This Row],[Total volume used]]/VLOOKUP(Allocation[[#This Row],[Delivery ID]],Delivery[[Delivery ID]:[Quantity delivered]],3,FALSE)</f>
        <v>1</v>
      </c>
      <c r="S810" s="34">
        <f>Allocation[[#This Row],[Quantity Processed]]/Allocation[[#This Row],[Dilution rate]]</f>
        <v>8643.1034482758623</v>
      </c>
      <c r="T810" s="59">
        <f>SUMIF(Allocation[Delivery ID],Allocation[[#This Row],[Delivery ID]],Allocation[Quantity allocated])/SUMIF(Allocation[Delivery ID],Allocation[[#This Row],[Delivery ID]],Allocation[Volume available (kg)])</f>
        <v>0.96666666666666667</v>
      </c>
      <c r="U810" s="61">
        <f>Allocation[[#This Row],[Total volume used]]/VLOOKUP(Allocation[[#This Row],[Delivery ID]],Delivery[[Delivery ID]:[Quantity delivered]],3,FALSE)</f>
        <v>1</v>
      </c>
      <c r="V810" s="34" t="e">
        <f>VLOOKUP(Allocation[[#This Row],[SAP Contract number]],Shipments[[SAP Contract number]:[Contracted container weight]],2,FALSE)</f>
        <v>#N/A</v>
      </c>
      <c r="W810" s="34" t="e">
        <f>VLOOKUP(Allocation[[#This Row],[SAP Contract number]],Shipments[[SAP Contract number]:[AAA Premium USD]],24,FALSE)</f>
        <v>#N/A</v>
      </c>
      <c r="X810" s="34" t="e">
        <f>VLOOKUP(Allocation[[#This Row],[SAP Contract number]],Shipments[[SAP Contract number]:[RA Premium USD]],25,FALSE)</f>
        <v>#N/A</v>
      </c>
      <c r="Y810" s="38">
        <f>Allocation[[#This Row],[Quantity Processed]]/Allocation[[#This Row],[Quantity allocated]]</f>
        <v>3</v>
      </c>
      <c r="Z810" s="34" t="b">
        <f>Allocation[[#This Row],[Quantity allocated]]&lt;=Allocation[[#This Row],[Quantity Processed]]</f>
        <v>1</v>
      </c>
    </row>
    <row r="811" spans="1:26">
      <c r="A811" s="247" t="s">
        <v>467</v>
      </c>
      <c r="B811" s="160" t="s">
        <v>68</v>
      </c>
      <c r="C811" s="252" t="s">
        <v>1284</v>
      </c>
      <c r="D811" s="167">
        <v>18350</v>
      </c>
      <c r="E811" s="160" t="s">
        <v>1326</v>
      </c>
      <c r="F811" s="158">
        <v>43553</v>
      </c>
      <c r="G811" s="162">
        <v>2.9</v>
      </c>
      <c r="H811" s="161">
        <v>6195</v>
      </c>
      <c r="I811" s="166">
        <v>1442257</v>
      </c>
      <c r="J811" s="163">
        <v>20355</v>
      </c>
      <c r="K811" s="158">
        <v>43560</v>
      </c>
      <c r="L811" s="160" t="s">
        <v>1330</v>
      </c>
      <c r="M811" s="160">
        <v>4615465085</v>
      </c>
      <c r="N811" s="158">
        <v>43579</v>
      </c>
      <c r="O811" s="164">
        <v>3.9624000000000001</v>
      </c>
      <c r="P811" s="165">
        <v>20183</v>
      </c>
      <c r="Q811" s="34">
        <f>SUMIF(Allocation[Delivery ID],Allocation[[#This Row],[Delivery ID]],Allocation[Quantity Processed])</f>
        <v>18350</v>
      </c>
      <c r="R811" s="61">
        <f>Allocation[[#This Row],[Total volume used]]/VLOOKUP(Allocation[[#This Row],[Delivery ID]],Delivery[[Delivery ID]:[Quantity delivered]],3,FALSE)</f>
        <v>1</v>
      </c>
      <c r="S811" s="34">
        <f>Allocation[[#This Row],[Quantity Processed]]/Allocation[[#This Row],[Dilution rate]]</f>
        <v>6327.5862068965516</v>
      </c>
      <c r="T811" s="59">
        <f>SUMIF(Allocation[Delivery ID],Allocation[[#This Row],[Delivery ID]],Allocation[Quantity allocated])/SUMIF(Allocation[Delivery ID],Allocation[[#This Row],[Delivery ID]],Allocation[Volume available (kg)])</f>
        <v>0.97904632152588555</v>
      </c>
      <c r="U811" s="61">
        <f>Allocation[[#This Row],[Total volume used]]/VLOOKUP(Allocation[[#This Row],[Delivery ID]],Delivery[[Delivery ID]:[Quantity delivered]],3,FALSE)</f>
        <v>1</v>
      </c>
      <c r="V811" s="34" t="e">
        <f>VLOOKUP(Allocation[[#This Row],[SAP Contract number]],Shipments[[SAP Contract number]:[Contracted container weight]],2,FALSE)</f>
        <v>#N/A</v>
      </c>
      <c r="W811" s="34" t="e">
        <f>VLOOKUP(Allocation[[#This Row],[SAP Contract number]],Shipments[[SAP Contract number]:[AAA Premium USD]],24,FALSE)</f>
        <v>#N/A</v>
      </c>
      <c r="X811" s="34" t="e">
        <f>VLOOKUP(Allocation[[#This Row],[SAP Contract number]],Shipments[[SAP Contract number]:[RA Premium USD]],25,FALSE)</f>
        <v>#N/A</v>
      </c>
      <c r="Y811" s="38">
        <f>Allocation[[#This Row],[Quantity Processed]]/Allocation[[#This Row],[Quantity allocated]]</f>
        <v>2.9620661824051653</v>
      </c>
      <c r="Z811" s="34" t="b">
        <f>Allocation[[#This Row],[Quantity allocated]]&lt;=Allocation[[#This Row],[Quantity Processed]]</f>
        <v>1</v>
      </c>
    </row>
    <row r="812" spans="1:26">
      <c r="A812" s="247" t="s">
        <v>467</v>
      </c>
      <c r="B812" s="160" t="s">
        <v>68</v>
      </c>
      <c r="C812" s="252" t="s">
        <v>1285</v>
      </c>
      <c r="D812" s="167">
        <v>10680</v>
      </c>
      <c r="E812" s="160" t="s">
        <v>1326</v>
      </c>
      <c r="F812" s="158">
        <v>43553</v>
      </c>
      <c r="G812" s="162">
        <v>2.9</v>
      </c>
      <c r="H812" s="161">
        <v>3540</v>
      </c>
      <c r="I812" s="166">
        <v>1442257</v>
      </c>
      <c r="J812" s="163">
        <v>20355</v>
      </c>
      <c r="K812" s="158">
        <v>43560</v>
      </c>
      <c r="L812" s="160" t="s">
        <v>1330</v>
      </c>
      <c r="M812" s="160">
        <v>4615465085</v>
      </c>
      <c r="N812" s="158">
        <v>43579</v>
      </c>
      <c r="O812" s="164">
        <v>3.9624000000000001</v>
      </c>
      <c r="P812" s="165">
        <v>20183</v>
      </c>
      <c r="Q812" s="34">
        <f>SUMIF(Allocation[Delivery ID],Allocation[[#This Row],[Delivery ID]],Allocation[Quantity Processed])</f>
        <v>10680</v>
      </c>
      <c r="R812" s="61">
        <f>Allocation[[#This Row],[Total volume used]]/VLOOKUP(Allocation[[#This Row],[Delivery ID]],Delivery[[Delivery ID]:[Quantity delivered]],3,FALSE)</f>
        <v>1</v>
      </c>
      <c r="S812" s="34">
        <f>Allocation[[#This Row],[Quantity Processed]]/Allocation[[#This Row],[Dilution rate]]</f>
        <v>3682.7586206896553</v>
      </c>
      <c r="T812" s="59">
        <f>SUMIF(Allocation[Delivery ID],Allocation[[#This Row],[Delivery ID]],Allocation[Quantity allocated])/SUMIF(Allocation[Delivery ID],Allocation[[#This Row],[Delivery ID]],Allocation[Volume available (kg)])</f>
        <v>0.96123595505617976</v>
      </c>
      <c r="U812" s="61">
        <f>Allocation[[#This Row],[Total volume used]]/VLOOKUP(Allocation[[#This Row],[Delivery ID]],Delivery[[Delivery ID]:[Quantity delivered]],3,FALSE)</f>
        <v>1</v>
      </c>
      <c r="V812" s="34" t="e">
        <f>VLOOKUP(Allocation[[#This Row],[SAP Contract number]],Shipments[[SAP Contract number]:[Contracted container weight]],2,FALSE)</f>
        <v>#N/A</v>
      </c>
      <c r="W812" s="34" t="e">
        <f>VLOOKUP(Allocation[[#This Row],[SAP Contract number]],Shipments[[SAP Contract number]:[AAA Premium USD]],24,FALSE)</f>
        <v>#N/A</v>
      </c>
      <c r="X812" s="34" t="e">
        <f>VLOOKUP(Allocation[[#This Row],[SAP Contract number]],Shipments[[SAP Contract number]:[RA Premium USD]],25,FALSE)</f>
        <v>#N/A</v>
      </c>
      <c r="Y812" s="38">
        <f>Allocation[[#This Row],[Quantity Processed]]/Allocation[[#This Row],[Quantity allocated]]</f>
        <v>3.0169491525423728</v>
      </c>
      <c r="Z812" s="34" t="b">
        <f>Allocation[[#This Row],[Quantity allocated]]&lt;=Allocation[[#This Row],[Quantity Processed]]</f>
        <v>1</v>
      </c>
    </row>
    <row r="813" spans="1:26">
      <c r="A813" s="247" t="s">
        <v>467</v>
      </c>
      <c r="B813" s="160" t="s">
        <v>68</v>
      </c>
      <c r="C813" s="252" t="s">
        <v>1286</v>
      </c>
      <c r="D813" s="167">
        <v>6816</v>
      </c>
      <c r="E813" s="160" t="s">
        <v>1326</v>
      </c>
      <c r="F813" s="158">
        <v>43553</v>
      </c>
      <c r="G813" s="162">
        <v>2.9</v>
      </c>
      <c r="H813" s="161">
        <v>2265</v>
      </c>
      <c r="I813" s="166">
        <v>1442257</v>
      </c>
      <c r="J813" s="163">
        <v>20355</v>
      </c>
      <c r="K813" s="158">
        <v>43560</v>
      </c>
      <c r="L813" s="160" t="s">
        <v>1330</v>
      </c>
      <c r="M813" s="160">
        <v>4615465085</v>
      </c>
      <c r="N813" s="158">
        <v>43579</v>
      </c>
      <c r="O813" s="164">
        <v>3.9624000000000001</v>
      </c>
      <c r="P813" s="165">
        <v>20183</v>
      </c>
      <c r="Q813" s="34">
        <f>SUMIF(Allocation[Delivery ID],Allocation[[#This Row],[Delivery ID]],Allocation[Quantity Processed])</f>
        <v>12784</v>
      </c>
      <c r="R813" s="61">
        <f>Allocation[[#This Row],[Total volume used]]/VLOOKUP(Allocation[[#This Row],[Delivery ID]],Delivery[[Delivery ID]:[Quantity delivered]],3,FALSE)</f>
        <v>1</v>
      </c>
      <c r="S813" s="34">
        <f>Allocation[[#This Row],[Quantity Processed]]/Allocation[[#This Row],[Dilution rate]]</f>
        <v>2350.344827586207</v>
      </c>
      <c r="T813" s="59">
        <f>SUMIF(Allocation[Delivery ID],Allocation[[#This Row],[Delivery ID]],Allocation[Quantity allocated])/SUMIF(Allocation[Delivery ID],Allocation[[#This Row],[Delivery ID]],Allocation[Volume available (kg)])</f>
        <v>0.96364205256570712</v>
      </c>
      <c r="U813" s="61">
        <f>Allocation[[#This Row],[Total volume used]]/VLOOKUP(Allocation[[#This Row],[Delivery ID]],Delivery[[Delivery ID]:[Quantity delivered]],3,FALSE)</f>
        <v>1</v>
      </c>
      <c r="V813" s="34" t="e">
        <f>VLOOKUP(Allocation[[#This Row],[SAP Contract number]],Shipments[[SAP Contract number]:[Contracted container weight]],2,FALSE)</f>
        <v>#N/A</v>
      </c>
      <c r="W813" s="34" t="e">
        <f>VLOOKUP(Allocation[[#This Row],[SAP Contract number]],Shipments[[SAP Contract number]:[AAA Premium USD]],24,FALSE)</f>
        <v>#N/A</v>
      </c>
      <c r="X813" s="34" t="e">
        <f>VLOOKUP(Allocation[[#This Row],[SAP Contract number]],Shipments[[SAP Contract number]:[RA Premium USD]],25,FALSE)</f>
        <v>#N/A</v>
      </c>
      <c r="Y813" s="38">
        <f>Allocation[[#This Row],[Quantity Processed]]/Allocation[[#This Row],[Quantity allocated]]</f>
        <v>3.0092715231788079</v>
      </c>
      <c r="Z813" s="34" t="b">
        <f>Allocation[[#This Row],[Quantity allocated]]&lt;=Allocation[[#This Row],[Quantity Processed]]</f>
        <v>1</v>
      </c>
    </row>
    <row r="814" spans="1:26">
      <c r="A814" s="247" t="s">
        <v>467</v>
      </c>
      <c r="B814" s="160" t="s">
        <v>68</v>
      </c>
      <c r="C814" s="252" t="s">
        <v>1286</v>
      </c>
      <c r="D814" s="167">
        <v>5968</v>
      </c>
      <c r="E814" s="160" t="s">
        <v>1326</v>
      </c>
      <c r="F814" s="158">
        <v>43553</v>
      </c>
      <c r="G814" s="162">
        <v>2.9</v>
      </c>
      <c r="H814" s="161">
        <v>1983</v>
      </c>
      <c r="I814" s="166">
        <v>1442258</v>
      </c>
      <c r="J814" s="163">
        <v>20355</v>
      </c>
      <c r="K814" s="158">
        <v>43560</v>
      </c>
      <c r="L814" s="160" t="s">
        <v>1331</v>
      </c>
      <c r="M814" s="160">
        <v>4615465085</v>
      </c>
      <c r="N814" s="158">
        <v>43579</v>
      </c>
      <c r="O814" s="164">
        <v>3.9624000000000001</v>
      </c>
      <c r="P814" s="165">
        <v>20183</v>
      </c>
      <c r="Q814" s="34">
        <f>SUMIF(Allocation[Delivery ID],Allocation[[#This Row],[Delivery ID]],Allocation[Quantity Processed])</f>
        <v>12784</v>
      </c>
      <c r="R814" s="61">
        <f>Allocation[[#This Row],[Total volume used]]/VLOOKUP(Allocation[[#This Row],[Delivery ID]],Delivery[[Delivery ID]:[Quantity delivered]],3,FALSE)</f>
        <v>1</v>
      </c>
      <c r="S814" s="34">
        <f>Allocation[[#This Row],[Quantity Processed]]/Allocation[[#This Row],[Dilution rate]]</f>
        <v>2057.9310344827586</v>
      </c>
      <c r="T814" s="59">
        <f>SUMIF(Allocation[Delivery ID],Allocation[[#This Row],[Delivery ID]],Allocation[Quantity allocated])/SUMIF(Allocation[Delivery ID],Allocation[[#This Row],[Delivery ID]],Allocation[Volume available (kg)])</f>
        <v>0.96364205256570712</v>
      </c>
      <c r="U814" s="61">
        <f>Allocation[[#This Row],[Total volume used]]/VLOOKUP(Allocation[[#This Row],[Delivery ID]],Delivery[[Delivery ID]:[Quantity delivered]],3,FALSE)</f>
        <v>1</v>
      </c>
      <c r="V814" s="34" t="e">
        <f>VLOOKUP(Allocation[[#This Row],[SAP Contract number]],Shipments[[SAP Contract number]:[Contracted container weight]],2,FALSE)</f>
        <v>#N/A</v>
      </c>
      <c r="W814" s="34" t="e">
        <f>VLOOKUP(Allocation[[#This Row],[SAP Contract number]],Shipments[[SAP Contract number]:[AAA Premium USD]],24,FALSE)</f>
        <v>#N/A</v>
      </c>
      <c r="X814" s="34" t="e">
        <f>VLOOKUP(Allocation[[#This Row],[SAP Contract number]],Shipments[[SAP Contract number]:[RA Premium USD]],25,FALSE)</f>
        <v>#N/A</v>
      </c>
      <c r="Y814" s="38">
        <f>Allocation[[#This Row],[Quantity Processed]]/Allocation[[#This Row],[Quantity allocated]]</f>
        <v>3.0095814422592033</v>
      </c>
      <c r="Z814" s="34" t="b">
        <f>Allocation[[#This Row],[Quantity allocated]]&lt;=Allocation[[#This Row],[Quantity Processed]]</f>
        <v>1</v>
      </c>
    </row>
    <row r="815" spans="1:26">
      <c r="A815" s="247" t="s">
        <v>467</v>
      </c>
      <c r="B815" s="160" t="s">
        <v>68</v>
      </c>
      <c r="C815" s="252" t="s">
        <v>1287</v>
      </c>
      <c r="D815" s="167">
        <v>26860</v>
      </c>
      <c r="E815" s="160" t="s">
        <v>1326</v>
      </c>
      <c r="F815" s="158">
        <v>43553</v>
      </c>
      <c r="G815" s="162">
        <v>2.9</v>
      </c>
      <c r="H815" s="161">
        <v>8909</v>
      </c>
      <c r="I815" s="166">
        <v>1442258</v>
      </c>
      <c r="J815" s="163">
        <v>20355</v>
      </c>
      <c r="K815" s="158">
        <v>43560</v>
      </c>
      <c r="L815" s="160" t="s">
        <v>1331</v>
      </c>
      <c r="M815" s="160">
        <v>4615465085</v>
      </c>
      <c r="N815" s="158">
        <v>43579</v>
      </c>
      <c r="O815" s="164">
        <v>3.9624000000000001</v>
      </c>
      <c r="P815" s="165">
        <v>20183</v>
      </c>
      <c r="Q815" s="34">
        <f>SUMIF(Allocation[Delivery ID],Allocation[[#This Row],[Delivery ID]],Allocation[Quantity Processed])</f>
        <v>26860</v>
      </c>
      <c r="R815" s="61">
        <f>Allocation[[#This Row],[Total volume used]]/VLOOKUP(Allocation[[#This Row],[Delivery ID]],Delivery[[Delivery ID]:[Quantity delivered]],3,FALSE)</f>
        <v>1</v>
      </c>
      <c r="S815" s="34">
        <f>Allocation[[#This Row],[Quantity Processed]]/Allocation[[#This Row],[Dilution rate]]</f>
        <v>9262.0689655172409</v>
      </c>
      <c r="T815" s="59">
        <f>SUMIF(Allocation[Delivery ID],Allocation[[#This Row],[Delivery ID]],Allocation[Quantity allocated])/SUMIF(Allocation[Delivery ID],Allocation[[#This Row],[Delivery ID]],Allocation[Volume available (kg)])</f>
        <v>0.96188011913626215</v>
      </c>
      <c r="U815" s="61">
        <f>Allocation[[#This Row],[Total volume used]]/VLOOKUP(Allocation[[#This Row],[Delivery ID]],Delivery[[Delivery ID]:[Quantity delivered]],3,FALSE)</f>
        <v>1</v>
      </c>
      <c r="V815" s="34" t="e">
        <f>VLOOKUP(Allocation[[#This Row],[SAP Contract number]],Shipments[[SAP Contract number]:[Contracted container weight]],2,FALSE)</f>
        <v>#N/A</v>
      </c>
      <c r="W815" s="34" t="e">
        <f>VLOOKUP(Allocation[[#This Row],[SAP Contract number]],Shipments[[SAP Contract number]:[AAA Premium USD]],24,FALSE)</f>
        <v>#N/A</v>
      </c>
      <c r="X815" s="34" t="e">
        <f>VLOOKUP(Allocation[[#This Row],[SAP Contract number]],Shipments[[SAP Contract number]:[RA Premium USD]],25,FALSE)</f>
        <v>#N/A</v>
      </c>
      <c r="Y815" s="38">
        <f>Allocation[[#This Row],[Quantity Processed]]/Allocation[[#This Row],[Quantity allocated]]</f>
        <v>3.0149287237624876</v>
      </c>
      <c r="Z815" s="34" t="b">
        <f>Allocation[[#This Row],[Quantity allocated]]&lt;=Allocation[[#This Row],[Quantity Processed]]</f>
        <v>1</v>
      </c>
    </row>
    <row r="816" spans="1:26">
      <c r="A816" s="247" t="s">
        <v>467</v>
      </c>
      <c r="B816" s="160" t="s">
        <v>68</v>
      </c>
      <c r="C816" s="252" t="s">
        <v>1288</v>
      </c>
      <c r="D816" s="167">
        <v>10560</v>
      </c>
      <c r="E816" s="160" t="s">
        <v>1326</v>
      </c>
      <c r="F816" s="158">
        <v>43553</v>
      </c>
      <c r="G816" s="162">
        <v>2.9</v>
      </c>
      <c r="H816" s="161">
        <v>3540</v>
      </c>
      <c r="I816" s="166">
        <v>1442258</v>
      </c>
      <c r="J816" s="163">
        <v>20355</v>
      </c>
      <c r="K816" s="158">
        <v>43560</v>
      </c>
      <c r="L816" s="160" t="s">
        <v>1331</v>
      </c>
      <c r="M816" s="160">
        <v>4615465085</v>
      </c>
      <c r="N816" s="158">
        <v>43579</v>
      </c>
      <c r="O816" s="164">
        <v>3.9624000000000001</v>
      </c>
      <c r="P816" s="165">
        <v>20183</v>
      </c>
      <c r="Q816" s="34">
        <f>SUMIF(Allocation[Delivery ID],Allocation[[#This Row],[Delivery ID]],Allocation[Quantity Processed])</f>
        <v>10560</v>
      </c>
      <c r="R816" s="61">
        <f>Allocation[[#This Row],[Total volume used]]/VLOOKUP(Allocation[[#This Row],[Delivery ID]],Delivery[[Delivery ID]:[Quantity delivered]],3,FALSE)</f>
        <v>1</v>
      </c>
      <c r="S816" s="34">
        <f>Allocation[[#This Row],[Quantity Processed]]/Allocation[[#This Row],[Dilution rate]]</f>
        <v>3641.3793103448279</v>
      </c>
      <c r="T816" s="59">
        <f>SUMIF(Allocation[Delivery ID],Allocation[[#This Row],[Delivery ID]],Allocation[Quantity allocated])/SUMIF(Allocation[Delivery ID],Allocation[[#This Row],[Delivery ID]],Allocation[Volume available (kg)])</f>
        <v>0.97215909090909081</v>
      </c>
      <c r="U816" s="61">
        <f>Allocation[[#This Row],[Total volume used]]/VLOOKUP(Allocation[[#This Row],[Delivery ID]],Delivery[[Delivery ID]:[Quantity delivered]],3,FALSE)</f>
        <v>1</v>
      </c>
      <c r="V816" s="34" t="e">
        <f>VLOOKUP(Allocation[[#This Row],[SAP Contract number]],Shipments[[SAP Contract number]:[Contracted container weight]],2,FALSE)</f>
        <v>#N/A</v>
      </c>
      <c r="W816" s="34" t="e">
        <f>VLOOKUP(Allocation[[#This Row],[SAP Contract number]],Shipments[[SAP Contract number]:[AAA Premium USD]],24,FALSE)</f>
        <v>#N/A</v>
      </c>
      <c r="X816" s="34" t="e">
        <f>VLOOKUP(Allocation[[#This Row],[SAP Contract number]],Shipments[[SAP Contract number]:[RA Premium USD]],25,FALSE)</f>
        <v>#N/A</v>
      </c>
      <c r="Y816" s="38">
        <f>Allocation[[#This Row],[Quantity Processed]]/Allocation[[#This Row],[Quantity allocated]]</f>
        <v>2.9830508474576272</v>
      </c>
      <c r="Z816" s="34" t="b">
        <f>Allocation[[#This Row],[Quantity allocated]]&lt;=Allocation[[#This Row],[Quantity Processed]]</f>
        <v>1</v>
      </c>
    </row>
    <row r="817" spans="1:26">
      <c r="A817" s="247" t="s">
        <v>467</v>
      </c>
      <c r="B817" s="160" t="s">
        <v>68</v>
      </c>
      <c r="C817" s="252" t="s">
        <v>1289</v>
      </c>
      <c r="D817" s="167">
        <v>1920</v>
      </c>
      <c r="E817" s="160" t="s">
        <v>1326</v>
      </c>
      <c r="F817" s="158">
        <v>43553</v>
      </c>
      <c r="G817" s="162">
        <v>2.9</v>
      </c>
      <c r="H817" s="161">
        <v>649</v>
      </c>
      <c r="I817" s="166">
        <v>1442258</v>
      </c>
      <c r="J817" s="163">
        <v>20355</v>
      </c>
      <c r="K817" s="158">
        <v>43560</v>
      </c>
      <c r="L817" s="160" t="s">
        <v>1331</v>
      </c>
      <c r="M817" s="160">
        <v>4615465085</v>
      </c>
      <c r="N817" s="158">
        <v>43579</v>
      </c>
      <c r="O817" s="164">
        <v>3.9624000000000001</v>
      </c>
      <c r="P817" s="165">
        <v>20183</v>
      </c>
      <c r="Q817" s="34">
        <f>SUMIF(Allocation[Delivery ID],Allocation[[#This Row],[Delivery ID]],Allocation[Quantity Processed])</f>
        <v>1920</v>
      </c>
      <c r="R817" s="61">
        <f>Allocation[[#This Row],[Total volume used]]/VLOOKUP(Allocation[[#This Row],[Delivery ID]],Delivery[[Delivery ID]:[Quantity delivered]],3,FALSE)</f>
        <v>1</v>
      </c>
      <c r="S817" s="34">
        <f>Allocation[[#This Row],[Quantity Processed]]/Allocation[[#This Row],[Dilution rate]]</f>
        <v>662.06896551724139</v>
      </c>
      <c r="T817" s="59">
        <f>SUMIF(Allocation[Delivery ID],Allocation[[#This Row],[Delivery ID]],Allocation[Quantity allocated])/SUMIF(Allocation[Delivery ID],Allocation[[#This Row],[Delivery ID]],Allocation[Volume available (kg)])</f>
        <v>0.98026041666666663</v>
      </c>
      <c r="U817" s="61">
        <f>Allocation[[#This Row],[Total volume used]]/VLOOKUP(Allocation[[#This Row],[Delivery ID]],Delivery[[Delivery ID]:[Quantity delivered]],3,FALSE)</f>
        <v>1</v>
      </c>
      <c r="V817" s="34" t="e">
        <f>VLOOKUP(Allocation[[#This Row],[SAP Contract number]],Shipments[[SAP Contract number]:[Contracted container weight]],2,FALSE)</f>
        <v>#N/A</v>
      </c>
      <c r="W817" s="34" t="e">
        <f>VLOOKUP(Allocation[[#This Row],[SAP Contract number]],Shipments[[SAP Contract number]:[AAA Premium USD]],24,FALSE)</f>
        <v>#N/A</v>
      </c>
      <c r="X817" s="34" t="e">
        <f>VLOOKUP(Allocation[[#This Row],[SAP Contract number]],Shipments[[SAP Contract number]:[RA Premium USD]],25,FALSE)</f>
        <v>#N/A</v>
      </c>
      <c r="Y817" s="38">
        <f>Allocation[[#This Row],[Quantity Processed]]/Allocation[[#This Row],[Quantity allocated]]</f>
        <v>2.958397534668721</v>
      </c>
      <c r="Z817" s="34" t="b">
        <f>Allocation[[#This Row],[Quantity allocated]]&lt;=Allocation[[#This Row],[Quantity Processed]]</f>
        <v>1</v>
      </c>
    </row>
    <row r="818" spans="1:26">
      <c r="A818" s="247" t="s">
        <v>467</v>
      </c>
      <c r="B818" s="160" t="s">
        <v>68</v>
      </c>
      <c r="C818" s="252" t="s">
        <v>1290</v>
      </c>
      <c r="D818" s="167">
        <v>10000</v>
      </c>
      <c r="E818" s="160" t="s">
        <v>1326</v>
      </c>
      <c r="F818" s="158">
        <v>43553</v>
      </c>
      <c r="G818" s="162">
        <v>2.9</v>
      </c>
      <c r="H818" s="161">
        <v>3304</v>
      </c>
      <c r="I818" s="166">
        <v>1442258</v>
      </c>
      <c r="J818" s="163">
        <v>20355</v>
      </c>
      <c r="K818" s="158">
        <v>43560</v>
      </c>
      <c r="L818" s="160" t="s">
        <v>1331</v>
      </c>
      <c r="M818" s="160">
        <v>4615465085</v>
      </c>
      <c r="N818" s="158">
        <v>43579</v>
      </c>
      <c r="O818" s="164">
        <v>3.9624000000000001</v>
      </c>
      <c r="P818" s="165">
        <v>20183</v>
      </c>
      <c r="Q818" s="34">
        <f>SUMIF(Allocation[Delivery ID],Allocation[[#This Row],[Delivery ID]],Allocation[Quantity Processed])</f>
        <v>10000</v>
      </c>
      <c r="R818" s="61">
        <f>Allocation[[#This Row],[Total volume used]]/VLOOKUP(Allocation[[#This Row],[Delivery ID]],Delivery[[Delivery ID]:[Quantity delivered]],3,FALSE)</f>
        <v>1</v>
      </c>
      <c r="S818" s="34">
        <f>Allocation[[#This Row],[Quantity Processed]]/Allocation[[#This Row],[Dilution rate]]</f>
        <v>3448.2758620689656</v>
      </c>
      <c r="T818" s="59">
        <f>SUMIF(Allocation[Delivery ID],Allocation[[#This Row],[Delivery ID]],Allocation[Quantity allocated])/SUMIF(Allocation[Delivery ID],Allocation[[#This Row],[Delivery ID]],Allocation[Volume available (kg)])</f>
        <v>0.95816000000000001</v>
      </c>
      <c r="U818" s="61">
        <f>Allocation[[#This Row],[Total volume used]]/VLOOKUP(Allocation[[#This Row],[Delivery ID]],Delivery[[Delivery ID]:[Quantity delivered]],3,FALSE)</f>
        <v>1</v>
      </c>
      <c r="V818" s="34" t="e">
        <f>VLOOKUP(Allocation[[#This Row],[SAP Contract number]],Shipments[[SAP Contract number]:[Contracted container weight]],2,FALSE)</f>
        <v>#N/A</v>
      </c>
      <c r="W818" s="34" t="e">
        <f>VLOOKUP(Allocation[[#This Row],[SAP Contract number]],Shipments[[SAP Contract number]:[AAA Premium USD]],24,FALSE)</f>
        <v>#N/A</v>
      </c>
      <c r="X818" s="34" t="e">
        <f>VLOOKUP(Allocation[[#This Row],[SAP Contract number]],Shipments[[SAP Contract number]:[RA Premium USD]],25,FALSE)</f>
        <v>#N/A</v>
      </c>
      <c r="Y818" s="38">
        <f>Allocation[[#This Row],[Quantity Processed]]/Allocation[[#This Row],[Quantity allocated]]</f>
        <v>3.026634382566586</v>
      </c>
      <c r="Z818" s="34" t="b">
        <f>Allocation[[#This Row],[Quantity allocated]]&lt;=Allocation[[#This Row],[Quantity Processed]]</f>
        <v>1</v>
      </c>
    </row>
    <row r="819" spans="1:26">
      <c r="A819" s="247" t="s">
        <v>467</v>
      </c>
      <c r="B819" s="160" t="s">
        <v>68</v>
      </c>
      <c r="C819" s="252" t="s">
        <v>1291</v>
      </c>
      <c r="D819" s="167">
        <v>5892</v>
      </c>
      <c r="E819" s="160" t="s">
        <v>1326</v>
      </c>
      <c r="F819" s="158">
        <v>43553</v>
      </c>
      <c r="G819" s="162">
        <v>2.9</v>
      </c>
      <c r="H819" s="161">
        <v>1970</v>
      </c>
      <c r="I819" s="166">
        <v>1442258</v>
      </c>
      <c r="J819" s="163">
        <v>20355</v>
      </c>
      <c r="K819" s="158">
        <v>43560</v>
      </c>
      <c r="L819" s="160" t="s">
        <v>1331</v>
      </c>
      <c r="M819" s="160">
        <v>4615465085</v>
      </c>
      <c r="N819" s="158">
        <v>43579</v>
      </c>
      <c r="O819" s="164">
        <v>3.9624000000000001</v>
      </c>
      <c r="P819" s="165">
        <v>20183</v>
      </c>
      <c r="Q819" s="34">
        <f>SUMIF(Allocation[Delivery ID],Allocation[[#This Row],[Delivery ID]],Allocation[Quantity Processed])</f>
        <v>18000</v>
      </c>
      <c r="R819" s="61">
        <f>Allocation[[#This Row],[Total volume used]]/VLOOKUP(Allocation[[#This Row],[Delivery ID]],Delivery[[Delivery ID]:[Quantity delivered]],3,FALSE)</f>
        <v>1</v>
      </c>
      <c r="S819" s="34">
        <f>Allocation[[#This Row],[Quantity Processed]]/Allocation[[#This Row],[Dilution rate]]</f>
        <v>2031.7241379310346</v>
      </c>
      <c r="T819" s="59">
        <f>SUMIF(Allocation[Delivery ID],Allocation[[#This Row],[Delivery ID]],Allocation[Quantity allocated])/SUMIF(Allocation[Delivery ID],Allocation[[#This Row],[Delivery ID]],Allocation[Volume available (kg)])</f>
        <v>0.96956666666666669</v>
      </c>
      <c r="U819" s="61">
        <f>Allocation[[#This Row],[Total volume used]]/VLOOKUP(Allocation[[#This Row],[Delivery ID]],Delivery[[Delivery ID]:[Quantity delivered]],3,FALSE)</f>
        <v>1</v>
      </c>
      <c r="V819" s="34" t="e">
        <f>VLOOKUP(Allocation[[#This Row],[SAP Contract number]],Shipments[[SAP Contract number]:[Contracted container weight]],2,FALSE)</f>
        <v>#N/A</v>
      </c>
      <c r="W819" s="34" t="e">
        <f>VLOOKUP(Allocation[[#This Row],[SAP Contract number]],Shipments[[SAP Contract number]:[AAA Premium USD]],24,FALSE)</f>
        <v>#N/A</v>
      </c>
      <c r="X819" s="34" t="e">
        <f>VLOOKUP(Allocation[[#This Row],[SAP Contract number]],Shipments[[SAP Contract number]:[RA Premium USD]],25,FALSE)</f>
        <v>#N/A</v>
      </c>
      <c r="Y819" s="38">
        <f>Allocation[[#This Row],[Quantity Processed]]/Allocation[[#This Row],[Quantity allocated]]</f>
        <v>2.9908629441624366</v>
      </c>
      <c r="Z819" s="34" t="b">
        <f>Allocation[[#This Row],[Quantity allocated]]&lt;=Allocation[[#This Row],[Quantity Processed]]</f>
        <v>1</v>
      </c>
    </row>
    <row r="820" spans="1:26">
      <c r="A820" s="247" t="s">
        <v>467</v>
      </c>
      <c r="B820" s="160" t="s">
        <v>68</v>
      </c>
      <c r="C820" s="252" t="s">
        <v>1291</v>
      </c>
      <c r="D820" s="167">
        <v>12108</v>
      </c>
      <c r="E820" s="160" t="s">
        <v>1326</v>
      </c>
      <c r="F820" s="158">
        <v>43553</v>
      </c>
      <c r="G820" s="162">
        <v>2.9</v>
      </c>
      <c r="H820" s="161">
        <v>4048</v>
      </c>
      <c r="I820" s="166">
        <v>1442259</v>
      </c>
      <c r="J820" s="163">
        <v>20355</v>
      </c>
      <c r="K820" s="158">
        <v>43560</v>
      </c>
      <c r="L820" s="160" t="s">
        <v>1332</v>
      </c>
      <c r="M820" s="160">
        <v>4615465085</v>
      </c>
      <c r="N820" s="158">
        <v>43579</v>
      </c>
      <c r="O820" s="164">
        <v>3.9624000000000001</v>
      </c>
      <c r="P820" s="165">
        <v>20183</v>
      </c>
      <c r="Q820" s="34">
        <f>SUMIF(Allocation[Delivery ID],Allocation[[#This Row],[Delivery ID]],Allocation[Quantity Processed])</f>
        <v>18000</v>
      </c>
      <c r="R820" s="61">
        <f>Allocation[[#This Row],[Total volume used]]/VLOOKUP(Allocation[[#This Row],[Delivery ID]],Delivery[[Delivery ID]:[Quantity delivered]],3,FALSE)</f>
        <v>1</v>
      </c>
      <c r="S820" s="34">
        <f>Allocation[[#This Row],[Quantity Processed]]/Allocation[[#This Row],[Dilution rate]]</f>
        <v>4175.1724137931033</v>
      </c>
      <c r="T820" s="59">
        <f>SUMIF(Allocation[Delivery ID],Allocation[[#This Row],[Delivery ID]],Allocation[Quantity allocated])/SUMIF(Allocation[Delivery ID],Allocation[[#This Row],[Delivery ID]],Allocation[Volume available (kg)])</f>
        <v>0.96956666666666669</v>
      </c>
      <c r="U820" s="61">
        <f>Allocation[[#This Row],[Total volume used]]/VLOOKUP(Allocation[[#This Row],[Delivery ID]],Delivery[[Delivery ID]:[Quantity delivered]],3,FALSE)</f>
        <v>1</v>
      </c>
      <c r="V820" s="34" t="e">
        <f>VLOOKUP(Allocation[[#This Row],[SAP Contract number]],Shipments[[SAP Contract number]:[Contracted container weight]],2,FALSE)</f>
        <v>#N/A</v>
      </c>
      <c r="W820" s="34" t="e">
        <f>VLOOKUP(Allocation[[#This Row],[SAP Contract number]],Shipments[[SAP Contract number]:[AAA Premium USD]],24,FALSE)</f>
        <v>#N/A</v>
      </c>
      <c r="X820" s="34" t="e">
        <f>VLOOKUP(Allocation[[#This Row],[SAP Contract number]],Shipments[[SAP Contract number]:[RA Premium USD]],25,FALSE)</f>
        <v>#N/A</v>
      </c>
      <c r="Y820" s="38">
        <f>Allocation[[#This Row],[Quantity Processed]]/Allocation[[#This Row],[Quantity allocated]]</f>
        <v>2.9911067193675889</v>
      </c>
      <c r="Z820" s="34" t="b">
        <f>Allocation[[#This Row],[Quantity allocated]]&lt;=Allocation[[#This Row],[Quantity Processed]]</f>
        <v>1</v>
      </c>
    </row>
    <row r="821" spans="1:26">
      <c r="A821" s="247" t="s">
        <v>467</v>
      </c>
      <c r="B821" s="160" t="s">
        <v>68</v>
      </c>
      <c r="C821" s="252" t="s">
        <v>1292</v>
      </c>
      <c r="D821" s="167">
        <v>5280</v>
      </c>
      <c r="E821" s="160" t="s">
        <v>1326</v>
      </c>
      <c r="F821" s="158">
        <v>43553</v>
      </c>
      <c r="G821" s="162">
        <v>2.9</v>
      </c>
      <c r="H821" s="161">
        <v>1770</v>
      </c>
      <c r="I821" s="166">
        <v>1442259</v>
      </c>
      <c r="J821" s="163">
        <v>20355</v>
      </c>
      <c r="K821" s="158">
        <v>43560</v>
      </c>
      <c r="L821" s="160" t="s">
        <v>1332</v>
      </c>
      <c r="M821" s="160">
        <v>4615465085</v>
      </c>
      <c r="N821" s="158">
        <v>43579</v>
      </c>
      <c r="O821" s="164">
        <v>3.9624000000000001</v>
      </c>
      <c r="P821" s="165">
        <v>20183</v>
      </c>
      <c r="Q821" s="34">
        <f>SUMIF(Allocation[Delivery ID],Allocation[[#This Row],[Delivery ID]],Allocation[Quantity Processed])</f>
        <v>5280</v>
      </c>
      <c r="R821" s="61">
        <f>Allocation[[#This Row],[Total volume used]]/VLOOKUP(Allocation[[#This Row],[Delivery ID]],Delivery[[Delivery ID]:[Quantity delivered]],3,FALSE)</f>
        <v>1</v>
      </c>
      <c r="S821" s="34">
        <f>Allocation[[#This Row],[Quantity Processed]]/Allocation[[#This Row],[Dilution rate]]</f>
        <v>1820.6896551724139</v>
      </c>
      <c r="T821" s="59">
        <f>SUMIF(Allocation[Delivery ID],Allocation[[#This Row],[Delivery ID]],Allocation[Quantity allocated])/SUMIF(Allocation[Delivery ID],Allocation[[#This Row],[Delivery ID]],Allocation[Volume available (kg)])</f>
        <v>0.97215909090909081</v>
      </c>
      <c r="U821" s="61">
        <f>Allocation[[#This Row],[Total volume used]]/VLOOKUP(Allocation[[#This Row],[Delivery ID]],Delivery[[Delivery ID]:[Quantity delivered]],3,FALSE)</f>
        <v>1</v>
      </c>
      <c r="V821" s="34" t="e">
        <f>VLOOKUP(Allocation[[#This Row],[SAP Contract number]],Shipments[[SAP Contract number]:[Contracted container weight]],2,FALSE)</f>
        <v>#N/A</v>
      </c>
      <c r="W821" s="34" t="e">
        <f>VLOOKUP(Allocation[[#This Row],[SAP Contract number]],Shipments[[SAP Contract number]:[AAA Premium USD]],24,FALSE)</f>
        <v>#N/A</v>
      </c>
      <c r="X821" s="34" t="e">
        <f>VLOOKUP(Allocation[[#This Row],[SAP Contract number]],Shipments[[SAP Contract number]:[RA Premium USD]],25,FALSE)</f>
        <v>#N/A</v>
      </c>
      <c r="Y821" s="38">
        <f>Allocation[[#This Row],[Quantity Processed]]/Allocation[[#This Row],[Quantity allocated]]</f>
        <v>2.9830508474576272</v>
      </c>
      <c r="Z821" s="34" t="b">
        <f>Allocation[[#This Row],[Quantity allocated]]&lt;=Allocation[[#This Row],[Quantity Processed]]</f>
        <v>1</v>
      </c>
    </row>
    <row r="822" spans="1:26">
      <c r="A822" s="247" t="s">
        <v>467</v>
      </c>
      <c r="B822" s="160" t="s">
        <v>68</v>
      </c>
      <c r="C822" s="252" t="s">
        <v>1293</v>
      </c>
      <c r="D822" s="167">
        <v>3420</v>
      </c>
      <c r="E822" s="160" t="s">
        <v>1326</v>
      </c>
      <c r="F822" s="158">
        <v>43553</v>
      </c>
      <c r="G822" s="162">
        <v>2.9</v>
      </c>
      <c r="H822" s="161">
        <v>1121</v>
      </c>
      <c r="I822" s="166">
        <v>1442259</v>
      </c>
      <c r="J822" s="163">
        <v>20355</v>
      </c>
      <c r="K822" s="158">
        <v>43560</v>
      </c>
      <c r="L822" s="160" t="s">
        <v>1332</v>
      </c>
      <c r="M822" s="160">
        <v>4615465085</v>
      </c>
      <c r="N822" s="158">
        <v>43579</v>
      </c>
      <c r="O822" s="164">
        <v>3.9624000000000001</v>
      </c>
      <c r="P822" s="165">
        <v>20183</v>
      </c>
      <c r="Q822" s="34">
        <f>SUMIF(Allocation[Delivery ID],Allocation[[#This Row],[Delivery ID]],Allocation[Quantity Processed])</f>
        <v>3420</v>
      </c>
      <c r="R822" s="61">
        <f>Allocation[[#This Row],[Total volume used]]/VLOOKUP(Allocation[[#This Row],[Delivery ID]],Delivery[[Delivery ID]:[Quantity delivered]],3,FALSE)</f>
        <v>1</v>
      </c>
      <c r="S822" s="34">
        <f>Allocation[[#This Row],[Quantity Processed]]/Allocation[[#This Row],[Dilution rate]]</f>
        <v>1179.3103448275863</v>
      </c>
      <c r="T822" s="59">
        <f>SUMIF(Allocation[Delivery ID],Allocation[[#This Row],[Delivery ID]],Allocation[Quantity allocated])/SUMIF(Allocation[Delivery ID],Allocation[[#This Row],[Delivery ID]],Allocation[Volume available (kg)])</f>
        <v>0.95055555555555549</v>
      </c>
      <c r="U822" s="61">
        <f>Allocation[[#This Row],[Total volume used]]/VLOOKUP(Allocation[[#This Row],[Delivery ID]],Delivery[[Delivery ID]:[Quantity delivered]],3,FALSE)</f>
        <v>1</v>
      </c>
      <c r="V822" s="34" t="e">
        <f>VLOOKUP(Allocation[[#This Row],[SAP Contract number]],Shipments[[SAP Contract number]:[Contracted container weight]],2,FALSE)</f>
        <v>#N/A</v>
      </c>
      <c r="W822" s="34" t="e">
        <f>VLOOKUP(Allocation[[#This Row],[SAP Contract number]],Shipments[[SAP Contract number]:[AAA Premium USD]],24,FALSE)</f>
        <v>#N/A</v>
      </c>
      <c r="X822" s="34" t="e">
        <f>VLOOKUP(Allocation[[#This Row],[SAP Contract number]],Shipments[[SAP Contract number]:[RA Premium USD]],25,FALSE)</f>
        <v>#N/A</v>
      </c>
      <c r="Y822" s="38">
        <f>Allocation[[#This Row],[Quantity Processed]]/Allocation[[#This Row],[Quantity allocated]]</f>
        <v>3.0508474576271185</v>
      </c>
      <c r="Z822" s="34" t="b">
        <f>Allocation[[#This Row],[Quantity allocated]]&lt;=Allocation[[#This Row],[Quantity Processed]]</f>
        <v>1</v>
      </c>
    </row>
    <row r="823" spans="1:26">
      <c r="A823" s="247" t="s">
        <v>467</v>
      </c>
      <c r="B823" s="160" t="s">
        <v>68</v>
      </c>
      <c r="C823" s="252" t="s">
        <v>1294</v>
      </c>
      <c r="D823" s="167">
        <v>4020</v>
      </c>
      <c r="E823" s="160" t="s">
        <v>1326</v>
      </c>
      <c r="F823" s="158">
        <v>43553</v>
      </c>
      <c r="G823" s="162">
        <v>2.9</v>
      </c>
      <c r="H823" s="161">
        <v>1357</v>
      </c>
      <c r="I823" s="166">
        <v>1442259</v>
      </c>
      <c r="J823" s="163">
        <v>20355</v>
      </c>
      <c r="K823" s="158">
        <v>43560</v>
      </c>
      <c r="L823" s="160" t="s">
        <v>1332</v>
      </c>
      <c r="M823" s="160">
        <v>4615465085</v>
      </c>
      <c r="N823" s="158">
        <v>43579</v>
      </c>
      <c r="O823" s="164">
        <v>3.9624000000000001</v>
      </c>
      <c r="P823" s="165">
        <v>20183</v>
      </c>
      <c r="Q823" s="34">
        <f>SUMIF(Allocation[Delivery ID],Allocation[[#This Row],[Delivery ID]],Allocation[Quantity Processed])</f>
        <v>4020</v>
      </c>
      <c r="R823" s="61">
        <f>Allocation[[#This Row],[Total volume used]]/VLOOKUP(Allocation[[#This Row],[Delivery ID]],Delivery[[Delivery ID]:[Quantity delivered]],3,FALSE)</f>
        <v>1</v>
      </c>
      <c r="S823" s="34">
        <f>Allocation[[#This Row],[Quantity Processed]]/Allocation[[#This Row],[Dilution rate]]</f>
        <v>1386.2068965517242</v>
      </c>
      <c r="T823" s="59">
        <f>SUMIF(Allocation[Delivery ID],Allocation[[#This Row],[Delivery ID]],Allocation[Quantity allocated])/SUMIF(Allocation[Delivery ID],Allocation[[#This Row],[Delivery ID]],Allocation[Volume available (kg)])</f>
        <v>0.9789303482587064</v>
      </c>
      <c r="U823" s="61">
        <f>Allocation[[#This Row],[Total volume used]]/VLOOKUP(Allocation[[#This Row],[Delivery ID]],Delivery[[Delivery ID]:[Quantity delivered]],3,FALSE)</f>
        <v>1</v>
      </c>
      <c r="V823" s="34" t="e">
        <f>VLOOKUP(Allocation[[#This Row],[SAP Contract number]],Shipments[[SAP Contract number]:[Contracted container weight]],2,FALSE)</f>
        <v>#N/A</v>
      </c>
      <c r="W823" s="34" t="e">
        <f>VLOOKUP(Allocation[[#This Row],[SAP Contract number]],Shipments[[SAP Contract number]:[AAA Premium USD]],24,FALSE)</f>
        <v>#N/A</v>
      </c>
      <c r="X823" s="34" t="e">
        <f>VLOOKUP(Allocation[[#This Row],[SAP Contract number]],Shipments[[SAP Contract number]:[RA Premium USD]],25,FALSE)</f>
        <v>#N/A</v>
      </c>
      <c r="Y823" s="38">
        <f>Allocation[[#This Row],[Quantity Processed]]/Allocation[[#This Row],[Quantity allocated]]</f>
        <v>2.9624170965364773</v>
      </c>
      <c r="Z823" s="34" t="b">
        <f>Allocation[[#This Row],[Quantity allocated]]&lt;=Allocation[[#This Row],[Quantity Processed]]</f>
        <v>1</v>
      </c>
    </row>
    <row r="824" spans="1:26">
      <c r="A824" s="247" t="s">
        <v>467</v>
      </c>
      <c r="B824" s="160" t="s">
        <v>68</v>
      </c>
      <c r="C824" s="252" t="s">
        <v>1295</v>
      </c>
      <c r="D824" s="167">
        <v>29990</v>
      </c>
      <c r="E824" s="160" t="s">
        <v>1326</v>
      </c>
      <c r="F824" s="158">
        <v>43553</v>
      </c>
      <c r="G824" s="162">
        <v>2.9</v>
      </c>
      <c r="H824" s="161">
        <v>10030</v>
      </c>
      <c r="I824" s="166">
        <v>1442259</v>
      </c>
      <c r="J824" s="163">
        <v>20355</v>
      </c>
      <c r="K824" s="158">
        <v>43560</v>
      </c>
      <c r="L824" s="160" t="s">
        <v>1332</v>
      </c>
      <c r="M824" s="160">
        <v>4615465085</v>
      </c>
      <c r="N824" s="158">
        <v>43579</v>
      </c>
      <c r="O824" s="164">
        <v>3.9624000000000001</v>
      </c>
      <c r="P824" s="165">
        <v>20183</v>
      </c>
      <c r="Q824" s="34">
        <f>SUMIF(Allocation[Delivery ID],Allocation[[#This Row],[Delivery ID]],Allocation[Quantity Processed])</f>
        <v>29990</v>
      </c>
      <c r="R824" s="61">
        <f>Allocation[[#This Row],[Total volume used]]/VLOOKUP(Allocation[[#This Row],[Delivery ID]],Delivery[[Delivery ID]:[Quantity delivered]],3,FALSE)</f>
        <v>1</v>
      </c>
      <c r="S824" s="34">
        <f>Allocation[[#This Row],[Quantity Processed]]/Allocation[[#This Row],[Dilution rate]]</f>
        <v>10341.379310344828</v>
      </c>
      <c r="T824" s="59">
        <f>SUMIF(Allocation[Delivery ID],Allocation[[#This Row],[Delivery ID]],Allocation[Quantity allocated])/SUMIF(Allocation[Delivery ID],Allocation[[#This Row],[Delivery ID]],Allocation[Volume available (kg)])</f>
        <v>0.969889963321107</v>
      </c>
      <c r="U824" s="61">
        <f>Allocation[[#This Row],[Total volume used]]/VLOOKUP(Allocation[[#This Row],[Delivery ID]],Delivery[[Delivery ID]:[Quantity delivered]],3,FALSE)</f>
        <v>1</v>
      </c>
      <c r="V824" s="34" t="e">
        <f>VLOOKUP(Allocation[[#This Row],[SAP Contract number]],Shipments[[SAP Contract number]:[Contracted container weight]],2,FALSE)</f>
        <v>#N/A</v>
      </c>
      <c r="W824" s="34" t="e">
        <f>VLOOKUP(Allocation[[#This Row],[SAP Contract number]],Shipments[[SAP Contract number]:[AAA Premium USD]],24,FALSE)</f>
        <v>#N/A</v>
      </c>
      <c r="X824" s="34" t="e">
        <f>VLOOKUP(Allocation[[#This Row],[SAP Contract number]],Shipments[[SAP Contract number]:[RA Premium USD]],25,FALSE)</f>
        <v>#N/A</v>
      </c>
      <c r="Y824" s="38">
        <f>Allocation[[#This Row],[Quantity Processed]]/Allocation[[#This Row],[Quantity allocated]]</f>
        <v>2.9900299102691923</v>
      </c>
      <c r="Z824" s="34" t="b">
        <f>Allocation[[#This Row],[Quantity allocated]]&lt;=Allocation[[#This Row],[Quantity Processed]]</f>
        <v>1</v>
      </c>
    </row>
    <row r="825" spans="1:26">
      <c r="A825" s="247" t="s">
        <v>467</v>
      </c>
      <c r="B825" s="160" t="s">
        <v>68</v>
      </c>
      <c r="C825" s="252" t="s">
        <v>1296</v>
      </c>
      <c r="D825" s="167">
        <v>6148</v>
      </c>
      <c r="E825" s="160" t="s">
        <v>1326</v>
      </c>
      <c r="F825" s="158">
        <v>43553</v>
      </c>
      <c r="G825" s="162">
        <v>2.9</v>
      </c>
      <c r="H825" s="161">
        <v>2029</v>
      </c>
      <c r="I825" s="166">
        <v>1442259</v>
      </c>
      <c r="J825" s="163">
        <v>20355</v>
      </c>
      <c r="K825" s="158">
        <v>43560</v>
      </c>
      <c r="L825" s="160" t="s">
        <v>1332</v>
      </c>
      <c r="M825" s="160">
        <v>4615465085</v>
      </c>
      <c r="N825" s="158">
        <v>43579</v>
      </c>
      <c r="O825" s="164">
        <v>3.9624000000000001</v>
      </c>
      <c r="P825" s="165">
        <v>20183</v>
      </c>
      <c r="Q825" s="34">
        <f>SUMIF(Allocation[Delivery ID],Allocation[[#This Row],[Delivery ID]],Allocation[Quantity Processed])</f>
        <v>31820</v>
      </c>
      <c r="R825" s="61">
        <f>Allocation[[#This Row],[Total volume used]]/VLOOKUP(Allocation[[#This Row],[Delivery ID]],Delivery[[Delivery ID]:[Quantity delivered]],3,FALSE)</f>
        <v>1</v>
      </c>
      <c r="S825" s="34">
        <f>Allocation[[#This Row],[Quantity Processed]]/Allocation[[#This Row],[Dilution rate]]</f>
        <v>2120</v>
      </c>
      <c r="T825" s="59">
        <f>SUMIF(Allocation[Delivery ID],Allocation[[#This Row],[Delivery ID]],Allocation[Quantity allocated])/SUMIF(Allocation[Delivery ID],Allocation[[#This Row],[Delivery ID]],Allocation[Volume available (kg)])</f>
        <v>0.95712759270898795</v>
      </c>
      <c r="U825" s="61">
        <f>Allocation[[#This Row],[Total volume used]]/VLOOKUP(Allocation[[#This Row],[Delivery ID]],Delivery[[Delivery ID]:[Quantity delivered]],3,FALSE)</f>
        <v>1</v>
      </c>
      <c r="V825" s="34" t="e">
        <f>VLOOKUP(Allocation[[#This Row],[SAP Contract number]],Shipments[[SAP Contract number]:[Contracted container weight]],2,FALSE)</f>
        <v>#N/A</v>
      </c>
      <c r="W825" s="34" t="e">
        <f>VLOOKUP(Allocation[[#This Row],[SAP Contract number]],Shipments[[SAP Contract number]:[AAA Premium USD]],24,FALSE)</f>
        <v>#N/A</v>
      </c>
      <c r="X825" s="34" t="e">
        <f>VLOOKUP(Allocation[[#This Row],[SAP Contract number]],Shipments[[SAP Contract number]:[RA Premium USD]],25,FALSE)</f>
        <v>#N/A</v>
      </c>
      <c r="Y825" s="38">
        <f>Allocation[[#This Row],[Quantity Processed]]/Allocation[[#This Row],[Quantity allocated]]</f>
        <v>3.0300640709709215</v>
      </c>
      <c r="Z825" s="34" t="b">
        <f>Allocation[[#This Row],[Quantity allocated]]&lt;=Allocation[[#This Row],[Quantity Processed]]</f>
        <v>1</v>
      </c>
    </row>
    <row r="826" spans="1:26">
      <c r="A826" s="247" t="s">
        <v>467</v>
      </c>
      <c r="B826" s="160" t="s">
        <v>68</v>
      </c>
      <c r="C826" s="252" t="s">
        <v>1296</v>
      </c>
      <c r="D826" s="167">
        <v>25672</v>
      </c>
      <c r="E826" s="160" t="s">
        <v>1326</v>
      </c>
      <c r="F826" s="158">
        <v>43553</v>
      </c>
      <c r="G826" s="162">
        <v>2.9</v>
      </c>
      <c r="H826" s="161">
        <v>8473</v>
      </c>
      <c r="I826" s="166">
        <v>1442260</v>
      </c>
      <c r="J826" s="163">
        <v>20355</v>
      </c>
      <c r="K826" s="158">
        <v>43560</v>
      </c>
      <c r="L826" s="160" t="s">
        <v>1333</v>
      </c>
      <c r="M826" s="160">
        <v>4615465085</v>
      </c>
      <c r="N826" s="158">
        <v>43579</v>
      </c>
      <c r="O826" s="164">
        <v>3.9624000000000001</v>
      </c>
      <c r="P826" s="165">
        <v>20183</v>
      </c>
      <c r="Q826" s="34">
        <f>SUMIF(Allocation[Delivery ID],Allocation[[#This Row],[Delivery ID]],Allocation[Quantity Processed])</f>
        <v>31820</v>
      </c>
      <c r="R826" s="61">
        <f>Allocation[[#This Row],[Total volume used]]/VLOOKUP(Allocation[[#This Row],[Delivery ID]],Delivery[[Delivery ID]:[Quantity delivered]],3,FALSE)</f>
        <v>1</v>
      </c>
      <c r="S826" s="34">
        <f>Allocation[[#This Row],[Quantity Processed]]/Allocation[[#This Row],[Dilution rate]]</f>
        <v>8852.4137931034493</v>
      </c>
      <c r="T826" s="59">
        <f>SUMIF(Allocation[Delivery ID],Allocation[[#This Row],[Delivery ID]],Allocation[Quantity allocated])/SUMIF(Allocation[Delivery ID],Allocation[[#This Row],[Delivery ID]],Allocation[Volume available (kg)])</f>
        <v>0.95712759270898795</v>
      </c>
      <c r="U826" s="61">
        <f>Allocation[[#This Row],[Total volume used]]/VLOOKUP(Allocation[[#This Row],[Delivery ID]],Delivery[[Delivery ID]:[Quantity delivered]],3,FALSE)</f>
        <v>1</v>
      </c>
      <c r="V826" s="34" t="e">
        <f>VLOOKUP(Allocation[[#This Row],[SAP Contract number]],Shipments[[SAP Contract number]:[Contracted container weight]],2,FALSE)</f>
        <v>#N/A</v>
      </c>
      <c r="W826" s="34" t="e">
        <f>VLOOKUP(Allocation[[#This Row],[SAP Contract number]],Shipments[[SAP Contract number]:[AAA Premium USD]],24,FALSE)</f>
        <v>#N/A</v>
      </c>
      <c r="X826" s="34" t="e">
        <f>VLOOKUP(Allocation[[#This Row],[SAP Contract number]],Shipments[[SAP Contract number]:[RA Premium USD]],25,FALSE)</f>
        <v>#N/A</v>
      </c>
      <c r="Y826" s="38">
        <f>Allocation[[#This Row],[Quantity Processed]]/Allocation[[#This Row],[Quantity allocated]]</f>
        <v>3.0298595538770212</v>
      </c>
      <c r="Z826" s="34" t="b">
        <f>Allocation[[#This Row],[Quantity allocated]]&lt;=Allocation[[#This Row],[Quantity Processed]]</f>
        <v>1</v>
      </c>
    </row>
    <row r="827" spans="1:26">
      <c r="A827" s="247" t="s">
        <v>467</v>
      </c>
      <c r="B827" s="160" t="s">
        <v>68</v>
      </c>
      <c r="C827" s="252" t="s">
        <v>1297</v>
      </c>
      <c r="D827" s="167">
        <v>13180</v>
      </c>
      <c r="E827" s="160" t="s">
        <v>1326</v>
      </c>
      <c r="F827" s="158">
        <v>43553</v>
      </c>
      <c r="G827" s="162">
        <v>2.9</v>
      </c>
      <c r="H827" s="161">
        <v>4425</v>
      </c>
      <c r="I827" s="166">
        <v>1442260</v>
      </c>
      <c r="J827" s="163">
        <v>20355</v>
      </c>
      <c r="K827" s="158">
        <v>43560</v>
      </c>
      <c r="L827" s="160" t="s">
        <v>1333</v>
      </c>
      <c r="M827" s="160">
        <v>4615465085</v>
      </c>
      <c r="N827" s="158">
        <v>43579</v>
      </c>
      <c r="O827" s="164">
        <v>3.9624000000000001</v>
      </c>
      <c r="P827" s="165">
        <v>20183</v>
      </c>
      <c r="Q827" s="34">
        <f>SUMIF(Allocation[Delivery ID],Allocation[[#This Row],[Delivery ID]],Allocation[Quantity Processed])</f>
        <v>13180</v>
      </c>
      <c r="R827" s="61">
        <f>Allocation[[#This Row],[Total volume used]]/VLOOKUP(Allocation[[#This Row],[Delivery ID]],Delivery[[Delivery ID]:[Quantity delivered]],3,FALSE)</f>
        <v>1</v>
      </c>
      <c r="S827" s="34">
        <f>Allocation[[#This Row],[Quantity Processed]]/Allocation[[#This Row],[Dilution rate]]</f>
        <v>4544.8275862068967</v>
      </c>
      <c r="T827" s="59">
        <f>SUMIF(Allocation[Delivery ID],Allocation[[#This Row],[Delivery ID]],Allocation[Quantity allocated])/SUMIF(Allocation[Delivery ID],Allocation[[#This Row],[Delivery ID]],Allocation[Volume available (kg)])</f>
        <v>0.97363429438543247</v>
      </c>
      <c r="U827" s="61">
        <f>Allocation[[#This Row],[Total volume used]]/VLOOKUP(Allocation[[#This Row],[Delivery ID]],Delivery[[Delivery ID]:[Quantity delivered]],3,FALSE)</f>
        <v>1</v>
      </c>
      <c r="V827" s="34" t="e">
        <f>VLOOKUP(Allocation[[#This Row],[SAP Contract number]],Shipments[[SAP Contract number]:[Contracted container weight]],2,FALSE)</f>
        <v>#N/A</v>
      </c>
      <c r="W827" s="34" t="e">
        <f>VLOOKUP(Allocation[[#This Row],[SAP Contract number]],Shipments[[SAP Contract number]:[AAA Premium USD]],24,FALSE)</f>
        <v>#N/A</v>
      </c>
      <c r="X827" s="34" t="e">
        <f>VLOOKUP(Allocation[[#This Row],[SAP Contract number]],Shipments[[SAP Contract number]:[RA Premium USD]],25,FALSE)</f>
        <v>#N/A</v>
      </c>
      <c r="Y827" s="38">
        <f>Allocation[[#This Row],[Quantity Processed]]/Allocation[[#This Row],[Quantity allocated]]</f>
        <v>2.9785310734463275</v>
      </c>
      <c r="Z827" s="34" t="b">
        <f>Allocation[[#This Row],[Quantity allocated]]&lt;=Allocation[[#This Row],[Quantity Processed]]</f>
        <v>1</v>
      </c>
    </row>
    <row r="828" spans="1:26">
      <c r="A828" s="247" t="s">
        <v>467</v>
      </c>
      <c r="B828" s="160" t="s">
        <v>68</v>
      </c>
      <c r="C828" s="252" t="s">
        <v>1298</v>
      </c>
      <c r="D828" s="167">
        <v>22597</v>
      </c>
      <c r="E828" s="160" t="s">
        <v>1326</v>
      </c>
      <c r="F828" s="158">
        <v>43553</v>
      </c>
      <c r="G828" s="162">
        <v>2.9</v>
      </c>
      <c r="H828" s="161">
        <v>7457</v>
      </c>
      <c r="I828" s="166">
        <v>1442260</v>
      </c>
      <c r="J828" s="163">
        <v>20355</v>
      </c>
      <c r="K828" s="158">
        <v>43560</v>
      </c>
      <c r="L828" s="160" t="s">
        <v>1333</v>
      </c>
      <c r="M828" s="160">
        <v>4615465085</v>
      </c>
      <c r="N828" s="158">
        <v>43579</v>
      </c>
      <c r="O828" s="164">
        <v>3.9624000000000001</v>
      </c>
      <c r="P828" s="165">
        <v>20183</v>
      </c>
      <c r="Q828" s="34">
        <f>SUMIF(Allocation[Delivery ID],Allocation[[#This Row],[Delivery ID]],Allocation[Quantity Processed])</f>
        <v>37820</v>
      </c>
      <c r="R828" s="61">
        <f>Allocation[[#This Row],[Total volume used]]/VLOOKUP(Allocation[[#This Row],[Delivery ID]],Delivery[[Delivery ID]:[Quantity delivered]],3,FALSE)</f>
        <v>1</v>
      </c>
      <c r="S828" s="34">
        <f>Allocation[[#This Row],[Quantity Processed]]/Allocation[[#This Row],[Dilution rate]]</f>
        <v>7792.0689655172418</v>
      </c>
      <c r="T828" s="59">
        <f>SUMIF(Allocation[Delivery ID],Allocation[[#This Row],[Delivery ID]],Allocation[Quantity allocated])/SUMIF(Allocation[Delivery ID],Allocation[[#This Row],[Delivery ID]],Allocation[Volume available (kg)])</f>
        <v>0.95932702192301111</v>
      </c>
      <c r="U828" s="61">
        <f>Allocation[[#This Row],[Total volume used]]/VLOOKUP(Allocation[[#This Row],[Delivery ID]],Delivery[[Delivery ID]:[Quantity delivered]],3,FALSE)</f>
        <v>1</v>
      </c>
      <c r="V828" s="34" t="e">
        <f>VLOOKUP(Allocation[[#This Row],[SAP Contract number]],Shipments[[SAP Contract number]:[Contracted container weight]],2,FALSE)</f>
        <v>#N/A</v>
      </c>
      <c r="W828" s="34" t="e">
        <f>VLOOKUP(Allocation[[#This Row],[SAP Contract number]],Shipments[[SAP Contract number]:[AAA Premium USD]],24,FALSE)</f>
        <v>#N/A</v>
      </c>
      <c r="X828" s="34" t="e">
        <f>VLOOKUP(Allocation[[#This Row],[SAP Contract number]],Shipments[[SAP Contract number]:[RA Premium USD]],25,FALSE)</f>
        <v>#N/A</v>
      </c>
      <c r="Y828" s="38">
        <f>Allocation[[#This Row],[Quantity Processed]]/Allocation[[#This Row],[Quantity allocated]]</f>
        <v>3.0303070940056323</v>
      </c>
      <c r="Z828" s="34" t="b">
        <f>Allocation[[#This Row],[Quantity allocated]]&lt;=Allocation[[#This Row],[Quantity Processed]]</f>
        <v>1</v>
      </c>
    </row>
    <row r="829" spans="1:26">
      <c r="A829" s="247" t="s">
        <v>467</v>
      </c>
      <c r="B829" s="160" t="s">
        <v>68</v>
      </c>
      <c r="C829" s="252" t="s">
        <v>1298</v>
      </c>
      <c r="D829" s="167">
        <v>7976</v>
      </c>
      <c r="E829" s="160" t="s">
        <v>1326</v>
      </c>
      <c r="F829" s="158">
        <v>43553</v>
      </c>
      <c r="G829" s="162">
        <v>2.9</v>
      </c>
      <c r="H829" s="161">
        <v>2632</v>
      </c>
      <c r="I829" s="166">
        <v>1442261</v>
      </c>
      <c r="J829" s="163">
        <v>20355</v>
      </c>
      <c r="K829" s="158">
        <v>43560</v>
      </c>
      <c r="L829" s="160" t="s">
        <v>1334</v>
      </c>
      <c r="M829" s="160">
        <v>4615465085</v>
      </c>
      <c r="N829" s="158">
        <v>43579</v>
      </c>
      <c r="O829" s="164">
        <v>3.9624000000000001</v>
      </c>
      <c r="P829" s="165">
        <v>20183</v>
      </c>
      <c r="Q829" s="34">
        <f>SUMIF(Allocation[Delivery ID],Allocation[[#This Row],[Delivery ID]],Allocation[Quantity Processed])</f>
        <v>37820</v>
      </c>
      <c r="R829" s="61">
        <f>Allocation[[#This Row],[Total volume used]]/VLOOKUP(Allocation[[#This Row],[Delivery ID]],Delivery[[Delivery ID]:[Quantity delivered]],3,FALSE)</f>
        <v>1</v>
      </c>
      <c r="S829" s="34">
        <f>Allocation[[#This Row],[Quantity Processed]]/Allocation[[#This Row],[Dilution rate]]</f>
        <v>2750.344827586207</v>
      </c>
      <c r="T829" s="59">
        <f>SUMIF(Allocation[Delivery ID],Allocation[[#This Row],[Delivery ID]],Allocation[Quantity allocated])/SUMIF(Allocation[Delivery ID],Allocation[[#This Row],[Delivery ID]],Allocation[Volume available (kg)])</f>
        <v>0.95932702192301111</v>
      </c>
      <c r="U829" s="61">
        <f>Allocation[[#This Row],[Total volume used]]/VLOOKUP(Allocation[[#This Row],[Delivery ID]],Delivery[[Delivery ID]:[Quantity delivered]],3,FALSE)</f>
        <v>1</v>
      </c>
      <c r="V829" s="34" t="e">
        <f>VLOOKUP(Allocation[[#This Row],[SAP Contract number]],Shipments[[SAP Contract number]:[Contracted container weight]],2,FALSE)</f>
        <v>#N/A</v>
      </c>
      <c r="W829" s="34" t="e">
        <f>VLOOKUP(Allocation[[#This Row],[SAP Contract number]],Shipments[[SAP Contract number]:[AAA Premium USD]],24,FALSE)</f>
        <v>#N/A</v>
      </c>
      <c r="X829" s="34" t="e">
        <f>VLOOKUP(Allocation[[#This Row],[SAP Contract number]],Shipments[[SAP Contract number]:[RA Premium USD]],25,FALSE)</f>
        <v>#N/A</v>
      </c>
      <c r="Y829" s="38">
        <f>Allocation[[#This Row],[Quantity Processed]]/Allocation[[#This Row],[Quantity allocated]]</f>
        <v>3.0303951367781155</v>
      </c>
      <c r="Z829" s="34" t="b">
        <f>Allocation[[#This Row],[Quantity allocated]]&lt;=Allocation[[#This Row],[Quantity Processed]]</f>
        <v>1</v>
      </c>
    </row>
    <row r="830" spans="1:26">
      <c r="A830" s="247" t="s">
        <v>467</v>
      </c>
      <c r="B830" s="160" t="s">
        <v>68</v>
      </c>
      <c r="C830" s="252" t="s">
        <v>1299</v>
      </c>
      <c r="D830" s="167">
        <v>16712</v>
      </c>
      <c r="E830" s="160" t="s">
        <v>1326</v>
      </c>
      <c r="F830" s="158">
        <v>43553</v>
      </c>
      <c r="G830" s="162">
        <v>2.9</v>
      </c>
      <c r="H830" s="161">
        <v>5515</v>
      </c>
      <c r="I830" s="166">
        <v>1442261</v>
      </c>
      <c r="J830" s="163">
        <v>20355</v>
      </c>
      <c r="K830" s="158">
        <v>43560</v>
      </c>
      <c r="L830" s="160" t="s">
        <v>1334</v>
      </c>
      <c r="M830" s="160">
        <v>4615465085</v>
      </c>
      <c r="N830" s="158">
        <v>43579</v>
      </c>
      <c r="O830" s="164">
        <v>3.9624000000000001</v>
      </c>
      <c r="P830" s="165">
        <v>20183</v>
      </c>
      <c r="Q830" s="34">
        <f>SUMIF(Allocation[Delivery ID],Allocation[[#This Row],[Delivery ID]],Allocation[Quantity Processed])</f>
        <v>29953</v>
      </c>
      <c r="R830" s="61">
        <f>Allocation[[#This Row],[Total volume used]]/VLOOKUP(Allocation[[#This Row],[Delivery ID]],Delivery[[Delivery ID]:[Quantity delivered]],3,FALSE)</f>
        <v>1</v>
      </c>
      <c r="S830" s="34">
        <f>Allocation[[#This Row],[Quantity Processed]]/Allocation[[#This Row],[Dilution rate]]</f>
        <v>5762.7586206896558</v>
      </c>
      <c r="T830" s="59">
        <f>SUMIF(Allocation[Delivery ID],Allocation[[#This Row],[Delivery ID]],Allocation[Quantity allocated])/SUMIF(Allocation[Delivery ID],Allocation[[#This Row],[Delivery ID]],Allocation[Volume available (kg)])</f>
        <v>0.94412108025696206</v>
      </c>
      <c r="U830" s="61">
        <f>Allocation[[#This Row],[Total volume used]]/VLOOKUP(Allocation[[#This Row],[Delivery ID]],Delivery[[Delivery ID]:[Quantity delivered]],3,FALSE)</f>
        <v>1</v>
      </c>
      <c r="V830" s="34" t="e">
        <f>VLOOKUP(Allocation[[#This Row],[SAP Contract number]],Shipments[[SAP Contract number]:[Contracted container weight]],2,FALSE)</f>
        <v>#N/A</v>
      </c>
      <c r="W830" s="34" t="e">
        <f>VLOOKUP(Allocation[[#This Row],[SAP Contract number]],Shipments[[SAP Contract number]:[AAA Premium USD]],24,FALSE)</f>
        <v>#N/A</v>
      </c>
      <c r="X830" s="34" t="e">
        <f>VLOOKUP(Allocation[[#This Row],[SAP Contract number]],Shipments[[SAP Contract number]:[RA Premium USD]],25,FALSE)</f>
        <v>#N/A</v>
      </c>
      <c r="Y830" s="38">
        <f>Allocation[[#This Row],[Quantity Processed]]/Allocation[[#This Row],[Quantity allocated]]</f>
        <v>3.0302810516772438</v>
      </c>
      <c r="Z830" s="34" t="b">
        <f>Allocation[[#This Row],[Quantity allocated]]&lt;=Allocation[[#This Row],[Quantity Processed]]</f>
        <v>1</v>
      </c>
    </row>
    <row r="831" spans="1:26">
      <c r="A831" s="247" t="s">
        <v>467</v>
      </c>
      <c r="B831" s="160" t="s">
        <v>68</v>
      </c>
      <c r="C831" s="252" t="s">
        <v>1300</v>
      </c>
      <c r="D831" s="167">
        <v>4679</v>
      </c>
      <c r="E831" s="160" t="s">
        <v>1326</v>
      </c>
      <c r="F831" s="158">
        <v>43553</v>
      </c>
      <c r="G831" s="162">
        <v>2.9</v>
      </c>
      <c r="H831" s="161">
        <v>1544</v>
      </c>
      <c r="I831" s="166">
        <v>1442261</v>
      </c>
      <c r="J831" s="163">
        <v>20355</v>
      </c>
      <c r="K831" s="158">
        <v>43560</v>
      </c>
      <c r="L831" s="160" t="s">
        <v>1334</v>
      </c>
      <c r="M831" s="160">
        <v>4615465085</v>
      </c>
      <c r="N831" s="158">
        <v>43579</v>
      </c>
      <c r="O831" s="164">
        <v>3.9624000000000001</v>
      </c>
      <c r="P831" s="165">
        <v>20183</v>
      </c>
      <c r="Q831" s="34">
        <f>SUMIF(Allocation[Delivery ID],Allocation[[#This Row],[Delivery ID]],Allocation[Quantity Processed])</f>
        <v>8387</v>
      </c>
      <c r="R831" s="61">
        <f>Allocation[[#This Row],[Total volume used]]/VLOOKUP(Allocation[[#This Row],[Delivery ID]],Delivery[[Delivery ID]:[Quantity delivered]],3,FALSE)</f>
        <v>1</v>
      </c>
      <c r="S831" s="34">
        <f>Allocation[[#This Row],[Quantity Processed]]/Allocation[[#This Row],[Dilution rate]]</f>
        <v>1613.4482758620691</v>
      </c>
      <c r="T831" s="59">
        <f>SUMIF(Allocation[Delivery ID],Allocation[[#This Row],[Delivery ID]],Allocation[Quantity allocated])/SUMIF(Allocation[Delivery ID],Allocation[[#This Row],[Delivery ID]],Allocation[Volume available (kg)])</f>
        <v>0.93031527331744857</v>
      </c>
      <c r="U831" s="61">
        <f>Allocation[[#This Row],[Total volume used]]/VLOOKUP(Allocation[[#This Row],[Delivery ID]],Delivery[[Delivery ID]:[Quantity delivered]],3,FALSE)</f>
        <v>1</v>
      </c>
      <c r="V831" s="34" t="e">
        <f>VLOOKUP(Allocation[[#This Row],[SAP Contract number]],Shipments[[SAP Contract number]:[Contracted container weight]],2,FALSE)</f>
        <v>#N/A</v>
      </c>
      <c r="W831" s="34" t="e">
        <f>VLOOKUP(Allocation[[#This Row],[SAP Contract number]],Shipments[[SAP Contract number]:[AAA Premium USD]],24,FALSE)</f>
        <v>#N/A</v>
      </c>
      <c r="X831" s="34" t="e">
        <f>VLOOKUP(Allocation[[#This Row],[SAP Contract number]],Shipments[[SAP Contract number]:[RA Premium USD]],25,FALSE)</f>
        <v>#N/A</v>
      </c>
      <c r="Y831" s="38">
        <f>Allocation[[#This Row],[Quantity Processed]]/Allocation[[#This Row],[Quantity allocated]]</f>
        <v>3.0304404145077721</v>
      </c>
      <c r="Z831" s="34" t="b">
        <f>Allocation[[#This Row],[Quantity allocated]]&lt;=Allocation[[#This Row],[Quantity Processed]]</f>
        <v>1</v>
      </c>
    </row>
    <row r="832" spans="1:26">
      <c r="A832" s="247" t="s">
        <v>467</v>
      </c>
      <c r="B832" s="160" t="s">
        <v>68</v>
      </c>
      <c r="C832" s="252" t="s">
        <v>1301</v>
      </c>
      <c r="D832" s="167">
        <v>4036</v>
      </c>
      <c r="E832" s="160" t="s">
        <v>1326</v>
      </c>
      <c r="F832" s="158">
        <v>43553</v>
      </c>
      <c r="G832" s="162">
        <v>2.9</v>
      </c>
      <c r="H832" s="161">
        <v>1332</v>
      </c>
      <c r="I832" s="166">
        <v>1442261</v>
      </c>
      <c r="J832" s="163">
        <v>20355</v>
      </c>
      <c r="K832" s="158">
        <v>43560</v>
      </c>
      <c r="L832" s="160" t="s">
        <v>1334</v>
      </c>
      <c r="M832" s="160">
        <v>4615465085</v>
      </c>
      <c r="N832" s="158">
        <v>43579</v>
      </c>
      <c r="O832" s="164">
        <v>3.9624000000000001</v>
      </c>
      <c r="P832" s="165">
        <v>20183</v>
      </c>
      <c r="Q832" s="34">
        <f>SUMIF(Allocation[Delivery ID],Allocation[[#This Row],[Delivery ID]],Allocation[Quantity Processed])</f>
        <v>7232.5</v>
      </c>
      <c r="R832" s="61">
        <f>Allocation[[#This Row],[Total volume used]]/VLOOKUP(Allocation[[#This Row],[Delivery ID]],Delivery[[Delivery ID]:[Quantity delivered]],3,FALSE)</f>
        <v>1</v>
      </c>
      <c r="S832" s="34">
        <f>Allocation[[#This Row],[Quantity Processed]]/Allocation[[#This Row],[Dilution rate]]</f>
        <v>1391.7241379310344</v>
      </c>
      <c r="T832" s="59">
        <f>SUMIF(Allocation[Delivery ID],Allocation[[#This Row],[Delivery ID]],Allocation[Quantity allocated])/SUMIF(Allocation[Delivery ID],Allocation[[#This Row],[Delivery ID]],Allocation[Volume available (kg)])</f>
        <v>0.9714213543457364</v>
      </c>
      <c r="U832" s="61">
        <f>Allocation[[#This Row],[Total volume used]]/VLOOKUP(Allocation[[#This Row],[Delivery ID]],Delivery[[Delivery ID]:[Quantity delivered]],3,FALSE)</f>
        <v>1</v>
      </c>
      <c r="V832" s="34" t="e">
        <f>VLOOKUP(Allocation[[#This Row],[SAP Contract number]],Shipments[[SAP Contract number]:[Contracted container weight]],2,FALSE)</f>
        <v>#N/A</v>
      </c>
      <c r="W832" s="34" t="e">
        <f>VLOOKUP(Allocation[[#This Row],[SAP Contract number]],Shipments[[SAP Contract number]:[AAA Premium USD]],24,FALSE)</f>
        <v>#N/A</v>
      </c>
      <c r="X832" s="34" t="e">
        <f>VLOOKUP(Allocation[[#This Row],[SAP Contract number]],Shipments[[SAP Contract number]:[RA Premium USD]],25,FALSE)</f>
        <v>#N/A</v>
      </c>
      <c r="Y832" s="38">
        <f>Allocation[[#This Row],[Quantity Processed]]/Allocation[[#This Row],[Quantity allocated]]</f>
        <v>3.03003003003003</v>
      </c>
      <c r="Z832" s="34" t="b">
        <f>Allocation[[#This Row],[Quantity allocated]]&lt;=Allocation[[#This Row],[Quantity Processed]]</f>
        <v>1</v>
      </c>
    </row>
    <row r="833" spans="1:26">
      <c r="A833" s="247" t="s">
        <v>467</v>
      </c>
      <c r="B833" s="160" t="s">
        <v>68</v>
      </c>
      <c r="C833" s="252" t="s">
        <v>1302</v>
      </c>
      <c r="D833" s="167">
        <v>4466</v>
      </c>
      <c r="E833" s="160" t="s">
        <v>1326</v>
      </c>
      <c r="F833" s="158">
        <v>43553</v>
      </c>
      <c r="G833" s="162">
        <v>2.9</v>
      </c>
      <c r="H833" s="161">
        <v>2099</v>
      </c>
      <c r="I833" s="166">
        <v>1442261</v>
      </c>
      <c r="J833" s="163">
        <v>20355</v>
      </c>
      <c r="K833" s="158">
        <v>43560</v>
      </c>
      <c r="L833" s="160" t="s">
        <v>1334</v>
      </c>
      <c r="M833" s="160">
        <v>4615465085</v>
      </c>
      <c r="N833" s="158">
        <v>43579</v>
      </c>
      <c r="O833" s="164">
        <v>3.9624000000000001</v>
      </c>
      <c r="P833" s="165">
        <v>20183</v>
      </c>
      <c r="Q833" s="34">
        <f>SUMIF(Allocation[Delivery ID],Allocation[[#This Row],[Delivery ID]],Allocation[Quantity Processed])</f>
        <v>6402</v>
      </c>
      <c r="R833" s="61">
        <f>Allocation[[#This Row],[Total volume used]]/VLOOKUP(Allocation[[#This Row],[Delivery ID]],Delivery[[Delivery ID]:[Quantity delivered]],3,FALSE)</f>
        <v>0.99992190550566185</v>
      </c>
      <c r="S833" s="34">
        <f>Allocation[[#This Row],[Quantity Processed]]/Allocation[[#This Row],[Dilution rate]]</f>
        <v>1540</v>
      </c>
      <c r="T833" s="59">
        <f>SUMIF(Allocation[Delivery ID],Allocation[[#This Row],[Delivery ID]],Allocation[Quantity allocated])/SUMIF(Allocation[Delivery ID],Allocation[[#This Row],[Delivery ID]],Allocation[Volume available (kg)])</f>
        <v>1.3769066503965832</v>
      </c>
      <c r="U833" s="61">
        <f>Allocation[[#This Row],[Total volume used]]/VLOOKUP(Allocation[[#This Row],[Delivery ID]],Delivery[[Delivery ID]:[Quantity delivered]],3,FALSE)</f>
        <v>0.99992190550566185</v>
      </c>
      <c r="V833" s="34" t="e">
        <f>VLOOKUP(Allocation[[#This Row],[SAP Contract number]],Shipments[[SAP Contract number]:[Contracted container weight]],2,FALSE)</f>
        <v>#N/A</v>
      </c>
      <c r="W833" s="34" t="e">
        <f>VLOOKUP(Allocation[[#This Row],[SAP Contract number]],Shipments[[SAP Contract number]:[AAA Premium USD]],24,FALSE)</f>
        <v>#N/A</v>
      </c>
      <c r="X833" s="34" t="e">
        <f>VLOOKUP(Allocation[[#This Row],[SAP Contract number]],Shipments[[SAP Contract number]:[RA Premium USD]],25,FALSE)</f>
        <v>#N/A</v>
      </c>
      <c r="Y833" s="38">
        <f>Allocation[[#This Row],[Quantity Processed]]/Allocation[[#This Row],[Quantity allocated]]</f>
        <v>2.1276798475464509</v>
      </c>
      <c r="Z833" s="34" t="b">
        <f>Allocation[[#This Row],[Quantity allocated]]&lt;=Allocation[[#This Row],[Quantity Processed]]</f>
        <v>1</v>
      </c>
    </row>
    <row r="834" spans="1:26">
      <c r="A834" s="247" t="s">
        <v>467</v>
      </c>
      <c r="B834" s="160" t="s">
        <v>68</v>
      </c>
      <c r="C834" s="252" t="s">
        <v>1303</v>
      </c>
      <c r="D834" s="167">
        <v>21917</v>
      </c>
      <c r="E834" s="160" t="s">
        <v>1326</v>
      </c>
      <c r="F834" s="158">
        <v>43553</v>
      </c>
      <c r="G834" s="162">
        <v>2.9</v>
      </c>
      <c r="H834" s="161">
        <v>7233</v>
      </c>
      <c r="I834" s="166">
        <v>1442261</v>
      </c>
      <c r="J834" s="163">
        <v>20355</v>
      </c>
      <c r="K834" s="158">
        <v>43560</v>
      </c>
      <c r="L834" s="160" t="s">
        <v>1334</v>
      </c>
      <c r="M834" s="160">
        <v>4615465085</v>
      </c>
      <c r="N834" s="158">
        <v>43579</v>
      </c>
      <c r="O834" s="164">
        <v>3.9624000000000001</v>
      </c>
      <c r="P834" s="165">
        <v>20183</v>
      </c>
      <c r="Q834" s="34">
        <f>SUMIF(Allocation[Delivery ID],Allocation[[#This Row],[Delivery ID]],Allocation[Quantity Processed])</f>
        <v>30020</v>
      </c>
      <c r="R834" s="61">
        <f>Allocation[[#This Row],[Total volume used]]/VLOOKUP(Allocation[[#This Row],[Delivery ID]],Delivery[[Delivery ID]:[Quantity delivered]],3,FALSE)</f>
        <v>1</v>
      </c>
      <c r="S834" s="34">
        <f>Allocation[[#This Row],[Quantity Processed]]/Allocation[[#This Row],[Dilution rate]]</f>
        <v>7557.5862068965516</v>
      </c>
      <c r="T834" s="59">
        <f>SUMIF(Allocation[Delivery ID],Allocation[[#This Row],[Delivery ID]],Allocation[Quantity allocated])/SUMIF(Allocation[Delivery ID],Allocation[[#This Row],[Delivery ID]],Allocation[Volume available (kg)])</f>
        <v>0.95703864090606261</v>
      </c>
      <c r="U834" s="61">
        <f>Allocation[[#This Row],[Total volume used]]/VLOOKUP(Allocation[[#This Row],[Delivery ID]],Delivery[[Delivery ID]:[Quantity delivered]],3,FALSE)</f>
        <v>1</v>
      </c>
      <c r="V834" s="34" t="e">
        <f>VLOOKUP(Allocation[[#This Row],[SAP Contract number]],Shipments[[SAP Contract number]:[Contracted container weight]],2,FALSE)</f>
        <v>#N/A</v>
      </c>
      <c r="W834" s="34" t="e">
        <f>VLOOKUP(Allocation[[#This Row],[SAP Contract number]],Shipments[[SAP Contract number]:[AAA Premium USD]],24,FALSE)</f>
        <v>#N/A</v>
      </c>
      <c r="X834" s="34" t="e">
        <f>VLOOKUP(Allocation[[#This Row],[SAP Contract number]],Shipments[[SAP Contract number]:[RA Premium USD]],25,FALSE)</f>
        <v>#N/A</v>
      </c>
      <c r="Y834" s="38">
        <f>Allocation[[#This Row],[Quantity Processed]]/Allocation[[#This Row],[Quantity allocated]]</f>
        <v>3.0301396377713257</v>
      </c>
      <c r="Z834" s="34" t="b">
        <f>Allocation[[#This Row],[Quantity allocated]]&lt;=Allocation[[#This Row],[Quantity Processed]]</f>
        <v>1</v>
      </c>
    </row>
    <row r="835" spans="1:26">
      <c r="A835" s="247" t="s">
        <v>467</v>
      </c>
      <c r="B835" s="160" t="s">
        <v>68</v>
      </c>
      <c r="C835" s="252" t="s">
        <v>1303</v>
      </c>
      <c r="D835" s="167">
        <v>8103</v>
      </c>
      <c r="E835" s="160" t="s">
        <v>1326</v>
      </c>
      <c r="F835" s="158">
        <v>43553</v>
      </c>
      <c r="G835" s="162">
        <v>2.9</v>
      </c>
      <c r="H835" s="161">
        <v>2674</v>
      </c>
      <c r="I835" s="166">
        <v>1442262</v>
      </c>
      <c r="J835" s="163">
        <v>20355</v>
      </c>
      <c r="K835" s="158">
        <v>43560</v>
      </c>
      <c r="L835" s="160" t="s">
        <v>1335</v>
      </c>
      <c r="M835" s="160">
        <v>4615465085</v>
      </c>
      <c r="N835" s="158">
        <v>43579</v>
      </c>
      <c r="O835" s="164">
        <v>3.9624000000000001</v>
      </c>
      <c r="P835" s="165">
        <v>20183</v>
      </c>
      <c r="Q835" s="34">
        <f>SUMIF(Allocation[Delivery ID],Allocation[[#This Row],[Delivery ID]],Allocation[Quantity Processed])</f>
        <v>30020</v>
      </c>
      <c r="R835" s="61">
        <f>Allocation[[#This Row],[Total volume used]]/VLOOKUP(Allocation[[#This Row],[Delivery ID]],Delivery[[Delivery ID]:[Quantity delivered]],3,FALSE)</f>
        <v>1</v>
      </c>
      <c r="S835" s="34">
        <f>Allocation[[#This Row],[Quantity Processed]]/Allocation[[#This Row],[Dilution rate]]</f>
        <v>2794.1379310344828</v>
      </c>
      <c r="T835" s="59">
        <f>SUMIF(Allocation[Delivery ID],Allocation[[#This Row],[Delivery ID]],Allocation[Quantity allocated])/SUMIF(Allocation[Delivery ID],Allocation[[#This Row],[Delivery ID]],Allocation[Volume available (kg)])</f>
        <v>0.95703864090606261</v>
      </c>
      <c r="U835" s="61">
        <f>Allocation[[#This Row],[Total volume used]]/VLOOKUP(Allocation[[#This Row],[Delivery ID]],Delivery[[Delivery ID]:[Quantity delivered]],3,FALSE)</f>
        <v>1</v>
      </c>
      <c r="V835" s="34" t="e">
        <f>VLOOKUP(Allocation[[#This Row],[SAP Contract number]],Shipments[[SAP Contract number]:[Contracted container weight]],2,FALSE)</f>
        <v>#N/A</v>
      </c>
      <c r="W835" s="34" t="e">
        <f>VLOOKUP(Allocation[[#This Row],[SAP Contract number]],Shipments[[SAP Contract number]:[AAA Premium USD]],24,FALSE)</f>
        <v>#N/A</v>
      </c>
      <c r="X835" s="34" t="e">
        <f>VLOOKUP(Allocation[[#This Row],[SAP Contract number]],Shipments[[SAP Contract number]:[RA Premium USD]],25,FALSE)</f>
        <v>#N/A</v>
      </c>
      <c r="Y835" s="38">
        <f>Allocation[[#This Row],[Quantity Processed]]/Allocation[[#This Row],[Quantity allocated]]</f>
        <v>3.0302916978309646</v>
      </c>
      <c r="Z835" s="34" t="b">
        <f>Allocation[[#This Row],[Quantity allocated]]&lt;=Allocation[[#This Row],[Quantity Processed]]</f>
        <v>1</v>
      </c>
    </row>
    <row r="836" spans="1:26">
      <c r="A836" s="247" t="s">
        <v>467</v>
      </c>
      <c r="B836" s="160" t="s">
        <v>68</v>
      </c>
      <c r="C836" s="252" t="s">
        <v>1304</v>
      </c>
      <c r="D836" s="167">
        <v>30020</v>
      </c>
      <c r="E836" s="160" t="s">
        <v>1326</v>
      </c>
      <c r="F836" s="158">
        <v>43553</v>
      </c>
      <c r="G836" s="162">
        <v>2.9</v>
      </c>
      <c r="H836" s="161">
        <v>9907</v>
      </c>
      <c r="I836" s="166">
        <v>1442262</v>
      </c>
      <c r="J836" s="163">
        <v>20355</v>
      </c>
      <c r="K836" s="158">
        <v>43560</v>
      </c>
      <c r="L836" s="160" t="s">
        <v>1335</v>
      </c>
      <c r="M836" s="160">
        <v>4615465085</v>
      </c>
      <c r="N836" s="158">
        <v>43579</v>
      </c>
      <c r="O836" s="164">
        <v>3.9624000000000001</v>
      </c>
      <c r="P836" s="165">
        <v>20183</v>
      </c>
      <c r="Q836" s="34">
        <f>SUMIF(Allocation[Delivery ID],Allocation[[#This Row],[Delivery ID]],Allocation[Quantity Processed])</f>
        <v>30020</v>
      </c>
      <c r="R836" s="61">
        <f>Allocation[[#This Row],[Total volume used]]/VLOOKUP(Allocation[[#This Row],[Delivery ID]],Delivery[[Delivery ID]:[Quantity delivered]],3,FALSE)</f>
        <v>1</v>
      </c>
      <c r="S836" s="34">
        <f>Allocation[[#This Row],[Quantity Processed]]/Allocation[[#This Row],[Dilution rate]]</f>
        <v>10351.724137931034</v>
      </c>
      <c r="T836" s="59">
        <f>SUMIF(Allocation[Delivery ID],Allocation[[#This Row],[Delivery ID]],Allocation[Quantity allocated])/SUMIF(Allocation[Delivery ID],Allocation[[#This Row],[Delivery ID]],Allocation[Volume available (kg)])</f>
        <v>0.95703864090606261</v>
      </c>
      <c r="U836" s="61">
        <f>Allocation[[#This Row],[Total volume used]]/VLOOKUP(Allocation[[#This Row],[Delivery ID]],Delivery[[Delivery ID]:[Quantity delivered]],3,FALSE)</f>
        <v>1</v>
      </c>
      <c r="V836" s="34" t="e">
        <f>VLOOKUP(Allocation[[#This Row],[SAP Contract number]],Shipments[[SAP Contract number]:[Contracted container weight]],2,FALSE)</f>
        <v>#N/A</v>
      </c>
      <c r="W836" s="34" t="e">
        <f>VLOOKUP(Allocation[[#This Row],[SAP Contract number]],Shipments[[SAP Contract number]:[AAA Premium USD]],24,FALSE)</f>
        <v>#N/A</v>
      </c>
      <c r="X836" s="34" t="e">
        <f>VLOOKUP(Allocation[[#This Row],[SAP Contract number]],Shipments[[SAP Contract number]:[RA Premium USD]],25,FALSE)</f>
        <v>#N/A</v>
      </c>
      <c r="Y836" s="38">
        <f>Allocation[[#This Row],[Quantity Processed]]/Allocation[[#This Row],[Quantity allocated]]</f>
        <v>3.0301806803270415</v>
      </c>
      <c r="Z836" s="34" t="b">
        <f>Allocation[[#This Row],[Quantity allocated]]&lt;=Allocation[[#This Row],[Quantity Processed]]</f>
        <v>1</v>
      </c>
    </row>
    <row r="837" spans="1:26">
      <c r="A837" s="247" t="s">
        <v>467</v>
      </c>
      <c r="B837" s="160" t="s">
        <v>68</v>
      </c>
      <c r="C837" s="252" t="s">
        <v>1305</v>
      </c>
      <c r="D837" s="161">
        <v>23204</v>
      </c>
      <c r="E837" s="160" t="s">
        <v>1326</v>
      </c>
      <c r="F837" s="158">
        <v>43553</v>
      </c>
      <c r="G837" s="162">
        <v>2.9</v>
      </c>
      <c r="H837" s="161">
        <v>7774</v>
      </c>
      <c r="I837" s="166">
        <v>1442262</v>
      </c>
      <c r="J837" s="163">
        <v>20355</v>
      </c>
      <c r="K837" s="158">
        <v>43560</v>
      </c>
      <c r="L837" s="160" t="s">
        <v>1335</v>
      </c>
      <c r="M837" s="160">
        <v>4615465085</v>
      </c>
      <c r="N837" s="158">
        <v>43579</v>
      </c>
      <c r="O837" s="164">
        <v>3.9624000000000001</v>
      </c>
      <c r="P837" s="165">
        <v>20183</v>
      </c>
      <c r="Q837" s="34">
        <f>SUMIF(Allocation[Delivery ID],Allocation[[#This Row],[Delivery ID]],Allocation[Quantity Processed])</f>
        <v>29550</v>
      </c>
      <c r="R837" s="61">
        <f>Allocation[[#This Row],[Total volume used]]/VLOOKUP(Allocation[[#This Row],[Delivery ID]],Delivery[[Delivery ID]:[Quantity delivered]],3,FALSE)</f>
        <v>1</v>
      </c>
      <c r="S837" s="34">
        <f>Allocation[[#This Row],[Quantity Processed]]/Allocation[[#This Row],[Dilution rate]]</f>
        <v>8001.3793103448279</v>
      </c>
      <c r="T837" s="59">
        <f>SUMIF(Allocation[Delivery ID],Allocation[[#This Row],[Delivery ID]],Allocation[Quantity allocated])/SUMIF(Allocation[Delivery ID],Allocation[[#This Row],[Delivery ID]],Allocation[Volume available (kg)])</f>
        <v>0.97157360406091364</v>
      </c>
      <c r="U837" s="61">
        <f>Allocation[[#This Row],[Total volume used]]/VLOOKUP(Allocation[[#This Row],[Delivery ID]],Delivery[[Delivery ID]:[Quantity delivered]],3,FALSE)</f>
        <v>1</v>
      </c>
      <c r="V837" s="34" t="e">
        <f>VLOOKUP(Allocation[[#This Row],[SAP Contract number]],Shipments[[SAP Contract number]:[Contracted container weight]],2,FALSE)</f>
        <v>#N/A</v>
      </c>
      <c r="W837" s="34" t="e">
        <f>VLOOKUP(Allocation[[#This Row],[SAP Contract number]],Shipments[[SAP Contract number]:[AAA Premium USD]],24,FALSE)</f>
        <v>#N/A</v>
      </c>
      <c r="X837" s="34" t="e">
        <f>VLOOKUP(Allocation[[#This Row],[SAP Contract number]],Shipments[[SAP Contract number]:[RA Premium USD]],25,FALSE)</f>
        <v>#N/A</v>
      </c>
      <c r="Y837" s="38">
        <f>Allocation[[#This Row],[Quantity Processed]]/Allocation[[#This Row],[Quantity allocated]]</f>
        <v>2.9848211988680218</v>
      </c>
      <c r="Z837" s="34" t="b">
        <f>Allocation[[#This Row],[Quantity allocated]]&lt;=Allocation[[#This Row],[Quantity Processed]]</f>
        <v>1</v>
      </c>
    </row>
    <row r="838" spans="1:26">
      <c r="A838" s="247" t="s">
        <v>467</v>
      </c>
      <c r="B838" s="160" t="s">
        <v>68</v>
      </c>
      <c r="C838" s="252" t="s">
        <v>1305</v>
      </c>
      <c r="D838" s="161">
        <v>6346</v>
      </c>
      <c r="E838" s="160" t="s">
        <v>1326</v>
      </c>
      <c r="F838" s="158">
        <v>43553</v>
      </c>
      <c r="G838" s="162">
        <v>2.9</v>
      </c>
      <c r="H838" s="161">
        <v>2126</v>
      </c>
      <c r="I838" s="166">
        <v>1442263</v>
      </c>
      <c r="J838" s="163">
        <v>20355</v>
      </c>
      <c r="K838" s="158">
        <v>43560</v>
      </c>
      <c r="L838" s="160" t="s">
        <v>1336</v>
      </c>
      <c r="M838" s="160">
        <v>4615465085</v>
      </c>
      <c r="N838" s="158">
        <v>43579</v>
      </c>
      <c r="O838" s="164">
        <v>3.9624000000000001</v>
      </c>
      <c r="P838" s="165">
        <v>20183</v>
      </c>
      <c r="Q838" s="34">
        <f>SUMIF(Allocation[Delivery ID],Allocation[[#This Row],[Delivery ID]],Allocation[Quantity Processed])</f>
        <v>29550</v>
      </c>
      <c r="R838" s="61">
        <f>Allocation[[#This Row],[Total volume used]]/VLOOKUP(Allocation[[#This Row],[Delivery ID]],Delivery[[Delivery ID]:[Quantity delivered]],3,FALSE)</f>
        <v>1</v>
      </c>
      <c r="S838" s="34">
        <f>Allocation[[#This Row],[Quantity Processed]]/Allocation[[#This Row],[Dilution rate]]</f>
        <v>2188.2758620689656</v>
      </c>
      <c r="T838" s="59">
        <f>SUMIF(Allocation[Delivery ID],Allocation[[#This Row],[Delivery ID]],Allocation[Quantity allocated])/SUMIF(Allocation[Delivery ID],Allocation[[#This Row],[Delivery ID]],Allocation[Volume available (kg)])</f>
        <v>0.97157360406091364</v>
      </c>
      <c r="U838" s="61">
        <f>Allocation[[#This Row],[Total volume used]]/VLOOKUP(Allocation[[#This Row],[Delivery ID]],Delivery[[Delivery ID]:[Quantity delivered]],3,FALSE)</f>
        <v>1</v>
      </c>
      <c r="V838" s="34" t="e">
        <f>VLOOKUP(Allocation[[#This Row],[SAP Contract number]],Shipments[[SAP Contract number]:[Contracted container weight]],2,FALSE)</f>
        <v>#N/A</v>
      </c>
      <c r="W838" s="34" t="e">
        <f>VLOOKUP(Allocation[[#This Row],[SAP Contract number]],Shipments[[SAP Contract number]:[AAA Premium USD]],24,FALSE)</f>
        <v>#N/A</v>
      </c>
      <c r="X838" s="34" t="e">
        <f>VLOOKUP(Allocation[[#This Row],[SAP Contract number]],Shipments[[SAP Contract number]:[RA Premium USD]],25,FALSE)</f>
        <v>#N/A</v>
      </c>
      <c r="Y838" s="38">
        <f>Allocation[[#This Row],[Quantity Processed]]/Allocation[[#This Row],[Quantity allocated]]</f>
        <v>2.984948259642521</v>
      </c>
      <c r="Z838" s="34" t="b">
        <f>Allocation[[#This Row],[Quantity allocated]]&lt;=Allocation[[#This Row],[Quantity Processed]]</f>
        <v>1</v>
      </c>
    </row>
    <row r="839" spans="1:26">
      <c r="A839" s="247" t="s">
        <v>467</v>
      </c>
      <c r="B839" s="160" t="s">
        <v>68</v>
      </c>
      <c r="C839" s="252" t="s">
        <v>1306</v>
      </c>
      <c r="D839" s="161">
        <v>30030</v>
      </c>
      <c r="E839" s="160" t="s">
        <v>1326</v>
      </c>
      <c r="F839" s="158">
        <v>43553</v>
      </c>
      <c r="G839" s="162">
        <v>2.9</v>
      </c>
      <c r="H839" s="161">
        <v>9910</v>
      </c>
      <c r="I839" s="166">
        <v>1442263</v>
      </c>
      <c r="J839" s="163">
        <v>20355</v>
      </c>
      <c r="K839" s="158">
        <v>43560</v>
      </c>
      <c r="L839" s="160" t="s">
        <v>1336</v>
      </c>
      <c r="M839" s="160">
        <v>4615465085</v>
      </c>
      <c r="N839" s="158">
        <v>43579</v>
      </c>
      <c r="O839" s="164">
        <v>3.9624000000000001</v>
      </c>
      <c r="P839" s="165">
        <v>20183</v>
      </c>
      <c r="Q839" s="34">
        <f>SUMIF(Allocation[Delivery ID],Allocation[[#This Row],[Delivery ID]],Allocation[Quantity Processed])</f>
        <v>30030</v>
      </c>
      <c r="R839" s="61">
        <f>Allocation[[#This Row],[Total volume used]]/VLOOKUP(Allocation[[#This Row],[Delivery ID]],Delivery[[Delivery ID]:[Quantity delivered]],3,FALSE)</f>
        <v>1</v>
      </c>
      <c r="S839" s="34">
        <f>Allocation[[#This Row],[Quantity Processed]]/Allocation[[#This Row],[Dilution rate]]</f>
        <v>10355.172413793103</v>
      </c>
      <c r="T839" s="59">
        <f>SUMIF(Allocation[Delivery ID],Allocation[[#This Row],[Delivery ID]],Allocation[Quantity allocated])/SUMIF(Allocation[Delivery ID],Allocation[[#This Row],[Delivery ID]],Allocation[Volume available (kg)])</f>
        <v>0.95700965700965701</v>
      </c>
      <c r="U839" s="61">
        <f>Allocation[[#This Row],[Total volume used]]/VLOOKUP(Allocation[[#This Row],[Delivery ID]],Delivery[[Delivery ID]:[Quantity delivered]],3,FALSE)</f>
        <v>1</v>
      </c>
      <c r="V839" s="34" t="e">
        <f>VLOOKUP(Allocation[[#This Row],[SAP Contract number]],Shipments[[SAP Contract number]:[Contracted container weight]],2,FALSE)</f>
        <v>#N/A</v>
      </c>
      <c r="W839" s="34" t="e">
        <f>VLOOKUP(Allocation[[#This Row],[SAP Contract number]],Shipments[[SAP Contract number]:[AAA Premium USD]],24,FALSE)</f>
        <v>#N/A</v>
      </c>
      <c r="X839" s="34" t="e">
        <f>VLOOKUP(Allocation[[#This Row],[SAP Contract number]],Shipments[[SAP Contract number]:[RA Premium USD]],25,FALSE)</f>
        <v>#N/A</v>
      </c>
      <c r="Y839" s="38">
        <f>Allocation[[#This Row],[Quantity Processed]]/Allocation[[#This Row],[Quantity allocated]]</f>
        <v>3.0302724520686177</v>
      </c>
      <c r="Z839" s="34" t="b">
        <f>Allocation[[#This Row],[Quantity allocated]]&lt;=Allocation[[#This Row],[Quantity Processed]]</f>
        <v>1</v>
      </c>
    </row>
    <row r="840" spans="1:26">
      <c r="A840" s="247" t="s">
        <v>467</v>
      </c>
      <c r="B840" s="160" t="s">
        <v>68</v>
      </c>
      <c r="C840" s="252" t="s">
        <v>1307</v>
      </c>
      <c r="D840" s="161">
        <v>25184</v>
      </c>
      <c r="E840" s="160" t="s">
        <v>1326</v>
      </c>
      <c r="F840" s="158">
        <v>43553</v>
      </c>
      <c r="G840" s="162">
        <v>2.9</v>
      </c>
      <c r="H840" s="161">
        <v>8319</v>
      </c>
      <c r="I840" s="166">
        <v>1442263</v>
      </c>
      <c r="J840" s="163">
        <v>20355</v>
      </c>
      <c r="K840" s="158">
        <v>43560</v>
      </c>
      <c r="L840" s="160" t="s">
        <v>1336</v>
      </c>
      <c r="M840" s="160">
        <v>4615465085</v>
      </c>
      <c r="N840" s="158">
        <v>43579</v>
      </c>
      <c r="O840" s="164">
        <v>3.9624000000000001</v>
      </c>
      <c r="P840" s="165">
        <v>20183</v>
      </c>
      <c r="Q840" s="34">
        <f>SUMIF(Allocation[Delivery ID],Allocation[[#This Row],[Delivery ID]],Allocation[Quantity Processed])</f>
        <v>30000</v>
      </c>
      <c r="R840" s="61">
        <f>Allocation[[#This Row],[Total volume used]]/VLOOKUP(Allocation[[#This Row],[Delivery ID]],Delivery[[Delivery ID]:[Quantity delivered]],3,FALSE)</f>
        <v>1</v>
      </c>
      <c r="S840" s="34">
        <f>Allocation[[#This Row],[Quantity Processed]]/Allocation[[#This Row],[Dilution rate]]</f>
        <v>8684.1379310344837</v>
      </c>
      <c r="T840" s="59">
        <f>SUMIF(Allocation[Delivery ID],Allocation[[#This Row],[Delivery ID]],Allocation[Quantity allocated])/SUMIF(Allocation[Delivery ID],Allocation[[#This Row],[Delivery ID]],Allocation[Volume available (kg)])</f>
        <v>0.95796666666666652</v>
      </c>
      <c r="U840" s="61">
        <f>Allocation[[#This Row],[Total volume used]]/VLOOKUP(Allocation[[#This Row],[Delivery ID]],Delivery[[Delivery ID]:[Quantity delivered]],3,FALSE)</f>
        <v>1</v>
      </c>
      <c r="V840" s="34" t="e">
        <f>VLOOKUP(Allocation[[#This Row],[SAP Contract number]],Shipments[[SAP Contract number]:[Contracted container weight]],2,FALSE)</f>
        <v>#N/A</v>
      </c>
      <c r="W840" s="34" t="e">
        <f>VLOOKUP(Allocation[[#This Row],[SAP Contract number]],Shipments[[SAP Contract number]:[AAA Premium USD]],24,FALSE)</f>
        <v>#N/A</v>
      </c>
      <c r="X840" s="34" t="e">
        <f>VLOOKUP(Allocation[[#This Row],[SAP Contract number]],Shipments[[SAP Contract number]:[RA Premium USD]],25,FALSE)</f>
        <v>#N/A</v>
      </c>
      <c r="Y840" s="38">
        <f>Allocation[[#This Row],[Quantity Processed]]/Allocation[[#This Row],[Quantity allocated]]</f>
        <v>3.027286933525664</v>
      </c>
      <c r="Z840" s="34" t="b">
        <f>Allocation[[#This Row],[Quantity allocated]]&lt;=Allocation[[#This Row],[Quantity Processed]]</f>
        <v>1</v>
      </c>
    </row>
    <row r="841" spans="1:26">
      <c r="A841" s="247" t="s">
        <v>467</v>
      </c>
      <c r="B841" s="160" t="s">
        <v>68</v>
      </c>
      <c r="C841" s="252" t="s">
        <v>1307</v>
      </c>
      <c r="D841" s="161">
        <v>4816</v>
      </c>
      <c r="E841" s="160" t="s">
        <v>1326</v>
      </c>
      <c r="F841" s="158">
        <v>43553</v>
      </c>
      <c r="G841" s="162">
        <v>2.9</v>
      </c>
      <c r="H841" s="161">
        <v>1591</v>
      </c>
      <c r="I841" s="166">
        <v>1442264</v>
      </c>
      <c r="J841" s="163">
        <v>20355</v>
      </c>
      <c r="K841" s="158">
        <v>43560</v>
      </c>
      <c r="L841" s="160" t="s">
        <v>1337</v>
      </c>
      <c r="M841" s="160">
        <v>4615465085</v>
      </c>
      <c r="N841" s="158">
        <v>43579</v>
      </c>
      <c r="O841" s="164">
        <v>3.9624000000000001</v>
      </c>
      <c r="P841" s="165">
        <v>20183</v>
      </c>
      <c r="Q841" s="34">
        <f>SUMIF(Allocation[Delivery ID],Allocation[[#This Row],[Delivery ID]],Allocation[Quantity Processed])</f>
        <v>30000</v>
      </c>
      <c r="R841" s="61">
        <f>Allocation[[#This Row],[Total volume used]]/VLOOKUP(Allocation[[#This Row],[Delivery ID]],Delivery[[Delivery ID]:[Quantity delivered]],3,FALSE)</f>
        <v>1</v>
      </c>
      <c r="S841" s="34">
        <f>Allocation[[#This Row],[Quantity Processed]]/Allocation[[#This Row],[Dilution rate]]</f>
        <v>1660.6896551724139</v>
      </c>
      <c r="T841" s="59">
        <f>SUMIF(Allocation[Delivery ID],Allocation[[#This Row],[Delivery ID]],Allocation[Quantity allocated])/SUMIF(Allocation[Delivery ID],Allocation[[#This Row],[Delivery ID]],Allocation[Volume available (kg)])</f>
        <v>0.95796666666666652</v>
      </c>
      <c r="U841" s="61">
        <f>Allocation[[#This Row],[Total volume used]]/VLOOKUP(Allocation[[#This Row],[Delivery ID]],Delivery[[Delivery ID]:[Quantity delivered]],3,FALSE)</f>
        <v>1</v>
      </c>
      <c r="V841" s="34" t="e">
        <f>VLOOKUP(Allocation[[#This Row],[SAP Contract number]],Shipments[[SAP Contract number]:[Contracted container weight]],2,FALSE)</f>
        <v>#N/A</v>
      </c>
      <c r="W841" s="34" t="e">
        <f>VLOOKUP(Allocation[[#This Row],[SAP Contract number]],Shipments[[SAP Contract number]:[AAA Premium USD]],24,FALSE)</f>
        <v>#N/A</v>
      </c>
      <c r="X841" s="34" t="e">
        <f>VLOOKUP(Allocation[[#This Row],[SAP Contract number]],Shipments[[SAP Contract number]:[RA Premium USD]],25,FALSE)</f>
        <v>#N/A</v>
      </c>
      <c r="Y841" s="38">
        <f>Allocation[[#This Row],[Quantity Processed]]/Allocation[[#This Row],[Quantity allocated]]</f>
        <v>3.0270270270270272</v>
      </c>
      <c r="Z841" s="34" t="b">
        <f>Allocation[[#This Row],[Quantity allocated]]&lt;=Allocation[[#This Row],[Quantity Processed]]</f>
        <v>1</v>
      </c>
    </row>
    <row r="842" spans="1:26">
      <c r="A842" s="247" t="s">
        <v>467</v>
      </c>
      <c r="B842" s="160" t="s">
        <v>68</v>
      </c>
      <c r="C842" s="252" t="s">
        <v>1308</v>
      </c>
      <c r="D842" s="161">
        <v>14995</v>
      </c>
      <c r="E842" s="160" t="s">
        <v>1326</v>
      </c>
      <c r="F842" s="158">
        <v>43553</v>
      </c>
      <c r="G842" s="162">
        <v>2.9</v>
      </c>
      <c r="H842" s="161">
        <v>5000</v>
      </c>
      <c r="I842" s="166">
        <v>1442264</v>
      </c>
      <c r="J842" s="163">
        <v>20355</v>
      </c>
      <c r="K842" s="158">
        <v>43560</v>
      </c>
      <c r="L842" s="160" t="s">
        <v>1337</v>
      </c>
      <c r="M842" s="160">
        <v>4615465085</v>
      </c>
      <c r="N842" s="158">
        <v>43579</v>
      </c>
      <c r="O842" s="164">
        <v>3.9624000000000001</v>
      </c>
      <c r="P842" s="165">
        <v>20183</v>
      </c>
      <c r="Q842" s="34">
        <f>SUMIF(Allocation[Delivery ID],Allocation[[#This Row],[Delivery ID]],Allocation[Quantity Processed])</f>
        <v>14995</v>
      </c>
      <c r="R842" s="61">
        <f>Allocation[[#This Row],[Total volume used]]/VLOOKUP(Allocation[[#This Row],[Delivery ID]],Delivery[[Delivery ID]:[Quantity delivered]],3,FALSE)</f>
        <v>1</v>
      </c>
      <c r="S842" s="34">
        <f>Allocation[[#This Row],[Quantity Processed]]/Allocation[[#This Row],[Dilution rate]]</f>
        <v>5170.6896551724139</v>
      </c>
      <c r="T842" s="59">
        <f>SUMIF(Allocation[Delivery ID],Allocation[[#This Row],[Delivery ID]],Allocation[Quantity allocated])/SUMIF(Allocation[Delivery ID],Allocation[[#This Row],[Delivery ID]],Allocation[Volume available (kg)])</f>
        <v>0.96698899633211066</v>
      </c>
      <c r="U842" s="61">
        <f>Allocation[[#This Row],[Total volume used]]/VLOOKUP(Allocation[[#This Row],[Delivery ID]],Delivery[[Delivery ID]:[Quantity delivered]],3,FALSE)</f>
        <v>1</v>
      </c>
      <c r="V842" s="34" t="e">
        <f>VLOOKUP(Allocation[[#This Row],[SAP Contract number]],Shipments[[SAP Contract number]:[Contracted container weight]],2,FALSE)</f>
        <v>#N/A</v>
      </c>
      <c r="W842" s="34" t="e">
        <f>VLOOKUP(Allocation[[#This Row],[SAP Contract number]],Shipments[[SAP Contract number]:[AAA Premium USD]],24,FALSE)</f>
        <v>#N/A</v>
      </c>
      <c r="X842" s="34" t="e">
        <f>VLOOKUP(Allocation[[#This Row],[SAP Contract number]],Shipments[[SAP Contract number]:[RA Premium USD]],25,FALSE)</f>
        <v>#N/A</v>
      </c>
      <c r="Y842" s="38">
        <f>Allocation[[#This Row],[Quantity Processed]]/Allocation[[#This Row],[Quantity allocated]]</f>
        <v>2.9990000000000001</v>
      </c>
      <c r="Z842" s="34" t="b">
        <f>Allocation[[#This Row],[Quantity allocated]]&lt;=Allocation[[#This Row],[Quantity Processed]]</f>
        <v>1</v>
      </c>
    </row>
    <row r="843" spans="1:26">
      <c r="A843" s="247" t="s">
        <v>467</v>
      </c>
      <c r="B843" s="160" t="s">
        <v>68</v>
      </c>
      <c r="C843" s="252" t="s">
        <v>1309</v>
      </c>
      <c r="D843" s="161">
        <v>14995</v>
      </c>
      <c r="E843" s="160" t="s">
        <v>1326</v>
      </c>
      <c r="F843" s="158">
        <v>43553</v>
      </c>
      <c r="G843" s="162">
        <v>2.9</v>
      </c>
      <c r="H843" s="161">
        <v>5000</v>
      </c>
      <c r="I843" s="166">
        <v>1442264</v>
      </c>
      <c r="J843" s="163">
        <v>20355</v>
      </c>
      <c r="K843" s="158">
        <v>43560</v>
      </c>
      <c r="L843" s="160" t="s">
        <v>1337</v>
      </c>
      <c r="M843" s="160">
        <v>4615465085</v>
      </c>
      <c r="N843" s="158">
        <v>43579</v>
      </c>
      <c r="O843" s="164">
        <v>3.9624000000000001</v>
      </c>
      <c r="P843" s="165">
        <v>20183</v>
      </c>
      <c r="Q843" s="34">
        <f>SUMIF(Allocation[Delivery ID],Allocation[[#This Row],[Delivery ID]],Allocation[Quantity Processed])</f>
        <v>14995</v>
      </c>
      <c r="R843" s="61">
        <f>Allocation[[#This Row],[Total volume used]]/VLOOKUP(Allocation[[#This Row],[Delivery ID]],Delivery[[Delivery ID]:[Quantity delivered]],3,FALSE)</f>
        <v>1</v>
      </c>
      <c r="S843" s="34">
        <f>Allocation[[#This Row],[Quantity Processed]]/Allocation[[#This Row],[Dilution rate]]</f>
        <v>5170.6896551724139</v>
      </c>
      <c r="T843" s="59">
        <f>SUMIF(Allocation[Delivery ID],Allocation[[#This Row],[Delivery ID]],Allocation[Quantity allocated])/SUMIF(Allocation[Delivery ID],Allocation[[#This Row],[Delivery ID]],Allocation[Volume available (kg)])</f>
        <v>0.96698899633211066</v>
      </c>
      <c r="U843" s="61">
        <f>Allocation[[#This Row],[Total volume used]]/VLOOKUP(Allocation[[#This Row],[Delivery ID]],Delivery[[Delivery ID]:[Quantity delivered]],3,FALSE)</f>
        <v>1</v>
      </c>
      <c r="V843" s="34" t="e">
        <f>VLOOKUP(Allocation[[#This Row],[SAP Contract number]],Shipments[[SAP Contract number]:[Contracted container weight]],2,FALSE)</f>
        <v>#N/A</v>
      </c>
      <c r="W843" s="34" t="e">
        <f>VLOOKUP(Allocation[[#This Row],[SAP Contract number]],Shipments[[SAP Contract number]:[AAA Premium USD]],24,FALSE)</f>
        <v>#N/A</v>
      </c>
      <c r="X843" s="34" t="e">
        <f>VLOOKUP(Allocation[[#This Row],[SAP Contract number]],Shipments[[SAP Contract number]:[RA Premium USD]],25,FALSE)</f>
        <v>#N/A</v>
      </c>
      <c r="Y843" s="38">
        <f>Allocation[[#This Row],[Quantity Processed]]/Allocation[[#This Row],[Quantity allocated]]</f>
        <v>2.9990000000000001</v>
      </c>
      <c r="Z843" s="34" t="b">
        <f>Allocation[[#This Row],[Quantity allocated]]&lt;=Allocation[[#This Row],[Quantity Processed]]</f>
        <v>1</v>
      </c>
    </row>
    <row r="844" spans="1:26">
      <c r="A844" s="247" t="s">
        <v>467</v>
      </c>
      <c r="B844" s="160" t="s">
        <v>68</v>
      </c>
      <c r="C844" s="252" t="s">
        <v>1310</v>
      </c>
      <c r="D844" s="161">
        <v>26135</v>
      </c>
      <c r="E844" s="160" t="s">
        <v>1326</v>
      </c>
      <c r="F844" s="158">
        <v>43553</v>
      </c>
      <c r="G844" s="162">
        <v>2.9</v>
      </c>
      <c r="H844" s="161">
        <v>8764</v>
      </c>
      <c r="I844" s="166">
        <v>1442264</v>
      </c>
      <c r="J844" s="163">
        <v>20355</v>
      </c>
      <c r="K844" s="158">
        <v>43560</v>
      </c>
      <c r="L844" s="160" t="s">
        <v>1337</v>
      </c>
      <c r="M844" s="160">
        <v>4615465085</v>
      </c>
      <c r="N844" s="158">
        <v>43579</v>
      </c>
      <c r="O844" s="164">
        <v>3.9624000000000001</v>
      </c>
      <c r="P844" s="165">
        <v>20183</v>
      </c>
      <c r="Q844" s="34">
        <f>SUMIF(Allocation[Delivery ID],Allocation[[#This Row],[Delivery ID]],Allocation[Quantity Processed])</f>
        <v>29910</v>
      </c>
      <c r="R844" s="61">
        <f>Allocation[[#This Row],[Total volume used]]/VLOOKUP(Allocation[[#This Row],[Delivery ID]],Delivery[[Delivery ID]:[Quantity delivered]],3,FALSE)</f>
        <v>1</v>
      </c>
      <c r="S844" s="34">
        <f>Allocation[[#This Row],[Quantity Processed]]/Allocation[[#This Row],[Dilution rate]]</f>
        <v>9012.0689655172409</v>
      </c>
      <c r="T844" s="59">
        <f>SUMIF(Allocation[Delivery ID],Allocation[[#This Row],[Delivery ID]],Allocation[Quantity allocated])/SUMIF(Allocation[Delivery ID],Allocation[[#This Row],[Delivery ID]],Allocation[Volume available (kg)])</f>
        <v>0.97248411902373788</v>
      </c>
      <c r="U844" s="61">
        <f>Allocation[[#This Row],[Total volume used]]/VLOOKUP(Allocation[[#This Row],[Delivery ID]],Delivery[[Delivery ID]:[Quantity delivered]],3,FALSE)</f>
        <v>1</v>
      </c>
      <c r="V844" s="34" t="e">
        <f>VLOOKUP(Allocation[[#This Row],[SAP Contract number]],Shipments[[SAP Contract number]:[Contracted container weight]],2,FALSE)</f>
        <v>#N/A</v>
      </c>
      <c r="W844" s="34" t="e">
        <f>VLOOKUP(Allocation[[#This Row],[SAP Contract number]],Shipments[[SAP Contract number]:[AAA Premium USD]],24,FALSE)</f>
        <v>#N/A</v>
      </c>
      <c r="X844" s="34" t="e">
        <f>VLOOKUP(Allocation[[#This Row],[SAP Contract number]],Shipments[[SAP Contract number]:[RA Premium USD]],25,FALSE)</f>
        <v>#N/A</v>
      </c>
      <c r="Y844" s="38">
        <f>Allocation[[#This Row],[Quantity Processed]]/Allocation[[#This Row],[Quantity allocated]]</f>
        <v>2.9820858055682335</v>
      </c>
      <c r="Z844" s="34" t="b">
        <f>Allocation[[#This Row],[Quantity allocated]]&lt;=Allocation[[#This Row],[Quantity Processed]]</f>
        <v>1</v>
      </c>
    </row>
    <row r="845" spans="1:26">
      <c r="A845" s="247" t="s">
        <v>467</v>
      </c>
      <c r="B845" s="160" t="s">
        <v>68</v>
      </c>
      <c r="C845" s="252" t="s">
        <v>1310</v>
      </c>
      <c r="D845" s="161">
        <v>3775</v>
      </c>
      <c r="E845" s="160" t="s">
        <v>1326</v>
      </c>
      <c r="F845" s="158">
        <v>43553</v>
      </c>
      <c r="G845" s="162">
        <v>2.9</v>
      </c>
      <c r="H845" s="161">
        <v>1266</v>
      </c>
      <c r="I845" s="166">
        <v>1442265</v>
      </c>
      <c r="J845" s="163">
        <v>20355</v>
      </c>
      <c r="K845" s="158">
        <v>43560</v>
      </c>
      <c r="L845" s="160" t="s">
        <v>1338</v>
      </c>
      <c r="M845" s="160">
        <v>4615465085</v>
      </c>
      <c r="N845" s="158">
        <v>43579</v>
      </c>
      <c r="O845" s="164">
        <v>3.9624000000000001</v>
      </c>
      <c r="P845" s="165">
        <v>20183</v>
      </c>
      <c r="Q845" s="34">
        <f>SUMIF(Allocation[Delivery ID],Allocation[[#This Row],[Delivery ID]],Allocation[Quantity Processed])</f>
        <v>29910</v>
      </c>
      <c r="R845" s="61">
        <f>Allocation[[#This Row],[Total volume used]]/VLOOKUP(Allocation[[#This Row],[Delivery ID]],Delivery[[Delivery ID]:[Quantity delivered]],3,FALSE)</f>
        <v>1</v>
      </c>
      <c r="S845" s="34">
        <f>Allocation[[#This Row],[Quantity Processed]]/Allocation[[#This Row],[Dilution rate]]</f>
        <v>1301.7241379310344</v>
      </c>
      <c r="T845" s="59">
        <f>SUMIF(Allocation[Delivery ID],Allocation[[#This Row],[Delivery ID]],Allocation[Quantity allocated])/SUMIF(Allocation[Delivery ID],Allocation[[#This Row],[Delivery ID]],Allocation[Volume available (kg)])</f>
        <v>0.97248411902373788</v>
      </c>
      <c r="U845" s="61">
        <f>Allocation[[#This Row],[Total volume used]]/VLOOKUP(Allocation[[#This Row],[Delivery ID]],Delivery[[Delivery ID]:[Quantity delivered]],3,FALSE)</f>
        <v>1</v>
      </c>
      <c r="V845" s="34" t="e">
        <f>VLOOKUP(Allocation[[#This Row],[SAP Contract number]],Shipments[[SAP Contract number]:[Contracted container weight]],2,FALSE)</f>
        <v>#N/A</v>
      </c>
      <c r="W845" s="34" t="e">
        <f>VLOOKUP(Allocation[[#This Row],[SAP Contract number]],Shipments[[SAP Contract number]:[AAA Premium USD]],24,FALSE)</f>
        <v>#N/A</v>
      </c>
      <c r="X845" s="34" t="e">
        <f>VLOOKUP(Allocation[[#This Row],[SAP Contract number]],Shipments[[SAP Contract number]:[RA Premium USD]],25,FALSE)</f>
        <v>#N/A</v>
      </c>
      <c r="Y845" s="38">
        <f>Allocation[[#This Row],[Quantity Processed]]/Allocation[[#This Row],[Quantity allocated]]</f>
        <v>2.9818325434439177</v>
      </c>
      <c r="Z845" s="34" t="b">
        <f>Allocation[[#This Row],[Quantity allocated]]&lt;=Allocation[[#This Row],[Quantity Processed]]</f>
        <v>1</v>
      </c>
    </row>
    <row r="846" spans="1:26">
      <c r="A846" s="247" t="s">
        <v>467</v>
      </c>
      <c r="B846" s="160" t="s">
        <v>68</v>
      </c>
      <c r="C846" s="252" t="s">
        <v>1311</v>
      </c>
      <c r="D846" s="161">
        <v>29950</v>
      </c>
      <c r="E846" s="160" t="s">
        <v>1326</v>
      </c>
      <c r="F846" s="158">
        <v>43553</v>
      </c>
      <c r="G846" s="162">
        <v>2.9</v>
      </c>
      <c r="H846" s="161">
        <v>10050</v>
      </c>
      <c r="I846" s="166">
        <v>1442265</v>
      </c>
      <c r="J846" s="163">
        <v>20355</v>
      </c>
      <c r="K846" s="158">
        <v>43560</v>
      </c>
      <c r="L846" s="160" t="s">
        <v>1338</v>
      </c>
      <c r="M846" s="160">
        <v>4615465085</v>
      </c>
      <c r="N846" s="158">
        <v>43579</v>
      </c>
      <c r="O846" s="164">
        <v>3.9624000000000001</v>
      </c>
      <c r="P846" s="165">
        <v>20183</v>
      </c>
      <c r="Q846" s="34">
        <f>SUMIF(Allocation[Delivery ID],Allocation[[#This Row],[Delivery ID]],Allocation[Quantity Processed])</f>
        <v>29950</v>
      </c>
      <c r="R846" s="61">
        <f>Allocation[[#This Row],[Total volume used]]/VLOOKUP(Allocation[[#This Row],[Delivery ID]],Delivery[[Delivery ID]:[Quantity delivered]],3,FALSE)</f>
        <v>1</v>
      </c>
      <c r="S846" s="34">
        <f>Allocation[[#This Row],[Quantity Processed]]/Allocation[[#This Row],[Dilution rate]]</f>
        <v>10327.586206896553</v>
      </c>
      <c r="T846" s="59">
        <f>SUMIF(Allocation[Delivery ID],Allocation[[#This Row],[Delivery ID]],Allocation[Quantity allocated])/SUMIF(Allocation[Delivery ID],Allocation[[#This Row],[Delivery ID]],Allocation[Volume available (kg)])</f>
        <v>0.97312186978297155</v>
      </c>
      <c r="U846" s="61">
        <f>Allocation[[#This Row],[Total volume used]]/VLOOKUP(Allocation[[#This Row],[Delivery ID]],Delivery[[Delivery ID]:[Quantity delivered]],3,FALSE)</f>
        <v>1</v>
      </c>
      <c r="V846" s="34" t="e">
        <f>VLOOKUP(Allocation[[#This Row],[SAP Contract number]],Shipments[[SAP Contract number]:[Contracted container weight]],2,FALSE)</f>
        <v>#N/A</v>
      </c>
      <c r="W846" s="34" t="e">
        <f>VLOOKUP(Allocation[[#This Row],[SAP Contract number]],Shipments[[SAP Contract number]:[AAA Premium USD]],24,FALSE)</f>
        <v>#N/A</v>
      </c>
      <c r="X846" s="34" t="e">
        <f>VLOOKUP(Allocation[[#This Row],[SAP Contract number]],Shipments[[SAP Contract number]:[RA Premium USD]],25,FALSE)</f>
        <v>#N/A</v>
      </c>
      <c r="Y846" s="38">
        <f>Allocation[[#This Row],[Quantity Processed]]/Allocation[[#This Row],[Quantity allocated]]</f>
        <v>2.9800995024875623</v>
      </c>
      <c r="Z846" s="34" t="b">
        <f>Allocation[[#This Row],[Quantity allocated]]&lt;=Allocation[[#This Row],[Quantity Processed]]</f>
        <v>1</v>
      </c>
    </row>
    <row r="847" spans="1:26">
      <c r="A847" s="247" t="s">
        <v>467</v>
      </c>
      <c r="B847" s="160" t="s">
        <v>68</v>
      </c>
      <c r="C847" s="252" t="s">
        <v>1312</v>
      </c>
      <c r="D847" s="161">
        <v>26955</v>
      </c>
      <c r="E847" s="160" t="s">
        <v>1326</v>
      </c>
      <c r="F847" s="158">
        <v>43553</v>
      </c>
      <c r="G847" s="162">
        <v>2.9</v>
      </c>
      <c r="H847" s="161">
        <v>9039</v>
      </c>
      <c r="I847" s="166">
        <v>1442265</v>
      </c>
      <c r="J847" s="163">
        <v>20355</v>
      </c>
      <c r="K847" s="158">
        <v>43560</v>
      </c>
      <c r="L847" s="160" t="s">
        <v>1338</v>
      </c>
      <c r="M847" s="160">
        <v>4615465085</v>
      </c>
      <c r="N847" s="158">
        <v>43579</v>
      </c>
      <c r="O847" s="164">
        <v>3.9624000000000001</v>
      </c>
      <c r="P847" s="165">
        <v>20183</v>
      </c>
      <c r="Q847" s="34">
        <f>SUMIF(Allocation[Delivery ID],Allocation[[#This Row],[Delivery ID]],Allocation[Quantity Processed])</f>
        <v>29940</v>
      </c>
      <c r="R847" s="61">
        <f>Allocation[[#This Row],[Total volume used]]/VLOOKUP(Allocation[[#This Row],[Delivery ID]],Delivery[[Delivery ID]:[Quantity delivered]],3,FALSE)</f>
        <v>1</v>
      </c>
      <c r="S847" s="34">
        <f>Allocation[[#This Row],[Quantity Processed]]/Allocation[[#This Row],[Dilution rate]]</f>
        <v>9294.8275862068967</v>
      </c>
      <c r="T847" s="59">
        <f>SUMIF(Allocation[Delivery ID],Allocation[[#This Row],[Delivery ID]],Allocation[Quantity allocated])/SUMIF(Allocation[Delivery ID],Allocation[[#This Row],[Delivery ID]],Allocation[Volume available (kg)])</f>
        <v>0.97247828991315954</v>
      </c>
      <c r="U847" s="61">
        <f>Allocation[[#This Row],[Total volume used]]/VLOOKUP(Allocation[[#This Row],[Delivery ID]],Delivery[[Delivery ID]:[Quantity delivered]],3,FALSE)</f>
        <v>1</v>
      </c>
      <c r="V847" s="34" t="e">
        <f>VLOOKUP(Allocation[[#This Row],[SAP Contract number]],Shipments[[SAP Contract number]:[Contracted container weight]],2,FALSE)</f>
        <v>#N/A</v>
      </c>
      <c r="W847" s="34" t="e">
        <f>VLOOKUP(Allocation[[#This Row],[SAP Contract number]],Shipments[[SAP Contract number]:[AAA Premium USD]],24,FALSE)</f>
        <v>#N/A</v>
      </c>
      <c r="X847" s="34" t="e">
        <f>VLOOKUP(Allocation[[#This Row],[SAP Contract number]],Shipments[[SAP Contract number]:[RA Premium USD]],25,FALSE)</f>
        <v>#N/A</v>
      </c>
      <c r="Y847" s="38">
        <f>Allocation[[#This Row],[Quantity Processed]]/Allocation[[#This Row],[Quantity allocated]]</f>
        <v>2.9820776634583472</v>
      </c>
      <c r="Z847" s="34" t="b">
        <f>Allocation[[#This Row],[Quantity allocated]]&lt;=Allocation[[#This Row],[Quantity Processed]]</f>
        <v>1</v>
      </c>
    </row>
    <row r="848" spans="1:26">
      <c r="A848" s="247" t="s">
        <v>467</v>
      </c>
      <c r="B848" s="160" t="s">
        <v>68</v>
      </c>
      <c r="C848" s="252" t="s">
        <v>1312</v>
      </c>
      <c r="D848" s="161">
        <v>2985</v>
      </c>
      <c r="E848" s="160" t="s">
        <v>1326</v>
      </c>
      <c r="F848" s="158">
        <v>43553</v>
      </c>
      <c r="G848" s="162">
        <v>2.9</v>
      </c>
      <c r="H848" s="161">
        <v>1001</v>
      </c>
      <c r="I848" s="166">
        <v>1442266</v>
      </c>
      <c r="J848" s="163">
        <v>20355</v>
      </c>
      <c r="K848" s="158">
        <v>43560</v>
      </c>
      <c r="L848" s="160" t="s">
        <v>1339</v>
      </c>
      <c r="M848" s="160">
        <v>4615465085</v>
      </c>
      <c r="N848" s="158">
        <v>43579</v>
      </c>
      <c r="O848" s="164">
        <v>3.9624000000000001</v>
      </c>
      <c r="P848" s="165">
        <v>20183</v>
      </c>
      <c r="Q848" s="34">
        <f>SUMIF(Allocation[Delivery ID],Allocation[[#This Row],[Delivery ID]],Allocation[Quantity Processed])</f>
        <v>29940</v>
      </c>
      <c r="R848" s="61">
        <f>Allocation[[#This Row],[Total volume used]]/VLOOKUP(Allocation[[#This Row],[Delivery ID]],Delivery[[Delivery ID]:[Quantity delivered]],3,FALSE)</f>
        <v>1</v>
      </c>
      <c r="S848" s="34">
        <f>Allocation[[#This Row],[Quantity Processed]]/Allocation[[#This Row],[Dilution rate]]</f>
        <v>1029.3103448275863</v>
      </c>
      <c r="T848" s="59">
        <f>SUMIF(Allocation[Delivery ID],Allocation[[#This Row],[Delivery ID]],Allocation[Quantity allocated])/SUMIF(Allocation[Delivery ID],Allocation[[#This Row],[Delivery ID]],Allocation[Volume available (kg)])</f>
        <v>0.97247828991315954</v>
      </c>
      <c r="U848" s="61">
        <f>Allocation[[#This Row],[Total volume used]]/VLOOKUP(Allocation[[#This Row],[Delivery ID]],Delivery[[Delivery ID]:[Quantity delivered]],3,FALSE)</f>
        <v>1</v>
      </c>
      <c r="V848" s="34" t="e">
        <f>VLOOKUP(Allocation[[#This Row],[SAP Contract number]],Shipments[[SAP Contract number]:[Contracted container weight]],2,FALSE)</f>
        <v>#N/A</v>
      </c>
      <c r="W848" s="34" t="e">
        <f>VLOOKUP(Allocation[[#This Row],[SAP Contract number]],Shipments[[SAP Contract number]:[AAA Premium USD]],24,FALSE)</f>
        <v>#N/A</v>
      </c>
      <c r="X848" s="34" t="e">
        <f>VLOOKUP(Allocation[[#This Row],[SAP Contract number]],Shipments[[SAP Contract number]:[RA Premium USD]],25,FALSE)</f>
        <v>#N/A</v>
      </c>
      <c r="Y848" s="38">
        <f>Allocation[[#This Row],[Quantity Processed]]/Allocation[[#This Row],[Quantity allocated]]</f>
        <v>2.982017982017982</v>
      </c>
      <c r="Z848" s="34" t="b">
        <f>Allocation[[#This Row],[Quantity allocated]]&lt;=Allocation[[#This Row],[Quantity Processed]]</f>
        <v>1</v>
      </c>
    </row>
    <row r="849" spans="1:26">
      <c r="A849" s="247" t="s">
        <v>467</v>
      </c>
      <c r="B849" s="160" t="s">
        <v>68</v>
      </c>
      <c r="C849" s="252" t="s">
        <v>1313</v>
      </c>
      <c r="D849" s="161">
        <v>9627</v>
      </c>
      <c r="E849" s="160" t="s">
        <v>1326</v>
      </c>
      <c r="F849" s="158">
        <v>43553</v>
      </c>
      <c r="G849" s="162">
        <v>2.9</v>
      </c>
      <c r="H849" s="161">
        <v>3947</v>
      </c>
      <c r="I849" s="166">
        <v>1442266</v>
      </c>
      <c r="J849" s="163">
        <v>20355</v>
      </c>
      <c r="K849" s="158">
        <v>43560</v>
      </c>
      <c r="L849" s="160" t="s">
        <v>1339</v>
      </c>
      <c r="M849" s="160">
        <v>4615465085</v>
      </c>
      <c r="N849" s="158">
        <v>43579</v>
      </c>
      <c r="O849" s="164">
        <v>3.9624000000000001</v>
      </c>
      <c r="P849" s="165">
        <v>20183</v>
      </c>
      <c r="Q849" s="34">
        <f>SUMIF(Allocation[Delivery ID],Allocation[[#This Row],[Delivery ID]],Allocation[Quantity Processed])</f>
        <v>12040</v>
      </c>
      <c r="R849" s="61">
        <f>Allocation[[#This Row],[Total volume used]]/VLOOKUP(Allocation[[#This Row],[Delivery ID]],Delivery[[Delivery ID]:[Quantity delivered]],3,FALSE)</f>
        <v>1</v>
      </c>
      <c r="S849" s="34">
        <f>Allocation[[#This Row],[Quantity Processed]]/Allocation[[#This Row],[Dilution rate]]</f>
        <v>3319.655172413793</v>
      </c>
      <c r="T849" s="59">
        <f>SUMIF(Allocation[Delivery ID],Allocation[[#This Row],[Delivery ID]],Allocation[Quantity allocated])/SUMIF(Allocation[Delivery ID],Allocation[[#This Row],[Delivery ID]],Allocation[Volume available (kg)])</f>
        <v>1.1971420369188404</v>
      </c>
      <c r="U849" s="61">
        <f>Allocation[[#This Row],[Total volume used]]/VLOOKUP(Allocation[[#This Row],[Delivery ID]],Delivery[[Delivery ID]:[Quantity delivered]],3,FALSE)</f>
        <v>1</v>
      </c>
      <c r="V849" s="34" t="e">
        <f>VLOOKUP(Allocation[[#This Row],[SAP Contract number]],Shipments[[SAP Contract number]:[Contracted container weight]],2,FALSE)</f>
        <v>#N/A</v>
      </c>
      <c r="W849" s="34" t="e">
        <f>VLOOKUP(Allocation[[#This Row],[SAP Contract number]],Shipments[[SAP Contract number]:[AAA Premium USD]],24,FALSE)</f>
        <v>#N/A</v>
      </c>
      <c r="X849" s="34" t="e">
        <f>VLOOKUP(Allocation[[#This Row],[SAP Contract number]],Shipments[[SAP Contract number]:[RA Premium USD]],25,FALSE)</f>
        <v>#N/A</v>
      </c>
      <c r="Y849" s="38">
        <f>Allocation[[#This Row],[Quantity Processed]]/Allocation[[#This Row],[Quantity allocated]]</f>
        <v>2.439067646313656</v>
      </c>
      <c r="Z849" s="34" t="b">
        <f>Allocation[[#This Row],[Quantity allocated]]&lt;=Allocation[[#This Row],[Quantity Processed]]</f>
        <v>1</v>
      </c>
    </row>
    <row r="850" spans="1:26">
      <c r="A850" s="247" t="s">
        <v>467</v>
      </c>
      <c r="B850" s="160" t="s">
        <v>68</v>
      </c>
      <c r="C850" s="252" t="s">
        <v>1314</v>
      </c>
      <c r="D850" s="161">
        <v>18971</v>
      </c>
      <c r="E850" s="160" t="s">
        <v>1326</v>
      </c>
      <c r="F850" s="158">
        <v>43553</v>
      </c>
      <c r="G850" s="162">
        <v>2.9</v>
      </c>
      <c r="H850" s="161">
        <v>6450</v>
      </c>
      <c r="I850" s="166">
        <v>1442266</v>
      </c>
      <c r="J850" s="163">
        <v>20355</v>
      </c>
      <c r="K850" s="158">
        <v>43560</v>
      </c>
      <c r="L850" s="160" t="s">
        <v>1339</v>
      </c>
      <c r="M850" s="160">
        <v>4615465085</v>
      </c>
      <c r="N850" s="158">
        <v>43579</v>
      </c>
      <c r="O850" s="164">
        <v>3.9624000000000001</v>
      </c>
      <c r="P850" s="165">
        <v>20183</v>
      </c>
      <c r="Q850" s="34">
        <f>SUMIF(Allocation[Delivery ID],Allocation[[#This Row],[Delivery ID]],Allocation[Quantity Processed])</f>
        <v>30340</v>
      </c>
      <c r="R850" s="61">
        <f>Allocation[[#This Row],[Total volume used]]/VLOOKUP(Allocation[[#This Row],[Delivery ID]],Delivery[[Delivery ID]:[Quantity delivered]],3,FALSE)</f>
        <v>1</v>
      </c>
      <c r="S850" s="34">
        <f>Allocation[[#This Row],[Quantity Processed]]/Allocation[[#This Row],[Dilution rate]]</f>
        <v>6541.7241379310344</v>
      </c>
      <c r="T850" s="59">
        <f>SUMIF(Allocation[Delivery ID],Allocation[[#This Row],[Delivery ID]],Allocation[Quantity allocated])/SUMIF(Allocation[Delivery ID],Allocation[[#This Row],[Delivery ID]],Allocation[Volume available (kg)])</f>
        <v>0.9470285046711745</v>
      </c>
      <c r="U850" s="61">
        <f>Allocation[[#This Row],[Total volume used]]/VLOOKUP(Allocation[[#This Row],[Delivery ID]],Delivery[[Delivery ID]:[Quantity delivered]],3,FALSE)</f>
        <v>1</v>
      </c>
      <c r="V850" s="34" t="e">
        <f>VLOOKUP(Allocation[[#This Row],[SAP Contract number]],Shipments[[SAP Contract number]:[Contracted container weight]],2,FALSE)</f>
        <v>#N/A</v>
      </c>
      <c r="W850" s="34" t="e">
        <f>VLOOKUP(Allocation[[#This Row],[SAP Contract number]],Shipments[[SAP Contract number]:[AAA Premium USD]],24,FALSE)</f>
        <v>#N/A</v>
      </c>
      <c r="X850" s="34" t="e">
        <f>VLOOKUP(Allocation[[#This Row],[SAP Contract number]],Shipments[[SAP Contract number]:[RA Premium USD]],25,FALSE)</f>
        <v>#N/A</v>
      </c>
      <c r="Y850" s="38">
        <f>Allocation[[#This Row],[Quantity Processed]]/Allocation[[#This Row],[Quantity allocated]]</f>
        <v>2.9412403100775193</v>
      </c>
      <c r="Z850" s="34" t="b">
        <f>Allocation[[#This Row],[Quantity allocated]]&lt;=Allocation[[#This Row],[Quantity Processed]]</f>
        <v>1</v>
      </c>
    </row>
    <row r="851" spans="1:26">
      <c r="A851" s="247" t="s">
        <v>467</v>
      </c>
      <c r="B851" s="160" t="s">
        <v>68</v>
      </c>
      <c r="C851" s="252" t="s">
        <v>1315</v>
      </c>
      <c r="D851" s="161">
        <v>18765</v>
      </c>
      <c r="E851" s="160" t="s">
        <v>1326</v>
      </c>
      <c r="F851" s="158">
        <v>43553</v>
      </c>
      <c r="G851" s="162">
        <v>2.9</v>
      </c>
      <c r="H851" s="161">
        <v>6380</v>
      </c>
      <c r="I851" s="166">
        <v>1442266</v>
      </c>
      <c r="J851" s="163">
        <v>20355</v>
      </c>
      <c r="K851" s="158">
        <v>43560</v>
      </c>
      <c r="L851" s="160" t="s">
        <v>1339</v>
      </c>
      <c r="M851" s="160">
        <v>4615465085</v>
      </c>
      <c r="N851" s="158">
        <v>43579</v>
      </c>
      <c r="O851" s="164">
        <v>3.9624000000000001</v>
      </c>
      <c r="P851" s="165">
        <v>20183</v>
      </c>
      <c r="Q851" s="34">
        <f>SUMIF(Allocation[Delivery ID],Allocation[[#This Row],[Delivery ID]],Allocation[Quantity Processed])</f>
        <v>30020</v>
      </c>
      <c r="R851" s="61">
        <f>Allocation[[#This Row],[Total volume used]]/VLOOKUP(Allocation[[#This Row],[Delivery ID]],Delivery[[Delivery ID]:[Quantity delivered]],3,FALSE)</f>
        <v>1</v>
      </c>
      <c r="S851" s="34">
        <f>Allocation[[#This Row],[Quantity Processed]]/Allocation[[#This Row],[Dilution rate]]</f>
        <v>6470.6896551724139</v>
      </c>
      <c r="T851" s="59">
        <f>SUMIF(Allocation[Delivery ID],Allocation[[#This Row],[Delivery ID]],Allocation[Quantity allocated])/SUMIF(Allocation[Delivery ID],Allocation[[#This Row],[Delivery ID]],Allocation[Volume available (kg)])</f>
        <v>0.94671813226451329</v>
      </c>
      <c r="U851" s="61">
        <f>Allocation[[#This Row],[Total volume used]]/VLOOKUP(Allocation[[#This Row],[Delivery ID]],Delivery[[Delivery ID]:[Quantity delivered]],3,FALSE)</f>
        <v>1</v>
      </c>
      <c r="V851" s="34" t="e">
        <f>VLOOKUP(Allocation[[#This Row],[SAP Contract number]],Shipments[[SAP Contract number]:[Contracted container weight]],2,FALSE)</f>
        <v>#N/A</v>
      </c>
      <c r="W851" s="34" t="e">
        <f>VLOOKUP(Allocation[[#This Row],[SAP Contract number]],Shipments[[SAP Contract number]:[AAA Premium USD]],24,FALSE)</f>
        <v>#N/A</v>
      </c>
      <c r="X851" s="34" t="e">
        <f>VLOOKUP(Allocation[[#This Row],[SAP Contract number]],Shipments[[SAP Contract number]:[RA Premium USD]],25,FALSE)</f>
        <v>#N/A</v>
      </c>
      <c r="Y851" s="38">
        <f>Allocation[[#This Row],[Quantity Processed]]/Allocation[[#This Row],[Quantity allocated]]</f>
        <v>2.9412225705329154</v>
      </c>
      <c r="Z851" s="34" t="b">
        <f>Allocation[[#This Row],[Quantity allocated]]&lt;=Allocation[[#This Row],[Quantity Processed]]</f>
        <v>1</v>
      </c>
    </row>
    <row r="852" spans="1:26">
      <c r="A852" s="247" t="s">
        <v>467</v>
      </c>
      <c r="B852" s="160" t="s">
        <v>68</v>
      </c>
      <c r="C852" s="252" t="s">
        <v>1316</v>
      </c>
      <c r="D852" s="161">
        <v>7809</v>
      </c>
      <c r="E852" s="160" t="s">
        <v>1326</v>
      </c>
      <c r="F852" s="158">
        <v>43553</v>
      </c>
      <c r="G852" s="162">
        <v>2.9</v>
      </c>
      <c r="H852" s="161">
        <v>2577</v>
      </c>
      <c r="I852" s="166">
        <v>1442266</v>
      </c>
      <c r="J852" s="163">
        <v>20355</v>
      </c>
      <c r="K852" s="158">
        <v>43560</v>
      </c>
      <c r="L852" s="160" t="s">
        <v>1339</v>
      </c>
      <c r="M852" s="160">
        <v>4615465085</v>
      </c>
      <c r="N852" s="158">
        <v>43579</v>
      </c>
      <c r="O852" s="164">
        <v>3.9624000000000001</v>
      </c>
      <c r="P852" s="165">
        <v>20183</v>
      </c>
      <c r="Q852" s="34">
        <f>SUMIF(Allocation[Delivery ID],Allocation[[#This Row],[Delivery ID]],Allocation[Quantity Processed])</f>
        <v>38000</v>
      </c>
      <c r="R852" s="61">
        <f>Allocation[[#This Row],[Total volume used]]/VLOOKUP(Allocation[[#This Row],[Delivery ID]],Delivery[[Delivery ID]:[Quantity delivered]],3,FALSE)</f>
        <v>1</v>
      </c>
      <c r="S852" s="34">
        <f>Allocation[[#This Row],[Quantity Processed]]/Allocation[[#This Row],[Dilution rate]]</f>
        <v>2692.7586206896553</v>
      </c>
      <c r="T852" s="59">
        <f>SUMIF(Allocation[Delivery ID],Allocation[[#This Row],[Delivery ID]],Allocation[Quantity allocated])/SUMIF(Allocation[Delivery ID],Allocation[[#This Row],[Delivery ID]],Allocation[Volume available (kg)])</f>
        <v>0.95699999999999985</v>
      </c>
      <c r="U852" s="61">
        <f>Allocation[[#This Row],[Total volume used]]/VLOOKUP(Allocation[[#This Row],[Delivery ID]],Delivery[[Delivery ID]:[Quantity delivered]],3,FALSE)</f>
        <v>1</v>
      </c>
      <c r="V852" s="34" t="e">
        <f>VLOOKUP(Allocation[[#This Row],[SAP Contract number]],Shipments[[SAP Contract number]:[Contracted container weight]],2,FALSE)</f>
        <v>#N/A</v>
      </c>
      <c r="W852" s="34" t="e">
        <f>VLOOKUP(Allocation[[#This Row],[SAP Contract number]],Shipments[[SAP Contract number]:[AAA Premium USD]],24,FALSE)</f>
        <v>#N/A</v>
      </c>
      <c r="X852" s="34" t="e">
        <f>VLOOKUP(Allocation[[#This Row],[SAP Contract number]],Shipments[[SAP Contract number]:[RA Premium USD]],25,FALSE)</f>
        <v>#N/A</v>
      </c>
      <c r="Y852" s="38">
        <f>Allocation[[#This Row],[Quantity Processed]]/Allocation[[#This Row],[Quantity allocated]]</f>
        <v>3.0302677532013971</v>
      </c>
      <c r="Z852" s="34" t="b">
        <f>Allocation[[#This Row],[Quantity allocated]]&lt;=Allocation[[#This Row],[Quantity Processed]]</f>
        <v>1</v>
      </c>
    </row>
    <row r="853" spans="1:26">
      <c r="A853" s="247" t="s">
        <v>467</v>
      </c>
      <c r="B853" s="160" t="s">
        <v>68</v>
      </c>
      <c r="C853" s="252" t="s">
        <v>1316</v>
      </c>
      <c r="D853" s="161">
        <v>30191</v>
      </c>
      <c r="E853" s="160" t="s">
        <v>1326</v>
      </c>
      <c r="F853" s="158">
        <v>43553</v>
      </c>
      <c r="G853" s="162">
        <v>2.9</v>
      </c>
      <c r="H853" s="161">
        <v>9963</v>
      </c>
      <c r="I853" s="166">
        <v>1442267</v>
      </c>
      <c r="J853" s="163">
        <v>20355</v>
      </c>
      <c r="K853" s="158">
        <v>43560</v>
      </c>
      <c r="L853" s="160" t="s">
        <v>1340</v>
      </c>
      <c r="M853" s="160">
        <v>4615465085</v>
      </c>
      <c r="N853" s="158">
        <v>43579</v>
      </c>
      <c r="O853" s="164">
        <v>3.9624000000000001</v>
      </c>
      <c r="P853" s="165">
        <v>20183</v>
      </c>
      <c r="Q853" s="34">
        <f>SUMIF(Allocation[Delivery ID],Allocation[[#This Row],[Delivery ID]],Allocation[Quantity Processed])</f>
        <v>38000</v>
      </c>
      <c r="R853" s="61">
        <f>Allocation[[#This Row],[Total volume used]]/VLOOKUP(Allocation[[#This Row],[Delivery ID]],Delivery[[Delivery ID]:[Quantity delivered]],3,FALSE)</f>
        <v>1</v>
      </c>
      <c r="S853" s="34">
        <f>Allocation[[#This Row],[Quantity Processed]]/Allocation[[#This Row],[Dilution rate]]</f>
        <v>10410.689655172415</v>
      </c>
      <c r="T853" s="59">
        <f>SUMIF(Allocation[Delivery ID],Allocation[[#This Row],[Delivery ID]],Allocation[Quantity allocated])/SUMIF(Allocation[Delivery ID],Allocation[[#This Row],[Delivery ID]],Allocation[Volume available (kg)])</f>
        <v>0.95699999999999985</v>
      </c>
      <c r="U853" s="61">
        <f>Allocation[[#This Row],[Total volume used]]/VLOOKUP(Allocation[[#This Row],[Delivery ID]],Delivery[[Delivery ID]:[Quantity delivered]],3,FALSE)</f>
        <v>1</v>
      </c>
      <c r="V853" s="34" t="e">
        <f>VLOOKUP(Allocation[[#This Row],[SAP Contract number]],Shipments[[SAP Contract number]:[Contracted container weight]],2,FALSE)</f>
        <v>#N/A</v>
      </c>
      <c r="W853" s="34" t="e">
        <f>VLOOKUP(Allocation[[#This Row],[SAP Contract number]],Shipments[[SAP Contract number]:[AAA Premium USD]],24,FALSE)</f>
        <v>#N/A</v>
      </c>
      <c r="X853" s="34" t="e">
        <f>VLOOKUP(Allocation[[#This Row],[SAP Contract number]],Shipments[[SAP Contract number]:[RA Premium USD]],25,FALSE)</f>
        <v>#N/A</v>
      </c>
      <c r="Y853" s="38">
        <f>Allocation[[#This Row],[Quantity Processed]]/Allocation[[#This Row],[Quantity allocated]]</f>
        <v>3.0303121549734016</v>
      </c>
      <c r="Z853" s="34" t="b">
        <f>Allocation[[#This Row],[Quantity allocated]]&lt;=Allocation[[#This Row],[Quantity Processed]]</f>
        <v>1</v>
      </c>
    </row>
    <row r="854" spans="1:26">
      <c r="A854" s="247" t="s">
        <v>467</v>
      </c>
      <c r="B854" s="160" t="s">
        <v>68</v>
      </c>
      <c r="C854" s="252" t="s">
        <v>1317</v>
      </c>
      <c r="D854" s="161">
        <v>20784</v>
      </c>
      <c r="E854" s="160" t="s">
        <v>1326</v>
      </c>
      <c r="F854" s="158">
        <v>43553</v>
      </c>
      <c r="G854" s="162">
        <v>2.9</v>
      </c>
      <c r="H854" s="161">
        <v>10392</v>
      </c>
      <c r="I854" s="166">
        <v>1442267</v>
      </c>
      <c r="J854" s="163">
        <v>20355</v>
      </c>
      <c r="K854" s="158">
        <v>43560</v>
      </c>
      <c r="L854" s="160" t="s">
        <v>1340</v>
      </c>
      <c r="M854" s="160">
        <v>4615465085</v>
      </c>
      <c r="N854" s="158">
        <v>43579</v>
      </c>
      <c r="O854" s="164">
        <v>3.9624000000000001</v>
      </c>
      <c r="P854" s="165">
        <v>20183</v>
      </c>
      <c r="Q854" s="34">
        <f>SUMIF(Allocation[Delivery ID],Allocation[[#This Row],[Delivery ID]],Allocation[Quantity Processed])</f>
        <v>22184</v>
      </c>
      <c r="R854" s="61">
        <f>Allocation[[#This Row],[Total volume used]]/VLOOKUP(Allocation[[#This Row],[Delivery ID]],Delivery[[Delivery ID]:[Quantity delivered]],3,FALSE)</f>
        <v>0.66678689510069133</v>
      </c>
      <c r="S854" s="34">
        <f>Allocation[[#This Row],[Quantity Processed]]/Allocation[[#This Row],[Dilution rate]]</f>
        <v>7166.8965517241386</v>
      </c>
      <c r="T854" s="59">
        <f>SUMIF(Allocation[Delivery ID],Allocation[[#This Row],[Delivery ID]],Allocation[Quantity allocated])/SUMIF(Allocation[Delivery ID],Allocation[[#This Row],[Delivery ID]],Allocation[Volume available (kg)])</f>
        <v>1.4508065849808314</v>
      </c>
      <c r="U854" s="61">
        <f>Allocation[[#This Row],[Total volume used]]/VLOOKUP(Allocation[[#This Row],[Delivery ID]],Delivery[[Delivery ID]:[Quantity delivered]],3,FALSE)</f>
        <v>0.66678689510069133</v>
      </c>
      <c r="V854" s="34" t="e">
        <f>VLOOKUP(Allocation[[#This Row],[SAP Contract number]],Shipments[[SAP Contract number]:[Contracted container weight]],2,FALSE)</f>
        <v>#N/A</v>
      </c>
      <c r="W854" s="34" t="e">
        <f>VLOOKUP(Allocation[[#This Row],[SAP Contract number]],Shipments[[SAP Contract number]:[AAA Premium USD]],24,FALSE)</f>
        <v>#N/A</v>
      </c>
      <c r="X854" s="34" t="e">
        <f>VLOOKUP(Allocation[[#This Row],[SAP Contract number]],Shipments[[SAP Contract number]:[RA Premium USD]],25,FALSE)</f>
        <v>#N/A</v>
      </c>
      <c r="Y854" s="38">
        <f>Allocation[[#This Row],[Quantity Processed]]/Allocation[[#This Row],[Quantity allocated]]</f>
        <v>2</v>
      </c>
      <c r="Z854" s="34" t="b">
        <f>Allocation[[#This Row],[Quantity allocated]]&lt;=Allocation[[#This Row],[Quantity Processed]]</f>
        <v>1</v>
      </c>
    </row>
    <row r="855" spans="1:26">
      <c r="A855" s="247" t="s">
        <v>467</v>
      </c>
      <c r="B855" s="160" t="s">
        <v>68</v>
      </c>
      <c r="C855" s="252" t="s">
        <v>1317</v>
      </c>
      <c r="D855" s="161">
        <v>1030</v>
      </c>
      <c r="E855" s="160" t="s">
        <v>1326</v>
      </c>
      <c r="F855" s="158">
        <v>43553</v>
      </c>
      <c r="G855" s="162">
        <v>2.9</v>
      </c>
      <c r="H855" s="161">
        <v>515</v>
      </c>
      <c r="I855" s="166">
        <v>1442268</v>
      </c>
      <c r="J855" s="163">
        <v>20355</v>
      </c>
      <c r="K855" s="158">
        <v>43560</v>
      </c>
      <c r="L855" s="160" t="s">
        <v>1341</v>
      </c>
      <c r="M855" s="160">
        <v>4615465085</v>
      </c>
      <c r="N855" s="158">
        <v>43579</v>
      </c>
      <c r="O855" s="164">
        <v>3.9624000000000001</v>
      </c>
      <c r="P855" s="165">
        <v>20183</v>
      </c>
      <c r="Q855" s="34">
        <f>SUMIF(Allocation[Delivery ID],Allocation[[#This Row],[Delivery ID]],Allocation[Quantity Processed])</f>
        <v>22184</v>
      </c>
      <c r="R855" s="61">
        <f>Allocation[[#This Row],[Total volume used]]/VLOOKUP(Allocation[[#This Row],[Delivery ID]],Delivery[[Delivery ID]:[Quantity delivered]],3,FALSE)</f>
        <v>0.66678689510069133</v>
      </c>
      <c r="S855" s="34">
        <f>Allocation[[#This Row],[Quantity Processed]]/Allocation[[#This Row],[Dilution rate]]</f>
        <v>355.17241379310349</v>
      </c>
      <c r="T855" s="59">
        <f>SUMIF(Allocation[Delivery ID],Allocation[[#This Row],[Delivery ID]],Allocation[Quantity allocated])/SUMIF(Allocation[Delivery ID],Allocation[[#This Row],[Delivery ID]],Allocation[Volume available (kg)])</f>
        <v>1.4508065849808314</v>
      </c>
      <c r="U855" s="61">
        <f>Allocation[[#This Row],[Total volume used]]/VLOOKUP(Allocation[[#This Row],[Delivery ID]],Delivery[[Delivery ID]:[Quantity delivered]],3,FALSE)</f>
        <v>0.66678689510069133</v>
      </c>
      <c r="V855" s="34" t="e">
        <f>VLOOKUP(Allocation[[#This Row],[SAP Contract number]],Shipments[[SAP Contract number]:[Contracted container weight]],2,FALSE)</f>
        <v>#N/A</v>
      </c>
      <c r="W855" s="34" t="e">
        <f>VLOOKUP(Allocation[[#This Row],[SAP Contract number]],Shipments[[SAP Contract number]:[AAA Premium USD]],24,FALSE)</f>
        <v>#N/A</v>
      </c>
      <c r="X855" s="34" t="e">
        <f>VLOOKUP(Allocation[[#This Row],[SAP Contract number]],Shipments[[SAP Contract number]:[RA Premium USD]],25,FALSE)</f>
        <v>#N/A</v>
      </c>
      <c r="Y855" s="38">
        <f>Allocation[[#This Row],[Quantity Processed]]/Allocation[[#This Row],[Quantity allocated]]</f>
        <v>2</v>
      </c>
      <c r="Z855" s="34" t="b">
        <f>Allocation[[#This Row],[Quantity allocated]]&lt;=Allocation[[#This Row],[Quantity Processed]]</f>
        <v>1</v>
      </c>
    </row>
    <row r="856" spans="1:26">
      <c r="A856" s="247" t="s">
        <v>467</v>
      </c>
      <c r="B856" s="160" t="s">
        <v>68</v>
      </c>
      <c r="C856" s="252" t="s">
        <v>1318</v>
      </c>
      <c r="D856" s="161">
        <v>21800</v>
      </c>
      <c r="E856" s="160" t="s">
        <v>1326</v>
      </c>
      <c r="F856" s="158">
        <v>43553</v>
      </c>
      <c r="G856" s="162">
        <v>2.9</v>
      </c>
      <c r="H856" s="161">
        <v>10900</v>
      </c>
      <c r="I856" s="166">
        <v>1442268</v>
      </c>
      <c r="J856" s="163">
        <v>20355</v>
      </c>
      <c r="K856" s="158">
        <v>43560</v>
      </c>
      <c r="L856" s="160" t="s">
        <v>1341</v>
      </c>
      <c r="M856" s="160">
        <v>4615465085</v>
      </c>
      <c r="N856" s="158">
        <v>43579</v>
      </c>
      <c r="O856" s="164">
        <v>3.9624000000000001</v>
      </c>
      <c r="P856" s="165">
        <v>20183</v>
      </c>
      <c r="Q856" s="34">
        <f>SUMIF(Allocation[Delivery ID],Allocation[[#This Row],[Delivery ID]],Allocation[Quantity Processed])</f>
        <v>22170</v>
      </c>
      <c r="R856" s="61">
        <f>Allocation[[#This Row],[Total volume used]]/VLOOKUP(Allocation[[#This Row],[Delivery ID]],Delivery[[Delivery ID]:[Quantity delivered]],3,FALSE)</f>
        <v>0.6669675090252708</v>
      </c>
      <c r="S856" s="34">
        <f>Allocation[[#This Row],[Quantity Processed]]/Allocation[[#This Row],[Dilution rate]]</f>
        <v>7517.2413793103451</v>
      </c>
      <c r="T856" s="59">
        <f>SUMIF(Allocation[Delivery ID],Allocation[[#This Row],[Delivery ID]],Allocation[Quantity allocated])/SUMIF(Allocation[Delivery ID],Allocation[[#This Row],[Delivery ID]],Allocation[Volume available (kg)])</f>
        <v>1.4508070946098417</v>
      </c>
      <c r="U856" s="61">
        <f>Allocation[[#This Row],[Total volume used]]/VLOOKUP(Allocation[[#This Row],[Delivery ID]],Delivery[[Delivery ID]:[Quantity delivered]],3,FALSE)</f>
        <v>0.6669675090252708</v>
      </c>
      <c r="V856" s="34" t="e">
        <f>VLOOKUP(Allocation[[#This Row],[SAP Contract number]],Shipments[[SAP Contract number]:[Contracted container weight]],2,FALSE)</f>
        <v>#N/A</v>
      </c>
      <c r="W856" s="34" t="e">
        <f>VLOOKUP(Allocation[[#This Row],[SAP Contract number]],Shipments[[SAP Contract number]:[AAA Premium USD]],24,FALSE)</f>
        <v>#N/A</v>
      </c>
      <c r="X856" s="34" t="e">
        <f>VLOOKUP(Allocation[[#This Row],[SAP Contract number]],Shipments[[SAP Contract number]:[RA Premium USD]],25,FALSE)</f>
        <v>#N/A</v>
      </c>
      <c r="Y856" s="38">
        <f>Allocation[[#This Row],[Quantity Processed]]/Allocation[[#This Row],[Quantity allocated]]</f>
        <v>2</v>
      </c>
      <c r="Z856" s="34" t="b">
        <f>Allocation[[#This Row],[Quantity allocated]]&lt;=Allocation[[#This Row],[Quantity Processed]]</f>
        <v>1</v>
      </c>
    </row>
    <row r="857" spans="1:26">
      <c r="A857" s="247" t="s">
        <v>467</v>
      </c>
      <c r="B857" s="160" t="s">
        <v>68</v>
      </c>
      <c r="C857" s="252" t="s">
        <v>1319</v>
      </c>
      <c r="D857" s="161">
        <v>17880</v>
      </c>
      <c r="E857" s="160" t="s">
        <v>1326</v>
      </c>
      <c r="F857" s="158">
        <v>43553</v>
      </c>
      <c r="G857" s="162">
        <v>2.9</v>
      </c>
      <c r="H857" s="161">
        <v>8940</v>
      </c>
      <c r="I857" s="166">
        <v>1442268</v>
      </c>
      <c r="J857" s="163">
        <v>20355</v>
      </c>
      <c r="K857" s="158">
        <v>43560</v>
      </c>
      <c r="L857" s="160" t="s">
        <v>1341</v>
      </c>
      <c r="M857" s="160">
        <v>4615465085</v>
      </c>
      <c r="N857" s="158">
        <v>43579</v>
      </c>
      <c r="O857" s="164">
        <v>3.9624000000000001</v>
      </c>
      <c r="P857" s="165">
        <v>20183</v>
      </c>
      <c r="Q857" s="34">
        <f>SUMIF(Allocation[Delivery ID],Allocation[[#This Row],[Delivery ID]],Allocation[Quantity Processed])</f>
        <v>22230</v>
      </c>
      <c r="R857" s="61">
        <f>Allocation[[#This Row],[Total volume used]]/VLOOKUP(Allocation[[#This Row],[Delivery ID]],Delivery[[Delivery ID]:[Quantity delivered]],3,FALSE)</f>
        <v>0.66696669666966701</v>
      </c>
      <c r="S857" s="34">
        <f>Allocation[[#This Row],[Quantity Processed]]/Allocation[[#This Row],[Dilution rate]]</f>
        <v>6165.5172413793107</v>
      </c>
      <c r="T857" s="59">
        <f>SUMIF(Allocation[Delivery ID],Allocation[[#This Row],[Delivery ID]],Allocation[Quantity allocated])/SUMIF(Allocation[Delivery ID],Allocation[[#This Row],[Delivery ID]],Allocation[Volume available (kg)])</f>
        <v>1.4508049150075766</v>
      </c>
      <c r="U857" s="61">
        <f>Allocation[[#This Row],[Total volume used]]/VLOOKUP(Allocation[[#This Row],[Delivery ID]],Delivery[[Delivery ID]:[Quantity delivered]],3,FALSE)</f>
        <v>0.66696669666966701</v>
      </c>
      <c r="V857" s="34" t="e">
        <f>VLOOKUP(Allocation[[#This Row],[SAP Contract number]],Shipments[[SAP Contract number]:[Contracted container weight]],2,FALSE)</f>
        <v>#N/A</v>
      </c>
      <c r="W857" s="34" t="e">
        <f>VLOOKUP(Allocation[[#This Row],[SAP Contract number]],Shipments[[SAP Contract number]:[AAA Premium USD]],24,FALSE)</f>
        <v>#N/A</v>
      </c>
      <c r="X857" s="34" t="e">
        <f>VLOOKUP(Allocation[[#This Row],[SAP Contract number]],Shipments[[SAP Contract number]:[RA Premium USD]],25,FALSE)</f>
        <v>#N/A</v>
      </c>
      <c r="Y857" s="38">
        <f>Allocation[[#This Row],[Quantity Processed]]/Allocation[[#This Row],[Quantity allocated]]</f>
        <v>2</v>
      </c>
      <c r="Z857" s="34" t="b">
        <f>Allocation[[#This Row],[Quantity allocated]]&lt;=Allocation[[#This Row],[Quantity Processed]]</f>
        <v>1</v>
      </c>
    </row>
    <row r="858" spans="1:26">
      <c r="A858" s="247" t="s">
        <v>467</v>
      </c>
      <c r="B858" s="160" t="s">
        <v>68</v>
      </c>
      <c r="C858" s="252" t="s">
        <v>1319</v>
      </c>
      <c r="D858" s="161">
        <v>3980</v>
      </c>
      <c r="E858" s="160" t="s">
        <v>1326</v>
      </c>
      <c r="F858" s="158">
        <v>43553</v>
      </c>
      <c r="G858" s="162">
        <v>2.9</v>
      </c>
      <c r="H858" s="161">
        <v>1990</v>
      </c>
      <c r="I858" s="166">
        <v>1442269</v>
      </c>
      <c r="J858" s="163">
        <v>20355</v>
      </c>
      <c r="K858" s="158">
        <v>43560</v>
      </c>
      <c r="L858" s="160" t="s">
        <v>1342</v>
      </c>
      <c r="M858" s="160">
        <v>4615465085</v>
      </c>
      <c r="N858" s="158">
        <v>43579</v>
      </c>
      <c r="O858" s="164">
        <v>3.9624000000000001</v>
      </c>
      <c r="P858" s="165">
        <v>20183</v>
      </c>
      <c r="Q858" s="34">
        <f>SUMIF(Allocation[Delivery ID],Allocation[[#This Row],[Delivery ID]],Allocation[Quantity Processed])</f>
        <v>22230</v>
      </c>
      <c r="R858" s="61">
        <f>Allocation[[#This Row],[Total volume used]]/VLOOKUP(Allocation[[#This Row],[Delivery ID]],Delivery[[Delivery ID]:[Quantity delivered]],3,FALSE)</f>
        <v>0.66696669666966701</v>
      </c>
      <c r="S858" s="34">
        <f>Allocation[[#This Row],[Quantity Processed]]/Allocation[[#This Row],[Dilution rate]]</f>
        <v>1372.4137931034484</v>
      </c>
      <c r="T858" s="59">
        <f>SUMIF(Allocation[Delivery ID],Allocation[[#This Row],[Delivery ID]],Allocation[Quantity allocated])/SUMIF(Allocation[Delivery ID],Allocation[[#This Row],[Delivery ID]],Allocation[Volume available (kg)])</f>
        <v>1.4508049150075766</v>
      </c>
      <c r="U858" s="61">
        <f>Allocation[[#This Row],[Total volume used]]/VLOOKUP(Allocation[[#This Row],[Delivery ID]],Delivery[[Delivery ID]:[Quantity delivered]],3,FALSE)</f>
        <v>0.66696669666966701</v>
      </c>
      <c r="V858" s="34" t="e">
        <f>VLOOKUP(Allocation[[#This Row],[SAP Contract number]],Shipments[[SAP Contract number]:[Contracted container weight]],2,FALSE)</f>
        <v>#N/A</v>
      </c>
      <c r="W858" s="34" t="e">
        <f>VLOOKUP(Allocation[[#This Row],[SAP Contract number]],Shipments[[SAP Contract number]:[AAA Premium USD]],24,FALSE)</f>
        <v>#N/A</v>
      </c>
      <c r="X858" s="34" t="e">
        <f>VLOOKUP(Allocation[[#This Row],[SAP Contract number]],Shipments[[SAP Contract number]:[RA Premium USD]],25,FALSE)</f>
        <v>#N/A</v>
      </c>
      <c r="Y858" s="38">
        <f>Allocation[[#This Row],[Quantity Processed]]/Allocation[[#This Row],[Quantity allocated]]</f>
        <v>2</v>
      </c>
      <c r="Z858" s="34" t="b">
        <f>Allocation[[#This Row],[Quantity allocated]]&lt;=Allocation[[#This Row],[Quantity Processed]]</f>
        <v>1</v>
      </c>
    </row>
    <row r="859" spans="1:26">
      <c r="A859" s="247" t="s">
        <v>467</v>
      </c>
      <c r="B859" s="160" t="s">
        <v>68</v>
      </c>
      <c r="C859" s="252" t="s">
        <v>1320</v>
      </c>
      <c r="D859" s="161">
        <v>19333</v>
      </c>
      <c r="E859" s="160" t="s">
        <v>1326</v>
      </c>
      <c r="F859" s="158">
        <v>43553</v>
      </c>
      <c r="G859" s="162">
        <v>2.9</v>
      </c>
      <c r="H859" s="161">
        <v>6380</v>
      </c>
      <c r="I859" s="166">
        <v>1442269</v>
      </c>
      <c r="J859" s="163">
        <v>20355</v>
      </c>
      <c r="K859" s="158">
        <v>43560</v>
      </c>
      <c r="L859" s="160" t="s">
        <v>1342</v>
      </c>
      <c r="M859" s="160">
        <v>4615465085</v>
      </c>
      <c r="N859" s="158">
        <v>43579</v>
      </c>
      <c r="O859" s="164">
        <v>3.9624000000000001</v>
      </c>
      <c r="P859" s="165">
        <v>20183</v>
      </c>
      <c r="Q859" s="34">
        <f>SUMIF(Allocation[Delivery ID],Allocation[[#This Row],[Delivery ID]],Allocation[Quantity Processed])</f>
        <v>30000</v>
      </c>
      <c r="R859" s="61">
        <f>Allocation[[#This Row],[Total volume used]]/VLOOKUP(Allocation[[#This Row],[Delivery ID]],Delivery[[Delivery ID]:[Quantity delivered]],3,FALSE)</f>
        <v>1</v>
      </c>
      <c r="S859" s="34">
        <f>Allocation[[#This Row],[Quantity Processed]]/Allocation[[#This Row],[Dilution rate]]</f>
        <v>6666.5517241379312</v>
      </c>
      <c r="T859" s="59">
        <f>SUMIF(Allocation[Delivery ID],Allocation[[#This Row],[Delivery ID]],Allocation[Quantity allocated])/SUMIF(Allocation[Delivery ID],Allocation[[#This Row],[Delivery ID]],Allocation[Volume available (kg)])</f>
        <v>0.92338890756093095</v>
      </c>
      <c r="U859" s="61">
        <f>Allocation[[#This Row],[Total volume used]]/VLOOKUP(Allocation[[#This Row],[Delivery ID]],Delivery[[Delivery ID]:[Quantity delivered]],3,FALSE)</f>
        <v>1</v>
      </c>
      <c r="V859" s="34" t="e">
        <f>VLOOKUP(Allocation[[#This Row],[SAP Contract number]],Shipments[[SAP Contract number]:[Contracted container weight]],2,FALSE)</f>
        <v>#N/A</v>
      </c>
      <c r="W859" s="34" t="e">
        <f>VLOOKUP(Allocation[[#This Row],[SAP Contract number]],Shipments[[SAP Contract number]:[AAA Premium USD]],24,FALSE)</f>
        <v>#N/A</v>
      </c>
      <c r="X859" s="34" t="e">
        <f>VLOOKUP(Allocation[[#This Row],[SAP Contract number]],Shipments[[SAP Contract number]:[RA Premium USD]],25,FALSE)</f>
        <v>#N/A</v>
      </c>
      <c r="Y859" s="38">
        <f>Allocation[[#This Row],[Quantity Processed]]/Allocation[[#This Row],[Quantity allocated]]</f>
        <v>3.0302507836990595</v>
      </c>
      <c r="Z859" s="34" t="b">
        <f>Allocation[[#This Row],[Quantity allocated]]&lt;=Allocation[[#This Row],[Quantity Processed]]</f>
        <v>1</v>
      </c>
    </row>
    <row r="860" spans="1:26">
      <c r="A860" s="247" t="s">
        <v>467</v>
      </c>
      <c r="B860" s="160" t="s">
        <v>68</v>
      </c>
      <c r="C860" s="252" t="s">
        <v>1321</v>
      </c>
      <c r="D860" s="161">
        <v>19333</v>
      </c>
      <c r="E860" s="160" t="s">
        <v>1326</v>
      </c>
      <c r="F860" s="158">
        <v>43553</v>
      </c>
      <c r="G860" s="162">
        <v>2.9</v>
      </c>
      <c r="H860" s="161">
        <v>6380</v>
      </c>
      <c r="I860" s="166">
        <v>1442269</v>
      </c>
      <c r="J860" s="163">
        <v>20355</v>
      </c>
      <c r="K860" s="158">
        <v>43560</v>
      </c>
      <c r="L860" s="160" t="s">
        <v>1342</v>
      </c>
      <c r="M860" s="160">
        <v>4615465085</v>
      </c>
      <c r="N860" s="158">
        <v>43579</v>
      </c>
      <c r="O860" s="164">
        <v>3.9624000000000001</v>
      </c>
      <c r="P860" s="165">
        <v>20183</v>
      </c>
      <c r="Q860" s="34">
        <f>SUMIF(Allocation[Delivery ID],Allocation[[#This Row],[Delivery ID]],Allocation[Quantity Processed])</f>
        <v>30010</v>
      </c>
      <c r="R860" s="61">
        <f>Allocation[[#This Row],[Total volume used]]/VLOOKUP(Allocation[[#This Row],[Delivery ID]],Delivery[[Delivery ID]:[Quantity delivered]],3,FALSE)</f>
        <v>1</v>
      </c>
      <c r="S860" s="34">
        <f>Allocation[[#This Row],[Quantity Processed]]/Allocation[[#This Row],[Dilution rate]]</f>
        <v>6666.5517241379312</v>
      </c>
      <c r="T860" s="59">
        <f>SUMIF(Allocation[Delivery ID],Allocation[[#This Row],[Delivery ID]],Allocation[Quantity allocated])/SUMIF(Allocation[Delivery ID],Allocation[[#This Row],[Delivery ID]],Allocation[Volume available (kg)])</f>
        <v>0.93319400037374489</v>
      </c>
      <c r="U860" s="61">
        <f>Allocation[[#This Row],[Total volume used]]/VLOOKUP(Allocation[[#This Row],[Delivery ID]],Delivery[[Delivery ID]:[Quantity delivered]],3,FALSE)</f>
        <v>1</v>
      </c>
      <c r="V860" s="34" t="e">
        <f>VLOOKUP(Allocation[[#This Row],[SAP Contract number]],Shipments[[SAP Contract number]:[Contracted container weight]],2,FALSE)</f>
        <v>#N/A</v>
      </c>
      <c r="W860" s="34" t="e">
        <f>VLOOKUP(Allocation[[#This Row],[SAP Contract number]],Shipments[[SAP Contract number]:[AAA Premium USD]],24,FALSE)</f>
        <v>#N/A</v>
      </c>
      <c r="X860" s="34" t="e">
        <f>VLOOKUP(Allocation[[#This Row],[SAP Contract number]],Shipments[[SAP Contract number]:[RA Premium USD]],25,FALSE)</f>
        <v>#N/A</v>
      </c>
      <c r="Y860" s="38">
        <f>Allocation[[#This Row],[Quantity Processed]]/Allocation[[#This Row],[Quantity allocated]]</f>
        <v>3.0302507836990595</v>
      </c>
      <c r="Z860" s="34" t="b">
        <f>Allocation[[#This Row],[Quantity allocated]]&lt;=Allocation[[#This Row],[Quantity Processed]]</f>
        <v>1</v>
      </c>
    </row>
    <row r="861" spans="1:26">
      <c r="A861" s="247" t="s">
        <v>467</v>
      </c>
      <c r="B861" s="160" t="s">
        <v>68</v>
      </c>
      <c r="C861" s="252" t="s">
        <v>1167</v>
      </c>
      <c r="D861" s="161">
        <v>5778</v>
      </c>
      <c r="E861" s="160" t="s">
        <v>1326</v>
      </c>
      <c r="F861" s="158">
        <v>43553</v>
      </c>
      <c r="G861" s="162">
        <v>2.9</v>
      </c>
      <c r="H861" s="161">
        <v>5605</v>
      </c>
      <c r="I861" s="166">
        <v>1442269</v>
      </c>
      <c r="J861" s="163">
        <v>20355</v>
      </c>
      <c r="K861" s="158">
        <v>43560</v>
      </c>
      <c r="L861" s="160" t="s">
        <v>1342</v>
      </c>
      <c r="M861" s="160">
        <v>4615465085</v>
      </c>
      <c r="N861" s="158">
        <v>43579</v>
      </c>
      <c r="O861" s="164">
        <v>3.9624000000000001</v>
      </c>
      <c r="P861" s="165">
        <v>20183</v>
      </c>
      <c r="Q861" s="34">
        <f>SUMIF(Allocation[Delivery ID],Allocation[[#This Row],[Delivery ID]],Allocation[Quantity Processed])</f>
        <v>29950</v>
      </c>
      <c r="R861" s="61">
        <f>Allocation[[#This Row],[Total volume used]]/VLOOKUP(Allocation[[#This Row],[Delivery ID]],Delivery[[Delivery ID]:[Quantity delivered]],3,FALSE)</f>
        <v>1</v>
      </c>
      <c r="S861" s="34">
        <f>Allocation[[#This Row],[Quantity Processed]]/Allocation[[#This Row],[Dilution rate]]</f>
        <v>1992.4137931034484</v>
      </c>
      <c r="T861" s="59">
        <f>SUMIF(Allocation[Delivery ID],Allocation[[#This Row],[Delivery ID]],Allocation[Quantity allocated])/SUMIF(Allocation[Delivery ID],Allocation[[#This Row],[Delivery ID]],Allocation[Volume available (kg)])</f>
        <v>2.3907840155759827</v>
      </c>
      <c r="U861" s="61">
        <f>Allocation[[#This Row],[Total volume used]]/VLOOKUP(Allocation[[#This Row],[Delivery ID]],Delivery[[Delivery ID]:[Quantity delivered]],3,FALSE)</f>
        <v>1</v>
      </c>
      <c r="V861" s="34" t="e">
        <f>VLOOKUP(Allocation[[#This Row],[SAP Contract number]],Shipments[[SAP Contract number]:[Contracted container weight]],2,FALSE)</f>
        <v>#N/A</v>
      </c>
      <c r="W861" s="34" t="e">
        <f>VLOOKUP(Allocation[[#This Row],[SAP Contract number]],Shipments[[SAP Contract number]:[AAA Premium USD]],24,FALSE)</f>
        <v>#N/A</v>
      </c>
      <c r="X861" s="34" t="e">
        <f>VLOOKUP(Allocation[[#This Row],[SAP Contract number]],Shipments[[SAP Contract number]:[RA Premium USD]],25,FALSE)</f>
        <v>#N/A</v>
      </c>
      <c r="Y861" s="38">
        <f>Allocation[[#This Row],[Quantity Processed]]/Allocation[[#This Row],[Quantity allocated]]</f>
        <v>1.0308652988403211</v>
      </c>
      <c r="Z861" s="34" t="b">
        <f>Allocation[[#This Row],[Quantity allocated]]&lt;=Allocation[[#This Row],[Quantity Processed]]</f>
        <v>1</v>
      </c>
    </row>
    <row r="862" spans="1:26">
      <c r="A862" s="247" t="s">
        <v>467</v>
      </c>
      <c r="B862" s="197" t="s">
        <v>68</v>
      </c>
      <c r="C862" s="253" t="s">
        <v>1430</v>
      </c>
      <c r="D862" s="188">
        <v>7026</v>
      </c>
      <c r="E862" s="197" t="s">
        <v>1845</v>
      </c>
      <c r="F862" s="176">
        <v>43531</v>
      </c>
      <c r="G862" s="205">
        <v>2.2999999999999998</v>
      </c>
      <c r="H862" s="188">
        <v>2319</v>
      </c>
      <c r="I862" s="206">
        <v>1442280</v>
      </c>
      <c r="J862" s="207">
        <v>19175</v>
      </c>
      <c r="K862" s="176">
        <v>43567</v>
      </c>
      <c r="L862" s="197" t="s">
        <v>1846</v>
      </c>
      <c r="M862" s="208">
        <v>4615506586</v>
      </c>
      <c r="N862" s="176">
        <v>43587</v>
      </c>
      <c r="O862" s="209">
        <v>3.9643999999999999</v>
      </c>
      <c r="P862" s="219"/>
      <c r="Q862" s="34">
        <f>SUMIF(Allocation[Delivery ID],Allocation[[#This Row],[Delivery ID]],Allocation[Quantity Processed])</f>
        <v>29950</v>
      </c>
      <c r="R862" s="61">
        <f>Allocation[[#This Row],[Total volume used]]/VLOOKUP(Allocation[[#This Row],[Delivery ID]],Delivery[[Delivery ID]:[Quantity delivered]],3,FALSE)</f>
        <v>1</v>
      </c>
      <c r="S862" s="34">
        <f>Allocation[[#This Row],[Quantity Processed]]/Allocation[[#This Row],[Dilution rate]]</f>
        <v>3054.7826086956525</v>
      </c>
      <c r="T862" s="59">
        <f>SUMIF(Allocation[Delivery ID],Allocation[[#This Row],[Delivery ID]],Allocation[Quantity allocated])/SUMIF(Allocation[Delivery ID],Allocation[[#This Row],[Delivery ID]],Allocation[Volume available (kg)])</f>
        <v>0.87920881792314698</v>
      </c>
      <c r="U862" s="61">
        <f>Allocation[[#This Row],[Total volume used]]/VLOOKUP(Allocation[[#This Row],[Delivery ID]],Delivery[[Delivery ID]:[Quantity delivered]],3,FALSE)</f>
        <v>1</v>
      </c>
      <c r="V862" s="34" t="e">
        <f>VLOOKUP(Allocation[[#This Row],[SAP Contract number]],Shipments[[SAP Contract number]:[Contracted container weight]],2,FALSE)</f>
        <v>#N/A</v>
      </c>
      <c r="W862" s="34" t="e">
        <f>VLOOKUP(Allocation[[#This Row],[SAP Contract number]],Shipments[[SAP Contract number]:[AAA Premium USD]],24,FALSE)</f>
        <v>#N/A</v>
      </c>
      <c r="X862" s="34" t="e">
        <f>VLOOKUP(Allocation[[#This Row],[SAP Contract number]],Shipments[[SAP Contract number]:[RA Premium USD]],25,FALSE)</f>
        <v>#N/A</v>
      </c>
      <c r="Y862" s="38">
        <f>Allocation[[#This Row],[Quantity Processed]]/Allocation[[#This Row],[Quantity allocated]]</f>
        <v>3.0297542043984476</v>
      </c>
      <c r="Z862" s="34" t="b">
        <f>Allocation[[#This Row],[Quantity allocated]]&lt;=Allocation[[#This Row],[Quantity Processed]]</f>
        <v>1</v>
      </c>
    </row>
    <row r="863" spans="1:26">
      <c r="A863" s="247" t="s">
        <v>467</v>
      </c>
      <c r="B863" s="197" t="s">
        <v>68</v>
      </c>
      <c r="C863" s="253" t="s">
        <v>1432</v>
      </c>
      <c r="D863" s="188">
        <v>7035</v>
      </c>
      <c r="E863" s="197" t="s">
        <v>1845</v>
      </c>
      <c r="F863" s="176">
        <v>43531</v>
      </c>
      <c r="G863" s="205">
        <v>2.2999999999999998</v>
      </c>
      <c r="H863" s="188">
        <v>2322</v>
      </c>
      <c r="I863" s="206">
        <v>1442280</v>
      </c>
      <c r="J863" s="207">
        <v>19175</v>
      </c>
      <c r="K863" s="176">
        <v>43567</v>
      </c>
      <c r="L863" s="197" t="s">
        <v>1846</v>
      </c>
      <c r="M863" s="208">
        <v>4615506586</v>
      </c>
      <c r="N863" s="176">
        <v>43587</v>
      </c>
      <c r="O863" s="209">
        <v>3.9643999999999999</v>
      </c>
      <c r="P863" s="219"/>
      <c r="Q863" s="34">
        <f>SUMIF(Allocation[Delivery ID],Allocation[[#This Row],[Delivery ID]],Allocation[Quantity Processed])</f>
        <v>29960</v>
      </c>
      <c r="R863" s="61">
        <f>Allocation[[#This Row],[Total volume used]]/VLOOKUP(Allocation[[#This Row],[Delivery ID]],Delivery[[Delivery ID]:[Quantity delivered]],3,FALSE)</f>
        <v>1</v>
      </c>
      <c r="S863" s="34">
        <f>Allocation[[#This Row],[Quantity Processed]]/Allocation[[#This Row],[Dilution rate]]</f>
        <v>3058.6956521739135</v>
      </c>
      <c r="T863" s="59">
        <f>SUMIF(Allocation[Delivery ID],Allocation[[#This Row],[Delivery ID]],Allocation[Quantity allocated])/SUMIF(Allocation[Delivery ID],Allocation[[#This Row],[Delivery ID]],Allocation[Volume available (kg)])</f>
        <v>0.87914173875223489</v>
      </c>
      <c r="U863" s="61">
        <f>Allocation[[#This Row],[Total volume used]]/VLOOKUP(Allocation[[#This Row],[Delivery ID]],Delivery[[Delivery ID]:[Quantity delivered]],3,FALSE)</f>
        <v>1</v>
      </c>
      <c r="V863" s="34" t="e">
        <f>VLOOKUP(Allocation[[#This Row],[SAP Contract number]],Shipments[[SAP Contract number]:[Contracted container weight]],2,FALSE)</f>
        <v>#N/A</v>
      </c>
      <c r="W863" s="34" t="e">
        <f>VLOOKUP(Allocation[[#This Row],[SAP Contract number]],Shipments[[SAP Contract number]:[AAA Premium USD]],24,FALSE)</f>
        <v>#N/A</v>
      </c>
      <c r="X863" s="34" t="e">
        <f>VLOOKUP(Allocation[[#This Row],[SAP Contract number]],Shipments[[SAP Contract number]:[RA Premium USD]],25,FALSE)</f>
        <v>#N/A</v>
      </c>
      <c r="Y863" s="38">
        <f>Allocation[[#This Row],[Quantity Processed]]/Allocation[[#This Row],[Quantity allocated]]</f>
        <v>3.0297157622739017</v>
      </c>
      <c r="Z863" s="34" t="b">
        <f>Allocation[[#This Row],[Quantity allocated]]&lt;=Allocation[[#This Row],[Quantity Processed]]</f>
        <v>1</v>
      </c>
    </row>
    <row r="864" spans="1:26">
      <c r="A864" s="247" t="s">
        <v>467</v>
      </c>
      <c r="B864" s="197" t="s">
        <v>68</v>
      </c>
      <c r="C864" s="253" t="s">
        <v>1441</v>
      </c>
      <c r="D864" s="188">
        <v>4285</v>
      </c>
      <c r="E864" s="197" t="s">
        <v>1845</v>
      </c>
      <c r="F864" s="176">
        <v>43531</v>
      </c>
      <c r="G864" s="205">
        <v>2.2999999999999998</v>
      </c>
      <c r="H864" s="188">
        <v>1414</v>
      </c>
      <c r="I864" s="206">
        <v>1442280</v>
      </c>
      <c r="J864" s="207">
        <v>19175</v>
      </c>
      <c r="K864" s="176">
        <v>43567</v>
      </c>
      <c r="L864" s="197" t="s">
        <v>1846</v>
      </c>
      <c r="M864" s="208">
        <v>4615506586</v>
      </c>
      <c r="N864" s="176">
        <v>43587</v>
      </c>
      <c r="O864" s="209">
        <v>3.9643999999999999</v>
      </c>
      <c r="P864" s="219"/>
      <c r="Q864" s="34">
        <f>SUMIF(Allocation[Delivery ID],Allocation[[#This Row],[Delivery ID]],Allocation[Quantity Processed])</f>
        <v>18320</v>
      </c>
      <c r="R864" s="61">
        <f>Allocation[[#This Row],[Total volume used]]/VLOOKUP(Allocation[[#This Row],[Delivery ID]],Delivery[[Delivery ID]:[Quantity delivered]],3,FALSE)</f>
        <v>1</v>
      </c>
      <c r="S864" s="34">
        <f>Allocation[[#This Row],[Quantity Processed]]/Allocation[[#This Row],[Dilution rate]]</f>
        <v>1863.0434782608697</v>
      </c>
      <c r="T864" s="59">
        <f>SUMIF(Allocation[Delivery ID],Allocation[[#This Row],[Delivery ID]],Allocation[Quantity allocated])/SUMIF(Allocation[Delivery ID],Allocation[[#This Row],[Delivery ID]],Allocation[Volume available (kg)])</f>
        <v>0.87920322504149861</v>
      </c>
      <c r="U864" s="61">
        <f>Allocation[[#This Row],[Total volume used]]/VLOOKUP(Allocation[[#This Row],[Delivery ID]],Delivery[[Delivery ID]:[Quantity delivered]],3,FALSE)</f>
        <v>1</v>
      </c>
      <c r="V864" s="34" t="e">
        <f>VLOOKUP(Allocation[[#This Row],[SAP Contract number]],Shipments[[SAP Contract number]:[Contracted container weight]],2,FALSE)</f>
        <v>#N/A</v>
      </c>
      <c r="W864" s="34" t="e">
        <f>VLOOKUP(Allocation[[#This Row],[SAP Contract number]],Shipments[[SAP Contract number]:[AAA Premium USD]],24,FALSE)</f>
        <v>#N/A</v>
      </c>
      <c r="X864" s="34" t="e">
        <f>VLOOKUP(Allocation[[#This Row],[SAP Contract number]],Shipments[[SAP Contract number]:[RA Premium USD]],25,FALSE)</f>
        <v>#N/A</v>
      </c>
      <c r="Y864" s="38">
        <f>Allocation[[#This Row],[Quantity Processed]]/Allocation[[#This Row],[Quantity allocated]]</f>
        <v>3.0304101838755306</v>
      </c>
      <c r="Z864" s="34" t="b">
        <f>Allocation[[#This Row],[Quantity allocated]]&lt;=Allocation[[#This Row],[Quantity Processed]]</f>
        <v>1</v>
      </c>
    </row>
    <row r="865" spans="1:26">
      <c r="A865" s="247" t="s">
        <v>467</v>
      </c>
      <c r="B865" s="197" t="s">
        <v>68</v>
      </c>
      <c r="C865" s="253" t="s">
        <v>1448</v>
      </c>
      <c r="D865" s="188">
        <v>3714</v>
      </c>
      <c r="E865" s="197" t="s">
        <v>1845</v>
      </c>
      <c r="F865" s="176">
        <v>43531</v>
      </c>
      <c r="G865" s="205">
        <v>2.2999999999999998</v>
      </c>
      <c r="H865" s="188">
        <v>1300</v>
      </c>
      <c r="I865" s="206">
        <v>1442280</v>
      </c>
      <c r="J865" s="207">
        <v>19175</v>
      </c>
      <c r="K865" s="176">
        <v>43567</v>
      </c>
      <c r="L865" s="197" t="s">
        <v>1846</v>
      </c>
      <c r="M865" s="208">
        <v>4615506586</v>
      </c>
      <c r="N865" s="176">
        <v>43587</v>
      </c>
      <c r="O865" s="209">
        <v>3.9643999999999999</v>
      </c>
      <c r="P865" s="219"/>
      <c r="Q865" s="34">
        <f>SUMIF(Allocation[Delivery ID],Allocation[[#This Row],[Delivery ID]],Allocation[Quantity Processed])</f>
        <v>16499</v>
      </c>
      <c r="R865" s="61">
        <f>Allocation[[#This Row],[Total volume used]]/VLOOKUP(Allocation[[#This Row],[Delivery ID]],Delivery[[Delivery ID]:[Quantity delivered]],3,FALSE)</f>
        <v>0.93797612279704379</v>
      </c>
      <c r="S865" s="34">
        <f>Allocation[[#This Row],[Quantity Processed]]/Allocation[[#This Row],[Dilution rate]]</f>
        <v>1614.7826086956522</v>
      </c>
      <c r="T865" s="59">
        <f>SUMIF(Allocation[Delivery ID],Allocation[[#This Row],[Delivery ID]],Allocation[Quantity allocated])/SUMIF(Allocation[Delivery ID],Allocation[[#This Row],[Delivery ID]],Allocation[Volume available (kg)])</f>
        <v>0.93433689991382929</v>
      </c>
      <c r="U865" s="61">
        <f>Allocation[[#This Row],[Total volume used]]/VLOOKUP(Allocation[[#This Row],[Delivery ID]],Delivery[[Delivery ID]:[Quantity delivered]],3,FALSE)</f>
        <v>0.93797612279704379</v>
      </c>
      <c r="V865" s="34" t="e">
        <f>VLOOKUP(Allocation[[#This Row],[SAP Contract number]],Shipments[[SAP Contract number]:[Contracted container weight]],2,FALSE)</f>
        <v>#N/A</v>
      </c>
      <c r="W865" s="34" t="e">
        <f>VLOOKUP(Allocation[[#This Row],[SAP Contract number]],Shipments[[SAP Contract number]:[AAA Premium USD]],24,FALSE)</f>
        <v>#N/A</v>
      </c>
      <c r="X865" s="34" t="e">
        <f>VLOOKUP(Allocation[[#This Row],[SAP Contract number]],Shipments[[SAP Contract number]:[RA Premium USD]],25,FALSE)</f>
        <v>#N/A</v>
      </c>
      <c r="Y865" s="38">
        <f>Allocation[[#This Row],[Quantity Processed]]/Allocation[[#This Row],[Quantity allocated]]</f>
        <v>2.8569230769230769</v>
      </c>
      <c r="Z865" s="34" t="b">
        <f>Allocation[[#This Row],[Quantity allocated]]&lt;=Allocation[[#This Row],[Quantity Processed]]</f>
        <v>1</v>
      </c>
    </row>
    <row r="866" spans="1:26">
      <c r="A866" s="247" t="s">
        <v>467</v>
      </c>
      <c r="B866" s="197" t="s">
        <v>68</v>
      </c>
      <c r="C866" s="253" t="s">
        <v>1450</v>
      </c>
      <c r="D866" s="188">
        <v>3639</v>
      </c>
      <c r="E866" s="197" t="s">
        <v>1845</v>
      </c>
      <c r="F866" s="176">
        <v>43531</v>
      </c>
      <c r="G866" s="205">
        <v>2.2999999999999998</v>
      </c>
      <c r="H866" s="188">
        <v>1492</v>
      </c>
      <c r="I866" s="206">
        <v>1442280</v>
      </c>
      <c r="J866" s="207">
        <v>19175</v>
      </c>
      <c r="K866" s="176">
        <v>43567</v>
      </c>
      <c r="L866" s="197" t="s">
        <v>1846</v>
      </c>
      <c r="M866" s="208">
        <v>4615506586</v>
      </c>
      <c r="N866" s="176">
        <v>43587</v>
      </c>
      <c r="O866" s="209">
        <v>3.9643999999999999</v>
      </c>
      <c r="P866" s="219"/>
      <c r="Q866" s="34">
        <f>SUMIF(Allocation[Delivery ID],Allocation[[#This Row],[Delivery ID]],Allocation[Quantity Processed])</f>
        <v>16159</v>
      </c>
      <c r="R866" s="61">
        <f>Allocation[[#This Row],[Total volume used]]/VLOOKUP(Allocation[[#This Row],[Delivery ID]],Delivery[[Delivery ID]:[Quantity delivered]],3,FALSE)</f>
        <v>0.83812240663900417</v>
      </c>
      <c r="S866" s="34">
        <f>Allocation[[#This Row],[Quantity Processed]]/Allocation[[#This Row],[Dilution rate]]</f>
        <v>1582.1739130434785</v>
      </c>
      <c r="T866" s="59">
        <f>SUMIF(Allocation[Delivery ID],Allocation[[#This Row],[Delivery ID]],Allocation[Quantity allocated])/SUMIF(Allocation[Delivery ID],Allocation[[#This Row],[Delivery ID]],Allocation[Volume available (kg)])</f>
        <v>1.0943896658219014</v>
      </c>
      <c r="U866" s="61">
        <f>Allocation[[#This Row],[Total volume used]]/VLOOKUP(Allocation[[#This Row],[Delivery ID]],Delivery[[Delivery ID]:[Quantity delivered]],3,FALSE)</f>
        <v>0.83812240663900417</v>
      </c>
      <c r="V866" s="34" t="e">
        <f>VLOOKUP(Allocation[[#This Row],[SAP Contract number]],Shipments[[SAP Contract number]:[Contracted container weight]],2,FALSE)</f>
        <v>#N/A</v>
      </c>
      <c r="W866" s="34" t="e">
        <f>VLOOKUP(Allocation[[#This Row],[SAP Contract number]],Shipments[[SAP Contract number]:[AAA Premium USD]],24,FALSE)</f>
        <v>#N/A</v>
      </c>
      <c r="X866" s="34" t="e">
        <f>VLOOKUP(Allocation[[#This Row],[SAP Contract number]],Shipments[[SAP Contract number]:[RA Premium USD]],25,FALSE)</f>
        <v>#N/A</v>
      </c>
      <c r="Y866" s="38">
        <f>Allocation[[#This Row],[Quantity Processed]]/Allocation[[#This Row],[Quantity allocated]]</f>
        <v>2.4390080428954422</v>
      </c>
      <c r="Z866" s="34" t="b">
        <f>Allocation[[#This Row],[Quantity allocated]]&lt;=Allocation[[#This Row],[Quantity Processed]]</f>
        <v>1</v>
      </c>
    </row>
    <row r="867" spans="1:26">
      <c r="A867" s="247" t="s">
        <v>467</v>
      </c>
      <c r="B867" s="197" t="s">
        <v>68</v>
      </c>
      <c r="C867" s="253" t="s">
        <v>1451</v>
      </c>
      <c r="D867" s="188">
        <v>2278</v>
      </c>
      <c r="E867" s="197" t="s">
        <v>1845</v>
      </c>
      <c r="F867" s="176">
        <v>43531</v>
      </c>
      <c r="G867" s="205">
        <v>2.2999999999999998</v>
      </c>
      <c r="H867" s="188">
        <v>934</v>
      </c>
      <c r="I867" s="206">
        <v>1442280</v>
      </c>
      <c r="J867" s="207">
        <v>19175</v>
      </c>
      <c r="K867" s="176">
        <v>43567</v>
      </c>
      <c r="L867" s="197" t="s">
        <v>1846</v>
      </c>
      <c r="M867" s="208">
        <v>4615506586</v>
      </c>
      <c r="N867" s="176">
        <v>43587</v>
      </c>
      <c r="O867" s="209">
        <v>3.9643999999999999</v>
      </c>
      <c r="P867" s="219"/>
      <c r="Q867" s="34">
        <f>SUMIF(Allocation[Delivery ID],Allocation[[#This Row],[Delivery ID]],Allocation[Quantity Processed])</f>
        <v>10118</v>
      </c>
      <c r="R867" s="61">
        <f>Allocation[[#This Row],[Total volume used]]/VLOOKUP(Allocation[[#This Row],[Delivery ID]],Delivery[[Delivery ID]:[Quantity delivered]],3,FALSE)</f>
        <v>0.80493237867939538</v>
      </c>
      <c r="S867" s="34">
        <f>Allocation[[#This Row],[Quantity Processed]]/Allocation[[#This Row],[Dilution rate]]</f>
        <v>990.43478260869574</v>
      </c>
      <c r="T867" s="59">
        <f>SUMIF(Allocation[Delivery ID],Allocation[[#This Row],[Delivery ID]],Allocation[Quantity allocated])/SUMIF(Allocation[Delivery ID],Allocation[[#This Row],[Delivery ID]],Allocation[Volume available (kg)])</f>
        <v>1.0945973847212662</v>
      </c>
      <c r="U867" s="61">
        <f>Allocation[[#This Row],[Total volume used]]/VLOOKUP(Allocation[[#This Row],[Delivery ID]],Delivery[[Delivery ID]:[Quantity delivered]],3,FALSE)</f>
        <v>0.80493237867939538</v>
      </c>
      <c r="V867" s="34" t="e">
        <f>VLOOKUP(Allocation[[#This Row],[SAP Contract number]],Shipments[[SAP Contract number]:[Contracted container weight]],2,FALSE)</f>
        <v>#N/A</v>
      </c>
      <c r="W867" s="34" t="e">
        <f>VLOOKUP(Allocation[[#This Row],[SAP Contract number]],Shipments[[SAP Contract number]:[AAA Premium USD]],24,FALSE)</f>
        <v>#N/A</v>
      </c>
      <c r="X867" s="34" t="e">
        <f>VLOOKUP(Allocation[[#This Row],[SAP Contract number]],Shipments[[SAP Contract number]:[RA Premium USD]],25,FALSE)</f>
        <v>#N/A</v>
      </c>
      <c r="Y867" s="38">
        <f>Allocation[[#This Row],[Quantity Processed]]/Allocation[[#This Row],[Quantity allocated]]</f>
        <v>2.4389721627408996</v>
      </c>
      <c r="Z867" s="34" t="b">
        <f>Allocation[[#This Row],[Quantity allocated]]&lt;=Allocation[[#This Row],[Quantity Processed]]</f>
        <v>1</v>
      </c>
    </row>
    <row r="868" spans="1:26">
      <c r="A868" s="247" t="s">
        <v>467</v>
      </c>
      <c r="B868" s="197" t="s">
        <v>68</v>
      </c>
      <c r="C868" s="253" t="s">
        <v>1465</v>
      </c>
      <c r="D868" s="188">
        <v>10089</v>
      </c>
      <c r="E868" s="197" t="s">
        <v>1845</v>
      </c>
      <c r="F868" s="176">
        <v>43531</v>
      </c>
      <c r="G868" s="205">
        <v>2.2999999999999998</v>
      </c>
      <c r="H868" s="188">
        <v>9080</v>
      </c>
      <c r="I868" s="206">
        <v>1442280</v>
      </c>
      <c r="J868" s="207">
        <v>19175</v>
      </c>
      <c r="K868" s="176">
        <v>43567</v>
      </c>
      <c r="L868" s="197" t="s">
        <v>1846</v>
      </c>
      <c r="M868" s="208">
        <v>4615506586</v>
      </c>
      <c r="N868" s="176">
        <v>43587</v>
      </c>
      <c r="O868" s="209">
        <v>3.9643999999999999</v>
      </c>
      <c r="P868" s="219"/>
      <c r="Q868" s="34">
        <f>SUMIF(Allocation[Delivery ID],Allocation[[#This Row],[Delivery ID]],Allocation[Quantity Processed])</f>
        <v>54725</v>
      </c>
      <c r="R868" s="61">
        <f>Allocation[[#This Row],[Total volume used]]/VLOOKUP(Allocation[[#This Row],[Delivery ID]],Delivery[[Delivery ID]:[Quantity delivered]],3,FALSE)</f>
        <v>0.46630027266530333</v>
      </c>
      <c r="S868" s="34">
        <f>Allocation[[#This Row],[Quantity Processed]]/Allocation[[#This Row],[Dilution rate]]</f>
        <v>4386.521739130435</v>
      </c>
      <c r="T868" s="59">
        <f>SUMIF(Allocation[Delivery ID],Allocation[[#This Row],[Delivery ID]],Allocation[Quantity allocated])/SUMIF(Allocation[Delivery ID],Allocation[[#This Row],[Delivery ID]],Allocation[Volume available (kg)])</f>
        <v>1.9837218895135662</v>
      </c>
      <c r="U868" s="61">
        <f>Allocation[[#This Row],[Total volume used]]/VLOOKUP(Allocation[[#This Row],[Delivery ID]],Delivery[[Delivery ID]:[Quantity delivered]],3,FALSE)</f>
        <v>0.46630027266530333</v>
      </c>
      <c r="V868" s="34" t="e">
        <f>VLOOKUP(Allocation[[#This Row],[SAP Contract number]],Shipments[[SAP Contract number]:[Contracted container weight]],2,FALSE)</f>
        <v>#N/A</v>
      </c>
      <c r="W868" s="34" t="e">
        <f>VLOOKUP(Allocation[[#This Row],[SAP Contract number]],Shipments[[SAP Contract number]:[AAA Premium USD]],24,FALSE)</f>
        <v>#N/A</v>
      </c>
      <c r="X868" s="34" t="e">
        <f>VLOOKUP(Allocation[[#This Row],[SAP Contract number]],Shipments[[SAP Contract number]:[RA Premium USD]],25,FALSE)</f>
        <v>#N/A</v>
      </c>
      <c r="Y868" s="38">
        <f>Allocation[[#This Row],[Quantity Processed]]/Allocation[[#This Row],[Quantity allocated]]</f>
        <v>1.1111233480176212</v>
      </c>
      <c r="Z868" s="34" t="b">
        <f>Allocation[[#This Row],[Quantity allocated]]&lt;=Allocation[[#This Row],[Quantity Processed]]</f>
        <v>1</v>
      </c>
    </row>
    <row r="869" spans="1:26">
      <c r="A869" s="247" t="s">
        <v>467</v>
      </c>
      <c r="B869" s="197" t="s">
        <v>68</v>
      </c>
      <c r="C869" s="253" t="s">
        <v>1511</v>
      </c>
      <c r="D869" s="188">
        <v>320</v>
      </c>
      <c r="E869" s="197" t="s">
        <v>1845</v>
      </c>
      <c r="F869" s="176">
        <v>43531</v>
      </c>
      <c r="G869" s="205">
        <v>2.2999999999999998</v>
      </c>
      <c r="H869" s="188">
        <v>314</v>
      </c>
      <c r="I869" s="206">
        <v>1442280</v>
      </c>
      <c r="J869" s="207">
        <v>19175</v>
      </c>
      <c r="K869" s="176">
        <v>43567</v>
      </c>
      <c r="L869" s="197" t="s">
        <v>1846</v>
      </c>
      <c r="M869" s="208">
        <v>4615506586</v>
      </c>
      <c r="N869" s="176">
        <v>43587</v>
      </c>
      <c r="O869" s="209">
        <v>3.9643999999999999</v>
      </c>
      <c r="P869" s="219"/>
      <c r="Q869" s="34">
        <f>SUMIF(Allocation[Delivery ID],Allocation[[#This Row],[Delivery ID]],Allocation[Quantity Processed])</f>
        <v>17621</v>
      </c>
      <c r="R869" s="61">
        <f>Allocation[[#This Row],[Total volume used]]/VLOOKUP(Allocation[[#This Row],[Delivery ID]],Delivery[[Delivery ID]:[Quantity delivered]],3,FALSE)</f>
        <v>0.36799348425361289</v>
      </c>
      <c r="S869" s="34">
        <f>Allocation[[#This Row],[Quantity Processed]]/Allocation[[#This Row],[Dilution rate]]</f>
        <v>139.13043478260872</v>
      </c>
      <c r="T869" s="59">
        <f>SUMIF(Allocation[Delivery ID],Allocation[[#This Row],[Delivery ID]],Allocation[Quantity allocated])/SUMIF(Allocation[Delivery ID],Allocation[[#This Row],[Delivery ID]],Allocation[Volume available (kg)])</f>
        <v>2.2540548209522724</v>
      </c>
      <c r="U869" s="61">
        <f>Allocation[[#This Row],[Total volume used]]/VLOOKUP(Allocation[[#This Row],[Delivery ID]],Delivery[[Delivery ID]:[Quantity delivered]],3,FALSE)</f>
        <v>0.36799348425361289</v>
      </c>
      <c r="V869" s="34" t="e">
        <f>VLOOKUP(Allocation[[#This Row],[SAP Contract number]],Shipments[[SAP Contract number]:[Contracted container weight]],2,FALSE)</f>
        <v>#N/A</v>
      </c>
      <c r="W869" s="34" t="e">
        <f>VLOOKUP(Allocation[[#This Row],[SAP Contract number]],Shipments[[SAP Contract number]:[AAA Premium USD]],24,FALSE)</f>
        <v>#N/A</v>
      </c>
      <c r="X869" s="34" t="e">
        <f>VLOOKUP(Allocation[[#This Row],[SAP Contract number]],Shipments[[SAP Contract number]:[RA Premium USD]],25,FALSE)</f>
        <v>#N/A</v>
      </c>
      <c r="Y869" s="38">
        <f>Allocation[[#This Row],[Quantity Processed]]/Allocation[[#This Row],[Quantity allocated]]</f>
        <v>1.0191082802547771</v>
      </c>
      <c r="Z869" s="34" t="b">
        <f>Allocation[[#This Row],[Quantity allocated]]&lt;=Allocation[[#This Row],[Quantity Processed]]</f>
        <v>1</v>
      </c>
    </row>
    <row r="870" spans="1:26">
      <c r="A870" s="247" t="s">
        <v>467</v>
      </c>
      <c r="B870" s="197" t="s">
        <v>68</v>
      </c>
      <c r="C870" s="253" t="s">
        <v>1511</v>
      </c>
      <c r="D870" s="188">
        <v>17301</v>
      </c>
      <c r="E870" s="197" t="s">
        <v>1845</v>
      </c>
      <c r="F870" s="176">
        <v>43531</v>
      </c>
      <c r="G870" s="205">
        <v>2.2999999999999998</v>
      </c>
      <c r="H870" s="188">
        <v>16955</v>
      </c>
      <c r="I870" s="206">
        <v>1442281</v>
      </c>
      <c r="J870" s="207">
        <v>19175</v>
      </c>
      <c r="K870" s="176">
        <v>43567</v>
      </c>
      <c r="L870" s="197" t="s">
        <v>1847</v>
      </c>
      <c r="M870" s="208">
        <v>4615506586</v>
      </c>
      <c r="N870" s="176">
        <v>43587</v>
      </c>
      <c r="O870" s="209">
        <v>3.9643999999999999</v>
      </c>
      <c r="P870" s="219"/>
      <c r="Q870" s="34">
        <f>SUMIF(Allocation[Delivery ID],Allocation[[#This Row],[Delivery ID]],Allocation[Quantity Processed])</f>
        <v>17621</v>
      </c>
      <c r="R870" s="61">
        <f>Allocation[[#This Row],[Total volume used]]/VLOOKUP(Allocation[[#This Row],[Delivery ID]],Delivery[[Delivery ID]:[Quantity delivered]],3,FALSE)</f>
        <v>0.36799348425361289</v>
      </c>
      <c r="S870" s="34">
        <f>Allocation[[#This Row],[Quantity Processed]]/Allocation[[#This Row],[Dilution rate]]</f>
        <v>7522.1739130434789</v>
      </c>
      <c r="T870" s="59">
        <f>SUMIF(Allocation[Delivery ID],Allocation[[#This Row],[Delivery ID]],Allocation[Quantity allocated])/SUMIF(Allocation[Delivery ID],Allocation[[#This Row],[Delivery ID]],Allocation[Volume available (kg)])</f>
        <v>2.2540548209522724</v>
      </c>
      <c r="U870" s="61">
        <f>Allocation[[#This Row],[Total volume used]]/VLOOKUP(Allocation[[#This Row],[Delivery ID]],Delivery[[Delivery ID]:[Quantity delivered]],3,FALSE)</f>
        <v>0.36799348425361289</v>
      </c>
      <c r="V870" s="34" t="e">
        <f>VLOOKUP(Allocation[[#This Row],[SAP Contract number]],Shipments[[SAP Contract number]:[Contracted container weight]],2,FALSE)</f>
        <v>#N/A</v>
      </c>
      <c r="W870" s="34" t="e">
        <f>VLOOKUP(Allocation[[#This Row],[SAP Contract number]],Shipments[[SAP Contract number]:[AAA Premium USD]],24,FALSE)</f>
        <v>#N/A</v>
      </c>
      <c r="X870" s="34" t="e">
        <f>VLOOKUP(Allocation[[#This Row],[SAP Contract number]],Shipments[[SAP Contract number]:[RA Premium USD]],25,FALSE)</f>
        <v>#N/A</v>
      </c>
      <c r="Y870" s="38">
        <f>Allocation[[#This Row],[Quantity Processed]]/Allocation[[#This Row],[Quantity allocated]]</f>
        <v>1.0204069595989385</v>
      </c>
      <c r="Z870" s="34" t="b">
        <f>Allocation[[#This Row],[Quantity allocated]]&lt;=Allocation[[#This Row],[Quantity Processed]]</f>
        <v>1</v>
      </c>
    </row>
    <row r="871" spans="1:26">
      <c r="A871" s="247" t="s">
        <v>467</v>
      </c>
      <c r="B871" s="197" t="s">
        <v>68</v>
      </c>
      <c r="C871" s="253" t="s">
        <v>1512</v>
      </c>
      <c r="D871" s="188">
        <v>44</v>
      </c>
      <c r="E871" s="197" t="s">
        <v>1845</v>
      </c>
      <c r="F871" s="176">
        <v>43531</v>
      </c>
      <c r="G871" s="205">
        <v>2.2999999999999998</v>
      </c>
      <c r="H871" s="188">
        <v>43</v>
      </c>
      <c r="I871" s="206">
        <v>1442281</v>
      </c>
      <c r="J871" s="207">
        <v>19175</v>
      </c>
      <c r="K871" s="176">
        <v>43567</v>
      </c>
      <c r="L871" s="197" t="s">
        <v>1847</v>
      </c>
      <c r="M871" s="208">
        <v>4615506586</v>
      </c>
      <c r="N871" s="176">
        <v>43587</v>
      </c>
      <c r="O871" s="209">
        <v>3.9643999999999999</v>
      </c>
      <c r="P871" s="219"/>
      <c r="Q871" s="34">
        <f>SUMIF(Allocation[Delivery ID],Allocation[[#This Row],[Delivery ID]],Allocation[Quantity Processed])</f>
        <v>44</v>
      </c>
      <c r="R871" s="61">
        <f>Allocation[[#This Row],[Total volume used]]/VLOOKUP(Allocation[[#This Row],[Delivery ID]],Delivery[[Delivery ID]:[Quantity delivered]],3,FALSE)</f>
        <v>0.37931034482758619</v>
      </c>
      <c r="S871" s="34">
        <f>Allocation[[#This Row],[Quantity Processed]]/Allocation[[#This Row],[Dilution rate]]</f>
        <v>19.130434782608699</v>
      </c>
      <c r="T871" s="59">
        <f>SUMIF(Allocation[Delivery ID],Allocation[[#This Row],[Delivery ID]],Allocation[Quantity allocated])/SUMIF(Allocation[Delivery ID],Allocation[[#This Row],[Delivery ID]],Allocation[Volume available (kg)])</f>
        <v>2.2477272727272721</v>
      </c>
      <c r="U871" s="61">
        <f>Allocation[[#This Row],[Total volume used]]/VLOOKUP(Allocation[[#This Row],[Delivery ID]],Delivery[[Delivery ID]:[Quantity delivered]],3,FALSE)</f>
        <v>0.37931034482758619</v>
      </c>
      <c r="V871" s="34" t="e">
        <f>VLOOKUP(Allocation[[#This Row],[SAP Contract number]],Shipments[[SAP Contract number]:[Contracted container weight]],2,FALSE)</f>
        <v>#N/A</v>
      </c>
      <c r="W871" s="34" t="e">
        <f>VLOOKUP(Allocation[[#This Row],[SAP Contract number]],Shipments[[SAP Contract number]:[AAA Premium USD]],24,FALSE)</f>
        <v>#N/A</v>
      </c>
      <c r="X871" s="34" t="e">
        <f>VLOOKUP(Allocation[[#This Row],[SAP Contract number]],Shipments[[SAP Contract number]:[RA Premium USD]],25,FALSE)</f>
        <v>#N/A</v>
      </c>
      <c r="Y871" s="38">
        <f>Allocation[[#This Row],[Quantity Processed]]/Allocation[[#This Row],[Quantity allocated]]</f>
        <v>1.0232558139534884</v>
      </c>
      <c r="Z871" s="34" t="b">
        <f>Allocation[[#This Row],[Quantity allocated]]&lt;=Allocation[[#This Row],[Quantity Processed]]</f>
        <v>1</v>
      </c>
    </row>
    <row r="872" spans="1:26">
      <c r="A872" s="247" t="s">
        <v>467</v>
      </c>
      <c r="B872" s="197" t="s">
        <v>68</v>
      </c>
      <c r="C872" s="253" t="s">
        <v>1514</v>
      </c>
      <c r="D872" s="188">
        <v>5443</v>
      </c>
      <c r="E872" s="197" t="s">
        <v>1845</v>
      </c>
      <c r="F872" s="176">
        <v>43531</v>
      </c>
      <c r="G872" s="205">
        <v>2.2999999999999998</v>
      </c>
      <c r="H872" s="188">
        <v>2177</v>
      </c>
      <c r="I872" s="206">
        <v>1442281</v>
      </c>
      <c r="J872" s="207">
        <v>19175</v>
      </c>
      <c r="K872" s="176">
        <v>43567</v>
      </c>
      <c r="L872" s="197" t="s">
        <v>1847</v>
      </c>
      <c r="M872" s="208">
        <v>4615506586</v>
      </c>
      <c r="N872" s="176">
        <v>43587</v>
      </c>
      <c r="O872" s="209">
        <v>3.9643999999999999</v>
      </c>
      <c r="P872" s="219"/>
      <c r="Q872" s="34">
        <f>SUMIF(Allocation[Delivery ID],Allocation[[#This Row],[Delivery ID]],Allocation[Quantity Processed])</f>
        <v>15251</v>
      </c>
      <c r="R872" s="61">
        <f>Allocation[[#This Row],[Total volume used]]/VLOOKUP(Allocation[[#This Row],[Delivery ID]],Delivery[[Delivery ID]:[Quantity delivered]],3,FALSE)</f>
        <v>0.9029603315571344</v>
      </c>
      <c r="S872" s="34">
        <f>Allocation[[#This Row],[Quantity Processed]]/Allocation[[#This Row],[Dilution rate]]</f>
        <v>2366.521739130435</v>
      </c>
      <c r="T872" s="59">
        <f>SUMIF(Allocation[Delivery ID],Allocation[[#This Row],[Delivery ID]],Allocation[Quantity allocated])/SUMIF(Allocation[Delivery ID],Allocation[[#This Row],[Delivery ID]],Allocation[Volume available (kg)])</f>
        <v>0.91993967608681393</v>
      </c>
      <c r="U872" s="61">
        <f>Allocation[[#This Row],[Total volume used]]/VLOOKUP(Allocation[[#This Row],[Delivery ID]],Delivery[[Delivery ID]:[Quantity delivered]],3,FALSE)</f>
        <v>0.9029603315571344</v>
      </c>
      <c r="V872" s="34" t="e">
        <f>VLOOKUP(Allocation[[#This Row],[SAP Contract number]],Shipments[[SAP Contract number]:[Contracted container weight]],2,FALSE)</f>
        <v>#N/A</v>
      </c>
      <c r="W872" s="34" t="e">
        <f>VLOOKUP(Allocation[[#This Row],[SAP Contract number]],Shipments[[SAP Contract number]:[AAA Premium USD]],24,FALSE)</f>
        <v>#N/A</v>
      </c>
      <c r="X872" s="34" t="e">
        <f>VLOOKUP(Allocation[[#This Row],[SAP Contract number]],Shipments[[SAP Contract number]:[RA Premium USD]],25,FALSE)</f>
        <v>#N/A</v>
      </c>
      <c r="Y872" s="38">
        <f>Allocation[[#This Row],[Quantity Processed]]/Allocation[[#This Row],[Quantity allocated]]</f>
        <v>2.5002296738631142</v>
      </c>
      <c r="Z872" s="34" t="b">
        <f>Allocation[[#This Row],[Quantity allocated]]&lt;=Allocation[[#This Row],[Quantity Processed]]</f>
        <v>1</v>
      </c>
    </row>
    <row r="873" spans="1:26">
      <c r="A873" s="247" t="s">
        <v>467</v>
      </c>
      <c r="B873" s="197" t="s">
        <v>68</v>
      </c>
      <c r="C873" s="253" t="s">
        <v>1514</v>
      </c>
      <c r="D873" s="188">
        <v>9808</v>
      </c>
      <c r="E873" s="197" t="s">
        <v>1845</v>
      </c>
      <c r="F873" s="176">
        <v>43531</v>
      </c>
      <c r="G873" s="205">
        <v>2.2999999999999998</v>
      </c>
      <c r="H873" s="188">
        <v>3923</v>
      </c>
      <c r="I873" s="206">
        <v>1442282</v>
      </c>
      <c r="J873" s="207">
        <v>19175</v>
      </c>
      <c r="K873" s="176">
        <v>43567</v>
      </c>
      <c r="L873" s="197" t="s">
        <v>1848</v>
      </c>
      <c r="M873" s="208">
        <v>4615506586</v>
      </c>
      <c r="N873" s="176">
        <v>43587</v>
      </c>
      <c r="O873" s="209">
        <v>3.9643999999999999</v>
      </c>
      <c r="P873" s="219"/>
      <c r="Q873" s="34">
        <f>SUMIF(Allocation[Delivery ID],Allocation[[#This Row],[Delivery ID]],Allocation[Quantity Processed])</f>
        <v>15251</v>
      </c>
      <c r="R873" s="61">
        <f>Allocation[[#This Row],[Total volume used]]/VLOOKUP(Allocation[[#This Row],[Delivery ID]],Delivery[[Delivery ID]:[Quantity delivered]],3,FALSE)</f>
        <v>0.9029603315571344</v>
      </c>
      <c r="S873" s="34">
        <f>Allocation[[#This Row],[Quantity Processed]]/Allocation[[#This Row],[Dilution rate]]</f>
        <v>4264.347826086957</v>
      </c>
      <c r="T873" s="59">
        <f>SUMIF(Allocation[Delivery ID],Allocation[[#This Row],[Delivery ID]],Allocation[Quantity allocated])/SUMIF(Allocation[Delivery ID],Allocation[[#This Row],[Delivery ID]],Allocation[Volume available (kg)])</f>
        <v>0.91993967608681393</v>
      </c>
      <c r="U873" s="61">
        <f>Allocation[[#This Row],[Total volume used]]/VLOOKUP(Allocation[[#This Row],[Delivery ID]],Delivery[[Delivery ID]:[Quantity delivered]],3,FALSE)</f>
        <v>0.9029603315571344</v>
      </c>
      <c r="V873" s="34" t="e">
        <f>VLOOKUP(Allocation[[#This Row],[SAP Contract number]],Shipments[[SAP Contract number]:[Contracted container weight]],2,FALSE)</f>
        <v>#N/A</v>
      </c>
      <c r="W873" s="34" t="e">
        <f>VLOOKUP(Allocation[[#This Row],[SAP Contract number]],Shipments[[SAP Contract number]:[AAA Premium USD]],24,FALSE)</f>
        <v>#N/A</v>
      </c>
      <c r="X873" s="34" t="e">
        <f>VLOOKUP(Allocation[[#This Row],[SAP Contract number]],Shipments[[SAP Contract number]:[RA Premium USD]],25,FALSE)</f>
        <v>#N/A</v>
      </c>
      <c r="Y873" s="38">
        <f>Allocation[[#This Row],[Quantity Processed]]/Allocation[[#This Row],[Quantity allocated]]</f>
        <v>2.5001274534794802</v>
      </c>
      <c r="Z873" s="34" t="b">
        <f>Allocation[[#This Row],[Quantity allocated]]&lt;=Allocation[[#This Row],[Quantity Processed]]</f>
        <v>1</v>
      </c>
    </row>
    <row r="874" spans="1:26">
      <c r="A874" s="247" t="s">
        <v>467</v>
      </c>
      <c r="B874" s="197" t="s">
        <v>68</v>
      </c>
      <c r="C874" s="253" t="s">
        <v>1515</v>
      </c>
      <c r="D874" s="188">
        <v>11410</v>
      </c>
      <c r="E874" s="197" t="s">
        <v>1845</v>
      </c>
      <c r="F874" s="176">
        <v>43531</v>
      </c>
      <c r="G874" s="205">
        <v>2.2999999999999998</v>
      </c>
      <c r="H874" s="188">
        <v>4564</v>
      </c>
      <c r="I874" s="206">
        <v>1442282</v>
      </c>
      <c r="J874" s="207">
        <v>19175</v>
      </c>
      <c r="K874" s="176">
        <v>43567</v>
      </c>
      <c r="L874" s="197" t="s">
        <v>1848</v>
      </c>
      <c r="M874" s="208">
        <v>4615506586</v>
      </c>
      <c r="N874" s="176">
        <v>43587</v>
      </c>
      <c r="O874" s="209">
        <v>3.9643999999999999</v>
      </c>
      <c r="P874" s="219"/>
      <c r="Q874" s="34">
        <f>SUMIF(Allocation[Delivery ID],Allocation[[#This Row],[Delivery ID]],Allocation[Quantity Processed])</f>
        <v>11410</v>
      </c>
      <c r="R874" s="61">
        <f>Allocation[[#This Row],[Total volume used]]/VLOOKUP(Allocation[[#This Row],[Delivery ID]],Delivery[[Delivery ID]:[Quantity delivered]],3,FALSE)</f>
        <v>0.90268987341772156</v>
      </c>
      <c r="S874" s="34">
        <f>Allocation[[#This Row],[Quantity Processed]]/Allocation[[#This Row],[Dilution rate]]</f>
        <v>4960.8695652173919</v>
      </c>
      <c r="T874" s="59">
        <f>SUMIF(Allocation[Delivery ID],Allocation[[#This Row],[Delivery ID]],Allocation[Quantity allocated])/SUMIF(Allocation[Delivery ID],Allocation[[#This Row],[Delivery ID]],Allocation[Volume available (kg)])</f>
        <v>0.91999999999999993</v>
      </c>
      <c r="U874" s="61">
        <f>Allocation[[#This Row],[Total volume used]]/VLOOKUP(Allocation[[#This Row],[Delivery ID]],Delivery[[Delivery ID]:[Quantity delivered]],3,FALSE)</f>
        <v>0.90268987341772156</v>
      </c>
      <c r="V874" s="34" t="e">
        <f>VLOOKUP(Allocation[[#This Row],[SAP Contract number]],Shipments[[SAP Contract number]:[Contracted container weight]],2,FALSE)</f>
        <v>#N/A</v>
      </c>
      <c r="W874" s="34" t="e">
        <f>VLOOKUP(Allocation[[#This Row],[SAP Contract number]],Shipments[[SAP Contract number]:[AAA Premium USD]],24,FALSE)</f>
        <v>#N/A</v>
      </c>
      <c r="X874" s="34" t="e">
        <f>VLOOKUP(Allocation[[#This Row],[SAP Contract number]],Shipments[[SAP Contract number]:[RA Premium USD]],25,FALSE)</f>
        <v>#N/A</v>
      </c>
      <c r="Y874" s="38">
        <f>Allocation[[#This Row],[Quantity Processed]]/Allocation[[#This Row],[Quantity allocated]]</f>
        <v>2.5</v>
      </c>
      <c r="Z874" s="34" t="b">
        <f>Allocation[[#This Row],[Quantity allocated]]&lt;=Allocation[[#This Row],[Quantity Processed]]</f>
        <v>1</v>
      </c>
    </row>
    <row r="875" spans="1:26">
      <c r="A875" s="247" t="s">
        <v>467</v>
      </c>
      <c r="B875" s="197" t="s">
        <v>68</v>
      </c>
      <c r="C875" s="253" t="s">
        <v>1516</v>
      </c>
      <c r="D875" s="188">
        <v>26720</v>
      </c>
      <c r="E875" s="197" t="s">
        <v>1845</v>
      </c>
      <c r="F875" s="176">
        <v>43531</v>
      </c>
      <c r="G875" s="205">
        <v>2.2999999999999998</v>
      </c>
      <c r="H875" s="188">
        <v>10688</v>
      </c>
      <c r="I875" s="206">
        <v>1442282</v>
      </c>
      <c r="J875" s="207">
        <v>19175</v>
      </c>
      <c r="K875" s="176">
        <v>43567</v>
      </c>
      <c r="L875" s="197" t="s">
        <v>1848</v>
      </c>
      <c r="M875" s="208">
        <v>4615506586</v>
      </c>
      <c r="N875" s="176">
        <v>43587</v>
      </c>
      <c r="O875" s="209">
        <v>3.9643999999999999</v>
      </c>
      <c r="P875" s="219"/>
      <c r="Q875" s="34">
        <f>SUMIF(Allocation[Delivery ID],Allocation[[#This Row],[Delivery ID]],Allocation[Quantity Processed])</f>
        <v>29825</v>
      </c>
      <c r="R875" s="61">
        <f>Allocation[[#This Row],[Total volume used]]/VLOOKUP(Allocation[[#This Row],[Delivery ID]],Delivery[[Delivery ID]:[Quantity delivered]],3,FALSE)</f>
        <v>0.90105740181268879</v>
      </c>
      <c r="S875" s="34">
        <f>Allocation[[#This Row],[Quantity Processed]]/Allocation[[#This Row],[Dilution rate]]</f>
        <v>11617.391304347828</v>
      </c>
      <c r="T875" s="59">
        <f>SUMIF(Allocation[Delivery ID],Allocation[[#This Row],[Delivery ID]],Allocation[Quantity allocated])/SUMIF(Allocation[Delivery ID],Allocation[[#This Row],[Delivery ID]],Allocation[Volume available (kg)])</f>
        <v>0.91999999999999993</v>
      </c>
      <c r="U875" s="61">
        <f>Allocation[[#This Row],[Total volume used]]/VLOOKUP(Allocation[[#This Row],[Delivery ID]],Delivery[[Delivery ID]:[Quantity delivered]],3,FALSE)</f>
        <v>0.90105740181268879</v>
      </c>
      <c r="V875" s="34" t="e">
        <f>VLOOKUP(Allocation[[#This Row],[SAP Contract number]],Shipments[[SAP Contract number]:[Contracted container weight]],2,FALSE)</f>
        <v>#N/A</v>
      </c>
      <c r="W875" s="34" t="e">
        <f>VLOOKUP(Allocation[[#This Row],[SAP Contract number]],Shipments[[SAP Contract number]:[AAA Premium USD]],24,FALSE)</f>
        <v>#N/A</v>
      </c>
      <c r="X875" s="34" t="e">
        <f>VLOOKUP(Allocation[[#This Row],[SAP Contract number]],Shipments[[SAP Contract number]:[RA Premium USD]],25,FALSE)</f>
        <v>#N/A</v>
      </c>
      <c r="Y875" s="38">
        <f>Allocation[[#This Row],[Quantity Processed]]/Allocation[[#This Row],[Quantity allocated]]</f>
        <v>2.5</v>
      </c>
      <c r="Z875" s="34" t="b">
        <f>Allocation[[#This Row],[Quantity allocated]]&lt;=Allocation[[#This Row],[Quantity Processed]]</f>
        <v>1</v>
      </c>
    </row>
    <row r="876" spans="1:26">
      <c r="A876" s="247" t="s">
        <v>467</v>
      </c>
      <c r="B876" s="197" t="s">
        <v>68</v>
      </c>
      <c r="C876" s="253" t="s">
        <v>1516</v>
      </c>
      <c r="D876" s="188">
        <v>3105</v>
      </c>
      <c r="E876" s="197" t="s">
        <v>1845</v>
      </c>
      <c r="F876" s="176">
        <v>43531</v>
      </c>
      <c r="G876" s="205">
        <v>2.2999999999999998</v>
      </c>
      <c r="H876" s="188">
        <v>1242</v>
      </c>
      <c r="I876" s="206">
        <v>1442283</v>
      </c>
      <c r="J876" s="207">
        <v>19175</v>
      </c>
      <c r="K876" s="176">
        <v>43567</v>
      </c>
      <c r="L876" s="197" t="s">
        <v>1849</v>
      </c>
      <c r="M876" s="208">
        <v>4615506586</v>
      </c>
      <c r="N876" s="176">
        <v>43587</v>
      </c>
      <c r="O876" s="209">
        <v>3.9643999999999999</v>
      </c>
      <c r="P876" s="219"/>
      <c r="Q876" s="34">
        <f>SUMIF(Allocation[Delivery ID],Allocation[[#This Row],[Delivery ID]],Allocation[Quantity Processed])</f>
        <v>29825</v>
      </c>
      <c r="R876" s="61">
        <f>Allocation[[#This Row],[Total volume used]]/VLOOKUP(Allocation[[#This Row],[Delivery ID]],Delivery[[Delivery ID]:[Quantity delivered]],3,FALSE)</f>
        <v>0.90105740181268879</v>
      </c>
      <c r="S876" s="34">
        <f>Allocation[[#This Row],[Quantity Processed]]/Allocation[[#This Row],[Dilution rate]]</f>
        <v>1350</v>
      </c>
      <c r="T876" s="59">
        <f>SUMIF(Allocation[Delivery ID],Allocation[[#This Row],[Delivery ID]],Allocation[Quantity allocated])/SUMIF(Allocation[Delivery ID],Allocation[[#This Row],[Delivery ID]],Allocation[Volume available (kg)])</f>
        <v>0.91999999999999993</v>
      </c>
      <c r="U876" s="61">
        <f>Allocation[[#This Row],[Total volume used]]/VLOOKUP(Allocation[[#This Row],[Delivery ID]],Delivery[[Delivery ID]:[Quantity delivered]],3,FALSE)</f>
        <v>0.90105740181268879</v>
      </c>
      <c r="V876" s="34" t="e">
        <f>VLOOKUP(Allocation[[#This Row],[SAP Contract number]],Shipments[[SAP Contract number]:[Contracted container weight]],2,FALSE)</f>
        <v>#N/A</v>
      </c>
      <c r="W876" s="34" t="e">
        <f>VLOOKUP(Allocation[[#This Row],[SAP Contract number]],Shipments[[SAP Contract number]:[AAA Premium USD]],24,FALSE)</f>
        <v>#N/A</v>
      </c>
      <c r="X876" s="34" t="e">
        <f>VLOOKUP(Allocation[[#This Row],[SAP Contract number]],Shipments[[SAP Contract number]:[RA Premium USD]],25,FALSE)</f>
        <v>#N/A</v>
      </c>
      <c r="Y876" s="38">
        <f>Allocation[[#This Row],[Quantity Processed]]/Allocation[[#This Row],[Quantity allocated]]</f>
        <v>2.5</v>
      </c>
      <c r="Z876" s="34" t="b">
        <f>Allocation[[#This Row],[Quantity allocated]]&lt;=Allocation[[#This Row],[Quantity Processed]]</f>
        <v>1</v>
      </c>
    </row>
    <row r="877" spans="1:26">
      <c r="A877" s="247" t="s">
        <v>467</v>
      </c>
      <c r="B877" s="197" t="s">
        <v>68</v>
      </c>
      <c r="C877" s="253" t="s">
        <v>1517</v>
      </c>
      <c r="D877" s="188">
        <v>25075</v>
      </c>
      <c r="E877" s="197" t="s">
        <v>1845</v>
      </c>
      <c r="F877" s="176">
        <v>43531</v>
      </c>
      <c r="G877" s="205">
        <v>2.2999999999999998</v>
      </c>
      <c r="H877" s="188">
        <v>10030</v>
      </c>
      <c r="I877" s="206">
        <v>1442283</v>
      </c>
      <c r="J877" s="207">
        <v>19175</v>
      </c>
      <c r="K877" s="176">
        <v>43567</v>
      </c>
      <c r="L877" s="197" t="s">
        <v>1849</v>
      </c>
      <c r="M877" s="208">
        <v>4615506586</v>
      </c>
      <c r="N877" s="176">
        <v>43587</v>
      </c>
      <c r="O877" s="209">
        <v>3.9643999999999999</v>
      </c>
      <c r="P877" s="219"/>
      <c r="Q877" s="34">
        <f>SUMIF(Allocation[Delivery ID],Allocation[[#This Row],[Delivery ID]],Allocation[Quantity Processed])</f>
        <v>25075</v>
      </c>
      <c r="R877" s="61">
        <f>Allocation[[#This Row],[Total volume used]]/VLOOKUP(Allocation[[#This Row],[Delivery ID]],Delivery[[Delivery ID]:[Quantity delivered]],3,FALSE)</f>
        <v>0.90068247126436785</v>
      </c>
      <c r="S877" s="34">
        <f>Allocation[[#This Row],[Quantity Processed]]/Allocation[[#This Row],[Dilution rate]]</f>
        <v>10902.17391304348</v>
      </c>
      <c r="T877" s="59">
        <f>SUMIF(Allocation[Delivery ID],Allocation[[#This Row],[Delivery ID]],Allocation[Quantity allocated])/SUMIF(Allocation[Delivery ID],Allocation[[#This Row],[Delivery ID]],Allocation[Volume available (kg)])</f>
        <v>0.91999999999999982</v>
      </c>
      <c r="U877" s="61">
        <f>Allocation[[#This Row],[Total volume used]]/VLOOKUP(Allocation[[#This Row],[Delivery ID]],Delivery[[Delivery ID]:[Quantity delivered]],3,FALSE)</f>
        <v>0.90068247126436785</v>
      </c>
      <c r="V877" s="34" t="e">
        <f>VLOOKUP(Allocation[[#This Row],[SAP Contract number]],Shipments[[SAP Contract number]:[Contracted container weight]],2,FALSE)</f>
        <v>#N/A</v>
      </c>
      <c r="W877" s="34" t="e">
        <f>VLOOKUP(Allocation[[#This Row],[SAP Contract number]],Shipments[[SAP Contract number]:[AAA Premium USD]],24,FALSE)</f>
        <v>#N/A</v>
      </c>
      <c r="X877" s="34" t="e">
        <f>VLOOKUP(Allocation[[#This Row],[SAP Contract number]],Shipments[[SAP Contract number]:[RA Premium USD]],25,FALSE)</f>
        <v>#N/A</v>
      </c>
      <c r="Y877" s="38">
        <f>Allocation[[#This Row],[Quantity Processed]]/Allocation[[#This Row],[Quantity allocated]]</f>
        <v>2.5</v>
      </c>
      <c r="Z877" s="34" t="b">
        <f>Allocation[[#This Row],[Quantity allocated]]&lt;=Allocation[[#This Row],[Quantity Processed]]</f>
        <v>1</v>
      </c>
    </row>
    <row r="878" spans="1:26">
      <c r="A878" s="247" t="s">
        <v>467</v>
      </c>
      <c r="B878" s="197" t="s">
        <v>68</v>
      </c>
      <c r="C878" s="253" t="s">
        <v>1518</v>
      </c>
      <c r="D878" s="188">
        <v>19758</v>
      </c>
      <c r="E878" s="197" t="s">
        <v>1845</v>
      </c>
      <c r="F878" s="176">
        <v>43531</v>
      </c>
      <c r="G878" s="205">
        <v>2.2999999999999998</v>
      </c>
      <c r="H878" s="188">
        <v>7903</v>
      </c>
      <c r="I878" s="206">
        <v>1442283</v>
      </c>
      <c r="J878" s="207">
        <v>19175</v>
      </c>
      <c r="K878" s="176">
        <v>43567</v>
      </c>
      <c r="L878" s="197" t="s">
        <v>1849</v>
      </c>
      <c r="M878" s="208">
        <v>4615506586</v>
      </c>
      <c r="N878" s="176">
        <v>43587</v>
      </c>
      <c r="O878" s="209">
        <v>3.9643999999999999</v>
      </c>
      <c r="P878" s="219"/>
      <c r="Q878" s="34">
        <f>SUMIF(Allocation[Delivery ID],Allocation[[#This Row],[Delivery ID]],Allocation[Quantity Processed])</f>
        <v>25511</v>
      </c>
      <c r="R878" s="61">
        <f>Allocation[[#This Row],[Total volume used]]/VLOOKUP(Allocation[[#This Row],[Delivery ID]],Delivery[[Delivery ID]:[Quantity delivered]],3,FALSE)</f>
        <v>0.90081214689265532</v>
      </c>
      <c r="S878" s="34">
        <f>Allocation[[#This Row],[Quantity Processed]]/Allocation[[#This Row],[Dilution rate]]</f>
        <v>8590.434782608696</v>
      </c>
      <c r="T878" s="59">
        <f>SUMIF(Allocation[Delivery ID],Allocation[[#This Row],[Delivery ID]],Allocation[Quantity allocated])/SUMIF(Allocation[Delivery ID],Allocation[[#This Row],[Delivery ID]],Allocation[Volume available (kg)])</f>
        <v>0.91996393712516156</v>
      </c>
      <c r="U878" s="61">
        <f>Allocation[[#This Row],[Total volume used]]/VLOOKUP(Allocation[[#This Row],[Delivery ID]],Delivery[[Delivery ID]:[Quantity delivered]],3,FALSE)</f>
        <v>0.90081214689265532</v>
      </c>
      <c r="V878" s="34" t="e">
        <f>VLOOKUP(Allocation[[#This Row],[SAP Contract number]],Shipments[[SAP Contract number]:[Contracted container weight]],2,FALSE)</f>
        <v>#N/A</v>
      </c>
      <c r="W878" s="34" t="e">
        <f>VLOOKUP(Allocation[[#This Row],[SAP Contract number]],Shipments[[SAP Contract number]:[AAA Premium USD]],24,FALSE)</f>
        <v>#N/A</v>
      </c>
      <c r="X878" s="34" t="e">
        <f>VLOOKUP(Allocation[[#This Row],[SAP Contract number]],Shipments[[SAP Contract number]:[RA Premium USD]],25,FALSE)</f>
        <v>#N/A</v>
      </c>
      <c r="Y878" s="38">
        <f>Allocation[[#This Row],[Quantity Processed]]/Allocation[[#This Row],[Quantity allocated]]</f>
        <v>2.5000632671137542</v>
      </c>
      <c r="Z878" s="34" t="b">
        <f>Allocation[[#This Row],[Quantity allocated]]&lt;=Allocation[[#This Row],[Quantity Processed]]</f>
        <v>1</v>
      </c>
    </row>
    <row r="879" spans="1:26">
      <c r="A879" s="247" t="s">
        <v>467</v>
      </c>
      <c r="B879" s="197" t="s">
        <v>68</v>
      </c>
      <c r="C879" s="253" t="s">
        <v>1518</v>
      </c>
      <c r="D879" s="188">
        <v>5753</v>
      </c>
      <c r="E879" s="197" t="s">
        <v>1845</v>
      </c>
      <c r="F879" s="176">
        <v>43531</v>
      </c>
      <c r="G879" s="205">
        <v>2.2999999999999998</v>
      </c>
      <c r="H879" s="188">
        <v>2301</v>
      </c>
      <c r="I879" s="206">
        <v>1442284</v>
      </c>
      <c r="J879" s="207">
        <v>19175</v>
      </c>
      <c r="K879" s="176">
        <v>43567</v>
      </c>
      <c r="L879" s="197" t="s">
        <v>1850</v>
      </c>
      <c r="M879" s="208">
        <v>4615506586</v>
      </c>
      <c r="N879" s="176">
        <v>43587</v>
      </c>
      <c r="O879" s="209">
        <v>3.9643999999999999</v>
      </c>
      <c r="P879" s="219"/>
      <c r="Q879" s="34">
        <f>SUMIF(Allocation[Delivery ID],Allocation[[#This Row],[Delivery ID]],Allocation[Quantity Processed])</f>
        <v>25511</v>
      </c>
      <c r="R879" s="61">
        <f>Allocation[[#This Row],[Total volume used]]/VLOOKUP(Allocation[[#This Row],[Delivery ID]],Delivery[[Delivery ID]:[Quantity delivered]],3,FALSE)</f>
        <v>0.90081214689265532</v>
      </c>
      <c r="S879" s="34">
        <f>Allocation[[#This Row],[Quantity Processed]]/Allocation[[#This Row],[Dilution rate]]</f>
        <v>2501.304347826087</v>
      </c>
      <c r="T879" s="59">
        <f>SUMIF(Allocation[Delivery ID],Allocation[[#This Row],[Delivery ID]],Allocation[Quantity allocated])/SUMIF(Allocation[Delivery ID],Allocation[[#This Row],[Delivery ID]],Allocation[Volume available (kg)])</f>
        <v>0.91996393712516156</v>
      </c>
      <c r="U879" s="61">
        <f>Allocation[[#This Row],[Total volume used]]/VLOOKUP(Allocation[[#This Row],[Delivery ID]],Delivery[[Delivery ID]:[Quantity delivered]],3,FALSE)</f>
        <v>0.90081214689265532</v>
      </c>
      <c r="V879" s="34" t="e">
        <f>VLOOKUP(Allocation[[#This Row],[SAP Contract number]],Shipments[[SAP Contract number]:[Contracted container weight]],2,FALSE)</f>
        <v>#N/A</v>
      </c>
      <c r="W879" s="34" t="e">
        <f>VLOOKUP(Allocation[[#This Row],[SAP Contract number]],Shipments[[SAP Contract number]:[AAA Premium USD]],24,FALSE)</f>
        <v>#N/A</v>
      </c>
      <c r="X879" s="34" t="e">
        <f>VLOOKUP(Allocation[[#This Row],[SAP Contract number]],Shipments[[SAP Contract number]:[RA Premium USD]],25,FALSE)</f>
        <v>#N/A</v>
      </c>
      <c r="Y879" s="38">
        <f>Allocation[[#This Row],[Quantity Processed]]/Allocation[[#This Row],[Quantity allocated]]</f>
        <v>2.5002172968274663</v>
      </c>
      <c r="Z879" s="34" t="b">
        <f>Allocation[[#This Row],[Quantity allocated]]&lt;=Allocation[[#This Row],[Quantity Processed]]</f>
        <v>1</v>
      </c>
    </row>
    <row r="880" spans="1:26">
      <c r="A880" s="247" t="s">
        <v>467</v>
      </c>
      <c r="B880" s="197" t="s">
        <v>68</v>
      </c>
      <c r="C880" s="253" t="s">
        <v>1519</v>
      </c>
      <c r="D880" s="188">
        <v>25423</v>
      </c>
      <c r="E880" s="197" t="s">
        <v>1845</v>
      </c>
      <c r="F880" s="176">
        <v>43531</v>
      </c>
      <c r="G880" s="205">
        <v>2.2999999999999998</v>
      </c>
      <c r="H880" s="188">
        <v>10169</v>
      </c>
      <c r="I880" s="206">
        <v>1442284</v>
      </c>
      <c r="J880" s="207">
        <v>19175</v>
      </c>
      <c r="K880" s="176">
        <v>43567</v>
      </c>
      <c r="L880" s="197" t="s">
        <v>1850</v>
      </c>
      <c r="M880" s="208">
        <v>4615506586</v>
      </c>
      <c r="N880" s="176">
        <v>43587</v>
      </c>
      <c r="O880" s="209">
        <v>3.9643999999999999</v>
      </c>
      <c r="P880" s="219"/>
      <c r="Q880" s="34">
        <f>SUMIF(Allocation[Delivery ID],Allocation[[#This Row],[Delivery ID]],Allocation[Quantity Processed])</f>
        <v>25423</v>
      </c>
      <c r="R880" s="61">
        <f>Allocation[[#This Row],[Total volume used]]/VLOOKUP(Allocation[[#This Row],[Delivery ID]],Delivery[[Delivery ID]:[Quantity delivered]],3,FALSE)</f>
        <v>0.9021646557842441</v>
      </c>
      <c r="S880" s="34">
        <f>Allocation[[#This Row],[Quantity Processed]]/Allocation[[#This Row],[Dilution rate]]</f>
        <v>11053.478260869566</v>
      </c>
      <c r="T880" s="59">
        <f>SUMIF(Allocation[Delivery ID],Allocation[[#This Row],[Delivery ID]],Allocation[Quantity allocated])/SUMIF(Allocation[Delivery ID],Allocation[[#This Row],[Delivery ID]],Allocation[Volume available (kg)])</f>
        <v>0.91998190614797615</v>
      </c>
      <c r="U880" s="61">
        <f>Allocation[[#This Row],[Total volume used]]/VLOOKUP(Allocation[[#This Row],[Delivery ID]],Delivery[[Delivery ID]:[Quantity delivered]],3,FALSE)</f>
        <v>0.9021646557842441</v>
      </c>
      <c r="V880" s="34" t="e">
        <f>VLOOKUP(Allocation[[#This Row],[SAP Contract number]],Shipments[[SAP Contract number]:[Contracted container weight]],2,FALSE)</f>
        <v>#N/A</v>
      </c>
      <c r="W880" s="34" t="e">
        <f>VLOOKUP(Allocation[[#This Row],[SAP Contract number]],Shipments[[SAP Contract number]:[AAA Premium USD]],24,FALSE)</f>
        <v>#N/A</v>
      </c>
      <c r="X880" s="34" t="e">
        <f>VLOOKUP(Allocation[[#This Row],[SAP Contract number]],Shipments[[SAP Contract number]:[RA Premium USD]],25,FALSE)</f>
        <v>#N/A</v>
      </c>
      <c r="Y880" s="38">
        <f>Allocation[[#This Row],[Quantity Processed]]/Allocation[[#This Row],[Quantity allocated]]</f>
        <v>2.5000491690431703</v>
      </c>
      <c r="Z880" s="34" t="b">
        <f>Allocation[[#This Row],[Quantity allocated]]&lt;=Allocation[[#This Row],[Quantity Processed]]</f>
        <v>1</v>
      </c>
    </row>
    <row r="881" spans="1:26">
      <c r="A881" s="247" t="s">
        <v>467</v>
      </c>
      <c r="B881" s="197" t="s">
        <v>68</v>
      </c>
      <c r="C881" s="253" t="s">
        <v>1520</v>
      </c>
      <c r="D881" s="188">
        <v>13245</v>
      </c>
      <c r="E881" s="197" t="s">
        <v>1845</v>
      </c>
      <c r="F881" s="176">
        <v>43531</v>
      </c>
      <c r="G881" s="205">
        <v>2.2999999999999998</v>
      </c>
      <c r="H881" s="188">
        <v>5298</v>
      </c>
      <c r="I881" s="206">
        <v>1442284</v>
      </c>
      <c r="J881" s="207">
        <v>19175</v>
      </c>
      <c r="K881" s="176">
        <v>43567</v>
      </c>
      <c r="L881" s="197" t="s">
        <v>1850</v>
      </c>
      <c r="M881" s="208">
        <v>4615506586</v>
      </c>
      <c r="N881" s="176">
        <v>43587</v>
      </c>
      <c r="O881" s="209">
        <v>3.9643999999999999</v>
      </c>
      <c r="P881" s="219"/>
      <c r="Q881" s="34">
        <f>SUMIF(Allocation[Delivery ID],Allocation[[#This Row],[Delivery ID]],Allocation[Quantity Processed])</f>
        <v>13245</v>
      </c>
      <c r="R881" s="61">
        <f>Allocation[[#This Row],[Total volume used]]/VLOOKUP(Allocation[[#This Row],[Delivery ID]],Delivery[[Delivery ID]:[Quantity delivered]],3,FALSE)</f>
        <v>0.90224795640326971</v>
      </c>
      <c r="S881" s="34">
        <f>Allocation[[#This Row],[Quantity Processed]]/Allocation[[#This Row],[Dilution rate]]</f>
        <v>5758.6956521739139</v>
      </c>
      <c r="T881" s="59">
        <f>SUMIF(Allocation[Delivery ID],Allocation[[#This Row],[Delivery ID]],Allocation[Quantity allocated])/SUMIF(Allocation[Delivery ID],Allocation[[#This Row],[Delivery ID]],Allocation[Volume available (kg)])</f>
        <v>0.91999999999999982</v>
      </c>
      <c r="U881" s="61">
        <f>Allocation[[#This Row],[Total volume used]]/VLOOKUP(Allocation[[#This Row],[Delivery ID]],Delivery[[Delivery ID]:[Quantity delivered]],3,FALSE)</f>
        <v>0.90224795640326971</v>
      </c>
      <c r="V881" s="34" t="e">
        <f>VLOOKUP(Allocation[[#This Row],[SAP Contract number]],Shipments[[SAP Contract number]:[Contracted container weight]],2,FALSE)</f>
        <v>#N/A</v>
      </c>
      <c r="W881" s="34" t="e">
        <f>VLOOKUP(Allocation[[#This Row],[SAP Contract number]],Shipments[[SAP Contract number]:[AAA Premium USD]],24,FALSE)</f>
        <v>#N/A</v>
      </c>
      <c r="X881" s="34" t="e">
        <f>VLOOKUP(Allocation[[#This Row],[SAP Contract number]],Shipments[[SAP Contract number]:[RA Premium USD]],25,FALSE)</f>
        <v>#N/A</v>
      </c>
      <c r="Y881" s="38">
        <f>Allocation[[#This Row],[Quantity Processed]]/Allocation[[#This Row],[Quantity allocated]]</f>
        <v>2.5</v>
      </c>
      <c r="Z881" s="34" t="b">
        <f>Allocation[[#This Row],[Quantity allocated]]&lt;=Allocation[[#This Row],[Quantity Processed]]</f>
        <v>1</v>
      </c>
    </row>
    <row r="882" spans="1:26">
      <c r="A882" s="247" t="s">
        <v>467</v>
      </c>
      <c r="B882" s="197" t="s">
        <v>68</v>
      </c>
      <c r="C882" s="253" t="s">
        <v>1521</v>
      </c>
      <c r="D882" s="188">
        <v>3518</v>
      </c>
      <c r="E882" s="197" t="s">
        <v>1845</v>
      </c>
      <c r="F882" s="176">
        <v>43531</v>
      </c>
      <c r="G882" s="205">
        <v>2.2999999999999998</v>
      </c>
      <c r="H882" s="188">
        <v>1407</v>
      </c>
      <c r="I882" s="206">
        <v>1442284</v>
      </c>
      <c r="J882" s="207">
        <v>19175</v>
      </c>
      <c r="K882" s="176">
        <v>43567</v>
      </c>
      <c r="L882" s="197" t="s">
        <v>1850</v>
      </c>
      <c r="M882" s="208">
        <v>4615506586</v>
      </c>
      <c r="N882" s="176">
        <v>43587</v>
      </c>
      <c r="O882" s="209">
        <v>3.9643999999999999</v>
      </c>
      <c r="P882" s="219"/>
      <c r="Q882" s="34">
        <f>SUMIF(Allocation[Delivery ID],Allocation[[#This Row],[Delivery ID]],Allocation[Quantity Processed])</f>
        <v>13121</v>
      </c>
      <c r="R882" s="61">
        <f>Allocation[[#This Row],[Total volume used]]/VLOOKUP(Allocation[[#This Row],[Delivery ID]],Delivery[[Delivery ID]:[Quantity delivered]],3,FALSE)</f>
        <v>0.89808350444900753</v>
      </c>
      <c r="S882" s="34">
        <f>Allocation[[#This Row],[Quantity Processed]]/Allocation[[#This Row],[Dilution rate]]</f>
        <v>1529.5652173913045</v>
      </c>
      <c r="T882" s="59">
        <f>SUMIF(Allocation[Delivery ID],Allocation[[#This Row],[Delivery ID]],Allocation[Quantity allocated])/SUMIF(Allocation[Delivery ID],Allocation[[#This Row],[Delivery ID]],Allocation[Volume available (kg)])</f>
        <v>0.91992988339303405</v>
      </c>
      <c r="U882" s="61">
        <f>Allocation[[#This Row],[Total volume used]]/VLOOKUP(Allocation[[#This Row],[Delivery ID]],Delivery[[Delivery ID]:[Quantity delivered]],3,FALSE)</f>
        <v>0.89808350444900753</v>
      </c>
      <c r="V882" s="34" t="e">
        <f>VLOOKUP(Allocation[[#This Row],[SAP Contract number]],Shipments[[SAP Contract number]:[Contracted container weight]],2,FALSE)</f>
        <v>#N/A</v>
      </c>
      <c r="W882" s="34" t="e">
        <f>VLOOKUP(Allocation[[#This Row],[SAP Contract number]],Shipments[[SAP Contract number]:[AAA Premium USD]],24,FALSE)</f>
        <v>#N/A</v>
      </c>
      <c r="X882" s="34" t="e">
        <f>VLOOKUP(Allocation[[#This Row],[SAP Contract number]],Shipments[[SAP Contract number]:[RA Premium USD]],25,FALSE)</f>
        <v>#N/A</v>
      </c>
      <c r="Y882" s="38">
        <f>Allocation[[#This Row],[Quantity Processed]]/Allocation[[#This Row],[Quantity allocated]]</f>
        <v>2.5003553660270077</v>
      </c>
      <c r="Z882" s="34" t="b">
        <f>Allocation[[#This Row],[Quantity allocated]]&lt;=Allocation[[#This Row],[Quantity Processed]]</f>
        <v>1</v>
      </c>
    </row>
    <row r="883" spans="1:26">
      <c r="A883" s="247" t="s">
        <v>467</v>
      </c>
      <c r="B883" s="197" t="s">
        <v>68</v>
      </c>
      <c r="C883" s="253" t="s">
        <v>1521</v>
      </c>
      <c r="D883" s="188">
        <v>9603</v>
      </c>
      <c r="E883" s="197" t="s">
        <v>1845</v>
      </c>
      <c r="F883" s="176">
        <v>43531</v>
      </c>
      <c r="G883" s="205">
        <v>2.2999999999999998</v>
      </c>
      <c r="H883" s="188">
        <v>3841</v>
      </c>
      <c r="I883" s="206">
        <v>1442285</v>
      </c>
      <c r="J883" s="207">
        <v>19175</v>
      </c>
      <c r="K883" s="176">
        <v>43567</v>
      </c>
      <c r="L883" s="197" t="s">
        <v>1851</v>
      </c>
      <c r="M883" s="208">
        <v>4615506586</v>
      </c>
      <c r="N883" s="176">
        <v>43587</v>
      </c>
      <c r="O883" s="209">
        <v>3.9643999999999999</v>
      </c>
      <c r="P883" s="219"/>
      <c r="Q883" s="34">
        <f>SUMIF(Allocation[Delivery ID],Allocation[[#This Row],[Delivery ID]],Allocation[Quantity Processed])</f>
        <v>13121</v>
      </c>
      <c r="R883" s="61">
        <f>Allocation[[#This Row],[Total volume used]]/VLOOKUP(Allocation[[#This Row],[Delivery ID]],Delivery[[Delivery ID]:[Quantity delivered]],3,FALSE)</f>
        <v>0.89808350444900753</v>
      </c>
      <c r="S883" s="34">
        <f>Allocation[[#This Row],[Quantity Processed]]/Allocation[[#This Row],[Dilution rate]]</f>
        <v>4175.217391304348</v>
      </c>
      <c r="T883" s="59">
        <f>SUMIF(Allocation[Delivery ID],Allocation[[#This Row],[Delivery ID]],Allocation[Quantity allocated])/SUMIF(Allocation[Delivery ID],Allocation[[#This Row],[Delivery ID]],Allocation[Volume available (kg)])</f>
        <v>0.91992988339303405</v>
      </c>
      <c r="U883" s="61">
        <f>Allocation[[#This Row],[Total volume used]]/VLOOKUP(Allocation[[#This Row],[Delivery ID]],Delivery[[Delivery ID]:[Quantity delivered]],3,FALSE)</f>
        <v>0.89808350444900753</v>
      </c>
      <c r="V883" s="34" t="e">
        <f>VLOOKUP(Allocation[[#This Row],[SAP Contract number]],Shipments[[SAP Contract number]:[Contracted container weight]],2,FALSE)</f>
        <v>#N/A</v>
      </c>
      <c r="W883" s="34" t="e">
        <f>VLOOKUP(Allocation[[#This Row],[SAP Contract number]],Shipments[[SAP Contract number]:[AAA Premium USD]],24,FALSE)</f>
        <v>#N/A</v>
      </c>
      <c r="X883" s="34" t="e">
        <f>VLOOKUP(Allocation[[#This Row],[SAP Contract number]],Shipments[[SAP Contract number]:[RA Premium USD]],25,FALSE)</f>
        <v>#N/A</v>
      </c>
      <c r="Y883" s="38">
        <f>Allocation[[#This Row],[Quantity Processed]]/Allocation[[#This Row],[Quantity allocated]]</f>
        <v>2.5001301744337412</v>
      </c>
      <c r="Z883" s="34" t="b">
        <f>Allocation[[#This Row],[Quantity allocated]]&lt;=Allocation[[#This Row],[Quantity Processed]]</f>
        <v>1</v>
      </c>
    </row>
    <row r="884" spans="1:26">
      <c r="A884" s="247" t="s">
        <v>467</v>
      </c>
      <c r="B884" s="197" t="s">
        <v>68</v>
      </c>
      <c r="C884" s="253" t="s">
        <v>1522</v>
      </c>
      <c r="D884" s="188">
        <v>13498</v>
      </c>
      <c r="E884" s="197" t="s">
        <v>1845</v>
      </c>
      <c r="F884" s="176">
        <v>43531</v>
      </c>
      <c r="G884" s="205">
        <v>2.2999999999999998</v>
      </c>
      <c r="H884" s="188">
        <v>5399</v>
      </c>
      <c r="I884" s="206">
        <v>1442285</v>
      </c>
      <c r="J884" s="207">
        <v>19175</v>
      </c>
      <c r="K884" s="176">
        <v>43567</v>
      </c>
      <c r="L884" s="197" t="s">
        <v>1851</v>
      </c>
      <c r="M884" s="208">
        <v>4615506586</v>
      </c>
      <c r="N884" s="176">
        <v>43587</v>
      </c>
      <c r="O884" s="209">
        <v>3.9643999999999999</v>
      </c>
      <c r="P884" s="219"/>
      <c r="Q884" s="34">
        <f>SUMIF(Allocation[Delivery ID],Allocation[[#This Row],[Delivery ID]],Allocation[Quantity Processed])</f>
        <v>13498</v>
      </c>
      <c r="R884" s="61">
        <f>Allocation[[#This Row],[Total volume used]]/VLOOKUP(Allocation[[#This Row],[Delivery ID]],Delivery[[Delivery ID]:[Quantity delivered]],3,FALSE)</f>
        <v>0.89568679495686798</v>
      </c>
      <c r="S884" s="34">
        <f>Allocation[[#This Row],[Quantity Processed]]/Allocation[[#This Row],[Dilution rate]]</f>
        <v>5868.6956521739139</v>
      </c>
      <c r="T884" s="59">
        <f>SUMIF(Allocation[Delivery ID],Allocation[[#This Row],[Delivery ID]],Allocation[Quantity allocated])/SUMIF(Allocation[Delivery ID],Allocation[[#This Row],[Delivery ID]],Allocation[Volume available (kg)])</f>
        <v>0.91996592087716689</v>
      </c>
      <c r="U884" s="61">
        <f>Allocation[[#This Row],[Total volume used]]/VLOOKUP(Allocation[[#This Row],[Delivery ID]],Delivery[[Delivery ID]:[Quantity delivered]],3,FALSE)</f>
        <v>0.89568679495686798</v>
      </c>
      <c r="V884" s="34" t="e">
        <f>VLOOKUP(Allocation[[#This Row],[SAP Contract number]],Shipments[[SAP Contract number]:[Contracted container weight]],2,FALSE)</f>
        <v>#N/A</v>
      </c>
      <c r="W884" s="34" t="e">
        <f>VLOOKUP(Allocation[[#This Row],[SAP Contract number]],Shipments[[SAP Contract number]:[AAA Premium USD]],24,FALSE)</f>
        <v>#N/A</v>
      </c>
      <c r="X884" s="34" t="e">
        <f>VLOOKUP(Allocation[[#This Row],[SAP Contract number]],Shipments[[SAP Contract number]:[RA Premium USD]],25,FALSE)</f>
        <v>#N/A</v>
      </c>
      <c r="Y884" s="38">
        <f>Allocation[[#This Row],[Quantity Processed]]/Allocation[[#This Row],[Quantity allocated]]</f>
        <v>2.5000926097425449</v>
      </c>
      <c r="Z884" s="34" t="b">
        <f>Allocation[[#This Row],[Quantity allocated]]&lt;=Allocation[[#This Row],[Quantity Processed]]</f>
        <v>1</v>
      </c>
    </row>
    <row r="885" spans="1:26">
      <c r="A885" s="247" t="s">
        <v>467</v>
      </c>
      <c r="B885" s="197" t="s">
        <v>68</v>
      </c>
      <c r="C885" s="253" t="s">
        <v>1598</v>
      </c>
      <c r="D885" s="188">
        <v>2343</v>
      </c>
      <c r="E885" s="197" t="s">
        <v>1845</v>
      </c>
      <c r="F885" s="176">
        <v>43531</v>
      </c>
      <c r="G885" s="205">
        <v>2.2999999999999998</v>
      </c>
      <c r="H885" s="188">
        <v>937</v>
      </c>
      <c r="I885" s="206">
        <v>1442285</v>
      </c>
      <c r="J885" s="207">
        <v>19175</v>
      </c>
      <c r="K885" s="176">
        <v>43567</v>
      </c>
      <c r="L885" s="197" t="s">
        <v>1851</v>
      </c>
      <c r="M885" s="208">
        <v>4615506586</v>
      </c>
      <c r="N885" s="176">
        <v>43587</v>
      </c>
      <c r="O885" s="209">
        <v>3.9643999999999999</v>
      </c>
      <c r="P885" s="219"/>
      <c r="Q885" s="34">
        <f>SUMIF(Allocation[Delivery ID],Allocation[[#This Row],[Delivery ID]],Allocation[Quantity Processed])</f>
        <v>10403</v>
      </c>
      <c r="R885" s="61">
        <f>Allocation[[#This Row],[Total volume used]]/VLOOKUP(Allocation[[#This Row],[Delivery ID]],Delivery[[Delivery ID]:[Quantity delivered]],3,FALSE)</f>
        <v>0.85904211395540875</v>
      </c>
      <c r="S885" s="34">
        <f>Allocation[[#This Row],[Quantity Processed]]/Allocation[[#This Row],[Dilution rate]]</f>
        <v>1018.6956521739131</v>
      </c>
      <c r="T885" s="59">
        <f>SUMIF(Allocation[Delivery ID],Allocation[[#This Row],[Delivery ID]],Allocation[Quantity allocated])/SUMIF(Allocation[Delivery ID],Allocation[[#This Row],[Delivery ID]],Allocation[Volume available (kg)])</f>
        <v>1.0676712459758391</v>
      </c>
      <c r="U885" s="61">
        <f>Allocation[[#This Row],[Total volume used]]/VLOOKUP(Allocation[[#This Row],[Delivery ID]],Delivery[[Delivery ID]:[Quantity delivered]],3,FALSE)</f>
        <v>0.85904211395540875</v>
      </c>
      <c r="V885" s="34" t="e">
        <f>VLOOKUP(Allocation[[#This Row],[SAP Contract number]],Shipments[[SAP Contract number]:[Contracted container weight]],2,FALSE)</f>
        <v>#N/A</v>
      </c>
      <c r="W885" s="34" t="e">
        <f>VLOOKUP(Allocation[[#This Row],[SAP Contract number]],Shipments[[SAP Contract number]:[AAA Premium USD]],24,FALSE)</f>
        <v>#N/A</v>
      </c>
      <c r="X885" s="34" t="e">
        <f>VLOOKUP(Allocation[[#This Row],[SAP Contract number]],Shipments[[SAP Contract number]:[RA Premium USD]],25,FALSE)</f>
        <v>#N/A</v>
      </c>
      <c r="Y885" s="38">
        <f>Allocation[[#This Row],[Quantity Processed]]/Allocation[[#This Row],[Quantity allocated]]</f>
        <v>2.5005336179295625</v>
      </c>
      <c r="Z885" s="34" t="b">
        <f>Allocation[[#This Row],[Quantity allocated]]&lt;=Allocation[[#This Row],[Quantity Processed]]</f>
        <v>1</v>
      </c>
    </row>
    <row r="886" spans="1:26">
      <c r="A886" s="247" t="s">
        <v>467</v>
      </c>
      <c r="B886" s="197" t="s">
        <v>68</v>
      </c>
      <c r="C886" s="253" t="s">
        <v>1648</v>
      </c>
      <c r="D886" s="188">
        <v>7309</v>
      </c>
      <c r="E886" s="197" t="s">
        <v>1845</v>
      </c>
      <c r="F886" s="176">
        <v>43531</v>
      </c>
      <c r="G886" s="205">
        <v>2.2999999999999998</v>
      </c>
      <c r="H886" s="188">
        <v>2412</v>
      </c>
      <c r="I886" s="206">
        <v>1442285</v>
      </c>
      <c r="J886" s="207">
        <v>19175</v>
      </c>
      <c r="K886" s="176">
        <v>43567</v>
      </c>
      <c r="L886" s="197" t="s">
        <v>1851</v>
      </c>
      <c r="M886" s="208">
        <v>4615506586</v>
      </c>
      <c r="N886" s="176">
        <v>43587</v>
      </c>
      <c r="O886" s="209">
        <v>3.9643999999999999</v>
      </c>
      <c r="P886" s="219"/>
      <c r="Q886" s="34">
        <f>SUMIF(Allocation[Delivery ID],Allocation[[#This Row],[Delivery ID]],Allocation[Quantity Processed])</f>
        <v>7309</v>
      </c>
      <c r="R886" s="61">
        <f>Allocation[[#This Row],[Total volume used]]/VLOOKUP(Allocation[[#This Row],[Delivery ID]],Delivery[[Delivery ID]:[Quantity delivered]],3,FALSE)</f>
        <v>0.24363333333333334</v>
      </c>
      <c r="S886" s="34">
        <f>Allocation[[#This Row],[Quantity Processed]]/Allocation[[#This Row],[Dilution rate]]</f>
        <v>3177.826086956522</v>
      </c>
      <c r="T886" s="59">
        <f>SUMIF(Allocation[Delivery ID],Allocation[[#This Row],[Delivery ID]],Allocation[Quantity allocated])/SUMIF(Allocation[Delivery ID],Allocation[[#This Row],[Delivery ID]],Allocation[Volume available (kg)])</f>
        <v>0.75900944041592555</v>
      </c>
      <c r="U886" s="61">
        <f>Allocation[[#This Row],[Total volume used]]/VLOOKUP(Allocation[[#This Row],[Delivery ID]],Delivery[[Delivery ID]:[Quantity delivered]],3,FALSE)</f>
        <v>0.24363333333333334</v>
      </c>
      <c r="V886" s="34" t="e">
        <f>VLOOKUP(Allocation[[#This Row],[SAP Contract number]],Shipments[[SAP Contract number]:[Contracted container weight]],2,FALSE)</f>
        <v>#N/A</v>
      </c>
      <c r="W886" s="34" t="e">
        <f>VLOOKUP(Allocation[[#This Row],[SAP Contract number]],Shipments[[SAP Contract number]:[AAA Premium USD]],24,FALSE)</f>
        <v>#N/A</v>
      </c>
      <c r="X886" s="34" t="e">
        <f>VLOOKUP(Allocation[[#This Row],[SAP Contract number]],Shipments[[SAP Contract number]:[RA Premium USD]],25,FALSE)</f>
        <v>#N/A</v>
      </c>
      <c r="Y886" s="38">
        <f>Allocation[[#This Row],[Quantity Processed]]/Allocation[[#This Row],[Quantity allocated]]</f>
        <v>3.0302653399668324</v>
      </c>
      <c r="Z886" s="34" t="b">
        <f>Allocation[[#This Row],[Quantity allocated]]&lt;=Allocation[[#This Row],[Quantity Processed]]</f>
        <v>1</v>
      </c>
    </row>
    <row r="887" spans="1:26">
      <c r="A887" s="247" t="s">
        <v>467</v>
      </c>
      <c r="B887" s="197" t="s">
        <v>68</v>
      </c>
      <c r="C887" s="253" t="s">
        <v>1650</v>
      </c>
      <c r="D887" s="188">
        <v>9500</v>
      </c>
      <c r="E887" s="197" t="s">
        <v>1845</v>
      </c>
      <c r="F887" s="176">
        <v>43531</v>
      </c>
      <c r="G887" s="205">
        <v>2.2999999999999998</v>
      </c>
      <c r="H887" s="188">
        <v>3135</v>
      </c>
      <c r="I887" s="206">
        <v>1442285</v>
      </c>
      <c r="J887" s="207">
        <v>19175</v>
      </c>
      <c r="K887" s="176">
        <v>43567</v>
      </c>
      <c r="L887" s="197" t="s">
        <v>1851</v>
      </c>
      <c r="M887" s="208">
        <v>4615506586</v>
      </c>
      <c r="N887" s="176">
        <v>43587</v>
      </c>
      <c r="O887" s="209">
        <v>3.9643999999999999</v>
      </c>
      <c r="P887" s="219"/>
      <c r="Q887" s="34">
        <f>SUMIF(Allocation[Delivery ID],Allocation[[#This Row],[Delivery ID]],Allocation[Quantity Processed])</f>
        <v>9500</v>
      </c>
      <c r="R887" s="61">
        <f>Allocation[[#This Row],[Total volume used]]/VLOOKUP(Allocation[[#This Row],[Delivery ID]],Delivery[[Delivery ID]:[Quantity delivered]],3,FALSE)</f>
        <v>0.24358974358974358</v>
      </c>
      <c r="S887" s="34">
        <f>Allocation[[#This Row],[Quantity Processed]]/Allocation[[#This Row],[Dilution rate]]</f>
        <v>4130.434782608696</v>
      </c>
      <c r="T887" s="59">
        <f>SUMIF(Allocation[Delivery ID],Allocation[[#This Row],[Delivery ID]],Allocation[Quantity allocated])/SUMIF(Allocation[Delivery ID],Allocation[[#This Row],[Delivery ID]],Allocation[Volume available (kg)])</f>
        <v>0.7589999999999999</v>
      </c>
      <c r="U887" s="61">
        <f>Allocation[[#This Row],[Total volume used]]/VLOOKUP(Allocation[[#This Row],[Delivery ID]],Delivery[[Delivery ID]:[Quantity delivered]],3,FALSE)</f>
        <v>0.24358974358974358</v>
      </c>
      <c r="V887" s="34" t="e">
        <f>VLOOKUP(Allocation[[#This Row],[SAP Contract number]],Shipments[[SAP Contract number]:[Contracted container weight]],2,FALSE)</f>
        <v>#N/A</v>
      </c>
      <c r="W887" s="34" t="e">
        <f>VLOOKUP(Allocation[[#This Row],[SAP Contract number]],Shipments[[SAP Contract number]:[AAA Premium USD]],24,FALSE)</f>
        <v>#N/A</v>
      </c>
      <c r="X887" s="34" t="e">
        <f>VLOOKUP(Allocation[[#This Row],[SAP Contract number]],Shipments[[SAP Contract number]:[RA Premium USD]],25,FALSE)</f>
        <v>#N/A</v>
      </c>
      <c r="Y887" s="38">
        <f>Allocation[[#This Row],[Quantity Processed]]/Allocation[[#This Row],[Quantity allocated]]</f>
        <v>3.0303030303030303</v>
      </c>
      <c r="Z887" s="34" t="b">
        <f>Allocation[[#This Row],[Quantity allocated]]&lt;=Allocation[[#This Row],[Quantity Processed]]</f>
        <v>1</v>
      </c>
    </row>
    <row r="888" spans="1:26">
      <c r="A888" s="247" t="s">
        <v>467</v>
      </c>
      <c r="B888" s="197" t="s">
        <v>68</v>
      </c>
      <c r="C888" s="253" t="s">
        <v>1653</v>
      </c>
      <c r="D888" s="188">
        <v>7306</v>
      </c>
      <c r="E888" s="197" t="s">
        <v>1845</v>
      </c>
      <c r="F888" s="176">
        <v>43531</v>
      </c>
      <c r="G888" s="205">
        <v>2.2999999999999998</v>
      </c>
      <c r="H888" s="188">
        <v>2411</v>
      </c>
      <c r="I888" s="206">
        <v>1442285</v>
      </c>
      <c r="J888" s="207">
        <v>19175</v>
      </c>
      <c r="K888" s="176">
        <v>43567</v>
      </c>
      <c r="L888" s="197" t="s">
        <v>1851</v>
      </c>
      <c r="M888" s="208">
        <v>4615506586</v>
      </c>
      <c r="N888" s="176">
        <v>43587</v>
      </c>
      <c r="O888" s="209">
        <v>3.9643999999999999</v>
      </c>
      <c r="P888" s="219"/>
      <c r="Q888" s="34">
        <f>SUMIF(Allocation[Delivery ID],Allocation[[#This Row],[Delivery ID]],Allocation[Quantity Processed])</f>
        <v>7306</v>
      </c>
      <c r="R888" s="61">
        <f>Allocation[[#This Row],[Total volume used]]/VLOOKUP(Allocation[[#This Row],[Delivery ID]],Delivery[[Delivery ID]:[Quantity delivered]],3,FALSE)</f>
        <v>0.24361453817939313</v>
      </c>
      <c r="S888" s="34">
        <f>Allocation[[#This Row],[Quantity Processed]]/Allocation[[#This Row],[Dilution rate]]</f>
        <v>3176.521739130435</v>
      </c>
      <c r="T888" s="59">
        <f>SUMIF(Allocation[Delivery ID],Allocation[[#This Row],[Delivery ID]],Allocation[Quantity allocated])/SUMIF(Allocation[Delivery ID],Allocation[[#This Row],[Delivery ID]],Allocation[Volume available (kg)])</f>
        <v>0.75900629619490823</v>
      </c>
      <c r="U888" s="61">
        <f>Allocation[[#This Row],[Total volume used]]/VLOOKUP(Allocation[[#This Row],[Delivery ID]],Delivery[[Delivery ID]:[Quantity delivered]],3,FALSE)</f>
        <v>0.24361453817939313</v>
      </c>
      <c r="V888" s="34" t="e">
        <f>VLOOKUP(Allocation[[#This Row],[SAP Contract number]],Shipments[[SAP Contract number]:[Contracted container weight]],2,FALSE)</f>
        <v>#N/A</v>
      </c>
      <c r="W888" s="34" t="e">
        <f>VLOOKUP(Allocation[[#This Row],[SAP Contract number]],Shipments[[SAP Contract number]:[AAA Premium USD]],24,FALSE)</f>
        <v>#N/A</v>
      </c>
      <c r="X888" s="34" t="e">
        <f>VLOOKUP(Allocation[[#This Row],[SAP Contract number]],Shipments[[SAP Contract number]:[RA Premium USD]],25,FALSE)</f>
        <v>#N/A</v>
      </c>
      <c r="Y888" s="38">
        <f>Allocation[[#This Row],[Quantity Processed]]/Allocation[[#This Row],[Quantity allocated]]</f>
        <v>3.0302778929904606</v>
      </c>
      <c r="Z888" s="34" t="b">
        <f>Allocation[[#This Row],[Quantity allocated]]&lt;=Allocation[[#This Row],[Quantity Processed]]</f>
        <v>1</v>
      </c>
    </row>
    <row r="889" spans="1:26">
      <c r="A889" s="247" t="s">
        <v>467</v>
      </c>
      <c r="B889" s="197" t="s">
        <v>68</v>
      </c>
      <c r="C889" s="253" t="s">
        <v>1655</v>
      </c>
      <c r="D889" s="188">
        <v>3151</v>
      </c>
      <c r="E889" s="197" t="s">
        <v>1845</v>
      </c>
      <c r="F889" s="176">
        <v>43531</v>
      </c>
      <c r="G889" s="205">
        <v>2.2999999999999998</v>
      </c>
      <c r="H889" s="188">
        <v>1040</v>
      </c>
      <c r="I889" s="206">
        <v>1442285</v>
      </c>
      <c r="J889" s="207">
        <v>19175</v>
      </c>
      <c r="K889" s="176">
        <v>43567</v>
      </c>
      <c r="L889" s="197" t="s">
        <v>1851</v>
      </c>
      <c r="M889" s="208">
        <v>4615506586</v>
      </c>
      <c r="N889" s="176">
        <v>43587</v>
      </c>
      <c r="O889" s="209">
        <v>3.9643999999999999</v>
      </c>
      <c r="P889" s="219"/>
      <c r="Q889" s="34">
        <f>SUMIF(Allocation[Delivery ID],Allocation[[#This Row],[Delivery ID]],Allocation[Quantity Processed])</f>
        <v>8006</v>
      </c>
      <c r="R889" s="61">
        <f>Allocation[[#This Row],[Total volume used]]/VLOOKUP(Allocation[[#This Row],[Delivery ID]],Delivery[[Delivery ID]:[Quantity delivered]],3,FALSE)</f>
        <v>0.24363968350578211</v>
      </c>
      <c r="S889" s="34">
        <f>Allocation[[#This Row],[Quantity Processed]]/Allocation[[#This Row],[Dilution rate]]</f>
        <v>1370</v>
      </c>
      <c r="T889" s="59">
        <f>SUMIF(Allocation[Delivery ID],Allocation[[#This Row],[Delivery ID]],Allocation[Quantity allocated])/SUMIF(Allocation[Delivery ID],Allocation[[#This Row],[Delivery ID]],Allocation[Volume available (kg)])</f>
        <v>0.75900574569073187</v>
      </c>
      <c r="U889" s="61">
        <f>Allocation[[#This Row],[Total volume used]]/VLOOKUP(Allocation[[#This Row],[Delivery ID]],Delivery[[Delivery ID]:[Quantity delivered]],3,FALSE)</f>
        <v>0.24363968350578211</v>
      </c>
      <c r="V889" s="34" t="e">
        <f>VLOOKUP(Allocation[[#This Row],[SAP Contract number]],Shipments[[SAP Contract number]:[Contracted container weight]],2,FALSE)</f>
        <v>#N/A</v>
      </c>
      <c r="W889" s="34" t="e">
        <f>VLOOKUP(Allocation[[#This Row],[SAP Contract number]],Shipments[[SAP Contract number]:[AAA Premium USD]],24,FALSE)</f>
        <v>#N/A</v>
      </c>
      <c r="X889" s="34" t="e">
        <f>VLOOKUP(Allocation[[#This Row],[SAP Contract number]],Shipments[[SAP Contract number]:[RA Premium USD]],25,FALSE)</f>
        <v>#N/A</v>
      </c>
      <c r="Y889" s="38">
        <f>Allocation[[#This Row],[Quantity Processed]]/Allocation[[#This Row],[Quantity allocated]]</f>
        <v>3.0298076923076924</v>
      </c>
      <c r="Z889" s="34" t="b">
        <f>Allocation[[#This Row],[Quantity allocated]]&lt;=Allocation[[#This Row],[Quantity Processed]]</f>
        <v>1</v>
      </c>
    </row>
    <row r="890" spans="1:26">
      <c r="A890" s="247" t="s">
        <v>467</v>
      </c>
      <c r="B890" s="197" t="s">
        <v>68</v>
      </c>
      <c r="C890" s="253" t="s">
        <v>1655</v>
      </c>
      <c r="D890" s="188">
        <v>4855</v>
      </c>
      <c r="E890" s="197" t="s">
        <v>1845</v>
      </c>
      <c r="F890" s="176">
        <v>43531</v>
      </c>
      <c r="G890" s="205">
        <v>2.2999999999999998</v>
      </c>
      <c r="H890" s="188">
        <v>1602</v>
      </c>
      <c r="I890" s="206">
        <v>1442286</v>
      </c>
      <c r="J890" s="207">
        <v>19175</v>
      </c>
      <c r="K890" s="176">
        <v>43567</v>
      </c>
      <c r="L890" s="197" t="s">
        <v>1852</v>
      </c>
      <c r="M890" s="208">
        <v>4615506586</v>
      </c>
      <c r="N890" s="176">
        <v>43587</v>
      </c>
      <c r="O890" s="209">
        <v>3.9643999999999999</v>
      </c>
      <c r="P890" s="219"/>
      <c r="Q890" s="34">
        <f>SUMIF(Allocation[Delivery ID],Allocation[[#This Row],[Delivery ID]],Allocation[Quantity Processed])</f>
        <v>8006</v>
      </c>
      <c r="R890" s="61">
        <f>Allocation[[#This Row],[Total volume used]]/VLOOKUP(Allocation[[#This Row],[Delivery ID]],Delivery[[Delivery ID]:[Quantity delivered]],3,FALSE)</f>
        <v>0.24363968350578211</v>
      </c>
      <c r="S890" s="34">
        <f>Allocation[[#This Row],[Quantity Processed]]/Allocation[[#This Row],[Dilution rate]]</f>
        <v>2110.8695652173915</v>
      </c>
      <c r="T890" s="59">
        <f>SUMIF(Allocation[Delivery ID],Allocation[[#This Row],[Delivery ID]],Allocation[Quantity allocated])/SUMIF(Allocation[Delivery ID],Allocation[[#This Row],[Delivery ID]],Allocation[Volume available (kg)])</f>
        <v>0.75900574569073187</v>
      </c>
      <c r="U890" s="61">
        <f>Allocation[[#This Row],[Total volume used]]/VLOOKUP(Allocation[[#This Row],[Delivery ID]],Delivery[[Delivery ID]:[Quantity delivered]],3,FALSE)</f>
        <v>0.24363968350578211</v>
      </c>
      <c r="V890" s="34" t="e">
        <f>VLOOKUP(Allocation[[#This Row],[SAP Contract number]],Shipments[[SAP Contract number]:[Contracted container weight]],2,FALSE)</f>
        <v>#N/A</v>
      </c>
      <c r="W890" s="34" t="e">
        <f>VLOOKUP(Allocation[[#This Row],[SAP Contract number]],Shipments[[SAP Contract number]:[AAA Premium USD]],24,FALSE)</f>
        <v>#N/A</v>
      </c>
      <c r="X890" s="34" t="e">
        <f>VLOOKUP(Allocation[[#This Row],[SAP Contract number]],Shipments[[SAP Contract number]:[RA Premium USD]],25,FALSE)</f>
        <v>#N/A</v>
      </c>
      <c r="Y890" s="38">
        <f>Allocation[[#This Row],[Quantity Processed]]/Allocation[[#This Row],[Quantity allocated]]</f>
        <v>3.0305867665418229</v>
      </c>
      <c r="Z890" s="34" t="b">
        <f>Allocation[[#This Row],[Quantity allocated]]&lt;=Allocation[[#This Row],[Quantity Processed]]</f>
        <v>1</v>
      </c>
    </row>
    <row r="891" spans="1:26">
      <c r="A891" s="247" t="s">
        <v>467</v>
      </c>
      <c r="B891" s="197" t="s">
        <v>68</v>
      </c>
      <c r="C891" s="253" t="s">
        <v>1656</v>
      </c>
      <c r="D891" s="188">
        <v>606</v>
      </c>
      <c r="E891" s="197" t="s">
        <v>1845</v>
      </c>
      <c r="F891" s="176">
        <v>43531</v>
      </c>
      <c r="G891" s="205">
        <v>2.2999999999999998</v>
      </c>
      <c r="H891" s="188">
        <v>200</v>
      </c>
      <c r="I891" s="206">
        <v>1442286</v>
      </c>
      <c r="J891" s="207">
        <v>19175</v>
      </c>
      <c r="K891" s="176">
        <v>43567</v>
      </c>
      <c r="L891" s="197" t="s">
        <v>1852</v>
      </c>
      <c r="M891" s="208">
        <v>4615506586</v>
      </c>
      <c r="N891" s="176">
        <v>43587</v>
      </c>
      <c r="O891" s="209">
        <v>3.9643999999999999</v>
      </c>
      <c r="P891" s="219"/>
      <c r="Q891" s="34">
        <f>SUMIF(Allocation[Delivery ID],Allocation[[#This Row],[Delivery ID]],Allocation[Quantity Processed])</f>
        <v>606</v>
      </c>
      <c r="R891" s="61">
        <f>Allocation[[#This Row],[Total volume used]]/VLOOKUP(Allocation[[#This Row],[Delivery ID]],Delivery[[Delivery ID]:[Quantity delivered]],3,FALSE)</f>
        <v>0.24405960531614981</v>
      </c>
      <c r="S891" s="34">
        <f>Allocation[[#This Row],[Quantity Processed]]/Allocation[[#This Row],[Dilution rate]]</f>
        <v>263.47826086956525</v>
      </c>
      <c r="T891" s="59">
        <f>SUMIF(Allocation[Delivery ID],Allocation[[#This Row],[Delivery ID]],Allocation[Quantity allocated])/SUMIF(Allocation[Delivery ID],Allocation[[#This Row],[Delivery ID]],Allocation[Volume available (kg)])</f>
        <v>0.75907590759075894</v>
      </c>
      <c r="U891" s="61">
        <f>Allocation[[#This Row],[Total volume used]]/VLOOKUP(Allocation[[#This Row],[Delivery ID]],Delivery[[Delivery ID]:[Quantity delivered]],3,FALSE)</f>
        <v>0.24405960531614981</v>
      </c>
      <c r="V891" s="34" t="e">
        <f>VLOOKUP(Allocation[[#This Row],[SAP Contract number]],Shipments[[SAP Contract number]:[Contracted container weight]],2,FALSE)</f>
        <v>#N/A</v>
      </c>
      <c r="W891" s="34" t="e">
        <f>VLOOKUP(Allocation[[#This Row],[SAP Contract number]],Shipments[[SAP Contract number]:[AAA Premium USD]],24,FALSE)</f>
        <v>#N/A</v>
      </c>
      <c r="X891" s="34" t="e">
        <f>VLOOKUP(Allocation[[#This Row],[SAP Contract number]],Shipments[[SAP Contract number]:[RA Premium USD]],25,FALSE)</f>
        <v>#N/A</v>
      </c>
      <c r="Y891" s="38">
        <f>Allocation[[#This Row],[Quantity Processed]]/Allocation[[#This Row],[Quantity allocated]]</f>
        <v>3.03</v>
      </c>
      <c r="Z891" s="34" t="b">
        <f>Allocation[[#This Row],[Quantity allocated]]&lt;=Allocation[[#This Row],[Quantity Processed]]</f>
        <v>1</v>
      </c>
    </row>
    <row r="892" spans="1:26">
      <c r="A892" s="247" t="s">
        <v>467</v>
      </c>
      <c r="B892" s="197" t="s">
        <v>68</v>
      </c>
      <c r="C892" s="253" t="s">
        <v>1712</v>
      </c>
      <c r="D892" s="188">
        <v>29213</v>
      </c>
      <c r="E892" s="197" t="s">
        <v>1845</v>
      </c>
      <c r="F892" s="176">
        <v>43531</v>
      </c>
      <c r="G892" s="205">
        <v>2.2999999999999998</v>
      </c>
      <c r="H892" s="188">
        <v>11685</v>
      </c>
      <c r="I892" s="206">
        <v>1442286</v>
      </c>
      <c r="J892" s="207">
        <v>19175</v>
      </c>
      <c r="K892" s="176">
        <v>43567</v>
      </c>
      <c r="L892" s="197" t="s">
        <v>1852</v>
      </c>
      <c r="M892" s="208">
        <v>4615506586</v>
      </c>
      <c r="N892" s="176">
        <v>43587</v>
      </c>
      <c r="O892" s="209">
        <v>3.9643999999999999</v>
      </c>
      <c r="P892" s="219"/>
      <c r="Q892" s="34">
        <f>SUMIF(Allocation[Delivery ID],Allocation[[#This Row],[Delivery ID]],Allocation[Quantity Processed])</f>
        <v>29213</v>
      </c>
      <c r="R892" s="61">
        <f>Allocation[[#This Row],[Total volume used]]/VLOOKUP(Allocation[[#This Row],[Delivery ID]],Delivery[[Delivery ID]:[Quantity delivered]],3,FALSE)</f>
        <v>0.90163580246913577</v>
      </c>
      <c r="S892" s="34">
        <f>Allocation[[#This Row],[Quantity Processed]]/Allocation[[#This Row],[Dilution rate]]</f>
        <v>12701.304347826088</v>
      </c>
      <c r="T892" s="59">
        <f>SUMIF(Allocation[Delivery ID],Allocation[[#This Row],[Delivery ID]],Allocation[Quantity allocated])/SUMIF(Allocation[Delivery ID],Allocation[[#This Row],[Delivery ID]],Allocation[Volume available (kg)])</f>
        <v>0.91998425358573233</v>
      </c>
      <c r="U892" s="61">
        <f>Allocation[[#This Row],[Total volume used]]/VLOOKUP(Allocation[[#This Row],[Delivery ID]],Delivery[[Delivery ID]:[Quantity delivered]],3,FALSE)</f>
        <v>0.90163580246913577</v>
      </c>
      <c r="V892" s="34" t="e">
        <f>VLOOKUP(Allocation[[#This Row],[SAP Contract number]],Shipments[[SAP Contract number]:[Contracted container weight]],2,FALSE)</f>
        <v>#N/A</v>
      </c>
      <c r="W892" s="34" t="e">
        <f>VLOOKUP(Allocation[[#This Row],[SAP Contract number]],Shipments[[SAP Contract number]:[AAA Premium USD]],24,FALSE)</f>
        <v>#N/A</v>
      </c>
      <c r="X892" s="34" t="e">
        <f>VLOOKUP(Allocation[[#This Row],[SAP Contract number]],Shipments[[SAP Contract number]:[RA Premium USD]],25,FALSE)</f>
        <v>#N/A</v>
      </c>
      <c r="Y892" s="38">
        <f>Allocation[[#This Row],[Quantity Processed]]/Allocation[[#This Row],[Quantity allocated]]</f>
        <v>2.5000427899015834</v>
      </c>
      <c r="Z892" s="34" t="b">
        <f>Allocation[[#This Row],[Quantity allocated]]&lt;=Allocation[[#This Row],[Quantity Processed]]</f>
        <v>1</v>
      </c>
    </row>
    <row r="893" spans="1:26">
      <c r="A893" s="247" t="s">
        <v>467</v>
      </c>
      <c r="B893" s="197" t="s">
        <v>68</v>
      </c>
      <c r="C893" s="253" t="s">
        <v>1714</v>
      </c>
      <c r="D893" s="188">
        <v>14220</v>
      </c>
      <c r="E893" s="197" t="s">
        <v>1845</v>
      </c>
      <c r="F893" s="176">
        <v>43531</v>
      </c>
      <c r="G893" s="205">
        <v>2.2999999999999998</v>
      </c>
      <c r="H893" s="188">
        <v>5688</v>
      </c>
      <c r="I893" s="206">
        <v>1442286</v>
      </c>
      <c r="J893" s="207">
        <v>19175</v>
      </c>
      <c r="K893" s="176">
        <v>43567</v>
      </c>
      <c r="L893" s="197" t="s">
        <v>1852</v>
      </c>
      <c r="M893" s="208">
        <v>4615506586</v>
      </c>
      <c r="N893" s="176">
        <v>43587</v>
      </c>
      <c r="O893" s="209">
        <v>3.9643999999999999</v>
      </c>
      <c r="P893" s="219"/>
      <c r="Q893" s="34">
        <f>SUMIF(Allocation[Delivery ID],Allocation[[#This Row],[Delivery ID]],Allocation[Quantity Processed])</f>
        <v>29483</v>
      </c>
      <c r="R893" s="61">
        <f>Allocation[[#This Row],[Total volume used]]/VLOOKUP(Allocation[[#This Row],[Delivery ID]],Delivery[[Delivery ID]:[Quantity delivered]],3,FALSE)</f>
        <v>0.90162079510703363</v>
      </c>
      <c r="S893" s="34">
        <f>Allocation[[#This Row],[Quantity Processed]]/Allocation[[#This Row],[Dilution rate]]</f>
        <v>6182.608695652174</v>
      </c>
      <c r="T893" s="59">
        <f>SUMIF(Allocation[Delivery ID],Allocation[[#This Row],[Delivery ID]],Allocation[Quantity allocated])/SUMIF(Allocation[Delivery ID],Allocation[[#This Row],[Delivery ID]],Allocation[Volume available (kg)])</f>
        <v>0.91998439778855601</v>
      </c>
      <c r="U893" s="61">
        <f>Allocation[[#This Row],[Total volume used]]/VLOOKUP(Allocation[[#This Row],[Delivery ID]],Delivery[[Delivery ID]:[Quantity delivered]],3,FALSE)</f>
        <v>0.90162079510703363</v>
      </c>
      <c r="V893" s="34" t="e">
        <f>VLOOKUP(Allocation[[#This Row],[SAP Contract number]],Shipments[[SAP Contract number]:[Contracted container weight]],2,FALSE)</f>
        <v>#N/A</v>
      </c>
      <c r="W893" s="34" t="e">
        <f>VLOOKUP(Allocation[[#This Row],[SAP Contract number]],Shipments[[SAP Contract number]:[AAA Premium USD]],24,FALSE)</f>
        <v>#N/A</v>
      </c>
      <c r="X893" s="34" t="e">
        <f>VLOOKUP(Allocation[[#This Row],[SAP Contract number]],Shipments[[SAP Contract number]:[RA Premium USD]],25,FALSE)</f>
        <v>#N/A</v>
      </c>
      <c r="Y893" s="38">
        <f>Allocation[[#This Row],[Quantity Processed]]/Allocation[[#This Row],[Quantity allocated]]</f>
        <v>2.5</v>
      </c>
      <c r="Z893" s="34" t="b">
        <f>Allocation[[#This Row],[Quantity allocated]]&lt;=Allocation[[#This Row],[Quantity Processed]]</f>
        <v>1</v>
      </c>
    </row>
    <row r="894" spans="1:26">
      <c r="A894" s="247" t="s">
        <v>467</v>
      </c>
      <c r="B894" s="197" t="s">
        <v>68</v>
      </c>
      <c r="C894" s="253" t="s">
        <v>1714</v>
      </c>
      <c r="D894" s="188">
        <v>15263</v>
      </c>
      <c r="E894" s="197" t="s">
        <v>1845</v>
      </c>
      <c r="F894" s="176">
        <v>43531</v>
      </c>
      <c r="G894" s="205">
        <v>2.2999999999999998</v>
      </c>
      <c r="H894" s="188">
        <v>6105</v>
      </c>
      <c r="I894" s="206">
        <v>1442287</v>
      </c>
      <c r="J894" s="207">
        <v>19175</v>
      </c>
      <c r="K894" s="176">
        <v>43567</v>
      </c>
      <c r="L894" s="197" t="s">
        <v>1853</v>
      </c>
      <c r="M894" s="208">
        <v>4615506586</v>
      </c>
      <c r="N894" s="176">
        <v>43587</v>
      </c>
      <c r="O894" s="209">
        <v>3.9643999999999999</v>
      </c>
      <c r="P894" s="219"/>
      <c r="Q894" s="34">
        <f>SUMIF(Allocation[Delivery ID],Allocation[[#This Row],[Delivery ID]],Allocation[Quantity Processed])</f>
        <v>29483</v>
      </c>
      <c r="R894" s="61">
        <f>Allocation[[#This Row],[Total volume used]]/VLOOKUP(Allocation[[#This Row],[Delivery ID]],Delivery[[Delivery ID]:[Quantity delivered]],3,FALSE)</f>
        <v>0.90162079510703363</v>
      </c>
      <c r="S894" s="34">
        <f>Allocation[[#This Row],[Quantity Processed]]/Allocation[[#This Row],[Dilution rate]]</f>
        <v>6636.0869565217399</v>
      </c>
      <c r="T894" s="59">
        <f>SUMIF(Allocation[Delivery ID],Allocation[[#This Row],[Delivery ID]],Allocation[Quantity allocated])/SUMIF(Allocation[Delivery ID],Allocation[[#This Row],[Delivery ID]],Allocation[Volume available (kg)])</f>
        <v>0.91998439778855601</v>
      </c>
      <c r="U894" s="61">
        <f>Allocation[[#This Row],[Total volume used]]/VLOOKUP(Allocation[[#This Row],[Delivery ID]],Delivery[[Delivery ID]:[Quantity delivered]],3,FALSE)</f>
        <v>0.90162079510703363</v>
      </c>
      <c r="V894" s="34" t="e">
        <f>VLOOKUP(Allocation[[#This Row],[SAP Contract number]],Shipments[[SAP Contract number]:[Contracted container weight]],2,FALSE)</f>
        <v>#N/A</v>
      </c>
      <c r="W894" s="34" t="e">
        <f>VLOOKUP(Allocation[[#This Row],[SAP Contract number]],Shipments[[SAP Contract number]:[AAA Premium USD]],24,FALSE)</f>
        <v>#N/A</v>
      </c>
      <c r="X894" s="34" t="e">
        <f>VLOOKUP(Allocation[[#This Row],[SAP Contract number]],Shipments[[SAP Contract number]:[RA Premium USD]],25,FALSE)</f>
        <v>#N/A</v>
      </c>
      <c r="Y894" s="38">
        <f>Allocation[[#This Row],[Quantity Processed]]/Allocation[[#This Row],[Quantity allocated]]</f>
        <v>2.5000819000818999</v>
      </c>
      <c r="Z894" s="34" t="b">
        <f>Allocation[[#This Row],[Quantity allocated]]&lt;=Allocation[[#This Row],[Quantity Processed]]</f>
        <v>1</v>
      </c>
    </row>
    <row r="895" spans="1:26">
      <c r="A895" s="247" t="s">
        <v>467</v>
      </c>
      <c r="B895" s="197" t="s">
        <v>68</v>
      </c>
      <c r="C895" s="253" t="s">
        <v>1715</v>
      </c>
      <c r="D895" s="188">
        <v>29213</v>
      </c>
      <c r="E895" s="197" t="s">
        <v>1845</v>
      </c>
      <c r="F895" s="176">
        <v>43531</v>
      </c>
      <c r="G895" s="205">
        <v>2.2999999999999998</v>
      </c>
      <c r="H895" s="188">
        <v>11685</v>
      </c>
      <c r="I895" s="206">
        <v>1442287</v>
      </c>
      <c r="J895" s="207">
        <v>19175</v>
      </c>
      <c r="K895" s="176">
        <v>43567</v>
      </c>
      <c r="L895" s="197" t="s">
        <v>1853</v>
      </c>
      <c r="M895" s="208">
        <v>4615506586</v>
      </c>
      <c r="N895" s="176">
        <v>43587</v>
      </c>
      <c r="O895" s="209">
        <v>3.9643999999999999</v>
      </c>
      <c r="P895" s="219"/>
      <c r="Q895" s="34">
        <f>SUMIF(Allocation[Delivery ID],Allocation[[#This Row],[Delivery ID]],Allocation[Quantity Processed])</f>
        <v>29213</v>
      </c>
      <c r="R895" s="61">
        <f>Allocation[[#This Row],[Total volume used]]/VLOOKUP(Allocation[[#This Row],[Delivery ID]],Delivery[[Delivery ID]:[Quantity delivered]],3,FALSE)</f>
        <v>0.90163580246913577</v>
      </c>
      <c r="S895" s="34">
        <f>Allocation[[#This Row],[Quantity Processed]]/Allocation[[#This Row],[Dilution rate]]</f>
        <v>12701.304347826088</v>
      </c>
      <c r="T895" s="59">
        <f>SUMIF(Allocation[Delivery ID],Allocation[[#This Row],[Delivery ID]],Allocation[Quantity allocated])/SUMIF(Allocation[Delivery ID],Allocation[[#This Row],[Delivery ID]],Allocation[Volume available (kg)])</f>
        <v>0.91998425358573233</v>
      </c>
      <c r="U895" s="61">
        <f>Allocation[[#This Row],[Total volume used]]/VLOOKUP(Allocation[[#This Row],[Delivery ID]],Delivery[[Delivery ID]:[Quantity delivered]],3,FALSE)</f>
        <v>0.90163580246913577</v>
      </c>
      <c r="V895" s="34" t="e">
        <f>VLOOKUP(Allocation[[#This Row],[SAP Contract number]],Shipments[[SAP Contract number]:[Contracted container weight]],2,FALSE)</f>
        <v>#N/A</v>
      </c>
      <c r="W895" s="34" t="e">
        <f>VLOOKUP(Allocation[[#This Row],[SAP Contract number]],Shipments[[SAP Contract number]:[AAA Premium USD]],24,FALSE)</f>
        <v>#N/A</v>
      </c>
      <c r="X895" s="34" t="e">
        <f>VLOOKUP(Allocation[[#This Row],[SAP Contract number]],Shipments[[SAP Contract number]:[RA Premium USD]],25,FALSE)</f>
        <v>#N/A</v>
      </c>
      <c r="Y895" s="38">
        <f>Allocation[[#This Row],[Quantity Processed]]/Allocation[[#This Row],[Quantity allocated]]</f>
        <v>2.5000427899015834</v>
      </c>
      <c r="Z895" s="34" t="b">
        <f>Allocation[[#This Row],[Quantity allocated]]&lt;=Allocation[[#This Row],[Quantity Processed]]</f>
        <v>1</v>
      </c>
    </row>
    <row r="896" spans="1:26">
      <c r="A896" s="247" t="s">
        <v>467</v>
      </c>
      <c r="B896" s="197" t="s">
        <v>68</v>
      </c>
      <c r="C896" s="253" t="s">
        <v>1716</v>
      </c>
      <c r="D896" s="188">
        <v>3463</v>
      </c>
      <c r="E896" s="197" t="s">
        <v>1845</v>
      </c>
      <c r="F896" s="176">
        <v>43531</v>
      </c>
      <c r="G896" s="205">
        <v>2.2999999999999998</v>
      </c>
      <c r="H896" s="188">
        <v>1385</v>
      </c>
      <c r="I896" s="206">
        <v>1442287</v>
      </c>
      <c r="J896" s="207">
        <v>19175</v>
      </c>
      <c r="K896" s="176">
        <v>43567</v>
      </c>
      <c r="L896" s="197" t="s">
        <v>1853</v>
      </c>
      <c r="M896" s="208">
        <v>4615506586</v>
      </c>
      <c r="N896" s="176">
        <v>43587</v>
      </c>
      <c r="O896" s="209">
        <v>3.9643999999999999</v>
      </c>
      <c r="P896" s="219"/>
      <c r="Q896" s="34">
        <f>SUMIF(Allocation[Delivery ID],Allocation[[#This Row],[Delivery ID]],Allocation[Quantity Processed])</f>
        <v>29491</v>
      </c>
      <c r="R896" s="61">
        <f>Allocation[[#This Row],[Total volume used]]/VLOOKUP(Allocation[[#This Row],[Delivery ID]],Delivery[[Delivery ID]:[Quantity delivered]],3,FALSE)</f>
        <v>0.90158972791195358</v>
      </c>
      <c r="S896" s="34">
        <f>Allocation[[#This Row],[Quantity Processed]]/Allocation[[#This Row],[Dilution rate]]</f>
        <v>1505.6521739130435</v>
      </c>
      <c r="T896" s="59">
        <f>SUMIF(Allocation[Delivery ID],Allocation[[#This Row],[Delivery ID]],Allocation[Quantity allocated])/SUMIF(Allocation[Delivery ID],Allocation[[#This Row],[Delivery ID]],Allocation[Volume available (kg)])</f>
        <v>0.91996880404191095</v>
      </c>
      <c r="U896" s="61">
        <f>Allocation[[#This Row],[Total volume used]]/VLOOKUP(Allocation[[#This Row],[Delivery ID]],Delivery[[Delivery ID]:[Quantity delivered]],3,FALSE)</f>
        <v>0.90158972791195358</v>
      </c>
      <c r="V896" s="34" t="e">
        <f>VLOOKUP(Allocation[[#This Row],[SAP Contract number]],Shipments[[SAP Contract number]:[Contracted container weight]],2,FALSE)</f>
        <v>#N/A</v>
      </c>
      <c r="W896" s="34" t="e">
        <f>VLOOKUP(Allocation[[#This Row],[SAP Contract number]],Shipments[[SAP Contract number]:[AAA Premium USD]],24,FALSE)</f>
        <v>#N/A</v>
      </c>
      <c r="X896" s="34" t="e">
        <f>VLOOKUP(Allocation[[#This Row],[SAP Contract number]],Shipments[[SAP Contract number]:[RA Premium USD]],25,FALSE)</f>
        <v>#N/A</v>
      </c>
      <c r="Y896" s="38">
        <f>Allocation[[#This Row],[Quantity Processed]]/Allocation[[#This Row],[Quantity allocated]]</f>
        <v>2.5003610108303249</v>
      </c>
      <c r="Z896" s="34" t="b">
        <f>Allocation[[#This Row],[Quantity allocated]]&lt;=Allocation[[#This Row],[Quantity Processed]]</f>
        <v>1</v>
      </c>
    </row>
    <row r="897" spans="1:26">
      <c r="A897" s="247" t="s">
        <v>467</v>
      </c>
      <c r="B897" s="197" t="s">
        <v>68</v>
      </c>
      <c r="C897" s="253" t="s">
        <v>1716</v>
      </c>
      <c r="D897" s="188">
        <v>26028</v>
      </c>
      <c r="E897" s="197" t="s">
        <v>1845</v>
      </c>
      <c r="F897" s="176">
        <v>43531</v>
      </c>
      <c r="G897" s="205">
        <v>2.2999999999999998</v>
      </c>
      <c r="H897" s="188">
        <v>10411</v>
      </c>
      <c r="I897" s="206">
        <v>1442288</v>
      </c>
      <c r="J897" s="207">
        <v>19175</v>
      </c>
      <c r="K897" s="176">
        <v>43567</v>
      </c>
      <c r="L897" s="197" t="s">
        <v>1854</v>
      </c>
      <c r="M897" s="208">
        <v>4615506586</v>
      </c>
      <c r="N897" s="176">
        <v>43587</v>
      </c>
      <c r="O897" s="209">
        <v>3.9643999999999999</v>
      </c>
      <c r="P897" s="219"/>
      <c r="Q897" s="34">
        <f>SUMIF(Allocation[Delivery ID],Allocation[[#This Row],[Delivery ID]],Allocation[Quantity Processed])</f>
        <v>29491</v>
      </c>
      <c r="R897" s="61">
        <f>Allocation[[#This Row],[Total volume used]]/VLOOKUP(Allocation[[#This Row],[Delivery ID]],Delivery[[Delivery ID]:[Quantity delivered]],3,FALSE)</f>
        <v>0.90158972791195358</v>
      </c>
      <c r="S897" s="34">
        <f>Allocation[[#This Row],[Quantity Processed]]/Allocation[[#This Row],[Dilution rate]]</f>
        <v>11316.521739130436</v>
      </c>
      <c r="T897" s="59">
        <f>SUMIF(Allocation[Delivery ID],Allocation[[#This Row],[Delivery ID]],Allocation[Quantity allocated])/SUMIF(Allocation[Delivery ID],Allocation[[#This Row],[Delivery ID]],Allocation[Volume available (kg)])</f>
        <v>0.91996880404191095</v>
      </c>
      <c r="U897" s="61">
        <f>Allocation[[#This Row],[Total volume used]]/VLOOKUP(Allocation[[#This Row],[Delivery ID]],Delivery[[Delivery ID]:[Quantity delivered]],3,FALSE)</f>
        <v>0.90158972791195358</v>
      </c>
      <c r="V897" s="34" t="e">
        <f>VLOOKUP(Allocation[[#This Row],[SAP Contract number]],Shipments[[SAP Contract number]:[Contracted container weight]],2,FALSE)</f>
        <v>#N/A</v>
      </c>
      <c r="W897" s="34" t="e">
        <f>VLOOKUP(Allocation[[#This Row],[SAP Contract number]],Shipments[[SAP Contract number]:[AAA Premium USD]],24,FALSE)</f>
        <v>#N/A</v>
      </c>
      <c r="X897" s="34" t="e">
        <f>VLOOKUP(Allocation[[#This Row],[SAP Contract number]],Shipments[[SAP Contract number]:[RA Premium USD]],25,FALSE)</f>
        <v>#N/A</v>
      </c>
      <c r="Y897" s="38">
        <f>Allocation[[#This Row],[Quantity Processed]]/Allocation[[#This Row],[Quantity allocated]]</f>
        <v>2.5000480261262128</v>
      </c>
      <c r="Z897" s="34" t="b">
        <f>Allocation[[#This Row],[Quantity allocated]]&lt;=Allocation[[#This Row],[Quantity Processed]]</f>
        <v>1</v>
      </c>
    </row>
    <row r="898" spans="1:26">
      <c r="A898" s="247" t="s">
        <v>467</v>
      </c>
      <c r="B898" s="197" t="s">
        <v>68</v>
      </c>
      <c r="C898" s="253" t="s">
        <v>1717</v>
      </c>
      <c r="D898" s="188">
        <v>21910</v>
      </c>
      <c r="E898" s="197" t="s">
        <v>1845</v>
      </c>
      <c r="F898" s="176">
        <v>43531</v>
      </c>
      <c r="G898" s="205">
        <v>2.2999999999999998</v>
      </c>
      <c r="H898" s="188">
        <v>8764</v>
      </c>
      <c r="I898" s="206">
        <v>1442288</v>
      </c>
      <c r="J898" s="207">
        <v>19175</v>
      </c>
      <c r="K898" s="176">
        <v>43567</v>
      </c>
      <c r="L898" s="197" t="s">
        <v>1854</v>
      </c>
      <c r="M898" s="208">
        <v>4615506586</v>
      </c>
      <c r="N898" s="176">
        <v>43587</v>
      </c>
      <c r="O898" s="209">
        <v>3.9643999999999999</v>
      </c>
      <c r="P898" s="219"/>
      <c r="Q898" s="34">
        <f>SUMIF(Allocation[Delivery ID],Allocation[[#This Row],[Delivery ID]],Allocation[Quantity Processed])</f>
        <v>34873</v>
      </c>
      <c r="R898" s="61">
        <f>Allocation[[#This Row],[Total volume used]]/VLOOKUP(Allocation[[#This Row],[Delivery ID]],Delivery[[Delivery ID]:[Quantity delivered]],3,FALSE)</f>
        <v>0.90157704239917269</v>
      </c>
      <c r="S898" s="34">
        <f>Allocation[[#This Row],[Quantity Processed]]/Allocation[[#This Row],[Dilution rate]]</f>
        <v>9526.0869565217399</v>
      </c>
      <c r="T898" s="59">
        <f>SUMIF(Allocation[Delivery ID],Allocation[[#This Row],[Delivery ID]],Allocation[Quantity allocated])/SUMIF(Allocation[Delivery ID],Allocation[[#This Row],[Delivery ID]],Allocation[Volume available (kg)])</f>
        <v>0.91998680927938514</v>
      </c>
      <c r="U898" s="61">
        <f>Allocation[[#This Row],[Total volume used]]/VLOOKUP(Allocation[[#This Row],[Delivery ID]],Delivery[[Delivery ID]:[Quantity delivered]],3,FALSE)</f>
        <v>0.90157704239917269</v>
      </c>
      <c r="V898" s="34" t="e">
        <f>VLOOKUP(Allocation[[#This Row],[SAP Contract number]],Shipments[[SAP Contract number]:[Contracted container weight]],2,FALSE)</f>
        <v>#N/A</v>
      </c>
      <c r="W898" s="34" t="e">
        <f>VLOOKUP(Allocation[[#This Row],[SAP Contract number]],Shipments[[SAP Contract number]:[AAA Premium USD]],24,FALSE)</f>
        <v>#N/A</v>
      </c>
      <c r="X898" s="34" t="e">
        <f>VLOOKUP(Allocation[[#This Row],[SAP Contract number]],Shipments[[SAP Contract number]:[RA Premium USD]],25,FALSE)</f>
        <v>#N/A</v>
      </c>
      <c r="Y898" s="38">
        <f>Allocation[[#This Row],[Quantity Processed]]/Allocation[[#This Row],[Quantity allocated]]</f>
        <v>2.5</v>
      </c>
      <c r="Z898" s="34" t="b">
        <f>Allocation[[#This Row],[Quantity allocated]]&lt;=Allocation[[#This Row],[Quantity Processed]]</f>
        <v>1</v>
      </c>
    </row>
    <row r="899" spans="1:26">
      <c r="A899" s="247" t="s">
        <v>467</v>
      </c>
      <c r="B899" s="197" t="s">
        <v>68</v>
      </c>
      <c r="C899" s="253" t="s">
        <v>1717</v>
      </c>
      <c r="D899" s="188">
        <v>12963</v>
      </c>
      <c r="E899" s="197" t="s">
        <v>1845</v>
      </c>
      <c r="F899" s="176">
        <v>43531</v>
      </c>
      <c r="G899" s="205">
        <v>2.2999999999999998</v>
      </c>
      <c r="H899" s="188">
        <v>5185</v>
      </c>
      <c r="I899" s="206">
        <v>1442289</v>
      </c>
      <c r="J899" s="207">
        <v>19175</v>
      </c>
      <c r="K899" s="176">
        <v>43567</v>
      </c>
      <c r="L899" s="197" t="s">
        <v>1855</v>
      </c>
      <c r="M899" s="208">
        <v>4615506586</v>
      </c>
      <c r="N899" s="176">
        <v>43587</v>
      </c>
      <c r="O899" s="209">
        <v>3.9643999999999999</v>
      </c>
      <c r="P899" s="219"/>
      <c r="Q899" s="34">
        <f>SUMIF(Allocation[Delivery ID],Allocation[[#This Row],[Delivery ID]],Allocation[Quantity Processed])</f>
        <v>34873</v>
      </c>
      <c r="R899" s="61">
        <f>Allocation[[#This Row],[Total volume used]]/VLOOKUP(Allocation[[#This Row],[Delivery ID]],Delivery[[Delivery ID]:[Quantity delivered]],3,FALSE)</f>
        <v>0.90157704239917269</v>
      </c>
      <c r="S899" s="34">
        <f>Allocation[[#This Row],[Quantity Processed]]/Allocation[[#This Row],[Dilution rate]]</f>
        <v>5636.0869565217399</v>
      </c>
      <c r="T899" s="59">
        <f>SUMIF(Allocation[Delivery ID],Allocation[[#This Row],[Delivery ID]],Allocation[Quantity allocated])/SUMIF(Allocation[Delivery ID],Allocation[[#This Row],[Delivery ID]],Allocation[Volume available (kg)])</f>
        <v>0.91998680927938514</v>
      </c>
      <c r="U899" s="61">
        <f>Allocation[[#This Row],[Total volume used]]/VLOOKUP(Allocation[[#This Row],[Delivery ID]],Delivery[[Delivery ID]:[Quantity delivered]],3,FALSE)</f>
        <v>0.90157704239917269</v>
      </c>
      <c r="V899" s="34" t="e">
        <f>VLOOKUP(Allocation[[#This Row],[SAP Contract number]],Shipments[[SAP Contract number]:[Contracted container weight]],2,FALSE)</f>
        <v>#N/A</v>
      </c>
      <c r="W899" s="34" t="e">
        <f>VLOOKUP(Allocation[[#This Row],[SAP Contract number]],Shipments[[SAP Contract number]:[AAA Premium USD]],24,FALSE)</f>
        <v>#N/A</v>
      </c>
      <c r="X899" s="34" t="e">
        <f>VLOOKUP(Allocation[[#This Row],[SAP Contract number]],Shipments[[SAP Contract number]:[RA Premium USD]],25,FALSE)</f>
        <v>#N/A</v>
      </c>
      <c r="Y899" s="38">
        <f>Allocation[[#This Row],[Quantity Processed]]/Allocation[[#This Row],[Quantity allocated]]</f>
        <v>2.5000964320154293</v>
      </c>
      <c r="Z899" s="34" t="b">
        <f>Allocation[[#This Row],[Quantity allocated]]&lt;=Allocation[[#This Row],[Quantity Processed]]</f>
        <v>1</v>
      </c>
    </row>
    <row r="900" spans="1:26">
      <c r="A900" s="247" t="s">
        <v>467</v>
      </c>
      <c r="B900" s="197" t="s">
        <v>68</v>
      </c>
      <c r="C900" s="253" t="s">
        <v>1718</v>
      </c>
      <c r="D900" s="188">
        <v>34973</v>
      </c>
      <c r="E900" s="197" t="s">
        <v>1845</v>
      </c>
      <c r="F900" s="176">
        <v>43531</v>
      </c>
      <c r="G900" s="205">
        <v>2.2999999999999998</v>
      </c>
      <c r="H900" s="188">
        <v>13990</v>
      </c>
      <c r="I900" s="206">
        <v>1442289</v>
      </c>
      <c r="J900" s="207">
        <v>19175</v>
      </c>
      <c r="K900" s="176">
        <v>43567</v>
      </c>
      <c r="L900" s="197" t="s">
        <v>1855</v>
      </c>
      <c r="M900" s="208">
        <v>4615506586</v>
      </c>
      <c r="N900" s="176">
        <v>43587</v>
      </c>
      <c r="O900" s="209">
        <v>3.9643999999999999</v>
      </c>
      <c r="P900" s="219"/>
      <c r="Q900" s="34">
        <f>SUMIF(Allocation[Delivery ID],Allocation[[#This Row],[Delivery ID]],Allocation[Quantity Processed])</f>
        <v>34973</v>
      </c>
      <c r="R900" s="61">
        <f>Allocation[[#This Row],[Total volume used]]/VLOOKUP(Allocation[[#This Row],[Delivery ID]],Delivery[[Delivery ID]:[Quantity delivered]],3,FALSE)</f>
        <v>0.90159835009022948</v>
      </c>
      <c r="S900" s="34">
        <f>Allocation[[#This Row],[Quantity Processed]]/Allocation[[#This Row],[Dilution rate]]</f>
        <v>15205.652173913044</v>
      </c>
      <c r="T900" s="59">
        <f>SUMIF(Allocation[Delivery ID],Allocation[[#This Row],[Delivery ID]],Allocation[Quantity allocated])/SUMIF(Allocation[Delivery ID],Allocation[[#This Row],[Delivery ID]],Allocation[Volume available (kg)])</f>
        <v>0.92005261201498301</v>
      </c>
      <c r="U900" s="61">
        <f>Allocation[[#This Row],[Total volume used]]/VLOOKUP(Allocation[[#This Row],[Delivery ID]],Delivery[[Delivery ID]:[Quantity delivered]],3,FALSE)</f>
        <v>0.90159835009022948</v>
      </c>
      <c r="V900" s="34" t="e">
        <f>VLOOKUP(Allocation[[#This Row],[SAP Contract number]],Shipments[[SAP Contract number]:[Contracted container weight]],2,FALSE)</f>
        <v>#N/A</v>
      </c>
      <c r="W900" s="34" t="e">
        <f>VLOOKUP(Allocation[[#This Row],[SAP Contract number]],Shipments[[SAP Contract number]:[AAA Premium USD]],24,FALSE)</f>
        <v>#N/A</v>
      </c>
      <c r="X900" s="34" t="e">
        <f>VLOOKUP(Allocation[[#This Row],[SAP Contract number]],Shipments[[SAP Contract number]:[RA Premium USD]],25,FALSE)</f>
        <v>#N/A</v>
      </c>
      <c r="Y900" s="38">
        <f>Allocation[[#This Row],[Quantity Processed]]/Allocation[[#This Row],[Quantity allocated]]</f>
        <v>2.4998570407433882</v>
      </c>
      <c r="Z900" s="34" t="b">
        <f>Allocation[[#This Row],[Quantity allocated]]&lt;=Allocation[[#This Row],[Quantity Processed]]</f>
        <v>1</v>
      </c>
    </row>
    <row r="901" spans="1:26">
      <c r="A901" s="247" t="s">
        <v>467</v>
      </c>
      <c r="B901" s="197" t="s">
        <v>68</v>
      </c>
      <c r="C901" s="253" t="s">
        <v>1033</v>
      </c>
      <c r="D901" s="188">
        <v>1376</v>
      </c>
      <c r="E901" s="197" t="s">
        <v>1856</v>
      </c>
      <c r="F901" s="176">
        <v>43563</v>
      </c>
      <c r="G901" s="205">
        <v>2.95</v>
      </c>
      <c r="H901" s="188">
        <v>475</v>
      </c>
      <c r="I901" s="206">
        <v>1446480</v>
      </c>
      <c r="J901" s="207">
        <v>19175</v>
      </c>
      <c r="K901" s="176">
        <v>43570</v>
      </c>
      <c r="L901" s="197" t="s">
        <v>1857</v>
      </c>
      <c r="M901" s="208">
        <v>4615506586</v>
      </c>
      <c r="N901" s="176">
        <v>43587</v>
      </c>
      <c r="O901" s="209">
        <v>3.9643999999999999</v>
      </c>
      <c r="P901" s="219"/>
      <c r="Q901" s="34">
        <f>SUMIF(Allocation[Delivery ID],Allocation[[#This Row],[Delivery ID]],Allocation[Quantity Processed])</f>
        <v>31250</v>
      </c>
      <c r="R901" s="61">
        <f>Allocation[[#This Row],[Total volume used]]/VLOOKUP(Allocation[[#This Row],[Delivery ID]],Delivery[[Delivery ID]:[Quantity delivered]],3,FALSE)</f>
        <v>1</v>
      </c>
      <c r="S901" s="34">
        <f>Allocation[[#This Row],[Quantity Processed]]/Allocation[[#This Row],[Dilution rate]]</f>
        <v>466.44067796610165</v>
      </c>
      <c r="T901" s="59">
        <f>SUMIF(Allocation[Delivery ID],Allocation[[#This Row],[Delivery ID]],Allocation[Quantity allocated])/SUMIF(Allocation[Delivery ID],Allocation[[#This Row],[Delivery ID]],Allocation[Volume available (kg)])</f>
        <v>0.92068530063679843</v>
      </c>
      <c r="U901" s="61">
        <f>Allocation[[#This Row],[Total volume used]]/VLOOKUP(Allocation[[#This Row],[Delivery ID]],Delivery[[Delivery ID]:[Quantity delivered]],3,FALSE)</f>
        <v>1</v>
      </c>
      <c r="V901" s="34" t="e">
        <f>VLOOKUP(Allocation[[#This Row],[SAP Contract number]],Shipments[[SAP Contract number]:[Contracted container weight]],2,FALSE)</f>
        <v>#N/A</v>
      </c>
      <c r="W901" s="34" t="e">
        <f>VLOOKUP(Allocation[[#This Row],[SAP Contract number]],Shipments[[SAP Contract number]:[AAA Premium USD]],24,FALSE)</f>
        <v>#N/A</v>
      </c>
      <c r="X901" s="34" t="e">
        <f>VLOOKUP(Allocation[[#This Row],[SAP Contract number]],Shipments[[SAP Contract number]:[RA Premium USD]],25,FALSE)</f>
        <v>#N/A</v>
      </c>
      <c r="Y901" s="38">
        <f>Allocation[[#This Row],[Quantity Processed]]/Allocation[[#This Row],[Quantity allocated]]</f>
        <v>2.8968421052631581</v>
      </c>
      <c r="Z901" s="34" t="b">
        <f>Allocation[[#This Row],[Quantity allocated]]&lt;=Allocation[[#This Row],[Quantity Processed]]</f>
        <v>1</v>
      </c>
    </row>
    <row r="902" spans="1:26">
      <c r="A902" s="247" t="s">
        <v>467</v>
      </c>
      <c r="B902" s="197" t="s">
        <v>68</v>
      </c>
      <c r="C902" s="253" t="s">
        <v>1028</v>
      </c>
      <c r="D902" s="188">
        <v>1105</v>
      </c>
      <c r="E902" s="197" t="s">
        <v>1856</v>
      </c>
      <c r="F902" s="176">
        <v>43563</v>
      </c>
      <c r="G902" s="205">
        <v>2.95</v>
      </c>
      <c r="H902" s="188">
        <v>500</v>
      </c>
      <c r="I902" s="206">
        <v>1446480</v>
      </c>
      <c r="J902" s="207">
        <v>19175</v>
      </c>
      <c r="K902" s="176">
        <v>43570</v>
      </c>
      <c r="L902" s="197" t="s">
        <v>1857</v>
      </c>
      <c r="M902" s="208">
        <v>4615506586</v>
      </c>
      <c r="N902" s="176">
        <v>43587</v>
      </c>
      <c r="O902" s="209">
        <v>3.9643999999999999</v>
      </c>
      <c r="P902" s="219"/>
      <c r="Q902" s="34">
        <f>SUMIF(Allocation[Delivery ID],Allocation[[#This Row],[Delivery ID]],Allocation[Quantity Processed])</f>
        <v>4205</v>
      </c>
      <c r="R902" s="61">
        <f>Allocation[[#This Row],[Total volume used]]/VLOOKUP(Allocation[[#This Row],[Delivery ID]],Delivery[[Delivery ID]:[Quantity delivered]],3,FALSE)</f>
        <v>1</v>
      </c>
      <c r="S902" s="34">
        <f>Allocation[[#This Row],[Quantity Processed]]/Allocation[[#This Row],[Dilution rate]]</f>
        <v>374.57627118644064</v>
      </c>
      <c r="T902" s="59">
        <f>SUMIF(Allocation[Delivery ID],Allocation[[#This Row],[Delivery ID]],Allocation[Quantity allocated])/SUMIF(Allocation[Delivery ID],Allocation[[#This Row],[Delivery ID]],Allocation[Volume available (kg)])</f>
        <v>1.3161803616058407</v>
      </c>
      <c r="U902" s="61">
        <f>Allocation[[#This Row],[Total volume used]]/VLOOKUP(Allocation[[#This Row],[Delivery ID]],Delivery[[Delivery ID]:[Quantity delivered]],3,FALSE)</f>
        <v>1</v>
      </c>
      <c r="V902" s="34" t="e">
        <f>VLOOKUP(Allocation[[#This Row],[SAP Contract number]],Shipments[[SAP Contract number]:[Contracted container weight]],2,FALSE)</f>
        <v>#N/A</v>
      </c>
      <c r="W902" s="34" t="e">
        <f>VLOOKUP(Allocation[[#This Row],[SAP Contract number]],Shipments[[SAP Contract number]:[AAA Premium USD]],24,FALSE)</f>
        <v>#N/A</v>
      </c>
      <c r="X902" s="34" t="e">
        <f>VLOOKUP(Allocation[[#This Row],[SAP Contract number]],Shipments[[SAP Contract number]:[RA Premium USD]],25,FALSE)</f>
        <v>#N/A</v>
      </c>
      <c r="Y902" s="38">
        <f>Allocation[[#This Row],[Quantity Processed]]/Allocation[[#This Row],[Quantity allocated]]</f>
        <v>2.21</v>
      </c>
      <c r="Z902" s="34" t="b">
        <f>Allocation[[#This Row],[Quantity allocated]]&lt;=Allocation[[#This Row],[Quantity Processed]]</f>
        <v>1</v>
      </c>
    </row>
    <row r="903" spans="1:26">
      <c r="A903" s="247" t="s">
        <v>467</v>
      </c>
      <c r="B903" s="197" t="s">
        <v>68</v>
      </c>
      <c r="C903" s="253" t="s">
        <v>1062</v>
      </c>
      <c r="D903" s="188">
        <v>760</v>
      </c>
      <c r="E903" s="197" t="s">
        <v>1856</v>
      </c>
      <c r="F903" s="176">
        <v>43563</v>
      </c>
      <c r="G903" s="205">
        <v>2.95</v>
      </c>
      <c r="H903" s="188">
        <v>342</v>
      </c>
      <c r="I903" s="206">
        <v>1446480</v>
      </c>
      <c r="J903" s="207">
        <v>19175</v>
      </c>
      <c r="K903" s="176">
        <v>43570</v>
      </c>
      <c r="L903" s="197" t="s">
        <v>1857</v>
      </c>
      <c r="M903" s="208">
        <v>4615506586</v>
      </c>
      <c r="N903" s="176">
        <v>43587</v>
      </c>
      <c r="O903" s="209">
        <v>3.9643999999999999</v>
      </c>
      <c r="P903" s="219"/>
      <c r="Q903" s="34">
        <f>SUMIF(Allocation[Delivery ID],Allocation[[#This Row],[Delivery ID]],Allocation[Quantity Processed])</f>
        <v>17572</v>
      </c>
      <c r="R903" s="61">
        <f>Allocation[[#This Row],[Total volume used]]/VLOOKUP(Allocation[[#This Row],[Delivery ID]],Delivery[[Delivery ID]:[Quantity delivered]],3,FALSE)</f>
        <v>0.78097777777777777</v>
      </c>
      <c r="S903" s="34">
        <f>Allocation[[#This Row],[Quantity Processed]]/Allocation[[#This Row],[Dilution rate]]</f>
        <v>257.62711864406776</v>
      </c>
      <c r="T903" s="59">
        <f>SUMIF(Allocation[Delivery ID],Allocation[[#This Row],[Delivery ID]],Allocation[Quantity allocated])/SUMIF(Allocation[Delivery ID],Allocation[[#This Row],[Delivery ID]],Allocation[Volume available (kg)])</f>
        <v>1.3108909975420102</v>
      </c>
      <c r="U903" s="61">
        <f>Allocation[[#This Row],[Total volume used]]/VLOOKUP(Allocation[[#This Row],[Delivery ID]],Delivery[[Delivery ID]:[Quantity delivered]],3,FALSE)</f>
        <v>0.78097777777777777</v>
      </c>
      <c r="V903" s="34" t="e">
        <f>VLOOKUP(Allocation[[#This Row],[SAP Contract number]],Shipments[[SAP Contract number]:[Contracted container weight]],2,FALSE)</f>
        <v>#N/A</v>
      </c>
      <c r="W903" s="34" t="e">
        <f>VLOOKUP(Allocation[[#This Row],[SAP Contract number]],Shipments[[SAP Contract number]:[AAA Premium USD]],24,FALSE)</f>
        <v>#N/A</v>
      </c>
      <c r="X903" s="34" t="e">
        <f>VLOOKUP(Allocation[[#This Row],[SAP Contract number]],Shipments[[SAP Contract number]:[RA Premium USD]],25,FALSE)</f>
        <v>#N/A</v>
      </c>
      <c r="Y903" s="38">
        <f>Allocation[[#This Row],[Quantity Processed]]/Allocation[[#This Row],[Quantity allocated]]</f>
        <v>2.2222222222222223</v>
      </c>
      <c r="Z903" s="34" t="b">
        <f>Allocation[[#This Row],[Quantity allocated]]&lt;=Allocation[[#This Row],[Quantity Processed]]</f>
        <v>1</v>
      </c>
    </row>
    <row r="904" spans="1:26">
      <c r="A904" s="247" t="s">
        <v>467</v>
      </c>
      <c r="B904" s="197" t="s">
        <v>68</v>
      </c>
      <c r="C904" s="253" t="s">
        <v>1065</v>
      </c>
      <c r="D904" s="188">
        <v>1630</v>
      </c>
      <c r="E904" s="197" t="s">
        <v>1856</v>
      </c>
      <c r="F904" s="176">
        <v>43563</v>
      </c>
      <c r="G904" s="205">
        <v>2.95</v>
      </c>
      <c r="H904" s="188">
        <v>670</v>
      </c>
      <c r="I904" s="206">
        <v>1446480</v>
      </c>
      <c r="J904" s="207">
        <v>19175</v>
      </c>
      <c r="K904" s="176">
        <v>43570</v>
      </c>
      <c r="L904" s="197" t="s">
        <v>1857</v>
      </c>
      <c r="M904" s="208">
        <v>4615506586</v>
      </c>
      <c r="N904" s="176">
        <v>43587</v>
      </c>
      <c r="O904" s="209">
        <v>3.9643999999999999</v>
      </c>
      <c r="P904" s="219"/>
      <c r="Q904" s="34">
        <f>SUMIF(Allocation[Delivery ID],Allocation[[#This Row],[Delivery ID]],Allocation[Quantity Processed])</f>
        <v>8479</v>
      </c>
      <c r="R904" s="61">
        <f>Allocation[[#This Row],[Total volume used]]/VLOOKUP(Allocation[[#This Row],[Delivery ID]],Delivery[[Delivery ID]:[Quantity delivered]],3,FALSE)</f>
        <v>1</v>
      </c>
      <c r="S904" s="34">
        <f>Allocation[[#This Row],[Quantity Processed]]/Allocation[[#This Row],[Dilution rate]]</f>
        <v>552.54237288135585</v>
      </c>
      <c r="T904" s="59">
        <f>SUMIF(Allocation[Delivery ID],Allocation[[#This Row],[Delivery ID]],Allocation[Quantity allocated])/SUMIF(Allocation[Delivery ID],Allocation[[#This Row],[Delivery ID]],Allocation[Volume available (kg)])</f>
        <v>1.1968583858483142</v>
      </c>
      <c r="U904" s="61">
        <f>Allocation[[#This Row],[Total volume used]]/VLOOKUP(Allocation[[#This Row],[Delivery ID]],Delivery[[Delivery ID]:[Quantity delivered]],3,FALSE)</f>
        <v>1</v>
      </c>
      <c r="V904" s="34" t="e">
        <f>VLOOKUP(Allocation[[#This Row],[SAP Contract number]],Shipments[[SAP Contract number]:[Contracted container weight]],2,FALSE)</f>
        <v>#N/A</v>
      </c>
      <c r="W904" s="34" t="e">
        <f>VLOOKUP(Allocation[[#This Row],[SAP Contract number]],Shipments[[SAP Contract number]:[AAA Premium USD]],24,FALSE)</f>
        <v>#N/A</v>
      </c>
      <c r="X904" s="34" t="e">
        <f>VLOOKUP(Allocation[[#This Row],[SAP Contract number]],Shipments[[SAP Contract number]:[RA Premium USD]],25,FALSE)</f>
        <v>#N/A</v>
      </c>
      <c r="Y904" s="38">
        <f>Allocation[[#This Row],[Quantity Processed]]/Allocation[[#This Row],[Quantity allocated]]</f>
        <v>2.4328358208955225</v>
      </c>
      <c r="Z904" s="34" t="b">
        <f>Allocation[[#This Row],[Quantity allocated]]&lt;=Allocation[[#This Row],[Quantity Processed]]</f>
        <v>1</v>
      </c>
    </row>
    <row r="905" spans="1:26">
      <c r="A905" s="247" t="s">
        <v>467</v>
      </c>
      <c r="B905" s="197" t="s">
        <v>68</v>
      </c>
      <c r="C905" s="253" t="s">
        <v>1549</v>
      </c>
      <c r="D905" s="188">
        <v>52085</v>
      </c>
      <c r="E905" s="197" t="s">
        <v>1856</v>
      </c>
      <c r="F905" s="176">
        <v>43563</v>
      </c>
      <c r="G905" s="205">
        <v>2.95</v>
      </c>
      <c r="H905" s="188">
        <v>17188</v>
      </c>
      <c r="I905" s="206">
        <v>1446480</v>
      </c>
      <c r="J905" s="207">
        <v>19175</v>
      </c>
      <c r="K905" s="176">
        <v>43570</v>
      </c>
      <c r="L905" s="197" t="s">
        <v>1857</v>
      </c>
      <c r="M905" s="208">
        <v>4615506586</v>
      </c>
      <c r="N905" s="176">
        <v>43587</v>
      </c>
      <c r="O905" s="209">
        <v>3.9643999999999999</v>
      </c>
      <c r="P905" s="219"/>
      <c r="Q905" s="34">
        <f>SUMIF(Allocation[Delivery ID],Allocation[[#This Row],[Delivery ID]],Allocation[Quantity Processed])</f>
        <v>701772</v>
      </c>
      <c r="R905" s="61">
        <f>Allocation[[#This Row],[Total volume used]]/VLOOKUP(Allocation[[#This Row],[Delivery ID]],Delivery[[Delivery ID]:[Quantity delivered]],3,FALSE)</f>
        <v>0.98939090395137719</v>
      </c>
      <c r="S905" s="34">
        <f>Allocation[[#This Row],[Quantity Processed]]/Allocation[[#This Row],[Dilution rate]]</f>
        <v>17655.932203389828</v>
      </c>
      <c r="T905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905" s="61">
        <f>Allocation[[#This Row],[Total volume used]]/VLOOKUP(Allocation[[#This Row],[Delivery ID]],Delivery[[Delivery ID]:[Quantity delivered]],3,FALSE)</f>
        <v>0.98939090395137719</v>
      </c>
      <c r="V905" s="34" t="e">
        <f>VLOOKUP(Allocation[[#This Row],[SAP Contract number]],Shipments[[SAP Contract number]:[Contracted container weight]],2,FALSE)</f>
        <v>#N/A</v>
      </c>
      <c r="W905" s="34" t="e">
        <f>VLOOKUP(Allocation[[#This Row],[SAP Contract number]],Shipments[[SAP Contract number]:[AAA Premium USD]],24,FALSE)</f>
        <v>#N/A</v>
      </c>
      <c r="X905" s="34" t="e">
        <f>VLOOKUP(Allocation[[#This Row],[SAP Contract number]],Shipments[[SAP Contract number]:[RA Premium USD]],25,FALSE)</f>
        <v>#N/A</v>
      </c>
      <c r="Y905" s="38">
        <f>Allocation[[#This Row],[Quantity Processed]]/Allocation[[#This Row],[Quantity allocated]]</f>
        <v>3.030311845473586</v>
      </c>
      <c r="Z905" s="34" t="b">
        <f>Allocation[[#This Row],[Quantity allocated]]&lt;=Allocation[[#This Row],[Quantity Processed]]</f>
        <v>1</v>
      </c>
    </row>
    <row r="906" spans="1:26">
      <c r="A906" s="247" t="s">
        <v>467</v>
      </c>
      <c r="B906" s="197" t="s">
        <v>68</v>
      </c>
      <c r="C906" s="253" t="s">
        <v>1549</v>
      </c>
      <c r="D906" s="188">
        <v>58106</v>
      </c>
      <c r="E906" s="197" t="s">
        <v>1856</v>
      </c>
      <c r="F906" s="176">
        <v>43563</v>
      </c>
      <c r="G906" s="205">
        <v>2.95</v>
      </c>
      <c r="H906" s="188">
        <v>19175</v>
      </c>
      <c r="I906" s="206">
        <v>1446481</v>
      </c>
      <c r="J906" s="207">
        <v>19175</v>
      </c>
      <c r="K906" s="176">
        <v>43570</v>
      </c>
      <c r="L906" s="197" t="s">
        <v>1858</v>
      </c>
      <c r="M906" s="208">
        <v>4615506586</v>
      </c>
      <c r="N906" s="176">
        <v>43587</v>
      </c>
      <c r="O906" s="209">
        <v>3.9643999999999999</v>
      </c>
      <c r="P906" s="219"/>
      <c r="Q906" s="34">
        <f>SUMIF(Allocation[Delivery ID],Allocation[[#This Row],[Delivery ID]],Allocation[Quantity Processed])</f>
        <v>701772</v>
      </c>
      <c r="R906" s="61">
        <f>Allocation[[#This Row],[Total volume used]]/VLOOKUP(Allocation[[#This Row],[Delivery ID]],Delivery[[Delivery ID]:[Quantity delivered]],3,FALSE)</f>
        <v>0.98939090395137719</v>
      </c>
      <c r="S906" s="34">
        <f>Allocation[[#This Row],[Quantity Processed]]/Allocation[[#This Row],[Dilution rate]]</f>
        <v>19696.949152542373</v>
      </c>
      <c r="T906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906" s="61">
        <f>Allocation[[#This Row],[Total volume used]]/VLOOKUP(Allocation[[#This Row],[Delivery ID]],Delivery[[Delivery ID]:[Quantity delivered]],3,FALSE)</f>
        <v>0.98939090395137719</v>
      </c>
      <c r="V906" s="34" t="e">
        <f>VLOOKUP(Allocation[[#This Row],[SAP Contract number]],Shipments[[SAP Contract number]:[Contracted container weight]],2,FALSE)</f>
        <v>#N/A</v>
      </c>
      <c r="W906" s="34" t="e">
        <f>VLOOKUP(Allocation[[#This Row],[SAP Contract number]],Shipments[[SAP Contract number]:[AAA Premium USD]],24,FALSE)</f>
        <v>#N/A</v>
      </c>
      <c r="X906" s="34" t="e">
        <f>VLOOKUP(Allocation[[#This Row],[SAP Contract number]],Shipments[[SAP Contract number]:[RA Premium USD]],25,FALSE)</f>
        <v>#N/A</v>
      </c>
      <c r="Y906" s="38">
        <f>Allocation[[#This Row],[Quantity Processed]]/Allocation[[#This Row],[Quantity allocated]]</f>
        <v>3.0302998696219037</v>
      </c>
      <c r="Z906" s="34" t="b">
        <f>Allocation[[#This Row],[Quantity allocated]]&lt;=Allocation[[#This Row],[Quantity Processed]]</f>
        <v>1</v>
      </c>
    </row>
    <row r="907" spans="1:26">
      <c r="A907" s="247" t="s">
        <v>467</v>
      </c>
      <c r="B907" s="197" t="s">
        <v>68</v>
      </c>
      <c r="C907" s="253" t="s">
        <v>1549</v>
      </c>
      <c r="D907" s="188">
        <v>58106</v>
      </c>
      <c r="E907" s="197" t="s">
        <v>1856</v>
      </c>
      <c r="F907" s="176">
        <v>43563</v>
      </c>
      <c r="G907" s="205">
        <v>2.95</v>
      </c>
      <c r="H907" s="188">
        <v>19175</v>
      </c>
      <c r="I907" s="206">
        <v>1446482</v>
      </c>
      <c r="J907" s="207">
        <v>19175</v>
      </c>
      <c r="K907" s="176">
        <v>43570</v>
      </c>
      <c r="L907" s="197" t="s">
        <v>1859</v>
      </c>
      <c r="M907" s="208">
        <v>4615506586</v>
      </c>
      <c r="N907" s="176">
        <v>43587</v>
      </c>
      <c r="O907" s="209">
        <v>3.9643999999999999</v>
      </c>
      <c r="P907" s="219"/>
      <c r="Q907" s="34">
        <f>SUMIF(Allocation[Delivery ID],Allocation[[#This Row],[Delivery ID]],Allocation[Quantity Processed])</f>
        <v>701772</v>
      </c>
      <c r="R907" s="61">
        <f>Allocation[[#This Row],[Total volume used]]/VLOOKUP(Allocation[[#This Row],[Delivery ID]],Delivery[[Delivery ID]:[Quantity delivered]],3,FALSE)</f>
        <v>0.98939090395137719</v>
      </c>
      <c r="S907" s="34">
        <f>Allocation[[#This Row],[Quantity Processed]]/Allocation[[#This Row],[Dilution rate]]</f>
        <v>19696.949152542373</v>
      </c>
      <c r="T907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907" s="61">
        <f>Allocation[[#This Row],[Total volume used]]/VLOOKUP(Allocation[[#This Row],[Delivery ID]],Delivery[[Delivery ID]:[Quantity delivered]],3,FALSE)</f>
        <v>0.98939090395137719</v>
      </c>
      <c r="V907" s="34" t="e">
        <f>VLOOKUP(Allocation[[#This Row],[SAP Contract number]],Shipments[[SAP Contract number]:[Contracted container weight]],2,FALSE)</f>
        <v>#N/A</v>
      </c>
      <c r="W907" s="34" t="e">
        <f>VLOOKUP(Allocation[[#This Row],[SAP Contract number]],Shipments[[SAP Contract number]:[AAA Premium USD]],24,FALSE)</f>
        <v>#N/A</v>
      </c>
      <c r="X907" s="34" t="e">
        <f>VLOOKUP(Allocation[[#This Row],[SAP Contract number]],Shipments[[SAP Contract number]:[RA Premium USD]],25,FALSE)</f>
        <v>#N/A</v>
      </c>
      <c r="Y907" s="38">
        <f>Allocation[[#This Row],[Quantity Processed]]/Allocation[[#This Row],[Quantity allocated]]</f>
        <v>3.0302998696219037</v>
      </c>
      <c r="Z907" s="34" t="b">
        <f>Allocation[[#This Row],[Quantity allocated]]&lt;=Allocation[[#This Row],[Quantity Processed]]</f>
        <v>1</v>
      </c>
    </row>
    <row r="908" spans="1:26">
      <c r="A908" s="247" t="s">
        <v>467</v>
      </c>
      <c r="B908" s="197" t="s">
        <v>68</v>
      </c>
      <c r="C908" s="253" t="s">
        <v>1549</v>
      </c>
      <c r="D908" s="188">
        <v>58106</v>
      </c>
      <c r="E908" s="197" t="s">
        <v>1856</v>
      </c>
      <c r="F908" s="176">
        <v>43563</v>
      </c>
      <c r="G908" s="205">
        <v>2.95</v>
      </c>
      <c r="H908" s="188">
        <v>19175</v>
      </c>
      <c r="I908" s="206">
        <v>1446483</v>
      </c>
      <c r="J908" s="207">
        <v>19175</v>
      </c>
      <c r="K908" s="176">
        <v>43570</v>
      </c>
      <c r="L908" s="197" t="s">
        <v>1860</v>
      </c>
      <c r="M908" s="208">
        <v>4615506586</v>
      </c>
      <c r="N908" s="176">
        <v>43587</v>
      </c>
      <c r="O908" s="209">
        <v>3.9643999999999999</v>
      </c>
      <c r="P908" s="219"/>
      <c r="Q908" s="34">
        <f>SUMIF(Allocation[Delivery ID],Allocation[[#This Row],[Delivery ID]],Allocation[Quantity Processed])</f>
        <v>701772</v>
      </c>
      <c r="R908" s="61">
        <f>Allocation[[#This Row],[Total volume used]]/VLOOKUP(Allocation[[#This Row],[Delivery ID]],Delivery[[Delivery ID]:[Quantity delivered]],3,FALSE)</f>
        <v>0.98939090395137719</v>
      </c>
      <c r="S908" s="34">
        <f>Allocation[[#This Row],[Quantity Processed]]/Allocation[[#This Row],[Dilution rate]]</f>
        <v>19696.949152542373</v>
      </c>
      <c r="T908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908" s="61">
        <f>Allocation[[#This Row],[Total volume used]]/VLOOKUP(Allocation[[#This Row],[Delivery ID]],Delivery[[Delivery ID]:[Quantity delivered]],3,FALSE)</f>
        <v>0.98939090395137719</v>
      </c>
      <c r="V908" s="34" t="e">
        <f>VLOOKUP(Allocation[[#This Row],[SAP Contract number]],Shipments[[SAP Contract number]:[Contracted container weight]],2,FALSE)</f>
        <v>#N/A</v>
      </c>
      <c r="W908" s="34" t="e">
        <f>VLOOKUP(Allocation[[#This Row],[SAP Contract number]],Shipments[[SAP Contract number]:[AAA Premium USD]],24,FALSE)</f>
        <v>#N/A</v>
      </c>
      <c r="X908" s="34" t="e">
        <f>VLOOKUP(Allocation[[#This Row],[SAP Contract number]],Shipments[[SAP Contract number]:[RA Premium USD]],25,FALSE)</f>
        <v>#N/A</v>
      </c>
      <c r="Y908" s="38">
        <f>Allocation[[#This Row],[Quantity Processed]]/Allocation[[#This Row],[Quantity allocated]]</f>
        <v>3.0302998696219037</v>
      </c>
      <c r="Z908" s="34" t="b">
        <f>Allocation[[#This Row],[Quantity allocated]]&lt;=Allocation[[#This Row],[Quantity Processed]]</f>
        <v>1</v>
      </c>
    </row>
    <row r="909" spans="1:26">
      <c r="A909" s="247" t="s">
        <v>467</v>
      </c>
      <c r="B909" s="197" t="s">
        <v>68</v>
      </c>
      <c r="C909" s="253" t="s">
        <v>1549</v>
      </c>
      <c r="D909" s="188">
        <v>40264</v>
      </c>
      <c r="E909" s="197" t="s">
        <v>1856</v>
      </c>
      <c r="F909" s="176">
        <v>43563</v>
      </c>
      <c r="G909" s="205">
        <v>2.95</v>
      </c>
      <c r="H909" s="188">
        <v>13287</v>
      </c>
      <c r="I909" s="206">
        <v>1446484</v>
      </c>
      <c r="J909" s="207">
        <v>19175</v>
      </c>
      <c r="K909" s="176">
        <v>43570</v>
      </c>
      <c r="L909" s="197" t="s">
        <v>1861</v>
      </c>
      <c r="M909" s="208">
        <v>4615506586</v>
      </c>
      <c r="N909" s="176">
        <v>43587</v>
      </c>
      <c r="O909" s="209">
        <v>3.9643999999999999</v>
      </c>
      <c r="P909" s="219"/>
      <c r="Q909" s="34">
        <f>SUMIF(Allocation[Delivery ID],Allocation[[#This Row],[Delivery ID]],Allocation[Quantity Processed])</f>
        <v>701772</v>
      </c>
      <c r="R909" s="61">
        <f>Allocation[[#This Row],[Total volume used]]/VLOOKUP(Allocation[[#This Row],[Delivery ID]],Delivery[[Delivery ID]:[Quantity delivered]],3,FALSE)</f>
        <v>0.98939090395137719</v>
      </c>
      <c r="S909" s="34">
        <f>Allocation[[#This Row],[Quantity Processed]]/Allocation[[#This Row],[Dilution rate]]</f>
        <v>13648.813559322032</v>
      </c>
      <c r="T909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909" s="61">
        <f>Allocation[[#This Row],[Total volume used]]/VLOOKUP(Allocation[[#This Row],[Delivery ID]],Delivery[[Delivery ID]:[Quantity delivered]],3,FALSE)</f>
        <v>0.98939090395137719</v>
      </c>
      <c r="V909" s="34" t="e">
        <f>VLOOKUP(Allocation[[#This Row],[SAP Contract number]],Shipments[[SAP Contract number]:[Contracted container weight]],2,FALSE)</f>
        <v>#N/A</v>
      </c>
      <c r="W909" s="34" t="e">
        <f>VLOOKUP(Allocation[[#This Row],[SAP Contract number]],Shipments[[SAP Contract number]:[AAA Premium USD]],24,FALSE)</f>
        <v>#N/A</v>
      </c>
      <c r="X909" s="34" t="e">
        <f>VLOOKUP(Allocation[[#This Row],[SAP Contract number]],Shipments[[SAP Contract number]:[RA Premium USD]],25,FALSE)</f>
        <v>#N/A</v>
      </c>
      <c r="Y909" s="38">
        <f>Allocation[[#This Row],[Quantity Processed]]/Allocation[[#This Row],[Quantity allocated]]</f>
        <v>3.0303303981335139</v>
      </c>
      <c r="Z909" s="34" t="b">
        <f>Allocation[[#This Row],[Quantity allocated]]&lt;=Allocation[[#This Row],[Quantity Processed]]</f>
        <v>1</v>
      </c>
    </row>
    <row r="910" spans="1:26">
      <c r="A910" s="247" t="s">
        <v>467</v>
      </c>
      <c r="B910" s="197" t="s">
        <v>68</v>
      </c>
      <c r="C910" s="253" t="s">
        <v>1551</v>
      </c>
      <c r="D910" s="188">
        <v>17842</v>
      </c>
      <c r="E910" s="197" t="s">
        <v>1856</v>
      </c>
      <c r="F910" s="176">
        <v>43563</v>
      </c>
      <c r="G910" s="205">
        <v>2.95</v>
      </c>
      <c r="H910" s="188">
        <v>5888</v>
      </c>
      <c r="I910" s="206">
        <v>1446484</v>
      </c>
      <c r="J910" s="207">
        <v>19175</v>
      </c>
      <c r="K910" s="176">
        <v>43570</v>
      </c>
      <c r="L910" s="197" t="s">
        <v>1861</v>
      </c>
      <c r="M910" s="208">
        <v>4615506586</v>
      </c>
      <c r="N910" s="176">
        <v>43587</v>
      </c>
      <c r="O910" s="209">
        <v>3.9643999999999999</v>
      </c>
      <c r="P910" s="219"/>
      <c r="Q910" s="34">
        <f>SUMIF(Allocation[Delivery ID],Allocation[[#This Row],[Delivery ID]],Allocation[Quantity Processed])</f>
        <v>330000</v>
      </c>
      <c r="R910" s="61">
        <f>Allocation[[#This Row],[Total volume used]]/VLOOKUP(Allocation[[#This Row],[Delivery ID]],Delivery[[Delivery ID]:[Quantity delivered]],3,FALSE)</f>
        <v>1</v>
      </c>
      <c r="S910" s="34">
        <f>Allocation[[#This Row],[Quantity Processed]]/Allocation[[#This Row],[Dilution rate]]</f>
        <v>6048.1355932203387</v>
      </c>
      <c r="T910" s="59">
        <f>SUMIF(Allocation[Delivery ID],Allocation[[#This Row],[Delivery ID]],Allocation[Quantity allocated])/SUMIF(Allocation[Delivery ID],Allocation[[#This Row],[Delivery ID]],Allocation[Volume available (kg)])</f>
        <v>0.98177301583052401</v>
      </c>
      <c r="U910" s="61">
        <f>Allocation[[#This Row],[Total volume used]]/VLOOKUP(Allocation[[#This Row],[Delivery ID]],Delivery[[Delivery ID]:[Quantity delivered]],3,FALSE)</f>
        <v>1</v>
      </c>
      <c r="V910" s="34" t="e">
        <f>VLOOKUP(Allocation[[#This Row],[SAP Contract number]],Shipments[[SAP Contract number]:[Contracted container weight]],2,FALSE)</f>
        <v>#N/A</v>
      </c>
      <c r="W910" s="34" t="e">
        <f>VLOOKUP(Allocation[[#This Row],[SAP Contract number]],Shipments[[SAP Contract number]:[AAA Premium USD]],24,FALSE)</f>
        <v>#N/A</v>
      </c>
      <c r="X910" s="34" t="e">
        <f>VLOOKUP(Allocation[[#This Row],[SAP Contract number]],Shipments[[SAP Contract number]:[RA Premium USD]],25,FALSE)</f>
        <v>#N/A</v>
      </c>
      <c r="Y910" s="38">
        <f>Allocation[[#This Row],[Quantity Processed]]/Allocation[[#This Row],[Quantity allocated]]</f>
        <v>3.0302309782608696</v>
      </c>
      <c r="Z910" s="34" t="b">
        <f>Allocation[[#This Row],[Quantity allocated]]&lt;=Allocation[[#This Row],[Quantity Processed]]</f>
        <v>1</v>
      </c>
    </row>
    <row r="911" spans="1:26">
      <c r="A911" s="247" t="s">
        <v>467</v>
      </c>
      <c r="B911" s="197" t="s">
        <v>68</v>
      </c>
      <c r="C911" s="253" t="s">
        <v>1551</v>
      </c>
      <c r="D911" s="188">
        <v>42764</v>
      </c>
      <c r="E911" s="197" t="s">
        <v>1856</v>
      </c>
      <c r="F911" s="176">
        <v>43563</v>
      </c>
      <c r="G911" s="205">
        <v>2.95</v>
      </c>
      <c r="H911" s="188">
        <v>14112</v>
      </c>
      <c r="I911" s="206">
        <v>1446485</v>
      </c>
      <c r="J911" s="207">
        <v>19175</v>
      </c>
      <c r="K911" s="176">
        <v>43570</v>
      </c>
      <c r="L911" s="197" t="s">
        <v>1862</v>
      </c>
      <c r="M911" s="208">
        <v>4615506586</v>
      </c>
      <c r="N911" s="176">
        <v>43587</v>
      </c>
      <c r="O911" s="209">
        <v>3.9643999999999999</v>
      </c>
      <c r="P911" s="219"/>
      <c r="Q911" s="34">
        <f>SUMIF(Allocation[Delivery ID],Allocation[[#This Row],[Delivery ID]],Allocation[Quantity Processed])</f>
        <v>330000</v>
      </c>
      <c r="R911" s="61">
        <f>Allocation[[#This Row],[Total volume used]]/VLOOKUP(Allocation[[#This Row],[Delivery ID]],Delivery[[Delivery ID]:[Quantity delivered]],3,FALSE)</f>
        <v>1</v>
      </c>
      <c r="S911" s="34">
        <f>Allocation[[#This Row],[Quantity Processed]]/Allocation[[#This Row],[Dilution rate]]</f>
        <v>14496.271186440677</v>
      </c>
      <c r="T911" s="59">
        <f>SUMIF(Allocation[Delivery ID],Allocation[[#This Row],[Delivery ID]],Allocation[Quantity allocated])/SUMIF(Allocation[Delivery ID],Allocation[[#This Row],[Delivery ID]],Allocation[Volume available (kg)])</f>
        <v>0.98177301583052401</v>
      </c>
      <c r="U911" s="61">
        <f>Allocation[[#This Row],[Total volume used]]/VLOOKUP(Allocation[[#This Row],[Delivery ID]],Delivery[[Delivery ID]:[Quantity delivered]],3,FALSE)</f>
        <v>1</v>
      </c>
      <c r="V911" s="34" t="e">
        <f>VLOOKUP(Allocation[[#This Row],[SAP Contract number]],Shipments[[SAP Contract number]:[Contracted container weight]],2,FALSE)</f>
        <v>#N/A</v>
      </c>
      <c r="W911" s="34" t="e">
        <f>VLOOKUP(Allocation[[#This Row],[SAP Contract number]],Shipments[[SAP Contract number]:[AAA Premium USD]],24,FALSE)</f>
        <v>#N/A</v>
      </c>
      <c r="X911" s="34" t="e">
        <f>VLOOKUP(Allocation[[#This Row],[SAP Contract number]],Shipments[[SAP Contract number]:[RA Premium USD]],25,FALSE)</f>
        <v>#N/A</v>
      </c>
      <c r="Y911" s="38">
        <f>Allocation[[#This Row],[Quantity Processed]]/Allocation[[#This Row],[Quantity allocated]]</f>
        <v>3.0303287981859413</v>
      </c>
      <c r="Z911" s="34" t="b">
        <f>Allocation[[#This Row],[Quantity allocated]]&lt;=Allocation[[#This Row],[Quantity Processed]]</f>
        <v>1</v>
      </c>
    </row>
    <row r="912" spans="1:26">
      <c r="A912" s="247" t="s">
        <v>467</v>
      </c>
      <c r="B912" s="197" t="s">
        <v>68</v>
      </c>
      <c r="C912" s="253" t="s">
        <v>621</v>
      </c>
      <c r="D912" s="188">
        <v>2045</v>
      </c>
      <c r="E912" s="197" t="s">
        <v>1856</v>
      </c>
      <c r="F912" s="176">
        <v>43563</v>
      </c>
      <c r="G912" s="205">
        <v>2.95</v>
      </c>
      <c r="H912" s="188">
        <v>818</v>
      </c>
      <c r="I912" s="206">
        <v>1446485</v>
      </c>
      <c r="J912" s="207">
        <v>19175</v>
      </c>
      <c r="K912" s="176">
        <v>43570</v>
      </c>
      <c r="L912" s="197" t="s">
        <v>1862</v>
      </c>
      <c r="M912" s="208">
        <v>4615506586</v>
      </c>
      <c r="N912" s="176">
        <v>43587</v>
      </c>
      <c r="O912" s="209">
        <v>3.9643999999999999</v>
      </c>
      <c r="P912" s="219"/>
      <c r="Q912" s="34">
        <f>SUMIF(Allocation[Delivery ID],Allocation[[#This Row],[Delivery ID]],Allocation[Quantity Processed])</f>
        <v>34720</v>
      </c>
      <c r="R912" s="61">
        <f>Allocation[[#This Row],[Total volume used]]/VLOOKUP(Allocation[[#This Row],[Delivery ID]],Delivery[[Delivery ID]:[Quantity delivered]],3,FALSE)</f>
        <v>1</v>
      </c>
      <c r="S912" s="34">
        <f>Allocation[[#This Row],[Quantity Processed]]/Allocation[[#This Row],[Dilution rate]]</f>
        <v>693.22033898305085</v>
      </c>
      <c r="T912" s="59">
        <f>SUMIF(Allocation[Delivery ID],Allocation[[#This Row],[Delivery ID]],Allocation[Quantity allocated])/SUMIF(Allocation[Delivery ID],Allocation[[#This Row],[Delivery ID]],Allocation[Volume available (kg)])</f>
        <v>1.019479928276064</v>
      </c>
      <c r="U912" s="61">
        <f>Allocation[[#This Row],[Total volume used]]/VLOOKUP(Allocation[[#This Row],[Delivery ID]],Delivery[[Delivery ID]:[Quantity delivered]],3,FALSE)</f>
        <v>1</v>
      </c>
      <c r="V912" s="34" t="e">
        <f>VLOOKUP(Allocation[[#This Row],[SAP Contract number]],Shipments[[SAP Contract number]:[Contracted container weight]],2,FALSE)</f>
        <v>#N/A</v>
      </c>
      <c r="W912" s="34" t="e">
        <f>VLOOKUP(Allocation[[#This Row],[SAP Contract number]],Shipments[[SAP Contract number]:[AAA Premium USD]],24,FALSE)</f>
        <v>#N/A</v>
      </c>
      <c r="X912" s="34" t="e">
        <f>VLOOKUP(Allocation[[#This Row],[SAP Contract number]],Shipments[[SAP Contract number]:[RA Premium USD]],25,FALSE)</f>
        <v>#N/A</v>
      </c>
      <c r="Y912" s="38">
        <f>Allocation[[#This Row],[Quantity Processed]]/Allocation[[#This Row],[Quantity allocated]]</f>
        <v>2.5</v>
      </c>
      <c r="Z912" s="34" t="b">
        <f>Allocation[[#This Row],[Quantity allocated]]&lt;=Allocation[[#This Row],[Quantity Processed]]</f>
        <v>1</v>
      </c>
    </row>
    <row r="913" spans="1:26">
      <c r="A913" s="247" t="s">
        <v>467</v>
      </c>
      <c r="B913" s="197" t="s">
        <v>68</v>
      </c>
      <c r="C913" s="253" t="s">
        <v>625</v>
      </c>
      <c r="D913" s="188">
        <v>1140</v>
      </c>
      <c r="E913" s="197" t="s">
        <v>1856</v>
      </c>
      <c r="F913" s="176">
        <v>43563</v>
      </c>
      <c r="G913" s="205">
        <v>2.95</v>
      </c>
      <c r="H913" s="188">
        <v>500</v>
      </c>
      <c r="I913" s="206">
        <v>1446485</v>
      </c>
      <c r="J913" s="207">
        <v>19175</v>
      </c>
      <c r="K913" s="176">
        <v>43570</v>
      </c>
      <c r="L913" s="197" t="s">
        <v>1862</v>
      </c>
      <c r="M913" s="208">
        <v>4615506586</v>
      </c>
      <c r="N913" s="176">
        <v>43587</v>
      </c>
      <c r="O913" s="209">
        <v>3.9643999999999999</v>
      </c>
      <c r="P913" s="219"/>
      <c r="Q913" s="34">
        <f>SUMIF(Allocation[Delivery ID],Allocation[[#This Row],[Delivery ID]],Allocation[Quantity Processed])</f>
        <v>51010</v>
      </c>
      <c r="R913" s="61">
        <f>Allocation[[#This Row],[Total volume used]]/VLOOKUP(Allocation[[#This Row],[Delivery ID]],Delivery[[Delivery ID]:[Quantity delivered]],3,FALSE)</f>
        <v>1</v>
      </c>
      <c r="S913" s="34">
        <f>Allocation[[#This Row],[Quantity Processed]]/Allocation[[#This Row],[Dilution rate]]</f>
        <v>386.44067796610165</v>
      </c>
      <c r="T913" s="59">
        <f>SUMIF(Allocation[Delivery ID],Allocation[[#This Row],[Delivery ID]],Allocation[Quantity allocated])/SUMIF(Allocation[Delivery ID],Allocation[[#This Row],[Delivery ID]],Allocation[Volume available (kg)])</f>
        <v>1.0158779890354976</v>
      </c>
      <c r="U913" s="61">
        <f>Allocation[[#This Row],[Total volume used]]/VLOOKUP(Allocation[[#This Row],[Delivery ID]],Delivery[[Delivery ID]:[Quantity delivered]],3,FALSE)</f>
        <v>1</v>
      </c>
      <c r="V913" s="34" t="e">
        <f>VLOOKUP(Allocation[[#This Row],[SAP Contract number]],Shipments[[SAP Contract number]:[Contracted container weight]],2,FALSE)</f>
        <v>#N/A</v>
      </c>
      <c r="W913" s="34" t="e">
        <f>VLOOKUP(Allocation[[#This Row],[SAP Contract number]],Shipments[[SAP Contract number]:[AAA Premium USD]],24,FALSE)</f>
        <v>#N/A</v>
      </c>
      <c r="X913" s="34" t="e">
        <f>VLOOKUP(Allocation[[#This Row],[SAP Contract number]],Shipments[[SAP Contract number]:[RA Premium USD]],25,FALSE)</f>
        <v>#N/A</v>
      </c>
      <c r="Y913" s="38">
        <f>Allocation[[#This Row],[Quantity Processed]]/Allocation[[#This Row],[Quantity allocated]]</f>
        <v>2.2799999999999998</v>
      </c>
      <c r="Z913" s="34" t="b">
        <f>Allocation[[#This Row],[Quantity allocated]]&lt;=Allocation[[#This Row],[Quantity Processed]]</f>
        <v>1</v>
      </c>
    </row>
    <row r="914" spans="1:26">
      <c r="A914" s="247" t="s">
        <v>467</v>
      </c>
      <c r="B914" s="197" t="s">
        <v>68</v>
      </c>
      <c r="C914" s="253" t="s">
        <v>626</v>
      </c>
      <c r="D914" s="188">
        <v>1270</v>
      </c>
      <c r="E914" s="197" t="s">
        <v>1856</v>
      </c>
      <c r="F914" s="176">
        <v>43563</v>
      </c>
      <c r="G914" s="205">
        <v>2.95</v>
      </c>
      <c r="H914" s="188">
        <v>508</v>
      </c>
      <c r="I914" s="206">
        <v>1446485</v>
      </c>
      <c r="J914" s="207">
        <v>19175</v>
      </c>
      <c r="K914" s="176">
        <v>43570</v>
      </c>
      <c r="L914" s="197" t="s">
        <v>1862</v>
      </c>
      <c r="M914" s="208">
        <v>4615506586</v>
      </c>
      <c r="N914" s="176">
        <v>43587</v>
      </c>
      <c r="O914" s="209">
        <v>3.9643999999999999</v>
      </c>
      <c r="P914" s="219"/>
      <c r="Q914" s="34">
        <f>SUMIF(Allocation[Delivery ID],Allocation[[#This Row],[Delivery ID]],Allocation[Quantity Processed])</f>
        <v>33020</v>
      </c>
      <c r="R914" s="61">
        <f>Allocation[[#This Row],[Total volume used]]/VLOOKUP(Allocation[[#This Row],[Delivery ID]],Delivery[[Delivery ID]:[Quantity delivered]],3,FALSE)</f>
        <v>1</v>
      </c>
      <c r="S914" s="34">
        <f>Allocation[[#This Row],[Quantity Processed]]/Allocation[[#This Row],[Dilution rate]]</f>
        <v>430.50847457627117</v>
      </c>
      <c r="T914" s="59">
        <f>SUMIF(Allocation[Delivery ID],Allocation[[#This Row],[Delivery ID]],Allocation[Quantity allocated])/SUMIF(Allocation[Delivery ID],Allocation[[#This Row],[Delivery ID]],Allocation[Volume available (kg)])</f>
        <v>1.0162208215605302</v>
      </c>
      <c r="U914" s="61">
        <f>Allocation[[#This Row],[Total volume used]]/VLOOKUP(Allocation[[#This Row],[Delivery ID]],Delivery[[Delivery ID]:[Quantity delivered]],3,FALSE)</f>
        <v>1</v>
      </c>
      <c r="V914" s="34" t="e">
        <f>VLOOKUP(Allocation[[#This Row],[SAP Contract number]],Shipments[[SAP Contract number]:[Contracted container weight]],2,FALSE)</f>
        <v>#N/A</v>
      </c>
      <c r="W914" s="34" t="e">
        <f>VLOOKUP(Allocation[[#This Row],[SAP Contract number]],Shipments[[SAP Contract number]:[AAA Premium USD]],24,FALSE)</f>
        <v>#N/A</v>
      </c>
      <c r="X914" s="34" t="e">
        <f>VLOOKUP(Allocation[[#This Row],[SAP Contract number]],Shipments[[SAP Contract number]:[RA Premium USD]],25,FALSE)</f>
        <v>#N/A</v>
      </c>
      <c r="Y914" s="38">
        <f>Allocation[[#This Row],[Quantity Processed]]/Allocation[[#This Row],[Quantity allocated]]</f>
        <v>2.5</v>
      </c>
      <c r="Z914" s="34" t="b">
        <f>Allocation[[#This Row],[Quantity allocated]]&lt;=Allocation[[#This Row],[Quantity Processed]]</f>
        <v>1</v>
      </c>
    </row>
    <row r="915" spans="1:26">
      <c r="A915" s="247" t="s">
        <v>467</v>
      </c>
      <c r="B915" s="197" t="s">
        <v>68</v>
      </c>
      <c r="C915" s="253" t="s">
        <v>627</v>
      </c>
      <c r="D915" s="188">
        <v>1250</v>
      </c>
      <c r="E915" s="197" t="s">
        <v>1856</v>
      </c>
      <c r="F915" s="176">
        <v>43563</v>
      </c>
      <c r="G915" s="205">
        <v>2.95</v>
      </c>
      <c r="H915" s="188">
        <v>500</v>
      </c>
      <c r="I915" s="206">
        <v>1446485</v>
      </c>
      <c r="J915" s="207">
        <v>19175</v>
      </c>
      <c r="K915" s="176">
        <v>43570</v>
      </c>
      <c r="L915" s="197" t="s">
        <v>1862</v>
      </c>
      <c r="M915" s="208">
        <v>4615506586</v>
      </c>
      <c r="N915" s="176">
        <v>43587</v>
      </c>
      <c r="O915" s="209">
        <v>3.9643999999999999</v>
      </c>
      <c r="P915" s="219"/>
      <c r="Q915" s="34">
        <f>SUMIF(Allocation[Delivery ID],Allocation[[#This Row],[Delivery ID]],Allocation[Quantity Processed])</f>
        <v>33000</v>
      </c>
      <c r="R915" s="61">
        <f>Allocation[[#This Row],[Total volume used]]/VLOOKUP(Allocation[[#This Row],[Delivery ID]],Delivery[[Delivery ID]:[Quantity delivered]],3,FALSE)</f>
        <v>1</v>
      </c>
      <c r="S915" s="34">
        <f>Allocation[[#This Row],[Quantity Processed]]/Allocation[[#This Row],[Dilution rate]]</f>
        <v>423.72881355932202</v>
      </c>
      <c r="T915" s="59">
        <f>SUMIF(Allocation[Delivery ID],Allocation[[#This Row],[Delivery ID]],Allocation[Quantity allocated])/SUMIF(Allocation[Delivery ID],Allocation[[#This Row],[Delivery ID]],Allocation[Volume available (kg)])</f>
        <v>1.0161353455399469</v>
      </c>
      <c r="U915" s="61">
        <f>Allocation[[#This Row],[Total volume used]]/VLOOKUP(Allocation[[#This Row],[Delivery ID]],Delivery[[Delivery ID]:[Quantity delivered]],3,FALSE)</f>
        <v>1</v>
      </c>
      <c r="V915" s="34" t="e">
        <f>VLOOKUP(Allocation[[#This Row],[SAP Contract number]],Shipments[[SAP Contract number]:[Contracted container weight]],2,FALSE)</f>
        <v>#N/A</v>
      </c>
      <c r="W915" s="34" t="e">
        <f>VLOOKUP(Allocation[[#This Row],[SAP Contract number]],Shipments[[SAP Contract number]:[AAA Premium USD]],24,FALSE)</f>
        <v>#N/A</v>
      </c>
      <c r="X915" s="34" t="e">
        <f>VLOOKUP(Allocation[[#This Row],[SAP Contract number]],Shipments[[SAP Contract number]:[RA Premium USD]],25,FALSE)</f>
        <v>#N/A</v>
      </c>
      <c r="Y915" s="38">
        <f>Allocation[[#This Row],[Quantity Processed]]/Allocation[[#This Row],[Quantity allocated]]</f>
        <v>2.5</v>
      </c>
      <c r="Z915" s="34" t="b">
        <f>Allocation[[#This Row],[Quantity allocated]]&lt;=Allocation[[#This Row],[Quantity Processed]]</f>
        <v>1</v>
      </c>
    </row>
    <row r="916" spans="1:26">
      <c r="A916" s="247" t="s">
        <v>467</v>
      </c>
      <c r="B916" s="197" t="s">
        <v>68</v>
      </c>
      <c r="C916" s="253" t="s">
        <v>628</v>
      </c>
      <c r="D916" s="188">
        <v>1270</v>
      </c>
      <c r="E916" s="197" t="s">
        <v>1856</v>
      </c>
      <c r="F916" s="176">
        <v>43563</v>
      </c>
      <c r="G916" s="205">
        <v>2.95</v>
      </c>
      <c r="H916" s="188">
        <v>508</v>
      </c>
      <c r="I916" s="206">
        <v>1446485</v>
      </c>
      <c r="J916" s="207">
        <v>19175</v>
      </c>
      <c r="K916" s="176">
        <v>43570</v>
      </c>
      <c r="L916" s="197" t="s">
        <v>1862</v>
      </c>
      <c r="M916" s="208">
        <v>4615506586</v>
      </c>
      <c r="N916" s="176">
        <v>43587</v>
      </c>
      <c r="O916" s="209">
        <v>3.9643999999999999</v>
      </c>
      <c r="P916" s="219"/>
      <c r="Q916" s="34">
        <f>SUMIF(Allocation[Delivery ID],Allocation[[#This Row],[Delivery ID]],Allocation[Quantity Processed])</f>
        <v>33020</v>
      </c>
      <c r="R916" s="61">
        <f>Allocation[[#This Row],[Total volume used]]/VLOOKUP(Allocation[[#This Row],[Delivery ID]],Delivery[[Delivery ID]:[Quantity delivered]],3,FALSE)</f>
        <v>1</v>
      </c>
      <c r="S916" s="34">
        <f>Allocation[[#This Row],[Quantity Processed]]/Allocation[[#This Row],[Dilution rate]]</f>
        <v>430.50847457627117</v>
      </c>
      <c r="T916" s="59">
        <f>SUMIF(Allocation[Delivery ID],Allocation[[#This Row],[Delivery ID]],Allocation[Quantity allocated])/SUMIF(Allocation[Delivery ID],Allocation[[#This Row],[Delivery ID]],Allocation[Volume available (kg)])</f>
        <v>1.0162208215605302</v>
      </c>
      <c r="U916" s="61">
        <f>Allocation[[#This Row],[Total volume used]]/VLOOKUP(Allocation[[#This Row],[Delivery ID]],Delivery[[Delivery ID]:[Quantity delivered]],3,FALSE)</f>
        <v>1</v>
      </c>
      <c r="V916" s="34" t="e">
        <f>VLOOKUP(Allocation[[#This Row],[SAP Contract number]],Shipments[[SAP Contract number]:[Contracted container weight]],2,FALSE)</f>
        <v>#N/A</v>
      </c>
      <c r="W916" s="34" t="e">
        <f>VLOOKUP(Allocation[[#This Row],[SAP Contract number]],Shipments[[SAP Contract number]:[AAA Premium USD]],24,FALSE)</f>
        <v>#N/A</v>
      </c>
      <c r="X916" s="34" t="e">
        <f>VLOOKUP(Allocation[[#This Row],[SAP Contract number]],Shipments[[SAP Contract number]:[RA Premium USD]],25,FALSE)</f>
        <v>#N/A</v>
      </c>
      <c r="Y916" s="38">
        <f>Allocation[[#This Row],[Quantity Processed]]/Allocation[[#This Row],[Quantity allocated]]</f>
        <v>2.5</v>
      </c>
      <c r="Z916" s="34" t="b">
        <f>Allocation[[#This Row],[Quantity allocated]]&lt;=Allocation[[#This Row],[Quantity Processed]]</f>
        <v>1</v>
      </c>
    </row>
    <row r="917" spans="1:26">
      <c r="A917" s="247" t="s">
        <v>467</v>
      </c>
      <c r="B917" s="197" t="s">
        <v>68</v>
      </c>
      <c r="C917" s="253" t="s">
        <v>630</v>
      </c>
      <c r="D917" s="188">
        <v>3097</v>
      </c>
      <c r="E917" s="197" t="s">
        <v>1856</v>
      </c>
      <c r="F917" s="176">
        <v>43563</v>
      </c>
      <c r="G917" s="205">
        <v>2.95</v>
      </c>
      <c r="H917" s="188">
        <v>1240</v>
      </c>
      <c r="I917" s="206">
        <v>1446485</v>
      </c>
      <c r="J917" s="207">
        <v>19175</v>
      </c>
      <c r="K917" s="176">
        <v>43570</v>
      </c>
      <c r="L917" s="197" t="s">
        <v>1862</v>
      </c>
      <c r="M917" s="208">
        <v>4615506586</v>
      </c>
      <c r="N917" s="176">
        <v>43587</v>
      </c>
      <c r="O917" s="209">
        <v>3.9643999999999999</v>
      </c>
      <c r="P917" s="219"/>
      <c r="Q917" s="34">
        <f>SUMIF(Allocation[Delivery ID],Allocation[[#This Row],[Delivery ID]],Allocation[Quantity Processed])</f>
        <v>37170</v>
      </c>
      <c r="R917" s="61">
        <f>Allocation[[#This Row],[Total volume used]]/VLOOKUP(Allocation[[#This Row],[Delivery ID]],Delivery[[Delivery ID]:[Quantity delivered]],3,FALSE)</f>
        <v>1</v>
      </c>
      <c r="S917" s="34">
        <f>Allocation[[#This Row],[Quantity Processed]]/Allocation[[#This Row],[Dilution rate]]</f>
        <v>1049.8305084745762</v>
      </c>
      <c r="T917" s="59">
        <f>SUMIF(Allocation[Delivery ID],Allocation[[#This Row],[Delivery ID]],Allocation[Quantity allocated])/SUMIF(Allocation[Delivery ID],Allocation[[#This Row],[Delivery ID]],Allocation[Volume available (kg)])</f>
        <v>1.0235087220833625</v>
      </c>
      <c r="U917" s="61">
        <f>Allocation[[#This Row],[Total volume used]]/VLOOKUP(Allocation[[#This Row],[Delivery ID]],Delivery[[Delivery ID]:[Quantity delivered]],3,FALSE)</f>
        <v>1</v>
      </c>
      <c r="V917" s="34" t="e">
        <f>VLOOKUP(Allocation[[#This Row],[SAP Contract number]],Shipments[[SAP Contract number]:[Contracted container weight]],2,FALSE)</f>
        <v>#N/A</v>
      </c>
      <c r="W917" s="34" t="e">
        <f>VLOOKUP(Allocation[[#This Row],[SAP Contract number]],Shipments[[SAP Contract number]:[AAA Premium USD]],24,FALSE)</f>
        <v>#N/A</v>
      </c>
      <c r="X917" s="34" t="e">
        <f>VLOOKUP(Allocation[[#This Row],[SAP Contract number]],Shipments[[SAP Contract number]:[RA Premium USD]],25,FALSE)</f>
        <v>#N/A</v>
      </c>
      <c r="Y917" s="38">
        <f>Allocation[[#This Row],[Quantity Processed]]/Allocation[[#This Row],[Quantity allocated]]</f>
        <v>2.4975806451612903</v>
      </c>
      <c r="Z917" s="34" t="b">
        <f>Allocation[[#This Row],[Quantity allocated]]&lt;=Allocation[[#This Row],[Quantity Processed]]</f>
        <v>1</v>
      </c>
    </row>
    <row r="918" spans="1:26">
      <c r="A918" s="247" t="s">
        <v>467</v>
      </c>
      <c r="B918" s="197" t="s">
        <v>68</v>
      </c>
      <c r="C918" s="253" t="s">
        <v>631</v>
      </c>
      <c r="D918" s="188">
        <v>1268</v>
      </c>
      <c r="E918" s="197" t="s">
        <v>1856</v>
      </c>
      <c r="F918" s="176">
        <v>43563</v>
      </c>
      <c r="G918" s="205">
        <v>2.95</v>
      </c>
      <c r="H918" s="188">
        <v>507</v>
      </c>
      <c r="I918" s="206">
        <v>1446485</v>
      </c>
      <c r="J918" s="207">
        <v>19175</v>
      </c>
      <c r="K918" s="176">
        <v>43570</v>
      </c>
      <c r="L918" s="197" t="s">
        <v>1862</v>
      </c>
      <c r="M918" s="208">
        <v>4615506586</v>
      </c>
      <c r="N918" s="176">
        <v>43587</v>
      </c>
      <c r="O918" s="209">
        <v>3.9643999999999999</v>
      </c>
      <c r="P918" s="219"/>
      <c r="Q918" s="34">
        <f>SUMIF(Allocation[Delivery ID],Allocation[[#This Row],[Delivery ID]],Allocation[Quantity Processed])</f>
        <v>49860</v>
      </c>
      <c r="R918" s="61">
        <f>Allocation[[#This Row],[Total volume used]]/VLOOKUP(Allocation[[#This Row],[Delivery ID]],Delivery[[Delivery ID]:[Quantity delivered]],3,FALSE)</f>
        <v>1</v>
      </c>
      <c r="S918" s="34">
        <f>Allocation[[#This Row],[Quantity Processed]]/Allocation[[#This Row],[Dilution rate]]</f>
        <v>429.83050847457622</v>
      </c>
      <c r="T918" s="59">
        <f>SUMIF(Allocation[Delivery ID],Allocation[[#This Row],[Delivery ID]],Allocation[Quantity allocated])/SUMIF(Allocation[Delivery ID],Allocation[[#This Row],[Delivery ID]],Allocation[Volume available (kg)])</f>
        <v>1.0206100407433714</v>
      </c>
      <c r="U918" s="61">
        <f>Allocation[[#This Row],[Total volume used]]/VLOOKUP(Allocation[[#This Row],[Delivery ID]],Delivery[[Delivery ID]:[Quantity delivered]],3,FALSE)</f>
        <v>1</v>
      </c>
      <c r="V918" s="34" t="e">
        <f>VLOOKUP(Allocation[[#This Row],[SAP Contract number]],Shipments[[SAP Contract number]:[Contracted container weight]],2,FALSE)</f>
        <v>#N/A</v>
      </c>
      <c r="W918" s="34" t="e">
        <f>VLOOKUP(Allocation[[#This Row],[SAP Contract number]],Shipments[[SAP Contract number]:[AAA Premium USD]],24,FALSE)</f>
        <v>#N/A</v>
      </c>
      <c r="X918" s="34" t="e">
        <f>VLOOKUP(Allocation[[#This Row],[SAP Contract number]],Shipments[[SAP Contract number]:[RA Premium USD]],25,FALSE)</f>
        <v>#N/A</v>
      </c>
      <c r="Y918" s="38">
        <f>Allocation[[#This Row],[Quantity Processed]]/Allocation[[#This Row],[Quantity allocated]]</f>
        <v>2.5009861932938855</v>
      </c>
      <c r="Z918" s="34" t="b">
        <f>Allocation[[#This Row],[Quantity allocated]]&lt;=Allocation[[#This Row],[Quantity Processed]]</f>
        <v>1</v>
      </c>
    </row>
    <row r="919" spans="1:26">
      <c r="A919" s="247" t="s">
        <v>467</v>
      </c>
      <c r="B919" s="197" t="s">
        <v>68</v>
      </c>
      <c r="C919" s="253" t="s">
        <v>1573</v>
      </c>
      <c r="D919" s="188">
        <v>1303</v>
      </c>
      <c r="E919" s="197" t="s">
        <v>1856</v>
      </c>
      <c r="F919" s="176">
        <v>43563</v>
      </c>
      <c r="G919" s="205">
        <v>2.95</v>
      </c>
      <c r="H919" s="188">
        <v>482</v>
      </c>
      <c r="I919" s="206">
        <v>1446485</v>
      </c>
      <c r="J919" s="207">
        <v>19175</v>
      </c>
      <c r="K919" s="176">
        <v>43570</v>
      </c>
      <c r="L919" s="197" t="s">
        <v>1862</v>
      </c>
      <c r="M919" s="208">
        <v>4615506586</v>
      </c>
      <c r="N919" s="176">
        <v>43587</v>
      </c>
      <c r="O919" s="209">
        <v>3.9643999999999999</v>
      </c>
      <c r="P919" s="219"/>
      <c r="Q919" s="34">
        <f>SUMIF(Allocation[Delivery ID],Allocation[[#This Row],[Delivery ID]],Allocation[Quantity Processed])</f>
        <v>13087</v>
      </c>
      <c r="R919" s="61">
        <f>Allocation[[#This Row],[Total volume used]]/VLOOKUP(Allocation[[#This Row],[Delivery ID]],Delivery[[Delivery ID]:[Quantity delivered]],3,FALSE)</f>
        <v>0.42767973856209152</v>
      </c>
      <c r="S919" s="34">
        <f>Allocation[[#This Row],[Quantity Processed]]/Allocation[[#This Row],[Dilution rate]]</f>
        <v>441.69491525423729</v>
      </c>
      <c r="T919" s="59">
        <f>SUMIF(Allocation[Delivery ID],Allocation[[#This Row],[Delivery ID]],Allocation[Quantity allocated])/SUMIF(Allocation[Delivery ID],Allocation[[#This Row],[Delivery ID]],Allocation[Volume available (kg)])</f>
        <v>1.0906960514135715</v>
      </c>
      <c r="U919" s="61">
        <f>Allocation[[#This Row],[Total volume used]]/VLOOKUP(Allocation[[#This Row],[Delivery ID]],Delivery[[Delivery ID]:[Quantity delivered]],3,FALSE)</f>
        <v>0.42767973856209152</v>
      </c>
      <c r="V919" s="34" t="e">
        <f>VLOOKUP(Allocation[[#This Row],[SAP Contract number]],Shipments[[SAP Contract number]:[Contracted container weight]],2,FALSE)</f>
        <v>#N/A</v>
      </c>
      <c r="W919" s="34" t="e">
        <f>VLOOKUP(Allocation[[#This Row],[SAP Contract number]],Shipments[[SAP Contract number]:[AAA Premium USD]],24,FALSE)</f>
        <v>#N/A</v>
      </c>
      <c r="X919" s="34" t="e">
        <f>VLOOKUP(Allocation[[#This Row],[SAP Contract number]],Shipments[[SAP Contract number]:[RA Premium USD]],25,FALSE)</f>
        <v>#N/A</v>
      </c>
      <c r="Y919" s="38">
        <f>Allocation[[#This Row],[Quantity Processed]]/Allocation[[#This Row],[Quantity allocated]]</f>
        <v>2.703319502074689</v>
      </c>
      <c r="Z919" s="34" t="b">
        <f>Allocation[[#This Row],[Quantity allocated]]&lt;=Allocation[[#This Row],[Quantity Processed]]</f>
        <v>1</v>
      </c>
    </row>
    <row r="920" spans="1:26">
      <c r="A920" s="247" t="s">
        <v>467</v>
      </c>
      <c r="B920" s="197" t="s">
        <v>68</v>
      </c>
      <c r="C920" s="253" t="s">
        <v>1573</v>
      </c>
      <c r="D920" s="188">
        <v>6589</v>
      </c>
      <c r="E920" s="197" t="s">
        <v>1856</v>
      </c>
      <c r="F920" s="176">
        <v>43563</v>
      </c>
      <c r="G920" s="205">
        <v>2.95</v>
      </c>
      <c r="H920" s="188">
        <v>2438</v>
      </c>
      <c r="I920" s="206">
        <v>1446486</v>
      </c>
      <c r="J920" s="207">
        <v>19175</v>
      </c>
      <c r="K920" s="176">
        <v>43570</v>
      </c>
      <c r="L920" s="197" t="s">
        <v>1863</v>
      </c>
      <c r="M920" s="208">
        <v>4615506586</v>
      </c>
      <c r="N920" s="176">
        <v>43587</v>
      </c>
      <c r="O920" s="209">
        <v>3.9643999999999999</v>
      </c>
      <c r="P920" s="219"/>
      <c r="Q920" s="34">
        <f>SUMIF(Allocation[Delivery ID],Allocation[[#This Row],[Delivery ID]],Allocation[Quantity Processed])</f>
        <v>13087</v>
      </c>
      <c r="R920" s="61">
        <f>Allocation[[#This Row],[Total volume used]]/VLOOKUP(Allocation[[#This Row],[Delivery ID]],Delivery[[Delivery ID]:[Quantity delivered]],3,FALSE)</f>
        <v>0.42767973856209152</v>
      </c>
      <c r="S920" s="34">
        <f>Allocation[[#This Row],[Quantity Processed]]/Allocation[[#This Row],[Dilution rate]]</f>
        <v>2233.5593220338983</v>
      </c>
      <c r="T920" s="59">
        <f>SUMIF(Allocation[Delivery ID],Allocation[[#This Row],[Delivery ID]],Allocation[Quantity allocated])/SUMIF(Allocation[Delivery ID],Allocation[[#This Row],[Delivery ID]],Allocation[Volume available (kg)])</f>
        <v>1.0906960514135715</v>
      </c>
      <c r="U920" s="61">
        <f>Allocation[[#This Row],[Total volume used]]/VLOOKUP(Allocation[[#This Row],[Delivery ID]],Delivery[[Delivery ID]:[Quantity delivered]],3,FALSE)</f>
        <v>0.42767973856209152</v>
      </c>
      <c r="V920" s="34" t="e">
        <f>VLOOKUP(Allocation[[#This Row],[SAP Contract number]],Shipments[[SAP Contract number]:[Contracted container weight]],2,FALSE)</f>
        <v>#N/A</v>
      </c>
      <c r="W920" s="34" t="e">
        <f>VLOOKUP(Allocation[[#This Row],[SAP Contract number]],Shipments[[SAP Contract number]:[AAA Premium USD]],24,FALSE)</f>
        <v>#N/A</v>
      </c>
      <c r="X920" s="34" t="e">
        <f>VLOOKUP(Allocation[[#This Row],[SAP Contract number]],Shipments[[SAP Contract number]:[RA Premium USD]],25,FALSE)</f>
        <v>#N/A</v>
      </c>
      <c r="Y920" s="38">
        <f>Allocation[[#This Row],[Quantity Processed]]/Allocation[[#This Row],[Quantity allocated]]</f>
        <v>2.7026251025430681</v>
      </c>
      <c r="Z920" s="34" t="b">
        <f>Allocation[[#This Row],[Quantity allocated]]&lt;=Allocation[[#This Row],[Quantity Processed]]</f>
        <v>1</v>
      </c>
    </row>
    <row r="921" spans="1:26">
      <c r="A921" s="247" t="s">
        <v>467</v>
      </c>
      <c r="B921" s="197" t="s">
        <v>68</v>
      </c>
      <c r="C921" s="253" t="s">
        <v>1588</v>
      </c>
      <c r="D921" s="188">
        <v>4641</v>
      </c>
      <c r="E921" s="197" t="s">
        <v>1856</v>
      </c>
      <c r="F921" s="176">
        <v>43563</v>
      </c>
      <c r="G921" s="205">
        <v>2.95</v>
      </c>
      <c r="H921" s="188">
        <v>1717</v>
      </c>
      <c r="I921" s="206">
        <v>1446486</v>
      </c>
      <c r="J921" s="207">
        <v>19175</v>
      </c>
      <c r="K921" s="176">
        <v>43570</v>
      </c>
      <c r="L921" s="197" t="s">
        <v>1863</v>
      </c>
      <c r="M921" s="208">
        <v>4615506586</v>
      </c>
      <c r="N921" s="176">
        <v>43587</v>
      </c>
      <c r="O921" s="209">
        <v>3.9643999999999999</v>
      </c>
      <c r="P921" s="219"/>
      <c r="Q921" s="34">
        <f>SUMIF(Allocation[Delivery ID],Allocation[[#This Row],[Delivery ID]],Allocation[Quantity Processed])</f>
        <v>7695</v>
      </c>
      <c r="R921" s="61">
        <f>Allocation[[#This Row],[Total volume used]]/VLOOKUP(Allocation[[#This Row],[Delivery ID]],Delivery[[Delivery ID]:[Quantity delivered]],3,FALSE)</f>
        <v>0.42731008440693025</v>
      </c>
      <c r="S921" s="34">
        <f>Allocation[[#This Row],[Quantity Processed]]/Allocation[[#This Row],[Dilution rate]]</f>
        <v>1573.2203389830509</v>
      </c>
      <c r="T921" s="59">
        <f>SUMIF(Allocation[Delivery ID],Allocation[[#This Row],[Delivery ID]],Allocation[Quantity allocated])/SUMIF(Allocation[Delivery ID],Allocation[[#This Row],[Delivery ID]],Allocation[Volume available (kg)])</f>
        <v>1.0906934796329115</v>
      </c>
      <c r="U921" s="61">
        <f>Allocation[[#This Row],[Total volume used]]/VLOOKUP(Allocation[[#This Row],[Delivery ID]],Delivery[[Delivery ID]:[Quantity delivered]],3,FALSE)</f>
        <v>0.42731008440693025</v>
      </c>
      <c r="V921" s="34" t="e">
        <f>VLOOKUP(Allocation[[#This Row],[SAP Contract number]],Shipments[[SAP Contract number]:[Contracted container weight]],2,FALSE)</f>
        <v>#N/A</v>
      </c>
      <c r="W921" s="34" t="e">
        <f>VLOOKUP(Allocation[[#This Row],[SAP Contract number]],Shipments[[SAP Contract number]:[AAA Premium USD]],24,FALSE)</f>
        <v>#N/A</v>
      </c>
      <c r="X921" s="34" t="e">
        <f>VLOOKUP(Allocation[[#This Row],[SAP Contract number]],Shipments[[SAP Contract number]:[RA Premium USD]],25,FALSE)</f>
        <v>#N/A</v>
      </c>
      <c r="Y921" s="38">
        <f>Allocation[[#This Row],[Quantity Processed]]/Allocation[[#This Row],[Quantity allocated]]</f>
        <v>2.7029702970297032</v>
      </c>
      <c r="Z921" s="34" t="b">
        <f>Allocation[[#This Row],[Quantity allocated]]&lt;=Allocation[[#This Row],[Quantity Processed]]</f>
        <v>1</v>
      </c>
    </row>
    <row r="922" spans="1:26">
      <c r="A922" s="247" t="s">
        <v>467</v>
      </c>
      <c r="B922" s="197" t="s">
        <v>68</v>
      </c>
      <c r="C922" s="253" t="s">
        <v>1591</v>
      </c>
      <c r="D922" s="188">
        <v>7878</v>
      </c>
      <c r="E922" s="197" t="s">
        <v>1856</v>
      </c>
      <c r="F922" s="176">
        <v>43563</v>
      </c>
      <c r="G922" s="205">
        <v>2.95</v>
      </c>
      <c r="H922" s="188">
        <v>2915</v>
      </c>
      <c r="I922" s="206">
        <v>1446486</v>
      </c>
      <c r="J922" s="207">
        <v>19175</v>
      </c>
      <c r="K922" s="176">
        <v>43570</v>
      </c>
      <c r="L922" s="197" t="s">
        <v>1863</v>
      </c>
      <c r="M922" s="208">
        <v>4615506586</v>
      </c>
      <c r="N922" s="176">
        <v>43587</v>
      </c>
      <c r="O922" s="209">
        <v>3.9643999999999999</v>
      </c>
      <c r="P922" s="219"/>
      <c r="Q922" s="34">
        <f>SUMIF(Allocation[Delivery ID],Allocation[[#This Row],[Delivery ID]],Allocation[Quantity Processed])</f>
        <v>13064</v>
      </c>
      <c r="R922" s="61">
        <f>Allocation[[#This Row],[Total volume used]]/VLOOKUP(Allocation[[#This Row],[Delivery ID]],Delivery[[Delivery ID]:[Quantity delivered]],3,FALSE)</f>
        <v>0.42803315749811605</v>
      </c>
      <c r="S922" s="34">
        <f>Allocation[[#This Row],[Quantity Processed]]/Allocation[[#This Row],[Dilution rate]]</f>
        <v>2670.5084745762711</v>
      </c>
      <c r="T922" s="59">
        <f>SUMIF(Allocation[Delivery ID],Allocation[[#This Row],[Delivery ID]],Allocation[Quantity allocated])/SUMIF(Allocation[Delivery ID],Allocation[[#This Row],[Delivery ID]],Allocation[Volume available (kg)])</f>
        <v>1.0908166836619564</v>
      </c>
      <c r="U922" s="61">
        <f>Allocation[[#This Row],[Total volume used]]/VLOOKUP(Allocation[[#This Row],[Delivery ID]],Delivery[[Delivery ID]:[Quantity delivered]],3,FALSE)</f>
        <v>0.42803315749811605</v>
      </c>
      <c r="V922" s="34" t="e">
        <f>VLOOKUP(Allocation[[#This Row],[SAP Contract number]],Shipments[[SAP Contract number]:[Contracted container weight]],2,FALSE)</f>
        <v>#N/A</v>
      </c>
      <c r="W922" s="34" t="e">
        <f>VLOOKUP(Allocation[[#This Row],[SAP Contract number]],Shipments[[SAP Contract number]:[AAA Premium USD]],24,FALSE)</f>
        <v>#N/A</v>
      </c>
      <c r="X922" s="34" t="e">
        <f>VLOOKUP(Allocation[[#This Row],[SAP Contract number]],Shipments[[SAP Contract number]:[RA Premium USD]],25,FALSE)</f>
        <v>#N/A</v>
      </c>
      <c r="Y922" s="38">
        <f>Allocation[[#This Row],[Quantity Processed]]/Allocation[[#This Row],[Quantity allocated]]</f>
        <v>2.7025728987993141</v>
      </c>
      <c r="Z922" s="34" t="b">
        <f>Allocation[[#This Row],[Quantity allocated]]&lt;=Allocation[[#This Row],[Quantity Processed]]</f>
        <v>1</v>
      </c>
    </row>
    <row r="923" spans="1:26">
      <c r="A923" s="247" t="s">
        <v>467</v>
      </c>
      <c r="B923" s="197" t="s">
        <v>68</v>
      </c>
      <c r="C923" s="253" t="s">
        <v>1592</v>
      </c>
      <c r="D923" s="188">
        <v>1619</v>
      </c>
      <c r="E923" s="197" t="s">
        <v>1856</v>
      </c>
      <c r="F923" s="176">
        <v>43563</v>
      </c>
      <c r="G923" s="205">
        <v>2.95</v>
      </c>
      <c r="H923" s="188">
        <v>599</v>
      </c>
      <c r="I923" s="206">
        <v>1446486</v>
      </c>
      <c r="J923" s="207">
        <v>19175</v>
      </c>
      <c r="K923" s="176">
        <v>43570</v>
      </c>
      <c r="L923" s="197" t="s">
        <v>1863</v>
      </c>
      <c r="M923" s="208">
        <v>4615506586</v>
      </c>
      <c r="N923" s="176">
        <v>43587</v>
      </c>
      <c r="O923" s="209">
        <v>3.9643999999999999</v>
      </c>
      <c r="P923" s="219"/>
      <c r="Q923" s="34">
        <f>SUMIF(Allocation[Delivery ID],Allocation[[#This Row],[Delivery ID]],Allocation[Quantity Processed])</f>
        <v>1619</v>
      </c>
      <c r="R923" s="61">
        <f>Allocation[[#This Row],[Total volume used]]/VLOOKUP(Allocation[[#This Row],[Delivery ID]],Delivery[[Delivery ID]:[Quantity delivered]],3,FALSE)</f>
        <v>1</v>
      </c>
      <c r="S923" s="34">
        <f>Allocation[[#This Row],[Quantity Processed]]/Allocation[[#This Row],[Dilution rate]]</f>
        <v>548.81355932203383</v>
      </c>
      <c r="T923" s="59">
        <f>SUMIF(Allocation[Delivery ID],Allocation[[#This Row],[Delivery ID]],Allocation[Quantity allocated])/SUMIF(Allocation[Delivery ID],Allocation[[#This Row],[Delivery ID]],Allocation[Volume available (kg)])</f>
        <v>1.0914453366275481</v>
      </c>
      <c r="U923" s="61">
        <f>Allocation[[#This Row],[Total volume used]]/VLOOKUP(Allocation[[#This Row],[Delivery ID]],Delivery[[Delivery ID]:[Quantity delivered]],3,FALSE)</f>
        <v>1</v>
      </c>
      <c r="V923" s="34" t="e">
        <f>VLOOKUP(Allocation[[#This Row],[SAP Contract number]],Shipments[[SAP Contract number]:[Contracted container weight]],2,FALSE)</f>
        <v>#N/A</v>
      </c>
      <c r="W923" s="34" t="e">
        <f>VLOOKUP(Allocation[[#This Row],[SAP Contract number]],Shipments[[SAP Contract number]:[AAA Premium USD]],24,FALSE)</f>
        <v>#N/A</v>
      </c>
      <c r="X923" s="34" t="e">
        <f>VLOOKUP(Allocation[[#This Row],[SAP Contract number]],Shipments[[SAP Contract number]:[RA Premium USD]],25,FALSE)</f>
        <v>#N/A</v>
      </c>
      <c r="Y923" s="38">
        <f>Allocation[[#This Row],[Quantity Processed]]/Allocation[[#This Row],[Quantity allocated]]</f>
        <v>2.702838063439065</v>
      </c>
      <c r="Z923" s="34" t="b">
        <f>Allocation[[#This Row],[Quantity allocated]]&lt;=Allocation[[#This Row],[Quantity Processed]]</f>
        <v>1</v>
      </c>
    </row>
    <row r="924" spans="1:26">
      <c r="A924" s="247" t="s">
        <v>467</v>
      </c>
      <c r="B924" s="197" t="s">
        <v>68</v>
      </c>
      <c r="C924" s="253" t="s">
        <v>1593</v>
      </c>
      <c r="D924" s="188">
        <v>7876</v>
      </c>
      <c r="E924" s="197" t="s">
        <v>1856</v>
      </c>
      <c r="F924" s="176">
        <v>43563</v>
      </c>
      <c r="G924" s="205">
        <v>2.95</v>
      </c>
      <c r="H924" s="188">
        <v>2914</v>
      </c>
      <c r="I924" s="206">
        <v>1446486</v>
      </c>
      <c r="J924" s="207">
        <v>19175</v>
      </c>
      <c r="K924" s="176">
        <v>43570</v>
      </c>
      <c r="L924" s="197" t="s">
        <v>1863</v>
      </c>
      <c r="M924" s="208">
        <v>4615506586</v>
      </c>
      <c r="N924" s="176">
        <v>43587</v>
      </c>
      <c r="O924" s="209">
        <v>3.9643999999999999</v>
      </c>
      <c r="P924" s="219"/>
      <c r="Q924" s="34">
        <f>SUMIF(Allocation[Delivery ID],Allocation[[#This Row],[Delivery ID]],Allocation[Quantity Processed])</f>
        <v>13114</v>
      </c>
      <c r="R924" s="61">
        <f>Allocation[[#This Row],[Total volume used]]/VLOOKUP(Allocation[[#This Row],[Delivery ID]],Delivery[[Delivery ID]:[Quantity delivered]],3,FALSE)</f>
        <v>0.424951393389501</v>
      </c>
      <c r="S924" s="34">
        <f>Allocation[[#This Row],[Quantity Processed]]/Allocation[[#This Row],[Dilution rate]]</f>
        <v>2669.8305084745762</v>
      </c>
      <c r="T924" s="59">
        <f>SUMIF(Allocation[Delivery ID],Allocation[[#This Row],[Delivery ID]],Allocation[Quantity allocated])/SUMIF(Allocation[Delivery ID],Allocation[[#This Row],[Delivery ID]],Allocation[Volume available (kg)])</f>
        <v>1.0906883735665476</v>
      </c>
      <c r="U924" s="61">
        <f>Allocation[[#This Row],[Total volume used]]/VLOOKUP(Allocation[[#This Row],[Delivery ID]],Delivery[[Delivery ID]:[Quantity delivered]],3,FALSE)</f>
        <v>0.424951393389501</v>
      </c>
      <c r="V924" s="34" t="e">
        <f>VLOOKUP(Allocation[[#This Row],[SAP Contract number]],Shipments[[SAP Contract number]:[Contracted container weight]],2,FALSE)</f>
        <v>#N/A</v>
      </c>
      <c r="W924" s="34" t="e">
        <f>VLOOKUP(Allocation[[#This Row],[SAP Contract number]],Shipments[[SAP Contract number]:[AAA Premium USD]],24,FALSE)</f>
        <v>#N/A</v>
      </c>
      <c r="X924" s="34" t="e">
        <f>VLOOKUP(Allocation[[#This Row],[SAP Contract number]],Shipments[[SAP Contract number]:[RA Premium USD]],25,FALSE)</f>
        <v>#N/A</v>
      </c>
      <c r="Y924" s="38">
        <f>Allocation[[#This Row],[Quantity Processed]]/Allocation[[#This Row],[Quantity allocated]]</f>
        <v>2.7028140013726838</v>
      </c>
      <c r="Z924" s="34" t="b">
        <f>Allocation[[#This Row],[Quantity allocated]]&lt;=Allocation[[#This Row],[Quantity Processed]]</f>
        <v>1</v>
      </c>
    </row>
    <row r="925" spans="1:26">
      <c r="A925" s="247" t="s">
        <v>467</v>
      </c>
      <c r="B925" s="197" t="s">
        <v>68</v>
      </c>
      <c r="C925" s="253" t="s">
        <v>1766</v>
      </c>
      <c r="D925" s="188">
        <v>1791</v>
      </c>
      <c r="E925" s="197" t="s">
        <v>1856</v>
      </c>
      <c r="F925" s="176">
        <v>43563</v>
      </c>
      <c r="G925" s="205">
        <v>2.95</v>
      </c>
      <c r="H925" s="188">
        <v>1003</v>
      </c>
      <c r="I925" s="206">
        <v>1446486</v>
      </c>
      <c r="J925" s="207">
        <v>19175</v>
      </c>
      <c r="K925" s="176">
        <v>43570</v>
      </c>
      <c r="L925" s="197" t="s">
        <v>1863</v>
      </c>
      <c r="M925" s="208">
        <v>4615506586</v>
      </c>
      <c r="N925" s="176">
        <v>43587</v>
      </c>
      <c r="O925" s="209">
        <v>3.9643999999999999</v>
      </c>
      <c r="P925" s="219"/>
      <c r="Q925" s="34">
        <f>SUMIF(Allocation[Delivery ID],Allocation[[#This Row],[Delivery ID]],Allocation[Quantity Processed])</f>
        <v>2970</v>
      </c>
      <c r="R925" s="61">
        <f>Allocation[[#This Row],[Total volume used]]/VLOOKUP(Allocation[[#This Row],[Delivery ID]],Delivery[[Delivery ID]:[Quantity delivered]],3,FALSE)</f>
        <v>0.2825880114176974</v>
      </c>
      <c r="S925" s="34">
        <f>Allocation[[#This Row],[Quantity Processed]]/Allocation[[#This Row],[Dilution rate]]</f>
        <v>607.11864406779659</v>
      </c>
      <c r="T925" s="59">
        <f>SUMIF(Allocation[Delivery ID],Allocation[[#This Row],[Delivery ID]],Allocation[Quantity allocated])/SUMIF(Allocation[Delivery ID],Allocation[[#This Row],[Delivery ID]],Allocation[Volume available (kg)])</f>
        <v>1.6506558077443048</v>
      </c>
      <c r="U925" s="61">
        <f>Allocation[[#This Row],[Total volume used]]/VLOOKUP(Allocation[[#This Row],[Delivery ID]],Delivery[[Delivery ID]:[Quantity delivered]],3,FALSE)</f>
        <v>0.2825880114176974</v>
      </c>
      <c r="V925" s="34" t="e">
        <f>VLOOKUP(Allocation[[#This Row],[SAP Contract number]],Shipments[[SAP Contract number]:[Contracted container weight]],2,FALSE)</f>
        <v>#N/A</v>
      </c>
      <c r="W925" s="34" t="e">
        <f>VLOOKUP(Allocation[[#This Row],[SAP Contract number]],Shipments[[SAP Contract number]:[AAA Premium USD]],24,FALSE)</f>
        <v>#N/A</v>
      </c>
      <c r="X925" s="34" t="e">
        <f>VLOOKUP(Allocation[[#This Row],[SAP Contract number]],Shipments[[SAP Contract number]:[RA Premium USD]],25,FALSE)</f>
        <v>#N/A</v>
      </c>
      <c r="Y925" s="38">
        <f>Allocation[[#This Row],[Quantity Processed]]/Allocation[[#This Row],[Quantity allocated]]</f>
        <v>1.7856430707876372</v>
      </c>
      <c r="Z925" s="34" t="b">
        <f>Allocation[[#This Row],[Quantity allocated]]&lt;=Allocation[[#This Row],[Quantity Processed]]</f>
        <v>1</v>
      </c>
    </row>
    <row r="926" spans="1:26">
      <c r="A926" s="247" t="s">
        <v>467</v>
      </c>
      <c r="B926" s="197" t="s">
        <v>68</v>
      </c>
      <c r="C926" s="253" t="s">
        <v>1456</v>
      </c>
      <c r="D926" s="188">
        <v>1908</v>
      </c>
      <c r="E926" s="197" t="s">
        <v>1856</v>
      </c>
      <c r="F926" s="176">
        <v>43563</v>
      </c>
      <c r="G926" s="205">
        <v>2.95</v>
      </c>
      <c r="H926" s="188">
        <v>687</v>
      </c>
      <c r="I926" s="206">
        <v>1446486</v>
      </c>
      <c r="J926" s="207">
        <v>19175</v>
      </c>
      <c r="K926" s="176">
        <v>43570</v>
      </c>
      <c r="L926" s="197" t="s">
        <v>1863</v>
      </c>
      <c r="M926" s="208">
        <v>4615506586</v>
      </c>
      <c r="N926" s="176">
        <v>43587</v>
      </c>
      <c r="O926" s="209">
        <v>3.9643999999999999</v>
      </c>
      <c r="P926" s="219"/>
      <c r="Q926" s="34">
        <f>SUMIF(Allocation[Delivery ID],Allocation[[#This Row],[Delivery ID]],Allocation[Quantity Processed])</f>
        <v>3163</v>
      </c>
      <c r="R926" s="61">
        <f>Allocation[[#This Row],[Total volume used]]/VLOOKUP(Allocation[[#This Row],[Delivery ID]],Delivery[[Delivery ID]:[Quantity delivered]],3,FALSE)</f>
        <v>0.44003895381190872</v>
      </c>
      <c r="S926" s="34">
        <f>Allocation[[#This Row],[Quantity Processed]]/Allocation[[#This Row],[Dilution rate]]</f>
        <v>646.77966101694915</v>
      </c>
      <c r="T926" s="59">
        <f>SUMIF(Allocation[Delivery ID],Allocation[[#This Row],[Delivery ID]],Allocation[Quantity allocated])/SUMIF(Allocation[Delivery ID],Allocation[[#This Row],[Delivery ID]],Allocation[Volume available (kg)])</f>
        <v>1.0615616995523252</v>
      </c>
      <c r="U926" s="61">
        <f>Allocation[[#This Row],[Total volume used]]/VLOOKUP(Allocation[[#This Row],[Delivery ID]],Delivery[[Delivery ID]:[Quantity delivered]],3,FALSE)</f>
        <v>0.44003895381190872</v>
      </c>
      <c r="V926" s="34" t="e">
        <f>VLOOKUP(Allocation[[#This Row],[SAP Contract number]],Shipments[[SAP Contract number]:[Contracted container weight]],2,FALSE)</f>
        <v>#N/A</v>
      </c>
      <c r="W926" s="34" t="e">
        <f>VLOOKUP(Allocation[[#This Row],[SAP Contract number]],Shipments[[SAP Contract number]:[AAA Premium USD]],24,FALSE)</f>
        <v>#N/A</v>
      </c>
      <c r="X926" s="34" t="e">
        <f>VLOOKUP(Allocation[[#This Row],[SAP Contract number]],Shipments[[SAP Contract number]:[RA Premium USD]],25,FALSE)</f>
        <v>#N/A</v>
      </c>
      <c r="Y926" s="38">
        <f>Allocation[[#This Row],[Quantity Processed]]/Allocation[[#This Row],[Quantity allocated]]</f>
        <v>2.7772925764192138</v>
      </c>
      <c r="Z926" s="34" t="b">
        <f>Allocation[[#This Row],[Quantity allocated]]&lt;=Allocation[[#This Row],[Quantity Processed]]</f>
        <v>1</v>
      </c>
    </row>
    <row r="927" spans="1:26">
      <c r="A927" s="247" t="s">
        <v>467</v>
      </c>
      <c r="B927" s="197" t="s">
        <v>68</v>
      </c>
      <c r="C927" s="253" t="s">
        <v>1457</v>
      </c>
      <c r="D927" s="188">
        <v>3989</v>
      </c>
      <c r="E927" s="197" t="s">
        <v>1856</v>
      </c>
      <c r="F927" s="176">
        <v>43563</v>
      </c>
      <c r="G927" s="205">
        <v>2.95</v>
      </c>
      <c r="H927" s="188">
        <v>1436</v>
      </c>
      <c r="I927" s="206">
        <v>1446486</v>
      </c>
      <c r="J927" s="207">
        <v>19175</v>
      </c>
      <c r="K927" s="176">
        <v>43570</v>
      </c>
      <c r="L927" s="197" t="s">
        <v>1863</v>
      </c>
      <c r="M927" s="208">
        <v>4615506586</v>
      </c>
      <c r="N927" s="176">
        <v>43587</v>
      </c>
      <c r="O927" s="209">
        <v>3.9643999999999999</v>
      </c>
      <c r="P927" s="219"/>
      <c r="Q927" s="34">
        <f>SUMIF(Allocation[Delivery ID],Allocation[[#This Row],[Delivery ID]],Allocation[Quantity Processed])</f>
        <v>6617</v>
      </c>
      <c r="R927" s="61">
        <f>Allocation[[#This Row],[Total volume used]]/VLOOKUP(Allocation[[#This Row],[Delivery ID]],Delivery[[Delivery ID]:[Quantity delivered]],3,FALSE)</f>
        <v>0.43864766324163074</v>
      </c>
      <c r="S927" s="34">
        <f>Allocation[[#This Row],[Quantity Processed]]/Allocation[[#This Row],[Dilution rate]]</f>
        <v>1352.2033898305083</v>
      </c>
      <c r="T927" s="59">
        <f>SUMIF(Allocation[Delivery ID],Allocation[[#This Row],[Delivery ID]],Allocation[Quantity allocated])/SUMIF(Allocation[Delivery ID],Allocation[[#This Row],[Delivery ID]],Allocation[Volume available (kg)])</f>
        <v>1.0612083485335027</v>
      </c>
      <c r="U927" s="61">
        <f>Allocation[[#This Row],[Total volume used]]/VLOOKUP(Allocation[[#This Row],[Delivery ID]],Delivery[[Delivery ID]:[Quantity delivered]],3,FALSE)</f>
        <v>0.43864766324163074</v>
      </c>
      <c r="V927" s="34" t="e">
        <f>VLOOKUP(Allocation[[#This Row],[SAP Contract number]],Shipments[[SAP Contract number]:[Contracted container weight]],2,FALSE)</f>
        <v>#N/A</v>
      </c>
      <c r="W927" s="34" t="e">
        <f>VLOOKUP(Allocation[[#This Row],[SAP Contract number]],Shipments[[SAP Contract number]:[AAA Premium USD]],24,FALSE)</f>
        <v>#N/A</v>
      </c>
      <c r="X927" s="34" t="e">
        <f>VLOOKUP(Allocation[[#This Row],[SAP Contract number]],Shipments[[SAP Contract number]:[RA Premium USD]],25,FALSE)</f>
        <v>#N/A</v>
      </c>
      <c r="Y927" s="38">
        <f>Allocation[[#This Row],[Quantity Processed]]/Allocation[[#This Row],[Quantity allocated]]</f>
        <v>2.7778551532033426</v>
      </c>
      <c r="Z927" s="34" t="b">
        <f>Allocation[[#This Row],[Quantity allocated]]&lt;=Allocation[[#This Row],[Quantity Processed]]</f>
        <v>1</v>
      </c>
    </row>
    <row r="928" spans="1:26">
      <c r="A928" s="247" t="s">
        <v>467</v>
      </c>
      <c r="B928" s="197" t="s">
        <v>68</v>
      </c>
      <c r="C928" s="253" t="s">
        <v>1458</v>
      </c>
      <c r="D928" s="188">
        <v>3194</v>
      </c>
      <c r="E928" s="197" t="s">
        <v>1856</v>
      </c>
      <c r="F928" s="176">
        <v>43563</v>
      </c>
      <c r="G928" s="205">
        <v>2.95</v>
      </c>
      <c r="H928" s="188">
        <v>1150</v>
      </c>
      <c r="I928" s="206">
        <v>1446486</v>
      </c>
      <c r="J928" s="207">
        <v>19175</v>
      </c>
      <c r="K928" s="176">
        <v>43570</v>
      </c>
      <c r="L928" s="197" t="s">
        <v>1863</v>
      </c>
      <c r="M928" s="208">
        <v>4615506586</v>
      </c>
      <c r="N928" s="176">
        <v>43587</v>
      </c>
      <c r="O928" s="209">
        <v>3.9643999999999999</v>
      </c>
      <c r="P928" s="219"/>
      <c r="Q928" s="34">
        <f>SUMIF(Allocation[Delivery ID],Allocation[[#This Row],[Delivery ID]],Allocation[Quantity Processed])</f>
        <v>5297</v>
      </c>
      <c r="R928" s="61">
        <f>Allocation[[#This Row],[Total volume used]]/VLOOKUP(Allocation[[#This Row],[Delivery ID]],Delivery[[Delivery ID]:[Quantity delivered]],3,FALSE)</f>
        <v>0.43885666942833473</v>
      </c>
      <c r="S928" s="34">
        <f>Allocation[[#This Row],[Quantity Processed]]/Allocation[[#This Row],[Dilution rate]]</f>
        <v>1082.7118644067796</v>
      </c>
      <c r="T928" s="59">
        <f>SUMIF(Allocation[Delivery ID],Allocation[[#This Row],[Delivery ID]],Allocation[Quantity allocated])/SUMIF(Allocation[Delivery ID],Allocation[[#This Row],[Delivery ID]],Allocation[Volume available (kg)])</f>
        <v>1.0613181567461747</v>
      </c>
      <c r="U928" s="61">
        <f>Allocation[[#This Row],[Total volume used]]/VLOOKUP(Allocation[[#This Row],[Delivery ID]],Delivery[[Delivery ID]:[Quantity delivered]],3,FALSE)</f>
        <v>0.43885666942833473</v>
      </c>
      <c r="V928" s="34" t="e">
        <f>VLOOKUP(Allocation[[#This Row],[SAP Contract number]],Shipments[[SAP Contract number]:[Contracted container weight]],2,FALSE)</f>
        <v>#N/A</v>
      </c>
      <c r="W928" s="34" t="e">
        <f>VLOOKUP(Allocation[[#This Row],[SAP Contract number]],Shipments[[SAP Contract number]:[AAA Premium USD]],24,FALSE)</f>
        <v>#N/A</v>
      </c>
      <c r="X928" s="34" t="e">
        <f>VLOOKUP(Allocation[[#This Row],[SAP Contract number]],Shipments[[SAP Contract number]:[RA Premium USD]],25,FALSE)</f>
        <v>#N/A</v>
      </c>
      <c r="Y928" s="38">
        <f>Allocation[[#This Row],[Quantity Processed]]/Allocation[[#This Row],[Quantity allocated]]</f>
        <v>2.7773913043478262</v>
      </c>
      <c r="Z928" s="34" t="b">
        <f>Allocation[[#This Row],[Quantity allocated]]&lt;=Allocation[[#This Row],[Quantity Processed]]</f>
        <v>1</v>
      </c>
    </row>
    <row r="929" spans="1:26">
      <c r="A929" s="247" t="s">
        <v>467</v>
      </c>
      <c r="B929" s="197" t="s">
        <v>68</v>
      </c>
      <c r="C929" s="253" t="s">
        <v>1459</v>
      </c>
      <c r="D929" s="188">
        <v>2764</v>
      </c>
      <c r="E929" s="197" t="s">
        <v>1856</v>
      </c>
      <c r="F929" s="176">
        <v>43563</v>
      </c>
      <c r="G929" s="205">
        <v>2.95</v>
      </c>
      <c r="H929" s="188">
        <v>995</v>
      </c>
      <c r="I929" s="206">
        <v>1446486</v>
      </c>
      <c r="J929" s="207">
        <v>19175</v>
      </c>
      <c r="K929" s="176">
        <v>43570</v>
      </c>
      <c r="L929" s="197" t="s">
        <v>1863</v>
      </c>
      <c r="M929" s="208">
        <v>4615506586</v>
      </c>
      <c r="N929" s="176">
        <v>43587</v>
      </c>
      <c r="O929" s="209">
        <v>3.9643999999999999</v>
      </c>
      <c r="P929" s="219"/>
      <c r="Q929" s="34">
        <f>SUMIF(Allocation[Delivery ID],Allocation[[#This Row],[Delivery ID]],Allocation[Quantity Processed])</f>
        <v>4587</v>
      </c>
      <c r="R929" s="61">
        <f>Allocation[[#This Row],[Total volume used]]/VLOOKUP(Allocation[[#This Row],[Delivery ID]],Delivery[[Delivery ID]:[Quantity delivered]],3,FALSE)</f>
        <v>0.43966260902904247</v>
      </c>
      <c r="S929" s="34">
        <f>Allocation[[#This Row],[Quantity Processed]]/Allocation[[#This Row],[Dilution rate]]</f>
        <v>936.94915254237287</v>
      </c>
      <c r="T929" s="59">
        <f>SUMIF(Allocation[Delivery ID],Allocation[[#This Row],[Delivery ID]],Allocation[Quantity allocated])/SUMIF(Allocation[Delivery ID],Allocation[[#This Row],[Delivery ID]],Allocation[Volume available (kg)])</f>
        <v>1.0610641289453173</v>
      </c>
      <c r="U929" s="61">
        <f>Allocation[[#This Row],[Total volume used]]/VLOOKUP(Allocation[[#This Row],[Delivery ID]],Delivery[[Delivery ID]:[Quantity delivered]],3,FALSE)</f>
        <v>0.43966260902904247</v>
      </c>
      <c r="V929" s="34" t="e">
        <f>VLOOKUP(Allocation[[#This Row],[SAP Contract number]],Shipments[[SAP Contract number]:[Contracted container weight]],2,FALSE)</f>
        <v>#N/A</v>
      </c>
      <c r="W929" s="34" t="e">
        <f>VLOOKUP(Allocation[[#This Row],[SAP Contract number]],Shipments[[SAP Contract number]:[AAA Premium USD]],24,FALSE)</f>
        <v>#N/A</v>
      </c>
      <c r="X929" s="34" t="e">
        <f>VLOOKUP(Allocation[[#This Row],[SAP Contract number]],Shipments[[SAP Contract number]:[RA Premium USD]],25,FALSE)</f>
        <v>#N/A</v>
      </c>
      <c r="Y929" s="38">
        <f>Allocation[[#This Row],[Quantity Processed]]/Allocation[[#This Row],[Quantity allocated]]</f>
        <v>2.777889447236181</v>
      </c>
      <c r="Z929" s="34" t="b">
        <f>Allocation[[#This Row],[Quantity allocated]]&lt;=Allocation[[#This Row],[Quantity Processed]]</f>
        <v>1</v>
      </c>
    </row>
    <row r="930" spans="1:26">
      <c r="A930" s="247" t="s">
        <v>467</v>
      </c>
      <c r="B930" s="197" t="s">
        <v>68</v>
      </c>
      <c r="C930" s="253" t="s">
        <v>1460</v>
      </c>
      <c r="D930" s="188">
        <v>2489</v>
      </c>
      <c r="E930" s="197" t="s">
        <v>1856</v>
      </c>
      <c r="F930" s="176">
        <v>43563</v>
      </c>
      <c r="G930" s="205">
        <v>2.95</v>
      </c>
      <c r="H930" s="188">
        <v>896</v>
      </c>
      <c r="I930" s="206">
        <v>1446486</v>
      </c>
      <c r="J930" s="207">
        <v>19175</v>
      </c>
      <c r="K930" s="176">
        <v>43570</v>
      </c>
      <c r="L930" s="197" t="s">
        <v>1863</v>
      </c>
      <c r="M930" s="208">
        <v>4615506586</v>
      </c>
      <c r="N930" s="176">
        <v>43587</v>
      </c>
      <c r="O930" s="209">
        <v>3.9643999999999999</v>
      </c>
      <c r="P930" s="219"/>
      <c r="Q930" s="34">
        <f>SUMIF(Allocation[Delivery ID],Allocation[[#This Row],[Delivery ID]],Allocation[Quantity Processed])</f>
        <v>2489</v>
      </c>
      <c r="R930" s="61">
        <f>Allocation[[#This Row],[Total volume used]]/VLOOKUP(Allocation[[#This Row],[Delivery ID]],Delivery[[Delivery ID]:[Quantity delivered]],3,FALSE)</f>
        <v>1</v>
      </c>
      <c r="S930" s="34">
        <f>Allocation[[#This Row],[Quantity Processed]]/Allocation[[#This Row],[Dilution rate]]</f>
        <v>843.72881355932202</v>
      </c>
      <c r="T930" s="59">
        <f>SUMIF(Allocation[Delivery ID],Allocation[[#This Row],[Delivery ID]],Allocation[Quantity allocated])/SUMIF(Allocation[Delivery ID],Allocation[[#This Row],[Delivery ID]],Allocation[Volume available (kg)])</f>
        <v>1.0619525914021695</v>
      </c>
      <c r="U930" s="61">
        <f>Allocation[[#This Row],[Total volume used]]/VLOOKUP(Allocation[[#This Row],[Delivery ID]],Delivery[[Delivery ID]:[Quantity delivered]],3,FALSE)</f>
        <v>1</v>
      </c>
      <c r="V930" s="34" t="e">
        <f>VLOOKUP(Allocation[[#This Row],[SAP Contract number]],Shipments[[SAP Contract number]:[Contracted container weight]],2,FALSE)</f>
        <v>#N/A</v>
      </c>
      <c r="W930" s="34" t="e">
        <f>VLOOKUP(Allocation[[#This Row],[SAP Contract number]],Shipments[[SAP Contract number]:[AAA Premium USD]],24,FALSE)</f>
        <v>#N/A</v>
      </c>
      <c r="X930" s="34" t="e">
        <f>VLOOKUP(Allocation[[#This Row],[SAP Contract number]],Shipments[[SAP Contract number]:[RA Premium USD]],25,FALSE)</f>
        <v>#N/A</v>
      </c>
      <c r="Y930" s="38">
        <f>Allocation[[#This Row],[Quantity Processed]]/Allocation[[#This Row],[Quantity allocated]]</f>
        <v>2.7779017857142856</v>
      </c>
      <c r="Z930" s="34" t="b">
        <f>Allocation[[#This Row],[Quantity allocated]]&lt;=Allocation[[#This Row],[Quantity Processed]]</f>
        <v>1</v>
      </c>
    </row>
    <row r="931" spans="1:26">
      <c r="A931" s="247" t="s">
        <v>467</v>
      </c>
      <c r="B931" s="197" t="s">
        <v>68</v>
      </c>
      <c r="C931" s="253" t="s">
        <v>1461</v>
      </c>
      <c r="D931" s="188">
        <v>2102</v>
      </c>
      <c r="E931" s="197" t="s">
        <v>1856</v>
      </c>
      <c r="F931" s="176">
        <v>43563</v>
      </c>
      <c r="G931" s="205">
        <v>2.95</v>
      </c>
      <c r="H931" s="188">
        <v>760</v>
      </c>
      <c r="I931" s="206">
        <v>1446486</v>
      </c>
      <c r="J931" s="207">
        <v>19175</v>
      </c>
      <c r="K931" s="176">
        <v>43570</v>
      </c>
      <c r="L931" s="197" t="s">
        <v>1863</v>
      </c>
      <c r="M931" s="208">
        <v>4615506586</v>
      </c>
      <c r="N931" s="176">
        <v>43587</v>
      </c>
      <c r="O931" s="209">
        <v>3.9643999999999999</v>
      </c>
      <c r="P931" s="219"/>
      <c r="Q931" s="34">
        <f>SUMIF(Allocation[Delivery ID],Allocation[[#This Row],[Delivery ID]],Allocation[Quantity Processed])</f>
        <v>2102</v>
      </c>
      <c r="R931" s="61">
        <f>Allocation[[#This Row],[Total volume used]]/VLOOKUP(Allocation[[#This Row],[Delivery ID]],Delivery[[Delivery ID]:[Quantity delivered]],3,FALSE)</f>
        <v>1</v>
      </c>
      <c r="S931" s="34">
        <f>Allocation[[#This Row],[Quantity Processed]]/Allocation[[#This Row],[Dilution rate]]</f>
        <v>712.54237288135585</v>
      </c>
      <c r="T931" s="59">
        <f>SUMIF(Allocation[Delivery ID],Allocation[[#This Row],[Delivery ID]],Allocation[Quantity allocated])/SUMIF(Allocation[Delivery ID],Allocation[[#This Row],[Delivery ID]],Allocation[Volume available (kg)])</f>
        <v>1.0666032350142722</v>
      </c>
      <c r="U931" s="61">
        <f>Allocation[[#This Row],[Total volume used]]/VLOOKUP(Allocation[[#This Row],[Delivery ID]],Delivery[[Delivery ID]:[Quantity delivered]],3,FALSE)</f>
        <v>1</v>
      </c>
      <c r="V931" s="34" t="e">
        <f>VLOOKUP(Allocation[[#This Row],[SAP Contract number]],Shipments[[SAP Contract number]:[Contracted container weight]],2,FALSE)</f>
        <v>#N/A</v>
      </c>
      <c r="W931" s="34" t="e">
        <f>VLOOKUP(Allocation[[#This Row],[SAP Contract number]],Shipments[[SAP Contract number]:[AAA Premium USD]],24,FALSE)</f>
        <v>#N/A</v>
      </c>
      <c r="X931" s="34" t="e">
        <f>VLOOKUP(Allocation[[#This Row],[SAP Contract number]],Shipments[[SAP Contract number]:[RA Premium USD]],25,FALSE)</f>
        <v>#N/A</v>
      </c>
      <c r="Y931" s="38">
        <f>Allocation[[#This Row],[Quantity Processed]]/Allocation[[#This Row],[Quantity allocated]]</f>
        <v>2.7657894736842104</v>
      </c>
      <c r="Z931" s="34" t="b">
        <f>Allocation[[#This Row],[Quantity allocated]]&lt;=Allocation[[#This Row],[Quantity Processed]]</f>
        <v>1</v>
      </c>
    </row>
    <row r="932" spans="1:26">
      <c r="A932" s="247" t="s">
        <v>467</v>
      </c>
      <c r="B932" s="197" t="s">
        <v>68</v>
      </c>
      <c r="C932" s="253" t="s">
        <v>1462</v>
      </c>
      <c r="D932" s="188">
        <v>1353</v>
      </c>
      <c r="E932" s="197" t="s">
        <v>1856</v>
      </c>
      <c r="F932" s="176">
        <v>43563</v>
      </c>
      <c r="G932" s="205">
        <v>2.95</v>
      </c>
      <c r="H932" s="188">
        <v>487</v>
      </c>
      <c r="I932" s="206">
        <v>1446486</v>
      </c>
      <c r="J932" s="207">
        <v>19175</v>
      </c>
      <c r="K932" s="176">
        <v>43570</v>
      </c>
      <c r="L932" s="197" t="s">
        <v>1863</v>
      </c>
      <c r="M932" s="208">
        <v>4615506586</v>
      </c>
      <c r="N932" s="176">
        <v>43587</v>
      </c>
      <c r="O932" s="209">
        <v>3.9643999999999999</v>
      </c>
      <c r="P932" s="219"/>
      <c r="Q932" s="34">
        <f>SUMIF(Allocation[Delivery ID],Allocation[[#This Row],[Delivery ID]],Allocation[Quantity Processed])</f>
        <v>2245</v>
      </c>
      <c r="R932" s="61">
        <f>Allocation[[#This Row],[Total volume used]]/VLOOKUP(Allocation[[#This Row],[Delivery ID]],Delivery[[Delivery ID]:[Quantity delivered]],3,FALSE)</f>
        <v>0.44045516970767118</v>
      </c>
      <c r="S932" s="34">
        <f>Allocation[[#This Row],[Quantity Processed]]/Allocation[[#This Row],[Dilution rate]]</f>
        <v>458.64406779661016</v>
      </c>
      <c r="T932" s="59">
        <f>SUMIF(Allocation[Delivery ID],Allocation[[#This Row],[Delivery ID]],Allocation[Quantity allocated])/SUMIF(Allocation[Delivery ID],Allocation[[#This Row],[Delivery ID]],Allocation[Volume available (kg)])</f>
        <v>1.0610032924943202</v>
      </c>
      <c r="U932" s="61">
        <f>Allocation[[#This Row],[Total volume used]]/VLOOKUP(Allocation[[#This Row],[Delivery ID]],Delivery[[Delivery ID]:[Quantity delivered]],3,FALSE)</f>
        <v>0.44045516970767118</v>
      </c>
      <c r="V932" s="34" t="e">
        <f>VLOOKUP(Allocation[[#This Row],[SAP Contract number]],Shipments[[SAP Contract number]:[Contracted container weight]],2,FALSE)</f>
        <v>#N/A</v>
      </c>
      <c r="W932" s="34" t="e">
        <f>VLOOKUP(Allocation[[#This Row],[SAP Contract number]],Shipments[[SAP Contract number]:[AAA Premium USD]],24,FALSE)</f>
        <v>#N/A</v>
      </c>
      <c r="X932" s="34" t="e">
        <f>VLOOKUP(Allocation[[#This Row],[SAP Contract number]],Shipments[[SAP Contract number]:[RA Premium USD]],25,FALSE)</f>
        <v>#N/A</v>
      </c>
      <c r="Y932" s="38">
        <f>Allocation[[#This Row],[Quantity Processed]]/Allocation[[#This Row],[Quantity allocated]]</f>
        <v>2.7782340862422998</v>
      </c>
      <c r="Z932" s="34" t="b">
        <f>Allocation[[#This Row],[Quantity allocated]]&lt;=Allocation[[#This Row],[Quantity Processed]]</f>
        <v>1</v>
      </c>
    </row>
    <row r="933" spans="1:26">
      <c r="A933" s="247" t="s">
        <v>467</v>
      </c>
      <c r="B933" s="197" t="s">
        <v>68</v>
      </c>
      <c r="C933" s="253" t="s">
        <v>1463</v>
      </c>
      <c r="D933" s="188">
        <v>2369</v>
      </c>
      <c r="E933" s="197" t="s">
        <v>1856</v>
      </c>
      <c r="F933" s="176">
        <v>43563</v>
      </c>
      <c r="G933" s="205">
        <v>2.95</v>
      </c>
      <c r="H933" s="188">
        <v>853</v>
      </c>
      <c r="I933" s="206">
        <v>1446486</v>
      </c>
      <c r="J933" s="207">
        <v>19175</v>
      </c>
      <c r="K933" s="176">
        <v>43570</v>
      </c>
      <c r="L933" s="197" t="s">
        <v>1863</v>
      </c>
      <c r="M933" s="208">
        <v>4615506586</v>
      </c>
      <c r="N933" s="176">
        <v>43587</v>
      </c>
      <c r="O933" s="209">
        <v>3.9643999999999999</v>
      </c>
      <c r="P933" s="219"/>
      <c r="Q933" s="34">
        <f>SUMIF(Allocation[Delivery ID],Allocation[[#This Row],[Delivery ID]],Allocation[Quantity Processed])</f>
        <v>3930</v>
      </c>
      <c r="R933" s="61">
        <f>Allocation[[#This Row],[Total volume used]]/VLOOKUP(Allocation[[#This Row],[Delivery ID]],Delivery[[Delivery ID]:[Quantity delivered]],3,FALSE)</f>
        <v>0.44083006169377453</v>
      </c>
      <c r="S933" s="34">
        <f>Allocation[[#This Row],[Quantity Processed]]/Allocation[[#This Row],[Dilution rate]]</f>
        <v>803.05084745762701</v>
      </c>
      <c r="T933" s="59">
        <f>SUMIF(Allocation[Delivery ID],Allocation[[#This Row],[Delivery ID]],Allocation[Quantity allocated])/SUMIF(Allocation[Delivery ID],Allocation[[#This Row],[Delivery ID]],Allocation[Volume available (kg)])</f>
        <v>1.0614214245429592</v>
      </c>
      <c r="U933" s="61">
        <f>Allocation[[#This Row],[Total volume used]]/VLOOKUP(Allocation[[#This Row],[Delivery ID]],Delivery[[Delivery ID]:[Quantity delivered]],3,FALSE)</f>
        <v>0.44083006169377453</v>
      </c>
      <c r="V933" s="34" t="e">
        <f>VLOOKUP(Allocation[[#This Row],[SAP Contract number]],Shipments[[SAP Contract number]:[Contracted container weight]],2,FALSE)</f>
        <v>#N/A</v>
      </c>
      <c r="W933" s="34" t="e">
        <f>VLOOKUP(Allocation[[#This Row],[SAP Contract number]],Shipments[[SAP Contract number]:[AAA Premium USD]],24,FALSE)</f>
        <v>#N/A</v>
      </c>
      <c r="X933" s="34" t="e">
        <f>VLOOKUP(Allocation[[#This Row],[SAP Contract number]],Shipments[[SAP Contract number]:[RA Premium USD]],25,FALSE)</f>
        <v>#N/A</v>
      </c>
      <c r="Y933" s="38">
        <f>Allocation[[#This Row],[Quantity Processed]]/Allocation[[#This Row],[Quantity allocated]]</f>
        <v>2.7772567409144195</v>
      </c>
      <c r="Z933" s="34" t="b">
        <f>Allocation[[#This Row],[Quantity allocated]]&lt;=Allocation[[#This Row],[Quantity Processed]]</f>
        <v>1</v>
      </c>
    </row>
    <row r="934" spans="1:26">
      <c r="A934" s="247" t="s">
        <v>467</v>
      </c>
      <c r="B934" s="197" t="s">
        <v>68</v>
      </c>
      <c r="C934" s="253" t="s">
        <v>1464</v>
      </c>
      <c r="D934" s="188">
        <v>902</v>
      </c>
      <c r="E934" s="197" t="s">
        <v>1856</v>
      </c>
      <c r="F934" s="176">
        <v>43563</v>
      </c>
      <c r="G934" s="205">
        <v>2.95</v>
      </c>
      <c r="H934" s="188">
        <v>325</v>
      </c>
      <c r="I934" s="206">
        <v>1446486</v>
      </c>
      <c r="J934" s="207">
        <v>19175</v>
      </c>
      <c r="K934" s="176">
        <v>43570</v>
      </c>
      <c r="L934" s="197" t="s">
        <v>1863</v>
      </c>
      <c r="M934" s="208">
        <v>4615506586</v>
      </c>
      <c r="N934" s="176">
        <v>43587</v>
      </c>
      <c r="O934" s="209">
        <v>3.9643999999999999</v>
      </c>
      <c r="P934" s="219"/>
      <c r="Q934" s="34">
        <f>SUMIF(Allocation[Delivery ID],Allocation[[#This Row],[Delivery ID]],Allocation[Quantity Processed])</f>
        <v>902</v>
      </c>
      <c r="R934" s="61">
        <f>Allocation[[#This Row],[Total volume used]]/VLOOKUP(Allocation[[#This Row],[Delivery ID]],Delivery[[Delivery ID]:[Quantity delivered]],3,FALSE)</f>
        <v>1</v>
      </c>
      <c r="S934" s="34">
        <f>Allocation[[#This Row],[Quantity Processed]]/Allocation[[#This Row],[Dilution rate]]</f>
        <v>305.76271186440675</v>
      </c>
      <c r="T934" s="59">
        <f>SUMIF(Allocation[Delivery ID],Allocation[[#This Row],[Delivery ID]],Allocation[Quantity allocated])/SUMIF(Allocation[Delivery ID],Allocation[[#This Row],[Delivery ID]],Allocation[Volume available (kg)])</f>
        <v>1.0629157427937916</v>
      </c>
      <c r="U934" s="61">
        <f>Allocation[[#This Row],[Total volume used]]/VLOOKUP(Allocation[[#This Row],[Delivery ID]],Delivery[[Delivery ID]:[Quantity delivered]],3,FALSE)</f>
        <v>1</v>
      </c>
      <c r="V934" s="34" t="e">
        <f>VLOOKUP(Allocation[[#This Row],[SAP Contract number]],Shipments[[SAP Contract number]:[Contracted container weight]],2,FALSE)</f>
        <v>#N/A</v>
      </c>
      <c r="W934" s="34" t="e">
        <f>VLOOKUP(Allocation[[#This Row],[SAP Contract number]],Shipments[[SAP Contract number]:[AAA Premium USD]],24,FALSE)</f>
        <v>#N/A</v>
      </c>
      <c r="X934" s="34" t="e">
        <f>VLOOKUP(Allocation[[#This Row],[SAP Contract number]],Shipments[[SAP Contract number]:[RA Premium USD]],25,FALSE)</f>
        <v>#N/A</v>
      </c>
      <c r="Y934" s="38">
        <f>Allocation[[#This Row],[Quantity Processed]]/Allocation[[#This Row],[Quantity allocated]]</f>
        <v>2.7753846153846156</v>
      </c>
      <c r="Z934" s="34" t="b">
        <f>Allocation[[#This Row],[Quantity allocated]]&lt;=Allocation[[#This Row],[Quantity Processed]]</f>
        <v>1</v>
      </c>
    </row>
    <row r="935" spans="1:26">
      <c r="A935" s="247" t="s">
        <v>467</v>
      </c>
      <c r="B935" s="210" t="s">
        <v>68</v>
      </c>
      <c r="C935" s="254" t="s">
        <v>1345</v>
      </c>
      <c r="D935" s="255">
        <v>2787</v>
      </c>
      <c r="E935" s="211" t="s">
        <v>1864</v>
      </c>
      <c r="F935" s="212">
        <v>43538</v>
      </c>
      <c r="G935" s="213">
        <v>2.68</v>
      </c>
      <c r="H935" s="256">
        <v>836</v>
      </c>
      <c r="I935" s="214">
        <v>1444682</v>
      </c>
      <c r="J935" s="215">
        <v>21600</v>
      </c>
      <c r="K935" s="212">
        <v>43587</v>
      </c>
      <c r="L935" s="211" t="s">
        <v>1865</v>
      </c>
      <c r="M935" s="216">
        <v>4615445946</v>
      </c>
      <c r="N935" s="212">
        <v>43682</v>
      </c>
      <c r="O935" s="217">
        <v>3.9611999999999998</v>
      </c>
      <c r="P935" s="219"/>
      <c r="Q935" s="34">
        <f>SUMIF(Allocation[Delivery ID],Allocation[[#This Row],[Delivery ID]],Allocation[Quantity Processed])</f>
        <v>8100</v>
      </c>
      <c r="R935" s="61">
        <f>Allocation[[#This Row],[Total volume used]]/VLOOKUP(Allocation[[#This Row],[Delivery ID]],Delivery[[Delivery ID]:[Quantity delivered]],3,FALSE)</f>
        <v>0.89601769911504425</v>
      </c>
      <c r="S935" s="34">
        <f>Allocation[[#This Row],[Quantity Processed]]/Allocation[[#This Row],[Dilution rate]]</f>
        <v>1039.9253731343283</v>
      </c>
      <c r="T935" s="59">
        <f>SUMIF(Allocation[Delivery ID],Allocation[[#This Row],[Delivery ID]],Allocation[Quantity allocated])/SUMIF(Allocation[Delivery ID],Allocation[[#This Row],[Delivery ID]],Allocation[Volume available (kg)])</f>
        <v>0.79998733534744815</v>
      </c>
      <c r="U935" s="61">
        <f>Allocation[[#This Row],[Total volume used]]/VLOOKUP(Allocation[[#This Row],[Delivery ID]],Delivery[[Delivery ID]:[Quantity delivered]],3,FALSE)</f>
        <v>0.89601769911504425</v>
      </c>
      <c r="V935" s="34" t="e">
        <f>VLOOKUP(Allocation[[#This Row],[SAP Contract number]],Shipments[[SAP Contract number]:[Contracted container weight]],2,FALSE)</f>
        <v>#N/A</v>
      </c>
      <c r="W935" s="34" t="e">
        <f>VLOOKUP(Allocation[[#This Row],[SAP Contract number]],Shipments[[SAP Contract number]:[AAA Premium USD]],24,FALSE)</f>
        <v>#N/A</v>
      </c>
      <c r="X935" s="34" t="e">
        <f>VLOOKUP(Allocation[[#This Row],[SAP Contract number]],Shipments[[SAP Contract number]:[RA Premium USD]],25,FALSE)</f>
        <v>#N/A</v>
      </c>
      <c r="Y935" s="38">
        <f>Allocation[[#This Row],[Quantity Processed]]/Allocation[[#This Row],[Quantity allocated]]</f>
        <v>3.3337320574162681</v>
      </c>
      <c r="Z935" s="34" t="b">
        <f>Allocation[[#This Row],[Quantity allocated]]&lt;=Allocation[[#This Row],[Quantity Processed]]</f>
        <v>1</v>
      </c>
    </row>
    <row r="936" spans="1:26">
      <c r="A936" s="247" t="s">
        <v>467</v>
      </c>
      <c r="B936" s="210" t="s">
        <v>68</v>
      </c>
      <c r="C936" s="254" t="s">
        <v>1347</v>
      </c>
      <c r="D936" s="255">
        <v>2391</v>
      </c>
      <c r="E936" s="211" t="s">
        <v>1864</v>
      </c>
      <c r="F936" s="212">
        <v>43538</v>
      </c>
      <c r="G936" s="213">
        <v>2.68</v>
      </c>
      <c r="H936" s="256">
        <v>789</v>
      </c>
      <c r="I936" s="214">
        <v>1444682</v>
      </c>
      <c r="J936" s="215">
        <v>21600</v>
      </c>
      <c r="K936" s="212">
        <v>43587</v>
      </c>
      <c r="L936" s="211" t="s">
        <v>1865</v>
      </c>
      <c r="M936" s="216">
        <v>4615445946</v>
      </c>
      <c r="N936" s="212">
        <v>43682</v>
      </c>
      <c r="O936" s="217">
        <v>3.9611999999999998</v>
      </c>
      <c r="P936" s="219"/>
      <c r="Q936" s="34">
        <f>SUMIF(Allocation[Delivery ID],Allocation[[#This Row],[Delivery ID]],Allocation[Quantity Processed])</f>
        <v>6949</v>
      </c>
      <c r="R936" s="61">
        <f>Allocation[[#This Row],[Total volume used]]/VLOOKUP(Allocation[[#This Row],[Delivery ID]],Delivery[[Delivery ID]:[Quantity delivered]],3,FALSE)</f>
        <v>0.81274853801169589</v>
      </c>
      <c r="S936" s="34">
        <f>Allocation[[#This Row],[Quantity Processed]]/Allocation[[#This Row],[Dilution rate]]</f>
        <v>892.16417910447751</v>
      </c>
      <c r="T936" s="59">
        <f>SUMIF(Allocation[Delivery ID],Allocation[[#This Row],[Delivery ID]],Allocation[Quantity allocated])/SUMIF(Allocation[Delivery ID],Allocation[[#This Row],[Delivery ID]],Allocation[Volume available (kg)])</f>
        <v>0.87992200140259735</v>
      </c>
      <c r="U936" s="61">
        <f>Allocation[[#This Row],[Total volume used]]/VLOOKUP(Allocation[[#This Row],[Delivery ID]],Delivery[[Delivery ID]:[Quantity delivered]],3,FALSE)</f>
        <v>0.81274853801169589</v>
      </c>
      <c r="V936" s="34" t="e">
        <f>VLOOKUP(Allocation[[#This Row],[SAP Contract number]],Shipments[[SAP Contract number]:[Contracted container weight]],2,FALSE)</f>
        <v>#N/A</v>
      </c>
      <c r="W936" s="34" t="e">
        <f>VLOOKUP(Allocation[[#This Row],[SAP Contract number]],Shipments[[SAP Contract number]:[AAA Premium USD]],24,FALSE)</f>
        <v>#N/A</v>
      </c>
      <c r="X936" s="34" t="e">
        <f>VLOOKUP(Allocation[[#This Row],[SAP Contract number]],Shipments[[SAP Contract number]:[RA Premium USD]],25,FALSE)</f>
        <v>#N/A</v>
      </c>
      <c r="Y936" s="38">
        <f>Allocation[[#This Row],[Quantity Processed]]/Allocation[[#This Row],[Quantity allocated]]</f>
        <v>3.0304182509505702</v>
      </c>
      <c r="Z936" s="34" t="b">
        <f>Allocation[[#This Row],[Quantity allocated]]&lt;=Allocation[[#This Row],[Quantity Processed]]</f>
        <v>1</v>
      </c>
    </row>
    <row r="937" spans="1:26">
      <c r="A937" s="247" t="s">
        <v>467</v>
      </c>
      <c r="B937" s="210" t="s">
        <v>68</v>
      </c>
      <c r="C937" s="254" t="s">
        <v>1349</v>
      </c>
      <c r="D937" s="255">
        <v>3350</v>
      </c>
      <c r="E937" s="211" t="s">
        <v>1864</v>
      </c>
      <c r="F937" s="212">
        <v>43538</v>
      </c>
      <c r="G937" s="213">
        <v>2.68</v>
      </c>
      <c r="H937" s="256">
        <v>1005</v>
      </c>
      <c r="I937" s="214">
        <v>1444682</v>
      </c>
      <c r="J937" s="215">
        <v>21600</v>
      </c>
      <c r="K937" s="212">
        <v>43587</v>
      </c>
      <c r="L937" s="211" t="s">
        <v>1865</v>
      </c>
      <c r="M937" s="216">
        <v>4615445946</v>
      </c>
      <c r="N937" s="212">
        <v>43682</v>
      </c>
      <c r="O937" s="217">
        <v>3.9611999999999998</v>
      </c>
      <c r="P937" s="219"/>
      <c r="Q937" s="34">
        <f>SUMIF(Allocation[Delivery ID],Allocation[[#This Row],[Delivery ID]],Allocation[Quantity Processed])</f>
        <v>9307</v>
      </c>
      <c r="R937" s="61">
        <f>Allocation[[#This Row],[Total volume used]]/VLOOKUP(Allocation[[#This Row],[Delivery ID]],Delivery[[Delivery ID]:[Quantity delivered]],3,FALSE)</f>
        <v>0.56406060606060604</v>
      </c>
      <c r="S937" s="34">
        <f>Allocation[[#This Row],[Quantity Processed]]/Allocation[[#This Row],[Dilution rate]]</f>
        <v>1250</v>
      </c>
      <c r="T937" s="59">
        <f>SUMIF(Allocation[Delivery ID],Allocation[[#This Row],[Delivery ID]],Allocation[Quantity allocated])/SUMIF(Allocation[Delivery ID],Allocation[[#This Row],[Delivery ID]],Allocation[Volume available (kg)])</f>
        <v>0.80062990717625149</v>
      </c>
      <c r="U937" s="61">
        <f>Allocation[[#This Row],[Total volume used]]/VLOOKUP(Allocation[[#This Row],[Delivery ID]],Delivery[[Delivery ID]:[Quantity delivered]],3,FALSE)</f>
        <v>0.56406060606060604</v>
      </c>
      <c r="V937" s="34" t="e">
        <f>VLOOKUP(Allocation[[#This Row],[SAP Contract number]],Shipments[[SAP Contract number]:[Contracted container weight]],2,FALSE)</f>
        <v>#N/A</v>
      </c>
      <c r="W937" s="34" t="e">
        <f>VLOOKUP(Allocation[[#This Row],[SAP Contract number]],Shipments[[SAP Contract number]:[AAA Premium USD]],24,FALSE)</f>
        <v>#N/A</v>
      </c>
      <c r="X937" s="34" t="e">
        <f>VLOOKUP(Allocation[[#This Row],[SAP Contract number]],Shipments[[SAP Contract number]:[RA Premium USD]],25,FALSE)</f>
        <v>#N/A</v>
      </c>
      <c r="Y937" s="38">
        <f>Allocation[[#This Row],[Quantity Processed]]/Allocation[[#This Row],[Quantity allocated]]</f>
        <v>3.3333333333333335</v>
      </c>
      <c r="Z937" s="34" t="b">
        <f>Allocation[[#This Row],[Quantity allocated]]&lt;=Allocation[[#This Row],[Quantity Processed]]</f>
        <v>1</v>
      </c>
    </row>
    <row r="938" spans="1:26">
      <c r="A938" s="247" t="s">
        <v>467</v>
      </c>
      <c r="B938" s="210" t="s">
        <v>68</v>
      </c>
      <c r="C938" s="254" t="s">
        <v>1351</v>
      </c>
      <c r="D938" s="255">
        <v>2447</v>
      </c>
      <c r="E938" s="211" t="s">
        <v>1864</v>
      </c>
      <c r="F938" s="212">
        <v>43538</v>
      </c>
      <c r="G938" s="213">
        <v>2.68</v>
      </c>
      <c r="H938" s="256">
        <v>734</v>
      </c>
      <c r="I938" s="214">
        <v>1444682</v>
      </c>
      <c r="J938" s="215">
        <v>21600</v>
      </c>
      <c r="K938" s="212">
        <v>43587</v>
      </c>
      <c r="L938" s="211" t="s">
        <v>1865</v>
      </c>
      <c r="M938" s="216">
        <v>4615445946</v>
      </c>
      <c r="N938" s="212">
        <v>43682</v>
      </c>
      <c r="O938" s="217">
        <v>3.9611999999999998</v>
      </c>
      <c r="P938" s="219"/>
      <c r="Q938" s="34">
        <f>SUMIF(Allocation[Delivery ID],Allocation[[#This Row],[Delivery ID]],Allocation[Quantity Processed])</f>
        <v>6801</v>
      </c>
      <c r="R938" s="61">
        <f>Allocation[[#This Row],[Total volume used]]/VLOOKUP(Allocation[[#This Row],[Delivery ID]],Delivery[[Delivery ID]:[Quantity delivered]],3,FALSE)</f>
        <v>0.56533665835411473</v>
      </c>
      <c r="S938" s="34">
        <f>Allocation[[#This Row],[Quantity Processed]]/Allocation[[#This Row],[Dilution rate]]</f>
        <v>913.05970149253722</v>
      </c>
      <c r="T938" s="59">
        <f>SUMIF(Allocation[Delivery ID],Allocation[[#This Row],[Delivery ID]],Allocation[Quantity allocated])/SUMIF(Allocation[Delivery ID],Allocation[[#This Row],[Delivery ID]],Allocation[Volume available (kg)])</f>
        <v>0.80054273598629144</v>
      </c>
      <c r="U938" s="61">
        <f>Allocation[[#This Row],[Total volume used]]/VLOOKUP(Allocation[[#This Row],[Delivery ID]],Delivery[[Delivery ID]:[Quantity delivered]],3,FALSE)</f>
        <v>0.56533665835411473</v>
      </c>
      <c r="V938" s="34" t="e">
        <f>VLOOKUP(Allocation[[#This Row],[SAP Contract number]],Shipments[[SAP Contract number]:[Contracted container weight]],2,FALSE)</f>
        <v>#N/A</v>
      </c>
      <c r="W938" s="34" t="e">
        <f>VLOOKUP(Allocation[[#This Row],[SAP Contract number]],Shipments[[SAP Contract number]:[AAA Premium USD]],24,FALSE)</f>
        <v>#N/A</v>
      </c>
      <c r="X938" s="34" t="e">
        <f>VLOOKUP(Allocation[[#This Row],[SAP Contract number]],Shipments[[SAP Contract number]:[RA Premium USD]],25,FALSE)</f>
        <v>#N/A</v>
      </c>
      <c r="Y938" s="38">
        <f>Allocation[[#This Row],[Quantity Processed]]/Allocation[[#This Row],[Quantity allocated]]</f>
        <v>3.3337874659400546</v>
      </c>
      <c r="Z938" s="34" t="b">
        <f>Allocation[[#This Row],[Quantity allocated]]&lt;=Allocation[[#This Row],[Quantity Processed]]</f>
        <v>1</v>
      </c>
    </row>
    <row r="939" spans="1:26">
      <c r="A939" s="247" t="s">
        <v>467</v>
      </c>
      <c r="B939" s="210" t="s">
        <v>68</v>
      </c>
      <c r="C939" s="254" t="s">
        <v>547</v>
      </c>
      <c r="D939" s="255">
        <v>1684</v>
      </c>
      <c r="E939" s="211" t="s">
        <v>1864</v>
      </c>
      <c r="F939" s="212">
        <v>43538</v>
      </c>
      <c r="G939" s="213">
        <v>2.68</v>
      </c>
      <c r="H939" s="256">
        <v>741</v>
      </c>
      <c r="I939" s="214">
        <v>1444682</v>
      </c>
      <c r="J939" s="215">
        <v>21600</v>
      </c>
      <c r="K939" s="212">
        <v>43587</v>
      </c>
      <c r="L939" s="211" t="s">
        <v>1865</v>
      </c>
      <c r="M939" s="216">
        <v>4615445946</v>
      </c>
      <c r="N939" s="212">
        <v>43682</v>
      </c>
      <c r="O939" s="217">
        <v>3.9611999999999998</v>
      </c>
      <c r="P939" s="219"/>
      <c r="Q939" s="34">
        <f>SUMIF(Allocation[Delivery ID],Allocation[[#This Row],[Delivery ID]],Allocation[Quantity Processed])</f>
        <v>8706</v>
      </c>
      <c r="R939" s="61">
        <f>Allocation[[#This Row],[Total volume used]]/VLOOKUP(Allocation[[#This Row],[Delivery ID]],Delivery[[Delivery ID]:[Quantity delivered]],3,FALSE)</f>
        <v>0.72550000000000003</v>
      </c>
      <c r="S939" s="34">
        <f>Allocation[[#This Row],[Quantity Processed]]/Allocation[[#This Row],[Dilution rate]]</f>
        <v>628.35820895522386</v>
      </c>
      <c r="T939" s="59">
        <f>SUMIF(Allocation[Delivery ID],Allocation[[#This Row],[Delivery ID]],Allocation[Quantity allocated])/SUMIF(Allocation[Delivery ID],Allocation[[#This Row],[Delivery ID]],Allocation[Volume available (kg)])</f>
        <v>1.0493621698535043</v>
      </c>
      <c r="U939" s="61">
        <f>Allocation[[#This Row],[Total volume used]]/VLOOKUP(Allocation[[#This Row],[Delivery ID]],Delivery[[Delivery ID]:[Quantity delivered]],3,FALSE)</f>
        <v>0.72550000000000003</v>
      </c>
      <c r="V939" s="34" t="e">
        <f>VLOOKUP(Allocation[[#This Row],[SAP Contract number]],Shipments[[SAP Contract number]:[Contracted container weight]],2,FALSE)</f>
        <v>#N/A</v>
      </c>
      <c r="W939" s="34" t="e">
        <f>VLOOKUP(Allocation[[#This Row],[SAP Contract number]],Shipments[[SAP Contract number]:[AAA Premium USD]],24,FALSE)</f>
        <v>#N/A</v>
      </c>
      <c r="X939" s="34" t="e">
        <f>VLOOKUP(Allocation[[#This Row],[SAP Contract number]],Shipments[[SAP Contract number]:[RA Premium USD]],25,FALSE)</f>
        <v>#N/A</v>
      </c>
      <c r="Y939" s="38">
        <f>Allocation[[#This Row],[Quantity Processed]]/Allocation[[#This Row],[Quantity allocated]]</f>
        <v>2.2726045883940622</v>
      </c>
      <c r="Z939" s="34" t="b">
        <f>Allocation[[#This Row],[Quantity allocated]]&lt;=Allocation[[#This Row],[Quantity Processed]]</f>
        <v>1</v>
      </c>
    </row>
    <row r="940" spans="1:26">
      <c r="A940" s="247" t="s">
        <v>467</v>
      </c>
      <c r="B940" s="210" t="s">
        <v>68</v>
      </c>
      <c r="C940" s="254" t="s">
        <v>1352</v>
      </c>
      <c r="D940" s="255">
        <v>3639</v>
      </c>
      <c r="E940" s="211" t="s">
        <v>1864</v>
      </c>
      <c r="F940" s="212">
        <v>43538</v>
      </c>
      <c r="G940" s="213">
        <v>2.68</v>
      </c>
      <c r="H940" s="256">
        <v>1601</v>
      </c>
      <c r="I940" s="214">
        <v>1444682</v>
      </c>
      <c r="J940" s="215">
        <v>21600</v>
      </c>
      <c r="K940" s="212">
        <v>43587</v>
      </c>
      <c r="L940" s="211" t="s">
        <v>1865</v>
      </c>
      <c r="M940" s="216">
        <v>4615445946</v>
      </c>
      <c r="N940" s="212">
        <v>43682</v>
      </c>
      <c r="O940" s="217">
        <v>3.9611999999999998</v>
      </c>
      <c r="P940" s="219"/>
      <c r="Q940" s="34">
        <f>SUMIF(Allocation[Delivery ID],Allocation[[#This Row],[Delivery ID]],Allocation[Quantity Processed])</f>
        <v>10573</v>
      </c>
      <c r="R940" s="61">
        <f>Allocation[[#This Row],[Total volume used]]/VLOOKUP(Allocation[[#This Row],[Delivery ID]],Delivery[[Delivery ID]:[Quantity delivered]],3,FALSE)</f>
        <v>0.60869314910765693</v>
      </c>
      <c r="S940" s="34">
        <f>Allocation[[#This Row],[Quantity Processed]]/Allocation[[#This Row],[Dilution rate]]</f>
        <v>1357.8358208955224</v>
      </c>
      <c r="T940" s="59">
        <f>SUMIF(Allocation[Delivery ID],Allocation[[#This Row],[Delivery ID]],Allocation[Quantity allocated])/SUMIF(Allocation[Delivery ID],Allocation[[#This Row],[Delivery ID]],Allocation[Volume available (kg)])</f>
        <v>1.1732834933779279</v>
      </c>
      <c r="U940" s="61">
        <f>Allocation[[#This Row],[Total volume used]]/VLOOKUP(Allocation[[#This Row],[Delivery ID]],Delivery[[Delivery ID]:[Quantity delivered]],3,FALSE)</f>
        <v>0.60869314910765693</v>
      </c>
      <c r="V940" s="34" t="e">
        <f>VLOOKUP(Allocation[[#This Row],[SAP Contract number]],Shipments[[SAP Contract number]:[Contracted container weight]],2,FALSE)</f>
        <v>#N/A</v>
      </c>
      <c r="W940" s="34" t="e">
        <f>VLOOKUP(Allocation[[#This Row],[SAP Contract number]],Shipments[[SAP Contract number]:[AAA Premium USD]],24,FALSE)</f>
        <v>#N/A</v>
      </c>
      <c r="X940" s="34" t="e">
        <f>VLOOKUP(Allocation[[#This Row],[SAP Contract number]],Shipments[[SAP Contract number]:[RA Premium USD]],25,FALSE)</f>
        <v>#N/A</v>
      </c>
      <c r="Y940" s="38">
        <f>Allocation[[#This Row],[Quantity Processed]]/Allocation[[#This Row],[Quantity allocated]]</f>
        <v>2.2729544034978137</v>
      </c>
      <c r="Z940" s="34" t="b">
        <f>Allocation[[#This Row],[Quantity allocated]]&lt;=Allocation[[#This Row],[Quantity Processed]]</f>
        <v>1</v>
      </c>
    </row>
    <row r="941" spans="1:26">
      <c r="A941" s="247" t="s">
        <v>467</v>
      </c>
      <c r="B941" s="210" t="s">
        <v>68</v>
      </c>
      <c r="C941" s="254" t="s">
        <v>1353</v>
      </c>
      <c r="D941" s="255">
        <v>4089</v>
      </c>
      <c r="E941" s="211" t="s">
        <v>1864</v>
      </c>
      <c r="F941" s="212">
        <v>43538</v>
      </c>
      <c r="G941" s="213">
        <v>2.68</v>
      </c>
      <c r="H941" s="256">
        <v>1472</v>
      </c>
      <c r="I941" s="214">
        <v>1444682</v>
      </c>
      <c r="J941" s="215">
        <v>21600</v>
      </c>
      <c r="K941" s="212">
        <v>43587</v>
      </c>
      <c r="L941" s="211" t="s">
        <v>1865</v>
      </c>
      <c r="M941" s="216">
        <v>4615445946</v>
      </c>
      <c r="N941" s="212">
        <v>43682</v>
      </c>
      <c r="O941" s="217">
        <v>3.9611999999999998</v>
      </c>
      <c r="P941" s="219"/>
      <c r="Q941" s="34">
        <f>SUMIF(Allocation[Delivery ID],Allocation[[#This Row],[Delivery ID]],Allocation[Quantity Processed])</f>
        <v>11879</v>
      </c>
      <c r="R941" s="61">
        <f>Allocation[[#This Row],[Total volume used]]/VLOOKUP(Allocation[[#This Row],[Delivery ID]],Delivery[[Delivery ID]:[Quantity delivered]],3,FALSE)</f>
        <v>0.74523212045169385</v>
      </c>
      <c r="S941" s="34">
        <f>Allocation[[#This Row],[Quantity Processed]]/Allocation[[#This Row],[Dilution rate]]</f>
        <v>1525.7462686567164</v>
      </c>
      <c r="T941" s="59">
        <f>SUMIF(Allocation[Delivery ID],Allocation[[#This Row],[Delivery ID]],Allocation[Quantity allocated])/SUMIF(Allocation[Delivery ID],Allocation[[#This Row],[Delivery ID]],Allocation[Volume available (kg)])</f>
        <v>0.95988762633416358</v>
      </c>
      <c r="U941" s="61">
        <f>Allocation[[#This Row],[Total volume used]]/VLOOKUP(Allocation[[#This Row],[Delivery ID]],Delivery[[Delivery ID]:[Quantity delivered]],3,FALSE)</f>
        <v>0.74523212045169385</v>
      </c>
      <c r="V941" s="34" t="e">
        <f>VLOOKUP(Allocation[[#This Row],[SAP Contract number]],Shipments[[SAP Contract number]:[Contracted container weight]],2,FALSE)</f>
        <v>#N/A</v>
      </c>
      <c r="W941" s="34" t="e">
        <f>VLOOKUP(Allocation[[#This Row],[SAP Contract number]],Shipments[[SAP Contract number]:[AAA Premium USD]],24,FALSE)</f>
        <v>#N/A</v>
      </c>
      <c r="X941" s="34" t="e">
        <f>VLOOKUP(Allocation[[#This Row],[SAP Contract number]],Shipments[[SAP Contract number]:[RA Premium USD]],25,FALSE)</f>
        <v>#N/A</v>
      </c>
      <c r="Y941" s="38">
        <f>Allocation[[#This Row],[Quantity Processed]]/Allocation[[#This Row],[Quantity allocated]]</f>
        <v>2.7778532608695654</v>
      </c>
      <c r="Z941" s="34" t="b">
        <f>Allocation[[#This Row],[Quantity allocated]]&lt;=Allocation[[#This Row],[Quantity Processed]]</f>
        <v>1</v>
      </c>
    </row>
    <row r="942" spans="1:26">
      <c r="A942" s="247" t="s">
        <v>467</v>
      </c>
      <c r="B942" s="210" t="s">
        <v>68</v>
      </c>
      <c r="C942" s="254" t="s">
        <v>1355</v>
      </c>
      <c r="D942" s="255">
        <v>287</v>
      </c>
      <c r="E942" s="211" t="s">
        <v>1864</v>
      </c>
      <c r="F942" s="212">
        <v>43538</v>
      </c>
      <c r="G942" s="213">
        <v>2.68</v>
      </c>
      <c r="H942" s="256">
        <v>129</v>
      </c>
      <c r="I942" s="214">
        <v>1444682</v>
      </c>
      <c r="J942" s="215">
        <v>21600</v>
      </c>
      <c r="K942" s="212">
        <v>43587</v>
      </c>
      <c r="L942" s="211" t="s">
        <v>1865</v>
      </c>
      <c r="M942" s="216">
        <v>4615445946</v>
      </c>
      <c r="N942" s="212">
        <v>43682</v>
      </c>
      <c r="O942" s="217">
        <v>3.9611999999999998</v>
      </c>
      <c r="P942" s="219"/>
      <c r="Q942" s="34">
        <f>SUMIF(Allocation[Delivery ID],Allocation[[#This Row],[Delivery ID]],Allocation[Quantity Processed])</f>
        <v>2650</v>
      </c>
      <c r="R942" s="61">
        <f>Allocation[[#This Row],[Total volume used]]/VLOOKUP(Allocation[[#This Row],[Delivery ID]],Delivery[[Delivery ID]:[Quantity delivered]],3,FALSE)</f>
        <v>0.13548057259713703</v>
      </c>
      <c r="S942" s="34">
        <f>Allocation[[#This Row],[Quantity Processed]]/Allocation[[#This Row],[Dilution rate]]</f>
        <v>107.08955223880596</v>
      </c>
      <c r="T942" s="59">
        <f>SUMIF(Allocation[Delivery ID],Allocation[[#This Row],[Delivery ID]],Allocation[Quantity allocated])/SUMIF(Allocation[Delivery ID],Allocation[[#This Row],[Delivery ID]],Allocation[Volume available (kg)])</f>
        <v>0.99760834836771495</v>
      </c>
      <c r="U942" s="61">
        <f>Allocation[[#This Row],[Total volume used]]/VLOOKUP(Allocation[[#This Row],[Delivery ID]],Delivery[[Delivery ID]:[Quantity delivered]],3,FALSE)</f>
        <v>0.13548057259713703</v>
      </c>
      <c r="V942" s="34" t="e">
        <f>VLOOKUP(Allocation[[#This Row],[SAP Contract number]],Shipments[[SAP Contract number]:[Contracted container weight]],2,FALSE)</f>
        <v>#N/A</v>
      </c>
      <c r="W942" s="34" t="e">
        <f>VLOOKUP(Allocation[[#This Row],[SAP Contract number]],Shipments[[SAP Contract number]:[AAA Premium USD]],24,FALSE)</f>
        <v>#N/A</v>
      </c>
      <c r="X942" s="34" t="e">
        <f>VLOOKUP(Allocation[[#This Row],[SAP Contract number]],Shipments[[SAP Contract number]:[RA Premium USD]],25,FALSE)</f>
        <v>#N/A</v>
      </c>
      <c r="Y942" s="38">
        <f>Allocation[[#This Row],[Quantity Processed]]/Allocation[[#This Row],[Quantity allocated]]</f>
        <v>2.2248062015503876</v>
      </c>
      <c r="Z942" s="34" t="b">
        <f>Allocation[[#This Row],[Quantity allocated]]&lt;=Allocation[[#This Row],[Quantity Processed]]</f>
        <v>1</v>
      </c>
    </row>
    <row r="943" spans="1:26">
      <c r="A943" s="247" t="s">
        <v>467</v>
      </c>
      <c r="B943" s="210" t="s">
        <v>68</v>
      </c>
      <c r="C943" s="254" t="s">
        <v>1357</v>
      </c>
      <c r="D943" s="255">
        <v>84</v>
      </c>
      <c r="E943" s="211" t="s">
        <v>1864</v>
      </c>
      <c r="F943" s="212">
        <v>43538</v>
      </c>
      <c r="G943" s="213">
        <v>2.68</v>
      </c>
      <c r="H943" s="256">
        <v>38</v>
      </c>
      <c r="I943" s="214">
        <v>1444682</v>
      </c>
      <c r="J943" s="215">
        <v>21600</v>
      </c>
      <c r="K943" s="212">
        <v>43587</v>
      </c>
      <c r="L943" s="211" t="s">
        <v>1865</v>
      </c>
      <c r="M943" s="216">
        <v>4615445946</v>
      </c>
      <c r="N943" s="212">
        <v>43682</v>
      </c>
      <c r="O943" s="217">
        <v>3.9611999999999998</v>
      </c>
      <c r="P943" s="219"/>
      <c r="Q943" s="34">
        <f>SUMIF(Allocation[Delivery ID],Allocation[[#This Row],[Delivery ID]],Allocation[Quantity Processed])</f>
        <v>586</v>
      </c>
      <c r="R943" s="61">
        <f>Allocation[[#This Row],[Total volume used]]/VLOOKUP(Allocation[[#This Row],[Delivery ID]],Delivery[[Delivery ID]:[Quantity delivered]],3,FALSE)</f>
        <v>0.10226876090750436</v>
      </c>
      <c r="S943" s="34">
        <f>Allocation[[#This Row],[Quantity Processed]]/Allocation[[#This Row],[Dilution rate]]</f>
        <v>31.343283582089551</v>
      </c>
      <c r="T943" s="59">
        <f>SUMIF(Allocation[Delivery ID],Allocation[[#This Row],[Delivery ID]],Allocation[Quantity allocated])/SUMIF(Allocation[Delivery ID],Allocation[[#This Row],[Delivery ID]],Allocation[Volume available (kg)])</f>
        <v>1.0100696850305781</v>
      </c>
      <c r="U943" s="61">
        <f>Allocation[[#This Row],[Total volume used]]/VLOOKUP(Allocation[[#This Row],[Delivery ID]],Delivery[[Delivery ID]:[Quantity delivered]],3,FALSE)</f>
        <v>0.10226876090750436</v>
      </c>
      <c r="V943" s="34" t="e">
        <f>VLOOKUP(Allocation[[#This Row],[SAP Contract number]],Shipments[[SAP Contract number]:[Contracted container weight]],2,FALSE)</f>
        <v>#N/A</v>
      </c>
      <c r="W943" s="34" t="e">
        <f>VLOOKUP(Allocation[[#This Row],[SAP Contract number]],Shipments[[SAP Contract number]:[AAA Premium USD]],24,FALSE)</f>
        <v>#N/A</v>
      </c>
      <c r="X943" s="34" t="e">
        <f>VLOOKUP(Allocation[[#This Row],[SAP Contract number]],Shipments[[SAP Contract number]:[RA Premium USD]],25,FALSE)</f>
        <v>#N/A</v>
      </c>
      <c r="Y943" s="38">
        <f>Allocation[[#This Row],[Quantity Processed]]/Allocation[[#This Row],[Quantity allocated]]</f>
        <v>2.2105263157894739</v>
      </c>
      <c r="Z943" s="34" t="b">
        <f>Allocation[[#This Row],[Quantity allocated]]&lt;=Allocation[[#This Row],[Quantity Processed]]</f>
        <v>1</v>
      </c>
    </row>
    <row r="944" spans="1:26">
      <c r="A944" s="247" t="s">
        <v>467</v>
      </c>
      <c r="B944" s="210" t="s">
        <v>68</v>
      </c>
      <c r="C944" s="254" t="s">
        <v>549</v>
      </c>
      <c r="D944" s="255">
        <v>1300</v>
      </c>
      <c r="E944" s="211" t="s">
        <v>1864</v>
      </c>
      <c r="F944" s="212">
        <v>43538</v>
      </c>
      <c r="G944" s="213">
        <v>2.68</v>
      </c>
      <c r="H944" s="256">
        <v>637</v>
      </c>
      <c r="I944" s="214">
        <v>1444682</v>
      </c>
      <c r="J944" s="215">
        <v>21600</v>
      </c>
      <c r="K944" s="212">
        <v>43587</v>
      </c>
      <c r="L944" s="211" t="s">
        <v>1865</v>
      </c>
      <c r="M944" s="216">
        <v>4615445946</v>
      </c>
      <c r="N944" s="212">
        <v>43682</v>
      </c>
      <c r="O944" s="217">
        <v>3.9611999999999998</v>
      </c>
      <c r="P944" s="219"/>
      <c r="Q944" s="34">
        <f>SUMIF(Allocation[Delivery ID],Allocation[[#This Row],[Delivery ID]],Allocation[Quantity Processed])</f>
        <v>5072</v>
      </c>
      <c r="R944" s="61">
        <f>Allocation[[#This Row],[Total volume used]]/VLOOKUP(Allocation[[#This Row],[Delivery ID]],Delivery[[Delivery ID]:[Quantity delivered]],3,FALSE)</f>
        <v>0.84533333333333338</v>
      </c>
      <c r="S944" s="34">
        <f>Allocation[[#This Row],[Quantity Processed]]/Allocation[[#This Row],[Dilution rate]]</f>
        <v>485.07462686567163</v>
      </c>
      <c r="T944" s="59">
        <f>SUMIF(Allocation[Delivery ID],Allocation[[#This Row],[Delivery ID]],Allocation[Quantity allocated])/SUMIF(Allocation[Delivery ID],Allocation[[#This Row],[Delivery ID]],Allocation[Volume available (kg)])</f>
        <v>1.2229337091198389</v>
      </c>
      <c r="U944" s="61">
        <f>Allocation[[#This Row],[Total volume used]]/VLOOKUP(Allocation[[#This Row],[Delivery ID]],Delivery[[Delivery ID]:[Quantity delivered]],3,FALSE)</f>
        <v>0.84533333333333338</v>
      </c>
      <c r="V944" s="34" t="e">
        <f>VLOOKUP(Allocation[[#This Row],[SAP Contract number]],Shipments[[SAP Contract number]:[Contracted container weight]],2,FALSE)</f>
        <v>#N/A</v>
      </c>
      <c r="W944" s="34" t="e">
        <f>VLOOKUP(Allocation[[#This Row],[SAP Contract number]],Shipments[[SAP Contract number]:[AAA Premium USD]],24,FALSE)</f>
        <v>#N/A</v>
      </c>
      <c r="X944" s="34" t="e">
        <f>VLOOKUP(Allocation[[#This Row],[SAP Contract number]],Shipments[[SAP Contract number]:[RA Premium USD]],25,FALSE)</f>
        <v>#N/A</v>
      </c>
      <c r="Y944" s="38">
        <f>Allocation[[#This Row],[Quantity Processed]]/Allocation[[#This Row],[Quantity allocated]]</f>
        <v>2.0408163265306123</v>
      </c>
      <c r="Z944" s="34" t="b">
        <f>Allocation[[#This Row],[Quantity allocated]]&lt;=Allocation[[#This Row],[Quantity Processed]]</f>
        <v>1</v>
      </c>
    </row>
    <row r="945" spans="1:26">
      <c r="A945" s="247" t="s">
        <v>467</v>
      </c>
      <c r="B945" s="210" t="s">
        <v>68</v>
      </c>
      <c r="C945" s="254" t="s">
        <v>551</v>
      </c>
      <c r="D945" s="255">
        <v>970</v>
      </c>
      <c r="E945" s="211" t="s">
        <v>1864</v>
      </c>
      <c r="F945" s="212">
        <v>43538</v>
      </c>
      <c r="G945" s="213">
        <v>2.68</v>
      </c>
      <c r="H945" s="256">
        <v>320</v>
      </c>
      <c r="I945" s="214">
        <v>1444682</v>
      </c>
      <c r="J945" s="215">
        <v>21600</v>
      </c>
      <c r="K945" s="212">
        <v>43587</v>
      </c>
      <c r="L945" s="211" t="s">
        <v>1865</v>
      </c>
      <c r="M945" s="216">
        <v>4615445946</v>
      </c>
      <c r="N945" s="212">
        <v>43682</v>
      </c>
      <c r="O945" s="217">
        <v>3.9611999999999998</v>
      </c>
      <c r="P945" s="219"/>
      <c r="Q945" s="34">
        <f>SUMIF(Allocation[Delivery ID],Allocation[[#This Row],[Delivery ID]],Allocation[Quantity Processed])</f>
        <v>15141</v>
      </c>
      <c r="R945" s="61">
        <f>Allocation[[#This Row],[Total volume used]]/VLOOKUP(Allocation[[#This Row],[Delivery ID]],Delivery[[Delivery ID]:[Quantity delivered]],3,FALSE)</f>
        <v>0.67443207126948779</v>
      </c>
      <c r="S945" s="34">
        <f>Allocation[[#This Row],[Quantity Processed]]/Allocation[[#This Row],[Dilution rate]]</f>
        <v>361.94029850746267</v>
      </c>
      <c r="T945" s="59">
        <f>SUMIF(Allocation[Delivery ID],Allocation[[#This Row],[Delivery ID]],Allocation[Quantity allocated])/SUMIF(Allocation[Delivery ID],Allocation[[#This Row],[Delivery ID]],Allocation[Volume available (kg)])</f>
        <v>0.72304231515186435</v>
      </c>
      <c r="U945" s="61">
        <f>Allocation[[#This Row],[Total volume used]]/VLOOKUP(Allocation[[#This Row],[Delivery ID]],Delivery[[Delivery ID]:[Quantity delivered]],3,FALSE)</f>
        <v>0.67443207126948779</v>
      </c>
      <c r="V945" s="34" t="e">
        <f>VLOOKUP(Allocation[[#This Row],[SAP Contract number]],Shipments[[SAP Contract number]:[Contracted container weight]],2,FALSE)</f>
        <v>#N/A</v>
      </c>
      <c r="W945" s="34" t="e">
        <f>VLOOKUP(Allocation[[#This Row],[SAP Contract number]],Shipments[[SAP Contract number]:[AAA Premium USD]],24,FALSE)</f>
        <v>#N/A</v>
      </c>
      <c r="X945" s="34" t="e">
        <f>VLOOKUP(Allocation[[#This Row],[SAP Contract number]],Shipments[[SAP Contract number]:[RA Premium USD]],25,FALSE)</f>
        <v>#N/A</v>
      </c>
      <c r="Y945" s="38">
        <f>Allocation[[#This Row],[Quantity Processed]]/Allocation[[#This Row],[Quantity allocated]]</f>
        <v>3.03125</v>
      </c>
      <c r="Z945" s="34" t="b">
        <f>Allocation[[#This Row],[Quantity allocated]]&lt;=Allocation[[#This Row],[Quantity Processed]]</f>
        <v>1</v>
      </c>
    </row>
    <row r="946" spans="1:26">
      <c r="A946" s="247" t="s">
        <v>467</v>
      </c>
      <c r="B946" s="210" t="s">
        <v>68</v>
      </c>
      <c r="C946" s="254" t="s">
        <v>553</v>
      </c>
      <c r="D946" s="255">
        <v>994</v>
      </c>
      <c r="E946" s="211" t="s">
        <v>1864</v>
      </c>
      <c r="F946" s="212">
        <v>43538</v>
      </c>
      <c r="G946" s="213">
        <v>2.68</v>
      </c>
      <c r="H946" s="256">
        <v>328</v>
      </c>
      <c r="I946" s="214">
        <v>1444682</v>
      </c>
      <c r="J946" s="215">
        <v>21600</v>
      </c>
      <c r="K946" s="212">
        <v>43587</v>
      </c>
      <c r="L946" s="211" t="s">
        <v>1865</v>
      </c>
      <c r="M946" s="216">
        <v>4615445946</v>
      </c>
      <c r="N946" s="212">
        <v>43682</v>
      </c>
      <c r="O946" s="217">
        <v>3.9611999999999998</v>
      </c>
      <c r="P946" s="219"/>
      <c r="Q946" s="34">
        <f>SUMIF(Allocation[Delivery ID],Allocation[[#This Row],[Delivery ID]],Allocation[Quantity Processed])</f>
        <v>15504</v>
      </c>
      <c r="R946" s="61">
        <f>Allocation[[#This Row],[Total volume used]]/VLOOKUP(Allocation[[#This Row],[Delivery ID]],Delivery[[Delivery ID]:[Quantity delivered]],3,FALSE)</f>
        <v>0.67555555555555558</v>
      </c>
      <c r="S946" s="34">
        <f>Allocation[[#This Row],[Quantity Processed]]/Allocation[[#This Row],[Dilution rate]]</f>
        <v>370.8955223880597</v>
      </c>
      <c r="T946" s="59">
        <f>SUMIF(Allocation[Delivery ID],Allocation[[#This Row],[Delivery ID]],Allocation[Quantity allocated])/SUMIF(Allocation[Delivery ID],Allocation[[#This Row],[Delivery ID]],Allocation[Volume available (kg)])</f>
        <v>0.72304788105801232</v>
      </c>
      <c r="U946" s="61">
        <f>Allocation[[#This Row],[Total volume used]]/VLOOKUP(Allocation[[#This Row],[Delivery ID]],Delivery[[Delivery ID]:[Quantity delivered]],3,FALSE)</f>
        <v>0.67555555555555558</v>
      </c>
      <c r="V946" s="34" t="e">
        <f>VLOOKUP(Allocation[[#This Row],[SAP Contract number]],Shipments[[SAP Contract number]:[Contracted container weight]],2,FALSE)</f>
        <v>#N/A</v>
      </c>
      <c r="W946" s="34" t="e">
        <f>VLOOKUP(Allocation[[#This Row],[SAP Contract number]],Shipments[[SAP Contract number]:[AAA Premium USD]],24,FALSE)</f>
        <v>#N/A</v>
      </c>
      <c r="X946" s="34" t="e">
        <f>VLOOKUP(Allocation[[#This Row],[SAP Contract number]],Shipments[[SAP Contract number]:[RA Premium USD]],25,FALSE)</f>
        <v>#N/A</v>
      </c>
      <c r="Y946" s="38">
        <f>Allocation[[#This Row],[Quantity Processed]]/Allocation[[#This Row],[Quantity allocated]]</f>
        <v>3.0304878048780486</v>
      </c>
      <c r="Z946" s="34" t="b">
        <f>Allocation[[#This Row],[Quantity allocated]]&lt;=Allocation[[#This Row],[Quantity Processed]]</f>
        <v>1</v>
      </c>
    </row>
    <row r="947" spans="1:26">
      <c r="A947" s="247" t="s">
        <v>467</v>
      </c>
      <c r="B947" s="210" t="s">
        <v>68</v>
      </c>
      <c r="C947" s="254" t="s">
        <v>554</v>
      </c>
      <c r="D947" s="255">
        <v>852</v>
      </c>
      <c r="E947" s="211" t="s">
        <v>1864</v>
      </c>
      <c r="F947" s="212">
        <v>43538</v>
      </c>
      <c r="G947" s="213">
        <v>2.68</v>
      </c>
      <c r="H947" s="256">
        <v>281</v>
      </c>
      <c r="I947" s="214">
        <v>1444682</v>
      </c>
      <c r="J947" s="215">
        <v>21600</v>
      </c>
      <c r="K947" s="212">
        <v>43587</v>
      </c>
      <c r="L947" s="211" t="s">
        <v>1865</v>
      </c>
      <c r="M947" s="216">
        <v>4615445946</v>
      </c>
      <c r="N947" s="212">
        <v>43682</v>
      </c>
      <c r="O947" s="217">
        <v>3.9611999999999998</v>
      </c>
      <c r="P947" s="219"/>
      <c r="Q947" s="34">
        <f>SUMIF(Allocation[Delivery ID],Allocation[[#This Row],[Delivery ID]],Allocation[Quantity Processed])</f>
        <v>13277</v>
      </c>
      <c r="R947" s="61">
        <f>Allocation[[#This Row],[Total volume used]]/VLOOKUP(Allocation[[#This Row],[Delivery ID]],Delivery[[Delivery ID]:[Quantity delivered]],3,FALSE)</f>
        <v>0.67464430894308947</v>
      </c>
      <c r="S947" s="34">
        <f>Allocation[[#This Row],[Quantity Processed]]/Allocation[[#This Row],[Dilution rate]]</f>
        <v>317.91044776119401</v>
      </c>
      <c r="T947" s="59">
        <f>SUMIF(Allocation[Delivery ID],Allocation[[#This Row],[Delivery ID]],Allocation[Quantity allocated])/SUMIF(Allocation[Delivery ID],Allocation[[#This Row],[Delivery ID]],Allocation[Volume available (kg)])</f>
        <v>0.72304006354556072</v>
      </c>
      <c r="U947" s="61">
        <f>Allocation[[#This Row],[Total volume used]]/VLOOKUP(Allocation[[#This Row],[Delivery ID]],Delivery[[Delivery ID]:[Quantity delivered]],3,FALSE)</f>
        <v>0.67464430894308947</v>
      </c>
      <c r="V947" s="34" t="e">
        <f>VLOOKUP(Allocation[[#This Row],[SAP Contract number]],Shipments[[SAP Contract number]:[Contracted container weight]],2,FALSE)</f>
        <v>#N/A</v>
      </c>
      <c r="W947" s="34" t="e">
        <f>VLOOKUP(Allocation[[#This Row],[SAP Contract number]],Shipments[[SAP Contract number]:[AAA Premium USD]],24,FALSE)</f>
        <v>#N/A</v>
      </c>
      <c r="X947" s="34" t="e">
        <f>VLOOKUP(Allocation[[#This Row],[SAP Contract number]],Shipments[[SAP Contract number]:[RA Premium USD]],25,FALSE)</f>
        <v>#N/A</v>
      </c>
      <c r="Y947" s="38">
        <f>Allocation[[#This Row],[Quantity Processed]]/Allocation[[#This Row],[Quantity allocated]]</f>
        <v>3.0320284697508897</v>
      </c>
      <c r="Z947" s="34" t="b">
        <f>Allocation[[#This Row],[Quantity allocated]]&lt;=Allocation[[#This Row],[Quantity Processed]]</f>
        <v>1</v>
      </c>
    </row>
    <row r="948" spans="1:26">
      <c r="A948" s="247" t="s">
        <v>467</v>
      </c>
      <c r="B948" s="210" t="s">
        <v>68</v>
      </c>
      <c r="C948" s="254" t="s">
        <v>1358</v>
      </c>
      <c r="D948" s="255">
        <v>663</v>
      </c>
      <c r="E948" s="211" t="s">
        <v>1864</v>
      </c>
      <c r="F948" s="212">
        <v>43538</v>
      </c>
      <c r="G948" s="213">
        <v>2.68</v>
      </c>
      <c r="H948" s="256">
        <v>199</v>
      </c>
      <c r="I948" s="214">
        <v>1444682</v>
      </c>
      <c r="J948" s="215">
        <v>21600</v>
      </c>
      <c r="K948" s="212">
        <v>43587</v>
      </c>
      <c r="L948" s="211" t="s">
        <v>1865</v>
      </c>
      <c r="M948" s="216">
        <v>4615445946</v>
      </c>
      <c r="N948" s="212">
        <v>43682</v>
      </c>
      <c r="O948" s="217">
        <v>3.9611999999999998</v>
      </c>
      <c r="P948" s="219"/>
      <c r="Q948" s="34">
        <f>SUMIF(Allocation[Delivery ID],Allocation[[#This Row],[Delivery ID]],Allocation[Quantity Processed])</f>
        <v>1923</v>
      </c>
      <c r="R948" s="61">
        <f>Allocation[[#This Row],[Total volume used]]/VLOOKUP(Allocation[[#This Row],[Delivery ID]],Delivery[[Delivery ID]:[Quantity delivered]],3,FALSE)</f>
        <v>0.32050000000000001</v>
      </c>
      <c r="S948" s="34">
        <f>Allocation[[#This Row],[Quantity Processed]]/Allocation[[#This Row],[Dilution rate]]</f>
        <v>247.38805970149252</v>
      </c>
      <c r="T948" s="59">
        <f>SUMIF(Allocation[Delivery ID],Allocation[[#This Row],[Delivery ID]],Allocation[Quantity allocated])/SUMIF(Allocation[Delivery ID],Allocation[[#This Row],[Delivery ID]],Allocation[Volume available (kg)])</f>
        <v>0.80061634793682046</v>
      </c>
      <c r="U948" s="61">
        <f>Allocation[[#This Row],[Total volume used]]/VLOOKUP(Allocation[[#This Row],[Delivery ID]],Delivery[[Delivery ID]:[Quantity delivered]],3,FALSE)</f>
        <v>0.32050000000000001</v>
      </c>
      <c r="V948" s="34" t="e">
        <f>VLOOKUP(Allocation[[#This Row],[SAP Contract number]],Shipments[[SAP Contract number]:[Contracted container weight]],2,FALSE)</f>
        <v>#N/A</v>
      </c>
      <c r="W948" s="34" t="e">
        <f>VLOOKUP(Allocation[[#This Row],[SAP Contract number]],Shipments[[SAP Contract number]:[AAA Premium USD]],24,FALSE)</f>
        <v>#N/A</v>
      </c>
      <c r="X948" s="34" t="e">
        <f>VLOOKUP(Allocation[[#This Row],[SAP Contract number]],Shipments[[SAP Contract number]:[RA Premium USD]],25,FALSE)</f>
        <v>#N/A</v>
      </c>
      <c r="Y948" s="38">
        <f>Allocation[[#This Row],[Quantity Processed]]/Allocation[[#This Row],[Quantity allocated]]</f>
        <v>3.3316582914572863</v>
      </c>
      <c r="Z948" s="34" t="b">
        <f>Allocation[[#This Row],[Quantity allocated]]&lt;=Allocation[[#This Row],[Quantity Processed]]</f>
        <v>1</v>
      </c>
    </row>
    <row r="949" spans="1:26">
      <c r="A949" s="247" t="s">
        <v>467</v>
      </c>
      <c r="B949" s="210" t="s">
        <v>68</v>
      </c>
      <c r="C949" s="254" t="s">
        <v>557</v>
      </c>
      <c r="D949" s="255">
        <v>2060</v>
      </c>
      <c r="E949" s="211" t="s">
        <v>1864</v>
      </c>
      <c r="F949" s="212">
        <v>43538</v>
      </c>
      <c r="G949" s="213">
        <v>2.68</v>
      </c>
      <c r="H949" s="256">
        <v>618</v>
      </c>
      <c r="I949" s="214">
        <v>1444682</v>
      </c>
      <c r="J949" s="215">
        <v>21600</v>
      </c>
      <c r="K949" s="212">
        <v>43587</v>
      </c>
      <c r="L949" s="211" t="s">
        <v>1865</v>
      </c>
      <c r="M949" s="216">
        <v>4615445946</v>
      </c>
      <c r="N949" s="212">
        <v>43682</v>
      </c>
      <c r="O949" s="217">
        <v>3.9611999999999998</v>
      </c>
      <c r="P949" s="219"/>
      <c r="Q949" s="34">
        <f>SUMIF(Allocation[Delivery ID],Allocation[[#This Row],[Delivery ID]],Allocation[Quantity Processed])</f>
        <v>9990</v>
      </c>
      <c r="R949" s="61">
        <f>Allocation[[#This Row],[Total volume used]]/VLOOKUP(Allocation[[#This Row],[Delivery ID]],Delivery[[Delivery ID]:[Quantity delivered]],3,FALSE)</f>
        <v>1</v>
      </c>
      <c r="S949" s="34">
        <f>Allocation[[#This Row],[Quantity Processed]]/Allocation[[#This Row],[Dilution rate]]</f>
        <v>768.65671641791039</v>
      </c>
      <c r="T949" s="59">
        <f>SUMIF(Allocation[Delivery ID],Allocation[[#This Row],[Delivery ID]],Allocation[Quantity allocated])/SUMIF(Allocation[Delivery ID],Allocation[[#This Row],[Delivery ID]],Allocation[Volume available (kg)])</f>
        <v>0.73686309988954335</v>
      </c>
      <c r="U949" s="61">
        <f>Allocation[[#This Row],[Total volume used]]/VLOOKUP(Allocation[[#This Row],[Delivery ID]],Delivery[[Delivery ID]:[Quantity delivered]],3,FALSE)</f>
        <v>1</v>
      </c>
      <c r="V949" s="34" t="e">
        <f>VLOOKUP(Allocation[[#This Row],[SAP Contract number]],Shipments[[SAP Contract number]:[Contracted container weight]],2,FALSE)</f>
        <v>#N/A</v>
      </c>
      <c r="W949" s="34" t="e">
        <f>VLOOKUP(Allocation[[#This Row],[SAP Contract number]],Shipments[[SAP Contract number]:[AAA Premium USD]],24,FALSE)</f>
        <v>#N/A</v>
      </c>
      <c r="X949" s="34" t="e">
        <f>VLOOKUP(Allocation[[#This Row],[SAP Contract number]],Shipments[[SAP Contract number]:[RA Premium USD]],25,FALSE)</f>
        <v>#N/A</v>
      </c>
      <c r="Y949" s="38">
        <f>Allocation[[#This Row],[Quantity Processed]]/Allocation[[#This Row],[Quantity allocated]]</f>
        <v>3.3333333333333335</v>
      </c>
      <c r="Z949" s="34" t="b">
        <f>Allocation[[#This Row],[Quantity allocated]]&lt;=Allocation[[#This Row],[Quantity Processed]]</f>
        <v>1</v>
      </c>
    </row>
    <row r="950" spans="1:26">
      <c r="A950" s="247" t="s">
        <v>467</v>
      </c>
      <c r="B950" s="210" t="s">
        <v>68</v>
      </c>
      <c r="C950" s="254" t="s">
        <v>559</v>
      </c>
      <c r="D950" s="255">
        <v>973</v>
      </c>
      <c r="E950" s="211" t="s">
        <v>1864</v>
      </c>
      <c r="F950" s="212">
        <v>43538</v>
      </c>
      <c r="G950" s="213">
        <v>2.68</v>
      </c>
      <c r="H950" s="256">
        <v>321</v>
      </c>
      <c r="I950" s="214">
        <v>1444682</v>
      </c>
      <c r="J950" s="215">
        <v>21600</v>
      </c>
      <c r="K950" s="212">
        <v>43587</v>
      </c>
      <c r="L950" s="211" t="s">
        <v>1865</v>
      </c>
      <c r="M950" s="216">
        <v>4615445946</v>
      </c>
      <c r="N950" s="212">
        <v>43682</v>
      </c>
      <c r="O950" s="217">
        <v>3.9611999999999998</v>
      </c>
      <c r="P950" s="219"/>
      <c r="Q950" s="34">
        <f>SUMIF(Allocation[Delivery ID],Allocation[[#This Row],[Delivery ID]],Allocation[Quantity Processed])</f>
        <v>15180</v>
      </c>
      <c r="R950" s="61">
        <f>Allocation[[#This Row],[Total volume used]]/VLOOKUP(Allocation[[#This Row],[Delivery ID]],Delivery[[Delivery ID]:[Quantity delivered]],3,FALSE)</f>
        <v>0.67496665184526461</v>
      </c>
      <c r="S950" s="34">
        <f>Allocation[[#This Row],[Quantity Processed]]/Allocation[[#This Row],[Dilution rate]]</f>
        <v>363.05970149253727</v>
      </c>
      <c r="T950" s="59">
        <f>SUMIF(Allocation[Delivery ID],Allocation[[#This Row],[Delivery ID]],Allocation[Quantity allocated])/SUMIF(Allocation[Delivery ID],Allocation[[#This Row],[Delivery ID]],Allocation[Volume available (kg)])</f>
        <v>0.72304148531501</v>
      </c>
      <c r="U950" s="61">
        <f>Allocation[[#This Row],[Total volume used]]/VLOOKUP(Allocation[[#This Row],[Delivery ID]],Delivery[[Delivery ID]:[Quantity delivered]],3,FALSE)</f>
        <v>0.67496665184526461</v>
      </c>
      <c r="V950" s="34" t="e">
        <f>VLOOKUP(Allocation[[#This Row],[SAP Contract number]],Shipments[[SAP Contract number]:[Contracted container weight]],2,FALSE)</f>
        <v>#N/A</v>
      </c>
      <c r="W950" s="34" t="e">
        <f>VLOOKUP(Allocation[[#This Row],[SAP Contract number]],Shipments[[SAP Contract number]:[AAA Premium USD]],24,FALSE)</f>
        <v>#N/A</v>
      </c>
      <c r="X950" s="34" t="e">
        <f>VLOOKUP(Allocation[[#This Row],[SAP Contract number]],Shipments[[SAP Contract number]:[RA Premium USD]],25,FALSE)</f>
        <v>#N/A</v>
      </c>
      <c r="Y950" s="38">
        <f>Allocation[[#This Row],[Quantity Processed]]/Allocation[[#This Row],[Quantity allocated]]</f>
        <v>3.0311526479750777</v>
      </c>
      <c r="Z950" s="34" t="b">
        <f>Allocation[[#This Row],[Quantity allocated]]&lt;=Allocation[[#This Row],[Quantity Processed]]</f>
        <v>1</v>
      </c>
    </row>
    <row r="951" spans="1:26">
      <c r="A951" s="247" t="s">
        <v>467</v>
      </c>
      <c r="B951" s="210" t="s">
        <v>68</v>
      </c>
      <c r="C951" s="254" t="s">
        <v>1361</v>
      </c>
      <c r="D951" s="255">
        <v>1748</v>
      </c>
      <c r="E951" s="211" t="s">
        <v>1864</v>
      </c>
      <c r="F951" s="212">
        <v>43538</v>
      </c>
      <c r="G951" s="213">
        <v>2.68</v>
      </c>
      <c r="H951" s="256">
        <v>577</v>
      </c>
      <c r="I951" s="214">
        <v>1444682</v>
      </c>
      <c r="J951" s="215">
        <v>21600</v>
      </c>
      <c r="K951" s="212">
        <v>43587</v>
      </c>
      <c r="L951" s="211" t="s">
        <v>1865</v>
      </c>
      <c r="M951" s="216">
        <v>4615445946</v>
      </c>
      <c r="N951" s="212">
        <v>43682</v>
      </c>
      <c r="O951" s="217">
        <v>3.9611999999999998</v>
      </c>
      <c r="P951" s="219"/>
      <c r="Q951" s="34">
        <f>SUMIF(Allocation[Delivery ID],Allocation[[#This Row],[Delivery ID]],Allocation[Quantity Processed])</f>
        <v>6366</v>
      </c>
      <c r="R951" s="61">
        <f>Allocation[[#This Row],[Total volume used]]/VLOOKUP(Allocation[[#This Row],[Delivery ID]],Delivery[[Delivery ID]:[Quantity delivered]],3,FALSE)</f>
        <v>0.42383488681757658</v>
      </c>
      <c r="S951" s="34">
        <f>Allocation[[#This Row],[Quantity Processed]]/Allocation[[#This Row],[Dilution rate]]</f>
        <v>652.2388059701492</v>
      </c>
      <c r="T951" s="59">
        <f>SUMIF(Allocation[Delivery ID],Allocation[[#This Row],[Delivery ID]],Allocation[Quantity allocated])/SUMIF(Allocation[Delivery ID],Allocation[[#This Row],[Delivery ID]],Allocation[Volume available (kg)])</f>
        <v>0.87691692120759035</v>
      </c>
      <c r="U951" s="61">
        <f>Allocation[[#This Row],[Total volume used]]/VLOOKUP(Allocation[[#This Row],[Delivery ID]],Delivery[[Delivery ID]:[Quantity delivered]],3,FALSE)</f>
        <v>0.42383488681757658</v>
      </c>
      <c r="V951" s="34" t="e">
        <f>VLOOKUP(Allocation[[#This Row],[SAP Contract number]],Shipments[[SAP Contract number]:[Contracted container weight]],2,FALSE)</f>
        <v>#N/A</v>
      </c>
      <c r="W951" s="34" t="e">
        <f>VLOOKUP(Allocation[[#This Row],[SAP Contract number]],Shipments[[SAP Contract number]:[AAA Premium USD]],24,FALSE)</f>
        <v>#N/A</v>
      </c>
      <c r="X951" s="34" t="e">
        <f>VLOOKUP(Allocation[[#This Row],[SAP Contract number]],Shipments[[SAP Contract number]:[RA Premium USD]],25,FALSE)</f>
        <v>#N/A</v>
      </c>
      <c r="Y951" s="38">
        <f>Allocation[[#This Row],[Quantity Processed]]/Allocation[[#This Row],[Quantity allocated]]</f>
        <v>3.02946273830156</v>
      </c>
      <c r="Z951" s="34" t="b">
        <f>Allocation[[#This Row],[Quantity allocated]]&lt;=Allocation[[#This Row],[Quantity Processed]]</f>
        <v>1</v>
      </c>
    </row>
    <row r="952" spans="1:26">
      <c r="A952" s="247" t="s">
        <v>467</v>
      </c>
      <c r="B952" s="210" t="s">
        <v>68</v>
      </c>
      <c r="C952" s="254" t="s">
        <v>561</v>
      </c>
      <c r="D952" s="255">
        <v>2158</v>
      </c>
      <c r="E952" s="211" t="s">
        <v>1864</v>
      </c>
      <c r="F952" s="212">
        <v>43538</v>
      </c>
      <c r="G952" s="213">
        <v>2.68</v>
      </c>
      <c r="H952" s="256">
        <v>712</v>
      </c>
      <c r="I952" s="214">
        <v>1444682</v>
      </c>
      <c r="J952" s="215">
        <v>21600</v>
      </c>
      <c r="K952" s="212">
        <v>43587</v>
      </c>
      <c r="L952" s="211" t="s">
        <v>1865</v>
      </c>
      <c r="M952" s="216">
        <v>4615445946</v>
      </c>
      <c r="N952" s="212">
        <v>43682</v>
      </c>
      <c r="O952" s="217">
        <v>3.9611999999999998</v>
      </c>
      <c r="P952" s="219"/>
      <c r="Q952" s="34">
        <f>SUMIF(Allocation[Delivery ID],Allocation[[#This Row],[Delivery ID]],Allocation[Quantity Processed])</f>
        <v>10736</v>
      </c>
      <c r="R952" s="61">
        <f>Allocation[[#This Row],[Total volume used]]/VLOOKUP(Allocation[[#This Row],[Delivery ID]],Delivery[[Delivery ID]:[Quantity delivered]],3,FALSE)</f>
        <v>0.93356521739130438</v>
      </c>
      <c r="S952" s="34">
        <f>Allocation[[#This Row],[Quantity Processed]]/Allocation[[#This Row],[Dilution rate]]</f>
        <v>805.22388059701484</v>
      </c>
      <c r="T952" s="59">
        <f>SUMIF(Allocation[Delivery ID],Allocation[[#This Row],[Delivery ID]],Allocation[Quantity allocated])/SUMIF(Allocation[Delivery ID],Allocation[[#This Row],[Delivery ID]],Allocation[Volume available (kg)])</f>
        <v>0.8212168824808399</v>
      </c>
      <c r="U952" s="61">
        <f>Allocation[[#This Row],[Total volume used]]/VLOOKUP(Allocation[[#This Row],[Delivery ID]],Delivery[[Delivery ID]:[Quantity delivered]],3,FALSE)</f>
        <v>0.93356521739130438</v>
      </c>
      <c r="V952" s="34" t="e">
        <f>VLOOKUP(Allocation[[#This Row],[SAP Contract number]],Shipments[[SAP Contract number]:[Contracted container weight]],2,FALSE)</f>
        <v>#N/A</v>
      </c>
      <c r="W952" s="34" t="e">
        <f>VLOOKUP(Allocation[[#This Row],[SAP Contract number]],Shipments[[SAP Contract number]:[AAA Premium USD]],24,FALSE)</f>
        <v>#N/A</v>
      </c>
      <c r="X952" s="34" t="e">
        <f>VLOOKUP(Allocation[[#This Row],[SAP Contract number]],Shipments[[SAP Contract number]:[RA Premium USD]],25,FALSE)</f>
        <v>#N/A</v>
      </c>
      <c r="Y952" s="38">
        <f>Allocation[[#This Row],[Quantity Processed]]/Allocation[[#This Row],[Quantity allocated]]</f>
        <v>3.0308988764044944</v>
      </c>
      <c r="Z952" s="34" t="b">
        <f>Allocation[[#This Row],[Quantity allocated]]&lt;=Allocation[[#This Row],[Quantity Processed]]</f>
        <v>1</v>
      </c>
    </row>
    <row r="953" spans="1:26">
      <c r="A953" s="247" t="s">
        <v>467</v>
      </c>
      <c r="B953" s="210" t="s">
        <v>68</v>
      </c>
      <c r="C953" s="254" t="s">
        <v>1366</v>
      </c>
      <c r="D953" s="255">
        <v>358</v>
      </c>
      <c r="E953" s="211" t="s">
        <v>1864</v>
      </c>
      <c r="F953" s="212">
        <v>43538</v>
      </c>
      <c r="G953" s="213">
        <v>2.68</v>
      </c>
      <c r="H953" s="256">
        <v>143</v>
      </c>
      <c r="I953" s="214">
        <v>1444682</v>
      </c>
      <c r="J953" s="215">
        <v>21600</v>
      </c>
      <c r="K953" s="212">
        <v>43587</v>
      </c>
      <c r="L953" s="211" t="s">
        <v>1865</v>
      </c>
      <c r="M953" s="216">
        <v>4615445946</v>
      </c>
      <c r="N953" s="212">
        <v>43682</v>
      </c>
      <c r="O953" s="217">
        <v>3.9611999999999998</v>
      </c>
      <c r="P953" s="219"/>
      <c r="Q953" s="34">
        <f>SUMIF(Allocation[Delivery ID],Allocation[[#This Row],[Delivery ID]],Allocation[Quantity Processed])</f>
        <v>2010</v>
      </c>
      <c r="R953" s="61">
        <f>Allocation[[#This Row],[Total volume used]]/VLOOKUP(Allocation[[#This Row],[Delivery ID]],Delivery[[Delivery ID]:[Quantity delivered]],3,FALSE)</f>
        <v>1</v>
      </c>
      <c r="S953" s="34">
        <f>Allocation[[#This Row],[Quantity Processed]]/Allocation[[#This Row],[Dilution rate]]</f>
        <v>133.58208955223878</v>
      </c>
      <c r="T953" s="59">
        <f>SUMIF(Allocation[Delivery ID],Allocation[[#This Row],[Delivery ID]],Allocation[Quantity allocated])/SUMIF(Allocation[Delivery ID],Allocation[[#This Row],[Delivery ID]],Allocation[Volume available (kg)])</f>
        <v>0.97889430553804702</v>
      </c>
      <c r="U953" s="61">
        <f>Allocation[[#This Row],[Total volume used]]/VLOOKUP(Allocation[[#This Row],[Delivery ID]],Delivery[[Delivery ID]:[Quantity delivered]],3,FALSE)</f>
        <v>1</v>
      </c>
      <c r="V953" s="34" t="e">
        <f>VLOOKUP(Allocation[[#This Row],[SAP Contract number]],Shipments[[SAP Contract number]:[Contracted container weight]],2,FALSE)</f>
        <v>#N/A</v>
      </c>
      <c r="W953" s="34" t="e">
        <f>VLOOKUP(Allocation[[#This Row],[SAP Contract number]],Shipments[[SAP Contract number]:[AAA Premium USD]],24,FALSE)</f>
        <v>#N/A</v>
      </c>
      <c r="X953" s="34" t="e">
        <f>VLOOKUP(Allocation[[#This Row],[SAP Contract number]],Shipments[[SAP Contract number]:[RA Premium USD]],25,FALSE)</f>
        <v>#N/A</v>
      </c>
      <c r="Y953" s="38">
        <f>Allocation[[#This Row],[Quantity Processed]]/Allocation[[#This Row],[Quantity allocated]]</f>
        <v>2.5034965034965033</v>
      </c>
      <c r="Z953" s="34" t="b">
        <f>Allocation[[#This Row],[Quantity allocated]]&lt;=Allocation[[#This Row],[Quantity Processed]]</f>
        <v>1</v>
      </c>
    </row>
    <row r="954" spans="1:26">
      <c r="A954" s="247" t="s">
        <v>467</v>
      </c>
      <c r="B954" s="210" t="s">
        <v>68</v>
      </c>
      <c r="C954" s="254" t="s">
        <v>1368</v>
      </c>
      <c r="D954" s="255">
        <v>40</v>
      </c>
      <c r="E954" s="211" t="s">
        <v>1864</v>
      </c>
      <c r="F954" s="212">
        <v>43538</v>
      </c>
      <c r="G954" s="213">
        <v>2.68</v>
      </c>
      <c r="H954" s="256">
        <v>18</v>
      </c>
      <c r="I954" s="214">
        <v>1444682</v>
      </c>
      <c r="J954" s="215">
        <v>21600</v>
      </c>
      <c r="K954" s="212">
        <v>43587</v>
      </c>
      <c r="L954" s="211" t="s">
        <v>1865</v>
      </c>
      <c r="M954" s="216">
        <v>4615445946</v>
      </c>
      <c r="N954" s="212">
        <v>43682</v>
      </c>
      <c r="O954" s="217">
        <v>3.9611999999999998</v>
      </c>
      <c r="P954" s="219"/>
      <c r="Q954" s="34">
        <f>SUMIF(Allocation[Delivery ID],Allocation[[#This Row],[Delivery ID]],Allocation[Quantity Processed])</f>
        <v>327</v>
      </c>
      <c r="R954" s="61">
        <f>Allocation[[#This Row],[Total volume used]]/VLOOKUP(Allocation[[#This Row],[Delivery ID]],Delivery[[Delivery ID]:[Quantity delivered]],3,FALSE)</f>
        <v>0.11978021978021978</v>
      </c>
      <c r="S954" s="34">
        <f>Allocation[[#This Row],[Quantity Processed]]/Allocation[[#This Row],[Dilution rate]]</f>
        <v>14.925373134328357</v>
      </c>
      <c r="T954" s="59">
        <f>SUMIF(Allocation[Delivery ID],Allocation[[#This Row],[Delivery ID]],Allocation[Quantity allocated])/SUMIF(Allocation[Delivery ID],Allocation[[#This Row],[Delivery ID]],Allocation[Volume available (kg)])</f>
        <v>0.99353429860527831</v>
      </c>
      <c r="U954" s="61">
        <f>Allocation[[#This Row],[Total volume used]]/VLOOKUP(Allocation[[#This Row],[Delivery ID]],Delivery[[Delivery ID]:[Quantity delivered]],3,FALSE)</f>
        <v>0.11978021978021978</v>
      </c>
      <c r="V954" s="34" t="e">
        <f>VLOOKUP(Allocation[[#This Row],[SAP Contract number]],Shipments[[SAP Contract number]:[Contracted container weight]],2,FALSE)</f>
        <v>#N/A</v>
      </c>
      <c r="W954" s="34" t="e">
        <f>VLOOKUP(Allocation[[#This Row],[SAP Contract number]],Shipments[[SAP Contract number]:[AAA Premium USD]],24,FALSE)</f>
        <v>#N/A</v>
      </c>
      <c r="X954" s="34" t="e">
        <f>VLOOKUP(Allocation[[#This Row],[SAP Contract number]],Shipments[[SAP Contract number]:[RA Premium USD]],25,FALSE)</f>
        <v>#N/A</v>
      </c>
      <c r="Y954" s="38">
        <f>Allocation[[#This Row],[Quantity Processed]]/Allocation[[#This Row],[Quantity allocated]]</f>
        <v>2.2222222222222223</v>
      </c>
      <c r="Z954" s="34" t="b">
        <f>Allocation[[#This Row],[Quantity allocated]]&lt;=Allocation[[#This Row],[Quantity Processed]]</f>
        <v>1</v>
      </c>
    </row>
    <row r="955" spans="1:26">
      <c r="A955" s="247" t="s">
        <v>467</v>
      </c>
      <c r="B955" s="210" t="s">
        <v>68</v>
      </c>
      <c r="C955" s="254" t="s">
        <v>1370</v>
      </c>
      <c r="D955" s="255">
        <v>298</v>
      </c>
      <c r="E955" s="211" t="s">
        <v>1864</v>
      </c>
      <c r="F955" s="212">
        <v>43538</v>
      </c>
      <c r="G955" s="213">
        <v>2.68</v>
      </c>
      <c r="H955" s="256">
        <v>134</v>
      </c>
      <c r="I955" s="214">
        <v>1444682</v>
      </c>
      <c r="J955" s="215">
        <v>21600</v>
      </c>
      <c r="K955" s="212">
        <v>43587</v>
      </c>
      <c r="L955" s="211" t="s">
        <v>1865</v>
      </c>
      <c r="M955" s="216">
        <v>4615445946</v>
      </c>
      <c r="N955" s="212">
        <v>43682</v>
      </c>
      <c r="O955" s="217">
        <v>3.9611999999999998</v>
      </c>
      <c r="P955" s="219"/>
      <c r="Q955" s="34">
        <f>SUMIF(Allocation[Delivery ID],Allocation[[#This Row],[Delivery ID]],Allocation[Quantity Processed])</f>
        <v>2464</v>
      </c>
      <c r="R955" s="61">
        <f>Allocation[[#This Row],[Total volume used]]/VLOOKUP(Allocation[[#This Row],[Delivery ID]],Delivery[[Delivery ID]:[Quantity delivered]],3,FALSE)</f>
        <v>0.12161895360315893</v>
      </c>
      <c r="S955" s="34">
        <f>Allocation[[#This Row],[Quantity Processed]]/Allocation[[#This Row],[Dilution rate]]</f>
        <v>111.19402985074626</v>
      </c>
      <c r="T955" s="59">
        <f>SUMIF(Allocation[Delivery ID],Allocation[[#This Row],[Delivery ID]],Allocation[Quantity allocated])/SUMIF(Allocation[Delivery ID],Allocation[[#This Row],[Delivery ID]],Allocation[Volume available (kg)])</f>
        <v>1.0096768207281628</v>
      </c>
      <c r="U955" s="61">
        <f>Allocation[[#This Row],[Total volume used]]/VLOOKUP(Allocation[[#This Row],[Delivery ID]],Delivery[[Delivery ID]:[Quantity delivered]],3,FALSE)</f>
        <v>0.12161895360315893</v>
      </c>
      <c r="V955" s="34" t="e">
        <f>VLOOKUP(Allocation[[#This Row],[SAP Contract number]],Shipments[[SAP Contract number]:[Contracted container weight]],2,FALSE)</f>
        <v>#N/A</v>
      </c>
      <c r="W955" s="34" t="e">
        <f>VLOOKUP(Allocation[[#This Row],[SAP Contract number]],Shipments[[SAP Contract number]:[AAA Premium USD]],24,FALSE)</f>
        <v>#N/A</v>
      </c>
      <c r="X955" s="34" t="e">
        <f>VLOOKUP(Allocation[[#This Row],[SAP Contract number]],Shipments[[SAP Contract number]:[RA Premium USD]],25,FALSE)</f>
        <v>#N/A</v>
      </c>
      <c r="Y955" s="38">
        <f>Allocation[[#This Row],[Quantity Processed]]/Allocation[[#This Row],[Quantity allocated]]</f>
        <v>2.2238805970149254</v>
      </c>
      <c r="Z955" s="34" t="b">
        <f>Allocation[[#This Row],[Quantity allocated]]&lt;=Allocation[[#This Row],[Quantity Processed]]</f>
        <v>1</v>
      </c>
    </row>
    <row r="956" spans="1:26">
      <c r="A956" s="247" t="s">
        <v>467</v>
      </c>
      <c r="B956" s="210" t="s">
        <v>68</v>
      </c>
      <c r="C956" s="254" t="s">
        <v>1371</v>
      </c>
      <c r="D956" s="255">
        <v>1745</v>
      </c>
      <c r="E956" s="211" t="s">
        <v>1864</v>
      </c>
      <c r="F956" s="212">
        <v>43538</v>
      </c>
      <c r="G956" s="213">
        <v>2.68</v>
      </c>
      <c r="H956" s="256">
        <v>576</v>
      </c>
      <c r="I956" s="214">
        <v>1444682</v>
      </c>
      <c r="J956" s="215">
        <v>21600</v>
      </c>
      <c r="K956" s="212">
        <v>43587</v>
      </c>
      <c r="L956" s="211" t="s">
        <v>1865</v>
      </c>
      <c r="M956" s="216">
        <v>4615445946</v>
      </c>
      <c r="N956" s="212">
        <v>43682</v>
      </c>
      <c r="O956" s="217">
        <v>3.9611999999999998</v>
      </c>
      <c r="P956" s="219"/>
      <c r="Q956" s="34">
        <f>SUMIF(Allocation[Delivery ID],Allocation[[#This Row],[Delivery ID]],Allocation[Quantity Processed])</f>
        <v>6360</v>
      </c>
      <c r="R956" s="61">
        <f>Allocation[[#This Row],[Total volume used]]/VLOOKUP(Allocation[[#This Row],[Delivery ID]],Delivery[[Delivery ID]:[Quantity delivered]],3,FALSE)</f>
        <v>0.42399999999999999</v>
      </c>
      <c r="S956" s="34">
        <f>Allocation[[#This Row],[Quantity Processed]]/Allocation[[#This Row],[Dilution rate]]</f>
        <v>651.11940298507454</v>
      </c>
      <c r="T956" s="59">
        <f>SUMIF(Allocation[Delivery ID],Allocation[[#This Row],[Delivery ID]],Allocation[Quantity allocated])/SUMIF(Allocation[Delivery ID],Allocation[[#This Row],[Delivery ID]],Allocation[Volume available (kg)])</f>
        <v>0.87691095819810005</v>
      </c>
      <c r="U956" s="61">
        <f>Allocation[[#This Row],[Total volume used]]/VLOOKUP(Allocation[[#This Row],[Delivery ID]],Delivery[[Delivery ID]:[Quantity delivered]],3,FALSE)</f>
        <v>0.42399999999999999</v>
      </c>
      <c r="V956" s="34" t="e">
        <f>VLOOKUP(Allocation[[#This Row],[SAP Contract number]],Shipments[[SAP Contract number]:[Contracted container weight]],2,FALSE)</f>
        <v>#N/A</v>
      </c>
      <c r="W956" s="34" t="e">
        <f>VLOOKUP(Allocation[[#This Row],[SAP Contract number]],Shipments[[SAP Contract number]:[AAA Premium USD]],24,FALSE)</f>
        <v>#N/A</v>
      </c>
      <c r="X956" s="34" t="e">
        <f>VLOOKUP(Allocation[[#This Row],[SAP Contract number]],Shipments[[SAP Contract number]:[RA Premium USD]],25,FALSE)</f>
        <v>#N/A</v>
      </c>
      <c r="Y956" s="38">
        <f>Allocation[[#This Row],[Quantity Processed]]/Allocation[[#This Row],[Quantity allocated]]</f>
        <v>3.0295138888888888</v>
      </c>
      <c r="Z956" s="34" t="b">
        <f>Allocation[[#This Row],[Quantity allocated]]&lt;=Allocation[[#This Row],[Quantity Processed]]</f>
        <v>1</v>
      </c>
    </row>
    <row r="957" spans="1:26">
      <c r="A957" s="247" t="s">
        <v>467</v>
      </c>
      <c r="B957" s="210" t="s">
        <v>68</v>
      </c>
      <c r="C957" s="254" t="s">
        <v>567</v>
      </c>
      <c r="D957" s="255">
        <v>615</v>
      </c>
      <c r="E957" s="211" t="s">
        <v>1864</v>
      </c>
      <c r="F957" s="212">
        <v>43538</v>
      </c>
      <c r="G957" s="213">
        <v>2.68</v>
      </c>
      <c r="H957" s="256">
        <v>203</v>
      </c>
      <c r="I957" s="214">
        <v>1444682</v>
      </c>
      <c r="J957" s="215">
        <v>21600</v>
      </c>
      <c r="K957" s="212">
        <v>43587</v>
      </c>
      <c r="L957" s="211" t="s">
        <v>1865</v>
      </c>
      <c r="M957" s="216">
        <v>4615445946</v>
      </c>
      <c r="N957" s="212">
        <v>43682</v>
      </c>
      <c r="O957" s="217">
        <v>3.9611999999999998</v>
      </c>
      <c r="P957" s="219"/>
      <c r="Q957" s="34">
        <f>SUMIF(Allocation[Delivery ID],Allocation[[#This Row],[Delivery ID]],Allocation[Quantity Processed])</f>
        <v>9599</v>
      </c>
      <c r="R957" s="61">
        <f>Allocation[[#This Row],[Total volume used]]/VLOOKUP(Allocation[[#This Row],[Delivery ID]],Delivery[[Delivery ID]:[Quantity delivered]],3,FALSE)</f>
        <v>0.67456078706957134</v>
      </c>
      <c r="S957" s="34">
        <f>Allocation[[#This Row],[Quantity Processed]]/Allocation[[#This Row],[Dilution rate]]</f>
        <v>229.47761194029849</v>
      </c>
      <c r="T957" s="59">
        <f>SUMIF(Allocation[Delivery ID],Allocation[[#This Row],[Delivery ID]],Allocation[Quantity allocated])/SUMIF(Allocation[Delivery ID],Allocation[[#This Row],[Delivery ID]],Allocation[Volume available (kg)])</f>
        <v>0.72327415502228787</v>
      </c>
      <c r="U957" s="61">
        <f>Allocation[[#This Row],[Total volume used]]/VLOOKUP(Allocation[[#This Row],[Delivery ID]],Delivery[[Delivery ID]:[Quantity delivered]],3,FALSE)</f>
        <v>0.67456078706957134</v>
      </c>
      <c r="V957" s="34" t="e">
        <f>VLOOKUP(Allocation[[#This Row],[SAP Contract number]],Shipments[[SAP Contract number]:[Contracted container weight]],2,FALSE)</f>
        <v>#N/A</v>
      </c>
      <c r="W957" s="34" t="e">
        <f>VLOOKUP(Allocation[[#This Row],[SAP Contract number]],Shipments[[SAP Contract number]:[AAA Premium USD]],24,FALSE)</f>
        <v>#N/A</v>
      </c>
      <c r="X957" s="34" t="e">
        <f>VLOOKUP(Allocation[[#This Row],[SAP Contract number]],Shipments[[SAP Contract number]:[RA Premium USD]],25,FALSE)</f>
        <v>#N/A</v>
      </c>
      <c r="Y957" s="38">
        <f>Allocation[[#This Row],[Quantity Processed]]/Allocation[[#This Row],[Quantity allocated]]</f>
        <v>3.0295566502463056</v>
      </c>
      <c r="Z957" s="34" t="b">
        <f>Allocation[[#This Row],[Quantity allocated]]&lt;=Allocation[[#This Row],[Quantity Processed]]</f>
        <v>1</v>
      </c>
    </row>
    <row r="958" spans="1:26">
      <c r="A958" s="247" t="s">
        <v>467</v>
      </c>
      <c r="B958" s="210" t="s">
        <v>68</v>
      </c>
      <c r="C958" s="254" t="s">
        <v>1372</v>
      </c>
      <c r="D958" s="255">
        <v>1161</v>
      </c>
      <c r="E958" s="211" t="s">
        <v>1864</v>
      </c>
      <c r="F958" s="212">
        <v>43538</v>
      </c>
      <c r="G958" s="213">
        <v>2.68</v>
      </c>
      <c r="H958" s="256">
        <v>511</v>
      </c>
      <c r="I958" s="214">
        <v>1444682</v>
      </c>
      <c r="J958" s="215">
        <v>21600</v>
      </c>
      <c r="K958" s="212">
        <v>43587</v>
      </c>
      <c r="L958" s="211" t="s">
        <v>1865</v>
      </c>
      <c r="M958" s="216">
        <v>4615445946</v>
      </c>
      <c r="N958" s="212">
        <v>43682</v>
      </c>
      <c r="O958" s="217">
        <v>3.9611999999999998</v>
      </c>
      <c r="P958" s="219"/>
      <c r="Q958" s="34">
        <f>SUMIF(Allocation[Delivery ID],Allocation[[#This Row],[Delivery ID]],Allocation[Quantity Processed])</f>
        <v>4064</v>
      </c>
      <c r="R958" s="61">
        <f>Allocation[[#This Row],[Total volume used]]/VLOOKUP(Allocation[[#This Row],[Delivery ID]],Delivery[[Delivery ID]:[Quantity delivered]],3,FALSE)</f>
        <v>0.26304207119741102</v>
      </c>
      <c r="S958" s="34">
        <f>Allocation[[#This Row],[Quantity Processed]]/Allocation[[#This Row],[Dilution rate]]</f>
        <v>433.20895522388059</v>
      </c>
      <c r="T958" s="59">
        <f>SUMIF(Allocation[Delivery ID],Allocation[[#This Row],[Delivery ID]],Allocation[Quantity allocated])/SUMIF(Allocation[Delivery ID],Allocation[[#This Row],[Delivery ID]],Allocation[Volume available (kg)])</f>
        <v>1.1702529587570443</v>
      </c>
      <c r="U958" s="61">
        <f>Allocation[[#This Row],[Total volume used]]/VLOOKUP(Allocation[[#This Row],[Delivery ID]],Delivery[[Delivery ID]:[Quantity delivered]],3,FALSE)</f>
        <v>0.26304207119741102</v>
      </c>
      <c r="V958" s="34" t="e">
        <f>VLOOKUP(Allocation[[#This Row],[SAP Contract number]],Shipments[[SAP Contract number]:[Contracted container weight]],2,FALSE)</f>
        <v>#N/A</v>
      </c>
      <c r="W958" s="34" t="e">
        <f>VLOOKUP(Allocation[[#This Row],[SAP Contract number]],Shipments[[SAP Contract number]:[AAA Premium USD]],24,FALSE)</f>
        <v>#N/A</v>
      </c>
      <c r="X958" s="34" t="e">
        <f>VLOOKUP(Allocation[[#This Row],[SAP Contract number]],Shipments[[SAP Contract number]:[RA Premium USD]],25,FALSE)</f>
        <v>#N/A</v>
      </c>
      <c r="Y958" s="38">
        <f>Allocation[[#This Row],[Quantity Processed]]/Allocation[[#This Row],[Quantity allocated]]</f>
        <v>2.2720156555772992</v>
      </c>
      <c r="Z958" s="34" t="b">
        <f>Allocation[[#This Row],[Quantity allocated]]&lt;=Allocation[[#This Row],[Quantity Processed]]</f>
        <v>1</v>
      </c>
    </row>
    <row r="959" spans="1:26">
      <c r="A959" s="247" t="s">
        <v>467</v>
      </c>
      <c r="B959" s="210" t="s">
        <v>68</v>
      </c>
      <c r="C959" s="254" t="s">
        <v>1374</v>
      </c>
      <c r="D959" s="255">
        <v>418</v>
      </c>
      <c r="E959" s="211" t="s">
        <v>1864</v>
      </c>
      <c r="F959" s="212">
        <v>43538</v>
      </c>
      <c r="G959" s="213">
        <v>2.68</v>
      </c>
      <c r="H959" s="256">
        <v>184</v>
      </c>
      <c r="I959" s="214">
        <v>1444682</v>
      </c>
      <c r="J959" s="215">
        <v>21600</v>
      </c>
      <c r="K959" s="212">
        <v>43587</v>
      </c>
      <c r="L959" s="211" t="s">
        <v>1865</v>
      </c>
      <c r="M959" s="216">
        <v>4615445946</v>
      </c>
      <c r="N959" s="212">
        <v>43682</v>
      </c>
      <c r="O959" s="217">
        <v>3.9611999999999998</v>
      </c>
      <c r="P959" s="219"/>
      <c r="Q959" s="34">
        <f>SUMIF(Allocation[Delivery ID],Allocation[[#This Row],[Delivery ID]],Allocation[Quantity Processed])</f>
        <v>1216</v>
      </c>
      <c r="R959" s="61">
        <f>Allocation[[#This Row],[Total volume used]]/VLOOKUP(Allocation[[#This Row],[Delivery ID]],Delivery[[Delivery ID]:[Quantity delivered]],3,FALSE)</f>
        <v>0.21909909909909911</v>
      </c>
      <c r="S959" s="34">
        <f>Allocation[[#This Row],[Quantity Processed]]/Allocation[[#This Row],[Dilution rate]]</f>
        <v>155.97014925373134</v>
      </c>
      <c r="T959" s="59">
        <f>SUMIF(Allocation[Delivery ID],Allocation[[#This Row],[Delivery ID]],Allocation[Quantity allocated])/SUMIF(Allocation[Delivery ID],Allocation[[#This Row],[Delivery ID]],Allocation[Volume available (kg)])</f>
        <v>1.1739246153931462</v>
      </c>
      <c r="U959" s="61">
        <f>Allocation[[#This Row],[Total volume used]]/VLOOKUP(Allocation[[#This Row],[Delivery ID]],Delivery[[Delivery ID]:[Quantity delivered]],3,FALSE)</f>
        <v>0.21909909909909911</v>
      </c>
      <c r="V959" s="34" t="e">
        <f>VLOOKUP(Allocation[[#This Row],[SAP Contract number]],Shipments[[SAP Contract number]:[Contracted container weight]],2,FALSE)</f>
        <v>#N/A</v>
      </c>
      <c r="W959" s="34" t="e">
        <f>VLOOKUP(Allocation[[#This Row],[SAP Contract number]],Shipments[[SAP Contract number]:[AAA Premium USD]],24,FALSE)</f>
        <v>#N/A</v>
      </c>
      <c r="X959" s="34" t="e">
        <f>VLOOKUP(Allocation[[#This Row],[SAP Contract number]],Shipments[[SAP Contract number]:[RA Premium USD]],25,FALSE)</f>
        <v>#N/A</v>
      </c>
      <c r="Y959" s="38">
        <f>Allocation[[#This Row],[Quantity Processed]]/Allocation[[#This Row],[Quantity allocated]]</f>
        <v>2.2717391304347827</v>
      </c>
      <c r="Z959" s="34" t="b">
        <f>Allocation[[#This Row],[Quantity allocated]]&lt;=Allocation[[#This Row],[Quantity Processed]]</f>
        <v>1</v>
      </c>
    </row>
    <row r="960" spans="1:26">
      <c r="A960" s="247" t="s">
        <v>467</v>
      </c>
      <c r="B960" s="210" t="s">
        <v>68</v>
      </c>
      <c r="C960" s="254" t="s">
        <v>1376</v>
      </c>
      <c r="D960" s="255">
        <v>2207</v>
      </c>
      <c r="E960" s="211" t="s">
        <v>1864</v>
      </c>
      <c r="F960" s="212">
        <v>43538</v>
      </c>
      <c r="G960" s="213">
        <v>2.68</v>
      </c>
      <c r="H960" s="256">
        <v>662</v>
      </c>
      <c r="I960" s="214">
        <v>1444682</v>
      </c>
      <c r="J960" s="215">
        <v>21600</v>
      </c>
      <c r="K960" s="212">
        <v>43587</v>
      </c>
      <c r="L960" s="211" t="s">
        <v>1865</v>
      </c>
      <c r="M960" s="216">
        <v>4615445946</v>
      </c>
      <c r="N960" s="212">
        <v>43682</v>
      </c>
      <c r="O960" s="217">
        <v>3.9611999999999998</v>
      </c>
      <c r="P960" s="219"/>
      <c r="Q960" s="34">
        <f>SUMIF(Allocation[Delivery ID],Allocation[[#This Row],[Delivery ID]],Allocation[Quantity Processed])</f>
        <v>7720</v>
      </c>
      <c r="R960" s="61">
        <f>Allocation[[#This Row],[Total volume used]]/VLOOKUP(Allocation[[#This Row],[Delivery ID]],Delivery[[Delivery ID]:[Quantity delivered]],3,FALSE)</f>
        <v>0.3869674185463659</v>
      </c>
      <c r="S960" s="34">
        <f>Allocation[[#This Row],[Quantity Processed]]/Allocation[[#This Row],[Dilution rate]]</f>
        <v>823.50746268656712</v>
      </c>
      <c r="T960" s="59">
        <f>SUMIF(Allocation[Delivery ID],Allocation[[#This Row],[Delivery ID]],Allocation[Quantity allocated])/SUMIF(Allocation[Delivery ID],Allocation[[#This Row],[Delivery ID]],Allocation[Volume available (kg)])</f>
        <v>0.79796361379487191</v>
      </c>
      <c r="U960" s="61">
        <f>Allocation[[#This Row],[Total volume used]]/VLOOKUP(Allocation[[#This Row],[Delivery ID]],Delivery[[Delivery ID]:[Quantity delivered]],3,FALSE)</f>
        <v>0.3869674185463659</v>
      </c>
      <c r="V960" s="34" t="e">
        <f>VLOOKUP(Allocation[[#This Row],[SAP Contract number]],Shipments[[SAP Contract number]:[Contracted container weight]],2,FALSE)</f>
        <v>#N/A</v>
      </c>
      <c r="W960" s="34" t="e">
        <f>VLOOKUP(Allocation[[#This Row],[SAP Contract number]],Shipments[[SAP Contract number]:[AAA Premium USD]],24,FALSE)</f>
        <v>#N/A</v>
      </c>
      <c r="X960" s="34" t="e">
        <f>VLOOKUP(Allocation[[#This Row],[SAP Contract number]],Shipments[[SAP Contract number]:[RA Premium USD]],25,FALSE)</f>
        <v>#N/A</v>
      </c>
      <c r="Y960" s="38">
        <f>Allocation[[#This Row],[Quantity Processed]]/Allocation[[#This Row],[Quantity allocated]]</f>
        <v>3.3338368580060425</v>
      </c>
      <c r="Z960" s="34" t="b">
        <f>Allocation[[#This Row],[Quantity allocated]]&lt;=Allocation[[#This Row],[Quantity Processed]]</f>
        <v>1</v>
      </c>
    </row>
    <row r="961" spans="1:26">
      <c r="A961" s="247" t="s">
        <v>467</v>
      </c>
      <c r="B961" s="210" t="s">
        <v>68</v>
      </c>
      <c r="C961" s="254" t="s">
        <v>1378</v>
      </c>
      <c r="D961" s="255">
        <v>804</v>
      </c>
      <c r="E961" s="211" t="s">
        <v>1864</v>
      </c>
      <c r="F961" s="212">
        <v>43538</v>
      </c>
      <c r="G961" s="213">
        <v>2.68</v>
      </c>
      <c r="H961" s="256">
        <v>458</v>
      </c>
      <c r="I961" s="214">
        <v>1444682</v>
      </c>
      <c r="J961" s="215">
        <v>21600</v>
      </c>
      <c r="K961" s="212">
        <v>43587</v>
      </c>
      <c r="L961" s="211" t="s">
        <v>1865</v>
      </c>
      <c r="M961" s="216">
        <v>4615445946</v>
      </c>
      <c r="N961" s="212">
        <v>43682</v>
      </c>
      <c r="O961" s="217">
        <v>3.9611999999999998</v>
      </c>
      <c r="P961" s="219"/>
      <c r="Q961" s="34">
        <f>SUMIF(Allocation[Delivery ID],Allocation[[#This Row],[Delivery ID]],Allocation[Quantity Processed])</f>
        <v>2813</v>
      </c>
      <c r="R961" s="61">
        <f>Allocation[[#This Row],[Total volume used]]/VLOOKUP(Allocation[[#This Row],[Delivery ID]],Delivery[[Delivery ID]:[Quantity delivered]],3,FALSE)</f>
        <v>0.20310469314079421</v>
      </c>
      <c r="S961" s="34">
        <f>Allocation[[#This Row],[Quantity Processed]]/Allocation[[#This Row],[Dilution rate]]</f>
        <v>300</v>
      </c>
      <c r="T961" s="59">
        <f>SUMIF(Allocation[Delivery ID],Allocation[[#This Row],[Delivery ID]],Allocation[Quantity allocated])/SUMIF(Allocation[Delivery ID],Allocation[[#This Row],[Delivery ID]],Allocation[Volume available (kg)])</f>
        <v>1.5157515713259846</v>
      </c>
      <c r="U961" s="61">
        <f>Allocation[[#This Row],[Total volume used]]/VLOOKUP(Allocation[[#This Row],[Delivery ID]],Delivery[[Delivery ID]:[Quantity delivered]],3,FALSE)</f>
        <v>0.20310469314079421</v>
      </c>
      <c r="V961" s="34" t="e">
        <f>VLOOKUP(Allocation[[#This Row],[SAP Contract number]],Shipments[[SAP Contract number]:[Contracted container weight]],2,FALSE)</f>
        <v>#N/A</v>
      </c>
      <c r="W961" s="34" t="e">
        <f>VLOOKUP(Allocation[[#This Row],[SAP Contract number]],Shipments[[SAP Contract number]:[AAA Premium USD]],24,FALSE)</f>
        <v>#N/A</v>
      </c>
      <c r="X961" s="34" t="e">
        <f>VLOOKUP(Allocation[[#This Row],[SAP Contract number]],Shipments[[SAP Contract number]:[RA Premium USD]],25,FALSE)</f>
        <v>#N/A</v>
      </c>
      <c r="Y961" s="38">
        <f>Allocation[[#This Row],[Quantity Processed]]/Allocation[[#This Row],[Quantity allocated]]</f>
        <v>1.7554585152838429</v>
      </c>
      <c r="Z961" s="34" t="b">
        <f>Allocation[[#This Row],[Quantity allocated]]&lt;=Allocation[[#This Row],[Quantity Processed]]</f>
        <v>1</v>
      </c>
    </row>
    <row r="962" spans="1:26">
      <c r="A962" s="247" t="s">
        <v>467</v>
      </c>
      <c r="B962" s="210" t="s">
        <v>68</v>
      </c>
      <c r="C962" s="254" t="s">
        <v>1379</v>
      </c>
      <c r="D962" s="255">
        <v>606</v>
      </c>
      <c r="E962" s="211" t="s">
        <v>1864</v>
      </c>
      <c r="F962" s="212">
        <v>43538</v>
      </c>
      <c r="G962" s="213">
        <v>2.68</v>
      </c>
      <c r="H962" s="256">
        <v>285</v>
      </c>
      <c r="I962" s="214">
        <v>1444682</v>
      </c>
      <c r="J962" s="215">
        <v>21600</v>
      </c>
      <c r="K962" s="212">
        <v>43587</v>
      </c>
      <c r="L962" s="211" t="s">
        <v>1865</v>
      </c>
      <c r="M962" s="216">
        <v>4615445946</v>
      </c>
      <c r="N962" s="212">
        <v>43682</v>
      </c>
      <c r="O962" s="217">
        <v>3.9611999999999998</v>
      </c>
      <c r="P962" s="219"/>
      <c r="Q962" s="34">
        <f>SUMIF(Allocation[Delivery ID],Allocation[[#This Row],[Delivery ID]],Allocation[Quantity Processed])</f>
        <v>1759</v>
      </c>
      <c r="R962" s="61">
        <f>Allocation[[#This Row],[Total volume used]]/VLOOKUP(Allocation[[#This Row],[Delivery ID]],Delivery[[Delivery ID]:[Quantity delivered]],3,FALSE)</f>
        <v>0.20406032482598607</v>
      </c>
      <c r="S962" s="34">
        <f>Allocation[[#This Row],[Quantity Processed]]/Allocation[[#This Row],[Dilution rate]]</f>
        <v>226.1194029850746</v>
      </c>
      <c r="T962" s="59">
        <f>SUMIF(Allocation[Delivery ID],Allocation[[#This Row],[Delivery ID]],Allocation[Quantity allocated])/SUMIF(Allocation[Delivery ID],Allocation[[#This Row],[Delivery ID]],Allocation[Volume available (kg)])</f>
        <v>1.2544936044755211</v>
      </c>
      <c r="U962" s="61">
        <f>Allocation[[#This Row],[Total volume used]]/VLOOKUP(Allocation[[#This Row],[Delivery ID]],Delivery[[Delivery ID]:[Quantity delivered]],3,FALSE)</f>
        <v>0.20406032482598607</v>
      </c>
      <c r="V962" s="34" t="e">
        <f>VLOOKUP(Allocation[[#This Row],[SAP Contract number]],Shipments[[SAP Contract number]:[Contracted container weight]],2,FALSE)</f>
        <v>#N/A</v>
      </c>
      <c r="W962" s="34" t="e">
        <f>VLOOKUP(Allocation[[#This Row],[SAP Contract number]],Shipments[[SAP Contract number]:[AAA Premium USD]],24,FALSE)</f>
        <v>#N/A</v>
      </c>
      <c r="X962" s="34" t="e">
        <f>VLOOKUP(Allocation[[#This Row],[SAP Contract number]],Shipments[[SAP Contract number]:[RA Premium USD]],25,FALSE)</f>
        <v>#N/A</v>
      </c>
      <c r="Y962" s="38">
        <f>Allocation[[#This Row],[Quantity Processed]]/Allocation[[#This Row],[Quantity allocated]]</f>
        <v>2.1263157894736842</v>
      </c>
      <c r="Z962" s="34" t="b">
        <f>Allocation[[#This Row],[Quantity allocated]]&lt;=Allocation[[#This Row],[Quantity Processed]]</f>
        <v>1</v>
      </c>
    </row>
    <row r="963" spans="1:26">
      <c r="A963" s="247" t="s">
        <v>467</v>
      </c>
      <c r="B963" s="210" t="s">
        <v>68</v>
      </c>
      <c r="C963" s="254" t="s">
        <v>1380</v>
      </c>
      <c r="D963" s="255">
        <v>283</v>
      </c>
      <c r="E963" s="211" t="s">
        <v>1864</v>
      </c>
      <c r="F963" s="212">
        <v>43538</v>
      </c>
      <c r="G963" s="213">
        <v>2.68</v>
      </c>
      <c r="H963" s="256">
        <v>99</v>
      </c>
      <c r="I963" s="214">
        <v>1444682</v>
      </c>
      <c r="J963" s="215">
        <v>21600</v>
      </c>
      <c r="K963" s="212">
        <v>43587</v>
      </c>
      <c r="L963" s="211" t="s">
        <v>1865</v>
      </c>
      <c r="M963" s="216">
        <v>4615445946</v>
      </c>
      <c r="N963" s="212">
        <v>43682</v>
      </c>
      <c r="O963" s="217">
        <v>3.9611999999999998</v>
      </c>
      <c r="P963" s="219"/>
      <c r="Q963" s="34">
        <f>SUMIF(Allocation[Delivery ID],Allocation[[#This Row],[Delivery ID]],Allocation[Quantity Processed])</f>
        <v>826</v>
      </c>
      <c r="R963" s="61">
        <f>Allocation[[#This Row],[Total volume used]]/VLOOKUP(Allocation[[#This Row],[Delivery ID]],Delivery[[Delivery ID]:[Quantity delivered]],3,FALSE)</f>
        <v>0.27533333333333332</v>
      </c>
      <c r="S963" s="34">
        <f>Allocation[[#This Row],[Quantity Processed]]/Allocation[[#This Row],[Dilution rate]]</f>
        <v>105.59701492537313</v>
      </c>
      <c r="T963" s="59">
        <f>SUMIF(Allocation[Delivery ID],Allocation[[#This Row],[Delivery ID]],Allocation[Quantity allocated])/SUMIF(Allocation[Delivery ID],Allocation[[#This Row],[Delivery ID]],Allocation[Volume available (kg)])</f>
        <v>0.93354196341835627</v>
      </c>
      <c r="U963" s="61">
        <f>Allocation[[#This Row],[Total volume used]]/VLOOKUP(Allocation[[#This Row],[Delivery ID]],Delivery[[Delivery ID]:[Quantity delivered]],3,FALSE)</f>
        <v>0.27533333333333332</v>
      </c>
      <c r="V963" s="34" t="e">
        <f>VLOOKUP(Allocation[[#This Row],[SAP Contract number]],Shipments[[SAP Contract number]:[Contracted container weight]],2,FALSE)</f>
        <v>#N/A</v>
      </c>
      <c r="W963" s="34" t="e">
        <f>VLOOKUP(Allocation[[#This Row],[SAP Contract number]],Shipments[[SAP Contract number]:[AAA Premium USD]],24,FALSE)</f>
        <v>#N/A</v>
      </c>
      <c r="X963" s="34" t="e">
        <f>VLOOKUP(Allocation[[#This Row],[SAP Contract number]],Shipments[[SAP Contract number]:[RA Premium USD]],25,FALSE)</f>
        <v>#N/A</v>
      </c>
      <c r="Y963" s="38">
        <f>Allocation[[#This Row],[Quantity Processed]]/Allocation[[#This Row],[Quantity allocated]]</f>
        <v>2.8585858585858586</v>
      </c>
      <c r="Z963" s="34" t="b">
        <f>Allocation[[#This Row],[Quantity allocated]]&lt;=Allocation[[#This Row],[Quantity Processed]]</f>
        <v>1</v>
      </c>
    </row>
    <row r="964" spans="1:26">
      <c r="A964" s="247" t="s">
        <v>467</v>
      </c>
      <c r="B964" s="210" t="s">
        <v>68</v>
      </c>
      <c r="C964" s="254" t="s">
        <v>1386</v>
      </c>
      <c r="D964" s="255">
        <v>836</v>
      </c>
      <c r="E964" s="211" t="s">
        <v>1864</v>
      </c>
      <c r="F964" s="212">
        <v>43538</v>
      </c>
      <c r="G964" s="213">
        <v>2.68</v>
      </c>
      <c r="H964" s="256">
        <v>276</v>
      </c>
      <c r="I964" s="214">
        <v>1444682</v>
      </c>
      <c r="J964" s="215">
        <v>21600</v>
      </c>
      <c r="K964" s="212">
        <v>43587</v>
      </c>
      <c r="L964" s="211" t="s">
        <v>1865</v>
      </c>
      <c r="M964" s="216">
        <v>4615445946</v>
      </c>
      <c r="N964" s="212">
        <v>43682</v>
      </c>
      <c r="O964" s="217">
        <v>3.9611999999999998</v>
      </c>
      <c r="P964" s="219"/>
      <c r="Q964" s="34">
        <f>SUMIF(Allocation[Delivery ID],Allocation[[#This Row],[Delivery ID]],Allocation[Quantity Processed])</f>
        <v>2427</v>
      </c>
      <c r="R964" s="61">
        <f>Allocation[[#This Row],[Total volume used]]/VLOOKUP(Allocation[[#This Row],[Delivery ID]],Delivery[[Delivery ID]:[Quantity delivered]],3,FALSE)</f>
        <v>0.29065868263473055</v>
      </c>
      <c r="S964" s="34">
        <f>Allocation[[#This Row],[Quantity Processed]]/Allocation[[#This Row],[Dilution rate]]</f>
        <v>311.94029850746267</v>
      </c>
      <c r="T964" s="59">
        <f>SUMIF(Allocation[Delivery ID],Allocation[[#This Row],[Delivery ID]],Allocation[Quantity allocated])/SUMIF(Allocation[Delivery ID],Allocation[[#This Row],[Delivery ID]],Allocation[Volume available (kg)])</f>
        <v>0.88060877056474307</v>
      </c>
      <c r="U964" s="61">
        <f>Allocation[[#This Row],[Total volume used]]/VLOOKUP(Allocation[[#This Row],[Delivery ID]],Delivery[[Delivery ID]:[Quantity delivered]],3,FALSE)</f>
        <v>0.29065868263473055</v>
      </c>
      <c r="V964" s="34" t="e">
        <f>VLOOKUP(Allocation[[#This Row],[SAP Contract number]],Shipments[[SAP Contract number]:[Contracted container weight]],2,FALSE)</f>
        <v>#N/A</v>
      </c>
      <c r="W964" s="34" t="e">
        <f>VLOOKUP(Allocation[[#This Row],[SAP Contract number]],Shipments[[SAP Contract number]:[AAA Premium USD]],24,FALSE)</f>
        <v>#N/A</v>
      </c>
      <c r="X964" s="34" t="e">
        <f>VLOOKUP(Allocation[[#This Row],[SAP Contract number]],Shipments[[SAP Contract number]:[RA Premium USD]],25,FALSE)</f>
        <v>#N/A</v>
      </c>
      <c r="Y964" s="38">
        <f>Allocation[[#This Row],[Quantity Processed]]/Allocation[[#This Row],[Quantity allocated]]</f>
        <v>3.0289855072463769</v>
      </c>
      <c r="Z964" s="34" t="b">
        <f>Allocation[[#This Row],[Quantity allocated]]&lt;=Allocation[[#This Row],[Quantity Processed]]</f>
        <v>1</v>
      </c>
    </row>
    <row r="965" spans="1:26">
      <c r="A965" s="247" t="s">
        <v>467</v>
      </c>
      <c r="B965" s="210" t="s">
        <v>68</v>
      </c>
      <c r="C965" s="254" t="s">
        <v>1387</v>
      </c>
      <c r="D965" s="255">
        <v>4576</v>
      </c>
      <c r="E965" s="211" t="s">
        <v>1864</v>
      </c>
      <c r="F965" s="212">
        <v>43538</v>
      </c>
      <c r="G965" s="213">
        <v>2.68</v>
      </c>
      <c r="H965" s="256">
        <v>1510</v>
      </c>
      <c r="I965" s="214">
        <v>1444682</v>
      </c>
      <c r="J965" s="215">
        <v>21600</v>
      </c>
      <c r="K965" s="212">
        <v>43587</v>
      </c>
      <c r="L965" s="211" t="s">
        <v>1865</v>
      </c>
      <c r="M965" s="216">
        <v>4615445946</v>
      </c>
      <c r="N965" s="212">
        <v>43682</v>
      </c>
      <c r="O965" s="217">
        <v>3.9611999999999998</v>
      </c>
      <c r="P965" s="219"/>
      <c r="Q965" s="34">
        <f>SUMIF(Allocation[Delivery ID],Allocation[[#This Row],[Delivery ID]],Allocation[Quantity Processed])</f>
        <v>13255</v>
      </c>
      <c r="R965" s="61">
        <f>Allocation[[#This Row],[Total volume used]]/VLOOKUP(Allocation[[#This Row],[Delivery ID]],Delivery[[Delivery ID]:[Quantity delivered]],3,FALSE)</f>
        <v>0.86015574302401043</v>
      </c>
      <c r="S965" s="34">
        <f>Allocation[[#This Row],[Quantity Processed]]/Allocation[[#This Row],[Dilution rate]]</f>
        <v>1707.4626865671642</v>
      </c>
      <c r="T965" s="59">
        <f>SUMIF(Allocation[Delivery ID],Allocation[[#This Row],[Delivery ID]],Allocation[Quantity allocated])/SUMIF(Allocation[Delivery ID],Allocation[[#This Row],[Delivery ID]],Allocation[Volume available (kg)])</f>
        <v>0.88004354526368123</v>
      </c>
      <c r="U965" s="61">
        <f>Allocation[[#This Row],[Total volume used]]/VLOOKUP(Allocation[[#This Row],[Delivery ID]],Delivery[[Delivery ID]:[Quantity delivered]],3,FALSE)</f>
        <v>0.86015574302401043</v>
      </c>
      <c r="V965" s="34" t="e">
        <f>VLOOKUP(Allocation[[#This Row],[SAP Contract number]],Shipments[[SAP Contract number]:[Contracted container weight]],2,FALSE)</f>
        <v>#N/A</v>
      </c>
      <c r="W965" s="34" t="e">
        <f>VLOOKUP(Allocation[[#This Row],[SAP Contract number]],Shipments[[SAP Contract number]:[AAA Premium USD]],24,FALSE)</f>
        <v>#N/A</v>
      </c>
      <c r="X965" s="34" t="e">
        <f>VLOOKUP(Allocation[[#This Row],[SAP Contract number]],Shipments[[SAP Contract number]:[RA Premium USD]],25,FALSE)</f>
        <v>#N/A</v>
      </c>
      <c r="Y965" s="38">
        <f>Allocation[[#This Row],[Quantity Processed]]/Allocation[[#This Row],[Quantity allocated]]</f>
        <v>3.0304635761589402</v>
      </c>
      <c r="Z965" s="34" t="b">
        <f>Allocation[[#This Row],[Quantity allocated]]&lt;=Allocation[[#This Row],[Quantity Processed]]</f>
        <v>1</v>
      </c>
    </row>
    <row r="966" spans="1:26">
      <c r="A966" s="247" t="s">
        <v>467</v>
      </c>
      <c r="B966" s="210" t="s">
        <v>68</v>
      </c>
      <c r="C966" s="254" t="s">
        <v>1388</v>
      </c>
      <c r="D966" s="255">
        <v>420</v>
      </c>
      <c r="E966" s="211" t="s">
        <v>1864</v>
      </c>
      <c r="F966" s="212">
        <v>43538</v>
      </c>
      <c r="G966" s="213">
        <v>2.68</v>
      </c>
      <c r="H966" s="256">
        <v>126</v>
      </c>
      <c r="I966" s="214">
        <v>1444682</v>
      </c>
      <c r="J966" s="215">
        <v>21600</v>
      </c>
      <c r="K966" s="212">
        <v>43587</v>
      </c>
      <c r="L966" s="211" t="s">
        <v>1865</v>
      </c>
      <c r="M966" s="216">
        <v>4615445946</v>
      </c>
      <c r="N966" s="212">
        <v>43682</v>
      </c>
      <c r="O966" s="217">
        <v>3.9611999999999998</v>
      </c>
      <c r="P966" s="219"/>
      <c r="Q966" s="34">
        <f>SUMIF(Allocation[Delivery ID],Allocation[[#This Row],[Delivery ID]],Allocation[Quantity Processed])</f>
        <v>3940</v>
      </c>
      <c r="R966" s="61">
        <f>Allocation[[#This Row],[Total volume used]]/VLOOKUP(Allocation[[#This Row],[Delivery ID]],Delivery[[Delivery ID]:[Quantity delivered]],3,FALSE)</f>
        <v>0.20671563483735572</v>
      </c>
      <c r="S966" s="34">
        <f>Allocation[[#This Row],[Quantity Processed]]/Allocation[[#This Row],[Dilution rate]]</f>
        <v>156.71641791044775</v>
      </c>
      <c r="T966" s="59">
        <f>SUMIF(Allocation[Delivery ID],Allocation[[#This Row],[Delivery ID]],Allocation[Quantity allocated])/SUMIF(Allocation[Delivery ID],Allocation[[#This Row],[Delivery ID]],Allocation[Volume available (kg)])</f>
        <v>0.6362840904262469</v>
      </c>
      <c r="U966" s="61">
        <f>Allocation[[#This Row],[Total volume used]]/VLOOKUP(Allocation[[#This Row],[Delivery ID]],Delivery[[Delivery ID]:[Quantity delivered]],3,FALSE)</f>
        <v>0.20671563483735572</v>
      </c>
      <c r="V966" s="34" t="e">
        <f>VLOOKUP(Allocation[[#This Row],[SAP Contract number]],Shipments[[SAP Contract number]:[Contracted container weight]],2,FALSE)</f>
        <v>#N/A</v>
      </c>
      <c r="W966" s="34" t="e">
        <f>VLOOKUP(Allocation[[#This Row],[SAP Contract number]],Shipments[[SAP Contract number]:[AAA Premium USD]],24,FALSE)</f>
        <v>#N/A</v>
      </c>
      <c r="X966" s="34" t="e">
        <f>VLOOKUP(Allocation[[#This Row],[SAP Contract number]],Shipments[[SAP Contract number]:[RA Premium USD]],25,FALSE)</f>
        <v>#N/A</v>
      </c>
      <c r="Y966" s="38">
        <f>Allocation[[#This Row],[Quantity Processed]]/Allocation[[#This Row],[Quantity allocated]]</f>
        <v>3.3333333333333335</v>
      </c>
      <c r="Z966" s="34" t="b">
        <f>Allocation[[#This Row],[Quantity allocated]]&lt;=Allocation[[#This Row],[Quantity Processed]]</f>
        <v>1</v>
      </c>
    </row>
    <row r="967" spans="1:26">
      <c r="A967" s="247" t="s">
        <v>467</v>
      </c>
      <c r="B967" s="210" t="s">
        <v>68</v>
      </c>
      <c r="C967" s="254" t="s">
        <v>1389</v>
      </c>
      <c r="D967" s="255">
        <v>447</v>
      </c>
      <c r="E967" s="211" t="s">
        <v>1864</v>
      </c>
      <c r="F967" s="212">
        <v>43538</v>
      </c>
      <c r="G967" s="213">
        <v>2.68</v>
      </c>
      <c r="H967" s="256">
        <v>134</v>
      </c>
      <c r="I967" s="214">
        <v>1444682</v>
      </c>
      <c r="J967" s="215">
        <v>21600</v>
      </c>
      <c r="K967" s="212">
        <v>43587</v>
      </c>
      <c r="L967" s="211" t="s">
        <v>1865</v>
      </c>
      <c r="M967" s="216">
        <v>4615445946</v>
      </c>
      <c r="N967" s="212">
        <v>43682</v>
      </c>
      <c r="O967" s="217">
        <v>3.9611999999999998</v>
      </c>
      <c r="P967" s="219"/>
      <c r="Q967" s="34">
        <f>SUMIF(Allocation[Delivery ID],Allocation[[#This Row],[Delivery ID]],Allocation[Quantity Processed])</f>
        <v>4209</v>
      </c>
      <c r="R967" s="61">
        <f>Allocation[[#This Row],[Total volume used]]/VLOOKUP(Allocation[[#This Row],[Delivery ID]],Delivery[[Delivery ID]:[Quantity delivered]],3,FALSE)</f>
        <v>0.20805734058329214</v>
      </c>
      <c r="S967" s="34">
        <f>Allocation[[#This Row],[Quantity Processed]]/Allocation[[#This Row],[Dilution rate]]</f>
        <v>166.79104477611941</v>
      </c>
      <c r="T967" s="59">
        <f>SUMIF(Allocation[Delivery ID],Allocation[[#This Row],[Delivery ID]],Allocation[Quantity allocated])/SUMIF(Allocation[Delivery ID],Allocation[[#This Row],[Delivery ID]],Allocation[Volume available (kg)])</f>
        <v>0.63580805210327485</v>
      </c>
      <c r="U967" s="61">
        <f>Allocation[[#This Row],[Total volume used]]/VLOOKUP(Allocation[[#This Row],[Delivery ID]],Delivery[[Delivery ID]:[Quantity delivered]],3,FALSE)</f>
        <v>0.20805734058329214</v>
      </c>
      <c r="V967" s="34" t="e">
        <f>VLOOKUP(Allocation[[#This Row],[SAP Contract number]],Shipments[[SAP Contract number]:[Contracted container weight]],2,FALSE)</f>
        <v>#N/A</v>
      </c>
      <c r="W967" s="34" t="e">
        <f>VLOOKUP(Allocation[[#This Row],[SAP Contract number]],Shipments[[SAP Contract number]:[AAA Premium USD]],24,FALSE)</f>
        <v>#N/A</v>
      </c>
      <c r="X967" s="34" t="e">
        <f>VLOOKUP(Allocation[[#This Row],[SAP Contract number]],Shipments[[SAP Contract number]:[RA Premium USD]],25,FALSE)</f>
        <v>#N/A</v>
      </c>
      <c r="Y967" s="38">
        <f>Allocation[[#This Row],[Quantity Processed]]/Allocation[[#This Row],[Quantity allocated]]</f>
        <v>3.3358208955223883</v>
      </c>
      <c r="Z967" s="34" t="b">
        <f>Allocation[[#This Row],[Quantity allocated]]&lt;=Allocation[[#This Row],[Quantity Processed]]</f>
        <v>1</v>
      </c>
    </row>
    <row r="968" spans="1:26">
      <c r="A968" s="247" t="s">
        <v>467</v>
      </c>
      <c r="B968" s="210" t="s">
        <v>68</v>
      </c>
      <c r="C968" s="254" t="s">
        <v>1392</v>
      </c>
      <c r="D968" s="255">
        <v>1813</v>
      </c>
      <c r="E968" s="211" t="s">
        <v>1864</v>
      </c>
      <c r="F968" s="212">
        <v>43538</v>
      </c>
      <c r="G968" s="213">
        <v>2.68</v>
      </c>
      <c r="H968" s="256">
        <v>707</v>
      </c>
      <c r="I968" s="214">
        <v>1444682</v>
      </c>
      <c r="J968" s="215">
        <v>21600</v>
      </c>
      <c r="K968" s="212">
        <v>43587</v>
      </c>
      <c r="L968" s="211" t="s">
        <v>1865</v>
      </c>
      <c r="M968" s="216">
        <v>4615445946</v>
      </c>
      <c r="N968" s="212">
        <v>43682</v>
      </c>
      <c r="O968" s="217">
        <v>3.9611999999999998</v>
      </c>
      <c r="P968" s="219"/>
      <c r="Q968" s="34">
        <f>SUMIF(Allocation[Delivery ID],Allocation[[#This Row],[Delivery ID]],Allocation[Quantity Processed])</f>
        <v>6344</v>
      </c>
      <c r="R968" s="61">
        <f>Allocation[[#This Row],[Total volume used]]/VLOOKUP(Allocation[[#This Row],[Delivery ID]],Delivery[[Delivery ID]:[Quantity delivered]],3,FALSE)</f>
        <v>0.297282099343955</v>
      </c>
      <c r="S968" s="34">
        <f>Allocation[[#This Row],[Quantity Processed]]/Allocation[[#This Row],[Dilution rate]]</f>
        <v>676.49253731343276</v>
      </c>
      <c r="T968" s="59">
        <f>SUMIF(Allocation[Delivery ID],Allocation[[#This Row],[Delivery ID]],Allocation[Quantity allocated])/SUMIF(Allocation[Delivery ID],Allocation[[#This Row],[Delivery ID]],Allocation[Volume available (kg)])</f>
        <v>1.0372922683531849</v>
      </c>
      <c r="U968" s="61">
        <f>Allocation[[#This Row],[Total volume used]]/VLOOKUP(Allocation[[#This Row],[Delivery ID]],Delivery[[Delivery ID]:[Quantity delivered]],3,FALSE)</f>
        <v>0.297282099343955</v>
      </c>
      <c r="V968" s="34" t="e">
        <f>VLOOKUP(Allocation[[#This Row],[SAP Contract number]],Shipments[[SAP Contract number]:[Contracted container weight]],2,FALSE)</f>
        <v>#N/A</v>
      </c>
      <c r="W968" s="34" t="e">
        <f>VLOOKUP(Allocation[[#This Row],[SAP Contract number]],Shipments[[SAP Contract number]:[AAA Premium USD]],24,FALSE)</f>
        <v>#N/A</v>
      </c>
      <c r="X968" s="34" t="e">
        <f>VLOOKUP(Allocation[[#This Row],[SAP Contract number]],Shipments[[SAP Contract number]:[RA Premium USD]],25,FALSE)</f>
        <v>#N/A</v>
      </c>
      <c r="Y968" s="38">
        <f>Allocation[[#This Row],[Quantity Processed]]/Allocation[[#This Row],[Quantity allocated]]</f>
        <v>2.5643564356435644</v>
      </c>
      <c r="Z968" s="34" t="b">
        <f>Allocation[[#This Row],[Quantity allocated]]&lt;=Allocation[[#This Row],[Quantity Processed]]</f>
        <v>1</v>
      </c>
    </row>
    <row r="969" spans="1:26">
      <c r="A969" s="247" t="s">
        <v>467</v>
      </c>
      <c r="B969" s="210" t="s">
        <v>68</v>
      </c>
      <c r="C969" s="254" t="s">
        <v>1396</v>
      </c>
      <c r="D969" s="255">
        <v>1406</v>
      </c>
      <c r="E969" s="211" t="s">
        <v>1864</v>
      </c>
      <c r="F969" s="212">
        <v>43538</v>
      </c>
      <c r="G969" s="213">
        <v>2.68</v>
      </c>
      <c r="H969" s="256">
        <v>464</v>
      </c>
      <c r="I969" s="214">
        <v>1444682</v>
      </c>
      <c r="J969" s="215">
        <v>21600</v>
      </c>
      <c r="K969" s="212">
        <v>43587</v>
      </c>
      <c r="L969" s="211" t="s">
        <v>1865</v>
      </c>
      <c r="M969" s="216">
        <v>4615445946</v>
      </c>
      <c r="N969" s="212">
        <v>43682</v>
      </c>
      <c r="O969" s="217">
        <v>3.9611999999999998</v>
      </c>
      <c r="P969" s="219"/>
      <c r="Q969" s="34">
        <f>SUMIF(Allocation[Delivery ID],Allocation[[#This Row],[Delivery ID]],Allocation[Quantity Processed])</f>
        <v>4921</v>
      </c>
      <c r="R969" s="61">
        <f>Allocation[[#This Row],[Total volume used]]/VLOOKUP(Allocation[[#This Row],[Delivery ID]],Delivery[[Delivery ID]:[Quantity delivered]],3,FALSE)</f>
        <v>0.35049857549857549</v>
      </c>
      <c r="S969" s="34">
        <f>Allocation[[#This Row],[Quantity Processed]]/Allocation[[#This Row],[Dilution rate]]</f>
        <v>524.62686567164178</v>
      </c>
      <c r="T969" s="59">
        <f>SUMIF(Allocation[Delivery ID],Allocation[[#This Row],[Delivery ID]],Allocation[Quantity allocated])/SUMIF(Allocation[Delivery ID],Allocation[[#This Row],[Delivery ID]],Allocation[Volume available (kg)])</f>
        <v>0.87779462227618565</v>
      </c>
      <c r="U969" s="61">
        <f>Allocation[[#This Row],[Total volume used]]/VLOOKUP(Allocation[[#This Row],[Delivery ID]],Delivery[[Delivery ID]:[Quantity delivered]],3,FALSE)</f>
        <v>0.35049857549857549</v>
      </c>
      <c r="V969" s="34" t="e">
        <f>VLOOKUP(Allocation[[#This Row],[SAP Contract number]],Shipments[[SAP Contract number]:[Contracted container weight]],2,FALSE)</f>
        <v>#N/A</v>
      </c>
      <c r="W969" s="34" t="e">
        <f>VLOOKUP(Allocation[[#This Row],[SAP Contract number]],Shipments[[SAP Contract number]:[AAA Premium USD]],24,FALSE)</f>
        <v>#N/A</v>
      </c>
      <c r="X969" s="34" t="e">
        <f>VLOOKUP(Allocation[[#This Row],[SAP Contract number]],Shipments[[SAP Contract number]:[RA Premium USD]],25,FALSE)</f>
        <v>#N/A</v>
      </c>
      <c r="Y969" s="38">
        <f>Allocation[[#This Row],[Quantity Processed]]/Allocation[[#This Row],[Quantity allocated]]</f>
        <v>3.0301724137931036</v>
      </c>
      <c r="Z969" s="34" t="b">
        <f>Allocation[[#This Row],[Quantity allocated]]&lt;=Allocation[[#This Row],[Quantity Processed]]</f>
        <v>1</v>
      </c>
    </row>
    <row r="970" spans="1:26">
      <c r="A970" s="247" t="s">
        <v>467</v>
      </c>
      <c r="B970" s="210" t="s">
        <v>68</v>
      </c>
      <c r="C970" s="254" t="s">
        <v>1397</v>
      </c>
      <c r="D970" s="255">
        <v>397</v>
      </c>
      <c r="E970" s="211" t="s">
        <v>1864</v>
      </c>
      <c r="F970" s="212">
        <v>43538</v>
      </c>
      <c r="G970" s="213">
        <v>2.68</v>
      </c>
      <c r="H970" s="256">
        <v>131</v>
      </c>
      <c r="I970" s="214">
        <v>1444682</v>
      </c>
      <c r="J970" s="215">
        <v>21600</v>
      </c>
      <c r="K970" s="212">
        <v>43587</v>
      </c>
      <c r="L970" s="211" t="s">
        <v>1865</v>
      </c>
      <c r="M970" s="216">
        <v>4615445946</v>
      </c>
      <c r="N970" s="212">
        <v>43682</v>
      </c>
      <c r="O970" s="217">
        <v>3.9611999999999998</v>
      </c>
      <c r="P970" s="219"/>
      <c r="Q970" s="34">
        <f>SUMIF(Allocation[Delivery ID],Allocation[[#This Row],[Delivery ID]],Allocation[Quantity Processed])</f>
        <v>1155</v>
      </c>
      <c r="R970" s="61">
        <f>Allocation[[#This Row],[Total volume used]]/VLOOKUP(Allocation[[#This Row],[Delivery ID]],Delivery[[Delivery ID]:[Quantity delivered]],3,FALSE)</f>
        <v>0.29166666666666669</v>
      </c>
      <c r="S970" s="34">
        <f>Allocation[[#This Row],[Quantity Processed]]/Allocation[[#This Row],[Dilution rate]]</f>
        <v>148.13432835820893</v>
      </c>
      <c r="T970" s="59">
        <f>SUMIF(Allocation[Delivery ID],Allocation[[#This Row],[Delivery ID]],Allocation[Quantity allocated])/SUMIF(Allocation[Delivery ID],Allocation[[#This Row],[Delivery ID]],Allocation[Volume available (kg)])</f>
        <v>0.8801303505968916</v>
      </c>
      <c r="U970" s="61">
        <f>Allocation[[#This Row],[Total volume used]]/VLOOKUP(Allocation[[#This Row],[Delivery ID]],Delivery[[Delivery ID]:[Quantity delivered]],3,FALSE)</f>
        <v>0.29166666666666669</v>
      </c>
      <c r="V970" s="34" t="e">
        <f>VLOOKUP(Allocation[[#This Row],[SAP Contract number]],Shipments[[SAP Contract number]:[Contracted container weight]],2,FALSE)</f>
        <v>#N/A</v>
      </c>
      <c r="W970" s="34" t="e">
        <f>VLOOKUP(Allocation[[#This Row],[SAP Contract number]],Shipments[[SAP Contract number]:[AAA Premium USD]],24,FALSE)</f>
        <v>#N/A</v>
      </c>
      <c r="X970" s="34" t="e">
        <f>VLOOKUP(Allocation[[#This Row],[SAP Contract number]],Shipments[[SAP Contract number]:[RA Premium USD]],25,FALSE)</f>
        <v>#N/A</v>
      </c>
      <c r="Y970" s="38">
        <f>Allocation[[#This Row],[Quantity Processed]]/Allocation[[#This Row],[Quantity allocated]]</f>
        <v>3.0305343511450382</v>
      </c>
      <c r="Z970" s="34" t="b">
        <f>Allocation[[#This Row],[Quantity allocated]]&lt;=Allocation[[#This Row],[Quantity Processed]]</f>
        <v>1</v>
      </c>
    </row>
    <row r="971" spans="1:26">
      <c r="A971" s="247" t="s">
        <v>467</v>
      </c>
      <c r="B971" s="210" t="s">
        <v>68</v>
      </c>
      <c r="C971" s="254" t="s">
        <v>569</v>
      </c>
      <c r="D971" s="255">
        <v>461</v>
      </c>
      <c r="E971" s="211" t="s">
        <v>1864</v>
      </c>
      <c r="F971" s="212">
        <v>43538</v>
      </c>
      <c r="G971" s="213">
        <v>2.68</v>
      </c>
      <c r="H971" s="256">
        <v>152</v>
      </c>
      <c r="I971" s="214">
        <v>1444682</v>
      </c>
      <c r="J971" s="215">
        <v>21600</v>
      </c>
      <c r="K971" s="212">
        <v>43587</v>
      </c>
      <c r="L971" s="211" t="s">
        <v>1865</v>
      </c>
      <c r="M971" s="216">
        <v>4615445946</v>
      </c>
      <c r="N971" s="212">
        <v>43682</v>
      </c>
      <c r="O971" s="217">
        <v>3.9611999999999998</v>
      </c>
      <c r="P971" s="219"/>
      <c r="Q971" s="34">
        <f>SUMIF(Allocation[Delivery ID],Allocation[[#This Row],[Delivery ID]],Allocation[Quantity Processed])</f>
        <v>7262</v>
      </c>
      <c r="R971" s="61">
        <f>Allocation[[#This Row],[Total volume used]]/VLOOKUP(Allocation[[#This Row],[Delivery ID]],Delivery[[Delivery ID]:[Quantity delivered]],3,FALSE)</f>
        <v>0.60516666666666663</v>
      </c>
      <c r="S971" s="34">
        <f>Allocation[[#This Row],[Quantity Processed]]/Allocation[[#This Row],[Dilution rate]]</f>
        <v>172.01492537313433</v>
      </c>
      <c r="T971" s="59">
        <f>SUMIF(Allocation[Delivery ID],Allocation[[#This Row],[Delivery ID]],Allocation[Quantity allocated])/SUMIF(Allocation[Delivery ID],Allocation[[#This Row],[Delivery ID]],Allocation[Volume available (kg)])</f>
        <v>0.67035577324738682</v>
      </c>
      <c r="U971" s="61">
        <f>Allocation[[#This Row],[Total volume used]]/VLOOKUP(Allocation[[#This Row],[Delivery ID]],Delivery[[Delivery ID]:[Quantity delivered]],3,FALSE)</f>
        <v>0.60516666666666663</v>
      </c>
      <c r="V971" s="34" t="e">
        <f>VLOOKUP(Allocation[[#This Row],[SAP Contract number]],Shipments[[SAP Contract number]:[Contracted container weight]],2,FALSE)</f>
        <v>#N/A</v>
      </c>
      <c r="W971" s="34" t="e">
        <f>VLOOKUP(Allocation[[#This Row],[SAP Contract number]],Shipments[[SAP Contract number]:[AAA Premium USD]],24,FALSE)</f>
        <v>#N/A</v>
      </c>
      <c r="X971" s="34" t="e">
        <f>VLOOKUP(Allocation[[#This Row],[SAP Contract number]],Shipments[[SAP Contract number]:[RA Premium USD]],25,FALSE)</f>
        <v>#N/A</v>
      </c>
      <c r="Y971" s="38">
        <f>Allocation[[#This Row],[Quantity Processed]]/Allocation[[#This Row],[Quantity allocated]]</f>
        <v>3.0328947368421053</v>
      </c>
      <c r="Z971" s="34" t="b">
        <f>Allocation[[#This Row],[Quantity allocated]]&lt;=Allocation[[#This Row],[Quantity Processed]]</f>
        <v>1</v>
      </c>
    </row>
    <row r="972" spans="1:26">
      <c r="A972" s="247" t="s">
        <v>467</v>
      </c>
      <c r="B972" s="210" t="s">
        <v>68</v>
      </c>
      <c r="C972" s="254" t="s">
        <v>571</v>
      </c>
      <c r="D972" s="255">
        <v>155</v>
      </c>
      <c r="E972" s="211" t="s">
        <v>1864</v>
      </c>
      <c r="F972" s="212">
        <v>43538</v>
      </c>
      <c r="G972" s="213">
        <v>2.68</v>
      </c>
      <c r="H972" s="256">
        <v>73</v>
      </c>
      <c r="I972" s="214">
        <v>1444682</v>
      </c>
      <c r="J972" s="215">
        <v>21600</v>
      </c>
      <c r="K972" s="212">
        <v>43587</v>
      </c>
      <c r="L972" s="211" t="s">
        <v>1865</v>
      </c>
      <c r="M972" s="216">
        <v>4615445946</v>
      </c>
      <c r="N972" s="212">
        <v>43682</v>
      </c>
      <c r="O972" s="217">
        <v>3.9611999999999998</v>
      </c>
      <c r="P972" s="219"/>
      <c r="Q972" s="34">
        <f>SUMIF(Allocation[Delivery ID],Allocation[[#This Row],[Delivery ID]],Allocation[Quantity Processed])</f>
        <v>2415</v>
      </c>
      <c r="R972" s="61">
        <f>Allocation[[#This Row],[Total volume used]]/VLOOKUP(Allocation[[#This Row],[Delivery ID]],Delivery[[Delivery ID]:[Quantity delivered]],3,FALSE)</f>
        <v>0.4716796875</v>
      </c>
      <c r="S972" s="34">
        <f>Allocation[[#This Row],[Quantity Processed]]/Allocation[[#This Row],[Dilution rate]]</f>
        <v>57.835820895522382</v>
      </c>
      <c r="T972" s="59">
        <f>SUMIF(Allocation[Delivery ID],Allocation[[#This Row],[Delivery ID]],Allocation[Quantity allocated])/SUMIF(Allocation[Delivery ID],Allocation[[#This Row],[Delivery ID]],Allocation[Volume available (kg)])</f>
        <v>1.0297957209646704</v>
      </c>
      <c r="U972" s="61">
        <f>Allocation[[#This Row],[Total volume used]]/VLOOKUP(Allocation[[#This Row],[Delivery ID]],Delivery[[Delivery ID]:[Quantity delivered]],3,FALSE)</f>
        <v>0.4716796875</v>
      </c>
      <c r="V972" s="34" t="e">
        <f>VLOOKUP(Allocation[[#This Row],[SAP Contract number]],Shipments[[SAP Contract number]:[Contracted container weight]],2,FALSE)</f>
        <v>#N/A</v>
      </c>
      <c r="W972" s="34" t="e">
        <f>VLOOKUP(Allocation[[#This Row],[SAP Contract number]],Shipments[[SAP Contract number]:[AAA Premium USD]],24,FALSE)</f>
        <v>#N/A</v>
      </c>
      <c r="X972" s="34" t="e">
        <f>VLOOKUP(Allocation[[#This Row],[SAP Contract number]],Shipments[[SAP Contract number]:[RA Premium USD]],25,FALSE)</f>
        <v>#N/A</v>
      </c>
      <c r="Y972" s="38">
        <f>Allocation[[#This Row],[Quantity Processed]]/Allocation[[#This Row],[Quantity allocated]]</f>
        <v>2.1232876712328768</v>
      </c>
      <c r="Z972" s="34" t="b">
        <f>Allocation[[#This Row],[Quantity allocated]]&lt;=Allocation[[#This Row],[Quantity Processed]]</f>
        <v>1</v>
      </c>
    </row>
    <row r="973" spans="1:26">
      <c r="A973" s="247" t="s">
        <v>467</v>
      </c>
      <c r="B973" s="210" t="s">
        <v>68</v>
      </c>
      <c r="C973" s="254" t="s">
        <v>1399</v>
      </c>
      <c r="D973" s="255">
        <v>303</v>
      </c>
      <c r="E973" s="211" t="s">
        <v>1864</v>
      </c>
      <c r="F973" s="212">
        <v>43538</v>
      </c>
      <c r="G973" s="213">
        <v>2.68</v>
      </c>
      <c r="H973" s="256">
        <v>91</v>
      </c>
      <c r="I973" s="214">
        <v>1444682</v>
      </c>
      <c r="J973" s="215">
        <v>21600</v>
      </c>
      <c r="K973" s="212">
        <v>43587</v>
      </c>
      <c r="L973" s="211" t="s">
        <v>1865</v>
      </c>
      <c r="M973" s="216">
        <v>4615445946</v>
      </c>
      <c r="N973" s="212">
        <v>43682</v>
      </c>
      <c r="O973" s="217">
        <v>3.9611999999999998</v>
      </c>
      <c r="P973" s="219"/>
      <c r="Q973" s="34">
        <f>SUMIF(Allocation[Delivery ID],Allocation[[#This Row],[Delivery ID]],Allocation[Quantity Processed])</f>
        <v>883</v>
      </c>
      <c r="R973" s="61">
        <f>Allocation[[#This Row],[Total volume used]]/VLOOKUP(Allocation[[#This Row],[Delivery ID]],Delivery[[Delivery ID]:[Quantity delivered]],3,FALSE)</f>
        <v>0.31992753623188408</v>
      </c>
      <c r="S973" s="34">
        <f>Allocation[[#This Row],[Quantity Processed]]/Allocation[[#This Row],[Dilution rate]]</f>
        <v>113.0597014925373</v>
      </c>
      <c r="T973" s="59">
        <f>SUMIF(Allocation[Delivery ID],Allocation[[#This Row],[Delivery ID]],Allocation[Quantity allocated])/SUMIF(Allocation[Delivery ID],Allocation[[#This Row],[Delivery ID]],Allocation[Volume available (kg)])</f>
        <v>0.8007466971280095</v>
      </c>
      <c r="U973" s="61">
        <f>Allocation[[#This Row],[Total volume used]]/VLOOKUP(Allocation[[#This Row],[Delivery ID]],Delivery[[Delivery ID]:[Quantity delivered]],3,FALSE)</f>
        <v>0.31992753623188408</v>
      </c>
      <c r="V973" s="34" t="e">
        <f>VLOOKUP(Allocation[[#This Row],[SAP Contract number]],Shipments[[SAP Contract number]:[Contracted container weight]],2,FALSE)</f>
        <v>#N/A</v>
      </c>
      <c r="W973" s="34" t="e">
        <f>VLOOKUP(Allocation[[#This Row],[SAP Contract number]],Shipments[[SAP Contract number]:[AAA Premium USD]],24,FALSE)</f>
        <v>#N/A</v>
      </c>
      <c r="X973" s="34" t="e">
        <f>VLOOKUP(Allocation[[#This Row],[SAP Contract number]],Shipments[[SAP Contract number]:[RA Premium USD]],25,FALSE)</f>
        <v>#N/A</v>
      </c>
      <c r="Y973" s="38">
        <f>Allocation[[#This Row],[Quantity Processed]]/Allocation[[#This Row],[Quantity allocated]]</f>
        <v>3.3296703296703298</v>
      </c>
      <c r="Z973" s="34" t="b">
        <f>Allocation[[#This Row],[Quantity allocated]]&lt;=Allocation[[#This Row],[Quantity Processed]]</f>
        <v>1</v>
      </c>
    </row>
    <row r="974" spans="1:26">
      <c r="A974" s="247" t="s">
        <v>467</v>
      </c>
      <c r="B974" s="210" t="s">
        <v>68</v>
      </c>
      <c r="C974" s="254" t="s">
        <v>573</v>
      </c>
      <c r="D974" s="255">
        <v>773</v>
      </c>
      <c r="E974" s="211" t="s">
        <v>1864</v>
      </c>
      <c r="F974" s="212">
        <v>43538</v>
      </c>
      <c r="G974" s="213">
        <v>2.68</v>
      </c>
      <c r="H974" s="256">
        <v>232</v>
      </c>
      <c r="I974" s="214">
        <v>1444682</v>
      </c>
      <c r="J974" s="215">
        <v>21600</v>
      </c>
      <c r="K974" s="212">
        <v>43587</v>
      </c>
      <c r="L974" s="211" t="s">
        <v>1865</v>
      </c>
      <c r="M974" s="216">
        <v>4615445946</v>
      </c>
      <c r="N974" s="212">
        <v>43682</v>
      </c>
      <c r="O974" s="217">
        <v>3.9611999999999998</v>
      </c>
      <c r="P974" s="219"/>
      <c r="Q974" s="34">
        <f>SUMIF(Allocation[Delivery ID],Allocation[[#This Row],[Delivery ID]],Allocation[Quantity Processed])</f>
        <v>12026</v>
      </c>
      <c r="R974" s="61">
        <f>Allocation[[#This Row],[Total volume used]]/VLOOKUP(Allocation[[#This Row],[Delivery ID]],Delivery[[Delivery ID]:[Quantity delivered]],3,FALSE)</f>
        <v>0.74188772362739053</v>
      </c>
      <c r="S974" s="34">
        <f>Allocation[[#This Row],[Quantity Processed]]/Allocation[[#This Row],[Dilution rate]]</f>
        <v>288.43283582089549</v>
      </c>
      <c r="T974" s="59">
        <f>SUMIF(Allocation[Delivery ID],Allocation[[#This Row],[Delivery ID]],Allocation[Quantity allocated])/SUMIF(Allocation[Delivery ID],Allocation[[#This Row],[Delivery ID]],Allocation[Volume available (kg)])</f>
        <v>0.65745962201999164</v>
      </c>
      <c r="U974" s="61">
        <f>Allocation[[#This Row],[Total volume used]]/VLOOKUP(Allocation[[#This Row],[Delivery ID]],Delivery[[Delivery ID]:[Quantity delivered]],3,FALSE)</f>
        <v>0.74188772362739053</v>
      </c>
      <c r="V974" s="34" t="e">
        <f>VLOOKUP(Allocation[[#This Row],[SAP Contract number]],Shipments[[SAP Contract number]:[Contracted container weight]],2,FALSE)</f>
        <v>#N/A</v>
      </c>
      <c r="W974" s="34" t="e">
        <f>VLOOKUP(Allocation[[#This Row],[SAP Contract number]],Shipments[[SAP Contract number]:[AAA Premium USD]],24,FALSE)</f>
        <v>#N/A</v>
      </c>
      <c r="X974" s="34" t="e">
        <f>VLOOKUP(Allocation[[#This Row],[SAP Contract number]],Shipments[[SAP Contract number]:[RA Premium USD]],25,FALSE)</f>
        <v>#N/A</v>
      </c>
      <c r="Y974" s="38">
        <f>Allocation[[#This Row],[Quantity Processed]]/Allocation[[#This Row],[Quantity allocated]]</f>
        <v>3.3318965517241379</v>
      </c>
      <c r="Z974" s="34" t="b">
        <f>Allocation[[#This Row],[Quantity allocated]]&lt;=Allocation[[#This Row],[Quantity Processed]]</f>
        <v>1</v>
      </c>
    </row>
    <row r="975" spans="1:26">
      <c r="A975" s="247" t="s">
        <v>467</v>
      </c>
      <c r="B975" s="210" t="s">
        <v>68</v>
      </c>
      <c r="C975" s="254" t="s">
        <v>581</v>
      </c>
      <c r="D975" s="255">
        <v>997</v>
      </c>
      <c r="E975" s="211" t="s">
        <v>1864</v>
      </c>
      <c r="F975" s="212">
        <v>43538</v>
      </c>
      <c r="G975" s="213">
        <v>2.68</v>
      </c>
      <c r="H975" s="256">
        <v>329</v>
      </c>
      <c r="I975" s="214">
        <v>1444682</v>
      </c>
      <c r="J975" s="215">
        <v>21600</v>
      </c>
      <c r="K975" s="212">
        <v>43587</v>
      </c>
      <c r="L975" s="211" t="s">
        <v>1865</v>
      </c>
      <c r="M975" s="216">
        <v>4615445946</v>
      </c>
      <c r="N975" s="212">
        <v>43682</v>
      </c>
      <c r="O975" s="217">
        <v>3.9611999999999998</v>
      </c>
      <c r="P975" s="219"/>
      <c r="Q975" s="34">
        <f>SUMIF(Allocation[Delivery ID],Allocation[[#This Row],[Delivery ID]],Allocation[Quantity Processed])</f>
        <v>15552</v>
      </c>
      <c r="R975" s="61">
        <f>Allocation[[#This Row],[Total volume used]]/VLOOKUP(Allocation[[#This Row],[Delivery ID]],Delivery[[Delivery ID]:[Quantity delivered]],3,FALSE)</f>
        <v>0.67588005215123859</v>
      </c>
      <c r="S975" s="34">
        <f>Allocation[[#This Row],[Quantity Processed]]/Allocation[[#This Row],[Dilution rate]]</f>
        <v>372.0149253731343</v>
      </c>
      <c r="T975" s="59">
        <f>SUMIF(Allocation[Delivery ID],Allocation[[#This Row],[Delivery ID]],Allocation[Quantity allocated])/SUMIF(Allocation[Delivery ID],Allocation[[#This Row],[Delivery ID]],Allocation[Volume available (kg)])</f>
        <v>0.72313923676224701</v>
      </c>
      <c r="U975" s="61">
        <f>Allocation[[#This Row],[Total volume used]]/VLOOKUP(Allocation[[#This Row],[Delivery ID]],Delivery[[Delivery ID]:[Quantity delivered]],3,FALSE)</f>
        <v>0.67588005215123859</v>
      </c>
      <c r="V975" s="34" t="e">
        <f>VLOOKUP(Allocation[[#This Row],[SAP Contract number]],Shipments[[SAP Contract number]:[Contracted container weight]],2,FALSE)</f>
        <v>#N/A</v>
      </c>
      <c r="W975" s="34" t="e">
        <f>VLOOKUP(Allocation[[#This Row],[SAP Contract number]],Shipments[[SAP Contract number]:[AAA Premium USD]],24,FALSE)</f>
        <v>#N/A</v>
      </c>
      <c r="X975" s="34" t="e">
        <f>VLOOKUP(Allocation[[#This Row],[SAP Contract number]],Shipments[[SAP Contract number]:[RA Premium USD]],25,FALSE)</f>
        <v>#N/A</v>
      </c>
      <c r="Y975" s="38">
        <f>Allocation[[#This Row],[Quantity Processed]]/Allocation[[#This Row],[Quantity allocated]]</f>
        <v>3.0303951367781155</v>
      </c>
      <c r="Z975" s="34" t="b">
        <f>Allocation[[#This Row],[Quantity allocated]]&lt;=Allocation[[#This Row],[Quantity Processed]]</f>
        <v>1</v>
      </c>
    </row>
    <row r="976" spans="1:26">
      <c r="A976" s="247" t="s">
        <v>467</v>
      </c>
      <c r="B976" s="210" t="s">
        <v>68</v>
      </c>
      <c r="C976" s="254" t="s">
        <v>582</v>
      </c>
      <c r="D976" s="255">
        <v>379</v>
      </c>
      <c r="E976" s="211" t="s">
        <v>1864</v>
      </c>
      <c r="F976" s="212">
        <v>43538</v>
      </c>
      <c r="G976" s="213">
        <v>2.68</v>
      </c>
      <c r="H976" s="256">
        <v>125</v>
      </c>
      <c r="I976" s="214">
        <v>1444682</v>
      </c>
      <c r="J976" s="215">
        <v>21600</v>
      </c>
      <c r="K976" s="212">
        <v>43587</v>
      </c>
      <c r="L976" s="211" t="s">
        <v>1865</v>
      </c>
      <c r="M976" s="216">
        <v>4615445946</v>
      </c>
      <c r="N976" s="212">
        <v>43682</v>
      </c>
      <c r="O976" s="217">
        <v>3.9611999999999998</v>
      </c>
      <c r="P976" s="219"/>
      <c r="Q976" s="34">
        <f>SUMIF(Allocation[Delivery ID],Allocation[[#This Row],[Delivery ID]],Allocation[Quantity Processed])</f>
        <v>5879</v>
      </c>
      <c r="R976" s="61">
        <f>Allocation[[#This Row],[Total volume used]]/VLOOKUP(Allocation[[#This Row],[Delivery ID]],Delivery[[Delivery ID]:[Quantity delivered]],3,FALSE)</f>
        <v>0.67265446224256298</v>
      </c>
      <c r="S976" s="34">
        <f>Allocation[[#This Row],[Quantity Processed]]/Allocation[[#This Row],[Dilution rate]]</f>
        <v>141.41791044776119</v>
      </c>
      <c r="T976" s="59">
        <f>SUMIF(Allocation[Delivery ID],Allocation[[#This Row],[Delivery ID]],Allocation[Quantity allocated])/SUMIF(Allocation[Delivery ID],Allocation[[#This Row],[Delivery ID]],Allocation[Volume available (kg)])</f>
        <v>0.72326677996293631</v>
      </c>
      <c r="U976" s="61">
        <f>Allocation[[#This Row],[Total volume used]]/VLOOKUP(Allocation[[#This Row],[Delivery ID]],Delivery[[Delivery ID]:[Quantity delivered]],3,FALSE)</f>
        <v>0.67265446224256298</v>
      </c>
      <c r="V976" s="34" t="e">
        <f>VLOOKUP(Allocation[[#This Row],[SAP Contract number]],Shipments[[SAP Contract number]:[Contracted container weight]],2,FALSE)</f>
        <v>#N/A</v>
      </c>
      <c r="W976" s="34" t="e">
        <f>VLOOKUP(Allocation[[#This Row],[SAP Contract number]],Shipments[[SAP Contract number]:[AAA Premium USD]],24,FALSE)</f>
        <v>#N/A</v>
      </c>
      <c r="X976" s="34" t="e">
        <f>VLOOKUP(Allocation[[#This Row],[SAP Contract number]],Shipments[[SAP Contract number]:[RA Premium USD]],25,FALSE)</f>
        <v>#N/A</v>
      </c>
      <c r="Y976" s="38">
        <f>Allocation[[#This Row],[Quantity Processed]]/Allocation[[#This Row],[Quantity allocated]]</f>
        <v>3.032</v>
      </c>
      <c r="Z976" s="34" t="b">
        <f>Allocation[[#This Row],[Quantity allocated]]&lt;=Allocation[[#This Row],[Quantity Processed]]</f>
        <v>1</v>
      </c>
    </row>
    <row r="977" spans="1:26">
      <c r="A977" s="247" t="s">
        <v>467</v>
      </c>
      <c r="B977" s="210" t="s">
        <v>68</v>
      </c>
      <c r="C977" s="254" t="s">
        <v>583</v>
      </c>
      <c r="D977" s="255">
        <v>1000</v>
      </c>
      <c r="E977" s="211" t="s">
        <v>1864</v>
      </c>
      <c r="F977" s="212">
        <v>43538</v>
      </c>
      <c r="G977" s="213">
        <v>2.68</v>
      </c>
      <c r="H977" s="256">
        <v>330</v>
      </c>
      <c r="I977" s="214">
        <v>1444682</v>
      </c>
      <c r="J977" s="215">
        <v>21600</v>
      </c>
      <c r="K977" s="212">
        <v>43587</v>
      </c>
      <c r="L977" s="211" t="s">
        <v>1865</v>
      </c>
      <c r="M977" s="216">
        <v>4615445946</v>
      </c>
      <c r="N977" s="212">
        <v>43682</v>
      </c>
      <c r="O977" s="217">
        <v>3.9611999999999998</v>
      </c>
      <c r="P977" s="219"/>
      <c r="Q977" s="34">
        <f>SUMIF(Allocation[Delivery ID],Allocation[[#This Row],[Delivery ID]],Allocation[Quantity Processed])</f>
        <v>15619</v>
      </c>
      <c r="R977" s="61">
        <f>Allocation[[#This Row],[Total volume used]]/VLOOKUP(Allocation[[#This Row],[Delivery ID]],Delivery[[Delivery ID]:[Quantity delivered]],3,FALSE)</f>
        <v>0.67410444540353909</v>
      </c>
      <c r="S977" s="34">
        <f>Allocation[[#This Row],[Quantity Processed]]/Allocation[[#This Row],[Dilution rate]]</f>
        <v>373.13432835820896</v>
      </c>
      <c r="T977" s="59">
        <f>SUMIF(Allocation[Delivery ID],Allocation[[#This Row],[Delivery ID]],Allocation[Quantity allocated])/SUMIF(Allocation[Delivery ID],Allocation[[#This Row],[Delivery ID]],Allocation[Volume available (kg)])</f>
        <v>0.72302027462828689</v>
      </c>
      <c r="U977" s="61">
        <f>Allocation[[#This Row],[Total volume used]]/VLOOKUP(Allocation[[#This Row],[Delivery ID]],Delivery[[Delivery ID]:[Quantity delivered]],3,FALSE)</f>
        <v>0.67410444540353909</v>
      </c>
      <c r="V977" s="34" t="e">
        <f>VLOOKUP(Allocation[[#This Row],[SAP Contract number]],Shipments[[SAP Contract number]:[Contracted container weight]],2,FALSE)</f>
        <v>#N/A</v>
      </c>
      <c r="W977" s="34" t="e">
        <f>VLOOKUP(Allocation[[#This Row],[SAP Contract number]],Shipments[[SAP Contract number]:[AAA Premium USD]],24,FALSE)</f>
        <v>#N/A</v>
      </c>
      <c r="X977" s="34" t="e">
        <f>VLOOKUP(Allocation[[#This Row],[SAP Contract number]],Shipments[[SAP Contract number]:[RA Premium USD]],25,FALSE)</f>
        <v>#N/A</v>
      </c>
      <c r="Y977" s="38">
        <f>Allocation[[#This Row],[Quantity Processed]]/Allocation[[#This Row],[Quantity allocated]]</f>
        <v>3.0303030303030303</v>
      </c>
      <c r="Z977" s="34" t="b">
        <f>Allocation[[#This Row],[Quantity allocated]]&lt;=Allocation[[#This Row],[Quantity Processed]]</f>
        <v>1</v>
      </c>
    </row>
    <row r="978" spans="1:26">
      <c r="A978" s="247" t="s">
        <v>467</v>
      </c>
      <c r="B978" s="210" t="s">
        <v>68</v>
      </c>
      <c r="C978" s="254" t="s">
        <v>1407</v>
      </c>
      <c r="D978" s="255">
        <v>162</v>
      </c>
      <c r="E978" s="211" t="s">
        <v>1864</v>
      </c>
      <c r="F978" s="212">
        <v>43538</v>
      </c>
      <c r="G978" s="213">
        <v>2.68</v>
      </c>
      <c r="H978" s="256">
        <v>68</v>
      </c>
      <c r="I978" s="214">
        <v>1444682</v>
      </c>
      <c r="J978" s="215">
        <v>21600</v>
      </c>
      <c r="K978" s="212">
        <v>43587</v>
      </c>
      <c r="L978" s="211" t="s">
        <v>1865</v>
      </c>
      <c r="M978" s="216">
        <v>4615445946</v>
      </c>
      <c r="N978" s="212">
        <v>43682</v>
      </c>
      <c r="O978" s="217">
        <v>3.9611999999999998</v>
      </c>
      <c r="P978" s="219"/>
      <c r="Q978" s="34">
        <f>SUMIF(Allocation[Delivery ID],Allocation[[#This Row],[Delivery ID]],Allocation[Quantity Processed])</f>
        <v>1117</v>
      </c>
      <c r="R978" s="61">
        <f>Allocation[[#This Row],[Total volume used]]/VLOOKUP(Allocation[[#This Row],[Delivery ID]],Delivery[[Delivery ID]:[Quantity delivered]],3,FALSE)</f>
        <v>0.10918866080156403</v>
      </c>
      <c r="S978" s="34">
        <f>Allocation[[#This Row],[Quantity Processed]]/Allocation[[#This Row],[Dilution rate]]</f>
        <v>60.447761194029844</v>
      </c>
      <c r="T978" s="59">
        <f>SUMIF(Allocation[Delivery ID],Allocation[[#This Row],[Delivery ID]],Allocation[Quantity allocated])/SUMIF(Allocation[Delivery ID],Allocation[[#This Row],[Delivery ID]],Allocation[Volume available (kg)])</f>
        <v>0.94175676352267901</v>
      </c>
      <c r="U978" s="61">
        <f>Allocation[[#This Row],[Total volume used]]/VLOOKUP(Allocation[[#This Row],[Delivery ID]],Delivery[[Delivery ID]:[Quantity delivered]],3,FALSE)</f>
        <v>0.10918866080156403</v>
      </c>
      <c r="V978" s="34" t="e">
        <f>VLOOKUP(Allocation[[#This Row],[SAP Contract number]],Shipments[[SAP Contract number]:[Contracted container weight]],2,FALSE)</f>
        <v>#N/A</v>
      </c>
      <c r="W978" s="34" t="e">
        <f>VLOOKUP(Allocation[[#This Row],[SAP Contract number]],Shipments[[SAP Contract number]:[AAA Premium USD]],24,FALSE)</f>
        <v>#N/A</v>
      </c>
      <c r="X978" s="34" t="e">
        <f>VLOOKUP(Allocation[[#This Row],[SAP Contract number]],Shipments[[SAP Contract number]:[RA Premium USD]],25,FALSE)</f>
        <v>#N/A</v>
      </c>
      <c r="Y978" s="38">
        <f>Allocation[[#This Row],[Quantity Processed]]/Allocation[[#This Row],[Quantity allocated]]</f>
        <v>2.3823529411764706</v>
      </c>
      <c r="Z978" s="34" t="b">
        <f>Allocation[[#This Row],[Quantity allocated]]&lt;=Allocation[[#This Row],[Quantity Processed]]</f>
        <v>1</v>
      </c>
    </row>
    <row r="979" spans="1:26">
      <c r="A979" s="247" t="s">
        <v>467</v>
      </c>
      <c r="B979" s="210" t="s">
        <v>68</v>
      </c>
      <c r="C979" s="254" t="s">
        <v>1408</v>
      </c>
      <c r="D979" s="255">
        <v>317</v>
      </c>
      <c r="E979" s="211" t="s">
        <v>1864</v>
      </c>
      <c r="F979" s="212">
        <v>43538</v>
      </c>
      <c r="G979" s="213">
        <v>2.68</v>
      </c>
      <c r="H979" s="256">
        <v>133</v>
      </c>
      <c r="I979" s="214">
        <v>1444682</v>
      </c>
      <c r="J979" s="215">
        <v>21600</v>
      </c>
      <c r="K979" s="212">
        <v>43587</v>
      </c>
      <c r="L979" s="211" t="s">
        <v>1865</v>
      </c>
      <c r="M979" s="216">
        <v>4615445946</v>
      </c>
      <c r="N979" s="212">
        <v>43682</v>
      </c>
      <c r="O979" s="217">
        <v>3.9611999999999998</v>
      </c>
      <c r="P979" s="219"/>
      <c r="Q979" s="34">
        <f>SUMIF(Allocation[Delivery ID],Allocation[[#This Row],[Delivery ID]],Allocation[Quantity Processed])</f>
        <v>2375</v>
      </c>
      <c r="R979" s="61">
        <f>Allocation[[#This Row],[Total volume used]]/VLOOKUP(Allocation[[#This Row],[Delivery ID]],Delivery[[Delivery ID]:[Quantity delivered]],3,FALSE)</f>
        <v>0.1185129740518962</v>
      </c>
      <c r="S979" s="34">
        <f>Allocation[[#This Row],[Quantity Processed]]/Allocation[[#This Row],[Dilution rate]]</f>
        <v>118.28358208955223</v>
      </c>
      <c r="T979" s="59">
        <f>SUMIF(Allocation[Delivery ID],Allocation[[#This Row],[Delivery ID]],Allocation[Quantity allocated])/SUMIF(Allocation[Delivery ID],Allocation[[#This Row],[Delivery ID]],Allocation[Volume available (kg)])</f>
        <v>0.95232763112325824</v>
      </c>
      <c r="U979" s="61">
        <f>Allocation[[#This Row],[Total volume used]]/VLOOKUP(Allocation[[#This Row],[Delivery ID]],Delivery[[Delivery ID]:[Quantity delivered]],3,FALSE)</f>
        <v>0.1185129740518962</v>
      </c>
      <c r="V979" s="34" t="e">
        <f>VLOOKUP(Allocation[[#This Row],[SAP Contract number]],Shipments[[SAP Contract number]:[Contracted container weight]],2,FALSE)</f>
        <v>#N/A</v>
      </c>
      <c r="W979" s="34" t="e">
        <f>VLOOKUP(Allocation[[#This Row],[SAP Contract number]],Shipments[[SAP Contract number]:[AAA Premium USD]],24,FALSE)</f>
        <v>#N/A</v>
      </c>
      <c r="X979" s="34" t="e">
        <f>VLOOKUP(Allocation[[#This Row],[SAP Contract number]],Shipments[[SAP Contract number]:[RA Premium USD]],25,FALSE)</f>
        <v>#N/A</v>
      </c>
      <c r="Y979" s="38">
        <f>Allocation[[#This Row],[Quantity Processed]]/Allocation[[#This Row],[Quantity allocated]]</f>
        <v>2.3834586466165413</v>
      </c>
      <c r="Z979" s="34" t="b">
        <f>Allocation[[#This Row],[Quantity allocated]]&lt;=Allocation[[#This Row],[Quantity Processed]]</f>
        <v>1</v>
      </c>
    </row>
    <row r="980" spans="1:26">
      <c r="A980" s="247" t="s">
        <v>467</v>
      </c>
      <c r="B980" s="210" t="s">
        <v>68</v>
      </c>
      <c r="C980" s="254" t="s">
        <v>1411</v>
      </c>
      <c r="D980" s="255">
        <v>3185</v>
      </c>
      <c r="E980" s="211" t="s">
        <v>1864</v>
      </c>
      <c r="F980" s="212">
        <v>43538</v>
      </c>
      <c r="G980" s="213">
        <v>2.68</v>
      </c>
      <c r="H980" s="256">
        <v>1051</v>
      </c>
      <c r="I980" s="214">
        <v>1444682</v>
      </c>
      <c r="J980" s="215">
        <v>21600</v>
      </c>
      <c r="K980" s="212">
        <v>43587</v>
      </c>
      <c r="L980" s="211" t="s">
        <v>1865</v>
      </c>
      <c r="M980" s="216">
        <v>4615445946</v>
      </c>
      <c r="N980" s="212">
        <v>43682</v>
      </c>
      <c r="O980" s="217">
        <v>3.9611999999999998</v>
      </c>
      <c r="P980" s="219"/>
      <c r="Q980" s="34">
        <f>SUMIF(Allocation[Delivery ID],Allocation[[#This Row],[Delivery ID]],Allocation[Quantity Processed])</f>
        <v>13853</v>
      </c>
      <c r="R980" s="61">
        <f>Allocation[[#This Row],[Total volume used]]/VLOOKUP(Allocation[[#This Row],[Delivery ID]],Delivery[[Delivery ID]:[Quantity delivered]],3,FALSE)</f>
        <v>0.43700315457413247</v>
      </c>
      <c r="S980" s="34">
        <f>Allocation[[#This Row],[Quantity Processed]]/Allocation[[#This Row],[Dilution rate]]</f>
        <v>1188.4328358208954</v>
      </c>
      <c r="T980" s="59">
        <f>SUMIF(Allocation[Delivery ID],Allocation[[#This Row],[Delivery ID]],Allocation[Quantity allocated])/SUMIF(Allocation[Delivery ID],Allocation[[#This Row],[Delivery ID]],Allocation[Volume available (kg)])</f>
        <v>0.88022818013421911</v>
      </c>
      <c r="U980" s="61">
        <f>Allocation[[#This Row],[Total volume used]]/VLOOKUP(Allocation[[#This Row],[Delivery ID]],Delivery[[Delivery ID]:[Quantity delivered]],3,FALSE)</f>
        <v>0.43700315457413247</v>
      </c>
      <c r="V980" s="34" t="e">
        <f>VLOOKUP(Allocation[[#This Row],[SAP Contract number]],Shipments[[SAP Contract number]:[Contracted container weight]],2,FALSE)</f>
        <v>#N/A</v>
      </c>
      <c r="W980" s="34" t="e">
        <f>VLOOKUP(Allocation[[#This Row],[SAP Contract number]],Shipments[[SAP Contract number]:[AAA Premium USD]],24,FALSE)</f>
        <v>#N/A</v>
      </c>
      <c r="X980" s="34" t="e">
        <f>VLOOKUP(Allocation[[#This Row],[SAP Contract number]],Shipments[[SAP Contract number]:[RA Premium USD]],25,FALSE)</f>
        <v>#N/A</v>
      </c>
      <c r="Y980" s="38">
        <f>Allocation[[#This Row],[Quantity Processed]]/Allocation[[#This Row],[Quantity allocated]]</f>
        <v>3.0304471931493815</v>
      </c>
      <c r="Z980" s="34" t="b">
        <f>Allocation[[#This Row],[Quantity allocated]]&lt;=Allocation[[#This Row],[Quantity Processed]]</f>
        <v>1</v>
      </c>
    </row>
    <row r="981" spans="1:26">
      <c r="A981" s="247" t="s">
        <v>467</v>
      </c>
      <c r="B981" s="210" t="s">
        <v>68</v>
      </c>
      <c r="C981" s="254" t="s">
        <v>584</v>
      </c>
      <c r="D981" s="255">
        <v>3203</v>
      </c>
      <c r="E981" s="211" t="s">
        <v>1864</v>
      </c>
      <c r="F981" s="212">
        <v>43538</v>
      </c>
      <c r="G981" s="213">
        <v>2.68</v>
      </c>
      <c r="H981" s="256">
        <v>1057</v>
      </c>
      <c r="I981" s="214">
        <v>1444682</v>
      </c>
      <c r="J981" s="215">
        <v>21600</v>
      </c>
      <c r="K981" s="212">
        <v>43587</v>
      </c>
      <c r="L981" s="211" t="s">
        <v>1865</v>
      </c>
      <c r="M981" s="216">
        <v>4615445946</v>
      </c>
      <c r="N981" s="212">
        <v>43682</v>
      </c>
      <c r="O981" s="217">
        <v>3.9611999999999998</v>
      </c>
      <c r="P981" s="219"/>
      <c r="Q981" s="34">
        <f>SUMIF(Allocation[Delivery ID],Allocation[[#This Row],[Delivery ID]],Allocation[Quantity Processed])</f>
        <v>28370</v>
      </c>
      <c r="R981" s="61">
        <f>Allocation[[#This Row],[Total volume used]]/VLOOKUP(Allocation[[#This Row],[Delivery ID]],Delivery[[Delivery ID]:[Quantity delivered]],3,FALSE)</f>
        <v>1</v>
      </c>
      <c r="S981" s="34">
        <f>Allocation[[#This Row],[Quantity Processed]]/Allocation[[#This Row],[Dilution rate]]</f>
        <v>1195.1492537313432</v>
      </c>
      <c r="T981" s="59">
        <f>SUMIF(Allocation[Delivery ID],Allocation[[#This Row],[Delivery ID]],Allocation[Quantity allocated])/SUMIF(Allocation[Delivery ID],Allocation[[#This Row],[Delivery ID]],Allocation[Volume available (kg)])</f>
        <v>0.81474893473147059</v>
      </c>
      <c r="U981" s="61">
        <f>Allocation[[#This Row],[Total volume used]]/VLOOKUP(Allocation[[#This Row],[Delivery ID]],Delivery[[Delivery ID]:[Quantity delivered]],3,FALSE)</f>
        <v>1</v>
      </c>
      <c r="V981" s="34" t="e">
        <f>VLOOKUP(Allocation[[#This Row],[SAP Contract number]],Shipments[[SAP Contract number]:[Contracted container weight]],2,FALSE)</f>
        <v>#N/A</v>
      </c>
      <c r="W981" s="34" t="e">
        <f>VLOOKUP(Allocation[[#This Row],[SAP Contract number]],Shipments[[SAP Contract number]:[AAA Premium USD]],24,FALSE)</f>
        <v>#N/A</v>
      </c>
      <c r="X981" s="34" t="e">
        <f>VLOOKUP(Allocation[[#This Row],[SAP Contract number]],Shipments[[SAP Contract number]:[RA Premium USD]],25,FALSE)</f>
        <v>#N/A</v>
      </c>
      <c r="Y981" s="38">
        <f>Allocation[[#This Row],[Quantity Processed]]/Allocation[[#This Row],[Quantity allocated]]</f>
        <v>3.0302743614001892</v>
      </c>
      <c r="Z981" s="34" t="b">
        <f>Allocation[[#This Row],[Quantity allocated]]&lt;=Allocation[[#This Row],[Quantity Processed]]</f>
        <v>1</v>
      </c>
    </row>
    <row r="982" spans="1:26">
      <c r="A982" s="247" t="s">
        <v>467</v>
      </c>
      <c r="B982" s="210" t="s">
        <v>68</v>
      </c>
      <c r="C982" s="254" t="s">
        <v>584</v>
      </c>
      <c r="D982" s="255">
        <v>5915</v>
      </c>
      <c r="E982" s="211" t="s">
        <v>1864</v>
      </c>
      <c r="F982" s="212">
        <v>43538</v>
      </c>
      <c r="G982" s="213">
        <v>2.68</v>
      </c>
      <c r="H982" s="256">
        <v>1952</v>
      </c>
      <c r="I982" s="214">
        <v>1444683</v>
      </c>
      <c r="J982" s="215">
        <v>21600</v>
      </c>
      <c r="K982" s="212">
        <v>43587</v>
      </c>
      <c r="L982" s="211" t="s">
        <v>1866</v>
      </c>
      <c r="M982" s="216">
        <v>4615445946</v>
      </c>
      <c r="N982" s="212">
        <v>43682</v>
      </c>
      <c r="O982" s="217">
        <v>3.9611999999999998</v>
      </c>
      <c r="P982" s="219"/>
      <c r="Q982" s="34">
        <f>SUMIF(Allocation[Delivery ID],Allocation[[#This Row],[Delivery ID]],Allocation[Quantity Processed])</f>
        <v>28370</v>
      </c>
      <c r="R982" s="61">
        <f>Allocation[[#This Row],[Total volume used]]/VLOOKUP(Allocation[[#This Row],[Delivery ID]],Delivery[[Delivery ID]:[Quantity delivered]],3,FALSE)</f>
        <v>1</v>
      </c>
      <c r="S982" s="34">
        <f>Allocation[[#This Row],[Quantity Processed]]/Allocation[[#This Row],[Dilution rate]]</f>
        <v>2207.0895522388059</v>
      </c>
      <c r="T982" s="59">
        <f>SUMIF(Allocation[Delivery ID],Allocation[[#This Row],[Delivery ID]],Allocation[Quantity allocated])/SUMIF(Allocation[Delivery ID],Allocation[[#This Row],[Delivery ID]],Allocation[Volume available (kg)])</f>
        <v>0.81474893473147059</v>
      </c>
      <c r="U982" s="61">
        <f>Allocation[[#This Row],[Total volume used]]/VLOOKUP(Allocation[[#This Row],[Delivery ID]],Delivery[[Delivery ID]:[Quantity delivered]],3,FALSE)</f>
        <v>1</v>
      </c>
      <c r="V982" s="34" t="e">
        <f>VLOOKUP(Allocation[[#This Row],[SAP Contract number]],Shipments[[SAP Contract number]:[Contracted container weight]],2,FALSE)</f>
        <v>#N/A</v>
      </c>
      <c r="W982" s="34" t="e">
        <f>VLOOKUP(Allocation[[#This Row],[SAP Contract number]],Shipments[[SAP Contract number]:[AAA Premium USD]],24,FALSE)</f>
        <v>#N/A</v>
      </c>
      <c r="X982" s="34" t="e">
        <f>VLOOKUP(Allocation[[#This Row],[SAP Contract number]],Shipments[[SAP Contract number]:[RA Premium USD]],25,FALSE)</f>
        <v>#N/A</v>
      </c>
      <c r="Y982" s="38">
        <f>Allocation[[#This Row],[Quantity Processed]]/Allocation[[#This Row],[Quantity allocated]]</f>
        <v>3.0302254098360657</v>
      </c>
      <c r="Z982" s="34" t="b">
        <f>Allocation[[#This Row],[Quantity allocated]]&lt;=Allocation[[#This Row],[Quantity Processed]]</f>
        <v>1</v>
      </c>
    </row>
    <row r="983" spans="1:26">
      <c r="A983" s="247" t="s">
        <v>467</v>
      </c>
      <c r="B983" s="210" t="s">
        <v>68</v>
      </c>
      <c r="C983" s="254" t="s">
        <v>586</v>
      </c>
      <c r="D983" s="255">
        <v>8691</v>
      </c>
      <c r="E983" s="211" t="s">
        <v>1864</v>
      </c>
      <c r="F983" s="212">
        <v>43538</v>
      </c>
      <c r="G983" s="213">
        <v>2.68</v>
      </c>
      <c r="H983" s="256">
        <v>2868</v>
      </c>
      <c r="I983" s="214">
        <v>1444683</v>
      </c>
      <c r="J983" s="215">
        <v>21600</v>
      </c>
      <c r="K983" s="212">
        <v>43587</v>
      </c>
      <c r="L983" s="211" t="s">
        <v>1866</v>
      </c>
      <c r="M983" s="216">
        <v>4615445946</v>
      </c>
      <c r="N983" s="212">
        <v>43682</v>
      </c>
      <c r="O983" s="217">
        <v>3.9611999999999998</v>
      </c>
      <c r="P983" s="219"/>
      <c r="Q983" s="34">
        <f>SUMIF(Allocation[Delivery ID],Allocation[[#This Row],[Delivery ID]],Allocation[Quantity Processed])</f>
        <v>27030</v>
      </c>
      <c r="R983" s="61">
        <f>Allocation[[#This Row],[Total volume used]]/VLOOKUP(Allocation[[#This Row],[Delivery ID]],Delivery[[Delivery ID]:[Quantity delivered]],3,FALSE)</f>
        <v>1</v>
      </c>
      <c r="S983" s="34">
        <f>Allocation[[#This Row],[Quantity Processed]]/Allocation[[#This Row],[Dilution rate]]</f>
        <v>3242.9104477611936</v>
      </c>
      <c r="T983" s="59">
        <f>SUMIF(Allocation[Delivery ID],Allocation[[#This Row],[Delivery ID]],Allocation[Quantity allocated])/SUMIF(Allocation[Delivery ID],Allocation[[#This Row],[Delivery ID]],Allocation[Volume available (kg)])</f>
        <v>0.81452364840962477</v>
      </c>
      <c r="U983" s="61">
        <f>Allocation[[#This Row],[Total volume used]]/VLOOKUP(Allocation[[#This Row],[Delivery ID]],Delivery[[Delivery ID]:[Quantity delivered]],3,FALSE)</f>
        <v>1</v>
      </c>
      <c r="V983" s="34" t="e">
        <f>VLOOKUP(Allocation[[#This Row],[SAP Contract number]],Shipments[[SAP Contract number]:[Contracted container weight]],2,FALSE)</f>
        <v>#N/A</v>
      </c>
      <c r="W983" s="34" t="e">
        <f>VLOOKUP(Allocation[[#This Row],[SAP Contract number]],Shipments[[SAP Contract number]:[AAA Premium USD]],24,FALSE)</f>
        <v>#N/A</v>
      </c>
      <c r="X983" s="34" t="e">
        <f>VLOOKUP(Allocation[[#This Row],[SAP Contract number]],Shipments[[SAP Contract number]:[RA Premium USD]],25,FALSE)</f>
        <v>#N/A</v>
      </c>
      <c r="Y983" s="38">
        <f>Allocation[[#This Row],[Quantity Processed]]/Allocation[[#This Row],[Quantity allocated]]</f>
        <v>3.0303347280334729</v>
      </c>
      <c r="Z983" s="34" t="b">
        <f>Allocation[[#This Row],[Quantity allocated]]&lt;=Allocation[[#This Row],[Quantity Processed]]</f>
        <v>1</v>
      </c>
    </row>
    <row r="984" spans="1:26">
      <c r="A984" s="247" t="s">
        <v>467</v>
      </c>
      <c r="B984" s="210" t="s">
        <v>68</v>
      </c>
      <c r="C984" s="254" t="s">
        <v>587</v>
      </c>
      <c r="D984" s="255">
        <v>5218</v>
      </c>
      <c r="E984" s="211" t="s">
        <v>1864</v>
      </c>
      <c r="F984" s="212">
        <v>43538</v>
      </c>
      <c r="G984" s="213">
        <v>2.68</v>
      </c>
      <c r="H984" s="256">
        <v>1722</v>
      </c>
      <c r="I984" s="214">
        <v>1444683</v>
      </c>
      <c r="J984" s="215">
        <v>21600</v>
      </c>
      <c r="K984" s="212">
        <v>43587</v>
      </c>
      <c r="L984" s="211" t="s">
        <v>1866</v>
      </c>
      <c r="M984" s="216">
        <v>4615445946</v>
      </c>
      <c r="N984" s="212">
        <v>43682</v>
      </c>
      <c r="O984" s="217">
        <v>3.9611999999999998</v>
      </c>
      <c r="P984" s="219"/>
      <c r="Q984" s="34">
        <f>SUMIF(Allocation[Delivery ID],Allocation[[#This Row],[Delivery ID]],Allocation[Quantity Processed])</f>
        <v>16230</v>
      </c>
      <c r="R984" s="61">
        <f>Allocation[[#This Row],[Total volume used]]/VLOOKUP(Allocation[[#This Row],[Delivery ID]],Delivery[[Delivery ID]:[Quantity delivered]],3,FALSE)</f>
        <v>1</v>
      </c>
      <c r="S984" s="34">
        <f>Allocation[[#This Row],[Quantity Processed]]/Allocation[[#This Row],[Dilution rate]]</f>
        <v>1947.0149253731342</v>
      </c>
      <c r="T984" s="59">
        <f>SUMIF(Allocation[Delivery ID],Allocation[[#This Row],[Delivery ID]],Allocation[Quantity allocated])/SUMIF(Allocation[Delivery ID],Allocation[[#This Row],[Delivery ID]],Allocation[Volume available (kg)])</f>
        <v>0.81574057047417459</v>
      </c>
      <c r="U984" s="61">
        <f>Allocation[[#This Row],[Total volume used]]/VLOOKUP(Allocation[[#This Row],[Delivery ID]],Delivery[[Delivery ID]:[Quantity delivered]],3,FALSE)</f>
        <v>1</v>
      </c>
      <c r="V984" s="34" t="e">
        <f>VLOOKUP(Allocation[[#This Row],[SAP Contract number]],Shipments[[SAP Contract number]:[Contracted container weight]],2,FALSE)</f>
        <v>#N/A</v>
      </c>
      <c r="W984" s="34" t="e">
        <f>VLOOKUP(Allocation[[#This Row],[SAP Contract number]],Shipments[[SAP Contract number]:[AAA Premium USD]],24,FALSE)</f>
        <v>#N/A</v>
      </c>
      <c r="X984" s="34" t="e">
        <f>VLOOKUP(Allocation[[#This Row],[SAP Contract number]],Shipments[[SAP Contract number]:[RA Premium USD]],25,FALSE)</f>
        <v>#N/A</v>
      </c>
      <c r="Y984" s="38">
        <f>Allocation[[#This Row],[Quantity Processed]]/Allocation[[#This Row],[Quantity allocated]]</f>
        <v>3.0301974448315914</v>
      </c>
      <c r="Z984" s="34" t="b">
        <f>Allocation[[#This Row],[Quantity allocated]]&lt;=Allocation[[#This Row],[Quantity Processed]]</f>
        <v>1</v>
      </c>
    </row>
    <row r="985" spans="1:26">
      <c r="A985" s="247" t="s">
        <v>467</v>
      </c>
      <c r="B985" s="210" t="s">
        <v>68</v>
      </c>
      <c r="C985" s="254" t="s">
        <v>1415</v>
      </c>
      <c r="D985" s="255">
        <v>524</v>
      </c>
      <c r="E985" s="211" t="s">
        <v>1864</v>
      </c>
      <c r="F985" s="212">
        <v>43538</v>
      </c>
      <c r="G985" s="213">
        <v>2.68</v>
      </c>
      <c r="H985" s="256">
        <v>173</v>
      </c>
      <c r="I985" s="214">
        <v>1444683</v>
      </c>
      <c r="J985" s="215">
        <v>21600</v>
      </c>
      <c r="K985" s="212">
        <v>43587</v>
      </c>
      <c r="L985" s="211" t="s">
        <v>1866</v>
      </c>
      <c r="M985" s="216">
        <v>4615445946</v>
      </c>
      <c r="N985" s="212">
        <v>43682</v>
      </c>
      <c r="O985" s="217">
        <v>3.9611999999999998</v>
      </c>
      <c r="P985" s="219"/>
      <c r="Q985" s="34">
        <f>SUMIF(Allocation[Delivery ID],Allocation[[#This Row],[Delivery ID]],Allocation[Quantity Processed])</f>
        <v>1525</v>
      </c>
      <c r="R985" s="61">
        <f>Allocation[[#This Row],[Total volume used]]/VLOOKUP(Allocation[[#This Row],[Delivery ID]],Delivery[[Delivery ID]:[Quantity delivered]],3,FALSE)</f>
        <v>0.29214559386973182</v>
      </c>
      <c r="S985" s="34">
        <f>Allocation[[#This Row],[Quantity Processed]]/Allocation[[#This Row],[Dilution rate]]</f>
        <v>195.52238805970148</v>
      </c>
      <c r="T985" s="59">
        <f>SUMIF(Allocation[Delivery ID],Allocation[[#This Row],[Delivery ID]],Allocation[Quantity allocated])/SUMIF(Allocation[Delivery ID],Allocation[[#This Row],[Delivery ID]],Allocation[Volume available (kg)])</f>
        <v>0.88004140870419656</v>
      </c>
      <c r="U985" s="61">
        <f>Allocation[[#This Row],[Total volume used]]/VLOOKUP(Allocation[[#This Row],[Delivery ID]],Delivery[[Delivery ID]:[Quantity delivered]],3,FALSE)</f>
        <v>0.29214559386973182</v>
      </c>
      <c r="V985" s="34" t="e">
        <f>VLOOKUP(Allocation[[#This Row],[SAP Contract number]],Shipments[[SAP Contract number]:[Contracted container weight]],2,FALSE)</f>
        <v>#N/A</v>
      </c>
      <c r="W985" s="34" t="e">
        <f>VLOOKUP(Allocation[[#This Row],[SAP Contract number]],Shipments[[SAP Contract number]:[AAA Premium USD]],24,FALSE)</f>
        <v>#N/A</v>
      </c>
      <c r="X985" s="34" t="e">
        <f>VLOOKUP(Allocation[[#This Row],[SAP Contract number]],Shipments[[SAP Contract number]:[RA Premium USD]],25,FALSE)</f>
        <v>#N/A</v>
      </c>
      <c r="Y985" s="38">
        <f>Allocation[[#This Row],[Quantity Processed]]/Allocation[[#This Row],[Quantity allocated]]</f>
        <v>3.0289017341040463</v>
      </c>
      <c r="Z985" s="34" t="b">
        <f>Allocation[[#This Row],[Quantity allocated]]&lt;=Allocation[[#This Row],[Quantity Processed]]</f>
        <v>1</v>
      </c>
    </row>
    <row r="986" spans="1:26">
      <c r="A986" s="247" t="s">
        <v>467</v>
      </c>
      <c r="B986" s="210" t="s">
        <v>68</v>
      </c>
      <c r="C986" s="254" t="s">
        <v>589</v>
      </c>
      <c r="D986" s="255">
        <v>2140</v>
      </c>
      <c r="E986" s="211" t="s">
        <v>1864</v>
      </c>
      <c r="F986" s="212">
        <v>43538</v>
      </c>
      <c r="G986" s="213">
        <v>2.68</v>
      </c>
      <c r="H986" s="256">
        <v>642</v>
      </c>
      <c r="I986" s="214">
        <v>1444683</v>
      </c>
      <c r="J986" s="215">
        <v>21600</v>
      </c>
      <c r="K986" s="212">
        <v>43587</v>
      </c>
      <c r="L986" s="211" t="s">
        <v>1866</v>
      </c>
      <c r="M986" s="216">
        <v>4615445946</v>
      </c>
      <c r="N986" s="212">
        <v>43682</v>
      </c>
      <c r="O986" s="217">
        <v>3.9611999999999998</v>
      </c>
      <c r="P986" s="219"/>
      <c r="Q986" s="34">
        <f>SUMIF(Allocation[Delivery ID],Allocation[[#This Row],[Delivery ID]],Allocation[Quantity Processed])</f>
        <v>6060</v>
      </c>
      <c r="R986" s="61">
        <f>Allocation[[#This Row],[Total volume used]]/VLOOKUP(Allocation[[#This Row],[Delivery ID]],Delivery[[Delivery ID]:[Quantity delivered]],3,FALSE)</f>
        <v>1</v>
      </c>
      <c r="S986" s="34">
        <f>Allocation[[#This Row],[Quantity Processed]]/Allocation[[#This Row],[Dilution rate]]</f>
        <v>798.50746268656712</v>
      </c>
      <c r="T986" s="59">
        <f>SUMIF(Allocation[Delivery ID],Allocation[[#This Row],[Delivery ID]],Allocation[Quantity allocated])/SUMIF(Allocation[Delivery ID],Allocation[[#This Row],[Delivery ID]],Allocation[Volume available (kg)])</f>
        <v>0.77383181596254924</v>
      </c>
      <c r="U986" s="61">
        <f>Allocation[[#This Row],[Total volume used]]/VLOOKUP(Allocation[[#This Row],[Delivery ID]],Delivery[[Delivery ID]:[Quantity delivered]],3,FALSE)</f>
        <v>1</v>
      </c>
      <c r="V986" s="34" t="e">
        <f>VLOOKUP(Allocation[[#This Row],[SAP Contract number]],Shipments[[SAP Contract number]:[Contracted container weight]],2,FALSE)</f>
        <v>#N/A</v>
      </c>
      <c r="W986" s="34" t="e">
        <f>VLOOKUP(Allocation[[#This Row],[SAP Contract number]],Shipments[[SAP Contract number]:[AAA Premium USD]],24,FALSE)</f>
        <v>#N/A</v>
      </c>
      <c r="X986" s="34" t="e">
        <f>VLOOKUP(Allocation[[#This Row],[SAP Contract number]],Shipments[[SAP Contract number]:[RA Premium USD]],25,FALSE)</f>
        <v>#N/A</v>
      </c>
      <c r="Y986" s="38">
        <f>Allocation[[#This Row],[Quantity Processed]]/Allocation[[#This Row],[Quantity allocated]]</f>
        <v>3.3333333333333335</v>
      </c>
      <c r="Z986" s="34" t="b">
        <f>Allocation[[#This Row],[Quantity allocated]]&lt;=Allocation[[#This Row],[Quantity Processed]]</f>
        <v>1</v>
      </c>
    </row>
    <row r="987" spans="1:26">
      <c r="A987" s="247" t="s">
        <v>467</v>
      </c>
      <c r="B987" s="210" t="s">
        <v>68</v>
      </c>
      <c r="C987" s="254" t="s">
        <v>592</v>
      </c>
      <c r="D987" s="255">
        <v>3600</v>
      </c>
      <c r="E987" s="211" t="s">
        <v>1864</v>
      </c>
      <c r="F987" s="212">
        <v>43538</v>
      </c>
      <c r="G987" s="213">
        <v>2.68</v>
      </c>
      <c r="H987" s="256">
        <v>1188</v>
      </c>
      <c r="I987" s="214">
        <v>1444683</v>
      </c>
      <c r="J987" s="215">
        <v>21600</v>
      </c>
      <c r="K987" s="212">
        <v>43587</v>
      </c>
      <c r="L987" s="211" t="s">
        <v>1866</v>
      </c>
      <c r="M987" s="216">
        <v>4615445946</v>
      </c>
      <c r="N987" s="212">
        <v>43682</v>
      </c>
      <c r="O987" s="217">
        <v>3.9611999999999998</v>
      </c>
      <c r="P987" s="219"/>
      <c r="Q987" s="34">
        <f>SUMIF(Allocation[Delivery ID],Allocation[[#This Row],[Delivery ID]],Allocation[Quantity Processed])</f>
        <v>11220</v>
      </c>
      <c r="R987" s="61">
        <f>Allocation[[#This Row],[Total volume used]]/VLOOKUP(Allocation[[#This Row],[Delivery ID]],Delivery[[Delivery ID]:[Quantity delivered]],3,FALSE)</f>
        <v>1</v>
      </c>
      <c r="S987" s="34">
        <f>Allocation[[#This Row],[Quantity Processed]]/Allocation[[#This Row],[Dilution rate]]</f>
        <v>1343.2835820895521</v>
      </c>
      <c r="T987" s="59">
        <f>SUMIF(Allocation[Delivery ID],Allocation[[#This Row],[Delivery ID]],Allocation[Quantity allocated])/SUMIF(Allocation[Delivery ID],Allocation[[#This Row],[Delivery ID]],Allocation[Volume available (kg)])</f>
        <v>0.7826926411263051</v>
      </c>
      <c r="U987" s="61">
        <f>Allocation[[#This Row],[Total volume used]]/VLOOKUP(Allocation[[#This Row],[Delivery ID]],Delivery[[Delivery ID]:[Quantity delivered]],3,FALSE)</f>
        <v>1</v>
      </c>
      <c r="V987" s="34" t="e">
        <f>VLOOKUP(Allocation[[#This Row],[SAP Contract number]],Shipments[[SAP Contract number]:[Contracted container weight]],2,FALSE)</f>
        <v>#N/A</v>
      </c>
      <c r="W987" s="34" t="e">
        <f>VLOOKUP(Allocation[[#This Row],[SAP Contract number]],Shipments[[SAP Contract number]:[AAA Premium USD]],24,FALSE)</f>
        <v>#N/A</v>
      </c>
      <c r="X987" s="34" t="e">
        <f>VLOOKUP(Allocation[[#This Row],[SAP Contract number]],Shipments[[SAP Contract number]:[RA Premium USD]],25,FALSE)</f>
        <v>#N/A</v>
      </c>
      <c r="Y987" s="38">
        <f>Allocation[[#This Row],[Quantity Processed]]/Allocation[[#This Row],[Quantity allocated]]</f>
        <v>3.0303030303030303</v>
      </c>
      <c r="Z987" s="34" t="b">
        <f>Allocation[[#This Row],[Quantity allocated]]&lt;=Allocation[[#This Row],[Quantity Processed]]</f>
        <v>1</v>
      </c>
    </row>
    <row r="988" spans="1:26">
      <c r="A988" s="247" t="s">
        <v>467</v>
      </c>
      <c r="B988" s="210" t="s">
        <v>68</v>
      </c>
      <c r="C988" s="254" t="s">
        <v>1420</v>
      </c>
      <c r="D988" s="255">
        <v>309</v>
      </c>
      <c r="E988" s="211" t="s">
        <v>1864</v>
      </c>
      <c r="F988" s="212">
        <v>43538</v>
      </c>
      <c r="G988" s="213">
        <v>2.68</v>
      </c>
      <c r="H988" s="256">
        <v>139</v>
      </c>
      <c r="I988" s="214">
        <v>1444683</v>
      </c>
      <c r="J988" s="215">
        <v>21600</v>
      </c>
      <c r="K988" s="212">
        <v>43587</v>
      </c>
      <c r="L988" s="211" t="s">
        <v>1866</v>
      </c>
      <c r="M988" s="216">
        <v>4615445946</v>
      </c>
      <c r="N988" s="212">
        <v>43682</v>
      </c>
      <c r="O988" s="217">
        <v>3.9611999999999998</v>
      </c>
      <c r="P988" s="219"/>
      <c r="Q988" s="34">
        <f>SUMIF(Allocation[Delivery ID],Allocation[[#This Row],[Delivery ID]],Allocation[Quantity Processed])</f>
        <v>2318</v>
      </c>
      <c r="R988" s="61">
        <f>Allocation[[#This Row],[Total volume used]]/VLOOKUP(Allocation[[#This Row],[Delivery ID]],Delivery[[Delivery ID]:[Quantity delivered]],3,FALSE)</f>
        <v>0.11043353978084802</v>
      </c>
      <c r="S988" s="34">
        <f>Allocation[[#This Row],[Quantity Processed]]/Allocation[[#This Row],[Dilution rate]]</f>
        <v>115.29850746268656</v>
      </c>
      <c r="T988" s="59">
        <f>SUMIF(Allocation[Delivery ID],Allocation[[#This Row],[Delivery ID]],Allocation[Quantity allocated])/SUMIF(Allocation[Delivery ID],Allocation[[#This Row],[Delivery ID]],Allocation[Volume available (kg)])</f>
        <v>1.0207533828338875</v>
      </c>
      <c r="U988" s="61">
        <f>Allocation[[#This Row],[Total volume used]]/VLOOKUP(Allocation[[#This Row],[Delivery ID]],Delivery[[Delivery ID]:[Quantity delivered]],3,FALSE)</f>
        <v>0.11043353978084802</v>
      </c>
      <c r="V988" s="34" t="e">
        <f>VLOOKUP(Allocation[[#This Row],[SAP Contract number]],Shipments[[SAP Contract number]:[Contracted container weight]],2,FALSE)</f>
        <v>#N/A</v>
      </c>
      <c r="W988" s="34" t="e">
        <f>VLOOKUP(Allocation[[#This Row],[SAP Contract number]],Shipments[[SAP Contract number]:[AAA Premium USD]],24,FALSE)</f>
        <v>#N/A</v>
      </c>
      <c r="X988" s="34" t="e">
        <f>VLOOKUP(Allocation[[#This Row],[SAP Contract number]],Shipments[[SAP Contract number]:[RA Premium USD]],25,FALSE)</f>
        <v>#N/A</v>
      </c>
      <c r="Y988" s="38">
        <f>Allocation[[#This Row],[Quantity Processed]]/Allocation[[#This Row],[Quantity allocated]]</f>
        <v>2.2230215827338129</v>
      </c>
      <c r="Z988" s="34" t="b">
        <f>Allocation[[#This Row],[Quantity allocated]]&lt;=Allocation[[#This Row],[Quantity Processed]]</f>
        <v>1</v>
      </c>
    </row>
    <row r="989" spans="1:26">
      <c r="A989" s="247" t="s">
        <v>467</v>
      </c>
      <c r="B989" s="210" t="s">
        <v>68</v>
      </c>
      <c r="C989" s="254" t="s">
        <v>597</v>
      </c>
      <c r="D989" s="255">
        <v>596</v>
      </c>
      <c r="E989" s="211" t="s">
        <v>1864</v>
      </c>
      <c r="F989" s="212">
        <v>43538</v>
      </c>
      <c r="G989" s="213">
        <v>2.68</v>
      </c>
      <c r="H989" s="256">
        <v>292</v>
      </c>
      <c r="I989" s="214">
        <v>1444683</v>
      </c>
      <c r="J989" s="215">
        <v>21600</v>
      </c>
      <c r="K989" s="212">
        <v>43587</v>
      </c>
      <c r="L989" s="211" t="s">
        <v>1866</v>
      </c>
      <c r="M989" s="216">
        <v>4615445946</v>
      </c>
      <c r="N989" s="212">
        <v>43682</v>
      </c>
      <c r="O989" s="217">
        <v>3.9611999999999998</v>
      </c>
      <c r="P989" s="219"/>
      <c r="Q989" s="34">
        <f>SUMIF(Allocation[Delivery ID],Allocation[[#This Row],[Delivery ID]],Allocation[Quantity Processed])</f>
        <v>9699</v>
      </c>
      <c r="R989" s="61">
        <f>Allocation[[#This Row],[Total volume used]]/VLOOKUP(Allocation[[#This Row],[Delivery ID]],Delivery[[Delivery ID]:[Quantity delivered]],3,FALSE)</f>
        <v>0.4747430249632893</v>
      </c>
      <c r="S989" s="34">
        <f>Allocation[[#This Row],[Quantity Processed]]/Allocation[[#This Row],[Dilution rate]]</f>
        <v>222.38805970149252</v>
      </c>
      <c r="T989" s="59">
        <f>SUMIF(Allocation[Delivery ID],Allocation[[#This Row],[Delivery ID]],Allocation[Quantity allocated])/SUMIF(Allocation[Delivery ID],Allocation[[#This Row],[Delivery ID]],Allocation[Volume available (kg)])</f>
        <v>1.0809257549804461</v>
      </c>
      <c r="U989" s="61">
        <f>Allocation[[#This Row],[Total volume used]]/VLOOKUP(Allocation[[#This Row],[Delivery ID]],Delivery[[Delivery ID]:[Quantity delivered]],3,FALSE)</f>
        <v>0.4747430249632893</v>
      </c>
      <c r="V989" s="34" t="e">
        <f>VLOOKUP(Allocation[[#This Row],[SAP Contract number]],Shipments[[SAP Contract number]:[Contracted container weight]],2,FALSE)</f>
        <v>#N/A</v>
      </c>
      <c r="W989" s="34" t="e">
        <f>VLOOKUP(Allocation[[#This Row],[SAP Contract number]],Shipments[[SAP Contract number]:[AAA Premium USD]],24,FALSE)</f>
        <v>#N/A</v>
      </c>
      <c r="X989" s="34" t="e">
        <f>VLOOKUP(Allocation[[#This Row],[SAP Contract number]],Shipments[[SAP Contract number]:[RA Premium USD]],25,FALSE)</f>
        <v>#N/A</v>
      </c>
      <c r="Y989" s="38">
        <f>Allocation[[#This Row],[Quantity Processed]]/Allocation[[#This Row],[Quantity allocated]]</f>
        <v>2.0410958904109591</v>
      </c>
      <c r="Z989" s="34" t="b">
        <f>Allocation[[#This Row],[Quantity allocated]]&lt;=Allocation[[#This Row],[Quantity Processed]]</f>
        <v>1</v>
      </c>
    </row>
    <row r="990" spans="1:26">
      <c r="A990" s="247" t="s">
        <v>467</v>
      </c>
      <c r="B990" s="210" t="s">
        <v>68</v>
      </c>
      <c r="C990" s="254" t="s">
        <v>1606</v>
      </c>
      <c r="D990" s="255">
        <v>1524</v>
      </c>
      <c r="E990" s="211" t="s">
        <v>1864</v>
      </c>
      <c r="F990" s="212">
        <v>43538</v>
      </c>
      <c r="G990" s="213">
        <v>2.68</v>
      </c>
      <c r="H990" s="256">
        <v>503</v>
      </c>
      <c r="I990" s="214">
        <v>1444683</v>
      </c>
      <c r="J990" s="215">
        <v>21600</v>
      </c>
      <c r="K990" s="212">
        <v>43587</v>
      </c>
      <c r="L990" s="211" t="s">
        <v>1866</v>
      </c>
      <c r="M990" s="216">
        <v>4615445946</v>
      </c>
      <c r="N990" s="212">
        <v>43682</v>
      </c>
      <c r="O990" s="217">
        <v>3.9611999999999998</v>
      </c>
      <c r="P990" s="219"/>
      <c r="Q990" s="34">
        <f>SUMIF(Allocation[Delivery ID],Allocation[[#This Row],[Delivery ID]],Allocation[Quantity Processed])</f>
        <v>5342</v>
      </c>
      <c r="R990" s="61">
        <f>Allocation[[#This Row],[Total volume used]]/VLOOKUP(Allocation[[#This Row],[Delivery ID]],Delivery[[Delivery ID]:[Quantity delivered]],3,FALSE)</f>
        <v>0.29319429198682767</v>
      </c>
      <c r="S990" s="34">
        <f>Allocation[[#This Row],[Quantity Processed]]/Allocation[[#This Row],[Dilution rate]]</f>
        <v>568.65671641791039</v>
      </c>
      <c r="T990" s="59">
        <f>SUMIF(Allocation[Delivery ID],Allocation[[#This Row],[Delivery ID]],Allocation[Quantity allocated])/SUMIF(Allocation[Delivery ID],Allocation[[#This Row],[Delivery ID]],Allocation[Volume available (kg)])</f>
        <v>0.87749520815179838</v>
      </c>
      <c r="U990" s="61">
        <f>Allocation[[#This Row],[Total volume used]]/VLOOKUP(Allocation[[#This Row],[Delivery ID]],Delivery[[Delivery ID]:[Quantity delivered]],3,FALSE)</f>
        <v>0.29319429198682767</v>
      </c>
      <c r="V990" s="34" t="e">
        <f>VLOOKUP(Allocation[[#This Row],[SAP Contract number]],Shipments[[SAP Contract number]:[Contracted container weight]],2,FALSE)</f>
        <v>#N/A</v>
      </c>
      <c r="W990" s="34" t="e">
        <f>VLOOKUP(Allocation[[#This Row],[SAP Contract number]],Shipments[[SAP Contract number]:[AAA Premium USD]],24,FALSE)</f>
        <v>#N/A</v>
      </c>
      <c r="X990" s="34" t="e">
        <f>VLOOKUP(Allocation[[#This Row],[SAP Contract number]],Shipments[[SAP Contract number]:[RA Premium USD]],25,FALSE)</f>
        <v>#N/A</v>
      </c>
      <c r="Y990" s="38">
        <f>Allocation[[#This Row],[Quantity Processed]]/Allocation[[#This Row],[Quantity allocated]]</f>
        <v>3.0298210735586482</v>
      </c>
      <c r="Z990" s="34" t="b">
        <f>Allocation[[#This Row],[Quantity allocated]]&lt;=Allocation[[#This Row],[Quantity Processed]]</f>
        <v>1</v>
      </c>
    </row>
    <row r="991" spans="1:26">
      <c r="A991" s="247" t="s">
        <v>467</v>
      </c>
      <c r="B991" s="210" t="s">
        <v>68</v>
      </c>
      <c r="C991" s="254" t="s">
        <v>1607</v>
      </c>
      <c r="D991" s="255">
        <v>978</v>
      </c>
      <c r="E991" s="211" t="s">
        <v>1864</v>
      </c>
      <c r="F991" s="212">
        <v>43538</v>
      </c>
      <c r="G991" s="213">
        <v>2.68</v>
      </c>
      <c r="H991" s="256">
        <v>401</v>
      </c>
      <c r="I991" s="214">
        <v>1444683</v>
      </c>
      <c r="J991" s="215">
        <v>21600</v>
      </c>
      <c r="K991" s="212">
        <v>43587</v>
      </c>
      <c r="L991" s="211" t="s">
        <v>1866</v>
      </c>
      <c r="M991" s="216">
        <v>4615445946</v>
      </c>
      <c r="N991" s="212">
        <v>43682</v>
      </c>
      <c r="O991" s="217">
        <v>3.9611999999999998</v>
      </c>
      <c r="P991" s="219"/>
      <c r="Q991" s="34">
        <f>SUMIF(Allocation[Delivery ID],Allocation[[#This Row],[Delivery ID]],Allocation[Quantity Processed])</f>
        <v>3425</v>
      </c>
      <c r="R991" s="61">
        <f>Allocation[[#This Row],[Total volume used]]/VLOOKUP(Allocation[[#This Row],[Delivery ID]],Delivery[[Delivery ID]:[Quantity delivered]],3,FALSE)</f>
        <v>0.23620689655172414</v>
      </c>
      <c r="S991" s="34">
        <f>Allocation[[#This Row],[Quantity Processed]]/Allocation[[#This Row],[Dilution rate]]</f>
        <v>364.92537313432831</v>
      </c>
      <c r="T991" s="59">
        <f>SUMIF(Allocation[Delivery ID],Allocation[[#This Row],[Delivery ID]],Allocation[Quantity allocated])/SUMIF(Allocation[Delivery ID],Allocation[[#This Row],[Delivery ID]],Allocation[Volume available (kg)])</f>
        <v>1.0899399916484667</v>
      </c>
      <c r="U991" s="61">
        <f>Allocation[[#This Row],[Total volume used]]/VLOOKUP(Allocation[[#This Row],[Delivery ID]],Delivery[[Delivery ID]:[Quantity delivered]],3,FALSE)</f>
        <v>0.23620689655172414</v>
      </c>
      <c r="V991" s="34" t="e">
        <f>VLOOKUP(Allocation[[#This Row],[SAP Contract number]],Shipments[[SAP Contract number]:[Contracted container weight]],2,FALSE)</f>
        <v>#N/A</v>
      </c>
      <c r="W991" s="34" t="e">
        <f>VLOOKUP(Allocation[[#This Row],[SAP Contract number]],Shipments[[SAP Contract number]:[AAA Premium USD]],24,FALSE)</f>
        <v>#N/A</v>
      </c>
      <c r="X991" s="34" t="e">
        <f>VLOOKUP(Allocation[[#This Row],[SAP Contract number]],Shipments[[SAP Contract number]:[RA Premium USD]],25,FALSE)</f>
        <v>#N/A</v>
      </c>
      <c r="Y991" s="38">
        <f>Allocation[[#This Row],[Quantity Processed]]/Allocation[[#This Row],[Quantity allocated]]</f>
        <v>2.4389027431421448</v>
      </c>
      <c r="Z991" s="34" t="b">
        <f>Allocation[[#This Row],[Quantity allocated]]&lt;=Allocation[[#This Row],[Quantity Processed]]</f>
        <v>1</v>
      </c>
    </row>
    <row r="992" spans="1:26">
      <c r="A992" s="247" t="s">
        <v>467</v>
      </c>
      <c r="B992" s="210" t="s">
        <v>68</v>
      </c>
      <c r="C992" s="254" t="s">
        <v>1608</v>
      </c>
      <c r="D992" s="255">
        <v>283</v>
      </c>
      <c r="E992" s="211" t="s">
        <v>1864</v>
      </c>
      <c r="F992" s="212">
        <v>43538</v>
      </c>
      <c r="G992" s="213">
        <v>2.68</v>
      </c>
      <c r="H992" s="256">
        <v>116</v>
      </c>
      <c r="I992" s="214">
        <v>1444683</v>
      </c>
      <c r="J992" s="215">
        <v>21600</v>
      </c>
      <c r="K992" s="212">
        <v>43587</v>
      </c>
      <c r="L992" s="211" t="s">
        <v>1866</v>
      </c>
      <c r="M992" s="216">
        <v>4615445946</v>
      </c>
      <c r="N992" s="212">
        <v>43682</v>
      </c>
      <c r="O992" s="217">
        <v>3.9611999999999998</v>
      </c>
      <c r="P992" s="219"/>
      <c r="Q992" s="34">
        <f>SUMIF(Allocation[Delivery ID],Allocation[[#This Row],[Delivery ID]],Allocation[Quantity Processed])</f>
        <v>816</v>
      </c>
      <c r="R992" s="61">
        <f>Allocation[[#This Row],[Total volume used]]/VLOOKUP(Allocation[[#This Row],[Delivery ID]],Delivery[[Delivery ID]:[Quantity delivered]],3,FALSE)</f>
        <v>0.19430884629122513</v>
      </c>
      <c r="S992" s="34">
        <f>Allocation[[#This Row],[Quantity Processed]]/Allocation[[#This Row],[Dilution rate]]</f>
        <v>105.59701492537313</v>
      </c>
      <c r="T992" s="59">
        <f>SUMIF(Allocation[Delivery ID],Allocation[[#This Row],[Delivery ID]],Allocation[Quantity allocated])/SUMIF(Allocation[Delivery ID],Allocation[[#This Row],[Delivery ID]],Allocation[Volume available (kg)])</f>
        <v>1.0950237598989234</v>
      </c>
      <c r="U992" s="61">
        <f>Allocation[[#This Row],[Total volume used]]/VLOOKUP(Allocation[[#This Row],[Delivery ID]],Delivery[[Delivery ID]:[Quantity delivered]],3,FALSE)</f>
        <v>0.19430884629122513</v>
      </c>
      <c r="V992" s="34" t="e">
        <f>VLOOKUP(Allocation[[#This Row],[SAP Contract number]],Shipments[[SAP Contract number]:[Contracted container weight]],2,FALSE)</f>
        <v>#N/A</v>
      </c>
      <c r="W992" s="34" t="e">
        <f>VLOOKUP(Allocation[[#This Row],[SAP Contract number]],Shipments[[SAP Contract number]:[AAA Premium USD]],24,FALSE)</f>
        <v>#N/A</v>
      </c>
      <c r="X992" s="34" t="e">
        <f>VLOOKUP(Allocation[[#This Row],[SAP Contract number]],Shipments[[SAP Contract number]:[RA Premium USD]],25,FALSE)</f>
        <v>#N/A</v>
      </c>
      <c r="Y992" s="38">
        <f>Allocation[[#This Row],[Quantity Processed]]/Allocation[[#This Row],[Quantity allocated]]</f>
        <v>2.4396551724137931</v>
      </c>
      <c r="Z992" s="34" t="b">
        <f>Allocation[[#This Row],[Quantity allocated]]&lt;=Allocation[[#This Row],[Quantity Processed]]</f>
        <v>1</v>
      </c>
    </row>
    <row r="993" spans="1:26">
      <c r="A993" s="247" t="s">
        <v>467</v>
      </c>
      <c r="B993" s="210" t="s">
        <v>68</v>
      </c>
      <c r="C993" s="254" t="s">
        <v>1609</v>
      </c>
      <c r="D993" s="255">
        <v>1495</v>
      </c>
      <c r="E993" s="211" t="s">
        <v>1864</v>
      </c>
      <c r="F993" s="212">
        <v>43538</v>
      </c>
      <c r="G993" s="213">
        <v>2.68</v>
      </c>
      <c r="H993" s="256">
        <v>852</v>
      </c>
      <c r="I993" s="214">
        <v>1444683</v>
      </c>
      <c r="J993" s="215">
        <v>21600</v>
      </c>
      <c r="K993" s="212">
        <v>43587</v>
      </c>
      <c r="L993" s="211" t="s">
        <v>1866</v>
      </c>
      <c r="M993" s="216">
        <v>4615445946</v>
      </c>
      <c r="N993" s="212">
        <v>43682</v>
      </c>
      <c r="O993" s="217">
        <v>3.9611999999999998</v>
      </c>
      <c r="P993" s="219"/>
      <c r="Q993" s="34">
        <f>SUMIF(Allocation[Delivery ID],Allocation[[#This Row],[Delivery ID]],Allocation[Quantity Processed])</f>
        <v>24121</v>
      </c>
      <c r="R993" s="61">
        <f>Allocation[[#This Row],[Total volume used]]/VLOOKUP(Allocation[[#This Row],[Delivery ID]],Delivery[[Delivery ID]:[Quantity delivered]],3,FALSE)</f>
        <v>0.78188006482982175</v>
      </c>
      <c r="S993" s="34">
        <f>Allocation[[#This Row],[Quantity Processed]]/Allocation[[#This Row],[Dilution rate]]</f>
        <v>557.83582089552237</v>
      </c>
      <c r="T993" s="59">
        <f>SUMIF(Allocation[Delivery ID],Allocation[[#This Row],[Delivery ID]],Allocation[Quantity allocated])/SUMIF(Allocation[Delivery ID],Allocation[[#This Row],[Delivery ID]],Allocation[Volume available (kg)])</f>
        <v>1.4923482595490969</v>
      </c>
      <c r="U993" s="61">
        <f>Allocation[[#This Row],[Total volume used]]/VLOOKUP(Allocation[[#This Row],[Delivery ID]],Delivery[[Delivery ID]:[Quantity delivered]],3,FALSE)</f>
        <v>0.78188006482982175</v>
      </c>
      <c r="V993" s="34" t="e">
        <f>VLOOKUP(Allocation[[#This Row],[SAP Contract number]],Shipments[[SAP Contract number]:[Contracted container weight]],2,FALSE)</f>
        <v>#N/A</v>
      </c>
      <c r="W993" s="34" t="e">
        <f>VLOOKUP(Allocation[[#This Row],[SAP Contract number]],Shipments[[SAP Contract number]:[AAA Premium USD]],24,FALSE)</f>
        <v>#N/A</v>
      </c>
      <c r="X993" s="34" t="e">
        <f>VLOOKUP(Allocation[[#This Row],[SAP Contract number]],Shipments[[SAP Contract number]:[RA Premium USD]],25,FALSE)</f>
        <v>#N/A</v>
      </c>
      <c r="Y993" s="38">
        <f>Allocation[[#This Row],[Quantity Processed]]/Allocation[[#This Row],[Quantity allocated]]</f>
        <v>1.7546948356807512</v>
      </c>
      <c r="Z993" s="34" t="b">
        <f>Allocation[[#This Row],[Quantity allocated]]&lt;=Allocation[[#This Row],[Quantity Processed]]</f>
        <v>1</v>
      </c>
    </row>
    <row r="994" spans="1:26">
      <c r="A994" s="247" t="s">
        <v>467</v>
      </c>
      <c r="B994" s="210" t="s">
        <v>68</v>
      </c>
      <c r="C994" s="254" t="s">
        <v>1610</v>
      </c>
      <c r="D994" s="255">
        <v>1342</v>
      </c>
      <c r="E994" s="211" t="s">
        <v>1864</v>
      </c>
      <c r="F994" s="212">
        <v>43538</v>
      </c>
      <c r="G994" s="213">
        <v>2.68</v>
      </c>
      <c r="H994" s="256">
        <v>416</v>
      </c>
      <c r="I994" s="214">
        <v>1444683</v>
      </c>
      <c r="J994" s="215">
        <v>21600</v>
      </c>
      <c r="K994" s="212">
        <v>43587</v>
      </c>
      <c r="L994" s="211" t="s">
        <v>1866</v>
      </c>
      <c r="M994" s="216">
        <v>4615445946</v>
      </c>
      <c r="N994" s="212">
        <v>43682</v>
      </c>
      <c r="O994" s="217">
        <v>3.9611999999999998</v>
      </c>
      <c r="P994" s="219"/>
      <c r="Q994" s="34">
        <f>SUMIF(Allocation[Delivery ID],Allocation[[#This Row],[Delivery ID]],Allocation[Quantity Processed])</f>
        <v>4703</v>
      </c>
      <c r="R994" s="61">
        <f>Allocation[[#This Row],[Total volume used]]/VLOOKUP(Allocation[[#This Row],[Delivery ID]],Delivery[[Delivery ID]:[Quantity delivered]],3,FALSE)</f>
        <v>0.3123879109930256</v>
      </c>
      <c r="S994" s="34">
        <f>Allocation[[#This Row],[Quantity Processed]]/Allocation[[#This Row],[Dilution rate]]</f>
        <v>500.74626865671638</v>
      </c>
      <c r="T994" s="59">
        <f>SUMIF(Allocation[Delivery ID],Allocation[[#This Row],[Delivery ID]],Allocation[Quantity allocated])/SUMIF(Allocation[Delivery ID],Allocation[[#This Row],[Delivery ID]],Allocation[Volume available (kg)])</f>
        <v>0.82429164199365212</v>
      </c>
      <c r="U994" s="61">
        <f>Allocation[[#This Row],[Total volume used]]/VLOOKUP(Allocation[[#This Row],[Delivery ID]],Delivery[[Delivery ID]:[Quantity delivered]],3,FALSE)</f>
        <v>0.3123879109930256</v>
      </c>
      <c r="V994" s="34" t="e">
        <f>VLOOKUP(Allocation[[#This Row],[SAP Contract number]],Shipments[[SAP Contract number]:[Contracted container weight]],2,FALSE)</f>
        <v>#N/A</v>
      </c>
      <c r="W994" s="34" t="e">
        <f>VLOOKUP(Allocation[[#This Row],[SAP Contract number]],Shipments[[SAP Contract number]:[AAA Premium USD]],24,FALSE)</f>
        <v>#N/A</v>
      </c>
      <c r="X994" s="34" t="e">
        <f>VLOOKUP(Allocation[[#This Row],[SAP Contract number]],Shipments[[SAP Contract number]:[RA Premium USD]],25,FALSE)</f>
        <v>#N/A</v>
      </c>
      <c r="Y994" s="38">
        <f>Allocation[[#This Row],[Quantity Processed]]/Allocation[[#This Row],[Quantity allocated]]</f>
        <v>3.2259615384615383</v>
      </c>
      <c r="Z994" s="34" t="b">
        <f>Allocation[[#This Row],[Quantity allocated]]&lt;=Allocation[[#This Row],[Quantity Processed]]</f>
        <v>1</v>
      </c>
    </row>
    <row r="995" spans="1:26">
      <c r="A995" s="247" t="s">
        <v>467</v>
      </c>
      <c r="B995" s="210" t="s">
        <v>68</v>
      </c>
      <c r="C995" s="254" t="s">
        <v>1611</v>
      </c>
      <c r="D995" s="255">
        <v>6581</v>
      </c>
      <c r="E995" s="211" t="s">
        <v>1864</v>
      </c>
      <c r="F995" s="212">
        <v>43538</v>
      </c>
      <c r="G995" s="213">
        <v>2.68</v>
      </c>
      <c r="H995" s="256">
        <v>2040</v>
      </c>
      <c r="I995" s="214">
        <v>1444683</v>
      </c>
      <c r="J995" s="215">
        <v>21600</v>
      </c>
      <c r="K995" s="212">
        <v>43587</v>
      </c>
      <c r="L995" s="211" t="s">
        <v>1866</v>
      </c>
      <c r="M995" s="216">
        <v>4615445946</v>
      </c>
      <c r="N995" s="212">
        <v>43682</v>
      </c>
      <c r="O995" s="217">
        <v>3.9611999999999998</v>
      </c>
      <c r="P995" s="219"/>
      <c r="Q995" s="34">
        <f>SUMIF(Allocation[Delivery ID],Allocation[[#This Row],[Delivery ID]],Allocation[Quantity Processed])</f>
        <v>21885</v>
      </c>
      <c r="R995" s="61">
        <f>Allocation[[#This Row],[Total volume used]]/VLOOKUP(Allocation[[#This Row],[Delivery ID]],Delivery[[Delivery ID]:[Quantity delivered]],3,FALSE)</f>
        <v>0.65406455469216973</v>
      </c>
      <c r="S995" s="34">
        <f>Allocation[[#This Row],[Quantity Processed]]/Allocation[[#This Row],[Dilution rate]]</f>
        <v>2455.5970149253731</v>
      </c>
      <c r="T995" s="59">
        <f>SUMIF(Allocation[Delivery ID],Allocation[[#This Row],[Delivery ID]],Allocation[Quantity allocated])/SUMIF(Allocation[Delivery ID],Allocation[[#This Row],[Delivery ID]],Allocation[Volume available (kg)])</f>
        <v>0.824778286832902</v>
      </c>
      <c r="U995" s="61">
        <f>Allocation[[#This Row],[Total volume used]]/VLOOKUP(Allocation[[#This Row],[Delivery ID]],Delivery[[Delivery ID]:[Quantity delivered]],3,FALSE)</f>
        <v>0.65406455469216973</v>
      </c>
      <c r="V995" s="34" t="e">
        <f>VLOOKUP(Allocation[[#This Row],[SAP Contract number]],Shipments[[SAP Contract number]:[Contracted container weight]],2,FALSE)</f>
        <v>#N/A</v>
      </c>
      <c r="W995" s="34" t="e">
        <f>VLOOKUP(Allocation[[#This Row],[SAP Contract number]],Shipments[[SAP Contract number]:[AAA Premium USD]],24,FALSE)</f>
        <v>#N/A</v>
      </c>
      <c r="X995" s="34" t="e">
        <f>VLOOKUP(Allocation[[#This Row],[SAP Contract number]],Shipments[[SAP Contract number]:[RA Premium USD]],25,FALSE)</f>
        <v>#N/A</v>
      </c>
      <c r="Y995" s="38">
        <f>Allocation[[#This Row],[Quantity Processed]]/Allocation[[#This Row],[Quantity allocated]]</f>
        <v>3.2259803921568628</v>
      </c>
      <c r="Z995" s="34" t="b">
        <f>Allocation[[#This Row],[Quantity allocated]]&lt;=Allocation[[#This Row],[Quantity Processed]]</f>
        <v>1</v>
      </c>
    </row>
    <row r="996" spans="1:26">
      <c r="A996" s="247" t="s">
        <v>467</v>
      </c>
      <c r="B996" s="210" t="s">
        <v>68</v>
      </c>
      <c r="C996" s="254" t="s">
        <v>1613</v>
      </c>
      <c r="D996" s="255">
        <v>2716</v>
      </c>
      <c r="E996" s="211" t="s">
        <v>1864</v>
      </c>
      <c r="F996" s="212">
        <v>43538</v>
      </c>
      <c r="G996" s="213">
        <v>2.68</v>
      </c>
      <c r="H996" s="256">
        <v>1358</v>
      </c>
      <c r="I996" s="214">
        <v>1444683</v>
      </c>
      <c r="J996" s="215">
        <v>21600</v>
      </c>
      <c r="K996" s="212">
        <v>43587</v>
      </c>
      <c r="L996" s="211" t="s">
        <v>1866</v>
      </c>
      <c r="M996" s="216">
        <v>4615445946</v>
      </c>
      <c r="N996" s="212">
        <v>43682</v>
      </c>
      <c r="O996" s="217">
        <v>3.9611999999999998</v>
      </c>
      <c r="P996" s="219"/>
      <c r="Q996" s="34">
        <f>SUMIF(Allocation[Delivery ID],Allocation[[#This Row],[Delivery ID]],Allocation[Quantity Processed])</f>
        <v>17096</v>
      </c>
      <c r="R996" s="61">
        <f>Allocation[[#This Row],[Total volume used]]/VLOOKUP(Allocation[[#This Row],[Delivery ID]],Delivery[[Delivery ID]:[Quantity delivered]],3,FALSE)</f>
        <v>0.48381938843372813</v>
      </c>
      <c r="S996" s="34">
        <f>Allocation[[#This Row],[Quantity Processed]]/Allocation[[#This Row],[Dilution rate]]</f>
        <v>1013.4328358208954</v>
      </c>
      <c r="T996" s="59">
        <f>SUMIF(Allocation[Delivery ID],Allocation[[#This Row],[Delivery ID]],Allocation[Quantity allocated])/SUMIF(Allocation[Delivery ID],Allocation[[#This Row],[Delivery ID]],Allocation[Volume available (kg)])</f>
        <v>1.3229793239919183</v>
      </c>
      <c r="U996" s="61">
        <f>Allocation[[#This Row],[Total volume used]]/VLOOKUP(Allocation[[#This Row],[Delivery ID]],Delivery[[Delivery ID]:[Quantity delivered]],3,FALSE)</f>
        <v>0.48381938843372813</v>
      </c>
      <c r="V996" s="34" t="e">
        <f>VLOOKUP(Allocation[[#This Row],[SAP Contract number]],Shipments[[SAP Contract number]:[Contracted container weight]],2,FALSE)</f>
        <v>#N/A</v>
      </c>
      <c r="W996" s="34" t="e">
        <f>VLOOKUP(Allocation[[#This Row],[SAP Contract number]],Shipments[[SAP Contract number]:[AAA Premium USD]],24,FALSE)</f>
        <v>#N/A</v>
      </c>
      <c r="X996" s="34" t="e">
        <f>VLOOKUP(Allocation[[#This Row],[SAP Contract number]],Shipments[[SAP Contract number]:[RA Premium USD]],25,FALSE)</f>
        <v>#N/A</v>
      </c>
      <c r="Y996" s="38">
        <f>Allocation[[#This Row],[Quantity Processed]]/Allocation[[#This Row],[Quantity allocated]]</f>
        <v>2</v>
      </c>
      <c r="Z996" s="34" t="b">
        <f>Allocation[[#This Row],[Quantity allocated]]&lt;=Allocation[[#This Row],[Quantity Processed]]</f>
        <v>1</v>
      </c>
    </row>
    <row r="997" spans="1:26">
      <c r="A997" s="247" t="s">
        <v>467</v>
      </c>
      <c r="B997" s="210" t="s">
        <v>68</v>
      </c>
      <c r="C997" s="254" t="s">
        <v>1614</v>
      </c>
      <c r="D997" s="255">
        <v>5542</v>
      </c>
      <c r="E997" s="211" t="s">
        <v>1864</v>
      </c>
      <c r="F997" s="212">
        <v>43538</v>
      </c>
      <c r="G997" s="213">
        <v>2.68</v>
      </c>
      <c r="H997" s="256">
        <v>1829</v>
      </c>
      <c r="I997" s="214">
        <v>1444683</v>
      </c>
      <c r="J997" s="215">
        <v>21600</v>
      </c>
      <c r="K997" s="212">
        <v>43587</v>
      </c>
      <c r="L997" s="211" t="s">
        <v>1866</v>
      </c>
      <c r="M997" s="216">
        <v>4615445946</v>
      </c>
      <c r="N997" s="212">
        <v>43682</v>
      </c>
      <c r="O997" s="217">
        <v>3.9611999999999998</v>
      </c>
      <c r="P997" s="219"/>
      <c r="Q997" s="34">
        <f>SUMIF(Allocation[Delivery ID],Allocation[[#This Row],[Delivery ID]],Allocation[Quantity Processed])</f>
        <v>18433</v>
      </c>
      <c r="R997" s="61">
        <f>Allocation[[#This Row],[Total volume used]]/VLOOKUP(Allocation[[#This Row],[Delivery ID]],Delivery[[Delivery ID]:[Quantity delivered]],3,FALSE)</f>
        <v>0.61422859046984335</v>
      </c>
      <c r="S997" s="34">
        <f>Allocation[[#This Row],[Quantity Processed]]/Allocation[[#This Row],[Dilution rate]]</f>
        <v>2067.9104477611941</v>
      </c>
      <c r="T997" s="59">
        <f>SUMIF(Allocation[Delivery ID],Allocation[[#This Row],[Delivery ID]],Allocation[Quantity allocated])/SUMIF(Allocation[Delivery ID],Allocation[[#This Row],[Delivery ID]],Allocation[Volume available (kg)])</f>
        <v>0.8780497905731125</v>
      </c>
      <c r="U997" s="61">
        <f>Allocation[[#This Row],[Total volume used]]/VLOOKUP(Allocation[[#This Row],[Delivery ID]],Delivery[[Delivery ID]:[Quantity delivered]],3,FALSE)</f>
        <v>0.61422859046984335</v>
      </c>
      <c r="V997" s="34" t="e">
        <f>VLOOKUP(Allocation[[#This Row],[SAP Contract number]],Shipments[[SAP Contract number]:[Contracted container weight]],2,FALSE)</f>
        <v>#N/A</v>
      </c>
      <c r="W997" s="34" t="e">
        <f>VLOOKUP(Allocation[[#This Row],[SAP Contract number]],Shipments[[SAP Contract number]:[AAA Premium USD]],24,FALSE)</f>
        <v>#N/A</v>
      </c>
      <c r="X997" s="34" t="e">
        <f>VLOOKUP(Allocation[[#This Row],[SAP Contract number]],Shipments[[SAP Contract number]:[RA Premium USD]],25,FALSE)</f>
        <v>#N/A</v>
      </c>
      <c r="Y997" s="38">
        <f>Allocation[[#This Row],[Quantity Processed]]/Allocation[[#This Row],[Quantity allocated]]</f>
        <v>3.0300710770913066</v>
      </c>
      <c r="Z997" s="34" t="b">
        <f>Allocation[[#This Row],[Quantity allocated]]&lt;=Allocation[[#This Row],[Quantity Processed]]</f>
        <v>1</v>
      </c>
    </row>
    <row r="998" spans="1:26">
      <c r="A998" s="247" t="s">
        <v>467</v>
      </c>
      <c r="B998" s="210" t="s">
        <v>68</v>
      </c>
      <c r="C998" s="254" t="s">
        <v>1616</v>
      </c>
      <c r="D998" s="255">
        <v>5545</v>
      </c>
      <c r="E998" s="211" t="s">
        <v>1864</v>
      </c>
      <c r="F998" s="212">
        <v>43538</v>
      </c>
      <c r="G998" s="213">
        <v>2.68</v>
      </c>
      <c r="H998" s="256">
        <v>1830</v>
      </c>
      <c r="I998" s="214">
        <v>1444683</v>
      </c>
      <c r="J998" s="215">
        <v>21600</v>
      </c>
      <c r="K998" s="212">
        <v>43587</v>
      </c>
      <c r="L998" s="211" t="s">
        <v>1866</v>
      </c>
      <c r="M998" s="216">
        <v>4615445946</v>
      </c>
      <c r="N998" s="212">
        <v>43682</v>
      </c>
      <c r="O998" s="217">
        <v>3.9611999999999998</v>
      </c>
      <c r="P998" s="219"/>
      <c r="Q998" s="34">
        <f>SUMIF(Allocation[Delivery ID],Allocation[[#This Row],[Delivery ID]],Allocation[Quantity Processed])</f>
        <v>18442</v>
      </c>
      <c r="R998" s="61">
        <f>Allocation[[#This Row],[Total volume used]]/VLOOKUP(Allocation[[#This Row],[Delivery ID]],Delivery[[Delivery ID]:[Quantity delivered]],3,FALSE)</f>
        <v>0.61432378414390409</v>
      </c>
      <c r="S998" s="34">
        <f>Allocation[[#This Row],[Quantity Processed]]/Allocation[[#This Row],[Dilution rate]]</f>
        <v>2069.0298507462685</v>
      </c>
      <c r="T998" s="59">
        <f>SUMIF(Allocation[Delivery ID],Allocation[[#This Row],[Delivery ID]],Allocation[Quantity allocated])/SUMIF(Allocation[Delivery ID],Allocation[[#This Row],[Delivery ID]],Allocation[Volume available (kg)])</f>
        <v>0.87805499845803603</v>
      </c>
      <c r="U998" s="61">
        <f>Allocation[[#This Row],[Total volume used]]/VLOOKUP(Allocation[[#This Row],[Delivery ID]],Delivery[[Delivery ID]:[Quantity delivered]],3,FALSE)</f>
        <v>0.61432378414390409</v>
      </c>
      <c r="V998" s="34" t="e">
        <f>VLOOKUP(Allocation[[#This Row],[SAP Contract number]],Shipments[[SAP Contract number]:[Contracted container weight]],2,FALSE)</f>
        <v>#N/A</v>
      </c>
      <c r="W998" s="34" t="e">
        <f>VLOOKUP(Allocation[[#This Row],[SAP Contract number]],Shipments[[SAP Contract number]:[AAA Premium USD]],24,FALSE)</f>
        <v>#N/A</v>
      </c>
      <c r="X998" s="34" t="e">
        <f>VLOOKUP(Allocation[[#This Row],[SAP Contract number]],Shipments[[SAP Contract number]:[RA Premium USD]],25,FALSE)</f>
        <v>#N/A</v>
      </c>
      <c r="Y998" s="38">
        <f>Allocation[[#This Row],[Quantity Processed]]/Allocation[[#This Row],[Quantity allocated]]</f>
        <v>3.0300546448087431</v>
      </c>
      <c r="Z998" s="34" t="b">
        <f>Allocation[[#This Row],[Quantity allocated]]&lt;=Allocation[[#This Row],[Quantity Processed]]</f>
        <v>1</v>
      </c>
    </row>
    <row r="999" spans="1:26">
      <c r="A999" s="247" t="s">
        <v>467</v>
      </c>
      <c r="B999" s="210" t="s">
        <v>68</v>
      </c>
      <c r="C999" s="254" t="s">
        <v>1617</v>
      </c>
      <c r="D999" s="255">
        <v>6948</v>
      </c>
      <c r="E999" s="211" t="s">
        <v>1864</v>
      </c>
      <c r="F999" s="212">
        <v>43538</v>
      </c>
      <c r="G999" s="213">
        <v>2.68</v>
      </c>
      <c r="H999" s="256">
        <v>2779</v>
      </c>
      <c r="I999" s="214">
        <v>1444683</v>
      </c>
      <c r="J999" s="215">
        <v>21600</v>
      </c>
      <c r="K999" s="212">
        <v>43587</v>
      </c>
      <c r="L999" s="211" t="s">
        <v>1866</v>
      </c>
      <c r="M999" s="216">
        <v>4615445946</v>
      </c>
      <c r="N999" s="212">
        <v>43682</v>
      </c>
      <c r="O999" s="217">
        <v>3.9611999999999998</v>
      </c>
      <c r="P999" s="219"/>
      <c r="Q999" s="34">
        <f>SUMIF(Allocation[Delivery ID],Allocation[[#This Row],[Delivery ID]],Allocation[Quantity Processed])</f>
        <v>24596</v>
      </c>
      <c r="R999" s="61">
        <f>Allocation[[#This Row],[Total volume used]]/VLOOKUP(Allocation[[#This Row],[Delivery ID]],Delivery[[Delivery ID]:[Quantity delivered]],3,FALSE)</f>
        <v>0.81687147127200266</v>
      </c>
      <c r="S999" s="34">
        <f>Allocation[[#This Row],[Quantity Processed]]/Allocation[[#This Row],[Dilution rate]]</f>
        <v>2592.5373134328356</v>
      </c>
      <c r="T999" s="59">
        <f>SUMIF(Allocation[Delivery ID],Allocation[[#This Row],[Delivery ID]],Allocation[Quantity allocated])/SUMIF(Allocation[Delivery ID],Allocation[[#This Row],[Delivery ID]],Allocation[Volume available (kg)])</f>
        <v>1.0632147038798412</v>
      </c>
      <c r="U999" s="61">
        <f>Allocation[[#This Row],[Total volume used]]/VLOOKUP(Allocation[[#This Row],[Delivery ID]],Delivery[[Delivery ID]:[Quantity delivered]],3,FALSE)</f>
        <v>0.81687147127200266</v>
      </c>
      <c r="V999" s="34" t="e">
        <f>VLOOKUP(Allocation[[#This Row],[SAP Contract number]],Shipments[[SAP Contract number]:[Contracted container weight]],2,FALSE)</f>
        <v>#N/A</v>
      </c>
      <c r="W999" s="34" t="e">
        <f>VLOOKUP(Allocation[[#This Row],[SAP Contract number]],Shipments[[SAP Contract number]:[AAA Premium USD]],24,FALSE)</f>
        <v>#N/A</v>
      </c>
      <c r="X999" s="34" t="e">
        <f>VLOOKUP(Allocation[[#This Row],[SAP Contract number]],Shipments[[SAP Contract number]:[RA Premium USD]],25,FALSE)</f>
        <v>#N/A</v>
      </c>
      <c r="Y999" s="38">
        <f>Allocation[[#This Row],[Quantity Processed]]/Allocation[[#This Row],[Quantity allocated]]</f>
        <v>2.5001799208348325</v>
      </c>
      <c r="Z999" s="34" t="b">
        <f>Allocation[[#This Row],[Quantity allocated]]&lt;=Allocation[[#This Row],[Quantity Processed]]</f>
        <v>1</v>
      </c>
    </row>
    <row r="1000" spans="1:26">
      <c r="A1000" s="247" t="s">
        <v>467</v>
      </c>
      <c r="B1000" s="210" t="s">
        <v>68</v>
      </c>
      <c r="C1000" s="254" t="s">
        <v>1618</v>
      </c>
      <c r="D1000" s="255">
        <v>1515</v>
      </c>
      <c r="E1000" s="211" t="s">
        <v>1864</v>
      </c>
      <c r="F1000" s="212">
        <v>43538</v>
      </c>
      <c r="G1000" s="213">
        <v>2.68</v>
      </c>
      <c r="H1000" s="256">
        <v>500</v>
      </c>
      <c r="I1000" s="214">
        <v>1444683</v>
      </c>
      <c r="J1000" s="215">
        <v>21600</v>
      </c>
      <c r="K1000" s="212">
        <v>43587</v>
      </c>
      <c r="L1000" s="211" t="s">
        <v>1866</v>
      </c>
      <c r="M1000" s="216">
        <v>4615445946</v>
      </c>
      <c r="N1000" s="212">
        <v>43682</v>
      </c>
      <c r="O1000" s="217">
        <v>3.9611999999999998</v>
      </c>
      <c r="P1000" s="219"/>
      <c r="Q1000" s="34">
        <f>SUMIF(Allocation[Delivery ID],Allocation[[#This Row],[Delivery ID]],Allocation[Quantity Processed])</f>
        <v>18433</v>
      </c>
      <c r="R1000" s="61">
        <f>Allocation[[#This Row],[Total volume used]]/VLOOKUP(Allocation[[#This Row],[Delivery ID]],Delivery[[Delivery ID]:[Quantity delivered]],3,FALSE)</f>
        <v>0.61422859046984335</v>
      </c>
      <c r="S1000" s="34">
        <f>Allocation[[#This Row],[Quantity Processed]]/Allocation[[#This Row],[Dilution rate]]</f>
        <v>565.29850746268653</v>
      </c>
      <c r="T1000" s="59">
        <f>SUMIF(Allocation[Delivery ID],Allocation[[#This Row],[Delivery ID]],Allocation[Quantity allocated])/SUMIF(Allocation[Delivery ID],Allocation[[#This Row],[Delivery ID]],Allocation[Volume available (kg)])</f>
        <v>0.8780497905731125</v>
      </c>
      <c r="U1000" s="61">
        <f>Allocation[[#This Row],[Total volume used]]/VLOOKUP(Allocation[[#This Row],[Delivery ID]],Delivery[[Delivery ID]:[Quantity delivered]],3,FALSE)</f>
        <v>0.61422859046984335</v>
      </c>
      <c r="V1000" s="34" t="e">
        <f>VLOOKUP(Allocation[[#This Row],[SAP Contract number]],Shipments[[SAP Contract number]:[Contracted container weight]],2,FALSE)</f>
        <v>#N/A</v>
      </c>
      <c r="W1000" s="34" t="e">
        <f>VLOOKUP(Allocation[[#This Row],[SAP Contract number]],Shipments[[SAP Contract number]:[AAA Premium USD]],24,FALSE)</f>
        <v>#N/A</v>
      </c>
      <c r="X1000" s="34" t="e">
        <f>VLOOKUP(Allocation[[#This Row],[SAP Contract number]],Shipments[[SAP Contract number]:[RA Premium USD]],25,FALSE)</f>
        <v>#N/A</v>
      </c>
      <c r="Y1000" s="38">
        <f>Allocation[[#This Row],[Quantity Processed]]/Allocation[[#This Row],[Quantity allocated]]</f>
        <v>3.03</v>
      </c>
      <c r="Z1000" s="34" t="b">
        <f>Allocation[[#This Row],[Quantity allocated]]&lt;=Allocation[[#This Row],[Quantity Processed]]</f>
        <v>1</v>
      </c>
    </row>
    <row r="1001" spans="1:26">
      <c r="A1001" s="247" t="s">
        <v>467</v>
      </c>
      <c r="B1001" s="210" t="s">
        <v>68</v>
      </c>
      <c r="C1001" s="254" t="s">
        <v>1618</v>
      </c>
      <c r="D1001" s="255">
        <v>4027</v>
      </c>
      <c r="E1001" s="211" t="s">
        <v>1864</v>
      </c>
      <c r="F1001" s="212">
        <v>43538</v>
      </c>
      <c r="G1001" s="213">
        <v>2.68</v>
      </c>
      <c r="H1001" s="256">
        <v>1329</v>
      </c>
      <c r="I1001" s="214">
        <v>1444684</v>
      </c>
      <c r="J1001" s="215">
        <v>21600</v>
      </c>
      <c r="K1001" s="212">
        <v>43587</v>
      </c>
      <c r="L1001" s="211" t="s">
        <v>1867</v>
      </c>
      <c r="M1001" s="216">
        <v>4615445946</v>
      </c>
      <c r="N1001" s="212">
        <v>43682</v>
      </c>
      <c r="O1001" s="217">
        <v>3.9611999999999998</v>
      </c>
      <c r="P1001" s="219"/>
      <c r="Q1001" s="34">
        <f>SUMIF(Allocation[Delivery ID],Allocation[[#This Row],[Delivery ID]],Allocation[Quantity Processed])</f>
        <v>18433</v>
      </c>
      <c r="R1001" s="61">
        <f>Allocation[[#This Row],[Total volume used]]/VLOOKUP(Allocation[[#This Row],[Delivery ID]],Delivery[[Delivery ID]:[Quantity delivered]],3,FALSE)</f>
        <v>0.61422859046984335</v>
      </c>
      <c r="S1001" s="34">
        <f>Allocation[[#This Row],[Quantity Processed]]/Allocation[[#This Row],[Dilution rate]]</f>
        <v>1502.6119402985073</v>
      </c>
      <c r="T1001" s="59">
        <f>SUMIF(Allocation[Delivery ID],Allocation[[#This Row],[Delivery ID]],Allocation[Quantity allocated])/SUMIF(Allocation[Delivery ID],Allocation[[#This Row],[Delivery ID]],Allocation[Volume available (kg)])</f>
        <v>0.8780497905731125</v>
      </c>
      <c r="U1001" s="61">
        <f>Allocation[[#This Row],[Total volume used]]/VLOOKUP(Allocation[[#This Row],[Delivery ID]],Delivery[[Delivery ID]:[Quantity delivered]],3,FALSE)</f>
        <v>0.61422859046984335</v>
      </c>
      <c r="V1001" s="34" t="e">
        <f>VLOOKUP(Allocation[[#This Row],[SAP Contract number]],Shipments[[SAP Contract number]:[Contracted container weight]],2,FALSE)</f>
        <v>#N/A</v>
      </c>
      <c r="W1001" s="34" t="e">
        <f>VLOOKUP(Allocation[[#This Row],[SAP Contract number]],Shipments[[SAP Contract number]:[AAA Premium USD]],24,FALSE)</f>
        <v>#N/A</v>
      </c>
      <c r="X1001" s="34" t="e">
        <f>VLOOKUP(Allocation[[#This Row],[SAP Contract number]],Shipments[[SAP Contract number]:[RA Premium USD]],25,FALSE)</f>
        <v>#N/A</v>
      </c>
      <c r="Y1001" s="38">
        <f>Allocation[[#This Row],[Quantity Processed]]/Allocation[[#This Row],[Quantity allocated]]</f>
        <v>3.0300978179082017</v>
      </c>
      <c r="Z1001" s="34" t="b">
        <f>Allocation[[#This Row],[Quantity allocated]]&lt;=Allocation[[#This Row],[Quantity Processed]]</f>
        <v>1</v>
      </c>
    </row>
    <row r="1002" spans="1:26">
      <c r="A1002" s="247" t="s">
        <v>467</v>
      </c>
      <c r="B1002" s="210" t="s">
        <v>68</v>
      </c>
      <c r="C1002" s="254" t="s">
        <v>1619</v>
      </c>
      <c r="D1002" s="255">
        <v>5548</v>
      </c>
      <c r="E1002" s="211" t="s">
        <v>1864</v>
      </c>
      <c r="F1002" s="212">
        <v>43538</v>
      </c>
      <c r="G1002" s="213">
        <v>2.68</v>
      </c>
      <c r="H1002" s="256">
        <v>1831</v>
      </c>
      <c r="I1002" s="214">
        <v>1444684</v>
      </c>
      <c r="J1002" s="215">
        <v>21600</v>
      </c>
      <c r="K1002" s="212">
        <v>43587</v>
      </c>
      <c r="L1002" s="211" t="s">
        <v>1867</v>
      </c>
      <c r="M1002" s="216">
        <v>4615445946</v>
      </c>
      <c r="N1002" s="212">
        <v>43682</v>
      </c>
      <c r="O1002" s="217">
        <v>3.9611999999999998</v>
      </c>
      <c r="P1002" s="219"/>
      <c r="Q1002" s="34">
        <f>SUMIF(Allocation[Delivery ID],Allocation[[#This Row],[Delivery ID]],Allocation[Quantity Processed])</f>
        <v>18454</v>
      </c>
      <c r="R1002" s="61">
        <f>Allocation[[#This Row],[Total volume used]]/VLOOKUP(Allocation[[#This Row],[Delivery ID]],Delivery[[Delivery ID]:[Quantity delivered]],3,FALSE)</f>
        <v>0.61431424766977361</v>
      </c>
      <c r="S1002" s="34">
        <f>Allocation[[#This Row],[Quantity Processed]]/Allocation[[#This Row],[Dilution rate]]</f>
        <v>2070.1492537313434</v>
      </c>
      <c r="T1002" s="59">
        <f>SUMIF(Allocation[Delivery ID],Allocation[[#This Row],[Delivery ID]],Allocation[Quantity allocated])/SUMIF(Allocation[Delivery ID],Allocation[[#This Row],[Delivery ID]],Allocation[Volume available (kg)])</f>
        <v>0.87805830582239175</v>
      </c>
      <c r="U1002" s="61">
        <f>Allocation[[#This Row],[Total volume used]]/VLOOKUP(Allocation[[#This Row],[Delivery ID]],Delivery[[Delivery ID]:[Quantity delivered]],3,FALSE)</f>
        <v>0.61431424766977361</v>
      </c>
      <c r="V1002" s="34" t="e">
        <f>VLOOKUP(Allocation[[#This Row],[SAP Contract number]],Shipments[[SAP Contract number]:[Contracted container weight]],2,FALSE)</f>
        <v>#N/A</v>
      </c>
      <c r="W1002" s="34" t="e">
        <f>VLOOKUP(Allocation[[#This Row],[SAP Contract number]],Shipments[[SAP Contract number]:[AAA Premium USD]],24,FALSE)</f>
        <v>#N/A</v>
      </c>
      <c r="X1002" s="34" t="e">
        <f>VLOOKUP(Allocation[[#This Row],[SAP Contract number]],Shipments[[SAP Contract number]:[RA Premium USD]],25,FALSE)</f>
        <v>#N/A</v>
      </c>
      <c r="Y1002" s="38">
        <f>Allocation[[#This Row],[Quantity Processed]]/Allocation[[#This Row],[Quantity allocated]]</f>
        <v>3.0300382304751503</v>
      </c>
      <c r="Z1002" s="34" t="b">
        <f>Allocation[[#This Row],[Quantity allocated]]&lt;=Allocation[[#This Row],[Quantity Processed]]</f>
        <v>1</v>
      </c>
    </row>
    <row r="1003" spans="1:26">
      <c r="A1003" s="247" t="s">
        <v>467</v>
      </c>
      <c r="B1003" s="210" t="s">
        <v>68</v>
      </c>
      <c r="C1003" s="254" t="s">
        <v>934</v>
      </c>
      <c r="D1003" s="255">
        <v>5845</v>
      </c>
      <c r="E1003" s="211" t="s">
        <v>1864</v>
      </c>
      <c r="F1003" s="212">
        <v>43538</v>
      </c>
      <c r="G1003" s="213">
        <v>2.68</v>
      </c>
      <c r="H1003" s="256">
        <v>1929</v>
      </c>
      <c r="I1003" s="214">
        <v>1444684</v>
      </c>
      <c r="J1003" s="215">
        <v>21600</v>
      </c>
      <c r="K1003" s="212">
        <v>43587</v>
      </c>
      <c r="L1003" s="211" t="s">
        <v>1867</v>
      </c>
      <c r="M1003" s="216">
        <v>4615445946</v>
      </c>
      <c r="N1003" s="212">
        <v>43682</v>
      </c>
      <c r="O1003" s="217">
        <v>3.9611999999999998</v>
      </c>
      <c r="P1003" s="219"/>
      <c r="Q1003" s="34">
        <f>SUMIF(Allocation[Delivery ID],Allocation[[#This Row],[Delivery ID]],Allocation[Quantity Processed])</f>
        <v>30146</v>
      </c>
      <c r="R1003" s="61">
        <f>Allocation[[#This Row],[Total volume used]]/VLOOKUP(Allocation[[#This Row],[Delivery ID]],Delivery[[Delivery ID]:[Quantity delivered]],3,FALSE)</f>
        <v>0.96525887739745764</v>
      </c>
      <c r="S1003" s="34">
        <f>Allocation[[#This Row],[Quantity Processed]]/Allocation[[#This Row],[Dilution rate]]</f>
        <v>2180.9701492537311</v>
      </c>
      <c r="T1003" s="59">
        <f>SUMIF(Allocation[Delivery ID],Allocation[[#This Row],[Delivery ID]],Allocation[Quantity allocated])/SUMIF(Allocation[Delivery ID],Allocation[[#This Row],[Delivery ID]],Allocation[Volume available (kg)])</f>
        <v>0.7873812275223806</v>
      </c>
      <c r="U1003" s="61">
        <f>Allocation[[#This Row],[Total volume used]]/VLOOKUP(Allocation[[#This Row],[Delivery ID]],Delivery[[Delivery ID]:[Quantity delivered]],3,FALSE)</f>
        <v>0.96525887739745764</v>
      </c>
      <c r="V1003" s="34" t="e">
        <f>VLOOKUP(Allocation[[#This Row],[SAP Contract number]],Shipments[[SAP Contract number]:[Contracted container weight]],2,FALSE)</f>
        <v>#N/A</v>
      </c>
      <c r="W1003" s="34" t="e">
        <f>VLOOKUP(Allocation[[#This Row],[SAP Contract number]],Shipments[[SAP Contract number]:[AAA Premium USD]],24,FALSE)</f>
        <v>#N/A</v>
      </c>
      <c r="X1003" s="34" t="e">
        <f>VLOOKUP(Allocation[[#This Row],[SAP Contract number]],Shipments[[SAP Contract number]:[RA Premium USD]],25,FALSE)</f>
        <v>#N/A</v>
      </c>
      <c r="Y1003" s="38">
        <f>Allocation[[#This Row],[Quantity Processed]]/Allocation[[#This Row],[Quantity allocated]]</f>
        <v>3.0300673924313117</v>
      </c>
      <c r="Z1003" s="34" t="b">
        <f>Allocation[[#This Row],[Quantity allocated]]&lt;=Allocation[[#This Row],[Quantity Processed]]</f>
        <v>1</v>
      </c>
    </row>
    <row r="1004" spans="1:26">
      <c r="A1004" s="247" t="s">
        <v>467</v>
      </c>
      <c r="B1004" s="210" t="s">
        <v>68</v>
      </c>
      <c r="C1004" s="254" t="s">
        <v>936</v>
      </c>
      <c r="D1004" s="255">
        <v>5806</v>
      </c>
      <c r="E1004" s="211" t="s">
        <v>1864</v>
      </c>
      <c r="F1004" s="212">
        <v>43538</v>
      </c>
      <c r="G1004" s="213">
        <v>2.68</v>
      </c>
      <c r="H1004" s="256">
        <v>1916</v>
      </c>
      <c r="I1004" s="214">
        <v>1444684</v>
      </c>
      <c r="J1004" s="215">
        <v>21600</v>
      </c>
      <c r="K1004" s="212">
        <v>43587</v>
      </c>
      <c r="L1004" s="211" t="s">
        <v>1867</v>
      </c>
      <c r="M1004" s="216">
        <v>4615445946</v>
      </c>
      <c r="N1004" s="212">
        <v>43682</v>
      </c>
      <c r="O1004" s="217">
        <v>3.9611999999999998</v>
      </c>
      <c r="P1004" s="219"/>
      <c r="Q1004" s="34">
        <f>SUMIF(Allocation[Delivery ID],Allocation[[#This Row],[Delivery ID]],Allocation[Quantity Processed])</f>
        <v>30003</v>
      </c>
      <c r="R1004" s="61">
        <f>Allocation[[#This Row],[Total volume used]]/VLOOKUP(Allocation[[#This Row],[Delivery ID]],Delivery[[Delivery ID]:[Quantity delivered]],3,FALSE)</f>
        <v>0.96747980587846449</v>
      </c>
      <c r="S1004" s="34">
        <f>Allocation[[#This Row],[Quantity Processed]]/Allocation[[#This Row],[Dilution rate]]</f>
        <v>2166.4179104477612</v>
      </c>
      <c r="T1004" s="59">
        <f>SUMIF(Allocation[Delivery ID],Allocation[[#This Row],[Delivery ID]],Allocation[Quantity allocated])/SUMIF(Allocation[Delivery ID],Allocation[[#This Row],[Delivery ID]],Allocation[Volume available (kg)])</f>
        <v>0.7871596743518644</v>
      </c>
      <c r="U1004" s="61">
        <f>Allocation[[#This Row],[Total volume used]]/VLOOKUP(Allocation[[#This Row],[Delivery ID]],Delivery[[Delivery ID]:[Quantity delivered]],3,FALSE)</f>
        <v>0.96747980587846449</v>
      </c>
      <c r="V1004" s="34" t="e">
        <f>VLOOKUP(Allocation[[#This Row],[SAP Contract number]],Shipments[[SAP Contract number]:[Contracted container weight]],2,FALSE)</f>
        <v>#N/A</v>
      </c>
      <c r="W1004" s="34" t="e">
        <f>VLOOKUP(Allocation[[#This Row],[SAP Contract number]],Shipments[[SAP Contract number]:[AAA Premium USD]],24,FALSE)</f>
        <v>#N/A</v>
      </c>
      <c r="X1004" s="34" t="e">
        <f>VLOOKUP(Allocation[[#This Row],[SAP Contract number]],Shipments[[SAP Contract number]:[RA Premium USD]],25,FALSE)</f>
        <v>#N/A</v>
      </c>
      <c r="Y1004" s="38">
        <f>Allocation[[#This Row],[Quantity Processed]]/Allocation[[#This Row],[Quantity allocated]]</f>
        <v>3.0302713987473906</v>
      </c>
      <c r="Z1004" s="34" t="b">
        <f>Allocation[[#This Row],[Quantity allocated]]&lt;=Allocation[[#This Row],[Quantity Processed]]</f>
        <v>1</v>
      </c>
    </row>
    <row r="1005" spans="1:26">
      <c r="A1005" s="247" t="s">
        <v>467</v>
      </c>
      <c r="B1005" s="210" t="s">
        <v>68</v>
      </c>
      <c r="C1005" s="254" t="s">
        <v>937</v>
      </c>
      <c r="D1005" s="255">
        <v>4524</v>
      </c>
      <c r="E1005" s="211" t="s">
        <v>1864</v>
      </c>
      <c r="F1005" s="212">
        <v>43538</v>
      </c>
      <c r="G1005" s="213">
        <v>2.68</v>
      </c>
      <c r="H1005" s="256">
        <v>1855</v>
      </c>
      <c r="I1005" s="214">
        <v>1444684</v>
      </c>
      <c r="J1005" s="215">
        <v>21600</v>
      </c>
      <c r="K1005" s="212">
        <v>43587</v>
      </c>
      <c r="L1005" s="211" t="s">
        <v>1867</v>
      </c>
      <c r="M1005" s="216">
        <v>4615445946</v>
      </c>
      <c r="N1005" s="212">
        <v>43682</v>
      </c>
      <c r="O1005" s="217">
        <v>3.9611999999999998</v>
      </c>
      <c r="P1005" s="219"/>
      <c r="Q1005" s="34">
        <f>SUMIF(Allocation[Delivery ID],Allocation[[#This Row],[Delivery ID]],Allocation[Quantity Processed])</f>
        <v>23371</v>
      </c>
      <c r="R1005" s="61">
        <f>Allocation[[#This Row],[Total volume used]]/VLOOKUP(Allocation[[#This Row],[Delivery ID]],Delivery[[Delivery ID]:[Quantity delivered]],3,FALSE)</f>
        <v>0.77825507825507823</v>
      </c>
      <c r="S1005" s="34">
        <f>Allocation[[#This Row],[Quantity Processed]]/Allocation[[#This Row],[Dilution rate]]</f>
        <v>1688.0597014925372</v>
      </c>
      <c r="T1005" s="59">
        <f>SUMIF(Allocation[Delivery ID],Allocation[[#This Row],[Delivery ID]],Allocation[Quantity allocated])/SUMIF(Allocation[Delivery ID],Allocation[[#This Row],[Delivery ID]],Allocation[Volume available (kg)])</f>
        <v>0.97805484651195362</v>
      </c>
      <c r="U1005" s="61">
        <f>Allocation[[#This Row],[Total volume used]]/VLOOKUP(Allocation[[#This Row],[Delivery ID]],Delivery[[Delivery ID]:[Quantity delivered]],3,FALSE)</f>
        <v>0.77825507825507823</v>
      </c>
      <c r="V1005" s="34" t="e">
        <f>VLOOKUP(Allocation[[#This Row],[SAP Contract number]],Shipments[[SAP Contract number]:[Contracted container weight]],2,FALSE)</f>
        <v>#N/A</v>
      </c>
      <c r="W1005" s="34" t="e">
        <f>VLOOKUP(Allocation[[#This Row],[SAP Contract number]],Shipments[[SAP Contract number]:[AAA Premium USD]],24,FALSE)</f>
        <v>#N/A</v>
      </c>
      <c r="X1005" s="34" t="e">
        <f>VLOOKUP(Allocation[[#This Row],[SAP Contract number]],Shipments[[SAP Contract number]:[RA Premium USD]],25,FALSE)</f>
        <v>#N/A</v>
      </c>
      <c r="Y1005" s="38">
        <f>Allocation[[#This Row],[Quantity Processed]]/Allocation[[#This Row],[Quantity allocated]]</f>
        <v>2.4388140161725067</v>
      </c>
      <c r="Z1005" s="34" t="b">
        <f>Allocation[[#This Row],[Quantity allocated]]&lt;=Allocation[[#This Row],[Quantity Processed]]</f>
        <v>1</v>
      </c>
    </row>
    <row r="1006" spans="1:26">
      <c r="A1006" s="247" t="s">
        <v>467</v>
      </c>
      <c r="B1006" s="210" t="s">
        <v>68</v>
      </c>
      <c r="C1006" s="254" t="s">
        <v>939</v>
      </c>
      <c r="D1006" s="255">
        <v>2573</v>
      </c>
      <c r="E1006" s="211" t="s">
        <v>1864</v>
      </c>
      <c r="F1006" s="212">
        <v>43538</v>
      </c>
      <c r="G1006" s="213">
        <v>2.68</v>
      </c>
      <c r="H1006" s="256">
        <v>849</v>
      </c>
      <c r="I1006" s="214">
        <v>1444684</v>
      </c>
      <c r="J1006" s="215">
        <v>21600</v>
      </c>
      <c r="K1006" s="212">
        <v>43587</v>
      </c>
      <c r="L1006" s="211" t="s">
        <v>1867</v>
      </c>
      <c r="M1006" s="216">
        <v>4615445946</v>
      </c>
      <c r="N1006" s="212">
        <v>43682</v>
      </c>
      <c r="O1006" s="217">
        <v>3.9611999999999998</v>
      </c>
      <c r="P1006" s="219"/>
      <c r="Q1006" s="34">
        <f>SUMIF(Allocation[Delivery ID],Allocation[[#This Row],[Delivery ID]],Allocation[Quantity Processed])</f>
        <v>13750</v>
      </c>
      <c r="R1006" s="61">
        <f>Allocation[[#This Row],[Total volume used]]/VLOOKUP(Allocation[[#This Row],[Delivery ID]],Delivery[[Delivery ID]:[Quantity delivered]],3,FALSE)</f>
        <v>1</v>
      </c>
      <c r="S1006" s="34">
        <f>Allocation[[#This Row],[Quantity Processed]]/Allocation[[#This Row],[Dilution rate]]</f>
        <v>960.07462686567158</v>
      </c>
      <c r="T1006" s="59">
        <f>SUMIF(Allocation[Delivery ID],Allocation[[#This Row],[Delivery ID]],Allocation[Quantity allocated])/SUMIF(Allocation[Delivery ID],Allocation[[#This Row],[Delivery ID]],Allocation[Volume available (kg)])</f>
        <v>0.78913135555090075</v>
      </c>
      <c r="U1006" s="61">
        <f>Allocation[[#This Row],[Total volume used]]/VLOOKUP(Allocation[[#This Row],[Delivery ID]],Delivery[[Delivery ID]:[Quantity delivered]],3,FALSE)</f>
        <v>1</v>
      </c>
      <c r="V1006" s="34" t="e">
        <f>VLOOKUP(Allocation[[#This Row],[SAP Contract number]],Shipments[[SAP Contract number]:[Contracted container weight]],2,FALSE)</f>
        <v>#N/A</v>
      </c>
      <c r="W1006" s="34" t="e">
        <f>VLOOKUP(Allocation[[#This Row],[SAP Contract number]],Shipments[[SAP Contract number]:[AAA Premium USD]],24,FALSE)</f>
        <v>#N/A</v>
      </c>
      <c r="X1006" s="34" t="e">
        <f>VLOOKUP(Allocation[[#This Row],[SAP Contract number]],Shipments[[SAP Contract number]:[RA Premium USD]],25,FALSE)</f>
        <v>#N/A</v>
      </c>
      <c r="Y1006" s="38">
        <f>Allocation[[#This Row],[Quantity Processed]]/Allocation[[#This Row],[Quantity allocated]]</f>
        <v>3.0306242638398118</v>
      </c>
      <c r="Z1006" s="34" t="b">
        <f>Allocation[[#This Row],[Quantity allocated]]&lt;=Allocation[[#This Row],[Quantity Processed]]</f>
        <v>1</v>
      </c>
    </row>
    <row r="1007" spans="1:26">
      <c r="A1007" s="247" t="s">
        <v>467</v>
      </c>
      <c r="B1007" s="210" t="s">
        <v>68</v>
      </c>
      <c r="C1007" s="254" t="s">
        <v>941</v>
      </c>
      <c r="D1007" s="255">
        <v>6187</v>
      </c>
      <c r="E1007" s="211" t="s">
        <v>1864</v>
      </c>
      <c r="F1007" s="212">
        <v>43538</v>
      </c>
      <c r="G1007" s="213">
        <v>2.68</v>
      </c>
      <c r="H1007" s="256">
        <v>1856</v>
      </c>
      <c r="I1007" s="214">
        <v>1444684</v>
      </c>
      <c r="J1007" s="215">
        <v>21600</v>
      </c>
      <c r="K1007" s="212">
        <v>43587</v>
      </c>
      <c r="L1007" s="211" t="s">
        <v>1867</v>
      </c>
      <c r="M1007" s="216">
        <v>4615445946</v>
      </c>
      <c r="N1007" s="212">
        <v>43682</v>
      </c>
      <c r="O1007" s="217">
        <v>3.9611999999999998</v>
      </c>
      <c r="P1007" s="219"/>
      <c r="Q1007" s="34">
        <f>SUMIF(Allocation[Delivery ID],Allocation[[#This Row],[Delivery ID]],Allocation[Quantity Processed])</f>
        <v>30050</v>
      </c>
      <c r="R1007" s="61">
        <f>Allocation[[#This Row],[Total volume used]]/VLOOKUP(Allocation[[#This Row],[Delivery ID]],Delivery[[Delivery ID]:[Quantity delivered]],3,FALSE)</f>
        <v>1</v>
      </c>
      <c r="S1007" s="34">
        <f>Allocation[[#This Row],[Quantity Processed]]/Allocation[[#This Row],[Dilution rate]]</f>
        <v>2308.5820895522388</v>
      </c>
      <c r="T1007" s="59">
        <f>SUMIF(Allocation[Delivery ID],Allocation[[#This Row],[Delivery ID]],Allocation[Quantity allocated])/SUMIF(Allocation[Delivery ID],Allocation[[#This Row],[Delivery ID]],Allocation[Volume available (kg)])</f>
        <v>0.71267222293301935</v>
      </c>
      <c r="U1007" s="61">
        <f>Allocation[[#This Row],[Total volume used]]/VLOOKUP(Allocation[[#This Row],[Delivery ID]],Delivery[[Delivery ID]:[Quantity delivered]],3,FALSE)</f>
        <v>1</v>
      </c>
      <c r="V1007" s="34" t="e">
        <f>VLOOKUP(Allocation[[#This Row],[SAP Contract number]],Shipments[[SAP Contract number]:[Contracted container weight]],2,FALSE)</f>
        <v>#N/A</v>
      </c>
      <c r="W1007" s="34" t="e">
        <f>VLOOKUP(Allocation[[#This Row],[SAP Contract number]],Shipments[[SAP Contract number]:[AAA Premium USD]],24,FALSE)</f>
        <v>#N/A</v>
      </c>
      <c r="X1007" s="34" t="e">
        <f>VLOOKUP(Allocation[[#This Row],[SAP Contract number]],Shipments[[SAP Contract number]:[RA Premium USD]],25,FALSE)</f>
        <v>#N/A</v>
      </c>
      <c r="Y1007" s="38">
        <f>Allocation[[#This Row],[Quantity Processed]]/Allocation[[#This Row],[Quantity allocated]]</f>
        <v>3.3335129310344827</v>
      </c>
      <c r="Z1007" s="34" t="b">
        <f>Allocation[[#This Row],[Quantity allocated]]&lt;=Allocation[[#This Row],[Quantity Processed]]</f>
        <v>1</v>
      </c>
    </row>
    <row r="1008" spans="1:26">
      <c r="A1008" s="247" t="s">
        <v>467</v>
      </c>
      <c r="B1008" s="210" t="s">
        <v>68</v>
      </c>
      <c r="C1008" s="254" t="s">
        <v>943</v>
      </c>
      <c r="D1008" s="255">
        <v>6180</v>
      </c>
      <c r="E1008" s="211" t="s">
        <v>1864</v>
      </c>
      <c r="F1008" s="212">
        <v>43538</v>
      </c>
      <c r="G1008" s="213">
        <v>2.68</v>
      </c>
      <c r="H1008" s="256">
        <v>1854</v>
      </c>
      <c r="I1008" s="214">
        <v>1444684</v>
      </c>
      <c r="J1008" s="215">
        <v>21600</v>
      </c>
      <c r="K1008" s="212">
        <v>43587</v>
      </c>
      <c r="L1008" s="211" t="s">
        <v>1867</v>
      </c>
      <c r="M1008" s="216">
        <v>4615445946</v>
      </c>
      <c r="N1008" s="212">
        <v>43682</v>
      </c>
      <c r="O1008" s="217">
        <v>3.9611999999999998</v>
      </c>
      <c r="P1008" s="219"/>
      <c r="Q1008" s="34">
        <f>SUMIF(Allocation[Delivery ID],Allocation[[#This Row],[Delivery ID]],Allocation[Quantity Processed])</f>
        <v>30020</v>
      </c>
      <c r="R1008" s="61">
        <f>Allocation[[#This Row],[Total volume used]]/VLOOKUP(Allocation[[#This Row],[Delivery ID]],Delivery[[Delivery ID]:[Quantity delivered]],3,FALSE)</f>
        <v>1</v>
      </c>
      <c r="S1008" s="34">
        <f>Allocation[[#This Row],[Quantity Processed]]/Allocation[[#This Row],[Dilution rate]]</f>
        <v>2305.9701492537311</v>
      </c>
      <c r="T1008" s="59">
        <f>SUMIF(Allocation[Delivery ID],Allocation[[#This Row],[Delivery ID]],Allocation[Quantity allocated])/SUMIF(Allocation[Delivery ID],Allocation[[#This Row],[Delivery ID]],Allocation[Volume available (kg)])</f>
        <v>0.71299381953263574</v>
      </c>
      <c r="U1008" s="61">
        <f>Allocation[[#This Row],[Total volume used]]/VLOOKUP(Allocation[[#This Row],[Delivery ID]],Delivery[[Delivery ID]:[Quantity delivered]],3,FALSE)</f>
        <v>1</v>
      </c>
      <c r="V1008" s="34" t="e">
        <f>VLOOKUP(Allocation[[#This Row],[SAP Contract number]],Shipments[[SAP Contract number]:[Contracted container weight]],2,FALSE)</f>
        <v>#N/A</v>
      </c>
      <c r="W1008" s="34" t="e">
        <f>VLOOKUP(Allocation[[#This Row],[SAP Contract number]],Shipments[[SAP Contract number]:[AAA Premium USD]],24,FALSE)</f>
        <v>#N/A</v>
      </c>
      <c r="X1008" s="34" t="e">
        <f>VLOOKUP(Allocation[[#This Row],[SAP Contract number]],Shipments[[SAP Contract number]:[RA Premium USD]],25,FALSE)</f>
        <v>#N/A</v>
      </c>
      <c r="Y1008" s="38">
        <f>Allocation[[#This Row],[Quantity Processed]]/Allocation[[#This Row],[Quantity allocated]]</f>
        <v>3.3333333333333335</v>
      </c>
      <c r="Z1008" s="34" t="b">
        <f>Allocation[[#This Row],[Quantity allocated]]&lt;=Allocation[[#This Row],[Quantity Processed]]</f>
        <v>1</v>
      </c>
    </row>
    <row r="1009" spans="1:26">
      <c r="A1009" s="247" t="s">
        <v>467</v>
      </c>
      <c r="B1009" s="210" t="s">
        <v>68</v>
      </c>
      <c r="C1009" s="254" t="s">
        <v>944</v>
      </c>
      <c r="D1009" s="255">
        <v>6177</v>
      </c>
      <c r="E1009" s="211" t="s">
        <v>1864</v>
      </c>
      <c r="F1009" s="212">
        <v>43538</v>
      </c>
      <c r="G1009" s="213">
        <v>2.68</v>
      </c>
      <c r="H1009" s="256">
        <v>1853</v>
      </c>
      <c r="I1009" s="214">
        <v>1444684</v>
      </c>
      <c r="J1009" s="215">
        <v>21600</v>
      </c>
      <c r="K1009" s="212">
        <v>43587</v>
      </c>
      <c r="L1009" s="211" t="s">
        <v>1867</v>
      </c>
      <c r="M1009" s="216">
        <v>4615445946</v>
      </c>
      <c r="N1009" s="212">
        <v>43682</v>
      </c>
      <c r="O1009" s="217">
        <v>3.9611999999999998</v>
      </c>
      <c r="P1009" s="219"/>
      <c r="Q1009" s="34">
        <f>SUMIF(Allocation[Delivery ID],Allocation[[#This Row],[Delivery ID]],Allocation[Quantity Processed])</f>
        <v>29990</v>
      </c>
      <c r="R1009" s="61">
        <f>Allocation[[#This Row],[Total volume used]]/VLOOKUP(Allocation[[#This Row],[Delivery ID]],Delivery[[Delivery ID]:[Quantity delivered]],3,FALSE)</f>
        <v>1</v>
      </c>
      <c r="S1009" s="34">
        <f>Allocation[[#This Row],[Quantity Processed]]/Allocation[[#This Row],[Dilution rate]]</f>
        <v>2304.8507462686566</v>
      </c>
      <c r="T1009" s="59">
        <f>SUMIF(Allocation[Delivery ID],Allocation[[#This Row],[Delivery ID]],Allocation[Quantity allocated])/SUMIF(Allocation[Delivery ID],Allocation[[#This Row],[Delivery ID]],Allocation[Volume available (kg)])</f>
        <v>0.71339638192221222</v>
      </c>
      <c r="U1009" s="61">
        <f>Allocation[[#This Row],[Total volume used]]/VLOOKUP(Allocation[[#This Row],[Delivery ID]],Delivery[[Delivery ID]:[Quantity delivered]],3,FALSE)</f>
        <v>1</v>
      </c>
      <c r="V1009" s="34" t="e">
        <f>VLOOKUP(Allocation[[#This Row],[SAP Contract number]],Shipments[[SAP Contract number]:[Contracted container weight]],2,FALSE)</f>
        <v>#N/A</v>
      </c>
      <c r="W1009" s="34" t="e">
        <f>VLOOKUP(Allocation[[#This Row],[SAP Contract number]],Shipments[[SAP Contract number]:[AAA Premium USD]],24,FALSE)</f>
        <v>#N/A</v>
      </c>
      <c r="X1009" s="34" t="e">
        <f>VLOOKUP(Allocation[[#This Row],[SAP Contract number]],Shipments[[SAP Contract number]:[RA Premium USD]],25,FALSE)</f>
        <v>#N/A</v>
      </c>
      <c r="Y1009" s="38">
        <f>Allocation[[#This Row],[Quantity Processed]]/Allocation[[#This Row],[Quantity allocated]]</f>
        <v>3.3335132218024826</v>
      </c>
      <c r="Z1009" s="34" t="b">
        <f>Allocation[[#This Row],[Quantity allocated]]&lt;=Allocation[[#This Row],[Quantity Processed]]</f>
        <v>1</v>
      </c>
    </row>
    <row r="1010" spans="1:26">
      <c r="A1010" s="247" t="s">
        <v>467</v>
      </c>
      <c r="B1010" s="210" t="s">
        <v>68</v>
      </c>
      <c r="C1010" s="254" t="s">
        <v>1620</v>
      </c>
      <c r="D1010" s="255">
        <v>85</v>
      </c>
      <c r="E1010" s="211" t="s">
        <v>1864</v>
      </c>
      <c r="F1010" s="212">
        <v>43538</v>
      </c>
      <c r="G1010" s="213">
        <v>2.68</v>
      </c>
      <c r="H1010" s="256">
        <v>28</v>
      </c>
      <c r="I1010" s="214">
        <v>1444684</v>
      </c>
      <c r="J1010" s="215">
        <v>21600</v>
      </c>
      <c r="K1010" s="212">
        <v>43587</v>
      </c>
      <c r="L1010" s="211" t="s">
        <v>1867</v>
      </c>
      <c r="M1010" s="216">
        <v>4615445946</v>
      </c>
      <c r="N1010" s="212">
        <v>43682</v>
      </c>
      <c r="O1010" s="217">
        <v>3.9611999999999998</v>
      </c>
      <c r="P1010" s="219"/>
      <c r="Q1010" s="34">
        <f>SUMIF(Allocation[Delivery ID],Allocation[[#This Row],[Delivery ID]],Allocation[Quantity Processed])</f>
        <v>595</v>
      </c>
      <c r="R1010" s="61">
        <f>Allocation[[#This Row],[Total volume used]]/VLOOKUP(Allocation[[#This Row],[Delivery ID]],Delivery[[Delivery ID]:[Quantity delivered]],3,FALSE)</f>
        <v>0.13947491795593062</v>
      </c>
      <c r="S1010" s="34">
        <f>Allocation[[#This Row],[Quantity Processed]]/Allocation[[#This Row],[Dilution rate]]</f>
        <v>31.71641791044776</v>
      </c>
      <c r="T1010" s="59">
        <f>SUMIF(Allocation[Delivery ID],Allocation[[#This Row],[Delivery ID]],Allocation[Quantity allocated])/SUMIF(Allocation[Delivery ID],Allocation[[#This Row],[Delivery ID]],Allocation[Volume available (kg)])</f>
        <v>0.73863829449507756</v>
      </c>
      <c r="U1010" s="61">
        <f>Allocation[[#This Row],[Total volume used]]/VLOOKUP(Allocation[[#This Row],[Delivery ID]],Delivery[[Delivery ID]:[Quantity delivered]],3,FALSE)</f>
        <v>0.13947491795593062</v>
      </c>
      <c r="V1010" s="34" t="e">
        <f>VLOOKUP(Allocation[[#This Row],[SAP Contract number]],Shipments[[SAP Contract number]:[Contracted container weight]],2,FALSE)</f>
        <v>#N/A</v>
      </c>
      <c r="W1010" s="34" t="e">
        <f>VLOOKUP(Allocation[[#This Row],[SAP Contract number]],Shipments[[SAP Contract number]:[AAA Premium USD]],24,FALSE)</f>
        <v>#N/A</v>
      </c>
      <c r="X1010" s="34" t="e">
        <f>VLOOKUP(Allocation[[#This Row],[SAP Contract number]],Shipments[[SAP Contract number]:[RA Premium USD]],25,FALSE)</f>
        <v>#N/A</v>
      </c>
      <c r="Y1010" s="38">
        <f>Allocation[[#This Row],[Quantity Processed]]/Allocation[[#This Row],[Quantity allocated]]</f>
        <v>3.0357142857142856</v>
      </c>
      <c r="Z1010" s="34" t="b">
        <f>Allocation[[#This Row],[Quantity allocated]]&lt;=Allocation[[#This Row],[Quantity Processed]]</f>
        <v>1</v>
      </c>
    </row>
    <row r="1011" spans="1:26">
      <c r="A1011" s="247" t="s">
        <v>467</v>
      </c>
      <c r="B1011" s="210" t="s">
        <v>68</v>
      </c>
      <c r="C1011" s="254" t="s">
        <v>957</v>
      </c>
      <c r="D1011" s="255">
        <v>7767</v>
      </c>
      <c r="E1011" s="211" t="s">
        <v>1864</v>
      </c>
      <c r="F1011" s="212">
        <v>43538</v>
      </c>
      <c r="G1011" s="213">
        <v>2.68</v>
      </c>
      <c r="H1011" s="256">
        <v>2563</v>
      </c>
      <c r="I1011" s="214">
        <v>1444684</v>
      </c>
      <c r="J1011" s="215">
        <v>21600</v>
      </c>
      <c r="K1011" s="212">
        <v>43587</v>
      </c>
      <c r="L1011" s="211" t="s">
        <v>1867</v>
      </c>
      <c r="M1011" s="216">
        <v>4615445946</v>
      </c>
      <c r="N1011" s="212">
        <v>43682</v>
      </c>
      <c r="O1011" s="217">
        <v>3.9611999999999998</v>
      </c>
      <c r="P1011" s="219"/>
      <c r="Q1011" s="34">
        <f>SUMIF(Allocation[Delivery ID],Allocation[[#This Row],[Delivery ID]],Allocation[Quantity Processed])</f>
        <v>24170</v>
      </c>
      <c r="R1011" s="61">
        <f>Allocation[[#This Row],[Total volume used]]/VLOOKUP(Allocation[[#This Row],[Delivery ID]],Delivery[[Delivery ID]:[Quantity delivered]],3,FALSE)</f>
        <v>1</v>
      </c>
      <c r="S1011" s="34">
        <f>Allocation[[#This Row],[Quantity Processed]]/Allocation[[#This Row],[Dilution rate]]</f>
        <v>2898.1343283582087</v>
      </c>
      <c r="T1011" s="59">
        <f>SUMIF(Allocation[Delivery ID],Allocation[[#This Row],[Delivery ID]],Allocation[Quantity allocated])/SUMIF(Allocation[Delivery ID],Allocation[[#This Row],[Delivery ID]],Allocation[Volume available (kg)])</f>
        <v>0.81588700460773944</v>
      </c>
      <c r="U1011" s="61">
        <f>Allocation[[#This Row],[Total volume used]]/VLOOKUP(Allocation[[#This Row],[Delivery ID]],Delivery[[Delivery ID]:[Quantity delivered]],3,FALSE)</f>
        <v>1</v>
      </c>
      <c r="V1011" s="34" t="e">
        <f>VLOOKUP(Allocation[[#This Row],[SAP Contract number]],Shipments[[SAP Contract number]:[Contracted container weight]],2,FALSE)</f>
        <v>#N/A</v>
      </c>
      <c r="W1011" s="34" t="e">
        <f>VLOOKUP(Allocation[[#This Row],[SAP Contract number]],Shipments[[SAP Contract number]:[AAA Premium USD]],24,FALSE)</f>
        <v>#N/A</v>
      </c>
      <c r="X1011" s="34" t="e">
        <f>VLOOKUP(Allocation[[#This Row],[SAP Contract number]],Shipments[[SAP Contract number]:[RA Premium USD]],25,FALSE)</f>
        <v>#N/A</v>
      </c>
      <c r="Y1011" s="38">
        <f>Allocation[[#This Row],[Quantity Processed]]/Allocation[[#This Row],[Quantity allocated]]</f>
        <v>3.0304330862270779</v>
      </c>
      <c r="Z1011" s="34" t="b">
        <f>Allocation[[#This Row],[Quantity allocated]]&lt;=Allocation[[#This Row],[Quantity Processed]]</f>
        <v>1</v>
      </c>
    </row>
    <row r="1012" spans="1:26">
      <c r="A1012" s="247" t="s">
        <v>467</v>
      </c>
      <c r="B1012" s="210" t="s">
        <v>68</v>
      </c>
      <c r="C1012" s="254" t="s">
        <v>961</v>
      </c>
      <c r="D1012" s="255">
        <v>889</v>
      </c>
      <c r="E1012" s="211" t="s">
        <v>1864</v>
      </c>
      <c r="F1012" s="212">
        <v>43538</v>
      </c>
      <c r="G1012" s="213">
        <v>2.68</v>
      </c>
      <c r="H1012" s="256">
        <v>329</v>
      </c>
      <c r="I1012" s="214">
        <v>1444684</v>
      </c>
      <c r="J1012" s="215">
        <v>21600</v>
      </c>
      <c r="K1012" s="212">
        <v>43587</v>
      </c>
      <c r="L1012" s="211" t="s">
        <v>1867</v>
      </c>
      <c r="M1012" s="216">
        <v>4615445946</v>
      </c>
      <c r="N1012" s="212">
        <v>43682</v>
      </c>
      <c r="O1012" s="217">
        <v>3.9611999999999998</v>
      </c>
      <c r="P1012" s="219"/>
      <c r="Q1012" s="34">
        <f>SUMIF(Allocation[Delivery ID],Allocation[[#This Row],[Delivery ID]],Allocation[Quantity Processed])</f>
        <v>2816</v>
      </c>
      <c r="R1012" s="61">
        <f>Allocation[[#This Row],[Total volume used]]/VLOOKUP(Allocation[[#This Row],[Delivery ID]],Delivery[[Delivery ID]:[Quantity delivered]],3,FALSE)</f>
        <v>0.46692090863870006</v>
      </c>
      <c r="S1012" s="34">
        <f>Allocation[[#This Row],[Quantity Processed]]/Allocation[[#This Row],[Dilution rate]]</f>
        <v>331.71641791044772</v>
      </c>
      <c r="T1012" s="59">
        <f>SUMIF(Allocation[Delivery ID],Allocation[[#This Row],[Delivery ID]],Allocation[Quantity allocated])/SUMIF(Allocation[Delivery ID],Allocation[[#This Row],[Delivery ID]],Allocation[Volume available (kg)])</f>
        <v>0.9947900889252449</v>
      </c>
      <c r="U1012" s="61">
        <f>Allocation[[#This Row],[Total volume used]]/VLOOKUP(Allocation[[#This Row],[Delivery ID]],Delivery[[Delivery ID]:[Quantity delivered]],3,FALSE)</f>
        <v>0.46692090863870006</v>
      </c>
      <c r="V1012" s="34" t="e">
        <f>VLOOKUP(Allocation[[#This Row],[SAP Contract number]],Shipments[[SAP Contract number]:[Contracted container weight]],2,FALSE)</f>
        <v>#N/A</v>
      </c>
      <c r="W1012" s="34" t="e">
        <f>VLOOKUP(Allocation[[#This Row],[SAP Contract number]],Shipments[[SAP Contract number]:[AAA Premium USD]],24,FALSE)</f>
        <v>#N/A</v>
      </c>
      <c r="X1012" s="34" t="e">
        <f>VLOOKUP(Allocation[[#This Row],[SAP Contract number]],Shipments[[SAP Contract number]:[RA Premium USD]],25,FALSE)</f>
        <v>#N/A</v>
      </c>
      <c r="Y1012" s="38">
        <f>Allocation[[#This Row],[Quantity Processed]]/Allocation[[#This Row],[Quantity allocated]]</f>
        <v>2.7021276595744679</v>
      </c>
      <c r="Z1012" s="34" t="b">
        <f>Allocation[[#This Row],[Quantity allocated]]&lt;=Allocation[[#This Row],[Quantity Processed]]</f>
        <v>1</v>
      </c>
    </row>
    <row r="1013" spans="1:26">
      <c r="A1013" s="247" t="s">
        <v>467</v>
      </c>
      <c r="B1013" s="210" t="s">
        <v>68</v>
      </c>
      <c r="C1013" s="254" t="s">
        <v>1621</v>
      </c>
      <c r="D1013" s="255">
        <v>121</v>
      </c>
      <c r="E1013" s="211" t="s">
        <v>1864</v>
      </c>
      <c r="F1013" s="212">
        <v>43538</v>
      </c>
      <c r="G1013" s="213">
        <v>2.68</v>
      </c>
      <c r="H1013" s="256">
        <v>40</v>
      </c>
      <c r="I1013" s="214">
        <v>1444684</v>
      </c>
      <c r="J1013" s="215">
        <v>21600</v>
      </c>
      <c r="K1013" s="212">
        <v>43587</v>
      </c>
      <c r="L1013" s="211" t="s">
        <v>1867</v>
      </c>
      <c r="M1013" s="216">
        <v>4615445946</v>
      </c>
      <c r="N1013" s="212">
        <v>43682</v>
      </c>
      <c r="O1013" s="217">
        <v>3.9611999999999998</v>
      </c>
      <c r="P1013" s="219"/>
      <c r="Q1013" s="34">
        <f>SUMIF(Allocation[Delivery ID],Allocation[[#This Row],[Delivery ID]],Allocation[Quantity Processed])</f>
        <v>833</v>
      </c>
      <c r="R1013" s="61">
        <f>Allocation[[#This Row],[Total volume used]]/VLOOKUP(Allocation[[#This Row],[Delivery ID]],Delivery[[Delivery ID]:[Quantity delivered]],3,FALSE)</f>
        <v>0.13957774798927614</v>
      </c>
      <c r="S1013" s="34">
        <f>Allocation[[#This Row],[Quantity Processed]]/Allocation[[#This Row],[Dilution rate]]</f>
        <v>45.149253731343279</v>
      </c>
      <c r="T1013" s="59">
        <f>SUMIF(Allocation[Delivery ID],Allocation[[#This Row],[Delivery ID]],Allocation[Quantity allocated])/SUMIF(Allocation[Delivery ID],Allocation[[#This Row],[Delivery ID]],Allocation[Volume available (kg)])</f>
        <v>0.74075001016675313</v>
      </c>
      <c r="U1013" s="61">
        <f>Allocation[[#This Row],[Total volume used]]/VLOOKUP(Allocation[[#This Row],[Delivery ID]],Delivery[[Delivery ID]:[Quantity delivered]],3,FALSE)</f>
        <v>0.13957774798927614</v>
      </c>
      <c r="V1013" s="34" t="e">
        <f>VLOOKUP(Allocation[[#This Row],[SAP Contract number]],Shipments[[SAP Contract number]:[Contracted container weight]],2,FALSE)</f>
        <v>#N/A</v>
      </c>
      <c r="W1013" s="34" t="e">
        <f>VLOOKUP(Allocation[[#This Row],[SAP Contract number]],Shipments[[SAP Contract number]:[AAA Premium USD]],24,FALSE)</f>
        <v>#N/A</v>
      </c>
      <c r="X1013" s="34" t="e">
        <f>VLOOKUP(Allocation[[#This Row],[SAP Contract number]],Shipments[[SAP Contract number]:[RA Premium USD]],25,FALSE)</f>
        <v>#N/A</v>
      </c>
      <c r="Y1013" s="38">
        <f>Allocation[[#This Row],[Quantity Processed]]/Allocation[[#This Row],[Quantity allocated]]</f>
        <v>3.0249999999999999</v>
      </c>
      <c r="Z1013" s="34" t="b">
        <f>Allocation[[#This Row],[Quantity allocated]]&lt;=Allocation[[#This Row],[Quantity Processed]]</f>
        <v>1</v>
      </c>
    </row>
    <row r="1014" spans="1:26">
      <c r="A1014" s="247" t="s">
        <v>467</v>
      </c>
      <c r="B1014" s="210" t="s">
        <v>68</v>
      </c>
      <c r="C1014" s="254" t="s">
        <v>967</v>
      </c>
      <c r="D1014" s="255">
        <v>4494</v>
      </c>
      <c r="E1014" s="211" t="s">
        <v>1864</v>
      </c>
      <c r="F1014" s="212">
        <v>43538</v>
      </c>
      <c r="G1014" s="213">
        <v>2.68</v>
      </c>
      <c r="H1014" s="256">
        <v>1483</v>
      </c>
      <c r="I1014" s="214">
        <v>1444684</v>
      </c>
      <c r="J1014" s="215">
        <v>21600</v>
      </c>
      <c r="K1014" s="212">
        <v>43587</v>
      </c>
      <c r="L1014" s="211" t="s">
        <v>1867</v>
      </c>
      <c r="M1014" s="216">
        <v>4615445946</v>
      </c>
      <c r="N1014" s="212">
        <v>43682</v>
      </c>
      <c r="O1014" s="217">
        <v>3.9611999999999998</v>
      </c>
      <c r="P1014" s="219"/>
      <c r="Q1014" s="34">
        <f>SUMIF(Allocation[Delivery ID],Allocation[[#This Row],[Delivery ID]],Allocation[Quantity Processed])</f>
        <v>13980</v>
      </c>
      <c r="R1014" s="61">
        <f>Allocation[[#This Row],[Total volume used]]/VLOOKUP(Allocation[[#This Row],[Delivery ID]],Delivery[[Delivery ID]:[Quantity delivered]],3,FALSE)</f>
        <v>1</v>
      </c>
      <c r="S1014" s="34">
        <f>Allocation[[#This Row],[Quantity Processed]]/Allocation[[#This Row],[Dilution rate]]</f>
        <v>1676.8656716417909</v>
      </c>
      <c r="T1014" s="59">
        <f>SUMIF(Allocation[Delivery ID],Allocation[[#This Row],[Delivery ID]],Allocation[Quantity allocated])/SUMIF(Allocation[Delivery ID],Allocation[[#This Row],[Delivery ID]],Allocation[Volume available (kg)])</f>
        <v>0.81689670470480924</v>
      </c>
      <c r="U1014" s="61">
        <f>Allocation[[#This Row],[Total volume used]]/VLOOKUP(Allocation[[#This Row],[Delivery ID]],Delivery[[Delivery ID]:[Quantity delivered]],3,FALSE)</f>
        <v>1</v>
      </c>
      <c r="V1014" s="34" t="e">
        <f>VLOOKUP(Allocation[[#This Row],[SAP Contract number]],Shipments[[SAP Contract number]:[Contracted container weight]],2,FALSE)</f>
        <v>#N/A</v>
      </c>
      <c r="W1014" s="34" t="e">
        <f>VLOOKUP(Allocation[[#This Row],[SAP Contract number]],Shipments[[SAP Contract number]:[AAA Premium USD]],24,FALSE)</f>
        <v>#N/A</v>
      </c>
      <c r="X1014" s="34" t="e">
        <f>VLOOKUP(Allocation[[#This Row],[SAP Contract number]],Shipments[[SAP Contract number]:[RA Premium USD]],25,FALSE)</f>
        <v>#N/A</v>
      </c>
      <c r="Y1014" s="38">
        <f>Allocation[[#This Row],[Quantity Processed]]/Allocation[[#This Row],[Quantity allocated]]</f>
        <v>3.0303438975050572</v>
      </c>
      <c r="Z1014" s="34" t="b">
        <f>Allocation[[#This Row],[Quantity allocated]]&lt;=Allocation[[#This Row],[Quantity Processed]]</f>
        <v>1</v>
      </c>
    </row>
    <row r="1015" spans="1:26">
      <c r="A1015" s="247" t="s">
        <v>467</v>
      </c>
      <c r="B1015" s="210" t="s">
        <v>68</v>
      </c>
      <c r="C1015" s="254" t="s">
        <v>973</v>
      </c>
      <c r="D1015" s="255">
        <v>1100</v>
      </c>
      <c r="E1015" s="211" t="s">
        <v>1864</v>
      </c>
      <c r="F1015" s="212">
        <v>43538</v>
      </c>
      <c r="G1015" s="213">
        <v>2.68</v>
      </c>
      <c r="H1015" s="256">
        <v>429</v>
      </c>
      <c r="I1015" s="214">
        <v>1444684</v>
      </c>
      <c r="J1015" s="215">
        <v>21600</v>
      </c>
      <c r="K1015" s="212">
        <v>43587</v>
      </c>
      <c r="L1015" s="211" t="s">
        <v>1867</v>
      </c>
      <c r="M1015" s="216">
        <v>4615445946</v>
      </c>
      <c r="N1015" s="212">
        <v>43682</v>
      </c>
      <c r="O1015" s="217">
        <v>3.9611999999999998</v>
      </c>
      <c r="P1015" s="219"/>
      <c r="Q1015" s="34">
        <f>SUMIF(Allocation[Delivery ID],Allocation[[#This Row],[Delivery ID]],Allocation[Quantity Processed])</f>
        <v>18984</v>
      </c>
      <c r="R1015" s="61">
        <f>Allocation[[#This Row],[Total volume used]]/VLOOKUP(Allocation[[#This Row],[Delivery ID]],Delivery[[Delivery ID]:[Quantity delivered]],3,FALSE)</f>
        <v>0.63174708818635605</v>
      </c>
      <c r="S1015" s="34">
        <f>Allocation[[#This Row],[Quantity Processed]]/Allocation[[#This Row],[Dilution rate]]</f>
        <v>410.44776119402985</v>
      </c>
      <c r="T1015" s="59">
        <f>SUMIF(Allocation[Delivery ID],Allocation[[#This Row],[Delivery ID]],Allocation[Quantity allocated])/SUMIF(Allocation[Delivery ID],Allocation[[#This Row],[Delivery ID]],Allocation[Volume available (kg)])</f>
        <v>0.86980715245582985</v>
      </c>
      <c r="U1015" s="61">
        <f>Allocation[[#This Row],[Total volume used]]/VLOOKUP(Allocation[[#This Row],[Delivery ID]],Delivery[[Delivery ID]:[Quantity delivered]],3,FALSE)</f>
        <v>0.63174708818635605</v>
      </c>
      <c r="V1015" s="34" t="e">
        <f>VLOOKUP(Allocation[[#This Row],[SAP Contract number]],Shipments[[SAP Contract number]:[Contracted container weight]],2,FALSE)</f>
        <v>#N/A</v>
      </c>
      <c r="W1015" s="34" t="e">
        <f>VLOOKUP(Allocation[[#This Row],[SAP Contract number]],Shipments[[SAP Contract number]:[AAA Premium USD]],24,FALSE)</f>
        <v>#N/A</v>
      </c>
      <c r="X1015" s="34" t="e">
        <f>VLOOKUP(Allocation[[#This Row],[SAP Contract number]],Shipments[[SAP Contract number]:[RA Premium USD]],25,FALSE)</f>
        <v>#N/A</v>
      </c>
      <c r="Y1015" s="38">
        <f>Allocation[[#This Row],[Quantity Processed]]/Allocation[[#This Row],[Quantity allocated]]</f>
        <v>2.5641025641025643</v>
      </c>
      <c r="Z1015" s="34" t="b">
        <f>Allocation[[#This Row],[Quantity allocated]]&lt;=Allocation[[#This Row],[Quantity Processed]]</f>
        <v>1</v>
      </c>
    </row>
    <row r="1016" spans="1:26">
      <c r="A1016" s="247" t="s">
        <v>467</v>
      </c>
      <c r="B1016" s="210" t="s">
        <v>68</v>
      </c>
      <c r="C1016" s="254" t="s">
        <v>976</v>
      </c>
      <c r="D1016" s="255">
        <v>372</v>
      </c>
      <c r="E1016" s="211" t="s">
        <v>1864</v>
      </c>
      <c r="F1016" s="212">
        <v>43538</v>
      </c>
      <c r="G1016" s="213">
        <v>2.68</v>
      </c>
      <c r="H1016" s="256">
        <v>145</v>
      </c>
      <c r="I1016" s="214">
        <v>1444684</v>
      </c>
      <c r="J1016" s="215">
        <v>21600</v>
      </c>
      <c r="K1016" s="212">
        <v>43587</v>
      </c>
      <c r="L1016" s="211" t="s">
        <v>1867</v>
      </c>
      <c r="M1016" s="216">
        <v>4615445946</v>
      </c>
      <c r="N1016" s="212">
        <v>43682</v>
      </c>
      <c r="O1016" s="217">
        <v>3.9611999999999998</v>
      </c>
      <c r="P1016" s="219"/>
      <c r="Q1016" s="34">
        <f>SUMIF(Allocation[Delivery ID],Allocation[[#This Row],[Delivery ID]],Allocation[Quantity Processed])</f>
        <v>5762</v>
      </c>
      <c r="R1016" s="61">
        <f>Allocation[[#This Row],[Total volume used]]/VLOOKUP(Allocation[[#This Row],[Delivery ID]],Delivery[[Delivery ID]:[Quantity delivered]],3,FALSE)</f>
        <v>0.56517900931829324</v>
      </c>
      <c r="S1016" s="34">
        <f>Allocation[[#This Row],[Quantity Processed]]/Allocation[[#This Row],[Dilution rate]]</f>
        <v>138.80597014925371</v>
      </c>
      <c r="T1016" s="59">
        <f>SUMIF(Allocation[Delivery ID],Allocation[[#This Row],[Delivery ID]],Allocation[Quantity allocated])/SUMIF(Allocation[Delivery ID],Allocation[[#This Row],[Delivery ID]],Allocation[Volume available (kg)])</f>
        <v>0.8530439681206371</v>
      </c>
      <c r="U1016" s="61">
        <f>Allocation[[#This Row],[Total volume used]]/VLOOKUP(Allocation[[#This Row],[Delivery ID]],Delivery[[Delivery ID]:[Quantity delivered]],3,FALSE)</f>
        <v>0.56517900931829324</v>
      </c>
      <c r="V1016" s="34" t="e">
        <f>VLOOKUP(Allocation[[#This Row],[SAP Contract number]],Shipments[[SAP Contract number]:[Contracted container weight]],2,FALSE)</f>
        <v>#N/A</v>
      </c>
      <c r="W1016" s="34" t="e">
        <f>VLOOKUP(Allocation[[#This Row],[SAP Contract number]],Shipments[[SAP Contract number]:[AAA Premium USD]],24,FALSE)</f>
        <v>#N/A</v>
      </c>
      <c r="X1016" s="34" t="e">
        <f>VLOOKUP(Allocation[[#This Row],[SAP Contract number]],Shipments[[SAP Contract number]:[RA Premium USD]],25,FALSE)</f>
        <v>#N/A</v>
      </c>
      <c r="Y1016" s="38">
        <f>Allocation[[#This Row],[Quantity Processed]]/Allocation[[#This Row],[Quantity allocated]]</f>
        <v>2.5655172413793101</v>
      </c>
      <c r="Z1016" s="34" t="b">
        <f>Allocation[[#This Row],[Quantity allocated]]&lt;=Allocation[[#This Row],[Quantity Processed]]</f>
        <v>1</v>
      </c>
    </row>
    <row r="1017" spans="1:26">
      <c r="A1017" s="247" t="s">
        <v>467</v>
      </c>
      <c r="B1017" s="210" t="s">
        <v>68</v>
      </c>
      <c r="C1017" s="254" t="s">
        <v>978</v>
      </c>
      <c r="D1017" s="255">
        <v>648</v>
      </c>
      <c r="E1017" s="211" t="s">
        <v>1864</v>
      </c>
      <c r="F1017" s="212">
        <v>43538</v>
      </c>
      <c r="G1017" s="213">
        <v>2.68</v>
      </c>
      <c r="H1017" s="256">
        <v>214</v>
      </c>
      <c r="I1017" s="214">
        <v>1444684</v>
      </c>
      <c r="J1017" s="215">
        <v>21600</v>
      </c>
      <c r="K1017" s="212">
        <v>43587</v>
      </c>
      <c r="L1017" s="211" t="s">
        <v>1867</v>
      </c>
      <c r="M1017" s="216">
        <v>4615445946</v>
      </c>
      <c r="N1017" s="212">
        <v>43682</v>
      </c>
      <c r="O1017" s="217">
        <v>3.9611999999999998</v>
      </c>
      <c r="P1017" s="219"/>
      <c r="Q1017" s="34">
        <f>SUMIF(Allocation[Delivery ID],Allocation[[#This Row],[Delivery ID]],Allocation[Quantity Processed])</f>
        <v>10932</v>
      </c>
      <c r="R1017" s="61">
        <f>Allocation[[#This Row],[Total volume used]]/VLOOKUP(Allocation[[#This Row],[Delivery ID]],Delivery[[Delivery ID]:[Quantity delivered]],3,FALSE)</f>
        <v>0.72807192807192811</v>
      </c>
      <c r="S1017" s="34">
        <f>Allocation[[#This Row],[Quantity Processed]]/Allocation[[#This Row],[Dilution rate]]</f>
        <v>241.79104477611938</v>
      </c>
      <c r="T1017" s="59">
        <f>SUMIF(Allocation[Delivery ID],Allocation[[#This Row],[Delivery ID]],Allocation[Quantity allocated])/SUMIF(Allocation[Delivery ID],Allocation[[#This Row],[Delivery ID]],Allocation[Volume available (kg)])</f>
        <v>0.66709261121584584</v>
      </c>
      <c r="U1017" s="61">
        <f>Allocation[[#This Row],[Total volume used]]/VLOOKUP(Allocation[[#This Row],[Delivery ID]],Delivery[[Delivery ID]:[Quantity delivered]],3,FALSE)</f>
        <v>0.72807192807192811</v>
      </c>
      <c r="V1017" s="34" t="e">
        <f>VLOOKUP(Allocation[[#This Row],[SAP Contract number]],Shipments[[SAP Contract number]:[Contracted container weight]],2,FALSE)</f>
        <v>#N/A</v>
      </c>
      <c r="W1017" s="34" t="e">
        <f>VLOOKUP(Allocation[[#This Row],[SAP Contract number]],Shipments[[SAP Contract number]:[AAA Premium USD]],24,FALSE)</f>
        <v>#N/A</v>
      </c>
      <c r="X1017" s="34" t="e">
        <f>VLOOKUP(Allocation[[#This Row],[SAP Contract number]],Shipments[[SAP Contract number]:[RA Premium USD]],25,FALSE)</f>
        <v>#N/A</v>
      </c>
      <c r="Y1017" s="38">
        <f>Allocation[[#This Row],[Quantity Processed]]/Allocation[[#This Row],[Quantity allocated]]</f>
        <v>3.02803738317757</v>
      </c>
      <c r="Z1017" s="34" t="b">
        <f>Allocation[[#This Row],[Quantity allocated]]&lt;=Allocation[[#This Row],[Quantity Processed]]</f>
        <v>1</v>
      </c>
    </row>
    <row r="1018" spans="1:26">
      <c r="A1018" s="247" t="s">
        <v>467</v>
      </c>
      <c r="B1018" s="210" t="s">
        <v>68</v>
      </c>
      <c r="C1018" s="254" t="s">
        <v>984</v>
      </c>
      <c r="D1018" s="255">
        <v>1036</v>
      </c>
      <c r="E1018" s="211" t="s">
        <v>1864</v>
      </c>
      <c r="F1018" s="212">
        <v>43538</v>
      </c>
      <c r="G1018" s="213">
        <v>2.68</v>
      </c>
      <c r="H1018" s="256">
        <v>342</v>
      </c>
      <c r="I1018" s="214">
        <v>1444684</v>
      </c>
      <c r="J1018" s="215">
        <v>21600</v>
      </c>
      <c r="K1018" s="212">
        <v>43587</v>
      </c>
      <c r="L1018" s="211" t="s">
        <v>1867</v>
      </c>
      <c r="M1018" s="216">
        <v>4615445946</v>
      </c>
      <c r="N1018" s="212">
        <v>43682</v>
      </c>
      <c r="O1018" s="217">
        <v>3.9611999999999998</v>
      </c>
      <c r="P1018" s="219"/>
      <c r="Q1018" s="34">
        <f>SUMIF(Allocation[Delivery ID],Allocation[[#This Row],[Delivery ID]],Allocation[Quantity Processed])</f>
        <v>16184</v>
      </c>
      <c r="R1018" s="61">
        <f>Allocation[[#This Row],[Total volume used]]/VLOOKUP(Allocation[[#This Row],[Delivery ID]],Delivery[[Delivery ID]:[Quantity delivered]],3,FALSE)</f>
        <v>0.675741127348643</v>
      </c>
      <c r="S1018" s="34">
        <f>Allocation[[#This Row],[Quantity Processed]]/Allocation[[#This Row],[Dilution rate]]</f>
        <v>386.56716417910445</v>
      </c>
      <c r="T1018" s="59">
        <f>SUMIF(Allocation[Delivery ID],Allocation[[#This Row],[Delivery ID]],Allocation[Quantity allocated])/SUMIF(Allocation[Delivery ID],Allocation[[#This Row],[Delivery ID]],Allocation[Volume available (kg)])</f>
        <v>0.72306862817030149</v>
      </c>
      <c r="U1018" s="61">
        <f>Allocation[[#This Row],[Total volume used]]/VLOOKUP(Allocation[[#This Row],[Delivery ID]],Delivery[[Delivery ID]:[Quantity delivered]],3,FALSE)</f>
        <v>0.675741127348643</v>
      </c>
      <c r="V1018" s="34" t="e">
        <f>VLOOKUP(Allocation[[#This Row],[SAP Contract number]],Shipments[[SAP Contract number]:[Contracted container weight]],2,FALSE)</f>
        <v>#N/A</v>
      </c>
      <c r="W1018" s="34" t="e">
        <f>VLOOKUP(Allocation[[#This Row],[SAP Contract number]],Shipments[[SAP Contract number]:[AAA Premium USD]],24,FALSE)</f>
        <v>#N/A</v>
      </c>
      <c r="X1018" s="34" t="e">
        <f>VLOOKUP(Allocation[[#This Row],[SAP Contract number]],Shipments[[SAP Contract number]:[RA Premium USD]],25,FALSE)</f>
        <v>#N/A</v>
      </c>
      <c r="Y1018" s="38">
        <f>Allocation[[#This Row],[Quantity Processed]]/Allocation[[#This Row],[Quantity allocated]]</f>
        <v>3.0292397660818713</v>
      </c>
      <c r="Z1018" s="34" t="b">
        <f>Allocation[[#This Row],[Quantity allocated]]&lt;=Allocation[[#This Row],[Quantity Processed]]</f>
        <v>1</v>
      </c>
    </row>
    <row r="1019" spans="1:26">
      <c r="A1019" s="247" t="s">
        <v>467</v>
      </c>
      <c r="B1019" s="210" t="s">
        <v>68</v>
      </c>
      <c r="C1019" s="254" t="s">
        <v>985</v>
      </c>
      <c r="D1019" s="255">
        <v>451</v>
      </c>
      <c r="E1019" s="211" t="s">
        <v>1864</v>
      </c>
      <c r="F1019" s="212">
        <v>43538</v>
      </c>
      <c r="G1019" s="213">
        <v>2.68</v>
      </c>
      <c r="H1019" s="256">
        <v>158</v>
      </c>
      <c r="I1019" s="214">
        <v>1444684</v>
      </c>
      <c r="J1019" s="215">
        <v>21600</v>
      </c>
      <c r="K1019" s="212">
        <v>43587</v>
      </c>
      <c r="L1019" s="211" t="s">
        <v>1867</v>
      </c>
      <c r="M1019" s="216">
        <v>4615445946</v>
      </c>
      <c r="N1019" s="212">
        <v>43682</v>
      </c>
      <c r="O1019" s="217">
        <v>3.9611999999999998</v>
      </c>
      <c r="P1019" s="219"/>
      <c r="Q1019" s="34">
        <f>SUMIF(Allocation[Delivery ID],Allocation[[#This Row],[Delivery ID]],Allocation[Quantity Processed])</f>
        <v>7053</v>
      </c>
      <c r="R1019" s="61">
        <f>Allocation[[#This Row],[Total volume used]]/VLOOKUP(Allocation[[#This Row],[Delivery ID]],Delivery[[Delivery ID]:[Quantity delivered]],3,FALSE)</f>
        <v>0.63770343580470168</v>
      </c>
      <c r="S1019" s="34">
        <f>Allocation[[#This Row],[Quantity Processed]]/Allocation[[#This Row],[Dilution rate]]</f>
        <v>168.28358208955223</v>
      </c>
      <c r="T1019" s="59">
        <f>SUMIF(Allocation[Delivery ID],Allocation[[#This Row],[Delivery ID]],Allocation[Quantity allocated])/SUMIF(Allocation[Delivery ID],Allocation[[#This Row],[Delivery ID]],Allocation[Volume available (kg)])</f>
        <v>0.76690120298999431</v>
      </c>
      <c r="U1019" s="61">
        <f>Allocation[[#This Row],[Total volume used]]/VLOOKUP(Allocation[[#This Row],[Delivery ID]],Delivery[[Delivery ID]:[Quantity delivered]],3,FALSE)</f>
        <v>0.63770343580470168</v>
      </c>
      <c r="V1019" s="34" t="e">
        <f>VLOOKUP(Allocation[[#This Row],[SAP Contract number]],Shipments[[SAP Contract number]:[Contracted container weight]],2,FALSE)</f>
        <v>#N/A</v>
      </c>
      <c r="W1019" s="34" t="e">
        <f>VLOOKUP(Allocation[[#This Row],[SAP Contract number]],Shipments[[SAP Contract number]:[AAA Premium USD]],24,FALSE)</f>
        <v>#N/A</v>
      </c>
      <c r="X1019" s="34" t="e">
        <f>VLOOKUP(Allocation[[#This Row],[SAP Contract number]],Shipments[[SAP Contract number]:[RA Premium USD]],25,FALSE)</f>
        <v>#N/A</v>
      </c>
      <c r="Y1019" s="38">
        <f>Allocation[[#This Row],[Quantity Processed]]/Allocation[[#This Row],[Quantity allocated]]</f>
        <v>2.8544303797468356</v>
      </c>
      <c r="Z1019" s="34" t="b">
        <f>Allocation[[#This Row],[Quantity allocated]]&lt;=Allocation[[#This Row],[Quantity Processed]]</f>
        <v>1</v>
      </c>
    </row>
    <row r="1020" spans="1:26">
      <c r="A1020" s="247" t="s">
        <v>467</v>
      </c>
      <c r="B1020" s="210" t="s">
        <v>68</v>
      </c>
      <c r="C1020" s="254" t="s">
        <v>987</v>
      </c>
      <c r="D1020" s="255">
        <v>215</v>
      </c>
      <c r="E1020" s="211" t="s">
        <v>1864</v>
      </c>
      <c r="F1020" s="212">
        <v>43538</v>
      </c>
      <c r="G1020" s="213">
        <v>2.68</v>
      </c>
      <c r="H1020" s="256">
        <v>73</v>
      </c>
      <c r="I1020" s="214">
        <v>1444684</v>
      </c>
      <c r="J1020" s="215">
        <v>21600</v>
      </c>
      <c r="K1020" s="212">
        <v>43587</v>
      </c>
      <c r="L1020" s="211" t="s">
        <v>1867</v>
      </c>
      <c r="M1020" s="216">
        <v>4615445946</v>
      </c>
      <c r="N1020" s="212">
        <v>43682</v>
      </c>
      <c r="O1020" s="217">
        <v>3.9611999999999998</v>
      </c>
      <c r="P1020" s="219"/>
      <c r="Q1020" s="34">
        <f>SUMIF(Allocation[Delivery ID],Allocation[[#This Row],[Delivery ID]],Allocation[Quantity Processed])</f>
        <v>3339</v>
      </c>
      <c r="R1020" s="61">
        <f>Allocation[[#This Row],[Total volume used]]/VLOOKUP(Allocation[[#This Row],[Delivery ID]],Delivery[[Delivery ID]:[Quantity delivered]],3,FALSE)</f>
        <v>0.65573448546739987</v>
      </c>
      <c r="S1020" s="34">
        <f>Allocation[[#This Row],[Quantity Processed]]/Allocation[[#This Row],[Dilution rate]]</f>
        <v>80.223880597014926</v>
      </c>
      <c r="T1020" s="59">
        <f>SUMIF(Allocation[Delivery ID],Allocation[[#This Row],[Delivery ID]],Allocation[Quantity allocated])/SUMIF(Allocation[Delivery ID],Allocation[[#This Row],[Delivery ID]],Allocation[Volume available (kg)])</f>
        <v>0.74487926835387097</v>
      </c>
      <c r="U1020" s="61">
        <f>Allocation[[#This Row],[Total volume used]]/VLOOKUP(Allocation[[#This Row],[Delivery ID]],Delivery[[Delivery ID]:[Quantity delivered]],3,FALSE)</f>
        <v>0.65573448546739987</v>
      </c>
      <c r="V1020" s="34" t="e">
        <f>VLOOKUP(Allocation[[#This Row],[SAP Contract number]],Shipments[[SAP Contract number]:[Contracted container weight]],2,FALSE)</f>
        <v>#N/A</v>
      </c>
      <c r="W1020" s="34" t="e">
        <f>VLOOKUP(Allocation[[#This Row],[SAP Contract number]],Shipments[[SAP Contract number]:[AAA Premium USD]],24,FALSE)</f>
        <v>#N/A</v>
      </c>
      <c r="X1020" s="34" t="e">
        <f>VLOOKUP(Allocation[[#This Row],[SAP Contract number]],Shipments[[SAP Contract number]:[RA Premium USD]],25,FALSE)</f>
        <v>#N/A</v>
      </c>
      <c r="Y1020" s="38">
        <f>Allocation[[#This Row],[Quantity Processed]]/Allocation[[#This Row],[Quantity allocated]]</f>
        <v>2.9452054794520546</v>
      </c>
      <c r="Z1020" s="34" t="b">
        <f>Allocation[[#This Row],[Quantity allocated]]&lt;=Allocation[[#This Row],[Quantity Processed]]</f>
        <v>1</v>
      </c>
    </row>
    <row r="1021" spans="1:26">
      <c r="A1021" s="247" t="s">
        <v>467</v>
      </c>
      <c r="B1021" s="210" t="s">
        <v>68</v>
      </c>
      <c r="C1021" s="254" t="s">
        <v>989</v>
      </c>
      <c r="D1021" s="255">
        <v>218</v>
      </c>
      <c r="E1021" s="211" t="s">
        <v>1864</v>
      </c>
      <c r="F1021" s="212">
        <v>43538</v>
      </c>
      <c r="G1021" s="213">
        <v>2.68</v>
      </c>
      <c r="H1021" s="256">
        <v>74</v>
      </c>
      <c r="I1021" s="214">
        <v>1444684</v>
      </c>
      <c r="J1021" s="215">
        <v>21600</v>
      </c>
      <c r="K1021" s="212">
        <v>43587</v>
      </c>
      <c r="L1021" s="211" t="s">
        <v>1867</v>
      </c>
      <c r="M1021" s="216">
        <v>4615445946</v>
      </c>
      <c r="N1021" s="212">
        <v>43682</v>
      </c>
      <c r="O1021" s="217">
        <v>3.9611999999999998</v>
      </c>
      <c r="P1021" s="219"/>
      <c r="Q1021" s="34">
        <f>SUMIF(Allocation[Delivery ID],Allocation[[#This Row],[Delivery ID]],Allocation[Quantity Processed])</f>
        <v>3415</v>
      </c>
      <c r="R1021" s="61">
        <f>Allocation[[#This Row],[Total volume used]]/VLOOKUP(Allocation[[#This Row],[Delivery ID]],Delivery[[Delivery ID]:[Quantity delivered]],3,FALSE)</f>
        <v>0.65521872601688413</v>
      </c>
      <c r="S1021" s="34">
        <f>Allocation[[#This Row],[Quantity Processed]]/Allocation[[#This Row],[Dilution rate]]</f>
        <v>81.343283582089541</v>
      </c>
      <c r="T1021" s="59">
        <f>SUMIF(Allocation[Delivery ID],Allocation[[#This Row],[Delivery ID]],Allocation[Quantity allocated])/SUMIF(Allocation[Delivery ID],Allocation[[#This Row],[Delivery ID]],Allocation[Volume available (kg)])</f>
        <v>0.74479024256456761</v>
      </c>
      <c r="U1021" s="61">
        <f>Allocation[[#This Row],[Total volume used]]/VLOOKUP(Allocation[[#This Row],[Delivery ID]],Delivery[[Delivery ID]:[Quantity delivered]],3,FALSE)</f>
        <v>0.65521872601688413</v>
      </c>
      <c r="V1021" s="34" t="e">
        <f>VLOOKUP(Allocation[[#This Row],[SAP Contract number]],Shipments[[SAP Contract number]:[Contracted container weight]],2,FALSE)</f>
        <v>#N/A</v>
      </c>
      <c r="W1021" s="34" t="e">
        <f>VLOOKUP(Allocation[[#This Row],[SAP Contract number]],Shipments[[SAP Contract number]:[AAA Premium USD]],24,FALSE)</f>
        <v>#N/A</v>
      </c>
      <c r="X1021" s="34" t="e">
        <f>VLOOKUP(Allocation[[#This Row],[SAP Contract number]],Shipments[[SAP Contract number]:[RA Premium USD]],25,FALSE)</f>
        <v>#N/A</v>
      </c>
      <c r="Y1021" s="38">
        <f>Allocation[[#This Row],[Quantity Processed]]/Allocation[[#This Row],[Quantity allocated]]</f>
        <v>2.9459459459459461</v>
      </c>
      <c r="Z1021" s="34" t="b">
        <f>Allocation[[#This Row],[Quantity allocated]]&lt;=Allocation[[#This Row],[Quantity Processed]]</f>
        <v>1</v>
      </c>
    </row>
    <row r="1022" spans="1:26">
      <c r="A1022" s="247" t="s">
        <v>467</v>
      </c>
      <c r="B1022" s="210" t="s">
        <v>68</v>
      </c>
      <c r="C1022" s="254" t="s">
        <v>990</v>
      </c>
      <c r="D1022" s="255">
        <v>271</v>
      </c>
      <c r="E1022" s="211" t="s">
        <v>1864</v>
      </c>
      <c r="F1022" s="212">
        <v>43538</v>
      </c>
      <c r="G1022" s="213">
        <v>2.68</v>
      </c>
      <c r="H1022" s="256">
        <v>92</v>
      </c>
      <c r="I1022" s="214">
        <v>1444684</v>
      </c>
      <c r="J1022" s="215">
        <v>21600</v>
      </c>
      <c r="K1022" s="212">
        <v>43587</v>
      </c>
      <c r="L1022" s="211" t="s">
        <v>1867</v>
      </c>
      <c r="M1022" s="216">
        <v>4615445946</v>
      </c>
      <c r="N1022" s="212">
        <v>43682</v>
      </c>
      <c r="O1022" s="217">
        <v>3.9611999999999998</v>
      </c>
      <c r="P1022" s="219"/>
      <c r="Q1022" s="34">
        <f>SUMIF(Allocation[Delivery ID],Allocation[[#This Row],[Delivery ID]],Allocation[Quantity Processed])</f>
        <v>4243</v>
      </c>
      <c r="R1022" s="61">
        <f>Allocation[[#This Row],[Total volume used]]/VLOOKUP(Allocation[[#This Row],[Delivery ID]],Delivery[[Delivery ID]:[Quantity delivered]],3,FALSE)</f>
        <v>0.65584666512095213</v>
      </c>
      <c r="S1022" s="34">
        <f>Allocation[[#This Row],[Quantity Processed]]/Allocation[[#This Row],[Dilution rate]]</f>
        <v>101.11940298507461</v>
      </c>
      <c r="T1022" s="59">
        <f>SUMIF(Allocation[Delivery ID],Allocation[[#This Row],[Delivery ID]],Allocation[Quantity allocated])/SUMIF(Allocation[Delivery ID],Allocation[[#This Row],[Delivery ID]],Allocation[Volume available (kg)])</f>
        <v>0.74465989275145106</v>
      </c>
      <c r="U1022" s="61">
        <f>Allocation[[#This Row],[Total volume used]]/VLOOKUP(Allocation[[#This Row],[Delivery ID]],Delivery[[Delivery ID]:[Quantity delivered]],3,FALSE)</f>
        <v>0.65584666512095213</v>
      </c>
      <c r="V1022" s="34" t="e">
        <f>VLOOKUP(Allocation[[#This Row],[SAP Contract number]],Shipments[[SAP Contract number]:[Contracted container weight]],2,FALSE)</f>
        <v>#N/A</v>
      </c>
      <c r="W1022" s="34" t="e">
        <f>VLOOKUP(Allocation[[#This Row],[SAP Contract number]],Shipments[[SAP Contract number]:[AAA Premium USD]],24,FALSE)</f>
        <v>#N/A</v>
      </c>
      <c r="X1022" s="34" t="e">
        <f>VLOOKUP(Allocation[[#This Row],[SAP Contract number]],Shipments[[SAP Contract number]:[RA Premium USD]],25,FALSE)</f>
        <v>#N/A</v>
      </c>
      <c r="Y1022" s="38">
        <f>Allocation[[#This Row],[Quantity Processed]]/Allocation[[#This Row],[Quantity allocated]]</f>
        <v>2.9456521739130435</v>
      </c>
      <c r="Z1022" s="34" t="b">
        <f>Allocation[[#This Row],[Quantity allocated]]&lt;=Allocation[[#This Row],[Quantity Processed]]</f>
        <v>1</v>
      </c>
    </row>
    <row r="1023" spans="1:26">
      <c r="A1023" s="247" t="s">
        <v>467</v>
      </c>
      <c r="B1023" s="210" t="s">
        <v>68</v>
      </c>
      <c r="C1023" s="254" t="s">
        <v>991</v>
      </c>
      <c r="D1023" s="255">
        <v>1085</v>
      </c>
      <c r="E1023" s="211" t="s">
        <v>1864</v>
      </c>
      <c r="F1023" s="212">
        <v>43538</v>
      </c>
      <c r="G1023" s="213">
        <v>2.68</v>
      </c>
      <c r="H1023" s="256">
        <v>358</v>
      </c>
      <c r="I1023" s="214">
        <v>1444684</v>
      </c>
      <c r="J1023" s="215">
        <v>21600</v>
      </c>
      <c r="K1023" s="212">
        <v>43587</v>
      </c>
      <c r="L1023" s="211" t="s">
        <v>1867</v>
      </c>
      <c r="M1023" s="216">
        <v>4615445946</v>
      </c>
      <c r="N1023" s="212">
        <v>43682</v>
      </c>
      <c r="O1023" s="217">
        <v>3.9611999999999998</v>
      </c>
      <c r="P1023" s="219"/>
      <c r="Q1023" s="34">
        <f>SUMIF(Allocation[Delivery ID],Allocation[[#This Row],[Delivery ID]],Allocation[Quantity Processed])</f>
        <v>25620</v>
      </c>
      <c r="R1023" s="61">
        <f>Allocation[[#This Row],[Total volume used]]/VLOOKUP(Allocation[[#This Row],[Delivery ID]],Delivery[[Delivery ID]:[Quantity delivered]],3,FALSE)</f>
        <v>1</v>
      </c>
      <c r="S1023" s="34">
        <f>Allocation[[#This Row],[Quantity Processed]]/Allocation[[#This Row],[Dilution rate]]</f>
        <v>404.85074626865668</v>
      </c>
      <c r="T1023" s="59">
        <f>SUMIF(Allocation[Delivery ID],Allocation[[#This Row],[Delivery ID]],Allocation[Quantity allocated])/SUMIF(Allocation[Delivery ID],Allocation[[#This Row],[Delivery ID]],Allocation[Volume available (kg)])</f>
        <v>0.80361740714337937</v>
      </c>
      <c r="U1023" s="61">
        <f>Allocation[[#This Row],[Total volume used]]/VLOOKUP(Allocation[[#This Row],[Delivery ID]],Delivery[[Delivery ID]:[Quantity delivered]],3,FALSE)</f>
        <v>1</v>
      </c>
      <c r="V1023" s="34" t="e">
        <f>VLOOKUP(Allocation[[#This Row],[SAP Contract number]],Shipments[[SAP Contract number]:[Contracted container weight]],2,FALSE)</f>
        <v>#N/A</v>
      </c>
      <c r="W1023" s="34" t="e">
        <f>VLOOKUP(Allocation[[#This Row],[SAP Contract number]],Shipments[[SAP Contract number]:[AAA Premium USD]],24,FALSE)</f>
        <v>#N/A</v>
      </c>
      <c r="X1023" s="34" t="e">
        <f>VLOOKUP(Allocation[[#This Row],[SAP Contract number]],Shipments[[SAP Contract number]:[RA Premium USD]],25,FALSE)</f>
        <v>#N/A</v>
      </c>
      <c r="Y1023" s="38">
        <f>Allocation[[#This Row],[Quantity Processed]]/Allocation[[#This Row],[Quantity allocated]]</f>
        <v>3.0307262569832401</v>
      </c>
      <c r="Z1023" s="34" t="b">
        <f>Allocation[[#This Row],[Quantity allocated]]&lt;=Allocation[[#This Row],[Quantity Processed]]</f>
        <v>1</v>
      </c>
    </row>
    <row r="1024" spans="1:26">
      <c r="A1024" s="247" t="s">
        <v>467</v>
      </c>
      <c r="B1024" s="210" t="s">
        <v>68</v>
      </c>
      <c r="C1024" s="254" t="s">
        <v>991</v>
      </c>
      <c r="D1024" s="255">
        <v>8560</v>
      </c>
      <c r="E1024" s="211" t="s">
        <v>1864</v>
      </c>
      <c r="F1024" s="212">
        <v>43538</v>
      </c>
      <c r="G1024" s="213">
        <v>2.68</v>
      </c>
      <c r="H1024" s="256">
        <v>2825</v>
      </c>
      <c r="I1024" s="214">
        <v>1444685</v>
      </c>
      <c r="J1024" s="215">
        <v>21600</v>
      </c>
      <c r="K1024" s="212">
        <v>43587</v>
      </c>
      <c r="L1024" s="211" t="s">
        <v>1868</v>
      </c>
      <c r="M1024" s="216">
        <v>4615445946</v>
      </c>
      <c r="N1024" s="212">
        <v>43682</v>
      </c>
      <c r="O1024" s="217">
        <v>3.9611999999999998</v>
      </c>
      <c r="P1024" s="219"/>
      <c r="Q1024" s="34">
        <f>SUMIF(Allocation[Delivery ID],Allocation[[#This Row],[Delivery ID]],Allocation[Quantity Processed])</f>
        <v>25620</v>
      </c>
      <c r="R1024" s="61">
        <f>Allocation[[#This Row],[Total volume used]]/VLOOKUP(Allocation[[#This Row],[Delivery ID]],Delivery[[Delivery ID]:[Quantity delivered]],3,FALSE)</f>
        <v>1</v>
      </c>
      <c r="S1024" s="34">
        <f>Allocation[[#This Row],[Quantity Processed]]/Allocation[[#This Row],[Dilution rate]]</f>
        <v>3194.0298507462685</v>
      </c>
      <c r="T1024" s="59">
        <f>SUMIF(Allocation[Delivery ID],Allocation[[#This Row],[Delivery ID]],Allocation[Quantity allocated])/SUMIF(Allocation[Delivery ID],Allocation[[#This Row],[Delivery ID]],Allocation[Volume available (kg)])</f>
        <v>0.80361740714337937</v>
      </c>
      <c r="U1024" s="61">
        <f>Allocation[[#This Row],[Total volume used]]/VLOOKUP(Allocation[[#This Row],[Delivery ID]],Delivery[[Delivery ID]:[Quantity delivered]],3,FALSE)</f>
        <v>1</v>
      </c>
      <c r="V1024" s="34" t="e">
        <f>VLOOKUP(Allocation[[#This Row],[SAP Contract number]],Shipments[[SAP Contract number]:[Contracted container weight]],2,FALSE)</f>
        <v>#N/A</v>
      </c>
      <c r="W1024" s="34" t="e">
        <f>VLOOKUP(Allocation[[#This Row],[SAP Contract number]],Shipments[[SAP Contract number]:[AAA Premium USD]],24,FALSE)</f>
        <v>#N/A</v>
      </c>
      <c r="X1024" s="34" t="e">
        <f>VLOOKUP(Allocation[[#This Row],[SAP Contract number]],Shipments[[SAP Contract number]:[RA Premium USD]],25,FALSE)</f>
        <v>#N/A</v>
      </c>
      <c r="Y1024" s="38">
        <f>Allocation[[#This Row],[Quantity Processed]]/Allocation[[#This Row],[Quantity allocated]]</f>
        <v>3.0300884955752214</v>
      </c>
      <c r="Z1024" s="34" t="b">
        <f>Allocation[[#This Row],[Quantity allocated]]&lt;=Allocation[[#This Row],[Quantity Processed]]</f>
        <v>1</v>
      </c>
    </row>
    <row r="1025" spans="1:26">
      <c r="A1025" s="247" t="s">
        <v>467</v>
      </c>
      <c r="B1025" s="210" t="s">
        <v>68</v>
      </c>
      <c r="C1025" s="254" t="s">
        <v>1623</v>
      </c>
      <c r="D1025" s="255">
        <v>3164</v>
      </c>
      <c r="E1025" s="211" t="s">
        <v>1864</v>
      </c>
      <c r="F1025" s="212">
        <v>43538</v>
      </c>
      <c r="G1025" s="213">
        <v>2.68</v>
      </c>
      <c r="H1025" s="256">
        <v>1044</v>
      </c>
      <c r="I1025" s="214">
        <v>1444685</v>
      </c>
      <c r="J1025" s="215">
        <v>21600</v>
      </c>
      <c r="K1025" s="212">
        <v>43587</v>
      </c>
      <c r="L1025" s="211" t="s">
        <v>1868</v>
      </c>
      <c r="M1025" s="216">
        <v>4615445946</v>
      </c>
      <c r="N1025" s="212">
        <v>43682</v>
      </c>
      <c r="O1025" s="217">
        <v>3.9611999999999998</v>
      </c>
      <c r="P1025" s="219"/>
      <c r="Q1025" s="34">
        <f>SUMIF(Allocation[Delivery ID],Allocation[[#This Row],[Delivery ID]],Allocation[Quantity Processed])</f>
        <v>13197</v>
      </c>
      <c r="R1025" s="61">
        <f>Allocation[[#This Row],[Total volume used]]/VLOOKUP(Allocation[[#This Row],[Delivery ID]],Delivery[[Delivery ID]:[Quantity delivered]],3,FALSE)</f>
        <v>0.41815589353612165</v>
      </c>
      <c r="S1025" s="34">
        <f>Allocation[[#This Row],[Quantity Processed]]/Allocation[[#This Row],[Dilution rate]]</f>
        <v>1180.5970149253731</v>
      </c>
      <c r="T1025" s="59">
        <f>SUMIF(Allocation[Delivery ID],Allocation[[#This Row],[Delivery ID]],Allocation[Quantity allocated])/SUMIF(Allocation[Delivery ID],Allocation[[#This Row],[Delivery ID]],Allocation[Volume available (kg)])</f>
        <v>0.87986713282800932</v>
      </c>
      <c r="U1025" s="61">
        <f>Allocation[[#This Row],[Total volume used]]/VLOOKUP(Allocation[[#This Row],[Delivery ID]],Delivery[[Delivery ID]:[Quantity delivered]],3,FALSE)</f>
        <v>0.41815589353612165</v>
      </c>
      <c r="V1025" s="34" t="e">
        <f>VLOOKUP(Allocation[[#This Row],[SAP Contract number]],Shipments[[SAP Contract number]:[Contracted container weight]],2,FALSE)</f>
        <v>#N/A</v>
      </c>
      <c r="W1025" s="34" t="e">
        <f>VLOOKUP(Allocation[[#This Row],[SAP Contract number]],Shipments[[SAP Contract number]:[AAA Premium USD]],24,FALSE)</f>
        <v>#N/A</v>
      </c>
      <c r="X1025" s="34" t="e">
        <f>VLOOKUP(Allocation[[#This Row],[SAP Contract number]],Shipments[[SAP Contract number]:[RA Premium USD]],25,FALSE)</f>
        <v>#N/A</v>
      </c>
      <c r="Y1025" s="38">
        <f>Allocation[[#This Row],[Quantity Processed]]/Allocation[[#This Row],[Quantity allocated]]</f>
        <v>3.0306513409961684</v>
      </c>
      <c r="Z1025" s="34" t="b">
        <f>Allocation[[#This Row],[Quantity allocated]]&lt;=Allocation[[#This Row],[Quantity Processed]]</f>
        <v>1</v>
      </c>
    </row>
    <row r="1026" spans="1:26">
      <c r="A1026" s="247" t="s">
        <v>467</v>
      </c>
      <c r="B1026" s="210" t="s">
        <v>68</v>
      </c>
      <c r="C1026" s="254" t="s">
        <v>1625</v>
      </c>
      <c r="D1026" s="255">
        <v>2636</v>
      </c>
      <c r="E1026" s="211" t="s">
        <v>1864</v>
      </c>
      <c r="F1026" s="212">
        <v>43538</v>
      </c>
      <c r="G1026" s="213">
        <v>2.68</v>
      </c>
      <c r="H1026" s="256">
        <v>870</v>
      </c>
      <c r="I1026" s="214">
        <v>1444685</v>
      </c>
      <c r="J1026" s="215">
        <v>21600</v>
      </c>
      <c r="K1026" s="212">
        <v>43587</v>
      </c>
      <c r="L1026" s="211" t="s">
        <v>1868</v>
      </c>
      <c r="M1026" s="216">
        <v>4615445946</v>
      </c>
      <c r="N1026" s="212">
        <v>43682</v>
      </c>
      <c r="O1026" s="217">
        <v>3.9611999999999998</v>
      </c>
      <c r="P1026" s="219"/>
      <c r="Q1026" s="34">
        <f>SUMIF(Allocation[Delivery ID],Allocation[[#This Row],[Delivery ID]],Allocation[Quantity Processed])</f>
        <v>9221</v>
      </c>
      <c r="R1026" s="61">
        <f>Allocation[[#This Row],[Total volume used]]/VLOOKUP(Allocation[[#This Row],[Delivery ID]],Delivery[[Delivery ID]:[Quantity delivered]],3,FALSE)</f>
        <v>0.3507417268923545</v>
      </c>
      <c r="S1026" s="34">
        <f>Allocation[[#This Row],[Quantity Processed]]/Allocation[[#This Row],[Dilution rate]]</f>
        <v>983.5820895522387</v>
      </c>
      <c r="T1026" s="59">
        <f>SUMIF(Allocation[Delivery ID],Allocation[[#This Row],[Delivery ID]],Allocation[Quantity allocated])/SUMIF(Allocation[Delivery ID],Allocation[[#This Row],[Delivery ID]],Allocation[Volume available (kg)])</f>
        <v>0.87778607677140652</v>
      </c>
      <c r="U1026" s="61">
        <f>Allocation[[#This Row],[Total volume used]]/VLOOKUP(Allocation[[#This Row],[Delivery ID]],Delivery[[Delivery ID]:[Quantity delivered]],3,FALSE)</f>
        <v>0.3507417268923545</v>
      </c>
      <c r="V1026" s="34" t="e">
        <f>VLOOKUP(Allocation[[#This Row],[SAP Contract number]],Shipments[[SAP Contract number]:[Contracted container weight]],2,FALSE)</f>
        <v>#N/A</v>
      </c>
      <c r="W1026" s="34" t="e">
        <f>VLOOKUP(Allocation[[#This Row],[SAP Contract number]],Shipments[[SAP Contract number]:[AAA Premium USD]],24,FALSE)</f>
        <v>#N/A</v>
      </c>
      <c r="X1026" s="34" t="e">
        <f>VLOOKUP(Allocation[[#This Row],[SAP Contract number]],Shipments[[SAP Contract number]:[RA Premium USD]],25,FALSE)</f>
        <v>#N/A</v>
      </c>
      <c r="Y1026" s="38">
        <f>Allocation[[#This Row],[Quantity Processed]]/Allocation[[#This Row],[Quantity allocated]]</f>
        <v>3.0298850574712644</v>
      </c>
      <c r="Z1026" s="34" t="b">
        <f>Allocation[[#This Row],[Quantity allocated]]&lt;=Allocation[[#This Row],[Quantity Processed]]</f>
        <v>1</v>
      </c>
    </row>
    <row r="1027" spans="1:26">
      <c r="A1027" s="247" t="s">
        <v>467</v>
      </c>
      <c r="B1027" s="210" t="s">
        <v>68</v>
      </c>
      <c r="C1027" s="254" t="s">
        <v>1627</v>
      </c>
      <c r="D1027" s="255">
        <v>3006</v>
      </c>
      <c r="E1027" s="211" t="s">
        <v>1864</v>
      </c>
      <c r="F1027" s="212">
        <v>43538</v>
      </c>
      <c r="G1027" s="213">
        <v>2.68</v>
      </c>
      <c r="H1027" s="256">
        <v>992</v>
      </c>
      <c r="I1027" s="214">
        <v>1444685</v>
      </c>
      <c r="J1027" s="215">
        <v>21600</v>
      </c>
      <c r="K1027" s="212">
        <v>43587</v>
      </c>
      <c r="L1027" s="211" t="s">
        <v>1868</v>
      </c>
      <c r="M1027" s="216">
        <v>4615445946</v>
      </c>
      <c r="N1027" s="212">
        <v>43682</v>
      </c>
      <c r="O1027" s="217">
        <v>3.9611999999999998</v>
      </c>
      <c r="P1027" s="219"/>
      <c r="Q1027" s="34">
        <f>SUMIF(Allocation[Delivery ID],Allocation[[#This Row],[Delivery ID]],Allocation[Quantity Processed])</f>
        <v>12806</v>
      </c>
      <c r="R1027" s="61">
        <f>Allocation[[#This Row],[Total volume used]]/VLOOKUP(Allocation[[#This Row],[Delivery ID]],Delivery[[Delivery ID]:[Quantity delivered]],3,FALSE)</f>
        <v>0.42729396062729397</v>
      </c>
      <c r="S1027" s="34">
        <f>Allocation[[#This Row],[Quantity Processed]]/Allocation[[#This Row],[Dilution rate]]</f>
        <v>1121.641791044776</v>
      </c>
      <c r="T1027" s="59">
        <f>SUMIF(Allocation[Delivery ID],Allocation[[#This Row],[Delivery ID]],Allocation[Quantity allocated])/SUMIF(Allocation[Delivery ID],Allocation[[#This Row],[Delivery ID]],Allocation[Volume available (kg)])</f>
        <v>0.8801133997605286</v>
      </c>
      <c r="U1027" s="61">
        <f>Allocation[[#This Row],[Total volume used]]/VLOOKUP(Allocation[[#This Row],[Delivery ID]],Delivery[[Delivery ID]:[Quantity delivered]],3,FALSE)</f>
        <v>0.42729396062729397</v>
      </c>
      <c r="V1027" s="34" t="e">
        <f>VLOOKUP(Allocation[[#This Row],[SAP Contract number]],Shipments[[SAP Contract number]:[Contracted container weight]],2,FALSE)</f>
        <v>#N/A</v>
      </c>
      <c r="W1027" s="34" t="e">
        <f>VLOOKUP(Allocation[[#This Row],[SAP Contract number]],Shipments[[SAP Contract number]:[AAA Premium USD]],24,FALSE)</f>
        <v>#N/A</v>
      </c>
      <c r="X1027" s="34" t="e">
        <f>VLOOKUP(Allocation[[#This Row],[SAP Contract number]],Shipments[[SAP Contract number]:[RA Premium USD]],25,FALSE)</f>
        <v>#N/A</v>
      </c>
      <c r="Y1027" s="38">
        <f>Allocation[[#This Row],[Quantity Processed]]/Allocation[[#This Row],[Quantity allocated]]</f>
        <v>3.030241935483871</v>
      </c>
      <c r="Z1027" s="34" t="b">
        <f>Allocation[[#This Row],[Quantity allocated]]&lt;=Allocation[[#This Row],[Quantity Processed]]</f>
        <v>1</v>
      </c>
    </row>
    <row r="1028" spans="1:26">
      <c r="A1028" s="247" t="s">
        <v>467</v>
      </c>
      <c r="B1028" s="210" t="s">
        <v>68</v>
      </c>
      <c r="C1028" s="254" t="s">
        <v>1628</v>
      </c>
      <c r="D1028" s="255">
        <v>482</v>
      </c>
      <c r="E1028" s="211" t="s">
        <v>1864</v>
      </c>
      <c r="F1028" s="212">
        <v>43538</v>
      </c>
      <c r="G1028" s="213">
        <v>2.68</v>
      </c>
      <c r="H1028" s="256">
        <v>159</v>
      </c>
      <c r="I1028" s="214">
        <v>1444685</v>
      </c>
      <c r="J1028" s="215">
        <v>21600</v>
      </c>
      <c r="K1028" s="212">
        <v>43587</v>
      </c>
      <c r="L1028" s="211" t="s">
        <v>1868</v>
      </c>
      <c r="M1028" s="216">
        <v>4615445946</v>
      </c>
      <c r="N1028" s="212">
        <v>43682</v>
      </c>
      <c r="O1028" s="217">
        <v>3.9611999999999998</v>
      </c>
      <c r="P1028" s="219"/>
      <c r="Q1028" s="34">
        <f>SUMIF(Allocation[Delivery ID],Allocation[[#This Row],[Delivery ID]],Allocation[Quantity Processed])</f>
        <v>22228</v>
      </c>
      <c r="R1028" s="61">
        <f>Allocation[[#This Row],[Total volume used]]/VLOOKUP(Allocation[[#This Row],[Delivery ID]],Delivery[[Delivery ID]:[Quantity delivered]],3,FALSE)</f>
        <v>0.9242411642411642</v>
      </c>
      <c r="S1028" s="34">
        <f>Allocation[[#This Row],[Quantity Processed]]/Allocation[[#This Row],[Dilution rate]]</f>
        <v>179.85074626865671</v>
      </c>
      <c r="T1028" s="59">
        <f>SUMIF(Allocation[Delivery ID],Allocation[[#This Row],[Delivery ID]],Allocation[Quantity allocated])/SUMIF(Allocation[Delivery ID],Allocation[[#This Row],[Delivery ID]],Allocation[Volume available (kg)])</f>
        <v>0.83864200650369825</v>
      </c>
      <c r="U1028" s="61">
        <f>Allocation[[#This Row],[Total volume used]]/VLOOKUP(Allocation[[#This Row],[Delivery ID]],Delivery[[Delivery ID]:[Quantity delivered]],3,FALSE)</f>
        <v>0.9242411642411642</v>
      </c>
      <c r="V1028" s="34" t="e">
        <f>VLOOKUP(Allocation[[#This Row],[SAP Contract number]],Shipments[[SAP Contract number]:[Contracted container weight]],2,FALSE)</f>
        <v>#N/A</v>
      </c>
      <c r="W1028" s="34" t="e">
        <f>VLOOKUP(Allocation[[#This Row],[SAP Contract number]],Shipments[[SAP Contract number]:[AAA Premium USD]],24,FALSE)</f>
        <v>#N/A</v>
      </c>
      <c r="X1028" s="34" t="e">
        <f>VLOOKUP(Allocation[[#This Row],[SAP Contract number]],Shipments[[SAP Contract number]:[RA Premium USD]],25,FALSE)</f>
        <v>#N/A</v>
      </c>
      <c r="Y1028" s="38">
        <f>Allocation[[#This Row],[Quantity Processed]]/Allocation[[#This Row],[Quantity allocated]]</f>
        <v>3.0314465408805034</v>
      </c>
      <c r="Z1028" s="34" t="b">
        <f>Allocation[[#This Row],[Quantity allocated]]&lt;=Allocation[[#This Row],[Quantity Processed]]</f>
        <v>1</v>
      </c>
    </row>
    <row r="1029" spans="1:26">
      <c r="A1029" s="247" t="s">
        <v>467</v>
      </c>
      <c r="B1029" s="210" t="s">
        <v>68</v>
      </c>
      <c r="C1029" s="254" t="s">
        <v>1629</v>
      </c>
      <c r="D1029" s="255">
        <v>1171</v>
      </c>
      <c r="E1029" s="211" t="s">
        <v>1864</v>
      </c>
      <c r="F1029" s="212">
        <v>43538</v>
      </c>
      <c r="G1029" s="213">
        <v>2.68</v>
      </c>
      <c r="H1029" s="256">
        <v>398</v>
      </c>
      <c r="I1029" s="214">
        <v>1444685</v>
      </c>
      <c r="J1029" s="215">
        <v>21600</v>
      </c>
      <c r="K1029" s="212">
        <v>43587</v>
      </c>
      <c r="L1029" s="211" t="s">
        <v>1868</v>
      </c>
      <c r="M1029" s="216">
        <v>4615445946</v>
      </c>
      <c r="N1029" s="212">
        <v>43682</v>
      </c>
      <c r="O1029" s="217">
        <v>3.9611999999999998</v>
      </c>
      <c r="P1029" s="219"/>
      <c r="Q1029" s="34">
        <f>SUMIF(Allocation[Delivery ID],Allocation[[#This Row],[Delivery ID]],Allocation[Quantity Processed])</f>
        <v>3397</v>
      </c>
      <c r="R1029" s="61">
        <f>Allocation[[#This Row],[Total volume used]]/VLOOKUP(Allocation[[#This Row],[Delivery ID]],Delivery[[Delivery ID]:[Quantity delivered]],3,FALSE)</f>
        <v>0.2823773898586866</v>
      </c>
      <c r="S1029" s="34">
        <f>Allocation[[#This Row],[Quantity Processed]]/Allocation[[#This Row],[Dilution rate]]</f>
        <v>436.94029850746267</v>
      </c>
      <c r="T1029" s="59">
        <f>SUMIF(Allocation[Delivery ID],Allocation[[#This Row],[Delivery ID]],Allocation[Quantity allocated])/SUMIF(Allocation[Delivery ID],Allocation[[#This Row],[Delivery ID]],Allocation[Volume available (kg)])</f>
        <v>0.9072269365467488</v>
      </c>
      <c r="U1029" s="61">
        <f>Allocation[[#This Row],[Total volume used]]/VLOOKUP(Allocation[[#This Row],[Delivery ID]],Delivery[[Delivery ID]:[Quantity delivered]],3,FALSE)</f>
        <v>0.2823773898586866</v>
      </c>
      <c r="V1029" s="34" t="e">
        <f>VLOOKUP(Allocation[[#This Row],[SAP Contract number]],Shipments[[SAP Contract number]:[Contracted container weight]],2,FALSE)</f>
        <v>#N/A</v>
      </c>
      <c r="W1029" s="34" t="e">
        <f>VLOOKUP(Allocation[[#This Row],[SAP Contract number]],Shipments[[SAP Contract number]:[AAA Premium USD]],24,FALSE)</f>
        <v>#N/A</v>
      </c>
      <c r="X1029" s="34" t="e">
        <f>VLOOKUP(Allocation[[#This Row],[SAP Contract number]],Shipments[[SAP Contract number]:[RA Premium USD]],25,FALSE)</f>
        <v>#N/A</v>
      </c>
      <c r="Y1029" s="38">
        <f>Allocation[[#This Row],[Quantity Processed]]/Allocation[[#This Row],[Quantity allocated]]</f>
        <v>2.942211055276382</v>
      </c>
      <c r="Z1029" s="34" t="b">
        <f>Allocation[[#This Row],[Quantity allocated]]&lt;=Allocation[[#This Row],[Quantity Processed]]</f>
        <v>1</v>
      </c>
    </row>
    <row r="1030" spans="1:26">
      <c r="A1030" s="247" t="s">
        <v>467</v>
      </c>
      <c r="B1030" s="210" t="s">
        <v>68</v>
      </c>
      <c r="C1030" s="254" t="s">
        <v>1630</v>
      </c>
      <c r="D1030" s="255">
        <v>3012</v>
      </c>
      <c r="E1030" s="211" t="s">
        <v>1864</v>
      </c>
      <c r="F1030" s="212">
        <v>43538</v>
      </c>
      <c r="G1030" s="213">
        <v>2.68</v>
      </c>
      <c r="H1030" s="256">
        <v>994</v>
      </c>
      <c r="I1030" s="214">
        <v>1444685</v>
      </c>
      <c r="J1030" s="215">
        <v>21600</v>
      </c>
      <c r="K1030" s="212">
        <v>43587</v>
      </c>
      <c r="L1030" s="211" t="s">
        <v>1868</v>
      </c>
      <c r="M1030" s="216">
        <v>4615445946</v>
      </c>
      <c r="N1030" s="212">
        <v>43682</v>
      </c>
      <c r="O1030" s="217">
        <v>3.9611999999999998</v>
      </c>
      <c r="P1030" s="219"/>
      <c r="Q1030" s="34">
        <f>SUMIF(Allocation[Delivery ID],Allocation[[#This Row],[Delivery ID]],Allocation[Quantity Processed])</f>
        <v>13127</v>
      </c>
      <c r="R1030" s="61">
        <f>Allocation[[#This Row],[Total volume used]]/VLOOKUP(Allocation[[#This Row],[Delivery ID]],Delivery[[Delivery ID]:[Quantity delivered]],3,FALSE)</f>
        <v>0.7292777777777778</v>
      </c>
      <c r="S1030" s="34">
        <f>Allocation[[#This Row],[Quantity Processed]]/Allocation[[#This Row],[Dilution rate]]</f>
        <v>1123.8805970149253</v>
      </c>
      <c r="T1030" s="59">
        <f>SUMIF(Allocation[Delivery ID],Allocation[[#This Row],[Delivery ID]],Allocation[Quantity allocated])/SUMIF(Allocation[Delivery ID],Allocation[[#This Row],[Delivery ID]],Allocation[Volume available (kg)])</f>
        <v>0.88036184176841381</v>
      </c>
      <c r="U1030" s="61">
        <f>Allocation[[#This Row],[Total volume used]]/VLOOKUP(Allocation[[#This Row],[Delivery ID]],Delivery[[Delivery ID]:[Quantity delivered]],3,FALSE)</f>
        <v>0.7292777777777778</v>
      </c>
      <c r="V1030" s="34" t="e">
        <f>VLOOKUP(Allocation[[#This Row],[SAP Contract number]],Shipments[[SAP Contract number]:[Contracted container weight]],2,FALSE)</f>
        <v>#N/A</v>
      </c>
      <c r="W1030" s="34" t="e">
        <f>VLOOKUP(Allocation[[#This Row],[SAP Contract number]],Shipments[[SAP Contract number]:[AAA Premium USD]],24,FALSE)</f>
        <v>#N/A</v>
      </c>
      <c r="X1030" s="34" t="e">
        <f>VLOOKUP(Allocation[[#This Row],[SAP Contract number]],Shipments[[SAP Contract number]:[RA Premium USD]],25,FALSE)</f>
        <v>#N/A</v>
      </c>
      <c r="Y1030" s="38">
        <f>Allocation[[#This Row],[Quantity Processed]]/Allocation[[#This Row],[Quantity allocated]]</f>
        <v>3.0301810865191148</v>
      </c>
      <c r="Z1030" s="34" t="b">
        <f>Allocation[[#This Row],[Quantity allocated]]&lt;=Allocation[[#This Row],[Quantity Processed]]</f>
        <v>1</v>
      </c>
    </row>
    <row r="1031" spans="1:26">
      <c r="A1031" s="247" t="s">
        <v>467</v>
      </c>
      <c r="B1031" s="210" t="s">
        <v>68</v>
      </c>
      <c r="C1031" s="254" t="s">
        <v>1631</v>
      </c>
      <c r="D1031" s="255">
        <v>498</v>
      </c>
      <c r="E1031" s="211" t="s">
        <v>1864</v>
      </c>
      <c r="F1031" s="212">
        <v>43538</v>
      </c>
      <c r="G1031" s="213">
        <v>2.68</v>
      </c>
      <c r="H1031" s="256">
        <v>299</v>
      </c>
      <c r="I1031" s="214">
        <v>1444685</v>
      </c>
      <c r="J1031" s="215">
        <v>21600</v>
      </c>
      <c r="K1031" s="212">
        <v>43587</v>
      </c>
      <c r="L1031" s="211" t="s">
        <v>1868</v>
      </c>
      <c r="M1031" s="216">
        <v>4615445946</v>
      </c>
      <c r="N1031" s="212">
        <v>43682</v>
      </c>
      <c r="O1031" s="217">
        <v>3.9611999999999998</v>
      </c>
      <c r="P1031" s="219"/>
      <c r="Q1031" s="34">
        <f>SUMIF(Allocation[Delivery ID],Allocation[[#This Row],[Delivery ID]],Allocation[Quantity Processed])</f>
        <v>1444</v>
      </c>
      <c r="R1031" s="61">
        <f>Allocation[[#This Row],[Total volume used]]/VLOOKUP(Allocation[[#This Row],[Delivery ID]],Delivery[[Delivery ID]:[Quantity delivered]],3,FALSE)</f>
        <v>0.15992911728873629</v>
      </c>
      <c r="S1031" s="34">
        <f>Allocation[[#This Row],[Quantity Processed]]/Allocation[[#This Row],[Dilution rate]]</f>
        <v>185.82089552238804</v>
      </c>
      <c r="T1031" s="59">
        <f>SUMIF(Allocation[Delivery ID],Allocation[[#This Row],[Delivery ID]],Allocation[Quantity allocated])/SUMIF(Allocation[Delivery ID],Allocation[[#This Row],[Delivery ID]],Allocation[Volume available (kg)])</f>
        <v>1.6020532873526978</v>
      </c>
      <c r="U1031" s="61">
        <f>Allocation[[#This Row],[Total volume used]]/VLOOKUP(Allocation[[#This Row],[Delivery ID]],Delivery[[Delivery ID]:[Quantity delivered]],3,FALSE)</f>
        <v>0.15992911728873629</v>
      </c>
      <c r="V1031" s="34" t="e">
        <f>VLOOKUP(Allocation[[#This Row],[SAP Contract number]],Shipments[[SAP Contract number]:[Contracted container weight]],2,FALSE)</f>
        <v>#N/A</v>
      </c>
      <c r="W1031" s="34" t="e">
        <f>VLOOKUP(Allocation[[#This Row],[SAP Contract number]],Shipments[[SAP Contract number]:[AAA Premium USD]],24,FALSE)</f>
        <v>#N/A</v>
      </c>
      <c r="X1031" s="34" t="e">
        <f>VLOOKUP(Allocation[[#This Row],[SAP Contract number]],Shipments[[SAP Contract number]:[RA Premium USD]],25,FALSE)</f>
        <v>#N/A</v>
      </c>
      <c r="Y1031" s="38">
        <f>Allocation[[#This Row],[Quantity Processed]]/Allocation[[#This Row],[Quantity allocated]]</f>
        <v>1.6655518394648829</v>
      </c>
      <c r="Z1031" s="34" t="b">
        <f>Allocation[[#This Row],[Quantity allocated]]&lt;=Allocation[[#This Row],[Quantity Processed]]</f>
        <v>1</v>
      </c>
    </row>
    <row r="1032" spans="1:26">
      <c r="A1032" s="247" t="s">
        <v>467</v>
      </c>
      <c r="B1032" s="210" t="s">
        <v>68</v>
      </c>
      <c r="C1032" s="254" t="s">
        <v>1632</v>
      </c>
      <c r="D1032" s="255">
        <v>1055</v>
      </c>
      <c r="E1032" s="211" t="s">
        <v>1864</v>
      </c>
      <c r="F1032" s="212">
        <v>43538</v>
      </c>
      <c r="G1032" s="213">
        <v>2.68</v>
      </c>
      <c r="H1032" s="256">
        <v>348</v>
      </c>
      <c r="I1032" s="214">
        <v>1444685</v>
      </c>
      <c r="J1032" s="215">
        <v>21600</v>
      </c>
      <c r="K1032" s="212">
        <v>43587</v>
      </c>
      <c r="L1032" s="211" t="s">
        <v>1868</v>
      </c>
      <c r="M1032" s="216">
        <v>4615445946</v>
      </c>
      <c r="N1032" s="212">
        <v>43682</v>
      </c>
      <c r="O1032" s="217">
        <v>3.9611999999999998</v>
      </c>
      <c r="P1032" s="219"/>
      <c r="Q1032" s="34">
        <f>SUMIF(Allocation[Delivery ID],Allocation[[#This Row],[Delivery ID]],Allocation[Quantity Processed])</f>
        <v>3300</v>
      </c>
      <c r="R1032" s="61">
        <f>Allocation[[#This Row],[Total volume used]]/VLOOKUP(Allocation[[#This Row],[Delivery ID]],Delivery[[Delivery ID]:[Quantity delivered]],3,FALSE)</f>
        <v>1</v>
      </c>
      <c r="S1032" s="34">
        <f>Allocation[[#This Row],[Quantity Processed]]/Allocation[[#This Row],[Dilution rate]]</f>
        <v>393.65671641791045</v>
      </c>
      <c r="T1032" s="59">
        <f>SUMIF(Allocation[Delivery ID],Allocation[[#This Row],[Delivery ID]],Allocation[Quantity allocated])/SUMIF(Allocation[Delivery ID],Allocation[[#This Row],[Delivery ID]],Allocation[Volume available (kg)])</f>
        <v>0.88046042152952353</v>
      </c>
      <c r="U1032" s="61">
        <f>Allocation[[#This Row],[Total volume used]]/VLOOKUP(Allocation[[#This Row],[Delivery ID]],Delivery[[Delivery ID]:[Quantity delivered]],3,FALSE)</f>
        <v>1</v>
      </c>
      <c r="V1032" s="34" t="e">
        <f>VLOOKUP(Allocation[[#This Row],[SAP Contract number]],Shipments[[SAP Contract number]:[Contracted container weight]],2,FALSE)</f>
        <v>#N/A</v>
      </c>
      <c r="W1032" s="34" t="e">
        <f>VLOOKUP(Allocation[[#This Row],[SAP Contract number]],Shipments[[SAP Contract number]:[AAA Premium USD]],24,FALSE)</f>
        <v>#N/A</v>
      </c>
      <c r="X1032" s="34" t="e">
        <f>VLOOKUP(Allocation[[#This Row],[SAP Contract number]],Shipments[[SAP Contract number]:[RA Premium USD]],25,FALSE)</f>
        <v>#N/A</v>
      </c>
      <c r="Y1032" s="38">
        <f>Allocation[[#This Row],[Quantity Processed]]/Allocation[[#This Row],[Quantity allocated]]</f>
        <v>3.0316091954022988</v>
      </c>
      <c r="Z1032" s="34" t="b">
        <f>Allocation[[#This Row],[Quantity allocated]]&lt;=Allocation[[#This Row],[Quantity Processed]]</f>
        <v>1</v>
      </c>
    </row>
    <row r="1033" spans="1:26">
      <c r="A1033" s="247" t="s">
        <v>467</v>
      </c>
      <c r="B1033" s="210" t="s">
        <v>68</v>
      </c>
      <c r="C1033" s="254" t="s">
        <v>1634</v>
      </c>
      <c r="D1033" s="255">
        <v>961</v>
      </c>
      <c r="E1033" s="211" t="s">
        <v>1864</v>
      </c>
      <c r="F1033" s="212">
        <v>43538</v>
      </c>
      <c r="G1033" s="213">
        <v>2.68</v>
      </c>
      <c r="H1033" s="256">
        <v>317</v>
      </c>
      <c r="I1033" s="214">
        <v>1444685</v>
      </c>
      <c r="J1033" s="215">
        <v>21600</v>
      </c>
      <c r="K1033" s="212">
        <v>43587</v>
      </c>
      <c r="L1033" s="211" t="s">
        <v>1868</v>
      </c>
      <c r="M1033" s="216">
        <v>4615445946</v>
      </c>
      <c r="N1033" s="212">
        <v>43682</v>
      </c>
      <c r="O1033" s="217">
        <v>3.9611999999999998</v>
      </c>
      <c r="P1033" s="219"/>
      <c r="Q1033" s="34">
        <f>SUMIF(Allocation[Delivery ID],Allocation[[#This Row],[Delivery ID]],Allocation[Quantity Processed])</f>
        <v>2791</v>
      </c>
      <c r="R1033" s="61">
        <f>Allocation[[#This Row],[Total volume used]]/VLOOKUP(Allocation[[#This Row],[Delivery ID]],Delivery[[Delivery ID]:[Quantity delivered]],3,FALSE)</f>
        <v>0.29112339626577655</v>
      </c>
      <c r="S1033" s="34">
        <f>Allocation[[#This Row],[Quantity Processed]]/Allocation[[#This Row],[Dilution rate]]</f>
        <v>358.58208955223881</v>
      </c>
      <c r="T1033" s="59">
        <f>SUMIF(Allocation[Delivery ID],Allocation[[#This Row],[Delivery ID]],Allocation[Quantity allocated])/SUMIF(Allocation[Delivery ID],Allocation[[#This Row],[Delivery ID]],Allocation[Volume available (kg)])</f>
        <v>0.88048876460586634</v>
      </c>
      <c r="U1033" s="61">
        <f>Allocation[[#This Row],[Total volume used]]/VLOOKUP(Allocation[[#This Row],[Delivery ID]],Delivery[[Delivery ID]:[Quantity delivered]],3,FALSE)</f>
        <v>0.29112339626577655</v>
      </c>
      <c r="V1033" s="34" t="e">
        <f>VLOOKUP(Allocation[[#This Row],[SAP Contract number]],Shipments[[SAP Contract number]:[Contracted container weight]],2,FALSE)</f>
        <v>#N/A</v>
      </c>
      <c r="W1033" s="34" t="e">
        <f>VLOOKUP(Allocation[[#This Row],[SAP Contract number]],Shipments[[SAP Contract number]:[AAA Premium USD]],24,FALSE)</f>
        <v>#N/A</v>
      </c>
      <c r="X1033" s="34" t="e">
        <f>VLOOKUP(Allocation[[#This Row],[SAP Contract number]],Shipments[[SAP Contract number]:[RA Premium USD]],25,FALSE)</f>
        <v>#N/A</v>
      </c>
      <c r="Y1033" s="38">
        <f>Allocation[[#This Row],[Quantity Processed]]/Allocation[[#This Row],[Quantity allocated]]</f>
        <v>3.0315457413249209</v>
      </c>
      <c r="Z1033" s="34" t="b">
        <f>Allocation[[#This Row],[Quantity allocated]]&lt;=Allocation[[#This Row],[Quantity Processed]]</f>
        <v>1</v>
      </c>
    </row>
    <row r="1034" spans="1:26">
      <c r="A1034" s="247" t="s">
        <v>467</v>
      </c>
      <c r="B1034" s="210" t="s">
        <v>68</v>
      </c>
      <c r="C1034" s="254" t="s">
        <v>1635</v>
      </c>
      <c r="D1034" s="255">
        <v>2085</v>
      </c>
      <c r="E1034" s="211" t="s">
        <v>1864</v>
      </c>
      <c r="F1034" s="212">
        <v>43538</v>
      </c>
      <c r="G1034" s="213">
        <v>2.68</v>
      </c>
      <c r="H1034" s="256">
        <v>688</v>
      </c>
      <c r="I1034" s="214">
        <v>1444685</v>
      </c>
      <c r="J1034" s="215">
        <v>21600</v>
      </c>
      <c r="K1034" s="212">
        <v>43587</v>
      </c>
      <c r="L1034" s="211" t="s">
        <v>1868</v>
      </c>
      <c r="M1034" s="216">
        <v>4615445946</v>
      </c>
      <c r="N1034" s="212">
        <v>43682</v>
      </c>
      <c r="O1034" s="217">
        <v>3.9611999999999998</v>
      </c>
      <c r="P1034" s="219"/>
      <c r="Q1034" s="34">
        <f>SUMIF(Allocation[Delivery ID],Allocation[[#This Row],[Delivery ID]],Allocation[Quantity Processed])</f>
        <v>7291</v>
      </c>
      <c r="R1034" s="61">
        <f>Allocation[[#This Row],[Total volume used]]/VLOOKUP(Allocation[[#This Row],[Delivery ID]],Delivery[[Delivery ID]:[Quantity delivered]],3,FALSE)</f>
        <v>0.35064685230606452</v>
      </c>
      <c r="S1034" s="34">
        <f>Allocation[[#This Row],[Quantity Processed]]/Allocation[[#This Row],[Dilution rate]]</f>
        <v>777.98507462686564</v>
      </c>
      <c r="T1034" s="59">
        <f>SUMIF(Allocation[Delivery ID],Allocation[[#This Row],[Delivery ID]],Allocation[Quantity allocated])/SUMIF(Allocation[Delivery ID],Allocation[[#This Row],[Delivery ID]],Allocation[Volume available (kg)])</f>
        <v>0.87775201878010578</v>
      </c>
      <c r="U1034" s="61">
        <f>Allocation[[#This Row],[Total volume used]]/VLOOKUP(Allocation[[#This Row],[Delivery ID]],Delivery[[Delivery ID]:[Quantity delivered]],3,FALSE)</f>
        <v>0.35064685230606452</v>
      </c>
      <c r="V1034" s="34" t="e">
        <f>VLOOKUP(Allocation[[#This Row],[SAP Contract number]],Shipments[[SAP Contract number]:[Contracted container weight]],2,FALSE)</f>
        <v>#N/A</v>
      </c>
      <c r="W1034" s="34" t="e">
        <f>VLOOKUP(Allocation[[#This Row],[SAP Contract number]],Shipments[[SAP Contract number]:[AAA Premium USD]],24,FALSE)</f>
        <v>#N/A</v>
      </c>
      <c r="X1034" s="34" t="e">
        <f>VLOOKUP(Allocation[[#This Row],[SAP Contract number]],Shipments[[SAP Contract number]:[RA Premium USD]],25,FALSE)</f>
        <v>#N/A</v>
      </c>
      <c r="Y1034" s="38">
        <f>Allocation[[#This Row],[Quantity Processed]]/Allocation[[#This Row],[Quantity allocated]]</f>
        <v>3.0305232558139537</v>
      </c>
      <c r="Z1034" s="34" t="b">
        <f>Allocation[[#This Row],[Quantity allocated]]&lt;=Allocation[[#This Row],[Quantity Processed]]</f>
        <v>1</v>
      </c>
    </row>
    <row r="1035" spans="1:26">
      <c r="A1035" s="247" t="s">
        <v>467</v>
      </c>
      <c r="B1035" s="210" t="s">
        <v>68</v>
      </c>
      <c r="C1035" s="254" t="s">
        <v>1636</v>
      </c>
      <c r="D1035" s="255">
        <v>3626</v>
      </c>
      <c r="E1035" s="211" t="s">
        <v>1864</v>
      </c>
      <c r="F1035" s="212">
        <v>43538</v>
      </c>
      <c r="G1035" s="213">
        <v>2.68</v>
      </c>
      <c r="H1035" s="256">
        <v>1233</v>
      </c>
      <c r="I1035" s="214">
        <v>1444685</v>
      </c>
      <c r="J1035" s="215">
        <v>21600</v>
      </c>
      <c r="K1035" s="212">
        <v>43587</v>
      </c>
      <c r="L1035" s="211" t="s">
        <v>1868</v>
      </c>
      <c r="M1035" s="216">
        <v>4615445946</v>
      </c>
      <c r="N1035" s="212">
        <v>43682</v>
      </c>
      <c r="O1035" s="217">
        <v>3.9611999999999998</v>
      </c>
      <c r="P1035" s="219"/>
      <c r="Q1035" s="34">
        <f>SUMIF(Allocation[Delivery ID],Allocation[[#This Row],[Delivery ID]],Allocation[Quantity Processed])</f>
        <v>28652</v>
      </c>
      <c r="R1035" s="61">
        <f>Allocation[[#This Row],[Total volume used]]/VLOOKUP(Allocation[[#This Row],[Delivery ID]],Delivery[[Delivery ID]:[Quantity delivered]],3,FALSE)</f>
        <v>0.76876844647169307</v>
      </c>
      <c r="S1035" s="34">
        <f>Allocation[[#This Row],[Quantity Processed]]/Allocation[[#This Row],[Dilution rate]]</f>
        <v>1352.9850746268655</v>
      </c>
      <c r="T1035" s="59">
        <f>SUMIF(Allocation[Delivery ID],Allocation[[#This Row],[Delivery ID]],Allocation[Quantity allocated])/SUMIF(Allocation[Delivery ID],Allocation[[#This Row],[Delivery ID]],Allocation[Volume available (kg)])</f>
        <v>0.89500335314152635</v>
      </c>
      <c r="U1035" s="61">
        <f>Allocation[[#This Row],[Total volume used]]/VLOOKUP(Allocation[[#This Row],[Delivery ID]],Delivery[[Delivery ID]:[Quantity delivered]],3,FALSE)</f>
        <v>0.76876844647169307</v>
      </c>
      <c r="V1035" s="34" t="e">
        <f>VLOOKUP(Allocation[[#This Row],[SAP Contract number]],Shipments[[SAP Contract number]:[Contracted container weight]],2,FALSE)</f>
        <v>#N/A</v>
      </c>
      <c r="W1035" s="34" t="e">
        <f>VLOOKUP(Allocation[[#This Row],[SAP Contract number]],Shipments[[SAP Contract number]:[AAA Premium USD]],24,FALSE)</f>
        <v>#N/A</v>
      </c>
      <c r="X1035" s="34" t="e">
        <f>VLOOKUP(Allocation[[#This Row],[SAP Contract number]],Shipments[[SAP Contract number]:[RA Premium USD]],25,FALSE)</f>
        <v>#N/A</v>
      </c>
      <c r="Y1035" s="38">
        <f>Allocation[[#This Row],[Quantity Processed]]/Allocation[[#This Row],[Quantity allocated]]</f>
        <v>2.9407948094079481</v>
      </c>
      <c r="Z1035" s="34" t="b">
        <f>Allocation[[#This Row],[Quantity allocated]]&lt;=Allocation[[#This Row],[Quantity Processed]]</f>
        <v>1</v>
      </c>
    </row>
    <row r="1036" spans="1:26">
      <c r="A1036" s="247" t="s">
        <v>467</v>
      </c>
      <c r="B1036" s="210" t="s">
        <v>68</v>
      </c>
      <c r="C1036" s="254" t="s">
        <v>996</v>
      </c>
      <c r="D1036" s="255">
        <v>6452</v>
      </c>
      <c r="E1036" s="211" t="s">
        <v>1864</v>
      </c>
      <c r="F1036" s="212">
        <v>43538</v>
      </c>
      <c r="G1036" s="213">
        <v>2.68</v>
      </c>
      <c r="H1036" s="256">
        <v>2129</v>
      </c>
      <c r="I1036" s="214">
        <v>1444685</v>
      </c>
      <c r="J1036" s="215">
        <v>21600</v>
      </c>
      <c r="K1036" s="212">
        <v>43587</v>
      </c>
      <c r="L1036" s="211" t="s">
        <v>1868</v>
      </c>
      <c r="M1036" s="216">
        <v>4615445946</v>
      </c>
      <c r="N1036" s="212">
        <v>43682</v>
      </c>
      <c r="O1036" s="217">
        <v>3.9611999999999998</v>
      </c>
      <c r="P1036" s="219"/>
      <c r="Q1036" s="34">
        <f>SUMIF(Allocation[Delivery ID],Allocation[[#This Row],[Delivery ID]],Allocation[Quantity Processed])</f>
        <v>20080</v>
      </c>
      <c r="R1036" s="61">
        <f>Allocation[[#This Row],[Total volume used]]/VLOOKUP(Allocation[[#This Row],[Delivery ID]],Delivery[[Delivery ID]:[Quantity delivered]],3,FALSE)</f>
        <v>1</v>
      </c>
      <c r="S1036" s="34">
        <f>Allocation[[#This Row],[Quantity Processed]]/Allocation[[#This Row],[Dilution rate]]</f>
        <v>2407.4626865671639</v>
      </c>
      <c r="T1036" s="59">
        <f>SUMIF(Allocation[Delivery ID],Allocation[[#This Row],[Delivery ID]],Allocation[Quantity allocated])/SUMIF(Allocation[Delivery ID],Allocation[[#This Row],[Delivery ID]],Allocation[Volume available (kg)])</f>
        <v>0.81624488094994108</v>
      </c>
      <c r="U1036" s="61">
        <f>Allocation[[#This Row],[Total volume used]]/VLOOKUP(Allocation[[#This Row],[Delivery ID]],Delivery[[Delivery ID]:[Quantity delivered]],3,FALSE)</f>
        <v>1</v>
      </c>
      <c r="V1036" s="34" t="e">
        <f>VLOOKUP(Allocation[[#This Row],[SAP Contract number]],Shipments[[SAP Contract number]:[Contracted container weight]],2,FALSE)</f>
        <v>#N/A</v>
      </c>
      <c r="W1036" s="34" t="e">
        <f>VLOOKUP(Allocation[[#This Row],[SAP Contract number]],Shipments[[SAP Contract number]:[AAA Premium USD]],24,FALSE)</f>
        <v>#N/A</v>
      </c>
      <c r="X1036" s="34" t="e">
        <f>VLOOKUP(Allocation[[#This Row],[SAP Contract number]],Shipments[[SAP Contract number]:[RA Premium USD]],25,FALSE)</f>
        <v>#N/A</v>
      </c>
      <c r="Y1036" s="38">
        <f>Allocation[[#This Row],[Quantity Processed]]/Allocation[[#This Row],[Quantity allocated]]</f>
        <v>3.030530765617661</v>
      </c>
      <c r="Z1036" s="34" t="b">
        <f>Allocation[[#This Row],[Quantity allocated]]&lt;=Allocation[[#This Row],[Quantity Processed]]</f>
        <v>1</v>
      </c>
    </row>
    <row r="1037" spans="1:26">
      <c r="A1037" s="247" t="s">
        <v>467</v>
      </c>
      <c r="B1037" s="210" t="s">
        <v>68</v>
      </c>
      <c r="C1037" s="254" t="s">
        <v>1637</v>
      </c>
      <c r="D1037" s="255">
        <v>543</v>
      </c>
      <c r="E1037" s="211" t="s">
        <v>1864</v>
      </c>
      <c r="F1037" s="212">
        <v>43538</v>
      </c>
      <c r="G1037" s="213">
        <v>2.68</v>
      </c>
      <c r="H1037" s="256">
        <v>163</v>
      </c>
      <c r="I1037" s="214">
        <v>1444685</v>
      </c>
      <c r="J1037" s="215">
        <v>21600</v>
      </c>
      <c r="K1037" s="212">
        <v>43587</v>
      </c>
      <c r="L1037" s="211" t="s">
        <v>1868</v>
      </c>
      <c r="M1037" s="216">
        <v>4615445946</v>
      </c>
      <c r="N1037" s="212">
        <v>43682</v>
      </c>
      <c r="O1037" s="217">
        <v>3.9611999999999998</v>
      </c>
      <c r="P1037" s="219"/>
      <c r="Q1037" s="34">
        <f>SUMIF(Allocation[Delivery ID],Allocation[[#This Row],[Delivery ID]],Allocation[Quantity Processed])</f>
        <v>24645.5</v>
      </c>
      <c r="R1037" s="61">
        <f>Allocation[[#This Row],[Total volume used]]/VLOOKUP(Allocation[[#This Row],[Delivery ID]],Delivery[[Delivery ID]:[Quantity delivered]],3,FALSE)</f>
        <v>1</v>
      </c>
      <c r="S1037" s="34">
        <f>Allocation[[#This Row],[Quantity Processed]]/Allocation[[#This Row],[Dilution rate]]</f>
        <v>202.61194029850745</v>
      </c>
      <c r="T1037" s="59">
        <f>SUMIF(Allocation[Delivery ID],Allocation[[#This Row],[Delivery ID]],Allocation[Quantity allocated])/SUMIF(Allocation[Delivery ID],Allocation[[#This Row],[Delivery ID]],Allocation[Volume available (kg)])</f>
        <v>0.77198266112039871</v>
      </c>
      <c r="U1037" s="61">
        <f>Allocation[[#This Row],[Total volume used]]/VLOOKUP(Allocation[[#This Row],[Delivery ID]],Delivery[[Delivery ID]:[Quantity delivered]],3,FALSE)</f>
        <v>1</v>
      </c>
      <c r="V1037" s="34" t="e">
        <f>VLOOKUP(Allocation[[#This Row],[SAP Contract number]],Shipments[[SAP Contract number]:[Contracted container weight]],2,FALSE)</f>
        <v>#N/A</v>
      </c>
      <c r="W1037" s="34" t="e">
        <f>VLOOKUP(Allocation[[#This Row],[SAP Contract number]],Shipments[[SAP Contract number]:[AAA Premium USD]],24,FALSE)</f>
        <v>#N/A</v>
      </c>
      <c r="X1037" s="34" t="e">
        <f>VLOOKUP(Allocation[[#This Row],[SAP Contract number]],Shipments[[SAP Contract number]:[RA Premium USD]],25,FALSE)</f>
        <v>#N/A</v>
      </c>
      <c r="Y1037" s="38">
        <f>Allocation[[#This Row],[Quantity Processed]]/Allocation[[#This Row],[Quantity allocated]]</f>
        <v>3.3312883435582821</v>
      </c>
      <c r="Z1037" s="34" t="b">
        <f>Allocation[[#This Row],[Quantity allocated]]&lt;=Allocation[[#This Row],[Quantity Processed]]</f>
        <v>1</v>
      </c>
    </row>
    <row r="1038" spans="1:26">
      <c r="A1038" s="247" t="s">
        <v>467</v>
      </c>
      <c r="B1038" s="210" t="s">
        <v>68</v>
      </c>
      <c r="C1038" s="254" t="s">
        <v>1001</v>
      </c>
      <c r="D1038" s="255">
        <v>7402</v>
      </c>
      <c r="E1038" s="211" t="s">
        <v>1864</v>
      </c>
      <c r="F1038" s="212">
        <v>43538</v>
      </c>
      <c r="G1038" s="213">
        <v>2.68</v>
      </c>
      <c r="H1038" s="256">
        <v>3405</v>
      </c>
      <c r="I1038" s="214">
        <v>1444685</v>
      </c>
      <c r="J1038" s="215">
        <v>21600</v>
      </c>
      <c r="K1038" s="212">
        <v>43587</v>
      </c>
      <c r="L1038" s="211" t="s">
        <v>1868</v>
      </c>
      <c r="M1038" s="216">
        <v>4615445946</v>
      </c>
      <c r="N1038" s="212">
        <v>43682</v>
      </c>
      <c r="O1038" s="217">
        <v>3.9611999999999998</v>
      </c>
      <c r="P1038" s="219"/>
      <c r="Q1038" s="34">
        <f>SUMIF(Allocation[Delivery ID],Allocation[[#This Row],[Delivery ID]],Allocation[Quantity Processed])</f>
        <v>28867</v>
      </c>
      <c r="R1038" s="61">
        <f>Allocation[[#This Row],[Total volume used]]/VLOOKUP(Allocation[[#This Row],[Delivery ID]],Delivery[[Delivery ID]:[Quantity delivered]],3,FALSE)</f>
        <v>0.89900342572407355</v>
      </c>
      <c r="S1038" s="34">
        <f>Allocation[[#This Row],[Quantity Processed]]/Allocation[[#This Row],[Dilution rate]]</f>
        <v>2761.9402985074626</v>
      </c>
      <c r="T1038" s="59">
        <f>SUMIF(Allocation[Delivery ID],Allocation[[#This Row],[Delivery ID]],Allocation[Quantity allocated])/SUMIF(Allocation[Delivery ID],Allocation[[#This Row],[Delivery ID]],Allocation[Volume available (kg)])</f>
        <v>1.1481266053320882</v>
      </c>
      <c r="U1038" s="61">
        <f>Allocation[[#This Row],[Total volume used]]/VLOOKUP(Allocation[[#This Row],[Delivery ID]],Delivery[[Delivery ID]:[Quantity delivered]],3,FALSE)</f>
        <v>0.89900342572407355</v>
      </c>
      <c r="V1038" s="34" t="e">
        <f>VLOOKUP(Allocation[[#This Row],[SAP Contract number]],Shipments[[SAP Contract number]:[Contracted container weight]],2,FALSE)</f>
        <v>#N/A</v>
      </c>
      <c r="W1038" s="34" t="e">
        <f>VLOOKUP(Allocation[[#This Row],[SAP Contract number]],Shipments[[SAP Contract number]:[AAA Premium USD]],24,FALSE)</f>
        <v>#N/A</v>
      </c>
      <c r="X1038" s="34" t="e">
        <f>VLOOKUP(Allocation[[#This Row],[SAP Contract number]],Shipments[[SAP Contract number]:[RA Premium USD]],25,FALSE)</f>
        <v>#N/A</v>
      </c>
      <c r="Y1038" s="38">
        <f>Allocation[[#This Row],[Quantity Processed]]/Allocation[[#This Row],[Quantity allocated]]</f>
        <v>2.1738619676945667</v>
      </c>
      <c r="Z1038" s="34" t="b">
        <f>Allocation[[#This Row],[Quantity allocated]]&lt;=Allocation[[#This Row],[Quantity Processed]]</f>
        <v>1</v>
      </c>
    </row>
    <row r="1039" spans="1:26">
      <c r="A1039" s="247" t="s">
        <v>467</v>
      </c>
      <c r="B1039" s="210" t="s">
        <v>68</v>
      </c>
      <c r="C1039" s="254" t="s">
        <v>1003</v>
      </c>
      <c r="D1039" s="255">
        <v>7404</v>
      </c>
      <c r="E1039" s="211" t="s">
        <v>1864</v>
      </c>
      <c r="F1039" s="212">
        <v>43538</v>
      </c>
      <c r="G1039" s="213">
        <v>2.68</v>
      </c>
      <c r="H1039" s="256">
        <v>3406</v>
      </c>
      <c r="I1039" s="214">
        <v>1444685</v>
      </c>
      <c r="J1039" s="215">
        <v>21600</v>
      </c>
      <c r="K1039" s="212">
        <v>43587</v>
      </c>
      <c r="L1039" s="211" t="s">
        <v>1868</v>
      </c>
      <c r="M1039" s="216">
        <v>4615445946</v>
      </c>
      <c r="N1039" s="212">
        <v>43682</v>
      </c>
      <c r="O1039" s="217">
        <v>3.9611999999999998</v>
      </c>
      <c r="P1039" s="219"/>
      <c r="Q1039" s="34">
        <f>SUMIF(Allocation[Delivery ID],Allocation[[#This Row],[Delivery ID]],Allocation[Quantity Processed])</f>
        <v>28873</v>
      </c>
      <c r="R1039" s="61">
        <f>Allocation[[#This Row],[Total volume used]]/VLOOKUP(Allocation[[#This Row],[Delivery ID]],Delivery[[Delivery ID]:[Quantity delivered]],3,FALSE)</f>
        <v>0.89891033623910332</v>
      </c>
      <c r="S1039" s="34">
        <f>Allocation[[#This Row],[Quantity Processed]]/Allocation[[#This Row],[Dilution rate]]</f>
        <v>2762.686567164179</v>
      </c>
      <c r="T1039" s="59">
        <f>SUMIF(Allocation[Delivery ID],Allocation[[#This Row],[Delivery ID]],Allocation[Quantity allocated])/SUMIF(Allocation[Delivery ID],Allocation[[#This Row],[Delivery ID]],Allocation[Volume available (kg)])</f>
        <v>1.1481625917339773</v>
      </c>
      <c r="U1039" s="61">
        <f>Allocation[[#This Row],[Total volume used]]/VLOOKUP(Allocation[[#This Row],[Delivery ID]],Delivery[[Delivery ID]:[Quantity delivered]],3,FALSE)</f>
        <v>0.89891033623910332</v>
      </c>
      <c r="V1039" s="34" t="e">
        <f>VLOOKUP(Allocation[[#This Row],[SAP Contract number]],Shipments[[SAP Contract number]:[Contracted container weight]],2,FALSE)</f>
        <v>#N/A</v>
      </c>
      <c r="W1039" s="34" t="e">
        <f>VLOOKUP(Allocation[[#This Row],[SAP Contract number]],Shipments[[SAP Contract number]:[AAA Premium USD]],24,FALSE)</f>
        <v>#N/A</v>
      </c>
      <c r="X1039" s="34" t="e">
        <f>VLOOKUP(Allocation[[#This Row],[SAP Contract number]],Shipments[[SAP Contract number]:[RA Premium USD]],25,FALSE)</f>
        <v>#N/A</v>
      </c>
      <c r="Y1039" s="38">
        <f>Allocation[[#This Row],[Quantity Processed]]/Allocation[[#This Row],[Quantity allocated]]</f>
        <v>2.173810921902525</v>
      </c>
      <c r="Z1039" s="34" t="b">
        <f>Allocation[[#This Row],[Quantity allocated]]&lt;=Allocation[[#This Row],[Quantity Processed]]</f>
        <v>1</v>
      </c>
    </row>
    <row r="1040" spans="1:26">
      <c r="A1040" s="247" t="s">
        <v>467</v>
      </c>
      <c r="B1040" s="210" t="s">
        <v>68</v>
      </c>
      <c r="C1040" s="254" t="s">
        <v>1004</v>
      </c>
      <c r="D1040" s="255">
        <v>4163</v>
      </c>
      <c r="E1040" s="211" t="s">
        <v>1864</v>
      </c>
      <c r="F1040" s="212">
        <v>43538</v>
      </c>
      <c r="G1040" s="213">
        <v>2.68</v>
      </c>
      <c r="H1040" s="256">
        <v>1915</v>
      </c>
      <c r="I1040" s="214">
        <v>1444685</v>
      </c>
      <c r="J1040" s="215">
        <v>21600</v>
      </c>
      <c r="K1040" s="212">
        <v>43587</v>
      </c>
      <c r="L1040" s="211" t="s">
        <v>1868</v>
      </c>
      <c r="M1040" s="216">
        <v>4615445946</v>
      </c>
      <c r="N1040" s="212">
        <v>43682</v>
      </c>
      <c r="O1040" s="217">
        <v>3.9611999999999998</v>
      </c>
      <c r="P1040" s="219"/>
      <c r="Q1040" s="34">
        <f>SUMIF(Allocation[Delivery ID],Allocation[[#This Row],[Delivery ID]],Allocation[Quantity Processed])</f>
        <v>16278</v>
      </c>
      <c r="R1040" s="61">
        <f>Allocation[[#This Row],[Total volume used]]/VLOOKUP(Allocation[[#This Row],[Delivery ID]],Delivery[[Delivery ID]:[Quantity delivered]],3,FALSE)</f>
        <v>0.90132890365448504</v>
      </c>
      <c r="S1040" s="34">
        <f>Allocation[[#This Row],[Quantity Processed]]/Allocation[[#This Row],[Dilution rate]]</f>
        <v>1553.3582089552237</v>
      </c>
      <c r="T1040" s="59">
        <f>SUMIF(Allocation[Delivery ID],Allocation[[#This Row],[Delivery ID]],Allocation[Quantity allocated])/SUMIF(Allocation[Delivery ID],Allocation[[#This Row],[Delivery ID]],Allocation[Volume available (kg)])</f>
        <v>1.1475658695106412</v>
      </c>
      <c r="U1040" s="61">
        <f>Allocation[[#This Row],[Total volume used]]/VLOOKUP(Allocation[[#This Row],[Delivery ID]],Delivery[[Delivery ID]:[Quantity delivered]],3,FALSE)</f>
        <v>0.90132890365448504</v>
      </c>
      <c r="V1040" s="34" t="e">
        <f>VLOOKUP(Allocation[[#This Row],[SAP Contract number]],Shipments[[SAP Contract number]:[Contracted container weight]],2,FALSE)</f>
        <v>#N/A</v>
      </c>
      <c r="W1040" s="34" t="e">
        <f>VLOOKUP(Allocation[[#This Row],[SAP Contract number]],Shipments[[SAP Contract number]:[AAA Premium USD]],24,FALSE)</f>
        <v>#N/A</v>
      </c>
      <c r="X1040" s="34" t="e">
        <f>VLOOKUP(Allocation[[#This Row],[SAP Contract number]],Shipments[[SAP Contract number]:[RA Premium USD]],25,FALSE)</f>
        <v>#N/A</v>
      </c>
      <c r="Y1040" s="38">
        <f>Allocation[[#This Row],[Quantity Processed]]/Allocation[[#This Row],[Quantity allocated]]</f>
        <v>2.1738903394255873</v>
      </c>
      <c r="Z1040" s="34" t="b">
        <f>Allocation[[#This Row],[Quantity allocated]]&lt;=Allocation[[#This Row],[Quantity Processed]]</f>
        <v>1</v>
      </c>
    </row>
    <row r="1041" spans="1:26">
      <c r="A1041" s="247" t="s">
        <v>467</v>
      </c>
      <c r="B1041" s="210" t="s">
        <v>68</v>
      </c>
      <c r="C1041" s="254" t="s">
        <v>1639</v>
      </c>
      <c r="D1041" s="255">
        <v>1068</v>
      </c>
      <c r="E1041" s="211" t="s">
        <v>1864</v>
      </c>
      <c r="F1041" s="212">
        <v>43538</v>
      </c>
      <c r="G1041" s="213">
        <v>2.68</v>
      </c>
      <c r="H1041" s="256">
        <v>363</v>
      </c>
      <c r="I1041" s="214">
        <v>1444685</v>
      </c>
      <c r="J1041" s="215">
        <v>21600</v>
      </c>
      <c r="K1041" s="212">
        <v>43587</v>
      </c>
      <c r="L1041" s="211" t="s">
        <v>1868</v>
      </c>
      <c r="M1041" s="216">
        <v>4615445946</v>
      </c>
      <c r="N1041" s="212">
        <v>43682</v>
      </c>
      <c r="O1041" s="217">
        <v>3.9611999999999998</v>
      </c>
      <c r="P1041" s="219"/>
      <c r="Q1041" s="34">
        <f>SUMIF(Allocation[Delivery ID],Allocation[[#This Row],[Delivery ID]],Allocation[Quantity Processed])</f>
        <v>3095</v>
      </c>
      <c r="R1041" s="61">
        <f>Allocation[[#This Row],[Total volume used]]/VLOOKUP(Allocation[[#This Row],[Delivery ID]],Delivery[[Delivery ID]:[Quantity delivered]],3,FALSE)</f>
        <v>0.2824936108068638</v>
      </c>
      <c r="S1041" s="34">
        <f>Allocation[[#This Row],[Quantity Processed]]/Allocation[[#This Row],[Dilution rate]]</f>
        <v>398.50746268656712</v>
      </c>
      <c r="T1041" s="59">
        <f>SUMIF(Allocation[Delivery ID],Allocation[[#This Row],[Delivery ID]],Allocation[Quantity allocated])/SUMIF(Allocation[Delivery ID],Allocation[[#This Row],[Delivery ID]],Allocation[Volume available (kg)])</f>
        <v>0.90694770522858625</v>
      </c>
      <c r="U1041" s="61">
        <f>Allocation[[#This Row],[Total volume used]]/VLOOKUP(Allocation[[#This Row],[Delivery ID]],Delivery[[Delivery ID]:[Quantity delivered]],3,FALSE)</f>
        <v>0.2824936108068638</v>
      </c>
      <c r="V1041" s="34" t="e">
        <f>VLOOKUP(Allocation[[#This Row],[SAP Contract number]],Shipments[[SAP Contract number]:[Contracted container weight]],2,FALSE)</f>
        <v>#N/A</v>
      </c>
      <c r="W1041" s="34" t="e">
        <f>VLOOKUP(Allocation[[#This Row],[SAP Contract number]],Shipments[[SAP Contract number]:[AAA Premium USD]],24,FALSE)</f>
        <v>#N/A</v>
      </c>
      <c r="X1041" s="34" t="e">
        <f>VLOOKUP(Allocation[[#This Row],[SAP Contract number]],Shipments[[SAP Contract number]:[RA Premium USD]],25,FALSE)</f>
        <v>#N/A</v>
      </c>
      <c r="Y1041" s="38">
        <f>Allocation[[#This Row],[Quantity Processed]]/Allocation[[#This Row],[Quantity allocated]]</f>
        <v>2.9421487603305785</v>
      </c>
      <c r="Z1041" s="34" t="b">
        <f>Allocation[[#This Row],[Quantity allocated]]&lt;=Allocation[[#This Row],[Quantity Processed]]</f>
        <v>1</v>
      </c>
    </row>
    <row r="1042" spans="1:26">
      <c r="A1042" s="247" t="s">
        <v>467</v>
      </c>
      <c r="B1042" s="210" t="s">
        <v>68</v>
      </c>
      <c r="C1042" s="254" t="s">
        <v>1005</v>
      </c>
      <c r="D1042" s="255">
        <v>141</v>
      </c>
      <c r="E1042" s="211" t="s">
        <v>1864</v>
      </c>
      <c r="F1042" s="212">
        <v>43538</v>
      </c>
      <c r="G1042" s="213">
        <v>2.68</v>
      </c>
      <c r="H1042" s="256">
        <v>52</v>
      </c>
      <c r="I1042" s="214">
        <v>1444685</v>
      </c>
      <c r="J1042" s="215">
        <v>21600</v>
      </c>
      <c r="K1042" s="212">
        <v>43587</v>
      </c>
      <c r="L1042" s="211" t="s">
        <v>1868</v>
      </c>
      <c r="M1042" s="216">
        <v>4615445946</v>
      </c>
      <c r="N1042" s="212">
        <v>43682</v>
      </c>
      <c r="O1042" s="217">
        <v>3.9611999999999998</v>
      </c>
      <c r="P1042" s="219"/>
      <c r="Q1042" s="34">
        <f>SUMIF(Allocation[Delivery ID],Allocation[[#This Row],[Delivery ID]],Allocation[Quantity Processed])</f>
        <v>5052.5</v>
      </c>
      <c r="R1042" s="61">
        <f>Allocation[[#This Row],[Total volume used]]/VLOOKUP(Allocation[[#This Row],[Delivery ID]],Delivery[[Delivery ID]:[Quantity delivered]],3,FALSE)</f>
        <v>1</v>
      </c>
      <c r="S1042" s="34">
        <f>Allocation[[#This Row],[Quantity Processed]]/Allocation[[#This Row],[Dilution rate]]</f>
        <v>52.611940298507463</v>
      </c>
      <c r="T1042" s="59">
        <f>SUMIF(Allocation[Delivery ID],Allocation[[#This Row],[Delivery ID]],Allocation[Quantity allocated])/SUMIF(Allocation[Delivery ID],Allocation[[#This Row],[Delivery ID]],Allocation[Volume available (kg)])</f>
        <v>0.92122640629060271</v>
      </c>
      <c r="U1042" s="61">
        <f>Allocation[[#This Row],[Total volume used]]/VLOOKUP(Allocation[[#This Row],[Delivery ID]],Delivery[[Delivery ID]:[Quantity delivered]],3,FALSE)</f>
        <v>1</v>
      </c>
      <c r="V1042" s="34" t="e">
        <f>VLOOKUP(Allocation[[#This Row],[SAP Contract number]],Shipments[[SAP Contract number]:[Contracted container weight]],2,FALSE)</f>
        <v>#N/A</v>
      </c>
      <c r="W1042" s="34" t="e">
        <f>VLOOKUP(Allocation[[#This Row],[SAP Contract number]],Shipments[[SAP Contract number]:[AAA Premium USD]],24,FALSE)</f>
        <v>#N/A</v>
      </c>
      <c r="X1042" s="34" t="e">
        <f>VLOOKUP(Allocation[[#This Row],[SAP Contract number]],Shipments[[SAP Contract number]:[RA Premium USD]],25,FALSE)</f>
        <v>#N/A</v>
      </c>
      <c r="Y1042" s="38">
        <f>Allocation[[#This Row],[Quantity Processed]]/Allocation[[#This Row],[Quantity allocated]]</f>
        <v>2.7115384615384617</v>
      </c>
      <c r="Z1042" s="34" t="b">
        <f>Allocation[[#This Row],[Quantity allocated]]&lt;=Allocation[[#This Row],[Quantity Processed]]</f>
        <v>1</v>
      </c>
    </row>
    <row r="1043" spans="1:26">
      <c r="A1043" s="247" t="s">
        <v>467</v>
      </c>
      <c r="B1043" s="210" t="s">
        <v>68</v>
      </c>
      <c r="C1043" s="254" t="s">
        <v>1005</v>
      </c>
      <c r="D1043" s="255">
        <v>1308</v>
      </c>
      <c r="E1043" s="211" t="s">
        <v>1864</v>
      </c>
      <c r="F1043" s="212">
        <v>43538</v>
      </c>
      <c r="G1043" s="213">
        <v>2.68</v>
      </c>
      <c r="H1043" s="256">
        <v>484</v>
      </c>
      <c r="I1043" s="214">
        <v>1444686</v>
      </c>
      <c r="J1043" s="215">
        <v>21600</v>
      </c>
      <c r="K1043" s="212">
        <v>43587</v>
      </c>
      <c r="L1043" s="211" t="s">
        <v>1869</v>
      </c>
      <c r="M1043" s="216">
        <v>4615445946</v>
      </c>
      <c r="N1043" s="212">
        <v>43682</v>
      </c>
      <c r="O1043" s="217">
        <v>3.9611999999999998</v>
      </c>
      <c r="P1043" s="219"/>
      <c r="Q1043" s="34">
        <f>SUMIF(Allocation[Delivery ID],Allocation[[#This Row],[Delivery ID]],Allocation[Quantity Processed])</f>
        <v>5052.5</v>
      </c>
      <c r="R1043" s="61">
        <f>Allocation[[#This Row],[Total volume used]]/VLOOKUP(Allocation[[#This Row],[Delivery ID]],Delivery[[Delivery ID]:[Quantity delivered]],3,FALSE)</f>
        <v>1</v>
      </c>
      <c r="S1043" s="34">
        <f>Allocation[[#This Row],[Quantity Processed]]/Allocation[[#This Row],[Dilution rate]]</f>
        <v>488.05970149253727</v>
      </c>
      <c r="T1043" s="59">
        <f>SUMIF(Allocation[Delivery ID],Allocation[[#This Row],[Delivery ID]],Allocation[Quantity allocated])/SUMIF(Allocation[Delivery ID],Allocation[[#This Row],[Delivery ID]],Allocation[Volume available (kg)])</f>
        <v>0.92122640629060271</v>
      </c>
      <c r="U1043" s="61">
        <f>Allocation[[#This Row],[Total volume used]]/VLOOKUP(Allocation[[#This Row],[Delivery ID]],Delivery[[Delivery ID]:[Quantity delivered]],3,FALSE)</f>
        <v>1</v>
      </c>
      <c r="V1043" s="34" t="e">
        <f>VLOOKUP(Allocation[[#This Row],[SAP Contract number]],Shipments[[SAP Contract number]:[Contracted container weight]],2,FALSE)</f>
        <v>#N/A</v>
      </c>
      <c r="W1043" s="34" t="e">
        <f>VLOOKUP(Allocation[[#This Row],[SAP Contract number]],Shipments[[SAP Contract number]:[AAA Premium USD]],24,FALSE)</f>
        <v>#N/A</v>
      </c>
      <c r="X1043" s="34" t="e">
        <f>VLOOKUP(Allocation[[#This Row],[SAP Contract number]],Shipments[[SAP Contract number]:[RA Premium USD]],25,FALSE)</f>
        <v>#N/A</v>
      </c>
      <c r="Y1043" s="38">
        <f>Allocation[[#This Row],[Quantity Processed]]/Allocation[[#This Row],[Quantity allocated]]</f>
        <v>2.7024793388429753</v>
      </c>
      <c r="Z1043" s="34" t="b">
        <f>Allocation[[#This Row],[Quantity allocated]]&lt;=Allocation[[#This Row],[Quantity Processed]]</f>
        <v>1</v>
      </c>
    </row>
    <row r="1044" spans="1:26">
      <c r="A1044" s="247" t="s">
        <v>467</v>
      </c>
      <c r="B1044" s="210" t="s">
        <v>68</v>
      </c>
      <c r="C1044" s="254" t="s">
        <v>1007</v>
      </c>
      <c r="D1044" s="255">
        <v>8246</v>
      </c>
      <c r="E1044" s="211" t="s">
        <v>1864</v>
      </c>
      <c r="F1044" s="212">
        <v>43538</v>
      </c>
      <c r="G1044" s="213">
        <v>2.68</v>
      </c>
      <c r="H1044" s="256">
        <v>3381</v>
      </c>
      <c r="I1044" s="214">
        <v>1444686</v>
      </c>
      <c r="J1044" s="215">
        <v>21600</v>
      </c>
      <c r="K1044" s="212">
        <v>43587</v>
      </c>
      <c r="L1044" s="211" t="s">
        <v>1869</v>
      </c>
      <c r="M1044" s="216">
        <v>4615445946</v>
      </c>
      <c r="N1044" s="212">
        <v>43682</v>
      </c>
      <c r="O1044" s="217">
        <v>3.9611999999999998</v>
      </c>
      <c r="P1044" s="219"/>
      <c r="Q1044" s="34">
        <f>SUMIF(Allocation[Delivery ID],Allocation[[#This Row],[Delivery ID]],Allocation[Quantity Processed])</f>
        <v>31880</v>
      </c>
      <c r="R1044" s="61">
        <f>Allocation[[#This Row],[Total volume used]]/VLOOKUP(Allocation[[#This Row],[Delivery ID]],Delivery[[Delivery ID]:[Quantity delivered]],3,FALSE)</f>
        <v>1</v>
      </c>
      <c r="S1044" s="34">
        <f>Allocation[[#This Row],[Quantity Processed]]/Allocation[[#This Row],[Dilution rate]]</f>
        <v>3076.8656716417909</v>
      </c>
      <c r="T1044" s="59">
        <f>SUMIF(Allocation[Delivery ID],Allocation[[#This Row],[Delivery ID]],Allocation[Quantity allocated])/SUMIF(Allocation[Delivery ID],Allocation[[#This Row],[Delivery ID]],Allocation[Volume available (kg)])</f>
        <v>1.0232020361011271</v>
      </c>
      <c r="U1044" s="61">
        <f>Allocation[[#This Row],[Total volume used]]/VLOOKUP(Allocation[[#This Row],[Delivery ID]],Delivery[[Delivery ID]:[Quantity delivered]],3,FALSE)</f>
        <v>1</v>
      </c>
      <c r="V1044" s="34" t="e">
        <f>VLOOKUP(Allocation[[#This Row],[SAP Contract number]],Shipments[[SAP Contract number]:[Contracted container weight]],2,FALSE)</f>
        <v>#N/A</v>
      </c>
      <c r="W1044" s="34" t="e">
        <f>VLOOKUP(Allocation[[#This Row],[SAP Contract number]],Shipments[[SAP Contract number]:[AAA Premium USD]],24,FALSE)</f>
        <v>#N/A</v>
      </c>
      <c r="X1044" s="34" t="e">
        <f>VLOOKUP(Allocation[[#This Row],[SAP Contract number]],Shipments[[SAP Contract number]:[RA Premium USD]],25,FALSE)</f>
        <v>#N/A</v>
      </c>
      <c r="Y1044" s="38">
        <f>Allocation[[#This Row],[Quantity Processed]]/Allocation[[#This Row],[Quantity allocated]]</f>
        <v>2.4389233954451344</v>
      </c>
      <c r="Z1044" s="34" t="b">
        <f>Allocation[[#This Row],[Quantity allocated]]&lt;=Allocation[[#This Row],[Quantity Processed]]</f>
        <v>1</v>
      </c>
    </row>
    <row r="1045" spans="1:26">
      <c r="A1045" s="247" t="s">
        <v>467</v>
      </c>
      <c r="B1045" s="210" t="s">
        <v>68</v>
      </c>
      <c r="C1045" s="254" t="s">
        <v>1643</v>
      </c>
      <c r="D1045" s="255">
        <v>120</v>
      </c>
      <c r="E1045" s="211" t="s">
        <v>1864</v>
      </c>
      <c r="F1045" s="212">
        <v>43538</v>
      </c>
      <c r="G1045" s="213">
        <v>2.68</v>
      </c>
      <c r="H1045" s="256">
        <v>42</v>
      </c>
      <c r="I1045" s="214">
        <v>1444686</v>
      </c>
      <c r="J1045" s="215">
        <v>21600</v>
      </c>
      <c r="K1045" s="212">
        <v>43587</v>
      </c>
      <c r="L1045" s="211" t="s">
        <v>1869</v>
      </c>
      <c r="M1045" s="216">
        <v>4615445946</v>
      </c>
      <c r="N1045" s="212">
        <v>43682</v>
      </c>
      <c r="O1045" s="217">
        <v>3.9611999999999998</v>
      </c>
      <c r="P1045" s="219"/>
      <c r="Q1045" s="34">
        <f>SUMIF(Allocation[Delivery ID],Allocation[[#This Row],[Delivery ID]],Allocation[Quantity Processed])</f>
        <v>826</v>
      </c>
      <c r="R1045" s="61">
        <f>Allocation[[#This Row],[Total volume used]]/VLOOKUP(Allocation[[#This Row],[Delivery ID]],Delivery[[Delivery ID]:[Quantity delivered]],3,FALSE)</f>
        <v>0.13149725384064315</v>
      </c>
      <c r="S1045" s="34">
        <f>Allocation[[#This Row],[Quantity Processed]]/Allocation[[#This Row],[Dilution rate]]</f>
        <v>44.776119402985074</v>
      </c>
      <c r="T1045" s="59">
        <f>SUMIF(Allocation[Delivery ID],Allocation[[#This Row],[Delivery ID]],Allocation[Quantity allocated])/SUMIF(Allocation[Delivery ID],Allocation[[#This Row],[Delivery ID]],Allocation[Volume available (kg)])</f>
        <v>0.78525679208867372</v>
      </c>
      <c r="U1045" s="61">
        <f>Allocation[[#This Row],[Total volume used]]/VLOOKUP(Allocation[[#This Row],[Delivery ID]],Delivery[[Delivery ID]:[Quantity delivered]],3,FALSE)</f>
        <v>0.13149725384064315</v>
      </c>
      <c r="V1045" s="34" t="e">
        <f>VLOOKUP(Allocation[[#This Row],[SAP Contract number]],Shipments[[SAP Contract number]:[Contracted container weight]],2,FALSE)</f>
        <v>#N/A</v>
      </c>
      <c r="W1045" s="34" t="e">
        <f>VLOOKUP(Allocation[[#This Row],[SAP Contract number]],Shipments[[SAP Contract number]:[AAA Premium USD]],24,FALSE)</f>
        <v>#N/A</v>
      </c>
      <c r="X1045" s="34" t="e">
        <f>VLOOKUP(Allocation[[#This Row],[SAP Contract number]],Shipments[[SAP Contract number]:[RA Premium USD]],25,FALSE)</f>
        <v>#N/A</v>
      </c>
      <c r="Y1045" s="38">
        <f>Allocation[[#This Row],[Quantity Processed]]/Allocation[[#This Row],[Quantity allocated]]</f>
        <v>2.8571428571428572</v>
      </c>
      <c r="Z1045" s="34" t="b">
        <f>Allocation[[#This Row],[Quantity allocated]]&lt;=Allocation[[#This Row],[Quantity Processed]]</f>
        <v>1</v>
      </c>
    </row>
    <row r="1046" spans="1:26">
      <c r="A1046" s="247" t="s">
        <v>467</v>
      </c>
      <c r="B1046" s="210" t="s">
        <v>68</v>
      </c>
      <c r="C1046" s="254" t="s">
        <v>1644</v>
      </c>
      <c r="D1046" s="255">
        <v>6520</v>
      </c>
      <c r="E1046" s="211" t="s">
        <v>1864</v>
      </c>
      <c r="F1046" s="212">
        <v>43538</v>
      </c>
      <c r="G1046" s="213">
        <v>2.68</v>
      </c>
      <c r="H1046" s="256">
        <v>2608</v>
      </c>
      <c r="I1046" s="214">
        <v>1444686</v>
      </c>
      <c r="J1046" s="215">
        <v>21600</v>
      </c>
      <c r="K1046" s="212">
        <v>43587</v>
      </c>
      <c r="L1046" s="211" t="s">
        <v>1869</v>
      </c>
      <c r="M1046" s="216">
        <v>4615445946</v>
      </c>
      <c r="N1046" s="212">
        <v>43682</v>
      </c>
      <c r="O1046" s="217">
        <v>3.9611999999999998</v>
      </c>
      <c r="P1046" s="219"/>
      <c r="Q1046" s="34">
        <f>SUMIF(Allocation[Delivery ID],Allocation[[#This Row],[Delivery ID]],Allocation[Quantity Processed])</f>
        <v>18880</v>
      </c>
      <c r="R1046" s="61">
        <f>Allocation[[#This Row],[Total volume used]]/VLOOKUP(Allocation[[#This Row],[Delivery ID]],Delivery[[Delivery ID]:[Quantity delivered]],3,FALSE)</f>
        <v>0.70914793321689484</v>
      </c>
      <c r="S1046" s="34">
        <f>Allocation[[#This Row],[Quantity Processed]]/Allocation[[#This Row],[Dilution rate]]</f>
        <v>2432.8358208955224</v>
      </c>
      <c r="T1046" s="59">
        <f>SUMIF(Allocation[Delivery ID],Allocation[[#This Row],[Delivery ID]],Allocation[Quantity allocated])/SUMIF(Allocation[Delivery ID],Allocation[[#This Row],[Delivery ID]],Allocation[Volume available (kg)])</f>
        <v>1.0667581103543555</v>
      </c>
      <c r="U1046" s="61">
        <f>Allocation[[#This Row],[Total volume used]]/VLOOKUP(Allocation[[#This Row],[Delivery ID]],Delivery[[Delivery ID]:[Quantity delivered]],3,FALSE)</f>
        <v>0.70914793321689484</v>
      </c>
      <c r="V1046" s="34" t="e">
        <f>VLOOKUP(Allocation[[#This Row],[SAP Contract number]],Shipments[[SAP Contract number]:[Contracted container weight]],2,FALSE)</f>
        <v>#N/A</v>
      </c>
      <c r="W1046" s="34" t="e">
        <f>VLOOKUP(Allocation[[#This Row],[SAP Contract number]],Shipments[[SAP Contract number]:[AAA Premium USD]],24,FALSE)</f>
        <v>#N/A</v>
      </c>
      <c r="X1046" s="34" t="e">
        <f>VLOOKUP(Allocation[[#This Row],[SAP Contract number]],Shipments[[SAP Contract number]:[RA Premium USD]],25,FALSE)</f>
        <v>#N/A</v>
      </c>
      <c r="Y1046" s="38">
        <f>Allocation[[#This Row],[Quantity Processed]]/Allocation[[#This Row],[Quantity allocated]]</f>
        <v>2.5</v>
      </c>
      <c r="Z1046" s="34" t="b">
        <f>Allocation[[#This Row],[Quantity allocated]]&lt;=Allocation[[#This Row],[Quantity Processed]]</f>
        <v>1</v>
      </c>
    </row>
    <row r="1047" spans="1:26">
      <c r="A1047" s="247" t="s">
        <v>467</v>
      </c>
      <c r="B1047" s="210" t="s">
        <v>68</v>
      </c>
      <c r="C1047" s="254" t="s">
        <v>1010</v>
      </c>
      <c r="D1047" s="255">
        <v>2015</v>
      </c>
      <c r="E1047" s="211" t="s">
        <v>1864</v>
      </c>
      <c r="F1047" s="212">
        <v>43538</v>
      </c>
      <c r="G1047" s="213">
        <v>2.68</v>
      </c>
      <c r="H1047" s="256">
        <v>826</v>
      </c>
      <c r="I1047" s="214">
        <v>1444686</v>
      </c>
      <c r="J1047" s="215">
        <v>21600</v>
      </c>
      <c r="K1047" s="212">
        <v>43587</v>
      </c>
      <c r="L1047" s="211" t="s">
        <v>1869</v>
      </c>
      <c r="M1047" s="216">
        <v>4615445946</v>
      </c>
      <c r="N1047" s="212">
        <v>43682</v>
      </c>
      <c r="O1047" s="217">
        <v>3.9611999999999998</v>
      </c>
      <c r="P1047" s="219"/>
      <c r="Q1047" s="34">
        <f>SUMIF(Allocation[Delivery ID],Allocation[[#This Row],[Delivery ID]],Allocation[Quantity Processed])</f>
        <v>7793</v>
      </c>
      <c r="R1047" s="61">
        <f>Allocation[[#This Row],[Total volume used]]/VLOOKUP(Allocation[[#This Row],[Delivery ID]],Delivery[[Delivery ID]:[Quantity delivered]],3,FALSE)</f>
        <v>1</v>
      </c>
      <c r="S1047" s="34">
        <f>Allocation[[#This Row],[Quantity Processed]]/Allocation[[#This Row],[Dilution rate]]</f>
        <v>751.86567164179098</v>
      </c>
      <c r="T1047" s="59">
        <f>SUMIF(Allocation[Delivery ID],Allocation[[#This Row],[Delivery ID]],Allocation[Quantity allocated])/SUMIF(Allocation[Delivery ID],Allocation[[#This Row],[Delivery ID]],Allocation[Volume available (kg)])</f>
        <v>1.0231604080667922</v>
      </c>
      <c r="U1047" s="61">
        <f>Allocation[[#This Row],[Total volume used]]/VLOOKUP(Allocation[[#This Row],[Delivery ID]],Delivery[[Delivery ID]:[Quantity delivered]],3,FALSE)</f>
        <v>1</v>
      </c>
      <c r="V1047" s="34" t="e">
        <f>VLOOKUP(Allocation[[#This Row],[SAP Contract number]],Shipments[[SAP Contract number]:[Contracted container weight]],2,FALSE)</f>
        <v>#N/A</v>
      </c>
      <c r="W1047" s="34" t="e">
        <f>VLOOKUP(Allocation[[#This Row],[SAP Contract number]],Shipments[[SAP Contract number]:[AAA Premium USD]],24,FALSE)</f>
        <v>#N/A</v>
      </c>
      <c r="X1047" s="34" t="e">
        <f>VLOOKUP(Allocation[[#This Row],[SAP Contract number]],Shipments[[SAP Contract number]:[RA Premium USD]],25,FALSE)</f>
        <v>#N/A</v>
      </c>
      <c r="Y1047" s="38">
        <f>Allocation[[#This Row],[Quantity Processed]]/Allocation[[#This Row],[Quantity allocated]]</f>
        <v>2.4394673123486683</v>
      </c>
      <c r="Z1047" s="34" t="b">
        <f>Allocation[[#This Row],[Quantity allocated]]&lt;=Allocation[[#This Row],[Quantity Processed]]</f>
        <v>1</v>
      </c>
    </row>
    <row r="1048" spans="1:26">
      <c r="A1048" s="247" t="s">
        <v>467</v>
      </c>
      <c r="B1048" s="210" t="s">
        <v>68</v>
      </c>
      <c r="C1048" s="254" t="s">
        <v>1012</v>
      </c>
      <c r="D1048" s="255">
        <v>10358</v>
      </c>
      <c r="E1048" s="211" t="s">
        <v>1864</v>
      </c>
      <c r="F1048" s="212">
        <v>43538</v>
      </c>
      <c r="G1048" s="213">
        <v>2.68</v>
      </c>
      <c r="H1048" s="256">
        <v>3418</v>
      </c>
      <c r="I1048" s="214">
        <v>1444686</v>
      </c>
      <c r="J1048" s="215">
        <v>21600</v>
      </c>
      <c r="K1048" s="212">
        <v>43587</v>
      </c>
      <c r="L1048" s="211" t="s">
        <v>1869</v>
      </c>
      <c r="M1048" s="216">
        <v>4615445946</v>
      </c>
      <c r="N1048" s="212">
        <v>43682</v>
      </c>
      <c r="O1048" s="217">
        <v>3.9611999999999998</v>
      </c>
      <c r="P1048" s="219"/>
      <c r="Q1048" s="34">
        <f>SUMIF(Allocation[Delivery ID],Allocation[[#This Row],[Delivery ID]],Allocation[Quantity Processed])</f>
        <v>32230</v>
      </c>
      <c r="R1048" s="61">
        <f>Allocation[[#This Row],[Total volume used]]/VLOOKUP(Allocation[[#This Row],[Delivery ID]],Delivery[[Delivery ID]:[Quantity delivered]],3,FALSE)</f>
        <v>1</v>
      </c>
      <c r="S1048" s="34">
        <f>Allocation[[#This Row],[Quantity Processed]]/Allocation[[#This Row],[Dilution rate]]</f>
        <v>3864.9253731343283</v>
      </c>
      <c r="T1048" s="59">
        <f>SUMIF(Allocation[Delivery ID],Allocation[[#This Row],[Delivery ID]],Allocation[Quantity allocated])/SUMIF(Allocation[Delivery ID],Allocation[[#This Row],[Delivery ID]],Allocation[Volume available (kg)])</f>
        <v>0.78335528312298286</v>
      </c>
      <c r="U1048" s="61">
        <f>Allocation[[#This Row],[Total volume used]]/VLOOKUP(Allocation[[#This Row],[Delivery ID]],Delivery[[Delivery ID]:[Quantity delivered]],3,FALSE)</f>
        <v>1</v>
      </c>
      <c r="V1048" s="34" t="e">
        <f>VLOOKUP(Allocation[[#This Row],[SAP Contract number]],Shipments[[SAP Contract number]:[Contracted container weight]],2,FALSE)</f>
        <v>#N/A</v>
      </c>
      <c r="W1048" s="34" t="e">
        <f>VLOOKUP(Allocation[[#This Row],[SAP Contract number]],Shipments[[SAP Contract number]:[AAA Premium USD]],24,FALSE)</f>
        <v>#N/A</v>
      </c>
      <c r="X1048" s="34" t="e">
        <f>VLOOKUP(Allocation[[#This Row],[SAP Contract number]],Shipments[[SAP Contract number]:[RA Premium USD]],25,FALSE)</f>
        <v>#N/A</v>
      </c>
      <c r="Y1048" s="38">
        <f>Allocation[[#This Row],[Quantity Processed]]/Allocation[[#This Row],[Quantity allocated]]</f>
        <v>3.0304271503803393</v>
      </c>
      <c r="Z1048" s="34" t="b">
        <f>Allocation[[#This Row],[Quantity allocated]]&lt;=Allocation[[#This Row],[Quantity Processed]]</f>
        <v>1</v>
      </c>
    </row>
    <row r="1049" spans="1:26">
      <c r="A1049" s="247" t="s">
        <v>467</v>
      </c>
      <c r="B1049" s="210" t="s">
        <v>68</v>
      </c>
      <c r="C1049" s="254" t="s">
        <v>1646</v>
      </c>
      <c r="D1049" s="255">
        <v>9185</v>
      </c>
      <c r="E1049" s="211" t="s">
        <v>1864</v>
      </c>
      <c r="F1049" s="212">
        <v>43538</v>
      </c>
      <c r="G1049" s="213">
        <v>2.68</v>
      </c>
      <c r="H1049" s="256">
        <v>3031</v>
      </c>
      <c r="I1049" s="214">
        <v>1444686</v>
      </c>
      <c r="J1049" s="215">
        <v>21600</v>
      </c>
      <c r="K1049" s="212">
        <v>43587</v>
      </c>
      <c r="L1049" s="211" t="s">
        <v>1869</v>
      </c>
      <c r="M1049" s="216">
        <v>4615445946</v>
      </c>
      <c r="N1049" s="212">
        <v>43682</v>
      </c>
      <c r="O1049" s="217">
        <v>3.9611999999999998</v>
      </c>
      <c r="P1049" s="219"/>
      <c r="Q1049" s="34">
        <f>SUMIF(Allocation[Delivery ID],Allocation[[#This Row],[Delivery ID]],Allocation[Quantity Processed])</f>
        <v>26600</v>
      </c>
      <c r="R1049" s="61">
        <f>Allocation[[#This Row],[Total volume used]]/VLOOKUP(Allocation[[#This Row],[Delivery ID]],Delivery[[Delivery ID]:[Quantity delivered]],3,FALSE)</f>
        <v>0.85963126343173846</v>
      </c>
      <c r="S1049" s="34">
        <f>Allocation[[#This Row],[Quantity Processed]]/Allocation[[#This Row],[Dilution rate]]</f>
        <v>3427.2388059701489</v>
      </c>
      <c r="T1049" s="59">
        <f>SUMIF(Allocation[Delivery ID],Allocation[[#This Row],[Delivery ID]],Allocation[Quantity allocated])/SUMIF(Allocation[Delivery ID],Allocation[[#This Row],[Delivery ID]],Allocation[Volume available (kg)])</f>
        <v>0.88007447307869247</v>
      </c>
      <c r="U1049" s="61">
        <f>Allocation[[#This Row],[Total volume used]]/VLOOKUP(Allocation[[#This Row],[Delivery ID]],Delivery[[Delivery ID]:[Quantity delivered]],3,FALSE)</f>
        <v>0.85963126343173846</v>
      </c>
      <c r="V1049" s="34" t="e">
        <f>VLOOKUP(Allocation[[#This Row],[SAP Contract number]],Shipments[[SAP Contract number]:[Contracted container weight]],2,FALSE)</f>
        <v>#N/A</v>
      </c>
      <c r="W1049" s="34" t="e">
        <f>VLOOKUP(Allocation[[#This Row],[SAP Contract number]],Shipments[[SAP Contract number]:[AAA Premium USD]],24,FALSE)</f>
        <v>#N/A</v>
      </c>
      <c r="X1049" s="34" t="e">
        <f>VLOOKUP(Allocation[[#This Row],[SAP Contract number]],Shipments[[SAP Contract number]:[RA Premium USD]],25,FALSE)</f>
        <v>#N/A</v>
      </c>
      <c r="Y1049" s="38">
        <f>Allocation[[#This Row],[Quantity Processed]]/Allocation[[#This Row],[Quantity allocated]]</f>
        <v>3.0303530188056746</v>
      </c>
      <c r="Z1049" s="34" t="b">
        <f>Allocation[[#This Row],[Quantity allocated]]&lt;=Allocation[[#This Row],[Quantity Processed]]</f>
        <v>1</v>
      </c>
    </row>
    <row r="1050" spans="1:26">
      <c r="A1050" s="247" t="s">
        <v>467</v>
      </c>
      <c r="B1050" s="210" t="s">
        <v>68</v>
      </c>
      <c r="C1050" s="254" t="s">
        <v>1647</v>
      </c>
      <c r="D1050" s="255">
        <v>9200</v>
      </c>
      <c r="E1050" s="211" t="s">
        <v>1864</v>
      </c>
      <c r="F1050" s="212">
        <v>43538</v>
      </c>
      <c r="G1050" s="213">
        <v>2.68</v>
      </c>
      <c r="H1050" s="256">
        <v>3036</v>
      </c>
      <c r="I1050" s="214">
        <v>1444686</v>
      </c>
      <c r="J1050" s="215">
        <v>21600</v>
      </c>
      <c r="K1050" s="212">
        <v>43587</v>
      </c>
      <c r="L1050" s="211" t="s">
        <v>1869</v>
      </c>
      <c r="M1050" s="216">
        <v>4615445946</v>
      </c>
      <c r="N1050" s="212">
        <v>43682</v>
      </c>
      <c r="O1050" s="217">
        <v>3.9611999999999998</v>
      </c>
      <c r="P1050" s="219"/>
      <c r="Q1050" s="34">
        <f>SUMIF(Allocation[Delivery ID],Allocation[[#This Row],[Delivery ID]],Allocation[Quantity Processed])</f>
        <v>26643</v>
      </c>
      <c r="R1050" s="61">
        <f>Allocation[[#This Row],[Total volume used]]/VLOOKUP(Allocation[[#This Row],[Delivery ID]],Delivery[[Delivery ID]:[Quantity delivered]],3,FALSE)</f>
        <v>0.85964572645436066</v>
      </c>
      <c r="S1050" s="34">
        <f>Allocation[[#This Row],[Quantity Processed]]/Allocation[[#This Row],[Dilution rate]]</f>
        <v>3432.8358208955224</v>
      </c>
      <c r="T1050" s="59">
        <f>SUMIF(Allocation[Delivery ID],Allocation[[#This Row],[Delivery ID]],Allocation[Quantity allocated])/SUMIF(Allocation[Delivery ID],Allocation[[#This Row],[Delivery ID]],Allocation[Volume available (kg)])</f>
        <v>0.88005549202645716</v>
      </c>
      <c r="U1050" s="61">
        <f>Allocation[[#This Row],[Total volume used]]/VLOOKUP(Allocation[[#This Row],[Delivery ID]],Delivery[[Delivery ID]:[Quantity delivered]],3,FALSE)</f>
        <v>0.85964572645436066</v>
      </c>
      <c r="V1050" s="34" t="e">
        <f>VLOOKUP(Allocation[[#This Row],[SAP Contract number]],Shipments[[SAP Contract number]:[Contracted container weight]],2,FALSE)</f>
        <v>#N/A</v>
      </c>
      <c r="W1050" s="34" t="e">
        <f>VLOOKUP(Allocation[[#This Row],[SAP Contract number]],Shipments[[SAP Contract number]:[AAA Premium USD]],24,FALSE)</f>
        <v>#N/A</v>
      </c>
      <c r="X1050" s="34" t="e">
        <f>VLOOKUP(Allocation[[#This Row],[SAP Contract number]],Shipments[[SAP Contract number]:[RA Premium USD]],25,FALSE)</f>
        <v>#N/A</v>
      </c>
      <c r="Y1050" s="38">
        <f>Allocation[[#This Row],[Quantity Processed]]/Allocation[[#This Row],[Quantity allocated]]</f>
        <v>3.0303030303030303</v>
      </c>
      <c r="Z1050" s="34" t="b">
        <f>Allocation[[#This Row],[Quantity allocated]]&lt;=Allocation[[#This Row],[Quantity Processed]]</f>
        <v>1</v>
      </c>
    </row>
    <row r="1051" spans="1:26">
      <c r="A1051" s="247" t="s">
        <v>467</v>
      </c>
      <c r="B1051" s="210" t="s">
        <v>68</v>
      </c>
      <c r="C1051" s="254" t="s">
        <v>1016</v>
      </c>
      <c r="D1051" s="255">
        <v>10433</v>
      </c>
      <c r="E1051" s="211" t="s">
        <v>1864</v>
      </c>
      <c r="F1051" s="212">
        <v>43538</v>
      </c>
      <c r="G1051" s="213">
        <v>2.68</v>
      </c>
      <c r="H1051" s="256">
        <v>3443</v>
      </c>
      <c r="I1051" s="214">
        <v>1444686</v>
      </c>
      <c r="J1051" s="215">
        <v>21600</v>
      </c>
      <c r="K1051" s="212">
        <v>43587</v>
      </c>
      <c r="L1051" s="211" t="s">
        <v>1869</v>
      </c>
      <c r="M1051" s="216">
        <v>4615445946</v>
      </c>
      <c r="N1051" s="212">
        <v>43682</v>
      </c>
      <c r="O1051" s="217">
        <v>3.9611999999999998</v>
      </c>
      <c r="P1051" s="219"/>
      <c r="Q1051" s="34">
        <f>SUMIF(Allocation[Delivery ID],Allocation[[#This Row],[Delivery ID]],Allocation[Quantity Processed])</f>
        <v>32470</v>
      </c>
      <c r="R1051" s="61">
        <f>Allocation[[#This Row],[Total volume used]]/VLOOKUP(Allocation[[#This Row],[Delivery ID]],Delivery[[Delivery ID]:[Quantity delivered]],3,FALSE)</f>
        <v>1</v>
      </c>
      <c r="S1051" s="34">
        <f>Allocation[[#This Row],[Quantity Processed]]/Allocation[[#This Row],[Dilution rate]]</f>
        <v>3892.9104477611936</v>
      </c>
      <c r="T1051" s="59">
        <f>SUMIF(Allocation[Delivery ID],Allocation[[#This Row],[Delivery ID]],Allocation[Quantity allocated])/SUMIF(Allocation[Delivery ID],Allocation[[#This Row],[Delivery ID]],Allocation[Volume available (kg)])</f>
        <v>0.78287780426263942</v>
      </c>
      <c r="U1051" s="61">
        <f>Allocation[[#This Row],[Total volume used]]/VLOOKUP(Allocation[[#This Row],[Delivery ID]],Delivery[[Delivery ID]:[Quantity delivered]],3,FALSE)</f>
        <v>1</v>
      </c>
      <c r="V1051" s="34" t="e">
        <f>VLOOKUP(Allocation[[#This Row],[SAP Contract number]],Shipments[[SAP Contract number]:[Contracted container weight]],2,FALSE)</f>
        <v>#N/A</v>
      </c>
      <c r="W1051" s="34" t="e">
        <f>VLOOKUP(Allocation[[#This Row],[SAP Contract number]],Shipments[[SAP Contract number]:[AAA Premium USD]],24,FALSE)</f>
        <v>#N/A</v>
      </c>
      <c r="X1051" s="34" t="e">
        <f>VLOOKUP(Allocation[[#This Row],[SAP Contract number]],Shipments[[SAP Contract number]:[RA Premium USD]],25,FALSE)</f>
        <v>#N/A</v>
      </c>
      <c r="Y1051" s="38">
        <f>Allocation[[#This Row],[Quantity Processed]]/Allocation[[#This Row],[Quantity allocated]]</f>
        <v>3.0302062155097298</v>
      </c>
      <c r="Z1051" s="34" t="b">
        <f>Allocation[[#This Row],[Quantity allocated]]&lt;=Allocation[[#This Row],[Quantity Processed]]</f>
        <v>1</v>
      </c>
    </row>
    <row r="1052" spans="1:26">
      <c r="A1052" s="247" t="s">
        <v>467</v>
      </c>
      <c r="B1052" s="210" t="s">
        <v>68</v>
      </c>
      <c r="C1052" s="254" t="s">
        <v>1031</v>
      </c>
      <c r="D1052" s="255">
        <v>3025</v>
      </c>
      <c r="E1052" s="211" t="s">
        <v>1864</v>
      </c>
      <c r="F1052" s="212">
        <v>43538</v>
      </c>
      <c r="G1052" s="213">
        <v>2.68</v>
      </c>
      <c r="H1052" s="256">
        <v>1331</v>
      </c>
      <c r="I1052" s="214">
        <v>1444686</v>
      </c>
      <c r="J1052" s="215">
        <v>21600</v>
      </c>
      <c r="K1052" s="212">
        <v>43587</v>
      </c>
      <c r="L1052" s="211" t="s">
        <v>1869</v>
      </c>
      <c r="M1052" s="216">
        <v>4615445946</v>
      </c>
      <c r="N1052" s="212">
        <v>43682</v>
      </c>
      <c r="O1052" s="217">
        <v>3.9611999999999998</v>
      </c>
      <c r="P1052" s="219"/>
      <c r="Q1052" s="34">
        <f>SUMIF(Allocation[Delivery ID],Allocation[[#This Row],[Delivery ID]],Allocation[Quantity Processed])</f>
        <v>27391</v>
      </c>
      <c r="R1052" s="61">
        <f>Allocation[[#This Row],[Total volume used]]/VLOOKUP(Allocation[[#This Row],[Delivery ID]],Delivery[[Delivery ID]:[Quantity delivered]],3,FALSE)</f>
        <v>0.94942807625649916</v>
      </c>
      <c r="S1052" s="34">
        <f>Allocation[[#This Row],[Quantity Processed]]/Allocation[[#This Row],[Dilution rate]]</f>
        <v>1128.731343283582</v>
      </c>
      <c r="T1052" s="59">
        <f>SUMIF(Allocation[Delivery ID],Allocation[[#This Row],[Delivery ID]],Allocation[Quantity allocated])/SUMIF(Allocation[Delivery ID],Allocation[[#This Row],[Delivery ID]],Allocation[Volume available (kg)])</f>
        <v>1.0961111825794865</v>
      </c>
      <c r="U1052" s="61">
        <f>Allocation[[#This Row],[Total volume used]]/VLOOKUP(Allocation[[#This Row],[Delivery ID]],Delivery[[Delivery ID]:[Quantity delivered]],3,FALSE)</f>
        <v>0.94942807625649916</v>
      </c>
      <c r="V1052" s="34" t="e">
        <f>VLOOKUP(Allocation[[#This Row],[SAP Contract number]],Shipments[[SAP Contract number]:[Contracted container weight]],2,FALSE)</f>
        <v>#N/A</v>
      </c>
      <c r="W1052" s="34" t="e">
        <f>VLOOKUP(Allocation[[#This Row],[SAP Contract number]],Shipments[[SAP Contract number]:[AAA Premium USD]],24,FALSE)</f>
        <v>#N/A</v>
      </c>
      <c r="X1052" s="34" t="e">
        <f>VLOOKUP(Allocation[[#This Row],[SAP Contract number]],Shipments[[SAP Contract number]:[RA Premium USD]],25,FALSE)</f>
        <v>#N/A</v>
      </c>
      <c r="Y1052" s="38">
        <f>Allocation[[#This Row],[Quantity Processed]]/Allocation[[#This Row],[Quantity allocated]]</f>
        <v>2.2727272727272729</v>
      </c>
      <c r="Z1052" s="34" t="b">
        <f>Allocation[[#This Row],[Quantity allocated]]&lt;=Allocation[[#This Row],[Quantity Processed]]</f>
        <v>1</v>
      </c>
    </row>
    <row r="1053" spans="1:26">
      <c r="A1053" s="247" t="s">
        <v>467</v>
      </c>
      <c r="B1053" s="210" t="s">
        <v>68</v>
      </c>
      <c r="C1053" s="254" t="s">
        <v>1031</v>
      </c>
      <c r="D1053" s="255">
        <v>3927</v>
      </c>
      <c r="E1053" s="211" t="s">
        <v>1864</v>
      </c>
      <c r="F1053" s="212">
        <v>43538</v>
      </c>
      <c r="G1053" s="213">
        <v>2.68</v>
      </c>
      <c r="H1053" s="256">
        <v>1728</v>
      </c>
      <c r="I1053" s="214">
        <v>1444687</v>
      </c>
      <c r="J1053" s="215">
        <v>21600</v>
      </c>
      <c r="K1053" s="212">
        <v>43587</v>
      </c>
      <c r="L1053" s="211" t="s">
        <v>1870</v>
      </c>
      <c r="M1053" s="216">
        <v>4615445946</v>
      </c>
      <c r="N1053" s="212">
        <v>43682</v>
      </c>
      <c r="O1053" s="217">
        <v>3.9611999999999998</v>
      </c>
      <c r="P1053" s="219"/>
      <c r="Q1053" s="34">
        <f>SUMIF(Allocation[Delivery ID],Allocation[[#This Row],[Delivery ID]],Allocation[Quantity Processed])</f>
        <v>27391</v>
      </c>
      <c r="R1053" s="61">
        <f>Allocation[[#This Row],[Total volume used]]/VLOOKUP(Allocation[[#This Row],[Delivery ID]],Delivery[[Delivery ID]:[Quantity delivered]],3,FALSE)</f>
        <v>0.94942807625649916</v>
      </c>
      <c r="S1053" s="34">
        <f>Allocation[[#This Row],[Quantity Processed]]/Allocation[[#This Row],[Dilution rate]]</f>
        <v>1465.2985074626865</v>
      </c>
      <c r="T1053" s="59">
        <f>SUMIF(Allocation[Delivery ID],Allocation[[#This Row],[Delivery ID]],Allocation[Quantity allocated])/SUMIF(Allocation[Delivery ID],Allocation[[#This Row],[Delivery ID]],Allocation[Volume available (kg)])</f>
        <v>1.0961111825794865</v>
      </c>
      <c r="U1053" s="61">
        <f>Allocation[[#This Row],[Total volume used]]/VLOOKUP(Allocation[[#This Row],[Delivery ID]],Delivery[[Delivery ID]:[Quantity delivered]],3,FALSE)</f>
        <v>0.94942807625649916</v>
      </c>
      <c r="V1053" s="34" t="e">
        <f>VLOOKUP(Allocation[[#This Row],[SAP Contract number]],Shipments[[SAP Contract number]:[Contracted container weight]],2,FALSE)</f>
        <v>#N/A</v>
      </c>
      <c r="W1053" s="34" t="e">
        <f>VLOOKUP(Allocation[[#This Row],[SAP Contract number]],Shipments[[SAP Contract number]:[AAA Premium USD]],24,FALSE)</f>
        <v>#N/A</v>
      </c>
      <c r="X1053" s="34" t="e">
        <f>VLOOKUP(Allocation[[#This Row],[SAP Contract number]],Shipments[[SAP Contract number]:[RA Premium USD]],25,FALSE)</f>
        <v>#N/A</v>
      </c>
      <c r="Y1053" s="38">
        <f>Allocation[[#This Row],[Quantity Processed]]/Allocation[[#This Row],[Quantity allocated]]</f>
        <v>2.2725694444444446</v>
      </c>
      <c r="Z1053" s="34" t="b">
        <f>Allocation[[#This Row],[Quantity allocated]]&lt;=Allocation[[#This Row],[Quantity Processed]]</f>
        <v>1</v>
      </c>
    </row>
    <row r="1054" spans="1:26">
      <c r="A1054" s="247" t="s">
        <v>467</v>
      </c>
      <c r="B1054" s="210" t="s">
        <v>68</v>
      </c>
      <c r="C1054" s="254" t="s">
        <v>1036</v>
      </c>
      <c r="D1054" s="255">
        <v>5752</v>
      </c>
      <c r="E1054" s="211" t="s">
        <v>1864</v>
      </c>
      <c r="F1054" s="212">
        <v>43538</v>
      </c>
      <c r="G1054" s="213">
        <v>2.68</v>
      </c>
      <c r="H1054" s="256">
        <v>2257</v>
      </c>
      <c r="I1054" s="214">
        <v>1444687</v>
      </c>
      <c r="J1054" s="215">
        <v>21600</v>
      </c>
      <c r="K1054" s="212">
        <v>43587</v>
      </c>
      <c r="L1054" s="211" t="s">
        <v>1870</v>
      </c>
      <c r="M1054" s="216">
        <v>4615445946</v>
      </c>
      <c r="N1054" s="212">
        <v>43682</v>
      </c>
      <c r="O1054" s="217">
        <v>3.9611999999999998</v>
      </c>
      <c r="P1054" s="219"/>
      <c r="Q1054" s="34">
        <f>SUMIF(Allocation[Delivery ID],Allocation[[#This Row],[Delivery ID]],Allocation[Quantity Processed])</f>
        <v>10162</v>
      </c>
      <c r="R1054" s="61">
        <f>Allocation[[#This Row],[Total volume used]]/VLOOKUP(Allocation[[#This Row],[Delivery ID]],Delivery[[Delivery ID]:[Quantity delivered]],3,FALSE)</f>
        <v>1</v>
      </c>
      <c r="S1054" s="34">
        <f>Allocation[[#This Row],[Quantity Processed]]/Allocation[[#This Row],[Dilution rate]]</f>
        <v>2146.2686567164178</v>
      </c>
      <c r="T1054" s="59">
        <f>SUMIF(Allocation[Delivery ID],Allocation[[#This Row],[Delivery ID]],Allocation[Quantity allocated])/SUMIF(Allocation[Delivery ID],Allocation[[#This Row],[Delivery ID]],Allocation[Volume available (kg)])</f>
        <v>1.0414866657464668</v>
      </c>
      <c r="U1054" s="61">
        <f>Allocation[[#This Row],[Total volume used]]/VLOOKUP(Allocation[[#This Row],[Delivery ID]],Delivery[[Delivery ID]:[Quantity delivered]],3,FALSE)</f>
        <v>1</v>
      </c>
      <c r="V1054" s="34" t="e">
        <f>VLOOKUP(Allocation[[#This Row],[SAP Contract number]],Shipments[[SAP Contract number]:[Contracted container weight]],2,FALSE)</f>
        <v>#N/A</v>
      </c>
      <c r="W1054" s="34" t="e">
        <f>VLOOKUP(Allocation[[#This Row],[SAP Contract number]],Shipments[[SAP Contract number]:[AAA Premium USD]],24,FALSE)</f>
        <v>#N/A</v>
      </c>
      <c r="X1054" s="34" t="e">
        <f>VLOOKUP(Allocation[[#This Row],[SAP Contract number]],Shipments[[SAP Contract number]:[RA Premium USD]],25,FALSE)</f>
        <v>#N/A</v>
      </c>
      <c r="Y1054" s="38">
        <f>Allocation[[#This Row],[Quantity Processed]]/Allocation[[#This Row],[Quantity allocated]]</f>
        <v>2.5485157288435976</v>
      </c>
      <c r="Z1054" s="34" t="b">
        <f>Allocation[[#This Row],[Quantity allocated]]&lt;=Allocation[[#This Row],[Quantity Processed]]</f>
        <v>1</v>
      </c>
    </row>
    <row r="1055" spans="1:26">
      <c r="A1055" s="247" t="s">
        <v>467</v>
      </c>
      <c r="B1055" s="210" t="s">
        <v>68</v>
      </c>
      <c r="C1055" s="254" t="s">
        <v>1037</v>
      </c>
      <c r="D1055" s="255">
        <v>2230</v>
      </c>
      <c r="E1055" s="211" t="s">
        <v>1864</v>
      </c>
      <c r="F1055" s="212">
        <v>43538</v>
      </c>
      <c r="G1055" s="213">
        <v>2.68</v>
      </c>
      <c r="H1055" s="256">
        <v>1026</v>
      </c>
      <c r="I1055" s="214">
        <v>1444687</v>
      </c>
      <c r="J1055" s="215">
        <v>21600</v>
      </c>
      <c r="K1055" s="212">
        <v>43587</v>
      </c>
      <c r="L1055" s="211" t="s">
        <v>1870</v>
      </c>
      <c r="M1055" s="216">
        <v>4615445946</v>
      </c>
      <c r="N1055" s="212">
        <v>43682</v>
      </c>
      <c r="O1055" s="217">
        <v>3.9611999999999998</v>
      </c>
      <c r="P1055" s="219"/>
      <c r="Q1055" s="34">
        <f>SUMIF(Allocation[Delivery ID],Allocation[[#This Row],[Delivery ID]],Allocation[Quantity Processed])</f>
        <v>8667</v>
      </c>
      <c r="R1055" s="61">
        <f>Allocation[[#This Row],[Total volume used]]/VLOOKUP(Allocation[[#This Row],[Delivery ID]],Delivery[[Delivery ID]:[Quantity delivered]],3,FALSE)</f>
        <v>0.89623080502559327</v>
      </c>
      <c r="S1055" s="34">
        <f>Allocation[[#This Row],[Quantity Processed]]/Allocation[[#This Row],[Dilution rate]]</f>
        <v>832.08955223880594</v>
      </c>
      <c r="T1055" s="59">
        <f>SUMIF(Allocation[Delivery ID],Allocation[[#This Row],[Delivery ID]],Allocation[Quantity allocated])/SUMIF(Allocation[Delivery ID],Allocation[[#This Row],[Delivery ID]],Allocation[Volume available (kg)])</f>
        <v>1.1488915260962267</v>
      </c>
      <c r="U1055" s="61">
        <f>Allocation[[#This Row],[Total volume used]]/VLOOKUP(Allocation[[#This Row],[Delivery ID]],Delivery[[Delivery ID]:[Quantity delivered]],3,FALSE)</f>
        <v>0.89623080502559327</v>
      </c>
      <c r="V1055" s="34" t="e">
        <f>VLOOKUP(Allocation[[#This Row],[SAP Contract number]],Shipments[[SAP Contract number]:[Contracted container weight]],2,FALSE)</f>
        <v>#N/A</v>
      </c>
      <c r="W1055" s="34" t="e">
        <f>VLOOKUP(Allocation[[#This Row],[SAP Contract number]],Shipments[[SAP Contract number]:[AAA Premium USD]],24,FALSE)</f>
        <v>#N/A</v>
      </c>
      <c r="X1055" s="34" t="e">
        <f>VLOOKUP(Allocation[[#This Row],[SAP Contract number]],Shipments[[SAP Contract number]:[RA Premium USD]],25,FALSE)</f>
        <v>#N/A</v>
      </c>
      <c r="Y1055" s="38">
        <f>Allocation[[#This Row],[Quantity Processed]]/Allocation[[#This Row],[Quantity allocated]]</f>
        <v>2.1734892787524367</v>
      </c>
      <c r="Z1055" s="34" t="b">
        <f>Allocation[[#This Row],[Quantity allocated]]&lt;=Allocation[[#This Row],[Quantity Processed]]</f>
        <v>1</v>
      </c>
    </row>
    <row r="1056" spans="1:26">
      <c r="A1056" s="247" t="s">
        <v>467</v>
      </c>
      <c r="B1056" s="210" t="s">
        <v>68</v>
      </c>
      <c r="C1056" s="254" t="s">
        <v>1039</v>
      </c>
      <c r="D1056" s="255">
        <v>2575</v>
      </c>
      <c r="E1056" s="211" t="s">
        <v>1864</v>
      </c>
      <c r="F1056" s="212">
        <v>43538</v>
      </c>
      <c r="G1056" s="213">
        <v>2.68</v>
      </c>
      <c r="H1056" s="256">
        <v>1030</v>
      </c>
      <c r="I1056" s="214">
        <v>1444687</v>
      </c>
      <c r="J1056" s="215">
        <v>21600</v>
      </c>
      <c r="K1056" s="212">
        <v>43587</v>
      </c>
      <c r="L1056" s="211" t="s">
        <v>1870</v>
      </c>
      <c r="M1056" s="216">
        <v>4615445946</v>
      </c>
      <c r="N1056" s="212">
        <v>43682</v>
      </c>
      <c r="O1056" s="217">
        <v>3.9611999999999998</v>
      </c>
      <c r="P1056" s="219"/>
      <c r="Q1056" s="34">
        <f>SUMIF(Allocation[Delivery ID],Allocation[[#This Row],[Delivery ID]],Allocation[Quantity Processed])</f>
        <v>9713</v>
      </c>
      <c r="R1056" s="61">
        <f>Allocation[[#This Row],[Total volume used]]/VLOOKUP(Allocation[[#This Row],[Delivery ID]],Delivery[[Delivery ID]:[Quantity delivered]],3,FALSE)</f>
        <v>1</v>
      </c>
      <c r="S1056" s="34">
        <f>Allocation[[#This Row],[Quantity Processed]]/Allocation[[#This Row],[Dilution rate]]</f>
        <v>960.82089552238801</v>
      </c>
      <c r="T1056" s="59">
        <f>SUMIF(Allocation[Delivery ID],Allocation[[#This Row],[Delivery ID]],Allocation[Quantity allocated])/SUMIF(Allocation[Delivery ID],Allocation[[#This Row],[Delivery ID]],Allocation[Volume available (kg)])</f>
        <v>0.99890031407161339</v>
      </c>
      <c r="U1056" s="61">
        <f>Allocation[[#This Row],[Total volume used]]/VLOOKUP(Allocation[[#This Row],[Delivery ID]],Delivery[[Delivery ID]:[Quantity delivered]],3,FALSE)</f>
        <v>1</v>
      </c>
      <c r="V1056" s="34" t="e">
        <f>VLOOKUP(Allocation[[#This Row],[SAP Contract number]],Shipments[[SAP Contract number]:[Contracted container weight]],2,FALSE)</f>
        <v>#N/A</v>
      </c>
      <c r="W1056" s="34" t="e">
        <f>VLOOKUP(Allocation[[#This Row],[SAP Contract number]],Shipments[[SAP Contract number]:[AAA Premium USD]],24,FALSE)</f>
        <v>#N/A</v>
      </c>
      <c r="X1056" s="34" t="e">
        <f>VLOOKUP(Allocation[[#This Row],[SAP Contract number]],Shipments[[SAP Contract number]:[RA Premium USD]],25,FALSE)</f>
        <v>#N/A</v>
      </c>
      <c r="Y1056" s="38">
        <f>Allocation[[#This Row],[Quantity Processed]]/Allocation[[#This Row],[Quantity allocated]]</f>
        <v>2.5</v>
      </c>
      <c r="Z1056" s="34" t="b">
        <f>Allocation[[#This Row],[Quantity allocated]]&lt;=Allocation[[#This Row],[Quantity Processed]]</f>
        <v>1</v>
      </c>
    </row>
    <row r="1057" spans="1:26">
      <c r="A1057" s="247" t="s">
        <v>467</v>
      </c>
      <c r="B1057" s="210" t="s">
        <v>68</v>
      </c>
      <c r="C1057" s="254" t="s">
        <v>1041</v>
      </c>
      <c r="D1057" s="255">
        <v>4070</v>
      </c>
      <c r="E1057" s="211" t="s">
        <v>1864</v>
      </c>
      <c r="F1057" s="212">
        <v>43538</v>
      </c>
      <c r="G1057" s="213">
        <v>2.68</v>
      </c>
      <c r="H1057" s="256">
        <v>1343</v>
      </c>
      <c r="I1057" s="214">
        <v>1444687</v>
      </c>
      <c r="J1057" s="215">
        <v>21600</v>
      </c>
      <c r="K1057" s="212">
        <v>43587</v>
      </c>
      <c r="L1057" s="211" t="s">
        <v>1870</v>
      </c>
      <c r="M1057" s="216">
        <v>4615445946</v>
      </c>
      <c r="N1057" s="212">
        <v>43682</v>
      </c>
      <c r="O1057" s="217">
        <v>3.9611999999999998</v>
      </c>
      <c r="P1057" s="219"/>
      <c r="Q1057" s="34">
        <f>SUMIF(Allocation[Delivery ID],Allocation[[#This Row],[Delivery ID]],Allocation[Quantity Processed])</f>
        <v>12665</v>
      </c>
      <c r="R1057" s="61">
        <f>Allocation[[#This Row],[Total volume used]]/VLOOKUP(Allocation[[#This Row],[Delivery ID]],Delivery[[Delivery ID]:[Quantity delivered]],3,FALSE)</f>
        <v>1</v>
      </c>
      <c r="S1057" s="34">
        <f>Allocation[[#This Row],[Quantity Processed]]/Allocation[[#This Row],[Dilution rate]]</f>
        <v>1518.6567164179103</v>
      </c>
      <c r="T1057" s="59">
        <f>SUMIF(Allocation[Delivery ID],Allocation[[#This Row],[Delivery ID]],Allocation[Quantity allocated])/SUMIF(Allocation[Delivery ID],Allocation[[#This Row],[Delivery ID]],Allocation[Volume available (kg)])</f>
        <v>0.81590882258219166</v>
      </c>
      <c r="U1057" s="61">
        <f>Allocation[[#This Row],[Total volume used]]/VLOOKUP(Allocation[[#This Row],[Delivery ID]],Delivery[[Delivery ID]:[Quantity delivered]],3,FALSE)</f>
        <v>1</v>
      </c>
      <c r="V1057" s="34" t="e">
        <f>VLOOKUP(Allocation[[#This Row],[SAP Contract number]],Shipments[[SAP Contract number]:[Contracted container weight]],2,FALSE)</f>
        <v>#N/A</v>
      </c>
      <c r="W1057" s="34" t="e">
        <f>VLOOKUP(Allocation[[#This Row],[SAP Contract number]],Shipments[[SAP Contract number]:[AAA Premium USD]],24,FALSE)</f>
        <v>#N/A</v>
      </c>
      <c r="X1057" s="34" t="e">
        <f>VLOOKUP(Allocation[[#This Row],[SAP Contract number]],Shipments[[SAP Contract number]:[RA Premium USD]],25,FALSE)</f>
        <v>#N/A</v>
      </c>
      <c r="Y1057" s="38">
        <f>Allocation[[#This Row],[Quantity Processed]]/Allocation[[#This Row],[Quantity allocated]]</f>
        <v>3.0305286671630678</v>
      </c>
      <c r="Z1057" s="34" t="b">
        <f>Allocation[[#This Row],[Quantity allocated]]&lt;=Allocation[[#This Row],[Quantity Processed]]</f>
        <v>1</v>
      </c>
    </row>
    <row r="1058" spans="1:26">
      <c r="A1058" s="247" t="s">
        <v>467</v>
      </c>
      <c r="B1058" s="210" t="s">
        <v>68</v>
      </c>
      <c r="C1058" s="254" t="s">
        <v>1042</v>
      </c>
      <c r="D1058" s="255">
        <v>5276</v>
      </c>
      <c r="E1058" s="211" t="s">
        <v>1864</v>
      </c>
      <c r="F1058" s="212">
        <v>43538</v>
      </c>
      <c r="G1058" s="213">
        <v>2.68</v>
      </c>
      <c r="H1058" s="256">
        <v>1741</v>
      </c>
      <c r="I1058" s="214">
        <v>1444687</v>
      </c>
      <c r="J1058" s="215">
        <v>21600</v>
      </c>
      <c r="K1058" s="212">
        <v>43587</v>
      </c>
      <c r="L1058" s="211" t="s">
        <v>1870</v>
      </c>
      <c r="M1058" s="216">
        <v>4615445946</v>
      </c>
      <c r="N1058" s="212">
        <v>43682</v>
      </c>
      <c r="O1058" s="217">
        <v>3.9611999999999998</v>
      </c>
      <c r="P1058" s="219"/>
      <c r="Q1058" s="34">
        <f>SUMIF(Allocation[Delivery ID],Allocation[[#This Row],[Delivery ID]],Allocation[Quantity Processed])</f>
        <v>16416.5</v>
      </c>
      <c r="R1058" s="61">
        <f>Allocation[[#This Row],[Total volume used]]/VLOOKUP(Allocation[[#This Row],[Delivery ID]],Delivery[[Delivery ID]:[Quantity delivered]],3,FALSE)</f>
        <v>1</v>
      </c>
      <c r="S1058" s="34">
        <f>Allocation[[#This Row],[Quantity Processed]]/Allocation[[#This Row],[Dilution rate]]</f>
        <v>1968.6567164179103</v>
      </c>
      <c r="T1058" s="59">
        <f>SUMIF(Allocation[Delivery ID],Allocation[[#This Row],[Delivery ID]],Allocation[Quantity allocated])/SUMIF(Allocation[Delivery ID],Allocation[[#This Row],[Delivery ID]],Allocation[Volume available (kg)])</f>
        <v>0.81599988935082768</v>
      </c>
      <c r="U1058" s="61">
        <f>Allocation[[#This Row],[Total volume used]]/VLOOKUP(Allocation[[#This Row],[Delivery ID]],Delivery[[Delivery ID]:[Quantity delivered]],3,FALSE)</f>
        <v>1</v>
      </c>
      <c r="V1058" s="34" t="e">
        <f>VLOOKUP(Allocation[[#This Row],[SAP Contract number]],Shipments[[SAP Contract number]:[Contracted container weight]],2,FALSE)</f>
        <v>#N/A</v>
      </c>
      <c r="W1058" s="34" t="e">
        <f>VLOOKUP(Allocation[[#This Row],[SAP Contract number]],Shipments[[SAP Contract number]:[AAA Premium USD]],24,FALSE)</f>
        <v>#N/A</v>
      </c>
      <c r="X1058" s="34" t="e">
        <f>VLOOKUP(Allocation[[#This Row],[SAP Contract number]],Shipments[[SAP Contract number]:[RA Premium USD]],25,FALSE)</f>
        <v>#N/A</v>
      </c>
      <c r="Y1058" s="38">
        <f>Allocation[[#This Row],[Quantity Processed]]/Allocation[[#This Row],[Quantity allocated]]</f>
        <v>3.0304422745548534</v>
      </c>
      <c r="Z1058" s="34" t="b">
        <f>Allocation[[#This Row],[Quantity allocated]]&lt;=Allocation[[#This Row],[Quantity Processed]]</f>
        <v>1</v>
      </c>
    </row>
    <row r="1059" spans="1:26">
      <c r="A1059" s="247" t="s">
        <v>467</v>
      </c>
      <c r="B1059" s="210" t="s">
        <v>68</v>
      </c>
      <c r="C1059" s="254" t="s">
        <v>1043</v>
      </c>
      <c r="D1059" s="255">
        <v>6282</v>
      </c>
      <c r="E1059" s="211" t="s">
        <v>1864</v>
      </c>
      <c r="F1059" s="212">
        <v>43538</v>
      </c>
      <c r="G1059" s="213">
        <v>2.68</v>
      </c>
      <c r="H1059" s="256">
        <v>2136</v>
      </c>
      <c r="I1059" s="214">
        <v>1444687</v>
      </c>
      <c r="J1059" s="215">
        <v>21600</v>
      </c>
      <c r="K1059" s="212">
        <v>43587</v>
      </c>
      <c r="L1059" s="211" t="s">
        <v>1870</v>
      </c>
      <c r="M1059" s="216">
        <v>4615445946</v>
      </c>
      <c r="N1059" s="212">
        <v>43682</v>
      </c>
      <c r="O1059" s="217">
        <v>3.9611999999999998</v>
      </c>
      <c r="P1059" s="219"/>
      <c r="Q1059" s="34">
        <f>SUMIF(Allocation[Delivery ID],Allocation[[#This Row],[Delivery ID]],Allocation[Quantity Processed])</f>
        <v>20140</v>
      </c>
      <c r="R1059" s="61">
        <f>Allocation[[#This Row],[Total volume used]]/VLOOKUP(Allocation[[#This Row],[Delivery ID]],Delivery[[Delivery ID]:[Quantity delivered]],3,FALSE)</f>
        <v>1</v>
      </c>
      <c r="S1059" s="34">
        <f>Allocation[[#This Row],[Quantity Processed]]/Allocation[[#This Row],[Dilution rate]]</f>
        <v>2344.0298507462685</v>
      </c>
      <c r="T1059" s="59">
        <f>SUMIF(Allocation[Delivery ID],Allocation[[#This Row],[Delivery ID]],Allocation[Quantity allocated])/SUMIF(Allocation[Delivery ID],Allocation[[#This Row],[Delivery ID]],Allocation[Volume available (kg)])</f>
        <v>0.8401933700928752</v>
      </c>
      <c r="U1059" s="61">
        <f>Allocation[[#This Row],[Total volume used]]/VLOOKUP(Allocation[[#This Row],[Delivery ID]],Delivery[[Delivery ID]:[Quantity delivered]],3,FALSE)</f>
        <v>1</v>
      </c>
      <c r="V1059" s="34" t="e">
        <f>VLOOKUP(Allocation[[#This Row],[SAP Contract number]],Shipments[[SAP Contract number]:[Contracted container weight]],2,FALSE)</f>
        <v>#N/A</v>
      </c>
      <c r="W1059" s="34" t="e">
        <f>VLOOKUP(Allocation[[#This Row],[SAP Contract number]],Shipments[[SAP Contract number]:[AAA Premium USD]],24,FALSE)</f>
        <v>#N/A</v>
      </c>
      <c r="X1059" s="34" t="e">
        <f>VLOOKUP(Allocation[[#This Row],[SAP Contract number]],Shipments[[SAP Contract number]:[RA Premium USD]],25,FALSE)</f>
        <v>#N/A</v>
      </c>
      <c r="Y1059" s="38">
        <f>Allocation[[#This Row],[Quantity Processed]]/Allocation[[#This Row],[Quantity allocated]]</f>
        <v>2.941011235955056</v>
      </c>
      <c r="Z1059" s="34" t="b">
        <f>Allocation[[#This Row],[Quantity allocated]]&lt;=Allocation[[#This Row],[Quantity Processed]]</f>
        <v>1</v>
      </c>
    </row>
    <row r="1060" spans="1:26">
      <c r="A1060" s="247" t="s">
        <v>467</v>
      </c>
      <c r="B1060" s="210" t="s">
        <v>68</v>
      </c>
      <c r="C1060" s="254" t="s">
        <v>1046</v>
      </c>
      <c r="D1060" s="255">
        <v>3878</v>
      </c>
      <c r="E1060" s="211" t="s">
        <v>1864</v>
      </c>
      <c r="F1060" s="212">
        <v>43538</v>
      </c>
      <c r="G1060" s="213">
        <v>2.68</v>
      </c>
      <c r="H1060" s="256">
        <v>1784</v>
      </c>
      <c r="I1060" s="214">
        <v>1444687</v>
      </c>
      <c r="J1060" s="215">
        <v>21600</v>
      </c>
      <c r="K1060" s="212">
        <v>43587</v>
      </c>
      <c r="L1060" s="211" t="s">
        <v>1870</v>
      </c>
      <c r="M1060" s="216">
        <v>4615445946</v>
      </c>
      <c r="N1060" s="212">
        <v>43682</v>
      </c>
      <c r="O1060" s="217">
        <v>3.9611999999999998</v>
      </c>
      <c r="P1060" s="219"/>
      <c r="Q1060" s="34">
        <f>SUMIF(Allocation[Delivery ID],Allocation[[#This Row],[Delivery ID]],Allocation[Quantity Processed])</f>
        <v>15124</v>
      </c>
      <c r="R1060" s="61">
        <f>Allocation[[#This Row],[Total volume used]]/VLOOKUP(Allocation[[#This Row],[Delivery ID]],Delivery[[Delivery ID]:[Quantity delivered]],3,FALSE)</f>
        <v>0.89879360551494625</v>
      </c>
      <c r="S1060" s="34">
        <f>Allocation[[#This Row],[Quantity Processed]]/Allocation[[#This Row],[Dilution rate]]</f>
        <v>1447.0149253731342</v>
      </c>
      <c r="T1060" s="59">
        <f>SUMIF(Allocation[Delivery ID],Allocation[[#This Row],[Delivery ID]],Allocation[Quantity allocated])/SUMIF(Allocation[Delivery ID],Allocation[[#This Row],[Delivery ID]],Allocation[Volume available (kg)])</f>
        <v>1.1481700980151472</v>
      </c>
      <c r="U1060" s="61">
        <f>Allocation[[#This Row],[Total volume used]]/VLOOKUP(Allocation[[#This Row],[Delivery ID]],Delivery[[Delivery ID]:[Quantity delivered]],3,FALSE)</f>
        <v>0.89879360551494625</v>
      </c>
      <c r="V1060" s="34" t="e">
        <f>VLOOKUP(Allocation[[#This Row],[SAP Contract number]],Shipments[[SAP Contract number]:[Contracted container weight]],2,FALSE)</f>
        <v>#N/A</v>
      </c>
      <c r="W1060" s="34" t="e">
        <f>VLOOKUP(Allocation[[#This Row],[SAP Contract number]],Shipments[[SAP Contract number]:[AAA Premium USD]],24,FALSE)</f>
        <v>#N/A</v>
      </c>
      <c r="X1060" s="34" t="e">
        <f>VLOOKUP(Allocation[[#This Row],[SAP Contract number]],Shipments[[SAP Contract number]:[RA Premium USD]],25,FALSE)</f>
        <v>#N/A</v>
      </c>
      <c r="Y1060" s="38">
        <f>Allocation[[#This Row],[Quantity Processed]]/Allocation[[#This Row],[Quantity allocated]]</f>
        <v>2.1737668161434978</v>
      </c>
      <c r="Z1060" s="34" t="b">
        <f>Allocation[[#This Row],[Quantity allocated]]&lt;=Allocation[[#This Row],[Quantity Processed]]</f>
        <v>1</v>
      </c>
    </row>
    <row r="1061" spans="1:26">
      <c r="A1061" s="247" t="s">
        <v>467</v>
      </c>
      <c r="B1061" s="210" t="s">
        <v>68</v>
      </c>
      <c r="C1061" s="254" t="s">
        <v>1047</v>
      </c>
      <c r="D1061" s="255">
        <v>4581</v>
      </c>
      <c r="E1061" s="211" t="s">
        <v>1864</v>
      </c>
      <c r="F1061" s="212">
        <v>43538</v>
      </c>
      <c r="G1061" s="213">
        <v>2.68</v>
      </c>
      <c r="H1061" s="256">
        <v>1924</v>
      </c>
      <c r="I1061" s="214">
        <v>1444687</v>
      </c>
      <c r="J1061" s="215">
        <v>21600</v>
      </c>
      <c r="K1061" s="212">
        <v>43587</v>
      </c>
      <c r="L1061" s="211" t="s">
        <v>1870</v>
      </c>
      <c r="M1061" s="216">
        <v>4615445946</v>
      </c>
      <c r="N1061" s="212">
        <v>43682</v>
      </c>
      <c r="O1061" s="217">
        <v>3.9611999999999998</v>
      </c>
      <c r="P1061" s="219"/>
      <c r="Q1061" s="34">
        <f>SUMIF(Allocation[Delivery ID],Allocation[[#This Row],[Delivery ID]],Allocation[Quantity Processed])</f>
        <v>18140</v>
      </c>
      <c r="R1061" s="61">
        <f>Allocation[[#This Row],[Total volume used]]/VLOOKUP(Allocation[[#This Row],[Delivery ID]],Delivery[[Delivery ID]:[Quantity delivered]],3,FALSE)</f>
        <v>1</v>
      </c>
      <c r="S1061" s="34">
        <f>Allocation[[#This Row],[Quantity Processed]]/Allocation[[#This Row],[Dilution rate]]</f>
        <v>1709.328358208955</v>
      </c>
      <c r="T1061" s="59">
        <f>SUMIF(Allocation[Delivery ID],Allocation[[#This Row],[Delivery ID]],Allocation[Quantity allocated])/SUMIF(Allocation[Delivery ID],Allocation[[#This Row],[Delivery ID]],Allocation[Volume available (kg)])</f>
        <v>1.0487957952321874</v>
      </c>
      <c r="U1061" s="61">
        <f>Allocation[[#This Row],[Total volume used]]/VLOOKUP(Allocation[[#This Row],[Delivery ID]],Delivery[[Delivery ID]:[Quantity delivered]],3,FALSE)</f>
        <v>1</v>
      </c>
      <c r="V1061" s="34" t="e">
        <f>VLOOKUP(Allocation[[#This Row],[SAP Contract number]],Shipments[[SAP Contract number]:[Contracted container weight]],2,FALSE)</f>
        <v>#N/A</v>
      </c>
      <c r="W1061" s="34" t="e">
        <f>VLOOKUP(Allocation[[#This Row],[SAP Contract number]],Shipments[[SAP Contract number]:[AAA Premium USD]],24,FALSE)</f>
        <v>#N/A</v>
      </c>
      <c r="X1061" s="34" t="e">
        <f>VLOOKUP(Allocation[[#This Row],[SAP Contract number]],Shipments[[SAP Contract number]:[RA Premium USD]],25,FALSE)</f>
        <v>#N/A</v>
      </c>
      <c r="Y1061" s="38">
        <f>Allocation[[#This Row],[Quantity Processed]]/Allocation[[#This Row],[Quantity allocated]]</f>
        <v>2.380977130977131</v>
      </c>
      <c r="Z1061" s="34" t="b">
        <f>Allocation[[#This Row],[Quantity allocated]]&lt;=Allocation[[#This Row],[Quantity Processed]]</f>
        <v>1</v>
      </c>
    </row>
    <row r="1062" spans="1:26">
      <c r="A1062" s="247" t="s">
        <v>467</v>
      </c>
      <c r="B1062" s="210" t="s">
        <v>68</v>
      </c>
      <c r="C1062" s="254" t="s">
        <v>1048</v>
      </c>
      <c r="D1062" s="255">
        <v>3858</v>
      </c>
      <c r="E1062" s="211" t="s">
        <v>1864</v>
      </c>
      <c r="F1062" s="212">
        <v>43538</v>
      </c>
      <c r="G1062" s="213">
        <v>2.68</v>
      </c>
      <c r="H1062" s="256">
        <v>1273</v>
      </c>
      <c r="I1062" s="214">
        <v>1444687</v>
      </c>
      <c r="J1062" s="215">
        <v>21600</v>
      </c>
      <c r="K1062" s="212">
        <v>43587</v>
      </c>
      <c r="L1062" s="211" t="s">
        <v>1870</v>
      </c>
      <c r="M1062" s="216">
        <v>4615445946</v>
      </c>
      <c r="N1062" s="212">
        <v>43682</v>
      </c>
      <c r="O1062" s="217">
        <v>3.9611999999999998</v>
      </c>
      <c r="P1062" s="219"/>
      <c r="Q1062" s="34">
        <f>SUMIF(Allocation[Delivery ID],Allocation[[#This Row],[Delivery ID]],Allocation[Quantity Processed])</f>
        <v>12002</v>
      </c>
      <c r="R1062" s="61">
        <f>Allocation[[#This Row],[Total volume used]]/VLOOKUP(Allocation[[#This Row],[Delivery ID]],Delivery[[Delivery ID]:[Quantity delivered]],3,FALSE)</f>
        <v>1</v>
      </c>
      <c r="S1062" s="34">
        <f>Allocation[[#This Row],[Quantity Processed]]/Allocation[[#This Row],[Dilution rate]]</f>
        <v>1439.5522388059701</v>
      </c>
      <c r="T1062" s="59">
        <f>SUMIF(Allocation[Delivery ID],Allocation[[#This Row],[Delivery ID]],Allocation[Quantity allocated])/SUMIF(Allocation[Delivery ID],Allocation[[#This Row],[Delivery ID]],Allocation[Volume available (kg)])</f>
        <v>0.78353734344791937</v>
      </c>
      <c r="U1062" s="61">
        <f>Allocation[[#This Row],[Total volume used]]/VLOOKUP(Allocation[[#This Row],[Delivery ID]],Delivery[[Delivery ID]:[Quantity delivered]],3,FALSE)</f>
        <v>1</v>
      </c>
      <c r="V1062" s="34" t="e">
        <f>VLOOKUP(Allocation[[#This Row],[SAP Contract number]],Shipments[[SAP Contract number]:[Contracted container weight]],2,FALSE)</f>
        <v>#N/A</v>
      </c>
      <c r="W1062" s="34" t="e">
        <f>VLOOKUP(Allocation[[#This Row],[SAP Contract number]],Shipments[[SAP Contract number]:[AAA Premium USD]],24,FALSE)</f>
        <v>#N/A</v>
      </c>
      <c r="X1062" s="34" t="e">
        <f>VLOOKUP(Allocation[[#This Row],[SAP Contract number]],Shipments[[SAP Contract number]:[RA Premium USD]],25,FALSE)</f>
        <v>#N/A</v>
      </c>
      <c r="Y1062" s="38">
        <f>Allocation[[#This Row],[Quantity Processed]]/Allocation[[#This Row],[Quantity allocated]]</f>
        <v>3.0306362922230949</v>
      </c>
      <c r="Z1062" s="34" t="b">
        <f>Allocation[[#This Row],[Quantity allocated]]&lt;=Allocation[[#This Row],[Quantity Processed]]</f>
        <v>1</v>
      </c>
    </row>
    <row r="1063" spans="1:26">
      <c r="A1063" s="247" t="s">
        <v>467</v>
      </c>
      <c r="B1063" s="210" t="s">
        <v>68</v>
      </c>
      <c r="C1063" s="254" t="s">
        <v>1652</v>
      </c>
      <c r="D1063" s="255">
        <v>460</v>
      </c>
      <c r="E1063" s="211" t="s">
        <v>1864</v>
      </c>
      <c r="F1063" s="212">
        <v>43538</v>
      </c>
      <c r="G1063" s="213">
        <v>2.68</v>
      </c>
      <c r="H1063" s="256">
        <v>207</v>
      </c>
      <c r="I1063" s="214">
        <v>1444687</v>
      </c>
      <c r="J1063" s="215">
        <v>21600</v>
      </c>
      <c r="K1063" s="212">
        <v>43587</v>
      </c>
      <c r="L1063" s="211" t="s">
        <v>1870</v>
      </c>
      <c r="M1063" s="216">
        <v>4615445946</v>
      </c>
      <c r="N1063" s="212">
        <v>43682</v>
      </c>
      <c r="O1063" s="217">
        <v>3.9611999999999998</v>
      </c>
      <c r="P1063" s="219"/>
      <c r="Q1063" s="34">
        <f>SUMIF(Allocation[Delivery ID],Allocation[[#This Row],[Delivery ID]],Allocation[Quantity Processed])</f>
        <v>19074</v>
      </c>
      <c r="R1063" s="61">
        <f>Allocation[[#This Row],[Total volume used]]/VLOOKUP(Allocation[[#This Row],[Delivery ID]],Delivery[[Delivery ID]:[Quantity delivered]],3,FALSE)</f>
        <v>0.61173829377806288</v>
      </c>
      <c r="S1063" s="34">
        <f>Allocation[[#This Row],[Quantity Processed]]/Allocation[[#This Row],[Dilution rate]]</f>
        <v>171.64179104477611</v>
      </c>
      <c r="T1063" s="59">
        <f>SUMIF(Allocation[Delivery ID],Allocation[[#This Row],[Delivery ID]],Allocation[Quantity allocated])/SUMIF(Allocation[Delivery ID],Allocation[[#This Row],[Delivery ID]],Allocation[Volume available (kg)])</f>
        <v>1.1408389842987046</v>
      </c>
      <c r="U1063" s="61">
        <f>Allocation[[#This Row],[Total volume used]]/VLOOKUP(Allocation[[#This Row],[Delivery ID]],Delivery[[Delivery ID]:[Quantity delivered]],3,FALSE)</f>
        <v>0.61173829377806288</v>
      </c>
      <c r="V1063" s="34" t="e">
        <f>VLOOKUP(Allocation[[#This Row],[SAP Contract number]],Shipments[[SAP Contract number]:[Contracted container weight]],2,FALSE)</f>
        <v>#N/A</v>
      </c>
      <c r="W1063" s="34" t="e">
        <f>VLOOKUP(Allocation[[#This Row],[SAP Contract number]],Shipments[[SAP Contract number]:[AAA Premium USD]],24,FALSE)</f>
        <v>#N/A</v>
      </c>
      <c r="X1063" s="34" t="e">
        <f>VLOOKUP(Allocation[[#This Row],[SAP Contract number]],Shipments[[SAP Contract number]:[RA Premium USD]],25,FALSE)</f>
        <v>#N/A</v>
      </c>
      <c r="Y1063" s="38">
        <f>Allocation[[#This Row],[Quantity Processed]]/Allocation[[#This Row],[Quantity allocated]]</f>
        <v>2.2222222222222223</v>
      </c>
      <c r="Z1063" s="34" t="b">
        <f>Allocation[[#This Row],[Quantity allocated]]&lt;=Allocation[[#This Row],[Quantity Processed]]</f>
        <v>1</v>
      </c>
    </row>
    <row r="1064" spans="1:26">
      <c r="A1064" s="247" t="s">
        <v>467</v>
      </c>
      <c r="B1064" s="210" t="s">
        <v>68</v>
      </c>
      <c r="C1064" s="254" t="s">
        <v>1654</v>
      </c>
      <c r="D1064" s="255">
        <v>553</v>
      </c>
      <c r="E1064" s="211" t="s">
        <v>1864</v>
      </c>
      <c r="F1064" s="212">
        <v>43538</v>
      </c>
      <c r="G1064" s="213">
        <v>2.68</v>
      </c>
      <c r="H1064" s="256">
        <v>210</v>
      </c>
      <c r="I1064" s="214">
        <v>1444687</v>
      </c>
      <c r="J1064" s="215">
        <v>21600</v>
      </c>
      <c r="K1064" s="212">
        <v>43587</v>
      </c>
      <c r="L1064" s="211" t="s">
        <v>1870</v>
      </c>
      <c r="M1064" s="216">
        <v>4615445946</v>
      </c>
      <c r="N1064" s="212">
        <v>43682</v>
      </c>
      <c r="O1064" s="217">
        <v>3.9611999999999998</v>
      </c>
      <c r="P1064" s="219"/>
      <c r="Q1064" s="34">
        <f>SUMIF(Allocation[Delivery ID],Allocation[[#This Row],[Delivery ID]],Allocation[Quantity Processed])</f>
        <v>29452</v>
      </c>
      <c r="R1064" s="61">
        <f>Allocation[[#This Row],[Total volume used]]/VLOOKUP(Allocation[[#This Row],[Delivery ID]],Delivery[[Delivery ID]:[Quantity delivered]],3,FALSE)</f>
        <v>0.9311413215301928</v>
      </c>
      <c r="S1064" s="34">
        <f>Allocation[[#This Row],[Quantity Processed]]/Allocation[[#This Row],[Dilution rate]]</f>
        <v>206.34328358208953</v>
      </c>
      <c r="T1064" s="59">
        <f>SUMIF(Allocation[Delivery ID],Allocation[[#This Row],[Delivery ID]],Allocation[Quantity allocated])/SUMIF(Allocation[Delivery ID],Allocation[[#This Row],[Delivery ID]],Allocation[Volume available (kg)])</f>
        <v>0.96872974165984982</v>
      </c>
      <c r="U1064" s="61">
        <f>Allocation[[#This Row],[Total volume used]]/VLOOKUP(Allocation[[#This Row],[Delivery ID]],Delivery[[Delivery ID]:[Quantity delivered]],3,FALSE)</f>
        <v>0.9311413215301928</v>
      </c>
      <c r="V1064" s="34" t="e">
        <f>VLOOKUP(Allocation[[#This Row],[SAP Contract number]],Shipments[[SAP Contract number]:[Contracted container weight]],2,FALSE)</f>
        <v>#N/A</v>
      </c>
      <c r="W1064" s="34" t="e">
        <f>VLOOKUP(Allocation[[#This Row],[SAP Contract number]],Shipments[[SAP Contract number]:[AAA Premium USD]],24,FALSE)</f>
        <v>#N/A</v>
      </c>
      <c r="X1064" s="34" t="e">
        <f>VLOOKUP(Allocation[[#This Row],[SAP Contract number]],Shipments[[SAP Contract number]:[RA Premium USD]],25,FALSE)</f>
        <v>#N/A</v>
      </c>
      <c r="Y1064" s="38">
        <f>Allocation[[#This Row],[Quantity Processed]]/Allocation[[#This Row],[Quantity allocated]]</f>
        <v>2.6333333333333333</v>
      </c>
      <c r="Z1064" s="34" t="b">
        <f>Allocation[[#This Row],[Quantity allocated]]&lt;=Allocation[[#This Row],[Quantity Processed]]</f>
        <v>1</v>
      </c>
    </row>
    <row r="1065" spans="1:26">
      <c r="A1065" s="247" t="s">
        <v>467</v>
      </c>
      <c r="B1065" s="210" t="s">
        <v>68</v>
      </c>
      <c r="C1065" s="254" t="s">
        <v>1657</v>
      </c>
      <c r="D1065" s="255">
        <v>239</v>
      </c>
      <c r="E1065" s="211" t="s">
        <v>1864</v>
      </c>
      <c r="F1065" s="212">
        <v>43538</v>
      </c>
      <c r="G1065" s="213">
        <v>2.68</v>
      </c>
      <c r="H1065" s="256">
        <v>79</v>
      </c>
      <c r="I1065" s="214">
        <v>1444687</v>
      </c>
      <c r="J1065" s="215">
        <v>21600</v>
      </c>
      <c r="K1065" s="212">
        <v>43587</v>
      </c>
      <c r="L1065" s="211" t="s">
        <v>1870</v>
      </c>
      <c r="M1065" s="216">
        <v>4615445946</v>
      </c>
      <c r="N1065" s="212">
        <v>43682</v>
      </c>
      <c r="O1065" s="217">
        <v>3.9611999999999998</v>
      </c>
      <c r="P1065" s="219"/>
      <c r="Q1065" s="34">
        <f>SUMIF(Allocation[Delivery ID],Allocation[[#This Row],[Delivery ID]],Allocation[Quantity Processed])</f>
        <v>1900</v>
      </c>
      <c r="R1065" s="61">
        <f>Allocation[[#This Row],[Total volume used]]/VLOOKUP(Allocation[[#This Row],[Delivery ID]],Delivery[[Delivery ID]:[Quantity delivered]],3,FALSE)</f>
        <v>0.15873015873015872</v>
      </c>
      <c r="S1065" s="34">
        <f>Allocation[[#This Row],[Quantity Processed]]/Allocation[[#This Row],[Dilution rate]]</f>
        <v>89.179104477611929</v>
      </c>
      <c r="T1065" s="59">
        <f>SUMIF(Allocation[Delivery ID],Allocation[[#This Row],[Delivery ID]],Allocation[Quantity allocated])/SUMIF(Allocation[Delivery ID],Allocation[[#This Row],[Delivery ID]],Allocation[Volume available (kg)])</f>
        <v>0.70582737111780935</v>
      </c>
      <c r="U1065" s="61">
        <f>Allocation[[#This Row],[Total volume used]]/VLOOKUP(Allocation[[#This Row],[Delivery ID]],Delivery[[Delivery ID]:[Quantity delivered]],3,FALSE)</f>
        <v>0.15873015873015872</v>
      </c>
      <c r="V1065" s="34" t="e">
        <f>VLOOKUP(Allocation[[#This Row],[SAP Contract number]],Shipments[[SAP Contract number]:[Contracted container weight]],2,FALSE)</f>
        <v>#N/A</v>
      </c>
      <c r="W1065" s="34" t="e">
        <f>VLOOKUP(Allocation[[#This Row],[SAP Contract number]],Shipments[[SAP Contract number]:[AAA Premium USD]],24,FALSE)</f>
        <v>#N/A</v>
      </c>
      <c r="X1065" s="34" t="e">
        <f>VLOOKUP(Allocation[[#This Row],[SAP Contract number]],Shipments[[SAP Contract number]:[RA Premium USD]],25,FALSE)</f>
        <v>#N/A</v>
      </c>
      <c r="Y1065" s="38">
        <f>Allocation[[#This Row],[Quantity Processed]]/Allocation[[#This Row],[Quantity allocated]]</f>
        <v>3.0253164556962027</v>
      </c>
      <c r="Z1065" s="34" t="b">
        <f>Allocation[[#This Row],[Quantity allocated]]&lt;=Allocation[[#This Row],[Quantity Processed]]</f>
        <v>1</v>
      </c>
    </row>
    <row r="1066" spans="1:26">
      <c r="A1066" s="247" t="s">
        <v>467</v>
      </c>
      <c r="B1066" s="210" t="s">
        <v>68</v>
      </c>
      <c r="C1066" s="254" t="s">
        <v>1658</v>
      </c>
      <c r="D1066" s="255">
        <v>603</v>
      </c>
      <c r="E1066" s="211" t="s">
        <v>1864</v>
      </c>
      <c r="F1066" s="212">
        <v>43538</v>
      </c>
      <c r="G1066" s="213">
        <v>2.68</v>
      </c>
      <c r="H1066" s="256">
        <v>199</v>
      </c>
      <c r="I1066" s="214">
        <v>1444687</v>
      </c>
      <c r="J1066" s="215">
        <v>21600</v>
      </c>
      <c r="K1066" s="212">
        <v>43587</v>
      </c>
      <c r="L1066" s="211" t="s">
        <v>1870</v>
      </c>
      <c r="M1066" s="216">
        <v>4615445946</v>
      </c>
      <c r="N1066" s="212">
        <v>43682</v>
      </c>
      <c r="O1066" s="217">
        <v>3.9611999999999998</v>
      </c>
      <c r="P1066" s="219"/>
      <c r="Q1066" s="34">
        <f>SUMIF(Allocation[Delivery ID],Allocation[[#This Row],[Delivery ID]],Allocation[Quantity Processed])</f>
        <v>24228</v>
      </c>
      <c r="R1066" s="61">
        <f>Allocation[[#This Row],[Total volume used]]/VLOOKUP(Allocation[[#This Row],[Delivery ID]],Delivery[[Delivery ID]:[Quantity delivered]],3,FALSE)</f>
        <v>0.80813875917278188</v>
      </c>
      <c r="S1066" s="34">
        <f>Allocation[[#This Row],[Quantity Processed]]/Allocation[[#This Row],[Dilution rate]]</f>
        <v>225</v>
      </c>
      <c r="T1066" s="59">
        <f>SUMIF(Allocation[Delivery ID],Allocation[[#This Row],[Delivery ID]],Allocation[Quantity allocated])/SUMIF(Allocation[Delivery ID],Allocation[[#This Row],[Delivery ID]],Allocation[Volume available (kg)])</f>
        <v>0.82514851771312481</v>
      </c>
      <c r="U1066" s="61">
        <f>Allocation[[#This Row],[Total volume used]]/VLOOKUP(Allocation[[#This Row],[Delivery ID]],Delivery[[Delivery ID]:[Quantity delivered]],3,FALSE)</f>
        <v>0.80813875917278188</v>
      </c>
      <c r="V1066" s="34" t="e">
        <f>VLOOKUP(Allocation[[#This Row],[SAP Contract number]],Shipments[[SAP Contract number]:[Contracted container weight]],2,FALSE)</f>
        <v>#N/A</v>
      </c>
      <c r="W1066" s="34" t="e">
        <f>VLOOKUP(Allocation[[#This Row],[SAP Contract number]],Shipments[[SAP Contract number]:[AAA Premium USD]],24,FALSE)</f>
        <v>#N/A</v>
      </c>
      <c r="X1066" s="34" t="e">
        <f>VLOOKUP(Allocation[[#This Row],[SAP Contract number]],Shipments[[SAP Contract number]:[RA Premium USD]],25,FALSE)</f>
        <v>#N/A</v>
      </c>
      <c r="Y1066" s="38">
        <f>Allocation[[#This Row],[Quantity Processed]]/Allocation[[#This Row],[Quantity allocated]]</f>
        <v>3.0301507537688441</v>
      </c>
      <c r="Z1066" s="34" t="b">
        <f>Allocation[[#This Row],[Quantity allocated]]&lt;=Allocation[[#This Row],[Quantity Processed]]</f>
        <v>1</v>
      </c>
    </row>
    <row r="1067" spans="1:26">
      <c r="A1067" s="247" t="s">
        <v>467</v>
      </c>
      <c r="B1067" s="210" t="s">
        <v>68</v>
      </c>
      <c r="C1067" s="254" t="s">
        <v>1659</v>
      </c>
      <c r="D1067" s="255">
        <v>105</v>
      </c>
      <c r="E1067" s="211" t="s">
        <v>1864</v>
      </c>
      <c r="F1067" s="212">
        <v>43538</v>
      </c>
      <c r="G1067" s="213">
        <v>2.68</v>
      </c>
      <c r="H1067" s="256">
        <v>40</v>
      </c>
      <c r="I1067" s="214">
        <v>1444687</v>
      </c>
      <c r="J1067" s="215">
        <v>21600</v>
      </c>
      <c r="K1067" s="212">
        <v>43587</v>
      </c>
      <c r="L1067" s="211" t="s">
        <v>1870</v>
      </c>
      <c r="M1067" s="216">
        <v>4615445946</v>
      </c>
      <c r="N1067" s="212">
        <v>43682</v>
      </c>
      <c r="O1067" s="217">
        <v>3.9611999999999998</v>
      </c>
      <c r="P1067" s="219"/>
      <c r="Q1067" s="34">
        <f>SUMIF(Allocation[Delivery ID],Allocation[[#This Row],[Delivery ID]],Allocation[Quantity Processed])</f>
        <v>729</v>
      </c>
      <c r="R1067" s="61">
        <f>Allocation[[#This Row],[Total volume used]]/VLOOKUP(Allocation[[#This Row],[Delivery ID]],Delivery[[Delivery ID]:[Quantity delivered]],3,FALSE)</f>
        <v>0.1208955223880597</v>
      </c>
      <c r="S1067" s="34">
        <f>Allocation[[#This Row],[Quantity Processed]]/Allocation[[#This Row],[Dilution rate]]</f>
        <v>39.179104477611936</v>
      </c>
      <c r="T1067" s="59">
        <f>SUMIF(Allocation[Delivery ID],Allocation[[#This Row],[Delivery ID]],Allocation[Quantity allocated])/SUMIF(Allocation[Delivery ID],Allocation[[#This Row],[Delivery ID]],Allocation[Volume available (kg)])</f>
        <v>0.85272132261820344</v>
      </c>
      <c r="U1067" s="61">
        <f>Allocation[[#This Row],[Total volume used]]/VLOOKUP(Allocation[[#This Row],[Delivery ID]],Delivery[[Delivery ID]:[Quantity delivered]],3,FALSE)</f>
        <v>0.1208955223880597</v>
      </c>
      <c r="V1067" s="34" t="e">
        <f>VLOOKUP(Allocation[[#This Row],[SAP Contract number]],Shipments[[SAP Contract number]:[Contracted container weight]],2,FALSE)</f>
        <v>#N/A</v>
      </c>
      <c r="W1067" s="34" t="e">
        <f>VLOOKUP(Allocation[[#This Row],[SAP Contract number]],Shipments[[SAP Contract number]:[AAA Premium USD]],24,FALSE)</f>
        <v>#N/A</v>
      </c>
      <c r="X1067" s="34" t="e">
        <f>VLOOKUP(Allocation[[#This Row],[SAP Contract number]],Shipments[[SAP Contract number]:[RA Premium USD]],25,FALSE)</f>
        <v>#N/A</v>
      </c>
      <c r="Y1067" s="38">
        <f>Allocation[[#This Row],[Quantity Processed]]/Allocation[[#This Row],[Quantity allocated]]</f>
        <v>2.625</v>
      </c>
      <c r="Z1067" s="34" t="b">
        <f>Allocation[[#This Row],[Quantity allocated]]&lt;=Allocation[[#This Row],[Quantity Processed]]</f>
        <v>1</v>
      </c>
    </row>
    <row r="1068" spans="1:26">
      <c r="A1068" s="247" t="s">
        <v>467</v>
      </c>
      <c r="B1068" s="210" t="s">
        <v>68</v>
      </c>
      <c r="C1068" s="254" t="s">
        <v>1064</v>
      </c>
      <c r="D1068" s="255">
        <v>1245</v>
      </c>
      <c r="E1068" s="211" t="s">
        <v>1864</v>
      </c>
      <c r="F1068" s="212">
        <v>43538</v>
      </c>
      <c r="G1068" s="213">
        <v>2.68</v>
      </c>
      <c r="H1068" s="256">
        <v>498</v>
      </c>
      <c r="I1068" s="214">
        <v>1444687</v>
      </c>
      <c r="J1068" s="215">
        <v>21600</v>
      </c>
      <c r="K1068" s="212">
        <v>43587</v>
      </c>
      <c r="L1068" s="211" t="s">
        <v>1870</v>
      </c>
      <c r="M1068" s="216">
        <v>4615445946</v>
      </c>
      <c r="N1068" s="212">
        <v>43682</v>
      </c>
      <c r="O1068" s="217">
        <v>3.9611999999999998</v>
      </c>
      <c r="P1068" s="219"/>
      <c r="Q1068" s="34">
        <f>SUMIF(Allocation[Delivery ID],Allocation[[#This Row],[Delivery ID]],Allocation[Quantity Processed])</f>
        <v>4700.5</v>
      </c>
      <c r="R1068" s="61">
        <f>Allocation[[#This Row],[Total volume used]]/VLOOKUP(Allocation[[#This Row],[Delivery ID]],Delivery[[Delivery ID]:[Quantity delivered]],3,FALSE)</f>
        <v>1</v>
      </c>
      <c r="S1068" s="34">
        <f>Allocation[[#This Row],[Quantity Processed]]/Allocation[[#This Row],[Dilution rate]]</f>
        <v>464.55223880597015</v>
      </c>
      <c r="T1068" s="59">
        <f>SUMIF(Allocation[Delivery ID],Allocation[[#This Row],[Delivery ID]],Allocation[Quantity allocated])/SUMIF(Allocation[Delivery ID],Allocation[[#This Row],[Delivery ID]],Allocation[Volume available (kg)])</f>
        <v>0.99634426923687691</v>
      </c>
      <c r="U1068" s="61">
        <f>Allocation[[#This Row],[Total volume used]]/VLOOKUP(Allocation[[#This Row],[Delivery ID]],Delivery[[Delivery ID]:[Quantity delivered]],3,FALSE)</f>
        <v>1</v>
      </c>
      <c r="V1068" s="34" t="e">
        <f>VLOOKUP(Allocation[[#This Row],[SAP Contract number]],Shipments[[SAP Contract number]:[Contracted container weight]],2,FALSE)</f>
        <v>#N/A</v>
      </c>
      <c r="W1068" s="34" t="e">
        <f>VLOOKUP(Allocation[[#This Row],[SAP Contract number]],Shipments[[SAP Contract number]:[AAA Premium USD]],24,FALSE)</f>
        <v>#N/A</v>
      </c>
      <c r="X1068" s="34" t="e">
        <f>VLOOKUP(Allocation[[#This Row],[SAP Contract number]],Shipments[[SAP Contract number]:[RA Premium USD]],25,FALSE)</f>
        <v>#N/A</v>
      </c>
      <c r="Y1068" s="38">
        <f>Allocation[[#This Row],[Quantity Processed]]/Allocation[[#This Row],[Quantity allocated]]</f>
        <v>2.5</v>
      </c>
      <c r="Z1068" s="34" t="b">
        <f>Allocation[[#This Row],[Quantity allocated]]&lt;=Allocation[[#This Row],[Quantity Processed]]</f>
        <v>1</v>
      </c>
    </row>
    <row r="1069" spans="1:26">
      <c r="A1069" s="247" t="s">
        <v>467</v>
      </c>
      <c r="B1069" s="210" t="s">
        <v>68</v>
      </c>
      <c r="C1069" s="254" t="s">
        <v>1067</v>
      </c>
      <c r="D1069" s="255">
        <v>3470</v>
      </c>
      <c r="E1069" s="211" t="s">
        <v>1864</v>
      </c>
      <c r="F1069" s="212">
        <v>43538</v>
      </c>
      <c r="G1069" s="213">
        <v>2.68</v>
      </c>
      <c r="H1069" s="256">
        <v>1735</v>
      </c>
      <c r="I1069" s="214">
        <v>1444687</v>
      </c>
      <c r="J1069" s="215">
        <v>21600</v>
      </c>
      <c r="K1069" s="212">
        <v>43587</v>
      </c>
      <c r="L1069" s="211" t="s">
        <v>1870</v>
      </c>
      <c r="M1069" s="216">
        <v>4615445946</v>
      </c>
      <c r="N1069" s="212">
        <v>43682</v>
      </c>
      <c r="O1069" s="217">
        <v>3.9611999999999998</v>
      </c>
      <c r="P1069" s="219"/>
      <c r="Q1069" s="34">
        <f>SUMIF(Allocation[Delivery ID],Allocation[[#This Row],[Delivery ID]],Allocation[Quantity Processed])</f>
        <v>13526</v>
      </c>
      <c r="R1069" s="61">
        <f>Allocation[[#This Row],[Total volume used]]/VLOOKUP(Allocation[[#This Row],[Delivery ID]],Delivery[[Delivery ID]:[Quantity delivered]],3,FALSE)</f>
        <v>0.82682315544959961</v>
      </c>
      <c r="S1069" s="34">
        <f>Allocation[[#This Row],[Quantity Processed]]/Allocation[[#This Row],[Dilution rate]]</f>
        <v>1294.7761194029849</v>
      </c>
      <c r="T1069" s="59">
        <f>SUMIF(Allocation[Delivery ID],Allocation[[#This Row],[Delivery ID]],Allocation[Quantity allocated])/SUMIF(Allocation[Delivery ID],Allocation[[#This Row],[Delivery ID]],Allocation[Volume available (kg)])</f>
        <v>1.2481077066953579</v>
      </c>
      <c r="U1069" s="61">
        <f>Allocation[[#This Row],[Total volume used]]/VLOOKUP(Allocation[[#This Row],[Delivery ID]],Delivery[[Delivery ID]:[Quantity delivered]],3,FALSE)</f>
        <v>0.82682315544959961</v>
      </c>
      <c r="V1069" s="34" t="e">
        <f>VLOOKUP(Allocation[[#This Row],[SAP Contract number]],Shipments[[SAP Contract number]:[Contracted container weight]],2,FALSE)</f>
        <v>#N/A</v>
      </c>
      <c r="W1069" s="34" t="e">
        <f>VLOOKUP(Allocation[[#This Row],[SAP Contract number]],Shipments[[SAP Contract number]:[AAA Premium USD]],24,FALSE)</f>
        <v>#N/A</v>
      </c>
      <c r="X1069" s="34" t="e">
        <f>VLOOKUP(Allocation[[#This Row],[SAP Contract number]],Shipments[[SAP Contract number]:[RA Premium USD]],25,FALSE)</f>
        <v>#N/A</v>
      </c>
      <c r="Y1069" s="38">
        <f>Allocation[[#This Row],[Quantity Processed]]/Allocation[[#This Row],[Quantity allocated]]</f>
        <v>2</v>
      </c>
      <c r="Z1069" s="34" t="b">
        <f>Allocation[[#This Row],[Quantity allocated]]&lt;=Allocation[[#This Row],[Quantity Processed]]</f>
        <v>1</v>
      </c>
    </row>
    <row r="1070" spans="1:26">
      <c r="A1070" s="247" t="s">
        <v>467</v>
      </c>
      <c r="B1070" s="210" t="s">
        <v>68</v>
      </c>
      <c r="C1070" s="254" t="s">
        <v>1071</v>
      </c>
      <c r="D1070" s="255">
        <v>7242</v>
      </c>
      <c r="E1070" s="211" t="s">
        <v>1864</v>
      </c>
      <c r="F1070" s="212">
        <v>43538</v>
      </c>
      <c r="G1070" s="213">
        <v>2.68</v>
      </c>
      <c r="H1070" s="256">
        <v>2390</v>
      </c>
      <c r="I1070" s="214">
        <v>1444687</v>
      </c>
      <c r="J1070" s="215">
        <v>21600</v>
      </c>
      <c r="K1070" s="212">
        <v>43587</v>
      </c>
      <c r="L1070" s="211" t="s">
        <v>1870</v>
      </c>
      <c r="M1070" s="216">
        <v>4615445946</v>
      </c>
      <c r="N1070" s="212">
        <v>43682</v>
      </c>
      <c r="O1070" s="217">
        <v>3.9611999999999998</v>
      </c>
      <c r="P1070" s="219"/>
      <c r="Q1070" s="34">
        <f>SUMIF(Allocation[Delivery ID],Allocation[[#This Row],[Delivery ID]],Allocation[Quantity Processed])</f>
        <v>31243</v>
      </c>
      <c r="R1070" s="61">
        <f>Allocation[[#This Row],[Total volume used]]/VLOOKUP(Allocation[[#This Row],[Delivery ID]],Delivery[[Delivery ID]:[Quantity delivered]],3,FALSE)</f>
        <v>1</v>
      </c>
      <c r="S1070" s="34">
        <f>Allocation[[#This Row],[Quantity Processed]]/Allocation[[#This Row],[Dilution rate]]</f>
        <v>2702.2388059701493</v>
      </c>
      <c r="T1070" s="59">
        <f>SUMIF(Allocation[Delivery ID],Allocation[[#This Row],[Delivery ID]],Allocation[Quantity allocated])/SUMIF(Allocation[Delivery ID],Allocation[[#This Row],[Delivery ID]],Allocation[Volume available (kg)])</f>
        <v>0.78364678265018262</v>
      </c>
      <c r="U1070" s="61">
        <f>Allocation[[#This Row],[Total volume used]]/VLOOKUP(Allocation[[#This Row],[Delivery ID]],Delivery[[Delivery ID]:[Quantity delivered]],3,FALSE)</f>
        <v>1</v>
      </c>
      <c r="V1070" s="34" t="e">
        <f>VLOOKUP(Allocation[[#This Row],[SAP Contract number]],Shipments[[SAP Contract number]:[Contracted container weight]],2,FALSE)</f>
        <v>#N/A</v>
      </c>
      <c r="W1070" s="34" t="e">
        <f>VLOOKUP(Allocation[[#This Row],[SAP Contract number]],Shipments[[SAP Contract number]:[AAA Premium USD]],24,FALSE)</f>
        <v>#N/A</v>
      </c>
      <c r="X1070" s="34" t="e">
        <f>VLOOKUP(Allocation[[#This Row],[SAP Contract number]],Shipments[[SAP Contract number]:[RA Premium USD]],25,FALSE)</f>
        <v>#N/A</v>
      </c>
      <c r="Y1070" s="38">
        <f>Allocation[[#This Row],[Quantity Processed]]/Allocation[[#This Row],[Quantity allocated]]</f>
        <v>3.0301255230125523</v>
      </c>
      <c r="Z1070" s="34" t="b">
        <f>Allocation[[#This Row],[Quantity allocated]]&lt;=Allocation[[#This Row],[Quantity Processed]]</f>
        <v>1</v>
      </c>
    </row>
    <row r="1071" spans="1:26">
      <c r="A1071" s="247" t="s">
        <v>467</v>
      </c>
      <c r="B1071" s="210" t="s">
        <v>68</v>
      </c>
      <c r="C1071" s="254" t="s">
        <v>1071</v>
      </c>
      <c r="D1071" s="255">
        <v>2797</v>
      </c>
      <c r="E1071" s="211" t="s">
        <v>1864</v>
      </c>
      <c r="F1071" s="212">
        <v>43538</v>
      </c>
      <c r="G1071" s="213">
        <v>2.68</v>
      </c>
      <c r="H1071" s="256">
        <v>923</v>
      </c>
      <c r="I1071" s="214">
        <v>1444688</v>
      </c>
      <c r="J1071" s="215">
        <v>21600</v>
      </c>
      <c r="K1071" s="212">
        <v>43587</v>
      </c>
      <c r="L1071" s="211" t="s">
        <v>1871</v>
      </c>
      <c r="M1071" s="216">
        <v>4615445946</v>
      </c>
      <c r="N1071" s="212">
        <v>43682</v>
      </c>
      <c r="O1071" s="217">
        <v>3.9611999999999998</v>
      </c>
      <c r="P1071" s="219"/>
      <c r="Q1071" s="34">
        <f>SUMIF(Allocation[Delivery ID],Allocation[[#This Row],[Delivery ID]],Allocation[Quantity Processed])</f>
        <v>31243</v>
      </c>
      <c r="R1071" s="61">
        <f>Allocation[[#This Row],[Total volume used]]/VLOOKUP(Allocation[[#This Row],[Delivery ID]],Delivery[[Delivery ID]:[Quantity delivered]],3,FALSE)</f>
        <v>1</v>
      </c>
      <c r="S1071" s="34">
        <f>Allocation[[#This Row],[Quantity Processed]]/Allocation[[#This Row],[Dilution rate]]</f>
        <v>1043.6567164179103</v>
      </c>
      <c r="T1071" s="59">
        <f>SUMIF(Allocation[Delivery ID],Allocation[[#This Row],[Delivery ID]],Allocation[Quantity allocated])/SUMIF(Allocation[Delivery ID],Allocation[[#This Row],[Delivery ID]],Allocation[Volume available (kg)])</f>
        <v>0.78364678265018262</v>
      </c>
      <c r="U1071" s="61">
        <f>Allocation[[#This Row],[Total volume used]]/VLOOKUP(Allocation[[#This Row],[Delivery ID]],Delivery[[Delivery ID]:[Quantity delivered]],3,FALSE)</f>
        <v>1</v>
      </c>
      <c r="V1071" s="34" t="e">
        <f>VLOOKUP(Allocation[[#This Row],[SAP Contract number]],Shipments[[SAP Contract number]:[Contracted container weight]],2,FALSE)</f>
        <v>#N/A</v>
      </c>
      <c r="W1071" s="34" t="e">
        <f>VLOOKUP(Allocation[[#This Row],[SAP Contract number]],Shipments[[SAP Contract number]:[AAA Premium USD]],24,FALSE)</f>
        <v>#N/A</v>
      </c>
      <c r="X1071" s="34" t="e">
        <f>VLOOKUP(Allocation[[#This Row],[SAP Contract number]],Shipments[[SAP Contract number]:[RA Premium USD]],25,FALSE)</f>
        <v>#N/A</v>
      </c>
      <c r="Y1071" s="38">
        <f>Allocation[[#This Row],[Quantity Processed]]/Allocation[[#This Row],[Quantity allocated]]</f>
        <v>3.030335861321777</v>
      </c>
      <c r="Z1071" s="34" t="b">
        <f>Allocation[[#This Row],[Quantity allocated]]&lt;=Allocation[[#This Row],[Quantity Processed]]</f>
        <v>1</v>
      </c>
    </row>
    <row r="1072" spans="1:26">
      <c r="A1072" s="247" t="s">
        <v>467</v>
      </c>
      <c r="B1072" s="210" t="s">
        <v>68</v>
      </c>
      <c r="C1072" s="254" t="s">
        <v>1072</v>
      </c>
      <c r="D1072" s="255">
        <v>1179</v>
      </c>
      <c r="E1072" s="211" t="s">
        <v>1864</v>
      </c>
      <c r="F1072" s="212">
        <v>43538</v>
      </c>
      <c r="G1072" s="213">
        <v>2.68</v>
      </c>
      <c r="H1072" s="256">
        <v>667</v>
      </c>
      <c r="I1072" s="214">
        <v>1444688</v>
      </c>
      <c r="J1072" s="215">
        <v>21600</v>
      </c>
      <c r="K1072" s="212">
        <v>43587</v>
      </c>
      <c r="L1072" s="211" t="s">
        <v>1871</v>
      </c>
      <c r="M1072" s="216">
        <v>4615445946</v>
      </c>
      <c r="N1072" s="212">
        <v>43682</v>
      </c>
      <c r="O1072" s="217">
        <v>3.9611999999999998</v>
      </c>
      <c r="P1072" s="219"/>
      <c r="Q1072" s="34">
        <f>SUMIF(Allocation[Delivery ID],Allocation[[#This Row],[Delivery ID]],Allocation[Quantity Processed])</f>
        <v>30040</v>
      </c>
      <c r="R1072" s="61">
        <f>Allocation[[#This Row],[Total volume used]]/VLOOKUP(Allocation[[#This Row],[Delivery ID]],Delivery[[Delivery ID]:[Quantity delivered]],3,FALSE)</f>
        <v>1</v>
      </c>
      <c r="S1072" s="34">
        <f>Allocation[[#This Row],[Quantity Processed]]/Allocation[[#This Row],[Dilution rate]]</f>
        <v>439.92537313432831</v>
      </c>
      <c r="T1072" s="59">
        <f>SUMIF(Allocation[Delivery ID],Allocation[[#This Row],[Delivery ID]],Allocation[Quantity allocated])/SUMIF(Allocation[Delivery ID],Allocation[[#This Row],[Delivery ID]],Allocation[Volume available (kg)])</f>
        <v>0.94237863643458852</v>
      </c>
      <c r="U1072" s="61">
        <f>Allocation[[#This Row],[Total volume used]]/VLOOKUP(Allocation[[#This Row],[Delivery ID]],Delivery[[Delivery ID]:[Quantity delivered]],3,FALSE)</f>
        <v>1</v>
      </c>
      <c r="V1072" s="34" t="e">
        <f>VLOOKUP(Allocation[[#This Row],[SAP Contract number]],Shipments[[SAP Contract number]:[Contracted container weight]],2,FALSE)</f>
        <v>#N/A</v>
      </c>
      <c r="W1072" s="34" t="e">
        <f>VLOOKUP(Allocation[[#This Row],[SAP Contract number]],Shipments[[SAP Contract number]:[AAA Premium USD]],24,FALSE)</f>
        <v>#N/A</v>
      </c>
      <c r="X1072" s="34" t="e">
        <f>VLOOKUP(Allocation[[#This Row],[SAP Contract number]],Shipments[[SAP Contract number]:[RA Premium USD]],25,FALSE)</f>
        <v>#N/A</v>
      </c>
      <c r="Y1072" s="38">
        <f>Allocation[[#This Row],[Quantity Processed]]/Allocation[[#This Row],[Quantity allocated]]</f>
        <v>1.7676161919040481</v>
      </c>
      <c r="Z1072" s="34" t="b">
        <f>Allocation[[#This Row],[Quantity allocated]]&lt;=Allocation[[#This Row],[Quantity Processed]]</f>
        <v>1</v>
      </c>
    </row>
    <row r="1073" spans="1:26">
      <c r="A1073" s="247" t="s">
        <v>467</v>
      </c>
      <c r="B1073" s="210" t="s">
        <v>68</v>
      </c>
      <c r="C1073" s="254" t="s">
        <v>1073</v>
      </c>
      <c r="D1073" s="255">
        <v>1289</v>
      </c>
      <c r="E1073" s="211" t="s">
        <v>1864</v>
      </c>
      <c r="F1073" s="212">
        <v>43538</v>
      </c>
      <c r="G1073" s="213">
        <v>2.68</v>
      </c>
      <c r="H1073" s="256">
        <v>669</v>
      </c>
      <c r="I1073" s="214">
        <v>1444688</v>
      </c>
      <c r="J1073" s="215">
        <v>21600</v>
      </c>
      <c r="K1073" s="212">
        <v>43587</v>
      </c>
      <c r="L1073" s="211" t="s">
        <v>1871</v>
      </c>
      <c r="M1073" s="216">
        <v>4615445946</v>
      </c>
      <c r="N1073" s="212">
        <v>43682</v>
      </c>
      <c r="O1073" s="217">
        <v>3.9611999999999998</v>
      </c>
      <c r="P1073" s="219"/>
      <c r="Q1073" s="34">
        <f>SUMIF(Allocation[Delivery ID],Allocation[[#This Row],[Delivery ID]],Allocation[Quantity Processed])</f>
        <v>30150</v>
      </c>
      <c r="R1073" s="61">
        <f>Allocation[[#This Row],[Total volume used]]/VLOOKUP(Allocation[[#This Row],[Delivery ID]],Delivery[[Delivery ID]:[Quantity delivered]],3,FALSE)</f>
        <v>1</v>
      </c>
      <c r="S1073" s="34">
        <f>Allocation[[#This Row],[Quantity Processed]]/Allocation[[#This Row],[Dilution rate]]</f>
        <v>480.97014925373134</v>
      </c>
      <c r="T1073" s="59">
        <f>SUMIF(Allocation[Delivery ID],Allocation[[#This Row],[Delivery ID]],Allocation[Quantity allocated])/SUMIF(Allocation[Delivery ID],Allocation[[#This Row],[Delivery ID]],Allocation[Volume available (kg)])</f>
        <v>0.93979997096973344</v>
      </c>
      <c r="U1073" s="61">
        <f>Allocation[[#This Row],[Total volume used]]/VLOOKUP(Allocation[[#This Row],[Delivery ID]],Delivery[[Delivery ID]:[Quantity delivered]],3,FALSE)</f>
        <v>1</v>
      </c>
      <c r="V1073" s="34" t="e">
        <f>VLOOKUP(Allocation[[#This Row],[SAP Contract number]],Shipments[[SAP Contract number]:[Contracted container weight]],2,FALSE)</f>
        <v>#N/A</v>
      </c>
      <c r="W1073" s="34" t="e">
        <f>VLOOKUP(Allocation[[#This Row],[SAP Contract number]],Shipments[[SAP Contract number]:[AAA Premium USD]],24,FALSE)</f>
        <v>#N/A</v>
      </c>
      <c r="X1073" s="34" t="e">
        <f>VLOOKUP(Allocation[[#This Row],[SAP Contract number]],Shipments[[SAP Contract number]:[RA Premium USD]],25,FALSE)</f>
        <v>#N/A</v>
      </c>
      <c r="Y1073" s="38">
        <f>Allocation[[#This Row],[Quantity Processed]]/Allocation[[#This Row],[Quantity allocated]]</f>
        <v>1.9267563527653213</v>
      </c>
      <c r="Z1073" s="34" t="b">
        <f>Allocation[[#This Row],[Quantity allocated]]&lt;=Allocation[[#This Row],[Quantity Processed]]</f>
        <v>1</v>
      </c>
    </row>
    <row r="1074" spans="1:26">
      <c r="A1074" s="247" t="s">
        <v>467</v>
      </c>
      <c r="B1074" s="210" t="s">
        <v>68</v>
      </c>
      <c r="C1074" s="254" t="s">
        <v>1074</v>
      </c>
      <c r="D1074" s="255">
        <v>9664</v>
      </c>
      <c r="E1074" s="211" t="s">
        <v>1864</v>
      </c>
      <c r="F1074" s="212">
        <v>43538</v>
      </c>
      <c r="G1074" s="213">
        <v>2.68</v>
      </c>
      <c r="H1074" s="256">
        <v>3189</v>
      </c>
      <c r="I1074" s="214">
        <v>1444688</v>
      </c>
      <c r="J1074" s="215">
        <v>21600</v>
      </c>
      <c r="K1074" s="212">
        <v>43587</v>
      </c>
      <c r="L1074" s="211" t="s">
        <v>1871</v>
      </c>
      <c r="M1074" s="216">
        <v>4615445946</v>
      </c>
      <c r="N1074" s="212">
        <v>43682</v>
      </c>
      <c r="O1074" s="217">
        <v>3.9611999999999998</v>
      </c>
      <c r="P1074" s="219"/>
      <c r="Q1074" s="34">
        <f>SUMIF(Allocation[Delivery ID],Allocation[[#This Row],[Delivery ID]],Allocation[Quantity Processed])</f>
        <v>30070</v>
      </c>
      <c r="R1074" s="61">
        <f>Allocation[[#This Row],[Total volume used]]/VLOOKUP(Allocation[[#This Row],[Delivery ID]],Delivery[[Delivery ID]:[Quantity delivered]],3,FALSE)</f>
        <v>1</v>
      </c>
      <c r="S1074" s="34">
        <f>Allocation[[#This Row],[Quantity Processed]]/Allocation[[#This Row],[Dilution rate]]</f>
        <v>3605.9701492537311</v>
      </c>
      <c r="T1074" s="59">
        <f>SUMIF(Allocation[Delivery ID],Allocation[[#This Row],[Delivery ID]],Allocation[Quantity allocated])/SUMIF(Allocation[Delivery ID],Allocation[[#This Row],[Delivery ID]],Allocation[Volume available (kg)])</f>
        <v>0.81441196854888298</v>
      </c>
      <c r="U1074" s="61">
        <f>Allocation[[#This Row],[Total volume used]]/VLOOKUP(Allocation[[#This Row],[Delivery ID]],Delivery[[Delivery ID]:[Quantity delivered]],3,FALSE)</f>
        <v>1</v>
      </c>
      <c r="V1074" s="34" t="e">
        <f>VLOOKUP(Allocation[[#This Row],[SAP Contract number]],Shipments[[SAP Contract number]:[Contracted container weight]],2,FALSE)</f>
        <v>#N/A</v>
      </c>
      <c r="W1074" s="34" t="e">
        <f>VLOOKUP(Allocation[[#This Row],[SAP Contract number]],Shipments[[SAP Contract number]:[AAA Premium USD]],24,FALSE)</f>
        <v>#N/A</v>
      </c>
      <c r="X1074" s="34" t="e">
        <f>VLOOKUP(Allocation[[#This Row],[SAP Contract number]],Shipments[[SAP Contract number]:[RA Premium USD]],25,FALSE)</f>
        <v>#N/A</v>
      </c>
      <c r="Y1074" s="38">
        <f>Allocation[[#This Row],[Quantity Processed]]/Allocation[[#This Row],[Quantity allocated]]</f>
        <v>3.0304170586390717</v>
      </c>
      <c r="Z1074" s="34" t="b">
        <f>Allocation[[#This Row],[Quantity allocated]]&lt;=Allocation[[#This Row],[Quantity Processed]]</f>
        <v>1</v>
      </c>
    </row>
    <row r="1075" spans="1:26">
      <c r="A1075" s="247" t="s">
        <v>467</v>
      </c>
      <c r="B1075" s="210" t="s">
        <v>68</v>
      </c>
      <c r="C1075" s="254" t="s">
        <v>1076</v>
      </c>
      <c r="D1075" s="255">
        <v>2257</v>
      </c>
      <c r="E1075" s="211" t="s">
        <v>1864</v>
      </c>
      <c r="F1075" s="212">
        <v>43538</v>
      </c>
      <c r="G1075" s="213">
        <v>2.68</v>
      </c>
      <c r="H1075" s="256">
        <v>1309</v>
      </c>
      <c r="I1075" s="214">
        <v>1444688</v>
      </c>
      <c r="J1075" s="215">
        <v>21600</v>
      </c>
      <c r="K1075" s="212">
        <v>43587</v>
      </c>
      <c r="L1075" s="211" t="s">
        <v>1871</v>
      </c>
      <c r="M1075" s="216">
        <v>4615445946</v>
      </c>
      <c r="N1075" s="212">
        <v>43682</v>
      </c>
      <c r="O1075" s="217">
        <v>3.9611999999999998</v>
      </c>
      <c r="P1075" s="219"/>
      <c r="Q1075" s="34">
        <f>SUMIF(Allocation[Delivery ID],Allocation[[#This Row],[Delivery ID]],Allocation[Quantity Processed])</f>
        <v>8805</v>
      </c>
      <c r="R1075" s="61">
        <f>Allocation[[#This Row],[Total volume used]]/VLOOKUP(Allocation[[#This Row],[Delivery ID]],Delivery[[Delivery ID]:[Quantity delivered]],3,FALSE)</f>
        <v>0.71341759844433639</v>
      </c>
      <c r="S1075" s="34">
        <f>Allocation[[#This Row],[Quantity Processed]]/Allocation[[#This Row],[Dilution rate]]</f>
        <v>842.16417910447751</v>
      </c>
      <c r="T1075" s="59">
        <f>SUMIF(Allocation[Delivery ID],Allocation[[#This Row],[Delivery ID]],Allocation[Quantity allocated])/SUMIF(Allocation[Delivery ID],Allocation[[#This Row],[Delivery ID]],Allocation[Volume available (kg)])</f>
        <v>1.4474976748977335</v>
      </c>
      <c r="U1075" s="61">
        <f>Allocation[[#This Row],[Total volume used]]/VLOOKUP(Allocation[[#This Row],[Delivery ID]],Delivery[[Delivery ID]:[Quantity delivered]],3,FALSE)</f>
        <v>0.71341759844433639</v>
      </c>
      <c r="V1075" s="34" t="e">
        <f>VLOOKUP(Allocation[[#This Row],[SAP Contract number]],Shipments[[SAP Contract number]:[Contracted container weight]],2,FALSE)</f>
        <v>#N/A</v>
      </c>
      <c r="W1075" s="34" t="e">
        <f>VLOOKUP(Allocation[[#This Row],[SAP Contract number]],Shipments[[SAP Contract number]:[AAA Premium USD]],24,FALSE)</f>
        <v>#N/A</v>
      </c>
      <c r="X1075" s="34" t="e">
        <f>VLOOKUP(Allocation[[#This Row],[SAP Contract number]],Shipments[[SAP Contract number]:[RA Premium USD]],25,FALSE)</f>
        <v>#N/A</v>
      </c>
      <c r="Y1075" s="38">
        <f>Allocation[[#This Row],[Quantity Processed]]/Allocation[[#This Row],[Quantity allocated]]</f>
        <v>1.7242169595110772</v>
      </c>
      <c r="Z1075" s="34" t="b">
        <f>Allocation[[#This Row],[Quantity allocated]]&lt;=Allocation[[#This Row],[Quantity Processed]]</f>
        <v>1</v>
      </c>
    </row>
    <row r="1076" spans="1:26">
      <c r="A1076" s="247" t="s">
        <v>467</v>
      </c>
      <c r="B1076" s="210" t="s">
        <v>68</v>
      </c>
      <c r="C1076" s="254" t="s">
        <v>1077</v>
      </c>
      <c r="D1076" s="255">
        <v>1269</v>
      </c>
      <c r="E1076" s="211" t="s">
        <v>1864</v>
      </c>
      <c r="F1076" s="212">
        <v>43538</v>
      </c>
      <c r="G1076" s="213">
        <v>2.68</v>
      </c>
      <c r="H1076" s="256">
        <v>669</v>
      </c>
      <c r="I1076" s="214">
        <v>1444688</v>
      </c>
      <c r="J1076" s="215">
        <v>21600</v>
      </c>
      <c r="K1076" s="212">
        <v>43587</v>
      </c>
      <c r="L1076" s="211" t="s">
        <v>1871</v>
      </c>
      <c r="M1076" s="216">
        <v>4615445946</v>
      </c>
      <c r="N1076" s="212">
        <v>43682</v>
      </c>
      <c r="O1076" s="217">
        <v>3.9611999999999998</v>
      </c>
      <c r="P1076" s="219"/>
      <c r="Q1076" s="34">
        <f>SUMIF(Allocation[Delivery ID],Allocation[[#This Row],[Delivery ID]],Allocation[Quantity Processed])</f>
        <v>30130</v>
      </c>
      <c r="R1076" s="61">
        <f>Allocation[[#This Row],[Total volume used]]/VLOOKUP(Allocation[[#This Row],[Delivery ID]],Delivery[[Delivery ID]:[Quantity delivered]],3,FALSE)</f>
        <v>1</v>
      </c>
      <c r="S1076" s="34">
        <f>Allocation[[#This Row],[Quantity Processed]]/Allocation[[#This Row],[Dilution rate]]</f>
        <v>473.50746268656712</v>
      </c>
      <c r="T1076" s="59">
        <f>SUMIF(Allocation[Delivery ID],Allocation[[#This Row],[Delivery ID]],Allocation[Quantity allocated])/SUMIF(Allocation[Delivery ID],Allocation[[#This Row],[Delivery ID]],Allocation[Volume available (kg)])</f>
        <v>0.94029328961343239</v>
      </c>
      <c r="U1076" s="61">
        <f>Allocation[[#This Row],[Total volume used]]/VLOOKUP(Allocation[[#This Row],[Delivery ID]],Delivery[[Delivery ID]:[Quantity delivered]],3,FALSE)</f>
        <v>1</v>
      </c>
      <c r="V1076" s="34" t="e">
        <f>VLOOKUP(Allocation[[#This Row],[SAP Contract number]],Shipments[[SAP Contract number]:[Contracted container weight]],2,FALSE)</f>
        <v>#N/A</v>
      </c>
      <c r="W1076" s="34" t="e">
        <f>VLOOKUP(Allocation[[#This Row],[SAP Contract number]],Shipments[[SAP Contract number]:[AAA Premium USD]],24,FALSE)</f>
        <v>#N/A</v>
      </c>
      <c r="X1076" s="34" t="e">
        <f>VLOOKUP(Allocation[[#This Row],[SAP Contract number]],Shipments[[SAP Contract number]:[RA Premium USD]],25,FALSE)</f>
        <v>#N/A</v>
      </c>
      <c r="Y1076" s="38">
        <f>Allocation[[#This Row],[Quantity Processed]]/Allocation[[#This Row],[Quantity allocated]]</f>
        <v>1.8968609865470851</v>
      </c>
      <c r="Z1076" s="34" t="b">
        <f>Allocation[[#This Row],[Quantity allocated]]&lt;=Allocation[[#This Row],[Quantity Processed]]</f>
        <v>1</v>
      </c>
    </row>
    <row r="1077" spans="1:26">
      <c r="A1077" s="247" t="s">
        <v>467</v>
      </c>
      <c r="B1077" s="210" t="s">
        <v>68</v>
      </c>
      <c r="C1077" s="254" t="s">
        <v>1078</v>
      </c>
      <c r="D1077" s="255">
        <v>4931</v>
      </c>
      <c r="E1077" s="211" t="s">
        <v>1864</v>
      </c>
      <c r="F1077" s="212">
        <v>43538</v>
      </c>
      <c r="G1077" s="213">
        <v>2.68</v>
      </c>
      <c r="H1077" s="256">
        <v>1923</v>
      </c>
      <c r="I1077" s="214">
        <v>1444688</v>
      </c>
      <c r="J1077" s="215">
        <v>21600</v>
      </c>
      <c r="K1077" s="212">
        <v>43587</v>
      </c>
      <c r="L1077" s="211" t="s">
        <v>1871</v>
      </c>
      <c r="M1077" s="216">
        <v>4615445946</v>
      </c>
      <c r="N1077" s="212">
        <v>43682</v>
      </c>
      <c r="O1077" s="217">
        <v>3.9611999999999998</v>
      </c>
      <c r="P1077" s="219"/>
      <c r="Q1077" s="34">
        <f>SUMIF(Allocation[Delivery ID],Allocation[[#This Row],[Delivery ID]],Allocation[Quantity Processed])</f>
        <v>18130</v>
      </c>
      <c r="R1077" s="61">
        <f>Allocation[[#This Row],[Total volume used]]/VLOOKUP(Allocation[[#This Row],[Delivery ID]],Delivery[[Delivery ID]:[Quantity delivered]],3,FALSE)</f>
        <v>1</v>
      </c>
      <c r="S1077" s="34">
        <f>Allocation[[#This Row],[Quantity Processed]]/Allocation[[#This Row],[Dilution rate]]</f>
        <v>1839.9253731343283</v>
      </c>
      <c r="T1077" s="59">
        <f>SUMIF(Allocation[Delivery ID],Allocation[[#This Row],[Delivery ID]],Allocation[Quantity allocated])/SUMIF(Allocation[Delivery ID],Allocation[[#This Row],[Delivery ID]],Allocation[Volume available (kg)])</f>
        <v>0.97337423777567733</v>
      </c>
      <c r="U1077" s="61">
        <f>Allocation[[#This Row],[Total volume used]]/VLOOKUP(Allocation[[#This Row],[Delivery ID]],Delivery[[Delivery ID]:[Quantity delivered]],3,FALSE)</f>
        <v>1</v>
      </c>
      <c r="V1077" s="34" t="e">
        <f>VLOOKUP(Allocation[[#This Row],[SAP Contract number]],Shipments[[SAP Contract number]:[Contracted container weight]],2,FALSE)</f>
        <v>#N/A</v>
      </c>
      <c r="W1077" s="34" t="e">
        <f>VLOOKUP(Allocation[[#This Row],[SAP Contract number]],Shipments[[SAP Contract number]:[AAA Premium USD]],24,FALSE)</f>
        <v>#N/A</v>
      </c>
      <c r="X1077" s="34" t="e">
        <f>VLOOKUP(Allocation[[#This Row],[SAP Contract number]],Shipments[[SAP Contract number]:[RA Premium USD]],25,FALSE)</f>
        <v>#N/A</v>
      </c>
      <c r="Y1077" s="38">
        <f>Allocation[[#This Row],[Quantity Processed]]/Allocation[[#This Row],[Quantity allocated]]</f>
        <v>2.564222568902756</v>
      </c>
      <c r="Z1077" s="34" t="b">
        <f>Allocation[[#This Row],[Quantity allocated]]&lt;=Allocation[[#This Row],[Quantity Processed]]</f>
        <v>1</v>
      </c>
    </row>
    <row r="1078" spans="1:26">
      <c r="A1078" s="247" t="s">
        <v>467</v>
      </c>
      <c r="B1078" s="210" t="s">
        <v>68</v>
      </c>
      <c r="C1078" s="254" t="s">
        <v>1082</v>
      </c>
      <c r="D1078" s="255">
        <v>691</v>
      </c>
      <c r="E1078" s="211" t="s">
        <v>1864</v>
      </c>
      <c r="F1078" s="212">
        <v>43538</v>
      </c>
      <c r="G1078" s="213">
        <v>2.68</v>
      </c>
      <c r="H1078" s="256">
        <v>657</v>
      </c>
      <c r="I1078" s="214">
        <v>1444688</v>
      </c>
      <c r="J1078" s="215">
        <v>21600</v>
      </c>
      <c r="K1078" s="212">
        <v>43587</v>
      </c>
      <c r="L1078" s="211" t="s">
        <v>1871</v>
      </c>
      <c r="M1078" s="216">
        <v>4615445946</v>
      </c>
      <c r="N1078" s="212">
        <v>43682</v>
      </c>
      <c r="O1078" s="217">
        <v>3.9611999999999998</v>
      </c>
      <c r="P1078" s="219"/>
      <c r="Q1078" s="34">
        <f>SUMIF(Allocation[Delivery ID],Allocation[[#This Row],[Delivery ID]],Allocation[Quantity Processed])</f>
        <v>29600</v>
      </c>
      <c r="R1078" s="61">
        <f>Allocation[[#This Row],[Total volume used]]/VLOOKUP(Allocation[[#This Row],[Delivery ID]],Delivery[[Delivery ID]:[Quantity delivered]],3,FALSE)</f>
        <v>1</v>
      </c>
      <c r="S1078" s="34">
        <f>Allocation[[#This Row],[Quantity Processed]]/Allocation[[#This Row],[Dilution rate]]</f>
        <v>257.83582089552237</v>
      </c>
      <c r="T1078" s="59">
        <f>SUMIF(Allocation[Delivery ID],Allocation[[#This Row],[Delivery ID]],Allocation[Quantity allocated])/SUMIF(Allocation[Delivery ID],Allocation[[#This Row],[Delivery ID]],Allocation[Volume available (kg)])</f>
        <v>0.95386301455948908</v>
      </c>
      <c r="U1078" s="61">
        <f>Allocation[[#This Row],[Total volume used]]/VLOOKUP(Allocation[[#This Row],[Delivery ID]],Delivery[[Delivery ID]:[Quantity delivered]],3,FALSE)</f>
        <v>1</v>
      </c>
      <c r="V1078" s="34" t="e">
        <f>VLOOKUP(Allocation[[#This Row],[SAP Contract number]],Shipments[[SAP Contract number]:[Contracted container weight]],2,FALSE)</f>
        <v>#N/A</v>
      </c>
      <c r="W1078" s="34" t="e">
        <f>VLOOKUP(Allocation[[#This Row],[SAP Contract number]],Shipments[[SAP Contract number]:[AAA Premium USD]],24,FALSE)</f>
        <v>#N/A</v>
      </c>
      <c r="X1078" s="34" t="e">
        <f>VLOOKUP(Allocation[[#This Row],[SAP Contract number]],Shipments[[SAP Contract number]:[RA Premium USD]],25,FALSE)</f>
        <v>#N/A</v>
      </c>
      <c r="Y1078" s="38">
        <f>Allocation[[#This Row],[Quantity Processed]]/Allocation[[#This Row],[Quantity allocated]]</f>
        <v>1.0517503805175039</v>
      </c>
      <c r="Z1078" s="34" t="b">
        <f>Allocation[[#This Row],[Quantity allocated]]&lt;=Allocation[[#This Row],[Quantity Processed]]</f>
        <v>1</v>
      </c>
    </row>
    <row r="1079" spans="1:26">
      <c r="A1079" s="247" t="s">
        <v>467</v>
      </c>
      <c r="B1079" s="210" t="s">
        <v>68</v>
      </c>
      <c r="C1079" s="254" t="s">
        <v>1083</v>
      </c>
      <c r="D1079" s="255">
        <v>3493</v>
      </c>
      <c r="E1079" s="211" t="s">
        <v>1864</v>
      </c>
      <c r="F1079" s="212">
        <v>43538</v>
      </c>
      <c r="G1079" s="213">
        <v>2.68</v>
      </c>
      <c r="H1079" s="256">
        <v>1467</v>
      </c>
      <c r="I1079" s="214">
        <v>1444688</v>
      </c>
      <c r="J1079" s="215">
        <v>21600</v>
      </c>
      <c r="K1079" s="212">
        <v>43587</v>
      </c>
      <c r="L1079" s="211" t="s">
        <v>1871</v>
      </c>
      <c r="M1079" s="216">
        <v>4615445946</v>
      </c>
      <c r="N1079" s="212">
        <v>43682</v>
      </c>
      <c r="O1079" s="217">
        <v>3.9611999999999998</v>
      </c>
      <c r="P1079" s="219"/>
      <c r="Q1079" s="34">
        <f>SUMIF(Allocation[Delivery ID],Allocation[[#This Row],[Delivery ID]],Allocation[Quantity Processed])</f>
        <v>12310</v>
      </c>
      <c r="R1079" s="61">
        <f>Allocation[[#This Row],[Total volume used]]/VLOOKUP(Allocation[[#This Row],[Delivery ID]],Delivery[[Delivery ID]:[Quantity delivered]],3,FALSE)</f>
        <v>0.85694396101635917</v>
      </c>
      <c r="S1079" s="34">
        <f>Allocation[[#This Row],[Quantity Processed]]/Allocation[[#This Row],[Dilution rate]]</f>
        <v>1303.3582089552237</v>
      </c>
      <c r="T1079" s="59">
        <f>SUMIF(Allocation[Delivery ID],Allocation[[#This Row],[Delivery ID]],Allocation[Quantity allocated])/SUMIF(Allocation[Delivery ID],Allocation[[#This Row],[Delivery ID]],Allocation[Volume available (kg)])</f>
        <v>1.0696976228020301</v>
      </c>
      <c r="U1079" s="61">
        <f>Allocation[[#This Row],[Total volume used]]/VLOOKUP(Allocation[[#This Row],[Delivery ID]],Delivery[[Delivery ID]:[Quantity delivered]],3,FALSE)</f>
        <v>0.85694396101635917</v>
      </c>
      <c r="V1079" s="34" t="e">
        <f>VLOOKUP(Allocation[[#This Row],[SAP Contract number]],Shipments[[SAP Contract number]:[Contracted container weight]],2,FALSE)</f>
        <v>#N/A</v>
      </c>
      <c r="W1079" s="34" t="e">
        <f>VLOOKUP(Allocation[[#This Row],[SAP Contract number]],Shipments[[SAP Contract number]:[AAA Premium USD]],24,FALSE)</f>
        <v>#N/A</v>
      </c>
      <c r="X1079" s="34" t="e">
        <f>VLOOKUP(Allocation[[#This Row],[SAP Contract number]],Shipments[[SAP Contract number]:[RA Premium USD]],25,FALSE)</f>
        <v>#N/A</v>
      </c>
      <c r="Y1079" s="38">
        <f>Allocation[[#This Row],[Quantity Processed]]/Allocation[[#This Row],[Quantity allocated]]</f>
        <v>2.3810497614178594</v>
      </c>
      <c r="Z1079" s="34" t="b">
        <f>Allocation[[#This Row],[Quantity allocated]]&lt;=Allocation[[#This Row],[Quantity Processed]]</f>
        <v>1</v>
      </c>
    </row>
    <row r="1080" spans="1:26">
      <c r="A1080" s="247" t="s">
        <v>467</v>
      </c>
      <c r="B1080" s="210" t="s">
        <v>68</v>
      </c>
      <c r="C1080" s="254" t="s">
        <v>1084</v>
      </c>
      <c r="D1080" s="255">
        <v>1900</v>
      </c>
      <c r="E1080" s="211" t="s">
        <v>1864</v>
      </c>
      <c r="F1080" s="212">
        <v>43538</v>
      </c>
      <c r="G1080" s="213">
        <v>2.68</v>
      </c>
      <c r="H1080" s="256">
        <v>798</v>
      </c>
      <c r="I1080" s="214">
        <v>1444688</v>
      </c>
      <c r="J1080" s="215">
        <v>21600</v>
      </c>
      <c r="K1080" s="212">
        <v>43587</v>
      </c>
      <c r="L1080" s="211" t="s">
        <v>1871</v>
      </c>
      <c r="M1080" s="216">
        <v>4615445946</v>
      </c>
      <c r="N1080" s="212">
        <v>43682</v>
      </c>
      <c r="O1080" s="217">
        <v>3.9611999999999998</v>
      </c>
      <c r="P1080" s="219"/>
      <c r="Q1080" s="34">
        <f>SUMIF(Allocation[Delivery ID],Allocation[[#This Row],[Delivery ID]],Allocation[Quantity Processed])</f>
        <v>6696</v>
      </c>
      <c r="R1080" s="61">
        <f>Allocation[[#This Row],[Total volume used]]/VLOOKUP(Allocation[[#This Row],[Delivery ID]],Delivery[[Delivery ID]:[Quantity delivered]],3,FALSE)</f>
        <v>0.85681381957773517</v>
      </c>
      <c r="S1080" s="34">
        <f>Allocation[[#This Row],[Quantity Processed]]/Allocation[[#This Row],[Dilution rate]]</f>
        <v>708.95522388059692</v>
      </c>
      <c r="T1080" s="59">
        <f>SUMIF(Allocation[Delivery ID],Allocation[[#This Row],[Delivery ID]],Allocation[Quantity allocated])/SUMIF(Allocation[Delivery ID],Allocation[[#This Row],[Delivery ID]],Allocation[Volume available (kg)])</f>
        <v>1.0696839892515559</v>
      </c>
      <c r="U1080" s="61">
        <f>Allocation[[#This Row],[Total volume used]]/VLOOKUP(Allocation[[#This Row],[Delivery ID]],Delivery[[Delivery ID]:[Quantity delivered]],3,FALSE)</f>
        <v>0.85681381957773517</v>
      </c>
      <c r="V1080" s="34" t="e">
        <f>VLOOKUP(Allocation[[#This Row],[SAP Contract number]],Shipments[[SAP Contract number]:[Contracted container weight]],2,FALSE)</f>
        <v>#N/A</v>
      </c>
      <c r="W1080" s="34" t="e">
        <f>VLOOKUP(Allocation[[#This Row],[SAP Contract number]],Shipments[[SAP Contract number]:[AAA Premium USD]],24,FALSE)</f>
        <v>#N/A</v>
      </c>
      <c r="X1080" s="34" t="e">
        <f>VLOOKUP(Allocation[[#This Row],[SAP Contract number]],Shipments[[SAP Contract number]:[RA Premium USD]],25,FALSE)</f>
        <v>#N/A</v>
      </c>
      <c r="Y1080" s="38">
        <f>Allocation[[#This Row],[Quantity Processed]]/Allocation[[#This Row],[Quantity allocated]]</f>
        <v>2.3809523809523809</v>
      </c>
      <c r="Z1080" s="34" t="b">
        <f>Allocation[[#This Row],[Quantity allocated]]&lt;=Allocation[[#This Row],[Quantity Processed]]</f>
        <v>1</v>
      </c>
    </row>
    <row r="1081" spans="1:26">
      <c r="A1081" s="247" t="s">
        <v>467</v>
      </c>
      <c r="B1081" s="210" t="s">
        <v>68</v>
      </c>
      <c r="C1081" s="254" t="s">
        <v>1089</v>
      </c>
      <c r="D1081" s="255">
        <v>10193</v>
      </c>
      <c r="E1081" s="211" t="s">
        <v>1864</v>
      </c>
      <c r="F1081" s="212">
        <v>43538</v>
      </c>
      <c r="G1081" s="213">
        <v>2.68</v>
      </c>
      <c r="H1081" s="256">
        <v>3058</v>
      </c>
      <c r="I1081" s="214">
        <v>1444688</v>
      </c>
      <c r="J1081" s="215">
        <v>21600</v>
      </c>
      <c r="K1081" s="212">
        <v>43587</v>
      </c>
      <c r="L1081" s="211" t="s">
        <v>1871</v>
      </c>
      <c r="M1081" s="216">
        <v>4615445946</v>
      </c>
      <c r="N1081" s="212">
        <v>43682</v>
      </c>
      <c r="O1081" s="217">
        <v>3.9611999999999998</v>
      </c>
      <c r="P1081" s="219"/>
      <c r="Q1081" s="34">
        <f>SUMIF(Allocation[Delivery ID],Allocation[[#This Row],[Delivery ID]],Allocation[Quantity Processed])</f>
        <v>29932</v>
      </c>
      <c r="R1081" s="61">
        <f>Allocation[[#This Row],[Total volume used]]/VLOOKUP(Allocation[[#This Row],[Delivery ID]],Delivery[[Delivery ID]:[Quantity delivered]],3,FALSE)</f>
        <v>1</v>
      </c>
      <c r="S1081" s="34">
        <f>Allocation[[#This Row],[Quantity Processed]]/Allocation[[#This Row],[Dilution rate]]</f>
        <v>3803.3582089552237</v>
      </c>
      <c r="T1081" s="59">
        <f>SUMIF(Allocation[Delivery ID],Allocation[[#This Row],[Delivery ID]],Allocation[Quantity allocated])/SUMIF(Allocation[Delivery ID],Allocation[[#This Row],[Delivery ID]],Allocation[Volume available (kg)])</f>
        <v>0.74687739269496001</v>
      </c>
      <c r="U1081" s="61">
        <f>Allocation[[#This Row],[Total volume used]]/VLOOKUP(Allocation[[#This Row],[Delivery ID]],Delivery[[Delivery ID]:[Quantity delivered]],3,FALSE)</f>
        <v>1</v>
      </c>
      <c r="V1081" s="34" t="e">
        <f>VLOOKUP(Allocation[[#This Row],[SAP Contract number]],Shipments[[SAP Contract number]:[Contracted container weight]],2,FALSE)</f>
        <v>#N/A</v>
      </c>
      <c r="W1081" s="34" t="e">
        <f>VLOOKUP(Allocation[[#This Row],[SAP Contract number]],Shipments[[SAP Contract number]:[AAA Premium USD]],24,FALSE)</f>
        <v>#N/A</v>
      </c>
      <c r="X1081" s="34" t="e">
        <f>VLOOKUP(Allocation[[#This Row],[SAP Contract number]],Shipments[[SAP Contract number]:[RA Premium USD]],25,FALSE)</f>
        <v>#N/A</v>
      </c>
      <c r="Y1081" s="38">
        <f>Allocation[[#This Row],[Quantity Processed]]/Allocation[[#This Row],[Quantity allocated]]</f>
        <v>3.3332243296272073</v>
      </c>
      <c r="Z1081" s="34" t="b">
        <f>Allocation[[#This Row],[Quantity allocated]]&lt;=Allocation[[#This Row],[Quantity Processed]]</f>
        <v>1</v>
      </c>
    </row>
    <row r="1082" spans="1:26">
      <c r="A1082" s="247" t="s">
        <v>467</v>
      </c>
      <c r="B1082" s="210" t="s">
        <v>68</v>
      </c>
      <c r="C1082" s="254" t="s">
        <v>1090</v>
      </c>
      <c r="D1082" s="255">
        <v>6374</v>
      </c>
      <c r="E1082" s="211" t="s">
        <v>1864</v>
      </c>
      <c r="F1082" s="212">
        <v>43538</v>
      </c>
      <c r="G1082" s="213">
        <v>2.68</v>
      </c>
      <c r="H1082" s="256">
        <v>2932</v>
      </c>
      <c r="I1082" s="214">
        <v>1444688</v>
      </c>
      <c r="J1082" s="215">
        <v>21600</v>
      </c>
      <c r="K1082" s="212">
        <v>43587</v>
      </c>
      <c r="L1082" s="211" t="s">
        <v>1871</v>
      </c>
      <c r="M1082" s="216">
        <v>4615445946</v>
      </c>
      <c r="N1082" s="212">
        <v>43682</v>
      </c>
      <c r="O1082" s="217">
        <v>3.9611999999999998</v>
      </c>
      <c r="P1082" s="219"/>
      <c r="Q1082" s="34">
        <f>SUMIF(Allocation[Delivery ID],Allocation[[#This Row],[Delivery ID]],Allocation[Quantity Processed])</f>
        <v>22447</v>
      </c>
      <c r="R1082" s="61">
        <f>Allocation[[#This Row],[Total volume used]]/VLOOKUP(Allocation[[#This Row],[Delivery ID]],Delivery[[Delivery ID]:[Quantity delivered]],3,FALSE)</f>
        <v>0.78212543554006964</v>
      </c>
      <c r="S1082" s="34">
        <f>Allocation[[#This Row],[Quantity Processed]]/Allocation[[#This Row],[Dilution rate]]</f>
        <v>2378.3582089552237</v>
      </c>
      <c r="T1082" s="59">
        <f>SUMIF(Allocation[Delivery ID],Allocation[[#This Row],[Delivery ID]],Allocation[Quantity allocated])/SUMIF(Allocation[Delivery ID],Allocation[[#This Row],[Delivery ID]],Allocation[Volume available (kg)])</f>
        <v>1.1716289140490868</v>
      </c>
      <c r="U1082" s="61">
        <f>Allocation[[#This Row],[Total volume used]]/VLOOKUP(Allocation[[#This Row],[Delivery ID]],Delivery[[Delivery ID]:[Quantity delivered]],3,FALSE)</f>
        <v>0.78212543554006964</v>
      </c>
      <c r="V1082" s="34" t="e">
        <f>VLOOKUP(Allocation[[#This Row],[SAP Contract number]],Shipments[[SAP Contract number]:[Contracted container weight]],2,FALSE)</f>
        <v>#N/A</v>
      </c>
      <c r="W1082" s="34" t="e">
        <f>VLOOKUP(Allocation[[#This Row],[SAP Contract number]],Shipments[[SAP Contract number]:[AAA Premium USD]],24,FALSE)</f>
        <v>#N/A</v>
      </c>
      <c r="X1082" s="34" t="e">
        <f>VLOOKUP(Allocation[[#This Row],[SAP Contract number]],Shipments[[SAP Contract number]:[RA Premium USD]],25,FALSE)</f>
        <v>#N/A</v>
      </c>
      <c r="Y1082" s="38">
        <f>Allocation[[#This Row],[Quantity Processed]]/Allocation[[#This Row],[Quantity allocated]]</f>
        <v>2.1739427012278307</v>
      </c>
      <c r="Z1082" s="34" t="b">
        <f>Allocation[[#This Row],[Quantity allocated]]&lt;=Allocation[[#This Row],[Quantity Processed]]</f>
        <v>1</v>
      </c>
    </row>
    <row r="1083" spans="1:26">
      <c r="A1083" s="247" t="s">
        <v>467</v>
      </c>
      <c r="B1083" s="210" t="s">
        <v>68</v>
      </c>
      <c r="C1083" s="254" t="s">
        <v>1091</v>
      </c>
      <c r="D1083" s="255">
        <v>6357</v>
      </c>
      <c r="E1083" s="211" t="s">
        <v>1864</v>
      </c>
      <c r="F1083" s="212">
        <v>43538</v>
      </c>
      <c r="G1083" s="213">
        <v>2.68</v>
      </c>
      <c r="H1083" s="256">
        <v>2924</v>
      </c>
      <c r="I1083" s="214">
        <v>1444688</v>
      </c>
      <c r="J1083" s="215">
        <v>21600</v>
      </c>
      <c r="K1083" s="212">
        <v>43587</v>
      </c>
      <c r="L1083" s="211" t="s">
        <v>1871</v>
      </c>
      <c r="M1083" s="216">
        <v>4615445946</v>
      </c>
      <c r="N1083" s="212">
        <v>43682</v>
      </c>
      <c r="O1083" s="217">
        <v>3.9611999999999998</v>
      </c>
      <c r="P1083" s="219"/>
      <c r="Q1083" s="34">
        <f>SUMIF(Allocation[Delivery ID],Allocation[[#This Row],[Delivery ID]],Allocation[Quantity Processed])</f>
        <v>12660</v>
      </c>
      <c r="R1083" s="61">
        <f>Allocation[[#This Row],[Total volume used]]/VLOOKUP(Allocation[[#This Row],[Delivery ID]],Delivery[[Delivery ID]:[Quantity delivered]],3,FALSE)</f>
        <v>1</v>
      </c>
      <c r="S1083" s="34">
        <f>Allocation[[#This Row],[Quantity Processed]]/Allocation[[#This Row],[Dilution rate]]</f>
        <v>2372.0149253731342</v>
      </c>
      <c r="T1083" s="59">
        <f>SUMIF(Allocation[Delivery ID],Allocation[[#This Row],[Delivery ID]],Allocation[Quantity allocated])/SUMIF(Allocation[Delivery ID],Allocation[[#This Row],[Delivery ID]],Allocation[Volume available (kg)])</f>
        <v>1.1563446163310067</v>
      </c>
      <c r="U1083" s="61">
        <f>Allocation[[#This Row],[Total volume used]]/VLOOKUP(Allocation[[#This Row],[Delivery ID]],Delivery[[Delivery ID]:[Quantity delivered]],3,FALSE)</f>
        <v>1</v>
      </c>
      <c r="V1083" s="34" t="e">
        <f>VLOOKUP(Allocation[[#This Row],[SAP Contract number]],Shipments[[SAP Contract number]:[Contracted container weight]],2,FALSE)</f>
        <v>#N/A</v>
      </c>
      <c r="W1083" s="34" t="e">
        <f>VLOOKUP(Allocation[[#This Row],[SAP Contract number]],Shipments[[SAP Contract number]:[AAA Premium USD]],24,FALSE)</f>
        <v>#N/A</v>
      </c>
      <c r="X1083" s="34" t="e">
        <f>VLOOKUP(Allocation[[#This Row],[SAP Contract number]],Shipments[[SAP Contract number]:[RA Premium USD]],25,FALSE)</f>
        <v>#N/A</v>
      </c>
      <c r="Y1083" s="38">
        <f>Allocation[[#This Row],[Quantity Processed]]/Allocation[[#This Row],[Quantity allocated]]</f>
        <v>2.1740766073871409</v>
      </c>
      <c r="Z1083" s="34" t="b">
        <f>Allocation[[#This Row],[Quantity allocated]]&lt;=Allocation[[#This Row],[Quantity Processed]]</f>
        <v>1</v>
      </c>
    </row>
    <row r="1084" spans="1:26">
      <c r="A1084" s="247" t="s">
        <v>467</v>
      </c>
      <c r="B1084" s="210" t="s">
        <v>68</v>
      </c>
      <c r="C1084" s="254" t="s">
        <v>1666</v>
      </c>
      <c r="D1084" s="255">
        <v>515</v>
      </c>
      <c r="E1084" s="211" t="s">
        <v>1864</v>
      </c>
      <c r="F1084" s="212">
        <v>43538</v>
      </c>
      <c r="G1084" s="213">
        <v>2.68</v>
      </c>
      <c r="H1084" s="256">
        <v>206</v>
      </c>
      <c r="I1084" s="214">
        <v>1444688</v>
      </c>
      <c r="J1084" s="215">
        <v>21600</v>
      </c>
      <c r="K1084" s="212">
        <v>43587</v>
      </c>
      <c r="L1084" s="211" t="s">
        <v>1871</v>
      </c>
      <c r="M1084" s="216">
        <v>4615445946</v>
      </c>
      <c r="N1084" s="212">
        <v>43682</v>
      </c>
      <c r="O1084" s="217">
        <v>3.9611999999999998</v>
      </c>
      <c r="P1084" s="219"/>
      <c r="Q1084" s="34">
        <f>SUMIF(Allocation[Delivery ID],Allocation[[#This Row],[Delivery ID]],Allocation[Quantity Processed])</f>
        <v>18909</v>
      </c>
      <c r="R1084" s="61">
        <f>Allocation[[#This Row],[Total volume used]]/VLOOKUP(Allocation[[#This Row],[Delivery ID]],Delivery[[Delivery ID]:[Quantity delivered]],3,FALSE)</f>
        <v>0.60954499298873366</v>
      </c>
      <c r="S1084" s="34">
        <f>Allocation[[#This Row],[Quantity Processed]]/Allocation[[#This Row],[Dilution rate]]</f>
        <v>192.1641791044776</v>
      </c>
      <c r="T1084" s="59">
        <f>SUMIF(Allocation[Delivery ID],Allocation[[#This Row],[Delivery ID]],Allocation[Quantity allocated])/SUMIF(Allocation[Delivery ID],Allocation[[#This Row],[Delivery ID]],Allocation[Volume available (kg)])</f>
        <v>1.0107752498483131</v>
      </c>
      <c r="U1084" s="61">
        <f>Allocation[[#This Row],[Total volume used]]/VLOOKUP(Allocation[[#This Row],[Delivery ID]],Delivery[[Delivery ID]:[Quantity delivered]],3,FALSE)</f>
        <v>0.60954499298873366</v>
      </c>
      <c r="V1084" s="34" t="e">
        <f>VLOOKUP(Allocation[[#This Row],[SAP Contract number]],Shipments[[SAP Contract number]:[Contracted container weight]],2,FALSE)</f>
        <v>#N/A</v>
      </c>
      <c r="W1084" s="34" t="e">
        <f>VLOOKUP(Allocation[[#This Row],[SAP Contract number]],Shipments[[SAP Contract number]:[AAA Premium USD]],24,FALSE)</f>
        <v>#N/A</v>
      </c>
      <c r="X1084" s="34" t="e">
        <f>VLOOKUP(Allocation[[#This Row],[SAP Contract number]],Shipments[[SAP Contract number]:[RA Premium USD]],25,FALSE)</f>
        <v>#N/A</v>
      </c>
      <c r="Y1084" s="38">
        <f>Allocation[[#This Row],[Quantity Processed]]/Allocation[[#This Row],[Quantity allocated]]</f>
        <v>2.5</v>
      </c>
      <c r="Z1084" s="34" t="b">
        <f>Allocation[[#This Row],[Quantity allocated]]&lt;=Allocation[[#This Row],[Quantity Processed]]</f>
        <v>1</v>
      </c>
    </row>
    <row r="1085" spans="1:26">
      <c r="A1085" s="247" t="s">
        <v>467</v>
      </c>
      <c r="B1085" s="210" t="s">
        <v>68</v>
      </c>
      <c r="C1085" s="254" t="s">
        <v>1104</v>
      </c>
      <c r="D1085" s="255">
        <v>523</v>
      </c>
      <c r="E1085" s="211" t="s">
        <v>1864</v>
      </c>
      <c r="F1085" s="212">
        <v>43538</v>
      </c>
      <c r="G1085" s="213">
        <v>2.68</v>
      </c>
      <c r="H1085" s="256">
        <v>209</v>
      </c>
      <c r="I1085" s="214">
        <v>1444688</v>
      </c>
      <c r="J1085" s="215">
        <v>21600</v>
      </c>
      <c r="K1085" s="212">
        <v>43587</v>
      </c>
      <c r="L1085" s="211" t="s">
        <v>1871</v>
      </c>
      <c r="M1085" s="216">
        <v>4615445946</v>
      </c>
      <c r="N1085" s="212">
        <v>43682</v>
      </c>
      <c r="O1085" s="217">
        <v>3.9611999999999998</v>
      </c>
      <c r="P1085" s="219"/>
      <c r="Q1085" s="34">
        <f>SUMIF(Allocation[Delivery ID],Allocation[[#This Row],[Delivery ID]],Allocation[Quantity Processed])</f>
        <v>4717.5</v>
      </c>
      <c r="R1085" s="61">
        <f>Allocation[[#This Row],[Total volume used]]/VLOOKUP(Allocation[[#This Row],[Delivery ID]],Delivery[[Delivery ID]:[Quantity delivered]],3,FALSE)</f>
        <v>1</v>
      </c>
      <c r="S1085" s="34">
        <f>Allocation[[#This Row],[Quantity Processed]]/Allocation[[#This Row],[Dilution rate]]</f>
        <v>195.14925373134326</v>
      </c>
      <c r="T1085" s="59">
        <f>SUMIF(Allocation[Delivery ID],Allocation[[#This Row],[Delivery ID]],Allocation[Quantity allocated])/SUMIF(Allocation[Delivery ID],Allocation[[#This Row],[Delivery ID]],Allocation[Volume available (kg)])</f>
        <v>1.0217175128487634</v>
      </c>
      <c r="U1085" s="61">
        <f>Allocation[[#This Row],[Total volume used]]/VLOOKUP(Allocation[[#This Row],[Delivery ID]],Delivery[[Delivery ID]:[Quantity delivered]],3,FALSE)</f>
        <v>1</v>
      </c>
      <c r="V1085" s="34" t="e">
        <f>VLOOKUP(Allocation[[#This Row],[SAP Contract number]],Shipments[[SAP Contract number]:[Contracted container weight]],2,FALSE)</f>
        <v>#N/A</v>
      </c>
      <c r="W1085" s="34" t="e">
        <f>VLOOKUP(Allocation[[#This Row],[SAP Contract number]],Shipments[[SAP Contract number]:[AAA Premium USD]],24,FALSE)</f>
        <v>#N/A</v>
      </c>
      <c r="X1085" s="34" t="e">
        <f>VLOOKUP(Allocation[[#This Row],[SAP Contract number]],Shipments[[SAP Contract number]:[RA Premium USD]],25,FALSE)</f>
        <v>#N/A</v>
      </c>
      <c r="Y1085" s="38">
        <f>Allocation[[#This Row],[Quantity Processed]]/Allocation[[#This Row],[Quantity allocated]]</f>
        <v>2.5023923444976077</v>
      </c>
      <c r="Z1085" s="34" t="b">
        <f>Allocation[[#This Row],[Quantity allocated]]&lt;=Allocation[[#This Row],[Quantity Processed]]</f>
        <v>1</v>
      </c>
    </row>
    <row r="1086" spans="1:26">
      <c r="A1086" s="247" t="s">
        <v>467</v>
      </c>
      <c r="B1086" s="210" t="s">
        <v>68</v>
      </c>
      <c r="C1086" s="254" t="s">
        <v>1104</v>
      </c>
      <c r="D1086" s="255">
        <v>683</v>
      </c>
      <c r="E1086" s="211" t="s">
        <v>1864</v>
      </c>
      <c r="F1086" s="212">
        <v>43538</v>
      </c>
      <c r="G1086" s="213">
        <v>2.68</v>
      </c>
      <c r="H1086" s="256">
        <v>273</v>
      </c>
      <c r="I1086" s="214">
        <v>1444689</v>
      </c>
      <c r="J1086" s="215">
        <v>21600</v>
      </c>
      <c r="K1086" s="212">
        <v>43587</v>
      </c>
      <c r="L1086" s="211" t="s">
        <v>1872</v>
      </c>
      <c r="M1086" s="216">
        <v>4615445946</v>
      </c>
      <c r="N1086" s="212">
        <v>43682</v>
      </c>
      <c r="O1086" s="217">
        <v>3.9611999999999998</v>
      </c>
      <c r="P1086" s="219"/>
      <c r="Q1086" s="34">
        <f>SUMIF(Allocation[Delivery ID],Allocation[[#This Row],[Delivery ID]],Allocation[Quantity Processed])</f>
        <v>4717.5</v>
      </c>
      <c r="R1086" s="61">
        <f>Allocation[[#This Row],[Total volume used]]/VLOOKUP(Allocation[[#This Row],[Delivery ID]],Delivery[[Delivery ID]:[Quantity delivered]],3,FALSE)</f>
        <v>1</v>
      </c>
      <c r="S1086" s="34">
        <f>Allocation[[#This Row],[Quantity Processed]]/Allocation[[#This Row],[Dilution rate]]</f>
        <v>254.85074626865671</v>
      </c>
      <c r="T1086" s="59">
        <f>SUMIF(Allocation[Delivery ID],Allocation[[#This Row],[Delivery ID]],Allocation[Quantity allocated])/SUMIF(Allocation[Delivery ID],Allocation[[#This Row],[Delivery ID]],Allocation[Volume available (kg)])</f>
        <v>1.0217175128487634</v>
      </c>
      <c r="U1086" s="61">
        <f>Allocation[[#This Row],[Total volume used]]/VLOOKUP(Allocation[[#This Row],[Delivery ID]],Delivery[[Delivery ID]:[Quantity delivered]],3,FALSE)</f>
        <v>1</v>
      </c>
      <c r="V1086" s="34" t="e">
        <f>VLOOKUP(Allocation[[#This Row],[SAP Contract number]],Shipments[[SAP Contract number]:[Contracted container weight]],2,FALSE)</f>
        <v>#N/A</v>
      </c>
      <c r="W1086" s="34" t="e">
        <f>VLOOKUP(Allocation[[#This Row],[SAP Contract number]],Shipments[[SAP Contract number]:[AAA Premium USD]],24,FALSE)</f>
        <v>#N/A</v>
      </c>
      <c r="X1086" s="34" t="e">
        <f>VLOOKUP(Allocation[[#This Row],[SAP Contract number]],Shipments[[SAP Contract number]:[RA Premium USD]],25,FALSE)</f>
        <v>#N/A</v>
      </c>
      <c r="Y1086" s="38">
        <f>Allocation[[#This Row],[Quantity Processed]]/Allocation[[#This Row],[Quantity allocated]]</f>
        <v>2.5018315018315018</v>
      </c>
      <c r="Z1086" s="34" t="b">
        <f>Allocation[[#This Row],[Quantity allocated]]&lt;=Allocation[[#This Row],[Quantity Processed]]</f>
        <v>1</v>
      </c>
    </row>
    <row r="1087" spans="1:26">
      <c r="A1087" s="247" t="s">
        <v>467</v>
      </c>
      <c r="B1087" s="210" t="s">
        <v>68</v>
      </c>
      <c r="C1087" s="254" t="s">
        <v>1667</v>
      </c>
      <c r="D1087" s="255">
        <v>5963</v>
      </c>
      <c r="E1087" s="211" t="s">
        <v>1864</v>
      </c>
      <c r="F1087" s="212">
        <v>43538</v>
      </c>
      <c r="G1087" s="213">
        <v>2.68</v>
      </c>
      <c r="H1087" s="256">
        <v>1789</v>
      </c>
      <c r="I1087" s="214">
        <v>1444689</v>
      </c>
      <c r="J1087" s="215">
        <v>21600</v>
      </c>
      <c r="K1087" s="212">
        <v>43587</v>
      </c>
      <c r="L1087" s="211" t="s">
        <v>1872</v>
      </c>
      <c r="M1087" s="216">
        <v>4615445946</v>
      </c>
      <c r="N1087" s="212">
        <v>43682</v>
      </c>
      <c r="O1087" s="217">
        <v>3.9611999999999998</v>
      </c>
      <c r="P1087" s="219"/>
      <c r="Q1087" s="34">
        <f>SUMIF(Allocation[Delivery ID],Allocation[[#This Row],[Delivery ID]],Allocation[Quantity Processed])</f>
        <v>16603</v>
      </c>
      <c r="R1087" s="61">
        <f>Allocation[[#This Row],[Total volume used]]/VLOOKUP(Allocation[[#This Row],[Delivery ID]],Delivery[[Delivery ID]:[Quantity delivered]],3,FALSE)</f>
        <v>0.71245279780295223</v>
      </c>
      <c r="S1087" s="34">
        <f>Allocation[[#This Row],[Quantity Processed]]/Allocation[[#This Row],[Dilution rate]]</f>
        <v>2225</v>
      </c>
      <c r="T1087" s="59">
        <f>SUMIF(Allocation[Delivery ID],Allocation[[#This Row],[Delivery ID]],Allocation[Quantity allocated])/SUMIF(Allocation[Delivery ID],Allocation[[#This Row],[Delivery ID]],Allocation[Volume available (kg)])</f>
        <v>0.80065042016330834</v>
      </c>
      <c r="U1087" s="61">
        <f>Allocation[[#This Row],[Total volume used]]/VLOOKUP(Allocation[[#This Row],[Delivery ID]],Delivery[[Delivery ID]:[Quantity delivered]],3,FALSE)</f>
        <v>0.71245279780295223</v>
      </c>
      <c r="V1087" s="34" t="e">
        <f>VLOOKUP(Allocation[[#This Row],[SAP Contract number]],Shipments[[SAP Contract number]:[Contracted container weight]],2,FALSE)</f>
        <v>#N/A</v>
      </c>
      <c r="W1087" s="34" t="e">
        <f>VLOOKUP(Allocation[[#This Row],[SAP Contract number]],Shipments[[SAP Contract number]:[AAA Premium USD]],24,FALSE)</f>
        <v>#N/A</v>
      </c>
      <c r="X1087" s="34" t="e">
        <f>VLOOKUP(Allocation[[#This Row],[SAP Contract number]],Shipments[[SAP Contract number]:[RA Premium USD]],25,FALSE)</f>
        <v>#N/A</v>
      </c>
      <c r="Y1087" s="38">
        <f>Allocation[[#This Row],[Quantity Processed]]/Allocation[[#This Row],[Quantity allocated]]</f>
        <v>3.3331470095025155</v>
      </c>
      <c r="Z1087" s="34" t="b">
        <f>Allocation[[#This Row],[Quantity allocated]]&lt;=Allocation[[#This Row],[Quantity Processed]]</f>
        <v>1</v>
      </c>
    </row>
    <row r="1088" spans="1:26">
      <c r="A1088" s="247" t="s">
        <v>467</v>
      </c>
      <c r="B1088" s="210" t="s">
        <v>68</v>
      </c>
      <c r="C1088" s="254" t="s">
        <v>1105</v>
      </c>
      <c r="D1088" s="255">
        <v>3535</v>
      </c>
      <c r="E1088" s="211" t="s">
        <v>1864</v>
      </c>
      <c r="F1088" s="212">
        <v>43538</v>
      </c>
      <c r="G1088" s="213">
        <v>2.68</v>
      </c>
      <c r="H1088" s="256">
        <v>1414</v>
      </c>
      <c r="I1088" s="214">
        <v>1444689</v>
      </c>
      <c r="J1088" s="215">
        <v>21600</v>
      </c>
      <c r="K1088" s="212">
        <v>43587</v>
      </c>
      <c r="L1088" s="211" t="s">
        <v>1872</v>
      </c>
      <c r="M1088" s="216">
        <v>4615445946</v>
      </c>
      <c r="N1088" s="212">
        <v>43682</v>
      </c>
      <c r="O1088" s="217">
        <v>3.9611999999999998</v>
      </c>
      <c r="P1088" s="219"/>
      <c r="Q1088" s="34">
        <f>SUMIF(Allocation[Delivery ID],Allocation[[#This Row],[Delivery ID]],Allocation[Quantity Processed])</f>
        <v>12457</v>
      </c>
      <c r="R1088" s="61">
        <f>Allocation[[#This Row],[Total volume used]]/VLOOKUP(Allocation[[#This Row],[Delivery ID]],Delivery[[Delivery ID]:[Quantity delivered]],3,FALSE)</f>
        <v>0.89961724561276812</v>
      </c>
      <c r="S1088" s="34">
        <f>Allocation[[#This Row],[Quantity Processed]]/Allocation[[#This Row],[Dilution rate]]</f>
        <v>1319.0298507462685</v>
      </c>
      <c r="T1088" s="59">
        <f>SUMIF(Allocation[Delivery ID],Allocation[[#This Row],[Delivery ID]],Allocation[Quantity allocated])/SUMIF(Allocation[Delivery ID],Allocation[[#This Row],[Delivery ID]],Allocation[Volume available (kg)])</f>
        <v>1.0187170394824583</v>
      </c>
      <c r="U1088" s="61">
        <f>Allocation[[#This Row],[Total volume used]]/VLOOKUP(Allocation[[#This Row],[Delivery ID]],Delivery[[Delivery ID]:[Quantity delivered]],3,FALSE)</f>
        <v>0.89961724561276812</v>
      </c>
      <c r="V1088" s="34" t="e">
        <f>VLOOKUP(Allocation[[#This Row],[SAP Contract number]],Shipments[[SAP Contract number]:[Contracted container weight]],2,FALSE)</f>
        <v>#N/A</v>
      </c>
      <c r="W1088" s="34" t="e">
        <f>VLOOKUP(Allocation[[#This Row],[SAP Contract number]],Shipments[[SAP Contract number]:[AAA Premium USD]],24,FALSE)</f>
        <v>#N/A</v>
      </c>
      <c r="X1088" s="34" t="e">
        <f>VLOOKUP(Allocation[[#This Row],[SAP Contract number]],Shipments[[SAP Contract number]:[RA Premium USD]],25,FALSE)</f>
        <v>#N/A</v>
      </c>
      <c r="Y1088" s="38">
        <f>Allocation[[#This Row],[Quantity Processed]]/Allocation[[#This Row],[Quantity allocated]]</f>
        <v>2.5</v>
      </c>
      <c r="Z1088" s="34" t="b">
        <f>Allocation[[#This Row],[Quantity allocated]]&lt;=Allocation[[#This Row],[Quantity Processed]]</f>
        <v>1</v>
      </c>
    </row>
    <row r="1089" spans="1:26">
      <c r="A1089" s="247" t="s">
        <v>467</v>
      </c>
      <c r="B1089" s="210" t="s">
        <v>68</v>
      </c>
      <c r="C1089" s="254" t="s">
        <v>1109</v>
      </c>
      <c r="D1089" s="255">
        <v>6789</v>
      </c>
      <c r="E1089" s="211" t="s">
        <v>1864</v>
      </c>
      <c r="F1089" s="212">
        <v>43538</v>
      </c>
      <c r="G1089" s="213">
        <v>2.68</v>
      </c>
      <c r="H1089" s="256">
        <v>2376</v>
      </c>
      <c r="I1089" s="214">
        <v>1444689</v>
      </c>
      <c r="J1089" s="215">
        <v>21600</v>
      </c>
      <c r="K1089" s="212">
        <v>43587</v>
      </c>
      <c r="L1089" s="211" t="s">
        <v>1872</v>
      </c>
      <c r="M1089" s="216">
        <v>4615445946</v>
      </c>
      <c r="N1089" s="212">
        <v>43682</v>
      </c>
      <c r="O1089" s="217">
        <v>3.9611999999999998</v>
      </c>
      <c r="P1089" s="219"/>
      <c r="Q1089" s="34">
        <f>SUMIF(Allocation[Delivery ID],Allocation[[#This Row],[Delivery ID]],Allocation[Quantity Processed])</f>
        <v>23260</v>
      </c>
      <c r="R1089" s="61">
        <f>Allocation[[#This Row],[Total volume used]]/VLOOKUP(Allocation[[#This Row],[Delivery ID]],Delivery[[Delivery ID]:[Quantity delivered]],3,FALSE)</f>
        <v>1</v>
      </c>
      <c r="S1089" s="34">
        <f>Allocation[[#This Row],[Quantity Processed]]/Allocation[[#This Row],[Dilution rate]]</f>
        <v>2533.2089552238804</v>
      </c>
      <c r="T1089" s="59">
        <f>SUMIF(Allocation[Delivery ID],Allocation[[#This Row],[Delivery ID]],Allocation[Quantity allocated])/SUMIF(Allocation[Delivery ID],Allocation[[#This Row],[Delivery ID]],Allocation[Volume available (kg)])</f>
        <v>0.89085097920131462</v>
      </c>
      <c r="U1089" s="61">
        <f>Allocation[[#This Row],[Total volume used]]/VLOOKUP(Allocation[[#This Row],[Delivery ID]],Delivery[[Delivery ID]:[Quantity delivered]],3,FALSE)</f>
        <v>1</v>
      </c>
      <c r="V1089" s="34" t="e">
        <f>VLOOKUP(Allocation[[#This Row],[SAP Contract number]],Shipments[[SAP Contract number]:[Contracted container weight]],2,FALSE)</f>
        <v>#N/A</v>
      </c>
      <c r="W1089" s="34" t="e">
        <f>VLOOKUP(Allocation[[#This Row],[SAP Contract number]],Shipments[[SAP Contract number]:[AAA Premium USD]],24,FALSE)</f>
        <v>#N/A</v>
      </c>
      <c r="X1089" s="34" t="e">
        <f>VLOOKUP(Allocation[[#This Row],[SAP Contract number]],Shipments[[SAP Contract number]:[RA Premium USD]],25,FALSE)</f>
        <v>#N/A</v>
      </c>
      <c r="Y1089" s="38">
        <f>Allocation[[#This Row],[Quantity Processed]]/Allocation[[#This Row],[Quantity allocated]]</f>
        <v>2.8573232323232323</v>
      </c>
      <c r="Z1089" s="34" t="b">
        <f>Allocation[[#This Row],[Quantity allocated]]&lt;=Allocation[[#This Row],[Quantity Processed]]</f>
        <v>1</v>
      </c>
    </row>
    <row r="1090" spans="1:26">
      <c r="A1090" s="247" t="s">
        <v>467</v>
      </c>
      <c r="B1090" s="210" t="s">
        <v>68</v>
      </c>
      <c r="C1090" s="254" t="s">
        <v>1116</v>
      </c>
      <c r="D1090" s="255">
        <v>7215</v>
      </c>
      <c r="E1090" s="211" t="s">
        <v>1864</v>
      </c>
      <c r="F1090" s="212">
        <v>43538</v>
      </c>
      <c r="G1090" s="213">
        <v>2.68</v>
      </c>
      <c r="H1090" s="256">
        <v>2453</v>
      </c>
      <c r="I1090" s="214">
        <v>1444689</v>
      </c>
      <c r="J1090" s="215">
        <v>21600</v>
      </c>
      <c r="K1090" s="212">
        <v>43587</v>
      </c>
      <c r="L1090" s="211" t="s">
        <v>1872</v>
      </c>
      <c r="M1090" s="216">
        <v>4615445946</v>
      </c>
      <c r="N1090" s="212">
        <v>43682</v>
      </c>
      <c r="O1090" s="217">
        <v>3.9611999999999998</v>
      </c>
      <c r="P1090" s="219"/>
      <c r="Q1090" s="34">
        <f>SUMIF(Allocation[Delivery ID],Allocation[[#This Row],[Delivery ID]],Allocation[Quantity Processed])</f>
        <v>24010</v>
      </c>
      <c r="R1090" s="61">
        <f>Allocation[[#This Row],[Total volume used]]/VLOOKUP(Allocation[[#This Row],[Delivery ID]],Delivery[[Delivery ID]:[Quantity delivered]],3,FALSE)</f>
        <v>1</v>
      </c>
      <c r="S1090" s="34">
        <f>Allocation[[#This Row],[Quantity Processed]]/Allocation[[#This Row],[Dilution rate]]</f>
        <v>2692.1641791044776</v>
      </c>
      <c r="T1090" s="59">
        <f>SUMIF(Allocation[Delivery ID],Allocation[[#This Row],[Delivery ID]],Allocation[Quantity allocated])/SUMIF(Allocation[Delivery ID],Allocation[[#This Row],[Delivery ID]],Allocation[Volume available (kg)])</f>
        <v>0.86627879989489276</v>
      </c>
      <c r="U1090" s="61">
        <f>Allocation[[#This Row],[Total volume used]]/VLOOKUP(Allocation[[#This Row],[Delivery ID]],Delivery[[Delivery ID]:[Quantity delivered]],3,FALSE)</f>
        <v>1</v>
      </c>
      <c r="V1090" s="34" t="e">
        <f>VLOOKUP(Allocation[[#This Row],[SAP Contract number]],Shipments[[SAP Contract number]:[Contracted container weight]],2,FALSE)</f>
        <v>#N/A</v>
      </c>
      <c r="W1090" s="34" t="e">
        <f>VLOOKUP(Allocation[[#This Row],[SAP Contract number]],Shipments[[SAP Contract number]:[AAA Premium USD]],24,FALSE)</f>
        <v>#N/A</v>
      </c>
      <c r="X1090" s="34" t="e">
        <f>VLOOKUP(Allocation[[#This Row],[SAP Contract number]],Shipments[[SAP Contract number]:[RA Premium USD]],25,FALSE)</f>
        <v>#N/A</v>
      </c>
      <c r="Y1090" s="38">
        <f>Allocation[[#This Row],[Quantity Processed]]/Allocation[[#This Row],[Quantity allocated]]</f>
        <v>2.9412963717896452</v>
      </c>
      <c r="Z1090" s="34" t="b">
        <f>Allocation[[#This Row],[Quantity allocated]]&lt;=Allocation[[#This Row],[Quantity Processed]]</f>
        <v>1</v>
      </c>
    </row>
    <row r="1091" spans="1:26">
      <c r="A1091" s="247" t="s">
        <v>467</v>
      </c>
      <c r="B1091" s="210" t="s">
        <v>68</v>
      </c>
      <c r="C1091" s="254" t="s">
        <v>1669</v>
      </c>
      <c r="D1091" s="255">
        <v>390</v>
      </c>
      <c r="E1091" s="211" t="s">
        <v>1864</v>
      </c>
      <c r="F1091" s="212">
        <v>43538</v>
      </c>
      <c r="G1091" s="213">
        <v>2.68</v>
      </c>
      <c r="H1091" s="256">
        <v>156</v>
      </c>
      <c r="I1091" s="214">
        <v>1444689</v>
      </c>
      <c r="J1091" s="215">
        <v>21600</v>
      </c>
      <c r="K1091" s="212">
        <v>43587</v>
      </c>
      <c r="L1091" s="211" t="s">
        <v>1872</v>
      </c>
      <c r="M1091" s="216">
        <v>4615445946</v>
      </c>
      <c r="N1091" s="212">
        <v>43682</v>
      </c>
      <c r="O1091" s="217">
        <v>3.9611999999999998</v>
      </c>
      <c r="P1091" s="219"/>
      <c r="Q1091" s="34">
        <f>SUMIF(Allocation[Delivery ID],Allocation[[#This Row],[Delivery ID]],Allocation[Quantity Processed])</f>
        <v>18270</v>
      </c>
      <c r="R1091" s="61">
        <f>Allocation[[#This Row],[Total volume used]]/VLOOKUP(Allocation[[#This Row],[Delivery ID]],Delivery[[Delivery ID]:[Quantity delivered]],3,FALSE)</f>
        <v>0.77591149427728112</v>
      </c>
      <c r="S1091" s="34">
        <f>Allocation[[#This Row],[Quantity Processed]]/Allocation[[#This Row],[Dilution rate]]</f>
        <v>145.52238805970148</v>
      </c>
      <c r="T1091" s="59">
        <f>SUMIF(Allocation[Delivery ID],Allocation[[#This Row],[Delivery ID]],Allocation[Quantity allocated])/SUMIF(Allocation[Delivery ID],Allocation[[#This Row],[Delivery ID]],Allocation[Volume available (kg)])</f>
        <v>1.0169862938572127</v>
      </c>
      <c r="U1091" s="61">
        <f>Allocation[[#This Row],[Total volume used]]/VLOOKUP(Allocation[[#This Row],[Delivery ID]],Delivery[[Delivery ID]:[Quantity delivered]],3,FALSE)</f>
        <v>0.77591149427728112</v>
      </c>
      <c r="V1091" s="34" t="e">
        <f>VLOOKUP(Allocation[[#This Row],[SAP Contract number]],Shipments[[SAP Contract number]:[Contracted container weight]],2,FALSE)</f>
        <v>#N/A</v>
      </c>
      <c r="W1091" s="34" t="e">
        <f>VLOOKUP(Allocation[[#This Row],[SAP Contract number]],Shipments[[SAP Contract number]:[AAA Premium USD]],24,FALSE)</f>
        <v>#N/A</v>
      </c>
      <c r="X1091" s="34" t="e">
        <f>VLOOKUP(Allocation[[#This Row],[SAP Contract number]],Shipments[[SAP Contract number]:[RA Premium USD]],25,FALSE)</f>
        <v>#N/A</v>
      </c>
      <c r="Y1091" s="38">
        <f>Allocation[[#This Row],[Quantity Processed]]/Allocation[[#This Row],[Quantity allocated]]</f>
        <v>2.5</v>
      </c>
      <c r="Z1091" s="34" t="b">
        <f>Allocation[[#This Row],[Quantity allocated]]&lt;=Allocation[[#This Row],[Quantity Processed]]</f>
        <v>1</v>
      </c>
    </row>
    <row r="1092" spans="1:26">
      <c r="A1092" s="247" t="s">
        <v>467</v>
      </c>
      <c r="B1092" s="210" t="s">
        <v>68</v>
      </c>
      <c r="C1092" s="254" t="s">
        <v>1670</v>
      </c>
      <c r="D1092" s="255">
        <v>133</v>
      </c>
      <c r="E1092" s="211" t="s">
        <v>1864</v>
      </c>
      <c r="F1092" s="212">
        <v>43538</v>
      </c>
      <c r="G1092" s="213">
        <v>2.68</v>
      </c>
      <c r="H1092" s="256">
        <v>53</v>
      </c>
      <c r="I1092" s="214">
        <v>1444689</v>
      </c>
      <c r="J1092" s="215">
        <v>21600</v>
      </c>
      <c r="K1092" s="212">
        <v>43587</v>
      </c>
      <c r="L1092" s="211" t="s">
        <v>1872</v>
      </c>
      <c r="M1092" s="216">
        <v>4615445946</v>
      </c>
      <c r="N1092" s="212">
        <v>43682</v>
      </c>
      <c r="O1092" s="217">
        <v>3.9611999999999998</v>
      </c>
      <c r="P1092" s="219"/>
      <c r="Q1092" s="34">
        <f>SUMIF(Allocation[Delivery ID],Allocation[[#This Row],[Delivery ID]],Allocation[Quantity Processed])</f>
        <v>915</v>
      </c>
      <c r="R1092" s="61">
        <f>Allocation[[#This Row],[Total volume used]]/VLOOKUP(Allocation[[#This Row],[Delivery ID]],Delivery[[Delivery ID]:[Quantity delivered]],3,FALSE)</f>
        <v>0.11506539235412475</v>
      </c>
      <c r="S1092" s="34">
        <f>Allocation[[#This Row],[Quantity Processed]]/Allocation[[#This Row],[Dilution rate]]</f>
        <v>49.626865671641788</v>
      </c>
      <c r="T1092" s="59">
        <f>SUMIF(Allocation[Delivery ID],Allocation[[#This Row],[Delivery ID]],Allocation[Quantity allocated])/SUMIF(Allocation[Delivery ID],Allocation[[#This Row],[Delivery ID]],Allocation[Volume available (kg)])</f>
        <v>0.89539346592143143</v>
      </c>
      <c r="U1092" s="61">
        <f>Allocation[[#This Row],[Total volume used]]/VLOOKUP(Allocation[[#This Row],[Delivery ID]],Delivery[[Delivery ID]:[Quantity delivered]],3,FALSE)</f>
        <v>0.11506539235412475</v>
      </c>
      <c r="V1092" s="34" t="e">
        <f>VLOOKUP(Allocation[[#This Row],[SAP Contract number]],Shipments[[SAP Contract number]:[Contracted container weight]],2,FALSE)</f>
        <v>#N/A</v>
      </c>
      <c r="W1092" s="34" t="e">
        <f>VLOOKUP(Allocation[[#This Row],[SAP Contract number]],Shipments[[SAP Contract number]:[AAA Premium USD]],24,FALSE)</f>
        <v>#N/A</v>
      </c>
      <c r="X1092" s="34" t="e">
        <f>VLOOKUP(Allocation[[#This Row],[SAP Contract number]],Shipments[[SAP Contract number]:[RA Premium USD]],25,FALSE)</f>
        <v>#N/A</v>
      </c>
      <c r="Y1092" s="38">
        <f>Allocation[[#This Row],[Quantity Processed]]/Allocation[[#This Row],[Quantity allocated]]</f>
        <v>2.5094339622641511</v>
      </c>
      <c r="Z1092" s="34" t="b">
        <f>Allocation[[#This Row],[Quantity allocated]]&lt;=Allocation[[#This Row],[Quantity Processed]]</f>
        <v>1</v>
      </c>
    </row>
    <row r="1093" spans="1:26">
      <c r="A1093" s="247" t="s">
        <v>467</v>
      </c>
      <c r="B1093" s="210" t="s">
        <v>68</v>
      </c>
      <c r="C1093" s="254" t="s">
        <v>1671</v>
      </c>
      <c r="D1093" s="255">
        <v>520</v>
      </c>
      <c r="E1093" s="211" t="s">
        <v>1864</v>
      </c>
      <c r="F1093" s="212">
        <v>43538</v>
      </c>
      <c r="G1093" s="213">
        <v>2.68</v>
      </c>
      <c r="H1093" s="256">
        <v>208</v>
      </c>
      <c r="I1093" s="214">
        <v>1444689</v>
      </c>
      <c r="J1093" s="215">
        <v>21600</v>
      </c>
      <c r="K1093" s="212">
        <v>43587</v>
      </c>
      <c r="L1093" s="211" t="s">
        <v>1872</v>
      </c>
      <c r="M1093" s="216">
        <v>4615445946</v>
      </c>
      <c r="N1093" s="212">
        <v>43682</v>
      </c>
      <c r="O1093" s="217">
        <v>3.9611999999999998</v>
      </c>
      <c r="P1093" s="219"/>
      <c r="Q1093" s="34">
        <f>SUMIF(Allocation[Delivery ID],Allocation[[#This Row],[Delivery ID]],Allocation[Quantity Processed])</f>
        <v>25604</v>
      </c>
      <c r="R1093" s="61">
        <f>Allocation[[#This Row],[Total volume used]]/VLOOKUP(Allocation[[#This Row],[Delivery ID]],Delivery[[Delivery ID]:[Quantity delivered]],3,FALSE)</f>
        <v>0.81642804757501353</v>
      </c>
      <c r="S1093" s="34">
        <f>Allocation[[#This Row],[Quantity Processed]]/Allocation[[#This Row],[Dilution rate]]</f>
        <v>194.02985074626864</v>
      </c>
      <c r="T1093" s="59">
        <f>SUMIF(Allocation[Delivery ID],Allocation[[#This Row],[Delivery ID]],Allocation[Quantity allocated])/SUMIF(Allocation[Delivery ID],Allocation[[#This Row],[Delivery ID]],Allocation[Volume available (kg)])</f>
        <v>1.0180340767934712</v>
      </c>
      <c r="U1093" s="61">
        <f>Allocation[[#This Row],[Total volume used]]/VLOOKUP(Allocation[[#This Row],[Delivery ID]],Delivery[[Delivery ID]:[Quantity delivered]],3,FALSE)</f>
        <v>0.81642804757501353</v>
      </c>
      <c r="V1093" s="34" t="e">
        <f>VLOOKUP(Allocation[[#This Row],[SAP Contract number]],Shipments[[SAP Contract number]:[Contracted container weight]],2,FALSE)</f>
        <v>#N/A</v>
      </c>
      <c r="W1093" s="34" t="e">
        <f>VLOOKUP(Allocation[[#This Row],[SAP Contract number]],Shipments[[SAP Contract number]:[AAA Premium USD]],24,FALSE)</f>
        <v>#N/A</v>
      </c>
      <c r="X1093" s="34" t="e">
        <f>VLOOKUP(Allocation[[#This Row],[SAP Contract number]],Shipments[[SAP Contract number]:[RA Premium USD]],25,FALSE)</f>
        <v>#N/A</v>
      </c>
      <c r="Y1093" s="38">
        <f>Allocation[[#This Row],[Quantity Processed]]/Allocation[[#This Row],[Quantity allocated]]</f>
        <v>2.5</v>
      </c>
      <c r="Z1093" s="34" t="b">
        <f>Allocation[[#This Row],[Quantity allocated]]&lt;=Allocation[[#This Row],[Quantity Processed]]</f>
        <v>1</v>
      </c>
    </row>
    <row r="1094" spans="1:26">
      <c r="A1094" s="247" t="s">
        <v>467</v>
      </c>
      <c r="B1094" s="210" t="s">
        <v>68</v>
      </c>
      <c r="C1094" s="254" t="s">
        <v>1118</v>
      </c>
      <c r="D1094" s="255">
        <v>3944</v>
      </c>
      <c r="E1094" s="211" t="s">
        <v>1864</v>
      </c>
      <c r="F1094" s="212">
        <v>43538</v>
      </c>
      <c r="G1094" s="213">
        <v>2.68</v>
      </c>
      <c r="H1094" s="256">
        <v>1696</v>
      </c>
      <c r="I1094" s="214">
        <v>1444689</v>
      </c>
      <c r="J1094" s="215">
        <v>21600</v>
      </c>
      <c r="K1094" s="212">
        <v>43587</v>
      </c>
      <c r="L1094" s="211" t="s">
        <v>1872</v>
      </c>
      <c r="M1094" s="216">
        <v>4615445946</v>
      </c>
      <c r="N1094" s="212">
        <v>43682</v>
      </c>
      <c r="O1094" s="217">
        <v>3.9611999999999998</v>
      </c>
      <c r="P1094" s="219"/>
      <c r="Q1094" s="34">
        <f>SUMIF(Allocation[Delivery ID],Allocation[[#This Row],[Delivery ID]],Allocation[Quantity Processed])</f>
        <v>29102</v>
      </c>
      <c r="R1094" s="61">
        <f>Allocation[[#This Row],[Total volume used]]/VLOOKUP(Allocation[[#This Row],[Delivery ID]],Delivery[[Delivery ID]:[Quantity delivered]],3,FALSE)</f>
        <v>0.93816892327530621</v>
      </c>
      <c r="S1094" s="34">
        <f>Allocation[[#This Row],[Quantity Processed]]/Allocation[[#This Row],[Dilution rate]]</f>
        <v>1471.641791044776</v>
      </c>
      <c r="T1094" s="59">
        <f>SUMIF(Allocation[Delivery ID],Allocation[[#This Row],[Delivery ID]],Allocation[Quantity allocated])/SUMIF(Allocation[Delivery ID],Allocation[[#This Row],[Delivery ID]],Allocation[Volume available (kg)])</f>
        <v>0.98724339684173867</v>
      </c>
      <c r="U1094" s="61">
        <f>Allocation[[#This Row],[Total volume used]]/VLOOKUP(Allocation[[#This Row],[Delivery ID]],Delivery[[Delivery ID]:[Quantity delivered]],3,FALSE)</f>
        <v>0.93816892327530621</v>
      </c>
      <c r="V1094" s="34" t="e">
        <f>VLOOKUP(Allocation[[#This Row],[SAP Contract number]],Shipments[[SAP Contract number]:[Contracted container weight]],2,FALSE)</f>
        <v>#N/A</v>
      </c>
      <c r="W1094" s="34" t="e">
        <f>VLOOKUP(Allocation[[#This Row],[SAP Contract number]],Shipments[[SAP Contract number]:[AAA Premium USD]],24,FALSE)</f>
        <v>#N/A</v>
      </c>
      <c r="X1094" s="34" t="e">
        <f>VLOOKUP(Allocation[[#This Row],[SAP Contract number]],Shipments[[SAP Contract number]:[RA Premium USD]],25,FALSE)</f>
        <v>#N/A</v>
      </c>
      <c r="Y1094" s="38">
        <f>Allocation[[#This Row],[Quantity Processed]]/Allocation[[#This Row],[Quantity allocated]]</f>
        <v>2.3254716981132075</v>
      </c>
      <c r="Z1094" s="34" t="b">
        <f>Allocation[[#This Row],[Quantity allocated]]&lt;=Allocation[[#This Row],[Quantity Processed]]</f>
        <v>1</v>
      </c>
    </row>
    <row r="1095" spans="1:26">
      <c r="A1095" s="247" t="s">
        <v>467</v>
      </c>
      <c r="B1095" s="210" t="s">
        <v>68</v>
      </c>
      <c r="C1095" s="254" t="s">
        <v>1119</v>
      </c>
      <c r="D1095" s="255">
        <v>3928</v>
      </c>
      <c r="E1095" s="211" t="s">
        <v>1864</v>
      </c>
      <c r="F1095" s="212">
        <v>43538</v>
      </c>
      <c r="G1095" s="213">
        <v>2.68</v>
      </c>
      <c r="H1095" s="256">
        <v>1689</v>
      </c>
      <c r="I1095" s="214">
        <v>1444689</v>
      </c>
      <c r="J1095" s="215">
        <v>21600</v>
      </c>
      <c r="K1095" s="212">
        <v>43587</v>
      </c>
      <c r="L1095" s="211" t="s">
        <v>1872</v>
      </c>
      <c r="M1095" s="216">
        <v>4615445946</v>
      </c>
      <c r="N1095" s="212">
        <v>43682</v>
      </c>
      <c r="O1095" s="217">
        <v>3.9611999999999998</v>
      </c>
      <c r="P1095" s="219"/>
      <c r="Q1095" s="34">
        <f>SUMIF(Allocation[Delivery ID],Allocation[[#This Row],[Delivery ID]],Allocation[Quantity Processed])</f>
        <v>29056</v>
      </c>
      <c r="R1095" s="61">
        <f>Allocation[[#This Row],[Total volume used]]/VLOOKUP(Allocation[[#This Row],[Delivery ID]],Delivery[[Delivery ID]:[Quantity delivered]],3,FALSE)</f>
        <v>0.94062803496277114</v>
      </c>
      <c r="S1095" s="34">
        <f>Allocation[[#This Row],[Quantity Processed]]/Allocation[[#This Row],[Dilution rate]]</f>
        <v>1465.6716417910447</v>
      </c>
      <c r="T1095" s="59">
        <f>SUMIF(Allocation[Delivery ID],Allocation[[#This Row],[Delivery ID]],Allocation[Quantity allocated])/SUMIF(Allocation[Delivery ID],Allocation[[#This Row],[Delivery ID]],Allocation[Volume available (kg)])</f>
        <v>0.98700841277560369</v>
      </c>
      <c r="U1095" s="61">
        <f>Allocation[[#This Row],[Total volume used]]/VLOOKUP(Allocation[[#This Row],[Delivery ID]],Delivery[[Delivery ID]:[Quantity delivered]],3,FALSE)</f>
        <v>0.94062803496277114</v>
      </c>
      <c r="V1095" s="34" t="e">
        <f>VLOOKUP(Allocation[[#This Row],[SAP Contract number]],Shipments[[SAP Contract number]:[Contracted container weight]],2,FALSE)</f>
        <v>#N/A</v>
      </c>
      <c r="W1095" s="34" t="e">
        <f>VLOOKUP(Allocation[[#This Row],[SAP Contract number]],Shipments[[SAP Contract number]:[AAA Premium USD]],24,FALSE)</f>
        <v>#N/A</v>
      </c>
      <c r="X1095" s="34" t="e">
        <f>VLOOKUP(Allocation[[#This Row],[SAP Contract number]],Shipments[[SAP Contract number]:[RA Premium USD]],25,FALSE)</f>
        <v>#N/A</v>
      </c>
      <c r="Y1095" s="38">
        <f>Allocation[[#This Row],[Quantity Processed]]/Allocation[[#This Row],[Quantity allocated]]</f>
        <v>2.3256364712847839</v>
      </c>
      <c r="Z1095" s="34" t="b">
        <f>Allocation[[#This Row],[Quantity allocated]]&lt;=Allocation[[#This Row],[Quantity Processed]]</f>
        <v>1</v>
      </c>
    </row>
    <row r="1096" spans="1:26">
      <c r="A1096" s="247" t="s">
        <v>467</v>
      </c>
      <c r="B1096" s="210" t="s">
        <v>68</v>
      </c>
      <c r="C1096" s="254" t="s">
        <v>1121</v>
      </c>
      <c r="D1096" s="255">
        <v>3979</v>
      </c>
      <c r="E1096" s="211" t="s">
        <v>1864</v>
      </c>
      <c r="F1096" s="212">
        <v>43538</v>
      </c>
      <c r="G1096" s="213">
        <v>2.68</v>
      </c>
      <c r="H1096" s="256">
        <v>1711</v>
      </c>
      <c r="I1096" s="214">
        <v>1444689</v>
      </c>
      <c r="J1096" s="215">
        <v>21600</v>
      </c>
      <c r="K1096" s="212">
        <v>43587</v>
      </c>
      <c r="L1096" s="211" t="s">
        <v>1872</v>
      </c>
      <c r="M1096" s="216">
        <v>4615445946</v>
      </c>
      <c r="N1096" s="212">
        <v>43682</v>
      </c>
      <c r="O1096" s="217">
        <v>3.9611999999999998</v>
      </c>
      <c r="P1096" s="219"/>
      <c r="Q1096" s="34">
        <f>SUMIF(Allocation[Delivery ID],Allocation[[#This Row],[Delivery ID]],Allocation[Quantity Processed])</f>
        <v>29140</v>
      </c>
      <c r="R1096" s="61">
        <f>Allocation[[#This Row],[Total volume used]]/VLOOKUP(Allocation[[#This Row],[Delivery ID]],Delivery[[Delivery ID]:[Quantity delivered]],3,FALSE)</f>
        <v>0.93099041533546323</v>
      </c>
      <c r="S1096" s="34">
        <f>Allocation[[#This Row],[Quantity Processed]]/Allocation[[#This Row],[Dilution rate]]</f>
        <v>1484.7014925373132</v>
      </c>
      <c r="T1096" s="59">
        <f>SUMIF(Allocation[Delivery ID],Allocation[[#This Row],[Delivery ID]],Allocation[Quantity allocated])/SUMIF(Allocation[Delivery ID],Allocation[[#This Row],[Delivery ID]],Allocation[Volume available (kg)])</f>
        <v>0.98792443374064631</v>
      </c>
      <c r="U1096" s="61">
        <f>Allocation[[#This Row],[Total volume used]]/VLOOKUP(Allocation[[#This Row],[Delivery ID]],Delivery[[Delivery ID]:[Quantity delivered]],3,FALSE)</f>
        <v>0.93099041533546323</v>
      </c>
      <c r="V1096" s="34" t="e">
        <f>VLOOKUP(Allocation[[#This Row],[SAP Contract number]],Shipments[[SAP Contract number]:[Contracted container weight]],2,FALSE)</f>
        <v>#N/A</v>
      </c>
      <c r="W1096" s="34" t="e">
        <f>VLOOKUP(Allocation[[#This Row],[SAP Contract number]],Shipments[[SAP Contract number]:[AAA Premium USD]],24,FALSE)</f>
        <v>#N/A</v>
      </c>
      <c r="X1096" s="34" t="e">
        <f>VLOOKUP(Allocation[[#This Row],[SAP Contract number]],Shipments[[SAP Contract number]:[RA Premium USD]],25,FALSE)</f>
        <v>#N/A</v>
      </c>
      <c r="Y1096" s="38">
        <f>Allocation[[#This Row],[Quantity Processed]]/Allocation[[#This Row],[Quantity allocated]]</f>
        <v>2.3255406195207482</v>
      </c>
      <c r="Z1096" s="34" t="b">
        <f>Allocation[[#This Row],[Quantity allocated]]&lt;=Allocation[[#This Row],[Quantity Processed]]</f>
        <v>1</v>
      </c>
    </row>
    <row r="1097" spans="1:26">
      <c r="A1097" s="247" t="s">
        <v>467</v>
      </c>
      <c r="B1097" s="210" t="s">
        <v>68</v>
      </c>
      <c r="C1097" s="254" t="s">
        <v>1123</v>
      </c>
      <c r="D1097" s="255">
        <v>3851</v>
      </c>
      <c r="E1097" s="211" t="s">
        <v>1864</v>
      </c>
      <c r="F1097" s="212">
        <v>43538</v>
      </c>
      <c r="G1097" s="213">
        <v>2.68</v>
      </c>
      <c r="H1097" s="256">
        <v>1656</v>
      </c>
      <c r="I1097" s="214">
        <v>1444689</v>
      </c>
      <c r="J1097" s="215">
        <v>21600</v>
      </c>
      <c r="K1097" s="212">
        <v>43587</v>
      </c>
      <c r="L1097" s="211" t="s">
        <v>1872</v>
      </c>
      <c r="M1097" s="216">
        <v>4615445946</v>
      </c>
      <c r="N1097" s="212">
        <v>43682</v>
      </c>
      <c r="O1097" s="217">
        <v>3.9611999999999998</v>
      </c>
      <c r="P1097" s="219"/>
      <c r="Q1097" s="34">
        <f>SUMIF(Allocation[Delivery ID],Allocation[[#This Row],[Delivery ID]],Allocation[Quantity Processed])</f>
        <v>28827</v>
      </c>
      <c r="R1097" s="61">
        <f>Allocation[[#This Row],[Total volume used]]/VLOOKUP(Allocation[[#This Row],[Delivery ID]],Delivery[[Delivery ID]:[Quantity delivered]],3,FALSE)</f>
        <v>0.95201453104359313</v>
      </c>
      <c r="S1097" s="34">
        <f>Allocation[[#This Row],[Quantity Processed]]/Allocation[[#This Row],[Dilution rate]]</f>
        <v>1436.9402985074626</v>
      </c>
      <c r="T1097" s="59">
        <f>SUMIF(Allocation[Delivery ID],Allocation[[#This Row],[Delivery ID]],Allocation[Quantity allocated])/SUMIF(Allocation[Delivery ID],Allocation[[#This Row],[Delivery ID]],Allocation[Volume available (kg)])</f>
        <v>0.98595213653173808</v>
      </c>
      <c r="U1097" s="61">
        <f>Allocation[[#This Row],[Total volume used]]/VLOOKUP(Allocation[[#This Row],[Delivery ID]],Delivery[[Delivery ID]:[Quantity delivered]],3,FALSE)</f>
        <v>0.95201453104359313</v>
      </c>
      <c r="V1097" s="34" t="e">
        <f>VLOOKUP(Allocation[[#This Row],[SAP Contract number]],Shipments[[SAP Contract number]:[Contracted container weight]],2,FALSE)</f>
        <v>#N/A</v>
      </c>
      <c r="W1097" s="34" t="e">
        <f>VLOOKUP(Allocation[[#This Row],[SAP Contract number]],Shipments[[SAP Contract number]:[AAA Premium USD]],24,FALSE)</f>
        <v>#N/A</v>
      </c>
      <c r="X1097" s="34" t="e">
        <f>VLOOKUP(Allocation[[#This Row],[SAP Contract number]],Shipments[[SAP Contract number]:[RA Premium USD]],25,FALSE)</f>
        <v>#N/A</v>
      </c>
      <c r="Y1097" s="38">
        <f>Allocation[[#This Row],[Quantity Processed]]/Allocation[[#This Row],[Quantity allocated]]</f>
        <v>2.3254830917874396</v>
      </c>
      <c r="Z1097" s="34" t="b">
        <f>Allocation[[#This Row],[Quantity allocated]]&lt;=Allocation[[#This Row],[Quantity Processed]]</f>
        <v>1</v>
      </c>
    </row>
    <row r="1098" spans="1:26">
      <c r="A1098" s="247" t="s">
        <v>467</v>
      </c>
      <c r="B1098" s="210" t="s">
        <v>68</v>
      </c>
      <c r="C1098" s="254" t="s">
        <v>1124</v>
      </c>
      <c r="D1098" s="255">
        <v>2912</v>
      </c>
      <c r="E1098" s="211" t="s">
        <v>1864</v>
      </c>
      <c r="F1098" s="212">
        <v>43538</v>
      </c>
      <c r="G1098" s="213">
        <v>2.68</v>
      </c>
      <c r="H1098" s="256">
        <v>1456</v>
      </c>
      <c r="I1098" s="214">
        <v>1444689</v>
      </c>
      <c r="J1098" s="215">
        <v>21600</v>
      </c>
      <c r="K1098" s="212">
        <v>43587</v>
      </c>
      <c r="L1098" s="211" t="s">
        <v>1872</v>
      </c>
      <c r="M1098" s="216">
        <v>4615445946</v>
      </c>
      <c r="N1098" s="212">
        <v>43682</v>
      </c>
      <c r="O1098" s="217">
        <v>3.9611999999999998</v>
      </c>
      <c r="P1098" s="219"/>
      <c r="Q1098" s="34">
        <f>SUMIF(Allocation[Delivery ID],Allocation[[#This Row],[Delivery ID]],Allocation[Quantity Processed])</f>
        <v>10256</v>
      </c>
      <c r="R1098" s="61">
        <f>Allocation[[#This Row],[Total volume used]]/VLOOKUP(Allocation[[#This Row],[Delivery ID]],Delivery[[Delivery ID]:[Quantity delivered]],3,FALSE)</f>
        <v>0.71964354629337268</v>
      </c>
      <c r="S1098" s="34">
        <f>Allocation[[#This Row],[Quantity Processed]]/Allocation[[#This Row],[Dilution rate]]</f>
        <v>1086.5671641791043</v>
      </c>
      <c r="T1098" s="59">
        <f>SUMIF(Allocation[Delivery ID],Allocation[[#This Row],[Delivery ID]],Allocation[Quantity allocated])/SUMIF(Allocation[Delivery ID],Allocation[[#This Row],[Delivery ID]],Allocation[Volume available (kg)])</f>
        <v>1.2735516020343203</v>
      </c>
      <c r="U1098" s="61">
        <f>Allocation[[#This Row],[Total volume used]]/VLOOKUP(Allocation[[#This Row],[Delivery ID]],Delivery[[Delivery ID]:[Quantity delivered]],3,FALSE)</f>
        <v>0.71964354629337268</v>
      </c>
      <c r="V1098" s="34" t="e">
        <f>VLOOKUP(Allocation[[#This Row],[SAP Contract number]],Shipments[[SAP Contract number]:[Contracted container weight]],2,FALSE)</f>
        <v>#N/A</v>
      </c>
      <c r="W1098" s="34" t="e">
        <f>VLOOKUP(Allocation[[#This Row],[SAP Contract number]],Shipments[[SAP Contract number]:[AAA Premium USD]],24,FALSE)</f>
        <v>#N/A</v>
      </c>
      <c r="X1098" s="34" t="e">
        <f>VLOOKUP(Allocation[[#This Row],[SAP Contract number]],Shipments[[SAP Contract number]:[RA Premium USD]],25,FALSE)</f>
        <v>#N/A</v>
      </c>
      <c r="Y1098" s="38">
        <f>Allocation[[#This Row],[Quantity Processed]]/Allocation[[#This Row],[Quantity allocated]]</f>
        <v>2</v>
      </c>
      <c r="Z1098" s="34" t="b">
        <f>Allocation[[#This Row],[Quantity allocated]]&lt;=Allocation[[#This Row],[Quantity Processed]]</f>
        <v>1</v>
      </c>
    </row>
    <row r="1099" spans="1:26">
      <c r="A1099" s="247" t="s">
        <v>467</v>
      </c>
      <c r="B1099" s="210" t="s">
        <v>68</v>
      </c>
      <c r="C1099" s="254" t="s">
        <v>1672</v>
      </c>
      <c r="D1099" s="255">
        <v>7406</v>
      </c>
      <c r="E1099" s="211" t="s">
        <v>1864</v>
      </c>
      <c r="F1099" s="212">
        <v>43538</v>
      </c>
      <c r="G1099" s="213">
        <v>2.68</v>
      </c>
      <c r="H1099" s="256">
        <v>2444</v>
      </c>
      <c r="I1099" s="214">
        <v>1444689</v>
      </c>
      <c r="J1099" s="215">
        <v>21600</v>
      </c>
      <c r="K1099" s="212">
        <v>43587</v>
      </c>
      <c r="L1099" s="211" t="s">
        <v>1872</v>
      </c>
      <c r="M1099" s="216">
        <v>4615445946</v>
      </c>
      <c r="N1099" s="212">
        <v>43682</v>
      </c>
      <c r="O1099" s="217">
        <v>3.9611999999999998</v>
      </c>
      <c r="P1099" s="219"/>
      <c r="Q1099" s="34">
        <f>SUMIF(Allocation[Delivery ID],Allocation[[#This Row],[Delivery ID]],Allocation[Quantity Processed])</f>
        <v>24691</v>
      </c>
      <c r="R1099" s="61">
        <f>Allocation[[#This Row],[Total volume used]]/VLOOKUP(Allocation[[#This Row],[Delivery ID]],Delivery[[Delivery ID]:[Quantity delivered]],3,FALSE)</f>
        <v>0.77564162975528539</v>
      </c>
      <c r="S1099" s="34">
        <f>Allocation[[#This Row],[Quantity Processed]]/Allocation[[#This Row],[Dilution rate]]</f>
        <v>2763.4328358208954</v>
      </c>
      <c r="T1099" s="59">
        <f>SUMIF(Allocation[Delivery ID],Allocation[[#This Row],[Delivery ID]],Allocation[Quantity allocated])/SUMIF(Allocation[Delivery ID],Allocation[[#This Row],[Delivery ID]],Allocation[Volume available (kg)])</f>
        <v>0.8779989177104609</v>
      </c>
      <c r="U1099" s="61">
        <f>Allocation[[#This Row],[Total volume used]]/VLOOKUP(Allocation[[#This Row],[Delivery ID]],Delivery[[Delivery ID]:[Quantity delivered]],3,FALSE)</f>
        <v>0.77564162975528539</v>
      </c>
      <c r="V1099" s="34" t="e">
        <f>VLOOKUP(Allocation[[#This Row],[SAP Contract number]],Shipments[[SAP Contract number]:[Contracted container weight]],2,FALSE)</f>
        <v>#N/A</v>
      </c>
      <c r="W1099" s="34" t="e">
        <f>VLOOKUP(Allocation[[#This Row],[SAP Contract number]],Shipments[[SAP Contract number]:[AAA Premium USD]],24,FALSE)</f>
        <v>#N/A</v>
      </c>
      <c r="X1099" s="34" t="e">
        <f>VLOOKUP(Allocation[[#This Row],[SAP Contract number]],Shipments[[SAP Contract number]:[RA Premium USD]],25,FALSE)</f>
        <v>#N/A</v>
      </c>
      <c r="Y1099" s="38">
        <f>Allocation[[#This Row],[Quantity Processed]]/Allocation[[#This Row],[Quantity allocated]]</f>
        <v>3.0302782324058919</v>
      </c>
      <c r="Z1099" s="34" t="b">
        <f>Allocation[[#This Row],[Quantity allocated]]&lt;=Allocation[[#This Row],[Quantity Processed]]</f>
        <v>1</v>
      </c>
    </row>
    <row r="1100" spans="1:26">
      <c r="A1100" s="247" t="s">
        <v>467</v>
      </c>
      <c r="B1100" s="210" t="s">
        <v>68</v>
      </c>
      <c r="C1100" s="254" t="s">
        <v>1673</v>
      </c>
      <c r="D1100" s="255">
        <v>1397</v>
      </c>
      <c r="E1100" s="211" t="s">
        <v>1864</v>
      </c>
      <c r="F1100" s="212">
        <v>43538</v>
      </c>
      <c r="G1100" s="213">
        <v>2.68</v>
      </c>
      <c r="H1100" s="256">
        <v>461</v>
      </c>
      <c r="I1100" s="214">
        <v>1444689</v>
      </c>
      <c r="J1100" s="215">
        <v>21600</v>
      </c>
      <c r="K1100" s="212">
        <v>43587</v>
      </c>
      <c r="L1100" s="211" t="s">
        <v>1872</v>
      </c>
      <c r="M1100" s="216">
        <v>4615445946</v>
      </c>
      <c r="N1100" s="212">
        <v>43682</v>
      </c>
      <c r="O1100" s="217">
        <v>3.9611999999999998</v>
      </c>
      <c r="P1100" s="219"/>
      <c r="Q1100" s="34">
        <f>SUMIF(Allocation[Delivery ID],Allocation[[#This Row],[Delivery ID]],Allocation[Quantity Processed])</f>
        <v>3888</v>
      </c>
      <c r="R1100" s="61">
        <f>Allocation[[#This Row],[Total volume used]]/VLOOKUP(Allocation[[#This Row],[Delivery ID]],Delivery[[Delivery ID]:[Quantity delivered]],3,FALSE)</f>
        <v>0.64724488097219912</v>
      </c>
      <c r="S1100" s="34">
        <f>Allocation[[#This Row],[Quantity Processed]]/Allocation[[#This Row],[Dilution rate]]</f>
        <v>521.26865671641792</v>
      </c>
      <c r="T1100" s="59">
        <f>SUMIF(Allocation[Delivery ID],Allocation[[#This Row],[Delivery ID]],Allocation[Quantity allocated])/SUMIF(Allocation[Delivery ID],Allocation[[#This Row],[Delivery ID]],Allocation[Volume available (kg)])</f>
        <v>0.88067594539644489</v>
      </c>
      <c r="U1100" s="61">
        <f>Allocation[[#This Row],[Total volume used]]/VLOOKUP(Allocation[[#This Row],[Delivery ID]],Delivery[[Delivery ID]:[Quantity delivered]],3,FALSE)</f>
        <v>0.64724488097219912</v>
      </c>
      <c r="V1100" s="34" t="e">
        <f>VLOOKUP(Allocation[[#This Row],[SAP Contract number]],Shipments[[SAP Contract number]:[Contracted container weight]],2,FALSE)</f>
        <v>#N/A</v>
      </c>
      <c r="W1100" s="34" t="e">
        <f>VLOOKUP(Allocation[[#This Row],[SAP Contract number]],Shipments[[SAP Contract number]:[AAA Premium USD]],24,FALSE)</f>
        <v>#N/A</v>
      </c>
      <c r="X1100" s="34" t="e">
        <f>VLOOKUP(Allocation[[#This Row],[SAP Contract number]],Shipments[[SAP Contract number]:[RA Premium USD]],25,FALSE)</f>
        <v>#N/A</v>
      </c>
      <c r="Y1100" s="38">
        <f>Allocation[[#This Row],[Quantity Processed]]/Allocation[[#This Row],[Quantity allocated]]</f>
        <v>3.0303687635574836</v>
      </c>
      <c r="Z1100" s="34" t="b">
        <f>Allocation[[#This Row],[Quantity allocated]]&lt;=Allocation[[#This Row],[Quantity Processed]]</f>
        <v>1</v>
      </c>
    </row>
    <row r="1101" spans="1:26">
      <c r="A1101" s="247" t="s">
        <v>467</v>
      </c>
      <c r="B1101" s="210" t="s">
        <v>68</v>
      </c>
      <c r="C1101" s="254" t="s">
        <v>1135</v>
      </c>
      <c r="D1101" s="255">
        <v>5883</v>
      </c>
      <c r="E1101" s="211" t="s">
        <v>1864</v>
      </c>
      <c r="F1101" s="212">
        <v>43538</v>
      </c>
      <c r="G1101" s="213">
        <v>2.68</v>
      </c>
      <c r="H1101" s="256">
        <v>1765</v>
      </c>
      <c r="I1101" s="214">
        <v>1444689</v>
      </c>
      <c r="J1101" s="215">
        <v>21600</v>
      </c>
      <c r="K1101" s="212">
        <v>43587</v>
      </c>
      <c r="L1101" s="211" t="s">
        <v>1872</v>
      </c>
      <c r="M1101" s="216">
        <v>4615445946</v>
      </c>
      <c r="N1101" s="212">
        <v>43682</v>
      </c>
      <c r="O1101" s="217">
        <v>3.9611999999999998</v>
      </c>
      <c r="P1101" s="219"/>
      <c r="Q1101" s="34">
        <f>SUMIF(Allocation[Delivery ID],Allocation[[#This Row],[Delivery ID]],Allocation[Quantity Processed])</f>
        <v>22090</v>
      </c>
      <c r="R1101" s="61">
        <f>Allocation[[#This Row],[Total volume used]]/VLOOKUP(Allocation[[#This Row],[Delivery ID]],Delivery[[Delivery ID]:[Quantity delivered]],3,FALSE)</f>
        <v>1</v>
      </c>
      <c r="S1101" s="34">
        <f>Allocation[[#This Row],[Quantity Processed]]/Allocation[[#This Row],[Dilution rate]]</f>
        <v>2195.1492537313434</v>
      </c>
      <c r="T1101" s="59">
        <f>SUMIF(Allocation[Delivery ID],Allocation[[#This Row],[Delivery ID]],Allocation[Quantity allocated])/SUMIF(Allocation[Delivery ID],Allocation[[#This Row],[Delivery ID]],Allocation[Volume available (kg)])</f>
        <v>0.76070962260021724</v>
      </c>
      <c r="U1101" s="61">
        <f>Allocation[[#This Row],[Total volume used]]/VLOOKUP(Allocation[[#This Row],[Delivery ID]],Delivery[[Delivery ID]:[Quantity delivered]],3,FALSE)</f>
        <v>1</v>
      </c>
      <c r="V1101" s="34" t="e">
        <f>VLOOKUP(Allocation[[#This Row],[SAP Contract number]],Shipments[[SAP Contract number]:[Contracted container weight]],2,FALSE)</f>
        <v>#N/A</v>
      </c>
      <c r="W1101" s="34" t="e">
        <f>VLOOKUP(Allocation[[#This Row],[SAP Contract number]],Shipments[[SAP Contract number]:[AAA Premium USD]],24,FALSE)</f>
        <v>#N/A</v>
      </c>
      <c r="X1101" s="34" t="e">
        <f>VLOOKUP(Allocation[[#This Row],[SAP Contract number]],Shipments[[SAP Contract number]:[RA Premium USD]],25,FALSE)</f>
        <v>#N/A</v>
      </c>
      <c r="Y1101" s="38">
        <f>Allocation[[#This Row],[Quantity Processed]]/Allocation[[#This Row],[Quantity allocated]]</f>
        <v>3.3331444759206801</v>
      </c>
      <c r="Z1101" s="34" t="b">
        <f>Allocation[[#This Row],[Quantity allocated]]&lt;=Allocation[[#This Row],[Quantity Processed]]</f>
        <v>1</v>
      </c>
    </row>
    <row r="1102" spans="1:26">
      <c r="A1102" s="247" t="s">
        <v>467</v>
      </c>
      <c r="B1102" s="210" t="s">
        <v>68</v>
      </c>
      <c r="C1102" s="254" t="s">
        <v>1135</v>
      </c>
      <c r="D1102" s="255">
        <v>1640</v>
      </c>
      <c r="E1102" s="211" t="s">
        <v>1864</v>
      </c>
      <c r="F1102" s="212">
        <v>43538</v>
      </c>
      <c r="G1102" s="213">
        <v>2.68</v>
      </c>
      <c r="H1102" s="256">
        <v>492</v>
      </c>
      <c r="I1102" s="214">
        <v>1444678</v>
      </c>
      <c r="J1102" s="215">
        <v>21600</v>
      </c>
      <c r="K1102" s="212">
        <v>43587</v>
      </c>
      <c r="L1102" s="211" t="s">
        <v>1873</v>
      </c>
      <c r="M1102" s="216">
        <v>4615445946</v>
      </c>
      <c r="N1102" s="212">
        <v>43682</v>
      </c>
      <c r="O1102" s="217">
        <v>3.9611999999999998</v>
      </c>
      <c r="P1102" s="219"/>
      <c r="Q1102" s="34">
        <f>SUMIF(Allocation[Delivery ID],Allocation[[#This Row],[Delivery ID]],Allocation[Quantity Processed])</f>
        <v>22090</v>
      </c>
      <c r="R1102" s="61">
        <f>Allocation[[#This Row],[Total volume used]]/VLOOKUP(Allocation[[#This Row],[Delivery ID]],Delivery[[Delivery ID]:[Quantity delivered]],3,FALSE)</f>
        <v>1</v>
      </c>
      <c r="S1102" s="34">
        <f>Allocation[[#This Row],[Quantity Processed]]/Allocation[[#This Row],[Dilution rate]]</f>
        <v>611.94029850746267</v>
      </c>
      <c r="T1102" s="59">
        <f>SUMIF(Allocation[Delivery ID],Allocation[[#This Row],[Delivery ID]],Allocation[Quantity allocated])/SUMIF(Allocation[Delivery ID],Allocation[[#This Row],[Delivery ID]],Allocation[Volume available (kg)])</f>
        <v>0.76070962260021724</v>
      </c>
      <c r="U1102" s="61">
        <f>Allocation[[#This Row],[Total volume used]]/VLOOKUP(Allocation[[#This Row],[Delivery ID]],Delivery[[Delivery ID]:[Quantity delivered]],3,FALSE)</f>
        <v>1</v>
      </c>
      <c r="V1102" s="34" t="e">
        <f>VLOOKUP(Allocation[[#This Row],[SAP Contract number]],Shipments[[SAP Contract number]:[Contracted container weight]],2,FALSE)</f>
        <v>#N/A</v>
      </c>
      <c r="W1102" s="34" t="e">
        <f>VLOOKUP(Allocation[[#This Row],[SAP Contract number]],Shipments[[SAP Contract number]:[AAA Premium USD]],24,FALSE)</f>
        <v>#N/A</v>
      </c>
      <c r="X1102" s="34" t="e">
        <f>VLOOKUP(Allocation[[#This Row],[SAP Contract number]],Shipments[[SAP Contract number]:[RA Premium USD]],25,FALSE)</f>
        <v>#N/A</v>
      </c>
      <c r="Y1102" s="38">
        <f>Allocation[[#This Row],[Quantity Processed]]/Allocation[[#This Row],[Quantity allocated]]</f>
        <v>3.3333333333333335</v>
      </c>
      <c r="Z1102" s="34" t="b">
        <f>Allocation[[#This Row],[Quantity allocated]]&lt;=Allocation[[#This Row],[Quantity Processed]]</f>
        <v>1</v>
      </c>
    </row>
    <row r="1103" spans="1:26">
      <c r="A1103" s="247" t="s">
        <v>467</v>
      </c>
      <c r="B1103" s="210" t="s">
        <v>68</v>
      </c>
      <c r="C1103" s="254" t="s">
        <v>1138</v>
      </c>
      <c r="D1103" s="255">
        <v>591</v>
      </c>
      <c r="E1103" s="211" t="s">
        <v>1864</v>
      </c>
      <c r="F1103" s="212">
        <v>43538</v>
      </c>
      <c r="G1103" s="213">
        <v>2.68</v>
      </c>
      <c r="H1103" s="256">
        <v>278</v>
      </c>
      <c r="I1103" s="214">
        <v>1444678</v>
      </c>
      <c r="J1103" s="215">
        <v>21600</v>
      </c>
      <c r="K1103" s="212">
        <v>43587</v>
      </c>
      <c r="L1103" s="211" t="s">
        <v>1873</v>
      </c>
      <c r="M1103" s="216">
        <v>4615445946</v>
      </c>
      <c r="N1103" s="212">
        <v>43682</v>
      </c>
      <c r="O1103" s="217">
        <v>3.9611999999999998</v>
      </c>
      <c r="P1103" s="219"/>
      <c r="Q1103" s="34">
        <f>SUMIF(Allocation[Delivery ID],Allocation[[#This Row],[Delivery ID]],Allocation[Quantity Processed])</f>
        <v>3000</v>
      </c>
      <c r="R1103" s="61">
        <f>Allocation[[#This Row],[Total volume used]]/VLOOKUP(Allocation[[#This Row],[Delivery ID]],Delivery[[Delivery ID]:[Quantity delivered]],3,FALSE)</f>
        <v>1</v>
      </c>
      <c r="S1103" s="34">
        <f>Allocation[[#This Row],[Quantity Processed]]/Allocation[[#This Row],[Dilution rate]]</f>
        <v>220.52238805970148</v>
      </c>
      <c r="T1103" s="59">
        <f>SUMIF(Allocation[Delivery ID],Allocation[[#This Row],[Delivery ID]],Allocation[Quantity allocated])/SUMIF(Allocation[Delivery ID],Allocation[[#This Row],[Delivery ID]],Allocation[Volume available (kg)])</f>
        <v>1.0309540327546829</v>
      </c>
      <c r="U1103" s="61">
        <f>Allocation[[#This Row],[Total volume used]]/VLOOKUP(Allocation[[#This Row],[Delivery ID]],Delivery[[Delivery ID]:[Quantity delivered]],3,FALSE)</f>
        <v>1</v>
      </c>
      <c r="V1103" s="34" t="e">
        <f>VLOOKUP(Allocation[[#This Row],[SAP Contract number]],Shipments[[SAP Contract number]:[Contracted container weight]],2,FALSE)</f>
        <v>#N/A</v>
      </c>
      <c r="W1103" s="34" t="e">
        <f>VLOOKUP(Allocation[[#This Row],[SAP Contract number]],Shipments[[SAP Contract number]:[AAA Premium USD]],24,FALSE)</f>
        <v>#N/A</v>
      </c>
      <c r="X1103" s="34" t="e">
        <f>VLOOKUP(Allocation[[#This Row],[SAP Contract number]],Shipments[[SAP Contract number]:[RA Premium USD]],25,FALSE)</f>
        <v>#N/A</v>
      </c>
      <c r="Y1103" s="38">
        <f>Allocation[[#This Row],[Quantity Processed]]/Allocation[[#This Row],[Quantity allocated]]</f>
        <v>2.1258992805755397</v>
      </c>
      <c r="Z1103" s="34" t="b">
        <f>Allocation[[#This Row],[Quantity allocated]]&lt;=Allocation[[#This Row],[Quantity Processed]]</f>
        <v>1</v>
      </c>
    </row>
    <row r="1104" spans="1:26">
      <c r="A1104" s="247" t="s">
        <v>467</v>
      </c>
      <c r="B1104" s="210" t="s">
        <v>68</v>
      </c>
      <c r="C1104" s="254" t="s">
        <v>1140</v>
      </c>
      <c r="D1104" s="255">
        <v>5696</v>
      </c>
      <c r="E1104" s="211" t="s">
        <v>1864</v>
      </c>
      <c r="F1104" s="212">
        <v>43538</v>
      </c>
      <c r="G1104" s="213">
        <v>2.68</v>
      </c>
      <c r="H1104" s="256">
        <v>2677</v>
      </c>
      <c r="I1104" s="214">
        <v>1444678</v>
      </c>
      <c r="J1104" s="215">
        <v>21600</v>
      </c>
      <c r="K1104" s="212">
        <v>43587</v>
      </c>
      <c r="L1104" s="211" t="s">
        <v>1873</v>
      </c>
      <c r="M1104" s="216">
        <v>4615445946</v>
      </c>
      <c r="N1104" s="212">
        <v>43682</v>
      </c>
      <c r="O1104" s="217">
        <v>3.9611999999999998</v>
      </c>
      <c r="P1104" s="219"/>
      <c r="Q1104" s="34">
        <f>SUMIF(Allocation[Delivery ID],Allocation[[#This Row],[Delivery ID]],Allocation[Quantity Processed])</f>
        <v>26473</v>
      </c>
      <c r="R1104" s="61">
        <f>Allocation[[#This Row],[Total volume used]]/VLOOKUP(Allocation[[#This Row],[Delivery ID]],Delivery[[Delivery ID]:[Quantity delivered]],3,FALSE)</f>
        <v>0.70935155412647377</v>
      </c>
      <c r="S1104" s="34">
        <f>Allocation[[#This Row],[Quantity Processed]]/Allocation[[#This Row],[Dilution rate]]</f>
        <v>2125.373134328358</v>
      </c>
      <c r="T1104" s="59">
        <f>SUMIF(Allocation[Delivery ID],Allocation[[#This Row],[Delivery ID]],Allocation[Quantity allocated])/SUMIF(Allocation[Delivery ID],Allocation[[#This Row],[Delivery ID]],Allocation[Volume available (kg)])</f>
        <v>1.2088176972477704</v>
      </c>
      <c r="U1104" s="61">
        <f>Allocation[[#This Row],[Total volume used]]/VLOOKUP(Allocation[[#This Row],[Delivery ID]],Delivery[[Delivery ID]:[Quantity delivered]],3,FALSE)</f>
        <v>0.70935155412647377</v>
      </c>
      <c r="V1104" s="34" t="e">
        <f>VLOOKUP(Allocation[[#This Row],[SAP Contract number]],Shipments[[SAP Contract number]:[Contracted container weight]],2,FALSE)</f>
        <v>#N/A</v>
      </c>
      <c r="W1104" s="34" t="e">
        <f>VLOOKUP(Allocation[[#This Row],[SAP Contract number]],Shipments[[SAP Contract number]:[AAA Premium USD]],24,FALSE)</f>
        <v>#N/A</v>
      </c>
      <c r="X1104" s="34" t="e">
        <f>VLOOKUP(Allocation[[#This Row],[SAP Contract number]],Shipments[[SAP Contract number]:[RA Premium USD]],25,FALSE)</f>
        <v>#N/A</v>
      </c>
      <c r="Y1104" s="38">
        <f>Allocation[[#This Row],[Quantity Processed]]/Allocation[[#This Row],[Quantity allocated]]</f>
        <v>2.1277549495704147</v>
      </c>
      <c r="Z1104" s="34" t="b">
        <f>Allocation[[#This Row],[Quantity allocated]]&lt;=Allocation[[#This Row],[Quantity Processed]]</f>
        <v>1</v>
      </c>
    </row>
    <row r="1105" spans="1:26">
      <c r="A1105" s="247" t="s">
        <v>467</v>
      </c>
      <c r="B1105" s="210" t="s">
        <v>68</v>
      </c>
      <c r="C1105" s="254" t="s">
        <v>1675</v>
      </c>
      <c r="D1105" s="255">
        <v>7361</v>
      </c>
      <c r="E1105" s="211" t="s">
        <v>1864</v>
      </c>
      <c r="F1105" s="212">
        <v>43538</v>
      </c>
      <c r="G1105" s="213">
        <v>2.68</v>
      </c>
      <c r="H1105" s="256">
        <v>2429</v>
      </c>
      <c r="I1105" s="214">
        <v>1444678</v>
      </c>
      <c r="J1105" s="215">
        <v>21600</v>
      </c>
      <c r="K1105" s="212">
        <v>43587</v>
      </c>
      <c r="L1105" s="211" t="s">
        <v>1873</v>
      </c>
      <c r="M1105" s="216">
        <v>4615445946</v>
      </c>
      <c r="N1105" s="212">
        <v>43682</v>
      </c>
      <c r="O1105" s="217">
        <v>3.9611999999999998</v>
      </c>
      <c r="P1105" s="219"/>
      <c r="Q1105" s="34">
        <f>SUMIF(Allocation[Delivery ID],Allocation[[#This Row],[Delivery ID]],Allocation[Quantity Processed])</f>
        <v>21346</v>
      </c>
      <c r="R1105" s="61">
        <f>Allocation[[#This Row],[Total volume used]]/VLOOKUP(Allocation[[#This Row],[Delivery ID]],Delivery[[Delivery ID]:[Quantity delivered]],3,FALSE)</f>
        <v>0.71200800533689124</v>
      </c>
      <c r="S1105" s="34">
        <f>Allocation[[#This Row],[Quantity Processed]]/Allocation[[#This Row],[Dilution rate]]</f>
        <v>2746.6417910447758</v>
      </c>
      <c r="T1105" s="59">
        <f>SUMIF(Allocation[Delivery ID],Allocation[[#This Row],[Delivery ID]],Allocation[Quantity allocated])/SUMIF(Allocation[Delivery ID],Allocation[[#This Row],[Delivery ID]],Allocation[Volume available (kg)])</f>
        <v>0.88002959681646864</v>
      </c>
      <c r="U1105" s="61">
        <f>Allocation[[#This Row],[Total volume used]]/VLOOKUP(Allocation[[#This Row],[Delivery ID]],Delivery[[Delivery ID]:[Quantity delivered]],3,FALSE)</f>
        <v>0.71200800533689124</v>
      </c>
      <c r="V1105" s="34" t="e">
        <f>VLOOKUP(Allocation[[#This Row],[SAP Contract number]],Shipments[[SAP Contract number]:[Contracted container weight]],2,FALSE)</f>
        <v>#N/A</v>
      </c>
      <c r="W1105" s="34" t="e">
        <f>VLOOKUP(Allocation[[#This Row],[SAP Contract number]],Shipments[[SAP Contract number]:[AAA Premium USD]],24,FALSE)</f>
        <v>#N/A</v>
      </c>
      <c r="X1105" s="34" t="e">
        <f>VLOOKUP(Allocation[[#This Row],[SAP Contract number]],Shipments[[SAP Contract number]:[RA Premium USD]],25,FALSE)</f>
        <v>#N/A</v>
      </c>
      <c r="Y1105" s="38">
        <f>Allocation[[#This Row],[Quantity Processed]]/Allocation[[#This Row],[Quantity allocated]]</f>
        <v>3.030465212021408</v>
      </c>
      <c r="Z1105" s="34" t="b">
        <f>Allocation[[#This Row],[Quantity allocated]]&lt;=Allocation[[#This Row],[Quantity Processed]]</f>
        <v>1</v>
      </c>
    </row>
    <row r="1106" spans="1:26">
      <c r="A1106" s="247" t="s">
        <v>467</v>
      </c>
      <c r="B1106" s="210" t="s">
        <v>68</v>
      </c>
      <c r="C1106" s="254" t="s">
        <v>1676</v>
      </c>
      <c r="D1106" s="255">
        <v>2721</v>
      </c>
      <c r="E1106" s="211" t="s">
        <v>1864</v>
      </c>
      <c r="F1106" s="212">
        <v>43538</v>
      </c>
      <c r="G1106" s="213">
        <v>2.68</v>
      </c>
      <c r="H1106" s="256">
        <v>898</v>
      </c>
      <c r="I1106" s="214">
        <v>1444678</v>
      </c>
      <c r="J1106" s="215">
        <v>21600</v>
      </c>
      <c r="K1106" s="212">
        <v>43587</v>
      </c>
      <c r="L1106" s="211" t="s">
        <v>1873</v>
      </c>
      <c r="M1106" s="216">
        <v>4615445946</v>
      </c>
      <c r="N1106" s="212">
        <v>43682</v>
      </c>
      <c r="O1106" s="217">
        <v>3.9611999999999998</v>
      </c>
      <c r="P1106" s="219"/>
      <c r="Q1106" s="34">
        <f>SUMIF(Allocation[Delivery ID],Allocation[[#This Row],[Delivery ID]],Allocation[Quantity Processed])</f>
        <v>7573</v>
      </c>
      <c r="R1106" s="61">
        <f>Allocation[[#This Row],[Total volume used]]/VLOOKUP(Allocation[[#This Row],[Delivery ID]],Delivery[[Delivery ID]:[Quantity delivered]],3,FALSE)</f>
        <v>0.64754168448054727</v>
      </c>
      <c r="S1106" s="34">
        <f>Allocation[[#This Row],[Quantity Processed]]/Allocation[[#This Row],[Dilution rate]]</f>
        <v>1015.2985074626865</v>
      </c>
      <c r="T1106" s="59">
        <f>SUMIF(Allocation[Delivery ID],Allocation[[#This Row],[Delivery ID]],Allocation[Quantity allocated])/SUMIF(Allocation[Delivery ID],Allocation[[#This Row],[Delivery ID]],Allocation[Volume available (kg)])</f>
        <v>0.88066702495677374</v>
      </c>
      <c r="U1106" s="61">
        <f>Allocation[[#This Row],[Total volume used]]/VLOOKUP(Allocation[[#This Row],[Delivery ID]],Delivery[[Delivery ID]:[Quantity delivered]],3,FALSE)</f>
        <v>0.64754168448054727</v>
      </c>
      <c r="V1106" s="34" t="e">
        <f>VLOOKUP(Allocation[[#This Row],[SAP Contract number]],Shipments[[SAP Contract number]:[Contracted container weight]],2,FALSE)</f>
        <v>#N/A</v>
      </c>
      <c r="W1106" s="34" t="e">
        <f>VLOOKUP(Allocation[[#This Row],[SAP Contract number]],Shipments[[SAP Contract number]:[AAA Premium USD]],24,FALSE)</f>
        <v>#N/A</v>
      </c>
      <c r="X1106" s="34" t="e">
        <f>VLOOKUP(Allocation[[#This Row],[SAP Contract number]],Shipments[[SAP Contract number]:[RA Premium USD]],25,FALSE)</f>
        <v>#N/A</v>
      </c>
      <c r="Y1106" s="38">
        <f>Allocation[[#This Row],[Quantity Processed]]/Allocation[[#This Row],[Quantity allocated]]</f>
        <v>3.0300668151447661</v>
      </c>
      <c r="Z1106" s="34" t="b">
        <f>Allocation[[#This Row],[Quantity allocated]]&lt;=Allocation[[#This Row],[Quantity Processed]]</f>
        <v>1</v>
      </c>
    </row>
    <row r="1107" spans="1:26">
      <c r="A1107" s="247" t="s">
        <v>467</v>
      </c>
      <c r="B1107" s="210" t="s">
        <v>68</v>
      </c>
      <c r="C1107" s="254" t="s">
        <v>1677</v>
      </c>
      <c r="D1107" s="255">
        <v>4461</v>
      </c>
      <c r="E1107" s="211" t="s">
        <v>1864</v>
      </c>
      <c r="F1107" s="212">
        <v>43538</v>
      </c>
      <c r="G1107" s="213">
        <v>2.68</v>
      </c>
      <c r="H1107" s="256">
        <v>1472</v>
      </c>
      <c r="I1107" s="214">
        <v>1444678</v>
      </c>
      <c r="J1107" s="215">
        <v>21600</v>
      </c>
      <c r="K1107" s="212">
        <v>43587</v>
      </c>
      <c r="L1107" s="211" t="s">
        <v>1873</v>
      </c>
      <c r="M1107" s="216">
        <v>4615445946</v>
      </c>
      <c r="N1107" s="212">
        <v>43682</v>
      </c>
      <c r="O1107" s="217">
        <v>3.9611999999999998</v>
      </c>
      <c r="P1107" s="219"/>
      <c r="Q1107" s="34">
        <f>SUMIF(Allocation[Delivery ID],Allocation[[#This Row],[Delivery ID]],Allocation[Quantity Processed])</f>
        <v>12415</v>
      </c>
      <c r="R1107" s="61">
        <f>Allocation[[#This Row],[Total volume used]]/VLOOKUP(Allocation[[#This Row],[Delivery ID]],Delivery[[Delivery ID]:[Quantity delivered]],3,FALSE)</f>
        <v>0.64779546047482395</v>
      </c>
      <c r="S1107" s="34">
        <f>Allocation[[#This Row],[Quantity Processed]]/Allocation[[#This Row],[Dilution rate]]</f>
        <v>1664.5522388059701</v>
      </c>
      <c r="T1107" s="59">
        <f>SUMIF(Allocation[Delivery ID],Allocation[[#This Row],[Delivery ID]],Allocation[Quantity allocated])/SUMIF(Allocation[Delivery ID],Allocation[[#This Row],[Delivery ID]],Allocation[Volume available (kg)])</f>
        <v>0.88071294606616191</v>
      </c>
      <c r="U1107" s="61">
        <f>Allocation[[#This Row],[Total volume used]]/VLOOKUP(Allocation[[#This Row],[Delivery ID]],Delivery[[Delivery ID]:[Quantity delivered]],3,FALSE)</f>
        <v>0.64779546047482395</v>
      </c>
      <c r="V1107" s="34" t="e">
        <f>VLOOKUP(Allocation[[#This Row],[SAP Contract number]],Shipments[[SAP Contract number]:[Contracted container weight]],2,FALSE)</f>
        <v>#N/A</v>
      </c>
      <c r="W1107" s="34" t="e">
        <f>VLOOKUP(Allocation[[#This Row],[SAP Contract number]],Shipments[[SAP Contract number]:[AAA Premium USD]],24,FALSE)</f>
        <v>#N/A</v>
      </c>
      <c r="X1107" s="34" t="e">
        <f>VLOOKUP(Allocation[[#This Row],[SAP Contract number]],Shipments[[SAP Contract number]:[RA Premium USD]],25,FALSE)</f>
        <v>#N/A</v>
      </c>
      <c r="Y1107" s="38">
        <f>Allocation[[#This Row],[Quantity Processed]]/Allocation[[#This Row],[Quantity allocated]]</f>
        <v>3.0305706521739131</v>
      </c>
      <c r="Z1107" s="34" t="b">
        <f>Allocation[[#This Row],[Quantity allocated]]&lt;=Allocation[[#This Row],[Quantity Processed]]</f>
        <v>1</v>
      </c>
    </row>
    <row r="1108" spans="1:26">
      <c r="A1108" s="247" t="s">
        <v>467</v>
      </c>
      <c r="B1108" s="210" t="s">
        <v>68</v>
      </c>
      <c r="C1108" s="254" t="s">
        <v>1678</v>
      </c>
      <c r="D1108" s="255">
        <v>2076</v>
      </c>
      <c r="E1108" s="211" t="s">
        <v>1864</v>
      </c>
      <c r="F1108" s="212">
        <v>43538</v>
      </c>
      <c r="G1108" s="213">
        <v>2.68</v>
      </c>
      <c r="H1108" s="256">
        <v>685</v>
      </c>
      <c r="I1108" s="214">
        <v>1444678</v>
      </c>
      <c r="J1108" s="215">
        <v>21600</v>
      </c>
      <c r="K1108" s="212">
        <v>43587</v>
      </c>
      <c r="L1108" s="211" t="s">
        <v>1873</v>
      </c>
      <c r="M1108" s="216">
        <v>4615445946</v>
      </c>
      <c r="N1108" s="212">
        <v>43682</v>
      </c>
      <c r="O1108" s="217">
        <v>3.9611999999999998</v>
      </c>
      <c r="P1108" s="219"/>
      <c r="Q1108" s="34">
        <f>SUMIF(Allocation[Delivery ID],Allocation[[#This Row],[Delivery ID]],Allocation[Quantity Processed])</f>
        <v>5783</v>
      </c>
      <c r="R1108" s="61">
        <f>Allocation[[#This Row],[Total volume used]]/VLOOKUP(Allocation[[#This Row],[Delivery ID]],Delivery[[Delivery ID]:[Quantity delivered]],3,FALSE)</f>
        <v>0.64788259018597361</v>
      </c>
      <c r="S1108" s="34">
        <f>Allocation[[#This Row],[Quantity Processed]]/Allocation[[#This Row],[Dilution rate]]</f>
        <v>774.62686567164178</v>
      </c>
      <c r="T1108" s="59">
        <f>SUMIF(Allocation[Delivery ID],Allocation[[#This Row],[Delivery ID]],Allocation[Quantity allocated])/SUMIF(Allocation[Delivery ID],Allocation[[#This Row],[Delivery ID]],Allocation[Volume available (kg)])</f>
        <v>0.88051884478884213</v>
      </c>
      <c r="U1108" s="61">
        <f>Allocation[[#This Row],[Total volume used]]/VLOOKUP(Allocation[[#This Row],[Delivery ID]],Delivery[[Delivery ID]:[Quantity delivered]],3,FALSE)</f>
        <v>0.64788259018597361</v>
      </c>
      <c r="V1108" s="34" t="e">
        <f>VLOOKUP(Allocation[[#This Row],[SAP Contract number]],Shipments[[SAP Contract number]:[Contracted container weight]],2,FALSE)</f>
        <v>#N/A</v>
      </c>
      <c r="W1108" s="34" t="e">
        <f>VLOOKUP(Allocation[[#This Row],[SAP Contract number]],Shipments[[SAP Contract number]:[AAA Premium USD]],24,FALSE)</f>
        <v>#N/A</v>
      </c>
      <c r="X1108" s="34" t="e">
        <f>VLOOKUP(Allocation[[#This Row],[SAP Contract number]],Shipments[[SAP Contract number]:[RA Premium USD]],25,FALSE)</f>
        <v>#N/A</v>
      </c>
      <c r="Y1108" s="38">
        <f>Allocation[[#This Row],[Quantity Processed]]/Allocation[[#This Row],[Quantity allocated]]</f>
        <v>3.0306569343065695</v>
      </c>
      <c r="Z1108" s="34" t="b">
        <f>Allocation[[#This Row],[Quantity allocated]]&lt;=Allocation[[#This Row],[Quantity Processed]]</f>
        <v>1</v>
      </c>
    </row>
    <row r="1109" spans="1:26">
      <c r="A1109" s="247" t="s">
        <v>467</v>
      </c>
      <c r="B1109" s="210" t="s">
        <v>68</v>
      </c>
      <c r="C1109" s="254" t="s">
        <v>1679</v>
      </c>
      <c r="D1109" s="255">
        <v>5312</v>
      </c>
      <c r="E1109" s="211" t="s">
        <v>1864</v>
      </c>
      <c r="F1109" s="212">
        <v>43538</v>
      </c>
      <c r="G1109" s="213">
        <v>2.68</v>
      </c>
      <c r="H1109" s="256">
        <v>1753</v>
      </c>
      <c r="I1109" s="214">
        <v>1444678</v>
      </c>
      <c r="J1109" s="215">
        <v>21600</v>
      </c>
      <c r="K1109" s="212">
        <v>43587</v>
      </c>
      <c r="L1109" s="211" t="s">
        <v>1873</v>
      </c>
      <c r="M1109" s="216">
        <v>4615445946</v>
      </c>
      <c r="N1109" s="212">
        <v>43682</v>
      </c>
      <c r="O1109" s="217">
        <v>3.9611999999999998</v>
      </c>
      <c r="P1109" s="219"/>
      <c r="Q1109" s="34">
        <f>SUMIF(Allocation[Delivery ID],Allocation[[#This Row],[Delivery ID]],Allocation[Quantity Processed])</f>
        <v>14788</v>
      </c>
      <c r="R1109" s="61">
        <f>Allocation[[#This Row],[Total volume used]]/VLOOKUP(Allocation[[#This Row],[Delivery ID]],Delivery[[Delivery ID]:[Quantity delivered]],3,FALSE)</f>
        <v>0.64763072611018657</v>
      </c>
      <c r="S1109" s="34">
        <f>Allocation[[#This Row],[Quantity Processed]]/Allocation[[#This Row],[Dilution rate]]</f>
        <v>1982.0895522388059</v>
      </c>
      <c r="T1109" s="59">
        <f>SUMIF(Allocation[Delivery ID],Allocation[[#This Row],[Delivery ID]],Allocation[Quantity allocated])/SUMIF(Allocation[Delivery ID],Allocation[[#This Row],[Delivery ID]],Allocation[Volume available (kg)])</f>
        <v>0.88069254249133311</v>
      </c>
      <c r="U1109" s="61">
        <f>Allocation[[#This Row],[Total volume used]]/VLOOKUP(Allocation[[#This Row],[Delivery ID]],Delivery[[Delivery ID]:[Quantity delivered]],3,FALSE)</f>
        <v>0.64763072611018657</v>
      </c>
      <c r="V1109" s="34" t="e">
        <f>VLOOKUP(Allocation[[#This Row],[SAP Contract number]],Shipments[[SAP Contract number]:[Contracted container weight]],2,FALSE)</f>
        <v>#N/A</v>
      </c>
      <c r="W1109" s="34" t="e">
        <f>VLOOKUP(Allocation[[#This Row],[SAP Contract number]],Shipments[[SAP Contract number]:[AAA Premium USD]],24,FALSE)</f>
        <v>#N/A</v>
      </c>
      <c r="X1109" s="34" t="e">
        <f>VLOOKUP(Allocation[[#This Row],[SAP Contract number]],Shipments[[SAP Contract number]:[RA Premium USD]],25,FALSE)</f>
        <v>#N/A</v>
      </c>
      <c r="Y1109" s="38">
        <f>Allocation[[#This Row],[Quantity Processed]]/Allocation[[#This Row],[Quantity allocated]]</f>
        <v>3.0302338847689674</v>
      </c>
      <c r="Z1109" s="34" t="b">
        <f>Allocation[[#This Row],[Quantity allocated]]&lt;=Allocation[[#This Row],[Quantity Processed]]</f>
        <v>1</v>
      </c>
    </row>
    <row r="1110" spans="1:26">
      <c r="A1110" s="247" t="s">
        <v>467</v>
      </c>
      <c r="B1110" s="210" t="s">
        <v>68</v>
      </c>
      <c r="C1110" s="254" t="s">
        <v>1688</v>
      </c>
      <c r="D1110" s="255">
        <v>6258</v>
      </c>
      <c r="E1110" s="211" t="s">
        <v>1864</v>
      </c>
      <c r="F1110" s="212">
        <v>43538</v>
      </c>
      <c r="G1110" s="213">
        <v>2.68</v>
      </c>
      <c r="H1110" s="256">
        <v>2503</v>
      </c>
      <c r="I1110" s="214">
        <v>1444678</v>
      </c>
      <c r="J1110" s="215">
        <v>21600</v>
      </c>
      <c r="K1110" s="212">
        <v>43587</v>
      </c>
      <c r="L1110" s="211" t="s">
        <v>1873</v>
      </c>
      <c r="M1110" s="216">
        <v>4615445946</v>
      </c>
      <c r="N1110" s="212">
        <v>43682</v>
      </c>
      <c r="O1110" s="217">
        <v>3.9611999999999998</v>
      </c>
      <c r="P1110" s="219"/>
      <c r="Q1110" s="34">
        <f>SUMIF(Allocation[Delivery ID],Allocation[[#This Row],[Delivery ID]],Allocation[Quantity Processed])</f>
        <v>22081</v>
      </c>
      <c r="R1110" s="61">
        <f>Allocation[[#This Row],[Total volume used]]/VLOOKUP(Allocation[[#This Row],[Delivery ID]],Delivery[[Delivery ID]:[Quantity delivered]],3,FALSE)</f>
        <v>0.71459546925566342</v>
      </c>
      <c r="S1110" s="34">
        <f>Allocation[[#This Row],[Quantity Processed]]/Allocation[[#This Row],[Dilution rate]]</f>
        <v>2335.0746268656717</v>
      </c>
      <c r="T1110" s="59">
        <f>SUMIF(Allocation[Delivery ID],Allocation[[#This Row],[Delivery ID]],Allocation[Quantity allocated])/SUMIF(Allocation[Delivery ID],Allocation[[#This Row],[Delivery ID]],Allocation[Volume available (kg)])</f>
        <v>1.0632988843733371</v>
      </c>
      <c r="U1110" s="61">
        <f>Allocation[[#This Row],[Total volume used]]/VLOOKUP(Allocation[[#This Row],[Delivery ID]],Delivery[[Delivery ID]:[Quantity delivered]],3,FALSE)</f>
        <v>0.71459546925566342</v>
      </c>
      <c r="V1110" s="34" t="e">
        <f>VLOOKUP(Allocation[[#This Row],[SAP Contract number]],Shipments[[SAP Contract number]:[Contracted container weight]],2,FALSE)</f>
        <v>#N/A</v>
      </c>
      <c r="W1110" s="34" t="e">
        <f>VLOOKUP(Allocation[[#This Row],[SAP Contract number]],Shipments[[SAP Contract number]:[AAA Premium USD]],24,FALSE)</f>
        <v>#N/A</v>
      </c>
      <c r="X1110" s="34" t="e">
        <f>VLOOKUP(Allocation[[#This Row],[SAP Contract number]],Shipments[[SAP Contract number]:[RA Premium USD]],25,FALSE)</f>
        <v>#N/A</v>
      </c>
      <c r="Y1110" s="38">
        <f>Allocation[[#This Row],[Quantity Processed]]/Allocation[[#This Row],[Quantity allocated]]</f>
        <v>2.5001997602876549</v>
      </c>
      <c r="Z1110" s="34" t="b">
        <f>Allocation[[#This Row],[Quantity allocated]]&lt;=Allocation[[#This Row],[Quantity Processed]]</f>
        <v>1</v>
      </c>
    </row>
    <row r="1111" spans="1:26">
      <c r="A1111" s="247" t="s">
        <v>467</v>
      </c>
      <c r="B1111" s="210" t="s">
        <v>68</v>
      </c>
      <c r="C1111" s="254" t="s">
        <v>1689</v>
      </c>
      <c r="D1111" s="255">
        <v>6255</v>
      </c>
      <c r="E1111" s="211" t="s">
        <v>1864</v>
      </c>
      <c r="F1111" s="212">
        <v>43538</v>
      </c>
      <c r="G1111" s="213">
        <v>2.68</v>
      </c>
      <c r="H1111" s="256">
        <v>2502</v>
      </c>
      <c r="I1111" s="214">
        <v>1444678</v>
      </c>
      <c r="J1111" s="215">
        <v>21600</v>
      </c>
      <c r="K1111" s="212">
        <v>43587</v>
      </c>
      <c r="L1111" s="211" t="s">
        <v>1873</v>
      </c>
      <c r="M1111" s="216">
        <v>4615445946</v>
      </c>
      <c r="N1111" s="212">
        <v>43682</v>
      </c>
      <c r="O1111" s="217">
        <v>3.9611999999999998</v>
      </c>
      <c r="P1111" s="219"/>
      <c r="Q1111" s="34">
        <f>SUMIF(Allocation[Delivery ID],Allocation[[#This Row],[Delivery ID]],Allocation[Quantity Processed])</f>
        <v>22068</v>
      </c>
      <c r="R1111" s="61">
        <f>Allocation[[#This Row],[Total volume used]]/VLOOKUP(Allocation[[#This Row],[Delivery ID]],Delivery[[Delivery ID]:[Quantity delivered]],3,FALSE)</f>
        <v>0.71463730569948192</v>
      </c>
      <c r="S1111" s="34">
        <f>Allocation[[#This Row],[Quantity Processed]]/Allocation[[#This Row],[Dilution rate]]</f>
        <v>2333.9552238805968</v>
      </c>
      <c r="T1111" s="59">
        <f>SUMIF(Allocation[Delivery ID],Allocation[[#This Row],[Delivery ID]],Allocation[Quantity allocated])/SUMIF(Allocation[Delivery ID],Allocation[[#This Row],[Delivery ID]],Allocation[Volume available (kg)])</f>
        <v>1.0633215949443131</v>
      </c>
      <c r="U1111" s="61">
        <f>Allocation[[#This Row],[Total volume used]]/VLOOKUP(Allocation[[#This Row],[Delivery ID]],Delivery[[Delivery ID]:[Quantity delivered]],3,FALSE)</f>
        <v>0.71463730569948192</v>
      </c>
      <c r="V1111" s="34" t="e">
        <f>VLOOKUP(Allocation[[#This Row],[SAP Contract number]],Shipments[[SAP Contract number]:[Contracted container weight]],2,FALSE)</f>
        <v>#N/A</v>
      </c>
      <c r="W1111" s="34" t="e">
        <f>VLOOKUP(Allocation[[#This Row],[SAP Contract number]],Shipments[[SAP Contract number]:[AAA Premium USD]],24,FALSE)</f>
        <v>#N/A</v>
      </c>
      <c r="X1111" s="34" t="e">
        <f>VLOOKUP(Allocation[[#This Row],[SAP Contract number]],Shipments[[SAP Contract number]:[RA Premium USD]],25,FALSE)</f>
        <v>#N/A</v>
      </c>
      <c r="Y1111" s="38">
        <f>Allocation[[#This Row],[Quantity Processed]]/Allocation[[#This Row],[Quantity allocated]]</f>
        <v>2.5</v>
      </c>
      <c r="Z1111" s="34" t="b">
        <f>Allocation[[#This Row],[Quantity allocated]]&lt;=Allocation[[#This Row],[Quantity Processed]]</f>
        <v>1</v>
      </c>
    </row>
    <row r="1112" spans="1:26">
      <c r="A1112" s="247" t="s">
        <v>467</v>
      </c>
      <c r="B1112" s="210" t="s">
        <v>68</v>
      </c>
      <c r="C1112" s="254" t="s">
        <v>1152</v>
      </c>
      <c r="D1112" s="255">
        <v>7037</v>
      </c>
      <c r="E1112" s="211" t="s">
        <v>1864</v>
      </c>
      <c r="F1112" s="212">
        <v>43538</v>
      </c>
      <c r="G1112" s="213">
        <v>2.68</v>
      </c>
      <c r="H1112" s="256">
        <v>2463</v>
      </c>
      <c r="I1112" s="214">
        <v>1444678</v>
      </c>
      <c r="J1112" s="215">
        <v>21600</v>
      </c>
      <c r="K1112" s="212">
        <v>43587</v>
      </c>
      <c r="L1112" s="211" t="s">
        <v>1873</v>
      </c>
      <c r="M1112" s="216">
        <v>4615445946</v>
      </c>
      <c r="N1112" s="212">
        <v>43682</v>
      </c>
      <c r="O1112" s="217">
        <v>3.9611999999999998</v>
      </c>
      <c r="P1112" s="219"/>
      <c r="Q1112" s="34">
        <f>SUMIF(Allocation[Delivery ID],Allocation[[#This Row],[Delivery ID]],Allocation[Quantity Processed])</f>
        <v>24112</v>
      </c>
      <c r="R1112" s="61">
        <f>Allocation[[#This Row],[Total volume used]]/VLOOKUP(Allocation[[#This Row],[Delivery ID]],Delivery[[Delivery ID]:[Quantity delivered]],3,FALSE)</f>
        <v>1</v>
      </c>
      <c r="S1112" s="34">
        <f>Allocation[[#This Row],[Quantity Processed]]/Allocation[[#This Row],[Dilution rate]]</f>
        <v>2625.7462686567164</v>
      </c>
      <c r="T1112" s="59">
        <f>SUMIF(Allocation[Delivery ID],Allocation[[#This Row],[Delivery ID]],Allocation[Quantity allocated])/SUMIF(Allocation[Delivery ID],Allocation[[#This Row],[Delivery ID]],Allocation[Volume available (kg)])</f>
        <v>0.89115983858053149</v>
      </c>
      <c r="U1112" s="61">
        <f>Allocation[[#This Row],[Total volume used]]/VLOOKUP(Allocation[[#This Row],[Delivery ID]],Delivery[[Delivery ID]:[Quantity delivered]],3,FALSE)</f>
        <v>1</v>
      </c>
      <c r="V1112" s="34" t="e">
        <f>VLOOKUP(Allocation[[#This Row],[SAP Contract number]],Shipments[[SAP Contract number]:[Contracted container weight]],2,FALSE)</f>
        <v>#N/A</v>
      </c>
      <c r="W1112" s="34" t="e">
        <f>VLOOKUP(Allocation[[#This Row],[SAP Contract number]],Shipments[[SAP Contract number]:[AAA Premium USD]],24,FALSE)</f>
        <v>#N/A</v>
      </c>
      <c r="X1112" s="34" t="e">
        <f>VLOOKUP(Allocation[[#This Row],[SAP Contract number]],Shipments[[SAP Contract number]:[RA Premium USD]],25,FALSE)</f>
        <v>#N/A</v>
      </c>
      <c r="Y1112" s="38">
        <f>Allocation[[#This Row],[Quantity Processed]]/Allocation[[#This Row],[Quantity allocated]]</f>
        <v>2.8570848558668289</v>
      </c>
      <c r="Z1112" s="34" t="b">
        <f>Allocation[[#This Row],[Quantity allocated]]&lt;=Allocation[[#This Row],[Quantity Processed]]</f>
        <v>1</v>
      </c>
    </row>
    <row r="1113" spans="1:26">
      <c r="A1113" s="247" t="s">
        <v>467</v>
      </c>
      <c r="B1113" s="210" t="s">
        <v>68</v>
      </c>
      <c r="C1113" s="254" t="s">
        <v>1153</v>
      </c>
      <c r="D1113" s="255">
        <v>1760</v>
      </c>
      <c r="E1113" s="211" t="s">
        <v>1864</v>
      </c>
      <c r="F1113" s="212">
        <v>43538</v>
      </c>
      <c r="G1113" s="213">
        <v>2.68</v>
      </c>
      <c r="H1113" s="256">
        <v>616</v>
      </c>
      <c r="I1113" s="214">
        <v>1444678</v>
      </c>
      <c r="J1113" s="215">
        <v>21600</v>
      </c>
      <c r="K1113" s="212">
        <v>43587</v>
      </c>
      <c r="L1113" s="211" t="s">
        <v>1873</v>
      </c>
      <c r="M1113" s="216">
        <v>4615445946</v>
      </c>
      <c r="N1113" s="212">
        <v>43682</v>
      </c>
      <c r="O1113" s="217">
        <v>3.9611999999999998</v>
      </c>
      <c r="P1113" s="219"/>
      <c r="Q1113" s="34">
        <f>SUMIF(Allocation[Delivery ID],Allocation[[#This Row],[Delivery ID]],Allocation[Quantity Processed])</f>
        <v>6028</v>
      </c>
      <c r="R1113" s="61">
        <f>Allocation[[#This Row],[Total volume used]]/VLOOKUP(Allocation[[#This Row],[Delivery ID]],Delivery[[Delivery ID]:[Quantity delivered]],3,FALSE)</f>
        <v>1</v>
      </c>
      <c r="S1113" s="34">
        <f>Allocation[[#This Row],[Quantity Processed]]/Allocation[[#This Row],[Dilution rate]]</f>
        <v>656.71641791044772</v>
      </c>
      <c r="T1113" s="59">
        <f>SUMIF(Allocation[Delivery ID],Allocation[[#This Row],[Delivery ID]],Allocation[Quantity allocated])/SUMIF(Allocation[Delivery ID],Allocation[[#This Row],[Delivery ID]],Allocation[Volume available (kg)])</f>
        <v>0.89160953867856818</v>
      </c>
      <c r="U1113" s="61">
        <f>Allocation[[#This Row],[Total volume used]]/VLOOKUP(Allocation[[#This Row],[Delivery ID]],Delivery[[Delivery ID]:[Quantity delivered]],3,FALSE)</f>
        <v>1</v>
      </c>
      <c r="V1113" s="34" t="e">
        <f>VLOOKUP(Allocation[[#This Row],[SAP Contract number]],Shipments[[SAP Contract number]:[Contracted container weight]],2,FALSE)</f>
        <v>#N/A</v>
      </c>
      <c r="W1113" s="34" t="e">
        <f>VLOOKUP(Allocation[[#This Row],[SAP Contract number]],Shipments[[SAP Contract number]:[AAA Premium USD]],24,FALSE)</f>
        <v>#N/A</v>
      </c>
      <c r="X1113" s="34" t="e">
        <f>VLOOKUP(Allocation[[#This Row],[SAP Contract number]],Shipments[[SAP Contract number]:[RA Premium USD]],25,FALSE)</f>
        <v>#N/A</v>
      </c>
      <c r="Y1113" s="38">
        <f>Allocation[[#This Row],[Quantity Processed]]/Allocation[[#This Row],[Quantity allocated]]</f>
        <v>2.8571428571428572</v>
      </c>
      <c r="Z1113" s="34" t="b">
        <f>Allocation[[#This Row],[Quantity allocated]]&lt;=Allocation[[#This Row],[Quantity Processed]]</f>
        <v>1</v>
      </c>
    </row>
    <row r="1114" spans="1:26">
      <c r="A1114" s="247" t="s">
        <v>467</v>
      </c>
      <c r="B1114" s="210" t="s">
        <v>68</v>
      </c>
      <c r="C1114" s="254" t="s">
        <v>1154</v>
      </c>
      <c r="D1114" s="255">
        <v>8092</v>
      </c>
      <c r="E1114" s="211" t="s">
        <v>1864</v>
      </c>
      <c r="F1114" s="212">
        <v>43538</v>
      </c>
      <c r="G1114" s="213">
        <v>2.68</v>
      </c>
      <c r="H1114" s="256">
        <v>2832</v>
      </c>
      <c r="I1114" s="214">
        <v>1444678</v>
      </c>
      <c r="J1114" s="215">
        <v>21600</v>
      </c>
      <c r="K1114" s="212">
        <v>43587</v>
      </c>
      <c r="L1114" s="211" t="s">
        <v>1873</v>
      </c>
      <c r="M1114" s="216">
        <v>4615445946</v>
      </c>
      <c r="N1114" s="212">
        <v>43682</v>
      </c>
      <c r="O1114" s="217">
        <v>3.9611999999999998</v>
      </c>
      <c r="P1114" s="219"/>
      <c r="Q1114" s="34">
        <f>SUMIF(Allocation[Delivery ID],Allocation[[#This Row],[Delivery ID]],Allocation[Quantity Processed])</f>
        <v>30250</v>
      </c>
      <c r="R1114" s="61">
        <f>Allocation[[#This Row],[Total volume used]]/VLOOKUP(Allocation[[#This Row],[Delivery ID]],Delivery[[Delivery ID]:[Quantity delivered]],3,FALSE)</f>
        <v>1</v>
      </c>
      <c r="S1114" s="34">
        <f>Allocation[[#This Row],[Quantity Processed]]/Allocation[[#This Row],[Dilution rate]]</f>
        <v>3019.4029850746265</v>
      </c>
      <c r="T1114" s="59">
        <f>SUMIF(Allocation[Delivery ID],Allocation[[#This Row],[Delivery ID]],Allocation[Quantity allocated])/SUMIF(Allocation[Delivery ID],Allocation[[#This Row],[Delivery ID]],Allocation[Volume available (kg)])</f>
        <v>0.89079977299863311</v>
      </c>
      <c r="U1114" s="61">
        <f>Allocation[[#This Row],[Total volume used]]/VLOOKUP(Allocation[[#This Row],[Delivery ID]],Delivery[[Delivery ID]:[Quantity delivered]],3,FALSE)</f>
        <v>1</v>
      </c>
      <c r="V1114" s="34" t="e">
        <f>VLOOKUP(Allocation[[#This Row],[SAP Contract number]],Shipments[[SAP Contract number]:[Contracted container weight]],2,FALSE)</f>
        <v>#N/A</v>
      </c>
      <c r="W1114" s="34" t="e">
        <f>VLOOKUP(Allocation[[#This Row],[SAP Contract number]],Shipments[[SAP Contract number]:[AAA Premium USD]],24,FALSE)</f>
        <v>#N/A</v>
      </c>
      <c r="X1114" s="34" t="e">
        <f>VLOOKUP(Allocation[[#This Row],[SAP Contract number]],Shipments[[SAP Contract number]:[RA Premium USD]],25,FALSE)</f>
        <v>#N/A</v>
      </c>
      <c r="Y1114" s="38">
        <f>Allocation[[#This Row],[Quantity Processed]]/Allocation[[#This Row],[Quantity allocated]]</f>
        <v>2.8573446327683616</v>
      </c>
      <c r="Z1114" s="34" t="b">
        <f>Allocation[[#This Row],[Quantity allocated]]&lt;=Allocation[[#This Row],[Quantity Processed]]</f>
        <v>1</v>
      </c>
    </row>
    <row r="1115" spans="1:26">
      <c r="A1115" s="247" t="s">
        <v>467</v>
      </c>
      <c r="B1115" s="210" t="s">
        <v>68</v>
      </c>
      <c r="C1115" s="254" t="s">
        <v>1154</v>
      </c>
      <c r="D1115" s="255">
        <v>737</v>
      </c>
      <c r="E1115" s="211" t="s">
        <v>1864</v>
      </c>
      <c r="F1115" s="212">
        <v>43538</v>
      </c>
      <c r="G1115" s="213">
        <v>2.68</v>
      </c>
      <c r="H1115" s="256">
        <v>258</v>
      </c>
      <c r="I1115" s="214">
        <v>1444679</v>
      </c>
      <c r="J1115" s="215">
        <v>21600</v>
      </c>
      <c r="K1115" s="212">
        <v>43587</v>
      </c>
      <c r="L1115" s="211" t="s">
        <v>1874</v>
      </c>
      <c r="M1115" s="216">
        <v>4615445946</v>
      </c>
      <c r="N1115" s="212">
        <v>43682</v>
      </c>
      <c r="O1115" s="217">
        <v>3.9611999999999998</v>
      </c>
      <c r="P1115" s="219"/>
      <c r="Q1115" s="34">
        <f>SUMIF(Allocation[Delivery ID],Allocation[[#This Row],[Delivery ID]],Allocation[Quantity Processed])</f>
        <v>30250</v>
      </c>
      <c r="R1115" s="61">
        <f>Allocation[[#This Row],[Total volume used]]/VLOOKUP(Allocation[[#This Row],[Delivery ID]],Delivery[[Delivery ID]:[Quantity delivered]],3,FALSE)</f>
        <v>1</v>
      </c>
      <c r="S1115" s="34">
        <f>Allocation[[#This Row],[Quantity Processed]]/Allocation[[#This Row],[Dilution rate]]</f>
        <v>275</v>
      </c>
      <c r="T1115" s="59">
        <f>SUMIF(Allocation[Delivery ID],Allocation[[#This Row],[Delivery ID]],Allocation[Quantity allocated])/SUMIF(Allocation[Delivery ID],Allocation[[#This Row],[Delivery ID]],Allocation[Volume available (kg)])</f>
        <v>0.89079977299863311</v>
      </c>
      <c r="U1115" s="61">
        <f>Allocation[[#This Row],[Total volume used]]/VLOOKUP(Allocation[[#This Row],[Delivery ID]],Delivery[[Delivery ID]:[Quantity delivered]],3,FALSE)</f>
        <v>1</v>
      </c>
      <c r="V1115" s="34" t="e">
        <f>VLOOKUP(Allocation[[#This Row],[SAP Contract number]],Shipments[[SAP Contract number]:[Contracted container weight]],2,FALSE)</f>
        <v>#N/A</v>
      </c>
      <c r="W1115" s="34" t="e">
        <f>VLOOKUP(Allocation[[#This Row],[SAP Contract number]],Shipments[[SAP Contract number]:[AAA Premium USD]],24,FALSE)</f>
        <v>#N/A</v>
      </c>
      <c r="X1115" s="34" t="e">
        <f>VLOOKUP(Allocation[[#This Row],[SAP Contract number]],Shipments[[SAP Contract number]:[RA Premium USD]],25,FALSE)</f>
        <v>#N/A</v>
      </c>
      <c r="Y1115" s="38">
        <f>Allocation[[#This Row],[Quantity Processed]]/Allocation[[#This Row],[Quantity allocated]]</f>
        <v>2.8565891472868219</v>
      </c>
      <c r="Z1115" s="34" t="b">
        <f>Allocation[[#This Row],[Quantity allocated]]&lt;=Allocation[[#This Row],[Quantity Processed]]</f>
        <v>1</v>
      </c>
    </row>
    <row r="1116" spans="1:26">
      <c r="A1116" s="247" t="s">
        <v>467</v>
      </c>
      <c r="B1116" s="210" t="s">
        <v>68</v>
      </c>
      <c r="C1116" s="254" t="s">
        <v>1690</v>
      </c>
      <c r="D1116" s="255">
        <v>7868</v>
      </c>
      <c r="E1116" s="211" t="s">
        <v>1864</v>
      </c>
      <c r="F1116" s="212">
        <v>43538</v>
      </c>
      <c r="G1116" s="213">
        <v>2.68</v>
      </c>
      <c r="H1116" s="256">
        <v>2675</v>
      </c>
      <c r="I1116" s="214">
        <v>1444679</v>
      </c>
      <c r="J1116" s="215">
        <v>21600</v>
      </c>
      <c r="K1116" s="212">
        <v>43587</v>
      </c>
      <c r="L1116" s="211" t="s">
        <v>1874</v>
      </c>
      <c r="M1116" s="216">
        <v>4615445946</v>
      </c>
      <c r="N1116" s="212">
        <v>43682</v>
      </c>
      <c r="O1116" s="217">
        <v>3.9611999999999998</v>
      </c>
      <c r="P1116" s="219"/>
      <c r="Q1116" s="34">
        <f>SUMIF(Allocation[Delivery ID],Allocation[[#This Row],[Delivery ID]],Allocation[Quantity Processed])</f>
        <v>37980</v>
      </c>
      <c r="R1116" s="61">
        <f>Allocation[[#This Row],[Total volume used]]/VLOOKUP(Allocation[[#This Row],[Delivery ID]],Delivery[[Delivery ID]:[Quantity delivered]],3,FALSE)</f>
        <v>1</v>
      </c>
      <c r="S1116" s="34">
        <f>Allocation[[#This Row],[Quantity Processed]]/Allocation[[#This Row],[Dilution rate]]</f>
        <v>2935.8208955223877</v>
      </c>
      <c r="T1116" s="59">
        <f>SUMIF(Allocation[Delivery ID],Allocation[[#This Row],[Delivery ID]],Allocation[Quantity allocated])/SUMIF(Allocation[Delivery ID],Allocation[[#This Row],[Delivery ID]],Allocation[Volume available (kg)])</f>
        <v>0.90783705734408049</v>
      </c>
      <c r="U1116" s="61">
        <f>Allocation[[#This Row],[Total volume used]]/VLOOKUP(Allocation[[#This Row],[Delivery ID]],Delivery[[Delivery ID]:[Quantity delivered]],3,FALSE)</f>
        <v>1</v>
      </c>
      <c r="V1116" s="34" t="e">
        <f>VLOOKUP(Allocation[[#This Row],[SAP Contract number]],Shipments[[SAP Contract number]:[Contracted container weight]],2,FALSE)</f>
        <v>#N/A</v>
      </c>
      <c r="W1116" s="34" t="e">
        <f>VLOOKUP(Allocation[[#This Row],[SAP Contract number]],Shipments[[SAP Contract number]:[AAA Premium USD]],24,FALSE)</f>
        <v>#N/A</v>
      </c>
      <c r="X1116" s="34" t="e">
        <f>VLOOKUP(Allocation[[#This Row],[SAP Contract number]],Shipments[[SAP Contract number]:[RA Premium USD]],25,FALSE)</f>
        <v>#N/A</v>
      </c>
      <c r="Y1116" s="38">
        <f>Allocation[[#This Row],[Quantity Processed]]/Allocation[[#This Row],[Quantity allocated]]</f>
        <v>2.9413084112149535</v>
      </c>
      <c r="Z1116" s="34" t="b">
        <f>Allocation[[#This Row],[Quantity allocated]]&lt;=Allocation[[#This Row],[Quantity Processed]]</f>
        <v>1</v>
      </c>
    </row>
    <row r="1117" spans="1:26">
      <c r="A1117" s="247" t="s">
        <v>467</v>
      </c>
      <c r="B1117" s="210" t="s">
        <v>68</v>
      </c>
      <c r="C1117" s="254" t="s">
        <v>1155</v>
      </c>
      <c r="D1117" s="255">
        <v>8789</v>
      </c>
      <c r="E1117" s="211" t="s">
        <v>1864</v>
      </c>
      <c r="F1117" s="212">
        <v>43538</v>
      </c>
      <c r="G1117" s="213">
        <v>2.68</v>
      </c>
      <c r="H1117" s="256">
        <v>3076</v>
      </c>
      <c r="I1117" s="214">
        <v>1444679</v>
      </c>
      <c r="J1117" s="215">
        <v>21600</v>
      </c>
      <c r="K1117" s="212">
        <v>43587</v>
      </c>
      <c r="L1117" s="211" t="s">
        <v>1874</v>
      </c>
      <c r="M1117" s="216">
        <v>4615445946</v>
      </c>
      <c r="N1117" s="212">
        <v>43682</v>
      </c>
      <c r="O1117" s="217">
        <v>3.9611999999999998</v>
      </c>
      <c r="P1117" s="219"/>
      <c r="Q1117" s="34">
        <f>SUMIF(Allocation[Delivery ID],Allocation[[#This Row],[Delivery ID]],Allocation[Quantity Processed])</f>
        <v>30110</v>
      </c>
      <c r="R1117" s="61">
        <f>Allocation[[#This Row],[Total volume used]]/VLOOKUP(Allocation[[#This Row],[Delivery ID]],Delivery[[Delivery ID]:[Quantity delivered]],3,FALSE)</f>
        <v>1</v>
      </c>
      <c r="S1117" s="34">
        <f>Allocation[[#This Row],[Quantity Processed]]/Allocation[[#This Row],[Dilution rate]]</f>
        <v>3279.4776119402982</v>
      </c>
      <c r="T1117" s="59">
        <f>SUMIF(Allocation[Delivery ID],Allocation[[#This Row],[Delivery ID]],Allocation[Quantity allocated])/SUMIF(Allocation[Delivery ID],Allocation[[#This Row],[Delivery ID]],Allocation[Volume available (kg)])</f>
        <v>0.89099699146553557</v>
      </c>
      <c r="U1117" s="61">
        <f>Allocation[[#This Row],[Total volume used]]/VLOOKUP(Allocation[[#This Row],[Delivery ID]],Delivery[[Delivery ID]:[Quantity delivered]],3,FALSE)</f>
        <v>1</v>
      </c>
      <c r="V1117" s="34" t="e">
        <f>VLOOKUP(Allocation[[#This Row],[SAP Contract number]],Shipments[[SAP Contract number]:[Contracted container weight]],2,FALSE)</f>
        <v>#N/A</v>
      </c>
      <c r="W1117" s="34" t="e">
        <f>VLOOKUP(Allocation[[#This Row],[SAP Contract number]],Shipments[[SAP Contract number]:[AAA Premium USD]],24,FALSE)</f>
        <v>#N/A</v>
      </c>
      <c r="X1117" s="34" t="e">
        <f>VLOOKUP(Allocation[[#This Row],[SAP Contract number]],Shipments[[SAP Contract number]:[RA Premium USD]],25,FALSE)</f>
        <v>#N/A</v>
      </c>
      <c r="Y1117" s="38">
        <f>Allocation[[#This Row],[Quantity Processed]]/Allocation[[#This Row],[Quantity allocated]]</f>
        <v>2.8572821846553964</v>
      </c>
      <c r="Z1117" s="34" t="b">
        <f>Allocation[[#This Row],[Quantity allocated]]&lt;=Allocation[[#This Row],[Quantity Processed]]</f>
        <v>1</v>
      </c>
    </row>
    <row r="1118" spans="1:26">
      <c r="A1118" s="247" t="s">
        <v>467</v>
      </c>
      <c r="B1118" s="210" t="s">
        <v>68</v>
      </c>
      <c r="C1118" s="254" t="s">
        <v>1695</v>
      </c>
      <c r="D1118" s="255">
        <v>8113</v>
      </c>
      <c r="E1118" s="211" t="s">
        <v>1864</v>
      </c>
      <c r="F1118" s="212">
        <v>43538</v>
      </c>
      <c r="G1118" s="213">
        <v>2.68</v>
      </c>
      <c r="H1118" s="256">
        <v>2434</v>
      </c>
      <c r="I1118" s="214">
        <v>1444679</v>
      </c>
      <c r="J1118" s="215">
        <v>21600</v>
      </c>
      <c r="K1118" s="212">
        <v>43587</v>
      </c>
      <c r="L1118" s="211" t="s">
        <v>1874</v>
      </c>
      <c r="M1118" s="216">
        <v>4615445946</v>
      </c>
      <c r="N1118" s="212">
        <v>43682</v>
      </c>
      <c r="O1118" s="217">
        <v>3.9611999999999998</v>
      </c>
      <c r="P1118" s="219"/>
      <c r="Q1118" s="34">
        <f>SUMIF(Allocation[Delivery ID],Allocation[[#This Row],[Delivery ID]],Allocation[Quantity Processed])</f>
        <v>23530</v>
      </c>
      <c r="R1118" s="61">
        <f>Allocation[[#This Row],[Total volume used]]/VLOOKUP(Allocation[[#This Row],[Delivery ID]],Delivery[[Delivery ID]:[Quantity delivered]],3,FALSE)</f>
        <v>0.78328894806924099</v>
      </c>
      <c r="S1118" s="34">
        <f>Allocation[[#This Row],[Quantity Processed]]/Allocation[[#This Row],[Dilution rate]]</f>
        <v>3027.2388059701489</v>
      </c>
      <c r="T1118" s="59">
        <f>SUMIF(Allocation[Delivery ID],Allocation[[#This Row],[Delivery ID]],Allocation[Quantity allocated])/SUMIF(Allocation[Delivery ID],Allocation[[#This Row],[Delivery ID]],Allocation[Volume available (kg)])</f>
        <v>0.80004597707588787</v>
      </c>
      <c r="U1118" s="61">
        <f>Allocation[[#This Row],[Total volume used]]/VLOOKUP(Allocation[[#This Row],[Delivery ID]],Delivery[[Delivery ID]:[Quantity delivered]],3,FALSE)</f>
        <v>0.78328894806924099</v>
      </c>
      <c r="V1118" s="34" t="e">
        <f>VLOOKUP(Allocation[[#This Row],[SAP Contract number]],Shipments[[SAP Contract number]:[Contracted container weight]],2,FALSE)</f>
        <v>#N/A</v>
      </c>
      <c r="W1118" s="34" t="e">
        <f>VLOOKUP(Allocation[[#This Row],[SAP Contract number]],Shipments[[SAP Contract number]:[AAA Premium USD]],24,FALSE)</f>
        <v>#N/A</v>
      </c>
      <c r="X1118" s="34" t="e">
        <f>VLOOKUP(Allocation[[#This Row],[SAP Contract number]],Shipments[[SAP Contract number]:[RA Premium USD]],25,FALSE)</f>
        <v>#N/A</v>
      </c>
      <c r="Y1118" s="38">
        <f>Allocation[[#This Row],[Quantity Processed]]/Allocation[[#This Row],[Quantity allocated]]</f>
        <v>3.3331963845521777</v>
      </c>
      <c r="Z1118" s="34" t="b">
        <f>Allocation[[#This Row],[Quantity allocated]]&lt;=Allocation[[#This Row],[Quantity Processed]]</f>
        <v>1</v>
      </c>
    </row>
    <row r="1119" spans="1:26">
      <c r="A1119" s="247" t="s">
        <v>467</v>
      </c>
      <c r="B1119" s="210" t="s">
        <v>68</v>
      </c>
      <c r="C1119" s="254" t="s">
        <v>1156</v>
      </c>
      <c r="D1119" s="255">
        <v>8791</v>
      </c>
      <c r="E1119" s="211" t="s">
        <v>1864</v>
      </c>
      <c r="F1119" s="212">
        <v>43538</v>
      </c>
      <c r="G1119" s="213">
        <v>2.68</v>
      </c>
      <c r="H1119" s="256">
        <v>3077</v>
      </c>
      <c r="I1119" s="214">
        <v>1444679</v>
      </c>
      <c r="J1119" s="215">
        <v>21600</v>
      </c>
      <c r="K1119" s="212">
        <v>43587</v>
      </c>
      <c r="L1119" s="211" t="s">
        <v>1874</v>
      </c>
      <c r="M1119" s="216">
        <v>4615445946</v>
      </c>
      <c r="N1119" s="212">
        <v>43682</v>
      </c>
      <c r="O1119" s="217">
        <v>3.9611999999999998</v>
      </c>
      <c r="P1119" s="219"/>
      <c r="Q1119" s="34">
        <f>SUMIF(Allocation[Delivery ID],Allocation[[#This Row],[Delivery ID]],Allocation[Quantity Processed])</f>
        <v>17460</v>
      </c>
      <c r="R1119" s="61">
        <f>Allocation[[#This Row],[Total volume used]]/VLOOKUP(Allocation[[#This Row],[Delivery ID]],Delivery[[Delivery ID]:[Quantity delivered]],3,FALSE)</f>
        <v>1</v>
      </c>
      <c r="S1119" s="34">
        <f>Allocation[[#This Row],[Quantity Processed]]/Allocation[[#This Row],[Dilution rate]]</f>
        <v>3280.2238805970146</v>
      </c>
      <c r="T1119" s="59">
        <f>SUMIF(Allocation[Delivery ID],Allocation[[#This Row],[Delivery ID]],Allocation[Quantity allocated])/SUMIF(Allocation[Delivery ID],Allocation[[#This Row],[Delivery ID]],Allocation[Volume available (kg)])</f>
        <v>0.87321674560920293</v>
      </c>
      <c r="U1119" s="61">
        <f>Allocation[[#This Row],[Total volume used]]/VLOOKUP(Allocation[[#This Row],[Delivery ID]],Delivery[[Delivery ID]:[Quantity delivered]],3,FALSE)</f>
        <v>1</v>
      </c>
      <c r="V1119" s="34" t="e">
        <f>VLOOKUP(Allocation[[#This Row],[SAP Contract number]],Shipments[[SAP Contract number]:[Contracted container weight]],2,FALSE)</f>
        <v>#N/A</v>
      </c>
      <c r="W1119" s="34" t="e">
        <f>VLOOKUP(Allocation[[#This Row],[SAP Contract number]],Shipments[[SAP Contract number]:[AAA Premium USD]],24,FALSE)</f>
        <v>#N/A</v>
      </c>
      <c r="X1119" s="34" t="e">
        <f>VLOOKUP(Allocation[[#This Row],[SAP Contract number]],Shipments[[SAP Contract number]:[RA Premium USD]],25,FALSE)</f>
        <v>#N/A</v>
      </c>
      <c r="Y1119" s="38">
        <f>Allocation[[#This Row],[Quantity Processed]]/Allocation[[#This Row],[Quantity allocated]]</f>
        <v>2.8570035749106273</v>
      </c>
      <c r="Z1119" s="34" t="b">
        <f>Allocation[[#This Row],[Quantity allocated]]&lt;=Allocation[[#This Row],[Quantity Processed]]</f>
        <v>1</v>
      </c>
    </row>
    <row r="1120" spans="1:26">
      <c r="A1120" s="247" t="s">
        <v>467</v>
      </c>
      <c r="B1120" s="210" t="s">
        <v>68</v>
      </c>
      <c r="C1120" s="254" t="s">
        <v>1163</v>
      </c>
      <c r="D1120" s="255">
        <v>9463</v>
      </c>
      <c r="E1120" s="211" t="s">
        <v>1864</v>
      </c>
      <c r="F1120" s="212">
        <v>43538</v>
      </c>
      <c r="G1120" s="213">
        <v>2.68</v>
      </c>
      <c r="H1120" s="256">
        <v>3312</v>
      </c>
      <c r="I1120" s="214">
        <v>1444679</v>
      </c>
      <c r="J1120" s="215">
        <v>21600</v>
      </c>
      <c r="K1120" s="212">
        <v>43587</v>
      </c>
      <c r="L1120" s="211" t="s">
        <v>1874</v>
      </c>
      <c r="M1120" s="216">
        <v>4615445946</v>
      </c>
      <c r="N1120" s="212">
        <v>43682</v>
      </c>
      <c r="O1120" s="217">
        <v>3.9611999999999998</v>
      </c>
      <c r="P1120" s="219"/>
      <c r="Q1120" s="34">
        <f>SUMIF(Allocation[Delivery ID],Allocation[[#This Row],[Delivery ID]],Allocation[Quantity Processed])</f>
        <v>32420</v>
      </c>
      <c r="R1120" s="61">
        <f>Allocation[[#This Row],[Total volume used]]/VLOOKUP(Allocation[[#This Row],[Delivery ID]],Delivery[[Delivery ID]:[Quantity delivered]],3,FALSE)</f>
        <v>1</v>
      </c>
      <c r="S1120" s="34">
        <f>Allocation[[#This Row],[Quantity Processed]]/Allocation[[#This Row],[Dilution rate]]</f>
        <v>3530.9701492537311</v>
      </c>
      <c r="T1120" s="59">
        <f>SUMIF(Allocation[Delivery ID],Allocation[[#This Row],[Delivery ID]],Allocation[Quantity allocated])/SUMIF(Allocation[Delivery ID],Allocation[[#This Row],[Delivery ID]],Allocation[Volume available (kg)])</f>
        <v>0.91573014953438914</v>
      </c>
      <c r="U1120" s="61">
        <f>Allocation[[#This Row],[Total volume used]]/VLOOKUP(Allocation[[#This Row],[Delivery ID]],Delivery[[Delivery ID]:[Quantity delivered]],3,FALSE)</f>
        <v>1</v>
      </c>
      <c r="V1120" s="34" t="e">
        <f>VLOOKUP(Allocation[[#This Row],[SAP Contract number]],Shipments[[SAP Contract number]:[Contracted container weight]],2,FALSE)</f>
        <v>#N/A</v>
      </c>
      <c r="W1120" s="34" t="e">
        <f>VLOOKUP(Allocation[[#This Row],[SAP Contract number]],Shipments[[SAP Contract number]:[AAA Premium USD]],24,FALSE)</f>
        <v>#N/A</v>
      </c>
      <c r="X1120" s="34" t="e">
        <f>VLOOKUP(Allocation[[#This Row],[SAP Contract number]],Shipments[[SAP Contract number]:[RA Premium USD]],25,FALSE)</f>
        <v>#N/A</v>
      </c>
      <c r="Y1120" s="38">
        <f>Allocation[[#This Row],[Quantity Processed]]/Allocation[[#This Row],[Quantity allocated]]</f>
        <v>2.8571859903381642</v>
      </c>
      <c r="Z1120" s="34" t="b">
        <f>Allocation[[#This Row],[Quantity allocated]]&lt;=Allocation[[#This Row],[Quantity Processed]]</f>
        <v>1</v>
      </c>
    </row>
    <row r="1121" spans="1:26">
      <c r="A1121" s="247" t="s">
        <v>467</v>
      </c>
      <c r="B1121" s="210" t="s">
        <v>68</v>
      </c>
      <c r="C1121" s="254" t="s">
        <v>1165</v>
      </c>
      <c r="D1121" s="255">
        <v>7443</v>
      </c>
      <c r="E1121" s="211" t="s">
        <v>1864</v>
      </c>
      <c r="F1121" s="212">
        <v>43538</v>
      </c>
      <c r="G1121" s="213">
        <v>2.68</v>
      </c>
      <c r="H1121" s="256">
        <v>2605</v>
      </c>
      <c r="I1121" s="214">
        <v>1444679</v>
      </c>
      <c r="J1121" s="215">
        <v>21600</v>
      </c>
      <c r="K1121" s="212">
        <v>43587</v>
      </c>
      <c r="L1121" s="211" t="s">
        <v>1874</v>
      </c>
      <c r="M1121" s="216">
        <v>4615445946</v>
      </c>
      <c r="N1121" s="212">
        <v>43682</v>
      </c>
      <c r="O1121" s="217">
        <v>3.9611999999999998</v>
      </c>
      <c r="P1121" s="219"/>
      <c r="Q1121" s="34">
        <f>SUMIF(Allocation[Delivery ID],Allocation[[#This Row],[Delivery ID]],Allocation[Quantity Processed])</f>
        <v>25500</v>
      </c>
      <c r="R1121" s="61">
        <f>Allocation[[#This Row],[Total volume used]]/VLOOKUP(Allocation[[#This Row],[Delivery ID]],Delivery[[Delivery ID]:[Quantity delivered]],3,FALSE)</f>
        <v>1</v>
      </c>
      <c r="S1121" s="34">
        <f>Allocation[[#This Row],[Quantity Processed]]/Allocation[[#This Row],[Dilution rate]]</f>
        <v>2777.2388059701493</v>
      </c>
      <c r="T1121" s="59">
        <f>SUMIF(Allocation[Delivery ID],Allocation[[#This Row],[Delivery ID]],Allocation[Quantity allocated])/SUMIF(Allocation[Delivery ID],Allocation[[#This Row],[Delivery ID]],Allocation[Volume available (kg)])</f>
        <v>0.91565224611931262</v>
      </c>
      <c r="U1121" s="61">
        <f>Allocation[[#This Row],[Total volume used]]/VLOOKUP(Allocation[[#This Row],[Delivery ID]],Delivery[[Delivery ID]:[Quantity delivered]],3,FALSE)</f>
        <v>1</v>
      </c>
      <c r="V1121" s="34" t="e">
        <f>VLOOKUP(Allocation[[#This Row],[SAP Contract number]],Shipments[[SAP Contract number]:[Contracted container weight]],2,FALSE)</f>
        <v>#N/A</v>
      </c>
      <c r="W1121" s="34" t="e">
        <f>VLOOKUP(Allocation[[#This Row],[SAP Contract number]],Shipments[[SAP Contract number]:[AAA Premium USD]],24,FALSE)</f>
        <v>#N/A</v>
      </c>
      <c r="X1121" s="34" t="e">
        <f>VLOOKUP(Allocation[[#This Row],[SAP Contract number]],Shipments[[SAP Contract number]:[RA Premium USD]],25,FALSE)</f>
        <v>#N/A</v>
      </c>
      <c r="Y1121" s="38">
        <f>Allocation[[#This Row],[Quantity Processed]]/Allocation[[#This Row],[Quantity allocated]]</f>
        <v>2.8571976967370443</v>
      </c>
      <c r="Z1121" s="34" t="b">
        <f>Allocation[[#This Row],[Quantity allocated]]&lt;=Allocation[[#This Row],[Quantity Processed]]</f>
        <v>1</v>
      </c>
    </row>
    <row r="1122" spans="1:26">
      <c r="A1122" s="247" t="s">
        <v>467</v>
      </c>
      <c r="B1122" s="210" t="s">
        <v>68</v>
      </c>
      <c r="C1122" s="254" t="s">
        <v>1166</v>
      </c>
      <c r="D1122" s="255">
        <v>2031</v>
      </c>
      <c r="E1122" s="211" t="s">
        <v>1864</v>
      </c>
      <c r="F1122" s="212">
        <v>43538</v>
      </c>
      <c r="G1122" s="213">
        <v>2.68</v>
      </c>
      <c r="H1122" s="256">
        <v>711</v>
      </c>
      <c r="I1122" s="214">
        <v>1444679</v>
      </c>
      <c r="J1122" s="215">
        <v>21600</v>
      </c>
      <c r="K1122" s="212">
        <v>43587</v>
      </c>
      <c r="L1122" s="211" t="s">
        <v>1874</v>
      </c>
      <c r="M1122" s="216">
        <v>4615445946</v>
      </c>
      <c r="N1122" s="212">
        <v>43682</v>
      </c>
      <c r="O1122" s="217">
        <v>3.9611999999999998</v>
      </c>
      <c r="P1122" s="219"/>
      <c r="Q1122" s="34">
        <f>SUMIF(Allocation[Delivery ID],Allocation[[#This Row],[Delivery ID]],Allocation[Quantity Processed])</f>
        <v>6960</v>
      </c>
      <c r="R1122" s="61">
        <f>Allocation[[#This Row],[Total volume used]]/VLOOKUP(Allocation[[#This Row],[Delivery ID]],Delivery[[Delivery ID]:[Quantity delivered]],3,FALSE)</f>
        <v>1</v>
      </c>
      <c r="S1122" s="34">
        <f>Allocation[[#This Row],[Quantity Processed]]/Allocation[[#This Row],[Dilution rate]]</f>
        <v>757.83582089552237</v>
      </c>
      <c r="T1122" s="59">
        <f>SUMIF(Allocation[Delivery ID],Allocation[[#This Row],[Delivery ID]],Allocation[Quantity allocated])/SUMIF(Allocation[Delivery ID],Allocation[[#This Row],[Delivery ID]],Allocation[Volume available (kg)])</f>
        <v>0.91648668745422734</v>
      </c>
      <c r="U1122" s="61">
        <f>Allocation[[#This Row],[Total volume used]]/VLOOKUP(Allocation[[#This Row],[Delivery ID]],Delivery[[Delivery ID]:[Quantity delivered]],3,FALSE)</f>
        <v>1</v>
      </c>
      <c r="V1122" s="34" t="e">
        <f>VLOOKUP(Allocation[[#This Row],[SAP Contract number]],Shipments[[SAP Contract number]:[Contracted container weight]],2,FALSE)</f>
        <v>#N/A</v>
      </c>
      <c r="W1122" s="34" t="e">
        <f>VLOOKUP(Allocation[[#This Row],[SAP Contract number]],Shipments[[SAP Contract number]:[AAA Premium USD]],24,FALSE)</f>
        <v>#N/A</v>
      </c>
      <c r="X1122" s="34" t="e">
        <f>VLOOKUP(Allocation[[#This Row],[SAP Contract number]],Shipments[[SAP Contract number]:[RA Premium USD]],25,FALSE)</f>
        <v>#N/A</v>
      </c>
      <c r="Y1122" s="38">
        <f>Allocation[[#This Row],[Quantity Processed]]/Allocation[[#This Row],[Quantity allocated]]</f>
        <v>2.8565400843881856</v>
      </c>
      <c r="Z1122" s="34" t="b">
        <f>Allocation[[#This Row],[Quantity allocated]]&lt;=Allocation[[#This Row],[Quantity Processed]]</f>
        <v>1</v>
      </c>
    </row>
    <row r="1123" spans="1:26">
      <c r="A1123" s="247" t="s">
        <v>467</v>
      </c>
      <c r="B1123" s="210" t="s">
        <v>68</v>
      </c>
      <c r="C1123" s="254" t="s">
        <v>1701</v>
      </c>
      <c r="D1123" s="255">
        <v>3737</v>
      </c>
      <c r="E1123" s="211" t="s">
        <v>1864</v>
      </c>
      <c r="F1123" s="212">
        <v>43538</v>
      </c>
      <c r="G1123" s="213">
        <v>2.68</v>
      </c>
      <c r="H1123" s="256">
        <v>1121</v>
      </c>
      <c r="I1123" s="214">
        <v>1444679</v>
      </c>
      <c r="J1123" s="215">
        <v>21600</v>
      </c>
      <c r="K1123" s="212">
        <v>43587</v>
      </c>
      <c r="L1123" s="211" t="s">
        <v>1874</v>
      </c>
      <c r="M1123" s="216">
        <v>4615445946</v>
      </c>
      <c r="N1123" s="212">
        <v>43682</v>
      </c>
      <c r="O1123" s="217">
        <v>3.9611999999999998</v>
      </c>
      <c r="P1123" s="219"/>
      <c r="Q1123" s="34">
        <f>SUMIF(Allocation[Delivery ID],Allocation[[#This Row],[Delivery ID]],Allocation[Quantity Processed])</f>
        <v>10837</v>
      </c>
      <c r="R1123" s="61">
        <f>Allocation[[#This Row],[Total volume used]]/VLOOKUP(Allocation[[#This Row],[Delivery ID]],Delivery[[Delivery ID]:[Quantity delivered]],3,FALSE)</f>
        <v>0.78347310584152685</v>
      </c>
      <c r="S1123" s="34">
        <f>Allocation[[#This Row],[Quantity Processed]]/Allocation[[#This Row],[Dilution rate]]</f>
        <v>1394.4029850746267</v>
      </c>
      <c r="T1123" s="59">
        <f>SUMIF(Allocation[Delivery ID],Allocation[[#This Row],[Delivery ID]],Allocation[Quantity allocated])/SUMIF(Allocation[Delivery ID],Allocation[[#This Row],[Delivery ID]],Allocation[Volume available (kg)])</f>
        <v>0.80002142932056886</v>
      </c>
      <c r="U1123" s="61">
        <f>Allocation[[#This Row],[Total volume used]]/VLOOKUP(Allocation[[#This Row],[Delivery ID]],Delivery[[Delivery ID]:[Quantity delivered]],3,FALSE)</f>
        <v>0.78347310584152685</v>
      </c>
      <c r="V1123" s="34" t="e">
        <f>VLOOKUP(Allocation[[#This Row],[SAP Contract number]],Shipments[[SAP Contract number]:[Contracted container weight]],2,FALSE)</f>
        <v>#N/A</v>
      </c>
      <c r="W1123" s="34" t="e">
        <f>VLOOKUP(Allocation[[#This Row],[SAP Contract number]],Shipments[[SAP Contract number]:[AAA Premium USD]],24,FALSE)</f>
        <v>#N/A</v>
      </c>
      <c r="X1123" s="34" t="e">
        <f>VLOOKUP(Allocation[[#This Row],[SAP Contract number]],Shipments[[SAP Contract number]:[RA Premium USD]],25,FALSE)</f>
        <v>#N/A</v>
      </c>
      <c r="Y1123" s="38">
        <f>Allocation[[#This Row],[Quantity Processed]]/Allocation[[#This Row],[Quantity allocated]]</f>
        <v>3.3336306868867083</v>
      </c>
      <c r="Z1123" s="34" t="b">
        <f>Allocation[[#This Row],[Quantity allocated]]&lt;=Allocation[[#This Row],[Quantity Processed]]</f>
        <v>1</v>
      </c>
    </row>
    <row r="1124" spans="1:26">
      <c r="A1124" s="247" t="s">
        <v>467</v>
      </c>
      <c r="B1124" s="210" t="s">
        <v>68</v>
      </c>
      <c r="C1124" s="254" t="s">
        <v>1702</v>
      </c>
      <c r="D1124" s="255">
        <v>4337</v>
      </c>
      <c r="E1124" s="211" t="s">
        <v>1864</v>
      </c>
      <c r="F1124" s="212">
        <v>43538</v>
      </c>
      <c r="G1124" s="213">
        <v>2.68</v>
      </c>
      <c r="H1124" s="256">
        <v>1301</v>
      </c>
      <c r="I1124" s="214">
        <v>1444679</v>
      </c>
      <c r="J1124" s="215">
        <v>21600</v>
      </c>
      <c r="K1124" s="212">
        <v>43587</v>
      </c>
      <c r="L1124" s="211" t="s">
        <v>1874</v>
      </c>
      <c r="M1124" s="216">
        <v>4615445946</v>
      </c>
      <c r="N1124" s="212">
        <v>43682</v>
      </c>
      <c r="O1124" s="217">
        <v>3.9611999999999998</v>
      </c>
      <c r="P1124" s="219"/>
      <c r="Q1124" s="34">
        <f>SUMIF(Allocation[Delivery ID],Allocation[[#This Row],[Delivery ID]],Allocation[Quantity Processed])</f>
        <v>12574</v>
      </c>
      <c r="R1124" s="61">
        <f>Allocation[[#This Row],[Total volume used]]/VLOOKUP(Allocation[[#This Row],[Delivery ID]],Delivery[[Delivery ID]:[Quantity delivered]],3,FALSE)</f>
        <v>0.78303649271391207</v>
      </c>
      <c r="S1124" s="34">
        <f>Allocation[[#This Row],[Quantity Processed]]/Allocation[[#This Row],[Dilution rate]]</f>
        <v>1618.2835820895521</v>
      </c>
      <c r="T1124" s="59">
        <f>SUMIF(Allocation[Delivery ID],Allocation[[#This Row],[Delivery ID]],Allocation[Quantity allocated])/SUMIF(Allocation[Delivery ID],Allocation[[#This Row],[Delivery ID]],Allocation[Volume available (kg)])</f>
        <v>0.80000657794533359</v>
      </c>
      <c r="U1124" s="61">
        <f>Allocation[[#This Row],[Total volume used]]/VLOOKUP(Allocation[[#This Row],[Delivery ID]],Delivery[[Delivery ID]:[Quantity delivered]],3,FALSE)</f>
        <v>0.78303649271391207</v>
      </c>
      <c r="V1124" s="34" t="e">
        <f>VLOOKUP(Allocation[[#This Row],[SAP Contract number]],Shipments[[SAP Contract number]:[Contracted container weight]],2,FALSE)</f>
        <v>#N/A</v>
      </c>
      <c r="W1124" s="34" t="e">
        <f>VLOOKUP(Allocation[[#This Row],[SAP Contract number]],Shipments[[SAP Contract number]:[AAA Premium USD]],24,FALSE)</f>
        <v>#N/A</v>
      </c>
      <c r="X1124" s="34" t="e">
        <f>VLOOKUP(Allocation[[#This Row],[SAP Contract number]],Shipments[[SAP Contract number]:[RA Premium USD]],25,FALSE)</f>
        <v>#N/A</v>
      </c>
      <c r="Y1124" s="38">
        <f>Allocation[[#This Row],[Quantity Processed]]/Allocation[[#This Row],[Quantity allocated]]</f>
        <v>3.3335895465026901</v>
      </c>
      <c r="Z1124" s="34" t="b">
        <f>Allocation[[#This Row],[Quantity allocated]]&lt;=Allocation[[#This Row],[Quantity Processed]]</f>
        <v>1</v>
      </c>
    </row>
    <row r="1125" spans="1:26">
      <c r="A1125" s="247" t="s">
        <v>467</v>
      </c>
      <c r="B1125" s="210" t="s">
        <v>68</v>
      </c>
      <c r="C1125" s="254" t="s">
        <v>1741</v>
      </c>
      <c r="D1125" s="255">
        <v>2020</v>
      </c>
      <c r="E1125" s="211" t="s">
        <v>1864</v>
      </c>
      <c r="F1125" s="212">
        <v>43538</v>
      </c>
      <c r="G1125" s="213">
        <v>2.68</v>
      </c>
      <c r="H1125" s="256">
        <v>1030</v>
      </c>
      <c r="I1125" s="214">
        <v>1444679</v>
      </c>
      <c r="J1125" s="215">
        <v>21600</v>
      </c>
      <c r="K1125" s="212">
        <v>43587</v>
      </c>
      <c r="L1125" s="211" t="s">
        <v>1874</v>
      </c>
      <c r="M1125" s="216">
        <v>4615445946</v>
      </c>
      <c r="N1125" s="212">
        <v>43682</v>
      </c>
      <c r="O1125" s="217">
        <v>3.9611999999999998</v>
      </c>
      <c r="P1125" s="219"/>
      <c r="Q1125" s="34">
        <f>SUMIF(Allocation[Delivery ID],Allocation[[#This Row],[Delivery ID]],Allocation[Quantity Processed])</f>
        <v>29075</v>
      </c>
      <c r="R1125" s="61">
        <f>Allocation[[#This Row],[Total volume used]]/VLOOKUP(Allocation[[#This Row],[Delivery ID]],Delivery[[Delivery ID]:[Quantity delivered]],3,FALSE)</f>
        <v>0.76836680761099363</v>
      </c>
      <c r="S1125" s="34">
        <f>Allocation[[#This Row],[Quantity Processed]]/Allocation[[#This Row],[Dilution rate]]</f>
        <v>753.73134328358208</v>
      </c>
      <c r="T1125" s="59">
        <f>SUMIF(Allocation[Delivery ID],Allocation[[#This Row],[Delivery ID]],Allocation[Quantity allocated])/SUMIF(Allocation[Delivery ID],Allocation[[#This Row],[Delivery ID]],Allocation[Volume available (kg)])</f>
        <v>1.3571059936030028</v>
      </c>
      <c r="U1125" s="61">
        <f>Allocation[[#This Row],[Total volume used]]/VLOOKUP(Allocation[[#This Row],[Delivery ID]],Delivery[[Delivery ID]:[Quantity delivered]],3,FALSE)</f>
        <v>0.76836680761099363</v>
      </c>
      <c r="V1125" s="34" t="e">
        <f>VLOOKUP(Allocation[[#This Row],[SAP Contract number]],Shipments[[SAP Contract number]:[Contracted container weight]],2,FALSE)</f>
        <v>#N/A</v>
      </c>
      <c r="W1125" s="34" t="e">
        <f>VLOOKUP(Allocation[[#This Row],[SAP Contract number]],Shipments[[SAP Contract number]:[AAA Premium USD]],24,FALSE)</f>
        <v>#N/A</v>
      </c>
      <c r="X1125" s="34" t="e">
        <f>VLOOKUP(Allocation[[#This Row],[SAP Contract number]],Shipments[[SAP Contract number]:[RA Premium USD]],25,FALSE)</f>
        <v>#N/A</v>
      </c>
      <c r="Y1125" s="38">
        <f>Allocation[[#This Row],[Quantity Processed]]/Allocation[[#This Row],[Quantity allocated]]</f>
        <v>1.9611650485436893</v>
      </c>
      <c r="Z1125" s="34" t="b">
        <f>Allocation[[#This Row],[Quantity allocated]]&lt;=Allocation[[#This Row],[Quantity Processed]]</f>
        <v>1</v>
      </c>
    </row>
    <row r="1126" spans="1:26">
      <c r="A1126" s="247" t="s">
        <v>467</v>
      </c>
      <c r="B1126" s="210" t="s">
        <v>68</v>
      </c>
      <c r="C1126" s="254" t="s">
        <v>1741</v>
      </c>
      <c r="D1126" s="255">
        <v>6794</v>
      </c>
      <c r="E1126" s="211" t="s">
        <v>1864</v>
      </c>
      <c r="F1126" s="212">
        <v>43538</v>
      </c>
      <c r="G1126" s="213">
        <v>2.68</v>
      </c>
      <c r="H1126" s="256">
        <v>3465</v>
      </c>
      <c r="I1126" s="214">
        <v>1444680</v>
      </c>
      <c r="J1126" s="215">
        <v>21600</v>
      </c>
      <c r="K1126" s="212">
        <v>43587</v>
      </c>
      <c r="L1126" s="211" t="s">
        <v>1875</v>
      </c>
      <c r="M1126" s="216">
        <v>4615445946</v>
      </c>
      <c r="N1126" s="212">
        <v>43682</v>
      </c>
      <c r="O1126" s="217">
        <v>3.9611999999999998</v>
      </c>
      <c r="P1126" s="219"/>
      <c r="Q1126" s="34">
        <f>SUMIF(Allocation[Delivery ID],Allocation[[#This Row],[Delivery ID]],Allocation[Quantity Processed])</f>
        <v>29075</v>
      </c>
      <c r="R1126" s="61">
        <f>Allocation[[#This Row],[Total volume used]]/VLOOKUP(Allocation[[#This Row],[Delivery ID]],Delivery[[Delivery ID]:[Quantity delivered]],3,FALSE)</f>
        <v>0.76836680761099363</v>
      </c>
      <c r="S1126" s="34">
        <f>Allocation[[#This Row],[Quantity Processed]]/Allocation[[#This Row],[Dilution rate]]</f>
        <v>2535.0746268656717</v>
      </c>
      <c r="T1126" s="59">
        <f>SUMIF(Allocation[Delivery ID],Allocation[[#This Row],[Delivery ID]],Allocation[Quantity allocated])/SUMIF(Allocation[Delivery ID],Allocation[[#This Row],[Delivery ID]],Allocation[Volume available (kg)])</f>
        <v>1.3571059936030028</v>
      </c>
      <c r="U1126" s="61">
        <f>Allocation[[#This Row],[Total volume used]]/VLOOKUP(Allocation[[#This Row],[Delivery ID]],Delivery[[Delivery ID]:[Quantity delivered]],3,FALSE)</f>
        <v>0.76836680761099363</v>
      </c>
      <c r="V1126" s="34" t="e">
        <f>VLOOKUP(Allocation[[#This Row],[SAP Contract number]],Shipments[[SAP Contract number]:[Contracted container weight]],2,FALSE)</f>
        <v>#N/A</v>
      </c>
      <c r="W1126" s="34" t="e">
        <f>VLOOKUP(Allocation[[#This Row],[SAP Contract number]],Shipments[[SAP Contract number]:[AAA Premium USD]],24,FALSE)</f>
        <v>#N/A</v>
      </c>
      <c r="X1126" s="34" t="e">
        <f>VLOOKUP(Allocation[[#This Row],[SAP Contract number]],Shipments[[SAP Contract number]:[RA Premium USD]],25,FALSE)</f>
        <v>#N/A</v>
      </c>
      <c r="Y1126" s="38">
        <f>Allocation[[#This Row],[Quantity Processed]]/Allocation[[#This Row],[Quantity allocated]]</f>
        <v>1.9607503607503607</v>
      </c>
      <c r="Z1126" s="34" t="b">
        <f>Allocation[[#This Row],[Quantity allocated]]&lt;=Allocation[[#This Row],[Quantity Processed]]</f>
        <v>1</v>
      </c>
    </row>
    <row r="1127" spans="1:26">
      <c r="A1127" s="247" t="s">
        <v>467</v>
      </c>
      <c r="B1127" s="210" t="s">
        <v>68</v>
      </c>
      <c r="C1127" s="254" t="s">
        <v>1743</v>
      </c>
      <c r="D1127" s="255">
        <v>7265</v>
      </c>
      <c r="E1127" s="211" t="s">
        <v>1864</v>
      </c>
      <c r="F1127" s="212">
        <v>43538</v>
      </c>
      <c r="G1127" s="213">
        <v>2.68</v>
      </c>
      <c r="H1127" s="256">
        <v>3705</v>
      </c>
      <c r="I1127" s="214">
        <v>1444680</v>
      </c>
      <c r="J1127" s="215">
        <v>21600</v>
      </c>
      <c r="K1127" s="212">
        <v>43587</v>
      </c>
      <c r="L1127" s="211" t="s">
        <v>1875</v>
      </c>
      <c r="M1127" s="216">
        <v>4615445946</v>
      </c>
      <c r="N1127" s="212">
        <v>43682</v>
      </c>
      <c r="O1127" s="217">
        <v>3.9611999999999998</v>
      </c>
      <c r="P1127" s="219"/>
      <c r="Q1127" s="34">
        <f>SUMIF(Allocation[Delivery ID],Allocation[[#This Row],[Delivery ID]],Allocation[Quantity Processed])</f>
        <v>23963</v>
      </c>
      <c r="R1127" s="61">
        <f>Allocation[[#This Row],[Total volume used]]/VLOOKUP(Allocation[[#This Row],[Delivery ID]],Delivery[[Delivery ID]:[Quantity delivered]],3,FALSE)</f>
        <v>0.76829111894838087</v>
      </c>
      <c r="S1127" s="34">
        <f>Allocation[[#This Row],[Quantity Processed]]/Allocation[[#This Row],[Dilution rate]]</f>
        <v>2710.8208955223877</v>
      </c>
      <c r="T1127" s="59">
        <f>SUMIF(Allocation[Delivery ID],Allocation[[#This Row],[Delivery ID]],Allocation[Quantity allocated])/SUMIF(Allocation[Delivery ID],Allocation[[#This Row],[Delivery ID]],Allocation[Volume available (kg)])</f>
        <v>1.3571155361370277</v>
      </c>
      <c r="U1127" s="61">
        <f>Allocation[[#This Row],[Total volume used]]/VLOOKUP(Allocation[[#This Row],[Delivery ID]],Delivery[[Delivery ID]:[Quantity delivered]],3,FALSE)</f>
        <v>0.76829111894838087</v>
      </c>
      <c r="V1127" s="34" t="e">
        <f>VLOOKUP(Allocation[[#This Row],[SAP Contract number]],Shipments[[SAP Contract number]:[Contracted container weight]],2,FALSE)</f>
        <v>#N/A</v>
      </c>
      <c r="W1127" s="34" t="e">
        <f>VLOOKUP(Allocation[[#This Row],[SAP Contract number]],Shipments[[SAP Contract number]:[AAA Premium USD]],24,FALSE)</f>
        <v>#N/A</v>
      </c>
      <c r="X1127" s="34" t="e">
        <f>VLOOKUP(Allocation[[#This Row],[SAP Contract number]],Shipments[[SAP Contract number]:[RA Premium USD]],25,FALSE)</f>
        <v>#N/A</v>
      </c>
      <c r="Y1127" s="38">
        <f>Allocation[[#This Row],[Quantity Processed]]/Allocation[[#This Row],[Quantity allocated]]</f>
        <v>1.9608636977058029</v>
      </c>
      <c r="Z1127" s="34" t="b">
        <f>Allocation[[#This Row],[Quantity allocated]]&lt;=Allocation[[#This Row],[Quantity Processed]]</f>
        <v>1</v>
      </c>
    </row>
    <row r="1128" spans="1:26">
      <c r="A1128" s="247" t="s">
        <v>467</v>
      </c>
      <c r="B1128" s="210" t="s">
        <v>68</v>
      </c>
      <c r="C1128" s="254" t="s">
        <v>1750</v>
      </c>
      <c r="D1128" s="255">
        <v>8933</v>
      </c>
      <c r="E1128" s="211" t="s">
        <v>1864</v>
      </c>
      <c r="F1128" s="212">
        <v>43538</v>
      </c>
      <c r="G1128" s="213">
        <v>2.68</v>
      </c>
      <c r="H1128" s="256">
        <v>4556</v>
      </c>
      <c r="I1128" s="214">
        <v>1444680</v>
      </c>
      <c r="J1128" s="215">
        <v>21600</v>
      </c>
      <c r="K1128" s="212">
        <v>43587</v>
      </c>
      <c r="L1128" s="211" t="s">
        <v>1875</v>
      </c>
      <c r="M1128" s="216">
        <v>4615445946</v>
      </c>
      <c r="N1128" s="212">
        <v>43682</v>
      </c>
      <c r="O1128" s="217">
        <v>3.9611999999999998</v>
      </c>
      <c r="P1128" s="219"/>
      <c r="Q1128" s="34">
        <f>SUMIF(Allocation[Delivery ID],Allocation[[#This Row],[Delivery ID]],Allocation[Quantity Processed])</f>
        <v>29466</v>
      </c>
      <c r="R1128" s="61">
        <f>Allocation[[#This Row],[Total volume used]]/VLOOKUP(Allocation[[#This Row],[Delivery ID]],Delivery[[Delivery ID]:[Quantity delivered]],3,FALSE)</f>
        <v>0.76834419817470667</v>
      </c>
      <c r="S1128" s="34">
        <f>Allocation[[#This Row],[Quantity Processed]]/Allocation[[#This Row],[Dilution rate]]</f>
        <v>3333.2089552238804</v>
      </c>
      <c r="T1128" s="59">
        <f>SUMIF(Allocation[Delivery ID],Allocation[[#This Row],[Delivery ID]],Allocation[Quantity allocated])/SUMIF(Allocation[Delivery ID],Allocation[[#This Row],[Delivery ID]],Allocation[Volume available (kg)])</f>
        <v>1.3571585496452938</v>
      </c>
      <c r="U1128" s="61">
        <f>Allocation[[#This Row],[Total volume used]]/VLOOKUP(Allocation[[#This Row],[Delivery ID]],Delivery[[Delivery ID]:[Quantity delivered]],3,FALSE)</f>
        <v>0.76834419817470667</v>
      </c>
      <c r="V1128" s="34" t="e">
        <f>VLOOKUP(Allocation[[#This Row],[SAP Contract number]],Shipments[[SAP Contract number]:[Contracted container weight]],2,FALSE)</f>
        <v>#N/A</v>
      </c>
      <c r="W1128" s="34" t="e">
        <f>VLOOKUP(Allocation[[#This Row],[SAP Contract number]],Shipments[[SAP Contract number]:[AAA Premium USD]],24,FALSE)</f>
        <v>#N/A</v>
      </c>
      <c r="X1128" s="34" t="e">
        <f>VLOOKUP(Allocation[[#This Row],[SAP Contract number]],Shipments[[SAP Contract number]:[RA Premium USD]],25,FALSE)</f>
        <v>#N/A</v>
      </c>
      <c r="Y1128" s="38">
        <f>Allocation[[#This Row],[Quantity Processed]]/Allocation[[#This Row],[Quantity allocated]]</f>
        <v>1.9607111501316945</v>
      </c>
      <c r="Z1128" s="34" t="b">
        <f>Allocation[[#This Row],[Quantity allocated]]&lt;=Allocation[[#This Row],[Quantity Processed]]</f>
        <v>1</v>
      </c>
    </row>
    <row r="1129" spans="1:26">
      <c r="A1129" s="247" t="s">
        <v>467</v>
      </c>
      <c r="B1129" s="210" t="s">
        <v>68</v>
      </c>
      <c r="C1129" s="254" t="s">
        <v>1751</v>
      </c>
      <c r="D1129" s="255">
        <v>2645</v>
      </c>
      <c r="E1129" s="211" t="s">
        <v>1864</v>
      </c>
      <c r="F1129" s="212">
        <v>43538</v>
      </c>
      <c r="G1129" s="213">
        <v>2.68</v>
      </c>
      <c r="H1129" s="256">
        <v>1349</v>
      </c>
      <c r="I1129" s="214">
        <v>1444680</v>
      </c>
      <c r="J1129" s="215">
        <v>21600</v>
      </c>
      <c r="K1129" s="212">
        <v>43587</v>
      </c>
      <c r="L1129" s="211" t="s">
        <v>1875</v>
      </c>
      <c r="M1129" s="216">
        <v>4615445946</v>
      </c>
      <c r="N1129" s="212">
        <v>43682</v>
      </c>
      <c r="O1129" s="217">
        <v>3.9611999999999998</v>
      </c>
      <c r="P1129" s="219"/>
      <c r="Q1129" s="34">
        <f>SUMIF(Allocation[Delivery ID],Allocation[[#This Row],[Delivery ID]],Allocation[Quantity Processed])</f>
        <v>7303</v>
      </c>
      <c r="R1129" s="61">
        <f>Allocation[[#This Row],[Total volume used]]/VLOOKUP(Allocation[[#This Row],[Delivery ID]],Delivery[[Delivery ID]:[Quantity delivered]],3,FALSE)</f>
        <v>0.64315279612505505</v>
      </c>
      <c r="S1129" s="34">
        <f>Allocation[[#This Row],[Quantity Processed]]/Allocation[[#This Row],[Dilution rate]]</f>
        <v>986.94029850746267</v>
      </c>
      <c r="T1129" s="59">
        <f>SUMIF(Allocation[Delivery ID],Allocation[[#This Row],[Delivery ID]],Allocation[Quantity allocated])/SUMIF(Allocation[Delivery ID],Allocation[[#This Row],[Delivery ID]],Allocation[Volume available (kg)])</f>
        <v>1.3614462973248966</v>
      </c>
      <c r="U1129" s="61">
        <f>Allocation[[#This Row],[Total volume used]]/VLOOKUP(Allocation[[#This Row],[Delivery ID]],Delivery[[Delivery ID]:[Quantity delivered]],3,FALSE)</f>
        <v>0.64315279612505505</v>
      </c>
      <c r="V1129" s="34" t="e">
        <f>VLOOKUP(Allocation[[#This Row],[SAP Contract number]],Shipments[[SAP Contract number]:[Contracted container weight]],2,FALSE)</f>
        <v>#N/A</v>
      </c>
      <c r="W1129" s="34" t="e">
        <f>VLOOKUP(Allocation[[#This Row],[SAP Contract number]],Shipments[[SAP Contract number]:[AAA Premium USD]],24,FALSE)</f>
        <v>#N/A</v>
      </c>
      <c r="X1129" s="34" t="e">
        <f>VLOOKUP(Allocation[[#This Row],[SAP Contract number]],Shipments[[SAP Contract number]:[RA Premium USD]],25,FALSE)</f>
        <v>#N/A</v>
      </c>
      <c r="Y1129" s="38">
        <f>Allocation[[#This Row],[Quantity Processed]]/Allocation[[#This Row],[Quantity allocated]]</f>
        <v>1.9607116382505561</v>
      </c>
      <c r="Z1129" s="34" t="b">
        <f>Allocation[[#This Row],[Quantity allocated]]&lt;=Allocation[[#This Row],[Quantity Processed]]</f>
        <v>1</v>
      </c>
    </row>
    <row r="1130" spans="1:26">
      <c r="A1130" s="247" t="s">
        <v>467</v>
      </c>
      <c r="B1130" s="210" t="s">
        <v>68</v>
      </c>
      <c r="C1130" s="254" t="s">
        <v>1752</v>
      </c>
      <c r="D1130" s="255">
        <v>7469</v>
      </c>
      <c r="E1130" s="211" t="s">
        <v>1864</v>
      </c>
      <c r="F1130" s="212">
        <v>43538</v>
      </c>
      <c r="G1130" s="213">
        <v>2.68</v>
      </c>
      <c r="H1130" s="256">
        <v>3809</v>
      </c>
      <c r="I1130" s="214">
        <v>1444680</v>
      </c>
      <c r="J1130" s="215">
        <v>21600</v>
      </c>
      <c r="K1130" s="212">
        <v>43587</v>
      </c>
      <c r="L1130" s="211" t="s">
        <v>1875</v>
      </c>
      <c r="M1130" s="216">
        <v>4615445946</v>
      </c>
      <c r="N1130" s="212">
        <v>43682</v>
      </c>
      <c r="O1130" s="217">
        <v>3.9611999999999998</v>
      </c>
      <c r="P1130" s="219"/>
      <c r="Q1130" s="34">
        <f>SUMIF(Allocation[Delivery ID],Allocation[[#This Row],[Delivery ID]],Allocation[Quantity Processed])</f>
        <v>18343</v>
      </c>
      <c r="R1130" s="61">
        <f>Allocation[[#This Row],[Total volume used]]/VLOOKUP(Allocation[[#This Row],[Delivery ID]],Delivery[[Delivery ID]:[Quantity delivered]],3,FALSE)</f>
        <v>0.69231930552934517</v>
      </c>
      <c r="S1130" s="34">
        <f>Allocation[[#This Row],[Quantity Processed]]/Allocation[[#This Row],[Dilution rate]]</f>
        <v>2786.9402985074626</v>
      </c>
      <c r="T1130" s="59">
        <f>SUMIF(Allocation[Delivery ID],Allocation[[#This Row],[Delivery ID]],Allocation[Quantity allocated])/SUMIF(Allocation[Delivery ID],Allocation[[#This Row],[Delivery ID]],Allocation[Volume available (kg)])</f>
        <v>1.3616716107171336</v>
      </c>
      <c r="U1130" s="61">
        <f>Allocation[[#This Row],[Total volume used]]/VLOOKUP(Allocation[[#This Row],[Delivery ID]],Delivery[[Delivery ID]:[Quantity delivered]],3,FALSE)</f>
        <v>0.69231930552934517</v>
      </c>
      <c r="V1130" s="34" t="e">
        <f>VLOOKUP(Allocation[[#This Row],[SAP Contract number]],Shipments[[SAP Contract number]:[Contracted container weight]],2,FALSE)</f>
        <v>#N/A</v>
      </c>
      <c r="W1130" s="34" t="e">
        <f>VLOOKUP(Allocation[[#This Row],[SAP Contract number]],Shipments[[SAP Contract number]:[AAA Premium USD]],24,FALSE)</f>
        <v>#N/A</v>
      </c>
      <c r="X1130" s="34" t="e">
        <f>VLOOKUP(Allocation[[#This Row],[SAP Contract number]],Shipments[[SAP Contract number]:[RA Premium USD]],25,FALSE)</f>
        <v>#N/A</v>
      </c>
      <c r="Y1130" s="38">
        <f>Allocation[[#This Row],[Quantity Processed]]/Allocation[[#This Row],[Quantity allocated]]</f>
        <v>1.9608821212916776</v>
      </c>
      <c r="Z1130" s="34" t="b">
        <f>Allocation[[#This Row],[Quantity allocated]]&lt;=Allocation[[#This Row],[Quantity Processed]]</f>
        <v>1</v>
      </c>
    </row>
    <row r="1131" spans="1:26">
      <c r="A1131" s="247" t="s">
        <v>467</v>
      </c>
      <c r="B1131" s="210" t="s">
        <v>68</v>
      </c>
      <c r="C1131" s="254" t="s">
        <v>1753</v>
      </c>
      <c r="D1131" s="255">
        <v>180</v>
      </c>
      <c r="E1131" s="211" t="s">
        <v>1864</v>
      </c>
      <c r="F1131" s="212">
        <v>43538</v>
      </c>
      <c r="G1131" s="213">
        <v>2.68</v>
      </c>
      <c r="H1131" s="256">
        <v>92</v>
      </c>
      <c r="I1131" s="214">
        <v>1444680</v>
      </c>
      <c r="J1131" s="215">
        <v>21600</v>
      </c>
      <c r="K1131" s="212">
        <v>43587</v>
      </c>
      <c r="L1131" s="211" t="s">
        <v>1875</v>
      </c>
      <c r="M1131" s="216">
        <v>4615445946</v>
      </c>
      <c r="N1131" s="212">
        <v>43682</v>
      </c>
      <c r="O1131" s="217">
        <v>3.9611999999999998</v>
      </c>
      <c r="P1131" s="219"/>
      <c r="Q1131" s="34">
        <f>SUMIF(Allocation[Delivery ID],Allocation[[#This Row],[Delivery ID]],Allocation[Quantity Processed])</f>
        <v>775.5</v>
      </c>
      <c r="R1131" s="61">
        <f>Allocation[[#This Row],[Total volume used]]/VLOOKUP(Allocation[[#This Row],[Delivery ID]],Delivery[[Delivery ID]:[Quantity delivered]],3,FALSE)</f>
        <v>1</v>
      </c>
      <c r="S1131" s="34">
        <f>Allocation[[#This Row],[Quantity Processed]]/Allocation[[#This Row],[Dilution rate]]</f>
        <v>67.164179104477611</v>
      </c>
      <c r="T1131" s="59">
        <f>SUMIF(Allocation[Delivery ID],Allocation[[#This Row],[Delivery ID]],Allocation[Quantity allocated])/SUMIF(Allocation[Delivery ID],Allocation[[#This Row],[Delivery ID]],Allocation[Volume available (kg)])</f>
        <v>1.3500316675137278</v>
      </c>
      <c r="U1131" s="61">
        <f>Allocation[[#This Row],[Total volume used]]/VLOOKUP(Allocation[[#This Row],[Delivery ID]],Delivery[[Delivery ID]:[Quantity delivered]],3,FALSE)</f>
        <v>1</v>
      </c>
      <c r="V1131" s="34" t="e">
        <f>VLOOKUP(Allocation[[#This Row],[SAP Contract number]],Shipments[[SAP Contract number]:[Contracted container weight]],2,FALSE)</f>
        <v>#N/A</v>
      </c>
      <c r="W1131" s="34" t="e">
        <f>VLOOKUP(Allocation[[#This Row],[SAP Contract number]],Shipments[[SAP Contract number]:[AAA Premium USD]],24,FALSE)</f>
        <v>#N/A</v>
      </c>
      <c r="X1131" s="34" t="e">
        <f>VLOOKUP(Allocation[[#This Row],[SAP Contract number]],Shipments[[SAP Contract number]:[RA Premium USD]],25,FALSE)</f>
        <v>#N/A</v>
      </c>
      <c r="Y1131" s="38">
        <f>Allocation[[#This Row],[Quantity Processed]]/Allocation[[#This Row],[Quantity allocated]]</f>
        <v>1.9565217391304348</v>
      </c>
      <c r="Z1131" s="34" t="b">
        <f>Allocation[[#This Row],[Quantity allocated]]&lt;=Allocation[[#This Row],[Quantity Processed]]</f>
        <v>1</v>
      </c>
    </row>
    <row r="1132" spans="1:26">
      <c r="A1132" s="247" t="s">
        <v>467</v>
      </c>
      <c r="B1132" s="210" t="s">
        <v>68</v>
      </c>
      <c r="C1132" s="254" t="s">
        <v>1754</v>
      </c>
      <c r="D1132" s="255">
        <v>1212</v>
      </c>
      <c r="E1132" s="211" t="s">
        <v>1864</v>
      </c>
      <c r="F1132" s="212">
        <v>43538</v>
      </c>
      <c r="G1132" s="213">
        <v>2.68</v>
      </c>
      <c r="H1132" s="256">
        <v>618</v>
      </c>
      <c r="I1132" s="214">
        <v>1444680</v>
      </c>
      <c r="J1132" s="215">
        <v>21600</v>
      </c>
      <c r="K1132" s="212">
        <v>43587</v>
      </c>
      <c r="L1132" s="211" t="s">
        <v>1875</v>
      </c>
      <c r="M1132" s="216">
        <v>4615445946</v>
      </c>
      <c r="N1132" s="212">
        <v>43682</v>
      </c>
      <c r="O1132" s="217">
        <v>3.9611999999999998</v>
      </c>
      <c r="P1132" s="219"/>
      <c r="Q1132" s="34">
        <f>SUMIF(Allocation[Delivery ID],Allocation[[#This Row],[Delivery ID]],Allocation[Quantity Processed])</f>
        <v>3344</v>
      </c>
      <c r="R1132" s="61">
        <f>Allocation[[#This Row],[Total volume used]]/VLOOKUP(Allocation[[#This Row],[Delivery ID]],Delivery[[Delivery ID]:[Quantity delivered]],3,FALSE)</f>
        <v>0.64282968089196468</v>
      </c>
      <c r="S1132" s="34">
        <f>Allocation[[#This Row],[Quantity Processed]]/Allocation[[#This Row],[Dilution rate]]</f>
        <v>452.2388059701492</v>
      </c>
      <c r="T1132" s="59">
        <f>SUMIF(Allocation[Delivery ID],Allocation[[#This Row],[Delivery ID]],Allocation[Quantity allocated])/SUMIF(Allocation[Delivery ID],Allocation[[#This Row],[Delivery ID]],Allocation[Volume available (kg)])</f>
        <v>1.3609070366506135</v>
      </c>
      <c r="U1132" s="61">
        <f>Allocation[[#This Row],[Total volume used]]/VLOOKUP(Allocation[[#This Row],[Delivery ID]],Delivery[[Delivery ID]:[Quantity delivered]],3,FALSE)</f>
        <v>0.64282968089196468</v>
      </c>
      <c r="V1132" s="34" t="e">
        <f>VLOOKUP(Allocation[[#This Row],[SAP Contract number]],Shipments[[SAP Contract number]:[Contracted container weight]],2,FALSE)</f>
        <v>#N/A</v>
      </c>
      <c r="W1132" s="34" t="e">
        <f>VLOOKUP(Allocation[[#This Row],[SAP Contract number]],Shipments[[SAP Contract number]:[AAA Premium USD]],24,FALSE)</f>
        <v>#N/A</v>
      </c>
      <c r="X1132" s="34" t="e">
        <f>VLOOKUP(Allocation[[#This Row],[SAP Contract number]],Shipments[[SAP Contract number]:[RA Premium USD]],25,FALSE)</f>
        <v>#N/A</v>
      </c>
      <c r="Y1132" s="38">
        <f>Allocation[[#This Row],[Quantity Processed]]/Allocation[[#This Row],[Quantity allocated]]</f>
        <v>1.9611650485436893</v>
      </c>
      <c r="Z1132" s="34" t="b">
        <f>Allocation[[#This Row],[Quantity allocated]]&lt;=Allocation[[#This Row],[Quantity Processed]]</f>
        <v>1</v>
      </c>
    </row>
    <row r="1133" spans="1:26">
      <c r="A1133" s="247" t="s">
        <v>467</v>
      </c>
      <c r="B1133" s="210" t="s">
        <v>68</v>
      </c>
      <c r="C1133" s="254" t="s">
        <v>1756</v>
      </c>
      <c r="D1133" s="255">
        <v>5300</v>
      </c>
      <c r="E1133" s="211" t="s">
        <v>1864</v>
      </c>
      <c r="F1133" s="212">
        <v>43538</v>
      </c>
      <c r="G1133" s="213">
        <v>2.68</v>
      </c>
      <c r="H1133" s="256">
        <v>1749</v>
      </c>
      <c r="I1133" s="214">
        <v>1444680</v>
      </c>
      <c r="J1133" s="215">
        <v>21600</v>
      </c>
      <c r="K1133" s="212">
        <v>43587</v>
      </c>
      <c r="L1133" s="211" t="s">
        <v>1875</v>
      </c>
      <c r="M1133" s="216">
        <v>4615445946</v>
      </c>
      <c r="N1133" s="212">
        <v>43682</v>
      </c>
      <c r="O1133" s="217">
        <v>3.9611999999999998</v>
      </c>
      <c r="P1133" s="219"/>
      <c r="Q1133" s="34">
        <f>SUMIF(Allocation[Delivery ID],Allocation[[#This Row],[Delivery ID]],Allocation[Quantity Processed])</f>
        <v>24832</v>
      </c>
      <c r="R1133" s="61">
        <f>Allocation[[#This Row],[Total volume used]]/VLOOKUP(Allocation[[#This Row],[Delivery ID]],Delivery[[Delivery ID]:[Quantity delivered]],3,FALSE)</f>
        <v>1</v>
      </c>
      <c r="S1133" s="34">
        <f>Allocation[[#This Row],[Quantity Processed]]/Allocation[[#This Row],[Dilution rate]]</f>
        <v>1977.6119402985073</v>
      </c>
      <c r="T1133" s="59">
        <f>SUMIF(Allocation[Delivery ID],Allocation[[#This Row],[Delivery ID]],Allocation[Quantity allocated])/SUMIF(Allocation[Delivery ID],Allocation[[#This Row],[Delivery ID]],Allocation[Volume available (kg)])</f>
        <v>0.88486077980064393</v>
      </c>
      <c r="U1133" s="61">
        <f>Allocation[[#This Row],[Total volume used]]/VLOOKUP(Allocation[[#This Row],[Delivery ID]],Delivery[[Delivery ID]:[Quantity delivered]],3,FALSE)</f>
        <v>1</v>
      </c>
      <c r="V1133" s="34" t="e">
        <f>VLOOKUP(Allocation[[#This Row],[SAP Contract number]],Shipments[[SAP Contract number]:[Contracted container weight]],2,FALSE)</f>
        <v>#N/A</v>
      </c>
      <c r="W1133" s="34" t="e">
        <f>VLOOKUP(Allocation[[#This Row],[SAP Contract number]],Shipments[[SAP Contract number]:[AAA Premium USD]],24,FALSE)</f>
        <v>#N/A</v>
      </c>
      <c r="X1133" s="34" t="e">
        <f>VLOOKUP(Allocation[[#This Row],[SAP Contract number]],Shipments[[SAP Contract number]:[RA Premium USD]],25,FALSE)</f>
        <v>#N/A</v>
      </c>
      <c r="Y1133" s="38">
        <f>Allocation[[#This Row],[Quantity Processed]]/Allocation[[#This Row],[Quantity allocated]]</f>
        <v>3.0303030303030303</v>
      </c>
      <c r="Z1133" s="34" t="b">
        <f>Allocation[[#This Row],[Quantity allocated]]&lt;=Allocation[[#This Row],[Quantity Processed]]</f>
        <v>1</v>
      </c>
    </row>
    <row r="1134" spans="1:26">
      <c r="A1134" s="247" t="s">
        <v>467</v>
      </c>
      <c r="B1134" s="210" t="s">
        <v>68</v>
      </c>
      <c r="C1134" s="254" t="s">
        <v>1757</v>
      </c>
      <c r="D1134" s="255">
        <v>2176</v>
      </c>
      <c r="E1134" s="211" t="s">
        <v>1864</v>
      </c>
      <c r="F1134" s="212">
        <v>43538</v>
      </c>
      <c r="G1134" s="213">
        <v>2.68</v>
      </c>
      <c r="H1134" s="256">
        <v>718</v>
      </c>
      <c r="I1134" s="214">
        <v>1444680</v>
      </c>
      <c r="J1134" s="215">
        <v>21600</v>
      </c>
      <c r="K1134" s="212">
        <v>43587</v>
      </c>
      <c r="L1134" s="211" t="s">
        <v>1875</v>
      </c>
      <c r="M1134" s="216">
        <v>4615445946</v>
      </c>
      <c r="N1134" s="212">
        <v>43682</v>
      </c>
      <c r="O1134" s="217">
        <v>3.9611999999999998</v>
      </c>
      <c r="P1134" s="219"/>
      <c r="Q1134" s="34">
        <f>SUMIF(Allocation[Delivery ID],Allocation[[#This Row],[Delivery ID]],Allocation[Quantity Processed])</f>
        <v>10198</v>
      </c>
      <c r="R1134" s="61">
        <f>Allocation[[#This Row],[Total volume used]]/VLOOKUP(Allocation[[#This Row],[Delivery ID]],Delivery[[Delivery ID]:[Quantity delivered]],3,FALSE)</f>
        <v>1</v>
      </c>
      <c r="S1134" s="34">
        <f>Allocation[[#This Row],[Quantity Processed]]/Allocation[[#This Row],[Dilution rate]]</f>
        <v>811.94029850746267</v>
      </c>
      <c r="T1134" s="59">
        <f>SUMIF(Allocation[Delivery ID],Allocation[[#This Row],[Delivery ID]],Allocation[Quantity allocated])/SUMIF(Allocation[Delivery ID],Allocation[[#This Row],[Delivery ID]],Allocation[Volume available (kg)])</f>
        <v>0.88472504109400829</v>
      </c>
      <c r="U1134" s="61">
        <f>Allocation[[#This Row],[Total volume used]]/VLOOKUP(Allocation[[#This Row],[Delivery ID]],Delivery[[Delivery ID]:[Quantity delivered]],3,FALSE)</f>
        <v>1</v>
      </c>
      <c r="V1134" s="34" t="e">
        <f>VLOOKUP(Allocation[[#This Row],[SAP Contract number]],Shipments[[SAP Contract number]:[Contracted container weight]],2,FALSE)</f>
        <v>#N/A</v>
      </c>
      <c r="W1134" s="34" t="e">
        <f>VLOOKUP(Allocation[[#This Row],[SAP Contract number]],Shipments[[SAP Contract number]:[AAA Premium USD]],24,FALSE)</f>
        <v>#N/A</v>
      </c>
      <c r="X1134" s="34" t="e">
        <f>VLOOKUP(Allocation[[#This Row],[SAP Contract number]],Shipments[[SAP Contract number]:[RA Premium USD]],25,FALSE)</f>
        <v>#N/A</v>
      </c>
      <c r="Y1134" s="38">
        <f>Allocation[[#This Row],[Quantity Processed]]/Allocation[[#This Row],[Quantity allocated]]</f>
        <v>3.0306406685236769</v>
      </c>
      <c r="Z1134" s="34" t="b">
        <f>Allocation[[#This Row],[Quantity allocated]]&lt;=Allocation[[#This Row],[Quantity Processed]]</f>
        <v>1</v>
      </c>
    </row>
    <row r="1135" spans="1:26">
      <c r="A1135" s="247" t="s">
        <v>467</v>
      </c>
      <c r="B1135" s="210" t="s">
        <v>68</v>
      </c>
      <c r="C1135" s="254" t="s">
        <v>1763</v>
      </c>
      <c r="D1135" s="255">
        <v>3018</v>
      </c>
      <c r="E1135" s="211" t="s">
        <v>1864</v>
      </c>
      <c r="F1135" s="212">
        <v>43538</v>
      </c>
      <c r="G1135" s="213">
        <v>2.68</v>
      </c>
      <c r="H1135" s="256">
        <v>1539</v>
      </c>
      <c r="I1135" s="214">
        <v>1444680</v>
      </c>
      <c r="J1135" s="215">
        <v>21600</v>
      </c>
      <c r="K1135" s="212">
        <v>43587</v>
      </c>
      <c r="L1135" s="211" t="s">
        <v>1875</v>
      </c>
      <c r="M1135" s="216">
        <v>4615445946</v>
      </c>
      <c r="N1135" s="212">
        <v>43682</v>
      </c>
      <c r="O1135" s="217">
        <v>3.9611999999999998</v>
      </c>
      <c r="P1135" s="219"/>
      <c r="Q1135" s="34">
        <f>SUMIF(Allocation[Delivery ID],Allocation[[#This Row],[Delivery ID]],Allocation[Quantity Processed])</f>
        <v>31317</v>
      </c>
      <c r="R1135" s="61">
        <f>Allocation[[#This Row],[Total volume used]]/VLOOKUP(Allocation[[#This Row],[Delivery ID]],Delivery[[Delivery ID]:[Quantity delivered]],3,FALSE)</f>
        <v>0.81661016949152543</v>
      </c>
      <c r="S1135" s="34">
        <f>Allocation[[#This Row],[Quantity Processed]]/Allocation[[#This Row],[Dilution rate]]</f>
        <v>1126.1194029850747</v>
      </c>
      <c r="T1135" s="59">
        <f>SUMIF(Allocation[Delivery ID],Allocation[[#This Row],[Delivery ID]],Allocation[Quantity allocated])/SUMIF(Allocation[Delivery ID],Allocation[[#This Row],[Delivery ID]],Allocation[Volume available (kg)])</f>
        <v>1.3577237643313349</v>
      </c>
      <c r="U1135" s="61">
        <f>Allocation[[#This Row],[Total volume used]]/VLOOKUP(Allocation[[#This Row],[Delivery ID]],Delivery[[Delivery ID]:[Quantity delivered]],3,FALSE)</f>
        <v>0.81661016949152543</v>
      </c>
      <c r="V1135" s="34" t="e">
        <f>VLOOKUP(Allocation[[#This Row],[SAP Contract number]],Shipments[[SAP Contract number]:[Contracted container weight]],2,FALSE)</f>
        <v>#N/A</v>
      </c>
      <c r="W1135" s="34" t="e">
        <f>VLOOKUP(Allocation[[#This Row],[SAP Contract number]],Shipments[[SAP Contract number]:[AAA Premium USD]],24,FALSE)</f>
        <v>#N/A</v>
      </c>
      <c r="X1135" s="34" t="e">
        <f>VLOOKUP(Allocation[[#This Row],[SAP Contract number]],Shipments[[SAP Contract number]:[RA Premium USD]],25,FALSE)</f>
        <v>#N/A</v>
      </c>
      <c r="Y1135" s="38">
        <f>Allocation[[#This Row],[Quantity Processed]]/Allocation[[#This Row],[Quantity allocated]]</f>
        <v>1.9610136452241715</v>
      </c>
      <c r="Z1135" s="34" t="b">
        <f>Allocation[[#This Row],[Quantity allocated]]&lt;=Allocation[[#This Row],[Quantity Processed]]</f>
        <v>1</v>
      </c>
    </row>
    <row r="1136" spans="1:26">
      <c r="A1136" s="247" t="s">
        <v>467</v>
      </c>
      <c r="B1136" s="210" t="s">
        <v>68</v>
      </c>
      <c r="C1136" s="254" t="s">
        <v>1763</v>
      </c>
      <c r="D1136" s="255">
        <v>7766</v>
      </c>
      <c r="E1136" s="211" t="s">
        <v>1864</v>
      </c>
      <c r="F1136" s="212">
        <v>43538</v>
      </c>
      <c r="G1136" s="213">
        <v>2.68</v>
      </c>
      <c r="H1136" s="256">
        <v>3961</v>
      </c>
      <c r="I1136" s="214">
        <v>1444681</v>
      </c>
      <c r="J1136" s="215">
        <v>21600</v>
      </c>
      <c r="K1136" s="212">
        <v>43587</v>
      </c>
      <c r="L1136" s="211" t="s">
        <v>1876</v>
      </c>
      <c r="M1136" s="216">
        <v>4615445946</v>
      </c>
      <c r="N1136" s="212">
        <v>43682</v>
      </c>
      <c r="O1136" s="217">
        <v>3.9611999999999998</v>
      </c>
      <c r="P1136" s="219"/>
      <c r="Q1136" s="34">
        <f>SUMIF(Allocation[Delivery ID],Allocation[[#This Row],[Delivery ID]],Allocation[Quantity Processed])</f>
        <v>31317</v>
      </c>
      <c r="R1136" s="61">
        <f>Allocation[[#This Row],[Total volume used]]/VLOOKUP(Allocation[[#This Row],[Delivery ID]],Delivery[[Delivery ID]:[Quantity delivered]],3,FALSE)</f>
        <v>0.81661016949152543</v>
      </c>
      <c r="S1136" s="34">
        <f>Allocation[[#This Row],[Quantity Processed]]/Allocation[[#This Row],[Dilution rate]]</f>
        <v>2897.7611940298507</v>
      </c>
      <c r="T1136" s="59">
        <f>SUMIF(Allocation[Delivery ID],Allocation[[#This Row],[Delivery ID]],Allocation[Quantity allocated])/SUMIF(Allocation[Delivery ID],Allocation[[#This Row],[Delivery ID]],Allocation[Volume available (kg)])</f>
        <v>1.3577237643313349</v>
      </c>
      <c r="U1136" s="61">
        <f>Allocation[[#This Row],[Total volume used]]/VLOOKUP(Allocation[[#This Row],[Delivery ID]],Delivery[[Delivery ID]:[Quantity delivered]],3,FALSE)</f>
        <v>0.81661016949152543</v>
      </c>
      <c r="V1136" s="34" t="e">
        <f>VLOOKUP(Allocation[[#This Row],[SAP Contract number]],Shipments[[SAP Contract number]:[Contracted container weight]],2,FALSE)</f>
        <v>#N/A</v>
      </c>
      <c r="W1136" s="34" t="e">
        <f>VLOOKUP(Allocation[[#This Row],[SAP Contract number]],Shipments[[SAP Contract number]:[AAA Premium USD]],24,FALSE)</f>
        <v>#N/A</v>
      </c>
      <c r="X1136" s="34" t="e">
        <f>VLOOKUP(Allocation[[#This Row],[SAP Contract number]],Shipments[[SAP Contract number]:[RA Premium USD]],25,FALSE)</f>
        <v>#N/A</v>
      </c>
      <c r="Y1136" s="38">
        <f>Allocation[[#This Row],[Quantity Processed]]/Allocation[[#This Row],[Quantity allocated]]</f>
        <v>1.960616006059076</v>
      </c>
      <c r="Z1136" s="34" t="b">
        <f>Allocation[[#This Row],[Quantity allocated]]&lt;=Allocation[[#This Row],[Quantity Processed]]</f>
        <v>1</v>
      </c>
    </row>
    <row r="1137" spans="1:26">
      <c r="A1137" s="247" t="s">
        <v>467</v>
      </c>
      <c r="B1137" s="210" t="s">
        <v>68</v>
      </c>
      <c r="C1137" s="254" t="s">
        <v>1764</v>
      </c>
      <c r="D1137" s="255">
        <v>5563</v>
      </c>
      <c r="E1137" s="211" t="s">
        <v>1864</v>
      </c>
      <c r="F1137" s="212">
        <v>43538</v>
      </c>
      <c r="G1137" s="213">
        <v>2.68</v>
      </c>
      <c r="H1137" s="256">
        <v>2837</v>
      </c>
      <c r="I1137" s="214">
        <v>1444681</v>
      </c>
      <c r="J1137" s="215">
        <v>21600</v>
      </c>
      <c r="K1137" s="212">
        <v>43587</v>
      </c>
      <c r="L1137" s="211" t="s">
        <v>1876</v>
      </c>
      <c r="M1137" s="216">
        <v>4615445946</v>
      </c>
      <c r="N1137" s="212">
        <v>43682</v>
      </c>
      <c r="O1137" s="217">
        <v>3.9611999999999998</v>
      </c>
      <c r="P1137" s="219"/>
      <c r="Q1137" s="34">
        <f>SUMIF(Allocation[Delivery ID],Allocation[[#This Row],[Delivery ID]],Allocation[Quantity Processed])</f>
        <v>15363</v>
      </c>
      <c r="R1137" s="61">
        <f>Allocation[[#This Row],[Total volume used]]/VLOOKUP(Allocation[[#This Row],[Delivery ID]],Delivery[[Delivery ID]:[Quantity delivered]],3,FALSE)</f>
        <v>0.64334170854271355</v>
      </c>
      <c r="S1137" s="34">
        <f>Allocation[[#This Row],[Quantity Processed]]/Allocation[[#This Row],[Dilution rate]]</f>
        <v>2075.7462686567164</v>
      </c>
      <c r="T1137" s="59">
        <f>SUMIF(Allocation[Delivery ID],Allocation[[#This Row],[Delivery ID]],Allocation[Quantity allocated])/SUMIF(Allocation[Delivery ID],Allocation[[#This Row],[Delivery ID]],Allocation[Volume available (kg)])</f>
        <v>1.361250130896805</v>
      </c>
      <c r="U1137" s="61">
        <f>Allocation[[#This Row],[Total volume used]]/VLOOKUP(Allocation[[#This Row],[Delivery ID]],Delivery[[Delivery ID]:[Quantity delivered]],3,FALSE)</f>
        <v>0.64334170854271355</v>
      </c>
      <c r="V1137" s="34" t="e">
        <f>VLOOKUP(Allocation[[#This Row],[SAP Contract number]],Shipments[[SAP Contract number]:[Contracted container weight]],2,FALSE)</f>
        <v>#N/A</v>
      </c>
      <c r="W1137" s="34" t="e">
        <f>VLOOKUP(Allocation[[#This Row],[SAP Contract number]],Shipments[[SAP Contract number]:[AAA Premium USD]],24,FALSE)</f>
        <v>#N/A</v>
      </c>
      <c r="X1137" s="34" t="e">
        <f>VLOOKUP(Allocation[[#This Row],[SAP Contract number]],Shipments[[SAP Contract number]:[RA Premium USD]],25,FALSE)</f>
        <v>#N/A</v>
      </c>
      <c r="Y1137" s="38">
        <f>Allocation[[#This Row],[Quantity Processed]]/Allocation[[#This Row],[Quantity allocated]]</f>
        <v>1.960874162848079</v>
      </c>
      <c r="Z1137" s="34" t="b">
        <f>Allocation[[#This Row],[Quantity allocated]]&lt;=Allocation[[#This Row],[Quantity Processed]]</f>
        <v>1</v>
      </c>
    </row>
    <row r="1138" spans="1:26">
      <c r="A1138" s="247" t="s">
        <v>467</v>
      </c>
      <c r="B1138" s="210" t="s">
        <v>68</v>
      </c>
      <c r="C1138" s="254" t="s">
        <v>1765</v>
      </c>
      <c r="D1138" s="255">
        <v>1804</v>
      </c>
      <c r="E1138" s="211" t="s">
        <v>1864</v>
      </c>
      <c r="F1138" s="212">
        <v>43538</v>
      </c>
      <c r="G1138" s="213">
        <v>2.68</v>
      </c>
      <c r="H1138" s="256">
        <v>920</v>
      </c>
      <c r="I1138" s="214">
        <v>1444681</v>
      </c>
      <c r="J1138" s="215">
        <v>21600</v>
      </c>
      <c r="K1138" s="212">
        <v>43587</v>
      </c>
      <c r="L1138" s="211" t="s">
        <v>1876</v>
      </c>
      <c r="M1138" s="216">
        <v>4615445946</v>
      </c>
      <c r="N1138" s="212">
        <v>43682</v>
      </c>
      <c r="O1138" s="217">
        <v>3.9611999999999998</v>
      </c>
      <c r="P1138" s="219"/>
      <c r="Q1138" s="34">
        <f>SUMIF(Allocation[Delivery ID],Allocation[[#This Row],[Delivery ID]],Allocation[Quantity Processed])</f>
        <v>4978</v>
      </c>
      <c r="R1138" s="61">
        <f>Allocation[[#This Row],[Total volume used]]/VLOOKUP(Allocation[[#This Row],[Delivery ID]],Delivery[[Delivery ID]:[Quantity delivered]],3,FALSE)</f>
        <v>0.64315245478036176</v>
      </c>
      <c r="S1138" s="34">
        <f>Allocation[[#This Row],[Quantity Processed]]/Allocation[[#This Row],[Dilution rate]]</f>
        <v>673.1343283582089</v>
      </c>
      <c r="T1138" s="59">
        <f>SUMIF(Allocation[Delivery ID],Allocation[[#This Row],[Delivery ID]],Allocation[Quantity allocated])/SUMIF(Allocation[Delivery ID],Allocation[[#This Row],[Delivery ID]],Allocation[Volume available (kg)])</f>
        <v>1.3608642636697845</v>
      </c>
      <c r="U1138" s="61">
        <f>Allocation[[#This Row],[Total volume used]]/VLOOKUP(Allocation[[#This Row],[Delivery ID]],Delivery[[Delivery ID]:[Quantity delivered]],3,FALSE)</f>
        <v>0.64315245478036176</v>
      </c>
      <c r="V1138" s="34" t="e">
        <f>VLOOKUP(Allocation[[#This Row],[SAP Contract number]],Shipments[[SAP Contract number]:[Contracted container weight]],2,FALSE)</f>
        <v>#N/A</v>
      </c>
      <c r="W1138" s="34" t="e">
        <f>VLOOKUP(Allocation[[#This Row],[SAP Contract number]],Shipments[[SAP Contract number]:[AAA Premium USD]],24,FALSE)</f>
        <v>#N/A</v>
      </c>
      <c r="X1138" s="34" t="e">
        <f>VLOOKUP(Allocation[[#This Row],[SAP Contract number]],Shipments[[SAP Contract number]:[RA Premium USD]],25,FALSE)</f>
        <v>#N/A</v>
      </c>
      <c r="Y1138" s="38">
        <f>Allocation[[#This Row],[Quantity Processed]]/Allocation[[#This Row],[Quantity allocated]]</f>
        <v>1.9608695652173913</v>
      </c>
      <c r="Z1138" s="34" t="b">
        <f>Allocation[[#This Row],[Quantity allocated]]&lt;=Allocation[[#This Row],[Quantity Processed]]</f>
        <v>1</v>
      </c>
    </row>
    <row r="1139" spans="1:26">
      <c r="A1139" s="247" t="s">
        <v>467</v>
      </c>
      <c r="B1139" s="210" t="s">
        <v>68</v>
      </c>
      <c r="C1139" s="254" t="s">
        <v>1771</v>
      </c>
      <c r="D1139" s="255">
        <v>5857</v>
      </c>
      <c r="E1139" s="211" t="s">
        <v>1864</v>
      </c>
      <c r="F1139" s="212">
        <v>43538</v>
      </c>
      <c r="G1139" s="213">
        <v>2.68</v>
      </c>
      <c r="H1139" s="256">
        <v>2460</v>
      </c>
      <c r="I1139" s="214">
        <v>1444681</v>
      </c>
      <c r="J1139" s="215">
        <v>21600</v>
      </c>
      <c r="K1139" s="212">
        <v>43587</v>
      </c>
      <c r="L1139" s="211" t="s">
        <v>1876</v>
      </c>
      <c r="M1139" s="216">
        <v>4615445946</v>
      </c>
      <c r="N1139" s="212">
        <v>43682</v>
      </c>
      <c r="O1139" s="217">
        <v>3.9611999999999998</v>
      </c>
      <c r="P1139" s="219"/>
      <c r="Q1139" s="34">
        <f>SUMIF(Allocation[Delivery ID],Allocation[[#This Row],[Delivery ID]],Allocation[Quantity Processed])</f>
        <v>23824</v>
      </c>
      <c r="R1139" s="61">
        <f>Allocation[[#This Row],[Total volume used]]/VLOOKUP(Allocation[[#This Row],[Delivery ID]],Delivery[[Delivery ID]:[Quantity delivered]],3,FALSE)</f>
        <v>0.79413333333333336</v>
      </c>
      <c r="S1139" s="34">
        <f>Allocation[[#This Row],[Quantity Processed]]/Allocation[[#This Row],[Dilution rate]]</f>
        <v>2185.4477611940297</v>
      </c>
      <c r="T1139" s="59">
        <f>SUMIF(Allocation[Delivery ID],Allocation[[#This Row],[Delivery ID]],Allocation[Quantity allocated])/SUMIF(Allocation[Delivery ID],Allocation[[#This Row],[Delivery ID]],Allocation[Volume available (kg)])</f>
        <v>1.1190327187369244</v>
      </c>
      <c r="U1139" s="61">
        <f>Allocation[[#This Row],[Total volume used]]/VLOOKUP(Allocation[[#This Row],[Delivery ID]],Delivery[[Delivery ID]:[Quantity delivered]],3,FALSE)</f>
        <v>0.79413333333333336</v>
      </c>
      <c r="V1139" s="34" t="e">
        <f>VLOOKUP(Allocation[[#This Row],[SAP Contract number]],Shipments[[SAP Contract number]:[Contracted container weight]],2,FALSE)</f>
        <v>#N/A</v>
      </c>
      <c r="W1139" s="34" t="e">
        <f>VLOOKUP(Allocation[[#This Row],[SAP Contract number]],Shipments[[SAP Contract number]:[AAA Premium USD]],24,FALSE)</f>
        <v>#N/A</v>
      </c>
      <c r="X1139" s="34" t="e">
        <f>VLOOKUP(Allocation[[#This Row],[SAP Contract number]],Shipments[[SAP Contract number]:[RA Premium USD]],25,FALSE)</f>
        <v>#N/A</v>
      </c>
      <c r="Y1139" s="38">
        <f>Allocation[[#This Row],[Quantity Processed]]/Allocation[[#This Row],[Quantity allocated]]</f>
        <v>2.3808943089430894</v>
      </c>
      <c r="Z1139" s="34" t="b">
        <f>Allocation[[#This Row],[Quantity allocated]]&lt;=Allocation[[#This Row],[Quantity Processed]]</f>
        <v>1</v>
      </c>
    </row>
    <row r="1140" spans="1:26">
      <c r="A1140" s="247" t="s">
        <v>467</v>
      </c>
      <c r="B1140" s="210" t="s">
        <v>68</v>
      </c>
      <c r="C1140" s="254" t="s">
        <v>1772</v>
      </c>
      <c r="D1140" s="255">
        <v>6409</v>
      </c>
      <c r="E1140" s="211" t="s">
        <v>1864</v>
      </c>
      <c r="F1140" s="212">
        <v>43538</v>
      </c>
      <c r="G1140" s="213">
        <v>2.68</v>
      </c>
      <c r="H1140" s="256">
        <v>2116</v>
      </c>
      <c r="I1140" s="214">
        <v>1444681</v>
      </c>
      <c r="J1140" s="215">
        <v>21600</v>
      </c>
      <c r="K1140" s="212">
        <v>43587</v>
      </c>
      <c r="L1140" s="211" t="s">
        <v>1876</v>
      </c>
      <c r="M1140" s="216">
        <v>4615445946</v>
      </c>
      <c r="N1140" s="212">
        <v>43682</v>
      </c>
      <c r="O1140" s="217">
        <v>3.9611999999999998</v>
      </c>
      <c r="P1140" s="219"/>
      <c r="Q1140" s="34">
        <f>SUMIF(Allocation[Delivery ID],Allocation[[#This Row],[Delivery ID]],Allocation[Quantity Processed])</f>
        <v>30030</v>
      </c>
      <c r="R1140" s="61">
        <f>Allocation[[#This Row],[Total volume used]]/VLOOKUP(Allocation[[#This Row],[Delivery ID]],Delivery[[Delivery ID]:[Quantity delivered]],3,FALSE)</f>
        <v>1</v>
      </c>
      <c r="S1140" s="34">
        <f>Allocation[[#This Row],[Quantity Processed]]/Allocation[[#This Row],[Dilution rate]]</f>
        <v>2391.4179104477612</v>
      </c>
      <c r="T1140" s="59">
        <f>SUMIF(Allocation[Delivery ID],Allocation[[#This Row],[Delivery ID]],Allocation[Quantity allocated])/SUMIF(Allocation[Delivery ID],Allocation[[#This Row],[Delivery ID]],Allocation[Volume available (kg)])</f>
        <v>0.88086353858640154</v>
      </c>
      <c r="U1140" s="61">
        <f>Allocation[[#This Row],[Total volume used]]/VLOOKUP(Allocation[[#This Row],[Delivery ID]],Delivery[[Delivery ID]:[Quantity delivered]],3,FALSE)</f>
        <v>1</v>
      </c>
      <c r="V1140" s="34" t="e">
        <f>VLOOKUP(Allocation[[#This Row],[SAP Contract number]],Shipments[[SAP Contract number]:[Contracted container weight]],2,FALSE)</f>
        <v>#N/A</v>
      </c>
      <c r="W1140" s="34" t="e">
        <f>VLOOKUP(Allocation[[#This Row],[SAP Contract number]],Shipments[[SAP Contract number]:[AAA Premium USD]],24,FALSE)</f>
        <v>#N/A</v>
      </c>
      <c r="X1140" s="34" t="e">
        <f>VLOOKUP(Allocation[[#This Row],[SAP Contract number]],Shipments[[SAP Contract number]:[RA Premium USD]],25,FALSE)</f>
        <v>#N/A</v>
      </c>
      <c r="Y1140" s="38">
        <f>Allocation[[#This Row],[Quantity Processed]]/Allocation[[#This Row],[Quantity allocated]]</f>
        <v>3.0288279773156899</v>
      </c>
      <c r="Z1140" s="34" t="b">
        <f>Allocation[[#This Row],[Quantity allocated]]&lt;=Allocation[[#This Row],[Quantity Processed]]</f>
        <v>1</v>
      </c>
    </row>
    <row r="1141" spans="1:26">
      <c r="A1141" s="247" t="s">
        <v>467</v>
      </c>
      <c r="B1141" s="210" t="s">
        <v>68</v>
      </c>
      <c r="C1141" s="254" t="s">
        <v>1775</v>
      </c>
      <c r="D1141" s="255">
        <v>4727</v>
      </c>
      <c r="E1141" s="211" t="s">
        <v>1864</v>
      </c>
      <c r="F1141" s="212">
        <v>43538</v>
      </c>
      <c r="G1141" s="213">
        <v>2.68</v>
      </c>
      <c r="H1141" s="256">
        <v>1562</v>
      </c>
      <c r="I1141" s="214">
        <v>1444681</v>
      </c>
      <c r="J1141" s="215">
        <v>21600</v>
      </c>
      <c r="K1141" s="212">
        <v>43587</v>
      </c>
      <c r="L1141" s="211" t="s">
        <v>1876</v>
      </c>
      <c r="M1141" s="216">
        <v>4615445946</v>
      </c>
      <c r="N1141" s="212">
        <v>43682</v>
      </c>
      <c r="O1141" s="217">
        <v>3.9611999999999998</v>
      </c>
      <c r="P1141" s="219"/>
      <c r="Q1141" s="34">
        <f>SUMIF(Allocation[Delivery ID],Allocation[[#This Row],[Delivery ID]],Allocation[Quantity Processed])</f>
        <v>12500</v>
      </c>
      <c r="R1141" s="61">
        <f>Allocation[[#This Row],[Total volume used]]/VLOOKUP(Allocation[[#This Row],[Delivery ID]],Delivery[[Delivery ID]:[Quantity delivered]],3,FALSE)</f>
        <v>1</v>
      </c>
      <c r="S1141" s="34">
        <f>Allocation[[#This Row],[Quantity Processed]]/Allocation[[#This Row],[Dilution rate]]</f>
        <v>1763.8059701492537</v>
      </c>
      <c r="T1141" s="59">
        <f>SUMIF(Allocation[Delivery ID],Allocation[[#This Row],[Delivery ID]],Allocation[Quantity allocated])/SUMIF(Allocation[Delivery ID],Allocation[[#This Row],[Delivery ID]],Allocation[Volume available (kg)])</f>
        <v>0.88416581912199721</v>
      </c>
      <c r="U1141" s="61">
        <f>Allocation[[#This Row],[Total volume used]]/VLOOKUP(Allocation[[#This Row],[Delivery ID]],Delivery[[Delivery ID]:[Quantity delivered]],3,FALSE)</f>
        <v>1</v>
      </c>
      <c r="V1141" s="34" t="e">
        <f>VLOOKUP(Allocation[[#This Row],[SAP Contract number]],Shipments[[SAP Contract number]:[Contracted container weight]],2,FALSE)</f>
        <v>#N/A</v>
      </c>
      <c r="W1141" s="34" t="e">
        <f>VLOOKUP(Allocation[[#This Row],[SAP Contract number]],Shipments[[SAP Contract number]:[AAA Premium USD]],24,FALSE)</f>
        <v>#N/A</v>
      </c>
      <c r="X1141" s="34" t="e">
        <f>VLOOKUP(Allocation[[#This Row],[SAP Contract number]],Shipments[[SAP Contract number]:[RA Premium USD]],25,FALSE)</f>
        <v>#N/A</v>
      </c>
      <c r="Y1141" s="38">
        <f>Allocation[[#This Row],[Quantity Processed]]/Allocation[[#This Row],[Quantity allocated]]</f>
        <v>3.026248399487836</v>
      </c>
      <c r="Z1141" s="34" t="b">
        <f>Allocation[[#This Row],[Quantity allocated]]&lt;=Allocation[[#This Row],[Quantity Processed]]</f>
        <v>1</v>
      </c>
    </row>
    <row r="1142" spans="1:26">
      <c r="A1142" s="247" t="s">
        <v>467</v>
      </c>
      <c r="B1142" s="210" t="s">
        <v>68</v>
      </c>
      <c r="C1142" s="254" t="s">
        <v>1781</v>
      </c>
      <c r="D1142" s="255">
        <v>6800</v>
      </c>
      <c r="E1142" s="211" t="s">
        <v>1864</v>
      </c>
      <c r="F1142" s="212">
        <v>43538</v>
      </c>
      <c r="G1142" s="213">
        <v>2.68</v>
      </c>
      <c r="H1142" s="256">
        <v>2041</v>
      </c>
      <c r="I1142" s="214">
        <v>1444681</v>
      </c>
      <c r="J1142" s="215">
        <v>21600</v>
      </c>
      <c r="K1142" s="212">
        <v>43587</v>
      </c>
      <c r="L1142" s="211" t="s">
        <v>1876</v>
      </c>
      <c r="M1142" s="216">
        <v>4615445946</v>
      </c>
      <c r="N1142" s="212">
        <v>43682</v>
      </c>
      <c r="O1142" s="217">
        <v>3.9611999999999998</v>
      </c>
      <c r="P1142" s="219"/>
      <c r="Q1142" s="34">
        <f>SUMIF(Allocation[Delivery ID],Allocation[[#This Row],[Delivery ID]],Allocation[Quantity Processed])</f>
        <v>19270</v>
      </c>
      <c r="R1142" s="61">
        <f>Allocation[[#This Row],[Total volume used]]/VLOOKUP(Allocation[[#This Row],[Delivery ID]],Delivery[[Delivery ID]:[Quantity delivered]],3,FALSE)</f>
        <v>1</v>
      </c>
      <c r="S1142" s="34">
        <f>Allocation[[#This Row],[Quantity Processed]]/Allocation[[#This Row],[Dilution rate]]</f>
        <v>2537.3134328358205</v>
      </c>
      <c r="T1142" s="59">
        <f>SUMIF(Allocation[Delivery ID],Allocation[[#This Row],[Delivery ID]],Allocation[Quantity allocated])/SUMIF(Allocation[Delivery ID],Allocation[[#This Row],[Delivery ID]],Allocation[Volume available (kg)])</f>
        <v>0.82062104172936123</v>
      </c>
      <c r="U1142" s="61">
        <f>Allocation[[#This Row],[Total volume used]]/VLOOKUP(Allocation[[#This Row],[Delivery ID]],Delivery[[Delivery ID]:[Quantity delivered]],3,FALSE)</f>
        <v>1</v>
      </c>
      <c r="V1142" s="34" t="e">
        <f>VLOOKUP(Allocation[[#This Row],[SAP Contract number]],Shipments[[SAP Contract number]:[Contracted container weight]],2,FALSE)</f>
        <v>#N/A</v>
      </c>
      <c r="W1142" s="34" t="e">
        <f>VLOOKUP(Allocation[[#This Row],[SAP Contract number]],Shipments[[SAP Contract number]:[AAA Premium USD]],24,FALSE)</f>
        <v>#N/A</v>
      </c>
      <c r="X1142" s="34" t="e">
        <f>VLOOKUP(Allocation[[#This Row],[SAP Contract number]],Shipments[[SAP Contract number]:[RA Premium USD]],25,FALSE)</f>
        <v>#N/A</v>
      </c>
      <c r="Y1142" s="38">
        <f>Allocation[[#This Row],[Quantity Processed]]/Allocation[[#This Row],[Quantity allocated]]</f>
        <v>3.3317001469867713</v>
      </c>
      <c r="Z1142" s="34" t="b">
        <f>Allocation[[#This Row],[Quantity allocated]]&lt;=Allocation[[#This Row],[Quantity Processed]]</f>
        <v>1</v>
      </c>
    </row>
    <row r="1143" spans="1:26">
      <c r="A1143" s="247" t="s">
        <v>467</v>
      </c>
      <c r="B1143" s="210" t="s">
        <v>68</v>
      </c>
      <c r="C1143" s="254" t="s">
        <v>1786</v>
      </c>
      <c r="D1143" s="255">
        <v>6900</v>
      </c>
      <c r="E1143" s="211" t="s">
        <v>1864</v>
      </c>
      <c r="F1143" s="212">
        <v>43538</v>
      </c>
      <c r="G1143" s="213">
        <v>2.68</v>
      </c>
      <c r="H1143" s="256">
        <v>2762</v>
      </c>
      <c r="I1143" s="214">
        <v>1444681</v>
      </c>
      <c r="J1143" s="215">
        <v>21600</v>
      </c>
      <c r="K1143" s="212">
        <v>43587</v>
      </c>
      <c r="L1143" s="211" t="s">
        <v>1876</v>
      </c>
      <c r="M1143" s="216">
        <v>4615445946</v>
      </c>
      <c r="N1143" s="212">
        <v>43682</v>
      </c>
      <c r="O1143" s="217">
        <v>3.9611999999999998</v>
      </c>
      <c r="P1143" s="219"/>
      <c r="Q1143" s="34">
        <f>SUMIF(Allocation[Delivery ID],Allocation[[#This Row],[Delivery ID]],Allocation[Quantity Processed])</f>
        <v>29990</v>
      </c>
      <c r="R1143" s="61">
        <f>Allocation[[#This Row],[Total volume used]]/VLOOKUP(Allocation[[#This Row],[Delivery ID]],Delivery[[Delivery ID]:[Quantity delivered]],3,FALSE)</f>
        <v>1</v>
      </c>
      <c r="S1143" s="34">
        <f>Allocation[[#This Row],[Quantity Processed]]/Allocation[[#This Row],[Dilution rate]]</f>
        <v>2574.6268656716416</v>
      </c>
      <c r="T1143" s="59">
        <f>SUMIF(Allocation[Delivery ID],Allocation[[#This Row],[Delivery ID]],Allocation[Quantity allocated])/SUMIF(Allocation[Delivery ID],Allocation[[#This Row],[Delivery ID]],Allocation[Volume available (kg)])</f>
        <v>1.0694064813765132</v>
      </c>
      <c r="U1143" s="61">
        <f>Allocation[[#This Row],[Total volume used]]/VLOOKUP(Allocation[[#This Row],[Delivery ID]],Delivery[[Delivery ID]:[Quantity delivered]],3,FALSE)</f>
        <v>1</v>
      </c>
      <c r="V1143" s="34" t="e">
        <f>VLOOKUP(Allocation[[#This Row],[SAP Contract number]],Shipments[[SAP Contract number]:[Contracted container weight]],2,FALSE)</f>
        <v>#N/A</v>
      </c>
      <c r="W1143" s="34" t="e">
        <f>VLOOKUP(Allocation[[#This Row],[SAP Contract number]],Shipments[[SAP Contract number]:[AAA Premium USD]],24,FALSE)</f>
        <v>#N/A</v>
      </c>
      <c r="X1143" s="34" t="e">
        <f>VLOOKUP(Allocation[[#This Row],[SAP Contract number]],Shipments[[SAP Contract number]:[RA Premium USD]],25,FALSE)</f>
        <v>#N/A</v>
      </c>
      <c r="Y1143" s="38">
        <f>Allocation[[#This Row],[Quantity Processed]]/Allocation[[#This Row],[Quantity allocated]]</f>
        <v>2.4981897175959449</v>
      </c>
      <c r="Z1143" s="34" t="b">
        <f>Allocation[[#This Row],[Quantity allocated]]&lt;=Allocation[[#This Row],[Quantity Processed]]</f>
        <v>1</v>
      </c>
    </row>
    <row r="1144" spans="1:26">
      <c r="A1144" s="247" t="s">
        <v>467</v>
      </c>
      <c r="B1144" s="210" t="s">
        <v>68</v>
      </c>
      <c r="C1144" s="254" t="s">
        <v>1826</v>
      </c>
      <c r="D1144" s="255">
        <v>7171</v>
      </c>
      <c r="E1144" s="211" t="s">
        <v>1864</v>
      </c>
      <c r="F1144" s="212">
        <v>43538</v>
      </c>
      <c r="G1144" s="213">
        <v>2.68</v>
      </c>
      <c r="H1144" s="256">
        <v>2941</v>
      </c>
      <c r="I1144" s="214">
        <v>1444681</v>
      </c>
      <c r="J1144" s="215">
        <v>21600</v>
      </c>
      <c r="K1144" s="212">
        <v>43587</v>
      </c>
      <c r="L1144" s="211" t="s">
        <v>1876</v>
      </c>
      <c r="M1144" s="216">
        <v>4615445946</v>
      </c>
      <c r="N1144" s="212">
        <v>43682</v>
      </c>
      <c r="O1144" s="217">
        <v>3.9611999999999998</v>
      </c>
      <c r="P1144" s="219"/>
      <c r="Q1144" s="34">
        <f>SUMIF(Allocation[Delivery ID],Allocation[[#This Row],[Delivery ID]],Allocation[Quantity Processed])</f>
        <v>32480</v>
      </c>
      <c r="R1144" s="61">
        <f>Allocation[[#This Row],[Total volume used]]/VLOOKUP(Allocation[[#This Row],[Delivery ID]],Delivery[[Delivery ID]:[Quantity delivered]],3,FALSE)</f>
        <v>1</v>
      </c>
      <c r="S1144" s="34">
        <f>Allocation[[#This Row],[Quantity Processed]]/Allocation[[#This Row],[Dilution rate]]</f>
        <v>2675.7462686567164</v>
      </c>
      <c r="T1144" s="59">
        <f>SUMIF(Allocation[Delivery ID],Allocation[[#This Row],[Delivery ID]],Allocation[Quantity allocated])/SUMIF(Allocation[Delivery ID],Allocation[[#This Row],[Delivery ID]],Allocation[Volume available (kg)])</f>
        <v>1.0959933064695457</v>
      </c>
      <c r="U1144" s="61">
        <f>Allocation[[#This Row],[Total volume used]]/VLOOKUP(Allocation[[#This Row],[Delivery ID]],Delivery[[Delivery ID]:[Quantity delivered]],3,FALSE)</f>
        <v>1</v>
      </c>
      <c r="V1144" s="34" t="e">
        <f>VLOOKUP(Allocation[[#This Row],[SAP Contract number]],Shipments[[SAP Contract number]:[Contracted container weight]],2,FALSE)</f>
        <v>#N/A</v>
      </c>
      <c r="W1144" s="34" t="e">
        <f>VLOOKUP(Allocation[[#This Row],[SAP Contract number]],Shipments[[SAP Contract number]:[AAA Premium USD]],24,FALSE)</f>
        <v>#N/A</v>
      </c>
      <c r="X1144" s="34" t="e">
        <f>VLOOKUP(Allocation[[#This Row],[SAP Contract number]],Shipments[[SAP Contract number]:[RA Premium USD]],25,FALSE)</f>
        <v>#N/A</v>
      </c>
      <c r="Y1144" s="38">
        <f>Allocation[[#This Row],[Quantity Processed]]/Allocation[[#This Row],[Quantity allocated]]</f>
        <v>2.4382862971778305</v>
      </c>
      <c r="Z1144" s="34" t="b">
        <f>Allocation[[#This Row],[Quantity allocated]]&lt;=Allocation[[#This Row],[Quantity Processed]]</f>
        <v>1</v>
      </c>
    </row>
    <row r="1145" spans="1:26">
      <c r="A1145" s="247" t="s">
        <v>467</v>
      </c>
      <c r="B1145" s="210" t="s">
        <v>68</v>
      </c>
      <c r="C1145" s="254" t="s">
        <v>1345</v>
      </c>
      <c r="D1145" s="255">
        <v>2783</v>
      </c>
      <c r="E1145" s="211" t="s">
        <v>1877</v>
      </c>
      <c r="F1145" s="212">
        <v>43544</v>
      </c>
      <c r="G1145" s="213">
        <v>2.7</v>
      </c>
      <c r="H1145" s="256">
        <v>835</v>
      </c>
      <c r="I1145" s="214">
        <v>1446434</v>
      </c>
      <c r="J1145" s="215">
        <v>21600</v>
      </c>
      <c r="K1145" s="212">
        <v>43587</v>
      </c>
      <c r="L1145" s="211" t="s">
        <v>1878</v>
      </c>
      <c r="M1145" s="216">
        <v>4615445946</v>
      </c>
      <c r="N1145" s="212">
        <v>43682</v>
      </c>
      <c r="O1145" s="217">
        <v>3.9611999999999998</v>
      </c>
      <c r="P1145" s="219"/>
      <c r="Q1145" s="34">
        <f>SUMIF(Allocation[Delivery ID],Allocation[[#This Row],[Delivery ID]],Allocation[Quantity Processed])</f>
        <v>8100</v>
      </c>
      <c r="R1145" s="61">
        <f>Allocation[[#This Row],[Total volume used]]/VLOOKUP(Allocation[[#This Row],[Delivery ID]],Delivery[[Delivery ID]:[Quantity delivered]],3,FALSE)</f>
        <v>0.89601769911504425</v>
      </c>
      <c r="S1145" s="34">
        <f>Allocation[[#This Row],[Quantity Processed]]/Allocation[[#This Row],[Dilution rate]]</f>
        <v>1030.7407407407406</v>
      </c>
      <c r="T1145" s="59">
        <f>SUMIF(Allocation[Delivery ID],Allocation[[#This Row],[Delivery ID]],Allocation[Quantity allocated])/SUMIF(Allocation[Delivery ID],Allocation[[#This Row],[Delivery ID]],Allocation[Volume available (kg)])</f>
        <v>0.79998733534744815</v>
      </c>
      <c r="U1145" s="61">
        <f>Allocation[[#This Row],[Total volume used]]/VLOOKUP(Allocation[[#This Row],[Delivery ID]],Delivery[[Delivery ID]:[Quantity delivered]],3,FALSE)</f>
        <v>0.89601769911504425</v>
      </c>
      <c r="V1145" s="34" t="e">
        <f>VLOOKUP(Allocation[[#This Row],[SAP Contract number]],Shipments[[SAP Contract number]:[Contracted container weight]],2,FALSE)</f>
        <v>#N/A</v>
      </c>
      <c r="W1145" s="34" t="e">
        <f>VLOOKUP(Allocation[[#This Row],[SAP Contract number]],Shipments[[SAP Contract number]:[AAA Premium USD]],24,FALSE)</f>
        <v>#N/A</v>
      </c>
      <c r="X1145" s="34" t="e">
        <f>VLOOKUP(Allocation[[#This Row],[SAP Contract number]],Shipments[[SAP Contract number]:[RA Premium USD]],25,FALSE)</f>
        <v>#N/A</v>
      </c>
      <c r="Y1145" s="38">
        <f>Allocation[[#This Row],[Quantity Processed]]/Allocation[[#This Row],[Quantity allocated]]</f>
        <v>3.3329341317365269</v>
      </c>
      <c r="Z1145" s="34" t="b">
        <f>Allocation[[#This Row],[Quantity allocated]]&lt;=Allocation[[#This Row],[Quantity Processed]]</f>
        <v>1</v>
      </c>
    </row>
    <row r="1146" spans="1:26">
      <c r="A1146" s="247" t="s">
        <v>467</v>
      </c>
      <c r="B1146" s="210" t="s">
        <v>68</v>
      </c>
      <c r="C1146" s="254" t="s">
        <v>1347</v>
      </c>
      <c r="D1146" s="255">
        <v>2388</v>
      </c>
      <c r="E1146" s="211" t="s">
        <v>1877</v>
      </c>
      <c r="F1146" s="212">
        <v>43544</v>
      </c>
      <c r="G1146" s="213">
        <v>2.7</v>
      </c>
      <c r="H1146" s="256">
        <v>788</v>
      </c>
      <c r="I1146" s="214">
        <v>1446434</v>
      </c>
      <c r="J1146" s="215">
        <v>21600</v>
      </c>
      <c r="K1146" s="212">
        <v>43587</v>
      </c>
      <c r="L1146" s="211" t="s">
        <v>1878</v>
      </c>
      <c r="M1146" s="216">
        <v>4615445946</v>
      </c>
      <c r="N1146" s="212">
        <v>43682</v>
      </c>
      <c r="O1146" s="217">
        <v>3.9611999999999998</v>
      </c>
      <c r="P1146" s="219"/>
      <c r="Q1146" s="34">
        <f>SUMIF(Allocation[Delivery ID],Allocation[[#This Row],[Delivery ID]],Allocation[Quantity Processed])</f>
        <v>6949</v>
      </c>
      <c r="R1146" s="61">
        <f>Allocation[[#This Row],[Total volume used]]/VLOOKUP(Allocation[[#This Row],[Delivery ID]],Delivery[[Delivery ID]:[Quantity delivered]],3,FALSE)</f>
        <v>0.81274853801169589</v>
      </c>
      <c r="S1146" s="34">
        <f>Allocation[[#This Row],[Quantity Processed]]/Allocation[[#This Row],[Dilution rate]]</f>
        <v>884.44444444444434</v>
      </c>
      <c r="T1146" s="59">
        <f>SUMIF(Allocation[Delivery ID],Allocation[[#This Row],[Delivery ID]],Allocation[Quantity allocated])/SUMIF(Allocation[Delivery ID],Allocation[[#This Row],[Delivery ID]],Allocation[Volume available (kg)])</f>
        <v>0.87992200140259735</v>
      </c>
      <c r="U1146" s="61">
        <f>Allocation[[#This Row],[Total volume used]]/VLOOKUP(Allocation[[#This Row],[Delivery ID]],Delivery[[Delivery ID]:[Quantity delivered]],3,FALSE)</f>
        <v>0.81274853801169589</v>
      </c>
      <c r="V1146" s="34" t="e">
        <f>VLOOKUP(Allocation[[#This Row],[SAP Contract number]],Shipments[[SAP Contract number]:[Contracted container weight]],2,FALSE)</f>
        <v>#N/A</v>
      </c>
      <c r="W1146" s="34" t="e">
        <f>VLOOKUP(Allocation[[#This Row],[SAP Contract number]],Shipments[[SAP Contract number]:[AAA Premium USD]],24,FALSE)</f>
        <v>#N/A</v>
      </c>
      <c r="X1146" s="34" t="e">
        <f>VLOOKUP(Allocation[[#This Row],[SAP Contract number]],Shipments[[SAP Contract number]:[RA Premium USD]],25,FALSE)</f>
        <v>#N/A</v>
      </c>
      <c r="Y1146" s="38">
        <f>Allocation[[#This Row],[Quantity Processed]]/Allocation[[#This Row],[Quantity allocated]]</f>
        <v>3.030456852791878</v>
      </c>
      <c r="Z1146" s="34" t="b">
        <f>Allocation[[#This Row],[Quantity allocated]]&lt;=Allocation[[#This Row],[Quantity Processed]]</f>
        <v>1</v>
      </c>
    </row>
    <row r="1147" spans="1:26">
      <c r="A1147" s="247" t="s">
        <v>467</v>
      </c>
      <c r="B1147" s="210" t="s">
        <v>68</v>
      </c>
      <c r="C1147" s="254" t="s">
        <v>1349</v>
      </c>
      <c r="D1147" s="255">
        <v>3333</v>
      </c>
      <c r="E1147" s="211" t="s">
        <v>1877</v>
      </c>
      <c r="F1147" s="212">
        <v>43544</v>
      </c>
      <c r="G1147" s="213">
        <v>2.7</v>
      </c>
      <c r="H1147" s="256">
        <v>1000</v>
      </c>
      <c r="I1147" s="214">
        <v>1446434</v>
      </c>
      <c r="J1147" s="215">
        <v>21600</v>
      </c>
      <c r="K1147" s="212">
        <v>43587</v>
      </c>
      <c r="L1147" s="211" t="s">
        <v>1878</v>
      </c>
      <c r="M1147" s="216">
        <v>4615445946</v>
      </c>
      <c r="N1147" s="212">
        <v>43682</v>
      </c>
      <c r="O1147" s="217">
        <v>3.9611999999999998</v>
      </c>
      <c r="P1147" s="219"/>
      <c r="Q1147" s="34">
        <f>SUMIF(Allocation[Delivery ID],Allocation[[#This Row],[Delivery ID]],Allocation[Quantity Processed])</f>
        <v>9307</v>
      </c>
      <c r="R1147" s="61">
        <f>Allocation[[#This Row],[Total volume used]]/VLOOKUP(Allocation[[#This Row],[Delivery ID]],Delivery[[Delivery ID]:[Quantity delivered]],3,FALSE)</f>
        <v>0.56406060606060604</v>
      </c>
      <c r="S1147" s="34">
        <f>Allocation[[#This Row],[Quantity Processed]]/Allocation[[#This Row],[Dilution rate]]</f>
        <v>1234.4444444444443</v>
      </c>
      <c r="T1147" s="59">
        <f>SUMIF(Allocation[Delivery ID],Allocation[[#This Row],[Delivery ID]],Allocation[Quantity allocated])/SUMIF(Allocation[Delivery ID],Allocation[[#This Row],[Delivery ID]],Allocation[Volume available (kg)])</f>
        <v>0.80062990717625149</v>
      </c>
      <c r="U1147" s="61">
        <f>Allocation[[#This Row],[Total volume used]]/VLOOKUP(Allocation[[#This Row],[Delivery ID]],Delivery[[Delivery ID]:[Quantity delivered]],3,FALSE)</f>
        <v>0.56406060606060604</v>
      </c>
      <c r="V1147" s="34" t="e">
        <f>VLOOKUP(Allocation[[#This Row],[SAP Contract number]],Shipments[[SAP Contract number]:[Contracted container weight]],2,FALSE)</f>
        <v>#N/A</v>
      </c>
      <c r="W1147" s="34" t="e">
        <f>VLOOKUP(Allocation[[#This Row],[SAP Contract number]],Shipments[[SAP Contract number]:[AAA Premium USD]],24,FALSE)</f>
        <v>#N/A</v>
      </c>
      <c r="X1147" s="34" t="e">
        <f>VLOOKUP(Allocation[[#This Row],[SAP Contract number]],Shipments[[SAP Contract number]:[RA Premium USD]],25,FALSE)</f>
        <v>#N/A</v>
      </c>
      <c r="Y1147" s="38">
        <f>Allocation[[#This Row],[Quantity Processed]]/Allocation[[#This Row],[Quantity allocated]]</f>
        <v>3.3330000000000002</v>
      </c>
      <c r="Z1147" s="34" t="b">
        <f>Allocation[[#This Row],[Quantity allocated]]&lt;=Allocation[[#This Row],[Quantity Processed]]</f>
        <v>1</v>
      </c>
    </row>
    <row r="1148" spans="1:26">
      <c r="A1148" s="247" t="s">
        <v>467</v>
      </c>
      <c r="B1148" s="210" t="s">
        <v>68</v>
      </c>
      <c r="C1148" s="254" t="s">
        <v>1351</v>
      </c>
      <c r="D1148" s="255">
        <v>2437</v>
      </c>
      <c r="E1148" s="211" t="s">
        <v>1877</v>
      </c>
      <c r="F1148" s="212">
        <v>43544</v>
      </c>
      <c r="G1148" s="213">
        <v>2.7</v>
      </c>
      <c r="H1148" s="256">
        <v>731</v>
      </c>
      <c r="I1148" s="214">
        <v>1446434</v>
      </c>
      <c r="J1148" s="215">
        <v>21600</v>
      </c>
      <c r="K1148" s="212">
        <v>43587</v>
      </c>
      <c r="L1148" s="211" t="s">
        <v>1878</v>
      </c>
      <c r="M1148" s="216">
        <v>4615445946</v>
      </c>
      <c r="N1148" s="212">
        <v>43682</v>
      </c>
      <c r="O1148" s="217">
        <v>3.9611999999999998</v>
      </c>
      <c r="P1148" s="219"/>
      <c r="Q1148" s="34">
        <f>SUMIF(Allocation[Delivery ID],Allocation[[#This Row],[Delivery ID]],Allocation[Quantity Processed])</f>
        <v>6801</v>
      </c>
      <c r="R1148" s="61">
        <f>Allocation[[#This Row],[Total volume used]]/VLOOKUP(Allocation[[#This Row],[Delivery ID]],Delivery[[Delivery ID]:[Quantity delivered]],3,FALSE)</f>
        <v>0.56533665835411473</v>
      </c>
      <c r="S1148" s="34">
        <f>Allocation[[#This Row],[Quantity Processed]]/Allocation[[#This Row],[Dilution rate]]</f>
        <v>902.5925925925925</v>
      </c>
      <c r="T1148" s="59">
        <f>SUMIF(Allocation[Delivery ID],Allocation[[#This Row],[Delivery ID]],Allocation[Quantity allocated])/SUMIF(Allocation[Delivery ID],Allocation[[#This Row],[Delivery ID]],Allocation[Volume available (kg)])</f>
        <v>0.80054273598629144</v>
      </c>
      <c r="U1148" s="61">
        <f>Allocation[[#This Row],[Total volume used]]/VLOOKUP(Allocation[[#This Row],[Delivery ID]],Delivery[[Delivery ID]:[Quantity delivered]],3,FALSE)</f>
        <v>0.56533665835411473</v>
      </c>
      <c r="V1148" s="34" t="e">
        <f>VLOOKUP(Allocation[[#This Row],[SAP Contract number]],Shipments[[SAP Contract number]:[Contracted container weight]],2,FALSE)</f>
        <v>#N/A</v>
      </c>
      <c r="W1148" s="34" t="e">
        <f>VLOOKUP(Allocation[[#This Row],[SAP Contract number]],Shipments[[SAP Contract number]:[AAA Premium USD]],24,FALSE)</f>
        <v>#N/A</v>
      </c>
      <c r="X1148" s="34" t="e">
        <f>VLOOKUP(Allocation[[#This Row],[SAP Contract number]],Shipments[[SAP Contract number]:[RA Premium USD]],25,FALSE)</f>
        <v>#N/A</v>
      </c>
      <c r="Y1148" s="38">
        <f>Allocation[[#This Row],[Quantity Processed]]/Allocation[[#This Row],[Quantity allocated]]</f>
        <v>3.3337893296853625</v>
      </c>
      <c r="Z1148" s="34" t="b">
        <f>Allocation[[#This Row],[Quantity allocated]]&lt;=Allocation[[#This Row],[Quantity Processed]]</f>
        <v>1</v>
      </c>
    </row>
    <row r="1149" spans="1:26">
      <c r="A1149" s="247" t="s">
        <v>467</v>
      </c>
      <c r="B1149" s="210" t="s">
        <v>68</v>
      </c>
      <c r="C1149" s="254" t="s">
        <v>547</v>
      </c>
      <c r="D1149" s="255">
        <v>1680</v>
      </c>
      <c r="E1149" s="211" t="s">
        <v>1877</v>
      </c>
      <c r="F1149" s="212">
        <v>43544</v>
      </c>
      <c r="G1149" s="213">
        <v>2.7</v>
      </c>
      <c r="H1149" s="256">
        <v>739</v>
      </c>
      <c r="I1149" s="214">
        <v>1446434</v>
      </c>
      <c r="J1149" s="215">
        <v>21600</v>
      </c>
      <c r="K1149" s="212">
        <v>43587</v>
      </c>
      <c r="L1149" s="211" t="s">
        <v>1878</v>
      </c>
      <c r="M1149" s="216">
        <v>4615445946</v>
      </c>
      <c r="N1149" s="212">
        <v>43682</v>
      </c>
      <c r="O1149" s="217">
        <v>3.9611999999999998</v>
      </c>
      <c r="P1149" s="219"/>
      <c r="Q1149" s="34">
        <f>SUMIF(Allocation[Delivery ID],Allocation[[#This Row],[Delivery ID]],Allocation[Quantity Processed])</f>
        <v>8706</v>
      </c>
      <c r="R1149" s="61">
        <f>Allocation[[#This Row],[Total volume used]]/VLOOKUP(Allocation[[#This Row],[Delivery ID]],Delivery[[Delivery ID]:[Quantity delivered]],3,FALSE)</f>
        <v>0.72550000000000003</v>
      </c>
      <c r="S1149" s="34">
        <f>Allocation[[#This Row],[Quantity Processed]]/Allocation[[#This Row],[Dilution rate]]</f>
        <v>622.22222222222217</v>
      </c>
      <c r="T1149" s="59">
        <f>SUMIF(Allocation[Delivery ID],Allocation[[#This Row],[Delivery ID]],Allocation[Quantity allocated])/SUMIF(Allocation[Delivery ID],Allocation[[#This Row],[Delivery ID]],Allocation[Volume available (kg)])</f>
        <v>1.0493621698535043</v>
      </c>
      <c r="U1149" s="61">
        <f>Allocation[[#This Row],[Total volume used]]/VLOOKUP(Allocation[[#This Row],[Delivery ID]],Delivery[[Delivery ID]:[Quantity delivered]],3,FALSE)</f>
        <v>0.72550000000000003</v>
      </c>
      <c r="V1149" s="34" t="e">
        <f>VLOOKUP(Allocation[[#This Row],[SAP Contract number]],Shipments[[SAP Contract number]:[Contracted container weight]],2,FALSE)</f>
        <v>#N/A</v>
      </c>
      <c r="W1149" s="34" t="e">
        <f>VLOOKUP(Allocation[[#This Row],[SAP Contract number]],Shipments[[SAP Contract number]:[AAA Premium USD]],24,FALSE)</f>
        <v>#N/A</v>
      </c>
      <c r="X1149" s="34" t="e">
        <f>VLOOKUP(Allocation[[#This Row],[SAP Contract number]],Shipments[[SAP Contract number]:[RA Premium USD]],25,FALSE)</f>
        <v>#N/A</v>
      </c>
      <c r="Y1149" s="38">
        <f>Allocation[[#This Row],[Quantity Processed]]/Allocation[[#This Row],[Quantity allocated]]</f>
        <v>2.273342354533153</v>
      </c>
      <c r="Z1149" s="34" t="b">
        <f>Allocation[[#This Row],[Quantity allocated]]&lt;=Allocation[[#This Row],[Quantity Processed]]</f>
        <v>1</v>
      </c>
    </row>
    <row r="1150" spans="1:26">
      <c r="A1150" s="247" t="s">
        <v>467</v>
      </c>
      <c r="B1150" s="210" t="s">
        <v>68</v>
      </c>
      <c r="C1150" s="254" t="s">
        <v>1352</v>
      </c>
      <c r="D1150" s="255">
        <v>3632</v>
      </c>
      <c r="E1150" s="211" t="s">
        <v>1877</v>
      </c>
      <c r="F1150" s="212">
        <v>43544</v>
      </c>
      <c r="G1150" s="213">
        <v>2.7</v>
      </c>
      <c r="H1150" s="256">
        <v>1598</v>
      </c>
      <c r="I1150" s="214">
        <v>1446434</v>
      </c>
      <c r="J1150" s="215">
        <v>21600</v>
      </c>
      <c r="K1150" s="212">
        <v>43587</v>
      </c>
      <c r="L1150" s="211" t="s">
        <v>1878</v>
      </c>
      <c r="M1150" s="216">
        <v>4615445946</v>
      </c>
      <c r="N1150" s="212">
        <v>43682</v>
      </c>
      <c r="O1150" s="217">
        <v>3.9611999999999998</v>
      </c>
      <c r="P1150" s="219"/>
      <c r="Q1150" s="34">
        <f>SUMIF(Allocation[Delivery ID],Allocation[[#This Row],[Delivery ID]],Allocation[Quantity Processed])</f>
        <v>10573</v>
      </c>
      <c r="R1150" s="61">
        <f>Allocation[[#This Row],[Total volume used]]/VLOOKUP(Allocation[[#This Row],[Delivery ID]],Delivery[[Delivery ID]:[Quantity delivered]],3,FALSE)</f>
        <v>0.60869314910765693</v>
      </c>
      <c r="S1150" s="34">
        <f>Allocation[[#This Row],[Quantity Processed]]/Allocation[[#This Row],[Dilution rate]]</f>
        <v>1345.185185185185</v>
      </c>
      <c r="T1150" s="59">
        <f>SUMIF(Allocation[Delivery ID],Allocation[[#This Row],[Delivery ID]],Allocation[Quantity allocated])/SUMIF(Allocation[Delivery ID],Allocation[[#This Row],[Delivery ID]],Allocation[Volume available (kg)])</f>
        <v>1.1732834933779279</v>
      </c>
      <c r="U1150" s="61">
        <f>Allocation[[#This Row],[Total volume used]]/VLOOKUP(Allocation[[#This Row],[Delivery ID]],Delivery[[Delivery ID]:[Quantity delivered]],3,FALSE)</f>
        <v>0.60869314910765693</v>
      </c>
      <c r="V1150" s="34" t="e">
        <f>VLOOKUP(Allocation[[#This Row],[SAP Contract number]],Shipments[[SAP Contract number]:[Contracted container weight]],2,FALSE)</f>
        <v>#N/A</v>
      </c>
      <c r="W1150" s="34" t="e">
        <f>VLOOKUP(Allocation[[#This Row],[SAP Contract number]],Shipments[[SAP Contract number]:[AAA Premium USD]],24,FALSE)</f>
        <v>#N/A</v>
      </c>
      <c r="X1150" s="34" t="e">
        <f>VLOOKUP(Allocation[[#This Row],[SAP Contract number]],Shipments[[SAP Contract number]:[RA Premium USD]],25,FALSE)</f>
        <v>#N/A</v>
      </c>
      <c r="Y1150" s="38">
        <f>Allocation[[#This Row],[Quantity Processed]]/Allocation[[#This Row],[Quantity allocated]]</f>
        <v>2.2728410513141428</v>
      </c>
      <c r="Z1150" s="34" t="b">
        <f>Allocation[[#This Row],[Quantity allocated]]&lt;=Allocation[[#This Row],[Quantity Processed]]</f>
        <v>1</v>
      </c>
    </row>
    <row r="1151" spans="1:26">
      <c r="A1151" s="247" t="s">
        <v>467</v>
      </c>
      <c r="B1151" s="210" t="s">
        <v>68</v>
      </c>
      <c r="C1151" s="254" t="s">
        <v>1353</v>
      </c>
      <c r="D1151" s="255">
        <v>4081</v>
      </c>
      <c r="E1151" s="211" t="s">
        <v>1877</v>
      </c>
      <c r="F1151" s="212">
        <v>43544</v>
      </c>
      <c r="G1151" s="213">
        <v>2.7</v>
      </c>
      <c r="H1151" s="256">
        <v>1469</v>
      </c>
      <c r="I1151" s="214">
        <v>1446434</v>
      </c>
      <c r="J1151" s="215">
        <v>21600</v>
      </c>
      <c r="K1151" s="212">
        <v>43587</v>
      </c>
      <c r="L1151" s="211" t="s">
        <v>1878</v>
      </c>
      <c r="M1151" s="216">
        <v>4615445946</v>
      </c>
      <c r="N1151" s="212">
        <v>43682</v>
      </c>
      <c r="O1151" s="217">
        <v>3.9611999999999998</v>
      </c>
      <c r="P1151" s="219"/>
      <c r="Q1151" s="34">
        <f>SUMIF(Allocation[Delivery ID],Allocation[[#This Row],[Delivery ID]],Allocation[Quantity Processed])</f>
        <v>11879</v>
      </c>
      <c r="R1151" s="61">
        <f>Allocation[[#This Row],[Total volume used]]/VLOOKUP(Allocation[[#This Row],[Delivery ID]],Delivery[[Delivery ID]:[Quantity delivered]],3,FALSE)</f>
        <v>0.74523212045169385</v>
      </c>
      <c r="S1151" s="34">
        <f>Allocation[[#This Row],[Quantity Processed]]/Allocation[[#This Row],[Dilution rate]]</f>
        <v>1511.4814814814813</v>
      </c>
      <c r="T1151" s="59">
        <f>SUMIF(Allocation[Delivery ID],Allocation[[#This Row],[Delivery ID]],Allocation[Quantity allocated])/SUMIF(Allocation[Delivery ID],Allocation[[#This Row],[Delivery ID]],Allocation[Volume available (kg)])</f>
        <v>0.95988762633416358</v>
      </c>
      <c r="U1151" s="61">
        <f>Allocation[[#This Row],[Total volume used]]/VLOOKUP(Allocation[[#This Row],[Delivery ID]],Delivery[[Delivery ID]:[Quantity delivered]],3,FALSE)</f>
        <v>0.74523212045169385</v>
      </c>
      <c r="V1151" s="34" t="e">
        <f>VLOOKUP(Allocation[[#This Row],[SAP Contract number]],Shipments[[SAP Contract number]:[Contracted container weight]],2,FALSE)</f>
        <v>#N/A</v>
      </c>
      <c r="W1151" s="34" t="e">
        <f>VLOOKUP(Allocation[[#This Row],[SAP Contract number]],Shipments[[SAP Contract number]:[AAA Premium USD]],24,FALSE)</f>
        <v>#N/A</v>
      </c>
      <c r="X1151" s="34" t="e">
        <f>VLOOKUP(Allocation[[#This Row],[SAP Contract number]],Shipments[[SAP Contract number]:[RA Premium USD]],25,FALSE)</f>
        <v>#N/A</v>
      </c>
      <c r="Y1151" s="38">
        <f>Allocation[[#This Row],[Quantity Processed]]/Allocation[[#This Row],[Quantity allocated]]</f>
        <v>2.7780803267528933</v>
      </c>
      <c r="Z1151" s="34" t="b">
        <f>Allocation[[#This Row],[Quantity allocated]]&lt;=Allocation[[#This Row],[Quantity Processed]]</f>
        <v>1</v>
      </c>
    </row>
    <row r="1152" spans="1:26">
      <c r="A1152" s="247" t="s">
        <v>467</v>
      </c>
      <c r="B1152" s="210" t="s">
        <v>68</v>
      </c>
      <c r="C1152" s="254" t="s">
        <v>1355</v>
      </c>
      <c r="D1152" s="255">
        <v>287</v>
      </c>
      <c r="E1152" s="211" t="s">
        <v>1877</v>
      </c>
      <c r="F1152" s="212">
        <v>43544</v>
      </c>
      <c r="G1152" s="213">
        <v>2.7</v>
      </c>
      <c r="H1152" s="256">
        <v>129</v>
      </c>
      <c r="I1152" s="214">
        <v>1446434</v>
      </c>
      <c r="J1152" s="215">
        <v>21600</v>
      </c>
      <c r="K1152" s="212">
        <v>43587</v>
      </c>
      <c r="L1152" s="211" t="s">
        <v>1878</v>
      </c>
      <c r="M1152" s="216">
        <v>4615445946</v>
      </c>
      <c r="N1152" s="212">
        <v>43682</v>
      </c>
      <c r="O1152" s="217">
        <v>3.9611999999999998</v>
      </c>
      <c r="P1152" s="219"/>
      <c r="Q1152" s="34">
        <f>SUMIF(Allocation[Delivery ID],Allocation[[#This Row],[Delivery ID]],Allocation[Quantity Processed])</f>
        <v>2650</v>
      </c>
      <c r="R1152" s="61">
        <f>Allocation[[#This Row],[Total volume used]]/VLOOKUP(Allocation[[#This Row],[Delivery ID]],Delivery[[Delivery ID]:[Quantity delivered]],3,FALSE)</f>
        <v>0.13548057259713703</v>
      </c>
      <c r="S1152" s="34">
        <f>Allocation[[#This Row],[Quantity Processed]]/Allocation[[#This Row],[Dilution rate]]</f>
        <v>106.29629629629629</v>
      </c>
      <c r="T1152" s="59">
        <f>SUMIF(Allocation[Delivery ID],Allocation[[#This Row],[Delivery ID]],Allocation[Quantity allocated])/SUMIF(Allocation[Delivery ID],Allocation[[#This Row],[Delivery ID]],Allocation[Volume available (kg)])</f>
        <v>0.99760834836771495</v>
      </c>
      <c r="U1152" s="61">
        <f>Allocation[[#This Row],[Total volume used]]/VLOOKUP(Allocation[[#This Row],[Delivery ID]],Delivery[[Delivery ID]:[Quantity delivered]],3,FALSE)</f>
        <v>0.13548057259713703</v>
      </c>
      <c r="V1152" s="34" t="e">
        <f>VLOOKUP(Allocation[[#This Row],[SAP Contract number]],Shipments[[SAP Contract number]:[Contracted container weight]],2,FALSE)</f>
        <v>#N/A</v>
      </c>
      <c r="W1152" s="34" t="e">
        <f>VLOOKUP(Allocation[[#This Row],[SAP Contract number]],Shipments[[SAP Contract number]:[AAA Premium USD]],24,FALSE)</f>
        <v>#N/A</v>
      </c>
      <c r="X1152" s="34" t="e">
        <f>VLOOKUP(Allocation[[#This Row],[SAP Contract number]],Shipments[[SAP Contract number]:[RA Premium USD]],25,FALSE)</f>
        <v>#N/A</v>
      </c>
      <c r="Y1152" s="38">
        <f>Allocation[[#This Row],[Quantity Processed]]/Allocation[[#This Row],[Quantity allocated]]</f>
        <v>2.2248062015503876</v>
      </c>
      <c r="Z1152" s="34" t="b">
        <f>Allocation[[#This Row],[Quantity allocated]]&lt;=Allocation[[#This Row],[Quantity Processed]]</f>
        <v>1</v>
      </c>
    </row>
    <row r="1153" spans="1:26">
      <c r="A1153" s="247" t="s">
        <v>467</v>
      </c>
      <c r="B1153" s="210" t="s">
        <v>68</v>
      </c>
      <c r="C1153" s="254" t="s">
        <v>1357</v>
      </c>
      <c r="D1153" s="255">
        <v>84</v>
      </c>
      <c r="E1153" s="211" t="s">
        <v>1877</v>
      </c>
      <c r="F1153" s="212">
        <v>43544</v>
      </c>
      <c r="G1153" s="213">
        <v>2.7</v>
      </c>
      <c r="H1153" s="256">
        <v>38</v>
      </c>
      <c r="I1153" s="214">
        <v>1446434</v>
      </c>
      <c r="J1153" s="215">
        <v>21600</v>
      </c>
      <c r="K1153" s="212">
        <v>43587</v>
      </c>
      <c r="L1153" s="211" t="s">
        <v>1878</v>
      </c>
      <c r="M1153" s="216">
        <v>4615445946</v>
      </c>
      <c r="N1153" s="212">
        <v>43682</v>
      </c>
      <c r="O1153" s="217">
        <v>3.9611999999999998</v>
      </c>
      <c r="P1153" s="219"/>
      <c r="Q1153" s="34">
        <f>SUMIF(Allocation[Delivery ID],Allocation[[#This Row],[Delivery ID]],Allocation[Quantity Processed])</f>
        <v>586</v>
      </c>
      <c r="R1153" s="61">
        <f>Allocation[[#This Row],[Total volume used]]/VLOOKUP(Allocation[[#This Row],[Delivery ID]],Delivery[[Delivery ID]:[Quantity delivered]],3,FALSE)</f>
        <v>0.10226876090750436</v>
      </c>
      <c r="S1153" s="34">
        <f>Allocation[[#This Row],[Quantity Processed]]/Allocation[[#This Row],[Dilution rate]]</f>
        <v>31.111111111111111</v>
      </c>
      <c r="T1153" s="59">
        <f>SUMIF(Allocation[Delivery ID],Allocation[[#This Row],[Delivery ID]],Allocation[Quantity allocated])/SUMIF(Allocation[Delivery ID],Allocation[[#This Row],[Delivery ID]],Allocation[Volume available (kg)])</f>
        <v>1.0100696850305781</v>
      </c>
      <c r="U1153" s="61">
        <f>Allocation[[#This Row],[Total volume used]]/VLOOKUP(Allocation[[#This Row],[Delivery ID]],Delivery[[Delivery ID]:[Quantity delivered]],3,FALSE)</f>
        <v>0.10226876090750436</v>
      </c>
      <c r="V1153" s="34" t="e">
        <f>VLOOKUP(Allocation[[#This Row],[SAP Contract number]],Shipments[[SAP Contract number]:[Contracted container weight]],2,FALSE)</f>
        <v>#N/A</v>
      </c>
      <c r="W1153" s="34" t="e">
        <f>VLOOKUP(Allocation[[#This Row],[SAP Contract number]],Shipments[[SAP Contract number]:[AAA Premium USD]],24,FALSE)</f>
        <v>#N/A</v>
      </c>
      <c r="X1153" s="34" t="e">
        <f>VLOOKUP(Allocation[[#This Row],[SAP Contract number]],Shipments[[SAP Contract number]:[RA Premium USD]],25,FALSE)</f>
        <v>#N/A</v>
      </c>
      <c r="Y1153" s="38">
        <f>Allocation[[#This Row],[Quantity Processed]]/Allocation[[#This Row],[Quantity allocated]]</f>
        <v>2.2105263157894739</v>
      </c>
      <c r="Z1153" s="34" t="b">
        <f>Allocation[[#This Row],[Quantity allocated]]&lt;=Allocation[[#This Row],[Quantity Processed]]</f>
        <v>1</v>
      </c>
    </row>
    <row r="1154" spans="1:26">
      <c r="A1154" s="247" t="s">
        <v>467</v>
      </c>
      <c r="B1154" s="210" t="s">
        <v>68</v>
      </c>
      <c r="C1154" s="254" t="s">
        <v>549</v>
      </c>
      <c r="D1154" s="255">
        <v>1290</v>
      </c>
      <c r="E1154" s="211" t="s">
        <v>1877</v>
      </c>
      <c r="F1154" s="212">
        <v>43544</v>
      </c>
      <c r="G1154" s="213">
        <v>2.7</v>
      </c>
      <c r="H1154" s="256">
        <v>632</v>
      </c>
      <c r="I1154" s="214">
        <v>1446434</v>
      </c>
      <c r="J1154" s="215">
        <v>21600</v>
      </c>
      <c r="K1154" s="212">
        <v>43587</v>
      </c>
      <c r="L1154" s="211" t="s">
        <v>1878</v>
      </c>
      <c r="M1154" s="216">
        <v>4615445946</v>
      </c>
      <c r="N1154" s="212">
        <v>43682</v>
      </c>
      <c r="O1154" s="217">
        <v>3.9611999999999998</v>
      </c>
      <c r="P1154" s="219"/>
      <c r="Q1154" s="34">
        <f>SUMIF(Allocation[Delivery ID],Allocation[[#This Row],[Delivery ID]],Allocation[Quantity Processed])</f>
        <v>5072</v>
      </c>
      <c r="R1154" s="61">
        <f>Allocation[[#This Row],[Total volume used]]/VLOOKUP(Allocation[[#This Row],[Delivery ID]],Delivery[[Delivery ID]:[Quantity delivered]],3,FALSE)</f>
        <v>0.84533333333333338</v>
      </c>
      <c r="S1154" s="34">
        <f>Allocation[[#This Row],[Quantity Processed]]/Allocation[[#This Row],[Dilution rate]]</f>
        <v>477.77777777777777</v>
      </c>
      <c r="T1154" s="59">
        <f>SUMIF(Allocation[Delivery ID],Allocation[[#This Row],[Delivery ID]],Allocation[Quantity allocated])/SUMIF(Allocation[Delivery ID],Allocation[[#This Row],[Delivery ID]],Allocation[Volume available (kg)])</f>
        <v>1.2229337091198389</v>
      </c>
      <c r="U1154" s="61">
        <f>Allocation[[#This Row],[Total volume used]]/VLOOKUP(Allocation[[#This Row],[Delivery ID]],Delivery[[Delivery ID]:[Quantity delivered]],3,FALSE)</f>
        <v>0.84533333333333338</v>
      </c>
      <c r="V1154" s="34" t="e">
        <f>VLOOKUP(Allocation[[#This Row],[SAP Contract number]],Shipments[[SAP Contract number]:[Contracted container weight]],2,FALSE)</f>
        <v>#N/A</v>
      </c>
      <c r="W1154" s="34" t="e">
        <f>VLOOKUP(Allocation[[#This Row],[SAP Contract number]],Shipments[[SAP Contract number]:[AAA Premium USD]],24,FALSE)</f>
        <v>#N/A</v>
      </c>
      <c r="X1154" s="34" t="e">
        <f>VLOOKUP(Allocation[[#This Row],[SAP Contract number]],Shipments[[SAP Contract number]:[RA Premium USD]],25,FALSE)</f>
        <v>#N/A</v>
      </c>
      <c r="Y1154" s="38">
        <f>Allocation[[#This Row],[Quantity Processed]]/Allocation[[#This Row],[Quantity allocated]]</f>
        <v>2.0411392405063293</v>
      </c>
      <c r="Z1154" s="34" t="b">
        <f>Allocation[[#This Row],[Quantity allocated]]&lt;=Allocation[[#This Row],[Quantity Processed]]</f>
        <v>1</v>
      </c>
    </row>
    <row r="1155" spans="1:26">
      <c r="A1155" s="247" t="s">
        <v>467</v>
      </c>
      <c r="B1155" s="210" t="s">
        <v>68</v>
      </c>
      <c r="C1155" s="254" t="s">
        <v>551</v>
      </c>
      <c r="D1155" s="255">
        <v>973</v>
      </c>
      <c r="E1155" s="211" t="s">
        <v>1877</v>
      </c>
      <c r="F1155" s="212">
        <v>43544</v>
      </c>
      <c r="G1155" s="213">
        <v>2.7</v>
      </c>
      <c r="H1155" s="256">
        <v>321</v>
      </c>
      <c r="I1155" s="214">
        <v>1446434</v>
      </c>
      <c r="J1155" s="215">
        <v>21600</v>
      </c>
      <c r="K1155" s="212">
        <v>43587</v>
      </c>
      <c r="L1155" s="211" t="s">
        <v>1878</v>
      </c>
      <c r="M1155" s="216">
        <v>4615445946</v>
      </c>
      <c r="N1155" s="212">
        <v>43682</v>
      </c>
      <c r="O1155" s="217">
        <v>3.9611999999999998</v>
      </c>
      <c r="P1155" s="219"/>
      <c r="Q1155" s="34">
        <f>SUMIF(Allocation[Delivery ID],Allocation[[#This Row],[Delivery ID]],Allocation[Quantity Processed])</f>
        <v>15141</v>
      </c>
      <c r="R1155" s="61">
        <f>Allocation[[#This Row],[Total volume used]]/VLOOKUP(Allocation[[#This Row],[Delivery ID]],Delivery[[Delivery ID]:[Quantity delivered]],3,FALSE)</f>
        <v>0.67443207126948779</v>
      </c>
      <c r="S1155" s="34">
        <f>Allocation[[#This Row],[Quantity Processed]]/Allocation[[#This Row],[Dilution rate]]</f>
        <v>360.37037037037032</v>
      </c>
      <c r="T1155" s="59">
        <f>SUMIF(Allocation[Delivery ID],Allocation[[#This Row],[Delivery ID]],Allocation[Quantity allocated])/SUMIF(Allocation[Delivery ID],Allocation[[#This Row],[Delivery ID]],Allocation[Volume available (kg)])</f>
        <v>0.72304231515186435</v>
      </c>
      <c r="U1155" s="61">
        <f>Allocation[[#This Row],[Total volume used]]/VLOOKUP(Allocation[[#This Row],[Delivery ID]],Delivery[[Delivery ID]:[Quantity delivered]],3,FALSE)</f>
        <v>0.67443207126948779</v>
      </c>
      <c r="V1155" s="34" t="e">
        <f>VLOOKUP(Allocation[[#This Row],[SAP Contract number]],Shipments[[SAP Contract number]:[Contracted container weight]],2,FALSE)</f>
        <v>#N/A</v>
      </c>
      <c r="W1155" s="34" t="e">
        <f>VLOOKUP(Allocation[[#This Row],[SAP Contract number]],Shipments[[SAP Contract number]:[AAA Premium USD]],24,FALSE)</f>
        <v>#N/A</v>
      </c>
      <c r="X1155" s="34" t="e">
        <f>VLOOKUP(Allocation[[#This Row],[SAP Contract number]],Shipments[[SAP Contract number]:[RA Premium USD]],25,FALSE)</f>
        <v>#N/A</v>
      </c>
      <c r="Y1155" s="38">
        <f>Allocation[[#This Row],[Quantity Processed]]/Allocation[[#This Row],[Quantity allocated]]</f>
        <v>3.0311526479750777</v>
      </c>
      <c r="Z1155" s="34" t="b">
        <f>Allocation[[#This Row],[Quantity allocated]]&lt;=Allocation[[#This Row],[Quantity Processed]]</f>
        <v>1</v>
      </c>
    </row>
    <row r="1156" spans="1:26">
      <c r="A1156" s="247" t="s">
        <v>467</v>
      </c>
      <c r="B1156" s="210" t="s">
        <v>68</v>
      </c>
      <c r="C1156" s="254" t="s">
        <v>553</v>
      </c>
      <c r="D1156" s="255">
        <v>994</v>
      </c>
      <c r="E1156" s="211" t="s">
        <v>1877</v>
      </c>
      <c r="F1156" s="212">
        <v>43544</v>
      </c>
      <c r="G1156" s="213">
        <v>2.7</v>
      </c>
      <c r="H1156" s="256">
        <v>328</v>
      </c>
      <c r="I1156" s="214">
        <v>1446434</v>
      </c>
      <c r="J1156" s="215">
        <v>21600</v>
      </c>
      <c r="K1156" s="212">
        <v>43587</v>
      </c>
      <c r="L1156" s="211" t="s">
        <v>1878</v>
      </c>
      <c r="M1156" s="216">
        <v>4615445946</v>
      </c>
      <c r="N1156" s="212">
        <v>43682</v>
      </c>
      <c r="O1156" s="217">
        <v>3.9611999999999998</v>
      </c>
      <c r="P1156" s="219"/>
      <c r="Q1156" s="34">
        <f>SUMIF(Allocation[Delivery ID],Allocation[[#This Row],[Delivery ID]],Allocation[Quantity Processed])</f>
        <v>15504</v>
      </c>
      <c r="R1156" s="61">
        <f>Allocation[[#This Row],[Total volume used]]/VLOOKUP(Allocation[[#This Row],[Delivery ID]],Delivery[[Delivery ID]:[Quantity delivered]],3,FALSE)</f>
        <v>0.67555555555555558</v>
      </c>
      <c r="S1156" s="34">
        <f>Allocation[[#This Row],[Quantity Processed]]/Allocation[[#This Row],[Dilution rate]]</f>
        <v>368.14814814814815</v>
      </c>
      <c r="T1156" s="59">
        <f>SUMIF(Allocation[Delivery ID],Allocation[[#This Row],[Delivery ID]],Allocation[Quantity allocated])/SUMIF(Allocation[Delivery ID],Allocation[[#This Row],[Delivery ID]],Allocation[Volume available (kg)])</f>
        <v>0.72304788105801232</v>
      </c>
      <c r="U1156" s="61">
        <f>Allocation[[#This Row],[Total volume used]]/VLOOKUP(Allocation[[#This Row],[Delivery ID]],Delivery[[Delivery ID]:[Quantity delivered]],3,FALSE)</f>
        <v>0.67555555555555558</v>
      </c>
      <c r="V1156" s="34" t="e">
        <f>VLOOKUP(Allocation[[#This Row],[SAP Contract number]],Shipments[[SAP Contract number]:[Contracted container weight]],2,FALSE)</f>
        <v>#N/A</v>
      </c>
      <c r="W1156" s="34" t="e">
        <f>VLOOKUP(Allocation[[#This Row],[SAP Contract number]],Shipments[[SAP Contract number]:[AAA Premium USD]],24,FALSE)</f>
        <v>#N/A</v>
      </c>
      <c r="X1156" s="34" t="e">
        <f>VLOOKUP(Allocation[[#This Row],[SAP Contract number]],Shipments[[SAP Contract number]:[RA Premium USD]],25,FALSE)</f>
        <v>#N/A</v>
      </c>
      <c r="Y1156" s="38">
        <f>Allocation[[#This Row],[Quantity Processed]]/Allocation[[#This Row],[Quantity allocated]]</f>
        <v>3.0304878048780486</v>
      </c>
      <c r="Z1156" s="34" t="b">
        <f>Allocation[[#This Row],[Quantity allocated]]&lt;=Allocation[[#This Row],[Quantity Processed]]</f>
        <v>1</v>
      </c>
    </row>
    <row r="1157" spans="1:26">
      <c r="A1157" s="247" t="s">
        <v>467</v>
      </c>
      <c r="B1157" s="210" t="s">
        <v>68</v>
      </c>
      <c r="C1157" s="254" t="s">
        <v>554</v>
      </c>
      <c r="D1157" s="255">
        <v>852</v>
      </c>
      <c r="E1157" s="211" t="s">
        <v>1877</v>
      </c>
      <c r="F1157" s="212">
        <v>43544</v>
      </c>
      <c r="G1157" s="213">
        <v>2.7</v>
      </c>
      <c r="H1157" s="256">
        <v>281</v>
      </c>
      <c r="I1157" s="214">
        <v>1446434</v>
      </c>
      <c r="J1157" s="215">
        <v>21600</v>
      </c>
      <c r="K1157" s="212">
        <v>43587</v>
      </c>
      <c r="L1157" s="211" t="s">
        <v>1878</v>
      </c>
      <c r="M1157" s="216">
        <v>4615445946</v>
      </c>
      <c r="N1157" s="212">
        <v>43682</v>
      </c>
      <c r="O1157" s="217">
        <v>3.9611999999999998</v>
      </c>
      <c r="P1157" s="219"/>
      <c r="Q1157" s="34">
        <f>SUMIF(Allocation[Delivery ID],Allocation[[#This Row],[Delivery ID]],Allocation[Quantity Processed])</f>
        <v>13277</v>
      </c>
      <c r="R1157" s="61">
        <f>Allocation[[#This Row],[Total volume used]]/VLOOKUP(Allocation[[#This Row],[Delivery ID]],Delivery[[Delivery ID]:[Quantity delivered]],3,FALSE)</f>
        <v>0.67464430894308947</v>
      </c>
      <c r="S1157" s="34">
        <f>Allocation[[#This Row],[Quantity Processed]]/Allocation[[#This Row],[Dilution rate]]</f>
        <v>315.55555555555554</v>
      </c>
      <c r="T1157" s="59">
        <f>SUMIF(Allocation[Delivery ID],Allocation[[#This Row],[Delivery ID]],Allocation[Quantity allocated])/SUMIF(Allocation[Delivery ID],Allocation[[#This Row],[Delivery ID]],Allocation[Volume available (kg)])</f>
        <v>0.72304006354556072</v>
      </c>
      <c r="U1157" s="61">
        <f>Allocation[[#This Row],[Total volume used]]/VLOOKUP(Allocation[[#This Row],[Delivery ID]],Delivery[[Delivery ID]:[Quantity delivered]],3,FALSE)</f>
        <v>0.67464430894308947</v>
      </c>
      <c r="V1157" s="34" t="e">
        <f>VLOOKUP(Allocation[[#This Row],[SAP Contract number]],Shipments[[SAP Contract number]:[Contracted container weight]],2,FALSE)</f>
        <v>#N/A</v>
      </c>
      <c r="W1157" s="34" t="e">
        <f>VLOOKUP(Allocation[[#This Row],[SAP Contract number]],Shipments[[SAP Contract number]:[AAA Premium USD]],24,FALSE)</f>
        <v>#N/A</v>
      </c>
      <c r="X1157" s="34" t="e">
        <f>VLOOKUP(Allocation[[#This Row],[SAP Contract number]],Shipments[[SAP Contract number]:[RA Premium USD]],25,FALSE)</f>
        <v>#N/A</v>
      </c>
      <c r="Y1157" s="38">
        <f>Allocation[[#This Row],[Quantity Processed]]/Allocation[[#This Row],[Quantity allocated]]</f>
        <v>3.0320284697508897</v>
      </c>
      <c r="Z1157" s="34" t="b">
        <f>Allocation[[#This Row],[Quantity allocated]]&lt;=Allocation[[#This Row],[Quantity Processed]]</f>
        <v>1</v>
      </c>
    </row>
    <row r="1158" spans="1:26">
      <c r="A1158" s="247" t="s">
        <v>467</v>
      </c>
      <c r="B1158" s="210" t="s">
        <v>68</v>
      </c>
      <c r="C1158" s="254" t="s">
        <v>1358</v>
      </c>
      <c r="D1158" s="255">
        <v>697</v>
      </c>
      <c r="E1158" s="211" t="s">
        <v>1877</v>
      </c>
      <c r="F1158" s="212">
        <v>43544</v>
      </c>
      <c r="G1158" s="213">
        <v>2.7</v>
      </c>
      <c r="H1158" s="256">
        <v>209</v>
      </c>
      <c r="I1158" s="214">
        <v>1446434</v>
      </c>
      <c r="J1158" s="215">
        <v>21600</v>
      </c>
      <c r="K1158" s="212">
        <v>43587</v>
      </c>
      <c r="L1158" s="211" t="s">
        <v>1878</v>
      </c>
      <c r="M1158" s="216">
        <v>4615445946</v>
      </c>
      <c r="N1158" s="212">
        <v>43682</v>
      </c>
      <c r="O1158" s="217">
        <v>3.9611999999999998</v>
      </c>
      <c r="P1158" s="219"/>
      <c r="Q1158" s="34">
        <f>SUMIF(Allocation[Delivery ID],Allocation[[#This Row],[Delivery ID]],Allocation[Quantity Processed])</f>
        <v>1923</v>
      </c>
      <c r="R1158" s="61">
        <f>Allocation[[#This Row],[Total volume used]]/VLOOKUP(Allocation[[#This Row],[Delivery ID]],Delivery[[Delivery ID]:[Quantity delivered]],3,FALSE)</f>
        <v>0.32050000000000001</v>
      </c>
      <c r="S1158" s="34">
        <f>Allocation[[#This Row],[Quantity Processed]]/Allocation[[#This Row],[Dilution rate]]</f>
        <v>258.14814814814815</v>
      </c>
      <c r="T1158" s="59">
        <f>SUMIF(Allocation[Delivery ID],Allocation[[#This Row],[Delivery ID]],Allocation[Quantity allocated])/SUMIF(Allocation[Delivery ID],Allocation[[#This Row],[Delivery ID]],Allocation[Volume available (kg)])</f>
        <v>0.80061634793682046</v>
      </c>
      <c r="U1158" s="61">
        <f>Allocation[[#This Row],[Total volume used]]/VLOOKUP(Allocation[[#This Row],[Delivery ID]],Delivery[[Delivery ID]:[Quantity delivered]],3,FALSE)</f>
        <v>0.32050000000000001</v>
      </c>
      <c r="V1158" s="34" t="e">
        <f>VLOOKUP(Allocation[[#This Row],[SAP Contract number]],Shipments[[SAP Contract number]:[Contracted container weight]],2,FALSE)</f>
        <v>#N/A</v>
      </c>
      <c r="W1158" s="34" t="e">
        <f>VLOOKUP(Allocation[[#This Row],[SAP Contract number]],Shipments[[SAP Contract number]:[AAA Premium USD]],24,FALSE)</f>
        <v>#N/A</v>
      </c>
      <c r="X1158" s="34" t="e">
        <f>VLOOKUP(Allocation[[#This Row],[SAP Contract number]],Shipments[[SAP Contract number]:[RA Premium USD]],25,FALSE)</f>
        <v>#N/A</v>
      </c>
      <c r="Y1158" s="38">
        <f>Allocation[[#This Row],[Quantity Processed]]/Allocation[[#This Row],[Quantity allocated]]</f>
        <v>3.334928229665072</v>
      </c>
      <c r="Z1158" s="34" t="b">
        <f>Allocation[[#This Row],[Quantity allocated]]&lt;=Allocation[[#This Row],[Quantity Processed]]</f>
        <v>1</v>
      </c>
    </row>
    <row r="1159" spans="1:26">
      <c r="A1159" s="247" t="s">
        <v>467</v>
      </c>
      <c r="B1159" s="210" t="s">
        <v>68</v>
      </c>
      <c r="C1159" s="254" t="s">
        <v>557</v>
      </c>
      <c r="D1159" s="255">
        <v>2057</v>
      </c>
      <c r="E1159" s="211" t="s">
        <v>1877</v>
      </c>
      <c r="F1159" s="212">
        <v>43544</v>
      </c>
      <c r="G1159" s="213">
        <v>2.7</v>
      </c>
      <c r="H1159" s="256">
        <v>617</v>
      </c>
      <c r="I1159" s="214">
        <v>1446434</v>
      </c>
      <c r="J1159" s="215">
        <v>21600</v>
      </c>
      <c r="K1159" s="212">
        <v>43587</v>
      </c>
      <c r="L1159" s="211" t="s">
        <v>1878</v>
      </c>
      <c r="M1159" s="216">
        <v>4615445946</v>
      </c>
      <c r="N1159" s="212">
        <v>43682</v>
      </c>
      <c r="O1159" s="217">
        <v>3.9611999999999998</v>
      </c>
      <c r="P1159" s="219"/>
      <c r="Q1159" s="34">
        <f>SUMIF(Allocation[Delivery ID],Allocation[[#This Row],[Delivery ID]],Allocation[Quantity Processed])</f>
        <v>9990</v>
      </c>
      <c r="R1159" s="61">
        <f>Allocation[[#This Row],[Total volume used]]/VLOOKUP(Allocation[[#This Row],[Delivery ID]],Delivery[[Delivery ID]:[Quantity delivered]],3,FALSE)</f>
        <v>1</v>
      </c>
      <c r="S1159" s="34">
        <f>Allocation[[#This Row],[Quantity Processed]]/Allocation[[#This Row],[Dilution rate]]</f>
        <v>761.85185185185185</v>
      </c>
      <c r="T1159" s="59">
        <f>SUMIF(Allocation[Delivery ID],Allocation[[#This Row],[Delivery ID]],Allocation[Quantity allocated])/SUMIF(Allocation[Delivery ID],Allocation[[#This Row],[Delivery ID]],Allocation[Volume available (kg)])</f>
        <v>0.73686309988954335</v>
      </c>
      <c r="U1159" s="61">
        <f>Allocation[[#This Row],[Total volume used]]/VLOOKUP(Allocation[[#This Row],[Delivery ID]],Delivery[[Delivery ID]:[Quantity delivered]],3,FALSE)</f>
        <v>1</v>
      </c>
      <c r="V1159" s="34" t="e">
        <f>VLOOKUP(Allocation[[#This Row],[SAP Contract number]],Shipments[[SAP Contract number]:[Contracted container weight]],2,FALSE)</f>
        <v>#N/A</v>
      </c>
      <c r="W1159" s="34" t="e">
        <f>VLOOKUP(Allocation[[#This Row],[SAP Contract number]],Shipments[[SAP Contract number]:[AAA Premium USD]],24,FALSE)</f>
        <v>#N/A</v>
      </c>
      <c r="X1159" s="34" t="e">
        <f>VLOOKUP(Allocation[[#This Row],[SAP Contract number]],Shipments[[SAP Contract number]:[RA Premium USD]],25,FALSE)</f>
        <v>#N/A</v>
      </c>
      <c r="Y1159" s="38">
        <f>Allocation[[#This Row],[Quantity Processed]]/Allocation[[#This Row],[Quantity allocated]]</f>
        <v>3.3338735818476497</v>
      </c>
      <c r="Z1159" s="34" t="b">
        <f>Allocation[[#This Row],[Quantity allocated]]&lt;=Allocation[[#This Row],[Quantity Processed]]</f>
        <v>1</v>
      </c>
    </row>
    <row r="1160" spans="1:26">
      <c r="A1160" s="247" t="s">
        <v>467</v>
      </c>
      <c r="B1160" s="210" t="s">
        <v>68</v>
      </c>
      <c r="C1160" s="254" t="s">
        <v>559</v>
      </c>
      <c r="D1160" s="255">
        <v>973</v>
      </c>
      <c r="E1160" s="211" t="s">
        <v>1877</v>
      </c>
      <c r="F1160" s="212">
        <v>43544</v>
      </c>
      <c r="G1160" s="213">
        <v>2.7</v>
      </c>
      <c r="H1160" s="256">
        <v>321</v>
      </c>
      <c r="I1160" s="214">
        <v>1446434</v>
      </c>
      <c r="J1160" s="215">
        <v>21600</v>
      </c>
      <c r="K1160" s="212">
        <v>43587</v>
      </c>
      <c r="L1160" s="211" t="s">
        <v>1878</v>
      </c>
      <c r="M1160" s="216">
        <v>4615445946</v>
      </c>
      <c r="N1160" s="212">
        <v>43682</v>
      </c>
      <c r="O1160" s="217">
        <v>3.9611999999999998</v>
      </c>
      <c r="P1160" s="219"/>
      <c r="Q1160" s="34">
        <f>SUMIF(Allocation[Delivery ID],Allocation[[#This Row],[Delivery ID]],Allocation[Quantity Processed])</f>
        <v>15180</v>
      </c>
      <c r="R1160" s="61">
        <f>Allocation[[#This Row],[Total volume used]]/VLOOKUP(Allocation[[#This Row],[Delivery ID]],Delivery[[Delivery ID]:[Quantity delivered]],3,FALSE)</f>
        <v>0.67496665184526461</v>
      </c>
      <c r="S1160" s="34">
        <f>Allocation[[#This Row],[Quantity Processed]]/Allocation[[#This Row],[Dilution rate]]</f>
        <v>360.37037037037032</v>
      </c>
      <c r="T1160" s="59">
        <f>SUMIF(Allocation[Delivery ID],Allocation[[#This Row],[Delivery ID]],Allocation[Quantity allocated])/SUMIF(Allocation[Delivery ID],Allocation[[#This Row],[Delivery ID]],Allocation[Volume available (kg)])</f>
        <v>0.72304148531501</v>
      </c>
      <c r="U1160" s="61">
        <f>Allocation[[#This Row],[Total volume used]]/VLOOKUP(Allocation[[#This Row],[Delivery ID]],Delivery[[Delivery ID]:[Quantity delivered]],3,FALSE)</f>
        <v>0.67496665184526461</v>
      </c>
      <c r="V1160" s="34" t="e">
        <f>VLOOKUP(Allocation[[#This Row],[SAP Contract number]],Shipments[[SAP Contract number]:[Contracted container weight]],2,FALSE)</f>
        <v>#N/A</v>
      </c>
      <c r="W1160" s="34" t="e">
        <f>VLOOKUP(Allocation[[#This Row],[SAP Contract number]],Shipments[[SAP Contract number]:[AAA Premium USD]],24,FALSE)</f>
        <v>#N/A</v>
      </c>
      <c r="X1160" s="34" t="e">
        <f>VLOOKUP(Allocation[[#This Row],[SAP Contract number]],Shipments[[SAP Contract number]:[RA Premium USD]],25,FALSE)</f>
        <v>#N/A</v>
      </c>
      <c r="Y1160" s="38">
        <f>Allocation[[#This Row],[Quantity Processed]]/Allocation[[#This Row],[Quantity allocated]]</f>
        <v>3.0311526479750777</v>
      </c>
      <c r="Z1160" s="34" t="b">
        <f>Allocation[[#This Row],[Quantity allocated]]&lt;=Allocation[[#This Row],[Quantity Processed]]</f>
        <v>1</v>
      </c>
    </row>
    <row r="1161" spans="1:26">
      <c r="A1161" s="247" t="s">
        <v>467</v>
      </c>
      <c r="B1161" s="210" t="s">
        <v>68</v>
      </c>
      <c r="C1161" s="254" t="s">
        <v>1361</v>
      </c>
      <c r="D1161" s="255">
        <v>1748</v>
      </c>
      <c r="E1161" s="211" t="s">
        <v>1877</v>
      </c>
      <c r="F1161" s="212">
        <v>43544</v>
      </c>
      <c r="G1161" s="213">
        <v>2.7</v>
      </c>
      <c r="H1161" s="256">
        <v>577</v>
      </c>
      <c r="I1161" s="214">
        <v>1446434</v>
      </c>
      <c r="J1161" s="215">
        <v>21600</v>
      </c>
      <c r="K1161" s="212">
        <v>43587</v>
      </c>
      <c r="L1161" s="211" t="s">
        <v>1878</v>
      </c>
      <c r="M1161" s="216">
        <v>4615445946</v>
      </c>
      <c r="N1161" s="212">
        <v>43682</v>
      </c>
      <c r="O1161" s="217">
        <v>3.9611999999999998</v>
      </c>
      <c r="P1161" s="219"/>
      <c r="Q1161" s="34">
        <f>SUMIF(Allocation[Delivery ID],Allocation[[#This Row],[Delivery ID]],Allocation[Quantity Processed])</f>
        <v>6366</v>
      </c>
      <c r="R1161" s="61">
        <f>Allocation[[#This Row],[Total volume used]]/VLOOKUP(Allocation[[#This Row],[Delivery ID]],Delivery[[Delivery ID]:[Quantity delivered]],3,FALSE)</f>
        <v>0.42383488681757658</v>
      </c>
      <c r="S1161" s="34">
        <f>Allocation[[#This Row],[Quantity Processed]]/Allocation[[#This Row],[Dilution rate]]</f>
        <v>647.40740740740739</v>
      </c>
      <c r="T1161" s="59">
        <f>SUMIF(Allocation[Delivery ID],Allocation[[#This Row],[Delivery ID]],Allocation[Quantity allocated])/SUMIF(Allocation[Delivery ID],Allocation[[#This Row],[Delivery ID]],Allocation[Volume available (kg)])</f>
        <v>0.87691692120759035</v>
      </c>
      <c r="U1161" s="61">
        <f>Allocation[[#This Row],[Total volume used]]/VLOOKUP(Allocation[[#This Row],[Delivery ID]],Delivery[[Delivery ID]:[Quantity delivered]],3,FALSE)</f>
        <v>0.42383488681757658</v>
      </c>
      <c r="V1161" s="34" t="e">
        <f>VLOOKUP(Allocation[[#This Row],[SAP Contract number]],Shipments[[SAP Contract number]:[Contracted container weight]],2,FALSE)</f>
        <v>#N/A</v>
      </c>
      <c r="W1161" s="34" t="e">
        <f>VLOOKUP(Allocation[[#This Row],[SAP Contract number]],Shipments[[SAP Contract number]:[AAA Premium USD]],24,FALSE)</f>
        <v>#N/A</v>
      </c>
      <c r="X1161" s="34" t="e">
        <f>VLOOKUP(Allocation[[#This Row],[SAP Contract number]],Shipments[[SAP Contract number]:[RA Premium USD]],25,FALSE)</f>
        <v>#N/A</v>
      </c>
      <c r="Y1161" s="38">
        <f>Allocation[[#This Row],[Quantity Processed]]/Allocation[[#This Row],[Quantity allocated]]</f>
        <v>3.02946273830156</v>
      </c>
      <c r="Z1161" s="34" t="b">
        <f>Allocation[[#This Row],[Quantity allocated]]&lt;=Allocation[[#This Row],[Quantity Processed]]</f>
        <v>1</v>
      </c>
    </row>
    <row r="1162" spans="1:26">
      <c r="A1162" s="247" t="s">
        <v>467</v>
      </c>
      <c r="B1162" s="210" t="s">
        <v>68</v>
      </c>
      <c r="C1162" s="254" t="s">
        <v>561</v>
      </c>
      <c r="D1162" s="255">
        <v>2152</v>
      </c>
      <c r="E1162" s="211" t="s">
        <v>1877</v>
      </c>
      <c r="F1162" s="212">
        <v>43544</v>
      </c>
      <c r="G1162" s="213">
        <v>2.7</v>
      </c>
      <c r="H1162" s="256">
        <v>710</v>
      </c>
      <c r="I1162" s="214">
        <v>1446434</v>
      </c>
      <c r="J1162" s="215">
        <v>21600</v>
      </c>
      <c r="K1162" s="212">
        <v>43587</v>
      </c>
      <c r="L1162" s="211" t="s">
        <v>1878</v>
      </c>
      <c r="M1162" s="216">
        <v>4615445946</v>
      </c>
      <c r="N1162" s="212">
        <v>43682</v>
      </c>
      <c r="O1162" s="217">
        <v>3.9611999999999998</v>
      </c>
      <c r="P1162" s="219"/>
      <c r="Q1162" s="34">
        <f>SUMIF(Allocation[Delivery ID],Allocation[[#This Row],[Delivery ID]],Allocation[Quantity Processed])</f>
        <v>10736</v>
      </c>
      <c r="R1162" s="61">
        <f>Allocation[[#This Row],[Total volume used]]/VLOOKUP(Allocation[[#This Row],[Delivery ID]],Delivery[[Delivery ID]:[Quantity delivered]],3,FALSE)</f>
        <v>0.93356521739130438</v>
      </c>
      <c r="S1162" s="34">
        <f>Allocation[[#This Row],[Quantity Processed]]/Allocation[[#This Row],[Dilution rate]]</f>
        <v>797.03703703703695</v>
      </c>
      <c r="T1162" s="59">
        <f>SUMIF(Allocation[Delivery ID],Allocation[[#This Row],[Delivery ID]],Allocation[Quantity allocated])/SUMIF(Allocation[Delivery ID],Allocation[[#This Row],[Delivery ID]],Allocation[Volume available (kg)])</f>
        <v>0.8212168824808399</v>
      </c>
      <c r="U1162" s="61">
        <f>Allocation[[#This Row],[Total volume used]]/VLOOKUP(Allocation[[#This Row],[Delivery ID]],Delivery[[Delivery ID]:[Quantity delivered]],3,FALSE)</f>
        <v>0.93356521739130438</v>
      </c>
      <c r="V1162" s="34" t="e">
        <f>VLOOKUP(Allocation[[#This Row],[SAP Contract number]],Shipments[[SAP Contract number]:[Contracted container weight]],2,FALSE)</f>
        <v>#N/A</v>
      </c>
      <c r="W1162" s="34" t="e">
        <f>VLOOKUP(Allocation[[#This Row],[SAP Contract number]],Shipments[[SAP Contract number]:[AAA Premium USD]],24,FALSE)</f>
        <v>#N/A</v>
      </c>
      <c r="X1162" s="34" t="e">
        <f>VLOOKUP(Allocation[[#This Row],[SAP Contract number]],Shipments[[SAP Contract number]:[RA Premium USD]],25,FALSE)</f>
        <v>#N/A</v>
      </c>
      <c r="Y1162" s="38">
        <f>Allocation[[#This Row],[Quantity Processed]]/Allocation[[#This Row],[Quantity allocated]]</f>
        <v>3.0309859154929577</v>
      </c>
      <c r="Z1162" s="34" t="b">
        <f>Allocation[[#This Row],[Quantity allocated]]&lt;=Allocation[[#This Row],[Quantity Processed]]</f>
        <v>1</v>
      </c>
    </row>
    <row r="1163" spans="1:26">
      <c r="A1163" s="247" t="s">
        <v>467</v>
      </c>
      <c r="B1163" s="210" t="s">
        <v>68</v>
      </c>
      <c r="C1163" s="254" t="s">
        <v>1366</v>
      </c>
      <c r="D1163" s="255">
        <v>358</v>
      </c>
      <c r="E1163" s="211" t="s">
        <v>1877</v>
      </c>
      <c r="F1163" s="212">
        <v>43544</v>
      </c>
      <c r="G1163" s="213">
        <v>2.7</v>
      </c>
      <c r="H1163" s="256">
        <v>143</v>
      </c>
      <c r="I1163" s="214">
        <v>1446434</v>
      </c>
      <c r="J1163" s="215">
        <v>21600</v>
      </c>
      <c r="K1163" s="212">
        <v>43587</v>
      </c>
      <c r="L1163" s="211" t="s">
        <v>1878</v>
      </c>
      <c r="M1163" s="216">
        <v>4615445946</v>
      </c>
      <c r="N1163" s="212">
        <v>43682</v>
      </c>
      <c r="O1163" s="217">
        <v>3.9611999999999998</v>
      </c>
      <c r="P1163" s="219"/>
      <c r="Q1163" s="34">
        <f>SUMIF(Allocation[Delivery ID],Allocation[[#This Row],[Delivery ID]],Allocation[Quantity Processed])</f>
        <v>2010</v>
      </c>
      <c r="R1163" s="61">
        <f>Allocation[[#This Row],[Total volume used]]/VLOOKUP(Allocation[[#This Row],[Delivery ID]],Delivery[[Delivery ID]:[Quantity delivered]],3,FALSE)</f>
        <v>1</v>
      </c>
      <c r="S1163" s="34">
        <f>Allocation[[#This Row],[Quantity Processed]]/Allocation[[#This Row],[Dilution rate]]</f>
        <v>132.59259259259258</v>
      </c>
      <c r="T1163" s="59">
        <f>SUMIF(Allocation[Delivery ID],Allocation[[#This Row],[Delivery ID]],Allocation[Quantity allocated])/SUMIF(Allocation[Delivery ID],Allocation[[#This Row],[Delivery ID]],Allocation[Volume available (kg)])</f>
        <v>0.97889430553804702</v>
      </c>
      <c r="U1163" s="61">
        <f>Allocation[[#This Row],[Total volume used]]/VLOOKUP(Allocation[[#This Row],[Delivery ID]],Delivery[[Delivery ID]:[Quantity delivered]],3,FALSE)</f>
        <v>1</v>
      </c>
      <c r="V1163" s="34" t="e">
        <f>VLOOKUP(Allocation[[#This Row],[SAP Contract number]],Shipments[[SAP Contract number]:[Contracted container weight]],2,FALSE)</f>
        <v>#N/A</v>
      </c>
      <c r="W1163" s="34" t="e">
        <f>VLOOKUP(Allocation[[#This Row],[SAP Contract number]],Shipments[[SAP Contract number]:[AAA Premium USD]],24,FALSE)</f>
        <v>#N/A</v>
      </c>
      <c r="X1163" s="34" t="e">
        <f>VLOOKUP(Allocation[[#This Row],[SAP Contract number]],Shipments[[SAP Contract number]:[RA Premium USD]],25,FALSE)</f>
        <v>#N/A</v>
      </c>
      <c r="Y1163" s="38">
        <f>Allocation[[#This Row],[Quantity Processed]]/Allocation[[#This Row],[Quantity allocated]]</f>
        <v>2.5034965034965033</v>
      </c>
      <c r="Z1163" s="34" t="b">
        <f>Allocation[[#This Row],[Quantity allocated]]&lt;=Allocation[[#This Row],[Quantity Processed]]</f>
        <v>1</v>
      </c>
    </row>
    <row r="1164" spans="1:26">
      <c r="A1164" s="247" t="s">
        <v>467</v>
      </c>
      <c r="B1164" s="210" t="s">
        <v>68</v>
      </c>
      <c r="C1164" s="254" t="s">
        <v>1368</v>
      </c>
      <c r="D1164" s="255">
        <v>40</v>
      </c>
      <c r="E1164" s="211" t="s">
        <v>1877</v>
      </c>
      <c r="F1164" s="212">
        <v>43544</v>
      </c>
      <c r="G1164" s="213">
        <v>2.7</v>
      </c>
      <c r="H1164" s="256">
        <v>18</v>
      </c>
      <c r="I1164" s="214">
        <v>1446434</v>
      </c>
      <c r="J1164" s="215">
        <v>21600</v>
      </c>
      <c r="K1164" s="212">
        <v>43587</v>
      </c>
      <c r="L1164" s="211" t="s">
        <v>1878</v>
      </c>
      <c r="M1164" s="216">
        <v>4615445946</v>
      </c>
      <c r="N1164" s="212">
        <v>43682</v>
      </c>
      <c r="O1164" s="217">
        <v>3.9611999999999998</v>
      </c>
      <c r="P1164" s="219"/>
      <c r="Q1164" s="34">
        <f>SUMIF(Allocation[Delivery ID],Allocation[[#This Row],[Delivery ID]],Allocation[Quantity Processed])</f>
        <v>327</v>
      </c>
      <c r="R1164" s="61">
        <f>Allocation[[#This Row],[Total volume used]]/VLOOKUP(Allocation[[#This Row],[Delivery ID]],Delivery[[Delivery ID]:[Quantity delivered]],3,FALSE)</f>
        <v>0.11978021978021978</v>
      </c>
      <c r="S1164" s="34">
        <f>Allocation[[#This Row],[Quantity Processed]]/Allocation[[#This Row],[Dilution rate]]</f>
        <v>14.814814814814813</v>
      </c>
      <c r="T1164" s="59">
        <f>SUMIF(Allocation[Delivery ID],Allocation[[#This Row],[Delivery ID]],Allocation[Quantity allocated])/SUMIF(Allocation[Delivery ID],Allocation[[#This Row],[Delivery ID]],Allocation[Volume available (kg)])</f>
        <v>0.99353429860527831</v>
      </c>
      <c r="U1164" s="61">
        <f>Allocation[[#This Row],[Total volume used]]/VLOOKUP(Allocation[[#This Row],[Delivery ID]],Delivery[[Delivery ID]:[Quantity delivered]],3,FALSE)</f>
        <v>0.11978021978021978</v>
      </c>
      <c r="V1164" s="34" t="e">
        <f>VLOOKUP(Allocation[[#This Row],[SAP Contract number]],Shipments[[SAP Contract number]:[Contracted container weight]],2,FALSE)</f>
        <v>#N/A</v>
      </c>
      <c r="W1164" s="34" t="e">
        <f>VLOOKUP(Allocation[[#This Row],[SAP Contract number]],Shipments[[SAP Contract number]:[AAA Premium USD]],24,FALSE)</f>
        <v>#N/A</v>
      </c>
      <c r="X1164" s="34" t="e">
        <f>VLOOKUP(Allocation[[#This Row],[SAP Contract number]],Shipments[[SAP Contract number]:[RA Premium USD]],25,FALSE)</f>
        <v>#N/A</v>
      </c>
      <c r="Y1164" s="38">
        <f>Allocation[[#This Row],[Quantity Processed]]/Allocation[[#This Row],[Quantity allocated]]</f>
        <v>2.2222222222222223</v>
      </c>
      <c r="Z1164" s="34" t="b">
        <f>Allocation[[#This Row],[Quantity allocated]]&lt;=Allocation[[#This Row],[Quantity Processed]]</f>
        <v>1</v>
      </c>
    </row>
    <row r="1165" spans="1:26">
      <c r="A1165" s="247" t="s">
        <v>467</v>
      </c>
      <c r="B1165" s="210" t="s">
        <v>68</v>
      </c>
      <c r="C1165" s="254" t="s">
        <v>1370</v>
      </c>
      <c r="D1165" s="255">
        <v>298</v>
      </c>
      <c r="E1165" s="211" t="s">
        <v>1877</v>
      </c>
      <c r="F1165" s="212">
        <v>43544</v>
      </c>
      <c r="G1165" s="213">
        <v>2.7</v>
      </c>
      <c r="H1165" s="256">
        <v>134</v>
      </c>
      <c r="I1165" s="214">
        <v>1446434</v>
      </c>
      <c r="J1165" s="215">
        <v>21600</v>
      </c>
      <c r="K1165" s="212">
        <v>43587</v>
      </c>
      <c r="L1165" s="211" t="s">
        <v>1878</v>
      </c>
      <c r="M1165" s="216">
        <v>4615445946</v>
      </c>
      <c r="N1165" s="212">
        <v>43682</v>
      </c>
      <c r="O1165" s="217">
        <v>3.9611999999999998</v>
      </c>
      <c r="P1165" s="219"/>
      <c r="Q1165" s="34">
        <f>SUMIF(Allocation[Delivery ID],Allocation[[#This Row],[Delivery ID]],Allocation[Quantity Processed])</f>
        <v>2464</v>
      </c>
      <c r="R1165" s="61">
        <f>Allocation[[#This Row],[Total volume used]]/VLOOKUP(Allocation[[#This Row],[Delivery ID]],Delivery[[Delivery ID]:[Quantity delivered]],3,FALSE)</f>
        <v>0.12161895360315893</v>
      </c>
      <c r="S1165" s="34">
        <f>Allocation[[#This Row],[Quantity Processed]]/Allocation[[#This Row],[Dilution rate]]</f>
        <v>110.37037037037037</v>
      </c>
      <c r="T1165" s="59">
        <f>SUMIF(Allocation[Delivery ID],Allocation[[#This Row],[Delivery ID]],Allocation[Quantity allocated])/SUMIF(Allocation[Delivery ID],Allocation[[#This Row],[Delivery ID]],Allocation[Volume available (kg)])</f>
        <v>1.0096768207281628</v>
      </c>
      <c r="U1165" s="61">
        <f>Allocation[[#This Row],[Total volume used]]/VLOOKUP(Allocation[[#This Row],[Delivery ID]],Delivery[[Delivery ID]:[Quantity delivered]],3,FALSE)</f>
        <v>0.12161895360315893</v>
      </c>
      <c r="V1165" s="34" t="e">
        <f>VLOOKUP(Allocation[[#This Row],[SAP Contract number]],Shipments[[SAP Contract number]:[Contracted container weight]],2,FALSE)</f>
        <v>#N/A</v>
      </c>
      <c r="W1165" s="34" t="e">
        <f>VLOOKUP(Allocation[[#This Row],[SAP Contract number]],Shipments[[SAP Contract number]:[AAA Premium USD]],24,FALSE)</f>
        <v>#N/A</v>
      </c>
      <c r="X1165" s="34" t="e">
        <f>VLOOKUP(Allocation[[#This Row],[SAP Contract number]],Shipments[[SAP Contract number]:[RA Premium USD]],25,FALSE)</f>
        <v>#N/A</v>
      </c>
      <c r="Y1165" s="38">
        <f>Allocation[[#This Row],[Quantity Processed]]/Allocation[[#This Row],[Quantity allocated]]</f>
        <v>2.2238805970149254</v>
      </c>
      <c r="Z1165" s="34" t="b">
        <f>Allocation[[#This Row],[Quantity allocated]]&lt;=Allocation[[#This Row],[Quantity Processed]]</f>
        <v>1</v>
      </c>
    </row>
    <row r="1166" spans="1:26">
      <c r="A1166" s="247" t="s">
        <v>467</v>
      </c>
      <c r="B1166" s="210" t="s">
        <v>68</v>
      </c>
      <c r="C1166" s="254" t="s">
        <v>1371</v>
      </c>
      <c r="D1166" s="255">
        <v>1748</v>
      </c>
      <c r="E1166" s="211" t="s">
        <v>1877</v>
      </c>
      <c r="F1166" s="212">
        <v>43544</v>
      </c>
      <c r="G1166" s="213">
        <v>2.7</v>
      </c>
      <c r="H1166" s="256">
        <v>577</v>
      </c>
      <c r="I1166" s="214">
        <v>1446434</v>
      </c>
      <c r="J1166" s="215">
        <v>21600</v>
      </c>
      <c r="K1166" s="212">
        <v>43587</v>
      </c>
      <c r="L1166" s="211" t="s">
        <v>1878</v>
      </c>
      <c r="M1166" s="216">
        <v>4615445946</v>
      </c>
      <c r="N1166" s="212">
        <v>43682</v>
      </c>
      <c r="O1166" s="217">
        <v>3.9611999999999998</v>
      </c>
      <c r="P1166" s="219"/>
      <c r="Q1166" s="34">
        <f>SUMIF(Allocation[Delivery ID],Allocation[[#This Row],[Delivery ID]],Allocation[Quantity Processed])</f>
        <v>6360</v>
      </c>
      <c r="R1166" s="61">
        <f>Allocation[[#This Row],[Total volume used]]/VLOOKUP(Allocation[[#This Row],[Delivery ID]],Delivery[[Delivery ID]:[Quantity delivered]],3,FALSE)</f>
        <v>0.42399999999999999</v>
      </c>
      <c r="S1166" s="34">
        <f>Allocation[[#This Row],[Quantity Processed]]/Allocation[[#This Row],[Dilution rate]]</f>
        <v>647.40740740740739</v>
      </c>
      <c r="T1166" s="59">
        <f>SUMIF(Allocation[Delivery ID],Allocation[[#This Row],[Delivery ID]],Allocation[Quantity allocated])/SUMIF(Allocation[Delivery ID],Allocation[[#This Row],[Delivery ID]],Allocation[Volume available (kg)])</f>
        <v>0.87691095819810005</v>
      </c>
      <c r="U1166" s="61">
        <f>Allocation[[#This Row],[Total volume used]]/VLOOKUP(Allocation[[#This Row],[Delivery ID]],Delivery[[Delivery ID]:[Quantity delivered]],3,FALSE)</f>
        <v>0.42399999999999999</v>
      </c>
      <c r="V1166" s="34" t="e">
        <f>VLOOKUP(Allocation[[#This Row],[SAP Contract number]],Shipments[[SAP Contract number]:[Contracted container weight]],2,FALSE)</f>
        <v>#N/A</v>
      </c>
      <c r="W1166" s="34" t="e">
        <f>VLOOKUP(Allocation[[#This Row],[SAP Contract number]],Shipments[[SAP Contract number]:[AAA Premium USD]],24,FALSE)</f>
        <v>#N/A</v>
      </c>
      <c r="X1166" s="34" t="e">
        <f>VLOOKUP(Allocation[[#This Row],[SAP Contract number]],Shipments[[SAP Contract number]:[RA Premium USD]],25,FALSE)</f>
        <v>#N/A</v>
      </c>
      <c r="Y1166" s="38">
        <f>Allocation[[#This Row],[Quantity Processed]]/Allocation[[#This Row],[Quantity allocated]]</f>
        <v>3.02946273830156</v>
      </c>
      <c r="Z1166" s="34" t="b">
        <f>Allocation[[#This Row],[Quantity allocated]]&lt;=Allocation[[#This Row],[Quantity Processed]]</f>
        <v>1</v>
      </c>
    </row>
    <row r="1167" spans="1:26">
      <c r="A1167" s="247" t="s">
        <v>467</v>
      </c>
      <c r="B1167" s="210" t="s">
        <v>68</v>
      </c>
      <c r="C1167" s="254" t="s">
        <v>567</v>
      </c>
      <c r="D1167" s="255">
        <v>618</v>
      </c>
      <c r="E1167" s="211" t="s">
        <v>1877</v>
      </c>
      <c r="F1167" s="212">
        <v>43544</v>
      </c>
      <c r="G1167" s="213">
        <v>2.7</v>
      </c>
      <c r="H1167" s="256">
        <v>204</v>
      </c>
      <c r="I1167" s="214">
        <v>1446434</v>
      </c>
      <c r="J1167" s="215">
        <v>21600</v>
      </c>
      <c r="K1167" s="212">
        <v>43587</v>
      </c>
      <c r="L1167" s="211" t="s">
        <v>1878</v>
      </c>
      <c r="M1167" s="216">
        <v>4615445946</v>
      </c>
      <c r="N1167" s="212">
        <v>43682</v>
      </c>
      <c r="O1167" s="217">
        <v>3.9611999999999998</v>
      </c>
      <c r="P1167" s="219"/>
      <c r="Q1167" s="34">
        <f>SUMIF(Allocation[Delivery ID],Allocation[[#This Row],[Delivery ID]],Allocation[Quantity Processed])</f>
        <v>9599</v>
      </c>
      <c r="R1167" s="61">
        <f>Allocation[[#This Row],[Total volume used]]/VLOOKUP(Allocation[[#This Row],[Delivery ID]],Delivery[[Delivery ID]:[Quantity delivered]],3,FALSE)</f>
        <v>0.67456078706957134</v>
      </c>
      <c r="S1167" s="34">
        <f>Allocation[[#This Row],[Quantity Processed]]/Allocation[[#This Row],[Dilution rate]]</f>
        <v>228.88888888888889</v>
      </c>
      <c r="T1167" s="59">
        <f>SUMIF(Allocation[Delivery ID],Allocation[[#This Row],[Delivery ID]],Allocation[Quantity allocated])/SUMIF(Allocation[Delivery ID],Allocation[[#This Row],[Delivery ID]],Allocation[Volume available (kg)])</f>
        <v>0.72327415502228787</v>
      </c>
      <c r="U1167" s="61">
        <f>Allocation[[#This Row],[Total volume used]]/VLOOKUP(Allocation[[#This Row],[Delivery ID]],Delivery[[Delivery ID]:[Quantity delivered]],3,FALSE)</f>
        <v>0.67456078706957134</v>
      </c>
      <c r="V1167" s="34" t="e">
        <f>VLOOKUP(Allocation[[#This Row],[SAP Contract number]],Shipments[[SAP Contract number]:[Contracted container weight]],2,FALSE)</f>
        <v>#N/A</v>
      </c>
      <c r="W1167" s="34" t="e">
        <f>VLOOKUP(Allocation[[#This Row],[SAP Contract number]],Shipments[[SAP Contract number]:[AAA Premium USD]],24,FALSE)</f>
        <v>#N/A</v>
      </c>
      <c r="X1167" s="34" t="e">
        <f>VLOOKUP(Allocation[[#This Row],[SAP Contract number]],Shipments[[SAP Contract number]:[RA Premium USD]],25,FALSE)</f>
        <v>#N/A</v>
      </c>
      <c r="Y1167" s="38">
        <f>Allocation[[#This Row],[Quantity Processed]]/Allocation[[#This Row],[Quantity allocated]]</f>
        <v>3.0294117647058822</v>
      </c>
      <c r="Z1167" s="34" t="b">
        <f>Allocation[[#This Row],[Quantity allocated]]&lt;=Allocation[[#This Row],[Quantity Processed]]</f>
        <v>1</v>
      </c>
    </row>
    <row r="1168" spans="1:26">
      <c r="A1168" s="247" t="s">
        <v>467</v>
      </c>
      <c r="B1168" s="210" t="s">
        <v>68</v>
      </c>
      <c r="C1168" s="254" t="s">
        <v>1372</v>
      </c>
      <c r="D1168" s="255">
        <v>1223</v>
      </c>
      <c r="E1168" s="211" t="s">
        <v>1877</v>
      </c>
      <c r="F1168" s="212">
        <v>43544</v>
      </c>
      <c r="G1168" s="213">
        <v>2.7</v>
      </c>
      <c r="H1168" s="256">
        <v>538</v>
      </c>
      <c r="I1168" s="214">
        <v>1446434</v>
      </c>
      <c r="J1168" s="215">
        <v>21600</v>
      </c>
      <c r="K1168" s="212">
        <v>43587</v>
      </c>
      <c r="L1168" s="211" t="s">
        <v>1878</v>
      </c>
      <c r="M1168" s="216">
        <v>4615445946</v>
      </c>
      <c r="N1168" s="212">
        <v>43682</v>
      </c>
      <c r="O1168" s="217">
        <v>3.9611999999999998</v>
      </c>
      <c r="P1168" s="219"/>
      <c r="Q1168" s="34">
        <f>SUMIF(Allocation[Delivery ID],Allocation[[#This Row],[Delivery ID]],Allocation[Quantity Processed])</f>
        <v>4064</v>
      </c>
      <c r="R1168" s="61">
        <f>Allocation[[#This Row],[Total volume used]]/VLOOKUP(Allocation[[#This Row],[Delivery ID]],Delivery[[Delivery ID]:[Quantity delivered]],3,FALSE)</f>
        <v>0.26304207119741102</v>
      </c>
      <c r="S1168" s="34">
        <f>Allocation[[#This Row],[Quantity Processed]]/Allocation[[#This Row],[Dilution rate]]</f>
        <v>452.96296296296293</v>
      </c>
      <c r="T1168" s="59">
        <f>SUMIF(Allocation[Delivery ID],Allocation[[#This Row],[Delivery ID]],Allocation[Quantity allocated])/SUMIF(Allocation[Delivery ID],Allocation[[#This Row],[Delivery ID]],Allocation[Volume available (kg)])</f>
        <v>1.1702529587570443</v>
      </c>
      <c r="U1168" s="61">
        <f>Allocation[[#This Row],[Total volume used]]/VLOOKUP(Allocation[[#This Row],[Delivery ID]],Delivery[[Delivery ID]:[Quantity delivered]],3,FALSE)</f>
        <v>0.26304207119741102</v>
      </c>
      <c r="V1168" s="34" t="e">
        <f>VLOOKUP(Allocation[[#This Row],[SAP Contract number]],Shipments[[SAP Contract number]:[Contracted container weight]],2,FALSE)</f>
        <v>#N/A</v>
      </c>
      <c r="W1168" s="34" t="e">
        <f>VLOOKUP(Allocation[[#This Row],[SAP Contract number]],Shipments[[SAP Contract number]:[AAA Premium USD]],24,FALSE)</f>
        <v>#N/A</v>
      </c>
      <c r="X1168" s="34" t="e">
        <f>VLOOKUP(Allocation[[#This Row],[SAP Contract number]],Shipments[[SAP Contract number]:[RA Premium USD]],25,FALSE)</f>
        <v>#N/A</v>
      </c>
      <c r="Y1168" s="38">
        <f>Allocation[[#This Row],[Quantity Processed]]/Allocation[[#This Row],[Quantity allocated]]</f>
        <v>2.2732342007434942</v>
      </c>
      <c r="Z1168" s="34" t="b">
        <f>Allocation[[#This Row],[Quantity allocated]]&lt;=Allocation[[#This Row],[Quantity Processed]]</f>
        <v>1</v>
      </c>
    </row>
    <row r="1169" spans="1:26">
      <c r="A1169" s="247" t="s">
        <v>467</v>
      </c>
      <c r="B1169" s="210" t="s">
        <v>68</v>
      </c>
      <c r="C1169" s="254" t="s">
        <v>1374</v>
      </c>
      <c r="D1169" s="255">
        <v>441</v>
      </c>
      <c r="E1169" s="211" t="s">
        <v>1877</v>
      </c>
      <c r="F1169" s="212">
        <v>43544</v>
      </c>
      <c r="G1169" s="213">
        <v>2.7</v>
      </c>
      <c r="H1169" s="256">
        <v>194</v>
      </c>
      <c r="I1169" s="214">
        <v>1446434</v>
      </c>
      <c r="J1169" s="215">
        <v>21600</v>
      </c>
      <c r="K1169" s="212">
        <v>43587</v>
      </c>
      <c r="L1169" s="211" t="s">
        <v>1878</v>
      </c>
      <c r="M1169" s="216">
        <v>4615445946</v>
      </c>
      <c r="N1169" s="212">
        <v>43682</v>
      </c>
      <c r="O1169" s="217">
        <v>3.9611999999999998</v>
      </c>
      <c r="P1169" s="219"/>
      <c r="Q1169" s="34">
        <f>SUMIF(Allocation[Delivery ID],Allocation[[#This Row],[Delivery ID]],Allocation[Quantity Processed])</f>
        <v>1216</v>
      </c>
      <c r="R1169" s="61">
        <f>Allocation[[#This Row],[Total volume used]]/VLOOKUP(Allocation[[#This Row],[Delivery ID]],Delivery[[Delivery ID]:[Quantity delivered]],3,FALSE)</f>
        <v>0.21909909909909911</v>
      </c>
      <c r="S1169" s="34">
        <f>Allocation[[#This Row],[Quantity Processed]]/Allocation[[#This Row],[Dilution rate]]</f>
        <v>163.33333333333331</v>
      </c>
      <c r="T1169" s="59">
        <f>SUMIF(Allocation[Delivery ID],Allocation[[#This Row],[Delivery ID]],Allocation[Quantity allocated])/SUMIF(Allocation[Delivery ID],Allocation[[#This Row],[Delivery ID]],Allocation[Volume available (kg)])</f>
        <v>1.1739246153931462</v>
      </c>
      <c r="U1169" s="61">
        <f>Allocation[[#This Row],[Total volume used]]/VLOOKUP(Allocation[[#This Row],[Delivery ID]],Delivery[[Delivery ID]:[Quantity delivered]],3,FALSE)</f>
        <v>0.21909909909909911</v>
      </c>
      <c r="V1169" s="34" t="e">
        <f>VLOOKUP(Allocation[[#This Row],[SAP Contract number]],Shipments[[SAP Contract number]:[Contracted container weight]],2,FALSE)</f>
        <v>#N/A</v>
      </c>
      <c r="W1169" s="34" t="e">
        <f>VLOOKUP(Allocation[[#This Row],[SAP Contract number]],Shipments[[SAP Contract number]:[AAA Premium USD]],24,FALSE)</f>
        <v>#N/A</v>
      </c>
      <c r="X1169" s="34" t="e">
        <f>VLOOKUP(Allocation[[#This Row],[SAP Contract number]],Shipments[[SAP Contract number]:[RA Premium USD]],25,FALSE)</f>
        <v>#N/A</v>
      </c>
      <c r="Y1169" s="38">
        <f>Allocation[[#This Row],[Quantity Processed]]/Allocation[[#This Row],[Quantity allocated]]</f>
        <v>2.2731958762886597</v>
      </c>
      <c r="Z1169" s="34" t="b">
        <f>Allocation[[#This Row],[Quantity allocated]]&lt;=Allocation[[#This Row],[Quantity Processed]]</f>
        <v>1</v>
      </c>
    </row>
    <row r="1170" spans="1:26">
      <c r="A1170" s="247" t="s">
        <v>467</v>
      </c>
      <c r="B1170" s="210" t="s">
        <v>68</v>
      </c>
      <c r="C1170" s="254" t="s">
        <v>1376</v>
      </c>
      <c r="D1170" s="255">
        <v>2320</v>
      </c>
      <c r="E1170" s="211" t="s">
        <v>1877</v>
      </c>
      <c r="F1170" s="212">
        <v>43544</v>
      </c>
      <c r="G1170" s="213">
        <v>2.7</v>
      </c>
      <c r="H1170" s="256">
        <v>696</v>
      </c>
      <c r="I1170" s="214">
        <v>1446434</v>
      </c>
      <c r="J1170" s="215">
        <v>21600</v>
      </c>
      <c r="K1170" s="212">
        <v>43587</v>
      </c>
      <c r="L1170" s="211" t="s">
        <v>1878</v>
      </c>
      <c r="M1170" s="216">
        <v>4615445946</v>
      </c>
      <c r="N1170" s="212">
        <v>43682</v>
      </c>
      <c r="O1170" s="217">
        <v>3.9611999999999998</v>
      </c>
      <c r="P1170" s="219"/>
      <c r="Q1170" s="34">
        <f>SUMIF(Allocation[Delivery ID],Allocation[[#This Row],[Delivery ID]],Allocation[Quantity Processed])</f>
        <v>7720</v>
      </c>
      <c r="R1170" s="61">
        <f>Allocation[[#This Row],[Total volume used]]/VLOOKUP(Allocation[[#This Row],[Delivery ID]],Delivery[[Delivery ID]:[Quantity delivered]],3,FALSE)</f>
        <v>0.3869674185463659</v>
      </c>
      <c r="S1170" s="34">
        <f>Allocation[[#This Row],[Quantity Processed]]/Allocation[[#This Row],[Dilution rate]]</f>
        <v>859.25925925925924</v>
      </c>
      <c r="T1170" s="59">
        <f>SUMIF(Allocation[Delivery ID],Allocation[[#This Row],[Delivery ID]],Allocation[Quantity allocated])/SUMIF(Allocation[Delivery ID],Allocation[[#This Row],[Delivery ID]],Allocation[Volume available (kg)])</f>
        <v>0.79796361379487191</v>
      </c>
      <c r="U1170" s="61">
        <f>Allocation[[#This Row],[Total volume used]]/VLOOKUP(Allocation[[#This Row],[Delivery ID]],Delivery[[Delivery ID]:[Quantity delivered]],3,FALSE)</f>
        <v>0.3869674185463659</v>
      </c>
      <c r="V1170" s="34" t="e">
        <f>VLOOKUP(Allocation[[#This Row],[SAP Contract number]],Shipments[[SAP Contract number]:[Contracted container weight]],2,FALSE)</f>
        <v>#N/A</v>
      </c>
      <c r="W1170" s="34" t="e">
        <f>VLOOKUP(Allocation[[#This Row],[SAP Contract number]],Shipments[[SAP Contract number]:[AAA Premium USD]],24,FALSE)</f>
        <v>#N/A</v>
      </c>
      <c r="X1170" s="34" t="e">
        <f>VLOOKUP(Allocation[[#This Row],[SAP Contract number]],Shipments[[SAP Contract number]:[RA Premium USD]],25,FALSE)</f>
        <v>#N/A</v>
      </c>
      <c r="Y1170" s="38">
        <f>Allocation[[#This Row],[Quantity Processed]]/Allocation[[#This Row],[Quantity allocated]]</f>
        <v>3.3333333333333335</v>
      </c>
      <c r="Z1170" s="34" t="b">
        <f>Allocation[[#This Row],[Quantity allocated]]&lt;=Allocation[[#This Row],[Quantity Processed]]</f>
        <v>1</v>
      </c>
    </row>
    <row r="1171" spans="1:26">
      <c r="A1171" s="247" t="s">
        <v>467</v>
      </c>
      <c r="B1171" s="210" t="s">
        <v>68</v>
      </c>
      <c r="C1171" s="254" t="s">
        <v>1378</v>
      </c>
      <c r="D1171" s="255">
        <v>846</v>
      </c>
      <c r="E1171" s="211" t="s">
        <v>1877</v>
      </c>
      <c r="F1171" s="212">
        <v>43544</v>
      </c>
      <c r="G1171" s="213">
        <v>2.7</v>
      </c>
      <c r="H1171" s="256">
        <v>482</v>
      </c>
      <c r="I1171" s="214">
        <v>1446434</v>
      </c>
      <c r="J1171" s="215">
        <v>21600</v>
      </c>
      <c r="K1171" s="212">
        <v>43587</v>
      </c>
      <c r="L1171" s="211" t="s">
        <v>1878</v>
      </c>
      <c r="M1171" s="216">
        <v>4615445946</v>
      </c>
      <c r="N1171" s="212">
        <v>43682</v>
      </c>
      <c r="O1171" s="217">
        <v>3.9611999999999998</v>
      </c>
      <c r="P1171" s="219"/>
      <c r="Q1171" s="34">
        <f>SUMIF(Allocation[Delivery ID],Allocation[[#This Row],[Delivery ID]],Allocation[Quantity Processed])</f>
        <v>2813</v>
      </c>
      <c r="R1171" s="61">
        <f>Allocation[[#This Row],[Total volume used]]/VLOOKUP(Allocation[[#This Row],[Delivery ID]],Delivery[[Delivery ID]:[Quantity delivered]],3,FALSE)</f>
        <v>0.20310469314079421</v>
      </c>
      <c r="S1171" s="34">
        <f>Allocation[[#This Row],[Quantity Processed]]/Allocation[[#This Row],[Dilution rate]]</f>
        <v>313.33333333333331</v>
      </c>
      <c r="T1171" s="59">
        <f>SUMIF(Allocation[Delivery ID],Allocation[[#This Row],[Delivery ID]],Allocation[Quantity allocated])/SUMIF(Allocation[Delivery ID],Allocation[[#This Row],[Delivery ID]],Allocation[Volume available (kg)])</f>
        <v>1.5157515713259846</v>
      </c>
      <c r="U1171" s="61">
        <f>Allocation[[#This Row],[Total volume used]]/VLOOKUP(Allocation[[#This Row],[Delivery ID]],Delivery[[Delivery ID]:[Quantity delivered]],3,FALSE)</f>
        <v>0.20310469314079421</v>
      </c>
      <c r="V1171" s="34" t="e">
        <f>VLOOKUP(Allocation[[#This Row],[SAP Contract number]],Shipments[[SAP Contract number]:[Contracted container weight]],2,FALSE)</f>
        <v>#N/A</v>
      </c>
      <c r="W1171" s="34" t="e">
        <f>VLOOKUP(Allocation[[#This Row],[SAP Contract number]],Shipments[[SAP Contract number]:[AAA Premium USD]],24,FALSE)</f>
        <v>#N/A</v>
      </c>
      <c r="X1171" s="34" t="e">
        <f>VLOOKUP(Allocation[[#This Row],[SAP Contract number]],Shipments[[SAP Contract number]:[RA Premium USD]],25,FALSE)</f>
        <v>#N/A</v>
      </c>
      <c r="Y1171" s="38">
        <f>Allocation[[#This Row],[Quantity Processed]]/Allocation[[#This Row],[Quantity allocated]]</f>
        <v>1.7551867219917012</v>
      </c>
      <c r="Z1171" s="34" t="b">
        <f>Allocation[[#This Row],[Quantity allocated]]&lt;=Allocation[[#This Row],[Quantity Processed]]</f>
        <v>1</v>
      </c>
    </row>
    <row r="1172" spans="1:26">
      <c r="A1172" s="247" t="s">
        <v>467</v>
      </c>
      <c r="B1172" s="210" t="s">
        <v>68</v>
      </c>
      <c r="C1172" s="254" t="s">
        <v>1379</v>
      </c>
      <c r="D1172" s="255">
        <v>638</v>
      </c>
      <c r="E1172" s="211" t="s">
        <v>1877</v>
      </c>
      <c r="F1172" s="212">
        <v>43544</v>
      </c>
      <c r="G1172" s="213">
        <v>2.7</v>
      </c>
      <c r="H1172" s="256">
        <v>300</v>
      </c>
      <c r="I1172" s="214">
        <v>1446434</v>
      </c>
      <c r="J1172" s="215">
        <v>21600</v>
      </c>
      <c r="K1172" s="212">
        <v>43587</v>
      </c>
      <c r="L1172" s="211" t="s">
        <v>1878</v>
      </c>
      <c r="M1172" s="216">
        <v>4615445946</v>
      </c>
      <c r="N1172" s="212">
        <v>43682</v>
      </c>
      <c r="O1172" s="217">
        <v>3.9611999999999998</v>
      </c>
      <c r="P1172" s="219"/>
      <c r="Q1172" s="34">
        <f>SUMIF(Allocation[Delivery ID],Allocation[[#This Row],[Delivery ID]],Allocation[Quantity Processed])</f>
        <v>1759</v>
      </c>
      <c r="R1172" s="61">
        <f>Allocation[[#This Row],[Total volume used]]/VLOOKUP(Allocation[[#This Row],[Delivery ID]],Delivery[[Delivery ID]:[Quantity delivered]],3,FALSE)</f>
        <v>0.20406032482598607</v>
      </c>
      <c r="S1172" s="34">
        <f>Allocation[[#This Row],[Quantity Processed]]/Allocation[[#This Row],[Dilution rate]]</f>
        <v>236.29629629629628</v>
      </c>
      <c r="T1172" s="59">
        <f>SUMIF(Allocation[Delivery ID],Allocation[[#This Row],[Delivery ID]],Allocation[Quantity allocated])/SUMIF(Allocation[Delivery ID],Allocation[[#This Row],[Delivery ID]],Allocation[Volume available (kg)])</f>
        <v>1.2544936044755211</v>
      </c>
      <c r="U1172" s="61">
        <f>Allocation[[#This Row],[Total volume used]]/VLOOKUP(Allocation[[#This Row],[Delivery ID]],Delivery[[Delivery ID]:[Quantity delivered]],3,FALSE)</f>
        <v>0.20406032482598607</v>
      </c>
      <c r="V1172" s="34" t="e">
        <f>VLOOKUP(Allocation[[#This Row],[SAP Contract number]],Shipments[[SAP Contract number]:[Contracted container weight]],2,FALSE)</f>
        <v>#N/A</v>
      </c>
      <c r="W1172" s="34" t="e">
        <f>VLOOKUP(Allocation[[#This Row],[SAP Contract number]],Shipments[[SAP Contract number]:[AAA Premium USD]],24,FALSE)</f>
        <v>#N/A</v>
      </c>
      <c r="X1172" s="34" t="e">
        <f>VLOOKUP(Allocation[[#This Row],[SAP Contract number]],Shipments[[SAP Contract number]:[RA Premium USD]],25,FALSE)</f>
        <v>#N/A</v>
      </c>
      <c r="Y1172" s="38">
        <f>Allocation[[#This Row],[Quantity Processed]]/Allocation[[#This Row],[Quantity allocated]]</f>
        <v>2.1266666666666665</v>
      </c>
      <c r="Z1172" s="34" t="b">
        <f>Allocation[[#This Row],[Quantity allocated]]&lt;=Allocation[[#This Row],[Quantity Processed]]</f>
        <v>1</v>
      </c>
    </row>
    <row r="1173" spans="1:26">
      <c r="A1173" s="247" t="s">
        <v>467</v>
      </c>
      <c r="B1173" s="210" t="s">
        <v>68</v>
      </c>
      <c r="C1173" s="254" t="s">
        <v>1380</v>
      </c>
      <c r="D1173" s="255">
        <v>300</v>
      </c>
      <c r="E1173" s="211" t="s">
        <v>1877</v>
      </c>
      <c r="F1173" s="212">
        <v>43544</v>
      </c>
      <c r="G1173" s="213">
        <v>2.7</v>
      </c>
      <c r="H1173" s="256">
        <v>105</v>
      </c>
      <c r="I1173" s="214">
        <v>1446434</v>
      </c>
      <c r="J1173" s="215">
        <v>21600</v>
      </c>
      <c r="K1173" s="212">
        <v>43587</v>
      </c>
      <c r="L1173" s="211" t="s">
        <v>1878</v>
      </c>
      <c r="M1173" s="216">
        <v>4615445946</v>
      </c>
      <c r="N1173" s="212">
        <v>43682</v>
      </c>
      <c r="O1173" s="217">
        <v>3.9611999999999998</v>
      </c>
      <c r="P1173" s="219"/>
      <c r="Q1173" s="34">
        <f>SUMIF(Allocation[Delivery ID],Allocation[[#This Row],[Delivery ID]],Allocation[Quantity Processed])</f>
        <v>826</v>
      </c>
      <c r="R1173" s="61">
        <f>Allocation[[#This Row],[Total volume used]]/VLOOKUP(Allocation[[#This Row],[Delivery ID]],Delivery[[Delivery ID]:[Quantity delivered]],3,FALSE)</f>
        <v>0.27533333333333332</v>
      </c>
      <c r="S1173" s="34">
        <f>Allocation[[#This Row],[Quantity Processed]]/Allocation[[#This Row],[Dilution rate]]</f>
        <v>111.1111111111111</v>
      </c>
      <c r="T1173" s="59">
        <f>SUMIF(Allocation[Delivery ID],Allocation[[#This Row],[Delivery ID]],Allocation[Quantity allocated])/SUMIF(Allocation[Delivery ID],Allocation[[#This Row],[Delivery ID]],Allocation[Volume available (kg)])</f>
        <v>0.93354196341835627</v>
      </c>
      <c r="U1173" s="61">
        <f>Allocation[[#This Row],[Total volume used]]/VLOOKUP(Allocation[[#This Row],[Delivery ID]],Delivery[[Delivery ID]:[Quantity delivered]],3,FALSE)</f>
        <v>0.27533333333333332</v>
      </c>
      <c r="V1173" s="34" t="e">
        <f>VLOOKUP(Allocation[[#This Row],[SAP Contract number]],Shipments[[SAP Contract number]:[Contracted container weight]],2,FALSE)</f>
        <v>#N/A</v>
      </c>
      <c r="W1173" s="34" t="e">
        <f>VLOOKUP(Allocation[[#This Row],[SAP Contract number]],Shipments[[SAP Contract number]:[AAA Premium USD]],24,FALSE)</f>
        <v>#N/A</v>
      </c>
      <c r="X1173" s="34" t="e">
        <f>VLOOKUP(Allocation[[#This Row],[SAP Contract number]],Shipments[[SAP Contract number]:[RA Premium USD]],25,FALSE)</f>
        <v>#N/A</v>
      </c>
      <c r="Y1173" s="38">
        <f>Allocation[[#This Row],[Quantity Processed]]/Allocation[[#This Row],[Quantity allocated]]</f>
        <v>2.8571428571428572</v>
      </c>
      <c r="Z1173" s="34" t="b">
        <f>Allocation[[#This Row],[Quantity allocated]]&lt;=Allocation[[#This Row],[Quantity Processed]]</f>
        <v>1</v>
      </c>
    </row>
    <row r="1174" spans="1:26">
      <c r="A1174" s="247" t="s">
        <v>467</v>
      </c>
      <c r="B1174" s="210" t="s">
        <v>68</v>
      </c>
      <c r="C1174" s="254" t="s">
        <v>1386</v>
      </c>
      <c r="D1174" s="255">
        <v>879</v>
      </c>
      <c r="E1174" s="211" t="s">
        <v>1877</v>
      </c>
      <c r="F1174" s="212">
        <v>43544</v>
      </c>
      <c r="G1174" s="213">
        <v>2.7</v>
      </c>
      <c r="H1174" s="256">
        <v>290</v>
      </c>
      <c r="I1174" s="214">
        <v>1446434</v>
      </c>
      <c r="J1174" s="215">
        <v>21600</v>
      </c>
      <c r="K1174" s="212">
        <v>43587</v>
      </c>
      <c r="L1174" s="211" t="s">
        <v>1878</v>
      </c>
      <c r="M1174" s="216">
        <v>4615445946</v>
      </c>
      <c r="N1174" s="212">
        <v>43682</v>
      </c>
      <c r="O1174" s="217">
        <v>3.9611999999999998</v>
      </c>
      <c r="P1174" s="219"/>
      <c r="Q1174" s="34">
        <f>SUMIF(Allocation[Delivery ID],Allocation[[#This Row],[Delivery ID]],Allocation[Quantity Processed])</f>
        <v>2427</v>
      </c>
      <c r="R1174" s="61">
        <f>Allocation[[#This Row],[Total volume used]]/VLOOKUP(Allocation[[#This Row],[Delivery ID]],Delivery[[Delivery ID]:[Quantity delivered]],3,FALSE)</f>
        <v>0.29065868263473055</v>
      </c>
      <c r="S1174" s="34">
        <f>Allocation[[#This Row],[Quantity Processed]]/Allocation[[#This Row],[Dilution rate]]</f>
        <v>325.55555555555554</v>
      </c>
      <c r="T1174" s="59">
        <f>SUMIF(Allocation[Delivery ID],Allocation[[#This Row],[Delivery ID]],Allocation[Quantity allocated])/SUMIF(Allocation[Delivery ID],Allocation[[#This Row],[Delivery ID]],Allocation[Volume available (kg)])</f>
        <v>0.88060877056474307</v>
      </c>
      <c r="U1174" s="61">
        <f>Allocation[[#This Row],[Total volume used]]/VLOOKUP(Allocation[[#This Row],[Delivery ID]],Delivery[[Delivery ID]:[Quantity delivered]],3,FALSE)</f>
        <v>0.29065868263473055</v>
      </c>
      <c r="V1174" s="34" t="e">
        <f>VLOOKUP(Allocation[[#This Row],[SAP Contract number]],Shipments[[SAP Contract number]:[Contracted container weight]],2,FALSE)</f>
        <v>#N/A</v>
      </c>
      <c r="W1174" s="34" t="e">
        <f>VLOOKUP(Allocation[[#This Row],[SAP Contract number]],Shipments[[SAP Contract number]:[AAA Premium USD]],24,FALSE)</f>
        <v>#N/A</v>
      </c>
      <c r="X1174" s="34" t="e">
        <f>VLOOKUP(Allocation[[#This Row],[SAP Contract number]],Shipments[[SAP Contract number]:[RA Premium USD]],25,FALSE)</f>
        <v>#N/A</v>
      </c>
      <c r="Y1174" s="38">
        <f>Allocation[[#This Row],[Quantity Processed]]/Allocation[[#This Row],[Quantity allocated]]</f>
        <v>3.0310344827586206</v>
      </c>
      <c r="Z1174" s="34" t="b">
        <f>Allocation[[#This Row],[Quantity allocated]]&lt;=Allocation[[#This Row],[Quantity Processed]]</f>
        <v>1</v>
      </c>
    </row>
    <row r="1175" spans="1:26">
      <c r="A1175" s="247" t="s">
        <v>467</v>
      </c>
      <c r="B1175" s="210" t="s">
        <v>68</v>
      </c>
      <c r="C1175" s="254" t="s">
        <v>1387</v>
      </c>
      <c r="D1175" s="255">
        <v>4585</v>
      </c>
      <c r="E1175" s="211" t="s">
        <v>1877</v>
      </c>
      <c r="F1175" s="212">
        <v>43544</v>
      </c>
      <c r="G1175" s="213">
        <v>2.7</v>
      </c>
      <c r="H1175" s="256">
        <v>1513</v>
      </c>
      <c r="I1175" s="214">
        <v>1446434</v>
      </c>
      <c r="J1175" s="215">
        <v>21600</v>
      </c>
      <c r="K1175" s="212">
        <v>43587</v>
      </c>
      <c r="L1175" s="211" t="s">
        <v>1878</v>
      </c>
      <c r="M1175" s="216">
        <v>4615445946</v>
      </c>
      <c r="N1175" s="212">
        <v>43682</v>
      </c>
      <c r="O1175" s="217">
        <v>3.9611999999999998</v>
      </c>
      <c r="P1175" s="219"/>
      <c r="Q1175" s="34">
        <f>SUMIF(Allocation[Delivery ID],Allocation[[#This Row],[Delivery ID]],Allocation[Quantity Processed])</f>
        <v>13255</v>
      </c>
      <c r="R1175" s="61">
        <f>Allocation[[#This Row],[Total volume used]]/VLOOKUP(Allocation[[#This Row],[Delivery ID]],Delivery[[Delivery ID]:[Quantity delivered]],3,FALSE)</f>
        <v>0.86015574302401043</v>
      </c>
      <c r="S1175" s="34">
        <f>Allocation[[#This Row],[Quantity Processed]]/Allocation[[#This Row],[Dilution rate]]</f>
        <v>1698.148148148148</v>
      </c>
      <c r="T1175" s="59">
        <f>SUMIF(Allocation[Delivery ID],Allocation[[#This Row],[Delivery ID]],Allocation[Quantity allocated])/SUMIF(Allocation[Delivery ID],Allocation[[#This Row],[Delivery ID]],Allocation[Volume available (kg)])</f>
        <v>0.88004354526368123</v>
      </c>
      <c r="U1175" s="61">
        <f>Allocation[[#This Row],[Total volume used]]/VLOOKUP(Allocation[[#This Row],[Delivery ID]],Delivery[[Delivery ID]:[Quantity delivered]],3,FALSE)</f>
        <v>0.86015574302401043</v>
      </c>
      <c r="V1175" s="34" t="e">
        <f>VLOOKUP(Allocation[[#This Row],[SAP Contract number]],Shipments[[SAP Contract number]:[Contracted container weight]],2,FALSE)</f>
        <v>#N/A</v>
      </c>
      <c r="W1175" s="34" t="e">
        <f>VLOOKUP(Allocation[[#This Row],[SAP Contract number]],Shipments[[SAP Contract number]:[AAA Premium USD]],24,FALSE)</f>
        <v>#N/A</v>
      </c>
      <c r="X1175" s="34" t="e">
        <f>VLOOKUP(Allocation[[#This Row],[SAP Contract number]],Shipments[[SAP Contract number]:[RA Premium USD]],25,FALSE)</f>
        <v>#N/A</v>
      </c>
      <c r="Y1175" s="38">
        <f>Allocation[[#This Row],[Quantity Processed]]/Allocation[[#This Row],[Quantity allocated]]</f>
        <v>3.0304031725049572</v>
      </c>
      <c r="Z1175" s="34" t="b">
        <f>Allocation[[#This Row],[Quantity allocated]]&lt;=Allocation[[#This Row],[Quantity Processed]]</f>
        <v>1</v>
      </c>
    </row>
    <row r="1176" spans="1:26">
      <c r="A1176" s="247" t="s">
        <v>467</v>
      </c>
      <c r="B1176" s="210" t="s">
        <v>68</v>
      </c>
      <c r="C1176" s="254" t="s">
        <v>1388</v>
      </c>
      <c r="D1176" s="255">
        <v>420</v>
      </c>
      <c r="E1176" s="211" t="s">
        <v>1877</v>
      </c>
      <c r="F1176" s="212">
        <v>43544</v>
      </c>
      <c r="G1176" s="213">
        <v>2.7</v>
      </c>
      <c r="H1176" s="256">
        <v>126</v>
      </c>
      <c r="I1176" s="214">
        <v>1446434</v>
      </c>
      <c r="J1176" s="215">
        <v>21600</v>
      </c>
      <c r="K1176" s="212">
        <v>43587</v>
      </c>
      <c r="L1176" s="211" t="s">
        <v>1878</v>
      </c>
      <c r="M1176" s="216">
        <v>4615445946</v>
      </c>
      <c r="N1176" s="212">
        <v>43682</v>
      </c>
      <c r="O1176" s="217">
        <v>3.9611999999999998</v>
      </c>
      <c r="P1176" s="219"/>
      <c r="Q1176" s="34">
        <f>SUMIF(Allocation[Delivery ID],Allocation[[#This Row],[Delivery ID]],Allocation[Quantity Processed])</f>
        <v>3940</v>
      </c>
      <c r="R1176" s="61">
        <f>Allocation[[#This Row],[Total volume used]]/VLOOKUP(Allocation[[#This Row],[Delivery ID]],Delivery[[Delivery ID]:[Quantity delivered]],3,FALSE)</f>
        <v>0.20671563483735572</v>
      </c>
      <c r="S1176" s="34">
        <f>Allocation[[#This Row],[Quantity Processed]]/Allocation[[#This Row],[Dilution rate]]</f>
        <v>155.55555555555554</v>
      </c>
      <c r="T1176" s="59">
        <f>SUMIF(Allocation[Delivery ID],Allocation[[#This Row],[Delivery ID]],Allocation[Quantity allocated])/SUMIF(Allocation[Delivery ID],Allocation[[#This Row],[Delivery ID]],Allocation[Volume available (kg)])</f>
        <v>0.6362840904262469</v>
      </c>
      <c r="U1176" s="61">
        <f>Allocation[[#This Row],[Total volume used]]/VLOOKUP(Allocation[[#This Row],[Delivery ID]],Delivery[[Delivery ID]:[Quantity delivered]],3,FALSE)</f>
        <v>0.20671563483735572</v>
      </c>
      <c r="V1176" s="34" t="e">
        <f>VLOOKUP(Allocation[[#This Row],[SAP Contract number]],Shipments[[SAP Contract number]:[Contracted container weight]],2,FALSE)</f>
        <v>#N/A</v>
      </c>
      <c r="W1176" s="34" t="e">
        <f>VLOOKUP(Allocation[[#This Row],[SAP Contract number]],Shipments[[SAP Contract number]:[AAA Premium USD]],24,FALSE)</f>
        <v>#N/A</v>
      </c>
      <c r="X1176" s="34" t="e">
        <f>VLOOKUP(Allocation[[#This Row],[SAP Contract number]],Shipments[[SAP Contract number]:[RA Premium USD]],25,FALSE)</f>
        <v>#N/A</v>
      </c>
      <c r="Y1176" s="38">
        <f>Allocation[[#This Row],[Quantity Processed]]/Allocation[[#This Row],[Quantity allocated]]</f>
        <v>3.3333333333333335</v>
      </c>
      <c r="Z1176" s="34" t="b">
        <f>Allocation[[#This Row],[Quantity allocated]]&lt;=Allocation[[#This Row],[Quantity Processed]]</f>
        <v>1</v>
      </c>
    </row>
    <row r="1177" spans="1:26">
      <c r="A1177" s="247" t="s">
        <v>467</v>
      </c>
      <c r="B1177" s="210" t="s">
        <v>68</v>
      </c>
      <c r="C1177" s="254" t="s">
        <v>1389</v>
      </c>
      <c r="D1177" s="255">
        <v>447</v>
      </c>
      <c r="E1177" s="211" t="s">
        <v>1877</v>
      </c>
      <c r="F1177" s="212">
        <v>43544</v>
      </c>
      <c r="G1177" s="213">
        <v>2.7</v>
      </c>
      <c r="H1177" s="256">
        <v>134</v>
      </c>
      <c r="I1177" s="214">
        <v>1446434</v>
      </c>
      <c r="J1177" s="215">
        <v>21600</v>
      </c>
      <c r="K1177" s="212">
        <v>43587</v>
      </c>
      <c r="L1177" s="211" t="s">
        <v>1878</v>
      </c>
      <c r="M1177" s="216">
        <v>4615445946</v>
      </c>
      <c r="N1177" s="212">
        <v>43682</v>
      </c>
      <c r="O1177" s="217">
        <v>3.9611999999999998</v>
      </c>
      <c r="P1177" s="219"/>
      <c r="Q1177" s="34">
        <f>SUMIF(Allocation[Delivery ID],Allocation[[#This Row],[Delivery ID]],Allocation[Quantity Processed])</f>
        <v>4209</v>
      </c>
      <c r="R1177" s="61">
        <f>Allocation[[#This Row],[Total volume used]]/VLOOKUP(Allocation[[#This Row],[Delivery ID]],Delivery[[Delivery ID]:[Quantity delivered]],3,FALSE)</f>
        <v>0.20805734058329214</v>
      </c>
      <c r="S1177" s="34">
        <f>Allocation[[#This Row],[Quantity Processed]]/Allocation[[#This Row],[Dilution rate]]</f>
        <v>165.55555555555554</v>
      </c>
      <c r="T1177" s="59">
        <f>SUMIF(Allocation[Delivery ID],Allocation[[#This Row],[Delivery ID]],Allocation[Quantity allocated])/SUMIF(Allocation[Delivery ID],Allocation[[#This Row],[Delivery ID]],Allocation[Volume available (kg)])</f>
        <v>0.63580805210327485</v>
      </c>
      <c r="U1177" s="61">
        <f>Allocation[[#This Row],[Total volume used]]/VLOOKUP(Allocation[[#This Row],[Delivery ID]],Delivery[[Delivery ID]:[Quantity delivered]],3,FALSE)</f>
        <v>0.20805734058329214</v>
      </c>
      <c r="V1177" s="34" t="e">
        <f>VLOOKUP(Allocation[[#This Row],[SAP Contract number]],Shipments[[SAP Contract number]:[Contracted container weight]],2,FALSE)</f>
        <v>#N/A</v>
      </c>
      <c r="W1177" s="34" t="e">
        <f>VLOOKUP(Allocation[[#This Row],[SAP Contract number]],Shipments[[SAP Contract number]:[AAA Premium USD]],24,FALSE)</f>
        <v>#N/A</v>
      </c>
      <c r="X1177" s="34" t="e">
        <f>VLOOKUP(Allocation[[#This Row],[SAP Contract number]],Shipments[[SAP Contract number]:[RA Premium USD]],25,FALSE)</f>
        <v>#N/A</v>
      </c>
      <c r="Y1177" s="38">
        <f>Allocation[[#This Row],[Quantity Processed]]/Allocation[[#This Row],[Quantity allocated]]</f>
        <v>3.3358208955223883</v>
      </c>
      <c r="Z1177" s="34" t="b">
        <f>Allocation[[#This Row],[Quantity allocated]]&lt;=Allocation[[#This Row],[Quantity Processed]]</f>
        <v>1</v>
      </c>
    </row>
    <row r="1178" spans="1:26">
      <c r="A1178" s="247" t="s">
        <v>467</v>
      </c>
      <c r="B1178" s="210" t="s">
        <v>68</v>
      </c>
      <c r="C1178" s="254" t="s">
        <v>1392</v>
      </c>
      <c r="D1178" s="255">
        <v>1908</v>
      </c>
      <c r="E1178" s="211" t="s">
        <v>1877</v>
      </c>
      <c r="F1178" s="212">
        <v>43544</v>
      </c>
      <c r="G1178" s="213">
        <v>2.7</v>
      </c>
      <c r="H1178" s="256">
        <v>744</v>
      </c>
      <c r="I1178" s="214">
        <v>1446434</v>
      </c>
      <c r="J1178" s="215">
        <v>21600</v>
      </c>
      <c r="K1178" s="212">
        <v>43587</v>
      </c>
      <c r="L1178" s="211" t="s">
        <v>1878</v>
      </c>
      <c r="M1178" s="216">
        <v>4615445946</v>
      </c>
      <c r="N1178" s="212">
        <v>43682</v>
      </c>
      <c r="O1178" s="217">
        <v>3.9611999999999998</v>
      </c>
      <c r="P1178" s="219"/>
      <c r="Q1178" s="34">
        <f>SUMIF(Allocation[Delivery ID],Allocation[[#This Row],[Delivery ID]],Allocation[Quantity Processed])</f>
        <v>6344</v>
      </c>
      <c r="R1178" s="61">
        <f>Allocation[[#This Row],[Total volume used]]/VLOOKUP(Allocation[[#This Row],[Delivery ID]],Delivery[[Delivery ID]:[Quantity delivered]],3,FALSE)</f>
        <v>0.297282099343955</v>
      </c>
      <c r="S1178" s="34">
        <f>Allocation[[#This Row],[Quantity Processed]]/Allocation[[#This Row],[Dilution rate]]</f>
        <v>706.66666666666663</v>
      </c>
      <c r="T1178" s="59">
        <f>SUMIF(Allocation[Delivery ID],Allocation[[#This Row],[Delivery ID]],Allocation[Quantity allocated])/SUMIF(Allocation[Delivery ID],Allocation[[#This Row],[Delivery ID]],Allocation[Volume available (kg)])</f>
        <v>1.0372922683531849</v>
      </c>
      <c r="U1178" s="61">
        <f>Allocation[[#This Row],[Total volume used]]/VLOOKUP(Allocation[[#This Row],[Delivery ID]],Delivery[[Delivery ID]:[Quantity delivered]],3,FALSE)</f>
        <v>0.297282099343955</v>
      </c>
      <c r="V1178" s="34" t="e">
        <f>VLOOKUP(Allocation[[#This Row],[SAP Contract number]],Shipments[[SAP Contract number]:[Contracted container weight]],2,FALSE)</f>
        <v>#N/A</v>
      </c>
      <c r="W1178" s="34" t="e">
        <f>VLOOKUP(Allocation[[#This Row],[SAP Contract number]],Shipments[[SAP Contract number]:[AAA Premium USD]],24,FALSE)</f>
        <v>#N/A</v>
      </c>
      <c r="X1178" s="34" t="e">
        <f>VLOOKUP(Allocation[[#This Row],[SAP Contract number]],Shipments[[SAP Contract number]:[RA Premium USD]],25,FALSE)</f>
        <v>#N/A</v>
      </c>
      <c r="Y1178" s="38">
        <f>Allocation[[#This Row],[Quantity Processed]]/Allocation[[#This Row],[Quantity allocated]]</f>
        <v>2.564516129032258</v>
      </c>
      <c r="Z1178" s="34" t="b">
        <f>Allocation[[#This Row],[Quantity allocated]]&lt;=Allocation[[#This Row],[Quantity Processed]]</f>
        <v>1</v>
      </c>
    </row>
    <row r="1179" spans="1:26">
      <c r="A1179" s="247" t="s">
        <v>467</v>
      </c>
      <c r="B1179" s="210" t="s">
        <v>68</v>
      </c>
      <c r="C1179" s="254" t="s">
        <v>1396</v>
      </c>
      <c r="D1179" s="255">
        <v>1479</v>
      </c>
      <c r="E1179" s="211" t="s">
        <v>1877</v>
      </c>
      <c r="F1179" s="212">
        <v>43544</v>
      </c>
      <c r="G1179" s="213">
        <v>2.7</v>
      </c>
      <c r="H1179" s="256">
        <v>488</v>
      </c>
      <c r="I1179" s="214">
        <v>1446434</v>
      </c>
      <c r="J1179" s="215">
        <v>21600</v>
      </c>
      <c r="K1179" s="212">
        <v>43587</v>
      </c>
      <c r="L1179" s="211" t="s">
        <v>1878</v>
      </c>
      <c r="M1179" s="216">
        <v>4615445946</v>
      </c>
      <c r="N1179" s="212">
        <v>43682</v>
      </c>
      <c r="O1179" s="217">
        <v>3.9611999999999998</v>
      </c>
      <c r="P1179" s="219"/>
      <c r="Q1179" s="34">
        <f>SUMIF(Allocation[Delivery ID],Allocation[[#This Row],[Delivery ID]],Allocation[Quantity Processed])</f>
        <v>4921</v>
      </c>
      <c r="R1179" s="61">
        <f>Allocation[[#This Row],[Total volume used]]/VLOOKUP(Allocation[[#This Row],[Delivery ID]],Delivery[[Delivery ID]:[Quantity delivered]],3,FALSE)</f>
        <v>0.35049857549857549</v>
      </c>
      <c r="S1179" s="34">
        <f>Allocation[[#This Row],[Quantity Processed]]/Allocation[[#This Row],[Dilution rate]]</f>
        <v>547.77777777777771</v>
      </c>
      <c r="T1179" s="59">
        <f>SUMIF(Allocation[Delivery ID],Allocation[[#This Row],[Delivery ID]],Allocation[Quantity allocated])/SUMIF(Allocation[Delivery ID],Allocation[[#This Row],[Delivery ID]],Allocation[Volume available (kg)])</f>
        <v>0.87779462227618565</v>
      </c>
      <c r="U1179" s="61">
        <f>Allocation[[#This Row],[Total volume used]]/VLOOKUP(Allocation[[#This Row],[Delivery ID]],Delivery[[Delivery ID]:[Quantity delivered]],3,FALSE)</f>
        <v>0.35049857549857549</v>
      </c>
      <c r="V1179" s="34" t="e">
        <f>VLOOKUP(Allocation[[#This Row],[SAP Contract number]],Shipments[[SAP Contract number]:[Contracted container weight]],2,FALSE)</f>
        <v>#N/A</v>
      </c>
      <c r="W1179" s="34" t="e">
        <f>VLOOKUP(Allocation[[#This Row],[SAP Contract number]],Shipments[[SAP Contract number]:[AAA Premium USD]],24,FALSE)</f>
        <v>#N/A</v>
      </c>
      <c r="X1179" s="34" t="e">
        <f>VLOOKUP(Allocation[[#This Row],[SAP Contract number]],Shipments[[SAP Contract number]:[RA Premium USD]],25,FALSE)</f>
        <v>#N/A</v>
      </c>
      <c r="Y1179" s="38">
        <f>Allocation[[#This Row],[Quantity Processed]]/Allocation[[#This Row],[Quantity allocated]]</f>
        <v>3.0307377049180326</v>
      </c>
      <c r="Z1179" s="34" t="b">
        <f>Allocation[[#This Row],[Quantity allocated]]&lt;=Allocation[[#This Row],[Quantity Processed]]</f>
        <v>1</v>
      </c>
    </row>
    <row r="1180" spans="1:26">
      <c r="A1180" s="247" t="s">
        <v>467</v>
      </c>
      <c r="B1180" s="210" t="s">
        <v>68</v>
      </c>
      <c r="C1180" s="254" t="s">
        <v>1397</v>
      </c>
      <c r="D1180" s="255">
        <v>418</v>
      </c>
      <c r="E1180" s="211" t="s">
        <v>1877</v>
      </c>
      <c r="F1180" s="212">
        <v>43544</v>
      </c>
      <c r="G1180" s="213">
        <v>2.7</v>
      </c>
      <c r="H1180" s="256">
        <v>138</v>
      </c>
      <c r="I1180" s="214">
        <v>1446434</v>
      </c>
      <c r="J1180" s="215">
        <v>21600</v>
      </c>
      <c r="K1180" s="212">
        <v>43587</v>
      </c>
      <c r="L1180" s="211" t="s">
        <v>1878</v>
      </c>
      <c r="M1180" s="216">
        <v>4615445946</v>
      </c>
      <c r="N1180" s="212">
        <v>43682</v>
      </c>
      <c r="O1180" s="217">
        <v>3.9611999999999998</v>
      </c>
      <c r="P1180" s="219"/>
      <c r="Q1180" s="34">
        <f>SUMIF(Allocation[Delivery ID],Allocation[[#This Row],[Delivery ID]],Allocation[Quantity Processed])</f>
        <v>1155</v>
      </c>
      <c r="R1180" s="61">
        <f>Allocation[[#This Row],[Total volume used]]/VLOOKUP(Allocation[[#This Row],[Delivery ID]],Delivery[[Delivery ID]:[Quantity delivered]],3,FALSE)</f>
        <v>0.29166666666666669</v>
      </c>
      <c r="S1180" s="34">
        <f>Allocation[[#This Row],[Quantity Processed]]/Allocation[[#This Row],[Dilution rate]]</f>
        <v>154.81481481481481</v>
      </c>
      <c r="T1180" s="59">
        <f>SUMIF(Allocation[Delivery ID],Allocation[[#This Row],[Delivery ID]],Allocation[Quantity allocated])/SUMIF(Allocation[Delivery ID],Allocation[[#This Row],[Delivery ID]],Allocation[Volume available (kg)])</f>
        <v>0.8801303505968916</v>
      </c>
      <c r="U1180" s="61">
        <f>Allocation[[#This Row],[Total volume used]]/VLOOKUP(Allocation[[#This Row],[Delivery ID]],Delivery[[Delivery ID]:[Quantity delivered]],3,FALSE)</f>
        <v>0.29166666666666669</v>
      </c>
      <c r="V1180" s="34" t="e">
        <f>VLOOKUP(Allocation[[#This Row],[SAP Contract number]],Shipments[[SAP Contract number]:[Contracted container weight]],2,FALSE)</f>
        <v>#N/A</v>
      </c>
      <c r="W1180" s="34" t="e">
        <f>VLOOKUP(Allocation[[#This Row],[SAP Contract number]],Shipments[[SAP Contract number]:[AAA Premium USD]],24,FALSE)</f>
        <v>#N/A</v>
      </c>
      <c r="X1180" s="34" t="e">
        <f>VLOOKUP(Allocation[[#This Row],[SAP Contract number]],Shipments[[SAP Contract number]:[RA Premium USD]],25,FALSE)</f>
        <v>#N/A</v>
      </c>
      <c r="Y1180" s="38">
        <f>Allocation[[#This Row],[Quantity Processed]]/Allocation[[#This Row],[Quantity allocated]]</f>
        <v>3.0289855072463769</v>
      </c>
      <c r="Z1180" s="34" t="b">
        <f>Allocation[[#This Row],[Quantity allocated]]&lt;=Allocation[[#This Row],[Quantity Processed]]</f>
        <v>1</v>
      </c>
    </row>
    <row r="1181" spans="1:26">
      <c r="A1181" s="247" t="s">
        <v>467</v>
      </c>
      <c r="B1181" s="210" t="s">
        <v>68</v>
      </c>
      <c r="C1181" s="254" t="s">
        <v>569</v>
      </c>
      <c r="D1181" s="255">
        <v>461</v>
      </c>
      <c r="E1181" s="211" t="s">
        <v>1877</v>
      </c>
      <c r="F1181" s="212">
        <v>43544</v>
      </c>
      <c r="G1181" s="213">
        <v>2.7</v>
      </c>
      <c r="H1181" s="256">
        <v>152</v>
      </c>
      <c r="I1181" s="214">
        <v>1446434</v>
      </c>
      <c r="J1181" s="215">
        <v>21600</v>
      </c>
      <c r="K1181" s="212">
        <v>43587</v>
      </c>
      <c r="L1181" s="211" t="s">
        <v>1878</v>
      </c>
      <c r="M1181" s="216">
        <v>4615445946</v>
      </c>
      <c r="N1181" s="212">
        <v>43682</v>
      </c>
      <c r="O1181" s="217">
        <v>3.9611999999999998</v>
      </c>
      <c r="P1181" s="219"/>
      <c r="Q1181" s="34">
        <f>SUMIF(Allocation[Delivery ID],Allocation[[#This Row],[Delivery ID]],Allocation[Quantity Processed])</f>
        <v>7262</v>
      </c>
      <c r="R1181" s="61">
        <f>Allocation[[#This Row],[Total volume used]]/VLOOKUP(Allocation[[#This Row],[Delivery ID]],Delivery[[Delivery ID]:[Quantity delivered]],3,FALSE)</f>
        <v>0.60516666666666663</v>
      </c>
      <c r="S1181" s="34">
        <f>Allocation[[#This Row],[Quantity Processed]]/Allocation[[#This Row],[Dilution rate]]</f>
        <v>170.74074074074073</v>
      </c>
      <c r="T1181" s="59">
        <f>SUMIF(Allocation[Delivery ID],Allocation[[#This Row],[Delivery ID]],Allocation[Quantity allocated])/SUMIF(Allocation[Delivery ID],Allocation[[#This Row],[Delivery ID]],Allocation[Volume available (kg)])</f>
        <v>0.67035577324738682</v>
      </c>
      <c r="U1181" s="61">
        <f>Allocation[[#This Row],[Total volume used]]/VLOOKUP(Allocation[[#This Row],[Delivery ID]],Delivery[[Delivery ID]:[Quantity delivered]],3,FALSE)</f>
        <v>0.60516666666666663</v>
      </c>
      <c r="V1181" s="34" t="e">
        <f>VLOOKUP(Allocation[[#This Row],[SAP Contract number]],Shipments[[SAP Contract number]:[Contracted container weight]],2,FALSE)</f>
        <v>#N/A</v>
      </c>
      <c r="W1181" s="34" t="e">
        <f>VLOOKUP(Allocation[[#This Row],[SAP Contract number]],Shipments[[SAP Contract number]:[AAA Premium USD]],24,FALSE)</f>
        <v>#N/A</v>
      </c>
      <c r="X1181" s="34" t="e">
        <f>VLOOKUP(Allocation[[#This Row],[SAP Contract number]],Shipments[[SAP Contract number]:[RA Premium USD]],25,FALSE)</f>
        <v>#N/A</v>
      </c>
      <c r="Y1181" s="38">
        <f>Allocation[[#This Row],[Quantity Processed]]/Allocation[[#This Row],[Quantity allocated]]</f>
        <v>3.0328947368421053</v>
      </c>
      <c r="Z1181" s="34" t="b">
        <f>Allocation[[#This Row],[Quantity allocated]]&lt;=Allocation[[#This Row],[Quantity Processed]]</f>
        <v>1</v>
      </c>
    </row>
    <row r="1182" spans="1:26">
      <c r="A1182" s="247" t="s">
        <v>467</v>
      </c>
      <c r="B1182" s="210" t="s">
        <v>68</v>
      </c>
      <c r="C1182" s="254" t="s">
        <v>571</v>
      </c>
      <c r="D1182" s="255">
        <v>155</v>
      </c>
      <c r="E1182" s="211" t="s">
        <v>1877</v>
      </c>
      <c r="F1182" s="212">
        <v>43544</v>
      </c>
      <c r="G1182" s="213">
        <v>2.7</v>
      </c>
      <c r="H1182" s="256">
        <v>73</v>
      </c>
      <c r="I1182" s="214">
        <v>1446434</v>
      </c>
      <c r="J1182" s="215">
        <v>21600</v>
      </c>
      <c r="K1182" s="212">
        <v>43587</v>
      </c>
      <c r="L1182" s="211" t="s">
        <v>1878</v>
      </c>
      <c r="M1182" s="216">
        <v>4615445946</v>
      </c>
      <c r="N1182" s="212">
        <v>43682</v>
      </c>
      <c r="O1182" s="217">
        <v>3.9611999999999998</v>
      </c>
      <c r="P1182" s="219"/>
      <c r="Q1182" s="34">
        <f>SUMIF(Allocation[Delivery ID],Allocation[[#This Row],[Delivery ID]],Allocation[Quantity Processed])</f>
        <v>2415</v>
      </c>
      <c r="R1182" s="61">
        <f>Allocation[[#This Row],[Total volume used]]/VLOOKUP(Allocation[[#This Row],[Delivery ID]],Delivery[[Delivery ID]:[Quantity delivered]],3,FALSE)</f>
        <v>0.4716796875</v>
      </c>
      <c r="S1182" s="34">
        <f>Allocation[[#This Row],[Quantity Processed]]/Allocation[[#This Row],[Dilution rate]]</f>
        <v>57.407407407407405</v>
      </c>
      <c r="T1182" s="59">
        <f>SUMIF(Allocation[Delivery ID],Allocation[[#This Row],[Delivery ID]],Allocation[Quantity allocated])/SUMIF(Allocation[Delivery ID],Allocation[[#This Row],[Delivery ID]],Allocation[Volume available (kg)])</f>
        <v>1.0297957209646704</v>
      </c>
      <c r="U1182" s="61">
        <f>Allocation[[#This Row],[Total volume used]]/VLOOKUP(Allocation[[#This Row],[Delivery ID]],Delivery[[Delivery ID]:[Quantity delivered]],3,FALSE)</f>
        <v>0.4716796875</v>
      </c>
      <c r="V1182" s="34" t="e">
        <f>VLOOKUP(Allocation[[#This Row],[SAP Contract number]],Shipments[[SAP Contract number]:[Contracted container weight]],2,FALSE)</f>
        <v>#N/A</v>
      </c>
      <c r="W1182" s="34" t="e">
        <f>VLOOKUP(Allocation[[#This Row],[SAP Contract number]],Shipments[[SAP Contract number]:[AAA Premium USD]],24,FALSE)</f>
        <v>#N/A</v>
      </c>
      <c r="X1182" s="34" t="e">
        <f>VLOOKUP(Allocation[[#This Row],[SAP Contract number]],Shipments[[SAP Contract number]:[RA Premium USD]],25,FALSE)</f>
        <v>#N/A</v>
      </c>
      <c r="Y1182" s="38">
        <f>Allocation[[#This Row],[Quantity Processed]]/Allocation[[#This Row],[Quantity allocated]]</f>
        <v>2.1232876712328768</v>
      </c>
      <c r="Z1182" s="34" t="b">
        <f>Allocation[[#This Row],[Quantity allocated]]&lt;=Allocation[[#This Row],[Quantity Processed]]</f>
        <v>1</v>
      </c>
    </row>
    <row r="1183" spans="1:26">
      <c r="A1183" s="247" t="s">
        <v>467</v>
      </c>
      <c r="B1183" s="210" t="s">
        <v>68</v>
      </c>
      <c r="C1183" s="254" t="s">
        <v>1399</v>
      </c>
      <c r="D1183" s="255">
        <v>320</v>
      </c>
      <c r="E1183" s="211" t="s">
        <v>1877</v>
      </c>
      <c r="F1183" s="212">
        <v>43544</v>
      </c>
      <c r="G1183" s="213">
        <v>2.7</v>
      </c>
      <c r="H1183" s="256">
        <v>96</v>
      </c>
      <c r="I1183" s="214">
        <v>1446434</v>
      </c>
      <c r="J1183" s="215">
        <v>21600</v>
      </c>
      <c r="K1183" s="212">
        <v>43587</v>
      </c>
      <c r="L1183" s="211" t="s">
        <v>1878</v>
      </c>
      <c r="M1183" s="216">
        <v>4615445946</v>
      </c>
      <c r="N1183" s="212">
        <v>43682</v>
      </c>
      <c r="O1183" s="217">
        <v>3.9611999999999998</v>
      </c>
      <c r="P1183" s="219"/>
      <c r="Q1183" s="34">
        <f>SUMIF(Allocation[Delivery ID],Allocation[[#This Row],[Delivery ID]],Allocation[Quantity Processed])</f>
        <v>883</v>
      </c>
      <c r="R1183" s="61">
        <f>Allocation[[#This Row],[Total volume used]]/VLOOKUP(Allocation[[#This Row],[Delivery ID]],Delivery[[Delivery ID]:[Quantity delivered]],3,FALSE)</f>
        <v>0.31992753623188408</v>
      </c>
      <c r="S1183" s="34">
        <f>Allocation[[#This Row],[Quantity Processed]]/Allocation[[#This Row],[Dilution rate]]</f>
        <v>118.5185185185185</v>
      </c>
      <c r="T1183" s="59">
        <f>SUMIF(Allocation[Delivery ID],Allocation[[#This Row],[Delivery ID]],Allocation[Quantity allocated])/SUMIF(Allocation[Delivery ID],Allocation[[#This Row],[Delivery ID]],Allocation[Volume available (kg)])</f>
        <v>0.8007466971280095</v>
      </c>
      <c r="U1183" s="61">
        <f>Allocation[[#This Row],[Total volume used]]/VLOOKUP(Allocation[[#This Row],[Delivery ID]],Delivery[[Delivery ID]:[Quantity delivered]],3,FALSE)</f>
        <v>0.31992753623188408</v>
      </c>
      <c r="V1183" s="34" t="e">
        <f>VLOOKUP(Allocation[[#This Row],[SAP Contract number]],Shipments[[SAP Contract number]:[Contracted container weight]],2,FALSE)</f>
        <v>#N/A</v>
      </c>
      <c r="W1183" s="34" t="e">
        <f>VLOOKUP(Allocation[[#This Row],[SAP Contract number]],Shipments[[SAP Contract number]:[AAA Premium USD]],24,FALSE)</f>
        <v>#N/A</v>
      </c>
      <c r="X1183" s="34" t="e">
        <f>VLOOKUP(Allocation[[#This Row],[SAP Contract number]],Shipments[[SAP Contract number]:[RA Premium USD]],25,FALSE)</f>
        <v>#N/A</v>
      </c>
      <c r="Y1183" s="38">
        <f>Allocation[[#This Row],[Quantity Processed]]/Allocation[[#This Row],[Quantity allocated]]</f>
        <v>3.3333333333333335</v>
      </c>
      <c r="Z1183" s="34" t="b">
        <f>Allocation[[#This Row],[Quantity allocated]]&lt;=Allocation[[#This Row],[Quantity Processed]]</f>
        <v>1</v>
      </c>
    </row>
    <row r="1184" spans="1:26">
      <c r="A1184" s="247" t="s">
        <v>467</v>
      </c>
      <c r="B1184" s="210" t="s">
        <v>68</v>
      </c>
      <c r="C1184" s="254" t="s">
        <v>573</v>
      </c>
      <c r="D1184" s="255">
        <v>773</v>
      </c>
      <c r="E1184" s="211" t="s">
        <v>1877</v>
      </c>
      <c r="F1184" s="212">
        <v>43544</v>
      </c>
      <c r="G1184" s="213">
        <v>2.7</v>
      </c>
      <c r="H1184" s="256">
        <v>232</v>
      </c>
      <c r="I1184" s="214">
        <v>1446434</v>
      </c>
      <c r="J1184" s="215">
        <v>21600</v>
      </c>
      <c r="K1184" s="212">
        <v>43587</v>
      </c>
      <c r="L1184" s="211" t="s">
        <v>1878</v>
      </c>
      <c r="M1184" s="216">
        <v>4615445946</v>
      </c>
      <c r="N1184" s="212">
        <v>43682</v>
      </c>
      <c r="O1184" s="217">
        <v>3.9611999999999998</v>
      </c>
      <c r="P1184" s="219"/>
      <c r="Q1184" s="34">
        <f>SUMIF(Allocation[Delivery ID],Allocation[[#This Row],[Delivery ID]],Allocation[Quantity Processed])</f>
        <v>12026</v>
      </c>
      <c r="R1184" s="61">
        <f>Allocation[[#This Row],[Total volume used]]/VLOOKUP(Allocation[[#This Row],[Delivery ID]],Delivery[[Delivery ID]:[Quantity delivered]],3,FALSE)</f>
        <v>0.74188772362739053</v>
      </c>
      <c r="S1184" s="34">
        <f>Allocation[[#This Row],[Quantity Processed]]/Allocation[[#This Row],[Dilution rate]]</f>
        <v>286.2962962962963</v>
      </c>
      <c r="T1184" s="59">
        <f>SUMIF(Allocation[Delivery ID],Allocation[[#This Row],[Delivery ID]],Allocation[Quantity allocated])/SUMIF(Allocation[Delivery ID],Allocation[[#This Row],[Delivery ID]],Allocation[Volume available (kg)])</f>
        <v>0.65745962201999164</v>
      </c>
      <c r="U1184" s="61">
        <f>Allocation[[#This Row],[Total volume used]]/VLOOKUP(Allocation[[#This Row],[Delivery ID]],Delivery[[Delivery ID]:[Quantity delivered]],3,FALSE)</f>
        <v>0.74188772362739053</v>
      </c>
      <c r="V1184" s="34" t="e">
        <f>VLOOKUP(Allocation[[#This Row],[SAP Contract number]],Shipments[[SAP Contract number]:[Contracted container weight]],2,FALSE)</f>
        <v>#N/A</v>
      </c>
      <c r="W1184" s="34" t="e">
        <f>VLOOKUP(Allocation[[#This Row],[SAP Contract number]],Shipments[[SAP Contract number]:[AAA Premium USD]],24,FALSE)</f>
        <v>#N/A</v>
      </c>
      <c r="X1184" s="34" t="e">
        <f>VLOOKUP(Allocation[[#This Row],[SAP Contract number]],Shipments[[SAP Contract number]:[RA Premium USD]],25,FALSE)</f>
        <v>#N/A</v>
      </c>
      <c r="Y1184" s="38">
        <f>Allocation[[#This Row],[Quantity Processed]]/Allocation[[#This Row],[Quantity allocated]]</f>
        <v>3.3318965517241379</v>
      </c>
      <c r="Z1184" s="34" t="b">
        <f>Allocation[[#This Row],[Quantity allocated]]&lt;=Allocation[[#This Row],[Quantity Processed]]</f>
        <v>1</v>
      </c>
    </row>
    <row r="1185" spans="1:26">
      <c r="A1185" s="247" t="s">
        <v>467</v>
      </c>
      <c r="B1185" s="210" t="s">
        <v>68</v>
      </c>
      <c r="C1185" s="254" t="s">
        <v>581</v>
      </c>
      <c r="D1185" s="255">
        <v>1000</v>
      </c>
      <c r="E1185" s="211" t="s">
        <v>1877</v>
      </c>
      <c r="F1185" s="212">
        <v>43544</v>
      </c>
      <c r="G1185" s="213">
        <v>2.7</v>
      </c>
      <c r="H1185" s="256">
        <v>330</v>
      </c>
      <c r="I1185" s="214">
        <v>1446434</v>
      </c>
      <c r="J1185" s="215">
        <v>21600</v>
      </c>
      <c r="K1185" s="212">
        <v>43587</v>
      </c>
      <c r="L1185" s="211" t="s">
        <v>1878</v>
      </c>
      <c r="M1185" s="216">
        <v>4615445946</v>
      </c>
      <c r="N1185" s="212">
        <v>43682</v>
      </c>
      <c r="O1185" s="217">
        <v>3.9611999999999998</v>
      </c>
      <c r="P1185" s="219"/>
      <c r="Q1185" s="34">
        <f>SUMIF(Allocation[Delivery ID],Allocation[[#This Row],[Delivery ID]],Allocation[Quantity Processed])</f>
        <v>15552</v>
      </c>
      <c r="R1185" s="61">
        <f>Allocation[[#This Row],[Total volume used]]/VLOOKUP(Allocation[[#This Row],[Delivery ID]],Delivery[[Delivery ID]:[Quantity delivered]],3,FALSE)</f>
        <v>0.67588005215123859</v>
      </c>
      <c r="S1185" s="34">
        <f>Allocation[[#This Row],[Quantity Processed]]/Allocation[[#This Row],[Dilution rate]]</f>
        <v>370.37037037037032</v>
      </c>
      <c r="T1185" s="59">
        <f>SUMIF(Allocation[Delivery ID],Allocation[[#This Row],[Delivery ID]],Allocation[Quantity allocated])/SUMIF(Allocation[Delivery ID],Allocation[[#This Row],[Delivery ID]],Allocation[Volume available (kg)])</f>
        <v>0.72313923676224701</v>
      </c>
      <c r="U1185" s="61">
        <f>Allocation[[#This Row],[Total volume used]]/VLOOKUP(Allocation[[#This Row],[Delivery ID]],Delivery[[Delivery ID]:[Quantity delivered]],3,FALSE)</f>
        <v>0.67588005215123859</v>
      </c>
      <c r="V1185" s="34" t="e">
        <f>VLOOKUP(Allocation[[#This Row],[SAP Contract number]],Shipments[[SAP Contract number]:[Contracted container weight]],2,FALSE)</f>
        <v>#N/A</v>
      </c>
      <c r="W1185" s="34" t="e">
        <f>VLOOKUP(Allocation[[#This Row],[SAP Contract number]],Shipments[[SAP Contract number]:[AAA Premium USD]],24,FALSE)</f>
        <v>#N/A</v>
      </c>
      <c r="X1185" s="34" t="e">
        <f>VLOOKUP(Allocation[[#This Row],[SAP Contract number]],Shipments[[SAP Contract number]:[RA Premium USD]],25,FALSE)</f>
        <v>#N/A</v>
      </c>
      <c r="Y1185" s="38">
        <f>Allocation[[#This Row],[Quantity Processed]]/Allocation[[#This Row],[Quantity allocated]]</f>
        <v>3.0303030303030303</v>
      </c>
      <c r="Z1185" s="34" t="b">
        <f>Allocation[[#This Row],[Quantity allocated]]&lt;=Allocation[[#This Row],[Quantity Processed]]</f>
        <v>1</v>
      </c>
    </row>
    <row r="1186" spans="1:26">
      <c r="A1186" s="247" t="s">
        <v>467</v>
      </c>
      <c r="B1186" s="210" t="s">
        <v>68</v>
      </c>
      <c r="C1186" s="254" t="s">
        <v>582</v>
      </c>
      <c r="D1186" s="255">
        <v>379</v>
      </c>
      <c r="E1186" s="211" t="s">
        <v>1877</v>
      </c>
      <c r="F1186" s="212">
        <v>43544</v>
      </c>
      <c r="G1186" s="213">
        <v>2.7</v>
      </c>
      <c r="H1186" s="256">
        <v>125</v>
      </c>
      <c r="I1186" s="214">
        <v>1446434</v>
      </c>
      <c r="J1186" s="215">
        <v>21600</v>
      </c>
      <c r="K1186" s="212">
        <v>43587</v>
      </c>
      <c r="L1186" s="211" t="s">
        <v>1878</v>
      </c>
      <c r="M1186" s="216">
        <v>4615445946</v>
      </c>
      <c r="N1186" s="212">
        <v>43682</v>
      </c>
      <c r="O1186" s="217">
        <v>3.9611999999999998</v>
      </c>
      <c r="P1186" s="219"/>
      <c r="Q1186" s="34">
        <f>SUMIF(Allocation[Delivery ID],Allocation[[#This Row],[Delivery ID]],Allocation[Quantity Processed])</f>
        <v>5879</v>
      </c>
      <c r="R1186" s="61">
        <f>Allocation[[#This Row],[Total volume used]]/VLOOKUP(Allocation[[#This Row],[Delivery ID]],Delivery[[Delivery ID]:[Quantity delivered]],3,FALSE)</f>
        <v>0.67265446224256298</v>
      </c>
      <c r="S1186" s="34">
        <f>Allocation[[#This Row],[Quantity Processed]]/Allocation[[#This Row],[Dilution rate]]</f>
        <v>140.37037037037035</v>
      </c>
      <c r="T1186" s="59">
        <f>SUMIF(Allocation[Delivery ID],Allocation[[#This Row],[Delivery ID]],Allocation[Quantity allocated])/SUMIF(Allocation[Delivery ID],Allocation[[#This Row],[Delivery ID]],Allocation[Volume available (kg)])</f>
        <v>0.72326677996293631</v>
      </c>
      <c r="U1186" s="61">
        <f>Allocation[[#This Row],[Total volume used]]/VLOOKUP(Allocation[[#This Row],[Delivery ID]],Delivery[[Delivery ID]:[Quantity delivered]],3,FALSE)</f>
        <v>0.67265446224256298</v>
      </c>
      <c r="V1186" s="34" t="e">
        <f>VLOOKUP(Allocation[[#This Row],[SAP Contract number]],Shipments[[SAP Contract number]:[Contracted container weight]],2,FALSE)</f>
        <v>#N/A</v>
      </c>
      <c r="W1186" s="34" t="e">
        <f>VLOOKUP(Allocation[[#This Row],[SAP Contract number]],Shipments[[SAP Contract number]:[AAA Premium USD]],24,FALSE)</f>
        <v>#N/A</v>
      </c>
      <c r="X1186" s="34" t="e">
        <f>VLOOKUP(Allocation[[#This Row],[SAP Contract number]],Shipments[[SAP Contract number]:[RA Premium USD]],25,FALSE)</f>
        <v>#N/A</v>
      </c>
      <c r="Y1186" s="38">
        <f>Allocation[[#This Row],[Quantity Processed]]/Allocation[[#This Row],[Quantity allocated]]</f>
        <v>3.032</v>
      </c>
      <c r="Z1186" s="34" t="b">
        <f>Allocation[[#This Row],[Quantity allocated]]&lt;=Allocation[[#This Row],[Quantity Processed]]</f>
        <v>1</v>
      </c>
    </row>
    <row r="1187" spans="1:26">
      <c r="A1187" s="247" t="s">
        <v>467</v>
      </c>
      <c r="B1187" s="210" t="s">
        <v>68</v>
      </c>
      <c r="C1187" s="254" t="s">
        <v>583</v>
      </c>
      <c r="D1187" s="255">
        <v>1000</v>
      </c>
      <c r="E1187" s="211" t="s">
        <v>1877</v>
      </c>
      <c r="F1187" s="212">
        <v>43544</v>
      </c>
      <c r="G1187" s="213">
        <v>2.7</v>
      </c>
      <c r="H1187" s="256">
        <v>330</v>
      </c>
      <c r="I1187" s="214">
        <v>1446434</v>
      </c>
      <c r="J1187" s="215">
        <v>21600</v>
      </c>
      <c r="K1187" s="212">
        <v>43587</v>
      </c>
      <c r="L1187" s="211" t="s">
        <v>1878</v>
      </c>
      <c r="M1187" s="216">
        <v>4615445946</v>
      </c>
      <c r="N1187" s="212">
        <v>43682</v>
      </c>
      <c r="O1187" s="217">
        <v>3.9611999999999998</v>
      </c>
      <c r="P1187" s="219"/>
      <c r="Q1187" s="34">
        <f>SUMIF(Allocation[Delivery ID],Allocation[[#This Row],[Delivery ID]],Allocation[Quantity Processed])</f>
        <v>15619</v>
      </c>
      <c r="R1187" s="61">
        <f>Allocation[[#This Row],[Total volume used]]/VLOOKUP(Allocation[[#This Row],[Delivery ID]],Delivery[[Delivery ID]:[Quantity delivered]],3,FALSE)</f>
        <v>0.67410444540353909</v>
      </c>
      <c r="S1187" s="34">
        <f>Allocation[[#This Row],[Quantity Processed]]/Allocation[[#This Row],[Dilution rate]]</f>
        <v>370.37037037037032</v>
      </c>
      <c r="T1187" s="59">
        <f>SUMIF(Allocation[Delivery ID],Allocation[[#This Row],[Delivery ID]],Allocation[Quantity allocated])/SUMIF(Allocation[Delivery ID],Allocation[[#This Row],[Delivery ID]],Allocation[Volume available (kg)])</f>
        <v>0.72302027462828689</v>
      </c>
      <c r="U1187" s="61">
        <f>Allocation[[#This Row],[Total volume used]]/VLOOKUP(Allocation[[#This Row],[Delivery ID]],Delivery[[Delivery ID]:[Quantity delivered]],3,FALSE)</f>
        <v>0.67410444540353909</v>
      </c>
      <c r="V1187" s="34" t="e">
        <f>VLOOKUP(Allocation[[#This Row],[SAP Contract number]],Shipments[[SAP Contract number]:[Contracted container weight]],2,FALSE)</f>
        <v>#N/A</v>
      </c>
      <c r="W1187" s="34" t="e">
        <f>VLOOKUP(Allocation[[#This Row],[SAP Contract number]],Shipments[[SAP Contract number]:[AAA Premium USD]],24,FALSE)</f>
        <v>#N/A</v>
      </c>
      <c r="X1187" s="34" t="e">
        <f>VLOOKUP(Allocation[[#This Row],[SAP Contract number]],Shipments[[SAP Contract number]:[RA Premium USD]],25,FALSE)</f>
        <v>#N/A</v>
      </c>
      <c r="Y1187" s="38">
        <f>Allocation[[#This Row],[Quantity Processed]]/Allocation[[#This Row],[Quantity allocated]]</f>
        <v>3.0303030303030303</v>
      </c>
      <c r="Z1187" s="34" t="b">
        <f>Allocation[[#This Row],[Quantity allocated]]&lt;=Allocation[[#This Row],[Quantity Processed]]</f>
        <v>1</v>
      </c>
    </row>
    <row r="1188" spans="1:26">
      <c r="A1188" s="247" t="s">
        <v>467</v>
      </c>
      <c r="B1188" s="210" t="s">
        <v>68</v>
      </c>
      <c r="C1188" s="254" t="s">
        <v>1407</v>
      </c>
      <c r="D1188" s="255">
        <v>162</v>
      </c>
      <c r="E1188" s="211" t="s">
        <v>1877</v>
      </c>
      <c r="F1188" s="212">
        <v>43544</v>
      </c>
      <c r="G1188" s="213">
        <v>2.7</v>
      </c>
      <c r="H1188" s="256">
        <v>68</v>
      </c>
      <c r="I1188" s="214">
        <v>1446434</v>
      </c>
      <c r="J1188" s="215">
        <v>21600</v>
      </c>
      <c r="K1188" s="212">
        <v>43587</v>
      </c>
      <c r="L1188" s="211" t="s">
        <v>1878</v>
      </c>
      <c r="M1188" s="216">
        <v>4615445946</v>
      </c>
      <c r="N1188" s="212">
        <v>43682</v>
      </c>
      <c r="O1188" s="217">
        <v>3.9611999999999998</v>
      </c>
      <c r="P1188" s="219"/>
      <c r="Q1188" s="34">
        <f>SUMIF(Allocation[Delivery ID],Allocation[[#This Row],[Delivery ID]],Allocation[Quantity Processed])</f>
        <v>1117</v>
      </c>
      <c r="R1188" s="61">
        <f>Allocation[[#This Row],[Total volume used]]/VLOOKUP(Allocation[[#This Row],[Delivery ID]],Delivery[[Delivery ID]:[Quantity delivered]],3,FALSE)</f>
        <v>0.10918866080156403</v>
      </c>
      <c r="S1188" s="34">
        <f>Allocation[[#This Row],[Quantity Processed]]/Allocation[[#This Row],[Dilution rate]]</f>
        <v>59.999999999999993</v>
      </c>
      <c r="T1188" s="59">
        <f>SUMIF(Allocation[Delivery ID],Allocation[[#This Row],[Delivery ID]],Allocation[Quantity allocated])/SUMIF(Allocation[Delivery ID],Allocation[[#This Row],[Delivery ID]],Allocation[Volume available (kg)])</f>
        <v>0.94175676352267901</v>
      </c>
      <c r="U1188" s="61">
        <f>Allocation[[#This Row],[Total volume used]]/VLOOKUP(Allocation[[#This Row],[Delivery ID]],Delivery[[Delivery ID]:[Quantity delivered]],3,FALSE)</f>
        <v>0.10918866080156403</v>
      </c>
      <c r="V1188" s="34" t="e">
        <f>VLOOKUP(Allocation[[#This Row],[SAP Contract number]],Shipments[[SAP Contract number]:[Contracted container weight]],2,FALSE)</f>
        <v>#N/A</v>
      </c>
      <c r="W1188" s="34" t="e">
        <f>VLOOKUP(Allocation[[#This Row],[SAP Contract number]],Shipments[[SAP Contract number]:[AAA Premium USD]],24,FALSE)</f>
        <v>#N/A</v>
      </c>
      <c r="X1188" s="34" t="e">
        <f>VLOOKUP(Allocation[[#This Row],[SAP Contract number]],Shipments[[SAP Contract number]:[RA Premium USD]],25,FALSE)</f>
        <v>#N/A</v>
      </c>
      <c r="Y1188" s="38">
        <f>Allocation[[#This Row],[Quantity Processed]]/Allocation[[#This Row],[Quantity allocated]]</f>
        <v>2.3823529411764706</v>
      </c>
      <c r="Z1188" s="34" t="b">
        <f>Allocation[[#This Row],[Quantity allocated]]&lt;=Allocation[[#This Row],[Quantity Processed]]</f>
        <v>1</v>
      </c>
    </row>
    <row r="1189" spans="1:26">
      <c r="A1189" s="247" t="s">
        <v>467</v>
      </c>
      <c r="B1189" s="210" t="s">
        <v>68</v>
      </c>
      <c r="C1189" s="254" t="s">
        <v>1408</v>
      </c>
      <c r="D1189" s="255">
        <v>317</v>
      </c>
      <c r="E1189" s="211" t="s">
        <v>1877</v>
      </c>
      <c r="F1189" s="212">
        <v>43544</v>
      </c>
      <c r="G1189" s="213">
        <v>2.7</v>
      </c>
      <c r="H1189" s="256">
        <v>133</v>
      </c>
      <c r="I1189" s="214">
        <v>1446434</v>
      </c>
      <c r="J1189" s="215">
        <v>21600</v>
      </c>
      <c r="K1189" s="212">
        <v>43587</v>
      </c>
      <c r="L1189" s="211" t="s">
        <v>1878</v>
      </c>
      <c r="M1189" s="216">
        <v>4615445946</v>
      </c>
      <c r="N1189" s="212">
        <v>43682</v>
      </c>
      <c r="O1189" s="217">
        <v>3.9611999999999998</v>
      </c>
      <c r="P1189" s="219"/>
      <c r="Q1189" s="34">
        <f>SUMIF(Allocation[Delivery ID],Allocation[[#This Row],[Delivery ID]],Allocation[Quantity Processed])</f>
        <v>2375</v>
      </c>
      <c r="R1189" s="61">
        <f>Allocation[[#This Row],[Total volume used]]/VLOOKUP(Allocation[[#This Row],[Delivery ID]],Delivery[[Delivery ID]:[Quantity delivered]],3,FALSE)</f>
        <v>0.1185129740518962</v>
      </c>
      <c r="S1189" s="34">
        <f>Allocation[[#This Row],[Quantity Processed]]/Allocation[[#This Row],[Dilution rate]]</f>
        <v>117.4074074074074</v>
      </c>
      <c r="T1189" s="59">
        <f>SUMIF(Allocation[Delivery ID],Allocation[[#This Row],[Delivery ID]],Allocation[Quantity allocated])/SUMIF(Allocation[Delivery ID],Allocation[[#This Row],[Delivery ID]],Allocation[Volume available (kg)])</f>
        <v>0.95232763112325824</v>
      </c>
      <c r="U1189" s="61">
        <f>Allocation[[#This Row],[Total volume used]]/VLOOKUP(Allocation[[#This Row],[Delivery ID]],Delivery[[Delivery ID]:[Quantity delivered]],3,FALSE)</f>
        <v>0.1185129740518962</v>
      </c>
      <c r="V1189" s="34" t="e">
        <f>VLOOKUP(Allocation[[#This Row],[SAP Contract number]],Shipments[[SAP Contract number]:[Contracted container weight]],2,FALSE)</f>
        <v>#N/A</v>
      </c>
      <c r="W1189" s="34" t="e">
        <f>VLOOKUP(Allocation[[#This Row],[SAP Contract number]],Shipments[[SAP Contract number]:[AAA Premium USD]],24,FALSE)</f>
        <v>#N/A</v>
      </c>
      <c r="X1189" s="34" t="e">
        <f>VLOOKUP(Allocation[[#This Row],[SAP Contract number]],Shipments[[SAP Contract number]:[RA Premium USD]],25,FALSE)</f>
        <v>#N/A</v>
      </c>
      <c r="Y1189" s="38">
        <f>Allocation[[#This Row],[Quantity Processed]]/Allocation[[#This Row],[Quantity allocated]]</f>
        <v>2.3834586466165413</v>
      </c>
      <c r="Z1189" s="34" t="b">
        <f>Allocation[[#This Row],[Quantity allocated]]&lt;=Allocation[[#This Row],[Quantity Processed]]</f>
        <v>1</v>
      </c>
    </row>
    <row r="1190" spans="1:26">
      <c r="A1190" s="247" t="s">
        <v>467</v>
      </c>
      <c r="B1190" s="210" t="s">
        <v>68</v>
      </c>
      <c r="C1190" s="254" t="s">
        <v>1411</v>
      </c>
      <c r="D1190" s="255">
        <v>5800</v>
      </c>
      <c r="E1190" s="211" t="s">
        <v>1877</v>
      </c>
      <c r="F1190" s="212">
        <v>43544</v>
      </c>
      <c r="G1190" s="213">
        <v>2.7</v>
      </c>
      <c r="H1190" s="256">
        <v>1914</v>
      </c>
      <c r="I1190" s="214">
        <v>1446434</v>
      </c>
      <c r="J1190" s="215">
        <v>21600</v>
      </c>
      <c r="K1190" s="212">
        <v>43587</v>
      </c>
      <c r="L1190" s="211" t="s">
        <v>1878</v>
      </c>
      <c r="M1190" s="216">
        <v>4615445946</v>
      </c>
      <c r="N1190" s="212">
        <v>43682</v>
      </c>
      <c r="O1190" s="217">
        <v>3.9611999999999998</v>
      </c>
      <c r="P1190" s="219"/>
      <c r="Q1190" s="34">
        <f>SUMIF(Allocation[Delivery ID],Allocation[[#This Row],[Delivery ID]],Allocation[Quantity Processed])</f>
        <v>13853</v>
      </c>
      <c r="R1190" s="61">
        <f>Allocation[[#This Row],[Total volume used]]/VLOOKUP(Allocation[[#This Row],[Delivery ID]],Delivery[[Delivery ID]:[Quantity delivered]],3,FALSE)</f>
        <v>0.43700315457413247</v>
      </c>
      <c r="S1190" s="34">
        <f>Allocation[[#This Row],[Quantity Processed]]/Allocation[[#This Row],[Dilution rate]]</f>
        <v>2148.1481481481478</v>
      </c>
      <c r="T1190" s="59">
        <f>SUMIF(Allocation[Delivery ID],Allocation[[#This Row],[Delivery ID]],Allocation[Quantity allocated])/SUMIF(Allocation[Delivery ID],Allocation[[#This Row],[Delivery ID]],Allocation[Volume available (kg)])</f>
        <v>0.88022818013421911</v>
      </c>
      <c r="U1190" s="61">
        <f>Allocation[[#This Row],[Total volume used]]/VLOOKUP(Allocation[[#This Row],[Delivery ID]],Delivery[[Delivery ID]:[Quantity delivered]],3,FALSE)</f>
        <v>0.43700315457413247</v>
      </c>
      <c r="V1190" s="34" t="e">
        <f>VLOOKUP(Allocation[[#This Row],[SAP Contract number]],Shipments[[SAP Contract number]:[Contracted container weight]],2,FALSE)</f>
        <v>#N/A</v>
      </c>
      <c r="W1190" s="34" t="e">
        <f>VLOOKUP(Allocation[[#This Row],[SAP Contract number]],Shipments[[SAP Contract number]:[AAA Premium USD]],24,FALSE)</f>
        <v>#N/A</v>
      </c>
      <c r="X1190" s="34" t="e">
        <f>VLOOKUP(Allocation[[#This Row],[SAP Contract number]],Shipments[[SAP Contract number]:[RA Premium USD]],25,FALSE)</f>
        <v>#N/A</v>
      </c>
      <c r="Y1190" s="38">
        <f>Allocation[[#This Row],[Quantity Processed]]/Allocation[[#This Row],[Quantity allocated]]</f>
        <v>3.0303030303030303</v>
      </c>
      <c r="Z1190" s="34" t="b">
        <f>Allocation[[#This Row],[Quantity allocated]]&lt;=Allocation[[#This Row],[Quantity Processed]]</f>
        <v>1</v>
      </c>
    </row>
    <row r="1191" spans="1:26">
      <c r="A1191" s="247" t="s">
        <v>467</v>
      </c>
      <c r="B1191" s="210" t="s">
        <v>68</v>
      </c>
      <c r="C1191" s="254" t="s">
        <v>1411</v>
      </c>
      <c r="D1191" s="255">
        <v>261</v>
      </c>
      <c r="E1191" s="211" t="s">
        <v>1877</v>
      </c>
      <c r="F1191" s="212">
        <v>43544</v>
      </c>
      <c r="G1191" s="213">
        <v>2.7</v>
      </c>
      <c r="H1191" s="256">
        <v>86</v>
      </c>
      <c r="I1191" s="214">
        <v>1446435</v>
      </c>
      <c r="J1191" s="215">
        <v>21600</v>
      </c>
      <c r="K1191" s="212">
        <v>43587</v>
      </c>
      <c r="L1191" s="211" t="s">
        <v>1879</v>
      </c>
      <c r="M1191" s="216">
        <v>4615445946</v>
      </c>
      <c r="N1191" s="212">
        <v>43682</v>
      </c>
      <c r="O1191" s="217">
        <v>3.9611999999999998</v>
      </c>
      <c r="P1191" s="219"/>
      <c r="Q1191" s="34">
        <f>SUMIF(Allocation[Delivery ID],Allocation[[#This Row],[Delivery ID]],Allocation[Quantity Processed])</f>
        <v>13853</v>
      </c>
      <c r="R1191" s="61">
        <f>Allocation[[#This Row],[Total volume used]]/VLOOKUP(Allocation[[#This Row],[Delivery ID]],Delivery[[Delivery ID]:[Quantity delivered]],3,FALSE)</f>
        <v>0.43700315457413247</v>
      </c>
      <c r="S1191" s="34">
        <f>Allocation[[#This Row],[Quantity Processed]]/Allocation[[#This Row],[Dilution rate]]</f>
        <v>96.666666666666657</v>
      </c>
      <c r="T1191" s="59">
        <f>SUMIF(Allocation[Delivery ID],Allocation[[#This Row],[Delivery ID]],Allocation[Quantity allocated])/SUMIF(Allocation[Delivery ID],Allocation[[#This Row],[Delivery ID]],Allocation[Volume available (kg)])</f>
        <v>0.88022818013421911</v>
      </c>
      <c r="U1191" s="61">
        <f>Allocation[[#This Row],[Total volume used]]/VLOOKUP(Allocation[[#This Row],[Delivery ID]],Delivery[[Delivery ID]:[Quantity delivered]],3,FALSE)</f>
        <v>0.43700315457413247</v>
      </c>
      <c r="V1191" s="34" t="e">
        <f>VLOOKUP(Allocation[[#This Row],[SAP Contract number]],Shipments[[SAP Contract number]:[Contracted container weight]],2,FALSE)</f>
        <v>#N/A</v>
      </c>
      <c r="W1191" s="34" t="e">
        <f>VLOOKUP(Allocation[[#This Row],[SAP Contract number]],Shipments[[SAP Contract number]:[AAA Premium USD]],24,FALSE)</f>
        <v>#N/A</v>
      </c>
      <c r="X1191" s="34" t="e">
        <f>VLOOKUP(Allocation[[#This Row],[SAP Contract number]],Shipments[[SAP Contract number]:[RA Premium USD]],25,FALSE)</f>
        <v>#N/A</v>
      </c>
      <c r="Y1191" s="38">
        <f>Allocation[[#This Row],[Quantity Processed]]/Allocation[[#This Row],[Quantity allocated]]</f>
        <v>3.0348837209302326</v>
      </c>
      <c r="Z1191" s="34" t="b">
        <f>Allocation[[#This Row],[Quantity allocated]]&lt;=Allocation[[#This Row],[Quantity Processed]]</f>
        <v>1</v>
      </c>
    </row>
    <row r="1192" spans="1:26">
      <c r="A1192" s="247" t="s">
        <v>467</v>
      </c>
      <c r="B1192" s="210" t="s">
        <v>68</v>
      </c>
      <c r="C1192" s="254" t="s">
        <v>584</v>
      </c>
      <c r="D1192" s="255">
        <v>9042</v>
      </c>
      <c r="E1192" s="211" t="s">
        <v>1877</v>
      </c>
      <c r="F1192" s="212">
        <v>43544</v>
      </c>
      <c r="G1192" s="213">
        <v>2.7</v>
      </c>
      <c r="H1192" s="256">
        <v>2984</v>
      </c>
      <c r="I1192" s="214">
        <v>1446435</v>
      </c>
      <c r="J1192" s="215">
        <v>21600</v>
      </c>
      <c r="K1192" s="212">
        <v>43587</v>
      </c>
      <c r="L1192" s="211" t="s">
        <v>1879</v>
      </c>
      <c r="M1192" s="216">
        <v>4615445946</v>
      </c>
      <c r="N1192" s="212">
        <v>43682</v>
      </c>
      <c r="O1192" s="217">
        <v>3.9611999999999998</v>
      </c>
      <c r="P1192" s="219"/>
      <c r="Q1192" s="34">
        <f>SUMIF(Allocation[Delivery ID],Allocation[[#This Row],[Delivery ID]],Allocation[Quantity Processed])</f>
        <v>28370</v>
      </c>
      <c r="R1192" s="61">
        <f>Allocation[[#This Row],[Total volume used]]/VLOOKUP(Allocation[[#This Row],[Delivery ID]],Delivery[[Delivery ID]:[Quantity delivered]],3,FALSE)</f>
        <v>1</v>
      </c>
      <c r="S1192" s="34">
        <f>Allocation[[#This Row],[Quantity Processed]]/Allocation[[#This Row],[Dilution rate]]</f>
        <v>3348.8888888888887</v>
      </c>
      <c r="T1192" s="59">
        <f>SUMIF(Allocation[Delivery ID],Allocation[[#This Row],[Delivery ID]],Allocation[Quantity allocated])/SUMIF(Allocation[Delivery ID],Allocation[[#This Row],[Delivery ID]],Allocation[Volume available (kg)])</f>
        <v>0.81474893473147059</v>
      </c>
      <c r="U1192" s="61">
        <f>Allocation[[#This Row],[Total volume used]]/VLOOKUP(Allocation[[#This Row],[Delivery ID]],Delivery[[Delivery ID]:[Quantity delivered]],3,FALSE)</f>
        <v>1</v>
      </c>
      <c r="V1192" s="34" t="e">
        <f>VLOOKUP(Allocation[[#This Row],[SAP Contract number]],Shipments[[SAP Contract number]:[Contracted container weight]],2,FALSE)</f>
        <v>#N/A</v>
      </c>
      <c r="W1192" s="34" t="e">
        <f>VLOOKUP(Allocation[[#This Row],[SAP Contract number]],Shipments[[SAP Contract number]:[AAA Premium USD]],24,FALSE)</f>
        <v>#N/A</v>
      </c>
      <c r="X1192" s="34" t="e">
        <f>VLOOKUP(Allocation[[#This Row],[SAP Contract number]],Shipments[[SAP Contract number]:[RA Premium USD]],25,FALSE)</f>
        <v>#N/A</v>
      </c>
      <c r="Y1192" s="38">
        <f>Allocation[[#This Row],[Quantity Processed]]/Allocation[[#This Row],[Quantity allocated]]</f>
        <v>3.030160857908847</v>
      </c>
      <c r="Z1192" s="34" t="b">
        <f>Allocation[[#This Row],[Quantity allocated]]&lt;=Allocation[[#This Row],[Quantity Processed]]</f>
        <v>1</v>
      </c>
    </row>
    <row r="1193" spans="1:26">
      <c r="A1193" s="247" t="s">
        <v>467</v>
      </c>
      <c r="B1193" s="210" t="s">
        <v>68</v>
      </c>
      <c r="C1193" s="254" t="s">
        <v>586</v>
      </c>
      <c r="D1193" s="255">
        <v>8621</v>
      </c>
      <c r="E1193" s="211" t="s">
        <v>1877</v>
      </c>
      <c r="F1193" s="212">
        <v>43544</v>
      </c>
      <c r="G1193" s="213">
        <v>2.7</v>
      </c>
      <c r="H1193" s="256">
        <v>2845</v>
      </c>
      <c r="I1193" s="214">
        <v>1446435</v>
      </c>
      <c r="J1193" s="215">
        <v>21600</v>
      </c>
      <c r="K1193" s="212">
        <v>43587</v>
      </c>
      <c r="L1193" s="211" t="s">
        <v>1879</v>
      </c>
      <c r="M1193" s="216">
        <v>4615445946</v>
      </c>
      <c r="N1193" s="212">
        <v>43682</v>
      </c>
      <c r="O1193" s="217">
        <v>3.9611999999999998</v>
      </c>
      <c r="P1193" s="219"/>
      <c r="Q1193" s="34">
        <f>SUMIF(Allocation[Delivery ID],Allocation[[#This Row],[Delivery ID]],Allocation[Quantity Processed])</f>
        <v>27030</v>
      </c>
      <c r="R1193" s="61">
        <f>Allocation[[#This Row],[Total volume used]]/VLOOKUP(Allocation[[#This Row],[Delivery ID]],Delivery[[Delivery ID]:[Quantity delivered]],3,FALSE)</f>
        <v>1</v>
      </c>
      <c r="S1193" s="34">
        <f>Allocation[[#This Row],[Quantity Processed]]/Allocation[[#This Row],[Dilution rate]]</f>
        <v>3192.9629629629626</v>
      </c>
      <c r="T1193" s="59">
        <f>SUMIF(Allocation[Delivery ID],Allocation[[#This Row],[Delivery ID]],Allocation[Quantity allocated])/SUMIF(Allocation[Delivery ID],Allocation[[#This Row],[Delivery ID]],Allocation[Volume available (kg)])</f>
        <v>0.81452364840962477</v>
      </c>
      <c r="U1193" s="61">
        <f>Allocation[[#This Row],[Total volume used]]/VLOOKUP(Allocation[[#This Row],[Delivery ID]],Delivery[[Delivery ID]:[Quantity delivered]],3,FALSE)</f>
        <v>1</v>
      </c>
      <c r="V1193" s="34" t="e">
        <f>VLOOKUP(Allocation[[#This Row],[SAP Contract number]],Shipments[[SAP Contract number]:[Contracted container weight]],2,FALSE)</f>
        <v>#N/A</v>
      </c>
      <c r="W1193" s="34" t="e">
        <f>VLOOKUP(Allocation[[#This Row],[SAP Contract number]],Shipments[[SAP Contract number]:[AAA Premium USD]],24,FALSE)</f>
        <v>#N/A</v>
      </c>
      <c r="X1193" s="34" t="e">
        <f>VLOOKUP(Allocation[[#This Row],[SAP Contract number]],Shipments[[SAP Contract number]:[RA Premium USD]],25,FALSE)</f>
        <v>#N/A</v>
      </c>
      <c r="Y1193" s="38">
        <f>Allocation[[#This Row],[Quantity Processed]]/Allocation[[#This Row],[Quantity allocated]]</f>
        <v>3.0302284710017573</v>
      </c>
      <c r="Z1193" s="34" t="b">
        <f>Allocation[[#This Row],[Quantity allocated]]&lt;=Allocation[[#This Row],[Quantity Processed]]</f>
        <v>1</v>
      </c>
    </row>
    <row r="1194" spans="1:26">
      <c r="A1194" s="247" t="s">
        <v>467</v>
      </c>
      <c r="B1194" s="210" t="s">
        <v>68</v>
      </c>
      <c r="C1194" s="254" t="s">
        <v>587</v>
      </c>
      <c r="D1194" s="255">
        <v>5176</v>
      </c>
      <c r="E1194" s="211" t="s">
        <v>1877</v>
      </c>
      <c r="F1194" s="212">
        <v>43544</v>
      </c>
      <c r="G1194" s="213">
        <v>2.7</v>
      </c>
      <c r="H1194" s="256">
        <v>1708</v>
      </c>
      <c r="I1194" s="214">
        <v>1446435</v>
      </c>
      <c r="J1194" s="215">
        <v>21600</v>
      </c>
      <c r="K1194" s="212">
        <v>43587</v>
      </c>
      <c r="L1194" s="211" t="s">
        <v>1879</v>
      </c>
      <c r="M1194" s="216">
        <v>4615445946</v>
      </c>
      <c r="N1194" s="212">
        <v>43682</v>
      </c>
      <c r="O1194" s="217">
        <v>3.9611999999999998</v>
      </c>
      <c r="P1194" s="219"/>
      <c r="Q1194" s="34">
        <f>SUMIF(Allocation[Delivery ID],Allocation[[#This Row],[Delivery ID]],Allocation[Quantity Processed])</f>
        <v>16230</v>
      </c>
      <c r="R1194" s="61">
        <f>Allocation[[#This Row],[Total volume used]]/VLOOKUP(Allocation[[#This Row],[Delivery ID]],Delivery[[Delivery ID]:[Quantity delivered]],3,FALSE)</f>
        <v>1</v>
      </c>
      <c r="S1194" s="34">
        <f>Allocation[[#This Row],[Quantity Processed]]/Allocation[[#This Row],[Dilution rate]]</f>
        <v>1917.037037037037</v>
      </c>
      <c r="T1194" s="59">
        <f>SUMIF(Allocation[Delivery ID],Allocation[[#This Row],[Delivery ID]],Allocation[Quantity allocated])/SUMIF(Allocation[Delivery ID],Allocation[[#This Row],[Delivery ID]],Allocation[Volume available (kg)])</f>
        <v>0.81574057047417459</v>
      </c>
      <c r="U1194" s="61">
        <f>Allocation[[#This Row],[Total volume used]]/VLOOKUP(Allocation[[#This Row],[Delivery ID]],Delivery[[Delivery ID]:[Quantity delivered]],3,FALSE)</f>
        <v>1</v>
      </c>
      <c r="V1194" s="34" t="e">
        <f>VLOOKUP(Allocation[[#This Row],[SAP Contract number]],Shipments[[SAP Contract number]:[Contracted container weight]],2,FALSE)</f>
        <v>#N/A</v>
      </c>
      <c r="W1194" s="34" t="e">
        <f>VLOOKUP(Allocation[[#This Row],[SAP Contract number]],Shipments[[SAP Contract number]:[AAA Premium USD]],24,FALSE)</f>
        <v>#N/A</v>
      </c>
      <c r="X1194" s="34" t="e">
        <f>VLOOKUP(Allocation[[#This Row],[SAP Contract number]],Shipments[[SAP Contract number]:[RA Premium USD]],25,FALSE)</f>
        <v>#N/A</v>
      </c>
      <c r="Y1194" s="38">
        <f>Allocation[[#This Row],[Quantity Processed]]/Allocation[[#This Row],[Quantity allocated]]</f>
        <v>3.0304449648711942</v>
      </c>
      <c r="Z1194" s="34" t="b">
        <f>Allocation[[#This Row],[Quantity allocated]]&lt;=Allocation[[#This Row],[Quantity Processed]]</f>
        <v>1</v>
      </c>
    </row>
    <row r="1195" spans="1:26">
      <c r="A1195" s="247" t="s">
        <v>467</v>
      </c>
      <c r="B1195" s="210" t="s">
        <v>68</v>
      </c>
      <c r="C1195" s="254" t="s">
        <v>1415</v>
      </c>
      <c r="D1195" s="255">
        <v>552</v>
      </c>
      <c r="E1195" s="211" t="s">
        <v>1877</v>
      </c>
      <c r="F1195" s="212">
        <v>43544</v>
      </c>
      <c r="G1195" s="213">
        <v>2.7</v>
      </c>
      <c r="H1195" s="256">
        <v>182</v>
      </c>
      <c r="I1195" s="214">
        <v>1446435</v>
      </c>
      <c r="J1195" s="215">
        <v>21600</v>
      </c>
      <c r="K1195" s="212">
        <v>43587</v>
      </c>
      <c r="L1195" s="211" t="s">
        <v>1879</v>
      </c>
      <c r="M1195" s="216">
        <v>4615445946</v>
      </c>
      <c r="N1195" s="212">
        <v>43682</v>
      </c>
      <c r="O1195" s="217">
        <v>3.9611999999999998</v>
      </c>
      <c r="P1195" s="219"/>
      <c r="Q1195" s="34">
        <f>SUMIF(Allocation[Delivery ID],Allocation[[#This Row],[Delivery ID]],Allocation[Quantity Processed])</f>
        <v>1525</v>
      </c>
      <c r="R1195" s="61">
        <f>Allocation[[#This Row],[Total volume used]]/VLOOKUP(Allocation[[#This Row],[Delivery ID]],Delivery[[Delivery ID]:[Quantity delivered]],3,FALSE)</f>
        <v>0.29214559386973182</v>
      </c>
      <c r="S1195" s="34">
        <f>Allocation[[#This Row],[Quantity Processed]]/Allocation[[#This Row],[Dilution rate]]</f>
        <v>204.44444444444443</v>
      </c>
      <c r="T1195" s="59">
        <f>SUMIF(Allocation[Delivery ID],Allocation[[#This Row],[Delivery ID]],Allocation[Quantity allocated])/SUMIF(Allocation[Delivery ID],Allocation[[#This Row],[Delivery ID]],Allocation[Volume available (kg)])</f>
        <v>0.88004140870419656</v>
      </c>
      <c r="U1195" s="61">
        <f>Allocation[[#This Row],[Total volume used]]/VLOOKUP(Allocation[[#This Row],[Delivery ID]],Delivery[[Delivery ID]:[Quantity delivered]],3,FALSE)</f>
        <v>0.29214559386973182</v>
      </c>
      <c r="V1195" s="34" t="e">
        <f>VLOOKUP(Allocation[[#This Row],[SAP Contract number]],Shipments[[SAP Contract number]:[Contracted container weight]],2,FALSE)</f>
        <v>#N/A</v>
      </c>
      <c r="W1195" s="34" t="e">
        <f>VLOOKUP(Allocation[[#This Row],[SAP Contract number]],Shipments[[SAP Contract number]:[AAA Premium USD]],24,FALSE)</f>
        <v>#N/A</v>
      </c>
      <c r="X1195" s="34" t="e">
        <f>VLOOKUP(Allocation[[#This Row],[SAP Contract number]],Shipments[[SAP Contract number]:[RA Premium USD]],25,FALSE)</f>
        <v>#N/A</v>
      </c>
      <c r="Y1195" s="38">
        <f>Allocation[[#This Row],[Quantity Processed]]/Allocation[[#This Row],[Quantity allocated]]</f>
        <v>3.0329670329670328</v>
      </c>
      <c r="Z1195" s="34" t="b">
        <f>Allocation[[#This Row],[Quantity allocated]]&lt;=Allocation[[#This Row],[Quantity Processed]]</f>
        <v>1</v>
      </c>
    </row>
    <row r="1196" spans="1:26">
      <c r="A1196" s="247" t="s">
        <v>467</v>
      </c>
      <c r="B1196" s="210" t="s">
        <v>68</v>
      </c>
      <c r="C1196" s="254" t="s">
        <v>589</v>
      </c>
      <c r="D1196" s="255">
        <v>1800</v>
      </c>
      <c r="E1196" s="211" t="s">
        <v>1877</v>
      </c>
      <c r="F1196" s="212">
        <v>43544</v>
      </c>
      <c r="G1196" s="213">
        <v>2.7</v>
      </c>
      <c r="H1196" s="256">
        <v>637</v>
      </c>
      <c r="I1196" s="214">
        <v>1446435</v>
      </c>
      <c r="J1196" s="215">
        <v>21600</v>
      </c>
      <c r="K1196" s="212">
        <v>43587</v>
      </c>
      <c r="L1196" s="211" t="s">
        <v>1879</v>
      </c>
      <c r="M1196" s="216">
        <v>4615445946</v>
      </c>
      <c r="N1196" s="212">
        <v>43682</v>
      </c>
      <c r="O1196" s="217">
        <v>3.9611999999999998</v>
      </c>
      <c r="P1196" s="219"/>
      <c r="Q1196" s="34">
        <f>SUMIF(Allocation[Delivery ID],Allocation[[#This Row],[Delivery ID]],Allocation[Quantity Processed])</f>
        <v>6060</v>
      </c>
      <c r="R1196" s="61">
        <f>Allocation[[#This Row],[Total volume used]]/VLOOKUP(Allocation[[#This Row],[Delivery ID]],Delivery[[Delivery ID]:[Quantity delivered]],3,FALSE)</f>
        <v>1</v>
      </c>
      <c r="S1196" s="34">
        <f>Allocation[[#This Row],[Quantity Processed]]/Allocation[[#This Row],[Dilution rate]]</f>
        <v>666.66666666666663</v>
      </c>
      <c r="T1196" s="59">
        <f>SUMIF(Allocation[Delivery ID],Allocation[[#This Row],[Delivery ID]],Allocation[Quantity allocated])/SUMIF(Allocation[Delivery ID],Allocation[[#This Row],[Delivery ID]],Allocation[Volume available (kg)])</f>
        <v>0.77383181596254924</v>
      </c>
      <c r="U1196" s="61">
        <f>Allocation[[#This Row],[Total volume used]]/VLOOKUP(Allocation[[#This Row],[Delivery ID]],Delivery[[Delivery ID]:[Quantity delivered]],3,FALSE)</f>
        <v>1</v>
      </c>
      <c r="V1196" s="34" t="e">
        <f>VLOOKUP(Allocation[[#This Row],[SAP Contract number]],Shipments[[SAP Contract number]:[Contracted container weight]],2,FALSE)</f>
        <v>#N/A</v>
      </c>
      <c r="W1196" s="34" t="e">
        <f>VLOOKUP(Allocation[[#This Row],[SAP Contract number]],Shipments[[SAP Contract number]:[AAA Premium USD]],24,FALSE)</f>
        <v>#N/A</v>
      </c>
      <c r="X1196" s="34" t="e">
        <f>VLOOKUP(Allocation[[#This Row],[SAP Contract number]],Shipments[[SAP Contract number]:[RA Premium USD]],25,FALSE)</f>
        <v>#N/A</v>
      </c>
      <c r="Y1196" s="38">
        <f>Allocation[[#This Row],[Quantity Processed]]/Allocation[[#This Row],[Quantity allocated]]</f>
        <v>2.8257456828885399</v>
      </c>
      <c r="Z1196" s="34" t="b">
        <f>Allocation[[#This Row],[Quantity allocated]]&lt;=Allocation[[#This Row],[Quantity Processed]]</f>
        <v>1</v>
      </c>
    </row>
    <row r="1197" spans="1:26">
      <c r="A1197" s="247" t="s">
        <v>467</v>
      </c>
      <c r="B1197" s="210" t="s">
        <v>68</v>
      </c>
      <c r="C1197" s="254" t="s">
        <v>592</v>
      </c>
      <c r="D1197" s="255">
        <v>3573</v>
      </c>
      <c r="E1197" s="211" t="s">
        <v>1877</v>
      </c>
      <c r="F1197" s="212">
        <v>43544</v>
      </c>
      <c r="G1197" s="213">
        <v>2.7</v>
      </c>
      <c r="H1197" s="256">
        <v>1179</v>
      </c>
      <c r="I1197" s="214">
        <v>1446435</v>
      </c>
      <c r="J1197" s="215">
        <v>21600</v>
      </c>
      <c r="K1197" s="212">
        <v>43587</v>
      </c>
      <c r="L1197" s="211" t="s">
        <v>1879</v>
      </c>
      <c r="M1197" s="216">
        <v>4615445946</v>
      </c>
      <c r="N1197" s="212">
        <v>43682</v>
      </c>
      <c r="O1197" s="217">
        <v>3.9611999999999998</v>
      </c>
      <c r="P1197" s="219"/>
      <c r="Q1197" s="34">
        <f>SUMIF(Allocation[Delivery ID],Allocation[[#This Row],[Delivery ID]],Allocation[Quantity Processed])</f>
        <v>11220</v>
      </c>
      <c r="R1197" s="61">
        <f>Allocation[[#This Row],[Total volume used]]/VLOOKUP(Allocation[[#This Row],[Delivery ID]],Delivery[[Delivery ID]:[Quantity delivered]],3,FALSE)</f>
        <v>1</v>
      </c>
      <c r="S1197" s="34">
        <f>Allocation[[#This Row],[Quantity Processed]]/Allocation[[#This Row],[Dilution rate]]</f>
        <v>1323.3333333333333</v>
      </c>
      <c r="T1197" s="59">
        <f>SUMIF(Allocation[Delivery ID],Allocation[[#This Row],[Delivery ID]],Allocation[Quantity allocated])/SUMIF(Allocation[Delivery ID],Allocation[[#This Row],[Delivery ID]],Allocation[Volume available (kg)])</f>
        <v>0.7826926411263051</v>
      </c>
      <c r="U1197" s="61">
        <f>Allocation[[#This Row],[Total volume used]]/VLOOKUP(Allocation[[#This Row],[Delivery ID]],Delivery[[Delivery ID]:[Quantity delivered]],3,FALSE)</f>
        <v>1</v>
      </c>
      <c r="V1197" s="34" t="e">
        <f>VLOOKUP(Allocation[[#This Row],[SAP Contract number]],Shipments[[SAP Contract number]:[Contracted container weight]],2,FALSE)</f>
        <v>#N/A</v>
      </c>
      <c r="W1197" s="34" t="e">
        <f>VLOOKUP(Allocation[[#This Row],[SAP Contract number]],Shipments[[SAP Contract number]:[AAA Premium USD]],24,FALSE)</f>
        <v>#N/A</v>
      </c>
      <c r="X1197" s="34" t="e">
        <f>VLOOKUP(Allocation[[#This Row],[SAP Contract number]],Shipments[[SAP Contract number]:[RA Premium USD]],25,FALSE)</f>
        <v>#N/A</v>
      </c>
      <c r="Y1197" s="38">
        <f>Allocation[[#This Row],[Quantity Processed]]/Allocation[[#This Row],[Quantity allocated]]</f>
        <v>3.0305343511450382</v>
      </c>
      <c r="Z1197" s="34" t="b">
        <f>Allocation[[#This Row],[Quantity allocated]]&lt;=Allocation[[#This Row],[Quantity Processed]]</f>
        <v>1</v>
      </c>
    </row>
    <row r="1198" spans="1:26">
      <c r="A1198" s="247" t="s">
        <v>467</v>
      </c>
      <c r="B1198" s="210" t="s">
        <v>68</v>
      </c>
      <c r="C1198" s="254" t="s">
        <v>1420</v>
      </c>
      <c r="D1198" s="255">
        <v>309</v>
      </c>
      <c r="E1198" s="211" t="s">
        <v>1877</v>
      </c>
      <c r="F1198" s="212">
        <v>43544</v>
      </c>
      <c r="G1198" s="213">
        <v>2.7</v>
      </c>
      <c r="H1198" s="256">
        <v>139</v>
      </c>
      <c r="I1198" s="214">
        <v>1446435</v>
      </c>
      <c r="J1198" s="215">
        <v>21600</v>
      </c>
      <c r="K1198" s="212">
        <v>43587</v>
      </c>
      <c r="L1198" s="211" t="s">
        <v>1879</v>
      </c>
      <c r="M1198" s="216">
        <v>4615445946</v>
      </c>
      <c r="N1198" s="212">
        <v>43682</v>
      </c>
      <c r="O1198" s="217">
        <v>3.9611999999999998</v>
      </c>
      <c r="P1198" s="219"/>
      <c r="Q1198" s="34">
        <f>SUMIF(Allocation[Delivery ID],Allocation[[#This Row],[Delivery ID]],Allocation[Quantity Processed])</f>
        <v>2318</v>
      </c>
      <c r="R1198" s="61">
        <f>Allocation[[#This Row],[Total volume used]]/VLOOKUP(Allocation[[#This Row],[Delivery ID]],Delivery[[Delivery ID]:[Quantity delivered]],3,FALSE)</f>
        <v>0.11043353978084802</v>
      </c>
      <c r="S1198" s="34">
        <f>Allocation[[#This Row],[Quantity Processed]]/Allocation[[#This Row],[Dilution rate]]</f>
        <v>114.44444444444444</v>
      </c>
      <c r="T1198" s="59">
        <f>SUMIF(Allocation[Delivery ID],Allocation[[#This Row],[Delivery ID]],Allocation[Quantity allocated])/SUMIF(Allocation[Delivery ID],Allocation[[#This Row],[Delivery ID]],Allocation[Volume available (kg)])</f>
        <v>1.0207533828338875</v>
      </c>
      <c r="U1198" s="61">
        <f>Allocation[[#This Row],[Total volume used]]/VLOOKUP(Allocation[[#This Row],[Delivery ID]],Delivery[[Delivery ID]:[Quantity delivered]],3,FALSE)</f>
        <v>0.11043353978084802</v>
      </c>
      <c r="V1198" s="34" t="e">
        <f>VLOOKUP(Allocation[[#This Row],[SAP Contract number]],Shipments[[SAP Contract number]:[Contracted container weight]],2,FALSE)</f>
        <v>#N/A</v>
      </c>
      <c r="W1198" s="34" t="e">
        <f>VLOOKUP(Allocation[[#This Row],[SAP Contract number]],Shipments[[SAP Contract number]:[AAA Premium USD]],24,FALSE)</f>
        <v>#N/A</v>
      </c>
      <c r="X1198" s="34" t="e">
        <f>VLOOKUP(Allocation[[#This Row],[SAP Contract number]],Shipments[[SAP Contract number]:[RA Premium USD]],25,FALSE)</f>
        <v>#N/A</v>
      </c>
      <c r="Y1198" s="38">
        <f>Allocation[[#This Row],[Quantity Processed]]/Allocation[[#This Row],[Quantity allocated]]</f>
        <v>2.2230215827338129</v>
      </c>
      <c r="Z1198" s="34" t="b">
        <f>Allocation[[#This Row],[Quantity allocated]]&lt;=Allocation[[#This Row],[Quantity Processed]]</f>
        <v>1</v>
      </c>
    </row>
    <row r="1199" spans="1:26">
      <c r="A1199" s="247" t="s">
        <v>467</v>
      </c>
      <c r="B1199" s="210" t="s">
        <v>68</v>
      </c>
      <c r="C1199" s="254" t="s">
        <v>597</v>
      </c>
      <c r="D1199" s="255">
        <v>596</v>
      </c>
      <c r="E1199" s="211" t="s">
        <v>1877</v>
      </c>
      <c r="F1199" s="212">
        <v>43544</v>
      </c>
      <c r="G1199" s="213">
        <v>2.7</v>
      </c>
      <c r="H1199" s="256">
        <v>292</v>
      </c>
      <c r="I1199" s="214">
        <v>1446435</v>
      </c>
      <c r="J1199" s="215">
        <v>21600</v>
      </c>
      <c r="K1199" s="212">
        <v>43587</v>
      </c>
      <c r="L1199" s="211" t="s">
        <v>1879</v>
      </c>
      <c r="M1199" s="216">
        <v>4615445946</v>
      </c>
      <c r="N1199" s="212">
        <v>43682</v>
      </c>
      <c r="O1199" s="217">
        <v>3.9611999999999998</v>
      </c>
      <c r="P1199" s="219"/>
      <c r="Q1199" s="34">
        <f>SUMIF(Allocation[Delivery ID],Allocation[[#This Row],[Delivery ID]],Allocation[Quantity Processed])</f>
        <v>9699</v>
      </c>
      <c r="R1199" s="61">
        <f>Allocation[[#This Row],[Total volume used]]/VLOOKUP(Allocation[[#This Row],[Delivery ID]],Delivery[[Delivery ID]:[Quantity delivered]],3,FALSE)</f>
        <v>0.4747430249632893</v>
      </c>
      <c r="S1199" s="34">
        <f>Allocation[[#This Row],[Quantity Processed]]/Allocation[[#This Row],[Dilution rate]]</f>
        <v>220.74074074074073</v>
      </c>
      <c r="T1199" s="59">
        <f>SUMIF(Allocation[Delivery ID],Allocation[[#This Row],[Delivery ID]],Allocation[Quantity allocated])/SUMIF(Allocation[Delivery ID],Allocation[[#This Row],[Delivery ID]],Allocation[Volume available (kg)])</f>
        <v>1.0809257549804461</v>
      </c>
      <c r="U1199" s="61">
        <f>Allocation[[#This Row],[Total volume used]]/VLOOKUP(Allocation[[#This Row],[Delivery ID]],Delivery[[Delivery ID]:[Quantity delivered]],3,FALSE)</f>
        <v>0.4747430249632893</v>
      </c>
      <c r="V1199" s="34" t="e">
        <f>VLOOKUP(Allocation[[#This Row],[SAP Contract number]],Shipments[[SAP Contract number]:[Contracted container weight]],2,FALSE)</f>
        <v>#N/A</v>
      </c>
      <c r="W1199" s="34" t="e">
        <f>VLOOKUP(Allocation[[#This Row],[SAP Contract number]],Shipments[[SAP Contract number]:[AAA Premium USD]],24,FALSE)</f>
        <v>#N/A</v>
      </c>
      <c r="X1199" s="34" t="e">
        <f>VLOOKUP(Allocation[[#This Row],[SAP Contract number]],Shipments[[SAP Contract number]:[RA Premium USD]],25,FALSE)</f>
        <v>#N/A</v>
      </c>
      <c r="Y1199" s="38">
        <f>Allocation[[#This Row],[Quantity Processed]]/Allocation[[#This Row],[Quantity allocated]]</f>
        <v>2.0410958904109591</v>
      </c>
      <c r="Z1199" s="34" t="b">
        <f>Allocation[[#This Row],[Quantity allocated]]&lt;=Allocation[[#This Row],[Quantity Processed]]</f>
        <v>1</v>
      </c>
    </row>
    <row r="1200" spans="1:26">
      <c r="A1200" s="247" t="s">
        <v>467</v>
      </c>
      <c r="B1200" s="210" t="s">
        <v>68</v>
      </c>
      <c r="C1200" s="254" t="s">
        <v>1606</v>
      </c>
      <c r="D1200" s="255">
        <v>1542</v>
      </c>
      <c r="E1200" s="211" t="s">
        <v>1877</v>
      </c>
      <c r="F1200" s="212">
        <v>43544</v>
      </c>
      <c r="G1200" s="213">
        <v>2.7</v>
      </c>
      <c r="H1200" s="256">
        <v>509</v>
      </c>
      <c r="I1200" s="214">
        <v>1446435</v>
      </c>
      <c r="J1200" s="215">
        <v>21600</v>
      </c>
      <c r="K1200" s="212">
        <v>43587</v>
      </c>
      <c r="L1200" s="211" t="s">
        <v>1879</v>
      </c>
      <c r="M1200" s="216">
        <v>4615445946</v>
      </c>
      <c r="N1200" s="212">
        <v>43682</v>
      </c>
      <c r="O1200" s="217">
        <v>3.9611999999999998</v>
      </c>
      <c r="P1200" s="219"/>
      <c r="Q1200" s="34">
        <f>SUMIF(Allocation[Delivery ID],Allocation[[#This Row],[Delivery ID]],Allocation[Quantity Processed])</f>
        <v>5342</v>
      </c>
      <c r="R1200" s="61">
        <f>Allocation[[#This Row],[Total volume used]]/VLOOKUP(Allocation[[#This Row],[Delivery ID]],Delivery[[Delivery ID]:[Quantity delivered]],3,FALSE)</f>
        <v>0.29319429198682767</v>
      </c>
      <c r="S1200" s="34">
        <f>Allocation[[#This Row],[Quantity Processed]]/Allocation[[#This Row],[Dilution rate]]</f>
        <v>571.11111111111109</v>
      </c>
      <c r="T1200" s="59">
        <f>SUMIF(Allocation[Delivery ID],Allocation[[#This Row],[Delivery ID]],Allocation[Quantity allocated])/SUMIF(Allocation[Delivery ID],Allocation[[#This Row],[Delivery ID]],Allocation[Volume available (kg)])</f>
        <v>0.87749520815179838</v>
      </c>
      <c r="U1200" s="61">
        <f>Allocation[[#This Row],[Total volume used]]/VLOOKUP(Allocation[[#This Row],[Delivery ID]],Delivery[[Delivery ID]:[Quantity delivered]],3,FALSE)</f>
        <v>0.29319429198682767</v>
      </c>
      <c r="V1200" s="34" t="e">
        <f>VLOOKUP(Allocation[[#This Row],[SAP Contract number]],Shipments[[SAP Contract number]:[Contracted container weight]],2,FALSE)</f>
        <v>#N/A</v>
      </c>
      <c r="W1200" s="34" t="e">
        <f>VLOOKUP(Allocation[[#This Row],[SAP Contract number]],Shipments[[SAP Contract number]:[AAA Premium USD]],24,FALSE)</f>
        <v>#N/A</v>
      </c>
      <c r="X1200" s="34" t="e">
        <f>VLOOKUP(Allocation[[#This Row],[SAP Contract number]],Shipments[[SAP Contract number]:[RA Premium USD]],25,FALSE)</f>
        <v>#N/A</v>
      </c>
      <c r="Y1200" s="38">
        <f>Allocation[[#This Row],[Quantity Processed]]/Allocation[[#This Row],[Quantity allocated]]</f>
        <v>3.0294695481335951</v>
      </c>
      <c r="Z1200" s="34" t="b">
        <f>Allocation[[#This Row],[Quantity allocated]]&lt;=Allocation[[#This Row],[Quantity Processed]]</f>
        <v>1</v>
      </c>
    </row>
    <row r="1201" spans="1:26">
      <c r="A1201" s="247" t="s">
        <v>467</v>
      </c>
      <c r="B1201" s="210" t="s">
        <v>68</v>
      </c>
      <c r="C1201" s="254" t="s">
        <v>1607</v>
      </c>
      <c r="D1201" s="255">
        <v>988</v>
      </c>
      <c r="E1201" s="211" t="s">
        <v>1877</v>
      </c>
      <c r="F1201" s="212">
        <v>43544</v>
      </c>
      <c r="G1201" s="213">
        <v>2.7</v>
      </c>
      <c r="H1201" s="256">
        <v>405</v>
      </c>
      <c r="I1201" s="214">
        <v>1446435</v>
      </c>
      <c r="J1201" s="215">
        <v>21600</v>
      </c>
      <c r="K1201" s="212">
        <v>43587</v>
      </c>
      <c r="L1201" s="211" t="s">
        <v>1879</v>
      </c>
      <c r="M1201" s="216">
        <v>4615445946</v>
      </c>
      <c r="N1201" s="212">
        <v>43682</v>
      </c>
      <c r="O1201" s="217">
        <v>3.9611999999999998</v>
      </c>
      <c r="P1201" s="219"/>
      <c r="Q1201" s="34">
        <f>SUMIF(Allocation[Delivery ID],Allocation[[#This Row],[Delivery ID]],Allocation[Quantity Processed])</f>
        <v>3425</v>
      </c>
      <c r="R1201" s="61">
        <f>Allocation[[#This Row],[Total volume used]]/VLOOKUP(Allocation[[#This Row],[Delivery ID]],Delivery[[Delivery ID]:[Quantity delivered]],3,FALSE)</f>
        <v>0.23620689655172414</v>
      </c>
      <c r="S1201" s="34">
        <f>Allocation[[#This Row],[Quantity Processed]]/Allocation[[#This Row],[Dilution rate]]</f>
        <v>365.92592592592592</v>
      </c>
      <c r="T1201" s="59">
        <f>SUMIF(Allocation[Delivery ID],Allocation[[#This Row],[Delivery ID]],Allocation[Quantity allocated])/SUMIF(Allocation[Delivery ID],Allocation[[#This Row],[Delivery ID]],Allocation[Volume available (kg)])</f>
        <v>1.0899399916484667</v>
      </c>
      <c r="U1201" s="61">
        <f>Allocation[[#This Row],[Total volume used]]/VLOOKUP(Allocation[[#This Row],[Delivery ID]],Delivery[[Delivery ID]:[Quantity delivered]],3,FALSE)</f>
        <v>0.23620689655172414</v>
      </c>
      <c r="V1201" s="34" t="e">
        <f>VLOOKUP(Allocation[[#This Row],[SAP Contract number]],Shipments[[SAP Contract number]:[Contracted container weight]],2,FALSE)</f>
        <v>#N/A</v>
      </c>
      <c r="W1201" s="34" t="e">
        <f>VLOOKUP(Allocation[[#This Row],[SAP Contract number]],Shipments[[SAP Contract number]:[AAA Premium USD]],24,FALSE)</f>
        <v>#N/A</v>
      </c>
      <c r="X1201" s="34" t="e">
        <f>VLOOKUP(Allocation[[#This Row],[SAP Contract number]],Shipments[[SAP Contract number]:[RA Premium USD]],25,FALSE)</f>
        <v>#N/A</v>
      </c>
      <c r="Y1201" s="38">
        <f>Allocation[[#This Row],[Quantity Processed]]/Allocation[[#This Row],[Quantity allocated]]</f>
        <v>2.439506172839506</v>
      </c>
      <c r="Z1201" s="34" t="b">
        <f>Allocation[[#This Row],[Quantity allocated]]&lt;=Allocation[[#This Row],[Quantity Processed]]</f>
        <v>1</v>
      </c>
    </row>
    <row r="1202" spans="1:26">
      <c r="A1202" s="247" t="s">
        <v>467</v>
      </c>
      <c r="B1202" s="210" t="s">
        <v>68</v>
      </c>
      <c r="C1202" s="254" t="s">
        <v>1608</v>
      </c>
      <c r="D1202" s="255">
        <v>285</v>
      </c>
      <c r="E1202" s="211" t="s">
        <v>1877</v>
      </c>
      <c r="F1202" s="212">
        <v>43544</v>
      </c>
      <c r="G1202" s="213">
        <v>2.7</v>
      </c>
      <c r="H1202" s="256">
        <v>117</v>
      </c>
      <c r="I1202" s="214">
        <v>1446435</v>
      </c>
      <c r="J1202" s="215">
        <v>21600</v>
      </c>
      <c r="K1202" s="212">
        <v>43587</v>
      </c>
      <c r="L1202" s="211" t="s">
        <v>1879</v>
      </c>
      <c r="M1202" s="216">
        <v>4615445946</v>
      </c>
      <c r="N1202" s="212">
        <v>43682</v>
      </c>
      <c r="O1202" s="217">
        <v>3.9611999999999998</v>
      </c>
      <c r="P1202" s="219"/>
      <c r="Q1202" s="34">
        <f>SUMIF(Allocation[Delivery ID],Allocation[[#This Row],[Delivery ID]],Allocation[Quantity Processed])</f>
        <v>816</v>
      </c>
      <c r="R1202" s="61">
        <f>Allocation[[#This Row],[Total volume used]]/VLOOKUP(Allocation[[#This Row],[Delivery ID]],Delivery[[Delivery ID]:[Quantity delivered]],3,FALSE)</f>
        <v>0.19430884629122513</v>
      </c>
      <c r="S1202" s="34">
        <f>Allocation[[#This Row],[Quantity Processed]]/Allocation[[#This Row],[Dilution rate]]</f>
        <v>105.55555555555554</v>
      </c>
      <c r="T1202" s="59">
        <f>SUMIF(Allocation[Delivery ID],Allocation[[#This Row],[Delivery ID]],Allocation[Quantity allocated])/SUMIF(Allocation[Delivery ID],Allocation[[#This Row],[Delivery ID]],Allocation[Volume available (kg)])</f>
        <v>1.0950237598989234</v>
      </c>
      <c r="U1202" s="61">
        <f>Allocation[[#This Row],[Total volume used]]/VLOOKUP(Allocation[[#This Row],[Delivery ID]],Delivery[[Delivery ID]:[Quantity delivered]],3,FALSE)</f>
        <v>0.19430884629122513</v>
      </c>
      <c r="V1202" s="34" t="e">
        <f>VLOOKUP(Allocation[[#This Row],[SAP Contract number]],Shipments[[SAP Contract number]:[Contracted container weight]],2,FALSE)</f>
        <v>#N/A</v>
      </c>
      <c r="W1202" s="34" t="e">
        <f>VLOOKUP(Allocation[[#This Row],[SAP Contract number]],Shipments[[SAP Contract number]:[AAA Premium USD]],24,FALSE)</f>
        <v>#N/A</v>
      </c>
      <c r="X1202" s="34" t="e">
        <f>VLOOKUP(Allocation[[#This Row],[SAP Contract number]],Shipments[[SAP Contract number]:[RA Premium USD]],25,FALSE)</f>
        <v>#N/A</v>
      </c>
      <c r="Y1202" s="38">
        <f>Allocation[[#This Row],[Quantity Processed]]/Allocation[[#This Row],[Quantity allocated]]</f>
        <v>2.4358974358974357</v>
      </c>
      <c r="Z1202" s="34" t="b">
        <f>Allocation[[#This Row],[Quantity allocated]]&lt;=Allocation[[#This Row],[Quantity Processed]]</f>
        <v>1</v>
      </c>
    </row>
    <row r="1203" spans="1:26">
      <c r="A1203" s="247" t="s">
        <v>467</v>
      </c>
      <c r="B1203" s="210" t="s">
        <v>68</v>
      </c>
      <c r="C1203" s="254" t="s">
        <v>1609</v>
      </c>
      <c r="D1203" s="255">
        <v>2895</v>
      </c>
      <c r="E1203" s="211" t="s">
        <v>1877</v>
      </c>
      <c r="F1203" s="212">
        <v>43544</v>
      </c>
      <c r="G1203" s="213">
        <v>2.7</v>
      </c>
      <c r="H1203" s="256">
        <v>1650</v>
      </c>
      <c r="I1203" s="214">
        <v>1446435</v>
      </c>
      <c r="J1203" s="215">
        <v>21600</v>
      </c>
      <c r="K1203" s="212">
        <v>43587</v>
      </c>
      <c r="L1203" s="211" t="s">
        <v>1879</v>
      </c>
      <c r="M1203" s="216">
        <v>4615445946</v>
      </c>
      <c r="N1203" s="212">
        <v>43682</v>
      </c>
      <c r="O1203" s="217">
        <v>3.9611999999999998</v>
      </c>
      <c r="P1203" s="219"/>
      <c r="Q1203" s="34">
        <f>SUMIF(Allocation[Delivery ID],Allocation[[#This Row],[Delivery ID]],Allocation[Quantity Processed])</f>
        <v>24121</v>
      </c>
      <c r="R1203" s="61">
        <f>Allocation[[#This Row],[Total volume used]]/VLOOKUP(Allocation[[#This Row],[Delivery ID]],Delivery[[Delivery ID]:[Quantity delivered]],3,FALSE)</f>
        <v>0.78188006482982175</v>
      </c>
      <c r="S1203" s="34">
        <f>Allocation[[#This Row],[Quantity Processed]]/Allocation[[#This Row],[Dilution rate]]</f>
        <v>1072.2222222222222</v>
      </c>
      <c r="T1203" s="59">
        <f>SUMIF(Allocation[Delivery ID],Allocation[[#This Row],[Delivery ID]],Allocation[Quantity allocated])/SUMIF(Allocation[Delivery ID],Allocation[[#This Row],[Delivery ID]],Allocation[Volume available (kg)])</f>
        <v>1.4923482595490969</v>
      </c>
      <c r="U1203" s="61">
        <f>Allocation[[#This Row],[Total volume used]]/VLOOKUP(Allocation[[#This Row],[Delivery ID]],Delivery[[Delivery ID]:[Quantity delivered]],3,FALSE)</f>
        <v>0.78188006482982175</v>
      </c>
      <c r="V1203" s="34" t="e">
        <f>VLOOKUP(Allocation[[#This Row],[SAP Contract number]],Shipments[[SAP Contract number]:[Contracted container weight]],2,FALSE)</f>
        <v>#N/A</v>
      </c>
      <c r="W1203" s="34" t="e">
        <f>VLOOKUP(Allocation[[#This Row],[SAP Contract number]],Shipments[[SAP Contract number]:[AAA Premium USD]],24,FALSE)</f>
        <v>#N/A</v>
      </c>
      <c r="X1203" s="34" t="e">
        <f>VLOOKUP(Allocation[[#This Row],[SAP Contract number]],Shipments[[SAP Contract number]:[RA Premium USD]],25,FALSE)</f>
        <v>#N/A</v>
      </c>
      <c r="Y1203" s="38">
        <f>Allocation[[#This Row],[Quantity Processed]]/Allocation[[#This Row],[Quantity allocated]]</f>
        <v>1.7545454545454546</v>
      </c>
      <c r="Z1203" s="34" t="b">
        <f>Allocation[[#This Row],[Quantity allocated]]&lt;=Allocation[[#This Row],[Quantity Processed]]</f>
        <v>1</v>
      </c>
    </row>
    <row r="1204" spans="1:26">
      <c r="A1204" s="247" t="s">
        <v>467</v>
      </c>
      <c r="B1204" s="210" t="s">
        <v>68</v>
      </c>
      <c r="C1204" s="254" t="s">
        <v>1610</v>
      </c>
      <c r="D1204" s="255">
        <v>1358</v>
      </c>
      <c r="E1204" s="211" t="s">
        <v>1877</v>
      </c>
      <c r="F1204" s="212">
        <v>43544</v>
      </c>
      <c r="G1204" s="213">
        <v>2.7</v>
      </c>
      <c r="H1204" s="256">
        <v>421</v>
      </c>
      <c r="I1204" s="214">
        <v>1446435</v>
      </c>
      <c r="J1204" s="215">
        <v>21600</v>
      </c>
      <c r="K1204" s="212">
        <v>43587</v>
      </c>
      <c r="L1204" s="211" t="s">
        <v>1879</v>
      </c>
      <c r="M1204" s="216">
        <v>4615445946</v>
      </c>
      <c r="N1204" s="212">
        <v>43682</v>
      </c>
      <c r="O1204" s="217">
        <v>3.9611999999999998</v>
      </c>
      <c r="P1204" s="219"/>
      <c r="Q1204" s="34">
        <f>SUMIF(Allocation[Delivery ID],Allocation[[#This Row],[Delivery ID]],Allocation[Quantity Processed])</f>
        <v>4703</v>
      </c>
      <c r="R1204" s="61">
        <f>Allocation[[#This Row],[Total volume used]]/VLOOKUP(Allocation[[#This Row],[Delivery ID]],Delivery[[Delivery ID]:[Quantity delivered]],3,FALSE)</f>
        <v>0.3123879109930256</v>
      </c>
      <c r="S1204" s="34">
        <f>Allocation[[#This Row],[Quantity Processed]]/Allocation[[#This Row],[Dilution rate]]</f>
        <v>502.96296296296293</v>
      </c>
      <c r="T1204" s="59">
        <f>SUMIF(Allocation[Delivery ID],Allocation[[#This Row],[Delivery ID]],Allocation[Quantity allocated])/SUMIF(Allocation[Delivery ID],Allocation[[#This Row],[Delivery ID]],Allocation[Volume available (kg)])</f>
        <v>0.82429164199365212</v>
      </c>
      <c r="U1204" s="61">
        <f>Allocation[[#This Row],[Total volume used]]/VLOOKUP(Allocation[[#This Row],[Delivery ID]],Delivery[[Delivery ID]:[Quantity delivered]],3,FALSE)</f>
        <v>0.3123879109930256</v>
      </c>
      <c r="V1204" s="34" t="e">
        <f>VLOOKUP(Allocation[[#This Row],[SAP Contract number]],Shipments[[SAP Contract number]:[Contracted container weight]],2,FALSE)</f>
        <v>#N/A</v>
      </c>
      <c r="W1204" s="34" t="e">
        <f>VLOOKUP(Allocation[[#This Row],[SAP Contract number]],Shipments[[SAP Contract number]:[AAA Premium USD]],24,FALSE)</f>
        <v>#N/A</v>
      </c>
      <c r="X1204" s="34" t="e">
        <f>VLOOKUP(Allocation[[#This Row],[SAP Contract number]],Shipments[[SAP Contract number]:[RA Premium USD]],25,FALSE)</f>
        <v>#N/A</v>
      </c>
      <c r="Y1204" s="38">
        <f>Allocation[[#This Row],[Quantity Processed]]/Allocation[[#This Row],[Quantity allocated]]</f>
        <v>3.2256532066508314</v>
      </c>
      <c r="Z1204" s="34" t="b">
        <f>Allocation[[#This Row],[Quantity allocated]]&lt;=Allocation[[#This Row],[Quantity Processed]]</f>
        <v>1</v>
      </c>
    </row>
    <row r="1205" spans="1:26">
      <c r="A1205" s="247" t="s">
        <v>467</v>
      </c>
      <c r="B1205" s="210" t="s">
        <v>68</v>
      </c>
      <c r="C1205" s="254" t="s">
        <v>1611</v>
      </c>
      <c r="D1205" s="255">
        <v>6552</v>
      </c>
      <c r="E1205" s="211" t="s">
        <v>1877</v>
      </c>
      <c r="F1205" s="212">
        <v>43544</v>
      </c>
      <c r="G1205" s="213">
        <v>2.7</v>
      </c>
      <c r="H1205" s="256">
        <v>2031</v>
      </c>
      <c r="I1205" s="214">
        <v>1446435</v>
      </c>
      <c r="J1205" s="215">
        <v>21600</v>
      </c>
      <c r="K1205" s="212">
        <v>43587</v>
      </c>
      <c r="L1205" s="211" t="s">
        <v>1879</v>
      </c>
      <c r="M1205" s="216">
        <v>4615445946</v>
      </c>
      <c r="N1205" s="212">
        <v>43682</v>
      </c>
      <c r="O1205" s="217">
        <v>3.9611999999999998</v>
      </c>
      <c r="P1205" s="219"/>
      <c r="Q1205" s="34">
        <f>SUMIF(Allocation[Delivery ID],Allocation[[#This Row],[Delivery ID]],Allocation[Quantity Processed])</f>
        <v>21885</v>
      </c>
      <c r="R1205" s="61">
        <f>Allocation[[#This Row],[Total volume used]]/VLOOKUP(Allocation[[#This Row],[Delivery ID]],Delivery[[Delivery ID]:[Quantity delivered]],3,FALSE)</f>
        <v>0.65406455469216973</v>
      </c>
      <c r="S1205" s="34">
        <f>Allocation[[#This Row],[Quantity Processed]]/Allocation[[#This Row],[Dilution rate]]</f>
        <v>2426.6666666666665</v>
      </c>
      <c r="T1205" s="59">
        <f>SUMIF(Allocation[Delivery ID],Allocation[[#This Row],[Delivery ID]],Allocation[Quantity allocated])/SUMIF(Allocation[Delivery ID],Allocation[[#This Row],[Delivery ID]],Allocation[Volume available (kg)])</f>
        <v>0.824778286832902</v>
      </c>
      <c r="U1205" s="61">
        <f>Allocation[[#This Row],[Total volume used]]/VLOOKUP(Allocation[[#This Row],[Delivery ID]],Delivery[[Delivery ID]:[Quantity delivered]],3,FALSE)</f>
        <v>0.65406455469216973</v>
      </c>
      <c r="V1205" s="34" t="e">
        <f>VLOOKUP(Allocation[[#This Row],[SAP Contract number]],Shipments[[SAP Contract number]:[Contracted container weight]],2,FALSE)</f>
        <v>#N/A</v>
      </c>
      <c r="W1205" s="34" t="e">
        <f>VLOOKUP(Allocation[[#This Row],[SAP Contract number]],Shipments[[SAP Contract number]:[AAA Premium USD]],24,FALSE)</f>
        <v>#N/A</v>
      </c>
      <c r="X1205" s="34" t="e">
        <f>VLOOKUP(Allocation[[#This Row],[SAP Contract number]],Shipments[[SAP Contract number]:[RA Premium USD]],25,FALSE)</f>
        <v>#N/A</v>
      </c>
      <c r="Y1205" s="38">
        <f>Allocation[[#This Row],[Quantity Processed]]/Allocation[[#This Row],[Quantity allocated]]</f>
        <v>3.2259970457902511</v>
      </c>
      <c r="Z1205" s="34" t="b">
        <f>Allocation[[#This Row],[Quantity allocated]]&lt;=Allocation[[#This Row],[Quantity Processed]]</f>
        <v>1</v>
      </c>
    </row>
    <row r="1206" spans="1:26">
      <c r="A1206" s="247" t="s">
        <v>467</v>
      </c>
      <c r="B1206" s="210" t="s">
        <v>68</v>
      </c>
      <c r="C1206" s="254" t="s">
        <v>1613</v>
      </c>
      <c r="D1206" s="255">
        <v>5000</v>
      </c>
      <c r="E1206" s="211" t="s">
        <v>1877</v>
      </c>
      <c r="F1206" s="212">
        <v>43544</v>
      </c>
      <c r="G1206" s="213">
        <v>2.7</v>
      </c>
      <c r="H1206" s="256">
        <v>2500</v>
      </c>
      <c r="I1206" s="214">
        <v>1446435</v>
      </c>
      <c r="J1206" s="215">
        <v>21600</v>
      </c>
      <c r="K1206" s="212">
        <v>43587</v>
      </c>
      <c r="L1206" s="211" t="s">
        <v>1879</v>
      </c>
      <c r="M1206" s="216">
        <v>4615445946</v>
      </c>
      <c r="N1206" s="212">
        <v>43682</v>
      </c>
      <c r="O1206" s="217">
        <v>3.9611999999999998</v>
      </c>
      <c r="P1206" s="219"/>
      <c r="Q1206" s="34">
        <f>SUMIF(Allocation[Delivery ID],Allocation[[#This Row],[Delivery ID]],Allocation[Quantity Processed])</f>
        <v>17096</v>
      </c>
      <c r="R1206" s="61">
        <f>Allocation[[#This Row],[Total volume used]]/VLOOKUP(Allocation[[#This Row],[Delivery ID]],Delivery[[Delivery ID]:[Quantity delivered]],3,FALSE)</f>
        <v>0.48381938843372813</v>
      </c>
      <c r="S1206" s="34">
        <f>Allocation[[#This Row],[Quantity Processed]]/Allocation[[#This Row],[Dilution rate]]</f>
        <v>1851.8518518518517</v>
      </c>
      <c r="T1206" s="59">
        <f>SUMIF(Allocation[Delivery ID],Allocation[[#This Row],[Delivery ID]],Allocation[Quantity allocated])/SUMIF(Allocation[Delivery ID],Allocation[[#This Row],[Delivery ID]],Allocation[Volume available (kg)])</f>
        <v>1.3229793239919183</v>
      </c>
      <c r="U1206" s="61">
        <f>Allocation[[#This Row],[Total volume used]]/VLOOKUP(Allocation[[#This Row],[Delivery ID]],Delivery[[Delivery ID]:[Quantity delivered]],3,FALSE)</f>
        <v>0.48381938843372813</v>
      </c>
      <c r="V1206" s="34" t="e">
        <f>VLOOKUP(Allocation[[#This Row],[SAP Contract number]],Shipments[[SAP Contract number]:[Contracted container weight]],2,FALSE)</f>
        <v>#N/A</v>
      </c>
      <c r="W1206" s="34" t="e">
        <f>VLOOKUP(Allocation[[#This Row],[SAP Contract number]],Shipments[[SAP Contract number]:[AAA Premium USD]],24,FALSE)</f>
        <v>#N/A</v>
      </c>
      <c r="X1206" s="34" t="e">
        <f>VLOOKUP(Allocation[[#This Row],[SAP Contract number]],Shipments[[SAP Contract number]:[RA Premium USD]],25,FALSE)</f>
        <v>#N/A</v>
      </c>
      <c r="Y1206" s="38">
        <f>Allocation[[#This Row],[Quantity Processed]]/Allocation[[#This Row],[Quantity allocated]]</f>
        <v>2</v>
      </c>
      <c r="Z1206" s="34" t="b">
        <f>Allocation[[#This Row],[Quantity allocated]]&lt;=Allocation[[#This Row],[Quantity Processed]]</f>
        <v>1</v>
      </c>
    </row>
    <row r="1207" spans="1:26">
      <c r="A1207" s="247" t="s">
        <v>467</v>
      </c>
      <c r="B1207" s="210" t="s">
        <v>68</v>
      </c>
      <c r="C1207" s="254" t="s">
        <v>1614</v>
      </c>
      <c r="D1207" s="255">
        <v>5518</v>
      </c>
      <c r="E1207" s="211" t="s">
        <v>1877</v>
      </c>
      <c r="F1207" s="212">
        <v>43544</v>
      </c>
      <c r="G1207" s="213">
        <v>2.7</v>
      </c>
      <c r="H1207" s="256">
        <v>1821</v>
      </c>
      <c r="I1207" s="214">
        <v>1446435</v>
      </c>
      <c r="J1207" s="215">
        <v>21600</v>
      </c>
      <c r="K1207" s="212">
        <v>43587</v>
      </c>
      <c r="L1207" s="211" t="s">
        <v>1879</v>
      </c>
      <c r="M1207" s="216">
        <v>4615445946</v>
      </c>
      <c r="N1207" s="212">
        <v>43682</v>
      </c>
      <c r="O1207" s="217">
        <v>3.9611999999999998</v>
      </c>
      <c r="P1207" s="219"/>
      <c r="Q1207" s="34">
        <f>SUMIF(Allocation[Delivery ID],Allocation[[#This Row],[Delivery ID]],Allocation[Quantity Processed])</f>
        <v>18433</v>
      </c>
      <c r="R1207" s="61">
        <f>Allocation[[#This Row],[Total volume used]]/VLOOKUP(Allocation[[#This Row],[Delivery ID]],Delivery[[Delivery ID]:[Quantity delivered]],3,FALSE)</f>
        <v>0.61422859046984335</v>
      </c>
      <c r="S1207" s="34">
        <f>Allocation[[#This Row],[Quantity Processed]]/Allocation[[#This Row],[Dilution rate]]</f>
        <v>2043.7037037037035</v>
      </c>
      <c r="T1207" s="59">
        <f>SUMIF(Allocation[Delivery ID],Allocation[[#This Row],[Delivery ID]],Allocation[Quantity allocated])/SUMIF(Allocation[Delivery ID],Allocation[[#This Row],[Delivery ID]],Allocation[Volume available (kg)])</f>
        <v>0.8780497905731125</v>
      </c>
      <c r="U1207" s="61">
        <f>Allocation[[#This Row],[Total volume used]]/VLOOKUP(Allocation[[#This Row],[Delivery ID]],Delivery[[Delivery ID]:[Quantity delivered]],3,FALSE)</f>
        <v>0.61422859046984335</v>
      </c>
      <c r="V1207" s="34" t="e">
        <f>VLOOKUP(Allocation[[#This Row],[SAP Contract number]],Shipments[[SAP Contract number]:[Contracted container weight]],2,FALSE)</f>
        <v>#N/A</v>
      </c>
      <c r="W1207" s="34" t="e">
        <f>VLOOKUP(Allocation[[#This Row],[SAP Contract number]],Shipments[[SAP Contract number]:[AAA Premium USD]],24,FALSE)</f>
        <v>#N/A</v>
      </c>
      <c r="X1207" s="34" t="e">
        <f>VLOOKUP(Allocation[[#This Row],[SAP Contract number]],Shipments[[SAP Contract number]:[RA Premium USD]],25,FALSE)</f>
        <v>#N/A</v>
      </c>
      <c r="Y1207" s="38">
        <f>Allocation[[#This Row],[Quantity Processed]]/Allocation[[#This Row],[Quantity allocated]]</f>
        <v>3.0302031850631521</v>
      </c>
      <c r="Z1207" s="34" t="b">
        <f>Allocation[[#This Row],[Quantity allocated]]&lt;=Allocation[[#This Row],[Quantity Processed]]</f>
        <v>1</v>
      </c>
    </row>
    <row r="1208" spans="1:26">
      <c r="A1208" s="247" t="s">
        <v>467</v>
      </c>
      <c r="B1208" s="210" t="s">
        <v>68</v>
      </c>
      <c r="C1208" s="254" t="s">
        <v>1616</v>
      </c>
      <c r="D1208" s="255">
        <v>5521</v>
      </c>
      <c r="E1208" s="211" t="s">
        <v>1877</v>
      </c>
      <c r="F1208" s="212">
        <v>43544</v>
      </c>
      <c r="G1208" s="213">
        <v>2.7</v>
      </c>
      <c r="H1208" s="256">
        <v>1822</v>
      </c>
      <c r="I1208" s="214">
        <v>1446435</v>
      </c>
      <c r="J1208" s="215">
        <v>21600</v>
      </c>
      <c r="K1208" s="212">
        <v>43587</v>
      </c>
      <c r="L1208" s="211" t="s">
        <v>1879</v>
      </c>
      <c r="M1208" s="216">
        <v>4615445946</v>
      </c>
      <c r="N1208" s="212">
        <v>43682</v>
      </c>
      <c r="O1208" s="217">
        <v>3.9611999999999998</v>
      </c>
      <c r="P1208" s="219"/>
      <c r="Q1208" s="34">
        <f>SUMIF(Allocation[Delivery ID],Allocation[[#This Row],[Delivery ID]],Allocation[Quantity Processed])</f>
        <v>18442</v>
      </c>
      <c r="R1208" s="61">
        <f>Allocation[[#This Row],[Total volume used]]/VLOOKUP(Allocation[[#This Row],[Delivery ID]],Delivery[[Delivery ID]:[Quantity delivered]],3,FALSE)</f>
        <v>0.61432378414390409</v>
      </c>
      <c r="S1208" s="34">
        <f>Allocation[[#This Row],[Quantity Processed]]/Allocation[[#This Row],[Dilution rate]]</f>
        <v>2044.8148148148148</v>
      </c>
      <c r="T1208" s="59">
        <f>SUMIF(Allocation[Delivery ID],Allocation[[#This Row],[Delivery ID]],Allocation[Quantity allocated])/SUMIF(Allocation[Delivery ID],Allocation[[#This Row],[Delivery ID]],Allocation[Volume available (kg)])</f>
        <v>0.87805499845803603</v>
      </c>
      <c r="U1208" s="61">
        <f>Allocation[[#This Row],[Total volume used]]/VLOOKUP(Allocation[[#This Row],[Delivery ID]],Delivery[[Delivery ID]:[Quantity delivered]],3,FALSE)</f>
        <v>0.61432378414390409</v>
      </c>
      <c r="V1208" s="34" t="e">
        <f>VLOOKUP(Allocation[[#This Row],[SAP Contract number]],Shipments[[SAP Contract number]:[Contracted container weight]],2,FALSE)</f>
        <v>#N/A</v>
      </c>
      <c r="W1208" s="34" t="e">
        <f>VLOOKUP(Allocation[[#This Row],[SAP Contract number]],Shipments[[SAP Contract number]:[AAA Premium USD]],24,FALSE)</f>
        <v>#N/A</v>
      </c>
      <c r="X1208" s="34" t="e">
        <f>VLOOKUP(Allocation[[#This Row],[SAP Contract number]],Shipments[[SAP Contract number]:[RA Premium USD]],25,FALSE)</f>
        <v>#N/A</v>
      </c>
      <c r="Y1208" s="38">
        <f>Allocation[[#This Row],[Quantity Processed]]/Allocation[[#This Row],[Quantity allocated]]</f>
        <v>3.0301866081229418</v>
      </c>
      <c r="Z1208" s="34" t="b">
        <f>Allocation[[#This Row],[Quantity allocated]]&lt;=Allocation[[#This Row],[Quantity Processed]]</f>
        <v>1</v>
      </c>
    </row>
    <row r="1209" spans="1:26">
      <c r="A1209" s="247" t="s">
        <v>467</v>
      </c>
      <c r="B1209" s="210" t="s">
        <v>68</v>
      </c>
      <c r="C1209" s="254" t="s">
        <v>1617</v>
      </c>
      <c r="D1209" s="255">
        <v>680</v>
      </c>
      <c r="E1209" s="211" t="s">
        <v>1877</v>
      </c>
      <c r="F1209" s="212">
        <v>43544</v>
      </c>
      <c r="G1209" s="213">
        <v>2.7</v>
      </c>
      <c r="H1209" s="256">
        <v>272</v>
      </c>
      <c r="I1209" s="214">
        <v>1446435</v>
      </c>
      <c r="J1209" s="215">
        <v>21600</v>
      </c>
      <c r="K1209" s="212">
        <v>43587</v>
      </c>
      <c r="L1209" s="211" t="s">
        <v>1879</v>
      </c>
      <c r="M1209" s="216">
        <v>4615445946</v>
      </c>
      <c r="N1209" s="212">
        <v>43682</v>
      </c>
      <c r="O1209" s="217">
        <v>3.9611999999999998</v>
      </c>
      <c r="P1209" s="219"/>
      <c r="Q1209" s="34">
        <f>SUMIF(Allocation[Delivery ID],Allocation[[#This Row],[Delivery ID]],Allocation[Quantity Processed])</f>
        <v>24596</v>
      </c>
      <c r="R1209" s="61">
        <f>Allocation[[#This Row],[Total volume used]]/VLOOKUP(Allocation[[#This Row],[Delivery ID]],Delivery[[Delivery ID]:[Quantity delivered]],3,FALSE)</f>
        <v>0.81687147127200266</v>
      </c>
      <c r="S1209" s="34">
        <f>Allocation[[#This Row],[Quantity Processed]]/Allocation[[#This Row],[Dilution rate]]</f>
        <v>251.85185185185185</v>
      </c>
      <c r="T1209" s="59">
        <f>SUMIF(Allocation[Delivery ID],Allocation[[#This Row],[Delivery ID]],Allocation[Quantity allocated])/SUMIF(Allocation[Delivery ID],Allocation[[#This Row],[Delivery ID]],Allocation[Volume available (kg)])</f>
        <v>1.0632147038798412</v>
      </c>
      <c r="U1209" s="61">
        <f>Allocation[[#This Row],[Total volume used]]/VLOOKUP(Allocation[[#This Row],[Delivery ID]],Delivery[[Delivery ID]:[Quantity delivered]],3,FALSE)</f>
        <v>0.81687147127200266</v>
      </c>
      <c r="V1209" s="34" t="e">
        <f>VLOOKUP(Allocation[[#This Row],[SAP Contract number]],Shipments[[SAP Contract number]:[Contracted container weight]],2,FALSE)</f>
        <v>#N/A</v>
      </c>
      <c r="W1209" s="34" t="e">
        <f>VLOOKUP(Allocation[[#This Row],[SAP Contract number]],Shipments[[SAP Contract number]:[AAA Premium USD]],24,FALSE)</f>
        <v>#N/A</v>
      </c>
      <c r="X1209" s="34" t="e">
        <f>VLOOKUP(Allocation[[#This Row],[SAP Contract number]],Shipments[[SAP Contract number]:[RA Premium USD]],25,FALSE)</f>
        <v>#N/A</v>
      </c>
      <c r="Y1209" s="38">
        <f>Allocation[[#This Row],[Quantity Processed]]/Allocation[[#This Row],[Quantity allocated]]</f>
        <v>2.5</v>
      </c>
      <c r="Z1209" s="34" t="b">
        <f>Allocation[[#This Row],[Quantity allocated]]&lt;=Allocation[[#This Row],[Quantity Processed]]</f>
        <v>1</v>
      </c>
    </row>
    <row r="1210" spans="1:26">
      <c r="A1210" s="247" t="s">
        <v>467</v>
      </c>
      <c r="B1210" s="210" t="s">
        <v>68</v>
      </c>
      <c r="C1210" s="254" t="s">
        <v>1617</v>
      </c>
      <c r="D1210" s="255">
        <v>6255</v>
      </c>
      <c r="E1210" s="211" t="s">
        <v>1877</v>
      </c>
      <c r="F1210" s="212">
        <v>43544</v>
      </c>
      <c r="G1210" s="213">
        <v>2.7</v>
      </c>
      <c r="H1210" s="256">
        <v>2502</v>
      </c>
      <c r="I1210" s="214">
        <v>1446436</v>
      </c>
      <c r="J1210" s="215">
        <v>21600</v>
      </c>
      <c r="K1210" s="212">
        <v>43587</v>
      </c>
      <c r="L1210" s="211" t="s">
        <v>1880</v>
      </c>
      <c r="M1210" s="216">
        <v>4615445946</v>
      </c>
      <c r="N1210" s="212">
        <v>43682</v>
      </c>
      <c r="O1210" s="217">
        <v>3.9611999999999998</v>
      </c>
      <c r="P1210" s="219"/>
      <c r="Q1210" s="34">
        <f>SUMIF(Allocation[Delivery ID],Allocation[[#This Row],[Delivery ID]],Allocation[Quantity Processed])</f>
        <v>24596</v>
      </c>
      <c r="R1210" s="61">
        <f>Allocation[[#This Row],[Total volume used]]/VLOOKUP(Allocation[[#This Row],[Delivery ID]],Delivery[[Delivery ID]:[Quantity delivered]],3,FALSE)</f>
        <v>0.81687147127200266</v>
      </c>
      <c r="S1210" s="34">
        <f>Allocation[[#This Row],[Quantity Processed]]/Allocation[[#This Row],[Dilution rate]]</f>
        <v>2316.6666666666665</v>
      </c>
      <c r="T1210" s="59">
        <f>SUMIF(Allocation[Delivery ID],Allocation[[#This Row],[Delivery ID]],Allocation[Quantity allocated])/SUMIF(Allocation[Delivery ID],Allocation[[#This Row],[Delivery ID]],Allocation[Volume available (kg)])</f>
        <v>1.0632147038798412</v>
      </c>
      <c r="U1210" s="61">
        <f>Allocation[[#This Row],[Total volume used]]/VLOOKUP(Allocation[[#This Row],[Delivery ID]],Delivery[[Delivery ID]:[Quantity delivered]],3,FALSE)</f>
        <v>0.81687147127200266</v>
      </c>
      <c r="V1210" s="34" t="e">
        <f>VLOOKUP(Allocation[[#This Row],[SAP Contract number]],Shipments[[SAP Contract number]:[Contracted container weight]],2,FALSE)</f>
        <v>#N/A</v>
      </c>
      <c r="W1210" s="34" t="e">
        <f>VLOOKUP(Allocation[[#This Row],[SAP Contract number]],Shipments[[SAP Contract number]:[AAA Premium USD]],24,FALSE)</f>
        <v>#N/A</v>
      </c>
      <c r="X1210" s="34" t="e">
        <f>VLOOKUP(Allocation[[#This Row],[SAP Contract number]],Shipments[[SAP Contract number]:[RA Premium USD]],25,FALSE)</f>
        <v>#N/A</v>
      </c>
      <c r="Y1210" s="38">
        <f>Allocation[[#This Row],[Quantity Processed]]/Allocation[[#This Row],[Quantity allocated]]</f>
        <v>2.5</v>
      </c>
      <c r="Z1210" s="34" t="b">
        <f>Allocation[[#This Row],[Quantity allocated]]&lt;=Allocation[[#This Row],[Quantity Processed]]</f>
        <v>1</v>
      </c>
    </row>
    <row r="1211" spans="1:26">
      <c r="A1211" s="247" t="s">
        <v>467</v>
      </c>
      <c r="B1211" s="210" t="s">
        <v>68</v>
      </c>
      <c r="C1211" s="254" t="s">
        <v>1618</v>
      </c>
      <c r="D1211" s="255">
        <v>5518</v>
      </c>
      <c r="E1211" s="211" t="s">
        <v>1877</v>
      </c>
      <c r="F1211" s="212">
        <v>43544</v>
      </c>
      <c r="G1211" s="213">
        <v>2.7</v>
      </c>
      <c r="H1211" s="256">
        <v>1821</v>
      </c>
      <c r="I1211" s="214">
        <v>1446436</v>
      </c>
      <c r="J1211" s="215">
        <v>21600</v>
      </c>
      <c r="K1211" s="212">
        <v>43587</v>
      </c>
      <c r="L1211" s="211" t="s">
        <v>1880</v>
      </c>
      <c r="M1211" s="216">
        <v>4615445946</v>
      </c>
      <c r="N1211" s="212">
        <v>43682</v>
      </c>
      <c r="O1211" s="217">
        <v>3.9611999999999998</v>
      </c>
      <c r="P1211" s="219"/>
      <c r="Q1211" s="34">
        <f>SUMIF(Allocation[Delivery ID],Allocation[[#This Row],[Delivery ID]],Allocation[Quantity Processed])</f>
        <v>18433</v>
      </c>
      <c r="R1211" s="61">
        <f>Allocation[[#This Row],[Total volume used]]/VLOOKUP(Allocation[[#This Row],[Delivery ID]],Delivery[[Delivery ID]:[Quantity delivered]],3,FALSE)</f>
        <v>0.61422859046984335</v>
      </c>
      <c r="S1211" s="34">
        <f>Allocation[[#This Row],[Quantity Processed]]/Allocation[[#This Row],[Dilution rate]]</f>
        <v>2043.7037037037035</v>
      </c>
      <c r="T1211" s="59">
        <f>SUMIF(Allocation[Delivery ID],Allocation[[#This Row],[Delivery ID]],Allocation[Quantity allocated])/SUMIF(Allocation[Delivery ID],Allocation[[#This Row],[Delivery ID]],Allocation[Volume available (kg)])</f>
        <v>0.8780497905731125</v>
      </c>
      <c r="U1211" s="61">
        <f>Allocation[[#This Row],[Total volume used]]/VLOOKUP(Allocation[[#This Row],[Delivery ID]],Delivery[[Delivery ID]:[Quantity delivered]],3,FALSE)</f>
        <v>0.61422859046984335</v>
      </c>
      <c r="V1211" s="34" t="e">
        <f>VLOOKUP(Allocation[[#This Row],[SAP Contract number]],Shipments[[SAP Contract number]:[Contracted container weight]],2,FALSE)</f>
        <v>#N/A</v>
      </c>
      <c r="W1211" s="34" t="e">
        <f>VLOOKUP(Allocation[[#This Row],[SAP Contract number]],Shipments[[SAP Contract number]:[AAA Premium USD]],24,FALSE)</f>
        <v>#N/A</v>
      </c>
      <c r="X1211" s="34" t="e">
        <f>VLOOKUP(Allocation[[#This Row],[SAP Contract number]],Shipments[[SAP Contract number]:[RA Premium USD]],25,FALSE)</f>
        <v>#N/A</v>
      </c>
      <c r="Y1211" s="38">
        <f>Allocation[[#This Row],[Quantity Processed]]/Allocation[[#This Row],[Quantity allocated]]</f>
        <v>3.0302031850631521</v>
      </c>
      <c r="Z1211" s="34" t="b">
        <f>Allocation[[#This Row],[Quantity allocated]]&lt;=Allocation[[#This Row],[Quantity Processed]]</f>
        <v>1</v>
      </c>
    </row>
    <row r="1212" spans="1:26">
      <c r="A1212" s="247" t="s">
        <v>467</v>
      </c>
      <c r="B1212" s="210" t="s">
        <v>68</v>
      </c>
      <c r="C1212" s="254" t="s">
        <v>1619</v>
      </c>
      <c r="D1212" s="255">
        <v>5524</v>
      </c>
      <c r="E1212" s="211" t="s">
        <v>1877</v>
      </c>
      <c r="F1212" s="212">
        <v>43544</v>
      </c>
      <c r="G1212" s="213">
        <v>2.7</v>
      </c>
      <c r="H1212" s="256">
        <v>1823</v>
      </c>
      <c r="I1212" s="214">
        <v>1446436</v>
      </c>
      <c r="J1212" s="215">
        <v>21600</v>
      </c>
      <c r="K1212" s="212">
        <v>43587</v>
      </c>
      <c r="L1212" s="211" t="s">
        <v>1880</v>
      </c>
      <c r="M1212" s="216">
        <v>4615445946</v>
      </c>
      <c r="N1212" s="212">
        <v>43682</v>
      </c>
      <c r="O1212" s="217">
        <v>3.9611999999999998</v>
      </c>
      <c r="P1212" s="219"/>
      <c r="Q1212" s="34">
        <f>SUMIF(Allocation[Delivery ID],Allocation[[#This Row],[Delivery ID]],Allocation[Quantity Processed])</f>
        <v>18454</v>
      </c>
      <c r="R1212" s="61">
        <f>Allocation[[#This Row],[Total volume used]]/VLOOKUP(Allocation[[#This Row],[Delivery ID]],Delivery[[Delivery ID]:[Quantity delivered]],3,FALSE)</f>
        <v>0.61431424766977361</v>
      </c>
      <c r="S1212" s="34">
        <f>Allocation[[#This Row],[Quantity Processed]]/Allocation[[#This Row],[Dilution rate]]</f>
        <v>2045.9259259259259</v>
      </c>
      <c r="T1212" s="59">
        <f>SUMIF(Allocation[Delivery ID],Allocation[[#This Row],[Delivery ID]],Allocation[Quantity allocated])/SUMIF(Allocation[Delivery ID],Allocation[[#This Row],[Delivery ID]],Allocation[Volume available (kg)])</f>
        <v>0.87805830582239175</v>
      </c>
      <c r="U1212" s="61">
        <f>Allocation[[#This Row],[Total volume used]]/VLOOKUP(Allocation[[#This Row],[Delivery ID]],Delivery[[Delivery ID]:[Quantity delivered]],3,FALSE)</f>
        <v>0.61431424766977361</v>
      </c>
      <c r="V1212" s="34" t="e">
        <f>VLOOKUP(Allocation[[#This Row],[SAP Contract number]],Shipments[[SAP Contract number]:[Contracted container weight]],2,FALSE)</f>
        <v>#N/A</v>
      </c>
      <c r="W1212" s="34" t="e">
        <f>VLOOKUP(Allocation[[#This Row],[SAP Contract number]],Shipments[[SAP Contract number]:[AAA Premium USD]],24,FALSE)</f>
        <v>#N/A</v>
      </c>
      <c r="X1212" s="34" t="e">
        <f>VLOOKUP(Allocation[[#This Row],[SAP Contract number]],Shipments[[SAP Contract number]:[RA Premium USD]],25,FALSE)</f>
        <v>#N/A</v>
      </c>
      <c r="Y1212" s="38">
        <f>Allocation[[#This Row],[Quantity Processed]]/Allocation[[#This Row],[Quantity allocated]]</f>
        <v>3.0301700493691719</v>
      </c>
      <c r="Z1212" s="34" t="b">
        <f>Allocation[[#This Row],[Quantity allocated]]&lt;=Allocation[[#This Row],[Quantity Processed]]</f>
        <v>1</v>
      </c>
    </row>
    <row r="1213" spans="1:26">
      <c r="A1213" s="247" t="s">
        <v>467</v>
      </c>
      <c r="B1213" s="210" t="s">
        <v>68</v>
      </c>
      <c r="C1213" s="254" t="s">
        <v>934</v>
      </c>
      <c r="D1213" s="255">
        <v>5833</v>
      </c>
      <c r="E1213" s="211" t="s">
        <v>1877</v>
      </c>
      <c r="F1213" s="212">
        <v>43544</v>
      </c>
      <c r="G1213" s="213">
        <v>2.7</v>
      </c>
      <c r="H1213" s="256">
        <v>1925</v>
      </c>
      <c r="I1213" s="214">
        <v>1446436</v>
      </c>
      <c r="J1213" s="215">
        <v>21600</v>
      </c>
      <c r="K1213" s="212">
        <v>43587</v>
      </c>
      <c r="L1213" s="211" t="s">
        <v>1880</v>
      </c>
      <c r="M1213" s="216">
        <v>4615445946</v>
      </c>
      <c r="N1213" s="212">
        <v>43682</v>
      </c>
      <c r="O1213" s="217">
        <v>3.9611999999999998</v>
      </c>
      <c r="P1213" s="219"/>
      <c r="Q1213" s="34">
        <f>SUMIF(Allocation[Delivery ID],Allocation[[#This Row],[Delivery ID]],Allocation[Quantity Processed])</f>
        <v>30146</v>
      </c>
      <c r="R1213" s="61">
        <f>Allocation[[#This Row],[Total volume used]]/VLOOKUP(Allocation[[#This Row],[Delivery ID]],Delivery[[Delivery ID]:[Quantity delivered]],3,FALSE)</f>
        <v>0.96525887739745764</v>
      </c>
      <c r="S1213" s="34">
        <f>Allocation[[#This Row],[Quantity Processed]]/Allocation[[#This Row],[Dilution rate]]</f>
        <v>2160.3703703703704</v>
      </c>
      <c r="T1213" s="59">
        <f>SUMIF(Allocation[Delivery ID],Allocation[[#This Row],[Delivery ID]],Allocation[Quantity allocated])/SUMIF(Allocation[Delivery ID],Allocation[[#This Row],[Delivery ID]],Allocation[Volume available (kg)])</f>
        <v>0.7873812275223806</v>
      </c>
      <c r="U1213" s="61">
        <f>Allocation[[#This Row],[Total volume used]]/VLOOKUP(Allocation[[#This Row],[Delivery ID]],Delivery[[Delivery ID]:[Quantity delivered]],3,FALSE)</f>
        <v>0.96525887739745764</v>
      </c>
      <c r="V1213" s="34" t="e">
        <f>VLOOKUP(Allocation[[#This Row],[SAP Contract number]],Shipments[[SAP Contract number]:[Contracted container weight]],2,FALSE)</f>
        <v>#N/A</v>
      </c>
      <c r="W1213" s="34" t="e">
        <f>VLOOKUP(Allocation[[#This Row],[SAP Contract number]],Shipments[[SAP Contract number]:[AAA Premium USD]],24,FALSE)</f>
        <v>#N/A</v>
      </c>
      <c r="X1213" s="34" t="e">
        <f>VLOOKUP(Allocation[[#This Row],[SAP Contract number]],Shipments[[SAP Contract number]:[RA Premium USD]],25,FALSE)</f>
        <v>#N/A</v>
      </c>
      <c r="Y1213" s="38">
        <f>Allocation[[#This Row],[Quantity Processed]]/Allocation[[#This Row],[Quantity allocated]]</f>
        <v>3.03012987012987</v>
      </c>
      <c r="Z1213" s="34" t="b">
        <f>Allocation[[#This Row],[Quantity allocated]]&lt;=Allocation[[#This Row],[Quantity Processed]]</f>
        <v>1</v>
      </c>
    </row>
    <row r="1214" spans="1:26">
      <c r="A1214" s="247" t="s">
        <v>467</v>
      </c>
      <c r="B1214" s="210" t="s">
        <v>68</v>
      </c>
      <c r="C1214" s="254" t="s">
        <v>936</v>
      </c>
      <c r="D1214" s="255">
        <v>5791</v>
      </c>
      <c r="E1214" s="211" t="s">
        <v>1877</v>
      </c>
      <c r="F1214" s="212">
        <v>43544</v>
      </c>
      <c r="G1214" s="213">
        <v>2.7</v>
      </c>
      <c r="H1214" s="256">
        <v>1911</v>
      </c>
      <c r="I1214" s="214">
        <v>1446436</v>
      </c>
      <c r="J1214" s="215">
        <v>21600</v>
      </c>
      <c r="K1214" s="212">
        <v>43587</v>
      </c>
      <c r="L1214" s="211" t="s">
        <v>1880</v>
      </c>
      <c r="M1214" s="216">
        <v>4615445946</v>
      </c>
      <c r="N1214" s="212">
        <v>43682</v>
      </c>
      <c r="O1214" s="217">
        <v>3.9611999999999998</v>
      </c>
      <c r="P1214" s="219"/>
      <c r="Q1214" s="34">
        <f>SUMIF(Allocation[Delivery ID],Allocation[[#This Row],[Delivery ID]],Allocation[Quantity Processed])</f>
        <v>30003</v>
      </c>
      <c r="R1214" s="61">
        <f>Allocation[[#This Row],[Total volume used]]/VLOOKUP(Allocation[[#This Row],[Delivery ID]],Delivery[[Delivery ID]:[Quantity delivered]],3,FALSE)</f>
        <v>0.96747980587846449</v>
      </c>
      <c r="S1214" s="34">
        <f>Allocation[[#This Row],[Quantity Processed]]/Allocation[[#This Row],[Dilution rate]]</f>
        <v>2144.8148148148148</v>
      </c>
      <c r="T1214" s="59">
        <f>SUMIF(Allocation[Delivery ID],Allocation[[#This Row],[Delivery ID]],Allocation[Quantity allocated])/SUMIF(Allocation[Delivery ID],Allocation[[#This Row],[Delivery ID]],Allocation[Volume available (kg)])</f>
        <v>0.7871596743518644</v>
      </c>
      <c r="U1214" s="61">
        <f>Allocation[[#This Row],[Total volume used]]/VLOOKUP(Allocation[[#This Row],[Delivery ID]],Delivery[[Delivery ID]:[Quantity delivered]],3,FALSE)</f>
        <v>0.96747980587846449</v>
      </c>
      <c r="V1214" s="34" t="e">
        <f>VLOOKUP(Allocation[[#This Row],[SAP Contract number]],Shipments[[SAP Contract number]:[Contracted container weight]],2,FALSE)</f>
        <v>#N/A</v>
      </c>
      <c r="W1214" s="34" t="e">
        <f>VLOOKUP(Allocation[[#This Row],[SAP Contract number]],Shipments[[SAP Contract number]:[AAA Premium USD]],24,FALSE)</f>
        <v>#N/A</v>
      </c>
      <c r="X1214" s="34" t="e">
        <f>VLOOKUP(Allocation[[#This Row],[SAP Contract number]],Shipments[[SAP Contract number]:[RA Premium USD]],25,FALSE)</f>
        <v>#N/A</v>
      </c>
      <c r="Y1214" s="38">
        <f>Allocation[[#This Row],[Quantity Processed]]/Allocation[[#This Row],[Quantity allocated]]</f>
        <v>3.030350601779173</v>
      </c>
      <c r="Z1214" s="34" t="b">
        <f>Allocation[[#This Row],[Quantity allocated]]&lt;=Allocation[[#This Row],[Quantity Processed]]</f>
        <v>1</v>
      </c>
    </row>
    <row r="1215" spans="1:26">
      <c r="A1215" s="247" t="s">
        <v>467</v>
      </c>
      <c r="B1215" s="210" t="s">
        <v>68</v>
      </c>
      <c r="C1215" s="254" t="s">
        <v>937</v>
      </c>
      <c r="D1215" s="255">
        <v>4515</v>
      </c>
      <c r="E1215" s="211" t="s">
        <v>1877</v>
      </c>
      <c r="F1215" s="212">
        <v>43544</v>
      </c>
      <c r="G1215" s="213">
        <v>2.7</v>
      </c>
      <c r="H1215" s="256">
        <v>1851</v>
      </c>
      <c r="I1215" s="214">
        <v>1446436</v>
      </c>
      <c r="J1215" s="215">
        <v>21600</v>
      </c>
      <c r="K1215" s="212">
        <v>43587</v>
      </c>
      <c r="L1215" s="211" t="s">
        <v>1880</v>
      </c>
      <c r="M1215" s="216">
        <v>4615445946</v>
      </c>
      <c r="N1215" s="212">
        <v>43682</v>
      </c>
      <c r="O1215" s="217">
        <v>3.9611999999999998</v>
      </c>
      <c r="P1215" s="219"/>
      <c r="Q1215" s="34">
        <f>SUMIF(Allocation[Delivery ID],Allocation[[#This Row],[Delivery ID]],Allocation[Quantity Processed])</f>
        <v>23371</v>
      </c>
      <c r="R1215" s="61">
        <f>Allocation[[#This Row],[Total volume used]]/VLOOKUP(Allocation[[#This Row],[Delivery ID]],Delivery[[Delivery ID]:[Quantity delivered]],3,FALSE)</f>
        <v>0.77825507825507823</v>
      </c>
      <c r="S1215" s="34">
        <f>Allocation[[#This Row],[Quantity Processed]]/Allocation[[#This Row],[Dilution rate]]</f>
        <v>1672.2222222222222</v>
      </c>
      <c r="T1215" s="59">
        <f>SUMIF(Allocation[Delivery ID],Allocation[[#This Row],[Delivery ID]],Allocation[Quantity allocated])/SUMIF(Allocation[Delivery ID],Allocation[[#This Row],[Delivery ID]],Allocation[Volume available (kg)])</f>
        <v>0.97805484651195362</v>
      </c>
      <c r="U1215" s="61">
        <f>Allocation[[#This Row],[Total volume used]]/VLOOKUP(Allocation[[#This Row],[Delivery ID]],Delivery[[Delivery ID]:[Quantity delivered]],3,FALSE)</f>
        <v>0.77825507825507823</v>
      </c>
      <c r="V1215" s="34" t="e">
        <f>VLOOKUP(Allocation[[#This Row],[SAP Contract number]],Shipments[[SAP Contract number]:[Contracted container weight]],2,FALSE)</f>
        <v>#N/A</v>
      </c>
      <c r="W1215" s="34" t="e">
        <f>VLOOKUP(Allocation[[#This Row],[SAP Contract number]],Shipments[[SAP Contract number]:[AAA Premium USD]],24,FALSE)</f>
        <v>#N/A</v>
      </c>
      <c r="X1215" s="34" t="e">
        <f>VLOOKUP(Allocation[[#This Row],[SAP Contract number]],Shipments[[SAP Contract number]:[RA Premium USD]],25,FALSE)</f>
        <v>#N/A</v>
      </c>
      <c r="Y1215" s="38">
        <f>Allocation[[#This Row],[Quantity Processed]]/Allocation[[#This Row],[Quantity allocated]]</f>
        <v>2.439222042139384</v>
      </c>
      <c r="Z1215" s="34" t="b">
        <f>Allocation[[#This Row],[Quantity allocated]]&lt;=Allocation[[#This Row],[Quantity Processed]]</f>
        <v>1</v>
      </c>
    </row>
    <row r="1216" spans="1:26">
      <c r="A1216" s="247" t="s">
        <v>467</v>
      </c>
      <c r="B1216" s="210" t="s">
        <v>68</v>
      </c>
      <c r="C1216" s="254" t="s">
        <v>939</v>
      </c>
      <c r="D1216" s="255">
        <v>2567</v>
      </c>
      <c r="E1216" s="211" t="s">
        <v>1877</v>
      </c>
      <c r="F1216" s="212">
        <v>43544</v>
      </c>
      <c r="G1216" s="213">
        <v>2.7</v>
      </c>
      <c r="H1216" s="256">
        <v>847</v>
      </c>
      <c r="I1216" s="214">
        <v>1446436</v>
      </c>
      <c r="J1216" s="215">
        <v>21600</v>
      </c>
      <c r="K1216" s="212">
        <v>43587</v>
      </c>
      <c r="L1216" s="211" t="s">
        <v>1880</v>
      </c>
      <c r="M1216" s="216">
        <v>4615445946</v>
      </c>
      <c r="N1216" s="212">
        <v>43682</v>
      </c>
      <c r="O1216" s="217">
        <v>3.9611999999999998</v>
      </c>
      <c r="P1216" s="219"/>
      <c r="Q1216" s="34">
        <f>SUMIF(Allocation[Delivery ID],Allocation[[#This Row],[Delivery ID]],Allocation[Quantity Processed])</f>
        <v>13750</v>
      </c>
      <c r="R1216" s="61">
        <f>Allocation[[#This Row],[Total volume used]]/VLOOKUP(Allocation[[#This Row],[Delivery ID]],Delivery[[Delivery ID]:[Quantity delivered]],3,FALSE)</f>
        <v>1</v>
      </c>
      <c r="S1216" s="34">
        <f>Allocation[[#This Row],[Quantity Processed]]/Allocation[[#This Row],[Dilution rate]]</f>
        <v>950.74074074074065</v>
      </c>
      <c r="T1216" s="59">
        <f>SUMIF(Allocation[Delivery ID],Allocation[[#This Row],[Delivery ID]],Allocation[Quantity allocated])/SUMIF(Allocation[Delivery ID],Allocation[[#This Row],[Delivery ID]],Allocation[Volume available (kg)])</f>
        <v>0.78913135555090075</v>
      </c>
      <c r="U1216" s="61">
        <f>Allocation[[#This Row],[Total volume used]]/VLOOKUP(Allocation[[#This Row],[Delivery ID]],Delivery[[Delivery ID]:[Quantity delivered]],3,FALSE)</f>
        <v>1</v>
      </c>
      <c r="V1216" s="34" t="e">
        <f>VLOOKUP(Allocation[[#This Row],[SAP Contract number]],Shipments[[SAP Contract number]:[Contracted container weight]],2,FALSE)</f>
        <v>#N/A</v>
      </c>
      <c r="W1216" s="34" t="e">
        <f>VLOOKUP(Allocation[[#This Row],[SAP Contract number]],Shipments[[SAP Contract number]:[AAA Premium USD]],24,FALSE)</f>
        <v>#N/A</v>
      </c>
      <c r="X1216" s="34" t="e">
        <f>VLOOKUP(Allocation[[#This Row],[SAP Contract number]],Shipments[[SAP Contract number]:[RA Premium USD]],25,FALSE)</f>
        <v>#N/A</v>
      </c>
      <c r="Y1216" s="38">
        <f>Allocation[[#This Row],[Quantity Processed]]/Allocation[[#This Row],[Quantity allocated]]</f>
        <v>3.0306965761511218</v>
      </c>
      <c r="Z1216" s="34" t="b">
        <f>Allocation[[#This Row],[Quantity allocated]]&lt;=Allocation[[#This Row],[Quantity Processed]]</f>
        <v>1</v>
      </c>
    </row>
    <row r="1217" spans="1:26">
      <c r="A1217" s="247" t="s">
        <v>467</v>
      </c>
      <c r="B1217" s="210" t="s">
        <v>68</v>
      </c>
      <c r="C1217" s="254" t="s">
        <v>941</v>
      </c>
      <c r="D1217" s="255">
        <v>6173</v>
      </c>
      <c r="E1217" s="211" t="s">
        <v>1877</v>
      </c>
      <c r="F1217" s="212">
        <v>43544</v>
      </c>
      <c r="G1217" s="213">
        <v>2.7</v>
      </c>
      <c r="H1217" s="256">
        <v>1852</v>
      </c>
      <c r="I1217" s="214">
        <v>1446436</v>
      </c>
      <c r="J1217" s="215">
        <v>21600</v>
      </c>
      <c r="K1217" s="212">
        <v>43587</v>
      </c>
      <c r="L1217" s="211" t="s">
        <v>1880</v>
      </c>
      <c r="M1217" s="216">
        <v>4615445946</v>
      </c>
      <c r="N1217" s="212">
        <v>43682</v>
      </c>
      <c r="O1217" s="217">
        <v>3.9611999999999998</v>
      </c>
      <c r="P1217" s="219"/>
      <c r="Q1217" s="34">
        <f>SUMIF(Allocation[Delivery ID],Allocation[[#This Row],[Delivery ID]],Allocation[Quantity Processed])</f>
        <v>30050</v>
      </c>
      <c r="R1217" s="61">
        <f>Allocation[[#This Row],[Total volume used]]/VLOOKUP(Allocation[[#This Row],[Delivery ID]],Delivery[[Delivery ID]:[Quantity delivered]],3,FALSE)</f>
        <v>1</v>
      </c>
      <c r="S1217" s="34">
        <f>Allocation[[#This Row],[Quantity Processed]]/Allocation[[#This Row],[Dilution rate]]</f>
        <v>2286.2962962962961</v>
      </c>
      <c r="T1217" s="59">
        <f>SUMIF(Allocation[Delivery ID],Allocation[[#This Row],[Delivery ID]],Allocation[Quantity allocated])/SUMIF(Allocation[Delivery ID],Allocation[[#This Row],[Delivery ID]],Allocation[Volume available (kg)])</f>
        <v>0.71267222293301935</v>
      </c>
      <c r="U1217" s="61">
        <f>Allocation[[#This Row],[Total volume used]]/VLOOKUP(Allocation[[#This Row],[Delivery ID]],Delivery[[Delivery ID]:[Quantity delivered]],3,FALSE)</f>
        <v>1</v>
      </c>
      <c r="V1217" s="34" t="e">
        <f>VLOOKUP(Allocation[[#This Row],[SAP Contract number]],Shipments[[SAP Contract number]:[Contracted container weight]],2,FALSE)</f>
        <v>#N/A</v>
      </c>
      <c r="W1217" s="34" t="e">
        <f>VLOOKUP(Allocation[[#This Row],[SAP Contract number]],Shipments[[SAP Contract number]:[AAA Premium USD]],24,FALSE)</f>
        <v>#N/A</v>
      </c>
      <c r="X1217" s="34" t="e">
        <f>VLOOKUP(Allocation[[#This Row],[SAP Contract number]],Shipments[[SAP Contract number]:[RA Premium USD]],25,FALSE)</f>
        <v>#N/A</v>
      </c>
      <c r="Y1217" s="38">
        <f>Allocation[[#This Row],[Quantity Processed]]/Allocation[[#This Row],[Quantity allocated]]</f>
        <v>3.3331533477321815</v>
      </c>
      <c r="Z1217" s="34" t="b">
        <f>Allocation[[#This Row],[Quantity allocated]]&lt;=Allocation[[#This Row],[Quantity Processed]]</f>
        <v>1</v>
      </c>
    </row>
    <row r="1218" spans="1:26">
      <c r="A1218" s="247" t="s">
        <v>467</v>
      </c>
      <c r="B1218" s="210" t="s">
        <v>68</v>
      </c>
      <c r="C1218" s="254" t="s">
        <v>943</v>
      </c>
      <c r="D1218" s="255">
        <v>6167</v>
      </c>
      <c r="E1218" s="211" t="s">
        <v>1877</v>
      </c>
      <c r="F1218" s="212">
        <v>43544</v>
      </c>
      <c r="G1218" s="213">
        <v>2.7</v>
      </c>
      <c r="H1218" s="256">
        <v>1850</v>
      </c>
      <c r="I1218" s="214">
        <v>1446436</v>
      </c>
      <c r="J1218" s="215">
        <v>21600</v>
      </c>
      <c r="K1218" s="212">
        <v>43587</v>
      </c>
      <c r="L1218" s="211" t="s">
        <v>1880</v>
      </c>
      <c r="M1218" s="216">
        <v>4615445946</v>
      </c>
      <c r="N1218" s="212">
        <v>43682</v>
      </c>
      <c r="O1218" s="217">
        <v>3.9611999999999998</v>
      </c>
      <c r="P1218" s="219"/>
      <c r="Q1218" s="34">
        <f>SUMIF(Allocation[Delivery ID],Allocation[[#This Row],[Delivery ID]],Allocation[Quantity Processed])</f>
        <v>30020</v>
      </c>
      <c r="R1218" s="61">
        <f>Allocation[[#This Row],[Total volume used]]/VLOOKUP(Allocation[[#This Row],[Delivery ID]],Delivery[[Delivery ID]:[Quantity delivered]],3,FALSE)</f>
        <v>1</v>
      </c>
      <c r="S1218" s="34">
        <f>Allocation[[#This Row],[Quantity Processed]]/Allocation[[#This Row],[Dilution rate]]</f>
        <v>2284.0740740740739</v>
      </c>
      <c r="T1218" s="59">
        <f>SUMIF(Allocation[Delivery ID],Allocation[[#This Row],[Delivery ID]],Allocation[Quantity allocated])/SUMIF(Allocation[Delivery ID],Allocation[[#This Row],[Delivery ID]],Allocation[Volume available (kg)])</f>
        <v>0.71299381953263574</v>
      </c>
      <c r="U1218" s="61">
        <f>Allocation[[#This Row],[Total volume used]]/VLOOKUP(Allocation[[#This Row],[Delivery ID]],Delivery[[Delivery ID]:[Quantity delivered]],3,FALSE)</f>
        <v>1</v>
      </c>
      <c r="V1218" s="34" t="e">
        <f>VLOOKUP(Allocation[[#This Row],[SAP Contract number]],Shipments[[SAP Contract number]:[Contracted container weight]],2,FALSE)</f>
        <v>#N/A</v>
      </c>
      <c r="W1218" s="34" t="e">
        <f>VLOOKUP(Allocation[[#This Row],[SAP Contract number]],Shipments[[SAP Contract number]:[AAA Premium USD]],24,FALSE)</f>
        <v>#N/A</v>
      </c>
      <c r="X1218" s="34" t="e">
        <f>VLOOKUP(Allocation[[#This Row],[SAP Contract number]],Shipments[[SAP Contract number]:[RA Premium USD]],25,FALSE)</f>
        <v>#N/A</v>
      </c>
      <c r="Y1218" s="38">
        <f>Allocation[[#This Row],[Quantity Processed]]/Allocation[[#This Row],[Quantity allocated]]</f>
        <v>3.3335135135135134</v>
      </c>
      <c r="Z1218" s="34" t="b">
        <f>Allocation[[#This Row],[Quantity allocated]]&lt;=Allocation[[#This Row],[Quantity Processed]]</f>
        <v>1</v>
      </c>
    </row>
    <row r="1219" spans="1:26">
      <c r="A1219" s="247" t="s">
        <v>467</v>
      </c>
      <c r="B1219" s="210" t="s">
        <v>68</v>
      </c>
      <c r="C1219" s="254" t="s">
        <v>944</v>
      </c>
      <c r="D1219" s="255">
        <v>6160</v>
      </c>
      <c r="E1219" s="211" t="s">
        <v>1877</v>
      </c>
      <c r="F1219" s="212">
        <v>43544</v>
      </c>
      <c r="G1219" s="213">
        <v>2.7</v>
      </c>
      <c r="H1219" s="256">
        <v>1848</v>
      </c>
      <c r="I1219" s="214">
        <v>1446436</v>
      </c>
      <c r="J1219" s="215">
        <v>21600</v>
      </c>
      <c r="K1219" s="212">
        <v>43587</v>
      </c>
      <c r="L1219" s="211" t="s">
        <v>1880</v>
      </c>
      <c r="M1219" s="216">
        <v>4615445946</v>
      </c>
      <c r="N1219" s="212">
        <v>43682</v>
      </c>
      <c r="O1219" s="217">
        <v>3.9611999999999998</v>
      </c>
      <c r="P1219" s="219"/>
      <c r="Q1219" s="34">
        <f>SUMIF(Allocation[Delivery ID],Allocation[[#This Row],[Delivery ID]],Allocation[Quantity Processed])</f>
        <v>29990</v>
      </c>
      <c r="R1219" s="61">
        <f>Allocation[[#This Row],[Total volume used]]/VLOOKUP(Allocation[[#This Row],[Delivery ID]],Delivery[[Delivery ID]:[Quantity delivered]],3,FALSE)</f>
        <v>1</v>
      </c>
      <c r="S1219" s="34">
        <f>Allocation[[#This Row],[Quantity Processed]]/Allocation[[#This Row],[Dilution rate]]</f>
        <v>2281.4814814814813</v>
      </c>
      <c r="T1219" s="59">
        <f>SUMIF(Allocation[Delivery ID],Allocation[[#This Row],[Delivery ID]],Allocation[Quantity allocated])/SUMIF(Allocation[Delivery ID],Allocation[[#This Row],[Delivery ID]],Allocation[Volume available (kg)])</f>
        <v>0.71339638192221222</v>
      </c>
      <c r="U1219" s="61">
        <f>Allocation[[#This Row],[Total volume used]]/VLOOKUP(Allocation[[#This Row],[Delivery ID]],Delivery[[Delivery ID]:[Quantity delivered]],3,FALSE)</f>
        <v>1</v>
      </c>
      <c r="V1219" s="34" t="e">
        <f>VLOOKUP(Allocation[[#This Row],[SAP Contract number]],Shipments[[SAP Contract number]:[Contracted container weight]],2,FALSE)</f>
        <v>#N/A</v>
      </c>
      <c r="W1219" s="34" t="e">
        <f>VLOOKUP(Allocation[[#This Row],[SAP Contract number]],Shipments[[SAP Contract number]:[AAA Premium USD]],24,FALSE)</f>
        <v>#N/A</v>
      </c>
      <c r="X1219" s="34" t="e">
        <f>VLOOKUP(Allocation[[#This Row],[SAP Contract number]],Shipments[[SAP Contract number]:[RA Premium USD]],25,FALSE)</f>
        <v>#N/A</v>
      </c>
      <c r="Y1219" s="38">
        <f>Allocation[[#This Row],[Quantity Processed]]/Allocation[[#This Row],[Quantity allocated]]</f>
        <v>3.3333333333333335</v>
      </c>
      <c r="Z1219" s="34" t="b">
        <f>Allocation[[#This Row],[Quantity allocated]]&lt;=Allocation[[#This Row],[Quantity Processed]]</f>
        <v>1</v>
      </c>
    </row>
    <row r="1220" spans="1:26">
      <c r="A1220" s="247" t="s">
        <v>467</v>
      </c>
      <c r="B1220" s="210" t="s">
        <v>68</v>
      </c>
      <c r="C1220" s="254" t="s">
        <v>1620</v>
      </c>
      <c r="D1220" s="255">
        <v>85</v>
      </c>
      <c r="E1220" s="211" t="s">
        <v>1877</v>
      </c>
      <c r="F1220" s="212">
        <v>43544</v>
      </c>
      <c r="G1220" s="213">
        <v>2.7</v>
      </c>
      <c r="H1220" s="256">
        <v>28</v>
      </c>
      <c r="I1220" s="214">
        <v>1446436</v>
      </c>
      <c r="J1220" s="215">
        <v>21600</v>
      </c>
      <c r="K1220" s="212">
        <v>43587</v>
      </c>
      <c r="L1220" s="211" t="s">
        <v>1880</v>
      </c>
      <c r="M1220" s="216">
        <v>4615445946</v>
      </c>
      <c r="N1220" s="212">
        <v>43682</v>
      </c>
      <c r="O1220" s="217">
        <v>3.9611999999999998</v>
      </c>
      <c r="P1220" s="219"/>
      <c r="Q1220" s="34">
        <f>SUMIF(Allocation[Delivery ID],Allocation[[#This Row],[Delivery ID]],Allocation[Quantity Processed])</f>
        <v>595</v>
      </c>
      <c r="R1220" s="61">
        <f>Allocation[[#This Row],[Total volume used]]/VLOOKUP(Allocation[[#This Row],[Delivery ID]],Delivery[[Delivery ID]:[Quantity delivered]],3,FALSE)</f>
        <v>0.13947491795593062</v>
      </c>
      <c r="S1220" s="34">
        <f>Allocation[[#This Row],[Quantity Processed]]/Allocation[[#This Row],[Dilution rate]]</f>
        <v>31.481481481481481</v>
      </c>
      <c r="T1220" s="59">
        <f>SUMIF(Allocation[Delivery ID],Allocation[[#This Row],[Delivery ID]],Allocation[Quantity allocated])/SUMIF(Allocation[Delivery ID],Allocation[[#This Row],[Delivery ID]],Allocation[Volume available (kg)])</f>
        <v>0.73863829449507756</v>
      </c>
      <c r="U1220" s="61">
        <f>Allocation[[#This Row],[Total volume used]]/VLOOKUP(Allocation[[#This Row],[Delivery ID]],Delivery[[Delivery ID]:[Quantity delivered]],3,FALSE)</f>
        <v>0.13947491795593062</v>
      </c>
      <c r="V1220" s="34" t="e">
        <f>VLOOKUP(Allocation[[#This Row],[SAP Contract number]],Shipments[[SAP Contract number]:[Contracted container weight]],2,FALSE)</f>
        <v>#N/A</v>
      </c>
      <c r="W1220" s="34" t="e">
        <f>VLOOKUP(Allocation[[#This Row],[SAP Contract number]],Shipments[[SAP Contract number]:[AAA Premium USD]],24,FALSE)</f>
        <v>#N/A</v>
      </c>
      <c r="X1220" s="34" t="e">
        <f>VLOOKUP(Allocation[[#This Row],[SAP Contract number]],Shipments[[SAP Contract number]:[RA Premium USD]],25,FALSE)</f>
        <v>#N/A</v>
      </c>
      <c r="Y1220" s="38">
        <f>Allocation[[#This Row],[Quantity Processed]]/Allocation[[#This Row],[Quantity allocated]]</f>
        <v>3.0357142857142856</v>
      </c>
      <c r="Z1220" s="34" t="b">
        <f>Allocation[[#This Row],[Quantity allocated]]&lt;=Allocation[[#This Row],[Quantity Processed]]</f>
        <v>1</v>
      </c>
    </row>
    <row r="1221" spans="1:26">
      <c r="A1221" s="247" t="s">
        <v>467</v>
      </c>
      <c r="B1221" s="210" t="s">
        <v>68</v>
      </c>
      <c r="C1221" s="254" t="s">
        <v>957</v>
      </c>
      <c r="D1221" s="255">
        <v>7703</v>
      </c>
      <c r="E1221" s="211" t="s">
        <v>1877</v>
      </c>
      <c r="F1221" s="212">
        <v>43544</v>
      </c>
      <c r="G1221" s="213">
        <v>2.7</v>
      </c>
      <c r="H1221" s="256">
        <v>2542</v>
      </c>
      <c r="I1221" s="214">
        <v>1446436</v>
      </c>
      <c r="J1221" s="215">
        <v>21600</v>
      </c>
      <c r="K1221" s="212">
        <v>43587</v>
      </c>
      <c r="L1221" s="211" t="s">
        <v>1880</v>
      </c>
      <c r="M1221" s="216">
        <v>4615445946</v>
      </c>
      <c r="N1221" s="212">
        <v>43682</v>
      </c>
      <c r="O1221" s="217">
        <v>3.9611999999999998</v>
      </c>
      <c r="P1221" s="219"/>
      <c r="Q1221" s="34">
        <f>SUMIF(Allocation[Delivery ID],Allocation[[#This Row],[Delivery ID]],Allocation[Quantity Processed])</f>
        <v>24170</v>
      </c>
      <c r="R1221" s="61">
        <f>Allocation[[#This Row],[Total volume used]]/VLOOKUP(Allocation[[#This Row],[Delivery ID]],Delivery[[Delivery ID]:[Quantity delivered]],3,FALSE)</f>
        <v>1</v>
      </c>
      <c r="S1221" s="34">
        <f>Allocation[[#This Row],[Quantity Processed]]/Allocation[[#This Row],[Dilution rate]]</f>
        <v>2852.9629629629626</v>
      </c>
      <c r="T1221" s="59">
        <f>SUMIF(Allocation[Delivery ID],Allocation[[#This Row],[Delivery ID]],Allocation[Quantity allocated])/SUMIF(Allocation[Delivery ID],Allocation[[#This Row],[Delivery ID]],Allocation[Volume available (kg)])</f>
        <v>0.81588700460773944</v>
      </c>
      <c r="U1221" s="61">
        <f>Allocation[[#This Row],[Total volume used]]/VLOOKUP(Allocation[[#This Row],[Delivery ID]],Delivery[[Delivery ID]:[Quantity delivered]],3,FALSE)</f>
        <v>1</v>
      </c>
      <c r="V1221" s="34" t="e">
        <f>VLOOKUP(Allocation[[#This Row],[SAP Contract number]],Shipments[[SAP Contract number]:[Contracted container weight]],2,FALSE)</f>
        <v>#N/A</v>
      </c>
      <c r="W1221" s="34" t="e">
        <f>VLOOKUP(Allocation[[#This Row],[SAP Contract number]],Shipments[[SAP Contract number]:[AAA Premium USD]],24,FALSE)</f>
        <v>#N/A</v>
      </c>
      <c r="X1221" s="34" t="e">
        <f>VLOOKUP(Allocation[[#This Row],[SAP Contract number]],Shipments[[SAP Contract number]:[RA Premium USD]],25,FALSE)</f>
        <v>#N/A</v>
      </c>
      <c r="Y1221" s="38">
        <f>Allocation[[#This Row],[Quantity Processed]]/Allocation[[#This Row],[Quantity allocated]]</f>
        <v>3.0302911093627065</v>
      </c>
      <c r="Z1221" s="34" t="b">
        <f>Allocation[[#This Row],[Quantity allocated]]&lt;=Allocation[[#This Row],[Quantity Processed]]</f>
        <v>1</v>
      </c>
    </row>
    <row r="1222" spans="1:26">
      <c r="A1222" s="247" t="s">
        <v>467</v>
      </c>
      <c r="B1222" s="210" t="s">
        <v>68</v>
      </c>
      <c r="C1222" s="254" t="s">
        <v>961</v>
      </c>
      <c r="D1222" s="255">
        <v>1784</v>
      </c>
      <c r="E1222" s="211" t="s">
        <v>1877</v>
      </c>
      <c r="F1222" s="212">
        <v>43544</v>
      </c>
      <c r="G1222" s="213">
        <v>2.7</v>
      </c>
      <c r="H1222" s="256">
        <v>660</v>
      </c>
      <c r="I1222" s="214">
        <v>1446436</v>
      </c>
      <c r="J1222" s="215">
        <v>21600</v>
      </c>
      <c r="K1222" s="212">
        <v>43587</v>
      </c>
      <c r="L1222" s="211" t="s">
        <v>1880</v>
      </c>
      <c r="M1222" s="216">
        <v>4615445946</v>
      </c>
      <c r="N1222" s="212">
        <v>43682</v>
      </c>
      <c r="O1222" s="217">
        <v>3.9611999999999998</v>
      </c>
      <c r="P1222" s="219"/>
      <c r="Q1222" s="34">
        <f>SUMIF(Allocation[Delivery ID],Allocation[[#This Row],[Delivery ID]],Allocation[Quantity Processed])</f>
        <v>2816</v>
      </c>
      <c r="R1222" s="61">
        <f>Allocation[[#This Row],[Total volume used]]/VLOOKUP(Allocation[[#This Row],[Delivery ID]],Delivery[[Delivery ID]:[Quantity delivered]],3,FALSE)</f>
        <v>0.46692090863870006</v>
      </c>
      <c r="S1222" s="34">
        <f>Allocation[[#This Row],[Quantity Processed]]/Allocation[[#This Row],[Dilution rate]]</f>
        <v>660.74074074074065</v>
      </c>
      <c r="T1222" s="59">
        <f>SUMIF(Allocation[Delivery ID],Allocation[[#This Row],[Delivery ID]],Allocation[Quantity allocated])/SUMIF(Allocation[Delivery ID],Allocation[[#This Row],[Delivery ID]],Allocation[Volume available (kg)])</f>
        <v>0.9947900889252449</v>
      </c>
      <c r="U1222" s="61">
        <f>Allocation[[#This Row],[Total volume used]]/VLOOKUP(Allocation[[#This Row],[Delivery ID]],Delivery[[Delivery ID]:[Quantity delivered]],3,FALSE)</f>
        <v>0.46692090863870006</v>
      </c>
      <c r="V1222" s="34" t="e">
        <f>VLOOKUP(Allocation[[#This Row],[SAP Contract number]],Shipments[[SAP Contract number]:[Contracted container weight]],2,FALSE)</f>
        <v>#N/A</v>
      </c>
      <c r="W1222" s="34" t="e">
        <f>VLOOKUP(Allocation[[#This Row],[SAP Contract number]],Shipments[[SAP Contract number]:[AAA Premium USD]],24,FALSE)</f>
        <v>#N/A</v>
      </c>
      <c r="X1222" s="34" t="e">
        <f>VLOOKUP(Allocation[[#This Row],[SAP Contract number]],Shipments[[SAP Contract number]:[RA Premium USD]],25,FALSE)</f>
        <v>#N/A</v>
      </c>
      <c r="Y1222" s="38">
        <f>Allocation[[#This Row],[Quantity Processed]]/Allocation[[#This Row],[Quantity allocated]]</f>
        <v>2.7030303030303031</v>
      </c>
      <c r="Z1222" s="34" t="b">
        <f>Allocation[[#This Row],[Quantity allocated]]&lt;=Allocation[[#This Row],[Quantity Processed]]</f>
        <v>1</v>
      </c>
    </row>
    <row r="1223" spans="1:26">
      <c r="A1223" s="247" t="s">
        <v>467</v>
      </c>
      <c r="B1223" s="210" t="s">
        <v>68</v>
      </c>
      <c r="C1223" s="254" t="s">
        <v>1621</v>
      </c>
      <c r="D1223" s="255">
        <v>121</v>
      </c>
      <c r="E1223" s="211" t="s">
        <v>1877</v>
      </c>
      <c r="F1223" s="212">
        <v>43544</v>
      </c>
      <c r="G1223" s="213">
        <v>2.7</v>
      </c>
      <c r="H1223" s="256">
        <v>40</v>
      </c>
      <c r="I1223" s="214">
        <v>1446436</v>
      </c>
      <c r="J1223" s="215">
        <v>21600</v>
      </c>
      <c r="K1223" s="212">
        <v>43587</v>
      </c>
      <c r="L1223" s="211" t="s">
        <v>1880</v>
      </c>
      <c r="M1223" s="216">
        <v>4615445946</v>
      </c>
      <c r="N1223" s="212">
        <v>43682</v>
      </c>
      <c r="O1223" s="217">
        <v>3.9611999999999998</v>
      </c>
      <c r="P1223" s="219"/>
      <c r="Q1223" s="34">
        <f>SUMIF(Allocation[Delivery ID],Allocation[[#This Row],[Delivery ID]],Allocation[Quantity Processed])</f>
        <v>833</v>
      </c>
      <c r="R1223" s="61">
        <f>Allocation[[#This Row],[Total volume used]]/VLOOKUP(Allocation[[#This Row],[Delivery ID]],Delivery[[Delivery ID]:[Quantity delivered]],3,FALSE)</f>
        <v>0.13957774798927614</v>
      </c>
      <c r="S1223" s="34">
        <f>Allocation[[#This Row],[Quantity Processed]]/Allocation[[#This Row],[Dilution rate]]</f>
        <v>44.81481481481481</v>
      </c>
      <c r="T1223" s="59">
        <f>SUMIF(Allocation[Delivery ID],Allocation[[#This Row],[Delivery ID]],Allocation[Quantity allocated])/SUMIF(Allocation[Delivery ID],Allocation[[#This Row],[Delivery ID]],Allocation[Volume available (kg)])</f>
        <v>0.74075001016675313</v>
      </c>
      <c r="U1223" s="61">
        <f>Allocation[[#This Row],[Total volume used]]/VLOOKUP(Allocation[[#This Row],[Delivery ID]],Delivery[[Delivery ID]:[Quantity delivered]],3,FALSE)</f>
        <v>0.13957774798927614</v>
      </c>
      <c r="V1223" s="34" t="e">
        <f>VLOOKUP(Allocation[[#This Row],[SAP Contract number]],Shipments[[SAP Contract number]:[Contracted container weight]],2,FALSE)</f>
        <v>#N/A</v>
      </c>
      <c r="W1223" s="34" t="e">
        <f>VLOOKUP(Allocation[[#This Row],[SAP Contract number]],Shipments[[SAP Contract number]:[AAA Premium USD]],24,FALSE)</f>
        <v>#N/A</v>
      </c>
      <c r="X1223" s="34" t="e">
        <f>VLOOKUP(Allocation[[#This Row],[SAP Contract number]],Shipments[[SAP Contract number]:[RA Premium USD]],25,FALSE)</f>
        <v>#N/A</v>
      </c>
      <c r="Y1223" s="38">
        <f>Allocation[[#This Row],[Quantity Processed]]/Allocation[[#This Row],[Quantity allocated]]</f>
        <v>3.0249999999999999</v>
      </c>
      <c r="Z1223" s="34" t="b">
        <f>Allocation[[#This Row],[Quantity allocated]]&lt;=Allocation[[#This Row],[Quantity Processed]]</f>
        <v>1</v>
      </c>
    </row>
    <row r="1224" spans="1:26">
      <c r="A1224" s="247" t="s">
        <v>467</v>
      </c>
      <c r="B1224" s="210" t="s">
        <v>68</v>
      </c>
      <c r="C1224" s="254" t="s">
        <v>967</v>
      </c>
      <c r="D1224" s="255">
        <v>303</v>
      </c>
      <c r="E1224" s="211" t="s">
        <v>1877</v>
      </c>
      <c r="F1224" s="212">
        <v>43544</v>
      </c>
      <c r="G1224" s="213">
        <v>2.7</v>
      </c>
      <c r="H1224" s="256">
        <v>100</v>
      </c>
      <c r="I1224" s="214">
        <v>1446436</v>
      </c>
      <c r="J1224" s="215">
        <v>21600</v>
      </c>
      <c r="K1224" s="212">
        <v>43587</v>
      </c>
      <c r="L1224" s="211" t="s">
        <v>1880</v>
      </c>
      <c r="M1224" s="216">
        <v>4615445946</v>
      </c>
      <c r="N1224" s="212">
        <v>43682</v>
      </c>
      <c r="O1224" s="217">
        <v>3.9611999999999998</v>
      </c>
      <c r="P1224" s="219"/>
      <c r="Q1224" s="34">
        <f>SUMIF(Allocation[Delivery ID],Allocation[[#This Row],[Delivery ID]],Allocation[Quantity Processed])</f>
        <v>13980</v>
      </c>
      <c r="R1224" s="61">
        <f>Allocation[[#This Row],[Total volume used]]/VLOOKUP(Allocation[[#This Row],[Delivery ID]],Delivery[[Delivery ID]:[Quantity delivered]],3,FALSE)</f>
        <v>1</v>
      </c>
      <c r="S1224" s="34">
        <f>Allocation[[#This Row],[Quantity Processed]]/Allocation[[#This Row],[Dilution rate]]</f>
        <v>112.22222222222221</v>
      </c>
      <c r="T1224" s="59">
        <f>SUMIF(Allocation[Delivery ID],Allocation[[#This Row],[Delivery ID]],Allocation[Quantity allocated])/SUMIF(Allocation[Delivery ID],Allocation[[#This Row],[Delivery ID]],Allocation[Volume available (kg)])</f>
        <v>0.81689670470480924</v>
      </c>
      <c r="U1224" s="61">
        <f>Allocation[[#This Row],[Total volume used]]/VLOOKUP(Allocation[[#This Row],[Delivery ID]],Delivery[[Delivery ID]:[Quantity delivered]],3,FALSE)</f>
        <v>1</v>
      </c>
      <c r="V1224" s="34" t="e">
        <f>VLOOKUP(Allocation[[#This Row],[SAP Contract number]],Shipments[[SAP Contract number]:[Contracted container weight]],2,FALSE)</f>
        <v>#N/A</v>
      </c>
      <c r="W1224" s="34" t="e">
        <f>VLOOKUP(Allocation[[#This Row],[SAP Contract number]],Shipments[[SAP Contract number]:[AAA Premium USD]],24,FALSE)</f>
        <v>#N/A</v>
      </c>
      <c r="X1224" s="34" t="e">
        <f>VLOOKUP(Allocation[[#This Row],[SAP Contract number]],Shipments[[SAP Contract number]:[RA Premium USD]],25,FALSE)</f>
        <v>#N/A</v>
      </c>
      <c r="Y1224" s="38">
        <f>Allocation[[#This Row],[Quantity Processed]]/Allocation[[#This Row],[Quantity allocated]]</f>
        <v>3.03</v>
      </c>
      <c r="Z1224" s="34" t="b">
        <f>Allocation[[#This Row],[Quantity allocated]]&lt;=Allocation[[#This Row],[Quantity Processed]]</f>
        <v>1</v>
      </c>
    </row>
    <row r="1225" spans="1:26">
      <c r="A1225" s="247" t="s">
        <v>467</v>
      </c>
      <c r="B1225" s="210" t="s">
        <v>68</v>
      </c>
      <c r="C1225" s="254" t="s">
        <v>967</v>
      </c>
      <c r="D1225" s="255">
        <v>4152</v>
      </c>
      <c r="E1225" s="211" t="s">
        <v>1877</v>
      </c>
      <c r="F1225" s="212">
        <v>43544</v>
      </c>
      <c r="G1225" s="213">
        <v>2.7</v>
      </c>
      <c r="H1225" s="256">
        <v>1370</v>
      </c>
      <c r="I1225" s="214">
        <v>1446437</v>
      </c>
      <c r="J1225" s="215">
        <v>21600</v>
      </c>
      <c r="K1225" s="212">
        <v>43587</v>
      </c>
      <c r="L1225" s="211" t="s">
        <v>1881</v>
      </c>
      <c r="M1225" s="216">
        <v>4615445946</v>
      </c>
      <c r="N1225" s="212">
        <v>43682</v>
      </c>
      <c r="O1225" s="217">
        <v>3.9611999999999998</v>
      </c>
      <c r="P1225" s="219"/>
      <c r="Q1225" s="34">
        <f>SUMIF(Allocation[Delivery ID],Allocation[[#This Row],[Delivery ID]],Allocation[Quantity Processed])</f>
        <v>13980</v>
      </c>
      <c r="R1225" s="61">
        <f>Allocation[[#This Row],[Total volume used]]/VLOOKUP(Allocation[[#This Row],[Delivery ID]],Delivery[[Delivery ID]:[Quantity delivered]],3,FALSE)</f>
        <v>1</v>
      </c>
      <c r="S1225" s="34">
        <f>Allocation[[#This Row],[Quantity Processed]]/Allocation[[#This Row],[Dilution rate]]</f>
        <v>1537.7777777777776</v>
      </c>
      <c r="T1225" s="59">
        <f>SUMIF(Allocation[Delivery ID],Allocation[[#This Row],[Delivery ID]],Allocation[Quantity allocated])/SUMIF(Allocation[Delivery ID],Allocation[[#This Row],[Delivery ID]],Allocation[Volume available (kg)])</f>
        <v>0.81689670470480924</v>
      </c>
      <c r="U1225" s="61">
        <f>Allocation[[#This Row],[Total volume used]]/VLOOKUP(Allocation[[#This Row],[Delivery ID]],Delivery[[Delivery ID]:[Quantity delivered]],3,FALSE)</f>
        <v>1</v>
      </c>
      <c r="V1225" s="34" t="e">
        <f>VLOOKUP(Allocation[[#This Row],[SAP Contract number]],Shipments[[SAP Contract number]:[Contracted container weight]],2,FALSE)</f>
        <v>#N/A</v>
      </c>
      <c r="W1225" s="34" t="e">
        <f>VLOOKUP(Allocation[[#This Row],[SAP Contract number]],Shipments[[SAP Contract number]:[AAA Premium USD]],24,FALSE)</f>
        <v>#N/A</v>
      </c>
      <c r="X1225" s="34" t="e">
        <f>VLOOKUP(Allocation[[#This Row],[SAP Contract number]],Shipments[[SAP Contract number]:[RA Premium USD]],25,FALSE)</f>
        <v>#N/A</v>
      </c>
      <c r="Y1225" s="38">
        <f>Allocation[[#This Row],[Quantity Processed]]/Allocation[[#This Row],[Quantity allocated]]</f>
        <v>3.0306569343065695</v>
      </c>
      <c r="Z1225" s="34" t="b">
        <f>Allocation[[#This Row],[Quantity allocated]]&lt;=Allocation[[#This Row],[Quantity Processed]]</f>
        <v>1</v>
      </c>
    </row>
    <row r="1226" spans="1:26">
      <c r="A1226" s="247" t="s">
        <v>467</v>
      </c>
      <c r="B1226" s="210" t="s">
        <v>68</v>
      </c>
      <c r="C1226" s="254" t="s">
        <v>973</v>
      </c>
      <c r="D1226" s="255">
        <v>2210</v>
      </c>
      <c r="E1226" s="211" t="s">
        <v>1877</v>
      </c>
      <c r="F1226" s="212">
        <v>43544</v>
      </c>
      <c r="G1226" s="213">
        <v>2.7</v>
      </c>
      <c r="H1226" s="256">
        <v>862</v>
      </c>
      <c r="I1226" s="214">
        <v>1446437</v>
      </c>
      <c r="J1226" s="215">
        <v>21600</v>
      </c>
      <c r="K1226" s="212">
        <v>43587</v>
      </c>
      <c r="L1226" s="211" t="s">
        <v>1881</v>
      </c>
      <c r="M1226" s="216">
        <v>4615445946</v>
      </c>
      <c r="N1226" s="212">
        <v>43682</v>
      </c>
      <c r="O1226" s="217">
        <v>3.9611999999999998</v>
      </c>
      <c r="P1226" s="219"/>
      <c r="Q1226" s="34">
        <f>SUMIF(Allocation[Delivery ID],Allocation[[#This Row],[Delivery ID]],Allocation[Quantity Processed])</f>
        <v>18984</v>
      </c>
      <c r="R1226" s="61">
        <f>Allocation[[#This Row],[Total volume used]]/VLOOKUP(Allocation[[#This Row],[Delivery ID]],Delivery[[Delivery ID]:[Quantity delivered]],3,FALSE)</f>
        <v>0.63174708818635605</v>
      </c>
      <c r="S1226" s="34">
        <f>Allocation[[#This Row],[Quantity Processed]]/Allocation[[#This Row],[Dilution rate]]</f>
        <v>818.51851851851848</v>
      </c>
      <c r="T1226" s="59">
        <f>SUMIF(Allocation[Delivery ID],Allocation[[#This Row],[Delivery ID]],Allocation[Quantity allocated])/SUMIF(Allocation[Delivery ID],Allocation[[#This Row],[Delivery ID]],Allocation[Volume available (kg)])</f>
        <v>0.86980715245582985</v>
      </c>
      <c r="U1226" s="61">
        <f>Allocation[[#This Row],[Total volume used]]/VLOOKUP(Allocation[[#This Row],[Delivery ID]],Delivery[[Delivery ID]:[Quantity delivered]],3,FALSE)</f>
        <v>0.63174708818635605</v>
      </c>
      <c r="V1226" s="34" t="e">
        <f>VLOOKUP(Allocation[[#This Row],[SAP Contract number]],Shipments[[SAP Contract number]:[Contracted container weight]],2,FALSE)</f>
        <v>#N/A</v>
      </c>
      <c r="W1226" s="34" t="e">
        <f>VLOOKUP(Allocation[[#This Row],[SAP Contract number]],Shipments[[SAP Contract number]:[AAA Premium USD]],24,FALSE)</f>
        <v>#N/A</v>
      </c>
      <c r="X1226" s="34" t="e">
        <f>VLOOKUP(Allocation[[#This Row],[SAP Contract number]],Shipments[[SAP Contract number]:[RA Premium USD]],25,FALSE)</f>
        <v>#N/A</v>
      </c>
      <c r="Y1226" s="38">
        <f>Allocation[[#This Row],[Quantity Processed]]/Allocation[[#This Row],[Quantity allocated]]</f>
        <v>2.5638051044083525</v>
      </c>
      <c r="Z1226" s="34" t="b">
        <f>Allocation[[#This Row],[Quantity allocated]]&lt;=Allocation[[#This Row],[Quantity Processed]]</f>
        <v>1</v>
      </c>
    </row>
    <row r="1227" spans="1:26">
      <c r="A1227" s="247" t="s">
        <v>467</v>
      </c>
      <c r="B1227" s="210" t="s">
        <v>68</v>
      </c>
      <c r="C1227" s="254" t="s">
        <v>976</v>
      </c>
      <c r="D1227" s="255">
        <v>374</v>
      </c>
      <c r="E1227" s="211" t="s">
        <v>1877</v>
      </c>
      <c r="F1227" s="212">
        <v>43544</v>
      </c>
      <c r="G1227" s="213">
        <v>2.7</v>
      </c>
      <c r="H1227" s="256">
        <v>146</v>
      </c>
      <c r="I1227" s="214">
        <v>1446437</v>
      </c>
      <c r="J1227" s="215">
        <v>21600</v>
      </c>
      <c r="K1227" s="212">
        <v>43587</v>
      </c>
      <c r="L1227" s="211" t="s">
        <v>1881</v>
      </c>
      <c r="M1227" s="216">
        <v>4615445946</v>
      </c>
      <c r="N1227" s="212">
        <v>43682</v>
      </c>
      <c r="O1227" s="217">
        <v>3.9611999999999998</v>
      </c>
      <c r="P1227" s="219"/>
      <c r="Q1227" s="34">
        <f>SUMIF(Allocation[Delivery ID],Allocation[[#This Row],[Delivery ID]],Allocation[Quantity Processed])</f>
        <v>5762</v>
      </c>
      <c r="R1227" s="61">
        <f>Allocation[[#This Row],[Total volume used]]/VLOOKUP(Allocation[[#This Row],[Delivery ID]],Delivery[[Delivery ID]:[Quantity delivered]],3,FALSE)</f>
        <v>0.56517900931829324</v>
      </c>
      <c r="S1227" s="34">
        <f>Allocation[[#This Row],[Quantity Processed]]/Allocation[[#This Row],[Dilution rate]]</f>
        <v>138.5185185185185</v>
      </c>
      <c r="T1227" s="59">
        <f>SUMIF(Allocation[Delivery ID],Allocation[[#This Row],[Delivery ID]],Allocation[Quantity allocated])/SUMIF(Allocation[Delivery ID],Allocation[[#This Row],[Delivery ID]],Allocation[Volume available (kg)])</f>
        <v>0.8530439681206371</v>
      </c>
      <c r="U1227" s="61">
        <f>Allocation[[#This Row],[Total volume used]]/VLOOKUP(Allocation[[#This Row],[Delivery ID]],Delivery[[Delivery ID]:[Quantity delivered]],3,FALSE)</f>
        <v>0.56517900931829324</v>
      </c>
      <c r="V1227" s="34" t="e">
        <f>VLOOKUP(Allocation[[#This Row],[SAP Contract number]],Shipments[[SAP Contract number]:[Contracted container weight]],2,FALSE)</f>
        <v>#N/A</v>
      </c>
      <c r="W1227" s="34" t="e">
        <f>VLOOKUP(Allocation[[#This Row],[SAP Contract number]],Shipments[[SAP Contract number]:[AAA Premium USD]],24,FALSE)</f>
        <v>#N/A</v>
      </c>
      <c r="X1227" s="34" t="e">
        <f>VLOOKUP(Allocation[[#This Row],[SAP Contract number]],Shipments[[SAP Contract number]:[RA Premium USD]],25,FALSE)</f>
        <v>#N/A</v>
      </c>
      <c r="Y1227" s="38">
        <f>Allocation[[#This Row],[Quantity Processed]]/Allocation[[#This Row],[Quantity allocated]]</f>
        <v>2.5616438356164384</v>
      </c>
      <c r="Z1227" s="34" t="b">
        <f>Allocation[[#This Row],[Quantity allocated]]&lt;=Allocation[[#This Row],[Quantity Processed]]</f>
        <v>1</v>
      </c>
    </row>
    <row r="1228" spans="1:26">
      <c r="A1228" s="247" t="s">
        <v>467</v>
      </c>
      <c r="B1228" s="210" t="s">
        <v>68</v>
      </c>
      <c r="C1228" s="254" t="s">
        <v>978</v>
      </c>
      <c r="D1228" s="255">
        <v>652</v>
      </c>
      <c r="E1228" s="211" t="s">
        <v>1877</v>
      </c>
      <c r="F1228" s="212">
        <v>43544</v>
      </c>
      <c r="G1228" s="213">
        <v>2.7</v>
      </c>
      <c r="H1228" s="256">
        <v>215</v>
      </c>
      <c r="I1228" s="214">
        <v>1446437</v>
      </c>
      <c r="J1228" s="215">
        <v>21600</v>
      </c>
      <c r="K1228" s="212">
        <v>43587</v>
      </c>
      <c r="L1228" s="211" t="s">
        <v>1881</v>
      </c>
      <c r="M1228" s="216">
        <v>4615445946</v>
      </c>
      <c r="N1228" s="212">
        <v>43682</v>
      </c>
      <c r="O1228" s="217">
        <v>3.9611999999999998</v>
      </c>
      <c r="P1228" s="219"/>
      <c r="Q1228" s="34">
        <f>SUMIF(Allocation[Delivery ID],Allocation[[#This Row],[Delivery ID]],Allocation[Quantity Processed])</f>
        <v>10932</v>
      </c>
      <c r="R1228" s="61">
        <f>Allocation[[#This Row],[Total volume used]]/VLOOKUP(Allocation[[#This Row],[Delivery ID]],Delivery[[Delivery ID]:[Quantity delivered]],3,FALSE)</f>
        <v>0.72807192807192811</v>
      </c>
      <c r="S1228" s="34">
        <f>Allocation[[#This Row],[Quantity Processed]]/Allocation[[#This Row],[Dilution rate]]</f>
        <v>241.48148148148147</v>
      </c>
      <c r="T1228" s="59">
        <f>SUMIF(Allocation[Delivery ID],Allocation[[#This Row],[Delivery ID]],Allocation[Quantity allocated])/SUMIF(Allocation[Delivery ID],Allocation[[#This Row],[Delivery ID]],Allocation[Volume available (kg)])</f>
        <v>0.66709261121584584</v>
      </c>
      <c r="U1228" s="61">
        <f>Allocation[[#This Row],[Total volume used]]/VLOOKUP(Allocation[[#This Row],[Delivery ID]],Delivery[[Delivery ID]:[Quantity delivered]],3,FALSE)</f>
        <v>0.72807192807192811</v>
      </c>
      <c r="V1228" s="34" t="e">
        <f>VLOOKUP(Allocation[[#This Row],[SAP Contract number]],Shipments[[SAP Contract number]:[Contracted container weight]],2,FALSE)</f>
        <v>#N/A</v>
      </c>
      <c r="W1228" s="34" t="e">
        <f>VLOOKUP(Allocation[[#This Row],[SAP Contract number]],Shipments[[SAP Contract number]:[AAA Premium USD]],24,FALSE)</f>
        <v>#N/A</v>
      </c>
      <c r="X1228" s="34" t="e">
        <f>VLOOKUP(Allocation[[#This Row],[SAP Contract number]],Shipments[[SAP Contract number]:[RA Premium USD]],25,FALSE)</f>
        <v>#N/A</v>
      </c>
      <c r="Y1228" s="38">
        <f>Allocation[[#This Row],[Quantity Processed]]/Allocation[[#This Row],[Quantity allocated]]</f>
        <v>3.0325581395348835</v>
      </c>
      <c r="Z1228" s="34" t="b">
        <f>Allocation[[#This Row],[Quantity allocated]]&lt;=Allocation[[#This Row],[Quantity Processed]]</f>
        <v>1</v>
      </c>
    </row>
    <row r="1229" spans="1:26">
      <c r="A1229" s="247" t="s">
        <v>467</v>
      </c>
      <c r="B1229" s="210" t="s">
        <v>68</v>
      </c>
      <c r="C1229" s="254" t="s">
        <v>984</v>
      </c>
      <c r="D1229" s="255">
        <v>1036</v>
      </c>
      <c r="E1229" s="211" t="s">
        <v>1877</v>
      </c>
      <c r="F1229" s="212">
        <v>43544</v>
      </c>
      <c r="G1229" s="213">
        <v>2.7</v>
      </c>
      <c r="H1229" s="256">
        <v>342</v>
      </c>
      <c r="I1229" s="214">
        <v>1446437</v>
      </c>
      <c r="J1229" s="215">
        <v>21600</v>
      </c>
      <c r="K1229" s="212">
        <v>43587</v>
      </c>
      <c r="L1229" s="211" t="s">
        <v>1881</v>
      </c>
      <c r="M1229" s="216">
        <v>4615445946</v>
      </c>
      <c r="N1229" s="212">
        <v>43682</v>
      </c>
      <c r="O1229" s="217">
        <v>3.9611999999999998</v>
      </c>
      <c r="P1229" s="219"/>
      <c r="Q1229" s="34">
        <f>SUMIF(Allocation[Delivery ID],Allocation[[#This Row],[Delivery ID]],Allocation[Quantity Processed])</f>
        <v>16184</v>
      </c>
      <c r="R1229" s="61">
        <f>Allocation[[#This Row],[Total volume used]]/VLOOKUP(Allocation[[#This Row],[Delivery ID]],Delivery[[Delivery ID]:[Quantity delivered]],3,FALSE)</f>
        <v>0.675741127348643</v>
      </c>
      <c r="S1229" s="34">
        <f>Allocation[[#This Row],[Quantity Processed]]/Allocation[[#This Row],[Dilution rate]]</f>
        <v>383.7037037037037</v>
      </c>
      <c r="T1229" s="59">
        <f>SUMIF(Allocation[Delivery ID],Allocation[[#This Row],[Delivery ID]],Allocation[Quantity allocated])/SUMIF(Allocation[Delivery ID],Allocation[[#This Row],[Delivery ID]],Allocation[Volume available (kg)])</f>
        <v>0.72306862817030149</v>
      </c>
      <c r="U1229" s="61">
        <f>Allocation[[#This Row],[Total volume used]]/VLOOKUP(Allocation[[#This Row],[Delivery ID]],Delivery[[Delivery ID]:[Quantity delivered]],3,FALSE)</f>
        <v>0.675741127348643</v>
      </c>
      <c r="V1229" s="34" t="e">
        <f>VLOOKUP(Allocation[[#This Row],[SAP Contract number]],Shipments[[SAP Contract number]:[Contracted container weight]],2,FALSE)</f>
        <v>#N/A</v>
      </c>
      <c r="W1229" s="34" t="e">
        <f>VLOOKUP(Allocation[[#This Row],[SAP Contract number]],Shipments[[SAP Contract number]:[AAA Premium USD]],24,FALSE)</f>
        <v>#N/A</v>
      </c>
      <c r="X1229" s="34" t="e">
        <f>VLOOKUP(Allocation[[#This Row],[SAP Contract number]],Shipments[[SAP Contract number]:[RA Premium USD]],25,FALSE)</f>
        <v>#N/A</v>
      </c>
      <c r="Y1229" s="38">
        <f>Allocation[[#This Row],[Quantity Processed]]/Allocation[[#This Row],[Quantity allocated]]</f>
        <v>3.0292397660818713</v>
      </c>
      <c r="Z1229" s="34" t="b">
        <f>Allocation[[#This Row],[Quantity allocated]]&lt;=Allocation[[#This Row],[Quantity Processed]]</f>
        <v>1</v>
      </c>
    </row>
    <row r="1230" spans="1:26">
      <c r="A1230" s="247" t="s">
        <v>467</v>
      </c>
      <c r="B1230" s="210" t="s">
        <v>68</v>
      </c>
      <c r="C1230" s="254" t="s">
        <v>985</v>
      </c>
      <c r="D1230" s="255">
        <v>451</v>
      </c>
      <c r="E1230" s="211" t="s">
        <v>1877</v>
      </c>
      <c r="F1230" s="212">
        <v>43544</v>
      </c>
      <c r="G1230" s="213">
        <v>2.7</v>
      </c>
      <c r="H1230" s="256">
        <v>158</v>
      </c>
      <c r="I1230" s="214">
        <v>1446437</v>
      </c>
      <c r="J1230" s="215">
        <v>21600</v>
      </c>
      <c r="K1230" s="212">
        <v>43587</v>
      </c>
      <c r="L1230" s="211" t="s">
        <v>1881</v>
      </c>
      <c r="M1230" s="216">
        <v>4615445946</v>
      </c>
      <c r="N1230" s="212">
        <v>43682</v>
      </c>
      <c r="O1230" s="217">
        <v>3.9611999999999998</v>
      </c>
      <c r="P1230" s="219"/>
      <c r="Q1230" s="34">
        <f>SUMIF(Allocation[Delivery ID],Allocation[[#This Row],[Delivery ID]],Allocation[Quantity Processed])</f>
        <v>7053</v>
      </c>
      <c r="R1230" s="61">
        <f>Allocation[[#This Row],[Total volume used]]/VLOOKUP(Allocation[[#This Row],[Delivery ID]],Delivery[[Delivery ID]:[Quantity delivered]],3,FALSE)</f>
        <v>0.63770343580470168</v>
      </c>
      <c r="S1230" s="34">
        <f>Allocation[[#This Row],[Quantity Processed]]/Allocation[[#This Row],[Dilution rate]]</f>
        <v>167.03703703703704</v>
      </c>
      <c r="T1230" s="59">
        <f>SUMIF(Allocation[Delivery ID],Allocation[[#This Row],[Delivery ID]],Allocation[Quantity allocated])/SUMIF(Allocation[Delivery ID],Allocation[[#This Row],[Delivery ID]],Allocation[Volume available (kg)])</f>
        <v>0.76690120298999431</v>
      </c>
      <c r="U1230" s="61">
        <f>Allocation[[#This Row],[Total volume used]]/VLOOKUP(Allocation[[#This Row],[Delivery ID]],Delivery[[Delivery ID]:[Quantity delivered]],3,FALSE)</f>
        <v>0.63770343580470168</v>
      </c>
      <c r="V1230" s="34" t="e">
        <f>VLOOKUP(Allocation[[#This Row],[SAP Contract number]],Shipments[[SAP Contract number]:[Contracted container weight]],2,FALSE)</f>
        <v>#N/A</v>
      </c>
      <c r="W1230" s="34" t="e">
        <f>VLOOKUP(Allocation[[#This Row],[SAP Contract number]],Shipments[[SAP Contract number]:[AAA Premium USD]],24,FALSE)</f>
        <v>#N/A</v>
      </c>
      <c r="X1230" s="34" t="e">
        <f>VLOOKUP(Allocation[[#This Row],[SAP Contract number]],Shipments[[SAP Contract number]:[RA Premium USD]],25,FALSE)</f>
        <v>#N/A</v>
      </c>
      <c r="Y1230" s="38">
        <f>Allocation[[#This Row],[Quantity Processed]]/Allocation[[#This Row],[Quantity allocated]]</f>
        <v>2.8544303797468356</v>
      </c>
      <c r="Z1230" s="34" t="b">
        <f>Allocation[[#This Row],[Quantity allocated]]&lt;=Allocation[[#This Row],[Quantity Processed]]</f>
        <v>1</v>
      </c>
    </row>
    <row r="1231" spans="1:26">
      <c r="A1231" s="247" t="s">
        <v>467</v>
      </c>
      <c r="B1231" s="210" t="s">
        <v>68</v>
      </c>
      <c r="C1231" s="254" t="s">
        <v>987</v>
      </c>
      <c r="D1231" s="255">
        <v>215</v>
      </c>
      <c r="E1231" s="211" t="s">
        <v>1877</v>
      </c>
      <c r="F1231" s="212">
        <v>43544</v>
      </c>
      <c r="G1231" s="213">
        <v>2.7</v>
      </c>
      <c r="H1231" s="256">
        <v>73</v>
      </c>
      <c r="I1231" s="214">
        <v>1446437</v>
      </c>
      <c r="J1231" s="215">
        <v>21600</v>
      </c>
      <c r="K1231" s="212">
        <v>43587</v>
      </c>
      <c r="L1231" s="211" t="s">
        <v>1881</v>
      </c>
      <c r="M1231" s="216">
        <v>4615445946</v>
      </c>
      <c r="N1231" s="212">
        <v>43682</v>
      </c>
      <c r="O1231" s="217">
        <v>3.9611999999999998</v>
      </c>
      <c r="P1231" s="219"/>
      <c r="Q1231" s="34">
        <f>SUMIF(Allocation[Delivery ID],Allocation[[#This Row],[Delivery ID]],Allocation[Quantity Processed])</f>
        <v>3339</v>
      </c>
      <c r="R1231" s="61">
        <f>Allocation[[#This Row],[Total volume used]]/VLOOKUP(Allocation[[#This Row],[Delivery ID]],Delivery[[Delivery ID]:[Quantity delivered]],3,FALSE)</f>
        <v>0.65573448546739987</v>
      </c>
      <c r="S1231" s="34">
        <f>Allocation[[#This Row],[Quantity Processed]]/Allocation[[#This Row],[Dilution rate]]</f>
        <v>79.629629629629619</v>
      </c>
      <c r="T1231" s="59">
        <f>SUMIF(Allocation[Delivery ID],Allocation[[#This Row],[Delivery ID]],Allocation[Quantity allocated])/SUMIF(Allocation[Delivery ID],Allocation[[#This Row],[Delivery ID]],Allocation[Volume available (kg)])</f>
        <v>0.74487926835387097</v>
      </c>
      <c r="U1231" s="61">
        <f>Allocation[[#This Row],[Total volume used]]/VLOOKUP(Allocation[[#This Row],[Delivery ID]],Delivery[[Delivery ID]:[Quantity delivered]],3,FALSE)</f>
        <v>0.65573448546739987</v>
      </c>
      <c r="V1231" s="34" t="e">
        <f>VLOOKUP(Allocation[[#This Row],[SAP Contract number]],Shipments[[SAP Contract number]:[Contracted container weight]],2,FALSE)</f>
        <v>#N/A</v>
      </c>
      <c r="W1231" s="34" t="e">
        <f>VLOOKUP(Allocation[[#This Row],[SAP Contract number]],Shipments[[SAP Contract number]:[AAA Premium USD]],24,FALSE)</f>
        <v>#N/A</v>
      </c>
      <c r="X1231" s="34" t="e">
        <f>VLOOKUP(Allocation[[#This Row],[SAP Contract number]],Shipments[[SAP Contract number]:[RA Premium USD]],25,FALSE)</f>
        <v>#N/A</v>
      </c>
      <c r="Y1231" s="38">
        <f>Allocation[[#This Row],[Quantity Processed]]/Allocation[[#This Row],[Quantity allocated]]</f>
        <v>2.9452054794520546</v>
      </c>
      <c r="Z1231" s="34" t="b">
        <f>Allocation[[#This Row],[Quantity allocated]]&lt;=Allocation[[#This Row],[Quantity Processed]]</f>
        <v>1</v>
      </c>
    </row>
    <row r="1232" spans="1:26">
      <c r="A1232" s="247" t="s">
        <v>467</v>
      </c>
      <c r="B1232" s="210" t="s">
        <v>68</v>
      </c>
      <c r="C1232" s="254" t="s">
        <v>989</v>
      </c>
      <c r="D1232" s="255">
        <v>218</v>
      </c>
      <c r="E1232" s="211" t="s">
        <v>1877</v>
      </c>
      <c r="F1232" s="212">
        <v>43544</v>
      </c>
      <c r="G1232" s="213">
        <v>2.7</v>
      </c>
      <c r="H1232" s="256">
        <v>74</v>
      </c>
      <c r="I1232" s="214">
        <v>1446437</v>
      </c>
      <c r="J1232" s="215">
        <v>21600</v>
      </c>
      <c r="K1232" s="212">
        <v>43587</v>
      </c>
      <c r="L1232" s="211" t="s">
        <v>1881</v>
      </c>
      <c r="M1232" s="216">
        <v>4615445946</v>
      </c>
      <c r="N1232" s="212">
        <v>43682</v>
      </c>
      <c r="O1232" s="217">
        <v>3.9611999999999998</v>
      </c>
      <c r="P1232" s="219"/>
      <c r="Q1232" s="34">
        <f>SUMIF(Allocation[Delivery ID],Allocation[[#This Row],[Delivery ID]],Allocation[Quantity Processed])</f>
        <v>3415</v>
      </c>
      <c r="R1232" s="61">
        <f>Allocation[[#This Row],[Total volume used]]/VLOOKUP(Allocation[[#This Row],[Delivery ID]],Delivery[[Delivery ID]:[Quantity delivered]],3,FALSE)</f>
        <v>0.65521872601688413</v>
      </c>
      <c r="S1232" s="34">
        <f>Allocation[[#This Row],[Quantity Processed]]/Allocation[[#This Row],[Dilution rate]]</f>
        <v>80.740740740740733</v>
      </c>
      <c r="T1232" s="59">
        <f>SUMIF(Allocation[Delivery ID],Allocation[[#This Row],[Delivery ID]],Allocation[Quantity allocated])/SUMIF(Allocation[Delivery ID],Allocation[[#This Row],[Delivery ID]],Allocation[Volume available (kg)])</f>
        <v>0.74479024256456761</v>
      </c>
      <c r="U1232" s="61">
        <f>Allocation[[#This Row],[Total volume used]]/VLOOKUP(Allocation[[#This Row],[Delivery ID]],Delivery[[Delivery ID]:[Quantity delivered]],3,FALSE)</f>
        <v>0.65521872601688413</v>
      </c>
      <c r="V1232" s="34" t="e">
        <f>VLOOKUP(Allocation[[#This Row],[SAP Contract number]],Shipments[[SAP Contract number]:[Contracted container weight]],2,FALSE)</f>
        <v>#N/A</v>
      </c>
      <c r="W1232" s="34" t="e">
        <f>VLOOKUP(Allocation[[#This Row],[SAP Contract number]],Shipments[[SAP Contract number]:[AAA Premium USD]],24,FALSE)</f>
        <v>#N/A</v>
      </c>
      <c r="X1232" s="34" t="e">
        <f>VLOOKUP(Allocation[[#This Row],[SAP Contract number]],Shipments[[SAP Contract number]:[RA Premium USD]],25,FALSE)</f>
        <v>#N/A</v>
      </c>
      <c r="Y1232" s="38">
        <f>Allocation[[#This Row],[Quantity Processed]]/Allocation[[#This Row],[Quantity allocated]]</f>
        <v>2.9459459459459461</v>
      </c>
      <c r="Z1232" s="34" t="b">
        <f>Allocation[[#This Row],[Quantity allocated]]&lt;=Allocation[[#This Row],[Quantity Processed]]</f>
        <v>1</v>
      </c>
    </row>
    <row r="1233" spans="1:26">
      <c r="A1233" s="247" t="s">
        <v>467</v>
      </c>
      <c r="B1233" s="210" t="s">
        <v>68</v>
      </c>
      <c r="C1233" s="254" t="s">
        <v>990</v>
      </c>
      <c r="D1233" s="255">
        <v>271</v>
      </c>
      <c r="E1233" s="211" t="s">
        <v>1877</v>
      </c>
      <c r="F1233" s="212">
        <v>43544</v>
      </c>
      <c r="G1233" s="213">
        <v>2.7</v>
      </c>
      <c r="H1233" s="256">
        <v>92</v>
      </c>
      <c r="I1233" s="214">
        <v>1446437</v>
      </c>
      <c r="J1233" s="215">
        <v>21600</v>
      </c>
      <c r="K1233" s="212">
        <v>43587</v>
      </c>
      <c r="L1233" s="211" t="s">
        <v>1881</v>
      </c>
      <c r="M1233" s="216">
        <v>4615445946</v>
      </c>
      <c r="N1233" s="212">
        <v>43682</v>
      </c>
      <c r="O1233" s="217">
        <v>3.9611999999999998</v>
      </c>
      <c r="P1233" s="219"/>
      <c r="Q1233" s="34">
        <f>SUMIF(Allocation[Delivery ID],Allocation[[#This Row],[Delivery ID]],Allocation[Quantity Processed])</f>
        <v>4243</v>
      </c>
      <c r="R1233" s="61">
        <f>Allocation[[#This Row],[Total volume used]]/VLOOKUP(Allocation[[#This Row],[Delivery ID]],Delivery[[Delivery ID]:[Quantity delivered]],3,FALSE)</f>
        <v>0.65584666512095213</v>
      </c>
      <c r="S1233" s="34">
        <f>Allocation[[#This Row],[Quantity Processed]]/Allocation[[#This Row],[Dilution rate]]</f>
        <v>100.37037037037037</v>
      </c>
      <c r="T1233" s="59">
        <f>SUMIF(Allocation[Delivery ID],Allocation[[#This Row],[Delivery ID]],Allocation[Quantity allocated])/SUMIF(Allocation[Delivery ID],Allocation[[#This Row],[Delivery ID]],Allocation[Volume available (kg)])</f>
        <v>0.74465989275145106</v>
      </c>
      <c r="U1233" s="61">
        <f>Allocation[[#This Row],[Total volume used]]/VLOOKUP(Allocation[[#This Row],[Delivery ID]],Delivery[[Delivery ID]:[Quantity delivered]],3,FALSE)</f>
        <v>0.65584666512095213</v>
      </c>
      <c r="V1233" s="34" t="e">
        <f>VLOOKUP(Allocation[[#This Row],[SAP Contract number]],Shipments[[SAP Contract number]:[Contracted container weight]],2,FALSE)</f>
        <v>#N/A</v>
      </c>
      <c r="W1233" s="34" t="e">
        <f>VLOOKUP(Allocation[[#This Row],[SAP Contract number]],Shipments[[SAP Contract number]:[AAA Premium USD]],24,FALSE)</f>
        <v>#N/A</v>
      </c>
      <c r="X1233" s="34" t="e">
        <f>VLOOKUP(Allocation[[#This Row],[SAP Contract number]],Shipments[[SAP Contract number]:[RA Premium USD]],25,FALSE)</f>
        <v>#N/A</v>
      </c>
      <c r="Y1233" s="38">
        <f>Allocation[[#This Row],[Quantity Processed]]/Allocation[[#This Row],[Quantity allocated]]</f>
        <v>2.9456521739130435</v>
      </c>
      <c r="Z1233" s="34" t="b">
        <f>Allocation[[#This Row],[Quantity allocated]]&lt;=Allocation[[#This Row],[Quantity Processed]]</f>
        <v>1</v>
      </c>
    </row>
    <row r="1234" spans="1:26">
      <c r="A1234" s="247" t="s">
        <v>467</v>
      </c>
      <c r="B1234" s="210" t="s">
        <v>68</v>
      </c>
      <c r="C1234" s="254" t="s">
        <v>991</v>
      </c>
      <c r="D1234" s="255">
        <v>6061</v>
      </c>
      <c r="E1234" s="211" t="s">
        <v>1877</v>
      </c>
      <c r="F1234" s="212">
        <v>43544</v>
      </c>
      <c r="G1234" s="213">
        <v>2.7</v>
      </c>
      <c r="H1234" s="256">
        <v>2000</v>
      </c>
      <c r="I1234" s="214">
        <v>1446437</v>
      </c>
      <c r="J1234" s="215">
        <v>21600</v>
      </c>
      <c r="K1234" s="212">
        <v>43587</v>
      </c>
      <c r="L1234" s="211" t="s">
        <v>1881</v>
      </c>
      <c r="M1234" s="216">
        <v>4615445946</v>
      </c>
      <c r="N1234" s="212">
        <v>43682</v>
      </c>
      <c r="O1234" s="217">
        <v>3.9611999999999998</v>
      </c>
      <c r="P1234" s="219"/>
      <c r="Q1234" s="34">
        <f>SUMIF(Allocation[Delivery ID],Allocation[[#This Row],[Delivery ID]],Allocation[Quantity Processed])</f>
        <v>25620</v>
      </c>
      <c r="R1234" s="61">
        <f>Allocation[[#This Row],[Total volume used]]/VLOOKUP(Allocation[[#This Row],[Delivery ID]],Delivery[[Delivery ID]:[Quantity delivered]],3,FALSE)</f>
        <v>1</v>
      </c>
      <c r="S1234" s="34">
        <f>Allocation[[#This Row],[Quantity Processed]]/Allocation[[#This Row],[Dilution rate]]</f>
        <v>2244.8148148148148</v>
      </c>
      <c r="T1234" s="59">
        <f>SUMIF(Allocation[Delivery ID],Allocation[[#This Row],[Delivery ID]],Allocation[Quantity allocated])/SUMIF(Allocation[Delivery ID],Allocation[[#This Row],[Delivery ID]],Allocation[Volume available (kg)])</f>
        <v>0.80361740714337937</v>
      </c>
      <c r="U1234" s="61">
        <f>Allocation[[#This Row],[Total volume used]]/VLOOKUP(Allocation[[#This Row],[Delivery ID]],Delivery[[Delivery ID]:[Quantity delivered]],3,FALSE)</f>
        <v>1</v>
      </c>
      <c r="V1234" s="34" t="e">
        <f>VLOOKUP(Allocation[[#This Row],[SAP Contract number]],Shipments[[SAP Contract number]:[Contracted container weight]],2,FALSE)</f>
        <v>#N/A</v>
      </c>
      <c r="W1234" s="34" t="e">
        <f>VLOOKUP(Allocation[[#This Row],[SAP Contract number]],Shipments[[SAP Contract number]:[AAA Premium USD]],24,FALSE)</f>
        <v>#N/A</v>
      </c>
      <c r="X1234" s="34" t="e">
        <f>VLOOKUP(Allocation[[#This Row],[SAP Contract number]],Shipments[[SAP Contract number]:[RA Premium USD]],25,FALSE)</f>
        <v>#N/A</v>
      </c>
      <c r="Y1234" s="38">
        <f>Allocation[[#This Row],[Quantity Processed]]/Allocation[[#This Row],[Quantity allocated]]</f>
        <v>3.0305</v>
      </c>
      <c r="Z1234" s="34" t="b">
        <f>Allocation[[#This Row],[Quantity allocated]]&lt;=Allocation[[#This Row],[Quantity Processed]]</f>
        <v>1</v>
      </c>
    </row>
    <row r="1235" spans="1:26">
      <c r="A1235" s="247" t="s">
        <v>467</v>
      </c>
      <c r="B1235" s="210" t="s">
        <v>68</v>
      </c>
      <c r="C1235" s="254" t="s">
        <v>1623</v>
      </c>
      <c r="D1235" s="255">
        <v>5455</v>
      </c>
      <c r="E1235" s="211" t="s">
        <v>1877</v>
      </c>
      <c r="F1235" s="212">
        <v>43544</v>
      </c>
      <c r="G1235" s="213">
        <v>2.7</v>
      </c>
      <c r="H1235" s="256">
        <v>1800</v>
      </c>
      <c r="I1235" s="214">
        <v>1446437</v>
      </c>
      <c r="J1235" s="215">
        <v>21600</v>
      </c>
      <c r="K1235" s="212">
        <v>43587</v>
      </c>
      <c r="L1235" s="211" t="s">
        <v>1881</v>
      </c>
      <c r="M1235" s="216">
        <v>4615445946</v>
      </c>
      <c r="N1235" s="212">
        <v>43682</v>
      </c>
      <c r="O1235" s="217">
        <v>3.9611999999999998</v>
      </c>
      <c r="P1235" s="219"/>
      <c r="Q1235" s="34">
        <f>SUMIF(Allocation[Delivery ID],Allocation[[#This Row],[Delivery ID]],Allocation[Quantity Processed])</f>
        <v>13197</v>
      </c>
      <c r="R1235" s="61">
        <f>Allocation[[#This Row],[Total volume used]]/VLOOKUP(Allocation[[#This Row],[Delivery ID]],Delivery[[Delivery ID]:[Quantity delivered]],3,FALSE)</f>
        <v>0.41815589353612165</v>
      </c>
      <c r="S1235" s="34">
        <f>Allocation[[#This Row],[Quantity Processed]]/Allocation[[#This Row],[Dilution rate]]</f>
        <v>2020.3703703703702</v>
      </c>
      <c r="T1235" s="59">
        <f>SUMIF(Allocation[Delivery ID],Allocation[[#This Row],[Delivery ID]],Allocation[Quantity allocated])/SUMIF(Allocation[Delivery ID],Allocation[[#This Row],[Delivery ID]],Allocation[Volume available (kg)])</f>
        <v>0.87986713282800932</v>
      </c>
      <c r="U1235" s="61">
        <f>Allocation[[#This Row],[Total volume used]]/VLOOKUP(Allocation[[#This Row],[Delivery ID]],Delivery[[Delivery ID]:[Quantity delivered]],3,FALSE)</f>
        <v>0.41815589353612165</v>
      </c>
      <c r="V1235" s="34" t="e">
        <f>VLOOKUP(Allocation[[#This Row],[SAP Contract number]],Shipments[[SAP Contract number]:[Contracted container weight]],2,FALSE)</f>
        <v>#N/A</v>
      </c>
      <c r="W1235" s="34" t="e">
        <f>VLOOKUP(Allocation[[#This Row],[SAP Contract number]],Shipments[[SAP Contract number]:[AAA Premium USD]],24,FALSE)</f>
        <v>#N/A</v>
      </c>
      <c r="X1235" s="34" t="e">
        <f>VLOOKUP(Allocation[[#This Row],[SAP Contract number]],Shipments[[SAP Contract number]:[RA Premium USD]],25,FALSE)</f>
        <v>#N/A</v>
      </c>
      <c r="Y1235" s="38">
        <f>Allocation[[#This Row],[Quantity Processed]]/Allocation[[#This Row],[Quantity allocated]]</f>
        <v>3.0305555555555554</v>
      </c>
      <c r="Z1235" s="34" t="b">
        <f>Allocation[[#This Row],[Quantity allocated]]&lt;=Allocation[[#This Row],[Quantity Processed]]</f>
        <v>1</v>
      </c>
    </row>
    <row r="1236" spans="1:26">
      <c r="A1236" s="247" t="s">
        <v>467</v>
      </c>
      <c r="B1236" s="210" t="s">
        <v>68</v>
      </c>
      <c r="C1236" s="254" t="s">
        <v>1625</v>
      </c>
      <c r="D1236" s="255">
        <v>2773</v>
      </c>
      <c r="E1236" s="211" t="s">
        <v>1877</v>
      </c>
      <c r="F1236" s="212">
        <v>43544</v>
      </c>
      <c r="G1236" s="213">
        <v>2.7</v>
      </c>
      <c r="H1236" s="256">
        <v>915</v>
      </c>
      <c r="I1236" s="214">
        <v>1446437</v>
      </c>
      <c r="J1236" s="215">
        <v>21600</v>
      </c>
      <c r="K1236" s="212">
        <v>43587</v>
      </c>
      <c r="L1236" s="211" t="s">
        <v>1881</v>
      </c>
      <c r="M1236" s="216">
        <v>4615445946</v>
      </c>
      <c r="N1236" s="212">
        <v>43682</v>
      </c>
      <c r="O1236" s="217">
        <v>3.9611999999999998</v>
      </c>
      <c r="P1236" s="219"/>
      <c r="Q1236" s="34">
        <f>SUMIF(Allocation[Delivery ID],Allocation[[#This Row],[Delivery ID]],Allocation[Quantity Processed])</f>
        <v>9221</v>
      </c>
      <c r="R1236" s="61">
        <f>Allocation[[#This Row],[Total volume used]]/VLOOKUP(Allocation[[#This Row],[Delivery ID]],Delivery[[Delivery ID]:[Quantity delivered]],3,FALSE)</f>
        <v>0.3507417268923545</v>
      </c>
      <c r="S1236" s="34">
        <f>Allocation[[#This Row],[Quantity Processed]]/Allocation[[#This Row],[Dilution rate]]</f>
        <v>1027.037037037037</v>
      </c>
      <c r="T1236" s="59">
        <f>SUMIF(Allocation[Delivery ID],Allocation[[#This Row],[Delivery ID]],Allocation[Quantity allocated])/SUMIF(Allocation[Delivery ID],Allocation[[#This Row],[Delivery ID]],Allocation[Volume available (kg)])</f>
        <v>0.87778607677140652</v>
      </c>
      <c r="U1236" s="61">
        <f>Allocation[[#This Row],[Total volume used]]/VLOOKUP(Allocation[[#This Row],[Delivery ID]],Delivery[[Delivery ID]:[Quantity delivered]],3,FALSE)</f>
        <v>0.3507417268923545</v>
      </c>
      <c r="V1236" s="34" t="e">
        <f>VLOOKUP(Allocation[[#This Row],[SAP Contract number]],Shipments[[SAP Contract number]:[Contracted container weight]],2,FALSE)</f>
        <v>#N/A</v>
      </c>
      <c r="W1236" s="34" t="e">
        <f>VLOOKUP(Allocation[[#This Row],[SAP Contract number]],Shipments[[SAP Contract number]:[AAA Premium USD]],24,FALSE)</f>
        <v>#N/A</v>
      </c>
      <c r="X1236" s="34" t="e">
        <f>VLOOKUP(Allocation[[#This Row],[SAP Contract number]],Shipments[[SAP Contract number]:[RA Premium USD]],25,FALSE)</f>
        <v>#N/A</v>
      </c>
      <c r="Y1236" s="38">
        <f>Allocation[[#This Row],[Quantity Processed]]/Allocation[[#This Row],[Quantity allocated]]</f>
        <v>3.0306010928961751</v>
      </c>
      <c r="Z1236" s="34" t="b">
        <f>Allocation[[#This Row],[Quantity allocated]]&lt;=Allocation[[#This Row],[Quantity Processed]]</f>
        <v>1</v>
      </c>
    </row>
    <row r="1237" spans="1:26">
      <c r="A1237" s="247" t="s">
        <v>467</v>
      </c>
      <c r="B1237" s="210" t="s">
        <v>68</v>
      </c>
      <c r="C1237" s="254" t="s">
        <v>1627</v>
      </c>
      <c r="D1237" s="255">
        <v>5455</v>
      </c>
      <c r="E1237" s="211" t="s">
        <v>1877</v>
      </c>
      <c r="F1237" s="212">
        <v>43544</v>
      </c>
      <c r="G1237" s="213">
        <v>2.7</v>
      </c>
      <c r="H1237" s="256">
        <v>1800</v>
      </c>
      <c r="I1237" s="214">
        <v>1446437</v>
      </c>
      <c r="J1237" s="215">
        <v>21600</v>
      </c>
      <c r="K1237" s="212">
        <v>43587</v>
      </c>
      <c r="L1237" s="211" t="s">
        <v>1881</v>
      </c>
      <c r="M1237" s="216">
        <v>4615445946</v>
      </c>
      <c r="N1237" s="212">
        <v>43682</v>
      </c>
      <c r="O1237" s="217">
        <v>3.9611999999999998</v>
      </c>
      <c r="P1237" s="219"/>
      <c r="Q1237" s="34">
        <f>SUMIF(Allocation[Delivery ID],Allocation[[#This Row],[Delivery ID]],Allocation[Quantity Processed])</f>
        <v>12806</v>
      </c>
      <c r="R1237" s="61">
        <f>Allocation[[#This Row],[Total volume used]]/VLOOKUP(Allocation[[#This Row],[Delivery ID]],Delivery[[Delivery ID]:[Quantity delivered]],3,FALSE)</f>
        <v>0.42729396062729397</v>
      </c>
      <c r="S1237" s="34">
        <f>Allocation[[#This Row],[Quantity Processed]]/Allocation[[#This Row],[Dilution rate]]</f>
        <v>2020.3703703703702</v>
      </c>
      <c r="T1237" s="59">
        <f>SUMIF(Allocation[Delivery ID],Allocation[[#This Row],[Delivery ID]],Allocation[Quantity allocated])/SUMIF(Allocation[Delivery ID],Allocation[[#This Row],[Delivery ID]],Allocation[Volume available (kg)])</f>
        <v>0.8801133997605286</v>
      </c>
      <c r="U1237" s="61">
        <f>Allocation[[#This Row],[Total volume used]]/VLOOKUP(Allocation[[#This Row],[Delivery ID]],Delivery[[Delivery ID]:[Quantity delivered]],3,FALSE)</f>
        <v>0.42729396062729397</v>
      </c>
      <c r="V1237" s="34" t="e">
        <f>VLOOKUP(Allocation[[#This Row],[SAP Contract number]],Shipments[[SAP Contract number]:[Contracted container weight]],2,FALSE)</f>
        <v>#N/A</v>
      </c>
      <c r="W1237" s="34" t="e">
        <f>VLOOKUP(Allocation[[#This Row],[SAP Contract number]],Shipments[[SAP Contract number]:[AAA Premium USD]],24,FALSE)</f>
        <v>#N/A</v>
      </c>
      <c r="X1237" s="34" t="e">
        <f>VLOOKUP(Allocation[[#This Row],[SAP Contract number]],Shipments[[SAP Contract number]:[RA Premium USD]],25,FALSE)</f>
        <v>#N/A</v>
      </c>
      <c r="Y1237" s="38">
        <f>Allocation[[#This Row],[Quantity Processed]]/Allocation[[#This Row],[Quantity allocated]]</f>
        <v>3.0305555555555554</v>
      </c>
      <c r="Z1237" s="34" t="b">
        <f>Allocation[[#This Row],[Quantity allocated]]&lt;=Allocation[[#This Row],[Quantity Processed]]</f>
        <v>1</v>
      </c>
    </row>
    <row r="1238" spans="1:26">
      <c r="A1238" s="247" t="s">
        <v>467</v>
      </c>
      <c r="B1238" s="210" t="s">
        <v>68</v>
      </c>
      <c r="C1238" s="254" t="s">
        <v>1628</v>
      </c>
      <c r="D1238" s="255">
        <v>970</v>
      </c>
      <c r="E1238" s="211" t="s">
        <v>1877</v>
      </c>
      <c r="F1238" s="212">
        <v>43544</v>
      </c>
      <c r="G1238" s="213">
        <v>2.7</v>
      </c>
      <c r="H1238" s="256">
        <v>320</v>
      </c>
      <c r="I1238" s="214">
        <v>1446437</v>
      </c>
      <c r="J1238" s="215">
        <v>21600</v>
      </c>
      <c r="K1238" s="212">
        <v>43587</v>
      </c>
      <c r="L1238" s="211" t="s">
        <v>1881</v>
      </c>
      <c r="M1238" s="216">
        <v>4615445946</v>
      </c>
      <c r="N1238" s="212">
        <v>43682</v>
      </c>
      <c r="O1238" s="217">
        <v>3.9611999999999998</v>
      </c>
      <c r="P1238" s="219"/>
      <c r="Q1238" s="34">
        <f>SUMIF(Allocation[Delivery ID],Allocation[[#This Row],[Delivery ID]],Allocation[Quantity Processed])</f>
        <v>22228</v>
      </c>
      <c r="R1238" s="61">
        <f>Allocation[[#This Row],[Total volume used]]/VLOOKUP(Allocation[[#This Row],[Delivery ID]],Delivery[[Delivery ID]:[Quantity delivered]],3,FALSE)</f>
        <v>0.9242411642411642</v>
      </c>
      <c r="S1238" s="34">
        <f>Allocation[[#This Row],[Quantity Processed]]/Allocation[[#This Row],[Dilution rate]]</f>
        <v>359.25925925925924</v>
      </c>
      <c r="T1238" s="59">
        <f>SUMIF(Allocation[Delivery ID],Allocation[[#This Row],[Delivery ID]],Allocation[Quantity allocated])/SUMIF(Allocation[Delivery ID],Allocation[[#This Row],[Delivery ID]],Allocation[Volume available (kg)])</f>
        <v>0.83864200650369825</v>
      </c>
      <c r="U1238" s="61">
        <f>Allocation[[#This Row],[Total volume used]]/VLOOKUP(Allocation[[#This Row],[Delivery ID]],Delivery[[Delivery ID]:[Quantity delivered]],3,FALSE)</f>
        <v>0.9242411642411642</v>
      </c>
      <c r="V1238" s="34" t="e">
        <f>VLOOKUP(Allocation[[#This Row],[SAP Contract number]],Shipments[[SAP Contract number]:[Contracted container weight]],2,FALSE)</f>
        <v>#N/A</v>
      </c>
      <c r="W1238" s="34" t="e">
        <f>VLOOKUP(Allocation[[#This Row],[SAP Contract number]],Shipments[[SAP Contract number]:[AAA Premium USD]],24,FALSE)</f>
        <v>#N/A</v>
      </c>
      <c r="X1238" s="34" t="e">
        <f>VLOOKUP(Allocation[[#This Row],[SAP Contract number]],Shipments[[SAP Contract number]:[RA Premium USD]],25,FALSE)</f>
        <v>#N/A</v>
      </c>
      <c r="Y1238" s="38">
        <f>Allocation[[#This Row],[Quantity Processed]]/Allocation[[#This Row],[Quantity allocated]]</f>
        <v>3.03125</v>
      </c>
      <c r="Z1238" s="34" t="b">
        <f>Allocation[[#This Row],[Quantity allocated]]&lt;=Allocation[[#This Row],[Quantity Processed]]</f>
        <v>1</v>
      </c>
    </row>
    <row r="1239" spans="1:26">
      <c r="A1239" s="247" t="s">
        <v>467</v>
      </c>
      <c r="B1239" s="210" t="s">
        <v>68</v>
      </c>
      <c r="C1239" s="254" t="s">
        <v>1629</v>
      </c>
      <c r="D1239" s="255">
        <v>1232</v>
      </c>
      <c r="E1239" s="211" t="s">
        <v>1877</v>
      </c>
      <c r="F1239" s="212">
        <v>43544</v>
      </c>
      <c r="G1239" s="213">
        <v>2.7</v>
      </c>
      <c r="H1239" s="256">
        <v>419</v>
      </c>
      <c r="I1239" s="214">
        <v>1446437</v>
      </c>
      <c r="J1239" s="215">
        <v>21600</v>
      </c>
      <c r="K1239" s="212">
        <v>43587</v>
      </c>
      <c r="L1239" s="211" t="s">
        <v>1881</v>
      </c>
      <c r="M1239" s="216">
        <v>4615445946</v>
      </c>
      <c r="N1239" s="212">
        <v>43682</v>
      </c>
      <c r="O1239" s="217">
        <v>3.9611999999999998</v>
      </c>
      <c r="P1239" s="219"/>
      <c r="Q1239" s="34">
        <f>SUMIF(Allocation[Delivery ID],Allocation[[#This Row],[Delivery ID]],Allocation[Quantity Processed])</f>
        <v>3397</v>
      </c>
      <c r="R1239" s="61">
        <f>Allocation[[#This Row],[Total volume used]]/VLOOKUP(Allocation[[#This Row],[Delivery ID]],Delivery[[Delivery ID]:[Quantity delivered]],3,FALSE)</f>
        <v>0.2823773898586866</v>
      </c>
      <c r="S1239" s="34">
        <f>Allocation[[#This Row],[Quantity Processed]]/Allocation[[#This Row],[Dilution rate]]</f>
        <v>456.29629629629625</v>
      </c>
      <c r="T1239" s="59">
        <f>SUMIF(Allocation[Delivery ID],Allocation[[#This Row],[Delivery ID]],Allocation[Quantity allocated])/SUMIF(Allocation[Delivery ID],Allocation[[#This Row],[Delivery ID]],Allocation[Volume available (kg)])</f>
        <v>0.9072269365467488</v>
      </c>
      <c r="U1239" s="61">
        <f>Allocation[[#This Row],[Total volume used]]/VLOOKUP(Allocation[[#This Row],[Delivery ID]],Delivery[[Delivery ID]:[Quantity delivered]],3,FALSE)</f>
        <v>0.2823773898586866</v>
      </c>
      <c r="V1239" s="34" t="e">
        <f>VLOOKUP(Allocation[[#This Row],[SAP Contract number]],Shipments[[SAP Contract number]:[Contracted container weight]],2,FALSE)</f>
        <v>#N/A</v>
      </c>
      <c r="W1239" s="34" t="e">
        <f>VLOOKUP(Allocation[[#This Row],[SAP Contract number]],Shipments[[SAP Contract number]:[AAA Premium USD]],24,FALSE)</f>
        <v>#N/A</v>
      </c>
      <c r="X1239" s="34" t="e">
        <f>VLOOKUP(Allocation[[#This Row],[SAP Contract number]],Shipments[[SAP Contract number]:[RA Premium USD]],25,FALSE)</f>
        <v>#N/A</v>
      </c>
      <c r="Y1239" s="38">
        <f>Allocation[[#This Row],[Quantity Processed]]/Allocation[[#This Row],[Quantity allocated]]</f>
        <v>2.9403341288782818</v>
      </c>
      <c r="Z1239" s="34" t="b">
        <f>Allocation[[#This Row],[Quantity allocated]]&lt;=Allocation[[#This Row],[Quantity Processed]]</f>
        <v>1</v>
      </c>
    </row>
    <row r="1240" spans="1:26">
      <c r="A1240" s="247" t="s">
        <v>467</v>
      </c>
      <c r="B1240" s="210" t="s">
        <v>68</v>
      </c>
      <c r="C1240" s="254" t="s">
        <v>1630</v>
      </c>
      <c r="D1240" s="255">
        <v>5758</v>
      </c>
      <c r="E1240" s="211" t="s">
        <v>1877</v>
      </c>
      <c r="F1240" s="212">
        <v>43544</v>
      </c>
      <c r="G1240" s="213">
        <v>2.7</v>
      </c>
      <c r="H1240" s="256">
        <v>1900</v>
      </c>
      <c r="I1240" s="214">
        <v>1446437</v>
      </c>
      <c r="J1240" s="215">
        <v>21600</v>
      </c>
      <c r="K1240" s="212">
        <v>43587</v>
      </c>
      <c r="L1240" s="211" t="s">
        <v>1881</v>
      </c>
      <c r="M1240" s="216">
        <v>4615445946</v>
      </c>
      <c r="N1240" s="212">
        <v>43682</v>
      </c>
      <c r="O1240" s="217">
        <v>3.9611999999999998</v>
      </c>
      <c r="P1240" s="219"/>
      <c r="Q1240" s="34">
        <f>SUMIF(Allocation[Delivery ID],Allocation[[#This Row],[Delivery ID]],Allocation[Quantity Processed])</f>
        <v>13127</v>
      </c>
      <c r="R1240" s="61">
        <f>Allocation[[#This Row],[Total volume used]]/VLOOKUP(Allocation[[#This Row],[Delivery ID]],Delivery[[Delivery ID]:[Quantity delivered]],3,FALSE)</f>
        <v>0.7292777777777778</v>
      </c>
      <c r="S1240" s="34">
        <f>Allocation[[#This Row],[Quantity Processed]]/Allocation[[#This Row],[Dilution rate]]</f>
        <v>2132.5925925925926</v>
      </c>
      <c r="T1240" s="59">
        <f>SUMIF(Allocation[Delivery ID],Allocation[[#This Row],[Delivery ID]],Allocation[Quantity allocated])/SUMIF(Allocation[Delivery ID],Allocation[[#This Row],[Delivery ID]],Allocation[Volume available (kg)])</f>
        <v>0.88036184176841381</v>
      </c>
      <c r="U1240" s="61">
        <f>Allocation[[#This Row],[Total volume used]]/VLOOKUP(Allocation[[#This Row],[Delivery ID]],Delivery[[Delivery ID]:[Quantity delivered]],3,FALSE)</f>
        <v>0.7292777777777778</v>
      </c>
      <c r="V1240" s="34" t="e">
        <f>VLOOKUP(Allocation[[#This Row],[SAP Contract number]],Shipments[[SAP Contract number]:[Contracted container weight]],2,FALSE)</f>
        <v>#N/A</v>
      </c>
      <c r="W1240" s="34" t="e">
        <f>VLOOKUP(Allocation[[#This Row],[SAP Contract number]],Shipments[[SAP Contract number]:[AAA Premium USD]],24,FALSE)</f>
        <v>#N/A</v>
      </c>
      <c r="X1240" s="34" t="e">
        <f>VLOOKUP(Allocation[[#This Row],[SAP Contract number]],Shipments[[SAP Contract number]:[RA Premium USD]],25,FALSE)</f>
        <v>#N/A</v>
      </c>
      <c r="Y1240" s="38">
        <f>Allocation[[#This Row],[Quantity Processed]]/Allocation[[#This Row],[Quantity allocated]]</f>
        <v>3.0305263157894737</v>
      </c>
      <c r="Z1240" s="34" t="b">
        <f>Allocation[[#This Row],[Quantity allocated]]&lt;=Allocation[[#This Row],[Quantity Processed]]</f>
        <v>1</v>
      </c>
    </row>
    <row r="1241" spans="1:26">
      <c r="A1241" s="247" t="s">
        <v>467</v>
      </c>
      <c r="B1241" s="210" t="s">
        <v>68</v>
      </c>
      <c r="C1241" s="254" t="s">
        <v>1631</v>
      </c>
      <c r="D1241" s="255">
        <v>523</v>
      </c>
      <c r="E1241" s="211" t="s">
        <v>1877</v>
      </c>
      <c r="F1241" s="212">
        <v>43544</v>
      </c>
      <c r="G1241" s="213">
        <v>2.7</v>
      </c>
      <c r="H1241" s="256">
        <v>314</v>
      </c>
      <c r="I1241" s="214">
        <v>1446437</v>
      </c>
      <c r="J1241" s="215">
        <v>21600</v>
      </c>
      <c r="K1241" s="212">
        <v>43587</v>
      </c>
      <c r="L1241" s="211" t="s">
        <v>1881</v>
      </c>
      <c r="M1241" s="216">
        <v>4615445946</v>
      </c>
      <c r="N1241" s="212">
        <v>43682</v>
      </c>
      <c r="O1241" s="217">
        <v>3.9611999999999998</v>
      </c>
      <c r="P1241" s="219"/>
      <c r="Q1241" s="34">
        <f>SUMIF(Allocation[Delivery ID],Allocation[[#This Row],[Delivery ID]],Allocation[Quantity Processed])</f>
        <v>1444</v>
      </c>
      <c r="R1241" s="61">
        <f>Allocation[[#This Row],[Total volume used]]/VLOOKUP(Allocation[[#This Row],[Delivery ID]],Delivery[[Delivery ID]:[Quantity delivered]],3,FALSE)</f>
        <v>0.15992911728873629</v>
      </c>
      <c r="S1241" s="34">
        <f>Allocation[[#This Row],[Quantity Processed]]/Allocation[[#This Row],[Dilution rate]]</f>
        <v>193.7037037037037</v>
      </c>
      <c r="T1241" s="59">
        <f>SUMIF(Allocation[Delivery ID],Allocation[[#This Row],[Delivery ID]],Allocation[Quantity allocated])/SUMIF(Allocation[Delivery ID],Allocation[[#This Row],[Delivery ID]],Allocation[Volume available (kg)])</f>
        <v>1.6020532873526978</v>
      </c>
      <c r="U1241" s="61">
        <f>Allocation[[#This Row],[Total volume used]]/VLOOKUP(Allocation[[#This Row],[Delivery ID]],Delivery[[Delivery ID]:[Quantity delivered]],3,FALSE)</f>
        <v>0.15992911728873629</v>
      </c>
      <c r="V1241" s="34" t="e">
        <f>VLOOKUP(Allocation[[#This Row],[SAP Contract number]],Shipments[[SAP Contract number]:[Contracted container weight]],2,FALSE)</f>
        <v>#N/A</v>
      </c>
      <c r="W1241" s="34" t="e">
        <f>VLOOKUP(Allocation[[#This Row],[SAP Contract number]],Shipments[[SAP Contract number]:[AAA Premium USD]],24,FALSE)</f>
        <v>#N/A</v>
      </c>
      <c r="X1241" s="34" t="e">
        <f>VLOOKUP(Allocation[[#This Row],[SAP Contract number]],Shipments[[SAP Contract number]:[RA Premium USD]],25,FALSE)</f>
        <v>#N/A</v>
      </c>
      <c r="Y1241" s="38">
        <f>Allocation[[#This Row],[Quantity Processed]]/Allocation[[#This Row],[Quantity allocated]]</f>
        <v>1.6656050955414012</v>
      </c>
      <c r="Z1241" s="34" t="b">
        <f>Allocation[[#This Row],[Quantity allocated]]&lt;=Allocation[[#This Row],[Quantity Processed]]</f>
        <v>1</v>
      </c>
    </row>
    <row r="1242" spans="1:26">
      <c r="A1242" s="247" t="s">
        <v>467</v>
      </c>
      <c r="B1242" s="210" t="s">
        <v>68</v>
      </c>
      <c r="C1242" s="254" t="s">
        <v>1632</v>
      </c>
      <c r="D1242" s="255">
        <v>1109</v>
      </c>
      <c r="E1242" s="211" t="s">
        <v>1877</v>
      </c>
      <c r="F1242" s="212">
        <v>43544</v>
      </c>
      <c r="G1242" s="213">
        <v>2.7</v>
      </c>
      <c r="H1242" s="256">
        <v>366</v>
      </c>
      <c r="I1242" s="214">
        <v>1446437</v>
      </c>
      <c r="J1242" s="215">
        <v>21600</v>
      </c>
      <c r="K1242" s="212">
        <v>43587</v>
      </c>
      <c r="L1242" s="211" t="s">
        <v>1881</v>
      </c>
      <c r="M1242" s="216">
        <v>4615445946</v>
      </c>
      <c r="N1242" s="212">
        <v>43682</v>
      </c>
      <c r="O1242" s="217">
        <v>3.9611999999999998</v>
      </c>
      <c r="P1242" s="219"/>
      <c r="Q1242" s="34">
        <f>SUMIF(Allocation[Delivery ID],Allocation[[#This Row],[Delivery ID]],Allocation[Quantity Processed])</f>
        <v>3300</v>
      </c>
      <c r="R1242" s="61">
        <f>Allocation[[#This Row],[Total volume used]]/VLOOKUP(Allocation[[#This Row],[Delivery ID]],Delivery[[Delivery ID]:[Quantity delivered]],3,FALSE)</f>
        <v>1</v>
      </c>
      <c r="S1242" s="34">
        <f>Allocation[[#This Row],[Quantity Processed]]/Allocation[[#This Row],[Dilution rate]]</f>
        <v>410.7407407407407</v>
      </c>
      <c r="T1242" s="59">
        <f>SUMIF(Allocation[Delivery ID],Allocation[[#This Row],[Delivery ID]],Allocation[Quantity allocated])/SUMIF(Allocation[Delivery ID],Allocation[[#This Row],[Delivery ID]],Allocation[Volume available (kg)])</f>
        <v>0.88046042152952353</v>
      </c>
      <c r="U1242" s="61">
        <f>Allocation[[#This Row],[Total volume used]]/VLOOKUP(Allocation[[#This Row],[Delivery ID]],Delivery[[Delivery ID]:[Quantity delivered]],3,FALSE)</f>
        <v>1</v>
      </c>
      <c r="V1242" s="34" t="e">
        <f>VLOOKUP(Allocation[[#This Row],[SAP Contract number]],Shipments[[SAP Contract number]:[Contracted container weight]],2,FALSE)</f>
        <v>#N/A</v>
      </c>
      <c r="W1242" s="34" t="e">
        <f>VLOOKUP(Allocation[[#This Row],[SAP Contract number]],Shipments[[SAP Contract number]:[AAA Premium USD]],24,FALSE)</f>
        <v>#N/A</v>
      </c>
      <c r="X1242" s="34" t="e">
        <f>VLOOKUP(Allocation[[#This Row],[SAP Contract number]],Shipments[[SAP Contract number]:[RA Premium USD]],25,FALSE)</f>
        <v>#N/A</v>
      </c>
      <c r="Y1242" s="38">
        <f>Allocation[[#This Row],[Quantity Processed]]/Allocation[[#This Row],[Quantity allocated]]</f>
        <v>3.0300546448087431</v>
      </c>
      <c r="Z1242" s="34" t="b">
        <f>Allocation[[#This Row],[Quantity allocated]]&lt;=Allocation[[#This Row],[Quantity Processed]]</f>
        <v>1</v>
      </c>
    </row>
    <row r="1243" spans="1:26">
      <c r="A1243" s="247" t="s">
        <v>467</v>
      </c>
      <c r="B1243" s="210" t="s">
        <v>68</v>
      </c>
      <c r="C1243" s="254" t="s">
        <v>1634</v>
      </c>
      <c r="D1243" s="255">
        <v>1012</v>
      </c>
      <c r="E1243" s="211" t="s">
        <v>1877</v>
      </c>
      <c r="F1243" s="212">
        <v>43544</v>
      </c>
      <c r="G1243" s="213">
        <v>2.7</v>
      </c>
      <c r="H1243" s="256">
        <v>334</v>
      </c>
      <c r="I1243" s="214">
        <v>1446437</v>
      </c>
      <c r="J1243" s="215">
        <v>21600</v>
      </c>
      <c r="K1243" s="212">
        <v>43587</v>
      </c>
      <c r="L1243" s="211" t="s">
        <v>1881</v>
      </c>
      <c r="M1243" s="216">
        <v>4615445946</v>
      </c>
      <c r="N1243" s="212">
        <v>43682</v>
      </c>
      <c r="O1243" s="217">
        <v>3.9611999999999998</v>
      </c>
      <c r="P1243" s="219"/>
      <c r="Q1243" s="34">
        <f>SUMIF(Allocation[Delivery ID],Allocation[[#This Row],[Delivery ID]],Allocation[Quantity Processed])</f>
        <v>2791</v>
      </c>
      <c r="R1243" s="61">
        <f>Allocation[[#This Row],[Total volume used]]/VLOOKUP(Allocation[[#This Row],[Delivery ID]],Delivery[[Delivery ID]:[Quantity delivered]],3,FALSE)</f>
        <v>0.29112339626577655</v>
      </c>
      <c r="S1243" s="34">
        <f>Allocation[[#This Row],[Quantity Processed]]/Allocation[[#This Row],[Dilution rate]]</f>
        <v>374.81481481481478</v>
      </c>
      <c r="T1243" s="59">
        <f>SUMIF(Allocation[Delivery ID],Allocation[[#This Row],[Delivery ID]],Allocation[Quantity allocated])/SUMIF(Allocation[Delivery ID],Allocation[[#This Row],[Delivery ID]],Allocation[Volume available (kg)])</f>
        <v>0.88048876460586634</v>
      </c>
      <c r="U1243" s="61">
        <f>Allocation[[#This Row],[Total volume used]]/VLOOKUP(Allocation[[#This Row],[Delivery ID]],Delivery[[Delivery ID]:[Quantity delivered]],3,FALSE)</f>
        <v>0.29112339626577655</v>
      </c>
      <c r="V1243" s="34" t="e">
        <f>VLOOKUP(Allocation[[#This Row],[SAP Contract number]],Shipments[[SAP Contract number]:[Contracted container weight]],2,FALSE)</f>
        <v>#N/A</v>
      </c>
      <c r="W1243" s="34" t="e">
        <f>VLOOKUP(Allocation[[#This Row],[SAP Contract number]],Shipments[[SAP Contract number]:[AAA Premium USD]],24,FALSE)</f>
        <v>#N/A</v>
      </c>
      <c r="X1243" s="34" t="e">
        <f>VLOOKUP(Allocation[[#This Row],[SAP Contract number]],Shipments[[SAP Contract number]:[RA Premium USD]],25,FALSE)</f>
        <v>#N/A</v>
      </c>
      <c r="Y1243" s="38">
        <f>Allocation[[#This Row],[Quantity Processed]]/Allocation[[#This Row],[Quantity allocated]]</f>
        <v>3.0299401197604792</v>
      </c>
      <c r="Z1243" s="34" t="b">
        <f>Allocation[[#This Row],[Quantity allocated]]&lt;=Allocation[[#This Row],[Quantity Processed]]</f>
        <v>1</v>
      </c>
    </row>
    <row r="1244" spans="1:26">
      <c r="A1244" s="247" t="s">
        <v>467</v>
      </c>
      <c r="B1244" s="210" t="s">
        <v>68</v>
      </c>
      <c r="C1244" s="254" t="s">
        <v>1635</v>
      </c>
      <c r="D1244" s="255">
        <v>2191</v>
      </c>
      <c r="E1244" s="211" t="s">
        <v>1877</v>
      </c>
      <c r="F1244" s="212">
        <v>43544</v>
      </c>
      <c r="G1244" s="213">
        <v>2.7</v>
      </c>
      <c r="H1244" s="256">
        <v>723</v>
      </c>
      <c r="I1244" s="214">
        <v>1446437</v>
      </c>
      <c r="J1244" s="215">
        <v>21600</v>
      </c>
      <c r="K1244" s="212">
        <v>43587</v>
      </c>
      <c r="L1244" s="211" t="s">
        <v>1881</v>
      </c>
      <c r="M1244" s="216">
        <v>4615445946</v>
      </c>
      <c r="N1244" s="212">
        <v>43682</v>
      </c>
      <c r="O1244" s="217">
        <v>3.9611999999999998</v>
      </c>
      <c r="P1244" s="219"/>
      <c r="Q1244" s="34">
        <f>SUMIF(Allocation[Delivery ID],Allocation[[#This Row],[Delivery ID]],Allocation[Quantity Processed])</f>
        <v>7291</v>
      </c>
      <c r="R1244" s="61">
        <f>Allocation[[#This Row],[Total volume used]]/VLOOKUP(Allocation[[#This Row],[Delivery ID]],Delivery[[Delivery ID]:[Quantity delivered]],3,FALSE)</f>
        <v>0.35064685230606452</v>
      </c>
      <c r="S1244" s="34">
        <f>Allocation[[#This Row],[Quantity Processed]]/Allocation[[#This Row],[Dilution rate]]</f>
        <v>811.48148148148141</v>
      </c>
      <c r="T1244" s="59">
        <f>SUMIF(Allocation[Delivery ID],Allocation[[#This Row],[Delivery ID]],Allocation[Quantity allocated])/SUMIF(Allocation[Delivery ID],Allocation[[#This Row],[Delivery ID]],Allocation[Volume available (kg)])</f>
        <v>0.87775201878010578</v>
      </c>
      <c r="U1244" s="61">
        <f>Allocation[[#This Row],[Total volume used]]/VLOOKUP(Allocation[[#This Row],[Delivery ID]],Delivery[[Delivery ID]:[Quantity delivered]],3,FALSE)</f>
        <v>0.35064685230606452</v>
      </c>
      <c r="V1244" s="34" t="e">
        <f>VLOOKUP(Allocation[[#This Row],[SAP Contract number]],Shipments[[SAP Contract number]:[Contracted container weight]],2,FALSE)</f>
        <v>#N/A</v>
      </c>
      <c r="W1244" s="34" t="e">
        <f>VLOOKUP(Allocation[[#This Row],[SAP Contract number]],Shipments[[SAP Contract number]:[AAA Premium USD]],24,FALSE)</f>
        <v>#N/A</v>
      </c>
      <c r="X1244" s="34" t="e">
        <f>VLOOKUP(Allocation[[#This Row],[SAP Contract number]],Shipments[[SAP Contract number]:[RA Premium USD]],25,FALSE)</f>
        <v>#N/A</v>
      </c>
      <c r="Y1244" s="38">
        <f>Allocation[[#This Row],[Quantity Processed]]/Allocation[[#This Row],[Quantity allocated]]</f>
        <v>3.0304287690179805</v>
      </c>
      <c r="Z1244" s="34" t="b">
        <f>Allocation[[#This Row],[Quantity allocated]]&lt;=Allocation[[#This Row],[Quantity Processed]]</f>
        <v>1</v>
      </c>
    </row>
    <row r="1245" spans="1:26">
      <c r="A1245" s="247" t="s">
        <v>467</v>
      </c>
      <c r="B1245" s="210" t="s">
        <v>68</v>
      </c>
      <c r="C1245" s="254" t="s">
        <v>1636</v>
      </c>
      <c r="D1245" s="255">
        <v>5588</v>
      </c>
      <c r="E1245" s="211" t="s">
        <v>1877</v>
      </c>
      <c r="F1245" s="212">
        <v>43544</v>
      </c>
      <c r="G1245" s="213">
        <v>2.7</v>
      </c>
      <c r="H1245" s="256">
        <v>1900</v>
      </c>
      <c r="I1245" s="214">
        <v>1446437</v>
      </c>
      <c r="J1245" s="215">
        <v>21600</v>
      </c>
      <c r="K1245" s="212">
        <v>43587</v>
      </c>
      <c r="L1245" s="211" t="s">
        <v>1881</v>
      </c>
      <c r="M1245" s="216">
        <v>4615445946</v>
      </c>
      <c r="N1245" s="212">
        <v>43682</v>
      </c>
      <c r="O1245" s="217">
        <v>3.9611999999999998</v>
      </c>
      <c r="P1245" s="219"/>
      <c r="Q1245" s="34">
        <f>SUMIF(Allocation[Delivery ID],Allocation[[#This Row],[Delivery ID]],Allocation[Quantity Processed])</f>
        <v>28652</v>
      </c>
      <c r="R1245" s="61">
        <f>Allocation[[#This Row],[Total volume used]]/VLOOKUP(Allocation[[#This Row],[Delivery ID]],Delivery[[Delivery ID]:[Quantity delivered]],3,FALSE)</f>
        <v>0.76876844647169307</v>
      </c>
      <c r="S1245" s="34">
        <f>Allocation[[#This Row],[Quantity Processed]]/Allocation[[#This Row],[Dilution rate]]</f>
        <v>2069.6296296296296</v>
      </c>
      <c r="T1245" s="59">
        <f>SUMIF(Allocation[Delivery ID],Allocation[[#This Row],[Delivery ID]],Allocation[Quantity allocated])/SUMIF(Allocation[Delivery ID],Allocation[[#This Row],[Delivery ID]],Allocation[Volume available (kg)])</f>
        <v>0.89500335314152635</v>
      </c>
      <c r="U1245" s="61">
        <f>Allocation[[#This Row],[Total volume used]]/VLOOKUP(Allocation[[#This Row],[Delivery ID]],Delivery[[Delivery ID]:[Quantity delivered]],3,FALSE)</f>
        <v>0.76876844647169307</v>
      </c>
      <c r="V1245" s="34" t="e">
        <f>VLOOKUP(Allocation[[#This Row],[SAP Contract number]],Shipments[[SAP Contract number]:[Contracted container weight]],2,FALSE)</f>
        <v>#N/A</v>
      </c>
      <c r="W1245" s="34" t="e">
        <f>VLOOKUP(Allocation[[#This Row],[SAP Contract number]],Shipments[[SAP Contract number]:[AAA Premium USD]],24,FALSE)</f>
        <v>#N/A</v>
      </c>
      <c r="X1245" s="34" t="e">
        <f>VLOOKUP(Allocation[[#This Row],[SAP Contract number]],Shipments[[SAP Contract number]:[RA Premium USD]],25,FALSE)</f>
        <v>#N/A</v>
      </c>
      <c r="Y1245" s="38">
        <f>Allocation[[#This Row],[Quantity Processed]]/Allocation[[#This Row],[Quantity allocated]]</f>
        <v>2.9410526315789474</v>
      </c>
      <c r="Z1245" s="34" t="b">
        <f>Allocation[[#This Row],[Quantity allocated]]&lt;=Allocation[[#This Row],[Quantity Processed]]</f>
        <v>1</v>
      </c>
    </row>
    <row r="1246" spans="1:26">
      <c r="A1246" s="247" t="s">
        <v>467</v>
      </c>
      <c r="B1246" s="210" t="s">
        <v>68</v>
      </c>
      <c r="C1246" s="254" t="s">
        <v>996</v>
      </c>
      <c r="D1246" s="255">
        <v>6400</v>
      </c>
      <c r="E1246" s="211" t="s">
        <v>1877</v>
      </c>
      <c r="F1246" s="212">
        <v>43544</v>
      </c>
      <c r="G1246" s="213">
        <v>2.7</v>
      </c>
      <c r="H1246" s="256">
        <v>2112</v>
      </c>
      <c r="I1246" s="214">
        <v>1446437</v>
      </c>
      <c r="J1246" s="215">
        <v>21600</v>
      </c>
      <c r="K1246" s="212">
        <v>43587</v>
      </c>
      <c r="L1246" s="211" t="s">
        <v>1881</v>
      </c>
      <c r="M1246" s="216">
        <v>4615445946</v>
      </c>
      <c r="N1246" s="212">
        <v>43682</v>
      </c>
      <c r="O1246" s="217">
        <v>3.9611999999999998</v>
      </c>
      <c r="P1246" s="219"/>
      <c r="Q1246" s="34">
        <f>SUMIF(Allocation[Delivery ID],Allocation[[#This Row],[Delivery ID]],Allocation[Quantity Processed])</f>
        <v>20080</v>
      </c>
      <c r="R1246" s="61">
        <f>Allocation[[#This Row],[Total volume used]]/VLOOKUP(Allocation[[#This Row],[Delivery ID]],Delivery[[Delivery ID]:[Quantity delivered]],3,FALSE)</f>
        <v>1</v>
      </c>
      <c r="S1246" s="34">
        <f>Allocation[[#This Row],[Quantity Processed]]/Allocation[[#This Row],[Dilution rate]]</f>
        <v>2370.3703703703704</v>
      </c>
      <c r="T1246" s="59">
        <f>SUMIF(Allocation[Delivery ID],Allocation[[#This Row],[Delivery ID]],Allocation[Quantity allocated])/SUMIF(Allocation[Delivery ID],Allocation[[#This Row],[Delivery ID]],Allocation[Volume available (kg)])</f>
        <v>0.81624488094994108</v>
      </c>
      <c r="U1246" s="61">
        <f>Allocation[[#This Row],[Total volume used]]/VLOOKUP(Allocation[[#This Row],[Delivery ID]],Delivery[[Delivery ID]:[Quantity delivered]],3,FALSE)</f>
        <v>1</v>
      </c>
      <c r="V1246" s="34" t="e">
        <f>VLOOKUP(Allocation[[#This Row],[SAP Contract number]],Shipments[[SAP Contract number]:[Contracted container weight]],2,FALSE)</f>
        <v>#N/A</v>
      </c>
      <c r="W1246" s="34" t="e">
        <f>VLOOKUP(Allocation[[#This Row],[SAP Contract number]],Shipments[[SAP Contract number]:[AAA Premium USD]],24,FALSE)</f>
        <v>#N/A</v>
      </c>
      <c r="X1246" s="34" t="e">
        <f>VLOOKUP(Allocation[[#This Row],[SAP Contract number]],Shipments[[SAP Contract number]:[RA Premium USD]],25,FALSE)</f>
        <v>#N/A</v>
      </c>
      <c r="Y1246" s="38">
        <f>Allocation[[#This Row],[Quantity Processed]]/Allocation[[#This Row],[Quantity allocated]]</f>
        <v>3.0303030303030303</v>
      </c>
      <c r="Z1246" s="34" t="b">
        <f>Allocation[[#This Row],[Quantity allocated]]&lt;=Allocation[[#This Row],[Quantity Processed]]</f>
        <v>1</v>
      </c>
    </row>
    <row r="1247" spans="1:26">
      <c r="A1247" s="247" t="s">
        <v>467</v>
      </c>
      <c r="B1247" s="210" t="s">
        <v>68</v>
      </c>
      <c r="C1247" s="254" t="s">
        <v>1637</v>
      </c>
      <c r="D1247" s="255">
        <v>1093</v>
      </c>
      <c r="E1247" s="211" t="s">
        <v>1877</v>
      </c>
      <c r="F1247" s="212">
        <v>43544</v>
      </c>
      <c r="G1247" s="213">
        <v>2.7</v>
      </c>
      <c r="H1247" s="256">
        <v>328</v>
      </c>
      <c r="I1247" s="214">
        <v>1446437</v>
      </c>
      <c r="J1247" s="215">
        <v>21600</v>
      </c>
      <c r="K1247" s="212">
        <v>43587</v>
      </c>
      <c r="L1247" s="211" t="s">
        <v>1881</v>
      </c>
      <c r="M1247" s="216">
        <v>4615445946</v>
      </c>
      <c r="N1247" s="212">
        <v>43682</v>
      </c>
      <c r="O1247" s="217">
        <v>3.9611999999999998</v>
      </c>
      <c r="P1247" s="219"/>
      <c r="Q1247" s="34">
        <f>SUMIF(Allocation[Delivery ID],Allocation[[#This Row],[Delivery ID]],Allocation[Quantity Processed])</f>
        <v>24645.5</v>
      </c>
      <c r="R1247" s="61">
        <f>Allocation[[#This Row],[Total volume used]]/VLOOKUP(Allocation[[#This Row],[Delivery ID]],Delivery[[Delivery ID]:[Quantity delivered]],3,FALSE)</f>
        <v>1</v>
      </c>
      <c r="S1247" s="34">
        <f>Allocation[[#This Row],[Quantity Processed]]/Allocation[[#This Row],[Dilution rate]]</f>
        <v>404.81481481481478</v>
      </c>
      <c r="T1247" s="59">
        <f>SUMIF(Allocation[Delivery ID],Allocation[[#This Row],[Delivery ID]],Allocation[Quantity allocated])/SUMIF(Allocation[Delivery ID],Allocation[[#This Row],[Delivery ID]],Allocation[Volume available (kg)])</f>
        <v>0.77198266112039871</v>
      </c>
      <c r="U1247" s="61">
        <f>Allocation[[#This Row],[Total volume used]]/VLOOKUP(Allocation[[#This Row],[Delivery ID]],Delivery[[Delivery ID]:[Quantity delivered]],3,FALSE)</f>
        <v>1</v>
      </c>
      <c r="V1247" s="34" t="e">
        <f>VLOOKUP(Allocation[[#This Row],[SAP Contract number]],Shipments[[SAP Contract number]:[Contracted container weight]],2,FALSE)</f>
        <v>#N/A</v>
      </c>
      <c r="W1247" s="34" t="e">
        <f>VLOOKUP(Allocation[[#This Row],[SAP Contract number]],Shipments[[SAP Contract number]:[AAA Premium USD]],24,FALSE)</f>
        <v>#N/A</v>
      </c>
      <c r="X1247" s="34" t="e">
        <f>VLOOKUP(Allocation[[#This Row],[SAP Contract number]],Shipments[[SAP Contract number]:[RA Premium USD]],25,FALSE)</f>
        <v>#N/A</v>
      </c>
      <c r="Y1247" s="38">
        <f>Allocation[[#This Row],[Quantity Processed]]/Allocation[[#This Row],[Quantity allocated]]</f>
        <v>3.3323170731707319</v>
      </c>
      <c r="Z1247" s="34" t="b">
        <f>Allocation[[#This Row],[Quantity allocated]]&lt;=Allocation[[#This Row],[Quantity Processed]]</f>
        <v>1</v>
      </c>
    </row>
    <row r="1248" spans="1:26">
      <c r="A1248" s="247" t="s">
        <v>467</v>
      </c>
      <c r="B1248" s="210" t="s">
        <v>68</v>
      </c>
      <c r="C1248" s="254" t="s">
        <v>1001</v>
      </c>
      <c r="D1248" s="255">
        <v>6602</v>
      </c>
      <c r="E1248" s="211" t="s">
        <v>1877</v>
      </c>
      <c r="F1248" s="212">
        <v>43544</v>
      </c>
      <c r="G1248" s="213">
        <v>2.7</v>
      </c>
      <c r="H1248" s="256">
        <v>3037</v>
      </c>
      <c r="I1248" s="214">
        <v>1446437</v>
      </c>
      <c r="J1248" s="215">
        <v>21600</v>
      </c>
      <c r="K1248" s="212">
        <v>43587</v>
      </c>
      <c r="L1248" s="211" t="s">
        <v>1881</v>
      </c>
      <c r="M1248" s="216">
        <v>4615445946</v>
      </c>
      <c r="N1248" s="212">
        <v>43682</v>
      </c>
      <c r="O1248" s="217">
        <v>3.9611999999999998</v>
      </c>
      <c r="P1248" s="219"/>
      <c r="Q1248" s="34">
        <f>SUMIF(Allocation[Delivery ID],Allocation[[#This Row],[Delivery ID]],Allocation[Quantity Processed])</f>
        <v>28867</v>
      </c>
      <c r="R1248" s="61">
        <f>Allocation[[#This Row],[Total volume used]]/VLOOKUP(Allocation[[#This Row],[Delivery ID]],Delivery[[Delivery ID]:[Quantity delivered]],3,FALSE)</f>
        <v>0.89900342572407355</v>
      </c>
      <c r="S1248" s="34">
        <f>Allocation[[#This Row],[Quantity Processed]]/Allocation[[#This Row],[Dilution rate]]</f>
        <v>2445.1851851851852</v>
      </c>
      <c r="T1248" s="59">
        <f>SUMIF(Allocation[Delivery ID],Allocation[[#This Row],[Delivery ID]],Allocation[Quantity allocated])/SUMIF(Allocation[Delivery ID],Allocation[[#This Row],[Delivery ID]],Allocation[Volume available (kg)])</f>
        <v>1.1481266053320882</v>
      </c>
      <c r="U1248" s="61">
        <f>Allocation[[#This Row],[Total volume used]]/VLOOKUP(Allocation[[#This Row],[Delivery ID]],Delivery[[Delivery ID]:[Quantity delivered]],3,FALSE)</f>
        <v>0.89900342572407355</v>
      </c>
      <c r="V1248" s="34" t="e">
        <f>VLOOKUP(Allocation[[#This Row],[SAP Contract number]],Shipments[[SAP Contract number]:[Contracted container weight]],2,FALSE)</f>
        <v>#N/A</v>
      </c>
      <c r="W1248" s="34" t="e">
        <f>VLOOKUP(Allocation[[#This Row],[SAP Contract number]],Shipments[[SAP Contract number]:[AAA Premium USD]],24,FALSE)</f>
        <v>#N/A</v>
      </c>
      <c r="X1248" s="34" t="e">
        <f>VLOOKUP(Allocation[[#This Row],[SAP Contract number]],Shipments[[SAP Contract number]:[RA Premium USD]],25,FALSE)</f>
        <v>#N/A</v>
      </c>
      <c r="Y1248" s="38">
        <f>Allocation[[#This Row],[Quantity Processed]]/Allocation[[#This Row],[Quantity allocated]]</f>
        <v>2.1738557787290089</v>
      </c>
      <c r="Z1248" s="34" t="b">
        <f>Allocation[[#This Row],[Quantity allocated]]&lt;=Allocation[[#This Row],[Quantity Processed]]</f>
        <v>1</v>
      </c>
    </row>
    <row r="1249" spans="1:26">
      <c r="A1249" s="247" t="s">
        <v>467</v>
      </c>
      <c r="B1249" s="210" t="s">
        <v>68</v>
      </c>
      <c r="C1249" s="254" t="s">
        <v>1001</v>
      </c>
      <c r="D1249" s="255">
        <v>739</v>
      </c>
      <c r="E1249" s="211" t="s">
        <v>1877</v>
      </c>
      <c r="F1249" s="212">
        <v>43544</v>
      </c>
      <c r="G1249" s="213">
        <v>2.7</v>
      </c>
      <c r="H1249" s="256">
        <v>340</v>
      </c>
      <c r="I1249" s="214">
        <v>1446438</v>
      </c>
      <c r="J1249" s="215">
        <v>21600</v>
      </c>
      <c r="K1249" s="212">
        <v>43587</v>
      </c>
      <c r="L1249" s="211" t="s">
        <v>1882</v>
      </c>
      <c r="M1249" s="216">
        <v>4615445946</v>
      </c>
      <c r="N1249" s="212">
        <v>43682</v>
      </c>
      <c r="O1249" s="217">
        <v>3.9611999999999998</v>
      </c>
      <c r="P1249" s="219"/>
      <c r="Q1249" s="34">
        <f>SUMIF(Allocation[Delivery ID],Allocation[[#This Row],[Delivery ID]],Allocation[Quantity Processed])</f>
        <v>28867</v>
      </c>
      <c r="R1249" s="61">
        <f>Allocation[[#This Row],[Total volume used]]/VLOOKUP(Allocation[[#This Row],[Delivery ID]],Delivery[[Delivery ID]:[Quantity delivered]],3,FALSE)</f>
        <v>0.89900342572407355</v>
      </c>
      <c r="S1249" s="34">
        <f>Allocation[[#This Row],[Quantity Processed]]/Allocation[[#This Row],[Dilution rate]]</f>
        <v>273.7037037037037</v>
      </c>
      <c r="T1249" s="59">
        <f>SUMIF(Allocation[Delivery ID],Allocation[[#This Row],[Delivery ID]],Allocation[Quantity allocated])/SUMIF(Allocation[Delivery ID],Allocation[[#This Row],[Delivery ID]],Allocation[Volume available (kg)])</f>
        <v>1.1481266053320882</v>
      </c>
      <c r="U1249" s="61">
        <f>Allocation[[#This Row],[Total volume used]]/VLOOKUP(Allocation[[#This Row],[Delivery ID]],Delivery[[Delivery ID]:[Quantity delivered]],3,FALSE)</f>
        <v>0.89900342572407355</v>
      </c>
      <c r="V1249" s="34" t="e">
        <f>VLOOKUP(Allocation[[#This Row],[SAP Contract number]],Shipments[[SAP Contract number]:[Contracted container weight]],2,FALSE)</f>
        <v>#N/A</v>
      </c>
      <c r="W1249" s="34" t="e">
        <f>VLOOKUP(Allocation[[#This Row],[SAP Contract number]],Shipments[[SAP Contract number]:[AAA Premium USD]],24,FALSE)</f>
        <v>#N/A</v>
      </c>
      <c r="X1249" s="34" t="e">
        <f>VLOOKUP(Allocation[[#This Row],[SAP Contract number]],Shipments[[SAP Contract number]:[RA Premium USD]],25,FALSE)</f>
        <v>#N/A</v>
      </c>
      <c r="Y1249" s="38">
        <f>Allocation[[#This Row],[Quantity Processed]]/Allocation[[#This Row],[Quantity allocated]]</f>
        <v>2.1735294117647057</v>
      </c>
      <c r="Z1249" s="34" t="b">
        <f>Allocation[[#This Row],[Quantity allocated]]&lt;=Allocation[[#This Row],[Quantity Processed]]</f>
        <v>1</v>
      </c>
    </row>
    <row r="1250" spans="1:26">
      <c r="A1250" s="247" t="s">
        <v>467</v>
      </c>
      <c r="B1250" s="210" t="s">
        <v>68</v>
      </c>
      <c r="C1250" s="254" t="s">
        <v>1003</v>
      </c>
      <c r="D1250" s="255">
        <v>7343</v>
      </c>
      <c r="E1250" s="211" t="s">
        <v>1877</v>
      </c>
      <c r="F1250" s="212">
        <v>43544</v>
      </c>
      <c r="G1250" s="213">
        <v>2.7</v>
      </c>
      <c r="H1250" s="256">
        <v>3378</v>
      </c>
      <c r="I1250" s="214">
        <v>1446438</v>
      </c>
      <c r="J1250" s="215">
        <v>21600</v>
      </c>
      <c r="K1250" s="212">
        <v>43587</v>
      </c>
      <c r="L1250" s="211" t="s">
        <v>1882</v>
      </c>
      <c r="M1250" s="216">
        <v>4615445946</v>
      </c>
      <c r="N1250" s="212">
        <v>43682</v>
      </c>
      <c r="O1250" s="217">
        <v>3.9611999999999998</v>
      </c>
      <c r="P1250" s="219"/>
      <c r="Q1250" s="34">
        <f>SUMIF(Allocation[Delivery ID],Allocation[[#This Row],[Delivery ID]],Allocation[Quantity Processed])</f>
        <v>28873</v>
      </c>
      <c r="R1250" s="61">
        <f>Allocation[[#This Row],[Total volume used]]/VLOOKUP(Allocation[[#This Row],[Delivery ID]],Delivery[[Delivery ID]:[Quantity delivered]],3,FALSE)</f>
        <v>0.89891033623910332</v>
      </c>
      <c r="S1250" s="34">
        <f>Allocation[[#This Row],[Quantity Processed]]/Allocation[[#This Row],[Dilution rate]]</f>
        <v>2719.6296296296296</v>
      </c>
      <c r="T1250" s="59">
        <f>SUMIF(Allocation[Delivery ID],Allocation[[#This Row],[Delivery ID]],Allocation[Quantity allocated])/SUMIF(Allocation[Delivery ID],Allocation[[#This Row],[Delivery ID]],Allocation[Volume available (kg)])</f>
        <v>1.1481625917339773</v>
      </c>
      <c r="U1250" s="61">
        <f>Allocation[[#This Row],[Total volume used]]/VLOOKUP(Allocation[[#This Row],[Delivery ID]],Delivery[[Delivery ID]:[Quantity delivered]],3,FALSE)</f>
        <v>0.89891033623910332</v>
      </c>
      <c r="V1250" s="34" t="e">
        <f>VLOOKUP(Allocation[[#This Row],[SAP Contract number]],Shipments[[SAP Contract number]:[Contracted container weight]],2,FALSE)</f>
        <v>#N/A</v>
      </c>
      <c r="W1250" s="34" t="e">
        <f>VLOOKUP(Allocation[[#This Row],[SAP Contract number]],Shipments[[SAP Contract number]:[AAA Premium USD]],24,FALSE)</f>
        <v>#N/A</v>
      </c>
      <c r="X1250" s="34" t="e">
        <f>VLOOKUP(Allocation[[#This Row],[SAP Contract number]],Shipments[[SAP Contract number]:[RA Premium USD]],25,FALSE)</f>
        <v>#N/A</v>
      </c>
      <c r="Y1250" s="38">
        <f>Allocation[[#This Row],[Quantity Processed]]/Allocation[[#This Row],[Quantity allocated]]</f>
        <v>2.1737714624037894</v>
      </c>
      <c r="Z1250" s="34" t="b">
        <f>Allocation[[#This Row],[Quantity allocated]]&lt;=Allocation[[#This Row],[Quantity Processed]]</f>
        <v>1</v>
      </c>
    </row>
    <row r="1251" spans="1:26">
      <c r="A1251" s="247" t="s">
        <v>467</v>
      </c>
      <c r="B1251" s="210" t="s">
        <v>68</v>
      </c>
      <c r="C1251" s="254" t="s">
        <v>1004</v>
      </c>
      <c r="D1251" s="255">
        <v>4128</v>
      </c>
      <c r="E1251" s="211" t="s">
        <v>1877</v>
      </c>
      <c r="F1251" s="212">
        <v>43544</v>
      </c>
      <c r="G1251" s="213">
        <v>2.7</v>
      </c>
      <c r="H1251" s="256">
        <v>1899</v>
      </c>
      <c r="I1251" s="214">
        <v>1446438</v>
      </c>
      <c r="J1251" s="215">
        <v>21600</v>
      </c>
      <c r="K1251" s="212">
        <v>43587</v>
      </c>
      <c r="L1251" s="211" t="s">
        <v>1882</v>
      </c>
      <c r="M1251" s="216">
        <v>4615445946</v>
      </c>
      <c r="N1251" s="212">
        <v>43682</v>
      </c>
      <c r="O1251" s="217">
        <v>3.9611999999999998</v>
      </c>
      <c r="P1251" s="219"/>
      <c r="Q1251" s="34">
        <f>SUMIF(Allocation[Delivery ID],Allocation[[#This Row],[Delivery ID]],Allocation[Quantity Processed])</f>
        <v>16278</v>
      </c>
      <c r="R1251" s="61">
        <f>Allocation[[#This Row],[Total volume used]]/VLOOKUP(Allocation[[#This Row],[Delivery ID]],Delivery[[Delivery ID]:[Quantity delivered]],3,FALSE)</f>
        <v>0.90132890365448504</v>
      </c>
      <c r="S1251" s="34">
        <f>Allocation[[#This Row],[Quantity Processed]]/Allocation[[#This Row],[Dilution rate]]</f>
        <v>1528.8888888888887</v>
      </c>
      <c r="T1251" s="59">
        <f>SUMIF(Allocation[Delivery ID],Allocation[[#This Row],[Delivery ID]],Allocation[Quantity allocated])/SUMIF(Allocation[Delivery ID],Allocation[[#This Row],[Delivery ID]],Allocation[Volume available (kg)])</f>
        <v>1.1475658695106412</v>
      </c>
      <c r="U1251" s="61">
        <f>Allocation[[#This Row],[Total volume used]]/VLOOKUP(Allocation[[#This Row],[Delivery ID]],Delivery[[Delivery ID]:[Quantity delivered]],3,FALSE)</f>
        <v>0.90132890365448504</v>
      </c>
      <c r="V1251" s="34" t="e">
        <f>VLOOKUP(Allocation[[#This Row],[SAP Contract number]],Shipments[[SAP Contract number]:[Contracted container weight]],2,FALSE)</f>
        <v>#N/A</v>
      </c>
      <c r="W1251" s="34" t="e">
        <f>VLOOKUP(Allocation[[#This Row],[SAP Contract number]],Shipments[[SAP Contract number]:[AAA Premium USD]],24,FALSE)</f>
        <v>#N/A</v>
      </c>
      <c r="X1251" s="34" t="e">
        <f>VLOOKUP(Allocation[[#This Row],[SAP Contract number]],Shipments[[SAP Contract number]:[RA Premium USD]],25,FALSE)</f>
        <v>#N/A</v>
      </c>
      <c r="Y1251" s="38">
        <f>Allocation[[#This Row],[Quantity Processed]]/Allocation[[#This Row],[Quantity allocated]]</f>
        <v>2.1737756714060033</v>
      </c>
      <c r="Z1251" s="34" t="b">
        <f>Allocation[[#This Row],[Quantity allocated]]&lt;=Allocation[[#This Row],[Quantity Processed]]</f>
        <v>1</v>
      </c>
    </row>
    <row r="1252" spans="1:26">
      <c r="A1252" s="247" t="s">
        <v>467</v>
      </c>
      <c r="B1252" s="210" t="s">
        <v>68</v>
      </c>
      <c r="C1252" s="254" t="s">
        <v>1639</v>
      </c>
      <c r="D1252" s="255">
        <v>1121</v>
      </c>
      <c r="E1252" s="211" t="s">
        <v>1877</v>
      </c>
      <c r="F1252" s="212">
        <v>43544</v>
      </c>
      <c r="G1252" s="213">
        <v>2.7</v>
      </c>
      <c r="H1252" s="256">
        <v>381</v>
      </c>
      <c r="I1252" s="214">
        <v>1446438</v>
      </c>
      <c r="J1252" s="215">
        <v>21600</v>
      </c>
      <c r="K1252" s="212">
        <v>43587</v>
      </c>
      <c r="L1252" s="211" t="s">
        <v>1882</v>
      </c>
      <c r="M1252" s="216">
        <v>4615445946</v>
      </c>
      <c r="N1252" s="212">
        <v>43682</v>
      </c>
      <c r="O1252" s="217">
        <v>3.9611999999999998</v>
      </c>
      <c r="P1252" s="219"/>
      <c r="Q1252" s="34">
        <f>SUMIF(Allocation[Delivery ID],Allocation[[#This Row],[Delivery ID]],Allocation[Quantity Processed])</f>
        <v>3095</v>
      </c>
      <c r="R1252" s="61">
        <f>Allocation[[#This Row],[Total volume used]]/VLOOKUP(Allocation[[#This Row],[Delivery ID]],Delivery[[Delivery ID]:[Quantity delivered]],3,FALSE)</f>
        <v>0.2824936108068638</v>
      </c>
      <c r="S1252" s="34">
        <f>Allocation[[#This Row],[Quantity Processed]]/Allocation[[#This Row],[Dilution rate]]</f>
        <v>415.18518518518516</v>
      </c>
      <c r="T1252" s="59">
        <f>SUMIF(Allocation[Delivery ID],Allocation[[#This Row],[Delivery ID]],Allocation[Quantity allocated])/SUMIF(Allocation[Delivery ID],Allocation[[#This Row],[Delivery ID]],Allocation[Volume available (kg)])</f>
        <v>0.90694770522858625</v>
      </c>
      <c r="U1252" s="61">
        <f>Allocation[[#This Row],[Total volume used]]/VLOOKUP(Allocation[[#This Row],[Delivery ID]],Delivery[[Delivery ID]:[Quantity delivered]],3,FALSE)</f>
        <v>0.2824936108068638</v>
      </c>
      <c r="V1252" s="34" t="e">
        <f>VLOOKUP(Allocation[[#This Row],[SAP Contract number]],Shipments[[SAP Contract number]:[Contracted container weight]],2,FALSE)</f>
        <v>#N/A</v>
      </c>
      <c r="W1252" s="34" t="e">
        <f>VLOOKUP(Allocation[[#This Row],[SAP Contract number]],Shipments[[SAP Contract number]:[AAA Premium USD]],24,FALSE)</f>
        <v>#N/A</v>
      </c>
      <c r="X1252" s="34" t="e">
        <f>VLOOKUP(Allocation[[#This Row],[SAP Contract number]],Shipments[[SAP Contract number]:[RA Premium USD]],25,FALSE)</f>
        <v>#N/A</v>
      </c>
      <c r="Y1252" s="38">
        <f>Allocation[[#This Row],[Quantity Processed]]/Allocation[[#This Row],[Quantity allocated]]</f>
        <v>2.9422572178477688</v>
      </c>
      <c r="Z1252" s="34" t="b">
        <f>Allocation[[#This Row],[Quantity allocated]]&lt;=Allocation[[#This Row],[Quantity Processed]]</f>
        <v>1</v>
      </c>
    </row>
    <row r="1253" spans="1:26">
      <c r="A1253" s="247" t="s">
        <v>467</v>
      </c>
      <c r="B1253" s="210" t="s">
        <v>68</v>
      </c>
      <c r="C1253" s="254" t="s">
        <v>1005</v>
      </c>
      <c r="D1253" s="255">
        <v>1435</v>
      </c>
      <c r="E1253" s="211" t="s">
        <v>1877</v>
      </c>
      <c r="F1253" s="212">
        <v>43544</v>
      </c>
      <c r="G1253" s="213">
        <v>2.7</v>
      </c>
      <c r="H1253" s="256">
        <v>531</v>
      </c>
      <c r="I1253" s="214">
        <v>1446438</v>
      </c>
      <c r="J1253" s="215">
        <v>21600</v>
      </c>
      <c r="K1253" s="212">
        <v>43587</v>
      </c>
      <c r="L1253" s="211" t="s">
        <v>1882</v>
      </c>
      <c r="M1253" s="216">
        <v>4615445946</v>
      </c>
      <c r="N1253" s="212">
        <v>43682</v>
      </c>
      <c r="O1253" s="217">
        <v>3.9611999999999998</v>
      </c>
      <c r="P1253" s="219"/>
      <c r="Q1253" s="34">
        <f>SUMIF(Allocation[Delivery ID],Allocation[[#This Row],[Delivery ID]],Allocation[Quantity Processed])</f>
        <v>5052.5</v>
      </c>
      <c r="R1253" s="61">
        <f>Allocation[[#This Row],[Total volume used]]/VLOOKUP(Allocation[[#This Row],[Delivery ID]],Delivery[[Delivery ID]:[Quantity delivered]],3,FALSE)</f>
        <v>1</v>
      </c>
      <c r="S1253" s="34">
        <f>Allocation[[#This Row],[Quantity Processed]]/Allocation[[#This Row],[Dilution rate]]</f>
        <v>531.48148148148141</v>
      </c>
      <c r="T1253" s="59">
        <f>SUMIF(Allocation[Delivery ID],Allocation[[#This Row],[Delivery ID]],Allocation[Quantity allocated])/SUMIF(Allocation[Delivery ID],Allocation[[#This Row],[Delivery ID]],Allocation[Volume available (kg)])</f>
        <v>0.92122640629060271</v>
      </c>
      <c r="U1253" s="61">
        <f>Allocation[[#This Row],[Total volume used]]/VLOOKUP(Allocation[[#This Row],[Delivery ID]],Delivery[[Delivery ID]:[Quantity delivered]],3,FALSE)</f>
        <v>1</v>
      </c>
      <c r="V1253" s="34" t="e">
        <f>VLOOKUP(Allocation[[#This Row],[SAP Contract number]],Shipments[[SAP Contract number]:[Contracted container weight]],2,FALSE)</f>
        <v>#N/A</v>
      </c>
      <c r="W1253" s="34" t="e">
        <f>VLOOKUP(Allocation[[#This Row],[SAP Contract number]],Shipments[[SAP Contract number]:[AAA Premium USD]],24,FALSE)</f>
        <v>#N/A</v>
      </c>
      <c r="X1253" s="34" t="e">
        <f>VLOOKUP(Allocation[[#This Row],[SAP Contract number]],Shipments[[SAP Contract number]:[RA Premium USD]],25,FALSE)</f>
        <v>#N/A</v>
      </c>
      <c r="Y1253" s="38">
        <f>Allocation[[#This Row],[Quantity Processed]]/Allocation[[#This Row],[Quantity allocated]]</f>
        <v>2.7024482109227872</v>
      </c>
      <c r="Z1253" s="34" t="b">
        <f>Allocation[[#This Row],[Quantity allocated]]&lt;=Allocation[[#This Row],[Quantity Processed]]</f>
        <v>1</v>
      </c>
    </row>
    <row r="1254" spans="1:26">
      <c r="A1254" s="247" t="s">
        <v>467</v>
      </c>
      <c r="B1254" s="210" t="s">
        <v>68</v>
      </c>
      <c r="C1254" s="254" t="s">
        <v>1007</v>
      </c>
      <c r="D1254" s="255">
        <v>8178</v>
      </c>
      <c r="E1254" s="211" t="s">
        <v>1877</v>
      </c>
      <c r="F1254" s="212">
        <v>43544</v>
      </c>
      <c r="G1254" s="213">
        <v>2.7</v>
      </c>
      <c r="H1254" s="256">
        <v>3353</v>
      </c>
      <c r="I1254" s="214">
        <v>1446438</v>
      </c>
      <c r="J1254" s="215">
        <v>21600</v>
      </c>
      <c r="K1254" s="212">
        <v>43587</v>
      </c>
      <c r="L1254" s="211" t="s">
        <v>1882</v>
      </c>
      <c r="M1254" s="216">
        <v>4615445946</v>
      </c>
      <c r="N1254" s="212">
        <v>43682</v>
      </c>
      <c r="O1254" s="217">
        <v>3.9611999999999998</v>
      </c>
      <c r="P1254" s="219"/>
      <c r="Q1254" s="34">
        <f>SUMIF(Allocation[Delivery ID],Allocation[[#This Row],[Delivery ID]],Allocation[Quantity Processed])</f>
        <v>31880</v>
      </c>
      <c r="R1254" s="61">
        <f>Allocation[[#This Row],[Total volume used]]/VLOOKUP(Allocation[[#This Row],[Delivery ID]],Delivery[[Delivery ID]:[Quantity delivered]],3,FALSE)</f>
        <v>1</v>
      </c>
      <c r="S1254" s="34">
        <f>Allocation[[#This Row],[Quantity Processed]]/Allocation[[#This Row],[Dilution rate]]</f>
        <v>3028.8888888888887</v>
      </c>
      <c r="T1254" s="59">
        <f>SUMIF(Allocation[Delivery ID],Allocation[[#This Row],[Delivery ID]],Allocation[Quantity allocated])/SUMIF(Allocation[Delivery ID],Allocation[[#This Row],[Delivery ID]],Allocation[Volume available (kg)])</f>
        <v>1.0232020361011271</v>
      </c>
      <c r="U1254" s="61">
        <f>Allocation[[#This Row],[Total volume used]]/VLOOKUP(Allocation[[#This Row],[Delivery ID]],Delivery[[Delivery ID]:[Quantity delivered]],3,FALSE)</f>
        <v>1</v>
      </c>
      <c r="V1254" s="34" t="e">
        <f>VLOOKUP(Allocation[[#This Row],[SAP Contract number]],Shipments[[SAP Contract number]:[Contracted container weight]],2,FALSE)</f>
        <v>#N/A</v>
      </c>
      <c r="W1254" s="34" t="e">
        <f>VLOOKUP(Allocation[[#This Row],[SAP Contract number]],Shipments[[SAP Contract number]:[AAA Premium USD]],24,FALSE)</f>
        <v>#N/A</v>
      </c>
      <c r="X1254" s="34" t="e">
        <f>VLOOKUP(Allocation[[#This Row],[SAP Contract number]],Shipments[[SAP Contract number]:[RA Premium USD]],25,FALSE)</f>
        <v>#N/A</v>
      </c>
      <c r="Y1254" s="38">
        <f>Allocation[[#This Row],[Quantity Processed]]/Allocation[[#This Row],[Quantity allocated]]</f>
        <v>2.4390098419325978</v>
      </c>
      <c r="Z1254" s="34" t="b">
        <f>Allocation[[#This Row],[Quantity allocated]]&lt;=Allocation[[#This Row],[Quantity Processed]]</f>
        <v>1</v>
      </c>
    </row>
    <row r="1255" spans="1:26">
      <c r="A1255" s="247" t="s">
        <v>467</v>
      </c>
      <c r="B1255" s="210" t="s">
        <v>68</v>
      </c>
      <c r="C1255" s="254" t="s">
        <v>1643</v>
      </c>
      <c r="D1255" s="255">
        <v>120</v>
      </c>
      <c r="E1255" s="211" t="s">
        <v>1877</v>
      </c>
      <c r="F1255" s="212">
        <v>43544</v>
      </c>
      <c r="G1255" s="213">
        <v>2.7</v>
      </c>
      <c r="H1255" s="256">
        <v>42</v>
      </c>
      <c r="I1255" s="214">
        <v>1446438</v>
      </c>
      <c r="J1255" s="215">
        <v>21600</v>
      </c>
      <c r="K1255" s="212">
        <v>43587</v>
      </c>
      <c r="L1255" s="211" t="s">
        <v>1882</v>
      </c>
      <c r="M1255" s="216">
        <v>4615445946</v>
      </c>
      <c r="N1255" s="212">
        <v>43682</v>
      </c>
      <c r="O1255" s="217">
        <v>3.9611999999999998</v>
      </c>
      <c r="P1255" s="219"/>
      <c r="Q1255" s="34">
        <f>SUMIF(Allocation[Delivery ID],Allocation[[#This Row],[Delivery ID]],Allocation[Quantity Processed])</f>
        <v>826</v>
      </c>
      <c r="R1255" s="61">
        <f>Allocation[[#This Row],[Total volume used]]/VLOOKUP(Allocation[[#This Row],[Delivery ID]],Delivery[[Delivery ID]:[Quantity delivered]],3,FALSE)</f>
        <v>0.13149725384064315</v>
      </c>
      <c r="S1255" s="34">
        <f>Allocation[[#This Row],[Quantity Processed]]/Allocation[[#This Row],[Dilution rate]]</f>
        <v>44.444444444444443</v>
      </c>
      <c r="T1255" s="59">
        <f>SUMIF(Allocation[Delivery ID],Allocation[[#This Row],[Delivery ID]],Allocation[Quantity allocated])/SUMIF(Allocation[Delivery ID],Allocation[[#This Row],[Delivery ID]],Allocation[Volume available (kg)])</f>
        <v>0.78525679208867372</v>
      </c>
      <c r="U1255" s="61">
        <f>Allocation[[#This Row],[Total volume used]]/VLOOKUP(Allocation[[#This Row],[Delivery ID]],Delivery[[Delivery ID]:[Quantity delivered]],3,FALSE)</f>
        <v>0.13149725384064315</v>
      </c>
      <c r="V1255" s="34" t="e">
        <f>VLOOKUP(Allocation[[#This Row],[SAP Contract number]],Shipments[[SAP Contract number]:[Contracted container weight]],2,FALSE)</f>
        <v>#N/A</v>
      </c>
      <c r="W1255" s="34" t="e">
        <f>VLOOKUP(Allocation[[#This Row],[SAP Contract number]],Shipments[[SAP Contract number]:[AAA Premium USD]],24,FALSE)</f>
        <v>#N/A</v>
      </c>
      <c r="X1255" s="34" t="e">
        <f>VLOOKUP(Allocation[[#This Row],[SAP Contract number]],Shipments[[SAP Contract number]:[RA Premium USD]],25,FALSE)</f>
        <v>#N/A</v>
      </c>
      <c r="Y1255" s="38">
        <f>Allocation[[#This Row],[Quantity Processed]]/Allocation[[#This Row],[Quantity allocated]]</f>
        <v>2.8571428571428572</v>
      </c>
      <c r="Z1255" s="34" t="b">
        <f>Allocation[[#This Row],[Quantity allocated]]&lt;=Allocation[[#This Row],[Quantity Processed]]</f>
        <v>1</v>
      </c>
    </row>
    <row r="1256" spans="1:26">
      <c r="A1256" s="247" t="s">
        <v>467</v>
      </c>
      <c r="B1256" s="210" t="s">
        <v>68</v>
      </c>
      <c r="C1256" s="254" t="s">
        <v>1644</v>
      </c>
      <c r="D1256" s="255">
        <v>6530</v>
      </c>
      <c r="E1256" s="211" t="s">
        <v>1877</v>
      </c>
      <c r="F1256" s="212">
        <v>43544</v>
      </c>
      <c r="G1256" s="213">
        <v>2.7</v>
      </c>
      <c r="H1256" s="256">
        <v>2612</v>
      </c>
      <c r="I1256" s="214">
        <v>1446438</v>
      </c>
      <c r="J1256" s="215">
        <v>21600</v>
      </c>
      <c r="K1256" s="212">
        <v>43587</v>
      </c>
      <c r="L1256" s="211" t="s">
        <v>1882</v>
      </c>
      <c r="M1256" s="216">
        <v>4615445946</v>
      </c>
      <c r="N1256" s="212">
        <v>43682</v>
      </c>
      <c r="O1256" s="217">
        <v>3.9611999999999998</v>
      </c>
      <c r="P1256" s="219"/>
      <c r="Q1256" s="34">
        <f>SUMIF(Allocation[Delivery ID],Allocation[[#This Row],[Delivery ID]],Allocation[Quantity Processed])</f>
        <v>18880</v>
      </c>
      <c r="R1256" s="61">
        <f>Allocation[[#This Row],[Total volume used]]/VLOOKUP(Allocation[[#This Row],[Delivery ID]],Delivery[[Delivery ID]:[Quantity delivered]],3,FALSE)</f>
        <v>0.70914793321689484</v>
      </c>
      <c r="S1256" s="34">
        <f>Allocation[[#This Row],[Quantity Processed]]/Allocation[[#This Row],[Dilution rate]]</f>
        <v>2418.5185185185182</v>
      </c>
      <c r="T1256" s="59">
        <f>SUMIF(Allocation[Delivery ID],Allocation[[#This Row],[Delivery ID]],Allocation[Quantity allocated])/SUMIF(Allocation[Delivery ID],Allocation[[#This Row],[Delivery ID]],Allocation[Volume available (kg)])</f>
        <v>1.0667581103543555</v>
      </c>
      <c r="U1256" s="61">
        <f>Allocation[[#This Row],[Total volume used]]/VLOOKUP(Allocation[[#This Row],[Delivery ID]],Delivery[[Delivery ID]:[Quantity delivered]],3,FALSE)</f>
        <v>0.70914793321689484</v>
      </c>
      <c r="V1256" s="34" t="e">
        <f>VLOOKUP(Allocation[[#This Row],[SAP Contract number]],Shipments[[SAP Contract number]:[Contracted container weight]],2,FALSE)</f>
        <v>#N/A</v>
      </c>
      <c r="W1256" s="34" t="e">
        <f>VLOOKUP(Allocation[[#This Row],[SAP Contract number]],Shipments[[SAP Contract number]:[AAA Premium USD]],24,FALSE)</f>
        <v>#N/A</v>
      </c>
      <c r="X1256" s="34" t="e">
        <f>VLOOKUP(Allocation[[#This Row],[SAP Contract number]],Shipments[[SAP Contract number]:[RA Premium USD]],25,FALSE)</f>
        <v>#N/A</v>
      </c>
      <c r="Y1256" s="38">
        <f>Allocation[[#This Row],[Quantity Processed]]/Allocation[[#This Row],[Quantity allocated]]</f>
        <v>2.5</v>
      </c>
      <c r="Z1256" s="34" t="b">
        <f>Allocation[[#This Row],[Quantity allocated]]&lt;=Allocation[[#This Row],[Quantity Processed]]</f>
        <v>1</v>
      </c>
    </row>
    <row r="1257" spans="1:26">
      <c r="A1257" s="247" t="s">
        <v>467</v>
      </c>
      <c r="B1257" s="210" t="s">
        <v>68</v>
      </c>
      <c r="C1257" s="254" t="s">
        <v>1010</v>
      </c>
      <c r="D1257" s="255">
        <v>2000</v>
      </c>
      <c r="E1257" s="211" t="s">
        <v>1877</v>
      </c>
      <c r="F1257" s="212">
        <v>43544</v>
      </c>
      <c r="G1257" s="213">
        <v>2.7</v>
      </c>
      <c r="H1257" s="256">
        <v>820</v>
      </c>
      <c r="I1257" s="214">
        <v>1446438</v>
      </c>
      <c r="J1257" s="215">
        <v>21600</v>
      </c>
      <c r="K1257" s="212">
        <v>43587</v>
      </c>
      <c r="L1257" s="211" t="s">
        <v>1882</v>
      </c>
      <c r="M1257" s="216">
        <v>4615445946</v>
      </c>
      <c r="N1257" s="212">
        <v>43682</v>
      </c>
      <c r="O1257" s="217">
        <v>3.9611999999999998</v>
      </c>
      <c r="P1257" s="219"/>
      <c r="Q1257" s="34">
        <f>SUMIF(Allocation[Delivery ID],Allocation[[#This Row],[Delivery ID]],Allocation[Quantity Processed])</f>
        <v>7793</v>
      </c>
      <c r="R1257" s="61">
        <f>Allocation[[#This Row],[Total volume used]]/VLOOKUP(Allocation[[#This Row],[Delivery ID]],Delivery[[Delivery ID]:[Quantity delivered]],3,FALSE)</f>
        <v>1</v>
      </c>
      <c r="S1257" s="34">
        <f>Allocation[[#This Row],[Quantity Processed]]/Allocation[[#This Row],[Dilution rate]]</f>
        <v>740.74074074074065</v>
      </c>
      <c r="T1257" s="59">
        <f>SUMIF(Allocation[Delivery ID],Allocation[[#This Row],[Delivery ID]],Allocation[Quantity allocated])/SUMIF(Allocation[Delivery ID],Allocation[[#This Row],[Delivery ID]],Allocation[Volume available (kg)])</f>
        <v>1.0231604080667922</v>
      </c>
      <c r="U1257" s="61">
        <f>Allocation[[#This Row],[Total volume used]]/VLOOKUP(Allocation[[#This Row],[Delivery ID]],Delivery[[Delivery ID]:[Quantity delivered]],3,FALSE)</f>
        <v>1</v>
      </c>
      <c r="V1257" s="34" t="e">
        <f>VLOOKUP(Allocation[[#This Row],[SAP Contract number]],Shipments[[SAP Contract number]:[Contracted container weight]],2,FALSE)</f>
        <v>#N/A</v>
      </c>
      <c r="W1257" s="34" t="e">
        <f>VLOOKUP(Allocation[[#This Row],[SAP Contract number]],Shipments[[SAP Contract number]:[AAA Premium USD]],24,FALSE)</f>
        <v>#N/A</v>
      </c>
      <c r="X1257" s="34" t="e">
        <f>VLOOKUP(Allocation[[#This Row],[SAP Contract number]],Shipments[[SAP Contract number]:[RA Premium USD]],25,FALSE)</f>
        <v>#N/A</v>
      </c>
      <c r="Y1257" s="38">
        <f>Allocation[[#This Row],[Quantity Processed]]/Allocation[[#This Row],[Quantity allocated]]</f>
        <v>2.4390243902439024</v>
      </c>
      <c r="Z1257" s="34" t="b">
        <f>Allocation[[#This Row],[Quantity allocated]]&lt;=Allocation[[#This Row],[Quantity Processed]]</f>
        <v>1</v>
      </c>
    </row>
    <row r="1258" spans="1:26">
      <c r="A1258" s="247" t="s">
        <v>467</v>
      </c>
      <c r="B1258" s="210" t="s">
        <v>68</v>
      </c>
      <c r="C1258" s="254" t="s">
        <v>1012</v>
      </c>
      <c r="D1258" s="255">
        <v>10273</v>
      </c>
      <c r="E1258" s="211" t="s">
        <v>1877</v>
      </c>
      <c r="F1258" s="212">
        <v>43544</v>
      </c>
      <c r="G1258" s="213">
        <v>2.7</v>
      </c>
      <c r="H1258" s="256">
        <v>3390</v>
      </c>
      <c r="I1258" s="214">
        <v>1446438</v>
      </c>
      <c r="J1258" s="215">
        <v>21600</v>
      </c>
      <c r="K1258" s="212">
        <v>43587</v>
      </c>
      <c r="L1258" s="211" t="s">
        <v>1882</v>
      </c>
      <c r="M1258" s="216">
        <v>4615445946</v>
      </c>
      <c r="N1258" s="212">
        <v>43682</v>
      </c>
      <c r="O1258" s="217">
        <v>3.9611999999999998</v>
      </c>
      <c r="P1258" s="219"/>
      <c r="Q1258" s="34">
        <f>SUMIF(Allocation[Delivery ID],Allocation[[#This Row],[Delivery ID]],Allocation[Quantity Processed])</f>
        <v>32230</v>
      </c>
      <c r="R1258" s="61">
        <f>Allocation[[#This Row],[Total volume used]]/VLOOKUP(Allocation[[#This Row],[Delivery ID]],Delivery[[Delivery ID]:[Quantity delivered]],3,FALSE)</f>
        <v>1</v>
      </c>
      <c r="S1258" s="34">
        <f>Allocation[[#This Row],[Quantity Processed]]/Allocation[[#This Row],[Dilution rate]]</f>
        <v>3804.8148148148148</v>
      </c>
      <c r="T1258" s="59">
        <f>SUMIF(Allocation[Delivery ID],Allocation[[#This Row],[Delivery ID]],Allocation[Quantity allocated])/SUMIF(Allocation[Delivery ID],Allocation[[#This Row],[Delivery ID]],Allocation[Volume available (kg)])</f>
        <v>0.78335528312298286</v>
      </c>
      <c r="U1258" s="61">
        <f>Allocation[[#This Row],[Total volume used]]/VLOOKUP(Allocation[[#This Row],[Delivery ID]],Delivery[[Delivery ID]:[Quantity delivered]],3,FALSE)</f>
        <v>1</v>
      </c>
      <c r="V1258" s="34" t="e">
        <f>VLOOKUP(Allocation[[#This Row],[SAP Contract number]],Shipments[[SAP Contract number]:[Contracted container weight]],2,FALSE)</f>
        <v>#N/A</v>
      </c>
      <c r="W1258" s="34" t="e">
        <f>VLOOKUP(Allocation[[#This Row],[SAP Contract number]],Shipments[[SAP Contract number]:[AAA Premium USD]],24,FALSE)</f>
        <v>#N/A</v>
      </c>
      <c r="X1258" s="34" t="e">
        <f>VLOOKUP(Allocation[[#This Row],[SAP Contract number]],Shipments[[SAP Contract number]:[RA Premium USD]],25,FALSE)</f>
        <v>#N/A</v>
      </c>
      <c r="Y1258" s="38">
        <f>Allocation[[#This Row],[Quantity Processed]]/Allocation[[#This Row],[Quantity allocated]]</f>
        <v>3.0303834808259587</v>
      </c>
      <c r="Z1258" s="34" t="b">
        <f>Allocation[[#This Row],[Quantity allocated]]&lt;=Allocation[[#This Row],[Quantity Processed]]</f>
        <v>1</v>
      </c>
    </row>
    <row r="1259" spans="1:26">
      <c r="A1259" s="247" t="s">
        <v>467</v>
      </c>
      <c r="B1259" s="210" t="s">
        <v>68</v>
      </c>
      <c r="C1259" s="254" t="s">
        <v>1646</v>
      </c>
      <c r="D1259" s="255">
        <v>9200</v>
      </c>
      <c r="E1259" s="211" t="s">
        <v>1877</v>
      </c>
      <c r="F1259" s="212">
        <v>43544</v>
      </c>
      <c r="G1259" s="213">
        <v>2.7</v>
      </c>
      <c r="H1259" s="256">
        <v>3036</v>
      </c>
      <c r="I1259" s="214">
        <v>1446438</v>
      </c>
      <c r="J1259" s="215">
        <v>21600</v>
      </c>
      <c r="K1259" s="212">
        <v>43587</v>
      </c>
      <c r="L1259" s="211" t="s">
        <v>1882</v>
      </c>
      <c r="M1259" s="216">
        <v>4615445946</v>
      </c>
      <c r="N1259" s="212">
        <v>43682</v>
      </c>
      <c r="O1259" s="217">
        <v>3.9611999999999998</v>
      </c>
      <c r="P1259" s="219"/>
      <c r="Q1259" s="34">
        <f>SUMIF(Allocation[Delivery ID],Allocation[[#This Row],[Delivery ID]],Allocation[Quantity Processed])</f>
        <v>26600</v>
      </c>
      <c r="R1259" s="61">
        <f>Allocation[[#This Row],[Total volume used]]/VLOOKUP(Allocation[[#This Row],[Delivery ID]],Delivery[[Delivery ID]:[Quantity delivered]],3,FALSE)</f>
        <v>0.85963126343173846</v>
      </c>
      <c r="S1259" s="34">
        <f>Allocation[[#This Row],[Quantity Processed]]/Allocation[[#This Row],[Dilution rate]]</f>
        <v>3407.4074074074074</v>
      </c>
      <c r="T1259" s="59">
        <f>SUMIF(Allocation[Delivery ID],Allocation[[#This Row],[Delivery ID]],Allocation[Quantity allocated])/SUMIF(Allocation[Delivery ID],Allocation[[#This Row],[Delivery ID]],Allocation[Volume available (kg)])</f>
        <v>0.88007447307869247</v>
      </c>
      <c r="U1259" s="61">
        <f>Allocation[[#This Row],[Total volume used]]/VLOOKUP(Allocation[[#This Row],[Delivery ID]],Delivery[[Delivery ID]:[Quantity delivered]],3,FALSE)</f>
        <v>0.85963126343173846</v>
      </c>
      <c r="V1259" s="34" t="e">
        <f>VLOOKUP(Allocation[[#This Row],[SAP Contract number]],Shipments[[SAP Contract number]:[Contracted container weight]],2,FALSE)</f>
        <v>#N/A</v>
      </c>
      <c r="W1259" s="34" t="e">
        <f>VLOOKUP(Allocation[[#This Row],[SAP Contract number]],Shipments[[SAP Contract number]:[AAA Premium USD]],24,FALSE)</f>
        <v>#N/A</v>
      </c>
      <c r="X1259" s="34" t="e">
        <f>VLOOKUP(Allocation[[#This Row],[SAP Contract number]],Shipments[[SAP Contract number]:[RA Premium USD]],25,FALSE)</f>
        <v>#N/A</v>
      </c>
      <c r="Y1259" s="38">
        <f>Allocation[[#This Row],[Quantity Processed]]/Allocation[[#This Row],[Quantity allocated]]</f>
        <v>3.0303030303030303</v>
      </c>
      <c r="Z1259" s="34" t="b">
        <f>Allocation[[#This Row],[Quantity allocated]]&lt;=Allocation[[#This Row],[Quantity Processed]]</f>
        <v>1</v>
      </c>
    </row>
    <row r="1260" spans="1:26">
      <c r="A1260" s="247" t="s">
        <v>467</v>
      </c>
      <c r="B1260" s="210" t="s">
        <v>68</v>
      </c>
      <c r="C1260" s="254" t="s">
        <v>1647</v>
      </c>
      <c r="D1260" s="255">
        <v>5509</v>
      </c>
      <c r="E1260" s="211" t="s">
        <v>1877</v>
      </c>
      <c r="F1260" s="212">
        <v>43544</v>
      </c>
      <c r="G1260" s="213">
        <v>2.7</v>
      </c>
      <c r="H1260" s="256">
        <v>1818</v>
      </c>
      <c r="I1260" s="214">
        <v>1446438</v>
      </c>
      <c r="J1260" s="215">
        <v>21600</v>
      </c>
      <c r="K1260" s="212">
        <v>43587</v>
      </c>
      <c r="L1260" s="211" t="s">
        <v>1882</v>
      </c>
      <c r="M1260" s="216">
        <v>4615445946</v>
      </c>
      <c r="N1260" s="212">
        <v>43682</v>
      </c>
      <c r="O1260" s="217">
        <v>3.9611999999999998</v>
      </c>
      <c r="P1260" s="219"/>
      <c r="Q1260" s="34">
        <f>SUMIF(Allocation[Delivery ID],Allocation[[#This Row],[Delivery ID]],Allocation[Quantity Processed])</f>
        <v>26643</v>
      </c>
      <c r="R1260" s="61">
        <f>Allocation[[#This Row],[Total volume used]]/VLOOKUP(Allocation[[#This Row],[Delivery ID]],Delivery[[Delivery ID]:[Quantity delivered]],3,FALSE)</f>
        <v>0.85964572645436066</v>
      </c>
      <c r="S1260" s="34">
        <f>Allocation[[#This Row],[Quantity Processed]]/Allocation[[#This Row],[Dilution rate]]</f>
        <v>2040.3703703703702</v>
      </c>
      <c r="T1260" s="59">
        <f>SUMIF(Allocation[Delivery ID],Allocation[[#This Row],[Delivery ID]],Allocation[Quantity allocated])/SUMIF(Allocation[Delivery ID],Allocation[[#This Row],[Delivery ID]],Allocation[Volume available (kg)])</f>
        <v>0.88005549202645716</v>
      </c>
      <c r="U1260" s="61">
        <f>Allocation[[#This Row],[Total volume used]]/VLOOKUP(Allocation[[#This Row],[Delivery ID]],Delivery[[Delivery ID]:[Quantity delivered]],3,FALSE)</f>
        <v>0.85964572645436066</v>
      </c>
      <c r="V1260" s="34" t="e">
        <f>VLOOKUP(Allocation[[#This Row],[SAP Contract number]],Shipments[[SAP Contract number]:[Contracted container weight]],2,FALSE)</f>
        <v>#N/A</v>
      </c>
      <c r="W1260" s="34" t="e">
        <f>VLOOKUP(Allocation[[#This Row],[SAP Contract number]],Shipments[[SAP Contract number]:[AAA Premium USD]],24,FALSE)</f>
        <v>#N/A</v>
      </c>
      <c r="X1260" s="34" t="e">
        <f>VLOOKUP(Allocation[[#This Row],[SAP Contract number]],Shipments[[SAP Contract number]:[RA Premium USD]],25,FALSE)</f>
        <v>#N/A</v>
      </c>
      <c r="Y1260" s="38">
        <f>Allocation[[#This Row],[Quantity Processed]]/Allocation[[#This Row],[Quantity allocated]]</f>
        <v>3.0302530253025304</v>
      </c>
      <c r="Z1260" s="34" t="b">
        <f>Allocation[[#This Row],[Quantity allocated]]&lt;=Allocation[[#This Row],[Quantity Processed]]</f>
        <v>1</v>
      </c>
    </row>
    <row r="1261" spans="1:26">
      <c r="A1261" s="247" t="s">
        <v>467</v>
      </c>
      <c r="B1261" s="210" t="s">
        <v>68</v>
      </c>
      <c r="C1261" s="254" t="s">
        <v>1647</v>
      </c>
      <c r="D1261" s="255">
        <v>3706</v>
      </c>
      <c r="E1261" s="211" t="s">
        <v>1877</v>
      </c>
      <c r="F1261" s="212">
        <v>43544</v>
      </c>
      <c r="G1261" s="213">
        <v>2.7</v>
      </c>
      <c r="H1261" s="256">
        <v>1223</v>
      </c>
      <c r="I1261" s="214">
        <v>1446439</v>
      </c>
      <c r="J1261" s="215">
        <v>21600</v>
      </c>
      <c r="K1261" s="212">
        <v>43587</v>
      </c>
      <c r="L1261" s="211" t="s">
        <v>1883</v>
      </c>
      <c r="M1261" s="216">
        <v>4615445946</v>
      </c>
      <c r="N1261" s="212">
        <v>43682</v>
      </c>
      <c r="O1261" s="217">
        <v>3.9611999999999998</v>
      </c>
      <c r="P1261" s="219"/>
      <c r="Q1261" s="34">
        <f>SUMIF(Allocation[Delivery ID],Allocation[[#This Row],[Delivery ID]],Allocation[Quantity Processed])</f>
        <v>26643</v>
      </c>
      <c r="R1261" s="61">
        <f>Allocation[[#This Row],[Total volume used]]/VLOOKUP(Allocation[[#This Row],[Delivery ID]],Delivery[[Delivery ID]:[Quantity delivered]],3,FALSE)</f>
        <v>0.85964572645436066</v>
      </c>
      <c r="S1261" s="34">
        <f>Allocation[[#This Row],[Quantity Processed]]/Allocation[[#This Row],[Dilution rate]]</f>
        <v>1372.5925925925926</v>
      </c>
      <c r="T1261" s="59">
        <f>SUMIF(Allocation[Delivery ID],Allocation[[#This Row],[Delivery ID]],Allocation[Quantity allocated])/SUMIF(Allocation[Delivery ID],Allocation[[#This Row],[Delivery ID]],Allocation[Volume available (kg)])</f>
        <v>0.88005549202645716</v>
      </c>
      <c r="U1261" s="61">
        <f>Allocation[[#This Row],[Total volume used]]/VLOOKUP(Allocation[[#This Row],[Delivery ID]],Delivery[[Delivery ID]:[Quantity delivered]],3,FALSE)</f>
        <v>0.85964572645436066</v>
      </c>
      <c r="V1261" s="34" t="e">
        <f>VLOOKUP(Allocation[[#This Row],[SAP Contract number]],Shipments[[SAP Contract number]:[Contracted container weight]],2,FALSE)</f>
        <v>#N/A</v>
      </c>
      <c r="W1261" s="34" t="e">
        <f>VLOOKUP(Allocation[[#This Row],[SAP Contract number]],Shipments[[SAP Contract number]:[AAA Premium USD]],24,FALSE)</f>
        <v>#N/A</v>
      </c>
      <c r="X1261" s="34" t="e">
        <f>VLOOKUP(Allocation[[#This Row],[SAP Contract number]],Shipments[[SAP Contract number]:[RA Premium USD]],25,FALSE)</f>
        <v>#N/A</v>
      </c>
      <c r="Y1261" s="38">
        <f>Allocation[[#This Row],[Quantity Processed]]/Allocation[[#This Row],[Quantity allocated]]</f>
        <v>3.0302534750613246</v>
      </c>
      <c r="Z1261" s="34" t="b">
        <f>Allocation[[#This Row],[Quantity allocated]]&lt;=Allocation[[#This Row],[Quantity Processed]]</f>
        <v>1</v>
      </c>
    </row>
    <row r="1262" spans="1:26">
      <c r="A1262" s="247" t="s">
        <v>467</v>
      </c>
      <c r="B1262" s="210" t="s">
        <v>68</v>
      </c>
      <c r="C1262" s="254" t="s">
        <v>1016</v>
      </c>
      <c r="D1262" s="255">
        <v>10348</v>
      </c>
      <c r="E1262" s="211" t="s">
        <v>1877</v>
      </c>
      <c r="F1262" s="212">
        <v>43544</v>
      </c>
      <c r="G1262" s="213">
        <v>2.7</v>
      </c>
      <c r="H1262" s="256">
        <v>3415</v>
      </c>
      <c r="I1262" s="214">
        <v>1446439</v>
      </c>
      <c r="J1262" s="215">
        <v>21600</v>
      </c>
      <c r="K1262" s="212">
        <v>43587</v>
      </c>
      <c r="L1262" s="211" t="s">
        <v>1883</v>
      </c>
      <c r="M1262" s="216">
        <v>4615445946</v>
      </c>
      <c r="N1262" s="212">
        <v>43682</v>
      </c>
      <c r="O1262" s="217">
        <v>3.9611999999999998</v>
      </c>
      <c r="P1262" s="219"/>
      <c r="Q1262" s="34">
        <f>SUMIF(Allocation[Delivery ID],Allocation[[#This Row],[Delivery ID]],Allocation[Quantity Processed])</f>
        <v>32470</v>
      </c>
      <c r="R1262" s="61">
        <f>Allocation[[#This Row],[Total volume used]]/VLOOKUP(Allocation[[#This Row],[Delivery ID]],Delivery[[Delivery ID]:[Quantity delivered]],3,FALSE)</f>
        <v>1</v>
      </c>
      <c r="S1262" s="34">
        <f>Allocation[[#This Row],[Quantity Processed]]/Allocation[[#This Row],[Dilution rate]]</f>
        <v>3832.5925925925922</v>
      </c>
      <c r="T1262" s="59">
        <f>SUMIF(Allocation[Delivery ID],Allocation[[#This Row],[Delivery ID]],Allocation[Quantity allocated])/SUMIF(Allocation[Delivery ID],Allocation[[#This Row],[Delivery ID]],Allocation[Volume available (kg)])</f>
        <v>0.78287780426263942</v>
      </c>
      <c r="U1262" s="61">
        <f>Allocation[[#This Row],[Total volume used]]/VLOOKUP(Allocation[[#This Row],[Delivery ID]],Delivery[[Delivery ID]:[Quantity delivered]],3,FALSE)</f>
        <v>1</v>
      </c>
      <c r="V1262" s="34" t="e">
        <f>VLOOKUP(Allocation[[#This Row],[SAP Contract number]],Shipments[[SAP Contract number]:[Contracted container weight]],2,FALSE)</f>
        <v>#N/A</v>
      </c>
      <c r="W1262" s="34" t="e">
        <f>VLOOKUP(Allocation[[#This Row],[SAP Contract number]],Shipments[[SAP Contract number]:[AAA Premium USD]],24,FALSE)</f>
        <v>#N/A</v>
      </c>
      <c r="X1262" s="34" t="e">
        <f>VLOOKUP(Allocation[[#This Row],[SAP Contract number]],Shipments[[SAP Contract number]:[RA Premium USD]],25,FALSE)</f>
        <v>#N/A</v>
      </c>
      <c r="Y1262" s="38">
        <f>Allocation[[#This Row],[Quantity Processed]]/Allocation[[#This Row],[Quantity allocated]]</f>
        <v>3.0301610541727673</v>
      </c>
      <c r="Z1262" s="34" t="b">
        <f>Allocation[[#This Row],[Quantity allocated]]&lt;=Allocation[[#This Row],[Quantity Processed]]</f>
        <v>1</v>
      </c>
    </row>
    <row r="1263" spans="1:26">
      <c r="A1263" s="247" t="s">
        <v>467</v>
      </c>
      <c r="B1263" s="210" t="s">
        <v>68</v>
      </c>
      <c r="C1263" s="254" t="s">
        <v>1031</v>
      </c>
      <c r="D1263" s="255">
        <v>6895</v>
      </c>
      <c r="E1263" s="211" t="s">
        <v>1877</v>
      </c>
      <c r="F1263" s="212">
        <v>43544</v>
      </c>
      <c r="G1263" s="213">
        <v>2.7</v>
      </c>
      <c r="H1263" s="256">
        <v>3034</v>
      </c>
      <c r="I1263" s="214">
        <v>1446439</v>
      </c>
      <c r="J1263" s="215">
        <v>21600</v>
      </c>
      <c r="K1263" s="212">
        <v>43587</v>
      </c>
      <c r="L1263" s="211" t="s">
        <v>1883</v>
      </c>
      <c r="M1263" s="216">
        <v>4615445946</v>
      </c>
      <c r="N1263" s="212">
        <v>43682</v>
      </c>
      <c r="O1263" s="217">
        <v>3.9611999999999998</v>
      </c>
      <c r="P1263" s="219"/>
      <c r="Q1263" s="34">
        <f>SUMIF(Allocation[Delivery ID],Allocation[[#This Row],[Delivery ID]],Allocation[Quantity Processed])</f>
        <v>27391</v>
      </c>
      <c r="R1263" s="61">
        <f>Allocation[[#This Row],[Total volume used]]/VLOOKUP(Allocation[[#This Row],[Delivery ID]],Delivery[[Delivery ID]:[Quantity delivered]],3,FALSE)</f>
        <v>0.94942807625649916</v>
      </c>
      <c r="S1263" s="34">
        <f>Allocation[[#This Row],[Quantity Processed]]/Allocation[[#This Row],[Dilution rate]]</f>
        <v>2553.7037037037035</v>
      </c>
      <c r="T1263" s="59">
        <f>SUMIF(Allocation[Delivery ID],Allocation[[#This Row],[Delivery ID]],Allocation[Quantity allocated])/SUMIF(Allocation[Delivery ID],Allocation[[#This Row],[Delivery ID]],Allocation[Volume available (kg)])</f>
        <v>1.0961111825794865</v>
      </c>
      <c r="U1263" s="61">
        <f>Allocation[[#This Row],[Total volume used]]/VLOOKUP(Allocation[[#This Row],[Delivery ID]],Delivery[[Delivery ID]:[Quantity delivered]],3,FALSE)</f>
        <v>0.94942807625649916</v>
      </c>
      <c r="V1263" s="34" t="e">
        <f>VLOOKUP(Allocation[[#This Row],[SAP Contract number]],Shipments[[SAP Contract number]:[Contracted container weight]],2,FALSE)</f>
        <v>#N/A</v>
      </c>
      <c r="W1263" s="34" t="e">
        <f>VLOOKUP(Allocation[[#This Row],[SAP Contract number]],Shipments[[SAP Contract number]:[AAA Premium USD]],24,FALSE)</f>
        <v>#N/A</v>
      </c>
      <c r="X1263" s="34" t="e">
        <f>VLOOKUP(Allocation[[#This Row],[SAP Contract number]],Shipments[[SAP Contract number]:[RA Premium USD]],25,FALSE)</f>
        <v>#N/A</v>
      </c>
      <c r="Y1263" s="38">
        <f>Allocation[[#This Row],[Quantity Processed]]/Allocation[[#This Row],[Quantity allocated]]</f>
        <v>2.2725774555042846</v>
      </c>
      <c r="Z1263" s="34" t="b">
        <f>Allocation[[#This Row],[Quantity allocated]]&lt;=Allocation[[#This Row],[Quantity Processed]]</f>
        <v>1</v>
      </c>
    </row>
    <row r="1264" spans="1:26">
      <c r="A1264" s="247" t="s">
        <v>467</v>
      </c>
      <c r="B1264" s="210" t="s">
        <v>68</v>
      </c>
      <c r="C1264" s="254" t="s">
        <v>1035</v>
      </c>
      <c r="D1264" s="255">
        <v>5554</v>
      </c>
      <c r="E1264" s="211" t="s">
        <v>1877</v>
      </c>
      <c r="F1264" s="212">
        <v>43544</v>
      </c>
      <c r="G1264" s="213">
        <v>2.7</v>
      </c>
      <c r="H1264" s="256">
        <v>2238</v>
      </c>
      <c r="I1264" s="214">
        <v>1446439</v>
      </c>
      <c r="J1264" s="215">
        <v>21600</v>
      </c>
      <c r="K1264" s="212">
        <v>43587</v>
      </c>
      <c r="L1264" s="211" t="s">
        <v>1883</v>
      </c>
      <c r="M1264" s="216">
        <v>4615445946</v>
      </c>
      <c r="N1264" s="212">
        <v>43682</v>
      </c>
      <c r="O1264" s="217">
        <v>3.9611999999999998</v>
      </c>
      <c r="P1264" s="219"/>
      <c r="Q1264" s="34">
        <f>SUMIF(Allocation[Delivery ID],Allocation[[#This Row],[Delivery ID]],Allocation[Quantity Processed])</f>
        <v>11118</v>
      </c>
      <c r="R1264" s="61">
        <f>Allocation[[#This Row],[Total volume used]]/VLOOKUP(Allocation[[#This Row],[Delivery ID]],Delivery[[Delivery ID]:[Quantity delivered]],3,FALSE)</f>
        <v>1</v>
      </c>
      <c r="S1264" s="34">
        <f>Allocation[[#This Row],[Quantity Processed]]/Allocation[[#This Row],[Dilution rate]]</f>
        <v>2057.037037037037</v>
      </c>
      <c r="T1264" s="59">
        <f>SUMIF(Allocation[Delivery ID],Allocation[[#This Row],[Delivery ID]],Allocation[Quantity allocated])/SUMIF(Allocation[Delivery ID],Allocation[[#This Row],[Delivery ID]],Allocation[Volume available (kg)])</f>
        <v>0.9518627605279133</v>
      </c>
      <c r="U1264" s="61">
        <f>Allocation[[#This Row],[Total volume used]]/VLOOKUP(Allocation[[#This Row],[Delivery ID]],Delivery[[Delivery ID]:[Quantity delivered]],3,FALSE)</f>
        <v>1</v>
      </c>
      <c r="V1264" s="34" t="e">
        <f>VLOOKUP(Allocation[[#This Row],[SAP Contract number]],Shipments[[SAP Contract number]:[Contracted container weight]],2,FALSE)</f>
        <v>#N/A</v>
      </c>
      <c r="W1264" s="34" t="e">
        <f>VLOOKUP(Allocation[[#This Row],[SAP Contract number]],Shipments[[SAP Contract number]:[AAA Premium USD]],24,FALSE)</f>
        <v>#N/A</v>
      </c>
      <c r="X1264" s="34" t="e">
        <f>VLOOKUP(Allocation[[#This Row],[SAP Contract number]],Shipments[[SAP Contract number]:[RA Premium USD]],25,FALSE)</f>
        <v>#N/A</v>
      </c>
      <c r="Y1264" s="38">
        <f>Allocation[[#This Row],[Quantity Processed]]/Allocation[[#This Row],[Quantity allocated]]</f>
        <v>2.4816800714924039</v>
      </c>
      <c r="Z1264" s="34" t="b">
        <f>Allocation[[#This Row],[Quantity allocated]]&lt;=Allocation[[#This Row],[Quantity Processed]]</f>
        <v>1</v>
      </c>
    </row>
    <row r="1265" spans="1:26">
      <c r="A1265" s="247" t="s">
        <v>467</v>
      </c>
      <c r="B1265" s="210" t="s">
        <v>68</v>
      </c>
      <c r="C1265" s="254" t="s">
        <v>1037</v>
      </c>
      <c r="D1265" s="255">
        <v>2211</v>
      </c>
      <c r="E1265" s="211" t="s">
        <v>1877</v>
      </c>
      <c r="F1265" s="212">
        <v>43544</v>
      </c>
      <c r="G1265" s="213">
        <v>2.7</v>
      </c>
      <c r="H1265" s="256">
        <v>1017</v>
      </c>
      <c r="I1265" s="214">
        <v>1446439</v>
      </c>
      <c r="J1265" s="215">
        <v>21600</v>
      </c>
      <c r="K1265" s="212">
        <v>43587</v>
      </c>
      <c r="L1265" s="211" t="s">
        <v>1883</v>
      </c>
      <c r="M1265" s="216">
        <v>4615445946</v>
      </c>
      <c r="N1265" s="212">
        <v>43682</v>
      </c>
      <c r="O1265" s="217">
        <v>3.9611999999999998</v>
      </c>
      <c r="P1265" s="219"/>
      <c r="Q1265" s="34">
        <f>SUMIF(Allocation[Delivery ID],Allocation[[#This Row],[Delivery ID]],Allocation[Quantity Processed])</f>
        <v>8667</v>
      </c>
      <c r="R1265" s="61">
        <f>Allocation[[#This Row],[Total volume used]]/VLOOKUP(Allocation[[#This Row],[Delivery ID]],Delivery[[Delivery ID]:[Quantity delivered]],3,FALSE)</f>
        <v>0.89623080502559327</v>
      </c>
      <c r="S1265" s="34">
        <f>Allocation[[#This Row],[Quantity Processed]]/Allocation[[#This Row],[Dilution rate]]</f>
        <v>818.8888888888888</v>
      </c>
      <c r="T1265" s="59">
        <f>SUMIF(Allocation[Delivery ID],Allocation[[#This Row],[Delivery ID]],Allocation[Quantity allocated])/SUMIF(Allocation[Delivery ID],Allocation[[#This Row],[Delivery ID]],Allocation[Volume available (kg)])</f>
        <v>1.1488915260962267</v>
      </c>
      <c r="U1265" s="61">
        <f>Allocation[[#This Row],[Total volume used]]/VLOOKUP(Allocation[[#This Row],[Delivery ID]],Delivery[[Delivery ID]:[Quantity delivered]],3,FALSE)</f>
        <v>0.89623080502559327</v>
      </c>
      <c r="V1265" s="34" t="e">
        <f>VLOOKUP(Allocation[[#This Row],[SAP Contract number]],Shipments[[SAP Contract number]:[Contracted container weight]],2,FALSE)</f>
        <v>#N/A</v>
      </c>
      <c r="W1265" s="34" t="e">
        <f>VLOOKUP(Allocation[[#This Row],[SAP Contract number]],Shipments[[SAP Contract number]:[AAA Premium USD]],24,FALSE)</f>
        <v>#N/A</v>
      </c>
      <c r="X1265" s="34" t="e">
        <f>VLOOKUP(Allocation[[#This Row],[SAP Contract number]],Shipments[[SAP Contract number]:[RA Premium USD]],25,FALSE)</f>
        <v>#N/A</v>
      </c>
      <c r="Y1265" s="38">
        <f>Allocation[[#This Row],[Quantity Processed]]/Allocation[[#This Row],[Quantity allocated]]</f>
        <v>2.1740412979351031</v>
      </c>
      <c r="Z1265" s="34" t="b">
        <f>Allocation[[#This Row],[Quantity allocated]]&lt;=Allocation[[#This Row],[Quantity Processed]]</f>
        <v>1</v>
      </c>
    </row>
    <row r="1266" spans="1:26">
      <c r="A1266" s="247" t="s">
        <v>467</v>
      </c>
      <c r="B1266" s="210" t="s">
        <v>68</v>
      </c>
      <c r="C1266" s="254" t="s">
        <v>1039</v>
      </c>
      <c r="D1266" s="255">
        <v>2555</v>
      </c>
      <c r="E1266" s="211" t="s">
        <v>1877</v>
      </c>
      <c r="F1266" s="212">
        <v>43544</v>
      </c>
      <c r="G1266" s="213">
        <v>2.7</v>
      </c>
      <c r="H1266" s="256">
        <v>1022</v>
      </c>
      <c r="I1266" s="214">
        <v>1446439</v>
      </c>
      <c r="J1266" s="215">
        <v>21600</v>
      </c>
      <c r="K1266" s="212">
        <v>43587</v>
      </c>
      <c r="L1266" s="211" t="s">
        <v>1883</v>
      </c>
      <c r="M1266" s="216">
        <v>4615445946</v>
      </c>
      <c r="N1266" s="212">
        <v>43682</v>
      </c>
      <c r="O1266" s="217">
        <v>3.9611999999999998</v>
      </c>
      <c r="P1266" s="219"/>
      <c r="Q1266" s="34">
        <f>SUMIF(Allocation[Delivery ID],Allocation[[#This Row],[Delivery ID]],Allocation[Quantity Processed])</f>
        <v>9713</v>
      </c>
      <c r="R1266" s="61">
        <f>Allocation[[#This Row],[Total volume used]]/VLOOKUP(Allocation[[#This Row],[Delivery ID]],Delivery[[Delivery ID]:[Quantity delivered]],3,FALSE)</f>
        <v>1</v>
      </c>
      <c r="S1266" s="34">
        <f>Allocation[[#This Row],[Quantity Processed]]/Allocation[[#This Row],[Dilution rate]]</f>
        <v>946.29629629629619</v>
      </c>
      <c r="T1266" s="59">
        <f>SUMIF(Allocation[Delivery ID],Allocation[[#This Row],[Delivery ID]],Allocation[Quantity allocated])/SUMIF(Allocation[Delivery ID],Allocation[[#This Row],[Delivery ID]],Allocation[Volume available (kg)])</f>
        <v>0.99890031407161339</v>
      </c>
      <c r="U1266" s="61">
        <f>Allocation[[#This Row],[Total volume used]]/VLOOKUP(Allocation[[#This Row],[Delivery ID]],Delivery[[Delivery ID]:[Quantity delivered]],3,FALSE)</f>
        <v>1</v>
      </c>
      <c r="V1266" s="34" t="e">
        <f>VLOOKUP(Allocation[[#This Row],[SAP Contract number]],Shipments[[SAP Contract number]:[Contracted container weight]],2,FALSE)</f>
        <v>#N/A</v>
      </c>
      <c r="W1266" s="34" t="e">
        <f>VLOOKUP(Allocation[[#This Row],[SAP Contract number]],Shipments[[SAP Contract number]:[AAA Premium USD]],24,FALSE)</f>
        <v>#N/A</v>
      </c>
      <c r="X1266" s="34" t="e">
        <f>VLOOKUP(Allocation[[#This Row],[SAP Contract number]],Shipments[[SAP Contract number]:[RA Premium USD]],25,FALSE)</f>
        <v>#N/A</v>
      </c>
      <c r="Y1266" s="38">
        <f>Allocation[[#This Row],[Quantity Processed]]/Allocation[[#This Row],[Quantity allocated]]</f>
        <v>2.5</v>
      </c>
      <c r="Z1266" s="34" t="b">
        <f>Allocation[[#This Row],[Quantity allocated]]&lt;=Allocation[[#This Row],[Quantity Processed]]</f>
        <v>1</v>
      </c>
    </row>
    <row r="1267" spans="1:26">
      <c r="A1267" s="247" t="s">
        <v>467</v>
      </c>
      <c r="B1267" s="210" t="s">
        <v>68</v>
      </c>
      <c r="C1267" s="254" t="s">
        <v>1041</v>
      </c>
      <c r="D1267" s="255">
        <v>4036</v>
      </c>
      <c r="E1267" s="211" t="s">
        <v>1877</v>
      </c>
      <c r="F1267" s="212">
        <v>43544</v>
      </c>
      <c r="G1267" s="213">
        <v>2.7</v>
      </c>
      <c r="H1267" s="256">
        <v>1332</v>
      </c>
      <c r="I1267" s="214">
        <v>1446439</v>
      </c>
      <c r="J1267" s="215">
        <v>21600</v>
      </c>
      <c r="K1267" s="212">
        <v>43587</v>
      </c>
      <c r="L1267" s="211" t="s">
        <v>1883</v>
      </c>
      <c r="M1267" s="216">
        <v>4615445946</v>
      </c>
      <c r="N1267" s="212">
        <v>43682</v>
      </c>
      <c r="O1267" s="217">
        <v>3.9611999999999998</v>
      </c>
      <c r="P1267" s="219"/>
      <c r="Q1267" s="34">
        <f>SUMIF(Allocation[Delivery ID],Allocation[[#This Row],[Delivery ID]],Allocation[Quantity Processed])</f>
        <v>12665</v>
      </c>
      <c r="R1267" s="61">
        <f>Allocation[[#This Row],[Total volume used]]/VLOOKUP(Allocation[[#This Row],[Delivery ID]],Delivery[[Delivery ID]:[Quantity delivered]],3,FALSE)</f>
        <v>1</v>
      </c>
      <c r="S1267" s="34">
        <f>Allocation[[#This Row],[Quantity Processed]]/Allocation[[#This Row],[Dilution rate]]</f>
        <v>1494.8148148148148</v>
      </c>
      <c r="T1267" s="59">
        <f>SUMIF(Allocation[Delivery ID],Allocation[[#This Row],[Delivery ID]],Allocation[Quantity allocated])/SUMIF(Allocation[Delivery ID],Allocation[[#This Row],[Delivery ID]],Allocation[Volume available (kg)])</f>
        <v>0.81590882258219166</v>
      </c>
      <c r="U1267" s="61">
        <f>Allocation[[#This Row],[Total volume used]]/VLOOKUP(Allocation[[#This Row],[Delivery ID]],Delivery[[Delivery ID]:[Quantity delivered]],3,FALSE)</f>
        <v>1</v>
      </c>
      <c r="V1267" s="34" t="e">
        <f>VLOOKUP(Allocation[[#This Row],[SAP Contract number]],Shipments[[SAP Contract number]:[Contracted container weight]],2,FALSE)</f>
        <v>#N/A</v>
      </c>
      <c r="W1267" s="34" t="e">
        <f>VLOOKUP(Allocation[[#This Row],[SAP Contract number]],Shipments[[SAP Contract number]:[AAA Premium USD]],24,FALSE)</f>
        <v>#N/A</v>
      </c>
      <c r="X1267" s="34" t="e">
        <f>VLOOKUP(Allocation[[#This Row],[SAP Contract number]],Shipments[[SAP Contract number]:[RA Premium USD]],25,FALSE)</f>
        <v>#N/A</v>
      </c>
      <c r="Y1267" s="38">
        <f>Allocation[[#This Row],[Quantity Processed]]/Allocation[[#This Row],[Quantity allocated]]</f>
        <v>3.03003003003003</v>
      </c>
      <c r="Z1267" s="34" t="b">
        <f>Allocation[[#This Row],[Quantity allocated]]&lt;=Allocation[[#This Row],[Quantity Processed]]</f>
        <v>1</v>
      </c>
    </row>
    <row r="1268" spans="1:26">
      <c r="A1268" s="247" t="s">
        <v>467</v>
      </c>
      <c r="B1268" s="210" t="s">
        <v>68</v>
      </c>
      <c r="C1268" s="254" t="s">
        <v>1042</v>
      </c>
      <c r="D1268" s="255">
        <v>5233</v>
      </c>
      <c r="E1268" s="211" t="s">
        <v>1877</v>
      </c>
      <c r="F1268" s="212">
        <v>43544</v>
      </c>
      <c r="G1268" s="213">
        <v>2.7</v>
      </c>
      <c r="H1268" s="256">
        <v>1727</v>
      </c>
      <c r="I1268" s="214">
        <v>1446439</v>
      </c>
      <c r="J1268" s="215">
        <v>21600</v>
      </c>
      <c r="K1268" s="212">
        <v>43587</v>
      </c>
      <c r="L1268" s="211" t="s">
        <v>1883</v>
      </c>
      <c r="M1268" s="216">
        <v>4615445946</v>
      </c>
      <c r="N1268" s="212">
        <v>43682</v>
      </c>
      <c r="O1268" s="217">
        <v>3.9611999999999998</v>
      </c>
      <c r="P1268" s="219"/>
      <c r="Q1268" s="34">
        <f>SUMIF(Allocation[Delivery ID],Allocation[[#This Row],[Delivery ID]],Allocation[Quantity Processed])</f>
        <v>16416.5</v>
      </c>
      <c r="R1268" s="61">
        <f>Allocation[[#This Row],[Total volume used]]/VLOOKUP(Allocation[[#This Row],[Delivery ID]],Delivery[[Delivery ID]:[Quantity delivered]],3,FALSE)</f>
        <v>1</v>
      </c>
      <c r="S1268" s="34">
        <f>Allocation[[#This Row],[Quantity Processed]]/Allocation[[#This Row],[Dilution rate]]</f>
        <v>1938.148148148148</v>
      </c>
      <c r="T1268" s="59">
        <f>SUMIF(Allocation[Delivery ID],Allocation[[#This Row],[Delivery ID]],Allocation[Quantity allocated])/SUMIF(Allocation[Delivery ID],Allocation[[#This Row],[Delivery ID]],Allocation[Volume available (kg)])</f>
        <v>0.81599988935082768</v>
      </c>
      <c r="U1268" s="61">
        <f>Allocation[[#This Row],[Total volume used]]/VLOOKUP(Allocation[[#This Row],[Delivery ID]],Delivery[[Delivery ID]:[Quantity delivered]],3,FALSE)</f>
        <v>1</v>
      </c>
      <c r="V1268" s="34" t="e">
        <f>VLOOKUP(Allocation[[#This Row],[SAP Contract number]],Shipments[[SAP Contract number]:[Contracted container weight]],2,FALSE)</f>
        <v>#N/A</v>
      </c>
      <c r="W1268" s="34" t="e">
        <f>VLOOKUP(Allocation[[#This Row],[SAP Contract number]],Shipments[[SAP Contract number]:[AAA Premium USD]],24,FALSE)</f>
        <v>#N/A</v>
      </c>
      <c r="X1268" s="34" t="e">
        <f>VLOOKUP(Allocation[[#This Row],[SAP Contract number]],Shipments[[SAP Contract number]:[RA Premium USD]],25,FALSE)</f>
        <v>#N/A</v>
      </c>
      <c r="Y1268" s="38">
        <f>Allocation[[#This Row],[Quantity Processed]]/Allocation[[#This Row],[Quantity allocated]]</f>
        <v>3.0301100173711637</v>
      </c>
      <c r="Z1268" s="34" t="b">
        <f>Allocation[[#This Row],[Quantity allocated]]&lt;=Allocation[[#This Row],[Quantity Processed]]</f>
        <v>1</v>
      </c>
    </row>
    <row r="1269" spans="1:26">
      <c r="A1269" s="247" t="s">
        <v>467</v>
      </c>
      <c r="B1269" s="210" t="s">
        <v>68</v>
      </c>
      <c r="C1269" s="254" t="s">
        <v>1043</v>
      </c>
      <c r="D1269" s="255">
        <v>6229</v>
      </c>
      <c r="E1269" s="211" t="s">
        <v>1877</v>
      </c>
      <c r="F1269" s="212">
        <v>43544</v>
      </c>
      <c r="G1269" s="213">
        <v>2.7</v>
      </c>
      <c r="H1269" s="256">
        <v>2118</v>
      </c>
      <c r="I1269" s="214">
        <v>1446439</v>
      </c>
      <c r="J1269" s="215">
        <v>21600</v>
      </c>
      <c r="K1269" s="212">
        <v>43587</v>
      </c>
      <c r="L1269" s="211" t="s">
        <v>1883</v>
      </c>
      <c r="M1269" s="216">
        <v>4615445946</v>
      </c>
      <c r="N1269" s="212">
        <v>43682</v>
      </c>
      <c r="O1269" s="217">
        <v>3.9611999999999998</v>
      </c>
      <c r="P1269" s="219"/>
      <c r="Q1269" s="34">
        <f>SUMIF(Allocation[Delivery ID],Allocation[[#This Row],[Delivery ID]],Allocation[Quantity Processed])</f>
        <v>20140</v>
      </c>
      <c r="R1269" s="61">
        <f>Allocation[[#This Row],[Total volume used]]/VLOOKUP(Allocation[[#This Row],[Delivery ID]],Delivery[[Delivery ID]:[Quantity delivered]],3,FALSE)</f>
        <v>1</v>
      </c>
      <c r="S1269" s="34">
        <f>Allocation[[#This Row],[Quantity Processed]]/Allocation[[#This Row],[Dilution rate]]</f>
        <v>2307.037037037037</v>
      </c>
      <c r="T1269" s="59">
        <f>SUMIF(Allocation[Delivery ID],Allocation[[#This Row],[Delivery ID]],Allocation[Quantity allocated])/SUMIF(Allocation[Delivery ID],Allocation[[#This Row],[Delivery ID]],Allocation[Volume available (kg)])</f>
        <v>0.8401933700928752</v>
      </c>
      <c r="U1269" s="61">
        <f>Allocation[[#This Row],[Total volume used]]/VLOOKUP(Allocation[[#This Row],[Delivery ID]],Delivery[[Delivery ID]:[Quantity delivered]],3,FALSE)</f>
        <v>1</v>
      </c>
      <c r="V1269" s="34" t="e">
        <f>VLOOKUP(Allocation[[#This Row],[SAP Contract number]],Shipments[[SAP Contract number]:[Contracted container weight]],2,FALSE)</f>
        <v>#N/A</v>
      </c>
      <c r="W1269" s="34" t="e">
        <f>VLOOKUP(Allocation[[#This Row],[SAP Contract number]],Shipments[[SAP Contract number]:[AAA Premium USD]],24,FALSE)</f>
        <v>#N/A</v>
      </c>
      <c r="X1269" s="34" t="e">
        <f>VLOOKUP(Allocation[[#This Row],[SAP Contract number]],Shipments[[SAP Contract number]:[RA Premium USD]],25,FALSE)</f>
        <v>#N/A</v>
      </c>
      <c r="Y1269" s="38">
        <f>Allocation[[#This Row],[Quantity Processed]]/Allocation[[#This Row],[Quantity allocated]]</f>
        <v>2.940982058545798</v>
      </c>
      <c r="Z1269" s="34" t="b">
        <f>Allocation[[#This Row],[Quantity allocated]]&lt;=Allocation[[#This Row],[Quantity Processed]]</f>
        <v>1</v>
      </c>
    </row>
    <row r="1270" spans="1:26">
      <c r="A1270" s="247" t="s">
        <v>467</v>
      </c>
      <c r="B1270" s="210" t="s">
        <v>68</v>
      </c>
      <c r="C1270" s="254" t="s">
        <v>1046</v>
      </c>
      <c r="D1270" s="255">
        <v>3848</v>
      </c>
      <c r="E1270" s="211" t="s">
        <v>1877</v>
      </c>
      <c r="F1270" s="212">
        <v>43544</v>
      </c>
      <c r="G1270" s="213">
        <v>2.7</v>
      </c>
      <c r="H1270" s="256">
        <v>1770</v>
      </c>
      <c r="I1270" s="214">
        <v>1446439</v>
      </c>
      <c r="J1270" s="215">
        <v>21600</v>
      </c>
      <c r="K1270" s="212">
        <v>43587</v>
      </c>
      <c r="L1270" s="211" t="s">
        <v>1883</v>
      </c>
      <c r="M1270" s="216">
        <v>4615445946</v>
      </c>
      <c r="N1270" s="212">
        <v>43682</v>
      </c>
      <c r="O1270" s="217">
        <v>3.9611999999999998</v>
      </c>
      <c r="P1270" s="219"/>
      <c r="Q1270" s="34">
        <f>SUMIF(Allocation[Delivery ID],Allocation[[#This Row],[Delivery ID]],Allocation[Quantity Processed])</f>
        <v>15124</v>
      </c>
      <c r="R1270" s="61">
        <f>Allocation[[#This Row],[Total volume used]]/VLOOKUP(Allocation[[#This Row],[Delivery ID]],Delivery[[Delivery ID]:[Quantity delivered]],3,FALSE)</f>
        <v>0.89879360551494625</v>
      </c>
      <c r="S1270" s="34">
        <f>Allocation[[#This Row],[Quantity Processed]]/Allocation[[#This Row],[Dilution rate]]</f>
        <v>1425.185185185185</v>
      </c>
      <c r="T1270" s="59">
        <f>SUMIF(Allocation[Delivery ID],Allocation[[#This Row],[Delivery ID]],Allocation[Quantity allocated])/SUMIF(Allocation[Delivery ID],Allocation[[#This Row],[Delivery ID]],Allocation[Volume available (kg)])</f>
        <v>1.1481700980151472</v>
      </c>
      <c r="U1270" s="61">
        <f>Allocation[[#This Row],[Total volume used]]/VLOOKUP(Allocation[[#This Row],[Delivery ID]],Delivery[[Delivery ID]:[Quantity delivered]],3,FALSE)</f>
        <v>0.89879360551494625</v>
      </c>
      <c r="V1270" s="34" t="e">
        <f>VLOOKUP(Allocation[[#This Row],[SAP Contract number]],Shipments[[SAP Contract number]:[Contracted container weight]],2,FALSE)</f>
        <v>#N/A</v>
      </c>
      <c r="W1270" s="34" t="e">
        <f>VLOOKUP(Allocation[[#This Row],[SAP Contract number]],Shipments[[SAP Contract number]:[AAA Premium USD]],24,FALSE)</f>
        <v>#N/A</v>
      </c>
      <c r="X1270" s="34" t="e">
        <f>VLOOKUP(Allocation[[#This Row],[SAP Contract number]],Shipments[[SAP Contract number]:[RA Premium USD]],25,FALSE)</f>
        <v>#N/A</v>
      </c>
      <c r="Y1270" s="38">
        <f>Allocation[[#This Row],[Quantity Processed]]/Allocation[[#This Row],[Quantity allocated]]</f>
        <v>2.1740112994350285</v>
      </c>
      <c r="Z1270" s="34" t="b">
        <f>Allocation[[#This Row],[Quantity allocated]]&lt;=Allocation[[#This Row],[Quantity Processed]]</f>
        <v>1</v>
      </c>
    </row>
    <row r="1271" spans="1:26">
      <c r="A1271" s="247" t="s">
        <v>467</v>
      </c>
      <c r="B1271" s="210" t="s">
        <v>68</v>
      </c>
      <c r="C1271" s="254" t="s">
        <v>1047</v>
      </c>
      <c r="D1271" s="255">
        <v>4543</v>
      </c>
      <c r="E1271" s="211" t="s">
        <v>1877</v>
      </c>
      <c r="F1271" s="212">
        <v>43544</v>
      </c>
      <c r="G1271" s="213">
        <v>2.7</v>
      </c>
      <c r="H1271" s="256">
        <v>1908</v>
      </c>
      <c r="I1271" s="214">
        <v>1446439</v>
      </c>
      <c r="J1271" s="215">
        <v>21600</v>
      </c>
      <c r="K1271" s="212">
        <v>43587</v>
      </c>
      <c r="L1271" s="211" t="s">
        <v>1883</v>
      </c>
      <c r="M1271" s="216">
        <v>4615445946</v>
      </c>
      <c r="N1271" s="212">
        <v>43682</v>
      </c>
      <c r="O1271" s="217">
        <v>3.9611999999999998</v>
      </c>
      <c r="P1271" s="219"/>
      <c r="Q1271" s="34">
        <f>SUMIF(Allocation[Delivery ID],Allocation[[#This Row],[Delivery ID]],Allocation[Quantity Processed])</f>
        <v>18140</v>
      </c>
      <c r="R1271" s="61">
        <f>Allocation[[#This Row],[Total volume used]]/VLOOKUP(Allocation[[#This Row],[Delivery ID]],Delivery[[Delivery ID]:[Quantity delivered]],3,FALSE)</f>
        <v>1</v>
      </c>
      <c r="S1271" s="34">
        <f>Allocation[[#This Row],[Quantity Processed]]/Allocation[[#This Row],[Dilution rate]]</f>
        <v>1682.5925925925924</v>
      </c>
      <c r="T1271" s="59">
        <f>SUMIF(Allocation[Delivery ID],Allocation[[#This Row],[Delivery ID]],Allocation[Quantity allocated])/SUMIF(Allocation[Delivery ID],Allocation[[#This Row],[Delivery ID]],Allocation[Volume available (kg)])</f>
        <v>1.0487957952321874</v>
      </c>
      <c r="U1271" s="61">
        <f>Allocation[[#This Row],[Total volume used]]/VLOOKUP(Allocation[[#This Row],[Delivery ID]],Delivery[[Delivery ID]:[Quantity delivered]],3,FALSE)</f>
        <v>1</v>
      </c>
      <c r="V1271" s="34" t="e">
        <f>VLOOKUP(Allocation[[#This Row],[SAP Contract number]],Shipments[[SAP Contract number]:[Contracted container weight]],2,FALSE)</f>
        <v>#N/A</v>
      </c>
      <c r="W1271" s="34" t="e">
        <f>VLOOKUP(Allocation[[#This Row],[SAP Contract number]],Shipments[[SAP Contract number]:[AAA Premium USD]],24,FALSE)</f>
        <v>#N/A</v>
      </c>
      <c r="X1271" s="34" t="e">
        <f>VLOOKUP(Allocation[[#This Row],[SAP Contract number]],Shipments[[SAP Contract number]:[RA Premium USD]],25,FALSE)</f>
        <v>#N/A</v>
      </c>
      <c r="Y1271" s="38">
        <f>Allocation[[#This Row],[Quantity Processed]]/Allocation[[#This Row],[Quantity allocated]]</f>
        <v>2.3810272536687629</v>
      </c>
      <c r="Z1271" s="34" t="b">
        <f>Allocation[[#This Row],[Quantity allocated]]&lt;=Allocation[[#This Row],[Quantity Processed]]</f>
        <v>1</v>
      </c>
    </row>
    <row r="1272" spans="1:26">
      <c r="A1272" s="247" t="s">
        <v>467</v>
      </c>
      <c r="B1272" s="210" t="s">
        <v>68</v>
      </c>
      <c r="C1272" s="254" t="s">
        <v>1048</v>
      </c>
      <c r="D1272" s="255">
        <v>2412</v>
      </c>
      <c r="E1272" s="211" t="s">
        <v>1877</v>
      </c>
      <c r="F1272" s="212">
        <v>43544</v>
      </c>
      <c r="G1272" s="213">
        <v>2.7</v>
      </c>
      <c r="H1272" s="256">
        <v>796</v>
      </c>
      <c r="I1272" s="214">
        <v>1446439</v>
      </c>
      <c r="J1272" s="215">
        <v>21600</v>
      </c>
      <c r="K1272" s="212">
        <v>43587</v>
      </c>
      <c r="L1272" s="211" t="s">
        <v>1883</v>
      </c>
      <c r="M1272" s="216">
        <v>4615445946</v>
      </c>
      <c r="N1272" s="212">
        <v>43682</v>
      </c>
      <c r="O1272" s="217">
        <v>3.9611999999999998</v>
      </c>
      <c r="P1272" s="219"/>
      <c r="Q1272" s="34">
        <f>SUMIF(Allocation[Delivery ID],Allocation[[#This Row],[Delivery ID]],Allocation[Quantity Processed])</f>
        <v>12002</v>
      </c>
      <c r="R1272" s="61">
        <f>Allocation[[#This Row],[Total volume used]]/VLOOKUP(Allocation[[#This Row],[Delivery ID]],Delivery[[Delivery ID]:[Quantity delivered]],3,FALSE)</f>
        <v>1</v>
      </c>
      <c r="S1272" s="34">
        <f>Allocation[[#This Row],[Quantity Processed]]/Allocation[[#This Row],[Dilution rate]]</f>
        <v>893.33333333333326</v>
      </c>
      <c r="T1272" s="59">
        <f>SUMIF(Allocation[Delivery ID],Allocation[[#This Row],[Delivery ID]],Allocation[Quantity allocated])/SUMIF(Allocation[Delivery ID],Allocation[[#This Row],[Delivery ID]],Allocation[Volume available (kg)])</f>
        <v>0.78353734344791937</v>
      </c>
      <c r="U1272" s="61">
        <f>Allocation[[#This Row],[Total volume used]]/VLOOKUP(Allocation[[#This Row],[Delivery ID]],Delivery[[Delivery ID]:[Quantity delivered]],3,FALSE)</f>
        <v>1</v>
      </c>
      <c r="V1272" s="34" t="e">
        <f>VLOOKUP(Allocation[[#This Row],[SAP Contract number]],Shipments[[SAP Contract number]:[Contracted container weight]],2,FALSE)</f>
        <v>#N/A</v>
      </c>
      <c r="W1272" s="34" t="e">
        <f>VLOOKUP(Allocation[[#This Row],[SAP Contract number]],Shipments[[SAP Contract number]:[AAA Premium USD]],24,FALSE)</f>
        <v>#N/A</v>
      </c>
      <c r="X1272" s="34" t="e">
        <f>VLOOKUP(Allocation[[#This Row],[SAP Contract number]],Shipments[[SAP Contract number]:[RA Premium USD]],25,FALSE)</f>
        <v>#N/A</v>
      </c>
      <c r="Y1272" s="38">
        <f>Allocation[[#This Row],[Quantity Processed]]/Allocation[[#This Row],[Quantity allocated]]</f>
        <v>3.0301507537688441</v>
      </c>
      <c r="Z1272" s="34" t="b">
        <f>Allocation[[#This Row],[Quantity allocated]]&lt;=Allocation[[#This Row],[Quantity Processed]]</f>
        <v>1</v>
      </c>
    </row>
    <row r="1273" spans="1:26">
      <c r="A1273" s="247" t="s">
        <v>467</v>
      </c>
      <c r="B1273" s="210" t="s">
        <v>68</v>
      </c>
      <c r="C1273" s="254" t="s">
        <v>1048</v>
      </c>
      <c r="D1273" s="255">
        <v>1412</v>
      </c>
      <c r="E1273" s="211" t="s">
        <v>1877</v>
      </c>
      <c r="F1273" s="212">
        <v>43544</v>
      </c>
      <c r="G1273" s="213">
        <v>2.7</v>
      </c>
      <c r="H1273" s="256">
        <v>466</v>
      </c>
      <c r="I1273" s="214">
        <v>1446440</v>
      </c>
      <c r="J1273" s="215">
        <v>21600</v>
      </c>
      <c r="K1273" s="212">
        <v>43587</v>
      </c>
      <c r="L1273" s="211" t="s">
        <v>1884</v>
      </c>
      <c r="M1273" s="216">
        <v>4615445946</v>
      </c>
      <c r="N1273" s="212">
        <v>43682</v>
      </c>
      <c r="O1273" s="217">
        <v>3.9611999999999998</v>
      </c>
      <c r="P1273" s="219"/>
      <c r="Q1273" s="34">
        <f>SUMIF(Allocation[Delivery ID],Allocation[[#This Row],[Delivery ID]],Allocation[Quantity Processed])</f>
        <v>12002</v>
      </c>
      <c r="R1273" s="61">
        <f>Allocation[[#This Row],[Total volume used]]/VLOOKUP(Allocation[[#This Row],[Delivery ID]],Delivery[[Delivery ID]:[Quantity delivered]],3,FALSE)</f>
        <v>1</v>
      </c>
      <c r="S1273" s="34">
        <f>Allocation[[#This Row],[Quantity Processed]]/Allocation[[#This Row],[Dilution rate]]</f>
        <v>522.96296296296293</v>
      </c>
      <c r="T1273" s="59">
        <f>SUMIF(Allocation[Delivery ID],Allocation[[#This Row],[Delivery ID]],Allocation[Quantity allocated])/SUMIF(Allocation[Delivery ID],Allocation[[#This Row],[Delivery ID]],Allocation[Volume available (kg)])</f>
        <v>0.78353734344791937</v>
      </c>
      <c r="U1273" s="61">
        <f>Allocation[[#This Row],[Total volume used]]/VLOOKUP(Allocation[[#This Row],[Delivery ID]],Delivery[[Delivery ID]:[Quantity delivered]],3,FALSE)</f>
        <v>1</v>
      </c>
      <c r="V1273" s="34" t="e">
        <f>VLOOKUP(Allocation[[#This Row],[SAP Contract number]],Shipments[[SAP Contract number]:[Contracted container weight]],2,FALSE)</f>
        <v>#N/A</v>
      </c>
      <c r="W1273" s="34" t="e">
        <f>VLOOKUP(Allocation[[#This Row],[SAP Contract number]],Shipments[[SAP Contract number]:[AAA Premium USD]],24,FALSE)</f>
        <v>#N/A</v>
      </c>
      <c r="X1273" s="34" t="e">
        <f>VLOOKUP(Allocation[[#This Row],[SAP Contract number]],Shipments[[SAP Contract number]:[RA Premium USD]],25,FALSE)</f>
        <v>#N/A</v>
      </c>
      <c r="Y1273" s="38">
        <f>Allocation[[#This Row],[Quantity Processed]]/Allocation[[#This Row],[Quantity allocated]]</f>
        <v>3.0300429184549356</v>
      </c>
      <c r="Z1273" s="34" t="b">
        <f>Allocation[[#This Row],[Quantity allocated]]&lt;=Allocation[[#This Row],[Quantity Processed]]</f>
        <v>1</v>
      </c>
    </row>
    <row r="1274" spans="1:26">
      <c r="A1274" s="247" t="s">
        <v>467</v>
      </c>
      <c r="B1274" s="210" t="s">
        <v>68</v>
      </c>
      <c r="C1274" s="254" t="s">
        <v>1652</v>
      </c>
      <c r="D1274" s="255">
        <v>922</v>
      </c>
      <c r="E1274" s="211" t="s">
        <v>1877</v>
      </c>
      <c r="F1274" s="212">
        <v>43544</v>
      </c>
      <c r="G1274" s="213">
        <v>2.7</v>
      </c>
      <c r="H1274" s="256">
        <v>415</v>
      </c>
      <c r="I1274" s="214">
        <v>1446440</v>
      </c>
      <c r="J1274" s="215">
        <v>21600</v>
      </c>
      <c r="K1274" s="212">
        <v>43587</v>
      </c>
      <c r="L1274" s="211" t="s">
        <v>1884</v>
      </c>
      <c r="M1274" s="216">
        <v>4615445946</v>
      </c>
      <c r="N1274" s="212">
        <v>43682</v>
      </c>
      <c r="O1274" s="217">
        <v>3.9611999999999998</v>
      </c>
      <c r="P1274" s="219"/>
      <c r="Q1274" s="34">
        <f>SUMIF(Allocation[Delivery ID],Allocation[[#This Row],[Delivery ID]],Allocation[Quantity Processed])</f>
        <v>19074</v>
      </c>
      <c r="R1274" s="61">
        <f>Allocation[[#This Row],[Total volume used]]/VLOOKUP(Allocation[[#This Row],[Delivery ID]],Delivery[[Delivery ID]:[Quantity delivered]],3,FALSE)</f>
        <v>0.61173829377806288</v>
      </c>
      <c r="S1274" s="34">
        <f>Allocation[[#This Row],[Quantity Processed]]/Allocation[[#This Row],[Dilution rate]]</f>
        <v>341.48148148148147</v>
      </c>
      <c r="T1274" s="59">
        <f>SUMIF(Allocation[Delivery ID],Allocation[[#This Row],[Delivery ID]],Allocation[Quantity allocated])/SUMIF(Allocation[Delivery ID],Allocation[[#This Row],[Delivery ID]],Allocation[Volume available (kg)])</f>
        <v>1.1408389842987046</v>
      </c>
      <c r="U1274" s="61">
        <f>Allocation[[#This Row],[Total volume used]]/VLOOKUP(Allocation[[#This Row],[Delivery ID]],Delivery[[Delivery ID]:[Quantity delivered]],3,FALSE)</f>
        <v>0.61173829377806288</v>
      </c>
      <c r="V1274" s="34" t="e">
        <f>VLOOKUP(Allocation[[#This Row],[SAP Contract number]],Shipments[[SAP Contract number]:[Contracted container weight]],2,FALSE)</f>
        <v>#N/A</v>
      </c>
      <c r="W1274" s="34" t="e">
        <f>VLOOKUP(Allocation[[#This Row],[SAP Contract number]],Shipments[[SAP Contract number]:[AAA Premium USD]],24,FALSE)</f>
        <v>#N/A</v>
      </c>
      <c r="X1274" s="34" t="e">
        <f>VLOOKUP(Allocation[[#This Row],[SAP Contract number]],Shipments[[SAP Contract number]:[RA Premium USD]],25,FALSE)</f>
        <v>#N/A</v>
      </c>
      <c r="Y1274" s="38">
        <f>Allocation[[#This Row],[Quantity Processed]]/Allocation[[#This Row],[Quantity allocated]]</f>
        <v>2.221686746987952</v>
      </c>
      <c r="Z1274" s="34" t="b">
        <f>Allocation[[#This Row],[Quantity allocated]]&lt;=Allocation[[#This Row],[Quantity Processed]]</f>
        <v>1</v>
      </c>
    </row>
    <row r="1275" spans="1:26">
      <c r="A1275" s="247" t="s">
        <v>467</v>
      </c>
      <c r="B1275" s="210" t="s">
        <v>68</v>
      </c>
      <c r="C1275" s="254" t="s">
        <v>1654</v>
      </c>
      <c r="D1275" s="255">
        <v>1055</v>
      </c>
      <c r="E1275" s="211" t="s">
        <v>1877</v>
      </c>
      <c r="F1275" s="212">
        <v>43544</v>
      </c>
      <c r="G1275" s="213">
        <v>2.7</v>
      </c>
      <c r="H1275" s="256">
        <v>401</v>
      </c>
      <c r="I1275" s="214">
        <v>1446440</v>
      </c>
      <c r="J1275" s="215">
        <v>21600</v>
      </c>
      <c r="K1275" s="212">
        <v>43587</v>
      </c>
      <c r="L1275" s="211" t="s">
        <v>1884</v>
      </c>
      <c r="M1275" s="216">
        <v>4615445946</v>
      </c>
      <c r="N1275" s="212">
        <v>43682</v>
      </c>
      <c r="O1275" s="217">
        <v>3.9611999999999998</v>
      </c>
      <c r="P1275" s="219"/>
      <c r="Q1275" s="34">
        <f>SUMIF(Allocation[Delivery ID],Allocation[[#This Row],[Delivery ID]],Allocation[Quantity Processed])</f>
        <v>29452</v>
      </c>
      <c r="R1275" s="61">
        <f>Allocation[[#This Row],[Total volume used]]/VLOOKUP(Allocation[[#This Row],[Delivery ID]],Delivery[[Delivery ID]:[Quantity delivered]],3,FALSE)</f>
        <v>0.9311413215301928</v>
      </c>
      <c r="S1275" s="34">
        <f>Allocation[[#This Row],[Quantity Processed]]/Allocation[[#This Row],[Dilution rate]]</f>
        <v>390.7407407407407</v>
      </c>
      <c r="T1275" s="59">
        <f>SUMIF(Allocation[Delivery ID],Allocation[[#This Row],[Delivery ID]],Allocation[Quantity allocated])/SUMIF(Allocation[Delivery ID],Allocation[[#This Row],[Delivery ID]],Allocation[Volume available (kg)])</f>
        <v>0.96872974165984982</v>
      </c>
      <c r="U1275" s="61">
        <f>Allocation[[#This Row],[Total volume used]]/VLOOKUP(Allocation[[#This Row],[Delivery ID]],Delivery[[Delivery ID]:[Quantity delivered]],3,FALSE)</f>
        <v>0.9311413215301928</v>
      </c>
      <c r="V1275" s="34" t="e">
        <f>VLOOKUP(Allocation[[#This Row],[SAP Contract number]],Shipments[[SAP Contract number]:[Contracted container weight]],2,FALSE)</f>
        <v>#N/A</v>
      </c>
      <c r="W1275" s="34" t="e">
        <f>VLOOKUP(Allocation[[#This Row],[SAP Contract number]],Shipments[[SAP Contract number]:[AAA Premium USD]],24,FALSE)</f>
        <v>#N/A</v>
      </c>
      <c r="X1275" s="34" t="e">
        <f>VLOOKUP(Allocation[[#This Row],[SAP Contract number]],Shipments[[SAP Contract number]:[RA Premium USD]],25,FALSE)</f>
        <v>#N/A</v>
      </c>
      <c r="Y1275" s="38">
        <f>Allocation[[#This Row],[Quantity Processed]]/Allocation[[#This Row],[Quantity allocated]]</f>
        <v>2.6309226932668328</v>
      </c>
      <c r="Z1275" s="34" t="b">
        <f>Allocation[[#This Row],[Quantity allocated]]&lt;=Allocation[[#This Row],[Quantity Processed]]</f>
        <v>1</v>
      </c>
    </row>
    <row r="1276" spans="1:26">
      <c r="A1276" s="247" t="s">
        <v>467</v>
      </c>
      <c r="B1276" s="210" t="s">
        <v>68</v>
      </c>
      <c r="C1276" s="254" t="s">
        <v>1657</v>
      </c>
      <c r="D1276" s="255">
        <v>239</v>
      </c>
      <c r="E1276" s="211" t="s">
        <v>1877</v>
      </c>
      <c r="F1276" s="212">
        <v>43544</v>
      </c>
      <c r="G1276" s="213">
        <v>2.7</v>
      </c>
      <c r="H1276" s="256">
        <v>79</v>
      </c>
      <c r="I1276" s="214">
        <v>1446440</v>
      </c>
      <c r="J1276" s="215">
        <v>21600</v>
      </c>
      <c r="K1276" s="212">
        <v>43587</v>
      </c>
      <c r="L1276" s="211" t="s">
        <v>1884</v>
      </c>
      <c r="M1276" s="216">
        <v>4615445946</v>
      </c>
      <c r="N1276" s="212">
        <v>43682</v>
      </c>
      <c r="O1276" s="217">
        <v>3.9611999999999998</v>
      </c>
      <c r="P1276" s="219"/>
      <c r="Q1276" s="34">
        <f>SUMIF(Allocation[Delivery ID],Allocation[[#This Row],[Delivery ID]],Allocation[Quantity Processed])</f>
        <v>1900</v>
      </c>
      <c r="R1276" s="61">
        <f>Allocation[[#This Row],[Total volume used]]/VLOOKUP(Allocation[[#This Row],[Delivery ID]],Delivery[[Delivery ID]:[Quantity delivered]],3,FALSE)</f>
        <v>0.15873015873015872</v>
      </c>
      <c r="S1276" s="34">
        <f>Allocation[[#This Row],[Quantity Processed]]/Allocation[[#This Row],[Dilution rate]]</f>
        <v>88.518518518518519</v>
      </c>
      <c r="T1276" s="59">
        <f>SUMIF(Allocation[Delivery ID],Allocation[[#This Row],[Delivery ID]],Allocation[Quantity allocated])/SUMIF(Allocation[Delivery ID],Allocation[[#This Row],[Delivery ID]],Allocation[Volume available (kg)])</f>
        <v>0.70582737111780935</v>
      </c>
      <c r="U1276" s="61">
        <f>Allocation[[#This Row],[Total volume used]]/VLOOKUP(Allocation[[#This Row],[Delivery ID]],Delivery[[Delivery ID]:[Quantity delivered]],3,FALSE)</f>
        <v>0.15873015873015872</v>
      </c>
      <c r="V1276" s="34" t="e">
        <f>VLOOKUP(Allocation[[#This Row],[SAP Contract number]],Shipments[[SAP Contract number]:[Contracted container weight]],2,FALSE)</f>
        <v>#N/A</v>
      </c>
      <c r="W1276" s="34" t="e">
        <f>VLOOKUP(Allocation[[#This Row],[SAP Contract number]],Shipments[[SAP Contract number]:[AAA Premium USD]],24,FALSE)</f>
        <v>#N/A</v>
      </c>
      <c r="X1276" s="34" t="e">
        <f>VLOOKUP(Allocation[[#This Row],[SAP Contract number]],Shipments[[SAP Contract number]:[RA Premium USD]],25,FALSE)</f>
        <v>#N/A</v>
      </c>
      <c r="Y1276" s="38">
        <f>Allocation[[#This Row],[Quantity Processed]]/Allocation[[#This Row],[Quantity allocated]]</f>
        <v>3.0253164556962027</v>
      </c>
      <c r="Z1276" s="34" t="b">
        <f>Allocation[[#This Row],[Quantity allocated]]&lt;=Allocation[[#This Row],[Quantity Processed]]</f>
        <v>1</v>
      </c>
    </row>
    <row r="1277" spans="1:26">
      <c r="A1277" s="247" t="s">
        <v>467</v>
      </c>
      <c r="B1277" s="210" t="s">
        <v>68</v>
      </c>
      <c r="C1277" s="254" t="s">
        <v>1658</v>
      </c>
      <c r="D1277" s="255">
        <v>1209</v>
      </c>
      <c r="E1277" s="211" t="s">
        <v>1877</v>
      </c>
      <c r="F1277" s="212">
        <v>43544</v>
      </c>
      <c r="G1277" s="213">
        <v>2.7</v>
      </c>
      <c r="H1277" s="256">
        <v>399</v>
      </c>
      <c r="I1277" s="214">
        <v>1446440</v>
      </c>
      <c r="J1277" s="215">
        <v>21600</v>
      </c>
      <c r="K1277" s="212">
        <v>43587</v>
      </c>
      <c r="L1277" s="211" t="s">
        <v>1884</v>
      </c>
      <c r="M1277" s="216">
        <v>4615445946</v>
      </c>
      <c r="N1277" s="212">
        <v>43682</v>
      </c>
      <c r="O1277" s="217">
        <v>3.9611999999999998</v>
      </c>
      <c r="P1277" s="219"/>
      <c r="Q1277" s="34">
        <f>SUMIF(Allocation[Delivery ID],Allocation[[#This Row],[Delivery ID]],Allocation[Quantity Processed])</f>
        <v>24228</v>
      </c>
      <c r="R1277" s="61">
        <f>Allocation[[#This Row],[Total volume used]]/VLOOKUP(Allocation[[#This Row],[Delivery ID]],Delivery[[Delivery ID]:[Quantity delivered]],3,FALSE)</f>
        <v>0.80813875917278188</v>
      </c>
      <c r="S1277" s="34">
        <f>Allocation[[#This Row],[Quantity Processed]]/Allocation[[#This Row],[Dilution rate]]</f>
        <v>447.77777777777777</v>
      </c>
      <c r="T1277" s="59">
        <f>SUMIF(Allocation[Delivery ID],Allocation[[#This Row],[Delivery ID]],Allocation[Quantity allocated])/SUMIF(Allocation[Delivery ID],Allocation[[#This Row],[Delivery ID]],Allocation[Volume available (kg)])</f>
        <v>0.82514851771312481</v>
      </c>
      <c r="U1277" s="61">
        <f>Allocation[[#This Row],[Total volume used]]/VLOOKUP(Allocation[[#This Row],[Delivery ID]],Delivery[[Delivery ID]:[Quantity delivered]],3,FALSE)</f>
        <v>0.80813875917278188</v>
      </c>
      <c r="V1277" s="34" t="e">
        <f>VLOOKUP(Allocation[[#This Row],[SAP Contract number]],Shipments[[SAP Contract number]:[Contracted container weight]],2,FALSE)</f>
        <v>#N/A</v>
      </c>
      <c r="W1277" s="34" t="e">
        <f>VLOOKUP(Allocation[[#This Row],[SAP Contract number]],Shipments[[SAP Contract number]:[AAA Premium USD]],24,FALSE)</f>
        <v>#N/A</v>
      </c>
      <c r="X1277" s="34" t="e">
        <f>VLOOKUP(Allocation[[#This Row],[SAP Contract number]],Shipments[[SAP Contract number]:[RA Premium USD]],25,FALSE)</f>
        <v>#N/A</v>
      </c>
      <c r="Y1277" s="38">
        <f>Allocation[[#This Row],[Quantity Processed]]/Allocation[[#This Row],[Quantity allocated]]</f>
        <v>3.030075187969925</v>
      </c>
      <c r="Z1277" s="34" t="b">
        <f>Allocation[[#This Row],[Quantity allocated]]&lt;=Allocation[[#This Row],[Quantity Processed]]</f>
        <v>1</v>
      </c>
    </row>
    <row r="1278" spans="1:26">
      <c r="A1278" s="247" t="s">
        <v>467</v>
      </c>
      <c r="B1278" s="210" t="s">
        <v>68</v>
      </c>
      <c r="C1278" s="254" t="s">
        <v>1659</v>
      </c>
      <c r="D1278" s="255">
        <v>105</v>
      </c>
      <c r="E1278" s="211" t="s">
        <v>1877</v>
      </c>
      <c r="F1278" s="212">
        <v>43544</v>
      </c>
      <c r="G1278" s="213">
        <v>2.7</v>
      </c>
      <c r="H1278" s="256">
        <v>40</v>
      </c>
      <c r="I1278" s="214">
        <v>1446440</v>
      </c>
      <c r="J1278" s="215">
        <v>21600</v>
      </c>
      <c r="K1278" s="212">
        <v>43587</v>
      </c>
      <c r="L1278" s="211" t="s">
        <v>1884</v>
      </c>
      <c r="M1278" s="216">
        <v>4615445946</v>
      </c>
      <c r="N1278" s="212">
        <v>43682</v>
      </c>
      <c r="O1278" s="217">
        <v>3.9611999999999998</v>
      </c>
      <c r="P1278" s="219"/>
      <c r="Q1278" s="34">
        <f>SUMIF(Allocation[Delivery ID],Allocation[[#This Row],[Delivery ID]],Allocation[Quantity Processed])</f>
        <v>729</v>
      </c>
      <c r="R1278" s="61">
        <f>Allocation[[#This Row],[Total volume used]]/VLOOKUP(Allocation[[#This Row],[Delivery ID]],Delivery[[Delivery ID]:[Quantity delivered]],3,FALSE)</f>
        <v>0.1208955223880597</v>
      </c>
      <c r="S1278" s="34">
        <f>Allocation[[#This Row],[Quantity Processed]]/Allocation[[#This Row],[Dilution rate]]</f>
        <v>38.888888888888886</v>
      </c>
      <c r="T1278" s="59">
        <f>SUMIF(Allocation[Delivery ID],Allocation[[#This Row],[Delivery ID]],Allocation[Quantity allocated])/SUMIF(Allocation[Delivery ID],Allocation[[#This Row],[Delivery ID]],Allocation[Volume available (kg)])</f>
        <v>0.85272132261820344</v>
      </c>
      <c r="U1278" s="61">
        <f>Allocation[[#This Row],[Total volume used]]/VLOOKUP(Allocation[[#This Row],[Delivery ID]],Delivery[[Delivery ID]:[Quantity delivered]],3,FALSE)</f>
        <v>0.1208955223880597</v>
      </c>
      <c r="V1278" s="34" t="e">
        <f>VLOOKUP(Allocation[[#This Row],[SAP Contract number]],Shipments[[SAP Contract number]:[Contracted container weight]],2,FALSE)</f>
        <v>#N/A</v>
      </c>
      <c r="W1278" s="34" t="e">
        <f>VLOOKUP(Allocation[[#This Row],[SAP Contract number]],Shipments[[SAP Contract number]:[AAA Premium USD]],24,FALSE)</f>
        <v>#N/A</v>
      </c>
      <c r="X1278" s="34" t="e">
        <f>VLOOKUP(Allocation[[#This Row],[SAP Contract number]],Shipments[[SAP Contract number]:[RA Premium USD]],25,FALSE)</f>
        <v>#N/A</v>
      </c>
      <c r="Y1278" s="38">
        <f>Allocation[[#This Row],[Quantity Processed]]/Allocation[[#This Row],[Quantity allocated]]</f>
        <v>2.625</v>
      </c>
      <c r="Z1278" s="34" t="b">
        <f>Allocation[[#This Row],[Quantity allocated]]&lt;=Allocation[[#This Row],[Quantity Processed]]</f>
        <v>1</v>
      </c>
    </row>
    <row r="1279" spans="1:26">
      <c r="A1279" s="247" t="s">
        <v>467</v>
      </c>
      <c r="B1279" s="210" t="s">
        <v>68</v>
      </c>
      <c r="C1279" s="254" t="s">
        <v>1064</v>
      </c>
      <c r="D1279" s="255">
        <v>1235</v>
      </c>
      <c r="E1279" s="211" t="s">
        <v>1877</v>
      </c>
      <c r="F1279" s="212">
        <v>43544</v>
      </c>
      <c r="G1279" s="213">
        <v>2.7</v>
      </c>
      <c r="H1279" s="256">
        <v>494</v>
      </c>
      <c r="I1279" s="214">
        <v>1446440</v>
      </c>
      <c r="J1279" s="215">
        <v>21600</v>
      </c>
      <c r="K1279" s="212">
        <v>43587</v>
      </c>
      <c r="L1279" s="211" t="s">
        <v>1884</v>
      </c>
      <c r="M1279" s="216">
        <v>4615445946</v>
      </c>
      <c r="N1279" s="212">
        <v>43682</v>
      </c>
      <c r="O1279" s="217">
        <v>3.9611999999999998</v>
      </c>
      <c r="P1279" s="219"/>
      <c r="Q1279" s="34">
        <f>SUMIF(Allocation[Delivery ID],Allocation[[#This Row],[Delivery ID]],Allocation[Quantity Processed])</f>
        <v>4700.5</v>
      </c>
      <c r="R1279" s="61">
        <f>Allocation[[#This Row],[Total volume used]]/VLOOKUP(Allocation[[#This Row],[Delivery ID]],Delivery[[Delivery ID]:[Quantity delivered]],3,FALSE)</f>
        <v>1</v>
      </c>
      <c r="S1279" s="34">
        <f>Allocation[[#This Row],[Quantity Processed]]/Allocation[[#This Row],[Dilution rate]]</f>
        <v>457.40740740740739</v>
      </c>
      <c r="T1279" s="59">
        <f>SUMIF(Allocation[Delivery ID],Allocation[[#This Row],[Delivery ID]],Allocation[Quantity allocated])/SUMIF(Allocation[Delivery ID],Allocation[[#This Row],[Delivery ID]],Allocation[Volume available (kg)])</f>
        <v>0.99634426923687691</v>
      </c>
      <c r="U1279" s="61">
        <f>Allocation[[#This Row],[Total volume used]]/VLOOKUP(Allocation[[#This Row],[Delivery ID]],Delivery[[Delivery ID]:[Quantity delivered]],3,FALSE)</f>
        <v>1</v>
      </c>
      <c r="V1279" s="34" t="e">
        <f>VLOOKUP(Allocation[[#This Row],[SAP Contract number]],Shipments[[SAP Contract number]:[Contracted container weight]],2,FALSE)</f>
        <v>#N/A</v>
      </c>
      <c r="W1279" s="34" t="e">
        <f>VLOOKUP(Allocation[[#This Row],[SAP Contract number]],Shipments[[SAP Contract number]:[AAA Premium USD]],24,FALSE)</f>
        <v>#N/A</v>
      </c>
      <c r="X1279" s="34" t="e">
        <f>VLOOKUP(Allocation[[#This Row],[SAP Contract number]],Shipments[[SAP Contract number]:[RA Premium USD]],25,FALSE)</f>
        <v>#N/A</v>
      </c>
      <c r="Y1279" s="38">
        <f>Allocation[[#This Row],[Quantity Processed]]/Allocation[[#This Row],[Quantity allocated]]</f>
        <v>2.5</v>
      </c>
      <c r="Z1279" s="34" t="b">
        <f>Allocation[[#This Row],[Quantity allocated]]&lt;=Allocation[[#This Row],[Quantity Processed]]</f>
        <v>1</v>
      </c>
    </row>
    <row r="1280" spans="1:26">
      <c r="A1280" s="247" t="s">
        <v>467</v>
      </c>
      <c r="B1280" s="210" t="s">
        <v>68</v>
      </c>
      <c r="C1280" s="254" t="s">
        <v>1067</v>
      </c>
      <c r="D1280" s="255">
        <v>3442</v>
      </c>
      <c r="E1280" s="211" t="s">
        <v>1877</v>
      </c>
      <c r="F1280" s="212">
        <v>43544</v>
      </c>
      <c r="G1280" s="213">
        <v>2.7</v>
      </c>
      <c r="H1280" s="256">
        <v>1721</v>
      </c>
      <c r="I1280" s="214">
        <v>1446440</v>
      </c>
      <c r="J1280" s="215">
        <v>21600</v>
      </c>
      <c r="K1280" s="212">
        <v>43587</v>
      </c>
      <c r="L1280" s="211" t="s">
        <v>1884</v>
      </c>
      <c r="M1280" s="216">
        <v>4615445946</v>
      </c>
      <c r="N1280" s="212">
        <v>43682</v>
      </c>
      <c r="O1280" s="217">
        <v>3.9611999999999998</v>
      </c>
      <c r="P1280" s="219"/>
      <c r="Q1280" s="34">
        <f>SUMIF(Allocation[Delivery ID],Allocation[[#This Row],[Delivery ID]],Allocation[Quantity Processed])</f>
        <v>13526</v>
      </c>
      <c r="R1280" s="61">
        <f>Allocation[[#This Row],[Total volume used]]/VLOOKUP(Allocation[[#This Row],[Delivery ID]],Delivery[[Delivery ID]:[Quantity delivered]],3,FALSE)</f>
        <v>0.82682315544959961</v>
      </c>
      <c r="S1280" s="34">
        <f>Allocation[[#This Row],[Quantity Processed]]/Allocation[[#This Row],[Dilution rate]]</f>
        <v>1274.8148148148148</v>
      </c>
      <c r="T1280" s="59">
        <f>SUMIF(Allocation[Delivery ID],Allocation[[#This Row],[Delivery ID]],Allocation[Quantity allocated])/SUMIF(Allocation[Delivery ID],Allocation[[#This Row],[Delivery ID]],Allocation[Volume available (kg)])</f>
        <v>1.2481077066953579</v>
      </c>
      <c r="U1280" s="61">
        <f>Allocation[[#This Row],[Total volume used]]/VLOOKUP(Allocation[[#This Row],[Delivery ID]],Delivery[[Delivery ID]:[Quantity delivered]],3,FALSE)</f>
        <v>0.82682315544959961</v>
      </c>
      <c r="V1280" s="34" t="e">
        <f>VLOOKUP(Allocation[[#This Row],[SAP Contract number]],Shipments[[SAP Contract number]:[Contracted container weight]],2,FALSE)</f>
        <v>#N/A</v>
      </c>
      <c r="W1280" s="34" t="e">
        <f>VLOOKUP(Allocation[[#This Row],[SAP Contract number]],Shipments[[SAP Contract number]:[AAA Premium USD]],24,FALSE)</f>
        <v>#N/A</v>
      </c>
      <c r="X1280" s="34" t="e">
        <f>VLOOKUP(Allocation[[#This Row],[SAP Contract number]],Shipments[[SAP Contract number]:[RA Premium USD]],25,FALSE)</f>
        <v>#N/A</v>
      </c>
      <c r="Y1280" s="38">
        <f>Allocation[[#This Row],[Quantity Processed]]/Allocation[[#This Row],[Quantity allocated]]</f>
        <v>2</v>
      </c>
      <c r="Z1280" s="34" t="b">
        <f>Allocation[[#This Row],[Quantity allocated]]&lt;=Allocation[[#This Row],[Quantity Processed]]</f>
        <v>1</v>
      </c>
    </row>
    <row r="1281" spans="1:26">
      <c r="A1281" s="247" t="s">
        <v>467</v>
      </c>
      <c r="B1281" s="210" t="s">
        <v>68</v>
      </c>
      <c r="C1281" s="254" t="s">
        <v>1071</v>
      </c>
      <c r="D1281" s="255">
        <v>9958</v>
      </c>
      <c r="E1281" s="211" t="s">
        <v>1877</v>
      </c>
      <c r="F1281" s="212">
        <v>43544</v>
      </c>
      <c r="G1281" s="213">
        <v>2.7</v>
      </c>
      <c r="H1281" s="256">
        <v>3286</v>
      </c>
      <c r="I1281" s="214">
        <v>1446440</v>
      </c>
      <c r="J1281" s="215">
        <v>21600</v>
      </c>
      <c r="K1281" s="212">
        <v>43587</v>
      </c>
      <c r="L1281" s="211" t="s">
        <v>1884</v>
      </c>
      <c r="M1281" s="216">
        <v>4615445946</v>
      </c>
      <c r="N1281" s="212">
        <v>43682</v>
      </c>
      <c r="O1281" s="217">
        <v>3.9611999999999998</v>
      </c>
      <c r="P1281" s="219"/>
      <c r="Q1281" s="34">
        <f>SUMIF(Allocation[Delivery ID],Allocation[[#This Row],[Delivery ID]],Allocation[Quantity Processed])</f>
        <v>31243</v>
      </c>
      <c r="R1281" s="61">
        <f>Allocation[[#This Row],[Total volume used]]/VLOOKUP(Allocation[[#This Row],[Delivery ID]],Delivery[[Delivery ID]:[Quantity delivered]],3,FALSE)</f>
        <v>1</v>
      </c>
      <c r="S1281" s="34">
        <f>Allocation[[#This Row],[Quantity Processed]]/Allocation[[#This Row],[Dilution rate]]</f>
        <v>3688.1481481481478</v>
      </c>
      <c r="T1281" s="59">
        <f>SUMIF(Allocation[Delivery ID],Allocation[[#This Row],[Delivery ID]],Allocation[Quantity allocated])/SUMIF(Allocation[Delivery ID],Allocation[[#This Row],[Delivery ID]],Allocation[Volume available (kg)])</f>
        <v>0.78364678265018262</v>
      </c>
      <c r="U1281" s="61">
        <f>Allocation[[#This Row],[Total volume used]]/VLOOKUP(Allocation[[#This Row],[Delivery ID]],Delivery[[Delivery ID]:[Quantity delivered]],3,FALSE)</f>
        <v>1</v>
      </c>
      <c r="V1281" s="34" t="e">
        <f>VLOOKUP(Allocation[[#This Row],[SAP Contract number]],Shipments[[SAP Contract number]:[Contracted container weight]],2,FALSE)</f>
        <v>#N/A</v>
      </c>
      <c r="W1281" s="34" t="e">
        <f>VLOOKUP(Allocation[[#This Row],[SAP Contract number]],Shipments[[SAP Contract number]:[AAA Premium USD]],24,FALSE)</f>
        <v>#N/A</v>
      </c>
      <c r="X1281" s="34" t="e">
        <f>VLOOKUP(Allocation[[#This Row],[SAP Contract number]],Shipments[[SAP Contract number]:[RA Premium USD]],25,FALSE)</f>
        <v>#N/A</v>
      </c>
      <c r="Y1281" s="38">
        <f>Allocation[[#This Row],[Quantity Processed]]/Allocation[[#This Row],[Quantity allocated]]</f>
        <v>3.0304321363359707</v>
      </c>
      <c r="Z1281" s="34" t="b">
        <f>Allocation[[#This Row],[Quantity allocated]]&lt;=Allocation[[#This Row],[Quantity Processed]]</f>
        <v>1</v>
      </c>
    </row>
    <row r="1282" spans="1:26">
      <c r="A1282" s="247" t="s">
        <v>467</v>
      </c>
      <c r="B1282" s="210" t="s">
        <v>68</v>
      </c>
      <c r="C1282" s="254" t="s">
        <v>1074</v>
      </c>
      <c r="D1282" s="255">
        <v>9585</v>
      </c>
      <c r="E1282" s="211" t="s">
        <v>1877</v>
      </c>
      <c r="F1282" s="212">
        <v>43544</v>
      </c>
      <c r="G1282" s="213">
        <v>2.7</v>
      </c>
      <c r="H1282" s="256">
        <v>3163</v>
      </c>
      <c r="I1282" s="214">
        <v>1446440</v>
      </c>
      <c r="J1282" s="215">
        <v>21600</v>
      </c>
      <c r="K1282" s="212">
        <v>43587</v>
      </c>
      <c r="L1282" s="211" t="s">
        <v>1884</v>
      </c>
      <c r="M1282" s="216">
        <v>4615445946</v>
      </c>
      <c r="N1282" s="212">
        <v>43682</v>
      </c>
      <c r="O1282" s="217">
        <v>3.9611999999999998</v>
      </c>
      <c r="P1282" s="219"/>
      <c r="Q1282" s="34">
        <f>SUMIF(Allocation[Delivery ID],Allocation[[#This Row],[Delivery ID]],Allocation[Quantity Processed])</f>
        <v>30070</v>
      </c>
      <c r="R1282" s="61">
        <f>Allocation[[#This Row],[Total volume used]]/VLOOKUP(Allocation[[#This Row],[Delivery ID]],Delivery[[Delivery ID]:[Quantity delivered]],3,FALSE)</f>
        <v>1</v>
      </c>
      <c r="S1282" s="34">
        <f>Allocation[[#This Row],[Quantity Processed]]/Allocation[[#This Row],[Dilution rate]]</f>
        <v>3549.9999999999995</v>
      </c>
      <c r="T1282" s="59">
        <f>SUMIF(Allocation[Delivery ID],Allocation[[#This Row],[Delivery ID]],Allocation[Quantity allocated])/SUMIF(Allocation[Delivery ID],Allocation[[#This Row],[Delivery ID]],Allocation[Volume available (kg)])</f>
        <v>0.81441196854888298</v>
      </c>
      <c r="U1282" s="61">
        <f>Allocation[[#This Row],[Total volume used]]/VLOOKUP(Allocation[[#This Row],[Delivery ID]],Delivery[[Delivery ID]:[Quantity delivered]],3,FALSE)</f>
        <v>1</v>
      </c>
      <c r="V1282" s="34" t="e">
        <f>VLOOKUP(Allocation[[#This Row],[SAP Contract number]],Shipments[[SAP Contract number]:[Contracted container weight]],2,FALSE)</f>
        <v>#N/A</v>
      </c>
      <c r="W1282" s="34" t="e">
        <f>VLOOKUP(Allocation[[#This Row],[SAP Contract number]],Shipments[[SAP Contract number]:[AAA Premium USD]],24,FALSE)</f>
        <v>#N/A</v>
      </c>
      <c r="X1282" s="34" t="e">
        <f>VLOOKUP(Allocation[[#This Row],[SAP Contract number]],Shipments[[SAP Contract number]:[RA Premium USD]],25,FALSE)</f>
        <v>#N/A</v>
      </c>
      <c r="Y1282" s="38">
        <f>Allocation[[#This Row],[Quantity Processed]]/Allocation[[#This Row],[Quantity allocated]]</f>
        <v>3.0303509326588682</v>
      </c>
      <c r="Z1282" s="34" t="b">
        <f>Allocation[[#This Row],[Quantity allocated]]&lt;=Allocation[[#This Row],[Quantity Processed]]</f>
        <v>1</v>
      </c>
    </row>
    <row r="1283" spans="1:26">
      <c r="A1283" s="247" t="s">
        <v>467</v>
      </c>
      <c r="B1283" s="210" t="s">
        <v>68</v>
      </c>
      <c r="C1283" s="254" t="s">
        <v>1076</v>
      </c>
      <c r="D1283" s="255">
        <v>2238</v>
      </c>
      <c r="E1283" s="211" t="s">
        <v>1877</v>
      </c>
      <c r="F1283" s="212">
        <v>43544</v>
      </c>
      <c r="G1283" s="213">
        <v>2.7</v>
      </c>
      <c r="H1283" s="256">
        <v>1298</v>
      </c>
      <c r="I1283" s="214">
        <v>1446440</v>
      </c>
      <c r="J1283" s="215">
        <v>21600</v>
      </c>
      <c r="K1283" s="212">
        <v>43587</v>
      </c>
      <c r="L1283" s="211" t="s">
        <v>1884</v>
      </c>
      <c r="M1283" s="216">
        <v>4615445946</v>
      </c>
      <c r="N1283" s="212">
        <v>43682</v>
      </c>
      <c r="O1283" s="217">
        <v>3.9611999999999998</v>
      </c>
      <c r="P1283" s="219"/>
      <c r="Q1283" s="34">
        <f>SUMIF(Allocation[Delivery ID],Allocation[[#This Row],[Delivery ID]],Allocation[Quantity Processed])</f>
        <v>8805</v>
      </c>
      <c r="R1283" s="61">
        <f>Allocation[[#This Row],[Total volume used]]/VLOOKUP(Allocation[[#This Row],[Delivery ID]],Delivery[[Delivery ID]:[Quantity delivered]],3,FALSE)</f>
        <v>0.71341759844433639</v>
      </c>
      <c r="S1283" s="34">
        <f>Allocation[[#This Row],[Quantity Processed]]/Allocation[[#This Row],[Dilution rate]]</f>
        <v>828.8888888888888</v>
      </c>
      <c r="T1283" s="59">
        <f>SUMIF(Allocation[Delivery ID],Allocation[[#This Row],[Delivery ID]],Allocation[Quantity allocated])/SUMIF(Allocation[Delivery ID],Allocation[[#This Row],[Delivery ID]],Allocation[Volume available (kg)])</f>
        <v>1.4474976748977335</v>
      </c>
      <c r="U1283" s="61">
        <f>Allocation[[#This Row],[Total volume used]]/VLOOKUP(Allocation[[#This Row],[Delivery ID]],Delivery[[Delivery ID]:[Quantity delivered]],3,FALSE)</f>
        <v>0.71341759844433639</v>
      </c>
      <c r="V1283" s="34" t="e">
        <f>VLOOKUP(Allocation[[#This Row],[SAP Contract number]],Shipments[[SAP Contract number]:[Contracted container weight]],2,FALSE)</f>
        <v>#N/A</v>
      </c>
      <c r="W1283" s="34" t="e">
        <f>VLOOKUP(Allocation[[#This Row],[SAP Contract number]],Shipments[[SAP Contract number]:[AAA Premium USD]],24,FALSE)</f>
        <v>#N/A</v>
      </c>
      <c r="X1283" s="34" t="e">
        <f>VLOOKUP(Allocation[[#This Row],[SAP Contract number]],Shipments[[SAP Contract number]:[RA Premium USD]],25,FALSE)</f>
        <v>#N/A</v>
      </c>
      <c r="Y1283" s="38">
        <f>Allocation[[#This Row],[Quantity Processed]]/Allocation[[#This Row],[Quantity allocated]]</f>
        <v>1.724191063174114</v>
      </c>
      <c r="Z1283" s="34" t="b">
        <f>Allocation[[#This Row],[Quantity allocated]]&lt;=Allocation[[#This Row],[Quantity Processed]]</f>
        <v>1</v>
      </c>
    </row>
    <row r="1284" spans="1:26">
      <c r="A1284" s="247" t="s">
        <v>467</v>
      </c>
      <c r="B1284" s="210" t="s">
        <v>68</v>
      </c>
      <c r="C1284" s="254" t="s">
        <v>1078</v>
      </c>
      <c r="D1284" s="255">
        <v>4890</v>
      </c>
      <c r="E1284" s="211" t="s">
        <v>1877</v>
      </c>
      <c r="F1284" s="212">
        <v>43544</v>
      </c>
      <c r="G1284" s="213">
        <v>2.7</v>
      </c>
      <c r="H1284" s="256">
        <v>1907</v>
      </c>
      <c r="I1284" s="214">
        <v>1446440</v>
      </c>
      <c r="J1284" s="215">
        <v>21600</v>
      </c>
      <c r="K1284" s="212">
        <v>43587</v>
      </c>
      <c r="L1284" s="211" t="s">
        <v>1884</v>
      </c>
      <c r="M1284" s="216">
        <v>4615445946</v>
      </c>
      <c r="N1284" s="212">
        <v>43682</v>
      </c>
      <c r="O1284" s="217">
        <v>3.9611999999999998</v>
      </c>
      <c r="P1284" s="219"/>
      <c r="Q1284" s="34">
        <f>SUMIF(Allocation[Delivery ID],Allocation[[#This Row],[Delivery ID]],Allocation[Quantity Processed])</f>
        <v>18130</v>
      </c>
      <c r="R1284" s="61">
        <f>Allocation[[#This Row],[Total volume used]]/VLOOKUP(Allocation[[#This Row],[Delivery ID]],Delivery[[Delivery ID]:[Quantity delivered]],3,FALSE)</f>
        <v>1</v>
      </c>
      <c r="S1284" s="34">
        <f>Allocation[[#This Row],[Quantity Processed]]/Allocation[[#This Row],[Dilution rate]]</f>
        <v>1811.1111111111111</v>
      </c>
      <c r="T1284" s="59">
        <f>SUMIF(Allocation[Delivery ID],Allocation[[#This Row],[Delivery ID]],Allocation[Quantity allocated])/SUMIF(Allocation[Delivery ID],Allocation[[#This Row],[Delivery ID]],Allocation[Volume available (kg)])</f>
        <v>0.97337423777567733</v>
      </c>
      <c r="U1284" s="61">
        <f>Allocation[[#This Row],[Total volume used]]/VLOOKUP(Allocation[[#This Row],[Delivery ID]],Delivery[[Delivery ID]:[Quantity delivered]],3,FALSE)</f>
        <v>1</v>
      </c>
      <c r="V1284" s="34" t="e">
        <f>VLOOKUP(Allocation[[#This Row],[SAP Contract number]],Shipments[[SAP Contract number]:[Contracted container weight]],2,FALSE)</f>
        <v>#N/A</v>
      </c>
      <c r="W1284" s="34" t="e">
        <f>VLOOKUP(Allocation[[#This Row],[SAP Contract number]],Shipments[[SAP Contract number]:[AAA Premium USD]],24,FALSE)</f>
        <v>#N/A</v>
      </c>
      <c r="X1284" s="34" t="e">
        <f>VLOOKUP(Allocation[[#This Row],[SAP Contract number]],Shipments[[SAP Contract number]:[RA Premium USD]],25,FALSE)</f>
        <v>#N/A</v>
      </c>
      <c r="Y1284" s="38">
        <f>Allocation[[#This Row],[Quantity Processed]]/Allocation[[#This Row],[Quantity allocated]]</f>
        <v>2.5642370214997379</v>
      </c>
      <c r="Z1284" s="34" t="b">
        <f>Allocation[[#This Row],[Quantity allocated]]&lt;=Allocation[[#This Row],[Quantity Processed]]</f>
        <v>1</v>
      </c>
    </row>
    <row r="1285" spans="1:26">
      <c r="A1285" s="247" t="s">
        <v>467</v>
      </c>
      <c r="B1285" s="210" t="s">
        <v>68</v>
      </c>
      <c r="C1285" s="254" t="s">
        <v>1083</v>
      </c>
      <c r="D1285" s="255">
        <v>3500</v>
      </c>
      <c r="E1285" s="211" t="s">
        <v>1877</v>
      </c>
      <c r="F1285" s="212">
        <v>43544</v>
      </c>
      <c r="G1285" s="213">
        <v>2.7</v>
      </c>
      <c r="H1285" s="256">
        <v>1470</v>
      </c>
      <c r="I1285" s="214">
        <v>1446440</v>
      </c>
      <c r="J1285" s="215">
        <v>21600</v>
      </c>
      <c r="K1285" s="212">
        <v>43587</v>
      </c>
      <c r="L1285" s="211" t="s">
        <v>1884</v>
      </c>
      <c r="M1285" s="216">
        <v>4615445946</v>
      </c>
      <c r="N1285" s="212">
        <v>43682</v>
      </c>
      <c r="O1285" s="217">
        <v>3.9611999999999998</v>
      </c>
      <c r="P1285" s="219"/>
      <c r="Q1285" s="34">
        <f>SUMIF(Allocation[Delivery ID],Allocation[[#This Row],[Delivery ID]],Allocation[Quantity Processed])</f>
        <v>12310</v>
      </c>
      <c r="R1285" s="61">
        <f>Allocation[[#This Row],[Total volume used]]/VLOOKUP(Allocation[[#This Row],[Delivery ID]],Delivery[[Delivery ID]:[Quantity delivered]],3,FALSE)</f>
        <v>0.85694396101635917</v>
      </c>
      <c r="S1285" s="34">
        <f>Allocation[[#This Row],[Quantity Processed]]/Allocation[[#This Row],[Dilution rate]]</f>
        <v>1296.2962962962963</v>
      </c>
      <c r="T1285" s="59">
        <f>SUMIF(Allocation[Delivery ID],Allocation[[#This Row],[Delivery ID]],Allocation[Quantity allocated])/SUMIF(Allocation[Delivery ID],Allocation[[#This Row],[Delivery ID]],Allocation[Volume available (kg)])</f>
        <v>1.0696976228020301</v>
      </c>
      <c r="U1285" s="61">
        <f>Allocation[[#This Row],[Total volume used]]/VLOOKUP(Allocation[[#This Row],[Delivery ID]],Delivery[[Delivery ID]:[Quantity delivered]],3,FALSE)</f>
        <v>0.85694396101635917</v>
      </c>
      <c r="V1285" s="34" t="e">
        <f>VLOOKUP(Allocation[[#This Row],[SAP Contract number]],Shipments[[SAP Contract number]:[Contracted container weight]],2,FALSE)</f>
        <v>#N/A</v>
      </c>
      <c r="W1285" s="34" t="e">
        <f>VLOOKUP(Allocation[[#This Row],[SAP Contract number]],Shipments[[SAP Contract number]:[AAA Premium USD]],24,FALSE)</f>
        <v>#N/A</v>
      </c>
      <c r="X1285" s="34" t="e">
        <f>VLOOKUP(Allocation[[#This Row],[SAP Contract number]],Shipments[[SAP Contract number]:[RA Premium USD]],25,FALSE)</f>
        <v>#N/A</v>
      </c>
      <c r="Y1285" s="38">
        <f>Allocation[[#This Row],[Quantity Processed]]/Allocation[[#This Row],[Quantity allocated]]</f>
        <v>2.3809523809523809</v>
      </c>
      <c r="Z1285" s="34" t="b">
        <f>Allocation[[#This Row],[Quantity allocated]]&lt;=Allocation[[#This Row],[Quantity Processed]]</f>
        <v>1</v>
      </c>
    </row>
    <row r="1286" spans="1:26">
      <c r="A1286" s="247" t="s">
        <v>467</v>
      </c>
      <c r="B1286" s="210" t="s">
        <v>68</v>
      </c>
      <c r="C1286" s="254" t="s">
        <v>1084</v>
      </c>
      <c r="D1286" s="255">
        <v>1905</v>
      </c>
      <c r="E1286" s="211" t="s">
        <v>1877</v>
      </c>
      <c r="F1286" s="212">
        <v>43544</v>
      </c>
      <c r="G1286" s="213">
        <v>2.7</v>
      </c>
      <c r="H1286" s="256">
        <v>800</v>
      </c>
      <c r="I1286" s="214">
        <v>1446440</v>
      </c>
      <c r="J1286" s="215">
        <v>21600</v>
      </c>
      <c r="K1286" s="212">
        <v>43587</v>
      </c>
      <c r="L1286" s="211" t="s">
        <v>1884</v>
      </c>
      <c r="M1286" s="216">
        <v>4615445946</v>
      </c>
      <c r="N1286" s="212">
        <v>43682</v>
      </c>
      <c r="O1286" s="217">
        <v>3.9611999999999998</v>
      </c>
      <c r="P1286" s="219"/>
      <c r="Q1286" s="34">
        <f>SUMIF(Allocation[Delivery ID],Allocation[[#This Row],[Delivery ID]],Allocation[Quantity Processed])</f>
        <v>6696</v>
      </c>
      <c r="R1286" s="61">
        <f>Allocation[[#This Row],[Total volume used]]/VLOOKUP(Allocation[[#This Row],[Delivery ID]],Delivery[[Delivery ID]:[Quantity delivered]],3,FALSE)</f>
        <v>0.85681381957773517</v>
      </c>
      <c r="S1286" s="34">
        <f>Allocation[[#This Row],[Quantity Processed]]/Allocation[[#This Row],[Dilution rate]]</f>
        <v>705.55555555555554</v>
      </c>
      <c r="T1286" s="59">
        <f>SUMIF(Allocation[Delivery ID],Allocation[[#This Row],[Delivery ID]],Allocation[Quantity allocated])/SUMIF(Allocation[Delivery ID],Allocation[[#This Row],[Delivery ID]],Allocation[Volume available (kg)])</f>
        <v>1.0696839892515559</v>
      </c>
      <c r="U1286" s="61">
        <f>Allocation[[#This Row],[Total volume used]]/VLOOKUP(Allocation[[#This Row],[Delivery ID]],Delivery[[Delivery ID]:[Quantity delivered]],3,FALSE)</f>
        <v>0.85681381957773517</v>
      </c>
      <c r="V1286" s="34" t="e">
        <f>VLOOKUP(Allocation[[#This Row],[SAP Contract number]],Shipments[[SAP Contract number]:[Contracted container weight]],2,FALSE)</f>
        <v>#N/A</v>
      </c>
      <c r="W1286" s="34" t="e">
        <f>VLOOKUP(Allocation[[#This Row],[SAP Contract number]],Shipments[[SAP Contract number]:[AAA Premium USD]],24,FALSE)</f>
        <v>#N/A</v>
      </c>
      <c r="X1286" s="34" t="e">
        <f>VLOOKUP(Allocation[[#This Row],[SAP Contract number]],Shipments[[SAP Contract number]:[RA Premium USD]],25,FALSE)</f>
        <v>#N/A</v>
      </c>
      <c r="Y1286" s="38">
        <f>Allocation[[#This Row],[Quantity Processed]]/Allocation[[#This Row],[Quantity allocated]]</f>
        <v>2.3812500000000001</v>
      </c>
      <c r="Z1286" s="34" t="b">
        <f>Allocation[[#This Row],[Quantity allocated]]&lt;=Allocation[[#This Row],[Quantity Processed]]</f>
        <v>1</v>
      </c>
    </row>
    <row r="1287" spans="1:26">
      <c r="A1287" s="247" t="s">
        <v>467</v>
      </c>
      <c r="B1287" s="210" t="s">
        <v>68</v>
      </c>
      <c r="C1287" s="254" t="s">
        <v>1089</v>
      </c>
      <c r="D1287" s="255">
        <v>10207</v>
      </c>
      <c r="E1287" s="211" t="s">
        <v>1877</v>
      </c>
      <c r="F1287" s="212">
        <v>43544</v>
      </c>
      <c r="G1287" s="213">
        <v>2.7</v>
      </c>
      <c r="H1287" s="256">
        <v>3062</v>
      </c>
      <c r="I1287" s="214">
        <v>1446440</v>
      </c>
      <c r="J1287" s="215">
        <v>21600</v>
      </c>
      <c r="K1287" s="212">
        <v>43587</v>
      </c>
      <c r="L1287" s="211" t="s">
        <v>1884</v>
      </c>
      <c r="M1287" s="216">
        <v>4615445946</v>
      </c>
      <c r="N1287" s="212">
        <v>43682</v>
      </c>
      <c r="O1287" s="217">
        <v>3.9611999999999998</v>
      </c>
      <c r="P1287" s="219"/>
      <c r="Q1287" s="34">
        <f>SUMIF(Allocation[Delivery ID],Allocation[[#This Row],[Delivery ID]],Allocation[Quantity Processed])</f>
        <v>29932</v>
      </c>
      <c r="R1287" s="61">
        <f>Allocation[[#This Row],[Total volume used]]/VLOOKUP(Allocation[[#This Row],[Delivery ID]],Delivery[[Delivery ID]:[Quantity delivered]],3,FALSE)</f>
        <v>1</v>
      </c>
      <c r="S1287" s="34">
        <f>Allocation[[#This Row],[Quantity Processed]]/Allocation[[#This Row],[Dilution rate]]</f>
        <v>3780.37037037037</v>
      </c>
      <c r="T1287" s="59">
        <f>SUMIF(Allocation[Delivery ID],Allocation[[#This Row],[Delivery ID]],Allocation[Quantity allocated])/SUMIF(Allocation[Delivery ID],Allocation[[#This Row],[Delivery ID]],Allocation[Volume available (kg)])</f>
        <v>0.74687739269496001</v>
      </c>
      <c r="U1287" s="61">
        <f>Allocation[[#This Row],[Total volume used]]/VLOOKUP(Allocation[[#This Row],[Delivery ID]],Delivery[[Delivery ID]:[Quantity delivered]],3,FALSE)</f>
        <v>1</v>
      </c>
      <c r="V1287" s="34" t="e">
        <f>VLOOKUP(Allocation[[#This Row],[SAP Contract number]],Shipments[[SAP Contract number]:[Contracted container weight]],2,FALSE)</f>
        <v>#N/A</v>
      </c>
      <c r="W1287" s="34" t="e">
        <f>VLOOKUP(Allocation[[#This Row],[SAP Contract number]],Shipments[[SAP Contract number]:[AAA Premium USD]],24,FALSE)</f>
        <v>#N/A</v>
      </c>
      <c r="X1287" s="34" t="e">
        <f>VLOOKUP(Allocation[[#This Row],[SAP Contract number]],Shipments[[SAP Contract number]:[RA Premium USD]],25,FALSE)</f>
        <v>#N/A</v>
      </c>
      <c r="Y1287" s="38">
        <f>Allocation[[#This Row],[Quantity Processed]]/Allocation[[#This Row],[Quantity allocated]]</f>
        <v>3.3334421946440234</v>
      </c>
      <c r="Z1287" s="34" t="b">
        <f>Allocation[[#This Row],[Quantity allocated]]&lt;=Allocation[[#This Row],[Quantity Processed]]</f>
        <v>1</v>
      </c>
    </row>
    <row r="1288" spans="1:26">
      <c r="A1288" s="247" t="s">
        <v>467</v>
      </c>
      <c r="B1288" s="210" t="s">
        <v>68</v>
      </c>
      <c r="C1288" s="254" t="s">
        <v>1090</v>
      </c>
      <c r="D1288" s="255">
        <v>5650</v>
      </c>
      <c r="E1288" s="211" t="s">
        <v>1877</v>
      </c>
      <c r="F1288" s="212">
        <v>43544</v>
      </c>
      <c r="G1288" s="213">
        <v>2.7</v>
      </c>
      <c r="H1288" s="256">
        <v>2599</v>
      </c>
      <c r="I1288" s="214">
        <v>1446440</v>
      </c>
      <c r="J1288" s="215">
        <v>21600</v>
      </c>
      <c r="K1288" s="212">
        <v>43587</v>
      </c>
      <c r="L1288" s="211" t="s">
        <v>1884</v>
      </c>
      <c r="M1288" s="216">
        <v>4615445946</v>
      </c>
      <c r="N1288" s="212">
        <v>43682</v>
      </c>
      <c r="O1288" s="217">
        <v>3.9611999999999998</v>
      </c>
      <c r="P1288" s="219"/>
      <c r="Q1288" s="34">
        <f>SUMIF(Allocation[Delivery ID],Allocation[[#This Row],[Delivery ID]],Allocation[Quantity Processed])</f>
        <v>22447</v>
      </c>
      <c r="R1288" s="61">
        <f>Allocation[[#This Row],[Total volume used]]/VLOOKUP(Allocation[[#This Row],[Delivery ID]],Delivery[[Delivery ID]:[Quantity delivered]],3,FALSE)</f>
        <v>0.78212543554006964</v>
      </c>
      <c r="S1288" s="34">
        <f>Allocation[[#This Row],[Quantity Processed]]/Allocation[[#This Row],[Dilution rate]]</f>
        <v>2092.5925925925926</v>
      </c>
      <c r="T1288" s="59">
        <f>SUMIF(Allocation[Delivery ID],Allocation[[#This Row],[Delivery ID]],Allocation[Quantity allocated])/SUMIF(Allocation[Delivery ID],Allocation[[#This Row],[Delivery ID]],Allocation[Volume available (kg)])</f>
        <v>1.1716289140490868</v>
      </c>
      <c r="U1288" s="61">
        <f>Allocation[[#This Row],[Total volume used]]/VLOOKUP(Allocation[[#This Row],[Delivery ID]],Delivery[[Delivery ID]:[Quantity delivered]],3,FALSE)</f>
        <v>0.78212543554006964</v>
      </c>
      <c r="V1288" s="34" t="e">
        <f>VLOOKUP(Allocation[[#This Row],[SAP Contract number]],Shipments[[SAP Contract number]:[Contracted container weight]],2,FALSE)</f>
        <v>#N/A</v>
      </c>
      <c r="W1288" s="34" t="e">
        <f>VLOOKUP(Allocation[[#This Row],[SAP Contract number]],Shipments[[SAP Contract number]:[AAA Premium USD]],24,FALSE)</f>
        <v>#N/A</v>
      </c>
      <c r="X1288" s="34" t="e">
        <f>VLOOKUP(Allocation[[#This Row],[SAP Contract number]],Shipments[[SAP Contract number]:[RA Premium USD]],25,FALSE)</f>
        <v>#N/A</v>
      </c>
      <c r="Y1288" s="38">
        <f>Allocation[[#This Row],[Quantity Processed]]/Allocation[[#This Row],[Quantity allocated]]</f>
        <v>2.1739130434782608</v>
      </c>
      <c r="Z1288" s="34" t="b">
        <f>Allocation[[#This Row],[Quantity allocated]]&lt;=Allocation[[#This Row],[Quantity Processed]]</f>
        <v>1</v>
      </c>
    </row>
    <row r="1289" spans="1:26">
      <c r="A1289" s="247" t="s">
        <v>467</v>
      </c>
      <c r="B1289" s="210" t="s">
        <v>68</v>
      </c>
      <c r="C1289" s="254" t="s">
        <v>1090</v>
      </c>
      <c r="D1289" s="255">
        <v>733</v>
      </c>
      <c r="E1289" s="211" t="s">
        <v>1877</v>
      </c>
      <c r="F1289" s="212">
        <v>43544</v>
      </c>
      <c r="G1289" s="213">
        <v>2.7</v>
      </c>
      <c r="H1289" s="256">
        <v>337</v>
      </c>
      <c r="I1289" s="214">
        <v>1446441</v>
      </c>
      <c r="J1289" s="215">
        <v>21600</v>
      </c>
      <c r="K1289" s="212">
        <v>43587</v>
      </c>
      <c r="L1289" s="211" t="s">
        <v>1885</v>
      </c>
      <c r="M1289" s="216">
        <v>4615445946</v>
      </c>
      <c r="N1289" s="212">
        <v>43682</v>
      </c>
      <c r="O1289" s="217">
        <v>3.9611999999999998</v>
      </c>
      <c r="P1289" s="219"/>
      <c r="Q1289" s="34">
        <f>SUMIF(Allocation[Delivery ID],Allocation[[#This Row],[Delivery ID]],Allocation[Quantity Processed])</f>
        <v>22447</v>
      </c>
      <c r="R1289" s="61">
        <f>Allocation[[#This Row],[Total volume used]]/VLOOKUP(Allocation[[#This Row],[Delivery ID]],Delivery[[Delivery ID]:[Quantity delivered]],3,FALSE)</f>
        <v>0.78212543554006964</v>
      </c>
      <c r="S1289" s="34">
        <f>Allocation[[#This Row],[Quantity Processed]]/Allocation[[#This Row],[Dilution rate]]</f>
        <v>271.48148148148147</v>
      </c>
      <c r="T1289" s="59">
        <f>SUMIF(Allocation[Delivery ID],Allocation[[#This Row],[Delivery ID]],Allocation[Quantity allocated])/SUMIF(Allocation[Delivery ID],Allocation[[#This Row],[Delivery ID]],Allocation[Volume available (kg)])</f>
        <v>1.1716289140490868</v>
      </c>
      <c r="U1289" s="61">
        <f>Allocation[[#This Row],[Total volume used]]/VLOOKUP(Allocation[[#This Row],[Delivery ID]],Delivery[[Delivery ID]:[Quantity delivered]],3,FALSE)</f>
        <v>0.78212543554006964</v>
      </c>
      <c r="V1289" s="34" t="e">
        <f>VLOOKUP(Allocation[[#This Row],[SAP Contract number]],Shipments[[SAP Contract number]:[Contracted container weight]],2,FALSE)</f>
        <v>#N/A</v>
      </c>
      <c r="W1289" s="34" t="e">
        <f>VLOOKUP(Allocation[[#This Row],[SAP Contract number]],Shipments[[SAP Contract number]:[AAA Premium USD]],24,FALSE)</f>
        <v>#N/A</v>
      </c>
      <c r="X1289" s="34" t="e">
        <f>VLOOKUP(Allocation[[#This Row],[SAP Contract number]],Shipments[[SAP Contract number]:[RA Premium USD]],25,FALSE)</f>
        <v>#N/A</v>
      </c>
      <c r="Y1289" s="38">
        <f>Allocation[[#This Row],[Quantity Processed]]/Allocation[[#This Row],[Quantity allocated]]</f>
        <v>2.1750741839762613</v>
      </c>
      <c r="Z1289" s="34" t="b">
        <f>Allocation[[#This Row],[Quantity allocated]]&lt;=Allocation[[#This Row],[Quantity Processed]]</f>
        <v>1</v>
      </c>
    </row>
    <row r="1290" spans="1:26">
      <c r="A1290" s="247" t="s">
        <v>467</v>
      </c>
      <c r="B1290" s="210" t="s">
        <v>68</v>
      </c>
      <c r="C1290" s="254" t="s">
        <v>1091</v>
      </c>
      <c r="D1290" s="255">
        <v>2399</v>
      </c>
      <c r="E1290" s="211" t="s">
        <v>1877</v>
      </c>
      <c r="F1290" s="212">
        <v>43544</v>
      </c>
      <c r="G1290" s="213">
        <v>2.7</v>
      </c>
      <c r="H1290" s="256">
        <v>1200</v>
      </c>
      <c r="I1290" s="214">
        <v>1446441</v>
      </c>
      <c r="J1290" s="215">
        <v>21600</v>
      </c>
      <c r="K1290" s="212">
        <v>43587</v>
      </c>
      <c r="L1290" s="211" t="s">
        <v>1885</v>
      </c>
      <c r="M1290" s="216">
        <v>4615445946</v>
      </c>
      <c r="N1290" s="212">
        <v>43682</v>
      </c>
      <c r="O1290" s="217">
        <v>3.9611999999999998</v>
      </c>
      <c r="P1290" s="219"/>
      <c r="Q1290" s="34">
        <f>SUMIF(Allocation[Delivery ID],Allocation[[#This Row],[Delivery ID]],Allocation[Quantity Processed])</f>
        <v>12660</v>
      </c>
      <c r="R1290" s="61">
        <f>Allocation[[#This Row],[Total volume used]]/VLOOKUP(Allocation[[#This Row],[Delivery ID]],Delivery[[Delivery ID]:[Quantity delivered]],3,FALSE)</f>
        <v>1</v>
      </c>
      <c r="S1290" s="34">
        <f>Allocation[[#This Row],[Quantity Processed]]/Allocation[[#This Row],[Dilution rate]]</f>
        <v>888.51851851851848</v>
      </c>
      <c r="T1290" s="59">
        <f>SUMIF(Allocation[Delivery ID],Allocation[[#This Row],[Delivery ID]],Allocation[Quantity allocated])/SUMIF(Allocation[Delivery ID],Allocation[[#This Row],[Delivery ID]],Allocation[Volume available (kg)])</f>
        <v>1.1563446163310067</v>
      </c>
      <c r="U1290" s="61">
        <f>Allocation[[#This Row],[Total volume used]]/VLOOKUP(Allocation[[#This Row],[Delivery ID]],Delivery[[Delivery ID]:[Quantity delivered]],3,FALSE)</f>
        <v>1</v>
      </c>
      <c r="V1290" s="34" t="e">
        <f>VLOOKUP(Allocation[[#This Row],[SAP Contract number]],Shipments[[SAP Contract number]:[Contracted container weight]],2,FALSE)</f>
        <v>#N/A</v>
      </c>
      <c r="W1290" s="34" t="e">
        <f>VLOOKUP(Allocation[[#This Row],[SAP Contract number]],Shipments[[SAP Contract number]:[AAA Premium USD]],24,FALSE)</f>
        <v>#N/A</v>
      </c>
      <c r="X1290" s="34" t="e">
        <f>VLOOKUP(Allocation[[#This Row],[SAP Contract number]],Shipments[[SAP Contract number]:[RA Premium USD]],25,FALSE)</f>
        <v>#N/A</v>
      </c>
      <c r="Y1290" s="38">
        <f>Allocation[[#This Row],[Quantity Processed]]/Allocation[[#This Row],[Quantity allocated]]</f>
        <v>1.9991666666666668</v>
      </c>
      <c r="Z1290" s="34" t="b">
        <f>Allocation[[#This Row],[Quantity allocated]]&lt;=Allocation[[#This Row],[Quantity Processed]]</f>
        <v>1</v>
      </c>
    </row>
    <row r="1291" spans="1:26">
      <c r="A1291" s="247" t="s">
        <v>467</v>
      </c>
      <c r="B1291" s="210" t="s">
        <v>68</v>
      </c>
      <c r="C1291" s="254" t="s">
        <v>1666</v>
      </c>
      <c r="D1291" s="255">
        <v>1033</v>
      </c>
      <c r="E1291" s="211" t="s">
        <v>1877</v>
      </c>
      <c r="F1291" s="212">
        <v>43544</v>
      </c>
      <c r="G1291" s="213">
        <v>2.7</v>
      </c>
      <c r="H1291" s="256">
        <v>413</v>
      </c>
      <c r="I1291" s="214">
        <v>1446441</v>
      </c>
      <c r="J1291" s="215">
        <v>21600</v>
      </c>
      <c r="K1291" s="212">
        <v>43587</v>
      </c>
      <c r="L1291" s="211" t="s">
        <v>1885</v>
      </c>
      <c r="M1291" s="216">
        <v>4615445946</v>
      </c>
      <c r="N1291" s="212">
        <v>43682</v>
      </c>
      <c r="O1291" s="217">
        <v>3.9611999999999998</v>
      </c>
      <c r="P1291" s="219"/>
      <c r="Q1291" s="34">
        <f>SUMIF(Allocation[Delivery ID],Allocation[[#This Row],[Delivery ID]],Allocation[Quantity Processed])</f>
        <v>18909</v>
      </c>
      <c r="R1291" s="61">
        <f>Allocation[[#This Row],[Total volume used]]/VLOOKUP(Allocation[[#This Row],[Delivery ID]],Delivery[[Delivery ID]:[Quantity delivered]],3,FALSE)</f>
        <v>0.60954499298873366</v>
      </c>
      <c r="S1291" s="34">
        <f>Allocation[[#This Row],[Quantity Processed]]/Allocation[[#This Row],[Dilution rate]]</f>
        <v>382.59259259259255</v>
      </c>
      <c r="T1291" s="59">
        <f>SUMIF(Allocation[Delivery ID],Allocation[[#This Row],[Delivery ID]],Allocation[Quantity allocated])/SUMIF(Allocation[Delivery ID],Allocation[[#This Row],[Delivery ID]],Allocation[Volume available (kg)])</f>
        <v>1.0107752498483131</v>
      </c>
      <c r="U1291" s="61">
        <f>Allocation[[#This Row],[Total volume used]]/VLOOKUP(Allocation[[#This Row],[Delivery ID]],Delivery[[Delivery ID]:[Quantity delivered]],3,FALSE)</f>
        <v>0.60954499298873366</v>
      </c>
      <c r="V1291" s="34" t="e">
        <f>VLOOKUP(Allocation[[#This Row],[SAP Contract number]],Shipments[[SAP Contract number]:[Contracted container weight]],2,FALSE)</f>
        <v>#N/A</v>
      </c>
      <c r="W1291" s="34" t="e">
        <f>VLOOKUP(Allocation[[#This Row],[SAP Contract number]],Shipments[[SAP Contract number]:[AAA Premium USD]],24,FALSE)</f>
        <v>#N/A</v>
      </c>
      <c r="X1291" s="34" t="e">
        <f>VLOOKUP(Allocation[[#This Row],[SAP Contract number]],Shipments[[SAP Contract number]:[RA Premium USD]],25,FALSE)</f>
        <v>#N/A</v>
      </c>
      <c r="Y1291" s="38">
        <f>Allocation[[#This Row],[Quantity Processed]]/Allocation[[#This Row],[Quantity allocated]]</f>
        <v>2.5012106537530268</v>
      </c>
      <c r="Z1291" s="34" t="b">
        <f>Allocation[[#This Row],[Quantity allocated]]&lt;=Allocation[[#This Row],[Quantity Processed]]</f>
        <v>1</v>
      </c>
    </row>
    <row r="1292" spans="1:26">
      <c r="A1292" s="247" t="s">
        <v>467</v>
      </c>
      <c r="B1292" s="210" t="s">
        <v>68</v>
      </c>
      <c r="C1292" s="254" t="s">
        <v>1104</v>
      </c>
      <c r="D1292" s="255">
        <v>1208</v>
      </c>
      <c r="E1292" s="211" t="s">
        <v>1877</v>
      </c>
      <c r="F1292" s="212">
        <v>43544</v>
      </c>
      <c r="G1292" s="213">
        <v>2.7</v>
      </c>
      <c r="H1292" s="256">
        <v>483</v>
      </c>
      <c r="I1292" s="214">
        <v>1446441</v>
      </c>
      <c r="J1292" s="215">
        <v>21600</v>
      </c>
      <c r="K1292" s="212">
        <v>43587</v>
      </c>
      <c r="L1292" s="211" t="s">
        <v>1885</v>
      </c>
      <c r="M1292" s="216">
        <v>4615445946</v>
      </c>
      <c r="N1292" s="212">
        <v>43682</v>
      </c>
      <c r="O1292" s="217">
        <v>3.9611999999999998</v>
      </c>
      <c r="P1292" s="219"/>
      <c r="Q1292" s="34">
        <f>SUMIF(Allocation[Delivery ID],Allocation[[#This Row],[Delivery ID]],Allocation[Quantity Processed])</f>
        <v>4717.5</v>
      </c>
      <c r="R1292" s="61">
        <f>Allocation[[#This Row],[Total volume used]]/VLOOKUP(Allocation[[#This Row],[Delivery ID]],Delivery[[Delivery ID]:[Quantity delivered]],3,FALSE)</f>
        <v>1</v>
      </c>
      <c r="S1292" s="34">
        <f>Allocation[[#This Row],[Quantity Processed]]/Allocation[[#This Row],[Dilution rate]]</f>
        <v>447.40740740740739</v>
      </c>
      <c r="T1292" s="59">
        <f>SUMIF(Allocation[Delivery ID],Allocation[[#This Row],[Delivery ID]],Allocation[Quantity allocated])/SUMIF(Allocation[Delivery ID],Allocation[[#This Row],[Delivery ID]],Allocation[Volume available (kg)])</f>
        <v>1.0217175128487634</v>
      </c>
      <c r="U1292" s="61">
        <f>Allocation[[#This Row],[Total volume used]]/VLOOKUP(Allocation[[#This Row],[Delivery ID]],Delivery[[Delivery ID]:[Quantity delivered]],3,FALSE)</f>
        <v>1</v>
      </c>
      <c r="V1292" s="34" t="e">
        <f>VLOOKUP(Allocation[[#This Row],[SAP Contract number]],Shipments[[SAP Contract number]:[Contracted container weight]],2,FALSE)</f>
        <v>#N/A</v>
      </c>
      <c r="W1292" s="34" t="e">
        <f>VLOOKUP(Allocation[[#This Row],[SAP Contract number]],Shipments[[SAP Contract number]:[AAA Premium USD]],24,FALSE)</f>
        <v>#N/A</v>
      </c>
      <c r="X1292" s="34" t="e">
        <f>VLOOKUP(Allocation[[#This Row],[SAP Contract number]],Shipments[[SAP Contract number]:[RA Premium USD]],25,FALSE)</f>
        <v>#N/A</v>
      </c>
      <c r="Y1292" s="38">
        <f>Allocation[[#This Row],[Quantity Processed]]/Allocation[[#This Row],[Quantity allocated]]</f>
        <v>2.5010351966873707</v>
      </c>
      <c r="Z1292" s="34" t="b">
        <f>Allocation[[#This Row],[Quantity allocated]]&lt;=Allocation[[#This Row],[Quantity Processed]]</f>
        <v>1</v>
      </c>
    </row>
    <row r="1293" spans="1:26">
      <c r="A1293" s="247" t="s">
        <v>467</v>
      </c>
      <c r="B1293" s="210" t="s">
        <v>68</v>
      </c>
      <c r="C1293" s="254" t="s">
        <v>1667</v>
      </c>
      <c r="D1293" s="255">
        <v>5940</v>
      </c>
      <c r="E1293" s="211" t="s">
        <v>1877</v>
      </c>
      <c r="F1293" s="212">
        <v>43544</v>
      </c>
      <c r="G1293" s="213">
        <v>2.7</v>
      </c>
      <c r="H1293" s="256">
        <v>1782</v>
      </c>
      <c r="I1293" s="214">
        <v>1446441</v>
      </c>
      <c r="J1293" s="215">
        <v>21600</v>
      </c>
      <c r="K1293" s="212">
        <v>43587</v>
      </c>
      <c r="L1293" s="211" t="s">
        <v>1885</v>
      </c>
      <c r="M1293" s="216">
        <v>4615445946</v>
      </c>
      <c r="N1293" s="212">
        <v>43682</v>
      </c>
      <c r="O1293" s="217">
        <v>3.9611999999999998</v>
      </c>
      <c r="P1293" s="219"/>
      <c r="Q1293" s="34">
        <f>SUMIF(Allocation[Delivery ID],Allocation[[#This Row],[Delivery ID]],Allocation[Quantity Processed])</f>
        <v>16603</v>
      </c>
      <c r="R1293" s="61">
        <f>Allocation[[#This Row],[Total volume used]]/VLOOKUP(Allocation[[#This Row],[Delivery ID]],Delivery[[Delivery ID]:[Quantity delivered]],3,FALSE)</f>
        <v>0.71245279780295223</v>
      </c>
      <c r="S1293" s="34">
        <f>Allocation[[#This Row],[Quantity Processed]]/Allocation[[#This Row],[Dilution rate]]</f>
        <v>2200</v>
      </c>
      <c r="T1293" s="59">
        <f>SUMIF(Allocation[Delivery ID],Allocation[[#This Row],[Delivery ID]],Allocation[Quantity allocated])/SUMIF(Allocation[Delivery ID],Allocation[[#This Row],[Delivery ID]],Allocation[Volume available (kg)])</f>
        <v>0.80065042016330834</v>
      </c>
      <c r="U1293" s="61">
        <f>Allocation[[#This Row],[Total volume used]]/VLOOKUP(Allocation[[#This Row],[Delivery ID]],Delivery[[Delivery ID]:[Quantity delivered]],3,FALSE)</f>
        <v>0.71245279780295223</v>
      </c>
      <c r="V1293" s="34" t="e">
        <f>VLOOKUP(Allocation[[#This Row],[SAP Contract number]],Shipments[[SAP Contract number]:[Contracted container weight]],2,FALSE)</f>
        <v>#N/A</v>
      </c>
      <c r="W1293" s="34" t="e">
        <f>VLOOKUP(Allocation[[#This Row],[SAP Contract number]],Shipments[[SAP Contract number]:[AAA Premium USD]],24,FALSE)</f>
        <v>#N/A</v>
      </c>
      <c r="X1293" s="34" t="e">
        <f>VLOOKUP(Allocation[[#This Row],[SAP Contract number]],Shipments[[SAP Contract number]:[RA Premium USD]],25,FALSE)</f>
        <v>#N/A</v>
      </c>
      <c r="Y1293" s="38">
        <f>Allocation[[#This Row],[Quantity Processed]]/Allocation[[#This Row],[Quantity allocated]]</f>
        <v>3.3333333333333335</v>
      </c>
      <c r="Z1293" s="34" t="b">
        <f>Allocation[[#This Row],[Quantity allocated]]&lt;=Allocation[[#This Row],[Quantity Processed]]</f>
        <v>1</v>
      </c>
    </row>
    <row r="1294" spans="1:26">
      <c r="A1294" s="247" t="s">
        <v>467</v>
      </c>
      <c r="B1294" s="210" t="s">
        <v>68</v>
      </c>
      <c r="C1294" s="254" t="s">
        <v>1105</v>
      </c>
      <c r="D1294" s="255">
        <v>3543</v>
      </c>
      <c r="E1294" s="211" t="s">
        <v>1877</v>
      </c>
      <c r="F1294" s="212">
        <v>43544</v>
      </c>
      <c r="G1294" s="213">
        <v>2.7</v>
      </c>
      <c r="H1294" s="256">
        <v>1417</v>
      </c>
      <c r="I1294" s="214">
        <v>1446441</v>
      </c>
      <c r="J1294" s="215">
        <v>21600</v>
      </c>
      <c r="K1294" s="212">
        <v>43587</v>
      </c>
      <c r="L1294" s="211" t="s">
        <v>1885</v>
      </c>
      <c r="M1294" s="216">
        <v>4615445946</v>
      </c>
      <c r="N1294" s="212">
        <v>43682</v>
      </c>
      <c r="O1294" s="217">
        <v>3.9611999999999998</v>
      </c>
      <c r="P1294" s="219"/>
      <c r="Q1294" s="34">
        <f>SUMIF(Allocation[Delivery ID],Allocation[[#This Row],[Delivery ID]],Allocation[Quantity Processed])</f>
        <v>12457</v>
      </c>
      <c r="R1294" s="61">
        <f>Allocation[[#This Row],[Total volume used]]/VLOOKUP(Allocation[[#This Row],[Delivery ID]],Delivery[[Delivery ID]:[Quantity delivered]],3,FALSE)</f>
        <v>0.89961724561276812</v>
      </c>
      <c r="S1294" s="34">
        <f>Allocation[[#This Row],[Quantity Processed]]/Allocation[[#This Row],[Dilution rate]]</f>
        <v>1312.2222222222222</v>
      </c>
      <c r="T1294" s="59">
        <f>SUMIF(Allocation[Delivery ID],Allocation[[#This Row],[Delivery ID]],Allocation[Quantity allocated])/SUMIF(Allocation[Delivery ID],Allocation[[#This Row],[Delivery ID]],Allocation[Volume available (kg)])</f>
        <v>1.0187170394824583</v>
      </c>
      <c r="U1294" s="61">
        <f>Allocation[[#This Row],[Total volume used]]/VLOOKUP(Allocation[[#This Row],[Delivery ID]],Delivery[[Delivery ID]:[Quantity delivered]],3,FALSE)</f>
        <v>0.89961724561276812</v>
      </c>
      <c r="V1294" s="34" t="e">
        <f>VLOOKUP(Allocation[[#This Row],[SAP Contract number]],Shipments[[SAP Contract number]:[Contracted container weight]],2,FALSE)</f>
        <v>#N/A</v>
      </c>
      <c r="W1294" s="34" t="e">
        <f>VLOOKUP(Allocation[[#This Row],[SAP Contract number]],Shipments[[SAP Contract number]:[AAA Premium USD]],24,FALSE)</f>
        <v>#N/A</v>
      </c>
      <c r="X1294" s="34" t="e">
        <f>VLOOKUP(Allocation[[#This Row],[SAP Contract number]],Shipments[[SAP Contract number]:[RA Premium USD]],25,FALSE)</f>
        <v>#N/A</v>
      </c>
      <c r="Y1294" s="38">
        <f>Allocation[[#This Row],[Quantity Processed]]/Allocation[[#This Row],[Quantity allocated]]</f>
        <v>2.5003528581510235</v>
      </c>
      <c r="Z1294" s="34" t="b">
        <f>Allocation[[#This Row],[Quantity allocated]]&lt;=Allocation[[#This Row],[Quantity Processed]]</f>
        <v>1</v>
      </c>
    </row>
    <row r="1295" spans="1:26">
      <c r="A1295" s="247" t="s">
        <v>467</v>
      </c>
      <c r="B1295" s="210" t="s">
        <v>68</v>
      </c>
      <c r="C1295" s="254" t="s">
        <v>1109</v>
      </c>
      <c r="D1295" s="255">
        <v>6800</v>
      </c>
      <c r="E1295" s="211" t="s">
        <v>1877</v>
      </c>
      <c r="F1295" s="212">
        <v>43544</v>
      </c>
      <c r="G1295" s="213">
        <v>2.7</v>
      </c>
      <c r="H1295" s="256">
        <v>2380</v>
      </c>
      <c r="I1295" s="214">
        <v>1446441</v>
      </c>
      <c r="J1295" s="215">
        <v>21600</v>
      </c>
      <c r="K1295" s="212">
        <v>43587</v>
      </c>
      <c r="L1295" s="211" t="s">
        <v>1885</v>
      </c>
      <c r="M1295" s="216">
        <v>4615445946</v>
      </c>
      <c r="N1295" s="212">
        <v>43682</v>
      </c>
      <c r="O1295" s="217">
        <v>3.9611999999999998</v>
      </c>
      <c r="P1295" s="219"/>
      <c r="Q1295" s="34">
        <f>SUMIF(Allocation[Delivery ID],Allocation[[#This Row],[Delivery ID]],Allocation[Quantity Processed])</f>
        <v>23260</v>
      </c>
      <c r="R1295" s="61">
        <f>Allocation[[#This Row],[Total volume used]]/VLOOKUP(Allocation[[#This Row],[Delivery ID]],Delivery[[Delivery ID]:[Quantity delivered]],3,FALSE)</f>
        <v>1</v>
      </c>
      <c r="S1295" s="34">
        <f>Allocation[[#This Row],[Quantity Processed]]/Allocation[[#This Row],[Dilution rate]]</f>
        <v>2518.5185185185182</v>
      </c>
      <c r="T1295" s="59">
        <f>SUMIF(Allocation[Delivery ID],Allocation[[#This Row],[Delivery ID]],Allocation[Quantity allocated])/SUMIF(Allocation[Delivery ID],Allocation[[#This Row],[Delivery ID]],Allocation[Volume available (kg)])</f>
        <v>0.89085097920131462</v>
      </c>
      <c r="U1295" s="61">
        <f>Allocation[[#This Row],[Total volume used]]/VLOOKUP(Allocation[[#This Row],[Delivery ID]],Delivery[[Delivery ID]:[Quantity delivered]],3,FALSE)</f>
        <v>1</v>
      </c>
      <c r="V1295" s="34" t="e">
        <f>VLOOKUP(Allocation[[#This Row],[SAP Contract number]],Shipments[[SAP Contract number]:[Contracted container weight]],2,FALSE)</f>
        <v>#N/A</v>
      </c>
      <c r="W1295" s="34" t="e">
        <f>VLOOKUP(Allocation[[#This Row],[SAP Contract number]],Shipments[[SAP Contract number]:[AAA Premium USD]],24,FALSE)</f>
        <v>#N/A</v>
      </c>
      <c r="X1295" s="34" t="e">
        <f>VLOOKUP(Allocation[[#This Row],[SAP Contract number]],Shipments[[SAP Contract number]:[RA Premium USD]],25,FALSE)</f>
        <v>#N/A</v>
      </c>
      <c r="Y1295" s="38">
        <f>Allocation[[#This Row],[Quantity Processed]]/Allocation[[#This Row],[Quantity allocated]]</f>
        <v>2.8571428571428572</v>
      </c>
      <c r="Z1295" s="34" t="b">
        <f>Allocation[[#This Row],[Quantity allocated]]&lt;=Allocation[[#This Row],[Quantity Processed]]</f>
        <v>1</v>
      </c>
    </row>
    <row r="1296" spans="1:26">
      <c r="A1296" s="247" t="s">
        <v>467</v>
      </c>
      <c r="B1296" s="210" t="s">
        <v>68</v>
      </c>
      <c r="C1296" s="254" t="s">
        <v>1116</v>
      </c>
      <c r="D1296" s="255">
        <v>7224</v>
      </c>
      <c r="E1296" s="211" t="s">
        <v>1877</v>
      </c>
      <c r="F1296" s="212">
        <v>43544</v>
      </c>
      <c r="G1296" s="213">
        <v>2.7</v>
      </c>
      <c r="H1296" s="256">
        <v>2456</v>
      </c>
      <c r="I1296" s="214">
        <v>1446441</v>
      </c>
      <c r="J1296" s="215">
        <v>21600</v>
      </c>
      <c r="K1296" s="212">
        <v>43587</v>
      </c>
      <c r="L1296" s="211" t="s">
        <v>1885</v>
      </c>
      <c r="M1296" s="216">
        <v>4615445946</v>
      </c>
      <c r="N1296" s="212">
        <v>43682</v>
      </c>
      <c r="O1296" s="217">
        <v>3.9611999999999998</v>
      </c>
      <c r="P1296" s="219"/>
      <c r="Q1296" s="34">
        <f>SUMIF(Allocation[Delivery ID],Allocation[[#This Row],[Delivery ID]],Allocation[Quantity Processed])</f>
        <v>24010</v>
      </c>
      <c r="R1296" s="61">
        <f>Allocation[[#This Row],[Total volume used]]/VLOOKUP(Allocation[[#This Row],[Delivery ID]],Delivery[[Delivery ID]:[Quantity delivered]],3,FALSE)</f>
        <v>1</v>
      </c>
      <c r="S1296" s="34">
        <f>Allocation[[#This Row],[Quantity Processed]]/Allocation[[#This Row],[Dilution rate]]</f>
        <v>2675.5555555555552</v>
      </c>
      <c r="T1296" s="59">
        <f>SUMIF(Allocation[Delivery ID],Allocation[[#This Row],[Delivery ID]],Allocation[Quantity allocated])/SUMIF(Allocation[Delivery ID],Allocation[[#This Row],[Delivery ID]],Allocation[Volume available (kg)])</f>
        <v>0.86627879989489276</v>
      </c>
      <c r="U1296" s="61">
        <f>Allocation[[#This Row],[Total volume used]]/VLOOKUP(Allocation[[#This Row],[Delivery ID]],Delivery[[Delivery ID]:[Quantity delivered]],3,FALSE)</f>
        <v>1</v>
      </c>
      <c r="V1296" s="34" t="e">
        <f>VLOOKUP(Allocation[[#This Row],[SAP Contract number]],Shipments[[SAP Contract number]:[Contracted container weight]],2,FALSE)</f>
        <v>#N/A</v>
      </c>
      <c r="W1296" s="34" t="e">
        <f>VLOOKUP(Allocation[[#This Row],[SAP Contract number]],Shipments[[SAP Contract number]:[AAA Premium USD]],24,FALSE)</f>
        <v>#N/A</v>
      </c>
      <c r="X1296" s="34" t="e">
        <f>VLOOKUP(Allocation[[#This Row],[SAP Contract number]],Shipments[[SAP Contract number]:[RA Premium USD]],25,FALSE)</f>
        <v>#N/A</v>
      </c>
      <c r="Y1296" s="38">
        <f>Allocation[[#This Row],[Quantity Processed]]/Allocation[[#This Row],[Quantity allocated]]</f>
        <v>2.9413680781758957</v>
      </c>
      <c r="Z1296" s="34" t="b">
        <f>Allocation[[#This Row],[Quantity allocated]]&lt;=Allocation[[#This Row],[Quantity Processed]]</f>
        <v>1</v>
      </c>
    </row>
    <row r="1297" spans="1:26">
      <c r="A1297" s="247" t="s">
        <v>467</v>
      </c>
      <c r="B1297" s="210" t="s">
        <v>68</v>
      </c>
      <c r="C1297" s="254" t="s">
        <v>1669</v>
      </c>
      <c r="D1297" s="255">
        <v>785</v>
      </c>
      <c r="E1297" s="211" t="s">
        <v>1877</v>
      </c>
      <c r="F1297" s="212">
        <v>43544</v>
      </c>
      <c r="G1297" s="213">
        <v>2.7</v>
      </c>
      <c r="H1297" s="256">
        <v>314</v>
      </c>
      <c r="I1297" s="214">
        <v>1446441</v>
      </c>
      <c r="J1297" s="215">
        <v>21600</v>
      </c>
      <c r="K1297" s="212">
        <v>43587</v>
      </c>
      <c r="L1297" s="211" t="s">
        <v>1885</v>
      </c>
      <c r="M1297" s="216">
        <v>4615445946</v>
      </c>
      <c r="N1297" s="212">
        <v>43682</v>
      </c>
      <c r="O1297" s="217">
        <v>3.9611999999999998</v>
      </c>
      <c r="P1297" s="219"/>
      <c r="Q1297" s="34">
        <f>SUMIF(Allocation[Delivery ID],Allocation[[#This Row],[Delivery ID]],Allocation[Quantity Processed])</f>
        <v>18270</v>
      </c>
      <c r="R1297" s="61">
        <f>Allocation[[#This Row],[Total volume used]]/VLOOKUP(Allocation[[#This Row],[Delivery ID]],Delivery[[Delivery ID]:[Quantity delivered]],3,FALSE)</f>
        <v>0.77591149427728112</v>
      </c>
      <c r="S1297" s="34">
        <f>Allocation[[#This Row],[Quantity Processed]]/Allocation[[#This Row],[Dilution rate]]</f>
        <v>290.7407407407407</v>
      </c>
      <c r="T1297" s="59">
        <f>SUMIF(Allocation[Delivery ID],Allocation[[#This Row],[Delivery ID]],Allocation[Quantity allocated])/SUMIF(Allocation[Delivery ID],Allocation[[#This Row],[Delivery ID]],Allocation[Volume available (kg)])</f>
        <v>1.0169862938572127</v>
      </c>
      <c r="U1297" s="61">
        <f>Allocation[[#This Row],[Total volume used]]/VLOOKUP(Allocation[[#This Row],[Delivery ID]],Delivery[[Delivery ID]:[Quantity delivered]],3,FALSE)</f>
        <v>0.77591149427728112</v>
      </c>
      <c r="V1297" s="34" t="e">
        <f>VLOOKUP(Allocation[[#This Row],[SAP Contract number]],Shipments[[SAP Contract number]:[Contracted container weight]],2,FALSE)</f>
        <v>#N/A</v>
      </c>
      <c r="W1297" s="34" t="e">
        <f>VLOOKUP(Allocation[[#This Row],[SAP Contract number]],Shipments[[SAP Contract number]:[AAA Premium USD]],24,FALSE)</f>
        <v>#N/A</v>
      </c>
      <c r="X1297" s="34" t="e">
        <f>VLOOKUP(Allocation[[#This Row],[SAP Contract number]],Shipments[[SAP Contract number]:[RA Premium USD]],25,FALSE)</f>
        <v>#N/A</v>
      </c>
      <c r="Y1297" s="38">
        <f>Allocation[[#This Row],[Quantity Processed]]/Allocation[[#This Row],[Quantity allocated]]</f>
        <v>2.5</v>
      </c>
      <c r="Z1297" s="34" t="b">
        <f>Allocation[[#This Row],[Quantity allocated]]&lt;=Allocation[[#This Row],[Quantity Processed]]</f>
        <v>1</v>
      </c>
    </row>
    <row r="1298" spans="1:26">
      <c r="A1298" s="247" t="s">
        <v>467</v>
      </c>
      <c r="B1298" s="210" t="s">
        <v>68</v>
      </c>
      <c r="C1298" s="254" t="s">
        <v>1670</v>
      </c>
      <c r="D1298" s="255">
        <v>133</v>
      </c>
      <c r="E1298" s="211" t="s">
        <v>1877</v>
      </c>
      <c r="F1298" s="212">
        <v>43544</v>
      </c>
      <c r="G1298" s="213">
        <v>2.7</v>
      </c>
      <c r="H1298" s="256">
        <v>53</v>
      </c>
      <c r="I1298" s="214">
        <v>1446441</v>
      </c>
      <c r="J1298" s="215">
        <v>21600</v>
      </c>
      <c r="K1298" s="212">
        <v>43587</v>
      </c>
      <c r="L1298" s="211" t="s">
        <v>1885</v>
      </c>
      <c r="M1298" s="216">
        <v>4615445946</v>
      </c>
      <c r="N1298" s="212">
        <v>43682</v>
      </c>
      <c r="O1298" s="217">
        <v>3.9611999999999998</v>
      </c>
      <c r="P1298" s="219"/>
      <c r="Q1298" s="34">
        <f>SUMIF(Allocation[Delivery ID],Allocation[[#This Row],[Delivery ID]],Allocation[Quantity Processed])</f>
        <v>915</v>
      </c>
      <c r="R1298" s="61">
        <f>Allocation[[#This Row],[Total volume used]]/VLOOKUP(Allocation[[#This Row],[Delivery ID]],Delivery[[Delivery ID]:[Quantity delivered]],3,FALSE)</f>
        <v>0.11506539235412475</v>
      </c>
      <c r="S1298" s="34">
        <f>Allocation[[#This Row],[Quantity Processed]]/Allocation[[#This Row],[Dilution rate]]</f>
        <v>49.25925925925926</v>
      </c>
      <c r="T1298" s="59">
        <f>SUMIF(Allocation[Delivery ID],Allocation[[#This Row],[Delivery ID]],Allocation[Quantity allocated])/SUMIF(Allocation[Delivery ID],Allocation[[#This Row],[Delivery ID]],Allocation[Volume available (kg)])</f>
        <v>0.89539346592143143</v>
      </c>
      <c r="U1298" s="61">
        <f>Allocation[[#This Row],[Total volume used]]/VLOOKUP(Allocation[[#This Row],[Delivery ID]],Delivery[[Delivery ID]:[Quantity delivered]],3,FALSE)</f>
        <v>0.11506539235412475</v>
      </c>
      <c r="V1298" s="34" t="e">
        <f>VLOOKUP(Allocation[[#This Row],[SAP Contract number]],Shipments[[SAP Contract number]:[Contracted container weight]],2,FALSE)</f>
        <v>#N/A</v>
      </c>
      <c r="W1298" s="34" t="e">
        <f>VLOOKUP(Allocation[[#This Row],[SAP Contract number]],Shipments[[SAP Contract number]:[AAA Premium USD]],24,FALSE)</f>
        <v>#N/A</v>
      </c>
      <c r="X1298" s="34" t="e">
        <f>VLOOKUP(Allocation[[#This Row],[SAP Contract number]],Shipments[[SAP Contract number]:[RA Premium USD]],25,FALSE)</f>
        <v>#N/A</v>
      </c>
      <c r="Y1298" s="38">
        <f>Allocation[[#This Row],[Quantity Processed]]/Allocation[[#This Row],[Quantity allocated]]</f>
        <v>2.5094339622641511</v>
      </c>
      <c r="Z1298" s="34" t="b">
        <f>Allocation[[#This Row],[Quantity allocated]]&lt;=Allocation[[#This Row],[Quantity Processed]]</f>
        <v>1</v>
      </c>
    </row>
    <row r="1299" spans="1:26">
      <c r="A1299" s="247" t="s">
        <v>467</v>
      </c>
      <c r="B1299" s="210" t="s">
        <v>68</v>
      </c>
      <c r="C1299" s="254" t="s">
        <v>1671</v>
      </c>
      <c r="D1299" s="255">
        <v>1043</v>
      </c>
      <c r="E1299" s="211" t="s">
        <v>1877</v>
      </c>
      <c r="F1299" s="212">
        <v>43544</v>
      </c>
      <c r="G1299" s="213">
        <v>2.7</v>
      </c>
      <c r="H1299" s="256">
        <v>417</v>
      </c>
      <c r="I1299" s="214">
        <v>1446441</v>
      </c>
      <c r="J1299" s="215">
        <v>21600</v>
      </c>
      <c r="K1299" s="212">
        <v>43587</v>
      </c>
      <c r="L1299" s="211" t="s">
        <v>1885</v>
      </c>
      <c r="M1299" s="216">
        <v>4615445946</v>
      </c>
      <c r="N1299" s="212">
        <v>43682</v>
      </c>
      <c r="O1299" s="217">
        <v>3.9611999999999998</v>
      </c>
      <c r="P1299" s="219"/>
      <c r="Q1299" s="34">
        <f>SUMIF(Allocation[Delivery ID],Allocation[[#This Row],[Delivery ID]],Allocation[Quantity Processed])</f>
        <v>25604</v>
      </c>
      <c r="R1299" s="61">
        <f>Allocation[[#This Row],[Total volume used]]/VLOOKUP(Allocation[[#This Row],[Delivery ID]],Delivery[[Delivery ID]:[Quantity delivered]],3,FALSE)</f>
        <v>0.81642804757501353</v>
      </c>
      <c r="S1299" s="34">
        <f>Allocation[[#This Row],[Quantity Processed]]/Allocation[[#This Row],[Dilution rate]]</f>
        <v>386.29629629629625</v>
      </c>
      <c r="T1299" s="59">
        <f>SUMIF(Allocation[Delivery ID],Allocation[[#This Row],[Delivery ID]],Allocation[Quantity allocated])/SUMIF(Allocation[Delivery ID],Allocation[[#This Row],[Delivery ID]],Allocation[Volume available (kg)])</f>
        <v>1.0180340767934712</v>
      </c>
      <c r="U1299" s="61">
        <f>Allocation[[#This Row],[Total volume used]]/VLOOKUP(Allocation[[#This Row],[Delivery ID]],Delivery[[Delivery ID]:[Quantity delivered]],3,FALSE)</f>
        <v>0.81642804757501353</v>
      </c>
      <c r="V1299" s="34" t="e">
        <f>VLOOKUP(Allocation[[#This Row],[SAP Contract number]],Shipments[[SAP Contract number]:[Contracted container weight]],2,FALSE)</f>
        <v>#N/A</v>
      </c>
      <c r="W1299" s="34" t="e">
        <f>VLOOKUP(Allocation[[#This Row],[SAP Contract number]],Shipments[[SAP Contract number]:[AAA Premium USD]],24,FALSE)</f>
        <v>#N/A</v>
      </c>
      <c r="X1299" s="34" t="e">
        <f>VLOOKUP(Allocation[[#This Row],[SAP Contract number]],Shipments[[SAP Contract number]:[RA Premium USD]],25,FALSE)</f>
        <v>#N/A</v>
      </c>
      <c r="Y1299" s="38">
        <f>Allocation[[#This Row],[Quantity Processed]]/Allocation[[#This Row],[Quantity allocated]]</f>
        <v>2.5011990407673861</v>
      </c>
      <c r="Z1299" s="34" t="b">
        <f>Allocation[[#This Row],[Quantity allocated]]&lt;=Allocation[[#This Row],[Quantity Processed]]</f>
        <v>1</v>
      </c>
    </row>
    <row r="1300" spans="1:26">
      <c r="A1300" s="247" t="s">
        <v>467</v>
      </c>
      <c r="B1300" s="210" t="s">
        <v>68</v>
      </c>
      <c r="C1300" s="254" t="s">
        <v>1118</v>
      </c>
      <c r="D1300" s="255">
        <v>3967</v>
      </c>
      <c r="E1300" s="211" t="s">
        <v>1877</v>
      </c>
      <c r="F1300" s="212">
        <v>43544</v>
      </c>
      <c r="G1300" s="213">
        <v>2.7</v>
      </c>
      <c r="H1300" s="256">
        <v>1706</v>
      </c>
      <c r="I1300" s="214">
        <v>1446441</v>
      </c>
      <c r="J1300" s="215">
        <v>21600</v>
      </c>
      <c r="K1300" s="212">
        <v>43587</v>
      </c>
      <c r="L1300" s="211" t="s">
        <v>1885</v>
      </c>
      <c r="M1300" s="216">
        <v>4615445946</v>
      </c>
      <c r="N1300" s="212">
        <v>43682</v>
      </c>
      <c r="O1300" s="217">
        <v>3.9611999999999998</v>
      </c>
      <c r="P1300" s="219"/>
      <c r="Q1300" s="34">
        <f>SUMIF(Allocation[Delivery ID],Allocation[[#This Row],[Delivery ID]],Allocation[Quantity Processed])</f>
        <v>29102</v>
      </c>
      <c r="R1300" s="61">
        <f>Allocation[[#This Row],[Total volume used]]/VLOOKUP(Allocation[[#This Row],[Delivery ID]],Delivery[[Delivery ID]:[Quantity delivered]],3,FALSE)</f>
        <v>0.93816892327530621</v>
      </c>
      <c r="S1300" s="34">
        <f>Allocation[[#This Row],[Quantity Processed]]/Allocation[[#This Row],[Dilution rate]]</f>
        <v>1469.2592592592591</v>
      </c>
      <c r="T1300" s="59">
        <f>SUMIF(Allocation[Delivery ID],Allocation[[#This Row],[Delivery ID]],Allocation[Quantity allocated])/SUMIF(Allocation[Delivery ID],Allocation[[#This Row],[Delivery ID]],Allocation[Volume available (kg)])</f>
        <v>0.98724339684173867</v>
      </c>
      <c r="U1300" s="61">
        <f>Allocation[[#This Row],[Total volume used]]/VLOOKUP(Allocation[[#This Row],[Delivery ID]],Delivery[[Delivery ID]:[Quantity delivered]],3,FALSE)</f>
        <v>0.93816892327530621</v>
      </c>
      <c r="V1300" s="34" t="e">
        <f>VLOOKUP(Allocation[[#This Row],[SAP Contract number]],Shipments[[SAP Contract number]:[Contracted container weight]],2,FALSE)</f>
        <v>#N/A</v>
      </c>
      <c r="W1300" s="34" t="e">
        <f>VLOOKUP(Allocation[[#This Row],[SAP Contract number]],Shipments[[SAP Contract number]:[AAA Premium USD]],24,FALSE)</f>
        <v>#N/A</v>
      </c>
      <c r="X1300" s="34" t="e">
        <f>VLOOKUP(Allocation[[#This Row],[SAP Contract number]],Shipments[[SAP Contract number]:[RA Premium USD]],25,FALSE)</f>
        <v>#N/A</v>
      </c>
      <c r="Y1300" s="38">
        <f>Allocation[[#This Row],[Quantity Processed]]/Allocation[[#This Row],[Quantity allocated]]</f>
        <v>2.3253223915592027</v>
      </c>
      <c r="Z1300" s="34" t="b">
        <f>Allocation[[#This Row],[Quantity allocated]]&lt;=Allocation[[#This Row],[Quantity Processed]]</f>
        <v>1</v>
      </c>
    </row>
    <row r="1301" spans="1:26">
      <c r="A1301" s="247" t="s">
        <v>467</v>
      </c>
      <c r="B1301" s="210" t="s">
        <v>68</v>
      </c>
      <c r="C1301" s="254" t="s">
        <v>1119</v>
      </c>
      <c r="D1301" s="255">
        <v>3951</v>
      </c>
      <c r="E1301" s="211" t="s">
        <v>1877</v>
      </c>
      <c r="F1301" s="212">
        <v>43544</v>
      </c>
      <c r="G1301" s="213">
        <v>2.7</v>
      </c>
      <c r="H1301" s="256">
        <v>1699</v>
      </c>
      <c r="I1301" s="214">
        <v>1446441</v>
      </c>
      <c r="J1301" s="215">
        <v>21600</v>
      </c>
      <c r="K1301" s="212">
        <v>43587</v>
      </c>
      <c r="L1301" s="211" t="s">
        <v>1885</v>
      </c>
      <c r="M1301" s="216">
        <v>4615445946</v>
      </c>
      <c r="N1301" s="212">
        <v>43682</v>
      </c>
      <c r="O1301" s="217">
        <v>3.9611999999999998</v>
      </c>
      <c r="P1301" s="219"/>
      <c r="Q1301" s="34">
        <f>SUMIF(Allocation[Delivery ID],Allocation[[#This Row],[Delivery ID]],Allocation[Quantity Processed])</f>
        <v>29056</v>
      </c>
      <c r="R1301" s="61">
        <f>Allocation[[#This Row],[Total volume used]]/VLOOKUP(Allocation[[#This Row],[Delivery ID]],Delivery[[Delivery ID]:[Quantity delivered]],3,FALSE)</f>
        <v>0.94062803496277114</v>
      </c>
      <c r="S1301" s="34">
        <f>Allocation[[#This Row],[Quantity Processed]]/Allocation[[#This Row],[Dilution rate]]</f>
        <v>1463.3333333333333</v>
      </c>
      <c r="T1301" s="59">
        <f>SUMIF(Allocation[Delivery ID],Allocation[[#This Row],[Delivery ID]],Allocation[Quantity allocated])/SUMIF(Allocation[Delivery ID],Allocation[[#This Row],[Delivery ID]],Allocation[Volume available (kg)])</f>
        <v>0.98700841277560369</v>
      </c>
      <c r="U1301" s="61">
        <f>Allocation[[#This Row],[Total volume used]]/VLOOKUP(Allocation[[#This Row],[Delivery ID]],Delivery[[Delivery ID]:[Quantity delivered]],3,FALSE)</f>
        <v>0.94062803496277114</v>
      </c>
      <c r="V1301" s="34" t="e">
        <f>VLOOKUP(Allocation[[#This Row],[SAP Contract number]],Shipments[[SAP Contract number]:[Contracted container weight]],2,FALSE)</f>
        <v>#N/A</v>
      </c>
      <c r="W1301" s="34" t="e">
        <f>VLOOKUP(Allocation[[#This Row],[SAP Contract number]],Shipments[[SAP Contract number]:[AAA Premium USD]],24,FALSE)</f>
        <v>#N/A</v>
      </c>
      <c r="X1301" s="34" t="e">
        <f>VLOOKUP(Allocation[[#This Row],[SAP Contract number]],Shipments[[SAP Contract number]:[RA Premium USD]],25,FALSE)</f>
        <v>#N/A</v>
      </c>
      <c r="Y1301" s="38">
        <f>Allocation[[#This Row],[Quantity Processed]]/Allocation[[#This Row],[Quantity allocated]]</f>
        <v>2.3254855797527956</v>
      </c>
      <c r="Z1301" s="34" t="b">
        <f>Allocation[[#This Row],[Quantity allocated]]&lt;=Allocation[[#This Row],[Quantity Processed]]</f>
        <v>1</v>
      </c>
    </row>
    <row r="1302" spans="1:26">
      <c r="A1302" s="247" t="s">
        <v>467</v>
      </c>
      <c r="B1302" s="210" t="s">
        <v>68</v>
      </c>
      <c r="C1302" s="254" t="s">
        <v>1121</v>
      </c>
      <c r="D1302" s="255">
        <v>4005</v>
      </c>
      <c r="E1302" s="211" t="s">
        <v>1877</v>
      </c>
      <c r="F1302" s="212">
        <v>43544</v>
      </c>
      <c r="G1302" s="213">
        <v>2.7</v>
      </c>
      <c r="H1302" s="256">
        <v>1722</v>
      </c>
      <c r="I1302" s="214">
        <v>1446441</v>
      </c>
      <c r="J1302" s="215">
        <v>21600</v>
      </c>
      <c r="K1302" s="212">
        <v>43587</v>
      </c>
      <c r="L1302" s="211" t="s">
        <v>1885</v>
      </c>
      <c r="M1302" s="216">
        <v>4615445946</v>
      </c>
      <c r="N1302" s="212">
        <v>43682</v>
      </c>
      <c r="O1302" s="217">
        <v>3.9611999999999998</v>
      </c>
      <c r="P1302" s="219"/>
      <c r="Q1302" s="34">
        <f>SUMIF(Allocation[Delivery ID],Allocation[[#This Row],[Delivery ID]],Allocation[Quantity Processed])</f>
        <v>29140</v>
      </c>
      <c r="R1302" s="61">
        <f>Allocation[[#This Row],[Total volume used]]/VLOOKUP(Allocation[[#This Row],[Delivery ID]],Delivery[[Delivery ID]:[Quantity delivered]],3,FALSE)</f>
        <v>0.93099041533546323</v>
      </c>
      <c r="S1302" s="34">
        <f>Allocation[[#This Row],[Quantity Processed]]/Allocation[[#This Row],[Dilution rate]]</f>
        <v>1483.3333333333333</v>
      </c>
      <c r="T1302" s="59">
        <f>SUMIF(Allocation[Delivery ID],Allocation[[#This Row],[Delivery ID]],Allocation[Quantity allocated])/SUMIF(Allocation[Delivery ID],Allocation[[#This Row],[Delivery ID]],Allocation[Volume available (kg)])</f>
        <v>0.98792443374064631</v>
      </c>
      <c r="U1302" s="61">
        <f>Allocation[[#This Row],[Total volume used]]/VLOOKUP(Allocation[[#This Row],[Delivery ID]],Delivery[[Delivery ID]:[Quantity delivered]],3,FALSE)</f>
        <v>0.93099041533546323</v>
      </c>
      <c r="V1302" s="34" t="e">
        <f>VLOOKUP(Allocation[[#This Row],[SAP Contract number]],Shipments[[SAP Contract number]:[Contracted container weight]],2,FALSE)</f>
        <v>#N/A</v>
      </c>
      <c r="W1302" s="34" t="e">
        <f>VLOOKUP(Allocation[[#This Row],[SAP Contract number]],Shipments[[SAP Contract number]:[AAA Premium USD]],24,FALSE)</f>
        <v>#N/A</v>
      </c>
      <c r="X1302" s="34" t="e">
        <f>VLOOKUP(Allocation[[#This Row],[SAP Contract number]],Shipments[[SAP Contract number]:[RA Premium USD]],25,FALSE)</f>
        <v>#N/A</v>
      </c>
      <c r="Y1302" s="38">
        <f>Allocation[[#This Row],[Quantity Processed]]/Allocation[[#This Row],[Quantity allocated]]</f>
        <v>2.3257839721254356</v>
      </c>
      <c r="Z1302" s="34" t="b">
        <f>Allocation[[#This Row],[Quantity allocated]]&lt;=Allocation[[#This Row],[Quantity Processed]]</f>
        <v>1</v>
      </c>
    </row>
    <row r="1303" spans="1:26">
      <c r="A1303" s="247" t="s">
        <v>467</v>
      </c>
      <c r="B1303" s="210" t="s">
        <v>68</v>
      </c>
      <c r="C1303" s="254" t="s">
        <v>1123</v>
      </c>
      <c r="D1303" s="255">
        <v>3874</v>
      </c>
      <c r="E1303" s="211" t="s">
        <v>1877</v>
      </c>
      <c r="F1303" s="212">
        <v>43544</v>
      </c>
      <c r="G1303" s="213">
        <v>2.7</v>
      </c>
      <c r="H1303" s="256">
        <v>1666</v>
      </c>
      <c r="I1303" s="214">
        <v>1446441</v>
      </c>
      <c r="J1303" s="215">
        <v>21600</v>
      </c>
      <c r="K1303" s="212">
        <v>43587</v>
      </c>
      <c r="L1303" s="211" t="s">
        <v>1885</v>
      </c>
      <c r="M1303" s="216">
        <v>4615445946</v>
      </c>
      <c r="N1303" s="212">
        <v>43682</v>
      </c>
      <c r="O1303" s="217">
        <v>3.9611999999999998</v>
      </c>
      <c r="P1303" s="219"/>
      <c r="Q1303" s="34">
        <f>SUMIF(Allocation[Delivery ID],Allocation[[#This Row],[Delivery ID]],Allocation[Quantity Processed])</f>
        <v>28827</v>
      </c>
      <c r="R1303" s="61">
        <f>Allocation[[#This Row],[Total volume used]]/VLOOKUP(Allocation[[#This Row],[Delivery ID]],Delivery[[Delivery ID]:[Quantity delivered]],3,FALSE)</f>
        <v>0.95201453104359313</v>
      </c>
      <c r="S1303" s="34">
        <f>Allocation[[#This Row],[Quantity Processed]]/Allocation[[#This Row],[Dilution rate]]</f>
        <v>1434.8148148148148</v>
      </c>
      <c r="T1303" s="59">
        <f>SUMIF(Allocation[Delivery ID],Allocation[[#This Row],[Delivery ID]],Allocation[Quantity allocated])/SUMIF(Allocation[Delivery ID],Allocation[[#This Row],[Delivery ID]],Allocation[Volume available (kg)])</f>
        <v>0.98595213653173808</v>
      </c>
      <c r="U1303" s="61">
        <f>Allocation[[#This Row],[Total volume used]]/VLOOKUP(Allocation[[#This Row],[Delivery ID]],Delivery[[Delivery ID]:[Quantity delivered]],3,FALSE)</f>
        <v>0.95201453104359313</v>
      </c>
      <c r="V1303" s="34" t="e">
        <f>VLOOKUP(Allocation[[#This Row],[SAP Contract number]],Shipments[[SAP Contract number]:[Contracted container weight]],2,FALSE)</f>
        <v>#N/A</v>
      </c>
      <c r="W1303" s="34" t="e">
        <f>VLOOKUP(Allocation[[#This Row],[SAP Contract number]],Shipments[[SAP Contract number]:[AAA Premium USD]],24,FALSE)</f>
        <v>#N/A</v>
      </c>
      <c r="X1303" s="34" t="e">
        <f>VLOOKUP(Allocation[[#This Row],[SAP Contract number]],Shipments[[SAP Contract number]:[RA Premium USD]],25,FALSE)</f>
        <v>#N/A</v>
      </c>
      <c r="Y1303" s="38">
        <f>Allocation[[#This Row],[Quantity Processed]]/Allocation[[#This Row],[Quantity allocated]]</f>
        <v>2.3253301320528212</v>
      </c>
      <c r="Z1303" s="34" t="b">
        <f>Allocation[[#This Row],[Quantity allocated]]&lt;=Allocation[[#This Row],[Quantity Processed]]</f>
        <v>1</v>
      </c>
    </row>
    <row r="1304" spans="1:26">
      <c r="A1304" s="247" t="s">
        <v>467</v>
      </c>
      <c r="B1304" s="210" t="s">
        <v>68</v>
      </c>
      <c r="C1304" s="254" t="s">
        <v>1124</v>
      </c>
      <c r="D1304" s="255">
        <v>2916</v>
      </c>
      <c r="E1304" s="211" t="s">
        <v>1877</v>
      </c>
      <c r="F1304" s="212">
        <v>43544</v>
      </c>
      <c r="G1304" s="213">
        <v>2.7</v>
      </c>
      <c r="H1304" s="256">
        <v>1458</v>
      </c>
      <c r="I1304" s="214">
        <v>1446441</v>
      </c>
      <c r="J1304" s="215">
        <v>21600</v>
      </c>
      <c r="K1304" s="212">
        <v>43587</v>
      </c>
      <c r="L1304" s="211" t="s">
        <v>1885</v>
      </c>
      <c r="M1304" s="216">
        <v>4615445946</v>
      </c>
      <c r="N1304" s="212">
        <v>43682</v>
      </c>
      <c r="O1304" s="217">
        <v>3.9611999999999998</v>
      </c>
      <c r="P1304" s="219"/>
      <c r="Q1304" s="34">
        <f>SUMIF(Allocation[Delivery ID],Allocation[[#This Row],[Delivery ID]],Allocation[Quantity Processed])</f>
        <v>10256</v>
      </c>
      <c r="R1304" s="61">
        <f>Allocation[[#This Row],[Total volume used]]/VLOOKUP(Allocation[[#This Row],[Delivery ID]],Delivery[[Delivery ID]:[Quantity delivered]],3,FALSE)</f>
        <v>0.71964354629337268</v>
      </c>
      <c r="S1304" s="34">
        <f>Allocation[[#This Row],[Quantity Processed]]/Allocation[[#This Row],[Dilution rate]]</f>
        <v>1080</v>
      </c>
      <c r="T1304" s="59">
        <f>SUMIF(Allocation[Delivery ID],Allocation[[#This Row],[Delivery ID]],Allocation[Quantity allocated])/SUMIF(Allocation[Delivery ID],Allocation[[#This Row],[Delivery ID]],Allocation[Volume available (kg)])</f>
        <v>1.2735516020343203</v>
      </c>
      <c r="U1304" s="61">
        <f>Allocation[[#This Row],[Total volume used]]/VLOOKUP(Allocation[[#This Row],[Delivery ID]],Delivery[[Delivery ID]:[Quantity delivered]],3,FALSE)</f>
        <v>0.71964354629337268</v>
      </c>
      <c r="V1304" s="34" t="e">
        <f>VLOOKUP(Allocation[[#This Row],[SAP Contract number]],Shipments[[SAP Contract number]:[Contracted container weight]],2,FALSE)</f>
        <v>#N/A</v>
      </c>
      <c r="W1304" s="34" t="e">
        <f>VLOOKUP(Allocation[[#This Row],[SAP Contract number]],Shipments[[SAP Contract number]:[AAA Premium USD]],24,FALSE)</f>
        <v>#N/A</v>
      </c>
      <c r="X1304" s="34" t="e">
        <f>VLOOKUP(Allocation[[#This Row],[SAP Contract number]],Shipments[[SAP Contract number]:[RA Premium USD]],25,FALSE)</f>
        <v>#N/A</v>
      </c>
      <c r="Y1304" s="38">
        <f>Allocation[[#This Row],[Quantity Processed]]/Allocation[[#This Row],[Quantity allocated]]</f>
        <v>2</v>
      </c>
      <c r="Z1304" s="34" t="b">
        <f>Allocation[[#This Row],[Quantity allocated]]&lt;=Allocation[[#This Row],[Quantity Processed]]</f>
        <v>1</v>
      </c>
    </row>
    <row r="1305" spans="1:26">
      <c r="A1305" s="247" t="s">
        <v>467</v>
      </c>
      <c r="B1305" s="210" t="s">
        <v>68</v>
      </c>
      <c r="C1305" s="254" t="s">
        <v>1672</v>
      </c>
      <c r="D1305" s="255">
        <v>6355</v>
      </c>
      <c r="E1305" s="211" t="s">
        <v>1877</v>
      </c>
      <c r="F1305" s="212">
        <v>43544</v>
      </c>
      <c r="G1305" s="213">
        <v>2.7</v>
      </c>
      <c r="H1305" s="256">
        <v>2097</v>
      </c>
      <c r="I1305" s="214">
        <v>1446441</v>
      </c>
      <c r="J1305" s="215">
        <v>21600</v>
      </c>
      <c r="K1305" s="212">
        <v>43587</v>
      </c>
      <c r="L1305" s="211" t="s">
        <v>1885</v>
      </c>
      <c r="M1305" s="216">
        <v>4615445946</v>
      </c>
      <c r="N1305" s="212">
        <v>43682</v>
      </c>
      <c r="O1305" s="217">
        <v>3.9611999999999998</v>
      </c>
      <c r="P1305" s="219"/>
      <c r="Q1305" s="34">
        <f>SUMIF(Allocation[Delivery ID],Allocation[[#This Row],[Delivery ID]],Allocation[Quantity Processed])</f>
        <v>24691</v>
      </c>
      <c r="R1305" s="61">
        <f>Allocation[[#This Row],[Total volume used]]/VLOOKUP(Allocation[[#This Row],[Delivery ID]],Delivery[[Delivery ID]:[Quantity delivered]],3,FALSE)</f>
        <v>0.77564162975528539</v>
      </c>
      <c r="S1305" s="34">
        <f>Allocation[[#This Row],[Quantity Processed]]/Allocation[[#This Row],[Dilution rate]]</f>
        <v>2353.7037037037035</v>
      </c>
      <c r="T1305" s="59">
        <f>SUMIF(Allocation[Delivery ID],Allocation[[#This Row],[Delivery ID]],Allocation[Quantity allocated])/SUMIF(Allocation[Delivery ID],Allocation[[#This Row],[Delivery ID]],Allocation[Volume available (kg)])</f>
        <v>0.8779989177104609</v>
      </c>
      <c r="U1305" s="61">
        <f>Allocation[[#This Row],[Total volume used]]/VLOOKUP(Allocation[[#This Row],[Delivery ID]],Delivery[[Delivery ID]:[Quantity delivered]],3,FALSE)</f>
        <v>0.77564162975528539</v>
      </c>
      <c r="V1305" s="34" t="e">
        <f>VLOOKUP(Allocation[[#This Row],[SAP Contract number]],Shipments[[SAP Contract number]:[Contracted container weight]],2,FALSE)</f>
        <v>#N/A</v>
      </c>
      <c r="W1305" s="34" t="e">
        <f>VLOOKUP(Allocation[[#This Row],[SAP Contract number]],Shipments[[SAP Contract number]:[AAA Premium USD]],24,FALSE)</f>
        <v>#N/A</v>
      </c>
      <c r="X1305" s="34" t="e">
        <f>VLOOKUP(Allocation[[#This Row],[SAP Contract number]],Shipments[[SAP Contract number]:[RA Premium USD]],25,FALSE)</f>
        <v>#N/A</v>
      </c>
      <c r="Y1305" s="38">
        <f>Allocation[[#This Row],[Quantity Processed]]/Allocation[[#This Row],[Quantity allocated]]</f>
        <v>3.0305197901764425</v>
      </c>
      <c r="Z1305" s="34" t="b">
        <f>Allocation[[#This Row],[Quantity allocated]]&lt;=Allocation[[#This Row],[Quantity Processed]]</f>
        <v>1</v>
      </c>
    </row>
    <row r="1306" spans="1:26">
      <c r="A1306" s="247" t="s">
        <v>467</v>
      </c>
      <c r="B1306" s="210" t="s">
        <v>68</v>
      </c>
      <c r="C1306" s="254" t="s">
        <v>1672</v>
      </c>
      <c r="D1306" s="255">
        <v>1021</v>
      </c>
      <c r="E1306" s="211" t="s">
        <v>1877</v>
      </c>
      <c r="F1306" s="212">
        <v>43544</v>
      </c>
      <c r="G1306" s="213">
        <v>2.7</v>
      </c>
      <c r="H1306" s="256">
        <v>337</v>
      </c>
      <c r="I1306" s="214">
        <v>1446442</v>
      </c>
      <c r="J1306" s="215">
        <v>21600</v>
      </c>
      <c r="K1306" s="212">
        <v>43587</v>
      </c>
      <c r="L1306" s="211" t="s">
        <v>1886</v>
      </c>
      <c r="M1306" s="216">
        <v>4615445946</v>
      </c>
      <c r="N1306" s="212">
        <v>43682</v>
      </c>
      <c r="O1306" s="217">
        <v>3.9611999999999998</v>
      </c>
      <c r="P1306" s="219"/>
      <c r="Q1306" s="34">
        <f>SUMIF(Allocation[Delivery ID],Allocation[[#This Row],[Delivery ID]],Allocation[Quantity Processed])</f>
        <v>24691</v>
      </c>
      <c r="R1306" s="61">
        <f>Allocation[[#This Row],[Total volume used]]/VLOOKUP(Allocation[[#This Row],[Delivery ID]],Delivery[[Delivery ID]:[Quantity delivered]],3,FALSE)</f>
        <v>0.77564162975528539</v>
      </c>
      <c r="S1306" s="34">
        <f>Allocation[[#This Row],[Quantity Processed]]/Allocation[[#This Row],[Dilution rate]]</f>
        <v>378.1481481481481</v>
      </c>
      <c r="T1306" s="59">
        <f>SUMIF(Allocation[Delivery ID],Allocation[[#This Row],[Delivery ID]],Allocation[Quantity allocated])/SUMIF(Allocation[Delivery ID],Allocation[[#This Row],[Delivery ID]],Allocation[Volume available (kg)])</f>
        <v>0.8779989177104609</v>
      </c>
      <c r="U1306" s="61">
        <f>Allocation[[#This Row],[Total volume used]]/VLOOKUP(Allocation[[#This Row],[Delivery ID]],Delivery[[Delivery ID]:[Quantity delivered]],3,FALSE)</f>
        <v>0.77564162975528539</v>
      </c>
      <c r="V1306" s="34" t="e">
        <f>VLOOKUP(Allocation[[#This Row],[SAP Contract number]],Shipments[[SAP Contract number]:[Contracted container weight]],2,FALSE)</f>
        <v>#N/A</v>
      </c>
      <c r="W1306" s="34" t="e">
        <f>VLOOKUP(Allocation[[#This Row],[SAP Contract number]],Shipments[[SAP Contract number]:[AAA Premium USD]],24,FALSE)</f>
        <v>#N/A</v>
      </c>
      <c r="X1306" s="34" t="e">
        <f>VLOOKUP(Allocation[[#This Row],[SAP Contract number]],Shipments[[SAP Contract number]:[RA Premium USD]],25,FALSE)</f>
        <v>#N/A</v>
      </c>
      <c r="Y1306" s="38">
        <f>Allocation[[#This Row],[Quantity Processed]]/Allocation[[#This Row],[Quantity allocated]]</f>
        <v>3.029673590504451</v>
      </c>
      <c r="Z1306" s="34" t="b">
        <f>Allocation[[#This Row],[Quantity allocated]]&lt;=Allocation[[#This Row],[Quantity Processed]]</f>
        <v>1</v>
      </c>
    </row>
    <row r="1307" spans="1:26">
      <c r="A1307" s="247" t="s">
        <v>467</v>
      </c>
      <c r="B1307" s="210" t="s">
        <v>68</v>
      </c>
      <c r="C1307" s="254" t="s">
        <v>1673</v>
      </c>
      <c r="D1307" s="255">
        <v>1391</v>
      </c>
      <c r="E1307" s="211" t="s">
        <v>1877</v>
      </c>
      <c r="F1307" s="212">
        <v>43544</v>
      </c>
      <c r="G1307" s="213">
        <v>2.7</v>
      </c>
      <c r="H1307" s="256">
        <v>459</v>
      </c>
      <c r="I1307" s="214">
        <v>1446442</v>
      </c>
      <c r="J1307" s="215">
        <v>21600</v>
      </c>
      <c r="K1307" s="212">
        <v>43587</v>
      </c>
      <c r="L1307" s="211" t="s">
        <v>1886</v>
      </c>
      <c r="M1307" s="216">
        <v>4615445946</v>
      </c>
      <c r="N1307" s="212">
        <v>43682</v>
      </c>
      <c r="O1307" s="217">
        <v>3.9611999999999998</v>
      </c>
      <c r="P1307" s="219"/>
      <c r="Q1307" s="34">
        <f>SUMIF(Allocation[Delivery ID],Allocation[[#This Row],[Delivery ID]],Allocation[Quantity Processed])</f>
        <v>3888</v>
      </c>
      <c r="R1307" s="61">
        <f>Allocation[[#This Row],[Total volume used]]/VLOOKUP(Allocation[[#This Row],[Delivery ID]],Delivery[[Delivery ID]:[Quantity delivered]],3,FALSE)</f>
        <v>0.64724488097219912</v>
      </c>
      <c r="S1307" s="34">
        <f>Allocation[[#This Row],[Quantity Processed]]/Allocation[[#This Row],[Dilution rate]]</f>
        <v>515.18518518518511</v>
      </c>
      <c r="T1307" s="59">
        <f>SUMIF(Allocation[Delivery ID],Allocation[[#This Row],[Delivery ID]],Allocation[Quantity allocated])/SUMIF(Allocation[Delivery ID],Allocation[[#This Row],[Delivery ID]],Allocation[Volume available (kg)])</f>
        <v>0.88067594539644489</v>
      </c>
      <c r="U1307" s="61">
        <f>Allocation[[#This Row],[Total volume used]]/VLOOKUP(Allocation[[#This Row],[Delivery ID]],Delivery[[Delivery ID]:[Quantity delivered]],3,FALSE)</f>
        <v>0.64724488097219912</v>
      </c>
      <c r="V1307" s="34" t="e">
        <f>VLOOKUP(Allocation[[#This Row],[SAP Contract number]],Shipments[[SAP Contract number]:[Contracted container weight]],2,FALSE)</f>
        <v>#N/A</v>
      </c>
      <c r="W1307" s="34" t="e">
        <f>VLOOKUP(Allocation[[#This Row],[SAP Contract number]],Shipments[[SAP Contract number]:[AAA Premium USD]],24,FALSE)</f>
        <v>#N/A</v>
      </c>
      <c r="X1307" s="34" t="e">
        <f>VLOOKUP(Allocation[[#This Row],[SAP Contract number]],Shipments[[SAP Contract number]:[RA Premium USD]],25,FALSE)</f>
        <v>#N/A</v>
      </c>
      <c r="Y1307" s="38">
        <f>Allocation[[#This Row],[Quantity Processed]]/Allocation[[#This Row],[Quantity allocated]]</f>
        <v>3.0305010893246189</v>
      </c>
      <c r="Z1307" s="34" t="b">
        <f>Allocation[[#This Row],[Quantity allocated]]&lt;=Allocation[[#This Row],[Quantity Processed]]</f>
        <v>1</v>
      </c>
    </row>
    <row r="1308" spans="1:26">
      <c r="A1308" s="247" t="s">
        <v>467</v>
      </c>
      <c r="B1308" s="210" t="s">
        <v>68</v>
      </c>
      <c r="C1308" s="254" t="s">
        <v>1135</v>
      </c>
      <c r="D1308" s="255">
        <v>7533</v>
      </c>
      <c r="E1308" s="211" t="s">
        <v>1877</v>
      </c>
      <c r="F1308" s="212">
        <v>43544</v>
      </c>
      <c r="G1308" s="213">
        <v>2.7</v>
      </c>
      <c r="H1308" s="256">
        <v>2260</v>
      </c>
      <c r="I1308" s="214">
        <v>1446442</v>
      </c>
      <c r="J1308" s="215">
        <v>21600</v>
      </c>
      <c r="K1308" s="212">
        <v>43587</v>
      </c>
      <c r="L1308" s="211" t="s">
        <v>1886</v>
      </c>
      <c r="M1308" s="216">
        <v>4615445946</v>
      </c>
      <c r="N1308" s="212">
        <v>43682</v>
      </c>
      <c r="O1308" s="217">
        <v>3.9611999999999998</v>
      </c>
      <c r="P1308" s="219"/>
      <c r="Q1308" s="34">
        <f>SUMIF(Allocation[Delivery ID],Allocation[[#This Row],[Delivery ID]],Allocation[Quantity Processed])</f>
        <v>22090</v>
      </c>
      <c r="R1308" s="61">
        <f>Allocation[[#This Row],[Total volume used]]/VLOOKUP(Allocation[[#This Row],[Delivery ID]],Delivery[[Delivery ID]:[Quantity delivered]],3,FALSE)</f>
        <v>1</v>
      </c>
      <c r="S1308" s="34">
        <f>Allocation[[#This Row],[Quantity Processed]]/Allocation[[#This Row],[Dilution rate]]</f>
        <v>2790</v>
      </c>
      <c r="T1308" s="59">
        <f>SUMIF(Allocation[Delivery ID],Allocation[[#This Row],[Delivery ID]],Allocation[Quantity allocated])/SUMIF(Allocation[Delivery ID],Allocation[[#This Row],[Delivery ID]],Allocation[Volume available (kg)])</f>
        <v>0.76070962260021724</v>
      </c>
      <c r="U1308" s="61">
        <f>Allocation[[#This Row],[Total volume used]]/VLOOKUP(Allocation[[#This Row],[Delivery ID]],Delivery[[Delivery ID]:[Quantity delivered]],3,FALSE)</f>
        <v>1</v>
      </c>
      <c r="V1308" s="34" t="e">
        <f>VLOOKUP(Allocation[[#This Row],[SAP Contract number]],Shipments[[SAP Contract number]:[Contracted container weight]],2,FALSE)</f>
        <v>#N/A</v>
      </c>
      <c r="W1308" s="34" t="e">
        <f>VLOOKUP(Allocation[[#This Row],[SAP Contract number]],Shipments[[SAP Contract number]:[AAA Premium USD]],24,FALSE)</f>
        <v>#N/A</v>
      </c>
      <c r="X1308" s="34" t="e">
        <f>VLOOKUP(Allocation[[#This Row],[SAP Contract number]],Shipments[[SAP Contract number]:[RA Premium USD]],25,FALSE)</f>
        <v>#N/A</v>
      </c>
      <c r="Y1308" s="38">
        <f>Allocation[[#This Row],[Quantity Processed]]/Allocation[[#This Row],[Quantity allocated]]</f>
        <v>3.3331858407079644</v>
      </c>
      <c r="Z1308" s="34" t="b">
        <f>Allocation[[#This Row],[Quantity allocated]]&lt;=Allocation[[#This Row],[Quantity Processed]]</f>
        <v>1</v>
      </c>
    </row>
    <row r="1309" spans="1:26">
      <c r="A1309" s="247" t="s">
        <v>467</v>
      </c>
      <c r="B1309" s="210" t="s">
        <v>68</v>
      </c>
      <c r="C1309" s="254" t="s">
        <v>1140</v>
      </c>
      <c r="D1309" s="255">
        <v>8511</v>
      </c>
      <c r="E1309" s="211" t="s">
        <v>1877</v>
      </c>
      <c r="F1309" s="212">
        <v>43544</v>
      </c>
      <c r="G1309" s="213">
        <v>2.7</v>
      </c>
      <c r="H1309" s="256">
        <v>4000</v>
      </c>
      <c r="I1309" s="214">
        <v>1446442</v>
      </c>
      <c r="J1309" s="215">
        <v>21600</v>
      </c>
      <c r="K1309" s="212">
        <v>43587</v>
      </c>
      <c r="L1309" s="211" t="s">
        <v>1886</v>
      </c>
      <c r="M1309" s="216">
        <v>4615445946</v>
      </c>
      <c r="N1309" s="212">
        <v>43682</v>
      </c>
      <c r="O1309" s="217">
        <v>3.9611999999999998</v>
      </c>
      <c r="P1309" s="219"/>
      <c r="Q1309" s="34">
        <f>SUMIF(Allocation[Delivery ID],Allocation[[#This Row],[Delivery ID]],Allocation[Quantity Processed])</f>
        <v>26473</v>
      </c>
      <c r="R1309" s="61">
        <f>Allocation[[#This Row],[Total volume used]]/VLOOKUP(Allocation[[#This Row],[Delivery ID]],Delivery[[Delivery ID]:[Quantity delivered]],3,FALSE)</f>
        <v>0.70935155412647377</v>
      </c>
      <c r="S1309" s="34">
        <f>Allocation[[#This Row],[Quantity Processed]]/Allocation[[#This Row],[Dilution rate]]</f>
        <v>3152.2222222222222</v>
      </c>
      <c r="T1309" s="59">
        <f>SUMIF(Allocation[Delivery ID],Allocation[[#This Row],[Delivery ID]],Allocation[Quantity allocated])/SUMIF(Allocation[Delivery ID],Allocation[[#This Row],[Delivery ID]],Allocation[Volume available (kg)])</f>
        <v>1.2088176972477704</v>
      </c>
      <c r="U1309" s="61">
        <f>Allocation[[#This Row],[Total volume used]]/VLOOKUP(Allocation[[#This Row],[Delivery ID]],Delivery[[Delivery ID]:[Quantity delivered]],3,FALSE)</f>
        <v>0.70935155412647377</v>
      </c>
      <c r="V1309" s="34" t="e">
        <f>VLOOKUP(Allocation[[#This Row],[SAP Contract number]],Shipments[[SAP Contract number]:[Contracted container weight]],2,FALSE)</f>
        <v>#N/A</v>
      </c>
      <c r="W1309" s="34" t="e">
        <f>VLOOKUP(Allocation[[#This Row],[SAP Contract number]],Shipments[[SAP Contract number]:[AAA Premium USD]],24,FALSE)</f>
        <v>#N/A</v>
      </c>
      <c r="X1309" s="34" t="e">
        <f>VLOOKUP(Allocation[[#This Row],[SAP Contract number]],Shipments[[SAP Contract number]:[RA Premium USD]],25,FALSE)</f>
        <v>#N/A</v>
      </c>
      <c r="Y1309" s="38">
        <f>Allocation[[#This Row],[Quantity Processed]]/Allocation[[#This Row],[Quantity allocated]]</f>
        <v>2.1277499999999998</v>
      </c>
      <c r="Z1309" s="34" t="b">
        <f>Allocation[[#This Row],[Quantity allocated]]&lt;=Allocation[[#This Row],[Quantity Processed]]</f>
        <v>1</v>
      </c>
    </row>
    <row r="1310" spans="1:26">
      <c r="A1310" s="247" t="s">
        <v>467</v>
      </c>
      <c r="B1310" s="210" t="s">
        <v>68</v>
      </c>
      <c r="C1310" s="254" t="s">
        <v>1675</v>
      </c>
      <c r="D1310" s="255">
        <v>7373</v>
      </c>
      <c r="E1310" s="211" t="s">
        <v>1877</v>
      </c>
      <c r="F1310" s="212">
        <v>43544</v>
      </c>
      <c r="G1310" s="213">
        <v>2.7</v>
      </c>
      <c r="H1310" s="256">
        <v>2433</v>
      </c>
      <c r="I1310" s="214">
        <v>1446442</v>
      </c>
      <c r="J1310" s="215">
        <v>21600</v>
      </c>
      <c r="K1310" s="212">
        <v>43587</v>
      </c>
      <c r="L1310" s="211" t="s">
        <v>1886</v>
      </c>
      <c r="M1310" s="216">
        <v>4615445946</v>
      </c>
      <c r="N1310" s="212">
        <v>43682</v>
      </c>
      <c r="O1310" s="217">
        <v>3.9611999999999998</v>
      </c>
      <c r="P1310" s="219"/>
      <c r="Q1310" s="34">
        <f>SUMIF(Allocation[Delivery ID],Allocation[[#This Row],[Delivery ID]],Allocation[Quantity Processed])</f>
        <v>21346</v>
      </c>
      <c r="R1310" s="61">
        <f>Allocation[[#This Row],[Total volume used]]/VLOOKUP(Allocation[[#This Row],[Delivery ID]],Delivery[[Delivery ID]:[Quantity delivered]],3,FALSE)</f>
        <v>0.71200800533689124</v>
      </c>
      <c r="S1310" s="34">
        <f>Allocation[[#This Row],[Quantity Processed]]/Allocation[[#This Row],[Dilution rate]]</f>
        <v>2730.7407407407404</v>
      </c>
      <c r="T1310" s="59">
        <f>SUMIF(Allocation[Delivery ID],Allocation[[#This Row],[Delivery ID]],Allocation[Quantity allocated])/SUMIF(Allocation[Delivery ID],Allocation[[#This Row],[Delivery ID]],Allocation[Volume available (kg)])</f>
        <v>0.88002959681646864</v>
      </c>
      <c r="U1310" s="61">
        <f>Allocation[[#This Row],[Total volume used]]/VLOOKUP(Allocation[[#This Row],[Delivery ID]],Delivery[[Delivery ID]:[Quantity delivered]],3,FALSE)</f>
        <v>0.71200800533689124</v>
      </c>
      <c r="V1310" s="34" t="e">
        <f>VLOOKUP(Allocation[[#This Row],[SAP Contract number]],Shipments[[SAP Contract number]:[Contracted container weight]],2,FALSE)</f>
        <v>#N/A</v>
      </c>
      <c r="W1310" s="34" t="e">
        <f>VLOOKUP(Allocation[[#This Row],[SAP Contract number]],Shipments[[SAP Contract number]:[AAA Premium USD]],24,FALSE)</f>
        <v>#N/A</v>
      </c>
      <c r="X1310" s="34" t="e">
        <f>VLOOKUP(Allocation[[#This Row],[SAP Contract number]],Shipments[[SAP Contract number]:[RA Premium USD]],25,FALSE)</f>
        <v>#N/A</v>
      </c>
      <c r="Y1310" s="38">
        <f>Allocation[[#This Row],[Quantity Processed]]/Allocation[[#This Row],[Quantity allocated]]</f>
        <v>3.0304151253596383</v>
      </c>
      <c r="Z1310" s="34" t="b">
        <f>Allocation[[#This Row],[Quantity allocated]]&lt;=Allocation[[#This Row],[Quantity Processed]]</f>
        <v>1</v>
      </c>
    </row>
    <row r="1311" spans="1:26">
      <c r="A1311" s="247" t="s">
        <v>467</v>
      </c>
      <c r="B1311" s="210" t="s">
        <v>68</v>
      </c>
      <c r="C1311" s="254" t="s">
        <v>1676</v>
      </c>
      <c r="D1311" s="255">
        <v>2709</v>
      </c>
      <c r="E1311" s="211" t="s">
        <v>1877</v>
      </c>
      <c r="F1311" s="212">
        <v>43544</v>
      </c>
      <c r="G1311" s="213">
        <v>2.7</v>
      </c>
      <c r="H1311" s="256">
        <v>894</v>
      </c>
      <c r="I1311" s="214">
        <v>1446442</v>
      </c>
      <c r="J1311" s="215">
        <v>21600</v>
      </c>
      <c r="K1311" s="212">
        <v>43587</v>
      </c>
      <c r="L1311" s="211" t="s">
        <v>1886</v>
      </c>
      <c r="M1311" s="216">
        <v>4615445946</v>
      </c>
      <c r="N1311" s="212">
        <v>43682</v>
      </c>
      <c r="O1311" s="217">
        <v>3.9611999999999998</v>
      </c>
      <c r="P1311" s="219"/>
      <c r="Q1311" s="34">
        <f>SUMIF(Allocation[Delivery ID],Allocation[[#This Row],[Delivery ID]],Allocation[Quantity Processed])</f>
        <v>7573</v>
      </c>
      <c r="R1311" s="61">
        <f>Allocation[[#This Row],[Total volume used]]/VLOOKUP(Allocation[[#This Row],[Delivery ID]],Delivery[[Delivery ID]:[Quantity delivered]],3,FALSE)</f>
        <v>0.64754168448054727</v>
      </c>
      <c r="S1311" s="34">
        <f>Allocation[[#This Row],[Quantity Processed]]/Allocation[[#This Row],[Dilution rate]]</f>
        <v>1003.3333333333333</v>
      </c>
      <c r="T1311" s="59">
        <f>SUMIF(Allocation[Delivery ID],Allocation[[#This Row],[Delivery ID]],Allocation[Quantity allocated])/SUMIF(Allocation[Delivery ID],Allocation[[#This Row],[Delivery ID]],Allocation[Volume available (kg)])</f>
        <v>0.88066702495677374</v>
      </c>
      <c r="U1311" s="61">
        <f>Allocation[[#This Row],[Total volume used]]/VLOOKUP(Allocation[[#This Row],[Delivery ID]],Delivery[[Delivery ID]:[Quantity delivered]],3,FALSE)</f>
        <v>0.64754168448054727</v>
      </c>
      <c r="V1311" s="34" t="e">
        <f>VLOOKUP(Allocation[[#This Row],[SAP Contract number]],Shipments[[SAP Contract number]:[Contracted container weight]],2,FALSE)</f>
        <v>#N/A</v>
      </c>
      <c r="W1311" s="34" t="e">
        <f>VLOOKUP(Allocation[[#This Row],[SAP Contract number]],Shipments[[SAP Contract number]:[AAA Premium USD]],24,FALSE)</f>
        <v>#N/A</v>
      </c>
      <c r="X1311" s="34" t="e">
        <f>VLOOKUP(Allocation[[#This Row],[SAP Contract number]],Shipments[[SAP Contract number]:[RA Premium USD]],25,FALSE)</f>
        <v>#N/A</v>
      </c>
      <c r="Y1311" s="38">
        <f>Allocation[[#This Row],[Quantity Processed]]/Allocation[[#This Row],[Quantity allocated]]</f>
        <v>3.0302013422818792</v>
      </c>
      <c r="Z1311" s="34" t="b">
        <f>Allocation[[#This Row],[Quantity allocated]]&lt;=Allocation[[#This Row],[Quantity Processed]]</f>
        <v>1</v>
      </c>
    </row>
    <row r="1312" spans="1:26">
      <c r="A1312" s="247" t="s">
        <v>467</v>
      </c>
      <c r="B1312" s="210" t="s">
        <v>68</v>
      </c>
      <c r="C1312" s="254" t="s">
        <v>1677</v>
      </c>
      <c r="D1312" s="255">
        <v>4442</v>
      </c>
      <c r="E1312" s="211" t="s">
        <v>1877</v>
      </c>
      <c r="F1312" s="212">
        <v>43544</v>
      </c>
      <c r="G1312" s="213">
        <v>2.7</v>
      </c>
      <c r="H1312" s="256">
        <v>1466</v>
      </c>
      <c r="I1312" s="214">
        <v>1446442</v>
      </c>
      <c r="J1312" s="215">
        <v>21600</v>
      </c>
      <c r="K1312" s="212">
        <v>43587</v>
      </c>
      <c r="L1312" s="211" t="s">
        <v>1886</v>
      </c>
      <c r="M1312" s="216">
        <v>4615445946</v>
      </c>
      <c r="N1312" s="212">
        <v>43682</v>
      </c>
      <c r="O1312" s="217">
        <v>3.9611999999999998</v>
      </c>
      <c r="P1312" s="219"/>
      <c r="Q1312" s="34">
        <f>SUMIF(Allocation[Delivery ID],Allocation[[#This Row],[Delivery ID]],Allocation[Quantity Processed])</f>
        <v>12415</v>
      </c>
      <c r="R1312" s="61">
        <f>Allocation[[#This Row],[Total volume used]]/VLOOKUP(Allocation[[#This Row],[Delivery ID]],Delivery[[Delivery ID]:[Quantity delivered]],3,FALSE)</f>
        <v>0.64779546047482395</v>
      </c>
      <c r="S1312" s="34">
        <f>Allocation[[#This Row],[Quantity Processed]]/Allocation[[#This Row],[Dilution rate]]</f>
        <v>1645.185185185185</v>
      </c>
      <c r="T1312" s="59">
        <f>SUMIF(Allocation[Delivery ID],Allocation[[#This Row],[Delivery ID]],Allocation[Quantity allocated])/SUMIF(Allocation[Delivery ID],Allocation[[#This Row],[Delivery ID]],Allocation[Volume available (kg)])</f>
        <v>0.88071294606616191</v>
      </c>
      <c r="U1312" s="61">
        <f>Allocation[[#This Row],[Total volume used]]/VLOOKUP(Allocation[[#This Row],[Delivery ID]],Delivery[[Delivery ID]:[Quantity delivered]],3,FALSE)</f>
        <v>0.64779546047482395</v>
      </c>
      <c r="V1312" s="34" t="e">
        <f>VLOOKUP(Allocation[[#This Row],[SAP Contract number]],Shipments[[SAP Contract number]:[Contracted container weight]],2,FALSE)</f>
        <v>#N/A</v>
      </c>
      <c r="W1312" s="34" t="e">
        <f>VLOOKUP(Allocation[[#This Row],[SAP Contract number]],Shipments[[SAP Contract number]:[AAA Premium USD]],24,FALSE)</f>
        <v>#N/A</v>
      </c>
      <c r="X1312" s="34" t="e">
        <f>VLOOKUP(Allocation[[#This Row],[SAP Contract number]],Shipments[[SAP Contract number]:[RA Premium USD]],25,FALSE)</f>
        <v>#N/A</v>
      </c>
      <c r="Y1312" s="38">
        <f>Allocation[[#This Row],[Quantity Processed]]/Allocation[[#This Row],[Quantity allocated]]</f>
        <v>3.0300136425648021</v>
      </c>
      <c r="Z1312" s="34" t="b">
        <f>Allocation[[#This Row],[Quantity allocated]]&lt;=Allocation[[#This Row],[Quantity Processed]]</f>
        <v>1</v>
      </c>
    </row>
    <row r="1313" spans="1:26">
      <c r="A1313" s="247" t="s">
        <v>467</v>
      </c>
      <c r="B1313" s="210" t="s">
        <v>68</v>
      </c>
      <c r="C1313" s="254" t="s">
        <v>1678</v>
      </c>
      <c r="D1313" s="255">
        <v>2070</v>
      </c>
      <c r="E1313" s="211" t="s">
        <v>1877</v>
      </c>
      <c r="F1313" s="212">
        <v>43544</v>
      </c>
      <c r="G1313" s="213">
        <v>2.7</v>
      </c>
      <c r="H1313" s="256">
        <v>683</v>
      </c>
      <c r="I1313" s="214">
        <v>1446442</v>
      </c>
      <c r="J1313" s="215">
        <v>21600</v>
      </c>
      <c r="K1313" s="212">
        <v>43587</v>
      </c>
      <c r="L1313" s="211" t="s">
        <v>1886</v>
      </c>
      <c r="M1313" s="216">
        <v>4615445946</v>
      </c>
      <c r="N1313" s="212">
        <v>43682</v>
      </c>
      <c r="O1313" s="217">
        <v>3.9611999999999998</v>
      </c>
      <c r="P1313" s="219"/>
      <c r="Q1313" s="34">
        <f>SUMIF(Allocation[Delivery ID],Allocation[[#This Row],[Delivery ID]],Allocation[Quantity Processed])</f>
        <v>5783</v>
      </c>
      <c r="R1313" s="61">
        <f>Allocation[[#This Row],[Total volume used]]/VLOOKUP(Allocation[[#This Row],[Delivery ID]],Delivery[[Delivery ID]:[Quantity delivered]],3,FALSE)</f>
        <v>0.64788259018597361</v>
      </c>
      <c r="S1313" s="34">
        <f>Allocation[[#This Row],[Quantity Processed]]/Allocation[[#This Row],[Dilution rate]]</f>
        <v>766.66666666666663</v>
      </c>
      <c r="T1313" s="59">
        <f>SUMIF(Allocation[Delivery ID],Allocation[[#This Row],[Delivery ID]],Allocation[Quantity allocated])/SUMIF(Allocation[Delivery ID],Allocation[[#This Row],[Delivery ID]],Allocation[Volume available (kg)])</f>
        <v>0.88051884478884213</v>
      </c>
      <c r="U1313" s="61">
        <f>Allocation[[#This Row],[Total volume used]]/VLOOKUP(Allocation[[#This Row],[Delivery ID]],Delivery[[Delivery ID]:[Quantity delivered]],3,FALSE)</f>
        <v>0.64788259018597361</v>
      </c>
      <c r="V1313" s="34" t="e">
        <f>VLOOKUP(Allocation[[#This Row],[SAP Contract number]],Shipments[[SAP Contract number]:[Contracted container weight]],2,FALSE)</f>
        <v>#N/A</v>
      </c>
      <c r="W1313" s="34" t="e">
        <f>VLOOKUP(Allocation[[#This Row],[SAP Contract number]],Shipments[[SAP Contract number]:[AAA Premium USD]],24,FALSE)</f>
        <v>#N/A</v>
      </c>
      <c r="X1313" s="34" t="e">
        <f>VLOOKUP(Allocation[[#This Row],[SAP Contract number]],Shipments[[SAP Contract number]:[RA Premium USD]],25,FALSE)</f>
        <v>#N/A</v>
      </c>
      <c r="Y1313" s="38">
        <f>Allocation[[#This Row],[Quantity Processed]]/Allocation[[#This Row],[Quantity allocated]]</f>
        <v>3.0307467057101025</v>
      </c>
      <c r="Z1313" s="34" t="b">
        <f>Allocation[[#This Row],[Quantity allocated]]&lt;=Allocation[[#This Row],[Quantity Processed]]</f>
        <v>1</v>
      </c>
    </row>
    <row r="1314" spans="1:26">
      <c r="A1314" s="247" t="s">
        <v>467</v>
      </c>
      <c r="B1314" s="210" t="s">
        <v>68</v>
      </c>
      <c r="C1314" s="254" t="s">
        <v>1679</v>
      </c>
      <c r="D1314" s="255">
        <v>5291</v>
      </c>
      <c r="E1314" s="211" t="s">
        <v>1877</v>
      </c>
      <c r="F1314" s="212">
        <v>43544</v>
      </c>
      <c r="G1314" s="213">
        <v>2.7</v>
      </c>
      <c r="H1314" s="256">
        <v>1746</v>
      </c>
      <c r="I1314" s="214">
        <v>1446442</v>
      </c>
      <c r="J1314" s="215">
        <v>21600</v>
      </c>
      <c r="K1314" s="212">
        <v>43587</v>
      </c>
      <c r="L1314" s="211" t="s">
        <v>1886</v>
      </c>
      <c r="M1314" s="216">
        <v>4615445946</v>
      </c>
      <c r="N1314" s="212">
        <v>43682</v>
      </c>
      <c r="O1314" s="217">
        <v>3.9611999999999998</v>
      </c>
      <c r="P1314" s="219"/>
      <c r="Q1314" s="34">
        <f>SUMIF(Allocation[Delivery ID],Allocation[[#This Row],[Delivery ID]],Allocation[Quantity Processed])</f>
        <v>14788</v>
      </c>
      <c r="R1314" s="61">
        <f>Allocation[[#This Row],[Total volume used]]/VLOOKUP(Allocation[[#This Row],[Delivery ID]],Delivery[[Delivery ID]:[Quantity delivered]],3,FALSE)</f>
        <v>0.64763072611018657</v>
      </c>
      <c r="S1314" s="34">
        <f>Allocation[[#This Row],[Quantity Processed]]/Allocation[[#This Row],[Dilution rate]]</f>
        <v>1959.6296296296296</v>
      </c>
      <c r="T1314" s="59">
        <f>SUMIF(Allocation[Delivery ID],Allocation[[#This Row],[Delivery ID]],Allocation[Quantity allocated])/SUMIF(Allocation[Delivery ID],Allocation[[#This Row],[Delivery ID]],Allocation[Volume available (kg)])</f>
        <v>0.88069254249133311</v>
      </c>
      <c r="U1314" s="61">
        <f>Allocation[[#This Row],[Total volume used]]/VLOOKUP(Allocation[[#This Row],[Delivery ID]],Delivery[[Delivery ID]:[Quantity delivered]],3,FALSE)</f>
        <v>0.64763072611018657</v>
      </c>
      <c r="V1314" s="34" t="e">
        <f>VLOOKUP(Allocation[[#This Row],[SAP Contract number]],Shipments[[SAP Contract number]:[Contracted container weight]],2,FALSE)</f>
        <v>#N/A</v>
      </c>
      <c r="W1314" s="34" t="e">
        <f>VLOOKUP(Allocation[[#This Row],[SAP Contract number]],Shipments[[SAP Contract number]:[AAA Premium USD]],24,FALSE)</f>
        <v>#N/A</v>
      </c>
      <c r="X1314" s="34" t="e">
        <f>VLOOKUP(Allocation[[#This Row],[SAP Contract number]],Shipments[[SAP Contract number]:[RA Premium USD]],25,FALSE)</f>
        <v>#N/A</v>
      </c>
      <c r="Y1314" s="38">
        <f>Allocation[[#This Row],[Quantity Processed]]/Allocation[[#This Row],[Quantity allocated]]</f>
        <v>3.0303550973654065</v>
      </c>
      <c r="Z1314" s="34" t="b">
        <f>Allocation[[#This Row],[Quantity allocated]]&lt;=Allocation[[#This Row],[Quantity Processed]]</f>
        <v>1</v>
      </c>
    </row>
    <row r="1315" spans="1:26">
      <c r="A1315" s="247" t="s">
        <v>467</v>
      </c>
      <c r="B1315" s="210" t="s">
        <v>68</v>
      </c>
      <c r="C1315" s="254" t="s">
        <v>1688</v>
      </c>
      <c r="D1315" s="255">
        <v>6270</v>
      </c>
      <c r="E1315" s="211" t="s">
        <v>1877</v>
      </c>
      <c r="F1315" s="212">
        <v>43544</v>
      </c>
      <c r="G1315" s="213">
        <v>2.7</v>
      </c>
      <c r="H1315" s="256">
        <v>2508</v>
      </c>
      <c r="I1315" s="214">
        <v>1446442</v>
      </c>
      <c r="J1315" s="215">
        <v>21600</v>
      </c>
      <c r="K1315" s="212">
        <v>43587</v>
      </c>
      <c r="L1315" s="211" t="s">
        <v>1886</v>
      </c>
      <c r="M1315" s="216">
        <v>4615445946</v>
      </c>
      <c r="N1315" s="212">
        <v>43682</v>
      </c>
      <c r="O1315" s="217">
        <v>3.9611999999999998</v>
      </c>
      <c r="P1315" s="219"/>
      <c r="Q1315" s="34">
        <f>SUMIF(Allocation[Delivery ID],Allocation[[#This Row],[Delivery ID]],Allocation[Quantity Processed])</f>
        <v>22081</v>
      </c>
      <c r="R1315" s="61">
        <f>Allocation[[#This Row],[Total volume used]]/VLOOKUP(Allocation[[#This Row],[Delivery ID]],Delivery[[Delivery ID]:[Quantity delivered]],3,FALSE)</f>
        <v>0.71459546925566342</v>
      </c>
      <c r="S1315" s="34">
        <f>Allocation[[#This Row],[Quantity Processed]]/Allocation[[#This Row],[Dilution rate]]</f>
        <v>2322.2222222222222</v>
      </c>
      <c r="T1315" s="59">
        <f>SUMIF(Allocation[Delivery ID],Allocation[[#This Row],[Delivery ID]],Allocation[Quantity allocated])/SUMIF(Allocation[Delivery ID],Allocation[[#This Row],[Delivery ID]],Allocation[Volume available (kg)])</f>
        <v>1.0632988843733371</v>
      </c>
      <c r="U1315" s="61">
        <f>Allocation[[#This Row],[Total volume used]]/VLOOKUP(Allocation[[#This Row],[Delivery ID]],Delivery[[Delivery ID]:[Quantity delivered]],3,FALSE)</f>
        <v>0.71459546925566342</v>
      </c>
      <c r="V1315" s="34" t="e">
        <f>VLOOKUP(Allocation[[#This Row],[SAP Contract number]],Shipments[[SAP Contract number]:[Contracted container weight]],2,FALSE)</f>
        <v>#N/A</v>
      </c>
      <c r="W1315" s="34" t="e">
        <f>VLOOKUP(Allocation[[#This Row],[SAP Contract number]],Shipments[[SAP Contract number]:[AAA Premium USD]],24,FALSE)</f>
        <v>#N/A</v>
      </c>
      <c r="X1315" s="34" t="e">
        <f>VLOOKUP(Allocation[[#This Row],[SAP Contract number]],Shipments[[SAP Contract number]:[RA Premium USD]],25,FALSE)</f>
        <v>#N/A</v>
      </c>
      <c r="Y1315" s="38">
        <f>Allocation[[#This Row],[Quantity Processed]]/Allocation[[#This Row],[Quantity allocated]]</f>
        <v>2.5</v>
      </c>
      <c r="Z1315" s="34" t="b">
        <f>Allocation[[#This Row],[Quantity allocated]]&lt;=Allocation[[#This Row],[Quantity Processed]]</f>
        <v>1</v>
      </c>
    </row>
    <row r="1316" spans="1:26">
      <c r="A1316" s="247" t="s">
        <v>467</v>
      </c>
      <c r="B1316" s="210" t="s">
        <v>68</v>
      </c>
      <c r="C1316" s="254" t="s">
        <v>1689</v>
      </c>
      <c r="D1316" s="255">
        <v>6265</v>
      </c>
      <c r="E1316" s="211" t="s">
        <v>1877</v>
      </c>
      <c r="F1316" s="212">
        <v>43544</v>
      </c>
      <c r="G1316" s="213">
        <v>2.7</v>
      </c>
      <c r="H1316" s="256">
        <v>2506</v>
      </c>
      <c r="I1316" s="214">
        <v>1446442</v>
      </c>
      <c r="J1316" s="215">
        <v>21600</v>
      </c>
      <c r="K1316" s="212">
        <v>43587</v>
      </c>
      <c r="L1316" s="211" t="s">
        <v>1886</v>
      </c>
      <c r="M1316" s="216">
        <v>4615445946</v>
      </c>
      <c r="N1316" s="212">
        <v>43682</v>
      </c>
      <c r="O1316" s="217">
        <v>3.9611999999999998</v>
      </c>
      <c r="P1316" s="219"/>
      <c r="Q1316" s="34">
        <f>SUMIF(Allocation[Delivery ID],Allocation[[#This Row],[Delivery ID]],Allocation[Quantity Processed])</f>
        <v>22068</v>
      </c>
      <c r="R1316" s="61">
        <f>Allocation[[#This Row],[Total volume used]]/VLOOKUP(Allocation[[#This Row],[Delivery ID]],Delivery[[Delivery ID]:[Quantity delivered]],3,FALSE)</f>
        <v>0.71463730569948192</v>
      </c>
      <c r="S1316" s="34">
        <f>Allocation[[#This Row],[Quantity Processed]]/Allocation[[#This Row],[Dilution rate]]</f>
        <v>2320.3703703703704</v>
      </c>
      <c r="T1316" s="59">
        <f>SUMIF(Allocation[Delivery ID],Allocation[[#This Row],[Delivery ID]],Allocation[Quantity allocated])/SUMIF(Allocation[Delivery ID],Allocation[[#This Row],[Delivery ID]],Allocation[Volume available (kg)])</f>
        <v>1.0633215949443131</v>
      </c>
      <c r="U1316" s="61">
        <f>Allocation[[#This Row],[Total volume used]]/VLOOKUP(Allocation[[#This Row],[Delivery ID]],Delivery[[Delivery ID]:[Quantity delivered]],3,FALSE)</f>
        <v>0.71463730569948192</v>
      </c>
      <c r="V1316" s="34" t="e">
        <f>VLOOKUP(Allocation[[#This Row],[SAP Contract number]],Shipments[[SAP Contract number]:[Contracted container weight]],2,FALSE)</f>
        <v>#N/A</v>
      </c>
      <c r="W1316" s="34" t="e">
        <f>VLOOKUP(Allocation[[#This Row],[SAP Contract number]],Shipments[[SAP Contract number]:[AAA Premium USD]],24,FALSE)</f>
        <v>#N/A</v>
      </c>
      <c r="X1316" s="34" t="e">
        <f>VLOOKUP(Allocation[[#This Row],[SAP Contract number]],Shipments[[SAP Contract number]:[RA Premium USD]],25,FALSE)</f>
        <v>#N/A</v>
      </c>
      <c r="Y1316" s="38">
        <f>Allocation[[#This Row],[Quantity Processed]]/Allocation[[#This Row],[Quantity allocated]]</f>
        <v>2.5</v>
      </c>
      <c r="Z1316" s="34" t="b">
        <f>Allocation[[#This Row],[Quantity allocated]]&lt;=Allocation[[#This Row],[Quantity Processed]]</f>
        <v>1</v>
      </c>
    </row>
    <row r="1317" spans="1:26">
      <c r="A1317" s="247" t="s">
        <v>467</v>
      </c>
      <c r="B1317" s="210" t="s">
        <v>68</v>
      </c>
      <c r="C1317" s="254" t="s">
        <v>1152</v>
      </c>
      <c r="D1317" s="255">
        <v>6595</v>
      </c>
      <c r="E1317" s="211" t="s">
        <v>1877</v>
      </c>
      <c r="F1317" s="212">
        <v>43544</v>
      </c>
      <c r="G1317" s="213">
        <v>2.7</v>
      </c>
      <c r="H1317" s="256">
        <v>2308</v>
      </c>
      <c r="I1317" s="214">
        <v>1446442</v>
      </c>
      <c r="J1317" s="215">
        <v>21600</v>
      </c>
      <c r="K1317" s="212">
        <v>43587</v>
      </c>
      <c r="L1317" s="211" t="s">
        <v>1886</v>
      </c>
      <c r="M1317" s="216">
        <v>4615445946</v>
      </c>
      <c r="N1317" s="212">
        <v>43682</v>
      </c>
      <c r="O1317" s="217">
        <v>3.9611999999999998</v>
      </c>
      <c r="P1317" s="219"/>
      <c r="Q1317" s="34">
        <f>SUMIF(Allocation[Delivery ID],Allocation[[#This Row],[Delivery ID]],Allocation[Quantity Processed])</f>
        <v>24112</v>
      </c>
      <c r="R1317" s="61">
        <f>Allocation[[#This Row],[Total volume used]]/VLOOKUP(Allocation[[#This Row],[Delivery ID]],Delivery[[Delivery ID]:[Quantity delivered]],3,FALSE)</f>
        <v>1</v>
      </c>
      <c r="S1317" s="34">
        <f>Allocation[[#This Row],[Quantity Processed]]/Allocation[[#This Row],[Dilution rate]]</f>
        <v>2442.5925925925926</v>
      </c>
      <c r="T1317" s="59">
        <f>SUMIF(Allocation[Delivery ID],Allocation[[#This Row],[Delivery ID]],Allocation[Quantity allocated])/SUMIF(Allocation[Delivery ID],Allocation[[#This Row],[Delivery ID]],Allocation[Volume available (kg)])</f>
        <v>0.89115983858053149</v>
      </c>
      <c r="U1317" s="61">
        <f>Allocation[[#This Row],[Total volume used]]/VLOOKUP(Allocation[[#This Row],[Delivery ID]],Delivery[[Delivery ID]:[Quantity delivered]],3,FALSE)</f>
        <v>1</v>
      </c>
      <c r="V1317" s="34" t="e">
        <f>VLOOKUP(Allocation[[#This Row],[SAP Contract number]],Shipments[[SAP Contract number]:[Contracted container weight]],2,FALSE)</f>
        <v>#N/A</v>
      </c>
      <c r="W1317" s="34" t="e">
        <f>VLOOKUP(Allocation[[#This Row],[SAP Contract number]],Shipments[[SAP Contract number]:[AAA Premium USD]],24,FALSE)</f>
        <v>#N/A</v>
      </c>
      <c r="X1317" s="34" t="e">
        <f>VLOOKUP(Allocation[[#This Row],[SAP Contract number]],Shipments[[SAP Contract number]:[RA Premium USD]],25,FALSE)</f>
        <v>#N/A</v>
      </c>
      <c r="Y1317" s="38">
        <f>Allocation[[#This Row],[Quantity Processed]]/Allocation[[#This Row],[Quantity allocated]]</f>
        <v>2.8574523396880416</v>
      </c>
      <c r="Z1317" s="34" t="b">
        <f>Allocation[[#This Row],[Quantity allocated]]&lt;=Allocation[[#This Row],[Quantity Processed]]</f>
        <v>1</v>
      </c>
    </row>
    <row r="1318" spans="1:26">
      <c r="A1318" s="247" t="s">
        <v>467</v>
      </c>
      <c r="B1318" s="210" t="s">
        <v>68</v>
      </c>
      <c r="C1318" s="254" t="s">
        <v>1152</v>
      </c>
      <c r="D1318" s="255">
        <v>454</v>
      </c>
      <c r="E1318" s="211" t="s">
        <v>1877</v>
      </c>
      <c r="F1318" s="212">
        <v>43544</v>
      </c>
      <c r="G1318" s="213">
        <v>2.7</v>
      </c>
      <c r="H1318" s="256">
        <v>159</v>
      </c>
      <c r="I1318" s="214">
        <v>1446443</v>
      </c>
      <c r="J1318" s="215">
        <v>21600</v>
      </c>
      <c r="K1318" s="212">
        <v>43587</v>
      </c>
      <c r="L1318" s="211" t="s">
        <v>1887</v>
      </c>
      <c r="M1318" s="216">
        <v>4615445946</v>
      </c>
      <c r="N1318" s="212">
        <v>43682</v>
      </c>
      <c r="O1318" s="217">
        <v>3.9611999999999998</v>
      </c>
      <c r="P1318" s="219"/>
      <c r="Q1318" s="34">
        <f>SUMIF(Allocation[Delivery ID],Allocation[[#This Row],[Delivery ID]],Allocation[Quantity Processed])</f>
        <v>24112</v>
      </c>
      <c r="R1318" s="61">
        <f>Allocation[[#This Row],[Total volume used]]/VLOOKUP(Allocation[[#This Row],[Delivery ID]],Delivery[[Delivery ID]:[Quantity delivered]],3,FALSE)</f>
        <v>1</v>
      </c>
      <c r="S1318" s="34">
        <f>Allocation[[#This Row],[Quantity Processed]]/Allocation[[#This Row],[Dilution rate]]</f>
        <v>168.14814814814812</v>
      </c>
      <c r="T1318" s="59">
        <f>SUMIF(Allocation[Delivery ID],Allocation[[#This Row],[Delivery ID]],Allocation[Quantity allocated])/SUMIF(Allocation[Delivery ID],Allocation[[#This Row],[Delivery ID]],Allocation[Volume available (kg)])</f>
        <v>0.89115983858053149</v>
      </c>
      <c r="U1318" s="61">
        <f>Allocation[[#This Row],[Total volume used]]/VLOOKUP(Allocation[[#This Row],[Delivery ID]],Delivery[[Delivery ID]:[Quantity delivered]],3,FALSE)</f>
        <v>1</v>
      </c>
      <c r="V1318" s="34" t="e">
        <f>VLOOKUP(Allocation[[#This Row],[SAP Contract number]],Shipments[[SAP Contract number]:[Contracted container weight]],2,FALSE)</f>
        <v>#N/A</v>
      </c>
      <c r="W1318" s="34" t="e">
        <f>VLOOKUP(Allocation[[#This Row],[SAP Contract number]],Shipments[[SAP Contract number]:[AAA Premium USD]],24,FALSE)</f>
        <v>#N/A</v>
      </c>
      <c r="X1318" s="34" t="e">
        <f>VLOOKUP(Allocation[[#This Row],[SAP Contract number]],Shipments[[SAP Contract number]:[RA Premium USD]],25,FALSE)</f>
        <v>#N/A</v>
      </c>
      <c r="Y1318" s="38">
        <f>Allocation[[#This Row],[Quantity Processed]]/Allocation[[#This Row],[Quantity allocated]]</f>
        <v>2.8553459119496853</v>
      </c>
      <c r="Z1318" s="34" t="b">
        <f>Allocation[[#This Row],[Quantity allocated]]&lt;=Allocation[[#This Row],[Quantity Processed]]</f>
        <v>1</v>
      </c>
    </row>
    <row r="1319" spans="1:26">
      <c r="A1319" s="247" t="s">
        <v>467</v>
      </c>
      <c r="B1319" s="210" t="s">
        <v>68</v>
      </c>
      <c r="C1319" s="254" t="s">
        <v>1153</v>
      </c>
      <c r="D1319" s="255">
        <v>1763</v>
      </c>
      <c r="E1319" s="211" t="s">
        <v>1877</v>
      </c>
      <c r="F1319" s="212">
        <v>43544</v>
      </c>
      <c r="G1319" s="213">
        <v>2.7</v>
      </c>
      <c r="H1319" s="256">
        <v>617</v>
      </c>
      <c r="I1319" s="214">
        <v>1446443</v>
      </c>
      <c r="J1319" s="215">
        <v>21600</v>
      </c>
      <c r="K1319" s="212">
        <v>43587</v>
      </c>
      <c r="L1319" s="211" t="s">
        <v>1887</v>
      </c>
      <c r="M1319" s="216">
        <v>4615445946</v>
      </c>
      <c r="N1319" s="212">
        <v>43682</v>
      </c>
      <c r="O1319" s="217">
        <v>3.9611999999999998</v>
      </c>
      <c r="P1319" s="219"/>
      <c r="Q1319" s="34">
        <f>SUMIF(Allocation[Delivery ID],Allocation[[#This Row],[Delivery ID]],Allocation[Quantity Processed])</f>
        <v>6028</v>
      </c>
      <c r="R1319" s="61">
        <f>Allocation[[#This Row],[Total volume used]]/VLOOKUP(Allocation[[#This Row],[Delivery ID]],Delivery[[Delivery ID]:[Quantity delivered]],3,FALSE)</f>
        <v>1</v>
      </c>
      <c r="S1319" s="34">
        <f>Allocation[[#This Row],[Quantity Processed]]/Allocation[[#This Row],[Dilution rate]]</f>
        <v>652.96296296296293</v>
      </c>
      <c r="T1319" s="59">
        <f>SUMIF(Allocation[Delivery ID],Allocation[[#This Row],[Delivery ID]],Allocation[Quantity allocated])/SUMIF(Allocation[Delivery ID],Allocation[[#This Row],[Delivery ID]],Allocation[Volume available (kg)])</f>
        <v>0.89160953867856818</v>
      </c>
      <c r="U1319" s="61">
        <f>Allocation[[#This Row],[Total volume used]]/VLOOKUP(Allocation[[#This Row],[Delivery ID]],Delivery[[Delivery ID]:[Quantity delivered]],3,FALSE)</f>
        <v>1</v>
      </c>
      <c r="V1319" s="34" t="e">
        <f>VLOOKUP(Allocation[[#This Row],[SAP Contract number]],Shipments[[SAP Contract number]:[Contracted container weight]],2,FALSE)</f>
        <v>#N/A</v>
      </c>
      <c r="W1319" s="34" t="e">
        <f>VLOOKUP(Allocation[[#This Row],[SAP Contract number]],Shipments[[SAP Contract number]:[AAA Premium USD]],24,FALSE)</f>
        <v>#N/A</v>
      </c>
      <c r="X1319" s="34" t="e">
        <f>VLOOKUP(Allocation[[#This Row],[SAP Contract number]],Shipments[[SAP Contract number]:[RA Premium USD]],25,FALSE)</f>
        <v>#N/A</v>
      </c>
      <c r="Y1319" s="38">
        <f>Allocation[[#This Row],[Quantity Processed]]/Allocation[[#This Row],[Quantity allocated]]</f>
        <v>2.8573743922204216</v>
      </c>
      <c r="Z1319" s="34" t="b">
        <f>Allocation[[#This Row],[Quantity allocated]]&lt;=Allocation[[#This Row],[Quantity Processed]]</f>
        <v>1</v>
      </c>
    </row>
    <row r="1320" spans="1:26">
      <c r="A1320" s="247" t="s">
        <v>467</v>
      </c>
      <c r="B1320" s="210" t="s">
        <v>68</v>
      </c>
      <c r="C1320" s="254" t="s">
        <v>1154</v>
      </c>
      <c r="D1320" s="255">
        <v>8843</v>
      </c>
      <c r="E1320" s="211" t="s">
        <v>1877</v>
      </c>
      <c r="F1320" s="212">
        <v>43544</v>
      </c>
      <c r="G1320" s="213">
        <v>2.7</v>
      </c>
      <c r="H1320" s="256">
        <v>3095</v>
      </c>
      <c r="I1320" s="214">
        <v>1446443</v>
      </c>
      <c r="J1320" s="215">
        <v>21600</v>
      </c>
      <c r="K1320" s="212">
        <v>43587</v>
      </c>
      <c r="L1320" s="211" t="s">
        <v>1887</v>
      </c>
      <c r="M1320" s="216">
        <v>4615445946</v>
      </c>
      <c r="N1320" s="212">
        <v>43682</v>
      </c>
      <c r="O1320" s="217">
        <v>3.9611999999999998</v>
      </c>
      <c r="P1320" s="219"/>
      <c r="Q1320" s="34">
        <f>SUMIF(Allocation[Delivery ID],Allocation[[#This Row],[Delivery ID]],Allocation[Quantity Processed])</f>
        <v>30250</v>
      </c>
      <c r="R1320" s="61">
        <f>Allocation[[#This Row],[Total volume used]]/VLOOKUP(Allocation[[#This Row],[Delivery ID]],Delivery[[Delivery ID]:[Quantity delivered]],3,FALSE)</f>
        <v>1</v>
      </c>
      <c r="S1320" s="34">
        <f>Allocation[[#This Row],[Quantity Processed]]/Allocation[[#This Row],[Dilution rate]]</f>
        <v>3275.1851851851848</v>
      </c>
      <c r="T1320" s="59">
        <f>SUMIF(Allocation[Delivery ID],Allocation[[#This Row],[Delivery ID]],Allocation[Quantity allocated])/SUMIF(Allocation[Delivery ID],Allocation[[#This Row],[Delivery ID]],Allocation[Volume available (kg)])</f>
        <v>0.89079977299863311</v>
      </c>
      <c r="U1320" s="61">
        <f>Allocation[[#This Row],[Total volume used]]/VLOOKUP(Allocation[[#This Row],[Delivery ID]],Delivery[[Delivery ID]:[Quantity delivered]],3,FALSE)</f>
        <v>1</v>
      </c>
      <c r="V1320" s="34" t="e">
        <f>VLOOKUP(Allocation[[#This Row],[SAP Contract number]],Shipments[[SAP Contract number]:[Contracted container weight]],2,FALSE)</f>
        <v>#N/A</v>
      </c>
      <c r="W1320" s="34" t="e">
        <f>VLOOKUP(Allocation[[#This Row],[SAP Contract number]],Shipments[[SAP Contract number]:[AAA Premium USD]],24,FALSE)</f>
        <v>#N/A</v>
      </c>
      <c r="X1320" s="34" t="e">
        <f>VLOOKUP(Allocation[[#This Row],[SAP Contract number]],Shipments[[SAP Contract number]:[RA Premium USD]],25,FALSE)</f>
        <v>#N/A</v>
      </c>
      <c r="Y1320" s="38">
        <f>Allocation[[#This Row],[Quantity Processed]]/Allocation[[#This Row],[Quantity allocated]]</f>
        <v>2.8571890145395802</v>
      </c>
      <c r="Z1320" s="34" t="b">
        <f>Allocation[[#This Row],[Quantity allocated]]&lt;=Allocation[[#This Row],[Quantity Processed]]</f>
        <v>1</v>
      </c>
    </row>
    <row r="1321" spans="1:26">
      <c r="A1321" s="247" t="s">
        <v>467</v>
      </c>
      <c r="B1321" s="210" t="s">
        <v>68</v>
      </c>
      <c r="C1321" s="254" t="s">
        <v>1690</v>
      </c>
      <c r="D1321" s="255">
        <v>11765</v>
      </c>
      <c r="E1321" s="211" t="s">
        <v>1877</v>
      </c>
      <c r="F1321" s="212">
        <v>43544</v>
      </c>
      <c r="G1321" s="213">
        <v>2.7</v>
      </c>
      <c r="H1321" s="256">
        <v>4000</v>
      </c>
      <c r="I1321" s="214">
        <v>1446443</v>
      </c>
      <c r="J1321" s="215">
        <v>21600</v>
      </c>
      <c r="K1321" s="212">
        <v>43587</v>
      </c>
      <c r="L1321" s="211" t="s">
        <v>1887</v>
      </c>
      <c r="M1321" s="216">
        <v>4615445946</v>
      </c>
      <c r="N1321" s="212">
        <v>43682</v>
      </c>
      <c r="O1321" s="217">
        <v>3.9611999999999998</v>
      </c>
      <c r="P1321" s="219"/>
      <c r="Q1321" s="34">
        <f>SUMIF(Allocation[Delivery ID],Allocation[[#This Row],[Delivery ID]],Allocation[Quantity Processed])</f>
        <v>37980</v>
      </c>
      <c r="R1321" s="61">
        <f>Allocation[[#This Row],[Total volume used]]/VLOOKUP(Allocation[[#This Row],[Delivery ID]],Delivery[[Delivery ID]:[Quantity delivered]],3,FALSE)</f>
        <v>1</v>
      </c>
      <c r="S1321" s="34">
        <f>Allocation[[#This Row],[Quantity Processed]]/Allocation[[#This Row],[Dilution rate]]</f>
        <v>4357.4074074074069</v>
      </c>
      <c r="T1321" s="59">
        <f>SUMIF(Allocation[Delivery ID],Allocation[[#This Row],[Delivery ID]],Allocation[Quantity allocated])/SUMIF(Allocation[Delivery ID],Allocation[[#This Row],[Delivery ID]],Allocation[Volume available (kg)])</f>
        <v>0.90783705734408049</v>
      </c>
      <c r="U1321" s="61">
        <f>Allocation[[#This Row],[Total volume used]]/VLOOKUP(Allocation[[#This Row],[Delivery ID]],Delivery[[Delivery ID]:[Quantity delivered]],3,FALSE)</f>
        <v>1</v>
      </c>
      <c r="V1321" s="34" t="e">
        <f>VLOOKUP(Allocation[[#This Row],[SAP Contract number]],Shipments[[SAP Contract number]:[Contracted container weight]],2,FALSE)</f>
        <v>#N/A</v>
      </c>
      <c r="W1321" s="34" t="e">
        <f>VLOOKUP(Allocation[[#This Row],[SAP Contract number]],Shipments[[SAP Contract number]:[AAA Premium USD]],24,FALSE)</f>
        <v>#N/A</v>
      </c>
      <c r="X1321" s="34" t="e">
        <f>VLOOKUP(Allocation[[#This Row],[SAP Contract number]],Shipments[[SAP Contract number]:[RA Premium USD]],25,FALSE)</f>
        <v>#N/A</v>
      </c>
      <c r="Y1321" s="38">
        <f>Allocation[[#This Row],[Quantity Processed]]/Allocation[[#This Row],[Quantity allocated]]</f>
        <v>2.9412500000000001</v>
      </c>
      <c r="Z1321" s="34" t="b">
        <f>Allocation[[#This Row],[Quantity allocated]]&lt;=Allocation[[#This Row],[Quantity Processed]]</f>
        <v>1</v>
      </c>
    </row>
    <row r="1322" spans="1:26">
      <c r="A1322" s="247" t="s">
        <v>467</v>
      </c>
      <c r="B1322" s="210" t="s">
        <v>68</v>
      </c>
      <c r="C1322" s="254" t="s">
        <v>1155</v>
      </c>
      <c r="D1322" s="255">
        <v>8800</v>
      </c>
      <c r="E1322" s="211" t="s">
        <v>1877</v>
      </c>
      <c r="F1322" s="212">
        <v>43544</v>
      </c>
      <c r="G1322" s="213">
        <v>2.7</v>
      </c>
      <c r="H1322" s="256">
        <v>3080</v>
      </c>
      <c r="I1322" s="214">
        <v>1446443</v>
      </c>
      <c r="J1322" s="215">
        <v>21600</v>
      </c>
      <c r="K1322" s="212">
        <v>43587</v>
      </c>
      <c r="L1322" s="211" t="s">
        <v>1887</v>
      </c>
      <c r="M1322" s="216">
        <v>4615445946</v>
      </c>
      <c r="N1322" s="212">
        <v>43682</v>
      </c>
      <c r="O1322" s="217">
        <v>3.9611999999999998</v>
      </c>
      <c r="P1322" s="219"/>
      <c r="Q1322" s="34">
        <f>SUMIF(Allocation[Delivery ID],Allocation[[#This Row],[Delivery ID]],Allocation[Quantity Processed])</f>
        <v>30110</v>
      </c>
      <c r="R1322" s="61">
        <f>Allocation[[#This Row],[Total volume used]]/VLOOKUP(Allocation[[#This Row],[Delivery ID]],Delivery[[Delivery ID]:[Quantity delivered]],3,FALSE)</f>
        <v>1</v>
      </c>
      <c r="S1322" s="34">
        <f>Allocation[[#This Row],[Quantity Processed]]/Allocation[[#This Row],[Dilution rate]]</f>
        <v>3259.2592592592591</v>
      </c>
      <c r="T1322" s="59">
        <f>SUMIF(Allocation[Delivery ID],Allocation[[#This Row],[Delivery ID]],Allocation[Quantity allocated])/SUMIF(Allocation[Delivery ID],Allocation[[#This Row],[Delivery ID]],Allocation[Volume available (kg)])</f>
        <v>0.89099699146553557</v>
      </c>
      <c r="U1322" s="61">
        <f>Allocation[[#This Row],[Total volume used]]/VLOOKUP(Allocation[[#This Row],[Delivery ID]],Delivery[[Delivery ID]:[Quantity delivered]],3,FALSE)</f>
        <v>1</v>
      </c>
      <c r="V1322" s="34" t="e">
        <f>VLOOKUP(Allocation[[#This Row],[SAP Contract number]],Shipments[[SAP Contract number]:[Contracted container weight]],2,FALSE)</f>
        <v>#N/A</v>
      </c>
      <c r="W1322" s="34" t="e">
        <f>VLOOKUP(Allocation[[#This Row],[SAP Contract number]],Shipments[[SAP Contract number]:[AAA Premium USD]],24,FALSE)</f>
        <v>#N/A</v>
      </c>
      <c r="X1322" s="34" t="e">
        <f>VLOOKUP(Allocation[[#This Row],[SAP Contract number]],Shipments[[SAP Contract number]:[RA Premium USD]],25,FALSE)</f>
        <v>#N/A</v>
      </c>
      <c r="Y1322" s="38">
        <f>Allocation[[#This Row],[Quantity Processed]]/Allocation[[#This Row],[Quantity allocated]]</f>
        <v>2.8571428571428572</v>
      </c>
      <c r="Z1322" s="34" t="b">
        <f>Allocation[[#This Row],[Quantity allocated]]&lt;=Allocation[[#This Row],[Quantity Processed]]</f>
        <v>1</v>
      </c>
    </row>
    <row r="1323" spans="1:26">
      <c r="A1323" s="247" t="s">
        <v>467</v>
      </c>
      <c r="B1323" s="210" t="s">
        <v>68</v>
      </c>
      <c r="C1323" s="254" t="s">
        <v>1695</v>
      </c>
      <c r="D1323" s="255">
        <v>8127</v>
      </c>
      <c r="E1323" s="211" t="s">
        <v>1877</v>
      </c>
      <c r="F1323" s="212">
        <v>43544</v>
      </c>
      <c r="G1323" s="213">
        <v>2.7</v>
      </c>
      <c r="H1323" s="256">
        <v>2438</v>
      </c>
      <c r="I1323" s="214">
        <v>1446443</v>
      </c>
      <c r="J1323" s="215">
        <v>21600</v>
      </c>
      <c r="K1323" s="212">
        <v>43587</v>
      </c>
      <c r="L1323" s="211" t="s">
        <v>1887</v>
      </c>
      <c r="M1323" s="216">
        <v>4615445946</v>
      </c>
      <c r="N1323" s="212">
        <v>43682</v>
      </c>
      <c r="O1323" s="217">
        <v>3.9611999999999998</v>
      </c>
      <c r="P1323" s="219"/>
      <c r="Q1323" s="34">
        <f>SUMIF(Allocation[Delivery ID],Allocation[[#This Row],[Delivery ID]],Allocation[Quantity Processed])</f>
        <v>23530</v>
      </c>
      <c r="R1323" s="61">
        <f>Allocation[[#This Row],[Total volume used]]/VLOOKUP(Allocation[[#This Row],[Delivery ID]],Delivery[[Delivery ID]:[Quantity delivered]],3,FALSE)</f>
        <v>0.78328894806924099</v>
      </c>
      <c r="S1323" s="34">
        <f>Allocation[[#This Row],[Quantity Processed]]/Allocation[[#This Row],[Dilution rate]]</f>
        <v>3010</v>
      </c>
      <c r="T1323" s="59">
        <f>SUMIF(Allocation[Delivery ID],Allocation[[#This Row],[Delivery ID]],Allocation[Quantity allocated])/SUMIF(Allocation[Delivery ID],Allocation[[#This Row],[Delivery ID]],Allocation[Volume available (kg)])</f>
        <v>0.80004597707588787</v>
      </c>
      <c r="U1323" s="61">
        <f>Allocation[[#This Row],[Total volume used]]/VLOOKUP(Allocation[[#This Row],[Delivery ID]],Delivery[[Delivery ID]:[Quantity delivered]],3,FALSE)</f>
        <v>0.78328894806924099</v>
      </c>
      <c r="V1323" s="34" t="e">
        <f>VLOOKUP(Allocation[[#This Row],[SAP Contract number]],Shipments[[SAP Contract number]:[Contracted container weight]],2,FALSE)</f>
        <v>#N/A</v>
      </c>
      <c r="W1323" s="34" t="e">
        <f>VLOOKUP(Allocation[[#This Row],[SAP Contract number]],Shipments[[SAP Contract number]:[AAA Premium USD]],24,FALSE)</f>
        <v>#N/A</v>
      </c>
      <c r="X1323" s="34" t="e">
        <f>VLOOKUP(Allocation[[#This Row],[SAP Contract number]],Shipments[[SAP Contract number]:[RA Premium USD]],25,FALSE)</f>
        <v>#N/A</v>
      </c>
      <c r="Y1323" s="38">
        <f>Allocation[[#This Row],[Quantity Processed]]/Allocation[[#This Row],[Quantity allocated]]</f>
        <v>3.3334700574241181</v>
      </c>
      <c r="Z1323" s="34" t="b">
        <f>Allocation[[#This Row],[Quantity allocated]]&lt;=Allocation[[#This Row],[Quantity Processed]]</f>
        <v>1</v>
      </c>
    </row>
    <row r="1324" spans="1:26">
      <c r="A1324" s="247" t="s">
        <v>467</v>
      </c>
      <c r="B1324" s="210" t="s">
        <v>68</v>
      </c>
      <c r="C1324" s="254" t="s">
        <v>1156</v>
      </c>
      <c r="D1324" s="255">
        <v>3269</v>
      </c>
      <c r="E1324" s="211" t="s">
        <v>1877</v>
      </c>
      <c r="F1324" s="212">
        <v>43544</v>
      </c>
      <c r="G1324" s="213">
        <v>2.7</v>
      </c>
      <c r="H1324" s="256">
        <v>1200</v>
      </c>
      <c r="I1324" s="214">
        <v>1446443</v>
      </c>
      <c r="J1324" s="215">
        <v>21600</v>
      </c>
      <c r="K1324" s="212">
        <v>43587</v>
      </c>
      <c r="L1324" s="211" t="s">
        <v>1887</v>
      </c>
      <c r="M1324" s="216">
        <v>4615445946</v>
      </c>
      <c r="N1324" s="212">
        <v>43682</v>
      </c>
      <c r="O1324" s="217">
        <v>3.9611999999999998</v>
      </c>
      <c r="P1324" s="219"/>
      <c r="Q1324" s="34">
        <f>SUMIF(Allocation[Delivery ID],Allocation[[#This Row],[Delivery ID]],Allocation[Quantity Processed])</f>
        <v>17460</v>
      </c>
      <c r="R1324" s="61">
        <f>Allocation[[#This Row],[Total volume used]]/VLOOKUP(Allocation[[#This Row],[Delivery ID]],Delivery[[Delivery ID]:[Quantity delivered]],3,FALSE)</f>
        <v>1</v>
      </c>
      <c r="S1324" s="34">
        <f>Allocation[[#This Row],[Quantity Processed]]/Allocation[[#This Row],[Dilution rate]]</f>
        <v>1210.7407407407406</v>
      </c>
      <c r="T1324" s="59">
        <f>SUMIF(Allocation[Delivery ID],Allocation[[#This Row],[Delivery ID]],Allocation[Quantity allocated])/SUMIF(Allocation[Delivery ID],Allocation[[#This Row],[Delivery ID]],Allocation[Volume available (kg)])</f>
        <v>0.87321674560920293</v>
      </c>
      <c r="U1324" s="61">
        <f>Allocation[[#This Row],[Total volume used]]/VLOOKUP(Allocation[[#This Row],[Delivery ID]],Delivery[[Delivery ID]:[Quantity delivered]],3,FALSE)</f>
        <v>1</v>
      </c>
      <c r="V1324" s="34" t="e">
        <f>VLOOKUP(Allocation[[#This Row],[SAP Contract number]],Shipments[[SAP Contract number]:[Contracted container weight]],2,FALSE)</f>
        <v>#N/A</v>
      </c>
      <c r="W1324" s="34" t="e">
        <f>VLOOKUP(Allocation[[#This Row],[SAP Contract number]],Shipments[[SAP Contract number]:[AAA Premium USD]],24,FALSE)</f>
        <v>#N/A</v>
      </c>
      <c r="X1324" s="34" t="e">
        <f>VLOOKUP(Allocation[[#This Row],[SAP Contract number]],Shipments[[SAP Contract number]:[RA Premium USD]],25,FALSE)</f>
        <v>#N/A</v>
      </c>
      <c r="Y1324" s="38">
        <f>Allocation[[#This Row],[Quantity Processed]]/Allocation[[#This Row],[Quantity allocated]]</f>
        <v>2.7241666666666666</v>
      </c>
      <c r="Z1324" s="34" t="b">
        <f>Allocation[[#This Row],[Quantity allocated]]&lt;=Allocation[[#This Row],[Quantity Processed]]</f>
        <v>1</v>
      </c>
    </row>
    <row r="1325" spans="1:26">
      <c r="A1325" s="247" t="s">
        <v>467</v>
      </c>
      <c r="B1325" s="210" t="s">
        <v>68</v>
      </c>
      <c r="C1325" s="254" t="s">
        <v>1163</v>
      </c>
      <c r="D1325" s="255">
        <v>9477</v>
      </c>
      <c r="E1325" s="211" t="s">
        <v>1877</v>
      </c>
      <c r="F1325" s="212">
        <v>43544</v>
      </c>
      <c r="G1325" s="213">
        <v>2.7</v>
      </c>
      <c r="H1325" s="256">
        <v>3317</v>
      </c>
      <c r="I1325" s="214">
        <v>1446443</v>
      </c>
      <c r="J1325" s="215">
        <v>21600</v>
      </c>
      <c r="K1325" s="212">
        <v>43587</v>
      </c>
      <c r="L1325" s="211" t="s">
        <v>1887</v>
      </c>
      <c r="M1325" s="216">
        <v>4615445946</v>
      </c>
      <c r="N1325" s="212">
        <v>43682</v>
      </c>
      <c r="O1325" s="217">
        <v>3.9611999999999998</v>
      </c>
      <c r="P1325" s="219"/>
      <c r="Q1325" s="34">
        <f>SUMIF(Allocation[Delivery ID],Allocation[[#This Row],[Delivery ID]],Allocation[Quantity Processed])</f>
        <v>32420</v>
      </c>
      <c r="R1325" s="61">
        <f>Allocation[[#This Row],[Total volume used]]/VLOOKUP(Allocation[[#This Row],[Delivery ID]],Delivery[[Delivery ID]:[Quantity delivered]],3,FALSE)</f>
        <v>1</v>
      </c>
      <c r="S1325" s="34">
        <f>Allocation[[#This Row],[Quantity Processed]]/Allocation[[#This Row],[Dilution rate]]</f>
        <v>3509.9999999999995</v>
      </c>
      <c r="T1325" s="59">
        <f>SUMIF(Allocation[Delivery ID],Allocation[[#This Row],[Delivery ID]],Allocation[Quantity allocated])/SUMIF(Allocation[Delivery ID],Allocation[[#This Row],[Delivery ID]],Allocation[Volume available (kg)])</f>
        <v>0.91573014953438914</v>
      </c>
      <c r="U1325" s="61">
        <f>Allocation[[#This Row],[Total volume used]]/VLOOKUP(Allocation[[#This Row],[Delivery ID]],Delivery[[Delivery ID]:[Quantity delivered]],3,FALSE)</f>
        <v>1</v>
      </c>
      <c r="V1325" s="34" t="e">
        <f>VLOOKUP(Allocation[[#This Row],[SAP Contract number]],Shipments[[SAP Contract number]:[Contracted container weight]],2,FALSE)</f>
        <v>#N/A</v>
      </c>
      <c r="W1325" s="34" t="e">
        <f>VLOOKUP(Allocation[[#This Row],[SAP Contract number]],Shipments[[SAP Contract number]:[AAA Premium USD]],24,FALSE)</f>
        <v>#N/A</v>
      </c>
      <c r="X1325" s="34" t="e">
        <f>VLOOKUP(Allocation[[#This Row],[SAP Contract number]],Shipments[[SAP Contract number]:[RA Premium USD]],25,FALSE)</f>
        <v>#N/A</v>
      </c>
      <c r="Y1325" s="38">
        <f>Allocation[[#This Row],[Quantity Processed]]/Allocation[[#This Row],[Quantity allocated]]</f>
        <v>2.8570997889659329</v>
      </c>
      <c r="Z1325" s="34" t="b">
        <f>Allocation[[#This Row],[Quantity allocated]]&lt;=Allocation[[#This Row],[Quantity Processed]]</f>
        <v>1</v>
      </c>
    </row>
    <row r="1326" spans="1:26">
      <c r="A1326" s="247" t="s">
        <v>467</v>
      </c>
      <c r="B1326" s="210" t="s">
        <v>68</v>
      </c>
      <c r="C1326" s="254" t="s">
        <v>1165</v>
      </c>
      <c r="D1326" s="255">
        <v>7454</v>
      </c>
      <c r="E1326" s="211" t="s">
        <v>1877</v>
      </c>
      <c r="F1326" s="212">
        <v>43544</v>
      </c>
      <c r="G1326" s="213">
        <v>2.7</v>
      </c>
      <c r="H1326" s="256">
        <v>2609</v>
      </c>
      <c r="I1326" s="214">
        <v>1446443</v>
      </c>
      <c r="J1326" s="215">
        <v>21600</v>
      </c>
      <c r="K1326" s="212">
        <v>43587</v>
      </c>
      <c r="L1326" s="211" t="s">
        <v>1887</v>
      </c>
      <c r="M1326" s="216">
        <v>4615445946</v>
      </c>
      <c r="N1326" s="212">
        <v>43682</v>
      </c>
      <c r="O1326" s="217">
        <v>3.9611999999999998</v>
      </c>
      <c r="P1326" s="219"/>
      <c r="Q1326" s="34">
        <f>SUMIF(Allocation[Delivery ID],Allocation[[#This Row],[Delivery ID]],Allocation[Quantity Processed])</f>
        <v>25500</v>
      </c>
      <c r="R1326" s="61">
        <f>Allocation[[#This Row],[Total volume used]]/VLOOKUP(Allocation[[#This Row],[Delivery ID]],Delivery[[Delivery ID]:[Quantity delivered]],3,FALSE)</f>
        <v>1</v>
      </c>
      <c r="S1326" s="34">
        <f>Allocation[[#This Row],[Quantity Processed]]/Allocation[[#This Row],[Dilution rate]]</f>
        <v>2760.7407407407404</v>
      </c>
      <c r="T1326" s="59">
        <f>SUMIF(Allocation[Delivery ID],Allocation[[#This Row],[Delivery ID]],Allocation[Quantity allocated])/SUMIF(Allocation[Delivery ID],Allocation[[#This Row],[Delivery ID]],Allocation[Volume available (kg)])</f>
        <v>0.91565224611931262</v>
      </c>
      <c r="U1326" s="61">
        <f>Allocation[[#This Row],[Total volume used]]/VLOOKUP(Allocation[[#This Row],[Delivery ID]],Delivery[[Delivery ID]:[Quantity delivered]],3,FALSE)</f>
        <v>1</v>
      </c>
      <c r="V1326" s="34" t="e">
        <f>VLOOKUP(Allocation[[#This Row],[SAP Contract number]],Shipments[[SAP Contract number]:[Contracted container weight]],2,FALSE)</f>
        <v>#N/A</v>
      </c>
      <c r="W1326" s="34" t="e">
        <f>VLOOKUP(Allocation[[#This Row],[SAP Contract number]],Shipments[[SAP Contract number]:[AAA Premium USD]],24,FALSE)</f>
        <v>#N/A</v>
      </c>
      <c r="X1326" s="34" t="e">
        <f>VLOOKUP(Allocation[[#This Row],[SAP Contract number]],Shipments[[SAP Contract number]:[RA Premium USD]],25,FALSE)</f>
        <v>#N/A</v>
      </c>
      <c r="Y1326" s="38">
        <f>Allocation[[#This Row],[Quantity Processed]]/Allocation[[#This Row],[Quantity allocated]]</f>
        <v>2.8570333461096205</v>
      </c>
      <c r="Z1326" s="34" t="b">
        <f>Allocation[[#This Row],[Quantity allocated]]&lt;=Allocation[[#This Row],[Quantity Processed]]</f>
        <v>1</v>
      </c>
    </row>
    <row r="1327" spans="1:26">
      <c r="A1327" s="247" t="s">
        <v>467</v>
      </c>
      <c r="B1327" s="210" t="s">
        <v>68</v>
      </c>
      <c r="C1327" s="254" t="s">
        <v>1166</v>
      </c>
      <c r="D1327" s="255">
        <v>2034</v>
      </c>
      <c r="E1327" s="211" t="s">
        <v>1877</v>
      </c>
      <c r="F1327" s="212">
        <v>43544</v>
      </c>
      <c r="G1327" s="213">
        <v>2.7</v>
      </c>
      <c r="H1327" s="256">
        <v>712</v>
      </c>
      <c r="I1327" s="214">
        <v>1446443</v>
      </c>
      <c r="J1327" s="215">
        <v>21600</v>
      </c>
      <c r="K1327" s="212">
        <v>43587</v>
      </c>
      <c r="L1327" s="211" t="s">
        <v>1887</v>
      </c>
      <c r="M1327" s="216">
        <v>4615445946</v>
      </c>
      <c r="N1327" s="212">
        <v>43682</v>
      </c>
      <c r="O1327" s="217">
        <v>3.9611999999999998</v>
      </c>
      <c r="P1327" s="219"/>
      <c r="Q1327" s="34">
        <f>SUMIF(Allocation[Delivery ID],Allocation[[#This Row],[Delivery ID]],Allocation[Quantity Processed])</f>
        <v>6960</v>
      </c>
      <c r="R1327" s="61">
        <f>Allocation[[#This Row],[Total volume used]]/VLOOKUP(Allocation[[#This Row],[Delivery ID]],Delivery[[Delivery ID]:[Quantity delivered]],3,FALSE)</f>
        <v>1</v>
      </c>
      <c r="S1327" s="34">
        <f>Allocation[[#This Row],[Quantity Processed]]/Allocation[[#This Row],[Dilution rate]]</f>
        <v>753.33333333333326</v>
      </c>
      <c r="T1327" s="59">
        <f>SUMIF(Allocation[Delivery ID],Allocation[[#This Row],[Delivery ID]],Allocation[Quantity allocated])/SUMIF(Allocation[Delivery ID],Allocation[[#This Row],[Delivery ID]],Allocation[Volume available (kg)])</f>
        <v>0.91648668745422734</v>
      </c>
      <c r="U1327" s="61">
        <f>Allocation[[#This Row],[Total volume used]]/VLOOKUP(Allocation[[#This Row],[Delivery ID]],Delivery[[Delivery ID]:[Quantity delivered]],3,FALSE)</f>
        <v>1</v>
      </c>
      <c r="V1327" s="34" t="e">
        <f>VLOOKUP(Allocation[[#This Row],[SAP Contract number]],Shipments[[SAP Contract number]:[Contracted container weight]],2,FALSE)</f>
        <v>#N/A</v>
      </c>
      <c r="W1327" s="34" t="e">
        <f>VLOOKUP(Allocation[[#This Row],[SAP Contract number]],Shipments[[SAP Contract number]:[AAA Premium USD]],24,FALSE)</f>
        <v>#N/A</v>
      </c>
      <c r="X1327" s="34" t="e">
        <f>VLOOKUP(Allocation[[#This Row],[SAP Contract number]],Shipments[[SAP Contract number]:[RA Premium USD]],25,FALSE)</f>
        <v>#N/A</v>
      </c>
      <c r="Y1327" s="38">
        <f>Allocation[[#This Row],[Quantity Processed]]/Allocation[[#This Row],[Quantity allocated]]</f>
        <v>2.856741573033708</v>
      </c>
      <c r="Z1327" s="34" t="b">
        <f>Allocation[[#This Row],[Quantity allocated]]&lt;=Allocation[[#This Row],[Quantity Processed]]</f>
        <v>1</v>
      </c>
    </row>
    <row r="1328" spans="1:26">
      <c r="A1328" s="247" t="s">
        <v>467</v>
      </c>
      <c r="B1328" s="210" t="s">
        <v>68</v>
      </c>
      <c r="C1328" s="254" t="s">
        <v>1701</v>
      </c>
      <c r="D1328" s="255">
        <v>1243</v>
      </c>
      <c r="E1328" s="211" t="s">
        <v>1877</v>
      </c>
      <c r="F1328" s="212">
        <v>43544</v>
      </c>
      <c r="G1328" s="213">
        <v>2.7</v>
      </c>
      <c r="H1328" s="256">
        <v>373</v>
      </c>
      <c r="I1328" s="214">
        <v>1446443</v>
      </c>
      <c r="J1328" s="215">
        <v>21600</v>
      </c>
      <c r="K1328" s="212">
        <v>43587</v>
      </c>
      <c r="L1328" s="211" t="s">
        <v>1887</v>
      </c>
      <c r="M1328" s="216">
        <v>4615445946</v>
      </c>
      <c r="N1328" s="212">
        <v>43682</v>
      </c>
      <c r="O1328" s="217">
        <v>3.9611999999999998</v>
      </c>
      <c r="P1328" s="219"/>
      <c r="Q1328" s="34">
        <f>SUMIF(Allocation[Delivery ID],Allocation[[#This Row],[Delivery ID]],Allocation[Quantity Processed])</f>
        <v>10837</v>
      </c>
      <c r="R1328" s="61">
        <f>Allocation[[#This Row],[Total volume used]]/VLOOKUP(Allocation[[#This Row],[Delivery ID]],Delivery[[Delivery ID]:[Quantity delivered]],3,FALSE)</f>
        <v>0.78347310584152685</v>
      </c>
      <c r="S1328" s="34">
        <f>Allocation[[#This Row],[Quantity Processed]]/Allocation[[#This Row],[Dilution rate]]</f>
        <v>460.37037037037032</v>
      </c>
      <c r="T1328" s="59">
        <f>SUMIF(Allocation[Delivery ID],Allocation[[#This Row],[Delivery ID]],Allocation[Quantity allocated])/SUMIF(Allocation[Delivery ID],Allocation[[#This Row],[Delivery ID]],Allocation[Volume available (kg)])</f>
        <v>0.80002142932056886</v>
      </c>
      <c r="U1328" s="61">
        <f>Allocation[[#This Row],[Total volume used]]/VLOOKUP(Allocation[[#This Row],[Delivery ID]],Delivery[[Delivery ID]:[Quantity delivered]],3,FALSE)</f>
        <v>0.78347310584152685</v>
      </c>
      <c r="V1328" s="34" t="e">
        <f>VLOOKUP(Allocation[[#This Row],[SAP Contract number]],Shipments[[SAP Contract number]:[Contracted container weight]],2,FALSE)</f>
        <v>#N/A</v>
      </c>
      <c r="W1328" s="34" t="e">
        <f>VLOOKUP(Allocation[[#This Row],[SAP Contract number]],Shipments[[SAP Contract number]:[AAA Premium USD]],24,FALSE)</f>
        <v>#N/A</v>
      </c>
      <c r="X1328" s="34" t="e">
        <f>VLOOKUP(Allocation[[#This Row],[SAP Contract number]],Shipments[[SAP Contract number]:[RA Premium USD]],25,FALSE)</f>
        <v>#N/A</v>
      </c>
      <c r="Y1328" s="38">
        <f>Allocation[[#This Row],[Quantity Processed]]/Allocation[[#This Row],[Quantity allocated]]</f>
        <v>3.3324396782841825</v>
      </c>
      <c r="Z1328" s="34" t="b">
        <f>Allocation[[#This Row],[Quantity allocated]]&lt;=Allocation[[#This Row],[Quantity Processed]]</f>
        <v>1</v>
      </c>
    </row>
    <row r="1329" spans="1:26">
      <c r="A1329" s="247" t="s">
        <v>467</v>
      </c>
      <c r="B1329" s="210" t="s">
        <v>68</v>
      </c>
      <c r="C1329" s="254" t="s">
        <v>1701</v>
      </c>
      <c r="D1329" s="255">
        <v>2500</v>
      </c>
      <c r="E1329" s="211" t="s">
        <v>1877</v>
      </c>
      <c r="F1329" s="212">
        <v>43544</v>
      </c>
      <c r="G1329" s="213">
        <v>2.7</v>
      </c>
      <c r="H1329" s="256">
        <v>750</v>
      </c>
      <c r="I1329" s="214">
        <v>1446444</v>
      </c>
      <c r="J1329" s="215">
        <v>21600</v>
      </c>
      <c r="K1329" s="212">
        <v>43587</v>
      </c>
      <c r="L1329" s="211" t="s">
        <v>1888</v>
      </c>
      <c r="M1329" s="216">
        <v>4615445946</v>
      </c>
      <c r="N1329" s="212">
        <v>43682</v>
      </c>
      <c r="O1329" s="217">
        <v>3.9611999999999998</v>
      </c>
      <c r="P1329" s="219"/>
      <c r="Q1329" s="34">
        <f>SUMIF(Allocation[Delivery ID],Allocation[[#This Row],[Delivery ID]],Allocation[Quantity Processed])</f>
        <v>10837</v>
      </c>
      <c r="R1329" s="61">
        <f>Allocation[[#This Row],[Total volume used]]/VLOOKUP(Allocation[[#This Row],[Delivery ID]],Delivery[[Delivery ID]:[Quantity delivered]],3,FALSE)</f>
        <v>0.78347310584152685</v>
      </c>
      <c r="S1329" s="34">
        <f>Allocation[[#This Row],[Quantity Processed]]/Allocation[[#This Row],[Dilution rate]]</f>
        <v>925.92592592592587</v>
      </c>
      <c r="T1329" s="59">
        <f>SUMIF(Allocation[Delivery ID],Allocation[[#This Row],[Delivery ID]],Allocation[Quantity allocated])/SUMIF(Allocation[Delivery ID],Allocation[[#This Row],[Delivery ID]],Allocation[Volume available (kg)])</f>
        <v>0.80002142932056886</v>
      </c>
      <c r="U1329" s="61">
        <f>Allocation[[#This Row],[Total volume used]]/VLOOKUP(Allocation[[#This Row],[Delivery ID]],Delivery[[Delivery ID]:[Quantity delivered]],3,FALSE)</f>
        <v>0.78347310584152685</v>
      </c>
      <c r="V1329" s="34" t="e">
        <f>VLOOKUP(Allocation[[#This Row],[SAP Contract number]],Shipments[[SAP Contract number]:[Contracted container weight]],2,FALSE)</f>
        <v>#N/A</v>
      </c>
      <c r="W1329" s="34" t="e">
        <f>VLOOKUP(Allocation[[#This Row],[SAP Contract number]],Shipments[[SAP Contract number]:[AAA Premium USD]],24,FALSE)</f>
        <v>#N/A</v>
      </c>
      <c r="X1329" s="34" t="e">
        <f>VLOOKUP(Allocation[[#This Row],[SAP Contract number]],Shipments[[SAP Contract number]:[RA Premium USD]],25,FALSE)</f>
        <v>#N/A</v>
      </c>
      <c r="Y1329" s="38">
        <f>Allocation[[#This Row],[Quantity Processed]]/Allocation[[#This Row],[Quantity allocated]]</f>
        <v>3.3333333333333335</v>
      </c>
      <c r="Z1329" s="34" t="b">
        <f>Allocation[[#This Row],[Quantity allocated]]&lt;=Allocation[[#This Row],[Quantity Processed]]</f>
        <v>1</v>
      </c>
    </row>
    <row r="1330" spans="1:26">
      <c r="A1330" s="247" t="s">
        <v>467</v>
      </c>
      <c r="B1330" s="210" t="s">
        <v>68</v>
      </c>
      <c r="C1330" s="254" t="s">
        <v>1702</v>
      </c>
      <c r="D1330" s="255">
        <v>4343</v>
      </c>
      <c r="E1330" s="211" t="s">
        <v>1877</v>
      </c>
      <c r="F1330" s="212">
        <v>43544</v>
      </c>
      <c r="G1330" s="213">
        <v>2.7</v>
      </c>
      <c r="H1330" s="256">
        <v>1303</v>
      </c>
      <c r="I1330" s="214">
        <v>1446444</v>
      </c>
      <c r="J1330" s="215">
        <v>21600</v>
      </c>
      <c r="K1330" s="212">
        <v>43587</v>
      </c>
      <c r="L1330" s="211" t="s">
        <v>1888</v>
      </c>
      <c r="M1330" s="216">
        <v>4615445946</v>
      </c>
      <c r="N1330" s="212">
        <v>43682</v>
      </c>
      <c r="O1330" s="217">
        <v>3.9611999999999998</v>
      </c>
      <c r="P1330" s="219"/>
      <c r="Q1330" s="34">
        <f>SUMIF(Allocation[Delivery ID],Allocation[[#This Row],[Delivery ID]],Allocation[Quantity Processed])</f>
        <v>12574</v>
      </c>
      <c r="R1330" s="61">
        <f>Allocation[[#This Row],[Total volume used]]/VLOOKUP(Allocation[[#This Row],[Delivery ID]],Delivery[[Delivery ID]:[Quantity delivered]],3,FALSE)</f>
        <v>0.78303649271391207</v>
      </c>
      <c r="S1330" s="34">
        <f>Allocation[[#This Row],[Quantity Processed]]/Allocation[[#This Row],[Dilution rate]]</f>
        <v>1608.5185185185185</v>
      </c>
      <c r="T1330" s="59">
        <f>SUMIF(Allocation[Delivery ID],Allocation[[#This Row],[Delivery ID]],Allocation[Quantity allocated])/SUMIF(Allocation[Delivery ID],Allocation[[#This Row],[Delivery ID]],Allocation[Volume available (kg)])</f>
        <v>0.80000657794533359</v>
      </c>
      <c r="U1330" s="61">
        <f>Allocation[[#This Row],[Total volume used]]/VLOOKUP(Allocation[[#This Row],[Delivery ID]],Delivery[[Delivery ID]:[Quantity delivered]],3,FALSE)</f>
        <v>0.78303649271391207</v>
      </c>
      <c r="V1330" s="34" t="e">
        <f>VLOOKUP(Allocation[[#This Row],[SAP Contract number]],Shipments[[SAP Contract number]:[Contracted container weight]],2,FALSE)</f>
        <v>#N/A</v>
      </c>
      <c r="W1330" s="34" t="e">
        <f>VLOOKUP(Allocation[[#This Row],[SAP Contract number]],Shipments[[SAP Contract number]:[AAA Premium USD]],24,FALSE)</f>
        <v>#N/A</v>
      </c>
      <c r="X1330" s="34" t="e">
        <f>VLOOKUP(Allocation[[#This Row],[SAP Contract number]],Shipments[[SAP Contract number]:[RA Premium USD]],25,FALSE)</f>
        <v>#N/A</v>
      </c>
      <c r="Y1330" s="38">
        <f>Allocation[[#This Row],[Quantity Processed]]/Allocation[[#This Row],[Quantity allocated]]</f>
        <v>3.333077513430545</v>
      </c>
      <c r="Z1330" s="34" t="b">
        <f>Allocation[[#This Row],[Quantity allocated]]&lt;=Allocation[[#This Row],[Quantity Processed]]</f>
        <v>1</v>
      </c>
    </row>
    <row r="1331" spans="1:26">
      <c r="A1331" s="247" t="s">
        <v>467</v>
      </c>
      <c r="B1331" s="210" t="s">
        <v>68</v>
      </c>
      <c r="C1331" s="254" t="s">
        <v>1741</v>
      </c>
      <c r="D1331" s="255">
        <v>8765</v>
      </c>
      <c r="E1331" s="211" t="s">
        <v>1877</v>
      </c>
      <c r="F1331" s="212">
        <v>43544</v>
      </c>
      <c r="G1331" s="213">
        <v>2.7</v>
      </c>
      <c r="H1331" s="256">
        <v>4470</v>
      </c>
      <c r="I1331" s="214">
        <v>1446444</v>
      </c>
      <c r="J1331" s="215">
        <v>21600</v>
      </c>
      <c r="K1331" s="212">
        <v>43587</v>
      </c>
      <c r="L1331" s="211" t="s">
        <v>1888</v>
      </c>
      <c r="M1331" s="216">
        <v>4615445946</v>
      </c>
      <c r="N1331" s="212">
        <v>43682</v>
      </c>
      <c r="O1331" s="217">
        <v>3.9611999999999998</v>
      </c>
      <c r="P1331" s="219"/>
      <c r="Q1331" s="34">
        <f>SUMIF(Allocation[Delivery ID],Allocation[[#This Row],[Delivery ID]],Allocation[Quantity Processed])</f>
        <v>29075</v>
      </c>
      <c r="R1331" s="61">
        <f>Allocation[[#This Row],[Total volume used]]/VLOOKUP(Allocation[[#This Row],[Delivery ID]],Delivery[[Delivery ID]:[Quantity delivered]],3,FALSE)</f>
        <v>0.76836680761099363</v>
      </c>
      <c r="S1331" s="34">
        <f>Allocation[[#This Row],[Quantity Processed]]/Allocation[[#This Row],[Dilution rate]]</f>
        <v>3246.2962962962961</v>
      </c>
      <c r="T1331" s="59">
        <f>SUMIF(Allocation[Delivery ID],Allocation[[#This Row],[Delivery ID]],Allocation[Quantity allocated])/SUMIF(Allocation[Delivery ID],Allocation[[#This Row],[Delivery ID]],Allocation[Volume available (kg)])</f>
        <v>1.3571059936030028</v>
      </c>
      <c r="U1331" s="61">
        <f>Allocation[[#This Row],[Total volume used]]/VLOOKUP(Allocation[[#This Row],[Delivery ID]],Delivery[[Delivery ID]:[Quantity delivered]],3,FALSE)</f>
        <v>0.76836680761099363</v>
      </c>
      <c r="V1331" s="34" t="e">
        <f>VLOOKUP(Allocation[[#This Row],[SAP Contract number]],Shipments[[SAP Contract number]:[Contracted container weight]],2,FALSE)</f>
        <v>#N/A</v>
      </c>
      <c r="W1331" s="34" t="e">
        <f>VLOOKUP(Allocation[[#This Row],[SAP Contract number]],Shipments[[SAP Contract number]:[AAA Premium USD]],24,FALSE)</f>
        <v>#N/A</v>
      </c>
      <c r="X1331" s="34" t="e">
        <f>VLOOKUP(Allocation[[#This Row],[SAP Contract number]],Shipments[[SAP Contract number]:[RA Premium USD]],25,FALSE)</f>
        <v>#N/A</v>
      </c>
      <c r="Y1331" s="38">
        <f>Allocation[[#This Row],[Quantity Processed]]/Allocation[[#This Row],[Quantity allocated]]</f>
        <v>1.9608501118568233</v>
      </c>
      <c r="Z1331" s="34" t="b">
        <f>Allocation[[#This Row],[Quantity allocated]]&lt;=Allocation[[#This Row],[Quantity Processed]]</f>
        <v>1</v>
      </c>
    </row>
    <row r="1332" spans="1:26">
      <c r="A1332" s="247" t="s">
        <v>467</v>
      </c>
      <c r="B1332" s="210" t="s">
        <v>68</v>
      </c>
      <c r="C1332" s="254" t="s">
        <v>1743</v>
      </c>
      <c r="D1332" s="255">
        <v>7224</v>
      </c>
      <c r="E1332" s="211" t="s">
        <v>1877</v>
      </c>
      <c r="F1332" s="212">
        <v>43544</v>
      </c>
      <c r="G1332" s="213">
        <v>2.7</v>
      </c>
      <c r="H1332" s="256">
        <v>3684</v>
      </c>
      <c r="I1332" s="214">
        <v>1446444</v>
      </c>
      <c r="J1332" s="215">
        <v>21600</v>
      </c>
      <c r="K1332" s="212">
        <v>43587</v>
      </c>
      <c r="L1332" s="211" t="s">
        <v>1888</v>
      </c>
      <c r="M1332" s="216">
        <v>4615445946</v>
      </c>
      <c r="N1332" s="212">
        <v>43682</v>
      </c>
      <c r="O1332" s="217">
        <v>3.9611999999999998</v>
      </c>
      <c r="P1332" s="219"/>
      <c r="Q1332" s="34">
        <f>SUMIF(Allocation[Delivery ID],Allocation[[#This Row],[Delivery ID]],Allocation[Quantity Processed])</f>
        <v>23963</v>
      </c>
      <c r="R1332" s="61">
        <f>Allocation[[#This Row],[Total volume used]]/VLOOKUP(Allocation[[#This Row],[Delivery ID]],Delivery[[Delivery ID]:[Quantity delivered]],3,FALSE)</f>
        <v>0.76829111894838087</v>
      </c>
      <c r="S1332" s="34">
        <f>Allocation[[#This Row],[Quantity Processed]]/Allocation[[#This Row],[Dilution rate]]</f>
        <v>2675.5555555555552</v>
      </c>
      <c r="T1332" s="59">
        <f>SUMIF(Allocation[Delivery ID],Allocation[[#This Row],[Delivery ID]],Allocation[Quantity allocated])/SUMIF(Allocation[Delivery ID],Allocation[[#This Row],[Delivery ID]],Allocation[Volume available (kg)])</f>
        <v>1.3571155361370277</v>
      </c>
      <c r="U1332" s="61">
        <f>Allocation[[#This Row],[Total volume used]]/VLOOKUP(Allocation[[#This Row],[Delivery ID]],Delivery[[Delivery ID]:[Quantity delivered]],3,FALSE)</f>
        <v>0.76829111894838087</v>
      </c>
      <c r="V1332" s="34" t="e">
        <f>VLOOKUP(Allocation[[#This Row],[SAP Contract number]],Shipments[[SAP Contract number]:[Contracted container weight]],2,FALSE)</f>
        <v>#N/A</v>
      </c>
      <c r="W1332" s="34" t="e">
        <f>VLOOKUP(Allocation[[#This Row],[SAP Contract number]],Shipments[[SAP Contract number]:[AAA Premium USD]],24,FALSE)</f>
        <v>#N/A</v>
      </c>
      <c r="X1332" s="34" t="e">
        <f>VLOOKUP(Allocation[[#This Row],[SAP Contract number]],Shipments[[SAP Contract number]:[RA Premium USD]],25,FALSE)</f>
        <v>#N/A</v>
      </c>
      <c r="Y1332" s="38">
        <f>Allocation[[#This Row],[Quantity Processed]]/Allocation[[#This Row],[Quantity allocated]]</f>
        <v>1.9609120521172638</v>
      </c>
      <c r="Z1332" s="34" t="b">
        <f>Allocation[[#This Row],[Quantity allocated]]&lt;=Allocation[[#This Row],[Quantity Processed]]</f>
        <v>1</v>
      </c>
    </row>
    <row r="1333" spans="1:26">
      <c r="A1333" s="247" t="s">
        <v>467</v>
      </c>
      <c r="B1333" s="210" t="s">
        <v>68</v>
      </c>
      <c r="C1333" s="254" t="s">
        <v>1750</v>
      </c>
      <c r="D1333" s="255">
        <v>8882</v>
      </c>
      <c r="E1333" s="211" t="s">
        <v>1877</v>
      </c>
      <c r="F1333" s="212">
        <v>43544</v>
      </c>
      <c r="G1333" s="213">
        <v>2.7</v>
      </c>
      <c r="H1333" s="256">
        <v>4530</v>
      </c>
      <c r="I1333" s="214">
        <v>1446444</v>
      </c>
      <c r="J1333" s="215">
        <v>21600</v>
      </c>
      <c r="K1333" s="212">
        <v>43587</v>
      </c>
      <c r="L1333" s="211" t="s">
        <v>1888</v>
      </c>
      <c r="M1333" s="216">
        <v>4615445946</v>
      </c>
      <c r="N1333" s="212">
        <v>43682</v>
      </c>
      <c r="O1333" s="217">
        <v>3.9611999999999998</v>
      </c>
      <c r="P1333" s="219"/>
      <c r="Q1333" s="34">
        <f>SUMIF(Allocation[Delivery ID],Allocation[[#This Row],[Delivery ID]],Allocation[Quantity Processed])</f>
        <v>29466</v>
      </c>
      <c r="R1333" s="61">
        <f>Allocation[[#This Row],[Total volume used]]/VLOOKUP(Allocation[[#This Row],[Delivery ID]],Delivery[[Delivery ID]:[Quantity delivered]],3,FALSE)</f>
        <v>0.76834419817470667</v>
      </c>
      <c r="S1333" s="34">
        <f>Allocation[[#This Row],[Quantity Processed]]/Allocation[[#This Row],[Dilution rate]]</f>
        <v>3289.6296296296296</v>
      </c>
      <c r="T1333" s="59">
        <f>SUMIF(Allocation[Delivery ID],Allocation[[#This Row],[Delivery ID]],Allocation[Quantity allocated])/SUMIF(Allocation[Delivery ID],Allocation[[#This Row],[Delivery ID]],Allocation[Volume available (kg)])</f>
        <v>1.3571585496452938</v>
      </c>
      <c r="U1333" s="61">
        <f>Allocation[[#This Row],[Total volume used]]/VLOOKUP(Allocation[[#This Row],[Delivery ID]],Delivery[[Delivery ID]:[Quantity delivered]],3,FALSE)</f>
        <v>0.76834419817470667</v>
      </c>
      <c r="V1333" s="34" t="e">
        <f>VLOOKUP(Allocation[[#This Row],[SAP Contract number]],Shipments[[SAP Contract number]:[Contracted container weight]],2,FALSE)</f>
        <v>#N/A</v>
      </c>
      <c r="W1333" s="34" t="e">
        <f>VLOOKUP(Allocation[[#This Row],[SAP Contract number]],Shipments[[SAP Contract number]:[AAA Premium USD]],24,FALSE)</f>
        <v>#N/A</v>
      </c>
      <c r="X1333" s="34" t="e">
        <f>VLOOKUP(Allocation[[#This Row],[SAP Contract number]],Shipments[[SAP Contract number]:[RA Premium USD]],25,FALSE)</f>
        <v>#N/A</v>
      </c>
      <c r="Y1333" s="38">
        <f>Allocation[[#This Row],[Quantity Processed]]/Allocation[[#This Row],[Quantity allocated]]</f>
        <v>1.9607064017660045</v>
      </c>
      <c r="Z1333" s="34" t="b">
        <f>Allocation[[#This Row],[Quantity allocated]]&lt;=Allocation[[#This Row],[Quantity Processed]]</f>
        <v>1</v>
      </c>
    </row>
    <row r="1334" spans="1:26">
      <c r="A1334" s="247" t="s">
        <v>467</v>
      </c>
      <c r="B1334" s="210" t="s">
        <v>68</v>
      </c>
      <c r="C1334" s="254" t="s">
        <v>1751</v>
      </c>
      <c r="D1334" s="255">
        <v>2629</v>
      </c>
      <c r="E1334" s="211" t="s">
        <v>1877</v>
      </c>
      <c r="F1334" s="212">
        <v>43544</v>
      </c>
      <c r="G1334" s="213">
        <v>2.7</v>
      </c>
      <c r="H1334" s="256">
        <v>1341</v>
      </c>
      <c r="I1334" s="214">
        <v>1446444</v>
      </c>
      <c r="J1334" s="215">
        <v>21600</v>
      </c>
      <c r="K1334" s="212">
        <v>43587</v>
      </c>
      <c r="L1334" s="211" t="s">
        <v>1888</v>
      </c>
      <c r="M1334" s="216">
        <v>4615445946</v>
      </c>
      <c r="N1334" s="212">
        <v>43682</v>
      </c>
      <c r="O1334" s="217">
        <v>3.9611999999999998</v>
      </c>
      <c r="P1334" s="219"/>
      <c r="Q1334" s="34">
        <f>SUMIF(Allocation[Delivery ID],Allocation[[#This Row],[Delivery ID]],Allocation[Quantity Processed])</f>
        <v>7303</v>
      </c>
      <c r="R1334" s="61">
        <f>Allocation[[#This Row],[Total volume used]]/VLOOKUP(Allocation[[#This Row],[Delivery ID]],Delivery[[Delivery ID]:[Quantity delivered]],3,FALSE)</f>
        <v>0.64315279612505505</v>
      </c>
      <c r="S1334" s="34">
        <f>Allocation[[#This Row],[Quantity Processed]]/Allocation[[#This Row],[Dilution rate]]</f>
        <v>973.7037037037037</v>
      </c>
      <c r="T1334" s="59">
        <f>SUMIF(Allocation[Delivery ID],Allocation[[#This Row],[Delivery ID]],Allocation[Quantity allocated])/SUMIF(Allocation[Delivery ID],Allocation[[#This Row],[Delivery ID]],Allocation[Volume available (kg)])</f>
        <v>1.3614462973248966</v>
      </c>
      <c r="U1334" s="61">
        <f>Allocation[[#This Row],[Total volume used]]/VLOOKUP(Allocation[[#This Row],[Delivery ID]],Delivery[[Delivery ID]:[Quantity delivered]],3,FALSE)</f>
        <v>0.64315279612505505</v>
      </c>
      <c r="V1334" s="34" t="e">
        <f>VLOOKUP(Allocation[[#This Row],[SAP Contract number]],Shipments[[SAP Contract number]:[Contracted container weight]],2,FALSE)</f>
        <v>#N/A</v>
      </c>
      <c r="W1334" s="34" t="e">
        <f>VLOOKUP(Allocation[[#This Row],[SAP Contract number]],Shipments[[SAP Contract number]:[AAA Premium USD]],24,FALSE)</f>
        <v>#N/A</v>
      </c>
      <c r="X1334" s="34" t="e">
        <f>VLOOKUP(Allocation[[#This Row],[SAP Contract number]],Shipments[[SAP Contract number]:[RA Premium USD]],25,FALSE)</f>
        <v>#N/A</v>
      </c>
      <c r="Y1334" s="38">
        <f>Allocation[[#This Row],[Quantity Processed]]/Allocation[[#This Row],[Quantity allocated]]</f>
        <v>1.9604772557792691</v>
      </c>
      <c r="Z1334" s="34" t="b">
        <f>Allocation[[#This Row],[Quantity allocated]]&lt;=Allocation[[#This Row],[Quantity Processed]]</f>
        <v>1</v>
      </c>
    </row>
    <row r="1335" spans="1:26">
      <c r="A1335" s="247" t="s">
        <v>467</v>
      </c>
      <c r="B1335" s="210" t="s">
        <v>68</v>
      </c>
      <c r="C1335" s="254" t="s">
        <v>1752</v>
      </c>
      <c r="D1335" s="255">
        <v>6137</v>
      </c>
      <c r="E1335" s="211" t="s">
        <v>1877</v>
      </c>
      <c r="F1335" s="212">
        <v>43544</v>
      </c>
      <c r="G1335" s="213">
        <v>2.7</v>
      </c>
      <c r="H1335" s="256">
        <v>3130</v>
      </c>
      <c r="I1335" s="214">
        <v>1446444</v>
      </c>
      <c r="J1335" s="215">
        <v>21600</v>
      </c>
      <c r="K1335" s="212">
        <v>43587</v>
      </c>
      <c r="L1335" s="211" t="s">
        <v>1888</v>
      </c>
      <c r="M1335" s="216">
        <v>4615445946</v>
      </c>
      <c r="N1335" s="212">
        <v>43682</v>
      </c>
      <c r="O1335" s="217">
        <v>3.9611999999999998</v>
      </c>
      <c r="P1335" s="219"/>
      <c r="Q1335" s="34">
        <f>SUMIF(Allocation[Delivery ID],Allocation[[#This Row],[Delivery ID]],Allocation[Quantity Processed])</f>
        <v>18343</v>
      </c>
      <c r="R1335" s="61">
        <f>Allocation[[#This Row],[Total volume used]]/VLOOKUP(Allocation[[#This Row],[Delivery ID]],Delivery[[Delivery ID]:[Quantity delivered]],3,FALSE)</f>
        <v>0.69231930552934517</v>
      </c>
      <c r="S1335" s="34">
        <f>Allocation[[#This Row],[Quantity Processed]]/Allocation[[#This Row],[Dilution rate]]</f>
        <v>2272.9629629629626</v>
      </c>
      <c r="T1335" s="59">
        <f>SUMIF(Allocation[Delivery ID],Allocation[[#This Row],[Delivery ID]],Allocation[Quantity allocated])/SUMIF(Allocation[Delivery ID],Allocation[[#This Row],[Delivery ID]],Allocation[Volume available (kg)])</f>
        <v>1.3616716107171336</v>
      </c>
      <c r="U1335" s="61">
        <f>Allocation[[#This Row],[Total volume used]]/VLOOKUP(Allocation[[#This Row],[Delivery ID]],Delivery[[Delivery ID]:[Quantity delivered]],3,FALSE)</f>
        <v>0.69231930552934517</v>
      </c>
      <c r="V1335" s="34" t="e">
        <f>VLOOKUP(Allocation[[#This Row],[SAP Contract number]],Shipments[[SAP Contract number]:[Contracted container weight]],2,FALSE)</f>
        <v>#N/A</v>
      </c>
      <c r="W1335" s="34" t="e">
        <f>VLOOKUP(Allocation[[#This Row],[SAP Contract number]],Shipments[[SAP Contract number]:[AAA Premium USD]],24,FALSE)</f>
        <v>#N/A</v>
      </c>
      <c r="X1335" s="34" t="e">
        <f>VLOOKUP(Allocation[[#This Row],[SAP Contract number]],Shipments[[SAP Contract number]:[RA Premium USD]],25,FALSE)</f>
        <v>#N/A</v>
      </c>
      <c r="Y1335" s="38">
        <f>Allocation[[#This Row],[Quantity Processed]]/Allocation[[#This Row],[Quantity allocated]]</f>
        <v>1.9607028753993609</v>
      </c>
      <c r="Z1335" s="34" t="b">
        <f>Allocation[[#This Row],[Quantity allocated]]&lt;=Allocation[[#This Row],[Quantity Processed]]</f>
        <v>1</v>
      </c>
    </row>
    <row r="1336" spans="1:26">
      <c r="A1336" s="247" t="s">
        <v>467</v>
      </c>
      <c r="B1336" s="210" t="s">
        <v>68</v>
      </c>
      <c r="C1336" s="254" t="s">
        <v>1753</v>
      </c>
      <c r="D1336" s="255">
        <v>178</v>
      </c>
      <c r="E1336" s="211" t="s">
        <v>1877</v>
      </c>
      <c r="F1336" s="212">
        <v>43544</v>
      </c>
      <c r="G1336" s="213">
        <v>2.7</v>
      </c>
      <c r="H1336" s="256">
        <v>91</v>
      </c>
      <c r="I1336" s="214">
        <v>1446444</v>
      </c>
      <c r="J1336" s="215">
        <v>21600</v>
      </c>
      <c r="K1336" s="212">
        <v>43587</v>
      </c>
      <c r="L1336" s="211" t="s">
        <v>1888</v>
      </c>
      <c r="M1336" s="216">
        <v>4615445946</v>
      </c>
      <c r="N1336" s="212">
        <v>43682</v>
      </c>
      <c r="O1336" s="217">
        <v>3.9611999999999998</v>
      </c>
      <c r="P1336" s="219"/>
      <c r="Q1336" s="34">
        <f>SUMIF(Allocation[Delivery ID],Allocation[[#This Row],[Delivery ID]],Allocation[Quantity Processed])</f>
        <v>775.5</v>
      </c>
      <c r="R1336" s="61">
        <f>Allocation[[#This Row],[Total volume used]]/VLOOKUP(Allocation[[#This Row],[Delivery ID]],Delivery[[Delivery ID]:[Quantity delivered]],3,FALSE)</f>
        <v>1</v>
      </c>
      <c r="S1336" s="34">
        <f>Allocation[[#This Row],[Quantity Processed]]/Allocation[[#This Row],[Dilution rate]]</f>
        <v>65.925925925925924</v>
      </c>
      <c r="T1336" s="59">
        <f>SUMIF(Allocation[Delivery ID],Allocation[[#This Row],[Delivery ID]],Allocation[Quantity allocated])/SUMIF(Allocation[Delivery ID],Allocation[[#This Row],[Delivery ID]],Allocation[Volume available (kg)])</f>
        <v>1.3500316675137278</v>
      </c>
      <c r="U1336" s="61">
        <f>Allocation[[#This Row],[Total volume used]]/VLOOKUP(Allocation[[#This Row],[Delivery ID]],Delivery[[Delivery ID]:[Quantity delivered]],3,FALSE)</f>
        <v>1</v>
      </c>
      <c r="V1336" s="34" t="e">
        <f>VLOOKUP(Allocation[[#This Row],[SAP Contract number]],Shipments[[SAP Contract number]:[Contracted container weight]],2,FALSE)</f>
        <v>#N/A</v>
      </c>
      <c r="W1336" s="34" t="e">
        <f>VLOOKUP(Allocation[[#This Row],[SAP Contract number]],Shipments[[SAP Contract number]:[AAA Premium USD]],24,FALSE)</f>
        <v>#N/A</v>
      </c>
      <c r="X1336" s="34" t="e">
        <f>VLOOKUP(Allocation[[#This Row],[SAP Contract number]],Shipments[[SAP Contract number]:[RA Premium USD]],25,FALSE)</f>
        <v>#N/A</v>
      </c>
      <c r="Y1336" s="38">
        <f>Allocation[[#This Row],[Quantity Processed]]/Allocation[[#This Row],[Quantity allocated]]</f>
        <v>1.956043956043956</v>
      </c>
      <c r="Z1336" s="34" t="b">
        <f>Allocation[[#This Row],[Quantity allocated]]&lt;=Allocation[[#This Row],[Quantity Processed]]</f>
        <v>1</v>
      </c>
    </row>
    <row r="1337" spans="1:26">
      <c r="A1337" s="247" t="s">
        <v>467</v>
      </c>
      <c r="B1337" s="210" t="s">
        <v>68</v>
      </c>
      <c r="C1337" s="254" t="s">
        <v>1754</v>
      </c>
      <c r="D1337" s="255">
        <v>1202</v>
      </c>
      <c r="E1337" s="211" t="s">
        <v>1877</v>
      </c>
      <c r="F1337" s="212">
        <v>43544</v>
      </c>
      <c r="G1337" s="213">
        <v>2.7</v>
      </c>
      <c r="H1337" s="256">
        <v>613</v>
      </c>
      <c r="I1337" s="214">
        <v>1446444</v>
      </c>
      <c r="J1337" s="215">
        <v>21600</v>
      </c>
      <c r="K1337" s="212">
        <v>43587</v>
      </c>
      <c r="L1337" s="211" t="s">
        <v>1888</v>
      </c>
      <c r="M1337" s="216">
        <v>4615445946</v>
      </c>
      <c r="N1337" s="212">
        <v>43682</v>
      </c>
      <c r="O1337" s="217">
        <v>3.9611999999999998</v>
      </c>
      <c r="P1337" s="219"/>
      <c r="Q1337" s="34">
        <f>SUMIF(Allocation[Delivery ID],Allocation[[#This Row],[Delivery ID]],Allocation[Quantity Processed])</f>
        <v>3344</v>
      </c>
      <c r="R1337" s="61">
        <f>Allocation[[#This Row],[Total volume used]]/VLOOKUP(Allocation[[#This Row],[Delivery ID]],Delivery[[Delivery ID]:[Quantity delivered]],3,FALSE)</f>
        <v>0.64282968089196468</v>
      </c>
      <c r="S1337" s="34">
        <f>Allocation[[#This Row],[Quantity Processed]]/Allocation[[#This Row],[Dilution rate]]</f>
        <v>445.18518518518516</v>
      </c>
      <c r="T1337" s="59">
        <f>SUMIF(Allocation[Delivery ID],Allocation[[#This Row],[Delivery ID]],Allocation[Quantity allocated])/SUMIF(Allocation[Delivery ID],Allocation[[#This Row],[Delivery ID]],Allocation[Volume available (kg)])</f>
        <v>1.3609070366506135</v>
      </c>
      <c r="U1337" s="61">
        <f>Allocation[[#This Row],[Total volume used]]/VLOOKUP(Allocation[[#This Row],[Delivery ID]],Delivery[[Delivery ID]:[Quantity delivered]],3,FALSE)</f>
        <v>0.64282968089196468</v>
      </c>
      <c r="V1337" s="34" t="e">
        <f>VLOOKUP(Allocation[[#This Row],[SAP Contract number]],Shipments[[SAP Contract number]:[Contracted container weight]],2,FALSE)</f>
        <v>#N/A</v>
      </c>
      <c r="W1337" s="34" t="e">
        <f>VLOOKUP(Allocation[[#This Row],[SAP Contract number]],Shipments[[SAP Contract number]:[AAA Premium USD]],24,FALSE)</f>
        <v>#N/A</v>
      </c>
      <c r="X1337" s="34" t="e">
        <f>VLOOKUP(Allocation[[#This Row],[SAP Contract number]],Shipments[[SAP Contract number]:[RA Premium USD]],25,FALSE)</f>
        <v>#N/A</v>
      </c>
      <c r="Y1337" s="38">
        <f>Allocation[[#This Row],[Quantity Processed]]/Allocation[[#This Row],[Quantity allocated]]</f>
        <v>1.9608482871125612</v>
      </c>
      <c r="Z1337" s="34" t="b">
        <f>Allocation[[#This Row],[Quantity allocated]]&lt;=Allocation[[#This Row],[Quantity Processed]]</f>
        <v>1</v>
      </c>
    </row>
    <row r="1338" spans="1:26">
      <c r="A1338" s="247" t="s">
        <v>467</v>
      </c>
      <c r="B1338" s="210" t="s">
        <v>68</v>
      </c>
      <c r="C1338" s="254" t="s">
        <v>1756</v>
      </c>
      <c r="D1338" s="255">
        <v>5115</v>
      </c>
      <c r="E1338" s="211" t="s">
        <v>1877</v>
      </c>
      <c r="F1338" s="212">
        <v>43544</v>
      </c>
      <c r="G1338" s="213">
        <v>2.7</v>
      </c>
      <c r="H1338" s="256">
        <v>1688</v>
      </c>
      <c r="I1338" s="214">
        <v>1446444</v>
      </c>
      <c r="J1338" s="215">
        <v>21600</v>
      </c>
      <c r="K1338" s="212">
        <v>43587</v>
      </c>
      <c r="L1338" s="211" t="s">
        <v>1888</v>
      </c>
      <c r="M1338" s="216">
        <v>4615445946</v>
      </c>
      <c r="N1338" s="212">
        <v>43682</v>
      </c>
      <c r="O1338" s="217">
        <v>3.9611999999999998</v>
      </c>
      <c r="P1338" s="219"/>
      <c r="Q1338" s="34">
        <f>SUMIF(Allocation[Delivery ID],Allocation[[#This Row],[Delivery ID]],Allocation[Quantity Processed])</f>
        <v>24832</v>
      </c>
      <c r="R1338" s="61">
        <f>Allocation[[#This Row],[Total volume used]]/VLOOKUP(Allocation[[#This Row],[Delivery ID]],Delivery[[Delivery ID]:[Quantity delivered]],3,FALSE)</f>
        <v>1</v>
      </c>
      <c r="S1338" s="34">
        <f>Allocation[[#This Row],[Quantity Processed]]/Allocation[[#This Row],[Dilution rate]]</f>
        <v>1894.4444444444443</v>
      </c>
      <c r="T1338" s="59">
        <f>SUMIF(Allocation[Delivery ID],Allocation[[#This Row],[Delivery ID]],Allocation[Quantity allocated])/SUMIF(Allocation[Delivery ID],Allocation[[#This Row],[Delivery ID]],Allocation[Volume available (kg)])</f>
        <v>0.88486077980064393</v>
      </c>
      <c r="U1338" s="61">
        <f>Allocation[[#This Row],[Total volume used]]/VLOOKUP(Allocation[[#This Row],[Delivery ID]],Delivery[[Delivery ID]:[Quantity delivered]],3,FALSE)</f>
        <v>1</v>
      </c>
      <c r="V1338" s="34" t="e">
        <f>VLOOKUP(Allocation[[#This Row],[SAP Contract number]],Shipments[[SAP Contract number]:[Contracted container weight]],2,FALSE)</f>
        <v>#N/A</v>
      </c>
      <c r="W1338" s="34" t="e">
        <f>VLOOKUP(Allocation[[#This Row],[SAP Contract number]],Shipments[[SAP Contract number]:[AAA Premium USD]],24,FALSE)</f>
        <v>#N/A</v>
      </c>
      <c r="X1338" s="34" t="e">
        <f>VLOOKUP(Allocation[[#This Row],[SAP Contract number]],Shipments[[SAP Contract number]:[RA Premium USD]],25,FALSE)</f>
        <v>#N/A</v>
      </c>
      <c r="Y1338" s="38">
        <f>Allocation[[#This Row],[Quantity Processed]]/Allocation[[#This Row],[Quantity allocated]]</f>
        <v>3.03021327014218</v>
      </c>
      <c r="Z1338" s="34" t="b">
        <f>Allocation[[#This Row],[Quantity allocated]]&lt;=Allocation[[#This Row],[Quantity Processed]]</f>
        <v>1</v>
      </c>
    </row>
    <row r="1339" spans="1:26">
      <c r="A1339" s="247" t="s">
        <v>467</v>
      </c>
      <c r="B1339" s="210" t="s">
        <v>68</v>
      </c>
      <c r="C1339" s="254" t="s">
        <v>1756</v>
      </c>
      <c r="D1339" s="255">
        <v>185</v>
      </c>
      <c r="E1339" s="211" t="s">
        <v>1877</v>
      </c>
      <c r="F1339" s="212">
        <v>43544</v>
      </c>
      <c r="G1339" s="213">
        <v>2.7</v>
      </c>
      <c r="H1339" s="256">
        <v>61</v>
      </c>
      <c r="I1339" s="214">
        <v>1446445</v>
      </c>
      <c r="J1339" s="215">
        <v>21600</v>
      </c>
      <c r="K1339" s="212">
        <v>43587</v>
      </c>
      <c r="L1339" s="211" t="s">
        <v>1889</v>
      </c>
      <c r="M1339" s="216">
        <v>4615445946</v>
      </c>
      <c r="N1339" s="212">
        <v>43682</v>
      </c>
      <c r="O1339" s="217">
        <v>3.9611999999999998</v>
      </c>
      <c r="P1339" s="219"/>
      <c r="Q1339" s="34">
        <f>SUMIF(Allocation[Delivery ID],Allocation[[#This Row],[Delivery ID]],Allocation[Quantity Processed])</f>
        <v>24832</v>
      </c>
      <c r="R1339" s="61">
        <f>Allocation[[#This Row],[Total volume used]]/VLOOKUP(Allocation[[#This Row],[Delivery ID]],Delivery[[Delivery ID]:[Quantity delivered]],3,FALSE)</f>
        <v>1</v>
      </c>
      <c r="S1339" s="34">
        <f>Allocation[[#This Row],[Quantity Processed]]/Allocation[[#This Row],[Dilution rate]]</f>
        <v>68.518518518518519</v>
      </c>
      <c r="T1339" s="59">
        <f>SUMIF(Allocation[Delivery ID],Allocation[[#This Row],[Delivery ID]],Allocation[Quantity allocated])/SUMIF(Allocation[Delivery ID],Allocation[[#This Row],[Delivery ID]],Allocation[Volume available (kg)])</f>
        <v>0.88486077980064393</v>
      </c>
      <c r="U1339" s="61">
        <f>Allocation[[#This Row],[Total volume used]]/VLOOKUP(Allocation[[#This Row],[Delivery ID]],Delivery[[Delivery ID]:[Quantity delivered]],3,FALSE)</f>
        <v>1</v>
      </c>
      <c r="V1339" s="34" t="e">
        <f>VLOOKUP(Allocation[[#This Row],[SAP Contract number]],Shipments[[SAP Contract number]:[Contracted container weight]],2,FALSE)</f>
        <v>#N/A</v>
      </c>
      <c r="W1339" s="34" t="e">
        <f>VLOOKUP(Allocation[[#This Row],[SAP Contract number]],Shipments[[SAP Contract number]:[AAA Premium USD]],24,FALSE)</f>
        <v>#N/A</v>
      </c>
      <c r="X1339" s="34" t="e">
        <f>VLOOKUP(Allocation[[#This Row],[SAP Contract number]],Shipments[[SAP Contract number]:[RA Premium USD]],25,FALSE)</f>
        <v>#N/A</v>
      </c>
      <c r="Y1339" s="38">
        <f>Allocation[[#This Row],[Quantity Processed]]/Allocation[[#This Row],[Quantity allocated]]</f>
        <v>3.0327868852459017</v>
      </c>
      <c r="Z1339" s="34" t="b">
        <f>Allocation[[#This Row],[Quantity allocated]]&lt;=Allocation[[#This Row],[Quantity Processed]]</f>
        <v>1</v>
      </c>
    </row>
    <row r="1340" spans="1:26">
      <c r="A1340" s="247" t="s">
        <v>467</v>
      </c>
      <c r="B1340" s="210" t="s">
        <v>68</v>
      </c>
      <c r="C1340" s="254" t="s">
        <v>1757</v>
      </c>
      <c r="D1340" s="255">
        <v>2176</v>
      </c>
      <c r="E1340" s="211" t="s">
        <v>1877</v>
      </c>
      <c r="F1340" s="212">
        <v>43544</v>
      </c>
      <c r="G1340" s="213">
        <v>2.7</v>
      </c>
      <c r="H1340" s="256">
        <v>718</v>
      </c>
      <c r="I1340" s="214">
        <v>1446445</v>
      </c>
      <c r="J1340" s="215">
        <v>21600</v>
      </c>
      <c r="K1340" s="212">
        <v>43587</v>
      </c>
      <c r="L1340" s="211" t="s">
        <v>1889</v>
      </c>
      <c r="M1340" s="216">
        <v>4615445946</v>
      </c>
      <c r="N1340" s="212">
        <v>43682</v>
      </c>
      <c r="O1340" s="217">
        <v>3.9611999999999998</v>
      </c>
      <c r="P1340" s="219"/>
      <c r="Q1340" s="34">
        <f>SUMIF(Allocation[Delivery ID],Allocation[[#This Row],[Delivery ID]],Allocation[Quantity Processed])</f>
        <v>10198</v>
      </c>
      <c r="R1340" s="61">
        <f>Allocation[[#This Row],[Total volume used]]/VLOOKUP(Allocation[[#This Row],[Delivery ID]],Delivery[[Delivery ID]:[Quantity delivered]],3,FALSE)</f>
        <v>1</v>
      </c>
      <c r="S1340" s="34">
        <f>Allocation[[#This Row],[Quantity Processed]]/Allocation[[#This Row],[Dilution rate]]</f>
        <v>805.92592592592587</v>
      </c>
      <c r="T1340" s="59">
        <f>SUMIF(Allocation[Delivery ID],Allocation[[#This Row],[Delivery ID]],Allocation[Quantity allocated])/SUMIF(Allocation[Delivery ID],Allocation[[#This Row],[Delivery ID]],Allocation[Volume available (kg)])</f>
        <v>0.88472504109400829</v>
      </c>
      <c r="U1340" s="61">
        <f>Allocation[[#This Row],[Total volume used]]/VLOOKUP(Allocation[[#This Row],[Delivery ID]],Delivery[[Delivery ID]:[Quantity delivered]],3,FALSE)</f>
        <v>1</v>
      </c>
      <c r="V1340" s="34" t="e">
        <f>VLOOKUP(Allocation[[#This Row],[SAP Contract number]],Shipments[[SAP Contract number]:[Contracted container weight]],2,FALSE)</f>
        <v>#N/A</v>
      </c>
      <c r="W1340" s="34" t="e">
        <f>VLOOKUP(Allocation[[#This Row],[SAP Contract number]],Shipments[[SAP Contract number]:[AAA Premium USD]],24,FALSE)</f>
        <v>#N/A</v>
      </c>
      <c r="X1340" s="34" t="e">
        <f>VLOOKUP(Allocation[[#This Row],[SAP Contract number]],Shipments[[SAP Contract number]:[RA Premium USD]],25,FALSE)</f>
        <v>#N/A</v>
      </c>
      <c r="Y1340" s="38">
        <f>Allocation[[#This Row],[Quantity Processed]]/Allocation[[#This Row],[Quantity allocated]]</f>
        <v>3.0306406685236769</v>
      </c>
      <c r="Z1340" s="34" t="b">
        <f>Allocation[[#This Row],[Quantity allocated]]&lt;=Allocation[[#This Row],[Quantity Processed]]</f>
        <v>1</v>
      </c>
    </row>
    <row r="1341" spans="1:26">
      <c r="A1341" s="247" t="s">
        <v>467</v>
      </c>
      <c r="B1341" s="210" t="s">
        <v>68</v>
      </c>
      <c r="C1341" s="254" t="s">
        <v>1763</v>
      </c>
      <c r="D1341" s="255">
        <v>8882</v>
      </c>
      <c r="E1341" s="211" t="s">
        <v>1877</v>
      </c>
      <c r="F1341" s="212">
        <v>43544</v>
      </c>
      <c r="G1341" s="213">
        <v>2.7</v>
      </c>
      <c r="H1341" s="256">
        <v>4530</v>
      </c>
      <c r="I1341" s="214">
        <v>1446445</v>
      </c>
      <c r="J1341" s="215">
        <v>21600</v>
      </c>
      <c r="K1341" s="212">
        <v>43587</v>
      </c>
      <c r="L1341" s="211" t="s">
        <v>1889</v>
      </c>
      <c r="M1341" s="216">
        <v>4615445946</v>
      </c>
      <c r="N1341" s="212">
        <v>43682</v>
      </c>
      <c r="O1341" s="217">
        <v>3.9611999999999998</v>
      </c>
      <c r="P1341" s="219"/>
      <c r="Q1341" s="34">
        <f>SUMIF(Allocation[Delivery ID],Allocation[[#This Row],[Delivery ID]],Allocation[Quantity Processed])</f>
        <v>31317</v>
      </c>
      <c r="R1341" s="61">
        <f>Allocation[[#This Row],[Total volume used]]/VLOOKUP(Allocation[[#This Row],[Delivery ID]],Delivery[[Delivery ID]:[Quantity delivered]],3,FALSE)</f>
        <v>0.81661016949152543</v>
      </c>
      <c r="S1341" s="34">
        <f>Allocation[[#This Row],[Quantity Processed]]/Allocation[[#This Row],[Dilution rate]]</f>
        <v>3289.6296296296296</v>
      </c>
      <c r="T1341" s="59">
        <f>SUMIF(Allocation[Delivery ID],Allocation[[#This Row],[Delivery ID]],Allocation[Quantity allocated])/SUMIF(Allocation[Delivery ID],Allocation[[#This Row],[Delivery ID]],Allocation[Volume available (kg)])</f>
        <v>1.3577237643313349</v>
      </c>
      <c r="U1341" s="61">
        <f>Allocation[[#This Row],[Total volume used]]/VLOOKUP(Allocation[[#This Row],[Delivery ID]],Delivery[[Delivery ID]:[Quantity delivered]],3,FALSE)</f>
        <v>0.81661016949152543</v>
      </c>
      <c r="V1341" s="34" t="e">
        <f>VLOOKUP(Allocation[[#This Row],[SAP Contract number]],Shipments[[SAP Contract number]:[Contracted container weight]],2,FALSE)</f>
        <v>#N/A</v>
      </c>
      <c r="W1341" s="34" t="e">
        <f>VLOOKUP(Allocation[[#This Row],[SAP Contract number]],Shipments[[SAP Contract number]:[AAA Premium USD]],24,FALSE)</f>
        <v>#N/A</v>
      </c>
      <c r="X1341" s="34" t="e">
        <f>VLOOKUP(Allocation[[#This Row],[SAP Contract number]],Shipments[[SAP Contract number]:[RA Premium USD]],25,FALSE)</f>
        <v>#N/A</v>
      </c>
      <c r="Y1341" s="38">
        <f>Allocation[[#This Row],[Quantity Processed]]/Allocation[[#This Row],[Quantity allocated]]</f>
        <v>1.9607064017660045</v>
      </c>
      <c r="Z1341" s="34" t="b">
        <f>Allocation[[#This Row],[Quantity allocated]]&lt;=Allocation[[#This Row],[Quantity Processed]]</f>
        <v>1</v>
      </c>
    </row>
    <row r="1342" spans="1:26">
      <c r="A1342" s="247" t="s">
        <v>467</v>
      </c>
      <c r="B1342" s="210" t="s">
        <v>68</v>
      </c>
      <c r="C1342" s="254" t="s">
        <v>1764</v>
      </c>
      <c r="D1342" s="255">
        <v>5531</v>
      </c>
      <c r="E1342" s="211" t="s">
        <v>1877</v>
      </c>
      <c r="F1342" s="212">
        <v>43544</v>
      </c>
      <c r="G1342" s="213">
        <v>2.7</v>
      </c>
      <c r="H1342" s="256">
        <v>2821</v>
      </c>
      <c r="I1342" s="214">
        <v>1446445</v>
      </c>
      <c r="J1342" s="215">
        <v>21600</v>
      </c>
      <c r="K1342" s="212">
        <v>43587</v>
      </c>
      <c r="L1342" s="211" t="s">
        <v>1889</v>
      </c>
      <c r="M1342" s="216">
        <v>4615445946</v>
      </c>
      <c r="N1342" s="212">
        <v>43682</v>
      </c>
      <c r="O1342" s="217">
        <v>3.9611999999999998</v>
      </c>
      <c r="P1342" s="219"/>
      <c r="Q1342" s="34">
        <f>SUMIF(Allocation[Delivery ID],Allocation[[#This Row],[Delivery ID]],Allocation[Quantity Processed])</f>
        <v>15363</v>
      </c>
      <c r="R1342" s="61">
        <f>Allocation[[#This Row],[Total volume used]]/VLOOKUP(Allocation[[#This Row],[Delivery ID]],Delivery[[Delivery ID]:[Quantity delivered]],3,FALSE)</f>
        <v>0.64334170854271355</v>
      </c>
      <c r="S1342" s="34">
        <f>Allocation[[#This Row],[Quantity Processed]]/Allocation[[#This Row],[Dilution rate]]</f>
        <v>2048.5185185185182</v>
      </c>
      <c r="T1342" s="59">
        <f>SUMIF(Allocation[Delivery ID],Allocation[[#This Row],[Delivery ID]],Allocation[Quantity allocated])/SUMIF(Allocation[Delivery ID],Allocation[[#This Row],[Delivery ID]],Allocation[Volume available (kg)])</f>
        <v>1.361250130896805</v>
      </c>
      <c r="U1342" s="61">
        <f>Allocation[[#This Row],[Total volume used]]/VLOOKUP(Allocation[[#This Row],[Delivery ID]],Delivery[[Delivery ID]:[Quantity delivered]],3,FALSE)</f>
        <v>0.64334170854271355</v>
      </c>
      <c r="V1342" s="34" t="e">
        <f>VLOOKUP(Allocation[[#This Row],[SAP Contract number]],Shipments[[SAP Contract number]:[Contracted container weight]],2,FALSE)</f>
        <v>#N/A</v>
      </c>
      <c r="W1342" s="34" t="e">
        <f>VLOOKUP(Allocation[[#This Row],[SAP Contract number]],Shipments[[SAP Contract number]:[AAA Premium USD]],24,FALSE)</f>
        <v>#N/A</v>
      </c>
      <c r="X1342" s="34" t="e">
        <f>VLOOKUP(Allocation[[#This Row],[SAP Contract number]],Shipments[[SAP Contract number]:[RA Premium USD]],25,FALSE)</f>
        <v>#N/A</v>
      </c>
      <c r="Y1342" s="38">
        <f>Allocation[[#This Row],[Quantity Processed]]/Allocation[[#This Row],[Quantity allocated]]</f>
        <v>1.9606522509748316</v>
      </c>
      <c r="Z1342" s="34" t="b">
        <f>Allocation[[#This Row],[Quantity allocated]]&lt;=Allocation[[#This Row],[Quantity Processed]]</f>
        <v>1</v>
      </c>
    </row>
    <row r="1343" spans="1:26">
      <c r="A1343" s="247" t="s">
        <v>467</v>
      </c>
      <c r="B1343" s="210" t="s">
        <v>68</v>
      </c>
      <c r="C1343" s="254" t="s">
        <v>1765</v>
      </c>
      <c r="D1343" s="255">
        <v>1792</v>
      </c>
      <c r="E1343" s="211" t="s">
        <v>1877</v>
      </c>
      <c r="F1343" s="212">
        <v>43544</v>
      </c>
      <c r="G1343" s="213">
        <v>2.7</v>
      </c>
      <c r="H1343" s="256">
        <v>914</v>
      </c>
      <c r="I1343" s="214">
        <v>1446445</v>
      </c>
      <c r="J1343" s="215">
        <v>21600</v>
      </c>
      <c r="K1343" s="212">
        <v>43587</v>
      </c>
      <c r="L1343" s="211" t="s">
        <v>1889</v>
      </c>
      <c r="M1343" s="216">
        <v>4615445946</v>
      </c>
      <c r="N1343" s="212">
        <v>43682</v>
      </c>
      <c r="O1343" s="217">
        <v>3.9611999999999998</v>
      </c>
      <c r="P1343" s="219"/>
      <c r="Q1343" s="34">
        <f>SUMIF(Allocation[Delivery ID],Allocation[[#This Row],[Delivery ID]],Allocation[Quantity Processed])</f>
        <v>4978</v>
      </c>
      <c r="R1343" s="61">
        <f>Allocation[[#This Row],[Total volume used]]/VLOOKUP(Allocation[[#This Row],[Delivery ID]],Delivery[[Delivery ID]:[Quantity delivered]],3,FALSE)</f>
        <v>0.64315245478036176</v>
      </c>
      <c r="S1343" s="34">
        <f>Allocation[[#This Row],[Quantity Processed]]/Allocation[[#This Row],[Dilution rate]]</f>
        <v>663.7037037037037</v>
      </c>
      <c r="T1343" s="59">
        <f>SUMIF(Allocation[Delivery ID],Allocation[[#This Row],[Delivery ID]],Allocation[Quantity allocated])/SUMIF(Allocation[Delivery ID],Allocation[[#This Row],[Delivery ID]],Allocation[Volume available (kg)])</f>
        <v>1.3608642636697845</v>
      </c>
      <c r="U1343" s="61">
        <f>Allocation[[#This Row],[Total volume used]]/VLOOKUP(Allocation[[#This Row],[Delivery ID]],Delivery[[Delivery ID]:[Quantity delivered]],3,FALSE)</f>
        <v>0.64315245478036176</v>
      </c>
      <c r="V1343" s="34" t="e">
        <f>VLOOKUP(Allocation[[#This Row],[SAP Contract number]],Shipments[[SAP Contract number]:[Contracted container weight]],2,FALSE)</f>
        <v>#N/A</v>
      </c>
      <c r="W1343" s="34" t="e">
        <f>VLOOKUP(Allocation[[#This Row],[SAP Contract number]],Shipments[[SAP Contract number]:[AAA Premium USD]],24,FALSE)</f>
        <v>#N/A</v>
      </c>
      <c r="X1343" s="34" t="e">
        <f>VLOOKUP(Allocation[[#This Row],[SAP Contract number]],Shipments[[SAP Contract number]:[RA Premium USD]],25,FALSE)</f>
        <v>#N/A</v>
      </c>
      <c r="Y1343" s="38">
        <f>Allocation[[#This Row],[Quantity Processed]]/Allocation[[#This Row],[Quantity allocated]]</f>
        <v>1.9606126914660831</v>
      </c>
      <c r="Z1343" s="34" t="b">
        <f>Allocation[[#This Row],[Quantity allocated]]&lt;=Allocation[[#This Row],[Quantity Processed]]</f>
        <v>1</v>
      </c>
    </row>
    <row r="1344" spans="1:26">
      <c r="A1344" s="247" t="s">
        <v>467</v>
      </c>
      <c r="B1344" s="210" t="s">
        <v>68</v>
      </c>
      <c r="C1344" s="254" t="s">
        <v>1771</v>
      </c>
      <c r="D1344" s="255">
        <v>9048</v>
      </c>
      <c r="E1344" s="211" t="s">
        <v>1877</v>
      </c>
      <c r="F1344" s="212">
        <v>43544</v>
      </c>
      <c r="G1344" s="213">
        <v>2.7</v>
      </c>
      <c r="H1344" s="256">
        <v>3800</v>
      </c>
      <c r="I1344" s="214">
        <v>1446445</v>
      </c>
      <c r="J1344" s="215">
        <v>21600</v>
      </c>
      <c r="K1344" s="212">
        <v>43587</v>
      </c>
      <c r="L1344" s="211" t="s">
        <v>1889</v>
      </c>
      <c r="M1344" s="216">
        <v>4615445946</v>
      </c>
      <c r="N1344" s="212">
        <v>43682</v>
      </c>
      <c r="O1344" s="217">
        <v>3.9611999999999998</v>
      </c>
      <c r="P1344" s="219"/>
      <c r="Q1344" s="34">
        <f>SUMIF(Allocation[Delivery ID],Allocation[[#This Row],[Delivery ID]],Allocation[Quantity Processed])</f>
        <v>23824</v>
      </c>
      <c r="R1344" s="61">
        <f>Allocation[[#This Row],[Total volume used]]/VLOOKUP(Allocation[[#This Row],[Delivery ID]],Delivery[[Delivery ID]:[Quantity delivered]],3,FALSE)</f>
        <v>0.79413333333333336</v>
      </c>
      <c r="S1344" s="34">
        <f>Allocation[[#This Row],[Quantity Processed]]/Allocation[[#This Row],[Dilution rate]]</f>
        <v>3351.1111111111109</v>
      </c>
      <c r="T1344" s="59">
        <f>SUMIF(Allocation[Delivery ID],Allocation[[#This Row],[Delivery ID]],Allocation[Quantity allocated])/SUMIF(Allocation[Delivery ID],Allocation[[#This Row],[Delivery ID]],Allocation[Volume available (kg)])</f>
        <v>1.1190327187369244</v>
      </c>
      <c r="U1344" s="61">
        <f>Allocation[[#This Row],[Total volume used]]/VLOOKUP(Allocation[[#This Row],[Delivery ID]],Delivery[[Delivery ID]:[Quantity delivered]],3,FALSE)</f>
        <v>0.79413333333333336</v>
      </c>
      <c r="V1344" s="34" t="e">
        <f>VLOOKUP(Allocation[[#This Row],[SAP Contract number]],Shipments[[SAP Contract number]:[Contracted container weight]],2,FALSE)</f>
        <v>#N/A</v>
      </c>
      <c r="W1344" s="34" t="e">
        <f>VLOOKUP(Allocation[[#This Row],[SAP Contract number]],Shipments[[SAP Contract number]:[AAA Premium USD]],24,FALSE)</f>
        <v>#N/A</v>
      </c>
      <c r="X1344" s="34" t="e">
        <f>VLOOKUP(Allocation[[#This Row],[SAP Contract number]],Shipments[[SAP Contract number]:[RA Premium USD]],25,FALSE)</f>
        <v>#N/A</v>
      </c>
      <c r="Y1344" s="38">
        <f>Allocation[[#This Row],[Quantity Processed]]/Allocation[[#This Row],[Quantity allocated]]</f>
        <v>2.3810526315789473</v>
      </c>
      <c r="Z1344" s="34" t="b">
        <f>Allocation[[#This Row],[Quantity allocated]]&lt;=Allocation[[#This Row],[Quantity Processed]]</f>
        <v>1</v>
      </c>
    </row>
    <row r="1345" spans="1:26">
      <c r="A1345" s="247" t="s">
        <v>467</v>
      </c>
      <c r="B1345" s="210" t="s">
        <v>68</v>
      </c>
      <c r="C1345" s="254" t="s">
        <v>1772</v>
      </c>
      <c r="D1345" s="255">
        <v>6412</v>
      </c>
      <c r="E1345" s="211" t="s">
        <v>1877</v>
      </c>
      <c r="F1345" s="212">
        <v>43544</v>
      </c>
      <c r="G1345" s="213">
        <v>2.7</v>
      </c>
      <c r="H1345" s="256">
        <v>2116</v>
      </c>
      <c r="I1345" s="214">
        <v>1446445</v>
      </c>
      <c r="J1345" s="215">
        <v>21600</v>
      </c>
      <c r="K1345" s="212">
        <v>43587</v>
      </c>
      <c r="L1345" s="211" t="s">
        <v>1889</v>
      </c>
      <c r="M1345" s="216">
        <v>4615445946</v>
      </c>
      <c r="N1345" s="212">
        <v>43682</v>
      </c>
      <c r="O1345" s="217">
        <v>3.9611999999999998</v>
      </c>
      <c r="P1345" s="219"/>
      <c r="Q1345" s="34">
        <f>SUMIF(Allocation[Delivery ID],Allocation[[#This Row],[Delivery ID]],Allocation[Quantity Processed])</f>
        <v>30030</v>
      </c>
      <c r="R1345" s="61">
        <f>Allocation[[#This Row],[Total volume used]]/VLOOKUP(Allocation[[#This Row],[Delivery ID]],Delivery[[Delivery ID]:[Quantity delivered]],3,FALSE)</f>
        <v>1</v>
      </c>
      <c r="S1345" s="34">
        <f>Allocation[[#This Row],[Quantity Processed]]/Allocation[[#This Row],[Dilution rate]]</f>
        <v>2374.8148148148148</v>
      </c>
      <c r="T1345" s="59">
        <f>SUMIF(Allocation[Delivery ID],Allocation[[#This Row],[Delivery ID]],Allocation[Quantity allocated])/SUMIF(Allocation[Delivery ID],Allocation[[#This Row],[Delivery ID]],Allocation[Volume available (kg)])</f>
        <v>0.88086353858640154</v>
      </c>
      <c r="U1345" s="61">
        <f>Allocation[[#This Row],[Total volume used]]/VLOOKUP(Allocation[[#This Row],[Delivery ID]],Delivery[[Delivery ID]:[Quantity delivered]],3,FALSE)</f>
        <v>1</v>
      </c>
      <c r="V1345" s="34" t="e">
        <f>VLOOKUP(Allocation[[#This Row],[SAP Contract number]],Shipments[[SAP Contract number]:[Contracted container weight]],2,FALSE)</f>
        <v>#N/A</v>
      </c>
      <c r="W1345" s="34" t="e">
        <f>VLOOKUP(Allocation[[#This Row],[SAP Contract number]],Shipments[[SAP Contract number]:[AAA Premium USD]],24,FALSE)</f>
        <v>#N/A</v>
      </c>
      <c r="X1345" s="34" t="e">
        <f>VLOOKUP(Allocation[[#This Row],[SAP Contract number]],Shipments[[SAP Contract number]:[RA Premium USD]],25,FALSE)</f>
        <v>#N/A</v>
      </c>
      <c r="Y1345" s="38">
        <f>Allocation[[#This Row],[Quantity Processed]]/Allocation[[#This Row],[Quantity allocated]]</f>
        <v>3.0302457466918713</v>
      </c>
      <c r="Z1345" s="34" t="b">
        <f>Allocation[[#This Row],[Quantity allocated]]&lt;=Allocation[[#This Row],[Quantity Processed]]</f>
        <v>1</v>
      </c>
    </row>
    <row r="1346" spans="1:26">
      <c r="A1346" s="247" t="s">
        <v>467</v>
      </c>
      <c r="B1346" s="210" t="s">
        <v>68</v>
      </c>
      <c r="C1346" s="254" t="s">
        <v>1775</v>
      </c>
      <c r="D1346" s="255">
        <v>2670</v>
      </c>
      <c r="E1346" s="211" t="s">
        <v>1877</v>
      </c>
      <c r="F1346" s="212">
        <v>43544</v>
      </c>
      <c r="G1346" s="213">
        <v>2.7</v>
      </c>
      <c r="H1346" s="256">
        <v>881</v>
      </c>
      <c r="I1346" s="214">
        <v>1446445</v>
      </c>
      <c r="J1346" s="215">
        <v>21600</v>
      </c>
      <c r="K1346" s="212">
        <v>43587</v>
      </c>
      <c r="L1346" s="211" t="s">
        <v>1889</v>
      </c>
      <c r="M1346" s="216">
        <v>4615445946</v>
      </c>
      <c r="N1346" s="212">
        <v>43682</v>
      </c>
      <c r="O1346" s="217">
        <v>3.9611999999999998</v>
      </c>
      <c r="P1346" s="219"/>
      <c r="Q1346" s="34">
        <f>SUMIF(Allocation[Delivery ID],Allocation[[#This Row],[Delivery ID]],Allocation[Quantity Processed])</f>
        <v>12500</v>
      </c>
      <c r="R1346" s="61">
        <f>Allocation[[#This Row],[Total volume used]]/VLOOKUP(Allocation[[#This Row],[Delivery ID]],Delivery[[Delivery ID]:[Quantity delivered]],3,FALSE)</f>
        <v>1</v>
      </c>
      <c r="S1346" s="34">
        <f>Allocation[[#This Row],[Quantity Processed]]/Allocation[[#This Row],[Dilution rate]]</f>
        <v>988.8888888888888</v>
      </c>
      <c r="T1346" s="59">
        <f>SUMIF(Allocation[Delivery ID],Allocation[[#This Row],[Delivery ID]],Allocation[Quantity allocated])/SUMIF(Allocation[Delivery ID],Allocation[[#This Row],[Delivery ID]],Allocation[Volume available (kg)])</f>
        <v>0.88416581912199721</v>
      </c>
      <c r="U1346" s="61">
        <f>Allocation[[#This Row],[Total volume used]]/VLOOKUP(Allocation[[#This Row],[Delivery ID]],Delivery[[Delivery ID]:[Quantity delivered]],3,FALSE)</f>
        <v>1</v>
      </c>
      <c r="V1346" s="34" t="e">
        <f>VLOOKUP(Allocation[[#This Row],[SAP Contract number]],Shipments[[SAP Contract number]:[Contracted container weight]],2,FALSE)</f>
        <v>#N/A</v>
      </c>
      <c r="W1346" s="34" t="e">
        <f>VLOOKUP(Allocation[[#This Row],[SAP Contract number]],Shipments[[SAP Contract number]:[AAA Premium USD]],24,FALSE)</f>
        <v>#N/A</v>
      </c>
      <c r="X1346" s="34" t="e">
        <f>VLOOKUP(Allocation[[#This Row],[SAP Contract number]],Shipments[[SAP Contract number]:[RA Premium USD]],25,FALSE)</f>
        <v>#N/A</v>
      </c>
      <c r="Y1346" s="38">
        <f>Allocation[[#This Row],[Quantity Processed]]/Allocation[[#This Row],[Quantity allocated]]</f>
        <v>3.0306469920544834</v>
      </c>
      <c r="Z1346" s="34" t="b">
        <f>Allocation[[#This Row],[Quantity allocated]]&lt;=Allocation[[#This Row],[Quantity Processed]]</f>
        <v>1</v>
      </c>
    </row>
    <row r="1347" spans="1:26">
      <c r="A1347" s="247" t="s">
        <v>467</v>
      </c>
      <c r="B1347" s="210" t="s">
        <v>68</v>
      </c>
      <c r="C1347" s="254" t="s">
        <v>1781</v>
      </c>
      <c r="D1347" s="255">
        <v>4527</v>
      </c>
      <c r="E1347" s="211" t="s">
        <v>1877</v>
      </c>
      <c r="F1347" s="212">
        <v>43544</v>
      </c>
      <c r="G1347" s="213">
        <v>2.7</v>
      </c>
      <c r="H1347" s="256">
        <v>1358</v>
      </c>
      <c r="I1347" s="214">
        <v>1446445</v>
      </c>
      <c r="J1347" s="215">
        <v>21600</v>
      </c>
      <c r="K1347" s="212">
        <v>43587</v>
      </c>
      <c r="L1347" s="211" t="s">
        <v>1889</v>
      </c>
      <c r="M1347" s="216">
        <v>4615445946</v>
      </c>
      <c r="N1347" s="212">
        <v>43682</v>
      </c>
      <c r="O1347" s="217">
        <v>3.9611999999999998</v>
      </c>
      <c r="P1347" s="219"/>
      <c r="Q1347" s="34">
        <f>SUMIF(Allocation[Delivery ID],Allocation[[#This Row],[Delivery ID]],Allocation[Quantity Processed])</f>
        <v>19270</v>
      </c>
      <c r="R1347" s="61">
        <f>Allocation[[#This Row],[Total volume used]]/VLOOKUP(Allocation[[#This Row],[Delivery ID]],Delivery[[Delivery ID]:[Quantity delivered]],3,FALSE)</f>
        <v>1</v>
      </c>
      <c r="S1347" s="34">
        <f>Allocation[[#This Row],[Quantity Processed]]/Allocation[[#This Row],[Dilution rate]]</f>
        <v>1676.6666666666665</v>
      </c>
      <c r="T1347" s="59">
        <f>SUMIF(Allocation[Delivery ID],Allocation[[#This Row],[Delivery ID]],Allocation[Quantity allocated])/SUMIF(Allocation[Delivery ID],Allocation[[#This Row],[Delivery ID]],Allocation[Volume available (kg)])</f>
        <v>0.82062104172936123</v>
      </c>
      <c r="U1347" s="61">
        <f>Allocation[[#This Row],[Total volume used]]/VLOOKUP(Allocation[[#This Row],[Delivery ID]],Delivery[[Delivery ID]:[Quantity delivered]],3,FALSE)</f>
        <v>1</v>
      </c>
      <c r="V1347" s="34" t="e">
        <f>VLOOKUP(Allocation[[#This Row],[SAP Contract number]],Shipments[[SAP Contract number]:[Contracted container weight]],2,FALSE)</f>
        <v>#N/A</v>
      </c>
      <c r="W1347" s="34" t="e">
        <f>VLOOKUP(Allocation[[#This Row],[SAP Contract number]],Shipments[[SAP Contract number]:[AAA Premium USD]],24,FALSE)</f>
        <v>#N/A</v>
      </c>
      <c r="X1347" s="34" t="e">
        <f>VLOOKUP(Allocation[[#This Row],[SAP Contract number]],Shipments[[SAP Contract number]:[RA Premium USD]],25,FALSE)</f>
        <v>#N/A</v>
      </c>
      <c r="Y1347" s="38">
        <f>Allocation[[#This Row],[Quantity Processed]]/Allocation[[#This Row],[Quantity allocated]]</f>
        <v>3.3335787923416791</v>
      </c>
      <c r="Z1347" s="34" t="b">
        <f>Allocation[[#This Row],[Quantity allocated]]&lt;=Allocation[[#This Row],[Quantity Processed]]</f>
        <v>1</v>
      </c>
    </row>
    <row r="1348" spans="1:26">
      <c r="A1348" s="247" t="s">
        <v>467</v>
      </c>
      <c r="B1348" s="210" t="s">
        <v>68</v>
      </c>
      <c r="C1348" s="254" t="s">
        <v>1786</v>
      </c>
      <c r="D1348" s="255">
        <v>5283</v>
      </c>
      <c r="E1348" s="211" t="s">
        <v>1877</v>
      </c>
      <c r="F1348" s="212">
        <v>43544</v>
      </c>
      <c r="G1348" s="213">
        <v>2.7</v>
      </c>
      <c r="H1348" s="256">
        <v>2113</v>
      </c>
      <c r="I1348" s="214">
        <v>1446445</v>
      </c>
      <c r="J1348" s="215">
        <v>21600</v>
      </c>
      <c r="K1348" s="212">
        <v>43587</v>
      </c>
      <c r="L1348" s="211" t="s">
        <v>1889</v>
      </c>
      <c r="M1348" s="216">
        <v>4615445946</v>
      </c>
      <c r="N1348" s="212">
        <v>43682</v>
      </c>
      <c r="O1348" s="217">
        <v>3.9611999999999998</v>
      </c>
      <c r="P1348" s="219"/>
      <c r="Q1348" s="34">
        <f>SUMIF(Allocation[Delivery ID],Allocation[[#This Row],[Delivery ID]],Allocation[Quantity Processed])</f>
        <v>29990</v>
      </c>
      <c r="R1348" s="61">
        <f>Allocation[[#This Row],[Total volume used]]/VLOOKUP(Allocation[[#This Row],[Delivery ID]],Delivery[[Delivery ID]:[Quantity delivered]],3,FALSE)</f>
        <v>1</v>
      </c>
      <c r="S1348" s="34">
        <f>Allocation[[#This Row],[Quantity Processed]]/Allocation[[#This Row],[Dilution rate]]</f>
        <v>1956.6666666666665</v>
      </c>
      <c r="T1348" s="59">
        <f>SUMIF(Allocation[Delivery ID],Allocation[[#This Row],[Delivery ID]],Allocation[Quantity allocated])/SUMIF(Allocation[Delivery ID],Allocation[[#This Row],[Delivery ID]],Allocation[Volume available (kg)])</f>
        <v>1.0694064813765132</v>
      </c>
      <c r="U1348" s="61">
        <f>Allocation[[#This Row],[Total volume used]]/VLOOKUP(Allocation[[#This Row],[Delivery ID]],Delivery[[Delivery ID]:[Quantity delivered]],3,FALSE)</f>
        <v>1</v>
      </c>
      <c r="V1348" s="34" t="e">
        <f>VLOOKUP(Allocation[[#This Row],[SAP Contract number]],Shipments[[SAP Contract number]:[Contracted container weight]],2,FALSE)</f>
        <v>#N/A</v>
      </c>
      <c r="W1348" s="34" t="e">
        <f>VLOOKUP(Allocation[[#This Row],[SAP Contract number]],Shipments[[SAP Contract number]:[AAA Premium USD]],24,FALSE)</f>
        <v>#N/A</v>
      </c>
      <c r="X1348" s="34" t="e">
        <f>VLOOKUP(Allocation[[#This Row],[SAP Contract number]],Shipments[[SAP Contract number]:[RA Premium USD]],25,FALSE)</f>
        <v>#N/A</v>
      </c>
      <c r="Y1348" s="38">
        <f>Allocation[[#This Row],[Quantity Processed]]/Allocation[[#This Row],[Quantity allocated]]</f>
        <v>2.5002366303833412</v>
      </c>
      <c r="Z1348" s="34" t="b">
        <f>Allocation[[#This Row],[Quantity allocated]]&lt;=Allocation[[#This Row],[Quantity Processed]]</f>
        <v>1</v>
      </c>
    </row>
    <row r="1349" spans="1:26">
      <c r="A1349" s="247" t="s">
        <v>467</v>
      </c>
      <c r="B1349" s="210" t="s">
        <v>68</v>
      </c>
      <c r="C1349" s="254" t="s">
        <v>1826</v>
      </c>
      <c r="D1349" s="255">
        <v>5580</v>
      </c>
      <c r="E1349" s="211" t="s">
        <v>1877</v>
      </c>
      <c r="F1349" s="212">
        <v>43544</v>
      </c>
      <c r="G1349" s="213">
        <v>2.7</v>
      </c>
      <c r="H1349" s="256">
        <v>2288</v>
      </c>
      <c r="I1349" s="214">
        <v>1446445</v>
      </c>
      <c r="J1349" s="215">
        <v>21600</v>
      </c>
      <c r="K1349" s="212">
        <v>43587</v>
      </c>
      <c r="L1349" s="211" t="s">
        <v>1889</v>
      </c>
      <c r="M1349" s="216">
        <v>4615445946</v>
      </c>
      <c r="N1349" s="212">
        <v>43682</v>
      </c>
      <c r="O1349" s="217">
        <v>3.9611999999999998</v>
      </c>
      <c r="P1349" s="219"/>
      <c r="Q1349" s="34">
        <f>SUMIF(Allocation[Delivery ID],Allocation[[#This Row],[Delivery ID]],Allocation[Quantity Processed])</f>
        <v>32480</v>
      </c>
      <c r="R1349" s="61">
        <f>Allocation[[#This Row],[Total volume used]]/VLOOKUP(Allocation[[#This Row],[Delivery ID]],Delivery[[Delivery ID]:[Quantity delivered]],3,FALSE)</f>
        <v>1</v>
      </c>
      <c r="S1349" s="34">
        <f>Allocation[[#This Row],[Quantity Processed]]/Allocation[[#This Row],[Dilution rate]]</f>
        <v>2066.6666666666665</v>
      </c>
      <c r="T1349" s="59">
        <f>SUMIF(Allocation[Delivery ID],Allocation[[#This Row],[Delivery ID]],Allocation[Quantity allocated])/SUMIF(Allocation[Delivery ID],Allocation[[#This Row],[Delivery ID]],Allocation[Volume available (kg)])</f>
        <v>1.0959933064695457</v>
      </c>
      <c r="U1349" s="61">
        <f>Allocation[[#This Row],[Total volume used]]/VLOOKUP(Allocation[[#This Row],[Delivery ID]],Delivery[[Delivery ID]:[Quantity delivered]],3,FALSE)</f>
        <v>1</v>
      </c>
      <c r="V1349" s="34" t="e">
        <f>VLOOKUP(Allocation[[#This Row],[SAP Contract number]],Shipments[[SAP Contract number]:[Contracted container weight]],2,FALSE)</f>
        <v>#N/A</v>
      </c>
      <c r="W1349" s="34" t="e">
        <f>VLOOKUP(Allocation[[#This Row],[SAP Contract number]],Shipments[[SAP Contract number]:[AAA Premium USD]],24,FALSE)</f>
        <v>#N/A</v>
      </c>
      <c r="X1349" s="34" t="e">
        <f>VLOOKUP(Allocation[[#This Row],[SAP Contract number]],Shipments[[SAP Contract number]:[RA Premium USD]],25,FALSE)</f>
        <v>#N/A</v>
      </c>
      <c r="Y1349" s="38">
        <f>Allocation[[#This Row],[Quantity Processed]]/Allocation[[#This Row],[Quantity allocated]]</f>
        <v>2.4388111888111887</v>
      </c>
      <c r="Z1349" s="34" t="b">
        <f>Allocation[[#This Row],[Quantity allocated]]&lt;=Allocation[[#This Row],[Quantity Processed]]</f>
        <v>1</v>
      </c>
    </row>
    <row r="1350" spans="1:26">
      <c r="A1350" s="247" t="s">
        <v>467</v>
      </c>
      <c r="B1350" s="210" t="s">
        <v>68</v>
      </c>
      <c r="C1350" s="254" t="s">
        <v>547</v>
      </c>
      <c r="D1350" s="255">
        <v>23</v>
      </c>
      <c r="E1350" s="211" t="s">
        <v>1890</v>
      </c>
      <c r="F1350" s="212">
        <v>43587</v>
      </c>
      <c r="G1350" s="213">
        <v>2.91</v>
      </c>
      <c r="H1350" s="256">
        <v>10</v>
      </c>
      <c r="I1350" s="214">
        <v>1453734</v>
      </c>
      <c r="J1350" s="215">
        <v>19175</v>
      </c>
      <c r="K1350" s="212">
        <v>43595</v>
      </c>
      <c r="L1350" s="211" t="s">
        <v>1891</v>
      </c>
      <c r="M1350" s="216">
        <v>4615506885</v>
      </c>
      <c r="N1350" s="212">
        <v>43614</v>
      </c>
      <c r="O1350" s="217">
        <v>3.9746999999999999</v>
      </c>
      <c r="P1350" s="219"/>
      <c r="Q1350" s="34">
        <f>SUMIF(Allocation[Delivery ID],Allocation[[#This Row],[Delivery ID]],Allocation[Quantity Processed])</f>
        <v>8706</v>
      </c>
      <c r="R1350" s="61">
        <f>Allocation[[#This Row],[Total volume used]]/VLOOKUP(Allocation[[#This Row],[Delivery ID]],Delivery[[Delivery ID]:[Quantity delivered]],3,FALSE)</f>
        <v>0.72550000000000003</v>
      </c>
      <c r="S1350" s="34">
        <f>Allocation[[#This Row],[Quantity Processed]]/Allocation[[#This Row],[Dilution rate]]</f>
        <v>7.9037800687285218</v>
      </c>
      <c r="T1350" s="59">
        <f>SUMIF(Allocation[Delivery ID],Allocation[[#This Row],[Delivery ID]],Allocation[Quantity allocated])/SUMIF(Allocation[Delivery ID],Allocation[[#This Row],[Delivery ID]],Allocation[Volume available (kg)])</f>
        <v>1.0493621698535043</v>
      </c>
      <c r="U1350" s="61">
        <f>Allocation[[#This Row],[Total volume used]]/VLOOKUP(Allocation[[#This Row],[Delivery ID]],Delivery[[Delivery ID]:[Quantity delivered]],3,FALSE)</f>
        <v>0.72550000000000003</v>
      </c>
      <c r="V1350" s="34" t="e">
        <f>VLOOKUP(Allocation[[#This Row],[SAP Contract number]],Shipments[[SAP Contract number]:[Contracted container weight]],2,FALSE)</f>
        <v>#N/A</v>
      </c>
      <c r="W1350" s="34" t="e">
        <f>VLOOKUP(Allocation[[#This Row],[SAP Contract number]],Shipments[[SAP Contract number]:[AAA Premium USD]],24,FALSE)</f>
        <v>#N/A</v>
      </c>
      <c r="X1350" s="34" t="e">
        <f>VLOOKUP(Allocation[[#This Row],[SAP Contract number]],Shipments[[SAP Contract number]:[RA Premium USD]],25,FALSE)</f>
        <v>#N/A</v>
      </c>
      <c r="Y1350" s="38">
        <f>Allocation[[#This Row],[Quantity Processed]]/Allocation[[#This Row],[Quantity allocated]]</f>
        <v>2.2999999999999998</v>
      </c>
      <c r="Z1350" s="34" t="b">
        <f>Allocation[[#This Row],[Quantity allocated]]&lt;=Allocation[[#This Row],[Quantity Processed]]</f>
        <v>1</v>
      </c>
    </row>
    <row r="1351" spans="1:26">
      <c r="A1351" s="247" t="s">
        <v>467</v>
      </c>
      <c r="B1351" s="210" t="s">
        <v>68</v>
      </c>
      <c r="C1351" s="254" t="s">
        <v>549</v>
      </c>
      <c r="D1351" s="255">
        <v>8</v>
      </c>
      <c r="E1351" s="211" t="s">
        <v>1890</v>
      </c>
      <c r="F1351" s="212">
        <v>43587</v>
      </c>
      <c r="G1351" s="213">
        <v>2.91</v>
      </c>
      <c r="H1351" s="256">
        <v>4</v>
      </c>
      <c r="I1351" s="214">
        <v>1453734</v>
      </c>
      <c r="J1351" s="215">
        <v>19175</v>
      </c>
      <c r="K1351" s="212">
        <v>43595</v>
      </c>
      <c r="L1351" s="211" t="s">
        <v>1891</v>
      </c>
      <c r="M1351" s="216">
        <v>4615506885</v>
      </c>
      <c r="N1351" s="212">
        <v>43614</v>
      </c>
      <c r="O1351" s="217">
        <v>3.9746999999999999</v>
      </c>
      <c r="P1351" s="219"/>
      <c r="Q1351" s="34">
        <f>SUMIF(Allocation[Delivery ID],Allocation[[#This Row],[Delivery ID]],Allocation[Quantity Processed])</f>
        <v>5072</v>
      </c>
      <c r="R1351" s="61">
        <f>Allocation[[#This Row],[Total volume used]]/VLOOKUP(Allocation[[#This Row],[Delivery ID]],Delivery[[Delivery ID]:[Quantity delivered]],3,FALSE)</f>
        <v>0.84533333333333338</v>
      </c>
      <c r="S1351" s="34">
        <f>Allocation[[#This Row],[Quantity Processed]]/Allocation[[#This Row],[Dilution rate]]</f>
        <v>2.7491408934707904</v>
      </c>
      <c r="T1351" s="59">
        <f>SUMIF(Allocation[Delivery ID],Allocation[[#This Row],[Delivery ID]],Allocation[Quantity allocated])/SUMIF(Allocation[Delivery ID],Allocation[[#This Row],[Delivery ID]],Allocation[Volume available (kg)])</f>
        <v>1.2229337091198389</v>
      </c>
      <c r="U1351" s="61">
        <f>Allocation[[#This Row],[Total volume used]]/VLOOKUP(Allocation[[#This Row],[Delivery ID]],Delivery[[Delivery ID]:[Quantity delivered]],3,FALSE)</f>
        <v>0.84533333333333338</v>
      </c>
      <c r="V1351" s="34" t="e">
        <f>VLOOKUP(Allocation[[#This Row],[SAP Contract number]],Shipments[[SAP Contract number]:[Contracted container weight]],2,FALSE)</f>
        <v>#N/A</v>
      </c>
      <c r="W1351" s="34" t="e">
        <f>VLOOKUP(Allocation[[#This Row],[SAP Contract number]],Shipments[[SAP Contract number]:[AAA Premium USD]],24,FALSE)</f>
        <v>#N/A</v>
      </c>
      <c r="X1351" s="34" t="e">
        <f>VLOOKUP(Allocation[[#This Row],[SAP Contract number]],Shipments[[SAP Contract number]:[RA Premium USD]],25,FALSE)</f>
        <v>#N/A</v>
      </c>
      <c r="Y1351" s="38">
        <f>Allocation[[#This Row],[Quantity Processed]]/Allocation[[#This Row],[Quantity allocated]]</f>
        <v>2</v>
      </c>
      <c r="Z1351" s="34" t="b">
        <f>Allocation[[#This Row],[Quantity allocated]]&lt;=Allocation[[#This Row],[Quantity Processed]]</f>
        <v>1</v>
      </c>
    </row>
    <row r="1352" spans="1:26">
      <c r="A1352" s="247" t="s">
        <v>467</v>
      </c>
      <c r="B1352" s="210" t="s">
        <v>68</v>
      </c>
      <c r="C1352" s="254" t="s">
        <v>551</v>
      </c>
      <c r="D1352" s="255">
        <v>70</v>
      </c>
      <c r="E1352" s="211" t="s">
        <v>1890</v>
      </c>
      <c r="F1352" s="212">
        <v>43587</v>
      </c>
      <c r="G1352" s="213">
        <v>2.91</v>
      </c>
      <c r="H1352" s="256">
        <v>23</v>
      </c>
      <c r="I1352" s="214">
        <v>1453734</v>
      </c>
      <c r="J1352" s="215">
        <v>19175</v>
      </c>
      <c r="K1352" s="212">
        <v>43595</v>
      </c>
      <c r="L1352" s="211" t="s">
        <v>1891</v>
      </c>
      <c r="M1352" s="216">
        <v>4615506885</v>
      </c>
      <c r="N1352" s="212">
        <v>43614</v>
      </c>
      <c r="O1352" s="217">
        <v>3.9746999999999999</v>
      </c>
      <c r="P1352" s="219"/>
      <c r="Q1352" s="34">
        <f>SUMIF(Allocation[Delivery ID],Allocation[[#This Row],[Delivery ID]],Allocation[Quantity Processed])</f>
        <v>15141</v>
      </c>
      <c r="R1352" s="61">
        <f>Allocation[[#This Row],[Total volume used]]/VLOOKUP(Allocation[[#This Row],[Delivery ID]],Delivery[[Delivery ID]:[Quantity delivered]],3,FALSE)</f>
        <v>0.67443207126948779</v>
      </c>
      <c r="S1352" s="34">
        <f>Allocation[[#This Row],[Quantity Processed]]/Allocation[[#This Row],[Dilution rate]]</f>
        <v>24.054982817869416</v>
      </c>
      <c r="T1352" s="59">
        <f>SUMIF(Allocation[Delivery ID],Allocation[[#This Row],[Delivery ID]],Allocation[Quantity allocated])/SUMIF(Allocation[Delivery ID],Allocation[[#This Row],[Delivery ID]],Allocation[Volume available (kg)])</f>
        <v>0.72304231515186435</v>
      </c>
      <c r="U1352" s="61">
        <f>Allocation[[#This Row],[Total volume used]]/VLOOKUP(Allocation[[#This Row],[Delivery ID]],Delivery[[Delivery ID]:[Quantity delivered]],3,FALSE)</f>
        <v>0.67443207126948779</v>
      </c>
      <c r="V1352" s="34" t="e">
        <f>VLOOKUP(Allocation[[#This Row],[SAP Contract number]],Shipments[[SAP Contract number]:[Contracted container weight]],2,FALSE)</f>
        <v>#N/A</v>
      </c>
      <c r="W1352" s="34" t="e">
        <f>VLOOKUP(Allocation[[#This Row],[SAP Contract number]],Shipments[[SAP Contract number]:[AAA Premium USD]],24,FALSE)</f>
        <v>#N/A</v>
      </c>
      <c r="X1352" s="34" t="e">
        <f>VLOOKUP(Allocation[[#This Row],[SAP Contract number]],Shipments[[SAP Contract number]:[RA Premium USD]],25,FALSE)</f>
        <v>#N/A</v>
      </c>
      <c r="Y1352" s="38">
        <f>Allocation[[#This Row],[Quantity Processed]]/Allocation[[#This Row],[Quantity allocated]]</f>
        <v>3.0434782608695654</v>
      </c>
      <c r="Z1352" s="34" t="b">
        <f>Allocation[[#This Row],[Quantity allocated]]&lt;=Allocation[[#This Row],[Quantity Processed]]</f>
        <v>1</v>
      </c>
    </row>
    <row r="1353" spans="1:26">
      <c r="A1353" s="247" t="s">
        <v>467</v>
      </c>
      <c r="B1353" s="210" t="s">
        <v>68</v>
      </c>
      <c r="C1353" s="254" t="s">
        <v>553</v>
      </c>
      <c r="D1353" s="255">
        <v>70</v>
      </c>
      <c r="E1353" s="211" t="s">
        <v>1890</v>
      </c>
      <c r="F1353" s="212">
        <v>43587</v>
      </c>
      <c r="G1353" s="213">
        <v>2.91</v>
      </c>
      <c r="H1353" s="256">
        <v>23</v>
      </c>
      <c r="I1353" s="214">
        <v>1453734</v>
      </c>
      <c r="J1353" s="215">
        <v>19175</v>
      </c>
      <c r="K1353" s="212">
        <v>43595</v>
      </c>
      <c r="L1353" s="211" t="s">
        <v>1891</v>
      </c>
      <c r="M1353" s="216">
        <v>4615506885</v>
      </c>
      <c r="N1353" s="212">
        <v>43614</v>
      </c>
      <c r="O1353" s="217">
        <v>3.9746999999999999</v>
      </c>
      <c r="P1353" s="219"/>
      <c r="Q1353" s="34">
        <f>SUMIF(Allocation[Delivery ID],Allocation[[#This Row],[Delivery ID]],Allocation[Quantity Processed])</f>
        <v>15504</v>
      </c>
      <c r="R1353" s="61">
        <f>Allocation[[#This Row],[Total volume used]]/VLOOKUP(Allocation[[#This Row],[Delivery ID]],Delivery[[Delivery ID]:[Quantity delivered]],3,FALSE)</f>
        <v>0.67555555555555558</v>
      </c>
      <c r="S1353" s="34">
        <f>Allocation[[#This Row],[Quantity Processed]]/Allocation[[#This Row],[Dilution rate]]</f>
        <v>24.054982817869416</v>
      </c>
      <c r="T1353" s="59">
        <f>SUMIF(Allocation[Delivery ID],Allocation[[#This Row],[Delivery ID]],Allocation[Quantity allocated])/SUMIF(Allocation[Delivery ID],Allocation[[#This Row],[Delivery ID]],Allocation[Volume available (kg)])</f>
        <v>0.72304788105801232</v>
      </c>
      <c r="U1353" s="61">
        <f>Allocation[[#This Row],[Total volume used]]/VLOOKUP(Allocation[[#This Row],[Delivery ID]],Delivery[[Delivery ID]:[Quantity delivered]],3,FALSE)</f>
        <v>0.67555555555555558</v>
      </c>
      <c r="V1353" s="34" t="e">
        <f>VLOOKUP(Allocation[[#This Row],[SAP Contract number]],Shipments[[SAP Contract number]:[Contracted container weight]],2,FALSE)</f>
        <v>#N/A</v>
      </c>
      <c r="W1353" s="34" t="e">
        <f>VLOOKUP(Allocation[[#This Row],[SAP Contract number]],Shipments[[SAP Contract number]:[AAA Premium USD]],24,FALSE)</f>
        <v>#N/A</v>
      </c>
      <c r="X1353" s="34" t="e">
        <f>VLOOKUP(Allocation[[#This Row],[SAP Contract number]],Shipments[[SAP Contract number]:[RA Premium USD]],25,FALSE)</f>
        <v>#N/A</v>
      </c>
      <c r="Y1353" s="38">
        <f>Allocation[[#This Row],[Quantity Processed]]/Allocation[[#This Row],[Quantity allocated]]</f>
        <v>3.0434782608695654</v>
      </c>
      <c r="Z1353" s="34" t="b">
        <f>Allocation[[#This Row],[Quantity allocated]]&lt;=Allocation[[#This Row],[Quantity Processed]]</f>
        <v>1</v>
      </c>
    </row>
    <row r="1354" spans="1:26">
      <c r="A1354" s="247" t="s">
        <v>467</v>
      </c>
      <c r="B1354" s="210" t="s">
        <v>68</v>
      </c>
      <c r="C1354" s="254" t="s">
        <v>554</v>
      </c>
      <c r="D1354" s="255">
        <v>61</v>
      </c>
      <c r="E1354" s="211" t="s">
        <v>1890</v>
      </c>
      <c r="F1354" s="212">
        <v>43587</v>
      </c>
      <c r="G1354" s="213">
        <v>2.91</v>
      </c>
      <c r="H1354" s="256">
        <v>20</v>
      </c>
      <c r="I1354" s="214">
        <v>1453734</v>
      </c>
      <c r="J1354" s="215">
        <v>19175</v>
      </c>
      <c r="K1354" s="212">
        <v>43595</v>
      </c>
      <c r="L1354" s="211" t="s">
        <v>1891</v>
      </c>
      <c r="M1354" s="216">
        <v>4615506885</v>
      </c>
      <c r="N1354" s="212">
        <v>43614</v>
      </c>
      <c r="O1354" s="217">
        <v>3.9746999999999999</v>
      </c>
      <c r="P1354" s="219"/>
      <c r="Q1354" s="34">
        <f>SUMIF(Allocation[Delivery ID],Allocation[[#This Row],[Delivery ID]],Allocation[Quantity Processed])</f>
        <v>13277</v>
      </c>
      <c r="R1354" s="61">
        <f>Allocation[[#This Row],[Total volume used]]/VLOOKUP(Allocation[[#This Row],[Delivery ID]],Delivery[[Delivery ID]:[Quantity delivered]],3,FALSE)</f>
        <v>0.67464430894308947</v>
      </c>
      <c r="S1354" s="34">
        <f>Allocation[[#This Row],[Quantity Processed]]/Allocation[[#This Row],[Dilution rate]]</f>
        <v>20.962199312714777</v>
      </c>
      <c r="T1354" s="59">
        <f>SUMIF(Allocation[Delivery ID],Allocation[[#This Row],[Delivery ID]],Allocation[Quantity allocated])/SUMIF(Allocation[Delivery ID],Allocation[[#This Row],[Delivery ID]],Allocation[Volume available (kg)])</f>
        <v>0.72304006354556072</v>
      </c>
      <c r="U1354" s="61">
        <f>Allocation[[#This Row],[Total volume used]]/VLOOKUP(Allocation[[#This Row],[Delivery ID]],Delivery[[Delivery ID]:[Quantity delivered]],3,FALSE)</f>
        <v>0.67464430894308947</v>
      </c>
      <c r="V1354" s="34" t="e">
        <f>VLOOKUP(Allocation[[#This Row],[SAP Contract number]],Shipments[[SAP Contract number]:[Contracted container weight]],2,FALSE)</f>
        <v>#N/A</v>
      </c>
      <c r="W1354" s="34" t="e">
        <f>VLOOKUP(Allocation[[#This Row],[SAP Contract number]],Shipments[[SAP Contract number]:[AAA Premium USD]],24,FALSE)</f>
        <v>#N/A</v>
      </c>
      <c r="X1354" s="34" t="e">
        <f>VLOOKUP(Allocation[[#This Row],[SAP Contract number]],Shipments[[SAP Contract number]:[RA Premium USD]],25,FALSE)</f>
        <v>#N/A</v>
      </c>
      <c r="Y1354" s="38">
        <f>Allocation[[#This Row],[Quantity Processed]]/Allocation[[#This Row],[Quantity allocated]]</f>
        <v>3.05</v>
      </c>
      <c r="Z1354" s="34" t="b">
        <f>Allocation[[#This Row],[Quantity allocated]]&lt;=Allocation[[#This Row],[Quantity Processed]]</f>
        <v>1</v>
      </c>
    </row>
    <row r="1355" spans="1:26">
      <c r="A1355" s="247" t="s">
        <v>467</v>
      </c>
      <c r="B1355" s="210" t="s">
        <v>68</v>
      </c>
      <c r="C1355" s="254" t="s">
        <v>557</v>
      </c>
      <c r="D1355" s="255">
        <v>27</v>
      </c>
      <c r="E1355" s="211" t="s">
        <v>1890</v>
      </c>
      <c r="F1355" s="212">
        <v>43587</v>
      </c>
      <c r="G1355" s="213">
        <v>2.91</v>
      </c>
      <c r="H1355" s="256">
        <v>8</v>
      </c>
      <c r="I1355" s="214">
        <v>1453734</v>
      </c>
      <c r="J1355" s="215">
        <v>19175</v>
      </c>
      <c r="K1355" s="212">
        <v>43595</v>
      </c>
      <c r="L1355" s="211" t="s">
        <v>1891</v>
      </c>
      <c r="M1355" s="216">
        <v>4615506885</v>
      </c>
      <c r="N1355" s="212">
        <v>43614</v>
      </c>
      <c r="O1355" s="217">
        <v>3.9746999999999999</v>
      </c>
      <c r="P1355" s="219"/>
      <c r="Q1355" s="34">
        <f>SUMIF(Allocation[Delivery ID],Allocation[[#This Row],[Delivery ID]],Allocation[Quantity Processed])</f>
        <v>9990</v>
      </c>
      <c r="R1355" s="61">
        <f>Allocation[[#This Row],[Total volume used]]/VLOOKUP(Allocation[[#This Row],[Delivery ID]],Delivery[[Delivery ID]:[Quantity delivered]],3,FALSE)</f>
        <v>1</v>
      </c>
      <c r="S1355" s="34">
        <f>Allocation[[#This Row],[Quantity Processed]]/Allocation[[#This Row],[Dilution rate]]</f>
        <v>9.2783505154639165</v>
      </c>
      <c r="T1355" s="59">
        <f>SUMIF(Allocation[Delivery ID],Allocation[[#This Row],[Delivery ID]],Allocation[Quantity allocated])/SUMIF(Allocation[Delivery ID],Allocation[[#This Row],[Delivery ID]],Allocation[Volume available (kg)])</f>
        <v>0.73686309988954335</v>
      </c>
      <c r="U1355" s="61">
        <f>Allocation[[#This Row],[Total volume used]]/VLOOKUP(Allocation[[#This Row],[Delivery ID]],Delivery[[Delivery ID]:[Quantity delivered]],3,FALSE)</f>
        <v>1</v>
      </c>
      <c r="V1355" s="34" t="e">
        <f>VLOOKUP(Allocation[[#This Row],[SAP Contract number]],Shipments[[SAP Contract number]:[Contracted container weight]],2,FALSE)</f>
        <v>#N/A</v>
      </c>
      <c r="W1355" s="34" t="e">
        <f>VLOOKUP(Allocation[[#This Row],[SAP Contract number]],Shipments[[SAP Contract number]:[AAA Premium USD]],24,FALSE)</f>
        <v>#N/A</v>
      </c>
      <c r="X1355" s="34" t="e">
        <f>VLOOKUP(Allocation[[#This Row],[SAP Contract number]],Shipments[[SAP Contract number]:[RA Premium USD]],25,FALSE)</f>
        <v>#N/A</v>
      </c>
      <c r="Y1355" s="38">
        <f>Allocation[[#This Row],[Quantity Processed]]/Allocation[[#This Row],[Quantity allocated]]</f>
        <v>3.375</v>
      </c>
      <c r="Z1355" s="34" t="b">
        <f>Allocation[[#This Row],[Quantity allocated]]&lt;=Allocation[[#This Row],[Quantity Processed]]</f>
        <v>1</v>
      </c>
    </row>
    <row r="1356" spans="1:26">
      <c r="A1356" s="247" t="s">
        <v>467</v>
      </c>
      <c r="B1356" s="210" t="s">
        <v>68</v>
      </c>
      <c r="C1356" s="254" t="s">
        <v>559</v>
      </c>
      <c r="D1356" s="255">
        <v>70</v>
      </c>
      <c r="E1356" s="211" t="s">
        <v>1890</v>
      </c>
      <c r="F1356" s="212">
        <v>43587</v>
      </c>
      <c r="G1356" s="213">
        <v>2.91</v>
      </c>
      <c r="H1356" s="256">
        <v>23</v>
      </c>
      <c r="I1356" s="214">
        <v>1453734</v>
      </c>
      <c r="J1356" s="215">
        <v>19175</v>
      </c>
      <c r="K1356" s="212">
        <v>43595</v>
      </c>
      <c r="L1356" s="211" t="s">
        <v>1891</v>
      </c>
      <c r="M1356" s="216">
        <v>4615506885</v>
      </c>
      <c r="N1356" s="212">
        <v>43614</v>
      </c>
      <c r="O1356" s="217">
        <v>3.9746999999999999</v>
      </c>
      <c r="P1356" s="219"/>
      <c r="Q1356" s="34">
        <f>SUMIF(Allocation[Delivery ID],Allocation[[#This Row],[Delivery ID]],Allocation[Quantity Processed])</f>
        <v>15180</v>
      </c>
      <c r="R1356" s="61">
        <f>Allocation[[#This Row],[Total volume used]]/VLOOKUP(Allocation[[#This Row],[Delivery ID]],Delivery[[Delivery ID]:[Quantity delivered]],3,FALSE)</f>
        <v>0.67496665184526461</v>
      </c>
      <c r="S1356" s="34">
        <f>Allocation[[#This Row],[Quantity Processed]]/Allocation[[#This Row],[Dilution rate]]</f>
        <v>24.054982817869416</v>
      </c>
      <c r="T1356" s="59">
        <f>SUMIF(Allocation[Delivery ID],Allocation[[#This Row],[Delivery ID]],Allocation[Quantity allocated])/SUMIF(Allocation[Delivery ID],Allocation[[#This Row],[Delivery ID]],Allocation[Volume available (kg)])</f>
        <v>0.72304148531501</v>
      </c>
      <c r="U1356" s="61">
        <f>Allocation[[#This Row],[Total volume used]]/VLOOKUP(Allocation[[#This Row],[Delivery ID]],Delivery[[Delivery ID]:[Quantity delivered]],3,FALSE)</f>
        <v>0.67496665184526461</v>
      </c>
      <c r="V1356" s="34" t="e">
        <f>VLOOKUP(Allocation[[#This Row],[SAP Contract number]],Shipments[[SAP Contract number]:[Contracted container weight]],2,FALSE)</f>
        <v>#N/A</v>
      </c>
      <c r="W1356" s="34" t="e">
        <f>VLOOKUP(Allocation[[#This Row],[SAP Contract number]],Shipments[[SAP Contract number]:[AAA Premium USD]],24,FALSE)</f>
        <v>#N/A</v>
      </c>
      <c r="X1356" s="34" t="e">
        <f>VLOOKUP(Allocation[[#This Row],[SAP Contract number]],Shipments[[SAP Contract number]:[RA Premium USD]],25,FALSE)</f>
        <v>#N/A</v>
      </c>
      <c r="Y1356" s="38">
        <f>Allocation[[#This Row],[Quantity Processed]]/Allocation[[#This Row],[Quantity allocated]]</f>
        <v>3.0434782608695654</v>
      </c>
      <c r="Z1356" s="34" t="b">
        <f>Allocation[[#This Row],[Quantity allocated]]&lt;=Allocation[[#This Row],[Quantity Processed]]</f>
        <v>1</v>
      </c>
    </row>
    <row r="1357" spans="1:26">
      <c r="A1357" s="247" t="s">
        <v>467</v>
      </c>
      <c r="B1357" s="210" t="s">
        <v>68</v>
      </c>
      <c r="C1357" s="254" t="s">
        <v>561</v>
      </c>
      <c r="D1357" s="255">
        <v>27</v>
      </c>
      <c r="E1357" s="211" t="s">
        <v>1890</v>
      </c>
      <c r="F1357" s="212">
        <v>43587</v>
      </c>
      <c r="G1357" s="213">
        <v>2.91</v>
      </c>
      <c r="H1357" s="256">
        <v>9</v>
      </c>
      <c r="I1357" s="214">
        <v>1453734</v>
      </c>
      <c r="J1357" s="215">
        <v>19175</v>
      </c>
      <c r="K1357" s="212">
        <v>43595</v>
      </c>
      <c r="L1357" s="211" t="s">
        <v>1891</v>
      </c>
      <c r="M1357" s="216">
        <v>4615506885</v>
      </c>
      <c r="N1357" s="212">
        <v>43614</v>
      </c>
      <c r="O1357" s="217">
        <v>3.9746999999999999</v>
      </c>
      <c r="P1357" s="219"/>
      <c r="Q1357" s="34">
        <f>SUMIF(Allocation[Delivery ID],Allocation[[#This Row],[Delivery ID]],Allocation[Quantity Processed])</f>
        <v>10736</v>
      </c>
      <c r="R1357" s="61">
        <f>Allocation[[#This Row],[Total volume used]]/VLOOKUP(Allocation[[#This Row],[Delivery ID]],Delivery[[Delivery ID]:[Quantity delivered]],3,FALSE)</f>
        <v>0.93356521739130438</v>
      </c>
      <c r="S1357" s="34">
        <f>Allocation[[#This Row],[Quantity Processed]]/Allocation[[#This Row],[Dilution rate]]</f>
        <v>9.2783505154639165</v>
      </c>
      <c r="T1357" s="59">
        <f>SUMIF(Allocation[Delivery ID],Allocation[[#This Row],[Delivery ID]],Allocation[Quantity allocated])/SUMIF(Allocation[Delivery ID],Allocation[[#This Row],[Delivery ID]],Allocation[Volume available (kg)])</f>
        <v>0.8212168824808399</v>
      </c>
      <c r="U1357" s="61">
        <f>Allocation[[#This Row],[Total volume used]]/VLOOKUP(Allocation[[#This Row],[Delivery ID]],Delivery[[Delivery ID]:[Quantity delivered]],3,FALSE)</f>
        <v>0.93356521739130438</v>
      </c>
      <c r="V1357" s="34" t="e">
        <f>VLOOKUP(Allocation[[#This Row],[SAP Contract number]],Shipments[[SAP Contract number]:[Contracted container weight]],2,FALSE)</f>
        <v>#N/A</v>
      </c>
      <c r="W1357" s="34" t="e">
        <f>VLOOKUP(Allocation[[#This Row],[SAP Contract number]],Shipments[[SAP Contract number]:[AAA Premium USD]],24,FALSE)</f>
        <v>#N/A</v>
      </c>
      <c r="X1357" s="34" t="e">
        <f>VLOOKUP(Allocation[[#This Row],[SAP Contract number]],Shipments[[SAP Contract number]:[RA Premium USD]],25,FALSE)</f>
        <v>#N/A</v>
      </c>
      <c r="Y1357" s="38">
        <f>Allocation[[#This Row],[Quantity Processed]]/Allocation[[#This Row],[Quantity allocated]]</f>
        <v>3</v>
      </c>
      <c r="Z1357" s="34" t="b">
        <f>Allocation[[#This Row],[Quantity allocated]]&lt;=Allocation[[#This Row],[Quantity Processed]]</f>
        <v>1</v>
      </c>
    </row>
    <row r="1358" spans="1:26">
      <c r="A1358" s="247" t="s">
        <v>467</v>
      </c>
      <c r="B1358" s="210" t="s">
        <v>68</v>
      </c>
      <c r="C1358" s="254" t="s">
        <v>1367</v>
      </c>
      <c r="D1358" s="255">
        <v>8639</v>
      </c>
      <c r="E1358" s="211" t="s">
        <v>1890</v>
      </c>
      <c r="F1358" s="212">
        <v>43587</v>
      </c>
      <c r="G1358" s="213">
        <v>2.91</v>
      </c>
      <c r="H1358" s="256">
        <v>2851</v>
      </c>
      <c r="I1358" s="214">
        <v>1453734</v>
      </c>
      <c r="J1358" s="215">
        <v>19175</v>
      </c>
      <c r="K1358" s="212">
        <v>43595</v>
      </c>
      <c r="L1358" s="211" t="s">
        <v>1891</v>
      </c>
      <c r="M1358" s="216">
        <v>4615506885</v>
      </c>
      <c r="N1358" s="212">
        <v>43614</v>
      </c>
      <c r="O1358" s="217">
        <v>3.9746999999999999</v>
      </c>
      <c r="P1358" s="219"/>
      <c r="Q1358" s="34">
        <f>SUMIF(Allocation[Delivery ID],Allocation[[#This Row],[Delivery ID]],Allocation[Quantity Processed])</f>
        <v>8639</v>
      </c>
      <c r="R1358" s="61">
        <f>Allocation[[#This Row],[Total volume used]]/VLOOKUP(Allocation[[#This Row],[Delivery ID]],Delivery[[Delivery ID]:[Quantity delivered]],3,FALSE)</f>
        <v>0.44439300411522636</v>
      </c>
      <c r="S1358" s="34">
        <f>Allocation[[#This Row],[Quantity Processed]]/Allocation[[#This Row],[Dilution rate]]</f>
        <v>2968.7285223367694</v>
      </c>
      <c r="T1358" s="59">
        <f>SUMIF(Allocation[Delivery ID],Allocation[[#This Row],[Delivery ID]],Allocation[Quantity allocated])/SUMIF(Allocation[Delivery ID],Allocation[[#This Row],[Delivery ID]],Allocation[Volume available (kg)])</f>
        <v>0.96034378979048518</v>
      </c>
      <c r="U1358" s="61">
        <f>Allocation[[#This Row],[Total volume used]]/VLOOKUP(Allocation[[#This Row],[Delivery ID]],Delivery[[Delivery ID]:[Quantity delivered]],3,FALSE)</f>
        <v>0.44439300411522636</v>
      </c>
      <c r="V1358" s="34" t="e">
        <f>VLOOKUP(Allocation[[#This Row],[SAP Contract number]],Shipments[[SAP Contract number]:[Contracted container weight]],2,FALSE)</f>
        <v>#N/A</v>
      </c>
      <c r="W1358" s="34" t="e">
        <f>VLOOKUP(Allocation[[#This Row],[SAP Contract number]],Shipments[[SAP Contract number]:[AAA Premium USD]],24,FALSE)</f>
        <v>#N/A</v>
      </c>
      <c r="X1358" s="34" t="e">
        <f>VLOOKUP(Allocation[[#This Row],[SAP Contract number]],Shipments[[SAP Contract number]:[RA Premium USD]],25,FALSE)</f>
        <v>#N/A</v>
      </c>
      <c r="Y1358" s="38">
        <f>Allocation[[#This Row],[Quantity Processed]]/Allocation[[#This Row],[Quantity allocated]]</f>
        <v>3.0301648544370394</v>
      </c>
      <c r="Z1358" s="34" t="b">
        <f>Allocation[[#This Row],[Quantity allocated]]&lt;=Allocation[[#This Row],[Quantity Processed]]</f>
        <v>1</v>
      </c>
    </row>
    <row r="1359" spans="1:26">
      <c r="A1359" s="247" t="s">
        <v>467</v>
      </c>
      <c r="B1359" s="210" t="s">
        <v>68</v>
      </c>
      <c r="C1359" s="254" t="s">
        <v>567</v>
      </c>
      <c r="D1359" s="255">
        <v>45</v>
      </c>
      <c r="E1359" s="211" t="s">
        <v>1890</v>
      </c>
      <c r="F1359" s="212">
        <v>43587</v>
      </c>
      <c r="G1359" s="213">
        <v>2.91</v>
      </c>
      <c r="H1359" s="256">
        <v>15</v>
      </c>
      <c r="I1359" s="214">
        <v>1453734</v>
      </c>
      <c r="J1359" s="215">
        <v>19175</v>
      </c>
      <c r="K1359" s="212">
        <v>43595</v>
      </c>
      <c r="L1359" s="211" t="s">
        <v>1891</v>
      </c>
      <c r="M1359" s="216">
        <v>4615506885</v>
      </c>
      <c r="N1359" s="212">
        <v>43614</v>
      </c>
      <c r="O1359" s="217">
        <v>3.9746999999999999</v>
      </c>
      <c r="P1359" s="219"/>
      <c r="Q1359" s="34">
        <f>SUMIF(Allocation[Delivery ID],Allocation[[#This Row],[Delivery ID]],Allocation[Quantity Processed])</f>
        <v>9599</v>
      </c>
      <c r="R1359" s="61">
        <f>Allocation[[#This Row],[Total volume used]]/VLOOKUP(Allocation[[#This Row],[Delivery ID]],Delivery[[Delivery ID]:[Quantity delivered]],3,FALSE)</f>
        <v>0.67456078706957134</v>
      </c>
      <c r="S1359" s="34">
        <f>Allocation[[#This Row],[Quantity Processed]]/Allocation[[#This Row],[Dilution rate]]</f>
        <v>15.463917525773196</v>
      </c>
      <c r="T1359" s="59">
        <f>SUMIF(Allocation[Delivery ID],Allocation[[#This Row],[Delivery ID]],Allocation[Quantity allocated])/SUMIF(Allocation[Delivery ID],Allocation[[#This Row],[Delivery ID]],Allocation[Volume available (kg)])</f>
        <v>0.72327415502228787</v>
      </c>
      <c r="U1359" s="61">
        <f>Allocation[[#This Row],[Total volume used]]/VLOOKUP(Allocation[[#This Row],[Delivery ID]],Delivery[[Delivery ID]:[Quantity delivered]],3,FALSE)</f>
        <v>0.67456078706957134</v>
      </c>
      <c r="V1359" s="34" t="e">
        <f>VLOOKUP(Allocation[[#This Row],[SAP Contract number]],Shipments[[SAP Contract number]:[Contracted container weight]],2,FALSE)</f>
        <v>#N/A</v>
      </c>
      <c r="W1359" s="34" t="e">
        <f>VLOOKUP(Allocation[[#This Row],[SAP Contract number]],Shipments[[SAP Contract number]:[AAA Premium USD]],24,FALSE)</f>
        <v>#N/A</v>
      </c>
      <c r="X1359" s="34" t="e">
        <f>VLOOKUP(Allocation[[#This Row],[SAP Contract number]],Shipments[[SAP Contract number]:[RA Premium USD]],25,FALSE)</f>
        <v>#N/A</v>
      </c>
      <c r="Y1359" s="38">
        <f>Allocation[[#This Row],[Quantity Processed]]/Allocation[[#This Row],[Quantity allocated]]</f>
        <v>3</v>
      </c>
      <c r="Z1359" s="34" t="b">
        <f>Allocation[[#This Row],[Quantity allocated]]&lt;=Allocation[[#This Row],[Quantity Processed]]</f>
        <v>1</v>
      </c>
    </row>
    <row r="1360" spans="1:26">
      <c r="A1360" s="247" t="s">
        <v>467</v>
      </c>
      <c r="B1360" s="210" t="s">
        <v>68</v>
      </c>
      <c r="C1360" s="254" t="s">
        <v>1390</v>
      </c>
      <c r="D1360" s="255">
        <v>3930</v>
      </c>
      <c r="E1360" s="211" t="s">
        <v>1890</v>
      </c>
      <c r="F1360" s="212">
        <v>43587</v>
      </c>
      <c r="G1360" s="213">
        <v>2.91</v>
      </c>
      <c r="H1360" s="256">
        <v>1297</v>
      </c>
      <c r="I1360" s="214">
        <v>1453734</v>
      </c>
      <c r="J1360" s="215">
        <v>19175</v>
      </c>
      <c r="K1360" s="212">
        <v>43595</v>
      </c>
      <c r="L1360" s="211" t="s">
        <v>1891</v>
      </c>
      <c r="M1360" s="216">
        <v>4615506885</v>
      </c>
      <c r="N1360" s="212">
        <v>43614</v>
      </c>
      <c r="O1360" s="217">
        <v>3.9746999999999999</v>
      </c>
      <c r="P1360" s="219"/>
      <c r="Q1360" s="34">
        <f>SUMIF(Allocation[Delivery ID],Allocation[[#This Row],[Delivery ID]],Allocation[Quantity Processed])</f>
        <v>3930</v>
      </c>
      <c r="R1360" s="61">
        <f>Allocation[[#This Row],[Total volume used]]/VLOOKUP(Allocation[[#This Row],[Delivery ID]],Delivery[[Delivery ID]:[Quantity delivered]],3,FALSE)</f>
        <v>0.4460839954597049</v>
      </c>
      <c r="S1360" s="34">
        <f>Allocation[[#This Row],[Quantity Processed]]/Allocation[[#This Row],[Dilution rate]]</f>
        <v>1350.5154639175257</v>
      </c>
      <c r="T1360" s="59">
        <f>SUMIF(Allocation[Delivery ID],Allocation[[#This Row],[Delivery ID]],Allocation[Quantity allocated])/SUMIF(Allocation[Delivery ID],Allocation[[#This Row],[Delivery ID]],Allocation[Volume available (kg)])</f>
        <v>0.96037404580152674</v>
      </c>
      <c r="U1360" s="61">
        <f>Allocation[[#This Row],[Total volume used]]/VLOOKUP(Allocation[[#This Row],[Delivery ID]],Delivery[[Delivery ID]:[Quantity delivered]],3,FALSE)</f>
        <v>0.4460839954597049</v>
      </c>
      <c r="V1360" s="34" t="e">
        <f>VLOOKUP(Allocation[[#This Row],[SAP Contract number]],Shipments[[SAP Contract number]:[Contracted container weight]],2,FALSE)</f>
        <v>#N/A</v>
      </c>
      <c r="W1360" s="34" t="e">
        <f>VLOOKUP(Allocation[[#This Row],[SAP Contract number]],Shipments[[SAP Contract number]:[AAA Premium USD]],24,FALSE)</f>
        <v>#N/A</v>
      </c>
      <c r="X1360" s="34" t="e">
        <f>VLOOKUP(Allocation[[#This Row],[SAP Contract number]],Shipments[[SAP Contract number]:[RA Premium USD]],25,FALSE)</f>
        <v>#N/A</v>
      </c>
      <c r="Y1360" s="38">
        <f>Allocation[[#This Row],[Quantity Processed]]/Allocation[[#This Row],[Quantity allocated]]</f>
        <v>3.0300693909020819</v>
      </c>
      <c r="Z1360" s="34" t="b">
        <f>Allocation[[#This Row],[Quantity allocated]]&lt;=Allocation[[#This Row],[Quantity Processed]]</f>
        <v>1</v>
      </c>
    </row>
    <row r="1361" spans="1:26">
      <c r="A1361" s="247" t="s">
        <v>467</v>
      </c>
      <c r="B1361" s="210" t="s">
        <v>68</v>
      </c>
      <c r="C1361" s="254" t="s">
        <v>569</v>
      </c>
      <c r="D1361" s="255">
        <v>30</v>
      </c>
      <c r="E1361" s="211" t="s">
        <v>1890</v>
      </c>
      <c r="F1361" s="212">
        <v>43587</v>
      </c>
      <c r="G1361" s="213">
        <v>2.91</v>
      </c>
      <c r="H1361" s="256">
        <v>10</v>
      </c>
      <c r="I1361" s="214">
        <v>1453734</v>
      </c>
      <c r="J1361" s="215">
        <v>19175</v>
      </c>
      <c r="K1361" s="212">
        <v>43595</v>
      </c>
      <c r="L1361" s="211" t="s">
        <v>1891</v>
      </c>
      <c r="M1361" s="216">
        <v>4615506885</v>
      </c>
      <c r="N1361" s="212">
        <v>43614</v>
      </c>
      <c r="O1361" s="217">
        <v>3.9746999999999999</v>
      </c>
      <c r="P1361" s="219"/>
      <c r="Q1361" s="34">
        <f>SUMIF(Allocation[Delivery ID],Allocation[[#This Row],[Delivery ID]],Allocation[Quantity Processed])</f>
        <v>7262</v>
      </c>
      <c r="R1361" s="61">
        <f>Allocation[[#This Row],[Total volume used]]/VLOOKUP(Allocation[[#This Row],[Delivery ID]],Delivery[[Delivery ID]:[Quantity delivered]],3,FALSE)</f>
        <v>0.60516666666666663</v>
      </c>
      <c r="S1361" s="34">
        <f>Allocation[[#This Row],[Quantity Processed]]/Allocation[[#This Row],[Dilution rate]]</f>
        <v>10.309278350515463</v>
      </c>
      <c r="T1361" s="59">
        <f>SUMIF(Allocation[Delivery ID],Allocation[[#This Row],[Delivery ID]],Allocation[Quantity allocated])/SUMIF(Allocation[Delivery ID],Allocation[[#This Row],[Delivery ID]],Allocation[Volume available (kg)])</f>
        <v>0.67035577324738682</v>
      </c>
      <c r="U1361" s="61">
        <f>Allocation[[#This Row],[Total volume used]]/VLOOKUP(Allocation[[#This Row],[Delivery ID]],Delivery[[Delivery ID]:[Quantity delivered]],3,FALSE)</f>
        <v>0.60516666666666663</v>
      </c>
      <c r="V1361" s="34" t="e">
        <f>VLOOKUP(Allocation[[#This Row],[SAP Contract number]],Shipments[[SAP Contract number]:[Contracted container weight]],2,FALSE)</f>
        <v>#N/A</v>
      </c>
      <c r="W1361" s="34" t="e">
        <f>VLOOKUP(Allocation[[#This Row],[SAP Contract number]],Shipments[[SAP Contract number]:[AAA Premium USD]],24,FALSE)</f>
        <v>#N/A</v>
      </c>
      <c r="X1361" s="34" t="e">
        <f>VLOOKUP(Allocation[[#This Row],[SAP Contract number]],Shipments[[SAP Contract number]:[RA Premium USD]],25,FALSE)</f>
        <v>#N/A</v>
      </c>
      <c r="Y1361" s="38">
        <f>Allocation[[#This Row],[Quantity Processed]]/Allocation[[#This Row],[Quantity allocated]]</f>
        <v>3</v>
      </c>
      <c r="Z1361" s="34" t="b">
        <f>Allocation[[#This Row],[Quantity allocated]]&lt;=Allocation[[#This Row],[Quantity Processed]]</f>
        <v>1</v>
      </c>
    </row>
    <row r="1362" spans="1:26">
      <c r="A1362" s="247" t="s">
        <v>467</v>
      </c>
      <c r="B1362" s="210" t="s">
        <v>68</v>
      </c>
      <c r="C1362" s="254" t="s">
        <v>571</v>
      </c>
      <c r="D1362" s="255">
        <v>11</v>
      </c>
      <c r="E1362" s="211" t="s">
        <v>1890</v>
      </c>
      <c r="F1362" s="212">
        <v>43587</v>
      </c>
      <c r="G1362" s="213">
        <v>2.91</v>
      </c>
      <c r="H1362" s="256">
        <v>5</v>
      </c>
      <c r="I1362" s="214">
        <v>1453734</v>
      </c>
      <c r="J1362" s="215">
        <v>19175</v>
      </c>
      <c r="K1362" s="212">
        <v>43595</v>
      </c>
      <c r="L1362" s="211" t="s">
        <v>1891</v>
      </c>
      <c r="M1362" s="216">
        <v>4615506885</v>
      </c>
      <c r="N1362" s="212">
        <v>43614</v>
      </c>
      <c r="O1362" s="217">
        <v>3.9746999999999999</v>
      </c>
      <c r="P1362" s="219"/>
      <c r="Q1362" s="34">
        <f>SUMIF(Allocation[Delivery ID],Allocation[[#This Row],[Delivery ID]],Allocation[Quantity Processed])</f>
        <v>2415</v>
      </c>
      <c r="R1362" s="61">
        <f>Allocation[[#This Row],[Total volume used]]/VLOOKUP(Allocation[[#This Row],[Delivery ID]],Delivery[[Delivery ID]:[Quantity delivered]],3,FALSE)</f>
        <v>0.4716796875</v>
      </c>
      <c r="S1362" s="34">
        <f>Allocation[[#This Row],[Quantity Processed]]/Allocation[[#This Row],[Dilution rate]]</f>
        <v>3.7800687285223367</v>
      </c>
      <c r="T1362" s="59">
        <f>SUMIF(Allocation[Delivery ID],Allocation[[#This Row],[Delivery ID]],Allocation[Quantity allocated])/SUMIF(Allocation[Delivery ID],Allocation[[#This Row],[Delivery ID]],Allocation[Volume available (kg)])</f>
        <v>1.0297957209646704</v>
      </c>
      <c r="U1362" s="61">
        <f>Allocation[[#This Row],[Total volume used]]/VLOOKUP(Allocation[[#This Row],[Delivery ID]],Delivery[[Delivery ID]:[Quantity delivered]],3,FALSE)</f>
        <v>0.4716796875</v>
      </c>
      <c r="V1362" s="34" t="e">
        <f>VLOOKUP(Allocation[[#This Row],[SAP Contract number]],Shipments[[SAP Contract number]:[Contracted container weight]],2,FALSE)</f>
        <v>#N/A</v>
      </c>
      <c r="W1362" s="34" t="e">
        <f>VLOOKUP(Allocation[[#This Row],[SAP Contract number]],Shipments[[SAP Contract number]:[AAA Premium USD]],24,FALSE)</f>
        <v>#N/A</v>
      </c>
      <c r="X1362" s="34" t="e">
        <f>VLOOKUP(Allocation[[#This Row],[SAP Contract number]],Shipments[[SAP Contract number]:[RA Premium USD]],25,FALSE)</f>
        <v>#N/A</v>
      </c>
      <c r="Y1362" s="38">
        <f>Allocation[[#This Row],[Quantity Processed]]/Allocation[[#This Row],[Quantity allocated]]</f>
        <v>2.2000000000000002</v>
      </c>
      <c r="Z1362" s="34" t="b">
        <f>Allocation[[#This Row],[Quantity allocated]]&lt;=Allocation[[#This Row],[Quantity Processed]]</f>
        <v>1</v>
      </c>
    </row>
    <row r="1363" spans="1:26">
      <c r="A1363" s="247" t="s">
        <v>467</v>
      </c>
      <c r="B1363" s="210" t="s">
        <v>68</v>
      </c>
      <c r="C1363" s="254" t="s">
        <v>1398</v>
      </c>
      <c r="D1363" s="255">
        <v>12209</v>
      </c>
      <c r="E1363" s="211" t="s">
        <v>1890</v>
      </c>
      <c r="F1363" s="212">
        <v>43587</v>
      </c>
      <c r="G1363" s="213">
        <v>2.91</v>
      </c>
      <c r="H1363" s="256">
        <v>4029</v>
      </c>
      <c r="I1363" s="214">
        <v>1453734</v>
      </c>
      <c r="J1363" s="215">
        <v>19175</v>
      </c>
      <c r="K1363" s="212">
        <v>43595</v>
      </c>
      <c r="L1363" s="211" t="s">
        <v>1891</v>
      </c>
      <c r="M1363" s="216">
        <v>4615506885</v>
      </c>
      <c r="N1363" s="212">
        <v>43614</v>
      </c>
      <c r="O1363" s="217">
        <v>3.9746999999999999</v>
      </c>
      <c r="P1363" s="219"/>
      <c r="Q1363" s="34">
        <f>SUMIF(Allocation[Delivery ID],Allocation[[#This Row],[Delivery ID]],Allocation[Quantity Processed])</f>
        <v>12209</v>
      </c>
      <c r="R1363" s="61">
        <f>Allocation[[#This Row],[Total volume used]]/VLOOKUP(Allocation[[#This Row],[Delivery ID]],Delivery[[Delivery ID]:[Quantity delivered]],3,FALSE)</f>
        <v>0.71733254994124562</v>
      </c>
      <c r="S1363" s="34">
        <f>Allocation[[#This Row],[Quantity Processed]]/Allocation[[#This Row],[Dilution rate]]</f>
        <v>4195.5326460481101</v>
      </c>
      <c r="T1363" s="59">
        <f>SUMIF(Allocation[Delivery ID],Allocation[[#This Row],[Delivery ID]],Allocation[Quantity allocated])/SUMIF(Allocation[Delivery ID],Allocation[[#This Row],[Delivery ID]],Allocation[Volume available (kg)])</f>
        <v>0.96030715046277337</v>
      </c>
      <c r="U1363" s="61">
        <f>Allocation[[#This Row],[Total volume used]]/VLOOKUP(Allocation[[#This Row],[Delivery ID]],Delivery[[Delivery ID]:[Quantity delivered]],3,FALSE)</f>
        <v>0.71733254994124562</v>
      </c>
      <c r="V1363" s="34" t="e">
        <f>VLOOKUP(Allocation[[#This Row],[SAP Contract number]],Shipments[[SAP Contract number]:[Contracted container weight]],2,FALSE)</f>
        <v>#N/A</v>
      </c>
      <c r="W1363" s="34" t="e">
        <f>VLOOKUP(Allocation[[#This Row],[SAP Contract number]],Shipments[[SAP Contract number]:[AAA Premium USD]],24,FALSE)</f>
        <v>#N/A</v>
      </c>
      <c r="X1363" s="34" t="e">
        <f>VLOOKUP(Allocation[[#This Row],[SAP Contract number]],Shipments[[SAP Contract number]:[RA Premium USD]],25,FALSE)</f>
        <v>#N/A</v>
      </c>
      <c r="Y1363" s="38">
        <f>Allocation[[#This Row],[Quantity Processed]]/Allocation[[#This Row],[Quantity allocated]]</f>
        <v>3.0302804666170267</v>
      </c>
      <c r="Z1363" s="34" t="b">
        <f>Allocation[[#This Row],[Quantity allocated]]&lt;=Allocation[[#This Row],[Quantity Processed]]</f>
        <v>1</v>
      </c>
    </row>
    <row r="1364" spans="1:26">
      <c r="A1364" s="247" t="s">
        <v>467</v>
      </c>
      <c r="B1364" s="210" t="s">
        <v>68</v>
      </c>
      <c r="C1364" s="254" t="s">
        <v>1400</v>
      </c>
      <c r="D1364" s="255">
        <v>1633</v>
      </c>
      <c r="E1364" s="211" t="s">
        <v>1890</v>
      </c>
      <c r="F1364" s="212">
        <v>43587</v>
      </c>
      <c r="G1364" s="213">
        <v>2.91</v>
      </c>
      <c r="H1364" s="256">
        <v>539</v>
      </c>
      <c r="I1364" s="214">
        <v>1453734</v>
      </c>
      <c r="J1364" s="215">
        <v>19175</v>
      </c>
      <c r="K1364" s="212">
        <v>43595</v>
      </c>
      <c r="L1364" s="211" t="s">
        <v>1891</v>
      </c>
      <c r="M1364" s="216">
        <v>4615506885</v>
      </c>
      <c r="N1364" s="212">
        <v>43614</v>
      </c>
      <c r="O1364" s="217">
        <v>3.9746999999999999</v>
      </c>
      <c r="P1364" s="219"/>
      <c r="Q1364" s="34">
        <f>SUMIF(Allocation[Delivery ID],Allocation[[#This Row],[Delivery ID]],Allocation[Quantity Processed])</f>
        <v>1633</v>
      </c>
      <c r="R1364" s="61">
        <f>Allocation[[#This Row],[Total volume used]]/VLOOKUP(Allocation[[#This Row],[Delivery ID]],Delivery[[Delivery ID]:[Quantity delivered]],3,FALSE)</f>
        <v>0.71622807017543855</v>
      </c>
      <c r="S1364" s="34">
        <f>Allocation[[#This Row],[Quantity Processed]]/Allocation[[#This Row],[Dilution rate]]</f>
        <v>561.16838487972507</v>
      </c>
      <c r="T1364" s="59">
        <f>SUMIF(Allocation[Delivery ID],Allocation[[#This Row],[Delivery ID]],Allocation[Quantity allocated])/SUMIF(Allocation[Delivery ID],Allocation[[#This Row],[Delivery ID]],Allocation[Volume available (kg)])</f>
        <v>0.96049601959583597</v>
      </c>
      <c r="U1364" s="61">
        <f>Allocation[[#This Row],[Total volume used]]/VLOOKUP(Allocation[[#This Row],[Delivery ID]],Delivery[[Delivery ID]:[Quantity delivered]],3,FALSE)</f>
        <v>0.71622807017543855</v>
      </c>
      <c r="V1364" s="34" t="e">
        <f>VLOOKUP(Allocation[[#This Row],[SAP Contract number]],Shipments[[SAP Contract number]:[Contracted container weight]],2,FALSE)</f>
        <v>#N/A</v>
      </c>
      <c r="W1364" s="34" t="e">
        <f>VLOOKUP(Allocation[[#This Row],[SAP Contract number]],Shipments[[SAP Contract number]:[AAA Premium USD]],24,FALSE)</f>
        <v>#N/A</v>
      </c>
      <c r="X1364" s="34" t="e">
        <f>VLOOKUP(Allocation[[#This Row],[SAP Contract number]],Shipments[[SAP Contract number]:[RA Premium USD]],25,FALSE)</f>
        <v>#N/A</v>
      </c>
      <c r="Y1364" s="38">
        <f>Allocation[[#This Row],[Quantity Processed]]/Allocation[[#This Row],[Quantity allocated]]</f>
        <v>3.0296846011131726</v>
      </c>
      <c r="Z1364" s="34" t="b">
        <f>Allocation[[#This Row],[Quantity allocated]]&lt;=Allocation[[#This Row],[Quantity Processed]]</f>
        <v>1</v>
      </c>
    </row>
    <row r="1365" spans="1:26">
      <c r="A1365" s="247" t="s">
        <v>467</v>
      </c>
      <c r="B1365" s="210" t="s">
        <v>68</v>
      </c>
      <c r="C1365" s="254" t="s">
        <v>573</v>
      </c>
      <c r="D1365" s="255">
        <v>57</v>
      </c>
      <c r="E1365" s="211" t="s">
        <v>1890</v>
      </c>
      <c r="F1365" s="212">
        <v>43587</v>
      </c>
      <c r="G1365" s="213">
        <v>2.91</v>
      </c>
      <c r="H1365" s="256">
        <v>17</v>
      </c>
      <c r="I1365" s="214">
        <v>1453734</v>
      </c>
      <c r="J1365" s="215">
        <v>19175</v>
      </c>
      <c r="K1365" s="212">
        <v>43595</v>
      </c>
      <c r="L1365" s="211" t="s">
        <v>1891</v>
      </c>
      <c r="M1365" s="216">
        <v>4615506885</v>
      </c>
      <c r="N1365" s="212">
        <v>43614</v>
      </c>
      <c r="O1365" s="217">
        <v>3.9746999999999999</v>
      </c>
      <c r="P1365" s="219"/>
      <c r="Q1365" s="34">
        <f>SUMIF(Allocation[Delivery ID],Allocation[[#This Row],[Delivery ID]],Allocation[Quantity Processed])</f>
        <v>12026</v>
      </c>
      <c r="R1365" s="61">
        <f>Allocation[[#This Row],[Total volume used]]/VLOOKUP(Allocation[[#This Row],[Delivery ID]],Delivery[[Delivery ID]:[Quantity delivered]],3,FALSE)</f>
        <v>0.74188772362739053</v>
      </c>
      <c r="S1365" s="34">
        <f>Allocation[[#This Row],[Quantity Processed]]/Allocation[[#This Row],[Dilution rate]]</f>
        <v>19.587628865979379</v>
      </c>
      <c r="T1365" s="59">
        <f>SUMIF(Allocation[Delivery ID],Allocation[[#This Row],[Delivery ID]],Allocation[Quantity allocated])/SUMIF(Allocation[Delivery ID],Allocation[[#This Row],[Delivery ID]],Allocation[Volume available (kg)])</f>
        <v>0.65745962201999164</v>
      </c>
      <c r="U1365" s="61">
        <f>Allocation[[#This Row],[Total volume used]]/VLOOKUP(Allocation[[#This Row],[Delivery ID]],Delivery[[Delivery ID]:[Quantity delivered]],3,FALSE)</f>
        <v>0.74188772362739053</v>
      </c>
      <c r="V1365" s="34" t="e">
        <f>VLOOKUP(Allocation[[#This Row],[SAP Contract number]],Shipments[[SAP Contract number]:[Contracted container weight]],2,FALSE)</f>
        <v>#N/A</v>
      </c>
      <c r="W1365" s="34" t="e">
        <f>VLOOKUP(Allocation[[#This Row],[SAP Contract number]],Shipments[[SAP Contract number]:[AAA Premium USD]],24,FALSE)</f>
        <v>#N/A</v>
      </c>
      <c r="X1365" s="34" t="e">
        <f>VLOOKUP(Allocation[[#This Row],[SAP Contract number]],Shipments[[SAP Contract number]:[RA Premium USD]],25,FALSE)</f>
        <v>#N/A</v>
      </c>
      <c r="Y1365" s="38">
        <f>Allocation[[#This Row],[Quantity Processed]]/Allocation[[#This Row],[Quantity allocated]]</f>
        <v>3.3529411764705883</v>
      </c>
      <c r="Z1365" s="34" t="b">
        <f>Allocation[[#This Row],[Quantity allocated]]&lt;=Allocation[[#This Row],[Quantity Processed]]</f>
        <v>1</v>
      </c>
    </row>
    <row r="1366" spans="1:26">
      <c r="A1366" s="247" t="s">
        <v>467</v>
      </c>
      <c r="B1366" s="210" t="s">
        <v>68</v>
      </c>
      <c r="C1366" s="254" t="s">
        <v>1401</v>
      </c>
      <c r="D1366" s="255">
        <v>4158</v>
      </c>
      <c r="E1366" s="211" t="s">
        <v>1890</v>
      </c>
      <c r="F1366" s="212">
        <v>43587</v>
      </c>
      <c r="G1366" s="213">
        <v>2.91</v>
      </c>
      <c r="H1366" s="256">
        <v>1372</v>
      </c>
      <c r="I1366" s="214">
        <v>1453734</v>
      </c>
      <c r="J1366" s="215">
        <v>19175</v>
      </c>
      <c r="K1366" s="212">
        <v>43595</v>
      </c>
      <c r="L1366" s="211" t="s">
        <v>1891</v>
      </c>
      <c r="M1366" s="216">
        <v>4615506885</v>
      </c>
      <c r="N1366" s="212">
        <v>43614</v>
      </c>
      <c r="O1366" s="217">
        <v>3.9746999999999999</v>
      </c>
      <c r="P1366" s="219"/>
      <c r="Q1366" s="34">
        <f>SUMIF(Allocation[Delivery ID],Allocation[[#This Row],[Delivery ID]],Allocation[Quantity Processed])</f>
        <v>4158</v>
      </c>
      <c r="R1366" s="61">
        <f>Allocation[[#This Row],[Total volume used]]/VLOOKUP(Allocation[[#This Row],[Delivery ID]],Delivery[[Delivery ID]:[Quantity delivered]],3,FALSE)</f>
        <v>0.724390243902439</v>
      </c>
      <c r="S1366" s="34">
        <f>Allocation[[#This Row],[Quantity Processed]]/Allocation[[#This Row],[Dilution rate]]</f>
        <v>1428.8659793814431</v>
      </c>
      <c r="T1366" s="59">
        <f>SUMIF(Allocation[Delivery ID],Allocation[[#This Row],[Delivery ID]],Allocation[Quantity allocated])/SUMIF(Allocation[Delivery ID],Allocation[[#This Row],[Delivery ID]],Allocation[Volume available (kg)])</f>
        <v>0.96020202020202028</v>
      </c>
      <c r="U1366" s="61">
        <f>Allocation[[#This Row],[Total volume used]]/VLOOKUP(Allocation[[#This Row],[Delivery ID]],Delivery[[Delivery ID]:[Quantity delivered]],3,FALSE)</f>
        <v>0.724390243902439</v>
      </c>
      <c r="V1366" s="34" t="e">
        <f>VLOOKUP(Allocation[[#This Row],[SAP Contract number]],Shipments[[SAP Contract number]:[Contracted container weight]],2,FALSE)</f>
        <v>#N/A</v>
      </c>
      <c r="W1366" s="34" t="e">
        <f>VLOOKUP(Allocation[[#This Row],[SAP Contract number]],Shipments[[SAP Contract number]:[AAA Premium USD]],24,FALSE)</f>
        <v>#N/A</v>
      </c>
      <c r="X1366" s="34" t="e">
        <f>VLOOKUP(Allocation[[#This Row],[SAP Contract number]],Shipments[[SAP Contract number]:[RA Premium USD]],25,FALSE)</f>
        <v>#N/A</v>
      </c>
      <c r="Y1366" s="38">
        <f>Allocation[[#This Row],[Quantity Processed]]/Allocation[[#This Row],[Quantity allocated]]</f>
        <v>3.0306122448979593</v>
      </c>
      <c r="Z1366" s="34" t="b">
        <f>Allocation[[#This Row],[Quantity allocated]]&lt;=Allocation[[#This Row],[Quantity Processed]]</f>
        <v>1</v>
      </c>
    </row>
    <row r="1367" spans="1:26">
      <c r="A1367" s="247" t="s">
        <v>467</v>
      </c>
      <c r="B1367" s="210" t="s">
        <v>68</v>
      </c>
      <c r="C1367" s="254" t="s">
        <v>574</v>
      </c>
      <c r="D1367" s="255">
        <v>21</v>
      </c>
      <c r="E1367" s="211" t="s">
        <v>1890</v>
      </c>
      <c r="F1367" s="212">
        <v>43587</v>
      </c>
      <c r="G1367" s="213">
        <v>2.91</v>
      </c>
      <c r="H1367" s="256">
        <v>7</v>
      </c>
      <c r="I1367" s="214">
        <v>1453734</v>
      </c>
      <c r="J1367" s="215">
        <v>19175</v>
      </c>
      <c r="K1367" s="212">
        <v>43595</v>
      </c>
      <c r="L1367" s="211" t="s">
        <v>1891</v>
      </c>
      <c r="M1367" s="216">
        <v>4615506885</v>
      </c>
      <c r="N1367" s="212">
        <v>43614</v>
      </c>
      <c r="O1367" s="217">
        <v>3.9746999999999999</v>
      </c>
      <c r="P1367" s="219"/>
      <c r="Q1367" s="34">
        <f>SUMIF(Allocation[Delivery ID],Allocation[[#This Row],[Delivery ID]],Allocation[Quantity Processed])</f>
        <v>6000</v>
      </c>
      <c r="R1367" s="61">
        <f>Allocation[[#This Row],[Total volume used]]/VLOOKUP(Allocation[[#This Row],[Delivery ID]],Delivery[[Delivery ID]:[Quantity delivered]],3,FALSE)</f>
        <v>1</v>
      </c>
      <c r="S1367" s="34">
        <f>Allocation[[#This Row],[Quantity Processed]]/Allocation[[#This Row],[Dilution rate]]</f>
        <v>7.216494845360824</v>
      </c>
      <c r="T1367" s="59">
        <f>SUMIF(Allocation[Delivery ID],Allocation[[#This Row],[Delivery ID]],Allocation[Quantity allocated])/SUMIF(Allocation[Delivery ID],Allocation[[#This Row],[Delivery ID]],Allocation[Volume available (kg)])</f>
        <v>0.74754324711936126</v>
      </c>
      <c r="U1367" s="61">
        <f>Allocation[[#This Row],[Total volume used]]/VLOOKUP(Allocation[[#This Row],[Delivery ID]],Delivery[[Delivery ID]:[Quantity delivered]],3,FALSE)</f>
        <v>1</v>
      </c>
      <c r="V1367" s="34" t="e">
        <f>VLOOKUP(Allocation[[#This Row],[SAP Contract number]],Shipments[[SAP Contract number]:[Contracted container weight]],2,FALSE)</f>
        <v>#N/A</v>
      </c>
      <c r="W1367" s="34" t="e">
        <f>VLOOKUP(Allocation[[#This Row],[SAP Contract number]],Shipments[[SAP Contract number]:[AAA Premium USD]],24,FALSE)</f>
        <v>#N/A</v>
      </c>
      <c r="X1367" s="34" t="e">
        <f>VLOOKUP(Allocation[[#This Row],[SAP Contract number]],Shipments[[SAP Contract number]:[RA Premium USD]],25,FALSE)</f>
        <v>#N/A</v>
      </c>
      <c r="Y1367" s="38">
        <f>Allocation[[#This Row],[Quantity Processed]]/Allocation[[#This Row],[Quantity allocated]]</f>
        <v>3</v>
      </c>
      <c r="Z1367" s="34" t="b">
        <f>Allocation[[#This Row],[Quantity allocated]]&lt;=Allocation[[#This Row],[Quantity Processed]]</f>
        <v>1</v>
      </c>
    </row>
    <row r="1368" spans="1:26">
      <c r="A1368" s="247" t="s">
        <v>467</v>
      </c>
      <c r="B1368" s="210" t="s">
        <v>68</v>
      </c>
      <c r="C1368" s="254" t="s">
        <v>1402</v>
      </c>
      <c r="D1368" s="255">
        <v>36</v>
      </c>
      <c r="E1368" s="211" t="s">
        <v>1890</v>
      </c>
      <c r="F1368" s="212">
        <v>43587</v>
      </c>
      <c r="G1368" s="213">
        <v>2.91</v>
      </c>
      <c r="H1368" s="256">
        <v>18</v>
      </c>
      <c r="I1368" s="214">
        <v>1453734</v>
      </c>
      <c r="J1368" s="215">
        <v>19175</v>
      </c>
      <c r="K1368" s="212">
        <v>43595</v>
      </c>
      <c r="L1368" s="211" t="s">
        <v>1891</v>
      </c>
      <c r="M1368" s="216">
        <v>4615506885</v>
      </c>
      <c r="N1368" s="212">
        <v>43614</v>
      </c>
      <c r="O1368" s="217">
        <v>3.9746999999999999</v>
      </c>
      <c r="P1368" s="219"/>
      <c r="Q1368" s="34">
        <f>SUMIF(Allocation[Delivery ID],Allocation[[#This Row],[Delivery ID]],Allocation[Quantity Processed])</f>
        <v>2616</v>
      </c>
      <c r="R1368" s="61">
        <f>Allocation[[#This Row],[Total volume used]]/VLOOKUP(Allocation[[#This Row],[Delivery ID]],Delivery[[Delivery ID]:[Quantity delivered]],3,FALSE)</f>
        <v>0.54500000000000004</v>
      </c>
      <c r="S1368" s="34">
        <f>Allocation[[#This Row],[Quantity Processed]]/Allocation[[#This Row],[Dilution rate]]</f>
        <v>12.371134020618555</v>
      </c>
      <c r="T1368" s="59">
        <f>SUMIF(Allocation[Delivery ID],Allocation[[#This Row],[Delivery ID]],Allocation[Quantity allocated])/SUMIF(Allocation[Delivery ID],Allocation[[#This Row],[Delivery ID]],Allocation[Volume available (kg)])</f>
        <v>1.3281981935767111</v>
      </c>
      <c r="U1368" s="61">
        <f>Allocation[[#This Row],[Total volume used]]/VLOOKUP(Allocation[[#This Row],[Delivery ID]],Delivery[[Delivery ID]:[Quantity delivered]],3,FALSE)</f>
        <v>0.54500000000000004</v>
      </c>
      <c r="V1368" s="34" t="e">
        <f>VLOOKUP(Allocation[[#This Row],[SAP Contract number]],Shipments[[SAP Contract number]:[Contracted container weight]],2,FALSE)</f>
        <v>#N/A</v>
      </c>
      <c r="W1368" s="34" t="e">
        <f>VLOOKUP(Allocation[[#This Row],[SAP Contract number]],Shipments[[SAP Contract number]:[AAA Premium USD]],24,FALSE)</f>
        <v>#N/A</v>
      </c>
      <c r="X1368" s="34" t="e">
        <f>VLOOKUP(Allocation[[#This Row],[SAP Contract number]],Shipments[[SAP Contract number]:[RA Premium USD]],25,FALSE)</f>
        <v>#N/A</v>
      </c>
      <c r="Y1368" s="38">
        <f>Allocation[[#This Row],[Quantity Processed]]/Allocation[[#This Row],[Quantity allocated]]</f>
        <v>2</v>
      </c>
      <c r="Z1368" s="34" t="b">
        <f>Allocation[[#This Row],[Quantity allocated]]&lt;=Allocation[[#This Row],[Quantity Processed]]</f>
        <v>1</v>
      </c>
    </row>
    <row r="1369" spans="1:26">
      <c r="A1369" s="247" t="s">
        <v>467</v>
      </c>
      <c r="B1369" s="210" t="s">
        <v>68</v>
      </c>
      <c r="C1369" s="254" t="s">
        <v>1404</v>
      </c>
      <c r="D1369" s="255">
        <v>133</v>
      </c>
      <c r="E1369" s="211" t="s">
        <v>1890</v>
      </c>
      <c r="F1369" s="212">
        <v>43587</v>
      </c>
      <c r="G1369" s="213">
        <v>2.91</v>
      </c>
      <c r="H1369" s="256">
        <v>44</v>
      </c>
      <c r="I1369" s="214">
        <v>1453734</v>
      </c>
      <c r="J1369" s="215">
        <v>19175</v>
      </c>
      <c r="K1369" s="212">
        <v>43595</v>
      </c>
      <c r="L1369" s="211" t="s">
        <v>1891</v>
      </c>
      <c r="M1369" s="216">
        <v>4615506885</v>
      </c>
      <c r="N1369" s="212">
        <v>43614</v>
      </c>
      <c r="O1369" s="217">
        <v>3.9746999999999999</v>
      </c>
      <c r="P1369" s="219"/>
      <c r="Q1369" s="34">
        <f>SUMIF(Allocation[Delivery ID],Allocation[[#This Row],[Delivery ID]],Allocation[Quantity Processed])</f>
        <v>9830</v>
      </c>
      <c r="R1369" s="61">
        <f>Allocation[[#This Row],[Total volume used]]/VLOOKUP(Allocation[[#This Row],[Delivery ID]],Delivery[[Delivery ID]:[Quantity delivered]],3,FALSE)</f>
        <v>0.82674516400336417</v>
      </c>
      <c r="S1369" s="34">
        <f>Allocation[[#This Row],[Quantity Processed]]/Allocation[[#This Row],[Dilution rate]]</f>
        <v>45.704467353951891</v>
      </c>
      <c r="T1369" s="59">
        <f>SUMIF(Allocation[Delivery ID],Allocation[[#This Row],[Delivery ID]],Allocation[Quantity allocated])/SUMIF(Allocation[Delivery ID],Allocation[[#This Row],[Delivery ID]],Allocation[Volume available (kg)])</f>
        <v>0.87661347730365036</v>
      </c>
      <c r="U1369" s="61">
        <f>Allocation[[#This Row],[Total volume used]]/VLOOKUP(Allocation[[#This Row],[Delivery ID]],Delivery[[Delivery ID]:[Quantity delivered]],3,FALSE)</f>
        <v>0.82674516400336417</v>
      </c>
      <c r="V1369" s="34" t="e">
        <f>VLOOKUP(Allocation[[#This Row],[SAP Contract number]],Shipments[[SAP Contract number]:[Contracted container weight]],2,FALSE)</f>
        <v>#N/A</v>
      </c>
      <c r="W1369" s="34" t="e">
        <f>VLOOKUP(Allocation[[#This Row],[SAP Contract number]],Shipments[[SAP Contract number]:[AAA Premium USD]],24,FALSE)</f>
        <v>#N/A</v>
      </c>
      <c r="X1369" s="34" t="e">
        <f>VLOOKUP(Allocation[[#This Row],[SAP Contract number]],Shipments[[SAP Contract number]:[RA Premium USD]],25,FALSE)</f>
        <v>#N/A</v>
      </c>
      <c r="Y1369" s="38">
        <f>Allocation[[#This Row],[Quantity Processed]]/Allocation[[#This Row],[Quantity allocated]]</f>
        <v>3.0227272727272729</v>
      </c>
      <c r="Z1369" s="34" t="b">
        <f>Allocation[[#This Row],[Quantity allocated]]&lt;=Allocation[[#This Row],[Quantity Processed]]</f>
        <v>1</v>
      </c>
    </row>
    <row r="1370" spans="1:26">
      <c r="A1370" s="247" t="s">
        <v>467</v>
      </c>
      <c r="B1370" s="210" t="s">
        <v>68</v>
      </c>
      <c r="C1370" s="254" t="s">
        <v>581</v>
      </c>
      <c r="D1370" s="255">
        <v>73</v>
      </c>
      <c r="E1370" s="211" t="s">
        <v>1890</v>
      </c>
      <c r="F1370" s="212">
        <v>43587</v>
      </c>
      <c r="G1370" s="213">
        <v>2.91</v>
      </c>
      <c r="H1370" s="256">
        <v>24</v>
      </c>
      <c r="I1370" s="214">
        <v>1453734</v>
      </c>
      <c r="J1370" s="215">
        <v>19175</v>
      </c>
      <c r="K1370" s="212">
        <v>43595</v>
      </c>
      <c r="L1370" s="211" t="s">
        <v>1891</v>
      </c>
      <c r="M1370" s="216">
        <v>4615506885</v>
      </c>
      <c r="N1370" s="212">
        <v>43614</v>
      </c>
      <c r="O1370" s="217">
        <v>3.9746999999999999</v>
      </c>
      <c r="P1370" s="219"/>
      <c r="Q1370" s="34">
        <f>SUMIF(Allocation[Delivery ID],Allocation[[#This Row],[Delivery ID]],Allocation[Quantity Processed])</f>
        <v>15552</v>
      </c>
      <c r="R1370" s="61">
        <f>Allocation[[#This Row],[Total volume used]]/VLOOKUP(Allocation[[#This Row],[Delivery ID]],Delivery[[Delivery ID]:[Quantity delivered]],3,FALSE)</f>
        <v>0.67588005215123859</v>
      </c>
      <c r="S1370" s="34">
        <f>Allocation[[#This Row],[Quantity Processed]]/Allocation[[#This Row],[Dilution rate]]</f>
        <v>25.085910652920962</v>
      </c>
      <c r="T1370" s="59">
        <f>SUMIF(Allocation[Delivery ID],Allocation[[#This Row],[Delivery ID]],Allocation[Quantity allocated])/SUMIF(Allocation[Delivery ID],Allocation[[#This Row],[Delivery ID]],Allocation[Volume available (kg)])</f>
        <v>0.72313923676224701</v>
      </c>
      <c r="U1370" s="61">
        <f>Allocation[[#This Row],[Total volume used]]/VLOOKUP(Allocation[[#This Row],[Delivery ID]],Delivery[[Delivery ID]:[Quantity delivered]],3,FALSE)</f>
        <v>0.67588005215123859</v>
      </c>
      <c r="V1370" s="34" t="e">
        <f>VLOOKUP(Allocation[[#This Row],[SAP Contract number]],Shipments[[SAP Contract number]:[Contracted container weight]],2,FALSE)</f>
        <v>#N/A</v>
      </c>
      <c r="W1370" s="34" t="e">
        <f>VLOOKUP(Allocation[[#This Row],[SAP Contract number]],Shipments[[SAP Contract number]:[AAA Premium USD]],24,FALSE)</f>
        <v>#N/A</v>
      </c>
      <c r="X1370" s="34" t="e">
        <f>VLOOKUP(Allocation[[#This Row],[SAP Contract number]],Shipments[[SAP Contract number]:[RA Premium USD]],25,FALSE)</f>
        <v>#N/A</v>
      </c>
      <c r="Y1370" s="38">
        <f>Allocation[[#This Row],[Quantity Processed]]/Allocation[[#This Row],[Quantity allocated]]</f>
        <v>3.0416666666666665</v>
      </c>
      <c r="Z1370" s="34" t="b">
        <f>Allocation[[#This Row],[Quantity allocated]]&lt;=Allocation[[#This Row],[Quantity Processed]]</f>
        <v>1</v>
      </c>
    </row>
    <row r="1371" spans="1:26">
      <c r="A1371" s="247" t="s">
        <v>467</v>
      </c>
      <c r="B1371" s="210" t="s">
        <v>68</v>
      </c>
      <c r="C1371" s="254" t="s">
        <v>582</v>
      </c>
      <c r="D1371" s="255">
        <v>27</v>
      </c>
      <c r="E1371" s="211" t="s">
        <v>1890</v>
      </c>
      <c r="F1371" s="212">
        <v>43587</v>
      </c>
      <c r="G1371" s="213">
        <v>2.91</v>
      </c>
      <c r="H1371" s="256">
        <v>9</v>
      </c>
      <c r="I1371" s="214">
        <v>1453734</v>
      </c>
      <c r="J1371" s="215">
        <v>19175</v>
      </c>
      <c r="K1371" s="212">
        <v>43595</v>
      </c>
      <c r="L1371" s="211" t="s">
        <v>1891</v>
      </c>
      <c r="M1371" s="216">
        <v>4615506885</v>
      </c>
      <c r="N1371" s="212">
        <v>43614</v>
      </c>
      <c r="O1371" s="217">
        <v>3.9746999999999999</v>
      </c>
      <c r="P1371" s="219"/>
      <c r="Q1371" s="34">
        <f>SUMIF(Allocation[Delivery ID],Allocation[[#This Row],[Delivery ID]],Allocation[Quantity Processed])</f>
        <v>5879</v>
      </c>
      <c r="R1371" s="61">
        <f>Allocation[[#This Row],[Total volume used]]/VLOOKUP(Allocation[[#This Row],[Delivery ID]],Delivery[[Delivery ID]:[Quantity delivered]],3,FALSE)</f>
        <v>0.67265446224256298</v>
      </c>
      <c r="S1371" s="34">
        <f>Allocation[[#This Row],[Quantity Processed]]/Allocation[[#This Row],[Dilution rate]]</f>
        <v>9.2783505154639165</v>
      </c>
      <c r="T1371" s="59">
        <f>SUMIF(Allocation[Delivery ID],Allocation[[#This Row],[Delivery ID]],Allocation[Quantity allocated])/SUMIF(Allocation[Delivery ID],Allocation[[#This Row],[Delivery ID]],Allocation[Volume available (kg)])</f>
        <v>0.72326677996293631</v>
      </c>
      <c r="U1371" s="61">
        <f>Allocation[[#This Row],[Total volume used]]/VLOOKUP(Allocation[[#This Row],[Delivery ID]],Delivery[[Delivery ID]:[Quantity delivered]],3,FALSE)</f>
        <v>0.67265446224256298</v>
      </c>
      <c r="V1371" s="34" t="e">
        <f>VLOOKUP(Allocation[[#This Row],[SAP Contract number]],Shipments[[SAP Contract number]:[Contracted container weight]],2,FALSE)</f>
        <v>#N/A</v>
      </c>
      <c r="W1371" s="34" t="e">
        <f>VLOOKUP(Allocation[[#This Row],[SAP Contract number]],Shipments[[SAP Contract number]:[AAA Premium USD]],24,FALSE)</f>
        <v>#N/A</v>
      </c>
      <c r="X1371" s="34" t="e">
        <f>VLOOKUP(Allocation[[#This Row],[SAP Contract number]],Shipments[[SAP Contract number]:[RA Premium USD]],25,FALSE)</f>
        <v>#N/A</v>
      </c>
      <c r="Y1371" s="38">
        <f>Allocation[[#This Row],[Quantity Processed]]/Allocation[[#This Row],[Quantity allocated]]</f>
        <v>3</v>
      </c>
      <c r="Z1371" s="34" t="b">
        <f>Allocation[[#This Row],[Quantity allocated]]&lt;=Allocation[[#This Row],[Quantity Processed]]</f>
        <v>1</v>
      </c>
    </row>
    <row r="1372" spans="1:26">
      <c r="A1372" s="247" t="s">
        <v>467</v>
      </c>
      <c r="B1372" s="210" t="s">
        <v>68</v>
      </c>
      <c r="C1372" s="254" t="s">
        <v>583</v>
      </c>
      <c r="D1372" s="255">
        <v>73</v>
      </c>
      <c r="E1372" s="211" t="s">
        <v>1890</v>
      </c>
      <c r="F1372" s="212">
        <v>43587</v>
      </c>
      <c r="G1372" s="213">
        <v>2.91</v>
      </c>
      <c r="H1372" s="256">
        <v>24</v>
      </c>
      <c r="I1372" s="214">
        <v>1453734</v>
      </c>
      <c r="J1372" s="215">
        <v>19175</v>
      </c>
      <c r="K1372" s="212">
        <v>43595</v>
      </c>
      <c r="L1372" s="211" t="s">
        <v>1891</v>
      </c>
      <c r="M1372" s="216">
        <v>4615506885</v>
      </c>
      <c r="N1372" s="212">
        <v>43614</v>
      </c>
      <c r="O1372" s="217">
        <v>3.9746999999999999</v>
      </c>
      <c r="P1372" s="219"/>
      <c r="Q1372" s="34">
        <f>SUMIF(Allocation[Delivery ID],Allocation[[#This Row],[Delivery ID]],Allocation[Quantity Processed])</f>
        <v>15619</v>
      </c>
      <c r="R1372" s="61">
        <f>Allocation[[#This Row],[Total volume used]]/VLOOKUP(Allocation[[#This Row],[Delivery ID]],Delivery[[Delivery ID]:[Quantity delivered]],3,FALSE)</f>
        <v>0.67410444540353909</v>
      </c>
      <c r="S1372" s="34">
        <f>Allocation[[#This Row],[Quantity Processed]]/Allocation[[#This Row],[Dilution rate]]</f>
        <v>25.085910652920962</v>
      </c>
      <c r="T1372" s="59">
        <f>SUMIF(Allocation[Delivery ID],Allocation[[#This Row],[Delivery ID]],Allocation[Quantity allocated])/SUMIF(Allocation[Delivery ID],Allocation[[#This Row],[Delivery ID]],Allocation[Volume available (kg)])</f>
        <v>0.72302027462828689</v>
      </c>
      <c r="U1372" s="61">
        <f>Allocation[[#This Row],[Total volume used]]/VLOOKUP(Allocation[[#This Row],[Delivery ID]],Delivery[[Delivery ID]:[Quantity delivered]],3,FALSE)</f>
        <v>0.67410444540353909</v>
      </c>
      <c r="V1372" s="34" t="e">
        <f>VLOOKUP(Allocation[[#This Row],[SAP Contract number]],Shipments[[SAP Contract number]:[Contracted container weight]],2,FALSE)</f>
        <v>#N/A</v>
      </c>
      <c r="W1372" s="34" t="e">
        <f>VLOOKUP(Allocation[[#This Row],[SAP Contract number]],Shipments[[SAP Contract number]:[AAA Premium USD]],24,FALSE)</f>
        <v>#N/A</v>
      </c>
      <c r="X1372" s="34" t="e">
        <f>VLOOKUP(Allocation[[#This Row],[SAP Contract number]],Shipments[[SAP Contract number]:[RA Premium USD]],25,FALSE)</f>
        <v>#N/A</v>
      </c>
      <c r="Y1372" s="38">
        <f>Allocation[[#This Row],[Quantity Processed]]/Allocation[[#This Row],[Quantity allocated]]</f>
        <v>3.0416666666666665</v>
      </c>
      <c r="Z1372" s="34" t="b">
        <f>Allocation[[#This Row],[Quantity allocated]]&lt;=Allocation[[#This Row],[Quantity Processed]]</f>
        <v>1</v>
      </c>
    </row>
    <row r="1373" spans="1:26">
      <c r="A1373" s="247" t="s">
        <v>467</v>
      </c>
      <c r="B1373" s="210" t="s">
        <v>68</v>
      </c>
      <c r="C1373" s="254" t="s">
        <v>1406</v>
      </c>
      <c r="D1373" s="255">
        <v>482</v>
      </c>
      <c r="E1373" s="211" t="s">
        <v>1890</v>
      </c>
      <c r="F1373" s="212">
        <v>43587</v>
      </c>
      <c r="G1373" s="213">
        <v>2.91</v>
      </c>
      <c r="H1373" s="256">
        <v>159</v>
      </c>
      <c r="I1373" s="214">
        <v>1453734</v>
      </c>
      <c r="J1373" s="215">
        <v>19175</v>
      </c>
      <c r="K1373" s="212">
        <v>43595</v>
      </c>
      <c r="L1373" s="211" t="s">
        <v>1891</v>
      </c>
      <c r="M1373" s="216">
        <v>4615506885</v>
      </c>
      <c r="N1373" s="212">
        <v>43614</v>
      </c>
      <c r="O1373" s="217">
        <v>3.9746999999999999</v>
      </c>
      <c r="P1373" s="219"/>
      <c r="Q1373" s="34">
        <f>SUMIF(Allocation[Delivery ID],Allocation[[#This Row],[Delivery ID]],Allocation[Quantity Processed])</f>
        <v>482</v>
      </c>
      <c r="R1373" s="61">
        <f>Allocation[[#This Row],[Total volume used]]/VLOOKUP(Allocation[[#This Row],[Delivery ID]],Delivery[[Delivery ID]:[Quantity delivered]],3,FALSE)</f>
        <v>0.43818181818181817</v>
      </c>
      <c r="S1373" s="34">
        <f>Allocation[[#This Row],[Quantity Processed]]/Allocation[[#This Row],[Dilution rate]]</f>
        <v>165.6357388316151</v>
      </c>
      <c r="T1373" s="59">
        <f>SUMIF(Allocation[Delivery ID],Allocation[[#This Row],[Delivery ID]],Allocation[Quantity allocated])/SUMIF(Allocation[Delivery ID],Allocation[[#This Row],[Delivery ID]],Allocation[Volume available (kg)])</f>
        <v>0.95993775933609971</v>
      </c>
      <c r="U1373" s="61">
        <f>Allocation[[#This Row],[Total volume used]]/VLOOKUP(Allocation[[#This Row],[Delivery ID]],Delivery[[Delivery ID]:[Quantity delivered]],3,FALSE)</f>
        <v>0.43818181818181817</v>
      </c>
      <c r="V1373" s="34" t="e">
        <f>VLOOKUP(Allocation[[#This Row],[SAP Contract number]],Shipments[[SAP Contract number]:[Contracted container weight]],2,FALSE)</f>
        <v>#N/A</v>
      </c>
      <c r="W1373" s="34" t="e">
        <f>VLOOKUP(Allocation[[#This Row],[SAP Contract number]],Shipments[[SAP Contract number]:[AAA Premium USD]],24,FALSE)</f>
        <v>#N/A</v>
      </c>
      <c r="X1373" s="34" t="e">
        <f>VLOOKUP(Allocation[[#This Row],[SAP Contract number]],Shipments[[SAP Contract number]:[RA Premium USD]],25,FALSE)</f>
        <v>#N/A</v>
      </c>
      <c r="Y1373" s="38">
        <f>Allocation[[#This Row],[Quantity Processed]]/Allocation[[#This Row],[Quantity allocated]]</f>
        <v>3.0314465408805034</v>
      </c>
      <c r="Z1373" s="34" t="b">
        <f>Allocation[[#This Row],[Quantity allocated]]&lt;=Allocation[[#This Row],[Quantity Processed]]</f>
        <v>1</v>
      </c>
    </row>
    <row r="1374" spans="1:26">
      <c r="A1374" s="247" t="s">
        <v>467</v>
      </c>
      <c r="B1374" s="210" t="s">
        <v>68</v>
      </c>
      <c r="C1374" s="254" t="s">
        <v>584</v>
      </c>
      <c r="D1374" s="255">
        <v>52</v>
      </c>
      <c r="E1374" s="211" t="s">
        <v>1890</v>
      </c>
      <c r="F1374" s="212">
        <v>43587</v>
      </c>
      <c r="G1374" s="213">
        <v>2.91</v>
      </c>
      <c r="H1374" s="256">
        <v>17</v>
      </c>
      <c r="I1374" s="214">
        <v>1453734</v>
      </c>
      <c r="J1374" s="215">
        <v>19175</v>
      </c>
      <c r="K1374" s="212">
        <v>43595</v>
      </c>
      <c r="L1374" s="211" t="s">
        <v>1891</v>
      </c>
      <c r="M1374" s="216">
        <v>4615506885</v>
      </c>
      <c r="N1374" s="212">
        <v>43614</v>
      </c>
      <c r="O1374" s="217">
        <v>3.9746999999999999</v>
      </c>
      <c r="P1374" s="219"/>
      <c r="Q1374" s="34">
        <f>SUMIF(Allocation[Delivery ID],Allocation[[#This Row],[Delivery ID]],Allocation[Quantity Processed])</f>
        <v>28370</v>
      </c>
      <c r="R1374" s="61">
        <f>Allocation[[#This Row],[Total volume used]]/VLOOKUP(Allocation[[#This Row],[Delivery ID]],Delivery[[Delivery ID]:[Quantity delivered]],3,FALSE)</f>
        <v>1</v>
      </c>
      <c r="S1374" s="34">
        <f>Allocation[[#This Row],[Quantity Processed]]/Allocation[[#This Row],[Dilution rate]]</f>
        <v>17.869415807560138</v>
      </c>
      <c r="T1374" s="59">
        <f>SUMIF(Allocation[Delivery ID],Allocation[[#This Row],[Delivery ID]],Allocation[Quantity allocated])/SUMIF(Allocation[Delivery ID],Allocation[[#This Row],[Delivery ID]],Allocation[Volume available (kg)])</f>
        <v>0.81474893473147059</v>
      </c>
      <c r="U1374" s="61">
        <f>Allocation[[#This Row],[Total volume used]]/VLOOKUP(Allocation[[#This Row],[Delivery ID]],Delivery[[Delivery ID]:[Quantity delivered]],3,FALSE)</f>
        <v>1</v>
      </c>
      <c r="V1374" s="34" t="e">
        <f>VLOOKUP(Allocation[[#This Row],[SAP Contract number]],Shipments[[SAP Contract number]:[Contracted container weight]],2,FALSE)</f>
        <v>#N/A</v>
      </c>
      <c r="W1374" s="34" t="e">
        <f>VLOOKUP(Allocation[[#This Row],[SAP Contract number]],Shipments[[SAP Contract number]:[AAA Premium USD]],24,FALSE)</f>
        <v>#N/A</v>
      </c>
      <c r="X1374" s="34" t="e">
        <f>VLOOKUP(Allocation[[#This Row],[SAP Contract number]],Shipments[[SAP Contract number]:[RA Premium USD]],25,FALSE)</f>
        <v>#N/A</v>
      </c>
      <c r="Y1374" s="38">
        <f>Allocation[[#This Row],[Quantity Processed]]/Allocation[[#This Row],[Quantity allocated]]</f>
        <v>3.0588235294117645</v>
      </c>
      <c r="Z1374" s="34" t="b">
        <f>Allocation[[#This Row],[Quantity allocated]]&lt;=Allocation[[#This Row],[Quantity Processed]]</f>
        <v>1</v>
      </c>
    </row>
    <row r="1375" spans="1:26">
      <c r="A1375" s="247" t="s">
        <v>467</v>
      </c>
      <c r="B1375" s="210" t="s">
        <v>68</v>
      </c>
      <c r="C1375" s="254" t="s">
        <v>586</v>
      </c>
      <c r="D1375" s="255">
        <v>48</v>
      </c>
      <c r="E1375" s="211" t="s">
        <v>1890</v>
      </c>
      <c r="F1375" s="212">
        <v>43587</v>
      </c>
      <c r="G1375" s="213">
        <v>2.91</v>
      </c>
      <c r="H1375" s="256">
        <v>16</v>
      </c>
      <c r="I1375" s="214">
        <v>1453734</v>
      </c>
      <c r="J1375" s="215">
        <v>19175</v>
      </c>
      <c r="K1375" s="212">
        <v>43595</v>
      </c>
      <c r="L1375" s="211" t="s">
        <v>1891</v>
      </c>
      <c r="M1375" s="216">
        <v>4615506885</v>
      </c>
      <c r="N1375" s="212">
        <v>43614</v>
      </c>
      <c r="O1375" s="217">
        <v>3.9746999999999999</v>
      </c>
      <c r="P1375" s="219"/>
      <c r="Q1375" s="34">
        <f>SUMIF(Allocation[Delivery ID],Allocation[[#This Row],[Delivery ID]],Allocation[Quantity Processed])</f>
        <v>27030</v>
      </c>
      <c r="R1375" s="61">
        <f>Allocation[[#This Row],[Total volume used]]/VLOOKUP(Allocation[[#This Row],[Delivery ID]],Delivery[[Delivery ID]:[Quantity delivered]],3,FALSE)</f>
        <v>1</v>
      </c>
      <c r="S1375" s="34">
        <f>Allocation[[#This Row],[Quantity Processed]]/Allocation[[#This Row],[Dilution rate]]</f>
        <v>16.494845360824741</v>
      </c>
      <c r="T1375" s="59">
        <f>SUMIF(Allocation[Delivery ID],Allocation[[#This Row],[Delivery ID]],Allocation[Quantity allocated])/SUMIF(Allocation[Delivery ID],Allocation[[#This Row],[Delivery ID]],Allocation[Volume available (kg)])</f>
        <v>0.81452364840962477</v>
      </c>
      <c r="U1375" s="61">
        <f>Allocation[[#This Row],[Total volume used]]/VLOOKUP(Allocation[[#This Row],[Delivery ID]],Delivery[[Delivery ID]:[Quantity delivered]],3,FALSE)</f>
        <v>1</v>
      </c>
      <c r="V1375" s="34" t="e">
        <f>VLOOKUP(Allocation[[#This Row],[SAP Contract number]],Shipments[[SAP Contract number]:[Contracted container weight]],2,FALSE)</f>
        <v>#N/A</v>
      </c>
      <c r="W1375" s="34" t="e">
        <f>VLOOKUP(Allocation[[#This Row],[SAP Contract number]],Shipments[[SAP Contract number]:[AAA Premium USD]],24,FALSE)</f>
        <v>#N/A</v>
      </c>
      <c r="X1375" s="34" t="e">
        <f>VLOOKUP(Allocation[[#This Row],[SAP Contract number]],Shipments[[SAP Contract number]:[RA Premium USD]],25,FALSE)</f>
        <v>#N/A</v>
      </c>
      <c r="Y1375" s="38">
        <f>Allocation[[#This Row],[Quantity Processed]]/Allocation[[#This Row],[Quantity allocated]]</f>
        <v>3</v>
      </c>
      <c r="Z1375" s="34" t="b">
        <f>Allocation[[#This Row],[Quantity allocated]]&lt;=Allocation[[#This Row],[Quantity Processed]]</f>
        <v>1</v>
      </c>
    </row>
    <row r="1376" spans="1:26">
      <c r="A1376" s="247" t="s">
        <v>467</v>
      </c>
      <c r="B1376" s="210" t="s">
        <v>68</v>
      </c>
      <c r="C1376" s="254" t="s">
        <v>1413</v>
      </c>
      <c r="D1376" s="255">
        <v>1626</v>
      </c>
      <c r="E1376" s="211" t="s">
        <v>1890</v>
      </c>
      <c r="F1376" s="212">
        <v>43587</v>
      </c>
      <c r="G1376" s="213">
        <v>2.91</v>
      </c>
      <c r="H1376" s="256">
        <v>699</v>
      </c>
      <c r="I1376" s="214">
        <v>1453734</v>
      </c>
      <c r="J1376" s="215">
        <v>19175</v>
      </c>
      <c r="K1376" s="212">
        <v>43595</v>
      </c>
      <c r="L1376" s="211" t="s">
        <v>1891</v>
      </c>
      <c r="M1376" s="216">
        <v>4615506885</v>
      </c>
      <c r="N1376" s="212">
        <v>43614</v>
      </c>
      <c r="O1376" s="217">
        <v>3.9746999999999999</v>
      </c>
      <c r="P1376" s="219"/>
      <c r="Q1376" s="34">
        <f>SUMIF(Allocation[Delivery ID],Allocation[[#This Row],[Delivery ID]],Allocation[Quantity Processed])</f>
        <v>1626</v>
      </c>
      <c r="R1376" s="61">
        <f>Allocation[[#This Row],[Total volume used]]/VLOOKUP(Allocation[[#This Row],[Delivery ID]],Delivery[[Delivery ID]:[Quantity delivered]],3,FALSE)</f>
        <v>0.55118644067796607</v>
      </c>
      <c r="S1376" s="34">
        <f>Allocation[[#This Row],[Quantity Processed]]/Allocation[[#This Row],[Dilution rate]]</f>
        <v>558.76288659793806</v>
      </c>
      <c r="T1376" s="59">
        <f>SUMIF(Allocation[Delivery ID],Allocation[[#This Row],[Delivery ID]],Allocation[Quantity allocated])/SUMIF(Allocation[Delivery ID],Allocation[[#This Row],[Delivery ID]],Allocation[Volume available (kg)])</f>
        <v>1.2509778597785979</v>
      </c>
      <c r="U1376" s="61">
        <f>Allocation[[#This Row],[Total volume used]]/VLOOKUP(Allocation[[#This Row],[Delivery ID]],Delivery[[Delivery ID]:[Quantity delivered]],3,FALSE)</f>
        <v>0.55118644067796607</v>
      </c>
      <c r="V1376" s="34" t="e">
        <f>VLOOKUP(Allocation[[#This Row],[SAP Contract number]],Shipments[[SAP Contract number]:[Contracted container weight]],2,FALSE)</f>
        <v>#N/A</v>
      </c>
      <c r="W1376" s="34" t="e">
        <f>VLOOKUP(Allocation[[#This Row],[SAP Contract number]],Shipments[[SAP Contract number]:[AAA Premium USD]],24,FALSE)</f>
        <v>#N/A</v>
      </c>
      <c r="X1376" s="34" t="e">
        <f>VLOOKUP(Allocation[[#This Row],[SAP Contract number]],Shipments[[SAP Contract number]:[RA Premium USD]],25,FALSE)</f>
        <v>#N/A</v>
      </c>
      <c r="Y1376" s="38">
        <f>Allocation[[#This Row],[Quantity Processed]]/Allocation[[#This Row],[Quantity allocated]]</f>
        <v>2.3261802575107295</v>
      </c>
      <c r="Z1376" s="34" t="b">
        <f>Allocation[[#This Row],[Quantity allocated]]&lt;=Allocation[[#This Row],[Quantity Processed]]</f>
        <v>1</v>
      </c>
    </row>
    <row r="1377" spans="1:26">
      <c r="A1377" s="247" t="s">
        <v>467</v>
      </c>
      <c r="B1377" s="210" t="s">
        <v>68</v>
      </c>
      <c r="C1377" s="254" t="s">
        <v>587</v>
      </c>
      <c r="D1377" s="255">
        <v>30</v>
      </c>
      <c r="E1377" s="211" t="s">
        <v>1890</v>
      </c>
      <c r="F1377" s="212">
        <v>43587</v>
      </c>
      <c r="G1377" s="213">
        <v>2.91</v>
      </c>
      <c r="H1377" s="256">
        <v>10</v>
      </c>
      <c r="I1377" s="214">
        <v>1453734</v>
      </c>
      <c r="J1377" s="215">
        <v>19175</v>
      </c>
      <c r="K1377" s="212">
        <v>43595</v>
      </c>
      <c r="L1377" s="211" t="s">
        <v>1891</v>
      </c>
      <c r="M1377" s="216">
        <v>4615506885</v>
      </c>
      <c r="N1377" s="212">
        <v>43614</v>
      </c>
      <c r="O1377" s="217">
        <v>3.9746999999999999</v>
      </c>
      <c r="P1377" s="219"/>
      <c r="Q1377" s="34">
        <f>SUMIF(Allocation[Delivery ID],Allocation[[#This Row],[Delivery ID]],Allocation[Quantity Processed])</f>
        <v>16230</v>
      </c>
      <c r="R1377" s="61">
        <f>Allocation[[#This Row],[Total volume used]]/VLOOKUP(Allocation[[#This Row],[Delivery ID]],Delivery[[Delivery ID]:[Quantity delivered]],3,FALSE)</f>
        <v>1</v>
      </c>
      <c r="S1377" s="34">
        <f>Allocation[[#This Row],[Quantity Processed]]/Allocation[[#This Row],[Dilution rate]]</f>
        <v>10.309278350515463</v>
      </c>
      <c r="T1377" s="59">
        <f>SUMIF(Allocation[Delivery ID],Allocation[[#This Row],[Delivery ID]],Allocation[Quantity allocated])/SUMIF(Allocation[Delivery ID],Allocation[[#This Row],[Delivery ID]],Allocation[Volume available (kg)])</f>
        <v>0.81574057047417459</v>
      </c>
      <c r="U1377" s="61">
        <f>Allocation[[#This Row],[Total volume used]]/VLOOKUP(Allocation[[#This Row],[Delivery ID]],Delivery[[Delivery ID]:[Quantity delivered]],3,FALSE)</f>
        <v>1</v>
      </c>
      <c r="V1377" s="34" t="e">
        <f>VLOOKUP(Allocation[[#This Row],[SAP Contract number]],Shipments[[SAP Contract number]:[Contracted container weight]],2,FALSE)</f>
        <v>#N/A</v>
      </c>
      <c r="W1377" s="34" t="e">
        <f>VLOOKUP(Allocation[[#This Row],[SAP Contract number]],Shipments[[SAP Contract number]:[AAA Premium USD]],24,FALSE)</f>
        <v>#N/A</v>
      </c>
      <c r="X1377" s="34" t="e">
        <f>VLOOKUP(Allocation[[#This Row],[SAP Contract number]],Shipments[[SAP Contract number]:[RA Premium USD]],25,FALSE)</f>
        <v>#N/A</v>
      </c>
      <c r="Y1377" s="38">
        <f>Allocation[[#This Row],[Quantity Processed]]/Allocation[[#This Row],[Quantity allocated]]</f>
        <v>3</v>
      </c>
      <c r="Z1377" s="34" t="b">
        <f>Allocation[[#This Row],[Quantity allocated]]&lt;=Allocation[[#This Row],[Quantity Processed]]</f>
        <v>1</v>
      </c>
    </row>
    <row r="1378" spans="1:26">
      <c r="A1378" s="247" t="s">
        <v>467</v>
      </c>
      <c r="B1378" s="210" t="s">
        <v>68</v>
      </c>
      <c r="C1378" s="254" t="s">
        <v>592</v>
      </c>
      <c r="D1378" s="255">
        <v>21</v>
      </c>
      <c r="E1378" s="211" t="s">
        <v>1890</v>
      </c>
      <c r="F1378" s="212">
        <v>43587</v>
      </c>
      <c r="G1378" s="213">
        <v>2.91</v>
      </c>
      <c r="H1378" s="256">
        <v>7</v>
      </c>
      <c r="I1378" s="214">
        <v>1453734</v>
      </c>
      <c r="J1378" s="215">
        <v>19175</v>
      </c>
      <c r="K1378" s="212">
        <v>43595</v>
      </c>
      <c r="L1378" s="211" t="s">
        <v>1891</v>
      </c>
      <c r="M1378" s="216">
        <v>4615506885</v>
      </c>
      <c r="N1378" s="212">
        <v>43614</v>
      </c>
      <c r="O1378" s="217">
        <v>3.9746999999999999</v>
      </c>
      <c r="P1378" s="219"/>
      <c r="Q1378" s="34">
        <f>SUMIF(Allocation[Delivery ID],Allocation[[#This Row],[Delivery ID]],Allocation[Quantity Processed])</f>
        <v>11220</v>
      </c>
      <c r="R1378" s="61">
        <f>Allocation[[#This Row],[Total volume used]]/VLOOKUP(Allocation[[#This Row],[Delivery ID]],Delivery[[Delivery ID]:[Quantity delivered]],3,FALSE)</f>
        <v>1</v>
      </c>
      <c r="S1378" s="34">
        <f>Allocation[[#This Row],[Quantity Processed]]/Allocation[[#This Row],[Dilution rate]]</f>
        <v>7.216494845360824</v>
      </c>
      <c r="T1378" s="59">
        <f>SUMIF(Allocation[Delivery ID],Allocation[[#This Row],[Delivery ID]],Allocation[Quantity allocated])/SUMIF(Allocation[Delivery ID],Allocation[[#This Row],[Delivery ID]],Allocation[Volume available (kg)])</f>
        <v>0.7826926411263051</v>
      </c>
      <c r="U1378" s="61">
        <f>Allocation[[#This Row],[Total volume used]]/VLOOKUP(Allocation[[#This Row],[Delivery ID]],Delivery[[Delivery ID]:[Quantity delivered]],3,FALSE)</f>
        <v>1</v>
      </c>
      <c r="V1378" s="34" t="e">
        <f>VLOOKUP(Allocation[[#This Row],[SAP Contract number]],Shipments[[SAP Contract number]:[Contracted container weight]],2,FALSE)</f>
        <v>#N/A</v>
      </c>
      <c r="W1378" s="34" t="e">
        <f>VLOOKUP(Allocation[[#This Row],[SAP Contract number]],Shipments[[SAP Contract number]:[AAA Premium USD]],24,FALSE)</f>
        <v>#N/A</v>
      </c>
      <c r="X1378" s="34" t="e">
        <f>VLOOKUP(Allocation[[#This Row],[SAP Contract number]],Shipments[[SAP Contract number]:[RA Premium USD]],25,FALSE)</f>
        <v>#N/A</v>
      </c>
      <c r="Y1378" s="38">
        <f>Allocation[[#This Row],[Quantity Processed]]/Allocation[[#This Row],[Quantity allocated]]</f>
        <v>3</v>
      </c>
      <c r="Z1378" s="34" t="b">
        <f>Allocation[[#This Row],[Quantity allocated]]&lt;=Allocation[[#This Row],[Quantity Processed]]</f>
        <v>1</v>
      </c>
    </row>
    <row r="1379" spans="1:26">
      <c r="A1379" s="247" t="s">
        <v>467</v>
      </c>
      <c r="B1379" s="210" t="s">
        <v>68</v>
      </c>
      <c r="C1379" s="254" t="s">
        <v>1424</v>
      </c>
      <c r="D1379" s="255">
        <v>67</v>
      </c>
      <c r="E1379" s="211" t="s">
        <v>1890</v>
      </c>
      <c r="F1379" s="212">
        <v>43587</v>
      </c>
      <c r="G1379" s="213">
        <v>2.91</v>
      </c>
      <c r="H1379" s="256">
        <v>22</v>
      </c>
      <c r="I1379" s="214">
        <v>1453734</v>
      </c>
      <c r="J1379" s="215">
        <v>19175</v>
      </c>
      <c r="K1379" s="212">
        <v>43595</v>
      </c>
      <c r="L1379" s="211" t="s">
        <v>1891</v>
      </c>
      <c r="M1379" s="216">
        <v>4615506885</v>
      </c>
      <c r="N1379" s="212">
        <v>43614</v>
      </c>
      <c r="O1379" s="217">
        <v>3.9746999999999999</v>
      </c>
      <c r="P1379" s="219"/>
      <c r="Q1379" s="34">
        <f>SUMIF(Allocation[Delivery ID],Allocation[[#This Row],[Delivery ID]],Allocation[Quantity Processed])</f>
        <v>4951</v>
      </c>
      <c r="R1379" s="61">
        <f>Allocation[[#This Row],[Total volume used]]/VLOOKUP(Allocation[[#This Row],[Delivery ID]],Delivery[[Delivery ID]:[Quantity delivered]],3,FALSE)</f>
        <v>0.82106135986732998</v>
      </c>
      <c r="S1379" s="34">
        <f>Allocation[[#This Row],[Quantity Processed]]/Allocation[[#This Row],[Dilution rate]]</f>
        <v>23.024054982817869</v>
      </c>
      <c r="T1379" s="59">
        <f>SUMIF(Allocation[Delivery ID],Allocation[[#This Row],[Delivery ID]],Allocation[Quantity allocated])/SUMIF(Allocation[Delivery ID],Allocation[[#This Row],[Delivery ID]],Allocation[Volume available (kg)])</f>
        <v>0.87667986531672437</v>
      </c>
      <c r="U1379" s="61">
        <f>Allocation[[#This Row],[Total volume used]]/VLOOKUP(Allocation[[#This Row],[Delivery ID]],Delivery[[Delivery ID]:[Quantity delivered]],3,FALSE)</f>
        <v>0.82106135986732998</v>
      </c>
      <c r="V1379" s="34" t="e">
        <f>VLOOKUP(Allocation[[#This Row],[SAP Contract number]],Shipments[[SAP Contract number]:[Contracted container weight]],2,FALSE)</f>
        <v>#N/A</v>
      </c>
      <c r="W1379" s="34" t="e">
        <f>VLOOKUP(Allocation[[#This Row],[SAP Contract number]],Shipments[[SAP Contract number]:[AAA Premium USD]],24,FALSE)</f>
        <v>#N/A</v>
      </c>
      <c r="X1379" s="34" t="e">
        <f>VLOOKUP(Allocation[[#This Row],[SAP Contract number]],Shipments[[SAP Contract number]:[RA Premium USD]],25,FALSE)</f>
        <v>#N/A</v>
      </c>
      <c r="Y1379" s="38">
        <f>Allocation[[#This Row],[Quantity Processed]]/Allocation[[#This Row],[Quantity allocated]]</f>
        <v>3.0454545454545454</v>
      </c>
      <c r="Z1379" s="34" t="b">
        <f>Allocation[[#This Row],[Quantity allocated]]&lt;=Allocation[[#This Row],[Quantity Processed]]</f>
        <v>1</v>
      </c>
    </row>
    <row r="1380" spans="1:26">
      <c r="A1380" s="247" t="s">
        <v>467</v>
      </c>
      <c r="B1380" s="210" t="s">
        <v>68</v>
      </c>
      <c r="C1380" s="254" t="s">
        <v>1428</v>
      </c>
      <c r="D1380" s="255">
        <v>3145</v>
      </c>
      <c r="E1380" s="211" t="s">
        <v>1890</v>
      </c>
      <c r="F1380" s="212">
        <v>43587</v>
      </c>
      <c r="G1380" s="213">
        <v>2.91</v>
      </c>
      <c r="H1380" s="256">
        <v>1321</v>
      </c>
      <c r="I1380" s="214">
        <v>1453734</v>
      </c>
      <c r="J1380" s="215">
        <v>19175</v>
      </c>
      <c r="K1380" s="212">
        <v>43595</v>
      </c>
      <c r="L1380" s="211" t="s">
        <v>1891</v>
      </c>
      <c r="M1380" s="216">
        <v>4615506885</v>
      </c>
      <c r="N1380" s="212">
        <v>43614</v>
      </c>
      <c r="O1380" s="217">
        <v>3.9746999999999999</v>
      </c>
      <c r="P1380" s="219"/>
      <c r="Q1380" s="34">
        <f>SUMIF(Allocation[Delivery ID],Allocation[[#This Row],[Delivery ID]],Allocation[Quantity Processed])</f>
        <v>7752</v>
      </c>
      <c r="R1380" s="61">
        <f>Allocation[[#This Row],[Total volume used]]/VLOOKUP(Allocation[[#This Row],[Delivery ID]],Delivery[[Delivery ID]:[Quantity delivered]],3,FALSE)</f>
        <v>0.61329113924050638</v>
      </c>
      <c r="S1380" s="34">
        <f>Allocation[[#This Row],[Quantity Processed]]/Allocation[[#This Row],[Dilution rate]]</f>
        <v>1080.7560137457044</v>
      </c>
      <c r="T1380" s="59">
        <f>SUMIF(Allocation[Delivery ID],Allocation[[#This Row],[Delivery ID]],Allocation[Quantity allocated])/SUMIF(Allocation[Delivery ID],Allocation[[#This Row],[Delivery ID]],Allocation[Volume available (kg)])</f>
        <v>1.1557713275545305</v>
      </c>
      <c r="U1380" s="61">
        <f>Allocation[[#This Row],[Total volume used]]/VLOOKUP(Allocation[[#This Row],[Delivery ID]],Delivery[[Delivery ID]:[Quantity delivered]],3,FALSE)</f>
        <v>0.61329113924050638</v>
      </c>
      <c r="V1380" s="34" t="e">
        <f>VLOOKUP(Allocation[[#This Row],[SAP Contract number]],Shipments[[SAP Contract number]:[Contracted container weight]],2,FALSE)</f>
        <v>#N/A</v>
      </c>
      <c r="W1380" s="34" t="e">
        <f>VLOOKUP(Allocation[[#This Row],[SAP Contract number]],Shipments[[SAP Contract number]:[AAA Premium USD]],24,FALSE)</f>
        <v>#N/A</v>
      </c>
      <c r="X1380" s="34" t="e">
        <f>VLOOKUP(Allocation[[#This Row],[SAP Contract number]],Shipments[[SAP Contract number]:[RA Premium USD]],25,FALSE)</f>
        <v>#N/A</v>
      </c>
      <c r="Y1380" s="38">
        <f>Allocation[[#This Row],[Quantity Processed]]/Allocation[[#This Row],[Quantity allocated]]</f>
        <v>2.380772142316427</v>
      </c>
      <c r="Z1380" s="34" t="b">
        <f>Allocation[[#This Row],[Quantity allocated]]&lt;=Allocation[[#This Row],[Quantity Processed]]</f>
        <v>1</v>
      </c>
    </row>
    <row r="1381" spans="1:26">
      <c r="A1381" s="247" t="s">
        <v>467</v>
      </c>
      <c r="B1381" s="210" t="s">
        <v>68</v>
      </c>
      <c r="C1381" s="254" t="s">
        <v>1438</v>
      </c>
      <c r="D1381" s="255">
        <v>70</v>
      </c>
      <c r="E1381" s="211" t="s">
        <v>1890</v>
      </c>
      <c r="F1381" s="212">
        <v>43587</v>
      </c>
      <c r="G1381" s="213">
        <v>2.91</v>
      </c>
      <c r="H1381" s="256">
        <v>21</v>
      </c>
      <c r="I1381" s="214">
        <v>1453734</v>
      </c>
      <c r="J1381" s="215">
        <v>19175</v>
      </c>
      <c r="K1381" s="212">
        <v>43595</v>
      </c>
      <c r="L1381" s="211" t="s">
        <v>1891</v>
      </c>
      <c r="M1381" s="216">
        <v>4615506885</v>
      </c>
      <c r="N1381" s="212">
        <v>43614</v>
      </c>
      <c r="O1381" s="217">
        <v>3.9746999999999999</v>
      </c>
      <c r="P1381" s="219"/>
      <c r="Q1381" s="34">
        <f>SUMIF(Allocation[Delivery ID],Allocation[[#This Row],[Delivery ID]],Allocation[Quantity Processed])</f>
        <v>5066</v>
      </c>
      <c r="R1381" s="61">
        <f>Allocation[[#This Row],[Total volume used]]/VLOOKUP(Allocation[[#This Row],[Delivery ID]],Delivery[[Delivery ID]:[Quantity delivered]],3,FALSE)</f>
        <v>0.91115107913669069</v>
      </c>
      <c r="S1381" s="34">
        <f>Allocation[[#This Row],[Quantity Processed]]/Allocation[[#This Row],[Dilution rate]]</f>
        <v>24.054982817869416</v>
      </c>
      <c r="T1381" s="59">
        <f>SUMIF(Allocation[Delivery ID],Allocation[[#This Row],[Delivery ID]],Allocation[Quantity allocated])/SUMIF(Allocation[Delivery ID],Allocation[[#This Row],[Delivery ID]],Allocation[Volume available (kg)])</f>
        <v>0.79702618169704564</v>
      </c>
      <c r="U1381" s="61">
        <f>Allocation[[#This Row],[Total volume used]]/VLOOKUP(Allocation[[#This Row],[Delivery ID]],Delivery[[Delivery ID]:[Quantity delivered]],3,FALSE)</f>
        <v>0.91115107913669069</v>
      </c>
      <c r="V1381" s="34" t="e">
        <f>VLOOKUP(Allocation[[#This Row],[SAP Contract number]],Shipments[[SAP Contract number]:[Contracted container weight]],2,FALSE)</f>
        <v>#N/A</v>
      </c>
      <c r="W1381" s="34" t="e">
        <f>VLOOKUP(Allocation[[#This Row],[SAP Contract number]],Shipments[[SAP Contract number]:[AAA Premium USD]],24,FALSE)</f>
        <v>#N/A</v>
      </c>
      <c r="X1381" s="34" t="e">
        <f>VLOOKUP(Allocation[[#This Row],[SAP Contract number]],Shipments[[SAP Contract number]:[RA Premium USD]],25,FALSE)</f>
        <v>#N/A</v>
      </c>
      <c r="Y1381" s="38">
        <f>Allocation[[#This Row],[Quantity Processed]]/Allocation[[#This Row],[Quantity allocated]]</f>
        <v>3.3333333333333335</v>
      </c>
      <c r="Z1381" s="34" t="b">
        <f>Allocation[[#This Row],[Quantity allocated]]&lt;=Allocation[[#This Row],[Quantity Processed]]</f>
        <v>1</v>
      </c>
    </row>
    <row r="1382" spans="1:26">
      <c r="A1382" s="247" t="s">
        <v>467</v>
      </c>
      <c r="B1382" s="210" t="s">
        <v>68</v>
      </c>
      <c r="C1382" s="254" t="s">
        <v>1439</v>
      </c>
      <c r="D1382" s="255">
        <v>5573</v>
      </c>
      <c r="E1382" s="211" t="s">
        <v>1890</v>
      </c>
      <c r="F1382" s="212">
        <v>43587</v>
      </c>
      <c r="G1382" s="213">
        <v>2.91</v>
      </c>
      <c r="H1382" s="256">
        <v>1672</v>
      </c>
      <c r="I1382" s="214">
        <v>1453734</v>
      </c>
      <c r="J1382" s="215">
        <v>19175</v>
      </c>
      <c r="K1382" s="212">
        <v>43595</v>
      </c>
      <c r="L1382" s="211" t="s">
        <v>1891</v>
      </c>
      <c r="M1382" s="216">
        <v>4615506885</v>
      </c>
      <c r="N1382" s="212">
        <v>43614</v>
      </c>
      <c r="O1382" s="217">
        <v>3.9746999999999999</v>
      </c>
      <c r="P1382" s="219"/>
      <c r="Q1382" s="34">
        <f>SUMIF(Allocation[Delivery ID],Allocation[[#This Row],[Delivery ID]],Allocation[Quantity Processed])</f>
        <v>5573</v>
      </c>
      <c r="R1382" s="61">
        <f>Allocation[[#This Row],[Total volume used]]/VLOOKUP(Allocation[[#This Row],[Delivery ID]],Delivery[[Delivery ID]:[Quantity delivered]],3,FALSE)</f>
        <v>0.78826025459688831</v>
      </c>
      <c r="S1382" s="34">
        <f>Allocation[[#This Row],[Quantity Processed]]/Allocation[[#This Row],[Dilution rate]]</f>
        <v>1915.1202749140894</v>
      </c>
      <c r="T1382" s="59">
        <f>SUMIF(Allocation[Delivery ID],Allocation[[#This Row],[Delivery ID]],Allocation[Quantity allocated])/SUMIF(Allocation[Delivery ID],Allocation[[#This Row],[Delivery ID]],Allocation[Volume available (kg)])</f>
        <v>0.8730522160416293</v>
      </c>
      <c r="U1382" s="61">
        <f>Allocation[[#This Row],[Total volume used]]/VLOOKUP(Allocation[[#This Row],[Delivery ID]],Delivery[[Delivery ID]:[Quantity delivered]],3,FALSE)</f>
        <v>0.78826025459688831</v>
      </c>
      <c r="V1382" s="34" t="e">
        <f>VLOOKUP(Allocation[[#This Row],[SAP Contract number]],Shipments[[SAP Contract number]:[Contracted container weight]],2,FALSE)</f>
        <v>#N/A</v>
      </c>
      <c r="W1382" s="34" t="e">
        <f>VLOOKUP(Allocation[[#This Row],[SAP Contract number]],Shipments[[SAP Contract number]:[AAA Premium USD]],24,FALSE)</f>
        <v>#N/A</v>
      </c>
      <c r="X1382" s="34" t="e">
        <f>VLOOKUP(Allocation[[#This Row],[SAP Contract number]],Shipments[[SAP Contract number]:[RA Premium USD]],25,FALSE)</f>
        <v>#N/A</v>
      </c>
      <c r="Y1382" s="38">
        <f>Allocation[[#This Row],[Quantity Processed]]/Allocation[[#This Row],[Quantity allocated]]</f>
        <v>3.3331339712918662</v>
      </c>
      <c r="Z1382" s="34" t="b">
        <f>Allocation[[#This Row],[Quantity allocated]]&lt;=Allocation[[#This Row],[Quantity Processed]]</f>
        <v>1</v>
      </c>
    </row>
    <row r="1383" spans="1:26">
      <c r="A1383" s="247" t="s">
        <v>467</v>
      </c>
      <c r="B1383" s="210" t="s">
        <v>68</v>
      </c>
      <c r="C1383" s="254" t="s">
        <v>1474</v>
      </c>
      <c r="D1383" s="255">
        <v>11737</v>
      </c>
      <c r="E1383" s="211" t="s">
        <v>1890</v>
      </c>
      <c r="F1383" s="212">
        <v>43587</v>
      </c>
      <c r="G1383" s="213">
        <v>2.91</v>
      </c>
      <c r="H1383" s="256">
        <v>3521</v>
      </c>
      <c r="I1383" s="214">
        <v>1453734</v>
      </c>
      <c r="J1383" s="215">
        <v>19175</v>
      </c>
      <c r="K1383" s="212">
        <v>43595</v>
      </c>
      <c r="L1383" s="211" t="s">
        <v>1891</v>
      </c>
      <c r="M1383" s="216">
        <v>4615506885</v>
      </c>
      <c r="N1383" s="212">
        <v>43614</v>
      </c>
      <c r="O1383" s="217">
        <v>3.9746999999999999</v>
      </c>
      <c r="P1383" s="219"/>
      <c r="Q1383" s="34">
        <f>SUMIF(Allocation[Delivery ID],Allocation[[#This Row],[Delivery ID]],Allocation[Quantity Processed])</f>
        <v>11737</v>
      </c>
      <c r="R1383" s="61">
        <f>Allocation[[#This Row],[Total volume used]]/VLOOKUP(Allocation[[#This Row],[Delivery ID]],Delivery[[Delivery ID]:[Quantity delivered]],3,FALSE)</f>
        <v>0.78771812080536918</v>
      </c>
      <c r="S1383" s="34">
        <f>Allocation[[#This Row],[Quantity Processed]]/Allocation[[#This Row],[Dilution rate]]</f>
        <v>4033.333333333333</v>
      </c>
      <c r="T1383" s="59">
        <f>SUMIF(Allocation[Delivery ID],Allocation[[#This Row],[Delivery ID]],Allocation[Quantity allocated])/SUMIF(Allocation[Delivery ID],Allocation[[#This Row],[Delivery ID]],Allocation[Volume available (kg)])</f>
        <v>0.87297520661157035</v>
      </c>
      <c r="U1383" s="61">
        <f>Allocation[[#This Row],[Total volume used]]/VLOOKUP(Allocation[[#This Row],[Delivery ID]],Delivery[[Delivery ID]:[Quantity delivered]],3,FALSE)</f>
        <v>0.78771812080536918</v>
      </c>
      <c r="V1383" s="34" t="e">
        <f>VLOOKUP(Allocation[[#This Row],[SAP Contract number]],Shipments[[SAP Contract number]:[Contracted container weight]],2,FALSE)</f>
        <v>#N/A</v>
      </c>
      <c r="W1383" s="34" t="e">
        <f>VLOOKUP(Allocation[[#This Row],[SAP Contract number]],Shipments[[SAP Contract number]:[AAA Premium USD]],24,FALSE)</f>
        <v>#N/A</v>
      </c>
      <c r="X1383" s="34" t="e">
        <f>VLOOKUP(Allocation[[#This Row],[SAP Contract number]],Shipments[[SAP Contract number]:[RA Premium USD]],25,FALSE)</f>
        <v>#N/A</v>
      </c>
      <c r="Y1383" s="38">
        <f>Allocation[[#This Row],[Quantity Processed]]/Allocation[[#This Row],[Quantity allocated]]</f>
        <v>3.3334280034081227</v>
      </c>
      <c r="Z1383" s="34" t="b">
        <f>Allocation[[#This Row],[Quantity allocated]]&lt;=Allocation[[#This Row],[Quantity Processed]]</f>
        <v>1</v>
      </c>
    </row>
    <row r="1384" spans="1:26">
      <c r="A1384" s="247" t="s">
        <v>467</v>
      </c>
      <c r="B1384" s="210" t="s">
        <v>68</v>
      </c>
      <c r="C1384" s="254" t="s">
        <v>1475</v>
      </c>
      <c r="D1384" s="255">
        <v>4430</v>
      </c>
      <c r="E1384" s="211" t="s">
        <v>1890</v>
      </c>
      <c r="F1384" s="212">
        <v>43587</v>
      </c>
      <c r="G1384" s="213">
        <v>2.91</v>
      </c>
      <c r="H1384" s="256">
        <v>1329</v>
      </c>
      <c r="I1384" s="214">
        <v>1453734</v>
      </c>
      <c r="J1384" s="215">
        <v>19175</v>
      </c>
      <c r="K1384" s="212">
        <v>43595</v>
      </c>
      <c r="L1384" s="211" t="s">
        <v>1891</v>
      </c>
      <c r="M1384" s="216">
        <v>4615506885</v>
      </c>
      <c r="N1384" s="212">
        <v>43614</v>
      </c>
      <c r="O1384" s="217">
        <v>3.9746999999999999</v>
      </c>
      <c r="P1384" s="219"/>
      <c r="Q1384" s="34">
        <f>SUMIF(Allocation[Delivery ID],Allocation[[#This Row],[Delivery ID]],Allocation[Quantity Processed])</f>
        <v>11740</v>
      </c>
      <c r="R1384" s="61">
        <f>Allocation[[#This Row],[Total volume used]]/VLOOKUP(Allocation[[#This Row],[Delivery ID]],Delivery[[Delivery ID]:[Quantity delivered]],3,FALSE)</f>
        <v>0.78844862323707188</v>
      </c>
      <c r="S1384" s="34">
        <f>Allocation[[#This Row],[Quantity Processed]]/Allocation[[#This Row],[Dilution rate]]</f>
        <v>1522.3367697594501</v>
      </c>
      <c r="T1384" s="59">
        <f>SUMIF(Allocation[Delivery ID],Allocation[[#This Row],[Delivery ID]],Allocation[Quantity allocated])/SUMIF(Allocation[Delivery ID],Allocation[[#This Row],[Delivery ID]],Allocation[Volume available (kg)])</f>
        <v>0.87300000000000011</v>
      </c>
      <c r="U1384" s="61">
        <f>Allocation[[#This Row],[Total volume used]]/VLOOKUP(Allocation[[#This Row],[Delivery ID]],Delivery[[Delivery ID]:[Quantity delivered]],3,FALSE)</f>
        <v>0.78844862323707188</v>
      </c>
      <c r="V1384" s="34" t="e">
        <f>VLOOKUP(Allocation[[#This Row],[SAP Contract number]],Shipments[[SAP Contract number]:[Contracted container weight]],2,FALSE)</f>
        <v>#N/A</v>
      </c>
      <c r="W1384" s="34" t="e">
        <f>VLOOKUP(Allocation[[#This Row],[SAP Contract number]],Shipments[[SAP Contract number]:[AAA Premium USD]],24,FALSE)</f>
        <v>#N/A</v>
      </c>
      <c r="X1384" s="34" t="e">
        <f>VLOOKUP(Allocation[[#This Row],[SAP Contract number]],Shipments[[SAP Contract number]:[RA Premium USD]],25,FALSE)</f>
        <v>#N/A</v>
      </c>
      <c r="Y1384" s="38">
        <f>Allocation[[#This Row],[Quantity Processed]]/Allocation[[#This Row],[Quantity allocated]]</f>
        <v>3.3333333333333335</v>
      </c>
      <c r="Z1384" s="34" t="b">
        <f>Allocation[[#This Row],[Quantity allocated]]&lt;=Allocation[[#This Row],[Quantity Processed]]</f>
        <v>1</v>
      </c>
    </row>
    <row r="1385" spans="1:26">
      <c r="A1385" s="247" t="s">
        <v>467</v>
      </c>
      <c r="B1385" s="210" t="s">
        <v>68</v>
      </c>
      <c r="C1385" s="254" t="s">
        <v>1475</v>
      </c>
      <c r="D1385" s="255">
        <v>7310</v>
      </c>
      <c r="E1385" s="211" t="s">
        <v>1890</v>
      </c>
      <c r="F1385" s="212">
        <v>43587</v>
      </c>
      <c r="G1385" s="213">
        <v>2.91</v>
      </c>
      <c r="H1385" s="256">
        <v>2193</v>
      </c>
      <c r="I1385" s="214">
        <v>1453735</v>
      </c>
      <c r="J1385" s="215">
        <v>19175</v>
      </c>
      <c r="K1385" s="212">
        <v>43595</v>
      </c>
      <c r="L1385" s="211" t="s">
        <v>1892</v>
      </c>
      <c r="M1385" s="216">
        <v>4615506885</v>
      </c>
      <c r="N1385" s="212">
        <v>43614</v>
      </c>
      <c r="O1385" s="217">
        <v>3.9746999999999999</v>
      </c>
      <c r="P1385" s="219"/>
      <c r="Q1385" s="34">
        <f>SUMIF(Allocation[Delivery ID],Allocation[[#This Row],[Delivery ID]],Allocation[Quantity Processed])</f>
        <v>11740</v>
      </c>
      <c r="R1385" s="61">
        <f>Allocation[[#This Row],[Total volume used]]/VLOOKUP(Allocation[[#This Row],[Delivery ID]],Delivery[[Delivery ID]:[Quantity delivered]],3,FALSE)</f>
        <v>0.78844862323707188</v>
      </c>
      <c r="S1385" s="34">
        <f>Allocation[[#This Row],[Quantity Processed]]/Allocation[[#This Row],[Dilution rate]]</f>
        <v>2512.0274914089346</v>
      </c>
      <c r="T1385" s="59">
        <f>SUMIF(Allocation[Delivery ID],Allocation[[#This Row],[Delivery ID]],Allocation[Quantity allocated])/SUMIF(Allocation[Delivery ID],Allocation[[#This Row],[Delivery ID]],Allocation[Volume available (kg)])</f>
        <v>0.87300000000000011</v>
      </c>
      <c r="U1385" s="61">
        <f>Allocation[[#This Row],[Total volume used]]/VLOOKUP(Allocation[[#This Row],[Delivery ID]],Delivery[[Delivery ID]:[Quantity delivered]],3,FALSE)</f>
        <v>0.78844862323707188</v>
      </c>
      <c r="V1385" s="34" t="e">
        <f>VLOOKUP(Allocation[[#This Row],[SAP Contract number]],Shipments[[SAP Contract number]:[Contracted container weight]],2,FALSE)</f>
        <v>#N/A</v>
      </c>
      <c r="W1385" s="34" t="e">
        <f>VLOOKUP(Allocation[[#This Row],[SAP Contract number]],Shipments[[SAP Contract number]:[AAA Premium USD]],24,FALSE)</f>
        <v>#N/A</v>
      </c>
      <c r="X1385" s="34" t="e">
        <f>VLOOKUP(Allocation[[#This Row],[SAP Contract number]],Shipments[[SAP Contract number]:[RA Premium USD]],25,FALSE)</f>
        <v>#N/A</v>
      </c>
      <c r="Y1385" s="38">
        <f>Allocation[[#This Row],[Quantity Processed]]/Allocation[[#This Row],[Quantity allocated]]</f>
        <v>3.3333333333333335</v>
      </c>
      <c r="Z1385" s="34" t="b">
        <f>Allocation[[#This Row],[Quantity allocated]]&lt;=Allocation[[#This Row],[Quantity Processed]]</f>
        <v>1</v>
      </c>
    </row>
    <row r="1386" spans="1:26">
      <c r="A1386" s="247" t="s">
        <v>467</v>
      </c>
      <c r="B1386" s="210" t="s">
        <v>68</v>
      </c>
      <c r="C1386" s="254" t="s">
        <v>1476</v>
      </c>
      <c r="D1386" s="255">
        <v>14773</v>
      </c>
      <c r="E1386" s="211" t="s">
        <v>1890</v>
      </c>
      <c r="F1386" s="212">
        <v>43587</v>
      </c>
      <c r="G1386" s="213">
        <v>2.91</v>
      </c>
      <c r="H1386" s="256">
        <v>4432</v>
      </c>
      <c r="I1386" s="214">
        <v>1453735</v>
      </c>
      <c r="J1386" s="215">
        <v>19175</v>
      </c>
      <c r="K1386" s="212">
        <v>43595</v>
      </c>
      <c r="L1386" s="211" t="s">
        <v>1892</v>
      </c>
      <c r="M1386" s="216">
        <v>4615506885</v>
      </c>
      <c r="N1386" s="212">
        <v>43614</v>
      </c>
      <c r="O1386" s="217">
        <v>3.9746999999999999</v>
      </c>
      <c r="P1386" s="219"/>
      <c r="Q1386" s="34">
        <f>SUMIF(Allocation[Delivery ID],Allocation[[#This Row],[Delivery ID]],Allocation[Quantity Processed])</f>
        <v>14773</v>
      </c>
      <c r="R1386" s="61">
        <f>Allocation[[#This Row],[Total volume used]]/VLOOKUP(Allocation[[#This Row],[Delivery ID]],Delivery[[Delivery ID]:[Quantity delivered]],3,FALSE)</f>
        <v>0.78873465029364653</v>
      </c>
      <c r="S1386" s="34">
        <f>Allocation[[#This Row],[Quantity Processed]]/Allocation[[#This Row],[Dilution rate]]</f>
        <v>5076.6323024054982</v>
      </c>
      <c r="T1386" s="59">
        <f>SUMIF(Allocation[Delivery ID],Allocation[[#This Row],[Delivery ID]],Allocation[Quantity allocated])/SUMIF(Allocation[Delivery ID],Allocation[[#This Row],[Delivery ID]],Allocation[Volume available (kg)])</f>
        <v>0.87301969809788127</v>
      </c>
      <c r="U1386" s="61">
        <f>Allocation[[#This Row],[Total volume used]]/VLOOKUP(Allocation[[#This Row],[Delivery ID]],Delivery[[Delivery ID]:[Quantity delivered]],3,FALSE)</f>
        <v>0.78873465029364653</v>
      </c>
      <c r="V1386" s="34" t="e">
        <f>VLOOKUP(Allocation[[#This Row],[SAP Contract number]],Shipments[[SAP Contract number]:[Contracted container weight]],2,FALSE)</f>
        <v>#N/A</v>
      </c>
      <c r="W1386" s="34" t="e">
        <f>VLOOKUP(Allocation[[#This Row],[SAP Contract number]],Shipments[[SAP Contract number]:[AAA Premium USD]],24,FALSE)</f>
        <v>#N/A</v>
      </c>
      <c r="X1386" s="34" t="e">
        <f>VLOOKUP(Allocation[[#This Row],[SAP Contract number]],Shipments[[SAP Contract number]:[RA Premium USD]],25,FALSE)</f>
        <v>#N/A</v>
      </c>
      <c r="Y1386" s="38">
        <f>Allocation[[#This Row],[Quantity Processed]]/Allocation[[#This Row],[Quantity allocated]]</f>
        <v>3.3332581227436822</v>
      </c>
      <c r="Z1386" s="34" t="b">
        <f>Allocation[[#This Row],[Quantity allocated]]&lt;=Allocation[[#This Row],[Quantity Processed]]</f>
        <v>1</v>
      </c>
    </row>
    <row r="1387" spans="1:26">
      <c r="A1387" s="247" t="s">
        <v>467</v>
      </c>
      <c r="B1387" s="210" t="s">
        <v>68</v>
      </c>
      <c r="C1387" s="254" t="s">
        <v>1477</v>
      </c>
      <c r="D1387" s="255">
        <v>613</v>
      </c>
      <c r="E1387" s="211" t="s">
        <v>1890</v>
      </c>
      <c r="F1387" s="212">
        <v>43587</v>
      </c>
      <c r="G1387" s="213">
        <v>2.91</v>
      </c>
      <c r="H1387" s="256">
        <v>184</v>
      </c>
      <c r="I1387" s="214">
        <v>1453735</v>
      </c>
      <c r="J1387" s="215">
        <v>19175</v>
      </c>
      <c r="K1387" s="212">
        <v>43595</v>
      </c>
      <c r="L1387" s="211" t="s">
        <v>1892</v>
      </c>
      <c r="M1387" s="216">
        <v>4615506885</v>
      </c>
      <c r="N1387" s="212">
        <v>43614</v>
      </c>
      <c r="O1387" s="217">
        <v>3.9746999999999999</v>
      </c>
      <c r="P1387" s="219"/>
      <c r="Q1387" s="34">
        <f>SUMIF(Allocation[Delivery ID],Allocation[[#This Row],[Delivery ID]],Allocation[Quantity Processed])</f>
        <v>613</v>
      </c>
      <c r="R1387" s="61">
        <f>Allocation[[#This Row],[Total volume used]]/VLOOKUP(Allocation[[#This Row],[Delivery ID]],Delivery[[Delivery ID]:[Quantity delivered]],3,FALSE)</f>
        <v>0.7475609756097561</v>
      </c>
      <c r="S1387" s="34">
        <f>Allocation[[#This Row],[Quantity Processed]]/Allocation[[#This Row],[Dilution rate]]</f>
        <v>210.65292096219929</v>
      </c>
      <c r="T1387" s="59">
        <f>SUMIF(Allocation[Delivery ID],Allocation[[#This Row],[Delivery ID]],Allocation[Quantity allocated])/SUMIF(Allocation[Delivery ID],Allocation[[#This Row],[Delivery ID]],Allocation[Volume available (kg)])</f>
        <v>0.87347471451876024</v>
      </c>
      <c r="U1387" s="61">
        <f>Allocation[[#This Row],[Total volume used]]/VLOOKUP(Allocation[[#This Row],[Delivery ID]],Delivery[[Delivery ID]:[Quantity delivered]],3,FALSE)</f>
        <v>0.7475609756097561</v>
      </c>
      <c r="V1387" s="34" t="e">
        <f>VLOOKUP(Allocation[[#This Row],[SAP Contract number]],Shipments[[SAP Contract number]:[Contracted container weight]],2,FALSE)</f>
        <v>#N/A</v>
      </c>
      <c r="W1387" s="34" t="e">
        <f>VLOOKUP(Allocation[[#This Row],[SAP Contract number]],Shipments[[SAP Contract number]:[AAA Premium USD]],24,FALSE)</f>
        <v>#N/A</v>
      </c>
      <c r="X1387" s="34" t="e">
        <f>VLOOKUP(Allocation[[#This Row],[SAP Contract number]],Shipments[[SAP Contract number]:[RA Premium USD]],25,FALSE)</f>
        <v>#N/A</v>
      </c>
      <c r="Y1387" s="38">
        <f>Allocation[[#This Row],[Quantity Processed]]/Allocation[[#This Row],[Quantity allocated]]</f>
        <v>3.3315217391304346</v>
      </c>
      <c r="Z1387" s="34" t="b">
        <f>Allocation[[#This Row],[Quantity allocated]]&lt;=Allocation[[#This Row],[Quantity Processed]]</f>
        <v>1</v>
      </c>
    </row>
    <row r="1388" spans="1:26">
      <c r="A1388" s="247" t="s">
        <v>467</v>
      </c>
      <c r="B1388" s="210" t="s">
        <v>68</v>
      </c>
      <c r="C1388" s="254" t="s">
        <v>1479</v>
      </c>
      <c r="D1388" s="255">
        <v>15027</v>
      </c>
      <c r="E1388" s="211" t="s">
        <v>1890</v>
      </c>
      <c r="F1388" s="212">
        <v>43587</v>
      </c>
      <c r="G1388" s="213">
        <v>2.91</v>
      </c>
      <c r="H1388" s="256">
        <v>4508</v>
      </c>
      <c r="I1388" s="214">
        <v>1453735</v>
      </c>
      <c r="J1388" s="215">
        <v>19175</v>
      </c>
      <c r="K1388" s="212">
        <v>43595</v>
      </c>
      <c r="L1388" s="211" t="s">
        <v>1892</v>
      </c>
      <c r="M1388" s="216">
        <v>4615506885</v>
      </c>
      <c r="N1388" s="212">
        <v>43614</v>
      </c>
      <c r="O1388" s="217">
        <v>3.9746999999999999</v>
      </c>
      <c r="P1388" s="219"/>
      <c r="Q1388" s="34">
        <f>SUMIF(Allocation[Delivery ID],Allocation[[#This Row],[Delivery ID]],Allocation[Quantity Processed])</f>
        <v>15027</v>
      </c>
      <c r="R1388" s="61">
        <f>Allocation[[#This Row],[Total volume used]]/VLOOKUP(Allocation[[#This Row],[Delivery ID]],Delivery[[Delivery ID]:[Quantity delivered]],3,FALSE)</f>
        <v>0.78881889763779522</v>
      </c>
      <c r="S1388" s="34">
        <f>Allocation[[#This Row],[Quantity Processed]]/Allocation[[#This Row],[Dilution rate]]</f>
        <v>5163.9175257731958</v>
      </c>
      <c r="T1388" s="59">
        <f>SUMIF(Allocation[Delivery ID],Allocation[[#This Row],[Delivery ID]],Allocation[Quantity allocated])/SUMIF(Allocation[Delivery ID],Allocation[[#This Row],[Delivery ID]],Allocation[Volume available (kg)])</f>
        <v>0.87298063485725697</v>
      </c>
      <c r="U1388" s="61">
        <f>Allocation[[#This Row],[Total volume used]]/VLOOKUP(Allocation[[#This Row],[Delivery ID]],Delivery[[Delivery ID]:[Quantity delivered]],3,FALSE)</f>
        <v>0.78881889763779522</v>
      </c>
      <c r="V1388" s="34" t="e">
        <f>VLOOKUP(Allocation[[#This Row],[SAP Contract number]],Shipments[[SAP Contract number]:[Contracted container weight]],2,FALSE)</f>
        <v>#N/A</v>
      </c>
      <c r="W1388" s="34" t="e">
        <f>VLOOKUP(Allocation[[#This Row],[SAP Contract number]],Shipments[[SAP Contract number]:[AAA Premium USD]],24,FALSE)</f>
        <v>#N/A</v>
      </c>
      <c r="X1388" s="34" t="e">
        <f>VLOOKUP(Allocation[[#This Row],[SAP Contract number]],Shipments[[SAP Contract number]:[RA Premium USD]],25,FALSE)</f>
        <v>#N/A</v>
      </c>
      <c r="Y1388" s="38">
        <f>Allocation[[#This Row],[Quantity Processed]]/Allocation[[#This Row],[Quantity allocated]]</f>
        <v>3.33340727595386</v>
      </c>
      <c r="Z1388" s="34" t="b">
        <f>Allocation[[#This Row],[Quantity allocated]]&lt;=Allocation[[#This Row],[Quantity Processed]]</f>
        <v>1</v>
      </c>
    </row>
    <row r="1389" spans="1:26">
      <c r="A1389" s="247" t="s">
        <v>467</v>
      </c>
      <c r="B1389" s="210" t="s">
        <v>68</v>
      </c>
      <c r="C1389" s="254" t="s">
        <v>1480</v>
      </c>
      <c r="D1389" s="255">
        <v>9217</v>
      </c>
      <c r="E1389" s="211" t="s">
        <v>1890</v>
      </c>
      <c r="F1389" s="212">
        <v>43587</v>
      </c>
      <c r="G1389" s="213">
        <v>2.91</v>
      </c>
      <c r="H1389" s="256">
        <v>2765</v>
      </c>
      <c r="I1389" s="214">
        <v>1453735</v>
      </c>
      <c r="J1389" s="215">
        <v>19175</v>
      </c>
      <c r="K1389" s="212">
        <v>43595</v>
      </c>
      <c r="L1389" s="211" t="s">
        <v>1892</v>
      </c>
      <c r="M1389" s="216">
        <v>4615506885</v>
      </c>
      <c r="N1389" s="212">
        <v>43614</v>
      </c>
      <c r="O1389" s="217">
        <v>3.9746999999999999</v>
      </c>
      <c r="P1389" s="219"/>
      <c r="Q1389" s="34">
        <f>SUMIF(Allocation[Delivery ID],Allocation[[#This Row],[Delivery ID]],Allocation[Quantity Processed])</f>
        <v>11411</v>
      </c>
      <c r="R1389" s="61">
        <f>Allocation[[#This Row],[Total volume used]]/VLOOKUP(Allocation[[#This Row],[Delivery ID]],Delivery[[Delivery ID]:[Quantity delivered]],3,FALSE)</f>
        <v>0.76893530997304582</v>
      </c>
      <c r="S1389" s="34">
        <f>Allocation[[#This Row],[Quantity Processed]]/Allocation[[#This Row],[Dilution rate]]</f>
        <v>3167.3539518900343</v>
      </c>
      <c r="T1389" s="59">
        <f>SUMIF(Allocation[Delivery ID],Allocation[[#This Row],[Delivery ID]],Allocation[Quantity allocated])/SUMIF(Allocation[Delivery ID],Allocation[[#This Row],[Delivery ID]],Allocation[Volume available (kg)])</f>
        <v>0.85697305612869312</v>
      </c>
      <c r="U1389" s="61">
        <f>Allocation[[#This Row],[Total volume used]]/VLOOKUP(Allocation[[#This Row],[Delivery ID]],Delivery[[Delivery ID]:[Quantity delivered]],3,FALSE)</f>
        <v>0.76893530997304582</v>
      </c>
      <c r="V1389" s="34" t="e">
        <f>VLOOKUP(Allocation[[#This Row],[SAP Contract number]],Shipments[[SAP Contract number]:[Contracted container weight]],2,FALSE)</f>
        <v>#N/A</v>
      </c>
      <c r="W1389" s="34" t="e">
        <f>VLOOKUP(Allocation[[#This Row],[SAP Contract number]],Shipments[[SAP Contract number]:[AAA Premium USD]],24,FALSE)</f>
        <v>#N/A</v>
      </c>
      <c r="X1389" s="34" t="e">
        <f>VLOOKUP(Allocation[[#This Row],[SAP Contract number]],Shipments[[SAP Contract number]:[RA Premium USD]],25,FALSE)</f>
        <v>#N/A</v>
      </c>
      <c r="Y1389" s="38">
        <f>Allocation[[#This Row],[Quantity Processed]]/Allocation[[#This Row],[Quantity allocated]]</f>
        <v>3.3334538878842674</v>
      </c>
      <c r="Z1389" s="34" t="b">
        <f>Allocation[[#This Row],[Quantity allocated]]&lt;=Allocation[[#This Row],[Quantity Processed]]</f>
        <v>1</v>
      </c>
    </row>
    <row r="1390" spans="1:26">
      <c r="A1390" s="247" t="s">
        <v>467</v>
      </c>
      <c r="B1390" s="210" t="s">
        <v>68</v>
      </c>
      <c r="C1390" s="254" t="s">
        <v>1482</v>
      </c>
      <c r="D1390" s="255">
        <v>136</v>
      </c>
      <c r="E1390" s="211" t="s">
        <v>1890</v>
      </c>
      <c r="F1390" s="212">
        <v>43587</v>
      </c>
      <c r="G1390" s="213">
        <v>2.91</v>
      </c>
      <c r="H1390" s="256">
        <v>45</v>
      </c>
      <c r="I1390" s="214">
        <v>1453735</v>
      </c>
      <c r="J1390" s="215">
        <v>19175</v>
      </c>
      <c r="K1390" s="212">
        <v>43595</v>
      </c>
      <c r="L1390" s="211" t="s">
        <v>1892</v>
      </c>
      <c r="M1390" s="216">
        <v>4615506885</v>
      </c>
      <c r="N1390" s="212">
        <v>43614</v>
      </c>
      <c r="O1390" s="217">
        <v>3.9746999999999999</v>
      </c>
      <c r="P1390" s="219"/>
      <c r="Q1390" s="34">
        <f>SUMIF(Allocation[Delivery ID],Allocation[[#This Row],[Delivery ID]],Allocation[Quantity Processed])</f>
        <v>9993</v>
      </c>
      <c r="R1390" s="61">
        <f>Allocation[[#This Row],[Total volume used]]/VLOOKUP(Allocation[[#This Row],[Delivery ID]],Delivery[[Delivery ID]:[Quantity delivered]],3,FALSE)</f>
        <v>0.82998338870431898</v>
      </c>
      <c r="S1390" s="34">
        <f>Allocation[[#This Row],[Quantity Processed]]/Allocation[[#This Row],[Dilution rate]]</f>
        <v>46.735395189003434</v>
      </c>
      <c r="T1390" s="59">
        <f>SUMIF(Allocation[Delivery ID],Allocation[[#This Row],[Delivery ID]],Allocation[Quantity allocated])/SUMIF(Allocation[Delivery ID],Allocation[[#This Row],[Delivery ID]],Allocation[Volume available (kg)])</f>
        <v>0.87667985794425152</v>
      </c>
      <c r="U1390" s="61">
        <f>Allocation[[#This Row],[Total volume used]]/VLOOKUP(Allocation[[#This Row],[Delivery ID]],Delivery[[Delivery ID]:[Quantity delivered]],3,FALSE)</f>
        <v>0.82998338870431898</v>
      </c>
      <c r="V1390" s="34" t="e">
        <f>VLOOKUP(Allocation[[#This Row],[SAP Contract number]],Shipments[[SAP Contract number]:[Contracted container weight]],2,FALSE)</f>
        <v>#N/A</v>
      </c>
      <c r="W1390" s="34" t="e">
        <f>VLOOKUP(Allocation[[#This Row],[SAP Contract number]],Shipments[[SAP Contract number]:[AAA Premium USD]],24,FALSE)</f>
        <v>#N/A</v>
      </c>
      <c r="X1390" s="34" t="e">
        <f>VLOOKUP(Allocation[[#This Row],[SAP Contract number]],Shipments[[SAP Contract number]:[RA Premium USD]],25,FALSE)</f>
        <v>#N/A</v>
      </c>
      <c r="Y1390" s="38">
        <f>Allocation[[#This Row],[Quantity Processed]]/Allocation[[#This Row],[Quantity allocated]]</f>
        <v>3.0222222222222221</v>
      </c>
      <c r="Z1390" s="34" t="b">
        <f>Allocation[[#This Row],[Quantity allocated]]&lt;=Allocation[[#This Row],[Quantity Processed]]</f>
        <v>1</v>
      </c>
    </row>
    <row r="1391" spans="1:26">
      <c r="A1391" s="247" t="s">
        <v>467</v>
      </c>
      <c r="B1391" s="210" t="s">
        <v>68</v>
      </c>
      <c r="C1391" s="254" t="s">
        <v>1488</v>
      </c>
      <c r="D1391" s="255">
        <v>27</v>
      </c>
      <c r="E1391" s="211" t="s">
        <v>1890</v>
      </c>
      <c r="F1391" s="212">
        <v>43587</v>
      </c>
      <c r="G1391" s="213">
        <v>2.91</v>
      </c>
      <c r="H1391" s="256">
        <v>9</v>
      </c>
      <c r="I1391" s="214">
        <v>1453735</v>
      </c>
      <c r="J1391" s="215">
        <v>19175</v>
      </c>
      <c r="K1391" s="212">
        <v>43595</v>
      </c>
      <c r="L1391" s="211" t="s">
        <v>1892</v>
      </c>
      <c r="M1391" s="216">
        <v>4615506885</v>
      </c>
      <c r="N1391" s="212">
        <v>43614</v>
      </c>
      <c r="O1391" s="217">
        <v>3.9746999999999999</v>
      </c>
      <c r="P1391" s="219"/>
      <c r="Q1391" s="34">
        <f>SUMIF(Allocation[Delivery ID],Allocation[[#This Row],[Delivery ID]],Allocation[Quantity Processed])</f>
        <v>10930</v>
      </c>
      <c r="R1391" s="61">
        <f>Allocation[[#This Row],[Total volume used]]/VLOOKUP(Allocation[[#This Row],[Delivery ID]],Delivery[[Delivery ID]:[Quantity delivered]],3,FALSE)</f>
        <v>1</v>
      </c>
      <c r="S1391" s="34">
        <f>Allocation[[#This Row],[Quantity Processed]]/Allocation[[#This Row],[Dilution rate]]</f>
        <v>9.2783505154639165</v>
      </c>
      <c r="T1391" s="59">
        <f>SUMIF(Allocation[Delivery ID],Allocation[[#This Row],[Delivery ID]],Allocation[Quantity allocated])/SUMIF(Allocation[Delivery ID],Allocation[[#This Row],[Delivery ID]],Allocation[Volume available (kg)])</f>
        <v>0.87557825439364689</v>
      </c>
      <c r="U1391" s="61">
        <f>Allocation[[#This Row],[Total volume used]]/VLOOKUP(Allocation[[#This Row],[Delivery ID]],Delivery[[Delivery ID]:[Quantity delivered]],3,FALSE)</f>
        <v>1</v>
      </c>
      <c r="V1391" s="34" t="e">
        <f>VLOOKUP(Allocation[[#This Row],[SAP Contract number]],Shipments[[SAP Contract number]:[Contracted container weight]],2,FALSE)</f>
        <v>#N/A</v>
      </c>
      <c r="W1391" s="34" t="e">
        <f>VLOOKUP(Allocation[[#This Row],[SAP Contract number]],Shipments[[SAP Contract number]:[AAA Premium USD]],24,FALSE)</f>
        <v>#N/A</v>
      </c>
      <c r="X1391" s="34" t="e">
        <f>VLOOKUP(Allocation[[#This Row],[SAP Contract number]],Shipments[[SAP Contract number]:[RA Premium USD]],25,FALSE)</f>
        <v>#N/A</v>
      </c>
      <c r="Y1391" s="38">
        <f>Allocation[[#This Row],[Quantity Processed]]/Allocation[[#This Row],[Quantity allocated]]</f>
        <v>3</v>
      </c>
      <c r="Z1391" s="34" t="b">
        <f>Allocation[[#This Row],[Quantity allocated]]&lt;=Allocation[[#This Row],[Quantity Processed]]</f>
        <v>1</v>
      </c>
    </row>
    <row r="1392" spans="1:26">
      <c r="A1392" s="247" t="s">
        <v>467</v>
      </c>
      <c r="B1392" s="210" t="s">
        <v>68</v>
      </c>
      <c r="C1392" s="254" t="s">
        <v>1489</v>
      </c>
      <c r="D1392" s="255">
        <v>139</v>
      </c>
      <c r="E1392" s="211" t="s">
        <v>1890</v>
      </c>
      <c r="F1392" s="212">
        <v>43587</v>
      </c>
      <c r="G1392" s="213">
        <v>2.91</v>
      </c>
      <c r="H1392" s="256">
        <v>46</v>
      </c>
      <c r="I1392" s="214">
        <v>1453735</v>
      </c>
      <c r="J1392" s="215">
        <v>19175</v>
      </c>
      <c r="K1392" s="212">
        <v>43595</v>
      </c>
      <c r="L1392" s="211" t="s">
        <v>1892</v>
      </c>
      <c r="M1392" s="216">
        <v>4615506885</v>
      </c>
      <c r="N1392" s="212">
        <v>43614</v>
      </c>
      <c r="O1392" s="217">
        <v>3.9746999999999999</v>
      </c>
      <c r="P1392" s="219"/>
      <c r="Q1392" s="34">
        <f>SUMIF(Allocation[Delivery ID],Allocation[[#This Row],[Delivery ID]],Allocation[Quantity Processed])</f>
        <v>10273</v>
      </c>
      <c r="R1392" s="61">
        <f>Allocation[[#This Row],[Total volume used]]/VLOOKUP(Allocation[[#This Row],[Delivery ID]],Delivery[[Delivery ID]:[Quantity delivered]],3,FALSE)</f>
        <v>0.82646822204344328</v>
      </c>
      <c r="S1392" s="34">
        <f>Allocation[[#This Row],[Quantity Processed]]/Allocation[[#This Row],[Dilution rate]]</f>
        <v>47.766323024054984</v>
      </c>
      <c r="T1392" s="59">
        <f>SUMIF(Allocation[Delivery ID],Allocation[[#This Row],[Delivery ID]],Allocation[Quantity allocated])/SUMIF(Allocation[Delivery ID],Allocation[[#This Row],[Delivery ID]],Allocation[Volume available (kg)])</f>
        <v>0.87656526894882802</v>
      </c>
      <c r="U1392" s="61">
        <f>Allocation[[#This Row],[Total volume used]]/VLOOKUP(Allocation[[#This Row],[Delivery ID]],Delivery[[Delivery ID]:[Quantity delivered]],3,FALSE)</f>
        <v>0.82646822204344328</v>
      </c>
      <c r="V1392" s="34" t="e">
        <f>VLOOKUP(Allocation[[#This Row],[SAP Contract number]],Shipments[[SAP Contract number]:[Contracted container weight]],2,FALSE)</f>
        <v>#N/A</v>
      </c>
      <c r="W1392" s="34" t="e">
        <f>VLOOKUP(Allocation[[#This Row],[SAP Contract number]],Shipments[[SAP Contract number]:[AAA Premium USD]],24,FALSE)</f>
        <v>#N/A</v>
      </c>
      <c r="X1392" s="34" t="e">
        <f>VLOOKUP(Allocation[[#This Row],[SAP Contract number]],Shipments[[SAP Contract number]:[RA Premium USD]],25,FALSE)</f>
        <v>#N/A</v>
      </c>
      <c r="Y1392" s="38">
        <f>Allocation[[#This Row],[Quantity Processed]]/Allocation[[#This Row],[Quantity allocated]]</f>
        <v>3.0217391304347827</v>
      </c>
      <c r="Z1392" s="34" t="b">
        <f>Allocation[[#This Row],[Quantity allocated]]&lt;=Allocation[[#This Row],[Quantity Processed]]</f>
        <v>1</v>
      </c>
    </row>
    <row r="1393" spans="1:26">
      <c r="A1393" s="247" t="s">
        <v>467</v>
      </c>
      <c r="B1393" s="210" t="s">
        <v>68</v>
      </c>
      <c r="C1393" s="254" t="s">
        <v>1490</v>
      </c>
      <c r="D1393" s="255">
        <v>121</v>
      </c>
      <c r="E1393" s="211" t="s">
        <v>1890</v>
      </c>
      <c r="F1393" s="212">
        <v>43587</v>
      </c>
      <c r="G1393" s="213">
        <v>2.91</v>
      </c>
      <c r="H1393" s="256">
        <v>40</v>
      </c>
      <c r="I1393" s="214">
        <v>1453735</v>
      </c>
      <c r="J1393" s="215">
        <v>19175</v>
      </c>
      <c r="K1393" s="212">
        <v>43595</v>
      </c>
      <c r="L1393" s="211" t="s">
        <v>1892</v>
      </c>
      <c r="M1393" s="216">
        <v>4615506885</v>
      </c>
      <c r="N1393" s="212">
        <v>43614</v>
      </c>
      <c r="O1393" s="217">
        <v>3.9746999999999999</v>
      </c>
      <c r="P1393" s="219"/>
      <c r="Q1393" s="34">
        <f>SUMIF(Allocation[Delivery ID],Allocation[[#This Row],[Delivery ID]],Allocation[Quantity Processed])</f>
        <v>11588</v>
      </c>
      <c r="R1393" s="61">
        <f>Allocation[[#This Row],[Total volume used]]/VLOOKUP(Allocation[[#This Row],[Delivery ID]],Delivery[[Delivery ID]:[Quantity delivered]],3,FALSE)</f>
        <v>0.87193378480060191</v>
      </c>
      <c r="S1393" s="34">
        <f>Allocation[[#This Row],[Quantity Processed]]/Allocation[[#This Row],[Dilution rate]]</f>
        <v>41.580756013745706</v>
      </c>
      <c r="T1393" s="59">
        <f>SUMIF(Allocation[Delivery ID],Allocation[[#This Row],[Delivery ID]],Allocation[Quantity allocated])/SUMIF(Allocation[Delivery ID],Allocation[[#This Row],[Delivery ID]],Allocation[Volume available (kg)])</f>
        <v>0.8763399236213063</v>
      </c>
      <c r="U1393" s="61">
        <f>Allocation[[#This Row],[Total volume used]]/VLOOKUP(Allocation[[#This Row],[Delivery ID]],Delivery[[Delivery ID]:[Quantity delivered]],3,FALSE)</f>
        <v>0.87193378480060191</v>
      </c>
      <c r="V1393" s="34" t="e">
        <f>VLOOKUP(Allocation[[#This Row],[SAP Contract number]],Shipments[[SAP Contract number]:[Contracted container weight]],2,FALSE)</f>
        <v>#N/A</v>
      </c>
      <c r="W1393" s="34" t="e">
        <f>VLOOKUP(Allocation[[#This Row],[SAP Contract number]],Shipments[[SAP Contract number]:[AAA Premium USD]],24,FALSE)</f>
        <v>#N/A</v>
      </c>
      <c r="X1393" s="34" t="e">
        <f>VLOOKUP(Allocation[[#This Row],[SAP Contract number]],Shipments[[SAP Contract number]:[RA Premium USD]],25,FALSE)</f>
        <v>#N/A</v>
      </c>
      <c r="Y1393" s="38">
        <f>Allocation[[#This Row],[Quantity Processed]]/Allocation[[#This Row],[Quantity allocated]]</f>
        <v>3.0249999999999999</v>
      </c>
      <c r="Z1393" s="34" t="b">
        <f>Allocation[[#This Row],[Quantity allocated]]&lt;=Allocation[[#This Row],[Quantity Processed]]</f>
        <v>1</v>
      </c>
    </row>
    <row r="1394" spans="1:26">
      <c r="A1394" s="247" t="s">
        <v>467</v>
      </c>
      <c r="B1394" s="210" t="s">
        <v>68</v>
      </c>
      <c r="C1394" s="254" t="s">
        <v>597</v>
      </c>
      <c r="D1394" s="255">
        <v>43</v>
      </c>
      <c r="E1394" s="211" t="s">
        <v>1890</v>
      </c>
      <c r="F1394" s="212">
        <v>43587</v>
      </c>
      <c r="G1394" s="213">
        <v>2.91</v>
      </c>
      <c r="H1394" s="256">
        <v>21</v>
      </c>
      <c r="I1394" s="214">
        <v>1453735</v>
      </c>
      <c r="J1394" s="215">
        <v>19175</v>
      </c>
      <c r="K1394" s="212">
        <v>43595</v>
      </c>
      <c r="L1394" s="211" t="s">
        <v>1892</v>
      </c>
      <c r="M1394" s="216">
        <v>4615506885</v>
      </c>
      <c r="N1394" s="212">
        <v>43614</v>
      </c>
      <c r="O1394" s="217">
        <v>3.9746999999999999</v>
      </c>
      <c r="P1394" s="219"/>
      <c r="Q1394" s="34">
        <f>SUMIF(Allocation[Delivery ID],Allocation[[#This Row],[Delivery ID]],Allocation[Quantity Processed])</f>
        <v>9699</v>
      </c>
      <c r="R1394" s="61">
        <f>Allocation[[#This Row],[Total volume used]]/VLOOKUP(Allocation[[#This Row],[Delivery ID]],Delivery[[Delivery ID]:[Quantity delivered]],3,FALSE)</f>
        <v>0.4747430249632893</v>
      </c>
      <c r="S1394" s="34">
        <f>Allocation[[#This Row],[Quantity Processed]]/Allocation[[#This Row],[Dilution rate]]</f>
        <v>14.776632302405497</v>
      </c>
      <c r="T1394" s="59">
        <f>SUMIF(Allocation[Delivery ID],Allocation[[#This Row],[Delivery ID]],Allocation[Quantity allocated])/SUMIF(Allocation[Delivery ID],Allocation[[#This Row],[Delivery ID]],Allocation[Volume available (kg)])</f>
        <v>1.0809257549804461</v>
      </c>
      <c r="U1394" s="61">
        <f>Allocation[[#This Row],[Total volume used]]/VLOOKUP(Allocation[[#This Row],[Delivery ID]],Delivery[[Delivery ID]:[Quantity delivered]],3,FALSE)</f>
        <v>0.4747430249632893</v>
      </c>
      <c r="V1394" s="34" t="e">
        <f>VLOOKUP(Allocation[[#This Row],[SAP Contract number]],Shipments[[SAP Contract number]:[Contracted container weight]],2,FALSE)</f>
        <v>#N/A</v>
      </c>
      <c r="W1394" s="34" t="e">
        <f>VLOOKUP(Allocation[[#This Row],[SAP Contract number]],Shipments[[SAP Contract number]:[AAA Premium USD]],24,FALSE)</f>
        <v>#N/A</v>
      </c>
      <c r="X1394" s="34" t="e">
        <f>VLOOKUP(Allocation[[#This Row],[SAP Contract number]],Shipments[[SAP Contract number]:[RA Premium USD]],25,FALSE)</f>
        <v>#N/A</v>
      </c>
      <c r="Y1394" s="38">
        <f>Allocation[[#This Row],[Quantity Processed]]/Allocation[[#This Row],[Quantity allocated]]</f>
        <v>2.0476190476190474</v>
      </c>
      <c r="Z1394" s="34" t="b">
        <f>Allocation[[#This Row],[Quantity allocated]]&lt;=Allocation[[#This Row],[Quantity Processed]]</f>
        <v>1</v>
      </c>
    </row>
    <row r="1395" spans="1:26">
      <c r="A1395" s="247" t="s">
        <v>467</v>
      </c>
      <c r="B1395" s="210" t="s">
        <v>68</v>
      </c>
      <c r="C1395" s="254" t="s">
        <v>1553</v>
      </c>
      <c r="D1395" s="255">
        <v>349</v>
      </c>
      <c r="E1395" s="211" t="s">
        <v>1890</v>
      </c>
      <c r="F1395" s="212">
        <v>43587</v>
      </c>
      <c r="G1395" s="213">
        <v>2.91</v>
      </c>
      <c r="H1395" s="256">
        <v>157</v>
      </c>
      <c r="I1395" s="214">
        <v>1453735</v>
      </c>
      <c r="J1395" s="215">
        <v>19175</v>
      </c>
      <c r="K1395" s="212">
        <v>43595</v>
      </c>
      <c r="L1395" s="211" t="s">
        <v>1892</v>
      </c>
      <c r="M1395" s="216">
        <v>4615506885</v>
      </c>
      <c r="N1395" s="212">
        <v>43614</v>
      </c>
      <c r="O1395" s="217">
        <v>3.9746999999999999</v>
      </c>
      <c r="P1395" s="219"/>
      <c r="Q1395" s="34">
        <f>SUMIF(Allocation[Delivery ID],Allocation[[#This Row],[Delivery ID]],Allocation[Quantity Processed])</f>
        <v>349</v>
      </c>
      <c r="R1395" s="61">
        <f>Allocation[[#This Row],[Total volume used]]/VLOOKUP(Allocation[[#This Row],[Delivery ID]],Delivery[[Delivery ID]:[Quantity delivered]],3,FALSE)</f>
        <v>0.5208955223880597</v>
      </c>
      <c r="S1395" s="34">
        <f>Allocation[[#This Row],[Quantity Processed]]/Allocation[[#This Row],[Dilution rate]]</f>
        <v>119.93127147766323</v>
      </c>
      <c r="T1395" s="59">
        <f>SUMIF(Allocation[Delivery ID],Allocation[[#This Row],[Delivery ID]],Allocation[Quantity allocated])/SUMIF(Allocation[Delivery ID],Allocation[[#This Row],[Delivery ID]],Allocation[Volume available (kg)])</f>
        <v>1.309083094555874</v>
      </c>
      <c r="U1395" s="61">
        <f>Allocation[[#This Row],[Total volume used]]/VLOOKUP(Allocation[[#This Row],[Delivery ID]],Delivery[[Delivery ID]:[Quantity delivered]],3,FALSE)</f>
        <v>0.5208955223880597</v>
      </c>
      <c r="V1395" s="34" t="e">
        <f>VLOOKUP(Allocation[[#This Row],[SAP Contract number]],Shipments[[SAP Contract number]:[Contracted container weight]],2,FALSE)</f>
        <v>#N/A</v>
      </c>
      <c r="W1395" s="34" t="e">
        <f>VLOOKUP(Allocation[[#This Row],[SAP Contract number]],Shipments[[SAP Contract number]:[AAA Premium USD]],24,FALSE)</f>
        <v>#N/A</v>
      </c>
      <c r="X1395" s="34" t="e">
        <f>VLOOKUP(Allocation[[#This Row],[SAP Contract number]],Shipments[[SAP Contract number]:[RA Premium USD]],25,FALSE)</f>
        <v>#N/A</v>
      </c>
      <c r="Y1395" s="38">
        <f>Allocation[[#This Row],[Quantity Processed]]/Allocation[[#This Row],[Quantity allocated]]</f>
        <v>2.2229299363057327</v>
      </c>
      <c r="Z1395" s="34" t="b">
        <f>Allocation[[#This Row],[Quantity allocated]]&lt;=Allocation[[#This Row],[Quantity Processed]]</f>
        <v>1</v>
      </c>
    </row>
    <row r="1396" spans="1:26">
      <c r="A1396" s="247" t="s">
        <v>467</v>
      </c>
      <c r="B1396" s="210" t="s">
        <v>68</v>
      </c>
      <c r="C1396" s="254" t="s">
        <v>1555</v>
      </c>
      <c r="D1396" s="255">
        <v>7909</v>
      </c>
      <c r="E1396" s="211" t="s">
        <v>1890</v>
      </c>
      <c r="F1396" s="212">
        <v>43587</v>
      </c>
      <c r="G1396" s="213">
        <v>2.91</v>
      </c>
      <c r="H1396" s="256">
        <v>3559</v>
      </c>
      <c r="I1396" s="214">
        <v>1453735</v>
      </c>
      <c r="J1396" s="215">
        <v>19175</v>
      </c>
      <c r="K1396" s="212">
        <v>43595</v>
      </c>
      <c r="L1396" s="211" t="s">
        <v>1892</v>
      </c>
      <c r="M1396" s="216">
        <v>4615506885</v>
      </c>
      <c r="N1396" s="212">
        <v>43614</v>
      </c>
      <c r="O1396" s="217">
        <v>3.9746999999999999</v>
      </c>
      <c r="P1396" s="219"/>
      <c r="Q1396" s="34">
        <f>SUMIF(Allocation[Delivery ID],Allocation[[#This Row],[Delivery ID]],Allocation[Quantity Processed])</f>
        <v>7909</v>
      </c>
      <c r="R1396" s="61">
        <f>Allocation[[#This Row],[Total volume used]]/VLOOKUP(Allocation[[#This Row],[Delivery ID]],Delivery[[Delivery ID]:[Quantity delivered]],3,FALSE)</f>
        <v>0.52726666666666666</v>
      </c>
      <c r="S1396" s="34">
        <f>Allocation[[#This Row],[Quantity Processed]]/Allocation[[#This Row],[Dilution rate]]</f>
        <v>2717.86941580756</v>
      </c>
      <c r="T1396" s="59">
        <f>SUMIF(Allocation[Delivery ID],Allocation[[#This Row],[Delivery ID]],Allocation[Quantity allocated])/SUMIF(Allocation[Delivery ID],Allocation[[#This Row],[Delivery ID]],Allocation[Volume available (kg)])</f>
        <v>1.3094816032368188</v>
      </c>
      <c r="U1396" s="61">
        <f>Allocation[[#This Row],[Total volume used]]/VLOOKUP(Allocation[[#This Row],[Delivery ID]],Delivery[[Delivery ID]:[Quantity delivered]],3,FALSE)</f>
        <v>0.52726666666666666</v>
      </c>
      <c r="V1396" s="34" t="e">
        <f>VLOOKUP(Allocation[[#This Row],[SAP Contract number]],Shipments[[SAP Contract number]:[Contracted container weight]],2,FALSE)</f>
        <v>#N/A</v>
      </c>
      <c r="W1396" s="34" t="e">
        <f>VLOOKUP(Allocation[[#This Row],[SAP Contract number]],Shipments[[SAP Contract number]:[AAA Premium USD]],24,FALSE)</f>
        <v>#N/A</v>
      </c>
      <c r="X1396" s="34" t="e">
        <f>VLOOKUP(Allocation[[#This Row],[SAP Contract number]],Shipments[[SAP Contract number]:[RA Premium USD]],25,FALSE)</f>
        <v>#N/A</v>
      </c>
      <c r="Y1396" s="38">
        <f>Allocation[[#This Row],[Quantity Processed]]/Allocation[[#This Row],[Quantity allocated]]</f>
        <v>2.2222534419780837</v>
      </c>
      <c r="Z1396" s="34" t="b">
        <f>Allocation[[#This Row],[Quantity allocated]]&lt;=Allocation[[#This Row],[Quantity Processed]]</f>
        <v>1</v>
      </c>
    </row>
    <row r="1397" spans="1:26">
      <c r="A1397" s="247" t="s">
        <v>467</v>
      </c>
      <c r="B1397" s="210" t="s">
        <v>68</v>
      </c>
      <c r="C1397" s="254" t="s">
        <v>1556</v>
      </c>
      <c r="D1397" s="255">
        <v>633</v>
      </c>
      <c r="E1397" s="211" t="s">
        <v>1890</v>
      </c>
      <c r="F1397" s="212">
        <v>43587</v>
      </c>
      <c r="G1397" s="213">
        <v>2.91</v>
      </c>
      <c r="H1397" s="256">
        <v>285</v>
      </c>
      <c r="I1397" s="214">
        <v>1453735</v>
      </c>
      <c r="J1397" s="215">
        <v>19175</v>
      </c>
      <c r="K1397" s="212">
        <v>43595</v>
      </c>
      <c r="L1397" s="211" t="s">
        <v>1892</v>
      </c>
      <c r="M1397" s="216">
        <v>4615506885</v>
      </c>
      <c r="N1397" s="212">
        <v>43614</v>
      </c>
      <c r="O1397" s="217">
        <v>3.9746999999999999</v>
      </c>
      <c r="P1397" s="219"/>
      <c r="Q1397" s="34">
        <f>SUMIF(Allocation[Delivery ID],Allocation[[#This Row],[Delivery ID]],Allocation[Quantity Processed])</f>
        <v>633</v>
      </c>
      <c r="R1397" s="61">
        <f>Allocation[[#This Row],[Total volume used]]/VLOOKUP(Allocation[[#This Row],[Delivery ID]],Delivery[[Delivery ID]:[Quantity delivered]],3,FALSE)</f>
        <v>0.51885245901639343</v>
      </c>
      <c r="S1397" s="34">
        <f>Allocation[[#This Row],[Quantity Processed]]/Allocation[[#This Row],[Dilution rate]]</f>
        <v>217.52577319587627</v>
      </c>
      <c r="T1397" s="59">
        <f>SUMIF(Allocation[Delivery ID],Allocation[[#This Row],[Delivery ID]],Allocation[Quantity allocated])/SUMIF(Allocation[Delivery ID],Allocation[[#This Row],[Delivery ID]],Allocation[Volume available (kg)])</f>
        <v>1.3101895734597158</v>
      </c>
      <c r="U1397" s="61">
        <f>Allocation[[#This Row],[Total volume used]]/VLOOKUP(Allocation[[#This Row],[Delivery ID]],Delivery[[Delivery ID]:[Quantity delivered]],3,FALSE)</f>
        <v>0.51885245901639343</v>
      </c>
      <c r="V1397" s="34" t="e">
        <f>VLOOKUP(Allocation[[#This Row],[SAP Contract number]],Shipments[[SAP Contract number]:[Contracted container weight]],2,FALSE)</f>
        <v>#N/A</v>
      </c>
      <c r="W1397" s="34" t="e">
        <f>VLOOKUP(Allocation[[#This Row],[SAP Contract number]],Shipments[[SAP Contract number]:[AAA Premium USD]],24,FALSE)</f>
        <v>#N/A</v>
      </c>
      <c r="X1397" s="34" t="e">
        <f>VLOOKUP(Allocation[[#This Row],[SAP Contract number]],Shipments[[SAP Contract number]:[RA Premium USD]],25,FALSE)</f>
        <v>#N/A</v>
      </c>
      <c r="Y1397" s="38">
        <f>Allocation[[#This Row],[Quantity Processed]]/Allocation[[#This Row],[Quantity allocated]]</f>
        <v>2.2210526315789472</v>
      </c>
      <c r="Z1397" s="34" t="b">
        <f>Allocation[[#This Row],[Quantity allocated]]&lt;=Allocation[[#This Row],[Quantity Processed]]</f>
        <v>1</v>
      </c>
    </row>
    <row r="1398" spans="1:26">
      <c r="A1398" s="247" t="s">
        <v>467</v>
      </c>
      <c r="B1398" s="210" t="s">
        <v>68</v>
      </c>
      <c r="C1398" s="254" t="s">
        <v>1557</v>
      </c>
      <c r="D1398" s="255">
        <v>3103</v>
      </c>
      <c r="E1398" s="211" t="s">
        <v>1890</v>
      </c>
      <c r="F1398" s="212">
        <v>43587</v>
      </c>
      <c r="G1398" s="213">
        <v>2.91</v>
      </c>
      <c r="H1398" s="256">
        <v>931</v>
      </c>
      <c r="I1398" s="214">
        <v>1453735</v>
      </c>
      <c r="J1398" s="215">
        <v>19175</v>
      </c>
      <c r="K1398" s="212">
        <v>43595</v>
      </c>
      <c r="L1398" s="211" t="s">
        <v>1892</v>
      </c>
      <c r="M1398" s="216">
        <v>4615506885</v>
      </c>
      <c r="N1398" s="212">
        <v>43614</v>
      </c>
      <c r="O1398" s="217">
        <v>3.9746999999999999</v>
      </c>
      <c r="P1398" s="219"/>
      <c r="Q1398" s="34">
        <f>SUMIF(Allocation[Delivery ID],Allocation[[#This Row],[Delivery ID]],Allocation[Quantity Processed])</f>
        <v>15656</v>
      </c>
      <c r="R1398" s="61">
        <f>Allocation[[#This Row],[Total volume used]]/VLOOKUP(Allocation[[#This Row],[Delivery ID]],Delivery[[Delivery ID]:[Quantity delivered]],3,FALSE)</f>
        <v>0.92365781710914452</v>
      </c>
      <c r="S1398" s="34">
        <f>Allocation[[#This Row],[Quantity Processed]]/Allocation[[#This Row],[Dilution rate]]</f>
        <v>1066.3230240549829</v>
      </c>
      <c r="T1398" s="59">
        <f>SUMIF(Allocation[Delivery ID],Allocation[[#This Row],[Delivery ID]],Allocation[Quantity allocated])/SUMIF(Allocation[Delivery ID],Allocation[[#This Row],[Delivery ID]],Allocation[Volume available (kg)])</f>
        <v>0.83466096971686932</v>
      </c>
      <c r="U1398" s="61">
        <f>Allocation[[#This Row],[Total volume used]]/VLOOKUP(Allocation[[#This Row],[Delivery ID]],Delivery[[Delivery ID]:[Quantity delivered]],3,FALSE)</f>
        <v>0.92365781710914452</v>
      </c>
      <c r="V1398" s="34" t="e">
        <f>VLOOKUP(Allocation[[#This Row],[SAP Contract number]],Shipments[[SAP Contract number]:[Contracted container weight]],2,FALSE)</f>
        <v>#N/A</v>
      </c>
      <c r="W1398" s="34" t="e">
        <f>VLOOKUP(Allocation[[#This Row],[SAP Contract number]],Shipments[[SAP Contract number]:[AAA Premium USD]],24,FALSE)</f>
        <v>#N/A</v>
      </c>
      <c r="X1398" s="34" t="e">
        <f>VLOOKUP(Allocation[[#This Row],[SAP Contract number]],Shipments[[SAP Contract number]:[RA Premium USD]],25,FALSE)</f>
        <v>#N/A</v>
      </c>
      <c r="Y1398" s="38">
        <f>Allocation[[#This Row],[Quantity Processed]]/Allocation[[#This Row],[Quantity allocated]]</f>
        <v>3.3329752953813103</v>
      </c>
      <c r="Z1398" s="34" t="b">
        <f>Allocation[[#This Row],[Quantity allocated]]&lt;=Allocation[[#This Row],[Quantity Processed]]</f>
        <v>1</v>
      </c>
    </row>
    <row r="1399" spans="1:26">
      <c r="A1399" s="247" t="s">
        <v>467</v>
      </c>
      <c r="B1399" s="210" t="s">
        <v>68</v>
      </c>
      <c r="C1399" s="254" t="s">
        <v>1557</v>
      </c>
      <c r="D1399" s="255">
        <v>5117</v>
      </c>
      <c r="E1399" s="211" t="s">
        <v>1890</v>
      </c>
      <c r="F1399" s="212">
        <v>43587</v>
      </c>
      <c r="G1399" s="213">
        <v>2.91</v>
      </c>
      <c r="H1399" s="256">
        <v>1535</v>
      </c>
      <c r="I1399" s="214">
        <v>1453736</v>
      </c>
      <c r="J1399" s="215">
        <v>19175</v>
      </c>
      <c r="K1399" s="212">
        <v>43595</v>
      </c>
      <c r="L1399" s="211" t="s">
        <v>1893</v>
      </c>
      <c r="M1399" s="216">
        <v>4615506885</v>
      </c>
      <c r="N1399" s="212">
        <v>43614</v>
      </c>
      <c r="O1399" s="217">
        <v>3.9746999999999999</v>
      </c>
      <c r="P1399" s="219"/>
      <c r="Q1399" s="34">
        <f>SUMIF(Allocation[Delivery ID],Allocation[[#This Row],[Delivery ID]],Allocation[Quantity Processed])</f>
        <v>15656</v>
      </c>
      <c r="R1399" s="61">
        <f>Allocation[[#This Row],[Total volume used]]/VLOOKUP(Allocation[[#This Row],[Delivery ID]],Delivery[[Delivery ID]:[Quantity delivered]],3,FALSE)</f>
        <v>0.92365781710914452</v>
      </c>
      <c r="S1399" s="34">
        <f>Allocation[[#This Row],[Quantity Processed]]/Allocation[[#This Row],[Dilution rate]]</f>
        <v>1758.4192439862543</v>
      </c>
      <c r="T1399" s="59">
        <f>SUMIF(Allocation[Delivery ID],Allocation[[#This Row],[Delivery ID]],Allocation[Quantity allocated])/SUMIF(Allocation[Delivery ID],Allocation[[#This Row],[Delivery ID]],Allocation[Volume available (kg)])</f>
        <v>0.83466096971686932</v>
      </c>
      <c r="U1399" s="61">
        <f>Allocation[[#This Row],[Total volume used]]/VLOOKUP(Allocation[[#This Row],[Delivery ID]],Delivery[[Delivery ID]:[Quantity delivered]],3,FALSE)</f>
        <v>0.92365781710914452</v>
      </c>
      <c r="V1399" s="34" t="e">
        <f>VLOOKUP(Allocation[[#This Row],[SAP Contract number]],Shipments[[SAP Contract number]:[Contracted container weight]],2,FALSE)</f>
        <v>#N/A</v>
      </c>
      <c r="W1399" s="34" t="e">
        <f>VLOOKUP(Allocation[[#This Row],[SAP Contract number]],Shipments[[SAP Contract number]:[AAA Premium USD]],24,FALSE)</f>
        <v>#N/A</v>
      </c>
      <c r="X1399" s="34" t="e">
        <f>VLOOKUP(Allocation[[#This Row],[SAP Contract number]],Shipments[[SAP Contract number]:[RA Premium USD]],25,FALSE)</f>
        <v>#N/A</v>
      </c>
      <c r="Y1399" s="38">
        <f>Allocation[[#This Row],[Quantity Processed]]/Allocation[[#This Row],[Quantity allocated]]</f>
        <v>3.3335504885993483</v>
      </c>
      <c r="Z1399" s="34" t="b">
        <f>Allocation[[#This Row],[Quantity allocated]]&lt;=Allocation[[#This Row],[Quantity Processed]]</f>
        <v>1</v>
      </c>
    </row>
    <row r="1400" spans="1:26">
      <c r="A1400" s="247" t="s">
        <v>467</v>
      </c>
      <c r="B1400" s="210" t="s">
        <v>68</v>
      </c>
      <c r="C1400" s="254" t="s">
        <v>1558</v>
      </c>
      <c r="D1400" s="255">
        <v>16820</v>
      </c>
      <c r="E1400" s="211" t="s">
        <v>1890</v>
      </c>
      <c r="F1400" s="212">
        <v>43587</v>
      </c>
      <c r="G1400" s="213">
        <v>2.91</v>
      </c>
      <c r="H1400" s="256">
        <v>5046</v>
      </c>
      <c r="I1400" s="214">
        <v>1453736</v>
      </c>
      <c r="J1400" s="215">
        <v>19175</v>
      </c>
      <c r="K1400" s="212">
        <v>43595</v>
      </c>
      <c r="L1400" s="211" t="s">
        <v>1893</v>
      </c>
      <c r="M1400" s="216">
        <v>4615506885</v>
      </c>
      <c r="N1400" s="212">
        <v>43614</v>
      </c>
      <c r="O1400" s="217">
        <v>3.9746999999999999</v>
      </c>
      <c r="P1400" s="219"/>
      <c r="Q1400" s="34">
        <f>SUMIF(Allocation[Delivery ID],Allocation[[#This Row],[Delivery ID]],Allocation[Quantity Processed])</f>
        <v>16820</v>
      </c>
      <c r="R1400" s="61">
        <f>Allocation[[#This Row],[Total volume used]]/VLOOKUP(Allocation[[#This Row],[Delivery ID]],Delivery[[Delivery ID]:[Quantity delivered]],3,FALSE)</f>
        <v>0.7870846981750117</v>
      </c>
      <c r="S1400" s="34">
        <f>Allocation[[#This Row],[Quantity Processed]]/Allocation[[#This Row],[Dilution rate]]</f>
        <v>5780.0687285223366</v>
      </c>
      <c r="T1400" s="59">
        <f>SUMIF(Allocation[Delivery ID],Allocation[[#This Row],[Delivery ID]],Allocation[Quantity allocated])/SUMIF(Allocation[Delivery ID],Allocation[[#This Row],[Delivery ID]],Allocation[Volume available (kg)])</f>
        <v>0.873</v>
      </c>
      <c r="U1400" s="61">
        <f>Allocation[[#This Row],[Total volume used]]/VLOOKUP(Allocation[[#This Row],[Delivery ID]],Delivery[[Delivery ID]:[Quantity delivered]],3,FALSE)</f>
        <v>0.7870846981750117</v>
      </c>
      <c r="V1400" s="34" t="e">
        <f>VLOOKUP(Allocation[[#This Row],[SAP Contract number]],Shipments[[SAP Contract number]:[Contracted container weight]],2,FALSE)</f>
        <v>#N/A</v>
      </c>
      <c r="W1400" s="34" t="e">
        <f>VLOOKUP(Allocation[[#This Row],[SAP Contract number]],Shipments[[SAP Contract number]:[AAA Premium USD]],24,FALSE)</f>
        <v>#N/A</v>
      </c>
      <c r="X1400" s="34" t="e">
        <f>VLOOKUP(Allocation[[#This Row],[SAP Contract number]],Shipments[[SAP Contract number]:[RA Premium USD]],25,FALSE)</f>
        <v>#N/A</v>
      </c>
      <c r="Y1400" s="38">
        <f>Allocation[[#This Row],[Quantity Processed]]/Allocation[[#This Row],[Quantity allocated]]</f>
        <v>3.3333333333333335</v>
      </c>
      <c r="Z1400" s="34" t="b">
        <f>Allocation[[#This Row],[Quantity allocated]]&lt;=Allocation[[#This Row],[Quantity Processed]]</f>
        <v>1</v>
      </c>
    </row>
    <row r="1401" spans="1:26">
      <c r="A1401" s="247" t="s">
        <v>467</v>
      </c>
      <c r="B1401" s="210" t="s">
        <v>68</v>
      </c>
      <c r="C1401" s="254" t="s">
        <v>1561</v>
      </c>
      <c r="D1401" s="255">
        <v>130</v>
      </c>
      <c r="E1401" s="211" t="s">
        <v>1890</v>
      </c>
      <c r="F1401" s="212">
        <v>43587</v>
      </c>
      <c r="G1401" s="213">
        <v>2.91</v>
      </c>
      <c r="H1401" s="256">
        <v>43</v>
      </c>
      <c r="I1401" s="214">
        <v>1453736</v>
      </c>
      <c r="J1401" s="215">
        <v>19175</v>
      </c>
      <c r="K1401" s="212">
        <v>43595</v>
      </c>
      <c r="L1401" s="211" t="s">
        <v>1893</v>
      </c>
      <c r="M1401" s="216">
        <v>4615506885</v>
      </c>
      <c r="N1401" s="212">
        <v>43614</v>
      </c>
      <c r="O1401" s="217">
        <v>3.9746999999999999</v>
      </c>
      <c r="P1401" s="219"/>
      <c r="Q1401" s="34">
        <f>SUMIF(Allocation[Delivery ID],Allocation[[#This Row],[Delivery ID]],Allocation[Quantity Processed])</f>
        <v>130</v>
      </c>
      <c r="R1401" s="61">
        <f>Allocation[[#This Row],[Total volume used]]/VLOOKUP(Allocation[[#This Row],[Delivery ID]],Delivery[[Delivery ID]:[Quantity delivered]],3,FALSE)</f>
        <v>0.68421052631578949</v>
      </c>
      <c r="S1401" s="34">
        <f>Allocation[[#This Row],[Quantity Processed]]/Allocation[[#This Row],[Dilution rate]]</f>
        <v>44.673539518900341</v>
      </c>
      <c r="T1401" s="59">
        <f>SUMIF(Allocation[Delivery ID],Allocation[[#This Row],[Delivery ID]],Allocation[Quantity allocated])/SUMIF(Allocation[Delivery ID],Allocation[[#This Row],[Delivery ID]],Allocation[Volume available (kg)])</f>
        <v>0.96253846153846156</v>
      </c>
      <c r="U1401" s="61">
        <f>Allocation[[#This Row],[Total volume used]]/VLOOKUP(Allocation[[#This Row],[Delivery ID]],Delivery[[Delivery ID]:[Quantity delivered]],3,FALSE)</f>
        <v>0.68421052631578949</v>
      </c>
      <c r="V1401" s="34" t="e">
        <f>VLOOKUP(Allocation[[#This Row],[SAP Contract number]],Shipments[[SAP Contract number]:[Contracted container weight]],2,FALSE)</f>
        <v>#N/A</v>
      </c>
      <c r="W1401" s="34" t="e">
        <f>VLOOKUP(Allocation[[#This Row],[SAP Contract number]],Shipments[[SAP Contract number]:[AAA Premium USD]],24,FALSE)</f>
        <v>#N/A</v>
      </c>
      <c r="X1401" s="34" t="e">
        <f>VLOOKUP(Allocation[[#This Row],[SAP Contract number]],Shipments[[SAP Contract number]:[RA Premium USD]],25,FALSE)</f>
        <v>#N/A</v>
      </c>
      <c r="Y1401" s="38">
        <f>Allocation[[#This Row],[Quantity Processed]]/Allocation[[#This Row],[Quantity allocated]]</f>
        <v>3.0232558139534884</v>
      </c>
      <c r="Z1401" s="34" t="b">
        <f>Allocation[[#This Row],[Quantity allocated]]&lt;=Allocation[[#This Row],[Quantity Processed]]</f>
        <v>1</v>
      </c>
    </row>
    <row r="1402" spans="1:26">
      <c r="A1402" s="247" t="s">
        <v>467</v>
      </c>
      <c r="B1402" s="210" t="s">
        <v>68</v>
      </c>
      <c r="C1402" s="254" t="s">
        <v>1563</v>
      </c>
      <c r="D1402" s="255">
        <v>2164</v>
      </c>
      <c r="E1402" s="211" t="s">
        <v>1890</v>
      </c>
      <c r="F1402" s="212">
        <v>43587</v>
      </c>
      <c r="G1402" s="213">
        <v>2.91</v>
      </c>
      <c r="H1402" s="256">
        <v>714</v>
      </c>
      <c r="I1402" s="214">
        <v>1453736</v>
      </c>
      <c r="J1402" s="215">
        <v>19175</v>
      </c>
      <c r="K1402" s="212">
        <v>43595</v>
      </c>
      <c r="L1402" s="211" t="s">
        <v>1893</v>
      </c>
      <c r="M1402" s="216">
        <v>4615506885</v>
      </c>
      <c r="N1402" s="212">
        <v>43614</v>
      </c>
      <c r="O1402" s="217">
        <v>3.9746999999999999</v>
      </c>
      <c r="P1402" s="219"/>
      <c r="Q1402" s="34">
        <f>SUMIF(Allocation[Delivery ID],Allocation[[#This Row],[Delivery ID]],Allocation[Quantity Processed])</f>
        <v>2164</v>
      </c>
      <c r="R1402" s="61">
        <f>Allocation[[#This Row],[Total volume used]]/VLOOKUP(Allocation[[#This Row],[Delivery ID]],Delivery[[Delivery ID]:[Quantity delivered]],3,FALSE)</f>
        <v>0.72133333333333338</v>
      </c>
      <c r="S1402" s="34">
        <f>Allocation[[#This Row],[Quantity Processed]]/Allocation[[#This Row],[Dilution rate]]</f>
        <v>743.64261168384871</v>
      </c>
      <c r="T1402" s="59">
        <f>SUMIF(Allocation[Delivery ID],Allocation[[#This Row],[Delivery ID]],Allocation[Quantity allocated])/SUMIF(Allocation[Delivery ID],Allocation[[#This Row],[Delivery ID]],Allocation[Volume available (kg)])</f>
        <v>0.96013863216266182</v>
      </c>
      <c r="U1402" s="61">
        <f>Allocation[[#This Row],[Total volume used]]/VLOOKUP(Allocation[[#This Row],[Delivery ID]],Delivery[[Delivery ID]:[Quantity delivered]],3,FALSE)</f>
        <v>0.72133333333333338</v>
      </c>
      <c r="V1402" s="34" t="e">
        <f>VLOOKUP(Allocation[[#This Row],[SAP Contract number]],Shipments[[SAP Contract number]:[Contracted container weight]],2,FALSE)</f>
        <v>#N/A</v>
      </c>
      <c r="W1402" s="34" t="e">
        <f>VLOOKUP(Allocation[[#This Row],[SAP Contract number]],Shipments[[SAP Contract number]:[AAA Premium USD]],24,FALSE)</f>
        <v>#N/A</v>
      </c>
      <c r="X1402" s="34" t="e">
        <f>VLOOKUP(Allocation[[#This Row],[SAP Contract number]],Shipments[[SAP Contract number]:[RA Premium USD]],25,FALSE)</f>
        <v>#N/A</v>
      </c>
      <c r="Y1402" s="38">
        <f>Allocation[[#This Row],[Quantity Processed]]/Allocation[[#This Row],[Quantity allocated]]</f>
        <v>3.0308123249299719</v>
      </c>
      <c r="Z1402" s="34" t="b">
        <f>Allocation[[#This Row],[Quantity allocated]]&lt;=Allocation[[#This Row],[Quantity Processed]]</f>
        <v>1</v>
      </c>
    </row>
    <row r="1403" spans="1:26">
      <c r="A1403" s="247" t="s">
        <v>467</v>
      </c>
      <c r="B1403" s="210" t="s">
        <v>68</v>
      </c>
      <c r="C1403" s="254" t="s">
        <v>1564</v>
      </c>
      <c r="D1403" s="255">
        <v>997</v>
      </c>
      <c r="E1403" s="211" t="s">
        <v>1890</v>
      </c>
      <c r="F1403" s="212">
        <v>43587</v>
      </c>
      <c r="G1403" s="213">
        <v>2.91</v>
      </c>
      <c r="H1403" s="256">
        <v>329</v>
      </c>
      <c r="I1403" s="214">
        <v>1453736</v>
      </c>
      <c r="J1403" s="215">
        <v>19175</v>
      </c>
      <c r="K1403" s="212">
        <v>43595</v>
      </c>
      <c r="L1403" s="211" t="s">
        <v>1893</v>
      </c>
      <c r="M1403" s="216">
        <v>4615506885</v>
      </c>
      <c r="N1403" s="212">
        <v>43614</v>
      </c>
      <c r="O1403" s="217">
        <v>3.9746999999999999</v>
      </c>
      <c r="P1403" s="219"/>
      <c r="Q1403" s="34">
        <f>SUMIF(Allocation[Delivery ID],Allocation[[#This Row],[Delivery ID]],Allocation[Quantity Processed])</f>
        <v>997</v>
      </c>
      <c r="R1403" s="61">
        <f>Allocation[[#This Row],[Total volume used]]/VLOOKUP(Allocation[[#This Row],[Delivery ID]],Delivery[[Delivery ID]:[Quantity delivered]],3,FALSE)</f>
        <v>0.7330882352941176</v>
      </c>
      <c r="S1403" s="34">
        <f>Allocation[[#This Row],[Quantity Processed]]/Allocation[[#This Row],[Dilution rate]]</f>
        <v>342.61168384879721</v>
      </c>
      <c r="T1403" s="59">
        <f>SUMIF(Allocation[Delivery ID],Allocation[[#This Row],[Delivery ID]],Allocation[Quantity allocated])/SUMIF(Allocation[Delivery ID],Allocation[[#This Row],[Delivery ID]],Allocation[Volume available (kg)])</f>
        <v>0.96027081243731205</v>
      </c>
      <c r="U1403" s="61">
        <f>Allocation[[#This Row],[Total volume used]]/VLOOKUP(Allocation[[#This Row],[Delivery ID]],Delivery[[Delivery ID]:[Quantity delivered]],3,FALSE)</f>
        <v>0.7330882352941176</v>
      </c>
      <c r="V1403" s="34" t="e">
        <f>VLOOKUP(Allocation[[#This Row],[SAP Contract number]],Shipments[[SAP Contract number]:[Contracted container weight]],2,FALSE)</f>
        <v>#N/A</v>
      </c>
      <c r="W1403" s="34" t="e">
        <f>VLOOKUP(Allocation[[#This Row],[SAP Contract number]],Shipments[[SAP Contract number]:[AAA Premium USD]],24,FALSE)</f>
        <v>#N/A</v>
      </c>
      <c r="X1403" s="34" t="e">
        <f>VLOOKUP(Allocation[[#This Row],[SAP Contract number]],Shipments[[SAP Contract number]:[RA Premium USD]],25,FALSE)</f>
        <v>#N/A</v>
      </c>
      <c r="Y1403" s="38">
        <f>Allocation[[#This Row],[Quantity Processed]]/Allocation[[#This Row],[Quantity allocated]]</f>
        <v>3.0303951367781155</v>
      </c>
      <c r="Z1403" s="34" t="b">
        <f>Allocation[[#This Row],[Quantity allocated]]&lt;=Allocation[[#This Row],[Quantity Processed]]</f>
        <v>1</v>
      </c>
    </row>
    <row r="1404" spans="1:26">
      <c r="A1404" s="247" t="s">
        <v>467</v>
      </c>
      <c r="B1404" s="210" t="s">
        <v>68</v>
      </c>
      <c r="C1404" s="254" t="s">
        <v>1565</v>
      </c>
      <c r="D1404" s="255">
        <v>11609</v>
      </c>
      <c r="E1404" s="211" t="s">
        <v>1890</v>
      </c>
      <c r="F1404" s="212">
        <v>43587</v>
      </c>
      <c r="G1404" s="213">
        <v>2.91</v>
      </c>
      <c r="H1404" s="256">
        <v>3831</v>
      </c>
      <c r="I1404" s="214">
        <v>1453736</v>
      </c>
      <c r="J1404" s="215">
        <v>19175</v>
      </c>
      <c r="K1404" s="212">
        <v>43595</v>
      </c>
      <c r="L1404" s="211" t="s">
        <v>1893</v>
      </c>
      <c r="M1404" s="216">
        <v>4615506885</v>
      </c>
      <c r="N1404" s="212">
        <v>43614</v>
      </c>
      <c r="O1404" s="217">
        <v>3.9746999999999999</v>
      </c>
      <c r="P1404" s="219"/>
      <c r="Q1404" s="34">
        <f>SUMIF(Allocation[Delivery ID],Allocation[[#This Row],[Delivery ID]],Allocation[Quantity Processed])</f>
        <v>11609</v>
      </c>
      <c r="R1404" s="61">
        <f>Allocation[[#This Row],[Total volume used]]/VLOOKUP(Allocation[[#This Row],[Delivery ID]],Delivery[[Delivery ID]:[Quantity delivered]],3,FALSE)</f>
        <v>0.71528034504004934</v>
      </c>
      <c r="S1404" s="34">
        <f>Allocation[[#This Row],[Quantity Processed]]/Allocation[[#This Row],[Dilution rate]]</f>
        <v>3989.3470790378005</v>
      </c>
      <c r="T1404" s="59">
        <f>SUMIF(Allocation[Delivery ID],Allocation[[#This Row],[Delivery ID]],Allocation[Quantity allocated])/SUMIF(Allocation[Delivery ID],Allocation[[#This Row],[Delivery ID]],Allocation[Volume available (kg)])</f>
        <v>0.96030752002756481</v>
      </c>
      <c r="U1404" s="61">
        <f>Allocation[[#This Row],[Total volume used]]/VLOOKUP(Allocation[[#This Row],[Delivery ID]],Delivery[[Delivery ID]:[Quantity delivered]],3,FALSE)</f>
        <v>0.71528034504004934</v>
      </c>
      <c r="V1404" s="34" t="e">
        <f>VLOOKUP(Allocation[[#This Row],[SAP Contract number]],Shipments[[SAP Contract number]:[Contracted container weight]],2,FALSE)</f>
        <v>#N/A</v>
      </c>
      <c r="W1404" s="34" t="e">
        <f>VLOOKUP(Allocation[[#This Row],[SAP Contract number]],Shipments[[SAP Contract number]:[AAA Premium USD]],24,FALSE)</f>
        <v>#N/A</v>
      </c>
      <c r="X1404" s="34" t="e">
        <f>VLOOKUP(Allocation[[#This Row],[SAP Contract number]],Shipments[[SAP Contract number]:[RA Premium USD]],25,FALSE)</f>
        <v>#N/A</v>
      </c>
      <c r="Y1404" s="38">
        <f>Allocation[[#This Row],[Quantity Processed]]/Allocation[[#This Row],[Quantity allocated]]</f>
        <v>3.0302793004437483</v>
      </c>
      <c r="Z1404" s="34" t="b">
        <f>Allocation[[#This Row],[Quantity allocated]]&lt;=Allocation[[#This Row],[Quantity Processed]]</f>
        <v>1</v>
      </c>
    </row>
    <row r="1405" spans="1:26">
      <c r="A1405" s="247" t="s">
        <v>467</v>
      </c>
      <c r="B1405" s="210" t="s">
        <v>68</v>
      </c>
      <c r="C1405" s="254" t="s">
        <v>1566</v>
      </c>
      <c r="D1405" s="255">
        <v>8594</v>
      </c>
      <c r="E1405" s="211" t="s">
        <v>1890</v>
      </c>
      <c r="F1405" s="212">
        <v>43587</v>
      </c>
      <c r="G1405" s="213">
        <v>2.91</v>
      </c>
      <c r="H1405" s="256">
        <v>2836</v>
      </c>
      <c r="I1405" s="214">
        <v>1453736</v>
      </c>
      <c r="J1405" s="215">
        <v>19175</v>
      </c>
      <c r="K1405" s="212">
        <v>43595</v>
      </c>
      <c r="L1405" s="211" t="s">
        <v>1893</v>
      </c>
      <c r="M1405" s="216">
        <v>4615506885</v>
      </c>
      <c r="N1405" s="212">
        <v>43614</v>
      </c>
      <c r="O1405" s="217">
        <v>3.9746999999999999</v>
      </c>
      <c r="P1405" s="219"/>
      <c r="Q1405" s="34">
        <f>SUMIF(Allocation[Delivery ID],Allocation[[#This Row],[Delivery ID]],Allocation[Quantity Processed])</f>
        <v>8594</v>
      </c>
      <c r="R1405" s="61">
        <f>Allocation[[#This Row],[Total volume used]]/VLOOKUP(Allocation[[#This Row],[Delivery ID]],Delivery[[Delivery ID]:[Quantity delivered]],3,FALSE)</f>
        <v>0.71616666666666662</v>
      </c>
      <c r="S1405" s="34">
        <f>Allocation[[#This Row],[Quantity Processed]]/Allocation[[#This Row],[Dilution rate]]</f>
        <v>2953.2646048109964</v>
      </c>
      <c r="T1405" s="59">
        <f>SUMIF(Allocation[Delivery ID],Allocation[[#This Row],[Delivery ID]],Allocation[Quantity allocated])/SUMIF(Allocation[Delivery ID],Allocation[[#This Row],[Delivery ID]],Allocation[Volume available (kg)])</f>
        <v>0.96029322783337223</v>
      </c>
      <c r="U1405" s="61">
        <f>Allocation[[#This Row],[Total volume used]]/VLOOKUP(Allocation[[#This Row],[Delivery ID]],Delivery[[Delivery ID]:[Quantity delivered]],3,FALSE)</f>
        <v>0.71616666666666662</v>
      </c>
      <c r="V1405" s="34" t="e">
        <f>VLOOKUP(Allocation[[#This Row],[SAP Contract number]],Shipments[[SAP Contract number]:[Contracted container weight]],2,FALSE)</f>
        <v>#N/A</v>
      </c>
      <c r="W1405" s="34" t="e">
        <f>VLOOKUP(Allocation[[#This Row],[SAP Contract number]],Shipments[[SAP Contract number]:[AAA Premium USD]],24,FALSE)</f>
        <v>#N/A</v>
      </c>
      <c r="X1405" s="34" t="e">
        <f>VLOOKUP(Allocation[[#This Row],[SAP Contract number]],Shipments[[SAP Contract number]:[RA Premium USD]],25,FALSE)</f>
        <v>#N/A</v>
      </c>
      <c r="Y1405" s="38">
        <f>Allocation[[#This Row],[Quantity Processed]]/Allocation[[#This Row],[Quantity allocated]]</f>
        <v>3.030324400564175</v>
      </c>
      <c r="Z1405" s="34" t="b">
        <f>Allocation[[#This Row],[Quantity allocated]]&lt;=Allocation[[#This Row],[Quantity Processed]]</f>
        <v>1</v>
      </c>
    </row>
    <row r="1406" spans="1:26">
      <c r="A1406" s="247" t="s">
        <v>467</v>
      </c>
      <c r="B1406" s="210" t="s">
        <v>68</v>
      </c>
      <c r="C1406" s="254" t="s">
        <v>1567</v>
      </c>
      <c r="D1406" s="255">
        <v>3352</v>
      </c>
      <c r="E1406" s="211" t="s">
        <v>1890</v>
      </c>
      <c r="F1406" s="212">
        <v>43587</v>
      </c>
      <c r="G1406" s="213">
        <v>2.91</v>
      </c>
      <c r="H1406" s="256">
        <v>1106</v>
      </c>
      <c r="I1406" s="214">
        <v>1453736</v>
      </c>
      <c r="J1406" s="215">
        <v>19175</v>
      </c>
      <c r="K1406" s="212">
        <v>43595</v>
      </c>
      <c r="L1406" s="211" t="s">
        <v>1893</v>
      </c>
      <c r="M1406" s="216">
        <v>4615506885</v>
      </c>
      <c r="N1406" s="212">
        <v>43614</v>
      </c>
      <c r="O1406" s="217">
        <v>3.9746999999999999</v>
      </c>
      <c r="P1406" s="219"/>
      <c r="Q1406" s="34">
        <f>SUMIF(Allocation[Delivery ID],Allocation[[#This Row],[Delivery ID]],Allocation[Quantity Processed])</f>
        <v>3352</v>
      </c>
      <c r="R1406" s="61">
        <f>Allocation[[#This Row],[Total volume used]]/VLOOKUP(Allocation[[#This Row],[Delivery ID]],Delivery[[Delivery ID]:[Quantity delivered]],3,FALSE)</f>
        <v>0.71931330472103006</v>
      </c>
      <c r="S1406" s="34">
        <f>Allocation[[#This Row],[Quantity Processed]]/Allocation[[#This Row],[Dilution rate]]</f>
        <v>1151.8900343642611</v>
      </c>
      <c r="T1406" s="59">
        <f>SUMIF(Allocation[Delivery ID],Allocation[[#This Row],[Delivery ID]],Allocation[Quantity allocated])/SUMIF(Allocation[Delivery ID],Allocation[[#This Row],[Delivery ID]],Allocation[Volume available (kg)])</f>
        <v>0.96016109785202874</v>
      </c>
      <c r="U1406" s="61">
        <f>Allocation[[#This Row],[Total volume used]]/VLOOKUP(Allocation[[#This Row],[Delivery ID]],Delivery[[Delivery ID]:[Quantity delivered]],3,FALSE)</f>
        <v>0.71931330472103006</v>
      </c>
      <c r="V1406" s="34" t="e">
        <f>VLOOKUP(Allocation[[#This Row],[SAP Contract number]],Shipments[[SAP Contract number]:[Contracted container weight]],2,FALSE)</f>
        <v>#N/A</v>
      </c>
      <c r="W1406" s="34" t="e">
        <f>VLOOKUP(Allocation[[#This Row],[SAP Contract number]],Shipments[[SAP Contract number]:[AAA Premium USD]],24,FALSE)</f>
        <v>#N/A</v>
      </c>
      <c r="X1406" s="34" t="e">
        <f>VLOOKUP(Allocation[[#This Row],[SAP Contract number]],Shipments[[SAP Contract number]:[RA Premium USD]],25,FALSE)</f>
        <v>#N/A</v>
      </c>
      <c r="Y1406" s="38">
        <f>Allocation[[#This Row],[Quantity Processed]]/Allocation[[#This Row],[Quantity allocated]]</f>
        <v>3.030741410488246</v>
      </c>
      <c r="Z1406" s="34" t="b">
        <f>Allocation[[#This Row],[Quantity allocated]]&lt;=Allocation[[#This Row],[Quantity Processed]]</f>
        <v>1</v>
      </c>
    </row>
    <row r="1407" spans="1:26">
      <c r="A1407" s="247" t="s">
        <v>467</v>
      </c>
      <c r="B1407" s="210" t="s">
        <v>68</v>
      </c>
      <c r="C1407" s="254" t="s">
        <v>934</v>
      </c>
      <c r="D1407" s="255">
        <v>76</v>
      </c>
      <c r="E1407" s="211" t="s">
        <v>1890</v>
      </c>
      <c r="F1407" s="212">
        <v>43587</v>
      </c>
      <c r="G1407" s="213">
        <v>2.91</v>
      </c>
      <c r="H1407" s="256">
        <v>25</v>
      </c>
      <c r="I1407" s="214">
        <v>1453736</v>
      </c>
      <c r="J1407" s="215">
        <v>19175</v>
      </c>
      <c r="K1407" s="212">
        <v>43595</v>
      </c>
      <c r="L1407" s="211" t="s">
        <v>1893</v>
      </c>
      <c r="M1407" s="216">
        <v>4615506885</v>
      </c>
      <c r="N1407" s="212">
        <v>43614</v>
      </c>
      <c r="O1407" s="217">
        <v>3.9746999999999999</v>
      </c>
      <c r="P1407" s="219"/>
      <c r="Q1407" s="34">
        <f>SUMIF(Allocation[Delivery ID],Allocation[[#This Row],[Delivery ID]],Allocation[Quantity Processed])</f>
        <v>30146</v>
      </c>
      <c r="R1407" s="61">
        <f>Allocation[[#This Row],[Total volume used]]/VLOOKUP(Allocation[[#This Row],[Delivery ID]],Delivery[[Delivery ID]:[Quantity delivered]],3,FALSE)</f>
        <v>0.96525887739745764</v>
      </c>
      <c r="S1407" s="34">
        <f>Allocation[[#This Row],[Quantity Processed]]/Allocation[[#This Row],[Dilution rate]]</f>
        <v>26.116838487972508</v>
      </c>
      <c r="T1407" s="59">
        <f>SUMIF(Allocation[Delivery ID],Allocation[[#This Row],[Delivery ID]],Allocation[Quantity allocated])/SUMIF(Allocation[Delivery ID],Allocation[[#This Row],[Delivery ID]],Allocation[Volume available (kg)])</f>
        <v>0.7873812275223806</v>
      </c>
      <c r="U1407" s="61">
        <f>Allocation[[#This Row],[Total volume used]]/VLOOKUP(Allocation[[#This Row],[Delivery ID]],Delivery[[Delivery ID]:[Quantity delivered]],3,FALSE)</f>
        <v>0.96525887739745764</v>
      </c>
      <c r="V1407" s="34" t="e">
        <f>VLOOKUP(Allocation[[#This Row],[SAP Contract number]],Shipments[[SAP Contract number]:[Contracted container weight]],2,FALSE)</f>
        <v>#N/A</v>
      </c>
      <c r="W1407" s="34" t="e">
        <f>VLOOKUP(Allocation[[#This Row],[SAP Contract number]],Shipments[[SAP Contract number]:[AAA Premium USD]],24,FALSE)</f>
        <v>#N/A</v>
      </c>
      <c r="X1407" s="34" t="e">
        <f>VLOOKUP(Allocation[[#This Row],[SAP Contract number]],Shipments[[SAP Contract number]:[RA Premium USD]],25,FALSE)</f>
        <v>#N/A</v>
      </c>
      <c r="Y1407" s="38">
        <f>Allocation[[#This Row],[Quantity Processed]]/Allocation[[#This Row],[Quantity allocated]]</f>
        <v>3.04</v>
      </c>
      <c r="Z1407" s="34" t="b">
        <f>Allocation[[#This Row],[Quantity allocated]]&lt;=Allocation[[#This Row],[Quantity Processed]]</f>
        <v>1</v>
      </c>
    </row>
    <row r="1408" spans="1:26">
      <c r="A1408" s="247" t="s">
        <v>467</v>
      </c>
      <c r="B1408" s="210" t="s">
        <v>68</v>
      </c>
      <c r="C1408" s="254" t="s">
        <v>936</v>
      </c>
      <c r="D1408" s="255">
        <v>76</v>
      </c>
      <c r="E1408" s="211" t="s">
        <v>1890</v>
      </c>
      <c r="F1408" s="212">
        <v>43587</v>
      </c>
      <c r="G1408" s="213">
        <v>2.91</v>
      </c>
      <c r="H1408" s="256">
        <v>25</v>
      </c>
      <c r="I1408" s="214">
        <v>1453736</v>
      </c>
      <c r="J1408" s="215">
        <v>19175</v>
      </c>
      <c r="K1408" s="212">
        <v>43595</v>
      </c>
      <c r="L1408" s="211" t="s">
        <v>1893</v>
      </c>
      <c r="M1408" s="216">
        <v>4615506885</v>
      </c>
      <c r="N1408" s="212">
        <v>43614</v>
      </c>
      <c r="O1408" s="217">
        <v>3.9746999999999999</v>
      </c>
      <c r="P1408" s="219"/>
      <c r="Q1408" s="34">
        <f>SUMIF(Allocation[Delivery ID],Allocation[[#This Row],[Delivery ID]],Allocation[Quantity Processed])</f>
        <v>30003</v>
      </c>
      <c r="R1408" s="61">
        <f>Allocation[[#This Row],[Total volume used]]/VLOOKUP(Allocation[[#This Row],[Delivery ID]],Delivery[[Delivery ID]:[Quantity delivered]],3,FALSE)</f>
        <v>0.96747980587846449</v>
      </c>
      <c r="S1408" s="34">
        <f>Allocation[[#This Row],[Quantity Processed]]/Allocation[[#This Row],[Dilution rate]]</f>
        <v>26.116838487972508</v>
      </c>
      <c r="T1408" s="59">
        <f>SUMIF(Allocation[Delivery ID],Allocation[[#This Row],[Delivery ID]],Allocation[Quantity allocated])/SUMIF(Allocation[Delivery ID],Allocation[[#This Row],[Delivery ID]],Allocation[Volume available (kg)])</f>
        <v>0.7871596743518644</v>
      </c>
      <c r="U1408" s="61">
        <f>Allocation[[#This Row],[Total volume used]]/VLOOKUP(Allocation[[#This Row],[Delivery ID]],Delivery[[Delivery ID]:[Quantity delivered]],3,FALSE)</f>
        <v>0.96747980587846449</v>
      </c>
      <c r="V1408" s="34" t="e">
        <f>VLOOKUP(Allocation[[#This Row],[SAP Contract number]],Shipments[[SAP Contract number]:[Contracted container weight]],2,FALSE)</f>
        <v>#N/A</v>
      </c>
      <c r="W1408" s="34" t="e">
        <f>VLOOKUP(Allocation[[#This Row],[SAP Contract number]],Shipments[[SAP Contract number]:[AAA Premium USD]],24,FALSE)</f>
        <v>#N/A</v>
      </c>
      <c r="X1408" s="34" t="e">
        <f>VLOOKUP(Allocation[[#This Row],[SAP Contract number]],Shipments[[SAP Contract number]:[RA Premium USD]],25,FALSE)</f>
        <v>#N/A</v>
      </c>
      <c r="Y1408" s="38">
        <f>Allocation[[#This Row],[Quantity Processed]]/Allocation[[#This Row],[Quantity allocated]]</f>
        <v>3.04</v>
      </c>
      <c r="Z1408" s="34" t="b">
        <f>Allocation[[#This Row],[Quantity allocated]]&lt;=Allocation[[#This Row],[Quantity Processed]]</f>
        <v>1</v>
      </c>
    </row>
    <row r="1409" spans="1:26">
      <c r="A1409" s="247" t="s">
        <v>467</v>
      </c>
      <c r="B1409" s="210" t="s">
        <v>68</v>
      </c>
      <c r="C1409" s="254" t="s">
        <v>937</v>
      </c>
      <c r="D1409" s="255">
        <v>59</v>
      </c>
      <c r="E1409" s="211" t="s">
        <v>1890</v>
      </c>
      <c r="F1409" s="212">
        <v>43587</v>
      </c>
      <c r="G1409" s="213">
        <v>2.91</v>
      </c>
      <c r="H1409" s="256">
        <v>24</v>
      </c>
      <c r="I1409" s="214">
        <v>1453736</v>
      </c>
      <c r="J1409" s="215">
        <v>19175</v>
      </c>
      <c r="K1409" s="212">
        <v>43595</v>
      </c>
      <c r="L1409" s="211" t="s">
        <v>1893</v>
      </c>
      <c r="M1409" s="216">
        <v>4615506885</v>
      </c>
      <c r="N1409" s="212">
        <v>43614</v>
      </c>
      <c r="O1409" s="217">
        <v>3.9746999999999999</v>
      </c>
      <c r="P1409" s="219"/>
      <c r="Q1409" s="34">
        <f>SUMIF(Allocation[Delivery ID],Allocation[[#This Row],[Delivery ID]],Allocation[Quantity Processed])</f>
        <v>23371</v>
      </c>
      <c r="R1409" s="61">
        <f>Allocation[[#This Row],[Total volume used]]/VLOOKUP(Allocation[[#This Row],[Delivery ID]],Delivery[[Delivery ID]:[Quantity delivered]],3,FALSE)</f>
        <v>0.77825507825507823</v>
      </c>
      <c r="S1409" s="34">
        <f>Allocation[[#This Row],[Quantity Processed]]/Allocation[[#This Row],[Dilution rate]]</f>
        <v>20.274914089347078</v>
      </c>
      <c r="T1409" s="59">
        <f>SUMIF(Allocation[Delivery ID],Allocation[[#This Row],[Delivery ID]],Allocation[Quantity allocated])/SUMIF(Allocation[Delivery ID],Allocation[[#This Row],[Delivery ID]],Allocation[Volume available (kg)])</f>
        <v>0.97805484651195362</v>
      </c>
      <c r="U1409" s="61">
        <f>Allocation[[#This Row],[Total volume used]]/VLOOKUP(Allocation[[#This Row],[Delivery ID]],Delivery[[Delivery ID]:[Quantity delivered]],3,FALSE)</f>
        <v>0.77825507825507823</v>
      </c>
      <c r="V1409" s="34" t="e">
        <f>VLOOKUP(Allocation[[#This Row],[SAP Contract number]],Shipments[[SAP Contract number]:[Contracted container weight]],2,FALSE)</f>
        <v>#N/A</v>
      </c>
      <c r="W1409" s="34" t="e">
        <f>VLOOKUP(Allocation[[#This Row],[SAP Contract number]],Shipments[[SAP Contract number]:[AAA Premium USD]],24,FALSE)</f>
        <v>#N/A</v>
      </c>
      <c r="X1409" s="34" t="e">
        <f>VLOOKUP(Allocation[[#This Row],[SAP Contract number]],Shipments[[SAP Contract number]:[RA Premium USD]],25,FALSE)</f>
        <v>#N/A</v>
      </c>
      <c r="Y1409" s="38">
        <f>Allocation[[#This Row],[Quantity Processed]]/Allocation[[#This Row],[Quantity allocated]]</f>
        <v>2.4583333333333335</v>
      </c>
      <c r="Z1409" s="34" t="b">
        <f>Allocation[[#This Row],[Quantity allocated]]&lt;=Allocation[[#This Row],[Quantity Processed]]</f>
        <v>1</v>
      </c>
    </row>
    <row r="1410" spans="1:26">
      <c r="A1410" s="247" t="s">
        <v>467</v>
      </c>
      <c r="B1410" s="210" t="s">
        <v>68</v>
      </c>
      <c r="C1410" s="254" t="s">
        <v>939</v>
      </c>
      <c r="D1410" s="255">
        <v>33</v>
      </c>
      <c r="E1410" s="211" t="s">
        <v>1890</v>
      </c>
      <c r="F1410" s="212">
        <v>43587</v>
      </c>
      <c r="G1410" s="213">
        <v>2.91</v>
      </c>
      <c r="H1410" s="256">
        <v>11</v>
      </c>
      <c r="I1410" s="214">
        <v>1453736</v>
      </c>
      <c r="J1410" s="215">
        <v>19175</v>
      </c>
      <c r="K1410" s="212">
        <v>43595</v>
      </c>
      <c r="L1410" s="211" t="s">
        <v>1893</v>
      </c>
      <c r="M1410" s="216">
        <v>4615506885</v>
      </c>
      <c r="N1410" s="212">
        <v>43614</v>
      </c>
      <c r="O1410" s="217">
        <v>3.9746999999999999</v>
      </c>
      <c r="P1410" s="219"/>
      <c r="Q1410" s="34">
        <f>SUMIF(Allocation[Delivery ID],Allocation[[#This Row],[Delivery ID]],Allocation[Quantity Processed])</f>
        <v>13750</v>
      </c>
      <c r="R1410" s="61">
        <f>Allocation[[#This Row],[Total volume used]]/VLOOKUP(Allocation[[#This Row],[Delivery ID]],Delivery[[Delivery ID]:[Quantity delivered]],3,FALSE)</f>
        <v>1</v>
      </c>
      <c r="S1410" s="34">
        <f>Allocation[[#This Row],[Quantity Processed]]/Allocation[[#This Row],[Dilution rate]]</f>
        <v>11.340206185567009</v>
      </c>
      <c r="T1410" s="59">
        <f>SUMIF(Allocation[Delivery ID],Allocation[[#This Row],[Delivery ID]],Allocation[Quantity allocated])/SUMIF(Allocation[Delivery ID],Allocation[[#This Row],[Delivery ID]],Allocation[Volume available (kg)])</f>
        <v>0.78913135555090075</v>
      </c>
      <c r="U1410" s="61">
        <f>Allocation[[#This Row],[Total volume used]]/VLOOKUP(Allocation[[#This Row],[Delivery ID]],Delivery[[Delivery ID]:[Quantity delivered]],3,FALSE)</f>
        <v>1</v>
      </c>
      <c r="V1410" s="34" t="e">
        <f>VLOOKUP(Allocation[[#This Row],[SAP Contract number]],Shipments[[SAP Contract number]:[Contracted container weight]],2,FALSE)</f>
        <v>#N/A</v>
      </c>
      <c r="W1410" s="34" t="e">
        <f>VLOOKUP(Allocation[[#This Row],[SAP Contract number]],Shipments[[SAP Contract number]:[AAA Premium USD]],24,FALSE)</f>
        <v>#N/A</v>
      </c>
      <c r="X1410" s="34" t="e">
        <f>VLOOKUP(Allocation[[#This Row],[SAP Contract number]],Shipments[[SAP Contract number]:[RA Premium USD]],25,FALSE)</f>
        <v>#N/A</v>
      </c>
      <c r="Y1410" s="38">
        <f>Allocation[[#This Row],[Quantity Processed]]/Allocation[[#This Row],[Quantity allocated]]</f>
        <v>3</v>
      </c>
      <c r="Z1410" s="34" t="b">
        <f>Allocation[[#This Row],[Quantity allocated]]&lt;=Allocation[[#This Row],[Quantity Processed]]</f>
        <v>1</v>
      </c>
    </row>
    <row r="1411" spans="1:26">
      <c r="A1411" s="247" t="s">
        <v>467</v>
      </c>
      <c r="B1411" s="210" t="s">
        <v>68</v>
      </c>
      <c r="C1411" s="254" t="s">
        <v>941</v>
      </c>
      <c r="D1411" s="255">
        <v>80</v>
      </c>
      <c r="E1411" s="211" t="s">
        <v>1890</v>
      </c>
      <c r="F1411" s="212">
        <v>43587</v>
      </c>
      <c r="G1411" s="213">
        <v>2.91</v>
      </c>
      <c r="H1411" s="256">
        <v>24</v>
      </c>
      <c r="I1411" s="214">
        <v>1453736</v>
      </c>
      <c r="J1411" s="215">
        <v>19175</v>
      </c>
      <c r="K1411" s="212">
        <v>43595</v>
      </c>
      <c r="L1411" s="211" t="s">
        <v>1893</v>
      </c>
      <c r="M1411" s="216">
        <v>4615506885</v>
      </c>
      <c r="N1411" s="212">
        <v>43614</v>
      </c>
      <c r="O1411" s="217">
        <v>3.9746999999999999</v>
      </c>
      <c r="P1411" s="219"/>
      <c r="Q1411" s="34">
        <f>SUMIF(Allocation[Delivery ID],Allocation[[#This Row],[Delivery ID]],Allocation[Quantity Processed])</f>
        <v>30050</v>
      </c>
      <c r="R1411" s="61">
        <f>Allocation[[#This Row],[Total volume used]]/VLOOKUP(Allocation[[#This Row],[Delivery ID]],Delivery[[Delivery ID]:[Quantity delivered]],3,FALSE)</f>
        <v>1</v>
      </c>
      <c r="S1411" s="34">
        <f>Allocation[[#This Row],[Quantity Processed]]/Allocation[[#This Row],[Dilution rate]]</f>
        <v>27.491408934707902</v>
      </c>
      <c r="T1411" s="59">
        <f>SUMIF(Allocation[Delivery ID],Allocation[[#This Row],[Delivery ID]],Allocation[Quantity allocated])/SUMIF(Allocation[Delivery ID],Allocation[[#This Row],[Delivery ID]],Allocation[Volume available (kg)])</f>
        <v>0.71267222293301935</v>
      </c>
      <c r="U1411" s="61">
        <f>Allocation[[#This Row],[Total volume used]]/VLOOKUP(Allocation[[#This Row],[Delivery ID]],Delivery[[Delivery ID]:[Quantity delivered]],3,FALSE)</f>
        <v>1</v>
      </c>
      <c r="V1411" s="34" t="e">
        <f>VLOOKUP(Allocation[[#This Row],[SAP Contract number]],Shipments[[SAP Contract number]:[Contracted container weight]],2,FALSE)</f>
        <v>#N/A</v>
      </c>
      <c r="W1411" s="34" t="e">
        <f>VLOOKUP(Allocation[[#This Row],[SAP Contract number]],Shipments[[SAP Contract number]:[AAA Premium USD]],24,FALSE)</f>
        <v>#N/A</v>
      </c>
      <c r="X1411" s="34" t="e">
        <f>VLOOKUP(Allocation[[#This Row],[SAP Contract number]],Shipments[[SAP Contract number]:[RA Premium USD]],25,FALSE)</f>
        <v>#N/A</v>
      </c>
      <c r="Y1411" s="38">
        <f>Allocation[[#This Row],[Quantity Processed]]/Allocation[[#This Row],[Quantity allocated]]</f>
        <v>3.3333333333333335</v>
      </c>
      <c r="Z1411" s="34" t="b">
        <f>Allocation[[#This Row],[Quantity allocated]]&lt;=Allocation[[#This Row],[Quantity Processed]]</f>
        <v>1</v>
      </c>
    </row>
    <row r="1412" spans="1:26">
      <c r="A1412" s="247" t="s">
        <v>467</v>
      </c>
      <c r="B1412" s="210" t="s">
        <v>68</v>
      </c>
      <c r="C1412" s="254" t="s">
        <v>943</v>
      </c>
      <c r="D1412" s="255">
        <v>80</v>
      </c>
      <c r="E1412" s="211" t="s">
        <v>1890</v>
      </c>
      <c r="F1412" s="212">
        <v>43587</v>
      </c>
      <c r="G1412" s="213">
        <v>2.91</v>
      </c>
      <c r="H1412" s="256">
        <v>24</v>
      </c>
      <c r="I1412" s="214">
        <v>1453736</v>
      </c>
      <c r="J1412" s="215">
        <v>19175</v>
      </c>
      <c r="K1412" s="212">
        <v>43595</v>
      </c>
      <c r="L1412" s="211" t="s">
        <v>1893</v>
      </c>
      <c r="M1412" s="216">
        <v>4615506885</v>
      </c>
      <c r="N1412" s="212">
        <v>43614</v>
      </c>
      <c r="O1412" s="217">
        <v>3.9746999999999999</v>
      </c>
      <c r="P1412" s="219"/>
      <c r="Q1412" s="34">
        <f>SUMIF(Allocation[Delivery ID],Allocation[[#This Row],[Delivery ID]],Allocation[Quantity Processed])</f>
        <v>30020</v>
      </c>
      <c r="R1412" s="61">
        <f>Allocation[[#This Row],[Total volume used]]/VLOOKUP(Allocation[[#This Row],[Delivery ID]],Delivery[[Delivery ID]:[Quantity delivered]],3,FALSE)</f>
        <v>1</v>
      </c>
      <c r="S1412" s="34">
        <f>Allocation[[#This Row],[Quantity Processed]]/Allocation[[#This Row],[Dilution rate]]</f>
        <v>27.491408934707902</v>
      </c>
      <c r="T1412" s="59">
        <f>SUMIF(Allocation[Delivery ID],Allocation[[#This Row],[Delivery ID]],Allocation[Quantity allocated])/SUMIF(Allocation[Delivery ID],Allocation[[#This Row],[Delivery ID]],Allocation[Volume available (kg)])</f>
        <v>0.71299381953263574</v>
      </c>
      <c r="U1412" s="61">
        <f>Allocation[[#This Row],[Total volume used]]/VLOOKUP(Allocation[[#This Row],[Delivery ID]],Delivery[[Delivery ID]:[Quantity delivered]],3,FALSE)</f>
        <v>1</v>
      </c>
      <c r="V1412" s="34" t="e">
        <f>VLOOKUP(Allocation[[#This Row],[SAP Contract number]],Shipments[[SAP Contract number]:[Contracted container weight]],2,FALSE)</f>
        <v>#N/A</v>
      </c>
      <c r="W1412" s="34" t="e">
        <f>VLOOKUP(Allocation[[#This Row],[SAP Contract number]],Shipments[[SAP Contract number]:[AAA Premium USD]],24,FALSE)</f>
        <v>#N/A</v>
      </c>
      <c r="X1412" s="34" t="e">
        <f>VLOOKUP(Allocation[[#This Row],[SAP Contract number]],Shipments[[SAP Contract number]:[RA Premium USD]],25,FALSE)</f>
        <v>#N/A</v>
      </c>
      <c r="Y1412" s="38">
        <f>Allocation[[#This Row],[Quantity Processed]]/Allocation[[#This Row],[Quantity allocated]]</f>
        <v>3.3333333333333335</v>
      </c>
      <c r="Z1412" s="34" t="b">
        <f>Allocation[[#This Row],[Quantity allocated]]&lt;=Allocation[[#This Row],[Quantity Processed]]</f>
        <v>1</v>
      </c>
    </row>
    <row r="1413" spans="1:26">
      <c r="A1413" s="247" t="s">
        <v>467</v>
      </c>
      <c r="B1413" s="210" t="s">
        <v>68</v>
      </c>
      <c r="C1413" s="254" t="s">
        <v>944</v>
      </c>
      <c r="D1413" s="255">
        <v>80</v>
      </c>
      <c r="E1413" s="211" t="s">
        <v>1890</v>
      </c>
      <c r="F1413" s="212">
        <v>43587</v>
      </c>
      <c r="G1413" s="213">
        <v>2.91</v>
      </c>
      <c r="H1413" s="256">
        <v>24</v>
      </c>
      <c r="I1413" s="214">
        <v>1453736</v>
      </c>
      <c r="J1413" s="215">
        <v>19175</v>
      </c>
      <c r="K1413" s="212">
        <v>43595</v>
      </c>
      <c r="L1413" s="211" t="s">
        <v>1893</v>
      </c>
      <c r="M1413" s="216">
        <v>4615506885</v>
      </c>
      <c r="N1413" s="212">
        <v>43614</v>
      </c>
      <c r="O1413" s="217">
        <v>3.9746999999999999</v>
      </c>
      <c r="P1413" s="219"/>
      <c r="Q1413" s="34">
        <f>SUMIF(Allocation[Delivery ID],Allocation[[#This Row],[Delivery ID]],Allocation[Quantity Processed])</f>
        <v>29990</v>
      </c>
      <c r="R1413" s="61">
        <f>Allocation[[#This Row],[Total volume used]]/VLOOKUP(Allocation[[#This Row],[Delivery ID]],Delivery[[Delivery ID]:[Quantity delivered]],3,FALSE)</f>
        <v>1</v>
      </c>
      <c r="S1413" s="34">
        <f>Allocation[[#This Row],[Quantity Processed]]/Allocation[[#This Row],[Dilution rate]]</f>
        <v>27.491408934707902</v>
      </c>
      <c r="T1413" s="59">
        <f>SUMIF(Allocation[Delivery ID],Allocation[[#This Row],[Delivery ID]],Allocation[Quantity allocated])/SUMIF(Allocation[Delivery ID],Allocation[[#This Row],[Delivery ID]],Allocation[Volume available (kg)])</f>
        <v>0.71339638192221222</v>
      </c>
      <c r="U1413" s="61">
        <f>Allocation[[#This Row],[Total volume used]]/VLOOKUP(Allocation[[#This Row],[Delivery ID]],Delivery[[Delivery ID]:[Quantity delivered]],3,FALSE)</f>
        <v>1</v>
      </c>
      <c r="V1413" s="34" t="e">
        <f>VLOOKUP(Allocation[[#This Row],[SAP Contract number]],Shipments[[SAP Contract number]:[Contracted container weight]],2,FALSE)</f>
        <v>#N/A</v>
      </c>
      <c r="W1413" s="34" t="e">
        <f>VLOOKUP(Allocation[[#This Row],[SAP Contract number]],Shipments[[SAP Contract number]:[AAA Premium USD]],24,FALSE)</f>
        <v>#N/A</v>
      </c>
      <c r="X1413" s="34" t="e">
        <f>VLOOKUP(Allocation[[#This Row],[SAP Contract number]],Shipments[[SAP Contract number]:[RA Premium USD]],25,FALSE)</f>
        <v>#N/A</v>
      </c>
      <c r="Y1413" s="38">
        <f>Allocation[[#This Row],[Quantity Processed]]/Allocation[[#This Row],[Quantity allocated]]</f>
        <v>3.3333333333333335</v>
      </c>
      <c r="Z1413" s="34" t="b">
        <f>Allocation[[#This Row],[Quantity allocated]]&lt;=Allocation[[#This Row],[Quantity Processed]]</f>
        <v>1</v>
      </c>
    </row>
    <row r="1414" spans="1:26">
      <c r="A1414" s="247" t="s">
        <v>467</v>
      </c>
      <c r="B1414" s="210" t="s">
        <v>68</v>
      </c>
      <c r="C1414" s="254" t="s">
        <v>957</v>
      </c>
      <c r="D1414" s="255">
        <v>42</v>
      </c>
      <c r="E1414" s="211" t="s">
        <v>1890</v>
      </c>
      <c r="F1414" s="212">
        <v>43587</v>
      </c>
      <c r="G1414" s="213">
        <v>2.91</v>
      </c>
      <c r="H1414" s="256">
        <v>14</v>
      </c>
      <c r="I1414" s="214">
        <v>1453736</v>
      </c>
      <c r="J1414" s="215">
        <v>19175</v>
      </c>
      <c r="K1414" s="212">
        <v>43595</v>
      </c>
      <c r="L1414" s="211" t="s">
        <v>1893</v>
      </c>
      <c r="M1414" s="216">
        <v>4615506885</v>
      </c>
      <c r="N1414" s="212">
        <v>43614</v>
      </c>
      <c r="O1414" s="217">
        <v>3.9746999999999999</v>
      </c>
      <c r="P1414" s="219"/>
      <c r="Q1414" s="34">
        <f>SUMIF(Allocation[Delivery ID],Allocation[[#This Row],[Delivery ID]],Allocation[Quantity Processed])</f>
        <v>24170</v>
      </c>
      <c r="R1414" s="61">
        <f>Allocation[[#This Row],[Total volume used]]/VLOOKUP(Allocation[[#This Row],[Delivery ID]],Delivery[[Delivery ID]:[Quantity delivered]],3,FALSE)</f>
        <v>1</v>
      </c>
      <c r="S1414" s="34">
        <f>Allocation[[#This Row],[Quantity Processed]]/Allocation[[#This Row],[Dilution rate]]</f>
        <v>14.432989690721648</v>
      </c>
      <c r="T1414" s="59">
        <f>SUMIF(Allocation[Delivery ID],Allocation[[#This Row],[Delivery ID]],Allocation[Quantity allocated])/SUMIF(Allocation[Delivery ID],Allocation[[#This Row],[Delivery ID]],Allocation[Volume available (kg)])</f>
        <v>0.81588700460773944</v>
      </c>
      <c r="U1414" s="61">
        <f>Allocation[[#This Row],[Total volume used]]/VLOOKUP(Allocation[[#This Row],[Delivery ID]],Delivery[[Delivery ID]:[Quantity delivered]],3,FALSE)</f>
        <v>1</v>
      </c>
      <c r="V1414" s="34" t="e">
        <f>VLOOKUP(Allocation[[#This Row],[SAP Contract number]],Shipments[[SAP Contract number]:[Contracted container weight]],2,FALSE)</f>
        <v>#N/A</v>
      </c>
      <c r="W1414" s="34" t="e">
        <f>VLOOKUP(Allocation[[#This Row],[SAP Contract number]],Shipments[[SAP Contract number]:[AAA Premium USD]],24,FALSE)</f>
        <v>#N/A</v>
      </c>
      <c r="X1414" s="34" t="e">
        <f>VLOOKUP(Allocation[[#This Row],[SAP Contract number]],Shipments[[SAP Contract number]:[RA Premium USD]],25,FALSE)</f>
        <v>#N/A</v>
      </c>
      <c r="Y1414" s="38">
        <f>Allocation[[#This Row],[Quantity Processed]]/Allocation[[#This Row],[Quantity allocated]]</f>
        <v>3</v>
      </c>
      <c r="Z1414" s="34" t="b">
        <f>Allocation[[#This Row],[Quantity allocated]]&lt;=Allocation[[#This Row],[Quantity Processed]]</f>
        <v>1</v>
      </c>
    </row>
    <row r="1415" spans="1:26">
      <c r="A1415" s="247" t="s">
        <v>467</v>
      </c>
      <c r="B1415" s="210" t="s">
        <v>68</v>
      </c>
      <c r="C1415" s="254" t="s">
        <v>963</v>
      </c>
      <c r="D1415" s="255">
        <v>62</v>
      </c>
      <c r="E1415" s="211" t="s">
        <v>1890</v>
      </c>
      <c r="F1415" s="212">
        <v>43587</v>
      </c>
      <c r="G1415" s="213">
        <v>2.91</v>
      </c>
      <c r="H1415" s="256">
        <v>23</v>
      </c>
      <c r="I1415" s="214">
        <v>1453736</v>
      </c>
      <c r="J1415" s="215">
        <v>19175</v>
      </c>
      <c r="K1415" s="212">
        <v>43595</v>
      </c>
      <c r="L1415" s="211" t="s">
        <v>1893</v>
      </c>
      <c r="M1415" s="216">
        <v>4615506885</v>
      </c>
      <c r="N1415" s="212">
        <v>43614</v>
      </c>
      <c r="O1415" s="217">
        <v>3.9746999999999999</v>
      </c>
      <c r="P1415" s="219"/>
      <c r="Q1415" s="34">
        <f>SUMIF(Allocation[Delivery ID],Allocation[[#This Row],[Delivery ID]],Allocation[Quantity Processed])</f>
        <v>1378</v>
      </c>
      <c r="R1415" s="61">
        <f>Allocation[[#This Row],[Total volume used]]/VLOOKUP(Allocation[[#This Row],[Delivery ID]],Delivery[[Delivery ID]:[Quantity delivered]],3,FALSE)</f>
        <v>0.22848615486652296</v>
      </c>
      <c r="S1415" s="34">
        <f>Allocation[[#This Row],[Quantity Processed]]/Allocation[[#This Row],[Dilution rate]]</f>
        <v>21.305841924398624</v>
      </c>
      <c r="T1415" s="59">
        <f>SUMIF(Allocation[Delivery ID],Allocation[[#This Row],[Delivery ID]],Allocation[Quantity allocated])/SUMIF(Allocation[Delivery ID],Allocation[[#This Row],[Delivery ID]],Allocation[Volume available (kg)])</f>
        <v>0.97403356713426859</v>
      </c>
      <c r="U1415" s="61">
        <f>Allocation[[#This Row],[Total volume used]]/VLOOKUP(Allocation[[#This Row],[Delivery ID]],Delivery[[Delivery ID]:[Quantity delivered]],3,FALSE)</f>
        <v>0.22848615486652296</v>
      </c>
      <c r="V1415" s="34" t="e">
        <f>VLOOKUP(Allocation[[#This Row],[SAP Contract number]],Shipments[[SAP Contract number]:[Contracted container weight]],2,FALSE)</f>
        <v>#N/A</v>
      </c>
      <c r="W1415" s="34" t="e">
        <f>VLOOKUP(Allocation[[#This Row],[SAP Contract number]],Shipments[[SAP Contract number]:[AAA Premium USD]],24,FALSE)</f>
        <v>#N/A</v>
      </c>
      <c r="X1415" s="34" t="e">
        <f>VLOOKUP(Allocation[[#This Row],[SAP Contract number]],Shipments[[SAP Contract number]:[RA Premium USD]],25,FALSE)</f>
        <v>#N/A</v>
      </c>
      <c r="Y1415" s="38">
        <f>Allocation[[#This Row],[Quantity Processed]]/Allocation[[#This Row],[Quantity allocated]]</f>
        <v>2.6956521739130435</v>
      </c>
      <c r="Z1415" s="34" t="b">
        <f>Allocation[[#This Row],[Quantity allocated]]&lt;=Allocation[[#This Row],[Quantity Processed]]</f>
        <v>1</v>
      </c>
    </row>
    <row r="1416" spans="1:26">
      <c r="A1416" s="247" t="s">
        <v>467</v>
      </c>
      <c r="B1416" s="210" t="s">
        <v>68</v>
      </c>
      <c r="C1416" s="254" t="s">
        <v>967</v>
      </c>
      <c r="D1416" s="255">
        <v>24</v>
      </c>
      <c r="E1416" s="211" t="s">
        <v>1890</v>
      </c>
      <c r="F1416" s="212">
        <v>43587</v>
      </c>
      <c r="G1416" s="213">
        <v>2.91</v>
      </c>
      <c r="H1416" s="256">
        <v>8</v>
      </c>
      <c r="I1416" s="214">
        <v>1453736</v>
      </c>
      <c r="J1416" s="215">
        <v>19175</v>
      </c>
      <c r="K1416" s="212">
        <v>43595</v>
      </c>
      <c r="L1416" s="211" t="s">
        <v>1893</v>
      </c>
      <c r="M1416" s="216">
        <v>4615506885</v>
      </c>
      <c r="N1416" s="212">
        <v>43614</v>
      </c>
      <c r="O1416" s="217">
        <v>3.9746999999999999</v>
      </c>
      <c r="P1416" s="219"/>
      <c r="Q1416" s="34">
        <f>SUMIF(Allocation[Delivery ID],Allocation[[#This Row],[Delivery ID]],Allocation[Quantity Processed])</f>
        <v>13980</v>
      </c>
      <c r="R1416" s="61">
        <f>Allocation[[#This Row],[Total volume used]]/VLOOKUP(Allocation[[#This Row],[Delivery ID]],Delivery[[Delivery ID]:[Quantity delivered]],3,FALSE)</f>
        <v>1</v>
      </c>
      <c r="S1416" s="34">
        <f>Allocation[[#This Row],[Quantity Processed]]/Allocation[[#This Row],[Dilution rate]]</f>
        <v>8.2474226804123703</v>
      </c>
      <c r="T1416" s="59">
        <f>SUMIF(Allocation[Delivery ID],Allocation[[#This Row],[Delivery ID]],Allocation[Quantity allocated])/SUMIF(Allocation[Delivery ID],Allocation[[#This Row],[Delivery ID]],Allocation[Volume available (kg)])</f>
        <v>0.81689670470480924</v>
      </c>
      <c r="U1416" s="61">
        <f>Allocation[[#This Row],[Total volume used]]/VLOOKUP(Allocation[[#This Row],[Delivery ID]],Delivery[[Delivery ID]:[Quantity delivered]],3,FALSE)</f>
        <v>1</v>
      </c>
      <c r="V1416" s="34" t="e">
        <f>VLOOKUP(Allocation[[#This Row],[SAP Contract number]],Shipments[[SAP Contract number]:[Contracted container weight]],2,FALSE)</f>
        <v>#N/A</v>
      </c>
      <c r="W1416" s="34" t="e">
        <f>VLOOKUP(Allocation[[#This Row],[SAP Contract number]],Shipments[[SAP Contract number]:[AAA Premium USD]],24,FALSE)</f>
        <v>#N/A</v>
      </c>
      <c r="X1416" s="34" t="e">
        <f>VLOOKUP(Allocation[[#This Row],[SAP Contract number]],Shipments[[SAP Contract number]:[RA Premium USD]],25,FALSE)</f>
        <v>#N/A</v>
      </c>
      <c r="Y1416" s="38">
        <f>Allocation[[#This Row],[Quantity Processed]]/Allocation[[#This Row],[Quantity allocated]]</f>
        <v>3</v>
      </c>
      <c r="Z1416" s="34" t="b">
        <f>Allocation[[#This Row],[Quantity allocated]]&lt;=Allocation[[#This Row],[Quantity Processed]]</f>
        <v>1</v>
      </c>
    </row>
    <row r="1417" spans="1:26">
      <c r="A1417" s="247" t="s">
        <v>467</v>
      </c>
      <c r="B1417" s="210" t="s">
        <v>68</v>
      </c>
      <c r="C1417" s="254" t="s">
        <v>973</v>
      </c>
      <c r="D1417" s="255">
        <v>79</v>
      </c>
      <c r="E1417" s="211" t="s">
        <v>1890</v>
      </c>
      <c r="F1417" s="212">
        <v>43587</v>
      </c>
      <c r="G1417" s="213">
        <v>2.91</v>
      </c>
      <c r="H1417" s="256">
        <v>31</v>
      </c>
      <c r="I1417" s="214">
        <v>1453736</v>
      </c>
      <c r="J1417" s="215">
        <v>19175</v>
      </c>
      <c r="K1417" s="212">
        <v>43595</v>
      </c>
      <c r="L1417" s="211" t="s">
        <v>1893</v>
      </c>
      <c r="M1417" s="216">
        <v>4615506885</v>
      </c>
      <c r="N1417" s="212">
        <v>43614</v>
      </c>
      <c r="O1417" s="217">
        <v>3.9746999999999999</v>
      </c>
      <c r="P1417" s="219"/>
      <c r="Q1417" s="34">
        <f>SUMIF(Allocation[Delivery ID],Allocation[[#This Row],[Delivery ID]],Allocation[Quantity Processed])</f>
        <v>18984</v>
      </c>
      <c r="R1417" s="61">
        <f>Allocation[[#This Row],[Total volume used]]/VLOOKUP(Allocation[[#This Row],[Delivery ID]],Delivery[[Delivery ID]:[Quantity delivered]],3,FALSE)</f>
        <v>0.63174708818635605</v>
      </c>
      <c r="S1417" s="34">
        <f>Allocation[[#This Row],[Quantity Processed]]/Allocation[[#This Row],[Dilution rate]]</f>
        <v>27.147766323024054</v>
      </c>
      <c r="T1417" s="59">
        <f>SUMIF(Allocation[Delivery ID],Allocation[[#This Row],[Delivery ID]],Allocation[Quantity allocated])/SUMIF(Allocation[Delivery ID],Allocation[[#This Row],[Delivery ID]],Allocation[Volume available (kg)])</f>
        <v>0.86980715245582985</v>
      </c>
      <c r="U1417" s="61">
        <f>Allocation[[#This Row],[Total volume used]]/VLOOKUP(Allocation[[#This Row],[Delivery ID]],Delivery[[Delivery ID]:[Quantity delivered]],3,FALSE)</f>
        <v>0.63174708818635605</v>
      </c>
      <c r="V1417" s="34" t="e">
        <f>VLOOKUP(Allocation[[#This Row],[SAP Contract number]],Shipments[[SAP Contract number]:[Contracted container weight]],2,FALSE)</f>
        <v>#N/A</v>
      </c>
      <c r="W1417" s="34" t="e">
        <f>VLOOKUP(Allocation[[#This Row],[SAP Contract number]],Shipments[[SAP Contract number]:[AAA Premium USD]],24,FALSE)</f>
        <v>#N/A</v>
      </c>
      <c r="X1417" s="34" t="e">
        <f>VLOOKUP(Allocation[[#This Row],[SAP Contract number]],Shipments[[SAP Contract number]:[RA Premium USD]],25,FALSE)</f>
        <v>#N/A</v>
      </c>
      <c r="Y1417" s="38">
        <f>Allocation[[#This Row],[Quantity Processed]]/Allocation[[#This Row],[Quantity allocated]]</f>
        <v>2.5483870967741935</v>
      </c>
      <c r="Z1417" s="34" t="b">
        <f>Allocation[[#This Row],[Quantity allocated]]&lt;=Allocation[[#This Row],[Quantity Processed]]</f>
        <v>1</v>
      </c>
    </row>
    <row r="1418" spans="1:26">
      <c r="A1418" s="247" t="s">
        <v>467</v>
      </c>
      <c r="B1418" s="210" t="s">
        <v>68</v>
      </c>
      <c r="C1418" s="254" t="s">
        <v>976</v>
      </c>
      <c r="D1418" s="255">
        <v>26</v>
      </c>
      <c r="E1418" s="211" t="s">
        <v>1890</v>
      </c>
      <c r="F1418" s="212">
        <v>43587</v>
      </c>
      <c r="G1418" s="213">
        <v>2.91</v>
      </c>
      <c r="H1418" s="256">
        <v>10</v>
      </c>
      <c r="I1418" s="214">
        <v>1453736</v>
      </c>
      <c r="J1418" s="215">
        <v>19175</v>
      </c>
      <c r="K1418" s="212">
        <v>43595</v>
      </c>
      <c r="L1418" s="211" t="s">
        <v>1893</v>
      </c>
      <c r="M1418" s="216">
        <v>4615506885</v>
      </c>
      <c r="N1418" s="212">
        <v>43614</v>
      </c>
      <c r="O1418" s="217">
        <v>3.9746999999999999</v>
      </c>
      <c r="P1418" s="219"/>
      <c r="Q1418" s="34">
        <f>SUMIF(Allocation[Delivery ID],Allocation[[#This Row],[Delivery ID]],Allocation[Quantity Processed])</f>
        <v>5762</v>
      </c>
      <c r="R1418" s="61">
        <f>Allocation[[#This Row],[Total volume used]]/VLOOKUP(Allocation[[#This Row],[Delivery ID]],Delivery[[Delivery ID]:[Quantity delivered]],3,FALSE)</f>
        <v>0.56517900931829324</v>
      </c>
      <c r="S1418" s="34">
        <f>Allocation[[#This Row],[Quantity Processed]]/Allocation[[#This Row],[Dilution rate]]</f>
        <v>8.934707903780069</v>
      </c>
      <c r="T1418" s="59">
        <f>SUMIF(Allocation[Delivery ID],Allocation[[#This Row],[Delivery ID]],Allocation[Quantity allocated])/SUMIF(Allocation[Delivery ID],Allocation[[#This Row],[Delivery ID]],Allocation[Volume available (kg)])</f>
        <v>0.8530439681206371</v>
      </c>
      <c r="U1418" s="61">
        <f>Allocation[[#This Row],[Total volume used]]/VLOOKUP(Allocation[[#This Row],[Delivery ID]],Delivery[[Delivery ID]:[Quantity delivered]],3,FALSE)</f>
        <v>0.56517900931829324</v>
      </c>
      <c r="V1418" s="34" t="e">
        <f>VLOOKUP(Allocation[[#This Row],[SAP Contract number]],Shipments[[SAP Contract number]:[Contracted container weight]],2,FALSE)</f>
        <v>#N/A</v>
      </c>
      <c r="W1418" s="34" t="e">
        <f>VLOOKUP(Allocation[[#This Row],[SAP Contract number]],Shipments[[SAP Contract number]:[AAA Premium USD]],24,FALSE)</f>
        <v>#N/A</v>
      </c>
      <c r="X1418" s="34" t="e">
        <f>VLOOKUP(Allocation[[#This Row],[SAP Contract number]],Shipments[[SAP Contract number]:[RA Premium USD]],25,FALSE)</f>
        <v>#N/A</v>
      </c>
      <c r="Y1418" s="38">
        <f>Allocation[[#This Row],[Quantity Processed]]/Allocation[[#This Row],[Quantity allocated]]</f>
        <v>2.6</v>
      </c>
      <c r="Z1418" s="34" t="b">
        <f>Allocation[[#This Row],[Quantity allocated]]&lt;=Allocation[[#This Row],[Quantity Processed]]</f>
        <v>1</v>
      </c>
    </row>
    <row r="1419" spans="1:26">
      <c r="A1419" s="247" t="s">
        <v>467</v>
      </c>
      <c r="B1419" s="210" t="s">
        <v>68</v>
      </c>
      <c r="C1419" s="254" t="s">
        <v>978</v>
      </c>
      <c r="D1419" s="255">
        <v>45</v>
      </c>
      <c r="E1419" s="211" t="s">
        <v>1890</v>
      </c>
      <c r="F1419" s="212">
        <v>43587</v>
      </c>
      <c r="G1419" s="213">
        <v>2.91</v>
      </c>
      <c r="H1419" s="256">
        <v>15</v>
      </c>
      <c r="I1419" s="214">
        <v>1453736</v>
      </c>
      <c r="J1419" s="215">
        <v>19175</v>
      </c>
      <c r="K1419" s="212">
        <v>43595</v>
      </c>
      <c r="L1419" s="211" t="s">
        <v>1893</v>
      </c>
      <c r="M1419" s="216">
        <v>4615506885</v>
      </c>
      <c r="N1419" s="212">
        <v>43614</v>
      </c>
      <c r="O1419" s="217">
        <v>3.9746999999999999</v>
      </c>
      <c r="P1419" s="219"/>
      <c r="Q1419" s="34">
        <f>SUMIF(Allocation[Delivery ID],Allocation[[#This Row],[Delivery ID]],Allocation[Quantity Processed])</f>
        <v>10932</v>
      </c>
      <c r="R1419" s="61">
        <f>Allocation[[#This Row],[Total volume used]]/VLOOKUP(Allocation[[#This Row],[Delivery ID]],Delivery[[Delivery ID]:[Quantity delivered]],3,FALSE)</f>
        <v>0.72807192807192811</v>
      </c>
      <c r="S1419" s="34">
        <f>Allocation[[#This Row],[Quantity Processed]]/Allocation[[#This Row],[Dilution rate]]</f>
        <v>15.463917525773196</v>
      </c>
      <c r="T1419" s="59">
        <f>SUMIF(Allocation[Delivery ID],Allocation[[#This Row],[Delivery ID]],Allocation[Quantity allocated])/SUMIF(Allocation[Delivery ID],Allocation[[#This Row],[Delivery ID]],Allocation[Volume available (kg)])</f>
        <v>0.66709261121584584</v>
      </c>
      <c r="U1419" s="61">
        <f>Allocation[[#This Row],[Total volume used]]/VLOOKUP(Allocation[[#This Row],[Delivery ID]],Delivery[[Delivery ID]:[Quantity delivered]],3,FALSE)</f>
        <v>0.72807192807192811</v>
      </c>
      <c r="V1419" s="34" t="e">
        <f>VLOOKUP(Allocation[[#This Row],[SAP Contract number]],Shipments[[SAP Contract number]:[Contracted container weight]],2,FALSE)</f>
        <v>#N/A</v>
      </c>
      <c r="W1419" s="34" t="e">
        <f>VLOOKUP(Allocation[[#This Row],[SAP Contract number]],Shipments[[SAP Contract number]:[AAA Premium USD]],24,FALSE)</f>
        <v>#N/A</v>
      </c>
      <c r="X1419" s="34" t="e">
        <f>VLOOKUP(Allocation[[#This Row],[SAP Contract number]],Shipments[[SAP Contract number]:[RA Premium USD]],25,FALSE)</f>
        <v>#N/A</v>
      </c>
      <c r="Y1419" s="38">
        <f>Allocation[[#This Row],[Quantity Processed]]/Allocation[[#This Row],[Quantity allocated]]</f>
        <v>3</v>
      </c>
      <c r="Z1419" s="34" t="b">
        <f>Allocation[[#This Row],[Quantity allocated]]&lt;=Allocation[[#This Row],[Quantity Processed]]</f>
        <v>1</v>
      </c>
    </row>
    <row r="1420" spans="1:26">
      <c r="A1420" s="247" t="s">
        <v>467</v>
      </c>
      <c r="B1420" s="210" t="s">
        <v>68</v>
      </c>
      <c r="C1420" s="254" t="s">
        <v>984</v>
      </c>
      <c r="D1420" s="255">
        <v>73</v>
      </c>
      <c r="E1420" s="211" t="s">
        <v>1890</v>
      </c>
      <c r="F1420" s="212">
        <v>43587</v>
      </c>
      <c r="G1420" s="213">
        <v>2.91</v>
      </c>
      <c r="H1420" s="256">
        <v>24</v>
      </c>
      <c r="I1420" s="214">
        <v>1453736</v>
      </c>
      <c r="J1420" s="215">
        <v>19175</v>
      </c>
      <c r="K1420" s="212">
        <v>43595</v>
      </c>
      <c r="L1420" s="211" t="s">
        <v>1893</v>
      </c>
      <c r="M1420" s="216">
        <v>4615506885</v>
      </c>
      <c r="N1420" s="212">
        <v>43614</v>
      </c>
      <c r="O1420" s="217">
        <v>3.9746999999999999</v>
      </c>
      <c r="P1420" s="219"/>
      <c r="Q1420" s="34">
        <f>SUMIF(Allocation[Delivery ID],Allocation[[#This Row],[Delivery ID]],Allocation[Quantity Processed])</f>
        <v>16184</v>
      </c>
      <c r="R1420" s="61">
        <f>Allocation[[#This Row],[Total volume used]]/VLOOKUP(Allocation[[#This Row],[Delivery ID]],Delivery[[Delivery ID]:[Quantity delivered]],3,FALSE)</f>
        <v>0.675741127348643</v>
      </c>
      <c r="S1420" s="34">
        <f>Allocation[[#This Row],[Quantity Processed]]/Allocation[[#This Row],[Dilution rate]]</f>
        <v>25.085910652920962</v>
      </c>
      <c r="T1420" s="59">
        <f>SUMIF(Allocation[Delivery ID],Allocation[[#This Row],[Delivery ID]],Allocation[Quantity allocated])/SUMIF(Allocation[Delivery ID],Allocation[[#This Row],[Delivery ID]],Allocation[Volume available (kg)])</f>
        <v>0.72306862817030149</v>
      </c>
      <c r="U1420" s="61">
        <f>Allocation[[#This Row],[Total volume used]]/VLOOKUP(Allocation[[#This Row],[Delivery ID]],Delivery[[Delivery ID]:[Quantity delivered]],3,FALSE)</f>
        <v>0.675741127348643</v>
      </c>
      <c r="V1420" s="34" t="e">
        <f>VLOOKUP(Allocation[[#This Row],[SAP Contract number]],Shipments[[SAP Contract number]:[Contracted container weight]],2,FALSE)</f>
        <v>#N/A</v>
      </c>
      <c r="W1420" s="34" t="e">
        <f>VLOOKUP(Allocation[[#This Row],[SAP Contract number]],Shipments[[SAP Contract number]:[AAA Premium USD]],24,FALSE)</f>
        <v>#N/A</v>
      </c>
      <c r="X1420" s="34" t="e">
        <f>VLOOKUP(Allocation[[#This Row],[SAP Contract number]],Shipments[[SAP Contract number]:[RA Premium USD]],25,FALSE)</f>
        <v>#N/A</v>
      </c>
      <c r="Y1420" s="38">
        <f>Allocation[[#This Row],[Quantity Processed]]/Allocation[[#This Row],[Quantity allocated]]</f>
        <v>3.0416666666666665</v>
      </c>
      <c r="Z1420" s="34" t="b">
        <f>Allocation[[#This Row],[Quantity allocated]]&lt;=Allocation[[#This Row],[Quantity Processed]]</f>
        <v>1</v>
      </c>
    </row>
    <row r="1421" spans="1:26">
      <c r="A1421" s="247" t="s">
        <v>467</v>
      </c>
      <c r="B1421" s="210" t="s">
        <v>68</v>
      </c>
      <c r="C1421" s="254" t="s">
        <v>985</v>
      </c>
      <c r="D1421" s="255">
        <v>31</v>
      </c>
      <c r="E1421" s="211" t="s">
        <v>1890</v>
      </c>
      <c r="F1421" s="212">
        <v>43587</v>
      </c>
      <c r="G1421" s="213">
        <v>2.91</v>
      </c>
      <c r="H1421" s="256">
        <v>11</v>
      </c>
      <c r="I1421" s="214">
        <v>1453736</v>
      </c>
      <c r="J1421" s="215">
        <v>19175</v>
      </c>
      <c r="K1421" s="212">
        <v>43595</v>
      </c>
      <c r="L1421" s="211" t="s">
        <v>1893</v>
      </c>
      <c r="M1421" s="216">
        <v>4615506885</v>
      </c>
      <c r="N1421" s="212">
        <v>43614</v>
      </c>
      <c r="O1421" s="217">
        <v>3.9746999999999999</v>
      </c>
      <c r="P1421" s="219"/>
      <c r="Q1421" s="34">
        <f>SUMIF(Allocation[Delivery ID],Allocation[[#This Row],[Delivery ID]],Allocation[Quantity Processed])</f>
        <v>7053</v>
      </c>
      <c r="R1421" s="61">
        <f>Allocation[[#This Row],[Total volume used]]/VLOOKUP(Allocation[[#This Row],[Delivery ID]],Delivery[[Delivery ID]:[Quantity delivered]],3,FALSE)</f>
        <v>0.63770343580470168</v>
      </c>
      <c r="S1421" s="34">
        <f>Allocation[[#This Row],[Quantity Processed]]/Allocation[[#This Row],[Dilution rate]]</f>
        <v>10.652920962199312</v>
      </c>
      <c r="T1421" s="59">
        <f>SUMIF(Allocation[Delivery ID],Allocation[[#This Row],[Delivery ID]],Allocation[Quantity allocated])/SUMIF(Allocation[Delivery ID],Allocation[[#This Row],[Delivery ID]],Allocation[Volume available (kg)])</f>
        <v>0.76690120298999431</v>
      </c>
      <c r="U1421" s="61">
        <f>Allocation[[#This Row],[Total volume used]]/VLOOKUP(Allocation[[#This Row],[Delivery ID]],Delivery[[Delivery ID]:[Quantity delivered]],3,FALSE)</f>
        <v>0.63770343580470168</v>
      </c>
      <c r="V1421" s="34" t="e">
        <f>VLOOKUP(Allocation[[#This Row],[SAP Contract number]],Shipments[[SAP Contract number]:[Contracted container weight]],2,FALSE)</f>
        <v>#N/A</v>
      </c>
      <c r="W1421" s="34" t="e">
        <f>VLOOKUP(Allocation[[#This Row],[SAP Contract number]],Shipments[[SAP Contract number]:[AAA Premium USD]],24,FALSE)</f>
        <v>#N/A</v>
      </c>
      <c r="X1421" s="34" t="e">
        <f>VLOOKUP(Allocation[[#This Row],[SAP Contract number]],Shipments[[SAP Contract number]:[RA Premium USD]],25,FALSE)</f>
        <v>#N/A</v>
      </c>
      <c r="Y1421" s="38">
        <f>Allocation[[#This Row],[Quantity Processed]]/Allocation[[#This Row],[Quantity allocated]]</f>
        <v>2.8181818181818183</v>
      </c>
      <c r="Z1421" s="34" t="b">
        <f>Allocation[[#This Row],[Quantity allocated]]&lt;=Allocation[[#This Row],[Quantity Processed]]</f>
        <v>1</v>
      </c>
    </row>
    <row r="1422" spans="1:26">
      <c r="A1422" s="247" t="s">
        <v>467</v>
      </c>
      <c r="B1422" s="210" t="s">
        <v>68</v>
      </c>
      <c r="C1422" s="254" t="s">
        <v>987</v>
      </c>
      <c r="D1422" s="255">
        <v>15</v>
      </c>
      <c r="E1422" s="211" t="s">
        <v>1890</v>
      </c>
      <c r="F1422" s="212">
        <v>43587</v>
      </c>
      <c r="G1422" s="213">
        <v>2.91</v>
      </c>
      <c r="H1422" s="256">
        <v>5</v>
      </c>
      <c r="I1422" s="214">
        <v>1453736</v>
      </c>
      <c r="J1422" s="215">
        <v>19175</v>
      </c>
      <c r="K1422" s="212">
        <v>43595</v>
      </c>
      <c r="L1422" s="211" t="s">
        <v>1893</v>
      </c>
      <c r="M1422" s="216">
        <v>4615506885</v>
      </c>
      <c r="N1422" s="212">
        <v>43614</v>
      </c>
      <c r="O1422" s="217">
        <v>3.9746999999999999</v>
      </c>
      <c r="P1422" s="219"/>
      <c r="Q1422" s="34">
        <f>SUMIF(Allocation[Delivery ID],Allocation[[#This Row],[Delivery ID]],Allocation[Quantity Processed])</f>
        <v>3339</v>
      </c>
      <c r="R1422" s="61">
        <f>Allocation[[#This Row],[Total volume used]]/VLOOKUP(Allocation[[#This Row],[Delivery ID]],Delivery[[Delivery ID]:[Quantity delivered]],3,FALSE)</f>
        <v>0.65573448546739987</v>
      </c>
      <c r="S1422" s="34">
        <f>Allocation[[#This Row],[Quantity Processed]]/Allocation[[#This Row],[Dilution rate]]</f>
        <v>5.1546391752577314</v>
      </c>
      <c r="T1422" s="59">
        <f>SUMIF(Allocation[Delivery ID],Allocation[[#This Row],[Delivery ID]],Allocation[Quantity allocated])/SUMIF(Allocation[Delivery ID],Allocation[[#This Row],[Delivery ID]],Allocation[Volume available (kg)])</f>
        <v>0.74487926835387097</v>
      </c>
      <c r="U1422" s="61">
        <f>Allocation[[#This Row],[Total volume used]]/VLOOKUP(Allocation[[#This Row],[Delivery ID]],Delivery[[Delivery ID]:[Quantity delivered]],3,FALSE)</f>
        <v>0.65573448546739987</v>
      </c>
      <c r="V1422" s="34" t="e">
        <f>VLOOKUP(Allocation[[#This Row],[SAP Contract number]],Shipments[[SAP Contract number]:[Contracted container weight]],2,FALSE)</f>
        <v>#N/A</v>
      </c>
      <c r="W1422" s="34" t="e">
        <f>VLOOKUP(Allocation[[#This Row],[SAP Contract number]],Shipments[[SAP Contract number]:[AAA Premium USD]],24,FALSE)</f>
        <v>#N/A</v>
      </c>
      <c r="X1422" s="34" t="e">
        <f>VLOOKUP(Allocation[[#This Row],[SAP Contract number]],Shipments[[SAP Contract number]:[RA Premium USD]],25,FALSE)</f>
        <v>#N/A</v>
      </c>
      <c r="Y1422" s="38">
        <f>Allocation[[#This Row],[Quantity Processed]]/Allocation[[#This Row],[Quantity allocated]]</f>
        <v>3</v>
      </c>
      <c r="Z1422" s="34" t="b">
        <f>Allocation[[#This Row],[Quantity allocated]]&lt;=Allocation[[#This Row],[Quantity Processed]]</f>
        <v>1</v>
      </c>
    </row>
    <row r="1423" spans="1:26">
      <c r="A1423" s="247" t="s">
        <v>467</v>
      </c>
      <c r="B1423" s="210" t="s">
        <v>68</v>
      </c>
      <c r="C1423" s="254" t="s">
        <v>989</v>
      </c>
      <c r="D1423" s="255">
        <v>15</v>
      </c>
      <c r="E1423" s="211" t="s">
        <v>1890</v>
      </c>
      <c r="F1423" s="212">
        <v>43587</v>
      </c>
      <c r="G1423" s="213">
        <v>2.91</v>
      </c>
      <c r="H1423" s="256">
        <v>5</v>
      </c>
      <c r="I1423" s="214">
        <v>1453736</v>
      </c>
      <c r="J1423" s="215">
        <v>19175</v>
      </c>
      <c r="K1423" s="212">
        <v>43595</v>
      </c>
      <c r="L1423" s="211" t="s">
        <v>1893</v>
      </c>
      <c r="M1423" s="216">
        <v>4615506885</v>
      </c>
      <c r="N1423" s="212">
        <v>43614</v>
      </c>
      <c r="O1423" s="217">
        <v>3.9746999999999999</v>
      </c>
      <c r="P1423" s="219"/>
      <c r="Q1423" s="34">
        <f>SUMIF(Allocation[Delivery ID],Allocation[[#This Row],[Delivery ID]],Allocation[Quantity Processed])</f>
        <v>3415</v>
      </c>
      <c r="R1423" s="61">
        <f>Allocation[[#This Row],[Total volume used]]/VLOOKUP(Allocation[[#This Row],[Delivery ID]],Delivery[[Delivery ID]:[Quantity delivered]],3,FALSE)</f>
        <v>0.65521872601688413</v>
      </c>
      <c r="S1423" s="34">
        <f>Allocation[[#This Row],[Quantity Processed]]/Allocation[[#This Row],[Dilution rate]]</f>
        <v>5.1546391752577314</v>
      </c>
      <c r="T1423" s="59">
        <f>SUMIF(Allocation[Delivery ID],Allocation[[#This Row],[Delivery ID]],Allocation[Quantity allocated])/SUMIF(Allocation[Delivery ID],Allocation[[#This Row],[Delivery ID]],Allocation[Volume available (kg)])</f>
        <v>0.74479024256456761</v>
      </c>
      <c r="U1423" s="61">
        <f>Allocation[[#This Row],[Total volume used]]/VLOOKUP(Allocation[[#This Row],[Delivery ID]],Delivery[[Delivery ID]:[Quantity delivered]],3,FALSE)</f>
        <v>0.65521872601688413</v>
      </c>
      <c r="V1423" s="34" t="e">
        <f>VLOOKUP(Allocation[[#This Row],[SAP Contract number]],Shipments[[SAP Contract number]:[Contracted container weight]],2,FALSE)</f>
        <v>#N/A</v>
      </c>
      <c r="W1423" s="34" t="e">
        <f>VLOOKUP(Allocation[[#This Row],[SAP Contract number]],Shipments[[SAP Contract number]:[AAA Premium USD]],24,FALSE)</f>
        <v>#N/A</v>
      </c>
      <c r="X1423" s="34" t="e">
        <f>VLOOKUP(Allocation[[#This Row],[SAP Contract number]],Shipments[[SAP Contract number]:[RA Premium USD]],25,FALSE)</f>
        <v>#N/A</v>
      </c>
      <c r="Y1423" s="38">
        <f>Allocation[[#This Row],[Quantity Processed]]/Allocation[[#This Row],[Quantity allocated]]</f>
        <v>3</v>
      </c>
      <c r="Z1423" s="34" t="b">
        <f>Allocation[[#This Row],[Quantity allocated]]&lt;=Allocation[[#This Row],[Quantity Processed]]</f>
        <v>1</v>
      </c>
    </row>
    <row r="1424" spans="1:26">
      <c r="A1424" s="247" t="s">
        <v>467</v>
      </c>
      <c r="B1424" s="210" t="s">
        <v>68</v>
      </c>
      <c r="C1424" s="254" t="s">
        <v>990</v>
      </c>
      <c r="D1424" s="255">
        <v>21</v>
      </c>
      <c r="E1424" s="211" t="s">
        <v>1890</v>
      </c>
      <c r="F1424" s="212">
        <v>43587</v>
      </c>
      <c r="G1424" s="213">
        <v>2.91</v>
      </c>
      <c r="H1424" s="256">
        <v>7</v>
      </c>
      <c r="I1424" s="214">
        <v>1453736</v>
      </c>
      <c r="J1424" s="215">
        <v>19175</v>
      </c>
      <c r="K1424" s="212">
        <v>43595</v>
      </c>
      <c r="L1424" s="211" t="s">
        <v>1893</v>
      </c>
      <c r="M1424" s="216">
        <v>4615506885</v>
      </c>
      <c r="N1424" s="212">
        <v>43614</v>
      </c>
      <c r="O1424" s="217">
        <v>3.9746999999999999</v>
      </c>
      <c r="P1424" s="219"/>
      <c r="Q1424" s="34">
        <f>SUMIF(Allocation[Delivery ID],Allocation[[#This Row],[Delivery ID]],Allocation[Quantity Processed])</f>
        <v>4243</v>
      </c>
      <c r="R1424" s="61">
        <f>Allocation[[#This Row],[Total volume used]]/VLOOKUP(Allocation[[#This Row],[Delivery ID]],Delivery[[Delivery ID]:[Quantity delivered]],3,FALSE)</f>
        <v>0.65584666512095213</v>
      </c>
      <c r="S1424" s="34">
        <f>Allocation[[#This Row],[Quantity Processed]]/Allocation[[#This Row],[Dilution rate]]</f>
        <v>7.216494845360824</v>
      </c>
      <c r="T1424" s="59">
        <f>SUMIF(Allocation[Delivery ID],Allocation[[#This Row],[Delivery ID]],Allocation[Quantity allocated])/SUMIF(Allocation[Delivery ID],Allocation[[#This Row],[Delivery ID]],Allocation[Volume available (kg)])</f>
        <v>0.74465989275145106</v>
      </c>
      <c r="U1424" s="61">
        <f>Allocation[[#This Row],[Total volume used]]/VLOOKUP(Allocation[[#This Row],[Delivery ID]],Delivery[[Delivery ID]:[Quantity delivered]],3,FALSE)</f>
        <v>0.65584666512095213</v>
      </c>
      <c r="V1424" s="34" t="e">
        <f>VLOOKUP(Allocation[[#This Row],[SAP Contract number]],Shipments[[SAP Contract number]:[Contracted container weight]],2,FALSE)</f>
        <v>#N/A</v>
      </c>
      <c r="W1424" s="34" t="e">
        <f>VLOOKUP(Allocation[[#This Row],[SAP Contract number]],Shipments[[SAP Contract number]:[AAA Premium USD]],24,FALSE)</f>
        <v>#N/A</v>
      </c>
      <c r="X1424" s="34" t="e">
        <f>VLOOKUP(Allocation[[#This Row],[SAP Contract number]],Shipments[[SAP Contract number]:[RA Premium USD]],25,FALSE)</f>
        <v>#N/A</v>
      </c>
      <c r="Y1424" s="38">
        <f>Allocation[[#This Row],[Quantity Processed]]/Allocation[[#This Row],[Quantity allocated]]</f>
        <v>3</v>
      </c>
      <c r="Z1424" s="34" t="b">
        <f>Allocation[[#This Row],[Quantity allocated]]&lt;=Allocation[[#This Row],[Quantity Processed]]</f>
        <v>1</v>
      </c>
    </row>
    <row r="1425" spans="1:26">
      <c r="A1425" s="247" t="s">
        <v>467</v>
      </c>
      <c r="B1425" s="210" t="s">
        <v>68</v>
      </c>
      <c r="C1425" s="254" t="s">
        <v>991</v>
      </c>
      <c r="D1425" s="255">
        <v>55</v>
      </c>
      <c r="E1425" s="211" t="s">
        <v>1890</v>
      </c>
      <c r="F1425" s="212">
        <v>43587</v>
      </c>
      <c r="G1425" s="213">
        <v>2.91</v>
      </c>
      <c r="H1425" s="256">
        <v>18</v>
      </c>
      <c r="I1425" s="214">
        <v>1453736</v>
      </c>
      <c r="J1425" s="215">
        <v>19175</v>
      </c>
      <c r="K1425" s="212">
        <v>43595</v>
      </c>
      <c r="L1425" s="211" t="s">
        <v>1893</v>
      </c>
      <c r="M1425" s="216">
        <v>4615506885</v>
      </c>
      <c r="N1425" s="212">
        <v>43614</v>
      </c>
      <c r="O1425" s="217">
        <v>3.9746999999999999</v>
      </c>
      <c r="P1425" s="219"/>
      <c r="Q1425" s="34">
        <f>SUMIF(Allocation[Delivery ID],Allocation[[#This Row],[Delivery ID]],Allocation[Quantity Processed])</f>
        <v>25620</v>
      </c>
      <c r="R1425" s="61">
        <f>Allocation[[#This Row],[Total volume used]]/VLOOKUP(Allocation[[#This Row],[Delivery ID]],Delivery[[Delivery ID]:[Quantity delivered]],3,FALSE)</f>
        <v>1</v>
      </c>
      <c r="S1425" s="34">
        <f>Allocation[[#This Row],[Quantity Processed]]/Allocation[[#This Row],[Dilution rate]]</f>
        <v>18.900343642611684</v>
      </c>
      <c r="T1425" s="59">
        <f>SUMIF(Allocation[Delivery ID],Allocation[[#This Row],[Delivery ID]],Allocation[Quantity allocated])/SUMIF(Allocation[Delivery ID],Allocation[[#This Row],[Delivery ID]],Allocation[Volume available (kg)])</f>
        <v>0.80361740714337937</v>
      </c>
      <c r="U1425" s="61">
        <f>Allocation[[#This Row],[Total volume used]]/VLOOKUP(Allocation[[#This Row],[Delivery ID]],Delivery[[Delivery ID]:[Quantity delivered]],3,FALSE)</f>
        <v>1</v>
      </c>
      <c r="V1425" s="34" t="e">
        <f>VLOOKUP(Allocation[[#This Row],[SAP Contract number]],Shipments[[SAP Contract number]:[Contracted container weight]],2,FALSE)</f>
        <v>#N/A</v>
      </c>
      <c r="W1425" s="34" t="e">
        <f>VLOOKUP(Allocation[[#This Row],[SAP Contract number]],Shipments[[SAP Contract number]:[AAA Premium USD]],24,FALSE)</f>
        <v>#N/A</v>
      </c>
      <c r="X1425" s="34" t="e">
        <f>VLOOKUP(Allocation[[#This Row],[SAP Contract number]],Shipments[[SAP Contract number]:[RA Premium USD]],25,FALSE)</f>
        <v>#N/A</v>
      </c>
      <c r="Y1425" s="38">
        <f>Allocation[[#This Row],[Quantity Processed]]/Allocation[[#This Row],[Quantity allocated]]</f>
        <v>3.0555555555555554</v>
      </c>
      <c r="Z1425" s="34" t="b">
        <f>Allocation[[#This Row],[Quantity allocated]]&lt;=Allocation[[#This Row],[Quantity Processed]]</f>
        <v>1</v>
      </c>
    </row>
    <row r="1426" spans="1:26">
      <c r="A1426" s="247" t="s">
        <v>467</v>
      </c>
      <c r="B1426" s="210" t="s">
        <v>68</v>
      </c>
      <c r="C1426" s="254" t="s">
        <v>996</v>
      </c>
      <c r="D1426" s="255">
        <v>36</v>
      </c>
      <c r="E1426" s="211" t="s">
        <v>1890</v>
      </c>
      <c r="F1426" s="212">
        <v>43587</v>
      </c>
      <c r="G1426" s="213">
        <v>2.91</v>
      </c>
      <c r="H1426" s="256">
        <v>12</v>
      </c>
      <c r="I1426" s="214">
        <v>1453736</v>
      </c>
      <c r="J1426" s="215">
        <v>19175</v>
      </c>
      <c r="K1426" s="212">
        <v>43595</v>
      </c>
      <c r="L1426" s="211" t="s">
        <v>1893</v>
      </c>
      <c r="M1426" s="216">
        <v>4615506885</v>
      </c>
      <c r="N1426" s="212">
        <v>43614</v>
      </c>
      <c r="O1426" s="217">
        <v>3.9746999999999999</v>
      </c>
      <c r="P1426" s="219"/>
      <c r="Q1426" s="34">
        <f>SUMIF(Allocation[Delivery ID],Allocation[[#This Row],[Delivery ID]],Allocation[Quantity Processed])</f>
        <v>20080</v>
      </c>
      <c r="R1426" s="61">
        <f>Allocation[[#This Row],[Total volume used]]/VLOOKUP(Allocation[[#This Row],[Delivery ID]],Delivery[[Delivery ID]:[Quantity delivered]],3,FALSE)</f>
        <v>1</v>
      </c>
      <c r="S1426" s="34">
        <f>Allocation[[#This Row],[Quantity Processed]]/Allocation[[#This Row],[Dilution rate]]</f>
        <v>12.371134020618555</v>
      </c>
      <c r="T1426" s="59">
        <f>SUMIF(Allocation[Delivery ID],Allocation[[#This Row],[Delivery ID]],Allocation[Quantity allocated])/SUMIF(Allocation[Delivery ID],Allocation[[#This Row],[Delivery ID]],Allocation[Volume available (kg)])</f>
        <v>0.81624488094994108</v>
      </c>
      <c r="U1426" s="61">
        <f>Allocation[[#This Row],[Total volume used]]/VLOOKUP(Allocation[[#This Row],[Delivery ID]],Delivery[[Delivery ID]:[Quantity delivered]],3,FALSE)</f>
        <v>1</v>
      </c>
      <c r="V1426" s="34" t="e">
        <f>VLOOKUP(Allocation[[#This Row],[SAP Contract number]],Shipments[[SAP Contract number]:[Contracted container weight]],2,FALSE)</f>
        <v>#N/A</v>
      </c>
      <c r="W1426" s="34" t="e">
        <f>VLOOKUP(Allocation[[#This Row],[SAP Contract number]],Shipments[[SAP Contract number]:[AAA Premium USD]],24,FALSE)</f>
        <v>#N/A</v>
      </c>
      <c r="X1426" s="34" t="e">
        <f>VLOOKUP(Allocation[[#This Row],[SAP Contract number]],Shipments[[SAP Contract number]:[RA Premium USD]],25,FALSE)</f>
        <v>#N/A</v>
      </c>
      <c r="Y1426" s="38">
        <f>Allocation[[#This Row],[Quantity Processed]]/Allocation[[#This Row],[Quantity allocated]]</f>
        <v>3</v>
      </c>
      <c r="Z1426" s="34" t="b">
        <f>Allocation[[#This Row],[Quantity allocated]]&lt;=Allocation[[#This Row],[Quantity Processed]]</f>
        <v>1</v>
      </c>
    </row>
    <row r="1427" spans="1:26">
      <c r="A1427" s="247" t="s">
        <v>467</v>
      </c>
      <c r="B1427" s="210" t="s">
        <v>68</v>
      </c>
      <c r="C1427" s="254" t="s">
        <v>1001</v>
      </c>
      <c r="D1427" s="255">
        <v>41</v>
      </c>
      <c r="E1427" s="211" t="s">
        <v>1890</v>
      </c>
      <c r="F1427" s="212">
        <v>43587</v>
      </c>
      <c r="G1427" s="213">
        <v>2.91</v>
      </c>
      <c r="H1427" s="256">
        <v>19</v>
      </c>
      <c r="I1427" s="214">
        <v>1453736</v>
      </c>
      <c r="J1427" s="215">
        <v>19175</v>
      </c>
      <c r="K1427" s="212">
        <v>43595</v>
      </c>
      <c r="L1427" s="211" t="s">
        <v>1893</v>
      </c>
      <c r="M1427" s="216">
        <v>4615506885</v>
      </c>
      <c r="N1427" s="212">
        <v>43614</v>
      </c>
      <c r="O1427" s="217">
        <v>3.9746999999999999</v>
      </c>
      <c r="P1427" s="219"/>
      <c r="Q1427" s="34">
        <f>SUMIF(Allocation[Delivery ID],Allocation[[#This Row],[Delivery ID]],Allocation[Quantity Processed])</f>
        <v>28867</v>
      </c>
      <c r="R1427" s="61">
        <f>Allocation[[#This Row],[Total volume used]]/VLOOKUP(Allocation[[#This Row],[Delivery ID]],Delivery[[Delivery ID]:[Quantity delivered]],3,FALSE)</f>
        <v>0.89900342572407355</v>
      </c>
      <c r="S1427" s="34">
        <f>Allocation[[#This Row],[Quantity Processed]]/Allocation[[#This Row],[Dilution rate]]</f>
        <v>14.0893470790378</v>
      </c>
      <c r="T1427" s="59">
        <f>SUMIF(Allocation[Delivery ID],Allocation[[#This Row],[Delivery ID]],Allocation[Quantity allocated])/SUMIF(Allocation[Delivery ID],Allocation[[#This Row],[Delivery ID]],Allocation[Volume available (kg)])</f>
        <v>1.1481266053320882</v>
      </c>
      <c r="U1427" s="61">
        <f>Allocation[[#This Row],[Total volume used]]/VLOOKUP(Allocation[[#This Row],[Delivery ID]],Delivery[[Delivery ID]:[Quantity delivered]],3,FALSE)</f>
        <v>0.89900342572407355</v>
      </c>
      <c r="V1427" s="34" t="e">
        <f>VLOOKUP(Allocation[[#This Row],[SAP Contract number]],Shipments[[SAP Contract number]:[Contracted container weight]],2,FALSE)</f>
        <v>#N/A</v>
      </c>
      <c r="W1427" s="34" t="e">
        <f>VLOOKUP(Allocation[[#This Row],[SAP Contract number]],Shipments[[SAP Contract number]:[AAA Premium USD]],24,FALSE)</f>
        <v>#N/A</v>
      </c>
      <c r="X1427" s="34" t="e">
        <f>VLOOKUP(Allocation[[#This Row],[SAP Contract number]],Shipments[[SAP Contract number]:[RA Premium USD]],25,FALSE)</f>
        <v>#N/A</v>
      </c>
      <c r="Y1427" s="38">
        <f>Allocation[[#This Row],[Quantity Processed]]/Allocation[[#This Row],[Quantity allocated]]</f>
        <v>2.1578947368421053</v>
      </c>
      <c r="Z1427" s="34" t="b">
        <f>Allocation[[#This Row],[Quantity allocated]]&lt;=Allocation[[#This Row],[Quantity Processed]]</f>
        <v>1</v>
      </c>
    </row>
    <row r="1428" spans="1:26">
      <c r="A1428" s="247" t="s">
        <v>467</v>
      </c>
      <c r="B1428" s="210" t="s">
        <v>68</v>
      </c>
      <c r="C1428" s="254" t="s">
        <v>1003</v>
      </c>
      <c r="D1428" s="255">
        <v>41</v>
      </c>
      <c r="E1428" s="211" t="s">
        <v>1890</v>
      </c>
      <c r="F1428" s="212">
        <v>43587</v>
      </c>
      <c r="G1428" s="213">
        <v>2.91</v>
      </c>
      <c r="H1428" s="256">
        <v>19</v>
      </c>
      <c r="I1428" s="214">
        <v>1453736</v>
      </c>
      <c r="J1428" s="215">
        <v>19175</v>
      </c>
      <c r="K1428" s="212">
        <v>43595</v>
      </c>
      <c r="L1428" s="211" t="s">
        <v>1893</v>
      </c>
      <c r="M1428" s="216">
        <v>4615506885</v>
      </c>
      <c r="N1428" s="212">
        <v>43614</v>
      </c>
      <c r="O1428" s="217">
        <v>3.9746999999999999</v>
      </c>
      <c r="P1428" s="219"/>
      <c r="Q1428" s="34">
        <f>SUMIF(Allocation[Delivery ID],Allocation[[#This Row],[Delivery ID]],Allocation[Quantity Processed])</f>
        <v>28873</v>
      </c>
      <c r="R1428" s="61">
        <f>Allocation[[#This Row],[Total volume used]]/VLOOKUP(Allocation[[#This Row],[Delivery ID]],Delivery[[Delivery ID]:[Quantity delivered]],3,FALSE)</f>
        <v>0.89891033623910332</v>
      </c>
      <c r="S1428" s="34">
        <f>Allocation[[#This Row],[Quantity Processed]]/Allocation[[#This Row],[Dilution rate]]</f>
        <v>14.0893470790378</v>
      </c>
      <c r="T1428" s="59">
        <f>SUMIF(Allocation[Delivery ID],Allocation[[#This Row],[Delivery ID]],Allocation[Quantity allocated])/SUMIF(Allocation[Delivery ID],Allocation[[#This Row],[Delivery ID]],Allocation[Volume available (kg)])</f>
        <v>1.1481625917339773</v>
      </c>
      <c r="U1428" s="61">
        <f>Allocation[[#This Row],[Total volume used]]/VLOOKUP(Allocation[[#This Row],[Delivery ID]],Delivery[[Delivery ID]:[Quantity delivered]],3,FALSE)</f>
        <v>0.89891033623910332</v>
      </c>
      <c r="V1428" s="34" t="e">
        <f>VLOOKUP(Allocation[[#This Row],[SAP Contract number]],Shipments[[SAP Contract number]:[Contracted container weight]],2,FALSE)</f>
        <v>#N/A</v>
      </c>
      <c r="W1428" s="34" t="e">
        <f>VLOOKUP(Allocation[[#This Row],[SAP Contract number]],Shipments[[SAP Contract number]:[AAA Premium USD]],24,FALSE)</f>
        <v>#N/A</v>
      </c>
      <c r="X1428" s="34" t="e">
        <f>VLOOKUP(Allocation[[#This Row],[SAP Contract number]],Shipments[[SAP Contract number]:[RA Premium USD]],25,FALSE)</f>
        <v>#N/A</v>
      </c>
      <c r="Y1428" s="38">
        <f>Allocation[[#This Row],[Quantity Processed]]/Allocation[[#This Row],[Quantity allocated]]</f>
        <v>2.1578947368421053</v>
      </c>
      <c r="Z1428" s="34" t="b">
        <f>Allocation[[#This Row],[Quantity allocated]]&lt;=Allocation[[#This Row],[Quantity Processed]]</f>
        <v>1</v>
      </c>
    </row>
    <row r="1429" spans="1:26">
      <c r="A1429" s="247" t="s">
        <v>467</v>
      </c>
      <c r="B1429" s="210" t="s">
        <v>68</v>
      </c>
      <c r="C1429" s="254" t="s">
        <v>1004</v>
      </c>
      <c r="D1429" s="255">
        <v>24</v>
      </c>
      <c r="E1429" s="211" t="s">
        <v>1890</v>
      </c>
      <c r="F1429" s="212">
        <v>43587</v>
      </c>
      <c r="G1429" s="213">
        <v>2.91</v>
      </c>
      <c r="H1429" s="256">
        <v>11</v>
      </c>
      <c r="I1429" s="214">
        <v>1453736</v>
      </c>
      <c r="J1429" s="215">
        <v>19175</v>
      </c>
      <c r="K1429" s="212">
        <v>43595</v>
      </c>
      <c r="L1429" s="211" t="s">
        <v>1893</v>
      </c>
      <c r="M1429" s="216">
        <v>4615506885</v>
      </c>
      <c r="N1429" s="212">
        <v>43614</v>
      </c>
      <c r="O1429" s="217">
        <v>3.9746999999999999</v>
      </c>
      <c r="P1429" s="219"/>
      <c r="Q1429" s="34">
        <f>SUMIF(Allocation[Delivery ID],Allocation[[#This Row],[Delivery ID]],Allocation[Quantity Processed])</f>
        <v>16278</v>
      </c>
      <c r="R1429" s="61">
        <f>Allocation[[#This Row],[Total volume used]]/VLOOKUP(Allocation[[#This Row],[Delivery ID]],Delivery[[Delivery ID]:[Quantity delivered]],3,FALSE)</f>
        <v>0.90132890365448504</v>
      </c>
      <c r="S1429" s="34">
        <f>Allocation[[#This Row],[Quantity Processed]]/Allocation[[#This Row],[Dilution rate]]</f>
        <v>8.2474226804123703</v>
      </c>
      <c r="T1429" s="59">
        <f>SUMIF(Allocation[Delivery ID],Allocation[[#This Row],[Delivery ID]],Allocation[Quantity allocated])/SUMIF(Allocation[Delivery ID],Allocation[[#This Row],[Delivery ID]],Allocation[Volume available (kg)])</f>
        <v>1.1475658695106412</v>
      </c>
      <c r="U1429" s="61">
        <f>Allocation[[#This Row],[Total volume used]]/VLOOKUP(Allocation[[#This Row],[Delivery ID]],Delivery[[Delivery ID]:[Quantity delivered]],3,FALSE)</f>
        <v>0.90132890365448504</v>
      </c>
      <c r="V1429" s="34" t="e">
        <f>VLOOKUP(Allocation[[#This Row],[SAP Contract number]],Shipments[[SAP Contract number]:[Contracted container weight]],2,FALSE)</f>
        <v>#N/A</v>
      </c>
      <c r="W1429" s="34" t="e">
        <f>VLOOKUP(Allocation[[#This Row],[SAP Contract number]],Shipments[[SAP Contract number]:[AAA Premium USD]],24,FALSE)</f>
        <v>#N/A</v>
      </c>
      <c r="X1429" s="34" t="e">
        <f>VLOOKUP(Allocation[[#This Row],[SAP Contract number]],Shipments[[SAP Contract number]:[RA Premium USD]],25,FALSE)</f>
        <v>#N/A</v>
      </c>
      <c r="Y1429" s="38">
        <f>Allocation[[#This Row],[Quantity Processed]]/Allocation[[#This Row],[Quantity allocated]]</f>
        <v>2.1818181818181817</v>
      </c>
      <c r="Z1429" s="34" t="b">
        <f>Allocation[[#This Row],[Quantity allocated]]&lt;=Allocation[[#This Row],[Quantity Processed]]</f>
        <v>1</v>
      </c>
    </row>
    <row r="1430" spans="1:26">
      <c r="A1430" s="247" t="s">
        <v>467</v>
      </c>
      <c r="B1430" s="210" t="s">
        <v>68</v>
      </c>
      <c r="C1430" s="254" t="s">
        <v>1005</v>
      </c>
      <c r="D1430" s="255">
        <v>8</v>
      </c>
      <c r="E1430" s="211" t="s">
        <v>1890</v>
      </c>
      <c r="F1430" s="212">
        <v>43587</v>
      </c>
      <c r="G1430" s="213">
        <v>2.91</v>
      </c>
      <c r="H1430" s="256">
        <v>3</v>
      </c>
      <c r="I1430" s="214">
        <v>1453736</v>
      </c>
      <c r="J1430" s="215">
        <v>19175</v>
      </c>
      <c r="K1430" s="212">
        <v>43595</v>
      </c>
      <c r="L1430" s="211" t="s">
        <v>1893</v>
      </c>
      <c r="M1430" s="216">
        <v>4615506885</v>
      </c>
      <c r="N1430" s="212">
        <v>43614</v>
      </c>
      <c r="O1430" s="217">
        <v>3.9746999999999999</v>
      </c>
      <c r="P1430" s="219"/>
      <c r="Q1430" s="34">
        <f>SUMIF(Allocation[Delivery ID],Allocation[[#This Row],[Delivery ID]],Allocation[Quantity Processed])</f>
        <v>5052.5</v>
      </c>
      <c r="R1430" s="61">
        <f>Allocation[[#This Row],[Total volume used]]/VLOOKUP(Allocation[[#This Row],[Delivery ID]],Delivery[[Delivery ID]:[Quantity delivered]],3,FALSE)</f>
        <v>1</v>
      </c>
      <c r="S1430" s="34">
        <f>Allocation[[#This Row],[Quantity Processed]]/Allocation[[#This Row],[Dilution rate]]</f>
        <v>2.7491408934707904</v>
      </c>
      <c r="T1430" s="59">
        <f>SUMIF(Allocation[Delivery ID],Allocation[[#This Row],[Delivery ID]],Allocation[Quantity allocated])/SUMIF(Allocation[Delivery ID],Allocation[[#This Row],[Delivery ID]],Allocation[Volume available (kg)])</f>
        <v>0.92122640629060271</v>
      </c>
      <c r="U1430" s="61">
        <f>Allocation[[#This Row],[Total volume used]]/VLOOKUP(Allocation[[#This Row],[Delivery ID]],Delivery[[Delivery ID]:[Quantity delivered]],3,FALSE)</f>
        <v>1</v>
      </c>
      <c r="V1430" s="34" t="e">
        <f>VLOOKUP(Allocation[[#This Row],[SAP Contract number]],Shipments[[SAP Contract number]:[Contracted container weight]],2,FALSE)</f>
        <v>#N/A</v>
      </c>
      <c r="W1430" s="34" t="e">
        <f>VLOOKUP(Allocation[[#This Row],[SAP Contract number]],Shipments[[SAP Contract number]:[AAA Premium USD]],24,FALSE)</f>
        <v>#N/A</v>
      </c>
      <c r="X1430" s="34" t="e">
        <f>VLOOKUP(Allocation[[#This Row],[SAP Contract number]],Shipments[[SAP Contract number]:[RA Premium USD]],25,FALSE)</f>
        <v>#N/A</v>
      </c>
      <c r="Y1430" s="38">
        <f>Allocation[[#This Row],[Quantity Processed]]/Allocation[[#This Row],[Quantity allocated]]</f>
        <v>2.6666666666666665</v>
      </c>
      <c r="Z1430" s="34" t="b">
        <f>Allocation[[#This Row],[Quantity allocated]]&lt;=Allocation[[#This Row],[Quantity Processed]]</f>
        <v>1</v>
      </c>
    </row>
    <row r="1431" spans="1:26">
      <c r="A1431" s="247" t="s">
        <v>467</v>
      </c>
      <c r="B1431" s="210" t="s">
        <v>68</v>
      </c>
      <c r="C1431" s="254" t="s">
        <v>1007</v>
      </c>
      <c r="D1431" s="255">
        <v>46</v>
      </c>
      <c r="E1431" s="211" t="s">
        <v>1890</v>
      </c>
      <c r="F1431" s="212">
        <v>43587</v>
      </c>
      <c r="G1431" s="213">
        <v>2.91</v>
      </c>
      <c r="H1431" s="256">
        <v>19</v>
      </c>
      <c r="I1431" s="214">
        <v>1453736</v>
      </c>
      <c r="J1431" s="215">
        <v>19175</v>
      </c>
      <c r="K1431" s="212">
        <v>43595</v>
      </c>
      <c r="L1431" s="211" t="s">
        <v>1893</v>
      </c>
      <c r="M1431" s="216">
        <v>4615506885</v>
      </c>
      <c r="N1431" s="212">
        <v>43614</v>
      </c>
      <c r="O1431" s="217">
        <v>3.9746999999999999</v>
      </c>
      <c r="P1431" s="219"/>
      <c r="Q1431" s="34">
        <f>SUMIF(Allocation[Delivery ID],Allocation[[#This Row],[Delivery ID]],Allocation[Quantity Processed])</f>
        <v>31880</v>
      </c>
      <c r="R1431" s="61">
        <f>Allocation[[#This Row],[Total volume used]]/VLOOKUP(Allocation[[#This Row],[Delivery ID]],Delivery[[Delivery ID]:[Quantity delivered]],3,FALSE)</f>
        <v>1</v>
      </c>
      <c r="S1431" s="34">
        <f>Allocation[[#This Row],[Quantity Processed]]/Allocation[[#This Row],[Dilution rate]]</f>
        <v>15.807560137457044</v>
      </c>
      <c r="T1431" s="59">
        <f>SUMIF(Allocation[Delivery ID],Allocation[[#This Row],[Delivery ID]],Allocation[Quantity allocated])/SUMIF(Allocation[Delivery ID],Allocation[[#This Row],[Delivery ID]],Allocation[Volume available (kg)])</f>
        <v>1.0232020361011271</v>
      </c>
      <c r="U1431" s="61">
        <f>Allocation[[#This Row],[Total volume used]]/VLOOKUP(Allocation[[#This Row],[Delivery ID]],Delivery[[Delivery ID]:[Quantity delivered]],3,FALSE)</f>
        <v>1</v>
      </c>
      <c r="V1431" s="34" t="e">
        <f>VLOOKUP(Allocation[[#This Row],[SAP Contract number]],Shipments[[SAP Contract number]:[Contracted container weight]],2,FALSE)</f>
        <v>#N/A</v>
      </c>
      <c r="W1431" s="34" t="e">
        <f>VLOOKUP(Allocation[[#This Row],[SAP Contract number]],Shipments[[SAP Contract number]:[AAA Premium USD]],24,FALSE)</f>
        <v>#N/A</v>
      </c>
      <c r="X1431" s="34" t="e">
        <f>VLOOKUP(Allocation[[#This Row],[SAP Contract number]],Shipments[[SAP Contract number]:[RA Premium USD]],25,FALSE)</f>
        <v>#N/A</v>
      </c>
      <c r="Y1431" s="38">
        <f>Allocation[[#This Row],[Quantity Processed]]/Allocation[[#This Row],[Quantity allocated]]</f>
        <v>2.4210526315789473</v>
      </c>
      <c r="Z1431" s="34" t="b">
        <f>Allocation[[#This Row],[Quantity allocated]]&lt;=Allocation[[#This Row],[Quantity Processed]]</f>
        <v>1</v>
      </c>
    </row>
    <row r="1432" spans="1:26">
      <c r="A1432" s="247" t="s">
        <v>467</v>
      </c>
      <c r="B1432" s="210" t="s">
        <v>68</v>
      </c>
      <c r="C1432" s="254" t="s">
        <v>1010</v>
      </c>
      <c r="D1432" s="255">
        <v>12</v>
      </c>
      <c r="E1432" s="211" t="s">
        <v>1890</v>
      </c>
      <c r="F1432" s="212">
        <v>43587</v>
      </c>
      <c r="G1432" s="213">
        <v>2.91</v>
      </c>
      <c r="H1432" s="256">
        <v>5</v>
      </c>
      <c r="I1432" s="214">
        <v>1453736</v>
      </c>
      <c r="J1432" s="215">
        <v>19175</v>
      </c>
      <c r="K1432" s="212">
        <v>43595</v>
      </c>
      <c r="L1432" s="211" t="s">
        <v>1893</v>
      </c>
      <c r="M1432" s="216">
        <v>4615506885</v>
      </c>
      <c r="N1432" s="212">
        <v>43614</v>
      </c>
      <c r="O1432" s="217">
        <v>3.9746999999999999</v>
      </c>
      <c r="P1432" s="219"/>
      <c r="Q1432" s="34">
        <f>SUMIF(Allocation[Delivery ID],Allocation[[#This Row],[Delivery ID]],Allocation[Quantity Processed])</f>
        <v>7793</v>
      </c>
      <c r="R1432" s="61">
        <f>Allocation[[#This Row],[Total volume used]]/VLOOKUP(Allocation[[#This Row],[Delivery ID]],Delivery[[Delivery ID]:[Quantity delivered]],3,FALSE)</f>
        <v>1</v>
      </c>
      <c r="S1432" s="34">
        <f>Allocation[[#This Row],[Quantity Processed]]/Allocation[[#This Row],[Dilution rate]]</f>
        <v>4.1237113402061851</v>
      </c>
      <c r="T1432" s="59">
        <f>SUMIF(Allocation[Delivery ID],Allocation[[#This Row],[Delivery ID]],Allocation[Quantity allocated])/SUMIF(Allocation[Delivery ID],Allocation[[#This Row],[Delivery ID]],Allocation[Volume available (kg)])</f>
        <v>1.0231604080667922</v>
      </c>
      <c r="U1432" s="61">
        <f>Allocation[[#This Row],[Total volume used]]/VLOOKUP(Allocation[[#This Row],[Delivery ID]],Delivery[[Delivery ID]:[Quantity delivered]],3,FALSE)</f>
        <v>1</v>
      </c>
      <c r="V1432" s="34" t="e">
        <f>VLOOKUP(Allocation[[#This Row],[SAP Contract number]],Shipments[[SAP Contract number]:[Contracted container weight]],2,FALSE)</f>
        <v>#N/A</v>
      </c>
      <c r="W1432" s="34" t="e">
        <f>VLOOKUP(Allocation[[#This Row],[SAP Contract number]],Shipments[[SAP Contract number]:[AAA Premium USD]],24,FALSE)</f>
        <v>#N/A</v>
      </c>
      <c r="X1432" s="34" t="e">
        <f>VLOOKUP(Allocation[[#This Row],[SAP Contract number]],Shipments[[SAP Contract number]:[RA Premium USD]],25,FALSE)</f>
        <v>#N/A</v>
      </c>
      <c r="Y1432" s="38">
        <f>Allocation[[#This Row],[Quantity Processed]]/Allocation[[#This Row],[Quantity allocated]]</f>
        <v>2.4</v>
      </c>
      <c r="Z1432" s="34" t="b">
        <f>Allocation[[#This Row],[Quantity allocated]]&lt;=Allocation[[#This Row],[Quantity Processed]]</f>
        <v>1</v>
      </c>
    </row>
    <row r="1433" spans="1:26">
      <c r="A1433" s="247" t="s">
        <v>467</v>
      </c>
      <c r="B1433" s="210" t="s">
        <v>68</v>
      </c>
      <c r="C1433" s="254" t="s">
        <v>1012</v>
      </c>
      <c r="D1433" s="255">
        <v>58</v>
      </c>
      <c r="E1433" s="211" t="s">
        <v>1890</v>
      </c>
      <c r="F1433" s="212">
        <v>43587</v>
      </c>
      <c r="G1433" s="213">
        <v>2.91</v>
      </c>
      <c r="H1433" s="256">
        <v>19</v>
      </c>
      <c r="I1433" s="214">
        <v>1453736</v>
      </c>
      <c r="J1433" s="215">
        <v>19175</v>
      </c>
      <c r="K1433" s="212">
        <v>43595</v>
      </c>
      <c r="L1433" s="211" t="s">
        <v>1893</v>
      </c>
      <c r="M1433" s="216">
        <v>4615506885</v>
      </c>
      <c r="N1433" s="212">
        <v>43614</v>
      </c>
      <c r="O1433" s="217">
        <v>3.9746999999999999</v>
      </c>
      <c r="P1433" s="219"/>
      <c r="Q1433" s="34">
        <f>SUMIF(Allocation[Delivery ID],Allocation[[#This Row],[Delivery ID]],Allocation[Quantity Processed])</f>
        <v>32230</v>
      </c>
      <c r="R1433" s="61">
        <f>Allocation[[#This Row],[Total volume used]]/VLOOKUP(Allocation[[#This Row],[Delivery ID]],Delivery[[Delivery ID]:[Quantity delivered]],3,FALSE)</f>
        <v>1</v>
      </c>
      <c r="S1433" s="34">
        <f>Allocation[[#This Row],[Quantity Processed]]/Allocation[[#This Row],[Dilution rate]]</f>
        <v>19.93127147766323</v>
      </c>
      <c r="T1433" s="59">
        <f>SUMIF(Allocation[Delivery ID],Allocation[[#This Row],[Delivery ID]],Allocation[Quantity allocated])/SUMIF(Allocation[Delivery ID],Allocation[[#This Row],[Delivery ID]],Allocation[Volume available (kg)])</f>
        <v>0.78335528312298286</v>
      </c>
      <c r="U1433" s="61">
        <f>Allocation[[#This Row],[Total volume used]]/VLOOKUP(Allocation[[#This Row],[Delivery ID]],Delivery[[Delivery ID]:[Quantity delivered]],3,FALSE)</f>
        <v>1</v>
      </c>
      <c r="V1433" s="34" t="e">
        <f>VLOOKUP(Allocation[[#This Row],[SAP Contract number]],Shipments[[SAP Contract number]:[Contracted container weight]],2,FALSE)</f>
        <v>#N/A</v>
      </c>
      <c r="W1433" s="34" t="e">
        <f>VLOOKUP(Allocation[[#This Row],[SAP Contract number]],Shipments[[SAP Contract number]:[AAA Premium USD]],24,FALSE)</f>
        <v>#N/A</v>
      </c>
      <c r="X1433" s="34" t="e">
        <f>VLOOKUP(Allocation[[#This Row],[SAP Contract number]],Shipments[[SAP Contract number]:[RA Premium USD]],25,FALSE)</f>
        <v>#N/A</v>
      </c>
      <c r="Y1433" s="38">
        <f>Allocation[[#This Row],[Quantity Processed]]/Allocation[[#This Row],[Quantity allocated]]</f>
        <v>3.0526315789473686</v>
      </c>
      <c r="Z1433" s="34" t="b">
        <f>Allocation[[#This Row],[Quantity allocated]]&lt;=Allocation[[#This Row],[Quantity Processed]]</f>
        <v>1</v>
      </c>
    </row>
    <row r="1434" spans="1:26">
      <c r="A1434" s="247" t="s">
        <v>467</v>
      </c>
      <c r="B1434" s="210" t="s">
        <v>68</v>
      </c>
      <c r="C1434" s="254" t="s">
        <v>1014</v>
      </c>
      <c r="D1434" s="255">
        <v>7</v>
      </c>
      <c r="E1434" s="211" t="s">
        <v>1890</v>
      </c>
      <c r="F1434" s="212">
        <v>43587</v>
      </c>
      <c r="G1434" s="213">
        <v>2.91</v>
      </c>
      <c r="H1434" s="256">
        <v>4</v>
      </c>
      <c r="I1434" s="214">
        <v>1453736</v>
      </c>
      <c r="J1434" s="215">
        <v>19175</v>
      </c>
      <c r="K1434" s="212">
        <v>43595</v>
      </c>
      <c r="L1434" s="211" t="s">
        <v>1893</v>
      </c>
      <c r="M1434" s="216">
        <v>4615506885</v>
      </c>
      <c r="N1434" s="212">
        <v>43614</v>
      </c>
      <c r="O1434" s="217">
        <v>3.9746999999999999</v>
      </c>
      <c r="P1434" s="219"/>
      <c r="Q1434" s="34">
        <f>SUMIF(Allocation[Delivery ID],Allocation[[#This Row],[Delivery ID]],Allocation[Quantity Processed])</f>
        <v>2591</v>
      </c>
      <c r="R1434" s="61">
        <f>Allocation[[#This Row],[Total volume used]]/VLOOKUP(Allocation[[#This Row],[Delivery ID]],Delivery[[Delivery ID]:[Quantity delivered]],3,FALSE)</f>
        <v>0.74411257897759908</v>
      </c>
      <c r="S1434" s="34">
        <f>Allocation[[#This Row],[Quantity Processed]]/Allocation[[#This Row],[Dilution rate]]</f>
        <v>2.4054982817869415</v>
      </c>
      <c r="T1434" s="59">
        <f>SUMIF(Allocation[Delivery ID],Allocation[[#This Row],[Delivery ID]],Allocation[Quantity allocated])/SUMIF(Allocation[Delivery ID],Allocation[[#This Row],[Delivery ID]],Allocation[Volume available (kg)])</f>
        <v>1.1196930302978436</v>
      </c>
      <c r="U1434" s="61">
        <f>Allocation[[#This Row],[Total volume used]]/VLOOKUP(Allocation[[#This Row],[Delivery ID]],Delivery[[Delivery ID]:[Quantity delivered]],3,FALSE)</f>
        <v>0.74411257897759908</v>
      </c>
      <c r="V1434" s="34" t="e">
        <f>VLOOKUP(Allocation[[#This Row],[SAP Contract number]],Shipments[[SAP Contract number]:[Contracted container weight]],2,FALSE)</f>
        <v>#N/A</v>
      </c>
      <c r="W1434" s="34" t="e">
        <f>VLOOKUP(Allocation[[#This Row],[SAP Contract number]],Shipments[[SAP Contract number]:[AAA Premium USD]],24,FALSE)</f>
        <v>#N/A</v>
      </c>
      <c r="X1434" s="34" t="e">
        <f>VLOOKUP(Allocation[[#This Row],[SAP Contract number]],Shipments[[SAP Contract number]:[RA Premium USD]],25,FALSE)</f>
        <v>#N/A</v>
      </c>
      <c r="Y1434" s="38">
        <f>Allocation[[#This Row],[Quantity Processed]]/Allocation[[#This Row],[Quantity allocated]]</f>
        <v>1.75</v>
      </c>
      <c r="Z1434" s="34" t="b">
        <f>Allocation[[#This Row],[Quantity allocated]]&lt;=Allocation[[#This Row],[Quantity Processed]]</f>
        <v>1</v>
      </c>
    </row>
    <row r="1435" spans="1:26">
      <c r="A1435" s="247" t="s">
        <v>467</v>
      </c>
      <c r="B1435" s="210" t="s">
        <v>68</v>
      </c>
      <c r="C1435" s="254" t="s">
        <v>1016</v>
      </c>
      <c r="D1435" s="255">
        <v>58</v>
      </c>
      <c r="E1435" s="211" t="s">
        <v>1890</v>
      </c>
      <c r="F1435" s="212">
        <v>43587</v>
      </c>
      <c r="G1435" s="213">
        <v>2.91</v>
      </c>
      <c r="H1435" s="256">
        <v>19</v>
      </c>
      <c r="I1435" s="214">
        <v>1453736</v>
      </c>
      <c r="J1435" s="215">
        <v>19175</v>
      </c>
      <c r="K1435" s="212">
        <v>43595</v>
      </c>
      <c r="L1435" s="211" t="s">
        <v>1893</v>
      </c>
      <c r="M1435" s="216">
        <v>4615506885</v>
      </c>
      <c r="N1435" s="212">
        <v>43614</v>
      </c>
      <c r="O1435" s="217">
        <v>3.9746999999999999</v>
      </c>
      <c r="P1435" s="219"/>
      <c r="Q1435" s="34">
        <f>SUMIF(Allocation[Delivery ID],Allocation[[#This Row],[Delivery ID]],Allocation[Quantity Processed])</f>
        <v>32470</v>
      </c>
      <c r="R1435" s="61">
        <f>Allocation[[#This Row],[Total volume used]]/VLOOKUP(Allocation[[#This Row],[Delivery ID]],Delivery[[Delivery ID]:[Quantity delivered]],3,FALSE)</f>
        <v>1</v>
      </c>
      <c r="S1435" s="34">
        <f>Allocation[[#This Row],[Quantity Processed]]/Allocation[[#This Row],[Dilution rate]]</f>
        <v>19.93127147766323</v>
      </c>
      <c r="T1435" s="59">
        <f>SUMIF(Allocation[Delivery ID],Allocation[[#This Row],[Delivery ID]],Allocation[Quantity allocated])/SUMIF(Allocation[Delivery ID],Allocation[[#This Row],[Delivery ID]],Allocation[Volume available (kg)])</f>
        <v>0.78287780426263942</v>
      </c>
      <c r="U1435" s="61">
        <f>Allocation[[#This Row],[Total volume used]]/VLOOKUP(Allocation[[#This Row],[Delivery ID]],Delivery[[Delivery ID]:[Quantity delivered]],3,FALSE)</f>
        <v>1</v>
      </c>
      <c r="V1435" s="34" t="e">
        <f>VLOOKUP(Allocation[[#This Row],[SAP Contract number]],Shipments[[SAP Contract number]:[Contracted container weight]],2,FALSE)</f>
        <v>#N/A</v>
      </c>
      <c r="W1435" s="34" t="e">
        <f>VLOOKUP(Allocation[[#This Row],[SAP Contract number]],Shipments[[SAP Contract number]:[AAA Premium USD]],24,FALSE)</f>
        <v>#N/A</v>
      </c>
      <c r="X1435" s="34" t="e">
        <f>VLOOKUP(Allocation[[#This Row],[SAP Contract number]],Shipments[[SAP Contract number]:[RA Premium USD]],25,FALSE)</f>
        <v>#N/A</v>
      </c>
      <c r="Y1435" s="38">
        <f>Allocation[[#This Row],[Quantity Processed]]/Allocation[[#This Row],[Quantity allocated]]</f>
        <v>3.0526315789473686</v>
      </c>
      <c r="Z1435" s="34" t="b">
        <f>Allocation[[#This Row],[Quantity allocated]]&lt;=Allocation[[#This Row],[Quantity Processed]]</f>
        <v>1</v>
      </c>
    </row>
    <row r="1436" spans="1:26">
      <c r="A1436" s="247" t="s">
        <v>467</v>
      </c>
      <c r="B1436" s="210" t="s">
        <v>68</v>
      </c>
      <c r="C1436" s="254" t="s">
        <v>1019</v>
      </c>
      <c r="D1436" s="255">
        <v>118</v>
      </c>
      <c r="E1436" s="211" t="s">
        <v>1890</v>
      </c>
      <c r="F1436" s="212">
        <v>43587</v>
      </c>
      <c r="G1436" s="213">
        <v>2.91</v>
      </c>
      <c r="H1436" s="256">
        <v>39</v>
      </c>
      <c r="I1436" s="214">
        <v>1453736</v>
      </c>
      <c r="J1436" s="215">
        <v>19175</v>
      </c>
      <c r="K1436" s="212">
        <v>43595</v>
      </c>
      <c r="L1436" s="211" t="s">
        <v>1893</v>
      </c>
      <c r="M1436" s="216">
        <v>4615506885</v>
      </c>
      <c r="N1436" s="212">
        <v>43614</v>
      </c>
      <c r="O1436" s="217">
        <v>3.9746999999999999</v>
      </c>
      <c r="P1436" s="219"/>
      <c r="Q1436" s="34">
        <f>SUMIF(Allocation[Delivery ID],Allocation[[#This Row],[Delivery ID]],Allocation[Quantity Processed])</f>
        <v>34180</v>
      </c>
      <c r="R1436" s="61">
        <f>Allocation[[#This Row],[Total volume used]]/VLOOKUP(Allocation[[#This Row],[Delivery ID]],Delivery[[Delivery ID]:[Quantity delivered]],3,FALSE)</f>
        <v>1</v>
      </c>
      <c r="S1436" s="34">
        <f>Allocation[[#This Row],[Quantity Processed]]/Allocation[[#This Row],[Dilution rate]]</f>
        <v>40.549828178694156</v>
      </c>
      <c r="T1436" s="59">
        <f>SUMIF(Allocation[Delivery ID],Allocation[[#This Row],[Delivery ID]],Allocation[Quantity allocated])/SUMIF(Allocation[Delivery ID],Allocation[[#This Row],[Delivery ID]],Allocation[Volume available (kg)])</f>
        <v>0.61008720035374187</v>
      </c>
      <c r="U1436" s="61">
        <f>Allocation[[#This Row],[Total volume used]]/VLOOKUP(Allocation[[#This Row],[Delivery ID]],Delivery[[Delivery ID]:[Quantity delivered]],3,FALSE)</f>
        <v>1</v>
      </c>
      <c r="V1436" s="34" t="e">
        <f>VLOOKUP(Allocation[[#This Row],[SAP Contract number]],Shipments[[SAP Contract number]:[Contracted container weight]],2,FALSE)</f>
        <v>#N/A</v>
      </c>
      <c r="W1436" s="34" t="e">
        <f>VLOOKUP(Allocation[[#This Row],[SAP Contract number]],Shipments[[SAP Contract number]:[AAA Premium USD]],24,FALSE)</f>
        <v>#N/A</v>
      </c>
      <c r="X1436" s="34" t="e">
        <f>VLOOKUP(Allocation[[#This Row],[SAP Contract number]],Shipments[[SAP Contract number]:[RA Premium USD]],25,FALSE)</f>
        <v>#N/A</v>
      </c>
      <c r="Y1436" s="38">
        <f>Allocation[[#This Row],[Quantity Processed]]/Allocation[[#This Row],[Quantity allocated]]</f>
        <v>3.0256410256410255</v>
      </c>
      <c r="Z1436" s="34" t="b">
        <f>Allocation[[#This Row],[Quantity allocated]]&lt;=Allocation[[#This Row],[Quantity Processed]]</f>
        <v>1</v>
      </c>
    </row>
    <row r="1437" spans="1:26">
      <c r="A1437" s="247" t="s">
        <v>467</v>
      </c>
      <c r="B1437" s="210" t="s">
        <v>68</v>
      </c>
      <c r="C1437" s="254" t="s">
        <v>1021</v>
      </c>
      <c r="D1437" s="255">
        <v>45</v>
      </c>
      <c r="E1437" s="211" t="s">
        <v>1890</v>
      </c>
      <c r="F1437" s="212">
        <v>43587</v>
      </c>
      <c r="G1437" s="213">
        <v>2.91</v>
      </c>
      <c r="H1437" s="256">
        <v>15</v>
      </c>
      <c r="I1437" s="214">
        <v>1453736</v>
      </c>
      <c r="J1437" s="215">
        <v>19175</v>
      </c>
      <c r="K1437" s="212">
        <v>43595</v>
      </c>
      <c r="L1437" s="211" t="s">
        <v>1893</v>
      </c>
      <c r="M1437" s="216">
        <v>4615506885</v>
      </c>
      <c r="N1437" s="212">
        <v>43614</v>
      </c>
      <c r="O1437" s="217">
        <v>3.9746999999999999</v>
      </c>
      <c r="P1437" s="219"/>
      <c r="Q1437" s="34">
        <f>SUMIF(Allocation[Delivery ID],Allocation[[#This Row],[Delivery ID]],Allocation[Quantity Processed])</f>
        <v>13420</v>
      </c>
      <c r="R1437" s="61">
        <f>Allocation[[#This Row],[Total volume used]]/VLOOKUP(Allocation[[#This Row],[Delivery ID]],Delivery[[Delivery ID]:[Quantity delivered]],3,FALSE)</f>
        <v>1</v>
      </c>
      <c r="S1437" s="34">
        <f>Allocation[[#This Row],[Quantity Processed]]/Allocation[[#This Row],[Dilution rate]]</f>
        <v>15.463917525773196</v>
      </c>
      <c r="T1437" s="59">
        <f>SUMIF(Allocation[Delivery ID],Allocation[[#This Row],[Delivery ID]],Allocation[Quantity allocated])/SUMIF(Allocation[Delivery ID],Allocation[[#This Row],[Delivery ID]],Allocation[Volume available (kg)])</f>
        <v>0.60941750092863034</v>
      </c>
      <c r="U1437" s="61">
        <f>Allocation[[#This Row],[Total volume used]]/VLOOKUP(Allocation[[#This Row],[Delivery ID]],Delivery[[Delivery ID]:[Quantity delivered]],3,FALSE)</f>
        <v>1</v>
      </c>
      <c r="V1437" s="34" t="e">
        <f>VLOOKUP(Allocation[[#This Row],[SAP Contract number]],Shipments[[SAP Contract number]:[Contracted container weight]],2,FALSE)</f>
        <v>#N/A</v>
      </c>
      <c r="W1437" s="34" t="e">
        <f>VLOOKUP(Allocation[[#This Row],[SAP Contract number]],Shipments[[SAP Contract number]:[AAA Premium USD]],24,FALSE)</f>
        <v>#N/A</v>
      </c>
      <c r="X1437" s="34" t="e">
        <f>VLOOKUP(Allocation[[#This Row],[SAP Contract number]],Shipments[[SAP Contract number]:[RA Premium USD]],25,FALSE)</f>
        <v>#N/A</v>
      </c>
      <c r="Y1437" s="38">
        <f>Allocation[[#This Row],[Quantity Processed]]/Allocation[[#This Row],[Quantity allocated]]</f>
        <v>3</v>
      </c>
      <c r="Z1437" s="34" t="b">
        <f>Allocation[[#This Row],[Quantity allocated]]&lt;=Allocation[[#This Row],[Quantity Processed]]</f>
        <v>1</v>
      </c>
    </row>
    <row r="1438" spans="1:26">
      <c r="A1438" s="247" t="s">
        <v>467</v>
      </c>
      <c r="B1438" s="210" t="s">
        <v>68</v>
      </c>
      <c r="C1438" s="254" t="s">
        <v>1031</v>
      </c>
      <c r="D1438" s="255">
        <v>39</v>
      </c>
      <c r="E1438" s="211" t="s">
        <v>1890</v>
      </c>
      <c r="F1438" s="212">
        <v>43587</v>
      </c>
      <c r="G1438" s="213">
        <v>2.91</v>
      </c>
      <c r="H1438" s="256">
        <v>17</v>
      </c>
      <c r="I1438" s="214">
        <v>1453736</v>
      </c>
      <c r="J1438" s="215">
        <v>19175</v>
      </c>
      <c r="K1438" s="212">
        <v>43595</v>
      </c>
      <c r="L1438" s="211" t="s">
        <v>1893</v>
      </c>
      <c r="M1438" s="216">
        <v>4615506885</v>
      </c>
      <c r="N1438" s="212">
        <v>43614</v>
      </c>
      <c r="O1438" s="217">
        <v>3.9746999999999999</v>
      </c>
      <c r="P1438" s="219"/>
      <c r="Q1438" s="34">
        <f>SUMIF(Allocation[Delivery ID],Allocation[[#This Row],[Delivery ID]],Allocation[Quantity Processed])</f>
        <v>27391</v>
      </c>
      <c r="R1438" s="61">
        <f>Allocation[[#This Row],[Total volume used]]/VLOOKUP(Allocation[[#This Row],[Delivery ID]],Delivery[[Delivery ID]:[Quantity delivered]],3,FALSE)</f>
        <v>0.94942807625649916</v>
      </c>
      <c r="S1438" s="34">
        <f>Allocation[[#This Row],[Quantity Processed]]/Allocation[[#This Row],[Dilution rate]]</f>
        <v>13.402061855670102</v>
      </c>
      <c r="T1438" s="59">
        <f>SUMIF(Allocation[Delivery ID],Allocation[[#This Row],[Delivery ID]],Allocation[Quantity allocated])/SUMIF(Allocation[Delivery ID],Allocation[[#This Row],[Delivery ID]],Allocation[Volume available (kg)])</f>
        <v>1.0961111825794865</v>
      </c>
      <c r="U1438" s="61">
        <f>Allocation[[#This Row],[Total volume used]]/VLOOKUP(Allocation[[#This Row],[Delivery ID]],Delivery[[Delivery ID]:[Quantity delivered]],3,FALSE)</f>
        <v>0.94942807625649916</v>
      </c>
      <c r="V1438" s="34" t="e">
        <f>VLOOKUP(Allocation[[#This Row],[SAP Contract number]],Shipments[[SAP Contract number]:[Contracted container weight]],2,FALSE)</f>
        <v>#N/A</v>
      </c>
      <c r="W1438" s="34" t="e">
        <f>VLOOKUP(Allocation[[#This Row],[SAP Contract number]],Shipments[[SAP Contract number]:[AAA Premium USD]],24,FALSE)</f>
        <v>#N/A</v>
      </c>
      <c r="X1438" s="34" t="e">
        <f>VLOOKUP(Allocation[[#This Row],[SAP Contract number]],Shipments[[SAP Contract number]:[RA Premium USD]],25,FALSE)</f>
        <v>#N/A</v>
      </c>
      <c r="Y1438" s="38">
        <f>Allocation[[#This Row],[Quantity Processed]]/Allocation[[#This Row],[Quantity allocated]]</f>
        <v>2.2941176470588234</v>
      </c>
      <c r="Z1438" s="34" t="b">
        <f>Allocation[[#This Row],[Quantity allocated]]&lt;=Allocation[[#This Row],[Quantity Processed]]</f>
        <v>1</v>
      </c>
    </row>
    <row r="1439" spans="1:26">
      <c r="A1439" s="247" t="s">
        <v>467</v>
      </c>
      <c r="B1439" s="210" t="s">
        <v>68</v>
      </c>
      <c r="C1439" s="254" t="s">
        <v>1036</v>
      </c>
      <c r="D1439" s="255">
        <v>34</v>
      </c>
      <c r="E1439" s="211" t="s">
        <v>1890</v>
      </c>
      <c r="F1439" s="212">
        <v>43587</v>
      </c>
      <c r="G1439" s="213">
        <v>2.91</v>
      </c>
      <c r="H1439" s="256">
        <v>13</v>
      </c>
      <c r="I1439" s="214">
        <v>1453736</v>
      </c>
      <c r="J1439" s="215">
        <v>19175</v>
      </c>
      <c r="K1439" s="212">
        <v>43595</v>
      </c>
      <c r="L1439" s="211" t="s">
        <v>1893</v>
      </c>
      <c r="M1439" s="216">
        <v>4615506885</v>
      </c>
      <c r="N1439" s="212">
        <v>43614</v>
      </c>
      <c r="O1439" s="217">
        <v>3.9746999999999999</v>
      </c>
      <c r="P1439" s="219"/>
      <c r="Q1439" s="34">
        <f>SUMIF(Allocation[Delivery ID],Allocation[[#This Row],[Delivery ID]],Allocation[Quantity Processed])</f>
        <v>10162</v>
      </c>
      <c r="R1439" s="61">
        <f>Allocation[[#This Row],[Total volume used]]/VLOOKUP(Allocation[[#This Row],[Delivery ID]],Delivery[[Delivery ID]:[Quantity delivered]],3,FALSE)</f>
        <v>1</v>
      </c>
      <c r="S1439" s="34">
        <f>Allocation[[#This Row],[Quantity Processed]]/Allocation[[#This Row],[Dilution rate]]</f>
        <v>11.683848797250858</v>
      </c>
      <c r="T1439" s="59">
        <f>SUMIF(Allocation[Delivery ID],Allocation[[#This Row],[Delivery ID]],Allocation[Quantity allocated])/SUMIF(Allocation[Delivery ID],Allocation[[#This Row],[Delivery ID]],Allocation[Volume available (kg)])</f>
        <v>1.0414866657464668</v>
      </c>
      <c r="U1439" s="61">
        <f>Allocation[[#This Row],[Total volume used]]/VLOOKUP(Allocation[[#This Row],[Delivery ID]],Delivery[[Delivery ID]:[Quantity delivered]],3,FALSE)</f>
        <v>1</v>
      </c>
      <c r="V1439" s="34" t="e">
        <f>VLOOKUP(Allocation[[#This Row],[SAP Contract number]],Shipments[[SAP Contract number]:[Contracted container weight]],2,FALSE)</f>
        <v>#N/A</v>
      </c>
      <c r="W1439" s="34" t="e">
        <f>VLOOKUP(Allocation[[#This Row],[SAP Contract number]],Shipments[[SAP Contract number]:[AAA Premium USD]],24,FALSE)</f>
        <v>#N/A</v>
      </c>
      <c r="X1439" s="34" t="e">
        <f>VLOOKUP(Allocation[[#This Row],[SAP Contract number]],Shipments[[SAP Contract number]:[RA Premium USD]],25,FALSE)</f>
        <v>#N/A</v>
      </c>
      <c r="Y1439" s="38">
        <f>Allocation[[#This Row],[Quantity Processed]]/Allocation[[#This Row],[Quantity allocated]]</f>
        <v>2.6153846153846154</v>
      </c>
      <c r="Z1439" s="34" t="b">
        <f>Allocation[[#This Row],[Quantity allocated]]&lt;=Allocation[[#This Row],[Quantity Processed]]</f>
        <v>1</v>
      </c>
    </row>
    <row r="1440" spans="1:26">
      <c r="A1440" s="247" t="s">
        <v>467</v>
      </c>
      <c r="B1440" s="210" t="s">
        <v>68</v>
      </c>
      <c r="C1440" s="254" t="s">
        <v>1037</v>
      </c>
      <c r="D1440" s="255">
        <v>13</v>
      </c>
      <c r="E1440" s="211" t="s">
        <v>1890</v>
      </c>
      <c r="F1440" s="212">
        <v>43587</v>
      </c>
      <c r="G1440" s="213">
        <v>2.91</v>
      </c>
      <c r="H1440" s="256">
        <v>6</v>
      </c>
      <c r="I1440" s="214">
        <v>1453736</v>
      </c>
      <c r="J1440" s="215">
        <v>19175</v>
      </c>
      <c r="K1440" s="212">
        <v>43595</v>
      </c>
      <c r="L1440" s="211" t="s">
        <v>1893</v>
      </c>
      <c r="M1440" s="216">
        <v>4615506885</v>
      </c>
      <c r="N1440" s="212">
        <v>43614</v>
      </c>
      <c r="O1440" s="217">
        <v>3.9746999999999999</v>
      </c>
      <c r="P1440" s="219"/>
      <c r="Q1440" s="34">
        <f>SUMIF(Allocation[Delivery ID],Allocation[[#This Row],[Delivery ID]],Allocation[Quantity Processed])</f>
        <v>8667</v>
      </c>
      <c r="R1440" s="61">
        <f>Allocation[[#This Row],[Total volume used]]/VLOOKUP(Allocation[[#This Row],[Delivery ID]],Delivery[[Delivery ID]:[Quantity delivered]],3,FALSE)</f>
        <v>0.89623080502559327</v>
      </c>
      <c r="S1440" s="34">
        <f>Allocation[[#This Row],[Quantity Processed]]/Allocation[[#This Row],[Dilution rate]]</f>
        <v>4.4673539518900345</v>
      </c>
      <c r="T1440" s="59">
        <f>SUMIF(Allocation[Delivery ID],Allocation[[#This Row],[Delivery ID]],Allocation[Quantity allocated])/SUMIF(Allocation[Delivery ID],Allocation[[#This Row],[Delivery ID]],Allocation[Volume available (kg)])</f>
        <v>1.1488915260962267</v>
      </c>
      <c r="U1440" s="61">
        <f>Allocation[[#This Row],[Total volume used]]/VLOOKUP(Allocation[[#This Row],[Delivery ID]],Delivery[[Delivery ID]:[Quantity delivered]],3,FALSE)</f>
        <v>0.89623080502559327</v>
      </c>
      <c r="V1440" s="34" t="e">
        <f>VLOOKUP(Allocation[[#This Row],[SAP Contract number]],Shipments[[SAP Contract number]:[Contracted container weight]],2,FALSE)</f>
        <v>#N/A</v>
      </c>
      <c r="W1440" s="34" t="e">
        <f>VLOOKUP(Allocation[[#This Row],[SAP Contract number]],Shipments[[SAP Contract number]:[AAA Premium USD]],24,FALSE)</f>
        <v>#N/A</v>
      </c>
      <c r="X1440" s="34" t="e">
        <f>VLOOKUP(Allocation[[#This Row],[SAP Contract number]],Shipments[[SAP Contract number]:[RA Premium USD]],25,FALSE)</f>
        <v>#N/A</v>
      </c>
      <c r="Y1440" s="38">
        <f>Allocation[[#This Row],[Quantity Processed]]/Allocation[[#This Row],[Quantity allocated]]</f>
        <v>2.1666666666666665</v>
      </c>
      <c r="Z1440" s="34" t="b">
        <f>Allocation[[#This Row],[Quantity allocated]]&lt;=Allocation[[#This Row],[Quantity Processed]]</f>
        <v>1</v>
      </c>
    </row>
    <row r="1441" spans="1:26">
      <c r="A1441" s="247" t="s">
        <v>467</v>
      </c>
      <c r="B1441" s="210" t="s">
        <v>68</v>
      </c>
      <c r="C1441" s="254" t="s">
        <v>1039</v>
      </c>
      <c r="D1441" s="255">
        <v>15</v>
      </c>
      <c r="E1441" s="211" t="s">
        <v>1890</v>
      </c>
      <c r="F1441" s="212">
        <v>43587</v>
      </c>
      <c r="G1441" s="213">
        <v>2.91</v>
      </c>
      <c r="H1441" s="256">
        <v>6</v>
      </c>
      <c r="I1441" s="214">
        <v>1453736</v>
      </c>
      <c r="J1441" s="215">
        <v>19175</v>
      </c>
      <c r="K1441" s="212">
        <v>43595</v>
      </c>
      <c r="L1441" s="211" t="s">
        <v>1893</v>
      </c>
      <c r="M1441" s="216">
        <v>4615506885</v>
      </c>
      <c r="N1441" s="212">
        <v>43614</v>
      </c>
      <c r="O1441" s="217">
        <v>3.9746999999999999</v>
      </c>
      <c r="P1441" s="219"/>
      <c r="Q1441" s="34">
        <f>SUMIF(Allocation[Delivery ID],Allocation[[#This Row],[Delivery ID]],Allocation[Quantity Processed])</f>
        <v>9713</v>
      </c>
      <c r="R1441" s="61">
        <f>Allocation[[#This Row],[Total volume used]]/VLOOKUP(Allocation[[#This Row],[Delivery ID]],Delivery[[Delivery ID]:[Quantity delivered]],3,FALSE)</f>
        <v>1</v>
      </c>
      <c r="S1441" s="34">
        <f>Allocation[[#This Row],[Quantity Processed]]/Allocation[[#This Row],[Dilution rate]]</f>
        <v>5.1546391752577314</v>
      </c>
      <c r="T1441" s="59">
        <f>SUMIF(Allocation[Delivery ID],Allocation[[#This Row],[Delivery ID]],Allocation[Quantity allocated])/SUMIF(Allocation[Delivery ID],Allocation[[#This Row],[Delivery ID]],Allocation[Volume available (kg)])</f>
        <v>0.99890031407161339</v>
      </c>
      <c r="U1441" s="61">
        <f>Allocation[[#This Row],[Total volume used]]/VLOOKUP(Allocation[[#This Row],[Delivery ID]],Delivery[[Delivery ID]:[Quantity delivered]],3,FALSE)</f>
        <v>1</v>
      </c>
      <c r="V1441" s="34" t="e">
        <f>VLOOKUP(Allocation[[#This Row],[SAP Contract number]],Shipments[[SAP Contract number]:[Contracted container weight]],2,FALSE)</f>
        <v>#N/A</v>
      </c>
      <c r="W1441" s="34" t="e">
        <f>VLOOKUP(Allocation[[#This Row],[SAP Contract number]],Shipments[[SAP Contract number]:[AAA Premium USD]],24,FALSE)</f>
        <v>#N/A</v>
      </c>
      <c r="X1441" s="34" t="e">
        <f>VLOOKUP(Allocation[[#This Row],[SAP Contract number]],Shipments[[SAP Contract number]:[RA Premium USD]],25,FALSE)</f>
        <v>#N/A</v>
      </c>
      <c r="Y1441" s="38">
        <f>Allocation[[#This Row],[Quantity Processed]]/Allocation[[#This Row],[Quantity allocated]]</f>
        <v>2.5</v>
      </c>
      <c r="Z1441" s="34" t="b">
        <f>Allocation[[#This Row],[Quantity allocated]]&lt;=Allocation[[#This Row],[Quantity Processed]]</f>
        <v>1</v>
      </c>
    </row>
    <row r="1442" spans="1:26">
      <c r="A1442" s="247" t="s">
        <v>467</v>
      </c>
      <c r="B1442" s="210" t="s">
        <v>68</v>
      </c>
      <c r="C1442" s="254" t="s">
        <v>1041</v>
      </c>
      <c r="D1442" s="255">
        <v>24</v>
      </c>
      <c r="E1442" s="211" t="s">
        <v>1890</v>
      </c>
      <c r="F1442" s="212">
        <v>43587</v>
      </c>
      <c r="G1442" s="213">
        <v>2.91</v>
      </c>
      <c r="H1442" s="256">
        <v>8</v>
      </c>
      <c r="I1442" s="214">
        <v>1453736</v>
      </c>
      <c r="J1442" s="215">
        <v>19175</v>
      </c>
      <c r="K1442" s="212">
        <v>43595</v>
      </c>
      <c r="L1442" s="211" t="s">
        <v>1893</v>
      </c>
      <c r="M1442" s="216">
        <v>4615506885</v>
      </c>
      <c r="N1442" s="212">
        <v>43614</v>
      </c>
      <c r="O1442" s="217">
        <v>3.9746999999999999</v>
      </c>
      <c r="P1442" s="219"/>
      <c r="Q1442" s="34">
        <f>SUMIF(Allocation[Delivery ID],Allocation[[#This Row],[Delivery ID]],Allocation[Quantity Processed])</f>
        <v>12665</v>
      </c>
      <c r="R1442" s="61">
        <f>Allocation[[#This Row],[Total volume used]]/VLOOKUP(Allocation[[#This Row],[Delivery ID]],Delivery[[Delivery ID]:[Quantity delivered]],3,FALSE)</f>
        <v>1</v>
      </c>
      <c r="S1442" s="34">
        <f>Allocation[[#This Row],[Quantity Processed]]/Allocation[[#This Row],[Dilution rate]]</f>
        <v>8.2474226804123703</v>
      </c>
      <c r="T1442" s="59">
        <f>SUMIF(Allocation[Delivery ID],Allocation[[#This Row],[Delivery ID]],Allocation[Quantity allocated])/SUMIF(Allocation[Delivery ID],Allocation[[#This Row],[Delivery ID]],Allocation[Volume available (kg)])</f>
        <v>0.81590882258219166</v>
      </c>
      <c r="U1442" s="61">
        <f>Allocation[[#This Row],[Total volume used]]/VLOOKUP(Allocation[[#This Row],[Delivery ID]],Delivery[[Delivery ID]:[Quantity delivered]],3,FALSE)</f>
        <v>1</v>
      </c>
      <c r="V1442" s="34" t="e">
        <f>VLOOKUP(Allocation[[#This Row],[SAP Contract number]],Shipments[[SAP Contract number]:[Contracted container weight]],2,FALSE)</f>
        <v>#N/A</v>
      </c>
      <c r="W1442" s="34" t="e">
        <f>VLOOKUP(Allocation[[#This Row],[SAP Contract number]],Shipments[[SAP Contract number]:[AAA Premium USD]],24,FALSE)</f>
        <v>#N/A</v>
      </c>
      <c r="X1442" s="34" t="e">
        <f>VLOOKUP(Allocation[[#This Row],[SAP Contract number]],Shipments[[SAP Contract number]:[RA Premium USD]],25,FALSE)</f>
        <v>#N/A</v>
      </c>
      <c r="Y1442" s="38">
        <f>Allocation[[#This Row],[Quantity Processed]]/Allocation[[#This Row],[Quantity allocated]]</f>
        <v>3</v>
      </c>
      <c r="Z1442" s="34" t="b">
        <f>Allocation[[#This Row],[Quantity allocated]]&lt;=Allocation[[#This Row],[Quantity Processed]]</f>
        <v>1</v>
      </c>
    </row>
    <row r="1443" spans="1:26">
      <c r="A1443" s="247" t="s">
        <v>467</v>
      </c>
      <c r="B1443" s="210" t="s">
        <v>68</v>
      </c>
      <c r="C1443" s="254" t="s">
        <v>1042</v>
      </c>
      <c r="D1443" s="255">
        <v>30</v>
      </c>
      <c r="E1443" s="211" t="s">
        <v>1890</v>
      </c>
      <c r="F1443" s="212">
        <v>43587</v>
      </c>
      <c r="G1443" s="213">
        <v>2.91</v>
      </c>
      <c r="H1443" s="256">
        <v>10</v>
      </c>
      <c r="I1443" s="214">
        <v>1453736</v>
      </c>
      <c r="J1443" s="215">
        <v>19175</v>
      </c>
      <c r="K1443" s="212">
        <v>43595</v>
      </c>
      <c r="L1443" s="211" t="s">
        <v>1893</v>
      </c>
      <c r="M1443" s="216">
        <v>4615506885</v>
      </c>
      <c r="N1443" s="212">
        <v>43614</v>
      </c>
      <c r="O1443" s="217">
        <v>3.9746999999999999</v>
      </c>
      <c r="P1443" s="219"/>
      <c r="Q1443" s="34">
        <f>SUMIF(Allocation[Delivery ID],Allocation[[#This Row],[Delivery ID]],Allocation[Quantity Processed])</f>
        <v>16416.5</v>
      </c>
      <c r="R1443" s="61">
        <f>Allocation[[#This Row],[Total volume used]]/VLOOKUP(Allocation[[#This Row],[Delivery ID]],Delivery[[Delivery ID]:[Quantity delivered]],3,FALSE)</f>
        <v>1</v>
      </c>
      <c r="S1443" s="34">
        <f>Allocation[[#This Row],[Quantity Processed]]/Allocation[[#This Row],[Dilution rate]]</f>
        <v>10.309278350515463</v>
      </c>
      <c r="T1443" s="59">
        <f>SUMIF(Allocation[Delivery ID],Allocation[[#This Row],[Delivery ID]],Allocation[Quantity allocated])/SUMIF(Allocation[Delivery ID],Allocation[[#This Row],[Delivery ID]],Allocation[Volume available (kg)])</f>
        <v>0.81599988935082768</v>
      </c>
      <c r="U1443" s="61">
        <f>Allocation[[#This Row],[Total volume used]]/VLOOKUP(Allocation[[#This Row],[Delivery ID]],Delivery[[Delivery ID]:[Quantity delivered]],3,FALSE)</f>
        <v>1</v>
      </c>
      <c r="V1443" s="34" t="e">
        <f>VLOOKUP(Allocation[[#This Row],[SAP Contract number]],Shipments[[SAP Contract number]:[Contracted container weight]],2,FALSE)</f>
        <v>#N/A</v>
      </c>
      <c r="W1443" s="34" t="e">
        <f>VLOOKUP(Allocation[[#This Row],[SAP Contract number]],Shipments[[SAP Contract number]:[AAA Premium USD]],24,FALSE)</f>
        <v>#N/A</v>
      </c>
      <c r="X1443" s="34" t="e">
        <f>VLOOKUP(Allocation[[#This Row],[SAP Contract number]],Shipments[[SAP Contract number]:[RA Premium USD]],25,FALSE)</f>
        <v>#N/A</v>
      </c>
      <c r="Y1443" s="38">
        <f>Allocation[[#This Row],[Quantity Processed]]/Allocation[[#This Row],[Quantity allocated]]</f>
        <v>3</v>
      </c>
      <c r="Z1443" s="34" t="b">
        <f>Allocation[[#This Row],[Quantity allocated]]&lt;=Allocation[[#This Row],[Quantity Processed]]</f>
        <v>1</v>
      </c>
    </row>
    <row r="1444" spans="1:26">
      <c r="A1444" s="247" t="s">
        <v>467</v>
      </c>
      <c r="B1444" s="210" t="s">
        <v>68</v>
      </c>
      <c r="C1444" s="254" t="s">
        <v>1043</v>
      </c>
      <c r="D1444" s="255">
        <v>35</v>
      </c>
      <c r="E1444" s="211" t="s">
        <v>1890</v>
      </c>
      <c r="F1444" s="212">
        <v>43587</v>
      </c>
      <c r="G1444" s="213">
        <v>2.91</v>
      </c>
      <c r="H1444" s="256">
        <v>12</v>
      </c>
      <c r="I1444" s="214">
        <v>1453736</v>
      </c>
      <c r="J1444" s="215">
        <v>19175</v>
      </c>
      <c r="K1444" s="212">
        <v>43595</v>
      </c>
      <c r="L1444" s="211" t="s">
        <v>1893</v>
      </c>
      <c r="M1444" s="216">
        <v>4615506885</v>
      </c>
      <c r="N1444" s="212">
        <v>43614</v>
      </c>
      <c r="O1444" s="217">
        <v>3.9746999999999999</v>
      </c>
      <c r="P1444" s="219"/>
      <c r="Q1444" s="34">
        <f>SUMIF(Allocation[Delivery ID],Allocation[[#This Row],[Delivery ID]],Allocation[Quantity Processed])</f>
        <v>20140</v>
      </c>
      <c r="R1444" s="61">
        <f>Allocation[[#This Row],[Total volume used]]/VLOOKUP(Allocation[[#This Row],[Delivery ID]],Delivery[[Delivery ID]:[Quantity delivered]],3,FALSE)</f>
        <v>1</v>
      </c>
      <c r="S1444" s="34">
        <f>Allocation[[#This Row],[Quantity Processed]]/Allocation[[#This Row],[Dilution rate]]</f>
        <v>12.027491408934708</v>
      </c>
      <c r="T1444" s="59">
        <f>SUMIF(Allocation[Delivery ID],Allocation[[#This Row],[Delivery ID]],Allocation[Quantity allocated])/SUMIF(Allocation[Delivery ID],Allocation[[#This Row],[Delivery ID]],Allocation[Volume available (kg)])</f>
        <v>0.8401933700928752</v>
      </c>
      <c r="U1444" s="61">
        <f>Allocation[[#This Row],[Total volume used]]/VLOOKUP(Allocation[[#This Row],[Delivery ID]],Delivery[[Delivery ID]:[Quantity delivered]],3,FALSE)</f>
        <v>1</v>
      </c>
      <c r="V1444" s="34" t="e">
        <f>VLOOKUP(Allocation[[#This Row],[SAP Contract number]],Shipments[[SAP Contract number]:[Contracted container weight]],2,FALSE)</f>
        <v>#N/A</v>
      </c>
      <c r="W1444" s="34" t="e">
        <f>VLOOKUP(Allocation[[#This Row],[SAP Contract number]],Shipments[[SAP Contract number]:[AAA Premium USD]],24,FALSE)</f>
        <v>#N/A</v>
      </c>
      <c r="X1444" s="34" t="e">
        <f>VLOOKUP(Allocation[[#This Row],[SAP Contract number]],Shipments[[SAP Contract number]:[RA Premium USD]],25,FALSE)</f>
        <v>#N/A</v>
      </c>
      <c r="Y1444" s="38">
        <f>Allocation[[#This Row],[Quantity Processed]]/Allocation[[#This Row],[Quantity allocated]]</f>
        <v>2.9166666666666665</v>
      </c>
      <c r="Z1444" s="34" t="b">
        <f>Allocation[[#This Row],[Quantity allocated]]&lt;=Allocation[[#This Row],[Quantity Processed]]</f>
        <v>1</v>
      </c>
    </row>
    <row r="1445" spans="1:26">
      <c r="A1445" s="247" t="s">
        <v>467</v>
      </c>
      <c r="B1445" s="210" t="s">
        <v>68</v>
      </c>
      <c r="C1445" s="254" t="s">
        <v>1046</v>
      </c>
      <c r="D1445" s="255">
        <v>22</v>
      </c>
      <c r="E1445" s="211" t="s">
        <v>1890</v>
      </c>
      <c r="F1445" s="212">
        <v>43587</v>
      </c>
      <c r="G1445" s="213">
        <v>2.91</v>
      </c>
      <c r="H1445" s="256">
        <v>10</v>
      </c>
      <c r="I1445" s="214">
        <v>1453736</v>
      </c>
      <c r="J1445" s="215">
        <v>19175</v>
      </c>
      <c r="K1445" s="212">
        <v>43595</v>
      </c>
      <c r="L1445" s="211" t="s">
        <v>1893</v>
      </c>
      <c r="M1445" s="216">
        <v>4615506885</v>
      </c>
      <c r="N1445" s="212">
        <v>43614</v>
      </c>
      <c r="O1445" s="217">
        <v>3.9746999999999999</v>
      </c>
      <c r="P1445" s="219"/>
      <c r="Q1445" s="34">
        <f>SUMIF(Allocation[Delivery ID],Allocation[[#This Row],[Delivery ID]],Allocation[Quantity Processed])</f>
        <v>15124</v>
      </c>
      <c r="R1445" s="61">
        <f>Allocation[[#This Row],[Total volume used]]/VLOOKUP(Allocation[[#This Row],[Delivery ID]],Delivery[[Delivery ID]:[Quantity delivered]],3,FALSE)</f>
        <v>0.89879360551494625</v>
      </c>
      <c r="S1445" s="34">
        <f>Allocation[[#This Row],[Quantity Processed]]/Allocation[[#This Row],[Dilution rate]]</f>
        <v>7.5601374570446733</v>
      </c>
      <c r="T1445" s="59">
        <f>SUMIF(Allocation[Delivery ID],Allocation[[#This Row],[Delivery ID]],Allocation[Quantity allocated])/SUMIF(Allocation[Delivery ID],Allocation[[#This Row],[Delivery ID]],Allocation[Volume available (kg)])</f>
        <v>1.1481700980151472</v>
      </c>
      <c r="U1445" s="61">
        <f>Allocation[[#This Row],[Total volume used]]/VLOOKUP(Allocation[[#This Row],[Delivery ID]],Delivery[[Delivery ID]:[Quantity delivered]],3,FALSE)</f>
        <v>0.89879360551494625</v>
      </c>
      <c r="V1445" s="34" t="e">
        <f>VLOOKUP(Allocation[[#This Row],[SAP Contract number]],Shipments[[SAP Contract number]:[Contracted container weight]],2,FALSE)</f>
        <v>#N/A</v>
      </c>
      <c r="W1445" s="34" t="e">
        <f>VLOOKUP(Allocation[[#This Row],[SAP Contract number]],Shipments[[SAP Contract number]:[AAA Premium USD]],24,FALSE)</f>
        <v>#N/A</v>
      </c>
      <c r="X1445" s="34" t="e">
        <f>VLOOKUP(Allocation[[#This Row],[SAP Contract number]],Shipments[[SAP Contract number]:[RA Premium USD]],25,FALSE)</f>
        <v>#N/A</v>
      </c>
      <c r="Y1445" s="38">
        <f>Allocation[[#This Row],[Quantity Processed]]/Allocation[[#This Row],[Quantity allocated]]</f>
        <v>2.2000000000000002</v>
      </c>
      <c r="Z1445" s="34" t="b">
        <f>Allocation[[#This Row],[Quantity allocated]]&lt;=Allocation[[#This Row],[Quantity Processed]]</f>
        <v>1</v>
      </c>
    </row>
    <row r="1446" spans="1:26">
      <c r="A1446" s="247" t="s">
        <v>467</v>
      </c>
      <c r="B1446" s="210" t="s">
        <v>68</v>
      </c>
      <c r="C1446" s="254" t="s">
        <v>1047</v>
      </c>
      <c r="D1446" s="255">
        <v>26</v>
      </c>
      <c r="E1446" s="211" t="s">
        <v>1890</v>
      </c>
      <c r="F1446" s="212">
        <v>43587</v>
      </c>
      <c r="G1446" s="213">
        <v>2.91</v>
      </c>
      <c r="H1446" s="256">
        <v>11</v>
      </c>
      <c r="I1446" s="214">
        <v>1453736</v>
      </c>
      <c r="J1446" s="215">
        <v>19175</v>
      </c>
      <c r="K1446" s="212">
        <v>43595</v>
      </c>
      <c r="L1446" s="211" t="s">
        <v>1893</v>
      </c>
      <c r="M1446" s="216">
        <v>4615506885</v>
      </c>
      <c r="N1446" s="212">
        <v>43614</v>
      </c>
      <c r="O1446" s="217">
        <v>3.9746999999999999</v>
      </c>
      <c r="P1446" s="219"/>
      <c r="Q1446" s="34">
        <f>SUMIF(Allocation[Delivery ID],Allocation[[#This Row],[Delivery ID]],Allocation[Quantity Processed])</f>
        <v>18140</v>
      </c>
      <c r="R1446" s="61">
        <f>Allocation[[#This Row],[Total volume used]]/VLOOKUP(Allocation[[#This Row],[Delivery ID]],Delivery[[Delivery ID]:[Quantity delivered]],3,FALSE)</f>
        <v>1</v>
      </c>
      <c r="S1446" s="34">
        <f>Allocation[[#This Row],[Quantity Processed]]/Allocation[[#This Row],[Dilution rate]]</f>
        <v>8.934707903780069</v>
      </c>
      <c r="T1446" s="59">
        <f>SUMIF(Allocation[Delivery ID],Allocation[[#This Row],[Delivery ID]],Allocation[Quantity allocated])/SUMIF(Allocation[Delivery ID],Allocation[[#This Row],[Delivery ID]],Allocation[Volume available (kg)])</f>
        <v>1.0487957952321874</v>
      </c>
      <c r="U1446" s="61">
        <f>Allocation[[#This Row],[Total volume used]]/VLOOKUP(Allocation[[#This Row],[Delivery ID]],Delivery[[Delivery ID]:[Quantity delivered]],3,FALSE)</f>
        <v>1</v>
      </c>
      <c r="V1446" s="34" t="e">
        <f>VLOOKUP(Allocation[[#This Row],[SAP Contract number]],Shipments[[SAP Contract number]:[Contracted container weight]],2,FALSE)</f>
        <v>#N/A</v>
      </c>
      <c r="W1446" s="34" t="e">
        <f>VLOOKUP(Allocation[[#This Row],[SAP Contract number]],Shipments[[SAP Contract number]:[AAA Premium USD]],24,FALSE)</f>
        <v>#N/A</v>
      </c>
      <c r="X1446" s="34" t="e">
        <f>VLOOKUP(Allocation[[#This Row],[SAP Contract number]],Shipments[[SAP Contract number]:[RA Premium USD]],25,FALSE)</f>
        <v>#N/A</v>
      </c>
      <c r="Y1446" s="38">
        <f>Allocation[[#This Row],[Quantity Processed]]/Allocation[[#This Row],[Quantity allocated]]</f>
        <v>2.3636363636363638</v>
      </c>
      <c r="Z1446" s="34" t="b">
        <f>Allocation[[#This Row],[Quantity allocated]]&lt;=Allocation[[#This Row],[Quantity Processed]]</f>
        <v>1</v>
      </c>
    </row>
    <row r="1447" spans="1:26">
      <c r="A1447" s="247" t="s">
        <v>467</v>
      </c>
      <c r="B1447" s="210" t="s">
        <v>68</v>
      </c>
      <c r="C1447" s="254" t="s">
        <v>1048</v>
      </c>
      <c r="D1447" s="255">
        <v>21</v>
      </c>
      <c r="E1447" s="211" t="s">
        <v>1890</v>
      </c>
      <c r="F1447" s="212">
        <v>43587</v>
      </c>
      <c r="G1447" s="213">
        <v>2.91</v>
      </c>
      <c r="H1447" s="256">
        <v>7</v>
      </c>
      <c r="I1447" s="214">
        <v>1453736</v>
      </c>
      <c r="J1447" s="215">
        <v>19175</v>
      </c>
      <c r="K1447" s="212">
        <v>43595</v>
      </c>
      <c r="L1447" s="211" t="s">
        <v>1893</v>
      </c>
      <c r="M1447" s="216">
        <v>4615506885</v>
      </c>
      <c r="N1447" s="212">
        <v>43614</v>
      </c>
      <c r="O1447" s="217">
        <v>3.9746999999999999</v>
      </c>
      <c r="P1447" s="219"/>
      <c r="Q1447" s="34">
        <f>SUMIF(Allocation[Delivery ID],Allocation[[#This Row],[Delivery ID]],Allocation[Quantity Processed])</f>
        <v>12002</v>
      </c>
      <c r="R1447" s="61">
        <f>Allocation[[#This Row],[Total volume used]]/VLOOKUP(Allocation[[#This Row],[Delivery ID]],Delivery[[Delivery ID]:[Quantity delivered]],3,FALSE)</f>
        <v>1</v>
      </c>
      <c r="S1447" s="34">
        <f>Allocation[[#This Row],[Quantity Processed]]/Allocation[[#This Row],[Dilution rate]]</f>
        <v>7.216494845360824</v>
      </c>
      <c r="T1447" s="59">
        <f>SUMIF(Allocation[Delivery ID],Allocation[[#This Row],[Delivery ID]],Allocation[Quantity allocated])/SUMIF(Allocation[Delivery ID],Allocation[[#This Row],[Delivery ID]],Allocation[Volume available (kg)])</f>
        <v>0.78353734344791937</v>
      </c>
      <c r="U1447" s="61">
        <f>Allocation[[#This Row],[Total volume used]]/VLOOKUP(Allocation[[#This Row],[Delivery ID]],Delivery[[Delivery ID]:[Quantity delivered]],3,FALSE)</f>
        <v>1</v>
      </c>
      <c r="V1447" s="34" t="e">
        <f>VLOOKUP(Allocation[[#This Row],[SAP Contract number]],Shipments[[SAP Contract number]:[Contracted container weight]],2,FALSE)</f>
        <v>#N/A</v>
      </c>
      <c r="W1447" s="34" t="e">
        <f>VLOOKUP(Allocation[[#This Row],[SAP Contract number]],Shipments[[SAP Contract number]:[AAA Premium USD]],24,FALSE)</f>
        <v>#N/A</v>
      </c>
      <c r="X1447" s="34" t="e">
        <f>VLOOKUP(Allocation[[#This Row],[SAP Contract number]],Shipments[[SAP Contract number]:[RA Premium USD]],25,FALSE)</f>
        <v>#N/A</v>
      </c>
      <c r="Y1447" s="38">
        <f>Allocation[[#This Row],[Quantity Processed]]/Allocation[[#This Row],[Quantity allocated]]</f>
        <v>3</v>
      </c>
      <c r="Z1447" s="34" t="b">
        <f>Allocation[[#This Row],[Quantity allocated]]&lt;=Allocation[[#This Row],[Quantity Processed]]</f>
        <v>1</v>
      </c>
    </row>
    <row r="1448" spans="1:26">
      <c r="A1448" s="247" t="s">
        <v>467</v>
      </c>
      <c r="B1448" s="210" t="s">
        <v>68</v>
      </c>
      <c r="C1448" s="254" t="s">
        <v>1064</v>
      </c>
      <c r="D1448" s="255">
        <v>8</v>
      </c>
      <c r="E1448" s="211" t="s">
        <v>1890</v>
      </c>
      <c r="F1448" s="212">
        <v>43587</v>
      </c>
      <c r="G1448" s="213">
        <v>2.91</v>
      </c>
      <c r="H1448" s="256">
        <v>3</v>
      </c>
      <c r="I1448" s="214">
        <v>1453736</v>
      </c>
      <c r="J1448" s="215">
        <v>19175</v>
      </c>
      <c r="K1448" s="212">
        <v>43595</v>
      </c>
      <c r="L1448" s="211" t="s">
        <v>1893</v>
      </c>
      <c r="M1448" s="216">
        <v>4615506885</v>
      </c>
      <c r="N1448" s="212">
        <v>43614</v>
      </c>
      <c r="O1448" s="217">
        <v>3.9746999999999999</v>
      </c>
      <c r="P1448" s="219"/>
      <c r="Q1448" s="34">
        <f>SUMIF(Allocation[Delivery ID],Allocation[[#This Row],[Delivery ID]],Allocation[Quantity Processed])</f>
        <v>4700.5</v>
      </c>
      <c r="R1448" s="61">
        <f>Allocation[[#This Row],[Total volume used]]/VLOOKUP(Allocation[[#This Row],[Delivery ID]],Delivery[[Delivery ID]:[Quantity delivered]],3,FALSE)</f>
        <v>1</v>
      </c>
      <c r="S1448" s="34">
        <f>Allocation[[#This Row],[Quantity Processed]]/Allocation[[#This Row],[Dilution rate]]</f>
        <v>2.7491408934707904</v>
      </c>
      <c r="T1448" s="59">
        <f>SUMIF(Allocation[Delivery ID],Allocation[[#This Row],[Delivery ID]],Allocation[Quantity allocated])/SUMIF(Allocation[Delivery ID],Allocation[[#This Row],[Delivery ID]],Allocation[Volume available (kg)])</f>
        <v>0.99634426923687691</v>
      </c>
      <c r="U1448" s="61">
        <f>Allocation[[#This Row],[Total volume used]]/VLOOKUP(Allocation[[#This Row],[Delivery ID]],Delivery[[Delivery ID]:[Quantity delivered]],3,FALSE)</f>
        <v>1</v>
      </c>
      <c r="V1448" s="34" t="e">
        <f>VLOOKUP(Allocation[[#This Row],[SAP Contract number]],Shipments[[SAP Contract number]:[Contracted container weight]],2,FALSE)</f>
        <v>#N/A</v>
      </c>
      <c r="W1448" s="34" t="e">
        <f>VLOOKUP(Allocation[[#This Row],[SAP Contract number]],Shipments[[SAP Contract number]:[AAA Premium USD]],24,FALSE)</f>
        <v>#N/A</v>
      </c>
      <c r="X1448" s="34" t="e">
        <f>VLOOKUP(Allocation[[#This Row],[SAP Contract number]],Shipments[[SAP Contract number]:[RA Premium USD]],25,FALSE)</f>
        <v>#N/A</v>
      </c>
      <c r="Y1448" s="38">
        <f>Allocation[[#This Row],[Quantity Processed]]/Allocation[[#This Row],[Quantity allocated]]</f>
        <v>2.6666666666666665</v>
      </c>
      <c r="Z1448" s="34" t="b">
        <f>Allocation[[#This Row],[Quantity allocated]]&lt;=Allocation[[#This Row],[Quantity Processed]]</f>
        <v>1</v>
      </c>
    </row>
    <row r="1449" spans="1:26">
      <c r="A1449" s="247" t="s">
        <v>467</v>
      </c>
      <c r="B1449" s="210" t="s">
        <v>68</v>
      </c>
      <c r="C1449" s="254" t="s">
        <v>1067</v>
      </c>
      <c r="D1449" s="255">
        <v>20</v>
      </c>
      <c r="E1449" s="211" t="s">
        <v>1890</v>
      </c>
      <c r="F1449" s="212">
        <v>43587</v>
      </c>
      <c r="G1449" s="213">
        <v>2.91</v>
      </c>
      <c r="H1449" s="256">
        <v>10</v>
      </c>
      <c r="I1449" s="214">
        <v>1453736</v>
      </c>
      <c r="J1449" s="215">
        <v>19175</v>
      </c>
      <c r="K1449" s="212">
        <v>43595</v>
      </c>
      <c r="L1449" s="211" t="s">
        <v>1893</v>
      </c>
      <c r="M1449" s="216">
        <v>4615506885</v>
      </c>
      <c r="N1449" s="212">
        <v>43614</v>
      </c>
      <c r="O1449" s="217">
        <v>3.9746999999999999</v>
      </c>
      <c r="P1449" s="219"/>
      <c r="Q1449" s="34">
        <f>SUMIF(Allocation[Delivery ID],Allocation[[#This Row],[Delivery ID]],Allocation[Quantity Processed])</f>
        <v>13526</v>
      </c>
      <c r="R1449" s="61">
        <f>Allocation[[#This Row],[Total volume used]]/VLOOKUP(Allocation[[#This Row],[Delivery ID]],Delivery[[Delivery ID]:[Quantity delivered]],3,FALSE)</f>
        <v>0.82682315544959961</v>
      </c>
      <c r="S1449" s="34">
        <f>Allocation[[#This Row],[Quantity Processed]]/Allocation[[#This Row],[Dilution rate]]</f>
        <v>6.8728522336769755</v>
      </c>
      <c r="T1449" s="59">
        <f>SUMIF(Allocation[Delivery ID],Allocation[[#This Row],[Delivery ID]],Allocation[Quantity allocated])/SUMIF(Allocation[Delivery ID],Allocation[[#This Row],[Delivery ID]],Allocation[Volume available (kg)])</f>
        <v>1.2481077066953579</v>
      </c>
      <c r="U1449" s="61">
        <f>Allocation[[#This Row],[Total volume used]]/VLOOKUP(Allocation[[#This Row],[Delivery ID]],Delivery[[Delivery ID]:[Quantity delivered]],3,FALSE)</f>
        <v>0.82682315544959961</v>
      </c>
      <c r="V1449" s="34" t="e">
        <f>VLOOKUP(Allocation[[#This Row],[SAP Contract number]],Shipments[[SAP Contract number]:[Contracted container weight]],2,FALSE)</f>
        <v>#N/A</v>
      </c>
      <c r="W1449" s="34" t="e">
        <f>VLOOKUP(Allocation[[#This Row],[SAP Contract number]],Shipments[[SAP Contract number]:[AAA Premium USD]],24,FALSE)</f>
        <v>#N/A</v>
      </c>
      <c r="X1449" s="34" t="e">
        <f>VLOOKUP(Allocation[[#This Row],[SAP Contract number]],Shipments[[SAP Contract number]:[RA Premium USD]],25,FALSE)</f>
        <v>#N/A</v>
      </c>
      <c r="Y1449" s="38">
        <f>Allocation[[#This Row],[Quantity Processed]]/Allocation[[#This Row],[Quantity allocated]]</f>
        <v>2</v>
      </c>
      <c r="Z1449" s="34" t="b">
        <f>Allocation[[#This Row],[Quantity allocated]]&lt;=Allocation[[#This Row],[Quantity Processed]]</f>
        <v>1</v>
      </c>
    </row>
    <row r="1450" spans="1:26">
      <c r="A1450" s="247" t="s">
        <v>467</v>
      </c>
      <c r="B1450" s="210" t="s">
        <v>68</v>
      </c>
      <c r="C1450" s="254" t="s">
        <v>1071</v>
      </c>
      <c r="D1450" s="255">
        <v>58</v>
      </c>
      <c r="E1450" s="211" t="s">
        <v>1890</v>
      </c>
      <c r="F1450" s="212">
        <v>43587</v>
      </c>
      <c r="G1450" s="213">
        <v>2.91</v>
      </c>
      <c r="H1450" s="256">
        <v>19</v>
      </c>
      <c r="I1450" s="214">
        <v>1453736</v>
      </c>
      <c r="J1450" s="215">
        <v>19175</v>
      </c>
      <c r="K1450" s="212">
        <v>43595</v>
      </c>
      <c r="L1450" s="211" t="s">
        <v>1893</v>
      </c>
      <c r="M1450" s="216">
        <v>4615506885</v>
      </c>
      <c r="N1450" s="212">
        <v>43614</v>
      </c>
      <c r="O1450" s="217">
        <v>3.9746999999999999</v>
      </c>
      <c r="P1450" s="219"/>
      <c r="Q1450" s="34">
        <f>SUMIF(Allocation[Delivery ID],Allocation[[#This Row],[Delivery ID]],Allocation[Quantity Processed])</f>
        <v>31243</v>
      </c>
      <c r="R1450" s="61">
        <f>Allocation[[#This Row],[Total volume used]]/VLOOKUP(Allocation[[#This Row],[Delivery ID]],Delivery[[Delivery ID]:[Quantity delivered]],3,FALSE)</f>
        <v>1</v>
      </c>
      <c r="S1450" s="34">
        <f>Allocation[[#This Row],[Quantity Processed]]/Allocation[[#This Row],[Dilution rate]]</f>
        <v>19.93127147766323</v>
      </c>
      <c r="T1450" s="59">
        <f>SUMIF(Allocation[Delivery ID],Allocation[[#This Row],[Delivery ID]],Allocation[Quantity allocated])/SUMIF(Allocation[Delivery ID],Allocation[[#This Row],[Delivery ID]],Allocation[Volume available (kg)])</f>
        <v>0.78364678265018262</v>
      </c>
      <c r="U1450" s="61">
        <f>Allocation[[#This Row],[Total volume used]]/VLOOKUP(Allocation[[#This Row],[Delivery ID]],Delivery[[Delivery ID]:[Quantity delivered]],3,FALSE)</f>
        <v>1</v>
      </c>
      <c r="V1450" s="34" t="e">
        <f>VLOOKUP(Allocation[[#This Row],[SAP Contract number]],Shipments[[SAP Contract number]:[Contracted container weight]],2,FALSE)</f>
        <v>#N/A</v>
      </c>
      <c r="W1450" s="34" t="e">
        <f>VLOOKUP(Allocation[[#This Row],[SAP Contract number]],Shipments[[SAP Contract number]:[AAA Premium USD]],24,FALSE)</f>
        <v>#N/A</v>
      </c>
      <c r="X1450" s="34" t="e">
        <f>VLOOKUP(Allocation[[#This Row],[SAP Contract number]],Shipments[[SAP Contract number]:[RA Premium USD]],25,FALSE)</f>
        <v>#N/A</v>
      </c>
      <c r="Y1450" s="38">
        <f>Allocation[[#This Row],[Quantity Processed]]/Allocation[[#This Row],[Quantity allocated]]</f>
        <v>3.0526315789473686</v>
      </c>
      <c r="Z1450" s="34" t="b">
        <f>Allocation[[#This Row],[Quantity allocated]]&lt;=Allocation[[#This Row],[Quantity Processed]]</f>
        <v>1</v>
      </c>
    </row>
    <row r="1451" spans="1:26">
      <c r="A1451" s="247" t="s">
        <v>467</v>
      </c>
      <c r="B1451" s="210" t="s">
        <v>68</v>
      </c>
      <c r="C1451" s="254" t="s">
        <v>1074</v>
      </c>
      <c r="D1451" s="255">
        <v>55</v>
      </c>
      <c r="E1451" s="211" t="s">
        <v>1890</v>
      </c>
      <c r="F1451" s="212">
        <v>43587</v>
      </c>
      <c r="G1451" s="213">
        <v>2.91</v>
      </c>
      <c r="H1451" s="256">
        <v>18</v>
      </c>
      <c r="I1451" s="214">
        <v>1453736</v>
      </c>
      <c r="J1451" s="215">
        <v>19175</v>
      </c>
      <c r="K1451" s="212">
        <v>43595</v>
      </c>
      <c r="L1451" s="211" t="s">
        <v>1893</v>
      </c>
      <c r="M1451" s="216">
        <v>4615506885</v>
      </c>
      <c r="N1451" s="212">
        <v>43614</v>
      </c>
      <c r="O1451" s="217">
        <v>3.9746999999999999</v>
      </c>
      <c r="P1451" s="219"/>
      <c r="Q1451" s="34">
        <f>SUMIF(Allocation[Delivery ID],Allocation[[#This Row],[Delivery ID]],Allocation[Quantity Processed])</f>
        <v>30070</v>
      </c>
      <c r="R1451" s="61">
        <f>Allocation[[#This Row],[Total volume used]]/VLOOKUP(Allocation[[#This Row],[Delivery ID]],Delivery[[Delivery ID]:[Quantity delivered]],3,FALSE)</f>
        <v>1</v>
      </c>
      <c r="S1451" s="34">
        <f>Allocation[[#This Row],[Quantity Processed]]/Allocation[[#This Row],[Dilution rate]]</f>
        <v>18.900343642611684</v>
      </c>
      <c r="T1451" s="59">
        <f>SUMIF(Allocation[Delivery ID],Allocation[[#This Row],[Delivery ID]],Allocation[Quantity allocated])/SUMIF(Allocation[Delivery ID],Allocation[[#This Row],[Delivery ID]],Allocation[Volume available (kg)])</f>
        <v>0.81441196854888298</v>
      </c>
      <c r="U1451" s="61">
        <f>Allocation[[#This Row],[Total volume used]]/VLOOKUP(Allocation[[#This Row],[Delivery ID]],Delivery[[Delivery ID]:[Quantity delivered]],3,FALSE)</f>
        <v>1</v>
      </c>
      <c r="V1451" s="34" t="e">
        <f>VLOOKUP(Allocation[[#This Row],[SAP Contract number]],Shipments[[SAP Contract number]:[Contracted container weight]],2,FALSE)</f>
        <v>#N/A</v>
      </c>
      <c r="W1451" s="34" t="e">
        <f>VLOOKUP(Allocation[[#This Row],[SAP Contract number]],Shipments[[SAP Contract number]:[AAA Premium USD]],24,FALSE)</f>
        <v>#N/A</v>
      </c>
      <c r="X1451" s="34" t="e">
        <f>VLOOKUP(Allocation[[#This Row],[SAP Contract number]],Shipments[[SAP Contract number]:[RA Premium USD]],25,FALSE)</f>
        <v>#N/A</v>
      </c>
      <c r="Y1451" s="38">
        <f>Allocation[[#This Row],[Quantity Processed]]/Allocation[[#This Row],[Quantity allocated]]</f>
        <v>3.0555555555555554</v>
      </c>
      <c r="Z1451" s="34" t="b">
        <f>Allocation[[#This Row],[Quantity allocated]]&lt;=Allocation[[#This Row],[Quantity Processed]]</f>
        <v>1</v>
      </c>
    </row>
    <row r="1452" spans="1:26">
      <c r="A1452" s="247" t="s">
        <v>467</v>
      </c>
      <c r="B1452" s="210" t="s">
        <v>68</v>
      </c>
      <c r="C1452" s="254" t="s">
        <v>1076</v>
      </c>
      <c r="D1452" s="255">
        <v>12</v>
      </c>
      <c r="E1452" s="211" t="s">
        <v>1890</v>
      </c>
      <c r="F1452" s="212">
        <v>43587</v>
      </c>
      <c r="G1452" s="213">
        <v>2.91</v>
      </c>
      <c r="H1452" s="256">
        <v>7</v>
      </c>
      <c r="I1452" s="214">
        <v>1453736</v>
      </c>
      <c r="J1452" s="215">
        <v>19175</v>
      </c>
      <c r="K1452" s="212">
        <v>43595</v>
      </c>
      <c r="L1452" s="211" t="s">
        <v>1893</v>
      </c>
      <c r="M1452" s="216">
        <v>4615506885</v>
      </c>
      <c r="N1452" s="212">
        <v>43614</v>
      </c>
      <c r="O1452" s="217">
        <v>3.9746999999999999</v>
      </c>
      <c r="P1452" s="219"/>
      <c r="Q1452" s="34">
        <f>SUMIF(Allocation[Delivery ID],Allocation[[#This Row],[Delivery ID]],Allocation[Quantity Processed])</f>
        <v>8805</v>
      </c>
      <c r="R1452" s="61">
        <f>Allocation[[#This Row],[Total volume used]]/VLOOKUP(Allocation[[#This Row],[Delivery ID]],Delivery[[Delivery ID]:[Quantity delivered]],3,FALSE)</f>
        <v>0.71341759844433639</v>
      </c>
      <c r="S1452" s="34">
        <f>Allocation[[#This Row],[Quantity Processed]]/Allocation[[#This Row],[Dilution rate]]</f>
        <v>4.1237113402061851</v>
      </c>
      <c r="T1452" s="59">
        <f>SUMIF(Allocation[Delivery ID],Allocation[[#This Row],[Delivery ID]],Allocation[Quantity allocated])/SUMIF(Allocation[Delivery ID],Allocation[[#This Row],[Delivery ID]],Allocation[Volume available (kg)])</f>
        <v>1.4474976748977335</v>
      </c>
      <c r="U1452" s="61">
        <f>Allocation[[#This Row],[Total volume used]]/VLOOKUP(Allocation[[#This Row],[Delivery ID]],Delivery[[Delivery ID]:[Quantity delivered]],3,FALSE)</f>
        <v>0.71341759844433639</v>
      </c>
      <c r="V1452" s="34" t="e">
        <f>VLOOKUP(Allocation[[#This Row],[SAP Contract number]],Shipments[[SAP Contract number]:[Contracted container weight]],2,FALSE)</f>
        <v>#N/A</v>
      </c>
      <c r="W1452" s="34" t="e">
        <f>VLOOKUP(Allocation[[#This Row],[SAP Contract number]],Shipments[[SAP Contract number]:[AAA Premium USD]],24,FALSE)</f>
        <v>#N/A</v>
      </c>
      <c r="X1452" s="34" t="e">
        <f>VLOOKUP(Allocation[[#This Row],[SAP Contract number]],Shipments[[SAP Contract number]:[RA Premium USD]],25,FALSE)</f>
        <v>#N/A</v>
      </c>
      <c r="Y1452" s="38">
        <f>Allocation[[#This Row],[Quantity Processed]]/Allocation[[#This Row],[Quantity allocated]]</f>
        <v>1.7142857142857142</v>
      </c>
      <c r="Z1452" s="34" t="b">
        <f>Allocation[[#This Row],[Quantity allocated]]&lt;=Allocation[[#This Row],[Quantity Processed]]</f>
        <v>1</v>
      </c>
    </row>
    <row r="1453" spans="1:26">
      <c r="A1453" s="247" t="s">
        <v>467</v>
      </c>
      <c r="B1453" s="210" t="s">
        <v>68</v>
      </c>
      <c r="C1453" s="254" t="s">
        <v>1078</v>
      </c>
      <c r="D1453" s="255">
        <v>28</v>
      </c>
      <c r="E1453" s="211" t="s">
        <v>1890</v>
      </c>
      <c r="F1453" s="212">
        <v>43587</v>
      </c>
      <c r="G1453" s="213">
        <v>2.91</v>
      </c>
      <c r="H1453" s="256">
        <v>11</v>
      </c>
      <c r="I1453" s="214">
        <v>1453736</v>
      </c>
      <c r="J1453" s="215">
        <v>19175</v>
      </c>
      <c r="K1453" s="212">
        <v>43595</v>
      </c>
      <c r="L1453" s="211" t="s">
        <v>1893</v>
      </c>
      <c r="M1453" s="216">
        <v>4615506885</v>
      </c>
      <c r="N1453" s="212">
        <v>43614</v>
      </c>
      <c r="O1453" s="217">
        <v>3.9746999999999999</v>
      </c>
      <c r="P1453" s="219"/>
      <c r="Q1453" s="34">
        <f>SUMIF(Allocation[Delivery ID],Allocation[[#This Row],[Delivery ID]],Allocation[Quantity Processed])</f>
        <v>18130</v>
      </c>
      <c r="R1453" s="61">
        <f>Allocation[[#This Row],[Total volume used]]/VLOOKUP(Allocation[[#This Row],[Delivery ID]],Delivery[[Delivery ID]:[Quantity delivered]],3,FALSE)</f>
        <v>1</v>
      </c>
      <c r="S1453" s="34">
        <f>Allocation[[#This Row],[Quantity Processed]]/Allocation[[#This Row],[Dilution rate]]</f>
        <v>9.6219931271477659</v>
      </c>
      <c r="T1453" s="59">
        <f>SUMIF(Allocation[Delivery ID],Allocation[[#This Row],[Delivery ID]],Allocation[Quantity allocated])/SUMIF(Allocation[Delivery ID],Allocation[[#This Row],[Delivery ID]],Allocation[Volume available (kg)])</f>
        <v>0.97337423777567733</v>
      </c>
      <c r="U1453" s="61">
        <f>Allocation[[#This Row],[Total volume used]]/VLOOKUP(Allocation[[#This Row],[Delivery ID]],Delivery[[Delivery ID]:[Quantity delivered]],3,FALSE)</f>
        <v>1</v>
      </c>
      <c r="V1453" s="34" t="e">
        <f>VLOOKUP(Allocation[[#This Row],[SAP Contract number]],Shipments[[SAP Contract number]:[Contracted container weight]],2,FALSE)</f>
        <v>#N/A</v>
      </c>
      <c r="W1453" s="34" t="e">
        <f>VLOOKUP(Allocation[[#This Row],[SAP Contract number]],Shipments[[SAP Contract number]:[AAA Premium USD]],24,FALSE)</f>
        <v>#N/A</v>
      </c>
      <c r="X1453" s="34" t="e">
        <f>VLOOKUP(Allocation[[#This Row],[SAP Contract number]],Shipments[[SAP Contract number]:[RA Premium USD]],25,FALSE)</f>
        <v>#N/A</v>
      </c>
      <c r="Y1453" s="38">
        <f>Allocation[[#This Row],[Quantity Processed]]/Allocation[[#This Row],[Quantity allocated]]</f>
        <v>2.5454545454545454</v>
      </c>
      <c r="Z1453" s="34" t="b">
        <f>Allocation[[#This Row],[Quantity allocated]]&lt;=Allocation[[#This Row],[Quantity Processed]]</f>
        <v>1</v>
      </c>
    </row>
    <row r="1454" spans="1:26">
      <c r="A1454" s="247" t="s">
        <v>467</v>
      </c>
      <c r="B1454" s="210" t="s">
        <v>68</v>
      </c>
      <c r="C1454" s="254" t="s">
        <v>1083</v>
      </c>
      <c r="D1454" s="255">
        <v>12</v>
      </c>
      <c r="E1454" s="211" t="s">
        <v>1890</v>
      </c>
      <c r="F1454" s="212">
        <v>43587</v>
      </c>
      <c r="G1454" s="213">
        <v>2.91</v>
      </c>
      <c r="H1454" s="256">
        <v>5</v>
      </c>
      <c r="I1454" s="214">
        <v>1453736</v>
      </c>
      <c r="J1454" s="215">
        <v>19175</v>
      </c>
      <c r="K1454" s="212">
        <v>43595</v>
      </c>
      <c r="L1454" s="211" t="s">
        <v>1893</v>
      </c>
      <c r="M1454" s="216">
        <v>4615506885</v>
      </c>
      <c r="N1454" s="212">
        <v>43614</v>
      </c>
      <c r="O1454" s="217">
        <v>3.9746999999999999</v>
      </c>
      <c r="P1454" s="219"/>
      <c r="Q1454" s="34">
        <f>SUMIF(Allocation[Delivery ID],Allocation[[#This Row],[Delivery ID]],Allocation[Quantity Processed])</f>
        <v>12310</v>
      </c>
      <c r="R1454" s="61">
        <f>Allocation[[#This Row],[Total volume used]]/VLOOKUP(Allocation[[#This Row],[Delivery ID]],Delivery[[Delivery ID]:[Quantity delivered]],3,FALSE)</f>
        <v>0.85694396101635917</v>
      </c>
      <c r="S1454" s="34">
        <f>Allocation[[#This Row],[Quantity Processed]]/Allocation[[#This Row],[Dilution rate]]</f>
        <v>4.1237113402061851</v>
      </c>
      <c r="T1454" s="59">
        <f>SUMIF(Allocation[Delivery ID],Allocation[[#This Row],[Delivery ID]],Allocation[Quantity allocated])/SUMIF(Allocation[Delivery ID],Allocation[[#This Row],[Delivery ID]],Allocation[Volume available (kg)])</f>
        <v>1.0696976228020301</v>
      </c>
      <c r="U1454" s="61">
        <f>Allocation[[#This Row],[Total volume used]]/VLOOKUP(Allocation[[#This Row],[Delivery ID]],Delivery[[Delivery ID]:[Quantity delivered]],3,FALSE)</f>
        <v>0.85694396101635917</v>
      </c>
      <c r="V1454" s="34" t="e">
        <f>VLOOKUP(Allocation[[#This Row],[SAP Contract number]],Shipments[[SAP Contract number]:[Contracted container weight]],2,FALSE)</f>
        <v>#N/A</v>
      </c>
      <c r="W1454" s="34" t="e">
        <f>VLOOKUP(Allocation[[#This Row],[SAP Contract number]],Shipments[[SAP Contract number]:[AAA Premium USD]],24,FALSE)</f>
        <v>#N/A</v>
      </c>
      <c r="X1454" s="34" t="e">
        <f>VLOOKUP(Allocation[[#This Row],[SAP Contract number]],Shipments[[SAP Contract number]:[RA Premium USD]],25,FALSE)</f>
        <v>#N/A</v>
      </c>
      <c r="Y1454" s="38">
        <f>Allocation[[#This Row],[Quantity Processed]]/Allocation[[#This Row],[Quantity allocated]]</f>
        <v>2.4</v>
      </c>
      <c r="Z1454" s="34" t="b">
        <f>Allocation[[#This Row],[Quantity allocated]]&lt;=Allocation[[#This Row],[Quantity Processed]]</f>
        <v>1</v>
      </c>
    </row>
    <row r="1455" spans="1:26">
      <c r="A1455" s="247" t="s">
        <v>467</v>
      </c>
      <c r="B1455" s="210" t="s">
        <v>68</v>
      </c>
      <c r="C1455" s="254" t="s">
        <v>1084</v>
      </c>
      <c r="D1455" s="255">
        <v>7</v>
      </c>
      <c r="E1455" s="211" t="s">
        <v>1890</v>
      </c>
      <c r="F1455" s="212">
        <v>43587</v>
      </c>
      <c r="G1455" s="213">
        <v>2.91</v>
      </c>
      <c r="H1455" s="256">
        <v>3</v>
      </c>
      <c r="I1455" s="214">
        <v>1453736</v>
      </c>
      <c r="J1455" s="215">
        <v>19175</v>
      </c>
      <c r="K1455" s="212">
        <v>43595</v>
      </c>
      <c r="L1455" s="211" t="s">
        <v>1893</v>
      </c>
      <c r="M1455" s="216">
        <v>4615506885</v>
      </c>
      <c r="N1455" s="212">
        <v>43614</v>
      </c>
      <c r="O1455" s="217">
        <v>3.9746999999999999</v>
      </c>
      <c r="P1455" s="219"/>
      <c r="Q1455" s="34">
        <f>SUMIF(Allocation[Delivery ID],Allocation[[#This Row],[Delivery ID]],Allocation[Quantity Processed])</f>
        <v>6696</v>
      </c>
      <c r="R1455" s="61">
        <f>Allocation[[#This Row],[Total volume used]]/VLOOKUP(Allocation[[#This Row],[Delivery ID]],Delivery[[Delivery ID]:[Quantity delivered]],3,FALSE)</f>
        <v>0.85681381957773517</v>
      </c>
      <c r="S1455" s="34">
        <f>Allocation[[#This Row],[Quantity Processed]]/Allocation[[#This Row],[Dilution rate]]</f>
        <v>2.4054982817869415</v>
      </c>
      <c r="T1455" s="59">
        <f>SUMIF(Allocation[Delivery ID],Allocation[[#This Row],[Delivery ID]],Allocation[Quantity allocated])/SUMIF(Allocation[Delivery ID],Allocation[[#This Row],[Delivery ID]],Allocation[Volume available (kg)])</f>
        <v>1.0696839892515559</v>
      </c>
      <c r="U1455" s="61">
        <f>Allocation[[#This Row],[Total volume used]]/VLOOKUP(Allocation[[#This Row],[Delivery ID]],Delivery[[Delivery ID]:[Quantity delivered]],3,FALSE)</f>
        <v>0.85681381957773517</v>
      </c>
      <c r="V1455" s="34" t="e">
        <f>VLOOKUP(Allocation[[#This Row],[SAP Contract number]],Shipments[[SAP Contract number]:[Contracted container weight]],2,FALSE)</f>
        <v>#N/A</v>
      </c>
      <c r="W1455" s="34" t="e">
        <f>VLOOKUP(Allocation[[#This Row],[SAP Contract number]],Shipments[[SAP Contract number]:[AAA Premium USD]],24,FALSE)</f>
        <v>#N/A</v>
      </c>
      <c r="X1455" s="34" t="e">
        <f>VLOOKUP(Allocation[[#This Row],[SAP Contract number]],Shipments[[SAP Contract number]:[RA Premium USD]],25,FALSE)</f>
        <v>#N/A</v>
      </c>
      <c r="Y1455" s="38">
        <f>Allocation[[#This Row],[Quantity Processed]]/Allocation[[#This Row],[Quantity allocated]]</f>
        <v>2.3333333333333335</v>
      </c>
      <c r="Z1455" s="34" t="b">
        <f>Allocation[[#This Row],[Quantity allocated]]&lt;=Allocation[[#This Row],[Quantity Processed]]</f>
        <v>1</v>
      </c>
    </row>
    <row r="1456" spans="1:26">
      <c r="A1456" s="247" t="s">
        <v>467</v>
      </c>
      <c r="B1456" s="210" t="s">
        <v>68</v>
      </c>
      <c r="C1456" s="254" t="s">
        <v>1085</v>
      </c>
      <c r="D1456" s="255">
        <v>73</v>
      </c>
      <c r="E1456" s="211" t="s">
        <v>1890</v>
      </c>
      <c r="F1456" s="212">
        <v>43587</v>
      </c>
      <c r="G1456" s="213">
        <v>2.91</v>
      </c>
      <c r="H1456" s="256">
        <v>35</v>
      </c>
      <c r="I1456" s="214">
        <v>1453736</v>
      </c>
      <c r="J1456" s="215">
        <v>19175</v>
      </c>
      <c r="K1456" s="212">
        <v>43595</v>
      </c>
      <c r="L1456" s="211" t="s">
        <v>1893</v>
      </c>
      <c r="M1456" s="216">
        <v>4615506885</v>
      </c>
      <c r="N1456" s="212">
        <v>43614</v>
      </c>
      <c r="O1456" s="217">
        <v>3.9746999999999999</v>
      </c>
      <c r="P1456" s="219"/>
      <c r="Q1456" s="34">
        <f>SUMIF(Allocation[Delivery ID],Allocation[[#This Row],[Delivery ID]],Allocation[Quantity Processed])</f>
        <v>26624</v>
      </c>
      <c r="R1456" s="61">
        <f>Allocation[[#This Row],[Total volume used]]/VLOOKUP(Allocation[[#This Row],[Delivery ID]],Delivery[[Delivery ID]:[Quantity delivered]],3,FALSE)</f>
        <v>0.85224071702944937</v>
      </c>
      <c r="S1456" s="34">
        <f>Allocation[[#This Row],[Quantity Processed]]/Allocation[[#This Row],[Dilution rate]]</f>
        <v>25.085910652920962</v>
      </c>
      <c r="T1456" s="59">
        <f>SUMIF(Allocation[Delivery ID],Allocation[[#This Row],[Delivery ID]],Allocation[Quantity allocated])/SUMIF(Allocation[Delivery ID],Allocation[[#This Row],[Delivery ID]],Allocation[Volume available (kg)])</f>
        <v>0.97718912475220943</v>
      </c>
      <c r="U1456" s="61">
        <f>Allocation[[#This Row],[Total volume used]]/VLOOKUP(Allocation[[#This Row],[Delivery ID]],Delivery[[Delivery ID]:[Quantity delivered]],3,FALSE)</f>
        <v>0.85224071702944937</v>
      </c>
      <c r="V1456" s="34" t="e">
        <f>VLOOKUP(Allocation[[#This Row],[SAP Contract number]],Shipments[[SAP Contract number]:[Contracted container weight]],2,FALSE)</f>
        <v>#N/A</v>
      </c>
      <c r="W1456" s="34" t="e">
        <f>VLOOKUP(Allocation[[#This Row],[SAP Contract number]],Shipments[[SAP Contract number]:[AAA Premium USD]],24,FALSE)</f>
        <v>#N/A</v>
      </c>
      <c r="X1456" s="34" t="e">
        <f>VLOOKUP(Allocation[[#This Row],[SAP Contract number]],Shipments[[SAP Contract number]:[RA Premium USD]],25,FALSE)</f>
        <v>#N/A</v>
      </c>
      <c r="Y1456" s="38">
        <f>Allocation[[#This Row],[Quantity Processed]]/Allocation[[#This Row],[Quantity allocated]]</f>
        <v>2.0857142857142859</v>
      </c>
      <c r="Z1456" s="34" t="b">
        <f>Allocation[[#This Row],[Quantity allocated]]&lt;=Allocation[[#This Row],[Quantity Processed]]</f>
        <v>1</v>
      </c>
    </row>
    <row r="1457" spans="1:26">
      <c r="A1457" s="247" t="s">
        <v>467</v>
      </c>
      <c r="B1457" s="210" t="s">
        <v>68</v>
      </c>
      <c r="C1457" s="254" t="s">
        <v>1088</v>
      </c>
      <c r="D1457" s="255">
        <v>90</v>
      </c>
      <c r="E1457" s="211" t="s">
        <v>1890</v>
      </c>
      <c r="F1457" s="212">
        <v>43587</v>
      </c>
      <c r="G1457" s="213">
        <v>2.91</v>
      </c>
      <c r="H1457" s="256">
        <v>43</v>
      </c>
      <c r="I1457" s="214">
        <v>1453736</v>
      </c>
      <c r="J1457" s="215">
        <v>19175</v>
      </c>
      <c r="K1457" s="212">
        <v>43595</v>
      </c>
      <c r="L1457" s="211" t="s">
        <v>1893</v>
      </c>
      <c r="M1457" s="216">
        <v>4615506885</v>
      </c>
      <c r="N1457" s="212">
        <v>43614</v>
      </c>
      <c r="O1457" s="217">
        <v>3.9746999999999999</v>
      </c>
      <c r="P1457" s="219"/>
      <c r="Q1457" s="34">
        <f>SUMIF(Allocation[Delivery ID],Allocation[[#This Row],[Delivery ID]],Allocation[Quantity Processed])</f>
        <v>32243</v>
      </c>
      <c r="R1457" s="61">
        <f>Allocation[[#This Row],[Total volume used]]/VLOOKUP(Allocation[[#This Row],[Delivery ID]],Delivery[[Delivery ID]:[Quantity delivered]],3,FALSE)</f>
        <v>0.85141272775283861</v>
      </c>
      <c r="S1457" s="34">
        <f>Allocation[[#This Row],[Quantity Processed]]/Allocation[[#This Row],[Dilution rate]]</f>
        <v>30.927835051546392</v>
      </c>
      <c r="T1457" s="59">
        <f>SUMIF(Allocation[Delivery ID],Allocation[[#This Row],[Delivery ID]],Allocation[Quantity allocated])/SUMIF(Allocation[Delivery ID],Allocation[[#This Row],[Delivery ID]],Allocation[Volume available (kg)])</f>
        <v>0.97723555782784222</v>
      </c>
      <c r="U1457" s="61">
        <f>Allocation[[#This Row],[Total volume used]]/VLOOKUP(Allocation[[#This Row],[Delivery ID]],Delivery[[Delivery ID]:[Quantity delivered]],3,FALSE)</f>
        <v>0.85141272775283861</v>
      </c>
      <c r="V1457" s="34" t="e">
        <f>VLOOKUP(Allocation[[#This Row],[SAP Contract number]],Shipments[[SAP Contract number]:[Contracted container weight]],2,FALSE)</f>
        <v>#N/A</v>
      </c>
      <c r="W1457" s="34" t="e">
        <f>VLOOKUP(Allocation[[#This Row],[SAP Contract number]],Shipments[[SAP Contract number]:[AAA Premium USD]],24,FALSE)</f>
        <v>#N/A</v>
      </c>
      <c r="X1457" s="34" t="e">
        <f>VLOOKUP(Allocation[[#This Row],[SAP Contract number]],Shipments[[SAP Contract number]:[RA Premium USD]],25,FALSE)</f>
        <v>#N/A</v>
      </c>
      <c r="Y1457" s="38">
        <f>Allocation[[#This Row],[Quantity Processed]]/Allocation[[#This Row],[Quantity allocated]]</f>
        <v>2.0930232558139537</v>
      </c>
      <c r="Z1457" s="34" t="b">
        <f>Allocation[[#This Row],[Quantity allocated]]&lt;=Allocation[[#This Row],[Quantity Processed]]</f>
        <v>1</v>
      </c>
    </row>
    <row r="1458" spans="1:26">
      <c r="A1458" s="247" t="s">
        <v>467</v>
      </c>
      <c r="B1458" s="210" t="s">
        <v>68</v>
      </c>
      <c r="C1458" s="254" t="s">
        <v>1089</v>
      </c>
      <c r="D1458" s="255">
        <v>37</v>
      </c>
      <c r="E1458" s="211" t="s">
        <v>1890</v>
      </c>
      <c r="F1458" s="212">
        <v>43587</v>
      </c>
      <c r="G1458" s="213">
        <v>2.91</v>
      </c>
      <c r="H1458" s="256">
        <v>11</v>
      </c>
      <c r="I1458" s="214">
        <v>1453736</v>
      </c>
      <c r="J1458" s="215">
        <v>19175</v>
      </c>
      <c r="K1458" s="212">
        <v>43595</v>
      </c>
      <c r="L1458" s="211" t="s">
        <v>1893</v>
      </c>
      <c r="M1458" s="216">
        <v>4615506885</v>
      </c>
      <c r="N1458" s="212">
        <v>43614</v>
      </c>
      <c r="O1458" s="217">
        <v>3.9746999999999999</v>
      </c>
      <c r="P1458" s="219"/>
      <c r="Q1458" s="34">
        <f>SUMIF(Allocation[Delivery ID],Allocation[[#This Row],[Delivery ID]],Allocation[Quantity Processed])</f>
        <v>29932</v>
      </c>
      <c r="R1458" s="61">
        <f>Allocation[[#This Row],[Total volume used]]/VLOOKUP(Allocation[[#This Row],[Delivery ID]],Delivery[[Delivery ID]:[Quantity delivered]],3,FALSE)</f>
        <v>1</v>
      </c>
      <c r="S1458" s="34">
        <f>Allocation[[#This Row],[Quantity Processed]]/Allocation[[#This Row],[Dilution rate]]</f>
        <v>12.714776632302405</v>
      </c>
      <c r="T1458" s="59">
        <f>SUMIF(Allocation[Delivery ID],Allocation[[#This Row],[Delivery ID]],Allocation[Quantity allocated])/SUMIF(Allocation[Delivery ID],Allocation[[#This Row],[Delivery ID]],Allocation[Volume available (kg)])</f>
        <v>0.74687739269496001</v>
      </c>
      <c r="U1458" s="61">
        <f>Allocation[[#This Row],[Total volume used]]/VLOOKUP(Allocation[[#This Row],[Delivery ID]],Delivery[[Delivery ID]:[Quantity delivered]],3,FALSE)</f>
        <v>1</v>
      </c>
      <c r="V1458" s="34" t="e">
        <f>VLOOKUP(Allocation[[#This Row],[SAP Contract number]],Shipments[[SAP Contract number]:[Contracted container weight]],2,FALSE)</f>
        <v>#N/A</v>
      </c>
      <c r="W1458" s="34" t="e">
        <f>VLOOKUP(Allocation[[#This Row],[SAP Contract number]],Shipments[[SAP Contract number]:[AAA Premium USD]],24,FALSE)</f>
        <v>#N/A</v>
      </c>
      <c r="X1458" s="34" t="e">
        <f>VLOOKUP(Allocation[[#This Row],[SAP Contract number]],Shipments[[SAP Contract number]:[RA Premium USD]],25,FALSE)</f>
        <v>#N/A</v>
      </c>
      <c r="Y1458" s="38">
        <f>Allocation[[#This Row],[Quantity Processed]]/Allocation[[#This Row],[Quantity allocated]]</f>
        <v>3.3636363636363638</v>
      </c>
      <c r="Z1458" s="34" t="b">
        <f>Allocation[[#This Row],[Quantity allocated]]&lt;=Allocation[[#This Row],[Quantity Processed]]</f>
        <v>1</v>
      </c>
    </row>
    <row r="1459" spans="1:26">
      <c r="A1459" s="247" t="s">
        <v>467</v>
      </c>
      <c r="B1459" s="210" t="s">
        <v>68</v>
      </c>
      <c r="C1459" s="254" t="s">
        <v>1090</v>
      </c>
      <c r="D1459" s="255">
        <v>22</v>
      </c>
      <c r="E1459" s="211" t="s">
        <v>1890</v>
      </c>
      <c r="F1459" s="212">
        <v>43587</v>
      </c>
      <c r="G1459" s="213">
        <v>2.91</v>
      </c>
      <c r="H1459" s="256">
        <v>10</v>
      </c>
      <c r="I1459" s="214">
        <v>1453736</v>
      </c>
      <c r="J1459" s="215">
        <v>19175</v>
      </c>
      <c r="K1459" s="212">
        <v>43595</v>
      </c>
      <c r="L1459" s="211" t="s">
        <v>1893</v>
      </c>
      <c r="M1459" s="216">
        <v>4615506885</v>
      </c>
      <c r="N1459" s="212">
        <v>43614</v>
      </c>
      <c r="O1459" s="217">
        <v>3.9746999999999999</v>
      </c>
      <c r="P1459" s="219"/>
      <c r="Q1459" s="34">
        <f>SUMIF(Allocation[Delivery ID],Allocation[[#This Row],[Delivery ID]],Allocation[Quantity Processed])</f>
        <v>22447</v>
      </c>
      <c r="R1459" s="61">
        <f>Allocation[[#This Row],[Total volume used]]/VLOOKUP(Allocation[[#This Row],[Delivery ID]],Delivery[[Delivery ID]:[Quantity delivered]],3,FALSE)</f>
        <v>0.78212543554006964</v>
      </c>
      <c r="S1459" s="34">
        <f>Allocation[[#This Row],[Quantity Processed]]/Allocation[[#This Row],[Dilution rate]]</f>
        <v>7.5601374570446733</v>
      </c>
      <c r="T1459" s="59">
        <f>SUMIF(Allocation[Delivery ID],Allocation[[#This Row],[Delivery ID]],Allocation[Quantity allocated])/SUMIF(Allocation[Delivery ID],Allocation[[#This Row],[Delivery ID]],Allocation[Volume available (kg)])</f>
        <v>1.1716289140490868</v>
      </c>
      <c r="U1459" s="61">
        <f>Allocation[[#This Row],[Total volume used]]/VLOOKUP(Allocation[[#This Row],[Delivery ID]],Delivery[[Delivery ID]:[Quantity delivered]],3,FALSE)</f>
        <v>0.78212543554006964</v>
      </c>
      <c r="V1459" s="34" t="e">
        <f>VLOOKUP(Allocation[[#This Row],[SAP Contract number]],Shipments[[SAP Contract number]:[Contracted container weight]],2,FALSE)</f>
        <v>#N/A</v>
      </c>
      <c r="W1459" s="34" t="e">
        <f>VLOOKUP(Allocation[[#This Row],[SAP Contract number]],Shipments[[SAP Contract number]:[AAA Premium USD]],24,FALSE)</f>
        <v>#N/A</v>
      </c>
      <c r="X1459" s="34" t="e">
        <f>VLOOKUP(Allocation[[#This Row],[SAP Contract number]],Shipments[[SAP Contract number]:[RA Premium USD]],25,FALSE)</f>
        <v>#N/A</v>
      </c>
      <c r="Y1459" s="38">
        <f>Allocation[[#This Row],[Quantity Processed]]/Allocation[[#This Row],[Quantity allocated]]</f>
        <v>2.2000000000000002</v>
      </c>
      <c r="Z1459" s="34" t="b">
        <f>Allocation[[#This Row],[Quantity allocated]]&lt;=Allocation[[#This Row],[Quantity Processed]]</f>
        <v>1</v>
      </c>
    </row>
    <row r="1460" spans="1:26">
      <c r="A1460" s="247" t="s">
        <v>467</v>
      </c>
      <c r="B1460" s="210" t="s">
        <v>68</v>
      </c>
      <c r="C1460" s="254" t="s">
        <v>1098</v>
      </c>
      <c r="D1460" s="255">
        <v>71</v>
      </c>
      <c r="E1460" s="211" t="s">
        <v>1890</v>
      </c>
      <c r="F1460" s="212">
        <v>43587</v>
      </c>
      <c r="G1460" s="213">
        <v>2.91</v>
      </c>
      <c r="H1460" s="256">
        <v>35</v>
      </c>
      <c r="I1460" s="214">
        <v>1453736</v>
      </c>
      <c r="J1460" s="215">
        <v>19175</v>
      </c>
      <c r="K1460" s="212">
        <v>43595</v>
      </c>
      <c r="L1460" s="211" t="s">
        <v>1893</v>
      </c>
      <c r="M1460" s="216">
        <v>4615506885</v>
      </c>
      <c r="N1460" s="212">
        <v>43614</v>
      </c>
      <c r="O1460" s="217">
        <v>3.9746999999999999</v>
      </c>
      <c r="P1460" s="219"/>
      <c r="Q1460" s="34">
        <f>SUMIF(Allocation[Delivery ID],Allocation[[#This Row],[Delivery ID]],Allocation[Quantity Processed])</f>
        <v>25564</v>
      </c>
      <c r="R1460" s="61">
        <f>Allocation[[#This Row],[Total volume used]]/VLOOKUP(Allocation[[#This Row],[Delivery ID]],Delivery[[Delivery ID]:[Quantity delivered]],3,FALSE)</f>
        <v>0.83556136623631316</v>
      </c>
      <c r="S1460" s="34">
        <f>Allocation[[#This Row],[Quantity Processed]]/Allocation[[#This Row],[Dilution rate]]</f>
        <v>24.398625429553263</v>
      </c>
      <c r="T1460" s="59">
        <f>SUMIF(Allocation[Delivery ID],Allocation[[#This Row],[Delivery ID]],Allocation[Quantity allocated])/SUMIF(Allocation[Delivery ID],Allocation[[#This Row],[Delivery ID]],Allocation[Volume available (kg)])</f>
        <v>0.99759340323742973</v>
      </c>
      <c r="U1460" s="61">
        <f>Allocation[[#This Row],[Total volume used]]/VLOOKUP(Allocation[[#This Row],[Delivery ID]],Delivery[[Delivery ID]:[Quantity delivered]],3,FALSE)</f>
        <v>0.83556136623631316</v>
      </c>
      <c r="V1460" s="34" t="e">
        <f>VLOOKUP(Allocation[[#This Row],[SAP Contract number]],Shipments[[SAP Contract number]:[Contracted container weight]],2,FALSE)</f>
        <v>#N/A</v>
      </c>
      <c r="W1460" s="34" t="e">
        <f>VLOOKUP(Allocation[[#This Row],[SAP Contract number]],Shipments[[SAP Contract number]:[AAA Premium USD]],24,FALSE)</f>
        <v>#N/A</v>
      </c>
      <c r="X1460" s="34" t="e">
        <f>VLOOKUP(Allocation[[#This Row],[SAP Contract number]],Shipments[[SAP Contract number]:[RA Premium USD]],25,FALSE)</f>
        <v>#N/A</v>
      </c>
      <c r="Y1460" s="38">
        <f>Allocation[[#This Row],[Quantity Processed]]/Allocation[[#This Row],[Quantity allocated]]</f>
        <v>2.0285714285714285</v>
      </c>
      <c r="Z1460" s="34" t="b">
        <f>Allocation[[#This Row],[Quantity allocated]]&lt;=Allocation[[#This Row],[Quantity Processed]]</f>
        <v>1</v>
      </c>
    </row>
    <row r="1461" spans="1:26">
      <c r="A1461" s="247" t="s">
        <v>467</v>
      </c>
      <c r="B1461" s="210" t="s">
        <v>68</v>
      </c>
      <c r="C1461" s="254" t="s">
        <v>1101</v>
      </c>
      <c r="D1461" s="255">
        <v>33</v>
      </c>
      <c r="E1461" s="211" t="s">
        <v>1890</v>
      </c>
      <c r="F1461" s="212">
        <v>43587</v>
      </c>
      <c r="G1461" s="213">
        <v>2.91</v>
      </c>
      <c r="H1461" s="256">
        <v>16</v>
      </c>
      <c r="I1461" s="214">
        <v>1453736</v>
      </c>
      <c r="J1461" s="215">
        <v>19175</v>
      </c>
      <c r="K1461" s="212">
        <v>43595</v>
      </c>
      <c r="L1461" s="211" t="s">
        <v>1893</v>
      </c>
      <c r="M1461" s="216">
        <v>4615506885</v>
      </c>
      <c r="N1461" s="212">
        <v>43614</v>
      </c>
      <c r="O1461" s="217">
        <v>3.9746999999999999</v>
      </c>
      <c r="P1461" s="219"/>
      <c r="Q1461" s="34">
        <f>SUMIF(Allocation[Delivery ID],Allocation[[#This Row],[Delivery ID]],Allocation[Quantity Processed])</f>
        <v>11579</v>
      </c>
      <c r="R1461" s="61">
        <f>Allocation[[#This Row],[Total volume used]]/VLOOKUP(Allocation[[#This Row],[Delivery ID]],Delivery[[Delivery ID]:[Quantity delivered]],3,FALSE)</f>
        <v>0.83575733516186079</v>
      </c>
      <c r="S1461" s="34">
        <f>Allocation[[#This Row],[Quantity Processed]]/Allocation[[#This Row],[Dilution rate]]</f>
        <v>11.340206185567009</v>
      </c>
      <c r="T1461" s="59">
        <f>SUMIF(Allocation[Delivery ID],Allocation[[#This Row],[Delivery ID]],Allocation[Quantity allocated])/SUMIF(Allocation[Delivery ID],Allocation[[#This Row],[Delivery ID]],Allocation[Volume available (kg)])</f>
        <v>0.99752687119755723</v>
      </c>
      <c r="U1461" s="61">
        <f>Allocation[[#This Row],[Total volume used]]/VLOOKUP(Allocation[[#This Row],[Delivery ID]],Delivery[[Delivery ID]:[Quantity delivered]],3,FALSE)</f>
        <v>0.83575733516186079</v>
      </c>
      <c r="V1461" s="34" t="e">
        <f>VLOOKUP(Allocation[[#This Row],[SAP Contract number]],Shipments[[SAP Contract number]:[Contracted container weight]],2,FALSE)</f>
        <v>#N/A</v>
      </c>
      <c r="W1461" s="34" t="e">
        <f>VLOOKUP(Allocation[[#This Row],[SAP Contract number]],Shipments[[SAP Contract number]:[AAA Premium USD]],24,FALSE)</f>
        <v>#N/A</v>
      </c>
      <c r="X1461" s="34" t="e">
        <f>VLOOKUP(Allocation[[#This Row],[SAP Contract number]],Shipments[[SAP Contract number]:[RA Premium USD]],25,FALSE)</f>
        <v>#N/A</v>
      </c>
      <c r="Y1461" s="38">
        <f>Allocation[[#This Row],[Quantity Processed]]/Allocation[[#This Row],[Quantity allocated]]</f>
        <v>2.0625</v>
      </c>
      <c r="Z1461" s="34" t="b">
        <f>Allocation[[#This Row],[Quantity allocated]]&lt;=Allocation[[#This Row],[Quantity Processed]]</f>
        <v>1</v>
      </c>
    </row>
    <row r="1462" spans="1:26">
      <c r="A1462" s="247" t="s">
        <v>467</v>
      </c>
      <c r="B1462" s="210" t="s">
        <v>68</v>
      </c>
      <c r="C1462" s="254" t="s">
        <v>1102</v>
      </c>
      <c r="D1462" s="255">
        <v>71</v>
      </c>
      <c r="E1462" s="211" t="s">
        <v>1890</v>
      </c>
      <c r="F1462" s="212">
        <v>43587</v>
      </c>
      <c r="G1462" s="213">
        <v>2.91</v>
      </c>
      <c r="H1462" s="256">
        <v>35</v>
      </c>
      <c r="I1462" s="214">
        <v>1453736</v>
      </c>
      <c r="J1462" s="215">
        <v>19175</v>
      </c>
      <c r="K1462" s="212">
        <v>43595</v>
      </c>
      <c r="L1462" s="211" t="s">
        <v>1893</v>
      </c>
      <c r="M1462" s="216">
        <v>4615506885</v>
      </c>
      <c r="N1462" s="212">
        <v>43614</v>
      </c>
      <c r="O1462" s="217">
        <v>3.9746999999999999</v>
      </c>
      <c r="P1462" s="219"/>
      <c r="Q1462" s="34">
        <f>SUMIF(Allocation[Delivery ID],Allocation[[#This Row],[Delivery ID]],Allocation[Quantity Processed])</f>
        <v>25580</v>
      </c>
      <c r="R1462" s="61">
        <f>Allocation[[#This Row],[Total volume used]]/VLOOKUP(Allocation[[#This Row],[Delivery ID]],Delivery[[Delivery ID]:[Quantity delivered]],3,FALSE)</f>
        <v>0.83499265545944179</v>
      </c>
      <c r="S1462" s="34">
        <f>Allocation[[#This Row],[Quantity Processed]]/Allocation[[#This Row],[Dilution rate]]</f>
        <v>24.398625429553263</v>
      </c>
      <c r="T1462" s="59">
        <f>SUMIF(Allocation[Delivery ID],Allocation[[#This Row],[Delivery ID]],Allocation[Quantity allocated])/SUMIF(Allocation[Delivery ID],Allocation[[#This Row],[Delivery ID]],Allocation[Volume available (kg)])</f>
        <v>0.9975858438419607</v>
      </c>
      <c r="U1462" s="61">
        <f>Allocation[[#This Row],[Total volume used]]/VLOOKUP(Allocation[[#This Row],[Delivery ID]],Delivery[[Delivery ID]:[Quantity delivered]],3,FALSE)</f>
        <v>0.83499265545944179</v>
      </c>
      <c r="V1462" s="34" t="e">
        <f>VLOOKUP(Allocation[[#This Row],[SAP Contract number]],Shipments[[SAP Contract number]:[Contracted container weight]],2,FALSE)</f>
        <v>#N/A</v>
      </c>
      <c r="W1462" s="34" t="e">
        <f>VLOOKUP(Allocation[[#This Row],[SAP Contract number]],Shipments[[SAP Contract number]:[AAA Premium USD]],24,FALSE)</f>
        <v>#N/A</v>
      </c>
      <c r="X1462" s="34" t="e">
        <f>VLOOKUP(Allocation[[#This Row],[SAP Contract number]],Shipments[[SAP Contract number]:[RA Premium USD]],25,FALSE)</f>
        <v>#N/A</v>
      </c>
      <c r="Y1462" s="38">
        <f>Allocation[[#This Row],[Quantity Processed]]/Allocation[[#This Row],[Quantity allocated]]</f>
        <v>2.0285714285714285</v>
      </c>
      <c r="Z1462" s="34" t="b">
        <f>Allocation[[#This Row],[Quantity allocated]]&lt;=Allocation[[#This Row],[Quantity Processed]]</f>
        <v>1</v>
      </c>
    </row>
    <row r="1463" spans="1:26">
      <c r="A1463" s="247" t="s">
        <v>467</v>
      </c>
      <c r="B1463" s="210" t="s">
        <v>68</v>
      </c>
      <c r="C1463" s="254" t="s">
        <v>1103</v>
      </c>
      <c r="D1463" s="255">
        <v>59</v>
      </c>
      <c r="E1463" s="211" t="s">
        <v>1890</v>
      </c>
      <c r="F1463" s="212">
        <v>43587</v>
      </c>
      <c r="G1463" s="213">
        <v>2.91</v>
      </c>
      <c r="H1463" s="256">
        <v>29</v>
      </c>
      <c r="I1463" s="214">
        <v>1453736</v>
      </c>
      <c r="J1463" s="215">
        <v>19175</v>
      </c>
      <c r="K1463" s="212">
        <v>43595</v>
      </c>
      <c r="L1463" s="211" t="s">
        <v>1893</v>
      </c>
      <c r="M1463" s="216">
        <v>4615506885</v>
      </c>
      <c r="N1463" s="212">
        <v>43614</v>
      </c>
      <c r="O1463" s="217">
        <v>3.9746999999999999</v>
      </c>
      <c r="P1463" s="219"/>
      <c r="Q1463" s="34">
        <f>SUMIF(Allocation[Delivery ID],Allocation[[#This Row],[Delivery ID]],Allocation[Quantity Processed])</f>
        <v>21556</v>
      </c>
      <c r="R1463" s="61">
        <f>Allocation[[#This Row],[Total volume used]]/VLOOKUP(Allocation[[#This Row],[Delivery ID]],Delivery[[Delivery ID]:[Quantity delivered]],3,FALSE)</f>
        <v>0.83534198798682424</v>
      </c>
      <c r="S1463" s="34">
        <f>Allocation[[#This Row],[Quantity Processed]]/Allocation[[#This Row],[Dilution rate]]</f>
        <v>20.274914089347078</v>
      </c>
      <c r="T1463" s="59">
        <f>SUMIF(Allocation[Delivery ID],Allocation[[#This Row],[Delivery ID]],Allocation[Quantity allocated])/SUMIF(Allocation[Delivery ID],Allocation[[#This Row],[Delivery ID]],Allocation[Volume available (kg)])</f>
        <v>0.99766113176726967</v>
      </c>
      <c r="U1463" s="61">
        <f>Allocation[[#This Row],[Total volume used]]/VLOOKUP(Allocation[[#This Row],[Delivery ID]],Delivery[[Delivery ID]:[Quantity delivered]],3,FALSE)</f>
        <v>0.83534198798682424</v>
      </c>
      <c r="V1463" s="34" t="e">
        <f>VLOOKUP(Allocation[[#This Row],[SAP Contract number]],Shipments[[SAP Contract number]:[Contracted container weight]],2,FALSE)</f>
        <v>#N/A</v>
      </c>
      <c r="W1463" s="34" t="e">
        <f>VLOOKUP(Allocation[[#This Row],[SAP Contract number]],Shipments[[SAP Contract number]:[AAA Premium USD]],24,FALSE)</f>
        <v>#N/A</v>
      </c>
      <c r="X1463" s="34" t="e">
        <f>VLOOKUP(Allocation[[#This Row],[SAP Contract number]],Shipments[[SAP Contract number]:[RA Premium USD]],25,FALSE)</f>
        <v>#N/A</v>
      </c>
      <c r="Y1463" s="38">
        <f>Allocation[[#This Row],[Quantity Processed]]/Allocation[[#This Row],[Quantity allocated]]</f>
        <v>2.0344827586206895</v>
      </c>
      <c r="Z1463" s="34" t="b">
        <f>Allocation[[#This Row],[Quantity allocated]]&lt;=Allocation[[#This Row],[Quantity Processed]]</f>
        <v>1</v>
      </c>
    </row>
    <row r="1464" spans="1:26">
      <c r="A1464" s="247" t="s">
        <v>467</v>
      </c>
      <c r="B1464" s="210" t="s">
        <v>68</v>
      </c>
      <c r="C1464" s="254" t="s">
        <v>1104</v>
      </c>
      <c r="D1464" s="255">
        <v>5</v>
      </c>
      <c r="E1464" s="211" t="s">
        <v>1890</v>
      </c>
      <c r="F1464" s="212">
        <v>43587</v>
      </c>
      <c r="G1464" s="213">
        <v>2.91</v>
      </c>
      <c r="H1464" s="256">
        <v>2</v>
      </c>
      <c r="I1464" s="214">
        <v>1453736</v>
      </c>
      <c r="J1464" s="215">
        <v>19175</v>
      </c>
      <c r="K1464" s="212">
        <v>43595</v>
      </c>
      <c r="L1464" s="211" t="s">
        <v>1893</v>
      </c>
      <c r="M1464" s="216">
        <v>4615506885</v>
      </c>
      <c r="N1464" s="212">
        <v>43614</v>
      </c>
      <c r="O1464" s="217">
        <v>3.9746999999999999</v>
      </c>
      <c r="P1464" s="219"/>
      <c r="Q1464" s="34">
        <f>SUMIF(Allocation[Delivery ID],Allocation[[#This Row],[Delivery ID]],Allocation[Quantity Processed])</f>
        <v>4717.5</v>
      </c>
      <c r="R1464" s="61">
        <f>Allocation[[#This Row],[Total volume used]]/VLOOKUP(Allocation[[#This Row],[Delivery ID]],Delivery[[Delivery ID]:[Quantity delivered]],3,FALSE)</f>
        <v>1</v>
      </c>
      <c r="S1464" s="34">
        <f>Allocation[[#This Row],[Quantity Processed]]/Allocation[[#This Row],[Dilution rate]]</f>
        <v>1.7182130584192439</v>
      </c>
      <c r="T1464" s="59">
        <f>SUMIF(Allocation[Delivery ID],Allocation[[#This Row],[Delivery ID]],Allocation[Quantity allocated])/SUMIF(Allocation[Delivery ID],Allocation[[#This Row],[Delivery ID]],Allocation[Volume available (kg)])</f>
        <v>1.0217175128487634</v>
      </c>
      <c r="U1464" s="61">
        <f>Allocation[[#This Row],[Total volume used]]/VLOOKUP(Allocation[[#This Row],[Delivery ID]],Delivery[[Delivery ID]:[Quantity delivered]],3,FALSE)</f>
        <v>1</v>
      </c>
      <c r="V1464" s="34" t="e">
        <f>VLOOKUP(Allocation[[#This Row],[SAP Contract number]],Shipments[[SAP Contract number]:[Contracted container weight]],2,FALSE)</f>
        <v>#N/A</v>
      </c>
      <c r="W1464" s="34" t="e">
        <f>VLOOKUP(Allocation[[#This Row],[SAP Contract number]],Shipments[[SAP Contract number]:[AAA Premium USD]],24,FALSE)</f>
        <v>#N/A</v>
      </c>
      <c r="X1464" s="34" t="e">
        <f>VLOOKUP(Allocation[[#This Row],[SAP Contract number]],Shipments[[SAP Contract number]:[RA Premium USD]],25,FALSE)</f>
        <v>#N/A</v>
      </c>
      <c r="Y1464" s="38">
        <f>Allocation[[#This Row],[Quantity Processed]]/Allocation[[#This Row],[Quantity allocated]]</f>
        <v>2.5</v>
      </c>
      <c r="Z1464" s="34" t="b">
        <f>Allocation[[#This Row],[Quantity allocated]]&lt;=Allocation[[#This Row],[Quantity Processed]]</f>
        <v>1</v>
      </c>
    </row>
    <row r="1465" spans="1:26">
      <c r="A1465" s="247" t="s">
        <v>467</v>
      </c>
      <c r="B1465" s="210" t="s">
        <v>68</v>
      </c>
      <c r="C1465" s="254" t="s">
        <v>1105</v>
      </c>
      <c r="D1465" s="255">
        <v>13</v>
      </c>
      <c r="E1465" s="211" t="s">
        <v>1890</v>
      </c>
      <c r="F1465" s="212">
        <v>43587</v>
      </c>
      <c r="G1465" s="213">
        <v>2.91</v>
      </c>
      <c r="H1465" s="256">
        <v>5</v>
      </c>
      <c r="I1465" s="214">
        <v>1453736</v>
      </c>
      <c r="J1465" s="215">
        <v>19175</v>
      </c>
      <c r="K1465" s="212">
        <v>43595</v>
      </c>
      <c r="L1465" s="211" t="s">
        <v>1893</v>
      </c>
      <c r="M1465" s="216">
        <v>4615506885</v>
      </c>
      <c r="N1465" s="212">
        <v>43614</v>
      </c>
      <c r="O1465" s="217">
        <v>3.9746999999999999</v>
      </c>
      <c r="P1465" s="219"/>
      <c r="Q1465" s="34">
        <f>SUMIF(Allocation[Delivery ID],Allocation[[#This Row],[Delivery ID]],Allocation[Quantity Processed])</f>
        <v>12457</v>
      </c>
      <c r="R1465" s="61">
        <f>Allocation[[#This Row],[Total volume used]]/VLOOKUP(Allocation[[#This Row],[Delivery ID]],Delivery[[Delivery ID]:[Quantity delivered]],3,FALSE)</f>
        <v>0.89961724561276812</v>
      </c>
      <c r="S1465" s="34">
        <f>Allocation[[#This Row],[Quantity Processed]]/Allocation[[#This Row],[Dilution rate]]</f>
        <v>4.4673539518900345</v>
      </c>
      <c r="T1465" s="59">
        <f>SUMIF(Allocation[Delivery ID],Allocation[[#This Row],[Delivery ID]],Allocation[Quantity allocated])/SUMIF(Allocation[Delivery ID],Allocation[[#This Row],[Delivery ID]],Allocation[Volume available (kg)])</f>
        <v>1.0187170394824583</v>
      </c>
      <c r="U1465" s="61">
        <f>Allocation[[#This Row],[Total volume used]]/VLOOKUP(Allocation[[#This Row],[Delivery ID]],Delivery[[Delivery ID]:[Quantity delivered]],3,FALSE)</f>
        <v>0.89961724561276812</v>
      </c>
      <c r="V1465" s="34" t="e">
        <f>VLOOKUP(Allocation[[#This Row],[SAP Contract number]],Shipments[[SAP Contract number]:[Contracted container weight]],2,FALSE)</f>
        <v>#N/A</v>
      </c>
      <c r="W1465" s="34" t="e">
        <f>VLOOKUP(Allocation[[#This Row],[SAP Contract number]],Shipments[[SAP Contract number]:[AAA Premium USD]],24,FALSE)</f>
        <v>#N/A</v>
      </c>
      <c r="X1465" s="34" t="e">
        <f>VLOOKUP(Allocation[[#This Row],[SAP Contract number]],Shipments[[SAP Contract number]:[RA Premium USD]],25,FALSE)</f>
        <v>#N/A</v>
      </c>
      <c r="Y1465" s="38">
        <f>Allocation[[#This Row],[Quantity Processed]]/Allocation[[#This Row],[Quantity allocated]]</f>
        <v>2.6</v>
      </c>
      <c r="Z1465" s="34" t="b">
        <f>Allocation[[#This Row],[Quantity allocated]]&lt;=Allocation[[#This Row],[Quantity Processed]]</f>
        <v>1</v>
      </c>
    </row>
    <row r="1466" spans="1:26">
      <c r="A1466" s="247" t="s">
        <v>467</v>
      </c>
      <c r="B1466" s="210" t="s">
        <v>68</v>
      </c>
      <c r="C1466" s="254" t="s">
        <v>1109</v>
      </c>
      <c r="D1466" s="255">
        <v>23</v>
      </c>
      <c r="E1466" s="211" t="s">
        <v>1890</v>
      </c>
      <c r="F1466" s="212">
        <v>43587</v>
      </c>
      <c r="G1466" s="213">
        <v>2.91</v>
      </c>
      <c r="H1466" s="256">
        <v>8</v>
      </c>
      <c r="I1466" s="214">
        <v>1453736</v>
      </c>
      <c r="J1466" s="215">
        <v>19175</v>
      </c>
      <c r="K1466" s="212">
        <v>43595</v>
      </c>
      <c r="L1466" s="211" t="s">
        <v>1893</v>
      </c>
      <c r="M1466" s="216">
        <v>4615506885</v>
      </c>
      <c r="N1466" s="212">
        <v>43614</v>
      </c>
      <c r="O1466" s="217">
        <v>3.9746999999999999</v>
      </c>
      <c r="P1466" s="219"/>
      <c r="Q1466" s="34">
        <f>SUMIF(Allocation[Delivery ID],Allocation[[#This Row],[Delivery ID]],Allocation[Quantity Processed])</f>
        <v>23260</v>
      </c>
      <c r="R1466" s="61">
        <f>Allocation[[#This Row],[Total volume used]]/VLOOKUP(Allocation[[#This Row],[Delivery ID]],Delivery[[Delivery ID]:[Quantity delivered]],3,FALSE)</f>
        <v>1</v>
      </c>
      <c r="S1466" s="34">
        <f>Allocation[[#This Row],[Quantity Processed]]/Allocation[[#This Row],[Dilution rate]]</f>
        <v>7.9037800687285218</v>
      </c>
      <c r="T1466" s="59">
        <f>SUMIF(Allocation[Delivery ID],Allocation[[#This Row],[Delivery ID]],Allocation[Quantity allocated])/SUMIF(Allocation[Delivery ID],Allocation[[#This Row],[Delivery ID]],Allocation[Volume available (kg)])</f>
        <v>0.89085097920131462</v>
      </c>
      <c r="U1466" s="61">
        <f>Allocation[[#This Row],[Total volume used]]/VLOOKUP(Allocation[[#This Row],[Delivery ID]],Delivery[[Delivery ID]:[Quantity delivered]],3,FALSE)</f>
        <v>1</v>
      </c>
      <c r="V1466" s="34" t="e">
        <f>VLOOKUP(Allocation[[#This Row],[SAP Contract number]],Shipments[[SAP Contract number]:[Contracted container weight]],2,FALSE)</f>
        <v>#N/A</v>
      </c>
      <c r="W1466" s="34" t="e">
        <f>VLOOKUP(Allocation[[#This Row],[SAP Contract number]],Shipments[[SAP Contract number]:[AAA Premium USD]],24,FALSE)</f>
        <v>#N/A</v>
      </c>
      <c r="X1466" s="34" t="e">
        <f>VLOOKUP(Allocation[[#This Row],[SAP Contract number]],Shipments[[SAP Contract number]:[RA Premium USD]],25,FALSE)</f>
        <v>#N/A</v>
      </c>
      <c r="Y1466" s="38">
        <f>Allocation[[#This Row],[Quantity Processed]]/Allocation[[#This Row],[Quantity allocated]]</f>
        <v>2.875</v>
      </c>
      <c r="Z1466" s="34" t="b">
        <f>Allocation[[#This Row],[Quantity allocated]]&lt;=Allocation[[#This Row],[Quantity Processed]]</f>
        <v>1</v>
      </c>
    </row>
    <row r="1467" spans="1:26">
      <c r="A1467" s="247" t="s">
        <v>467</v>
      </c>
      <c r="B1467" s="210" t="s">
        <v>68</v>
      </c>
      <c r="C1467" s="254" t="s">
        <v>1116</v>
      </c>
      <c r="D1467" s="255">
        <v>26</v>
      </c>
      <c r="E1467" s="211" t="s">
        <v>1890</v>
      </c>
      <c r="F1467" s="212">
        <v>43587</v>
      </c>
      <c r="G1467" s="213">
        <v>2.91</v>
      </c>
      <c r="H1467" s="256">
        <v>9</v>
      </c>
      <c r="I1467" s="214">
        <v>1453736</v>
      </c>
      <c r="J1467" s="215">
        <v>19175</v>
      </c>
      <c r="K1467" s="212">
        <v>43595</v>
      </c>
      <c r="L1467" s="211" t="s">
        <v>1893</v>
      </c>
      <c r="M1467" s="216">
        <v>4615506885</v>
      </c>
      <c r="N1467" s="212">
        <v>43614</v>
      </c>
      <c r="O1467" s="217">
        <v>3.9746999999999999</v>
      </c>
      <c r="P1467" s="219"/>
      <c r="Q1467" s="34">
        <f>SUMIF(Allocation[Delivery ID],Allocation[[#This Row],[Delivery ID]],Allocation[Quantity Processed])</f>
        <v>24010</v>
      </c>
      <c r="R1467" s="61">
        <f>Allocation[[#This Row],[Total volume used]]/VLOOKUP(Allocation[[#This Row],[Delivery ID]],Delivery[[Delivery ID]:[Quantity delivered]],3,FALSE)</f>
        <v>1</v>
      </c>
      <c r="S1467" s="34">
        <f>Allocation[[#This Row],[Quantity Processed]]/Allocation[[#This Row],[Dilution rate]]</f>
        <v>8.934707903780069</v>
      </c>
      <c r="T1467" s="59">
        <f>SUMIF(Allocation[Delivery ID],Allocation[[#This Row],[Delivery ID]],Allocation[Quantity allocated])/SUMIF(Allocation[Delivery ID],Allocation[[#This Row],[Delivery ID]],Allocation[Volume available (kg)])</f>
        <v>0.86627879989489276</v>
      </c>
      <c r="U1467" s="61">
        <f>Allocation[[#This Row],[Total volume used]]/VLOOKUP(Allocation[[#This Row],[Delivery ID]],Delivery[[Delivery ID]:[Quantity delivered]],3,FALSE)</f>
        <v>1</v>
      </c>
      <c r="V1467" s="34" t="e">
        <f>VLOOKUP(Allocation[[#This Row],[SAP Contract number]],Shipments[[SAP Contract number]:[Contracted container weight]],2,FALSE)</f>
        <v>#N/A</v>
      </c>
      <c r="W1467" s="34" t="e">
        <f>VLOOKUP(Allocation[[#This Row],[SAP Contract number]],Shipments[[SAP Contract number]:[AAA Premium USD]],24,FALSE)</f>
        <v>#N/A</v>
      </c>
      <c r="X1467" s="34" t="e">
        <f>VLOOKUP(Allocation[[#This Row],[SAP Contract number]],Shipments[[SAP Contract number]:[RA Premium USD]],25,FALSE)</f>
        <v>#N/A</v>
      </c>
      <c r="Y1467" s="38">
        <f>Allocation[[#This Row],[Quantity Processed]]/Allocation[[#This Row],[Quantity allocated]]</f>
        <v>2.8888888888888888</v>
      </c>
      <c r="Z1467" s="34" t="b">
        <f>Allocation[[#This Row],[Quantity allocated]]&lt;=Allocation[[#This Row],[Quantity Processed]]</f>
        <v>1</v>
      </c>
    </row>
    <row r="1468" spans="1:26">
      <c r="A1468" s="247" t="s">
        <v>467</v>
      </c>
      <c r="B1468" s="210" t="s">
        <v>68</v>
      </c>
      <c r="C1468" s="254" t="s">
        <v>1118</v>
      </c>
      <c r="D1468" s="255">
        <v>100</v>
      </c>
      <c r="E1468" s="211" t="s">
        <v>1890</v>
      </c>
      <c r="F1468" s="212">
        <v>43587</v>
      </c>
      <c r="G1468" s="213">
        <v>2.91</v>
      </c>
      <c r="H1468" s="256">
        <v>43</v>
      </c>
      <c r="I1468" s="214">
        <v>1453736</v>
      </c>
      <c r="J1468" s="215">
        <v>19175</v>
      </c>
      <c r="K1468" s="212">
        <v>43595</v>
      </c>
      <c r="L1468" s="211" t="s">
        <v>1893</v>
      </c>
      <c r="M1468" s="216">
        <v>4615506885</v>
      </c>
      <c r="N1468" s="212">
        <v>43614</v>
      </c>
      <c r="O1468" s="217">
        <v>3.9746999999999999</v>
      </c>
      <c r="P1468" s="219"/>
      <c r="Q1468" s="34">
        <f>SUMIF(Allocation[Delivery ID],Allocation[[#This Row],[Delivery ID]],Allocation[Quantity Processed])</f>
        <v>29102</v>
      </c>
      <c r="R1468" s="61">
        <f>Allocation[[#This Row],[Total volume used]]/VLOOKUP(Allocation[[#This Row],[Delivery ID]],Delivery[[Delivery ID]:[Quantity delivered]],3,FALSE)</f>
        <v>0.93816892327530621</v>
      </c>
      <c r="S1468" s="34">
        <f>Allocation[[#This Row],[Quantity Processed]]/Allocation[[#This Row],[Dilution rate]]</f>
        <v>34.364261168384878</v>
      </c>
      <c r="T1468" s="59">
        <f>SUMIF(Allocation[Delivery ID],Allocation[[#This Row],[Delivery ID]],Allocation[Quantity allocated])/SUMIF(Allocation[Delivery ID],Allocation[[#This Row],[Delivery ID]],Allocation[Volume available (kg)])</f>
        <v>0.98724339684173867</v>
      </c>
      <c r="U1468" s="61">
        <f>Allocation[[#This Row],[Total volume used]]/VLOOKUP(Allocation[[#This Row],[Delivery ID]],Delivery[[Delivery ID]:[Quantity delivered]],3,FALSE)</f>
        <v>0.93816892327530621</v>
      </c>
      <c r="V1468" s="34" t="e">
        <f>VLOOKUP(Allocation[[#This Row],[SAP Contract number]],Shipments[[SAP Contract number]:[Contracted container weight]],2,FALSE)</f>
        <v>#N/A</v>
      </c>
      <c r="W1468" s="34" t="e">
        <f>VLOOKUP(Allocation[[#This Row],[SAP Contract number]],Shipments[[SAP Contract number]:[AAA Premium USD]],24,FALSE)</f>
        <v>#N/A</v>
      </c>
      <c r="X1468" s="34" t="e">
        <f>VLOOKUP(Allocation[[#This Row],[SAP Contract number]],Shipments[[SAP Contract number]:[RA Premium USD]],25,FALSE)</f>
        <v>#N/A</v>
      </c>
      <c r="Y1468" s="38">
        <f>Allocation[[#This Row],[Quantity Processed]]/Allocation[[#This Row],[Quantity allocated]]</f>
        <v>2.3255813953488373</v>
      </c>
      <c r="Z1468" s="34" t="b">
        <f>Allocation[[#This Row],[Quantity allocated]]&lt;=Allocation[[#This Row],[Quantity Processed]]</f>
        <v>1</v>
      </c>
    </row>
    <row r="1469" spans="1:26">
      <c r="A1469" s="247" t="s">
        <v>467</v>
      </c>
      <c r="B1469" s="210" t="s">
        <v>68</v>
      </c>
      <c r="C1469" s="254" t="s">
        <v>1119</v>
      </c>
      <c r="D1469" s="255">
        <v>100</v>
      </c>
      <c r="E1469" s="211" t="s">
        <v>1890</v>
      </c>
      <c r="F1469" s="212">
        <v>43587</v>
      </c>
      <c r="G1469" s="213">
        <v>2.91</v>
      </c>
      <c r="H1469" s="256">
        <v>43</v>
      </c>
      <c r="I1469" s="214">
        <v>1453736</v>
      </c>
      <c r="J1469" s="215">
        <v>19175</v>
      </c>
      <c r="K1469" s="212">
        <v>43595</v>
      </c>
      <c r="L1469" s="211" t="s">
        <v>1893</v>
      </c>
      <c r="M1469" s="216">
        <v>4615506885</v>
      </c>
      <c r="N1469" s="212">
        <v>43614</v>
      </c>
      <c r="O1469" s="217">
        <v>3.9746999999999999</v>
      </c>
      <c r="P1469" s="219"/>
      <c r="Q1469" s="34">
        <f>SUMIF(Allocation[Delivery ID],Allocation[[#This Row],[Delivery ID]],Allocation[Quantity Processed])</f>
        <v>29056</v>
      </c>
      <c r="R1469" s="61">
        <f>Allocation[[#This Row],[Total volume used]]/VLOOKUP(Allocation[[#This Row],[Delivery ID]],Delivery[[Delivery ID]:[Quantity delivered]],3,FALSE)</f>
        <v>0.94062803496277114</v>
      </c>
      <c r="S1469" s="34">
        <f>Allocation[[#This Row],[Quantity Processed]]/Allocation[[#This Row],[Dilution rate]]</f>
        <v>34.364261168384878</v>
      </c>
      <c r="T1469" s="59">
        <f>SUMIF(Allocation[Delivery ID],Allocation[[#This Row],[Delivery ID]],Allocation[Quantity allocated])/SUMIF(Allocation[Delivery ID],Allocation[[#This Row],[Delivery ID]],Allocation[Volume available (kg)])</f>
        <v>0.98700841277560369</v>
      </c>
      <c r="U1469" s="61">
        <f>Allocation[[#This Row],[Total volume used]]/VLOOKUP(Allocation[[#This Row],[Delivery ID]],Delivery[[Delivery ID]:[Quantity delivered]],3,FALSE)</f>
        <v>0.94062803496277114</v>
      </c>
      <c r="V1469" s="34" t="e">
        <f>VLOOKUP(Allocation[[#This Row],[SAP Contract number]],Shipments[[SAP Contract number]:[Contracted container weight]],2,FALSE)</f>
        <v>#N/A</v>
      </c>
      <c r="W1469" s="34" t="e">
        <f>VLOOKUP(Allocation[[#This Row],[SAP Contract number]],Shipments[[SAP Contract number]:[AAA Premium USD]],24,FALSE)</f>
        <v>#N/A</v>
      </c>
      <c r="X1469" s="34" t="e">
        <f>VLOOKUP(Allocation[[#This Row],[SAP Contract number]],Shipments[[SAP Contract number]:[RA Premium USD]],25,FALSE)</f>
        <v>#N/A</v>
      </c>
      <c r="Y1469" s="38">
        <f>Allocation[[#This Row],[Quantity Processed]]/Allocation[[#This Row],[Quantity allocated]]</f>
        <v>2.3255813953488373</v>
      </c>
      <c r="Z1469" s="34" t="b">
        <f>Allocation[[#This Row],[Quantity allocated]]&lt;=Allocation[[#This Row],[Quantity Processed]]</f>
        <v>1</v>
      </c>
    </row>
    <row r="1470" spans="1:26">
      <c r="A1470" s="247" t="s">
        <v>467</v>
      </c>
      <c r="B1470" s="210" t="s">
        <v>68</v>
      </c>
      <c r="C1470" s="254" t="s">
        <v>1121</v>
      </c>
      <c r="D1470" s="255">
        <v>100</v>
      </c>
      <c r="E1470" s="211" t="s">
        <v>1890</v>
      </c>
      <c r="F1470" s="212">
        <v>43587</v>
      </c>
      <c r="G1470" s="213">
        <v>2.91</v>
      </c>
      <c r="H1470" s="256">
        <v>43</v>
      </c>
      <c r="I1470" s="214">
        <v>1453736</v>
      </c>
      <c r="J1470" s="215">
        <v>19175</v>
      </c>
      <c r="K1470" s="212">
        <v>43595</v>
      </c>
      <c r="L1470" s="211" t="s">
        <v>1893</v>
      </c>
      <c r="M1470" s="216">
        <v>4615506885</v>
      </c>
      <c r="N1470" s="212">
        <v>43614</v>
      </c>
      <c r="O1470" s="217">
        <v>3.9746999999999999</v>
      </c>
      <c r="P1470" s="219"/>
      <c r="Q1470" s="34">
        <f>SUMIF(Allocation[Delivery ID],Allocation[[#This Row],[Delivery ID]],Allocation[Quantity Processed])</f>
        <v>29140</v>
      </c>
      <c r="R1470" s="61">
        <f>Allocation[[#This Row],[Total volume used]]/VLOOKUP(Allocation[[#This Row],[Delivery ID]],Delivery[[Delivery ID]:[Quantity delivered]],3,FALSE)</f>
        <v>0.93099041533546323</v>
      </c>
      <c r="S1470" s="34">
        <f>Allocation[[#This Row],[Quantity Processed]]/Allocation[[#This Row],[Dilution rate]]</f>
        <v>34.364261168384878</v>
      </c>
      <c r="T1470" s="59">
        <f>SUMIF(Allocation[Delivery ID],Allocation[[#This Row],[Delivery ID]],Allocation[Quantity allocated])/SUMIF(Allocation[Delivery ID],Allocation[[#This Row],[Delivery ID]],Allocation[Volume available (kg)])</f>
        <v>0.98792443374064631</v>
      </c>
      <c r="U1470" s="61">
        <f>Allocation[[#This Row],[Total volume used]]/VLOOKUP(Allocation[[#This Row],[Delivery ID]],Delivery[[Delivery ID]:[Quantity delivered]],3,FALSE)</f>
        <v>0.93099041533546323</v>
      </c>
      <c r="V1470" s="34" t="e">
        <f>VLOOKUP(Allocation[[#This Row],[SAP Contract number]],Shipments[[SAP Contract number]:[Contracted container weight]],2,FALSE)</f>
        <v>#N/A</v>
      </c>
      <c r="W1470" s="34" t="e">
        <f>VLOOKUP(Allocation[[#This Row],[SAP Contract number]],Shipments[[SAP Contract number]:[AAA Premium USD]],24,FALSE)</f>
        <v>#N/A</v>
      </c>
      <c r="X1470" s="34" t="e">
        <f>VLOOKUP(Allocation[[#This Row],[SAP Contract number]],Shipments[[SAP Contract number]:[RA Premium USD]],25,FALSE)</f>
        <v>#N/A</v>
      </c>
      <c r="Y1470" s="38">
        <f>Allocation[[#This Row],[Quantity Processed]]/Allocation[[#This Row],[Quantity allocated]]</f>
        <v>2.3255813953488373</v>
      </c>
      <c r="Z1470" s="34" t="b">
        <f>Allocation[[#This Row],[Quantity allocated]]&lt;=Allocation[[#This Row],[Quantity Processed]]</f>
        <v>1</v>
      </c>
    </row>
    <row r="1471" spans="1:26">
      <c r="A1471" s="247" t="s">
        <v>467</v>
      </c>
      <c r="B1471" s="210" t="s">
        <v>68</v>
      </c>
      <c r="C1471" s="254" t="s">
        <v>1123</v>
      </c>
      <c r="D1471" s="255">
        <v>98</v>
      </c>
      <c r="E1471" s="211" t="s">
        <v>1890</v>
      </c>
      <c r="F1471" s="212">
        <v>43587</v>
      </c>
      <c r="G1471" s="213">
        <v>2.91</v>
      </c>
      <c r="H1471" s="256">
        <v>42</v>
      </c>
      <c r="I1471" s="214">
        <v>1453736</v>
      </c>
      <c r="J1471" s="215">
        <v>19175</v>
      </c>
      <c r="K1471" s="212">
        <v>43595</v>
      </c>
      <c r="L1471" s="211" t="s">
        <v>1893</v>
      </c>
      <c r="M1471" s="216">
        <v>4615506885</v>
      </c>
      <c r="N1471" s="212">
        <v>43614</v>
      </c>
      <c r="O1471" s="217">
        <v>3.9746999999999999</v>
      </c>
      <c r="P1471" s="219"/>
      <c r="Q1471" s="34">
        <f>SUMIF(Allocation[Delivery ID],Allocation[[#This Row],[Delivery ID]],Allocation[Quantity Processed])</f>
        <v>28827</v>
      </c>
      <c r="R1471" s="61">
        <f>Allocation[[#This Row],[Total volume used]]/VLOOKUP(Allocation[[#This Row],[Delivery ID]],Delivery[[Delivery ID]:[Quantity delivered]],3,FALSE)</f>
        <v>0.95201453104359313</v>
      </c>
      <c r="S1471" s="34">
        <f>Allocation[[#This Row],[Quantity Processed]]/Allocation[[#This Row],[Dilution rate]]</f>
        <v>33.676975945017183</v>
      </c>
      <c r="T1471" s="59">
        <f>SUMIF(Allocation[Delivery ID],Allocation[[#This Row],[Delivery ID]],Allocation[Quantity allocated])/SUMIF(Allocation[Delivery ID],Allocation[[#This Row],[Delivery ID]],Allocation[Volume available (kg)])</f>
        <v>0.98595213653173808</v>
      </c>
      <c r="U1471" s="61">
        <f>Allocation[[#This Row],[Total volume used]]/VLOOKUP(Allocation[[#This Row],[Delivery ID]],Delivery[[Delivery ID]:[Quantity delivered]],3,FALSE)</f>
        <v>0.95201453104359313</v>
      </c>
      <c r="V1471" s="34" t="e">
        <f>VLOOKUP(Allocation[[#This Row],[SAP Contract number]],Shipments[[SAP Contract number]:[Contracted container weight]],2,FALSE)</f>
        <v>#N/A</v>
      </c>
      <c r="W1471" s="34" t="e">
        <f>VLOOKUP(Allocation[[#This Row],[SAP Contract number]],Shipments[[SAP Contract number]:[AAA Premium USD]],24,FALSE)</f>
        <v>#N/A</v>
      </c>
      <c r="X1471" s="34" t="e">
        <f>VLOOKUP(Allocation[[#This Row],[SAP Contract number]],Shipments[[SAP Contract number]:[RA Premium USD]],25,FALSE)</f>
        <v>#N/A</v>
      </c>
      <c r="Y1471" s="38">
        <f>Allocation[[#This Row],[Quantity Processed]]/Allocation[[#This Row],[Quantity allocated]]</f>
        <v>2.3333333333333335</v>
      </c>
      <c r="Z1471" s="34" t="b">
        <f>Allocation[[#This Row],[Quantity allocated]]&lt;=Allocation[[#This Row],[Quantity Processed]]</f>
        <v>1</v>
      </c>
    </row>
    <row r="1472" spans="1:26">
      <c r="A1472" s="247" t="s">
        <v>467</v>
      </c>
      <c r="B1472" s="210" t="s">
        <v>68</v>
      </c>
      <c r="C1472" s="254" t="s">
        <v>1124</v>
      </c>
      <c r="D1472" s="255">
        <v>10</v>
      </c>
      <c r="E1472" s="211" t="s">
        <v>1890</v>
      </c>
      <c r="F1472" s="212">
        <v>43587</v>
      </c>
      <c r="G1472" s="213">
        <v>2.91</v>
      </c>
      <c r="H1472" s="256">
        <v>5</v>
      </c>
      <c r="I1472" s="214">
        <v>1453736</v>
      </c>
      <c r="J1472" s="215">
        <v>19175</v>
      </c>
      <c r="K1472" s="212">
        <v>43595</v>
      </c>
      <c r="L1472" s="211" t="s">
        <v>1893</v>
      </c>
      <c r="M1472" s="216">
        <v>4615506885</v>
      </c>
      <c r="N1472" s="212">
        <v>43614</v>
      </c>
      <c r="O1472" s="217">
        <v>3.9746999999999999</v>
      </c>
      <c r="P1472" s="219"/>
      <c r="Q1472" s="34">
        <f>SUMIF(Allocation[Delivery ID],Allocation[[#This Row],[Delivery ID]],Allocation[Quantity Processed])</f>
        <v>10256</v>
      </c>
      <c r="R1472" s="61">
        <f>Allocation[[#This Row],[Total volume used]]/VLOOKUP(Allocation[[#This Row],[Delivery ID]],Delivery[[Delivery ID]:[Quantity delivered]],3,FALSE)</f>
        <v>0.71964354629337268</v>
      </c>
      <c r="S1472" s="34">
        <f>Allocation[[#This Row],[Quantity Processed]]/Allocation[[#This Row],[Dilution rate]]</f>
        <v>3.4364261168384878</v>
      </c>
      <c r="T1472" s="59">
        <f>SUMIF(Allocation[Delivery ID],Allocation[[#This Row],[Delivery ID]],Allocation[Quantity allocated])/SUMIF(Allocation[Delivery ID],Allocation[[#This Row],[Delivery ID]],Allocation[Volume available (kg)])</f>
        <v>1.2735516020343203</v>
      </c>
      <c r="U1472" s="61">
        <f>Allocation[[#This Row],[Total volume used]]/VLOOKUP(Allocation[[#This Row],[Delivery ID]],Delivery[[Delivery ID]:[Quantity delivered]],3,FALSE)</f>
        <v>0.71964354629337268</v>
      </c>
      <c r="V1472" s="34" t="e">
        <f>VLOOKUP(Allocation[[#This Row],[SAP Contract number]],Shipments[[SAP Contract number]:[Contracted container weight]],2,FALSE)</f>
        <v>#N/A</v>
      </c>
      <c r="W1472" s="34" t="e">
        <f>VLOOKUP(Allocation[[#This Row],[SAP Contract number]],Shipments[[SAP Contract number]:[AAA Premium USD]],24,FALSE)</f>
        <v>#N/A</v>
      </c>
      <c r="X1472" s="34" t="e">
        <f>VLOOKUP(Allocation[[#This Row],[SAP Contract number]],Shipments[[SAP Contract number]:[RA Premium USD]],25,FALSE)</f>
        <v>#N/A</v>
      </c>
      <c r="Y1472" s="38">
        <f>Allocation[[#This Row],[Quantity Processed]]/Allocation[[#This Row],[Quantity allocated]]</f>
        <v>2</v>
      </c>
      <c r="Z1472" s="34" t="b">
        <f>Allocation[[#This Row],[Quantity allocated]]&lt;=Allocation[[#This Row],[Quantity Processed]]</f>
        <v>1</v>
      </c>
    </row>
    <row r="1473" spans="1:26">
      <c r="A1473" s="247" t="s">
        <v>467</v>
      </c>
      <c r="B1473" s="210" t="s">
        <v>68</v>
      </c>
      <c r="C1473" s="254" t="s">
        <v>1135</v>
      </c>
      <c r="D1473" s="255">
        <v>27</v>
      </c>
      <c r="E1473" s="211" t="s">
        <v>1890</v>
      </c>
      <c r="F1473" s="212">
        <v>43587</v>
      </c>
      <c r="G1473" s="213">
        <v>2.91</v>
      </c>
      <c r="H1473" s="256">
        <v>8</v>
      </c>
      <c r="I1473" s="214">
        <v>1453736</v>
      </c>
      <c r="J1473" s="215">
        <v>19175</v>
      </c>
      <c r="K1473" s="212">
        <v>43595</v>
      </c>
      <c r="L1473" s="211" t="s">
        <v>1893</v>
      </c>
      <c r="M1473" s="216">
        <v>4615506885</v>
      </c>
      <c r="N1473" s="212">
        <v>43614</v>
      </c>
      <c r="O1473" s="217">
        <v>3.9746999999999999</v>
      </c>
      <c r="P1473" s="219"/>
      <c r="Q1473" s="34">
        <f>SUMIF(Allocation[Delivery ID],Allocation[[#This Row],[Delivery ID]],Allocation[Quantity Processed])</f>
        <v>22090</v>
      </c>
      <c r="R1473" s="61">
        <f>Allocation[[#This Row],[Total volume used]]/VLOOKUP(Allocation[[#This Row],[Delivery ID]],Delivery[[Delivery ID]:[Quantity delivered]],3,FALSE)</f>
        <v>1</v>
      </c>
      <c r="S1473" s="34">
        <f>Allocation[[#This Row],[Quantity Processed]]/Allocation[[#This Row],[Dilution rate]]</f>
        <v>9.2783505154639165</v>
      </c>
      <c r="T1473" s="59">
        <f>SUMIF(Allocation[Delivery ID],Allocation[[#This Row],[Delivery ID]],Allocation[Quantity allocated])/SUMIF(Allocation[Delivery ID],Allocation[[#This Row],[Delivery ID]],Allocation[Volume available (kg)])</f>
        <v>0.76070962260021724</v>
      </c>
      <c r="U1473" s="61">
        <f>Allocation[[#This Row],[Total volume used]]/VLOOKUP(Allocation[[#This Row],[Delivery ID]],Delivery[[Delivery ID]:[Quantity delivered]],3,FALSE)</f>
        <v>1</v>
      </c>
      <c r="V1473" s="34" t="e">
        <f>VLOOKUP(Allocation[[#This Row],[SAP Contract number]],Shipments[[SAP Contract number]:[Contracted container weight]],2,FALSE)</f>
        <v>#N/A</v>
      </c>
      <c r="W1473" s="34" t="e">
        <f>VLOOKUP(Allocation[[#This Row],[SAP Contract number]],Shipments[[SAP Contract number]:[AAA Premium USD]],24,FALSE)</f>
        <v>#N/A</v>
      </c>
      <c r="X1473" s="34" t="e">
        <f>VLOOKUP(Allocation[[#This Row],[SAP Contract number]],Shipments[[SAP Contract number]:[RA Premium USD]],25,FALSE)</f>
        <v>#N/A</v>
      </c>
      <c r="Y1473" s="38">
        <f>Allocation[[#This Row],[Quantity Processed]]/Allocation[[#This Row],[Quantity allocated]]</f>
        <v>3.375</v>
      </c>
      <c r="Z1473" s="34" t="b">
        <f>Allocation[[#This Row],[Quantity allocated]]&lt;=Allocation[[#This Row],[Quantity Processed]]</f>
        <v>1</v>
      </c>
    </row>
    <row r="1474" spans="1:26">
      <c r="A1474" s="247" t="s">
        <v>467</v>
      </c>
      <c r="B1474" s="210" t="s">
        <v>68</v>
      </c>
      <c r="C1474" s="254" t="s">
        <v>1140</v>
      </c>
      <c r="D1474" s="255">
        <v>19</v>
      </c>
      <c r="E1474" s="211" t="s">
        <v>1890</v>
      </c>
      <c r="F1474" s="212">
        <v>43587</v>
      </c>
      <c r="G1474" s="213">
        <v>2.91</v>
      </c>
      <c r="H1474" s="256">
        <v>9</v>
      </c>
      <c r="I1474" s="214">
        <v>1453736</v>
      </c>
      <c r="J1474" s="215">
        <v>19175</v>
      </c>
      <c r="K1474" s="212">
        <v>43595</v>
      </c>
      <c r="L1474" s="211" t="s">
        <v>1893</v>
      </c>
      <c r="M1474" s="216">
        <v>4615506885</v>
      </c>
      <c r="N1474" s="212">
        <v>43614</v>
      </c>
      <c r="O1474" s="217">
        <v>3.9746999999999999</v>
      </c>
      <c r="P1474" s="219"/>
      <c r="Q1474" s="34">
        <f>SUMIF(Allocation[Delivery ID],Allocation[[#This Row],[Delivery ID]],Allocation[Quantity Processed])</f>
        <v>26473</v>
      </c>
      <c r="R1474" s="61">
        <f>Allocation[[#This Row],[Total volume used]]/VLOOKUP(Allocation[[#This Row],[Delivery ID]],Delivery[[Delivery ID]:[Quantity delivered]],3,FALSE)</f>
        <v>0.70935155412647377</v>
      </c>
      <c r="S1474" s="34">
        <f>Allocation[[#This Row],[Quantity Processed]]/Allocation[[#This Row],[Dilution rate]]</f>
        <v>6.529209621993127</v>
      </c>
      <c r="T1474" s="59">
        <f>SUMIF(Allocation[Delivery ID],Allocation[[#This Row],[Delivery ID]],Allocation[Quantity allocated])/SUMIF(Allocation[Delivery ID],Allocation[[#This Row],[Delivery ID]],Allocation[Volume available (kg)])</f>
        <v>1.2088176972477704</v>
      </c>
      <c r="U1474" s="61">
        <f>Allocation[[#This Row],[Total volume used]]/VLOOKUP(Allocation[[#This Row],[Delivery ID]],Delivery[[Delivery ID]:[Quantity delivered]],3,FALSE)</f>
        <v>0.70935155412647377</v>
      </c>
      <c r="V1474" s="34" t="e">
        <f>VLOOKUP(Allocation[[#This Row],[SAP Contract number]],Shipments[[SAP Contract number]:[Contracted container weight]],2,FALSE)</f>
        <v>#N/A</v>
      </c>
      <c r="W1474" s="34" t="e">
        <f>VLOOKUP(Allocation[[#This Row],[SAP Contract number]],Shipments[[SAP Contract number]:[AAA Premium USD]],24,FALSE)</f>
        <v>#N/A</v>
      </c>
      <c r="X1474" s="34" t="e">
        <f>VLOOKUP(Allocation[[#This Row],[SAP Contract number]],Shipments[[SAP Contract number]:[RA Premium USD]],25,FALSE)</f>
        <v>#N/A</v>
      </c>
      <c r="Y1474" s="38">
        <f>Allocation[[#This Row],[Quantity Processed]]/Allocation[[#This Row],[Quantity allocated]]</f>
        <v>2.1111111111111112</v>
      </c>
      <c r="Z1474" s="34" t="b">
        <f>Allocation[[#This Row],[Quantity allocated]]&lt;=Allocation[[#This Row],[Quantity Processed]]</f>
        <v>1</v>
      </c>
    </row>
    <row r="1475" spans="1:26">
      <c r="A1475" s="247" t="s">
        <v>467</v>
      </c>
      <c r="B1475" s="210" t="s">
        <v>68</v>
      </c>
      <c r="C1475" s="254" t="s">
        <v>1146</v>
      </c>
      <c r="D1475" s="255">
        <v>103</v>
      </c>
      <c r="E1475" s="211" t="s">
        <v>1890</v>
      </c>
      <c r="F1475" s="212">
        <v>43587</v>
      </c>
      <c r="G1475" s="213">
        <v>2.91</v>
      </c>
      <c r="H1475" s="256">
        <v>101</v>
      </c>
      <c r="I1475" s="214">
        <v>1453736</v>
      </c>
      <c r="J1475" s="215">
        <v>19175</v>
      </c>
      <c r="K1475" s="212">
        <v>43595</v>
      </c>
      <c r="L1475" s="211" t="s">
        <v>1893</v>
      </c>
      <c r="M1475" s="216">
        <v>4615506885</v>
      </c>
      <c r="N1475" s="212">
        <v>43614</v>
      </c>
      <c r="O1475" s="217">
        <v>3.9746999999999999</v>
      </c>
      <c r="P1475" s="219"/>
      <c r="Q1475" s="34">
        <f>SUMIF(Allocation[Delivery ID],Allocation[[#This Row],[Delivery ID]],Allocation[Quantity Processed])</f>
        <v>21146</v>
      </c>
      <c r="R1475" s="61">
        <f>Allocation[[#This Row],[Total volume used]]/VLOOKUP(Allocation[[#This Row],[Delivery ID]],Delivery[[Delivery ID]:[Quantity delivered]],3,FALSE)</f>
        <v>0.71102891728312034</v>
      </c>
      <c r="S1475" s="34">
        <f>Allocation[[#This Row],[Quantity Processed]]/Allocation[[#This Row],[Dilution rate]]</f>
        <v>35.395189003436421</v>
      </c>
      <c r="T1475" s="59">
        <f>SUMIF(Allocation[Delivery ID],Allocation[[#This Row],[Delivery ID]],Allocation[Quantity allocated])/SUMIF(Allocation[Delivery ID],Allocation[[#This Row],[Delivery ID]],Allocation[Volume available (kg)])</f>
        <v>1.9882647142436314</v>
      </c>
      <c r="U1475" s="61">
        <f>Allocation[[#This Row],[Total volume used]]/VLOOKUP(Allocation[[#This Row],[Delivery ID]],Delivery[[Delivery ID]:[Quantity delivered]],3,FALSE)</f>
        <v>0.71102891728312034</v>
      </c>
      <c r="V1475" s="34" t="e">
        <f>VLOOKUP(Allocation[[#This Row],[SAP Contract number]],Shipments[[SAP Contract number]:[Contracted container weight]],2,FALSE)</f>
        <v>#N/A</v>
      </c>
      <c r="W1475" s="34" t="e">
        <f>VLOOKUP(Allocation[[#This Row],[SAP Contract number]],Shipments[[SAP Contract number]:[AAA Premium USD]],24,FALSE)</f>
        <v>#N/A</v>
      </c>
      <c r="X1475" s="34" t="e">
        <f>VLOOKUP(Allocation[[#This Row],[SAP Contract number]],Shipments[[SAP Contract number]:[RA Premium USD]],25,FALSE)</f>
        <v>#N/A</v>
      </c>
      <c r="Y1475" s="38">
        <f>Allocation[[#This Row],[Quantity Processed]]/Allocation[[#This Row],[Quantity allocated]]</f>
        <v>1.0198019801980198</v>
      </c>
      <c r="Z1475" s="34" t="b">
        <f>Allocation[[#This Row],[Quantity allocated]]&lt;=Allocation[[#This Row],[Quantity Processed]]</f>
        <v>1</v>
      </c>
    </row>
    <row r="1476" spans="1:26">
      <c r="A1476" s="247" t="s">
        <v>467</v>
      </c>
      <c r="B1476" s="210" t="s">
        <v>68</v>
      </c>
      <c r="C1476" s="254" t="s">
        <v>1148</v>
      </c>
      <c r="D1476" s="255">
        <v>105</v>
      </c>
      <c r="E1476" s="211" t="s">
        <v>1890</v>
      </c>
      <c r="F1476" s="212">
        <v>43587</v>
      </c>
      <c r="G1476" s="213">
        <v>2.91</v>
      </c>
      <c r="H1476" s="256">
        <v>103</v>
      </c>
      <c r="I1476" s="214">
        <v>1453736</v>
      </c>
      <c r="J1476" s="215">
        <v>19175</v>
      </c>
      <c r="K1476" s="212">
        <v>43595</v>
      </c>
      <c r="L1476" s="211" t="s">
        <v>1893</v>
      </c>
      <c r="M1476" s="216">
        <v>4615506885</v>
      </c>
      <c r="N1476" s="212">
        <v>43614</v>
      </c>
      <c r="O1476" s="217">
        <v>3.9746999999999999</v>
      </c>
      <c r="P1476" s="219"/>
      <c r="Q1476" s="34">
        <f>SUMIF(Allocation[Delivery ID],Allocation[[#This Row],[Delivery ID]],Allocation[Quantity Processed])</f>
        <v>21200</v>
      </c>
      <c r="R1476" s="61">
        <f>Allocation[[#This Row],[Total volume used]]/VLOOKUP(Allocation[[#This Row],[Delivery ID]],Delivery[[Delivery ID]:[Quantity delivered]],3,FALSE)</f>
        <v>0.70013210039630114</v>
      </c>
      <c r="S1476" s="34">
        <f>Allocation[[#This Row],[Quantity Processed]]/Allocation[[#This Row],[Dilution rate]]</f>
        <v>36.082474226804123</v>
      </c>
      <c r="T1476" s="59">
        <f>SUMIF(Allocation[Delivery ID],Allocation[[#This Row],[Delivery ID]],Allocation[Quantity allocated])/SUMIF(Allocation[Delivery ID],Allocation[[#This Row],[Delivery ID]],Allocation[Volume available (kg)])</f>
        <v>1.9871252268254587</v>
      </c>
      <c r="U1476" s="61">
        <f>Allocation[[#This Row],[Total volume used]]/VLOOKUP(Allocation[[#This Row],[Delivery ID]],Delivery[[Delivery ID]:[Quantity delivered]],3,FALSE)</f>
        <v>0.70013210039630114</v>
      </c>
      <c r="V1476" s="34" t="e">
        <f>VLOOKUP(Allocation[[#This Row],[SAP Contract number]],Shipments[[SAP Contract number]:[Contracted container weight]],2,FALSE)</f>
        <v>#N/A</v>
      </c>
      <c r="W1476" s="34" t="e">
        <f>VLOOKUP(Allocation[[#This Row],[SAP Contract number]],Shipments[[SAP Contract number]:[AAA Premium USD]],24,FALSE)</f>
        <v>#N/A</v>
      </c>
      <c r="X1476" s="34" t="e">
        <f>VLOOKUP(Allocation[[#This Row],[SAP Contract number]],Shipments[[SAP Contract number]:[RA Premium USD]],25,FALSE)</f>
        <v>#N/A</v>
      </c>
      <c r="Y1476" s="38">
        <f>Allocation[[#This Row],[Quantity Processed]]/Allocation[[#This Row],[Quantity allocated]]</f>
        <v>1.0194174757281553</v>
      </c>
      <c r="Z1476" s="34" t="b">
        <f>Allocation[[#This Row],[Quantity allocated]]&lt;=Allocation[[#This Row],[Quantity Processed]]</f>
        <v>1</v>
      </c>
    </row>
    <row r="1477" spans="1:26">
      <c r="A1477" s="247" t="s">
        <v>467</v>
      </c>
      <c r="B1477" s="210" t="s">
        <v>68</v>
      </c>
      <c r="C1477" s="254" t="s">
        <v>1149</v>
      </c>
      <c r="D1477" s="255">
        <v>104</v>
      </c>
      <c r="E1477" s="211" t="s">
        <v>1890</v>
      </c>
      <c r="F1477" s="212">
        <v>43587</v>
      </c>
      <c r="G1477" s="213">
        <v>2.91</v>
      </c>
      <c r="H1477" s="256">
        <v>102</v>
      </c>
      <c r="I1477" s="214">
        <v>1453736</v>
      </c>
      <c r="J1477" s="215">
        <v>19175</v>
      </c>
      <c r="K1477" s="212">
        <v>43595</v>
      </c>
      <c r="L1477" s="211" t="s">
        <v>1893</v>
      </c>
      <c r="M1477" s="216">
        <v>4615506885</v>
      </c>
      <c r="N1477" s="212">
        <v>43614</v>
      </c>
      <c r="O1477" s="217">
        <v>3.9746999999999999</v>
      </c>
      <c r="P1477" s="219"/>
      <c r="Q1477" s="34">
        <f>SUMIF(Allocation[Delivery ID],Allocation[[#This Row],[Delivery ID]],Allocation[Quantity Processed])</f>
        <v>21167</v>
      </c>
      <c r="R1477" s="61">
        <f>Allocation[[#This Row],[Total volume used]]/VLOOKUP(Allocation[[#This Row],[Delivery ID]],Delivery[[Delivery ID]:[Quantity delivered]],3,FALSE)</f>
        <v>0.70698062792251171</v>
      </c>
      <c r="S1477" s="34">
        <f>Allocation[[#This Row],[Quantity Processed]]/Allocation[[#This Row],[Dilution rate]]</f>
        <v>35.738831615120276</v>
      </c>
      <c r="T1477" s="59">
        <f>SUMIF(Allocation[Delivery ID],Allocation[[#This Row],[Delivery ID]],Allocation[Quantity allocated])/SUMIF(Allocation[Delivery ID],Allocation[[#This Row],[Delivery ID]],Allocation[Volume available (kg)])</f>
        <v>1.987832972087862</v>
      </c>
      <c r="U1477" s="61">
        <f>Allocation[[#This Row],[Total volume used]]/VLOOKUP(Allocation[[#This Row],[Delivery ID]],Delivery[[Delivery ID]:[Quantity delivered]],3,FALSE)</f>
        <v>0.70698062792251171</v>
      </c>
      <c r="V1477" s="34" t="e">
        <f>VLOOKUP(Allocation[[#This Row],[SAP Contract number]],Shipments[[SAP Contract number]:[Contracted container weight]],2,FALSE)</f>
        <v>#N/A</v>
      </c>
      <c r="W1477" s="34" t="e">
        <f>VLOOKUP(Allocation[[#This Row],[SAP Contract number]],Shipments[[SAP Contract number]:[AAA Premium USD]],24,FALSE)</f>
        <v>#N/A</v>
      </c>
      <c r="X1477" s="34" t="e">
        <f>VLOOKUP(Allocation[[#This Row],[SAP Contract number]],Shipments[[SAP Contract number]:[RA Premium USD]],25,FALSE)</f>
        <v>#N/A</v>
      </c>
      <c r="Y1477" s="38">
        <f>Allocation[[#This Row],[Quantity Processed]]/Allocation[[#This Row],[Quantity allocated]]</f>
        <v>1.0196078431372548</v>
      </c>
      <c r="Z1477" s="34" t="b">
        <f>Allocation[[#This Row],[Quantity allocated]]&lt;=Allocation[[#This Row],[Quantity Processed]]</f>
        <v>1</v>
      </c>
    </row>
    <row r="1478" spans="1:26">
      <c r="A1478" s="247" t="s">
        <v>467</v>
      </c>
      <c r="B1478" s="210" t="s">
        <v>68</v>
      </c>
      <c r="C1478" s="254" t="s">
        <v>1151</v>
      </c>
      <c r="D1478" s="255">
        <v>103</v>
      </c>
      <c r="E1478" s="211" t="s">
        <v>1890</v>
      </c>
      <c r="F1478" s="212">
        <v>43587</v>
      </c>
      <c r="G1478" s="213">
        <v>2.91</v>
      </c>
      <c r="H1478" s="256">
        <v>101</v>
      </c>
      <c r="I1478" s="214">
        <v>1453736</v>
      </c>
      <c r="J1478" s="215">
        <v>19175</v>
      </c>
      <c r="K1478" s="212">
        <v>43595</v>
      </c>
      <c r="L1478" s="211" t="s">
        <v>1893</v>
      </c>
      <c r="M1478" s="216">
        <v>4615506885</v>
      </c>
      <c r="N1478" s="212">
        <v>43614</v>
      </c>
      <c r="O1478" s="217">
        <v>3.9746999999999999</v>
      </c>
      <c r="P1478" s="219"/>
      <c r="Q1478" s="34">
        <f>SUMIF(Allocation[Delivery ID],Allocation[[#This Row],[Delivery ID]],Allocation[Quantity Processed])</f>
        <v>21146</v>
      </c>
      <c r="R1478" s="61">
        <f>Allocation[[#This Row],[Total volume used]]/VLOOKUP(Allocation[[#This Row],[Delivery ID]],Delivery[[Delivery ID]:[Quantity delivered]],3,FALSE)</f>
        <v>0.71102891728312034</v>
      </c>
      <c r="S1478" s="34">
        <f>Allocation[[#This Row],[Quantity Processed]]/Allocation[[#This Row],[Dilution rate]]</f>
        <v>35.395189003436421</v>
      </c>
      <c r="T1478" s="59">
        <f>SUMIF(Allocation[Delivery ID],Allocation[[#This Row],[Delivery ID]],Allocation[Quantity allocated])/SUMIF(Allocation[Delivery ID],Allocation[[#This Row],[Delivery ID]],Allocation[Volume available (kg)])</f>
        <v>1.9882647142436314</v>
      </c>
      <c r="U1478" s="61">
        <f>Allocation[[#This Row],[Total volume used]]/VLOOKUP(Allocation[[#This Row],[Delivery ID]],Delivery[[Delivery ID]:[Quantity delivered]],3,FALSE)</f>
        <v>0.71102891728312034</v>
      </c>
      <c r="V1478" s="34" t="e">
        <f>VLOOKUP(Allocation[[#This Row],[SAP Contract number]],Shipments[[SAP Contract number]:[Contracted container weight]],2,FALSE)</f>
        <v>#N/A</v>
      </c>
      <c r="W1478" s="34" t="e">
        <f>VLOOKUP(Allocation[[#This Row],[SAP Contract number]],Shipments[[SAP Contract number]:[AAA Premium USD]],24,FALSE)</f>
        <v>#N/A</v>
      </c>
      <c r="X1478" s="34" t="e">
        <f>VLOOKUP(Allocation[[#This Row],[SAP Contract number]],Shipments[[SAP Contract number]:[RA Premium USD]],25,FALSE)</f>
        <v>#N/A</v>
      </c>
      <c r="Y1478" s="38">
        <f>Allocation[[#This Row],[Quantity Processed]]/Allocation[[#This Row],[Quantity allocated]]</f>
        <v>1.0198019801980198</v>
      </c>
      <c r="Z1478" s="34" t="b">
        <f>Allocation[[#This Row],[Quantity allocated]]&lt;=Allocation[[#This Row],[Quantity Processed]]</f>
        <v>1</v>
      </c>
    </row>
    <row r="1479" spans="1:26">
      <c r="A1479" s="247" t="s">
        <v>467</v>
      </c>
      <c r="B1479" s="210" t="s">
        <v>68</v>
      </c>
      <c r="C1479" s="254" t="s">
        <v>1152</v>
      </c>
      <c r="D1479" s="255">
        <v>26</v>
      </c>
      <c r="E1479" s="211" t="s">
        <v>1890</v>
      </c>
      <c r="F1479" s="212">
        <v>43587</v>
      </c>
      <c r="G1479" s="213">
        <v>2.91</v>
      </c>
      <c r="H1479" s="256">
        <v>9</v>
      </c>
      <c r="I1479" s="214">
        <v>1453736</v>
      </c>
      <c r="J1479" s="215">
        <v>19175</v>
      </c>
      <c r="K1479" s="212">
        <v>43595</v>
      </c>
      <c r="L1479" s="211" t="s">
        <v>1893</v>
      </c>
      <c r="M1479" s="216">
        <v>4615506885</v>
      </c>
      <c r="N1479" s="212">
        <v>43614</v>
      </c>
      <c r="O1479" s="217">
        <v>3.9746999999999999</v>
      </c>
      <c r="P1479" s="219"/>
      <c r="Q1479" s="34">
        <f>SUMIF(Allocation[Delivery ID],Allocation[[#This Row],[Delivery ID]],Allocation[Quantity Processed])</f>
        <v>24112</v>
      </c>
      <c r="R1479" s="61">
        <f>Allocation[[#This Row],[Total volume used]]/VLOOKUP(Allocation[[#This Row],[Delivery ID]],Delivery[[Delivery ID]:[Quantity delivered]],3,FALSE)</f>
        <v>1</v>
      </c>
      <c r="S1479" s="34">
        <f>Allocation[[#This Row],[Quantity Processed]]/Allocation[[#This Row],[Dilution rate]]</f>
        <v>8.934707903780069</v>
      </c>
      <c r="T1479" s="59">
        <f>SUMIF(Allocation[Delivery ID],Allocation[[#This Row],[Delivery ID]],Allocation[Quantity allocated])/SUMIF(Allocation[Delivery ID],Allocation[[#This Row],[Delivery ID]],Allocation[Volume available (kg)])</f>
        <v>0.89115983858053149</v>
      </c>
      <c r="U1479" s="61">
        <f>Allocation[[#This Row],[Total volume used]]/VLOOKUP(Allocation[[#This Row],[Delivery ID]],Delivery[[Delivery ID]:[Quantity delivered]],3,FALSE)</f>
        <v>1</v>
      </c>
      <c r="V1479" s="34" t="e">
        <f>VLOOKUP(Allocation[[#This Row],[SAP Contract number]],Shipments[[SAP Contract number]:[Contracted container weight]],2,FALSE)</f>
        <v>#N/A</v>
      </c>
      <c r="W1479" s="34" t="e">
        <f>VLOOKUP(Allocation[[#This Row],[SAP Contract number]],Shipments[[SAP Contract number]:[AAA Premium USD]],24,FALSE)</f>
        <v>#N/A</v>
      </c>
      <c r="X1479" s="34" t="e">
        <f>VLOOKUP(Allocation[[#This Row],[SAP Contract number]],Shipments[[SAP Contract number]:[RA Premium USD]],25,FALSE)</f>
        <v>#N/A</v>
      </c>
      <c r="Y1479" s="38">
        <f>Allocation[[#This Row],[Quantity Processed]]/Allocation[[#This Row],[Quantity allocated]]</f>
        <v>2.8888888888888888</v>
      </c>
      <c r="Z1479" s="34" t="b">
        <f>Allocation[[#This Row],[Quantity allocated]]&lt;=Allocation[[#This Row],[Quantity Processed]]</f>
        <v>1</v>
      </c>
    </row>
    <row r="1480" spans="1:26">
      <c r="A1480" s="247" t="s">
        <v>467</v>
      </c>
      <c r="B1480" s="210" t="s">
        <v>68</v>
      </c>
      <c r="C1480" s="254" t="s">
        <v>1153</v>
      </c>
      <c r="D1480" s="255">
        <v>6</v>
      </c>
      <c r="E1480" s="211" t="s">
        <v>1890</v>
      </c>
      <c r="F1480" s="212">
        <v>43587</v>
      </c>
      <c r="G1480" s="213">
        <v>2.91</v>
      </c>
      <c r="H1480" s="256">
        <v>2</v>
      </c>
      <c r="I1480" s="214">
        <v>1453736</v>
      </c>
      <c r="J1480" s="215">
        <v>19175</v>
      </c>
      <c r="K1480" s="212">
        <v>43595</v>
      </c>
      <c r="L1480" s="211" t="s">
        <v>1893</v>
      </c>
      <c r="M1480" s="216">
        <v>4615506885</v>
      </c>
      <c r="N1480" s="212">
        <v>43614</v>
      </c>
      <c r="O1480" s="217">
        <v>3.9746999999999999</v>
      </c>
      <c r="P1480" s="219"/>
      <c r="Q1480" s="34">
        <f>SUMIF(Allocation[Delivery ID],Allocation[[#This Row],[Delivery ID]],Allocation[Quantity Processed])</f>
        <v>6028</v>
      </c>
      <c r="R1480" s="61">
        <f>Allocation[[#This Row],[Total volume used]]/VLOOKUP(Allocation[[#This Row],[Delivery ID]],Delivery[[Delivery ID]:[Quantity delivered]],3,FALSE)</f>
        <v>1</v>
      </c>
      <c r="S1480" s="34">
        <f>Allocation[[#This Row],[Quantity Processed]]/Allocation[[#This Row],[Dilution rate]]</f>
        <v>2.0618556701030926</v>
      </c>
      <c r="T1480" s="59">
        <f>SUMIF(Allocation[Delivery ID],Allocation[[#This Row],[Delivery ID]],Allocation[Quantity allocated])/SUMIF(Allocation[Delivery ID],Allocation[[#This Row],[Delivery ID]],Allocation[Volume available (kg)])</f>
        <v>0.89160953867856818</v>
      </c>
      <c r="U1480" s="61">
        <f>Allocation[[#This Row],[Total volume used]]/VLOOKUP(Allocation[[#This Row],[Delivery ID]],Delivery[[Delivery ID]:[Quantity delivered]],3,FALSE)</f>
        <v>1</v>
      </c>
      <c r="V1480" s="34" t="e">
        <f>VLOOKUP(Allocation[[#This Row],[SAP Contract number]],Shipments[[SAP Contract number]:[Contracted container weight]],2,FALSE)</f>
        <v>#N/A</v>
      </c>
      <c r="W1480" s="34" t="e">
        <f>VLOOKUP(Allocation[[#This Row],[SAP Contract number]],Shipments[[SAP Contract number]:[AAA Premium USD]],24,FALSE)</f>
        <v>#N/A</v>
      </c>
      <c r="X1480" s="34" t="e">
        <f>VLOOKUP(Allocation[[#This Row],[SAP Contract number]],Shipments[[SAP Contract number]:[RA Premium USD]],25,FALSE)</f>
        <v>#N/A</v>
      </c>
      <c r="Y1480" s="38">
        <f>Allocation[[#This Row],[Quantity Processed]]/Allocation[[#This Row],[Quantity allocated]]</f>
        <v>3</v>
      </c>
      <c r="Z1480" s="34" t="b">
        <f>Allocation[[#This Row],[Quantity allocated]]&lt;=Allocation[[#This Row],[Quantity Processed]]</f>
        <v>1</v>
      </c>
    </row>
    <row r="1481" spans="1:26">
      <c r="A1481" s="247" t="s">
        <v>467</v>
      </c>
      <c r="B1481" s="210" t="s">
        <v>68</v>
      </c>
      <c r="C1481" s="254" t="s">
        <v>1154</v>
      </c>
      <c r="D1481" s="255">
        <v>31</v>
      </c>
      <c r="E1481" s="211" t="s">
        <v>1890</v>
      </c>
      <c r="F1481" s="212">
        <v>43587</v>
      </c>
      <c r="G1481" s="213">
        <v>2.91</v>
      </c>
      <c r="H1481" s="256">
        <v>11</v>
      </c>
      <c r="I1481" s="214">
        <v>1453736</v>
      </c>
      <c r="J1481" s="215">
        <v>19175</v>
      </c>
      <c r="K1481" s="212">
        <v>43595</v>
      </c>
      <c r="L1481" s="211" t="s">
        <v>1893</v>
      </c>
      <c r="M1481" s="216">
        <v>4615506885</v>
      </c>
      <c r="N1481" s="212">
        <v>43614</v>
      </c>
      <c r="O1481" s="217">
        <v>3.9746999999999999</v>
      </c>
      <c r="P1481" s="219"/>
      <c r="Q1481" s="34">
        <f>SUMIF(Allocation[Delivery ID],Allocation[[#This Row],[Delivery ID]],Allocation[Quantity Processed])</f>
        <v>30250</v>
      </c>
      <c r="R1481" s="61">
        <f>Allocation[[#This Row],[Total volume used]]/VLOOKUP(Allocation[[#This Row],[Delivery ID]],Delivery[[Delivery ID]:[Quantity delivered]],3,FALSE)</f>
        <v>1</v>
      </c>
      <c r="S1481" s="34">
        <f>Allocation[[#This Row],[Quantity Processed]]/Allocation[[#This Row],[Dilution rate]]</f>
        <v>10.652920962199312</v>
      </c>
      <c r="T1481" s="59">
        <f>SUMIF(Allocation[Delivery ID],Allocation[[#This Row],[Delivery ID]],Allocation[Quantity allocated])/SUMIF(Allocation[Delivery ID],Allocation[[#This Row],[Delivery ID]],Allocation[Volume available (kg)])</f>
        <v>0.89079977299863311</v>
      </c>
      <c r="U1481" s="61">
        <f>Allocation[[#This Row],[Total volume used]]/VLOOKUP(Allocation[[#This Row],[Delivery ID]],Delivery[[Delivery ID]:[Quantity delivered]],3,FALSE)</f>
        <v>1</v>
      </c>
      <c r="V1481" s="34" t="e">
        <f>VLOOKUP(Allocation[[#This Row],[SAP Contract number]],Shipments[[SAP Contract number]:[Contracted container weight]],2,FALSE)</f>
        <v>#N/A</v>
      </c>
      <c r="W1481" s="34" t="e">
        <f>VLOOKUP(Allocation[[#This Row],[SAP Contract number]],Shipments[[SAP Contract number]:[AAA Premium USD]],24,FALSE)</f>
        <v>#N/A</v>
      </c>
      <c r="X1481" s="34" t="e">
        <f>VLOOKUP(Allocation[[#This Row],[SAP Contract number]],Shipments[[SAP Contract number]:[RA Premium USD]],25,FALSE)</f>
        <v>#N/A</v>
      </c>
      <c r="Y1481" s="38">
        <f>Allocation[[#This Row],[Quantity Processed]]/Allocation[[#This Row],[Quantity allocated]]</f>
        <v>2.8181818181818183</v>
      </c>
      <c r="Z1481" s="34" t="b">
        <f>Allocation[[#This Row],[Quantity allocated]]&lt;=Allocation[[#This Row],[Quantity Processed]]</f>
        <v>1</v>
      </c>
    </row>
    <row r="1482" spans="1:26">
      <c r="A1482" s="247" t="s">
        <v>467</v>
      </c>
      <c r="B1482" s="210" t="s">
        <v>68</v>
      </c>
      <c r="C1482" s="254" t="s">
        <v>1155</v>
      </c>
      <c r="D1482" s="255">
        <v>31</v>
      </c>
      <c r="E1482" s="211" t="s">
        <v>1890</v>
      </c>
      <c r="F1482" s="212">
        <v>43587</v>
      </c>
      <c r="G1482" s="213">
        <v>2.91</v>
      </c>
      <c r="H1482" s="256">
        <v>11</v>
      </c>
      <c r="I1482" s="214">
        <v>1453736</v>
      </c>
      <c r="J1482" s="215">
        <v>19175</v>
      </c>
      <c r="K1482" s="212">
        <v>43595</v>
      </c>
      <c r="L1482" s="211" t="s">
        <v>1893</v>
      </c>
      <c r="M1482" s="216">
        <v>4615506885</v>
      </c>
      <c r="N1482" s="212">
        <v>43614</v>
      </c>
      <c r="O1482" s="217">
        <v>3.9746999999999999</v>
      </c>
      <c r="P1482" s="219"/>
      <c r="Q1482" s="34">
        <f>SUMIF(Allocation[Delivery ID],Allocation[[#This Row],[Delivery ID]],Allocation[Quantity Processed])</f>
        <v>30110</v>
      </c>
      <c r="R1482" s="61">
        <f>Allocation[[#This Row],[Total volume used]]/VLOOKUP(Allocation[[#This Row],[Delivery ID]],Delivery[[Delivery ID]:[Quantity delivered]],3,FALSE)</f>
        <v>1</v>
      </c>
      <c r="S1482" s="34">
        <f>Allocation[[#This Row],[Quantity Processed]]/Allocation[[#This Row],[Dilution rate]]</f>
        <v>10.652920962199312</v>
      </c>
      <c r="T1482" s="59">
        <f>SUMIF(Allocation[Delivery ID],Allocation[[#This Row],[Delivery ID]],Allocation[Quantity allocated])/SUMIF(Allocation[Delivery ID],Allocation[[#This Row],[Delivery ID]],Allocation[Volume available (kg)])</f>
        <v>0.89099699146553557</v>
      </c>
      <c r="U1482" s="61">
        <f>Allocation[[#This Row],[Total volume used]]/VLOOKUP(Allocation[[#This Row],[Delivery ID]],Delivery[[Delivery ID]:[Quantity delivered]],3,FALSE)</f>
        <v>1</v>
      </c>
      <c r="V1482" s="34" t="e">
        <f>VLOOKUP(Allocation[[#This Row],[SAP Contract number]],Shipments[[SAP Contract number]:[Contracted container weight]],2,FALSE)</f>
        <v>#N/A</v>
      </c>
      <c r="W1482" s="34" t="e">
        <f>VLOOKUP(Allocation[[#This Row],[SAP Contract number]],Shipments[[SAP Contract number]:[AAA Premium USD]],24,FALSE)</f>
        <v>#N/A</v>
      </c>
      <c r="X1482" s="34" t="e">
        <f>VLOOKUP(Allocation[[#This Row],[SAP Contract number]],Shipments[[SAP Contract number]:[RA Premium USD]],25,FALSE)</f>
        <v>#N/A</v>
      </c>
      <c r="Y1482" s="38">
        <f>Allocation[[#This Row],[Quantity Processed]]/Allocation[[#This Row],[Quantity allocated]]</f>
        <v>2.8181818181818183</v>
      </c>
      <c r="Z1482" s="34" t="b">
        <f>Allocation[[#This Row],[Quantity allocated]]&lt;=Allocation[[#This Row],[Quantity Processed]]</f>
        <v>1</v>
      </c>
    </row>
    <row r="1483" spans="1:26">
      <c r="A1483" s="247" t="s">
        <v>467</v>
      </c>
      <c r="B1483" s="210" t="s">
        <v>68</v>
      </c>
      <c r="C1483" s="254" t="s">
        <v>1694</v>
      </c>
      <c r="D1483" s="255">
        <v>252</v>
      </c>
      <c r="E1483" s="211" t="s">
        <v>1890</v>
      </c>
      <c r="F1483" s="212">
        <v>43587</v>
      </c>
      <c r="G1483" s="213">
        <v>2.91</v>
      </c>
      <c r="H1483" s="256">
        <v>83</v>
      </c>
      <c r="I1483" s="214">
        <v>1453736</v>
      </c>
      <c r="J1483" s="215">
        <v>19175</v>
      </c>
      <c r="K1483" s="212">
        <v>43595</v>
      </c>
      <c r="L1483" s="211" t="s">
        <v>1893</v>
      </c>
      <c r="M1483" s="216">
        <v>4615506885</v>
      </c>
      <c r="N1483" s="212">
        <v>43614</v>
      </c>
      <c r="O1483" s="217">
        <v>3.9746999999999999</v>
      </c>
      <c r="P1483" s="219"/>
      <c r="Q1483" s="34">
        <f>SUMIF(Allocation[Delivery ID],Allocation[[#This Row],[Delivery ID]],Allocation[Quantity Processed])</f>
        <v>252</v>
      </c>
      <c r="R1483" s="61">
        <f>Allocation[[#This Row],[Total volume used]]/VLOOKUP(Allocation[[#This Row],[Delivery ID]],Delivery[[Delivery ID]:[Quantity delivered]],3,FALSE)</f>
        <v>2.8000000000000001E-2</v>
      </c>
      <c r="S1483" s="34">
        <f>Allocation[[#This Row],[Quantity Processed]]/Allocation[[#This Row],[Dilution rate]]</f>
        <v>86.597938144329888</v>
      </c>
      <c r="T1483" s="59">
        <f>SUMIF(Allocation[Delivery ID],Allocation[[#This Row],[Delivery ID]],Allocation[Quantity allocated])/SUMIF(Allocation[Delivery ID],Allocation[[#This Row],[Delivery ID]],Allocation[Volume available (kg)])</f>
        <v>0.95845238095238106</v>
      </c>
      <c r="U1483" s="61">
        <f>Allocation[[#This Row],[Total volume used]]/VLOOKUP(Allocation[[#This Row],[Delivery ID]],Delivery[[Delivery ID]:[Quantity delivered]],3,FALSE)</f>
        <v>2.8000000000000001E-2</v>
      </c>
      <c r="V1483" s="34" t="e">
        <f>VLOOKUP(Allocation[[#This Row],[SAP Contract number]],Shipments[[SAP Contract number]:[Contracted container weight]],2,FALSE)</f>
        <v>#N/A</v>
      </c>
      <c r="W1483" s="34" t="e">
        <f>VLOOKUP(Allocation[[#This Row],[SAP Contract number]],Shipments[[SAP Contract number]:[AAA Premium USD]],24,FALSE)</f>
        <v>#N/A</v>
      </c>
      <c r="X1483" s="34" t="e">
        <f>VLOOKUP(Allocation[[#This Row],[SAP Contract number]],Shipments[[SAP Contract number]:[RA Premium USD]],25,FALSE)</f>
        <v>#N/A</v>
      </c>
      <c r="Y1483" s="38">
        <f>Allocation[[#This Row],[Quantity Processed]]/Allocation[[#This Row],[Quantity allocated]]</f>
        <v>3.036144578313253</v>
      </c>
      <c r="Z1483" s="34" t="b">
        <f>Allocation[[#This Row],[Quantity allocated]]&lt;=Allocation[[#This Row],[Quantity Processed]]</f>
        <v>1</v>
      </c>
    </row>
    <row r="1484" spans="1:26">
      <c r="A1484" s="247" t="s">
        <v>467</v>
      </c>
      <c r="B1484" s="210" t="s">
        <v>68</v>
      </c>
      <c r="C1484" s="254" t="s">
        <v>1698</v>
      </c>
      <c r="D1484" s="255">
        <v>6343</v>
      </c>
      <c r="E1484" s="211" t="s">
        <v>1890</v>
      </c>
      <c r="F1484" s="212">
        <v>43587</v>
      </c>
      <c r="G1484" s="213">
        <v>2.91</v>
      </c>
      <c r="H1484" s="256">
        <v>2093</v>
      </c>
      <c r="I1484" s="214">
        <v>1453736</v>
      </c>
      <c r="J1484" s="215">
        <v>19175</v>
      </c>
      <c r="K1484" s="212">
        <v>43595</v>
      </c>
      <c r="L1484" s="211" t="s">
        <v>1893</v>
      </c>
      <c r="M1484" s="216">
        <v>4615506885</v>
      </c>
      <c r="N1484" s="212">
        <v>43614</v>
      </c>
      <c r="O1484" s="217">
        <v>3.9746999999999999</v>
      </c>
      <c r="P1484" s="219"/>
      <c r="Q1484" s="34">
        <f>SUMIF(Allocation[Delivery ID],Allocation[[#This Row],[Delivery ID]],Allocation[Quantity Processed])</f>
        <v>20076</v>
      </c>
      <c r="R1484" s="61">
        <f>Allocation[[#This Row],[Total volume used]]/VLOOKUP(Allocation[[#This Row],[Delivery ID]],Delivery[[Delivery ID]:[Quantity delivered]],3,FALSE)</f>
        <v>0.71699999999999997</v>
      </c>
      <c r="S1484" s="34">
        <f>Allocation[[#This Row],[Quantity Processed]]/Allocation[[#This Row],[Dilution rate]]</f>
        <v>2179.725085910653</v>
      </c>
      <c r="T1484" s="59">
        <f>SUMIF(Allocation[Delivery ID],Allocation[[#This Row],[Delivery ID]],Allocation[Quantity allocated])/SUMIF(Allocation[Delivery ID],Allocation[[#This Row],[Delivery ID]],Allocation[Volume available (kg)])</f>
        <v>0.96028840406455485</v>
      </c>
      <c r="U1484" s="61">
        <f>Allocation[[#This Row],[Total volume used]]/VLOOKUP(Allocation[[#This Row],[Delivery ID]],Delivery[[Delivery ID]:[Quantity delivered]],3,FALSE)</f>
        <v>0.71699999999999997</v>
      </c>
      <c r="V1484" s="34" t="e">
        <f>VLOOKUP(Allocation[[#This Row],[SAP Contract number]],Shipments[[SAP Contract number]:[Contracted container weight]],2,FALSE)</f>
        <v>#N/A</v>
      </c>
      <c r="W1484" s="34" t="e">
        <f>VLOOKUP(Allocation[[#This Row],[SAP Contract number]],Shipments[[SAP Contract number]:[AAA Premium USD]],24,FALSE)</f>
        <v>#N/A</v>
      </c>
      <c r="X1484" s="34" t="e">
        <f>VLOOKUP(Allocation[[#This Row],[SAP Contract number]],Shipments[[SAP Contract number]:[RA Premium USD]],25,FALSE)</f>
        <v>#N/A</v>
      </c>
      <c r="Y1484" s="38">
        <f>Allocation[[#This Row],[Quantity Processed]]/Allocation[[#This Row],[Quantity allocated]]</f>
        <v>3.0305781175346391</v>
      </c>
      <c r="Z1484" s="34" t="b">
        <f>Allocation[[#This Row],[Quantity allocated]]&lt;=Allocation[[#This Row],[Quantity Processed]]</f>
        <v>1</v>
      </c>
    </row>
    <row r="1485" spans="1:26">
      <c r="A1485" s="247" t="s">
        <v>467</v>
      </c>
      <c r="B1485" s="210" t="s">
        <v>68</v>
      </c>
      <c r="C1485" s="254" t="s">
        <v>1698</v>
      </c>
      <c r="D1485" s="255">
        <v>13733</v>
      </c>
      <c r="E1485" s="211" t="s">
        <v>1890</v>
      </c>
      <c r="F1485" s="212">
        <v>43587</v>
      </c>
      <c r="G1485" s="213">
        <v>2.91</v>
      </c>
      <c r="H1485" s="256">
        <v>4532</v>
      </c>
      <c r="I1485" s="214">
        <v>1453737</v>
      </c>
      <c r="J1485" s="215">
        <v>19175</v>
      </c>
      <c r="K1485" s="212">
        <v>43595</v>
      </c>
      <c r="L1485" s="211" t="s">
        <v>1894</v>
      </c>
      <c r="M1485" s="216">
        <v>4615506885</v>
      </c>
      <c r="N1485" s="212">
        <v>43614</v>
      </c>
      <c r="O1485" s="217">
        <v>3.9746999999999999</v>
      </c>
      <c r="P1485" s="219"/>
      <c r="Q1485" s="34">
        <f>SUMIF(Allocation[Delivery ID],Allocation[[#This Row],[Delivery ID]],Allocation[Quantity Processed])</f>
        <v>20076</v>
      </c>
      <c r="R1485" s="61">
        <f>Allocation[[#This Row],[Total volume used]]/VLOOKUP(Allocation[[#This Row],[Delivery ID]],Delivery[[Delivery ID]:[Quantity delivered]],3,FALSE)</f>
        <v>0.71699999999999997</v>
      </c>
      <c r="S1485" s="34">
        <f>Allocation[[#This Row],[Quantity Processed]]/Allocation[[#This Row],[Dilution rate]]</f>
        <v>4719.2439862542951</v>
      </c>
      <c r="T1485" s="59">
        <f>SUMIF(Allocation[Delivery ID],Allocation[[#This Row],[Delivery ID]],Allocation[Quantity allocated])/SUMIF(Allocation[Delivery ID],Allocation[[#This Row],[Delivery ID]],Allocation[Volume available (kg)])</f>
        <v>0.96028840406455485</v>
      </c>
      <c r="U1485" s="61">
        <f>Allocation[[#This Row],[Total volume used]]/VLOOKUP(Allocation[[#This Row],[Delivery ID]],Delivery[[Delivery ID]:[Quantity delivered]],3,FALSE)</f>
        <v>0.71699999999999997</v>
      </c>
      <c r="V1485" s="34" t="e">
        <f>VLOOKUP(Allocation[[#This Row],[SAP Contract number]],Shipments[[SAP Contract number]:[Contracted container weight]],2,FALSE)</f>
        <v>#N/A</v>
      </c>
      <c r="W1485" s="34" t="e">
        <f>VLOOKUP(Allocation[[#This Row],[SAP Contract number]],Shipments[[SAP Contract number]:[AAA Premium USD]],24,FALSE)</f>
        <v>#N/A</v>
      </c>
      <c r="X1485" s="34" t="e">
        <f>VLOOKUP(Allocation[[#This Row],[SAP Contract number]],Shipments[[SAP Contract number]:[RA Premium USD]],25,FALSE)</f>
        <v>#N/A</v>
      </c>
      <c r="Y1485" s="38">
        <f>Allocation[[#This Row],[Quantity Processed]]/Allocation[[#This Row],[Quantity allocated]]</f>
        <v>3.0302294792586055</v>
      </c>
      <c r="Z1485" s="34" t="b">
        <f>Allocation[[#This Row],[Quantity allocated]]&lt;=Allocation[[#This Row],[Quantity Processed]]</f>
        <v>1</v>
      </c>
    </row>
    <row r="1486" spans="1:26">
      <c r="A1486" s="247" t="s">
        <v>467</v>
      </c>
      <c r="B1486" s="210" t="s">
        <v>68</v>
      </c>
      <c r="C1486" s="254" t="s">
        <v>1157</v>
      </c>
      <c r="D1486" s="255">
        <v>104</v>
      </c>
      <c r="E1486" s="211" t="s">
        <v>1890</v>
      </c>
      <c r="F1486" s="212">
        <v>43587</v>
      </c>
      <c r="G1486" s="213">
        <v>2.91</v>
      </c>
      <c r="H1486" s="256">
        <v>101</v>
      </c>
      <c r="I1486" s="214">
        <v>1453737</v>
      </c>
      <c r="J1486" s="215">
        <v>19175</v>
      </c>
      <c r="K1486" s="212">
        <v>43595</v>
      </c>
      <c r="L1486" s="211" t="s">
        <v>1894</v>
      </c>
      <c r="M1486" s="216">
        <v>4615506885</v>
      </c>
      <c r="N1486" s="212">
        <v>43614</v>
      </c>
      <c r="O1486" s="217">
        <v>3.9746999999999999</v>
      </c>
      <c r="P1486" s="219"/>
      <c r="Q1486" s="34">
        <f>SUMIF(Allocation[Delivery ID],Allocation[[#This Row],[Delivery ID]],Allocation[Quantity Processed])</f>
        <v>21103</v>
      </c>
      <c r="R1486" s="61">
        <f>Allocation[[#This Row],[Total volume used]]/VLOOKUP(Allocation[[#This Row],[Delivery ID]],Delivery[[Delivery ID]:[Quantity delivered]],3,FALSE)</f>
        <v>0.70767940979208588</v>
      </c>
      <c r="S1486" s="34">
        <f>Allocation[[#This Row],[Quantity Processed]]/Allocation[[#This Row],[Dilution rate]]</f>
        <v>35.738831615120276</v>
      </c>
      <c r="T1486" s="59">
        <f>SUMIF(Allocation[Delivery ID],Allocation[[#This Row],[Delivery ID]],Allocation[Quantity allocated])/SUMIF(Allocation[Delivery ID],Allocation[[#This Row],[Delivery ID]],Allocation[Volume available (kg)])</f>
        <v>1.9937856412751944</v>
      </c>
      <c r="U1486" s="61">
        <f>Allocation[[#This Row],[Total volume used]]/VLOOKUP(Allocation[[#This Row],[Delivery ID]],Delivery[[Delivery ID]:[Quantity delivered]],3,FALSE)</f>
        <v>0.70767940979208588</v>
      </c>
      <c r="V1486" s="34" t="e">
        <f>VLOOKUP(Allocation[[#This Row],[SAP Contract number]],Shipments[[SAP Contract number]:[Contracted container weight]],2,FALSE)</f>
        <v>#N/A</v>
      </c>
      <c r="W1486" s="34" t="e">
        <f>VLOOKUP(Allocation[[#This Row],[SAP Contract number]],Shipments[[SAP Contract number]:[AAA Premium USD]],24,FALSE)</f>
        <v>#N/A</v>
      </c>
      <c r="X1486" s="34" t="e">
        <f>VLOOKUP(Allocation[[#This Row],[SAP Contract number]],Shipments[[SAP Contract number]:[RA Premium USD]],25,FALSE)</f>
        <v>#N/A</v>
      </c>
      <c r="Y1486" s="38">
        <f>Allocation[[#This Row],[Quantity Processed]]/Allocation[[#This Row],[Quantity allocated]]</f>
        <v>1.0297029702970297</v>
      </c>
      <c r="Z1486" s="34" t="b">
        <f>Allocation[[#This Row],[Quantity allocated]]&lt;=Allocation[[#This Row],[Quantity Processed]]</f>
        <v>1</v>
      </c>
    </row>
    <row r="1487" spans="1:26">
      <c r="A1487" s="247" t="s">
        <v>467</v>
      </c>
      <c r="B1487" s="210" t="s">
        <v>68</v>
      </c>
      <c r="C1487" s="254" t="s">
        <v>1158</v>
      </c>
      <c r="D1487" s="255">
        <v>106</v>
      </c>
      <c r="E1487" s="211" t="s">
        <v>1890</v>
      </c>
      <c r="F1487" s="212">
        <v>43587</v>
      </c>
      <c r="G1487" s="213">
        <v>2.91</v>
      </c>
      <c r="H1487" s="256">
        <v>103</v>
      </c>
      <c r="I1487" s="214">
        <v>1453737</v>
      </c>
      <c r="J1487" s="215">
        <v>19175</v>
      </c>
      <c r="K1487" s="212">
        <v>43595</v>
      </c>
      <c r="L1487" s="211" t="s">
        <v>1894</v>
      </c>
      <c r="M1487" s="216">
        <v>4615506885</v>
      </c>
      <c r="N1487" s="212">
        <v>43614</v>
      </c>
      <c r="O1487" s="217">
        <v>3.9746999999999999</v>
      </c>
      <c r="P1487" s="219"/>
      <c r="Q1487" s="34">
        <f>SUMIF(Allocation[Delivery ID],Allocation[[#This Row],[Delivery ID]],Allocation[Quantity Processed])</f>
        <v>21164</v>
      </c>
      <c r="R1487" s="61">
        <f>Allocation[[#This Row],[Total volume used]]/VLOOKUP(Allocation[[#This Row],[Delivery ID]],Delivery[[Delivery ID]:[Quantity delivered]],3,FALSE)</f>
        <v>0.69412922269596589</v>
      </c>
      <c r="S1487" s="34">
        <f>Allocation[[#This Row],[Quantity Processed]]/Allocation[[#This Row],[Dilution rate]]</f>
        <v>36.426116838487971</v>
      </c>
      <c r="T1487" s="59">
        <f>SUMIF(Allocation[Delivery ID],Allocation[[#This Row],[Delivery ID]],Allocation[Quantity allocated])/SUMIF(Allocation[Delivery ID],Allocation[[#This Row],[Delivery ID]],Allocation[Volume available (kg)])</f>
        <v>1.9929348960070636</v>
      </c>
      <c r="U1487" s="61">
        <f>Allocation[[#This Row],[Total volume used]]/VLOOKUP(Allocation[[#This Row],[Delivery ID]],Delivery[[Delivery ID]:[Quantity delivered]],3,FALSE)</f>
        <v>0.69412922269596589</v>
      </c>
      <c r="V1487" s="34" t="e">
        <f>VLOOKUP(Allocation[[#This Row],[SAP Contract number]],Shipments[[SAP Contract number]:[Contracted container weight]],2,FALSE)</f>
        <v>#N/A</v>
      </c>
      <c r="W1487" s="34" t="e">
        <f>VLOOKUP(Allocation[[#This Row],[SAP Contract number]],Shipments[[SAP Contract number]:[AAA Premium USD]],24,FALSE)</f>
        <v>#N/A</v>
      </c>
      <c r="X1487" s="34" t="e">
        <f>VLOOKUP(Allocation[[#This Row],[SAP Contract number]],Shipments[[SAP Contract number]:[RA Premium USD]],25,FALSE)</f>
        <v>#N/A</v>
      </c>
      <c r="Y1487" s="38">
        <f>Allocation[[#This Row],[Quantity Processed]]/Allocation[[#This Row],[Quantity allocated]]</f>
        <v>1.029126213592233</v>
      </c>
      <c r="Z1487" s="34" t="b">
        <f>Allocation[[#This Row],[Quantity allocated]]&lt;=Allocation[[#This Row],[Quantity Processed]]</f>
        <v>1</v>
      </c>
    </row>
    <row r="1488" spans="1:26">
      <c r="A1488" s="247" t="s">
        <v>467</v>
      </c>
      <c r="B1488" s="210" t="s">
        <v>68</v>
      </c>
      <c r="C1488" s="254" t="s">
        <v>1159</v>
      </c>
      <c r="D1488" s="255">
        <v>51</v>
      </c>
      <c r="E1488" s="211" t="s">
        <v>1890</v>
      </c>
      <c r="F1488" s="212">
        <v>43587</v>
      </c>
      <c r="G1488" s="213">
        <v>2.91</v>
      </c>
      <c r="H1488" s="256">
        <v>49</v>
      </c>
      <c r="I1488" s="214">
        <v>1453737</v>
      </c>
      <c r="J1488" s="215">
        <v>19175</v>
      </c>
      <c r="K1488" s="212">
        <v>43595</v>
      </c>
      <c r="L1488" s="211" t="s">
        <v>1894</v>
      </c>
      <c r="M1488" s="216">
        <v>4615506885</v>
      </c>
      <c r="N1488" s="212">
        <v>43614</v>
      </c>
      <c r="O1488" s="217">
        <v>3.9746999999999999</v>
      </c>
      <c r="P1488" s="219"/>
      <c r="Q1488" s="34">
        <f>SUMIF(Allocation[Delivery ID],Allocation[[#This Row],[Delivery ID]],Allocation[Quantity Processed])</f>
        <v>10523</v>
      </c>
      <c r="R1488" s="61">
        <f>Allocation[[#This Row],[Total volume used]]/VLOOKUP(Allocation[[#This Row],[Delivery ID]],Delivery[[Delivery ID]:[Quantity delivered]],3,FALSE)</f>
        <v>0.7215936364259754</v>
      </c>
      <c r="S1488" s="34">
        <f>Allocation[[#This Row],[Quantity Processed]]/Allocation[[#This Row],[Dilution rate]]</f>
        <v>17.525773195876287</v>
      </c>
      <c r="T1488" s="59">
        <f>SUMIF(Allocation[Delivery ID],Allocation[[#This Row],[Delivery ID]],Allocation[Quantity allocated])/SUMIF(Allocation[Delivery ID],Allocation[[#This Row],[Delivery ID]],Allocation[Volume available (kg)])</f>
        <v>1.9945582213103765</v>
      </c>
      <c r="U1488" s="61">
        <f>Allocation[[#This Row],[Total volume used]]/VLOOKUP(Allocation[[#This Row],[Delivery ID]],Delivery[[Delivery ID]:[Quantity delivered]],3,FALSE)</f>
        <v>0.7215936364259754</v>
      </c>
      <c r="V1488" s="34" t="e">
        <f>VLOOKUP(Allocation[[#This Row],[SAP Contract number]],Shipments[[SAP Contract number]:[Contracted container weight]],2,FALSE)</f>
        <v>#N/A</v>
      </c>
      <c r="W1488" s="34" t="e">
        <f>VLOOKUP(Allocation[[#This Row],[SAP Contract number]],Shipments[[SAP Contract number]:[AAA Premium USD]],24,FALSE)</f>
        <v>#N/A</v>
      </c>
      <c r="X1488" s="34" t="e">
        <f>VLOOKUP(Allocation[[#This Row],[SAP Contract number]],Shipments[[SAP Contract number]:[RA Premium USD]],25,FALSE)</f>
        <v>#N/A</v>
      </c>
      <c r="Y1488" s="38">
        <f>Allocation[[#This Row],[Quantity Processed]]/Allocation[[#This Row],[Quantity allocated]]</f>
        <v>1.0408163265306123</v>
      </c>
      <c r="Z1488" s="34" t="b">
        <f>Allocation[[#This Row],[Quantity allocated]]&lt;=Allocation[[#This Row],[Quantity Processed]]</f>
        <v>1</v>
      </c>
    </row>
    <row r="1489" spans="1:26">
      <c r="A1489" s="247" t="s">
        <v>467</v>
      </c>
      <c r="B1489" s="210" t="s">
        <v>68</v>
      </c>
      <c r="C1489" s="254" t="s">
        <v>1160</v>
      </c>
      <c r="D1489" s="255">
        <v>41</v>
      </c>
      <c r="E1489" s="211" t="s">
        <v>1890</v>
      </c>
      <c r="F1489" s="212">
        <v>43587</v>
      </c>
      <c r="G1489" s="213">
        <v>2.91</v>
      </c>
      <c r="H1489" s="256">
        <v>40</v>
      </c>
      <c r="I1489" s="214">
        <v>1453737</v>
      </c>
      <c r="J1489" s="215">
        <v>19175</v>
      </c>
      <c r="K1489" s="212">
        <v>43595</v>
      </c>
      <c r="L1489" s="211" t="s">
        <v>1894</v>
      </c>
      <c r="M1489" s="216">
        <v>4615506885</v>
      </c>
      <c r="N1489" s="212">
        <v>43614</v>
      </c>
      <c r="O1489" s="217">
        <v>3.9746999999999999</v>
      </c>
      <c r="P1489" s="219"/>
      <c r="Q1489" s="34">
        <f>SUMIF(Allocation[Delivery ID],Allocation[[#This Row],[Delivery ID]],Allocation[Quantity Processed])</f>
        <v>8419</v>
      </c>
      <c r="R1489" s="61">
        <f>Allocation[[#This Row],[Total volume used]]/VLOOKUP(Allocation[[#This Row],[Delivery ID]],Delivery[[Delivery ID]:[Quantity delivered]],3,FALSE)</f>
        <v>0.72163888055543646</v>
      </c>
      <c r="S1489" s="34">
        <f>Allocation[[#This Row],[Quantity Processed]]/Allocation[[#This Row],[Dilution rate]]</f>
        <v>14.0893470790378</v>
      </c>
      <c r="T1489" s="59">
        <f>SUMIF(Allocation[Delivery ID],Allocation[[#This Row],[Delivery ID]],Allocation[Quantity allocated])/SUMIF(Allocation[Delivery ID],Allocation[[#This Row],[Delivery ID]],Allocation[Volume available (kg)])</f>
        <v>1.9946248301800347</v>
      </c>
      <c r="U1489" s="61">
        <f>Allocation[[#This Row],[Total volume used]]/VLOOKUP(Allocation[[#This Row],[Delivery ID]],Delivery[[Delivery ID]:[Quantity delivered]],3,FALSE)</f>
        <v>0.72163888055543646</v>
      </c>
      <c r="V1489" s="34" t="e">
        <f>VLOOKUP(Allocation[[#This Row],[SAP Contract number]],Shipments[[SAP Contract number]:[Contracted container weight]],2,FALSE)</f>
        <v>#N/A</v>
      </c>
      <c r="W1489" s="34" t="e">
        <f>VLOOKUP(Allocation[[#This Row],[SAP Contract number]],Shipments[[SAP Contract number]:[AAA Premium USD]],24,FALSE)</f>
        <v>#N/A</v>
      </c>
      <c r="X1489" s="34" t="e">
        <f>VLOOKUP(Allocation[[#This Row],[SAP Contract number]],Shipments[[SAP Contract number]:[RA Premium USD]],25,FALSE)</f>
        <v>#N/A</v>
      </c>
      <c r="Y1489" s="38">
        <f>Allocation[[#This Row],[Quantity Processed]]/Allocation[[#This Row],[Quantity allocated]]</f>
        <v>1.0249999999999999</v>
      </c>
      <c r="Z1489" s="34" t="b">
        <f>Allocation[[#This Row],[Quantity allocated]]&lt;=Allocation[[#This Row],[Quantity Processed]]</f>
        <v>1</v>
      </c>
    </row>
    <row r="1490" spans="1:26">
      <c r="A1490" s="247" t="s">
        <v>467</v>
      </c>
      <c r="B1490" s="210" t="s">
        <v>68</v>
      </c>
      <c r="C1490" s="254" t="s">
        <v>1161</v>
      </c>
      <c r="D1490" s="255">
        <v>11</v>
      </c>
      <c r="E1490" s="211" t="s">
        <v>1890</v>
      </c>
      <c r="F1490" s="212">
        <v>43587</v>
      </c>
      <c r="G1490" s="213">
        <v>2.91</v>
      </c>
      <c r="H1490" s="256">
        <v>11</v>
      </c>
      <c r="I1490" s="214">
        <v>1453737</v>
      </c>
      <c r="J1490" s="215">
        <v>19175</v>
      </c>
      <c r="K1490" s="212">
        <v>43595</v>
      </c>
      <c r="L1490" s="211" t="s">
        <v>1894</v>
      </c>
      <c r="M1490" s="216">
        <v>4615506885</v>
      </c>
      <c r="N1490" s="212">
        <v>43614</v>
      </c>
      <c r="O1490" s="217">
        <v>3.9746999999999999</v>
      </c>
      <c r="P1490" s="219"/>
      <c r="Q1490" s="34">
        <f>SUMIF(Allocation[Delivery ID],Allocation[[#This Row],[Delivery ID]],Allocation[Quantity Processed])</f>
        <v>2315</v>
      </c>
      <c r="R1490" s="61">
        <f>Allocation[[#This Row],[Total volume used]]/VLOOKUP(Allocation[[#This Row],[Delivery ID]],Delivery[[Delivery ID]:[Quantity delivered]],3,FALSE)</f>
        <v>0.72163341645885282</v>
      </c>
      <c r="S1490" s="34">
        <f>Allocation[[#This Row],[Quantity Processed]]/Allocation[[#This Row],[Dilution rate]]</f>
        <v>3.7800687285223367</v>
      </c>
      <c r="T1490" s="59">
        <f>SUMIF(Allocation[Delivery ID],Allocation[[#This Row],[Delivery ID]],Allocation[Quantity allocated])/SUMIF(Allocation[Delivery ID],Allocation[[#This Row],[Delivery ID]],Allocation[Volume available (kg)])</f>
        <v>1.9942082011897166</v>
      </c>
      <c r="U1490" s="61">
        <f>Allocation[[#This Row],[Total volume used]]/VLOOKUP(Allocation[[#This Row],[Delivery ID]],Delivery[[Delivery ID]:[Quantity delivered]],3,FALSE)</f>
        <v>0.72163341645885282</v>
      </c>
      <c r="V1490" s="34" t="e">
        <f>VLOOKUP(Allocation[[#This Row],[SAP Contract number]],Shipments[[SAP Contract number]:[Contracted container weight]],2,FALSE)</f>
        <v>#N/A</v>
      </c>
      <c r="W1490" s="34" t="e">
        <f>VLOOKUP(Allocation[[#This Row],[SAP Contract number]],Shipments[[SAP Contract number]:[AAA Premium USD]],24,FALSE)</f>
        <v>#N/A</v>
      </c>
      <c r="X1490" s="34" t="e">
        <f>VLOOKUP(Allocation[[#This Row],[SAP Contract number]],Shipments[[SAP Contract number]:[RA Premium USD]],25,FALSE)</f>
        <v>#N/A</v>
      </c>
      <c r="Y1490" s="38">
        <f>Allocation[[#This Row],[Quantity Processed]]/Allocation[[#This Row],[Quantity allocated]]</f>
        <v>1</v>
      </c>
      <c r="Z1490" s="34" t="b">
        <f>Allocation[[#This Row],[Quantity allocated]]&lt;=Allocation[[#This Row],[Quantity Processed]]</f>
        <v>1</v>
      </c>
    </row>
    <row r="1491" spans="1:26">
      <c r="A1491" s="247" t="s">
        <v>467</v>
      </c>
      <c r="B1491" s="210" t="s">
        <v>68</v>
      </c>
      <c r="C1491" s="254" t="s">
        <v>1162</v>
      </c>
      <c r="D1491" s="255">
        <v>106</v>
      </c>
      <c r="E1491" s="211" t="s">
        <v>1890</v>
      </c>
      <c r="F1491" s="212">
        <v>43587</v>
      </c>
      <c r="G1491" s="213">
        <v>2.91</v>
      </c>
      <c r="H1491" s="256">
        <v>103</v>
      </c>
      <c r="I1491" s="214">
        <v>1453737</v>
      </c>
      <c r="J1491" s="215">
        <v>19175</v>
      </c>
      <c r="K1491" s="212">
        <v>43595</v>
      </c>
      <c r="L1491" s="211" t="s">
        <v>1894</v>
      </c>
      <c r="M1491" s="216">
        <v>4615506885</v>
      </c>
      <c r="N1491" s="212">
        <v>43614</v>
      </c>
      <c r="O1491" s="217">
        <v>3.9746999999999999</v>
      </c>
      <c r="P1491" s="219"/>
      <c r="Q1491" s="34">
        <f>SUMIF(Allocation[Delivery ID],Allocation[[#This Row],[Delivery ID]],Allocation[Quantity Processed])</f>
        <v>21145</v>
      </c>
      <c r="R1491" s="61">
        <f>Allocation[[#This Row],[Total volume used]]/VLOOKUP(Allocation[[#This Row],[Delivery ID]],Delivery[[Delivery ID]:[Quantity delivered]],3,FALSE)</f>
        <v>0.6983157199471598</v>
      </c>
      <c r="S1491" s="34">
        <f>Allocation[[#This Row],[Quantity Processed]]/Allocation[[#This Row],[Dilution rate]]</f>
        <v>36.426116838487971</v>
      </c>
      <c r="T1491" s="59">
        <f>SUMIF(Allocation[Delivery ID],Allocation[[#This Row],[Delivery ID]],Allocation[Quantity allocated])/SUMIF(Allocation[Delivery ID],Allocation[[#This Row],[Delivery ID]],Allocation[Volume available (kg)])</f>
        <v>1.9932065907426038</v>
      </c>
      <c r="U1491" s="61">
        <f>Allocation[[#This Row],[Total volume used]]/VLOOKUP(Allocation[[#This Row],[Delivery ID]],Delivery[[Delivery ID]:[Quantity delivered]],3,FALSE)</f>
        <v>0.6983157199471598</v>
      </c>
      <c r="V1491" s="34" t="e">
        <f>VLOOKUP(Allocation[[#This Row],[SAP Contract number]],Shipments[[SAP Contract number]:[Contracted container weight]],2,FALSE)</f>
        <v>#N/A</v>
      </c>
      <c r="W1491" s="34" t="e">
        <f>VLOOKUP(Allocation[[#This Row],[SAP Contract number]],Shipments[[SAP Contract number]:[AAA Premium USD]],24,FALSE)</f>
        <v>#N/A</v>
      </c>
      <c r="X1491" s="34" t="e">
        <f>VLOOKUP(Allocation[[#This Row],[SAP Contract number]],Shipments[[SAP Contract number]:[RA Premium USD]],25,FALSE)</f>
        <v>#N/A</v>
      </c>
      <c r="Y1491" s="38">
        <f>Allocation[[#This Row],[Quantity Processed]]/Allocation[[#This Row],[Quantity allocated]]</f>
        <v>1.029126213592233</v>
      </c>
      <c r="Z1491" s="34" t="b">
        <f>Allocation[[#This Row],[Quantity allocated]]&lt;=Allocation[[#This Row],[Quantity Processed]]</f>
        <v>1</v>
      </c>
    </row>
    <row r="1492" spans="1:26">
      <c r="A1492" s="247" t="s">
        <v>467</v>
      </c>
      <c r="B1492" s="210" t="s">
        <v>68</v>
      </c>
      <c r="C1492" s="254" t="s">
        <v>1163</v>
      </c>
      <c r="D1492" s="255">
        <v>34</v>
      </c>
      <c r="E1492" s="211" t="s">
        <v>1890</v>
      </c>
      <c r="F1492" s="212">
        <v>43587</v>
      </c>
      <c r="G1492" s="213">
        <v>2.91</v>
      </c>
      <c r="H1492" s="256">
        <v>12</v>
      </c>
      <c r="I1492" s="214">
        <v>1453737</v>
      </c>
      <c r="J1492" s="215">
        <v>19175</v>
      </c>
      <c r="K1492" s="212">
        <v>43595</v>
      </c>
      <c r="L1492" s="211" t="s">
        <v>1894</v>
      </c>
      <c r="M1492" s="216">
        <v>4615506885</v>
      </c>
      <c r="N1492" s="212">
        <v>43614</v>
      </c>
      <c r="O1492" s="217">
        <v>3.9746999999999999</v>
      </c>
      <c r="P1492" s="219"/>
      <c r="Q1492" s="34">
        <f>SUMIF(Allocation[Delivery ID],Allocation[[#This Row],[Delivery ID]],Allocation[Quantity Processed])</f>
        <v>32420</v>
      </c>
      <c r="R1492" s="61">
        <f>Allocation[[#This Row],[Total volume used]]/VLOOKUP(Allocation[[#This Row],[Delivery ID]],Delivery[[Delivery ID]:[Quantity delivered]],3,FALSE)</f>
        <v>1</v>
      </c>
      <c r="S1492" s="34">
        <f>Allocation[[#This Row],[Quantity Processed]]/Allocation[[#This Row],[Dilution rate]]</f>
        <v>11.683848797250858</v>
      </c>
      <c r="T1492" s="59">
        <f>SUMIF(Allocation[Delivery ID],Allocation[[#This Row],[Delivery ID]],Allocation[Quantity allocated])/SUMIF(Allocation[Delivery ID],Allocation[[#This Row],[Delivery ID]],Allocation[Volume available (kg)])</f>
        <v>0.91573014953438914</v>
      </c>
      <c r="U1492" s="61">
        <f>Allocation[[#This Row],[Total volume used]]/VLOOKUP(Allocation[[#This Row],[Delivery ID]],Delivery[[Delivery ID]:[Quantity delivered]],3,FALSE)</f>
        <v>1</v>
      </c>
      <c r="V1492" s="34" t="e">
        <f>VLOOKUP(Allocation[[#This Row],[SAP Contract number]],Shipments[[SAP Contract number]:[Contracted container weight]],2,FALSE)</f>
        <v>#N/A</v>
      </c>
      <c r="W1492" s="34" t="e">
        <f>VLOOKUP(Allocation[[#This Row],[SAP Contract number]],Shipments[[SAP Contract number]:[AAA Premium USD]],24,FALSE)</f>
        <v>#N/A</v>
      </c>
      <c r="X1492" s="34" t="e">
        <f>VLOOKUP(Allocation[[#This Row],[SAP Contract number]],Shipments[[SAP Contract number]:[RA Premium USD]],25,FALSE)</f>
        <v>#N/A</v>
      </c>
      <c r="Y1492" s="38">
        <f>Allocation[[#This Row],[Quantity Processed]]/Allocation[[#This Row],[Quantity allocated]]</f>
        <v>2.8333333333333335</v>
      </c>
      <c r="Z1492" s="34" t="b">
        <f>Allocation[[#This Row],[Quantity allocated]]&lt;=Allocation[[#This Row],[Quantity Processed]]</f>
        <v>1</v>
      </c>
    </row>
    <row r="1493" spans="1:26">
      <c r="A1493" s="247" t="s">
        <v>467</v>
      </c>
      <c r="B1493" s="210" t="s">
        <v>68</v>
      </c>
      <c r="C1493" s="254" t="s">
        <v>1165</v>
      </c>
      <c r="D1493" s="255">
        <v>26</v>
      </c>
      <c r="E1493" s="211" t="s">
        <v>1890</v>
      </c>
      <c r="F1493" s="212">
        <v>43587</v>
      </c>
      <c r="G1493" s="213">
        <v>2.91</v>
      </c>
      <c r="H1493" s="256">
        <v>9</v>
      </c>
      <c r="I1493" s="214">
        <v>1453737</v>
      </c>
      <c r="J1493" s="215">
        <v>19175</v>
      </c>
      <c r="K1493" s="212">
        <v>43595</v>
      </c>
      <c r="L1493" s="211" t="s">
        <v>1894</v>
      </c>
      <c r="M1493" s="216">
        <v>4615506885</v>
      </c>
      <c r="N1493" s="212">
        <v>43614</v>
      </c>
      <c r="O1493" s="217">
        <v>3.9746999999999999</v>
      </c>
      <c r="P1493" s="219"/>
      <c r="Q1493" s="34">
        <f>SUMIF(Allocation[Delivery ID],Allocation[[#This Row],[Delivery ID]],Allocation[Quantity Processed])</f>
        <v>25500</v>
      </c>
      <c r="R1493" s="61">
        <f>Allocation[[#This Row],[Total volume used]]/VLOOKUP(Allocation[[#This Row],[Delivery ID]],Delivery[[Delivery ID]:[Quantity delivered]],3,FALSE)</f>
        <v>1</v>
      </c>
      <c r="S1493" s="34">
        <f>Allocation[[#This Row],[Quantity Processed]]/Allocation[[#This Row],[Dilution rate]]</f>
        <v>8.934707903780069</v>
      </c>
      <c r="T1493" s="59">
        <f>SUMIF(Allocation[Delivery ID],Allocation[[#This Row],[Delivery ID]],Allocation[Quantity allocated])/SUMIF(Allocation[Delivery ID],Allocation[[#This Row],[Delivery ID]],Allocation[Volume available (kg)])</f>
        <v>0.91565224611931262</v>
      </c>
      <c r="U1493" s="61">
        <f>Allocation[[#This Row],[Total volume used]]/VLOOKUP(Allocation[[#This Row],[Delivery ID]],Delivery[[Delivery ID]:[Quantity delivered]],3,FALSE)</f>
        <v>1</v>
      </c>
      <c r="V1493" s="34" t="e">
        <f>VLOOKUP(Allocation[[#This Row],[SAP Contract number]],Shipments[[SAP Contract number]:[Contracted container weight]],2,FALSE)</f>
        <v>#N/A</v>
      </c>
      <c r="W1493" s="34" t="e">
        <f>VLOOKUP(Allocation[[#This Row],[SAP Contract number]],Shipments[[SAP Contract number]:[AAA Premium USD]],24,FALSE)</f>
        <v>#N/A</v>
      </c>
      <c r="X1493" s="34" t="e">
        <f>VLOOKUP(Allocation[[#This Row],[SAP Contract number]],Shipments[[SAP Contract number]:[RA Premium USD]],25,FALSE)</f>
        <v>#N/A</v>
      </c>
      <c r="Y1493" s="38">
        <f>Allocation[[#This Row],[Quantity Processed]]/Allocation[[#This Row],[Quantity allocated]]</f>
        <v>2.8888888888888888</v>
      </c>
      <c r="Z1493" s="34" t="b">
        <f>Allocation[[#This Row],[Quantity allocated]]&lt;=Allocation[[#This Row],[Quantity Processed]]</f>
        <v>1</v>
      </c>
    </row>
    <row r="1494" spans="1:26">
      <c r="A1494" s="247" t="s">
        <v>467</v>
      </c>
      <c r="B1494" s="210" t="s">
        <v>68</v>
      </c>
      <c r="C1494" s="254" t="s">
        <v>1166</v>
      </c>
      <c r="D1494" s="255">
        <v>6</v>
      </c>
      <c r="E1494" s="211" t="s">
        <v>1890</v>
      </c>
      <c r="F1494" s="212">
        <v>43587</v>
      </c>
      <c r="G1494" s="213">
        <v>2.91</v>
      </c>
      <c r="H1494" s="256">
        <v>2</v>
      </c>
      <c r="I1494" s="214">
        <v>1453737</v>
      </c>
      <c r="J1494" s="215">
        <v>19175</v>
      </c>
      <c r="K1494" s="212">
        <v>43595</v>
      </c>
      <c r="L1494" s="211" t="s">
        <v>1894</v>
      </c>
      <c r="M1494" s="216">
        <v>4615506885</v>
      </c>
      <c r="N1494" s="212">
        <v>43614</v>
      </c>
      <c r="O1494" s="217">
        <v>3.9746999999999999</v>
      </c>
      <c r="P1494" s="219"/>
      <c r="Q1494" s="34">
        <f>SUMIF(Allocation[Delivery ID],Allocation[[#This Row],[Delivery ID]],Allocation[Quantity Processed])</f>
        <v>6960</v>
      </c>
      <c r="R1494" s="61">
        <f>Allocation[[#This Row],[Total volume used]]/VLOOKUP(Allocation[[#This Row],[Delivery ID]],Delivery[[Delivery ID]:[Quantity delivered]],3,FALSE)</f>
        <v>1</v>
      </c>
      <c r="S1494" s="34">
        <f>Allocation[[#This Row],[Quantity Processed]]/Allocation[[#This Row],[Dilution rate]]</f>
        <v>2.0618556701030926</v>
      </c>
      <c r="T1494" s="59">
        <f>SUMIF(Allocation[Delivery ID],Allocation[[#This Row],[Delivery ID]],Allocation[Quantity allocated])/SUMIF(Allocation[Delivery ID],Allocation[[#This Row],[Delivery ID]],Allocation[Volume available (kg)])</f>
        <v>0.91648668745422734</v>
      </c>
      <c r="U1494" s="61">
        <f>Allocation[[#This Row],[Total volume used]]/VLOOKUP(Allocation[[#This Row],[Delivery ID]],Delivery[[Delivery ID]:[Quantity delivered]],3,FALSE)</f>
        <v>1</v>
      </c>
      <c r="V1494" s="34" t="e">
        <f>VLOOKUP(Allocation[[#This Row],[SAP Contract number]],Shipments[[SAP Contract number]:[Contracted container weight]],2,FALSE)</f>
        <v>#N/A</v>
      </c>
      <c r="W1494" s="34" t="e">
        <f>VLOOKUP(Allocation[[#This Row],[SAP Contract number]],Shipments[[SAP Contract number]:[AAA Premium USD]],24,FALSE)</f>
        <v>#N/A</v>
      </c>
      <c r="X1494" s="34" t="e">
        <f>VLOOKUP(Allocation[[#This Row],[SAP Contract number]],Shipments[[SAP Contract number]:[RA Premium USD]],25,FALSE)</f>
        <v>#N/A</v>
      </c>
      <c r="Y1494" s="38">
        <f>Allocation[[#This Row],[Quantity Processed]]/Allocation[[#This Row],[Quantity allocated]]</f>
        <v>3</v>
      </c>
      <c r="Z1494" s="34" t="b">
        <f>Allocation[[#This Row],[Quantity allocated]]&lt;=Allocation[[#This Row],[Quantity Processed]]</f>
        <v>1</v>
      </c>
    </row>
    <row r="1495" spans="1:26">
      <c r="A1495" s="247" t="s">
        <v>467</v>
      </c>
      <c r="B1495" s="210" t="s">
        <v>68</v>
      </c>
      <c r="C1495" s="254" t="s">
        <v>1703</v>
      </c>
      <c r="D1495" s="255">
        <v>2591</v>
      </c>
      <c r="E1495" s="211" t="s">
        <v>1890</v>
      </c>
      <c r="F1495" s="212">
        <v>43587</v>
      </c>
      <c r="G1495" s="213">
        <v>2.91</v>
      </c>
      <c r="H1495" s="256">
        <v>881</v>
      </c>
      <c r="I1495" s="214">
        <v>1453737</v>
      </c>
      <c r="J1495" s="215">
        <v>19175</v>
      </c>
      <c r="K1495" s="212">
        <v>43595</v>
      </c>
      <c r="L1495" s="211" t="s">
        <v>1894</v>
      </c>
      <c r="M1495" s="216">
        <v>4615506885</v>
      </c>
      <c r="N1495" s="212">
        <v>43614</v>
      </c>
      <c r="O1495" s="217">
        <v>3.9746999999999999</v>
      </c>
      <c r="P1495" s="219"/>
      <c r="Q1495" s="34">
        <f>SUMIF(Allocation[Delivery ID],Allocation[[#This Row],[Delivery ID]],Allocation[Quantity Processed])</f>
        <v>2591</v>
      </c>
      <c r="R1495" s="61">
        <f>Allocation[[#This Row],[Total volume used]]/VLOOKUP(Allocation[[#This Row],[Delivery ID]],Delivery[[Delivery ID]:[Quantity delivered]],3,FALSE)</f>
        <v>0.4303986710963455</v>
      </c>
      <c r="S1495" s="34">
        <f>Allocation[[#This Row],[Quantity Processed]]/Allocation[[#This Row],[Dilution rate]]</f>
        <v>890.37800687285221</v>
      </c>
      <c r="T1495" s="59">
        <f>SUMIF(Allocation[Delivery ID],Allocation[[#This Row],[Delivery ID]],Allocation[Quantity allocated])/SUMIF(Allocation[Delivery ID],Allocation[[#This Row],[Delivery ID]],Allocation[Volume available (kg)])</f>
        <v>0.98946738710922422</v>
      </c>
      <c r="U1495" s="61">
        <f>Allocation[[#This Row],[Total volume used]]/VLOOKUP(Allocation[[#This Row],[Delivery ID]],Delivery[[Delivery ID]:[Quantity delivered]],3,FALSE)</f>
        <v>0.4303986710963455</v>
      </c>
      <c r="V1495" s="34" t="e">
        <f>VLOOKUP(Allocation[[#This Row],[SAP Contract number]],Shipments[[SAP Contract number]:[Contracted container weight]],2,FALSE)</f>
        <v>#N/A</v>
      </c>
      <c r="W1495" s="34" t="e">
        <f>VLOOKUP(Allocation[[#This Row],[SAP Contract number]],Shipments[[SAP Contract number]:[AAA Premium USD]],24,FALSE)</f>
        <v>#N/A</v>
      </c>
      <c r="X1495" s="34" t="e">
        <f>VLOOKUP(Allocation[[#This Row],[SAP Contract number]],Shipments[[SAP Contract number]:[RA Premium USD]],25,FALSE)</f>
        <v>#N/A</v>
      </c>
      <c r="Y1495" s="38">
        <f>Allocation[[#This Row],[Quantity Processed]]/Allocation[[#This Row],[Quantity allocated]]</f>
        <v>2.9409761634506242</v>
      </c>
      <c r="Z1495" s="34" t="b">
        <f>Allocation[[#This Row],[Quantity allocated]]&lt;=Allocation[[#This Row],[Quantity Processed]]</f>
        <v>1</v>
      </c>
    </row>
    <row r="1496" spans="1:26">
      <c r="A1496" s="247" t="s">
        <v>467</v>
      </c>
      <c r="B1496" s="210" t="s">
        <v>68</v>
      </c>
      <c r="C1496" s="254" t="s">
        <v>1729</v>
      </c>
      <c r="D1496" s="255">
        <v>12030</v>
      </c>
      <c r="E1496" s="211" t="s">
        <v>1890</v>
      </c>
      <c r="F1496" s="212">
        <v>43587</v>
      </c>
      <c r="G1496" s="213">
        <v>2.91</v>
      </c>
      <c r="H1496" s="256">
        <v>4090</v>
      </c>
      <c r="I1496" s="214">
        <v>1453737</v>
      </c>
      <c r="J1496" s="215">
        <v>19175</v>
      </c>
      <c r="K1496" s="212">
        <v>43595</v>
      </c>
      <c r="L1496" s="211" t="s">
        <v>1894</v>
      </c>
      <c r="M1496" s="216">
        <v>4615506885</v>
      </c>
      <c r="N1496" s="212">
        <v>43614</v>
      </c>
      <c r="O1496" s="217">
        <v>3.9746999999999999</v>
      </c>
      <c r="P1496" s="219"/>
      <c r="Q1496" s="34">
        <f>SUMIF(Allocation[Delivery ID],Allocation[[#This Row],[Delivery ID]],Allocation[Quantity Processed])</f>
        <v>12030</v>
      </c>
      <c r="R1496" s="61">
        <f>Allocation[[#This Row],[Total volume used]]/VLOOKUP(Allocation[[#This Row],[Delivery ID]],Delivery[[Delivery ID]:[Quantity delivered]],3,FALSE)</f>
        <v>1</v>
      </c>
      <c r="S1496" s="34">
        <f>Allocation[[#This Row],[Quantity Processed]]/Allocation[[#This Row],[Dilution rate]]</f>
        <v>4134.0206185567013</v>
      </c>
      <c r="T1496" s="59">
        <f>SUMIF(Allocation[Delivery ID],Allocation[[#This Row],[Delivery ID]],Allocation[Quantity allocated])/SUMIF(Allocation[Delivery ID],Allocation[[#This Row],[Delivery ID]],Allocation[Volume available (kg)])</f>
        <v>0.98935162094763085</v>
      </c>
      <c r="U1496" s="61">
        <f>Allocation[[#This Row],[Total volume used]]/VLOOKUP(Allocation[[#This Row],[Delivery ID]],Delivery[[Delivery ID]:[Quantity delivered]],3,FALSE)</f>
        <v>1</v>
      </c>
      <c r="V1496" s="34" t="e">
        <f>VLOOKUP(Allocation[[#This Row],[SAP Contract number]],Shipments[[SAP Contract number]:[Contracted container weight]],2,FALSE)</f>
        <v>#N/A</v>
      </c>
      <c r="W1496" s="34" t="e">
        <f>VLOOKUP(Allocation[[#This Row],[SAP Contract number]],Shipments[[SAP Contract number]:[AAA Premium USD]],24,FALSE)</f>
        <v>#N/A</v>
      </c>
      <c r="X1496" s="34" t="e">
        <f>VLOOKUP(Allocation[[#This Row],[SAP Contract number]],Shipments[[SAP Contract number]:[RA Premium USD]],25,FALSE)</f>
        <v>#N/A</v>
      </c>
      <c r="Y1496" s="38">
        <f>Allocation[[#This Row],[Quantity Processed]]/Allocation[[#This Row],[Quantity allocated]]</f>
        <v>2.9413202933985332</v>
      </c>
      <c r="Z1496" s="34" t="b">
        <f>Allocation[[#This Row],[Quantity allocated]]&lt;=Allocation[[#This Row],[Quantity Processed]]</f>
        <v>1</v>
      </c>
    </row>
    <row r="1497" spans="1:26">
      <c r="A1497" s="247" t="s">
        <v>467</v>
      </c>
      <c r="B1497" s="210" t="s">
        <v>68</v>
      </c>
      <c r="C1497" s="254" t="s">
        <v>1728</v>
      </c>
      <c r="D1497" s="255">
        <v>3023</v>
      </c>
      <c r="E1497" s="211" t="s">
        <v>1890</v>
      </c>
      <c r="F1497" s="212">
        <v>43587</v>
      </c>
      <c r="G1497" s="213">
        <v>2.91</v>
      </c>
      <c r="H1497" s="256">
        <v>1028</v>
      </c>
      <c r="I1497" s="214">
        <v>1453737</v>
      </c>
      <c r="J1497" s="215">
        <v>19175</v>
      </c>
      <c r="K1497" s="212">
        <v>43595</v>
      </c>
      <c r="L1497" s="211" t="s">
        <v>1894</v>
      </c>
      <c r="M1497" s="216">
        <v>4615506885</v>
      </c>
      <c r="N1497" s="212">
        <v>43614</v>
      </c>
      <c r="O1497" s="217">
        <v>3.9746999999999999</v>
      </c>
      <c r="P1497" s="219"/>
      <c r="Q1497" s="34">
        <f>SUMIF(Allocation[Delivery ID],Allocation[[#This Row],[Delivery ID]],Allocation[Quantity Processed])</f>
        <v>3023</v>
      </c>
      <c r="R1497" s="61">
        <f>Allocation[[#This Row],[Total volume used]]/VLOOKUP(Allocation[[#This Row],[Delivery ID]],Delivery[[Delivery ID]:[Quantity delivered]],3,FALSE)</f>
        <v>0.31489583333333332</v>
      </c>
      <c r="S1497" s="34">
        <f>Allocation[[#This Row],[Quantity Processed]]/Allocation[[#This Row],[Dilution rate]]</f>
        <v>1038.8316151202748</v>
      </c>
      <c r="T1497" s="59">
        <f>SUMIF(Allocation[Delivery ID],Allocation[[#This Row],[Delivery ID]],Allocation[Quantity allocated])/SUMIF(Allocation[Delivery ID],Allocation[[#This Row],[Delivery ID]],Allocation[Volume available (kg)])</f>
        <v>0.9895732715845188</v>
      </c>
      <c r="U1497" s="61">
        <f>Allocation[[#This Row],[Total volume used]]/VLOOKUP(Allocation[[#This Row],[Delivery ID]],Delivery[[Delivery ID]:[Quantity delivered]],3,FALSE)</f>
        <v>0.31489583333333332</v>
      </c>
      <c r="V1497" s="34" t="e">
        <f>VLOOKUP(Allocation[[#This Row],[SAP Contract number]],Shipments[[SAP Contract number]:[Contracted container weight]],2,FALSE)</f>
        <v>#N/A</v>
      </c>
      <c r="W1497" s="34" t="e">
        <f>VLOOKUP(Allocation[[#This Row],[SAP Contract number]],Shipments[[SAP Contract number]:[AAA Premium USD]],24,FALSE)</f>
        <v>#N/A</v>
      </c>
      <c r="X1497" s="34" t="e">
        <f>VLOOKUP(Allocation[[#This Row],[SAP Contract number]],Shipments[[SAP Contract number]:[RA Premium USD]],25,FALSE)</f>
        <v>#N/A</v>
      </c>
      <c r="Y1497" s="38">
        <f>Allocation[[#This Row],[Quantity Processed]]/Allocation[[#This Row],[Quantity allocated]]</f>
        <v>2.940661478599222</v>
      </c>
      <c r="Z1497" s="34" t="b">
        <f>Allocation[[#This Row],[Quantity allocated]]&lt;=Allocation[[#This Row],[Quantity Processed]]</f>
        <v>1</v>
      </c>
    </row>
    <row r="1498" spans="1:26">
      <c r="A1498" s="247" t="s">
        <v>467</v>
      </c>
      <c r="B1498" s="210" t="s">
        <v>68</v>
      </c>
      <c r="C1498" s="254" t="s">
        <v>1734</v>
      </c>
      <c r="D1498" s="255">
        <v>403</v>
      </c>
      <c r="E1498" s="211" t="s">
        <v>1890</v>
      </c>
      <c r="F1498" s="212">
        <v>43587</v>
      </c>
      <c r="G1498" s="213">
        <v>2.91</v>
      </c>
      <c r="H1498" s="256">
        <v>133</v>
      </c>
      <c r="I1498" s="214">
        <v>1453737</v>
      </c>
      <c r="J1498" s="215">
        <v>19175</v>
      </c>
      <c r="K1498" s="212">
        <v>43595</v>
      </c>
      <c r="L1498" s="211" t="s">
        <v>1894</v>
      </c>
      <c r="M1498" s="216">
        <v>4615506885</v>
      </c>
      <c r="N1498" s="212">
        <v>43614</v>
      </c>
      <c r="O1498" s="217">
        <v>3.9746999999999999</v>
      </c>
      <c r="P1498" s="219"/>
      <c r="Q1498" s="34">
        <f>SUMIF(Allocation[Delivery ID],Allocation[[#This Row],[Delivery ID]],Allocation[Quantity Processed])</f>
        <v>29457</v>
      </c>
      <c r="R1498" s="61">
        <f>Allocation[[#This Row],[Total volume used]]/VLOOKUP(Allocation[[#This Row],[Delivery ID]],Delivery[[Delivery ID]:[Quantity delivered]],3,FALSE)</f>
        <v>0.82651515151515154</v>
      </c>
      <c r="S1498" s="34">
        <f>Allocation[[#This Row],[Quantity Processed]]/Allocation[[#This Row],[Dilution rate]]</f>
        <v>138.48797250859107</v>
      </c>
      <c r="T1498" s="59">
        <f>SUMIF(Allocation[Delivery ID],Allocation[[#This Row],[Delivery ID]],Allocation[Quantity allocated])/SUMIF(Allocation[Delivery ID],Allocation[[#This Row],[Delivery ID]],Allocation[Volume available (kg)])</f>
        <v>0.87661867441478591</v>
      </c>
      <c r="U1498" s="61">
        <f>Allocation[[#This Row],[Total volume used]]/VLOOKUP(Allocation[[#This Row],[Delivery ID]],Delivery[[Delivery ID]:[Quantity delivered]],3,FALSE)</f>
        <v>0.82651515151515154</v>
      </c>
      <c r="V1498" s="34" t="e">
        <f>VLOOKUP(Allocation[[#This Row],[SAP Contract number]],Shipments[[SAP Contract number]:[Contracted container weight]],2,FALSE)</f>
        <v>#N/A</v>
      </c>
      <c r="W1498" s="34" t="e">
        <f>VLOOKUP(Allocation[[#This Row],[SAP Contract number]],Shipments[[SAP Contract number]:[AAA Premium USD]],24,FALSE)</f>
        <v>#N/A</v>
      </c>
      <c r="X1498" s="34" t="e">
        <f>VLOOKUP(Allocation[[#This Row],[SAP Contract number]],Shipments[[SAP Contract number]:[RA Premium USD]],25,FALSE)</f>
        <v>#N/A</v>
      </c>
      <c r="Y1498" s="38">
        <f>Allocation[[#This Row],[Quantity Processed]]/Allocation[[#This Row],[Quantity allocated]]</f>
        <v>3.030075187969925</v>
      </c>
      <c r="Z1498" s="34" t="b">
        <f>Allocation[[#This Row],[Quantity allocated]]&lt;=Allocation[[#This Row],[Quantity Processed]]</f>
        <v>1</v>
      </c>
    </row>
    <row r="1499" spans="1:26">
      <c r="A1499" s="247" t="s">
        <v>467</v>
      </c>
      <c r="B1499" s="210" t="s">
        <v>68</v>
      </c>
      <c r="C1499" s="254" t="s">
        <v>1767</v>
      </c>
      <c r="D1499" s="255">
        <v>6111</v>
      </c>
      <c r="E1499" s="211" t="s">
        <v>1890</v>
      </c>
      <c r="F1499" s="212">
        <v>43587</v>
      </c>
      <c r="G1499" s="213">
        <v>2.91</v>
      </c>
      <c r="H1499" s="256">
        <v>2139</v>
      </c>
      <c r="I1499" s="214">
        <v>1453737</v>
      </c>
      <c r="J1499" s="215">
        <v>19175</v>
      </c>
      <c r="K1499" s="212">
        <v>43595</v>
      </c>
      <c r="L1499" s="211" t="s">
        <v>1894</v>
      </c>
      <c r="M1499" s="216">
        <v>4615506885</v>
      </c>
      <c r="N1499" s="212">
        <v>43614</v>
      </c>
      <c r="O1499" s="217">
        <v>3.9746999999999999</v>
      </c>
      <c r="P1499" s="219"/>
      <c r="Q1499" s="34">
        <f>SUMIF(Allocation[Delivery ID],Allocation[[#This Row],[Delivery ID]],Allocation[Quantity Processed])</f>
        <v>6111</v>
      </c>
      <c r="R1499" s="61">
        <f>Allocation[[#This Row],[Total volume used]]/VLOOKUP(Allocation[[#This Row],[Delivery ID]],Delivery[[Delivery ID]:[Quantity delivered]],3,FALSE)</f>
        <v>0.67584605175846046</v>
      </c>
      <c r="S1499" s="34">
        <f>Allocation[[#This Row],[Quantity Processed]]/Allocation[[#This Row],[Dilution rate]]</f>
        <v>2100</v>
      </c>
      <c r="T1499" s="59">
        <f>SUMIF(Allocation[Delivery ID],Allocation[[#This Row],[Delivery ID]],Allocation[Quantity allocated])/SUMIF(Allocation[Delivery ID],Allocation[[#This Row],[Delivery ID]],Allocation[Volume available (kg)])</f>
        <v>1.0185714285714285</v>
      </c>
      <c r="U1499" s="61">
        <f>Allocation[[#This Row],[Total volume used]]/VLOOKUP(Allocation[[#This Row],[Delivery ID]],Delivery[[Delivery ID]:[Quantity delivered]],3,FALSE)</f>
        <v>0.67584605175846046</v>
      </c>
      <c r="V1499" s="34" t="e">
        <f>VLOOKUP(Allocation[[#This Row],[SAP Contract number]],Shipments[[SAP Contract number]:[Contracted container weight]],2,FALSE)</f>
        <v>#N/A</v>
      </c>
      <c r="W1499" s="34" t="e">
        <f>VLOOKUP(Allocation[[#This Row],[SAP Contract number]],Shipments[[SAP Contract number]:[AAA Premium USD]],24,FALSE)</f>
        <v>#N/A</v>
      </c>
      <c r="X1499" s="34" t="e">
        <f>VLOOKUP(Allocation[[#This Row],[SAP Contract number]],Shipments[[SAP Contract number]:[RA Premium USD]],25,FALSE)</f>
        <v>#N/A</v>
      </c>
      <c r="Y1499" s="38">
        <f>Allocation[[#This Row],[Quantity Processed]]/Allocation[[#This Row],[Quantity allocated]]</f>
        <v>2.8569424964936885</v>
      </c>
      <c r="Z1499" s="34" t="b">
        <f>Allocation[[#This Row],[Quantity allocated]]&lt;=Allocation[[#This Row],[Quantity Processed]]</f>
        <v>1</v>
      </c>
    </row>
    <row r="1500" spans="1:26">
      <c r="A1500" s="247" t="s">
        <v>467</v>
      </c>
      <c r="B1500" s="210" t="s">
        <v>68</v>
      </c>
      <c r="C1500" s="254" t="s">
        <v>1768</v>
      </c>
      <c r="D1500" s="255">
        <v>2037</v>
      </c>
      <c r="E1500" s="211" t="s">
        <v>1890</v>
      </c>
      <c r="F1500" s="212">
        <v>43587</v>
      </c>
      <c r="G1500" s="213">
        <v>2.91</v>
      </c>
      <c r="H1500" s="256">
        <v>713</v>
      </c>
      <c r="I1500" s="214">
        <v>1453737</v>
      </c>
      <c r="J1500" s="215">
        <v>19175</v>
      </c>
      <c r="K1500" s="212">
        <v>43595</v>
      </c>
      <c r="L1500" s="211" t="s">
        <v>1894</v>
      </c>
      <c r="M1500" s="216">
        <v>4615506885</v>
      </c>
      <c r="N1500" s="212">
        <v>43614</v>
      </c>
      <c r="O1500" s="217">
        <v>3.9746999999999999</v>
      </c>
      <c r="P1500" s="219"/>
      <c r="Q1500" s="34">
        <f>SUMIF(Allocation[Delivery ID],Allocation[[#This Row],[Delivery ID]],Allocation[Quantity Processed])</f>
        <v>2037</v>
      </c>
      <c r="R1500" s="61">
        <f>Allocation[[#This Row],[Total volume used]]/VLOOKUP(Allocation[[#This Row],[Delivery ID]],Delivery[[Delivery ID]:[Quantity delivered]],3,FALSE)</f>
        <v>0.67584605175846046</v>
      </c>
      <c r="S1500" s="34">
        <f>Allocation[[#This Row],[Quantity Processed]]/Allocation[[#This Row],[Dilution rate]]</f>
        <v>700</v>
      </c>
      <c r="T1500" s="59">
        <f>SUMIF(Allocation[Delivery ID],Allocation[[#This Row],[Delivery ID]],Allocation[Quantity allocated])/SUMIF(Allocation[Delivery ID],Allocation[[#This Row],[Delivery ID]],Allocation[Volume available (kg)])</f>
        <v>1.0185714285714285</v>
      </c>
      <c r="U1500" s="61">
        <f>Allocation[[#This Row],[Total volume used]]/VLOOKUP(Allocation[[#This Row],[Delivery ID]],Delivery[[Delivery ID]:[Quantity delivered]],3,FALSE)</f>
        <v>0.67584605175846046</v>
      </c>
      <c r="V1500" s="34" t="e">
        <f>VLOOKUP(Allocation[[#This Row],[SAP Contract number]],Shipments[[SAP Contract number]:[Contracted container weight]],2,FALSE)</f>
        <v>#N/A</v>
      </c>
      <c r="W1500" s="34" t="e">
        <f>VLOOKUP(Allocation[[#This Row],[SAP Contract number]],Shipments[[SAP Contract number]:[AAA Premium USD]],24,FALSE)</f>
        <v>#N/A</v>
      </c>
      <c r="X1500" s="34" t="e">
        <f>VLOOKUP(Allocation[[#This Row],[SAP Contract number]],Shipments[[SAP Contract number]:[RA Premium USD]],25,FALSE)</f>
        <v>#N/A</v>
      </c>
      <c r="Y1500" s="38">
        <f>Allocation[[#This Row],[Quantity Processed]]/Allocation[[#This Row],[Quantity allocated]]</f>
        <v>2.8569424964936885</v>
      </c>
      <c r="Z1500" s="34" t="b">
        <f>Allocation[[#This Row],[Quantity allocated]]&lt;=Allocation[[#This Row],[Quantity Processed]]</f>
        <v>1</v>
      </c>
    </row>
    <row r="1501" spans="1:26">
      <c r="A1501" s="247" t="s">
        <v>467</v>
      </c>
      <c r="B1501" s="210" t="s">
        <v>68</v>
      </c>
      <c r="C1501" s="254" t="s">
        <v>1769</v>
      </c>
      <c r="D1501" s="255">
        <v>17</v>
      </c>
      <c r="E1501" s="211" t="s">
        <v>1890</v>
      </c>
      <c r="F1501" s="212">
        <v>43587</v>
      </c>
      <c r="G1501" s="213">
        <v>2.91</v>
      </c>
      <c r="H1501" s="256">
        <v>7</v>
      </c>
      <c r="I1501" s="214">
        <v>1453737</v>
      </c>
      <c r="J1501" s="215">
        <v>19175</v>
      </c>
      <c r="K1501" s="212">
        <v>43595</v>
      </c>
      <c r="L1501" s="211" t="s">
        <v>1894</v>
      </c>
      <c r="M1501" s="216">
        <v>4615506885</v>
      </c>
      <c r="N1501" s="212">
        <v>43614</v>
      </c>
      <c r="O1501" s="217">
        <v>3.9746999999999999</v>
      </c>
      <c r="P1501" s="219"/>
      <c r="Q1501" s="34">
        <f>SUMIF(Allocation[Delivery ID],Allocation[[#This Row],[Delivery ID]],Allocation[Quantity Processed])</f>
        <v>1809</v>
      </c>
      <c r="R1501" s="61">
        <f>Allocation[[#This Row],[Total volume used]]/VLOOKUP(Allocation[[#This Row],[Delivery ID]],Delivery[[Delivery ID]:[Quantity delivered]],3,FALSE)</f>
        <v>1</v>
      </c>
      <c r="S1501" s="34">
        <f>Allocation[[#This Row],[Quantity Processed]]/Allocation[[#This Row],[Dilution rate]]</f>
        <v>5.8419243986254292</v>
      </c>
      <c r="T1501" s="59">
        <f>SUMIF(Allocation[Delivery ID],Allocation[[#This Row],[Delivery ID]],Allocation[Quantity allocated])/SUMIF(Allocation[Delivery ID],Allocation[[#This Row],[Delivery ID]],Allocation[Volume available (kg)])</f>
        <v>1.1350981443251935</v>
      </c>
      <c r="U1501" s="61">
        <f>Allocation[[#This Row],[Total volume used]]/VLOOKUP(Allocation[[#This Row],[Delivery ID]],Delivery[[Delivery ID]:[Quantity delivered]],3,FALSE)</f>
        <v>1</v>
      </c>
      <c r="V1501" s="34" t="e">
        <f>VLOOKUP(Allocation[[#This Row],[SAP Contract number]],Shipments[[SAP Contract number]:[Contracted container weight]],2,FALSE)</f>
        <v>#N/A</v>
      </c>
      <c r="W1501" s="34" t="e">
        <f>VLOOKUP(Allocation[[#This Row],[SAP Contract number]],Shipments[[SAP Contract number]:[AAA Premium USD]],24,FALSE)</f>
        <v>#N/A</v>
      </c>
      <c r="X1501" s="34" t="e">
        <f>VLOOKUP(Allocation[[#This Row],[SAP Contract number]],Shipments[[SAP Contract number]:[RA Premium USD]],25,FALSE)</f>
        <v>#N/A</v>
      </c>
      <c r="Y1501" s="38">
        <f>Allocation[[#This Row],[Quantity Processed]]/Allocation[[#This Row],[Quantity allocated]]</f>
        <v>2.4285714285714284</v>
      </c>
      <c r="Z1501" s="34" t="b">
        <f>Allocation[[#This Row],[Quantity allocated]]&lt;=Allocation[[#This Row],[Quantity Processed]]</f>
        <v>1</v>
      </c>
    </row>
    <row r="1502" spans="1:26">
      <c r="A1502" s="247" t="s">
        <v>467</v>
      </c>
      <c r="B1502" s="210" t="s">
        <v>68</v>
      </c>
      <c r="C1502" s="254" t="s">
        <v>1773</v>
      </c>
      <c r="D1502" s="255">
        <v>15824</v>
      </c>
      <c r="E1502" s="211" t="s">
        <v>1890</v>
      </c>
      <c r="F1502" s="212">
        <v>43587</v>
      </c>
      <c r="G1502" s="213">
        <v>2.91</v>
      </c>
      <c r="H1502" s="256">
        <v>5222</v>
      </c>
      <c r="I1502" s="214">
        <v>1453737</v>
      </c>
      <c r="J1502" s="215">
        <v>19175</v>
      </c>
      <c r="K1502" s="212">
        <v>43595</v>
      </c>
      <c r="L1502" s="211" t="s">
        <v>1894</v>
      </c>
      <c r="M1502" s="216">
        <v>4615506885</v>
      </c>
      <c r="N1502" s="212">
        <v>43614</v>
      </c>
      <c r="O1502" s="217">
        <v>3.9746999999999999</v>
      </c>
      <c r="P1502" s="219"/>
      <c r="Q1502" s="34">
        <f>SUMIF(Allocation[Delivery ID],Allocation[[#This Row],[Delivery ID]],Allocation[Quantity Processed])</f>
        <v>21536</v>
      </c>
      <c r="R1502" s="61">
        <f>Allocation[[#This Row],[Total volume used]]/VLOOKUP(Allocation[[#This Row],[Delivery ID]],Delivery[[Delivery ID]:[Quantity delivered]],3,FALSE)</f>
        <v>0.71691078561917443</v>
      </c>
      <c r="S1502" s="34">
        <f>Allocation[[#This Row],[Quantity Processed]]/Allocation[[#This Row],[Dilution rate]]</f>
        <v>5437.8006872852229</v>
      </c>
      <c r="T1502" s="59">
        <f>SUMIF(Allocation[Delivery ID],Allocation[[#This Row],[Delivery ID]],Allocation[Quantity allocated])/SUMIF(Allocation[Delivery ID],Allocation[[#This Row],[Delivery ID]],Allocation[Volume available (kg)])</f>
        <v>0.96031621471025264</v>
      </c>
      <c r="U1502" s="61">
        <f>Allocation[[#This Row],[Total volume used]]/VLOOKUP(Allocation[[#This Row],[Delivery ID]],Delivery[[Delivery ID]:[Quantity delivered]],3,FALSE)</f>
        <v>0.71691078561917443</v>
      </c>
      <c r="V1502" s="34" t="e">
        <f>VLOOKUP(Allocation[[#This Row],[SAP Contract number]],Shipments[[SAP Contract number]:[Contracted container weight]],2,FALSE)</f>
        <v>#N/A</v>
      </c>
      <c r="W1502" s="34" t="e">
        <f>VLOOKUP(Allocation[[#This Row],[SAP Contract number]],Shipments[[SAP Contract number]:[AAA Premium USD]],24,FALSE)</f>
        <v>#N/A</v>
      </c>
      <c r="X1502" s="34" t="e">
        <f>VLOOKUP(Allocation[[#This Row],[SAP Contract number]],Shipments[[SAP Contract number]:[RA Premium USD]],25,FALSE)</f>
        <v>#N/A</v>
      </c>
      <c r="Y1502" s="38">
        <f>Allocation[[#This Row],[Quantity Processed]]/Allocation[[#This Row],[Quantity allocated]]</f>
        <v>3.0302566066641132</v>
      </c>
      <c r="Z1502" s="34" t="b">
        <f>Allocation[[#This Row],[Quantity allocated]]&lt;=Allocation[[#This Row],[Quantity Processed]]</f>
        <v>1</v>
      </c>
    </row>
    <row r="1503" spans="1:26">
      <c r="A1503" s="247" t="s">
        <v>467</v>
      </c>
      <c r="B1503" s="210" t="s">
        <v>68</v>
      </c>
      <c r="C1503" s="254" t="s">
        <v>1773</v>
      </c>
      <c r="D1503" s="255">
        <v>5712</v>
      </c>
      <c r="E1503" s="211" t="s">
        <v>1890</v>
      </c>
      <c r="F1503" s="212">
        <v>43587</v>
      </c>
      <c r="G1503" s="213">
        <v>2.91</v>
      </c>
      <c r="H1503" s="256">
        <v>1885</v>
      </c>
      <c r="I1503" s="214">
        <v>1453738</v>
      </c>
      <c r="J1503" s="215">
        <v>19175</v>
      </c>
      <c r="K1503" s="212">
        <v>43595</v>
      </c>
      <c r="L1503" s="211" t="s">
        <v>1895</v>
      </c>
      <c r="M1503" s="216">
        <v>4615506885</v>
      </c>
      <c r="N1503" s="212">
        <v>43614</v>
      </c>
      <c r="O1503" s="217">
        <v>3.9746999999999999</v>
      </c>
      <c r="P1503" s="219"/>
      <c r="Q1503" s="34">
        <f>SUMIF(Allocation[Delivery ID],Allocation[[#This Row],[Delivery ID]],Allocation[Quantity Processed])</f>
        <v>21536</v>
      </c>
      <c r="R1503" s="61">
        <f>Allocation[[#This Row],[Total volume used]]/VLOOKUP(Allocation[[#This Row],[Delivery ID]],Delivery[[Delivery ID]:[Quantity delivered]],3,FALSE)</f>
        <v>0.71691078561917443</v>
      </c>
      <c r="S1503" s="34">
        <f>Allocation[[#This Row],[Quantity Processed]]/Allocation[[#This Row],[Dilution rate]]</f>
        <v>1962.8865979381442</v>
      </c>
      <c r="T1503" s="59">
        <f>SUMIF(Allocation[Delivery ID],Allocation[[#This Row],[Delivery ID]],Allocation[Quantity allocated])/SUMIF(Allocation[Delivery ID],Allocation[[#This Row],[Delivery ID]],Allocation[Volume available (kg)])</f>
        <v>0.96031621471025264</v>
      </c>
      <c r="U1503" s="61">
        <f>Allocation[[#This Row],[Total volume used]]/VLOOKUP(Allocation[[#This Row],[Delivery ID]],Delivery[[Delivery ID]:[Quantity delivered]],3,FALSE)</f>
        <v>0.71691078561917443</v>
      </c>
      <c r="V1503" s="34" t="e">
        <f>VLOOKUP(Allocation[[#This Row],[SAP Contract number]],Shipments[[SAP Contract number]:[Contracted container weight]],2,FALSE)</f>
        <v>#N/A</v>
      </c>
      <c r="W1503" s="34" t="e">
        <f>VLOOKUP(Allocation[[#This Row],[SAP Contract number]],Shipments[[SAP Contract number]:[AAA Premium USD]],24,FALSE)</f>
        <v>#N/A</v>
      </c>
      <c r="X1503" s="34" t="e">
        <f>VLOOKUP(Allocation[[#This Row],[SAP Contract number]],Shipments[[SAP Contract number]:[RA Premium USD]],25,FALSE)</f>
        <v>#N/A</v>
      </c>
      <c r="Y1503" s="38">
        <f>Allocation[[#This Row],[Quantity Processed]]/Allocation[[#This Row],[Quantity allocated]]</f>
        <v>3.0302387267904511</v>
      </c>
      <c r="Z1503" s="34" t="b">
        <f>Allocation[[#This Row],[Quantity allocated]]&lt;=Allocation[[#This Row],[Quantity Processed]]</f>
        <v>1</v>
      </c>
    </row>
    <row r="1504" spans="1:26">
      <c r="A1504" s="247" t="s">
        <v>467</v>
      </c>
      <c r="B1504" s="210" t="s">
        <v>68</v>
      </c>
      <c r="C1504" s="254" t="s">
        <v>1778</v>
      </c>
      <c r="D1504" s="255">
        <v>10661</v>
      </c>
      <c r="E1504" s="211" t="s">
        <v>1890</v>
      </c>
      <c r="F1504" s="212">
        <v>43587</v>
      </c>
      <c r="G1504" s="213">
        <v>2.91</v>
      </c>
      <c r="H1504" s="256">
        <v>3518</v>
      </c>
      <c r="I1504" s="214">
        <v>1453738</v>
      </c>
      <c r="J1504" s="215">
        <v>19175</v>
      </c>
      <c r="K1504" s="212">
        <v>43595</v>
      </c>
      <c r="L1504" s="211" t="s">
        <v>1895</v>
      </c>
      <c r="M1504" s="216">
        <v>4615506885</v>
      </c>
      <c r="N1504" s="212">
        <v>43614</v>
      </c>
      <c r="O1504" s="217">
        <v>3.9746999999999999</v>
      </c>
      <c r="P1504" s="219"/>
      <c r="Q1504" s="34">
        <f>SUMIF(Allocation[Delivery ID],Allocation[[#This Row],[Delivery ID]],Allocation[Quantity Processed])</f>
        <v>10661</v>
      </c>
      <c r="R1504" s="61">
        <f>Allocation[[#This Row],[Total volume used]]/VLOOKUP(Allocation[[#This Row],[Delivery ID]],Delivery[[Delivery ID]:[Quantity delivered]],3,FALSE)</f>
        <v>0.71694687289845327</v>
      </c>
      <c r="S1504" s="34">
        <f>Allocation[[#This Row],[Quantity Processed]]/Allocation[[#This Row],[Dilution rate]]</f>
        <v>3663.5738831615117</v>
      </c>
      <c r="T1504" s="59">
        <f>SUMIF(Allocation[Delivery ID],Allocation[[#This Row],[Delivery ID]],Allocation[Quantity allocated])/SUMIF(Allocation[Delivery ID],Allocation[[#This Row],[Delivery ID]],Allocation[Volume available (kg)])</f>
        <v>0.96026451552387215</v>
      </c>
      <c r="U1504" s="61">
        <f>Allocation[[#This Row],[Total volume used]]/VLOOKUP(Allocation[[#This Row],[Delivery ID]],Delivery[[Delivery ID]:[Quantity delivered]],3,FALSE)</f>
        <v>0.71694687289845327</v>
      </c>
      <c r="V1504" s="34" t="e">
        <f>VLOOKUP(Allocation[[#This Row],[SAP Contract number]],Shipments[[SAP Contract number]:[Contracted container weight]],2,FALSE)</f>
        <v>#N/A</v>
      </c>
      <c r="W1504" s="34" t="e">
        <f>VLOOKUP(Allocation[[#This Row],[SAP Contract number]],Shipments[[SAP Contract number]:[AAA Premium USD]],24,FALSE)</f>
        <v>#N/A</v>
      </c>
      <c r="X1504" s="34" t="e">
        <f>VLOOKUP(Allocation[[#This Row],[SAP Contract number]],Shipments[[SAP Contract number]:[RA Premium USD]],25,FALSE)</f>
        <v>#N/A</v>
      </c>
      <c r="Y1504" s="38">
        <f>Allocation[[#This Row],[Quantity Processed]]/Allocation[[#This Row],[Quantity allocated]]</f>
        <v>3.0304150085275725</v>
      </c>
      <c r="Z1504" s="34" t="b">
        <f>Allocation[[#This Row],[Quantity allocated]]&lt;=Allocation[[#This Row],[Quantity Processed]]</f>
        <v>1</v>
      </c>
    </row>
    <row r="1505" spans="1:26">
      <c r="A1505" s="247" t="s">
        <v>467</v>
      </c>
      <c r="B1505" s="210" t="s">
        <v>68</v>
      </c>
      <c r="C1505" s="254" t="s">
        <v>1779</v>
      </c>
      <c r="D1505" s="255">
        <v>7800</v>
      </c>
      <c r="E1505" s="211" t="s">
        <v>1890</v>
      </c>
      <c r="F1505" s="212">
        <v>43587</v>
      </c>
      <c r="G1505" s="213">
        <v>2.91</v>
      </c>
      <c r="H1505" s="256">
        <v>2340</v>
      </c>
      <c r="I1505" s="214">
        <v>1453738</v>
      </c>
      <c r="J1505" s="215">
        <v>19175</v>
      </c>
      <c r="K1505" s="212">
        <v>43595</v>
      </c>
      <c r="L1505" s="211" t="s">
        <v>1895</v>
      </c>
      <c r="M1505" s="216">
        <v>4615506885</v>
      </c>
      <c r="N1505" s="212">
        <v>43614</v>
      </c>
      <c r="O1505" s="217">
        <v>3.9746999999999999</v>
      </c>
      <c r="P1505" s="219"/>
      <c r="Q1505" s="34">
        <f>SUMIF(Allocation[Delivery ID],Allocation[[#This Row],[Delivery ID]],Allocation[Quantity Processed])</f>
        <v>7800</v>
      </c>
      <c r="R1505" s="61">
        <f>Allocation[[#This Row],[Total volume used]]/VLOOKUP(Allocation[[#This Row],[Delivery ID]],Delivery[[Delivery ID]:[Quantity delivered]],3,FALSE)</f>
        <v>0.7885558307637871</v>
      </c>
      <c r="S1505" s="34">
        <f>Allocation[[#This Row],[Quantity Processed]]/Allocation[[#This Row],[Dilution rate]]</f>
        <v>2680.4123711340203</v>
      </c>
      <c r="T1505" s="59">
        <f>SUMIF(Allocation[Delivery ID],Allocation[[#This Row],[Delivery ID]],Allocation[Quantity allocated])/SUMIF(Allocation[Delivery ID],Allocation[[#This Row],[Delivery ID]],Allocation[Volume available (kg)])</f>
        <v>0.87300000000000011</v>
      </c>
      <c r="U1505" s="61">
        <f>Allocation[[#This Row],[Total volume used]]/VLOOKUP(Allocation[[#This Row],[Delivery ID]],Delivery[[Delivery ID]:[Quantity delivered]],3,FALSE)</f>
        <v>0.7885558307637871</v>
      </c>
      <c r="V1505" s="34" t="e">
        <f>VLOOKUP(Allocation[[#This Row],[SAP Contract number]],Shipments[[SAP Contract number]:[Contracted container weight]],2,FALSE)</f>
        <v>#N/A</v>
      </c>
      <c r="W1505" s="34" t="e">
        <f>VLOOKUP(Allocation[[#This Row],[SAP Contract number]],Shipments[[SAP Contract number]:[AAA Premium USD]],24,FALSE)</f>
        <v>#N/A</v>
      </c>
      <c r="X1505" s="34" t="e">
        <f>VLOOKUP(Allocation[[#This Row],[SAP Contract number]],Shipments[[SAP Contract number]:[RA Premium USD]],25,FALSE)</f>
        <v>#N/A</v>
      </c>
      <c r="Y1505" s="38">
        <f>Allocation[[#This Row],[Quantity Processed]]/Allocation[[#This Row],[Quantity allocated]]</f>
        <v>3.3333333333333335</v>
      </c>
      <c r="Z1505" s="34" t="b">
        <f>Allocation[[#This Row],[Quantity allocated]]&lt;=Allocation[[#This Row],[Quantity Processed]]</f>
        <v>1</v>
      </c>
    </row>
    <row r="1506" spans="1:26">
      <c r="A1506" s="247" t="s">
        <v>467</v>
      </c>
      <c r="B1506" s="210" t="s">
        <v>68</v>
      </c>
      <c r="C1506" s="254" t="s">
        <v>1780</v>
      </c>
      <c r="D1506" s="255">
        <v>4090</v>
      </c>
      <c r="E1506" s="211" t="s">
        <v>1890</v>
      </c>
      <c r="F1506" s="212">
        <v>43587</v>
      </c>
      <c r="G1506" s="213">
        <v>2.91</v>
      </c>
      <c r="H1506" s="256">
        <v>1227</v>
      </c>
      <c r="I1506" s="214">
        <v>1453738</v>
      </c>
      <c r="J1506" s="215">
        <v>19175</v>
      </c>
      <c r="K1506" s="212">
        <v>43595</v>
      </c>
      <c r="L1506" s="211" t="s">
        <v>1895</v>
      </c>
      <c r="M1506" s="216">
        <v>4615506885</v>
      </c>
      <c r="N1506" s="212">
        <v>43614</v>
      </c>
      <c r="O1506" s="217">
        <v>3.9746999999999999</v>
      </c>
      <c r="P1506" s="219"/>
      <c r="Q1506" s="34">
        <f>SUMIF(Allocation[Delivery ID],Allocation[[#This Row],[Delivery ID]],Allocation[Quantity Processed])</f>
        <v>4090</v>
      </c>
      <c r="R1506" s="61">
        <f>Allocation[[#This Row],[Total volume used]]/VLOOKUP(Allocation[[#This Row],[Delivery ID]],Delivery[[Delivery ID]:[Quantity delivered]],3,FALSE)</f>
        <v>0.78866178172001544</v>
      </c>
      <c r="S1506" s="34">
        <f>Allocation[[#This Row],[Quantity Processed]]/Allocation[[#This Row],[Dilution rate]]</f>
        <v>1405.4982817869416</v>
      </c>
      <c r="T1506" s="59">
        <f>SUMIF(Allocation[Delivery ID],Allocation[[#This Row],[Delivery ID]],Allocation[Quantity allocated])/SUMIF(Allocation[Delivery ID],Allocation[[#This Row],[Delivery ID]],Allocation[Volume available (kg)])</f>
        <v>0.873</v>
      </c>
      <c r="U1506" s="61">
        <f>Allocation[[#This Row],[Total volume used]]/VLOOKUP(Allocation[[#This Row],[Delivery ID]],Delivery[[Delivery ID]:[Quantity delivered]],3,FALSE)</f>
        <v>0.78866178172001544</v>
      </c>
      <c r="V1506" s="34" t="e">
        <f>VLOOKUP(Allocation[[#This Row],[SAP Contract number]],Shipments[[SAP Contract number]:[Contracted container weight]],2,FALSE)</f>
        <v>#N/A</v>
      </c>
      <c r="W1506" s="34" t="e">
        <f>VLOOKUP(Allocation[[#This Row],[SAP Contract number]],Shipments[[SAP Contract number]:[AAA Premium USD]],24,FALSE)</f>
        <v>#N/A</v>
      </c>
      <c r="X1506" s="34" t="e">
        <f>VLOOKUP(Allocation[[#This Row],[SAP Contract number]],Shipments[[SAP Contract number]:[RA Premium USD]],25,FALSE)</f>
        <v>#N/A</v>
      </c>
      <c r="Y1506" s="38">
        <f>Allocation[[#This Row],[Quantity Processed]]/Allocation[[#This Row],[Quantity allocated]]</f>
        <v>3.3333333333333335</v>
      </c>
      <c r="Z1506" s="34" t="b">
        <f>Allocation[[#This Row],[Quantity allocated]]&lt;=Allocation[[#This Row],[Quantity Processed]]</f>
        <v>1</v>
      </c>
    </row>
    <row r="1507" spans="1:26">
      <c r="A1507" s="247" t="s">
        <v>467</v>
      </c>
      <c r="B1507" s="210" t="s">
        <v>68</v>
      </c>
      <c r="C1507" s="254" t="s">
        <v>1787</v>
      </c>
      <c r="D1507" s="255">
        <v>10259</v>
      </c>
      <c r="E1507" s="211" t="s">
        <v>1890</v>
      </c>
      <c r="F1507" s="212">
        <v>43587</v>
      </c>
      <c r="G1507" s="213">
        <v>2.91</v>
      </c>
      <c r="H1507" s="256">
        <v>7181</v>
      </c>
      <c r="I1507" s="214">
        <v>1453738</v>
      </c>
      <c r="J1507" s="215">
        <v>19175</v>
      </c>
      <c r="K1507" s="212">
        <v>43595</v>
      </c>
      <c r="L1507" s="211" t="s">
        <v>1895</v>
      </c>
      <c r="M1507" s="216">
        <v>4615506885</v>
      </c>
      <c r="N1507" s="212">
        <v>43614</v>
      </c>
      <c r="O1507" s="217">
        <v>3.9746999999999999</v>
      </c>
      <c r="P1507" s="219"/>
      <c r="Q1507" s="34">
        <f>SUMIF(Allocation[Delivery ID],Allocation[[#This Row],[Delivery ID]],Allocation[Quantity Processed])</f>
        <v>10259</v>
      </c>
      <c r="R1507" s="61">
        <f>Allocation[[#This Row],[Total volume used]]/VLOOKUP(Allocation[[#This Row],[Delivery ID]],Delivery[[Delivery ID]:[Quantity delivered]],3,FALSE)</f>
        <v>0.33802306425041184</v>
      </c>
      <c r="S1507" s="34">
        <f>Allocation[[#This Row],[Quantity Processed]]/Allocation[[#This Row],[Dilution rate]]</f>
        <v>3525.4295532646047</v>
      </c>
      <c r="T1507" s="59">
        <f>SUMIF(Allocation[Delivery ID],Allocation[[#This Row],[Delivery ID]],Allocation[Quantity allocated])/SUMIF(Allocation[Delivery ID],Allocation[[#This Row],[Delivery ID]],Allocation[Volume available (kg)])</f>
        <v>2.0369149039867436</v>
      </c>
      <c r="U1507" s="61">
        <f>Allocation[[#This Row],[Total volume used]]/VLOOKUP(Allocation[[#This Row],[Delivery ID]],Delivery[[Delivery ID]:[Quantity delivered]],3,FALSE)</f>
        <v>0.33802306425041184</v>
      </c>
      <c r="V1507" s="34" t="e">
        <f>VLOOKUP(Allocation[[#This Row],[SAP Contract number]],Shipments[[SAP Contract number]:[Contracted container weight]],2,FALSE)</f>
        <v>#N/A</v>
      </c>
      <c r="W1507" s="34" t="e">
        <f>VLOOKUP(Allocation[[#This Row],[SAP Contract number]],Shipments[[SAP Contract number]:[AAA Premium USD]],24,FALSE)</f>
        <v>#N/A</v>
      </c>
      <c r="X1507" s="34" t="e">
        <f>VLOOKUP(Allocation[[#This Row],[SAP Contract number]],Shipments[[SAP Contract number]:[RA Premium USD]],25,FALSE)</f>
        <v>#N/A</v>
      </c>
      <c r="Y1507" s="38">
        <f>Allocation[[#This Row],[Quantity Processed]]/Allocation[[#This Row],[Quantity allocated]]</f>
        <v>1.4286311098732767</v>
      </c>
      <c r="Z1507" s="34" t="b">
        <f>Allocation[[#This Row],[Quantity allocated]]&lt;=Allocation[[#This Row],[Quantity Processed]]</f>
        <v>1</v>
      </c>
    </row>
    <row r="1508" spans="1:26">
      <c r="A1508" s="247" t="s">
        <v>467</v>
      </c>
      <c r="B1508" s="210" t="s">
        <v>68</v>
      </c>
      <c r="C1508" s="254" t="s">
        <v>1789</v>
      </c>
      <c r="D1508" s="255">
        <v>1736</v>
      </c>
      <c r="E1508" s="211" t="s">
        <v>1890</v>
      </c>
      <c r="F1508" s="212">
        <v>43587</v>
      </c>
      <c r="G1508" s="213">
        <v>2.91</v>
      </c>
      <c r="H1508" s="256">
        <v>1215</v>
      </c>
      <c r="I1508" s="214">
        <v>1453738</v>
      </c>
      <c r="J1508" s="215">
        <v>19175</v>
      </c>
      <c r="K1508" s="212">
        <v>43595</v>
      </c>
      <c r="L1508" s="211" t="s">
        <v>1895</v>
      </c>
      <c r="M1508" s="216">
        <v>4615506885</v>
      </c>
      <c r="N1508" s="212">
        <v>43614</v>
      </c>
      <c r="O1508" s="217">
        <v>3.9746999999999999</v>
      </c>
      <c r="P1508" s="219"/>
      <c r="Q1508" s="34">
        <f>SUMIF(Allocation[Delivery ID],Allocation[[#This Row],[Delivery ID]],Allocation[Quantity Processed])</f>
        <v>1736</v>
      </c>
      <c r="R1508" s="61">
        <f>Allocation[[#This Row],[Total volume used]]/VLOOKUP(Allocation[[#This Row],[Delivery ID]],Delivery[[Delivery ID]:[Quantity delivered]],3,FALSE)</f>
        <v>0.3379075425790754</v>
      </c>
      <c r="S1508" s="34">
        <f>Allocation[[#This Row],[Quantity Processed]]/Allocation[[#This Row],[Dilution rate]]</f>
        <v>596.56357388316144</v>
      </c>
      <c r="T1508" s="59">
        <f>SUMIF(Allocation[Delivery ID],Allocation[[#This Row],[Delivery ID]],Allocation[Quantity allocated])/SUMIF(Allocation[Delivery ID],Allocation[[#This Row],[Delivery ID]],Allocation[Volume available (kg)])</f>
        <v>2.0366647465437793</v>
      </c>
      <c r="U1508" s="61">
        <f>Allocation[[#This Row],[Total volume used]]/VLOOKUP(Allocation[[#This Row],[Delivery ID]],Delivery[[Delivery ID]:[Quantity delivered]],3,FALSE)</f>
        <v>0.3379075425790754</v>
      </c>
      <c r="V1508" s="34" t="e">
        <f>VLOOKUP(Allocation[[#This Row],[SAP Contract number]],Shipments[[SAP Contract number]:[Contracted container weight]],2,FALSE)</f>
        <v>#N/A</v>
      </c>
      <c r="W1508" s="34" t="e">
        <f>VLOOKUP(Allocation[[#This Row],[SAP Contract number]],Shipments[[SAP Contract number]:[AAA Premium USD]],24,FALSE)</f>
        <v>#N/A</v>
      </c>
      <c r="X1508" s="34" t="e">
        <f>VLOOKUP(Allocation[[#This Row],[SAP Contract number]],Shipments[[SAP Contract number]:[RA Premium USD]],25,FALSE)</f>
        <v>#N/A</v>
      </c>
      <c r="Y1508" s="38">
        <f>Allocation[[#This Row],[Quantity Processed]]/Allocation[[#This Row],[Quantity allocated]]</f>
        <v>1.4288065843621398</v>
      </c>
      <c r="Z1508" s="34" t="b">
        <f>Allocation[[#This Row],[Quantity allocated]]&lt;=Allocation[[#This Row],[Quantity Processed]]</f>
        <v>1</v>
      </c>
    </row>
    <row r="1509" spans="1:26">
      <c r="A1509" s="247" t="s">
        <v>467</v>
      </c>
      <c r="B1509" s="210" t="s">
        <v>68</v>
      </c>
      <c r="C1509" s="254" t="s">
        <v>1791</v>
      </c>
      <c r="D1509" s="255">
        <v>155</v>
      </c>
      <c r="E1509" s="211" t="s">
        <v>1890</v>
      </c>
      <c r="F1509" s="212">
        <v>43587</v>
      </c>
      <c r="G1509" s="213">
        <v>2.91</v>
      </c>
      <c r="H1509" s="256">
        <v>62</v>
      </c>
      <c r="I1509" s="214">
        <v>1453738</v>
      </c>
      <c r="J1509" s="215">
        <v>19175</v>
      </c>
      <c r="K1509" s="212">
        <v>43595</v>
      </c>
      <c r="L1509" s="211" t="s">
        <v>1895</v>
      </c>
      <c r="M1509" s="216">
        <v>4615506885</v>
      </c>
      <c r="N1509" s="212">
        <v>43614</v>
      </c>
      <c r="O1509" s="217">
        <v>3.9746999999999999</v>
      </c>
      <c r="P1509" s="219"/>
      <c r="Q1509" s="34">
        <f>SUMIF(Allocation[Delivery ID],Allocation[[#This Row],[Delivery ID]],Allocation[Quantity Processed])</f>
        <v>11408</v>
      </c>
      <c r="R1509" s="61">
        <f>Allocation[[#This Row],[Total volume used]]/VLOOKUP(Allocation[[#This Row],[Delivery ID]],Delivery[[Delivery ID]:[Quantity delivered]],3,FALSE)</f>
        <v>0.68188882247459648</v>
      </c>
      <c r="S1509" s="34">
        <f>Allocation[[#This Row],[Quantity Processed]]/Allocation[[#This Row],[Dilution rate]]</f>
        <v>53.264604810996559</v>
      </c>
      <c r="T1509" s="59">
        <f>SUMIF(Allocation[Delivery ID],Allocation[[#This Row],[Delivery ID]],Allocation[Quantity allocated])/SUMIF(Allocation[Delivery ID],Allocation[[#This Row],[Delivery ID]],Allocation[Volume available (kg)])</f>
        <v>1.0624926655320888</v>
      </c>
      <c r="U1509" s="61">
        <f>Allocation[[#This Row],[Total volume used]]/VLOOKUP(Allocation[[#This Row],[Delivery ID]],Delivery[[Delivery ID]:[Quantity delivered]],3,FALSE)</f>
        <v>0.68188882247459648</v>
      </c>
      <c r="V1509" s="34" t="e">
        <f>VLOOKUP(Allocation[[#This Row],[SAP Contract number]],Shipments[[SAP Contract number]:[Contracted container weight]],2,FALSE)</f>
        <v>#N/A</v>
      </c>
      <c r="W1509" s="34" t="e">
        <f>VLOOKUP(Allocation[[#This Row],[SAP Contract number]],Shipments[[SAP Contract number]:[AAA Premium USD]],24,FALSE)</f>
        <v>#N/A</v>
      </c>
      <c r="X1509" s="34" t="e">
        <f>VLOOKUP(Allocation[[#This Row],[SAP Contract number]],Shipments[[SAP Contract number]:[RA Premium USD]],25,FALSE)</f>
        <v>#N/A</v>
      </c>
      <c r="Y1509" s="38">
        <f>Allocation[[#This Row],[Quantity Processed]]/Allocation[[#This Row],[Quantity allocated]]</f>
        <v>2.5</v>
      </c>
      <c r="Z1509" s="34" t="b">
        <f>Allocation[[#This Row],[Quantity allocated]]&lt;=Allocation[[#This Row],[Quantity Processed]]</f>
        <v>1</v>
      </c>
    </row>
    <row r="1510" spans="1:26">
      <c r="A1510" s="247" t="s">
        <v>467</v>
      </c>
      <c r="B1510" s="210" t="s">
        <v>68</v>
      </c>
      <c r="C1510" s="254" t="s">
        <v>1792</v>
      </c>
      <c r="D1510" s="255">
        <v>5294</v>
      </c>
      <c r="E1510" s="211" t="s">
        <v>1890</v>
      </c>
      <c r="F1510" s="212">
        <v>43587</v>
      </c>
      <c r="G1510" s="213">
        <v>2.91</v>
      </c>
      <c r="H1510" s="256">
        <v>1747</v>
      </c>
      <c r="I1510" s="214">
        <v>1453738</v>
      </c>
      <c r="J1510" s="215">
        <v>19175</v>
      </c>
      <c r="K1510" s="212">
        <v>43595</v>
      </c>
      <c r="L1510" s="211" t="s">
        <v>1895</v>
      </c>
      <c r="M1510" s="216">
        <v>4615506885</v>
      </c>
      <c r="N1510" s="212">
        <v>43614</v>
      </c>
      <c r="O1510" s="217">
        <v>3.9746999999999999</v>
      </c>
      <c r="P1510" s="219"/>
      <c r="Q1510" s="34">
        <f>SUMIF(Allocation[Delivery ID],Allocation[[#This Row],[Delivery ID]],Allocation[Quantity Processed])</f>
        <v>14200</v>
      </c>
      <c r="R1510" s="61">
        <f>Allocation[[#This Row],[Total volume used]]/VLOOKUP(Allocation[[#This Row],[Delivery ID]],Delivery[[Delivery ID]:[Quantity delivered]],3,FALSE)</f>
        <v>0.45850823377462058</v>
      </c>
      <c r="S1510" s="34">
        <f>Allocation[[#This Row],[Quantity Processed]]/Allocation[[#This Row],[Dilution rate]]</f>
        <v>1819.2439862542954</v>
      </c>
      <c r="T1510" s="59">
        <f>SUMIF(Allocation[Delivery ID],Allocation[[#This Row],[Delivery ID]],Allocation[Quantity allocated])/SUMIF(Allocation[Delivery ID],Allocation[[#This Row],[Delivery ID]],Allocation[Volume available (kg)])</f>
        <v>0.96030000000000004</v>
      </c>
      <c r="U1510" s="61">
        <f>Allocation[[#This Row],[Total volume used]]/VLOOKUP(Allocation[[#This Row],[Delivery ID]],Delivery[[Delivery ID]:[Quantity delivered]],3,FALSE)</f>
        <v>0.45850823377462058</v>
      </c>
      <c r="V1510" s="34" t="e">
        <f>VLOOKUP(Allocation[[#This Row],[SAP Contract number]],Shipments[[SAP Contract number]:[Contracted container weight]],2,FALSE)</f>
        <v>#N/A</v>
      </c>
      <c r="W1510" s="34" t="e">
        <f>VLOOKUP(Allocation[[#This Row],[SAP Contract number]],Shipments[[SAP Contract number]:[AAA Premium USD]],24,FALSE)</f>
        <v>#N/A</v>
      </c>
      <c r="X1510" s="34" t="e">
        <f>VLOOKUP(Allocation[[#This Row],[SAP Contract number]],Shipments[[SAP Contract number]:[RA Premium USD]],25,FALSE)</f>
        <v>#N/A</v>
      </c>
      <c r="Y1510" s="38">
        <f>Allocation[[#This Row],[Quantity Processed]]/Allocation[[#This Row],[Quantity allocated]]</f>
        <v>3.0303377218088152</v>
      </c>
      <c r="Z1510" s="34" t="b">
        <f>Allocation[[#This Row],[Quantity allocated]]&lt;=Allocation[[#This Row],[Quantity Processed]]</f>
        <v>1</v>
      </c>
    </row>
    <row r="1511" spans="1:26">
      <c r="A1511" s="247" t="s">
        <v>467</v>
      </c>
      <c r="B1511" s="210" t="s">
        <v>68</v>
      </c>
      <c r="C1511" s="254" t="s">
        <v>1792</v>
      </c>
      <c r="D1511" s="255">
        <v>8906</v>
      </c>
      <c r="E1511" s="211" t="s">
        <v>1890</v>
      </c>
      <c r="F1511" s="212">
        <v>43587</v>
      </c>
      <c r="G1511" s="213">
        <v>2.91</v>
      </c>
      <c r="H1511" s="256">
        <v>2939</v>
      </c>
      <c r="I1511" s="214">
        <v>1453739</v>
      </c>
      <c r="J1511" s="215">
        <v>19175</v>
      </c>
      <c r="K1511" s="212">
        <v>43595</v>
      </c>
      <c r="L1511" s="211" t="s">
        <v>1896</v>
      </c>
      <c r="M1511" s="216">
        <v>4615506885</v>
      </c>
      <c r="N1511" s="212">
        <v>43614</v>
      </c>
      <c r="O1511" s="217">
        <v>3.9746999999999999</v>
      </c>
      <c r="P1511" s="219"/>
      <c r="Q1511" s="34">
        <f>SUMIF(Allocation[Delivery ID],Allocation[[#This Row],[Delivery ID]],Allocation[Quantity Processed])</f>
        <v>14200</v>
      </c>
      <c r="R1511" s="61">
        <f>Allocation[[#This Row],[Total volume used]]/VLOOKUP(Allocation[[#This Row],[Delivery ID]],Delivery[[Delivery ID]:[Quantity delivered]],3,FALSE)</f>
        <v>0.45850823377462058</v>
      </c>
      <c r="S1511" s="34">
        <f>Allocation[[#This Row],[Quantity Processed]]/Allocation[[#This Row],[Dilution rate]]</f>
        <v>3060.4810996563574</v>
      </c>
      <c r="T1511" s="59">
        <f>SUMIF(Allocation[Delivery ID],Allocation[[#This Row],[Delivery ID]],Allocation[Quantity allocated])/SUMIF(Allocation[Delivery ID],Allocation[[#This Row],[Delivery ID]],Allocation[Volume available (kg)])</f>
        <v>0.96030000000000004</v>
      </c>
      <c r="U1511" s="61">
        <f>Allocation[[#This Row],[Total volume used]]/VLOOKUP(Allocation[[#This Row],[Delivery ID]],Delivery[[Delivery ID]:[Quantity delivered]],3,FALSE)</f>
        <v>0.45850823377462058</v>
      </c>
      <c r="V1511" s="34" t="e">
        <f>VLOOKUP(Allocation[[#This Row],[SAP Contract number]],Shipments[[SAP Contract number]:[Contracted container weight]],2,FALSE)</f>
        <v>#N/A</v>
      </c>
      <c r="W1511" s="34" t="e">
        <f>VLOOKUP(Allocation[[#This Row],[SAP Contract number]],Shipments[[SAP Contract number]:[AAA Premium USD]],24,FALSE)</f>
        <v>#N/A</v>
      </c>
      <c r="X1511" s="34" t="e">
        <f>VLOOKUP(Allocation[[#This Row],[SAP Contract number]],Shipments[[SAP Contract number]:[RA Premium USD]],25,FALSE)</f>
        <v>#N/A</v>
      </c>
      <c r="Y1511" s="38">
        <f>Allocation[[#This Row],[Quantity Processed]]/Allocation[[#This Row],[Quantity allocated]]</f>
        <v>3.030282408982647</v>
      </c>
      <c r="Z1511" s="34" t="b">
        <f>Allocation[[#This Row],[Quantity allocated]]&lt;=Allocation[[#This Row],[Quantity Processed]]</f>
        <v>1</v>
      </c>
    </row>
    <row r="1512" spans="1:26">
      <c r="A1512" s="247" t="s">
        <v>467</v>
      </c>
      <c r="B1512" s="210" t="s">
        <v>68</v>
      </c>
      <c r="C1512" s="254" t="s">
        <v>1793</v>
      </c>
      <c r="D1512" s="255">
        <v>13730</v>
      </c>
      <c r="E1512" s="211" t="s">
        <v>1890</v>
      </c>
      <c r="F1512" s="212">
        <v>43587</v>
      </c>
      <c r="G1512" s="213">
        <v>2.91</v>
      </c>
      <c r="H1512" s="256">
        <v>4531</v>
      </c>
      <c r="I1512" s="214">
        <v>1453739</v>
      </c>
      <c r="J1512" s="215">
        <v>19175</v>
      </c>
      <c r="K1512" s="212">
        <v>43595</v>
      </c>
      <c r="L1512" s="211" t="s">
        <v>1896</v>
      </c>
      <c r="M1512" s="216">
        <v>4615506885</v>
      </c>
      <c r="N1512" s="212">
        <v>43614</v>
      </c>
      <c r="O1512" s="217">
        <v>3.9746999999999999</v>
      </c>
      <c r="P1512" s="219"/>
      <c r="Q1512" s="34">
        <f>SUMIF(Allocation[Delivery ID],Allocation[[#This Row],[Delivery ID]],Allocation[Quantity Processed])</f>
        <v>13730</v>
      </c>
      <c r="R1512" s="61">
        <f>Allocation[[#This Row],[Total volume used]]/VLOOKUP(Allocation[[#This Row],[Delivery ID]],Delivery[[Delivery ID]:[Quantity delivered]],3,FALSE)</f>
        <v>0.44361873990306949</v>
      </c>
      <c r="S1512" s="34">
        <f>Allocation[[#This Row],[Quantity Processed]]/Allocation[[#This Row],[Dilution rate]]</f>
        <v>4718.2130584192437</v>
      </c>
      <c r="T1512" s="59">
        <f>SUMIF(Allocation[Delivery ID],Allocation[[#This Row],[Delivery ID]],Allocation[Quantity allocated])/SUMIF(Allocation[Delivery ID],Allocation[[#This Row],[Delivery ID]],Allocation[Volume available (kg)])</f>
        <v>0.96032119446467601</v>
      </c>
      <c r="U1512" s="61">
        <f>Allocation[[#This Row],[Total volume used]]/VLOOKUP(Allocation[[#This Row],[Delivery ID]],Delivery[[Delivery ID]:[Quantity delivered]],3,FALSE)</f>
        <v>0.44361873990306949</v>
      </c>
      <c r="V1512" s="34" t="e">
        <f>VLOOKUP(Allocation[[#This Row],[SAP Contract number]],Shipments[[SAP Contract number]:[Contracted container weight]],2,FALSE)</f>
        <v>#N/A</v>
      </c>
      <c r="W1512" s="34" t="e">
        <f>VLOOKUP(Allocation[[#This Row],[SAP Contract number]],Shipments[[SAP Contract number]:[AAA Premium USD]],24,FALSE)</f>
        <v>#N/A</v>
      </c>
      <c r="X1512" s="34" t="e">
        <f>VLOOKUP(Allocation[[#This Row],[SAP Contract number]],Shipments[[SAP Contract number]:[RA Premium USD]],25,FALSE)</f>
        <v>#N/A</v>
      </c>
      <c r="Y1512" s="38">
        <f>Allocation[[#This Row],[Quantity Processed]]/Allocation[[#This Row],[Quantity allocated]]</f>
        <v>3.0302361509600528</v>
      </c>
      <c r="Z1512" s="34" t="b">
        <f>Allocation[[#This Row],[Quantity allocated]]&lt;=Allocation[[#This Row],[Quantity Processed]]</f>
        <v>1</v>
      </c>
    </row>
    <row r="1513" spans="1:26">
      <c r="A1513" s="247" t="s">
        <v>467</v>
      </c>
      <c r="B1513" s="210" t="s">
        <v>68</v>
      </c>
      <c r="C1513" s="254" t="s">
        <v>1794</v>
      </c>
      <c r="D1513" s="255">
        <v>13748</v>
      </c>
      <c r="E1513" s="211" t="s">
        <v>1890</v>
      </c>
      <c r="F1513" s="212">
        <v>43587</v>
      </c>
      <c r="G1513" s="213">
        <v>2.91</v>
      </c>
      <c r="H1513" s="256">
        <v>4537</v>
      </c>
      <c r="I1513" s="214">
        <v>1453739</v>
      </c>
      <c r="J1513" s="215">
        <v>19175</v>
      </c>
      <c r="K1513" s="212">
        <v>43595</v>
      </c>
      <c r="L1513" s="211" t="s">
        <v>1896</v>
      </c>
      <c r="M1513" s="216">
        <v>4615506885</v>
      </c>
      <c r="N1513" s="212">
        <v>43614</v>
      </c>
      <c r="O1513" s="217">
        <v>3.9746999999999999</v>
      </c>
      <c r="P1513" s="219"/>
      <c r="Q1513" s="34">
        <f>SUMIF(Allocation[Delivery ID],Allocation[[#This Row],[Delivery ID]],Allocation[Quantity Processed])</f>
        <v>13748</v>
      </c>
      <c r="R1513" s="61">
        <f>Allocation[[#This Row],[Total volume used]]/VLOOKUP(Allocation[[#This Row],[Delivery ID]],Delivery[[Delivery ID]:[Quantity delivered]],3,FALSE)</f>
        <v>0.44362697644401422</v>
      </c>
      <c r="S1513" s="34">
        <f>Allocation[[#This Row],[Quantity Processed]]/Allocation[[#This Row],[Dilution rate]]</f>
        <v>4724.3986254295532</v>
      </c>
      <c r="T1513" s="59">
        <f>SUMIF(Allocation[Delivery ID],Allocation[[#This Row],[Delivery ID]],Allocation[Quantity allocated])/SUMIF(Allocation[Delivery ID],Allocation[[#This Row],[Delivery ID]],Allocation[Volume available (kg)])</f>
        <v>0.96033386674425369</v>
      </c>
      <c r="U1513" s="61">
        <f>Allocation[[#This Row],[Total volume used]]/VLOOKUP(Allocation[[#This Row],[Delivery ID]],Delivery[[Delivery ID]:[Quantity delivered]],3,FALSE)</f>
        <v>0.44362697644401422</v>
      </c>
      <c r="V1513" s="34" t="e">
        <f>VLOOKUP(Allocation[[#This Row],[SAP Contract number]],Shipments[[SAP Contract number]:[Contracted container weight]],2,FALSE)</f>
        <v>#N/A</v>
      </c>
      <c r="W1513" s="34" t="e">
        <f>VLOOKUP(Allocation[[#This Row],[SAP Contract number]],Shipments[[SAP Contract number]:[AAA Premium USD]],24,FALSE)</f>
        <v>#N/A</v>
      </c>
      <c r="X1513" s="34" t="e">
        <f>VLOOKUP(Allocation[[#This Row],[SAP Contract number]],Shipments[[SAP Contract number]:[RA Premium USD]],25,FALSE)</f>
        <v>#N/A</v>
      </c>
      <c r="Y1513" s="38">
        <f>Allocation[[#This Row],[Quantity Processed]]/Allocation[[#This Row],[Quantity allocated]]</f>
        <v>3.030196164866652</v>
      </c>
      <c r="Z1513" s="34" t="b">
        <f>Allocation[[#This Row],[Quantity allocated]]&lt;=Allocation[[#This Row],[Quantity Processed]]</f>
        <v>1</v>
      </c>
    </row>
    <row r="1514" spans="1:26">
      <c r="A1514" s="247" t="s">
        <v>467</v>
      </c>
      <c r="B1514" s="210" t="s">
        <v>68</v>
      </c>
      <c r="C1514" s="254" t="s">
        <v>1795</v>
      </c>
      <c r="D1514" s="255">
        <v>14209</v>
      </c>
      <c r="E1514" s="211" t="s">
        <v>1890</v>
      </c>
      <c r="F1514" s="212">
        <v>43587</v>
      </c>
      <c r="G1514" s="213">
        <v>2.91</v>
      </c>
      <c r="H1514" s="256">
        <v>4689</v>
      </c>
      <c r="I1514" s="214">
        <v>1453739</v>
      </c>
      <c r="J1514" s="215">
        <v>19175</v>
      </c>
      <c r="K1514" s="212">
        <v>43595</v>
      </c>
      <c r="L1514" s="211" t="s">
        <v>1896</v>
      </c>
      <c r="M1514" s="216">
        <v>4615506885</v>
      </c>
      <c r="N1514" s="212">
        <v>43614</v>
      </c>
      <c r="O1514" s="217">
        <v>3.9746999999999999</v>
      </c>
      <c r="P1514" s="219"/>
      <c r="Q1514" s="34">
        <f>SUMIF(Allocation[Delivery ID],Allocation[[#This Row],[Delivery ID]],Allocation[Quantity Processed])</f>
        <v>14209</v>
      </c>
      <c r="R1514" s="61">
        <f>Allocation[[#This Row],[Total volume used]]/VLOOKUP(Allocation[[#This Row],[Delivery ID]],Delivery[[Delivery ID]:[Quantity delivered]],3,FALSE)</f>
        <v>0.4585027428202646</v>
      </c>
      <c r="S1514" s="34">
        <f>Allocation[[#This Row],[Quantity Processed]]/Allocation[[#This Row],[Dilution rate]]</f>
        <v>4882.8178694158078</v>
      </c>
      <c r="T1514" s="59">
        <f>SUMIF(Allocation[Delivery ID],Allocation[[#This Row],[Delivery ID]],Allocation[Quantity allocated])/SUMIF(Allocation[Delivery ID],Allocation[[#This Row],[Delivery ID]],Allocation[Volume available (kg)])</f>
        <v>0.96030614399324365</v>
      </c>
      <c r="U1514" s="61">
        <f>Allocation[[#This Row],[Total volume used]]/VLOOKUP(Allocation[[#This Row],[Delivery ID]],Delivery[[Delivery ID]:[Quantity delivered]],3,FALSE)</f>
        <v>0.4585027428202646</v>
      </c>
      <c r="V1514" s="34" t="e">
        <f>VLOOKUP(Allocation[[#This Row],[SAP Contract number]],Shipments[[SAP Contract number]:[Contracted container weight]],2,FALSE)</f>
        <v>#N/A</v>
      </c>
      <c r="W1514" s="34" t="e">
        <f>VLOOKUP(Allocation[[#This Row],[SAP Contract number]],Shipments[[SAP Contract number]:[AAA Premium USD]],24,FALSE)</f>
        <v>#N/A</v>
      </c>
      <c r="X1514" s="34" t="e">
        <f>VLOOKUP(Allocation[[#This Row],[SAP Contract number]],Shipments[[SAP Contract number]:[RA Premium USD]],25,FALSE)</f>
        <v>#N/A</v>
      </c>
      <c r="Y1514" s="38">
        <f>Allocation[[#This Row],[Quantity Processed]]/Allocation[[#This Row],[Quantity allocated]]</f>
        <v>3.0302836425677118</v>
      </c>
      <c r="Z1514" s="34" t="b">
        <f>Allocation[[#This Row],[Quantity allocated]]&lt;=Allocation[[#This Row],[Quantity Processed]]</f>
        <v>1</v>
      </c>
    </row>
    <row r="1515" spans="1:26">
      <c r="A1515" s="247" t="s">
        <v>467</v>
      </c>
      <c r="B1515" s="210" t="s">
        <v>68</v>
      </c>
      <c r="C1515" s="254" t="s">
        <v>1803</v>
      </c>
      <c r="D1515" s="255">
        <v>276</v>
      </c>
      <c r="E1515" s="211" t="s">
        <v>1890</v>
      </c>
      <c r="F1515" s="212">
        <v>43587</v>
      </c>
      <c r="G1515" s="213">
        <v>2.91</v>
      </c>
      <c r="H1515" s="256">
        <v>91</v>
      </c>
      <c r="I1515" s="214">
        <v>1453739</v>
      </c>
      <c r="J1515" s="215">
        <v>19175</v>
      </c>
      <c r="K1515" s="212">
        <v>43595</v>
      </c>
      <c r="L1515" s="211" t="s">
        <v>1896</v>
      </c>
      <c r="M1515" s="216">
        <v>4615506885</v>
      </c>
      <c r="N1515" s="212">
        <v>43614</v>
      </c>
      <c r="O1515" s="217">
        <v>3.9746999999999999</v>
      </c>
      <c r="P1515" s="219"/>
      <c r="Q1515" s="34">
        <f>SUMIF(Allocation[Delivery ID],Allocation[[#This Row],[Delivery ID]],Allocation[Quantity Processed])</f>
        <v>276</v>
      </c>
      <c r="R1515" s="61">
        <f>Allocation[[#This Row],[Total volume used]]/VLOOKUP(Allocation[[#This Row],[Delivery ID]],Delivery[[Delivery ID]:[Quantity delivered]],3,FALSE)</f>
        <v>0.45923460898502494</v>
      </c>
      <c r="S1515" s="34">
        <f>Allocation[[#This Row],[Quantity Processed]]/Allocation[[#This Row],[Dilution rate]]</f>
        <v>94.845360824742258</v>
      </c>
      <c r="T1515" s="59">
        <f>SUMIF(Allocation[Delivery ID],Allocation[[#This Row],[Delivery ID]],Allocation[Quantity allocated])/SUMIF(Allocation[Delivery ID],Allocation[[#This Row],[Delivery ID]],Allocation[Volume available (kg)])</f>
        <v>0.95945652173913054</v>
      </c>
      <c r="U1515" s="61">
        <f>Allocation[[#This Row],[Total volume used]]/VLOOKUP(Allocation[[#This Row],[Delivery ID]],Delivery[[Delivery ID]:[Quantity delivered]],3,FALSE)</f>
        <v>0.45923460898502494</v>
      </c>
      <c r="V1515" s="34" t="e">
        <f>VLOOKUP(Allocation[[#This Row],[SAP Contract number]],Shipments[[SAP Contract number]:[Contracted container weight]],2,FALSE)</f>
        <v>#N/A</v>
      </c>
      <c r="W1515" s="34" t="e">
        <f>VLOOKUP(Allocation[[#This Row],[SAP Contract number]],Shipments[[SAP Contract number]:[AAA Premium USD]],24,FALSE)</f>
        <v>#N/A</v>
      </c>
      <c r="X1515" s="34" t="e">
        <f>VLOOKUP(Allocation[[#This Row],[SAP Contract number]],Shipments[[SAP Contract number]:[RA Premium USD]],25,FALSE)</f>
        <v>#N/A</v>
      </c>
      <c r="Y1515" s="38">
        <f>Allocation[[#This Row],[Quantity Processed]]/Allocation[[#This Row],[Quantity allocated]]</f>
        <v>3.0329670329670328</v>
      </c>
      <c r="Z1515" s="34" t="b">
        <f>Allocation[[#This Row],[Quantity allocated]]&lt;=Allocation[[#This Row],[Quantity Processed]]</f>
        <v>1</v>
      </c>
    </row>
    <row r="1516" spans="1:26">
      <c r="A1516" s="247" t="s">
        <v>467</v>
      </c>
      <c r="B1516" s="210" t="s">
        <v>68</v>
      </c>
      <c r="C1516" s="254" t="s">
        <v>1804</v>
      </c>
      <c r="D1516" s="255">
        <v>7237</v>
      </c>
      <c r="E1516" s="211" t="s">
        <v>1890</v>
      </c>
      <c r="F1516" s="212">
        <v>43587</v>
      </c>
      <c r="G1516" s="213">
        <v>2.91</v>
      </c>
      <c r="H1516" s="256">
        <v>2388</v>
      </c>
      <c r="I1516" s="214">
        <v>1453739</v>
      </c>
      <c r="J1516" s="215">
        <v>19175</v>
      </c>
      <c r="K1516" s="212">
        <v>43595</v>
      </c>
      <c r="L1516" s="211" t="s">
        <v>1896</v>
      </c>
      <c r="M1516" s="216">
        <v>4615506885</v>
      </c>
      <c r="N1516" s="212">
        <v>43614</v>
      </c>
      <c r="O1516" s="217">
        <v>3.9746999999999999</v>
      </c>
      <c r="P1516" s="219"/>
      <c r="Q1516" s="34">
        <f>SUMIF(Allocation[Delivery ID],Allocation[[#This Row],[Delivery ID]],Allocation[Quantity Processed])</f>
        <v>23052</v>
      </c>
      <c r="R1516" s="61">
        <f>Allocation[[#This Row],[Total volume used]]/VLOOKUP(Allocation[[#This Row],[Delivery ID]],Delivery[[Delivery ID]:[Quantity delivered]],3,FALSE)</f>
        <v>0.75940109700054359</v>
      </c>
      <c r="S1516" s="34">
        <f>Allocation[[#This Row],[Quantity Processed]]/Allocation[[#This Row],[Dilution rate]]</f>
        <v>2486.9415807560135</v>
      </c>
      <c r="T1516" s="59">
        <f>SUMIF(Allocation[Delivery ID],Allocation[[#This Row],[Delivery ID]],Allocation[Quantity allocated])/SUMIF(Allocation[Delivery ID],Allocation[[#This Row],[Delivery ID]],Allocation[Volume available (kg)])</f>
        <v>0.96027980218636133</v>
      </c>
      <c r="U1516" s="61">
        <f>Allocation[[#This Row],[Total volume used]]/VLOOKUP(Allocation[[#This Row],[Delivery ID]],Delivery[[Delivery ID]:[Quantity delivered]],3,FALSE)</f>
        <v>0.75940109700054359</v>
      </c>
      <c r="V1516" s="34" t="e">
        <f>VLOOKUP(Allocation[[#This Row],[SAP Contract number]],Shipments[[SAP Contract number]:[Contracted container weight]],2,FALSE)</f>
        <v>#N/A</v>
      </c>
      <c r="W1516" s="34" t="e">
        <f>VLOOKUP(Allocation[[#This Row],[SAP Contract number]],Shipments[[SAP Contract number]:[AAA Premium USD]],24,FALSE)</f>
        <v>#N/A</v>
      </c>
      <c r="X1516" s="34" t="e">
        <f>VLOOKUP(Allocation[[#This Row],[SAP Contract number]],Shipments[[SAP Contract number]:[RA Premium USD]],25,FALSE)</f>
        <v>#N/A</v>
      </c>
      <c r="Y1516" s="38">
        <f>Allocation[[#This Row],[Quantity Processed]]/Allocation[[#This Row],[Quantity allocated]]</f>
        <v>3.0305695142378561</v>
      </c>
      <c r="Z1516" s="34" t="b">
        <f>Allocation[[#This Row],[Quantity allocated]]&lt;=Allocation[[#This Row],[Quantity Processed]]</f>
        <v>1</v>
      </c>
    </row>
    <row r="1517" spans="1:26">
      <c r="A1517" s="247" t="s">
        <v>467</v>
      </c>
      <c r="B1517" s="210" t="s">
        <v>68</v>
      </c>
      <c r="C1517" s="254" t="s">
        <v>1804</v>
      </c>
      <c r="D1517" s="255">
        <v>15815</v>
      </c>
      <c r="E1517" s="211" t="s">
        <v>1890</v>
      </c>
      <c r="F1517" s="212">
        <v>43587</v>
      </c>
      <c r="G1517" s="213">
        <v>2.91</v>
      </c>
      <c r="H1517" s="256">
        <v>5219</v>
      </c>
      <c r="I1517" s="214">
        <v>1453740</v>
      </c>
      <c r="J1517" s="215">
        <v>19175</v>
      </c>
      <c r="K1517" s="212">
        <v>43595</v>
      </c>
      <c r="L1517" s="211" t="s">
        <v>1897</v>
      </c>
      <c r="M1517" s="216">
        <v>4615506885</v>
      </c>
      <c r="N1517" s="212">
        <v>43614</v>
      </c>
      <c r="O1517" s="217">
        <v>3.9746999999999999</v>
      </c>
      <c r="P1517" s="219"/>
      <c r="Q1517" s="34">
        <f>SUMIF(Allocation[Delivery ID],Allocation[[#This Row],[Delivery ID]],Allocation[Quantity Processed])</f>
        <v>23052</v>
      </c>
      <c r="R1517" s="61">
        <f>Allocation[[#This Row],[Total volume used]]/VLOOKUP(Allocation[[#This Row],[Delivery ID]],Delivery[[Delivery ID]:[Quantity delivered]],3,FALSE)</f>
        <v>0.75940109700054359</v>
      </c>
      <c r="S1517" s="34">
        <f>Allocation[[#This Row],[Quantity Processed]]/Allocation[[#This Row],[Dilution rate]]</f>
        <v>5434.7079037800686</v>
      </c>
      <c r="T1517" s="59">
        <f>SUMIF(Allocation[Delivery ID],Allocation[[#This Row],[Delivery ID]],Allocation[Quantity allocated])/SUMIF(Allocation[Delivery ID],Allocation[[#This Row],[Delivery ID]],Allocation[Volume available (kg)])</f>
        <v>0.96027980218636133</v>
      </c>
      <c r="U1517" s="61">
        <f>Allocation[[#This Row],[Total volume used]]/VLOOKUP(Allocation[[#This Row],[Delivery ID]],Delivery[[Delivery ID]:[Quantity delivered]],3,FALSE)</f>
        <v>0.75940109700054359</v>
      </c>
      <c r="V1517" s="34" t="e">
        <f>VLOOKUP(Allocation[[#This Row],[SAP Contract number]],Shipments[[SAP Contract number]:[Contracted container weight]],2,FALSE)</f>
        <v>#N/A</v>
      </c>
      <c r="W1517" s="34" t="e">
        <f>VLOOKUP(Allocation[[#This Row],[SAP Contract number]],Shipments[[SAP Contract number]:[AAA Premium USD]],24,FALSE)</f>
        <v>#N/A</v>
      </c>
      <c r="X1517" s="34" t="e">
        <f>VLOOKUP(Allocation[[#This Row],[SAP Contract number]],Shipments[[SAP Contract number]:[RA Premium USD]],25,FALSE)</f>
        <v>#N/A</v>
      </c>
      <c r="Y1517" s="38">
        <f>Allocation[[#This Row],[Quantity Processed]]/Allocation[[#This Row],[Quantity allocated]]</f>
        <v>3.0302739988503546</v>
      </c>
      <c r="Z1517" s="34" t="b">
        <f>Allocation[[#This Row],[Quantity allocated]]&lt;=Allocation[[#This Row],[Quantity Processed]]</f>
        <v>1</v>
      </c>
    </row>
    <row r="1518" spans="1:26">
      <c r="A1518" s="247" t="s">
        <v>467</v>
      </c>
      <c r="B1518" s="210" t="s">
        <v>68</v>
      </c>
      <c r="C1518" s="254" t="s">
        <v>1807</v>
      </c>
      <c r="D1518" s="255">
        <v>2973</v>
      </c>
      <c r="E1518" s="211" t="s">
        <v>1890</v>
      </c>
      <c r="F1518" s="212">
        <v>43587</v>
      </c>
      <c r="G1518" s="213">
        <v>2.91</v>
      </c>
      <c r="H1518" s="256">
        <v>981</v>
      </c>
      <c r="I1518" s="214">
        <v>1453740</v>
      </c>
      <c r="J1518" s="215">
        <v>19175</v>
      </c>
      <c r="K1518" s="212">
        <v>43595</v>
      </c>
      <c r="L1518" s="211" t="s">
        <v>1897</v>
      </c>
      <c r="M1518" s="216">
        <v>4615506885</v>
      </c>
      <c r="N1518" s="212">
        <v>43614</v>
      </c>
      <c r="O1518" s="217">
        <v>3.9746999999999999</v>
      </c>
      <c r="P1518" s="219"/>
      <c r="Q1518" s="34">
        <f>SUMIF(Allocation[Delivery ID],Allocation[[#This Row],[Delivery ID]],Allocation[Quantity Processed])</f>
        <v>2973</v>
      </c>
      <c r="R1518" s="61">
        <f>Allocation[[#This Row],[Total volume used]]/VLOOKUP(Allocation[[#This Row],[Delivery ID]],Delivery[[Delivery ID]:[Quantity delivered]],3,FALSE)</f>
        <v>0.45865473619253316</v>
      </c>
      <c r="S1518" s="34">
        <f>Allocation[[#This Row],[Quantity Processed]]/Allocation[[#This Row],[Dilution rate]]</f>
        <v>1021.6494845360825</v>
      </c>
      <c r="T1518" s="59">
        <f>SUMIF(Allocation[Delivery ID],Allocation[[#This Row],[Delivery ID]],Allocation[Quantity allocated])/SUMIF(Allocation[Delivery ID],Allocation[[#This Row],[Delivery ID]],Allocation[Volume available (kg)])</f>
        <v>0.96021190716448035</v>
      </c>
      <c r="U1518" s="61">
        <f>Allocation[[#This Row],[Total volume used]]/VLOOKUP(Allocation[[#This Row],[Delivery ID]],Delivery[[Delivery ID]:[Quantity delivered]],3,FALSE)</f>
        <v>0.45865473619253316</v>
      </c>
      <c r="V1518" s="34" t="e">
        <f>VLOOKUP(Allocation[[#This Row],[SAP Contract number]],Shipments[[SAP Contract number]:[Contracted container weight]],2,FALSE)</f>
        <v>#N/A</v>
      </c>
      <c r="W1518" s="34" t="e">
        <f>VLOOKUP(Allocation[[#This Row],[SAP Contract number]],Shipments[[SAP Contract number]:[AAA Premium USD]],24,FALSE)</f>
        <v>#N/A</v>
      </c>
      <c r="X1518" s="34" t="e">
        <f>VLOOKUP(Allocation[[#This Row],[SAP Contract number]],Shipments[[SAP Contract number]:[RA Premium USD]],25,FALSE)</f>
        <v>#N/A</v>
      </c>
      <c r="Y1518" s="38">
        <f>Allocation[[#This Row],[Quantity Processed]]/Allocation[[#This Row],[Quantity allocated]]</f>
        <v>3.0305810397553516</v>
      </c>
      <c r="Z1518" s="34" t="b">
        <f>Allocation[[#This Row],[Quantity allocated]]&lt;=Allocation[[#This Row],[Quantity Processed]]</f>
        <v>1</v>
      </c>
    </row>
    <row r="1519" spans="1:26">
      <c r="A1519" s="247" t="s">
        <v>467</v>
      </c>
      <c r="B1519" s="210" t="s">
        <v>68</v>
      </c>
      <c r="C1519" s="254" t="s">
        <v>1810</v>
      </c>
      <c r="D1519" s="255">
        <v>1455</v>
      </c>
      <c r="E1519" s="211" t="s">
        <v>1890</v>
      </c>
      <c r="F1519" s="212">
        <v>43587</v>
      </c>
      <c r="G1519" s="213">
        <v>2.91</v>
      </c>
      <c r="H1519" s="256">
        <v>480</v>
      </c>
      <c r="I1519" s="214">
        <v>1453740</v>
      </c>
      <c r="J1519" s="215">
        <v>19175</v>
      </c>
      <c r="K1519" s="212">
        <v>43595</v>
      </c>
      <c r="L1519" s="211" t="s">
        <v>1897</v>
      </c>
      <c r="M1519" s="216">
        <v>4615506885</v>
      </c>
      <c r="N1519" s="212">
        <v>43614</v>
      </c>
      <c r="O1519" s="217">
        <v>3.9746999999999999</v>
      </c>
      <c r="P1519" s="219"/>
      <c r="Q1519" s="34">
        <f>SUMIF(Allocation[Delivery ID],Allocation[[#This Row],[Delivery ID]],Allocation[Quantity Processed])</f>
        <v>1455</v>
      </c>
      <c r="R1519" s="61">
        <f>Allocation[[#This Row],[Total volume used]]/VLOOKUP(Allocation[[#This Row],[Delivery ID]],Delivery[[Delivery ID]:[Quantity delivered]],3,FALSE)</f>
        <v>0.45826771653543308</v>
      </c>
      <c r="S1519" s="34">
        <f>Allocation[[#This Row],[Quantity Processed]]/Allocation[[#This Row],[Dilution rate]]</f>
        <v>500</v>
      </c>
      <c r="T1519" s="59">
        <f>SUMIF(Allocation[Delivery ID],Allocation[[#This Row],[Delivery ID]],Allocation[Quantity allocated])/SUMIF(Allocation[Delivery ID],Allocation[[#This Row],[Delivery ID]],Allocation[Volume available (kg)])</f>
        <v>0.96</v>
      </c>
      <c r="U1519" s="61">
        <f>Allocation[[#This Row],[Total volume used]]/VLOOKUP(Allocation[[#This Row],[Delivery ID]],Delivery[[Delivery ID]:[Quantity delivered]],3,FALSE)</f>
        <v>0.45826771653543308</v>
      </c>
      <c r="V1519" s="34" t="e">
        <f>VLOOKUP(Allocation[[#This Row],[SAP Contract number]],Shipments[[SAP Contract number]:[Contracted container weight]],2,FALSE)</f>
        <v>#N/A</v>
      </c>
      <c r="W1519" s="34" t="e">
        <f>VLOOKUP(Allocation[[#This Row],[SAP Contract number]],Shipments[[SAP Contract number]:[AAA Premium USD]],24,FALSE)</f>
        <v>#N/A</v>
      </c>
      <c r="X1519" s="34" t="e">
        <f>VLOOKUP(Allocation[[#This Row],[SAP Contract number]],Shipments[[SAP Contract number]:[RA Premium USD]],25,FALSE)</f>
        <v>#N/A</v>
      </c>
      <c r="Y1519" s="38">
        <f>Allocation[[#This Row],[Quantity Processed]]/Allocation[[#This Row],[Quantity allocated]]</f>
        <v>3.03125</v>
      </c>
      <c r="Z1519" s="34" t="b">
        <f>Allocation[[#This Row],[Quantity allocated]]&lt;=Allocation[[#This Row],[Quantity Processed]]</f>
        <v>1</v>
      </c>
    </row>
    <row r="1520" spans="1:26">
      <c r="A1520" s="247" t="s">
        <v>467</v>
      </c>
      <c r="B1520" s="210" t="s">
        <v>68</v>
      </c>
      <c r="C1520" s="254" t="s">
        <v>1811</v>
      </c>
      <c r="D1520" s="255">
        <v>1318</v>
      </c>
      <c r="E1520" s="211" t="s">
        <v>1890</v>
      </c>
      <c r="F1520" s="212">
        <v>43587</v>
      </c>
      <c r="G1520" s="213">
        <v>2.91</v>
      </c>
      <c r="H1520" s="256">
        <v>435</v>
      </c>
      <c r="I1520" s="214">
        <v>1453740</v>
      </c>
      <c r="J1520" s="215">
        <v>19175</v>
      </c>
      <c r="K1520" s="212">
        <v>43595</v>
      </c>
      <c r="L1520" s="211" t="s">
        <v>1897</v>
      </c>
      <c r="M1520" s="216">
        <v>4615506885</v>
      </c>
      <c r="N1520" s="212">
        <v>43614</v>
      </c>
      <c r="O1520" s="217">
        <v>3.9746999999999999</v>
      </c>
      <c r="P1520" s="219"/>
      <c r="Q1520" s="34">
        <f>SUMIF(Allocation[Delivery ID],Allocation[[#This Row],[Delivery ID]],Allocation[Quantity Processed])</f>
        <v>1318</v>
      </c>
      <c r="R1520" s="61">
        <f>Allocation[[#This Row],[Total volume used]]/VLOOKUP(Allocation[[#This Row],[Delivery ID]],Delivery[[Delivery ID]:[Quantity delivered]],3,FALSE)</f>
        <v>0.45835506868370718</v>
      </c>
      <c r="S1520" s="34">
        <f>Allocation[[#This Row],[Quantity Processed]]/Allocation[[#This Row],[Dilution rate]]</f>
        <v>452.92096219931267</v>
      </c>
      <c r="T1520" s="59">
        <f>SUMIF(Allocation[Delivery ID],Allocation[[#This Row],[Delivery ID]],Allocation[Quantity allocated])/SUMIF(Allocation[Delivery ID],Allocation[[#This Row],[Delivery ID]],Allocation[Volume available (kg)])</f>
        <v>0.96043247344461313</v>
      </c>
      <c r="U1520" s="61">
        <f>Allocation[[#This Row],[Total volume used]]/VLOOKUP(Allocation[[#This Row],[Delivery ID]],Delivery[[Delivery ID]:[Quantity delivered]],3,FALSE)</f>
        <v>0.45835506868370718</v>
      </c>
      <c r="V1520" s="34" t="e">
        <f>VLOOKUP(Allocation[[#This Row],[SAP Contract number]],Shipments[[SAP Contract number]:[Contracted container weight]],2,FALSE)</f>
        <v>#N/A</v>
      </c>
      <c r="W1520" s="34" t="e">
        <f>VLOOKUP(Allocation[[#This Row],[SAP Contract number]],Shipments[[SAP Contract number]:[AAA Premium USD]],24,FALSE)</f>
        <v>#N/A</v>
      </c>
      <c r="X1520" s="34" t="e">
        <f>VLOOKUP(Allocation[[#This Row],[SAP Contract number]],Shipments[[SAP Contract number]:[RA Premium USD]],25,FALSE)</f>
        <v>#N/A</v>
      </c>
      <c r="Y1520" s="38">
        <f>Allocation[[#This Row],[Quantity Processed]]/Allocation[[#This Row],[Quantity allocated]]</f>
        <v>3.0298850574712644</v>
      </c>
      <c r="Z1520" s="34" t="b">
        <f>Allocation[[#This Row],[Quantity allocated]]&lt;=Allocation[[#This Row],[Quantity Processed]]</f>
        <v>1</v>
      </c>
    </row>
    <row r="1521" spans="1:26">
      <c r="A1521" s="247" t="s">
        <v>467</v>
      </c>
      <c r="B1521" s="210" t="s">
        <v>68</v>
      </c>
      <c r="C1521" s="254" t="s">
        <v>1812</v>
      </c>
      <c r="D1521" s="255">
        <v>2555</v>
      </c>
      <c r="E1521" s="211" t="s">
        <v>1890</v>
      </c>
      <c r="F1521" s="212">
        <v>43587</v>
      </c>
      <c r="G1521" s="213">
        <v>2.91</v>
      </c>
      <c r="H1521" s="256">
        <v>843</v>
      </c>
      <c r="I1521" s="214">
        <v>1453740</v>
      </c>
      <c r="J1521" s="215">
        <v>19175</v>
      </c>
      <c r="K1521" s="212">
        <v>43595</v>
      </c>
      <c r="L1521" s="211" t="s">
        <v>1897</v>
      </c>
      <c r="M1521" s="216">
        <v>4615506885</v>
      </c>
      <c r="N1521" s="212">
        <v>43614</v>
      </c>
      <c r="O1521" s="217">
        <v>3.9746999999999999</v>
      </c>
      <c r="P1521" s="219"/>
      <c r="Q1521" s="34">
        <f>SUMIF(Allocation[Delivery ID],Allocation[[#This Row],[Delivery ID]],Allocation[Quantity Processed])</f>
        <v>2555</v>
      </c>
      <c r="R1521" s="61">
        <f>Allocation[[#This Row],[Total volume used]]/VLOOKUP(Allocation[[#This Row],[Delivery ID]],Delivery[[Delivery ID]:[Quantity delivered]],3,FALSE)</f>
        <v>0.45862502243762343</v>
      </c>
      <c r="S1521" s="34">
        <f>Allocation[[#This Row],[Quantity Processed]]/Allocation[[#This Row],[Dilution rate]]</f>
        <v>878.00687285223364</v>
      </c>
      <c r="T1521" s="59">
        <f>SUMIF(Allocation[Delivery ID],Allocation[[#This Row],[Delivery ID]],Allocation[Quantity allocated])/SUMIF(Allocation[Delivery ID],Allocation[[#This Row],[Delivery ID]],Allocation[Volume available (kg)])</f>
        <v>0.96012915851272018</v>
      </c>
      <c r="U1521" s="61">
        <f>Allocation[[#This Row],[Total volume used]]/VLOOKUP(Allocation[[#This Row],[Delivery ID]],Delivery[[Delivery ID]:[Quantity delivered]],3,FALSE)</f>
        <v>0.45862502243762343</v>
      </c>
      <c r="V1521" s="34" t="e">
        <f>VLOOKUP(Allocation[[#This Row],[SAP Contract number]],Shipments[[SAP Contract number]:[Contracted container weight]],2,FALSE)</f>
        <v>#N/A</v>
      </c>
      <c r="W1521" s="34" t="e">
        <f>VLOOKUP(Allocation[[#This Row],[SAP Contract number]],Shipments[[SAP Contract number]:[AAA Premium USD]],24,FALSE)</f>
        <v>#N/A</v>
      </c>
      <c r="X1521" s="34" t="e">
        <f>VLOOKUP(Allocation[[#This Row],[SAP Contract number]],Shipments[[SAP Contract number]:[RA Premium USD]],25,FALSE)</f>
        <v>#N/A</v>
      </c>
      <c r="Y1521" s="38">
        <f>Allocation[[#This Row],[Quantity Processed]]/Allocation[[#This Row],[Quantity allocated]]</f>
        <v>3.0308422301304865</v>
      </c>
      <c r="Z1521" s="34" t="b">
        <f>Allocation[[#This Row],[Quantity allocated]]&lt;=Allocation[[#This Row],[Quantity Processed]]</f>
        <v>1</v>
      </c>
    </row>
    <row r="1522" spans="1:26">
      <c r="A1522" s="247" t="s">
        <v>467</v>
      </c>
      <c r="B1522" s="210" t="s">
        <v>68</v>
      </c>
      <c r="C1522" s="254" t="s">
        <v>1823</v>
      </c>
      <c r="D1522" s="255">
        <v>295</v>
      </c>
      <c r="E1522" s="211" t="s">
        <v>1890</v>
      </c>
      <c r="F1522" s="212">
        <v>43587</v>
      </c>
      <c r="G1522" s="213">
        <v>2.91</v>
      </c>
      <c r="H1522" s="256">
        <v>121</v>
      </c>
      <c r="I1522" s="214">
        <v>1453740</v>
      </c>
      <c r="J1522" s="215">
        <v>19175</v>
      </c>
      <c r="K1522" s="212">
        <v>43595</v>
      </c>
      <c r="L1522" s="211" t="s">
        <v>1897</v>
      </c>
      <c r="M1522" s="216">
        <v>4615506885</v>
      </c>
      <c r="N1522" s="212">
        <v>43614</v>
      </c>
      <c r="O1522" s="217">
        <v>3.9746999999999999</v>
      </c>
      <c r="P1522" s="219"/>
      <c r="Q1522" s="34">
        <f>SUMIF(Allocation[Delivery ID],Allocation[[#This Row],[Delivery ID]],Allocation[Quantity Processed])</f>
        <v>23024</v>
      </c>
      <c r="R1522" s="61">
        <f>Allocation[[#This Row],[Total volume used]]/VLOOKUP(Allocation[[#This Row],[Delivery ID]],Delivery[[Delivery ID]:[Quantity delivered]],3,FALSE)</f>
        <v>0.71039802530083307</v>
      </c>
      <c r="S1522" s="34">
        <f>Allocation[[#This Row],[Quantity Processed]]/Allocation[[#This Row],[Dilution rate]]</f>
        <v>101.37457044673539</v>
      </c>
      <c r="T1522" s="59">
        <f>SUMIF(Allocation[Delivery ID],Allocation[[#This Row],[Delivery ID]],Allocation[Quantity allocated])/SUMIF(Allocation[Delivery ID],Allocation[[#This Row],[Delivery ID]],Allocation[Volume available (kg)])</f>
        <v>1.0902495274098873</v>
      </c>
      <c r="U1522" s="61">
        <f>Allocation[[#This Row],[Total volume used]]/VLOOKUP(Allocation[[#This Row],[Delivery ID]],Delivery[[Delivery ID]:[Quantity delivered]],3,FALSE)</f>
        <v>0.71039802530083307</v>
      </c>
      <c r="V1522" s="34" t="e">
        <f>VLOOKUP(Allocation[[#This Row],[SAP Contract number]],Shipments[[SAP Contract number]:[Contracted container weight]],2,FALSE)</f>
        <v>#N/A</v>
      </c>
      <c r="W1522" s="34" t="e">
        <f>VLOOKUP(Allocation[[#This Row],[SAP Contract number]],Shipments[[SAP Contract number]:[AAA Premium USD]],24,FALSE)</f>
        <v>#N/A</v>
      </c>
      <c r="X1522" s="34" t="e">
        <f>VLOOKUP(Allocation[[#This Row],[SAP Contract number]],Shipments[[SAP Contract number]:[RA Premium USD]],25,FALSE)</f>
        <v>#N/A</v>
      </c>
      <c r="Y1522" s="38">
        <f>Allocation[[#This Row],[Quantity Processed]]/Allocation[[#This Row],[Quantity allocated]]</f>
        <v>2.4380165289256199</v>
      </c>
      <c r="Z1522" s="34" t="b">
        <f>Allocation[[#This Row],[Quantity allocated]]&lt;=Allocation[[#This Row],[Quantity Processed]]</f>
        <v>1</v>
      </c>
    </row>
    <row r="1523" spans="1:26">
      <c r="A1523" s="247" t="s">
        <v>467</v>
      </c>
      <c r="B1523" s="210" t="s">
        <v>68</v>
      </c>
      <c r="C1523" s="254" t="s">
        <v>1825</v>
      </c>
      <c r="D1523" s="255">
        <v>295</v>
      </c>
      <c r="E1523" s="211" t="s">
        <v>1890</v>
      </c>
      <c r="F1523" s="212">
        <v>43587</v>
      </c>
      <c r="G1523" s="213">
        <v>2.91</v>
      </c>
      <c r="H1523" s="256">
        <v>121</v>
      </c>
      <c r="I1523" s="214">
        <v>1453740</v>
      </c>
      <c r="J1523" s="215">
        <v>19175</v>
      </c>
      <c r="K1523" s="212">
        <v>43595</v>
      </c>
      <c r="L1523" s="211" t="s">
        <v>1897</v>
      </c>
      <c r="M1523" s="216">
        <v>4615506885</v>
      </c>
      <c r="N1523" s="212">
        <v>43614</v>
      </c>
      <c r="O1523" s="217">
        <v>3.9746999999999999</v>
      </c>
      <c r="P1523" s="219"/>
      <c r="Q1523" s="34">
        <f>SUMIF(Allocation[Delivery ID],Allocation[[#This Row],[Delivery ID]],Allocation[Quantity Processed])</f>
        <v>23212</v>
      </c>
      <c r="R1523" s="61">
        <f>Allocation[[#This Row],[Total volume used]]/VLOOKUP(Allocation[[#This Row],[Delivery ID]],Delivery[[Delivery ID]:[Quantity delivered]],3,FALSE)</f>
        <v>0.71487526947951952</v>
      </c>
      <c r="S1523" s="34">
        <f>Allocation[[#This Row],[Quantity Processed]]/Allocation[[#This Row],[Dilution rate]]</f>
        <v>101.37457044673539</v>
      </c>
      <c r="T1523" s="59">
        <f>SUMIF(Allocation[Delivery ID],Allocation[[#This Row],[Delivery ID]],Allocation[Quantity allocated])/SUMIF(Allocation[Delivery ID],Allocation[[#This Row],[Delivery ID]],Allocation[Volume available (kg)])</f>
        <v>1.090340178755391</v>
      </c>
      <c r="U1523" s="61">
        <f>Allocation[[#This Row],[Total volume used]]/VLOOKUP(Allocation[[#This Row],[Delivery ID]],Delivery[[Delivery ID]:[Quantity delivered]],3,FALSE)</f>
        <v>0.71487526947951952</v>
      </c>
      <c r="V1523" s="34" t="e">
        <f>VLOOKUP(Allocation[[#This Row],[SAP Contract number]],Shipments[[SAP Contract number]:[Contracted container weight]],2,FALSE)</f>
        <v>#N/A</v>
      </c>
      <c r="W1523" s="34" t="e">
        <f>VLOOKUP(Allocation[[#This Row],[SAP Contract number]],Shipments[[SAP Contract number]:[AAA Premium USD]],24,FALSE)</f>
        <v>#N/A</v>
      </c>
      <c r="X1523" s="34" t="e">
        <f>VLOOKUP(Allocation[[#This Row],[SAP Contract number]],Shipments[[SAP Contract number]:[RA Premium USD]],25,FALSE)</f>
        <v>#N/A</v>
      </c>
      <c r="Y1523" s="38">
        <f>Allocation[[#This Row],[Quantity Processed]]/Allocation[[#This Row],[Quantity allocated]]</f>
        <v>2.4380165289256199</v>
      </c>
      <c r="Z1523" s="34" t="b">
        <f>Allocation[[#This Row],[Quantity allocated]]&lt;=Allocation[[#This Row],[Quantity Processed]]</f>
        <v>1</v>
      </c>
    </row>
    <row r="1524" spans="1:26">
      <c r="A1524" s="247" t="s">
        <v>467</v>
      </c>
      <c r="B1524" s="210" t="s">
        <v>68</v>
      </c>
      <c r="C1524" s="254" t="s">
        <v>1828</v>
      </c>
      <c r="D1524" s="255">
        <v>149</v>
      </c>
      <c r="E1524" s="211" t="s">
        <v>1890</v>
      </c>
      <c r="F1524" s="212">
        <v>43587</v>
      </c>
      <c r="G1524" s="213">
        <v>2.91</v>
      </c>
      <c r="H1524" s="256">
        <v>61</v>
      </c>
      <c r="I1524" s="214">
        <v>1453740</v>
      </c>
      <c r="J1524" s="215">
        <v>19175</v>
      </c>
      <c r="K1524" s="212">
        <v>43595</v>
      </c>
      <c r="L1524" s="211" t="s">
        <v>1897</v>
      </c>
      <c r="M1524" s="216">
        <v>4615506885</v>
      </c>
      <c r="N1524" s="212">
        <v>43614</v>
      </c>
      <c r="O1524" s="217">
        <v>3.9746999999999999</v>
      </c>
      <c r="P1524" s="219"/>
      <c r="Q1524" s="34">
        <f>SUMIF(Allocation[Delivery ID],Allocation[[#This Row],[Delivery ID]],Allocation[Quantity Processed])</f>
        <v>10963</v>
      </c>
      <c r="R1524" s="61">
        <f>Allocation[[#This Row],[Total volume used]]/VLOOKUP(Allocation[[#This Row],[Delivery ID]],Delivery[[Delivery ID]:[Quantity delivered]],3,FALSE)</f>
        <v>0.66523058252427181</v>
      </c>
      <c r="S1524" s="34">
        <f>Allocation[[#This Row],[Quantity Processed]]/Allocation[[#This Row],[Dilution rate]]</f>
        <v>51.202749140893467</v>
      </c>
      <c r="T1524" s="59">
        <f>SUMIF(Allocation[Delivery ID],Allocation[[#This Row],[Delivery ID]],Allocation[Quantity allocated])/SUMIF(Allocation[Delivery ID],Allocation[[#This Row],[Delivery ID]],Allocation[Volume available (kg)])</f>
        <v>1.089146207595999</v>
      </c>
      <c r="U1524" s="61">
        <f>Allocation[[#This Row],[Total volume used]]/VLOOKUP(Allocation[[#This Row],[Delivery ID]],Delivery[[Delivery ID]:[Quantity delivered]],3,FALSE)</f>
        <v>0.66523058252427181</v>
      </c>
      <c r="V1524" s="34" t="e">
        <f>VLOOKUP(Allocation[[#This Row],[SAP Contract number]],Shipments[[SAP Contract number]:[Contracted container weight]],2,FALSE)</f>
        <v>#N/A</v>
      </c>
      <c r="W1524" s="34" t="e">
        <f>VLOOKUP(Allocation[[#This Row],[SAP Contract number]],Shipments[[SAP Contract number]:[AAA Premium USD]],24,FALSE)</f>
        <v>#N/A</v>
      </c>
      <c r="X1524" s="34" t="e">
        <f>VLOOKUP(Allocation[[#This Row],[SAP Contract number]],Shipments[[SAP Contract number]:[RA Premium USD]],25,FALSE)</f>
        <v>#N/A</v>
      </c>
      <c r="Y1524" s="38">
        <f>Allocation[[#This Row],[Quantity Processed]]/Allocation[[#This Row],[Quantity allocated]]</f>
        <v>2.442622950819672</v>
      </c>
      <c r="Z1524" s="34" t="b">
        <f>Allocation[[#This Row],[Quantity allocated]]&lt;=Allocation[[#This Row],[Quantity Processed]]</f>
        <v>1</v>
      </c>
    </row>
    <row r="1525" spans="1:26">
      <c r="A1525" s="247" t="s">
        <v>467</v>
      </c>
      <c r="B1525" s="210" t="s">
        <v>68</v>
      </c>
      <c r="C1525" s="254" t="s">
        <v>1829</v>
      </c>
      <c r="D1525" s="255">
        <v>11041</v>
      </c>
      <c r="E1525" s="211" t="s">
        <v>1890</v>
      </c>
      <c r="F1525" s="212">
        <v>43587</v>
      </c>
      <c r="G1525" s="213">
        <v>2.91</v>
      </c>
      <c r="H1525" s="256">
        <v>4306</v>
      </c>
      <c r="I1525" s="214">
        <v>1453740</v>
      </c>
      <c r="J1525" s="215">
        <v>19175</v>
      </c>
      <c r="K1525" s="212">
        <v>43595</v>
      </c>
      <c r="L1525" s="211" t="s">
        <v>1897</v>
      </c>
      <c r="M1525" s="216">
        <v>4615506885</v>
      </c>
      <c r="N1525" s="212">
        <v>43614</v>
      </c>
      <c r="O1525" s="217">
        <v>3.9746999999999999</v>
      </c>
      <c r="P1525" s="219"/>
      <c r="Q1525" s="34">
        <f>SUMIF(Allocation[Delivery ID],Allocation[[#This Row],[Delivery ID]],Allocation[Quantity Processed])</f>
        <v>11041</v>
      </c>
      <c r="R1525" s="61">
        <f>Allocation[[#This Row],[Total volume used]]/VLOOKUP(Allocation[[#This Row],[Delivery ID]],Delivery[[Delivery ID]:[Quantity delivered]],3,FALSE)</f>
        <v>0.60664835164835162</v>
      </c>
      <c r="S1525" s="34">
        <f>Allocation[[#This Row],[Quantity Processed]]/Allocation[[#This Row],[Dilution rate]]</f>
        <v>3794.1580756013745</v>
      </c>
      <c r="T1525" s="59">
        <f>SUMIF(Allocation[Delivery ID],Allocation[[#This Row],[Delivery ID]],Allocation[Quantity allocated])/SUMIF(Allocation[Delivery ID],Allocation[[#This Row],[Delivery ID]],Allocation[Volume available (kg)])</f>
        <v>1.1349026356308305</v>
      </c>
      <c r="U1525" s="61">
        <f>Allocation[[#This Row],[Total volume used]]/VLOOKUP(Allocation[[#This Row],[Delivery ID]],Delivery[[Delivery ID]:[Quantity delivered]],3,FALSE)</f>
        <v>0.60664835164835162</v>
      </c>
      <c r="V1525" s="34" t="e">
        <f>VLOOKUP(Allocation[[#This Row],[SAP Contract number]],Shipments[[SAP Contract number]:[Contracted container weight]],2,FALSE)</f>
        <v>#N/A</v>
      </c>
      <c r="W1525" s="34" t="e">
        <f>VLOOKUP(Allocation[[#This Row],[SAP Contract number]],Shipments[[SAP Contract number]:[AAA Premium USD]],24,FALSE)</f>
        <v>#N/A</v>
      </c>
      <c r="X1525" s="34" t="e">
        <f>VLOOKUP(Allocation[[#This Row],[SAP Contract number]],Shipments[[SAP Contract number]:[RA Premium USD]],25,FALSE)</f>
        <v>#N/A</v>
      </c>
      <c r="Y1525" s="38">
        <f>Allocation[[#This Row],[Quantity Processed]]/Allocation[[#This Row],[Quantity allocated]]</f>
        <v>2.5640966093822573</v>
      </c>
      <c r="Z1525" s="34" t="b">
        <f>Allocation[[#This Row],[Quantity allocated]]&lt;=Allocation[[#This Row],[Quantity Processed]]</f>
        <v>1</v>
      </c>
    </row>
    <row r="1526" spans="1:26">
      <c r="A1526" s="247" t="s">
        <v>467</v>
      </c>
      <c r="B1526" s="210" t="s">
        <v>68</v>
      </c>
      <c r="C1526" s="254" t="s">
        <v>1832</v>
      </c>
      <c r="D1526" s="255">
        <v>113</v>
      </c>
      <c r="E1526" s="211" t="s">
        <v>1890</v>
      </c>
      <c r="F1526" s="212">
        <v>43587</v>
      </c>
      <c r="G1526" s="213">
        <v>2.91</v>
      </c>
      <c r="H1526" s="256">
        <v>45</v>
      </c>
      <c r="I1526" s="214">
        <v>1453740</v>
      </c>
      <c r="J1526" s="215">
        <v>19175</v>
      </c>
      <c r="K1526" s="212">
        <v>43595</v>
      </c>
      <c r="L1526" s="211" t="s">
        <v>1897</v>
      </c>
      <c r="M1526" s="216">
        <v>4615506885</v>
      </c>
      <c r="N1526" s="212">
        <v>43614</v>
      </c>
      <c r="O1526" s="217">
        <v>3.9746999999999999</v>
      </c>
      <c r="P1526" s="219"/>
      <c r="Q1526" s="34">
        <f>SUMIF(Allocation[Delivery ID],Allocation[[#This Row],[Delivery ID]],Allocation[Quantity Processed])</f>
        <v>8159</v>
      </c>
      <c r="R1526" s="61">
        <f>Allocation[[#This Row],[Total volume used]]/VLOOKUP(Allocation[[#This Row],[Delivery ID]],Delivery[[Delivery ID]:[Quantity delivered]],3,FALSE)</f>
        <v>0.68219063545150505</v>
      </c>
      <c r="S1526" s="34">
        <f>Allocation[[#This Row],[Quantity Processed]]/Allocation[[#This Row],[Dilution rate]]</f>
        <v>38.831615120274911</v>
      </c>
      <c r="T1526" s="59">
        <f>SUMIF(Allocation[Delivery ID],Allocation[[#This Row],[Delivery ID]],Allocation[Quantity allocated])/SUMIF(Allocation[Delivery ID],Allocation[[#This Row],[Delivery ID]],Allocation[Volume available (kg)])</f>
        <v>1.0623686752058474</v>
      </c>
      <c r="U1526" s="61">
        <f>Allocation[[#This Row],[Total volume used]]/VLOOKUP(Allocation[[#This Row],[Delivery ID]],Delivery[[Delivery ID]:[Quantity delivered]],3,FALSE)</f>
        <v>0.68219063545150505</v>
      </c>
      <c r="V1526" s="34" t="e">
        <f>VLOOKUP(Allocation[[#This Row],[SAP Contract number]],Shipments[[SAP Contract number]:[Contracted container weight]],2,FALSE)</f>
        <v>#N/A</v>
      </c>
      <c r="W1526" s="34" t="e">
        <f>VLOOKUP(Allocation[[#This Row],[SAP Contract number]],Shipments[[SAP Contract number]:[AAA Premium USD]],24,FALSE)</f>
        <v>#N/A</v>
      </c>
      <c r="X1526" s="34" t="e">
        <f>VLOOKUP(Allocation[[#This Row],[SAP Contract number]],Shipments[[SAP Contract number]:[RA Premium USD]],25,FALSE)</f>
        <v>#N/A</v>
      </c>
      <c r="Y1526" s="38">
        <f>Allocation[[#This Row],[Quantity Processed]]/Allocation[[#This Row],[Quantity allocated]]</f>
        <v>2.5111111111111111</v>
      </c>
      <c r="Z1526" s="34" t="b">
        <f>Allocation[[#This Row],[Quantity allocated]]&lt;=Allocation[[#This Row],[Quantity Processed]]</f>
        <v>1</v>
      </c>
    </row>
    <row r="1527" spans="1:26">
      <c r="A1527" s="247" t="s">
        <v>467</v>
      </c>
      <c r="B1527" s="210" t="s">
        <v>68</v>
      </c>
      <c r="C1527" s="254" t="s">
        <v>1834</v>
      </c>
      <c r="D1527" s="255">
        <v>1259</v>
      </c>
      <c r="E1527" s="211" t="s">
        <v>1890</v>
      </c>
      <c r="F1527" s="212">
        <v>43587</v>
      </c>
      <c r="G1527" s="213">
        <v>2.91</v>
      </c>
      <c r="H1527" s="256">
        <v>428</v>
      </c>
      <c r="I1527" s="214">
        <v>1453740</v>
      </c>
      <c r="J1527" s="215">
        <v>19175</v>
      </c>
      <c r="K1527" s="212">
        <v>43595</v>
      </c>
      <c r="L1527" s="211" t="s">
        <v>1897</v>
      </c>
      <c r="M1527" s="216">
        <v>4615506885</v>
      </c>
      <c r="N1527" s="212">
        <v>43614</v>
      </c>
      <c r="O1527" s="217">
        <v>3.9746999999999999</v>
      </c>
      <c r="P1527" s="219"/>
      <c r="Q1527" s="34">
        <f>SUMIF(Allocation[Delivery ID],Allocation[[#This Row],[Delivery ID]],Allocation[Quantity Processed])</f>
        <v>1259</v>
      </c>
      <c r="R1527" s="61">
        <f>Allocation[[#This Row],[Total volume used]]/VLOOKUP(Allocation[[#This Row],[Delivery ID]],Delivery[[Delivery ID]:[Quantity delivered]],3,FALSE)</f>
        <v>0.29976190476190478</v>
      </c>
      <c r="S1527" s="34">
        <f>Allocation[[#This Row],[Quantity Processed]]/Allocation[[#This Row],[Dilution rate]]</f>
        <v>432.64604810996559</v>
      </c>
      <c r="T1527" s="59">
        <f>SUMIF(Allocation[Delivery ID],Allocation[[#This Row],[Delivery ID]],Allocation[Quantity allocated])/SUMIF(Allocation[Delivery ID],Allocation[[#This Row],[Delivery ID]],Allocation[Volume available (kg)])</f>
        <v>0.98926131850675147</v>
      </c>
      <c r="U1527" s="61">
        <f>Allocation[[#This Row],[Total volume used]]/VLOOKUP(Allocation[[#This Row],[Delivery ID]],Delivery[[Delivery ID]:[Quantity delivered]],3,FALSE)</f>
        <v>0.29976190476190478</v>
      </c>
      <c r="V1527" s="34" t="e">
        <f>VLOOKUP(Allocation[[#This Row],[SAP Contract number]],Shipments[[SAP Contract number]:[Contracted container weight]],2,FALSE)</f>
        <v>#N/A</v>
      </c>
      <c r="W1527" s="34" t="e">
        <f>VLOOKUP(Allocation[[#This Row],[SAP Contract number]],Shipments[[SAP Contract number]:[AAA Premium USD]],24,FALSE)</f>
        <v>#N/A</v>
      </c>
      <c r="X1527" s="34" t="e">
        <f>VLOOKUP(Allocation[[#This Row],[SAP Contract number]],Shipments[[SAP Contract number]:[RA Premium USD]],25,FALSE)</f>
        <v>#N/A</v>
      </c>
      <c r="Y1527" s="38">
        <f>Allocation[[#This Row],[Quantity Processed]]/Allocation[[#This Row],[Quantity allocated]]</f>
        <v>2.9415887850467288</v>
      </c>
      <c r="Z1527" s="34" t="b">
        <f>Allocation[[#This Row],[Quantity allocated]]&lt;=Allocation[[#This Row],[Quantity Processed]]</f>
        <v>1</v>
      </c>
    </row>
    <row r="1528" spans="1:26">
      <c r="A1528" s="247" t="s">
        <v>467</v>
      </c>
      <c r="B1528" s="210" t="s">
        <v>68</v>
      </c>
      <c r="C1528" s="254" t="s">
        <v>1835</v>
      </c>
      <c r="D1528" s="255">
        <v>6000</v>
      </c>
      <c r="E1528" s="211" t="s">
        <v>1890</v>
      </c>
      <c r="F1528" s="212">
        <v>43587</v>
      </c>
      <c r="G1528" s="213">
        <v>2.91</v>
      </c>
      <c r="H1528" s="256">
        <v>2040</v>
      </c>
      <c r="I1528" s="214">
        <v>1453740</v>
      </c>
      <c r="J1528" s="215">
        <v>19175</v>
      </c>
      <c r="K1528" s="212">
        <v>43595</v>
      </c>
      <c r="L1528" s="211" t="s">
        <v>1897</v>
      </c>
      <c r="M1528" s="216">
        <v>4615506885</v>
      </c>
      <c r="N1528" s="212">
        <v>43614</v>
      </c>
      <c r="O1528" s="217">
        <v>3.9746999999999999</v>
      </c>
      <c r="P1528" s="219"/>
      <c r="Q1528" s="34">
        <f>SUMIF(Allocation[Delivery ID],Allocation[[#This Row],[Delivery ID]],Allocation[Quantity Processed])</f>
        <v>6000</v>
      </c>
      <c r="R1528" s="61">
        <f>Allocation[[#This Row],[Total volume used]]/VLOOKUP(Allocation[[#This Row],[Delivery ID]],Delivery[[Delivery ID]:[Quantity delivered]],3,FALSE)</f>
        <v>1</v>
      </c>
      <c r="S1528" s="34">
        <f>Allocation[[#This Row],[Quantity Processed]]/Allocation[[#This Row],[Dilution rate]]</f>
        <v>2061.8556701030925</v>
      </c>
      <c r="T1528" s="59">
        <f>SUMIF(Allocation[Delivery ID],Allocation[[#This Row],[Delivery ID]],Allocation[Quantity allocated])/SUMIF(Allocation[Delivery ID],Allocation[[#This Row],[Delivery ID]],Allocation[Volume available (kg)])</f>
        <v>0.98940000000000017</v>
      </c>
      <c r="U1528" s="61">
        <f>Allocation[[#This Row],[Total volume used]]/VLOOKUP(Allocation[[#This Row],[Delivery ID]],Delivery[[Delivery ID]:[Quantity delivered]],3,FALSE)</f>
        <v>1</v>
      </c>
      <c r="V1528" s="34" t="e">
        <f>VLOOKUP(Allocation[[#This Row],[SAP Contract number]],Shipments[[SAP Contract number]:[Contracted container weight]],2,FALSE)</f>
        <v>#N/A</v>
      </c>
      <c r="W1528" s="34" t="e">
        <f>VLOOKUP(Allocation[[#This Row],[SAP Contract number]],Shipments[[SAP Contract number]:[AAA Premium USD]],24,FALSE)</f>
        <v>#N/A</v>
      </c>
      <c r="X1528" s="34" t="e">
        <f>VLOOKUP(Allocation[[#This Row],[SAP Contract number]],Shipments[[SAP Contract number]:[RA Premium USD]],25,FALSE)</f>
        <v>#N/A</v>
      </c>
      <c r="Y1528" s="38">
        <f>Allocation[[#This Row],[Quantity Processed]]/Allocation[[#This Row],[Quantity allocated]]</f>
        <v>2.9411764705882355</v>
      </c>
      <c r="Z1528" s="34" t="b">
        <f>Allocation[[#This Row],[Quantity allocated]]&lt;=Allocation[[#This Row],[Quantity Processed]]</f>
        <v>1</v>
      </c>
    </row>
    <row r="1529" spans="1:26">
      <c r="A1529" s="247" t="s">
        <v>467</v>
      </c>
      <c r="B1529" s="210" t="s">
        <v>68</v>
      </c>
      <c r="C1529" s="254" t="s">
        <v>1841</v>
      </c>
      <c r="D1529" s="255">
        <v>1061</v>
      </c>
      <c r="E1529" s="211" t="s">
        <v>1890</v>
      </c>
      <c r="F1529" s="212">
        <v>43587</v>
      </c>
      <c r="G1529" s="213">
        <v>2.91</v>
      </c>
      <c r="H1529" s="256">
        <v>350</v>
      </c>
      <c r="I1529" s="214">
        <v>1453740</v>
      </c>
      <c r="J1529" s="215">
        <v>19175</v>
      </c>
      <c r="K1529" s="212">
        <v>43595</v>
      </c>
      <c r="L1529" s="211" t="s">
        <v>1897</v>
      </c>
      <c r="M1529" s="216">
        <v>4615506885</v>
      </c>
      <c r="N1529" s="212">
        <v>43614</v>
      </c>
      <c r="O1529" s="217">
        <v>3.9746999999999999</v>
      </c>
      <c r="P1529" s="219"/>
      <c r="Q1529" s="34">
        <f>SUMIF(Allocation[Delivery ID],Allocation[[#This Row],[Delivery ID]],Allocation[Quantity Processed])</f>
        <v>27558</v>
      </c>
      <c r="R1529" s="61">
        <f>Allocation[[#This Row],[Total volume used]]/VLOOKUP(Allocation[[#This Row],[Delivery ID]],Delivery[[Delivery ID]:[Quantity delivered]],3,FALSE)</f>
        <v>0.89677839245037427</v>
      </c>
      <c r="S1529" s="34">
        <f>Allocation[[#This Row],[Quantity Processed]]/Allocation[[#This Row],[Dilution rate]]</f>
        <v>364.60481099656357</v>
      </c>
      <c r="T1529" s="59">
        <f>SUMIF(Allocation[Delivery ID],Allocation[[#This Row],[Delivery ID]],Allocation[Quantity allocated])/SUMIF(Allocation[Delivery ID],Allocation[[#This Row],[Delivery ID]],Allocation[Volume available (kg)])</f>
        <v>0.87931628787217209</v>
      </c>
      <c r="U1529" s="61">
        <f>Allocation[[#This Row],[Total volume used]]/VLOOKUP(Allocation[[#This Row],[Delivery ID]],Delivery[[Delivery ID]:[Quantity delivered]],3,FALSE)</f>
        <v>0.89677839245037427</v>
      </c>
      <c r="V1529" s="34" t="e">
        <f>VLOOKUP(Allocation[[#This Row],[SAP Contract number]],Shipments[[SAP Contract number]:[Contracted container weight]],2,FALSE)</f>
        <v>#N/A</v>
      </c>
      <c r="W1529" s="34" t="e">
        <f>VLOOKUP(Allocation[[#This Row],[SAP Contract number]],Shipments[[SAP Contract number]:[AAA Premium USD]],24,FALSE)</f>
        <v>#N/A</v>
      </c>
      <c r="X1529" s="34" t="e">
        <f>VLOOKUP(Allocation[[#This Row],[SAP Contract number]],Shipments[[SAP Contract number]:[RA Premium USD]],25,FALSE)</f>
        <v>#N/A</v>
      </c>
      <c r="Y1529" s="38">
        <f>Allocation[[#This Row],[Quantity Processed]]/Allocation[[#This Row],[Quantity allocated]]</f>
        <v>3.0314285714285716</v>
      </c>
      <c r="Z1529" s="34" t="b">
        <f>Allocation[[#This Row],[Quantity allocated]]&lt;=Allocation[[#This Row],[Quantity Processed]]</f>
        <v>1</v>
      </c>
    </row>
    <row r="1530" spans="1:26">
      <c r="A1530" s="247" t="s">
        <v>467</v>
      </c>
      <c r="B1530" s="210" t="s">
        <v>68</v>
      </c>
      <c r="C1530" s="254" t="s">
        <v>1842</v>
      </c>
      <c r="D1530" s="255">
        <v>9363</v>
      </c>
      <c r="E1530" s="211" t="s">
        <v>1890</v>
      </c>
      <c r="F1530" s="212">
        <v>43587</v>
      </c>
      <c r="G1530" s="213">
        <v>2.91</v>
      </c>
      <c r="H1530" s="256">
        <v>3745</v>
      </c>
      <c r="I1530" s="214">
        <v>1453740</v>
      </c>
      <c r="J1530" s="215">
        <v>19175</v>
      </c>
      <c r="K1530" s="212">
        <v>43595</v>
      </c>
      <c r="L1530" s="211" t="s">
        <v>1897</v>
      </c>
      <c r="M1530" s="216">
        <v>4615506885</v>
      </c>
      <c r="N1530" s="212">
        <v>43614</v>
      </c>
      <c r="O1530" s="217">
        <v>3.9746999999999999</v>
      </c>
      <c r="P1530" s="219"/>
      <c r="Q1530" s="34">
        <f>SUMIF(Allocation[Delivery ID],Allocation[[#This Row],[Delivery ID]],Allocation[Quantity Processed])</f>
        <v>9363</v>
      </c>
      <c r="R1530" s="61">
        <f>Allocation[[#This Row],[Total volume used]]/VLOOKUP(Allocation[[#This Row],[Delivery ID]],Delivery[[Delivery ID]:[Quantity delivered]],3,FALSE)</f>
        <v>0.59147188881869872</v>
      </c>
      <c r="S1530" s="34">
        <f>Allocation[[#This Row],[Quantity Processed]]/Allocation[[#This Row],[Dilution rate]]</f>
        <v>3217.5257731958764</v>
      </c>
      <c r="T1530" s="59">
        <f>SUMIF(Allocation[Delivery ID],Allocation[[#This Row],[Delivery ID]],Allocation[Quantity allocated])/SUMIF(Allocation[Delivery ID],Allocation[[#This Row],[Delivery ID]],Allocation[Volume available (kg)])</f>
        <v>1.1639378404357577</v>
      </c>
      <c r="U1530" s="61">
        <f>Allocation[[#This Row],[Total volume used]]/VLOOKUP(Allocation[[#This Row],[Delivery ID]],Delivery[[Delivery ID]:[Quantity delivered]],3,FALSE)</f>
        <v>0.59147188881869872</v>
      </c>
      <c r="V1530" s="34" t="e">
        <f>VLOOKUP(Allocation[[#This Row],[SAP Contract number]],Shipments[[SAP Contract number]:[Contracted container weight]],2,FALSE)</f>
        <v>#N/A</v>
      </c>
      <c r="W1530" s="34" t="e">
        <f>VLOOKUP(Allocation[[#This Row],[SAP Contract number]],Shipments[[SAP Contract number]:[AAA Premium USD]],24,FALSE)</f>
        <v>#N/A</v>
      </c>
      <c r="X1530" s="34" t="e">
        <f>VLOOKUP(Allocation[[#This Row],[SAP Contract number]],Shipments[[SAP Contract number]:[RA Premium USD]],25,FALSE)</f>
        <v>#N/A</v>
      </c>
      <c r="Y1530" s="38">
        <f>Allocation[[#This Row],[Quantity Processed]]/Allocation[[#This Row],[Quantity allocated]]</f>
        <v>2.5001335113484644</v>
      </c>
      <c r="Z1530" s="34" t="b">
        <f>Allocation[[#This Row],[Quantity allocated]]&lt;=Allocation[[#This Row],[Quantity Processed]]</f>
        <v>1</v>
      </c>
    </row>
    <row r="1531" spans="1:26">
      <c r="A1531" s="247" t="s">
        <v>467</v>
      </c>
      <c r="B1531" s="210" t="s">
        <v>68</v>
      </c>
      <c r="C1531" s="254" t="s">
        <v>1456</v>
      </c>
      <c r="D1531" s="255">
        <v>297</v>
      </c>
      <c r="E1531" s="211" t="s">
        <v>1898</v>
      </c>
      <c r="F1531" s="212">
        <v>43585</v>
      </c>
      <c r="G1531" s="213">
        <v>2.78</v>
      </c>
      <c r="H1531" s="256">
        <v>107</v>
      </c>
      <c r="I1531" s="214">
        <v>1453732</v>
      </c>
      <c r="J1531" s="215">
        <v>21600</v>
      </c>
      <c r="K1531" s="212">
        <v>43593</v>
      </c>
      <c r="L1531" s="211" t="s">
        <v>1899</v>
      </c>
      <c r="M1531" s="216">
        <v>4615445946</v>
      </c>
      <c r="N1531" s="212"/>
      <c r="O1531" s="217"/>
      <c r="P1531" s="219"/>
      <c r="Q1531" s="34">
        <f>SUMIF(Allocation[Delivery ID],Allocation[[#This Row],[Delivery ID]],Allocation[Quantity Processed])</f>
        <v>3163</v>
      </c>
      <c r="R1531" s="61">
        <f>Allocation[[#This Row],[Total volume used]]/VLOOKUP(Allocation[[#This Row],[Delivery ID]],Delivery[[Delivery ID]:[Quantity delivered]],3,FALSE)</f>
        <v>0.44003895381190872</v>
      </c>
      <c r="S1531" s="34">
        <f>Allocation[[#This Row],[Quantity Processed]]/Allocation[[#This Row],[Dilution rate]]</f>
        <v>106.83453237410073</v>
      </c>
      <c r="T1531" s="59">
        <f>SUMIF(Allocation[Delivery ID],Allocation[[#This Row],[Delivery ID]],Allocation[Quantity allocated])/SUMIF(Allocation[Delivery ID],Allocation[[#This Row],[Delivery ID]],Allocation[Volume available (kg)])</f>
        <v>1.0615616995523252</v>
      </c>
      <c r="U1531" s="61">
        <f>Allocation[[#This Row],[Total volume used]]/VLOOKUP(Allocation[[#This Row],[Delivery ID]],Delivery[[Delivery ID]:[Quantity delivered]],3,FALSE)</f>
        <v>0.44003895381190872</v>
      </c>
      <c r="V1531" s="34" t="e">
        <f>VLOOKUP(Allocation[[#This Row],[SAP Contract number]],Shipments[[SAP Contract number]:[Contracted container weight]],2,FALSE)</f>
        <v>#N/A</v>
      </c>
      <c r="W1531" s="34" t="e">
        <f>VLOOKUP(Allocation[[#This Row],[SAP Contract number]],Shipments[[SAP Contract number]:[AAA Premium USD]],24,FALSE)</f>
        <v>#N/A</v>
      </c>
      <c r="X1531" s="34" t="e">
        <f>VLOOKUP(Allocation[[#This Row],[SAP Contract number]],Shipments[[SAP Contract number]:[RA Premium USD]],25,FALSE)</f>
        <v>#N/A</v>
      </c>
      <c r="Y1531" s="38">
        <f>Allocation[[#This Row],[Quantity Processed]]/Allocation[[#This Row],[Quantity allocated]]</f>
        <v>2.7757009345794392</v>
      </c>
      <c r="Z1531" s="34" t="b">
        <f>Allocation[[#This Row],[Quantity allocated]]&lt;=Allocation[[#This Row],[Quantity Processed]]</f>
        <v>1</v>
      </c>
    </row>
    <row r="1532" spans="1:26">
      <c r="A1532" s="247" t="s">
        <v>467</v>
      </c>
      <c r="B1532" s="210" t="s">
        <v>68</v>
      </c>
      <c r="C1532" s="254" t="s">
        <v>1457</v>
      </c>
      <c r="D1532" s="255">
        <v>622</v>
      </c>
      <c r="E1532" s="211" t="s">
        <v>1898</v>
      </c>
      <c r="F1532" s="212">
        <v>43585</v>
      </c>
      <c r="G1532" s="213">
        <v>2.78</v>
      </c>
      <c r="H1532" s="256">
        <v>224</v>
      </c>
      <c r="I1532" s="214">
        <v>1453732</v>
      </c>
      <c r="J1532" s="215">
        <v>21600</v>
      </c>
      <c r="K1532" s="212">
        <v>43593</v>
      </c>
      <c r="L1532" s="211" t="s">
        <v>1899</v>
      </c>
      <c r="M1532" s="216">
        <v>4615445946</v>
      </c>
      <c r="N1532" s="212"/>
      <c r="O1532" s="217"/>
      <c r="P1532" s="219"/>
      <c r="Q1532" s="34">
        <f>SUMIF(Allocation[Delivery ID],Allocation[[#This Row],[Delivery ID]],Allocation[Quantity Processed])</f>
        <v>6617</v>
      </c>
      <c r="R1532" s="61">
        <f>Allocation[[#This Row],[Total volume used]]/VLOOKUP(Allocation[[#This Row],[Delivery ID]],Delivery[[Delivery ID]:[Quantity delivered]],3,FALSE)</f>
        <v>0.43864766324163074</v>
      </c>
      <c r="S1532" s="34">
        <f>Allocation[[#This Row],[Quantity Processed]]/Allocation[[#This Row],[Dilution rate]]</f>
        <v>223.74100719424462</v>
      </c>
      <c r="T1532" s="59">
        <f>SUMIF(Allocation[Delivery ID],Allocation[[#This Row],[Delivery ID]],Allocation[Quantity allocated])/SUMIF(Allocation[Delivery ID],Allocation[[#This Row],[Delivery ID]],Allocation[Volume available (kg)])</f>
        <v>1.0612083485335027</v>
      </c>
      <c r="U1532" s="61">
        <f>Allocation[[#This Row],[Total volume used]]/VLOOKUP(Allocation[[#This Row],[Delivery ID]],Delivery[[Delivery ID]:[Quantity delivered]],3,FALSE)</f>
        <v>0.43864766324163074</v>
      </c>
      <c r="V1532" s="34" t="e">
        <f>VLOOKUP(Allocation[[#This Row],[SAP Contract number]],Shipments[[SAP Contract number]:[Contracted container weight]],2,FALSE)</f>
        <v>#N/A</v>
      </c>
      <c r="W1532" s="34" t="e">
        <f>VLOOKUP(Allocation[[#This Row],[SAP Contract number]],Shipments[[SAP Contract number]:[AAA Premium USD]],24,FALSE)</f>
        <v>#N/A</v>
      </c>
      <c r="X1532" s="34" t="e">
        <f>VLOOKUP(Allocation[[#This Row],[SAP Contract number]],Shipments[[SAP Contract number]:[RA Premium USD]],25,FALSE)</f>
        <v>#N/A</v>
      </c>
      <c r="Y1532" s="38">
        <f>Allocation[[#This Row],[Quantity Processed]]/Allocation[[#This Row],[Quantity allocated]]</f>
        <v>2.7767857142857144</v>
      </c>
      <c r="Z1532" s="34" t="b">
        <f>Allocation[[#This Row],[Quantity allocated]]&lt;=Allocation[[#This Row],[Quantity Processed]]</f>
        <v>1</v>
      </c>
    </row>
    <row r="1533" spans="1:26">
      <c r="A1533" s="247" t="s">
        <v>467</v>
      </c>
      <c r="B1533" s="210" t="s">
        <v>68</v>
      </c>
      <c r="C1533" s="254" t="s">
        <v>1458</v>
      </c>
      <c r="D1533" s="255">
        <v>497</v>
      </c>
      <c r="E1533" s="211" t="s">
        <v>1898</v>
      </c>
      <c r="F1533" s="212">
        <v>43585</v>
      </c>
      <c r="G1533" s="213">
        <v>2.78</v>
      </c>
      <c r="H1533" s="256">
        <v>179</v>
      </c>
      <c r="I1533" s="214">
        <v>1453732</v>
      </c>
      <c r="J1533" s="215">
        <v>21600</v>
      </c>
      <c r="K1533" s="212">
        <v>43593</v>
      </c>
      <c r="L1533" s="211" t="s">
        <v>1899</v>
      </c>
      <c r="M1533" s="216">
        <v>4615445946</v>
      </c>
      <c r="N1533" s="212"/>
      <c r="O1533" s="217"/>
      <c r="P1533" s="219"/>
      <c r="Q1533" s="34">
        <f>SUMIF(Allocation[Delivery ID],Allocation[[#This Row],[Delivery ID]],Allocation[Quantity Processed])</f>
        <v>5297</v>
      </c>
      <c r="R1533" s="61">
        <f>Allocation[[#This Row],[Total volume used]]/VLOOKUP(Allocation[[#This Row],[Delivery ID]],Delivery[[Delivery ID]:[Quantity delivered]],3,FALSE)</f>
        <v>0.43885666942833473</v>
      </c>
      <c r="S1533" s="34">
        <f>Allocation[[#This Row],[Quantity Processed]]/Allocation[[#This Row],[Dilution rate]]</f>
        <v>178.77697841726621</v>
      </c>
      <c r="T1533" s="59">
        <f>SUMIF(Allocation[Delivery ID],Allocation[[#This Row],[Delivery ID]],Allocation[Quantity allocated])/SUMIF(Allocation[Delivery ID],Allocation[[#This Row],[Delivery ID]],Allocation[Volume available (kg)])</f>
        <v>1.0613181567461747</v>
      </c>
      <c r="U1533" s="61">
        <f>Allocation[[#This Row],[Total volume used]]/VLOOKUP(Allocation[[#This Row],[Delivery ID]],Delivery[[Delivery ID]:[Quantity delivered]],3,FALSE)</f>
        <v>0.43885666942833473</v>
      </c>
      <c r="V1533" s="34" t="e">
        <f>VLOOKUP(Allocation[[#This Row],[SAP Contract number]],Shipments[[SAP Contract number]:[Contracted container weight]],2,FALSE)</f>
        <v>#N/A</v>
      </c>
      <c r="W1533" s="34" t="e">
        <f>VLOOKUP(Allocation[[#This Row],[SAP Contract number]],Shipments[[SAP Contract number]:[AAA Premium USD]],24,FALSE)</f>
        <v>#N/A</v>
      </c>
      <c r="X1533" s="34" t="e">
        <f>VLOOKUP(Allocation[[#This Row],[SAP Contract number]],Shipments[[SAP Contract number]:[RA Premium USD]],25,FALSE)</f>
        <v>#N/A</v>
      </c>
      <c r="Y1533" s="38">
        <f>Allocation[[#This Row],[Quantity Processed]]/Allocation[[#This Row],[Quantity allocated]]</f>
        <v>2.7765363128491618</v>
      </c>
      <c r="Z1533" s="34" t="b">
        <f>Allocation[[#This Row],[Quantity allocated]]&lt;=Allocation[[#This Row],[Quantity Processed]]</f>
        <v>1</v>
      </c>
    </row>
    <row r="1534" spans="1:26">
      <c r="A1534" s="247" t="s">
        <v>467</v>
      </c>
      <c r="B1534" s="210" t="s">
        <v>68</v>
      </c>
      <c r="C1534" s="254" t="s">
        <v>1459</v>
      </c>
      <c r="D1534" s="255">
        <v>431</v>
      </c>
      <c r="E1534" s="211" t="s">
        <v>1898</v>
      </c>
      <c r="F1534" s="212">
        <v>43585</v>
      </c>
      <c r="G1534" s="213">
        <v>2.78</v>
      </c>
      <c r="H1534" s="256">
        <v>155</v>
      </c>
      <c r="I1534" s="214">
        <v>1453732</v>
      </c>
      <c r="J1534" s="215">
        <v>21600</v>
      </c>
      <c r="K1534" s="212">
        <v>43593</v>
      </c>
      <c r="L1534" s="211" t="s">
        <v>1899</v>
      </c>
      <c r="M1534" s="216">
        <v>4615445946</v>
      </c>
      <c r="N1534" s="212"/>
      <c r="O1534" s="217"/>
      <c r="P1534" s="219"/>
      <c r="Q1534" s="34">
        <f>SUMIF(Allocation[Delivery ID],Allocation[[#This Row],[Delivery ID]],Allocation[Quantity Processed])</f>
        <v>4587</v>
      </c>
      <c r="R1534" s="61">
        <f>Allocation[[#This Row],[Total volume used]]/VLOOKUP(Allocation[[#This Row],[Delivery ID]],Delivery[[Delivery ID]:[Quantity delivered]],3,FALSE)</f>
        <v>0.43966260902904247</v>
      </c>
      <c r="S1534" s="34">
        <f>Allocation[[#This Row],[Quantity Processed]]/Allocation[[#This Row],[Dilution rate]]</f>
        <v>155.03597122302159</v>
      </c>
      <c r="T1534" s="59">
        <f>SUMIF(Allocation[Delivery ID],Allocation[[#This Row],[Delivery ID]],Allocation[Quantity allocated])/SUMIF(Allocation[Delivery ID],Allocation[[#This Row],[Delivery ID]],Allocation[Volume available (kg)])</f>
        <v>1.0610641289453173</v>
      </c>
      <c r="U1534" s="61">
        <f>Allocation[[#This Row],[Total volume used]]/VLOOKUP(Allocation[[#This Row],[Delivery ID]],Delivery[[Delivery ID]:[Quantity delivered]],3,FALSE)</f>
        <v>0.43966260902904247</v>
      </c>
      <c r="V1534" s="34" t="e">
        <f>VLOOKUP(Allocation[[#This Row],[SAP Contract number]],Shipments[[SAP Contract number]:[Contracted container weight]],2,FALSE)</f>
        <v>#N/A</v>
      </c>
      <c r="W1534" s="34" t="e">
        <f>VLOOKUP(Allocation[[#This Row],[SAP Contract number]],Shipments[[SAP Contract number]:[AAA Premium USD]],24,FALSE)</f>
        <v>#N/A</v>
      </c>
      <c r="X1534" s="34" t="e">
        <f>VLOOKUP(Allocation[[#This Row],[SAP Contract number]],Shipments[[SAP Contract number]:[RA Premium USD]],25,FALSE)</f>
        <v>#N/A</v>
      </c>
      <c r="Y1534" s="38">
        <f>Allocation[[#This Row],[Quantity Processed]]/Allocation[[#This Row],[Quantity allocated]]</f>
        <v>2.7806451612903227</v>
      </c>
      <c r="Z1534" s="34" t="b">
        <f>Allocation[[#This Row],[Quantity allocated]]&lt;=Allocation[[#This Row],[Quantity Processed]]</f>
        <v>1</v>
      </c>
    </row>
    <row r="1535" spans="1:26">
      <c r="A1535" s="247" t="s">
        <v>467</v>
      </c>
      <c r="B1535" s="210" t="s">
        <v>68</v>
      </c>
      <c r="C1535" s="254" t="s">
        <v>1462</v>
      </c>
      <c r="D1535" s="255">
        <v>211</v>
      </c>
      <c r="E1535" s="211" t="s">
        <v>1898</v>
      </c>
      <c r="F1535" s="212">
        <v>43585</v>
      </c>
      <c r="G1535" s="213">
        <v>2.78</v>
      </c>
      <c r="H1535" s="256">
        <v>76</v>
      </c>
      <c r="I1535" s="214">
        <v>1453732</v>
      </c>
      <c r="J1535" s="215">
        <v>21600</v>
      </c>
      <c r="K1535" s="212">
        <v>43593</v>
      </c>
      <c r="L1535" s="211" t="s">
        <v>1899</v>
      </c>
      <c r="M1535" s="216">
        <v>4615445946</v>
      </c>
      <c r="N1535" s="212"/>
      <c r="O1535" s="217"/>
      <c r="P1535" s="219"/>
      <c r="Q1535" s="34">
        <f>SUMIF(Allocation[Delivery ID],Allocation[[#This Row],[Delivery ID]],Allocation[Quantity Processed])</f>
        <v>2245</v>
      </c>
      <c r="R1535" s="61">
        <f>Allocation[[#This Row],[Total volume used]]/VLOOKUP(Allocation[[#This Row],[Delivery ID]],Delivery[[Delivery ID]:[Quantity delivered]],3,FALSE)</f>
        <v>0.44045516970767118</v>
      </c>
      <c r="S1535" s="34">
        <f>Allocation[[#This Row],[Quantity Processed]]/Allocation[[#This Row],[Dilution rate]]</f>
        <v>75.899280575539578</v>
      </c>
      <c r="T1535" s="59">
        <f>SUMIF(Allocation[Delivery ID],Allocation[[#This Row],[Delivery ID]],Allocation[Quantity allocated])/SUMIF(Allocation[Delivery ID],Allocation[[#This Row],[Delivery ID]],Allocation[Volume available (kg)])</f>
        <v>1.0610032924943202</v>
      </c>
      <c r="U1535" s="61">
        <f>Allocation[[#This Row],[Total volume used]]/VLOOKUP(Allocation[[#This Row],[Delivery ID]],Delivery[[Delivery ID]:[Quantity delivered]],3,FALSE)</f>
        <v>0.44045516970767118</v>
      </c>
      <c r="V1535" s="34" t="e">
        <f>VLOOKUP(Allocation[[#This Row],[SAP Contract number]],Shipments[[SAP Contract number]:[Contracted container weight]],2,FALSE)</f>
        <v>#N/A</v>
      </c>
      <c r="W1535" s="34" t="e">
        <f>VLOOKUP(Allocation[[#This Row],[SAP Contract number]],Shipments[[SAP Contract number]:[AAA Premium USD]],24,FALSE)</f>
        <v>#N/A</v>
      </c>
      <c r="X1535" s="34" t="e">
        <f>VLOOKUP(Allocation[[#This Row],[SAP Contract number]],Shipments[[SAP Contract number]:[RA Premium USD]],25,FALSE)</f>
        <v>#N/A</v>
      </c>
      <c r="Y1535" s="38">
        <f>Allocation[[#This Row],[Quantity Processed]]/Allocation[[#This Row],[Quantity allocated]]</f>
        <v>2.7763157894736841</v>
      </c>
      <c r="Z1535" s="34" t="b">
        <f>Allocation[[#This Row],[Quantity allocated]]&lt;=Allocation[[#This Row],[Quantity Processed]]</f>
        <v>1</v>
      </c>
    </row>
    <row r="1536" spans="1:26">
      <c r="A1536" s="247" t="s">
        <v>467</v>
      </c>
      <c r="B1536" s="210" t="s">
        <v>68</v>
      </c>
      <c r="C1536" s="254" t="s">
        <v>1463</v>
      </c>
      <c r="D1536" s="255">
        <v>369</v>
      </c>
      <c r="E1536" s="211" t="s">
        <v>1898</v>
      </c>
      <c r="F1536" s="212">
        <v>43585</v>
      </c>
      <c r="G1536" s="213">
        <v>2.78</v>
      </c>
      <c r="H1536" s="256">
        <v>133</v>
      </c>
      <c r="I1536" s="214">
        <v>1453732</v>
      </c>
      <c r="J1536" s="215">
        <v>21600</v>
      </c>
      <c r="K1536" s="212">
        <v>43593</v>
      </c>
      <c r="L1536" s="211" t="s">
        <v>1899</v>
      </c>
      <c r="M1536" s="216">
        <v>4615445946</v>
      </c>
      <c r="N1536" s="212"/>
      <c r="O1536" s="217"/>
      <c r="P1536" s="219"/>
      <c r="Q1536" s="34">
        <f>SUMIF(Allocation[Delivery ID],Allocation[[#This Row],[Delivery ID]],Allocation[Quantity Processed])</f>
        <v>3930</v>
      </c>
      <c r="R1536" s="61">
        <f>Allocation[[#This Row],[Total volume used]]/VLOOKUP(Allocation[[#This Row],[Delivery ID]],Delivery[[Delivery ID]:[Quantity delivered]],3,FALSE)</f>
        <v>0.44083006169377453</v>
      </c>
      <c r="S1536" s="34">
        <f>Allocation[[#This Row],[Quantity Processed]]/Allocation[[#This Row],[Dilution rate]]</f>
        <v>132.73381294964031</v>
      </c>
      <c r="T1536" s="59">
        <f>SUMIF(Allocation[Delivery ID],Allocation[[#This Row],[Delivery ID]],Allocation[Quantity allocated])/SUMIF(Allocation[Delivery ID],Allocation[[#This Row],[Delivery ID]],Allocation[Volume available (kg)])</f>
        <v>1.0614214245429592</v>
      </c>
      <c r="U1536" s="61">
        <f>Allocation[[#This Row],[Total volume used]]/VLOOKUP(Allocation[[#This Row],[Delivery ID]],Delivery[[Delivery ID]:[Quantity delivered]],3,FALSE)</f>
        <v>0.44083006169377453</v>
      </c>
      <c r="V1536" s="34" t="e">
        <f>VLOOKUP(Allocation[[#This Row],[SAP Contract number]],Shipments[[SAP Contract number]:[Contracted container weight]],2,FALSE)</f>
        <v>#N/A</v>
      </c>
      <c r="W1536" s="34" t="e">
        <f>VLOOKUP(Allocation[[#This Row],[SAP Contract number]],Shipments[[SAP Contract number]:[AAA Premium USD]],24,FALSE)</f>
        <v>#N/A</v>
      </c>
      <c r="X1536" s="34" t="e">
        <f>VLOOKUP(Allocation[[#This Row],[SAP Contract number]],Shipments[[SAP Contract number]:[RA Premium USD]],25,FALSE)</f>
        <v>#N/A</v>
      </c>
      <c r="Y1536" s="38">
        <f>Allocation[[#This Row],[Quantity Processed]]/Allocation[[#This Row],[Quantity allocated]]</f>
        <v>2.774436090225564</v>
      </c>
      <c r="Z1536" s="34" t="b">
        <f>Allocation[[#This Row],[Quantity allocated]]&lt;=Allocation[[#This Row],[Quantity Processed]]</f>
        <v>1</v>
      </c>
    </row>
    <row r="1537" spans="1:26">
      <c r="A1537" s="247" t="s">
        <v>467</v>
      </c>
      <c r="B1537" s="210" t="s">
        <v>68</v>
      </c>
      <c r="C1537" s="254" t="s">
        <v>1549</v>
      </c>
      <c r="D1537" s="255">
        <v>21773</v>
      </c>
      <c r="E1537" s="211" t="s">
        <v>1898</v>
      </c>
      <c r="F1537" s="212">
        <v>43585</v>
      </c>
      <c r="G1537" s="213">
        <v>2.78</v>
      </c>
      <c r="H1537" s="256">
        <v>7185</v>
      </c>
      <c r="I1537" s="214">
        <v>1453732</v>
      </c>
      <c r="J1537" s="215">
        <v>21600</v>
      </c>
      <c r="K1537" s="212">
        <v>43593</v>
      </c>
      <c r="L1537" s="211" t="s">
        <v>1899</v>
      </c>
      <c r="M1537" s="216">
        <v>4615445946</v>
      </c>
      <c r="N1537" s="212"/>
      <c r="O1537" s="217"/>
      <c r="P1537" s="219"/>
      <c r="Q1537" s="34">
        <f>SUMIF(Allocation[Delivery ID],Allocation[[#This Row],[Delivery ID]],Allocation[Quantity Processed])</f>
        <v>701772</v>
      </c>
      <c r="R1537" s="61">
        <f>Allocation[[#This Row],[Total volume used]]/VLOOKUP(Allocation[[#This Row],[Delivery ID]],Delivery[[Delivery ID]:[Quantity delivered]],3,FALSE)</f>
        <v>0.98939090395137719</v>
      </c>
      <c r="S1537" s="34">
        <f>Allocation[[#This Row],[Quantity Processed]]/Allocation[[#This Row],[Dilution rate]]</f>
        <v>7832.0143884892095</v>
      </c>
      <c r="T1537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1537" s="61">
        <f>Allocation[[#This Row],[Total volume used]]/VLOOKUP(Allocation[[#This Row],[Delivery ID]],Delivery[[Delivery ID]:[Quantity delivered]],3,FALSE)</f>
        <v>0.98939090395137719</v>
      </c>
      <c r="V1537" s="34" t="e">
        <f>VLOOKUP(Allocation[[#This Row],[SAP Contract number]],Shipments[[SAP Contract number]:[Contracted container weight]],2,FALSE)</f>
        <v>#N/A</v>
      </c>
      <c r="W1537" s="34" t="e">
        <f>VLOOKUP(Allocation[[#This Row],[SAP Contract number]],Shipments[[SAP Contract number]:[AAA Premium USD]],24,FALSE)</f>
        <v>#N/A</v>
      </c>
      <c r="X1537" s="34" t="e">
        <f>VLOOKUP(Allocation[[#This Row],[SAP Contract number]],Shipments[[SAP Contract number]:[RA Premium USD]],25,FALSE)</f>
        <v>#N/A</v>
      </c>
      <c r="Y1537" s="38">
        <f>Allocation[[#This Row],[Quantity Processed]]/Allocation[[#This Row],[Quantity allocated]]</f>
        <v>3.0303409881697982</v>
      </c>
      <c r="Z1537" s="34" t="b">
        <f>Allocation[[#This Row],[Quantity allocated]]&lt;=Allocation[[#This Row],[Quantity Processed]]</f>
        <v>1</v>
      </c>
    </row>
    <row r="1538" spans="1:26">
      <c r="A1538" s="247" t="s">
        <v>467</v>
      </c>
      <c r="B1538" s="210" t="s">
        <v>68</v>
      </c>
      <c r="C1538" s="254" t="s">
        <v>1551</v>
      </c>
      <c r="D1538" s="255">
        <v>6012</v>
      </c>
      <c r="E1538" s="211" t="s">
        <v>1898</v>
      </c>
      <c r="F1538" s="212">
        <v>43585</v>
      </c>
      <c r="G1538" s="213">
        <v>2.78</v>
      </c>
      <c r="H1538" s="256">
        <v>1984</v>
      </c>
      <c r="I1538" s="214">
        <v>1453732</v>
      </c>
      <c r="J1538" s="215">
        <v>21600</v>
      </c>
      <c r="K1538" s="212">
        <v>43593</v>
      </c>
      <c r="L1538" s="211" t="s">
        <v>1899</v>
      </c>
      <c r="M1538" s="216">
        <v>4615445946</v>
      </c>
      <c r="N1538" s="212"/>
      <c r="O1538" s="217"/>
      <c r="P1538" s="219"/>
      <c r="Q1538" s="34">
        <f>SUMIF(Allocation[Delivery ID],Allocation[[#This Row],[Delivery ID]],Allocation[Quantity Processed])</f>
        <v>330000</v>
      </c>
      <c r="R1538" s="61">
        <f>Allocation[[#This Row],[Total volume used]]/VLOOKUP(Allocation[[#This Row],[Delivery ID]],Delivery[[Delivery ID]:[Quantity delivered]],3,FALSE)</f>
        <v>1</v>
      </c>
      <c r="S1538" s="34">
        <f>Allocation[[#This Row],[Quantity Processed]]/Allocation[[#This Row],[Dilution rate]]</f>
        <v>2162.5899280575541</v>
      </c>
      <c r="T1538" s="59">
        <f>SUMIF(Allocation[Delivery ID],Allocation[[#This Row],[Delivery ID]],Allocation[Quantity allocated])/SUMIF(Allocation[Delivery ID],Allocation[[#This Row],[Delivery ID]],Allocation[Volume available (kg)])</f>
        <v>0.98177301583052401</v>
      </c>
      <c r="U1538" s="61">
        <f>Allocation[[#This Row],[Total volume used]]/VLOOKUP(Allocation[[#This Row],[Delivery ID]],Delivery[[Delivery ID]:[Quantity delivered]],3,FALSE)</f>
        <v>1</v>
      </c>
      <c r="V1538" s="34" t="e">
        <f>VLOOKUP(Allocation[[#This Row],[SAP Contract number]],Shipments[[SAP Contract number]:[Contracted container weight]],2,FALSE)</f>
        <v>#N/A</v>
      </c>
      <c r="W1538" s="34" t="e">
        <f>VLOOKUP(Allocation[[#This Row],[SAP Contract number]],Shipments[[SAP Contract number]:[AAA Premium USD]],24,FALSE)</f>
        <v>#N/A</v>
      </c>
      <c r="X1538" s="34" t="e">
        <f>VLOOKUP(Allocation[[#This Row],[SAP Contract number]],Shipments[[SAP Contract number]:[RA Premium USD]],25,FALSE)</f>
        <v>#N/A</v>
      </c>
      <c r="Y1538" s="38">
        <f>Allocation[[#This Row],[Quantity Processed]]/Allocation[[#This Row],[Quantity allocated]]</f>
        <v>3.030241935483871</v>
      </c>
      <c r="Z1538" s="34" t="b">
        <f>Allocation[[#This Row],[Quantity allocated]]&lt;=Allocation[[#This Row],[Quantity Processed]]</f>
        <v>1</v>
      </c>
    </row>
    <row r="1539" spans="1:26">
      <c r="A1539" s="247" t="s">
        <v>467</v>
      </c>
      <c r="B1539" s="210" t="s">
        <v>68</v>
      </c>
      <c r="C1539" s="254" t="s">
        <v>1568</v>
      </c>
      <c r="D1539" s="255">
        <v>127</v>
      </c>
      <c r="E1539" s="211" t="s">
        <v>1898</v>
      </c>
      <c r="F1539" s="212">
        <v>43585</v>
      </c>
      <c r="G1539" s="213">
        <v>2.78</v>
      </c>
      <c r="H1539" s="256">
        <v>47</v>
      </c>
      <c r="I1539" s="214">
        <v>1453732</v>
      </c>
      <c r="J1539" s="215">
        <v>21600</v>
      </c>
      <c r="K1539" s="212">
        <v>43593</v>
      </c>
      <c r="L1539" s="211" t="s">
        <v>1899</v>
      </c>
      <c r="M1539" s="216">
        <v>4615445946</v>
      </c>
      <c r="N1539" s="212"/>
      <c r="O1539" s="217"/>
      <c r="P1539" s="219"/>
      <c r="Q1539" s="34">
        <f>SUMIF(Allocation[Delivery ID],Allocation[[#This Row],[Delivery ID]],Allocation[Quantity Processed])</f>
        <v>960</v>
      </c>
      <c r="R1539" s="61">
        <f>Allocation[[#This Row],[Total volume used]]/VLOOKUP(Allocation[[#This Row],[Delivery ID]],Delivery[[Delivery ID]:[Quantity delivered]],3,FALSE)</f>
        <v>1</v>
      </c>
      <c r="S1539" s="34">
        <f>Allocation[[#This Row],[Quantity Processed]]/Allocation[[#This Row],[Dilution rate]]</f>
        <v>45.683453237410077</v>
      </c>
      <c r="T1539" s="59">
        <f>SUMIF(Allocation[Delivery ID],Allocation[[#This Row],[Delivery ID]],Allocation[Quantity allocated])/SUMIF(Allocation[Delivery ID],Allocation[[#This Row],[Delivery ID]],Allocation[Volume available (kg)])</f>
        <v>1.0162044490804782</v>
      </c>
      <c r="U1539" s="61">
        <f>Allocation[[#This Row],[Total volume used]]/VLOOKUP(Allocation[[#This Row],[Delivery ID]],Delivery[[Delivery ID]:[Quantity delivered]],3,FALSE)</f>
        <v>1</v>
      </c>
      <c r="V1539" s="34" t="e">
        <f>VLOOKUP(Allocation[[#This Row],[SAP Contract number]],Shipments[[SAP Contract number]:[Contracted container weight]],2,FALSE)</f>
        <v>#N/A</v>
      </c>
      <c r="W1539" s="34" t="e">
        <f>VLOOKUP(Allocation[[#This Row],[SAP Contract number]],Shipments[[SAP Contract number]:[AAA Premium USD]],24,FALSE)</f>
        <v>#N/A</v>
      </c>
      <c r="X1539" s="34" t="e">
        <f>VLOOKUP(Allocation[[#This Row],[SAP Contract number]],Shipments[[SAP Contract number]:[RA Premium USD]],25,FALSE)</f>
        <v>#N/A</v>
      </c>
      <c r="Y1539" s="38">
        <f>Allocation[[#This Row],[Quantity Processed]]/Allocation[[#This Row],[Quantity allocated]]</f>
        <v>2.7021276595744679</v>
      </c>
      <c r="Z1539" s="34" t="b">
        <f>Allocation[[#This Row],[Quantity allocated]]&lt;=Allocation[[#This Row],[Quantity Processed]]</f>
        <v>1</v>
      </c>
    </row>
    <row r="1540" spans="1:26">
      <c r="A1540" s="247" t="s">
        <v>467</v>
      </c>
      <c r="B1540" s="210" t="s">
        <v>68</v>
      </c>
      <c r="C1540" s="254" t="s">
        <v>1569</v>
      </c>
      <c r="D1540" s="255">
        <v>4143</v>
      </c>
      <c r="E1540" s="211" t="s">
        <v>1898</v>
      </c>
      <c r="F1540" s="212">
        <v>43585</v>
      </c>
      <c r="G1540" s="213">
        <v>2.78</v>
      </c>
      <c r="H1540" s="256">
        <v>1533</v>
      </c>
      <c r="I1540" s="214">
        <v>1453732</v>
      </c>
      <c r="J1540" s="215">
        <v>21600</v>
      </c>
      <c r="K1540" s="212">
        <v>43593</v>
      </c>
      <c r="L1540" s="211" t="s">
        <v>1899</v>
      </c>
      <c r="M1540" s="216">
        <v>4615445946</v>
      </c>
      <c r="N1540" s="212"/>
      <c r="O1540" s="217"/>
      <c r="P1540" s="219"/>
      <c r="Q1540" s="34">
        <f>SUMIF(Allocation[Delivery ID],Allocation[[#This Row],[Delivery ID]],Allocation[Quantity Processed])</f>
        <v>31320</v>
      </c>
      <c r="R1540" s="61">
        <f>Allocation[[#This Row],[Total volume used]]/VLOOKUP(Allocation[[#This Row],[Delivery ID]],Delivery[[Delivery ID]:[Quantity delivered]],3,FALSE)</f>
        <v>1</v>
      </c>
      <c r="S1540" s="34">
        <f>Allocation[[#This Row],[Quantity Processed]]/Allocation[[#This Row],[Dilution rate]]</f>
        <v>1490.2877697841727</v>
      </c>
      <c r="T1540" s="59">
        <f>SUMIF(Allocation[Delivery ID],Allocation[[#This Row],[Delivery ID]],Allocation[Quantity allocated])/SUMIF(Allocation[Delivery ID],Allocation[[#This Row],[Delivery ID]],Allocation[Volume available (kg)])</f>
        <v>1.0154082081130293</v>
      </c>
      <c r="U1540" s="61">
        <f>Allocation[[#This Row],[Total volume used]]/VLOOKUP(Allocation[[#This Row],[Delivery ID]],Delivery[[Delivery ID]:[Quantity delivered]],3,FALSE)</f>
        <v>1</v>
      </c>
      <c r="V1540" s="34" t="e">
        <f>VLOOKUP(Allocation[[#This Row],[SAP Contract number]],Shipments[[SAP Contract number]:[Contracted container weight]],2,FALSE)</f>
        <v>#N/A</v>
      </c>
      <c r="W1540" s="34" t="e">
        <f>VLOOKUP(Allocation[[#This Row],[SAP Contract number]],Shipments[[SAP Contract number]:[AAA Premium USD]],24,FALSE)</f>
        <v>#N/A</v>
      </c>
      <c r="X1540" s="34" t="e">
        <f>VLOOKUP(Allocation[[#This Row],[SAP Contract number]],Shipments[[SAP Contract number]:[RA Premium USD]],25,FALSE)</f>
        <v>#N/A</v>
      </c>
      <c r="Y1540" s="38">
        <f>Allocation[[#This Row],[Quantity Processed]]/Allocation[[#This Row],[Quantity allocated]]</f>
        <v>2.7025440313111546</v>
      </c>
      <c r="Z1540" s="34" t="b">
        <f>Allocation[[#This Row],[Quantity allocated]]&lt;=Allocation[[#This Row],[Quantity Processed]]</f>
        <v>1</v>
      </c>
    </row>
    <row r="1541" spans="1:26">
      <c r="A1541" s="247" t="s">
        <v>467</v>
      </c>
      <c r="B1541" s="210" t="s">
        <v>68</v>
      </c>
      <c r="C1541" s="254" t="s">
        <v>1570</v>
      </c>
      <c r="D1541" s="255">
        <v>4054</v>
      </c>
      <c r="E1541" s="211" t="s">
        <v>1898</v>
      </c>
      <c r="F1541" s="212">
        <v>43585</v>
      </c>
      <c r="G1541" s="213">
        <v>2.78</v>
      </c>
      <c r="H1541" s="256">
        <v>1500</v>
      </c>
      <c r="I1541" s="214">
        <v>1453732</v>
      </c>
      <c r="J1541" s="215">
        <v>21600</v>
      </c>
      <c r="K1541" s="212">
        <v>43593</v>
      </c>
      <c r="L1541" s="211" t="s">
        <v>1899</v>
      </c>
      <c r="M1541" s="216">
        <v>4615445946</v>
      </c>
      <c r="N1541" s="212"/>
      <c r="O1541" s="217"/>
      <c r="P1541" s="219"/>
      <c r="Q1541" s="34">
        <f>SUMIF(Allocation[Delivery ID],Allocation[[#This Row],[Delivery ID]],Allocation[Quantity Processed])</f>
        <v>30630</v>
      </c>
      <c r="R1541" s="61">
        <f>Allocation[[#This Row],[Total volume used]]/VLOOKUP(Allocation[[#This Row],[Delivery ID]],Delivery[[Delivery ID]:[Quantity delivered]],3,FALSE)</f>
        <v>1</v>
      </c>
      <c r="S1541" s="34">
        <f>Allocation[[#This Row],[Quantity Processed]]/Allocation[[#This Row],[Dilution rate]]</f>
        <v>1458.2733812949641</v>
      </c>
      <c r="T1541" s="59">
        <f>SUMIF(Allocation[Delivery ID],Allocation[[#This Row],[Delivery ID]],Allocation[Quantity allocated])/SUMIF(Allocation[Delivery ID],Allocation[[#This Row],[Delivery ID]],Allocation[Volume available (kg)])</f>
        <v>1.0160266414977763</v>
      </c>
      <c r="U1541" s="61">
        <f>Allocation[[#This Row],[Total volume used]]/VLOOKUP(Allocation[[#This Row],[Delivery ID]],Delivery[[Delivery ID]:[Quantity delivered]],3,FALSE)</f>
        <v>1</v>
      </c>
      <c r="V1541" s="34" t="e">
        <f>VLOOKUP(Allocation[[#This Row],[SAP Contract number]],Shipments[[SAP Contract number]:[Contracted container weight]],2,FALSE)</f>
        <v>#N/A</v>
      </c>
      <c r="W1541" s="34" t="e">
        <f>VLOOKUP(Allocation[[#This Row],[SAP Contract number]],Shipments[[SAP Contract number]:[AAA Premium USD]],24,FALSE)</f>
        <v>#N/A</v>
      </c>
      <c r="X1541" s="34" t="e">
        <f>VLOOKUP(Allocation[[#This Row],[SAP Contract number]],Shipments[[SAP Contract number]:[RA Premium USD]],25,FALSE)</f>
        <v>#N/A</v>
      </c>
      <c r="Y1541" s="38">
        <f>Allocation[[#This Row],[Quantity Processed]]/Allocation[[#This Row],[Quantity allocated]]</f>
        <v>2.7026666666666666</v>
      </c>
      <c r="Z1541" s="34" t="b">
        <f>Allocation[[#This Row],[Quantity allocated]]&lt;=Allocation[[#This Row],[Quantity Processed]]</f>
        <v>1</v>
      </c>
    </row>
    <row r="1542" spans="1:26">
      <c r="A1542" s="247" t="s">
        <v>467</v>
      </c>
      <c r="B1542" s="210" t="s">
        <v>68</v>
      </c>
      <c r="C1542" s="254" t="s">
        <v>1571</v>
      </c>
      <c r="D1542" s="255">
        <v>4000</v>
      </c>
      <c r="E1542" s="211" t="s">
        <v>1898</v>
      </c>
      <c r="F1542" s="212">
        <v>43585</v>
      </c>
      <c r="G1542" s="213">
        <v>2.78</v>
      </c>
      <c r="H1542" s="256">
        <v>1480</v>
      </c>
      <c r="I1542" s="214">
        <v>1453732</v>
      </c>
      <c r="J1542" s="215">
        <v>21600</v>
      </c>
      <c r="K1542" s="212">
        <v>43593</v>
      </c>
      <c r="L1542" s="211" t="s">
        <v>1899</v>
      </c>
      <c r="M1542" s="216">
        <v>4615445946</v>
      </c>
      <c r="N1542" s="212"/>
      <c r="O1542" s="217"/>
      <c r="P1542" s="219"/>
      <c r="Q1542" s="34">
        <f>SUMIF(Allocation[Delivery ID],Allocation[[#This Row],[Delivery ID]],Allocation[Quantity Processed])</f>
        <v>30000</v>
      </c>
      <c r="R1542" s="61">
        <f>Allocation[[#This Row],[Total volume used]]/VLOOKUP(Allocation[[#This Row],[Delivery ID]],Delivery[[Delivery ID]:[Quantity delivered]],3,FALSE)</f>
        <v>1</v>
      </c>
      <c r="S1542" s="34">
        <f>Allocation[[#This Row],[Quantity Processed]]/Allocation[[#This Row],[Dilution rate]]</f>
        <v>1438.8489208633096</v>
      </c>
      <c r="T1542" s="59">
        <f>SUMIF(Allocation[Delivery ID],Allocation[[#This Row],[Delivery ID]],Allocation[Quantity allocated])/SUMIF(Allocation[Delivery ID],Allocation[[#This Row],[Delivery ID]],Allocation[Volume available (kg)])</f>
        <v>1.0161861635220126</v>
      </c>
      <c r="U1542" s="61">
        <f>Allocation[[#This Row],[Total volume used]]/VLOOKUP(Allocation[[#This Row],[Delivery ID]],Delivery[[Delivery ID]:[Quantity delivered]],3,FALSE)</f>
        <v>1</v>
      </c>
      <c r="V1542" s="34" t="e">
        <f>VLOOKUP(Allocation[[#This Row],[SAP Contract number]],Shipments[[SAP Contract number]:[Contracted container weight]],2,FALSE)</f>
        <v>#N/A</v>
      </c>
      <c r="W1542" s="34" t="e">
        <f>VLOOKUP(Allocation[[#This Row],[SAP Contract number]],Shipments[[SAP Contract number]:[AAA Premium USD]],24,FALSE)</f>
        <v>#N/A</v>
      </c>
      <c r="X1542" s="34" t="e">
        <f>VLOOKUP(Allocation[[#This Row],[SAP Contract number]],Shipments[[SAP Contract number]:[RA Premium USD]],25,FALSE)</f>
        <v>#N/A</v>
      </c>
      <c r="Y1542" s="38">
        <f>Allocation[[#This Row],[Quantity Processed]]/Allocation[[#This Row],[Quantity allocated]]</f>
        <v>2.7027027027027026</v>
      </c>
      <c r="Z1542" s="34" t="b">
        <f>Allocation[[#This Row],[Quantity allocated]]&lt;=Allocation[[#This Row],[Quantity Processed]]</f>
        <v>1</v>
      </c>
    </row>
    <row r="1543" spans="1:26">
      <c r="A1543" s="247" t="s">
        <v>467</v>
      </c>
      <c r="B1543" s="210" t="s">
        <v>68</v>
      </c>
      <c r="C1543" s="254" t="s">
        <v>1572</v>
      </c>
      <c r="D1543" s="255">
        <v>2611</v>
      </c>
      <c r="E1543" s="211" t="s">
        <v>1898</v>
      </c>
      <c r="F1543" s="212">
        <v>43585</v>
      </c>
      <c r="G1543" s="213">
        <v>2.78</v>
      </c>
      <c r="H1543" s="256">
        <v>966</v>
      </c>
      <c r="I1543" s="214">
        <v>1453732</v>
      </c>
      <c r="J1543" s="215">
        <v>21600</v>
      </c>
      <c r="K1543" s="212">
        <v>43593</v>
      </c>
      <c r="L1543" s="211" t="s">
        <v>1899</v>
      </c>
      <c r="M1543" s="216">
        <v>4615445946</v>
      </c>
      <c r="N1543" s="212"/>
      <c r="O1543" s="217"/>
      <c r="P1543" s="219"/>
      <c r="Q1543" s="34">
        <f>SUMIF(Allocation[Delivery ID],Allocation[[#This Row],[Delivery ID]],Allocation[Quantity Processed])</f>
        <v>19750</v>
      </c>
      <c r="R1543" s="61">
        <f>Allocation[[#This Row],[Total volume used]]/VLOOKUP(Allocation[[#This Row],[Delivery ID]],Delivery[[Delivery ID]:[Quantity delivered]],3,FALSE)</f>
        <v>1</v>
      </c>
      <c r="S1543" s="34">
        <f>Allocation[[#This Row],[Quantity Processed]]/Allocation[[#This Row],[Dilution rate]]</f>
        <v>939.20863309352524</v>
      </c>
      <c r="T1543" s="59">
        <f>SUMIF(Allocation[Delivery ID],Allocation[[#This Row],[Delivery ID]],Allocation[Quantity allocated])/SUMIF(Allocation[Delivery ID],Allocation[[#This Row],[Delivery ID]],Allocation[Volume available (kg)])</f>
        <v>1.0148541141346141</v>
      </c>
      <c r="U1543" s="61">
        <f>Allocation[[#This Row],[Total volume used]]/VLOOKUP(Allocation[[#This Row],[Delivery ID]],Delivery[[Delivery ID]:[Quantity delivered]],3,FALSE)</f>
        <v>1</v>
      </c>
      <c r="V1543" s="34" t="e">
        <f>VLOOKUP(Allocation[[#This Row],[SAP Contract number]],Shipments[[SAP Contract number]:[Contracted container weight]],2,FALSE)</f>
        <v>#N/A</v>
      </c>
      <c r="W1543" s="34" t="e">
        <f>VLOOKUP(Allocation[[#This Row],[SAP Contract number]],Shipments[[SAP Contract number]:[AAA Premium USD]],24,FALSE)</f>
        <v>#N/A</v>
      </c>
      <c r="X1543" s="34" t="e">
        <f>VLOOKUP(Allocation[[#This Row],[SAP Contract number]],Shipments[[SAP Contract number]:[RA Premium USD]],25,FALSE)</f>
        <v>#N/A</v>
      </c>
      <c r="Y1543" s="38">
        <f>Allocation[[#This Row],[Quantity Processed]]/Allocation[[#This Row],[Quantity allocated]]</f>
        <v>2.7028985507246377</v>
      </c>
      <c r="Z1543" s="34" t="b">
        <f>Allocation[[#This Row],[Quantity allocated]]&lt;=Allocation[[#This Row],[Quantity Processed]]</f>
        <v>1</v>
      </c>
    </row>
    <row r="1544" spans="1:26">
      <c r="A1544" s="247" t="s">
        <v>467</v>
      </c>
      <c r="B1544" s="210" t="s">
        <v>68</v>
      </c>
      <c r="C1544" s="254" t="s">
        <v>1573</v>
      </c>
      <c r="D1544" s="255">
        <v>1230</v>
      </c>
      <c r="E1544" s="211" t="s">
        <v>1898</v>
      </c>
      <c r="F1544" s="212">
        <v>43585</v>
      </c>
      <c r="G1544" s="213">
        <v>2.78</v>
      </c>
      <c r="H1544" s="256">
        <v>455</v>
      </c>
      <c r="I1544" s="214">
        <v>1453732</v>
      </c>
      <c r="J1544" s="215">
        <v>21600</v>
      </c>
      <c r="K1544" s="212">
        <v>43593</v>
      </c>
      <c r="L1544" s="211" t="s">
        <v>1899</v>
      </c>
      <c r="M1544" s="216">
        <v>4615445946</v>
      </c>
      <c r="N1544" s="212"/>
      <c r="O1544" s="217"/>
      <c r="P1544" s="219"/>
      <c r="Q1544" s="34">
        <f>SUMIF(Allocation[Delivery ID],Allocation[[#This Row],[Delivery ID]],Allocation[Quantity Processed])</f>
        <v>13087</v>
      </c>
      <c r="R1544" s="61">
        <f>Allocation[[#This Row],[Total volume used]]/VLOOKUP(Allocation[[#This Row],[Delivery ID]],Delivery[[Delivery ID]:[Quantity delivered]],3,FALSE)</f>
        <v>0.42767973856209152</v>
      </c>
      <c r="S1544" s="34">
        <f>Allocation[[#This Row],[Quantity Processed]]/Allocation[[#This Row],[Dilution rate]]</f>
        <v>442.44604316546764</v>
      </c>
      <c r="T1544" s="59">
        <f>SUMIF(Allocation[Delivery ID],Allocation[[#This Row],[Delivery ID]],Allocation[Quantity allocated])/SUMIF(Allocation[Delivery ID],Allocation[[#This Row],[Delivery ID]],Allocation[Volume available (kg)])</f>
        <v>1.0906960514135715</v>
      </c>
      <c r="U1544" s="61">
        <f>Allocation[[#This Row],[Total volume used]]/VLOOKUP(Allocation[[#This Row],[Delivery ID]],Delivery[[Delivery ID]:[Quantity delivered]],3,FALSE)</f>
        <v>0.42767973856209152</v>
      </c>
      <c r="V1544" s="34" t="e">
        <f>VLOOKUP(Allocation[[#This Row],[SAP Contract number]],Shipments[[SAP Contract number]:[Contracted container weight]],2,FALSE)</f>
        <v>#N/A</v>
      </c>
      <c r="W1544" s="34" t="e">
        <f>VLOOKUP(Allocation[[#This Row],[SAP Contract number]],Shipments[[SAP Contract number]:[AAA Premium USD]],24,FALSE)</f>
        <v>#N/A</v>
      </c>
      <c r="X1544" s="34" t="e">
        <f>VLOOKUP(Allocation[[#This Row],[SAP Contract number]],Shipments[[SAP Contract number]:[RA Premium USD]],25,FALSE)</f>
        <v>#N/A</v>
      </c>
      <c r="Y1544" s="38">
        <f>Allocation[[#This Row],[Quantity Processed]]/Allocation[[#This Row],[Quantity allocated]]</f>
        <v>2.7032967032967035</v>
      </c>
      <c r="Z1544" s="34" t="b">
        <f>Allocation[[#This Row],[Quantity allocated]]&lt;=Allocation[[#This Row],[Quantity Processed]]</f>
        <v>1</v>
      </c>
    </row>
    <row r="1545" spans="1:26">
      <c r="A1545" s="247" t="s">
        <v>467</v>
      </c>
      <c r="B1545" s="210" t="s">
        <v>68</v>
      </c>
      <c r="C1545" s="254" t="s">
        <v>1574</v>
      </c>
      <c r="D1545" s="255">
        <v>4005</v>
      </c>
      <c r="E1545" s="211" t="s">
        <v>1898</v>
      </c>
      <c r="F1545" s="212">
        <v>43585</v>
      </c>
      <c r="G1545" s="213">
        <v>2.78</v>
      </c>
      <c r="H1545" s="256">
        <v>1482</v>
      </c>
      <c r="I1545" s="214">
        <v>1453732</v>
      </c>
      <c r="J1545" s="215">
        <v>21600</v>
      </c>
      <c r="K1545" s="212">
        <v>43593</v>
      </c>
      <c r="L1545" s="211" t="s">
        <v>1899</v>
      </c>
      <c r="M1545" s="216">
        <v>4615445946</v>
      </c>
      <c r="N1545" s="212"/>
      <c r="O1545" s="217"/>
      <c r="P1545" s="219"/>
      <c r="Q1545" s="34">
        <f>SUMIF(Allocation[Delivery ID],Allocation[[#This Row],[Delivery ID]],Allocation[Quantity Processed])</f>
        <v>29976.5</v>
      </c>
      <c r="R1545" s="61">
        <f>Allocation[[#This Row],[Total volume used]]/VLOOKUP(Allocation[[#This Row],[Delivery ID]],Delivery[[Delivery ID]:[Quantity delivered]],3,FALSE)</f>
        <v>1</v>
      </c>
      <c r="S1545" s="34">
        <f>Allocation[[#This Row],[Quantity Processed]]/Allocation[[#This Row],[Dilution rate]]</f>
        <v>1440.6474820143885</v>
      </c>
      <c r="T1545" s="59">
        <f>SUMIF(Allocation[Delivery ID],Allocation[[#This Row],[Delivery ID]],Allocation[Quantity allocated])/SUMIF(Allocation[Delivery ID],Allocation[[#This Row],[Delivery ID]],Allocation[Volume available (kg)])</f>
        <v>1.0173507878892345</v>
      </c>
      <c r="U1545" s="61">
        <f>Allocation[[#This Row],[Total volume used]]/VLOOKUP(Allocation[[#This Row],[Delivery ID]],Delivery[[Delivery ID]:[Quantity delivered]],3,FALSE)</f>
        <v>1</v>
      </c>
      <c r="V1545" s="34" t="e">
        <f>VLOOKUP(Allocation[[#This Row],[SAP Contract number]],Shipments[[SAP Contract number]:[Contracted container weight]],2,FALSE)</f>
        <v>#N/A</v>
      </c>
      <c r="W1545" s="34" t="e">
        <f>VLOOKUP(Allocation[[#This Row],[SAP Contract number]],Shipments[[SAP Contract number]:[AAA Premium USD]],24,FALSE)</f>
        <v>#N/A</v>
      </c>
      <c r="X1545" s="34" t="e">
        <f>VLOOKUP(Allocation[[#This Row],[SAP Contract number]],Shipments[[SAP Contract number]:[RA Premium USD]],25,FALSE)</f>
        <v>#N/A</v>
      </c>
      <c r="Y1545" s="38">
        <f>Allocation[[#This Row],[Quantity Processed]]/Allocation[[#This Row],[Quantity allocated]]</f>
        <v>2.7024291497975708</v>
      </c>
      <c r="Z1545" s="34" t="b">
        <f>Allocation[[#This Row],[Quantity allocated]]&lt;=Allocation[[#This Row],[Quantity Processed]]</f>
        <v>1</v>
      </c>
    </row>
    <row r="1546" spans="1:26">
      <c r="A1546" s="247" t="s">
        <v>467</v>
      </c>
      <c r="B1546" s="210" t="s">
        <v>68</v>
      </c>
      <c r="C1546" s="254" t="s">
        <v>1575</v>
      </c>
      <c r="D1546" s="255">
        <v>1000</v>
      </c>
      <c r="E1546" s="211" t="s">
        <v>1898</v>
      </c>
      <c r="F1546" s="212">
        <v>43585</v>
      </c>
      <c r="G1546" s="213">
        <v>2.78</v>
      </c>
      <c r="H1546" s="256">
        <v>370</v>
      </c>
      <c r="I1546" s="214">
        <v>1453732</v>
      </c>
      <c r="J1546" s="215">
        <v>21600</v>
      </c>
      <c r="K1546" s="212">
        <v>43593</v>
      </c>
      <c r="L1546" s="211" t="s">
        <v>1899</v>
      </c>
      <c r="M1546" s="216">
        <v>4615445946</v>
      </c>
      <c r="N1546" s="212"/>
      <c r="O1546" s="217"/>
      <c r="P1546" s="219"/>
      <c r="Q1546" s="34">
        <f>SUMIF(Allocation[Delivery ID],Allocation[[#This Row],[Delivery ID]],Allocation[Quantity Processed])</f>
        <v>7553.5</v>
      </c>
      <c r="R1546" s="61">
        <f>Allocation[[#This Row],[Total volume used]]/VLOOKUP(Allocation[[#This Row],[Delivery ID]],Delivery[[Delivery ID]:[Quantity delivered]],3,FALSE)</f>
        <v>1</v>
      </c>
      <c r="S1546" s="34">
        <f>Allocation[[#This Row],[Quantity Processed]]/Allocation[[#This Row],[Dilution rate]]</f>
        <v>359.71223021582739</v>
      </c>
      <c r="T1546" s="59">
        <f>SUMIF(Allocation[Delivery ID],Allocation[[#This Row],[Delivery ID]],Allocation[Quantity allocated])/SUMIF(Allocation[Delivery ID],Allocation[[#This Row],[Delivery ID]],Allocation[Volume available (kg)])</f>
        <v>1.0158702283952961</v>
      </c>
      <c r="U1546" s="61">
        <f>Allocation[[#This Row],[Total volume used]]/VLOOKUP(Allocation[[#This Row],[Delivery ID]],Delivery[[Delivery ID]:[Quantity delivered]],3,FALSE)</f>
        <v>1</v>
      </c>
      <c r="V1546" s="34" t="e">
        <f>VLOOKUP(Allocation[[#This Row],[SAP Contract number]],Shipments[[SAP Contract number]:[Contracted container weight]],2,FALSE)</f>
        <v>#N/A</v>
      </c>
      <c r="W1546" s="34" t="e">
        <f>VLOOKUP(Allocation[[#This Row],[SAP Contract number]],Shipments[[SAP Contract number]:[AAA Premium USD]],24,FALSE)</f>
        <v>#N/A</v>
      </c>
      <c r="X1546" s="34" t="e">
        <f>VLOOKUP(Allocation[[#This Row],[SAP Contract number]],Shipments[[SAP Contract number]:[RA Premium USD]],25,FALSE)</f>
        <v>#N/A</v>
      </c>
      <c r="Y1546" s="38">
        <f>Allocation[[#This Row],[Quantity Processed]]/Allocation[[#This Row],[Quantity allocated]]</f>
        <v>2.7027027027027026</v>
      </c>
      <c r="Z1546" s="34" t="b">
        <f>Allocation[[#This Row],[Quantity allocated]]&lt;=Allocation[[#This Row],[Quantity Processed]]</f>
        <v>1</v>
      </c>
    </row>
    <row r="1547" spans="1:26">
      <c r="A1547" s="247" t="s">
        <v>467</v>
      </c>
      <c r="B1547" s="210" t="s">
        <v>68</v>
      </c>
      <c r="C1547" s="254" t="s">
        <v>1576</v>
      </c>
      <c r="D1547" s="255">
        <v>2711</v>
      </c>
      <c r="E1547" s="211" t="s">
        <v>1898</v>
      </c>
      <c r="F1547" s="212">
        <v>43585</v>
      </c>
      <c r="G1547" s="213">
        <v>2.78</v>
      </c>
      <c r="H1547" s="256">
        <v>1003</v>
      </c>
      <c r="I1547" s="214">
        <v>1453732</v>
      </c>
      <c r="J1547" s="215">
        <v>21600</v>
      </c>
      <c r="K1547" s="212">
        <v>43593</v>
      </c>
      <c r="L1547" s="211" t="s">
        <v>1899</v>
      </c>
      <c r="M1547" s="216">
        <v>4615445946</v>
      </c>
      <c r="N1547" s="212"/>
      <c r="O1547" s="217"/>
      <c r="P1547" s="219"/>
      <c r="Q1547" s="34">
        <f>SUMIF(Allocation[Delivery ID],Allocation[[#This Row],[Delivery ID]],Allocation[Quantity Processed])</f>
        <v>20506</v>
      </c>
      <c r="R1547" s="61">
        <f>Allocation[[#This Row],[Total volume used]]/VLOOKUP(Allocation[[#This Row],[Delivery ID]],Delivery[[Delivery ID]:[Quantity delivered]],3,FALSE)</f>
        <v>1</v>
      </c>
      <c r="S1547" s="34">
        <f>Allocation[[#This Row],[Quantity Processed]]/Allocation[[#This Row],[Dilution rate]]</f>
        <v>975.17985611510801</v>
      </c>
      <c r="T1547" s="59">
        <f>SUMIF(Allocation[Delivery ID],Allocation[[#This Row],[Delivery ID]],Allocation[Quantity allocated])/SUMIF(Allocation[Delivery ID],Allocation[[#This Row],[Delivery ID]],Allocation[Volume available (kg)])</f>
        <v>1.0150381378198721</v>
      </c>
      <c r="U1547" s="61">
        <f>Allocation[[#This Row],[Total volume used]]/VLOOKUP(Allocation[[#This Row],[Delivery ID]],Delivery[[Delivery ID]:[Quantity delivered]],3,FALSE)</f>
        <v>1</v>
      </c>
      <c r="V1547" s="34" t="e">
        <f>VLOOKUP(Allocation[[#This Row],[SAP Contract number]],Shipments[[SAP Contract number]:[Contracted container weight]],2,FALSE)</f>
        <v>#N/A</v>
      </c>
      <c r="W1547" s="34" t="e">
        <f>VLOOKUP(Allocation[[#This Row],[SAP Contract number]],Shipments[[SAP Contract number]:[AAA Premium USD]],24,FALSE)</f>
        <v>#N/A</v>
      </c>
      <c r="X1547" s="34" t="e">
        <f>VLOOKUP(Allocation[[#This Row],[SAP Contract number]],Shipments[[SAP Contract number]:[RA Premium USD]],25,FALSE)</f>
        <v>#N/A</v>
      </c>
      <c r="Y1547" s="38">
        <f>Allocation[[#This Row],[Quantity Processed]]/Allocation[[#This Row],[Quantity allocated]]</f>
        <v>2.702891326021934</v>
      </c>
      <c r="Z1547" s="34" t="b">
        <f>Allocation[[#This Row],[Quantity allocated]]&lt;=Allocation[[#This Row],[Quantity Processed]]</f>
        <v>1</v>
      </c>
    </row>
    <row r="1548" spans="1:26">
      <c r="A1548" s="247" t="s">
        <v>467</v>
      </c>
      <c r="B1548" s="210" t="s">
        <v>68</v>
      </c>
      <c r="C1548" s="254" t="s">
        <v>1577</v>
      </c>
      <c r="D1548" s="255">
        <v>492</v>
      </c>
      <c r="E1548" s="211" t="s">
        <v>1898</v>
      </c>
      <c r="F1548" s="212">
        <v>43585</v>
      </c>
      <c r="G1548" s="213">
        <v>2.78</v>
      </c>
      <c r="H1548" s="256">
        <v>182</v>
      </c>
      <c r="I1548" s="214">
        <v>1453732</v>
      </c>
      <c r="J1548" s="215">
        <v>21600</v>
      </c>
      <c r="K1548" s="212">
        <v>43593</v>
      </c>
      <c r="L1548" s="211" t="s">
        <v>1899</v>
      </c>
      <c r="M1548" s="216">
        <v>4615445946</v>
      </c>
      <c r="N1548" s="212"/>
      <c r="O1548" s="217"/>
      <c r="P1548" s="219"/>
      <c r="Q1548" s="34">
        <f>SUMIF(Allocation[Delivery ID],Allocation[[#This Row],[Delivery ID]],Allocation[Quantity Processed])</f>
        <v>3717.5</v>
      </c>
      <c r="R1548" s="61">
        <f>Allocation[[#This Row],[Total volume used]]/VLOOKUP(Allocation[[#This Row],[Delivery ID]],Delivery[[Delivery ID]:[Quantity delivered]],3,FALSE)</f>
        <v>1</v>
      </c>
      <c r="S1548" s="34">
        <f>Allocation[[#This Row],[Quantity Processed]]/Allocation[[#This Row],[Dilution rate]]</f>
        <v>176.97841726618705</v>
      </c>
      <c r="T1548" s="59">
        <f>SUMIF(Allocation[Delivery ID],Allocation[[#This Row],[Delivery ID]],Allocation[Quantity allocated])/SUMIF(Allocation[Delivery ID],Allocation[[#This Row],[Delivery ID]],Allocation[Volume available (kg)])</f>
        <v>1.0151279170883722</v>
      </c>
      <c r="U1548" s="61">
        <f>Allocation[[#This Row],[Total volume used]]/VLOOKUP(Allocation[[#This Row],[Delivery ID]],Delivery[[Delivery ID]:[Quantity delivered]],3,FALSE)</f>
        <v>1</v>
      </c>
      <c r="V1548" s="34" t="e">
        <f>VLOOKUP(Allocation[[#This Row],[SAP Contract number]],Shipments[[SAP Contract number]:[Contracted container weight]],2,FALSE)</f>
        <v>#N/A</v>
      </c>
      <c r="W1548" s="34" t="e">
        <f>VLOOKUP(Allocation[[#This Row],[SAP Contract number]],Shipments[[SAP Contract number]:[AAA Premium USD]],24,FALSE)</f>
        <v>#N/A</v>
      </c>
      <c r="X1548" s="34" t="e">
        <f>VLOOKUP(Allocation[[#This Row],[SAP Contract number]],Shipments[[SAP Contract number]:[RA Premium USD]],25,FALSE)</f>
        <v>#N/A</v>
      </c>
      <c r="Y1548" s="38">
        <f>Allocation[[#This Row],[Quantity Processed]]/Allocation[[#This Row],[Quantity allocated]]</f>
        <v>2.7032967032967035</v>
      </c>
      <c r="Z1548" s="34" t="b">
        <f>Allocation[[#This Row],[Quantity allocated]]&lt;=Allocation[[#This Row],[Quantity Processed]]</f>
        <v>1</v>
      </c>
    </row>
    <row r="1549" spans="1:26">
      <c r="A1549" s="247" t="s">
        <v>467</v>
      </c>
      <c r="B1549" s="210" t="s">
        <v>68</v>
      </c>
      <c r="C1549" s="254" t="s">
        <v>1578</v>
      </c>
      <c r="D1549" s="255">
        <v>2576</v>
      </c>
      <c r="E1549" s="211" t="s">
        <v>1898</v>
      </c>
      <c r="F1549" s="212">
        <v>43585</v>
      </c>
      <c r="G1549" s="213">
        <v>2.78</v>
      </c>
      <c r="H1549" s="256">
        <v>953</v>
      </c>
      <c r="I1549" s="214">
        <v>1453732</v>
      </c>
      <c r="J1549" s="215">
        <v>21600</v>
      </c>
      <c r="K1549" s="212">
        <v>43593</v>
      </c>
      <c r="L1549" s="211" t="s">
        <v>1899</v>
      </c>
      <c r="M1549" s="216">
        <v>4615445946</v>
      </c>
      <c r="N1549" s="212"/>
      <c r="O1549" s="217"/>
      <c r="P1549" s="219"/>
      <c r="Q1549" s="34">
        <f>SUMIF(Allocation[Delivery ID],Allocation[[#This Row],[Delivery ID]],Allocation[Quantity Processed])</f>
        <v>19486</v>
      </c>
      <c r="R1549" s="61">
        <f>Allocation[[#This Row],[Total volume used]]/VLOOKUP(Allocation[[#This Row],[Delivery ID]],Delivery[[Delivery ID]:[Quantity delivered]],3,FALSE)</f>
        <v>0.99997434121058171</v>
      </c>
      <c r="S1549" s="34">
        <f>Allocation[[#This Row],[Quantity Processed]]/Allocation[[#This Row],[Dilution rate]]</f>
        <v>926.61870503597129</v>
      </c>
      <c r="T1549" s="59">
        <f>SUMIF(Allocation[Delivery ID],Allocation[[#This Row],[Delivery ID]],Allocation[Quantity allocated])/SUMIF(Allocation[Delivery ID],Allocation[[#This Row],[Delivery ID]],Allocation[Volume available (kg)])</f>
        <v>1.0146067767197817</v>
      </c>
      <c r="U1549" s="61">
        <f>Allocation[[#This Row],[Total volume used]]/VLOOKUP(Allocation[[#This Row],[Delivery ID]],Delivery[[Delivery ID]:[Quantity delivered]],3,FALSE)</f>
        <v>0.99997434121058171</v>
      </c>
      <c r="V1549" s="34" t="e">
        <f>VLOOKUP(Allocation[[#This Row],[SAP Contract number]],Shipments[[SAP Contract number]:[Contracted container weight]],2,FALSE)</f>
        <v>#N/A</v>
      </c>
      <c r="W1549" s="34" t="e">
        <f>VLOOKUP(Allocation[[#This Row],[SAP Contract number]],Shipments[[SAP Contract number]:[AAA Premium USD]],24,FALSE)</f>
        <v>#N/A</v>
      </c>
      <c r="X1549" s="34" t="e">
        <f>VLOOKUP(Allocation[[#This Row],[SAP Contract number]],Shipments[[SAP Contract number]:[RA Premium USD]],25,FALSE)</f>
        <v>#N/A</v>
      </c>
      <c r="Y1549" s="38">
        <f>Allocation[[#This Row],[Quantity Processed]]/Allocation[[#This Row],[Quantity allocated]]</f>
        <v>2.7030430220356769</v>
      </c>
      <c r="Z1549" s="34" t="b">
        <f>Allocation[[#This Row],[Quantity allocated]]&lt;=Allocation[[#This Row],[Quantity Processed]]</f>
        <v>1</v>
      </c>
    </row>
    <row r="1550" spans="1:26">
      <c r="A1550" s="247" t="s">
        <v>467</v>
      </c>
      <c r="B1550" s="210" t="s">
        <v>68</v>
      </c>
      <c r="C1550" s="254" t="s">
        <v>1579</v>
      </c>
      <c r="D1550" s="255">
        <v>3968</v>
      </c>
      <c r="E1550" s="211" t="s">
        <v>1898</v>
      </c>
      <c r="F1550" s="212">
        <v>43585</v>
      </c>
      <c r="G1550" s="213">
        <v>2.78</v>
      </c>
      <c r="H1550" s="256">
        <v>1468</v>
      </c>
      <c r="I1550" s="214">
        <v>1453732</v>
      </c>
      <c r="J1550" s="215">
        <v>21600</v>
      </c>
      <c r="K1550" s="212">
        <v>43593</v>
      </c>
      <c r="L1550" s="211" t="s">
        <v>1899</v>
      </c>
      <c r="M1550" s="216">
        <v>4615445946</v>
      </c>
      <c r="N1550" s="212"/>
      <c r="O1550" s="217"/>
      <c r="P1550" s="219"/>
      <c r="Q1550" s="34">
        <f>SUMIF(Allocation[Delivery ID],Allocation[[#This Row],[Delivery ID]],Allocation[Quantity Processed])</f>
        <v>30000</v>
      </c>
      <c r="R1550" s="61">
        <f>Allocation[[#This Row],[Total volume used]]/VLOOKUP(Allocation[[#This Row],[Delivery ID]],Delivery[[Delivery ID]:[Quantity delivered]],3,FALSE)</f>
        <v>1</v>
      </c>
      <c r="S1550" s="34">
        <f>Allocation[[#This Row],[Quantity Processed]]/Allocation[[#This Row],[Dilution rate]]</f>
        <v>1427.3381294964029</v>
      </c>
      <c r="T1550" s="59">
        <f>SUMIF(Allocation[Delivery ID],Allocation[[#This Row],[Delivery ID]],Allocation[Quantity allocated])/SUMIF(Allocation[Delivery ID],Allocation[[#This Row],[Delivery ID]],Allocation[Volume available (kg)])</f>
        <v>1.0137551617110372</v>
      </c>
      <c r="U1550" s="61">
        <f>Allocation[[#This Row],[Total volume used]]/VLOOKUP(Allocation[[#This Row],[Delivery ID]],Delivery[[Delivery ID]:[Quantity delivered]],3,FALSE)</f>
        <v>1</v>
      </c>
      <c r="V1550" s="34" t="e">
        <f>VLOOKUP(Allocation[[#This Row],[SAP Contract number]],Shipments[[SAP Contract number]:[Contracted container weight]],2,FALSE)</f>
        <v>#N/A</v>
      </c>
      <c r="W1550" s="34" t="e">
        <f>VLOOKUP(Allocation[[#This Row],[SAP Contract number]],Shipments[[SAP Contract number]:[AAA Premium USD]],24,FALSE)</f>
        <v>#N/A</v>
      </c>
      <c r="X1550" s="34" t="e">
        <f>VLOOKUP(Allocation[[#This Row],[SAP Contract number]],Shipments[[SAP Contract number]:[RA Premium USD]],25,FALSE)</f>
        <v>#N/A</v>
      </c>
      <c r="Y1550" s="38">
        <f>Allocation[[#This Row],[Quantity Processed]]/Allocation[[#This Row],[Quantity allocated]]</f>
        <v>2.7029972752043596</v>
      </c>
      <c r="Z1550" s="34" t="b">
        <f>Allocation[[#This Row],[Quantity allocated]]&lt;=Allocation[[#This Row],[Quantity Processed]]</f>
        <v>1</v>
      </c>
    </row>
    <row r="1551" spans="1:26">
      <c r="A1551" s="247" t="s">
        <v>467</v>
      </c>
      <c r="B1551" s="210" t="s">
        <v>68</v>
      </c>
      <c r="C1551" s="254" t="s">
        <v>1580</v>
      </c>
      <c r="D1551" s="255">
        <v>319</v>
      </c>
      <c r="E1551" s="211" t="s">
        <v>1898</v>
      </c>
      <c r="F1551" s="212">
        <v>43585</v>
      </c>
      <c r="G1551" s="213">
        <v>2.78</v>
      </c>
      <c r="H1551" s="256">
        <v>118</v>
      </c>
      <c r="I1551" s="214">
        <v>1453732</v>
      </c>
      <c r="J1551" s="215">
        <v>21600</v>
      </c>
      <c r="K1551" s="212">
        <v>43593</v>
      </c>
      <c r="L1551" s="211" t="s">
        <v>1899</v>
      </c>
      <c r="M1551" s="216">
        <v>4615445946</v>
      </c>
      <c r="N1551" s="212"/>
      <c r="O1551" s="217"/>
      <c r="P1551" s="219"/>
      <c r="Q1551" s="34">
        <f>SUMIF(Allocation[Delivery ID],Allocation[[#This Row],[Delivery ID]],Allocation[Quantity Processed])</f>
        <v>20260</v>
      </c>
      <c r="R1551" s="61">
        <f>Allocation[[#This Row],[Total volume used]]/VLOOKUP(Allocation[[#This Row],[Delivery ID]],Delivery[[Delivery ID]:[Quantity delivered]],3,FALSE)</f>
        <v>1</v>
      </c>
      <c r="S1551" s="34">
        <f>Allocation[[#This Row],[Quantity Processed]]/Allocation[[#This Row],[Dilution rate]]</f>
        <v>114.74820143884892</v>
      </c>
      <c r="T1551" s="59">
        <f>SUMIF(Allocation[Delivery ID],Allocation[[#This Row],[Delivery ID]],Allocation[Quantity allocated])/SUMIF(Allocation[Delivery ID],Allocation[[#This Row],[Delivery ID]],Allocation[Volume available (kg)])</f>
        <v>1.0150645514136984</v>
      </c>
      <c r="U1551" s="61">
        <f>Allocation[[#This Row],[Total volume used]]/VLOOKUP(Allocation[[#This Row],[Delivery ID]],Delivery[[Delivery ID]:[Quantity delivered]],3,FALSE)</f>
        <v>1</v>
      </c>
      <c r="V1551" s="34" t="e">
        <f>VLOOKUP(Allocation[[#This Row],[SAP Contract number]],Shipments[[SAP Contract number]:[Contracted container weight]],2,FALSE)</f>
        <v>#N/A</v>
      </c>
      <c r="W1551" s="34" t="e">
        <f>VLOOKUP(Allocation[[#This Row],[SAP Contract number]],Shipments[[SAP Contract number]:[AAA Premium USD]],24,FALSE)</f>
        <v>#N/A</v>
      </c>
      <c r="X1551" s="34" t="e">
        <f>VLOOKUP(Allocation[[#This Row],[SAP Contract number]],Shipments[[SAP Contract number]:[RA Premium USD]],25,FALSE)</f>
        <v>#N/A</v>
      </c>
      <c r="Y1551" s="38">
        <f>Allocation[[#This Row],[Quantity Processed]]/Allocation[[#This Row],[Quantity allocated]]</f>
        <v>2.7033898305084745</v>
      </c>
      <c r="Z1551" s="34" t="b">
        <f>Allocation[[#This Row],[Quantity allocated]]&lt;=Allocation[[#This Row],[Quantity Processed]]</f>
        <v>1</v>
      </c>
    </row>
    <row r="1552" spans="1:26">
      <c r="A1552" s="247" t="s">
        <v>467</v>
      </c>
      <c r="B1552" s="210" t="s">
        <v>68</v>
      </c>
      <c r="C1552" s="254" t="s">
        <v>1580</v>
      </c>
      <c r="D1552" s="255">
        <v>2359</v>
      </c>
      <c r="E1552" s="211" t="s">
        <v>1898</v>
      </c>
      <c r="F1552" s="212">
        <v>43585</v>
      </c>
      <c r="G1552" s="213">
        <v>2.78</v>
      </c>
      <c r="H1552" s="256">
        <v>873</v>
      </c>
      <c r="I1552" s="214">
        <v>1453733</v>
      </c>
      <c r="J1552" s="215">
        <v>21600</v>
      </c>
      <c r="K1552" s="212">
        <v>43593</v>
      </c>
      <c r="L1552" s="211" t="s">
        <v>1900</v>
      </c>
      <c r="M1552" s="216">
        <v>4615445946</v>
      </c>
      <c r="N1552" s="212"/>
      <c r="O1552" s="217"/>
      <c r="P1552" s="219"/>
      <c r="Q1552" s="34">
        <f>SUMIF(Allocation[Delivery ID],Allocation[[#This Row],[Delivery ID]],Allocation[Quantity Processed])</f>
        <v>20260</v>
      </c>
      <c r="R1552" s="61">
        <f>Allocation[[#This Row],[Total volume used]]/VLOOKUP(Allocation[[#This Row],[Delivery ID]],Delivery[[Delivery ID]:[Quantity delivered]],3,FALSE)</f>
        <v>1</v>
      </c>
      <c r="S1552" s="34">
        <f>Allocation[[#This Row],[Quantity Processed]]/Allocation[[#This Row],[Dilution rate]]</f>
        <v>848.56115107913672</v>
      </c>
      <c r="T1552" s="59">
        <f>SUMIF(Allocation[Delivery ID],Allocation[[#This Row],[Delivery ID]],Allocation[Quantity allocated])/SUMIF(Allocation[Delivery ID],Allocation[[#This Row],[Delivery ID]],Allocation[Volume available (kg)])</f>
        <v>1.0150645514136984</v>
      </c>
      <c r="U1552" s="61">
        <f>Allocation[[#This Row],[Total volume used]]/VLOOKUP(Allocation[[#This Row],[Delivery ID]],Delivery[[Delivery ID]:[Quantity delivered]],3,FALSE)</f>
        <v>1</v>
      </c>
      <c r="V1552" s="34" t="e">
        <f>VLOOKUP(Allocation[[#This Row],[SAP Contract number]],Shipments[[SAP Contract number]:[Contracted container weight]],2,FALSE)</f>
        <v>#N/A</v>
      </c>
      <c r="W1552" s="34" t="e">
        <f>VLOOKUP(Allocation[[#This Row],[SAP Contract number]],Shipments[[SAP Contract number]:[AAA Premium USD]],24,FALSE)</f>
        <v>#N/A</v>
      </c>
      <c r="X1552" s="34" t="e">
        <f>VLOOKUP(Allocation[[#This Row],[SAP Contract number]],Shipments[[SAP Contract number]:[RA Premium USD]],25,FALSE)</f>
        <v>#N/A</v>
      </c>
      <c r="Y1552" s="38">
        <f>Allocation[[#This Row],[Quantity Processed]]/Allocation[[#This Row],[Quantity allocated]]</f>
        <v>2.7021764032073312</v>
      </c>
      <c r="Z1552" s="34" t="b">
        <f>Allocation[[#This Row],[Quantity allocated]]&lt;=Allocation[[#This Row],[Quantity Processed]]</f>
        <v>1</v>
      </c>
    </row>
    <row r="1553" spans="1:26">
      <c r="A1553" s="247" t="s">
        <v>467</v>
      </c>
      <c r="B1553" s="210" t="s">
        <v>68</v>
      </c>
      <c r="C1553" s="254" t="s">
        <v>1581</v>
      </c>
      <c r="D1553" s="255">
        <v>2730</v>
      </c>
      <c r="E1553" s="211" t="s">
        <v>1898</v>
      </c>
      <c r="F1553" s="212">
        <v>43585</v>
      </c>
      <c r="G1553" s="213">
        <v>2.78</v>
      </c>
      <c r="H1553" s="256">
        <v>1010</v>
      </c>
      <c r="I1553" s="214">
        <v>1453733</v>
      </c>
      <c r="J1553" s="215">
        <v>21600</v>
      </c>
      <c r="K1553" s="212">
        <v>43593</v>
      </c>
      <c r="L1553" s="211" t="s">
        <v>1900</v>
      </c>
      <c r="M1553" s="216">
        <v>4615445946</v>
      </c>
      <c r="N1553" s="212"/>
      <c r="O1553" s="217"/>
      <c r="P1553" s="219"/>
      <c r="Q1553" s="34">
        <f>SUMIF(Allocation[Delivery ID],Allocation[[#This Row],[Delivery ID]],Allocation[Quantity Processed])</f>
        <v>20620</v>
      </c>
      <c r="R1553" s="61">
        <f>Allocation[[#This Row],[Total volume used]]/VLOOKUP(Allocation[[#This Row],[Delivery ID]],Delivery[[Delivery ID]:[Quantity delivered]],3,FALSE)</f>
        <v>1</v>
      </c>
      <c r="S1553" s="34">
        <f>Allocation[[#This Row],[Quantity Processed]]/Allocation[[#This Row],[Dilution rate]]</f>
        <v>982.01438848920873</v>
      </c>
      <c r="T1553" s="59">
        <f>SUMIF(Allocation[Delivery ID],Allocation[[#This Row],[Delivery ID]],Allocation[Quantity allocated])/SUMIF(Allocation[Delivery ID],Allocation[[#This Row],[Delivery ID]],Allocation[Volume available (kg)])</f>
        <v>1.0160523787571132</v>
      </c>
      <c r="U1553" s="61">
        <f>Allocation[[#This Row],[Total volume used]]/VLOOKUP(Allocation[[#This Row],[Delivery ID]],Delivery[[Delivery ID]:[Quantity delivered]],3,FALSE)</f>
        <v>1</v>
      </c>
      <c r="V1553" s="34" t="e">
        <f>VLOOKUP(Allocation[[#This Row],[SAP Contract number]],Shipments[[SAP Contract number]:[Contracted container weight]],2,FALSE)</f>
        <v>#N/A</v>
      </c>
      <c r="W1553" s="34" t="e">
        <f>VLOOKUP(Allocation[[#This Row],[SAP Contract number]],Shipments[[SAP Contract number]:[AAA Premium USD]],24,FALSE)</f>
        <v>#N/A</v>
      </c>
      <c r="X1553" s="34" t="e">
        <f>VLOOKUP(Allocation[[#This Row],[SAP Contract number]],Shipments[[SAP Contract number]:[RA Premium USD]],25,FALSE)</f>
        <v>#N/A</v>
      </c>
      <c r="Y1553" s="38">
        <f>Allocation[[#This Row],[Quantity Processed]]/Allocation[[#This Row],[Quantity allocated]]</f>
        <v>2.7029702970297032</v>
      </c>
      <c r="Z1553" s="34" t="b">
        <f>Allocation[[#This Row],[Quantity allocated]]&lt;=Allocation[[#This Row],[Quantity Processed]]</f>
        <v>1</v>
      </c>
    </row>
    <row r="1554" spans="1:26">
      <c r="A1554" s="247" t="s">
        <v>467</v>
      </c>
      <c r="B1554" s="210" t="s">
        <v>68</v>
      </c>
      <c r="C1554" s="254" t="s">
        <v>1582</v>
      </c>
      <c r="D1554" s="255">
        <v>2959</v>
      </c>
      <c r="E1554" s="211" t="s">
        <v>1898</v>
      </c>
      <c r="F1554" s="212">
        <v>43585</v>
      </c>
      <c r="G1554" s="213">
        <v>2.78</v>
      </c>
      <c r="H1554" s="256">
        <v>1095</v>
      </c>
      <c r="I1554" s="214">
        <v>1453733</v>
      </c>
      <c r="J1554" s="215">
        <v>21600</v>
      </c>
      <c r="K1554" s="212">
        <v>43593</v>
      </c>
      <c r="L1554" s="211" t="s">
        <v>1900</v>
      </c>
      <c r="M1554" s="216">
        <v>4615445946</v>
      </c>
      <c r="N1554" s="212"/>
      <c r="O1554" s="217"/>
      <c r="P1554" s="219"/>
      <c r="Q1554" s="34">
        <f>SUMIF(Allocation[Delivery ID],Allocation[[#This Row],[Delivery ID]],Allocation[Quantity Processed])</f>
        <v>22369</v>
      </c>
      <c r="R1554" s="61">
        <f>Allocation[[#This Row],[Total volume used]]/VLOOKUP(Allocation[[#This Row],[Delivery ID]],Delivery[[Delivery ID]:[Quantity delivered]],3,FALSE)</f>
        <v>1</v>
      </c>
      <c r="S1554" s="34">
        <f>Allocation[[#This Row],[Quantity Processed]]/Allocation[[#This Row],[Dilution rate]]</f>
        <v>1064.3884892086332</v>
      </c>
      <c r="T1554" s="59">
        <f>SUMIF(Allocation[Delivery ID],Allocation[[#This Row],[Delivery ID]],Allocation[Quantity allocated])/SUMIF(Allocation[Delivery ID],Allocation[[#This Row],[Delivery ID]],Allocation[Volume available (kg)])</f>
        <v>1.0157362797064873</v>
      </c>
      <c r="U1554" s="61">
        <f>Allocation[[#This Row],[Total volume used]]/VLOOKUP(Allocation[[#This Row],[Delivery ID]],Delivery[[Delivery ID]:[Quantity delivered]],3,FALSE)</f>
        <v>1</v>
      </c>
      <c r="V1554" s="34" t="e">
        <f>VLOOKUP(Allocation[[#This Row],[SAP Contract number]],Shipments[[SAP Contract number]:[Contracted container weight]],2,FALSE)</f>
        <v>#N/A</v>
      </c>
      <c r="W1554" s="34" t="e">
        <f>VLOOKUP(Allocation[[#This Row],[SAP Contract number]],Shipments[[SAP Contract number]:[AAA Premium USD]],24,FALSE)</f>
        <v>#N/A</v>
      </c>
      <c r="X1554" s="34" t="e">
        <f>VLOOKUP(Allocation[[#This Row],[SAP Contract number]],Shipments[[SAP Contract number]:[RA Premium USD]],25,FALSE)</f>
        <v>#N/A</v>
      </c>
      <c r="Y1554" s="38">
        <f>Allocation[[#This Row],[Quantity Processed]]/Allocation[[#This Row],[Quantity allocated]]</f>
        <v>2.7022831050228309</v>
      </c>
      <c r="Z1554" s="34" t="b">
        <f>Allocation[[#This Row],[Quantity allocated]]&lt;=Allocation[[#This Row],[Quantity Processed]]</f>
        <v>1</v>
      </c>
    </row>
    <row r="1555" spans="1:26">
      <c r="A1555" s="247" t="s">
        <v>467</v>
      </c>
      <c r="B1555" s="210" t="s">
        <v>68</v>
      </c>
      <c r="C1555" s="254" t="s">
        <v>1583</v>
      </c>
      <c r="D1555" s="255">
        <v>2381</v>
      </c>
      <c r="E1555" s="211" t="s">
        <v>1898</v>
      </c>
      <c r="F1555" s="212">
        <v>43585</v>
      </c>
      <c r="G1555" s="213">
        <v>2.78</v>
      </c>
      <c r="H1555" s="256">
        <v>881</v>
      </c>
      <c r="I1555" s="214">
        <v>1453733</v>
      </c>
      <c r="J1555" s="215">
        <v>21600</v>
      </c>
      <c r="K1555" s="212">
        <v>43593</v>
      </c>
      <c r="L1555" s="211" t="s">
        <v>1900</v>
      </c>
      <c r="M1555" s="216">
        <v>4615445946</v>
      </c>
      <c r="N1555" s="212"/>
      <c r="O1555" s="217"/>
      <c r="P1555" s="219"/>
      <c r="Q1555" s="34">
        <f>SUMIF(Allocation[Delivery ID],Allocation[[#This Row],[Delivery ID]],Allocation[Quantity Processed])</f>
        <v>17991</v>
      </c>
      <c r="R1555" s="61">
        <f>Allocation[[#This Row],[Total volume used]]/VLOOKUP(Allocation[[#This Row],[Delivery ID]],Delivery[[Delivery ID]:[Quantity delivered]],3,FALSE)</f>
        <v>1</v>
      </c>
      <c r="S1555" s="34">
        <f>Allocation[[#This Row],[Quantity Processed]]/Allocation[[#This Row],[Dilution rate]]</f>
        <v>856.47482014388493</v>
      </c>
      <c r="T1555" s="59">
        <f>SUMIF(Allocation[Delivery ID],Allocation[[#This Row],[Delivery ID]],Allocation[Quantity allocated])/SUMIF(Allocation[Delivery ID],Allocation[[#This Row],[Delivery ID]],Allocation[Volume available (kg)])</f>
        <v>1.0156959166222996</v>
      </c>
      <c r="U1555" s="61">
        <f>Allocation[[#This Row],[Total volume used]]/VLOOKUP(Allocation[[#This Row],[Delivery ID]],Delivery[[Delivery ID]:[Quantity delivered]],3,FALSE)</f>
        <v>1</v>
      </c>
      <c r="V1555" s="34" t="e">
        <f>VLOOKUP(Allocation[[#This Row],[SAP Contract number]],Shipments[[SAP Contract number]:[Contracted container weight]],2,FALSE)</f>
        <v>#N/A</v>
      </c>
      <c r="W1555" s="34" t="e">
        <f>VLOOKUP(Allocation[[#This Row],[SAP Contract number]],Shipments[[SAP Contract number]:[AAA Premium USD]],24,FALSE)</f>
        <v>#N/A</v>
      </c>
      <c r="X1555" s="34" t="e">
        <f>VLOOKUP(Allocation[[#This Row],[SAP Contract number]],Shipments[[SAP Contract number]:[RA Premium USD]],25,FALSE)</f>
        <v>#N/A</v>
      </c>
      <c r="Y1555" s="38">
        <f>Allocation[[#This Row],[Quantity Processed]]/Allocation[[#This Row],[Quantity allocated]]</f>
        <v>2.7026106696935299</v>
      </c>
      <c r="Z1555" s="34" t="b">
        <f>Allocation[[#This Row],[Quantity allocated]]&lt;=Allocation[[#This Row],[Quantity Processed]]</f>
        <v>1</v>
      </c>
    </row>
    <row r="1556" spans="1:26">
      <c r="A1556" s="247" t="s">
        <v>467</v>
      </c>
      <c r="B1556" s="210" t="s">
        <v>68</v>
      </c>
      <c r="C1556" s="254" t="s">
        <v>1584</v>
      </c>
      <c r="D1556" s="255">
        <v>2857</v>
      </c>
      <c r="E1556" s="211" t="s">
        <v>1898</v>
      </c>
      <c r="F1556" s="212">
        <v>43585</v>
      </c>
      <c r="G1556" s="213">
        <v>2.78</v>
      </c>
      <c r="H1556" s="256">
        <v>1057</v>
      </c>
      <c r="I1556" s="214">
        <v>1453733</v>
      </c>
      <c r="J1556" s="215">
        <v>21600</v>
      </c>
      <c r="K1556" s="212">
        <v>43593</v>
      </c>
      <c r="L1556" s="211" t="s">
        <v>1900</v>
      </c>
      <c r="M1556" s="216">
        <v>4615445946</v>
      </c>
      <c r="N1556" s="212"/>
      <c r="O1556" s="217"/>
      <c r="P1556" s="219"/>
      <c r="Q1556" s="34">
        <f>SUMIF(Allocation[Delivery ID],Allocation[[#This Row],[Delivery ID]],Allocation[Quantity Processed])</f>
        <v>21587</v>
      </c>
      <c r="R1556" s="61">
        <f>Allocation[[#This Row],[Total volume used]]/VLOOKUP(Allocation[[#This Row],[Delivery ID]],Delivery[[Delivery ID]:[Quantity delivered]],3,FALSE)</f>
        <v>0.99997683844817598</v>
      </c>
      <c r="S1556" s="34">
        <f>Allocation[[#This Row],[Quantity Processed]]/Allocation[[#This Row],[Dilution rate]]</f>
        <v>1027.6978417266189</v>
      </c>
      <c r="T1556" s="59">
        <f>SUMIF(Allocation[Delivery ID],Allocation[[#This Row],[Delivery ID]],Allocation[Quantity allocated])/SUMIF(Allocation[Delivery ID],Allocation[[#This Row],[Delivery ID]],Allocation[Volume available (kg)])</f>
        <v>1.0154838514494702</v>
      </c>
      <c r="U1556" s="61">
        <f>Allocation[[#This Row],[Total volume used]]/VLOOKUP(Allocation[[#This Row],[Delivery ID]],Delivery[[Delivery ID]:[Quantity delivered]],3,FALSE)</f>
        <v>0.99997683844817598</v>
      </c>
      <c r="V1556" s="34" t="e">
        <f>VLOOKUP(Allocation[[#This Row],[SAP Contract number]],Shipments[[SAP Contract number]:[Contracted container weight]],2,FALSE)</f>
        <v>#N/A</v>
      </c>
      <c r="W1556" s="34" t="e">
        <f>VLOOKUP(Allocation[[#This Row],[SAP Contract number]],Shipments[[SAP Contract number]:[AAA Premium USD]],24,FALSE)</f>
        <v>#N/A</v>
      </c>
      <c r="X1556" s="34" t="e">
        <f>VLOOKUP(Allocation[[#This Row],[SAP Contract number]],Shipments[[SAP Contract number]:[RA Premium USD]],25,FALSE)</f>
        <v>#N/A</v>
      </c>
      <c r="Y1556" s="38">
        <f>Allocation[[#This Row],[Quantity Processed]]/Allocation[[#This Row],[Quantity allocated]]</f>
        <v>2.7029328287606433</v>
      </c>
      <c r="Z1556" s="34" t="b">
        <f>Allocation[[#This Row],[Quantity allocated]]&lt;=Allocation[[#This Row],[Quantity Processed]]</f>
        <v>1</v>
      </c>
    </row>
    <row r="1557" spans="1:26">
      <c r="A1557" s="247" t="s">
        <v>467</v>
      </c>
      <c r="B1557" s="210" t="s">
        <v>68</v>
      </c>
      <c r="C1557" s="254" t="s">
        <v>1585</v>
      </c>
      <c r="D1557" s="255">
        <v>7795</v>
      </c>
      <c r="E1557" s="211" t="s">
        <v>1898</v>
      </c>
      <c r="F1557" s="212">
        <v>43585</v>
      </c>
      <c r="G1557" s="213">
        <v>2.78</v>
      </c>
      <c r="H1557" s="256">
        <v>2884</v>
      </c>
      <c r="I1557" s="214">
        <v>1453733</v>
      </c>
      <c r="J1557" s="215">
        <v>21600</v>
      </c>
      <c r="K1557" s="212">
        <v>43593</v>
      </c>
      <c r="L1557" s="211" t="s">
        <v>1900</v>
      </c>
      <c r="M1557" s="216">
        <v>4615445946</v>
      </c>
      <c r="N1557" s="212"/>
      <c r="O1557" s="217"/>
      <c r="P1557" s="219"/>
      <c r="Q1557" s="34">
        <f>SUMIF(Allocation[Delivery ID],Allocation[[#This Row],[Delivery ID]],Allocation[Quantity Processed])</f>
        <v>29442.5</v>
      </c>
      <c r="R1557" s="61">
        <f>Allocation[[#This Row],[Total volume used]]/VLOOKUP(Allocation[[#This Row],[Delivery ID]],Delivery[[Delivery ID]:[Quantity delivered]],3,FALSE)</f>
        <v>1</v>
      </c>
      <c r="S1557" s="34">
        <f>Allocation[[#This Row],[Quantity Processed]]/Allocation[[#This Row],[Dilution rate]]</f>
        <v>2803.9568345323742</v>
      </c>
      <c r="T1557" s="59">
        <f>SUMIF(Allocation[Delivery ID],Allocation[[#This Row],[Delivery ID]],Allocation[Quantity allocated])/SUMIF(Allocation[Delivery ID],Allocation[[#This Row],[Delivery ID]],Allocation[Volume available (kg)])</f>
        <v>1.0677526646409035</v>
      </c>
      <c r="U1557" s="61">
        <f>Allocation[[#This Row],[Total volume used]]/VLOOKUP(Allocation[[#This Row],[Delivery ID]],Delivery[[Delivery ID]:[Quantity delivered]],3,FALSE)</f>
        <v>1</v>
      </c>
      <c r="V1557" s="34" t="e">
        <f>VLOOKUP(Allocation[[#This Row],[SAP Contract number]],Shipments[[SAP Contract number]:[Contracted container weight]],2,FALSE)</f>
        <v>#N/A</v>
      </c>
      <c r="W1557" s="34" t="e">
        <f>VLOOKUP(Allocation[[#This Row],[SAP Contract number]],Shipments[[SAP Contract number]:[AAA Premium USD]],24,FALSE)</f>
        <v>#N/A</v>
      </c>
      <c r="X1557" s="34" t="e">
        <f>VLOOKUP(Allocation[[#This Row],[SAP Contract number]],Shipments[[SAP Contract number]:[RA Premium USD]],25,FALSE)</f>
        <v>#N/A</v>
      </c>
      <c r="Y1557" s="38">
        <f>Allocation[[#This Row],[Quantity Processed]]/Allocation[[#This Row],[Quantity allocated]]</f>
        <v>2.7028432732316228</v>
      </c>
      <c r="Z1557" s="34" t="b">
        <f>Allocation[[#This Row],[Quantity allocated]]&lt;=Allocation[[#This Row],[Quantity Processed]]</f>
        <v>1</v>
      </c>
    </row>
    <row r="1558" spans="1:26">
      <c r="A1558" s="247" t="s">
        <v>467</v>
      </c>
      <c r="B1558" s="210" t="s">
        <v>68</v>
      </c>
      <c r="C1558" s="254" t="s">
        <v>1586</v>
      </c>
      <c r="D1558" s="255">
        <v>3173</v>
      </c>
      <c r="E1558" s="211" t="s">
        <v>1898</v>
      </c>
      <c r="F1558" s="212">
        <v>43585</v>
      </c>
      <c r="G1558" s="213">
        <v>2.78</v>
      </c>
      <c r="H1558" s="256">
        <v>1174</v>
      </c>
      <c r="I1558" s="214">
        <v>1453733</v>
      </c>
      <c r="J1558" s="215">
        <v>21600</v>
      </c>
      <c r="K1558" s="212">
        <v>43593</v>
      </c>
      <c r="L1558" s="211" t="s">
        <v>1900</v>
      </c>
      <c r="M1558" s="216">
        <v>4615445946</v>
      </c>
      <c r="N1558" s="212"/>
      <c r="O1558" s="217"/>
      <c r="P1558" s="219"/>
      <c r="Q1558" s="34">
        <f>SUMIF(Allocation[Delivery ID],Allocation[[#This Row],[Delivery ID]],Allocation[Quantity Processed])</f>
        <v>24011.5</v>
      </c>
      <c r="R1558" s="61">
        <f>Allocation[[#This Row],[Total volume used]]/VLOOKUP(Allocation[[#This Row],[Delivery ID]],Delivery[[Delivery ID]:[Quantity delivered]],3,FALSE)</f>
        <v>1</v>
      </c>
      <c r="S1558" s="34">
        <f>Allocation[[#This Row],[Quantity Processed]]/Allocation[[#This Row],[Dilution rate]]</f>
        <v>1141.3669064748203</v>
      </c>
      <c r="T1558" s="59">
        <f>SUMIF(Allocation[Delivery ID],Allocation[[#This Row],[Delivery ID]],Allocation[Quantity allocated])/SUMIF(Allocation[Delivery ID],Allocation[[#This Row],[Delivery ID]],Allocation[Volume available (kg)])</f>
        <v>1.0145066479220644</v>
      </c>
      <c r="U1558" s="61">
        <f>Allocation[[#This Row],[Total volume used]]/VLOOKUP(Allocation[[#This Row],[Delivery ID]],Delivery[[Delivery ID]:[Quantity delivered]],3,FALSE)</f>
        <v>1</v>
      </c>
      <c r="V1558" s="34" t="e">
        <f>VLOOKUP(Allocation[[#This Row],[SAP Contract number]],Shipments[[SAP Contract number]:[Contracted container weight]],2,FALSE)</f>
        <v>#N/A</v>
      </c>
      <c r="W1558" s="34" t="e">
        <f>VLOOKUP(Allocation[[#This Row],[SAP Contract number]],Shipments[[SAP Contract number]:[AAA Premium USD]],24,FALSE)</f>
        <v>#N/A</v>
      </c>
      <c r="X1558" s="34" t="e">
        <f>VLOOKUP(Allocation[[#This Row],[SAP Contract number]],Shipments[[SAP Contract number]:[RA Premium USD]],25,FALSE)</f>
        <v>#N/A</v>
      </c>
      <c r="Y1558" s="38">
        <f>Allocation[[#This Row],[Quantity Processed]]/Allocation[[#This Row],[Quantity allocated]]</f>
        <v>2.7027257240204428</v>
      </c>
      <c r="Z1558" s="34" t="b">
        <f>Allocation[[#This Row],[Quantity allocated]]&lt;=Allocation[[#This Row],[Quantity Processed]]</f>
        <v>1</v>
      </c>
    </row>
    <row r="1559" spans="1:26">
      <c r="A1559" s="247" t="s">
        <v>467</v>
      </c>
      <c r="B1559" s="210" t="s">
        <v>68</v>
      </c>
      <c r="C1559" s="254" t="s">
        <v>1587</v>
      </c>
      <c r="D1559" s="255">
        <v>111</v>
      </c>
      <c r="E1559" s="211" t="s">
        <v>1898</v>
      </c>
      <c r="F1559" s="212">
        <v>43585</v>
      </c>
      <c r="G1559" s="213">
        <v>2.78</v>
      </c>
      <c r="H1559" s="256">
        <v>41</v>
      </c>
      <c r="I1559" s="214">
        <v>1453733</v>
      </c>
      <c r="J1559" s="215">
        <v>21600</v>
      </c>
      <c r="K1559" s="212">
        <v>43593</v>
      </c>
      <c r="L1559" s="211" t="s">
        <v>1900</v>
      </c>
      <c r="M1559" s="216">
        <v>4615445946</v>
      </c>
      <c r="N1559" s="212"/>
      <c r="O1559" s="217"/>
      <c r="P1559" s="219"/>
      <c r="Q1559" s="34">
        <f>SUMIF(Allocation[Delivery ID],Allocation[[#This Row],[Delivery ID]],Allocation[Quantity Processed])</f>
        <v>840.5</v>
      </c>
      <c r="R1559" s="61">
        <f>Allocation[[#This Row],[Total volume used]]/VLOOKUP(Allocation[[#This Row],[Delivery ID]],Delivery[[Delivery ID]:[Quantity delivered]],3,FALSE)</f>
        <v>1</v>
      </c>
      <c r="S1559" s="34">
        <f>Allocation[[#This Row],[Quantity Processed]]/Allocation[[#This Row],[Dilution rate]]</f>
        <v>39.92805755395684</v>
      </c>
      <c r="T1559" s="59">
        <f>SUMIF(Allocation[Delivery ID],Allocation[[#This Row],[Delivery ID]],Allocation[Quantity allocated])/SUMIF(Allocation[Delivery ID],Allocation[[#This Row],[Delivery ID]],Allocation[Volume available (kg)])</f>
        <v>1.0109047271659883</v>
      </c>
      <c r="U1559" s="61">
        <f>Allocation[[#This Row],[Total volume used]]/VLOOKUP(Allocation[[#This Row],[Delivery ID]],Delivery[[Delivery ID]:[Quantity delivered]],3,FALSE)</f>
        <v>1</v>
      </c>
      <c r="V1559" s="34" t="e">
        <f>VLOOKUP(Allocation[[#This Row],[SAP Contract number]],Shipments[[SAP Contract number]:[Contracted container weight]],2,FALSE)</f>
        <v>#N/A</v>
      </c>
      <c r="W1559" s="34" t="e">
        <f>VLOOKUP(Allocation[[#This Row],[SAP Contract number]],Shipments[[SAP Contract number]:[AAA Premium USD]],24,FALSE)</f>
        <v>#N/A</v>
      </c>
      <c r="X1559" s="34" t="e">
        <f>VLOOKUP(Allocation[[#This Row],[SAP Contract number]],Shipments[[SAP Contract number]:[RA Premium USD]],25,FALSE)</f>
        <v>#N/A</v>
      </c>
      <c r="Y1559" s="38">
        <f>Allocation[[#This Row],[Quantity Processed]]/Allocation[[#This Row],[Quantity allocated]]</f>
        <v>2.7073170731707319</v>
      </c>
      <c r="Z1559" s="34" t="b">
        <f>Allocation[[#This Row],[Quantity allocated]]&lt;=Allocation[[#This Row],[Quantity Processed]]</f>
        <v>1</v>
      </c>
    </row>
    <row r="1560" spans="1:26">
      <c r="A1560" s="247" t="s">
        <v>467</v>
      </c>
      <c r="B1560" s="210" t="s">
        <v>68</v>
      </c>
      <c r="C1560" s="254" t="s">
        <v>1588</v>
      </c>
      <c r="D1560" s="255">
        <v>722</v>
      </c>
      <c r="E1560" s="211" t="s">
        <v>1898</v>
      </c>
      <c r="F1560" s="212">
        <v>43585</v>
      </c>
      <c r="G1560" s="213">
        <v>2.78</v>
      </c>
      <c r="H1560" s="256">
        <v>267</v>
      </c>
      <c r="I1560" s="214">
        <v>1453733</v>
      </c>
      <c r="J1560" s="215">
        <v>21600</v>
      </c>
      <c r="K1560" s="212">
        <v>43593</v>
      </c>
      <c r="L1560" s="211" t="s">
        <v>1900</v>
      </c>
      <c r="M1560" s="216">
        <v>4615445946</v>
      </c>
      <c r="N1560" s="212"/>
      <c r="O1560" s="217"/>
      <c r="P1560" s="219"/>
      <c r="Q1560" s="34">
        <f>SUMIF(Allocation[Delivery ID],Allocation[[#This Row],[Delivery ID]],Allocation[Quantity Processed])</f>
        <v>7695</v>
      </c>
      <c r="R1560" s="61">
        <f>Allocation[[#This Row],[Total volume used]]/VLOOKUP(Allocation[[#This Row],[Delivery ID]],Delivery[[Delivery ID]:[Quantity delivered]],3,FALSE)</f>
        <v>0.42731008440693025</v>
      </c>
      <c r="S1560" s="34">
        <f>Allocation[[#This Row],[Quantity Processed]]/Allocation[[#This Row],[Dilution rate]]</f>
        <v>259.71223021582733</v>
      </c>
      <c r="T1560" s="59">
        <f>SUMIF(Allocation[Delivery ID],Allocation[[#This Row],[Delivery ID]],Allocation[Quantity allocated])/SUMIF(Allocation[Delivery ID],Allocation[[#This Row],[Delivery ID]],Allocation[Volume available (kg)])</f>
        <v>1.0906934796329115</v>
      </c>
      <c r="U1560" s="61">
        <f>Allocation[[#This Row],[Total volume used]]/VLOOKUP(Allocation[[#This Row],[Delivery ID]],Delivery[[Delivery ID]:[Quantity delivered]],3,FALSE)</f>
        <v>0.42731008440693025</v>
      </c>
      <c r="V1560" s="34" t="e">
        <f>VLOOKUP(Allocation[[#This Row],[SAP Contract number]],Shipments[[SAP Contract number]:[Contracted container weight]],2,FALSE)</f>
        <v>#N/A</v>
      </c>
      <c r="W1560" s="34" t="e">
        <f>VLOOKUP(Allocation[[#This Row],[SAP Contract number]],Shipments[[SAP Contract number]:[AAA Premium USD]],24,FALSE)</f>
        <v>#N/A</v>
      </c>
      <c r="X1560" s="34" t="e">
        <f>VLOOKUP(Allocation[[#This Row],[SAP Contract number]],Shipments[[SAP Contract number]:[RA Premium USD]],25,FALSE)</f>
        <v>#N/A</v>
      </c>
      <c r="Y1560" s="38">
        <f>Allocation[[#This Row],[Quantity Processed]]/Allocation[[#This Row],[Quantity allocated]]</f>
        <v>2.7041198501872659</v>
      </c>
      <c r="Z1560" s="34" t="b">
        <f>Allocation[[#This Row],[Quantity allocated]]&lt;=Allocation[[#This Row],[Quantity Processed]]</f>
        <v>1</v>
      </c>
    </row>
    <row r="1561" spans="1:26">
      <c r="A1561" s="247" t="s">
        <v>467</v>
      </c>
      <c r="B1561" s="210" t="s">
        <v>68</v>
      </c>
      <c r="C1561" s="254" t="s">
        <v>1589</v>
      </c>
      <c r="D1561" s="255">
        <v>2527</v>
      </c>
      <c r="E1561" s="211" t="s">
        <v>1898</v>
      </c>
      <c r="F1561" s="212">
        <v>43585</v>
      </c>
      <c r="G1561" s="213">
        <v>2.78</v>
      </c>
      <c r="H1561" s="256">
        <v>935</v>
      </c>
      <c r="I1561" s="214">
        <v>1453733</v>
      </c>
      <c r="J1561" s="215">
        <v>21600</v>
      </c>
      <c r="K1561" s="212">
        <v>43593</v>
      </c>
      <c r="L1561" s="211" t="s">
        <v>1900</v>
      </c>
      <c r="M1561" s="216">
        <v>4615445946</v>
      </c>
      <c r="N1561" s="212"/>
      <c r="O1561" s="217"/>
      <c r="P1561" s="219"/>
      <c r="Q1561" s="34">
        <f>SUMIF(Allocation[Delivery ID],Allocation[[#This Row],[Delivery ID]],Allocation[Quantity Processed])</f>
        <v>19149</v>
      </c>
      <c r="R1561" s="61">
        <f>Allocation[[#This Row],[Total volume used]]/VLOOKUP(Allocation[[#This Row],[Delivery ID]],Delivery[[Delivery ID]:[Quantity delivered]],3,FALSE)</f>
        <v>0.9999738896576934</v>
      </c>
      <c r="S1561" s="34">
        <f>Allocation[[#This Row],[Quantity Processed]]/Allocation[[#This Row],[Dilution rate]]</f>
        <v>908.99280575539569</v>
      </c>
      <c r="T1561" s="59">
        <f>SUMIF(Allocation[Delivery ID],Allocation[[#This Row],[Delivery ID]],Allocation[Quantity allocated])/SUMIF(Allocation[Delivery ID],Allocation[[#This Row],[Delivery ID]],Allocation[Volume available (kg)])</f>
        <v>1.0125896183659675</v>
      </c>
      <c r="U1561" s="61">
        <f>Allocation[[#This Row],[Total volume used]]/VLOOKUP(Allocation[[#This Row],[Delivery ID]],Delivery[[Delivery ID]:[Quantity delivered]],3,FALSE)</f>
        <v>0.9999738896576934</v>
      </c>
      <c r="V1561" s="34" t="e">
        <f>VLOOKUP(Allocation[[#This Row],[SAP Contract number]],Shipments[[SAP Contract number]:[Contracted container weight]],2,FALSE)</f>
        <v>#N/A</v>
      </c>
      <c r="W1561" s="34" t="e">
        <f>VLOOKUP(Allocation[[#This Row],[SAP Contract number]],Shipments[[SAP Contract number]:[AAA Premium USD]],24,FALSE)</f>
        <v>#N/A</v>
      </c>
      <c r="X1561" s="34" t="e">
        <f>VLOOKUP(Allocation[[#This Row],[SAP Contract number]],Shipments[[SAP Contract number]:[RA Premium USD]],25,FALSE)</f>
        <v>#N/A</v>
      </c>
      <c r="Y1561" s="38">
        <f>Allocation[[#This Row],[Quantity Processed]]/Allocation[[#This Row],[Quantity allocated]]</f>
        <v>2.7026737967914438</v>
      </c>
      <c r="Z1561" s="34" t="b">
        <f>Allocation[[#This Row],[Quantity allocated]]&lt;=Allocation[[#This Row],[Quantity Processed]]</f>
        <v>1</v>
      </c>
    </row>
    <row r="1562" spans="1:26">
      <c r="A1562" s="247" t="s">
        <v>467</v>
      </c>
      <c r="B1562" s="210" t="s">
        <v>68</v>
      </c>
      <c r="C1562" s="254" t="s">
        <v>1590</v>
      </c>
      <c r="D1562" s="255">
        <v>2862</v>
      </c>
      <c r="E1562" s="211" t="s">
        <v>1898</v>
      </c>
      <c r="F1562" s="212">
        <v>43585</v>
      </c>
      <c r="G1562" s="213">
        <v>2.78</v>
      </c>
      <c r="H1562" s="256">
        <v>1059</v>
      </c>
      <c r="I1562" s="214">
        <v>1453733</v>
      </c>
      <c r="J1562" s="215">
        <v>21600</v>
      </c>
      <c r="K1562" s="212">
        <v>43593</v>
      </c>
      <c r="L1562" s="211" t="s">
        <v>1900</v>
      </c>
      <c r="M1562" s="216">
        <v>4615445946</v>
      </c>
      <c r="N1562" s="212"/>
      <c r="O1562" s="217"/>
      <c r="P1562" s="219"/>
      <c r="Q1562" s="34">
        <f>SUMIF(Allocation[Delivery ID],Allocation[[#This Row],[Delivery ID]],Allocation[Quantity Processed])</f>
        <v>21790.5</v>
      </c>
      <c r="R1562" s="61">
        <f>Allocation[[#This Row],[Total volume used]]/VLOOKUP(Allocation[[#This Row],[Delivery ID]],Delivery[[Delivery ID]:[Quantity delivered]],3,FALSE)</f>
        <v>1</v>
      </c>
      <c r="S1562" s="34">
        <f>Allocation[[#This Row],[Quantity Processed]]/Allocation[[#This Row],[Dilution rate]]</f>
        <v>1029.4964028776978</v>
      </c>
      <c r="T1562" s="59">
        <f>SUMIF(Allocation[Delivery ID],Allocation[[#This Row],[Delivery ID]],Allocation[Quantity allocated])/SUMIF(Allocation[Delivery ID],Allocation[[#This Row],[Delivery ID]],Allocation[Volume available (kg)])</f>
        <v>1.0084613626188617</v>
      </c>
      <c r="U1562" s="61">
        <f>Allocation[[#This Row],[Total volume used]]/VLOOKUP(Allocation[[#This Row],[Delivery ID]],Delivery[[Delivery ID]:[Quantity delivered]],3,FALSE)</f>
        <v>1</v>
      </c>
      <c r="V1562" s="34" t="e">
        <f>VLOOKUP(Allocation[[#This Row],[SAP Contract number]],Shipments[[SAP Contract number]:[Contracted container weight]],2,FALSE)</f>
        <v>#N/A</v>
      </c>
      <c r="W1562" s="34" t="e">
        <f>VLOOKUP(Allocation[[#This Row],[SAP Contract number]],Shipments[[SAP Contract number]:[AAA Premium USD]],24,FALSE)</f>
        <v>#N/A</v>
      </c>
      <c r="X1562" s="34" t="e">
        <f>VLOOKUP(Allocation[[#This Row],[SAP Contract number]],Shipments[[SAP Contract number]:[RA Premium USD]],25,FALSE)</f>
        <v>#N/A</v>
      </c>
      <c r="Y1562" s="38">
        <f>Allocation[[#This Row],[Quantity Processed]]/Allocation[[#This Row],[Quantity allocated]]</f>
        <v>2.7025495750708215</v>
      </c>
      <c r="Z1562" s="34" t="b">
        <f>Allocation[[#This Row],[Quantity allocated]]&lt;=Allocation[[#This Row],[Quantity Processed]]</f>
        <v>1</v>
      </c>
    </row>
    <row r="1563" spans="1:26">
      <c r="A1563" s="247" t="s">
        <v>467</v>
      </c>
      <c r="B1563" s="210" t="s">
        <v>68</v>
      </c>
      <c r="C1563" s="254" t="s">
        <v>1591</v>
      </c>
      <c r="D1563" s="255">
        <v>1227</v>
      </c>
      <c r="E1563" s="211" t="s">
        <v>1898</v>
      </c>
      <c r="F1563" s="212">
        <v>43585</v>
      </c>
      <c r="G1563" s="213">
        <v>2.78</v>
      </c>
      <c r="H1563" s="256">
        <v>454</v>
      </c>
      <c r="I1563" s="214">
        <v>1453733</v>
      </c>
      <c r="J1563" s="215">
        <v>21600</v>
      </c>
      <c r="K1563" s="212">
        <v>43593</v>
      </c>
      <c r="L1563" s="211" t="s">
        <v>1900</v>
      </c>
      <c r="M1563" s="216">
        <v>4615445946</v>
      </c>
      <c r="N1563" s="212"/>
      <c r="O1563" s="217"/>
      <c r="P1563" s="219"/>
      <c r="Q1563" s="34">
        <f>SUMIF(Allocation[Delivery ID],Allocation[[#This Row],[Delivery ID]],Allocation[Quantity Processed])</f>
        <v>13064</v>
      </c>
      <c r="R1563" s="61">
        <f>Allocation[[#This Row],[Total volume used]]/VLOOKUP(Allocation[[#This Row],[Delivery ID]],Delivery[[Delivery ID]:[Quantity delivered]],3,FALSE)</f>
        <v>0.42803315749811605</v>
      </c>
      <c r="S1563" s="34">
        <f>Allocation[[#This Row],[Quantity Processed]]/Allocation[[#This Row],[Dilution rate]]</f>
        <v>441.36690647482015</v>
      </c>
      <c r="T1563" s="59">
        <f>SUMIF(Allocation[Delivery ID],Allocation[[#This Row],[Delivery ID]],Allocation[Quantity allocated])/SUMIF(Allocation[Delivery ID],Allocation[[#This Row],[Delivery ID]],Allocation[Volume available (kg)])</f>
        <v>1.0908166836619564</v>
      </c>
      <c r="U1563" s="61">
        <f>Allocation[[#This Row],[Total volume used]]/VLOOKUP(Allocation[[#This Row],[Delivery ID]],Delivery[[Delivery ID]:[Quantity delivered]],3,FALSE)</f>
        <v>0.42803315749811605</v>
      </c>
      <c r="V1563" s="34" t="e">
        <f>VLOOKUP(Allocation[[#This Row],[SAP Contract number]],Shipments[[SAP Contract number]:[Contracted container weight]],2,FALSE)</f>
        <v>#N/A</v>
      </c>
      <c r="W1563" s="34" t="e">
        <f>VLOOKUP(Allocation[[#This Row],[SAP Contract number]],Shipments[[SAP Contract number]:[AAA Premium USD]],24,FALSE)</f>
        <v>#N/A</v>
      </c>
      <c r="X1563" s="34" t="e">
        <f>VLOOKUP(Allocation[[#This Row],[SAP Contract number]],Shipments[[SAP Contract number]:[RA Premium USD]],25,FALSE)</f>
        <v>#N/A</v>
      </c>
      <c r="Y1563" s="38">
        <f>Allocation[[#This Row],[Quantity Processed]]/Allocation[[#This Row],[Quantity allocated]]</f>
        <v>2.7026431718061672</v>
      </c>
      <c r="Z1563" s="34" t="b">
        <f>Allocation[[#This Row],[Quantity allocated]]&lt;=Allocation[[#This Row],[Quantity Processed]]</f>
        <v>1</v>
      </c>
    </row>
    <row r="1564" spans="1:26">
      <c r="A1564" s="247" t="s">
        <v>467</v>
      </c>
      <c r="B1564" s="210" t="s">
        <v>68</v>
      </c>
      <c r="C1564" s="254" t="s">
        <v>1593</v>
      </c>
      <c r="D1564" s="255">
        <v>1241</v>
      </c>
      <c r="E1564" s="211" t="s">
        <v>1898</v>
      </c>
      <c r="F1564" s="212">
        <v>43585</v>
      </c>
      <c r="G1564" s="213">
        <v>2.78</v>
      </c>
      <c r="H1564" s="256">
        <v>459</v>
      </c>
      <c r="I1564" s="214">
        <v>1453733</v>
      </c>
      <c r="J1564" s="215">
        <v>21600</v>
      </c>
      <c r="K1564" s="212">
        <v>43593</v>
      </c>
      <c r="L1564" s="211" t="s">
        <v>1900</v>
      </c>
      <c r="M1564" s="216">
        <v>4615445946</v>
      </c>
      <c r="N1564" s="212"/>
      <c r="O1564" s="217"/>
      <c r="P1564" s="219"/>
      <c r="Q1564" s="34">
        <f>SUMIF(Allocation[Delivery ID],Allocation[[#This Row],[Delivery ID]],Allocation[Quantity Processed])</f>
        <v>13114</v>
      </c>
      <c r="R1564" s="61">
        <f>Allocation[[#This Row],[Total volume used]]/VLOOKUP(Allocation[[#This Row],[Delivery ID]],Delivery[[Delivery ID]:[Quantity delivered]],3,FALSE)</f>
        <v>0.424951393389501</v>
      </c>
      <c r="S1564" s="34">
        <f>Allocation[[#This Row],[Quantity Processed]]/Allocation[[#This Row],[Dilution rate]]</f>
        <v>446.40287769784175</v>
      </c>
      <c r="T1564" s="59">
        <f>SUMIF(Allocation[Delivery ID],Allocation[[#This Row],[Delivery ID]],Allocation[Quantity allocated])/SUMIF(Allocation[Delivery ID],Allocation[[#This Row],[Delivery ID]],Allocation[Volume available (kg)])</f>
        <v>1.0906883735665476</v>
      </c>
      <c r="U1564" s="61">
        <f>Allocation[[#This Row],[Total volume used]]/VLOOKUP(Allocation[[#This Row],[Delivery ID]],Delivery[[Delivery ID]:[Quantity delivered]],3,FALSE)</f>
        <v>0.424951393389501</v>
      </c>
      <c r="V1564" s="34" t="e">
        <f>VLOOKUP(Allocation[[#This Row],[SAP Contract number]],Shipments[[SAP Contract number]:[Contracted container weight]],2,FALSE)</f>
        <v>#N/A</v>
      </c>
      <c r="W1564" s="34" t="e">
        <f>VLOOKUP(Allocation[[#This Row],[SAP Contract number]],Shipments[[SAP Contract number]:[AAA Premium USD]],24,FALSE)</f>
        <v>#N/A</v>
      </c>
      <c r="X1564" s="34" t="e">
        <f>VLOOKUP(Allocation[[#This Row],[SAP Contract number]],Shipments[[SAP Contract number]:[RA Premium USD]],25,FALSE)</f>
        <v>#N/A</v>
      </c>
      <c r="Y1564" s="38">
        <f>Allocation[[#This Row],[Quantity Processed]]/Allocation[[#This Row],[Quantity allocated]]</f>
        <v>2.7037037037037037</v>
      </c>
      <c r="Z1564" s="34" t="b">
        <f>Allocation[[#This Row],[Quantity allocated]]&lt;=Allocation[[#This Row],[Quantity Processed]]</f>
        <v>1</v>
      </c>
    </row>
    <row r="1565" spans="1:26">
      <c r="A1565" s="247" t="s">
        <v>467</v>
      </c>
      <c r="B1565" s="210" t="s">
        <v>68</v>
      </c>
      <c r="C1565" s="254" t="s">
        <v>1594</v>
      </c>
      <c r="D1565" s="255">
        <v>2876</v>
      </c>
      <c r="E1565" s="211" t="s">
        <v>1898</v>
      </c>
      <c r="F1565" s="212">
        <v>43585</v>
      </c>
      <c r="G1565" s="213">
        <v>2.78</v>
      </c>
      <c r="H1565" s="256">
        <v>1064</v>
      </c>
      <c r="I1565" s="214">
        <v>1453733</v>
      </c>
      <c r="J1565" s="215">
        <v>21600</v>
      </c>
      <c r="K1565" s="212">
        <v>43593</v>
      </c>
      <c r="L1565" s="211" t="s">
        <v>1900</v>
      </c>
      <c r="M1565" s="216">
        <v>4615445946</v>
      </c>
      <c r="N1565" s="212"/>
      <c r="O1565" s="217"/>
      <c r="P1565" s="219"/>
      <c r="Q1565" s="34">
        <f>SUMIF(Allocation[Delivery ID],Allocation[[#This Row],[Delivery ID]],Allocation[Quantity Processed])</f>
        <v>21820</v>
      </c>
      <c r="R1565" s="61">
        <f>Allocation[[#This Row],[Total volume used]]/VLOOKUP(Allocation[[#This Row],[Delivery ID]],Delivery[[Delivery ID]:[Quantity delivered]],3,FALSE)</f>
        <v>1</v>
      </c>
      <c r="S1565" s="34">
        <f>Allocation[[#This Row],[Quantity Processed]]/Allocation[[#This Row],[Dilution rate]]</f>
        <v>1034.5323741007196</v>
      </c>
      <c r="T1565" s="59">
        <f>SUMIF(Allocation[Delivery ID],Allocation[[#This Row],[Delivery ID]],Allocation[Quantity allocated])/SUMIF(Allocation[Delivery ID],Allocation[[#This Row],[Delivery ID]],Allocation[Volume available (kg)])</f>
        <v>1.0116954031397734</v>
      </c>
      <c r="U1565" s="61">
        <f>Allocation[[#This Row],[Total volume used]]/VLOOKUP(Allocation[[#This Row],[Delivery ID]],Delivery[[Delivery ID]:[Quantity delivered]],3,FALSE)</f>
        <v>1</v>
      </c>
      <c r="V1565" s="34" t="e">
        <f>VLOOKUP(Allocation[[#This Row],[SAP Contract number]],Shipments[[SAP Contract number]:[Contracted container weight]],2,FALSE)</f>
        <v>#N/A</v>
      </c>
      <c r="W1565" s="34" t="e">
        <f>VLOOKUP(Allocation[[#This Row],[SAP Contract number]],Shipments[[SAP Contract number]:[AAA Premium USD]],24,FALSE)</f>
        <v>#N/A</v>
      </c>
      <c r="X1565" s="34" t="e">
        <f>VLOOKUP(Allocation[[#This Row],[SAP Contract number]],Shipments[[SAP Contract number]:[RA Premium USD]],25,FALSE)</f>
        <v>#N/A</v>
      </c>
      <c r="Y1565" s="38">
        <f>Allocation[[#This Row],[Quantity Processed]]/Allocation[[#This Row],[Quantity allocated]]</f>
        <v>2.7030075187969924</v>
      </c>
      <c r="Z1565" s="34" t="b">
        <f>Allocation[[#This Row],[Quantity allocated]]&lt;=Allocation[[#This Row],[Quantity Processed]]</f>
        <v>1</v>
      </c>
    </row>
    <row r="1566" spans="1:26">
      <c r="A1566" s="247" t="s">
        <v>467</v>
      </c>
      <c r="B1566" s="210" t="s">
        <v>68</v>
      </c>
      <c r="C1566" s="254" t="s">
        <v>1595</v>
      </c>
      <c r="D1566" s="255">
        <v>2851</v>
      </c>
      <c r="E1566" s="211" t="s">
        <v>1898</v>
      </c>
      <c r="F1566" s="212">
        <v>43585</v>
      </c>
      <c r="G1566" s="213">
        <v>2.78</v>
      </c>
      <c r="H1566" s="256">
        <v>1055</v>
      </c>
      <c r="I1566" s="214">
        <v>1453733</v>
      </c>
      <c r="J1566" s="215">
        <v>21600</v>
      </c>
      <c r="K1566" s="212">
        <v>43593</v>
      </c>
      <c r="L1566" s="211" t="s">
        <v>1900</v>
      </c>
      <c r="M1566" s="216">
        <v>4615445946</v>
      </c>
      <c r="N1566" s="212"/>
      <c r="O1566" s="217"/>
      <c r="P1566" s="219"/>
      <c r="Q1566" s="34">
        <f>SUMIF(Allocation[Delivery ID],Allocation[[#This Row],[Delivery ID]],Allocation[Quantity Processed])</f>
        <v>21520</v>
      </c>
      <c r="R1566" s="61">
        <f>Allocation[[#This Row],[Total volume used]]/VLOOKUP(Allocation[[#This Row],[Delivery ID]],Delivery[[Delivery ID]:[Quantity delivered]],3,FALSE)</f>
        <v>1</v>
      </c>
      <c r="S1566" s="34">
        <f>Allocation[[#This Row],[Quantity Processed]]/Allocation[[#This Row],[Dilution rate]]</f>
        <v>1025.5395683453239</v>
      </c>
      <c r="T1566" s="59">
        <f>SUMIF(Allocation[Delivery ID],Allocation[[#This Row],[Delivery ID]],Allocation[Quantity allocated])/SUMIF(Allocation[Delivery ID],Allocation[[#This Row],[Delivery ID]],Allocation[Volume available (kg)])</f>
        <v>1.0170700841408933</v>
      </c>
      <c r="U1566" s="61">
        <f>Allocation[[#This Row],[Total volume used]]/VLOOKUP(Allocation[[#This Row],[Delivery ID]],Delivery[[Delivery ID]:[Quantity delivered]],3,FALSE)</f>
        <v>1</v>
      </c>
      <c r="V1566" s="34" t="e">
        <f>VLOOKUP(Allocation[[#This Row],[SAP Contract number]],Shipments[[SAP Contract number]:[Contracted container weight]],2,FALSE)</f>
        <v>#N/A</v>
      </c>
      <c r="W1566" s="34" t="e">
        <f>VLOOKUP(Allocation[[#This Row],[SAP Contract number]],Shipments[[SAP Contract number]:[AAA Premium USD]],24,FALSE)</f>
        <v>#N/A</v>
      </c>
      <c r="X1566" s="34" t="e">
        <f>VLOOKUP(Allocation[[#This Row],[SAP Contract number]],Shipments[[SAP Contract number]:[RA Premium USD]],25,FALSE)</f>
        <v>#N/A</v>
      </c>
      <c r="Y1566" s="38">
        <f>Allocation[[#This Row],[Quantity Processed]]/Allocation[[#This Row],[Quantity allocated]]</f>
        <v>2.7023696682464453</v>
      </c>
      <c r="Z1566" s="34" t="b">
        <f>Allocation[[#This Row],[Quantity allocated]]&lt;=Allocation[[#This Row],[Quantity Processed]]</f>
        <v>1</v>
      </c>
    </row>
    <row r="1567" spans="1:26">
      <c r="A1567" s="247" t="s">
        <v>467</v>
      </c>
      <c r="B1567" s="210" t="s">
        <v>68</v>
      </c>
      <c r="C1567" s="254" t="s">
        <v>1596</v>
      </c>
      <c r="D1567" s="255">
        <v>246</v>
      </c>
      <c r="E1567" s="211" t="s">
        <v>1898</v>
      </c>
      <c r="F1567" s="212">
        <v>43585</v>
      </c>
      <c r="G1567" s="213">
        <v>2.78</v>
      </c>
      <c r="H1567" s="256">
        <v>91</v>
      </c>
      <c r="I1567" s="214">
        <v>1453733</v>
      </c>
      <c r="J1567" s="215">
        <v>21600</v>
      </c>
      <c r="K1567" s="212">
        <v>43593</v>
      </c>
      <c r="L1567" s="211" t="s">
        <v>1900</v>
      </c>
      <c r="M1567" s="216">
        <v>4615445946</v>
      </c>
      <c r="N1567" s="212"/>
      <c r="O1567" s="217"/>
      <c r="P1567" s="219"/>
      <c r="Q1567" s="34">
        <f>SUMIF(Allocation[Delivery ID],Allocation[[#This Row],[Delivery ID]],Allocation[Quantity Processed])</f>
        <v>1858.5</v>
      </c>
      <c r="R1567" s="61">
        <f>Allocation[[#This Row],[Total volume used]]/VLOOKUP(Allocation[[#This Row],[Delivery ID]],Delivery[[Delivery ID]:[Quantity delivered]],3,FALSE)</f>
        <v>1</v>
      </c>
      <c r="S1567" s="34">
        <f>Allocation[[#This Row],[Quantity Processed]]/Allocation[[#This Row],[Dilution rate]]</f>
        <v>88.489208633093526</v>
      </c>
      <c r="T1567" s="59">
        <f>SUMIF(Allocation[Delivery ID],Allocation[[#This Row],[Delivery ID]],Allocation[Quantity allocated])/SUMIF(Allocation[Delivery ID],Allocation[[#This Row],[Delivery ID]],Allocation[Volume available (kg)])</f>
        <v>1.0159711851005886</v>
      </c>
      <c r="U1567" s="61">
        <f>Allocation[[#This Row],[Total volume used]]/VLOOKUP(Allocation[[#This Row],[Delivery ID]],Delivery[[Delivery ID]:[Quantity delivered]],3,FALSE)</f>
        <v>1</v>
      </c>
      <c r="V1567" s="34" t="e">
        <f>VLOOKUP(Allocation[[#This Row],[SAP Contract number]],Shipments[[SAP Contract number]:[Contracted container weight]],2,FALSE)</f>
        <v>#N/A</v>
      </c>
      <c r="W1567" s="34" t="e">
        <f>VLOOKUP(Allocation[[#This Row],[SAP Contract number]],Shipments[[SAP Contract number]:[AAA Premium USD]],24,FALSE)</f>
        <v>#N/A</v>
      </c>
      <c r="X1567" s="34" t="e">
        <f>VLOOKUP(Allocation[[#This Row],[SAP Contract number]],Shipments[[SAP Contract number]:[RA Premium USD]],25,FALSE)</f>
        <v>#N/A</v>
      </c>
      <c r="Y1567" s="38">
        <f>Allocation[[#This Row],[Quantity Processed]]/Allocation[[#This Row],[Quantity allocated]]</f>
        <v>2.7032967032967035</v>
      </c>
      <c r="Z1567" s="34" t="b">
        <f>Allocation[[#This Row],[Quantity allocated]]&lt;=Allocation[[#This Row],[Quantity Processed]]</f>
        <v>1</v>
      </c>
    </row>
    <row r="1568" spans="1:26">
      <c r="A1568" s="247" t="s">
        <v>467</v>
      </c>
      <c r="B1568" s="210" t="s">
        <v>68</v>
      </c>
      <c r="C1568" s="254" t="s">
        <v>1597</v>
      </c>
      <c r="D1568" s="255">
        <v>4089</v>
      </c>
      <c r="E1568" s="211" t="s">
        <v>1898</v>
      </c>
      <c r="F1568" s="212">
        <v>43585</v>
      </c>
      <c r="G1568" s="213">
        <v>2.78</v>
      </c>
      <c r="H1568" s="256">
        <v>1513</v>
      </c>
      <c r="I1568" s="214">
        <v>1453733</v>
      </c>
      <c r="J1568" s="215">
        <v>21600</v>
      </c>
      <c r="K1568" s="212">
        <v>43593</v>
      </c>
      <c r="L1568" s="211" t="s">
        <v>1900</v>
      </c>
      <c r="M1568" s="216">
        <v>4615445946</v>
      </c>
      <c r="N1568" s="212"/>
      <c r="O1568" s="217"/>
      <c r="P1568" s="219"/>
      <c r="Q1568" s="34">
        <f>SUMIF(Allocation[Delivery ID],Allocation[[#This Row],[Delivery ID]],Allocation[Quantity Processed])</f>
        <v>30931.5</v>
      </c>
      <c r="R1568" s="61">
        <f>Allocation[[#This Row],[Total volume used]]/VLOOKUP(Allocation[[#This Row],[Delivery ID]],Delivery[[Delivery ID]:[Quantity delivered]],3,FALSE)</f>
        <v>1</v>
      </c>
      <c r="S1568" s="34">
        <f>Allocation[[#This Row],[Quantity Processed]]/Allocation[[#This Row],[Dilution rate]]</f>
        <v>1470.8633093525182</v>
      </c>
      <c r="T1568" s="59">
        <f>SUMIF(Allocation[Delivery ID],Allocation[[#This Row],[Delivery ID]],Allocation[Quantity allocated])/SUMIF(Allocation[Delivery ID],Allocation[[#This Row],[Delivery ID]],Allocation[Volume available (kg)])</f>
        <v>1.0150148116999234</v>
      </c>
      <c r="U1568" s="61">
        <f>Allocation[[#This Row],[Total volume used]]/VLOOKUP(Allocation[[#This Row],[Delivery ID]],Delivery[[Delivery ID]:[Quantity delivered]],3,FALSE)</f>
        <v>1</v>
      </c>
      <c r="V1568" s="34" t="e">
        <f>VLOOKUP(Allocation[[#This Row],[SAP Contract number]],Shipments[[SAP Contract number]:[Contracted container weight]],2,FALSE)</f>
        <v>#N/A</v>
      </c>
      <c r="W1568" s="34" t="e">
        <f>VLOOKUP(Allocation[[#This Row],[SAP Contract number]],Shipments[[SAP Contract number]:[AAA Premium USD]],24,FALSE)</f>
        <v>#N/A</v>
      </c>
      <c r="X1568" s="34" t="e">
        <f>VLOOKUP(Allocation[[#This Row],[SAP Contract number]],Shipments[[SAP Contract number]:[RA Premium USD]],25,FALSE)</f>
        <v>#N/A</v>
      </c>
      <c r="Y1568" s="38">
        <f>Allocation[[#This Row],[Quantity Processed]]/Allocation[[#This Row],[Quantity allocated]]</f>
        <v>2.7025776602775942</v>
      </c>
      <c r="Z1568" s="34" t="b">
        <f>Allocation[[#This Row],[Quantity allocated]]&lt;=Allocation[[#This Row],[Quantity Processed]]</f>
        <v>1</v>
      </c>
    </row>
    <row r="1569" spans="1:26">
      <c r="A1569" s="247" t="s">
        <v>467</v>
      </c>
      <c r="B1569" s="210" t="s">
        <v>68</v>
      </c>
      <c r="C1569" s="254" t="s">
        <v>631</v>
      </c>
      <c r="D1569" s="255">
        <v>775</v>
      </c>
      <c r="E1569" s="211" t="s">
        <v>1898</v>
      </c>
      <c r="F1569" s="212">
        <v>43585</v>
      </c>
      <c r="G1569" s="213">
        <v>2.78</v>
      </c>
      <c r="H1569" s="256">
        <v>310</v>
      </c>
      <c r="I1569" s="214">
        <v>1453733</v>
      </c>
      <c r="J1569" s="215">
        <v>21600</v>
      </c>
      <c r="K1569" s="212">
        <v>43593</v>
      </c>
      <c r="L1569" s="211" t="s">
        <v>1900</v>
      </c>
      <c r="M1569" s="216">
        <v>4615445946</v>
      </c>
      <c r="N1569" s="212"/>
      <c r="O1569" s="217"/>
      <c r="P1569" s="219"/>
      <c r="Q1569" s="34">
        <f>SUMIF(Allocation[Delivery ID],Allocation[[#This Row],[Delivery ID]],Allocation[Quantity Processed])</f>
        <v>49860</v>
      </c>
      <c r="R1569" s="61">
        <f>Allocation[[#This Row],[Total volume used]]/VLOOKUP(Allocation[[#This Row],[Delivery ID]],Delivery[[Delivery ID]:[Quantity delivered]],3,FALSE)</f>
        <v>1</v>
      </c>
      <c r="S1569" s="34">
        <f>Allocation[[#This Row],[Quantity Processed]]/Allocation[[#This Row],[Dilution rate]]</f>
        <v>278.77697841726621</v>
      </c>
      <c r="T1569" s="59">
        <f>SUMIF(Allocation[Delivery ID],Allocation[[#This Row],[Delivery ID]],Allocation[Quantity allocated])/SUMIF(Allocation[Delivery ID],Allocation[[#This Row],[Delivery ID]],Allocation[Volume available (kg)])</f>
        <v>1.0206100407433714</v>
      </c>
      <c r="U1569" s="61">
        <f>Allocation[[#This Row],[Total volume used]]/VLOOKUP(Allocation[[#This Row],[Delivery ID]],Delivery[[Delivery ID]:[Quantity delivered]],3,FALSE)</f>
        <v>1</v>
      </c>
      <c r="V1569" s="34" t="e">
        <f>VLOOKUP(Allocation[[#This Row],[SAP Contract number]],Shipments[[SAP Contract number]:[Contracted container weight]],2,FALSE)</f>
        <v>#N/A</v>
      </c>
      <c r="W1569" s="34" t="e">
        <f>VLOOKUP(Allocation[[#This Row],[SAP Contract number]],Shipments[[SAP Contract number]:[AAA Premium USD]],24,FALSE)</f>
        <v>#N/A</v>
      </c>
      <c r="X1569" s="34" t="e">
        <f>VLOOKUP(Allocation[[#This Row],[SAP Contract number]],Shipments[[SAP Contract number]:[RA Premium USD]],25,FALSE)</f>
        <v>#N/A</v>
      </c>
      <c r="Y1569" s="38">
        <f>Allocation[[#This Row],[Quantity Processed]]/Allocation[[#This Row],[Quantity allocated]]</f>
        <v>2.5</v>
      </c>
      <c r="Z1569" s="34" t="b">
        <f>Allocation[[#This Row],[Quantity allocated]]&lt;=Allocation[[#This Row],[Quantity Processed]]</f>
        <v>1</v>
      </c>
    </row>
    <row r="1570" spans="1:26">
      <c r="A1570" s="247" t="s">
        <v>467</v>
      </c>
      <c r="B1570" s="210" t="s">
        <v>68</v>
      </c>
      <c r="C1570" s="254" t="s">
        <v>1599</v>
      </c>
      <c r="D1570" s="255">
        <v>1786</v>
      </c>
      <c r="E1570" s="211" t="s">
        <v>1898</v>
      </c>
      <c r="F1570" s="212">
        <v>43585</v>
      </c>
      <c r="G1570" s="213">
        <v>2.78</v>
      </c>
      <c r="H1570" s="256">
        <v>661</v>
      </c>
      <c r="I1570" s="214">
        <v>1453733</v>
      </c>
      <c r="J1570" s="215">
        <v>21600</v>
      </c>
      <c r="K1570" s="212">
        <v>43593</v>
      </c>
      <c r="L1570" s="211" t="s">
        <v>1900</v>
      </c>
      <c r="M1570" s="216">
        <v>4615445946</v>
      </c>
      <c r="N1570" s="212"/>
      <c r="O1570" s="217"/>
      <c r="P1570" s="219"/>
      <c r="Q1570" s="34">
        <f>SUMIF(Allocation[Delivery ID],Allocation[[#This Row],[Delivery ID]],Allocation[Quantity Processed])</f>
        <v>14121</v>
      </c>
      <c r="R1570" s="61">
        <f>Allocation[[#This Row],[Total volume used]]/VLOOKUP(Allocation[[#This Row],[Delivery ID]],Delivery[[Delivery ID]:[Quantity delivered]],3,FALSE)</f>
        <v>0.44662681468830062</v>
      </c>
      <c r="S1570" s="34">
        <f>Allocation[[#This Row],[Quantity Processed]]/Allocation[[#This Row],[Dilution rate]]</f>
        <v>642.4460431654677</v>
      </c>
      <c r="T1570" s="59">
        <f>SUMIF(Allocation[Delivery ID],Allocation[[#This Row],[Delivery ID]],Allocation[Quantity allocated])/SUMIF(Allocation[Delivery ID],Allocation[[#This Row],[Delivery ID]],Allocation[Volume available (kg)])</f>
        <v>0.96998579680440944</v>
      </c>
      <c r="U1570" s="61">
        <f>Allocation[[#This Row],[Total volume used]]/VLOOKUP(Allocation[[#This Row],[Delivery ID]],Delivery[[Delivery ID]:[Quantity delivered]],3,FALSE)</f>
        <v>0.44662681468830062</v>
      </c>
      <c r="V1570" s="34" t="e">
        <f>VLOOKUP(Allocation[[#This Row],[SAP Contract number]],Shipments[[SAP Contract number]:[Contracted container weight]],2,FALSE)</f>
        <v>#N/A</v>
      </c>
      <c r="W1570" s="34" t="e">
        <f>VLOOKUP(Allocation[[#This Row],[SAP Contract number]],Shipments[[SAP Contract number]:[AAA Premium USD]],24,FALSE)</f>
        <v>#N/A</v>
      </c>
      <c r="X1570" s="34" t="e">
        <f>VLOOKUP(Allocation[[#This Row],[SAP Contract number]],Shipments[[SAP Contract number]:[RA Premium USD]],25,FALSE)</f>
        <v>#N/A</v>
      </c>
      <c r="Y1570" s="38">
        <f>Allocation[[#This Row],[Quantity Processed]]/Allocation[[#This Row],[Quantity allocated]]</f>
        <v>2.7019667170953103</v>
      </c>
      <c r="Z1570" s="34" t="b">
        <f>Allocation[[#This Row],[Quantity allocated]]&lt;=Allocation[[#This Row],[Quantity Processed]]</f>
        <v>1</v>
      </c>
    </row>
    <row r="1571" spans="1:26">
      <c r="A1571" s="247" t="s">
        <v>467</v>
      </c>
      <c r="B1571" s="210" t="s">
        <v>68</v>
      </c>
      <c r="C1571" s="254" t="s">
        <v>1600</v>
      </c>
      <c r="D1571" s="255">
        <v>1789</v>
      </c>
      <c r="E1571" s="211" t="s">
        <v>1898</v>
      </c>
      <c r="F1571" s="212">
        <v>43585</v>
      </c>
      <c r="G1571" s="213">
        <v>2.78</v>
      </c>
      <c r="H1571" s="256">
        <v>662</v>
      </c>
      <c r="I1571" s="214">
        <v>1453733</v>
      </c>
      <c r="J1571" s="215">
        <v>21600</v>
      </c>
      <c r="K1571" s="212">
        <v>43593</v>
      </c>
      <c r="L1571" s="211" t="s">
        <v>1900</v>
      </c>
      <c r="M1571" s="216">
        <v>4615445946</v>
      </c>
      <c r="N1571" s="212"/>
      <c r="O1571" s="217"/>
      <c r="P1571" s="219"/>
      <c r="Q1571" s="34">
        <f>SUMIF(Allocation[Delivery ID],Allocation[[#This Row],[Delivery ID]],Allocation[Quantity Processed])</f>
        <v>14130</v>
      </c>
      <c r="R1571" s="61">
        <f>Allocation[[#This Row],[Total volume used]]/VLOOKUP(Allocation[[#This Row],[Delivery ID]],Delivery[[Delivery ID]:[Quantity delivered]],3,FALSE)</f>
        <v>0.44662894711887979</v>
      </c>
      <c r="S1571" s="34">
        <f>Allocation[[#This Row],[Quantity Processed]]/Allocation[[#This Row],[Dilution rate]]</f>
        <v>643.52517985611519</v>
      </c>
      <c r="T1571" s="59">
        <f>SUMIF(Allocation[Delivery ID],Allocation[[#This Row],[Delivery ID]],Allocation[Quantity allocated])/SUMIF(Allocation[Delivery ID],Allocation[[#This Row],[Delivery ID]],Allocation[Volume available (kg)])</f>
        <v>0.96993288907575037</v>
      </c>
      <c r="U1571" s="61">
        <f>Allocation[[#This Row],[Total volume used]]/VLOOKUP(Allocation[[#This Row],[Delivery ID]],Delivery[[Delivery ID]:[Quantity delivered]],3,FALSE)</f>
        <v>0.44662894711887979</v>
      </c>
      <c r="V1571" s="34" t="e">
        <f>VLOOKUP(Allocation[[#This Row],[SAP Contract number]],Shipments[[SAP Contract number]:[Contracted container weight]],2,FALSE)</f>
        <v>#N/A</v>
      </c>
      <c r="W1571" s="34" t="e">
        <f>VLOOKUP(Allocation[[#This Row],[SAP Contract number]],Shipments[[SAP Contract number]:[AAA Premium USD]],24,FALSE)</f>
        <v>#N/A</v>
      </c>
      <c r="X1571" s="34" t="e">
        <f>VLOOKUP(Allocation[[#This Row],[SAP Contract number]],Shipments[[SAP Contract number]:[RA Premium USD]],25,FALSE)</f>
        <v>#N/A</v>
      </c>
      <c r="Y1571" s="38">
        <f>Allocation[[#This Row],[Quantity Processed]]/Allocation[[#This Row],[Quantity allocated]]</f>
        <v>2.702416918429003</v>
      </c>
      <c r="Z1571" s="34" t="b">
        <f>Allocation[[#This Row],[Quantity allocated]]&lt;=Allocation[[#This Row],[Quantity Processed]]</f>
        <v>1</v>
      </c>
    </row>
    <row r="1572" spans="1:26">
      <c r="A1572" s="247" t="s">
        <v>467</v>
      </c>
      <c r="B1572" s="210" t="s">
        <v>68</v>
      </c>
      <c r="C1572" s="254" t="s">
        <v>1601</v>
      </c>
      <c r="D1572" s="255">
        <v>1784</v>
      </c>
      <c r="E1572" s="211" t="s">
        <v>1898</v>
      </c>
      <c r="F1572" s="212">
        <v>43585</v>
      </c>
      <c r="G1572" s="213">
        <v>2.78</v>
      </c>
      <c r="H1572" s="256">
        <v>660</v>
      </c>
      <c r="I1572" s="214">
        <v>1453733</v>
      </c>
      <c r="J1572" s="215">
        <v>21600</v>
      </c>
      <c r="K1572" s="212">
        <v>43593</v>
      </c>
      <c r="L1572" s="211" t="s">
        <v>1900</v>
      </c>
      <c r="M1572" s="216">
        <v>4615445946</v>
      </c>
      <c r="N1572" s="212"/>
      <c r="O1572" s="217"/>
      <c r="P1572" s="219"/>
      <c r="Q1572" s="34">
        <f>SUMIF(Allocation[Delivery ID],Allocation[[#This Row],[Delivery ID]],Allocation[Quantity Processed])</f>
        <v>14111</v>
      </c>
      <c r="R1572" s="61">
        <f>Allocation[[#This Row],[Total volume used]]/VLOOKUP(Allocation[[#This Row],[Delivery ID]],Delivery[[Delivery ID]:[Quantity delivered]],3,FALSE)</f>
        <v>0.4465930309839542</v>
      </c>
      <c r="S1572" s="34">
        <f>Allocation[[#This Row],[Quantity Processed]]/Allocation[[#This Row],[Dilution rate]]</f>
        <v>641.726618705036</v>
      </c>
      <c r="T1572" s="59">
        <f>SUMIF(Allocation[Delivery ID],Allocation[[#This Row],[Delivery ID]],Allocation[Quantity allocated])/SUMIF(Allocation[Delivery ID],Allocation[[#This Row],[Delivery ID]],Allocation[Volume available (kg)])</f>
        <v>0.96992679552970051</v>
      </c>
      <c r="U1572" s="61">
        <f>Allocation[[#This Row],[Total volume used]]/VLOOKUP(Allocation[[#This Row],[Delivery ID]],Delivery[[Delivery ID]:[Quantity delivered]],3,FALSE)</f>
        <v>0.4465930309839542</v>
      </c>
      <c r="V1572" s="34" t="e">
        <f>VLOOKUP(Allocation[[#This Row],[SAP Contract number]],Shipments[[SAP Contract number]:[Contracted container weight]],2,FALSE)</f>
        <v>#N/A</v>
      </c>
      <c r="W1572" s="34" t="e">
        <f>VLOOKUP(Allocation[[#This Row],[SAP Contract number]],Shipments[[SAP Contract number]:[AAA Premium USD]],24,FALSE)</f>
        <v>#N/A</v>
      </c>
      <c r="X1572" s="34" t="e">
        <f>VLOOKUP(Allocation[[#This Row],[SAP Contract number]],Shipments[[SAP Contract number]:[RA Premium USD]],25,FALSE)</f>
        <v>#N/A</v>
      </c>
      <c r="Y1572" s="38">
        <f>Allocation[[#This Row],[Quantity Processed]]/Allocation[[#This Row],[Quantity allocated]]</f>
        <v>2.7030303030303031</v>
      </c>
      <c r="Z1572" s="34" t="b">
        <f>Allocation[[#This Row],[Quantity allocated]]&lt;=Allocation[[#This Row],[Quantity Processed]]</f>
        <v>1</v>
      </c>
    </row>
    <row r="1573" spans="1:26">
      <c r="A1573" s="247" t="s">
        <v>467</v>
      </c>
      <c r="B1573" s="210" t="s">
        <v>68</v>
      </c>
      <c r="C1573" s="254" t="s">
        <v>1602</v>
      </c>
      <c r="D1573" s="255">
        <v>1789</v>
      </c>
      <c r="E1573" s="211" t="s">
        <v>1898</v>
      </c>
      <c r="F1573" s="212">
        <v>43585</v>
      </c>
      <c r="G1573" s="213">
        <v>2.78</v>
      </c>
      <c r="H1573" s="256">
        <v>662</v>
      </c>
      <c r="I1573" s="214">
        <v>1453733</v>
      </c>
      <c r="J1573" s="215">
        <v>21600</v>
      </c>
      <c r="K1573" s="212">
        <v>43593</v>
      </c>
      <c r="L1573" s="211" t="s">
        <v>1900</v>
      </c>
      <c r="M1573" s="216">
        <v>4615445946</v>
      </c>
      <c r="N1573" s="212"/>
      <c r="O1573" s="217"/>
      <c r="P1573" s="219"/>
      <c r="Q1573" s="34">
        <f>SUMIF(Allocation[Delivery ID],Allocation[[#This Row],[Delivery ID]],Allocation[Quantity Processed])</f>
        <v>14124</v>
      </c>
      <c r="R1573" s="61">
        <f>Allocation[[#This Row],[Total volume used]]/VLOOKUP(Allocation[[#This Row],[Delivery ID]],Delivery[[Delivery ID]:[Quantity delivered]],3,FALSE)</f>
        <v>0.44672170035107694</v>
      </c>
      <c r="S1573" s="34">
        <f>Allocation[[#This Row],[Quantity Processed]]/Allocation[[#This Row],[Dilution rate]]</f>
        <v>643.52517985611519</v>
      </c>
      <c r="T1573" s="59">
        <f>SUMIF(Allocation[Delivery ID],Allocation[[#This Row],[Delivery ID]],Allocation[Quantity allocated])/SUMIF(Allocation[Delivery ID],Allocation[[#This Row],[Delivery ID]],Allocation[Volume available (kg)])</f>
        <v>0.96997712023049254</v>
      </c>
      <c r="U1573" s="61">
        <f>Allocation[[#This Row],[Total volume used]]/VLOOKUP(Allocation[[#This Row],[Delivery ID]],Delivery[[Delivery ID]:[Quantity delivered]],3,FALSE)</f>
        <v>0.44672170035107694</v>
      </c>
      <c r="V1573" s="34" t="e">
        <f>VLOOKUP(Allocation[[#This Row],[SAP Contract number]],Shipments[[SAP Contract number]:[Contracted container weight]],2,FALSE)</f>
        <v>#N/A</v>
      </c>
      <c r="W1573" s="34" t="e">
        <f>VLOOKUP(Allocation[[#This Row],[SAP Contract number]],Shipments[[SAP Contract number]:[AAA Premium USD]],24,FALSE)</f>
        <v>#N/A</v>
      </c>
      <c r="X1573" s="34" t="e">
        <f>VLOOKUP(Allocation[[#This Row],[SAP Contract number]],Shipments[[SAP Contract number]:[RA Premium USD]],25,FALSE)</f>
        <v>#N/A</v>
      </c>
      <c r="Y1573" s="38">
        <f>Allocation[[#This Row],[Quantity Processed]]/Allocation[[#This Row],[Quantity allocated]]</f>
        <v>2.702416918429003</v>
      </c>
      <c r="Z1573" s="34" t="b">
        <f>Allocation[[#This Row],[Quantity allocated]]&lt;=Allocation[[#This Row],[Quantity Processed]]</f>
        <v>1</v>
      </c>
    </row>
    <row r="1574" spans="1:26">
      <c r="A1574" s="247" t="s">
        <v>467</v>
      </c>
      <c r="B1574" s="210" t="s">
        <v>68</v>
      </c>
      <c r="C1574" s="254" t="s">
        <v>1603</v>
      </c>
      <c r="D1574" s="255">
        <v>1784</v>
      </c>
      <c r="E1574" s="211" t="s">
        <v>1898</v>
      </c>
      <c r="F1574" s="212">
        <v>43585</v>
      </c>
      <c r="G1574" s="213">
        <v>2.78</v>
      </c>
      <c r="H1574" s="256">
        <v>660</v>
      </c>
      <c r="I1574" s="214">
        <v>1453733</v>
      </c>
      <c r="J1574" s="215">
        <v>21600</v>
      </c>
      <c r="K1574" s="212">
        <v>43593</v>
      </c>
      <c r="L1574" s="211" t="s">
        <v>1900</v>
      </c>
      <c r="M1574" s="216">
        <v>4615445946</v>
      </c>
      <c r="N1574" s="212"/>
      <c r="O1574" s="217"/>
      <c r="P1574" s="219"/>
      <c r="Q1574" s="34">
        <f>SUMIF(Allocation[Delivery ID],Allocation[[#This Row],[Delivery ID]],Allocation[Quantity Processed])</f>
        <v>14111</v>
      </c>
      <c r="R1574" s="61">
        <f>Allocation[[#This Row],[Total volume used]]/VLOOKUP(Allocation[[#This Row],[Delivery ID]],Delivery[[Delivery ID]:[Quantity delivered]],3,FALSE)</f>
        <v>0.4465930309839542</v>
      </c>
      <c r="S1574" s="34">
        <f>Allocation[[#This Row],[Quantity Processed]]/Allocation[[#This Row],[Dilution rate]]</f>
        <v>641.726618705036</v>
      </c>
      <c r="T1574" s="59">
        <f>SUMIF(Allocation[Delivery ID],Allocation[[#This Row],[Delivery ID]],Allocation[Quantity allocated])/SUMIF(Allocation[Delivery ID],Allocation[[#This Row],[Delivery ID]],Allocation[Volume available (kg)])</f>
        <v>0.96992679552970051</v>
      </c>
      <c r="U1574" s="61">
        <f>Allocation[[#This Row],[Total volume used]]/VLOOKUP(Allocation[[#This Row],[Delivery ID]],Delivery[[Delivery ID]:[Quantity delivered]],3,FALSE)</f>
        <v>0.4465930309839542</v>
      </c>
      <c r="V1574" s="34" t="e">
        <f>VLOOKUP(Allocation[[#This Row],[SAP Contract number]],Shipments[[SAP Contract number]:[Contracted container weight]],2,FALSE)</f>
        <v>#N/A</v>
      </c>
      <c r="W1574" s="34" t="e">
        <f>VLOOKUP(Allocation[[#This Row],[SAP Contract number]],Shipments[[SAP Contract number]:[AAA Premium USD]],24,FALSE)</f>
        <v>#N/A</v>
      </c>
      <c r="X1574" s="34" t="e">
        <f>VLOOKUP(Allocation[[#This Row],[SAP Contract number]],Shipments[[SAP Contract number]:[RA Premium USD]],25,FALSE)</f>
        <v>#N/A</v>
      </c>
      <c r="Y1574" s="38">
        <f>Allocation[[#This Row],[Quantity Processed]]/Allocation[[#This Row],[Quantity allocated]]</f>
        <v>2.7030303030303031</v>
      </c>
      <c r="Z1574" s="34" t="b">
        <f>Allocation[[#This Row],[Quantity allocated]]&lt;=Allocation[[#This Row],[Quantity Processed]]</f>
        <v>1</v>
      </c>
    </row>
    <row r="1575" spans="1:26">
      <c r="A1575" s="247" t="s">
        <v>467</v>
      </c>
      <c r="B1575" s="210" t="s">
        <v>68</v>
      </c>
      <c r="C1575" s="254" t="s">
        <v>1604</v>
      </c>
      <c r="D1575" s="255">
        <v>722</v>
      </c>
      <c r="E1575" s="211" t="s">
        <v>1898</v>
      </c>
      <c r="F1575" s="212">
        <v>43585</v>
      </c>
      <c r="G1575" s="213">
        <v>2.78</v>
      </c>
      <c r="H1575" s="256">
        <v>267</v>
      </c>
      <c r="I1575" s="214">
        <v>1453733</v>
      </c>
      <c r="J1575" s="215">
        <v>21600</v>
      </c>
      <c r="K1575" s="212">
        <v>43593</v>
      </c>
      <c r="L1575" s="211" t="s">
        <v>1900</v>
      </c>
      <c r="M1575" s="216">
        <v>4615445946</v>
      </c>
      <c r="N1575" s="212"/>
      <c r="O1575" s="217"/>
      <c r="P1575" s="219"/>
      <c r="Q1575" s="34">
        <f>SUMIF(Allocation[Delivery ID],Allocation[[#This Row],[Delivery ID]],Allocation[Quantity Processed])</f>
        <v>11181</v>
      </c>
      <c r="R1575" s="61">
        <f>Allocation[[#This Row],[Total volume used]]/VLOOKUP(Allocation[[#This Row],[Delivery ID]],Delivery[[Delivery ID]:[Quantity delivered]],3,FALSE)</f>
        <v>0.43776672800595123</v>
      </c>
      <c r="S1575" s="34">
        <f>Allocation[[#This Row],[Quantity Processed]]/Allocation[[#This Row],[Dilution rate]]</f>
        <v>259.71223021582733</v>
      </c>
      <c r="T1575" s="59">
        <f>SUMIF(Allocation[Delivery ID],Allocation[[#This Row],[Delivery ID]],Allocation[Quantity allocated])/SUMIF(Allocation[Delivery ID],Allocation[[#This Row],[Delivery ID]],Allocation[Volume available (kg)])</f>
        <v>0.96604605272084787</v>
      </c>
      <c r="U1575" s="61">
        <f>Allocation[[#This Row],[Total volume used]]/VLOOKUP(Allocation[[#This Row],[Delivery ID]],Delivery[[Delivery ID]:[Quantity delivered]],3,FALSE)</f>
        <v>0.43776672800595123</v>
      </c>
      <c r="V1575" s="34" t="e">
        <f>VLOOKUP(Allocation[[#This Row],[SAP Contract number]],Shipments[[SAP Contract number]:[Contracted container weight]],2,FALSE)</f>
        <v>#N/A</v>
      </c>
      <c r="W1575" s="34" t="e">
        <f>VLOOKUP(Allocation[[#This Row],[SAP Contract number]],Shipments[[SAP Contract number]:[AAA Premium USD]],24,FALSE)</f>
        <v>#N/A</v>
      </c>
      <c r="X1575" s="34" t="e">
        <f>VLOOKUP(Allocation[[#This Row],[SAP Contract number]],Shipments[[SAP Contract number]:[RA Premium USD]],25,FALSE)</f>
        <v>#N/A</v>
      </c>
      <c r="Y1575" s="38">
        <f>Allocation[[#This Row],[Quantity Processed]]/Allocation[[#This Row],[Quantity allocated]]</f>
        <v>2.7041198501872659</v>
      </c>
      <c r="Z1575" s="34" t="b">
        <f>Allocation[[#This Row],[Quantity allocated]]&lt;=Allocation[[#This Row],[Quantity Processed]]</f>
        <v>1</v>
      </c>
    </row>
    <row r="1576" spans="1:26">
      <c r="A1576" s="247" t="s">
        <v>467</v>
      </c>
      <c r="B1576" s="210" t="s">
        <v>68</v>
      </c>
      <c r="C1576" s="254" t="s">
        <v>1605</v>
      </c>
      <c r="D1576" s="255">
        <v>1784</v>
      </c>
      <c r="E1576" s="211" t="s">
        <v>1898</v>
      </c>
      <c r="F1576" s="212">
        <v>43585</v>
      </c>
      <c r="G1576" s="213">
        <v>2.78</v>
      </c>
      <c r="H1576" s="256">
        <v>660</v>
      </c>
      <c r="I1576" s="214">
        <v>1453733</v>
      </c>
      <c r="J1576" s="215">
        <v>21600</v>
      </c>
      <c r="K1576" s="212">
        <v>43593</v>
      </c>
      <c r="L1576" s="211" t="s">
        <v>1900</v>
      </c>
      <c r="M1576" s="216">
        <v>4615445946</v>
      </c>
      <c r="N1576" s="212"/>
      <c r="O1576" s="217"/>
      <c r="P1576" s="219"/>
      <c r="Q1576" s="34">
        <f>SUMIF(Allocation[Delivery ID],Allocation[[#This Row],[Delivery ID]],Allocation[Quantity Processed])</f>
        <v>16595</v>
      </c>
      <c r="R1576" s="61">
        <f>Allocation[[#This Row],[Total volume used]]/VLOOKUP(Allocation[[#This Row],[Delivery ID]],Delivery[[Delivery ID]:[Quantity delivered]],3,FALSE)</f>
        <v>0.52499209111040812</v>
      </c>
      <c r="S1576" s="34">
        <f>Allocation[[#This Row],[Quantity Processed]]/Allocation[[#This Row],[Dilution rate]]</f>
        <v>641.726618705036</v>
      </c>
      <c r="T1576" s="59">
        <f>SUMIF(Allocation[Delivery ID],Allocation[[#This Row],[Delivery ID]],Allocation[Quantity allocated])/SUMIF(Allocation[Delivery ID],Allocation[[#This Row],[Delivery ID]],Allocation[Volume available (kg)])</f>
        <v>0.96871934547807192</v>
      </c>
      <c r="U1576" s="61">
        <f>Allocation[[#This Row],[Total volume used]]/VLOOKUP(Allocation[[#This Row],[Delivery ID]],Delivery[[Delivery ID]:[Quantity delivered]],3,FALSE)</f>
        <v>0.52499209111040812</v>
      </c>
      <c r="V1576" s="34" t="e">
        <f>VLOOKUP(Allocation[[#This Row],[SAP Contract number]],Shipments[[SAP Contract number]:[Contracted container weight]],2,FALSE)</f>
        <v>#N/A</v>
      </c>
      <c r="W1576" s="34" t="e">
        <f>VLOOKUP(Allocation[[#This Row],[SAP Contract number]],Shipments[[SAP Contract number]:[AAA Premium USD]],24,FALSE)</f>
        <v>#N/A</v>
      </c>
      <c r="X1576" s="34" t="e">
        <f>VLOOKUP(Allocation[[#This Row],[SAP Contract number]],Shipments[[SAP Contract number]:[RA Premium USD]],25,FALSE)</f>
        <v>#N/A</v>
      </c>
      <c r="Y1576" s="38">
        <f>Allocation[[#This Row],[Quantity Processed]]/Allocation[[#This Row],[Quantity allocated]]</f>
        <v>2.7030303030303031</v>
      </c>
      <c r="Z1576" s="34" t="b">
        <f>Allocation[[#This Row],[Quantity allocated]]&lt;=Allocation[[#This Row],[Quantity Processed]]</f>
        <v>1</v>
      </c>
    </row>
    <row r="1577" spans="1:26">
      <c r="A1577" s="247" t="s">
        <v>467</v>
      </c>
      <c r="B1577" s="210" t="s">
        <v>68</v>
      </c>
      <c r="C1577" s="254" t="s">
        <v>1766</v>
      </c>
      <c r="D1577" s="255">
        <v>279</v>
      </c>
      <c r="E1577" s="211" t="s">
        <v>1898</v>
      </c>
      <c r="F1577" s="212">
        <v>43585</v>
      </c>
      <c r="G1577" s="213">
        <v>2.78</v>
      </c>
      <c r="H1577" s="256">
        <v>156</v>
      </c>
      <c r="I1577" s="214">
        <v>1453733</v>
      </c>
      <c r="J1577" s="215">
        <v>21600</v>
      </c>
      <c r="K1577" s="212">
        <v>43593</v>
      </c>
      <c r="L1577" s="211" t="s">
        <v>1900</v>
      </c>
      <c r="M1577" s="216">
        <v>4615445946</v>
      </c>
      <c r="N1577" s="212"/>
      <c r="O1577" s="217"/>
      <c r="P1577" s="219"/>
      <c r="Q1577" s="34">
        <f>SUMIF(Allocation[Delivery ID],Allocation[[#This Row],[Delivery ID]],Allocation[Quantity Processed])</f>
        <v>2970</v>
      </c>
      <c r="R1577" s="61">
        <f>Allocation[[#This Row],[Total volume used]]/VLOOKUP(Allocation[[#This Row],[Delivery ID]],Delivery[[Delivery ID]:[Quantity delivered]],3,FALSE)</f>
        <v>0.2825880114176974</v>
      </c>
      <c r="S1577" s="34">
        <f>Allocation[[#This Row],[Quantity Processed]]/Allocation[[#This Row],[Dilution rate]]</f>
        <v>100.35971223021583</v>
      </c>
      <c r="T1577" s="59">
        <f>SUMIF(Allocation[Delivery ID],Allocation[[#This Row],[Delivery ID]],Allocation[Quantity allocated])/SUMIF(Allocation[Delivery ID],Allocation[[#This Row],[Delivery ID]],Allocation[Volume available (kg)])</f>
        <v>1.6506558077443048</v>
      </c>
      <c r="U1577" s="61">
        <f>Allocation[[#This Row],[Total volume used]]/VLOOKUP(Allocation[[#This Row],[Delivery ID]],Delivery[[Delivery ID]:[Quantity delivered]],3,FALSE)</f>
        <v>0.2825880114176974</v>
      </c>
      <c r="V1577" s="34" t="e">
        <f>VLOOKUP(Allocation[[#This Row],[SAP Contract number]],Shipments[[SAP Contract number]:[Contracted container weight]],2,FALSE)</f>
        <v>#N/A</v>
      </c>
      <c r="W1577" s="34" t="e">
        <f>VLOOKUP(Allocation[[#This Row],[SAP Contract number]],Shipments[[SAP Contract number]:[AAA Premium USD]],24,FALSE)</f>
        <v>#N/A</v>
      </c>
      <c r="X1577" s="34" t="e">
        <f>VLOOKUP(Allocation[[#This Row],[SAP Contract number]],Shipments[[SAP Contract number]:[RA Premium USD]],25,FALSE)</f>
        <v>#N/A</v>
      </c>
      <c r="Y1577" s="38">
        <f>Allocation[[#This Row],[Quantity Processed]]/Allocation[[#This Row],[Quantity allocated]]</f>
        <v>1.7884615384615385</v>
      </c>
      <c r="Z1577" s="34" t="b">
        <f>Allocation[[#This Row],[Quantity allocated]]&lt;=Allocation[[#This Row],[Quantity Processed]]</f>
        <v>1</v>
      </c>
    </row>
    <row r="1578" spans="1:26">
      <c r="A1578" s="247" t="s">
        <v>467</v>
      </c>
      <c r="B1578" s="210" t="s">
        <v>68</v>
      </c>
      <c r="C1578" s="254" t="s">
        <v>1314</v>
      </c>
      <c r="D1578" s="255">
        <v>732</v>
      </c>
      <c r="E1578" s="211" t="s">
        <v>1898</v>
      </c>
      <c r="F1578" s="212">
        <v>43585</v>
      </c>
      <c r="G1578" s="213">
        <v>2.78</v>
      </c>
      <c r="H1578" s="256">
        <v>249</v>
      </c>
      <c r="I1578" s="214">
        <v>1453733</v>
      </c>
      <c r="J1578" s="215">
        <v>21600</v>
      </c>
      <c r="K1578" s="212">
        <v>43593</v>
      </c>
      <c r="L1578" s="211" t="s">
        <v>1900</v>
      </c>
      <c r="M1578" s="216">
        <v>4615445946</v>
      </c>
      <c r="N1578" s="212"/>
      <c r="O1578" s="217"/>
      <c r="P1578" s="219"/>
      <c r="Q1578" s="34">
        <f>SUMIF(Allocation[Delivery ID],Allocation[[#This Row],[Delivery ID]],Allocation[Quantity Processed])</f>
        <v>30340</v>
      </c>
      <c r="R1578" s="61">
        <f>Allocation[[#This Row],[Total volume used]]/VLOOKUP(Allocation[[#This Row],[Delivery ID]],Delivery[[Delivery ID]:[Quantity delivered]],3,FALSE)</f>
        <v>1</v>
      </c>
      <c r="S1578" s="34">
        <f>Allocation[[#This Row],[Quantity Processed]]/Allocation[[#This Row],[Dilution rate]]</f>
        <v>263.30935251798564</v>
      </c>
      <c r="T1578" s="59">
        <f>SUMIF(Allocation[Delivery ID],Allocation[[#This Row],[Delivery ID]],Allocation[Quantity allocated])/SUMIF(Allocation[Delivery ID],Allocation[[#This Row],[Delivery ID]],Allocation[Volume available (kg)])</f>
        <v>0.9470285046711745</v>
      </c>
      <c r="U1578" s="61">
        <f>Allocation[[#This Row],[Total volume used]]/VLOOKUP(Allocation[[#This Row],[Delivery ID]],Delivery[[Delivery ID]:[Quantity delivered]],3,FALSE)</f>
        <v>1</v>
      </c>
      <c r="V1578" s="34" t="e">
        <f>VLOOKUP(Allocation[[#This Row],[SAP Contract number]],Shipments[[SAP Contract number]:[Contracted container weight]],2,FALSE)</f>
        <v>#N/A</v>
      </c>
      <c r="W1578" s="34" t="e">
        <f>VLOOKUP(Allocation[[#This Row],[SAP Contract number]],Shipments[[SAP Contract number]:[AAA Premium USD]],24,FALSE)</f>
        <v>#N/A</v>
      </c>
      <c r="X1578" s="34" t="e">
        <f>VLOOKUP(Allocation[[#This Row],[SAP Contract number]],Shipments[[SAP Contract number]:[RA Premium USD]],25,FALSE)</f>
        <v>#N/A</v>
      </c>
      <c r="Y1578" s="38">
        <f>Allocation[[#This Row],[Quantity Processed]]/Allocation[[#This Row],[Quantity allocated]]</f>
        <v>2.9397590361445785</v>
      </c>
      <c r="Z1578" s="34" t="b">
        <f>Allocation[[#This Row],[Quantity allocated]]&lt;=Allocation[[#This Row],[Quantity Processed]]</f>
        <v>1</v>
      </c>
    </row>
    <row r="1579" spans="1:26">
      <c r="A1579" s="247" t="s">
        <v>467</v>
      </c>
      <c r="B1579" s="210" t="s">
        <v>68</v>
      </c>
      <c r="C1579" s="254" t="s">
        <v>1315</v>
      </c>
      <c r="D1579" s="255">
        <v>726</v>
      </c>
      <c r="E1579" s="211" t="s">
        <v>1898</v>
      </c>
      <c r="F1579" s="212">
        <v>43585</v>
      </c>
      <c r="G1579" s="213">
        <v>2.78</v>
      </c>
      <c r="H1579" s="256">
        <v>247</v>
      </c>
      <c r="I1579" s="214">
        <v>1453733</v>
      </c>
      <c r="J1579" s="215">
        <v>21600</v>
      </c>
      <c r="K1579" s="212">
        <v>43593</v>
      </c>
      <c r="L1579" s="211" t="s">
        <v>1900</v>
      </c>
      <c r="M1579" s="216">
        <v>4615445946</v>
      </c>
      <c r="N1579" s="212"/>
      <c r="O1579" s="217"/>
      <c r="P1579" s="219"/>
      <c r="Q1579" s="34">
        <f>SUMIF(Allocation[Delivery ID],Allocation[[#This Row],[Delivery ID]],Allocation[Quantity Processed])</f>
        <v>30020</v>
      </c>
      <c r="R1579" s="61">
        <f>Allocation[[#This Row],[Total volume used]]/VLOOKUP(Allocation[[#This Row],[Delivery ID]],Delivery[[Delivery ID]:[Quantity delivered]],3,FALSE)</f>
        <v>1</v>
      </c>
      <c r="S1579" s="34">
        <f>Allocation[[#This Row],[Quantity Processed]]/Allocation[[#This Row],[Dilution rate]]</f>
        <v>261.15107913669067</v>
      </c>
      <c r="T1579" s="59">
        <f>SUMIF(Allocation[Delivery ID],Allocation[[#This Row],[Delivery ID]],Allocation[Quantity allocated])/SUMIF(Allocation[Delivery ID],Allocation[[#This Row],[Delivery ID]],Allocation[Volume available (kg)])</f>
        <v>0.94671813226451329</v>
      </c>
      <c r="U1579" s="61">
        <f>Allocation[[#This Row],[Total volume used]]/VLOOKUP(Allocation[[#This Row],[Delivery ID]],Delivery[[Delivery ID]:[Quantity delivered]],3,FALSE)</f>
        <v>1</v>
      </c>
      <c r="V1579" s="34" t="e">
        <f>VLOOKUP(Allocation[[#This Row],[SAP Contract number]],Shipments[[SAP Contract number]:[Contracted container weight]],2,FALSE)</f>
        <v>#N/A</v>
      </c>
      <c r="W1579" s="34" t="e">
        <f>VLOOKUP(Allocation[[#This Row],[SAP Contract number]],Shipments[[SAP Contract number]:[AAA Premium USD]],24,FALSE)</f>
        <v>#N/A</v>
      </c>
      <c r="X1579" s="34" t="e">
        <f>VLOOKUP(Allocation[[#This Row],[SAP Contract number]],Shipments[[SAP Contract number]:[RA Premium USD]],25,FALSE)</f>
        <v>#N/A</v>
      </c>
      <c r="Y1579" s="38">
        <f>Allocation[[#This Row],[Quantity Processed]]/Allocation[[#This Row],[Quantity allocated]]</f>
        <v>2.9392712550607287</v>
      </c>
      <c r="Z1579" s="34" t="b">
        <f>Allocation[[#This Row],[Quantity allocated]]&lt;=Allocation[[#This Row],[Quantity Processed]]</f>
        <v>1</v>
      </c>
    </row>
    <row r="1580" spans="1:26">
      <c r="A1580" s="247" t="s">
        <v>467</v>
      </c>
      <c r="B1580" s="210" t="s">
        <v>68</v>
      </c>
      <c r="C1580" s="254" t="s">
        <v>1320</v>
      </c>
      <c r="D1580" s="255">
        <v>748</v>
      </c>
      <c r="E1580" s="211" t="s">
        <v>1898</v>
      </c>
      <c r="F1580" s="212">
        <v>43585</v>
      </c>
      <c r="G1580" s="213">
        <v>2.78</v>
      </c>
      <c r="H1580" s="256">
        <v>247</v>
      </c>
      <c r="I1580" s="214">
        <v>1453733</v>
      </c>
      <c r="J1580" s="215">
        <v>21600</v>
      </c>
      <c r="K1580" s="212">
        <v>43593</v>
      </c>
      <c r="L1580" s="211" t="s">
        <v>1900</v>
      </c>
      <c r="M1580" s="216">
        <v>4615445946</v>
      </c>
      <c r="N1580" s="212"/>
      <c r="O1580" s="217"/>
      <c r="P1580" s="219"/>
      <c r="Q1580" s="34">
        <f>SUMIF(Allocation[Delivery ID],Allocation[[#This Row],[Delivery ID]],Allocation[Quantity Processed])</f>
        <v>30000</v>
      </c>
      <c r="R1580" s="61">
        <f>Allocation[[#This Row],[Total volume used]]/VLOOKUP(Allocation[[#This Row],[Delivery ID]],Delivery[[Delivery ID]:[Quantity delivered]],3,FALSE)</f>
        <v>1</v>
      </c>
      <c r="S1580" s="34">
        <f>Allocation[[#This Row],[Quantity Processed]]/Allocation[[#This Row],[Dilution rate]]</f>
        <v>269.06474820143887</v>
      </c>
      <c r="T1580" s="59">
        <f>SUMIF(Allocation[Delivery ID],Allocation[[#This Row],[Delivery ID]],Allocation[Quantity allocated])/SUMIF(Allocation[Delivery ID],Allocation[[#This Row],[Delivery ID]],Allocation[Volume available (kg)])</f>
        <v>0.92338890756093095</v>
      </c>
      <c r="U1580" s="61">
        <f>Allocation[[#This Row],[Total volume used]]/VLOOKUP(Allocation[[#This Row],[Delivery ID]],Delivery[[Delivery ID]:[Quantity delivered]],3,FALSE)</f>
        <v>1</v>
      </c>
      <c r="V1580" s="34" t="e">
        <f>VLOOKUP(Allocation[[#This Row],[SAP Contract number]],Shipments[[SAP Contract number]:[Contracted container weight]],2,FALSE)</f>
        <v>#N/A</v>
      </c>
      <c r="W1580" s="34" t="e">
        <f>VLOOKUP(Allocation[[#This Row],[SAP Contract number]],Shipments[[SAP Contract number]:[AAA Premium USD]],24,FALSE)</f>
        <v>#N/A</v>
      </c>
      <c r="X1580" s="34" t="e">
        <f>VLOOKUP(Allocation[[#This Row],[SAP Contract number]],Shipments[[SAP Contract number]:[RA Premium USD]],25,FALSE)</f>
        <v>#N/A</v>
      </c>
      <c r="Y1580" s="38">
        <f>Allocation[[#This Row],[Quantity Processed]]/Allocation[[#This Row],[Quantity allocated]]</f>
        <v>3.0283400809716601</v>
      </c>
      <c r="Z1580" s="34" t="b">
        <f>Allocation[[#This Row],[Quantity allocated]]&lt;=Allocation[[#This Row],[Quantity Processed]]</f>
        <v>1</v>
      </c>
    </row>
    <row r="1581" spans="1:26">
      <c r="A1581" s="247" t="s">
        <v>467</v>
      </c>
      <c r="B1581" s="210" t="s">
        <v>68</v>
      </c>
      <c r="C1581" s="254" t="s">
        <v>1321</v>
      </c>
      <c r="D1581" s="255">
        <v>748</v>
      </c>
      <c r="E1581" s="211" t="s">
        <v>1898</v>
      </c>
      <c r="F1581" s="212">
        <v>43585</v>
      </c>
      <c r="G1581" s="213">
        <v>2.78</v>
      </c>
      <c r="H1581" s="256">
        <v>247</v>
      </c>
      <c r="I1581" s="214">
        <v>1453733</v>
      </c>
      <c r="J1581" s="215">
        <v>21600</v>
      </c>
      <c r="K1581" s="212">
        <v>43593</v>
      </c>
      <c r="L1581" s="211" t="s">
        <v>1900</v>
      </c>
      <c r="M1581" s="216">
        <v>4615445946</v>
      </c>
      <c r="N1581" s="212"/>
      <c r="O1581" s="217"/>
      <c r="P1581" s="219"/>
      <c r="Q1581" s="34">
        <f>SUMIF(Allocation[Delivery ID],Allocation[[#This Row],[Delivery ID]],Allocation[Quantity Processed])</f>
        <v>30010</v>
      </c>
      <c r="R1581" s="61">
        <f>Allocation[[#This Row],[Total volume used]]/VLOOKUP(Allocation[[#This Row],[Delivery ID]],Delivery[[Delivery ID]:[Quantity delivered]],3,FALSE)</f>
        <v>1</v>
      </c>
      <c r="S1581" s="34">
        <f>Allocation[[#This Row],[Quantity Processed]]/Allocation[[#This Row],[Dilution rate]]</f>
        <v>269.06474820143887</v>
      </c>
      <c r="T1581" s="59">
        <f>SUMIF(Allocation[Delivery ID],Allocation[[#This Row],[Delivery ID]],Allocation[Quantity allocated])/SUMIF(Allocation[Delivery ID],Allocation[[#This Row],[Delivery ID]],Allocation[Volume available (kg)])</f>
        <v>0.93319400037374489</v>
      </c>
      <c r="U1581" s="61">
        <f>Allocation[[#This Row],[Total volume used]]/VLOOKUP(Allocation[[#This Row],[Delivery ID]],Delivery[[Delivery ID]:[Quantity delivered]],3,FALSE)</f>
        <v>1</v>
      </c>
      <c r="V1581" s="34" t="e">
        <f>VLOOKUP(Allocation[[#This Row],[SAP Contract number]],Shipments[[SAP Contract number]:[Contracted container weight]],2,FALSE)</f>
        <v>#N/A</v>
      </c>
      <c r="W1581" s="34" t="e">
        <f>VLOOKUP(Allocation[[#This Row],[SAP Contract number]],Shipments[[SAP Contract number]:[AAA Premium USD]],24,FALSE)</f>
        <v>#N/A</v>
      </c>
      <c r="X1581" s="34" t="e">
        <f>VLOOKUP(Allocation[[#This Row],[SAP Contract number]],Shipments[[SAP Contract number]:[RA Premium USD]],25,FALSE)</f>
        <v>#N/A</v>
      </c>
      <c r="Y1581" s="38">
        <f>Allocation[[#This Row],[Quantity Processed]]/Allocation[[#This Row],[Quantity allocated]]</f>
        <v>3.0283400809716601</v>
      </c>
      <c r="Z1581" s="34" t="b">
        <f>Allocation[[#This Row],[Quantity allocated]]&lt;=Allocation[[#This Row],[Quantity Processed]]</f>
        <v>1</v>
      </c>
    </row>
    <row r="1582" spans="1:26">
      <c r="A1582" s="247" t="s">
        <v>467</v>
      </c>
      <c r="B1582" s="210" t="s">
        <v>68</v>
      </c>
      <c r="C1582" s="254" t="s">
        <v>1568</v>
      </c>
      <c r="D1582" s="255">
        <v>833</v>
      </c>
      <c r="E1582" s="211" t="s">
        <v>1901</v>
      </c>
      <c r="F1582" s="212">
        <v>43585</v>
      </c>
      <c r="G1582" s="213">
        <v>2.6</v>
      </c>
      <c r="H1582" s="256">
        <v>325</v>
      </c>
      <c r="I1582" s="214">
        <v>1452969</v>
      </c>
      <c r="J1582" s="215">
        <v>21600</v>
      </c>
      <c r="K1582" s="212">
        <v>43593</v>
      </c>
      <c r="L1582" s="211" t="s">
        <v>1902</v>
      </c>
      <c r="M1582" s="216">
        <v>4615445946</v>
      </c>
      <c r="N1582" s="212"/>
      <c r="O1582" s="217"/>
      <c r="P1582" s="219"/>
      <c r="Q1582" s="34">
        <f>SUMIF(Allocation[Delivery ID],Allocation[[#This Row],[Delivery ID]],Allocation[Quantity Processed])</f>
        <v>960</v>
      </c>
      <c r="R1582" s="61">
        <f>Allocation[[#This Row],[Total volume used]]/VLOOKUP(Allocation[[#This Row],[Delivery ID]],Delivery[[Delivery ID]:[Quantity delivered]],3,FALSE)</f>
        <v>1</v>
      </c>
      <c r="S1582" s="34">
        <f>Allocation[[#This Row],[Quantity Processed]]/Allocation[[#This Row],[Dilution rate]]</f>
        <v>320.38461538461536</v>
      </c>
      <c r="T1582" s="59">
        <f>SUMIF(Allocation[Delivery ID],Allocation[[#This Row],[Delivery ID]],Allocation[Quantity allocated])/SUMIF(Allocation[Delivery ID],Allocation[[#This Row],[Delivery ID]],Allocation[Volume available (kg)])</f>
        <v>1.0162044490804782</v>
      </c>
      <c r="U1582" s="61">
        <f>Allocation[[#This Row],[Total volume used]]/VLOOKUP(Allocation[[#This Row],[Delivery ID]],Delivery[[Delivery ID]:[Quantity delivered]],3,FALSE)</f>
        <v>1</v>
      </c>
      <c r="V1582" s="34" t="e">
        <f>VLOOKUP(Allocation[[#This Row],[SAP Contract number]],Shipments[[SAP Contract number]:[Contracted container weight]],2,FALSE)</f>
        <v>#N/A</v>
      </c>
      <c r="W1582" s="34" t="e">
        <f>VLOOKUP(Allocation[[#This Row],[SAP Contract number]],Shipments[[SAP Contract number]:[AAA Premium USD]],24,FALSE)</f>
        <v>#N/A</v>
      </c>
      <c r="X1582" s="34" t="e">
        <f>VLOOKUP(Allocation[[#This Row],[SAP Contract number]],Shipments[[SAP Contract number]:[RA Premium USD]],25,FALSE)</f>
        <v>#N/A</v>
      </c>
      <c r="Y1582" s="38">
        <f>Allocation[[#This Row],[Quantity Processed]]/Allocation[[#This Row],[Quantity allocated]]</f>
        <v>2.563076923076923</v>
      </c>
      <c r="Z1582" s="34" t="b">
        <f>Allocation[[#This Row],[Quantity allocated]]&lt;=Allocation[[#This Row],[Quantity Processed]]</f>
        <v>1</v>
      </c>
    </row>
    <row r="1583" spans="1:26">
      <c r="A1583" s="247" t="s">
        <v>467</v>
      </c>
      <c r="B1583" s="210" t="s">
        <v>68</v>
      </c>
      <c r="C1583" s="254" t="s">
        <v>1569</v>
      </c>
      <c r="D1583" s="255">
        <v>27177</v>
      </c>
      <c r="E1583" s="211" t="s">
        <v>1901</v>
      </c>
      <c r="F1583" s="212">
        <v>43585</v>
      </c>
      <c r="G1583" s="213">
        <v>2.6</v>
      </c>
      <c r="H1583" s="256">
        <v>10594</v>
      </c>
      <c r="I1583" s="214">
        <v>1452969</v>
      </c>
      <c r="J1583" s="215">
        <v>21600</v>
      </c>
      <c r="K1583" s="212">
        <v>43593</v>
      </c>
      <c r="L1583" s="211" t="s">
        <v>1902</v>
      </c>
      <c r="M1583" s="216">
        <v>4615445946</v>
      </c>
      <c r="N1583" s="212"/>
      <c r="O1583" s="217"/>
      <c r="P1583" s="219"/>
      <c r="Q1583" s="34">
        <f>SUMIF(Allocation[Delivery ID],Allocation[[#This Row],[Delivery ID]],Allocation[Quantity Processed])</f>
        <v>31320</v>
      </c>
      <c r="R1583" s="61">
        <f>Allocation[[#This Row],[Total volume used]]/VLOOKUP(Allocation[[#This Row],[Delivery ID]],Delivery[[Delivery ID]:[Quantity delivered]],3,FALSE)</f>
        <v>1</v>
      </c>
      <c r="S1583" s="34">
        <f>Allocation[[#This Row],[Quantity Processed]]/Allocation[[#This Row],[Dilution rate]]</f>
        <v>10452.692307692307</v>
      </c>
      <c r="T1583" s="59">
        <f>SUMIF(Allocation[Delivery ID],Allocation[[#This Row],[Delivery ID]],Allocation[Quantity allocated])/SUMIF(Allocation[Delivery ID],Allocation[[#This Row],[Delivery ID]],Allocation[Volume available (kg)])</f>
        <v>1.0154082081130293</v>
      </c>
      <c r="U1583" s="61">
        <f>Allocation[[#This Row],[Total volume used]]/VLOOKUP(Allocation[[#This Row],[Delivery ID]],Delivery[[Delivery ID]:[Quantity delivered]],3,FALSE)</f>
        <v>1</v>
      </c>
      <c r="V1583" s="34" t="e">
        <f>VLOOKUP(Allocation[[#This Row],[SAP Contract number]],Shipments[[SAP Contract number]:[Contracted container weight]],2,FALSE)</f>
        <v>#N/A</v>
      </c>
      <c r="W1583" s="34" t="e">
        <f>VLOOKUP(Allocation[[#This Row],[SAP Contract number]],Shipments[[SAP Contract number]:[AAA Premium USD]],24,FALSE)</f>
        <v>#N/A</v>
      </c>
      <c r="X1583" s="34" t="e">
        <f>VLOOKUP(Allocation[[#This Row],[SAP Contract number]],Shipments[[SAP Contract number]:[RA Premium USD]],25,FALSE)</f>
        <v>#N/A</v>
      </c>
      <c r="Y1583" s="38">
        <f>Allocation[[#This Row],[Quantity Processed]]/Allocation[[#This Row],[Quantity allocated]]</f>
        <v>2.5653199924485559</v>
      </c>
      <c r="Z1583" s="34" t="b">
        <f>Allocation[[#This Row],[Quantity allocated]]&lt;=Allocation[[#This Row],[Quantity Processed]]</f>
        <v>1</v>
      </c>
    </row>
    <row r="1584" spans="1:26">
      <c r="A1584" s="247" t="s">
        <v>467</v>
      </c>
      <c r="B1584" s="210" t="s">
        <v>68</v>
      </c>
      <c r="C1584" s="254" t="s">
        <v>1570</v>
      </c>
      <c r="D1584" s="255">
        <v>26576</v>
      </c>
      <c r="E1584" s="211" t="s">
        <v>1901</v>
      </c>
      <c r="F1584" s="212">
        <v>43585</v>
      </c>
      <c r="G1584" s="213">
        <v>2.6</v>
      </c>
      <c r="H1584" s="256">
        <v>10367</v>
      </c>
      <c r="I1584" s="214">
        <v>1452969</v>
      </c>
      <c r="J1584" s="215">
        <v>21600</v>
      </c>
      <c r="K1584" s="212">
        <v>43593</v>
      </c>
      <c r="L1584" s="211" t="s">
        <v>1902</v>
      </c>
      <c r="M1584" s="216">
        <v>4615445946</v>
      </c>
      <c r="N1584" s="212"/>
      <c r="O1584" s="217"/>
      <c r="P1584" s="219"/>
      <c r="Q1584" s="34">
        <f>SUMIF(Allocation[Delivery ID],Allocation[[#This Row],[Delivery ID]],Allocation[Quantity Processed])</f>
        <v>30630</v>
      </c>
      <c r="R1584" s="61">
        <f>Allocation[[#This Row],[Total volume used]]/VLOOKUP(Allocation[[#This Row],[Delivery ID]],Delivery[[Delivery ID]:[Quantity delivered]],3,FALSE)</f>
        <v>1</v>
      </c>
      <c r="S1584" s="34">
        <f>Allocation[[#This Row],[Quantity Processed]]/Allocation[[#This Row],[Dilution rate]]</f>
        <v>10221.538461538461</v>
      </c>
      <c r="T1584" s="59">
        <f>SUMIF(Allocation[Delivery ID],Allocation[[#This Row],[Delivery ID]],Allocation[Quantity allocated])/SUMIF(Allocation[Delivery ID],Allocation[[#This Row],[Delivery ID]],Allocation[Volume available (kg)])</f>
        <v>1.0160266414977763</v>
      </c>
      <c r="U1584" s="61">
        <f>Allocation[[#This Row],[Total volume used]]/VLOOKUP(Allocation[[#This Row],[Delivery ID]],Delivery[[Delivery ID]:[Quantity delivered]],3,FALSE)</f>
        <v>1</v>
      </c>
      <c r="V1584" s="34" t="e">
        <f>VLOOKUP(Allocation[[#This Row],[SAP Contract number]],Shipments[[SAP Contract number]:[Contracted container weight]],2,FALSE)</f>
        <v>#N/A</v>
      </c>
      <c r="W1584" s="34" t="e">
        <f>VLOOKUP(Allocation[[#This Row],[SAP Contract number]],Shipments[[SAP Contract number]:[AAA Premium USD]],24,FALSE)</f>
        <v>#N/A</v>
      </c>
      <c r="X1584" s="34" t="e">
        <f>VLOOKUP(Allocation[[#This Row],[SAP Contract number]],Shipments[[SAP Contract number]:[RA Premium USD]],25,FALSE)</f>
        <v>#N/A</v>
      </c>
      <c r="Y1584" s="38">
        <f>Allocation[[#This Row],[Quantity Processed]]/Allocation[[#This Row],[Quantity allocated]]</f>
        <v>2.5635188579145365</v>
      </c>
      <c r="Z1584" s="34" t="b">
        <f>Allocation[[#This Row],[Quantity allocated]]&lt;=Allocation[[#This Row],[Quantity Processed]]</f>
        <v>1</v>
      </c>
    </row>
    <row r="1585" spans="1:26">
      <c r="A1585" s="247" t="s">
        <v>467</v>
      </c>
      <c r="B1585" s="210" t="s">
        <v>68</v>
      </c>
      <c r="C1585" s="254" t="s">
        <v>1571</v>
      </c>
      <c r="D1585" s="255">
        <v>805</v>
      </c>
      <c r="E1585" s="211" t="s">
        <v>1901</v>
      </c>
      <c r="F1585" s="212">
        <v>43585</v>
      </c>
      <c r="G1585" s="213">
        <v>2.6</v>
      </c>
      <c r="H1585" s="256">
        <v>314</v>
      </c>
      <c r="I1585" s="214">
        <v>1452969</v>
      </c>
      <c r="J1585" s="215">
        <v>21600</v>
      </c>
      <c r="K1585" s="212">
        <v>43593</v>
      </c>
      <c r="L1585" s="211" t="s">
        <v>1902</v>
      </c>
      <c r="M1585" s="216">
        <v>4615445946</v>
      </c>
      <c r="N1585" s="212"/>
      <c r="O1585" s="217"/>
      <c r="P1585" s="219"/>
      <c r="Q1585" s="34">
        <f>SUMIF(Allocation[Delivery ID],Allocation[[#This Row],[Delivery ID]],Allocation[Quantity Processed])</f>
        <v>30000</v>
      </c>
      <c r="R1585" s="61">
        <f>Allocation[[#This Row],[Total volume used]]/VLOOKUP(Allocation[[#This Row],[Delivery ID]],Delivery[[Delivery ID]:[Quantity delivered]],3,FALSE)</f>
        <v>1</v>
      </c>
      <c r="S1585" s="34">
        <f>Allocation[[#This Row],[Quantity Processed]]/Allocation[[#This Row],[Dilution rate]]</f>
        <v>309.61538461538458</v>
      </c>
      <c r="T1585" s="59">
        <f>SUMIF(Allocation[Delivery ID],Allocation[[#This Row],[Delivery ID]],Allocation[Quantity allocated])/SUMIF(Allocation[Delivery ID],Allocation[[#This Row],[Delivery ID]],Allocation[Volume available (kg)])</f>
        <v>1.0161861635220126</v>
      </c>
      <c r="U1585" s="61">
        <f>Allocation[[#This Row],[Total volume used]]/VLOOKUP(Allocation[[#This Row],[Delivery ID]],Delivery[[Delivery ID]:[Quantity delivered]],3,FALSE)</f>
        <v>1</v>
      </c>
      <c r="V1585" s="34" t="e">
        <f>VLOOKUP(Allocation[[#This Row],[SAP Contract number]],Shipments[[SAP Contract number]:[Contracted container weight]],2,FALSE)</f>
        <v>#N/A</v>
      </c>
      <c r="W1585" s="34" t="e">
        <f>VLOOKUP(Allocation[[#This Row],[SAP Contract number]],Shipments[[SAP Contract number]:[AAA Premium USD]],24,FALSE)</f>
        <v>#N/A</v>
      </c>
      <c r="X1585" s="34" t="e">
        <f>VLOOKUP(Allocation[[#This Row],[SAP Contract number]],Shipments[[SAP Contract number]:[RA Premium USD]],25,FALSE)</f>
        <v>#N/A</v>
      </c>
      <c r="Y1585" s="38">
        <f>Allocation[[#This Row],[Quantity Processed]]/Allocation[[#This Row],[Quantity allocated]]</f>
        <v>2.5636942675159236</v>
      </c>
      <c r="Z1585" s="34" t="b">
        <f>Allocation[[#This Row],[Quantity allocated]]&lt;=Allocation[[#This Row],[Quantity Processed]]</f>
        <v>1</v>
      </c>
    </row>
    <row r="1586" spans="1:26">
      <c r="A1586" s="247" t="s">
        <v>467</v>
      </c>
      <c r="B1586" s="210" t="s">
        <v>68</v>
      </c>
      <c r="C1586" s="254" t="s">
        <v>1571</v>
      </c>
      <c r="D1586" s="255">
        <v>25195</v>
      </c>
      <c r="E1586" s="211" t="s">
        <v>1901</v>
      </c>
      <c r="F1586" s="212">
        <v>43585</v>
      </c>
      <c r="G1586" s="213">
        <v>2.6</v>
      </c>
      <c r="H1586" s="256">
        <v>9830</v>
      </c>
      <c r="I1586" s="214">
        <v>1452970</v>
      </c>
      <c r="J1586" s="215">
        <v>21600</v>
      </c>
      <c r="K1586" s="212">
        <v>43593</v>
      </c>
      <c r="L1586" s="211" t="s">
        <v>1903</v>
      </c>
      <c r="M1586" s="216">
        <v>4615445946</v>
      </c>
      <c r="N1586" s="212"/>
      <c r="O1586" s="217"/>
      <c r="P1586" s="219"/>
      <c r="Q1586" s="34">
        <f>SUMIF(Allocation[Delivery ID],Allocation[[#This Row],[Delivery ID]],Allocation[Quantity Processed])</f>
        <v>30000</v>
      </c>
      <c r="R1586" s="61">
        <f>Allocation[[#This Row],[Total volume used]]/VLOOKUP(Allocation[[#This Row],[Delivery ID]],Delivery[[Delivery ID]:[Quantity delivered]],3,FALSE)</f>
        <v>1</v>
      </c>
      <c r="S1586" s="34">
        <f>Allocation[[#This Row],[Quantity Processed]]/Allocation[[#This Row],[Dilution rate]]</f>
        <v>9690.3846153846152</v>
      </c>
      <c r="T1586" s="59">
        <f>SUMIF(Allocation[Delivery ID],Allocation[[#This Row],[Delivery ID]],Allocation[Quantity allocated])/SUMIF(Allocation[Delivery ID],Allocation[[#This Row],[Delivery ID]],Allocation[Volume available (kg)])</f>
        <v>1.0161861635220126</v>
      </c>
      <c r="U1586" s="61">
        <f>Allocation[[#This Row],[Total volume used]]/VLOOKUP(Allocation[[#This Row],[Delivery ID]],Delivery[[Delivery ID]:[Quantity delivered]],3,FALSE)</f>
        <v>1</v>
      </c>
      <c r="V1586" s="34" t="e">
        <f>VLOOKUP(Allocation[[#This Row],[SAP Contract number]],Shipments[[SAP Contract number]:[Contracted container weight]],2,FALSE)</f>
        <v>#N/A</v>
      </c>
      <c r="W1586" s="34" t="e">
        <f>VLOOKUP(Allocation[[#This Row],[SAP Contract number]],Shipments[[SAP Contract number]:[AAA Premium USD]],24,FALSE)</f>
        <v>#N/A</v>
      </c>
      <c r="X1586" s="34" t="e">
        <f>VLOOKUP(Allocation[[#This Row],[SAP Contract number]],Shipments[[SAP Contract number]:[RA Premium USD]],25,FALSE)</f>
        <v>#N/A</v>
      </c>
      <c r="Y1586" s="38">
        <f>Allocation[[#This Row],[Quantity Processed]]/Allocation[[#This Row],[Quantity allocated]]</f>
        <v>2.5630722278738554</v>
      </c>
      <c r="Z1586" s="34" t="b">
        <f>Allocation[[#This Row],[Quantity allocated]]&lt;=Allocation[[#This Row],[Quantity Processed]]</f>
        <v>1</v>
      </c>
    </row>
    <row r="1587" spans="1:26">
      <c r="A1587" s="247" t="s">
        <v>467</v>
      </c>
      <c r="B1587" s="210" t="s">
        <v>68</v>
      </c>
      <c r="C1587" s="254" t="s">
        <v>1572</v>
      </c>
      <c r="D1587" s="255">
        <v>17139</v>
      </c>
      <c r="E1587" s="211" t="s">
        <v>1901</v>
      </c>
      <c r="F1587" s="212">
        <v>43585</v>
      </c>
      <c r="G1587" s="213">
        <v>2.6</v>
      </c>
      <c r="H1587" s="256">
        <v>6677</v>
      </c>
      <c r="I1587" s="214">
        <v>1452970</v>
      </c>
      <c r="J1587" s="215">
        <v>21600</v>
      </c>
      <c r="K1587" s="212">
        <v>43593</v>
      </c>
      <c r="L1587" s="211" t="s">
        <v>1903</v>
      </c>
      <c r="M1587" s="216">
        <v>4615445946</v>
      </c>
      <c r="N1587" s="212"/>
      <c r="O1587" s="217"/>
      <c r="P1587" s="219"/>
      <c r="Q1587" s="34">
        <f>SUMIF(Allocation[Delivery ID],Allocation[[#This Row],[Delivery ID]],Allocation[Quantity Processed])</f>
        <v>19750</v>
      </c>
      <c r="R1587" s="61">
        <f>Allocation[[#This Row],[Total volume used]]/VLOOKUP(Allocation[[#This Row],[Delivery ID]],Delivery[[Delivery ID]:[Quantity delivered]],3,FALSE)</f>
        <v>1</v>
      </c>
      <c r="S1587" s="34">
        <f>Allocation[[#This Row],[Quantity Processed]]/Allocation[[#This Row],[Dilution rate]]</f>
        <v>6591.9230769230771</v>
      </c>
      <c r="T1587" s="59">
        <f>SUMIF(Allocation[Delivery ID],Allocation[[#This Row],[Delivery ID]],Allocation[Quantity allocated])/SUMIF(Allocation[Delivery ID],Allocation[[#This Row],[Delivery ID]],Allocation[Volume available (kg)])</f>
        <v>1.0148541141346141</v>
      </c>
      <c r="U1587" s="61">
        <f>Allocation[[#This Row],[Total volume used]]/VLOOKUP(Allocation[[#This Row],[Delivery ID]],Delivery[[Delivery ID]:[Quantity delivered]],3,FALSE)</f>
        <v>1</v>
      </c>
      <c r="V1587" s="34" t="e">
        <f>VLOOKUP(Allocation[[#This Row],[SAP Contract number]],Shipments[[SAP Contract number]:[Contracted container weight]],2,FALSE)</f>
        <v>#N/A</v>
      </c>
      <c r="W1587" s="34" t="e">
        <f>VLOOKUP(Allocation[[#This Row],[SAP Contract number]],Shipments[[SAP Contract number]:[AAA Premium USD]],24,FALSE)</f>
        <v>#N/A</v>
      </c>
      <c r="X1587" s="34" t="e">
        <f>VLOOKUP(Allocation[[#This Row],[SAP Contract number]],Shipments[[SAP Contract number]:[RA Premium USD]],25,FALSE)</f>
        <v>#N/A</v>
      </c>
      <c r="Y1587" s="38">
        <f>Allocation[[#This Row],[Quantity Processed]]/Allocation[[#This Row],[Quantity allocated]]</f>
        <v>2.5668713494084168</v>
      </c>
      <c r="Z1587" s="34" t="b">
        <f>Allocation[[#This Row],[Quantity allocated]]&lt;=Allocation[[#This Row],[Quantity Processed]]</f>
        <v>1</v>
      </c>
    </row>
    <row r="1588" spans="1:26">
      <c r="A1588" s="247" t="s">
        <v>467</v>
      </c>
      <c r="B1588" s="210" t="s">
        <v>68</v>
      </c>
      <c r="C1588" s="254" t="s">
        <v>1574</v>
      </c>
      <c r="D1588" s="255">
        <v>13037</v>
      </c>
      <c r="E1588" s="211" t="s">
        <v>1901</v>
      </c>
      <c r="F1588" s="212">
        <v>43585</v>
      </c>
      <c r="G1588" s="213">
        <v>2.6</v>
      </c>
      <c r="H1588" s="256">
        <v>5093</v>
      </c>
      <c r="I1588" s="214">
        <v>1452970</v>
      </c>
      <c r="J1588" s="215">
        <v>21600</v>
      </c>
      <c r="K1588" s="212">
        <v>43593</v>
      </c>
      <c r="L1588" s="211" t="s">
        <v>1903</v>
      </c>
      <c r="M1588" s="216">
        <v>4615445946</v>
      </c>
      <c r="N1588" s="212"/>
      <c r="O1588" s="217"/>
      <c r="P1588" s="219"/>
      <c r="Q1588" s="34">
        <f>SUMIF(Allocation[Delivery ID],Allocation[[#This Row],[Delivery ID]],Allocation[Quantity Processed])</f>
        <v>29976.5</v>
      </c>
      <c r="R1588" s="61">
        <f>Allocation[[#This Row],[Total volume used]]/VLOOKUP(Allocation[[#This Row],[Delivery ID]],Delivery[[Delivery ID]:[Quantity delivered]],3,FALSE)</f>
        <v>1</v>
      </c>
      <c r="S1588" s="34">
        <f>Allocation[[#This Row],[Quantity Processed]]/Allocation[[#This Row],[Dilution rate]]</f>
        <v>5014.2307692307695</v>
      </c>
      <c r="T1588" s="59">
        <f>SUMIF(Allocation[Delivery ID],Allocation[[#This Row],[Delivery ID]],Allocation[Quantity allocated])/SUMIF(Allocation[Delivery ID],Allocation[[#This Row],[Delivery ID]],Allocation[Volume available (kg)])</f>
        <v>1.0173507878892345</v>
      </c>
      <c r="U1588" s="61">
        <f>Allocation[[#This Row],[Total volume used]]/VLOOKUP(Allocation[[#This Row],[Delivery ID]],Delivery[[Delivery ID]:[Quantity delivered]],3,FALSE)</f>
        <v>1</v>
      </c>
      <c r="V1588" s="34" t="e">
        <f>VLOOKUP(Allocation[[#This Row],[SAP Contract number]],Shipments[[SAP Contract number]:[Contracted container weight]],2,FALSE)</f>
        <v>#N/A</v>
      </c>
      <c r="W1588" s="34" t="e">
        <f>VLOOKUP(Allocation[[#This Row],[SAP Contract number]],Shipments[[SAP Contract number]:[AAA Premium USD]],24,FALSE)</f>
        <v>#N/A</v>
      </c>
      <c r="X1588" s="34" t="e">
        <f>VLOOKUP(Allocation[[#This Row],[SAP Contract number]],Shipments[[SAP Contract number]:[RA Premium USD]],25,FALSE)</f>
        <v>#N/A</v>
      </c>
      <c r="Y1588" s="38">
        <f>Allocation[[#This Row],[Quantity Processed]]/Allocation[[#This Row],[Quantity allocated]]</f>
        <v>2.5597879442371885</v>
      </c>
      <c r="Z1588" s="34" t="b">
        <f>Allocation[[#This Row],[Quantity allocated]]&lt;=Allocation[[#This Row],[Quantity Processed]]</f>
        <v>1</v>
      </c>
    </row>
    <row r="1589" spans="1:26">
      <c r="A1589" s="247" t="s">
        <v>467</v>
      </c>
      <c r="B1589" s="210" t="s">
        <v>68</v>
      </c>
      <c r="C1589" s="254" t="s">
        <v>1574</v>
      </c>
      <c r="D1589" s="255">
        <v>12934.5</v>
      </c>
      <c r="E1589" s="211" t="s">
        <v>1901</v>
      </c>
      <c r="F1589" s="212">
        <v>43585</v>
      </c>
      <c r="G1589" s="213">
        <v>2.6</v>
      </c>
      <c r="H1589" s="256">
        <v>5053</v>
      </c>
      <c r="I1589" s="214">
        <v>1452971</v>
      </c>
      <c r="J1589" s="215">
        <v>21600</v>
      </c>
      <c r="K1589" s="212">
        <v>43593</v>
      </c>
      <c r="L1589" s="211" t="s">
        <v>1904</v>
      </c>
      <c r="M1589" s="216">
        <v>4615445946</v>
      </c>
      <c r="N1589" s="212"/>
      <c r="O1589" s="217"/>
      <c r="P1589" s="219"/>
      <c r="Q1589" s="34">
        <f>SUMIF(Allocation[Delivery ID],Allocation[[#This Row],[Delivery ID]],Allocation[Quantity Processed])</f>
        <v>29976.5</v>
      </c>
      <c r="R1589" s="61">
        <f>Allocation[[#This Row],[Total volume used]]/VLOOKUP(Allocation[[#This Row],[Delivery ID]],Delivery[[Delivery ID]:[Quantity delivered]],3,FALSE)</f>
        <v>1</v>
      </c>
      <c r="S1589" s="34">
        <f>Allocation[[#This Row],[Quantity Processed]]/Allocation[[#This Row],[Dilution rate]]</f>
        <v>4974.8076923076924</v>
      </c>
      <c r="T1589" s="59">
        <f>SUMIF(Allocation[Delivery ID],Allocation[[#This Row],[Delivery ID]],Allocation[Quantity allocated])/SUMIF(Allocation[Delivery ID],Allocation[[#This Row],[Delivery ID]],Allocation[Volume available (kg)])</f>
        <v>1.0173507878892345</v>
      </c>
      <c r="U1589" s="61">
        <f>Allocation[[#This Row],[Total volume used]]/VLOOKUP(Allocation[[#This Row],[Delivery ID]],Delivery[[Delivery ID]:[Quantity delivered]],3,FALSE)</f>
        <v>1</v>
      </c>
      <c r="V1589" s="34" t="e">
        <f>VLOOKUP(Allocation[[#This Row],[SAP Contract number]],Shipments[[SAP Contract number]:[Contracted container weight]],2,FALSE)</f>
        <v>#N/A</v>
      </c>
      <c r="W1589" s="34" t="e">
        <f>VLOOKUP(Allocation[[#This Row],[SAP Contract number]],Shipments[[SAP Contract number]:[AAA Premium USD]],24,FALSE)</f>
        <v>#N/A</v>
      </c>
      <c r="X1589" s="34" t="e">
        <f>VLOOKUP(Allocation[[#This Row],[SAP Contract number]],Shipments[[SAP Contract number]:[RA Premium USD]],25,FALSE)</f>
        <v>#N/A</v>
      </c>
      <c r="Y1589" s="38">
        <f>Allocation[[#This Row],[Quantity Processed]]/Allocation[[#This Row],[Quantity allocated]]</f>
        <v>2.5597664753611715</v>
      </c>
      <c r="Z1589" s="34" t="b">
        <f>Allocation[[#This Row],[Quantity allocated]]&lt;=Allocation[[#This Row],[Quantity Processed]]</f>
        <v>1</v>
      </c>
    </row>
    <row r="1590" spans="1:26">
      <c r="A1590" s="247" t="s">
        <v>467</v>
      </c>
      <c r="B1590" s="210" t="s">
        <v>68</v>
      </c>
      <c r="C1590" s="254" t="s">
        <v>1575</v>
      </c>
      <c r="D1590" s="255">
        <v>6553.5</v>
      </c>
      <c r="E1590" s="211" t="s">
        <v>1901</v>
      </c>
      <c r="F1590" s="212">
        <v>43585</v>
      </c>
      <c r="G1590" s="213">
        <v>2.6</v>
      </c>
      <c r="H1590" s="256">
        <v>2556</v>
      </c>
      <c r="I1590" s="214">
        <v>1452971</v>
      </c>
      <c r="J1590" s="215">
        <v>21600</v>
      </c>
      <c r="K1590" s="212">
        <v>43593</v>
      </c>
      <c r="L1590" s="211" t="s">
        <v>1904</v>
      </c>
      <c r="M1590" s="216">
        <v>4615445946</v>
      </c>
      <c r="N1590" s="212"/>
      <c r="O1590" s="217"/>
      <c r="P1590" s="219"/>
      <c r="Q1590" s="34">
        <f>SUMIF(Allocation[Delivery ID],Allocation[[#This Row],[Delivery ID]],Allocation[Quantity Processed])</f>
        <v>7553.5</v>
      </c>
      <c r="R1590" s="61">
        <f>Allocation[[#This Row],[Total volume used]]/VLOOKUP(Allocation[[#This Row],[Delivery ID]],Delivery[[Delivery ID]:[Quantity delivered]],3,FALSE)</f>
        <v>1</v>
      </c>
      <c r="S1590" s="34">
        <f>Allocation[[#This Row],[Quantity Processed]]/Allocation[[#This Row],[Dilution rate]]</f>
        <v>2520.5769230769229</v>
      </c>
      <c r="T1590" s="59">
        <f>SUMIF(Allocation[Delivery ID],Allocation[[#This Row],[Delivery ID]],Allocation[Quantity allocated])/SUMIF(Allocation[Delivery ID],Allocation[[#This Row],[Delivery ID]],Allocation[Volume available (kg)])</f>
        <v>1.0158702283952961</v>
      </c>
      <c r="U1590" s="61">
        <f>Allocation[[#This Row],[Total volume used]]/VLOOKUP(Allocation[[#This Row],[Delivery ID]],Delivery[[Delivery ID]:[Quantity delivered]],3,FALSE)</f>
        <v>1</v>
      </c>
      <c r="V1590" s="34" t="e">
        <f>VLOOKUP(Allocation[[#This Row],[SAP Contract number]],Shipments[[SAP Contract number]:[Contracted container weight]],2,FALSE)</f>
        <v>#N/A</v>
      </c>
      <c r="W1590" s="34" t="e">
        <f>VLOOKUP(Allocation[[#This Row],[SAP Contract number]],Shipments[[SAP Contract number]:[AAA Premium USD]],24,FALSE)</f>
        <v>#N/A</v>
      </c>
      <c r="X1590" s="34" t="e">
        <f>VLOOKUP(Allocation[[#This Row],[SAP Contract number]],Shipments[[SAP Contract number]:[RA Premium USD]],25,FALSE)</f>
        <v>#N/A</v>
      </c>
      <c r="Y1590" s="38">
        <f>Allocation[[#This Row],[Quantity Processed]]/Allocation[[#This Row],[Quantity allocated]]</f>
        <v>2.5639671361502345</v>
      </c>
      <c r="Z1590" s="34" t="b">
        <f>Allocation[[#This Row],[Quantity allocated]]&lt;=Allocation[[#This Row],[Quantity Processed]]</f>
        <v>1</v>
      </c>
    </row>
    <row r="1591" spans="1:26">
      <c r="A1591" s="247" t="s">
        <v>467</v>
      </c>
      <c r="B1591" s="210" t="s">
        <v>68</v>
      </c>
      <c r="C1591" s="254" t="s">
        <v>1576</v>
      </c>
      <c r="D1591" s="255">
        <v>17795</v>
      </c>
      <c r="E1591" s="211" t="s">
        <v>1901</v>
      </c>
      <c r="F1591" s="212">
        <v>43585</v>
      </c>
      <c r="G1591" s="213">
        <v>2.6</v>
      </c>
      <c r="H1591" s="256">
        <v>6934</v>
      </c>
      <c r="I1591" s="214">
        <v>1452971</v>
      </c>
      <c r="J1591" s="215">
        <v>21600</v>
      </c>
      <c r="K1591" s="212">
        <v>43593</v>
      </c>
      <c r="L1591" s="211" t="s">
        <v>1904</v>
      </c>
      <c r="M1591" s="216">
        <v>4615445946</v>
      </c>
      <c r="N1591" s="212"/>
      <c r="O1591" s="217"/>
      <c r="P1591" s="219"/>
      <c r="Q1591" s="34">
        <f>SUMIF(Allocation[Delivery ID],Allocation[[#This Row],[Delivery ID]],Allocation[Quantity Processed])</f>
        <v>20506</v>
      </c>
      <c r="R1591" s="61">
        <f>Allocation[[#This Row],[Total volume used]]/VLOOKUP(Allocation[[#This Row],[Delivery ID]],Delivery[[Delivery ID]:[Quantity delivered]],3,FALSE)</f>
        <v>1</v>
      </c>
      <c r="S1591" s="34">
        <f>Allocation[[#This Row],[Quantity Processed]]/Allocation[[#This Row],[Dilution rate]]</f>
        <v>6844.2307692307686</v>
      </c>
      <c r="T1591" s="59">
        <f>SUMIF(Allocation[Delivery ID],Allocation[[#This Row],[Delivery ID]],Allocation[Quantity allocated])/SUMIF(Allocation[Delivery ID],Allocation[[#This Row],[Delivery ID]],Allocation[Volume available (kg)])</f>
        <v>1.0150381378198721</v>
      </c>
      <c r="U1591" s="61">
        <f>Allocation[[#This Row],[Total volume used]]/VLOOKUP(Allocation[[#This Row],[Delivery ID]],Delivery[[Delivery ID]:[Quantity delivered]],3,FALSE)</f>
        <v>1</v>
      </c>
      <c r="V1591" s="34" t="e">
        <f>VLOOKUP(Allocation[[#This Row],[SAP Contract number]],Shipments[[SAP Contract number]:[Contracted container weight]],2,FALSE)</f>
        <v>#N/A</v>
      </c>
      <c r="W1591" s="34" t="e">
        <f>VLOOKUP(Allocation[[#This Row],[SAP Contract number]],Shipments[[SAP Contract number]:[AAA Premium USD]],24,FALSE)</f>
        <v>#N/A</v>
      </c>
      <c r="X1591" s="34" t="e">
        <f>VLOOKUP(Allocation[[#This Row],[SAP Contract number]],Shipments[[SAP Contract number]:[RA Premium USD]],25,FALSE)</f>
        <v>#N/A</v>
      </c>
      <c r="Y1591" s="38">
        <f>Allocation[[#This Row],[Quantity Processed]]/Allocation[[#This Row],[Quantity allocated]]</f>
        <v>2.5663397750216324</v>
      </c>
      <c r="Z1591" s="34" t="b">
        <f>Allocation[[#This Row],[Quantity allocated]]&lt;=Allocation[[#This Row],[Quantity Processed]]</f>
        <v>1</v>
      </c>
    </row>
    <row r="1592" spans="1:26">
      <c r="A1592" s="247" t="s">
        <v>467</v>
      </c>
      <c r="B1592" s="210" t="s">
        <v>68</v>
      </c>
      <c r="C1592" s="254" t="s">
        <v>1577</v>
      </c>
      <c r="D1592" s="255">
        <v>3225.5</v>
      </c>
      <c r="E1592" s="211" t="s">
        <v>1901</v>
      </c>
      <c r="F1592" s="212">
        <v>43585</v>
      </c>
      <c r="G1592" s="213">
        <v>2.6</v>
      </c>
      <c r="H1592" s="256">
        <v>1257</v>
      </c>
      <c r="I1592" s="214">
        <v>1452971</v>
      </c>
      <c r="J1592" s="215">
        <v>21600</v>
      </c>
      <c r="K1592" s="212">
        <v>43593</v>
      </c>
      <c r="L1592" s="211" t="s">
        <v>1904</v>
      </c>
      <c r="M1592" s="216">
        <v>4615445946</v>
      </c>
      <c r="N1592" s="212"/>
      <c r="O1592" s="217"/>
      <c r="P1592" s="219"/>
      <c r="Q1592" s="34">
        <f>SUMIF(Allocation[Delivery ID],Allocation[[#This Row],[Delivery ID]],Allocation[Quantity Processed])</f>
        <v>3717.5</v>
      </c>
      <c r="R1592" s="61">
        <f>Allocation[[#This Row],[Total volume used]]/VLOOKUP(Allocation[[#This Row],[Delivery ID]],Delivery[[Delivery ID]:[Quantity delivered]],3,FALSE)</f>
        <v>1</v>
      </c>
      <c r="S1592" s="34">
        <f>Allocation[[#This Row],[Quantity Processed]]/Allocation[[#This Row],[Dilution rate]]</f>
        <v>1240.5769230769231</v>
      </c>
      <c r="T1592" s="59">
        <f>SUMIF(Allocation[Delivery ID],Allocation[[#This Row],[Delivery ID]],Allocation[Quantity allocated])/SUMIF(Allocation[Delivery ID],Allocation[[#This Row],[Delivery ID]],Allocation[Volume available (kg)])</f>
        <v>1.0151279170883722</v>
      </c>
      <c r="U1592" s="61">
        <f>Allocation[[#This Row],[Total volume used]]/VLOOKUP(Allocation[[#This Row],[Delivery ID]],Delivery[[Delivery ID]:[Quantity delivered]],3,FALSE)</f>
        <v>1</v>
      </c>
      <c r="V1592" s="34" t="e">
        <f>VLOOKUP(Allocation[[#This Row],[SAP Contract number]],Shipments[[SAP Contract number]:[Contracted container weight]],2,FALSE)</f>
        <v>#N/A</v>
      </c>
      <c r="W1592" s="34" t="e">
        <f>VLOOKUP(Allocation[[#This Row],[SAP Contract number]],Shipments[[SAP Contract number]:[AAA Premium USD]],24,FALSE)</f>
        <v>#N/A</v>
      </c>
      <c r="X1592" s="34" t="e">
        <f>VLOOKUP(Allocation[[#This Row],[SAP Contract number]],Shipments[[SAP Contract number]:[RA Premium USD]],25,FALSE)</f>
        <v>#N/A</v>
      </c>
      <c r="Y1592" s="38">
        <f>Allocation[[#This Row],[Quantity Processed]]/Allocation[[#This Row],[Quantity allocated]]</f>
        <v>2.5660302307080349</v>
      </c>
      <c r="Z1592" s="34" t="b">
        <f>Allocation[[#This Row],[Quantity allocated]]&lt;=Allocation[[#This Row],[Quantity Processed]]</f>
        <v>1</v>
      </c>
    </row>
    <row r="1593" spans="1:26">
      <c r="A1593" s="247" t="s">
        <v>467</v>
      </c>
      <c r="B1593" s="210" t="s">
        <v>68</v>
      </c>
      <c r="C1593" s="254" t="s">
        <v>1578</v>
      </c>
      <c r="D1593" s="255">
        <v>14892</v>
      </c>
      <c r="E1593" s="211" t="s">
        <v>1901</v>
      </c>
      <c r="F1593" s="212">
        <v>43585</v>
      </c>
      <c r="G1593" s="213">
        <v>2.6</v>
      </c>
      <c r="H1593" s="256">
        <v>5800</v>
      </c>
      <c r="I1593" s="214">
        <v>1452971</v>
      </c>
      <c r="J1593" s="215">
        <v>21600</v>
      </c>
      <c r="K1593" s="212">
        <v>43593</v>
      </c>
      <c r="L1593" s="211" t="s">
        <v>1904</v>
      </c>
      <c r="M1593" s="216">
        <v>4615445946</v>
      </c>
      <c r="N1593" s="212"/>
      <c r="O1593" s="217"/>
      <c r="P1593" s="219"/>
      <c r="Q1593" s="34">
        <f>SUMIF(Allocation[Delivery ID],Allocation[[#This Row],[Delivery ID]],Allocation[Quantity Processed])</f>
        <v>19486</v>
      </c>
      <c r="R1593" s="61">
        <f>Allocation[[#This Row],[Total volume used]]/VLOOKUP(Allocation[[#This Row],[Delivery ID]],Delivery[[Delivery ID]:[Quantity delivered]],3,FALSE)</f>
        <v>0.99997434121058171</v>
      </c>
      <c r="S1593" s="34">
        <f>Allocation[[#This Row],[Quantity Processed]]/Allocation[[#This Row],[Dilution rate]]</f>
        <v>5727.6923076923076</v>
      </c>
      <c r="T1593" s="59">
        <f>SUMIF(Allocation[Delivery ID],Allocation[[#This Row],[Delivery ID]],Allocation[Quantity allocated])/SUMIF(Allocation[Delivery ID],Allocation[[#This Row],[Delivery ID]],Allocation[Volume available (kg)])</f>
        <v>1.0146067767197817</v>
      </c>
      <c r="U1593" s="61">
        <f>Allocation[[#This Row],[Total volume used]]/VLOOKUP(Allocation[[#This Row],[Delivery ID]],Delivery[[Delivery ID]:[Quantity delivered]],3,FALSE)</f>
        <v>0.99997434121058171</v>
      </c>
      <c r="V1593" s="34" t="e">
        <f>VLOOKUP(Allocation[[#This Row],[SAP Contract number]],Shipments[[SAP Contract number]:[Contracted container weight]],2,FALSE)</f>
        <v>#N/A</v>
      </c>
      <c r="W1593" s="34" t="e">
        <f>VLOOKUP(Allocation[[#This Row],[SAP Contract number]],Shipments[[SAP Contract number]:[AAA Premium USD]],24,FALSE)</f>
        <v>#N/A</v>
      </c>
      <c r="X1593" s="34" t="e">
        <f>VLOOKUP(Allocation[[#This Row],[SAP Contract number]],Shipments[[SAP Contract number]:[RA Premium USD]],25,FALSE)</f>
        <v>#N/A</v>
      </c>
      <c r="Y1593" s="38">
        <f>Allocation[[#This Row],[Quantity Processed]]/Allocation[[#This Row],[Quantity allocated]]</f>
        <v>2.5675862068965518</v>
      </c>
      <c r="Z1593" s="34" t="b">
        <f>Allocation[[#This Row],[Quantity allocated]]&lt;=Allocation[[#This Row],[Quantity Processed]]</f>
        <v>1</v>
      </c>
    </row>
    <row r="1594" spans="1:26">
      <c r="A1594" s="247" t="s">
        <v>467</v>
      </c>
      <c r="B1594" s="210" t="s">
        <v>68</v>
      </c>
      <c r="C1594" s="254" t="s">
        <v>1578</v>
      </c>
      <c r="D1594" s="255">
        <v>2018</v>
      </c>
      <c r="E1594" s="211" t="s">
        <v>1901</v>
      </c>
      <c r="F1594" s="212">
        <v>43585</v>
      </c>
      <c r="G1594" s="213">
        <v>2.6</v>
      </c>
      <c r="H1594" s="256">
        <v>786</v>
      </c>
      <c r="I1594" s="214">
        <v>1452972</v>
      </c>
      <c r="J1594" s="215">
        <v>21600</v>
      </c>
      <c r="K1594" s="212">
        <v>43593</v>
      </c>
      <c r="L1594" s="211" t="s">
        <v>1905</v>
      </c>
      <c r="M1594" s="216">
        <v>4615445946</v>
      </c>
      <c r="N1594" s="212"/>
      <c r="O1594" s="217"/>
      <c r="P1594" s="219"/>
      <c r="Q1594" s="34">
        <f>SUMIF(Allocation[Delivery ID],Allocation[[#This Row],[Delivery ID]],Allocation[Quantity Processed])</f>
        <v>19486</v>
      </c>
      <c r="R1594" s="61">
        <f>Allocation[[#This Row],[Total volume used]]/VLOOKUP(Allocation[[#This Row],[Delivery ID]],Delivery[[Delivery ID]:[Quantity delivered]],3,FALSE)</f>
        <v>0.99997434121058171</v>
      </c>
      <c r="S1594" s="34">
        <f>Allocation[[#This Row],[Quantity Processed]]/Allocation[[#This Row],[Dilution rate]]</f>
        <v>776.15384615384608</v>
      </c>
      <c r="T1594" s="59">
        <f>SUMIF(Allocation[Delivery ID],Allocation[[#This Row],[Delivery ID]],Allocation[Quantity allocated])/SUMIF(Allocation[Delivery ID],Allocation[[#This Row],[Delivery ID]],Allocation[Volume available (kg)])</f>
        <v>1.0146067767197817</v>
      </c>
      <c r="U1594" s="61">
        <f>Allocation[[#This Row],[Total volume used]]/VLOOKUP(Allocation[[#This Row],[Delivery ID]],Delivery[[Delivery ID]:[Quantity delivered]],3,FALSE)</f>
        <v>0.99997434121058171</v>
      </c>
      <c r="V1594" s="34" t="e">
        <f>VLOOKUP(Allocation[[#This Row],[SAP Contract number]],Shipments[[SAP Contract number]:[Contracted container weight]],2,FALSE)</f>
        <v>#N/A</v>
      </c>
      <c r="W1594" s="34" t="e">
        <f>VLOOKUP(Allocation[[#This Row],[SAP Contract number]],Shipments[[SAP Contract number]:[AAA Premium USD]],24,FALSE)</f>
        <v>#N/A</v>
      </c>
      <c r="X1594" s="34" t="e">
        <f>VLOOKUP(Allocation[[#This Row],[SAP Contract number]],Shipments[[SAP Contract number]:[RA Premium USD]],25,FALSE)</f>
        <v>#N/A</v>
      </c>
      <c r="Y1594" s="38">
        <f>Allocation[[#This Row],[Quantity Processed]]/Allocation[[#This Row],[Quantity allocated]]</f>
        <v>2.5674300254452924</v>
      </c>
      <c r="Z1594" s="34" t="b">
        <f>Allocation[[#This Row],[Quantity allocated]]&lt;=Allocation[[#This Row],[Quantity Processed]]</f>
        <v>1</v>
      </c>
    </row>
    <row r="1595" spans="1:26">
      <c r="A1595" s="247" t="s">
        <v>467</v>
      </c>
      <c r="B1595" s="210" t="s">
        <v>68</v>
      </c>
      <c r="C1595" s="254" t="s">
        <v>1579</v>
      </c>
      <c r="D1595" s="255">
        <v>26032</v>
      </c>
      <c r="E1595" s="211" t="s">
        <v>1901</v>
      </c>
      <c r="F1595" s="212">
        <v>43585</v>
      </c>
      <c r="G1595" s="213">
        <v>2.6</v>
      </c>
      <c r="H1595" s="256">
        <v>10129</v>
      </c>
      <c r="I1595" s="214">
        <v>1452972</v>
      </c>
      <c r="J1595" s="215">
        <v>21600</v>
      </c>
      <c r="K1595" s="212">
        <v>43593</v>
      </c>
      <c r="L1595" s="211" t="s">
        <v>1905</v>
      </c>
      <c r="M1595" s="216">
        <v>4615445946</v>
      </c>
      <c r="N1595" s="212"/>
      <c r="O1595" s="217"/>
      <c r="P1595" s="219"/>
      <c r="Q1595" s="34">
        <f>SUMIF(Allocation[Delivery ID],Allocation[[#This Row],[Delivery ID]],Allocation[Quantity Processed])</f>
        <v>30000</v>
      </c>
      <c r="R1595" s="61">
        <f>Allocation[[#This Row],[Total volume used]]/VLOOKUP(Allocation[[#This Row],[Delivery ID]],Delivery[[Delivery ID]:[Quantity delivered]],3,FALSE)</f>
        <v>1</v>
      </c>
      <c r="S1595" s="34">
        <f>Allocation[[#This Row],[Quantity Processed]]/Allocation[[#This Row],[Dilution rate]]</f>
        <v>10012.307692307691</v>
      </c>
      <c r="T1595" s="59">
        <f>SUMIF(Allocation[Delivery ID],Allocation[[#This Row],[Delivery ID]],Allocation[Quantity allocated])/SUMIF(Allocation[Delivery ID],Allocation[[#This Row],[Delivery ID]],Allocation[Volume available (kg)])</f>
        <v>1.0137551617110372</v>
      </c>
      <c r="U1595" s="61">
        <f>Allocation[[#This Row],[Total volume used]]/VLOOKUP(Allocation[[#This Row],[Delivery ID]],Delivery[[Delivery ID]:[Quantity delivered]],3,FALSE)</f>
        <v>1</v>
      </c>
      <c r="V1595" s="34" t="e">
        <f>VLOOKUP(Allocation[[#This Row],[SAP Contract number]],Shipments[[SAP Contract number]:[Contracted container weight]],2,FALSE)</f>
        <v>#N/A</v>
      </c>
      <c r="W1595" s="34" t="e">
        <f>VLOOKUP(Allocation[[#This Row],[SAP Contract number]],Shipments[[SAP Contract number]:[AAA Premium USD]],24,FALSE)</f>
        <v>#N/A</v>
      </c>
      <c r="X1595" s="34" t="e">
        <f>VLOOKUP(Allocation[[#This Row],[SAP Contract number]],Shipments[[SAP Contract number]:[RA Premium USD]],25,FALSE)</f>
        <v>#N/A</v>
      </c>
      <c r="Y1595" s="38">
        <f>Allocation[[#This Row],[Quantity Processed]]/Allocation[[#This Row],[Quantity allocated]]</f>
        <v>2.5700464014216604</v>
      </c>
      <c r="Z1595" s="34" t="b">
        <f>Allocation[[#This Row],[Quantity allocated]]&lt;=Allocation[[#This Row],[Quantity Processed]]</f>
        <v>1</v>
      </c>
    </row>
    <row r="1596" spans="1:26">
      <c r="A1596" s="247" t="s">
        <v>467</v>
      </c>
      <c r="B1596" s="210" t="s">
        <v>68</v>
      </c>
      <c r="C1596" s="254" t="s">
        <v>1580</v>
      </c>
      <c r="D1596" s="255">
        <v>17582</v>
      </c>
      <c r="E1596" s="211" t="s">
        <v>1901</v>
      </c>
      <c r="F1596" s="212">
        <v>43585</v>
      </c>
      <c r="G1596" s="213">
        <v>2.6</v>
      </c>
      <c r="H1596" s="256">
        <v>6851</v>
      </c>
      <c r="I1596" s="214">
        <v>1452972</v>
      </c>
      <c r="J1596" s="215">
        <v>21600</v>
      </c>
      <c r="K1596" s="212">
        <v>43593</v>
      </c>
      <c r="L1596" s="211" t="s">
        <v>1905</v>
      </c>
      <c r="M1596" s="216">
        <v>4615445946</v>
      </c>
      <c r="N1596" s="212"/>
      <c r="O1596" s="217"/>
      <c r="P1596" s="219"/>
      <c r="Q1596" s="34">
        <f>SUMIF(Allocation[Delivery ID],Allocation[[#This Row],[Delivery ID]],Allocation[Quantity Processed])</f>
        <v>20260</v>
      </c>
      <c r="R1596" s="61">
        <f>Allocation[[#This Row],[Total volume used]]/VLOOKUP(Allocation[[#This Row],[Delivery ID]],Delivery[[Delivery ID]:[Quantity delivered]],3,FALSE)</f>
        <v>1</v>
      </c>
      <c r="S1596" s="34">
        <f>Allocation[[#This Row],[Quantity Processed]]/Allocation[[#This Row],[Dilution rate]]</f>
        <v>6762.3076923076924</v>
      </c>
      <c r="T1596" s="59">
        <f>SUMIF(Allocation[Delivery ID],Allocation[[#This Row],[Delivery ID]],Allocation[Quantity allocated])/SUMIF(Allocation[Delivery ID],Allocation[[#This Row],[Delivery ID]],Allocation[Volume available (kg)])</f>
        <v>1.0150645514136984</v>
      </c>
      <c r="U1596" s="61">
        <f>Allocation[[#This Row],[Total volume used]]/VLOOKUP(Allocation[[#This Row],[Delivery ID]],Delivery[[Delivery ID]:[Quantity delivered]],3,FALSE)</f>
        <v>1</v>
      </c>
      <c r="V1596" s="34" t="e">
        <f>VLOOKUP(Allocation[[#This Row],[SAP Contract number]],Shipments[[SAP Contract number]:[Contracted container weight]],2,FALSE)</f>
        <v>#N/A</v>
      </c>
      <c r="W1596" s="34" t="e">
        <f>VLOOKUP(Allocation[[#This Row],[SAP Contract number]],Shipments[[SAP Contract number]:[AAA Premium USD]],24,FALSE)</f>
        <v>#N/A</v>
      </c>
      <c r="X1596" s="34" t="e">
        <f>VLOOKUP(Allocation[[#This Row],[SAP Contract number]],Shipments[[SAP Contract number]:[RA Premium USD]],25,FALSE)</f>
        <v>#N/A</v>
      </c>
      <c r="Y1596" s="38">
        <f>Allocation[[#This Row],[Quantity Processed]]/Allocation[[#This Row],[Quantity allocated]]</f>
        <v>2.5663406801926727</v>
      </c>
      <c r="Z1596" s="34" t="b">
        <f>Allocation[[#This Row],[Quantity allocated]]&lt;=Allocation[[#This Row],[Quantity Processed]]</f>
        <v>1</v>
      </c>
    </row>
    <row r="1597" spans="1:26">
      <c r="A1597" s="247" t="s">
        <v>467</v>
      </c>
      <c r="B1597" s="210" t="s">
        <v>68</v>
      </c>
      <c r="C1597" s="254" t="s">
        <v>1581</v>
      </c>
      <c r="D1597" s="255">
        <v>9828</v>
      </c>
      <c r="E1597" s="211" t="s">
        <v>1901</v>
      </c>
      <c r="F1597" s="212">
        <v>43585</v>
      </c>
      <c r="G1597" s="213">
        <v>2.6</v>
      </c>
      <c r="H1597" s="256">
        <v>3834</v>
      </c>
      <c r="I1597" s="214">
        <v>1452972</v>
      </c>
      <c r="J1597" s="215">
        <v>21600</v>
      </c>
      <c r="K1597" s="212">
        <v>43593</v>
      </c>
      <c r="L1597" s="211" t="s">
        <v>1905</v>
      </c>
      <c r="M1597" s="216">
        <v>4615445946</v>
      </c>
      <c r="N1597" s="212"/>
      <c r="O1597" s="217"/>
      <c r="P1597" s="219"/>
      <c r="Q1597" s="34">
        <f>SUMIF(Allocation[Delivery ID],Allocation[[#This Row],[Delivery ID]],Allocation[Quantity Processed])</f>
        <v>20620</v>
      </c>
      <c r="R1597" s="61">
        <f>Allocation[[#This Row],[Total volume used]]/VLOOKUP(Allocation[[#This Row],[Delivery ID]],Delivery[[Delivery ID]:[Quantity delivered]],3,FALSE)</f>
        <v>1</v>
      </c>
      <c r="S1597" s="34">
        <f>Allocation[[#This Row],[Quantity Processed]]/Allocation[[#This Row],[Dilution rate]]</f>
        <v>3780</v>
      </c>
      <c r="T1597" s="59">
        <f>SUMIF(Allocation[Delivery ID],Allocation[[#This Row],[Delivery ID]],Allocation[Quantity allocated])/SUMIF(Allocation[Delivery ID],Allocation[[#This Row],[Delivery ID]],Allocation[Volume available (kg)])</f>
        <v>1.0160523787571132</v>
      </c>
      <c r="U1597" s="61">
        <f>Allocation[[#This Row],[Total volume used]]/VLOOKUP(Allocation[[#This Row],[Delivery ID]],Delivery[[Delivery ID]:[Quantity delivered]],3,FALSE)</f>
        <v>1</v>
      </c>
      <c r="V1597" s="34" t="e">
        <f>VLOOKUP(Allocation[[#This Row],[SAP Contract number]],Shipments[[SAP Contract number]:[Contracted container weight]],2,FALSE)</f>
        <v>#N/A</v>
      </c>
      <c r="W1597" s="34" t="e">
        <f>VLOOKUP(Allocation[[#This Row],[SAP Contract number]],Shipments[[SAP Contract number]:[AAA Premium USD]],24,FALSE)</f>
        <v>#N/A</v>
      </c>
      <c r="X1597" s="34" t="e">
        <f>VLOOKUP(Allocation[[#This Row],[SAP Contract number]],Shipments[[SAP Contract number]:[RA Premium USD]],25,FALSE)</f>
        <v>#N/A</v>
      </c>
      <c r="Y1597" s="38">
        <f>Allocation[[#This Row],[Quantity Processed]]/Allocation[[#This Row],[Quantity allocated]]</f>
        <v>2.563380281690141</v>
      </c>
      <c r="Z1597" s="34" t="b">
        <f>Allocation[[#This Row],[Quantity allocated]]&lt;=Allocation[[#This Row],[Quantity Processed]]</f>
        <v>1</v>
      </c>
    </row>
    <row r="1598" spans="1:26">
      <c r="A1598" s="247" t="s">
        <v>467</v>
      </c>
      <c r="B1598" s="210" t="s">
        <v>68</v>
      </c>
      <c r="C1598" s="254" t="s">
        <v>1581</v>
      </c>
      <c r="D1598" s="255">
        <v>8062</v>
      </c>
      <c r="E1598" s="211" t="s">
        <v>1901</v>
      </c>
      <c r="F1598" s="212">
        <v>43585</v>
      </c>
      <c r="G1598" s="213">
        <v>2.6</v>
      </c>
      <c r="H1598" s="256">
        <v>3145</v>
      </c>
      <c r="I1598" s="214">
        <v>1452973</v>
      </c>
      <c r="J1598" s="215">
        <v>21600</v>
      </c>
      <c r="K1598" s="212">
        <v>43593</v>
      </c>
      <c r="L1598" s="211" t="s">
        <v>1906</v>
      </c>
      <c r="M1598" s="216">
        <v>4615445946</v>
      </c>
      <c r="N1598" s="212"/>
      <c r="O1598" s="217"/>
      <c r="P1598" s="219"/>
      <c r="Q1598" s="34">
        <f>SUMIF(Allocation[Delivery ID],Allocation[[#This Row],[Delivery ID]],Allocation[Quantity Processed])</f>
        <v>20620</v>
      </c>
      <c r="R1598" s="61">
        <f>Allocation[[#This Row],[Total volume used]]/VLOOKUP(Allocation[[#This Row],[Delivery ID]],Delivery[[Delivery ID]:[Quantity delivered]],3,FALSE)</f>
        <v>1</v>
      </c>
      <c r="S1598" s="34">
        <f>Allocation[[#This Row],[Quantity Processed]]/Allocation[[#This Row],[Dilution rate]]</f>
        <v>3100.7692307692305</v>
      </c>
      <c r="T1598" s="59">
        <f>SUMIF(Allocation[Delivery ID],Allocation[[#This Row],[Delivery ID]],Allocation[Quantity allocated])/SUMIF(Allocation[Delivery ID],Allocation[[#This Row],[Delivery ID]],Allocation[Volume available (kg)])</f>
        <v>1.0160523787571132</v>
      </c>
      <c r="U1598" s="61">
        <f>Allocation[[#This Row],[Total volume used]]/VLOOKUP(Allocation[[#This Row],[Delivery ID]],Delivery[[Delivery ID]:[Quantity delivered]],3,FALSE)</f>
        <v>1</v>
      </c>
      <c r="V1598" s="34" t="e">
        <f>VLOOKUP(Allocation[[#This Row],[SAP Contract number]],Shipments[[SAP Contract number]:[Contracted container weight]],2,FALSE)</f>
        <v>#N/A</v>
      </c>
      <c r="W1598" s="34" t="e">
        <f>VLOOKUP(Allocation[[#This Row],[SAP Contract number]],Shipments[[SAP Contract number]:[AAA Premium USD]],24,FALSE)</f>
        <v>#N/A</v>
      </c>
      <c r="X1598" s="34" t="e">
        <f>VLOOKUP(Allocation[[#This Row],[SAP Contract number]],Shipments[[SAP Contract number]:[RA Premium USD]],25,FALSE)</f>
        <v>#N/A</v>
      </c>
      <c r="Y1598" s="38">
        <f>Allocation[[#This Row],[Quantity Processed]]/Allocation[[#This Row],[Quantity allocated]]</f>
        <v>2.5634340222575518</v>
      </c>
      <c r="Z1598" s="34" t="b">
        <f>Allocation[[#This Row],[Quantity allocated]]&lt;=Allocation[[#This Row],[Quantity Processed]]</f>
        <v>1</v>
      </c>
    </row>
    <row r="1599" spans="1:26">
      <c r="A1599" s="247" t="s">
        <v>467</v>
      </c>
      <c r="B1599" s="210" t="s">
        <v>68</v>
      </c>
      <c r="C1599" s="254" t="s">
        <v>1582</v>
      </c>
      <c r="D1599" s="255">
        <v>19410</v>
      </c>
      <c r="E1599" s="211" t="s">
        <v>1901</v>
      </c>
      <c r="F1599" s="212">
        <v>43585</v>
      </c>
      <c r="G1599" s="213">
        <v>2.6</v>
      </c>
      <c r="H1599" s="256">
        <v>7569</v>
      </c>
      <c r="I1599" s="214">
        <v>1452973</v>
      </c>
      <c r="J1599" s="215">
        <v>21600</v>
      </c>
      <c r="K1599" s="212">
        <v>43593</v>
      </c>
      <c r="L1599" s="211" t="s">
        <v>1906</v>
      </c>
      <c r="M1599" s="216">
        <v>4615445946</v>
      </c>
      <c r="N1599" s="212"/>
      <c r="O1599" s="217"/>
      <c r="P1599" s="219"/>
      <c r="Q1599" s="34">
        <f>SUMIF(Allocation[Delivery ID],Allocation[[#This Row],[Delivery ID]],Allocation[Quantity Processed])</f>
        <v>22369</v>
      </c>
      <c r="R1599" s="61">
        <f>Allocation[[#This Row],[Total volume used]]/VLOOKUP(Allocation[[#This Row],[Delivery ID]],Delivery[[Delivery ID]:[Quantity delivered]],3,FALSE)</f>
        <v>1</v>
      </c>
      <c r="S1599" s="34">
        <f>Allocation[[#This Row],[Quantity Processed]]/Allocation[[#This Row],[Dilution rate]]</f>
        <v>7465.3846153846152</v>
      </c>
      <c r="T1599" s="59">
        <f>SUMIF(Allocation[Delivery ID],Allocation[[#This Row],[Delivery ID]],Allocation[Quantity allocated])/SUMIF(Allocation[Delivery ID],Allocation[[#This Row],[Delivery ID]],Allocation[Volume available (kg)])</f>
        <v>1.0157362797064873</v>
      </c>
      <c r="U1599" s="61">
        <f>Allocation[[#This Row],[Total volume used]]/VLOOKUP(Allocation[[#This Row],[Delivery ID]],Delivery[[Delivery ID]:[Quantity delivered]],3,FALSE)</f>
        <v>1</v>
      </c>
      <c r="V1599" s="34" t="e">
        <f>VLOOKUP(Allocation[[#This Row],[SAP Contract number]],Shipments[[SAP Contract number]:[Contracted container weight]],2,FALSE)</f>
        <v>#N/A</v>
      </c>
      <c r="W1599" s="34" t="e">
        <f>VLOOKUP(Allocation[[#This Row],[SAP Contract number]],Shipments[[SAP Contract number]:[AAA Premium USD]],24,FALSE)</f>
        <v>#N/A</v>
      </c>
      <c r="X1599" s="34" t="e">
        <f>VLOOKUP(Allocation[[#This Row],[SAP Contract number]],Shipments[[SAP Contract number]:[RA Premium USD]],25,FALSE)</f>
        <v>#N/A</v>
      </c>
      <c r="Y1599" s="38">
        <f>Allocation[[#This Row],[Quantity Processed]]/Allocation[[#This Row],[Quantity allocated]]</f>
        <v>2.5644074514466904</v>
      </c>
      <c r="Z1599" s="34" t="b">
        <f>Allocation[[#This Row],[Quantity allocated]]&lt;=Allocation[[#This Row],[Quantity Processed]]</f>
        <v>1</v>
      </c>
    </row>
    <row r="1600" spans="1:26">
      <c r="A1600" s="247" t="s">
        <v>467</v>
      </c>
      <c r="B1600" s="210" t="s">
        <v>68</v>
      </c>
      <c r="C1600" s="254" t="s">
        <v>1583</v>
      </c>
      <c r="D1600" s="255">
        <v>15610</v>
      </c>
      <c r="E1600" s="211" t="s">
        <v>1901</v>
      </c>
      <c r="F1600" s="212">
        <v>43585</v>
      </c>
      <c r="G1600" s="213">
        <v>2.6</v>
      </c>
      <c r="H1600" s="256">
        <v>6087</v>
      </c>
      <c r="I1600" s="214">
        <v>1452973</v>
      </c>
      <c r="J1600" s="215">
        <v>21600</v>
      </c>
      <c r="K1600" s="212">
        <v>43593</v>
      </c>
      <c r="L1600" s="211" t="s">
        <v>1906</v>
      </c>
      <c r="M1600" s="216">
        <v>4615445946</v>
      </c>
      <c r="N1600" s="212"/>
      <c r="O1600" s="217"/>
      <c r="P1600" s="219"/>
      <c r="Q1600" s="34">
        <f>SUMIF(Allocation[Delivery ID],Allocation[[#This Row],[Delivery ID]],Allocation[Quantity Processed])</f>
        <v>17991</v>
      </c>
      <c r="R1600" s="61">
        <f>Allocation[[#This Row],[Total volume used]]/VLOOKUP(Allocation[[#This Row],[Delivery ID]],Delivery[[Delivery ID]:[Quantity delivered]],3,FALSE)</f>
        <v>1</v>
      </c>
      <c r="S1600" s="34">
        <f>Allocation[[#This Row],[Quantity Processed]]/Allocation[[#This Row],[Dilution rate]]</f>
        <v>6003.8461538461534</v>
      </c>
      <c r="T1600" s="59">
        <f>SUMIF(Allocation[Delivery ID],Allocation[[#This Row],[Delivery ID]],Allocation[Quantity allocated])/SUMIF(Allocation[Delivery ID],Allocation[[#This Row],[Delivery ID]],Allocation[Volume available (kg)])</f>
        <v>1.0156959166222996</v>
      </c>
      <c r="U1600" s="61">
        <f>Allocation[[#This Row],[Total volume used]]/VLOOKUP(Allocation[[#This Row],[Delivery ID]],Delivery[[Delivery ID]:[Quantity delivered]],3,FALSE)</f>
        <v>1</v>
      </c>
      <c r="V1600" s="34" t="e">
        <f>VLOOKUP(Allocation[[#This Row],[SAP Contract number]],Shipments[[SAP Contract number]:[Contracted container weight]],2,FALSE)</f>
        <v>#N/A</v>
      </c>
      <c r="W1600" s="34" t="e">
        <f>VLOOKUP(Allocation[[#This Row],[SAP Contract number]],Shipments[[SAP Contract number]:[AAA Premium USD]],24,FALSE)</f>
        <v>#N/A</v>
      </c>
      <c r="X1600" s="34" t="e">
        <f>VLOOKUP(Allocation[[#This Row],[SAP Contract number]],Shipments[[SAP Contract number]:[RA Premium USD]],25,FALSE)</f>
        <v>#N/A</v>
      </c>
      <c r="Y1600" s="38">
        <f>Allocation[[#This Row],[Quantity Processed]]/Allocation[[#This Row],[Quantity allocated]]</f>
        <v>2.5644816822736982</v>
      </c>
      <c r="Z1600" s="34" t="b">
        <f>Allocation[[#This Row],[Quantity allocated]]&lt;=Allocation[[#This Row],[Quantity Processed]]</f>
        <v>1</v>
      </c>
    </row>
    <row r="1601" spans="1:26">
      <c r="A1601" s="247" t="s">
        <v>467</v>
      </c>
      <c r="B1601" s="210" t="s">
        <v>68</v>
      </c>
      <c r="C1601" s="254" t="s">
        <v>1584</v>
      </c>
      <c r="D1601" s="255">
        <v>12310</v>
      </c>
      <c r="E1601" s="211" t="s">
        <v>1901</v>
      </c>
      <c r="F1601" s="212">
        <v>43585</v>
      </c>
      <c r="G1601" s="213">
        <v>2.6</v>
      </c>
      <c r="H1601" s="256">
        <v>4799</v>
      </c>
      <c r="I1601" s="214">
        <v>1452973</v>
      </c>
      <c r="J1601" s="215">
        <v>21600</v>
      </c>
      <c r="K1601" s="212">
        <v>43593</v>
      </c>
      <c r="L1601" s="211" t="s">
        <v>1906</v>
      </c>
      <c r="M1601" s="216">
        <v>4615445946</v>
      </c>
      <c r="N1601" s="212"/>
      <c r="O1601" s="217"/>
      <c r="P1601" s="219"/>
      <c r="Q1601" s="34">
        <f>SUMIF(Allocation[Delivery ID],Allocation[[#This Row],[Delivery ID]],Allocation[Quantity Processed])</f>
        <v>21587</v>
      </c>
      <c r="R1601" s="61">
        <f>Allocation[[#This Row],[Total volume used]]/VLOOKUP(Allocation[[#This Row],[Delivery ID]],Delivery[[Delivery ID]:[Quantity delivered]],3,FALSE)</f>
        <v>0.99997683844817598</v>
      </c>
      <c r="S1601" s="34">
        <f>Allocation[[#This Row],[Quantity Processed]]/Allocation[[#This Row],[Dilution rate]]</f>
        <v>4734.6153846153848</v>
      </c>
      <c r="T1601" s="59">
        <f>SUMIF(Allocation[Delivery ID],Allocation[[#This Row],[Delivery ID]],Allocation[Quantity allocated])/SUMIF(Allocation[Delivery ID],Allocation[[#This Row],[Delivery ID]],Allocation[Volume available (kg)])</f>
        <v>1.0154838514494702</v>
      </c>
      <c r="U1601" s="61">
        <f>Allocation[[#This Row],[Total volume used]]/VLOOKUP(Allocation[[#This Row],[Delivery ID]],Delivery[[Delivery ID]:[Quantity delivered]],3,FALSE)</f>
        <v>0.99997683844817598</v>
      </c>
      <c r="V1601" s="34" t="e">
        <f>VLOOKUP(Allocation[[#This Row],[SAP Contract number]],Shipments[[SAP Contract number]:[Contracted container weight]],2,FALSE)</f>
        <v>#N/A</v>
      </c>
      <c r="W1601" s="34" t="e">
        <f>VLOOKUP(Allocation[[#This Row],[SAP Contract number]],Shipments[[SAP Contract number]:[AAA Premium USD]],24,FALSE)</f>
        <v>#N/A</v>
      </c>
      <c r="X1601" s="34" t="e">
        <f>VLOOKUP(Allocation[[#This Row],[SAP Contract number]],Shipments[[SAP Contract number]:[RA Premium USD]],25,FALSE)</f>
        <v>#N/A</v>
      </c>
      <c r="Y1601" s="38">
        <f>Allocation[[#This Row],[Quantity Processed]]/Allocation[[#This Row],[Quantity allocated]]</f>
        <v>2.5651177328610126</v>
      </c>
      <c r="Z1601" s="34" t="b">
        <f>Allocation[[#This Row],[Quantity allocated]]&lt;=Allocation[[#This Row],[Quantity Processed]]</f>
        <v>1</v>
      </c>
    </row>
    <row r="1602" spans="1:26">
      <c r="A1602" s="247" t="s">
        <v>467</v>
      </c>
      <c r="B1602" s="210" t="s">
        <v>68</v>
      </c>
      <c r="C1602" s="254" t="s">
        <v>1584</v>
      </c>
      <c r="D1602" s="255">
        <v>6420</v>
      </c>
      <c r="E1602" s="211" t="s">
        <v>1901</v>
      </c>
      <c r="F1602" s="212">
        <v>43585</v>
      </c>
      <c r="G1602" s="213">
        <v>2.6</v>
      </c>
      <c r="H1602" s="256">
        <v>2503</v>
      </c>
      <c r="I1602" s="214">
        <v>1452974</v>
      </c>
      <c r="J1602" s="215">
        <v>21600</v>
      </c>
      <c r="K1602" s="212">
        <v>43593</v>
      </c>
      <c r="L1602" s="211" t="s">
        <v>1907</v>
      </c>
      <c r="M1602" s="216">
        <v>4615445946</v>
      </c>
      <c r="N1602" s="212"/>
      <c r="O1602" s="217"/>
      <c r="P1602" s="219"/>
      <c r="Q1602" s="34">
        <f>SUMIF(Allocation[Delivery ID],Allocation[[#This Row],[Delivery ID]],Allocation[Quantity Processed])</f>
        <v>21587</v>
      </c>
      <c r="R1602" s="61">
        <f>Allocation[[#This Row],[Total volume used]]/VLOOKUP(Allocation[[#This Row],[Delivery ID]],Delivery[[Delivery ID]:[Quantity delivered]],3,FALSE)</f>
        <v>0.99997683844817598</v>
      </c>
      <c r="S1602" s="34">
        <f>Allocation[[#This Row],[Quantity Processed]]/Allocation[[#This Row],[Dilution rate]]</f>
        <v>2469.2307692307691</v>
      </c>
      <c r="T1602" s="59">
        <f>SUMIF(Allocation[Delivery ID],Allocation[[#This Row],[Delivery ID]],Allocation[Quantity allocated])/SUMIF(Allocation[Delivery ID],Allocation[[#This Row],[Delivery ID]],Allocation[Volume available (kg)])</f>
        <v>1.0154838514494702</v>
      </c>
      <c r="U1602" s="61">
        <f>Allocation[[#This Row],[Total volume used]]/VLOOKUP(Allocation[[#This Row],[Delivery ID]],Delivery[[Delivery ID]:[Quantity delivered]],3,FALSE)</f>
        <v>0.99997683844817598</v>
      </c>
      <c r="V1602" s="34" t="e">
        <f>VLOOKUP(Allocation[[#This Row],[SAP Contract number]],Shipments[[SAP Contract number]:[Contracted container weight]],2,FALSE)</f>
        <v>#N/A</v>
      </c>
      <c r="W1602" s="34" t="e">
        <f>VLOOKUP(Allocation[[#This Row],[SAP Contract number]],Shipments[[SAP Contract number]:[AAA Premium USD]],24,FALSE)</f>
        <v>#N/A</v>
      </c>
      <c r="X1602" s="34" t="e">
        <f>VLOOKUP(Allocation[[#This Row],[SAP Contract number]],Shipments[[SAP Contract number]:[RA Premium USD]],25,FALSE)</f>
        <v>#N/A</v>
      </c>
      <c r="Y1602" s="38">
        <f>Allocation[[#This Row],[Quantity Processed]]/Allocation[[#This Row],[Quantity allocated]]</f>
        <v>2.5649220934878145</v>
      </c>
      <c r="Z1602" s="34" t="b">
        <f>Allocation[[#This Row],[Quantity allocated]]&lt;=Allocation[[#This Row],[Quantity Processed]]</f>
        <v>1</v>
      </c>
    </row>
    <row r="1603" spans="1:26">
      <c r="A1603" s="247" t="s">
        <v>467</v>
      </c>
      <c r="B1603" s="210" t="s">
        <v>68</v>
      </c>
      <c r="C1603" s="254" t="s">
        <v>1585</v>
      </c>
      <c r="D1603" s="255">
        <v>21647.5</v>
      </c>
      <c r="E1603" s="211" t="s">
        <v>1901</v>
      </c>
      <c r="F1603" s="212">
        <v>43585</v>
      </c>
      <c r="G1603" s="213">
        <v>2.6</v>
      </c>
      <c r="H1603" s="256">
        <v>9000</v>
      </c>
      <c r="I1603" s="214">
        <v>1452974</v>
      </c>
      <c r="J1603" s="215">
        <v>21600</v>
      </c>
      <c r="K1603" s="212">
        <v>43593</v>
      </c>
      <c r="L1603" s="211" t="s">
        <v>1907</v>
      </c>
      <c r="M1603" s="216">
        <v>4615445946</v>
      </c>
      <c r="N1603" s="212"/>
      <c r="O1603" s="217"/>
      <c r="P1603" s="219"/>
      <c r="Q1603" s="34">
        <f>SUMIF(Allocation[Delivery ID],Allocation[[#This Row],[Delivery ID]],Allocation[Quantity Processed])</f>
        <v>29442.5</v>
      </c>
      <c r="R1603" s="61">
        <f>Allocation[[#This Row],[Total volume used]]/VLOOKUP(Allocation[[#This Row],[Delivery ID]],Delivery[[Delivery ID]:[Quantity delivered]],3,FALSE)</f>
        <v>1</v>
      </c>
      <c r="S1603" s="34">
        <f>Allocation[[#This Row],[Quantity Processed]]/Allocation[[#This Row],[Dilution rate]]</f>
        <v>8325.961538461539</v>
      </c>
      <c r="T1603" s="59">
        <f>SUMIF(Allocation[Delivery ID],Allocation[[#This Row],[Delivery ID]],Allocation[Quantity allocated])/SUMIF(Allocation[Delivery ID],Allocation[[#This Row],[Delivery ID]],Allocation[Volume available (kg)])</f>
        <v>1.0677526646409035</v>
      </c>
      <c r="U1603" s="61">
        <f>Allocation[[#This Row],[Total volume used]]/VLOOKUP(Allocation[[#This Row],[Delivery ID]],Delivery[[Delivery ID]:[Quantity delivered]],3,FALSE)</f>
        <v>1</v>
      </c>
      <c r="V1603" s="34" t="e">
        <f>VLOOKUP(Allocation[[#This Row],[SAP Contract number]],Shipments[[SAP Contract number]:[Contracted container weight]],2,FALSE)</f>
        <v>#N/A</v>
      </c>
      <c r="W1603" s="34" t="e">
        <f>VLOOKUP(Allocation[[#This Row],[SAP Contract number]],Shipments[[SAP Contract number]:[AAA Premium USD]],24,FALSE)</f>
        <v>#N/A</v>
      </c>
      <c r="X1603" s="34" t="e">
        <f>VLOOKUP(Allocation[[#This Row],[SAP Contract number]],Shipments[[SAP Contract number]:[RA Premium USD]],25,FALSE)</f>
        <v>#N/A</v>
      </c>
      <c r="Y1603" s="38">
        <f>Allocation[[#This Row],[Quantity Processed]]/Allocation[[#This Row],[Quantity allocated]]</f>
        <v>2.4052777777777776</v>
      </c>
      <c r="Z1603" s="34" t="b">
        <f>Allocation[[#This Row],[Quantity allocated]]&lt;=Allocation[[#This Row],[Quantity Processed]]</f>
        <v>1</v>
      </c>
    </row>
    <row r="1604" spans="1:26">
      <c r="A1604" s="247" t="s">
        <v>467</v>
      </c>
      <c r="B1604" s="210" t="s">
        <v>68</v>
      </c>
      <c r="C1604" s="254" t="s">
        <v>1586</v>
      </c>
      <c r="D1604" s="255">
        <v>20838.5</v>
      </c>
      <c r="E1604" s="211" t="s">
        <v>1901</v>
      </c>
      <c r="F1604" s="212">
        <v>43585</v>
      </c>
      <c r="G1604" s="213">
        <v>2.6</v>
      </c>
      <c r="H1604" s="256">
        <v>8115</v>
      </c>
      <c r="I1604" s="214">
        <v>1452974</v>
      </c>
      <c r="J1604" s="215">
        <v>21600</v>
      </c>
      <c r="K1604" s="212">
        <v>43593</v>
      </c>
      <c r="L1604" s="211" t="s">
        <v>1907</v>
      </c>
      <c r="M1604" s="216">
        <v>4615445946</v>
      </c>
      <c r="N1604" s="212"/>
      <c r="O1604" s="217"/>
      <c r="P1604" s="219"/>
      <c r="Q1604" s="34">
        <f>SUMIF(Allocation[Delivery ID],Allocation[[#This Row],[Delivery ID]],Allocation[Quantity Processed])</f>
        <v>24011.5</v>
      </c>
      <c r="R1604" s="61">
        <f>Allocation[[#This Row],[Total volume used]]/VLOOKUP(Allocation[[#This Row],[Delivery ID]],Delivery[[Delivery ID]:[Quantity delivered]],3,FALSE)</f>
        <v>1</v>
      </c>
      <c r="S1604" s="34">
        <f>Allocation[[#This Row],[Quantity Processed]]/Allocation[[#This Row],[Dilution rate]]</f>
        <v>8014.8076923076924</v>
      </c>
      <c r="T1604" s="59">
        <f>SUMIF(Allocation[Delivery ID],Allocation[[#This Row],[Delivery ID]],Allocation[Quantity allocated])/SUMIF(Allocation[Delivery ID],Allocation[[#This Row],[Delivery ID]],Allocation[Volume available (kg)])</f>
        <v>1.0145066479220644</v>
      </c>
      <c r="U1604" s="61">
        <f>Allocation[[#This Row],[Total volume used]]/VLOOKUP(Allocation[[#This Row],[Delivery ID]],Delivery[[Delivery ID]:[Quantity delivered]],3,FALSE)</f>
        <v>1</v>
      </c>
      <c r="V1604" s="34" t="e">
        <f>VLOOKUP(Allocation[[#This Row],[SAP Contract number]],Shipments[[SAP Contract number]:[Contracted container weight]],2,FALSE)</f>
        <v>#N/A</v>
      </c>
      <c r="W1604" s="34" t="e">
        <f>VLOOKUP(Allocation[[#This Row],[SAP Contract number]],Shipments[[SAP Contract number]:[AAA Premium USD]],24,FALSE)</f>
        <v>#N/A</v>
      </c>
      <c r="X1604" s="34" t="e">
        <f>VLOOKUP(Allocation[[#This Row],[SAP Contract number]],Shipments[[SAP Contract number]:[RA Premium USD]],25,FALSE)</f>
        <v>#N/A</v>
      </c>
      <c r="Y1604" s="38">
        <f>Allocation[[#This Row],[Quantity Processed]]/Allocation[[#This Row],[Quantity allocated]]</f>
        <v>2.5678989525569933</v>
      </c>
      <c r="Z1604" s="34" t="b">
        <f>Allocation[[#This Row],[Quantity allocated]]&lt;=Allocation[[#This Row],[Quantity Processed]]</f>
        <v>1</v>
      </c>
    </row>
    <row r="1605" spans="1:26">
      <c r="A1605" s="247" t="s">
        <v>467</v>
      </c>
      <c r="B1605" s="210" t="s">
        <v>68</v>
      </c>
      <c r="C1605" s="254" t="s">
        <v>1587</v>
      </c>
      <c r="D1605" s="255">
        <v>729.5</v>
      </c>
      <c r="E1605" s="211" t="s">
        <v>1901</v>
      </c>
      <c r="F1605" s="212">
        <v>43585</v>
      </c>
      <c r="G1605" s="213">
        <v>2.6</v>
      </c>
      <c r="H1605" s="256">
        <v>283</v>
      </c>
      <c r="I1605" s="214">
        <v>1452974</v>
      </c>
      <c r="J1605" s="215">
        <v>21600</v>
      </c>
      <c r="K1605" s="212">
        <v>43593</v>
      </c>
      <c r="L1605" s="211" t="s">
        <v>1907</v>
      </c>
      <c r="M1605" s="216">
        <v>4615445946</v>
      </c>
      <c r="N1605" s="212"/>
      <c r="O1605" s="217"/>
      <c r="P1605" s="219"/>
      <c r="Q1605" s="34">
        <f>SUMIF(Allocation[Delivery ID],Allocation[[#This Row],[Delivery ID]],Allocation[Quantity Processed])</f>
        <v>840.5</v>
      </c>
      <c r="R1605" s="61">
        <f>Allocation[[#This Row],[Total volume used]]/VLOOKUP(Allocation[[#This Row],[Delivery ID]],Delivery[[Delivery ID]:[Quantity delivered]],3,FALSE)</f>
        <v>1</v>
      </c>
      <c r="S1605" s="34">
        <f>Allocation[[#This Row],[Quantity Processed]]/Allocation[[#This Row],[Dilution rate]]</f>
        <v>280.57692307692309</v>
      </c>
      <c r="T1605" s="59">
        <f>SUMIF(Allocation[Delivery ID],Allocation[[#This Row],[Delivery ID]],Allocation[Quantity allocated])/SUMIF(Allocation[Delivery ID],Allocation[[#This Row],[Delivery ID]],Allocation[Volume available (kg)])</f>
        <v>1.0109047271659883</v>
      </c>
      <c r="U1605" s="61">
        <f>Allocation[[#This Row],[Total volume used]]/VLOOKUP(Allocation[[#This Row],[Delivery ID]],Delivery[[Delivery ID]:[Quantity delivered]],3,FALSE)</f>
        <v>1</v>
      </c>
      <c r="V1605" s="34" t="e">
        <f>VLOOKUP(Allocation[[#This Row],[SAP Contract number]],Shipments[[SAP Contract number]:[Contracted container weight]],2,FALSE)</f>
        <v>#N/A</v>
      </c>
      <c r="W1605" s="34" t="e">
        <f>VLOOKUP(Allocation[[#This Row],[SAP Contract number]],Shipments[[SAP Contract number]:[AAA Premium USD]],24,FALSE)</f>
        <v>#N/A</v>
      </c>
      <c r="X1605" s="34" t="e">
        <f>VLOOKUP(Allocation[[#This Row],[SAP Contract number]],Shipments[[SAP Contract number]:[RA Premium USD]],25,FALSE)</f>
        <v>#N/A</v>
      </c>
      <c r="Y1605" s="38">
        <f>Allocation[[#This Row],[Quantity Processed]]/Allocation[[#This Row],[Quantity allocated]]</f>
        <v>2.5777385159010602</v>
      </c>
      <c r="Z1605" s="34" t="b">
        <f>Allocation[[#This Row],[Quantity allocated]]&lt;=Allocation[[#This Row],[Quantity Processed]]</f>
        <v>1</v>
      </c>
    </row>
    <row r="1606" spans="1:26">
      <c r="A1606" s="247" t="s">
        <v>467</v>
      </c>
      <c r="B1606" s="210" t="s">
        <v>68</v>
      </c>
      <c r="C1606" s="254" t="s">
        <v>1589</v>
      </c>
      <c r="D1606" s="255">
        <v>4372</v>
      </c>
      <c r="E1606" s="211" t="s">
        <v>1901</v>
      </c>
      <c r="F1606" s="212">
        <v>43585</v>
      </c>
      <c r="G1606" s="213">
        <v>2.6</v>
      </c>
      <c r="H1606" s="256">
        <v>1699</v>
      </c>
      <c r="I1606" s="214">
        <v>1452974</v>
      </c>
      <c r="J1606" s="215">
        <v>21600</v>
      </c>
      <c r="K1606" s="212">
        <v>43593</v>
      </c>
      <c r="L1606" s="211" t="s">
        <v>1907</v>
      </c>
      <c r="M1606" s="216">
        <v>4615445946</v>
      </c>
      <c r="N1606" s="212"/>
      <c r="O1606" s="217"/>
      <c r="P1606" s="219"/>
      <c r="Q1606" s="34">
        <f>SUMIF(Allocation[Delivery ID],Allocation[[#This Row],[Delivery ID]],Allocation[Quantity Processed])</f>
        <v>19149</v>
      </c>
      <c r="R1606" s="61">
        <f>Allocation[[#This Row],[Total volume used]]/VLOOKUP(Allocation[[#This Row],[Delivery ID]],Delivery[[Delivery ID]:[Quantity delivered]],3,FALSE)</f>
        <v>0.9999738896576934</v>
      </c>
      <c r="S1606" s="34">
        <f>Allocation[[#This Row],[Quantity Processed]]/Allocation[[#This Row],[Dilution rate]]</f>
        <v>1681.5384615384614</v>
      </c>
      <c r="T1606" s="59">
        <f>SUMIF(Allocation[Delivery ID],Allocation[[#This Row],[Delivery ID]],Allocation[Quantity allocated])/SUMIF(Allocation[Delivery ID],Allocation[[#This Row],[Delivery ID]],Allocation[Volume available (kg)])</f>
        <v>1.0125896183659675</v>
      </c>
      <c r="U1606" s="61">
        <f>Allocation[[#This Row],[Total volume used]]/VLOOKUP(Allocation[[#This Row],[Delivery ID]],Delivery[[Delivery ID]:[Quantity delivered]],3,FALSE)</f>
        <v>0.9999738896576934</v>
      </c>
      <c r="V1606" s="34" t="e">
        <f>VLOOKUP(Allocation[[#This Row],[SAP Contract number]],Shipments[[SAP Contract number]:[Contracted container weight]],2,FALSE)</f>
        <v>#N/A</v>
      </c>
      <c r="W1606" s="34" t="e">
        <f>VLOOKUP(Allocation[[#This Row],[SAP Contract number]],Shipments[[SAP Contract number]:[AAA Premium USD]],24,FALSE)</f>
        <v>#N/A</v>
      </c>
      <c r="X1606" s="34" t="e">
        <f>VLOOKUP(Allocation[[#This Row],[SAP Contract number]],Shipments[[SAP Contract number]:[RA Premium USD]],25,FALSE)</f>
        <v>#N/A</v>
      </c>
      <c r="Y1606" s="38">
        <f>Allocation[[#This Row],[Quantity Processed]]/Allocation[[#This Row],[Quantity allocated]]</f>
        <v>2.5732783990582697</v>
      </c>
      <c r="Z1606" s="34" t="b">
        <f>Allocation[[#This Row],[Quantity allocated]]&lt;=Allocation[[#This Row],[Quantity Processed]]</f>
        <v>1</v>
      </c>
    </row>
    <row r="1607" spans="1:26">
      <c r="A1607" s="247" t="s">
        <v>467</v>
      </c>
      <c r="B1607" s="210" t="s">
        <v>68</v>
      </c>
      <c r="C1607" s="254" t="s">
        <v>1589</v>
      </c>
      <c r="D1607" s="255">
        <v>12250</v>
      </c>
      <c r="E1607" s="211" t="s">
        <v>1901</v>
      </c>
      <c r="F1607" s="212">
        <v>43585</v>
      </c>
      <c r="G1607" s="213">
        <v>2.6</v>
      </c>
      <c r="H1607" s="256">
        <v>4760</v>
      </c>
      <c r="I1607" s="214">
        <v>1452975</v>
      </c>
      <c r="J1607" s="215">
        <v>21600</v>
      </c>
      <c r="K1607" s="212">
        <v>43593</v>
      </c>
      <c r="L1607" s="211" t="s">
        <v>1908</v>
      </c>
      <c r="M1607" s="216">
        <v>4615445946</v>
      </c>
      <c r="N1607" s="212"/>
      <c r="O1607" s="217"/>
      <c r="P1607" s="219"/>
      <c r="Q1607" s="34">
        <f>SUMIF(Allocation[Delivery ID],Allocation[[#This Row],[Delivery ID]],Allocation[Quantity Processed])</f>
        <v>19149</v>
      </c>
      <c r="R1607" s="61">
        <f>Allocation[[#This Row],[Total volume used]]/VLOOKUP(Allocation[[#This Row],[Delivery ID]],Delivery[[Delivery ID]:[Quantity delivered]],3,FALSE)</f>
        <v>0.9999738896576934</v>
      </c>
      <c r="S1607" s="34">
        <f>Allocation[[#This Row],[Quantity Processed]]/Allocation[[#This Row],[Dilution rate]]</f>
        <v>4711.538461538461</v>
      </c>
      <c r="T1607" s="59">
        <f>SUMIF(Allocation[Delivery ID],Allocation[[#This Row],[Delivery ID]],Allocation[Quantity allocated])/SUMIF(Allocation[Delivery ID],Allocation[[#This Row],[Delivery ID]],Allocation[Volume available (kg)])</f>
        <v>1.0125896183659675</v>
      </c>
      <c r="U1607" s="61">
        <f>Allocation[[#This Row],[Total volume used]]/VLOOKUP(Allocation[[#This Row],[Delivery ID]],Delivery[[Delivery ID]:[Quantity delivered]],3,FALSE)</f>
        <v>0.9999738896576934</v>
      </c>
      <c r="V1607" s="34" t="e">
        <f>VLOOKUP(Allocation[[#This Row],[SAP Contract number]],Shipments[[SAP Contract number]:[Contracted container weight]],2,FALSE)</f>
        <v>#N/A</v>
      </c>
      <c r="W1607" s="34" t="e">
        <f>VLOOKUP(Allocation[[#This Row],[SAP Contract number]],Shipments[[SAP Contract number]:[AAA Premium USD]],24,FALSE)</f>
        <v>#N/A</v>
      </c>
      <c r="X1607" s="34" t="e">
        <f>VLOOKUP(Allocation[[#This Row],[SAP Contract number]],Shipments[[SAP Contract number]:[RA Premium USD]],25,FALSE)</f>
        <v>#N/A</v>
      </c>
      <c r="Y1607" s="38">
        <f>Allocation[[#This Row],[Quantity Processed]]/Allocation[[#This Row],[Quantity allocated]]</f>
        <v>2.5735294117647061</v>
      </c>
      <c r="Z1607" s="34" t="b">
        <f>Allocation[[#This Row],[Quantity allocated]]&lt;=Allocation[[#This Row],[Quantity Processed]]</f>
        <v>1</v>
      </c>
    </row>
    <row r="1608" spans="1:26">
      <c r="A1608" s="247" t="s">
        <v>467</v>
      </c>
      <c r="B1608" s="210" t="s">
        <v>68</v>
      </c>
      <c r="C1608" s="254" t="s">
        <v>1590</v>
      </c>
      <c r="D1608" s="255">
        <v>18928.5</v>
      </c>
      <c r="E1608" s="211" t="s">
        <v>1901</v>
      </c>
      <c r="F1608" s="212">
        <v>43585</v>
      </c>
      <c r="G1608" s="213">
        <v>2.6</v>
      </c>
      <c r="H1608" s="256">
        <v>7321</v>
      </c>
      <c r="I1608" s="214">
        <v>1452975</v>
      </c>
      <c r="J1608" s="215">
        <v>21600</v>
      </c>
      <c r="K1608" s="212">
        <v>43593</v>
      </c>
      <c r="L1608" s="211" t="s">
        <v>1908</v>
      </c>
      <c r="M1608" s="216">
        <v>4615445946</v>
      </c>
      <c r="N1608" s="212"/>
      <c r="O1608" s="217"/>
      <c r="P1608" s="219"/>
      <c r="Q1608" s="34">
        <f>SUMIF(Allocation[Delivery ID],Allocation[[#This Row],[Delivery ID]],Allocation[Quantity Processed])</f>
        <v>21790.5</v>
      </c>
      <c r="R1608" s="61">
        <f>Allocation[[#This Row],[Total volume used]]/VLOOKUP(Allocation[[#This Row],[Delivery ID]],Delivery[[Delivery ID]:[Quantity delivered]],3,FALSE)</f>
        <v>1</v>
      </c>
      <c r="S1608" s="34">
        <f>Allocation[[#This Row],[Quantity Processed]]/Allocation[[#This Row],[Dilution rate]]</f>
        <v>7280.1923076923076</v>
      </c>
      <c r="T1608" s="59">
        <f>SUMIF(Allocation[Delivery ID],Allocation[[#This Row],[Delivery ID]],Allocation[Quantity allocated])/SUMIF(Allocation[Delivery ID],Allocation[[#This Row],[Delivery ID]],Allocation[Volume available (kg)])</f>
        <v>1.0084613626188617</v>
      </c>
      <c r="U1608" s="61">
        <f>Allocation[[#This Row],[Total volume used]]/VLOOKUP(Allocation[[#This Row],[Delivery ID]],Delivery[[Delivery ID]:[Quantity delivered]],3,FALSE)</f>
        <v>1</v>
      </c>
      <c r="V1608" s="34" t="e">
        <f>VLOOKUP(Allocation[[#This Row],[SAP Contract number]],Shipments[[SAP Contract number]:[Contracted container weight]],2,FALSE)</f>
        <v>#N/A</v>
      </c>
      <c r="W1608" s="34" t="e">
        <f>VLOOKUP(Allocation[[#This Row],[SAP Contract number]],Shipments[[SAP Contract number]:[AAA Premium USD]],24,FALSE)</f>
        <v>#N/A</v>
      </c>
      <c r="X1608" s="34" t="e">
        <f>VLOOKUP(Allocation[[#This Row],[SAP Contract number]],Shipments[[SAP Contract number]:[RA Premium USD]],25,FALSE)</f>
        <v>#N/A</v>
      </c>
      <c r="Y1608" s="38">
        <f>Allocation[[#This Row],[Quantity Processed]]/Allocation[[#This Row],[Quantity allocated]]</f>
        <v>2.5855074443382051</v>
      </c>
      <c r="Z1608" s="34" t="b">
        <f>Allocation[[#This Row],[Quantity allocated]]&lt;=Allocation[[#This Row],[Quantity Processed]]</f>
        <v>1</v>
      </c>
    </row>
    <row r="1609" spans="1:26">
      <c r="A1609" s="247" t="s">
        <v>467</v>
      </c>
      <c r="B1609" s="210" t="s">
        <v>68</v>
      </c>
      <c r="C1609" s="254" t="s">
        <v>1594</v>
      </c>
      <c r="D1609" s="255">
        <v>18944</v>
      </c>
      <c r="E1609" s="211" t="s">
        <v>1901</v>
      </c>
      <c r="F1609" s="212">
        <v>43585</v>
      </c>
      <c r="G1609" s="213">
        <v>2.6</v>
      </c>
      <c r="H1609" s="256">
        <v>7354</v>
      </c>
      <c r="I1609" s="214">
        <v>1452975</v>
      </c>
      <c r="J1609" s="215">
        <v>21600</v>
      </c>
      <c r="K1609" s="212">
        <v>43593</v>
      </c>
      <c r="L1609" s="211" t="s">
        <v>1908</v>
      </c>
      <c r="M1609" s="216">
        <v>4615445946</v>
      </c>
      <c r="N1609" s="212"/>
      <c r="O1609" s="217"/>
      <c r="P1609" s="219"/>
      <c r="Q1609" s="34">
        <f>SUMIF(Allocation[Delivery ID],Allocation[[#This Row],[Delivery ID]],Allocation[Quantity Processed])</f>
        <v>21820</v>
      </c>
      <c r="R1609" s="61">
        <f>Allocation[[#This Row],[Total volume used]]/VLOOKUP(Allocation[[#This Row],[Delivery ID]],Delivery[[Delivery ID]:[Quantity delivered]],3,FALSE)</f>
        <v>1</v>
      </c>
      <c r="S1609" s="34">
        <f>Allocation[[#This Row],[Quantity Processed]]/Allocation[[#This Row],[Dilution rate]]</f>
        <v>7286.1538461538457</v>
      </c>
      <c r="T1609" s="59">
        <f>SUMIF(Allocation[Delivery ID],Allocation[[#This Row],[Delivery ID]],Allocation[Quantity allocated])/SUMIF(Allocation[Delivery ID],Allocation[[#This Row],[Delivery ID]],Allocation[Volume available (kg)])</f>
        <v>1.0116954031397734</v>
      </c>
      <c r="U1609" s="61">
        <f>Allocation[[#This Row],[Total volume used]]/VLOOKUP(Allocation[[#This Row],[Delivery ID]],Delivery[[Delivery ID]:[Quantity delivered]],3,FALSE)</f>
        <v>1</v>
      </c>
      <c r="V1609" s="34" t="e">
        <f>VLOOKUP(Allocation[[#This Row],[SAP Contract number]],Shipments[[SAP Contract number]:[Contracted container weight]],2,FALSE)</f>
        <v>#N/A</v>
      </c>
      <c r="W1609" s="34" t="e">
        <f>VLOOKUP(Allocation[[#This Row],[SAP Contract number]],Shipments[[SAP Contract number]:[AAA Premium USD]],24,FALSE)</f>
        <v>#N/A</v>
      </c>
      <c r="X1609" s="34" t="e">
        <f>VLOOKUP(Allocation[[#This Row],[SAP Contract number]],Shipments[[SAP Contract number]:[RA Premium USD]],25,FALSE)</f>
        <v>#N/A</v>
      </c>
      <c r="Y1609" s="38">
        <f>Allocation[[#This Row],[Quantity Processed]]/Allocation[[#This Row],[Quantity allocated]]</f>
        <v>2.5760130541202066</v>
      </c>
      <c r="Z1609" s="34" t="b">
        <f>Allocation[[#This Row],[Quantity allocated]]&lt;=Allocation[[#This Row],[Quantity Processed]]</f>
        <v>1</v>
      </c>
    </row>
    <row r="1610" spans="1:26">
      <c r="A1610" s="247" t="s">
        <v>467</v>
      </c>
      <c r="B1610" s="210" t="s">
        <v>68</v>
      </c>
      <c r="C1610" s="254" t="s">
        <v>1595</v>
      </c>
      <c r="D1610" s="255">
        <v>5544</v>
      </c>
      <c r="E1610" s="211" t="s">
        <v>1901</v>
      </c>
      <c r="F1610" s="212">
        <v>43585</v>
      </c>
      <c r="G1610" s="213">
        <v>2.6</v>
      </c>
      <c r="H1610" s="256">
        <v>2165</v>
      </c>
      <c r="I1610" s="214">
        <v>1452975</v>
      </c>
      <c r="J1610" s="215">
        <v>21600</v>
      </c>
      <c r="K1610" s="212">
        <v>43593</v>
      </c>
      <c r="L1610" s="211" t="s">
        <v>1908</v>
      </c>
      <c r="M1610" s="216">
        <v>4615445946</v>
      </c>
      <c r="N1610" s="212"/>
      <c r="O1610" s="217"/>
      <c r="P1610" s="219"/>
      <c r="Q1610" s="34">
        <f>SUMIF(Allocation[Delivery ID],Allocation[[#This Row],[Delivery ID]],Allocation[Quantity Processed])</f>
        <v>21520</v>
      </c>
      <c r="R1610" s="61">
        <f>Allocation[[#This Row],[Total volume used]]/VLOOKUP(Allocation[[#This Row],[Delivery ID]],Delivery[[Delivery ID]:[Quantity delivered]],3,FALSE)</f>
        <v>1</v>
      </c>
      <c r="S1610" s="34">
        <f>Allocation[[#This Row],[Quantity Processed]]/Allocation[[#This Row],[Dilution rate]]</f>
        <v>2132.3076923076924</v>
      </c>
      <c r="T1610" s="59">
        <f>SUMIF(Allocation[Delivery ID],Allocation[[#This Row],[Delivery ID]],Allocation[Quantity allocated])/SUMIF(Allocation[Delivery ID],Allocation[[#This Row],[Delivery ID]],Allocation[Volume available (kg)])</f>
        <v>1.0170700841408933</v>
      </c>
      <c r="U1610" s="61">
        <f>Allocation[[#This Row],[Total volume used]]/VLOOKUP(Allocation[[#This Row],[Delivery ID]],Delivery[[Delivery ID]:[Quantity delivered]],3,FALSE)</f>
        <v>1</v>
      </c>
      <c r="V1610" s="34" t="e">
        <f>VLOOKUP(Allocation[[#This Row],[SAP Contract number]],Shipments[[SAP Contract number]:[Contracted container weight]],2,FALSE)</f>
        <v>#N/A</v>
      </c>
      <c r="W1610" s="34" t="e">
        <f>VLOOKUP(Allocation[[#This Row],[SAP Contract number]],Shipments[[SAP Contract number]:[AAA Premium USD]],24,FALSE)</f>
        <v>#N/A</v>
      </c>
      <c r="X1610" s="34" t="e">
        <f>VLOOKUP(Allocation[[#This Row],[SAP Contract number]],Shipments[[SAP Contract number]:[RA Premium USD]],25,FALSE)</f>
        <v>#N/A</v>
      </c>
      <c r="Y1610" s="38">
        <f>Allocation[[#This Row],[Quantity Processed]]/Allocation[[#This Row],[Quantity allocated]]</f>
        <v>2.5607390300230946</v>
      </c>
      <c r="Z1610" s="34" t="b">
        <f>Allocation[[#This Row],[Quantity allocated]]&lt;=Allocation[[#This Row],[Quantity Processed]]</f>
        <v>1</v>
      </c>
    </row>
    <row r="1611" spans="1:26">
      <c r="A1611" s="247" t="s">
        <v>467</v>
      </c>
      <c r="B1611" s="210" t="s">
        <v>68</v>
      </c>
      <c r="C1611" s="254" t="s">
        <v>1595</v>
      </c>
      <c r="D1611" s="255">
        <v>13125</v>
      </c>
      <c r="E1611" s="211" t="s">
        <v>1901</v>
      </c>
      <c r="F1611" s="212">
        <v>43585</v>
      </c>
      <c r="G1611" s="213">
        <v>2.6</v>
      </c>
      <c r="H1611" s="256">
        <v>5126</v>
      </c>
      <c r="I1611" s="214">
        <v>1452976</v>
      </c>
      <c r="J1611" s="215">
        <v>21600</v>
      </c>
      <c r="K1611" s="212">
        <v>43593</v>
      </c>
      <c r="L1611" s="211" t="s">
        <v>1909</v>
      </c>
      <c r="M1611" s="216">
        <v>4615445946</v>
      </c>
      <c r="N1611" s="212"/>
      <c r="O1611" s="217"/>
      <c r="P1611" s="219"/>
      <c r="Q1611" s="34">
        <f>SUMIF(Allocation[Delivery ID],Allocation[[#This Row],[Delivery ID]],Allocation[Quantity Processed])</f>
        <v>21520</v>
      </c>
      <c r="R1611" s="61">
        <f>Allocation[[#This Row],[Total volume used]]/VLOOKUP(Allocation[[#This Row],[Delivery ID]],Delivery[[Delivery ID]:[Quantity delivered]],3,FALSE)</f>
        <v>1</v>
      </c>
      <c r="S1611" s="34">
        <f>Allocation[[#This Row],[Quantity Processed]]/Allocation[[#This Row],[Dilution rate]]</f>
        <v>5048.0769230769229</v>
      </c>
      <c r="T1611" s="59">
        <f>SUMIF(Allocation[Delivery ID],Allocation[[#This Row],[Delivery ID]],Allocation[Quantity allocated])/SUMIF(Allocation[Delivery ID],Allocation[[#This Row],[Delivery ID]],Allocation[Volume available (kg)])</f>
        <v>1.0170700841408933</v>
      </c>
      <c r="U1611" s="61">
        <f>Allocation[[#This Row],[Total volume used]]/VLOOKUP(Allocation[[#This Row],[Delivery ID]],Delivery[[Delivery ID]:[Quantity delivered]],3,FALSE)</f>
        <v>1</v>
      </c>
      <c r="V1611" s="34" t="e">
        <f>VLOOKUP(Allocation[[#This Row],[SAP Contract number]],Shipments[[SAP Contract number]:[Contracted container weight]],2,FALSE)</f>
        <v>#N/A</v>
      </c>
      <c r="W1611" s="34" t="e">
        <f>VLOOKUP(Allocation[[#This Row],[SAP Contract number]],Shipments[[SAP Contract number]:[AAA Premium USD]],24,FALSE)</f>
        <v>#N/A</v>
      </c>
      <c r="X1611" s="34" t="e">
        <f>VLOOKUP(Allocation[[#This Row],[SAP Contract number]],Shipments[[SAP Contract number]:[RA Premium USD]],25,FALSE)</f>
        <v>#N/A</v>
      </c>
      <c r="Y1611" s="38">
        <f>Allocation[[#This Row],[Quantity Processed]]/Allocation[[#This Row],[Quantity allocated]]</f>
        <v>2.5604760046820134</v>
      </c>
      <c r="Z1611" s="34" t="b">
        <f>Allocation[[#This Row],[Quantity allocated]]&lt;=Allocation[[#This Row],[Quantity Processed]]</f>
        <v>1</v>
      </c>
    </row>
    <row r="1612" spans="1:26">
      <c r="A1612" s="247" t="s">
        <v>467</v>
      </c>
      <c r="B1612" s="210" t="s">
        <v>68</v>
      </c>
      <c r="C1612" s="254" t="s">
        <v>1596</v>
      </c>
      <c r="D1612" s="255">
        <v>1612.5</v>
      </c>
      <c r="E1612" s="211" t="s">
        <v>1901</v>
      </c>
      <c r="F1612" s="212">
        <v>43585</v>
      </c>
      <c r="G1612" s="213">
        <v>2.6</v>
      </c>
      <c r="H1612" s="256">
        <v>629</v>
      </c>
      <c r="I1612" s="214">
        <v>1452976</v>
      </c>
      <c r="J1612" s="215">
        <v>21600</v>
      </c>
      <c r="K1612" s="212">
        <v>43593</v>
      </c>
      <c r="L1612" s="211" t="s">
        <v>1909</v>
      </c>
      <c r="M1612" s="216">
        <v>4615445946</v>
      </c>
      <c r="N1612" s="212"/>
      <c r="O1612" s="217"/>
      <c r="P1612" s="219"/>
      <c r="Q1612" s="34">
        <f>SUMIF(Allocation[Delivery ID],Allocation[[#This Row],[Delivery ID]],Allocation[Quantity Processed])</f>
        <v>1858.5</v>
      </c>
      <c r="R1612" s="61">
        <f>Allocation[[#This Row],[Total volume used]]/VLOOKUP(Allocation[[#This Row],[Delivery ID]],Delivery[[Delivery ID]:[Quantity delivered]],3,FALSE)</f>
        <v>1</v>
      </c>
      <c r="S1612" s="34">
        <f>Allocation[[#This Row],[Quantity Processed]]/Allocation[[#This Row],[Dilution rate]]</f>
        <v>620.19230769230762</v>
      </c>
      <c r="T1612" s="59">
        <f>SUMIF(Allocation[Delivery ID],Allocation[[#This Row],[Delivery ID]],Allocation[Quantity allocated])/SUMIF(Allocation[Delivery ID],Allocation[[#This Row],[Delivery ID]],Allocation[Volume available (kg)])</f>
        <v>1.0159711851005886</v>
      </c>
      <c r="U1612" s="61">
        <f>Allocation[[#This Row],[Total volume used]]/VLOOKUP(Allocation[[#This Row],[Delivery ID]],Delivery[[Delivery ID]:[Quantity delivered]],3,FALSE)</f>
        <v>1</v>
      </c>
      <c r="V1612" s="34" t="e">
        <f>VLOOKUP(Allocation[[#This Row],[SAP Contract number]],Shipments[[SAP Contract number]:[Contracted container weight]],2,FALSE)</f>
        <v>#N/A</v>
      </c>
      <c r="W1612" s="34" t="e">
        <f>VLOOKUP(Allocation[[#This Row],[SAP Contract number]],Shipments[[SAP Contract number]:[AAA Premium USD]],24,FALSE)</f>
        <v>#N/A</v>
      </c>
      <c r="X1612" s="34" t="e">
        <f>VLOOKUP(Allocation[[#This Row],[SAP Contract number]],Shipments[[SAP Contract number]:[RA Premium USD]],25,FALSE)</f>
        <v>#N/A</v>
      </c>
      <c r="Y1612" s="38">
        <f>Allocation[[#This Row],[Quantity Processed]]/Allocation[[#This Row],[Quantity allocated]]</f>
        <v>2.5635930047694755</v>
      </c>
      <c r="Z1612" s="34" t="b">
        <f>Allocation[[#This Row],[Quantity allocated]]&lt;=Allocation[[#This Row],[Quantity Processed]]</f>
        <v>1</v>
      </c>
    </row>
    <row r="1613" spans="1:26">
      <c r="A1613" s="247" t="s">
        <v>467</v>
      </c>
      <c r="B1613" s="210" t="s">
        <v>68</v>
      </c>
      <c r="C1613" s="254" t="s">
        <v>1597</v>
      </c>
      <c r="D1613" s="255">
        <v>26842.5</v>
      </c>
      <c r="E1613" s="211" t="s">
        <v>1901</v>
      </c>
      <c r="F1613" s="212">
        <v>43585</v>
      </c>
      <c r="G1613" s="213">
        <v>2.6</v>
      </c>
      <c r="H1613" s="256">
        <v>10459</v>
      </c>
      <c r="I1613" s="214">
        <v>1452976</v>
      </c>
      <c r="J1613" s="215">
        <v>21600</v>
      </c>
      <c r="K1613" s="212">
        <v>43593</v>
      </c>
      <c r="L1613" s="211" t="s">
        <v>1909</v>
      </c>
      <c r="M1613" s="216">
        <v>4615445946</v>
      </c>
      <c r="N1613" s="212"/>
      <c r="O1613" s="217"/>
      <c r="P1613" s="219"/>
      <c r="Q1613" s="34">
        <f>SUMIF(Allocation[Delivery ID],Allocation[[#This Row],[Delivery ID]],Allocation[Quantity Processed])</f>
        <v>30931.5</v>
      </c>
      <c r="R1613" s="61">
        <f>Allocation[[#This Row],[Total volume used]]/VLOOKUP(Allocation[[#This Row],[Delivery ID]],Delivery[[Delivery ID]:[Quantity delivered]],3,FALSE)</f>
        <v>1</v>
      </c>
      <c r="S1613" s="34">
        <f>Allocation[[#This Row],[Quantity Processed]]/Allocation[[#This Row],[Dilution rate]]</f>
        <v>10324.038461538461</v>
      </c>
      <c r="T1613" s="59">
        <f>SUMIF(Allocation[Delivery ID],Allocation[[#This Row],[Delivery ID]],Allocation[Quantity allocated])/SUMIF(Allocation[Delivery ID],Allocation[[#This Row],[Delivery ID]],Allocation[Volume available (kg)])</f>
        <v>1.0150148116999234</v>
      </c>
      <c r="U1613" s="61">
        <f>Allocation[[#This Row],[Total volume used]]/VLOOKUP(Allocation[[#This Row],[Delivery ID]],Delivery[[Delivery ID]:[Quantity delivered]],3,FALSE)</f>
        <v>1</v>
      </c>
      <c r="V1613" s="34" t="e">
        <f>VLOOKUP(Allocation[[#This Row],[SAP Contract number]],Shipments[[SAP Contract number]:[Contracted container weight]],2,FALSE)</f>
        <v>#N/A</v>
      </c>
      <c r="W1613" s="34" t="e">
        <f>VLOOKUP(Allocation[[#This Row],[SAP Contract number]],Shipments[[SAP Contract number]:[AAA Premium USD]],24,FALSE)</f>
        <v>#N/A</v>
      </c>
      <c r="X1613" s="34" t="e">
        <f>VLOOKUP(Allocation[[#This Row],[SAP Contract number]],Shipments[[SAP Contract number]:[RA Premium USD]],25,FALSE)</f>
        <v>#N/A</v>
      </c>
      <c r="Y1613" s="38">
        <f>Allocation[[#This Row],[Quantity Processed]]/Allocation[[#This Row],[Quantity allocated]]</f>
        <v>2.5664499474137106</v>
      </c>
      <c r="Z1613" s="34" t="b">
        <f>Allocation[[#This Row],[Quantity allocated]]&lt;=Allocation[[#This Row],[Quantity Processed]]</f>
        <v>1</v>
      </c>
    </row>
    <row r="1614" spans="1:26">
      <c r="A1614" s="247" t="s">
        <v>467</v>
      </c>
      <c r="B1614" s="210" t="s">
        <v>68</v>
      </c>
      <c r="C1614" s="254" t="s">
        <v>631</v>
      </c>
      <c r="D1614" s="255">
        <v>6279</v>
      </c>
      <c r="E1614" s="211" t="s">
        <v>1901</v>
      </c>
      <c r="F1614" s="212">
        <v>43585</v>
      </c>
      <c r="G1614" s="213">
        <v>2.6</v>
      </c>
      <c r="H1614" s="256">
        <v>2511</v>
      </c>
      <c r="I1614" s="214">
        <v>1452976</v>
      </c>
      <c r="J1614" s="215">
        <v>21600</v>
      </c>
      <c r="K1614" s="212">
        <v>43593</v>
      </c>
      <c r="L1614" s="211" t="s">
        <v>1909</v>
      </c>
      <c r="M1614" s="216">
        <v>4615445946</v>
      </c>
      <c r="N1614" s="212"/>
      <c r="O1614" s="217"/>
      <c r="P1614" s="219"/>
      <c r="Q1614" s="34">
        <f>SUMIF(Allocation[Delivery ID],Allocation[[#This Row],[Delivery ID]],Allocation[Quantity Processed])</f>
        <v>49860</v>
      </c>
      <c r="R1614" s="61">
        <f>Allocation[[#This Row],[Total volume used]]/VLOOKUP(Allocation[[#This Row],[Delivery ID]],Delivery[[Delivery ID]:[Quantity delivered]],3,FALSE)</f>
        <v>1</v>
      </c>
      <c r="S1614" s="34">
        <f>Allocation[[#This Row],[Quantity Processed]]/Allocation[[#This Row],[Dilution rate]]</f>
        <v>2415</v>
      </c>
      <c r="T1614" s="59">
        <f>SUMIF(Allocation[Delivery ID],Allocation[[#This Row],[Delivery ID]],Allocation[Quantity allocated])/SUMIF(Allocation[Delivery ID],Allocation[[#This Row],[Delivery ID]],Allocation[Volume available (kg)])</f>
        <v>1.0206100407433714</v>
      </c>
      <c r="U1614" s="61">
        <f>Allocation[[#This Row],[Total volume used]]/VLOOKUP(Allocation[[#This Row],[Delivery ID]],Delivery[[Delivery ID]:[Quantity delivered]],3,FALSE)</f>
        <v>1</v>
      </c>
      <c r="V1614" s="34" t="e">
        <f>VLOOKUP(Allocation[[#This Row],[SAP Contract number]],Shipments[[SAP Contract number]:[Contracted container weight]],2,FALSE)</f>
        <v>#N/A</v>
      </c>
      <c r="W1614" s="34" t="e">
        <f>VLOOKUP(Allocation[[#This Row],[SAP Contract number]],Shipments[[SAP Contract number]:[AAA Premium USD]],24,FALSE)</f>
        <v>#N/A</v>
      </c>
      <c r="X1614" s="34" t="e">
        <f>VLOOKUP(Allocation[[#This Row],[SAP Contract number]],Shipments[[SAP Contract number]:[RA Premium USD]],25,FALSE)</f>
        <v>#N/A</v>
      </c>
      <c r="Y1614" s="38">
        <f>Allocation[[#This Row],[Quantity Processed]]/Allocation[[#This Row],[Quantity allocated]]</f>
        <v>2.5005973715651133</v>
      </c>
      <c r="Z1614" s="34" t="b">
        <f>Allocation[[#This Row],[Quantity allocated]]&lt;=Allocation[[#This Row],[Quantity Processed]]</f>
        <v>1</v>
      </c>
    </row>
    <row r="1615" spans="1:26">
      <c r="A1615" s="247" t="s">
        <v>467</v>
      </c>
      <c r="B1615" s="210" t="s">
        <v>68</v>
      </c>
      <c r="C1615" s="254" t="s">
        <v>1599</v>
      </c>
      <c r="D1615" s="255">
        <v>7770</v>
      </c>
      <c r="E1615" s="211" t="s">
        <v>1901</v>
      </c>
      <c r="F1615" s="212">
        <v>43585</v>
      </c>
      <c r="G1615" s="213">
        <v>2.6</v>
      </c>
      <c r="H1615" s="256">
        <v>2875</v>
      </c>
      <c r="I1615" s="214">
        <v>1452976</v>
      </c>
      <c r="J1615" s="215">
        <v>21600</v>
      </c>
      <c r="K1615" s="212">
        <v>43593</v>
      </c>
      <c r="L1615" s="211" t="s">
        <v>1909</v>
      </c>
      <c r="M1615" s="216">
        <v>4615445946</v>
      </c>
      <c r="N1615" s="212"/>
      <c r="O1615" s="217"/>
      <c r="P1615" s="219"/>
      <c r="Q1615" s="34">
        <f>SUMIF(Allocation[Delivery ID],Allocation[[#This Row],[Delivery ID]],Allocation[Quantity Processed])</f>
        <v>14121</v>
      </c>
      <c r="R1615" s="61">
        <f>Allocation[[#This Row],[Total volume used]]/VLOOKUP(Allocation[[#This Row],[Delivery ID]],Delivery[[Delivery ID]:[Quantity delivered]],3,FALSE)</f>
        <v>0.44662681468830062</v>
      </c>
      <c r="S1615" s="34">
        <f>Allocation[[#This Row],[Quantity Processed]]/Allocation[[#This Row],[Dilution rate]]</f>
        <v>2988.4615384615386</v>
      </c>
      <c r="T1615" s="59">
        <f>SUMIF(Allocation[Delivery ID],Allocation[[#This Row],[Delivery ID]],Allocation[Quantity allocated])/SUMIF(Allocation[Delivery ID],Allocation[[#This Row],[Delivery ID]],Allocation[Volume available (kg)])</f>
        <v>0.96998579680440944</v>
      </c>
      <c r="U1615" s="61">
        <f>Allocation[[#This Row],[Total volume used]]/VLOOKUP(Allocation[[#This Row],[Delivery ID]],Delivery[[Delivery ID]:[Quantity delivered]],3,FALSE)</f>
        <v>0.44662681468830062</v>
      </c>
      <c r="V1615" s="34" t="e">
        <f>VLOOKUP(Allocation[[#This Row],[SAP Contract number]],Shipments[[SAP Contract number]:[Contracted container weight]],2,FALSE)</f>
        <v>#N/A</v>
      </c>
      <c r="W1615" s="34" t="e">
        <f>VLOOKUP(Allocation[[#This Row],[SAP Contract number]],Shipments[[SAP Contract number]:[AAA Premium USD]],24,FALSE)</f>
        <v>#N/A</v>
      </c>
      <c r="X1615" s="34" t="e">
        <f>VLOOKUP(Allocation[[#This Row],[SAP Contract number]],Shipments[[SAP Contract number]:[RA Premium USD]],25,FALSE)</f>
        <v>#N/A</v>
      </c>
      <c r="Y1615" s="38">
        <f>Allocation[[#This Row],[Quantity Processed]]/Allocation[[#This Row],[Quantity allocated]]</f>
        <v>2.7026086956521738</v>
      </c>
      <c r="Z1615" s="34" t="b">
        <f>Allocation[[#This Row],[Quantity allocated]]&lt;=Allocation[[#This Row],[Quantity Processed]]</f>
        <v>1</v>
      </c>
    </row>
    <row r="1616" spans="1:26">
      <c r="A1616" s="247" t="s">
        <v>467</v>
      </c>
      <c r="B1616" s="210" t="s">
        <v>68</v>
      </c>
      <c r="C1616" s="254" t="s">
        <v>1599</v>
      </c>
      <c r="D1616" s="255">
        <v>4565</v>
      </c>
      <c r="E1616" s="211" t="s">
        <v>1901</v>
      </c>
      <c r="F1616" s="212">
        <v>43585</v>
      </c>
      <c r="G1616" s="213">
        <v>2.6</v>
      </c>
      <c r="H1616" s="256">
        <v>1689</v>
      </c>
      <c r="I1616" s="214">
        <v>1452977</v>
      </c>
      <c r="J1616" s="215">
        <v>21600</v>
      </c>
      <c r="K1616" s="212">
        <v>43593</v>
      </c>
      <c r="L1616" s="211" t="s">
        <v>1910</v>
      </c>
      <c r="M1616" s="216">
        <v>4615445946</v>
      </c>
      <c r="N1616" s="212"/>
      <c r="O1616" s="217"/>
      <c r="P1616" s="219"/>
      <c r="Q1616" s="34">
        <f>SUMIF(Allocation[Delivery ID],Allocation[[#This Row],[Delivery ID]],Allocation[Quantity Processed])</f>
        <v>14121</v>
      </c>
      <c r="R1616" s="61">
        <f>Allocation[[#This Row],[Total volume used]]/VLOOKUP(Allocation[[#This Row],[Delivery ID]],Delivery[[Delivery ID]:[Quantity delivered]],3,FALSE)</f>
        <v>0.44662681468830062</v>
      </c>
      <c r="S1616" s="34">
        <f>Allocation[[#This Row],[Quantity Processed]]/Allocation[[#This Row],[Dilution rate]]</f>
        <v>1755.7692307692307</v>
      </c>
      <c r="T1616" s="59">
        <f>SUMIF(Allocation[Delivery ID],Allocation[[#This Row],[Delivery ID]],Allocation[Quantity allocated])/SUMIF(Allocation[Delivery ID],Allocation[[#This Row],[Delivery ID]],Allocation[Volume available (kg)])</f>
        <v>0.96998579680440944</v>
      </c>
      <c r="U1616" s="61">
        <f>Allocation[[#This Row],[Total volume used]]/VLOOKUP(Allocation[[#This Row],[Delivery ID]],Delivery[[Delivery ID]:[Quantity delivered]],3,FALSE)</f>
        <v>0.44662681468830062</v>
      </c>
      <c r="V1616" s="34" t="e">
        <f>VLOOKUP(Allocation[[#This Row],[SAP Contract number]],Shipments[[SAP Contract number]:[Contracted container weight]],2,FALSE)</f>
        <v>#N/A</v>
      </c>
      <c r="W1616" s="34" t="e">
        <f>VLOOKUP(Allocation[[#This Row],[SAP Contract number]],Shipments[[SAP Contract number]:[AAA Premium USD]],24,FALSE)</f>
        <v>#N/A</v>
      </c>
      <c r="X1616" s="34" t="e">
        <f>VLOOKUP(Allocation[[#This Row],[SAP Contract number]],Shipments[[SAP Contract number]:[RA Premium USD]],25,FALSE)</f>
        <v>#N/A</v>
      </c>
      <c r="Y1616" s="38">
        <f>Allocation[[#This Row],[Quantity Processed]]/Allocation[[#This Row],[Quantity allocated]]</f>
        <v>2.7027827116637062</v>
      </c>
      <c r="Z1616" s="34" t="b">
        <f>Allocation[[#This Row],[Quantity allocated]]&lt;=Allocation[[#This Row],[Quantity Processed]]</f>
        <v>1</v>
      </c>
    </row>
    <row r="1617" spans="1:26">
      <c r="A1617" s="247" t="s">
        <v>467</v>
      </c>
      <c r="B1617" s="210" t="s">
        <v>68</v>
      </c>
      <c r="C1617" s="254" t="s">
        <v>1600</v>
      </c>
      <c r="D1617" s="255">
        <v>12341</v>
      </c>
      <c r="E1617" s="211" t="s">
        <v>1901</v>
      </c>
      <c r="F1617" s="212">
        <v>43585</v>
      </c>
      <c r="G1617" s="213">
        <v>2.6</v>
      </c>
      <c r="H1617" s="256">
        <v>4566</v>
      </c>
      <c r="I1617" s="214">
        <v>1452977</v>
      </c>
      <c r="J1617" s="215">
        <v>21600</v>
      </c>
      <c r="K1617" s="212">
        <v>43593</v>
      </c>
      <c r="L1617" s="211" t="s">
        <v>1910</v>
      </c>
      <c r="M1617" s="216">
        <v>4615445946</v>
      </c>
      <c r="N1617" s="212"/>
      <c r="O1617" s="217"/>
      <c r="P1617" s="219"/>
      <c r="Q1617" s="34">
        <f>SUMIF(Allocation[Delivery ID],Allocation[[#This Row],[Delivery ID]],Allocation[Quantity Processed])</f>
        <v>14130</v>
      </c>
      <c r="R1617" s="61">
        <f>Allocation[[#This Row],[Total volume used]]/VLOOKUP(Allocation[[#This Row],[Delivery ID]],Delivery[[Delivery ID]:[Quantity delivered]],3,FALSE)</f>
        <v>0.44662894711887979</v>
      </c>
      <c r="S1617" s="34">
        <f>Allocation[[#This Row],[Quantity Processed]]/Allocation[[#This Row],[Dilution rate]]</f>
        <v>4746.538461538461</v>
      </c>
      <c r="T1617" s="59">
        <f>SUMIF(Allocation[Delivery ID],Allocation[[#This Row],[Delivery ID]],Allocation[Quantity allocated])/SUMIF(Allocation[Delivery ID],Allocation[[#This Row],[Delivery ID]],Allocation[Volume available (kg)])</f>
        <v>0.96993288907575037</v>
      </c>
      <c r="U1617" s="61">
        <f>Allocation[[#This Row],[Total volume used]]/VLOOKUP(Allocation[[#This Row],[Delivery ID]],Delivery[[Delivery ID]:[Quantity delivered]],3,FALSE)</f>
        <v>0.44662894711887979</v>
      </c>
      <c r="V1617" s="34" t="e">
        <f>VLOOKUP(Allocation[[#This Row],[SAP Contract number]],Shipments[[SAP Contract number]:[Contracted container weight]],2,FALSE)</f>
        <v>#N/A</v>
      </c>
      <c r="W1617" s="34" t="e">
        <f>VLOOKUP(Allocation[[#This Row],[SAP Contract number]],Shipments[[SAP Contract number]:[AAA Premium USD]],24,FALSE)</f>
        <v>#N/A</v>
      </c>
      <c r="X1617" s="34" t="e">
        <f>VLOOKUP(Allocation[[#This Row],[SAP Contract number]],Shipments[[SAP Contract number]:[RA Premium USD]],25,FALSE)</f>
        <v>#N/A</v>
      </c>
      <c r="Y1617" s="38">
        <f>Allocation[[#This Row],[Quantity Processed]]/Allocation[[#This Row],[Quantity allocated]]</f>
        <v>2.7028033289531317</v>
      </c>
      <c r="Z1617" s="34" t="b">
        <f>Allocation[[#This Row],[Quantity allocated]]&lt;=Allocation[[#This Row],[Quantity Processed]]</f>
        <v>1</v>
      </c>
    </row>
    <row r="1618" spans="1:26">
      <c r="A1618" s="247" t="s">
        <v>467</v>
      </c>
      <c r="B1618" s="210" t="s">
        <v>68</v>
      </c>
      <c r="C1618" s="254" t="s">
        <v>1601</v>
      </c>
      <c r="D1618" s="255">
        <v>12327</v>
      </c>
      <c r="E1618" s="211" t="s">
        <v>1901</v>
      </c>
      <c r="F1618" s="212">
        <v>43585</v>
      </c>
      <c r="G1618" s="213">
        <v>2.6</v>
      </c>
      <c r="H1618" s="256">
        <v>4561</v>
      </c>
      <c r="I1618" s="214">
        <v>1452977</v>
      </c>
      <c r="J1618" s="215">
        <v>21600</v>
      </c>
      <c r="K1618" s="212">
        <v>43593</v>
      </c>
      <c r="L1618" s="211" t="s">
        <v>1910</v>
      </c>
      <c r="M1618" s="216">
        <v>4615445946</v>
      </c>
      <c r="N1618" s="212"/>
      <c r="O1618" s="217"/>
      <c r="P1618" s="219"/>
      <c r="Q1618" s="34">
        <f>SUMIF(Allocation[Delivery ID],Allocation[[#This Row],[Delivery ID]],Allocation[Quantity Processed])</f>
        <v>14111</v>
      </c>
      <c r="R1618" s="61">
        <f>Allocation[[#This Row],[Total volume used]]/VLOOKUP(Allocation[[#This Row],[Delivery ID]],Delivery[[Delivery ID]:[Quantity delivered]],3,FALSE)</f>
        <v>0.4465930309839542</v>
      </c>
      <c r="S1618" s="34">
        <f>Allocation[[#This Row],[Quantity Processed]]/Allocation[[#This Row],[Dilution rate]]</f>
        <v>4741.1538461538457</v>
      </c>
      <c r="T1618" s="59">
        <f>SUMIF(Allocation[Delivery ID],Allocation[[#This Row],[Delivery ID]],Allocation[Quantity allocated])/SUMIF(Allocation[Delivery ID],Allocation[[#This Row],[Delivery ID]],Allocation[Volume available (kg)])</f>
        <v>0.96992679552970051</v>
      </c>
      <c r="U1618" s="61">
        <f>Allocation[[#This Row],[Total volume used]]/VLOOKUP(Allocation[[#This Row],[Delivery ID]],Delivery[[Delivery ID]:[Quantity delivered]],3,FALSE)</f>
        <v>0.4465930309839542</v>
      </c>
      <c r="V1618" s="34" t="e">
        <f>VLOOKUP(Allocation[[#This Row],[SAP Contract number]],Shipments[[SAP Contract number]:[Contracted container weight]],2,FALSE)</f>
        <v>#N/A</v>
      </c>
      <c r="W1618" s="34" t="e">
        <f>VLOOKUP(Allocation[[#This Row],[SAP Contract number]],Shipments[[SAP Contract number]:[AAA Premium USD]],24,FALSE)</f>
        <v>#N/A</v>
      </c>
      <c r="X1618" s="34" t="e">
        <f>VLOOKUP(Allocation[[#This Row],[SAP Contract number]],Shipments[[SAP Contract number]:[RA Premium USD]],25,FALSE)</f>
        <v>#N/A</v>
      </c>
      <c r="Y1618" s="38">
        <f>Allocation[[#This Row],[Quantity Processed]]/Allocation[[#This Row],[Quantity allocated]]</f>
        <v>2.7026967770225827</v>
      </c>
      <c r="Z1618" s="34" t="b">
        <f>Allocation[[#This Row],[Quantity allocated]]&lt;=Allocation[[#This Row],[Quantity Processed]]</f>
        <v>1</v>
      </c>
    </row>
    <row r="1619" spans="1:26">
      <c r="A1619" s="247" t="s">
        <v>467</v>
      </c>
      <c r="B1619" s="210" t="s">
        <v>68</v>
      </c>
      <c r="C1619" s="254" t="s">
        <v>1602</v>
      </c>
      <c r="D1619" s="255">
        <v>12335</v>
      </c>
      <c r="E1619" s="211" t="s">
        <v>1901</v>
      </c>
      <c r="F1619" s="212">
        <v>43585</v>
      </c>
      <c r="G1619" s="213">
        <v>2.6</v>
      </c>
      <c r="H1619" s="256">
        <v>4564</v>
      </c>
      <c r="I1619" s="214">
        <v>1452977</v>
      </c>
      <c r="J1619" s="215">
        <v>21600</v>
      </c>
      <c r="K1619" s="212">
        <v>43593</v>
      </c>
      <c r="L1619" s="211" t="s">
        <v>1910</v>
      </c>
      <c r="M1619" s="216">
        <v>4615445946</v>
      </c>
      <c r="N1619" s="212"/>
      <c r="O1619" s="217"/>
      <c r="P1619" s="219"/>
      <c r="Q1619" s="34">
        <f>SUMIF(Allocation[Delivery ID],Allocation[[#This Row],[Delivery ID]],Allocation[Quantity Processed])</f>
        <v>14124</v>
      </c>
      <c r="R1619" s="61">
        <f>Allocation[[#This Row],[Total volume used]]/VLOOKUP(Allocation[[#This Row],[Delivery ID]],Delivery[[Delivery ID]:[Quantity delivered]],3,FALSE)</f>
        <v>0.44672170035107694</v>
      </c>
      <c r="S1619" s="34">
        <f>Allocation[[#This Row],[Quantity Processed]]/Allocation[[#This Row],[Dilution rate]]</f>
        <v>4744.2307692307695</v>
      </c>
      <c r="T1619" s="59">
        <f>SUMIF(Allocation[Delivery ID],Allocation[[#This Row],[Delivery ID]],Allocation[Quantity allocated])/SUMIF(Allocation[Delivery ID],Allocation[[#This Row],[Delivery ID]],Allocation[Volume available (kg)])</f>
        <v>0.96997712023049254</v>
      </c>
      <c r="U1619" s="61">
        <f>Allocation[[#This Row],[Total volume used]]/VLOOKUP(Allocation[[#This Row],[Delivery ID]],Delivery[[Delivery ID]:[Quantity delivered]],3,FALSE)</f>
        <v>0.44672170035107694</v>
      </c>
      <c r="V1619" s="34" t="e">
        <f>VLOOKUP(Allocation[[#This Row],[SAP Contract number]],Shipments[[SAP Contract number]:[Contracted container weight]],2,FALSE)</f>
        <v>#N/A</v>
      </c>
      <c r="W1619" s="34" t="e">
        <f>VLOOKUP(Allocation[[#This Row],[SAP Contract number]],Shipments[[SAP Contract number]:[AAA Premium USD]],24,FALSE)</f>
        <v>#N/A</v>
      </c>
      <c r="X1619" s="34" t="e">
        <f>VLOOKUP(Allocation[[#This Row],[SAP Contract number]],Shipments[[SAP Contract number]:[RA Premium USD]],25,FALSE)</f>
        <v>#N/A</v>
      </c>
      <c r="Y1619" s="38">
        <f>Allocation[[#This Row],[Quantity Processed]]/Allocation[[#This Row],[Quantity allocated]]</f>
        <v>2.7026730937773884</v>
      </c>
      <c r="Z1619" s="34" t="b">
        <f>Allocation[[#This Row],[Quantity allocated]]&lt;=Allocation[[#This Row],[Quantity Processed]]</f>
        <v>1</v>
      </c>
    </row>
    <row r="1620" spans="1:26">
      <c r="A1620" s="247" t="s">
        <v>467</v>
      </c>
      <c r="B1620" s="210" t="s">
        <v>68</v>
      </c>
      <c r="C1620" s="254" t="s">
        <v>1603</v>
      </c>
      <c r="D1620" s="255">
        <v>12327</v>
      </c>
      <c r="E1620" s="211" t="s">
        <v>1901</v>
      </c>
      <c r="F1620" s="212">
        <v>43585</v>
      </c>
      <c r="G1620" s="213">
        <v>2.6</v>
      </c>
      <c r="H1620" s="256">
        <v>4561</v>
      </c>
      <c r="I1620" s="214">
        <v>1452977</v>
      </c>
      <c r="J1620" s="215">
        <v>21600</v>
      </c>
      <c r="K1620" s="212">
        <v>43593</v>
      </c>
      <c r="L1620" s="211" t="s">
        <v>1910</v>
      </c>
      <c r="M1620" s="216">
        <v>4615445946</v>
      </c>
      <c r="N1620" s="212"/>
      <c r="O1620" s="217"/>
      <c r="P1620" s="219"/>
      <c r="Q1620" s="34">
        <f>SUMIF(Allocation[Delivery ID],Allocation[[#This Row],[Delivery ID]],Allocation[Quantity Processed])</f>
        <v>14111</v>
      </c>
      <c r="R1620" s="61">
        <f>Allocation[[#This Row],[Total volume used]]/VLOOKUP(Allocation[[#This Row],[Delivery ID]],Delivery[[Delivery ID]:[Quantity delivered]],3,FALSE)</f>
        <v>0.4465930309839542</v>
      </c>
      <c r="S1620" s="34">
        <f>Allocation[[#This Row],[Quantity Processed]]/Allocation[[#This Row],[Dilution rate]]</f>
        <v>4741.1538461538457</v>
      </c>
      <c r="T1620" s="59">
        <f>SUMIF(Allocation[Delivery ID],Allocation[[#This Row],[Delivery ID]],Allocation[Quantity allocated])/SUMIF(Allocation[Delivery ID],Allocation[[#This Row],[Delivery ID]],Allocation[Volume available (kg)])</f>
        <v>0.96992679552970051</v>
      </c>
      <c r="U1620" s="61">
        <f>Allocation[[#This Row],[Total volume used]]/VLOOKUP(Allocation[[#This Row],[Delivery ID]],Delivery[[Delivery ID]:[Quantity delivered]],3,FALSE)</f>
        <v>0.4465930309839542</v>
      </c>
      <c r="V1620" s="34" t="e">
        <f>VLOOKUP(Allocation[[#This Row],[SAP Contract number]],Shipments[[SAP Contract number]:[Contracted container weight]],2,FALSE)</f>
        <v>#N/A</v>
      </c>
      <c r="W1620" s="34" t="e">
        <f>VLOOKUP(Allocation[[#This Row],[SAP Contract number]],Shipments[[SAP Contract number]:[AAA Premium USD]],24,FALSE)</f>
        <v>#N/A</v>
      </c>
      <c r="X1620" s="34" t="e">
        <f>VLOOKUP(Allocation[[#This Row],[SAP Contract number]],Shipments[[SAP Contract number]:[RA Premium USD]],25,FALSE)</f>
        <v>#N/A</v>
      </c>
      <c r="Y1620" s="38">
        <f>Allocation[[#This Row],[Quantity Processed]]/Allocation[[#This Row],[Quantity allocated]]</f>
        <v>2.7026967770225827</v>
      </c>
      <c r="Z1620" s="34" t="b">
        <f>Allocation[[#This Row],[Quantity allocated]]&lt;=Allocation[[#This Row],[Quantity Processed]]</f>
        <v>1</v>
      </c>
    </row>
    <row r="1621" spans="1:26">
      <c r="A1621" s="247" t="s">
        <v>467</v>
      </c>
      <c r="B1621" s="210" t="s">
        <v>68</v>
      </c>
      <c r="C1621" s="254" t="s">
        <v>1604</v>
      </c>
      <c r="D1621" s="255">
        <v>4484</v>
      </c>
      <c r="E1621" s="211" t="s">
        <v>1901</v>
      </c>
      <c r="F1621" s="212">
        <v>43585</v>
      </c>
      <c r="G1621" s="213">
        <v>2.6</v>
      </c>
      <c r="H1621" s="256">
        <v>1659</v>
      </c>
      <c r="I1621" s="214">
        <v>1452977</v>
      </c>
      <c r="J1621" s="215">
        <v>21600</v>
      </c>
      <c r="K1621" s="212">
        <v>43593</v>
      </c>
      <c r="L1621" s="211" t="s">
        <v>1910</v>
      </c>
      <c r="M1621" s="216">
        <v>4615445946</v>
      </c>
      <c r="N1621" s="212"/>
      <c r="O1621" s="217"/>
      <c r="P1621" s="219"/>
      <c r="Q1621" s="34">
        <f>SUMIF(Allocation[Delivery ID],Allocation[[#This Row],[Delivery ID]],Allocation[Quantity Processed])</f>
        <v>11181</v>
      </c>
      <c r="R1621" s="61">
        <f>Allocation[[#This Row],[Total volume used]]/VLOOKUP(Allocation[[#This Row],[Delivery ID]],Delivery[[Delivery ID]:[Quantity delivered]],3,FALSE)</f>
        <v>0.43776672800595123</v>
      </c>
      <c r="S1621" s="34">
        <f>Allocation[[#This Row],[Quantity Processed]]/Allocation[[#This Row],[Dilution rate]]</f>
        <v>1724.6153846153845</v>
      </c>
      <c r="T1621" s="59">
        <f>SUMIF(Allocation[Delivery ID],Allocation[[#This Row],[Delivery ID]],Allocation[Quantity allocated])/SUMIF(Allocation[Delivery ID],Allocation[[#This Row],[Delivery ID]],Allocation[Volume available (kg)])</f>
        <v>0.96604605272084787</v>
      </c>
      <c r="U1621" s="61">
        <f>Allocation[[#This Row],[Total volume used]]/VLOOKUP(Allocation[[#This Row],[Delivery ID]],Delivery[[Delivery ID]:[Quantity delivered]],3,FALSE)</f>
        <v>0.43776672800595123</v>
      </c>
      <c r="V1621" s="34" t="e">
        <f>VLOOKUP(Allocation[[#This Row],[SAP Contract number]],Shipments[[SAP Contract number]:[Contracted container weight]],2,FALSE)</f>
        <v>#N/A</v>
      </c>
      <c r="W1621" s="34" t="e">
        <f>VLOOKUP(Allocation[[#This Row],[SAP Contract number]],Shipments[[SAP Contract number]:[AAA Premium USD]],24,FALSE)</f>
        <v>#N/A</v>
      </c>
      <c r="X1621" s="34" t="e">
        <f>VLOOKUP(Allocation[[#This Row],[SAP Contract number]],Shipments[[SAP Contract number]:[RA Premium USD]],25,FALSE)</f>
        <v>#N/A</v>
      </c>
      <c r="Y1621" s="38">
        <f>Allocation[[#This Row],[Quantity Processed]]/Allocation[[#This Row],[Quantity allocated]]</f>
        <v>2.7028330319469558</v>
      </c>
      <c r="Z1621" s="34" t="b">
        <f>Allocation[[#This Row],[Quantity allocated]]&lt;=Allocation[[#This Row],[Quantity Processed]]</f>
        <v>1</v>
      </c>
    </row>
    <row r="1622" spans="1:26">
      <c r="A1622" s="247" t="s">
        <v>467</v>
      </c>
      <c r="B1622" s="210" t="s">
        <v>68</v>
      </c>
      <c r="C1622" s="254" t="s">
        <v>1604</v>
      </c>
      <c r="D1622" s="255">
        <v>5975</v>
      </c>
      <c r="E1622" s="211" t="s">
        <v>1901</v>
      </c>
      <c r="F1622" s="212">
        <v>43585</v>
      </c>
      <c r="G1622" s="213">
        <v>2.6</v>
      </c>
      <c r="H1622" s="256">
        <v>2211</v>
      </c>
      <c r="I1622" s="214">
        <v>1452978</v>
      </c>
      <c r="J1622" s="215">
        <v>21600</v>
      </c>
      <c r="K1622" s="212">
        <v>43593</v>
      </c>
      <c r="L1622" s="211" t="s">
        <v>1911</v>
      </c>
      <c r="M1622" s="216">
        <v>4615445946</v>
      </c>
      <c r="N1622" s="212"/>
      <c r="O1622" s="217"/>
      <c r="P1622" s="219"/>
      <c r="Q1622" s="34">
        <f>SUMIF(Allocation[Delivery ID],Allocation[[#This Row],[Delivery ID]],Allocation[Quantity Processed])</f>
        <v>11181</v>
      </c>
      <c r="R1622" s="61">
        <f>Allocation[[#This Row],[Total volume used]]/VLOOKUP(Allocation[[#This Row],[Delivery ID]],Delivery[[Delivery ID]:[Quantity delivered]],3,FALSE)</f>
        <v>0.43776672800595123</v>
      </c>
      <c r="S1622" s="34">
        <f>Allocation[[#This Row],[Quantity Processed]]/Allocation[[#This Row],[Dilution rate]]</f>
        <v>2298.0769230769229</v>
      </c>
      <c r="T1622" s="59">
        <f>SUMIF(Allocation[Delivery ID],Allocation[[#This Row],[Delivery ID]],Allocation[Quantity allocated])/SUMIF(Allocation[Delivery ID],Allocation[[#This Row],[Delivery ID]],Allocation[Volume available (kg)])</f>
        <v>0.96604605272084787</v>
      </c>
      <c r="U1622" s="61">
        <f>Allocation[[#This Row],[Total volume used]]/VLOOKUP(Allocation[[#This Row],[Delivery ID]],Delivery[[Delivery ID]:[Quantity delivered]],3,FALSE)</f>
        <v>0.43776672800595123</v>
      </c>
      <c r="V1622" s="34" t="e">
        <f>VLOOKUP(Allocation[[#This Row],[SAP Contract number]],Shipments[[SAP Contract number]:[Contracted container weight]],2,FALSE)</f>
        <v>#N/A</v>
      </c>
      <c r="W1622" s="34" t="e">
        <f>VLOOKUP(Allocation[[#This Row],[SAP Contract number]],Shipments[[SAP Contract number]:[AAA Premium USD]],24,FALSE)</f>
        <v>#N/A</v>
      </c>
      <c r="X1622" s="34" t="e">
        <f>VLOOKUP(Allocation[[#This Row],[SAP Contract number]],Shipments[[SAP Contract number]:[RA Premium USD]],25,FALSE)</f>
        <v>#N/A</v>
      </c>
      <c r="Y1622" s="38">
        <f>Allocation[[#This Row],[Quantity Processed]]/Allocation[[#This Row],[Quantity allocated]]</f>
        <v>2.7023971053821798</v>
      </c>
      <c r="Z1622" s="34" t="b">
        <f>Allocation[[#This Row],[Quantity allocated]]&lt;=Allocation[[#This Row],[Quantity Processed]]</f>
        <v>1</v>
      </c>
    </row>
    <row r="1623" spans="1:26">
      <c r="A1623" s="247" t="s">
        <v>467</v>
      </c>
      <c r="B1623" s="210" t="s">
        <v>68</v>
      </c>
      <c r="C1623" s="254" t="s">
        <v>1605</v>
      </c>
      <c r="D1623" s="255">
        <v>14811</v>
      </c>
      <c r="E1623" s="211" t="s">
        <v>1901</v>
      </c>
      <c r="F1623" s="212">
        <v>43585</v>
      </c>
      <c r="G1623" s="213">
        <v>2.6</v>
      </c>
      <c r="H1623" s="256">
        <v>5480</v>
      </c>
      <c r="I1623" s="214">
        <v>1452978</v>
      </c>
      <c r="J1623" s="215">
        <v>21600</v>
      </c>
      <c r="K1623" s="212">
        <v>43593</v>
      </c>
      <c r="L1623" s="211" t="s">
        <v>1911</v>
      </c>
      <c r="M1623" s="216">
        <v>4615445946</v>
      </c>
      <c r="N1623" s="212"/>
      <c r="O1623" s="217"/>
      <c r="P1623" s="219"/>
      <c r="Q1623" s="34">
        <f>SUMIF(Allocation[Delivery ID],Allocation[[#This Row],[Delivery ID]],Allocation[Quantity Processed])</f>
        <v>16595</v>
      </c>
      <c r="R1623" s="61">
        <f>Allocation[[#This Row],[Total volume used]]/VLOOKUP(Allocation[[#This Row],[Delivery ID]],Delivery[[Delivery ID]:[Quantity delivered]],3,FALSE)</f>
        <v>0.52499209111040812</v>
      </c>
      <c r="S1623" s="34">
        <f>Allocation[[#This Row],[Quantity Processed]]/Allocation[[#This Row],[Dilution rate]]</f>
        <v>5696.538461538461</v>
      </c>
      <c r="T1623" s="59">
        <f>SUMIF(Allocation[Delivery ID],Allocation[[#This Row],[Delivery ID]],Allocation[Quantity allocated])/SUMIF(Allocation[Delivery ID],Allocation[[#This Row],[Delivery ID]],Allocation[Volume available (kg)])</f>
        <v>0.96871934547807192</v>
      </c>
      <c r="U1623" s="61">
        <f>Allocation[[#This Row],[Total volume used]]/VLOOKUP(Allocation[[#This Row],[Delivery ID]],Delivery[[Delivery ID]:[Quantity delivered]],3,FALSE)</f>
        <v>0.52499209111040812</v>
      </c>
      <c r="V1623" s="34" t="e">
        <f>VLOOKUP(Allocation[[#This Row],[SAP Contract number]],Shipments[[SAP Contract number]:[Contracted container weight]],2,FALSE)</f>
        <v>#N/A</v>
      </c>
      <c r="W1623" s="34" t="e">
        <f>VLOOKUP(Allocation[[#This Row],[SAP Contract number]],Shipments[[SAP Contract number]:[AAA Premium USD]],24,FALSE)</f>
        <v>#N/A</v>
      </c>
      <c r="X1623" s="34" t="e">
        <f>VLOOKUP(Allocation[[#This Row],[SAP Contract number]],Shipments[[SAP Contract number]:[RA Premium USD]],25,FALSE)</f>
        <v>#N/A</v>
      </c>
      <c r="Y1623" s="38">
        <f>Allocation[[#This Row],[Quantity Processed]]/Allocation[[#This Row],[Quantity allocated]]</f>
        <v>2.7027372262773723</v>
      </c>
      <c r="Z1623" s="34" t="b">
        <f>Allocation[[#This Row],[Quantity allocated]]&lt;=Allocation[[#This Row],[Quantity Processed]]</f>
        <v>1</v>
      </c>
    </row>
    <row r="1624" spans="1:26">
      <c r="A1624" s="247" t="s">
        <v>467</v>
      </c>
      <c r="B1624" s="210" t="s">
        <v>68</v>
      </c>
      <c r="C1624" s="254" t="s">
        <v>1314</v>
      </c>
      <c r="D1624" s="255">
        <v>10637</v>
      </c>
      <c r="E1624" s="211" t="s">
        <v>1901</v>
      </c>
      <c r="F1624" s="212">
        <v>43585</v>
      </c>
      <c r="G1624" s="213">
        <v>2.6</v>
      </c>
      <c r="H1624" s="256">
        <v>3620</v>
      </c>
      <c r="I1624" s="214">
        <v>1452978</v>
      </c>
      <c r="J1624" s="215">
        <v>21600</v>
      </c>
      <c r="K1624" s="212">
        <v>43593</v>
      </c>
      <c r="L1624" s="211" t="s">
        <v>1911</v>
      </c>
      <c r="M1624" s="216">
        <v>4615445946</v>
      </c>
      <c r="N1624" s="212"/>
      <c r="O1624" s="217"/>
      <c r="P1624" s="219"/>
      <c r="Q1624" s="34">
        <f>SUMIF(Allocation[Delivery ID],Allocation[[#This Row],[Delivery ID]],Allocation[Quantity Processed])</f>
        <v>30340</v>
      </c>
      <c r="R1624" s="61">
        <f>Allocation[[#This Row],[Total volume used]]/VLOOKUP(Allocation[[#This Row],[Delivery ID]],Delivery[[Delivery ID]:[Quantity delivered]],3,FALSE)</f>
        <v>1</v>
      </c>
      <c r="S1624" s="34">
        <f>Allocation[[#This Row],[Quantity Processed]]/Allocation[[#This Row],[Dilution rate]]</f>
        <v>4091.1538461538462</v>
      </c>
      <c r="T1624" s="59">
        <f>SUMIF(Allocation[Delivery ID],Allocation[[#This Row],[Delivery ID]],Allocation[Quantity allocated])/SUMIF(Allocation[Delivery ID],Allocation[[#This Row],[Delivery ID]],Allocation[Volume available (kg)])</f>
        <v>0.9470285046711745</v>
      </c>
      <c r="U1624" s="61">
        <f>Allocation[[#This Row],[Total volume used]]/VLOOKUP(Allocation[[#This Row],[Delivery ID]],Delivery[[Delivery ID]:[Quantity delivered]],3,FALSE)</f>
        <v>1</v>
      </c>
      <c r="V1624" s="34" t="e">
        <f>VLOOKUP(Allocation[[#This Row],[SAP Contract number]],Shipments[[SAP Contract number]:[Contracted container weight]],2,FALSE)</f>
        <v>#N/A</v>
      </c>
      <c r="W1624" s="34" t="e">
        <f>VLOOKUP(Allocation[[#This Row],[SAP Contract number]],Shipments[[SAP Contract number]:[AAA Premium USD]],24,FALSE)</f>
        <v>#N/A</v>
      </c>
      <c r="X1624" s="34" t="e">
        <f>VLOOKUP(Allocation[[#This Row],[SAP Contract number]],Shipments[[SAP Contract number]:[RA Premium USD]],25,FALSE)</f>
        <v>#N/A</v>
      </c>
      <c r="Y1624" s="38">
        <f>Allocation[[#This Row],[Quantity Processed]]/Allocation[[#This Row],[Quantity allocated]]</f>
        <v>2.9383977900552485</v>
      </c>
      <c r="Z1624" s="34" t="b">
        <f>Allocation[[#This Row],[Quantity allocated]]&lt;=Allocation[[#This Row],[Quantity Processed]]</f>
        <v>1</v>
      </c>
    </row>
    <row r="1625" spans="1:26">
      <c r="A1625" s="247" t="s">
        <v>467</v>
      </c>
      <c r="B1625" s="210" t="s">
        <v>68</v>
      </c>
      <c r="C1625" s="254" t="s">
        <v>1315</v>
      </c>
      <c r="D1625" s="255">
        <v>10529</v>
      </c>
      <c r="E1625" s="211" t="s">
        <v>1901</v>
      </c>
      <c r="F1625" s="212">
        <v>43585</v>
      </c>
      <c r="G1625" s="213">
        <v>2.6</v>
      </c>
      <c r="H1625" s="256">
        <v>3580</v>
      </c>
      <c r="I1625" s="214">
        <v>1452978</v>
      </c>
      <c r="J1625" s="215">
        <v>21600</v>
      </c>
      <c r="K1625" s="212">
        <v>43593</v>
      </c>
      <c r="L1625" s="211" t="s">
        <v>1911</v>
      </c>
      <c r="M1625" s="216">
        <v>4615445946</v>
      </c>
      <c r="N1625" s="212"/>
      <c r="O1625" s="217"/>
      <c r="P1625" s="219"/>
      <c r="Q1625" s="34">
        <f>SUMIF(Allocation[Delivery ID],Allocation[[#This Row],[Delivery ID]],Allocation[Quantity Processed])</f>
        <v>30020</v>
      </c>
      <c r="R1625" s="61">
        <f>Allocation[[#This Row],[Total volume used]]/VLOOKUP(Allocation[[#This Row],[Delivery ID]],Delivery[[Delivery ID]:[Quantity delivered]],3,FALSE)</f>
        <v>1</v>
      </c>
      <c r="S1625" s="34">
        <f>Allocation[[#This Row],[Quantity Processed]]/Allocation[[#This Row],[Dilution rate]]</f>
        <v>4049.6153846153843</v>
      </c>
      <c r="T1625" s="59">
        <f>SUMIF(Allocation[Delivery ID],Allocation[[#This Row],[Delivery ID]],Allocation[Quantity allocated])/SUMIF(Allocation[Delivery ID],Allocation[[#This Row],[Delivery ID]],Allocation[Volume available (kg)])</f>
        <v>0.94671813226451329</v>
      </c>
      <c r="U1625" s="61">
        <f>Allocation[[#This Row],[Total volume used]]/VLOOKUP(Allocation[[#This Row],[Delivery ID]],Delivery[[Delivery ID]:[Quantity delivered]],3,FALSE)</f>
        <v>1</v>
      </c>
      <c r="V1625" s="34" t="e">
        <f>VLOOKUP(Allocation[[#This Row],[SAP Contract number]],Shipments[[SAP Contract number]:[Contracted container weight]],2,FALSE)</f>
        <v>#N/A</v>
      </c>
      <c r="W1625" s="34" t="e">
        <f>VLOOKUP(Allocation[[#This Row],[SAP Contract number]],Shipments[[SAP Contract number]:[AAA Premium USD]],24,FALSE)</f>
        <v>#N/A</v>
      </c>
      <c r="X1625" s="34" t="e">
        <f>VLOOKUP(Allocation[[#This Row],[SAP Contract number]],Shipments[[SAP Contract number]:[RA Premium USD]],25,FALSE)</f>
        <v>#N/A</v>
      </c>
      <c r="Y1625" s="38">
        <f>Allocation[[#This Row],[Quantity Processed]]/Allocation[[#This Row],[Quantity allocated]]</f>
        <v>2.9410614525139667</v>
      </c>
      <c r="Z1625" s="34" t="b">
        <f>Allocation[[#This Row],[Quantity allocated]]&lt;=Allocation[[#This Row],[Quantity Processed]]</f>
        <v>1</v>
      </c>
    </row>
    <row r="1626" spans="1:26">
      <c r="A1626" s="247" t="s">
        <v>467</v>
      </c>
      <c r="B1626" s="210" t="s">
        <v>68</v>
      </c>
      <c r="C1626" s="254" t="s">
        <v>1320</v>
      </c>
      <c r="D1626" s="255">
        <v>9919</v>
      </c>
      <c r="E1626" s="211" t="s">
        <v>1901</v>
      </c>
      <c r="F1626" s="212">
        <v>43585</v>
      </c>
      <c r="G1626" s="213">
        <v>2.6</v>
      </c>
      <c r="H1626" s="256">
        <v>3300</v>
      </c>
      <c r="I1626" s="214">
        <v>1452978</v>
      </c>
      <c r="J1626" s="215">
        <v>21600</v>
      </c>
      <c r="K1626" s="212">
        <v>43593</v>
      </c>
      <c r="L1626" s="211" t="s">
        <v>1911</v>
      </c>
      <c r="M1626" s="216">
        <v>4615445946</v>
      </c>
      <c r="N1626" s="212"/>
      <c r="O1626" s="217"/>
      <c r="P1626" s="219"/>
      <c r="Q1626" s="34">
        <f>SUMIF(Allocation[Delivery ID],Allocation[[#This Row],[Delivery ID]],Allocation[Quantity Processed])</f>
        <v>30000</v>
      </c>
      <c r="R1626" s="61">
        <f>Allocation[[#This Row],[Total volume used]]/VLOOKUP(Allocation[[#This Row],[Delivery ID]],Delivery[[Delivery ID]:[Quantity delivered]],3,FALSE)</f>
        <v>1</v>
      </c>
      <c r="S1626" s="34">
        <f>Allocation[[#This Row],[Quantity Processed]]/Allocation[[#This Row],[Dilution rate]]</f>
        <v>3815</v>
      </c>
      <c r="T1626" s="59">
        <f>SUMIF(Allocation[Delivery ID],Allocation[[#This Row],[Delivery ID]],Allocation[Quantity allocated])/SUMIF(Allocation[Delivery ID],Allocation[[#This Row],[Delivery ID]],Allocation[Volume available (kg)])</f>
        <v>0.92338890756093095</v>
      </c>
      <c r="U1626" s="61">
        <f>Allocation[[#This Row],[Total volume used]]/VLOOKUP(Allocation[[#This Row],[Delivery ID]],Delivery[[Delivery ID]:[Quantity delivered]],3,FALSE)</f>
        <v>1</v>
      </c>
      <c r="V1626" s="34" t="e">
        <f>VLOOKUP(Allocation[[#This Row],[SAP Contract number]],Shipments[[SAP Contract number]:[Contracted container weight]],2,FALSE)</f>
        <v>#N/A</v>
      </c>
      <c r="W1626" s="34" t="e">
        <f>VLOOKUP(Allocation[[#This Row],[SAP Contract number]],Shipments[[SAP Contract number]:[AAA Premium USD]],24,FALSE)</f>
        <v>#N/A</v>
      </c>
      <c r="X1626" s="34" t="e">
        <f>VLOOKUP(Allocation[[#This Row],[SAP Contract number]],Shipments[[SAP Contract number]:[RA Premium USD]],25,FALSE)</f>
        <v>#N/A</v>
      </c>
      <c r="Y1626" s="38">
        <f>Allocation[[#This Row],[Quantity Processed]]/Allocation[[#This Row],[Quantity allocated]]</f>
        <v>3.0057575757575759</v>
      </c>
      <c r="Z1626" s="34" t="b">
        <f>Allocation[[#This Row],[Quantity allocated]]&lt;=Allocation[[#This Row],[Quantity Processed]]</f>
        <v>1</v>
      </c>
    </row>
    <row r="1627" spans="1:26">
      <c r="A1627" s="247" t="s">
        <v>467</v>
      </c>
      <c r="B1627" s="210" t="s">
        <v>68</v>
      </c>
      <c r="C1627" s="254" t="s">
        <v>1321</v>
      </c>
      <c r="D1627" s="255">
        <v>9929</v>
      </c>
      <c r="E1627" s="211" t="s">
        <v>1901</v>
      </c>
      <c r="F1627" s="212">
        <v>43585</v>
      </c>
      <c r="G1627" s="213">
        <v>2.6</v>
      </c>
      <c r="H1627" s="256">
        <v>3409</v>
      </c>
      <c r="I1627" s="214">
        <v>1452978</v>
      </c>
      <c r="J1627" s="215">
        <v>21600</v>
      </c>
      <c r="K1627" s="212">
        <v>43593</v>
      </c>
      <c r="L1627" s="211" t="s">
        <v>1911</v>
      </c>
      <c r="M1627" s="216">
        <v>4615445946</v>
      </c>
      <c r="N1627" s="212"/>
      <c r="O1627" s="217"/>
      <c r="P1627" s="219"/>
      <c r="Q1627" s="34">
        <f>SUMIF(Allocation[Delivery ID],Allocation[[#This Row],[Delivery ID]],Allocation[Quantity Processed])</f>
        <v>30010</v>
      </c>
      <c r="R1627" s="61">
        <f>Allocation[[#This Row],[Total volume used]]/VLOOKUP(Allocation[[#This Row],[Delivery ID]],Delivery[[Delivery ID]:[Quantity delivered]],3,FALSE)</f>
        <v>1</v>
      </c>
      <c r="S1627" s="34">
        <f>Allocation[[#This Row],[Quantity Processed]]/Allocation[[#This Row],[Dilution rate]]</f>
        <v>3818.8461538461538</v>
      </c>
      <c r="T1627" s="59">
        <f>SUMIF(Allocation[Delivery ID],Allocation[[#This Row],[Delivery ID]],Allocation[Quantity allocated])/SUMIF(Allocation[Delivery ID],Allocation[[#This Row],[Delivery ID]],Allocation[Volume available (kg)])</f>
        <v>0.93319400037374489</v>
      </c>
      <c r="U1627" s="61">
        <f>Allocation[[#This Row],[Total volume used]]/VLOOKUP(Allocation[[#This Row],[Delivery ID]],Delivery[[Delivery ID]:[Quantity delivered]],3,FALSE)</f>
        <v>1</v>
      </c>
      <c r="V1627" s="34" t="e">
        <f>VLOOKUP(Allocation[[#This Row],[SAP Contract number]],Shipments[[SAP Contract number]:[Contracted container weight]],2,FALSE)</f>
        <v>#N/A</v>
      </c>
      <c r="W1627" s="34" t="e">
        <f>VLOOKUP(Allocation[[#This Row],[SAP Contract number]],Shipments[[SAP Contract number]:[AAA Premium USD]],24,FALSE)</f>
        <v>#N/A</v>
      </c>
      <c r="X1627" s="34" t="e">
        <f>VLOOKUP(Allocation[[#This Row],[SAP Contract number]],Shipments[[SAP Contract number]:[RA Premium USD]],25,FALSE)</f>
        <v>#N/A</v>
      </c>
      <c r="Y1627" s="38">
        <f>Allocation[[#This Row],[Quantity Processed]]/Allocation[[#This Row],[Quantity allocated]]</f>
        <v>2.9125843355822822</v>
      </c>
      <c r="Z1627" s="34" t="b">
        <f>Allocation[[#This Row],[Quantity allocated]]&lt;=Allocation[[#This Row],[Quantity Processed]]</f>
        <v>1</v>
      </c>
    </row>
    <row r="1628" spans="1:26">
      <c r="A1628" s="247" t="s">
        <v>467</v>
      </c>
      <c r="B1628" s="210" t="s">
        <v>68</v>
      </c>
      <c r="C1628" s="254" t="s">
        <v>1429</v>
      </c>
      <c r="D1628" s="255">
        <v>230</v>
      </c>
      <c r="E1628" s="211" t="s">
        <v>1912</v>
      </c>
      <c r="F1628" s="212">
        <v>43592</v>
      </c>
      <c r="G1628" s="213">
        <v>2.9</v>
      </c>
      <c r="H1628" s="256">
        <v>76</v>
      </c>
      <c r="I1628" s="214">
        <v>1437444</v>
      </c>
      <c r="J1628" s="215">
        <v>19175</v>
      </c>
      <c r="K1628" s="212">
        <v>43598</v>
      </c>
      <c r="L1628" s="211" t="s">
        <v>1913</v>
      </c>
      <c r="M1628" s="216">
        <v>4615487774</v>
      </c>
      <c r="N1628" s="212">
        <v>43609</v>
      </c>
      <c r="O1628" s="217">
        <v>4.0225</v>
      </c>
      <c r="P1628" s="219"/>
      <c r="Q1628" s="34">
        <f>SUMIF(Allocation[Delivery ID],Allocation[[#This Row],[Delivery ID]],Allocation[Quantity Processed])</f>
        <v>430</v>
      </c>
      <c r="R1628" s="61">
        <f>Allocation[[#This Row],[Total volume used]]/VLOOKUP(Allocation[[#This Row],[Delivery ID]],Delivery[[Delivery ID]:[Quantity delivered]],3,FALSE)</f>
        <v>0.35833333333333334</v>
      </c>
      <c r="S1628" s="34">
        <f>Allocation[[#This Row],[Quantity Processed]]/Allocation[[#This Row],[Dilution rate]]</f>
        <v>79.310344827586206</v>
      </c>
      <c r="T1628" s="59">
        <f>SUMIF(Allocation[Delivery ID],Allocation[[#This Row],[Delivery ID]],Allocation[Quantity allocated])/SUMIF(Allocation[Delivery ID],Allocation[[#This Row],[Delivery ID]],Allocation[Volume available (kg)])</f>
        <v>0.9088964346349746</v>
      </c>
      <c r="U1628" s="61">
        <f>Allocation[[#This Row],[Total volume used]]/VLOOKUP(Allocation[[#This Row],[Delivery ID]],Delivery[[Delivery ID]:[Quantity delivered]],3,FALSE)</f>
        <v>0.35833333333333334</v>
      </c>
      <c r="V1628" s="34" t="e">
        <f>VLOOKUP(Allocation[[#This Row],[SAP Contract number]],Shipments[[SAP Contract number]:[Contracted container weight]],2,FALSE)</f>
        <v>#N/A</v>
      </c>
      <c r="W1628" s="34" t="e">
        <f>VLOOKUP(Allocation[[#This Row],[SAP Contract number]],Shipments[[SAP Contract number]:[AAA Premium USD]],24,FALSE)</f>
        <v>#N/A</v>
      </c>
      <c r="X1628" s="34" t="e">
        <f>VLOOKUP(Allocation[[#This Row],[SAP Contract number]],Shipments[[SAP Contract number]:[RA Premium USD]],25,FALSE)</f>
        <v>#N/A</v>
      </c>
      <c r="Y1628" s="38">
        <f>Allocation[[#This Row],[Quantity Processed]]/Allocation[[#This Row],[Quantity allocated]]</f>
        <v>3.0263157894736841</v>
      </c>
      <c r="Z1628" s="34" t="b">
        <f>Allocation[[#This Row],[Quantity allocated]]&lt;=Allocation[[#This Row],[Quantity Processed]]</f>
        <v>1</v>
      </c>
    </row>
    <row r="1629" spans="1:26">
      <c r="A1629" s="247" t="s">
        <v>467</v>
      </c>
      <c r="B1629" s="210" t="s">
        <v>68</v>
      </c>
      <c r="C1629" s="254" t="s">
        <v>1440</v>
      </c>
      <c r="D1629" s="255">
        <v>1344</v>
      </c>
      <c r="E1629" s="211" t="s">
        <v>1912</v>
      </c>
      <c r="F1629" s="212">
        <v>43592</v>
      </c>
      <c r="G1629" s="213">
        <v>2.9</v>
      </c>
      <c r="H1629" s="256">
        <v>672</v>
      </c>
      <c r="I1629" s="214">
        <v>1437444</v>
      </c>
      <c r="J1629" s="215">
        <v>19175</v>
      </c>
      <c r="K1629" s="212">
        <v>43598</v>
      </c>
      <c r="L1629" s="211" t="s">
        <v>1913</v>
      </c>
      <c r="M1629" s="216">
        <v>4615487774</v>
      </c>
      <c r="N1629" s="212">
        <v>43609</v>
      </c>
      <c r="O1629" s="217">
        <v>4.0225</v>
      </c>
      <c r="P1629" s="219"/>
      <c r="Q1629" s="34">
        <f>SUMIF(Allocation[Delivery ID],Allocation[[#This Row],[Delivery ID]],Allocation[Quantity Processed])</f>
        <v>2522</v>
      </c>
      <c r="R1629" s="61">
        <f>Allocation[[#This Row],[Total volume used]]/VLOOKUP(Allocation[[#This Row],[Delivery ID]],Delivery[[Delivery ID]:[Quantity delivered]],3,FALSE)</f>
        <v>0.33537234042553193</v>
      </c>
      <c r="S1629" s="34">
        <f>Allocation[[#This Row],[Quantity Processed]]/Allocation[[#This Row],[Dilution rate]]</f>
        <v>463.44827586206895</v>
      </c>
      <c r="T1629" s="59">
        <f>SUMIF(Allocation[Delivery ID],Allocation[[#This Row],[Delivery ID]],Allocation[Quantity allocated])/SUMIF(Allocation[Delivery ID],Allocation[[#This Row],[Delivery ID]],Allocation[Volume available (kg)])</f>
        <v>1.3758486962058289</v>
      </c>
      <c r="U1629" s="61">
        <f>Allocation[[#This Row],[Total volume used]]/VLOOKUP(Allocation[[#This Row],[Delivery ID]],Delivery[[Delivery ID]:[Quantity delivered]],3,FALSE)</f>
        <v>0.33537234042553193</v>
      </c>
      <c r="V1629" s="34" t="e">
        <f>VLOOKUP(Allocation[[#This Row],[SAP Contract number]],Shipments[[SAP Contract number]:[Contracted container weight]],2,FALSE)</f>
        <v>#N/A</v>
      </c>
      <c r="W1629" s="34" t="e">
        <f>VLOOKUP(Allocation[[#This Row],[SAP Contract number]],Shipments[[SAP Contract number]:[AAA Premium USD]],24,FALSE)</f>
        <v>#N/A</v>
      </c>
      <c r="X1629" s="34" t="e">
        <f>VLOOKUP(Allocation[[#This Row],[SAP Contract number]],Shipments[[SAP Contract number]:[RA Premium USD]],25,FALSE)</f>
        <v>#N/A</v>
      </c>
      <c r="Y1629" s="38">
        <f>Allocation[[#This Row],[Quantity Processed]]/Allocation[[#This Row],[Quantity allocated]]</f>
        <v>2</v>
      </c>
      <c r="Z1629" s="34" t="b">
        <f>Allocation[[#This Row],[Quantity allocated]]&lt;=Allocation[[#This Row],[Quantity Processed]]</f>
        <v>1</v>
      </c>
    </row>
    <row r="1630" spans="1:26">
      <c r="A1630" s="247" t="s">
        <v>467</v>
      </c>
      <c r="B1630" s="210" t="s">
        <v>68</v>
      </c>
      <c r="C1630" s="254" t="s">
        <v>1661</v>
      </c>
      <c r="D1630" s="255">
        <v>2403</v>
      </c>
      <c r="E1630" s="211" t="s">
        <v>1912</v>
      </c>
      <c r="F1630" s="212">
        <v>43592</v>
      </c>
      <c r="G1630" s="213">
        <v>2.9</v>
      </c>
      <c r="H1630" s="256">
        <v>865</v>
      </c>
      <c r="I1630" s="214">
        <v>1437444</v>
      </c>
      <c r="J1630" s="215">
        <v>19175</v>
      </c>
      <c r="K1630" s="212">
        <v>43598</v>
      </c>
      <c r="L1630" s="211" t="s">
        <v>1913</v>
      </c>
      <c r="M1630" s="216">
        <v>4615487774</v>
      </c>
      <c r="N1630" s="212">
        <v>43609</v>
      </c>
      <c r="O1630" s="217">
        <v>4.0225</v>
      </c>
      <c r="P1630" s="219"/>
      <c r="Q1630" s="34">
        <f>SUMIF(Allocation[Delivery ID],Allocation[[#This Row],[Delivery ID]],Allocation[Quantity Processed])</f>
        <v>4509</v>
      </c>
      <c r="R1630" s="61">
        <f>Allocation[[#This Row],[Total volume used]]/VLOOKUP(Allocation[[#This Row],[Delivery ID]],Delivery[[Delivery ID]:[Quantity delivered]],3,FALSE)</f>
        <v>0.46518105849582175</v>
      </c>
      <c r="S1630" s="34">
        <f>Allocation[[#This Row],[Quantity Processed]]/Allocation[[#This Row],[Dilution rate]]</f>
        <v>828.62068965517244</v>
      </c>
      <c r="T1630" s="59">
        <f>SUMIF(Allocation[Delivery ID],Allocation[[#This Row],[Delivery ID]],Allocation[Quantity allocated])/SUMIF(Allocation[Delivery ID],Allocation[[#This Row],[Delivery ID]],Allocation[Volume available (kg)])</f>
        <v>0.99046717171717158</v>
      </c>
      <c r="U1630" s="61">
        <f>Allocation[[#This Row],[Total volume used]]/VLOOKUP(Allocation[[#This Row],[Delivery ID]],Delivery[[Delivery ID]:[Quantity delivered]],3,FALSE)</f>
        <v>0.46518105849582175</v>
      </c>
      <c r="V1630" s="34" t="e">
        <f>VLOOKUP(Allocation[[#This Row],[SAP Contract number]],Shipments[[SAP Contract number]:[Contracted container weight]],2,FALSE)</f>
        <v>#N/A</v>
      </c>
      <c r="W1630" s="34" t="e">
        <f>VLOOKUP(Allocation[[#This Row],[SAP Contract number]],Shipments[[SAP Contract number]:[AAA Premium USD]],24,FALSE)</f>
        <v>#N/A</v>
      </c>
      <c r="X1630" s="34" t="e">
        <f>VLOOKUP(Allocation[[#This Row],[SAP Contract number]],Shipments[[SAP Contract number]:[RA Premium USD]],25,FALSE)</f>
        <v>#N/A</v>
      </c>
      <c r="Y1630" s="38">
        <f>Allocation[[#This Row],[Quantity Processed]]/Allocation[[#This Row],[Quantity allocated]]</f>
        <v>2.778034682080925</v>
      </c>
      <c r="Z1630" s="34" t="b">
        <f>Allocation[[#This Row],[Quantity allocated]]&lt;=Allocation[[#This Row],[Quantity Processed]]</f>
        <v>1</v>
      </c>
    </row>
    <row r="1631" spans="1:26">
      <c r="A1631" s="247" t="s">
        <v>467</v>
      </c>
      <c r="B1631" s="210" t="s">
        <v>68</v>
      </c>
      <c r="C1631" s="254" t="s">
        <v>1663</v>
      </c>
      <c r="D1631" s="255">
        <v>4792</v>
      </c>
      <c r="E1631" s="211" t="s">
        <v>1912</v>
      </c>
      <c r="F1631" s="212">
        <v>43592</v>
      </c>
      <c r="G1631" s="213">
        <v>2.9</v>
      </c>
      <c r="H1631" s="256">
        <v>1725</v>
      </c>
      <c r="I1631" s="214">
        <v>1437444</v>
      </c>
      <c r="J1631" s="215">
        <v>19175</v>
      </c>
      <c r="K1631" s="212">
        <v>43598</v>
      </c>
      <c r="L1631" s="211" t="s">
        <v>1913</v>
      </c>
      <c r="M1631" s="216">
        <v>4615487774</v>
      </c>
      <c r="N1631" s="212">
        <v>43609</v>
      </c>
      <c r="O1631" s="217">
        <v>4.0225</v>
      </c>
      <c r="P1631" s="219"/>
      <c r="Q1631" s="34">
        <f>SUMIF(Allocation[Delivery ID],Allocation[[#This Row],[Delivery ID]],Allocation[Quantity Processed])</f>
        <v>8989</v>
      </c>
      <c r="R1631" s="61">
        <f>Allocation[[#This Row],[Total volume used]]/VLOOKUP(Allocation[[#This Row],[Delivery ID]],Delivery[[Delivery ID]:[Quantity delivered]],3,FALSE)</f>
        <v>0.46510063641537747</v>
      </c>
      <c r="S1631" s="34">
        <f>Allocation[[#This Row],[Quantity Processed]]/Allocation[[#This Row],[Dilution rate]]</f>
        <v>1652.4137931034484</v>
      </c>
      <c r="T1631" s="59">
        <f>SUMIF(Allocation[Delivery ID],Allocation[[#This Row],[Delivery ID]],Allocation[Quantity allocated])/SUMIF(Allocation[Delivery ID],Allocation[[#This Row],[Delivery ID]],Allocation[Volume available (kg)])</f>
        <v>0.99061894805221162</v>
      </c>
      <c r="U1631" s="61">
        <f>Allocation[[#This Row],[Total volume used]]/VLOOKUP(Allocation[[#This Row],[Delivery ID]],Delivery[[Delivery ID]:[Quantity delivered]],3,FALSE)</f>
        <v>0.46510063641537747</v>
      </c>
      <c r="V1631" s="34" t="e">
        <f>VLOOKUP(Allocation[[#This Row],[SAP Contract number]],Shipments[[SAP Contract number]:[Contracted container weight]],2,FALSE)</f>
        <v>#N/A</v>
      </c>
      <c r="W1631" s="34" t="e">
        <f>VLOOKUP(Allocation[[#This Row],[SAP Contract number]],Shipments[[SAP Contract number]:[AAA Premium USD]],24,FALSE)</f>
        <v>#N/A</v>
      </c>
      <c r="X1631" s="34" t="e">
        <f>VLOOKUP(Allocation[[#This Row],[SAP Contract number]],Shipments[[SAP Contract number]:[RA Premium USD]],25,FALSE)</f>
        <v>#N/A</v>
      </c>
      <c r="Y1631" s="38">
        <f>Allocation[[#This Row],[Quantity Processed]]/Allocation[[#This Row],[Quantity allocated]]</f>
        <v>2.7779710144927536</v>
      </c>
      <c r="Z1631" s="34" t="b">
        <f>Allocation[[#This Row],[Quantity allocated]]&lt;=Allocation[[#This Row],[Quantity Processed]]</f>
        <v>1</v>
      </c>
    </row>
    <row r="1632" spans="1:26">
      <c r="A1632" s="247" t="s">
        <v>467</v>
      </c>
      <c r="B1632" s="210" t="s">
        <v>68</v>
      </c>
      <c r="C1632" s="254" t="s">
        <v>1664</v>
      </c>
      <c r="D1632" s="255">
        <v>7283</v>
      </c>
      <c r="E1632" s="211" t="s">
        <v>1912</v>
      </c>
      <c r="F1632" s="212">
        <v>43592</v>
      </c>
      <c r="G1632" s="213">
        <v>2.9</v>
      </c>
      <c r="H1632" s="256">
        <v>2622</v>
      </c>
      <c r="I1632" s="214">
        <v>1437444</v>
      </c>
      <c r="J1632" s="215">
        <v>19175</v>
      </c>
      <c r="K1632" s="212">
        <v>43598</v>
      </c>
      <c r="L1632" s="211" t="s">
        <v>1913</v>
      </c>
      <c r="M1632" s="216">
        <v>4615487774</v>
      </c>
      <c r="N1632" s="212">
        <v>43609</v>
      </c>
      <c r="O1632" s="217">
        <v>4.0225</v>
      </c>
      <c r="P1632" s="219"/>
      <c r="Q1632" s="34">
        <f>SUMIF(Allocation[Delivery ID],Allocation[[#This Row],[Delivery ID]],Allocation[Quantity Processed])</f>
        <v>13664</v>
      </c>
      <c r="R1632" s="61">
        <f>Allocation[[#This Row],[Total volume used]]/VLOOKUP(Allocation[[#This Row],[Delivery ID]],Delivery[[Delivery ID]:[Quantity delivered]],3,FALSE)</f>
        <v>0.46523663602315285</v>
      </c>
      <c r="S1632" s="34">
        <f>Allocation[[#This Row],[Quantity Processed]]/Allocation[[#This Row],[Dilution rate]]</f>
        <v>2511.3793103448274</v>
      </c>
      <c r="T1632" s="59">
        <f>SUMIF(Allocation[Delivery ID],Allocation[[#This Row],[Delivery ID]],Allocation[Quantity allocated])/SUMIF(Allocation[Delivery ID],Allocation[[#This Row],[Delivery ID]],Allocation[Volume available (kg)])</f>
        <v>0.99061342336014024</v>
      </c>
      <c r="U1632" s="61">
        <f>Allocation[[#This Row],[Total volume used]]/VLOOKUP(Allocation[[#This Row],[Delivery ID]],Delivery[[Delivery ID]:[Quantity delivered]],3,FALSE)</f>
        <v>0.46523663602315285</v>
      </c>
      <c r="V1632" s="34" t="e">
        <f>VLOOKUP(Allocation[[#This Row],[SAP Contract number]],Shipments[[SAP Contract number]:[Contracted container weight]],2,FALSE)</f>
        <v>#N/A</v>
      </c>
      <c r="W1632" s="34" t="e">
        <f>VLOOKUP(Allocation[[#This Row],[SAP Contract number]],Shipments[[SAP Contract number]:[AAA Premium USD]],24,FALSE)</f>
        <v>#N/A</v>
      </c>
      <c r="X1632" s="34" t="e">
        <f>VLOOKUP(Allocation[[#This Row],[SAP Contract number]],Shipments[[SAP Contract number]:[RA Premium USD]],25,FALSE)</f>
        <v>#N/A</v>
      </c>
      <c r="Y1632" s="38">
        <f>Allocation[[#This Row],[Quantity Processed]]/Allocation[[#This Row],[Quantity allocated]]</f>
        <v>2.7776506483600305</v>
      </c>
      <c r="Z1632" s="34" t="b">
        <f>Allocation[[#This Row],[Quantity allocated]]&lt;=Allocation[[#This Row],[Quantity Processed]]</f>
        <v>1</v>
      </c>
    </row>
    <row r="1633" spans="1:26">
      <c r="A1633" s="247" t="s">
        <v>467</v>
      </c>
      <c r="B1633" s="210" t="s">
        <v>68</v>
      </c>
      <c r="C1633" s="254" t="s">
        <v>1674</v>
      </c>
      <c r="D1633" s="255">
        <v>2643</v>
      </c>
      <c r="E1633" s="211" t="s">
        <v>1912</v>
      </c>
      <c r="F1633" s="212">
        <v>43592</v>
      </c>
      <c r="G1633" s="213">
        <v>2.9</v>
      </c>
      <c r="H1633" s="256">
        <v>1057</v>
      </c>
      <c r="I1633" s="214">
        <v>1437444</v>
      </c>
      <c r="J1633" s="215">
        <v>19175</v>
      </c>
      <c r="K1633" s="212">
        <v>43598</v>
      </c>
      <c r="L1633" s="211" t="s">
        <v>1913</v>
      </c>
      <c r="M1633" s="216">
        <v>4615487774</v>
      </c>
      <c r="N1633" s="212">
        <v>43609</v>
      </c>
      <c r="O1633" s="217">
        <v>4.0225</v>
      </c>
      <c r="P1633" s="219"/>
      <c r="Q1633" s="34">
        <f>SUMIF(Allocation[Delivery ID],Allocation[[#This Row],[Delivery ID]],Allocation[Quantity Processed])</f>
        <v>4958</v>
      </c>
      <c r="R1633" s="61">
        <f>Allocation[[#This Row],[Total volume used]]/VLOOKUP(Allocation[[#This Row],[Delivery ID]],Delivery[[Delivery ID]:[Quantity delivered]],3,FALSE)</f>
        <v>0.29635385534967124</v>
      </c>
      <c r="S1633" s="34">
        <f>Allocation[[#This Row],[Quantity Processed]]/Allocation[[#This Row],[Dilution rate]]</f>
        <v>911.37931034482756</v>
      </c>
      <c r="T1633" s="59">
        <f>SUMIF(Allocation[Delivery ID],Allocation[[#This Row],[Delivery ID]],Allocation[Quantity allocated])/SUMIF(Allocation[Delivery ID],Allocation[[#This Row],[Delivery ID]],Allocation[Volume available (kg)])</f>
        <v>1.1005881357055052</v>
      </c>
      <c r="U1633" s="61">
        <f>Allocation[[#This Row],[Total volume used]]/VLOOKUP(Allocation[[#This Row],[Delivery ID]],Delivery[[Delivery ID]:[Quantity delivered]],3,FALSE)</f>
        <v>0.29635385534967124</v>
      </c>
      <c r="V1633" s="34" t="e">
        <f>VLOOKUP(Allocation[[#This Row],[SAP Contract number]],Shipments[[SAP Contract number]:[Contracted container weight]],2,FALSE)</f>
        <v>#N/A</v>
      </c>
      <c r="W1633" s="34" t="e">
        <f>VLOOKUP(Allocation[[#This Row],[SAP Contract number]],Shipments[[SAP Contract number]:[AAA Premium USD]],24,FALSE)</f>
        <v>#N/A</v>
      </c>
      <c r="X1633" s="34" t="e">
        <f>VLOOKUP(Allocation[[#This Row],[SAP Contract number]],Shipments[[SAP Contract number]:[RA Premium USD]],25,FALSE)</f>
        <v>#N/A</v>
      </c>
      <c r="Y1633" s="38">
        <f>Allocation[[#This Row],[Quantity Processed]]/Allocation[[#This Row],[Quantity allocated]]</f>
        <v>2.5004730368968779</v>
      </c>
      <c r="Z1633" s="34" t="b">
        <f>Allocation[[#This Row],[Quantity allocated]]&lt;=Allocation[[#This Row],[Quantity Processed]]</f>
        <v>1</v>
      </c>
    </row>
    <row r="1634" spans="1:26">
      <c r="A1634" s="247" t="s">
        <v>467</v>
      </c>
      <c r="B1634" s="210" t="s">
        <v>68</v>
      </c>
      <c r="C1634" s="254" t="s">
        <v>1719</v>
      </c>
      <c r="D1634" s="255">
        <v>2009</v>
      </c>
      <c r="E1634" s="211" t="s">
        <v>1912</v>
      </c>
      <c r="F1634" s="212">
        <v>43592</v>
      </c>
      <c r="G1634" s="213">
        <v>2.9</v>
      </c>
      <c r="H1634" s="256">
        <v>663</v>
      </c>
      <c r="I1634" s="214">
        <v>1437444</v>
      </c>
      <c r="J1634" s="215">
        <v>19175</v>
      </c>
      <c r="K1634" s="212">
        <v>43598</v>
      </c>
      <c r="L1634" s="211" t="s">
        <v>1913</v>
      </c>
      <c r="M1634" s="216">
        <v>4615487774</v>
      </c>
      <c r="N1634" s="212">
        <v>43609</v>
      </c>
      <c r="O1634" s="217">
        <v>4.0225</v>
      </c>
      <c r="P1634" s="219"/>
      <c r="Q1634" s="34">
        <f>SUMIF(Allocation[Delivery ID],Allocation[[#This Row],[Delivery ID]],Allocation[Quantity Processed])</f>
        <v>3770</v>
      </c>
      <c r="R1634" s="61">
        <f>Allocation[[#This Row],[Total volume used]]/VLOOKUP(Allocation[[#This Row],[Delivery ID]],Delivery[[Delivery ID]:[Quantity delivered]],3,FALSE)</f>
        <v>0.35938989513822689</v>
      </c>
      <c r="S1634" s="34">
        <f>Allocation[[#This Row],[Quantity Processed]]/Allocation[[#This Row],[Dilution rate]]</f>
        <v>692.75862068965523</v>
      </c>
      <c r="T1634" s="59">
        <f>SUMIF(Allocation[Delivery ID],Allocation[[#This Row],[Delivery ID]],Allocation[Quantity allocated])/SUMIF(Allocation[Delivery ID],Allocation[[#This Row],[Delivery ID]],Allocation[Volume available (kg)])</f>
        <v>0.90798524728226671</v>
      </c>
      <c r="U1634" s="61">
        <f>Allocation[[#This Row],[Total volume used]]/VLOOKUP(Allocation[[#This Row],[Delivery ID]],Delivery[[Delivery ID]:[Quantity delivered]],3,FALSE)</f>
        <v>0.35938989513822689</v>
      </c>
      <c r="V1634" s="34" t="e">
        <f>VLOOKUP(Allocation[[#This Row],[SAP Contract number]],Shipments[[SAP Contract number]:[Contracted container weight]],2,FALSE)</f>
        <v>#N/A</v>
      </c>
      <c r="W1634" s="34" t="e">
        <f>VLOOKUP(Allocation[[#This Row],[SAP Contract number]],Shipments[[SAP Contract number]:[AAA Premium USD]],24,FALSE)</f>
        <v>#N/A</v>
      </c>
      <c r="X1634" s="34" t="e">
        <f>VLOOKUP(Allocation[[#This Row],[SAP Contract number]],Shipments[[SAP Contract number]:[RA Premium USD]],25,FALSE)</f>
        <v>#N/A</v>
      </c>
      <c r="Y1634" s="38">
        <f>Allocation[[#This Row],[Quantity Processed]]/Allocation[[#This Row],[Quantity allocated]]</f>
        <v>3.0301659125188536</v>
      </c>
      <c r="Z1634" s="34" t="b">
        <f>Allocation[[#This Row],[Quantity allocated]]&lt;=Allocation[[#This Row],[Quantity Processed]]</f>
        <v>1</v>
      </c>
    </row>
    <row r="1635" spans="1:26">
      <c r="A1635" s="247" t="s">
        <v>467</v>
      </c>
      <c r="B1635" s="210" t="s">
        <v>68</v>
      </c>
      <c r="C1635" s="254" t="s">
        <v>1735</v>
      </c>
      <c r="D1635" s="255">
        <v>3177</v>
      </c>
      <c r="E1635" s="211" t="s">
        <v>1912</v>
      </c>
      <c r="F1635" s="212">
        <v>43592</v>
      </c>
      <c r="G1635" s="213">
        <v>2.9</v>
      </c>
      <c r="H1635" s="256">
        <v>953</v>
      </c>
      <c r="I1635" s="214">
        <v>1437444</v>
      </c>
      <c r="J1635" s="215">
        <v>19175</v>
      </c>
      <c r="K1635" s="212">
        <v>43598</v>
      </c>
      <c r="L1635" s="211" t="s">
        <v>1913</v>
      </c>
      <c r="M1635" s="216">
        <v>4615487774</v>
      </c>
      <c r="N1635" s="212">
        <v>43609</v>
      </c>
      <c r="O1635" s="217">
        <v>4.0225</v>
      </c>
      <c r="P1635" s="219"/>
      <c r="Q1635" s="34">
        <f>SUMIF(Allocation[Delivery ID],Allocation[[#This Row],[Delivery ID]],Allocation[Quantity Processed])</f>
        <v>5960</v>
      </c>
      <c r="R1635" s="61">
        <f>Allocation[[#This Row],[Total volume used]]/VLOOKUP(Allocation[[#This Row],[Delivery ID]],Delivery[[Delivery ID]:[Quantity delivered]],3,FALSE)</f>
        <v>0.39496355202120609</v>
      </c>
      <c r="S1635" s="34">
        <f>Allocation[[#This Row],[Quantity Processed]]/Allocation[[#This Row],[Dilution rate]]</f>
        <v>1095.5172413793105</v>
      </c>
      <c r="T1635" s="59">
        <f>SUMIF(Allocation[Delivery ID],Allocation[[#This Row],[Delivery ID]],Allocation[Quantity allocated])/SUMIF(Allocation[Delivery ID],Allocation[[#This Row],[Delivery ID]],Allocation[Volume available (kg)])</f>
        <v>0.82552216962935288</v>
      </c>
      <c r="U1635" s="61">
        <f>Allocation[[#This Row],[Total volume used]]/VLOOKUP(Allocation[[#This Row],[Delivery ID]],Delivery[[Delivery ID]:[Quantity delivered]],3,FALSE)</f>
        <v>0.39496355202120609</v>
      </c>
      <c r="V1635" s="34" t="e">
        <f>VLOOKUP(Allocation[[#This Row],[SAP Contract number]],Shipments[[SAP Contract number]:[Contracted container weight]],2,FALSE)</f>
        <v>#N/A</v>
      </c>
      <c r="W1635" s="34" t="e">
        <f>VLOOKUP(Allocation[[#This Row],[SAP Contract number]],Shipments[[SAP Contract number]:[AAA Premium USD]],24,FALSE)</f>
        <v>#N/A</v>
      </c>
      <c r="X1635" s="34" t="e">
        <f>VLOOKUP(Allocation[[#This Row],[SAP Contract number]],Shipments[[SAP Contract number]:[RA Premium USD]],25,FALSE)</f>
        <v>#N/A</v>
      </c>
      <c r="Y1635" s="38">
        <f>Allocation[[#This Row],[Quantity Processed]]/Allocation[[#This Row],[Quantity allocated]]</f>
        <v>3.3336831059811121</v>
      </c>
      <c r="Z1635" s="34" t="b">
        <f>Allocation[[#This Row],[Quantity allocated]]&lt;=Allocation[[#This Row],[Quantity Processed]]</f>
        <v>1</v>
      </c>
    </row>
    <row r="1636" spans="1:26">
      <c r="A1636" s="247" t="s">
        <v>467</v>
      </c>
      <c r="B1636" s="210" t="s">
        <v>68</v>
      </c>
      <c r="C1636" s="254" t="s">
        <v>1799</v>
      </c>
      <c r="D1636" s="255">
        <v>8373</v>
      </c>
      <c r="E1636" s="211" t="s">
        <v>1912</v>
      </c>
      <c r="F1636" s="212">
        <v>43592</v>
      </c>
      <c r="G1636" s="213">
        <v>2.9</v>
      </c>
      <c r="H1636" s="256">
        <v>2763</v>
      </c>
      <c r="I1636" s="214">
        <v>1437444</v>
      </c>
      <c r="J1636" s="215">
        <v>19175</v>
      </c>
      <c r="K1636" s="212">
        <v>43598</v>
      </c>
      <c r="L1636" s="211" t="s">
        <v>1913</v>
      </c>
      <c r="M1636" s="216">
        <v>4615487774</v>
      </c>
      <c r="N1636" s="212">
        <v>43609</v>
      </c>
      <c r="O1636" s="217">
        <v>4.0225</v>
      </c>
      <c r="P1636" s="219"/>
      <c r="Q1636" s="34">
        <f>SUMIF(Allocation[Delivery ID],Allocation[[#This Row],[Delivery ID]],Allocation[Quantity Processed])</f>
        <v>15709</v>
      </c>
      <c r="R1636" s="61">
        <f>Allocation[[#This Row],[Total volume used]]/VLOOKUP(Allocation[[#This Row],[Delivery ID]],Delivery[[Delivery ID]:[Quantity delivered]],3,FALSE)</f>
        <v>0.50739664082687341</v>
      </c>
      <c r="S1636" s="34">
        <f>Allocation[[#This Row],[Quantity Processed]]/Allocation[[#This Row],[Dilution rate]]</f>
        <v>2887.2413793103451</v>
      </c>
      <c r="T1636" s="59">
        <f>SUMIF(Allocation[Delivery ID],Allocation[[#This Row],[Delivery ID]],Allocation[Quantity allocated])/SUMIF(Allocation[Delivery ID],Allocation[[#This Row],[Delivery ID]],Allocation[Volume available (kg)])</f>
        <v>0.90807495551084694</v>
      </c>
      <c r="U1636" s="61">
        <f>Allocation[[#This Row],[Total volume used]]/VLOOKUP(Allocation[[#This Row],[Delivery ID]],Delivery[[Delivery ID]:[Quantity delivered]],3,FALSE)</f>
        <v>0.50739664082687341</v>
      </c>
      <c r="V1636" s="34" t="e">
        <f>VLOOKUP(Allocation[[#This Row],[SAP Contract number]],Shipments[[SAP Contract number]:[Contracted container weight]],2,FALSE)</f>
        <v>#N/A</v>
      </c>
      <c r="W1636" s="34" t="e">
        <f>VLOOKUP(Allocation[[#This Row],[SAP Contract number]],Shipments[[SAP Contract number]:[AAA Premium USD]],24,FALSE)</f>
        <v>#N/A</v>
      </c>
      <c r="X1636" s="34" t="e">
        <f>VLOOKUP(Allocation[[#This Row],[SAP Contract number]],Shipments[[SAP Contract number]:[RA Premium USD]],25,FALSE)</f>
        <v>#N/A</v>
      </c>
      <c r="Y1636" s="38">
        <f>Allocation[[#This Row],[Quantity Processed]]/Allocation[[#This Row],[Quantity allocated]]</f>
        <v>3.0304017372421281</v>
      </c>
      <c r="Z1636" s="34" t="b">
        <f>Allocation[[#This Row],[Quantity allocated]]&lt;=Allocation[[#This Row],[Quantity Processed]]</f>
        <v>1</v>
      </c>
    </row>
    <row r="1637" spans="1:26">
      <c r="A1637" s="247" t="s">
        <v>467</v>
      </c>
      <c r="B1637" s="210" t="s">
        <v>68</v>
      </c>
      <c r="C1637" s="254" t="s">
        <v>1801</v>
      </c>
      <c r="D1637" s="255">
        <v>5927</v>
      </c>
      <c r="E1637" s="211" t="s">
        <v>1912</v>
      </c>
      <c r="F1637" s="212">
        <v>43592</v>
      </c>
      <c r="G1637" s="213">
        <v>2.9</v>
      </c>
      <c r="H1637" s="256">
        <v>1956</v>
      </c>
      <c r="I1637" s="214">
        <v>1437444</v>
      </c>
      <c r="J1637" s="215">
        <v>19175</v>
      </c>
      <c r="K1637" s="212">
        <v>43598</v>
      </c>
      <c r="L1637" s="211" t="s">
        <v>1913</v>
      </c>
      <c r="M1637" s="216">
        <v>4615487774</v>
      </c>
      <c r="N1637" s="212">
        <v>43609</v>
      </c>
      <c r="O1637" s="217">
        <v>4.0225</v>
      </c>
      <c r="P1637" s="219"/>
      <c r="Q1637" s="34">
        <f>SUMIF(Allocation[Delivery ID],Allocation[[#This Row],[Delivery ID]],Allocation[Quantity Processed])</f>
        <v>11121</v>
      </c>
      <c r="R1637" s="61">
        <f>Allocation[[#This Row],[Total volume used]]/VLOOKUP(Allocation[[#This Row],[Delivery ID]],Delivery[[Delivery ID]:[Quantity delivered]],3,FALSE)</f>
        <v>0.35920542635658914</v>
      </c>
      <c r="S1637" s="34">
        <f>Allocation[[#This Row],[Quantity Processed]]/Allocation[[#This Row],[Dilution rate]]</f>
        <v>2043.7931034482758</v>
      </c>
      <c r="T1637" s="59">
        <f>SUMIF(Allocation[Delivery ID],Allocation[[#This Row],[Delivery ID]],Allocation[Quantity allocated])/SUMIF(Allocation[Delivery ID],Allocation[[#This Row],[Delivery ID]],Allocation[Volume available (kg)])</f>
        <v>0.90808196161823007</v>
      </c>
      <c r="U1637" s="61">
        <f>Allocation[[#This Row],[Total volume used]]/VLOOKUP(Allocation[[#This Row],[Delivery ID]],Delivery[[Delivery ID]:[Quantity delivered]],3,FALSE)</f>
        <v>0.35920542635658914</v>
      </c>
      <c r="V1637" s="34" t="e">
        <f>VLOOKUP(Allocation[[#This Row],[SAP Contract number]],Shipments[[SAP Contract number]:[Contracted container weight]],2,FALSE)</f>
        <v>#N/A</v>
      </c>
      <c r="W1637" s="34" t="e">
        <f>VLOOKUP(Allocation[[#This Row],[SAP Contract number]],Shipments[[SAP Contract number]:[AAA Premium USD]],24,FALSE)</f>
        <v>#N/A</v>
      </c>
      <c r="X1637" s="34" t="e">
        <f>VLOOKUP(Allocation[[#This Row],[SAP Contract number]],Shipments[[SAP Contract number]:[RA Premium USD]],25,FALSE)</f>
        <v>#N/A</v>
      </c>
      <c r="Y1637" s="38">
        <f>Allocation[[#This Row],[Quantity Processed]]/Allocation[[#This Row],[Quantity allocated]]</f>
        <v>3.030163599182004</v>
      </c>
      <c r="Z1637" s="34" t="b">
        <f>Allocation[[#This Row],[Quantity allocated]]&lt;=Allocation[[#This Row],[Quantity Processed]]</f>
        <v>1</v>
      </c>
    </row>
    <row r="1638" spans="1:26">
      <c r="A1638" s="247" t="s">
        <v>467</v>
      </c>
      <c r="B1638" s="210" t="s">
        <v>68</v>
      </c>
      <c r="C1638" s="254" t="s">
        <v>1806</v>
      </c>
      <c r="D1638" s="255">
        <v>5855</v>
      </c>
      <c r="E1638" s="211" t="s">
        <v>1912</v>
      </c>
      <c r="F1638" s="212">
        <v>43592</v>
      </c>
      <c r="G1638" s="213">
        <v>2.9</v>
      </c>
      <c r="H1638" s="256">
        <v>1932</v>
      </c>
      <c r="I1638" s="214">
        <v>1437444</v>
      </c>
      <c r="J1638" s="215">
        <v>19175</v>
      </c>
      <c r="K1638" s="212">
        <v>43598</v>
      </c>
      <c r="L1638" s="211" t="s">
        <v>1913</v>
      </c>
      <c r="M1638" s="216">
        <v>4615487774</v>
      </c>
      <c r="N1638" s="212">
        <v>43609</v>
      </c>
      <c r="O1638" s="217">
        <v>4.0225</v>
      </c>
      <c r="P1638" s="219"/>
      <c r="Q1638" s="34">
        <f>SUMIF(Allocation[Delivery ID],Allocation[[#This Row],[Delivery ID]],Allocation[Quantity Processed])</f>
        <v>10985</v>
      </c>
      <c r="R1638" s="61">
        <f>Allocation[[#This Row],[Total volume used]]/VLOOKUP(Allocation[[#This Row],[Delivery ID]],Delivery[[Delivery ID]:[Quantity delivered]],3,FALSE)</f>
        <v>0.35922171353826032</v>
      </c>
      <c r="S1638" s="34">
        <f>Allocation[[#This Row],[Quantity Processed]]/Allocation[[#This Row],[Dilution rate]]</f>
        <v>2018.9655172413793</v>
      </c>
      <c r="T1638" s="59">
        <f>SUMIF(Allocation[Delivery ID],Allocation[[#This Row],[Delivery ID]],Allocation[Quantity allocated])/SUMIF(Allocation[Delivery ID],Allocation[[#This Row],[Delivery ID]],Allocation[Volume available (kg)])</f>
        <v>0.90805647840531556</v>
      </c>
      <c r="U1638" s="61">
        <f>Allocation[[#This Row],[Total volume used]]/VLOOKUP(Allocation[[#This Row],[Delivery ID]],Delivery[[Delivery ID]:[Quantity delivered]],3,FALSE)</f>
        <v>0.35922171353826032</v>
      </c>
      <c r="V1638" s="34" t="e">
        <f>VLOOKUP(Allocation[[#This Row],[SAP Contract number]],Shipments[[SAP Contract number]:[Contracted container weight]],2,FALSE)</f>
        <v>#N/A</v>
      </c>
      <c r="W1638" s="34" t="e">
        <f>VLOOKUP(Allocation[[#This Row],[SAP Contract number]],Shipments[[SAP Contract number]:[AAA Premium USD]],24,FALSE)</f>
        <v>#N/A</v>
      </c>
      <c r="X1638" s="34" t="e">
        <f>VLOOKUP(Allocation[[#This Row],[SAP Contract number]],Shipments[[SAP Contract number]:[RA Premium USD]],25,FALSE)</f>
        <v>#N/A</v>
      </c>
      <c r="Y1638" s="38">
        <f>Allocation[[#This Row],[Quantity Processed]]/Allocation[[#This Row],[Quantity allocated]]</f>
        <v>3.0305383022774328</v>
      </c>
      <c r="Z1638" s="34" t="b">
        <f>Allocation[[#This Row],[Quantity allocated]]&lt;=Allocation[[#This Row],[Quantity Processed]]</f>
        <v>1</v>
      </c>
    </row>
    <row r="1639" spans="1:26">
      <c r="A1639" s="247" t="s">
        <v>467</v>
      </c>
      <c r="B1639" s="210" t="s">
        <v>68</v>
      </c>
      <c r="C1639" s="254" t="s">
        <v>1809</v>
      </c>
      <c r="D1639" s="255">
        <v>5864</v>
      </c>
      <c r="E1639" s="211" t="s">
        <v>1912</v>
      </c>
      <c r="F1639" s="212">
        <v>43592</v>
      </c>
      <c r="G1639" s="213">
        <v>2.9</v>
      </c>
      <c r="H1639" s="256">
        <v>1935</v>
      </c>
      <c r="I1639" s="214">
        <v>1437444</v>
      </c>
      <c r="J1639" s="215">
        <v>19175</v>
      </c>
      <c r="K1639" s="212">
        <v>43598</v>
      </c>
      <c r="L1639" s="211" t="s">
        <v>1913</v>
      </c>
      <c r="M1639" s="216">
        <v>4615487774</v>
      </c>
      <c r="N1639" s="212">
        <v>43609</v>
      </c>
      <c r="O1639" s="217">
        <v>4.0225</v>
      </c>
      <c r="P1639" s="219"/>
      <c r="Q1639" s="34">
        <f>SUMIF(Allocation[Delivery ID],Allocation[[#This Row],[Delivery ID]],Allocation[Quantity Processed])</f>
        <v>11000</v>
      </c>
      <c r="R1639" s="61">
        <f>Allocation[[#This Row],[Total volume used]]/VLOOKUP(Allocation[[#This Row],[Delivery ID]],Delivery[[Delivery ID]:[Quantity delivered]],3,FALSE)</f>
        <v>0.35912504080966373</v>
      </c>
      <c r="S1639" s="34">
        <f>Allocation[[#This Row],[Quantity Processed]]/Allocation[[#This Row],[Dilution rate]]</f>
        <v>2022.0689655172414</v>
      </c>
      <c r="T1639" s="59">
        <f>SUMIF(Allocation[Delivery ID],Allocation[[#This Row],[Delivery ID]],Allocation[Quantity allocated])/SUMIF(Allocation[Delivery ID],Allocation[[#This Row],[Delivery ID]],Allocation[Volume available (kg)])</f>
        <v>0.90807808684573732</v>
      </c>
      <c r="U1639" s="61">
        <f>Allocation[[#This Row],[Total volume used]]/VLOOKUP(Allocation[[#This Row],[Delivery ID]],Delivery[[Delivery ID]:[Quantity delivered]],3,FALSE)</f>
        <v>0.35912504080966373</v>
      </c>
      <c r="V1639" s="34" t="e">
        <f>VLOOKUP(Allocation[[#This Row],[SAP Contract number]],Shipments[[SAP Contract number]:[Contracted container weight]],2,FALSE)</f>
        <v>#N/A</v>
      </c>
      <c r="W1639" s="34" t="e">
        <f>VLOOKUP(Allocation[[#This Row],[SAP Contract number]],Shipments[[SAP Contract number]:[AAA Premium USD]],24,FALSE)</f>
        <v>#N/A</v>
      </c>
      <c r="X1639" s="34" t="e">
        <f>VLOOKUP(Allocation[[#This Row],[SAP Contract number]],Shipments[[SAP Contract number]:[RA Premium USD]],25,FALSE)</f>
        <v>#N/A</v>
      </c>
      <c r="Y1639" s="38">
        <f>Allocation[[#This Row],[Quantity Processed]]/Allocation[[#This Row],[Quantity allocated]]</f>
        <v>3.0304909560723514</v>
      </c>
      <c r="Z1639" s="34" t="b">
        <f>Allocation[[#This Row],[Quantity allocated]]&lt;=Allocation[[#This Row],[Quantity Processed]]</f>
        <v>1</v>
      </c>
    </row>
    <row r="1640" spans="1:26">
      <c r="A1640" s="247" t="s">
        <v>467</v>
      </c>
      <c r="B1640" s="210" t="s">
        <v>68</v>
      </c>
      <c r="C1640" s="254" t="s">
        <v>1815</v>
      </c>
      <c r="D1640" s="255">
        <v>5927</v>
      </c>
      <c r="E1640" s="211" t="s">
        <v>1912</v>
      </c>
      <c r="F1640" s="212">
        <v>43592</v>
      </c>
      <c r="G1640" s="213">
        <v>2.9</v>
      </c>
      <c r="H1640" s="256">
        <v>1956</v>
      </c>
      <c r="I1640" s="214">
        <v>1437444</v>
      </c>
      <c r="J1640" s="215">
        <v>19175</v>
      </c>
      <c r="K1640" s="212">
        <v>43598</v>
      </c>
      <c r="L1640" s="211" t="s">
        <v>1913</v>
      </c>
      <c r="M1640" s="216">
        <v>4615487774</v>
      </c>
      <c r="N1640" s="212">
        <v>43609</v>
      </c>
      <c r="O1640" s="217">
        <v>4.0225</v>
      </c>
      <c r="P1640" s="219"/>
      <c r="Q1640" s="34">
        <f>SUMIF(Allocation[Delivery ID],Allocation[[#This Row],[Delivery ID]],Allocation[Quantity Processed])</f>
        <v>11121</v>
      </c>
      <c r="R1640" s="61">
        <f>Allocation[[#This Row],[Total volume used]]/VLOOKUP(Allocation[[#This Row],[Delivery ID]],Delivery[[Delivery ID]:[Quantity delivered]],3,FALSE)</f>
        <v>0.35920542635658914</v>
      </c>
      <c r="S1640" s="34">
        <f>Allocation[[#This Row],[Quantity Processed]]/Allocation[[#This Row],[Dilution rate]]</f>
        <v>2043.7931034482758</v>
      </c>
      <c r="T1640" s="59">
        <f>SUMIF(Allocation[Delivery ID],Allocation[[#This Row],[Delivery ID]],Allocation[Quantity allocated])/SUMIF(Allocation[Delivery ID],Allocation[[#This Row],[Delivery ID]],Allocation[Volume available (kg)])</f>
        <v>0.90808196161823007</v>
      </c>
      <c r="U1640" s="61">
        <f>Allocation[[#This Row],[Total volume used]]/VLOOKUP(Allocation[[#This Row],[Delivery ID]],Delivery[[Delivery ID]:[Quantity delivered]],3,FALSE)</f>
        <v>0.35920542635658914</v>
      </c>
      <c r="V1640" s="34" t="e">
        <f>VLOOKUP(Allocation[[#This Row],[SAP Contract number]],Shipments[[SAP Contract number]:[Contracted container weight]],2,FALSE)</f>
        <v>#N/A</v>
      </c>
      <c r="W1640" s="34" t="e">
        <f>VLOOKUP(Allocation[[#This Row],[SAP Contract number]],Shipments[[SAP Contract number]:[AAA Premium USD]],24,FALSE)</f>
        <v>#N/A</v>
      </c>
      <c r="X1640" s="34" t="e">
        <f>VLOOKUP(Allocation[[#This Row],[SAP Contract number]],Shipments[[SAP Contract number]:[RA Premium USD]],25,FALSE)</f>
        <v>#N/A</v>
      </c>
      <c r="Y1640" s="38">
        <f>Allocation[[#This Row],[Quantity Processed]]/Allocation[[#This Row],[Quantity allocated]]</f>
        <v>3.030163599182004</v>
      </c>
      <c r="Z1640" s="34" t="b">
        <f>Allocation[[#This Row],[Quantity allocated]]&lt;=Allocation[[#This Row],[Quantity Processed]]</f>
        <v>1</v>
      </c>
    </row>
    <row r="1641" spans="1:26">
      <c r="A1641" s="247" t="s">
        <v>467</v>
      </c>
      <c r="B1641" s="210" t="s">
        <v>68</v>
      </c>
      <c r="C1641" s="254" t="s">
        <v>1345</v>
      </c>
      <c r="D1641" s="255">
        <v>2110</v>
      </c>
      <c r="E1641" s="211" t="s">
        <v>1914</v>
      </c>
      <c r="F1641" s="212">
        <v>43542</v>
      </c>
      <c r="G1641" s="213">
        <v>2.62</v>
      </c>
      <c r="H1641" s="256">
        <v>633</v>
      </c>
      <c r="I1641" s="214">
        <v>1453743</v>
      </c>
      <c r="J1641" s="215">
        <v>19175</v>
      </c>
      <c r="K1641" s="212">
        <v>43595</v>
      </c>
      <c r="L1641" s="211" t="s">
        <v>1327</v>
      </c>
      <c r="M1641" s="216">
        <v>4615506885</v>
      </c>
      <c r="N1641" s="212">
        <v>43614</v>
      </c>
      <c r="O1641" s="217">
        <v>3.9746999999999999</v>
      </c>
      <c r="P1641" s="219"/>
      <c r="Q1641" s="34">
        <f>SUMIF(Allocation[Delivery ID],Allocation[[#This Row],[Delivery ID]],Allocation[Quantity Processed])</f>
        <v>8100</v>
      </c>
      <c r="R1641" s="61">
        <f>Allocation[[#This Row],[Total volume used]]/VLOOKUP(Allocation[[#This Row],[Delivery ID]],Delivery[[Delivery ID]:[Quantity delivered]],3,FALSE)</f>
        <v>0.89601769911504425</v>
      </c>
      <c r="S1641" s="34">
        <f>Allocation[[#This Row],[Quantity Processed]]/Allocation[[#This Row],[Dilution rate]]</f>
        <v>805.3435114503817</v>
      </c>
      <c r="T1641" s="59">
        <f>SUMIF(Allocation[Delivery ID],Allocation[[#This Row],[Delivery ID]],Allocation[Quantity allocated])/SUMIF(Allocation[Delivery ID],Allocation[[#This Row],[Delivery ID]],Allocation[Volume available (kg)])</f>
        <v>0.79998733534744815</v>
      </c>
      <c r="U1641" s="61">
        <f>Allocation[[#This Row],[Total volume used]]/VLOOKUP(Allocation[[#This Row],[Delivery ID]],Delivery[[Delivery ID]:[Quantity delivered]],3,FALSE)</f>
        <v>0.89601769911504425</v>
      </c>
      <c r="V1641" s="34" t="e">
        <f>VLOOKUP(Allocation[[#This Row],[SAP Contract number]],Shipments[[SAP Contract number]:[Contracted container weight]],2,FALSE)</f>
        <v>#N/A</v>
      </c>
      <c r="W1641" s="34" t="e">
        <f>VLOOKUP(Allocation[[#This Row],[SAP Contract number]],Shipments[[SAP Contract number]:[AAA Premium USD]],24,FALSE)</f>
        <v>#N/A</v>
      </c>
      <c r="X1641" s="34" t="e">
        <f>VLOOKUP(Allocation[[#This Row],[SAP Contract number]],Shipments[[SAP Contract number]:[RA Premium USD]],25,FALSE)</f>
        <v>#N/A</v>
      </c>
      <c r="Y1641" s="38">
        <f>Allocation[[#This Row],[Quantity Processed]]/Allocation[[#This Row],[Quantity allocated]]</f>
        <v>3.3333333333333335</v>
      </c>
      <c r="Z1641" s="34" t="b">
        <f>Allocation[[#This Row],[Quantity allocated]]&lt;=Allocation[[#This Row],[Quantity Processed]]</f>
        <v>1</v>
      </c>
    </row>
    <row r="1642" spans="1:26">
      <c r="A1642" s="247" t="s">
        <v>467</v>
      </c>
      <c r="B1642" s="210" t="s">
        <v>68</v>
      </c>
      <c r="C1642" s="254" t="s">
        <v>1347</v>
      </c>
      <c r="D1642" s="255">
        <v>1809</v>
      </c>
      <c r="E1642" s="211" t="s">
        <v>1914</v>
      </c>
      <c r="F1642" s="212">
        <v>43542</v>
      </c>
      <c r="G1642" s="213">
        <v>2.62</v>
      </c>
      <c r="H1642" s="256">
        <v>597</v>
      </c>
      <c r="I1642" s="214">
        <v>1453743</v>
      </c>
      <c r="J1642" s="215">
        <v>19175</v>
      </c>
      <c r="K1642" s="212">
        <v>43595</v>
      </c>
      <c r="L1642" s="211" t="s">
        <v>1327</v>
      </c>
      <c r="M1642" s="216">
        <v>4615506885</v>
      </c>
      <c r="N1642" s="212">
        <v>43614</v>
      </c>
      <c r="O1642" s="217">
        <v>3.9746999999999999</v>
      </c>
      <c r="P1642" s="219"/>
      <c r="Q1642" s="34">
        <f>SUMIF(Allocation[Delivery ID],Allocation[[#This Row],[Delivery ID]],Allocation[Quantity Processed])</f>
        <v>6949</v>
      </c>
      <c r="R1642" s="61">
        <f>Allocation[[#This Row],[Total volume used]]/VLOOKUP(Allocation[[#This Row],[Delivery ID]],Delivery[[Delivery ID]:[Quantity delivered]],3,FALSE)</f>
        <v>0.81274853801169589</v>
      </c>
      <c r="S1642" s="34">
        <f>Allocation[[#This Row],[Quantity Processed]]/Allocation[[#This Row],[Dilution rate]]</f>
        <v>690.4580152671756</v>
      </c>
      <c r="T1642" s="59">
        <f>SUMIF(Allocation[Delivery ID],Allocation[[#This Row],[Delivery ID]],Allocation[Quantity allocated])/SUMIF(Allocation[Delivery ID],Allocation[[#This Row],[Delivery ID]],Allocation[Volume available (kg)])</f>
        <v>0.87992200140259735</v>
      </c>
      <c r="U1642" s="61">
        <f>Allocation[[#This Row],[Total volume used]]/VLOOKUP(Allocation[[#This Row],[Delivery ID]],Delivery[[Delivery ID]:[Quantity delivered]],3,FALSE)</f>
        <v>0.81274853801169589</v>
      </c>
      <c r="V1642" s="34" t="e">
        <f>VLOOKUP(Allocation[[#This Row],[SAP Contract number]],Shipments[[SAP Contract number]:[Contracted container weight]],2,FALSE)</f>
        <v>#N/A</v>
      </c>
      <c r="W1642" s="34" t="e">
        <f>VLOOKUP(Allocation[[#This Row],[SAP Contract number]],Shipments[[SAP Contract number]:[AAA Premium USD]],24,FALSE)</f>
        <v>#N/A</v>
      </c>
      <c r="X1642" s="34" t="e">
        <f>VLOOKUP(Allocation[[#This Row],[SAP Contract number]],Shipments[[SAP Contract number]:[RA Premium USD]],25,FALSE)</f>
        <v>#N/A</v>
      </c>
      <c r="Y1642" s="38">
        <f>Allocation[[#This Row],[Quantity Processed]]/Allocation[[#This Row],[Quantity allocated]]</f>
        <v>3.0301507537688441</v>
      </c>
      <c r="Z1642" s="34" t="b">
        <f>Allocation[[#This Row],[Quantity allocated]]&lt;=Allocation[[#This Row],[Quantity Processed]]</f>
        <v>1</v>
      </c>
    </row>
    <row r="1643" spans="1:26">
      <c r="A1643" s="247" t="s">
        <v>467</v>
      </c>
      <c r="B1643" s="210" t="s">
        <v>68</v>
      </c>
      <c r="C1643" s="254" t="s">
        <v>1349</v>
      </c>
      <c r="D1643" s="255">
        <v>2187</v>
      </c>
      <c r="E1643" s="211" t="s">
        <v>1914</v>
      </c>
      <c r="F1643" s="212">
        <v>43542</v>
      </c>
      <c r="G1643" s="213">
        <v>2.62</v>
      </c>
      <c r="H1643" s="256">
        <v>656</v>
      </c>
      <c r="I1643" s="214">
        <v>1453743</v>
      </c>
      <c r="J1643" s="215">
        <v>19175</v>
      </c>
      <c r="K1643" s="212">
        <v>43595</v>
      </c>
      <c r="L1643" s="211" t="s">
        <v>1327</v>
      </c>
      <c r="M1643" s="216">
        <v>4615506885</v>
      </c>
      <c r="N1643" s="212">
        <v>43614</v>
      </c>
      <c r="O1643" s="217">
        <v>3.9746999999999999</v>
      </c>
      <c r="P1643" s="219"/>
      <c r="Q1643" s="34">
        <f>SUMIF(Allocation[Delivery ID],Allocation[[#This Row],[Delivery ID]],Allocation[Quantity Processed])</f>
        <v>9307</v>
      </c>
      <c r="R1643" s="61">
        <f>Allocation[[#This Row],[Total volume used]]/VLOOKUP(Allocation[[#This Row],[Delivery ID]],Delivery[[Delivery ID]:[Quantity delivered]],3,FALSE)</f>
        <v>0.56406060606060604</v>
      </c>
      <c r="S1643" s="34">
        <f>Allocation[[#This Row],[Quantity Processed]]/Allocation[[#This Row],[Dilution rate]]</f>
        <v>834.73282442748086</v>
      </c>
      <c r="T1643" s="59">
        <f>SUMIF(Allocation[Delivery ID],Allocation[[#This Row],[Delivery ID]],Allocation[Quantity allocated])/SUMIF(Allocation[Delivery ID],Allocation[[#This Row],[Delivery ID]],Allocation[Volume available (kg)])</f>
        <v>0.80062990717625149</v>
      </c>
      <c r="U1643" s="61">
        <f>Allocation[[#This Row],[Total volume used]]/VLOOKUP(Allocation[[#This Row],[Delivery ID]],Delivery[[Delivery ID]:[Quantity delivered]],3,FALSE)</f>
        <v>0.56406060606060604</v>
      </c>
      <c r="V1643" s="34" t="e">
        <f>VLOOKUP(Allocation[[#This Row],[SAP Contract number]],Shipments[[SAP Contract number]:[Contracted container weight]],2,FALSE)</f>
        <v>#N/A</v>
      </c>
      <c r="W1643" s="34" t="e">
        <f>VLOOKUP(Allocation[[#This Row],[SAP Contract number]],Shipments[[SAP Contract number]:[AAA Premium USD]],24,FALSE)</f>
        <v>#N/A</v>
      </c>
      <c r="X1643" s="34" t="e">
        <f>VLOOKUP(Allocation[[#This Row],[SAP Contract number]],Shipments[[SAP Contract number]:[RA Premium USD]],25,FALSE)</f>
        <v>#N/A</v>
      </c>
      <c r="Y1643" s="38">
        <f>Allocation[[#This Row],[Quantity Processed]]/Allocation[[#This Row],[Quantity allocated]]</f>
        <v>3.3338414634146343</v>
      </c>
      <c r="Z1643" s="34" t="b">
        <f>Allocation[[#This Row],[Quantity allocated]]&lt;=Allocation[[#This Row],[Quantity Processed]]</f>
        <v>1</v>
      </c>
    </row>
    <row r="1644" spans="1:26">
      <c r="A1644" s="247" t="s">
        <v>467</v>
      </c>
      <c r="B1644" s="210" t="s">
        <v>68</v>
      </c>
      <c r="C1644" s="254" t="s">
        <v>1351</v>
      </c>
      <c r="D1644" s="255">
        <v>1597</v>
      </c>
      <c r="E1644" s="211" t="s">
        <v>1914</v>
      </c>
      <c r="F1644" s="212">
        <v>43542</v>
      </c>
      <c r="G1644" s="213">
        <v>2.62</v>
      </c>
      <c r="H1644" s="256">
        <v>479</v>
      </c>
      <c r="I1644" s="214">
        <v>1453743</v>
      </c>
      <c r="J1644" s="215">
        <v>19175</v>
      </c>
      <c r="K1644" s="212">
        <v>43595</v>
      </c>
      <c r="L1644" s="211" t="s">
        <v>1327</v>
      </c>
      <c r="M1644" s="216">
        <v>4615506885</v>
      </c>
      <c r="N1644" s="212">
        <v>43614</v>
      </c>
      <c r="O1644" s="217">
        <v>3.9746999999999999</v>
      </c>
      <c r="P1644" s="219"/>
      <c r="Q1644" s="34">
        <f>SUMIF(Allocation[Delivery ID],Allocation[[#This Row],[Delivery ID]],Allocation[Quantity Processed])</f>
        <v>6801</v>
      </c>
      <c r="R1644" s="61">
        <f>Allocation[[#This Row],[Total volume used]]/VLOOKUP(Allocation[[#This Row],[Delivery ID]],Delivery[[Delivery ID]:[Quantity delivered]],3,FALSE)</f>
        <v>0.56533665835411473</v>
      </c>
      <c r="S1644" s="34">
        <f>Allocation[[#This Row],[Quantity Processed]]/Allocation[[#This Row],[Dilution rate]]</f>
        <v>609.5419847328244</v>
      </c>
      <c r="T1644" s="59">
        <f>SUMIF(Allocation[Delivery ID],Allocation[[#This Row],[Delivery ID]],Allocation[Quantity allocated])/SUMIF(Allocation[Delivery ID],Allocation[[#This Row],[Delivery ID]],Allocation[Volume available (kg)])</f>
        <v>0.80054273598629144</v>
      </c>
      <c r="U1644" s="61">
        <f>Allocation[[#This Row],[Total volume used]]/VLOOKUP(Allocation[[#This Row],[Delivery ID]],Delivery[[Delivery ID]:[Quantity delivered]],3,FALSE)</f>
        <v>0.56533665835411473</v>
      </c>
      <c r="V1644" s="34" t="e">
        <f>VLOOKUP(Allocation[[#This Row],[SAP Contract number]],Shipments[[SAP Contract number]:[Contracted container weight]],2,FALSE)</f>
        <v>#N/A</v>
      </c>
      <c r="W1644" s="34" t="e">
        <f>VLOOKUP(Allocation[[#This Row],[SAP Contract number]],Shipments[[SAP Contract number]:[AAA Premium USD]],24,FALSE)</f>
        <v>#N/A</v>
      </c>
      <c r="X1644" s="34" t="e">
        <f>VLOOKUP(Allocation[[#This Row],[SAP Contract number]],Shipments[[SAP Contract number]:[RA Premium USD]],25,FALSE)</f>
        <v>#N/A</v>
      </c>
      <c r="Y1644" s="38">
        <f>Allocation[[#This Row],[Quantity Processed]]/Allocation[[#This Row],[Quantity allocated]]</f>
        <v>3.3340292275574113</v>
      </c>
      <c r="Z1644" s="34" t="b">
        <f>Allocation[[#This Row],[Quantity allocated]]&lt;=Allocation[[#This Row],[Quantity Processed]]</f>
        <v>1</v>
      </c>
    </row>
    <row r="1645" spans="1:26">
      <c r="A1645" s="247" t="s">
        <v>467</v>
      </c>
      <c r="B1645" s="210" t="s">
        <v>68</v>
      </c>
      <c r="C1645" s="254" t="s">
        <v>547</v>
      </c>
      <c r="D1645" s="255">
        <v>1255</v>
      </c>
      <c r="E1645" s="211" t="s">
        <v>1914</v>
      </c>
      <c r="F1645" s="212">
        <v>43542</v>
      </c>
      <c r="G1645" s="213">
        <v>2.62</v>
      </c>
      <c r="H1645" s="256">
        <v>552</v>
      </c>
      <c r="I1645" s="214">
        <v>1453743</v>
      </c>
      <c r="J1645" s="215">
        <v>19175</v>
      </c>
      <c r="K1645" s="212">
        <v>43595</v>
      </c>
      <c r="L1645" s="211" t="s">
        <v>1327</v>
      </c>
      <c r="M1645" s="216">
        <v>4615506885</v>
      </c>
      <c r="N1645" s="212">
        <v>43614</v>
      </c>
      <c r="O1645" s="217">
        <v>3.9746999999999999</v>
      </c>
      <c r="P1645" s="219"/>
      <c r="Q1645" s="34">
        <f>SUMIF(Allocation[Delivery ID],Allocation[[#This Row],[Delivery ID]],Allocation[Quantity Processed])</f>
        <v>8706</v>
      </c>
      <c r="R1645" s="61">
        <f>Allocation[[#This Row],[Total volume used]]/VLOOKUP(Allocation[[#This Row],[Delivery ID]],Delivery[[Delivery ID]:[Quantity delivered]],3,FALSE)</f>
        <v>0.72550000000000003</v>
      </c>
      <c r="S1645" s="34">
        <f>Allocation[[#This Row],[Quantity Processed]]/Allocation[[#This Row],[Dilution rate]]</f>
        <v>479.00763358778624</v>
      </c>
      <c r="T1645" s="59">
        <f>SUMIF(Allocation[Delivery ID],Allocation[[#This Row],[Delivery ID]],Allocation[Quantity allocated])/SUMIF(Allocation[Delivery ID],Allocation[[#This Row],[Delivery ID]],Allocation[Volume available (kg)])</f>
        <v>1.0493621698535043</v>
      </c>
      <c r="U1645" s="61">
        <f>Allocation[[#This Row],[Total volume used]]/VLOOKUP(Allocation[[#This Row],[Delivery ID]],Delivery[[Delivery ID]:[Quantity delivered]],3,FALSE)</f>
        <v>0.72550000000000003</v>
      </c>
      <c r="V1645" s="34" t="e">
        <f>VLOOKUP(Allocation[[#This Row],[SAP Contract number]],Shipments[[SAP Contract number]:[Contracted container weight]],2,FALSE)</f>
        <v>#N/A</v>
      </c>
      <c r="W1645" s="34" t="e">
        <f>VLOOKUP(Allocation[[#This Row],[SAP Contract number]],Shipments[[SAP Contract number]:[AAA Premium USD]],24,FALSE)</f>
        <v>#N/A</v>
      </c>
      <c r="X1645" s="34" t="e">
        <f>VLOOKUP(Allocation[[#This Row],[SAP Contract number]],Shipments[[SAP Contract number]:[RA Premium USD]],25,FALSE)</f>
        <v>#N/A</v>
      </c>
      <c r="Y1645" s="38">
        <f>Allocation[[#This Row],[Quantity Processed]]/Allocation[[#This Row],[Quantity allocated]]</f>
        <v>2.2735507246376812</v>
      </c>
      <c r="Z1645" s="34" t="b">
        <f>Allocation[[#This Row],[Quantity allocated]]&lt;=Allocation[[#This Row],[Quantity Processed]]</f>
        <v>1</v>
      </c>
    </row>
    <row r="1646" spans="1:26">
      <c r="A1646" s="247" t="s">
        <v>467</v>
      </c>
      <c r="B1646" s="210" t="s">
        <v>68</v>
      </c>
      <c r="C1646" s="254" t="s">
        <v>1352</v>
      </c>
      <c r="D1646" s="255">
        <v>2752</v>
      </c>
      <c r="E1646" s="211" t="s">
        <v>1914</v>
      </c>
      <c r="F1646" s="212">
        <v>43542</v>
      </c>
      <c r="G1646" s="213">
        <v>2.62</v>
      </c>
      <c r="H1646" s="256">
        <v>1211</v>
      </c>
      <c r="I1646" s="214">
        <v>1453743</v>
      </c>
      <c r="J1646" s="215">
        <v>19175</v>
      </c>
      <c r="K1646" s="212">
        <v>43595</v>
      </c>
      <c r="L1646" s="211" t="s">
        <v>1327</v>
      </c>
      <c r="M1646" s="216">
        <v>4615506885</v>
      </c>
      <c r="N1646" s="212">
        <v>43614</v>
      </c>
      <c r="O1646" s="217">
        <v>3.9746999999999999</v>
      </c>
      <c r="P1646" s="219"/>
      <c r="Q1646" s="34">
        <f>SUMIF(Allocation[Delivery ID],Allocation[[#This Row],[Delivery ID]],Allocation[Quantity Processed])</f>
        <v>10573</v>
      </c>
      <c r="R1646" s="61">
        <f>Allocation[[#This Row],[Total volume used]]/VLOOKUP(Allocation[[#This Row],[Delivery ID]],Delivery[[Delivery ID]:[Quantity delivered]],3,FALSE)</f>
        <v>0.60869314910765693</v>
      </c>
      <c r="S1646" s="34">
        <f>Allocation[[#This Row],[Quantity Processed]]/Allocation[[#This Row],[Dilution rate]]</f>
        <v>1050.3816793893129</v>
      </c>
      <c r="T1646" s="59">
        <f>SUMIF(Allocation[Delivery ID],Allocation[[#This Row],[Delivery ID]],Allocation[Quantity allocated])/SUMIF(Allocation[Delivery ID],Allocation[[#This Row],[Delivery ID]],Allocation[Volume available (kg)])</f>
        <v>1.1732834933779279</v>
      </c>
      <c r="U1646" s="61">
        <f>Allocation[[#This Row],[Total volume used]]/VLOOKUP(Allocation[[#This Row],[Delivery ID]],Delivery[[Delivery ID]:[Quantity delivered]],3,FALSE)</f>
        <v>0.60869314910765693</v>
      </c>
      <c r="V1646" s="34" t="e">
        <f>VLOOKUP(Allocation[[#This Row],[SAP Contract number]],Shipments[[SAP Contract number]:[Contracted container weight]],2,FALSE)</f>
        <v>#N/A</v>
      </c>
      <c r="W1646" s="34" t="e">
        <f>VLOOKUP(Allocation[[#This Row],[SAP Contract number]],Shipments[[SAP Contract number]:[AAA Premium USD]],24,FALSE)</f>
        <v>#N/A</v>
      </c>
      <c r="X1646" s="34" t="e">
        <f>VLOOKUP(Allocation[[#This Row],[SAP Contract number]],Shipments[[SAP Contract number]:[RA Premium USD]],25,FALSE)</f>
        <v>#N/A</v>
      </c>
      <c r="Y1646" s="38">
        <f>Allocation[[#This Row],[Quantity Processed]]/Allocation[[#This Row],[Quantity allocated]]</f>
        <v>2.2725020644095788</v>
      </c>
      <c r="Z1646" s="34" t="b">
        <f>Allocation[[#This Row],[Quantity allocated]]&lt;=Allocation[[#This Row],[Quantity Processed]]</f>
        <v>1</v>
      </c>
    </row>
    <row r="1647" spans="1:26">
      <c r="A1647" s="247" t="s">
        <v>467</v>
      </c>
      <c r="B1647" s="210" t="s">
        <v>68</v>
      </c>
      <c r="C1647" s="254" t="s">
        <v>1353</v>
      </c>
      <c r="D1647" s="255">
        <v>3092</v>
      </c>
      <c r="E1647" s="211" t="s">
        <v>1914</v>
      </c>
      <c r="F1647" s="212">
        <v>43542</v>
      </c>
      <c r="G1647" s="213">
        <v>2.62</v>
      </c>
      <c r="H1647" s="256">
        <v>1113</v>
      </c>
      <c r="I1647" s="214">
        <v>1453743</v>
      </c>
      <c r="J1647" s="215">
        <v>19175</v>
      </c>
      <c r="K1647" s="212">
        <v>43595</v>
      </c>
      <c r="L1647" s="211" t="s">
        <v>1327</v>
      </c>
      <c r="M1647" s="216">
        <v>4615506885</v>
      </c>
      <c r="N1647" s="212">
        <v>43614</v>
      </c>
      <c r="O1647" s="217">
        <v>3.9746999999999999</v>
      </c>
      <c r="P1647" s="219"/>
      <c r="Q1647" s="34">
        <f>SUMIF(Allocation[Delivery ID],Allocation[[#This Row],[Delivery ID]],Allocation[Quantity Processed])</f>
        <v>11879</v>
      </c>
      <c r="R1647" s="61">
        <f>Allocation[[#This Row],[Total volume used]]/VLOOKUP(Allocation[[#This Row],[Delivery ID]],Delivery[[Delivery ID]:[Quantity delivered]],3,FALSE)</f>
        <v>0.74523212045169385</v>
      </c>
      <c r="S1647" s="34">
        <f>Allocation[[#This Row],[Quantity Processed]]/Allocation[[#This Row],[Dilution rate]]</f>
        <v>1180.1526717557251</v>
      </c>
      <c r="T1647" s="59">
        <f>SUMIF(Allocation[Delivery ID],Allocation[[#This Row],[Delivery ID]],Allocation[Quantity allocated])/SUMIF(Allocation[Delivery ID],Allocation[[#This Row],[Delivery ID]],Allocation[Volume available (kg)])</f>
        <v>0.95988762633416358</v>
      </c>
      <c r="U1647" s="61">
        <f>Allocation[[#This Row],[Total volume used]]/VLOOKUP(Allocation[[#This Row],[Delivery ID]],Delivery[[Delivery ID]:[Quantity delivered]],3,FALSE)</f>
        <v>0.74523212045169385</v>
      </c>
      <c r="V1647" s="34" t="e">
        <f>VLOOKUP(Allocation[[#This Row],[SAP Contract number]],Shipments[[SAP Contract number]:[Contracted container weight]],2,FALSE)</f>
        <v>#N/A</v>
      </c>
      <c r="W1647" s="34" t="e">
        <f>VLOOKUP(Allocation[[#This Row],[SAP Contract number]],Shipments[[SAP Contract number]:[AAA Premium USD]],24,FALSE)</f>
        <v>#N/A</v>
      </c>
      <c r="X1647" s="34" t="e">
        <f>VLOOKUP(Allocation[[#This Row],[SAP Contract number]],Shipments[[SAP Contract number]:[RA Premium USD]],25,FALSE)</f>
        <v>#N/A</v>
      </c>
      <c r="Y1647" s="38">
        <f>Allocation[[#This Row],[Quantity Processed]]/Allocation[[#This Row],[Quantity allocated]]</f>
        <v>2.7780772686433064</v>
      </c>
      <c r="Z1647" s="34" t="b">
        <f>Allocation[[#This Row],[Quantity allocated]]&lt;=Allocation[[#This Row],[Quantity Processed]]</f>
        <v>1</v>
      </c>
    </row>
    <row r="1648" spans="1:26">
      <c r="A1648" s="247" t="s">
        <v>467</v>
      </c>
      <c r="B1648" s="210" t="s">
        <v>68</v>
      </c>
      <c r="C1648" s="254" t="s">
        <v>1355</v>
      </c>
      <c r="D1648" s="255">
        <v>369</v>
      </c>
      <c r="E1648" s="211" t="s">
        <v>1914</v>
      </c>
      <c r="F1648" s="212">
        <v>43542</v>
      </c>
      <c r="G1648" s="213">
        <v>2.62</v>
      </c>
      <c r="H1648" s="256">
        <v>166</v>
      </c>
      <c r="I1648" s="214">
        <v>1453743</v>
      </c>
      <c r="J1648" s="215">
        <v>19175</v>
      </c>
      <c r="K1648" s="212">
        <v>43595</v>
      </c>
      <c r="L1648" s="211" t="s">
        <v>1327</v>
      </c>
      <c r="M1648" s="216">
        <v>4615506885</v>
      </c>
      <c r="N1648" s="212">
        <v>43614</v>
      </c>
      <c r="O1648" s="217">
        <v>3.9746999999999999</v>
      </c>
      <c r="P1648" s="219"/>
      <c r="Q1648" s="34">
        <f>SUMIF(Allocation[Delivery ID],Allocation[[#This Row],[Delivery ID]],Allocation[Quantity Processed])</f>
        <v>2650</v>
      </c>
      <c r="R1648" s="61">
        <f>Allocation[[#This Row],[Total volume used]]/VLOOKUP(Allocation[[#This Row],[Delivery ID]],Delivery[[Delivery ID]:[Quantity delivered]],3,FALSE)</f>
        <v>0.13548057259713703</v>
      </c>
      <c r="S1648" s="34">
        <f>Allocation[[#This Row],[Quantity Processed]]/Allocation[[#This Row],[Dilution rate]]</f>
        <v>140.83969465648855</v>
      </c>
      <c r="T1648" s="59">
        <f>SUMIF(Allocation[Delivery ID],Allocation[[#This Row],[Delivery ID]],Allocation[Quantity allocated])/SUMIF(Allocation[Delivery ID],Allocation[[#This Row],[Delivery ID]],Allocation[Volume available (kg)])</f>
        <v>0.99760834836771495</v>
      </c>
      <c r="U1648" s="61">
        <f>Allocation[[#This Row],[Total volume used]]/VLOOKUP(Allocation[[#This Row],[Delivery ID]],Delivery[[Delivery ID]:[Quantity delivered]],3,FALSE)</f>
        <v>0.13548057259713703</v>
      </c>
      <c r="V1648" s="34" t="e">
        <f>VLOOKUP(Allocation[[#This Row],[SAP Contract number]],Shipments[[SAP Contract number]:[Contracted container weight]],2,FALSE)</f>
        <v>#N/A</v>
      </c>
      <c r="W1648" s="34" t="e">
        <f>VLOOKUP(Allocation[[#This Row],[SAP Contract number]],Shipments[[SAP Contract number]:[AAA Premium USD]],24,FALSE)</f>
        <v>#N/A</v>
      </c>
      <c r="X1648" s="34" t="e">
        <f>VLOOKUP(Allocation[[#This Row],[SAP Contract number]],Shipments[[SAP Contract number]:[RA Premium USD]],25,FALSE)</f>
        <v>#N/A</v>
      </c>
      <c r="Y1648" s="38">
        <f>Allocation[[#This Row],[Quantity Processed]]/Allocation[[#This Row],[Quantity allocated]]</f>
        <v>2.2228915662650603</v>
      </c>
      <c r="Z1648" s="34" t="b">
        <f>Allocation[[#This Row],[Quantity allocated]]&lt;=Allocation[[#This Row],[Quantity Processed]]</f>
        <v>1</v>
      </c>
    </row>
    <row r="1649" spans="1:26">
      <c r="A1649" s="247" t="s">
        <v>467</v>
      </c>
      <c r="B1649" s="210" t="s">
        <v>68</v>
      </c>
      <c r="C1649" s="254" t="s">
        <v>1357</v>
      </c>
      <c r="D1649" s="255">
        <v>60</v>
      </c>
      <c r="E1649" s="211" t="s">
        <v>1914</v>
      </c>
      <c r="F1649" s="212">
        <v>43542</v>
      </c>
      <c r="G1649" s="213">
        <v>2.62</v>
      </c>
      <c r="H1649" s="256">
        <v>27</v>
      </c>
      <c r="I1649" s="214">
        <v>1453743</v>
      </c>
      <c r="J1649" s="215">
        <v>19175</v>
      </c>
      <c r="K1649" s="212">
        <v>43595</v>
      </c>
      <c r="L1649" s="211" t="s">
        <v>1327</v>
      </c>
      <c r="M1649" s="216">
        <v>4615506885</v>
      </c>
      <c r="N1649" s="212">
        <v>43614</v>
      </c>
      <c r="O1649" s="217">
        <v>3.9746999999999999</v>
      </c>
      <c r="P1649" s="219"/>
      <c r="Q1649" s="34">
        <f>SUMIF(Allocation[Delivery ID],Allocation[[#This Row],[Delivery ID]],Allocation[Quantity Processed])</f>
        <v>586</v>
      </c>
      <c r="R1649" s="61">
        <f>Allocation[[#This Row],[Total volume used]]/VLOOKUP(Allocation[[#This Row],[Delivery ID]],Delivery[[Delivery ID]:[Quantity delivered]],3,FALSE)</f>
        <v>0.10226876090750436</v>
      </c>
      <c r="S1649" s="34">
        <f>Allocation[[#This Row],[Quantity Processed]]/Allocation[[#This Row],[Dilution rate]]</f>
        <v>22.900763358778626</v>
      </c>
      <c r="T1649" s="59">
        <f>SUMIF(Allocation[Delivery ID],Allocation[[#This Row],[Delivery ID]],Allocation[Quantity allocated])/SUMIF(Allocation[Delivery ID],Allocation[[#This Row],[Delivery ID]],Allocation[Volume available (kg)])</f>
        <v>1.0100696850305781</v>
      </c>
      <c r="U1649" s="61">
        <f>Allocation[[#This Row],[Total volume used]]/VLOOKUP(Allocation[[#This Row],[Delivery ID]],Delivery[[Delivery ID]:[Quantity delivered]],3,FALSE)</f>
        <v>0.10226876090750436</v>
      </c>
      <c r="V1649" s="34" t="e">
        <f>VLOOKUP(Allocation[[#This Row],[SAP Contract number]],Shipments[[SAP Contract number]:[Contracted container weight]],2,FALSE)</f>
        <v>#N/A</v>
      </c>
      <c r="W1649" s="34" t="e">
        <f>VLOOKUP(Allocation[[#This Row],[SAP Contract number]],Shipments[[SAP Contract number]:[AAA Premium USD]],24,FALSE)</f>
        <v>#N/A</v>
      </c>
      <c r="X1649" s="34" t="e">
        <f>VLOOKUP(Allocation[[#This Row],[SAP Contract number]],Shipments[[SAP Contract number]:[RA Premium USD]],25,FALSE)</f>
        <v>#N/A</v>
      </c>
      <c r="Y1649" s="38">
        <f>Allocation[[#This Row],[Quantity Processed]]/Allocation[[#This Row],[Quantity allocated]]</f>
        <v>2.2222222222222223</v>
      </c>
      <c r="Z1649" s="34" t="b">
        <f>Allocation[[#This Row],[Quantity allocated]]&lt;=Allocation[[#This Row],[Quantity Processed]]</f>
        <v>1</v>
      </c>
    </row>
    <row r="1650" spans="1:26">
      <c r="A1650" s="247" t="s">
        <v>467</v>
      </c>
      <c r="B1650" s="210" t="s">
        <v>68</v>
      </c>
      <c r="C1650" s="254" t="s">
        <v>549</v>
      </c>
      <c r="D1650" s="255">
        <v>990</v>
      </c>
      <c r="E1650" s="211" t="s">
        <v>1914</v>
      </c>
      <c r="F1650" s="212">
        <v>43542</v>
      </c>
      <c r="G1650" s="213">
        <v>2.62</v>
      </c>
      <c r="H1650" s="256">
        <v>485</v>
      </c>
      <c r="I1650" s="214">
        <v>1453743</v>
      </c>
      <c r="J1650" s="215">
        <v>19175</v>
      </c>
      <c r="K1650" s="212">
        <v>43595</v>
      </c>
      <c r="L1650" s="211" t="s">
        <v>1327</v>
      </c>
      <c r="M1650" s="216">
        <v>4615506885</v>
      </c>
      <c r="N1650" s="212">
        <v>43614</v>
      </c>
      <c r="O1650" s="217">
        <v>3.9746999999999999</v>
      </c>
      <c r="P1650" s="219"/>
      <c r="Q1650" s="34">
        <f>SUMIF(Allocation[Delivery ID],Allocation[[#This Row],[Delivery ID]],Allocation[Quantity Processed])</f>
        <v>5072</v>
      </c>
      <c r="R1650" s="61">
        <f>Allocation[[#This Row],[Total volume used]]/VLOOKUP(Allocation[[#This Row],[Delivery ID]],Delivery[[Delivery ID]:[Quantity delivered]],3,FALSE)</f>
        <v>0.84533333333333338</v>
      </c>
      <c r="S1650" s="34">
        <f>Allocation[[#This Row],[Quantity Processed]]/Allocation[[#This Row],[Dilution rate]]</f>
        <v>377.86259541984731</v>
      </c>
      <c r="T1650" s="59">
        <f>SUMIF(Allocation[Delivery ID],Allocation[[#This Row],[Delivery ID]],Allocation[Quantity allocated])/SUMIF(Allocation[Delivery ID],Allocation[[#This Row],[Delivery ID]],Allocation[Volume available (kg)])</f>
        <v>1.2229337091198389</v>
      </c>
      <c r="U1650" s="61">
        <f>Allocation[[#This Row],[Total volume used]]/VLOOKUP(Allocation[[#This Row],[Delivery ID]],Delivery[[Delivery ID]:[Quantity delivered]],3,FALSE)</f>
        <v>0.84533333333333338</v>
      </c>
      <c r="V1650" s="34" t="e">
        <f>VLOOKUP(Allocation[[#This Row],[SAP Contract number]],Shipments[[SAP Contract number]:[Contracted container weight]],2,FALSE)</f>
        <v>#N/A</v>
      </c>
      <c r="W1650" s="34" t="e">
        <f>VLOOKUP(Allocation[[#This Row],[SAP Contract number]],Shipments[[SAP Contract number]:[AAA Premium USD]],24,FALSE)</f>
        <v>#N/A</v>
      </c>
      <c r="X1650" s="34" t="e">
        <f>VLOOKUP(Allocation[[#This Row],[SAP Contract number]],Shipments[[SAP Contract number]:[RA Premium USD]],25,FALSE)</f>
        <v>#N/A</v>
      </c>
      <c r="Y1650" s="38">
        <f>Allocation[[#This Row],[Quantity Processed]]/Allocation[[#This Row],[Quantity allocated]]</f>
        <v>2.0412371134020617</v>
      </c>
      <c r="Z1650" s="34" t="b">
        <f>Allocation[[#This Row],[Quantity allocated]]&lt;=Allocation[[#This Row],[Quantity Processed]]</f>
        <v>1</v>
      </c>
    </row>
    <row r="1651" spans="1:26">
      <c r="A1651" s="247" t="s">
        <v>467</v>
      </c>
      <c r="B1651" s="210" t="s">
        <v>68</v>
      </c>
      <c r="C1651" s="254" t="s">
        <v>551</v>
      </c>
      <c r="D1651" s="255">
        <v>782</v>
      </c>
      <c r="E1651" s="211" t="s">
        <v>1914</v>
      </c>
      <c r="F1651" s="212">
        <v>43542</v>
      </c>
      <c r="G1651" s="213">
        <v>2.62</v>
      </c>
      <c r="H1651" s="256">
        <v>258</v>
      </c>
      <c r="I1651" s="214">
        <v>1453743</v>
      </c>
      <c r="J1651" s="215">
        <v>19175</v>
      </c>
      <c r="K1651" s="212">
        <v>43595</v>
      </c>
      <c r="L1651" s="211" t="s">
        <v>1327</v>
      </c>
      <c r="M1651" s="216">
        <v>4615506885</v>
      </c>
      <c r="N1651" s="212">
        <v>43614</v>
      </c>
      <c r="O1651" s="217">
        <v>3.9746999999999999</v>
      </c>
      <c r="P1651" s="219"/>
      <c r="Q1651" s="34">
        <f>SUMIF(Allocation[Delivery ID],Allocation[[#This Row],[Delivery ID]],Allocation[Quantity Processed])</f>
        <v>15141</v>
      </c>
      <c r="R1651" s="61">
        <f>Allocation[[#This Row],[Total volume used]]/VLOOKUP(Allocation[[#This Row],[Delivery ID]],Delivery[[Delivery ID]:[Quantity delivered]],3,FALSE)</f>
        <v>0.67443207126948779</v>
      </c>
      <c r="S1651" s="34">
        <f>Allocation[[#This Row],[Quantity Processed]]/Allocation[[#This Row],[Dilution rate]]</f>
        <v>298.47328244274809</v>
      </c>
      <c r="T1651" s="59">
        <f>SUMIF(Allocation[Delivery ID],Allocation[[#This Row],[Delivery ID]],Allocation[Quantity allocated])/SUMIF(Allocation[Delivery ID],Allocation[[#This Row],[Delivery ID]],Allocation[Volume available (kg)])</f>
        <v>0.72304231515186435</v>
      </c>
      <c r="U1651" s="61">
        <f>Allocation[[#This Row],[Total volume used]]/VLOOKUP(Allocation[[#This Row],[Delivery ID]],Delivery[[Delivery ID]:[Quantity delivered]],3,FALSE)</f>
        <v>0.67443207126948779</v>
      </c>
      <c r="V1651" s="34" t="e">
        <f>VLOOKUP(Allocation[[#This Row],[SAP Contract number]],Shipments[[SAP Contract number]:[Contracted container weight]],2,FALSE)</f>
        <v>#N/A</v>
      </c>
      <c r="W1651" s="34" t="e">
        <f>VLOOKUP(Allocation[[#This Row],[SAP Contract number]],Shipments[[SAP Contract number]:[AAA Premium USD]],24,FALSE)</f>
        <v>#N/A</v>
      </c>
      <c r="X1651" s="34" t="e">
        <f>VLOOKUP(Allocation[[#This Row],[SAP Contract number]],Shipments[[SAP Contract number]:[RA Premium USD]],25,FALSE)</f>
        <v>#N/A</v>
      </c>
      <c r="Y1651" s="38">
        <f>Allocation[[#This Row],[Quantity Processed]]/Allocation[[#This Row],[Quantity allocated]]</f>
        <v>3.0310077519379846</v>
      </c>
      <c r="Z1651" s="34" t="b">
        <f>Allocation[[#This Row],[Quantity allocated]]&lt;=Allocation[[#This Row],[Quantity Processed]]</f>
        <v>1</v>
      </c>
    </row>
    <row r="1652" spans="1:26">
      <c r="A1652" s="247" t="s">
        <v>467</v>
      </c>
      <c r="B1652" s="210" t="s">
        <v>68</v>
      </c>
      <c r="C1652" s="254" t="s">
        <v>553</v>
      </c>
      <c r="D1652" s="255">
        <v>800</v>
      </c>
      <c r="E1652" s="211" t="s">
        <v>1914</v>
      </c>
      <c r="F1652" s="212">
        <v>43542</v>
      </c>
      <c r="G1652" s="213">
        <v>2.62</v>
      </c>
      <c r="H1652" s="256">
        <v>264</v>
      </c>
      <c r="I1652" s="214">
        <v>1453743</v>
      </c>
      <c r="J1652" s="215">
        <v>19175</v>
      </c>
      <c r="K1652" s="212">
        <v>43595</v>
      </c>
      <c r="L1652" s="211" t="s">
        <v>1327</v>
      </c>
      <c r="M1652" s="216">
        <v>4615506885</v>
      </c>
      <c r="N1652" s="212">
        <v>43614</v>
      </c>
      <c r="O1652" s="217">
        <v>3.9746999999999999</v>
      </c>
      <c r="P1652" s="219"/>
      <c r="Q1652" s="34">
        <f>SUMIF(Allocation[Delivery ID],Allocation[[#This Row],[Delivery ID]],Allocation[Quantity Processed])</f>
        <v>15504</v>
      </c>
      <c r="R1652" s="61">
        <f>Allocation[[#This Row],[Total volume used]]/VLOOKUP(Allocation[[#This Row],[Delivery ID]],Delivery[[Delivery ID]:[Quantity delivered]],3,FALSE)</f>
        <v>0.67555555555555558</v>
      </c>
      <c r="S1652" s="34">
        <f>Allocation[[#This Row],[Quantity Processed]]/Allocation[[#This Row],[Dilution rate]]</f>
        <v>305.34351145038164</v>
      </c>
      <c r="T1652" s="59">
        <f>SUMIF(Allocation[Delivery ID],Allocation[[#This Row],[Delivery ID]],Allocation[Quantity allocated])/SUMIF(Allocation[Delivery ID],Allocation[[#This Row],[Delivery ID]],Allocation[Volume available (kg)])</f>
        <v>0.72304788105801232</v>
      </c>
      <c r="U1652" s="61">
        <f>Allocation[[#This Row],[Total volume used]]/VLOOKUP(Allocation[[#This Row],[Delivery ID]],Delivery[[Delivery ID]:[Quantity delivered]],3,FALSE)</f>
        <v>0.67555555555555558</v>
      </c>
      <c r="V1652" s="34" t="e">
        <f>VLOOKUP(Allocation[[#This Row],[SAP Contract number]],Shipments[[SAP Contract number]:[Contracted container weight]],2,FALSE)</f>
        <v>#N/A</v>
      </c>
      <c r="W1652" s="34" t="e">
        <f>VLOOKUP(Allocation[[#This Row],[SAP Contract number]],Shipments[[SAP Contract number]:[AAA Premium USD]],24,FALSE)</f>
        <v>#N/A</v>
      </c>
      <c r="X1652" s="34" t="e">
        <f>VLOOKUP(Allocation[[#This Row],[SAP Contract number]],Shipments[[SAP Contract number]:[RA Premium USD]],25,FALSE)</f>
        <v>#N/A</v>
      </c>
      <c r="Y1652" s="38">
        <f>Allocation[[#This Row],[Quantity Processed]]/Allocation[[#This Row],[Quantity allocated]]</f>
        <v>3.0303030303030303</v>
      </c>
      <c r="Z1652" s="34" t="b">
        <f>Allocation[[#This Row],[Quantity allocated]]&lt;=Allocation[[#This Row],[Quantity Processed]]</f>
        <v>1</v>
      </c>
    </row>
    <row r="1653" spans="1:26">
      <c r="A1653" s="247" t="s">
        <v>467</v>
      </c>
      <c r="B1653" s="210" t="s">
        <v>68</v>
      </c>
      <c r="C1653" s="254" t="s">
        <v>554</v>
      </c>
      <c r="D1653" s="255">
        <v>685</v>
      </c>
      <c r="E1653" s="211" t="s">
        <v>1914</v>
      </c>
      <c r="F1653" s="212">
        <v>43542</v>
      </c>
      <c r="G1653" s="213">
        <v>2.62</v>
      </c>
      <c r="H1653" s="256">
        <v>226</v>
      </c>
      <c r="I1653" s="214">
        <v>1453743</v>
      </c>
      <c r="J1653" s="215">
        <v>19175</v>
      </c>
      <c r="K1653" s="212">
        <v>43595</v>
      </c>
      <c r="L1653" s="211" t="s">
        <v>1327</v>
      </c>
      <c r="M1653" s="216">
        <v>4615506885</v>
      </c>
      <c r="N1653" s="212">
        <v>43614</v>
      </c>
      <c r="O1653" s="217">
        <v>3.9746999999999999</v>
      </c>
      <c r="P1653" s="219"/>
      <c r="Q1653" s="34">
        <f>SUMIF(Allocation[Delivery ID],Allocation[[#This Row],[Delivery ID]],Allocation[Quantity Processed])</f>
        <v>13277</v>
      </c>
      <c r="R1653" s="61">
        <f>Allocation[[#This Row],[Total volume used]]/VLOOKUP(Allocation[[#This Row],[Delivery ID]],Delivery[[Delivery ID]:[Quantity delivered]],3,FALSE)</f>
        <v>0.67464430894308947</v>
      </c>
      <c r="S1653" s="34">
        <f>Allocation[[#This Row],[Quantity Processed]]/Allocation[[#This Row],[Dilution rate]]</f>
        <v>261.4503816793893</v>
      </c>
      <c r="T1653" s="59">
        <f>SUMIF(Allocation[Delivery ID],Allocation[[#This Row],[Delivery ID]],Allocation[Quantity allocated])/SUMIF(Allocation[Delivery ID],Allocation[[#This Row],[Delivery ID]],Allocation[Volume available (kg)])</f>
        <v>0.72304006354556072</v>
      </c>
      <c r="U1653" s="61">
        <f>Allocation[[#This Row],[Total volume used]]/VLOOKUP(Allocation[[#This Row],[Delivery ID]],Delivery[[Delivery ID]:[Quantity delivered]],3,FALSE)</f>
        <v>0.67464430894308947</v>
      </c>
      <c r="V1653" s="34" t="e">
        <f>VLOOKUP(Allocation[[#This Row],[SAP Contract number]],Shipments[[SAP Contract number]:[Contracted container weight]],2,FALSE)</f>
        <v>#N/A</v>
      </c>
      <c r="W1653" s="34" t="e">
        <f>VLOOKUP(Allocation[[#This Row],[SAP Contract number]],Shipments[[SAP Contract number]:[AAA Premium USD]],24,FALSE)</f>
        <v>#N/A</v>
      </c>
      <c r="X1653" s="34" t="e">
        <f>VLOOKUP(Allocation[[#This Row],[SAP Contract number]],Shipments[[SAP Contract number]:[RA Premium USD]],25,FALSE)</f>
        <v>#N/A</v>
      </c>
      <c r="Y1653" s="38">
        <f>Allocation[[#This Row],[Quantity Processed]]/Allocation[[#This Row],[Quantity allocated]]</f>
        <v>3.0309734513274336</v>
      </c>
      <c r="Z1653" s="34" t="b">
        <f>Allocation[[#This Row],[Quantity allocated]]&lt;=Allocation[[#This Row],[Quantity Processed]]</f>
        <v>1</v>
      </c>
    </row>
    <row r="1654" spans="1:26">
      <c r="A1654" s="247" t="s">
        <v>467</v>
      </c>
      <c r="B1654" s="210" t="s">
        <v>68</v>
      </c>
      <c r="C1654" s="254" t="s">
        <v>1358</v>
      </c>
      <c r="D1654" s="255">
        <v>470</v>
      </c>
      <c r="E1654" s="211" t="s">
        <v>1914</v>
      </c>
      <c r="F1654" s="212">
        <v>43542</v>
      </c>
      <c r="G1654" s="213">
        <v>2.62</v>
      </c>
      <c r="H1654" s="256">
        <v>141</v>
      </c>
      <c r="I1654" s="214">
        <v>1453743</v>
      </c>
      <c r="J1654" s="215">
        <v>19175</v>
      </c>
      <c r="K1654" s="212">
        <v>43595</v>
      </c>
      <c r="L1654" s="211" t="s">
        <v>1327</v>
      </c>
      <c r="M1654" s="216">
        <v>4615506885</v>
      </c>
      <c r="N1654" s="212">
        <v>43614</v>
      </c>
      <c r="O1654" s="217">
        <v>3.9746999999999999</v>
      </c>
      <c r="P1654" s="219"/>
      <c r="Q1654" s="34">
        <f>SUMIF(Allocation[Delivery ID],Allocation[[#This Row],[Delivery ID]],Allocation[Quantity Processed])</f>
        <v>1923</v>
      </c>
      <c r="R1654" s="61">
        <f>Allocation[[#This Row],[Total volume used]]/VLOOKUP(Allocation[[#This Row],[Delivery ID]],Delivery[[Delivery ID]:[Quantity delivered]],3,FALSE)</f>
        <v>0.32050000000000001</v>
      </c>
      <c r="S1654" s="34">
        <f>Allocation[[#This Row],[Quantity Processed]]/Allocation[[#This Row],[Dilution rate]]</f>
        <v>179.38931297709922</v>
      </c>
      <c r="T1654" s="59">
        <f>SUMIF(Allocation[Delivery ID],Allocation[[#This Row],[Delivery ID]],Allocation[Quantity allocated])/SUMIF(Allocation[Delivery ID],Allocation[[#This Row],[Delivery ID]],Allocation[Volume available (kg)])</f>
        <v>0.80061634793682046</v>
      </c>
      <c r="U1654" s="61">
        <f>Allocation[[#This Row],[Total volume used]]/VLOOKUP(Allocation[[#This Row],[Delivery ID]],Delivery[[Delivery ID]:[Quantity delivered]],3,FALSE)</f>
        <v>0.32050000000000001</v>
      </c>
      <c r="V1654" s="34" t="e">
        <f>VLOOKUP(Allocation[[#This Row],[SAP Contract number]],Shipments[[SAP Contract number]:[Contracted container weight]],2,FALSE)</f>
        <v>#N/A</v>
      </c>
      <c r="W1654" s="34" t="e">
        <f>VLOOKUP(Allocation[[#This Row],[SAP Contract number]],Shipments[[SAP Contract number]:[AAA Premium USD]],24,FALSE)</f>
        <v>#N/A</v>
      </c>
      <c r="X1654" s="34" t="e">
        <f>VLOOKUP(Allocation[[#This Row],[SAP Contract number]],Shipments[[SAP Contract number]:[RA Premium USD]],25,FALSE)</f>
        <v>#N/A</v>
      </c>
      <c r="Y1654" s="38">
        <f>Allocation[[#This Row],[Quantity Processed]]/Allocation[[#This Row],[Quantity allocated]]</f>
        <v>3.3333333333333335</v>
      </c>
      <c r="Z1654" s="34" t="b">
        <f>Allocation[[#This Row],[Quantity allocated]]&lt;=Allocation[[#This Row],[Quantity Processed]]</f>
        <v>1</v>
      </c>
    </row>
    <row r="1655" spans="1:26">
      <c r="A1655" s="247" t="s">
        <v>467</v>
      </c>
      <c r="B1655" s="210" t="s">
        <v>68</v>
      </c>
      <c r="C1655" s="254" t="s">
        <v>557</v>
      </c>
      <c r="D1655" s="255">
        <v>1176</v>
      </c>
      <c r="E1655" s="211" t="s">
        <v>1914</v>
      </c>
      <c r="F1655" s="212">
        <v>43542</v>
      </c>
      <c r="G1655" s="213">
        <v>2.62</v>
      </c>
      <c r="H1655" s="256">
        <v>460</v>
      </c>
      <c r="I1655" s="214">
        <v>1453743</v>
      </c>
      <c r="J1655" s="215">
        <v>19175</v>
      </c>
      <c r="K1655" s="212">
        <v>43595</v>
      </c>
      <c r="L1655" s="211" t="s">
        <v>1327</v>
      </c>
      <c r="M1655" s="216">
        <v>4615506885</v>
      </c>
      <c r="N1655" s="212">
        <v>43614</v>
      </c>
      <c r="O1655" s="217">
        <v>3.9746999999999999</v>
      </c>
      <c r="P1655" s="219"/>
      <c r="Q1655" s="34">
        <f>SUMIF(Allocation[Delivery ID],Allocation[[#This Row],[Delivery ID]],Allocation[Quantity Processed])</f>
        <v>9990</v>
      </c>
      <c r="R1655" s="61">
        <f>Allocation[[#This Row],[Total volume used]]/VLOOKUP(Allocation[[#This Row],[Delivery ID]],Delivery[[Delivery ID]:[Quantity delivered]],3,FALSE)</f>
        <v>1</v>
      </c>
      <c r="S1655" s="34">
        <f>Allocation[[#This Row],[Quantity Processed]]/Allocation[[#This Row],[Dilution rate]]</f>
        <v>448.85496183206106</v>
      </c>
      <c r="T1655" s="59">
        <f>SUMIF(Allocation[Delivery ID],Allocation[[#This Row],[Delivery ID]],Allocation[Quantity allocated])/SUMIF(Allocation[Delivery ID],Allocation[[#This Row],[Delivery ID]],Allocation[Volume available (kg)])</f>
        <v>0.73686309988954335</v>
      </c>
      <c r="U1655" s="61">
        <f>Allocation[[#This Row],[Total volume used]]/VLOOKUP(Allocation[[#This Row],[Delivery ID]],Delivery[[Delivery ID]:[Quantity delivered]],3,FALSE)</f>
        <v>1</v>
      </c>
      <c r="V1655" s="34" t="e">
        <f>VLOOKUP(Allocation[[#This Row],[SAP Contract number]],Shipments[[SAP Contract number]:[Contracted container weight]],2,FALSE)</f>
        <v>#N/A</v>
      </c>
      <c r="W1655" s="34" t="e">
        <f>VLOOKUP(Allocation[[#This Row],[SAP Contract number]],Shipments[[SAP Contract number]:[AAA Premium USD]],24,FALSE)</f>
        <v>#N/A</v>
      </c>
      <c r="X1655" s="34" t="e">
        <f>VLOOKUP(Allocation[[#This Row],[SAP Contract number]],Shipments[[SAP Contract number]:[RA Premium USD]],25,FALSE)</f>
        <v>#N/A</v>
      </c>
      <c r="Y1655" s="38">
        <f>Allocation[[#This Row],[Quantity Processed]]/Allocation[[#This Row],[Quantity allocated]]</f>
        <v>2.5565217391304347</v>
      </c>
      <c r="Z1655" s="34" t="b">
        <f>Allocation[[#This Row],[Quantity allocated]]&lt;=Allocation[[#This Row],[Quantity Processed]]</f>
        <v>1</v>
      </c>
    </row>
    <row r="1656" spans="1:26">
      <c r="A1656" s="247" t="s">
        <v>467</v>
      </c>
      <c r="B1656" s="210" t="s">
        <v>68</v>
      </c>
      <c r="C1656" s="254" t="s">
        <v>559</v>
      </c>
      <c r="D1656" s="255">
        <v>782</v>
      </c>
      <c r="E1656" s="211" t="s">
        <v>1914</v>
      </c>
      <c r="F1656" s="212">
        <v>43542</v>
      </c>
      <c r="G1656" s="213">
        <v>2.62</v>
      </c>
      <c r="H1656" s="256">
        <v>258</v>
      </c>
      <c r="I1656" s="214">
        <v>1453743</v>
      </c>
      <c r="J1656" s="215">
        <v>19175</v>
      </c>
      <c r="K1656" s="212">
        <v>43595</v>
      </c>
      <c r="L1656" s="211" t="s">
        <v>1327</v>
      </c>
      <c r="M1656" s="216">
        <v>4615506885</v>
      </c>
      <c r="N1656" s="212">
        <v>43614</v>
      </c>
      <c r="O1656" s="217">
        <v>3.9746999999999999</v>
      </c>
      <c r="P1656" s="219"/>
      <c r="Q1656" s="34">
        <f>SUMIF(Allocation[Delivery ID],Allocation[[#This Row],[Delivery ID]],Allocation[Quantity Processed])</f>
        <v>15180</v>
      </c>
      <c r="R1656" s="61">
        <f>Allocation[[#This Row],[Total volume used]]/VLOOKUP(Allocation[[#This Row],[Delivery ID]],Delivery[[Delivery ID]:[Quantity delivered]],3,FALSE)</f>
        <v>0.67496665184526461</v>
      </c>
      <c r="S1656" s="34">
        <f>Allocation[[#This Row],[Quantity Processed]]/Allocation[[#This Row],[Dilution rate]]</f>
        <v>298.47328244274809</v>
      </c>
      <c r="T1656" s="59">
        <f>SUMIF(Allocation[Delivery ID],Allocation[[#This Row],[Delivery ID]],Allocation[Quantity allocated])/SUMIF(Allocation[Delivery ID],Allocation[[#This Row],[Delivery ID]],Allocation[Volume available (kg)])</f>
        <v>0.72304148531501</v>
      </c>
      <c r="U1656" s="61">
        <f>Allocation[[#This Row],[Total volume used]]/VLOOKUP(Allocation[[#This Row],[Delivery ID]],Delivery[[Delivery ID]:[Quantity delivered]],3,FALSE)</f>
        <v>0.67496665184526461</v>
      </c>
      <c r="V1656" s="34" t="e">
        <f>VLOOKUP(Allocation[[#This Row],[SAP Contract number]],Shipments[[SAP Contract number]:[Contracted container weight]],2,FALSE)</f>
        <v>#N/A</v>
      </c>
      <c r="W1656" s="34" t="e">
        <f>VLOOKUP(Allocation[[#This Row],[SAP Contract number]],Shipments[[SAP Contract number]:[AAA Premium USD]],24,FALSE)</f>
        <v>#N/A</v>
      </c>
      <c r="X1656" s="34" t="e">
        <f>VLOOKUP(Allocation[[#This Row],[SAP Contract number]],Shipments[[SAP Contract number]:[RA Premium USD]],25,FALSE)</f>
        <v>#N/A</v>
      </c>
      <c r="Y1656" s="38">
        <f>Allocation[[#This Row],[Quantity Processed]]/Allocation[[#This Row],[Quantity allocated]]</f>
        <v>3.0310077519379846</v>
      </c>
      <c r="Z1656" s="34" t="b">
        <f>Allocation[[#This Row],[Quantity allocated]]&lt;=Allocation[[#This Row],[Quantity Processed]]</f>
        <v>1</v>
      </c>
    </row>
    <row r="1657" spans="1:26">
      <c r="A1657" s="247" t="s">
        <v>467</v>
      </c>
      <c r="B1657" s="210" t="s">
        <v>68</v>
      </c>
      <c r="C1657" s="254" t="s">
        <v>1361</v>
      </c>
      <c r="D1657" s="255">
        <v>2588</v>
      </c>
      <c r="E1657" s="211" t="s">
        <v>1914</v>
      </c>
      <c r="F1657" s="212">
        <v>43542</v>
      </c>
      <c r="G1657" s="213">
        <v>2.62</v>
      </c>
      <c r="H1657" s="256">
        <v>854</v>
      </c>
      <c r="I1657" s="214">
        <v>1453743</v>
      </c>
      <c r="J1657" s="215">
        <v>19175</v>
      </c>
      <c r="K1657" s="212">
        <v>43595</v>
      </c>
      <c r="L1657" s="211" t="s">
        <v>1327</v>
      </c>
      <c r="M1657" s="216">
        <v>4615506885</v>
      </c>
      <c r="N1657" s="212">
        <v>43614</v>
      </c>
      <c r="O1657" s="217">
        <v>3.9746999999999999</v>
      </c>
      <c r="P1657" s="219"/>
      <c r="Q1657" s="34">
        <f>SUMIF(Allocation[Delivery ID],Allocation[[#This Row],[Delivery ID]],Allocation[Quantity Processed])</f>
        <v>6366</v>
      </c>
      <c r="R1657" s="61">
        <f>Allocation[[#This Row],[Total volume used]]/VLOOKUP(Allocation[[#This Row],[Delivery ID]],Delivery[[Delivery ID]:[Quantity delivered]],3,FALSE)</f>
        <v>0.42383488681757658</v>
      </c>
      <c r="S1657" s="34">
        <f>Allocation[[#This Row],[Quantity Processed]]/Allocation[[#This Row],[Dilution rate]]</f>
        <v>987.78625954198469</v>
      </c>
      <c r="T1657" s="59">
        <f>SUMIF(Allocation[Delivery ID],Allocation[[#This Row],[Delivery ID]],Allocation[Quantity allocated])/SUMIF(Allocation[Delivery ID],Allocation[[#This Row],[Delivery ID]],Allocation[Volume available (kg)])</f>
        <v>0.87691692120759035</v>
      </c>
      <c r="U1657" s="61">
        <f>Allocation[[#This Row],[Total volume used]]/VLOOKUP(Allocation[[#This Row],[Delivery ID]],Delivery[[Delivery ID]:[Quantity delivered]],3,FALSE)</f>
        <v>0.42383488681757658</v>
      </c>
      <c r="V1657" s="34" t="e">
        <f>VLOOKUP(Allocation[[#This Row],[SAP Contract number]],Shipments[[SAP Contract number]:[Contracted container weight]],2,FALSE)</f>
        <v>#N/A</v>
      </c>
      <c r="W1657" s="34" t="e">
        <f>VLOOKUP(Allocation[[#This Row],[SAP Contract number]],Shipments[[SAP Contract number]:[AAA Premium USD]],24,FALSE)</f>
        <v>#N/A</v>
      </c>
      <c r="X1657" s="34" t="e">
        <f>VLOOKUP(Allocation[[#This Row],[SAP Contract number]],Shipments[[SAP Contract number]:[RA Premium USD]],25,FALSE)</f>
        <v>#N/A</v>
      </c>
      <c r="Y1657" s="38">
        <f>Allocation[[#This Row],[Quantity Processed]]/Allocation[[#This Row],[Quantity allocated]]</f>
        <v>3.0304449648711942</v>
      </c>
      <c r="Z1657" s="34" t="b">
        <f>Allocation[[#This Row],[Quantity allocated]]&lt;=Allocation[[#This Row],[Quantity Processed]]</f>
        <v>1</v>
      </c>
    </row>
    <row r="1658" spans="1:26">
      <c r="A1658" s="247" t="s">
        <v>467</v>
      </c>
      <c r="B1658" s="210" t="s">
        <v>68</v>
      </c>
      <c r="C1658" s="254" t="s">
        <v>561</v>
      </c>
      <c r="D1658" s="255">
        <v>1606</v>
      </c>
      <c r="E1658" s="211" t="s">
        <v>1914</v>
      </c>
      <c r="F1658" s="212">
        <v>43542</v>
      </c>
      <c r="G1658" s="213">
        <v>2.62</v>
      </c>
      <c r="H1658" s="256">
        <v>530</v>
      </c>
      <c r="I1658" s="214">
        <v>1453743</v>
      </c>
      <c r="J1658" s="215">
        <v>19175</v>
      </c>
      <c r="K1658" s="212">
        <v>43595</v>
      </c>
      <c r="L1658" s="211" t="s">
        <v>1327</v>
      </c>
      <c r="M1658" s="216">
        <v>4615506885</v>
      </c>
      <c r="N1658" s="212">
        <v>43614</v>
      </c>
      <c r="O1658" s="217">
        <v>3.9746999999999999</v>
      </c>
      <c r="P1658" s="219"/>
      <c r="Q1658" s="34">
        <f>SUMIF(Allocation[Delivery ID],Allocation[[#This Row],[Delivery ID]],Allocation[Quantity Processed])</f>
        <v>10736</v>
      </c>
      <c r="R1658" s="61">
        <f>Allocation[[#This Row],[Total volume used]]/VLOOKUP(Allocation[[#This Row],[Delivery ID]],Delivery[[Delivery ID]:[Quantity delivered]],3,FALSE)</f>
        <v>0.93356521739130438</v>
      </c>
      <c r="S1658" s="34">
        <f>Allocation[[#This Row],[Quantity Processed]]/Allocation[[#This Row],[Dilution rate]]</f>
        <v>612.97709923664115</v>
      </c>
      <c r="T1658" s="59">
        <f>SUMIF(Allocation[Delivery ID],Allocation[[#This Row],[Delivery ID]],Allocation[Quantity allocated])/SUMIF(Allocation[Delivery ID],Allocation[[#This Row],[Delivery ID]],Allocation[Volume available (kg)])</f>
        <v>0.8212168824808399</v>
      </c>
      <c r="U1658" s="61">
        <f>Allocation[[#This Row],[Total volume used]]/VLOOKUP(Allocation[[#This Row],[Delivery ID]],Delivery[[Delivery ID]:[Quantity delivered]],3,FALSE)</f>
        <v>0.93356521739130438</v>
      </c>
      <c r="V1658" s="34" t="e">
        <f>VLOOKUP(Allocation[[#This Row],[SAP Contract number]],Shipments[[SAP Contract number]:[Contracted container weight]],2,FALSE)</f>
        <v>#N/A</v>
      </c>
      <c r="W1658" s="34" t="e">
        <f>VLOOKUP(Allocation[[#This Row],[SAP Contract number]],Shipments[[SAP Contract number]:[AAA Premium USD]],24,FALSE)</f>
        <v>#N/A</v>
      </c>
      <c r="X1658" s="34" t="e">
        <f>VLOOKUP(Allocation[[#This Row],[SAP Contract number]],Shipments[[SAP Contract number]:[RA Premium USD]],25,FALSE)</f>
        <v>#N/A</v>
      </c>
      <c r="Y1658" s="38">
        <f>Allocation[[#This Row],[Quantity Processed]]/Allocation[[#This Row],[Quantity allocated]]</f>
        <v>3.030188679245283</v>
      </c>
      <c r="Z1658" s="34" t="b">
        <f>Allocation[[#This Row],[Quantity allocated]]&lt;=Allocation[[#This Row],[Quantity Processed]]</f>
        <v>1</v>
      </c>
    </row>
    <row r="1659" spans="1:26">
      <c r="A1659" s="247" t="s">
        <v>467</v>
      </c>
      <c r="B1659" s="210" t="s">
        <v>68</v>
      </c>
      <c r="C1659" s="254" t="s">
        <v>1366</v>
      </c>
      <c r="D1659" s="255">
        <v>298</v>
      </c>
      <c r="E1659" s="211" t="s">
        <v>1914</v>
      </c>
      <c r="F1659" s="212">
        <v>43542</v>
      </c>
      <c r="G1659" s="213">
        <v>2.62</v>
      </c>
      <c r="H1659" s="256">
        <v>119</v>
      </c>
      <c r="I1659" s="214">
        <v>1453743</v>
      </c>
      <c r="J1659" s="215">
        <v>19175</v>
      </c>
      <c r="K1659" s="212">
        <v>43595</v>
      </c>
      <c r="L1659" s="211" t="s">
        <v>1327</v>
      </c>
      <c r="M1659" s="216">
        <v>4615506885</v>
      </c>
      <c r="N1659" s="212">
        <v>43614</v>
      </c>
      <c r="O1659" s="217">
        <v>3.9746999999999999</v>
      </c>
      <c r="P1659" s="219"/>
      <c r="Q1659" s="34">
        <f>SUMIF(Allocation[Delivery ID],Allocation[[#This Row],[Delivery ID]],Allocation[Quantity Processed])</f>
        <v>2010</v>
      </c>
      <c r="R1659" s="61">
        <f>Allocation[[#This Row],[Total volume used]]/VLOOKUP(Allocation[[#This Row],[Delivery ID]],Delivery[[Delivery ID]:[Quantity delivered]],3,FALSE)</f>
        <v>1</v>
      </c>
      <c r="S1659" s="34">
        <f>Allocation[[#This Row],[Quantity Processed]]/Allocation[[#This Row],[Dilution rate]]</f>
        <v>113.74045801526717</v>
      </c>
      <c r="T1659" s="59">
        <f>SUMIF(Allocation[Delivery ID],Allocation[[#This Row],[Delivery ID]],Allocation[Quantity allocated])/SUMIF(Allocation[Delivery ID],Allocation[[#This Row],[Delivery ID]],Allocation[Volume available (kg)])</f>
        <v>0.97889430553804702</v>
      </c>
      <c r="U1659" s="61">
        <f>Allocation[[#This Row],[Total volume used]]/VLOOKUP(Allocation[[#This Row],[Delivery ID]],Delivery[[Delivery ID]:[Quantity delivered]],3,FALSE)</f>
        <v>1</v>
      </c>
      <c r="V1659" s="34" t="e">
        <f>VLOOKUP(Allocation[[#This Row],[SAP Contract number]],Shipments[[SAP Contract number]:[Contracted container weight]],2,FALSE)</f>
        <v>#N/A</v>
      </c>
      <c r="W1659" s="34" t="e">
        <f>VLOOKUP(Allocation[[#This Row],[SAP Contract number]],Shipments[[SAP Contract number]:[AAA Premium USD]],24,FALSE)</f>
        <v>#N/A</v>
      </c>
      <c r="X1659" s="34" t="e">
        <f>VLOOKUP(Allocation[[#This Row],[SAP Contract number]],Shipments[[SAP Contract number]:[RA Premium USD]],25,FALSE)</f>
        <v>#N/A</v>
      </c>
      <c r="Y1659" s="38">
        <f>Allocation[[#This Row],[Quantity Processed]]/Allocation[[#This Row],[Quantity allocated]]</f>
        <v>2.5042016806722689</v>
      </c>
      <c r="Z1659" s="34" t="b">
        <f>Allocation[[#This Row],[Quantity allocated]]&lt;=Allocation[[#This Row],[Quantity Processed]]</f>
        <v>1</v>
      </c>
    </row>
    <row r="1660" spans="1:26">
      <c r="A1660" s="247" t="s">
        <v>467</v>
      </c>
      <c r="B1660" s="210" t="s">
        <v>68</v>
      </c>
      <c r="C1660" s="254" t="s">
        <v>1368</v>
      </c>
      <c r="D1660" s="255">
        <v>29</v>
      </c>
      <c r="E1660" s="211" t="s">
        <v>1914</v>
      </c>
      <c r="F1660" s="212">
        <v>43542</v>
      </c>
      <c r="G1660" s="213">
        <v>2.62</v>
      </c>
      <c r="H1660" s="256">
        <v>13</v>
      </c>
      <c r="I1660" s="214">
        <v>1453743</v>
      </c>
      <c r="J1660" s="215">
        <v>19175</v>
      </c>
      <c r="K1660" s="212">
        <v>43595</v>
      </c>
      <c r="L1660" s="211" t="s">
        <v>1327</v>
      </c>
      <c r="M1660" s="216">
        <v>4615506885</v>
      </c>
      <c r="N1660" s="212">
        <v>43614</v>
      </c>
      <c r="O1660" s="217">
        <v>3.9746999999999999</v>
      </c>
      <c r="P1660" s="219"/>
      <c r="Q1660" s="34">
        <f>SUMIF(Allocation[Delivery ID],Allocation[[#This Row],[Delivery ID]],Allocation[Quantity Processed])</f>
        <v>327</v>
      </c>
      <c r="R1660" s="61">
        <f>Allocation[[#This Row],[Total volume used]]/VLOOKUP(Allocation[[#This Row],[Delivery ID]],Delivery[[Delivery ID]:[Quantity delivered]],3,FALSE)</f>
        <v>0.11978021978021978</v>
      </c>
      <c r="S1660" s="34">
        <f>Allocation[[#This Row],[Quantity Processed]]/Allocation[[#This Row],[Dilution rate]]</f>
        <v>11.068702290076335</v>
      </c>
      <c r="T1660" s="59">
        <f>SUMIF(Allocation[Delivery ID],Allocation[[#This Row],[Delivery ID]],Allocation[Quantity allocated])/SUMIF(Allocation[Delivery ID],Allocation[[#This Row],[Delivery ID]],Allocation[Volume available (kg)])</f>
        <v>0.99353429860527831</v>
      </c>
      <c r="U1660" s="61">
        <f>Allocation[[#This Row],[Total volume used]]/VLOOKUP(Allocation[[#This Row],[Delivery ID]],Delivery[[Delivery ID]:[Quantity delivered]],3,FALSE)</f>
        <v>0.11978021978021978</v>
      </c>
      <c r="V1660" s="34" t="e">
        <f>VLOOKUP(Allocation[[#This Row],[SAP Contract number]],Shipments[[SAP Contract number]:[Contracted container weight]],2,FALSE)</f>
        <v>#N/A</v>
      </c>
      <c r="W1660" s="34" t="e">
        <f>VLOOKUP(Allocation[[#This Row],[SAP Contract number]],Shipments[[SAP Contract number]:[AAA Premium USD]],24,FALSE)</f>
        <v>#N/A</v>
      </c>
      <c r="X1660" s="34" t="e">
        <f>VLOOKUP(Allocation[[#This Row],[SAP Contract number]],Shipments[[SAP Contract number]:[RA Premium USD]],25,FALSE)</f>
        <v>#N/A</v>
      </c>
      <c r="Y1660" s="38">
        <f>Allocation[[#This Row],[Quantity Processed]]/Allocation[[#This Row],[Quantity allocated]]</f>
        <v>2.2307692307692308</v>
      </c>
      <c r="Z1660" s="34" t="b">
        <f>Allocation[[#This Row],[Quantity allocated]]&lt;=Allocation[[#This Row],[Quantity Processed]]</f>
        <v>1</v>
      </c>
    </row>
    <row r="1661" spans="1:26">
      <c r="A1661" s="247" t="s">
        <v>467</v>
      </c>
      <c r="B1661" s="210" t="s">
        <v>68</v>
      </c>
      <c r="C1661" s="254" t="s">
        <v>1370</v>
      </c>
      <c r="D1661" s="255">
        <v>382</v>
      </c>
      <c r="E1661" s="211" t="s">
        <v>1914</v>
      </c>
      <c r="F1661" s="212">
        <v>43542</v>
      </c>
      <c r="G1661" s="213">
        <v>2.62</v>
      </c>
      <c r="H1661" s="256">
        <v>172</v>
      </c>
      <c r="I1661" s="214">
        <v>1453743</v>
      </c>
      <c r="J1661" s="215">
        <v>19175</v>
      </c>
      <c r="K1661" s="212">
        <v>43595</v>
      </c>
      <c r="L1661" s="211" t="s">
        <v>1327</v>
      </c>
      <c r="M1661" s="216">
        <v>4615506885</v>
      </c>
      <c r="N1661" s="212">
        <v>43614</v>
      </c>
      <c r="O1661" s="217">
        <v>3.9746999999999999</v>
      </c>
      <c r="P1661" s="219"/>
      <c r="Q1661" s="34">
        <f>SUMIF(Allocation[Delivery ID],Allocation[[#This Row],[Delivery ID]],Allocation[Quantity Processed])</f>
        <v>2464</v>
      </c>
      <c r="R1661" s="61">
        <f>Allocation[[#This Row],[Total volume used]]/VLOOKUP(Allocation[[#This Row],[Delivery ID]],Delivery[[Delivery ID]:[Quantity delivered]],3,FALSE)</f>
        <v>0.12161895360315893</v>
      </c>
      <c r="S1661" s="34">
        <f>Allocation[[#This Row],[Quantity Processed]]/Allocation[[#This Row],[Dilution rate]]</f>
        <v>145.80152671755724</v>
      </c>
      <c r="T1661" s="59">
        <f>SUMIF(Allocation[Delivery ID],Allocation[[#This Row],[Delivery ID]],Allocation[Quantity allocated])/SUMIF(Allocation[Delivery ID],Allocation[[#This Row],[Delivery ID]],Allocation[Volume available (kg)])</f>
        <v>1.0096768207281628</v>
      </c>
      <c r="U1661" s="61">
        <f>Allocation[[#This Row],[Total volume used]]/VLOOKUP(Allocation[[#This Row],[Delivery ID]],Delivery[[Delivery ID]:[Quantity delivered]],3,FALSE)</f>
        <v>0.12161895360315893</v>
      </c>
      <c r="V1661" s="34" t="e">
        <f>VLOOKUP(Allocation[[#This Row],[SAP Contract number]],Shipments[[SAP Contract number]:[Contracted container weight]],2,FALSE)</f>
        <v>#N/A</v>
      </c>
      <c r="W1661" s="34" t="e">
        <f>VLOOKUP(Allocation[[#This Row],[SAP Contract number]],Shipments[[SAP Contract number]:[AAA Premium USD]],24,FALSE)</f>
        <v>#N/A</v>
      </c>
      <c r="X1661" s="34" t="e">
        <f>VLOOKUP(Allocation[[#This Row],[SAP Contract number]],Shipments[[SAP Contract number]:[RA Premium USD]],25,FALSE)</f>
        <v>#N/A</v>
      </c>
      <c r="Y1661" s="38">
        <f>Allocation[[#This Row],[Quantity Processed]]/Allocation[[#This Row],[Quantity allocated]]</f>
        <v>2.2209302325581395</v>
      </c>
      <c r="Z1661" s="34" t="b">
        <f>Allocation[[#This Row],[Quantity allocated]]&lt;=Allocation[[#This Row],[Quantity Processed]]</f>
        <v>1</v>
      </c>
    </row>
    <row r="1662" spans="1:26">
      <c r="A1662" s="247" t="s">
        <v>467</v>
      </c>
      <c r="B1662" s="210" t="s">
        <v>68</v>
      </c>
      <c r="C1662" s="254" t="s">
        <v>1371</v>
      </c>
      <c r="D1662" s="255">
        <v>2585</v>
      </c>
      <c r="E1662" s="211" t="s">
        <v>1914</v>
      </c>
      <c r="F1662" s="212">
        <v>43542</v>
      </c>
      <c r="G1662" s="213">
        <v>2.62</v>
      </c>
      <c r="H1662" s="256">
        <v>853</v>
      </c>
      <c r="I1662" s="214">
        <v>1453743</v>
      </c>
      <c r="J1662" s="215">
        <v>19175</v>
      </c>
      <c r="K1662" s="212">
        <v>43595</v>
      </c>
      <c r="L1662" s="211" t="s">
        <v>1327</v>
      </c>
      <c r="M1662" s="216">
        <v>4615506885</v>
      </c>
      <c r="N1662" s="212">
        <v>43614</v>
      </c>
      <c r="O1662" s="217">
        <v>3.9746999999999999</v>
      </c>
      <c r="P1662" s="219"/>
      <c r="Q1662" s="34">
        <f>SUMIF(Allocation[Delivery ID],Allocation[[#This Row],[Delivery ID]],Allocation[Quantity Processed])</f>
        <v>6360</v>
      </c>
      <c r="R1662" s="61">
        <f>Allocation[[#This Row],[Total volume used]]/VLOOKUP(Allocation[[#This Row],[Delivery ID]],Delivery[[Delivery ID]:[Quantity delivered]],3,FALSE)</f>
        <v>0.42399999999999999</v>
      </c>
      <c r="S1662" s="34">
        <f>Allocation[[#This Row],[Quantity Processed]]/Allocation[[#This Row],[Dilution rate]]</f>
        <v>986.64122137404581</v>
      </c>
      <c r="T1662" s="59">
        <f>SUMIF(Allocation[Delivery ID],Allocation[[#This Row],[Delivery ID]],Allocation[Quantity allocated])/SUMIF(Allocation[Delivery ID],Allocation[[#This Row],[Delivery ID]],Allocation[Volume available (kg)])</f>
        <v>0.87691095819810005</v>
      </c>
      <c r="U1662" s="61">
        <f>Allocation[[#This Row],[Total volume used]]/VLOOKUP(Allocation[[#This Row],[Delivery ID]],Delivery[[Delivery ID]:[Quantity delivered]],3,FALSE)</f>
        <v>0.42399999999999999</v>
      </c>
      <c r="V1662" s="34" t="e">
        <f>VLOOKUP(Allocation[[#This Row],[SAP Contract number]],Shipments[[SAP Contract number]:[Contracted container weight]],2,FALSE)</f>
        <v>#N/A</v>
      </c>
      <c r="W1662" s="34" t="e">
        <f>VLOOKUP(Allocation[[#This Row],[SAP Contract number]],Shipments[[SAP Contract number]:[AAA Premium USD]],24,FALSE)</f>
        <v>#N/A</v>
      </c>
      <c r="X1662" s="34" t="e">
        <f>VLOOKUP(Allocation[[#This Row],[SAP Contract number]],Shipments[[SAP Contract number]:[RA Premium USD]],25,FALSE)</f>
        <v>#N/A</v>
      </c>
      <c r="Y1662" s="38">
        <f>Allocation[[#This Row],[Quantity Processed]]/Allocation[[#This Row],[Quantity allocated]]</f>
        <v>3.0304806565064477</v>
      </c>
      <c r="Z1662" s="34" t="b">
        <f>Allocation[[#This Row],[Quantity allocated]]&lt;=Allocation[[#This Row],[Quantity Processed]]</f>
        <v>1</v>
      </c>
    </row>
    <row r="1663" spans="1:26">
      <c r="A1663" s="247" t="s">
        <v>467</v>
      </c>
      <c r="B1663" s="210" t="s">
        <v>68</v>
      </c>
      <c r="C1663" s="254" t="s">
        <v>567</v>
      </c>
      <c r="D1663" s="255">
        <v>497</v>
      </c>
      <c r="E1663" s="211" t="s">
        <v>1914</v>
      </c>
      <c r="F1663" s="212">
        <v>43542</v>
      </c>
      <c r="G1663" s="213">
        <v>2.62</v>
      </c>
      <c r="H1663" s="256">
        <v>164</v>
      </c>
      <c r="I1663" s="214">
        <v>1453743</v>
      </c>
      <c r="J1663" s="215">
        <v>19175</v>
      </c>
      <c r="K1663" s="212">
        <v>43595</v>
      </c>
      <c r="L1663" s="211" t="s">
        <v>1327</v>
      </c>
      <c r="M1663" s="216">
        <v>4615506885</v>
      </c>
      <c r="N1663" s="212">
        <v>43614</v>
      </c>
      <c r="O1663" s="217">
        <v>3.9746999999999999</v>
      </c>
      <c r="P1663" s="219"/>
      <c r="Q1663" s="34">
        <f>SUMIF(Allocation[Delivery ID],Allocation[[#This Row],[Delivery ID]],Allocation[Quantity Processed])</f>
        <v>9599</v>
      </c>
      <c r="R1663" s="61">
        <f>Allocation[[#This Row],[Total volume used]]/VLOOKUP(Allocation[[#This Row],[Delivery ID]],Delivery[[Delivery ID]:[Quantity delivered]],3,FALSE)</f>
        <v>0.67456078706957134</v>
      </c>
      <c r="S1663" s="34">
        <f>Allocation[[#This Row],[Quantity Processed]]/Allocation[[#This Row],[Dilution rate]]</f>
        <v>189.69465648854961</v>
      </c>
      <c r="T1663" s="59">
        <f>SUMIF(Allocation[Delivery ID],Allocation[[#This Row],[Delivery ID]],Allocation[Quantity allocated])/SUMIF(Allocation[Delivery ID],Allocation[[#This Row],[Delivery ID]],Allocation[Volume available (kg)])</f>
        <v>0.72327415502228787</v>
      </c>
      <c r="U1663" s="61">
        <f>Allocation[[#This Row],[Total volume used]]/VLOOKUP(Allocation[[#This Row],[Delivery ID]],Delivery[[Delivery ID]:[Quantity delivered]],3,FALSE)</f>
        <v>0.67456078706957134</v>
      </c>
      <c r="V1663" s="34" t="e">
        <f>VLOOKUP(Allocation[[#This Row],[SAP Contract number]],Shipments[[SAP Contract number]:[Contracted container weight]],2,FALSE)</f>
        <v>#N/A</v>
      </c>
      <c r="W1663" s="34" t="e">
        <f>VLOOKUP(Allocation[[#This Row],[SAP Contract number]],Shipments[[SAP Contract number]:[AAA Premium USD]],24,FALSE)</f>
        <v>#N/A</v>
      </c>
      <c r="X1663" s="34" t="e">
        <f>VLOOKUP(Allocation[[#This Row],[SAP Contract number]],Shipments[[SAP Contract number]:[RA Premium USD]],25,FALSE)</f>
        <v>#N/A</v>
      </c>
      <c r="Y1663" s="38">
        <f>Allocation[[#This Row],[Quantity Processed]]/Allocation[[#This Row],[Quantity allocated]]</f>
        <v>3.0304878048780486</v>
      </c>
      <c r="Z1663" s="34" t="b">
        <f>Allocation[[#This Row],[Quantity allocated]]&lt;=Allocation[[#This Row],[Quantity Processed]]</f>
        <v>1</v>
      </c>
    </row>
    <row r="1664" spans="1:26">
      <c r="A1664" s="247" t="s">
        <v>467</v>
      </c>
      <c r="B1664" s="210" t="s">
        <v>68</v>
      </c>
      <c r="C1664" s="254" t="s">
        <v>1372</v>
      </c>
      <c r="D1664" s="255">
        <v>1516</v>
      </c>
      <c r="E1664" s="211" t="s">
        <v>1914</v>
      </c>
      <c r="F1664" s="212">
        <v>43542</v>
      </c>
      <c r="G1664" s="213">
        <v>2.62</v>
      </c>
      <c r="H1664" s="256">
        <v>667</v>
      </c>
      <c r="I1664" s="214">
        <v>1453743</v>
      </c>
      <c r="J1664" s="215">
        <v>19175</v>
      </c>
      <c r="K1664" s="212">
        <v>43595</v>
      </c>
      <c r="L1664" s="211" t="s">
        <v>1327</v>
      </c>
      <c r="M1664" s="216">
        <v>4615506885</v>
      </c>
      <c r="N1664" s="212">
        <v>43614</v>
      </c>
      <c r="O1664" s="217">
        <v>3.9746999999999999</v>
      </c>
      <c r="P1664" s="219"/>
      <c r="Q1664" s="34">
        <f>SUMIF(Allocation[Delivery ID],Allocation[[#This Row],[Delivery ID]],Allocation[Quantity Processed])</f>
        <v>4064</v>
      </c>
      <c r="R1664" s="61">
        <f>Allocation[[#This Row],[Total volume used]]/VLOOKUP(Allocation[[#This Row],[Delivery ID]],Delivery[[Delivery ID]:[Quantity delivered]],3,FALSE)</f>
        <v>0.26304207119741102</v>
      </c>
      <c r="S1664" s="34">
        <f>Allocation[[#This Row],[Quantity Processed]]/Allocation[[#This Row],[Dilution rate]]</f>
        <v>578.62595419847321</v>
      </c>
      <c r="T1664" s="59">
        <f>SUMIF(Allocation[Delivery ID],Allocation[[#This Row],[Delivery ID]],Allocation[Quantity allocated])/SUMIF(Allocation[Delivery ID],Allocation[[#This Row],[Delivery ID]],Allocation[Volume available (kg)])</f>
        <v>1.1702529587570443</v>
      </c>
      <c r="U1664" s="61">
        <f>Allocation[[#This Row],[Total volume used]]/VLOOKUP(Allocation[[#This Row],[Delivery ID]],Delivery[[Delivery ID]:[Quantity delivered]],3,FALSE)</f>
        <v>0.26304207119741102</v>
      </c>
      <c r="V1664" s="34" t="e">
        <f>VLOOKUP(Allocation[[#This Row],[SAP Contract number]],Shipments[[SAP Contract number]:[Contracted container weight]],2,FALSE)</f>
        <v>#N/A</v>
      </c>
      <c r="W1664" s="34" t="e">
        <f>VLOOKUP(Allocation[[#This Row],[SAP Contract number]],Shipments[[SAP Contract number]:[AAA Premium USD]],24,FALSE)</f>
        <v>#N/A</v>
      </c>
      <c r="X1664" s="34" t="e">
        <f>VLOOKUP(Allocation[[#This Row],[SAP Contract number]],Shipments[[SAP Contract number]:[RA Premium USD]],25,FALSE)</f>
        <v>#N/A</v>
      </c>
      <c r="Y1664" s="38">
        <f>Allocation[[#This Row],[Quantity Processed]]/Allocation[[#This Row],[Quantity allocated]]</f>
        <v>2.2728635682158922</v>
      </c>
      <c r="Z1664" s="34" t="b">
        <f>Allocation[[#This Row],[Quantity allocated]]&lt;=Allocation[[#This Row],[Quantity Processed]]</f>
        <v>1</v>
      </c>
    </row>
    <row r="1665" spans="1:26">
      <c r="A1665" s="247" t="s">
        <v>467</v>
      </c>
      <c r="B1665" s="210" t="s">
        <v>68</v>
      </c>
      <c r="C1665" s="254" t="s">
        <v>1374</v>
      </c>
      <c r="D1665" s="255">
        <v>298</v>
      </c>
      <c r="E1665" s="211" t="s">
        <v>1914</v>
      </c>
      <c r="F1665" s="212">
        <v>43542</v>
      </c>
      <c r="G1665" s="213">
        <v>2.62</v>
      </c>
      <c r="H1665" s="256">
        <v>131</v>
      </c>
      <c r="I1665" s="214">
        <v>1453743</v>
      </c>
      <c r="J1665" s="215">
        <v>19175</v>
      </c>
      <c r="K1665" s="212">
        <v>43595</v>
      </c>
      <c r="L1665" s="211" t="s">
        <v>1327</v>
      </c>
      <c r="M1665" s="216">
        <v>4615506885</v>
      </c>
      <c r="N1665" s="212">
        <v>43614</v>
      </c>
      <c r="O1665" s="217">
        <v>3.9746999999999999</v>
      </c>
      <c r="P1665" s="219"/>
      <c r="Q1665" s="34">
        <f>SUMIF(Allocation[Delivery ID],Allocation[[#This Row],[Delivery ID]],Allocation[Quantity Processed])</f>
        <v>1216</v>
      </c>
      <c r="R1665" s="61">
        <f>Allocation[[#This Row],[Total volume used]]/VLOOKUP(Allocation[[#This Row],[Delivery ID]],Delivery[[Delivery ID]:[Quantity delivered]],3,FALSE)</f>
        <v>0.21909909909909911</v>
      </c>
      <c r="S1665" s="34">
        <f>Allocation[[#This Row],[Quantity Processed]]/Allocation[[#This Row],[Dilution rate]]</f>
        <v>113.74045801526717</v>
      </c>
      <c r="T1665" s="59">
        <f>SUMIF(Allocation[Delivery ID],Allocation[[#This Row],[Delivery ID]],Allocation[Quantity allocated])/SUMIF(Allocation[Delivery ID],Allocation[[#This Row],[Delivery ID]],Allocation[Volume available (kg)])</f>
        <v>1.1739246153931462</v>
      </c>
      <c r="U1665" s="61">
        <f>Allocation[[#This Row],[Total volume used]]/VLOOKUP(Allocation[[#This Row],[Delivery ID]],Delivery[[Delivery ID]:[Quantity delivered]],3,FALSE)</f>
        <v>0.21909909909909911</v>
      </c>
      <c r="V1665" s="34" t="e">
        <f>VLOOKUP(Allocation[[#This Row],[SAP Contract number]],Shipments[[SAP Contract number]:[Contracted container weight]],2,FALSE)</f>
        <v>#N/A</v>
      </c>
      <c r="W1665" s="34" t="e">
        <f>VLOOKUP(Allocation[[#This Row],[SAP Contract number]],Shipments[[SAP Contract number]:[AAA Premium USD]],24,FALSE)</f>
        <v>#N/A</v>
      </c>
      <c r="X1665" s="34" t="e">
        <f>VLOOKUP(Allocation[[#This Row],[SAP Contract number]],Shipments[[SAP Contract number]:[RA Premium USD]],25,FALSE)</f>
        <v>#N/A</v>
      </c>
      <c r="Y1665" s="38">
        <f>Allocation[[#This Row],[Quantity Processed]]/Allocation[[#This Row],[Quantity allocated]]</f>
        <v>2.2748091603053435</v>
      </c>
      <c r="Z1665" s="34" t="b">
        <f>Allocation[[#This Row],[Quantity allocated]]&lt;=Allocation[[#This Row],[Quantity Processed]]</f>
        <v>1</v>
      </c>
    </row>
    <row r="1666" spans="1:26">
      <c r="A1666" s="247" t="s">
        <v>467</v>
      </c>
      <c r="B1666" s="210" t="s">
        <v>68</v>
      </c>
      <c r="C1666" s="254" t="s">
        <v>1376</v>
      </c>
      <c r="D1666" s="255">
        <v>2880</v>
      </c>
      <c r="E1666" s="211" t="s">
        <v>1914</v>
      </c>
      <c r="F1666" s="212">
        <v>43542</v>
      </c>
      <c r="G1666" s="213">
        <v>2.62</v>
      </c>
      <c r="H1666" s="256">
        <v>864</v>
      </c>
      <c r="I1666" s="214">
        <v>1453743</v>
      </c>
      <c r="J1666" s="215">
        <v>19175</v>
      </c>
      <c r="K1666" s="212">
        <v>43595</v>
      </c>
      <c r="L1666" s="211" t="s">
        <v>1327</v>
      </c>
      <c r="M1666" s="216">
        <v>4615506885</v>
      </c>
      <c r="N1666" s="212">
        <v>43614</v>
      </c>
      <c r="O1666" s="217">
        <v>3.9746999999999999</v>
      </c>
      <c r="P1666" s="219"/>
      <c r="Q1666" s="34">
        <f>SUMIF(Allocation[Delivery ID],Allocation[[#This Row],[Delivery ID]],Allocation[Quantity Processed])</f>
        <v>7720</v>
      </c>
      <c r="R1666" s="61">
        <f>Allocation[[#This Row],[Total volume used]]/VLOOKUP(Allocation[[#This Row],[Delivery ID]],Delivery[[Delivery ID]:[Quantity delivered]],3,FALSE)</f>
        <v>0.3869674185463659</v>
      </c>
      <c r="S1666" s="34">
        <f>Allocation[[#This Row],[Quantity Processed]]/Allocation[[#This Row],[Dilution rate]]</f>
        <v>1099.2366412213739</v>
      </c>
      <c r="T1666" s="59">
        <f>SUMIF(Allocation[Delivery ID],Allocation[[#This Row],[Delivery ID]],Allocation[Quantity allocated])/SUMIF(Allocation[Delivery ID],Allocation[[#This Row],[Delivery ID]],Allocation[Volume available (kg)])</f>
        <v>0.79796361379487191</v>
      </c>
      <c r="U1666" s="61">
        <f>Allocation[[#This Row],[Total volume used]]/VLOOKUP(Allocation[[#This Row],[Delivery ID]],Delivery[[Delivery ID]:[Quantity delivered]],3,FALSE)</f>
        <v>0.3869674185463659</v>
      </c>
      <c r="V1666" s="34" t="e">
        <f>VLOOKUP(Allocation[[#This Row],[SAP Contract number]],Shipments[[SAP Contract number]:[Contracted container weight]],2,FALSE)</f>
        <v>#N/A</v>
      </c>
      <c r="W1666" s="34" t="e">
        <f>VLOOKUP(Allocation[[#This Row],[SAP Contract number]],Shipments[[SAP Contract number]:[AAA Premium USD]],24,FALSE)</f>
        <v>#N/A</v>
      </c>
      <c r="X1666" s="34" t="e">
        <f>VLOOKUP(Allocation[[#This Row],[SAP Contract number]],Shipments[[SAP Contract number]:[RA Premium USD]],25,FALSE)</f>
        <v>#N/A</v>
      </c>
      <c r="Y1666" s="38">
        <f>Allocation[[#This Row],[Quantity Processed]]/Allocation[[#This Row],[Quantity allocated]]</f>
        <v>3.3333333333333335</v>
      </c>
      <c r="Z1666" s="34" t="b">
        <f>Allocation[[#This Row],[Quantity allocated]]&lt;=Allocation[[#This Row],[Quantity Processed]]</f>
        <v>1</v>
      </c>
    </row>
    <row r="1667" spans="1:26">
      <c r="A1667" s="247" t="s">
        <v>467</v>
      </c>
      <c r="B1667" s="210" t="s">
        <v>68</v>
      </c>
      <c r="C1667" s="254" t="s">
        <v>1378</v>
      </c>
      <c r="D1667" s="255">
        <v>1049</v>
      </c>
      <c r="E1667" s="211" t="s">
        <v>1914</v>
      </c>
      <c r="F1667" s="212">
        <v>43542</v>
      </c>
      <c r="G1667" s="213">
        <v>2.62</v>
      </c>
      <c r="H1667" s="256">
        <v>598</v>
      </c>
      <c r="I1667" s="214">
        <v>1453743</v>
      </c>
      <c r="J1667" s="215">
        <v>19175</v>
      </c>
      <c r="K1667" s="212">
        <v>43595</v>
      </c>
      <c r="L1667" s="211" t="s">
        <v>1327</v>
      </c>
      <c r="M1667" s="216">
        <v>4615506885</v>
      </c>
      <c r="N1667" s="212">
        <v>43614</v>
      </c>
      <c r="O1667" s="217">
        <v>3.9746999999999999</v>
      </c>
      <c r="P1667" s="219"/>
      <c r="Q1667" s="34">
        <f>SUMIF(Allocation[Delivery ID],Allocation[[#This Row],[Delivery ID]],Allocation[Quantity Processed])</f>
        <v>2813</v>
      </c>
      <c r="R1667" s="61">
        <f>Allocation[[#This Row],[Total volume used]]/VLOOKUP(Allocation[[#This Row],[Delivery ID]],Delivery[[Delivery ID]:[Quantity delivered]],3,FALSE)</f>
        <v>0.20310469314079421</v>
      </c>
      <c r="S1667" s="34">
        <f>Allocation[[#This Row],[Quantity Processed]]/Allocation[[#This Row],[Dilution rate]]</f>
        <v>400.38167938931298</v>
      </c>
      <c r="T1667" s="59">
        <f>SUMIF(Allocation[Delivery ID],Allocation[[#This Row],[Delivery ID]],Allocation[Quantity allocated])/SUMIF(Allocation[Delivery ID],Allocation[[#This Row],[Delivery ID]],Allocation[Volume available (kg)])</f>
        <v>1.5157515713259846</v>
      </c>
      <c r="U1667" s="61">
        <f>Allocation[[#This Row],[Total volume used]]/VLOOKUP(Allocation[[#This Row],[Delivery ID]],Delivery[[Delivery ID]:[Quantity delivered]],3,FALSE)</f>
        <v>0.20310469314079421</v>
      </c>
      <c r="V1667" s="34" t="e">
        <f>VLOOKUP(Allocation[[#This Row],[SAP Contract number]],Shipments[[SAP Contract number]:[Contracted container weight]],2,FALSE)</f>
        <v>#N/A</v>
      </c>
      <c r="W1667" s="34" t="e">
        <f>VLOOKUP(Allocation[[#This Row],[SAP Contract number]],Shipments[[SAP Contract number]:[AAA Premium USD]],24,FALSE)</f>
        <v>#N/A</v>
      </c>
      <c r="X1667" s="34" t="e">
        <f>VLOOKUP(Allocation[[#This Row],[SAP Contract number]],Shipments[[SAP Contract number]:[RA Premium USD]],25,FALSE)</f>
        <v>#N/A</v>
      </c>
      <c r="Y1667" s="38">
        <f>Allocation[[#This Row],[Quantity Processed]]/Allocation[[#This Row],[Quantity allocated]]</f>
        <v>1.754180602006689</v>
      </c>
      <c r="Z1667" s="34" t="b">
        <f>Allocation[[#This Row],[Quantity allocated]]&lt;=Allocation[[#This Row],[Quantity Processed]]</f>
        <v>1</v>
      </c>
    </row>
    <row r="1668" spans="1:26">
      <c r="A1668" s="247" t="s">
        <v>467</v>
      </c>
      <c r="B1668" s="210" t="s">
        <v>68</v>
      </c>
      <c r="C1668" s="254" t="s">
        <v>1379</v>
      </c>
      <c r="D1668" s="255">
        <v>430</v>
      </c>
      <c r="E1668" s="211" t="s">
        <v>1914</v>
      </c>
      <c r="F1668" s="212">
        <v>43542</v>
      </c>
      <c r="G1668" s="213">
        <v>2.62</v>
      </c>
      <c r="H1668" s="256">
        <v>202</v>
      </c>
      <c r="I1668" s="214">
        <v>1453743</v>
      </c>
      <c r="J1668" s="215">
        <v>19175</v>
      </c>
      <c r="K1668" s="212">
        <v>43595</v>
      </c>
      <c r="L1668" s="211" t="s">
        <v>1327</v>
      </c>
      <c r="M1668" s="216">
        <v>4615506885</v>
      </c>
      <c r="N1668" s="212">
        <v>43614</v>
      </c>
      <c r="O1668" s="217">
        <v>3.9746999999999999</v>
      </c>
      <c r="P1668" s="219"/>
      <c r="Q1668" s="34">
        <f>SUMIF(Allocation[Delivery ID],Allocation[[#This Row],[Delivery ID]],Allocation[Quantity Processed])</f>
        <v>1759</v>
      </c>
      <c r="R1668" s="61">
        <f>Allocation[[#This Row],[Total volume used]]/VLOOKUP(Allocation[[#This Row],[Delivery ID]],Delivery[[Delivery ID]:[Quantity delivered]],3,FALSE)</f>
        <v>0.20406032482598607</v>
      </c>
      <c r="S1668" s="34">
        <f>Allocation[[#This Row],[Quantity Processed]]/Allocation[[#This Row],[Dilution rate]]</f>
        <v>164.12213740458014</v>
      </c>
      <c r="T1668" s="59">
        <f>SUMIF(Allocation[Delivery ID],Allocation[[#This Row],[Delivery ID]],Allocation[Quantity allocated])/SUMIF(Allocation[Delivery ID],Allocation[[#This Row],[Delivery ID]],Allocation[Volume available (kg)])</f>
        <v>1.2544936044755211</v>
      </c>
      <c r="U1668" s="61">
        <f>Allocation[[#This Row],[Total volume used]]/VLOOKUP(Allocation[[#This Row],[Delivery ID]],Delivery[[Delivery ID]:[Quantity delivered]],3,FALSE)</f>
        <v>0.20406032482598607</v>
      </c>
      <c r="V1668" s="34" t="e">
        <f>VLOOKUP(Allocation[[#This Row],[SAP Contract number]],Shipments[[SAP Contract number]:[Contracted container weight]],2,FALSE)</f>
        <v>#N/A</v>
      </c>
      <c r="W1668" s="34" t="e">
        <f>VLOOKUP(Allocation[[#This Row],[SAP Contract number]],Shipments[[SAP Contract number]:[AAA Premium USD]],24,FALSE)</f>
        <v>#N/A</v>
      </c>
      <c r="X1668" s="34" t="e">
        <f>VLOOKUP(Allocation[[#This Row],[SAP Contract number]],Shipments[[SAP Contract number]:[RA Premium USD]],25,FALSE)</f>
        <v>#N/A</v>
      </c>
      <c r="Y1668" s="38">
        <f>Allocation[[#This Row],[Quantity Processed]]/Allocation[[#This Row],[Quantity allocated]]</f>
        <v>2.1287128712871288</v>
      </c>
      <c r="Z1668" s="34" t="b">
        <f>Allocation[[#This Row],[Quantity allocated]]&lt;=Allocation[[#This Row],[Quantity Processed]]</f>
        <v>1</v>
      </c>
    </row>
    <row r="1669" spans="1:26">
      <c r="A1669" s="247" t="s">
        <v>467</v>
      </c>
      <c r="B1669" s="210" t="s">
        <v>68</v>
      </c>
      <c r="C1669" s="254" t="s">
        <v>1380</v>
      </c>
      <c r="D1669" s="255">
        <v>203</v>
      </c>
      <c r="E1669" s="211" t="s">
        <v>1914</v>
      </c>
      <c r="F1669" s="212">
        <v>43542</v>
      </c>
      <c r="G1669" s="213">
        <v>2.62</v>
      </c>
      <c r="H1669" s="256">
        <v>71</v>
      </c>
      <c r="I1669" s="214">
        <v>1453743</v>
      </c>
      <c r="J1669" s="215">
        <v>19175</v>
      </c>
      <c r="K1669" s="212">
        <v>43595</v>
      </c>
      <c r="L1669" s="211" t="s">
        <v>1327</v>
      </c>
      <c r="M1669" s="216">
        <v>4615506885</v>
      </c>
      <c r="N1669" s="212">
        <v>43614</v>
      </c>
      <c r="O1669" s="217">
        <v>3.9746999999999999</v>
      </c>
      <c r="P1669" s="219"/>
      <c r="Q1669" s="34">
        <f>SUMIF(Allocation[Delivery ID],Allocation[[#This Row],[Delivery ID]],Allocation[Quantity Processed])</f>
        <v>826</v>
      </c>
      <c r="R1669" s="61">
        <f>Allocation[[#This Row],[Total volume used]]/VLOOKUP(Allocation[[#This Row],[Delivery ID]],Delivery[[Delivery ID]:[Quantity delivered]],3,FALSE)</f>
        <v>0.27533333333333332</v>
      </c>
      <c r="S1669" s="34">
        <f>Allocation[[#This Row],[Quantity Processed]]/Allocation[[#This Row],[Dilution rate]]</f>
        <v>77.480916030534345</v>
      </c>
      <c r="T1669" s="59">
        <f>SUMIF(Allocation[Delivery ID],Allocation[[#This Row],[Delivery ID]],Allocation[Quantity allocated])/SUMIF(Allocation[Delivery ID],Allocation[[#This Row],[Delivery ID]],Allocation[Volume available (kg)])</f>
        <v>0.93354196341835627</v>
      </c>
      <c r="U1669" s="61">
        <f>Allocation[[#This Row],[Total volume used]]/VLOOKUP(Allocation[[#This Row],[Delivery ID]],Delivery[[Delivery ID]:[Quantity delivered]],3,FALSE)</f>
        <v>0.27533333333333332</v>
      </c>
      <c r="V1669" s="34" t="e">
        <f>VLOOKUP(Allocation[[#This Row],[SAP Contract number]],Shipments[[SAP Contract number]:[Contracted container weight]],2,FALSE)</f>
        <v>#N/A</v>
      </c>
      <c r="W1669" s="34" t="e">
        <f>VLOOKUP(Allocation[[#This Row],[SAP Contract number]],Shipments[[SAP Contract number]:[AAA Premium USD]],24,FALSE)</f>
        <v>#N/A</v>
      </c>
      <c r="X1669" s="34" t="e">
        <f>VLOOKUP(Allocation[[#This Row],[SAP Contract number]],Shipments[[SAP Contract number]:[RA Premium USD]],25,FALSE)</f>
        <v>#N/A</v>
      </c>
      <c r="Y1669" s="38">
        <f>Allocation[[#This Row],[Quantity Processed]]/Allocation[[#This Row],[Quantity allocated]]</f>
        <v>2.859154929577465</v>
      </c>
      <c r="Z1669" s="34" t="b">
        <f>Allocation[[#This Row],[Quantity allocated]]&lt;=Allocation[[#This Row],[Quantity Processed]]</f>
        <v>1</v>
      </c>
    </row>
    <row r="1670" spans="1:26">
      <c r="A1670" s="247" t="s">
        <v>467</v>
      </c>
      <c r="B1670" s="210" t="s">
        <v>68</v>
      </c>
      <c r="C1670" s="254" t="s">
        <v>1386</v>
      </c>
      <c r="D1670" s="255">
        <v>594</v>
      </c>
      <c r="E1670" s="211" t="s">
        <v>1914</v>
      </c>
      <c r="F1670" s="212">
        <v>43542</v>
      </c>
      <c r="G1670" s="213">
        <v>2.62</v>
      </c>
      <c r="H1670" s="256">
        <v>196</v>
      </c>
      <c r="I1670" s="214">
        <v>1453743</v>
      </c>
      <c r="J1670" s="215">
        <v>19175</v>
      </c>
      <c r="K1670" s="212">
        <v>43595</v>
      </c>
      <c r="L1670" s="211" t="s">
        <v>1327</v>
      </c>
      <c r="M1670" s="216">
        <v>4615506885</v>
      </c>
      <c r="N1670" s="212">
        <v>43614</v>
      </c>
      <c r="O1670" s="217">
        <v>3.9746999999999999</v>
      </c>
      <c r="P1670" s="219"/>
      <c r="Q1670" s="34">
        <f>SUMIF(Allocation[Delivery ID],Allocation[[#This Row],[Delivery ID]],Allocation[Quantity Processed])</f>
        <v>2427</v>
      </c>
      <c r="R1670" s="61">
        <f>Allocation[[#This Row],[Total volume used]]/VLOOKUP(Allocation[[#This Row],[Delivery ID]],Delivery[[Delivery ID]:[Quantity delivered]],3,FALSE)</f>
        <v>0.29065868263473055</v>
      </c>
      <c r="S1670" s="34">
        <f>Allocation[[#This Row],[Quantity Processed]]/Allocation[[#This Row],[Dilution rate]]</f>
        <v>226.71755725190837</v>
      </c>
      <c r="T1670" s="59">
        <f>SUMIF(Allocation[Delivery ID],Allocation[[#This Row],[Delivery ID]],Allocation[Quantity allocated])/SUMIF(Allocation[Delivery ID],Allocation[[#This Row],[Delivery ID]],Allocation[Volume available (kg)])</f>
        <v>0.88060877056474307</v>
      </c>
      <c r="U1670" s="61">
        <f>Allocation[[#This Row],[Total volume used]]/VLOOKUP(Allocation[[#This Row],[Delivery ID]],Delivery[[Delivery ID]:[Quantity delivered]],3,FALSE)</f>
        <v>0.29065868263473055</v>
      </c>
      <c r="V1670" s="34" t="e">
        <f>VLOOKUP(Allocation[[#This Row],[SAP Contract number]],Shipments[[SAP Contract number]:[Contracted container weight]],2,FALSE)</f>
        <v>#N/A</v>
      </c>
      <c r="W1670" s="34" t="e">
        <f>VLOOKUP(Allocation[[#This Row],[SAP Contract number]],Shipments[[SAP Contract number]:[AAA Premium USD]],24,FALSE)</f>
        <v>#N/A</v>
      </c>
      <c r="X1670" s="34" t="e">
        <f>VLOOKUP(Allocation[[#This Row],[SAP Contract number]],Shipments[[SAP Contract number]:[RA Premium USD]],25,FALSE)</f>
        <v>#N/A</v>
      </c>
      <c r="Y1670" s="38">
        <f>Allocation[[#This Row],[Quantity Processed]]/Allocation[[#This Row],[Quantity allocated]]</f>
        <v>3.0306122448979593</v>
      </c>
      <c r="Z1670" s="34" t="b">
        <f>Allocation[[#This Row],[Quantity allocated]]&lt;=Allocation[[#This Row],[Quantity Processed]]</f>
        <v>1</v>
      </c>
    </row>
    <row r="1671" spans="1:26">
      <c r="A1671" s="247" t="s">
        <v>467</v>
      </c>
      <c r="B1671" s="210" t="s">
        <v>68</v>
      </c>
      <c r="C1671" s="254" t="s">
        <v>1387</v>
      </c>
      <c r="D1671" s="255">
        <v>3412</v>
      </c>
      <c r="E1671" s="211" t="s">
        <v>1914</v>
      </c>
      <c r="F1671" s="212">
        <v>43542</v>
      </c>
      <c r="G1671" s="213">
        <v>2.62</v>
      </c>
      <c r="H1671" s="256">
        <v>1126</v>
      </c>
      <c r="I1671" s="214">
        <v>1453743</v>
      </c>
      <c r="J1671" s="215">
        <v>19175</v>
      </c>
      <c r="K1671" s="212">
        <v>43595</v>
      </c>
      <c r="L1671" s="211" t="s">
        <v>1327</v>
      </c>
      <c r="M1671" s="216">
        <v>4615506885</v>
      </c>
      <c r="N1671" s="212">
        <v>43614</v>
      </c>
      <c r="O1671" s="217">
        <v>3.9746999999999999</v>
      </c>
      <c r="P1671" s="219"/>
      <c r="Q1671" s="34">
        <f>SUMIF(Allocation[Delivery ID],Allocation[[#This Row],[Delivery ID]],Allocation[Quantity Processed])</f>
        <v>13255</v>
      </c>
      <c r="R1671" s="61">
        <f>Allocation[[#This Row],[Total volume used]]/VLOOKUP(Allocation[[#This Row],[Delivery ID]],Delivery[[Delivery ID]:[Quantity delivered]],3,FALSE)</f>
        <v>0.86015574302401043</v>
      </c>
      <c r="S1671" s="34">
        <f>Allocation[[#This Row],[Quantity Processed]]/Allocation[[#This Row],[Dilution rate]]</f>
        <v>1302.2900763358778</v>
      </c>
      <c r="T1671" s="59">
        <f>SUMIF(Allocation[Delivery ID],Allocation[[#This Row],[Delivery ID]],Allocation[Quantity allocated])/SUMIF(Allocation[Delivery ID],Allocation[[#This Row],[Delivery ID]],Allocation[Volume available (kg)])</f>
        <v>0.88004354526368123</v>
      </c>
      <c r="U1671" s="61">
        <f>Allocation[[#This Row],[Total volume used]]/VLOOKUP(Allocation[[#This Row],[Delivery ID]],Delivery[[Delivery ID]:[Quantity delivered]],3,FALSE)</f>
        <v>0.86015574302401043</v>
      </c>
      <c r="V1671" s="34" t="e">
        <f>VLOOKUP(Allocation[[#This Row],[SAP Contract number]],Shipments[[SAP Contract number]:[Contracted container weight]],2,FALSE)</f>
        <v>#N/A</v>
      </c>
      <c r="W1671" s="34" t="e">
        <f>VLOOKUP(Allocation[[#This Row],[SAP Contract number]],Shipments[[SAP Contract number]:[AAA Premium USD]],24,FALSE)</f>
        <v>#N/A</v>
      </c>
      <c r="X1671" s="34" t="e">
        <f>VLOOKUP(Allocation[[#This Row],[SAP Contract number]],Shipments[[SAP Contract number]:[RA Premium USD]],25,FALSE)</f>
        <v>#N/A</v>
      </c>
      <c r="Y1671" s="38">
        <f>Allocation[[#This Row],[Quantity Processed]]/Allocation[[#This Row],[Quantity allocated]]</f>
        <v>3.0301953818827707</v>
      </c>
      <c r="Z1671" s="34" t="b">
        <f>Allocation[[#This Row],[Quantity allocated]]&lt;=Allocation[[#This Row],[Quantity Processed]]</f>
        <v>1</v>
      </c>
    </row>
    <row r="1672" spans="1:26">
      <c r="A1672" s="247" t="s">
        <v>467</v>
      </c>
      <c r="B1672" s="210" t="s">
        <v>68</v>
      </c>
      <c r="C1672" s="254" t="s">
        <v>1388</v>
      </c>
      <c r="D1672" s="255">
        <v>540</v>
      </c>
      <c r="E1672" s="211" t="s">
        <v>1914</v>
      </c>
      <c r="F1672" s="212">
        <v>43542</v>
      </c>
      <c r="G1672" s="213">
        <v>2.62</v>
      </c>
      <c r="H1672" s="256">
        <v>162</v>
      </c>
      <c r="I1672" s="214">
        <v>1453743</v>
      </c>
      <c r="J1672" s="215">
        <v>19175</v>
      </c>
      <c r="K1672" s="212">
        <v>43595</v>
      </c>
      <c r="L1672" s="211" t="s">
        <v>1327</v>
      </c>
      <c r="M1672" s="216">
        <v>4615506885</v>
      </c>
      <c r="N1672" s="212">
        <v>43614</v>
      </c>
      <c r="O1672" s="217">
        <v>3.9746999999999999</v>
      </c>
      <c r="P1672" s="219"/>
      <c r="Q1672" s="34">
        <f>SUMIF(Allocation[Delivery ID],Allocation[[#This Row],[Delivery ID]],Allocation[Quantity Processed])</f>
        <v>3940</v>
      </c>
      <c r="R1672" s="61">
        <f>Allocation[[#This Row],[Total volume used]]/VLOOKUP(Allocation[[#This Row],[Delivery ID]],Delivery[[Delivery ID]:[Quantity delivered]],3,FALSE)</f>
        <v>0.20671563483735572</v>
      </c>
      <c r="S1672" s="34">
        <f>Allocation[[#This Row],[Quantity Processed]]/Allocation[[#This Row],[Dilution rate]]</f>
        <v>206.10687022900763</v>
      </c>
      <c r="T1672" s="59">
        <f>SUMIF(Allocation[Delivery ID],Allocation[[#This Row],[Delivery ID]],Allocation[Quantity allocated])/SUMIF(Allocation[Delivery ID],Allocation[[#This Row],[Delivery ID]],Allocation[Volume available (kg)])</f>
        <v>0.6362840904262469</v>
      </c>
      <c r="U1672" s="61">
        <f>Allocation[[#This Row],[Total volume used]]/VLOOKUP(Allocation[[#This Row],[Delivery ID]],Delivery[[Delivery ID]:[Quantity delivered]],3,FALSE)</f>
        <v>0.20671563483735572</v>
      </c>
      <c r="V1672" s="34" t="e">
        <f>VLOOKUP(Allocation[[#This Row],[SAP Contract number]],Shipments[[SAP Contract number]:[Contracted container weight]],2,FALSE)</f>
        <v>#N/A</v>
      </c>
      <c r="W1672" s="34" t="e">
        <f>VLOOKUP(Allocation[[#This Row],[SAP Contract number]],Shipments[[SAP Contract number]:[AAA Premium USD]],24,FALSE)</f>
        <v>#N/A</v>
      </c>
      <c r="X1672" s="34" t="e">
        <f>VLOOKUP(Allocation[[#This Row],[SAP Contract number]],Shipments[[SAP Contract number]:[RA Premium USD]],25,FALSE)</f>
        <v>#N/A</v>
      </c>
      <c r="Y1672" s="38">
        <f>Allocation[[#This Row],[Quantity Processed]]/Allocation[[#This Row],[Quantity allocated]]</f>
        <v>3.3333333333333335</v>
      </c>
      <c r="Z1672" s="34" t="b">
        <f>Allocation[[#This Row],[Quantity allocated]]&lt;=Allocation[[#This Row],[Quantity Processed]]</f>
        <v>1</v>
      </c>
    </row>
    <row r="1673" spans="1:26">
      <c r="A1673" s="247" t="s">
        <v>467</v>
      </c>
      <c r="B1673" s="210" t="s">
        <v>68</v>
      </c>
      <c r="C1673" s="254" t="s">
        <v>1389</v>
      </c>
      <c r="D1673" s="255">
        <v>573</v>
      </c>
      <c r="E1673" s="211" t="s">
        <v>1914</v>
      </c>
      <c r="F1673" s="212">
        <v>43542</v>
      </c>
      <c r="G1673" s="213">
        <v>2.62</v>
      </c>
      <c r="H1673" s="256">
        <v>172</v>
      </c>
      <c r="I1673" s="214">
        <v>1453743</v>
      </c>
      <c r="J1673" s="215">
        <v>19175</v>
      </c>
      <c r="K1673" s="212">
        <v>43595</v>
      </c>
      <c r="L1673" s="211" t="s">
        <v>1327</v>
      </c>
      <c r="M1673" s="216">
        <v>4615506885</v>
      </c>
      <c r="N1673" s="212">
        <v>43614</v>
      </c>
      <c r="O1673" s="217">
        <v>3.9746999999999999</v>
      </c>
      <c r="P1673" s="219"/>
      <c r="Q1673" s="34">
        <f>SUMIF(Allocation[Delivery ID],Allocation[[#This Row],[Delivery ID]],Allocation[Quantity Processed])</f>
        <v>4209</v>
      </c>
      <c r="R1673" s="61">
        <f>Allocation[[#This Row],[Total volume used]]/VLOOKUP(Allocation[[#This Row],[Delivery ID]],Delivery[[Delivery ID]:[Quantity delivered]],3,FALSE)</f>
        <v>0.20805734058329214</v>
      </c>
      <c r="S1673" s="34">
        <f>Allocation[[#This Row],[Quantity Processed]]/Allocation[[#This Row],[Dilution rate]]</f>
        <v>218.70229007633586</v>
      </c>
      <c r="T1673" s="59">
        <f>SUMIF(Allocation[Delivery ID],Allocation[[#This Row],[Delivery ID]],Allocation[Quantity allocated])/SUMIF(Allocation[Delivery ID],Allocation[[#This Row],[Delivery ID]],Allocation[Volume available (kg)])</f>
        <v>0.63580805210327485</v>
      </c>
      <c r="U1673" s="61">
        <f>Allocation[[#This Row],[Total volume used]]/VLOOKUP(Allocation[[#This Row],[Delivery ID]],Delivery[[Delivery ID]:[Quantity delivered]],3,FALSE)</f>
        <v>0.20805734058329214</v>
      </c>
      <c r="V1673" s="34" t="e">
        <f>VLOOKUP(Allocation[[#This Row],[SAP Contract number]],Shipments[[SAP Contract number]:[Contracted container weight]],2,FALSE)</f>
        <v>#N/A</v>
      </c>
      <c r="W1673" s="34" t="e">
        <f>VLOOKUP(Allocation[[#This Row],[SAP Contract number]],Shipments[[SAP Contract number]:[AAA Premium USD]],24,FALSE)</f>
        <v>#N/A</v>
      </c>
      <c r="X1673" s="34" t="e">
        <f>VLOOKUP(Allocation[[#This Row],[SAP Contract number]],Shipments[[SAP Contract number]:[RA Premium USD]],25,FALSE)</f>
        <v>#N/A</v>
      </c>
      <c r="Y1673" s="38">
        <f>Allocation[[#This Row],[Quantity Processed]]/Allocation[[#This Row],[Quantity allocated]]</f>
        <v>3.3313953488372094</v>
      </c>
      <c r="Z1673" s="34" t="b">
        <f>Allocation[[#This Row],[Quantity allocated]]&lt;=Allocation[[#This Row],[Quantity Processed]]</f>
        <v>1</v>
      </c>
    </row>
    <row r="1674" spans="1:26">
      <c r="A1674" s="247" t="s">
        <v>467</v>
      </c>
      <c r="B1674" s="210" t="s">
        <v>68</v>
      </c>
      <c r="C1674" s="254" t="s">
        <v>1392</v>
      </c>
      <c r="D1674" s="255">
        <v>2367</v>
      </c>
      <c r="E1674" s="211" t="s">
        <v>1914</v>
      </c>
      <c r="F1674" s="212">
        <v>43542</v>
      </c>
      <c r="G1674" s="213">
        <v>2.62</v>
      </c>
      <c r="H1674" s="256">
        <v>923</v>
      </c>
      <c r="I1674" s="214">
        <v>1453743</v>
      </c>
      <c r="J1674" s="215">
        <v>19175</v>
      </c>
      <c r="K1674" s="212">
        <v>43595</v>
      </c>
      <c r="L1674" s="211" t="s">
        <v>1327</v>
      </c>
      <c r="M1674" s="216">
        <v>4615506885</v>
      </c>
      <c r="N1674" s="212">
        <v>43614</v>
      </c>
      <c r="O1674" s="217">
        <v>3.9746999999999999</v>
      </c>
      <c r="P1674" s="219"/>
      <c r="Q1674" s="34">
        <f>SUMIF(Allocation[Delivery ID],Allocation[[#This Row],[Delivery ID]],Allocation[Quantity Processed])</f>
        <v>6344</v>
      </c>
      <c r="R1674" s="61">
        <f>Allocation[[#This Row],[Total volume used]]/VLOOKUP(Allocation[[#This Row],[Delivery ID]],Delivery[[Delivery ID]:[Quantity delivered]],3,FALSE)</f>
        <v>0.297282099343955</v>
      </c>
      <c r="S1674" s="34">
        <f>Allocation[[#This Row],[Quantity Processed]]/Allocation[[#This Row],[Dilution rate]]</f>
        <v>903.43511450381675</v>
      </c>
      <c r="T1674" s="59">
        <f>SUMIF(Allocation[Delivery ID],Allocation[[#This Row],[Delivery ID]],Allocation[Quantity allocated])/SUMIF(Allocation[Delivery ID],Allocation[[#This Row],[Delivery ID]],Allocation[Volume available (kg)])</f>
        <v>1.0372922683531849</v>
      </c>
      <c r="U1674" s="61">
        <f>Allocation[[#This Row],[Total volume used]]/VLOOKUP(Allocation[[#This Row],[Delivery ID]],Delivery[[Delivery ID]:[Quantity delivered]],3,FALSE)</f>
        <v>0.297282099343955</v>
      </c>
      <c r="V1674" s="34" t="e">
        <f>VLOOKUP(Allocation[[#This Row],[SAP Contract number]],Shipments[[SAP Contract number]:[Contracted container weight]],2,FALSE)</f>
        <v>#N/A</v>
      </c>
      <c r="W1674" s="34" t="e">
        <f>VLOOKUP(Allocation[[#This Row],[SAP Contract number]],Shipments[[SAP Contract number]:[AAA Premium USD]],24,FALSE)</f>
        <v>#N/A</v>
      </c>
      <c r="X1674" s="34" t="e">
        <f>VLOOKUP(Allocation[[#This Row],[SAP Contract number]],Shipments[[SAP Contract number]:[RA Premium USD]],25,FALSE)</f>
        <v>#N/A</v>
      </c>
      <c r="Y1674" s="38">
        <f>Allocation[[#This Row],[Quantity Processed]]/Allocation[[#This Row],[Quantity allocated]]</f>
        <v>2.5644637053087758</v>
      </c>
      <c r="Z1674" s="34" t="b">
        <f>Allocation[[#This Row],[Quantity allocated]]&lt;=Allocation[[#This Row],[Quantity Processed]]</f>
        <v>1</v>
      </c>
    </row>
    <row r="1675" spans="1:26">
      <c r="A1675" s="247" t="s">
        <v>467</v>
      </c>
      <c r="B1675" s="210" t="s">
        <v>68</v>
      </c>
      <c r="C1675" s="254" t="s">
        <v>1396</v>
      </c>
      <c r="D1675" s="255">
        <v>1836</v>
      </c>
      <c r="E1675" s="211" t="s">
        <v>1914</v>
      </c>
      <c r="F1675" s="212">
        <v>43542</v>
      </c>
      <c r="G1675" s="213">
        <v>2.62</v>
      </c>
      <c r="H1675" s="256">
        <v>606</v>
      </c>
      <c r="I1675" s="214">
        <v>1453743</v>
      </c>
      <c r="J1675" s="215">
        <v>19175</v>
      </c>
      <c r="K1675" s="212">
        <v>43595</v>
      </c>
      <c r="L1675" s="211" t="s">
        <v>1327</v>
      </c>
      <c r="M1675" s="216">
        <v>4615506885</v>
      </c>
      <c r="N1675" s="212">
        <v>43614</v>
      </c>
      <c r="O1675" s="217">
        <v>3.9746999999999999</v>
      </c>
      <c r="P1675" s="219"/>
      <c r="Q1675" s="34">
        <f>SUMIF(Allocation[Delivery ID],Allocation[[#This Row],[Delivery ID]],Allocation[Quantity Processed])</f>
        <v>4921</v>
      </c>
      <c r="R1675" s="61">
        <f>Allocation[[#This Row],[Total volume used]]/VLOOKUP(Allocation[[#This Row],[Delivery ID]],Delivery[[Delivery ID]:[Quantity delivered]],3,FALSE)</f>
        <v>0.35049857549857549</v>
      </c>
      <c r="S1675" s="34">
        <f>Allocation[[#This Row],[Quantity Processed]]/Allocation[[#This Row],[Dilution rate]]</f>
        <v>700.76335877862596</v>
      </c>
      <c r="T1675" s="59">
        <f>SUMIF(Allocation[Delivery ID],Allocation[[#This Row],[Delivery ID]],Allocation[Quantity allocated])/SUMIF(Allocation[Delivery ID],Allocation[[#This Row],[Delivery ID]],Allocation[Volume available (kg)])</f>
        <v>0.87779462227618565</v>
      </c>
      <c r="U1675" s="61">
        <f>Allocation[[#This Row],[Total volume used]]/VLOOKUP(Allocation[[#This Row],[Delivery ID]],Delivery[[Delivery ID]:[Quantity delivered]],3,FALSE)</f>
        <v>0.35049857549857549</v>
      </c>
      <c r="V1675" s="34" t="e">
        <f>VLOOKUP(Allocation[[#This Row],[SAP Contract number]],Shipments[[SAP Contract number]:[Contracted container weight]],2,FALSE)</f>
        <v>#N/A</v>
      </c>
      <c r="W1675" s="34" t="e">
        <f>VLOOKUP(Allocation[[#This Row],[SAP Contract number]],Shipments[[SAP Contract number]:[AAA Premium USD]],24,FALSE)</f>
        <v>#N/A</v>
      </c>
      <c r="X1675" s="34" t="e">
        <f>VLOOKUP(Allocation[[#This Row],[SAP Contract number]],Shipments[[SAP Contract number]:[RA Premium USD]],25,FALSE)</f>
        <v>#N/A</v>
      </c>
      <c r="Y1675" s="38">
        <f>Allocation[[#This Row],[Quantity Processed]]/Allocation[[#This Row],[Quantity allocated]]</f>
        <v>3.0297029702970297</v>
      </c>
      <c r="Z1675" s="34" t="b">
        <f>Allocation[[#This Row],[Quantity allocated]]&lt;=Allocation[[#This Row],[Quantity Processed]]</f>
        <v>1</v>
      </c>
    </row>
    <row r="1676" spans="1:26">
      <c r="A1676" s="247" t="s">
        <v>467</v>
      </c>
      <c r="B1676" s="210" t="s">
        <v>68</v>
      </c>
      <c r="C1676" s="254" t="s">
        <v>1397</v>
      </c>
      <c r="D1676" s="255">
        <v>282</v>
      </c>
      <c r="E1676" s="211" t="s">
        <v>1914</v>
      </c>
      <c r="F1676" s="212">
        <v>43542</v>
      </c>
      <c r="G1676" s="213">
        <v>2.62</v>
      </c>
      <c r="H1676" s="256">
        <v>93</v>
      </c>
      <c r="I1676" s="214">
        <v>1453743</v>
      </c>
      <c r="J1676" s="215">
        <v>19175</v>
      </c>
      <c r="K1676" s="212">
        <v>43595</v>
      </c>
      <c r="L1676" s="211" t="s">
        <v>1327</v>
      </c>
      <c r="M1676" s="216">
        <v>4615506885</v>
      </c>
      <c r="N1676" s="212">
        <v>43614</v>
      </c>
      <c r="O1676" s="217">
        <v>3.9746999999999999</v>
      </c>
      <c r="P1676" s="219"/>
      <c r="Q1676" s="34">
        <f>SUMIF(Allocation[Delivery ID],Allocation[[#This Row],[Delivery ID]],Allocation[Quantity Processed])</f>
        <v>1155</v>
      </c>
      <c r="R1676" s="61">
        <f>Allocation[[#This Row],[Total volume used]]/VLOOKUP(Allocation[[#This Row],[Delivery ID]],Delivery[[Delivery ID]:[Quantity delivered]],3,FALSE)</f>
        <v>0.29166666666666669</v>
      </c>
      <c r="S1676" s="34">
        <f>Allocation[[#This Row],[Quantity Processed]]/Allocation[[#This Row],[Dilution rate]]</f>
        <v>107.63358778625954</v>
      </c>
      <c r="T1676" s="59">
        <f>SUMIF(Allocation[Delivery ID],Allocation[[#This Row],[Delivery ID]],Allocation[Quantity allocated])/SUMIF(Allocation[Delivery ID],Allocation[[#This Row],[Delivery ID]],Allocation[Volume available (kg)])</f>
        <v>0.8801303505968916</v>
      </c>
      <c r="U1676" s="61">
        <f>Allocation[[#This Row],[Total volume used]]/VLOOKUP(Allocation[[#This Row],[Delivery ID]],Delivery[[Delivery ID]:[Quantity delivered]],3,FALSE)</f>
        <v>0.29166666666666669</v>
      </c>
      <c r="V1676" s="34" t="e">
        <f>VLOOKUP(Allocation[[#This Row],[SAP Contract number]],Shipments[[SAP Contract number]:[Contracted container weight]],2,FALSE)</f>
        <v>#N/A</v>
      </c>
      <c r="W1676" s="34" t="e">
        <f>VLOOKUP(Allocation[[#This Row],[SAP Contract number]],Shipments[[SAP Contract number]:[AAA Premium USD]],24,FALSE)</f>
        <v>#N/A</v>
      </c>
      <c r="X1676" s="34" t="e">
        <f>VLOOKUP(Allocation[[#This Row],[SAP Contract number]],Shipments[[SAP Contract number]:[RA Premium USD]],25,FALSE)</f>
        <v>#N/A</v>
      </c>
      <c r="Y1676" s="38">
        <f>Allocation[[#This Row],[Quantity Processed]]/Allocation[[#This Row],[Quantity allocated]]</f>
        <v>3.032258064516129</v>
      </c>
      <c r="Z1676" s="34" t="b">
        <f>Allocation[[#This Row],[Quantity allocated]]&lt;=Allocation[[#This Row],[Quantity Processed]]</f>
        <v>1</v>
      </c>
    </row>
    <row r="1677" spans="1:26">
      <c r="A1677" s="247" t="s">
        <v>467</v>
      </c>
      <c r="B1677" s="210" t="s">
        <v>68</v>
      </c>
      <c r="C1677" s="254" t="s">
        <v>569</v>
      </c>
      <c r="D1677" s="255">
        <v>364</v>
      </c>
      <c r="E1677" s="211" t="s">
        <v>1914</v>
      </c>
      <c r="F1677" s="212">
        <v>43542</v>
      </c>
      <c r="G1677" s="213">
        <v>2.62</v>
      </c>
      <c r="H1677" s="256">
        <v>120</v>
      </c>
      <c r="I1677" s="214">
        <v>1453743</v>
      </c>
      <c r="J1677" s="215">
        <v>19175</v>
      </c>
      <c r="K1677" s="212">
        <v>43595</v>
      </c>
      <c r="L1677" s="211" t="s">
        <v>1327</v>
      </c>
      <c r="M1677" s="216">
        <v>4615506885</v>
      </c>
      <c r="N1677" s="212">
        <v>43614</v>
      </c>
      <c r="O1677" s="217">
        <v>3.9746999999999999</v>
      </c>
      <c r="P1677" s="219"/>
      <c r="Q1677" s="34">
        <f>SUMIF(Allocation[Delivery ID],Allocation[[#This Row],[Delivery ID]],Allocation[Quantity Processed])</f>
        <v>7262</v>
      </c>
      <c r="R1677" s="61">
        <f>Allocation[[#This Row],[Total volume used]]/VLOOKUP(Allocation[[#This Row],[Delivery ID]],Delivery[[Delivery ID]:[Quantity delivered]],3,FALSE)</f>
        <v>0.60516666666666663</v>
      </c>
      <c r="S1677" s="34">
        <f>Allocation[[#This Row],[Quantity Processed]]/Allocation[[#This Row],[Dilution rate]]</f>
        <v>138.93129770992365</v>
      </c>
      <c r="T1677" s="59">
        <f>SUMIF(Allocation[Delivery ID],Allocation[[#This Row],[Delivery ID]],Allocation[Quantity allocated])/SUMIF(Allocation[Delivery ID],Allocation[[#This Row],[Delivery ID]],Allocation[Volume available (kg)])</f>
        <v>0.67035577324738682</v>
      </c>
      <c r="U1677" s="61">
        <f>Allocation[[#This Row],[Total volume used]]/VLOOKUP(Allocation[[#This Row],[Delivery ID]],Delivery[[Delivery ID]:[Quantity delivered]],3,FALSE)</f>
        <v>0.60516666666666663</v>
      </c>
      <c r="V1677" s="34" t="e">
        <f>VLOOKUP(Allocation[[#This Row],[SAP Contract number]],Shipments[[SAP Contract number]:[Contracted container weight]],2,FALSE)</f>
        <v>#N/A</v>
      </c>
      <c r="W1677" s="34" t="e">
        <f>VLOOKUP(Allocation[[#This Row],[SAP Contract number]],Shipments[[SAP Contract number]:[AAA Premium USD]],24,FALSE)</f>
        <v>#N/A</v>
      </c>
      <c r="X1677" s="34" t="e">
        <f>VLOOKUP(Allocation[[#This Row],[SAP Contract number]],Shipments[[SAP Contract number]:[RA Premium USD]],25,FALSE)</f>
        <v>#N/A</v>
      </c>
      <c r="Y1677" s="38">
        <f>Allocation[[#This Row],[Quantity Processed]]/Allocation[[#This Row],[Quantity allocated]]</f>
        <v>3.0333333333333332</v>
      </c>
      <c r="Z1677" s="34" t="b">
        <f>Allocation[[#This Row],[Quantity allocated]]&lt;=Allocation[[#This Row],[Quantity Processed]]</f>
        <v>1</v>
      </c>
    </row>
    <row r="1678" spans="1:26">
      <c r="A1678" s="247" t="s">
        <v>467</v>
      </c>
      <c r="B1678" s="210" t="s">
        <v>68</v>
      </c>
      <c r="C1678" s="254" t="s">
        <v>571</v>
      </c>
      <c r="D1678" s="255">
        <v>123</v>
      </c>
      <c r="E1678" s="211" t="s">
        <v>1914</v>
      </c>
      <c r="F1678" s="212">
        <v>43542</v>
      </c>
      <c r="G1678" s="213">
        <v>2.62</v>
      </c>
      <c r="H1678" s="256">
        <v>58</v>
      </c>
      <c r="I1678" s="214">
        <v>1453743</v>
      </c>
      <c r="J1678" s="215">
        <v>19175</v>
      </c>
      <c r="K1678" s="212">
        <v>43595</v>
      </c>
      <c r="L1678" s="211" t="s">
        <v>1327</v>
      </c>
      <c r="M1678" s="216">
        <v>4615506885</v>
      </c>
      <c r="N1678" s="212">
        <v>43614</v>
      </c>
      <c r="O1678" s="217">
        <v>3.9746999999999999</v>
      </c>
      <c r="P1678" s="219"/>
      <c r="Q1678" s="34">
        <f>SUMIF(Allocation[Delivery ID],Allocation[[#This Row],[Delivery ID]],Allocation[Quantity Processed])</f>
        <v>2415</v>
      </c>
      <c r="R1678" s="61">
        <f>Allocation[[#This Row],[Total volume used]]/VLOOKUP(Allocation[[#This Row],[Delivery ID]],Delivery[[Delivery ID]:[Quantity delivered]],3,FALSE)</f>
        <v>0.4716796875</v>
      </c>
      <c r="S1678" s="34">
        <f>Allocation[[#This Row],[Quantity Processed]]/Allocation[[#This Row],[Dilution rate]]</f>
        <v>46.94656488549618</v>
      </c>
      <c r="T1678" s="59">
        <f>SUMIF(Allocation[Delivery ID],Allocation[[#This Row],[Delivery ID]],Allocation[Quantity allocated])/SUMIF(Allocation[Delivery ID],Allocation[[#This Row],[Delivery ID]],Allocation[Volume available (kg)])</f>
        <v>1.0297957209646704</v>
      </c>
      <c r="U1678" s="61">
        <f>Allocation[[#This Row],[Total volume used]]/VLOOKUP(Allocation[[#This Row],[Delivery ID]],Delivery[[Delivery ID]:[Quantity delivered]],3,FALSE)</f>
        <v>0.4716796875</v>
      </c>
      <c r="V1678" s="34" t="e">
        <f>VLOOKUP(Allocation[[#This Row],[SAP Contract number]],Shipments[[SAP Contract number]:[Contracted container weight]],2,FALSE)</f>
        <v>#N/A</v>
      </c>
      <c r="W1678" s="34" t="e">
        <f>VLOOKUP(Allocation[[#This Row],[SAP Contract number]],Shipments[[SAP Contract number]:[AAA Premium USD]],24,FALSE)</f>
        <v>#N/A</v>
      </c>
      <c r="X1678" s="34" t="e">
        <f>VLOOKUP(Allocation[[#This Row],[SAP Contract number]],Shipments[[SAP Contract number]:[RA Premium USD]],25,FALSE)</f>
        <v>#N/A</v>
      </c>
      <c r="Y1678" s="38">
        <f>Allocation[[#This Row],[Quantity Processed]]/Allocation[[#This Row],[Quantity allocated]]</f>
        <v>2.1206896551724137</v>
      </c>
      <c r="Z1678" s="34" t="b">
        <f>Allocation[[#This Row],[Quantity allocated]]&lt;=Allocation[[#This Row],[Quantity Processed]]</f>
        <v>1</v>
      </c>
    </row>
    <row r="1679" spans="1:26">
      <c r="A1679" s="247" t="s">
        <v>467</v>
      </c>
      <c r="B1679" s="210" t="s">
        <v>68</v>
      </c>
      <c r="C1679" s="254" t="s">
        <v>1399</v>
      </c>
      <c r="D1679" s="255">
        <v>217</v>
      </c>
      <c r="E1679" s="211" t="s">
        <v>1914</v>
      </c>
      <c r="F1679" s="212">
        <v>43542</v>
      </c>
      <c r="G1679" s="213">
        <v>2.62</v>
      </c>
      <c r="H1679" s="256">
        <v>65</v>
      </c>
      <c r="I1679" s="214">
        <v>1453743</v>
      </c>
      <c r="J1679" s="215">
        <v>19175</v>
      </c>
      <c r="K1679" s="212">
        <v>43595</v>
      </c>
      <c r="L1679" s="211" t="s">
        <v>1327</v>
      </c>
      <c r="M1679" s="216">
        <v>4615506885</v>
      </c>
      <c r="N1679" s="212">
        <v>43614</v>
      </c>
      <c r="O1679" s="217">
        <v>3.9746999999999999</v>
      </c>
      <c r="P1679" s="219"/>
      <c r="Q1679" s="34">
        <f>SUMIF(Allocation[Delivery ID],Allocation[[#This Row],[Delivery ID]],Allocation[Quantity Processed])</f>
        <v>883</v>
      </c>
      <c r="R1679" s="61">
        <f>Allocation[[#This Row],[Total volume used]]/VLOOKUP(Allocation[[#This Row],[Delivery ID]],Delivery[[Delivery ID]:[Quantity delivered]],3,FALSE)</f>
        <v>0.31992753623188408</v>
      </c>
      <c r="S1679" s="34">
        <f>Allocation[[#This Row],[Quantity Processed]]/Allocation[[#This Row],[Dilution rate]]</f>
        <v>82.824427480916029</v>
      </c>
      <c r="T1679" s="59">
        <f>SUMIF(Allocation[Delivery ID],Allocation[[#This Row],[Delivery ID]],Allocation[Quantity allocated])/SUMIF(Allocation[Delivery ID],Allocation[[#This Row],[Delivery ID]],Allocation[Volume available (kg)])</f>
        <v>0.8007466971280095</v>
      </c>
      <c r="U1679" s="61">
        <f>Allocation[[#This Row],[Total volume used]]/VLOOKUP(Allocation[[#This Row],[Delivery ID]],Delivery[[Delivery ID]:[Quantity delivered]],3,FALSE)</f>
        <v>0.31992753623188408</v>
      </c>
      <c r="V1679" s="34" t="e">
        <f>VLOOKUP(Allocation[[#This Row],[SAP Contract number]],Shipments[[SAP Contract number]:[Contracted container weight]],2,FALSE)</f>
        <v>#N/A</v>
      </c>
      <c r="W1679" s="34" t="e">
        <f>VLOOKUP(Allocation[[#This Row],[SAP Contract number]],Shipments[[SAP Contract number]:[AAA Premium USD]],24,FALSE)</f>
        <v>#N/A</v>
      </c>
      <c r="X1679" s="34" t="e">
        <f>VLOOKUP(Allocation[[#This Row],[SAP Contract number]],Shipments[[SAP Contract number]:[RA Premium USD]],25,FALSE)</f>
        <v>#N/A</v>
      </c>
      <c r="Y1679" s="38">
        <f>Allocation[[#This Row],[Quantity Processed]]/Allocation[[#This Row],[Quantity allocated]]</f>
        <v>3.3384615384615386</v>
      </c>
      <c r="Z1679" s="34" t="b">
        <f>Allocation[[#This Row],[Quantity allocated]]&lt;=Allocation[[#This Row],[Quantity Processed]]</f>
        <v>1</v>
      </c>
    </row>
    <row r="1680" spans="1:26">
      <c r="A1680" s="247" t="s">
        <v>467</v>
      </c>
      <c r="B1680" s="210" t="s">
        <v>68</v>
      </c>
      <c r="C1680" s="254" t="s">
        <v>573</v>
      </c>
      <c r="D1680" s="255">
        <v>620</v>
      </c>
      <c r="E1680" s="211" t="s">
        <v>1914</v>
      </c>
      <c r="F1680" s="212">
        <v>43542</v>
      </c>
      <c r="G1680" s="213">
        <v>2.62</v>
      </c>
      <c r="H1680" s="256">
        <v>186</v>
      </c>
      <c r="I1680" s="214">
        <v>1453743</v>
      </c>
      <c r="J1680" s="215">
        <v>19175</v>
      </c>
      <c r="K1680" s="212">
        <v>43595</v>
      </c>
      <c r="L1680" s="211" t="s">
        <v>1327</v>
      </c>
      <c r="M1680" s="216">
        <v>4615506885</v>
      </c>
      <c r="N1680" s="212">
        <v>43614</v>
      </c>
      <c r="O1680" s="217">
        <v>3.9746999999999999</v>
      </c>
      <c r="P1680" s="219"/>
      <c r="Q1680" s="34">
        <f>SUMIF(Allocation[Delivery ID],Allocation[[#This Row],[Delivery ID]],Allocation[Quantity Processed])</f>
        <v>12026</v>
      </c>
      <c r="R1680" s="61">
        <f>Allocation[[#This Row],[Total volume used]]/VLOOKUP(Allocation[[#This Row],[Delivery ID]],Delivery[[Delivery ID]:[Quantity delivered]],3,FALSE)</f>
        <v>0.74188772362739053</v>
      </c>
      <c r="S1680" s="34">
        <f>Allocation[[#This Row],[Quantity Processed]]/Allocation[[#This Row],[Dilution rate]]</f>
        <v>236.64122137404578</v>
      </c>
      <c r="T1680" s="59">
        <f>SUMIF(Allocation[Delivery ID],Allocation[[#This Row],[Delivery ID]],Allocation[Quantity allocated])/SUMIF(Allocation[Delivery ID],Allocation[[#This Row],[Delivery ID]],Allocation[Volume available (kg)])</f>
        <v>0.65745962201999164</v>
      </c>
      <c r="U1680" s="61">
        <f>Allocation[[#This Row],[Total volume used]]/VLOOKUP(Allocation[[#This Row],[Delivery ID]],Delivery[[Delivery ID]:[Quantity delivered]],3,FALSE)</f>
        <v>0.74188772362739053</v>
      </c>
      <c r="V1680" s="34" t="e">
        <f>VLOOKUP(Allocation[[#This Row],[SAP Contract number]],Shipments[[SAP Contract number]:[Contracted container weight]],2,FALSE)</f>
        <v>#N/A</v>
      </c>
      <c r="W1680" s="34" t="e">
        <f>VLOOKUP(Allocation[[#This Row],[SAP Contract number]],Shipments[[SAP Contract number]:[AAA Premium USD]],24,FALSE)</f>
        <v>#N/A</v>
      </c>
      <c r="X1680" s="34" t="e">
        <f>VLOOKUP(Allocation[[#This Row],[SAP Contract number]],Shipments[[SAP Contract number]:[RA Premium USD]],25,FALSE)</f>
        <v>#N/A</v>
      </c>
      <c r="Y1680" s="38">
        <f>Allocation[[#This Row],[Quantity Processed]]/Allocation[[#This Row],[Quantity allocated]]</f>
        <v>3.3333333333333335</v>
      </c>
      <c r="Z1680" s="34" t="b">
        <f>Allocation[[#This Row],[Quantity allocated]]&lt;=Allocation[[#This Row],[Quantity Processed]]</f>
        <v>1</v>
      </c>
    </row>
    <row r="1681" spans="1:26">
      <c r="A1681" s="247" t="s">
        <v>467</v>
      </c>
      <c r="B1681" s="210" t="s">
        <v>68</v>
      </c>
      <c r="C1681" s="254" t="s">
        <v>581</v>
      </c>
      <c r="D1681" s="255">
        <v>803</v>
      </c>
      <c r="E1681" s="211" t="s">
        <v>1914</v>
      </c>
      <c r="F1681" s="212">
        <v>43542</v>
      </c>
      <c r="G1681" s="213">
        <v>2.62</v>
      </c>
      <c r="H1681" s="256">
        <v>265</v>
      </c>
      <c r="I1681" s="214">
        <v>1453743</v>
      </c>
      <c r="J1681" s="215">
        <v>19175</v>
      </c>
      <c r="K1681" s="212">
        <v>43595</v>
      </c>
      <c r="L1681" s="211" t="s">
        <v>1327</v>
      </c>
      <c r="M1681" s="216">
        <v>4615506885</v>
      </c>
      <c r="N1681" s="212">
        <v>43614</v>
      </c>
      <c r="O1681" s="217">
        <v>3.9746999999999999</v>
      </c>
      <c r="P1681" s="219"/>
      <c r="Q1681" s="34">
        <f>SUMIF(Allocation[Delivery ID],Allocation[[#This Row],[Delivery ID]],Allocation[Quantity Processed])</f>
        <v>15552</v>
      </c>
      <c r="R1681" s="61">
        <f>Allocation[[#This Row],[Total volume used]]/VLOOKUP(Allocation[[#This Row],[Delivery ID]],Delivery[[Delivery ID]:[Quantity delivered]],3,FALSE)</f>
        <v>0.67588005215123859</v>
      </c>
      <c r="S1681" s="34">
        <f>Allocation[[#This Row],[Quantity Processed]]/Allocation[[#This Row],[Dilution rate]]</f>
        <v>306.48854961832058</v>
      </c>
      <c r="T1681" s="59">
        <f>SUMIF(Allocation[Delivery ID],Allocation[[#This Row],[Delivery ID]],Allocation[Quantity allocated])/SUMIF(Allocation[Delivery ID],Allocation[[#This Row],[Delivery ID]],Allocation[Volume available (kg)])</f>
        <v>0.72313923676224701</v>
      </c>
      <c r="U1681" s="61">
        <f>Allocation[[#This Row],[Total volume used]]/VLOOKUP(Allocation[[#This Row],[Delivery ID]],Delivery[[Delivery ID]:[Quantity delivered]],3,FALSE)</f>
        <v>0.67588005215123859</v>
      </c>
      <c r="V1681" s="34" t="e">
        <f>VLOOKUP(Allocation[[#This Row],[SAP Contract number]],Shipments[[SAP Contract number]:[Contracted container weight]],2,FALSE)</f>
        <v>#N/A</v>
      </c>
      <c r="W1681" s="34" t="e">
        <f>VLOOKUP(Allocation[[#This Row],[SAP Contract number]],Shipments[[SAP Contract number]:[AAA Premium USD]],24,FALSE)</f>
        <v>#N/A</v>
      </c>
      <c r="X1681" s="34" t="e">
        <f>VLOOKUP(Allocation[[#This Row],[SAP Contract number]],Shipments[[SAP Contract number]:[RA Premium USD]],25,FALSE)</f>
        <v>#N/A</v>
      </c>
      <c r="Y1681" s="38">
        <f>Allocation[[#This Row],[Quantity Processed]]/Allocation[[#This Row],[Quantity allocated]]</f>
        <v>3.030188679245283</v>
      </c>
      <c r="Z1681" s="34" t="b">
        <f>Allocation[[#This Row],[Quantity allocated]]&lt;=Allocation[[#This Row],[Quantity Processed]]</f>
        <v>1</v>
      </c>
    </row>
    <row r="1682" spans="1:26">
      <c r="A1682" s="247" t="s">
        <v>467</v>
      </c>
      <c r="B1682" s="210" t="s">
        <v>68</v>
      </c>
      <c r="C1682" s="254" t="s">
        <v>582</v>
      </c>
      <c r="D1682" s="255">
        <v>306</v>
      </c>
      <c r="E1682" s="211" t="s">
        <v>1914</v>
      </c>
      <c r="F1682" s="212">
        <v>43542</v>
      </c>
      <c r="G1682" s="213">
        <v>2.62</v>
      </c>
      <c r="H1682" s="256">
        <v>101</v>
      </c>
      <c r="I1682" s="214">
        <v>1453743</v>
      </c>
      <c r="J1682" s="215">
        <v>19175</v>
      </c>
      <c r="K1682" s="212">
        <v>43595</v>
      </c>
      <c r="L1682" s="211" t="s">
        <v>1327</v>
      </c>
      <c r="M1682" s="216">
        <v>4615506885</v>
      </c>
      <c r="N1682" s="212">
        <v>43614</v>
      </c>
      <c r="O1682" s="217">
        <v>3.9746999999999999</v>
      </c>
      <c r="P1682" s="219"/>
      <c r="Q1682" s="34">
        <f>SUMIF(Allocation[Delivery ID],Allocation[[#This Row],[Delivery ID]],Allocation[Quantity Processed])</f>
        <v>5879</v>
      </c>
      <c r="R1682" s="61">
        <f>Allocation[[#This Row],[Total volume used]]/VLOOKUP(Allocation[[#This Row],[Delivery ID]],Delivery[[Delivery ID]:[Quantity delivered]],3,FALSE)</f>
        <v>0.67265446224256298</v>
      </c>
      <c r="S1682" s="34">
        <f>Allocation[[#This Row],[Quantity Processed]]/Allocation[[#This Row],[Dilution rate]]</f>
        <v>116.79389312977099</v>
      </c>
      <c r="T1682" s="59">
        <f>SUMIF(Allocation[Delivery ID],Allocation[[#This Row],[Delivery ID]],Allocation[Quantity allocated])/SUMIF(Allocation[Delivery ID],Allocation[[#This Row],[Delivery ID]],Allocation[Volume available (kg)])</f>
        <v>0.72326677996293631</v>
      </c>
      <c r="U1682" s="61">
        <f>Allocation[[#This Row],[Total volume used]]/VLOOKUP(Allocation[[#This Row],[Delivery ID]],Delivery[[Delivery ID]:[Quantity delivered]],3,FALSE)</f>
        <v>0.67265446224256298</v>
      </c>
      <c r="V1682" s="34" t="e">
        <f>VLOOKUP(Allocation[[#This Row],[SAP Contract number]],Shipments[[SAP Contract number]:[Contracted container weight]],2,FALSE)</f>
        <v>#N/A</v>
      </c>
      <c r="W1682" s="34" t="e">
        <f>VLOOKUP(Allocation[[#This Row],[SAP Contract number]],Shipments[[SAP Contract number]:[AAA Premium USD]],24,FALSE)</f>
        <v>#N/A</v>
      </c>
      <c r="X1682" s="34" t="e">
        <f>VLOOKUP(Allocation[[#This Row],[SAP Contract number]],Shipments[[SAP Contract number]:[RA Premium USD]],25,FALSE)</f>
        <v>#N/A</v>
      </c>
      <c r="Y1682" s="38">
        <f>Allocation[[#This Row],[Quantity Processed]]/Allocation[[#This Row],[Quantity allocated]]</f>
        <v>3.0297029702970297</v>
      </c>
      <c r="Z1682" s="34" t="b">
        <f>Allocation[[#This Row],[Quantity allocated]]&lt;=Allocation[[#This Row],[Quantity Processed]]</f>
        <v>1</v>
      </c>
    </row>
    <row r="1683" spans="1:26">
      <c r="A1683" s="247" t="s">
        <v>467</v>
      </c>
      <c r="B1683" s="210" t="s">
        <v>68</v>
      </c>
      <c r="C1683" s="254" t="s">
        <v>583</v>
      </c>
      <c r="D1683" s="255">
        <v>803</v>
      </c>
      <c r="E1683" s="211" t="s">
        <v>1914</v>
      </c>
      <c r="F1683" s="212">
        <v>43542</v>
      </c>
      <c r="G1683" s="213">
        <v>2.62</v>
      </c>
      <c r="H1683" s="256">
        <v>265</v>
      </c>
      <c r="I1683" s="214">
        <v>1453743</v>
      </c>
      <c r="J1683" s="215">
        <v>19175</v>
      </c>
      <c r="K1683" s="212">
        <v>43595</v>
      </c>
      <c r="L1683" s="211" t="s">
        <v>1327</v>
      </c>
      <c r="M1683" s="216">
        <v>4615506885</v>
      </c>
      <c r="N1683" s="212">
        <v>43614</v>
      </c>
      <c r="O1683" s="217">
        <v>3.9746999999999999</v>
      </c>
      <c r="P1683" s="219"/>
      <c r="Q1683" s="34">
        <f>SUMIF(Allocation[Delivery ID],Allocation[[#This Row],[Delivery ID]],Allocation[Quantity Processed])</f>
        <v>15619</v>
      </c>
      <c r="R1683" s="61">
        <f>Allocation[[#This Row],[Total volume used]]/VLOOKUP(Allocation[[#This Row],[Delivery ID]],Delivery[[Delivery ID]:[Quantity delivered]],3,FALSE)</f>
        <v>0.67410444540353909</v>
      </c>
      <c r="S1683" s="34">
        <f>Allocation[[#This Row],[Quantity Processed]]/Allocation[[#This Row],[Dilution rate]]</f>
        <v>306.48854961832058</v>
      </c>
      <c r="T1683" s="59">
        <f>SUMIF(Allocation[Delivery ID],Allocation[[#This Row],[Delivery ID]],Allocation[Quantity allocated])/SUMIF(Allocation[Delivery ID],Allocation[[#This Row],[Delivery ID]],Allocation[Volume available (kg)])</f>
        <v>0.72302027462828689</v>
      </c>
      <c r="U1683" s="61">
        <f>Allocation[[#This Row],[Total volume used]]/VLOOKUP(Allocation[[#This Row],[Delivery ID]],Delivery[[Delivery ID]:[Quantity delivered]],3,FALSE)</f>
        <v>0.67410444540353909</v>
      </c>
      <c r="V1683" s="34" t="e">
        <f>VLOOKUP(Allocation[[#This Row],[SAP Contract number]],Shipments[[SAP Contract number]:[Contracted container weight]],2,FALSE)</f>
        <v>#N/A</v>
      </c>
      <c r="W1683" s="34" t="e">
        <f>VLOOKUP(Allocation[[#This Row],[SAP Contract number]],Shipments[[SAP Contract number]:[AAA Premium USD]],24,FALSE)</f>
        <v>#N/A</v>
      </c>
      <c r="X1683" s="34" t="e">
        <f>VLOOKUP(Allocation[[#This Row],[SAP Contract number]],Shipments[[SAP Contract number]:[RA Premium USD]],25,FALSE)</f>
        <v>#N/A</v>
      </c>
      <c r="Y1683" s="38">
        <f>Allocation[[#This Row],[Quantity Processed]]/Allocation[[#This Row],[Quantity allocated]]</f>
        <v>3.030188679245283</v>
      </c>
      <c r="Z1683" s="34" t="b">
        <f>Allocation[[#This Row],[Quantity allocated]]&lt;=Allocation[[#This Row],[Quantity Processed]]</f>
        <v>1</v>
      </c>
    </row>
    <row r="1684" spans="1:26">
      <c r="A1684" s="247" t="s">
        <v>467</v>
      </c>
      <c r="B1684" s="210" t="s">
        <v>68</v>
      </c>
      <c r="C1684" s="254" t="s">
        <v>1407</v>
      </c>
      <c r="D1684" s="255">
        <v>112</v>
      </c>
      <c r="E1684" s="211" t="s">
        <v>1914</v>
      </c>
      <c r="F1684" s="212">
        <v>43542</v>
      </c>
      <c r="G1684" s="213">
        <v>2.62</v>
      </c>
      <c r="H1684" s="256">
        <v>47</v>
      </c>
      <c r="I1684" s="214">
        <v>1453743</v>
      </c>
      <c r="J1684" s="215">
        <v>19175</v>
      </c>
      <c r="K1684" s="212">
        <v>43595</v>
      </c>
      <c r="L1684" s="211" t="s">
        <v>1327</v>
      </c>
      <c r="M1684" s="216">
        <v>4615506885</v>
      </c>
      <c r="N1684" s="212">
        <v>43614</v>
      </c>
      <c r="O1684" s="217">
        <v>3.9746999999999999</v>
      </c>
      <c r="P1684" s="219"/>
      <c r="Q1684" s="34">
        <f>SUMIF(Allocation[Delivery ID],Allocation[[#This Row],[Delivery ID]],Allocation[Quantity Processed])</f>
        <v>1117</v>
      </c>
      <c r="R1684" s="61">
        <f>Allocation[[#This Row],[Total volume used]]/VLOOKUP(Allocation[[#This Row],[Delivery ID]],Delivery[[Delivery ID]:[Quantity delivered]],3,FALSE)</f>
        <v>0.10918866080156403</v>
      </c>
      <c r="S1684" s="34">
        <f>Allocation[[#This Row],[Quantity Processed]]/Allocation[[#This Row],[Dilution rate]]</f>
        <v>42.748091603053432</v>
      </c>
      <c r="T1684" s="59">
        <f>SUMIF(Allocation[Delivery ID],Allocation[[#This Row],[Delivery ID]],Allocation[Quantity allocated])/SUMIF(Allocation[Delivery ID],Allocation[[#This Row],[Delivery ID]],Allocation[Volume available (kg)])</f>
        <v>0.94175676352267901</v>
      </c>
      <c r="U1684" s="61">
        <f>Allocation[[#This Row],[Total volume used]]/VLOOKUP(Allocation[[#This Row],[Delivery ID]],Delivery[[Delivery ID]:[Quantity delivered]],3,FALSE)</f>
        <v>0.10918866080156403</v>
      </c>
      <c r="V1684" s="34" t="e">
        <f>VLOOKUP(Allocation[[#This Row],[SAP Contract number]],Shipments[[SAP Contract number]:[Contracted container weight]],2,FALSE)</f>
        <v>#N/A</v>
      </c>
      <c r="W1684" s="34" t="e">
        <f>VLOOKUP(Allocation[[#This Row],[SAP Contract number]],Shipments[[SAP Contract number]:[AAA Premium USD]],24,FALSE)</f>
        <v>#N/A</v>
      </c>
      <c r="X1684" s="34" t="e">
        <f>VLOOKUP(Allocation[[#This Row],[SAP Contract number]],Shipments[[SAP Contract number]:[RA Premium USD]],25,FALSE)</f>
        <v>#N/A</v>
      </c>
      <c r="Y1684" s="38">
        <f>Allocation[[#This Row],[Quantity Processed]]/Allocation[[#This Row],[Quantity allocated]]</f>
        <v>2.3829787234042552</v>
      </c>
      <c r="Z1684" s="34" t="b">
        <f>Allocation[[#This Row],[Quantity allocated]]&lt;=Allocation[[#This Row],[Quantity Processed]]</f>
        <v>1</v>
      </c>
    </row>
    <row r="1685" spans="1:26">
      <c r="A1685" s="247" t="s">
        <v>467</v>
      </c>
      <c r="B1685" s="210" t="s">
        <v>68</v>
      </c>
      <c r="C1685" s="254" t="s">
        <v>1408</v>
      </c>
      <c r="D1685" s="255">
        <v>405</v>
      </c>
      <c r="E1685" s="211" t="s">
        <v>1914</v>
      </c>
      <c r="F1685" s="212">
        <v>43542</v>
      </c>
      <c r="G1685" s="213">
        <v>2.62</v>
      </c>
      <c r="H1685" s="256">
        <v>170</v>
      </c>
      <c r="I1685" s="214">
        <v>1453743</v>
      </c>
      <c r="J1685" s="215">
        <v>19175</v>
      </c>
      <c r="K1685" s="212">
        <v>43595</v>
      </c>
      <c r="L1685" s="211" t="s">
        <v>1327</v>
      </c>
      <c r="M1685" s="216">
        <v>4615506885</v>
      </c>
      <c r="N1685" s="212">
        <v>43614</v>
      </c>
      <c r="O1685" s="217">
        <v>3.9746999999999999</v>
      </c>
      <c r="P1685" s="219"/>
      <c r="Q1685" s="34">
        <f>SUMIF(Allocation[Delivery ID],Allocation[[#This Row],[Delivery ID]],Allocation[Quantity Processed])</f>
        <v>2375</v>
      </c>
      <c r="R1685" s="61">
        <f>Allocation[[#This Row],[Total volume used]]/VLOOKUP(Allocation[[#This Row],[Delivery ID]],Delivery[[Delivery ID]:[Quantity delivered]],3,FALSE)</f>
        <v>0.1185129740518962</v>
      </c>
      <c r="S1685" s="34">
        <f>Allocation[[#This Row],[Quantity Processed]]/Allocation[[#This Row],[Dilution rate]]</f>
        <v>154.58015267175571</v>
      </c>
      <c r="T1685" s="59">
        <f>SUMIF(Allocation[Delivery ID],Allocation[[#This Row],[Delivery ID]],Allocation[Quantity allocated])/SUMIF(Allocation[Delivery ID],Allocation[[#This Row],[Delivery ID]],Allocation[Volume available (kg)])</f>
        <v>0.95232763112325824</v>
      </c>
      <c r="U1685" s="61">
        <f>Allocation[[#This Row],[Total volume used]]/VLOOKUP(Allocation[[#This Row],[Delivery ID]],Delivery[[Delivery ID]:[Quantity delivered]],3,FALSE)</f>
        <v>0.1185129740518962</v>
      </c>
      <c r="V1685" s="34" t="e">
        <f>VLOOKUP(Allocation[[#This Row],[SAP Contract number]],Shipments[[SAP Contract number]:[Contracted container weight]],2,FALSE)</f>
        <v>#N/A</v>
      </c>
      <c r="W1685" s="34" t="e">
        <f>VLOOKUP(Allocation[[#This Row],[SAP Contract number]],Shipments[[SAP Contract number]:[AAA Premium USD]],24,FALSE)</f>
        <v>#N/A</v>
      </c>
      <c r="X1685" s="34" t="e">
        <f>VLOOKUP(Allocation[[#This Row],[SAP Contract number]],Shipments[[SAP Contract number]:[RA Premium USD]],25,FALSE)</f>
        <v>#N/A</v>
      </c>
      <c r="Y1685" s="38">
        <f>Allocation[[#This Row],[Quantity Processed]]/Allocation[[#This Row],[Quantity allocated]]</f>
        <v>2.3823529411764706</v>
      </c>
      <c r="Z1685" s="34" t="b">
        <f>Allocation[[#This Row],[Quantity allocated]]&lt;=Allocation[[#This Row],[Quantity Processed]]</f>
        <v>1</v>
      </c>
    </row>
    <row r="1686" spans="1:26">
      <c r="A1686" s="247" t="s">
        <v>467</v>
      </c>
      <c r="B1686" s="210" t="s">
        <v>68</v>
      </c>
      <c r="C1686" s="254" t="s">
        <v>1411</v>
      </c>
      <c r="D1686" s="255">
        <v>4155</v>
      </c>
      <c r="E1686" s="211" t="s">
        <v>1914</v>
      </c>
      <c r="F1686" s="212">
        <v>43542</v>
      </c>
      <c r="G1686" s="213">
        <v>2.62</v>
      </c>
      <c r="H1686" s="256">
        <v>1371</v>
      </c>
      <c r="I1686" s="214">
        <v>1453743</v>
      </c>
      <c r="J1686" s="215">
        <v>19175</v>
      </c>
      <c r="K1686" s="212">
        <v>43595</v>
      </c>
      <c r="L1686" s="211" t="s">
        <v>1327</v>
      </c>
      <c r="M1686" s="216">
        <v>4615506885</v>
      </c>
      <c r="N1686" s="212">
        <v>43614</v>
      </c>
      <c r="O1686" s="217">
        <v>3.9746999999999999</v>
      </c>
      <c r="P1686" s="219"/>
      <c r="Q1686" s="34">
        <f>SUMIF(Allocation[Delivery ID],Allocation[[#This Row],[Delivery ID]],Allocation[Quantity Processed])</f>
        <v>13853</v>
      </c>
      <c r="R1686" s="61">
        <f>Allocation[[#This Row],[Total volume used]]/VLOOKUP(Allocation[[#This Row],[Delivery ID]],Delivery[[Delivery ID]:[Quantity delivered]],3,FALSE)</f>
        <v>0.43700315457413247</v>
      </c>
      <c r="S1686" s="34">
        <f>Allocation[[#This Row],[Quantity Processed]]/Allocation[[#This Row],[Dilution rate]]</f>
        <v>1585.8778625954199</v>
      </c>
      <c r="T1686" s="59">
        <f>SUMIF(Allocation[Delivery ID],Allocation[[#This Row],[Delivery ID]],Allocation[Quantity allocated])/SUMIF(Allocation[Delivery ID],Allocation[[#This Row],[Delivery ID]],Allocation[Volume available (kg)])</f>
        <v>0.88022818013421911</v>
      </c>
      <c r="U1686" s="61">
        <f>Allocation[[#This Row],[Total volume used]]/VLOOKUP(Allocation[[#This Row],[Delivery ID]],Delivery[[Delivery ID]:[Quantity delivered]],3,FALSE)</f>
        <v>0.43700315457413247</v>
      </c>
      <c r="V1686" s="34" t="e">
        <f>VLOOKUP(Allocation[[#This Row],[SAP Contract number]],Shipments[[SAP Contract number]:[Contracted container weight]],2,FALSE)</f>
        <v>#N/A</v>
      </c>
      <c r="W1686" s="34" t="e">
        <f>VLOOKUP(Allocation[[#This Row],[SAP Contract number]],Shipments[[SAP Contract number]:[AAA Premium USD]],24,FALSE)</f>
        <v>#N/A</v>
      </c>
      <c r="X1686" s="34" t="e">
        <f>VLOOKUP(Allocation[[#This Row],[SAP Contract number]],Shipments[[SAP Contract number]:[RA Premium USD]],25,FALSE)</f>
        <v>#N/A</v>
      </c>
      <c r="Y1686" s="38">
        <f>Allocation[[#This Row],[Quantity Processed]]/Allocation[[#This Row],[Quantity allocated]]</f>
        <v>3.0306345733041575</v>
      </c>
      <c r="Z1686" s="34" t="b">
        <f>Allocation[[#This Row],[Quantity allocated]]&lt;=Allocation[[#This Row],[Quantity Processed]]</f>
        <v>1</v>
      </c>
    </row>
    <row r="1687" spans="1:26">
      <c r="A1687" s="247" t="s">
        <v>467</v>
      </c>
      <c r="B1687" s="210" t="s">
        <v>68</v>
      </c>
      <c r="C1687" s="254" t="s">
        <v>584</v>
      </c>
      <c r="D1687" s="255">
        <v>1131</v>
      </c>
      <c r="E1687" s="211" t="s">
        <v>1914</v>
      </c>
      <c r="F1687" s="212">
        <v>43542</v>
      </c>
      <c r="G1687" s="213">
        <v>2.62</v>
      </c>
      <c r="H1687" s="256">
        <v>380</v>
      </c>
      <c r="I1687" s="214">
        <v>1453743</v>
      </c>
      <c r="J1687" s="215">
        <v>19175</v>
      </c>
      <c r="K1687" s="212">
        <v>43595</v>
      </c>
      <c r="L1687" s="211" t="s">
        <v>1327</v>
      </c>
      <c r="M1687" s="216">
        <v>4615506885</v>
      </c>
      <c r="N1687" s="212">
        <v>43614</v>
      </c>
      <c r="O1687" s="217">
        <v>3.9746999999999999</v>
      </c>
      <c r="P1687" s="219"/>
      <c r="Q1687" s="34">
        <f>SUMIF(Allocation[Delivery ID],Allocation[[#This Row],[Delivery ID]],Allocation[Quantity Processed])</f>
        <v>28370</v>
      </c>
      <c r="R1687" s="61">
        <f>Allocation[[#This Row],[Total volume used]]/VLOOKUP(Allocation[[#This Row],[Delivery ID]],Delivery[[Delivery ID]:[Quantity delivered]],3,FALSE)</f>
        <v>1</v>
      </c>
      <c r="S1687" s="34">
        <f>Allocation[[#This Row],[Quantity Processed]]/Allocation[[#This Row],[Dilution rate]]</f>
        <v>431.67938931297709</v>
      </c>
      <c r="T1687" s="59">
        <f>SUMIF(Allocation[Delivery ID],Allocation[[#This Row],[Delivery ID]],Allocation[Quantity allocated])/SUMIF(Allocation[Delivery ID],Allocation[[#This Row],[Delivery ID]],Allocation[Volume available (kg)])</f>
        <v>0.81474893473147059</v>
      </c>
      <c r="U1687" s="61">
        <f>Allocation[[#This Row],[Total volume used]]/VLOOKUP(Allocation[[#This Row],[Delivery ID]],Delivery[[Delivery ID]:[Quantity delivered]],3,FALSE)</f>
        <v>1</v>
      </c>
      <c r="V1687" s="34" t="e">
        <f>VLOOKUP(Allocation[[#This Row],[SAP Contract number]],Shipments[[SAP Contract number]:[Contracted container weight]],2,FALSE)</f>
        <v>#N/A</v>
      </c>
      <c r="W1687" s="34" t="e">
        <f>VLOOKUP(Allocation[[#This Row],[SAP Contract number]],Shipments[[SAP Contract number]:[AAA Premium USD]],24,FALSE)</f>
        <v>#N/A</v>
      </c>
      <c r="X1687" s="34" t="e">
        <f>VLOOKUP(Allocation[[#This Row],[SAP Contract number]],Shipments[[SAP Contract number]:[RA Premium USD]],25,FALSE)</f>
        <v>#N/A</v>
      </c>
      <c r="Y1687" s="38">
        <f>Allocation[[#This Row],[Quantity Processed]]/Allocation[[#This Row],[Quantity allocated]]</f>
        <v>2.9763157894736842</v>
      </c>
      <c r="Z1687" s="34" t="b">
        <f>Allocation[[#This Row],[Quantity allocated]]&lt;=Allocation[[#This Row],[Quantity Processed]]</f>
        <v>1</v>
      </c>
    </row>
    <row r="1688" spans="1:26">
      <c r="A1688" s="247" t="s">
        <v>467</v>
      </c>
      <c r="B1688" s="210" t="s">
        <v>68</v>
      </c>
      <c r="C1688" s="254" t="s">
        <v>586</v>
      </c>
      <c r="D1688" s="255">
        <v>316</v>
      </c>
      <c r="E1688" s="211" t="s">
        <v>1914</v>
      </c>
      <c r="F1688" s="212">
        <v>43542</v>
      </c>
      <c r="G1688" s="213">
        <v>2.62</v>
      </c>
      <c r="H1688" s="256">
        <v>105</v>
      </c>
      <c r="I1688" s="214">
        <v>1453743</v>
      </c>
      <c r="J1688" s="215">
        <v>19175</v>
      </c>
      <c r="K1688" s="212">
        <v>43595</v>
      </c>
      <c r="L1688" s="211" t="s">
        <v>1327</v>
      </c>
      <c r="M1688" s="216">
        <v>4615506885</v>
      </c>
      <c r="N1688" s="212">
        <v>43614</v>
      </c>
      <c r="O1688" s="217">
        <v>3.9746999999999999</v>
      </c>
      <c r="P1688" s="219"/>
      <c r="Q1688" s="34">
        <f>SUMIF(Allocation[Delivery ID],Allocation[[#This Row],[Delivery ID]],Allocation[Quantity Processed])</f>
        <v>27030</v>
      </c>
      <c r="R1688" s="61">
        <f>Allocation[[#This Row],[Total volume used]]/VLOOKUP(Allocation[[#This Row],[Delivery ID]],Delivery[[Delivery ID]:[Quantity delivered]],3,FALSE)</f>
        <v>1</v>
      </c>
      <c r="S1688" s="34">
        <f>Allocation[[#This Row],[Quantity Processed]]/Allocation[[#This Row],[Dilution rate]]</f>
        <v>120.61068702290076</v>
      </c>
      <c r="T1688" s="59">
        <f>SUMIF(Allocation[Delivery ID],Allocation[[#This Row],[Delivery ID]],Allocation[Quantity allocated])/SUMIF(Allocation[Delivery ID],Allocation[[#This Row],[Delivery ID]],Allocation[Volume available (kg)])</f>
        <v>0.81452364840962477</v>
      </c>
      <c r="U1688" s="61">
        <f>Allocation[[#This Row],[Total volume used]]/VLOOKUP(Allocation[[#This Row],[Delivery ID]],Delivery[[Delivery ID]:[Quantity delivered]],3,FALSE)</f>
        <v>1</v>
      </c>
      <c r="V1688" s="34" t="e">
        <f>VLOOKUP(Allocation[[#This Row],[SAP Contract number]],Shipments[[SAP Contract number]:[Contracted container weight]],2,FALSE)</f>
        <v>#N/A</v>
      </c>
      <c r="W1688" s="34" t="e">
        <f>VLOOKUP(Allocation[[#This Row],[SAP Contract number]],Shipments[[SAP Contract number]:[AAA Premium USD]],24,FALSE)</f>
        <v>#N/A</v>
      </c>
      <c r="X1688" s="34" t="e">
        <f>VLOOKUP(Allocation[[#This Row],[SAP Contract number]],Shipments[[SAP Contract number]:[RA Premium USD]],25,FALSE)</f>
        <v>#N/A</v>
      </c>
      <c r="Y1688" s="38">
        <f>Allocation[[#This Row],[Quantity Processed]]/Allocation[[#This Row],[Quantity allocated]]</f>
        <v>3.0095238095238095</v>
      </c>
      <c r="Z1688" s="34" t="b">
        <f>Allocation[[#This Row],[Quantity allocated]]&lt;=Allocation[[#This Row],[Quantity Processed]]</f>
        <v>1</v>
      </c>
    </row>
    <row r="1689" spans="1:26">
      <c r="A1689" s="247" t="s">
        <v>467</v>
      </c>
      <c r="B1689" s="210" t="s">
        <v>68</v>
      </c>
      <c r="C1689" s="254" t="s">
        <v>586</v>
      </c>
      <c r="D1689" s="255">
        <v>766</v>
      </c>
      <c r="E1689" s="211" t="s">
        <v>1914</v>
      </c>
      <c r="F1689" s="212">
        <v>43542</v>
      </c>
      <c r="G1689" s="213">
        <v>2.62</v>
      </c>
      <c r="H1689" s="256">
        <v>255</v>
      </c>
      <c r="I1689" s="214">
        <v>1453744</v>
      </c>
      <c r="J1689" s="215">
        <v>19175</v>
      </c>
      <c r="K1689" s="212">
        <v>43595</v>
      </c>
      <c r="L1689" s="211" t="s">
        <v>1328</v>
      </c>
      <c r="M1689" s="216">
        <v>4615506885</v>
      </c>
      <c r="N1689" s="212">
        <v>43614</v>
      </c>
      <c r="O1689" s="217">
        <v>3.9746999999999999</v>
      </c>
      <c r="P1689" s="219"/>
      <c r="Q1689" s="34">
        <f>SUMIF(Allocation[Delivery ID],Allocation[[#This Row],[Delivery ID]],Allocation[Quantity Processed])</f>
        <v>27030</v>
      </c>
      <c r="R1689" s="61">
        <f>Allocation[[#This Row],[Total volume used]]/VLOOKUP(Allocation[[#This Row],[Delivery ID]],Delivery[[Delivery ID]:[Quantity delivered]],3,FALSE)</f>
        <v>1</v>
      </c>
      <c r="S1689" s="34">
        <f>Allocation[[#This Row],[Quantity Processed]]/Allocation[[#This Row],[Dilution rate]]</f>
        <v>292.36641221374043</v>
      </c>
      <c r="T1689" s="59">
        <f>SUMIF(Allocation[Delivery ID],Allocation[[#This Row],[Delivery ID]],Allocation[Quantity allocated])/SUMIF(Allocation[Delivery ID],Allocation[[#This Row],[Delivery ID]],Allocation[Volume available (kg)])</f>
        <v>0.81452364840962477</v>
      </c>
      <c r="U1689" s="61">
        <f>Allocation[[#This Row],[Total volume used]]/VLOOKUP(Allocation[[#This Row],[Delivery ID]],Delivery[[Delivery ID]:[Quantity delivered]],3,FALSE)</f>
        <v>1</v>
      </c>
      <c r="V1689" s="34" t="e">
        <f>VLOOKUP(Allocation[[#This Row],[SAP Contract number]],Shipments[[SAP Contract number]:[Contracted container weight]],2,FALSE)</f>
        <v>#N/A</v>
      </c>
      <c r="W1689" s="34" t="e">
        <f>VLOOKUP(Allocation[[#This Row],[SAP Contract number]],Shipments[[SAP Contract number]:[AAA Premium USD]],24,FALSE)</f>
        <v>#N/A</v>
      </c>
      <c r="X1689" s="34" t="e">
        <f>VLOOKUP(Allocation[[#This Row],[SAP Contract number]],Shipments[[SAP Contract number]:[RA Premium USD]],25,FALSE)</f>
        <v>#N/A</v>
      </c>
      <c r="Y1689" s="38">
        <f>Allocation[[#This Row],[Quantity Processed]]/Allocation[[#This Row],[Quantity allocated]]</f>
        <v>3.003921568627451</v>
      </c>
      <c r="Z1689" s="34" t="b">
        <f>Allocation[[#This Row],[Quantity allocated]]&lt;=Allocation[[#This Row],[Quantity Processed]]</f>
        <v>1</v>
      </c>
    </row>
    <row r="1690" spans="1:26">
      <c r="A1690" s="247" t="s">
        <v>467</v>
      </c>
      <c r="B1690" s="210" t="s">
        <v>68</v>
      </c>
      <c r="C1690" s="254" t="s">
        <v>587</v>
      </c>
      <c r="D1690" s="255">
        <v>633</v>
      </c>
      <c r="E1690" s="211" t="s">
        <v>1914</v>
      </c>
      <c r="F1690" s="212">
        <v>43542</v>
      </c>
      <c r="G1690" s="213">
        <v>2.62</v>
      </c>
      <c r="H1690" s="256">
        <v>220</v>
      </c>
      <c r="I1690" s="214">
        <v>1453744</v>
      </c>
      <c r="J1690" s="215">
        <v>19175</v>
      </c>
      <c r="K1690" s="212">
        <v>43595</v>
      </c>
      <c r="L1690" s="211" t="s">
        <v>1328</v>
      </c>
      <c r="M1690" s="216">
        <v>4615506885</v>
      </c>
      <c r="N1690" s="212">
        <v>43614</v>
      </c>
      <c r="O1690" s="217">
        <v>3.9746999999999999</v>
      </c>
      <c r="P1690" s="219"/>
      <c r="Q1690" s="34">
        <f>SUMIF(Allocation[Delivery ID],Allocation[[#This Row],[Delivery ID]],Allocation[Quantity Processed])</f>
        <v>16230</v>
      </c>
      <c r="R1690" s="61">
        <f>Allocation[[#This Row],[Total volume used]]/VLOOKUP(Allocation[[#This Row],[Delivery ID]],Delivery[[Delivery ID]:[Quantity delivered]],3,FALSE)</f>
        <v>1</v>
      </c>
      <c r="S1690" s="34">
        <f>Allocation[[#This Row],[Quantity Processed]]/Allocation[[#This Row],[Dilution rate]]</f>
        <v>241.6030534351145</v>
      </c>
      <c r="T1690" s="59">
        <f>SUMIF(Allocation[Delivery ID],Allocation[[#This Row],[Delivery ID]],Allocation[Quantity allocated])/SUMIF(Allocation[Delivery ID],Allocation[[#This Row],[Delivery ID]],Allocation[Volume available (kg)])</f>
        <v>0.81574057047417459</v>
      </c>
      <c r="U1690" s="61">
        <f>Allocation[[#This Row],[Total volume used]]/VLOOKUP(Allocation[[#This Row],[Delivery ID]],Delivery[[Delivery ID]:[Quantity delivered]],3,FALSE)</f>
        <v>1</v>
      </c>
      <c r="V1690" s="34" t="e">
        <f>VLOOKUP(Allocation[[#This Row],[SAP Contract number]],Shipments[[SAP Contract number]:[Contracted container weight]],2,FALSE)</f>
        <v>#N/A</v>
      </c>
      <c r="W1690" s="34" t="e">
        <f>VLOOKUP(Allocation[[#This Row],[SAP Contract number]],Shipments[[SAP Contract number]:[AAA Premium USD]],24,FALSE)</f>
        <v>#N/A</v>
      </c>
      <c r="X1690" s="34" t="e">
        <f>VLOOKUP(Allocation[[#This Row],[SAP Contract number]],Shipments[[SAP Contract number]:[RA Premium USD]],25,FALSE)</f>
        <v>#N/A</v>
      </c>
      <c r="Y1690" s="38">
        <f>Allocation[[#This Row],[Quantity Processed]]/Allocation[[#This Row],[Quantity allocated]]</f>
        <v>2.8772727272727274</v>
      </c>
      <c r="Z1690" s="34" t="b">
        <f>Allocation[[#This Row],[Quantity allocated]]&lt;=Allocation[[#This Row],[Quantity Processed]]</f>
        <v>1</v>
      </c>
    </row>
    <row r="1691" spans="1:26">
      <c r="A1691" s="247" t="s">
        <v>467</v>
      </c>
      <c r="B1691" s="210" t="s">
        <v>68</v>
      </c>
      <c r="C1691" s="254" t="s">
        <v>1415</v>
      </c>
      <c r="D1691" s="255">
        <v>373</v>
      </c>
      <c r="E1691" s="211" t="s">
        <v>1914</v>
      </c>
      <c r="F1691" s="212">
        <v>43542</v>
      </c>
      <c r="G1691" s="213">
        <v>2.62</v>
      </c>
      <c r="H1691" s="256">
        <v>123</v>
      </c>
      <c r="I1691" s="214">
        <v>1453744</v>
      </c>
      <c r="J1691" s="215">
        <v>19175</v>
      </c>
      <c r="K1691" s="212">
        <v>43595</v>
      </c>
      <c r="L1691" s="211" t="s">
        <v>1328</v>
      </c>
      <c r="M1691" s="216">
        <v>4615506885</v>
      </c>
      <c r="N1691" s="212">
        <v>43614</v>
      </c>
      <c r="O1691" s="217">
        <v>3.9746999999999999</v>
      </c>
      <c r="P1691" s="219"/>
      <c r="Q1691" s="34">
        <f>SUMIF(Allocation[Delivery ID],Allocation[[#This Row],[Delivery ID]],Allocation[Quantity Processed])</f>
        <v>1525</v>
      </c>
      <c r="R1691" s="61">
        <f>Allocation[[#This Row],[Total volume used]]/VLOOKUP(Allocation[[#This Row],[Delivery ID]],Delivery[[Delivery ID]:[Quantity delivered]],3,FALSE)</f>
        <v>0.29214559386973182</v>
      </c>
      <c r="S1691" s="34">
        <f>Allocation[[#This Row],[Quantity Processed]]/Allocation[[#This Row],[Dilution rate]]</f>
        <v>142.36641221374046</v>
      </c>
      <c r="T1691" s="59">
        <f>SUMIF(Allocation[Delivery ID],Allocation[[#This Row],[Delivery ID]],Allocation[Quantity allocated])/SUMIF(Allocation[Delivery ID],Allocation[[#This Row],[Delivery ID]],Allocation[Volume available (kg)])</f>
        <v>0.88004140870419656</v>
      </c>
      <c r="U1691" s="61">
        <f>Allocation[[#This Row],[Total volume used]]/VLOOKUP(Allocation[[#This Row],[Delivery ID]],Delivery[[Delivery ID]:[Quantity delivered]],3,FALSE)</f>
        <v>0.29214559386973182</v>
      </c>
      <c r="V1691" s="34" t="e">
        <f>VLOOKUP(Allocation[[#This Row],[SAP Contract number]],Shipments[[SAP Contract number]:[Contracted container weight]],2,FALSE)</f>
        <v>#N/A</v>
      </c>
      <c r="W1691" s="34" t="e">
        <f>VLOOKUP(Allocation[[#This Row],[SAP Contract number]],Shipments[[SAP Contract number]:[AAA Premium USD]],24,FALSE)</f>
        <v>#N/A</v>
      </c>
      <c r="X1691" s="34" t="e">
        <f>VLOOKUP(Allocation[[#This Row],[SAP Contract number]],Shipments[[SAP Contract number]:[RA Premium USD]],25,FALSE)</f>
        <v>#N/A</v>
      </c>
      <c r="Y1691" s="38">
        <f>Allocation[[#This Row],[Quantity Processed]]/Allocation[[#This Row],[Quantity allocated]]</f>
        <v>3.0325203252032522</v>
      </c>
      <c r="Z1691" s="34" t="b">
        <f>Allocation[[#This Row],[Quantity allocated]]&lt;=Allocation[[#This Row],[Quantity Processed]]</f>
        <v>1</v>
      </c>
    </row>
    <row r="1692" spans="1:26">
      <c r="A1692" s="247" t="s">
        <v>467</v>
      </c>
      <c r="B1692" s="210" t="s">
        <v>68</v>
      </c>
      <c r="C1692" s="254" t="s">
        <v>592</v>
      </c>
      <c r="D1692" s="255">
        <v>99</v>
      </c>
      <c r="E1692" s="211" t="s">
        <v>1914</v>
      </c>
      <c r="F1692" s="212">
        <v>43542</v>
      </c>
      <c r="G1692" s="213">
        <v>2.62</v>
      </c>
      <c r="H1692" s="256">
        <v>34</v>
      </c>
      <c r="I1692" s="214">
        <v>1453744</v>
      </c>
      <c r="J1692" s="215">
        <v>19175</v>
      </c>
      <c r="K1692" s="212">
        <v>43595</v>
      </c>
      <c r="L1692" s="211" t="s">
        <v>1328</v>
      </c>
      <c r="M1692" s="216">
        <v>4615506885</v>
      </c>
      <c r="N1692" s="212">
        <v>43614</v>
      </c>
      <c r="O1692" s="217">
        <v>3.9746999999999999</v>
      </c>
      <c r="P1692" s="219"/>
      <c r="Q1692" s="34">
        <f>SUMIF(Allocation[Delivery ID],Allocation[[#This Row],[Delivery ID]],Allocation[Quantity Processed])</f>
        <v>11220</v>
      </c>
      <c r="R1692" s="61">
        <f>Allocation[[#This Row],[Total volume used]]/VLOOKUP(Allocation[[#This Row],[Delivery ID]],Delivery[[Delivery ID]:[Quantity delivered]],3,FALSE)</f>
        <v>1</v>
      </c>
      <c r="S1692" s="34">
        <f>Allocation[[#This Row],[Quantity Processed]]/Allocation[[#This Row],[Dilution rate]]</f>
        <v>37.786259541984734</v>
      </c>
      <c r="T1692" s="59">
        <f>SUMIF(Allocation[Delivery ID],Allocation[[#This Row],[Delivery ID]],Allocation[Quantity allocated])/SUMIF(Allocation[Delivery ID],Allocation[[#This Row],[Delivery ID]],Allocation[Volume available (kg)])</f>
        <v>0.7826926411263051</v>
      </c>
      <c r="U1692" s="61">
        <f>Allocation[[#This Row],[Total volume used]]/VLOOKUP(Allocation[[#This Row],[Delivery ID]],Delivery[[Delivery ID]:[Quantity delivered]],3,FALSE)</f>
        <v>1</v>
      </c>
      <c r="V1692" s="34" t="e">
        <f>VLOOKUP(Allocation[[#This Row],[SAP Contract number]],Shipments[[SAP Contract number]:[Contracted container weight]],2,FALSE)</f>
        <v>#N/A</v>
      </c>
      <c r="W1692" s="34" t="e">
        <f>VLOOKUP(Allocation[[#This Row],[SAP Contract number]],Shipments[[SAP Contract number]:[AAA Premium USD]],24,FALSE)</f>
        <v>#N/A</v>
      </c>
      <c r="X1692" s="34" t="e">
        <f>VLOOKUP(Allocation[[#This Row],[SAP Contract number]],Shipments[[SAP Contract number]:[RA Premium USD]],25,FALSE)</f>
        <v>#N/A</v>
      </c>
      <c r="Y1692" s="38">
        <f>Allocation[[#This Row],[Quantity Processed]]/Allocation[[#This Row],[Quantity allocated]]</f>
        <v>2.9117647058823528</v>
      </c>
      <c r="Z1692" s="34" t="b">
        <f>Allocation[[#This Row],[Quantity allocated]]&lt;=Allocation[[#This Row],[Quantity Processed]]</f>
        <v>1</v>
      </c>
    </row>
    <row r="1693" spans="1:26">
      <c r="A1693" s="247" t="s">
        <v>467</v>
      </c>
      <c r="B1693" s="210" t="s">
        <v>68</v>
      </c>
      <c r="C1693" s="254" t="s">
        <v>1420</v>
      </c>
      <c r="D1693" s="255">
        <v>396</v>
      </c>
      <c r="E1693" s="211" t="s">
        <v>1914</v>
      </c>
      <c r="F1693" s="212">
        <v>43542</v>
      </c>
      <c r="G1693" s="213">
        <v>2.62</v>
      </c>
      <c r="H1693" s="256">
        <v>178</v>
      </c>
      <c r="I1693" s="214">
        <v>1453744</v>
      </c>
      <c r="J1693" s="215">
        <v>19175</v>
      </c>
      <c r="K1693" s="212">
        <v>43595</v>
      </c>
      <c r="L1693" s="211" t="s">
        <v>1328</v>
      </c>
      <c r="M1693" s="216">
        <v>4615506885</v>
      </c>
      <c r="N1693" s="212">
        <v>43614</v>
      </c>
      <c r="O1693" s="217">
        <v>3.9746999999999999</v>
      </c>
      <c r="P1693" s="219"/>
      <c r="Q1693" s="34">
        <f>SUMIF(Allocation[Delivery ID],Allocation[[#This Row],[Delivery ID]],Allocation[Quantity Processed])</f>
        <v>2318</v>
      </c>
      <c r="R1693" s="61">
        <f>Allocation[[#This Row],[Total volume used]]/VLOOKUP(Allocation[[#This Row],[Delivery ID]],Delivery[[Delivery ID]:[Quantity delivered]],3,FALSE)</f>
        <v>0.11043353978084802</v>
      </c>
      <c r="S1693" s="34">
        <f>Allocation[[#This Row],[Quantity Processed]]/Allocation[[#This Row],[Dilution rate]]</f>
        <v>151.14503816793894</v>
      </c>
      <c r="T1693" s="59">
        <f>SUMIF(Allocation[Delivery ID],Allocation[[#This Row],[Delivery ID]],Allocation[Quantity allocated])/SUMIF(Allocation[Delivery ID],Allocation[[#This Row],[Delivery ID]],Allocation[Volume available (kg)])</f>
        <v>1.0207533828338875</v>
      </c>
      <c r="U1693" s="61">
        <f>Allocation[[#This Row],[Total volume used]]/VLOOKUP(Allocation[[#This Row],[Delivery ID]],Delivery[[Delivery ID]:[Quantity delivered]],3,FALSE)</f>
        <v>0.11043353978084802</v>
      </c>
      <c r="V1693" s="34" t="e">
        <f>VLOOKUP(Allocation[[#This Row],[SAP Contract number]],Shipments[[SAP Contract number]:[Contracted container weight]],2,FALSE)</f>
        <v>#N/A</v>
      </c>
      <c r="W1693" s="34" t="e">
        <f>VLOOKUP(Allocation[[#This Row],[SAP Contract number]],Shipments[[SAP Contract number]:[AAA Premium USD]],24,FALSE)</f>
        <v>#N/A</v>
      </c>
      <c r="X1693" s="34" t="e">
        <f>VLOOKUP(Allocation[[#This Row],[SAP Contract number]],Shipments[[SAP Contract number]:[RA Premium USD]],25,FALSE)</f>
        <v>#N/A</v>
      </c>
      <c r="Y1693" s="38">
        <f>Allocation[[#This Row],[Quantity Processed]]/Allocation[[#This Row],[Quantity allocated]]</f>
        <v>2.2247191011235956</v>
      </c>
      <c r="Z1693" s="34" t="b">
        <f>Allocation[[#This Row],[Quantity allocated]]&lt;=Allocation[[#This Row],[Quantity Processed]]</f>
        <v>1</v>
      </c>
    </row>
    <row r="1694" spans="1:26">
      <c r="A1694" s="247" t="s">
        <v>467</v>
      </c>
      <c r="B1694" s="210" t="s">
        <v>68</v>
      </c>
      <c r="C1694" s="254" t="s">
        <v>597</v>
      </c>
      <c r="D1694" s="255">
        <v>882</v>
      </c>
      <c r="E1694" s="211" t="s">
        <v>1914</v>
      </c>
      <c r="F1694" s="212">
        <v>43542</v>
      </c>
      <c r="G1694" s="213">
        <v>2.62</v>
      </c>
      <c r="H1694" s="256">
        <v>432</v>
      </c>
      <c r="I1694" s="214">
        <v>1453744</v>
      </c>
      <c r="J1694" s="215">
        <v>19175</v>
      </c>
      <c r="K1694" s="212">
        <v>43595</v>
      </c>
      <c r="L1694" s="211" t="s">
        <v>1328</v>
      </c>
      <c r="M1694" s="216">
        <v>4615506885</v>
      </c>
      <c r="N1694" s="212">
        <v>43614</v>
      </c>
      <c r="O1694" s="217">
        <v>3.9746999999999999</v>
      </c>
      <c r="P1694" s="219"/>
      <c r="Q1694" s="34">
        <f>SUMIF(Allocation[Delivery ID],Allocation[[#This Row],[Delivery ID]],Allocation[Quantity Processed])</f>
        <v>9699</v>
      </c>
      <c r="R1694" s="61">
        <f>Allocation[[#This Row],[Total volume used]]/VLOOKUP(Allocation[[#This Row],[Delivery ID]],Delivery[[Delivery ID]:[Quantity delivered]],3,FALSE)</f>
        <v>0.4747430249632893</v>
      </c>
      <c r="S1694" s="34">
        <f>Allocation[[#This Row],[Quantity Processed]]/Allocation[[#This Row],[Dilution rate]]</f>
        <v>336.64122137404581</v>
      </c>
      <c r="T1694" s="59">
        <f>SUMIF(Allocation[Delivery ID],Allocation[[#This Row],[Delivery ID]],Allocation[Quantity allocated])/SUMIF(Allocation[Delivery ID],Allocation[[#This Row],[Delivery ID]],Allocation[Volume available (kg)])</f>
        <v>1.0809257549804461</v>
      </c>
      <c r="U1694" s="61">
        <f>Allocation[[#This Row],[Total volume used]]/VLOOKUP(Allocation[[#This Row],[Delivery ID]],Delivery[[Delivery ID]:[Quantity delivered]],3,FALSE)</f>
        <v>0.4747430249632893</v>
      </c>
      <c r="V1694" s="34" t="e">
        <f>VLOOKUP(Allocation[[#This Row],[SAP Contract number]],Shipments[[SAP Contract number]:[Contracted container weight]],2,FALSE)</f>
        <v>#N/A</v>
      </c>
      <c r="W1694" s="34" t="e">
        <f>VLOOKUP(Allocation[[#This Row],[SAP Contract number]],Shipments[[SAP Contract number]:[AAA Premium USD]],24,FALSE)</f>
        <v>#N/A</v>
      </c>
      <c r="X1694" s="34" t="e">
        <f>VLOOKUP(Allocation[[#This Row],[SAP Contract number]],Shipments[[SAP Contract number]:[RA Premium USD]],25,FALSE)</f>
        <v>#N/A</v>
      </c>
      <c r="Y1694" s="38">
        <f>Allocation[[#This Row],[Quantity Processed]]/Allocation[[#This Row],[Quantity allocated]]</f>
        <v>2.0416666666666665</v>
      </c>
      <c r="Z1694" s="34" t="b">
        <f>Allocation[[#This Row],[Quantity allocated]]&lt;=Allocation[[#This Row],[Quantity Processed]]</f>
        <v>1</v>
      </c>
    </row>
    <row r="1695" spans="1:26">
      <c r="A1695" s="247" t="s">
        <v>467</v>
      </c>
      <c r="B1695" s="210" t="s">
        <v>68</v>
      </c>
      <c r="C1695" s="254" t="s">
        <v>1606</v>
      </c>
      <c r="D1695" s="255">
        <v>2052</v>
      </c>
      <c r="E1695" s="211" t="s">
        <v>1914</v>
      </c>
      <c r="F1695" s="212">
        <v>43542</v>
      </c>
      <c r="G1695" s="213">
        <v>2.62</v>
      </c>
      <c r="H1695" s="256">
        <v>677</v>
      </c>
      <c r="I1695" s="214">
        <v>1453744</v>
      </c>
      <c r="J1695" s="215">
        <v>19175</v>
      </c>
      <c r="K1695" s="212">
        <v>43595</v>
      </c>
      <c r="L1695" s="211" t="s">
        <v>1328</v>
      </c>
      <c r="M1695" s="216">
        <v>4615506885</v>
      </c>
      <c r="N1695" s="212">
        <v>43614</v>
      </c>
      <c r="O1695" s="217">
        <v>3.9746999999999999</v>
      </c>
      <c r="P1695" s="219"/>
      <c r="Q1695" s="34">
        <f>SUMIF(Allocation[Delivery ID],Allocation[[#This Row],[Delivery ID]],Allocation[Quantity Processed])</f>
        <v>5342</v>
      </c>
      <c r="R1695" s="61">
        <f>Allocation[[#This Row],[Total volume used]]/VLOOKUP(Allocation[[#This Row],[Delivery ID]],Delivery[[Delivery ID]:[Quantity delivered]],3,FALSE)</f>
        <v>0.29319429198682767</v>
      </c>
      <c r="S1695" s="34">
        <f>Allocation[[#This Row],[Quantity Processed]]/Allocation[[#This Row],[Dilution rate]]</f>
        <v>783.20610687022895</v>
      </c>
      <c r="T1695" s="59">
        <f>SUMIF(Allocation[Delivery ID],Allocation[[#This Row],[Delivery ID]],Allocation[Quantity allocated])/SUMIF(Allocation[Delivery ID],Allocation[[#This Row],[Delivery ID]],Allocation[Volume available (kg)])</f>
        <v>0.87749520815179838</v>
      </c>
      <c r="U1695" s="61">
        <f>Allocation[[#This Row],[Total volume used]]/VLOOKUP(Allocation[[#This Row],[Delivery ID]],Delivery[[Delivery ID]:[Quantity delivered]],3,FALSE)</f>
        <v>0.29319429198682767</v>
      </c>
      <c r="V1695" s="34" t="e">
        <f>VLOOKUP(Allocation[[#This Row],[SAP Contract number]],Shipments[[SAP Contract number]:[Contracted container weight]],2,FALSE)</f>
        <v>#N/A</v>
      </c>
      <c r="W1695" s="34" t="e">
        <f>VLOOKUP(Allocation[[#This Row],[SAP Contract number]],Shipments[[SAP Contract number]:[AAA Premium USD]],24,FALSE)</f>
        <v>#N/A</v>
      </c>
      <c r="X1695" s="34" t="e">
        <f>VLOOKUP(Allocation[[#This Row],[SAP Contract number]],Shipments[[SAP Contract number]:[RA Premium USD]],25,FALSE)</f>
        <v>#N/A</v>
      </c>
      <c r="Y1695" s="38">
        <f>Allocation[[#This Row],[Quantity Processed]]/Allocation[[#This Row],[Quantity allocated]]</f>
        <v>3.031019202363368</v>
      </c>
      <c r="Z1695" s="34" t="b">
        <f>Allocation[[#This Row],[Quantity allocated]]&lt;=Allocation[[#This Row],[Quantity Processed]]</f>
        <v>1</v>
      </c>
    </row>
    <row r="1696" spans="1:26">
      <c r="A1696" s="247" t="s">
        <v>467</v>
      </c>
      <c r="B1696" s="210" t="s">
        <v>68</v>
      </c>
      <c r="C1696" s="254" t="s">
        <v>1607</v>
      </c>
      <c r="D1696" s="255">
        <v>1315</v>
      </c>
      <c r="E1696" s="211" t="s">
        <v>1914</v>
      </c>
      <c r="F1696" s="212">
        <v>43542</v>
      </c>
      <c r="G1696" s="213">
        <v>2.62</v>
      </c>
      <c r="H1696" s="256">
        <v>539</v>
      </c>
      <c r="I1696" s="214">
        <v>1453744</v>
      </c>
      <c r="J1696" s="215">
        <v>19175</v>
      </c>
      <c r="K1696" s="212">
        <v>43595</v>
      </c>
      <c r="L1696" s="211" t="s">
        <v>1328</v>
      </c>
      <c r="M1696" s="216">
        <v>4615506885</v>
      </c>
      <c r="N1696" s="212">
        <v>43614</v>
      </c>
      <c r="O1696" s="217">
        <v>3.9746999999999999</v>
      </c>
      <c r="P1696" s="219"/>
      <c r="Q1696" s="34">
        <f>SUMIF(Allocation[Delivery ID],Allocation[[#This Row],[Delivery ID]],Allocation[Quantity Processed])</f>
        <v>3425</v>
      </c>
      <c r="R1696" s="61">
        <f>Allocation[[#This Row],[Total volume used]]/VLOOKUP(Allocation[[#This Row],[Delivery ID]],Delivery[[Delivery ID]:[Quantity delivered]],3,FALSE)</f>
        <v>0.23620689655172414</v>
      </c>
      <c r="S1696" s="34">
        <f>Allocation[[#This Row],[Quantity Processed]]/Allocation[[#This Row],[Dilution rate]]</f>
        <v>501.90839694656489</v>
      </c>
      <c r="T1696" s="59">
        <f>SUMIF(Allocation[Delivery ID],Allocation[[#This Row],[Delivery ID]],Allocation[Quantity allocated])/SUMIF(Allocation[Delivery ID],Allocation[[#This Row],[Delivery ID]],Allocation[Volume available (kg)])</f>
        <v>1.0899399916484667</v>
      </c>
      <c r="U1696" s="61">
        <f>Allocation[[#This Row],[Total volume used]]/VLOOKUP(Allocation[[#This Row],[Delivery ID]],Delivery[[Delivery ID]:[Quantity delivered]],3,FALSE)</f>
        <v>0.23620689655172414</v>
      </c>
      <c r="V1696" s="34" t="e">
        <f>VLOOKUP(Allocation[[#This Row],[SAP Contract number]],Shipments[[SAP Contract number]:[Contracted container weight]],2,FALSE)</f>
        <v>#N/A</v>
      </c>
      <c r="W1696" s="34" t="e">
        <f>VLOOKUP(Allocation[[#This Row],[SAP Contract number]],Shipments[[SAP Contract number]:[AAA Premium USD]],24,FALSE)</f>
        <v>#N/A</v>
      </c>
      <c r="X1696" s="34" t="e">
        <f>VLOOKUP(Allocation[[#This Row],[SAP Contract number]],Shipments[[SAP Contract number]:[RA Premium USD]],25,FALSE)</f>
        <v>#N/A</v>
      </c>
      <c r="Y1696" s="38">
        <f>Allocation[[#This Row],[Quantity Processed]]/Allocation[[#This Row],[Quantity allocated]]</f>
        <v>2.4397031539888681</v>
      </c>
      <c r="Z1696" s="34" t="b">
        <f>Allocation[[#This Row],[Quantity allocated]]&lt;=Allocation[[#This Row],[Quantity Processed]]</f>
        <v>1</v>
      </c>
    </row>
    <row r="1697" spans="1:26">
      <c r="A1697" s="247" t="s">
        <v>467</v>
      </c>
      <c r="B1697" s="210" t="s">
        <v>68</v>
      </c>
      <c r="C1697" s="254" t="s">
        <v>1608</v>
      </c>
      <c r="D1697" s="255">
        <v>207</v>
      </c>
      <c r="E1697" s="211" t="s">
        <v>1914</v>
      </c>
      <c r="F1697" s="212">
        <v>43542</v>
      </c>
      <c r="G1697" s="213">
        <v>2.62</v>
      </c>
      <c r="H1697" s="256">
        <v>85</v>
      </c>
      <c r="I1697" s="214">
        <v>1453744</v>
      </c>
      <c r="J1697" s="215">
        <v>19175</v>
      </c>
      <c r="K1697" s="212">
        <v>43595</v>
      </c>
      <c r="L1697" s="211" t="s">
        <v>1328</v>
      </c>
      <c r="M1697" s="216">
        <v>4615506885</v>
      </c>
      <c r="N1697" s="212">
        <v>43614</v>
      </c>
      <c r="O1697" s="217">
        <v>3.9746999999999999</v>
      </c>
      <c r="P1697" s="219"/>
      <c r="Q1697" s="34">
        <f>SUMIF(Allocation[Delivery ID],Allocation[[#This Row],[Delivery ID]],Allocation[Quantity Processed])</f>
        <v>816</v>
      </c>
      <c r="R1697" s="61">
        <f>Allocation[[#This Row],[Total volume used]]/VLOOKUP(Allocation[[#This Row],[Delivery ID]],Delivery[[Delivery ID]:[Quantity delivered]],3,FALSE)</f>
        <v>0.19430884629122513</v>
      </c>
      <c r="S1697" s="34">
        <f>Allocation[[#This Row],[Quantity Processed]]/Allocation[[#This Row],[Dilution rate]]</f>
        <v>79.007633587786259</v>
      </c>
      <c r="T1697" s="59">
        <f>SUMIF(Allocation[Delivery ID],Allocation[[#This Row],[Delivery ID]],Allocation[Quantity allocated])/SUMIF(Allocation[Delivery ID],Allocation[[#This Row],[Delivery ID]],Allocation[Volume available (kg)])</f>
        <v>1.0950237598989234</v>
      </c>
      <c r="U1697" s="61">
        <f>Allocation[[#This Row],[Total volume used]]/VLOOKUP(Allocation[[#This Row],[Delivery ID]],Delivery[[Delivery ID]:[Quantity delivered]],3,FALSE)</f>
        <v>0.19430884629122513</v>
      </c>
      <c r="V1697" s="34" t="e">
        <f>VLOOKUP(Allocation[[#This Row],[SAP Contract number]],Shipments[[SAP Contract number]:[Contracted container weight]],2,FALSE)</f>
        <v>#N/A</v>
      </c>
      <c r="W1697" s="34" t="e">
        <f>VLOOKUP(Allocation[[#This Row],[SAP Contract number]],Shipments[[SAP Contract number]:[AAA Premium USD]],24,FALSE)</f>
        <v>#N/A</v>
      </c>
      <c r="X1697" s="34" t="e">
        <f>VLOOKUP(Allocation[[#This Row],[SAP Contract number]],Shipments[[SAP Contract number]:[RA Premium USD]],25,FALSE)</f>
        <v>#N/A</v>
      </c>
      <c r="Y1697" s="38">
        <f>Allocation[[#This Row],[Quantity Processed]]/Allocation[[#This Row],[Quantity allocated]]</f>
        <v>2.4352941176470586</v>
      </c>
      <c r="Z1697" s="34" t="b">
        <f>Allocation[[#This Row],[Quantity allocated]]&lt;=Allocation[[#This Row],[Quantity Processed]]</f>
        <v>1</v>
      </c>
    </row>
    <row r="1698" spans="1:26">
      <c r="A1698" s="247" t="s">
        <v>467</v>
      </c>
      <c r="B1698" s="210" t="s">
        <v>68</v>
      </c>
      <c r="C1698" s="254" t="s">
        <v>1609</v>
      </c>
      <c r="D1698" s="255">
        <v>2012</v>
      </c>
      <c r="E1698" s="211" t="s">
        <v>1914</v>
      </c>
      <c r="F1698" s="212">
        <v>43542</v>
      </c>
      <c r="G1698" s="213">
        <v>2.62</v>
      </c>
      <c r="H1698" s="256">
        <v>1147</v>
      </c>
      <c r="I1698" s="214">
        <v>1453744</v>
      </c>
      <c r="J1698" s="215">
        <v>19175</v>
      </c>
      <c r="K1698" s="212">
        <v>43595</v>
      </c>
      <c r="L1698" s="211" t="s">
        <v>1328</v>
      </c>
      <c r="M1698" s="216">
        <v>4615506885</v>
      </c>
      <c r="N1698" s="212">
        <v>43614</v>
      </c>
      <c r="O1698" s="217">
        <v>3.9746999999999999</v>
      </c>
      <c r="P1698" s="219"/>
      <c r="Q1698" s="34">
        <f>SUMIF(Allocation[Delivery ID],Allocation[[#This Row],[Delivery ID]],Allocation[Quantity Processed])</f>
        <v>24121</v>
      </c>
      <c r="R1698" s="61">
        <f>Allocation[[#This Row],[Total volume used]]/VLOOKUP(Allocation[[#This Row],[Delivery ID]],Delivery[[Delivery ID]:[Quantity delivered]],3,FALSE)</f>
        <v>0.78188006482982175</v>
      </c>
      <c r="S1698" s="34">
        <f>Allocation[[#This Row],[Quantity Processed]]/Allocation[[#This Row],[Dilution rate]]</f>
        <v>767.93893129770993</v>
      </c>
      <c r="T1698" s="59">
        <f>SUMIF(Allocation[Delivery ID],Allocation[[#This Row],[Delivery ID]],Allocation[Quantity allocated])/SUMIF(Allocation[Delivery ID],Allocation[[#This Row],[Delivery ID]],Allocation[Volume available (kg)])</f>
        <v>1.4923482595490969</v>
      </c>
      <c r="U1698" s="61">
        <f>Allocation[[#This Row],[Total volume used]]/VLOOKUP(Allocation[[#This Row],[Delivery ID]],Delivery[[Delivery ID]:[Quantity delivered]],3,FALSE)</f>
        <v>0.78188006482982175</v>
      </c>
      <c r="V1698" s="34" t="e">
        <f>VLOOKUP(Allocation[[#This Row],[SAP Contract number]],Shipments[[SAP Contract number]:[Contracted container weight]],2,FALSE)</f>
        <v>#N/A</v>
      </c>
      <c r="W1698" s="34" t="e">
        <f>VLOOKUP(Allocation[[#This Row],[SAP Contract number]],Shipments[[SAP Contract number]:[AAA Premium USD]],24,FALSE)</f>
        <v>#N/A</v>
      </c>
      <c r="X1698" s="34" t="e">
        <f>VLOOKUP(Allocation[[#This Row],[SAP Contract number]],Shipments[[SAP Contract number]:[RA Premium USD]],25,FALSE)</f>
        <v>#N/A</v>
      </c>
      <c r="Y1698" s="38">
        <f>Allocation[[#This Row],[Quantity Processed]]/Allocation[[#This Row],[Quantity allocated]]</f>
        <v>1.7541412380122057</v>
      </c>
      <c r="Z1698" s="34" t="b">
        <f>Allocation[[#This Row],[Quantity allocated]]&lt;=Allocation[[#This Row],[Quantity Processed]]</f>
        <v>1</v>
      </c>
    </row>
    <row r="1699" spans="1:26">
      <c r="A1699" s="247" t="s">
        <v>467</v>
      </c>
      <c r="B1699" s="210" t="s">
        <v>68</v>
      </c>
      <c r="C1699" s="254" t="s">
        <v>1610</v>
      </c>
      <c r="D1699" s="255">
        <v>1806</v>
      </c>
      <c r="E1699" s="211" t="s">
        <v>1914</v>
      </c>
      <c r="F1699" s="212">
        <v>43542</v>
      </c>
      <c r="G1699" s="213">
        <v>2.62</v>
      </c>
      <c r="H1699" s="256">
        <v>560</v>
      </c>
      <c r="I1699" s="214">
        <v>1453744</v>
      </c>
      <c r="J1699" s="215">
        <v>19175</v>
      </c>
      <c r="K1699" s="212">
        <v>43595</v>
      </c>
      <c r="L1699" s="211" t="s">
        <v>1328</v>
      </c>
      <c r="M1699" s="216">
        <v>4615506885</v>
      </c>
      <c r="N1699" s="212">
        <v>43614</v>
      </c>
      <c r="O1699" s="217">
        <v>3.9746999999999999</v>
      </c>
      <c r="P1699" s="219"/>
      <c r="Q1699" s="34">
        <f>SUMIF(Allocation[Delivery ID],Allocation[[#This Row],[Delivery ID]],Allocation[Quantity Processed])</f>
        <v>4703</v>
      </c>
      <c r="R1699" s="61">
        <f>Allocation[[#This Row],[Total volume used]]/VLOOKUP(Allocation[[#This Row],[Delivery ID]],Delivery[[Delivery ID]:[Quantity delivered]],3,FALSE)</f>
        <v>0.3123879109930256</v>
      </c>
      <c r="S1699" s="34">
        <f>Allocation[[#This Row],[Quantity Processed]]/Allocation[[#This Row],[Dilution rate]]</f>
        <v>689.3129770992366</v>
      </c>
      <c r="T1699" s="59">
        <f>SUMIF(Allocation[Delivery ID],Allocation[[#This Row],[Delivery ID]],Allocation[Quantity allocated])/SUMIF(Allocation[Delivery ID],Allocation[[#This Row],[Delivery ID]],Allocation[Volume available (kg)])</f>
        <v>0.82429164199365212</v>
      </c>
      <c r="U1699" s="61">
        <f>Allocation[[#This Row],[Total volume used]]/VLOOKUP(Allocation[[#This Row],[Delivery ID]],Delivery[[Delivery ID]:[Quantity delivered]],3,FALSE)</f>
        <v>0.3123879109930256</v>
      </c>
      <c r="V1699" s="34" t="e">
        <f>VLOOKUP(Allocation[[#This Row],[SAP Contract number]],Shipments[[SAP Contract number]:[Contracted container weight]],2,FALSE)</f>
        <v>#N/A</v>
      </c>
      <c r="W1699" s="34" t="e">
        <f>VLOOKUP(Allocation[[#This Row],[SAP Contract number]],Shipments[[SAP Contract number]:[AAA Premium USD]],24,FALSE)</f>
        <v>#N/A</v>
      </c>
      <c r="X1699" s="34" t="e">
        <f>VLOOKUP(Allocation[[#This Row],[SAP Contract number]],Shipments[[SAP Contract number]:[RA Premium USD]],25,FALSE)</f>
        <v>#N/A</v>
      </c>
      <c r="Y1699" s="38">
        <f>Allocation[[#This Row],[Quantity Processed]]/Allocation[[#This Row],[Quantity allocated]]</f>
        <v>3.2250000000000001</v>
      </c>
      <c r="Z1699" s="34" t="b">
        <f>Allocation[[#This Row],[Quantity allocated]]&lt;=Allocation[[#This Row],[Quantity Processed]]</f>
        <v>1</v>
      </c>
    </row>
    <row r="1700" spans="1:26">
      <c r="A1700" s="247" t="s">
        <v>467</v>
      </c>
      <c r="B1700" s="210" t="s">
        <v>68</v>
      </c>
      <c r="C1700" s="254" t="s">
        <v>1611</v>
      </c>
      <c r="D1700" s="255">
        <v>7894</v>
      </c>
      <c r="E1700" s="211" t="s">
        <v>1914</v>
      </c>
      <c r="F1700" s="212">
        <v>43542</v>
      </c>
      <c r="G1700" s="213">
        <v>2.62</v>
      </c>
      <c r="H1700" s="256">
        <v>2447</v>
      </c>
      <c r="I1700" s="214">
        <v>1453744</v>
      </c>
      <c r="J1700" s="215">
        <v>19175</v>
      </c>
      <c r="K1700" s="212">
        <v>43595</v>
      </c>
      <c r="L1700" s="211" t="s">
        <v>1328</v>
      </c>
      <c r="M1700" s="216">
        <v>4615506885</v>
      </c>
      <c r="N1700" s="212">
        <v>43614</v>
      </c>
      <c r="O1700" s="217">
        <v>3.9746999999999999</v>
      </c>
      <c r="P1700" s="219"/>
      <c r="Q1700" s="34">
        <f>SUMIF(Allocation[Delivery ID],Allocation[[#This Row],[Delivery ID]],Allocation[Quantity Processed])</f>
        <v>21885</v>
      </c>
      <c r="R1700" s="61">
        <f>Allocation[[#This Row],[Total volume used]]/VLOOKUP(Allocation[[#This Row],[Delivery ID]],Delivery[[Delivery ID]:[Quantity delivered]],3,FALSE)</f>
        <v>0.65406455469216973</v>
      </c>
      <c r="S1700" s="34">
        <f>Allocation[[#This Row],[Quantity Processed]]/Allocation[[#This Row],[Dilution rate]]</f>
        <v>3012.9770992366412</v>
      </c>
      <c r="T1700" s="59">
        <f>SUMIF(Allocation[Delivery ID],Allocation[[#This Row],[Delivery ID]],Allocation[Quantity allocated])/SUMIF(Allocation[Delivery ID],Allocation[[#This Row],[Delivery ID]],Allocation[Volume available (kg)])</f>
        <v>0.824778286832902</v>
      </c>
      <c r="U1700" s="61">
        <f>Allocation[[#This Row],[Total volume used]]/VLOOKUP(Allocation[[#This Row],[Delivery ID]],Delivery[[Delivery ID]:[Quantity delivered]],3,FALSE)</f>
        <v>0.65406455469216973</v>
      </c>
      <c r="V1700" s="34" t="e">
        <f>VLOOKUP(Allocation[[#This Row],[SAP Contract number]],Shipments[[SAP Contract number]:[Contracted container weight]],2,FALSE)</f>
        <v>#N/A</v>
      </c>
      <c r="W1700" s="34" t="e">
        <f>VLOOKUP(Allocation[[#This Row],[SAP Contract number]],Shipments[[SAP Contract number]:[AAA Premium USD]],24,FALSE)</f>
        <v>#N/A</v>
      </c>
      <c r="X1700" s="34" t="e">
        <f>VLOOKUP(Allocation[[#This Row],[SAP Contract number]],Shipments[[SAP Contract number]:[RA Premium USD]],25,FALSE)</f>
        <v>#N/A</v>
      </c>
      <c r="Y1700" s="38">
        <f>Allocation[[#This Row],[Quantity Processed]]/Allocation[[#This Row],[Quantity allocated]]</f>
        <v>3.2259910093992645</v>
      </c>
      <c r="Z1700" s="34" t="b">
        <f>Allocation[[#This Row],[Quantity allocated]]&lt;=Allocation[[#This Row],[Quantity Processed]]</f>
        <v>1</v>
      </c>
    </row>
    <row r="1701" spans="1:26">
      <c r="A1701" s="247" t="s">
        <v>467</v>
      </c>
      <c r="B1701" s="210" t="s">
        <v>68</v>
      </c>
      <c r="C1701" s="254" t="s">
        <v>1613</v>
      </c>
      <c r="D1701" s="255">
        <v>4020</v>
      </c>
      <c r="E1701" s="211" t="s">
        <v>1914</v>
      </c>
      <c r="F1701" s="212">
        <v>43542</v>
      </c>
      <c r="G1701" s="213">
        <v>2.62</v>
      </c>
      <c r="H1701" s="256">
        <v>2010</v>
      </c>
      <c r="I1701" s="214">
        <v>1453744</v>
      </c>
      <c r="J1701" s="215">
        <v>19175</v>
      </c>
      <c r="K1701" s="212">
        <v>43595</v>
      </c>
      <c r="L1701" s="211" t="s">
        <v>1328</v>
      </c>
      <c r="M1701" s="216">
        <v>4615506885</v>
      </c>
      <c r="N1701" s="212">
        <v>43614</v>
      </c>
      <c r="O1701" s="217">
        <v>3.9746999999999999</v>
      </c>
      <c r="P1701" s="219"/>
      <c r="Q1701" s="34">
        <f>SUMIF(Allocation[Delivery ID],Allocation[[#This Row],[Delivery ID]],Allocation[Quantity Processed])</f>
        <v>17096</v>
      </c>
      <c r="R1701" s="61">
        <f>Allocation[[#This Row],[Total volume used]]/VLOOKUP(Allocation[[#This Row],[Delivery ID]],Delivery[[Delivery ID]:[Quantity delivered]],3,FALSE)</f>
        <v>0.48381938843372813</v>
      </c>
      <c r="S1701" s="34">
        <f>Allocation[[#This Row],[Quantity Processed]]/Allocation[[#This Row],[Dilution rate]]</f>
        <v>1534.3511450381679</v>
      </c>
      <c r="T1701" s="59">
        <f>SUMIF(Allocation[Delivery ID],Allocation[[#This Row],[Delivery ID]],Allocation[Quantity allocated])/SUMIF(Allocation[Delivery ID],Allocation[[#This Row],[Delivery ID]],Allocation[Volume available (kg)])</f>
        <v>1.3229793239919183</v>
      </c>
      <c r="U1701" s="61">
        <f>Allocation[[#This Row],[Total volume used]]/VLOOKUP(Allocation[[#This Row],[Delivery ID]],Delivery[[Delivery ID]:[Quantity delivered]],3,FALSE)</f>
        <v>0.48381938843372813</v>
      </c>
      <c r="V1701" s="34" t="e">
        <f>VLOOKUP(Allocation[[#This Row],[SAP Contract number]],Shipments[[SAP Contract number]:[Contracted container weight]],2,FALSE)</f>
        <v>#N/A</v>
      </c>
      <c r="W1701" s="34" t="e">
        <f>VLOOKUP(Allocation[[#This Row],[SAP Contract number]],Shipments[[SAP Contract number]:[AAA Premium USD]],24,FALSE)</f>
        <v>#N/A</v>
      </c>
      <c r="X1701" s="34" t="e">
        <f>VLOOKUP(Allocation[[#This Row],[SAP Contract number]],Shipments[[SAP Contract number]:[RA Premium USD]],25,FALSE)</f>
        <v>#N/A</v>
      </c>
      <c r="Y1701" s="38">
        <f>Allocation[[#This Row],[Quantity Processed]]/Allocation[[#This Row],[Quantity allocated]]</f>
        <v>2</v>
      </c>
      <c r="Z1701" s="34" t="b">
        <f>Allocation[[#This Row],[Quantity allocated]]&lt;=Allocation[[#This Row],[Quantity Processed]]</f>
        <v>1</v>
      </c>
    </row>
    <row r="1702" spans="1:26">
      <c r="A1702" s="247" t="s">
        <v>467</v>
      </c>
      <c r="B1702" s="210" t="s">
        <v>68</v>
      </c>
      <c r="C1702" s="254" t="s">
        <v>1614</v>
      </c>
      <c r="D1702" s="255">
        <v>6652</v>
      </c>
      <c r="E1702" s="211" t="s">
        <v>1914</v>
      </c>
      <c r="F1702" s="212">
        <v>43542</v>
      </c>
      <c r="G1702" s="213">
        <v>2.62</v>
      </c>
      <c r="H1702" s="256">
        <v>2195</v>
      </c>
      <c r="I1702" s="214">
        <v>1453744</v>
      </c>
      <c r="J1702" s="215">
        <v>19175</v>
      </c>
      <c r="K1702" s="212">
        <v>43595</v>
      </c>
      <c r="L1702" s="211" t="s">
        <v>1328</v>
      </c>
      <c r="M1702" s="216">
        <v>4615506885</v>
      </c>
      <c r="N1702" s="212">
        <v>43614</v>
      </c>
      <c r="O1702" s="217">
        <v>3.9746999999999999</v>
      </c>
      <c r="P1702" s="219"/>
      <c r="Q1702" s="34">
        <f>SUMIF(Allocation[Delivery ID],Allocation[[#This Row],[Delivery ID]],Allocation[Quantity Processed])</f>
        <v>18433</v>
      </c>
      <c r="R1702" s="61">
        <f>Allocation[[#This Row],[Total volume used]]/VLOOKUP(Allocation[[#This Row],[Delivery ID]],Delivery[[Delivery ID]:[Quantity delivered]],3,FALSE)</f>
        <v>0.61422859046984335</v>
      </c>
      <c r="S1702" s="34">
        <f>Allocation[[#This Row],[Quantity Processed]]/Allocation[[#This Row],[Dilution rate]]</f>
        <v>2538.9312977099235</v>
      </c>
      <c r="T1702" s="59">
        <f>SUMIF(Allocation[Delivery ID],Allocation[[#This Row],[Delivery ID]],Allocation[Quantity allocated])/SUMIF(Allocation[Delivery ID],Allocation[[#This Row],[Delivery ID]],Allocation[Volume available (kg)])</f>
        <v>0.8780497905731125</v>
      </c>
      <c r="U1702" s="61">
        <f>Allocation[[#This Row],[Total volume used]]/VLOOKUP(Allocation[[#This Row],[Delivery ID]],Delivery[[Delivery ID]:[Quantity delivered]],3,FALSE)</f>
        <v>0.61422859046984335</v>
      </c>
      <c r="V1702" s="34" t="e">
        <f>VLOOKUP(Allocation[[#This Row],[SAP Contract number]],Shipments[[SAP Contract number]:[Contracted container weight]],2,FALSE)</f>
        <v>#N/A</v>
      </c>
      <c r="W1702" s="34" t="e">
        <f>VLOOKUP(Allocation[[#This Row],[SAP Contract number]],Shipments[[SAP Contract number]:[AAA Premium USD]],24,FALSE)</f>
        <v>#N/A</v>
      </c>
      <c r="X1702" s="34" t="e">
        <f>VLOOKUP(Allocation[[#This Row],[SAP Contract number]],Shipments[[SAP Contract number]:[RA Premium USD]],25,FALSE)</f>
        <v>#N/A</v>
      </c>
      <c r="Y1702" s="38">
        <f>Allocation[[#This Row],[Quantity Processed]]/Allocation[[#This Row],[Quantity allocated]]</f>
        <v>3.0305239179954442</v>
      </c>
      <c r="Z1702" s="34" t="b">
        <f>Allocation[[#This Row],[Quantity allocated]]&lt;=Allocation[[#This Row],[Quantity Processed]]</f>
        <v>1</v>
      </c>
    </row>
    <row r="1703" spans="1:26">
      <c r="A1703" s="247" t="s">
        <v>467</v>
      </c>
      <c r="B1703" s="210" t="s">
        <v>68</v>
      </c>
      <c r="C1703" s="254" t="s">
        <v>1616</v>
      </c>
      <c r="D1703" s="255">
        <v>6655</v>
      </c>
      <c r="E1703" s="211" t="s">
        <v>1914</v>
      </c>
      <c r="F1703" s="212">
        <v>43542</v>
      </c>
      <c r="G1703" s="213">
        <v>2.62</v>
      </c>
      <c r="H1703" s="256">
        <v>2196</v>
      </c>
      <c r="I1703" s="214">
        <v>1453744</v>
      </c>
      <c r="J1703" s="215">
        <v>19175</v>
      </c>
      <c r="K1703" s="212">
        <v>43595</v>
      </c>
      <c r="L1703" s="211" t="s">
        <v>1328</v>
      </c>
      <c r="M1703" s="216">
        <v>4615506885</v>
      </c>
      <c r="N1703" s="212">
        <v>43614</v>
      </c>
      <c r="O1703" s="217">
        <v>3.9746999999999999</v>
      </c>
      <c r="P1703" s="219"/>
      <c r="Q1703" s="34">
        <f>SUMIF(Allocation[Delivery ID],Allocation[[#This Row],[Delivery ID]],Allocation[Quantity Processed])</f>
        <v>18442</v>
      </c>
      <c r="R1703" s="61">
        <f>Allocation[[#This Row],[Total volume used]]/VLOOKUP(Allocation[[#This Row],[Delivery ID]],Delivery[[Delivery ID]:[Quantity delivered]],3,FALSE)</f>
        <v>0.61432378414390409</v>
      </c>
      <c r="S1703" s="34">
        <f>Allocation[[#This Row],[Quantity Processed]]/Allocation[[#This Row],[Dilution rate]]</f>
        <v>2540.0763358778627</v>
      </c>
      <c r="T1703" s="59">
        <f>SUMIF(Allocation[Delivery ID],Allocation[[#This Row],[Delivery ID]],Allocation[Quantity allocated])/SUMIF(Allocation[Delivery ID],Allocation[[#This Row],[Delivery ID]],Allocation[Volume available (kg)])</f>
        <v>0.87805499845803603</v>
      </c>
      <c r="U1703" s="61">
        <f>Allocation[[#This Row],[Total volume used]]/VLOOKUP(Allocation[[#This Row],[Delivery ID]],Delivery[[Delivery ID]:[Quantity delivered]],3,FALSE)</f>
        <v>0.61432378414390409</v>
      </c>
      <c r="V1703" s="34" t="e">
        <f>VLOOKUP(Allocation[[#This Row],[SAP Contract number]],Shipments[[SAP Contract number]:[Contracted container weight]],2,FALSE)</f>
        <v>#N/A</v>
      </c>
      <c r="W1703" s="34" t="e">
        <f>VLOOKUP(Allocation[[#This Row],[SAP Contract number]],Shipments[[SAP Contract number]:[AAA Premium USD]],24,FALSE)</f>
        <v>#N/A</v>
      </c>
      <c r="X1703" s="34" t="e">
        <f>VLOOKUP(Allocation[[#This Row],[SAP Contract number]],Shipments[[SAP Contract number]:[RA Premium USD]],25,FALSE)</f>
        <v>#N/A</v>
      </c>
      <c r="Y1703" s="38">
        <f>Allocation[[#This Row],[Quantity Processed]]/Allocation[[#This Row],[Quantity allocated]]</f>
        <v>3.0305100182149363</v>
      </c>
      <c r="Z1703" s="34" t="b">
        <f>Allocation[[#This Row],[Quantity allocated]]&lt;=Allocation[[#This Row],[Quantity Processed]]</f>
        <v>1</v>
      </c>
    </row>
    <row r="1704" spans="1:26">
      <c r="A1704" s="247" t="s">
        <v>467</v>
      </c>
      <c r="B1704" s="210" t="s">
        <v>68</v>
      </c>
      <c r="C1704" s="254" t="s">
        <v>1617</v>
      </c>
      <c r="D1704" s="255">
        <v>9663</v>
      </c>
      <c r="E1704" s="211" t="s">
        <v>1914</v>
      </c>
      <c r="F1704" s="212">
        <v>43542</v>
      </c>
      <c r="G1704" s="213">
        <v>2.62</v>
      </c>
      <c r="H1704" s="256">
        <v>3865</v>
      </c>
      <c r="I1704" s="214">
        <v>1453744</v>
      </c>
      <c r="J1704" s="215">
        <v>19175</v>
      </c>
      <c r="K1704" s="212">
        <v>43595</v>
      </c>
      <c r="L1704" s="211" t="s">
        <v>1328</v>
      </c>
      <c r="M1704" s="216">
        <v>4615506885</v>
      </c>
      <c r="N1704" s="212">
        <v>43614</v>
      </c>
      <c r="O1704" s="217">
        <v>3.9746999999999999</v>
      </c>
      <c r="P1704" s="219"/>
      <c r="Q1704" s="34">
        <f>SUMIF(Allocation[Delivery ID],Allocation[[#This Row],[Delivery ID]],Allocation[Quantity Processed])</f>
        <v>24596</v>
      </c>
      <c r="R1704" s="61">
        <f>Allocation[[#This Row],[Total volume used]]/VLOOKUP(Allocation[[#This Row],[Delivery ID]],Delivery[[Delivery ID]:[Quantity delivered]],3,FALSE)</f>
        <v>0.81687147127200266</v>
      </c>
      <c r="S1704" s="34">
        <f>Allocation[[#This Row],[Quantity Processed]]/Allocation[[#This Row],[Dilution rate]]</f>
        <v>3688.1679389312976</v>
      </c>
      <c r="T1704" s="59">
        <f>SUMIF(Allocation[Delivery ID],Allocation[[#This Row],[Delivery ID]],Allocation[Quantity allocated])/SUMIF(Allocation[Delivery ID],Allocation[[#This Row],[Delivery ID]],Allocation[Volume available (kg)])</f>
        <v>1.0632147038798412</v>
      </c>
      <c r="U1704" s="61">
        <f>Allocation[[#This Row],[Total volume used]]/VLOOKUP(Allocation[[#This Row],[Delivery ID]],Delivery[[Delivery ID]:[Quantity delivered]],3,FALSE)</f>
        <v>0.81687147127200266</v>
      </c>
      <c r="V1704" s="34" t="e">
        <f>VLOOKUP(Allocation[[#This Row],[SAP Contract number]],Shipments[[SAP Contract number]:[Contracted container weight]],2,FALSE)</f>
        <v>#N/A</v>
      </c>
      <c r="W1704" s="34" t="e">
        <f>VLOOKUP(Allocation[[#This Row],[SAP Contract number]],Shipments[[SAP Contract number]:[AAA Premium USD]],24,FALSE)</f>
        <v>#N/A</v>
      </c>
      <c r="X1704" s="34" t="e">
        <f>VLOOKUP(Allocation[[#This Row],[SAP Contract number]],Shipments[[SAP Contract number]:[RA Premium USD]],25,FALSE)</f>
        <v>#N/A</v>
      </c>
      <c r="Y1704" s="38">
        <f>Allocation[[#This Row],[Quantity Processed]]/Allocation[[#This Row],[Quantity allocated]]</f>
        <v>2.5001293661060804</v>
      </c>
      <c r="Z1704" s="34" t="b">
        <f>Allocation[[#This Row],[Quantity allocated]]&lt;=Allocation[[#This Row],[Quantity Processed]]</f>
        <v>1</v>
      </c>
    </row>
    <row r="1705" spans="1:26">
      <c r="A1705" s="247" t="s">
        <v>467</v>
      </c>
      <c r="B1705" s="210" t="s">
        <v>68</v>
      </c>
      <c r="C1705" s="254" t="s">
        <v>1618</v>
      </c>
      <c r="D1705" s="255">
        <v>6652</v>
      </c>
      <c r="E1705" s="211" t="s">
        <v>1914</v>
      </c>
      <c r="F1705" s="212">
        <v>43542</v>
      </c>
      <c r="G1705" s="213">
        <v>2.62</v>
      </c>
      <c r="H1705" s="256">
        <v>2195</v>
      </c>
      <c r="I1705" s="214">
        <v>1453744</v>
      </c>
      <c r="J1705" s="215">
        <v>19175</v>
      </c>
      <c r="K1705" s="212">
        <v>43595</v>
      </c>
      <c r="L1705" s="211" t="s">
        <v>1328</v>
      </c>
      <c r="M1705" s="216">
        <v>4615506885</v>
      </c>
      <c r="N1705" s="212">
        <v>43614</v>
      </c>
      <c r="O1705" s="217">
        <v>3.9746999999999999</v>
      </c>
      <c r="P1705" s="219"/>
      <c r="Q1705" s="34">
        <f>SUMIF(Allocation[Delivery ID],Allocation[[#This Row],[Delivery ID]],Allocation[Quantity Processed])</f>
        <v>18433</v>
      </c>
      <c r="R1705" s="61">
        <f>Allocation[[#This Row],[Total volume used]]/VLOOKUP(Allocation[[#This Row],[Delivery ID]],Delivery[[Delivery ID]:[Quantity delivered]],3,FALSE)</f>
        <v>0.61422859046984335</v>
      </c>
      <c r="S1705" s="34">
        <f>Allocation[[#This Row],[Quantity Processed]]/Allocation[[#This Row],[Dilution rate]]</f>
        <v>2538.9312977099235</v>
      </c>
      <c r="T1705" s="59">
        <f>SUMIF(Allocation[Delivery ID],Allocation[[#This Row],[Delivery ID]],Allocation[Quantity allocated])/SUMIF(Allocation[Delivery ID],Allocation[[#This Row],[Delivery ID]],Allocation[Volume available (kg)])</f>
        <v>0.8780497905731125</v>
      </c>
      <c r="U1705" s="61">
        <f>Allocation[[#This Row],[Total volume used]]/VLOOKUP(Allocation[[#This Row],[Delivery ID]],Delivery[[Delivery ID]:[Quantity delivered]],3,FALSE)</f>
        <v>0.61422859046984335</v>
      </c>
      <c r="V1705" s="34" t="e">
        <f>VLOOKUP(Allocation[[#This Row],[SAP Contract number]],Shipments[[SAP Contract number]:[Contracted container weight]],2,FALSE)</f>
        <v>#N/A</v>
      </c>
      <c r="W1705" s="34" t="e">
        <f>VLOOKUP(Allocation[[#This Row],[SAP Contract number]],Shipments[[SAP Contract number]:[AAA Premium USD]],24,FALSE)</f>
        <v>#N/A</v>
      </c>
      <c r="X1705" s="34" t="e">
        <f>VLOOKUP(Allocation[[#This Row],[SAP Contract number]],Shipments[[SAP Contract number]:[RA Premium USD]],25,FALSE)</f>
        <v>#N/A</v>
      </c>
      <c r="Y1705" s="38">
        <f>Allocation[[#This Row],[Quantity Processed]]/Allocation[[#This Row],[Quantity allocated]]</f>
        <v>3.0305239179954442</v>
      </c>
      <c r="Z1705" s="34" t="b">
        <f>Allocation[[#This Row],[Quantity allocated]]&lt;=Allocation[[#This Row],[Quantity Processed]]</f>
        <v>1</v>
      </c>
    </row>
    <row r="1706" spans="1:26">
      <c r="A1706" s="247" t="s">
        <v>467</v>
      </c>
      <c r="B1706" s="210" t="s">
        <v>68</v>
      </c>
      <c r="C1706" s="254" t="s">
        <v>1619</v>
      </c>
      <c r="D1706" s="255">
        <v>52</v>
      </c>
      <c r="E1706" s="211" t="s">
        <v>1914</v>
      </c>
      <c r="F1706" s="212">
        <v>43542</v>
      </c>
      <c r="G1706" s="213">
        <v>2.62</v>
      </c>
      <c r="H1706" s="256">
        <v>17</v>
      </c>
      <c r="I1706" s="214">
        <v>1453744</v>
      </c>
      <c r="J1706" s="215">
        <v>19175</v>
      </c>
      <c r="K1706" s="212">
        <v>43595</v>
      </c>
      <c r="L1706" s="211" t="s">
        <v>1328</v>
      </c>
      <c r="M1706" s="216">
        <v>4615506885</v>
      </c>
      <c r="N1706" s="212">
        <v>43614</v>
      </c>
      <c r="O1706" s="217">
        <v>3.9746999999999999</v>
      </c>
      <c r="P1706" s="219"/>
      <c r="Q1706" s="34">
        <f>SUMIF(Allocation[Delivery ID],Allocation[[#This Row],[Delivery ID]],Allocation[Quantity Processed])</f>
        <v>18454</v>
      </c>
      <c r="R1706" s="61">
        <f>Allocation[[#This Row],[Total volume used]]/VLOOKUP(Allocation[[#This Row],[Delivery ID]],Delivery[[Delivery ID]:[Quantity delivered]],3,FALSE)</f>
        <v>0.61431424766977361</v>
      </c>
      <c r="S1706" s="34">
        <f>Allocation[[#This Row],[Quantity Processed]]/Allocation[[#This Row],[Dilution rate]]</f>
        <v>19.847328244274809</v>
      </c>
      <c r="T1706" s="59">
        <f>SUMIF(Allocation[Delivery ID],Allocation[[#This Row],[Delivery ID]],Allocation[Quantity allocated])/SUMIF(Allocation[Delivery ID],Allocation[[#This Row],[Delivery ID]],Allocation[Volume available (kg)])</f>
        <v>0.87805830582239175</v>
      </c>
      <c r="U1706" s="61">
        <f>Allocation[[#This Row],[Total volume used]]/VLOOKUP(Allocation[[#This Row],[Delivery ID]],Delivery[[Delivery ID]:[Quantity delivered]],3,FALSE)</f>
        <v>0.61431424766977361</v>
      </c>
      <c r="V1706" s="34" t="e">
        <f>VLOOKUP(Allocation[[#This Row],[SAP Contract number]],Shipments[[SAP Contract number]:[Contracted container weight]],2,FALSE)</f>
        <v>#N/A</v>
      </c>
      <c r="W1706" s="34" t="e">
        <f>VLOOKUP(Allocation[[#This Row],[SAP Contract number]],Shipments[[SAP Contract number]:[AAA Premium USD]],24,FALSE)</f>
        <v>#N/A</v>
      </c>
      <c r="X1706" s="34" t="e">
        <f>VLOOKUP(Allocation[[#This Row],[SAP Contract number]],Shipments[[SAP Contract number]:[RA Premium USD]],25,FALSE)</f>
        <v>#N/A</v>
      </c>
      <c r="Y1706" s="38">
        <f>Allocation[[#This Row],[Quantity Processed]]/Allocation[[#This Row],[Quantity allocated]]</f>
        <v>3.0588235294117645</v>
      </c>
      <c r="Z1706" s="34" t="b">
        <f>Allocation[[#This Row],[Quantity allocated]]&lt;=Allocation[[#This Row],[Quantity Processed]]</f>
        <v>1</v>
      </c>
    </row>
    <row r="1707" spans="1:26">
      <c r="A1707" s="247" t="s">
        <v>467</v>
      </c>
      <c r="B1707" s="210" t="s">
        <v>68</v>
      </c>
      <c r="C1707" s="254" t="s">
        <v>1619</v>
      </c>
      <c r="D1707" s="255">
        <v>6606</v>
      </c>
      <c r="E1707" s="211" t="s">
        <v>1914</v>
      </c>
      <c r="F1707" s="212">
        <v>43542</v>
      </c>
      <c r="G1707" s="213">
        <v>2.62</v>
      </c>
      <c r="H1707" s="256">
        <v>2180</v>
      </c>
      <c r="I1707" s="214">
        <v>1453745</v>
      </c>
      <c r="J1707" s="215">
        <v>19175</v>
      </c>
      <c r="K1707" s="212">
        <v>43595</v>
      </c>
      <c r="L1707" s="211" t="s">
        <v>1329</v>
      </c>
      <c r="M1707" s="216">
        <v>4615506885</v>
      </c>
      <c r="N1707" s="212">
        <v>43614</v>
      </c>
      <c r="O1707" s="217">
        <v>3.9746999999999999</v>
      </c>
      <c r="P1707" s="219"/>
      <c r="Q1707" s="34">
        <f>SUMIF(Allocation[Delivery ID],Allocation[[#This Row],[Delivery ID]],Allocation[Quantity Processed])</f>
        <v>18454</v>
      </c>
      <c r="R1707" s="61">
        <f>Allocation[[#This Row],[Total volume used]]/VLOOKUP(Allocation[[#This Row],[Delivery ID]],Delivery[[Delivery ID]:[Quantity delivered]],3,FALSE)</f>
        <v>0.61431424766977361</v>
      </c>
      <c r="S1707" s="34">
        <f>Allocation[[#This Row],[Quantity Processed]]/Allocation[[#This Row],[Dilution rate]]</f>
        <v>2521.3740458015268</v>
      </c>
      <c r="T1707" s="59">
        <f>SUMIF(Allocation[Delivery ID],Allocation[[#This Row],[Delivery ID]],Allocation[Quantity allocated])/SUMIF(Allocation[Delivery ID],Allocation[[#This Row],[Delivery ID]],Allocation[Volume available (kg)])</f>
        <v>0.87805830582239175</v>
      </c>
      <c r="U1707" s="61">
        <f>Allocation[[#This Row],[Total volume used]]/VLOOKUP(Allocation[[#This Row],[Delivery ID]],Delivery[[Delivery ID]:[Quantity delivered]],3,FALSE)</f>
        <v>0.61431424766977361</v>
      </c>
      <c r="V1707" s="34" t="e">
        <f>VLOOKUP(Allocation[[#This Row],[SAP Contract number]],Shipments[[SAP Contract number]:[Contracted container weight]],2,FALSE)</f>
        <v>#N/A</v>
      </c>
      <c r="W1707" s="34" t="e">
        <f>VLOOKUP(Allocation[[#This Row],[SAP Contract number]],Shipments[[SAP Contract number]:[AAA Premium USD]],24,FALSE)</f>
        <v>#N/A</v>
      </c>
      <c r="X1707" s="34" t="e">
        <f>VLOOKUP(Allocation[[#This Row],[SAP Contract number]],Shipments[[SAP Contract number]:[RA Premium USD]],25,FALSE)</f>
        <v>#N/A</v>
      </c>
      <c r="Y1707" s="38">
        <f>Allocation[[#This Row],[Quantity Processed]]/Allocation[[#This Row],[Quantity allocated]]</f>
        <v>3.0302752293577981</v>
      </c>
      <c r="Z1707" s="34" t="b">
        <f>Allocation[[#This Row],[Quantity allocated]]&lt;=Allocation[[#This Row],[Quantity Processed]]</f>
        <v>1</v>
      </c>
    </row>
    <row r="1708" spans="1:26">
      <c r="A1708" s="247" t="s">
        <v>467</v>
      </c>
      <c r="B1708" s="210" t="s">
        <v>68</v>
      </c>
      <c r="C1708" s="254" t="s">
        <v>934</v>
      </c>
      <c r="D1708" s="255">
        <v>4355</v>
      </c>
      <c r="E1708" s="211" t="s">
        <v>1914</v>
      </c>
      <c r="F1708" s="212">
        <v>43542</v>
      </c>
      <c r="G1708" s="213">
        <v>2.62</v>
      </c>
      <c r="H1708" s="256">
        <v>1437</v>
      </c>
      <c r="I1708" s="214">
        <v>1453745</v>
      </c>
      <c r="J1708" s="215">
        <v>19175</v>
      </c>
      <c r="K1708" s="212">
        <v>43595</v>
      </c>
      <c r="L1708" s="211" t="s">
        <v>1329</v>
      </c>
      <c r="M1708" s="216">
        <v>4615506885</v>
      </c>
      <c r="N1708" s="212">
        <v>43614</v>
      </c>
      <c r="O1708" s="217">
        <v>3.9746999999999999</v>
      </c>
      <c r="P1708" s="219"/>
      <c r="Q1708" s="34">
        <f>SUMIF(Allocation[Delivery ID],Allocation[[#This Row],[Delivery ID]],Allocation[Quantity Processed])</f>
        <v>30146</v>
      </c>
      <c r="R1708" s="61">
        <f>Allocation[[#This Row],[Total volume used]]/VLOOKUP(Allocation[[#This Row],[Delivery ID]],Delivery[[Delivery ID]:[Quantity delivered]],3,FALSE)</f>
        <v>0.96525887739745764</v>
      </c>
      <c r="S1708" s="34">
        <f>Allocation[[#This Row],[Quantity Processed]]/Allocation[[#This Row],[Dilution rate]]</f>
        <v>1662.2137404580153</v>
      </c>
      <c r="T1708" s="59">
        <f>SUMIF(Allocation[Delivery ID],Allocation[[#This Row],[Delivery ID]],Allocation[Quantity allocated])/SUMIF(Allocation[Delivery ID],Allocation[[#This Row],[Delivery ID]],Allocation[Volume available (kg)])</f>
        <v>0.7873812275223806</v>
      </c>
      <c r="U1708" s="61">
        <f>Allocation[[#This Row],[Total volume used]]/VLOOKUP(Allocation[[#This Row],[Delivery ID]],Delivery[[Delivery ID]:[Quantity delivered]],3,FALSE)</f>
        <v>0.96525887739745764</v>
      </c>
      <c r="V1708" s="34" t="e">
        <f>VLOOKUP(Allocation[[#This Row],[SAP Contract number]],Shipments[[SAP Contract number]:[Contracted container weight]],2,FALSE)</f>
        <v>#N/A</v>
      </c>
      <c r="W1708" s="34" t="e">
        <f>VLOOKUP(Allocation[[#This Row],[SAP Contract number]],Shipments[[SAP Contract number]:[AAA Premium USD]],24,FALSE)</f>
        <v>#N/A</v>
      </c>
      <c r="X1708" s="34" t="e">
        <f>VLOOKUP(Allocation[[#This Row],[SAP Contract number]],Shipments[[SAP Contract number]:[RA Premium USD]],25,FALSE)</f>
        <v>#N/A</v>
      </c>
      <c r="Y1708" s="38">
        <f>Allocation[[#This Row],[Quantity Processed]]/Allocation[[#This Row],[Quantity allocated]]</f>
        <v>3.0306193458594293</v>
      </c>
      <c r="Z1708" s="34" t="b">
        <f>Allocation[[#This Row],[Quantity allocated]]&lt;=Allocation[[#This Row],[Quantity Processed]]</f>
        <v>1</v>
      </c>
    </row>
    <row r="1709" spans="1:26">
      <c r="A1709" s="247" t="s">
        <v>467</v>
      </c>
      <c r="B1709" s="210" t="s">
        <v>68</v>
      </c>
      <c r="C1709" s="254" t="s">
        <v>936</v>
      </c>
      <c r="D1709" s="255">
        <v>4324</v>
      </c>
      <c r="E1709" s="211" t="s">
        <v>1914</v>
      </c>
      <c r="F1709" s="212">
        <v>43542</v>
      </c>
      <c r="G1709" s="213">
        <v>2.62</v>
      </c>
      <c r="H1709" s="256">
        <v>1427</v>
      </c>
      <c r="I1709" s="214">
        <v>1453745</v>
      </c>
      <c r="J1709" s="215">
        <v>19175</v>
      </c>
      <c r="K1709" s="212">
        <v>43595</v>
      </c>
      <c r="L1709" s="211" t="s">
        <v>1329</v>
      </c>
      <c r="M1709" s="216">
        <v>4615506885</v>
      </c>
      <c r="N1709" s="212">
        <v>43614</v>
      </c>
      <c r="O1709" s="217">
        <v>3.9746999999999999</v>
      </c>
      <c r="P1709" s="219"/>
      <c r="Q1709" s="34">
        <f>SUMIF(Allocation[Delivery ID],Allocation[[#This Row],[Delivery ID]],Allocation[Quantity Processed])</f>
        <v>30003</v>
      </c>
      <c r="R1709" s="61">
        <f>Allocation[[#This Row],[Total volume used]]/VLOOKUP(Allocation[[#This Row],[Delivery ID]],Delivery[[Delivery ID]:[Quantity delivered]],3,FALSE)</f>
        <v>0.96747980587846449</v>
      </c>
      <c r="S1709" s="34">
        <f>Allocation[[#This Row],[Quantity Processed]]/Allocation[[#This Row],[Dilution rate]]</f>
        <v>1650.3816793893129</v>
      </c>
      <c r="T1709" s="59">
        <f>SUMIF(Allocation[Delivery ID],Allocation[[#This Row],[Delivery ID]],Allocation[Quantity allocated])/SUMIF(Allocation[Delivery ID],Allocation[[#This Row],[Delivery ID]],Allocation[Volume available (kg)])</f>
        <v>0.7871596743518644</v>
      </c>
      <c r="U1709" s="61">
        <f>Allocation[[#This Row],[Total volume used]]/VLOOKUP(Allocation[[#This Row],[Delivery ID]],Delivery[[Delivery ID]:[Quantity delivered]],3,FALSE)</f>
        <v>0.96747980587846449</v>
      </c>
      <c r="V1709" s="34" t="e">
        <f>VLOOKUP(Allocation[[#This Row],[SAP Contract number]],Shipments[[SAP Contract number]:[Contracted container weight]],2,FALSE)</f>
        <v>#N/A</v>
      </c>
      <c r="W1709" s="34" t="e">
        <f>VLOOKUP(Allocation[[#This Row],[SAP Contract number]],Shipments[[SAP Contract number]:[AAA Premium USD]],24,FALSE)</f>
        <v>#N/A</v>
      </c>
      <c r="X1709" s="34" t="e">
        <f>VLOOKUP(Allocation[[#This Row],[SAP Contract number]],Shipments[[SAP Contract number]:[RA Premium USD]],25,FALSE)</f>
        <v>#N/A</v>
      </c>
      <c r="Y1709" s="38">
        <f>Allocation[[#This Row],[Quantity Processed]]/Allocation[[#This Row],[Quantity allocated]]</f>
        <v>3.0301331464611074</v>
      </c>
      <c r="Z1709" s="34" t="b">
        <f>Allocation[[#This Row],[Quantity allocated]]&lt;=Allocation[[#This Row],[Quantity Processed]]</f>
        <v>1</v>
      </c>
    </row>
    <row r="1710" spans="1:26">
      <c r="A1710" s="247" t="s">
        <v>467</v>
      </c>
      <c r="B1710" s="210" t="s">
        <v>68</v>
      </c>
      <c r="C1710" s="254" t="s">
        <v>937</v>
      </c>
      <c r="D1710" s="255">
        <v>3371</v>
      </c>
      <c r="E1710" s="211" t="s">
        <v>1914</v>
      </c>
      <c r="F1710" s="212">
        <v>43542</v>
      </c>
      <c r="G1710" s="213">
        <v>2.62</v>
      </c>
      <c r="H1710" s="256">
        <v>1382</v>
      </c>
      <c r="I1710" s="214">
        <v>1453745</v>
      </c>
      <c r="J1710" s="215">
        <v>19175</v>
      </c>
      <c r="K1710" s="212">
        <v>43595</v>
      </c>
      <c r="L1710" s="211" t="s">
        <v>1329</v>
      </c>
      <c r="M1710" s="216">
        <v>4615506885</v>
      </c>
      <c r="N1710" s="212">
        <v>43614</v>
      </c>
      <c r="O1710" s="217">
        <v>3.9746999999999999</v>
      </c>
      <c r="P1710" s="219"/>
      <c r="Q1710" s="34">
        <f>SUMIF(Allocation[Delivery ID],Allocation[[#This Row],[Delivery ID]],Allocation[Quantity Processed])</f>
        <v>23371</v>
      </c>
      <c r="R1710" s="61">
        <f>Allocation[[#This Row],[Total volume used]]/VLOOKUP(Allocation[[#This Row],[Delivery ID]],Delivery[[Delivery ID]:[Quantity delivered]],3,FALSE)</f>
        <v>0.77825507825507823</v>
      </c>
      <c r="S1710" s="34">
        <f>Allocation[[#This Row],[Quantity Processed]]/Allocation[[#This Row],[Dilution rate]]</f>
        <v>1286.6412213740457</v>
      </c>
      <c r="T1710" s="59">
        <f>SUMIF(Allocation[Delivery ID],Allocation[[#This Row],[Delivery ID]],Allocation[Quantity allocated])/SUMIF(Allocation[Delivery ID],Allocation[[#This Row],[Delivery ID]],Allocation[Volume available (kg)])</f>
        <v>0.97805484651195362</v>
      </c>
      <c r="U1710" s="61">
        <f>Allocation[[#This Row],[Total volume used]]/VLOOKUP(Allocation[[#This Row],[Delivery ID]],Delivery[[Delivery ID]:[Quantity delivered]],3,FALSE)</f>
        <v>0.77825507825507823</v>
      </c>
      <c r="V1710" s="34" t="e">
        <f>VLOOKUP(Allocation[[#This Row],[SAP Contract number]],Shipments[[SAP Contract number]:[Contracted container weight]],2,FALSE)</f>
        <v>#N/A</v>
      </c>
      <c r="W1710" s="34" t="e">
        <f>VLOOKUP(Allocation[[#This Row],[SAP Contract number]],Shipments[[SAP Contract number]:[AAA Premium USD]],24,FALSE)</f>
        <v>#N/A</v>
      </c>
      <c r="X1710" s="34" t="e">
        <f>VLOOKUP(Allocation[[#This Row],[SAP Contract number]],Shipments[[SAP Contract number]:[RA Premium USD]],25,FALSE)</f>
        <v>#N/A</v>
      </c>
      <c r="Y1710" s="38">
        <f>Allocation[[#This Row],[Quantity Processed]]/Allocation[[#This Row],[Quantity allocated]]</f>
        <v>2.439218523878437</v>
      </c>
      <c r="Z1710" s="34" t="b">
        <f>Allocation[[#This Row],[Quantity allocated]]&lt;=Allocation[[#This Row],[Quantity Processed]]</f>
        <v>1</v>
      </c>
    </row>
    <row r="1711" spans="1:26">
      <c r="A1711" s="247" t="s">
        <v>467</v>
      </c>
      <c r="B1711" s="210" t="s">
        <v>68</v>
      </c>
      <c r="C1711" s="254" t="s">
        <v>939</v>
      </c>
      <c r="D1711" s="255">
        <v>1918</v>
      </c>
      <c r="E1711" s="211" t="s">
        <v>1914</v>
      </c>
      <c r="F1711" s="212">
        <v>43542</v>
      </c>
      <c r="G1711" s="213">
        <v>2.62</v>
      </c>
      <c r="H1711" s="256">
        <v>633</v>
      </c>
      <c r="I1711" s="214">
        <v>1453745</v>
      </c>
      <c r="J1711" s="215">
        <v>19175</v>
      </c>
      <c r="K1711" s="212">
        <v>43595</v>
      </c>
      <c r="L1711" s="211" t="s">
        <v>1329</v>
      </c>
      <c r="M1711" s="216">
        <v>4615506885</v>
      </c>
      <c r="N1711" s="212">
        <v>43614</v>
      </c>
      <c r="O1711" s="217">
        <v>3.9746999999999999</v>
      </c>
      <c r="P1711" s="219"/>
      <c r="Q1711" s="34">
        <f>SUMIF(Allocation[Delivery ID],Allocation[[#This Row],[Delivery ID]],Allocation[Quantity Processed])</f>
        <v>13750</v>
      </c>
      <c r="R1711" s="61">
        <f>Allocation[[#This Row],[Total volume used]]/VLOOKUP(Allocation[[#This Row],[Delivery ID]],Delivery[[Delivery ID]:[Quantity delivered]],3,FALSE)</f>
        <v>1</v>
      </c>
      <c r="S1711" s="34">
        <f>Allocation[[#This Row],[Quantity Processed]]/Allocation[[#This Row],[Dilution rate]]</f>
        <v>732.06106870229007</v>
      </c>
      <c r="T1711" s="59">
        <f>SUMIF(Allocation[Delivery ID],Allocation[[#This Row],[Delivery ID]],Allocation[Quantity allocated])/SUMIF(Allocation[Delivery ID],Allocation[[#This Row],[Delivery ID]],Allocation[Volume available (kg)])</f>
        <v>0.78913135555090075</v>
      </c>
      <c r="U1711" s="61">
        <f>Allocation[[#This Row],[Total volume used]]/VLOOKUP(Allocation[[#This Row],[Delivery ID]],Delivery[[Delivery ID]:[Quantity delivered]],3,FALSE)</f>
        <v>1</v>
      </c>
      <c r="V1711" s="34" t="e">
        <f>VLOOKUP(Allocation[[#This Row],[SAP Contract number]],Shipments[[SAP Contract number]:[Contracted container weight]],2,FALSE)</f>
        <v>#N/A</v>
      </c>
      <c r="W1711" s="34" t="e">
        <f>VLOOKUP(Allocation[[#This Row],[SAP Contract number]],Shipments[[SAP Contract number]:[AAA Premium USD]],24,FALSE)</f>
        <v>#N/A</v>
      </c>
      <c r="X1711" s="34" t="e">
        <f>VLOOKUP(Allocation[[#This Row],[SAP Contract number]],Shipments[[SAP Contract number]:[RA Premium USD]],25,FALSE)</f>
        <v>#N/A</v>
      </c>
      <c r="Y1711" s="38">
        <f>Allocation[[#This Row],[Quantity Processed]]/Allocation[[#This Row],[Quantity allocated]]</f>
        <v>3.0300157977883098</v>
      </c>
      <c r="Z1711" s="34" t="b">
        <f>Allocation[[#This Row],[Quantity allocated]]&lt;=Allocation[[#This Row],[Quantity Processed]]</f>
        <v>1</v>
      </c>
    </row>
    <row r="1712" spans="1:26">
      <c r="A1712" s="247" t="s">
        <v>467</v>
      </c>
      <c r="B1712" s="210" t="s">
        <v>68</v>
      </c>
      <c r="C1712" s="254" t="s">
        <v>941</v>
      </c>
      <c r="D1712" s="255">
        <v>3630</v>
      </c>
      <c r="E1712" s="211" t="s">
        <v>1914</v>
      </c>
      <c r="F1712" s="212">
        <v>43542</v>
      </c>
      <c r="G1712" s="213">
        <v>2.62</v>
      </c>
      <c r="H1712" s="256">
        <v>1100</v>
      </c>
      <c r="I1712" s="214">
        <v>1453745</v>
      </c>
      <c r="J1712" s="215">
        <v>19175</v>
      </c>
      <c r="K1712" s="212">
        <v>43595</v>
      </c>
      <c r="L1712" s="211" t="s">
        <v>1329</v>
      </c>
      <c r="M1712" s="216">
        <v>4615506885</v>
      </c>
      <c r="N1712" s="212">
        <v>43614</v>
      </c>
      <c r="O1712" s="217">
        <v>3.9746999999999999</v>
      </c>
      <c r="P1712" s="219"/>
      <c r="Q1712" s="34">
        <f>SUMIF(Allocation[Delivery ID],Allocation[[#This Row],[Delivery ID]],Allocation[Quantity Processed])</f>
        <v>30050</v>
      </c>
      <c r="R1712" s="61">
        <f>Allocation[[#This Row],[Total volume used]]/VLOOKUP(Allocation[[#This Row],[Delivery ID]],Delivery[[Delivery ID]:[Quantity delivered]],3,FALSE)</f>
        <v>1</v>
      </c>
      <c r="S1712" s="34">
        <f>Allocation[[#This Row],[Quantity Processed]]/Allocation[[#This Row],[Dilution rate]]</f>
        <v>1385.4961832061067</v>
      </c>
      <c r="T1712" s="59">
        <f>SUMIF(Allocation[Delivery ID],Allocation[[#This Row],[Delivery ID]],Allocation[Quantity allocated])/SUMIF(Allocation[Delivery ID],Allocation[[#This Row],[Delivery ID]],Allocation[Volume available (kg)])</f>
        <v>0.71267222293301935</v>
      </c>
      <c r="U1712" s="61">
        <f>Allocation[[#This Row],[Total volume used]]/VLOOKUP(Allocation[[#This Row],[Delivery ID]],Delivery[[Delivery ID]:[Quantity delivered]],3,FALSE)</f>
        <v>1</v>
      </c>
      <c r="V1712" s="34" t="e">
        <f>VLOOKUP(Allocation[[#This Row],[SAP Contract number]],Shipments[[SAP Contract number]:[Contracted container weight]],2,FALSE)</f>
        <v>#N/A</v>
      </c>
      <c r="W1712" s="34" t="e">
        <f>VLOOKUP(Allocation[[#This Row],[SAP Contract number]],Shipments[[SAP Contract number]:[AAA Premium USD]],24,FALSE)</f>
        <v>#N/A</v>
      </c>
      <c r="X1712" s="34" t="e">
        <f>VLOOKUP(Allocation[[#This Row],[SAP Contract number]],Shipments[[SAP Contract number]:[RA Premium USD]],25,FALSE)</f>
        <v>#N/A</v>
      </c>
      <c r="Y1712" s="38">
        <f>Allocation[[#This Row],[Quantity Processed]]/Allocation[[#This Row],[Quantity allocated]]</f>
        <v>3.3</v>
      </c>
      <c r="Z1712" s="34" t="b">
        <f>Allocation[[#This Row],[Quantity allocated]]&lt;=Allocation[[#This Row],[Quantity Processed]]</f>
        <v>1</v>
      </c>
    </row>
    <row r="1713" spans="1:26">
      <c r="A1713" s="247" t="s">
        <v>467</v>
      </c>
      <c r="B1713" s="210" t="s">
        <v>68</v>
      </c>
      <c r="C1713" s="254" t="s">
        <v>943</v>
      </c>
      <c r="D1713" s="255">
        <v>3613</v>
      </c>
      <c r="E1713" s="211" t="s">
        <v>1914</v>
      </c>
      <c r="F1713" s="212">
        <v>43542</v>
      </c>
      <c r="G1713" s="213">
        <v>2.62</v>
      </c>
      <c r="H1713" s="256">
        <v>1100</v>
      </c>
      <c r="I1713" s="214">
        <v>1453745</v>
      </c>
      <c r="J1713" s="215">
        <v>19175</v>
      </c>
      <c r="K1713" s="212">
        <v>43595</v>
      </c>
      <c r="L1713" s="211" t="s">
        <v>1329</v>
      </c>
      <c r="M1713" s="216">
        <v>4615506885</v>
      </c>
      <c r="N1713" s="212">
        <v>43614</v>
      </c>
      <c r="O1713" s="217">
        <v>3.9746999999999999</v>
      </c>
      <c r="P1713" s="219"/>
      <c r="Q1713" s="34">
        <f>SUMIF(Allocation[Delivery ID],Allocation[[#This Row],[Delivery ID]],Allocation[Quantity Processed])</f>
        <v>30020</v>
      </c>
      <c r="R1713" s="61">
        <f>Allocation[[#This Row],[Total volume used]]/VLOOKUP(Allocation[[#This Row],[Delivery ID]],Delivery[[Delivery ID]:[Quantity delivered]],3,FALSE)</f>
        <v>1</v>
      </c>
      <c r="S1713" s="34">
        <f>Allocation[[#This Row],[Quantity Processed]]/Allocation[[#This Row],[Dilution rate]]</f>
        <v>1379.0076335877861</v>
      </c>
      <c r="T1713" s="59">
        <f>SUMIF(Allocation[Delivery ID],Allocation[[#This Row],[Delivery ID]],Allocation[Quantity allocated])/SUMIF(Allocation[Delivery ID],Allocation[[#This Row],[Delivery ID]],Allocation[Volume available (kg)])</f>
        <v>0.71299381953263574</v>
      </c>
      <c r="U1713" s="61">
        <f>Allocation[[#This Row],[Total volume used]]/VLOOKUP(Allocation[[#This Row],[Delivery ID]],Delivery[[Delivery ID]:[Quantity delivered]],3,FALSE)</f>
        <v>1</v>
      </c>
      <c r="V1713" s="34" t="e">
        <f>VLOOKUP(Allocation[[#This Row],[SAP Contract number]],Shipments[[SAP Contract number]:[Contracted container weight]],2,FALSE)</f>
        <v>#N/A</v>
      </c>
      <c r="W1713" s="34" t="e">
        <f>VLOOKUP(Allocation[[#This Row],[SAP Contract number]],Shipments[[SAP Contract number]:[AAA Premium USD]],24,FALSE)</f>
        <v>#N/A</v>
      </c>
      <c r="X1713" s="34" t="e">
        <f>VLOOKUP(Allocation[[#This Row],[SAP Contract number]],Shipments[[SAP Contract number]:[RA Premium USD]],25,FALSE)</f>
        <v>#N/A</v>
      </c>
      <c r="Y1713" s="38">
        <f>Allocation[[#This Row],[Quantity Processed]]/Allocation[[#This Row],[Quantity allocated]]</f>
        <v>3.2845454545454547</v>
      </c>
      <c r="Z1713" s="34" t="b">
        <f>Allocation[[#This Row],[Quantity allocated]]&lt;=Allocation[[#This Row],[Quantity Processed]]</f>
        <v>1</v>
      </c>
    </row>
    <row r="1714" spans="1:26">
      <c r="A1714" s="247" t="s">
        <v>467</v>
      </c>
      <c r="B1714" s="210" t="s">
        <v>68</v>
      </c>
      <c r="C1714" s="254" t="s">
        <v>944</v>
      </c>
      <c r="D1714" s="255">
        <v>3593</v>
      </c>
      <c r="E1714" s="211" t="s">
        <v>1914</v>
      </c>
      <c r="F1714" s="212">
        <v>43542</v>
      </c>
      <c r="G1714" s="213">
        <v>2.62</v>
      </c>
      <c r="H1714" s="256">
        <v>1100</v>
      </c>
      <c r="I1714" s="214">
        <v>1453745</v>
      </c>
      <c r="J1714" s="215">
        <v>19175</v>
      </c>
      <c r="K1714" s="212">
        <v>43595</v>
      </c>
      <c r="L1714" s="211" t="s">
        <v>1329</v>
      </c>
      <c r="M1714" s="216">
        <v>4615506885</v>
      </c>
      <c r="N1714" s="212">
        <v>43614</v>
      </c>
      <c r="O1714" s="217">
        <v>3.9746999999999999</v>
      </c>
      <c r="P1714" s="219"/>
      <c r="Q1714" s="34">
        <f>SUMIF(Allocation[Delivery ID],Allocation[[#This Row],[Delivery ID]],Allocation[Quantity Processed])</f>
        <v>29990</v>
      </c>
      <c r="R1714" s="61">
        <f>Allocation[[#This Row],[Total volume used]]/VLOOKUP(Allocation[[#This Row],[Delivery ID]],Delivery[[Delivery ID]:[Quantity delivered]],3,FALSE)</f>
        <v>1</v>
      </c>
      <c r="S1714" s="34">
        <f>Allocation[[#This Row],[Quantity Processed]]/Allocation[[#This Row],[Dilution rate]]</f>
        <v>1371.3740458015266</v>
      </c>
      <c r="T1714" s="59">
        <f>SUMIF(Allocation[Delivery ID],Allocation[[#This Row],[Delivery ID]],Allocation[Quantity allocated])/SUMIF(Allocation[Delivery ID],Allocation[[#This Row],[Delivery ID]],Allocation[Volume available (kg)])</f>
        <v>0.71339638192221222</v>
      </c>
      <c r="U1714" s="61">
        <f>Allocation[[#This Row],[Total volume used]]/VLOOKUP(Allocation[[#This Row],[Delivery ID]],Delivery[[Delivery ID]:[Quantity delivered]],3,FALSE)</f>
        <v>1</v>
      </c>
      <c r="V1714" s="34" t="e">
        <f>VLOOKUP(Allocation[[#This Row],[SAP Contract number]],Shipments[[SAP Contract number]:[Contracted container weight]],2,FALSE)</f>
        <v>#N/A</v>
      </c>
      <c r="W1714" s="34" t="e">
        <f>VLOOKUP(Allocation[[#This Row],[SAP Contract number]],Shipments[[SAP Contract number]:[AAA Premium USD]],24,FALSE)</f>
        <v>#N/A</v>
      </c>
      <c r="X1714" s="34" t="e">
        <f>VLOOKUP(Allocation[[#This Row],[SAP Contract number]],Shipments[[SAP Contract number]:[RA Premium USD]],25,FALSE)</f>
        <v>#N/A</v>
      </c>
      <c r="Y1714" s="38">
        <f>Allocation[[#This Row],[Quantity Processed]]/Allocation[[#This Row],[Quantity allocated]]</f>
        <v>3.2663636363636366</v>
      </c>
      <c r="Z1714" s="34" t="b">
        <f>Allocation[[#This Row],[Quantity allocated]]&lt;=Allocation[[#This Row],[Quantity Processed]]</f>
        <v>1</v>
      </c>
    </row>
    <row r="1715" spans="1:26">
      <c r="A1715" s="247" t="s">
        <v>467</v>
      </c>
      <c r="B1715" s="210" t="s">
        <v>68</v>
      </c>
      <c r="C1715" s="254" t="s">
        <v>1620</v>
      </c>
      <c r="D1715" s="255">
        <v>61</v>
      </c>
      <c r="E1715" s="211" t="s">
        <v>1914</v>
      </c>
      <c r="F1715" s="212">
        <v>43542</v>
      </c>
      <c r="G1715" s="213">
        <v>2.62</v>
      </c>
      <c r="H1715" s="256">
        <v>20</v>
      </c>
      <c r="I1715" s="214">
        <v>1453745</v>
      </c>
      <c r="J1715" s="215">
        <v>19175</v>
      </c>
      <c r="K1715" s="212">
        <v>43595</v>
      </c>
      <c r="L1715" s="211" t="s">
        <v>1329</v>
      </c>
      <c r="M1715" s="216">
        <v>4615506885</v>
      </c>
      <c r="N1715" s="212">
        <v>43614</v>
      </c>
      <c r="O1715" s="217">
        <v>3.9746999999999999</v>
      </c>
      <c r="P1715" s="219"/>
      <c r="Q1715" s="34">
        <f>SUMIF(Allocation[Delivery ID],Allocation[[#This Row],[Delivery ID]],Allocation[Quantity Processed])</f>
        <v>595</v>
      </c>
      <c r="R1715" s="61">
        <f>Allocation[[#This Row],[Total volume used]]/VLOOKUP(Allocation[[#This Row],[Delivery ID]],Delivery[[Delivery ID]:[Quantity delivered]],3,FALSE)</f>
        <v>0.13947491795593062</v>
      </c>
      <c r="S1715" s="34">
        <f>Allocation[[#This Row],[Quantity Processed]]/Allocation[[#This Row],[Dilution rate]]</f>
        <v>23.282442748091601</v>
      </c>
      <c r="T1715" s="59">
        <f>SUMIF(Allocation[Delivery ID],Allocation[[#This Row],[Delivery ID]],Allocation[Quantity allocated])/SUMIF(Allocation[Delivery ID],Allocation[[#This Row],[Delivery ID]],Allocation[Volume available (kg)])</f>
        <v>0.73863829449507756</v>
      </c>
      <c r="U1715" s="61">
        <f>Allocation[[#This Row],[Total volume used]]/VLOOKUP(Allocation[[#This Row],[Delivery ID]],Delivery[[Delivery ID]:[Quantity delivered]],3,FALSE)</f>
        <v>0.13947491795593062</v>
      </c>
      <c r="V1715" s="34" t="e">
        <f>VLOOKUP(Allocation[[#This Row],[SAP Contract number]],Shipments[[SAP Contract number]:[Contracted container weight]],2,FALSE)</f>
        <v>#N/A</v>
      </c>
      <c r="W1715" s="34" t="e">
        <f>VLOOKUP(Allocation[[#This Row],[SAP Contract number]],Shipments[[SAP Contract number]:[AAA Premium USD]],24,FALSE)</f>
        <v>#N/A</v>
      </c>
      <c r="X1715" s="34" t="e">
        <f>VLOOKUP(Allocation[[#This Row],[SAP Contract number]],Shipments[[SAP Contract number]:[RA Premium USD]],25,FALSE)</f>
        <v>#N/A</v>
      </c>
      <c r="Y1715" s="38">
        <f>Allocation[[#This Row],[Quantity Processed]]/Allocation[[#This Row],[Quantity allocated]]</f>
        <v>3.05</v>
      </c>
      <c r="Z1715" s="34" t="b">
        <f>Allocation[[#This Row],[Quantity allocated]]&lt;=Allocation[[#This Row],[Quantity Processed]]</f>
        <v>1</v>
      </c>
    </row>
    <row r="1716" spans="1:26">
      <c r="A1716" s="247" t="s">
        <v>467</v>
      </c>
      <c r="B1716" s="210" t="s">
        <v>68</v>
      </c>
      <c r="C1716" s="254" t="s">
        <v>957</v>
      </c>
      <c r="D1716" s="255">
        <v>1022</v>
      </c>
      <c r="E1716" s="211" t="s">
        <v>1914</v>
      </c>
      <c r="F1716" s="212">
        <v>43542</v>
      </c>
      <c r="G1716" s="213">
        <v>2.62</v>
      </c>
      <c r="H1716" s="256">
        <v>350</v>
      </c>
      <c r="I1716" s="214">
        <v>1453745</v>
      </c>
      <c r="J1716" s="215">
        <v>19175</v>
      </c>
      <c r="K1716" s="212">
        <v>43595</v>
      </c>
      <c r="L1716" s="211" t="s">
        <v>1329</v>
      </c>
      <c r="M1716" s="216">
        <v>4615506885</v>
      </c>
      <c r="N1716" s="212">
        <v>43614</v>
      </c>
      <c r="O1716" s="217">
        <v>3.9746999999999999</v>
      </c>
      <c r="P1716" s="219"/>
      <c r="Q1716" s="34">
        <f>SUMIF(Allocation[Delivery ID],Allocation[[#This Row],[Delivery ID]],Allocation[Quantity Processed])</f>
        <v>24170</v>
      </c>
      <c r="R1716" s="61">
        <f>Allocation[[#This Row],[Total volume used]]/VLOOKUP(Allocation[[#This Row],[Delivery ID]],Delivery[[Delivery ID]:[Quantity delivered]],3,FALSE)</f>
        <v>1</v>
      </c>
      <c r="S1716" s="34">
        <f>Allocation[[#This Row],[Quantity Processed]]/Allocation[[#This Row],[Dilution rate]]</f>
        <v>390.07633587786256</v>
      </c>
      <c r="T1716" s="59">
        <f>SUMIF(Allocation[Delivery ID],Allocation[[#This Row],[Delivery ID]],Allocation[Quantity allocated])/SUMIF(Allocation[Delivery ID],Allocation[[#This Row],[Delivery ID]],Allocation[Volume available (kg)])</f>
        <v>0.81588700460773944</v>
      </c>
      <c r="U1716" s="61">
        <f>Allocation[[#This Row],[Total volume used]]/VLOOKUP(Allocation[[#This Row],[Delivery ID]],Delivery[[Delivery ID]:[Quantity delivered]],3,FALSE)</f>
        <v>1</v>
      </c>
      <c r="V1716" s="34" t="e">
        <f>VLOOKUP(Allocation[[#This Row],[SAP Contract number]],Shipments[[SAP Contract number]:[Contracted container weight]],2,FALSE)</f>
        <v>#N/A</v>
      </c>
      <c r="W1716" s="34" t="e">
        <f>VLOOKUP(Allocation[[#This Row],[SAP Contract number]],Shipments[[SAP Contract number]:[AAA Premium USD]],24,FALSE)</f>
        <v>#N/A</v>
      </c>
      <c r="X1716" s="34" t="e">
        <f>VLOOKUP(Allocation[[#This Row],[SAP Contract number]],Shipments[[SAP Contract number]:[RA Premium USD]],25,FALSE)</f>
        <v>#N/A</v>
      </c>
      <c r="Y1716" s="38">
        <f>Allocation[[#This Row],[Quantity Processed]]/Allocation[[#This Row],[Quantity allocated]]</f>
        <v>2.92</v>
      </c>
      <c r="Z1716" s="34" t="b">
        <f>Allocation[[#This Row],[Quantity allocated]]&lt;=Allocation[[#This Row],[Quantity Processed]]</f>
        <v>1</v>
      </c>
    </row>
    <row r="1717" spans="1:26">
      <c r="A1717" s="247" t="s">
        <v>467</v>
      </c>
      <c r="B1717" s="210" t="s">
        <v>68</v>
      </c>
      <c r="C1717" s="254" t="s">
        <v>963</v>
      </c>
      <c r="D1717" s="255">
        <v>1316</v>
      </c>
      <c r="E1717" s="211" t="s">
        <v>1914</v>
      </c>
      <c r="F1717" s="212">
        <v>43542</v>
      </c>
      <c r="G1717" s="213">
        <v>2.62</v>
      </c>
      <c r="H1717" s="256">
        <v>487</v>
      </c>
      <c r="I1717" s="214">
        <v>1453745</v>
      </c>
      <c r="J1717" s="215">
        <v>19175</v>
      </c>
      <c r="K1717" s="212">
        <v>43595</v>
      </c>
      <c r="L1717" s="211" t="s">
        <v>1329</v>
      </c>
      <c r="M1717" s="216">
        <v>4615506885</v>
      </c>
      <c r="N1717" s="212">
        <v>43614</v>
      </c>
      <c r="O1717" s="217">
        <v>3.9746999999999999</v>
      </c>
      <c r="P1717" s="219"/>
      <c r="Q1717" s="34">
        <f>SUMIF(Allocation[Delivery ID],Allocation[[#This Row],[Delivery ID]],Allocation[Quantity Processed])</f>
        <v>1378</v>
      </c>
      <c r="R1717" s="61">
        <f>Allocation[[#This Row],[Total volume used]]/VLOOKUP(Allocation[[#This Row],[Delivery ID]],Delivery[[Delivery ID]:[Quantity delivered]],3,FALSE)</f>
        <v>0.22848615486652296</v>
      </c>
      <c r="S1717" s="34">
        <f>Allocation[[#This Row],[Quantity Processed]]/Allocation[[#This Row],[Dilution rate]]</f>
        <v>502.29007633587787</v>
      </c>
      <c r="T1717" s="59">
        <f>SUMIF(Allocation[Delivery ID],Allocation[[#This Row],[Delivery ID]],Allocation[Quantity allocated])/SUMIF(Allocation[Delivery ID],Allocation[[#This Row],[Delivery ID]],Allocation[Volume available (kg)])</f>
        <v>0.97403356713426859</v>
      </c>
      <c r="U1717" s="61">
        <f>Allocation[[#This Row],[Total volume used]]/VLOOKUP(Allocation[[#This Row],[Delivery ID]],Delivery[[Delivery ID]:[Quantity delivered]],3,FALSE)</f>
        <v>0.22848615486652296</v>
      </c>
      <c r="V1717" s="34" t="e">
        <f>VLOOKUP(Allocation[[#This Row],[SAP Contract number]],Shipments[[SAP Contract number]:[Contracted container weight]],2,FALSE)</f>
        <v>#N/A</v>
      </c>
      <c r="W1717" s="34" t="e">
        <f>VLOOKUP(Allocation[[#This Row],[SAP Contract number]],Shipments[[SAP Contract number]:[AAA Premium USD]],24,FALSE)</f>
        <v>#N/A</v>
      </c>
      <c r="X1717" s="34" t="e">
        <f>VLOOKUP(Allocation[[#This Row],[SAP Contract number]],Shipments[[SAP Contract number]:[RA Premium USD]],25,FALSE)</f>
        <v>#N/A</v>
      </c>
      <c r="Y1717" s="38">
        <f>Allocation[[#This Row],[Quantity Processed]]/Allocation[[#This Row],[Quantity allocated]]</f>
        <v>2.7022587268993838</v>
      </c>
      <c r="Z1717" s="34" t="b">
        <f>Allocation[[#This Row],[Quantity allocated]]&lt;=Allocation[[#This Row],[Quantity Processed]]</f>
        <v>1</v>
      </c>
    </row>
    <row r="1718" spans="1:26">
      <c r="A1718" s="247" t="s">
        <v>467</v>
      </c>
      <c r="B1718" s="210" t="s">
        <v>68</v>
      </c>
      <c r="C1718" s="254" t="s">
        <v>1621</v>
      </c>
      <c r="D1718" s="255">
        <v>85</v>
      </c>
      <c r="E1718" s="211" t="s">
        <v>1914</v>
      </c>
      <c r="F1718" s="212">
        <v>43542</v>
      </c>
      <c r="G1718" s="213">
        <v>2.62</v>
      </c>
      <c r="H1718" s="256">
        <v>28</v>
      </c>
      <c r="I1718" s="214">
        <v>1453745</v>
      </c>
      <c r="J1718" s="215">
        <v>19175</v>
      </c>
      <c r="K1718" s="212">
        <v>43595</v>
      </c>
      <c r="L1718" s="211" t="s">
        <v>1329</v>
      </c>
      <c r="M1718" s="216">
        <v>4615506885</v>
      </c>
      <c r="N1718" s="212">
        <v>43614</v>
      </c>
      <c r="O1718" s="217">
        <v>3.9746999999999999</v>
      </c>
      <c r="P1718" s="219"/>
      <c r="Q1718" s="34">
        <f>SUMIF(Allocation[Delivery ID],Allocation[[#This Row],[Delivery ID]],Allocation[Quantity Processed])</f>
        <v>833</v>
      </c>
      <c r="R1718" s="61">
        <f>Allocation[[#This Row],[Total volume used]]/VLOOKUP(Allocation[[#This Row],[Delivery ID]],Delivery[[Delivery ID]:[Quantity delivered]],3,FALSE)</f>
        <v>0.13957774798927614</v>
      </c>
      <c r="S1718" s="34">
        <f>Allocation[[#This Row],[Quantity Processed]]/Allocation[[#This Row],[Dilution rate]]</f>
        <v>32.44274809160305</v>
      </c>
      <c r="T1718" s="59">
        <f>SUMIF(Allocation[Delivery ID],Allocation[[#This Row],[Delivery ID]],Allocation[Quantity allocated])/SUMIF(Allocation[Delivery ID],Allocation[[#This Row],[Delivery ID]],Allocation[Volume available (kg)])</f>
        <v>0.74075001016675313</v>
      </c>
      <c r="U1718" s="61">
        <f>Allocation[[#This Row],[Total volume used]]/VLOOKUP(Allocation[[#This Row],[Delivery ID]],Delivery[[Delivery ID]:[Quantity delivered]],3,FALSE)</f>
        <v>0.13957774798927614</v>
      </c>
      <c r="V1718" s="34" t="e">
        <f>VLOOKUP(Allocation[[#This Row],[SAP Contract number]],Shipments[[SAP Contract number]:[Contracted container weight]],2,FALSE)</f>
        <v>#N/A</v>
      </c>
      <c r="W1718" s="34" t="e">
        <f>VLOOKUP(Allocation[[#This Row],[SAP Contract number]],Shipments[[SAP Contract number]:[AAA Premium USD]],24,FALSE)</f>
        <v>#N/A</v>
      </c>
      <c r="X1718" s="34" t="e">
        <f>VLOOKUP(Allocation[[#This Row],[SAP Contract number]],Shipments[[SAP Contract number]:[RA Premium USD]],25,FALSE)</f>
        <v>#N/A</v>
      </c>
      <c r="Y1718" s="38">
        <f>Allocation[[#This Row],[Quantity Processed]]/Allocation[[#This Row],[Quantity allocated]]</f>
        <v>3.0357142857142856</v>
      </c>
      <c r="Z1718" s="34" t="b">
        <f>Allocation[[#This Row],[Quantity allocated]]&lt;=Allocation[[#This Row],[Quantity Processed]]</f>
        <v>1</v>
      </c>
    </row>
    <row r="1719" spans="1:26">
      <c r="A1719" s="247" t="s">
        <v>467</v>
      </c>
      <c r="B1719" s="210" t="s">
        <v>68</v>
      </c>
      <c r="C1719" s="254" t="s">
        <v>967</v>
      </c>
      <c r="D1719" s="255">
        <v>559</v>
      </c>
      <c r="E1719" s="211" t="s">
        <v>1914</v>
      </c>
      <c r="F1719" s="212">
        <v>43542</v>
      </c>
      <c r="G1719" s="213">
        <v>2.62</v>
      </c>
      <c r="H1719" s="256">
        <v>200</v>
      </c>
      <c r="I1719" s="214">
        <v>1453745</v>
      </c>
      <c r="J1719" s="215">
        <v>19175</v>
      </c>
      <c r="K1719" s="212">
        <v>43595</v>
      </c>
      <c r="L1719" s="211" t="s">
        <v>1329</v>
      </c>
      <c r="M1719" s="216">
        <v>4615506885</v>
      </c>
      <c r="N1719" s="212">
        <v>43614</v>
      </c>
      <c r="O1719" s="217">
        <v>3.9746999999999999</v>
      </c>
      <c r="P1719" s="219"/>
      <c r="Q1719" s="34">
        <f>SUMIF(Allocation[Delivery ID],Allocation[[#This Row],[Delivery ID]],Allocation[Quantity Processed])</f>
        <v>13980</v>
      </c>
      <c r="R1719" s="61">
        <f>Allocation[[#This Row],[Total volume used]]/VLOOKUP(Allocation[[#This Row],[Delivery ID]],Delivery[[Delivery ID]:[Quantity delivered]],3,FALSE)</f>
        <v>1</v>
      </c>
      <c r="S1719" s="34">
        <f>Allocation[[#This Row],[Quantity Processed]]/Allocation[[#This Row],[Dilution rate]]</f>
        <v>213.35877862595419</v>
      </c>
      <c r="T1719" s="59">
        <f>SUMIF(Allocation[Delivery ID],Allocation[[#This Row],[Delivery ID]],Allocation[Quantity allocated])/SUMIF(Allocation[Delivery ID],Allocation[[#This Row],[Delivery ID]],Allocation[Volume available (kg)])</f>
        <v>0.81689670470480924</v>
      </c>
      <c r="U1719" s="61">
        <f>Allocation[[#This Row],[Total volume used]]/VLOOKUP(Allocation[[#This Row],[Delivery ID]],Delivery[[Delivery ID]:[Quantity delivered]],3,FALSE)</f>
        <v>1</v>
      </c>
      <c r="V1719" s="34" t="e">
        <f>VLOOKUP(Allocation[[#This Row],[SAP Contract number]],Shipments[[SAP Contract number]:[Contracted container weight]],2,FALSE)</f>
        <v>#N/A</v>
      </c>
      <c r="W1719" s="34" t="e">
        <f>VLOOKUP(Allocation[[#This Row],[SAP Contract number]],Shipments[[SAP Contract number]:[AAA Premium USD]],24,FALSE)</f>
        <v>#N/A</v>
      </c>
      <c r="X1719" s="34" t="e">
        <f>VLOOKUP(Allocation[[#This Row],[SAP Contract number]],Shipments[[SAP Contract number]:[RA Premium USD]],25,FALSE)</f>
        <v>#N/A</v>
      </c>
      <c r="Y1719" s="38">
        <f>Allocation[[#This Row],[Quantity Processed]]/Allocation[[#This Row],[Quantity allocated]]</f>
        <v>2.7949999999999999</v>
      </c>
      <c r="Z1719" s="34" t="b">
        <f>Allocation[[#This Row],[Quantity allocated]]&lt;=Allocation[[#This Row],[Quantity Processed]]</f>
        <v>1</v>
      </c>
    </row>
    <row r="1720" spans="1:26">
      <c r="A1720" s="247" t="s">
        <v>467</v>
      </c>
      <c r="B1720" s="210" t="s">
        <v>68</v>
      </c>
      <c r="C1720" s="254" t="s">
        <v>973</v>
      </c>
      <c r="D1720" s="255">
        <v>1628</v>
      </c>
      <c r="E1720" s="211" t="s">
        <v>1914</v>
      </c>
      <c r="F1720" s="212">
        <v>43542</v>
      </c>
      <c r="G1720" s="213">
        <v>2.62</v>
      </c>
      <c r="H1720" s="256">
        <v>635</v>
      </c>
      <c r="I1720" s="214">
        <v>1453745</v>
      </c>
      <c r="J1720" s="215">
        <v>19175</v>
      </c>
      <c r="K1720" s="212">
        <v>43595</v>
      </c>
      <c r="L1720" s="211" t="s">
        <v>1329</v>
      </c>
      <c r="M1720" s="216">
        <v>4615506885</v>
      </c>
      <c r="N1720" s="212">
        <v>43614</v>
      </c>
      <c r="O1720" s="217">
        <v>3.9746999999999999</v>
      </c>
      <c r="P1720" s="219"/>
      <c r="Q1720" s="34">
        <f>SUMIF(Allocation[Delivery ID],Allocation[[#This Row],[Delivery ID]],Allocation[Quantity Processed])</f>
        <v>18984</v>
      </c>
      <c r="R1720" s="61">
        <f>Allocation[[#This Row],[Total volume used]]/VLOOKUP(Allocation[[#This Row],[Delivery ID]],Delivery[[Delivery ID]:[Quantity delivered]],3,FALSE)</f>
        <v>0.63174708818635605</v>
      </c>
      <c r="S1720" s="34">
        <f>Allocation[[#This Row],[Quantity Processed]]/Allocation[[#This Row],[Dilution rate]]</f>
        <v>621.37404580152668</v>
      </c>
      <c r="T1720" s="59">
        <f>SUMIF(Allocation[Delivery ID],Allocation[[#This Row],[Delivery ID]],Allocation[Quantity allocated])/SUMIF(Allocation[Delivery ID],Allocation[[#This Row],[Delivery ID]],Allocation[Volume available (kg)])</f>
        <v>0.86980715245582985</v>
      </c>
      <c r="U1720" s="61">
        <f>Allocation[[#This Row],[Total volume used]]/VLOOKUP(Allocation[[#This Row],[Delivery ID]],Delivery[[Delivery ID]:[Quantity delivered]],3,FALSE)</f>
        <v>0.63174708818635605</v>
      </c>
      <c r="V1720" s="34" t="e">
        <f>VLOOKUP(Allocation[[#This Row],[SAP Contract number]],Shipments[[SAP Contract number]:[Contracted container weight]],2,FALSE)</f>
        <v>#N/A</v>
      </c>
      <c r="W1720" s="34" t="e">
        <f>VLOOKUP(Allocation[[#This Row],[SAP Contract number]],Shipments[[SAP Contract number]:[AAA Premium USD]],24,FALSE)</f>
        <v>#N/A</v>
      </c>
      <c r="X1720" s="34" t="e">
        <f>VLOOKUP(Allocation[[#This Row],[SAP Contract number]],Shipments[[SAP Contract number]:[RA Premium USD]],25,FALSE)</f>
        <v>#N/A</v>
      </c>
      <c r="Y1720" s="38">
        <f>Allocation[[#This Row],[Quantity Processed]]/Allocation[[#This Row],[Quantity allocated]]</f>
        <v>2.5637795275590549</v>
      </c>
      <c r="Z1720" s="34" t="b">
        <f>Allocation[[#This Row],[Quantity allocated]]&lt;=Allocation[[#This Row],[Quantity Processed]]</f>
        <v>1</v>
      </c>
    </row>
    <row r="1721" spans="1:26">
      <c r="A1721" s="247" t="s">
        <v>467</v>
      </c>
      <c r="B1721" s="210" t="s">
        <v>68</v>
      </c>
      <c r="C1721" s="254" t="s">
        <v>976</v>
      </c>
      <c r="D1721" s="255">
        <v>300</v>
      </c>
      <c r="E1721" s="211" t="s">
        <v>1914</v>
      </c>
      <c r="F1721" s="212">
        <v>43542</v>
      </c>
      <c r="G1721" s="213">
        <v>2.62</v>
      </c>
      <c r="H1721" s="256">
        <v>117</v>
      </c>
      <c r="I1721" s="214">
        <v>1453745</v>
      </c>
      <c r="J1721" s="215">
        <v>19175</v>
      </c>
      <c r="K1721" s="212">
        <v>43595</v>
      </c>
      <c r="L1721" s="211" t="s">
        <v>1329</v>
      </c>
      <c r="M1721" s="216">
        <v>4615506885</v>
      </c>
      <c r="N1721" s="212">
        <v>43614</v>
      </c>
      <c r="O1721" s="217">
        <v>3.9746999999999999</v>
      </c>
      <c r="P1721" s="219"/>
      <c r="Q1721" s="34">
        <f>SUMIF(Allocation[Delivery ID],Allocation[[#This Row],[Delivery ID]],Allocation[Quantity Processed])</f>
        <v>5762</v>
      </c>
      <c r="R1721" s="61">
        <f>Allocation[[#This Row],[Total volume used]]/VLOOKUP(Allocation[[#This Row],[Delivery ID]],Delivery[[Delivery ID]:[Quantity delivered]],3,FALSE)</f>
        <v>0.56517900931829324</v>
      </c>
      <c r="S1721" s="34">
        <f>Allocation[[#This Row],[Quantity Processed]]/Allocation[[#This Row],[Dilution rate]]</f>
        <v>114.50381679389312</v>
      </c>
      <c r="T1721" s="59">
        <f>SUMIF(Allocation[Delivery ID],Allocation[[#This Row],[Delivery ID]],Allocation[Quantity allocated])/SUMIF(Allocation[Delivery ID],Allocation[[#This Row],[Delivery ID]],Allocation[Volume available (kg)])</f>
        <v>0.8530439681206371</v>
      </c>
      <c r="U1721" s="61">
        <f>Allocation[[#This Row],[Total volume used]]/VLOOKUP(Allocation[[#This Row],[Delivery ID]],Delivery[[Delivery ID]:[Quantity delivered]],3,FALSE)</f>
        <v>0.56517900931829324</v>
      </c>
      <c r="V1721" s="34" t="e">
        <f>VLOOKUP(Allocation[[#This Row],[SAP Contract number]],Shipments[[SAP Contract number]:[Contracted container weight]],2,FALSE)</f>
        <v>#N/A</v>
      </c>
      <c r="W1721" s="34" t="e">
        <f>VLOOKUP(Allocation[[#This Row],[SAP Contract number]],Shipments[[SAP Contract number]:[AAA Premium USD]],24,FALSE)</f>
        <v>#N/A</v>
      </c>
      <c r="X1721" s="34" t="e">
        <f>VLOOKUP(Allocation[[#This Row],[SAP Contract number]],Shipments[[SAP Contract number]:[RA Premium USD]],25,FALSE)</f>
        <v>#N/A</v>
      </c>
      <c r="Y1721" s="38">
        <f>Allocation[[#This Row],[Quantity Processed]]/Allocation[[#This Row],[Quantity allocated]]</f>
        <v>2.5641025641025643</v>
      </c>
      <c r="Z1721" s="34" t="b">
        <f>Allocation[[#This Row],[Quantity allocated]]&lt;=Allocation[[#This Row],[Quantity Processed]]</f>
        <v>1</v>
      </c>
    </row>
    <row r="1722" spans="1:26">
      <c r="A1722" s="247" t="s">
        <v>467</v>
      </c>
      <c r="B1722" s="210" t="s">
        <v>68</v>
      </c>
      <c r="C1722" s="254" t="s">
        <v>978</v>
      </c>
      <c r="D1722" s="255">
        <v>521</v>
      </c>
      <c r="E1722" s="211" t="s">
        <v>1914</v>
      </c>
      <c r="F1722" s="212">
        <v>43542</v>
      </c>
      <c r="G1722" s="213">
        <v>2.62</v>
      </c>
      <c r="H1722" s="256">
        <v>172</v>
      </c>
      <c r="I1722" s="214">
        <v>1453745</v>
      </c>
      <c r="J1722" s="215">
        <v>19175</v>
      </c>
      <c r="K1722" s="212">
        <v>43595</v>
      </c>
      <c r="L1722" s="211" t="s">
        <v>1329</v>
      </c>
      <c r="M1722" s="216">
        <v>4615506885</v>
      </c>
      <c r="N1722" s="212">
        <v>43614</v>
      </c>
      <c r="O1722" s="217">
        <v>3.9746999999999999</v>
      </c>
      <c r="P1722" s="219"/>
      <c r="Q1722" s="34">
        <f>SUMIF(Allocation[Delivery ID],Allocation[[#This Row],[Delivery ID]],Allocation[Quantity Processed])</f>
        <v>10932</v>
      </c>
      <c r="R1722" s="61">
        <f>Allocation[[#This Row],[Total volume used]]/VLOOKUP(Allocation[[#This Row],[Delivery ID]],Delivery[[Delivery ID]:[Quantity delivered]],3,FALSE)</f>
        <v>0.72807192807192811</v>
      </c>
      <c r="S1722" s="34">
        <f>Allocation[[#This Row],[Quantity Processed]]/Allocation[[#This Row],[Dilution rate]]</f>
        <v>198.85496183206106</v>
      </c>
      <c r="T1722" s="59">
        <f>SUMIF(Allocation[Delivery ID],Allocation[[#This Row],[Delivery ID]],Allocation[Quantity allocated])/SUMIF(Allocation[Delivery ID],Allocation[[#This Row],[Delivery ID]],Allocation[Volume available (kg)])</f>
        <v>0.66709261121584584</v>
      </c>
      <c r="U1722" s="61">
        <f>Allocation[[#This Row],[Total volume used]]/VLOOKUP(Allocation[[#This Row],[Delivery ID]],Delivery[[Delivery ID]:[Quantity delivered]],3,FALSE)</f>
        <v>0.72807192807192811</v>
      </c>
      <c r="V1722" s="34" t="e">
        <f>VLOOKUP(Allocation[[#This Row],[SAP Contract number]],Shipments[[SAP Contract number]:[Contracted container weight]],2,FALSE)</f>
        <v>#N/A</v>
      </c>
      <c r="W1722" s="34" t="e">
        <f>VLOOKUP(Allocation[[#This Row],[SAP Contract number]],Shipments[[SAP Contract number]:[AAA Premium USD]],24,FALSE)</f>
        <v>#N/A</v>
      </c>
      <c r="X1722" s="34" t="e">
        <f>VLOOKUP(Allocation[[#This Row],[SAP Contract number]],Shipments[[SAP Contract number]:[RA Premium USD]],25,FALSE)</f>
        <v>#N/A</v>
      </c>
      <c r="Y1722" s="38">
        <f>Allocation[[#This Row],[Quantity Processed]]/Allocation[[#This Row],[Quantity allocated]]</f>
        <v>3.0290697674418605</v>
      </c>
      <c r="Z1722" s="34" t="b">
        <f>Allocation[[#This Row],[Quantity allocated]]&lt;=Allocation[[#This Row],[Quantity Processed]]</f>
        <v>1</v>
      </c>
    </row>
    <row r="1723" spans="1:26">
      <c r="A1723" s="247" t="s">
        <v>467</v>
      </c>
      <c r="B1723" s="210" t="s">
        <v>68</v>
      </c>
      <c r="C1723" s="254" t="s">
        <v>984</v>
      </c>
      <c r="D1723" s="255">
        <v>833</v>
      </c>
      <c r="E1723" s="211" t="s">
        <v>1914</v>
      </c>
      <c r="F1723" s="212">
        <v>43542</v>
      </c>
      <c r="G1723" s="213">
        <v>2.62</v>
      </c>
      <c r="H1723" s="256">
        <v>275</v>
      </c>
      <c r="I1723" s="214">
        <v>1453745</v>
      </c>
      <c r="J1723" s="215">
        <v>19175</v>
      </c>
      <c r="K1723" s="212">
        <v>43595</v>
      </c>
      <c r="L1723" s="211" t="s">
        <v>1329</v>
      </c>
      <c r="M1723" s="216">
        <v>4615506885</v>
      </c>
      <c r="N1723" s="212">
        <v>43614</v>
      </c>
      <c r="O1723" s="217">
        <v>3.9746999999999999</v>
      </c>
      <c r="P1723" s="219"/>
      <c r="Q1723" s="34">
        <f>SUMIF(Allocation[Delivery ID],Allocation[[#This Row],[Delivery ID]],Allocation[Quantity Processed])</f>
        <v>16184</v>
      </c>
      <c r="R1723" s="61">
        <f>Allocation[[#This Row],[Total volume used]]/VLOOKUP(Allocation[[#This Row],[Delivery ID]],Delivery[[Delivery ID]:[Quantity delivered]],3,FALSE)</f>
        <v>0.675741127348643</v>
      </c>
      <c r="S1723" s="34">
        <f>Allocation[[#This Row],[Quantity Processed]]/Allocation[[#This Row],[Dilution rate]]</f>
        <v>317.93893129770993</v>
      </c>
      <c r="T1723" s="59">
        <f>SUMIF(Allocation[Delivery ID],Allocation[[#This Row],[Delivery ID]],Allocation[Quantity allocated])/SUMIF(Allocation[Delivery ID],Allocation[[#This Row],[Delivery ID]],Allocation[Volume available (kg)])</f>
        <v>0.72306862817030149</v>
      </c>
      <c r="U1723" s="61">
        <f>Allocation[[#This Row],[Total volume used]]/VLOOKUP(Allocation[[#This Row],[Delivery ID]],Delivery[[Delivery ID]:[Quantity delivered]],3,FALSE)</f>
        <v>0.675741127348643</v>
      </c>
      <c r="V1723" s="34" t="e">
        <f>VLOOKUP(Allocation[[#This Row],[SAP Contract number]],Shipments[[SAP Contract number]:[Contracted container weight]],2,FALSE)</f>
        <v>#N/A</v>
      </c>
      <c r="W1723" s="34" t="e">
        <f>VLOOKUP(Allocation[[#This Row],[SAP Contract number]],Shipments[[SAP Contract number]:[AAA Premium USD]],24,FALSE)</f>
        <v>#N/A</v>
      </c>
      <c r="X1723" s="34" t="e">
        <f>VLOOKUP(Allocation[[#This Row],[SAP Contract number]],Shipments[[SAP Contract number]:[RA Premium USD]],25,FALSE)</f>
        <v>#N/A</v>
      </c>
      <c r="Y1723" s="38">
        <f>Allocation[[#This Row],[Quantity Processed]]/Allocation[[#This Row],[Quantity allocated]]</f>
        <v>3.0290909090909093</v>
      </c>
      <c r="Z1723" s="34" t="b">
        <f>Allocation[[#This Row],[Quantity allocated]]&lt;=Allocation[[#This Row],[Quantity Processed]]</f>
        <v>1</v>
      </c>
    </row>
    <row r="1724" spans="1:26">
      <c r="A1724" s="247" t="s">
        <v>467</v>
      </c>
      <c r="B1724" s="210" t="s">
        <v>68</v>
      </c>
      <c r="C1724" s="254" t="s">
        <v>985</v>
      </c>
      <c r="D1724" s="255">
        <v>363</v>
      </c>
      <c r="E1724" s="211" t="s">
        <v>1914</v>
      </c>
      <c r="F1724" s="212">
        <v>43542</v>
      </c>
      <c r="G1724" s="213">
        <v>2.62</v>
      </c>
      <c r="H1724" s="256">
        <v>127</v>
      </c>
      <c r="I1724" s="214">
        <v>1453745</v>
      </c>
      <c r="J1724" s="215">
        <v>19175</v>
      </c>
      <c r="K1724" s="212">
        <v>43595</v>
      </c>
      <c r="L1724" s="211" t="s">
        <v>1329</v>
      </c>
      <c r="M1724" s="216">
        <v>4615506885</v>
      </c>
      <c r="N1724" s="212">
        <v>43614</v>
      </c>
      <c r="O1724" s="217">
        <v>3.9746999999999999</v>
      </c>
      <c r="P1724" s="219"/>
      <c r="Q1724" s="34">
        <f>SUMIF(Allocation[Delivery ID],Allocation[[#This Row],[Delivery ID]],Allocation[Quantity Processed])</f>
        <v>7053</v>
      </c>
      <c r="R1724" s="61">
        <f>Allocation[[#This Row],[Total volume used]]/VLOOKUP(Allocation[[#This Row],[Delivery ID]],Delivery[[Delivery ID]:[Quantity delivered]],3,FALSE)</f>
        <v>0.63770343580470168</v>
      </c>
      <c r="S1724" s="34">
        <f>Allocation[[#This Row],[Quantity Processed]]/Allocation[[#This Row],[Dilution rate]]</f>
        <v>138.54961832061068</v>
      </c>
      <c r="T1724" s="59">
        <f>SUMIF(Allocation[Delivery ID],Allocation[[#This Row],[Delivery ID]],Allocation[Quantity allocated])/SUMIF(Allocation[Delivery ID],Allocation[[#This Row],[Delivery ID]],Allocation[Volume available (kg)])</f>
        <v>0.76690120298999431</v>
      </c>
      <c r="U1724" s="61">
        <f>Allocation[[#This Row],[Total volume used]]/VLOOKUP(Allocation[[#This Row],[Delivery ID]],Delivery[[Delivery ID]:[Quantity delivered]],3,FALSE)</f>
        <v>0.63770343580470168</v>
      </c>
      <c r="V1724" s="34" t="e">
        <f>VLOOKUP(Allocation[[#This Row],[SAP Contract number]],Shipments[[SAP Contract number]:[Contracted container weight]],2,FALSE)</f>
        <v>#N/A</v>
      </c>
      <c r="W1724" s="34" t="e">
        <f>VLOOKUP(Allocation[[#This Row],[SAP Contract number]],Shipments[[SAP Contract number]:[AAA Premium USD]],24,FALSE)</f>
        <v>#N/A</v>
      </c>
      <c r="X1724" s="34" t="e">
        <f>VLOOKUP(Allocation[[#This Row],[SAP Contract number]],Shipments[[SAP Contract number]:[RA Premium USD]],25,FALSE)</f>
        <v>#N/A</v>
      </c>
      <c r="Y1724" s="38">
        <f>Allocation[[#This Row],[Quantity Processed]]/Allocation[[#This Row],[Quantity allocated]]</f>
        <v>2.8582677165354329</v>
      </c>
      <c r="Z1724" s="34" t="b">
        <f>Allocation[[#This Row],[Quantity allocated]]&lt;=Allocation[[#This Row],[Quantity Processed]]</f>
        <v>1</v>
      </c>
    </row>
    <row r="1725" spans="1:26">
      <c r="A1725" s="247" t="s">
        <v>467</v>
      </c>
      <c r="B1725" s="210" t="s">
        <v>68</v>
      </c>
      <c r="C1725" s="254" t="s">
        <v>987</v>
      </c>
      <c r="D1725" s="255">
        <v>171</v>
      </c>
      <c r="E1725" s="211" t="s">
        <v>1914</v>
      </c>
      <c r="F1725" s="212">
        <v>43542</v>
      </c>
      <c r="G1725" s="213">
        <v>2.62</v>
      </c>
      <c r="H1725" s="256">
        <v>58</v>
      </c>
      <c r="I1725" s="214">
        <v>1453745</v>
      </c>
      <c r="J1725" s="215">
        <v>19175</v>
      </c>
      <c r="K1725" s="212">
        <v>43595</v>
      </c>
      <c r="L1725" s="211" t="s">
        <v>1329</v>
      </c>
      <c r="M1725" s="216">
        <v>4615506885</v>
      </c>
      <c r="N1725" s="212">
        <v>43614</v>
      </c>
      <c r="O1725" s="217">
        <v>3.9746999999999999</v>
      </c>
      <c r="P1725" s="219"/>
      <c r="Q1725" s="34">
        <f>SUMIF(Allocation[Delivery ID],Allocation[[#This Row],[Delivery ID]],Allocation[Quantity Processed])</f>
        <v>3339</v>
      </c>
      <c r="R1725" s="61">
        <f>Allocation[[#This Row],[Total volume used]]/VLOOKUP(Allocation[[#This Row],[Delivery ID]],Delivery[[Delivery ID]:[Quantity delivered]],3,FALSE)</f>
        <v>0.65573448546739987</v>
      </c>
      <c r="S1725" s="34">
        <f>Allocation[[#This Row],[Quantity Processed]]/Allocation[[#This Row],[Dilution rate]]</f>
        <v>65.267175572519079</v>
      </c>
      <c r="T1725" s="59">
        <f>SUMIF(Allocation[Delivery ID],Allocation[[#This Row],[Delivery ID]],Allocation[Quantity allocated])/SUMIF(Allocation[Delivery ID],Allocation[[#This Row],[Delivery ID]],Allocation[Volume available (kg)])</f>
        <v>0.74487926835387097</v>
      </c>
      <c r="U1725" s="61">
        <f>Allocation[[#This Row],[Total volume used]]/VLOOKUP(Allocation[[#This Row],[Delivery ID]],Delivery[[Delivery ID]:[Quantity delivered]],3,FALSE)</f>
        <v>0.65573448546739987</v>
      </c>
      <c r="V1725" s="34" t="e">
        <f>VLOOKUP(Allocation[[#This Row],[SAP Contract number]],Shipments[[SAP Contract number]:[Contracted container weight]],2,FALSE)</f>
        <v>#N/A</v>
      </c>
      <c r="W1725" s="34" t="e">
        <f>VLOOKUP(Allocation[[#This Row],[SAP Contract number]],Shipments[[SAP Contract number]:[AAA Premium USD]],24,FALSE)</f>
        <v>#N/A</v>
      </c>
      <c r="X1725" s="34" t="e">
        <f>VLOOKUP(Allocation[[#This Row],[SAP Contract number]],Shipments[[SAP Contract number]:[RA Premium USD]],25,FALSE)</f>
        <v>#N/A</v>
      </c>
      <c r="Y1725" s="38">
        <f>Allocation[[#This Row],[Quantity Processed]]/Allocation[[#This Row],[Quantity allocated]]</f>
        <v>2.9482758620689653</v>
      </c>
      <c r="Z1725" s="34" t="b">
        <f>Allocation[[#This Row],[Quantity allocated]]&lt;=Allocation[[#This Row],[Quantity Processed]]</f>
        <v>1</v>
      </c>
    </row>
    <row r="1726" spans="1:26">
      <c r="A1726" s="247" t="s">
        <v>467</v>
      </c>
      <c r="B1726" s="210" t="s">
        <v>68</v>
      </c>
      <c r="C1726" s="254" t="s">
        <v>989</v>
      </c>
      <c r="D1726" s="255">
        <v>176</v>
      </c>
      <c r="E1726" s="211" t="s">
        <v>1914</v>
      </c>
      <c r="F1726" s="212">
        <v>43542</v>
      </c>
      <c r="G1726" s="213">
        <v>2.62</v>
      </c>
      <c r="H1726" s="256">
        <v>60</v>
      </c>
      <c r="I1726" s="214">
        <v>1453745</v>
      </c>
      <c r="J1726" s="215">
        <v>19175</v>
      </c>
      <c r="K1726" s="212">
        <v>43595</v>
      </c>
      <c r="L1726" s="211" t="s">
        <v>1329</v>
      </c>
      <c r="M1726" s="216">
        <v>4615506885</v>
      </c>
      <c r="N1726" s="212">
        <v>43614</v>
      </c>
      <c r="O1726" s="217">
        <v>3.9746999999999999</v>
      </c>
      <c r="P1726" s="219"/>
      <c r="Q1726" s="34">
        <f>SUMIF(Allocation[Delivery ID],Allocation[[#This Row],[Delivery ID]],Allocation[Quantity Processed])</f>
        <v>3415</v>
      </c>
      <c r="R1726" s="61">
        <f>Allocation[[#This Row],[Total volume used]]/VLOOKUP(Allocation[[#This Row],[Delivery ID]],Delivery[[Delivery ID]:[Quantity delivered]],3,FALSE)</f>
        <v>0.65521872601688413</v>
      </c>
      <c r="S1726" s="34">
        <f>Allocation[[#This Row],[Quantity Processed]]/Allocation[[#This Row],[Dilution rate]]</f>
        <v>67.175572519083971</v>
      </c>
      <c r="T1726" s="59">
        <f>SUMIF(Allocation[Delivery ID],Allocation[[#This Row],[Delivery ID]],Allocation[Quantity allocated])/SUMIF(Allocation[Delivery ID],Allocation[[#This Row],[Delivery ID]],Allocation[Volume available (kg)])</f>
        <v>0.74479024256456761</v>
      </c>
      <c r="U1726" s="61">
        <f>Allocation[[#This Row],[Total volume used]]/VLOOKUP(Allocation[[#This Row],[Delivery ID]],Delivery[[Delivery ID]:[Quantity delivered]],3,FALSE)</f>
        <v>0.65521872601688413</v>
      </c>
      <c r="V1726" s="34" t="e">
        <f>VLOOKUP(Allocation[[#This Row],[SAP Contract number]],Shipments[[SAP Contract number]:[Contracted container weight]],2,FALSE)</f>
        <v>#N/A</v>
      </c>
      <c r="W1726" s="34" t="e">
        <f>VLOOKUP(Allocation[[#This Row],[SAP Contract number]],Shipments[[SAP Contract number]:[AAA Premium USD]],24,FALSE)</f>
        <v>#N/A</v>
      </c>
      <c r="X1726" s="34" t="e">
        <f>VLOOKUP(Allocation[[#This Row],[SAP Contract number]],Shipments[[SAP Contract number]:[RA Premium USD]],25,FALSE)</f>
        <v>#N/A</v>
      </c>
      <c r="Y1726" s="38">
        <f>Allocation[[#This Row],[Quantity Processed]]/Allocation[[#This Row],[Quantity allocated]]</f>
        <v>2.9333333333333331</v>
      </c>
      <c r="Z1726" s="34" t="b">
        <f>Allocation[[#This Row],[Quantity allocated]]&lt;=Allocation[[#This Row],[Quantity Processed]]</f>
        <v>1</v>
      </c>
    </row>
    <row r="1727" spans="1:26">
      <c r="A1727" s="247" t="s">
        <v>467</v>
      </c>
      <c r="B1727" s="210" t="s">
        <v>68</v>
      </c>
      <c r="C1727" s="254" t="s">
        <v>990</v>
      </c>
      <c r="D1727" s="255">
        <v>218</v>
      </c>
      <c r="E1727" s="211" t="s">
        <v>1914</v>
      </c>
      <c r="F1727" s="212">
        <v>43542</v>
      </c>
      <c r="G1727" s="213">
        <v>2.62</v>
      </c>
      <c r="H1727" s="256">
        <v>74</v>
      </c>
      <c r="I1727" s="214">
        <v>1453745</v>
      </c>
      <c r="J1727" s="215">
        <v>19175</v>
      </c>
      <c r="K1727" s="212">
        <v>43595</v>
      </c>
      <c r="L1727" s="211" t="s">
        <v>1329</v>
      </c>
      <c r="M1727" s="216">
        <v>4615506885</v>
      </c>
      <c r="N1727" s="212">
        <v>43614</v>
      </c>
      <c r="O1727" s="217">
        <v>3.9746999999999999</v>
      </c>
      <c r="P1727" s="219"/>
      <c r="Q1727" s="34">
        <f>SUMIF(Allocation[Delivery ID],Allocation[[#This Row],[Delivery ID]],Allocation[Quantity Processed])</f>
        <v>4243</v>
      </c>
      <c r="R1727" s="61">
        <f>Allocation[[#This Row],[Total volume used]]/VLOOKUP(Allocation[[#This Row],[Delivery ID]],Delivery[[Delivery ID]:[Quantity delivered]],3,FALSE)</f>
        <v>0.65584666512095213</v>
      </c>
      <c r="S1727" s="34">
        <f>Allocation[[#This Row],[Quantity Processed]]/Allocation[[#This Row],[Dilution rate]]</f>
        <v>83.206106870229007</v>
      </c>
      <c r="T1727" s="59">
        <f>SUMIF(Allocation[Delivery ID],Allocation[[#This Row],[Delivery ID]],Allocation[Quantity allocated])/SUMIF(Allocation[Delivery ID],Allocation[[#This Row],[Delivery ID]],Allocation[Volume available (kg)])</f>
        <v>0.74465989275145106</v>
      </c>
      <c r="U1727" s="61">
        <f>Allocation[[#This Row],[Total volume used]]/VLOOKUP(Allocation[[#This Row],[Delivery ID]],Delivery[[Delivery ID]:[Quantity delivered]],3,FALSE)</f>
        <v>0.65584666512095213</v>
      </c>
      <c r="V1727" s="34" t="e">
        <f>VLOOKUP(Allocation[[#This Row],[SAP Contract number]],Shipments[[SAP Contract number]:[Contracted container weight]],2,FALSE)</f>
        <v>#N/A</v>
      </c>
      <c r="W1727" s="34" t="e">
        <f>VLOOKUP(Allocation[[#This Row],[SAP Contract number]],Shipments[[SAP Contract number]:[AAA Premium USD]],24,FALSE)</f>
        <v>#N/A</v>
      </c>
      <c r="X1727" s="34" t="e">
        <f>VLOOKUP(Allocation[[#This Row],[SAP Contract number]],Shipments[[SAP Contract number]:[RA Premium USD]],25,FALSE)</f>
        <v>#N/A</v>
      </c>
      <c r="Y1727" s="38">
        <f>Allocation[[#This Row],[Quantity Processed]]/Allocation[[#This Row],[Quantity allocated]]</f>
        <v>2.9459459459459461</v>
      </c>
      <c r="Z1727" s="34" t="b">
        <f>Allocation[[#This Row],[Quantity allocated]]&lt;=Allocation[[#This Row],[Quantity Processed]]</f>
        <v>1</v>
      </c>
    </row>
    <row r="1728" spans="1:26">
      <c r="A1728" s="247" t="s">
        <v>467</v>
      </c>
      <c r="B1728" s="210" t="s">
        <v>68</v>
      </c>
      <c r="C1728" s="254" t="s">
        <v>991</v>
      </c>
      <c r="D1728" s="255">
        <v>317</v>
      </c>
      <c r="E1728" s="211" t="s">
        <v>1914</v>
      </c>
      <c r="F1728" s="212">
        <v>43542</v>
      </c>
      <c r="G1728" s="213">
        <v>2.62</v>
      </c>
      <c r="H1728" s="256">
        <v>110</v>
      </c>
      <c r="I1728" s="214">
        <v>1453745</v>
      </c>
      <c r="J1728" s="215">
        <v>19175</v>
      </c>
      <c r="K1728" s="212">
        <v>43595</v>
      </c>
      <c r="L1728" s="211" t="s">
        <v>1329</v>
      </c>
      <c r="M1728" s="216">
        <v>4615506885</v>
      </c>
      <c r="N1728" s="212">
        <v>43614</v>
      </c>
      <c r="O1728" s="217">
        <v>3.9746999999999999</v>
      </c>
      <c r="P1728" s="219"/>
      <c r="Q1728" s="34">
        <f>SUMIF(Allocation[Delivery ID],Allocation[[#This Row],[Delivery ID]],Allocation[Quantity Processed])</f>
        <v>25620</v>
      </c>
      <c r="R1728" s="61">
        <f>Allocation[[#This Row],[Total volume used]]/VLOOKUP(Allocation[[#This Row],[Delivery ID]],Delivery[[Delivery ID]:[Quantity delivered]],3,FALSE)</f>
        <v>1</v>
      </c>
      <c r="S1728" s="34">
        <f>Allocation[[#This Row],[Quantity Processed]]/Allocation[[#This Row],[Dilution rate]]</f>
        <v>120.99236641221374</v>
      </c>
      <c r="T1728" s="59">
        <f>SUMIF(Allocation[Delivery ID],Allocation[[#This Row],[Delivery ID]],Allocation[Quantity allocated])/SUMIF(Allocation[Delivery ID],Allocation[[#This Row],[Delivery ID]],Allocation[Volume available (kg)])</f>
        <v>0.80361740714337937</v>
      </c>
      <c r="U1728" s="61">
        <f>Allocation[[#This Row],[Total volume used]]/VLOOKUP(Allocation[[#This Row],[Delivery ID]],Delivery[[Delivery ID]:[Quantity delivered]],3,FALSE)</f>
        <v>1</v>
      </c>
      <c r="V1728" s="34" t="e">
        <f>VLOOKUP(Allocation[[#This Row],[SAP Contract number]],Shipments[[SAP Contract number]:[Contracted container weight]],2,FALSE)</f>
        <v>#N/A</v>
      </c>
      <c r="W1728" s="34" t="e">
        <f>VLOOKUP(Allocation[[#This Row],[SAP Contract number]],Shipments[[SAP Contract number]:[AAA Premium USD]],24,FALSE)</f>
        <v>#N/A</v>
      </c>
      <c r="X1728" s="34" t="e">
        <f>VLOOKUP(Allocation[[#This Row],[SAP Contract number]],Shipments[[SAP Contract number]:[RA Premium USD]],25,FALSE)</f>
        <v>#N/A</v>
      </c>
      <c r="Y1728" s="38">
        <f>Allocation[[#This Row],[Quantity Processed]]/Allocation[[#This Row],[Quantity allocated]]</f>
        <v>2.8818181818181818</v>
      </c>
      <c r="Z1728" s="34" t="b">
        <f>Allocation[[#This Row],[Quantity allocated]]&lt;=Allocation[[#This Row],[Quantity Processed]]</f>
        <v>1</v>
      </c>
    </row>
    <row r="1729" spans="1:26">
      <c r="A1729" s="247" t="s">
        <v>467</v>
      </c>
      <c r="B1729" s="210" t="s">
        <v>68</v>
      </c>
      <c r="C1729" s="254" t="s">
        <v>1623</v>
      </c>
      <c r="D1729" s="255">
        <v>4130</v>
      </c>
      <c r="E1729" s="211" t="s">
        <v>1914</v>
      </c>
      <c r="F1729" s="212">
        <v>43542</v>
      </c>
      <c r="G1729" s="213">
        <v>2.62</v>
      </c>
      <c r="H1729" s="256">
        <v>1363</v>
      </c>
      <c r="I1729" s="214">
        <v>1453745</v>
      </c>
      <c r="J1729" s="215">
        <v>19175</v>
      </c>
      <c r="K1729" s="212">
        <v>43595</v>
      </c>
      <c r="L1729" s="211" t="s">
        <v>1329</v>
      </c>
      <c r="M1729" s="216">
        <v>4615506885</v>
      </c>
      <c r="N1729" s="212">
        <v>43614</v>
      </c>
      <c r="O1729" s="217">
        <v>3.9746999999999999</v>
      </c>
      <c r="P1729" s="219"/>
      <c r="Q1729" s="34">
        <f>SUMIF(Allocation[Delivery ID],Allocation[[#This Row],[Delivery ID]],Allocation[Quantity Processed])</f>
        <v>13197</v>
      </c>
      <c r="R1729" s="61">
        <f>Allocation[[#This Row],[Total volume used]]/VLOOKUP(Allocation[[#This Row],[Delivery ID]],Delivery[[Delivery ID]:[Quantity delivered]],3,FALSE)</f>
        <v>0.41815589353612165</v>
      </c>
      <c r="S1729" s="34">
        <f>Allocation[[#This Row],[Quantity Processed]]/Allocation[[#This Row],[Dilution rate]]</f>
        <v>1576.3358778625955</v>
      </c>
      <c r="T1729" s="59">
        <f>SUMIF(Allocation[Delivery ID],Allocation[[#This Row],[Delivery ID]],Allocation[Quantity allocated])/SUMIF(Allocation[Delivery ID],Allocation[[#This Row],[Delivery ID]],Allocation[Volume available (kg)])</f>
        <v>0.87986713282800932</v>
      </c>
      <c r="U1729" s="61">
        <f>Allocation[[#This Row],[Total volume used]]/VLOOKUP(Allocation[[#This Row],[Delivery ID]],Delivery[[Delivery ID]:[Quantity delivered]],3,FALSE)</f>
        <v>0.41815589353612165</v>
      </c>
      <c r="V1729" s="34" t="e">
        <f>VLOOKUP(Allocation[[#This Row],[SAP Contract number]],Shipments[[SAP Contract number]:[Contracted container weight]],2,FALSE)</f>
        <v>#N/A</v>
      </c>
      <c r="W1729" s="34" t="e">
        <f>VLOOKUP(Allocation[[#This Row],[SAP Contract number]],Shipments[[SAP Contract number]:[AAA Premium USD]],24,FALSE)</f>
        <v>#N/A</v>
      </c>
      <c r="X1729" s="34" t="e">
        <f>VLOOKUP(Allocation[[#This Row],[SAP Contract number]],Shipments[[SAP Contract number]:[RA Premium USD]],25,FALSE)</f>
        <v>#N/A</v>
      </c>
      <c r="Y1729" s="38">
        <f>Allocation[[#This Row],[Quantity Processed]]/Allocation[[#This Row],[Quantity allocated]]</f>
        <v>3.0300807043286868</v>
      </c>
      <c r="Z1729" s="34" t="b">
        <f>Allocation[[#This Row],[Quantity allocated]]&lt;=Allocation[[#This Row],[Quantity Processed]]</f>
        <v>1</v>
      </c>
    </row>
    <row r="1730" spans="1:26">
      <c r="A1730" s="247" t="s">
        <v>467</v>
      </c>
      <c r="B1730" s="210" t="s">
        <v>68</v>
      </c>
      <c r="C1730" s="254" t="s">
        <v>1625</v>
      </c>
      <c r="D1730" s="255">
        <v>3439</v>
      </c>
      <c r="E1730" s="211" t="s">
        <v>1914</v>
      </c>
      <c r="F1730" s="212">
        <v>43542</v>
      </c>
      <c r="G1730" s="213">
        <v>2.62</v>
      </c>
      <c r="H1730" s="256">
        <v>1135</v>
      </c>
      <c r="I1730" s="214">
        <v>1453745</v>
      </c>
      <c r="J1730" s="215">
        <v>19175</v>
      </c>
      <c r="K1730" s="212">
        <v>43595</v>
      </c>
      <c r="L1730" s="211" t="s">
        <v>1329</v>
      </c>
      <c r="M1730" s="216">
        <v>4615506885</v>
      </c>
      <c r="N1730" s="212">
        <v>43614</v>
      </c>
      <c r="O1730" s="217">
        <v>3.9746999999999999</v>
      </c>
      <c r="P1730" s="219"/>
      <c r="Q1730" s="34">
        <f>SUMIF(Allocation[Delivery ID],Allocation[[#This Row],[Delivery ID]],Allocation[Quantity Processed])</f>
        <v>9221</v>
      </c>
      <c r="R1730" s="61">
        <f>Allocation[[#This Row],[Total volume used]]/VLOOKUP(Allocation[[#This Row],[Delivery ID]],Delivery[[Delivery ID]:[Quantity delivered]],3,FALSE)</f>
        <v>0.3507417268923545</v>
      </c>
      <c r="S1730" s="34">
        <f>Allocation[[#This Row],[Quantity Processed]]/Allocation[[#This Row],[Dilution rate]]</f>
        <v>1312.5954198473282</v>
      </c>
      <c r="T1730" s="59">
        <f>SUMIF(Allocation[Delivery ID],Allocation[[#This Row],[Delivery ID]],Allocation[Quantity allocated])/SUMIF(Allocation[Delivery ID],Allocation[[#This Row],[Delivery ID]],Allocation[Volume available (kg)])</f>
        <v>0.87778607677140652</v>
      </c>
      <c r="U1730" s="61">
        <f>Allocation[[#This Row],[Total volume used]]/VLOOKUP(Allocation[[#This Row],[Delivery ID]],Delivery[[Delivery ID]:[Quantity delivered]],3,FALSE)</f>
        <v>0.3507417268923545</v>
      </c>
      <c r="V1730" s="34" t="e">
        <f>VLOOKUP(Allocation[[#This Row],[SAP Contract number]],Shipments[[SAP Contract number]:[Contracted container weight]],2,FALSE)</f>
        <v>#N/A</v>
      </c>
      <c r="W1730" s="34" t="e">
        <f>VLOOKUP(Allocation[[#This Row],[SAP Contract number]],Shipments[[SAP Contract number]:[AAA Premium USD]],24,FALSE)</f>
        <v>#N/A</v>
      </c>
      <c r="X1730" s="34" t="e">
        <f>VLOOKUP(Allocation[[#This Row],[SAP Contract number]],Shipments[[SAP Contract number]:[RA Premium USD]],25,FALSE)</f>
        <v>#N/A</v>
      </c>
      <c r="Y1730" s="38">
        <f>Allocation[[#This Row],[Quantity Processed]]/Allocation[[#This Row],[Quantity allocated]]</f>
        <v>3.029955947136564</v>
      </c>
      <c r="Z1730" s="34" t="b">
        <f>Allocation[[#This Row],[Quantity allocated]]&lt;=Allocation[[#This Row],[Quantity Processed]]</f>
        <v>1</v>
      </c>
    </row>
    <row r="1731" spans="1:26">
      <c r="A1731" s="247" t="s">
        <v>467</v>
      </c>
      <c r="B1731" s="210" t="s">
        <v>68</v>
      </c>
      <c r="C1731" s="254" t="s">
        <v>1627</v>
      </c>
      <c r="D1731" s="255">
        <v>3921</v>
      </c>
      <c r="E1731" s="211" t="s">
        <v>1914</v>
      </c>
      <c r="F1731" s="212">
        <v>43542</v>
      </c>
      <c r="G1731" s="213">
        <v>2.62</v>
      </c>
      <c r="H1731" s="256">
        <v>1294</v>
      </c>
      <c r="I1731" s="214">
        <v>1453745</v>
      </c>
      <c r="J1731" s="215">
        <v>19175</v>
      </c>
      <c r="K1731" s="212">
        <v>43595</v>
      </c>
      <c r="L1731" s="211" t="s">
        <v>1329</v>
      </c>
      <c r="M1731" s="216">
        <v>4615506885</v>
      </c>
      <c r="N1731" s="212">
        <v>43614</v>
      </c>
      <c r="O1731" s="217">
        <v>3.9746999999999999</v>
      </c>
      <c r="P1731" s="219"/>
      <c r="Q1731" s="34">
        <f>SUMIF(Allocation[Delivery ID],Allocation[[#This Row],[Delivery ID]],Allocation[Quantity Processed])</f>
        <v>12806</v>
      </c>
      <c r="R1731" s="61">
        <f>Allocation[[#This Row],[Total volume used]]/VLOOKUP(Allocation[[#This Row],[Delivery ID]],Delivery[[Delivery ID]:[Quantity delivered]],3,FALSE)</f>
        <v>0.42729396062729397</v>
      </c>
      <c r="S1731" s="34">
        <f>Allocation[[#This Row],[Quantity Processed]]/Allocation[[#This Row],[Dilution rate]]</f>
        <v>1496.5648854961833</v>
      </c>
      <c r="T1731" s="59">
        <f>SUMIF(Allocation[Delivery ID],Allocation[[#This Row],[Delivery ID]],Allocation[Quantity allocated])/SUMIF(Allocation[Delivery ID],Allocation[[#This Row],[Delivery ID]],Allocation[Volume available (kg)])</f>
        <v>0.8801133997605286</v>
      </c>
      <c r="U1731" s="61">
        <f>Allocation[[#This Row],[Total volume used]]/VLOOKUP(Allocation[[#This Row],[Delivery ID]],Delivery[[Delivery ID]:[Quantity delivered]],3,FALSE)</f>
        <v>0.42729396062729397</v>
      </c>
      <c r="V1731" s="34" t="e">
        <f>VLOOKUP(Allocation[[#This Row],[SAP Contract number]],Shipments[[SAP Contract number]:[Contracted container weight]],2,FALSE)</f>
        <v>#N/A</v>
      </c>
      <c r="W1731" s="34" t="e">
        <f>VLOOKUP(Allocation[[#This Row],[SAP Contract number]],Shipments[[SAP Contract number]:[AAA Premium USD]],24,FALSE)</f>
        <v>#N/A</v>
      </c>
      <c r="X1731" s="34" t="e">
        <f>VLOOKUP(Allocation[[#This Row],[SAP Contract number]],Shipments[[SAP Contract number]:[RA Premium USD]],25,FALSE)</f>
        <v>#N/A</v>
      </c>
      <c r="Y1731" s="38">
        <f>Allocation[[#This Row],[Quantity Processed]]/Allocation[[#This Row],[Quantity allocated]]</f>
        <v>3.0301391035548688</v>
      </c>
      <c r="Z1731" s="34" t="b">
        <f>Allocation[[#This Row],[Quantity allocated]]&lt;=Allocation[[#This Row],[Quantity Processed]]</f>
        <v>1</v>
      </c>
    </row>
    <row r="1732" spans="1:26">
      <c r="A1732" s="247" t="s">
        <v>467</v>
      </c>
      <c r="B1732" s="210" t="s">
        <v>68</v>
      </c>
      <c r="C1732" s="254" t="s">
        <v>1628</v>
      </c>
      <c r="D1732" s="255">
        <v>618</v>
      </c>
      <c r="E1732" s="211" t="s">
        <v>1914</v>
      </c>
      <c r="F1732" s="212">
        <v>43542</v>
      </c>
      <c r="G1732" s="213">
        <v>2.62</v>
      </c>
      <c r="H1732" s="256">
        <v>204</v>
      </c>
      <c r="I1732" s="214">
        <v>1453745</v>
      </c>
      <c r="J1732" s="215">
        <v>19175</v>
      </c>
      <c r="K1732" s="212">
        <v>43595</v>
      </c>
      <c r="L1732" s="211" t="s">
        <v>1329</v>
      </c>
      <c r="M1732" s="216">
        <v>4615506885</v>
      </c>
      <c r="N1732" s="212">
        <v>43614</v>
      </c>
      <c r="O1732" s="217">
        <v>3.9746999999999999</v>
      </c>
      <c r="P1732" s="219"/>
      <c r="Q1732" s="34">
        <f>SUMIF(Allocation[Delivery ID],Allocation[[#This Row],[Delivery ID]],Allocation[Quantity Processed])</f>
        <v>22228</v>
      </c>
      <c r="R1732" s="61">
        <f>Allocation[[#This Row],[Total volume used]]/VLOOKUP(Allocation[[#This Row],[Delivery ID]],Delivery[[Delivery ID]:[Quantity delivered]],3,FALSE)</f>
        <v>0.9242411642411642</v>
      </c>
      <c r="S1732" s="34">
        <f>Allocation[[#This Row],[Quantity Processed]]/Allocation[[#This Row],[Dilution rate]]</f>
        <v>235.87786259541983</v>
      </c>
      <c r="T1732" s="59">
        <f>SUMIF(Allocation[Delivery ID],Allocation[[#This Row],[Delivery ID]],Allocation[Quantity allocated])/SUMIF(Allocation[Delivery ID],Allocation[[#This Row],[Delivery ID]],Allocation[Volume available (kg)])</f>
        <v>0.83864200650369825</v>
      </c>
      <c r="U1732" s="61">
        <f>Allocation[[#This Row],[Total volume used]]/VLOOKUP(Allocation[[#This Row],[Delivery ID]],Delivery[[Delivery ID]:[Quantity delivered]],3,FALSE)</f>
        <v>0.9242411642411642</v>
      </c>
      <c r="V1732" s="34" t="e">
        <f>VLOOKUP(Allocation[[#This Row],[SAP Contract number]],Shipments[[SAP Contract number]:[Contracted container weight]],2,FALSE)</f>
        <v>#N/A</v>
      </c>
      <c r="W1732" s="34" t="e">
        <f>VLOOKUP(Allocation[[#This Row],[SAP Contract number]],Shipments[[SAP Contract number]:[AAA Premium USD]],24,FALSE)</f>
        <v>#N/A</v>
      </c>
      <c r="X1732" s="34" t="e">
        <f>VLOOKUP(Allocation[[#This Row],[SAP Contract number]],Shipments[[SAP Contract number]:[RA Premium USD]],25,FALSE)</f>
        <v>#N/A</v>
      </c>
      <c r="Y1732" s="38">
        <f>Allocation[[#This Row],[Quantity Processed]]/Allocation[[#This Row],[Quantity allocated]]</f>
        <v>3.0294117647058822</v>
      </c>
      <c r="Z1732" s="34" t="b">
        <f>Allocation[[#This Row],[Quantity allocated]]&lt;=Allocation[[#This Row],[Quantity Processed]]</f>
        <v>1</v>
      </c>
    </row>
    <row r="1733" spans="1:26">
      <c r="A1733" s="247" t="s">
        <v>467</v>
      </c>
      <c r="B1733" s="210" t="s">
        <v>68</v>
      </c>
      <c r="C1733" s="254" t="s">
        <v>1629</v>
      </c>
      <c r="D1733" s="255">
        <v>829</v>
      </c>
      <c r="E1733" s="211" t="s">
        <v>1914</v>
      </c>
      <c r="F1733" s="212">
        <v>43542</v>
      </c>
      <c r="G1733" s="213">
        <v>2.62</v>
      </c>
      <c r="H1733" s="256">
        <v>282</v>
      </c>
      <c r="I1733" s="214">
        <v>1453745</v>
      </c>
      <c r="J1733" s="215">
        <v>19175</v>
      </c>
      <c r="K1733" s="212">
        <v>43595</v>
      </c>
      <c r="L1733" s="211" t="s">
        <v>1329</v>
      </c>
      <c r="M1733" s="216">
        <v>4615506885</v>
      </c>
      <c r="N1733" s="212">
        <v>43614</v>
      </c>
      <c r="O1733" s="217">
        <v>3.9746999999999999</v>
      </c>
      <c r="P1733" s="219"/>
      <c r="Q1733" s="34">
        <f>SUMIF(Allocation[Delivery ID],Allocation[[#This Row],[Delivery ID]],Allocation[Quantity Processed])</f>
        <v>3397</v>
      </c>
      <c r="R1733" s="61">
        <f>Allocation[[#This Row],[Total volume used]]/VLOOKUP(Allocation[[#This Row],[Delivery ID]],Delivery[[Delivery ID]:[Quantity delivered]],3,FALSE)</f>
        <v>0.2823773898586866</v>
      </c>
      <c r="S1733" s="34">
        <f>Allocation[[#This Row],[Quantity Processed]]/Allocation[[#This Row],[Dilution rate]]</f>
        <v>316.41221374045801</v>
      </c>
      <c r="T1733" s="59">
        <f>SUMIF(Allocation[Delivery ID],Allocation[[#This Row],[Delivery ID]],Allocation[Quantity allocated])/SUMIF(Allocation[Delivery ID],Allocation[[#This Row],[Delivery ID]],Allocation[Volume available (kg)])</f>
        <v>0.9072269365467488</v>
      </c>
      <c r="U1733" s="61">
        <f>Allocation[[#This Row],[Total volume used]]/VLOOKUP(Allocation[[#This Row],[Delivery ID]],Delivery[[Delivery ID]:[Quantity delivered]],3,FALSE)</f>
        <v>0.2823773898586866</v>
      </c>
      <c r="V1733" s="34" t="e">
        <f>VLOOKUP(Allocation[[#This Row],[SAP Contract number]],Shipments[[SAP Contract number]:[Contracted container weight]],2,FALSE)</f>
        <v>#N/A</v>
      </c>
      <c r="W1733" s="34" t="e">
        <f>VLOOKUP(Allocation[[#This Row],[SAP Contract number]],Shipments[[SAP Contract number]:[AAA Premium USD]],24,FALSE)</f>
        <v>#N/A</v>
      </c>
      <c r="X1733" s="34" t="e">
        <f>VLOOKUP(Allocation[[#This Row],[SAP Contract number]],Shipments[[SAP Contract number]:[RA Premium USD]],25,FALSE)</f>
        <v>#N/A</v>
      </c>
      <c r="Y1733" s="38">
        <f>Allocation[[#This Row],[Quantity Processed]]/Allocation[[#This Row],[Quantity allocated]]</f>
        <v>2.9397163120567376</v>
      </c>
      <c r="Z1733" s="34" t="b">
        <f>Allocation[[#This Row],[Quantity allocated]]&lt;=Allocation[[#This Row],[Quantity Processed]]</f>
        <v>1</v>
      </c>
    </row>
    <row r="1734" spans="1:26">
      <c r="A1734" s="247" t="s">
        <v>467</v>
      </c>
      <c r="B1734" s="210" t="s">
        <v>68</v>
      </c>
      <c r="C1734" s="254" t="s">
        <v>1630</v>
      </c>
      <c r="D1734" s="255">
        <v>3930</v>
      </c>
      <c r="E1734" s="211" t="s">
        <v>1914</v>
      </c>
      <c r="F1734" s="212">
        <v>43542</v>
      </c>
      <c r="G1734" s="213">
        <v>2.62</v>
      </c>
      <c r="H1734" s="256">
        <v>1297</v>
      </c>
      <c r="I1734" s="214">
        <v>1453745</v>
      </c>
      <c r="J1734" s="215">
        <v>19175</v>
      </c>
      <c r="K1734" s="212">
        <v>43595</v>
      </c>
      <c r="L1734" s="211" t="s">
        <v>1329</v>
      </c>
      <c r="M1734" s="216">
        <v>4615506885</v>
      </c>
      <c r="N1734" s="212">
        <v>43614</v>
      </c>
      <c r="O1734" s="217">
        <v>3.9746999999999999</v>
      </c>
      <c r="P1734" s="219"/>
      <c r="Q1734" s="34">
        <f>SUMIF(Allocation[Delivery ID],Allocation[[#This Row],[Delivery ID]],Allocation[Quantity Processed])</f>
        <v>13127</v>
      </c>
      <c r="R1734" s="61">
        <f>Allocation[[#This Row],[Total volume used]]/VLOOKUP(Allocation[[#This Row],[Delivery ID]],Delivery[[Delivery ID]:[Quantity delivered]],3,FALSE)</f>
        <v>0.7292777777777778</v>
      </c>
      <c r="S1734" s="34">
        <f>Allocation[[#This Row],[Quantity Processed]]/Allocation[[#This Row],[Dilution rate]]</f>
        <v>1500</v>
      </c>
      <c r="T1734" s="59">
        <f>SUMIF(Allocation[Delivery ID],Allocation[[#This Row],[Delivery ID]],Allocation[Quantity allocated])/SUMIF(Allocation[Delivery ID],Allocation[[#This Row],[Delivery ID]],Allocation[Volume available (kg)])</f>
        <v>0.88036184176841381</v>
      </c>
      <c r="U1734" s="61">
        <f>Allocation[[#This Row],[Total volume used]]/VLOOKUP(Allocation[[#This Row],[Delivery ID]],Delivery[[Delivery ID]:[Quantity delivered]],3,FALSE)</f>
        <v>0.7292777777777778</v>
      </c>
      <c r="V1734" s="34" t="e">
        <f>VLOOKUP(Allocation[[#This Row],[SAP Contract number]],Shipments[[SAP Contract number]:[Contracted container weight]],2,FALSE)</f>
        <v>#N/A</v>
      </c>
      <c r="W1734" s="34" t="e">
        <f>VLOOKUP(Allocation[[#This Row],[SAP Contract number]],Shipments[[SAP Contract number]:[AAA Premium USD]],24,FALSE)</f>
        <v>#N/A</v>
      </c>
      <c r="X1734" s="34" t="e">
        <f>VLOOKUP(Allocation[[#This Row],[SAP Contract number]],Shipments[[SAP Contract number]:[RA Premium USD]],25,FALSE)</f>
        <v>#N/A</v>
      </c>
      <c r="Y1734" s="38">
        <f>Allocation[[#This Row],[Quantity Processed]]/Allocation[[#This Row],[Quantity allocated]]</f>
        <v>3.0300693909020819</v>
      </c>
      <c r="Z1734" s="34" t="b">
        <f>Allocation[[#This Row],[Quantity allocated]]&lt;=Allocation[[#This Row],[Quantity Processed]]</f>
        <v>1</v>
      </c>
    </row>
    <row r="1735" spans="1:26">
      <c r="A1735" s="247" t="s">
        <v>467</v>
      </c>
      <c r="B1735" s="210" t="s">
        <v>68</v>
      </c>
      <c r="C1735" s="254" t="s">
        <v>1631</v>
      </c>
      <c r="D1735" s="255">
        <v>353</v>
      </c>
      <c r="E1735" s="211" t="s">
        <v>1914</v>
      </c>
      <c r="F1735" s="212">
        <v>43542</v>
      </c>
      <c r="G1735" s="213">
        <v>2.62</v>
      </c>
      <c r="H1735" s="256">
        <v>212</v>
      </c>
      <c r="I1735" s="214">
        <v>1453745</v>
      </c>
      <c r="J1735" s="215">
        <v>19175</v>
      </c>
      <c r="K1735" s="212">
        <v>43595</v>
      </c>
      <c r="L1735" s="211" t="s">
        <v>1329</v>
      </c>
      <c r="M1735" s="216">
        <v>4615506885</v>
      </c>
      <c r="N1735" s="212">
        <v>43614</v>
      </c>
      <c r="O1735" s="217">
        <v>3.9746999999999999</v>
      </c>
      <c r="P1735" s="219"/>
      <c r="Q1735" s="34">
        <f>SUMIF(Allocation[Delivery ID],Allocation[[#This Row],[Delivery ID]],Allocation[Quantity Processed])</f>
        <v>1444</v>
      </c>
      <c r="R1735" s="61">
        <f>Allocation[[#This Row],[Total volume used]]/VLOOKUP(Allocation[[#This Row],[Delivery ID]],Delivery[[Delivery ID]:[Quantity delivered]],3,FALSE)</f>
        <v>0.15992911728873629</v>
      </c>
      <c r="S1735" s="34">
        <f>Allocation[[#This Row],[Quantity Processed]]/Allocation[[#This Row],[Dilution rate]]</f>
        <v>134.73282442748092</v>
      </c>
      <c r="T1735" s="59">
        <f>SUMIF(Allocation[Delivery ID],Allocation[[#This Row],[Delivery ID]],Allocation[Quantity allocated])/SUMIF(Allocation[Delivery ID],Allocation[[#This Row],[Delivery ID]],Allocation[Volume available (kg)])</f>
        <v>1.6020532873526978</v>
      </c>
      <c r="U1735" s="61">
        <f>Allocation[[#This Row],[Total volume used]]/VLOOKUP(Allocation[[#This Row],[Delivery ID]],Delivery[[Delivery ID]:[Quantity delivered]],3,FALSE)</f>
        <v>0.15992911728873629</v>
      </c>
      <c r="V1735" s="34" t="e">
        <f>VLOOKUP(Allocation[[#This Row],[SAP Contract number]],Shipments[[SAP Contract number]:[Contracted container weight]],2,FALSE)</f>
        <v>#N/A</v>
      </c>
      <c r="W1735" s="34" t="e">
        <f>VLOOKUP(Allocation[[#This Row],[SAP Contract number]],Shipments[[SAP Contract number]:[AAA Premium USD]],24,FALSE)</f>
        <v>#N/A</v>
      </c>
      <c r="X1735" s="34" t="e">
        <f>VLOOKUP(Allocation[[#This Row],[SAP Contract number]],Shipments[[SAP Contract number]:[RA Premium USD]],25,FALSE)</f>
        <v>#N/A</v>
      </c>
      <c r="Y1735" s="38">
        <f>Allocation[[#This Row],[Quantity Processed]]/Allocation[[#This Row],[Quantity allocated]]</f>
        <v>1.6650943396226414</v>
      </c>
      <c r="Z1735" s="34" t="b">
        <f>Allocation[[#This Row],[Quantity allocated]]&lt;=Allocation[[#This Row],[Quantity Processed]]</f>
        <v>1</v>
      </c>
    </row>
    <row r="1736" spans="1:26">
      <c r="A1736" s="247" t="s">
        <v>467</v>
      </c>
      <c r="B1736" s="210" t="s">
        <v>68</v>
      </c>
      <c r="C1736" s="254" t="s">
        <v>1632</v>
      </c>
      <c r="D1736" s="255">
        <v>748</v>
      </c>
      <c r="E1736" s="211" t="s">
        <v>1914</v>
      </c>
      <c r="F1736" s="212">
        <v>43542</v>
      </c>
      <c r="G1736" s="213">
        <v>2.62</v>
      </c>
      <c r="H1736" s="256">
        <v>247</v>
      </c>
      <c r="I1736" s="214">
        <v>1453745</v>
      </c>
      <c r="J1736" s="215">
        <v>19175</v>
      </c>
      <c r="K1736" s="212">
        <v>43595</v>
      </c>
      <c r="L1736" s="211" t="s">
        <v>1329</v>
      </c>
      <c r="M1736" s="216">
        <v>4615506885</v>
      </c>
      <c r="N1736" s="212">
        <v>43614</v>
      </c>
      <c r="O1736" s="217">
        <v>3.9746999999999999</v>
      </c>
      <c r="P1736" s="219"/>
      <c r="Q1736" s="34">
        <f>SUMIF(Allocation[Delivery ID],Allocation[[#This Row],[Delivery ID]],Allocation[Quantity Processed])</f>
        <v>3300</v>
      </c>
      <c r="R1736" s="61">
        <f>Allocation[[#This Row],[Total volume used]]/VLOOKUP(Allocation[[#This Row],[Delivery ID]],Delivery[[Delivery ID]:[Quantity delivered]],3,FALSE)</f>
        <v>1</v>
      </c>
      <c r="S1736" s="34">
        <f>Allocation[[#This Row],[Quantity Processed]]/Allocation[[#This Row],[Dilution rate]]</f>
        <v>285.49618320610688</v>
      </c>
      <c r="T1736" s="59">
        <f>SUMIF(Allocation[Delivery ID],Allocation[[#This Row],[Delivery ID]],Allocation[Quantity allocated])/SUMIF(Allocation[Delivery ID],Allocation[[#This Row],[Delivery ID]],Allocation[Volume available (kg)])</f>
        <v>0.88046042152952353</v>
      </c>
      <c r="U1736" s="61">
        <f>Allocation[[#This Row],[Total volume used]]/VLOOKUP(Allocation[[#This Row],[Delivery ID]],Delivery[[Delivery ID]:[Quantity delivered]],3,FALSE)</f>
        <v>1</v>
      </c>
      <c r="V1736" s="34" t="e">
        <f>VLOOKUP(Allocation[[#This Row],[SAP Contract number]],Shipments[[SAP Contract number]:[Contracted container weight]],2,FALSE)</f>
        <v>#N/A</v>
      </c>
      <c r="W1736" s="34" t="e">
        <f>VLOOKUP(Allocation[[#This Row],[SAP Contract number]],Shipments[[SAP Contract number]:[AAA Premium USD]],24,FALSE)</f>
        <v>#N/A</v>
      </c>
      <c r="X1736" s="34" t="e">
        <f>VLOOKUP(Allocation[[#This Row],[SAP Contract number]],Shipments[[SAP Contract number]:[RA Premium USD]],25,FALSE)</f>
        <v>#N/A</v>
      </c>
      <c r="Y1736" s="38">
        <f>Allocation[[#This Row],[Quantity Processed]]/Allocation[[#This Row],[Quantity allocated]]</f>
        <v>3.0283400809716601</v>
      </c>
      <c r="Z1736" s="34" t="b">
        <f>Allocation[[#This Row],[Quantity allocated]]&lt;=Allocation[[#This Row],[Quantity Processed]]</f>
        <v>1</v>
      </c>
    </row>
    <row r="1737" spans="1:26">
      <c r="A1737" s="247" t="s">
        <v>467</v>
      </c>
      <c r="B1737" s="210" t="s">
        <v>68</v>
      </c>
      <c r="C1737" s="254" t="s">
        <v>1634</v>
      </c>
      <c r="D1737" s="255">
        <v>209</v>
      </c>
      <c r="E1737" s="211" t="s">
        <v>1914</v>
      </c>
      <c r="F1737" s="212">
        <v>43542</v>
      </c>
      <c r="G1737" s="213">
        <v>2.62</v>
      </c>
      <c r="H1737" s="256">
        <v>69</v>
      </c>
      <c r="I1737" s="214">
        <v>1453745</v>
      </c>
      <c r="J1737" s="215">
        <v>19175</v>
      </c>
      <c r="K1737" s="212">
        <v>43595</v>
      </c>
      <c r="L1737" s="211" t="s">
        <v>1329</v>
      </c>
      <c r="M1737" s="216">
        <v>4615506885</v>
      </c>
      <c r="N1737" s="212">
        <v>43614</v>
      </c>
      <c r="O1737" s="217">
        <v>3.9746999999999999</v>
      </c>
      <c r="P1737" s="219"/>
      <c r="Q1737" s="34">
        <f>SUMIF(Allocation[Delivery ID],Allocation[[#This Row],[Delivery ID]],Allocation[Quantity Processed])</f>
        <v>2791</v>
      </c>
      <c r="R1737" s="61">
        <f>Allocation[[#This Row],[Total volume used]]/VLOOKUP(Allocation[[#This Row],[Delivery ID]],Delivery[[Delivery ID]:[Quantity delivered]],3,FALSE)</f>
        <v>0.29112339626577655</v>
      </c>
      <c r="S1737" s="34">
        <f>Allocation[[#This Row],[Quantity Processed]]/Allocation[[#This Row],[Dilution rate]]</f>
        <v>79.770992366412216</v>
      </c>
      <c r="T1737" s="59">
        <f>SUMIF(Allocation[Delivery ID],Allocation[[#This Row],[Delivery ID]],Allocation[Quantity allocated])/SUMIF(Allocation[Delivery ID],Allocation[[#This Row],[Delivery ID]],Allocation[Volume available (kg)])</f>
        <v>0.88048876460586634</v>
      </c>
      <c r="U1737" s="61">
        <f>Allocation[[#This Row],[Total volume used]]/VLOOKUP(Allocation[[#This Row],[Delivery ID]],Delivery[[Delivery ID]:[Quantity delivered]],3,FALSE)</f>
        <v>0.29112339626577655</v>
      </c>
      <c r="V1737" s="34" t="e">
        <f>VLOOKUP(Allocation[[#This Row],[SAP Contract number]],Shipments[[SAP Contract number]:[Contracted container weight]],2,FALSE)</f>
        <v>#N/A</v>
      </c>
      <c r="W1737" s="34" t="e">
        <f>VLOOKUP(Allocation[[#This Row],[SAP Contract number]],Shipments[[SAP Contract number]:[AAA Premium USD]],24,FALSE)</f>
        <v>#N/A</v>
      </c>
      <c r="X1737" s="34" t="e">
        <f>VLOOKUP(Allocation[[#This Row],[SAP Contract number]],Shipments[[SAP Contract number]:[RA Premium USD]],25,FALSE)</f>
        <v>#N/A</v>
      </c>
      <c r="Y1737" s="38">
        <f>Allocation[[#This Row],[Quantity Processed]]/Allocation[[#This Row],[Quantity allocated]]</f>
        <v>3.0289855072463769</v>
      </c>
      <c r="Z1737" s="34" t="b">
        <f>Allocation[[#This Row],[Quantity allocated]]&lt;=Allocation[[#This Row],[Quantity Processed]]</f>
        <v>1</v>
      </c>
    </row>
    <row r="1738" spans="1:26">
      <c r="A1738" s="247" t="s">
        <v>467</v>
      </c>
      <c r="B1738" s="210" t="s">
        <v>68</v>
      </c>
      <c r="C1738" s="254" t="s">
        <v>1634</v>
      </c>
      <c r="D1738" s="255">
        <v>473</v>
      </c>
      <c r="E1738" s="211" t="s">
        <v>1914</v>
      </c>
      <c r="F1738" s="212">
        <v>43542</v>
      </c>
      <c r="G1738" s="213">
        <v>2.62</v>
      </c>
      <c r="H1738" s="256">
        <v>156</v>
      </c>
      <c r="I1738" s="214">
        <v>1453746</v>
      </c>
      <c r="J1738" s="215">
        <v>19175</v>
      </c>
      <c r="K1738" s="212">
        <v>43595</v>
      </c>
      <c r="L1738" s="211" t="s">
        <v>1330</v>
      </c>
      <c r="M1738" s="216">
        <v>4615506885</v>
      </c>
      <c r="N1738" s="212">
        <v>43614</v>
      </c>
      <c r="O1738" s="217">
        <v>3.9746999999999999</v>
      </c>
      <c r="P1738" s="219"/>
      <c r="Q1738" s="34">
        <f>SUMIF(Allocation[Delivery ID],Allocation[[#This Row],[Delivery ID]],Allocation[Quantity Processed])</f>
        <v>2791</v>
      </c>
      <c r="R1738" s="61">
        <f>Allocation[[#This Row],[Total volume used]]/VLOOKUP(Allocation[[#This Row],[Delivery ID]],Delivery[[Delivery ID]:[Quantity delivered]],3,FALSE)</f>
        <v>0.29112339626577655</v>
      </c>
      <c r="S1738" s="34">
        <f>Allocation[[#This Row],[Quantity Processed]]/Allocation[[#This Row],[Dilution rate]]</f>
        <v>180.53435114503816</v>
      </c>
      <c r="T1738" s="59">
        <f>SUMIF(Allocation[Delivery ID],Allocation[[#This Row],[Delivery ID]],Allocation[Quantity allocated])/SUMIF(Allocation[Delivery ID],Allocation[[#This Row],[Delivery ID]],Allocation[Volume available (kg)])</f>
        <v>0.88048876460586634</v>
      </c>
      <c r="U1738" s="61">
        <f>Allocation[[#This Row],[Total volume used]]/VLOOKUP(Allocation[[#This Row],[Delivery ID]],Delivery[[Delivery ID]:[Quantity delivered]],3,FALSE)</f>
        <v>0.29112339626577655</v>
      </c>
      <c r="V1738" s="34" t="e">
        <f>VLOOKUP(Allocation[[#This Row],[SAP Contract number]],Shipments[[SAP Contract number]:[Contracted container weight]],2,FALSE)</f>
        <v>#N/A</v>
      </c>
      <c r="W1738" s="34" t="e">
        <f>VLOOKUP(Allocation[[#This Row],[SAP Contract number]],Shipments[[SAP Contract number]:[AAA Premium USD]],24,FALSE)</f>
        <v>#N/A</v>
      </c>
      <c r="X1738" s="34" t="e">
        <f>VLOOKUP(Allocation[[#This Row],[SAP Contract number]],Shipments[[SAP Contract number]:[RA Premium USD]],25,FALSE)</f>
        <v>#N/A</v>
      </c>
      <c r="Y1738" s="38">
        <f>Allocation[[#This Row],[Quantity Processed]]/Allocation[[#This Row],[Quantity allocated]]</f>
        <v>3.0320512820512819</v>
      </c>
      <c r="Z1738" s="34" t="b">
        <f>Allocation[[#This Row],[Quantity allocated]]&lt;=Allocation[[#This Row],[Quantity Processed]]</f>
        <v>1</v>
      </c>
    </row>
    <row r="1739" spans="1:26">
      <c r="A1739" s="247" t="s">
        <v>467</v>
      </c>
      <c r="B1739" s="210" t="s">
        <v>68</v>
      </c>
      <c r="C1739" s="254" t="s">
        <v>1635</v>
      </c>
      <c r="D1739" s="255">
        <v>2721</v>
      </c>
      <c r="E1739" s="211" t="s">
        <v>1914</v>
      </c>
      <c r="F1739" s="212">
        <v>43542</v>
      </c>
      <c r="G1739" s="213">
        <v>2.62</v>
      </c>
      <c r="H1739" s="256">
        <v>898</v>
      </c>
      <c r="I1739" s="214">
        <v>1453746</v>
      </c>
      <c r="J1739" s="215">
        <v>19175</v>
      </c>
      <c r="K1739" s="212">
        <v>43595</v>
      </c>
      <c r="L1739" s="211" t="s">
        <v>1330</v>
      </c>
      <c r="M1739" s="216">
        <v>4615506885</v>
      </c>
      <c r="N1739" s="212">
        <v>43614</v>
      </c>
      <c r="O1739" s="217">
        <v>3.9746999999999999</v>
      </c>
      <c r="P1739" s="219"/>
      <c r="Q1739" s="34">
        <f>SUMIF(Allocation[Delivery ID],Allocation[[#This Row],[Delivery ID]],Allocation[Quantity Processed])</f>
        <v>7291</v>
      </c>
      <c r="R1739" s="61">
        <f>Allocation[[#This Row],[Total volume used]]/VLOOKUP(Allocation[[#This Row],[Delivery ID]],Delivery[[Delivery ID]:[Quantity delivered]],3,FALSE)</f>
        <v>0.35064685230606452</v>
      </c>
      <c r="S1739" s="34">
        <f>Allocation[[#This Row],[Quantity Processed]]/Allocation[[#This Row],[Dilution rate]]</f>
        <v>1038.5496183206105</v>
      </c>
      <c r="T1739" s="59">
        <f>SUMIF(Allocation[Delivery ID],Allocation[[#This Row],[Delivery ID]],Allocation[Quantity allocated])/SUMIF(Allocation[Delivery ID],Allocation[[#This Row],[Delivery ID]],Allocation[Volume available (kg)])</f>
        <v>0.87775201878010578</v>
      </c>
      <c r="U1739" s="61">
        <f>Allocation[[#This Row],[Total volume used]]/VLOOKUP(Allocation[[#This Row],[Delivery ID]],Delivery[[Delivery ID]:[Quantity delivered]],3,FALSE)</f>
        <v>0.35064685230606452</v>
      </c>
      <c r="V1739" s="34" t="e">
        <f>VLOOKUP(Allocation[[#This Row],[SAP Contract number]],Shipments[[SAP Contract number]:[Contracted container weight]],2,FALSE)</f>
        <v>#N/A</v>
      </c>
      <c r="W1739" s="34" t="e">
        <f>VLOOKUP(Allocation[[#This Row],[SAP Contract number]],Shipments[[SAP Contract number]:[AAA Premium USD]],24,FALSE)</f>
        <v>#N/A</v>
      </c>
      <c r="X1739" s="34" t="e">
        <f>VLOOKUP(Allocation[[#This Row],[SAP Contract number]],Shipments[[SAP Contract number]:[RA Premium USD]],25,FALSE)</f>
        <v>#N/A</v>
      </c>
      <c r="Y1739" s="38">
        <f>Allocation[[#This Row],[Quantity Processed]]/Allocation[[#This Row],[Quantity allocated]]</f>
        <v>3.0300668151447661</v>
      </c>
      <c r="Z1739" s="34" t="b">
        <f>Allocation[[#This Row],[Quantity allocated]]&lt;=Allocation[[#This Row],[Quantity Processed]]</f>
        <v>1</v>
      </c>
    </row>
    <row r="1740" spans="1:26">
      <c r="A1740" s="247" t="s">
        <v>467</v>
      </c>
      <c r="B1740" s="210" t="s">
        <v>68</v>
      </c>
      <c r="C1740" s="254" t="s">
        <v>1636</v>
      </c>
      <c r="D1740" s="255">
        <v>4732</v>
      </c>
      <c r="E1740" s="211" t="s">
        <v>1914</v>
      </c>
      <c r="F1740" s="212">
        <v>43542</v>
      </c>
      <c r="G1740" s="213">
        <v>2.62</v>
      </c>
      <c r="H1740" s="256">
        <v>1609</v>
      </c>
      <c r="I1740" s="214">
        <v>1453746</v>
      </c>
      <c r="J1740" s="215">
        <v>19175</v>
      </c>
      <c r="K1740" s="212">
        <v>43595</v>
      </c>
      <c r="L1740" s="211" t="s">
        <v>1330</v>
      </c>
      <c r="M1740" s="216">
        <v>4615506885</v>
      </c>
      <c r="N1740" s="212">
        <v>43614</v>
      </c>
      <c r="O1740" s="217">
        <v>3.9746999999999999</v>
      </c>
      <c r="P1740" s="219"/>
      <c r="Q1740" s="34">
        <f>SUMIF(Allocation[Delivery ID],Allocation[[#This Row],[Delivery ID]],Allocation[Quantity Processed])</f>
        <v>28652</v>
      </c>
      <c r="R1740" s="61">
        <f>Allocation[[#This Row],[Total volume used]]/VLOOKUP(Allocation[[#This Row],[Delivery ID]],Delivery[[Delivery ID]:[Quantity delivered]],3,FALSE)</f>
        <v>0.76876844647169307</v>
      </c>
      <c r="S1740" s="34">
        <f>Allocation[[#This Row],[Quantity Processed]]/Allocation[[#This Row],[Dilution rate]]</f>
        <v>1806.1068702290077</v>
      </c>
      <c r="T1740" s="59">
        <f>SUMIF(Allocation[Delivery ID],Allocation[[#This Row],[Delivery ID]],Allocation[Quantity allocated])/SUMIF(Allocation[Delivery ID],Allocation[[#This Row],[Delivery ID]],Allocation[Volume available (kg)])</f>
        <v>0.89500335314152635</v>
      </c>
      <c r="U1740" s="61">
        <f>Allocation[[#This Row],[Total volume used]]/VLOOKUP(Allocation[[#This Row],[Delivery ID]],Delivery[[Delivery ID]:[Quantity delivered]],3,FALSE)</f>
        <v>0.76876844647169307</v>
      </c>
      <c r="V1740" s="34" t="e">
        <f>VLOOKUP(Allocation[[#This Row],[SAP Contract number]],Shipments[[SAP Contract number]:[Contracted container weight]],2,FALSE)</f>
        <v>#N/A</v>
      </c>
      <c r="W1740" s="34" t="e">
        <f>VLOOKUP(Allocation[[#This Row],[SAP Contract number]],Shipments[[SAP Contract number]:[AAA Premium USD]],24,FALSE)</f>
        <v>#N/A</v>
      </c>
      <c r="X1740" s="34" t="e">
        <f>VLOOKUP(Allocation[[#This Row],[SAP Contract number]],Shipments[[SAP Contract number]:[RA Premium USD]],25,FALSE)</f>
        <v>#N/A</v>
      </c>
      <c r="Y1740" s="38">
        <f>Allocation[[#This Row],[Quantity Processed]]/Allocation[[#This Row],[Quantity allocated]]</f>
        <v>2.9409571162212553</v>
      </c>
      <c r="Z1740" s="34" t="b">
        <f>Allocation[[#This Row],[Quantity allocated]]&lt;=Allocation[[#This Row],[Quantity Processed]]</f>
        <v>1</v>
      </c>
    </row>
    <row r="1741" spans="1:26">
      <c r="A1741" s="247" t="s">
        <v>467</v>
      </c>
      <c r="B1741" s="210" t="s">
        <v>68</v>
      </c>
      <c r="C1741" s="254" t="s">
        <v>996</v>
      </c>
      <c r="D1741" s="255">
        <v>874</v>
      </c>
      <c r="E1741" s="211" t="s">
        <v>1914</v>
      </c>
      <c r="F1741" s="212">
        <v>43542</v>
      </c>
      <c r="G1741" s="213">
        <v>2.62</v>
      </c>
      <c r="H1741" s="256">
        <v>300</v>
      </c>
      <c r="I1741" s="214">
        <v>1453746</v>
      </c>
      <c r="J1741" s="215">
        <v>19175</v>
      </c>
      <c r="K1741" s="212">
        <v>43595</v>
      </c>
      <c r="L1741" s="211" t="s">
        <v>1330</v>
      </c>
      <c r="M1741" s="216">
        <v>4615506885</v>
      </c>
      <c r="N1741" s="212">
        <v>43614</v>
      </c>
      <c r="O1741" s="217">
        <v>3.9746999999999999</v>
      </c>
      <c r="P1741" s="219"/>
      <c r="Q1741" s="34">
        <f>SUMIF(Allocation[Delivery ID],Allocation[[#This Row],[Delivery ID]],Allocation[Quantity Processed])</f>
        <v>20080</v>
      </c>
      <c r="R1741" s="61">
        <f>Allocation[[#This Row],[Total volume used]]/VLOOKUP(Allocation[[#This Row],[Delivery ID]],Delivery[[Delivery ID]:[Quantity delivered]],3,FALSE)</f>
        <v>1</v>
      </c>
      <c r="S1741" s="34">
        <f>Allocation[[#This Row],[Quantity Processed]]/Allocation[[#This Row],[Dilution rate]]</f>
        <v>333.58778625954199</v>
      </c>
      <c r="T1741" s="59">
        <f>SUMIF(Allocation[Delivery ID],Allocation[[#This Row],[Delivery ID]],Allocation[Quantity allocated])/SUMIF(Allocation[Delivery ID],Allocation[[#This Row],[Delivery ID]],Allocation[Volume available (kg)])</f>
        <v>0.81624488094994108</v>
      </c>
      <c r="U1741" s="61">
        <f>Allocation[[#This Row],[Total volume used]]/VLOOKUP(Allocation[[#This Row],[Delivery ID]],Delivery[[Delivery ID]:[Quantity delivered]],3,FALSE)</f>
        <v>1</v>
      </c>
      <c r="V1741" s="34" t="e">
        <f>VLOOKUP(Allocation[[#This Row],[SAP Contract number]],Shipments[[SAP Contract number]:[Contracted container weight]],2,FALSE)</f>
        <v>#N/A</v>
      </c>
      <c r="W1741" s="34" t="e">
        <f>VLOOKUP(Allocation[[#This Row],[SAP Contract number]],Shipments[[SAP Contract number]:[AAA Premium USD]],24,FALSE)</f>
        <v>#N/A</v>
      </c>
      <c r="X1741" s="34" t="e">
        <f>VLOOKUP(Allocation[[#This Row],[SAP Contract number]],Shipments[[SAP Contract number]:[RA Premium USD]],25,FALSE)</f>
        <v>#N/A</v>
      </c>
      <c r="Y1741" s="38">
        <f>Allocation[[#This Row],[Quantity Processed]]/Allocation[[#This Row],[Quantity allocated]]</f>
        <v>2.9133333333333336</v>
      </c>
      <c r="Z1741" s="34" t="b">
        <f>Allocation[[#This Row],[Quantity allocated]]&lt;=Allocation[[#This Row],[Quantity Processed]]</f>
        <v>1</v>
      </c>
    </row>
    <row r="1742" spans="1:26">
      <c r="A1742" s="247" t="s">
        <v>467</v>
      </c>
      <c r="B1742" s="210" t="s">
        <v>68</v>
      </c>
      <c r="C1742" s="254" t="s">
        <v>1637</v>
      </c>
      <c r="D1742" s="255">
        <v>697</v>
      </c>
      <c r="E1742" s="211" t="s">
        <v>1914</v>
      </c>
      <c r="F1742" s="212">
        <v>43542</v>
      </c>
      <c r="G1742" s="213">
        <v>2.62</v>
      </c>
      <c r="H1742" s="256">
        <v>209</v>
      </c>
      <c r="I1742" s="214">
        <v>1453746</v>
      </c>
      <c r="J1742" s="215">
        <v>19175</v>
      </c>
      <c r="K1742" s="212">
        <v>43595</v>
      </c>
      <c r="L1742" s="211" t="s">
        <v>1330</v>
      </c>
      <c r="M1742" s="216">
        <v>4615506885</v>
      </c>
      <c r="N1742" s="212">
        <v>43614</v>
      </c>
      <c r="O1742" s="217">
        <v>3.9746999999999999</v>
      </c>
      <c r="P1742" s="219"/>
      <c r="Q1742" s="34">
        <f>SUMIF(Allocation[Delivery ID],Allocation[[#This Row],[Delivery ID]],Allocation[Quantity Processed])</f>
        <v>24645.5</v>
      </c>
      <c r="R1742" s="61">
        <f>Allocation[[#This Row],[Total volume used]]/VLOOKUP(Allocation[[#This Row],[Delivery ID]],Delivery[[Delivery ID]:[Quantity delivered]],3,FALSE)</f>
        <v>1</v>
      </c>
      <c r="S1742" s="34">
        <f>Allocation[[#This Row],[Quantity Processed]]/Allocation[[#This Row],[Dilution rate]]</f>
        <v>266.03053435114504</v>
      </c>
      <c r="T1742" s="59">
        <f>SUMIF(Allocation[Delivery ID],Allocation[[#This Row],[Delivery ID]],Allocation[Quantity allocated])/SUMIF(Allocation[Delivery ID],Allocation[[#This Row],[Delivery ID]],Allocation[Volume available (kg)])</f>
        <v>0.77198266112039871</v>
      </c>
      <c r="U1742" s="61">
        <f>Allocation[[#This Row],[Total volume used]]/VLOOKUP(Allocation[[#This Row],[Delivery ID]],Delivery[[Delivery ID]:[Quantity delivered]],3,FALSE)</f>
        <v>1</v>
      </c>
      <c r="V1742" s="34" t="e">
        <f>VLOOKUP(Allocation[[#This Row],[SAP Contract number]],Shipments[[SAP Contract number]:[Contracted container weight]],2,FALSE)</f>
        <v>#N/A</v>
      </c>
      <c r="W1742" s="34" t="e">
        <f>VLOOKUP(Allocation[[#This Row],[SAP Contract number]],Shipments[[SAP Contract number]:[AAA Premium USD]],24,FALSE)</f>
        <v>#N/A</v>
      </c>
      <c r="X1742" s="34" t="e">
        <f>VLOOKUP(Allocation[[#This Row],[SAP Contract number]],Shipments[[SAP Contract number]:[RA Premium USD]],25,FALSE)</f>
        <v>#N/A</v>
      </c>
      <c r="Y1742" s="38">
        <f>Allocation[[#This Row],[Quantity Processed]]/Allocation[[#This Row],[Quantity allocated]]</f>
        <v>3.334928229665072</v>
      </c>
      <c r="Z1742" s="34" t="b">
        <f>Allocation[[#This Row],[Quantity allocated]]&lt;=Allocation[[#This Row],[Quantity Processed]]</f>
        <v>1</v>
      </c>
    </row>
    <row r="1743" spans="1:26">
      <c r="A1743" s="247" t="s">
        <v>467</v>
      </c>
      <c r="B1743" s="210" t="s">
        <v>68</v>
      </c>
      <c r="C1743" s="254" t="s">
        <v>1001</v>
      </c>
      <c r="D1743" s="255">
        <v>5633</v>
      </c>
      <c r="E1743" s="211" t="s">
        <v>1914</v>
      </c>
      <c r="F1743" s="212">
        <v>43542</v>
      </c>
      <c r="G1743" s="213">
        <v>2.62</v>
      </c>
      <c r="H1743" s="256">
        <v>2591</v>
      </c>
      <c r="I1743" s="214">
        <v>1453746</v>
      </c>
      <c r="J1743" s="215">
        <v>19175</v>
      </c>
      <c r="K1743" s="212">
        <v>43595</v>
      </c>
      <c r="L1743" s="211" t="s">
        <v>1330</v>
      </c>
      <c r="M1743" s="216">
        <v>4615506885</v>
      </c>
      <c r="N1743" s="212">
        <v>43614</v>
      </c>
      <c r="O1743" s="217">
        <v>3.9746999999999999</v>
      </c>
      <c r="P1743" s="219"/>
      <c r="Q1743" s="34">
        <f>SUMIF(Allocation[Delivery ID],Allocation[[#This Row],[Delivery ID]],Allocation[Quantity Processed])</f>
        <v>28867</v>
      </c>
      <c r="R1743" s="61">
        <f>Allocation[[#This Row],[Total volume used]]/VLOOKUP(Allocation[[#This Row],[Delivery ID]],Delivery[[Delivery ID]:[Quantity delivered]],3,FALSE)</f>
        <v>0.89900342572407355</v>
      </c>
      <c r="S1743" s="34">
        <f>Allocation[[#This Row],[Quantity Processed]]/Allocation[[#This Row],[Dilution rate]]</f>
        <v>2150</v>
      </c>
      <c r="T1743" s="59">
        <f>SUMIF(Allocation[Delivery ID],Allocation[[#This Row],[Delivery ID]],Allocation[Quantity allocated])/SUMIF(Allocation[Delivery ID],Allocation[[#This Row],[Delivery ID]],Allocation[Volume available (kg)])</f>
        <v>1.1481266053320882</v>
      </c>
      <c r="U1743" s="61">
        <f>Allocation[[#This Row],[Total volume used]]/VLOOKUP(Allocation[[#This Row],[Delivery ID]],Delivery[[Delivery ID]:[Quantity delivered]],3,FALSE)</f>
        <v>0.89900342572407355</v>
      </c>
      <c r="V1743" s="34" t="e">
        <f>VLOOKUP(Allocation[[#This Row],[SAP Contract number]],Shipments[[SAP Contract number]:[Contracted container weight]],2,FALSE)</f>
        <v>#N/A</v>
      </c>
      <c r="W1743" s="34" t="e">
        <f>VLOOKUP(Allocation[[#This Row],[SAP Contract number]],Shipments[[SAP Contract number]:[AAA Premium USD]],24,FALSE)</f>
        <v>#N/A</v>
      </c>
      <c r="X1743" s="34" t="e">
        <f>VLOOKUP(Allocation[[#This Row],[SAP Contract number]],Shipments[[SAP Contract number]:[RA Premium USD]],25,FALSE)</f>
        <v>#N/A</v>
      </c>
      <c r="Y1743" s="38">
        <f>Allocation[[#This Row],[Quantity Processed]]/Allocation[[#This Row],[Quantity allocated]]</f>
        <v>2.174064067927441</v>
      </c>
      <c r="Z1743" s="34" t="b">
        <f>Allocation[[#This Row],[Quantity allocated]]&lt;=Allocation[[#This Row],[Quantity Processed]]</f>
        <v>1</v>
      </c>
    </row>
    <row r="1744" spans="1:26">
      <c r="A1744" s="247" t="s">
        <v>467</v>
      </c>
      <c r="B1744" s="210" t="s">
        <v>68</v>
      </c>
      <c r="C1744" s="254" t="s">
        <v>1003</v>
      </c>
      <c r="D1744" s="255">
        <v>5635</v>
      </c>
      <c r="E1744" s="211" t="s">
        <v>1914</v>
      </c>
      <c r="F1744" s="212">
        <v>43542</v>
      </c>
      <c r="G1744" s="213">
        <v>2.62</v>
      </c>
      <c r="H1744" s="256">
        <v>2592</v>
      </c>
      <c r="I1744" s="214">
        <v>1453746</v>
      </c>
      <c r="J1744" s="215">
        <v>19175</v>
      </c>
      <c r="K1744" s="212">
        <v>43595</v>
      </c>
      <c r="L1744" s="211" t="s">
        <v>1330</v>
      </c>
      <c r="M1744" s="216">
        <v>4615506885</v>
      </c>
      <c r="N1744" s="212">
        <v>43614</v>
      </c>
      <c r="O1744" s="217">
        <v>3.9746999999999999</v>
      </c>
      <c r="P1744" s="219"/>
      <c r="Q1744" s="34">
        <f>SUMIF(Allocation[Delivery ID],Allocation[[#This Row],[Delivery ID]],Allocation[Quantity Processed])</f>
        <v>28873</v>
      </c>
      <c r="R1744" s="61">
        <f>Allocation[[#This Row],[Total volume used]]/VLOOKUP(Allocation[[#This Row],[Delivery ID]],Delivery[[Delivery ID]:[Quantity delivered]],3,FALSE)</f>
        <v>0.89891033623910332</v>
      </c>
      <c r="S1744" s="34">
        <f>Allocation[[#This Row],[Quantity Processed]]/Allocation[[#This Row],[Dilution rate]]</f>
        <v>2150.7633587786258</v>
      </c>
      <c r="T1744" s="59">
        <f>SUMIF(Allocation[Delivery ID],Allocation[[#This Row],[Delivery ID]],Allocation[Quantity allocated])/SUMIF(Allocation[Delivery ID],Allocation[[#This Row],[Delivery ID]],Allocation[Volume available (kg)])</f>
        <v>1.1481625917339773</v>
      </c>
      <c r="U1744" s="61">
        <f>Allocation[[#This Row],[Total volume used]]/VLOOKUP(Allocation[[#This Row],[Delivery ID]],Delivery[[Delivery ID]:[Quantity delivered]],3,FALSE)</f>
        <v>0.89891033623910332</v>
      </c>
      <c r="V1744" s="34" t="e">
        <f>VLOOKUP(Allocation[[#This Row],[SAP Contract number]],Shipments[[SAP Contract number]:[Contracted container weight]],2,FALSE)</f>
        <v>#N/A</v>
      </c>
      <c r="W1744" s="34" t="e">
        <f>VLOOKUP(Allocation[[#This Row],[SAP Contract number]],Shipments[[SAP Contract number]:[AAA Premium USD]],24,FALSE)</f>
        <v>#N/A</v>
      </c>
      <c r="X1744" s="34" t="e">
        <f>VLOOKUP(Allocation[[#This Row],[SAP Contract number]],Shipments[[SAP Contract number]:[RA Premium USD]],25,FALSE)</f>
        <v>#N/A</v>
      </c>
      <c r="Y1744" s="38">
        <f>Allocation[[#This Row],[Quantity Processed]]/Allocation[[#This Row],[Quantity allocated]]</f>
        <v>2.1739969135802468</v>
      </c>
      <c r="Z1744" s="34" t="b">
        <f>Allocation[[#This Row],[Quantity allocated]]&lt;=Allocation[[#This Row],[Quantity Processed]]</f>
        <v>1</v>
      </c>
    </row>
    <row r="1745" spans="1:26">
      <c r="A1745" s="247" t="s">
        <v>467</v>
      </c>
      <c r="B1745" s="210" t="s">
        <v>68</v>
      </c>
      <c r="C1745" s="254" t="s">
        <v>1004</v>
      </c>
      <c r="D1745" s="255">
        <v>3167</v>
      </c>
      <c r="E1745" s="211" t="s">
        <v>1914</v>
      </c>
      <c r="F1745" s="212">
        <v>43542</v>
      </c>
      <c r="G1745" s="213">
        <v>2.62</v>
      </c>
      <c r="H1745" s="256">
        <v>1457</v>
      </c>
      <c r="I1745" s="214">
        <v>1453746</v>
      </c>
      <c r="J1745" s="215">
        <v>19175</v>
      </c>
      <c r="K1745" s="212">
        <v>43595</v>
      </c>
      <c r="L1745" s="211" t="s">
        <v>1330</v>
      </c>
      <c r="M1745" s="216">
        <v>4615506885</v>
      </c>
      <c r="N1745" s="212">
        <v>43614</v>
      </c>
      <c r="O1745" s="217">
        <v>3.9746999999999999</v>
      </c>
      <c r="P1745" s="219"/>
      <c r="Q1745" s="34">
        <f>SUMIF(Allocation[Delivery ID],Allocation[[#This Row],[Delivery ID]],Allocation[Quantity Processed])</f>
        <v>16278</v>
      </c>
      <c r="R1745" s="61">
        <f>Allocation[[#This Row],[Total volume used]]/VLOOKUP(Allocation[[#This Row],[Delivery ID]],Delivery[[Delivery ID]:[Quantity delivered]],3,FALSE)</f>
        <v>0.90132890365448504</v>
      </c>
      <c r="S1745" s="34">
        <f>Allocation[[#This Row],[Quantity Processed]]/Allocation[[#This Row],[Dilution rate]]</f>
        <v>1208.7786259541983</v>
      </c>
      <c r="T1745" s="59">
        <f>SUMIF(Allocation[Delivery ID],Allocation[[#This Row],[Delivery ID]],Allocation[Quantity allocated])/SUMIF(Allocation[Delivery ID],Allocation[[#This Row],[Delivery ID]],Allocation[Volume available (kg)])</f>
        <v>1.1475658695106412</v>
      </c>
      <c r="U1745" s="61">
        <f>Allocation[[#This Row],[Total volume used]]/VLOOKUP(Allocation[[#This Row],[Delivery ID]],Delivery[[Delivery ID]:[Quantity delivered]],3,FALSE)</f>
        <v>0.90132890365448504</v>
      </c>
      <c r="V1745" s="34" t="e">
        <f>VLOOKUP(Allocation[[#This Row],[SAP Contract number]],Shipments[[SAP Contract number]:[Contracted container weight]],2,FALSE)</f>
        <v>#N/A</v>
      </c>
      <c r="W1745" s="34" t="e">
        <f>VLOOKUP(Allocation[[#This Row],[SAP Contract number]],Shipments[[SAP Contract number]:[AAA Premium USD]],24,FALSE)</f>
        <v>#N/A</v>
      </c>
      <c r="X1745" s="34" t="e">
        <f>VLOOKUP(Allocation[[#This Row],[SAP Contract number]],Shipments[[SAP Contract number]:[RA Premium USD]],25,FALSE)</f>
        <v>#N/A</v>
      </c>
      <c r="Y1745" s="38">
        <f>Allocation[[#This Row],[Quantity Processed]]/Allocation[[#This Row],[Quantity allocated]]</f>
        <v>2.1736444749485244</v>
      </c>
      <c r="Z1745" s="34" t="b">
        <f>Allocation[[#This Row],[Quantity allocated]]&lt;=Allocation[[#This Row],[Quantity Processed]]</f>
        <v>1</v>
      </c>
    </row>
    <row r="1746" spans="1:26">
      <c r="A1746" s="247" t="s">
        <v>467</v>
      </c>
      <c r="B1746" s="210" t="s">
        <v>68</v>
      </c>
      <c r="C1746" s="254" t="s">
        <v>1639</v>
      </c>
      <c r="D1746" s="255">
        <v>756</v>
      </c>
      <c r="E1746" s="211" t="s">
        <v>1914</v>
      </c>
      <c r="F1746" s="212">
        <v>43542</v>
      </c>
      <c r="G1746" s="213">
        <v>2.62</v>
      </c>
      <c r="H1746" s="256">
        <v>257</v>
      </c>
      <c r="I1746" s="214">
        <v>1453746</v>
      </c>
      <c r="J1746" s="215">
        <v>19175</v>
      </c>
      <c r="K1746" s="212">
        <v>43595</v>
      </c>
      <c r="L1746" s="211" t="s">
        <v>1330</v>
      </c>
      <c r="M1746" s="216">
        <v>4615506885</v>
      </c>
      <c r="N1746" s="212">
        <v>43614</v>
      </c>
      <c r="O1746" s="217">
        <v>3.9746999999999999</v>
      </c>
      <c r="P1746" s="219"/>
      <c r="Q1746" s="34">
        <f>SUMIF(Allocation[Delivery ID],Allocation[[#This Row],[Delivery ID]],Allocation[Quantity Processed])</f>
        <v>3095</v>
      </c>
      <c r="R1746" s="61">
        <f>Allocation[[#This Row],[Total volume used]]/VLOOKUP(Allocation[[#This Row],[Delivery ID]],Delivery[[Delivery ID]:[Quantity delivered]],3,FALSE)</f>
        <v>0.2824936108068638</v>
      </c>
      <c r="S1746" s="34">
        <f>Allocation[[#This Row],[Quantity Processed]]/Allocation[[#This Row],[Dilution rate]]</f>
        <v>288.54961832061065</v>
      </c>
      <c r="T1746" s="59">
        <f>SUMIF(Allocation[Delivery ID],Allocation[[#This Row],[Delivery ID]],Allocation[Quantity allocated])/SUMIF(Allocation[Delivery ID],Allocation[[#This Row],[Delivery ID]],Allocation[Volume available (kg)])</f>
        <v>0.90694770522858625</v>
      </c>
      <c r="U1746" s="61">
        <f>Allocation[[#This Row],[Total volume used]]/VLOOKUP(Allocation[[#This Row],[Delivery ID]],Delivery[[Delivery ID]:[Quantity delivered]],3,FALSE)</f>
        <v>0.2824936108068638</v>
      </c>
      <c r="V1746" s="34" t="e">
        <f>VLOOKUP(Allocation[[#This Row],[SAP Contract number]],Shipments[[SAP Contract number]:[Contracted container weight]],2,FALSE)</f>
        <v>#N/A</v>
      </c>
      <c r="W1746" s="34" t="e">
        <f>VLOOKUP(Allocation[[#This Row],[SAP Contract number]],Shipments[[SAP Contract number]:[AAA Premium USD]],24,FALSE)</f>
        <v>#N/A</v>
      </c>
      <c r="X1746" s="34" t="e">
        <f>VLOOKUP(Allocation[[#This Row],[SAP Contract number]],Shipments[[SAP Contract number]:[RA Premium USD]],25,FALSE)</f>
        <v>#N/A</v>
      </c>
      <c r="Y1746" s="38">
        <f>Allocation[[#This Row],[Quantity Processed]]/Allocation[[#This Row],[Quantity allocated]]</f>
        <v>2.9416342412451364</v>
      </c>
      <c r="Z1746" s="34" t="b">
        <f>Allocation[[#This Row],[Quantity allocated]]&lt;=Allocation[[#This Row],[Quantity Processed]]</f>
        <v>1</v>
      </c>
    </row>
    <row r="1747" spans="1:26">
      <c r="A1747" s="247" t="s">
        <v>467</v>
      </c>
      <c r="B1747" s="210" t="s">
        <v>68</v>
      </c>
      <c r="C1747" s="254" t="s">
        <v>1005</v>
      </c>
      <c r="D1747" s="255">
        <v>746.5</v>
      </c>
      <c r="E1747" s="211" t="s">
        <v>1914</v>
      </c>
      <c r="F1747" s="212">
        <v>43542</v>
      </c>
      <c r="G1747" s="213">
        <v>2.62</v>
      </c>
      <c r="H1747" s="256">
        <v>280</v>
      </c>
      <c r="I1747" s="214">
        <v>1453746</v>
      </c>
      <c r="J1747" s="215">
        <v>19175</v>
      </c>
      <c r="K1747" s="212">
        <v>43595</v>
      </c>
      <c r="L1747" s="211" t="s">
        <v>1330</v>
      </c>
      <c r="M1747" s="216">
        <v>4615506885</v>
      </c>
      <c r="N1747" s="212">
        <v>43614</v>
      </c>
      <c r="O1747" s="217">
        <v>3.9746999999999999</v>
      </c>
      <c r="P1747" s="219"/>
      <c r="Q1747" s="34">
        <f>SUMIF(Allocation[Delivery ID],Allocation[[#This Row],[Delivery ID]],Allocation[Quantity Processed])</f>
        <v>5052.5</v>
      </c>
      <c r="R1747" s="61">
        <f>Allocation[[#This Row],[Total volume used]]/VLOOKUP(Allocation[[#This Row],[Delivery ID]],Delivery[[Delivery ID]:[Quantity delivered]],3,FALSE)</f>
        <v>1</v>
      </c>
      <c r="S1747" s="34">
        <f>Allocation[[#This Row],[Quantity Processed]]/Allocation[[#This Row],[Dilution rate]]</f>
        <v>284.92366412213738</v>
      </c>
      <c r="T1747" s="59">
        <f>SUMIF(Allocation[Delivery ID],Allocation[[#This Row],[Delivery ID]],Allocation[Quantity allocated])/SUMIF(Allocation[Delivery ID],Allocation[[#This Row],[Delivery ID]],Allocation[Volume available (kg)])</f>
        <v>0.92122640629060271</v>
      </c>
      <c r="U1747" s="61">
        <f>Allocation[[#This Row],[Total volume used]]/VLOOKUP(Allocation[[#This Row],[Delivery ID]],Delivery[[Delivery ID]:[Quantity delivered]],3,FALSE)</f>
        <v>1</v>
      </c>
      <c r="V1747" s="34" t="e">
        <f>VLOOKUP(Allocation[[#This Row],[SAP Contract number]],Shipments[[SAP Contract number]:[Contracted container weight]],2,FALSE)</f>
        <v>#N/A</v>
      </c>
      <c r="W1747" s="34" t="e">
        <f>VLOOKUP(Allocation[[#This Row],[SAP Contract number]],Shipments[[SAP Contract number]:[AAA Premium USD]],24,FALSE)</f>
        <v>#N/A</v>
      </c>
      <c r="X1747" s="34" t="e">
        <f>VLOOKUP(Allocation[[#This Row],[SAP Contract number]],Shipments[[SAP Contract number]:[RA Premium USD]],25,FALSE)</f>
        <v>#N/A</v>
      </c>
      <c r="Y1747" s="38">
        <f>Allocation[[#This Row],[Quantity Processed]]/Allocation[[#This Row],[Quantity allocated]]</f>
        <v>2.6660714285714286</v>
      </c>
      <c r="Z1747" s="34" t="b">
        <f>Allocation[[#This Row],[Quantity allocated]]&lt;=Allocation[[#This Row],[Quantity Processed]]</f>
        <v>1</v>
      </c>
    </row>
    <row r="1748" spans="1:26">
      <c r="A1748" s="247" t="s">
        <v>467</v>
      </c>
      <c r="B1748" s="210" t="s">
        <v>68</v>
      </c>
      <c r="C1748" s="254" t="s">
        <v>1007</v>
      </c>
      <c r="D1748" s="255">
        <v>6273</v>
      </c>
      <c r="E1748" s="211" t="s">
        <v>1914</v>
      </c>
      <c r="F1748" s="212">
        <v>43542</v>
      </c>
      <c r="G1748" s="213">
        <v>2.62</v>
      </c>
      <c r="H1748" s="256">
        <v>2572</v>
      </c>
      <c r="I1748" s="214">
        <v>1453746</v>
      </c>
      <c r="J1748" s="215">
        <v>19175</v>
      </c>
      <c r="K1748" s="212">
        <v>43595</v>
      </c>
      <c r="L1748" s="211" t="s">
        <v>1330</v>
      </c>
      <c r="M1748" s="216">
        <v>4615506885</v>
      </c>
      <c r="N1748" s="212">
        <v>43614</v>
      </c>
      <c r="O1748" s="217">
        <v>3.9746999999999999</v>
      </c>
      <c r="P1748" s="219"/>
      <c r="Q1748" s="34">
        <f>SUMIF(Allocation[Delivery ID],Allocation[[#This Row],[Delivery ID]],Allocation[Quantity Processed])</f>
        <v>31880</v>
      </c>
      <c r="R1748" s="61">
        <f>Allocation[[#This Row],[Total volume used]]/VLOOKUP(Allocation[[#This Row],[Delivery ID]],Delivery[[Delivery ID]:[Quantity delivered]],3,FALSE)</f>
        <v>1</v>
      </c>
      <c r="S1748" s="34">
        <f>Allocation[[#This Row],[Quantity Processed]]/Allocation[[#This Row],[Dilution rate]]</f>
        <v>2394.2748091603053</v>
      </c>
      <c r="T1748" s="59">
        <f>SUMIF(Allocation[Delivery ID],Allocation[[#This Row],[Delivery ID]],Allocation[Quantity allocated])/SUMIF(Allocation[Delivery ID],Allocation[[#This Row],[Delivery ID]],Allocation[Volume available (kg)])</f>
        <v>1.0232020361011271</v>
      </c>
      <c r="U1748" s="61">
        <f>Allocation[[#This Row],[Total volume used]]/VLOOKUP(Allocation[[#This Row],[Delivery ID]],Delivery[[Delivery ID]:[Quantity delivered]],3,FALSE)</f>
        <v>1</v>
      </c>
      <c r="V1748" s="34" t="e">
        <f>VLOOKUP(Allocation[[#This Row],[SAP Contract number]],Shipments[[SAP Contract number]:[Contracted container weight]],2,FALSE)</f>
        <v>#N/A</v>
      </c>
      <c r="W1748" s="34" t="e">
        <f>VLOOKUP(Allocation[[#This Row],[SAP Contract number]],Shipments[[SAP Contract number]:[AAA Premium USD]],24,FALSE)</f>
        <v>#N/A</v>
      </c>
      <c r="X1748" s="34" t="e">
        <f>VLOOKUP(Allocation[[#This Row],[SAP Contract number]],Shipments[[SAP Contract number]:[RA Premium USD]],25,FALSE)</f>
        <v>#N/A</v>
      </c>
      <c r="Y1748" s="38">
        <f>Allocation[[#This Row],[Quantity Processed]]/Allocation[[#This Row],[Quantity allocated]]</f>
        <v>2.4389580093312597</v>
      </c>
      <c r="Z1748" s="34" t="b">
        <f>Allocation[[#This Row],[Quantity allocated]]&lt;=Allocation[[#This Row],[Quantity Processed]]</f>
        <v>1</v>
      </c>
    </row>
    <row r="1749" spans="1:26">
      <c r="A1749" s="247" t="s">
        <v>467</v>
      </c>
      <c r="B1749" s="210" t="s">
        <v>68</v>
      </c>
      <c r="C1749" s="254" t="s">
        <v>1643</v>
      </c>
      <c r="D1749" s="255">
        <v>83</v>
      </c>
      <c r="E1749" s="211" t="s">
        <v>1914</v>
      </c>
      <c r="F1749" s="212">
        <v>43542</v>
      </c>
      <c r="G1749" s="213">
        <v>2.62</v>
      </c>
      <c r="H1749" s="256">
        <v>29</v>
      </c>
      <c r="I1749" s="214">
        <v>1453746</v>
      </c>
      <c r="J1749" s="215">
        <v>19175</v>
      </c>
      <c r="K1749" s="212">
        <v>43595</v>
      </c>
      <c r="L1749" s="211" t="s">
        <v>1330</v>
      </c>
      <c r="M1749" s="216">
        <v>4615506885</v>
      </c>
      <c r="N1749" s="212">
        <v>43614</v>
      </c>
      <c r="O1749" s="217">
        <v>3.9746999999999999</v>
      </c>
      <c r="P1749" s="219"/>
      <c r="Q1749" s="34">
        <f>SUMIF(Allocation[Delivery ID],Allocation[[#This Row],[Delivery ID]],Allocation[Quantity Processed])</f>
        <v>826</v>
      </c>
      <c r="R1749" s="61">
        <f>Allocation[[#This Row],[Total volume used]]/VLOOKUP(Allocation[[#This Row],[Delivery ID]],Delivery[[Delivery ID]:[Quantity delivered]],3,FALSE)</f>
        <v>0.13149725384064315</v>
      </c>
      <c r="S1749" s="34">
        <f>Allocation[[#This Row],[Quantity Processed]]/Allocation[[#This Row],[Dilution rate]]</f>
        <v>31.679389312977097</v>
      </c>
      <c r="T1749" s="59">
        <f>SUMIF(Allocation[Delivery ID],Allocation[[#This Row],[Delivery ID]],Allocation[Quantity allocated])/SUMIF(Allocation[Delivery ID],Allocation[[#This Row],[Delivery ID]],Allocation[Volume available (kg)])</f>
        <v>0.78525679208867372</v>
      </c>
      <c r="U1749" s="61">
        <f>Allocation[[#This Row],[Total volume used]]/VLOOKUP(Allocation[[#This Row],[Delivery ID]],Delivery[[Delivery ID]:[Quantity delivered]],3,FALSE)</f>
        <v>0.13149725384064315</v>
      </c>
      <c r="V1749" s="34" t="e">
        <f>VLOOKUP(Allocation[[#This Row],[SAP Contract number]],Shipments[[SAP Contract number]:[Contracted container weight]],2,FALSE)</f>
        <v>#N/A</v>
      </c>
      <c r="W1749" s="34" t="e">
        <f>VLOOKUP(Allocation[[#This Row],[SAP Contract number]],Shipments[[SAP Contract number]:[AAA Premium USD]],24,FALSE)</f>
        <v>#N/A</v>
      </c>
      <c r="X1749" s="34" t="e">
        <f>VLOOKUP(Allocation[[#This Row],[SAP Contract number]],Shipments[[SAP Contract number]:[RA Premium USD]],25,FALSE)</f>
        <v>#N/A</v>
      </c>
      <c r="Y1749" s="38">
        <f>Allocation[[#This Row],[Quantity Processed]]/Allocation[[#This Row],[Quantity allocated]]</f>
        <v>2.8620689655172415</v>
      </c>
      <c r="Z1749" s="34" t="b">
        <f>Allocation[[#This Row],[Quantity allocated]]&lt;=Allocation[[#This Row],[Quantity Processed]]</f>
        <v>1</v>
      </c>
    </row>
    <row r="1750" spans="1:26">
      <c r="A1750" s="247" t="s">
        <v>467</v>
      </c>
      <c r="B1750" s="210" t="s">
        <v>68</v>
      </c>
      <c r="C1750" s="254" t="s">
        <v>1644</v>
      </c>
      <c r="D1750" s="255">
        <v>4860</v>
      </c>
      <c r="E1750" s="211" t="s">
        <v>1914</v>
      </c>
      <c r="F1750" s="212">
        <v>43542</v>
      </c>
      <c r="G1750" s="213">
        <v>2.62</v>
      </c>
      <c r="H1750" s="256">
        <v>1944</v>
      </c>
      <c r="I1750" s="214">
        <v>1453746</v>
      </c>
      <c r="J1750" s="215">
        <v>19175</v>
      </c>
      <c r="K1750" s="212">
        <v>43595</v>
      </c>
      <c r="L1750" s="211" t="s">
        <v>1330</v>
      </c>
      <c r="M1750" s="216">
        <v>4615506885</v>
      </c>
      <c r="N1750" s="212">
        <v>43614</v>
      </c>
      <c r="O1750" s="217">
        <v>3.9746999999999999</v>
      </c>
      <c r="P1750" s="219"/>
      <c r="Q1750" s="34">
        <f>SUMIF(Allocation[Delivery ID],Allocation[[#This Row],[Delivery ID]],Allocation[Quantity Processed])</f>
        <v>18880</v>
      </c>
      <c r="R1750" s="61">
        <f>Allocation[[#This Row],[Total volume used]]/VLOOKUP(Allocation[[#This Row],[Delivery ID]],Delivery[[Delivery ID]:[Quantity delivered]],3,FALSE)</f>
        <v>0.70914793321689484</v>
      </c>
      <c r="S1750" s="34">
        <f>Allocation[[#This Row],[Quantity Processed]]/Allocation[[#This Row],[Dilution rate]]</f>
        <v>1854.9618320610687</v>
      </c>
      <c r="T1750" s="59">
        <f>SUMIF(Allocation[Delivery ID],Allocation[[#This Row],[Delivery ID]],Allocation[Quantity allocated])/SUMIF(Allocation[Delivery ID],Allocation[[#This Row],[Delivery ID]],Allocation[Volume available (kg)])</f>
        <v>1.0667581103543555</v>
      </c>
      <c r="U1750" s="61">
        <f>Allocation[[#This Row],[Total volume used]]/VLOOKUP(Allocation[[#This Row],[Delivery ID]],Delivery[[Delivery ID]:[Quantity delivered]],3,FALSE)</f>
        <v>0.70914793321689484</v>
      </c>
      <c r="V1750" s="34" t="e">
        <f>VLOOKUP(Allocation[[#This Row],[SAP Contract number]],Shipments[[SAP Contract number]:[Contracted container weight]],2,FALSE)</f>
        <v>#N/A</v>
      </c>
      <c r="W1750" s="34" t="e">
        <f>VLOOKUP(Allocation[[#This Row],[SAP Contract number]],Shipments[[SAP Contract number]:[AAA Premium USD]],24,FALSE)</f>
        <v>#N/A</v>
      </c>
      <c r="X1750" s="34" t="e">
        <f>VLOOKUP(Allocation[[#This Row],[SAP Contract number]],Shipments[[SAP Contract number]:[RA Premium USD]],25,FALSE)</f>
        <v>#N/A</v>
      </c>
      <c r="Y1750" s="38">
        <f>Allocation[[#This Row],[Quantity Processed]]/Allocation[[#This Row],[Quantity allocated]]</f>
        <v>2.5</v>
      </c>
      <c r="Z1750" s="34" t="b">
        <f>Allocation[[#This Row],[Quantity allocated]]&lt;=Allocation[[#This Row],[Quantity Processed]]</f>
        <v>1</v>
      </c>
    </row>
    <row r="1751" spans="1:26">
      <c r="A1751" s="247" t="s">
        <v>467</v>
      </c>
      <c r="B1751" s="210" t="s">
        <v>68</v>
      </c>
      <c r="C1751" s="254" t="s">
        <v>1010</v>
      </c>
      <c r="D1751" s="255">
        <v>1534</v>
      </c>
      <c r="E1751" s="211" t="s">
        <v>1914</v>
      </c>
      <c r="F1751" s="212">
        <v>43542</v>
      </c>
      <c r="G1751" s="213">
        <v>2.62</v>
      </c>
      <c r="H1751" s="256">
        <v>629</v>
      </c>
      <c r="I1751" s="214">
        <v>1453746</v>
      </c>
      <c r="J1751" s="215">
        <v>19175</v>
      </c>
      <c r="K1751" s="212">
        <v>43595</v>
      </c>
      <c r="L1751" s="211" t="s">
        <v>1330</v>
      </c>
      <c r="M1751" s="216">
        <v>4615506885</v>
      </c>
      <c r="N1751" s="212">
        <v>43614</v>
      </c>
      <c r="O1751" s="217">
        <v>3.9746999999999999</v>
      </c>
      <c r="P1751" s="219"/>
      <c r="Q1751" s="34">
        <f>SUMIF(Allocation[Delivery ID],Allocation[[#This Row],[Delivery ID]],Allocation[Quantity Processed])</f>
        <v>7793</v>
      </c>
      <c r="R1751" s="61">
        <f>Allocation[[#This Row],[Total volume used]]/VLOOKUP(Allocation[[#This Row],[Delivery ID]],Delivery[[Delivery ID]:[Quantity delivered]],3,FALSE)</f>
        <v>1</v>
      </c>
      <c r="S1751" s="34">
        <f>Allocation[[#This Row],[Quantity Processed]]/Allocation[[#This Row],[Dilution rate]]</f>
        <v>585.49618320610682</v>
      </c>
      <c r="T1751" s="59">
        <f>SUMIF(Allocation[Delivery ID],Allocation[[#This Row],[Delivery ID]],Allocation[Quantity allocated])/SUMIF(Allocation[Delivery ID],Allocation[[#This Row],[Delivery ID]],Allocation[Volume available (kg)])</f>
        <v>1.0231604080667922</v>
      </c>
      <c r="U1751" s="61">
        <f>Allocation[[#This Row],[Total volume used]]/VLOOKUP(Allocation[[#This Row],[Delivery ID]],Delivery[[Delivery ID]:[Quantity delivered]],3,FALSE)</f>
        <v>1</v>
      </c>
      <c r="V1751" s="34" t="e">
        <f>VLOOKUP(Allocation[[#This Row],[SAP Contract number]],Shipments[[SAP Contract number]:[Contracted container weight]],2,FALSE)</f>
        <v>#N/A</v>
      </c>
      <c r="W1751" s="34" t="e">
        <f>VLOOKUP(Allocation[[#This Row],[SAP Contract number]],Shipments[[SAP Contract number]:[AAA Premium USD]],24,FALSE)</f>
        <v>#N/A</v>
      </c>
      <c r="X1751" s="34" t="e">
        <f>VLOOKUP(Allocation[[#This Row],[SAP Contract number]],Shipments[[SAP Contract number]:[RA Premium USD]],25,FALSE)</f>
        <v>#N/A</v>
      </c>
      <c r="Y1751" s="38">
        <f>Allocation[[#This Row],[Quantity Processed]]/Allocation[[#This Row],[Quantity allocated]]</f>
        <v>2.43879173290938</v>
      </c>
      <c r="Z1751" s="34" t="b">
        <f>Allocation[[#This Row],[Quantity allocated]]&lt;=Allocation[[#This Row],[Quantity Processed]]</f>
        <v>1</v>
      </c>
    </row>
    <row r="1752" spans="1:26">
      <c r="A1752" s="247" t="s">
        <v>467</v>
      </c>
      <c r="B1752" s="210" t="s">
        <v>68</v>
      </c>
      <c r="C1752" s="254" t="s">
        <v>1012</v>
      </c>
      <c r="D1752" s="255">
        <v>268</v>
      </c>
      <c r="E1752" s="211" t="s">
        <v>1914</v>
      </c>
      <c r="F1752" s="212">
        <v>43542</v>
      </c>
      <c r="G1752" s="213">
        <v>2.62</v>
      </c>
      <c r="H1752" s="256">
        <v>100</v>
      </c>
      <c r="I1752" s="214">
        <v>1453746</v>
      </c>
      <c r="J1752" s="215">
        <v>19175</v>
      </c>
      <c r="K1752" s="212">
        <v>43595</v>
      </c>
      <c r="L1752" s="211" t="s">
        <v>1330</v>
      </c>
      <c r="M1752" s="216">
        <v>4615506885</v>
      </c>
      <c r="N1752" s="212">
        <v>43614</v>
      </c>
      <c r="O1752" s="217">
        <v>3.9746999999999999</v>
      </c>
      <c r="P1752" s="219"/>
      <c r="Q1752" s="34">
        <f>SUMIF(Allocation[Delivery ID],Allocation[[#This Row],[Delivery ID]],Allocation[Quantity Processed])</f>
        <v>32230</v>
      </c>
      <c r="R1752" s="61">
        <f>Allocation[[#This Row],[Total volume used]]/VLOOKUP(Allocation[[#This Row],[Delivery ID]],Delivery[[Delivery ID]:[Quantity delivered]],3,FALSE)</f>
        <v>1</v>
      </c>
      <c r="S1752" s="34">
        <f>Allocation[[#This Row],[Quantity Processed]]/Allocation[[#This Row],[Dilution rate]]</f>
        <v>102.29007633587786</v>
      </c>
      <c r="T1752" s="59">
        <f>SUMIF(Allocation[Delivery ID],Allocation[[#This Row],[Delivery ID]],Allocation[Quantity allocated])/SUMIF(Allocation[Delivery ID],Allocation[[#This Row],[Delivery ID]],Allocation[Volume available (kg)])</f>
        <v>0.78335528312298286</v>
      </c>
      <c r="U1752" s="61">
        <f>Allocation[[#This Row],[Total volume used]]/VLOOKUP(Allocation[[#This Row],[Delivery ID]],Delivery[[Delivery ID]:[Quantity delivered]],3,FALSE)</f>
        <v>1</v>
      </c>
      <c r="V1752" s="34" t="e">
        <f>VLOOKUP(Allocation[[#This Row],[SAP Contract number]],Shipments[[SAP Contract number]:[Contracted container weight]],2,FALSE)</f>
        <v>#N/A</v>
      </c>
      <c r="W1752" s="34" t="e">
        <f>VLOOKUP(Allocation[[#This Row],[SAP Contract number]],Shipments[[SAP Contract number]:[AAA Premium USD]],24,FALSE)</f>
        <v>#N/A</v>
      </c>
      <c r="X1752" s="34" t="e">
        <f>VLOOKUP(Allocation[[#This Row],[SAP Contract number]],Shipments[[SAP Contract number]:[RA Premium USD]],25,FALSE)</f>
        <v>#N/A</v>
      </c>
      <c r="Y1752" s="38">
        <f>Allocation[[#This Row],[Quantity Processed]]/Allocation[[#This Row],[Quantity allocated]]</f>
        <v>2.68</v>
      </c>
      <c r="Z1752" s="34" t="b">
        <f>Allocation[[#This Row],[Quantity allocated]]&lt;=Allocation[[#This Row],[Quantity Processed]]</f>
        <v>1</v>
      </c>
    </row>
    <row r="1753" spans="1:26">
      <c r="A1753" s="247" t="s">
        <v>467</v>
      </c>
      <c r="B1753" s="210" t="s">
        <v>68</v>
      </c>
      <c r="C1753" s="254" t="s">
        <v>1646</v>
      </c>
      <c r="D1753" s="255">
        <v>6848</v>
      </c>
      <c r="E1753" s="211" t="s">
        <v>1914</v>
      </c>
      <c r="F1753" s="212">
        <v>43542</v>
      </c>
      <c r="G1753" s="213">
        <v>2.62</v>
      </c>
      <c r="H1753" s="256">
        <v>2260</v>
      </c>
      <c r="I1753" s="214">
        <v>1453746</v>
      </c>
      <c r="J1753" s="215">
        <v>19175</v>
      </c>
      <c r="K1753" s="212">
        <v>43595</v>
      </c>
      <c r="L1753" s="211" t="s">
        <v>1330</v>
      </c>
      <c r="M1753" s="216">
        <v>4615506885</v>
      </c>
      <c r="N1753" s="212">
        <v>43614</v>
      </c>
      <c r="O1753" s="217">
        <v>3.9746999999999999</v>
      </c>
      <c r="P1753" s="219"/>
      <c r="Q1753" s="34">
        <f>SUMIF(Allocation[Delivery ID],Allocation[[#This Row],[Delivery ID]],Allocation[Quantity Processed])</f>
        <v>26600</v>
      </c>
      <c r="R1753" s="61">
        <f>Allocation[[#This Row],[Total volume used]]/VLOOKUP(Allocation[[#This Row],[Delivery ID]],Delivery[[Delivery ID]:[Quantity delivered]],3,FALSE)</f>
        <v>0.85963126343173846</v>
      </c>
      <c r="S1753" s="34">
        <f>Allocation[[#This Row],[Quantity Processed]]/Allocation[[#This Row],[Dilution rate]]</f>
        <v>2613.740458015267</v>
      </c>
      <c r="T1753" s="59">
        <f>SUMIF(Allocation[Delivery ID],Allocation[[#This Row],[Delivery ID]],Allocation[Quantity allocated])/SUMIF(Allocation[Delivery ID],Allocation[[#This Row],[Delivery ID]],Allocation[Volume available (kg)])</f>
        <v>0.88007447307869247</v>
      </c>
      <c r="U1753" s="61">
        <f>Allocation[[#This Row],[Total volume used]]/VLOOKUP(Allocation[[#This Row],[Delivery ID]],Delivery[[Delivery ID]:[Quantity delivered]],3,FALSE)</f>
        <v>0.85963126343173846</v>
      </c>
      <c r="V1753" s="34" t="e">
        <f>VLOOKUP(Allocation[[#This Row],[SAP Contract number]],Shipments[[SAP Contract number]:[Contracted container weight]],2,FALSE)</f>
        <v>#N/A</v>
      </c>
      <c r="W1753" s="34" t="e">
        <f>VLOOKUP(Allocation[[#This Row],[SAP Contract number]],Shipments[[SAP Contract number]:[AAA Premium USD]],24,FALSE)</f>
        <v>#N/A</v>
      </c>
      <c r="X1753" s="34" t="e">
        <f>VLOOKUP(Allocation[[#This Row],[SAP Contract number]],Shipments[[SAP Contract number]:[RA Premium USD]],25,FALSE)</f>
        <v>#N/A</v>
      </c>
      <c r="Y1753" s="38">
        <f>Allocation[[#This Row],[Quantity Processed]]/Allocation[[#This Row],[Quantity allocated]]</f>
        <v>3.0300884955752214</v>
      </c>
      <c r="Z1753" s="34" t="b">
        <f>Allocation[[#This Row],[Quantity allocated]]&lt;=Allocation[[#This Row],[Quantity Processed]]</f>
        <v>1</v>
      </c>
    </row>
    <row r="1754" spans="1:26">
      <c r="A1754" s="247" t="s">
        <v>467</v>
      </c>
      <c r="B1754" s="210" t="s">
        <v>68</v>
      </c>
      <c r="C1754" s="254" t="s">
        <v>1647</v>
      </c>
      <c r="D1754" s="255">
        <v>3915</v>
      </c>
      <c r="E1754" s="211" t="s">
        <v>1914</v>
      </c>
      <c r="F1754" s="212">
        <v>43542</v>
      </c>
      <c r="G1754" s="213">
        <v>2.62</v>
      </c>
      <c r="H1754" s="256">
        <v>1292</v>
      </c>
      <c r="I1754" s="214">
        <v>1453746</v>
      </c>
      <c r="J1754" s="215">
        <v>19175</v>
      </c>
      <c r="K1754" s="212">
        <v>43595</v>
      </c>
      <c r="L1754" s="211" t="s">
        <v>1330</v>
      </c>
      <c r="M1754" s="216">
        <v>4615506885</v>
      </c>
      <c r="N1754" s="212">
        <v>43614</v>
      </c>
      <c r="O1754" s="217">
        <v>3.9746999999999999</v>
      </c>
      <c r="P1754" s="219"/>
      <c r="Q1754" s="34">
        <f>SUMIF(Allocation[Delivery ID],Allocation[[#This Row],[Delivery ID]],Allocation[Quantity Processed])</f>
        <v>26643</v>
      </c>
      <c r="R1754" s="61">
        <f>Allocation[[#This Row],[Total volume used]]/VLOOKUP(Allocation[[#This Row],[Delivery ID]],Delivery[[Delivery ID]:[Quantity delivered]],3,FALSE)</f>
        <v>0.85964572645436066</v>
      </c>
      <c r="S1754" s="34">
        <f>Allocation[[#This Row],[Quantity Processed]]/Allocation[[#This Row],[Dilution rate]]</f>
        <v>1494.2748091603053</v>
      </c>
      <c r="T1754" s="59">
        <f>SUMIF(Allocation[Delivery ID],Allocation[[#This Row],[Delivery ID]],Allocation[Quantity allocated])/SUMIF(Allocation[Delivery ID],Allocation[[#This Row],[Delivery ID]],Allocation[Volume available (kg)])</f>
        <v>0.88005549202645716</v>
      </c>
      <c r="U1754" s="61">
        <f>Allocation[[#This Row],[Total volume used]]/VLOOKUP(Allocation[[#This Row],[Delivery ID]],Delivery[[Delivery ID]:[Quantity delivered]],3,FALSE)</f>
        <v>0.85964572645436066</v>
      </c>
      <c r="V1754" s="34" t="e">
        <f>VLOOKUP(Allocation[[#This Row],[SAP Contract number]],Shipments[[SAP Contract number]:[Contracted container weight]],2,FALSE)</f>
        <v>#N/A</v>
      </c>
      <c r="W1754" s="34" t="e">
        <f>VLOOKUP(Allocation[[#This Row],[SAP Contract number]],Shipments[[SAP Contract number]:[AAA Premium USD]],24,FALSE)</f>
        <v>#N/A</v>
      </c>
      <c r="X1754" s="34" t="e">
        <f>VLOOKUP(Allocation[[#This Row],[SAP Contract number]],Shipments[[SAP Contract number]:[RA Premium USD]],25,FALSE)</f>
        <v>#N/A</v>
      </c>
      <c r="Y1754" s="38">
        <f>Allocation[[#This Row],[Quantity Processed]]/Allocation[[#This Row],[Quantity allocated]]</f>
        <v>3.030185758513932</v>
      </c>
      <c r="Z1754" s="34" t="b">
        <f>Allocation[[#This Row],[Quantity allocated]]&lt;=Allocation[[#This Row],[Quantity Processed]]</f>
        <v>1</v>
      </c>
    </row>
    <row r="1755" spans="1:26">
      <c r="A1755" s="247" t="s">
        <v>467</v>
      </c>
      <c r="B1755" s="210" t="s">
        <v>68</v>
      </c>
      <c r="C1755" s="254" t="s">
        <v>1647</v>
      </c>
      <c r="D1755" s="255">
        <v>2943</v>
      </c>
      <c r="E1755" s="211" t="s">
        <v>1914</v>
      </c>
      <c r="F1755" s="212">
        <v>43542</v>
      </c>
      <c r="G1755" s="213">
        <v>2.62</v>
      </c>
      <c r="H1755" s="256">
        <v>971</v>
      </c>
      <c r="I1755" s="214">
        <v>1453747</v>
      </c>
      <c r="J1755" s="215">
        <v>19175</v>
      </c>
      <c r="K1755" s="212">
        <v>43595</v>
      </c>
      <c r="L1755" s="211" t="s">
        <v>1331</v>
      </c>
      <c r="M1755" s="216">
        <v>4615506885</v>
      </c>
      <c r="N1755" s="212">
        <v>43614</v>
      </c>
      <c r="O1755" s="217">
        <v>3.9746999999999999</v>
      </c>
      <c r="P1755" s="219"/>
      <c r="Q1755" s="34">
        <f>SUMIF(Allocation[Delivery ID],Allocation[[#This Row],[Delivery ID]],Allocation[Quantity Processed])</f>
        <v>26643</v>
      </c>
      <c r="R1755" s="61">
        <f>Allocation[[#This Row],[Total volume used]]/VLOOKUP(Allocation[[#This Row],[Delivery ID]],Delivery[[Delivery ID]:[Quantity delivered]],3,FALSE)</f>
        <v>0.85964572645436066</v>
      </c>
      <c r="S1755" s="34">
        <f>Allocation[[#This Row],[Quantity Processed]]/Allocation[[#This Row],[Dilution rate]]</f>
        <v>1123.2824427480916</v>
      </c>
      <c r="T1755" s="59">
        <f>SUMIF(Allocation[Delivery ID],Allocation[[#This Row],[Delivery ID]],Allocation[Quantity allocated])/SUMIF(Allocation[Delivery ID],Allocation[[#This Row],[Delivery ID]],Allocation[Volume available (kg)])</f>
        <v>0.88005549202645716</v>
      </c>
      <c r="U1755" s="61">
        <f>Allocation[[#This Row],[Total volume used]]/VLOOKUP(Allocation[[#This Row],[Delivery ID]],Delivery[[Delivery ID]:[Quantity delivered]],3,FALSE)</f>
        <v>0.85964572645436066</v>
      </c>
      <c r="V1755" s="34" t="e">
        <f>VLOOKUP(Allocation[[#This Row],[SAP Contract number]],Shipments[[SAP Contract number]:[Contracted container weight]],2,FALSE)</f>
        <v>#N/A</v>
      </c>
      <c r="W1755" s="34" t="e">
        <f>VLOOKUP(Allocation[[#This Row],[SAP Contract number]],Shipments[[SAP Contract number]:[AAA Premium USD]],24,FALSE)</f>
        <v>#N/A</v>
      </c>
      <c r="X1755" s="34" t="e">
        <f>VLOOKUP(Allocation[[#This Row],[SAP Contract number]],Shipments[[SAP Contract number]:[RA Premium USD]],25,FALSE)</f>
        <v>#N/A</v>
      </c>
      <c r="Y1755" s="38">
        <f>Allocation[[#This Row],[Quantity Processed]]/Allocation[[#This Row],[Quantity allocated]]</f>
        <v>3.0308959835221421</v>
      </c>
      <c r="Z1755" s="34" t="b">
        <f>Allocation[[#This Row],[Quantity allocated]]&lt;=Allocation[[#This Row],[Quantity Processed]]</f>
        <v>1</v>
      </c>
    </row>
    <row r="1756" spans="1:26">
      <c r="A1756" s="247" t="s">
        <v>467</v>
      </c>
      <c r="B1756" s="210" t="s">
        <v>68</v>
      </c>
      <c r="C1756" s="254" t="s">
        <v>1016</v>
      </c>
      <c r="D1756" s="255">
        <v>294</v>
      </c>
      <c r="E1756" s="211" t="s">
        <v>1914</v>
      </c>
      <c r="F1756" s="212">
        <v>43542</v>
      </c>
      <c r="G1756" s="213">
        <v>2.62</v>
      </c>
      <c r="H1756" s="256">
        <v>100</v>
      </c>
      <c r="I1756" s="214">
        <v>1453747</v>
      </c>
      <c r="J1756" s="215">
        <v>19175</v>
      </c>
      <c r="K1756" s="212">
        <v>43595</v>
      </c>
      <c r="L1756" s="211" t="s">
        <v>1331</v>
      </c>
      <c r="M1756" s="216">
        <v>4615506885</v>
      </c>
      <c r="N1756" s="212">
        <v>43614</v>
      </c>
      <c r="O1756" s="217">
        <v>3.9746999999999999</v>
      </c>
      <c r="P1756" s="219"/>
      <c r="Q1756" s="34">
        <f>SUMIF(Allocation[Delivery ID],Allocation[[#This Row],[Delivery ID]],Allocation[Quantity Processed])</f>
        <v>32470</v>
      </c>
      <c r="R1756" s="61">
        <f>Allocation[[#This Row],[Total volume used]]/VLOOKUP(Allocation[[#This Row],[Delivery ID]],Delivery[[Delivery ID]:[Quantity delivered]],3,FALSE)</f>
        <v>1</v>
      </c>
      <c r="S1756" s="34">
        <f>Allocation[[#This Row],[Quantity Processed]]/Allocation[[#This Row],[Dilution rate]]</f>
        <v>112.21374045801527</v>
      </c>
      <c r="T1756" s="59">
        <f>SUMIF(Allocation[Delivery ID],Allocation[[#This Row],[Delivery ID]],Allocation[Quantity allocated])/SUMIF(Allocation[Delivery ID],Allocation[[#This Row],[Delivery ID]],Allocation[Volume available (kg)])</f>
        <v>0.78287780426263942</v>
      </c>
      <c r="U1756" s="61">
        <f>Allocation[[#This Row],[Total volume used]]/VLOOKUP(Allocation[[#This Row],[Delivery ID]],Delivery[[Delivery ID]:[Quantity delivered]],3,FALSE)</f>
        <v>1</v>
      </c>
      <c r="V1756" s="34" t="e">
        <f>VLOOKUP(Allocation[[#This Row],[SAP Contract number]],Shipments[[SAP Contract number]:[Contracted container weight]],2,FALSE)</f>
        <v>#N/A</v>
      </c>
      <c r="W1756" s="34" t="e">
        <f>VLOOKUP(Allocation[[#This Row],[SAP Contract number]],Shipments[[SAP Contract number]:[AAA Premium USD]],24,FALSE)</f>
        <v>#N/A</v>
      </c>
      <c r="X1756" s="34" t="e">
        <f>VLOOKUP(Allocation[[#This Row],[SAP Contract number]],Shipments[[SAP Contract number]:[RA Premium USD]],25,FALSE)</f>
        <v>#N/A</v>
      </c>
      <c r="Y1756" s="38">
        <f>Allocation[[#This Row],[Quantity Processed]]/Allocation[[#This Row],[Quantity allocated]]</f>
        <v>2.94</v>
      </c>
      <c r="Z1756" s="34" t="b">
        <f>Allocation[[#This Row],[Quantity allocated]]&lt;=Allocation[[#This Row],[Quantity Processed]]</f>
        <v>1</v>
      </c>
    </row>
    <row r="1757" spans="1:26">
      <c r="A1757" s="247" t="s">
        <v>467</v>
      </c>
      <c r="B1757" s="210" t="s">
        <v>68</v>
      </c>
      <c r="C1757" s="254" t="s">
        <v>1031</v>
      </c>
      <c r="D1757" s="255">
        <v>5291</v>
      </c>
      <c r="E1757" s="211" t="s">
        <v>1914</v>
      </c>
      <c r="F1757" s="212">
        <v>43542</v>
      </c>
      <c r="G1757" s="213">
        <v>2.62</v>
      </c>
      <c r="H1757" s="256">
        <v>2328</v>
      </c>
      <c r="I1757" s="214">
        <v>1453747</v>
      </c>
      <c r="J1757" s="215">
        <v>19175</v>
      </c>
      <c r="K1757" s="212">
        <v>43595</v>
      </c>
      <c r="L1757" s="211" t="s">
        <v>1331</v>
      </c>
      <c r="M1757" s="216">
        <v>4615506885</v>
      </c>
      <c r="N1757" s="212">
        <v>43614</v>
      </c>
      <c r="O1757" s="217">
        <v>3.9746999999999999</v>
      </c>
      <c r="P1757" s="219"/>
      <c r="Q1757" s="34">
        <f>SUMIF(Allocation[Delivery ID],Allocation[[#This Row],[Delivery ID]],Allocation[Quantity Processed])</f>
        <v>27391</v>
      </c>
      <c r="R1757" s="61">
        <f>Allocation[[#This Row],[Total volume used]]/VLOOKUP(Allocation[[#This Row],[Delivery ID]],Delivery[[Delivery ID]:[Quantity delivered]],3,FALSE)</f>
        <v>0.94942807625649916</v>
      </c>
      <c r="S1757" s="34">
        <f>Allocation[[#This Row],[Quantity Processed]]/Allocation[[#This Row],[Dilution rate]]</f>
        <v>2019.4656488549617</v>
      </c>
      <c r="T1757" s="59">
        <f>SUMIF(Allocation[Delivery ID],Allocation[[#This Row],[Delivery ID]],Allocation[Quantity allocated])/SUMIF(Allocation[Delivery ID],Allocation[[#This Row],[Delivery ID]],Allocation[Volume available (kg)])</f>
        <v>1.0961111825794865</v>
      </c>
      <c r="U1757" s="61">
        <f>Allocation[[#This Row],[Total volume used]]/VLOOKUP(Allocation[[#This Row],[Delivery ID]],Delivery[[Delivery ID]:[Quantity delivered]],3,FALSE)</f>
        <v>0.94942807625649916</v>
      </c>
      <c r="V1757" s="34" t="e">
        <f>VLOOKUP(Allocation[[#This Row],[SAP Contract number]],Shipments[[SAP Contract number]:[Contracted container weight]],2,FALSE)</f>
        <v>#N/A</v>
      </c>
      <c r="W1757" s="34" t="e">
        <f>VLOOKUP(Allocation[[#This Row],[SAP Contract number]],Shipments[[SAP Contract number]:[AAA Premium USD]],24,FALSE)</f>
        <v>#N/A</v>
      </c>
      <c r="X1757" s="34" t="e">
        <f>VLOOKUP(Allocation[[#This Row],[SAP Contract number]],Shipments[[SAP Contract number]:[RA Premium USD]],25,FALSE)</f>
        <v>#N/A</v>
      </c>
      <c r="Y1757" s="38">
        <f>Allocation[[#This Row],[Quantity Processed]]/Allocation[[#This Row],[Quantity allocated]]</f>
        <v>2.2727663230240549</v>
      </c>
      <c r="Z1757" s="34" t="b">
        <f>Allocation[[#This Row],[Quantity allocated]]&lt;=Allocation[[#This Row],[Quantity Processed]]</f>
        <v>1</v>
      </c>
    </row>
    <row r="1758" spans="1:26">
      <c r="A1758" s="247" t="s">
        <v>467</v>
      </c>
      <c r="B1758" s="210" t="s">
        <v>68</v>
      </c>
      <c r="C1758" s="254" t="s">
        <v>1036</v>
      </c>
      <c r="D1758" s="255">
        <v>4376</v>
      </c>
      <c r="E1758" s="211" t="s">
        <v>1914</v>
      </c>
      <c r="F1758" s="212">
        <v>43542</v>
      </c>
      <c r="G1758" s="213">
        <v>2.62</v>
      </c>
      <c r="H1758" s="256">
        <v>1717</v>
      </c>
      <c r="I1758" s="214">
        <v>1453747</v>
      </c>
      <c r="J1758" s="215">
        <v>19175</v>
      </c>
      <c r="K1758" s="212">
        <v>43595</v>
      </c>
      <c r="L1758" s="211" t="s">
        <v>1331</v>
      </c>
      <c r="M1758" s="216">
        <v>4615506885</v>
      </c>
      <c r="N1758" s="212">
        <v>43614</v>
      </c>
      <c r="O1758" s="217">
        <v>3.9746999999999999</v>
      </c>
      <c r="P1758" s="219"/>
      <c r="Q1758" s="34">
        <f>SUMIF(Allocation[Delivery ID],Allocation[[#This Row],[Delivery ID]],Allocation[Quantity Processed])</f>
        <v>10162</v>
      </c>
      <c r="R1758" s="61">
        <f>Allocation[[#This Row],[Total volume used]]/VLOOKUP(Allocation[[#This Row],[Delivery ID]],Delivery[[Delivery ID]:[Quantity delivered]],3,FALSE)</f>
        <v>1</v>
      </c>
      <c r="S1758" s="34">
        <f>Allocation[[#This Row],[Quantity Processed]]/Allocation[[#This Row],[Dilution rate]]</f>
        <v>1670.2290076335878</v>
      </c>
      <c r="T1758" s="59">
        <f>SUMIF(Allocation[Delivery ID],Allocation[[#This Row],[Delivery ID]],Allocation[Quantity allocated])/SUMIF(Allocation[Delivery ID],Allocation[[#This Row],[Delivery ID]],Allocation[Volume available (kg)])</f>
        <v>1.0414866657464668</v>
      </c>
      <c r="U1758" s="61">
        <f>Allocation[[#This Row],[Total volume used]]/VLOOKUP(Allocation[[#This Row],[Delivery ID]],Delivery[[Delivery ID]:[Quantity delivered]],3,FALSE)</f>
        <v>1</v>
      </c>
      <c r="V1758" s="34" t="e">
        <f>VLOOKUP(Allocation[[#This Row],[SAP Contract number]],Shipments[[SAP Contract number]:[Contracted container weight]],2,FALSE)</f>
        <v>#N/A</v>
      </c>
      <c r="W1758" s="34" t="e">
        <f>VLOOKUP(Allocation[[#This Row],[SAP Contract number]],Shipments[[SAP Contract number]:[AAA Premium USD]],24,FALSE)</f>
        <v>#N/A</v>
      </c>
      <c r="X1758" s="34" t="e">
        <f>VLOOKUP(Allocation[[#This Row],[SAP Contract number]],Shipments[[SAP Contract number]:[RA Premium USD]],25,FALSE)</f>
        <v>#N/A</v>
      </c>
      <c r="Y1758" s="38">
        <f>Allocation[[#This Row],[Quantity Processed]]/Allocation[[#This Row],[Quantity allocated]]</f>
        <v>2.5486313337216076</v>
      </c>
      <c r="Z1758" s="34" t="b">
        <f>Allocation[[#This Row],[Quantity allocated]]&lt;=Allocation[[#This Row],[Quantity Processed]]</f>
        <v>1</v>
      </c>
    </row>
    <row r="1759" spans="1:26">
      <c r="A1759" s="247" t="s">
        <v>467</v>
      </c>
      <c r="B1759" s="210" t="s">
        <v>68</v>
      </c>
      <c r="C1759" s="254" t="s">
        <v>1037</v>
      </c>
      <c r="D1759" s="255">
        <v>1696</v>
      </c>
      <c r="E1759" s="211" t="s">
        <v>1914</v>
      </c>
      <c r="F1759" s="212">
        <v>43542</v>
      </c>
      <c r="G1759" s="213">
        <v>2.62</v>
      </c>
      <c r="H1759" s="256">
        <v>780</v>
      </c>
      <c r="I1759" s="214">
        <v>1453747</v>
      </c>
      <c r="J1759" s="215">
        <v>19175</v>
      </c>
      <c r="K1759" s="212">
        <v>43595</v>
      </c>
      <c r="L1759" s="211" t="s">
        <v>1331</v>
      </c>
      <c r="M1759" s="216">
        <v>4615506885</v>
      </c>
      <c r="N1759" s="212">
        <v>43614</v>
      </c>
      <c r="O1759" s="217">
        <v>3.9746999999999999</v>
      </c>
      <c r="P1759" s="219"/>
      <c r="Q1759" s="34">
        <f>SUMIF(Allocation[Delivery ID],Allocation[[#This Row],[Delivery ID]],Allocation[Quantity Processed])</f>
        <v>8667</v>
      </c>
      <c r="R1759" s="61">
        <f>Allocation[[#This Row],[Total volume used]]/VLOOKUP(Allocation[[#This Row],[Delivery ID]],Delivery[[Delivery ID]:[Quantity delivered]],3,FALSE)</f>
        <v>0.89623080502559327</v>
      </c>
      <c r="S1759" s="34">
        <f>Allocation[[#This Row],[Quantity Processed]]/Allocation[[#This Row],[Dilution rate]]</f>
        <v>647.32824427480909</v>
      </c>
      <c r="T1759" s="59">
        <f>SUMIF(Allocation[Delivery ID],Allocation[[#This Row],[Delivery ID]],Allocation[Quantity allocated])/SUMIF(Allocation[Delivery ID],Allocation[[#This Row],[Delivery ID]],Allocation[Volume available (kg)])</f>
        <v>1.1488915260962267</v>
      </c>
      <c r="U1759" s="61">
        <f>Allocation[[#This Row],[Total volume used]]/VLOOKUP(Allocation[[#This Row],[Delivery ID]],Delivery[[Delivery ID]:[Quantity delivered]],3,FALSE)</f>
        <v>0.89623080502559327</v>
      </c>
      <c r="V1759" s="34" t="e">
        <f>VLOOKUP(Allocation[[#This Row],[SAP Contract number]],Shipments[[SAP Contract number]:[Contracted container weight]],2,FALSE)</f>
        <v>#N/A</v>
      </c>
      <c r="W1759" s="34" t="e">
        <f>VLOOKUP(Allocation[[#This Row],[SAP Contract number]],Shipments[[SAP Contract number]:[AAA Premium USD]],24,FALSE)</f>
        <v>#N/A</v>
      </c>
      <c r="X1759" s="34" t="e">
        <f>VLOOKUP(Allocation[[#This Row],[SAP Contract number]],Shipments[[SAP Contract number]:[RA Premium USD]],25,FALSE)</f>
        <v>#N/A</v>
      </c>
      <c r="Y1759" s="38">
        <f>Allocation[[#This Row],[Quantity Processed]]/Allocation[[#This Row],[Quantity allocated]]</f>
        <v>2.1743589743589742</v>
      </c>
      <c r="Z1759" s="34" t="b">
        <f>Allocation[[#This Row],[Quantity allocated]]&lt;=Allocation[[#This Row],[Quantity Processed]]</f>
        <v>1</v>
      </c>
    </row>
    <row r="1760" spans="1:26">
      <c r="A1760" s="247" t="s">
        <v>467</v>
      </c>
      <c r="B1760" s="210" t="s">
        <v>68</v>
      </c>
      <c r="C1760" s="254" t="s">
        <v>1039</v>
      </c>
      <c r="D1760" s="255">
        <v>1960</v>
      </c>
      <c r="E1760" s="211" t="s">
        <v>1914</v>
      </c>
      <c r="F1760" s="212">
        <v>43542</v>
      </c>
      <c r="G1760" s="213">
        <v>2.62</v>
      </c>
      <c r="H1760" s="256">
        <v>784</v>
      </c>
      <c r="I1760" s="214">
        <v>1453747</v>
      </c>
      <c r="J1760" s="215">
        <v>19175</v>
      </c>
      <c r="K1760" s="212">
        <v>43595</v>
      </c>
      <c r="L1760" s="211" t="s">
        <v>1331</v>
      </c>
      <c r="M1760" s="216">
        <v>4615506885</v>
      </c>
      <c r="N1760" s="212">
        <v>43614</v>
      </c>
      <c r="O1760" s="217">
        <v>3.9746999999999999</v>
      </c>
      <c r="P1760" s="219"/>
      <c r="Q1760" s="34">
        <f>SUMIF(Allocation[Delivery ID],Allocation[[#This Row],[Delivery ID]],Allocation[Quantity Processed])</f>
        <v>9713</v>
      </c>
      <c r="R1760" s="61">
        <f>Allocation[[#This Row],[Total volume used]]/VLOOKUP(Allocation[[#This Row],[Delivery ID]],Delivery[[Delivery ID]:[Quantity delivered]],3,FALSE)</f>
        <v>1</v>
      </c>
      <c r="S1760" s="34">
        <f>Allocation[[#This Row],[Quantity Processed]]/Allocation[[#This Row],[Dilution rate]]</f>
        <v>748.09160305343505</v>
      </c>
      <c r="T1760" s="59">
        <f>SUMIF(Allocation[Delivery ID],Allocation[[#This Row],[Delivery ID]],Allocation[Quantity allocated])/SUMIF(Allocation[Delivery ID],Allocation[[#This Row],[Delivery ID]],Allocation[Volume available (kg)])</f>
        <v>0.99890031407161339</v>
      </c>
      <c r="U1760" s="61">
        <f>Allocation[[#This Row],[Total volume used]]/VLOOKUP(Allocation[[#This Row],[Delivery ID]],Delivery[[Delivery ID]:[Quantity delivered]],3,FALSE)</f>
        <v>1</v>
      </c>
      <c r="V1760" s="34" t="e">
        <f>VLOOKUP(Allocation[[#This Row],[SAP Contract number]],Shipments[[SAP Contract number]:[Contracted container weight]],2,FALSE)</f>
        <v>#N/A</v>
      </c>
      <c r="W1760" s="34" t="e">
        <f>VLOOKUP(Allocation[[#This Row],[SAP Contract number]],Shipments[[SAP Contract number]:[AAA Premium USD]],24,FALSE)</f>
        <v>#N/A</v>
      </c>
      <c r="X1760" s="34" t="e">
        <f>VLOOKUP(Allocation[[#This Row],[SAP Contract number]],Shipments[[SAP Contract number]:[RA Premium USD]],25,FALSE)</f>
        <v>#N/A</v>
      </c>
      <c r="Y1760" s="38">
        <f>Allocation[[#This Row],[Quantity Processed]]/Allocation[[#This Row],[Quantity allocated]]</f>
        <v>2.5</v>
      </c>
      <c r="Z1760" s="34" t="b">
        <f>Allocation[[#This Row],[Quantity allocated]]&lt;=Allocation[[#This Row],[Quantity Processed]]</f>
        <v>1</v>
      </c>
    </row>
    <row r="1761" spans="1:26">
      <c r="A1761" s="247" t="s">
        <v>467</v>
      </c>
      <c r="B1761" s="210" t="s">
        <v>68</v>
      </c>
      <c r="C1761" s="254" t="s">
        <v>1041</v>
      </c>
      <c r="D1761" s="255">
        <v>602</v>
      </c>
      <c r="E1761" s="211" t="s">
        <v>1914</v>
      </c>
      <c r="F1761" s="212">
        <v>43542</v>
      </c>
      <c r="G1761" s="213">
        <v>2.62</v>
      </c>
      <c r="H1761" s="256">
        <v>200</v>
      </c>
      <c r="I1761" s="214">
        <v>1453747</v>
      </c>
      <c r="J1761" s="215">
        <v>19175</v>
      </c>
      <c r="K1761" s="212">
        <v>43595</v>
      </c>
      <c r="L1761" s="211" t="s">
        <v>1331</v>
      </c>
      <c r="M1761" s="216">
        <v>4615506885</v>
      </c>
      <c r="N1761" s="212">
        <v>43614</v>
      </c>
      <c r="O1761" s="217">
        <v>3.9746999999999999</v>
      </c>
      <c r="P1761" s="219"/>
      <c r="Q1761" s="34">
        <f>SUMIF(Allocation[Delivery ID],Allocation[[#This Row],[Delivery ID]],Allocation[Quantity Processed])</f>
        <v>12665</v>
      </c>
      <c r="R1761" s="61">
        <f>Allocation[[#This Row],[Total volume used]]/VLOOKUP(Allocation[[#This Row],[Delivery ID]],Delivery[[Delivery ID]:[Quantity delivered]],3,FALSE)</f>
        <v>1</v>
      </c>
      <c r="S1761" s="34">
        <f>Allocation[[#This Row],[Quantity Processed]]/Allocation[[#This Row],[Dilution rate]]</f>
        <v>229.7709923664122</v>
      </c>
      <c r="T1761" s="59">
        <f>SUMIF(Allocation[Delivery ID],Allocation[[#This Row],[Delivery ID]],Allocation[Quantity allocated])/SUMIF(Allocation[Delivery ID],Allocation[[#This Row],[Delivery ID]],Allocation[Volume available (kg)])</f>
        <v>0.81590882258219166</v>
      </c>
      <c r="U1761" s="61">
        <f>Allocation[[#This Row],[Total volume used]]/VLOOKUP(Allocation[[#This Row],[Delivery ID]],Delivery[[Delivery ID]:[Quantity delivered]],3,FALSE)</f>
        <v>1</v>
      </c>
      <c r="V1761" s="34" t="e">
        <f>VLOOKUP(Allocation[[#This Row],[SAP Contract number]],Shipments[[SAP Contract number]:[Contracted container weight]],2,FALSE)</f>
        <v>#N/A</v>
      </c>
      <c r="W1761" s="34" t="e">
        <f>VLOOKUP(Allocation[[#This Row],[SAP Contract number]],Shipments[[SAP Contract number]:[AAA Premium USD]],24,FALSE)</f>
        <v>#N/A</v>
      </c>
      <c r="X1761" s="34" t="e">
        <f>VLOOKUP(Allocation[[#This Row],[SAP Contract number]],Shipments[[SAP Contract number]:[RA Premium USD]],25,FALSE)</f>
        <v>#N/A</v>
      </c>
      <c r="Y1761" s="38">
        <f>Allocation[[#This Row],[Quantity Processed]]/Allocation[[#This Row],[Quantity allocated]]</f>
        <v>3.01</v>
      </c>
      <c r="Z1761" s="34" t="b">
        <f>Allocation[[#This Row],[Quantity allocated]]&lt;=Allocation[[#This Row],[Quantity Processed]]</f>
        <v>1</v>
      </c>
    </row>
    <row r="1762" spans="1:26">
      <c r="A1762" s="247" t="s">
        <v>467</v>
      </c>
      <c r="B1762" s="210" t="s">
        <v>68</v>
      </c>
      <c r="C1762" s="254" t="s">
        <v>1042</v>
      </c>
      <c r="D1762" s="255">
        <v>780.5</v>
      </c>
      <c r="E1762" s="211" t="s">
        <v>1914</v>
      </c>
      <c r="F1762" s="212">
        <v>43542</v>
      </c>
      <c r="G1762" s="213">
        <v>2.62</v>
      </c>
      <c r="H1762" s="256">
        <v>260</v>
      </c>
      <c r="I1762" s="214">
        <v>1453747</v>
      </c>
      <c r="J1762" s="215">
        <v>19175</v>
      </c>
      <c r="K1762" s="212">
        <v>43595</v>
      </c>
      <c r="L1762" s="211" t="s">
        <v>1331</v>
      </c>
      <c r="M1762" s="216">
        <v>4615506885</v>
      </c>
      <c r="N1762" s="212">
        <v>43614</v>
      </c>
      <c r="O1762" s="217">
        <v>3.9746999999999999</v>
      </c>
      <c r="P1762" s="219"/>
      <c r="Q1762" s="34">
        <f>SUMIF(Allocation[Delivery ID],Allocation[[#This Row],[Delivery ID]],Allocation[Quantity Processed])</f>
        <v>16416.5</v>
      </c>
      <c r="R1762" s="61">
        <f>Allocation[[#This Row],[Total volume used]]/VLOOKUP(Allocation[[#This Row],[Delivery ID]],Delivery[[Delivery ID]:[Quantity delivered]],3,FALSE)</f>
        <v>1</v>
      </c>
      <c r="S1762" s="34">
        <f>Allocation[[#This Row],[Quantity Processed]]/Allocation[[#This Row],[Dilution rate]]</f>
        <v>297.90076335877859</v>
      </c>
      <c r="T1762" s="59">
        <f>SUMIF(Allocation[Delivery ID],Allocation[[#This Row],[Delivery ID]],Allocation[Quantity allocated])/SUMIF(Allocation[Delivery ID],Allocation[[#This Row],[Delivery ID]],Allocation[Volume available (kg)])</f>
        <v>0.81599988935082768</v>
      </c>
      <c r="U1762" s="61">
        <f>Allocation[[#This Row],[Total volume used]]/VLOOKUP(Allocation[[#This Row],[Delivery ID]],Delivery[[Delivery ID]:[Quantity delivered]],3,FALSE)</f>
        <v>1</v>
      </c>
      <c r="V1762" s="34" t="e">
        <f>VLOOKUP(Allocation[[#This Row],[SAP Contract number]],Shipments[[SAP Contract number]:[Contracted container weight]],2,FALSE)</f>
        <v>#N/A</v>
      </c>
      <c r="W1762" s="34" t="e">
        <f>VLOOKUP(Allocation[[#This Row],[SAP Contract number]],Shipments[[SAP Contract number]:[AAA Premium USD]],24,FALSE)</f>
        <v>#N/A</v>
      </c>
      <c r="X1762" s="34" t="e">
        <f>VLOOKUP(Allocation[[#This Row],[SAP Contract number]],Shipments[[SAP Contract number]:[RA Premium USD]],25,FALSE)</f>
        <v>#N/A</v>
      </c>
      <c r="Y1762" s="38">
        <f>Allocation[[#This Row],[Quantity Processed]]/Allocation[[#This Row],[Quantity allocated]]</f>
        <v>3.0019230769230769</v>
      </c>
      <c r="Z1762" s="34" t="b">
        <f>Allocation[[#This Row],[Quantity allocated]]&lt;=Allocation[[#This Row],[Quantity Processed]]</f>
        <v>1</v>
      </c>
    </row>
    <row r="1763" spans="1:26">
      <c r="A1763" s="247" t="s">
        <v>467</v>
      </c>
      <c r="B1763" s="210" t="s">
        <v>68</v>
      </c>
      <c r="C1763" s="254" t="s">
        <v>1043</v>
      </c>
      <c r="D1763" s="255">
        <v>1350</v>
      </c>
      <c r="E1763" s="211" t="s">
        <v>1914</v>
      </c>
      <c r="F1763" s="212">
        <v>43542</v>
      </c>
      <c r="G1763" s="213">
        <v>2.62</v>
      </c>
      <c r="H1763" s="256">
        <v>460</v>
      </c>
      <c r="I1763" s="214">
        <v>1453747</v>
      </c>
      <c r="J1763" s="215">
        <v>19175</v>
      </c>
      <c r="K1763" s="212">
        <v>43595</v>
      </c>
      <c r="L1763" s="211" t="s">
        <v>1331</v>
      </c>
      <c r="M1763" s="216">
        <v>4615506885</v>
      </c>
      <c r="N1763" s="212">
        <v>43614</v>
      </c>
      <c r="O1763" s="217">
        <v>3.9746999999999999</v>
      </c>
      <c r="P1763" s="219"/>
      <c r="Q1763" s="34">
        <f>SUMIF(Allocation[Delivery ID],Allocation[[#This Row],[Delivery ID]],Allocation[Quantity Processed])</f>
        <v>20140</v>
      </c>
      <c r="R1763" s="61">
        <f>Allocation[[#This Row],[Total volume used]]/VLOOKUP(Allocation[[#This Row],[Delivery ID]],Delivery[[Delivery ID]:[Quantity delivered]],3,FALSE)</f>
        <v>1</v>
      </c>
      <c r="S1763" s="34">
        <f>Allocation[[#This Row],[Quantity Processed]]/Allocation[[#This Row],[Dilution rate]]</f>
        <v>515.26717557251902</v>
      </c>
      <c r="T1763" s="59">
        <f>SUMIF(Allocation[Delivery ID],Allocation[[#This Row],[Delivery ID]],Allocation[Quantity allocated])/SUMIF(Allocation[Delivery ID],Allocation[[#This Row],[Delivery ID]],Allocation[Volume available (kg)])</f>
        <v>0.8401933700928752</v>
      </c>
      <c r="U1763" s="61">
        <f>Allocation[[#This Row],[Total volume used]]/VLOOKUP(Allocation[[#This Row],[Delivery ID]],Delivery[[Delivery ID]:[Quantity delivered]],3,FALSE)</f>
        <v>1</v>
      </c>
      <c r="V1763" s="34" t="e">
        <f>VLOOKUP(Allocation[[#This Row],[SAP Contract number]],Shipments[[SAP Contract number]:[Contracted container weight]],2,FALSE)</f>
        <v>#N/A</v>
      </c>
      <c r="W1763" s="34" t="e">
        <f>VLOOKUP(Allocation[[#This Row],[SAP Contract number]],Shipments[[SAP Contract number]:[AAA Premium USD]],24,FALSE)</f>
        <v>#N/A</v>
      </c>
      <c r="X1763" s="34" t="e">
        <f>VLOOKUP(Allocation[[#This Row],[SAP Contract number]],Shipments[[SAP Contract number]:[RA Premium USD]],25,FALSE)</f>
        <v>#N/A</v>
      </c>
      <c r="Y1763" s="38">
        <f>Allocation[[#This Row],[Quantity Processed]]/Allocation[[#This Row],[Quantity allocated]]</f>
        <v>2.9347826086956523</v>
      </c>
      <c r="Z1763" s="34" t="b">
        <f>Allocation[[#This Row],[Quantity allocated]]&lt;=Allocation[[#This Row],[Quantity Processed]]</f>
        <v>1</v>
      </c>
    </row>
    <row r="1764" spans="1:26">
      <c r="A1764" s="247" t="s">
        <v>467</v>
      </c>
      <c r="B1764" s="210" t="s">
        <v>68</v>
      </c>
      <c r="C1764" s="254" t="s">
        <v>1046</v>
      </c>
      <c r="D1764" s="255">
        <v>2952</v>
      </c>
      <c r="E1764" s="211" t="s">
        <v>1914</v>
      </c>
      <c r="F1764" s="212">
        <v>43542</v>
      </c>
      <c r="G1764" s="213">
        <v>2.62</v>
      </c>
      <c r="H1764" s="256">
        <v>1358</v>
      </c>
      <c r="I1764" s="214">
        <v>1453747</v>
      </c>
      <c r="J1764" s="215">
        <v>19175</v>
      </c>
      <c r="K1764" s="212">
        <v>43595</v>
      </c>
      <c r="L1764" s="211" t="s">
        <v>1331</v>
      </c>
      <c r="M1764" s="216">
        <v>4615506885</v>
      </c>
      <c r="N1764" s="212">
        <v>43614</v>
      </c>
      <c r="O1764" s="217">
        <v>3.9746999999999999</v>
      </c>
      <c r="P1764" s="219"/>
      <c r="Q1764" s="34">
        <f>SUMIF(Allocation[Delivery ID],Allocation[[#This Row],[Delivery ID]],Allocation[Quantity Processed])</f>
        <v>15124</v>
      </c>
      <c r="R1764" s="61">
        <f>Allocation[[#This Row],[Total volume used]]/VLOOKUP(Allocation[[#This Row],[Delivery ID]],Delivery[[Delivery ID]:[Quantity delivered]],3,FALSE)</f>
        <v>0.89879360551494625</v>
      </c>
      <c r="S1764" s="34">
        <f>Allocation[[#This Row],[Quantity Processed]]/Allocation[[#This Row],[Dilution rate]]</f>
        <v>1126.7175572519084</v>
      </c>
      <c r="T1764" s="59">
        <f>SUMIF(Allocation[Delivery ID],Allocation[[#This Row],[Delivery ID]],Allocation[Quantity allocated])/SUMIF(Allocation[Delivery ID],Allocation[[#This Row],[Delivery ID]],Allocation[Volume available (kg)])</f>
        <v>1.1481700980151472</v>
      </c>
      <c r="U1764" s="61">
        <f>Allocation[[#This Row],[Total volume used]]/VLOOKUP(Allocation[[#This Row],[Delivery ID]],Delivery[[Delivery ID]:[Quantity delivered]],3,FALSE)</f>
        <v>0.89879360551494625</v>
      </c>
      <c r="V1764" s="34" t="e">
        <f>VLOOKUP(Allocation[[#This Row],[SAP Contract number]],Shipments[[SAP Contract number]:[Contracted container weight]],2,FALSE)</f>
        <v>#N/A</v>
      </c>
      <c r="W1764" s="34" t="e">
        <f>VLOOKUP(Allocation[[#This Row],[SAP Contract number]],Shipments[[SAP Contract number]:[AAA Premium USD]],24,FALSE)</f>
        <v>#N/A</v>
      </c>
      <c r="X1764" s="34" t="e">
        <f>VLOOKUP(Allocation[[#This Row],[SAP Contract number]],Shipments[[SAP Contract number]:[RA Premium USD]],25,FALSE)</f>
        <v>#N/A</v>
      </c>
      <c r="Y1764" s="38">
        <f>Allocation[[#This Row],[Quantity Processed]]/Allocation[[#This Row],[Quantity allocated]]</f>
        <v>2.1737849779086891</v>
      </c>
      <c r="Z1764" s="34" t="b">
        <f>Allocation[[#This Row],[Quantity allocated]]&lt;=Allocation[[#This Row],[Quantity Processed]]</f>
        <v>1</v>
      </c>
    </row>
    <row r="1765" spans="1:26">
      <c r="A1765" s="247" t="s">
        <v>467</v>
      </c>
      <c r="B1765" s="210" t="s">
        <v>68</v>
      </c>
      <c r="C1765" s="254" t="s">
        <v>1047</v>
      </c>
      <c r="D1765" s="255">
        <v>3486</v>
      </c>
      <c r="E1765" s="211" t="s">
        <v>1914</v>
      </c>
      <c r="F1765" s="212">
        <v>43542</v>
      </c>
      <c r="G1765" s="213">
        <v>2.62</v>
      </c>
      <c r="H1765" s="256">
        <v>1464</v>
      </c>
      <c r="I1765" s="214">
        <v>1453747</v>
      </c>
      <c r="J1765" s="215">
        <v>19175</v>
      </c>
      <c r="K1765" s="212">
        <v>43595</v>
      </c>
      <c r="L1765" s="211" t="s">
        <v>1331</v>
      </c>
      <c r="M1765" s="216">
        <v>4615506885</v>
      </c>
      <c r="N1765" s="212">
        <v>43614</v>
      </c>
      <c r="O1765" s="217">
        <v>3.9746999999999999</v>
      </c>
      <c r="P1765" s="219"/>
      <c r="Q1765" s="34">
        <f>SUMIF(Allocation[Delivery ID],Allocation[[#This Row],[Delivery ID]],Allocation[Quantity Processed])</f>
        <v>18140</v>
      </c>
      <c r="R1765" s="61">
        <f>Allocation[[#This Row],[Total volume used]]/VLOOKUP(Allocation[[#This Row],[Delivery ID]],Delivery[[Delivery ID]:[Quantity delivered]],3,FALSE)</f>
        <v>1</v>
      </c>
      <c r="S1765" s="34">
        <f>Allocation[[#This Row],[Quantity Processed]]/Allocation[[#This Row],[Dilution rate]]</f>
        <v>1330.534351145038</v>
      </c>
      <c r="T1765" s="59">
        <f>SUMIF(Allocation[Delivery ID],Allocation[[#This Row],[Delivery ID]],Allocation[Quantity allocated])/SUMIF(Allocation[Delivery ID],Allocation[[#This Row],[Delivery ID]],Allocation[Volume available (kg)])</f>
        <v>1.0487957952321874</v>
      </c>
      <c r="U1765" s="61">
        <f>Allocation[[#This Row],[Total volume used]]/VLOOKUP(Allocation[[#This Row],[Delivery ID]],Delivery[[Delivery ID]:[Quantity delivered]],3,FALSE)</f>
        <v>1</v>
      </c>
      <c r="V1765" s="34" t="e">
        <f>VLOOKUP(Allocation[[#This Row],[SAP Contract number]],Shipments[[SAP Contract number]:[Contracted container weight]],2,FALSE)</f>
        <v>#N/A</v>
      </c>
      <c r="W1765" s="34" t="e">
        <f>VLOOKUP(Allocation[[#This Row],[SAP Contract number]],Shipments[[SAP Contract number]:[AAA Premium USD]],24,FALSE)</f>
        <v>#N/A</v>
      </c>
      <c r="X1765" s="34" t="e">
        <f>VLOOKUP(Allocation[[#This Row],[SAP Contract number]],Shipments[[SAP Contract number]:[RA Premium USD]],25,FALSE)</f>
        <v>#N/A</v>
      </c>
      <c r="Y1765" s="38">
        <f>Allocation[[#This Row],[Quantity Processed]]/Allocation[[#This Row],[Quantity allocated]]</f>
        <v>2.3811475409836067</v>
      </c>
      <c r="Z1765" s="34" t="b">
        <f>Allocation[[#This Row],[Quantity allocated]]&lt;=Allocation[[#This Row],[Quantity Processed]]</f>
        <v>1</v>
      </c>
    </row>
    <row r="1766" spans="1:26">
      <c r="A1766" s="247" t="s">
        <v>467</v>
      </c>
      <c r="B1766" s="210" t="s">
        <v>68</v>
      </c>
      <c r="C1766" s="254" t="s">
        <v>1048</v>
      </c>
      <c r="D1766" s="255">
        <v>99</v>
      </c>
      <c r="E1766" s="211" t="s">
        <v>1914</v>
      </c>
      <c r="F1766" s="212">
        <v>43542</v>
      </c>
      <c r="G1766" s="213">
        <v>2.62</v>
      </c>
      <c r="H1766" s="256">
        <v>38</v>
      </c>
      <c r="I1766" s="214">
        <v>1453747</v>
      </c>
      <c r="J1766" s="215">
        <v>19175</v>
      </c>
      <c r="K1766" s="212">
        <v>43595</v>
      </c>
      <c r="L1766" s="211" t="s">
        <v>1331</v>
      </c>
      <c r="M1766" s="216">
        <v>4615506885</v>
      </c>
      <c r="N1766" s="212">
        <v>43614</v>
      </c>
      <c r="O1766" s="217">
        <v>3.9746999999999999</v>
      </c>
      <c r="P1766" s="219"/>
      <c r="Q1766" s="34">
        <f>SUMIF(Allocation[Delivery ID],Allocation[[#This Row],[Delivery ID]],Allocation[Quantity Processed])</f>
        <v>12002</v>
      </c>
      <c r="R1766" s="61">
        <f>Allocation[[#This Row],[Total volume used]]/VLOOKUP(Allocation[[#This Row],[Delivery ID]],Delivery[[Delivery ID]:[Quantity delivered]],3,FALSE)</f>
        <v>1</v>
      </c>
      <c r="S1766" s="34">
        <f>Allocation[[#This Row],[Quantity Processed]]/Allocation[[#This Row],[Dilution rate]]</f>
        <v>37.786259541984734</v>
      </c>
      <c r="T1766" s="59">
        <f>SUMIF(Allocation[Delivery ID],Allocation[[#This Row],[Delivery ID]],Allocation[Quantity allocated])/SUMIF(Allocation[Delivery ID],Allocation[[#This Row],[Delivery ID]],Allocation[Volume available (kg)])</f>
        <v>0.78353734344791937</v>
      </c>
      <c r="U1766" s="61">
        <f>Allocation[[#This Row],[Total volume used]]/VLOOKUP(Allocation[[#This Row],[Delivery ID]],Delivery[[Delivery ID]:[Quantity delivered]],3,FALSE)</f>
        <v>1</v>
      </c>
      <c r="V1766" s="34" t="e">
        <f>VLOOKUP(Allocation[[#This Row],[SAP Contract number]],Shipments[[SAP Contract number]:[Contracted container weight]],2,FALSE)</f>
        <v>#N/A</v>
      </c>
      <c r="W1766" s="34" t="e">
        <f>VLOOKUP(Allocation[[#This Row],[SAP Contract number]],Shipments[[SAP Contract number]:[AAA Premium USD]],24,FALSE)</f>
        <v>#N/A</v>
      </c>
      <c r="X1766" s="34" t="e">
        <f>VLOOKUP(Allocation[[#This Row],[SAP Contract number]],Shipments[[SAP Contract number]:[RA Premium USD]],25,FALSE)</f>
        <v>#N/A</v>
      </c>
      <c r="Y1766" s="38">
        <f>Allocation[[#This Row],[Quantity Processed]]/Allocation[[#This Row],[Quantity allocated]]</f>
        <v>2.6052631578947367</v>
      </c>
      <c r="Z1766" s="34" t="b">
        <f>Allocation[[#This Row],[Quantity allocated]]&lt;=Allocation[[#This Row],[Quantity Processed]]</f>
        <v>1</v>
      </c>
    </row>
    <row r="1767" spans="1:26">
      <c r="A1767" s="247" t="s">
        <v>467</v>
      </c>
      <c r="B1767" s="210" t="s">
        <v>68</v>
      </c>
      <c r="C1767" s="254" t="s">
        <v>1652</v>
      </c>
      <c r="D1767" s="255">
        <v>587</v>
      </c>
      <c r="E1767" s="211" t="s">
        <v>1914</v>
      </c>
      <c r="F1767" s="212">
        <v>43542</v>
      </c>
      <c r="G1767" s="213">
        <v>2.62</v>
      </c>
      <c r="H1767" s="256">
        <v>264</v>
      </c>
      <c r="I1767" s="214">
        <v>1453747</v>
      </c>
      <c r="J1767" s="215">
        <v>19175</v>
      </c>
      <c r="K1767" s="212">
        <v>43595</v>
      </c>
      <c r="L1767" s="211" t="s">
        <v>1331</v>
      </c>
      <c r="M1767" s="216">
        <v>4615506885</v>
      </c>
      <c r="N1767" s="212">
        <v>43614</v>
      </c>
      <c r="O1767" s="217">
        <v>3.9746999999999999</v>
      </c>
      <c r="P1767" s="219"/>
      <c r="Q1767" s="34">
        <f>SUMIF(Allocation[Delivery ID],Allocation[[#This Row],[Delivery ID]],Allocation[Quantity Processed])</f>
        <v>19074</v>
      </c>
      <c r="R1767" s="61">
        <f>Allocation[[#This Row],[Total volume used]]/VLOOKUP(Allocation[[#This Row],[Delivery ID]],Delivery[[Delivery ID]:[Quantity delivered]],3,FALSE)</f>
        <v>0.61173829377806288</v>
      </c>
      <c r="S1767" s="34">
        <f>Allocation[[#This Row],[Quantity Processed]]/Allocation[[#This Row],[Dilution rate]]</f>
        <v>224.04580152671755</v>
      </c>
      <c r="T1767" s="59">
        <f>SUMIF(Allocation[Delivery ID],Allocation[[#This Row],[Delivery ID]],Allocation[Quantity allocated])/SUMIF(Allocation[Delivery ID],Allocation[[#This Row],[Delivery ID]],Allocation[Volume available (kg)])</f>
        <v>1.1408389842987046</v>
      </c>
      <c r="U1767" s="61">
        <f>Allocation[[#This Row],[Total volume used]]/VLOOKUP(Allocation[[#This Row],[Delivery ID]],Delivery[[Delivery ID]:[Quantity delivered]],3,FALSE)</f>
        <v>0.61173829377806288</v>
      </c>
      <c r="V1767" s="34" t="e">
        <f>VLOOKUP(Allocation[[#This Row],[SAP Contract number]],Shipments[[SAP Contract number]:[Contracted container weight]],2,FALSE)</f>
        <v>#N/A</v>
      </c>
      <c r="W1767" s="34" t="e">
        <f>VLOOKUP(Allocation[[#This Row],[SAP Contract number]],Shipments[[SAP Contract number]:[AAA Premium USD]],24,FALSE)</f>
        <v>#N/A</v>
      </c>
      <c r="X1767" s="34" t="e">
        <f>VLOOKUP(Allocation[[#This Row],[SAP Contract number]],Shipments[[SAP Contract number]:[RA Premium USD]],25,FALSE)</f>
        <v>#N/A</v>
      </c>
      <c r="Y1767" s="38">
        <f>Allocation[[#This Row],[Quantity Processed]]/Allocation[[#This Row],[Quantity allocated]]</f>
        <v>2.2234848484848486</v>
      </c>
      <c r="Z1767" s="34" t="b">
        <f>Allocation[[#This Row],[Quantity allocated]]&lt;=Allocation[[#This Row],[Quantity Processed]]</f>
        <v>1</v>
      </c>
    </row>
    <row r="1768" spans="1:26">
      <c r="A1768" s="247" t="s">
        <v>467</v>
      </c>
      <c r="B1768" s="210" t="s">
        <v>68</v>
      </c>
      <c r="C1768" s="254" t="s">
        <v>1654</v>
      </c>
      <c r="D1768" s="255">
        <v>705</v>
      </c>
      <c r="E1768" s="211" t="s">
        <v>1914</v>
      </c>
      <c r="F1768" s="212">
        <v>43542</v>
      </c>
      <c r="G1768" s="213">
        <v>2.62</v>
      </c>
      <c r="H1768" s="256">
        <v>268</v>
      </c>
      <c r="I1768" s="214">
        <v>1453747</v>
      </c>
      <c r="J1768" s="215">
        <v>19175</v>
      </c>
      <c r="K1768" s="212">
        <v>43595</v>
      </c>
      <c r="L1768" s="211" t="s">
        <v>1331</v>
      </c>
      <c r="M1768" s="216">
        <v>4615506885</v>
      </c>
      <c r="N1768" s="212">
        <v>43614</v>
      </c>
      <c r="O1768" s="217">
        <v>3.9746999999999999</v>
      </c>
      <c r="P1768" s="219"/>
      <c r="Q1768" s="34">
        <f>SUMIF(Allocation[Delivery ID],Allocation[[#This Row],[Delivery ID]],Allocation[Quantity Processed])</f>
        <v>29452</v>
      </c>
      <c r="R1768" s="61">
        <f>Allocation[[#This Row],[Total volume used]]/VLOOKUP(Allocation[[#This Row],[Delivery ID]],Delivery[[Delivery ID]:[Quantity delivered]],3,FALSE)</f>
        <v>0.9311413215301928</v>
      </c>
      <c r="S1768" s="34">
        <f>Allocation[[#This Row],[Quantity Processed]]/Allocation[[#This Row],[Dilution rate]]</f>
        <v>269.08396946564886</v>
      </c>
      <c r="T1768" s="59">
        <f>SUMIF(Allocation[Delivery ID],Allocation[[#This Row],[Delivery ID]],Allocation[Quantity allocated])/SUMIF(Allocation[Delivery ID],Allocation[[#This Row],[Delivery ID]],Allocation[Volume available (kg)])</f>
        <v>0.96872974165984982</v>
      </c>
      <c r="U1768" s="61">
        <f>Allocation[[#This Row],[Total volume used]]/VLOOKUP(Allocation[[#This Row],[Delivery ID]],Delivery[[Delivery ID]:[Quantity delivered]],3,FALSE)</f>
        <v>0.9311413215301928</v>
      </c>
      <c r="V1768" s="34" t="e">
        <f>VLOOKUP(Allocation[[#This Row],[SAP Contract number]],Shipments[[SAP Contract number]:[Contracted container weight]],2,FALSE)</f>
        <v>#N/A</v>
      </c>
      <c r="W1768" s="34" t="e">
        <f>VLOOKUP(Allocation[[#This Row],[SAP Contract number]],Shipments[[SAP Contract number]:[AAA Premium USD]],24,FALSE)</f>
        <v>#N/A</v>
      </c>
      <c r="X1768" s="34" t="e">
        <f>VLOOKUP(Allocation[[#This Row],[SAP Contract number]],Shipments[[SAP Contract number]:[RA Premium USD]],25,FALSE)</f>
        <v>#N/A</v>
      </c>
      <c r="Y1768" s="38">
        <f>Allocation[[#This Row],[Quantity Processed]]/Allocation[[#This Row],[Quantity allocated]]</f>
        <v>2.6305970149253732</v>
      </c>
      <c r="Z1768" s="34" t="b">
        <f>Allocation[[#This Row],[Quantity allocated]]&lt;=Allocation[[#This Row],[Quantity Processed]]</f>
        <v>1</v>
      </c>
    </row>
    <row r="1769" spans="1:26">
      <c r="A1769" s="247" t="s">
        <v>467</v>
      </c>
      <c r="B1769" s="210" t="s">
        <v>68</v>
      </c>
      <c r="C1769" s="254" t="s">
        <v>1657</v>
      </c>
      <c r="D1769" s="255">
        <v>309</v>
      </c>
      <c r="E1769" s="211" t="s">
        <v>1914</v>
      </c>
      <c r="F1769" s="212">
        <v>43542</v>
      </c>
      <c r="G1769" s="213">
        <v>2.62</v>
      </c>
      <c r="H1769" s="256">
        <v>102</v>
      </c>
      <c r="I1769" s="214">
        <v>1453747</v>
      </c>
      <c r="J1769" s="215">
        <v>19175</v>
      </c>
      <c r="K1769" s="212">
        <v>43595</v>
      </c>
      <c r="L1769" s="211" t="s">
        <v>1331</v>
      </c>
      <c r="M1769" s="216">
        <v>4615506885</v>
      </c>
      <c r="N1769" s="212">
        <v>43614</v>
      </c>
      <c r="O1769" s="217">
        <v>3.9746999999999999</v>
      </c>
      <c r="P1769" s="219"/>
      <c r="Q1769" s="34">
        <f>SUMIF(Allocation[Delivery ID],Allocation[[#This Row],[Delivery ID]],Allocation[Quantity Processed])</f>
        <v>1900</v>
      </c>
      <c r="R1769" s="61">
        <f>Allocation[[#This Row],[Total volume used]]/VLOOKUP(Allocation[[#This Row],[Delivery ID]],Delivery[[Delivery ID]:[Quantity delivered]],3,FALSE)</f>
        <v>0.15873015873015872</v>
      </c>
      <c r="S1769" s="34">
        <f>Allocation[[#This Row],[Quantity Processed]]/Allocation[[#This Row],[Dilution rate]]</f>
        <v>117.93893129770991</v>
      </c>
      <c r="T1769" s="59">
        <f>SUMIF(Allocation[Delivery ID],Allocation[[#This Row],[Delivery ID]],Allocation[Quantity allocated])/SUMIF(Allocation[Delivery ID],Allocation[[#This Row],[Delivery ID]],Allocation[Volume available (kg)])</f>
        <v>0.70582737111780935</v>
      </c>
      <c r="U1769" s="61">
        <f>Allocation[[#This Row],[Total volume used]]/VLOOKUP(Allocation[[#This Row],[Delivery ID]],Delivery[[Delivery ID]:[Quantity delivered]],3,FALSE)</f>
        <v>0.15873015873015872</v>
      </c>
      <c r="V1769" s="34" t="e">
        <f>VLOOKUP(Allocation[[#This Row],[SAP Contract number]],Shipments[[SAP Contract number]:[Contracted container weight]],2,FALSE)</f>
        <v>#N/A</v>
      </c>
      <c r="W1769" s="34" t="e">
        <f>VLOOKUP(Allocation[[#This Row],[SAP Contract number]],Shipments[[SAP Contract number]:[AAA Premium USD]],24,FALSE)</f>
        <v>#N/A</v>
      </c>
      <c r="X1769" s="34" t="e">
        <f>VLOOKUP(Allocation[[#This Row],[SAP Contract number]],Shipments[[SAP Contract number]:[RA Premium USD]],25,FALSE)</f>
        <v>#N/A</v>
      </c>
      <c r="Y1769" s="38">
        <f>Allocation[[#This Row],[Quantity Processed]]/Allocation[[#This Row],[Quantity allocated]]</f>
        <v>3.0294117647058822</v>
      </c>
      <c r="Z1769" s="34" t="b">
        <f>Allocation[[#This Row],[Quantity allocated]]&lt;=Allocation[[#This Row],[Quantity Processed]]</f>
        <v>1</v>
      </c>
    </row>
    <row r="1770" spans="1:26">
      <c r="A1770" s="247" t="s">
        <v>467</v>
      </c>
      <c r="B1770" s="210" t="s">
        <v>68</v>
      </c>
      <c r="C1770" s="254" t="s">
        <v>1658</v>
      </c>
      <c r="D1770" s="255">
        <v>770</v>
      </c>
      <c r="E1770" s="211" t="s">
        <v>1914</v>
      </c>
      <c r="F1770" s="212">
        <v>43542</v>
      </c>
      <c r="G1770" s="213">
        <v>2.62</v>
      </c>
      <c r="H1770" s="256">
        <v>254</v>
      </c>
      <c r="I1770" s="214">
        <v>1453747</v>
      </c>
      <c r="J1770" s="215">
        <v>19175</v>
      </c>
      <c r="K1770" s="212">
        <v>43595</v>
      </c>
      <c r="L1770" s="211" t="s">
        <v>1331</v>
      </c>
      <c r="M1770" s="216">
        <v>4615506885</v>
      </c>
      <c r="N1770" s="212">
        <v>43614</v>
      </c>
      <c r="O1770" s="217">
        <v>3.9746999999999999</v>
      </c>
      <c r="P1770" s="219"/>
      <c r="Q1770" s="34">
        <f>SUMIF(Allocation[Delivery ID],Allocation[[#This Row],[Delivery ID]],Allocation[Quantity Processed])</f>
        <v>24228</v>
      </c>
      <c r="R1770" s="61">
        <f>Allocation[[#This Row],[Total volume used]]/VLOOKUP(Allocation[[#This Row],[Delivery ID]],Delivery[[Delivery ID]:[Quantity delivered]],3,FALSE)</f>
        <v>0.80813875917278188</v>
      </c>
      <c r="S1770" s="34">
        <f>Allocation[[#This Row],[Quantity Processed]]/Allocation[[#This Row],[Dilution rate]]</f>
        <v>293.89312977099235</v>
      </c>
      <c r="T1770" s="59">
        <f>SUMIF(Allocation[Delivery ID],Allocation[[#This Row],[Delivery ID]],Allocation[Quantity allocated])/SUMIF(Allocation[Delivery ID],Allocation[[#This Row],[Delivery ID]],Allocation[Volume available (kg)])</f>
        <v>0.82514851771312481</v>
      </c>
      <c r="U1770" s="61">
        <f>Allocation[[#This Row],[Total volume used]]/VLOOKUP(Allocation[[#This Row],[Delivery ID]],Delivery[[Delivery ID]:[Quantity delivered]],3,FALSE)</f>
        <v>0.80813875917278188</v>
      </c>
      <c r="V1770" s="34" t="e">
        <f>VLOOKUP(Allocation[[#This Row],[SAP Contract number]],Shipments[[SAP Contract number]:[Contracted container weight]],2,FALSE)</f>
        <v>#N/A</v>
      </c>
      <c r="W1770" s="34" t="e">
        <f>VLOOKUP(Allocation[[#This Row],[SAP Contract number]],Shipments[[SAP Contract number]:[AAA Premium USD]],24,FALSE)</f>
        <v>#N/A</v>
      </c>
      <c r="X1770" s="34" t="e">
        <f>VLOOKUP(Allocation[[#This Row],[SAP Contract number]],Shipments[[SAP Contract number]:[RA Premium USD]],25,FALSE)</f>
        <v>#N/A</v>
      </c>
      <c r="Y1770" s="38">
        <f>Allocation[[#This Row],[Quantity Processed]]/Allocation[[#This Row],[Quantity allocated]]</f>
        <v>3.0314960629921259</v>
      </c>
      <c r="Z1770" s="34" t="b">
        <f>Allocation[[#This Row],[Quantity allocated]]&lt;=Allocation[[#This Row],[Quantity Processed]]</f>
        <v>1</v>
      </c>
    </row>
    <row r="1771" spans="1:26">
      <c r="A1771" s="247" t="s">
        <v>467</v>
      </c>
      <c r="B1771" s="210" t="s">
        <v>68</v>
      </c>
      <c r="C1771" s="254" t="s">
        <v>1659</v>
      </c>
      <c r="D1771" s="255">
        <v>74</v>
      </c>
      <c r="E1771" s="211" t="s">
        <v>1914</v>
      </c>
      <c r="F1771" s="212">
        <v>43542</v>
      </c>
      <c r="G1771" s="213">
        <v>2.62</v>
      </c>
      <c r="H1771" s="256">
        <v>28</v>
      </c>
      <c r="I1771" s="214">
        <v>1453747</v>
      </c>
      <c r="J1771" s="215">
        <v>19175</v>
      </c>
      <c r="K1771" s="212">
        <v>43595</v>
      </c>
      <c r="L1771" s="211" t="s">
        <v>1331</v>
      </c>
      <c r="M1771" s="216">
        <v>4615506885</v>
      </c>
      <c r="N1771" s="212">
        <v>43614</v>
      </c>
      <c r="O1771" s="217">
        <v>3.9746999999999999</v>
      </c>
      <c r="P1771" s="219"/>
      <c r="Q1771" s="34">
        <f>SUMIF(Allocation[Delivery ID],Allocation[[#This Row],[Delivery ID]],Allocation[Quantity Processed])</f>
        <v>729</v>
      </c>
      <c r="R1771" s="61">
        <f>Allocation[[#This Row],[Total volume used]]/VLOOKUP(Allocation[[#This Row],[Delivery ID]],Delivery[[Delivery ID]:[Quantity delivered]],3,FALSE)</f>
        <v>0.1208955223880597</v>
      </c>
      <c r="S1771" s="34">
        <f>Allocation[[#This Row],[Quantity Processed]]/Allocation[[#This Row],[Dilution rate]]</f>
        <v>28.244274809160306</v>
      </c>
      <c r="T1771" s="59">
        <f>SUMIF(Allocation[Delivery ID],Allocation[[#This Row],[Delivery ID]],Allocation[Quantity allocated])/SUMIF(Allocation[Delivery ID],Allocation[[#This Row],[Delivery ID]],Allocation[Volume available (kg)])</f>
        <v>0.85272132261820344</v>
      </c>
      <c r="U1771" s="61">
        <f>Allocation[[#This Row],[Total volume used]]/VLOOKUP(Allocation[[#This Row],[Delivery ID]],Delivery[[Delivery ID]:[Quantity delivered]],3,FALSE)</f>
        <v>0.1208955223880597</v>
      </c>
      <c r="V1771" s="34" t="e">
        <f>VLOOKUP(Allocation[[#This Row],[SAP Contract number]],Shipments[[SAP Contract number]:[Contracted container weight]],2,FALSE)</f>
        <v>#N/A</v>
      </c>
      <c r="W1771" s="34" t="e">
        <f>VLOOKUP(Allocation[[#This Row],[SAP Contract number]],Shipments[[SAP Contract number]:[AAA Premium USD]],24,FALSE)</f>
        <v>#N/A</v>
      </c>
      <c r="X1771" s="34" t="e">
        <f>VLOOKUP(Allocation[[#This Row],[SAP Contract number]],Shipments[[SAP Contract number]:[RA Premium USD]],25,FALSE)</f>
        <v>#N/A</v>
      </c>
      <c r="Y1771" s="38">
        <f>Allocation[[#This Row],[Quantity Processed]]/Allocation[[#This Row],[Quantity allocated]]</f>
        <v>2.6428571428571428</v>
      </c>
      <c r="Z1771" s="34" t="b">
        <f>Allocation[[#This Row],[Quantity allocated]]&lt;=Allocation[[#This Row],[Quantity Processed]]</f>
        <v>1</v>
      </c>
    </row>
    <row r="1772" spans="1:26">
      <c r="A1772" s="247" t="s">
        <v>467</v>
      </c>
      <c r="B1772" s="210" t="s">
        <v>68</v>
      </c>
      <c r="C1772" s="254" t="s">
        <v>1064</v>
      </c>
      <c r="D1772" s="255">
        <v>948</v>
      </c>
      <c r="E1772" s="211" t="s">
        <v>1914</v>
      </c>
      <c r="F1772" s="212">
        <v>43542</v>
      </c>
      <c r="G1772" s="213">
        <v>2.62</v>
      </c>
      <c r="H1772" s="256">
        <v>379</v>
      </c>
      <c r="I1772" s="214">
        <v>1453747</v>
      </c>
      <c r="J1772" s="215">
        <v>19175</v>
      </c>
      <c r="K1772" s="212">
        <v>43595</v>
      </c>
      <c r="L1772" s="211" t="s">
        <v>1331</v>
      </c>
      <c r="M1772" s="216">
        <v>4615506885</v>
      </c>
      <c r="N1772" s="212">
        <v>43614</v>
      </c>
      <c r="O1772" s="217">
        <v>3.9746999999999999</v>
      </c>
      <c r="P1772" s="219"/>
      <c r="Q1772" s="34">
        <f>SUMIF(Allocation[Delivery ID],Allocation[[#This Row],[Delivery ID]],Allocation[Quantity Processed])</f>
        <v>4700.5</v>
      </c>
      <c r="R1772" s="61">
        <f>Allocation[[#This Row],[Total volume used]]/VLOOKUP(Allocation[[#This Row],[Delivery ID]],Delivery[[Delivery ID]:[Quantity delivered]],3,FALSE)</f>
        <v>1</v>
      </c>
      <c r="S1772" s="34">
        <f>Allocation[[#This Row],[Quantity Processed]]/Allocation[[#This Row],[Dilution rate]]</f>
        <v>361.83206106870227</v>
      </c>
      <c r="T1772" s="59">
        <f>SUMIF(Allocation[Delivery ID],Allocation[[#This Row],[Delivery ID]],Allocation[Quantity allocated])/SUMIF(Allocation[Delivery ID],Allocation[[#This Row],[Delivery ID]],Allocation[Volume available (kg)])</f>
        <v>0.99634426923687691</v>
      </c>
      <c r="U1772" s="61">
        <f>Allocation[[#This Row],[Total volume used]]/VLOOKUP(Allocation[[#This Row],[Delivery ID]],Delivery[[Delivery ID]:[Quantity delivered]],3,FALSE)</f>
        <v>1</v>
      </c>
      <c r="V1772" s="34" t="e">
        <f>VLOOKUP(Allocation[[#This Row],[SAP Contract number]],Shipments[[SAP Contract number]:[Contracted container weight]],2,FALSE)</f>
        <v>#N/A</v>
      </c>
      <c r="W1772" s="34" t="e">
        <f>VLOOKUP(Allocation[[#This Row],[SAP Contract number]],Shipments[[SAP Contract number]:[AAA Premium USD]],24,FALSE)</f>
        <v>#N/A</v>
      </c>
      <c r="X1772" s="34" t="e">
        <f>VLOOKUP(Allocation[[#This Row],[SAP Contract number]],Shipments[[SAP Contract number]:[RA Premium USD]],25,FALSE)</f>
        <v>#N/A</v>
      </c>
      <c r="Y1772" s="38">
        <f>Allocation[[#This Row],[Quantity Processed]]/Allocation[[#This Row],[Quantity allocated]]</f>
        <v>2.5013192612137205</v>
      </c>
      <c r="Z1772" s="34" t="b">
        <f>Allocation[[#This Row],[Quantity allocated]]&lt;=Allocation[[#This Row],[Quantity Processed]]</f>
        <v>1</v>
      </c>
    </row>
    <row r="1773" spans="1:26">
      <c r="A1773" s="247" t="s">
        <v>467</v>
      </c>
      <c r="B1773" s="210" t="s">
        <v>68</v>
      </c>
      <c r="C1773" s="254" t="s">
        <v>1067</v>
      </c>
      <c r="D1773" s="255">
        <v>2640</v>
      </c>
      <c r="E1773" s="211" t="s">
        <v>1914</v>
      </c>
      <c r="F1773" s="212">
        <v>43542</v>
      </c>
      <c r="G1773" s="213">
        <v>2.62</v>
      </c>
      <c r="H1773" s="256">
        <v>1320</v>
      </c>
      <c r="I1773" s="214">
        <v>1453747</v>
      </c>
      <c r="J1773" s="215">
        <v>19175</v>
      </c>
      <c r="K1773" s="212">
        <v>43595</v>
      </c>
      <c r="L1773" s="211" t="s">
        <v>1331</v>
      </c>
      <c r="M1773" s="216">
        <v>4615506885</v>
      </c>
      <c r="N1773" s="212">
        <v>43614</v>
      </c>
      <c r="O1773" s="217">
        <v>3.9746999999999999</v>
      </c>
      <c r="P1773" s="219"/>
      <c r="Q1773" s="34">
        <f>SUMIF(Allocation[Delivery ID],Allocation[[#This Row],[Delivery ID]],Allocation[Quantity Processed])</f>
        <v>13526</v>
      </c>
      <c r="R1773" s="61">
        <f>Allocation[[#This Row],[Total volume used]]/VLOOKUP(Allocation[[#This Row],[Delivery ID]],Delivery[[Delivery ID]:[Quantity delivered]],3,FALSE)</f>
        <v>0.82682315544959961</v>
      </c>
      <c r="S1773" s="34">
        <f>Allocation[[#This Row],[Quantity Processed]]/Allocation[[#This Row],[Dilution rate]]</f>
        <v>1007.6335877862595</v>
      </c>
      <c r="T1773" s="59">
        <f>SUMIF(Allocation[Delivery ID],Allocation[[#This Row],[Delivery ID]],Allocation[Quantity allocated])/SUMIF(Allocation[Delivery ID],Allocation[[#This Row],[Delivery ID]],Allocation[Volume available (kg)])</f>
        <v>1.2481077066953579</v>
      </c>
      <c r="U1773" s="61">
        <f>Allocation[[#This Row],[Total volume used]]/VLOOKUP(Allocation[[#This Row],[Delivery ID]],Delivery[[Delivery ID]:[Quantity delivered]],3,FALSE)</f>
        <v>0.82682315544959961</v>
      </c>
      <c r="V1773" s="34" t="e">
        <f>VLOOKUP(Allocation[[#This Row],[SAP Contract number]],Shipments[[SAP Contract number]:[Contracted container weight]],2,FALSE)</f>
        <v>#N/A</v>
      </c>
      <c r="W1773" s="34" t="e">
        <f>VLOOKUP(Allocation[[#This Row],[SAP Contract number]],Shipments[[SAP Contract number]:[AAA Premium USD]],24,FALSE)</f>
        <v>#N/A</v>
      </c>
      <c r="X1773" s="34" t="e">
        <f>VLOOKUP(Allocation[[#This Row],[SAP Contract number]],Shipments[[SAP Contract number]:[RA Premium USD]],25,FALSE)</f>
        <v>#N/A</v>
      </c>
      <c r="Y1773" s="38">
        <f>Allocation[[#This Row],[Quantity Processed]]/Allocation[[#This Row],[Quantity allocated]]</f>
        <v>2</v>
      </c>
      <c r="Z1773" s="34" t="b">
        <f>Allocation[[#This Row],[Quantity allocated]]&lt;=Allocation[[#This Row],[Quantity Processed]]</f>
        <v>1</v>
      </c>
    </row>
    <row r="1774" spans="1:26">
      <c r="A1774" s="247" t="s">
        <v>467</v>
      </c>
      <c r="B1774" s="210" t="s">
        <v>68</v>
      </c>
      <c r="C1774" s="254" t="s">
        <v>1071</v>
      </c>
      <c r="D1774" s="255">
        <v>395</v>
      </c>
      <c r="E1774" s="211" t="s">
        <v>1914</v>
      </c>
      <c r="F1774" s="212">
        <v>43542</v>
      </c>
      <c r="G1774" s="213">
        <v>2.62</v>
      </c>
      <c r="H1774" s="256">
        <v>131</v>
      </c>
      <c r="I1774" s="214">
        <v>1453747</v>
      </c>
      <c r="J1774" s="215">
        <v>19175</v>
      </c>
      <c r="K1774" s="212">
        <v>43595</v>
      </c>
      <c r="L1774" s="211" t="s">
        <v>1331</v>
      </c>
      <c r="M1774" s="216">
        <v>4615506885</v>
      </c>
      <c r="N1774" s="212">
        <v>43614</v>
      </c>
      <c r="O1774" s="217">
        <v>3.9746999999999999</v>
      </c>
      <c r="P1774" s="219"/>
      <c r="Q1774" s="34">
        <f>SUMIF(Allocation[Delivery ID],Allocation[[#This Row],[Delivery ID]],Allocation[Quantity Processed])</f>
        <v>31243</v>
      </c>
      <c r="R1774" s="61">
        <f>Allocation[[#This Row],[Total volume used]]/VLOOKUP(Allocation[[#This Row],[Delivery ID]],Delivery[[Delivery ID]:[Quantity delivered]],3,FALSE)</f>
        <v>1</v>
      </c>
      <c r="S1774" s="34">
        <f>Allocation[[#This Row],[Quantity Processed]]/Allocation[[#This Row],[Dilution rate]]</f>
        <v>150.76335877862596</v>
      </c>
      <c r="T1774" s="59">
        <f>SUMIF(Allocation[Delivery ID],Allocation[[#This Row],[Delivery ID]],Allocation[Quantity allocated])/SUMIF(Allocation[Delivery ID],Allocation[[#This Row],[Delivery ID]],Allocation[Volume available (kg)])</f>
        <v>0.78364678265018262</v>
      </c>
      <c r="U1774" s="61">
        <f>Allocation[[#This Row],[Total volume used]]/VLOOKUP(Allocation[[#This Row],[Delivery ID]],Delivery[[Delivery ID]:[Quantity delivered]],3,FALSE)</f>
        <v>1</v>
      </c>
      <c r="V1774" s="34" t="e">
        <f>VLOOKUP(Allocation[[#This Row],[SAP Contract number]],Shipments[[SAP Contract number]:[Contracted container weight]],2,FALSE)</f>
        <v>#N/A</v>
      </c>
      <c r="W1774" s="34" t="e">
        <f>VLOOKUP(Allocation[[#This Row],[SAP Contract number]],Shipments[[SAP Contract number]:[AAA Premium USD]],24,FALSE)</f>
        <v>#N/A</v>
      </c>
      <c r="X1774" s="34" t="e">
        <f>VLOOKUP(Allocation[[#This Row],[SAP Contract number]],Shipments[[SAP Contract number]:[RA Premium USD]],25,FALSE)</f>
        <v>#N/A</v>
      </c>
      <c r="Y1774" s="38">
        <f>Allocation[[#This Row],[Quantity Processed]]/Allocation[[#This Row],[Quantity allocated]]</f>
        <v>3.0152671755725189</v>
      </c>
      <c r="Z1774" s="34" t="b">
        <f>Allocation[[#This Row],[Quantity allocated]]&lt;=Allocation[[#This Row],[Quantity Processed]]</f>
        <v>1</v>
      </c>
    </row>
    <row r="1775" spans="1:26">
      <c r="A1775" s="247" t="s">
        <v>467</v>
      </c>
      <c r="B1775" s="210" t="s">
        <v>68</v>
      </c>
      <c r="C1775" s="254" t="s">
        <v>1074</v>
      </c>
      <c r="D1775" s="255">
        <v>1202</v>
      </c>
      <c r="E1775" s="211" t="s">
        <v>1914</v>
      </c>
      <c r="F1775" s="212">
        <v>43542</v>
      </c>
      <c r="G1775" s="213">
        <v>2.62</v>
      </c>
      <c r="H1775" s="256">
        <v>400</v>
      </c>
      <c r="I1775" s="214">
        <v>1453747</v>
      </c>
      <c r="J1775" s="215">
        <v>19175</v>
      </c>
      <c r="K1775" s="212">
        <v>43595</v>
      </c>
      <c r="L1775" s="211" t="s">
        <v>1331</v>
      </c>
      <c r="M1775" s="216">
        <v>4615506885</v>
      </c>
      <c r="N1775" s="212">
        <v>43614</v>
      </c>
      <c r="O1775" s="217">
        <v>3.9746999999999999</v>
      </c>
      <c r="P1775" s="219"/>
      <c r="Q1775" s="34">
        <f>SUMIF(Allocation[Delivery ID],Allocation[[#This Row],[Delivery ID]],Allocation[Quantity Processed])</f>
        <v>30070</v>
      </c>
      <c r="R1775" s="61">
        <f>Allocation[[#This Row],[Total volume used]]/VLOOKUP(Allocation[[#This Row],[Delivery ID]],Delivery[[Delivery ID]:[Quantity delivered]],3,FALSE)</f>
        <v>1</v>
      </c>
      <c r="S1775" s="34">
        <f>Allocation[[#This Row],[Quantity Processed]]/Allocation[[#This Row],[Dilution rate]]</f>
        <v>458.77862595419845</v>
      </c>
      <c r="T1775" s="59">
        <f>SUMIF(Allocation[Delivery ID],Allocation[[#This Row],[Delivery ID]],Allocation[Quantity allocated])/SUMIF(Allocation[Delivery ID],Allocation[[#This Row],[Delivery ID]],Allocation[Volume available (kg)])</f>
        <v>0.81441196854888298</v>
      </c>
      <c r="U1775" s="61">
        <f>Allocation[[#This Row],[Total volume used]]/VLOOKUP(Allocation[[#This Row],[Delivery ID]],Delivery[[Delivery ID]:[Quantity delivered]],3,FALSE)</f>
        <v>1</v>
      </c>
      <c r="V1775" s="34" t="e">
        <f>VLOOKUP(Allocation[[#This Row],[SAP Contract number]],Shipments[[SAP Contract number]:[Contracted container weight]],2,FALSE)</f>
        <v>#N/A</v>
      </c>
      <c r="W1775" s="34" t="e">
        <f>VLOOKUP(Allocation[[#This Row],[SAP Contract number]],Shipments[[SAP Contract number]:[AAA Premium USD]],24,FALSE)</f>
        <v>#N/A</v>
      </c>
      <c r="X1775" s="34" t="e">
        <f>VLOOKUP(Allocation[[#This Row],[SAP Contract number]],Shipments[[SAP Contract number]:[RA Premium USD]],25,FALSE)</f>
        <v>#N/A</v>
      </c>
      <c r="Y1775" s="38">
        <f>Allocation[[#This Row],[Quantity Processed]]/Allocation[[#This Row],[Quantity allocated]]</f>
        <v>3.0049999999999999</v>
      </c>
      <c r="Z1775" s="34" t="b">
        <f>Allocation[[#This Row],[Quantity allocated]]&lt;=Allocation[[#This Row],[Quantity Processed]]</f>
        <v>1</v>
      </c>
    </row>
    <row r="1776" spans="1:26">
      <c r="A1776" s="247" t="s">
        <v>467</v>
      </c>
      <c r="B1776" s="210" t="s">
        <v>68</v>
      </c>
      <c r="C1776" s="254" t="s">
        <v>1076</v>
      </c>
      <c r="D1776" s="255">
        <v>1717</v>
      </c>
      <c r="E1776" s="211" t="s">
        <v>1914</v>
      </c>
      <c r="F1776" s="212">
        <v>43542</v>
      </c>
      <c r="G1776" s="213">
        <v>2.62</v>
      </c>
      <c r="H1776" s="256">
        <v>996</v>
      </c>
      <c r="I1776" s="214">
        <v>1453747</v>
      </c>
      <c r="J1776" s="215">
        <v>19175</v>
      </c>
      <c r="K1776" s="212">
        <v>43595</v>
      </c>
      <c r="L1776" s="211" t="s">
        <v>1331</v>
      </c>
      <c r="M1776" s="216">
        <v>4615506885</v>
      </c>
      <c r="N1776" s="212">
        <v>43614</v>
      </c>
      <c r="O1776" s="217">
        <v>3.9746999999999999</v>
      </c>
      <c r="P1776" s="219"/>
      <c r="Q1776" s="34">
        <f>SUMIF(Allocation[Delivery ID],Allocation[[#This Row],[Delivery ID]],Allocation[Quantity Processed])</f>
        <v>8805</v>
      </c>
      <c r="R1776" s="61">
        <f>Allocation[[#This Row],[Total volume used]]/VLOOKUP(Allocation[[#This Row],[Delivery ID]],Delivery[[Delivery ID]:[Quantity delivered]],3,FALSE)</f>
        <v>0.71341759844433639</v>
      </c>
      <c r="S1776" s="34">
        <f>Allocation[[#This Row],[Quantity Processed]]/Allocation[[#This Row],[Dilution rate]]</f>
        <v>655.3435114503817</v>
      </c>
      <c r="T1776" s="59">
        <f>SUMIF(Allocation[Delivery ID],Allocation[[#This Row],[Delivery ID]],Allocation[Quantity allocated])/SUMIF(Allocation[Delivery ID],Allocation[[#This Row],[Delivery ID]],Allocation[Volume available (kg)])</f>
        <v>1.4474976748977335</v>
      </c>
      <c r="U1776" s="61">
        <f>Allocation[[#This Row],[Total volume used]]/VLOOKUP(Allocation[[#This Row],[Delivery ID]],Delivery[[Delivery ID]:[Quantity delivered]],3,FALSE)</f>
        <v>0.71341759844433639</v>
      </c>
      <c r="V1776" s="34" t="e">
        <f>VLOOKUP(Allocation[[#This Row],[SAP Contract number]],Shipments[[SAP Contract number]:[Contracted container weight]],2,FALSE)</f>
        <v>#N/A</v>
      </c>
      <c r="W1776" s="34" t="e">
        <f>VLOOKUP(Allocation[[#This Row],[SAP Contract number]],Shipments[[SAP Contract number]:[AAA Premium USD]],24,FALSE)</f>
        <v>#N/A</v>
      </c>
      <c r="X1776" s="34" t="e">
        <f>VLOOKUP(Allocation[[#This Row],[SAP Contract number]],Shipments[[SAP Contract number]:[RA Premium USD]],25,FALSE)</f>
        <v>#N/A</v>
      </c>
      <c r="Y1776" s="38">
        <f>Allocation[[#This Row],[Quantity Processed]]/Allocation[[#This Row],[Quantity allocated]]</f>
        <v>1.7238955823293172</v>
      </c>
      <c r="Z1776" s="34" t="b">
        <f>Allocation[[#This Row],[Quantity allocated]]&lt;=Allocation[[#This Row],[Quantity Processed]]</f>
        <v>1</v>
      </c>
    </row>
    <row r="1777" spans="1:26">
      <c r="A1777" s="247" t="s">
        <v>467</v>
      </c>
      <c r="B1777" s="210" t="s">
        <v>68</v>
      </c>
      <c r="C1777" s="254" t="s">
        <v>1078</v>
      </c>
      <c r="D1777" s="255">
        <v>3419</v>
      </c>
      <c r="E1777" s="211" t="s">
        <v>1914</v>
      </c>
      <c r="F1777" s="212">
        <v>43542</v>
      </c>
      <c r="G1777" s="213">
        <v>2.62</v>
      </c>
      <c r="H1777" s="256">
        <v>1350</v>
      </c>
      <c r="I1777" s="214">
        <v>1453747</v>
      </c>
      <c r="J1777" s="215">
        <v>19175</v>
      </c>
      <c r="K1777" s="212">
        <v>43595</v>
      </c>
      <c r="L1777" s="211" t="s">
        <v>1331</v>
      </c>
      <c r="M1777" s="216">
        <v>4615506885</v>
      </c>
      <c r="N1777" s="212">
        <v>43614</v>
      </c>
      <c r="O1777" s="217">
        <v>3.9746999999999999</v>
      </c>
      <c r="P1777" s="219"/>
      <c r="Q1777" s="34">
        <f>SUMIF(Allocation[Delivery ID],Allocation[[#This Row],[Delivery ID]],Allocation[Quantity Processed])</f>
        <v>18130</v>
      </c>
      <c r="R1777" s="61">
        <f>Allocation[[#This Row],[Total volume used]]/VLOOKUP(Allocation[[#This Row],[Delivery ID]],Delivery[[Delivery ID]:[Quantity delivered]],3,FALSE)</f>
        <v>1</v>
      </c>
      <c r="S1777" s="34">
        <f>Allocation[[#This Row],[Quantity Processed]]/Allocation[[#This Row],[Dilution rate]]</f>
        <v>1304.9618320610687</v>
      </c>
      <c r="T1777" s="59">
        <f>SUMIF(Allocation[Delivery ID],Allocation[[#This Row],[Delivery ID]],Allocation[Quantity allocated])/SUMIF(Allocation[Delivery ID],Allocation[[#This Row],[Delivery ID]],Allocation[Volume available (kg)])</f>
        <v>0.97337423777567733</v>
      </c>
      <c r="U1777" s="61">
        <f>Allocation[[#This Row],[Total volume used]]/VLOOKUP(Allocation[[#This Row],[Delivery ID]],Delivery[[Delivery ID]:[Quantity delivered]],3,FALSE)</f>
        <v>1</v>
      </c>
      <c r="V1777" s="34" t="e">
        <f>VLOOKUP(Allocation[[#This Row],[SAP Contract number]],Shipments[[SAP Contract number]:[Contracted container weight]],2,FALSE)</f>
        <v>#N/A</v>
      </c>
      <c r="W1777" s="34" t="e">
        <f>VLOOKUP(Allocation[[#This Row],[SAP Contract number]],Shipments[[SAP Contract number]:[AAA Premium USD]],24,FALSE)</f>
        <v>#N/A</v>
      </c>
      <c r="X1777" s="34" t="e">
        <f>VLOOKUP(Allocation[[#This Row],[SAP Contract number]],Shipments[[SAP Contract number]:[RA Premium USD]],25,FALSE)</f>
        <v>#N/A</v>
      </c>
      <c r="Y1777" s="38">
        <f>Allocation[[#This Row],[Quantity Processed]]/Allocation[[#This Row],[Quantity allocated]]</f>
        <v>2.5325925925925925</v>
      </c>
      <c r="Z1777" s="34" t="b">
        <f>Allocation[[#This Row],[Quantity allocated]]&lt;=Allocation[[#This Row],[Quantity Processed]]</f>
        <v>1</v>
      </c>
    </row>
    <row r="1778" spans="1:26">
      <c r="A1778" s="247" t="s">
        <v>467</v>
      </c>
      <c r="B1778" s="210" t="s">
        <v>68</v>
      </c>
      <c r="C1778" s="254" t="s">
        <v>1083</v>
      </c>
      <c r="D1778" s="255">
        <v>2631</v>
      </c>
      <c r="E1778" s="211" t="s">
        <v>1914</v>
      </c>
      <c r="F1778" s="212">
        <v>43542</v>
      </c>
      <c r="G1778" s="213">
        <v>2.62</v>
      </c>
      <c r="H1778" s="256">
        <v>1105</v>
      </c>
      <c r="I1778" s="214">
        <v>1453747</v>
      </c>
      <c r="J1778" s="215">
        <v>19175</v>
      </c>
      <c r="K1778" s="212">
        <v>43595</v>
      </c>
      <c r="L1778" s="211" t="s">
        <v>1331</v>
      </c>
      <c r="M1778" s="216">
        <v>4615506885</v>
      </c>
      <c r="N1778" s="212">
        <v>43614</v>
      </c>
      <c r="O1778" s="217">
        <v>3.9746999999999999</v>
      </c>
      <c r="P1778" s="219"/>
      <c r="Q1778" s="34">
        <f>SUMIF(Allocation[Delivery ID],Allocation[[#This Row],[Delivery ID]],Allocation[Quantity Processed])</f>
        <v>12310</v>
      </c>
      <c r="R1778" s="61">
        <f>Allocation[[#This Row],[Total volume used]]/VLOOKUP(Allocation[[#This Row],[Delivery ID]],Delivery[[Delivery ID]:[Quantity delivered]],3,FALSE)</f>
        <v>0.85694396101635917</v>
      </c>
      <c r="S1778" s="34">
        <f>Allocation[[#This Row],[Quantity Processed]]/Allocation[[#This Row],[Dilution rate]]</f>
        <v>1004.1984732824427</v>
      </c>
      <c r="T1778" s="59">
        <f>SUMIF(Allocation[Delivery ID],Allocation[[#This Row],[Delivery ID]],Allocation[Quantity allocated])/SUMIF(Allocation[Delivery ID],Allocation[[#This Row],[Delivery ID]],Allocation[Volume available (kg)])</f>
        <v>1.0696976228020301</v>
      </c>
      <c r="U1778" s="61">
        <f>Allocation[[#This Row],[Total volume used]]/VLOOKUP(Allocation[[#This Row],[Delivery ID]],Delivery[[Delivery ID]:[Quantity delivered]],3,FALSE)</f>
        <v>0.85694396101635917</v>
      </c>
      <c r="V1778" s="34" t="e">
        <f>VLOOKUP(Allocation[[#This Row],[SAP Contract number]],Shipments[[SAP Contract number]:[Contracted container weight]],2,FALSE)</f>
        <v>#N/A</v>
      </c>
      <c r="W1778" s="34" t="e">
        <f>VLOOKUP(Allocation[[#This Row],[SAP Contract number]],Shipments[[SAP Contract number]:[AAA Premium USD]],24,FALSE)</f>
        <v>#N/A</v>
      </c>
      <c r="X1778" s="34" t="e">
        <f>VLOOKUP(Allocation[[#This Row],[SAP Contract number]],Shipments[[SAP Contract number]:[RA Premium USD]],25,FALSE)</f>
        <v>#N/A</v>
      </c>
      <c r="Y1778" s="38">
        <f>Allocation[[#This Row],[Quantity Processed]]/Allocation[[#This Row],[Quantity allocated]]</f>
        <v>2.3809954751131222</v>
      </c>
      <c r="Z1778" s="34" t="b">
        <f>Allocation[[#This Row],[Quantity allocated]]&lt;=Allocation[[#This Row],[Quantity Processed]]</f>
        <v>1</v>
      </c>
    </row>
    <row r="1779" spans="1:26">
      <c r="A1779" s="247" t="s">
        <v>467</v>
      </c>
      <c r="B1779" s="210" t="s">
        <v>68</v>
      </c>
      <c r="C1779" s="254" t="s">
        <v>1084</v>
      </c>
      <c r="D1779" s="255">
        <v>1431</v>
      </c>
      <c r="E1779" s="211" t="s">
        <v>1914</v>
      </c>
      <c r="F1779" s="212">
        <v>43542</v>
      </c>
      <c r="G1779" s="213">
        <v>2.62</v>
      </c>
      <c r="H1779" s="256">
        <v>601</v>
      </c>
      <c r="I1779" s="214">
        <v>1453747</v>
      </c>
      <c r="J1779" s="215">
        <v>19175</v>
      </c>
      <c r="K1779" s="212">
        <v>43595</v>
      </c>
      <c r="L1779" s="211" t="s">
        <v>1331</v>
      </c>
      <c r="M1779" s="216">
        <v>4615506885</v>
      </c>
      <c r="N1779" s="212">
        <v>43614</v>
      </c>
      <c r="O1779" s="217">
        <v>3.9746999999999999</v>
      </c>
      <c r="P1779" s="219"/>
      <c r="Q1779" s="34">
        <f>SUMIF(Allocation[Delivery ID],Allocation[[#This Row],[Delivery ID]],Allocation[Quantity Processed])</f>
        <v>6696</v>
      </c>
      <c r="R1779" s="61">
        <f>Allocation[[#This Row],[Total volume used]]/VLOOKUP(Allocation[[#This Row],[Delivery ID]],Delivery[[Delivery ID]:[Quantity delivered]],3,FALSE)</f>
        <v>0.85681381957773517</v>
      </c>
      <c r="S1779" s="34">
        <f>Allocation[[#This Row],[Quantity Processed]]/Allocation[[#This Row],[Dilution rate]]</f>
        <v>546.18320610687022</v>
      </c>
      <c r="T1779" s="59">
        <f>SUMIF(Allocation[Delivery ID],Allocation[[#This Row],[Delivery ID]],Allocation[Quantity allocated])/SUMIF(Allocation[Delivery ID],Allocation[[#This Row],[Delivery ID]],Allocation[Volume available (kg)])</f>
        <v>1.0696839892515559</v>
      </c>
      <c r="U1779" s="61">
        <f>Allocation[[#This Row],[Total volume used]]/VLOOKUP(Allocation[[#This Row],[Delivery ID]],Delivery[[Delivery ID]:[Quantity delivered]],3,FALSE)</f>
        <v>0.85681381957773517</v>
      </c>
      <c r="V1779" s="34" t="e">
        <f>VLOOKUP(Allocation[[#This Row],[SAP Contract number]],Shipments[[SAP Contract number]:[Contracted container weight]],2,FALSE)</f>
        <v>#N/A</v>
      </c>
      <c r="W1779" s="34" t="e">
        <f>VLOOKUP(Allocation[[#This Row],[SAP Contract number]],Shipments[[SAP Contract number]:[AAA Premium USD]],24,FALSE)</f>
        <v>#N/A</v>
      </c>
      <c r="X1779" s="34" t="e">
        <f>VLOOKUP(Allocation[[#This Row],[SAP Contract number]],Shipments[[SAP Contract number]:[RA Premium USD]],25,FALSE)</f>
        <v>#N/A</v>
      </c>
      <c r="Y1779" s="38">
        <f>Allocation[[#This Row],[Quantity Processed]]/Allocation[[#This Row],[Quantity allocated]]</f>
        <v>2.3810316139767056</v>
      </c>
      <c r="Z1779" s="34" t="b">
        <f>Allocation[[#This Row],[Quantity allocated]]&lt;=Allocation[[#This Row],[Quantity Processed]]</f>
        <v>1</v>
      </c>
    </row>
    <row r="1780" spans="1:26">
      <c r="A1780" s="247" t="s">
        <v>467</v>
      </c>
      <c r="B1780" s="210" t="s">
        <v>68</v>
      </c>
      <c r="C1780" s="254" t="s">
        <v>1089</v>
      </c>
      <c r="D1780" s="255">
        <v>2813</v>
      </c>
      <c r="E1780" s="211" t="s">
        <v>1914</v>
      </c>
      <c r="F1780" s="212">
        <v>43542</v>
      </c>
      <c r="G1780" s="213">
        <v>2.62</v>
      </c>
      <c r="H1780" s="256">
        <v>850</v>
      </c>
      <c r="I1780" s="214">
        <v>1453747</v>
      </c>
      <c r="J1780" s="215">
        <v>19175</v>
      </c>
      <c r="K1780" s="212">
        <v>43595</v>
      </c>
      <c r="L1780" s="211" t="s">
        <v>1331</v>
      </c>
      <c r="M1780" s="216">
        <v>4615506885</v>
      </c>
      <c r="N1780" s="212">
        <v>43614</v>
      </c>
      <c r="O1780" s="217">
        <v>3.9746999999999999</v>
      </c>
      <c r="P1780" s="219"/>
      <c r="Q1780" s="34">
        <f>SUMIF(Allocation[Delivery ID],Allocation[[#This Row],[Delivery ID]],Allocation[Quantity Processed])</f>
        <v>29932</v>
      </c>
      <c r="R1780" s="61">
        <f>Allocation[[#This Row],[Total volume used]]/VLOOKUP(Allocation[[#This Row],[Delivery ID]],Delivery[[Delivery ID]:[Quantity delivered]],3,FALSE)</f>
        <v>1</v>
      </c>
      <c r="S1780" s="34">
        <f>Allocation[[#This Row],[Quantity Processed]]/Allocation[[#This Row],[Dilution rate]]</f>
        <v>1073.6641221374045</v>
      </c>
      <c r="T1780" s="59">
        <f>SUMIF(Allocation[Delivery ID],Allocation[[#This Row],[Delivery ID]],Allocation[Quantity allocated])/SUMIF(Allocation[Delivery ID],Allocation[[#This Row],[Delivery ID]],Allocation[Volume available (kg)])</f>
        <v>0.74687739269496001</v>
      </c>
      <c r="U1780" s="61">
        <f>Allocation[[#This Row],[Total volume used]]/VLOOKUP(Allocation[[#This Row],[Delivery ID]],Delivery[[Delivery ID]:[Quantity delivered]],3,FALSE)</f>
        <v>1</v>
      </c>
      <c r="V1780" s="34" t="e">
        <f>VLOOKUP(Allocation[[#This Row],[SAP Contract number]],Shipments[[SAP Contract number]:[Contracted container weight]],2,FALSE)</f>
        <v>#N/A</v>
      </c>
      <c r="W1780" s="34" t="e">
        <f>VLOOKUP(Allocation[[#This Row],[SAP Contract number]],Shipments[[SAP Contract number]:[AAA Premium USD]],24,FALSE)</f>
        <v>#N/A</v>
      </c>
      <c r="X1780" s="34" t="e">
        <f>VLOOKUP(Allocation[[#This Row],[SAP Contract number]],Shipments[[SAP Contract number]:[RA Premium USD]],25,FALSE)</f>
        <v>#N/A</v>
      </c>
      <c r="Y1780" s="38">
        <f>Allocation[[#This Row],[Quantity Processed]]/Allocation[[#This Row],[Quantity allocated]]</f>
        <v>3.3094117647058825</v>
      </c>
      <c r="Z1780" s="34" t="b">
        <f>Allocation[[#This Row],[Quantity allocated]]&lt;=Allocation[[#This Row],[Quantity Processed]]</f>
        <v>1</v>
      </c>
    </row>
    <row r="1781" spans="1:26">
      <c r="A1781" s="247" t="s">
        <v>467</v>
      </c>
      <c r="B1781" s="210" t="s">
        <v>68</v>
      </c>
      <c r="C1781" s="254" t="s">
        <v>1090</v>
      </c>
      <c r="D1781" s="255">
        <v>1450</v>
      </c>
      <c r="E1781" s="211" t="s">
        <v>1914</v>
      </c>
      <c r="F1781" s="212">
        <v>43542</v>
      </c>
      <c r="G1781" s="213">
        <v>2.62</v>
      </c>
      <c r="H1781" s="256">
        <v>667</v>
      </c>
      <c r="I1781" s="214">
        <v>1453747</v>
      </c>
      <c r="J1781" s="215">
        <v>19175</v>
      </c>
      <c r="K1781" s="212">
        <v>43595</v>
      </c>
      <c r="L1781" s="211" t="s">
        <v>1331</v>
      </c>
      <c r="M1781" s="216">
        <v>4615506885</v>
      </c>
      <c r="N1781" s="212">
        <v>43614</v>
      </c>
      <c r="O1781" s="217">
        <v>3.9746999999999999</v>
      </c>
      <c r="P1781" s="219"/>
      <c r="Q1781" s="34">
        <f>SUMIF(Allocation[Delivery ID],Allocation[[#This Row],[Delivery ID]],Allocation[Quantity Processed])</f>
        <v>22447</v>
      </c>
      <c r="R1781" s="61">
        <f>Allocation[[#This Row],[Total volume used]]/VLOOKUP(Allocation[[#This Row],[Delivery ID]],Delivery[[Delivery ID]:[Quantity delivered]],3,FALSE)</f>
        <v>0.78212543554006964</v>
      </c>
      <c r="S1781" s="34">
        <f>Allocation[[#This Row],[Quantity Processed]]/Allocation[[#This Row],[Dilution rate]]</f>
        <v>553.43511450381675</v>
      </c>
      <c r="T1781" s="59">
        <f>SUMIF(Allocation[Delivery ID],Allocation[[#This Row],[Delivery ID]],Allocation[Quantity allocated])/SUMIF(Allocation[Delivery ID],Allocation[[#This Row],[Delivery ID]],Allocation[Volume available (kg)])</f>
        <v>1.1716289140490868</v>
      </c>
      <c r="U1781" s="61">
        <f>Allocation[[#This Row],[Total volume used]]/VLOOKUP(Allocation[[#This Row],[Delivery ID]],Delivery[[Delivery ID]:[Quantity delivered]],3,FALSE)</f>
        <v>0.78212543554006964</v>
      </c>
      <c r="V1781" s="34" t="e">
        <f>VLOOKUP(Allocation[[#This Row],[SAP Contract number]],Shipments[[SAP Contract number]:[Contracted container weight]],2,FALSE)</f>
        <v>#N/A</v>
      </c>
      <c r="W1781" s="34" t="e">
        <f>VLOOKUP(Allocation[[#This Row],[SAP Contract number]],Shipments[[SAP Contract number]:[AAA Premium USD]],24,FALSE)</f>
        <v>#N/A</v>
      </c>
      <c r="X1781" s="34" t="e">
        <f>VLOOKUP(Allocation[[#This Row],[SAP Contract number]],Shipments[[SAP Contract number]:[RA Premium USD]],25,FALSE)</f>
        <v>#N/A</v>
      </c>
      <c r="Y1781" s="38">
        <f>Allocation[[#This Row],[Quantity Processed]]/Allocation[[#This Row],[Quantity allocated]]</f>
        <v>2.1739130434782608</v>
      </c>
      <c r="Z1781" s="34" t="b">
        <f>Allocation[[#This Row],[Quantity allocated]]&lt;=Allocation[[#This Row],[Quantity Processed]]</f>
        <v>1</v>
      </c>
    </row>
    <row r="1782" spans="1:26">
      <c r="A1782" s="247" t="s">
        <v>467</v>
      </c>
      <c r="B1782" s="210" t="s">
        <v>68</v>
      </c>
      <c r="C1782" s="254" t="s">
        <v>1090</v>
      </c>
      <c r="D1782" s="255">
        <v>3348</v>
      </c>
      <c r="E1782" s="211" t="s">
        <v>1914</v>
      </c>
      <c r="F1782" s="212">
        <v>43542</v>
      </c>
      <c r="G1782" s="213">
        <v>2.62</v>
      </c>
      <c r="H1782" s="256">
        <v>1540</v>
      </c>
      <c r="I1782" s="214">
        <v>1453748</v>
      </c>
      <c r="J1782" s="215">
        <v>19175</v>
      </c>
      <c r="K1782" s="212">
        <v>43595</v>
      </c>
      <c r="L1782" s="211" t="s">
        <v>1332</v>
      </c>
      <c r="M1782" s="216">
        <v>4615506885</v>
      </c>
      <c r="N1782" s="212">
        <v>43614</v>
      </c>
      <c r="O1782" s="217">
        <v>3.9746999999999999</v>
      </c>
      <c r="P1782" s="219"/>
      <c r="Q1782" s="34">
        <f>SUMIF(Allocation[Delivery ID],Allocation[[#This Row],[Delivery ID]],Allocation[Quantity Processed])</f>
        <v>22447</v>
      </c>
      <c r="R1782" s="61">
        <f>Allocation[[#This Row],[Total volume used]]/VLOOKUP(Allocation[[#This Row],[Delivery ID]],Delivery[[Delivery ID]:[Quantity delivered]],3,FALSE)</f>
        <v>0.78212543554006964</v>
      </c>
      <c r="S1782" s="34">
        <f>Allocation[[#This Row],[Quantity Processed]]/Allocation[[#This Row],[Dilution rate]]</f>
        <v>1277.8625954198474</v>
      </c>
      <c r="T1782" s="59">
        <f>SUMIF(Allocation[Delivery ID],Allocation[[#This Row],[Delivery ID]],Allocation[Quantity allocated])/SUMIF(Allocation[Delivery ID],Allocation[[#This Row],[Delivery ID]],Allocation[Volume available (kg)])</f>
        <v>1.1716289140490868</v>
      </c>
      <c r="U1782" s="61">
        <f>Allocation[[#This Row],[Total volume used]]/VLOOKUP(Allocation[[#This Row],[Delivery ID]],Delivery[[Delivery ID]:[Quantity delivered]],3,FALSE)</f>
        <v>0.78212543554006964</v>
      </c>
      <c r="V1782" s="34" t="e">
        <f>VLOOKUP(Allocation[[#This Row],[SAP Contract number]],Shipments[[SAP Contract number]:[Contracted container weight]],2,FALSE)</f>
        <v>#N/A</v>
      </c>
      <c r="W1782" s="34" t="e">
        <f>VLOOKUP(Allocation[[#This Row],[SAP Contract number]],Shipments[[SAP Contract number]:[AAA Premium USD]],24,FALSE)</f>
        <v>#N/A</v>
      </c>
      <c r="X1782" s="34" t="e">
        <f>VLOOKUP(Allocation[[#This Row],[SAP Contract number]],Shipments[[SAP Contract number]:[RA Premium USD]],25,FALSE)</f>
        <v>#N/A</v>
      </c>
      <c r="Y1782" s="38">
        <f>Allocation[[#This Row],[Quantity Processed]]/Allocation[[#This Row],[Quantity allocated]]</f>
        <v>2.174025974025974</v>
      </c>
      <c r="Z1782" s="34" t="b">
        <f>Allocation[[#This Row],[Quantity allocated]]&lt;=Allocation[[#This Row],[Quantity Processed]]</f>
        <v>1</v>
      </c>
    </row>
    <row r="1783" spans="1:26">
      <c r="A1783" s="247" t="s">
        <v>467</v>
      </c>
      <c r="B1783" s="210" t="s">
        <v>68</v>
      </c>
      <c r="C1783" s="254" t="s">
        <v>1666</v>
      </c>
      <c r="D1783" s="255">
        <v>658</v>
      </c>
      <c r="E1783" s="211" t="s">
        <v>1914</v>
      </c>
      <c r="F1783" s="212">
        <v>43542</v>
      </c>
      <c r="G1783" s="213">
        <v>2.62</v>
      </c>
      <c r="H1783" s="256">
        <v>263</v>
      </c>
      <c r="I1783" s="214">
        <v>1453748</v>
      </c>
      <c r="J1783" s="215">
        <v>19175</v>
      </c>
      <c r="K1783" s="212">
        <v>43595</v>
      </c>
      <c r="L1783" s="211" t="s">
        <v>1332</v>
      </c>
      <c r="M1783" s="216">
        <v>4615506885</v>
      </c>
      <c r="N1783" s="212">
        <v>43614</v>
      </c>
      <c r="O1783" s="217">
        <v>3.9746999999999999</v>
      </c>
      <c r="P1783" s="219"/>
      <c r="Q1783" s="34">
        <f>SUMIF(Allocation[Delivery ID],Allocation[[#This Row],[Delivery ID]],Allocation[Quantity Processed])</f>
        <v>18909</v>
      </c>
      <c r="R1783" s="61">
        <f>Allocation[[#This Row],[Total volume used]]/VLOOKUP(Allocation[[#This Row],[Delivery ID]],Delivery[[Delivery ID]:[Quantity delivered]],3,FALSE)</f>
        <v>0.60954499298873366</v>
      </c>
      <c r="S1783" s="34">
        <f>Allocation[[#This Row],[Quantity Processed]]/Allocation[[#This Row],[Dilution rate]]</f>
        <v>251.14503816793894</v>
      </c>
      <c r="T1783" s="59">
        <f>SUMIF(Allocation[Delivery ID],Allocation[[#This Row],[Delivery ID]],Allocation[Quantity allocated])/SUMIF(Allocation[Delivery ID],Allocation[[#This Row],[Delivery ID]],Allocation[Volume available (kg)])</f>
        <v>1.0107752498483131</v>
      </c>
      <c r="U1783" s="61">
        <f>Allocation[[#This Row],[Total volume used]]/VLOOKUP(Allocation[[#This Row],[Delivery ID]],Delivery[[Delivery ID]:[Quantity delivered]],3,FALSE)</f>
        <v>0.60954499298873366</v>
      </c>
      <c r="V1783" s="34" t="e">
        <f>VLOOKUP(Allocation[[#This Row],[SAP Contract number]],Shipments[[SAP Contract number]:[Contracted container weight]],2,FALSE)</f>
        <v>#N/A</v>
      </c>
      <c r="W1783" s="34" t="e">
        <f>VLOOKUP(Allocation[[#This Row],[SAP Contract number]],Shipments[[SAP Contract number]:[AAA Premium USD]],24,FALSE)</f>
        <v>#N/A</v>
      </c>
      <c r="X1783" s="34" t="e">
        <f>VLOOKUP(Allocation[[#This Row],[SAP Contract number]],Shipments[[SAP Contract number]:[RA Premium USD]],25,FALSE)</f>
        <v>#N/A</v>
      </c>
      <c r="Y1783" s="38">
        <f>Allocation[[#This Row],[Quantity Processed]]/Allocation[[#This Row],[Quantity allocated]]</f>
        <v>2.5019011406844105</v>
      </c>
      <c r="Z1783" s="34" t="b">
        <f>Allocation[[#This Row],[Quantity allocated]]&lt;=Allocation[[#This Row],[Quantity Processed]]</f>
        <v>1</v>
      </c>
    </row>
    <row r="1784" spans="1:26">
      <c r="A1784" s="247" t="s">
        <v>467</v>
      </c>
      <c r="B1784" s="210" t="s">
        <v>68</v>
      </c>
      <c r="C1784" s="254" t="s">
        <v>1104</v>
      </c>
      <c r="D1784" s="255">
        <v>908</v>
      </c>
      <c r="E1784" s="211" t="s">
        <v>1914</v>
      </c>
      <c r="F1784" s="212">
        <v>43542</v>
      </c>
      <c r="G1784" s="213">
        <v>2.62</v>
      </c>
      <c r="H1784" s="256">
        <v>363</v>
      </c>
      <c r="I1784" s="214">
        <v>1453748</v>
      </c>
      <c r="J1784" s="215">
        <v>19175</v>
      </c>
      <c r="K1784" s="212">
        <v>43595</v>
      </c>
      <c r="L1784" s="211" t="s">
        <v>1332</v>
      </c>
      <c r="M1784" s="216">
        <v>4615506885</v>
      </c>
      <c r="N1784" s="212">
        <v>43614</v>
      </c>
      <c r="O1784" s="217">
        <v>3.9746999999999999</v>
      </c>
      <c r="P1784" s="219"/>
      <c r="Q1784" s="34">
        <f>SUMIF(Allocation[Delivery ID],Allocation[[#This Row],[Delivery ID]],Allocation[Quantity Processed])</f>
        <v>4717.5</v>
      </c>
      <c r="R1784" s="61">
        <f>Allocation[[#This Row],[Total volume used]]/VLOOKUP(Allocation[[#This Row],[Delivery ID]],Delivery[[Delivery ID]:[Quantity delivered]],3,FALSE)</f>
        <v>1</v>
      </c>
      <c r="S1784" s="34">
        <f>Allocation[[#This Row],[Quantity Processed]]/Allocation[[#This Row],[Dilution rate]]</f>
        <v>346.56488549618319</v>
      </c>
      <c r="T1784" s="59">
        <f>SUMIF(Allocation[Delivery ID],Allocation[[#This Row],[Delivery ID]],Allocation[Quantity allocated])/SUMIF(Allocation[Delivery ID],Allocation[[#This Row],[Delivery ID]],Allocation[Volume available (kg)])</f>
        <v>1.0217175128487634</v>
      </c>
      <c r="U1784" s="61">
        <f>Allocation[[#This Row],[Total volume used]]/VLOOKUP(Allocation[[#This Row],[Delivery ID]],Delivery[[Delivery ID]:[Quantity delivered]],3,FALSE)</f>
        <v>1</v>
      </c>
      <c r="V1784" s="34" t="e">
        <f>VLOOKUP(Allocation[[#This Row],[SAP Contract number]],Shipments[[SAP Contract number]:[Contracted container weight]],2,FALSE)</f>
        <v>#N/A</v>
      </c>
      <c r="W1784" s="34" t="e">
        <f>VLOOKUP(Allocation[[#This Row],[SAP Contract number]],Shipments[[SAP Contract number]:[AAA Premium USD]],24,FALSE)</f>
        <v>#N/A</v>
      </c>
      <c r="X1784" s="34" t="e">
        <f>VLOOKUP(Allocation[[#This Row],[SAP Contract number]],Shipments[[SAP Contract number]:[RA Premium USD]],25,FALSE)</f>
        <v>#N/A</v>
      </c>
      <c r="Y1784" s="38">
        <f>Allocation[[#This Row],[Quantity Processed]]/Allocation[[#This Row],[Quantity allocated]]</f>
        <v>2.5013774104683195</v>
      </c>
      <c r="Z1784" s="34" t="b">
        <f>Allocation[[#This Row],[Quantity allocated]]&lt;=Allocation[[#This Row],[Quantity Processed]]</f>
        <v>1</v>
      </c>
    </row>
    <row r="1785" spans="1:26">
      <c r="A1785" s="247" t="s">
        <v>467</v>
      </c>
      <c r="B1785" s="210" t="s">
        <v>68</v>
      </c>
      <c r="C1785" s="254" t="s">
        <v>1667</v>
      </c>
      <c r="D1785" s="255">
        <v>3917</v>
      </c>
      <c r="E1785" s="211" t="s">
        <v>1914</v>
      </c>
      <c r="F1785" s="212">
        <v>43542</v>
      </c>
      <c r="G1785" s="213">
        <v>2.62</v>
      </c>
      <c r="H1785" s="256">
        <v>1175</v>
      </c>
      <c r="I1785" s="214">
        <v>1453748</v>
      </c>
      <c r="J1785" s="215">
        <v>19175</v>
      </c>
      <c r="K1785" s="212">
        <v>43595</v>
      </c>
      <c r="L1785" s="211" t="s">
        <v>1332</v>
      </c>
      <c r="M1785" s="216">
        <v>4615506885</v>
      </c>
      <c r="N1785" s="212">
        <v>43614</v>
      </c>
      <c r="O1785" s="217">
        <v>3.9746999999999999</v>
      </c>
      <c r="P1785" s="219"/>
      <c r="Q1785" s="34">
        <f>SUMIF(Allocation[Delivery ID],Allocation[[#This Row],[Delivery ID]],Allocation[Quantity Processed])</f>
        <v>16603</v>
      </c>
      <c r="R1785" s="61">
        <f>Allocation[[#This Row],[Total volume used]]/VLOOKUP(Allocation[[#This Row],[Delivery ID]],Delivery[[Delivery ID]:[Quantity delivered]],3,FALSE)</f>
        <v>0.71245279780295223</v>
      </c>
      <c r="S1785" s="34">
        <f>Allocation[[#This Row],[Quantity Processed]]/Allocation[[#This Row],[Dilution rate]]</f>
        <v>1495.0381679389313</v>
      </c>
      <c r="T1785" s="59">
        <f>SUMIF(Allocation[Delivery ID],Allocation[[#This Row],[Delivery ID]],Allocation[Quantity allocated])/SUMIF(Allocation[Delivery ID],Allocation[[#This Row],[Delivery ID]],Allocation[Volume available (kg)])</f>
        <v>0.80065042016330834</v>
      </c>
      <c r="U1785" s="61">
        <f>Allocation[[#This Row],[Total volume used]]/VLOOKUP(Allocation[[#This Row],[Delivery ID]],Delivery[[Delivery ID]:[Quantity delivered]],3,FALSE)</f>
        <v>0.71245279780295223</v>
      </c>
      <c r="V1785" s="34" t="e">
        <f>VLOOKUP(Allocation[[#This Row],[SAP Contract number]],Shipments[[SAP Contract number]:[Contracted container weight]],2,FALSE)</f>
        <v>#N/A</v>
      </c>
      <c r="W1785" s="34" t="e">
        <f>VLOOKUP(Allocation[[#This Row],[SAP Contract number]],Shipments[[SAP Contract number]:[AAA Premium USD]],24,FALSE)</f>
        <v>#N/A</v>
      </c>
      <c r="X1785" s="34" t="e">
        <f>VLOOKUP(Allocation[[#This Row],[SAP Contract number]],Shipments[[SAP Contract number]:[RA Premium USD]],25,FALSE)</f>
        <v>#N/A</v>
      </c>
      <c r="Y1785" s="38">
        <f>Allocation[[#This Row],[Quantity Processed]]/Allocation[[#This Row],[Quantity allocated]]</f>
        <v>3.3336170212765959</v>
      </c>
      <c r="Z1785" s="34" t="b">
        <f>Allocation[[#This Row],[Quantity allocated]]&lt;=Allocation[[#This Row],[Quantity Processed]]</f>
        <v>1</v>
      </c>
    </row>
    <row r="1786" spans="1:26">
      <c r="A1786" s="247" t="s">
        <v>467</v>
      </c>
      <c r="B1786" s="210" t="s">
        <v>68</v>
      </c>
      <c r="C1786" s="254" t="s">
        <v>1105</v>
      </c>
      <c r="D1786" s="255">
        <v>2663</v>
      </c>
      <c r="E1786" s="211" t="s">
        <v>1914</v>
      </c>
      <c r="F1786" s="212">
        <v>43542</v>
      </c>
      <c r="G1786" s="213">
        <v>2.62</v>
      </c>
      <c r="H1786" s="256">
        <v>1065</v>
      </c>
      <c r="I1786" s="214">
        <v>1453748</v>
      </c>
      <c r="J1786" s="215">
        <v>19175</v>
      </c>
      <c r="K1786" s="212">
        <v>43595</v>
      </c>
      <c r="L1786" s="211" t="s">
        <v>1332</v>
      </c>
      <c r="M1786" s="216">
        <v>4615506885</v>
      </c>
      <c r="N1786" s="212">
        <v>43614</v>
      </c>
      <c r="O1786" s="217">
        <v>3.9746999999999999</v>
      </c>
      <c r="P1786" s="219"/>
      <c r="Q1786" s="34">
        <f>SUMIF(Allocation[Delivery ID],Allocation[[#This Row],[Delivery ID]],Allocation[Quantity Processed])</f>
        <v>12457</v>
      </c>
      <c r="R1786" s="61">
        <f>Allocation[[#This Row],[Total volume used]]/VLOOKUP(Allocation[[#This Row],[Delivery ID]],Delivery[[Delivery ID]:[Quantity delivered]],3,FALSE)</f>
        <v>0.89961724561276812</v>
      </c>
      <c r="S1786" s="34">
        <f>Allocation[[#This Row],[Quantity Processed]]/Allocation[[#This Row],[Dilution rate]]</f>
        <v>1016.412213740458</v>
      </c>
      <c r="T1786" s="59">
        <f>SUMIF(Allocation[Delivery ID],Allocation[[#This Row],[Delivery ID]],Allocation[Quantity allocated])/SUMIF(Allocation[Delivery ID],Allocation[[#This Row],[Delivery ID]],Allocation[Volume available (kg)])</f>
        <v>1.0187170394824583</v>
      </c>
      <c r="U1786" s="61">
        <f>Allocation[[#This Row],[Total volume used]]/VLOOKUP(Allocation[[#This Row],[Delivery ID]],Delivery[[Delivery ID]:[Quantity delivered]],3,FALSE)</f>
        <v>0.89961724561276812</v>
      </c>
      <c r="V1786" s="34" t="e">
        <f>VLOOKUP(Allocation[[#This Row],[SAP Contract number]],Shipments[[SAP Contract number]:[Contracted container weight]],2,FALSE)</f>
        <v>#N/A</v>
      </c>
      <c r="W1786" s="34" t="e">
        <f>VLOOKUP(Allocation[[#This Row],[SAP Contract number]],Shipments[[SAP Contract number]:[AAA Premium USD]],24,FALSE)</f>
        <v>#N/A</v>
      </c>
      <c r="X1786" s="34" t="e">
        <f>VLOOKUP(Allocation[[#This Row],[SAP Contract number]],Shipments[[SAP Contract number]:[RA Premium USD]],25,FALSE)</f>
        <v>#N/A</v>
      </c>
      <c r="Y1786" s="38">
        <f>Allocation[[#This Row],[Quantity Processed]]/Allocation[[#This Row],[Quantity allocated]]</f>
        <v>2.5004694835680752</v>
      </c>
      <c r="Z1786" s="34" t="b">
        <f>Allocation[[#This Row],[Quantity allocated]]&lt;=Allocation[[#This Row],[Quantity Processed]]</f>
        <v>1</v>
      </c>
    </row>
    <row r="1787" spans="1:26">
      <c r="A1787" s="247" t="s">
        <v>467</v>
      </c>
      <c r="B1787" s="210" t="s">
        <v>68</v>
      </c>
      <c r="C1787" s="254" t="s">
        <v>1109</v>
      </c>
      <c r="D1787" s="255">
        <v>5111</v>
      </c>
      <c r="E1787" s="211" t="s">
        <v>1914</v>
      </c>
      <c r="F1787" s="212">
        <v>43542</v>
      </c>
      <c r="G1787" s="213">
        <v>2.62</v>
      </c>
      <c r="H1787" s="256">
        <v>1789</v>
      </c>
      <c r="I1787" s="214">
        <v>1453748</v>
      </c>
      <c r="J1787" s="215">
        <v>19175</v>
      </c>
      <c r="K1787" s="212">
        <v>43595</v>
      </c>
      <c r="L1787" s="211" t="s">
        <v>1332</v>
      </c>
      <c r="M1787" s="216">
        <v>4615506885</v>
      </c>
      <c r="N1787" s="212">
        <v>43614</v>
      </c>
      <c r="O1787" s="217">
        <v>3.9746999999999999</v>
      </c>
      <c r="P1787" s="219"/>
      <c r="Q1787" s="34">
        <f>SUMIF(Allocation[Delivery ID],Allocation[[#This Row],[Delivery ID]],Allocation[Quantity Processed])</f>
        <v>23260</v>
      </c>
      <c r="R1787" s="61">
        <f>Allocation[[#This Row],[Total volume used]]/VLOOKUP(Allocation[[#This Row],[Delivery ID]],Delivery[[Delivery ID]:[Quantity delivered]],3,FALSE)</f>
        <v>1</v>
      </c>
      <c r="S1787" s="34">
        <f>Allocation[[#This Row],[Quantity Processed]]/Allocation[[#This Row],[Dilution rate]]</f>
        <v>1950.7633587786258</v>
      </c>
      <c r="T1787" s="59">
        <f>SUMIF(Allocation[Delivery ID],Allocation[[#This Row],[Delivery ID]],Allocation[Quantity allocated])/SUMIF(Allocation[Delivery ID],Allocation[[#This Row],[Delivery ID]],Allocation[Volume available (kg)])</f>
        <v>0.89085097920131462</v>
      </c>
      <c r="U1787" s="61">
        <f>Allocation[[#This Row],[Total volume used]]/VLOOKUP(Allocation[[#This Row],[Delivery ID]],Delivery[[Delivery ID]:[Quantity delivered]],3,FALSE)</f>
        <v>1</v>
      </c>
      <c r="V1787" s="34" t="e">
        <f>VLOOKUP(Allocation[[#This Row],[SAP Contract number]],Shipments[[SAP Contract number]:[Contracted container weight]],2,FALSE)</f>
        <v>#N/A</v>
      </c>
      <c r="W1787" s="34" t="e">
        <f>VLOOKUP(Allocation[[#This Row],[SAP Contract number]],Shipments[[SAP Contract number]:[AAA Premium USD]],24,FALSE)</f>
        <v>#N/A</v>
      </c>
      <c r="X1787" s="34" t="e">
        <f>VLOOKUP(Allocation[[#This Row],[SAP Contract number]],Shipments[[SAP Contract number]:[RA Premium USD]],25,FALSE)</f>
        <v>#N/A</v>
      </c>
      <c r="Y1787" s="38">
        <f>Allocation[[#This Row],[Quantity Processed]]/Allocation[[#This Row],[Quantity allocated]]</f>
        <v>2.8569032979318054</v>
      </c>
      <c r="Z1787" s="34" t="b">
        <f>Allocation[[#This Row],[Quantity allocated]]&lt;=Allocation[[#This Row],[Quantity Processed]]</f>
        <v>1</v>
      </c>
    </row>
    <row r="1788" spans="1:26">
      <c r="A1788" s="247" t="s">
        <v>467</v>
      </c>
      <c r="B1788" s="210" t="s">
        <v>68</v>
      </c>
      <c r="C1788" s="254" t="s">
        <v>1116</v>
      </c>
      <c r="D1788" s="255">
        <v>5107</v>
      </c>
      <c r="E1788" s="211" t="s">
        <v>1914</v>
      </c>
      <c r="F1788" s="212">
        <v>43542</v>
      </c>
      <c r="G1788" s="213">
        <v>2.62</v>
      </c>
      <c r="H1788" s="256">
        <v>1750</v>
      </c>
      <c r="I1788" s="214">
        <v>1453748</v>
      </c>
      <c r="J1788" s="215">
        <v>19175</v>
      </c>
      <c r="K1788" s="212">
        <v>43595</v>
      </c>
      <c r="L1788" s="211" t="s">
        <v>1332</v>
      </c>
      <c r="M1788" s="216">
        <v>4615506885</v>
      </c>
      <c r="N1788" s="212">
        <v>43614</v>
      </c>
      <c r="O1788" s="217">
        <v>3.9746999999999999</v>
      </c>
      <c r="P1788" s="219"/>
      <c r="Q1788" s="34">
        <f>SUMIF(Allocation[Delivery ID],Allocation[[#This Row],[Delivery ID]],Allocation[Quantity Processed])</f>
        <v>24010</v>
      </c>
      <c r="R1788" s="61">
        <f>Allocation[[#This Row],[Total volume used]]/VLOOKUP(Allocation[[#This Row],[Delivery ID]],Delivery[[Delivery ID]:[Quantity delivered]],3,FALSE)</f>
        <v>1</v>
      </c>
      <c r="S1788" s="34">
        <f>Allocation[[#This Row],[Quantity Processed]]/Allocation[[#This Row],[Dilution rate]]</f>
        <v>1949.2366412213739</v>
      </c>
      <c r="T1788" s="59">
        <f>SUMIF(Allocation[Delivery ID],Allocation[[#This Row],[Delivery ID]],Allocation[Quantity allocated])/SUMIF(Allocation[Delivery ID],Allocation[[#This Row],[Delivery ID]],Allocation[Volume available (kg)])</f>
        <v>0.86627879989489276</v>
      </c>
      <c r="U1788" s="61">
        <f>Allocation[[#This Row],[Total volume used]]/VLOOKUP(Allocation[[#This Row],[Delivery ID]],Delivery[[Delivery ID]:[Quantity delivered]],3,FALSE)</f>
        <v>1</v>
      </c>
      <c r="V1788" s="34" t="e">
        <f>VLOOKUP(Allocation[[#This Row],[SAP Contract number]],Shipments[[SAP Contract number]:[Contracted container weight]],2,FALSE)</f>
        <v>#N/A</v>
      </c>
      <c r="W1788" s="34" t="e">
        <f>VLOOKUP(Allocation[[#This Row],[SAP Contract number]],Shipments[[SAP Contract number]:[AAA Premium USD]],24,FALSE)</f>
        <v>#N/A</v>
      </c>
      <c r="X1788" s="34" t="e">
        <f>VLOOKUP(Allocation[[#This Row],[SAP Contract number]],Shipments[[SAP Contract number]:[RA Premium USD]],25,FALSE)</f>
        <v>#N/A</v>
      </c>
      <c r="Y1788" s="38">
        <f>Allocation[[#This Row],[Quantity Processed]]/Allocation[[#This Row],[Quantity allocated]]</f>
        <v>2.9182857142857141</v>
      </c>
      <c r="Z1788" s="34" t="b">
        <f>Allocation[[#This Row],[Quantity allocated]]&lt;=Allocation[[#This Row],[Quantity Processed]]</f>
        <v>1</v>
      </c>
    </row>
    <row r="1789" spans="1:26">
      <c r="A1789" s="247" t="s">
        <v>467</v>
      </c>
      <c r="B1789" s="210" t="s">
        <v>68</v>
      </c>
      <c r="C1789" s="254" t="s">
        <v>1669</v>
      </c>
      <c r="D1789" s="255">
        <v>500</v>
      </c>
      <c r="E1789" s="211" t="s">
        <v>1914</v>
      </c>
      <c r="F1789" s="212">
        <v>43542</v>
      </c>
      <c r="G1789" s="213">
        <v>2.62</v>
      </c>
      <c r="H1789" s="256">
        <v>200</v>
      </c>
      <c r="I1789" s="214">
        <v>1453748</v>
      </c>
      <c r="J1789" s="215">
        <v>19175</v>
      </c>
      <c r="K1789" s="212">
        <v>43595</v>
      </c>
      <c r="L1789" s="211" t="s">
        <v>1332</v>
      </c>
      <c r="M1789" s="216">
        <v>4615506885</v>
      </c>
      <c r="N1789" s="212">
        <v>43614</v>
      </c>
      <c r="O1789" s="217">
        <v>3.9746999999999999</v>
      </c>
      <c r="P1789" s="219"/>
      <c r="Q1789" s="34">
        <f>SUMIF(Allocation[Delivery ID],Allocation[[#This Row],[Delivery ID]],Allocation[Quantity Processed])</f>
        <v>18270</v>
      </c>
      <c r="R1789" s="61">
        <f>Allocation[[#This Row],[Total volume used]]/VLOOKUP(Allocation[[#This Row],[Delivery ID]],Delivery[[Delivery ID]:[Quantity delivered]],3,FALSE)</f>
        <v>0.77591149427728112</v>
      </c>
      <c r="S1789" s="34">
        <f>Allocation[[#This Row],[Quantity Processed]]/Allocation[[#This Row],[Dilution rate]]</f>
        <v>190.83969465648855</v>
      </c>
      <c r="T1789" s="59">
        <f>SUMIF(Allocation[Delivery ID],Allocation[[#This Row],[Delivery ID]],Allocation[Quantity allocated])/SUMIF(Allocation[Delivery ID],Allocation[[#This Row],[Delivery ID]],Allocation[Volume available (kg)])</f>
        <v>1.0169862938572127</v>
      </c>
      <c r="U1789" s="61">
        <f>Allocation[[#This Row],[Total volume used]]/VLOOKUP(Allocation[[#This Row],[Delivery ID]],Delivery[[Delivery ID]:[Quantity delivered]],3,FALSE)</f>
        <v>0.77591149427728112</v>
      </c>
      <c r="V1789" s="34" t="e">
        <f>VLOOKUP(Allocation[[#This Row],[SAP Contract number]],Shipments[[SAP Contract number]:[Contracted container weight]],2,FALSE)</f>
        <v>#N/A</v>
      </c>
      <c r="W1789" s="34" t="e">
        <f>VLOOKUP(Allocation[[#This Row],[SAP Contract number]],Shipments[[SAP Contract number]:[AAA Premium USD]],24,FALSE)</f>
        <v>#N/A</v>
      </c>
      <c r="X1789" s="34" t="e">
        <f>VLOOKUP(Allocation[[#This Row],[SAP Contract number]],Shipments[[SAP Contract number]:[RA Premium USD]],25,FALSE)</f>
        <v>#N/A</v>
      </c>
      <c r="Y1789" s="38">
        <f>Allocation[[#This Row],[Quantity Processed]]/Allocation[[#This Row],[Quantity allocated]]</f>
        <v>2.5</v>
      </c>
      <c r="Z1789" s="34" t="b">
        <f>Allocation[[#This Row],[Quantity allocated]]&lt;=Allocation[[#This Row],[Quantity Processed]]</f>
        <v>1</v>
      </c>
    </row>
    <row r="1790" spans="1:26">
      <c r="A1790" s="247" t="s">
        <v>467</v>
      </c>
      <c r="B1790" s="210" t="s">
        <v>68</v>
      </c>
      <c r="C1790" s="254" t="s">
        <v>1670</v>
      </c>
      <c r="D1790" s="255">
        <v>93</v>
      </c>
      <c r="E1790" s="211" t="s">
        <v>1914</v>
      </c>
      <c r="F1790" s="212">
        <v>43542</v>
      </c>
      <c r="G1790" s="213">
        <v>2.62</v>
      </c>
      <c r="H1790" s="256">
        <v>37</v>
      </c>
      <c r="I1790" s="214">
        <v>1453748</v>
      </c>
      <c r="J1790" s="215">
        <v>19175</v>
      </c>
      <c r="K1790" s="212">
        <v>43595</v>
      </c>
      <c r="L1790" s="211" t="s">
        <v>1332</v>
      </c>
      <c r="M1790" s="216">
        <v>4615506885</v>
      </c>
      <c r="N1790" s="212">
        <v>43614</v>
      </c>
      <c r="O1790" s="217">
        <v>3.9746999999999999</v>
      </c>
      <c r="P1790" s="219"/>
      <c r="Q1790" s="34">
        <f>SUMIF(Allocation[Delivery ID],Allocation[[#This Row],[Delivery ID]],Allocation[Quantity Processed])</f>
        <v>915</v>
      </c>
      <c r="R1790" s="61">
        <f>Allocation[[#This Row],[Total volume used]]/VLOOKUP(Allocation[[#This Row],[Delivery ID]],Delivery[[Delivery ID]:[Quantity delivered]],3,FALSE)</f>
        <v>0.11506539235412475</v>
      </c>
      <c r="S1790" s="34">
        <f>Allocation[[#This Row],[Quantity Processed]]/Allocation[[#This Row],[Dilution rate]]</f>
        <v>35.496183206106871</v>
      </c>
      <c r="T1790" s="59">
        <f>SUMIF(Allocation[Delivery ID],Allocation[[#This Row],[Delivery ID]],Allocation[Quantity allocated])/SUMIF(Allocation[Delivery ID],Allocation[[#This Row],[Delivery ID]],Allocation[Volume available (kg)])</f>
        <v>0.89539346592143143</v>
      </c>
      <c r="U1790" s="61">
        <f>Allocation[[#This Row],[Total volume used]]/VLOOKUP(Allocation[[#This Row],[Delivery ID]],Delivery[[Delivery ID]:[Quantity delivered]],3,FALSE)</f>
        <v>0.11506539235412475</v>
      </c>
      <c r="V1790" s="34" t="e">
        <f>VLOOKUP(Allocation[[#This Row],[SAP Contract number]],Shipments[[SAP Contract number]:[Contracted container weight]],2,FALSE)</f>
        <v>#N/A</v>
      </c>
      <c r="W1790" s="34" t="e">
        <f>VLOOKUP(Allocation[[#This Row],[SAP Contract number]],Shipments[[SAP Contract number]:[AAA Premium USD]],24,FALSE)</f>
        <v>#N/A</v>
      </c>
      <c r="X1790" s="34" t="e">
        <f>VLOOKUP(Allocation[[#This Row],[SAP Contract number]],Shipments[[SAP Contract number]:[RA Premium USD]],25,FALSE)</f>
        <v>#N/A</v>
      </c>
      <c r="Y1790" s="38">
        <f>Allocation[[#This Row],[Quantity Processed]]/Allocation[[#This Row],[Quantity allocated]]</f>
        <v>2.5135135135135136</v>
      </c>
      <c r="Z1790" s="34" t="b">
        <f>Allocation[[#This Row],[Quantity allocated]]&lt;=Allocation[[#This Row],[Quantity Processed]]</f>
        <v>1</v>
      </c>
    </row>
    <row r="1791" spans="1:26">
      <c r="A1791" s="247" t="s">
        <v>467</v>
      </c>
      <c r="B1791" s="210" t="s">
        <v>68</v>
      </c>
      <c r="C1791" s="254" t="s">
        <v>1671</v>
      </c>
      <c r="D1791" s="255">
        <v>665</v>
      </c>
      <c r="E1791" s="211" t="s">
        <v>1914</v>
      </c>
      <c r="F1791" s="212">
        <v>43542</v>
      </c>
      <c r="G1791" s="213">
        <v>2.62</v>
      </c>
      <c r="H1791" s="256">
        <v>266</v>
      </c>
      <c r="I1791" s="214">
        <v>1453748</v>
      </c>
      <c r="J1791" s="215">
        <v>19175</v>
      </c>
      <c r="K1791" s="212">
        <v>43595</v>
      </c>
      <c r="L1791" s="211" t="s">
        <v>1332</v>
      </c>
      <c r="M1791" s="216">
        <v>4615506885</v>
      </c>
      <c r="N1791" s="212">
        <v>43614</v>
      </c>
      <c r="O1791" s="217">
        <v>3.9746999999999999</v>
      </c>
      <c r="P1791" s="219"/>
      <c r="Q1791" s="34">
        <f>SUMIF(Allocation[Delivery ID],Allocation[[#This Row],[Delivery ID]],Allocation[Quantity Processed])</f>
        <v>25604</v>
      </c>
      <c r="R1791" s="61">
        <f>Allocation[[#This Row],[Total volume used]]/VLOOKUP(Allocation[[#This Row],[Delivery ID]],Delivery[[Delivery ID]:[Quantity delivered]],3,FALSE)</f>
        <v>0.81642804757501353</v>
      </c>
      <c r="S1791" s="34">
        <f>Allocation[[#This Row],[Quantity Processed]]/Allocation[[#This Row],[Dilution rate]]</f>
        <v>253.81679389312976</v>
      </c>
      <c r="T1791" s="59">
        <f>SUMIF(Allocation[Delivery ID],Allocation[[#This Row],[Delivery ID]],Allocation[Quantity allocated])/SUMIF(Allocation[Delivery ID],Allocation[[#This Row],[Delivery ID]],Allocation[Volume available (kg)])</f>
        <v>1.0180340767934712</v>
      </c>
      <c r="U1791" s="61">
        <f>Allocation[[#This Row],[Total volume used]]/VLOOKUP(Allocation[[#This Row],[Delivery ID]],Delivery[[Delivery ID]:[Quantity delivered]],3,FALSE)</f>
        <v>0.81642804757501353</v>
      </c>
      <c r="V1791" s="34" t="e">
        <f>VLOOKUP(Allocation[[#This Row],[SAP Contract number]],Shipments[[SAP Contract number]:[Contracted container weight]],2,FALSE)</f>
        <v>#N/A</v>
      </c>
      <c r="W1791" s="34" t="e">
        <f>VLOOKUP(Allocation[[#This Row],[SAP Contract number]],Shipments[[SAP Contract number]:[AAA Premium USD]],24,FALSE)</f>
        <v>#N/A</v>
      </c>
      <c r="X1791" s="34" t="e">
        <f>VLOOKUP(Allocation[[#This Row],[SAP Contract number]],Shipments[[SAP Contract number]:[RA Premium USD]],25,FALSE)</f>
        <v>#N/A</v>
      </c>
      <c r="Y1791" s="38">
        <f>Allocation[[#This Row],[Quantity Processed]]/Allocation[[#This Row],[Quantity allocated]]</f>
        <v>2.5</v>
      </c>
      <c r="Z1791" s="34" t="b">
        <f>Allocation[[#This Row],[Quantity allocated]]&lt;=Allocation[[#This Row],[Quantity Processed]]</f>
        <v>1</v>
      </c>
    </row>
    <row r="1792" spans="1:26">
      <c r="A1792" s="247" t="s">
        <v>467</v>
      </c>
      <c r="B1792" s="210" t="s">
        <v>68</v>
      </c>
      <c r="C1792" s="254" t="s">
        <v>1118</v>
      </c>
      <c r="D1792" s="255">
        <v>3040</v>
      </c>
      <c r="E1792" s="211" t="s">
        <v>1914</v>
      </c>
      <c r="F1792" s="212">
        <v>43542</v>
      </c>
      <c r="G1792" s="213">
        <v>2.62</v>
      </c>
      <c r="H1792" s="256">
        <v>1307</v>
      </c>
      <c r="I1792" s="214">
        <v>1453748</v>
      </c>
      <c r="J1792" s="215">
        <v>19175</v>
      </c>
      <c r="K1792" s="212">
        <v>43595</v>
      </c>
      <c r="L1792" s="211" t="s">
        <v>1332</v>
      </c>
      <c r="M1792" s="216">
        <v>4615506885</v>
      </c>
      <c r="N1792" s="212">
        <v>43614</v>
      </c>
      <c r="O1792" s="217">
        <v>3.9746999999999999</v>
      </c>
      <c r="P1792" s="219"/>
      <c r="Q1792" s="34">
        <f>SUMIF(Allocation[Delivery ID],Allocation[[#This Row],[Delivery ID]],Allocation[Quantity Processed])</f>
        <v>29102</v>
      </c>
      <c r="R1792" s="61">
        <f>Allocation[[#This Row],[Total volume used]]/VLOOKUP(Allocation[[#This Row],[Delivery ID]],Delivery[[Delivery ID]:[Quantity delivered]],3,FALSE)</f>
        <v>0.93816892327530621</v>
      </c>
      <c r="S1792" s="34">
        <f>Allocation[[#This Row],[Quantity Processed]]/Allocation[[#This Row],[Dilution rate]]</f>
        <v>1160.3053435114502</v>
      </c>
      <c r="T1792" s="59">
        <f>SUMIF(Allocation[Delivery ID],Allocation[[#This Row],[Delivery ID]],Allocation[Quantity allocated])/SUMIF(Allocation[Delivery ID],Allocation[[#This Row],[Delivery ID]],Allocation[Volume available (kg)])</f>
        <v>0.98724339684173867</v>
      </c>
      <c r="U1792" s="61">
        <f>Allocation[[#This Row],[Total volume used]]/VLOOKUP(Allocation[[#This Row],[Delivery ID]],Delivery[[Delivery ID]:[Quantity delivered]],3,FALSE)</f>
        <v>0.93816892327530621</v>
      </c>
      <c r="V1792" s="34" t="e">
        <f>VLOOKUP(Allocation[[#This Row],[SAP Contract number]],Shipments[[SAP Contract number]:[Contracted container weight]],2,FALSE)</f>
        <v>#N/A</v>
      </c>
      <c r="W1792" s="34" t="e">
        <f>VLOOKUP(Allocation[[#This Row],[SAP Contract number]],Shipments[[SAP Contract number]:[AAA Premium USD]],24,FALSE)</f>
        <v>#N/A</v>
      </c>
      <c r="X1792" s="34" t="e">
        <f>VLOOKUP(Allocation[[#This Row],[SAP Contract number]],Shipments[[SAP Contract number]:[RA Premium USD]],25,FALSE)</f>
        <v>#N/A</v>
      </c>
      <c r="Y1792" s="38">
        <f>Allocation[[#This Row],[Quantity Processed]]/Allocation[[#This Row],[Quantity allocated]]</f>
        <v>2.325937260902831</v>
      </c>
      <c r="Z1792" s="34" t="b">
        <f>Allocation[[#This Row],[Quantity allocated]]&lt;=Allocation[[#This Row],[Quantity Processed]]</f>
        <v>1</v>
      </c>
    </row>
    <row r="1793" spans="1:26">
      <c r="A1793" s="247" t="s">
        <v>467</v>
      </c>
      <c r="B1793" s="210" t="s">
        <v>68</v>
      </c>
      <c r="C1793" s="254" t="s">
        <v>1119</v>
      </c>
      <c r="D1793" s="255">
        <v>3028</v>
      </c>
      <c r="E1793" s="211" t="s">
        <v>1914</v>
      </c>
      <c r="F1793" s="212">
        <v>43542</v>
      </c>
      <c r="G1793" s="213">
        <v>2.62</v>
      </c>
      <c r="H1793" s="256">
        <v>1302</v>
      </c>
      <c r="I1793" s="214">
        <v>1453748</v>
      </c>
      <c r="J1793" s="215">
        <v>19175</v>
      </c>
      <c r="K1793" s="212">
        <v>43595</v>
      </c>
      <c r="L1793" s="211" t="s">
        <v>1332</v>
      </c>
      <c r="M1793" s="216">
        <v>4615506885</v>
      </c>
      <c r="N1793" s="212">
        <v>43614</v>
      </c>
      <c r="O1793" s="217">
        <v>3.9746999999999999</v>
      </c>
      <c r="P1793" s="219"/>
      <c r="Q1793" s="34">
        <f>SUMIF(Allocation[Delivery ID],Allocation[[#This Row],[Delivery ID]],Allocation[Quantity Processed])</f>
        <v>29056</v>
      </c>
      <c r="R1793" s="61">
        <f>Allocation[[#This Row],[Total volume used]]/VLOOKUP(Allocation[[#This Row],[Delivery ID]],Delivery[[Delivery ID]:[Quantity delivered]],3,FALSE)</f>
        <v>0.94062803496277114</v>
      </c>
      <c r="S1793" s="34">
        <f>Allocation[[#This Row],[Quantity Processed]]/Allocation[[#This Row],[Dilution rate]]</f>
        <v>1155.7251908396945</v>
      </c>
      <c r="T1793" s="59">
        <f>SUMIF(Allocation[Delivery ID],Allocation[[#This Row],[Delivery ID]],Allocation[Quantity allocated])/SUMIF(Allocation[Delivery ID],Allocation[[#This Row],[Delivery ID]],Allocation[Volume available (kg)])</f>
        <v>0.98700841277560369</v>
      </c>
      <c r="U1793" s="61">
        <f>Allocation[[#This Row],[Total volume used]]/VLOOKUP(Allocation[[#This Row],[Delivery ID]],Delivery[[Delivery ID]:[Quantity delivered]],3,FALSE)</f>
        <v>0.94062803496277114</v>
      </c>
      <c r="V1793" s="34" t="e">
        <f>VLOOKUP(Allocation[[#This Row],[SAP Contract number]],Shipments[[SAP Contract number]:[Contracted container weight]],2,FALSE)</f>
        <v>#N/A</v>
      </c>
      <c r="W1793" s="34" t="e">
        <f>VLOOKUP(Allocation[[#This Row],[SAP Contract number]],Shipments[[SAP Contract number]:[AAA Premium USD]],24,FALSE)</f>
        <v>#N/A</v>
      </c>
      <c r="X1793" s="34" t="e">
        <f>VLOOKUP(Allocation[[#This Row],[SAP Contract number]],Shipments[[SAP Contract number]:[RA Premium USD]],25,FALSE)</f>
        <v>#N/A</v>
      </c>
      <c r="Y1793" s="38">
        <f>Allocation[[#This Row],[Quantity Processed]]/Allocation[[#This Row],[Quantity allocated]]</f>
        <v>2.3256528417818743</v>
      </c>
      <c r="Z1793" s="34" t="b">
        <f>Allocation[[#This Row],[Quantity allocated]]&lt;=Allocation[[#This Row],[Quantity Processed]]</f>
        <v>1</v>
      </c>
    </row>
    <row r="1794" spans="1:26">
      <c r="A1794" s="247" t="s">
        <v>467</v>
      </c>
      <c r="B1794" s="210" t="s">
        <v>68</v>
      </c>
      <c r="C1794" s="254" t="s">
        <v>1121</v>
      </c>
      <c r="D1794" s="255">
        <v>3067</v>
      </c>
      <c r="E1794" s="211" t="s">
        <v>1914</v>
      </c>
      <c r="F1794" s="212">
        <v>43542</v>
      </c>
      <c r="G1794" s="213">
        <v>2.62</v>
      </c>
      <c r="H1794" s="256">
        <v>1319</v>
      </c>
      <c r="I1794" s="214">
        <v>1453748</v>
      </c>
      <c r="J1794" s="215">
        <v>19175</v>
      </c>
      <c r="K1794" s="212">
        <v>43595</v>
      </c>
      <c r="L1794" s="211" t="s">
        <v>1332</v>
      </c>
      <c r="M1794" s="216">
        <v>4615506885</v>
      </c>
      <c r="N1794" s="212">
        <v>43614</v>
      </c>
      <c r="O1794" s="217">
        <v>3.9746999999999999</v>
      </c>
      <c r="P1794" s="219"/>
      <c r="Q1794" s="34">
        <f>SUMIF(Allocation[Delivery ID],Allocation[[#This Row],[Delivery ID]],Allocation[Quantity Processed])</f>
        <v>29140</v>
      </c>
      <c r="R1794" s="61">
        <f>Allocation[[#This Row],[Total volume used]]/VLOOKUP(Allocation[[#This Row],[Delivery ID]],Delivery[[Delivery ID]:[Quantity delivered]],3,FALSE)</f>
        <v>0.93099041533546323</v>
      </c>
      <c r="S1794" s="34">
        <f>Allocation[[#This Row],[Quantity Processed]]/Allocation[[#This Row],[Dilution rate]]</f>
        <v>1170.6106870229007</v>
      </c>
      <c r="T1794" s="59">
        <f>SUMIF(Allocation[Delivery ID],Allocation[[#This Row],[Delivery ID]],Allocation[Quantity allocated])/SUMIF(Allocation[Delivery ID],Allocation[[#This Row],[Delivery ID]],Allocation[Volume available (kg)])</f>
        <v>0.98792443374064631</v>
      </c>
      <c r="U1794" s="61">
        <f>Allocation[[#This Row],[Total volume used]]/VLOOKUP(Allocation[[#This Row],[Delivery ID]],Delivery[[Delivery ID]:[Quantity delivered]],3,FALSE)</f>
        <v>0.93099041533546323</v>
      </c>
      <c r="V1794" s="34" t="e">
        <f>VLOOKUP(Allocation[[#This Row],[SAP Contract number]],Shipments[[SAP Contract number]:[Contracted container weight]],2,FALSE)</f>
        <v>#N/A</v>
      </c>
      <c r="W1794" s="34" t="e">
        <f>VLOOKUP(Allocation[[#This Row],[SAP Contract number]],Shipments[[SAP Contract number]:[AAA Premium USD]],24,FALSE)</f>
        <v>#N/A</v>
      </c>
      <c r="X1794" s="34" t="e">
        <f>VLOOKUP(Allocation[[#This Row],[SAP Contract number]],Shipments[[SAP Contract number]:[RA Premium USD]],25,FALSE)</f>
        <v>#N/A</v>
      </c>
      <c r="Y1794" s="38">
        <f>Allocation[[#This Row],[Quantity Processed]]/Allocation[[#This Row],[Quantity allocated]]</f>
        <v>2.3252463987869598</v>
      </c>
      <c r="Z1794" s="34" t="b">
        <f>Allocation[[#This Row],[Quantity allocated]]&lt;=Allocation[[#This Row],[Quantity Processed]]</f>
        <v>1</v>
      </c>
    </row>
    <row r="1795" spans="1:26">
      <c r="A1795" s="247" t="s">
        <v>467</v>
      </c>
      <c r="B1795" s="210" t="s">
        <v>68</v>
      </c>
      <c r="C1795" s="254" t="s">
        <v>1123</v>
      </c>
      <c r="D1795" s="255">
        <v>2967</v>
      </c>
      <c r="E1795" s="211" t="s">
        <v>1914</v>
      </c>
      <c r="F1795" s="212">
        <v>43542</v>
      </c>
      <c r="G1795" s="213">
        <v>2.62</v>
      </c>
      <c r="H1795" s="256">
        <v>1276</v>
      </c>
      <c r="I1795" s="214">
        <v>1453748</v>
      </c>
      <c r="J1795" s="215">
        <v>19175</v>
      </c>
      <c r="K1795" s="212">
        <v>43595</v>
      </c>
      <c r="L1795" s="211" t="s">
        <v>1332</v>
      </c>
      <c r="M1795" s="216">
        <v>4615506885</v>
      </c>
      <c r="N1795" s="212">
        <v>43614</v>
      </c>
      <c r="O1795" s="217">
        <v>3.9746999999999999</v>
      </c>
      <c r="P1795" s="219"/>
      <c r="Q1795" s="34">
        <f>SUMIF(Allocation[Delivery ID],Allocation[[#This Row],[Delivery ID]],Allocation[Quantity Processed])</f>
        <v>28827</v>
      </c>
      <c r="R1795" s="61">
        <f>Allocation[[#This Row],[Total volume used]]/VLOOKUP(Allocation[[#This Row],[Delivery ID]],Delivery[[Delivery ID]:[Quantity delivered]],3,FALSE)</f>
        <v>0.95201453104359313</v>
      </c>
      <c r="S1795" s="34">
        <f>Allocation[[#This Row],[Quantity Processed]]/Allocation[[#This Row],[Dilution rate]]</f>
        <v>1132.4427480916031</v>
      </c>
      <c r="T1795" s="59">
        <f>SUMIF(Allocation[Delivery ID],Allocation[[#This Row],[Delivery ID]],Allocation[Quantity allocated])/SUMIF(Allocation[Delivery ID],Allocation[[#This Row],[Delivery ID]],Allocation[Volume available (kg)])</f>
        <v>0.98595213653173808</v>
      </c>
      <c r="U1795" s="61">
        <f>Allocation[[#This Row],[Total volume used]]/VLOOKUP(Allocation[[#This Row],[Delivery ID]],Delivery[[Delivery ID]:[Quantity delivered]],3,FALSE)</f>
        <v>0.95201453104359313</v>
      </c>
      <c r="V1795" s="34" t="e">
        <f>VLOOKUP(Allocation[[#This Row],[SAP Contract number]],Shipments[[SAP Contract number]:[Contracted container weight]],2,FALSE)</f>
        <v>#N/A</v>
      </c>
      <c r="W1795" s="34" t="e">
        <f>VLOOKUP(Allocation[[#This Row],[SAP Contract number]],Shipments[[SAP Contract number]:[AAA Premium USD]],24,FALSE)</f>
        <v>#N/A</v>
      </c>
      <c r="X1795" s="34" t="e">
        <f>VLOOKUP(Allocation[[#This Row],[SAP Contract number]],Shipments[[SAP Contract number]:[RA Premium USD]],25,FALSE)</f>
        <v>#N/A</v>
      </c>
      <c r="Y1795" s="38">
        <f>Allocation[[#This Row],[Quantity Processed]]/Allocation[[#This Row],[Quantity allocated]]</f>
        <v>2.3252351097178683</v>
      </c>
      <c r="Z1795" s="34" t="b">
        <f>Allocation[[#This Row],[Quantity allocated]]&lt;=Allocation[[#This Row],[Quantity Processed]]</f>
        <v>1</v>
      </c>
    </row>
    <row r="1796" spans="1:26">
      <c r="A1796" s="247" t="s">
        <v>467</v>
      </c>
      <c r="B1796" s="210" t="s">
        <v>68</v>
      </c>
      <c r="C1796" s="254" t="s">
        <v>1124</v>
      </c>
      <c r="D1796" s="255">
        <v>2192</v>
      </c>
      <c r="E1796" s="211" t="s">
        <v>1914</v>
      </c>
      <c r="F1796" s="212">
        <v>43542</v>
      </c>
      <c r="G1796" s="213">
        <v>2.62</v>
      </c>
      <c r="H1796" s="256">
        <v>1096</v>
      </c>
      <c r="I1796" s="214">
        <v>1453748</v>
      </c>
      <c r="J1796" s="215">
        <v>19175</v>
      </c>
      <c r="K1796" s="212">
        <v>43595</v>
      </c>
      <c r="L1796" s="211" t="s">
        <v>1332</v>
      </c>
      <c r="M1796" s="216">
        <v>4615506885</v>
      </c>
      <c r="N1796" s="212">
        <v>43614</v>
      </c>
      <c r="O1796" s="217">
        <v>3.9746999999999999</v>
      </c>
      <c r="P1796" s="219"/>
      <c r="Q1796" s="34">
        <f>SUMIF(Allocation[Delivery ID],Allocation[[#This Row],[Delivery ID]],Allocation[Quantity Processed])</f>
        <v>10256</v>
      </c>
      <c r="R1796" s="61">
        <f>Allocation[[#This Row],[Total volume used]]/VLOOKUP(Allocation[[#This Row],[Delivery ID]],Delivery[[Delivery ID]:[Quantity delivered]],3,FALSE)</f>
        <v>0.71964354629337268</v>
      </c>
      <c r="S1796" s="34">
        <f>Allocation[[#This Row],[Quantity Processed]]/Allocation[[#This Row],[Dilution rate]]</f>
        <v>836.64122137404581</v>
      </c>
      <c r="T1796" s="59">
        <f>SUMIF(Allocation[Delivery ID],Allocation[[#This Row],[Delivery ID]],Allocation[Quantity allocated])/SUMIF(Allocation[Delivery ID],Allocation[[#This Row],[Delivery ID]],Allocation[Volume available (kg)])</f>
        <v>1.2735516020343203</v>
      </c>
      <c r="U1796" s="61">
        <f>Allocation[[#This Row],[Total volume used]]/VLOOKUP(Allocation[[#This Row],[Delivery ID]],Delivery[[Delivery ID]:[Quantity delivered]],3,FALSE)</f>
        <v>0.71964354629337268</v>
      </c>
      <c r="V1796" s="34" t="e">
        <f>VLOOKUP(Allocation[[#This Row],[SAP Contract number]],Shipments[[SAP Contract number]:[Contracted container weight]],2,FALSE)</f>
        <v>#N/A</v>
      </c>
      <c r="W1796" s="34" t="e">
        <f>VLOOKUP(Allocation[[#This Row],[SAP Contract number]],Shipments[[SAP Contract number]:[AAA Premium USD]],24,FALSE)</f>
        <v>#N/A</v>
      </c>
      <c r="X1796" s="34" t="e">
        <f>VLOOKUP(Allocation[[#This Row],[SAP Contract number]],Shipments[[SAP Contract number]:[RA Premium USD]],25,FALSE)</f>
        <v>#N/A</v>
      </c>
      <c r="Y1796" s="38">
        <f>Allocation[[#This Row],[Quantity Processed]]/Allocation[[#This Row],[Quantity allocated]]</f>
        <v>2</v>
      </c>
      <c r="Z1796" s="34" t="b">
        <f>Allocation[[#This Row],[Quantity allocated]]&lt;=Allocation[[#This Row],[Quantity Processed]]</f>
        <v>1</v>
      </c>
    </row>
    <row r="1797" spans="1:26">
      <c r="A1797" s="247" t="s">
        <v>467</v>
      </c>
      <c r="B1797" s="210" t="s">
        <v>68</v>
      </c>
      <c r="C1797" s="254" t="s">
        <v>1672</v>
      </c>
      <c r="D1797" s="255">
        <v>8939</v>
      </c>
      <c r="E1797" s="211" t="s">
        <v>1914</v>
      </c>
      <c r="F1797" s="212">
        <v>43542</v>
      </c>
      <c r="G1797" s="213">
        <v>2.62</v>
      </c>
      <c r="H1797" s="256">
        <v>2950</v>
      </c>
      <c r="I1797" s="214">
        <v>1453748</v>
      </c>
      <c r="J1797" s="215">
        <v>19175</v>
      </c>
      <c r="K1797" s="212">
        <v>43595</v>
      </c>
      <c r="L1797" s="211" t="s">
        <v>1332</v>
      </c>
      <c r="M1797" s="216">
        <v>4615506885</v>
      </c>
      <c r="N1797" s="212">
        <v>43614</v>
      </c>
      <c r="O1797" s="217">
        <v>3.9746999999999999</v>
      </c>
      <c r="P1797" s="219"/>
      <c r="Q1797" s="34">
        <f>SUMIF(Allocation[Delivery ID],Allocation[[#This Row],[Delivery ID]],Allocation[Quantity Processed])</f>
        <v>24691</v>
      </c>
      <c r="R1797" s="61">
        <f>Allocation[[#This Row],[Total volume used]]/VLOOKUP(Allocation[[#This Row],[Delivery ID]],Delivery[[Delivery ID]:[Quantity delivered]],3,FALSE)</f>
        <v>0.77564162975528539</v>
      </c>
      <c r="S1797" s="34">
        <f>Allocation[[#This Row],[Quantity Processed]]/Allocation[[#This Row],[Dilution rate]]</f>
        <v>3411.8320610687019</v>
      </c>
      <c r="T1797" s="59">
        <f>SUMIF(Allocation[Delivery ID],Allocation[[#This Row],[Delivery ID]],Allocation[Quantity allocated])/SUMIF(Allocation[Delivery ID],Allocation[[#This Row],[Delivery ID]],Allocation[Volume available (kg)])</f>
        <v>0.8779989177104609</v>
      </c>
      <c r="U1797" s="61">
        <f>Allocation[[#This Row],[Total volume used]]/VLOOKUP(Allocation[[#This Row],[Delivery ID]],Delivery[[Delivery ID]:[Quantity delivered]],3,FALSE)</f>
        <v>0.77564162975528539</v>
      </c>
      <c r="V1797" s="34" t="e">
        <f>VLOOKUP(Allocation[[#This Row],[SAP Contract number]],Shipments[[SAP Contract number]:[Contracted container weight]],2,FALSE)</f>
        <v>#N/A</v>
      </c>
      <c r="W1797" s="34" t="e">
        <f>VLOOKUP(Allocation[[#This Row],[SAP Contract number]],Shipments[[SAP Contract number]:[AAA Premium USD]],24,FALSE)</f>
        <v>#N/A</v>
      </c>
      <c r="X1797" s="34" t="e">
        <f>VLOOKUP(Allocation[[#This Row],[SAP Contract number]],Shipments[[SAP Contract number]:[RA Premium USD]],25,FALSE)</f>
        <v>#N/A</v>
      </c>
      <c r="Y1797" s="38">
        <f>Allocation[[#This Row],[Quantity Processed]]/Allocation[[#This Row],[Quantity allocated]]</f>
        <v>3.0301694915254238</v>
      </c>
      <c r="Z1797" s="34" t="b">
        <f>Allocation[[#This Row],[Quantity allocated]]&lt;=Allocation[[#This Row],[Quantity Processed]]</f>
        <v>1</v>
      </c>
    </row>
    <row r="1798" spans="1:26">
      <c r="A1798" s="247" t="s">
        <v>467</v>
      </c>
      <c r="B1798" s="210" t="s">
        <v>68</v>
      </c>
      <c r="C1798" s="254" t="s">
        <v>1673</v>
      </c>
      <c r="D1798" s="255">
        <v>918</v>
      </c>
      <c r="E1798" s="211" t="s">
        <v>1914</v>
      </c>
      <c r="F1798" s="212">
        <v>43542</v>
      </c>
      <c r="G1798" s="213">
        <v>2.62</v>
      </c>
      <c r="H1798" s="256">
        <v>303</v>
      </c>
      <c r="I1798" s="214">
        <v>1453748</v>
      </c>
      <c r="J1798" s="215">
        <v>19175</v>
      </c>
      <c r="K1798" s="212">
        <v>43595</v>
      </c>
      <c r="L1798" s="211" t="s">
        <v>1332</v>
      </c>
      <c r="M1798" s="216">
        <v>4615506885</v>
      </c>
      <c r="N1798" s="212">
        <v>43614</v>
      </c>
      <c r="O1798" s="217">
        <v>3.9746999999999999</v>
      </c>
      <c r="P1798" s="219"/>
      <c r="Q1798" s="34">
        <f>SUMIF(Allocation[Delivery ID],Allocation[[#This Row],[Delivery ID]],Allocation[Quantity Processed])</f>
        <v>3888</v>
      </c>
      <c r="R1798" s="61">
        <f>Allocation[[#This Row],[Total volume used]]/VLOOKUP(Allocation[[#This Row],[Delivery ID]],Delivery[[Delivery ID]:[Quantity delivered]],3,FALSE)</f>
        <v>0.64724488097219912</v>
      </c>
      <c r="S1798" s="34">
        <f>Allocation[[#This Row],[Quantity Processed]]/Allocation[[#This Row],[Dilution rate]]</f>
        <v>350.38167938931298</v>
      </c>
      <c r="T1798" s="59">
        <f>SUMIF(Allocation[Delivery ID],Allocation[[#This Row],[Delivery ID]],Allocation[Quantity allocated])/SUMIF(Allocation[Delivery ID],Allocation[[#This Row],[Delivery ID]],Allocation[Volume available (kg)])</f>
        <v>0.88067594539644489</v>
      </c>
      <c r="U1798" s="61">
        <f>Allocation[[#This Row],[Total volume used]]/VLOOKUP(Allocation[[#This Row],[Delivery ID]],Delivery[[Delivery ID]:[Quantity delivered]],3,FALSE)</f>
        <v>0.64724488097219912</v>
      </c>
      <c r="V1798" s="34" t="e">
        <f>VLOOKUP(Allocation[[#This Row],[SAP Contract number]],Shipments[[SAP Contract number]:[Contracted container weight]],2,FALSE)</f>
        <v>#N/A</v>
      </c>
      <c r="W1798" s="34" t="e">
        <f>VLOOKUP(Allocation[[#This Row],[SAP Contract number]],Shipments[[SAP Contract number]:[AAA Premium USD]],24,FALSE)</f>
        <v>#N/A</v>
      </c>
      <c r="X1798" s="34" t="e">
        <f>VLOOKUP(Allocation[[#This Row],[SAP Contract number]],Shipments[[SAP Contract number]:[RA Premium USD]],25,FALSE)</f>
        <v>#N/A</v>
      </c>
      <c r="Y1798" s="38">
        <f>Allocation[[#This Row],[Quantity Processed]]/Allocation[[#This Row],[Quantity allocated]]</f>
        <v>3.0297029702970297</v>
      </c>
      <c r="Z1798" s="34" t="b">
        <f>Allocation[[#This Row],[Quantity allocated]]&lt;=Allocation[[#This Row],[Quantity Processed]]</f>
        <v>1</v>
      </c>
    </row>
    <row r="1799" spans="1:26">
      <c r="A1799" s="247" t="s">
        <v>467</v>
      </c>
      <c r="B1799" s="210" t="s">
        <v>68</v>
      </c>
      <c r="C1799" s="254" t="s">
        <v>1135</v>
      </c>
      <c r="D1799" s="255">
        <v>2407</v>
      </c>
      <c r="E1799" s="211" t="s">
        <v>1914</v>
      </c>
      <c r="F1799" s="212">
        <v>43542</v>
      </c>
      <c r="G1799" s="213">
        <v>2.62</v>
      </c>
      <c r="H1799" s="256">
        <v>725</v>
      </c>
      <c r="I1799" s="214">
        <v>1453748</v>
      </c>
      <c r="J1799" s="215">
        <v>19175</v>
      </c>
      <c r="K1799" s="212">
        <v>43595</v>
      </c>
      <c r="L1799" s="211" t="s">
        <v>1332</v>
      </c>
      <c r="M1799" s="216">
        <v>4615506885</v>
      </c>
      <c r="N1799" s="212">
        <v>43614</v>
      </c>
      <c r="O1799" s="217">
        <v>3.9746999999999999</v>
      </c>
      <c r="P1799" s="219"/>
      <c r="Q1799" s="34">
        <f>SUMIF(Allocation[Delivery ID],Allocation[[#This Row],[Delivery ID]],Allocation[Quantity Processed])</f>
        <v>22090</v>
      </c>
      <c r="R1799" s="61">
        <f>Allocation[[#This Row],[Total volume used]]/VLOOKUP(Allocation[[#This Row],[Delivery ID]],Delivery[[Delivery ID]:[Quantity delivered]],3,FALSE)</f>
        <v>1</v>
      </c>
      <c r="S1799" s="34">
        <f>Allocation[[#This Row],[Quantity Processed]]/Allocation[[#This Row],[Dilution rate]]</f>
        <v>918.70229007633588</v>
      </c>
      <c r="T1799" s="59">
        <f>SUMIF(Allocation[Delivery ID],Allocation[[#This Row],[Delivery ID]],Allocation[Quantity allocated])/SUMIF(Allocation[Delivery ID],Allocation[[#This Row],[Delivery ID]],Allocation[Volume available (kg)])</f>
        <v>0.76070962260021724</v>
      </c>
      <c r="U1799" s="61">
        <f>Allocation[[#This Row],[Total volume used]]/VLOOKUP(Allocation[[#This Row],[Delivery ID]],Delivery[[Delivery ID]:[Quantity delivered]],3,FALSE)</f>
        <v>1</v>
      </c>
      <c r="V1799" s="34" t="e">
        <f>VLOOKUP(Allocation[[#This Row],[SAP Contract number]],Shipments[[SAP Contract number]:[Contracted container weight]],2,FALSE)</f>
        <v>#N/A</v>
      </c>
      <c r="W1799" s="34" t="e">
        <f>VLOOKUP(Allocation[[#This Row],[SAP Contract number]],Shipments[[SAP Contract number]:[AAA Premium USD]],24,FALSE)</f>
        <v>#N/A</v>
      </c>
      <c r="X1799" s="34" t="e">
        <f>VLOOKUP(Allocation[[#This Row],[SAP Contract number]],Shipments[[SAP Contract number]:[RA Premium USD]],25,FALSE)</f>
        <v>#N/A</v>
      </c>
      <c r="Y1799" s="38">
        <f>Allocation[[#This Row],[Quantity Processed]]/Allocation[[#This Row],[Quantity allocated]]</f>
        <v>3.32</v>
      </c>
      <c r="Z1799" s="34" t="b">
        <f>Allocation[[#This Row],[Quantity allocated]]&lt;=Allocation[[#This Row],[Quantity Processed]]</f>
        <v>1</v>
      </c>
    </row>
    <row r="1800" spans="1:26">
      <c r="A1800" s="247" t="s">
        <v>467</v>
      </c>
      <c r="B1800" s="210" t="s">
        <v>68</v>
      </c>
      <c r="C1800" s="254" t="s">
        <v>1140</v>
      </c>
      <c r="D1800" s="255">
        <v>955</v>
      </c>
      <c r="E1800" s="211" t="s">
        <v>1914</v>
      </c>
      <c r="F1800" s="212">
        <v>43542</v>
      </c>
      <c r="G1800" s="213">
        <v>2.62</v>
      </c>
      <c r="H1800" s="256">
        <v>449</v>
      </c>
      <c r="I1800" s="214">
        <v>1453748</v>
      </c>
      <c r="J1800" s="215">
        <v>19175</v>
      </c>
      <c r="K1800" s="212">
        <v>43595</v>
      </c>
      <c r="L1800" s="211" t="s">
        <v>1332</v>
      </c>
      <c r="M1800" s="216">
        <v>4615506885</v>
      </c>
      <c r="N1800" s="212">
        <v>43614</v>
      </c>
      <c r="O1800" s="217">
        <v>3.9746999999999999</v>
      </c>
      <c r="P1800" s="219"/>
      <c r="Q1800" s="34">
        <f>SUMIF(Allocation[Delivery ID],Allocation[[#This Row],[Delivery ID]],Allocation[Quantity Processed])</f>
        <v>26473</v>
      </c>
      <c r="R1800" s="61">
        <f>Allocation[[#This Row],[Total volume used]]/VLOOKUP(Allocation[[#This Row],[Delivery ID]],Delivery[[Delivery ID]:[Quantity delivered]],3,FALSE)</f>
        <v>0.70935155412647377</v>
      </c>
      <c r="S1800" s="34">
        <f>Allocation[[#This Row],[Quantity Processed]]/Allocation[[#This Row],[Dilution rate]]</f>
        <v>364.50381679389312</v>
      </c>
      <c r="T1800" s="59">
        <f>SUMIF(Allocation[Delivery ID],Allocation[[#This Row],[Delivery ID]],Allocation[Quantity allocated])/SUMIF(Allocation[Delivery ID],Allocation[[#This Row],[Delivery ID]],Allocation[Volume available (kg)])</f>
        <v>1.2088176972477704</v>
      </c>
      <c r="U1800" s="61">
        <f>Allocation[[#This Row],[Total volume used]]/VLOOKUP(Allocation[[#This Row],[Delivery ID]],Delivery[[Delivery ID]:[Quantity delivered]],3,FALSE)</f>
        <v>0.70935155412647377</v>
      </c>
      <c r="V1800" s="34" t="e">
        <f>VLOOKUP(Allocation[[#This Row],[SAP Contract number]],Shipments[[SAP Contract number]:[Contracted container weight]],2,FALSE)</f>
        <v>#N/A</v>
      </c>
      <c r="W1800" s="34" t="e">
        <f>VLOOKUP(Allocation[[#This Row],[SAP Contract number]],Shipments[[SAP Contract number]:[AAA Premium USD]],24,FALSE)</f>
        <v>#N/A</v>
      </c>
      <c r="X1800" s="34" t="e">
        <f>VLOOKUP(Allocation[[#This Row],[SAP Contract number]],Shipments[[SAP Contract number]:[RA Premium USD]],25,FALSE)</f>
        <v>#N/A</v>
      </c>
      <c r="Y1800" s="38">
        <f>Allocation[[#This Row],[Quantity Processed]]/Allocation[[#This Row],[Quantity allocated]]</f>
        <v>2.1269487750556793</v>
      </c>
      <c r="Z1800" s="34" t="b">
        <f>Allocation[[#This Row],[Quantity allocated]]&lt;=Allocation[[#This Row],[Quantity Processed]]</f>
        <v>1</v>
      </c>
    </row>
    <row r="1801" spans="1:26">
      <c r="A1801" s="247" t="s">
        <v>467</v>
      </c>
      <c r="B1801" s="210" t="s">
        <v>68</v>
      </c>
      <c r="C1801" s="254" t="s">
        <v>1140</v>
      </c>
      <c r="D1801" s="255">
        <v>6928</v>
      </c>
      <c r="E1801" s="211" t="s">
        <v>1914</v>
      </c>
      <c r="F1801" s="212">
        <v>43542</v>
      </c>
      <c r="G1801" s="213">
        <v>2.62</v>
      </c>
      <c r="H1801" s="256">
        <v>3256</v>
      </c>
      <c r="I1801" s="214">
        <v>1453749</v>
      </c>
      <c r="J1801" s="215">
        <v>19175</v>
      </c>
      <c r="K1801" s="212">
        <v>43595</v>
      </c>
      <c r="L1801" s="211" t="s">
        <v>1333</v>
      </c>
      <c r="M1801" s="216">
        <v>4615506885</v>
      </c>
      <c r="N1801" s="212">
        <v>43614</v>
      </c>
      <c r="O1801" s="217">
        <v>3.9746999999999999</v>
      </c>
      <c r="P1801" s="219"/>
      <c r="Q1801" s="34">
        <f>SUMIF(Allocation[Delivery ID],Allocation[[#This Row],[Delivery ID]],Allocation[Quantity Processed])</f>
        <v>26473</v>
      </c>
      <c r="R1801" s="61">
        <f>Allocation[[#This Row],[Total volume used]]/VLOOKUP(Allocation[[#This Row],[Delivery ID]],Delivery[[Delivery ID]:[Quantity delivered]],3,FALSE)</f>
        <v>0.70935155412647377</v>
      </c>
      <c r="S1801" s="34">
        <f>Allocation[[#This Row],[Quantity Processed]]/Allocation[[#This Row],[Dilution rate]]</f>
        <v>2644.2748091603053</v>
      </c>
      <c r="T1801" s="59">
        <f>SUMIF(Allocation[Delivery ID],Allocation[[#This Row],[Delivery ID]],Allocation[Quantity allocated])/SUMIF(Allocation[Delivery ID],Allocation[[#This Row],[Delivery ID]],Allocation[Volume available (kg)])</f>
        <v>1.2088176972477704</v>
      </c>
      <c r="U1801" s="61">
        <f>Allocation[[#This Row],[Total volume used]]/VLOOKUP(Allocation[[#This Row],[Delivery ID]],Delivery[[Delivery ID]:[Quantity delivered]],3,FALSE)</f>
        <v>0.70935155412647377</v>
      </c>
      <c r="V1801" s="34" t="e">
        <f>VLOOKUP(Allocation[[#This Row],[SAP Contract number]],Shipments[[SAP Contract number]:[Contracted container weight]],2,FALSE)</f>
        <v>#N/A</v>
      </c>
      <c r="W1801" s="34" t="e">
        <f>VLOOKUP(Allocation[[#This Row],[SAP Contract number]],Shipments[[SAP Contract number]:[AAA Premium USD]],24,FALSE)</f>
        <v>#N/A</v>
      </c>
      <c r="X1801" s="34" t="e">
        <f>VLOOKUP(Allocation[[#This Row],[SAP Contract number]],Shipments[[SAP Contract number]:[RA Premium USD]],25,FALSE)</f>
        <v>#N/A</v>
      </c>
      <c r="Y1801" s="38">
        <f>Allocation[[#This Row],[Quantity Processed]]/Allocation[[#This Row],[Quantity allocated]]</f>
        <v>2.1277641277641277</v>
      </c>
      <c r="Z1801" s="34" t="b">
        <f>Allocation[[#This Row],[Quantity allocated]]&lt;=Allocation[[#This Row],[Quantity Processed]]</f>
        <v>1</v>
      </c>
    </row>
    <row r="1802" spans="1:26">
      <c r="A1802" s="247" t="s">
        <v>467</v>
      </c>
      <c r="B1802" s="210" t="s">
        <v>68</v>
      </c>
      <c r="C1802" s="254" t="s">
        <v>1675</v>
      </c>
      <c r="D1802" s="255">
        <v>5512</v>
      </c>
      <c r="E1802" s="211" t="s">
        <v>1914</v>
      </c>
      <c r="F1802" s="212">
        <v>43542</v>
      </c>
      <c r="G1802" s="213">
        <v>2.62</v>
      </c>
      <c r="H1802" s="256">
        <v>1819</v>
      </c>
      <c r="I1802" s="214">
        <v>1453749</v>
      </c>
      <c r="J1802" s="215">
        <v>19175</v>
      </c>
      <c r="K1802" s="212">
        <v>43595</v>
      </c>
      <c r="L1802" s="211" t="s">
        <v>1333</v>
      </c>
      <c r="M1802" s="216">
        <v>4615506885</v>
      </c>
      <c r="N1802" s="212">
        <v>43614</v>
      </c>
      <c r="O1802" s="217">
        <v>3.9746999999999999</v>
      </c>
      <c r="P1802" s="219"/>
      <c r="Q1802" s="34">
        <f>SUMIF(Allocation[Delivery ID],Allocation[[#This Row],[Delivery ID]],Allocation[Quantity Processed])</f>
        <v>21346</v>
      </c>
      <c r="R1802" s="61">
        <f>Allocation[[#This Row],[Total volume used]]/VLOOKUP(Allocation[[#This Row],[Delivery ID]],Delivery[[Delivery ID]:[Quantity delivered]],3,FALSE)</f>
        <v>0.71200800533689124</v>
      </c>
      <c r="S1802" s="34">
        <f>Allocation[[#This Row],[Quantity Processed]]/Allocation[[#This Row],[Dilution rate]]</f>
        <v>2103.8167938931297</v>
      </c>
      <c r="T1802" s="59">
        <f>SUMIF(Allocation[Delivery ID],Allocation[[#This Row],[Delivery ID]],Allocation[Quantity allocated])/SUMIF(Allocation[Delivery ID],Allocation[[#This Row],[Delivery ID]],Allocation[Volume available (kg)])</f>
        <v>0.88002959681646864</v>
      </c>
      <c r="U1802" s="61">
        <f>Allocation[[#This Row],[Total volume used]]/VLOOKUP(Allocation[[#This Row],[Delivery ID]],Delivery[[Delivery ID]:[Quantity delivered]],3,FALSE)</f>
        <v>0.71200800533689124</v>
      </c>
      <c r="V1802" s="34" t="e">
        <f>VLOOKUP(Allocation[[#This Row],[SAP Contract number]],Shipments[[SAP Contract number]:[Contracted container weight]],2,FALSE)</f>
        <v>#N/A</v>
      </c>
      <c r="W1802" s="34" t="e">
        <f>VLOOKUP(Allocation[[#This Row],[SAP Contract number]],Shipments[[SAP Contract number]:[AAA Premium USD]],24,FALSE)</f>
        <v>#N/A</v>
      </c>
      <c r="X1802" s="34" t="e">
        <f>VLOOKUP(Allocation[[#This Row],[SAP Contract number]],Shipments[[SAP Contract number]:[RA Premium USD]],25,FALSE)</f>
        <v>#N/A</v>
      </c>
      <c r="Y1802" s="38">
        <f>Allocation[[#This Row],[Quantity Processed]]/Allocation[[#This Row],[Quantity allocated]]</f>
        <v>3.0302363936228698</v>
      </c>
      <c r="Z1802" s="34" t="b">
        <f>Allocation[[#This Row],[Quantity allocated]]&lt;=Allocation[[#This Row],[Quantity Processed]]</f>
        <v>1</v>
      </c>
    </row>
    <row r="1803" spans="1:26">
      <c r="A1803" s="247" t="s">
        <v>467</v>
      </c>
      <c r="B1803" s="210" t="s">
        <v>68</v>
      </c>
      <c r="C1803" s="254" t="s">
        <v>1676</v>
      </c>
      <c r="D1803" s="255">
        <v>1785</v>
      </c>
      <c r="E1803" s="211" t="s">
        <v>1914</v>
      </c>
      <c r="F1803" s="212">
        <v>43542</v>
      </c>
      <c r="G1803" s="213">
        <v>2.62</v>
      </c>
      <c r="H1803" s="256">
        <v>589</v>
      </c>
      <c r="I1803" s="214">
        <v>1453749</v>
      </c>
      <c r="J1803" s="215">
        <v>19175</v>
      </c>
      <c r="K1803" s="212">
        <v>43595</v>
      </c>
      <c r="L1803" s="211" t="s">
        <v>1333</v>
      </c>
      <c r="M1803" s="216">
        <v>4615506885</v>
      </c>
      <c r="N1803" s="212">
        <v>43614</v>
      </c>
      <c r="O1803" s="217">
        <v>3.9746999999999999</v>
      </c>
      <c r="P1803" s="219"/>
      <c r="Q1803" s="34">
        <f>SUMIF(Allocation[Delivery ID],Allocation[[#This Row],[Delivery ID]],Allocation[Quantity Processed])</f>
        <v>7573</v>
      </c>
      <c r="R1803" s="61">
        <f>Allocation[[#This Row],[Total volume used]]/VLOOKUP(Allocation[[#This Row],[Delivery ID]],Delivery[[Delivery ID]:[Quantity delivered]],3,FALSE)</f>
        <v>0.64754168448054727</v>
      </c>
      <c r="S1803" s="34">
        <f>Allocation[[#This Row],[Quantity Processed]]/Allocation[[#This Row],[Dilution rate]]</f>
        <v>681.29770992366412</v>
      </c>
      <c r="T1803" s="59">
        <f>SUMIF(Allocation[Delivery ID],Allocation[[#This Row],[Delivery ID]],Allocation[Quantity allocated])/SUMIF(Allocation[Delivery ID],Allocation[[#This Row],[Delivery ID]],Allocation[Volume available (kg)])</f>
        <v>0.88066702495677374</v>
      </c>
      <c r="U1803" s="61">
        <f>Allocation[[#This Row],[Total volume used]]/VLOOKUP(Allocation[[#This Row],[Delivery ID]],Delivery[[Delivery ID]:[Quantity delivered]],3,FALSE)</f>
        <v>0.64754168448054727</v>
      </c>
      <c r="V1803" s="34" t="e">
        <f>VLOOKUP(Allocation[[#This Row],[SAP Contract number]],Shipments[[SAP Contract number]:[Contracted container weight]],2,FALSE)</f>
        <v>#N/A</v>
      </c>
      <c r="W1803" s="34" t="e">
        <f>VLOOKUP(Allocation[[#This Row],[SAP Contract number]],Shipments[[SAP Contract number]:[AAA Premium USD]],24,FALSE)</f>
        <v>#N/A</v>
      </c>
      <c r="X1803" s="34" t="e">
        <f>VLOOKUP(Allocation[[#This Row],[SAP Contract number]],Shipments[[SAP Contract number]:[RA Premium USD]],25,FALSE)</f>
        <v>#N/A</v>
      </c>
      <c r="Y1803" s="38">
        <f>Allocation[[#This Row],[Quantity Processed]]/Allocation[[#This Row],[Quantity allocated]]</f>
        <v>3.0305602716468591</v>
      </c>
      <c r="Z1803" s="34" t="b">
        <f>Allocation[[#This Row],[Quantity allocated]]&lt;=Allocation[[#This Row],[Quantity Processed]]</f>
        <v>1</v>
      </c>
    </row>
    <row r="1804" spans="1:26">
      <c r="A1804" s="247" t="s">
        <v>467</v>
      </c>
      <c r="B1804" s="210" t="s">
        <v>68</v>
      </c>
      <c r="C1804" s="254" t="s">
        <v>1677</v>
      </c>
      <c r="D1804" s="255">
        <v>2927</v>
      </c>
      <c r="E1804" s="211" t="s">
        <v>1914</v>
      </c>
      <c r="F1804" s="212">
        <v>43542</v>
      </c>
      <c r="G1804" s="213">
        <v>2.62</v>
      </c>
      <c r="H1804" s="256">
        <v>966</v>
      </c>
      <c r="I1804" s="214">
        <v>1453749</v>
      </c>
      <c r="J1804" s="215">
        <v>19175</v>
      </c>
      <c r="K1804" s="212">
        <v>43595</v>
      </c>
      <c r="L1804" s="211" t="s">
        <v>1333</v>
      </c>
      <c r="M1804" s="216">
        <v>4615506885</v>
      </c>
      <c r="N1804" s="212">
        <v>43614</v>
      </c>
      <c r="O1804" s="217">
        <v>3.9746999999999999</v>
      </c>
      <c r="P1804" s="219"/>
      <c r="Q1804" s="34">
        <f>SUMIF(Allocation[Delivery ID],Allocation[[#This Row],[Delivery ID]],Allocation[Quantity Processed])</f>
        <v>12415</v>
      </c>
      <c r="R1804" s="61">
        <f>Allocation[[#This Row],[Total volume used]]/VLOOKUP(Allocation[[#This Row],[Delivery ID]],Delivery[[Delivery ID]:[Quantity delivered]],3,FALSE)</f>
        <v>0.64779546047482395</v>
      </c>
      <c r="S1804" s="34">
        <f>Allocation[[#This Row],[Quantity Processed]]/Allocation[[#This Row],[Dilution rate]]</f>
        <v>1117.175572519084</v>
      </c>
      <c r="T1804" s="59">
        <f>SUMIF(Allocation[Delivery ID],Allocation[[#This Row],[Delivery ID]],Allocation[Quantity allocated])/SUMIF(Allocation[Delivery ID],Allocation[[#This Row],[Delivery ID]],Allocation[Volume available (kg)])</f>
        <v>0.88071294606616191</v>
      </c>
      <c r="U1804" s="61">
        <f>Allocation[[#This Row],[Total volume used]]/VLOOKUP(Allocation[[#This Row],[Delivery ID]],Delivery[[Delivery ID]:[Quantity delivered]],3,FALSE)</f>
        <v>0.64779546047482395</v>
      </c>
      <c r="V1804" s="34" t="e">
        <f>VLOOKUP(Allocation[[#This Row],[SAP Contract number]],Shipments[[SAP Contract number]:[Contracted container weight]],2,FALSE)</f>
        <v>#N/A</v>
      </c>
      <c r="W1804" s="34" t="e">
        <f>VLOOKUP(Allocation[[#This Row],[SAP Contract number]],Shipments[[SAP Contract number]:[AAA Premium USD]],24,FALSE)</f>
        <v>#N/A</v>
      </c>
      <c r="X1804" s="34" t="e">
        <f>VLOOKUP(Allocation[[#This Row],[SAP Contract number]],Shipments[[SAP Contract number]:[RA Premium USD]],25,FALSE)</f>
        <v>#N/A</v>
      </c>
      <c r="Y1804" s="38">
        <f>Allocation[[#This Row],[Quantity Processed]]/Allocation[[#This Row],[Quantity allocated]]</f>
        <v>3.0300207039337472</v>
      </c>
      <c r="Z1804" s="34" t="b">
        <f>Allocation[[#This Row],[Quantity allocated]]&lt;=Allocation[[#This Row],[Quantity Processed]]</f>
        <v>1</v>
      </c>
    </row>
    <row r="1805" spans="1:26">
      <c r="A1805" s="247" t="s">
        <v>467</v>
      </c>
      <c r="B1805" s="210" t="s">
        <v>68</v>
      </c>
      <c r="C1805" s="254" t="s">
        <v>1678</v>
      </c>
      <c r="D1805" s="255">
        <v>1364</v>
      </c>
      <c r="E1805" s="211" t="s">
        <v>1914</v>
      </c>
      <c r="F1805" s="212">
        <v>43542</v>
      </c>
      <c r="G1805" s="213">
        <v>2.62</v>
      </c>
      <c r="H1805" s="256">
        <v>450</v>
      </c>
      <c r="I1805" s="214">
        <v>1453749</v>
      </c>
      <c r="J1805" s="215">
        <v>19175</v>
      </c>
      <c r="K1805" s="212">
        <v>43595</v>
      </c>
      <c r="L1805" s="211" t="s">
        <v>1333</v>
      </c>
      <c r="M1805" s="216">
        <v>4615506885</v>
      </c>
      <c r="N1805" s="212">
        <v>43614</v>
      </c>
      <c r="O1805" s="217">
        <v>3.9746999999999999</v>
      </c>
      <c r="P1805" s="219"/>
      <c r="Q1805" s="34">
        <f>SUMIF(Allocation[Delivery ID],Allocation[[#This Row],[Delivery ID]],Allocation[Quantity Processed])</f>
        <v>5783</v>
      </c>
      <c r="R1805" s="61">
        <f>Allocation[[#This Row],[Total volume used]]/VLOOKUP(Allocation[[#This Row],[Delivery ID]],Delivery[[Delivery ID]:[Quantity delivered]],3,FALSE)</f>
        <v>0.64788259018597361</v>
      </c>
      <c r="S1805" s="34">
        <f>Allocation[[#This Row],[Quantity Processed]]/Allocation[[#This Row],[Dilution rate]]</f>
        <v>520.61068702290072</v>
      </c>
      <c r="T1805" s="59">
        <f>SUMIF(Allocation[Delivery ID],Allocation[[#This Row],[Delivery ID]],Allocation[Quantity allocated])/SUMIF(Allocation[Delivery ID],Allocation[[#This Row],[Delivery ID]],Allocation[Volume available (kg)])</f>
        <v>0.88051884478884213</v>
      </c>
      <c r="U1805" s="61">
        <f>Allocation[[#This Row],[Total volume used]]/VLOOKUP(Allocation[[#This Row],[Delivery ID]],Delivery[[Delivery ID]:[Quantity delivered]],3,FALSE)</f>
        <v>0.64788259018597361</v>
      </c>
      <c r="V1805" s="34" t="e">
        <f>VLOOKUP(Allocation[[#This Row],[SAP Contract number]],Shipments[[SAP Contract number]:[Contracted container weight]],2,FALSE)</f>
        <v>#N/A</v>
      </c>
      <c r="W1805" s="34" t="e">
        <f>VLOOKUP(Allocation[[#This Row],[SAP Contract number]],Shipments[[SAP Contract number]:[AAA Premium USD]],24,FALSE)</f>
        <v>#N/A</v>
      </c>
      <c r="X1805" s="34" t="e">
        <f>VLOOKUP(Allocation[[#This Row],[SAP Contract number]],Shipments[[SAP Contract number]:[RA Premium USD]],25,FALSE)</f>
        <v>#N/A</v>
      </c>
      <c r="Y1805" s="38">
        <f>Allocation[[#This Row],[Quantity Processed]]/Allocation[[#This Row],[Quantity allocated]]</f>
        <v>3.0311111111111111</v>
      </c>
      <c r="Z1805" s="34" t="b">
        <f>Allocation[[#This Row],[Quantity allocated]]&lt;=Allocation[[#This Row],[Quantity Processed]]</f>
        <v>1</v>
      </c>
    </row>
    <row r="1806" spans="1:26">
      <c r="A1806" s="247" t="s">
        <v>467</v>
      </c>
      <c r="B1806" s="210" t="s">
        <v>68</v>
      </c>
      <c r="C1806" s="254" t="s">
        <v>1679</v>
      </c>
      <c r="D1806" s="255">
        <v>3488</v>
      </c>
      <c r="E1806" s="211" t="s">
        <v>1914</v>
      </c>
      <c r="F1806" s="212">
        <v>43542</v>
      </c>
      <c r="G1806" s="213">
        <v>2.62</v>
      </c>
      <c r="H1806" s="256">
        <v>1151</v>
      </c>
      <c r="I1806" s="214">
        <v>1453749</v>
      </c>
      <c r="J1806" s="215">
        <v>19175</v>
      </c>
      <c r="K1806" s="212">
        <v>43595</v>
      </c>
      <c r="L1806" s="211" t="s">
        <v>1333</v>
      </c>
      <c r="M1806" s="216">
        <v>4615506885</v>
      </c>
      <c r="N1806" s="212">
        <v>43614</v>
      </c>
      <c r="O1806" s="217">
        <v>3.9746999999999999</v>
      </c>
      <c r="P1806" s="219"/>
      <c r="Q1806" s="34">
        <f>SUMIF(Allocation[Delivery ID],Allocation[[#This Row],[Delivery ID]],Allocation[Quantity Processed])</f>
        <v>14788</v>
      </c>
      <c r="R1806" s="61">
        <f>Allocation[[#This Row],[Total volume used]]/VLOOKUP(Allocation[[#This Row],[Delivery ID]],Delivery[[Delivery ID]:[Quantity delivered]],3,FALSE)</f>
        <v>0.64763072611018657</v>
      </c>
      <c r="S1806" s="34">
        <f>Allocation[[#This Row],[Quantity Processed]]/Allocation[[#This Row],[Dilution rate]]</f>
        <v>1331.2977099236641</v>
      </c>
      <c r="T1806" s="59">
        <f>SUMIF(Allocation[Delivery ID],Allocation[[#This Row],[Delivery ID]],Allocation[Quantity allocated])/SUMIF(Allocation[Delivery ID],Allocation[[#This Row],[Delivery ID]],Allocation[Volume available (kg)])</f>
        <v>0.88069254249133311</v>
      </c>
      <c r="U1806" s="61">
        <f>Allocation[[#This Row],[Total volume used]]/VLOOKUP(Allocation[[#This Row],[Delivery ID]],Delivery[[Delivery ID]:[Quantity delivered]],3,FALSE)</f>
        <v>0.64763072611018657</v>
      </c>
      <c r="V1806" s="34" t="e">
        <f>VLOOKUP(Allocation[[#This Row],[SAP Contract number]],Shipments[[SAP Contract number]:[Contracted container weight]],2,FALSE)</f>
        <v>#N/A</v>
      </c>
      <c r="W1806" s="34" t="e">
        <f>VLOOKUP(Allocation[[#This Row],[SAP Contract number]],Shipments[[SAP Contract number]:[AAA Premium USD]],24,FALSE)</f>
        <v>#N/A</v>
      </c>
      <c r="X1806" s="34" t="e">
        <f>VLOOKUP(Allocation[[#This Row],[SAP Contract number]],Shipments[[SAP Contract number]:[RA Premium USD]],25,FALSE)</f>
        <v>#N/A</v>
      </c>
      <c r="Y1806" s="38">
        <f>Allocation[[#This Row],[Quantity Processed]]/Allocation[[#This Row],[Quantity allocated]]</f>
        <v>3.0304083405734143</v>
      </c>
      <c r="Z1806" s="34" t="b">
        <f>Allocation[[#This Row],[Quantity allocated]]&lt;=Allocation[[#This Row],[Quantity Processed]]</f>
        <v>1</v>
      </c>
    </row>
    <row r="1807" spans="1:26">
      <c r="A1807" s="247" t="s">
        <v>467</v>
      </c>
      <c r="B1807" s="210" t="s">
        <v>68</v>
      </c>
      <c r="C1807" s="254" t="s">
        <v>1688</v>
      </c>
      <c r="D1807" s="255">
        <v>8618</v>
      </c>
      <c r="E1807" s="211" t="s">
        <v>1914</v>
      </c>
      <c r="F1807" s="212">
        <v>43542</v>
      </c>
      <c r="G1807" s="213">
        <v>2.62</v>
      </c>
      <c r="H1807" s="256">
        <v>3447</v>
      </c>
      <c r="I1807" s="214">
        <v>1453749</v>
      </c>
      <c r="J1807" s="215">
        <v>19175</v>
      </c>
      <c r="K1807" s="212">
        <v>43595</v>
      </c>
      <c r="L1807" s="211" t="s">
        <v>1333</v>
      </c>
      <c r="M1807" s="216">
        <v>4615506885</v>
      </c>
      <c r="N1807" s="212">
        <v>43614</v>
      </c>
      <c r="O1807" s="217">
        <v>3.9746999999999999</v>
      </c>
      <c r="P1807" s="219"/>
      <c r="Q1807" s="34">
        <f>SUMIF(Allocation[Delivery ID],Allocation[[#This Row],[Delivery ID]],Allocation[Quantity Processed])</f>
        <v>22081</v>
      </c>
      <c r="R1807" s="61">
        <f>Allocation[[#This Row],[Total volume used]]/VLOOKUP(Allocation[[#This Row],[Delivery ID]],Delivery[[Delivery ID]:[Quantity delivered]],3,FALSE)</f>
        <v>0.71459546925566342</v>
      </c>
      <c r="S1807" s="34">
        <f>Allocation[[#This Row],[Quantity Processed]]/Allocation[[#This Row],[Dilution rate]]</f>
        <v>3289.3129770992364</v>
      </c>
      <c r="T1807" s="59">
        <f>SUMIF(Allocation[Delivery ID],Allocation[[#This Row],[Delivery ID]],Allocation[Quantity allocated])/SUMIF(Allocation[Delivery ID],Allocation[[#This Row],[Delivery ID]],Allocation[Volume available (kg)])</f>
        <v>1.0632988843733371</v>
      </c>
      <c r="U1807" s="61">
        <f>Allocation[[#This Row],[Total volume used]]/VLOOKUP(Allocation[[#This Row],[Delivery ID]],Delivery[[Delivery ID]:[Quantity delivered]],3,FALSE)</f>
        <v>0.71459546925566342</v>
      </c>
      <c r="V1807" s="34" t="e">
        <f>VLOOKUP(Allocation[[#This Row],[SAP Contract number]],Shipments[[SAP Contract number]:[Contracted container weight]],2,FALSE)</f>
        <v>#N/A</v>
      </c>
      <c r="W1807" s="34" t="e">
        <f>VLOOKUP(Allocation[[#This Row],[SAP Contract number]],Shipments[[SAP Contract number]:[AAA Premium USD]],24,FALSE)</f>
        <v>#N/A</v>
      </c>
      <c r="X1807" s="34" t="e">
        <f>VLOOKUP(Allocation[[#This Row],[SAP Contract number]],Shipments[[SAP Contract number]:[RA Premium USD]],25,FALSE)</f>
        <v>#N/A</v>
      </c>
      <c r="Y1807" s="38">
        <f>Allocation[[#This Row],[Quantity Processed]]/Allocation[[#This Row],[Quantity allocated]]</f>
        <v>2.5001450536698577</v>
      </c>
      <c r="Z1807" s="34" t="b">
        <f>Allocation[[#This Row],[Quantity allocated]]&lt;=Allocation[[#This Row],[Quantity Processed]]</f>
        <v>1</v>
      </c>
    </row>
    <row r="1808" spans="1:26">
      <c r="A1808" s="247" t="s">
        <v>467</v>
      </c>
      <c r="B1808" s="210" t="s">
        <v>68</v>
      </c>
      <c r="C1808" s="254" t="s">
        <v>1689</v>
      </c>
      <c r="D1808" s="255">
        <v>8613</v>
      </c>
      <c r="E1808" s="211" t="s">
        <v>1914</v>
      </c>
      <c r="F1808" s="212">
        <v>43542</v>
      </c>
      <c r="G1808" s="213">
        <v>2.62</v>
      </c>
      <c r="H1808" s="256">
        <v>3445</v>
      </c>
      <c r="I1808" s="214">
        <v>1453749</v>
      </c>
      <c r="J1808" s="215">
        <v>19175</v>
      </c>
      <c r="K1808" s="212">
        <v>43595</v>
      </c>
      <c r="L1808" s="211" t="s">
        <v>1333</v>
      </c>
      <c r="M1808" s="216">
        <v>4615506885</v>
      </c>
      <c r="N1808" s="212">
        <v>43614</v>
      </c>
      <c r="O1808" s="217">
        <v>3.9746999999999999</v>
      </c>
      <c r="P1808" s="219"/>
      <c r="Q1808" s="34">
        <f>SUMIF(Allocation[Delivery ID],Allocation[[#This Row],[Delivery ID]],Allocation[Quantity Processed])</f>
        <v>22068</v>
      </c>
      <c r="R1808" s="61">
        <f>Allocation[[#This Row],[Total volume used]]/VLOOKUP(Allocation[[#This Row],[Delivery ID]],Delivery[[Delivery ID]:[Quantity delivered]],3,FALSE)</f>
        <v>0.71463730569948192</v>
      </c>
      <c r="S1808" s="34">
        <f>Allocation[[#This Row],[Quantity Processed]]/Allocation[[#This Row],[Dilution rate]]</f>
        <v>3287.4045801526718</v>
      </c>
      <c r="T1808" s="59">
        <f>SUMIF(Allocation[Delivery ID],Allocation[[#This Row],[Delivery ID]],Allocation[Quantity allocated])/SUMIF(Allocation[Delivery ID],Allocation[[#This Row],[Delivery ID]],Allocation[Volume available (kg)])</f>
        <v>1.0633215949443131</v>
      </c>
      <c r="U1808" s="61">
        <f>Allocation[[#This Row],[Total volume used]]/VLOOKUP(Allocation[[#This Row],[Delivery ID]],Delivery[[Delivery ID]:[Quantity delivered]],3,FALSE)</f>
        <v>0.71463730569948192</v>
      </c>
      <c r="V1808" s="34" t="e">
        <f>VLOOKUP(Allocation[[#This Row],[SAP Contract number]],Shipments[[SAP Contract number]:[Contracted container weight]],2,FALSE)</f>
        <v>#N/A</v>
      </c>
      <c r="W1808" s="34" t="e">
        <f>VLOOKUP(Allocation[[#This Row],[SAP Contract number]],Shipments[[SAP Contract number]:[AAA Premium USD]],24,FALSE)</f>
        <v>#N/A</v>
      </c>
      <c r="X1808" s="34" t="e">
        <f>VLOOKUP(Allocation[[#This Row],[SAP Contract number]],Shipments[[SAP Contract number]:[RA Premium USD]],25,FALSE)</f>
        <v>#N/A</v>
      </c>
      <c r="Y1808" s="38">
        <f>Allocation[[#This Row],[Quantity Processed]]/Allocation[[#This Row],[Quantity allocated]]</f>
        <v>2.5001451378809869</v>
      </c>
      <c r="Z1808" s="34" t="b">
        <f>Allocation[[#This Row],[Quantity allocated]]&lt;=Allocation[[#This Row],[Quantity Processed]]</f>
        <v>1</v>
      </c>
    </row>
    <row r="1809" spans="1:26">
      <c r="A1809" s="247" t="s">
        <v>467</v>
      </c>
      <c r="B1809" s="210" t="s">
        <v>68</v>
      </c>
      <c r="C1809" s="254" t="s">
        <v>1152</v>
      </c>
      <c r="D1809" s="255">
        <v>5297</v>
      </c>
      <c r="E1809" s="211" t="s">
        <v>1914</v>
      </c>
      <c r="F1809" s="212">
        <v>43542</v>
      </c>
      <c r="G1809" s="213">
        <v>2.62</v>
      </c>
      <c r="H1809" s="256">
        <v>1854</v>
      </c>
      <c r="I1809" s="214">
        <v>1453749</v>
      </c>
      <c r="J1809" s="215">
        <v>19175</v>
      </c>
      <c r="K1809" s="212">
        <v>43595</v>
      </c>
      <c r="L1809" s="211" t="s">
        <v>1333</v>
      </c>
      <c r="M1809" s="216">
        <v>4615506885</v>
      </c>
      <c r="N1809" s="212">
        <v>43614</v>
      </c>
      <c r="O1809" s="217">
        <v>3.9746999999999999</v>
      </c>
      <c r="P1809" s="219"/>
      <c r="Q1809" s="34">
        <f>SUMIF(Allocation[Delivery ID],Allocation[[#This Row],[Delivery ID]],Allocation[Quantity Processed])</f>
        <v>24112</v>
      </c>
      <c r="R1809" s="61">
        <f>Allocation[[#This Row],[Total volume used]]/VLOOKUP(Allocation[[#This Row],[Delivery ID]],Delivery[[Delivery ID]:[Quantity delivered]],3,FALSE)</f>
        <v>1</v>
      </c>
      <c r="S1809" s="34">
        <f>Allocation[[#This Row],[Quantity Processed]]/Allocation[[#This Row],[Dilution rate]]</f>
        <v>2021.7557251908397</v>
      </c>
      <c r="T1809" s="59">
        <f>SUMIF(Allocation[Delivery ID],Allocation[[#This Row],[Delivery ID]],Allocation[Quantity allocated])/SUMIF(Allocation[Delivery ID],Allocation[[#This Row],[Delivery ID]],Allocation[Volume available (kg)])</f>
        <v>0.89115983858053149</v>
      </c>
      <c r="U1809" s="61">
        <f>Allocation[[#This Row],[Total volume used]]/VLOOKUP(Allocation[[#This Row],[Delivery ID]],Delivery[[Delivery ID]:[Quantity delivered]],3,FALSE)</f>
        <v>1</v>
      </c>
      <c r="V1809" s="34" t="e">
        <f>VLOOKUP(Allocation[[#This Row],[SAP Contract number]],Shipments[[SAP Contract number]:[Contracted container weight]],2,FALSE)</f>
        <v>#N/A</v>
      </c>
      <c r="W1809" s="34" t="e">
        <f>VLOOKUP(Allocation[[#This Row],[SAP Contract number]],Shipments[[SAP Contract number]:[AAA Premium USD]],24,FALSE)</f>
        <v>#N/A</v>
      </c>
      <c r="X1809" s="34" t="e">
        <f>VLOOKUP(Allocation[[#This Row],[SAP Contract number]],Shipments[[SAP Contract number]:[RA Premium USD]],25,FALSE)</f>
        <v>#N/A</v>
      </c>
      <c r="Y1809" s="38">
        <f>Allocation[[#This Row],[Quantity Processed]]/Allocation[[#This Row],[Quantity allocated]]</f>
        <v>2.8570658036677452</v>
      </c>
      <c r="Z1809" s="34" t="b">
        <f>Allocation[[#This Row],[Quantity allocated]]&lt;=Allocation[[#This Row],[Quantity Processed]]</f>
        <v>1</v>
      </c>
    </row>
    <row r="1810" spans="1:26">
      <c r="A1810" s="247" t="s">
        <v>467</v>
      </c>
      <c r="B1810" s="210" t="s">
        <v>68</v>
      </c>
      <c r="C1810" s="254" t="s">
        <v>1153</v>
      </c>
      <c r="D1810" s="255">
        <v>1326</v>
      </c>
      <c r="E1810" s="211" t="s">
        <v>1914</v>
      </c>
      <c r="F1810" s="212">
        <v>43542</v>
      </c>
      <c r="G1810" s="213">
        <v>2.62</v>
      </c>
      <c r="H1810" s="256">
        <v>464</v>
      </c>
      <c r="I1810" s="214">
        <v>1453749</v>
      </c>
      <c r="J1810" s="215">
        <v>19175</v>
      </c>
      <c r="K1810" s="212">
        <v>43595</v>
      </c>
      <c r="L1810" s="211" t="s">
        <v>1333</v>
      </c>
      <c r="M1810" s="216">
        <v>4615506885</v>
      </c>
      <c r="N1810" s="212">
        <v>43614</v>
      </c>
      <c r="O1810" s="217">
        <v>3.9746999999999999</v>
      </c>
      <c r="P1810" s="219"/>
      <c r="Q1810" s="34">
        <f>SUMIF(Allocation[Delivery ID],Allocation[[#This Row],[Delivery ID]],Allocation[Quantity Processed])</f>
        <v>6028</v>
      </c>
      <c r="R1810" s="61">
        <f>Allocation[[#This Row],[Total volume used]]/VLOOKUP(Allocation[[#This Row],[Delivery ID]],Delivery[[Delivery ID]:[Quantity delivered]],3,FALSE)</f>
        <v>1</v>
      </c>
      <c r="S1810" s="34">
        <f>Allocation[[#This Row],[Quantity Processed]]/Allocation[[#This Row],[Dilution rate]]</f>
        <v>506.1068702290076</v>
      </c>
      <c r="T1810" s="59">
        <f>SUMIF(Allocation[Delivery ID],Allocation[[#This Row],[Delivery ID]],Allocation[Quantity allocated])/SUMIF(Allocation[Delivery ID],Allocation[[#This Row],[Delivery ID]],Allocation[Volume available (kg)])</f>
        <v>0.89160953867856818</v>
      </c>
      <c r="U1810" s="61">
        <f>Allocation[[#This Row],[Total volume used]]/VLOOKUP(Allocation[[#This Row],[Delivery ID]],Delivery[[Delivery ID]:[Quantity delivered]],3,FALSE)</f>
        <v>1</v>
      </c>
      <c r="V1810" s="34" t="e">
        <f>VLOOKUP(Allocation[[#This Row],[SAP Contract number]],Shipments[[SAP Contract number]:[Contracted container weight]],2,FALSE)</f>
        <v>#N/A</v>
      </c>
      <c r="W1810" s="34" t="e">
        <f>VLOOKUP(Allocation[[#This Row],[SAP Contract number]],Shipments[[SAP Contract number]:[AAA Premium USD]],24,FALSE)</f>
        <v>#N/A</v>
      </c>
      <c r="X1810" s="34" t="e">
        <f>VLOOKUP(Allocation[[#This Row],[SAP Contract number]],Shipments[[SAP Contract number]:[RA Premium USD]],25,FALSE)</f>
        <v>#N/A</v>
      </c>
      <c r="Y1810" s="38">
        <f>Allocation[[#This Row],[Quantity Processed]]/Allocation[[#This Row],[Quantity allocated]]</f>
        <v>2.8577586206896552</v>
      </c>
      <c r="Z1810" s="34" t="b">
        <f>Allocation[[#This Row],[Quantity allocated]]&lt;=Allocation[[#This Row],[Quantity Processed]]</f>
        <v>1</v>
      </c>
    </row>
    <row r="1811" spans="1:26">
      <c r="A1811" s="247" t="s">
        <v>467</v>
      </c>
      <c r="B1811" s="210" t="s">
        <v>68</v>
      </c>
      <c r="C1811" s="254" t="s">
        <v>1154</v>
      </c>
      <c r="D1811" s="255">
        <v>4954</v>
      </c>
      <c r="E1811" s="211" t="s">
        <v>1914</v>
      </c>
      <c r="F1811" s="212">
        <v>43542</v>
      </c>
      <c r="G1811" s="213">
        <v>2.62</v>
      </c>
      <c r="H1811" s="256">
        <v>1734</v>
      </c>
      <c r="I1811" s="214">
        <v>1453749</v>
      </c>
      <c r="J1811" s="215">
        <v>19175</v>
      </c>
      <c r="K1811" s="212">
        <v>43595</v>
      </c>
      <c r="L1811" s="211" t="s">
        <v>1333</v>
      </c>
      <c r="M1811" s="216">
        <v>4615506885</v>
      </c>
      <c r="N1811" s="212">
        <v>43614</v>
      </c>
      <c r="O1811" s="217">
        <v>3.9746999999999999</v>
      </c>
      <c r="P1811" s="219"/>
      <c r="Q1811" s="34">
        <f>SUMIF(Allocation[Delivery ID],Allocation[[#This Row],[Delivery ID]],Allocation[Quantity Processed])</f>
        <v>30250</v>
      </c>
      <c r="R1811" s="61">
        <f>Allocation[[#This Row],[Total volume used]]/VLOOKUP(Allocation[[#This Row],[Delivery ID]],Delivery[[Delivery ID]:[Quantity delivered]],3,FALSE)</f>
        <v>1</v>
      </c>
      <c r="S1811" s="34">
        <f>Allocation[[#This Row],[Quantity Processed]]/Allocation[[#This Row],[Dilution rate]]</f>
        <v>1890.8396946564885</v>
      </c>
      <c r="T1811" s="59">
        <f>SUMIF(Allocation[Delivery ID],Allocation[[#This Row],[Delivery ID]],Allocation[Quantity allocated])/SUMIF(Allocation[Delivery ID],Allocation[[#This Row],[Delivery ID]],Allocation[Volume available (kg)])</f>
        <v>0.89079977299863311</v>
      </c>
      <c r="U1811" s="61">
        <f>Allocation[[#This Row],[Total volume used]]/VLOOKUP(Allocation[[#This Row],[Delivery ID]],Delivery[[Delivery ID]:[Quantity delivered]],3,FALSE)</f>
        <v>1</v>
      </c>
      <c r="V1811" s="34" t="e">
        <f>VLOOKUP(Allocation[[#This Row],[SAP Contract number]],Shipments[[SAP Contract number]:[Contracted container weight]],2,FALSE)</f>
        <v>#N/A</v>
      </c>
      <c r="W1811" s="34" t="e">
        <f>VLOOKUP(Allocation[[#This Row],[SAP Contract number]],Shipments[[SAP Contract number]:[AAA Premium USD]],24,FALSE)</f>
        <v>#N/A</v>
      </c>
      <c r="X1811" s="34" t="e">
        <f>VLOOKUP(Allocation[[#This Row],[SAP Contract number]],Shipments[[SAP Contract number]:[RA Premium USD]],25,FALSE)</f>
        <v>#N/A</v>
      </c>
      <c r="Y1811" s="38">
        <f>Allocation[[#This Row],[Quantity Processed]]/Allocation[[#This Row],[Quantity allocated]]</f>
        <v>2.8569780853517877</v>
      </c>
      <c r="Z1811" s="34" t="b">
        <f>Allocation[[#This Row],[Quantity allocated]]&lt;=Allocation[[#This Row],[Quantity Processed]]</f>
        <v>1</v>
      </c>
    </row>
    <row r="1812" spans="1:26">
      <c r="A1812" s="247" t="s">
        <v>467</v>
      </c>
      <c r="B1812" s="210" t="s">
        <v>68</v>
      </c>
      <c r="C1812" s="254" t="s">
        <v>1154</v>
      </c>
      <c r="D1812" s="255">
        <v>1692</v>
      </c>
      <c r="E1812" s="211" t="s">
        <v>1914</v>
      </c>
      <c r="F1812" s="212">
        <v>43542</v>
      </c>
      <c r="G1812" s="213">
        <v>2.62</v>
      </c>
      <c r="H1812" s="256">
        <v>592</v>
      </c>
      <c r="I1812" s="214">
        <v>1453751</v>
      </c>
      <c r="J1812" s="215">
        <v>19175</v>
      </c>
      <c r="K1812" s="212">
        <v>43595</v>
      </c>
      <c r="L1812" s="211" t="s">
        <v>1915</v>
      </c>
      <c r="M1812" s="216">
        <v>4615506885</v>
      </c>
      <c r="N1812" s="212">
        <v>43614</v>
      </c>
      <c r="O1812" s="217">
        <v>3.9746999999999999</v>
      </c>
      <c r="P1812" s="219"/>
      <c r="Q1812" s="34">
        <f>SUMIF(Allocation[Delivery ID],Allocation[[#This Row],[Delivery ID]],Allocation[Quantity Processed])</f>
        <v>30250</v>
      </c>
      <c r="R1812" s="61">
        <f>Allocation[[#This Row],[Total volume used]]/VLOOKUP(Allocation[[#This Row],[Delivery ID]],Delivery[[Delivery ID]:[Quantity delivered]],3,FALSE)</f>
        <v>1</v>
      </c>
      <c r="S1812" s="34">
        <f>Allocation[[#This Row],[Quantity Processed]]/Allocation[[#This Row],[Dilution rate]]</f>
        <v>645.80152671755718</v>
      </c>
      <c r="T1812" s="59">
        <f>SUMIF(Allocation[Delivery ID],Allocation[[#This Row],[Delivery ID]],Allocation[Quantity allocated])/SUMIF(Allocation[Delivery ID],Allocation[[#This Row],[Delivery ID]],Allocation[Volume available (kg)])</f>
        <v>0.89079977299863311</v>
      </c>
      <c r="U1812" s="61">
        <f>Allocation[[#This Row],[Total volume used]]/VLOOKUP(Allocation[[#This Row],[Delivery ID]],Delivery[[Delivery ID]:[Quantity delivered]],3,FALSE)</f>
        <v>1</v>
      </c>
      <c r="V1812" s="34" t="e">
        <f>VLOOKUP(Allocation[[#This Row],[SAP Contract number]],Shipments[[SAP Contract number]:[Contracted container weight]],2,FALSE)</f>
        <v>#N/A</v>
      </c>
      <c r="W1812" s="34" t="e">
        <f>VLOOKUP(Allocation[[#This Row],[SAP Contract number]],Shipments[[SAP Contract number]:[AAA Premium USD]],24,FALSE)</f>
        <v>#N/A</v>
      </c>
      <c r="X1812" s="34" t="e">
        <f>VLOOKUP(Allocation[[#This Row],[SAP Contract number]],Shipments[[SAP Contract number]:[RA Premium USD]],25,FALSE)</f>
        <v>#N/A</v>
      </c>
      <c r="Y1812" s="38">
        <f>Allocation[[#This Row],[Quantity Processed]]/Allocation[[#This Row],[Quantity allocated]]</f>
        <v>2.8581081081081079</v>
      </c>
      <c r="Z1812" s="34" t="b">
        <f>Allocation[[#This Row],[Quantity allocated]]&lt;=Allocation[[#This Row],[Quantity Processed]]</f>
        <v>1</v>
      </c>
    </row>
    <row r="1813" spans="1:26">
      <c r="A1813" s="247" t="s">
        <v>467</v>
      </c>
      <c r="B1813" s="210" t="s">
        <v>68</v>
      </c>
      <c r="C1813" s="254" t="s">
        <v>1690</v>
      </c>
      <c r="D1813" s="255">
        <v>11982</v>
      </c>
      <c r="E1813" s="211" t="s">
        <v>1914</v>
      </c>
      <c r="F1813" s="212">
        <v>43542</v>
      </c>
      <c r="G1813" s="213">
        <v>2.62</v>
      </c>
      <c r="H1813" s="256">
        <v>4074</v>
      </c>
      <c r="I1813" s="214">
        <v>1453751</v>
      </c>
      <c r="J1813" s="215">
        <v>19175</v>
      </c>
      <c r="K1813" s="212">
        <v>43595</v>
      </c>
      <c r="L1813" s="211" t="s">
        <v>1915</v>
      </c>
      <c r="M1813" s="216">
        <v>4615506885</v>
      </c>
      <c r="N1813" s="212">
        <v>43614</v>
      </c>
      <c r="O1813" s="217">
        <v>3.9746999999999999</v>
      </c>
      <c r="P1813" s="219"/>
      <c r="Q1813" s="34">
        <f>SUMIF(Allocation[Delivery ID],Allocation[[#This Row],[Delivery ID]],Allocation[Quantity Processed])</f>
        <v>37980</v>
      </c>
      <c r="R1813" s="61">
        <f>Allocation[[#This Row],[Total volume used]]/VLOOKUP(Allocation[[#This Row],[Delivery ID]],Delivery[[Delivery ID]:[Quantity delivered]],3,FALSE)</f>
        <v>1</v>
      </c>
      <c r="S1813" s="34">
        <f>Allocation[[#This Row],[Quantity Processed]]/Allocation[[#This Row],[Dilution rate]]</f>
        <v>4573.2824427480919</v>
      </c>
      <c r="T1813" s="59">
        <f>SUMIF(Allocation[Delivery ID],Allocation[[#This Row],[Delivery ID]],Allocation[Quantity allocated])/SUMIF(Allocation[Delivery ID],Allocation[[#This Row],[Delivery ID]],Allocation[Volume available (kg)])</f>
        <v>0.90783705734408049</v>
      </c>
      <c r="U1813" s="61">
        <f>Allocation[[#This Row],[Total volume used]]/VLOOKUP(Allocation[[#This Row],[Delivery ID]],Delivery[[Delivery ID]:[Quantity delivered]],3,FALSE)</f>
        <v>1</v>
      </c>
      <c r="V1813" s="34" t="e">
        <f>VLOOKUP(Allocation[[#This Row],[SAP Contract number]],Shipments[[SAP Contract number]:[Contracted container weight]],2,FALSE)</f>
        <v>#N/A</v>
      </c>
      <c r="W1813" s="34" t="e">
        <f>VLOOKUP(Allocation[[#This Row],[SAP Contract number]],Shipments[[SAP Contract number]:[AAA Premium USD]],24,FALSE)</f>
        <v>#N/A</v>
      </c>
      <c r="X1813" s="34" t="e">
        <f>VLOOKUP(Allocation[[#This Row],[SAP Contract number]],Shipments[[SAP Contract number]:[RA Premium USD]],25,FALSE)</f>
        <v>#N/A</v>
      </c>
      <c r="Y1813" s="38">
        <f>Allocation[[#This Row],[Quantity Processed]]/Allocation[[#This Row],[Quantity allocated]]</f>
        <v>2.9410898379970547</v>
      </c>
      <c r="Z1813" s="34" t="b">
        <f>Allocation[[#This Row],[Quantity allocated]]&lt;=Allocation[[#This Row],[Quantity Processed]]</f>
        <v>1</v>
      </c>
    </row>
    <row r="1814" spans="1:26">
      <c r="A1814" s="247" t="s">
        <v>467</v>
      </c>
      <c r="B1814" s="210" t="s">
        <v>68</v>
      </c>
      <c r="C1814" s="254" t="s">
        <v>1155</v>
      </c>
      <c r="D1814" s="255">
        <v>6614</v>
      </c>
      <c r="E1814" s="211" t="s">
        <v>1914</v>
      </c>
      <c r="F1814" s="212">
        <v>43542</v>
      </c>
      <c r="G1814" s="213">
        <v>2.62</v>
      </c>
      <c r="H1814" s="256">
        <v>2315</v>
      </c>
      <c r="I1814" s="214">
        <v>1453751</v>
      </c>
      <c r="J1814" s="215">
        <v>19175</v>
      </c>
      <c r="K1814" s="212">
        <v>43595</v>
      </c>
      <c r="L1814" s="211" t="s">
        <v>1915</v>
      </c>
      <c r="M1814" s="216">
        <v>4615506885</v>
      </c>
      <c r="N1814" s="212">
        <v>43614</v>
      </c>
      <c r="O1814" s="217">
        <v>3.9746999999999999</v>
      </c>
      <c r="P1814" s="219"/>
      <c r="Q1814" s="34">
        <f>SUMIF(Allocation[Delivery ID],Allocation[[#This Row],[Delivery ID]],Allocation[Quantity Processed])</f>
        <v>30110</v>
      </c>
      <c r="R1814" s="61">
        <f>Allocation[[#This Row],[Total volume used]]/VLOOKUP(Allocation[[#This Row],[Delivery ID]],Delivery[[Delivery ID]:[Quantity delivered]],3,FALSE)</f>
        <v>1</v>
      </c>
      <c r="S1814" s="34">
        <f>Allocation[[#This Row],[Quantity Processed]]/Allocation[[#This Row],[Dilution rate]]</f>
        <v>2524.4274809160306</v>
      </c>
      <c r="T1814" s="59">
        <f>SUMIF(Allocation[Delivery ID],Allocation[[#This Row],[Delivery ID]],Allocation[Quantity allocated])/SUMIF(Allocation[Delivery ID],Allocation[[#This Row],[Delivery ID]],Allocation[Volume available (kg)])</f>
        <v>0.89099699146553557</v>
      </c>
      <c r="U1814" s="61">
        <f>Allocation[[#This Row],[Total volume used]]/VLOOKUP(Allocation[[#This Row],[Delivery ID]],Delivery[[Delivery ID]:[Quantity delivered]],3,FALSE)</f>
        <v>1</v>
      </c>
      <c r="V1814" s="34" t="e">
        <f>VLOOKUP(Allocation[[#This Row],[SAP Contract number]],Shipments[[SAP Contract number]:[Contracted container weight]],2,FALSE)</f>
        <v>#N/A</v>
      </c>
      <c r="W1814" s="34" t="e">
        <f>VLOOKUP(Allocation[[#This Row],[SAP Contract number]],Shipments[[SAP Contract number]:[AAA Premium USD]],24,FALSE)</f>
        <v>#N/A</v>
      </c>
      <c r="X1814" s="34" t="e">
        <f>VLOOKUP(Allocation[[#This Row],[SAP Contract number]],Shipments[[SAP Contract number]:[RA Premium USD]],25,FALSE)</f>
        <v>#N/A</v>
      </c>
      <c r="Y1814" s="38">
        <f>Allocation[[#This Row],[Quantity Processed]]/Allocation[[#This Row],[Quantity allocated]]</f>
        <v>2.8570194384449246</v>
      </c>
      <c r="Z1814" s="34" t="b">
        <f>Allocation[[#This Row],[Quantity allocated]]&lt;=Allocation[[#This Row],[Quantity Processed]]</f>
        <v>1</v>
      </c>
    </row>
    <row r="1815" spans="1:26">
      <c r="A1815" s="247" t="s">
        <v>467</v>
      </c>
      <c r="B1815" s="210" t="s">
        <v>68</v>
      </c>
      <c r="C1815" s="254" t="s">
        <v>1695</v>
      </c>
      <c r="D1815" s="255">
        <v>6077</v>
      </c>
      <c r="E1815" s="211" t="s">
        <v>1914</v>
      </c>
      <c r="F1815" s="212">
        <v>43542</v>
      </c>
      <c r="G1815" s="213">
        <v>2.62</v>
      </c>
      <c r="H1815" s="256">
        <v>1823</v>
      </c>
      <c r="I1815" s="214">
        <v>1453751</v>
      </c>
      <c r="J1815" s="215">
        <v>19175</v>
      </c>
      <c r="K1815" s="212">
        <v>43595</v>
      </c>
      <c r="L1815" s="211" t="s">
        <v>1915</v>
      </c>
      <c r="M1815" s="216">
        <v>4615506885</v>
      </c>
      <c r="N1815" s="212">
        <v>43614</v>
      </c>
      <c r="O1815" s="217">
        <v>3.9746999999999999</v>
      </c>
      <c r="P1815" s="219"/>
      <c r="Q1815" s="34">
        <f>SUMIF(Allocation[Delivery ID],Allocation[[#This Row],[Delivery ID]],Allocation[Quantity Processed])</f>
        <v>23530</v>
      </c>
      <c r="R1815" s="61">
        <f>Allocation[[#This Row],[Total volume used]]/VLOOKUP(Allocation[[#This Row],[Delivery ID]],Delivery[[Delivery ID]:[Quantity delivered]],3,FALSE)</f>
        <v>0.78328894806924099</v>
      </c>
      <c r="S1815" s="34">
        <f>Allocation[[#This Row],[Quantity Processed]]/Allocation[[#This Row],[Dilution rate]]</f>
        <v>2319.4656488549617</v>
      </c>
      <c r="T1815" s="59">
        <f>SUMIF(Allocation[Delivery ID],Allocation[[#This Row],[Delivery ID]],Allocation[Quantity allocated])/SUMIF(Allocation[Delivery ID],Allocation[[#This Row],[Delivery ID]],Allocation[Volume available (kg)])</f>
        <v>0.80004597707588787</v>
      </c>
      <c r="U1815" s="61">
        <f>Allocation[[#This Row],[Total volume used]]/VLOOKUP(Allocation[[#This Row],[Delivery ID]],Delivery[[Delivery ID]:[Quantity delivered]],3,FALSE)</f>
        <v>0.78328894806924099</v>
      </c>
      <c r="V1815" s="34" t="e">
        <f>VLOOKUP(Allocation[[#This Row],[SAP Contract number]],Shipments[[SAP Contract number]:[Contracted container weight]],2,FALSE)</f>
        <v>#N/A</v>
      </c>
      <c r="W1815" s="34" t="e">
        <f>VLOOKUP(Allocation[[#This Row],[SAP Contract number]],Shipments[[SAP Contract number]:[AAA Premium USD]],24,FALSE)</f>
        <v>#N/A</v>
      </c>
      <c r="X1815" s="34" t="e">
        <f>VLOOKUP(Allocation[[#This Row],[SAP Contract number]],Shipments[[SAP Contract number]:[RA Premium USD]],25,FALSE)</f>
        <v>#N/A</v>
      </c>
      <c r="Y1815" s="38">
        <f>Allocation[[#This Row],[Quantity Processed]]/Allocation[[#This Row],[Quantity allocated]]</f>
        <v>3.3335161821173891</v>
      </c>
      <c r="Z1815" s="34" t="b">
        <f>Allocation[[#This Row],[Quantity allocated]]&lt;=Allocation[[#This Row],[Quantity Processed]]</f>
        <v>1</v>
      </c>
    </row>
    <row r="1816" spans="1:26">
      <c r="A1816" s="247" t="s">
        <v>467</v>
      </c>
      <c r="B1816" s="210" t="s">
        <v>68</v>
      </c>
      <c r="C1816" s="254" t="s">
        <v>1163</v>
      </c>
      <c r="D1816" s="255">
        <v>7123</v>
      </c>
      <c r="E1816" s="211" t="s">
        <v>1914</v>
      </c>
      <c r="F1816" s="212">
        <v>43542</v>
      </c>
      <c r="G1816" s="213">
        <v>2.62</v>
      </c>
      <c r="H1816" s="256">
        <v>2493</v>
      </c>
      <c r="I1816" s="214">
        <v>1453751</v>
      </c>
      <c r="J1816" s="215">
        <v>19175</v>
      </c>
      <c r="K1816" s="212">
        <v>43595</v>
      </c>
      <c r="L1816" s="211" t="s">
        <v>1915</v>
      </c>
      <c r="M1816" s="216">
        <v>4615506885</v>
      </c>
      <c r="N1816" s="212">
        <v>43614</v>
      </c>
      <c r="O1816" s="217">
        <v>3.9746999999999999</v>
      </c>
      <c r="P1816" s="219"/>
      <c r="Q1816" s="34">
        <f>SUMIF(Allocation[Delivery ID],Allocation[[#This Row],[Delivery ID]],Allocation[Quantity Processed])</f>
        <v>32420</v>
      </c>
      <c r="R1816" s="61">
        <f>Allocation[[#This Row],[Total volume used]]/VLOOKUP(Allocation[[#This Row],[Delivery ID]],Delivery[[Delivery ID]:[Quantity delivered]],3,FALSE)</f>
        <v>1</v>
      </c>
      <c r="S1816" s="34">
        <f>Allocation[[#This Row],[Quantity Processed]]/Allocation[[#This Row],[Dilution rate]]</f>
        <v>2718.7022900763359</v>
      </c>
      <c r="T1816" s="59">
        <f>SUMIF(Allocation[Delivery ID],Allocation[[#This Row],[Delivery ID]],Allocation[Quantity allocated])/SUMIF(Allocation[Delivery ID],Allocation[[#This Row],[Delivery ID]],Allocation[Volume available (kg)])</f>
        <v>0.91573014953438914</v>
      </c>
      <c r="U1816" s="61">
        <f>Allocation[[#This Row],[Total volume used]]/VLOOKUP(Allocation[[#This Row],[Delivery ID]],Delivery[[Delivery ID]:[Quantity delivered]],3,FALSE)</f>
        <v>1</v>
      </c>
      <c r="V1816" s="34" t="e">
        <f>VLOOKUP(Allocation[[#This Row],[SAP Contract number]],Shipments[[SAP Contract number]:[Contracted container weight]],2,FALSE)</f>
        <v>#N/A</v>
      </c>
      <c r="W1816" s="34" t="e">
        <f>VLOOKUP(Allocation[[#This Row],[SAP Contract number]],Shipments[[SAP Contract number]:[AAA Premium USD]],24,FALSE)</f>
        <v>#N/A</v>
      </c>
      <c r="X1816" s="34" t="e">
        <f>VLOOKUP(Allocation[[#This Row],[SAP Contract number]],Shipments[[SAP Contract number]:[RA Premium USD]],25,FALSE)</f>
        <v>#N/A</v>
      </c>
      <c r="Y1816" s="38">
        <f>Allocation[[#This Row],[Quantity Processed]]/Allocation[[#This Row],[Quantity allocated]]</f>
        <v>2.8572001604492581</v>
      </c>
      <c r="Z1816" s="34" t="b">
        <f>Allocation[[#This Row],[Quantity allocated]]&lt;=Allocation[[#This Row],[Quantity Processed]]</f>
        <v>1</v>
      </c>
    </row>
    <row r="1817" spans="1:26">
      <c r="A1817" s="247" t="s">
        <v>467</v>
      </c>
      <c r="B1817" s="210" t="s">
        <v>68</v>
      </c>
      <c r="C1817" s="254" t="s">
        <v>1165</v>
      </c>
      <c r="D1817" s="255">
        <v>5603</v>
      </c>
      <c r="E1817" s="211" t="s">
        <v>1914</v>
      </c>
      <c r="F1817" s="212">
        <v>43542</v>
      </c>
      <c r="G1817" s="213">
        <v>2.62</v>
      </c>
      <c r="H1817" s="256">
        <v>1961</v>
      </c>
      <c r="I1817" s="214">
        <v>1453751</v>
      </c>
      <c r="J1817" s="215">
        <v>19175</v>
      </c>
      <c r="K1817" s="212">
        <v>43595</v>
      </c>
      <c r="L1817" s="211" t="s">
        <v>1915</v>
      </c>
      <c r="M1817" s="216">
        <v>4615506885</v>
      </c>
      <c r="N1817" s="212">
        <v>43614</v>
      </c>
      <c r="O1817" s="217">
        <v>3.9746999999999999</v>
      </c>
      <c r="P1817" s="219"/>
      <c r="Q1817" s="34">
        <f>SUMIF(Allocation[Delivery ID],Allocation[[#This Row],[Delivery ID]],Allocation[Quantity Processed])</f>
        <v>25500</v>
      </c>
      <c r="R1817" s="61">
        <f>Allocation[[#This Row],[Total volume used]]/VLOOKUP(Allocation[[#This Row],[Delivery ID]],Delivery[[Delivery ID]:[Quantity delivered]],3,FALSE)</f>
        <v>1</v>
      </c>
      <c r="S1817" s="34">
        <f>Allocation[[#This Row],[Quantity Processed]]/Allocation[[#This Row],[Dilution rate]]</f>
        <v>2138.5496183206105</v>
      </c>
      <c r="T1817" s="59">
        <f>SUMIF(Allocation[Delivery ID],Allocation[[#This Row],[Delivery ID]],Allocation[Quantity allocated])/SUMIF(Allocation[Delivery ID],Allocation[[#This Row],[Delivery ID]],Allocation[Volume available (kg)])</f>
        <v>0.91565224611931262</v>
      </c>
      <c r="U1817" s="61">
        <f>Allocation[[#This Row],[Total volume used]]/VLOOKUP(Allocation[[#This Row],[Delivery ID]],Delivery[[Delivery ID]:[Quantity delivered]],3,FALSE)</f>
        <v>1</v>
      </c>
      <c r="V1817" s="34" t="e">
        <f>VLOOKUP(Allocation[[#This Row],[SAP Contract number]],Shipments[[SAP Contract number]:[Contracted container weight]],2,FALSE)</f>
        <v>#N/A</v>
      </c>
      <c r="W1817" s="34" t="e">
        <f>VLOOKUP(Allocation[[#This Row],[SAP Contract number]],Shipments[[SAP Contract number]:[AAA Premium USD]],24,FALSE)</f>
        <v>#N/A</v>
      </c>
      <c r="X1817" s="34" t="e">
        <f>VLOOKUP(Allocation[[#This Row],[SAP Contract number]],Shipments[[SAP Contract number]:[RA Premium USD]],25,FALSE)</f>
        <v>#N/A</v>
      </c>
      <c r="Y1817" s="38">
        <f>Allocation[[#This Row],[Quantity Processed]]/Allocation[[#This Row],[Quantity allocated]]</f>
        <v>2.85721570627231</v>
      </c>
      <c r="Z1817" s="34" t="b">
        <f>Allocation[[#This Row],[Quantity allocated]]&lt;=Allocation[[#This Row],[Quantity Processed]]</f>
        <v>1</v>
      </c>
    </row>
    <row r="1818" spans="1:26">
      <c r="A1818" s="247" t="s">
        <v>467</v>
      </c>
      <c r="B1818" s="210" t="s">
        <v>68</v>
      </c>
      <c r="C1818" s="254" t="s">
        <v>1166</v>
      </c>
      <c r="D1818" s="255">
        <v>1529</v>
      </c>
      <c r="E1818" s="211" t="s">
        <v>1914</v>
      </c>
      <c r="F1818" s="212">
        <v>43542</v>
      </c>
      <c r="G1818" s="213">
        <v>2.62</v>
      </c>
      <c r="H1818" s="256">
        <v>535</v>
      </c>
      <c r="I1818" s="214">
        <v>1453751</v>
      </c>
      <c r="J1818" s="215">
        <v>19175</v>
      </c>
      <c r="K1818" s="212">
        <v>43595</v>
      </c>
      <c r="L1818" s="211" t="s">
        <v>1915</v>
      </c>
      <c r="M1818" s="216">
        <v>4615506885</v>
      </c>
      <c r="N1818" s="212">
        <v>43614</v>
      </c>
      <c r="O1818" s="217">
        <v>3.9746999999999999</v>
      </c>
      <c r="P1818" s="219"/>
      <c r="Q1818" s="34">
        <f>SUMIF(Allocation[Delivery ID],Allocation[[#This Row],[Delivery ID]],Allocation[Quantity Processed])</f>
        <v>6960</v>
      </c>
      <c r="R1818" s="61">
        <f>Allocation[[#This Row],[Total volume used]]/VLOOKUP(Allocation[[#This Row],[Delivery ID]],Delivery[[Delivery ID]:[Quantity delivered]],3,FALSE)</f>
        <v>1</v>
      </c>
      <c r="S1818" s="34">
        <f>Allocation[[#This Row],[Quantity Processed]]/Allocation[[#This Row],[Dilution rate]]</f>
        <v>583.58778625954199</v>
      </c>
      <c r="T1818" s="59">
        <f>SUMIF(Allocation[Delivery ID],Allocation[[#This Row],[Delivery ID]],Allocation[Quantity allocated])/SUMIF(Allocation[Delivery ID],Allocation[[#This Row],[Delivery ID]],Allocation[Volume available (kg)])</f>
        <v>0.91648668745422734</v>
      </c>
      <c r="U1818" s="61">
        <f>Allocation[[#This Row],[Total volume used]]/VLOOKUP(Allocation[[#This Row],[Delivery ID]],Delivery[[Delivery ID]:[Quantity delivered]],3,FALSE)</f>
        <v>1</v>
      </c>
      <c r="V1818" s="34" t="e">
        <f>VLOOKUP(Allocation[[#This Row],[SAP Contract number]],Shipments[[SAP Contract number]:[Contracted container weight]],2,FALSE)</f>
        <v>#N/A</v>
      </c>
      <c r="W1818" s="34" t="e">
        <f>VLOOKUP(Allocation[[#This Row],[SAP Contract number]],Shipments[[SAP Contract number]:[AAA Premium USD]],24,FALSE)</f>
        <v>#N/A</v>
      </c>
      <c r="X1818" s="34" t="e">
        <f>VLOOKUP(Allocation[[#This Row],[SAP Contract number]],Shipments[[SAP Contract number]:[RA Premium USD]],25,FALSE)</f>
        <v>#N/A</v>
      </c>
      <c r="Y1818" s="38">
        <f>Allocation[[#This Row],[Quantity Processed]]/Allocation[[#This Row],[Quantity allocated]]</f>
        <v>2.8579439252336449</v>
      </c>
      <c r="Z1818" s="34" t="b">
        <f>Allocation[[#This Row],[Quantity allocated]]&lt;=Allocation[[#This Row],[Quantity Processed]]</f>
        <v>1</v>
      </c>
    </row>
    <row r="1819" spans="1:26">
      <c r="A1819" s="247" t="s">
        <v>467</v>
      </c>
      <c r="B1819" s="210" t="s">
        <v>68</v>
      </c>
      <c r="C1819" s="254" t="s">
        <v>1701</v>
      </c>
      <c r="D1819" s="255">
        <v>2797</v>
      </c>
      <c r="E1819" s="211" t="s">
        <v>1914</v>
      </c>
      <c r="F1819" s="212">
        <v>43542</v>
      </c>
      <c r="G1819" s="213">
        <v>2.62</v>
      </c>
      <c r="H1819" s="256">
        <v>839</v>
      </c>
      <c r="I1819" s="214">
        <v>1453751</v>
      </c>
      <c r="J1819" s="215">
        <v>19175</v>
      </c>
      <c r="K1819" s="212">
        <v>43595</v>
      </c>
      <c r="L1819" s="211" t="s">
        <v>1915</v>
      </c>
      <c r="M1819" s="216">
        <v>4615506885</v>
      </c>
      <c r="N1819" s="212">
        <v>43614</v>
      </c>
      <c r="O1819" s="217">
        <v>3.9746999999999999</v>
      </c>
      <c r="P1819" s="219"/>
      <c r="Q1819" s="34">
        <f>SUMIF(Allocation[Delivery ID],Allocation[[#This Row],[Delivery ID]],Allocation[Quantity Processed])</f>
        <v>10837</v>
      </c>
      <c r="R1819" s="61">
        <f>Allocation[[#This Row],[Total volume used]]/VLOOKUP(Allocation[[#This Row],[Delivery ID]],Delivery[[Delivery ID]:[Quantity delivered]],3,FALSE)</f>
        <v>0.78347310584152685</v>
      </c>
      <c r="S1819" s="34">
        <f>Allocation[[#This Row],[Quantity Processed]]/Allocation[[#This Row],[Dilution rate]]</f>
        <v>1067.5572519083969</v>
      </c>
      <c r="T1819" s="59">
        <f>SUMIF(Allocation[Delivery ID],Allocation[[#This Row],[Delivery ID]],Allocation[Quantity allocated])/SUMIF(Allocation[Delivery ID],Allocation[[#This Row],[Delivery ID]],Allocation[Volume available (kg)])</f>
        <v>0.80002142932056886</v>
      </c>
      <c r="U1819" s="61">
        <f>Allocation[[#This Row],[Total volume used]]/VLOOKUP(Allocation[[#This Row],[Delivery ID]],Delivery[[Delivery ID]:[Quantity delivered]],3,FALSE)</f>
        <v>0.78347310584152685</v>
      </c>
      <c r="V1819" s="34" t="e">
        <f>VLOOKUP(Allocation[[#This Row],[SAP Contract number]],Shipments[[SAP Contract number]:[Contracted container weight]],2,FALSE)</f>
        <v>#N/A</v>
      </c>
      <c r="W1819" s="34" t="e">
        <f>VLOOKUP(Allocation[[#This Row],[SAP Contract number]],Shipments[[SAP Contract number]:[AAA Premium USD]],24,FALSE)</f>
        <v>#N/A</v>
      </c>
      <c r="X1819" s="34" t="e">
        <f>VLOOKUP(Allocation[[#This Row],[SAP Contract number]],Shipments[[SAP Contract number]:[RA Premium USD]],25,FALSE)</f>
        <v>#N/A</v>
      </c>
      <c r="Y1819" s="38">
        <f>Allocation[[#This Row],[Quantity Processed]]/Allocation[[#This Row],[Quantity allocated]]</f>
        <v>3.3337306317044102</v>
      </c>
      <c r="Z1819" s="34" t="b">
        <f>Allocation[[#This Row],[Quantity allocated]]&lt;=Allocation[[#This Row],[Quantity Processed]]</f>
        <v>1</v>
      </c>
    </row>
    <row r="1820" spans="1:26">
      <c r="A1820" s="247" t="s">
        <v>467</v>
      </c>
      <c r="B1820" s="210" t="s">
        <v>68</v>
      </c>
      <c r="C1820" s="254" t="s">
        <v>1702</v>
      </c>
      <c r="D1820" s="255">
        <v>3247</v>
      </c>
      <c r="E1820" s="211" t="s">
        <v>1914</v>
      </c>
      <c r="F1820" s="212">
        <v>43542</v>
      </c>
      <c r="G1820" s="213">
        <v>2.62</v>
      </c>
      <c r="H1820" s="256">
        <v>974</v>
      </c>
      <c r="I1820" s="214">
        <v>1453751</v>
      </c>
      <c r="J1820" s="215">
        <v>19175</v>
      </c>
      <c r="K1820" s="212">
        <v>43595</v>
      </c>
      <c r="L1820" s="211" t="s">
        <v>1915</v>
      </c>
      <c r="M1820" s="216">
        <v>4615506885</v>
      </c>
      <c r="N1820" s="212">
        <v>43614</v>
      </c>
      <c r="O1820" s="217">
        <v>3.9746999999999999</v>
      </c>
      <c r="P1820" s="219"/>
      <c r="Q1820" s="34">
        <f>SUMIF(Allocation[Delivery ID],Allocation[[#This Row],[Delivery ID]],Allocation[Quantity Processed])</f>
        <v>12574</v>
      </c>
      <c r="R1820" s="61">
        <f>Allocation[[#This Row],[Total volume used]]/VLOOKUP(Allocation[[#This Row],[Delivery ID]],Delivery[[Delivery ID]:[Quantity delivered]],3,FALSE)</f>
        <v>0.78303649271391207</v>
      </c>
      <c r="S1820" s="34">
        <f>Allocation[[#This Row],[Quantity Processed]]/Allocation[[#This Row],[Dilution rate]]</f>
        <v>1239.3129770992366</v>
      </c>
      <c r="T1820" s="59">
        <f>SUMIF(Allocation[Delivery ID],Allocation[[#This Row],[Delivery ID]],Allocation[Quantity allocated])/SUMIF(Allocation[Delivery ID],Allocation[[#This Row],[Delivery ID]],Allocation[Volume available (kg)])</f>
        <v>0.80000657794533359</v>
      </c>
      <c r="U1820" s="61">
        <f>Allocation[[#This Row],[Total volume used]]/VLOOKUP(Allocation[[#This Row],[Delivery ID]],Delivery[[Delivery ID]:[Quantity delivered]],3,FALSE)</f>
        <v>0.78303649271391207</v>
      </c>
      <c r="V1820" s="34" t="e">
        <f>VLOOKUP(Allocation[[#This Row],[SAP Contract number]],Shipments[[SAP Contract number]:[Contracted container weight]],2,FALSE)</f>
        <v>#N/A</v>
      </c>
      <c r="W1820" s="34" t="e">
        <f>VLOOKUP(Allocation[[#This Row],[SAP Contract number]],Shipments[[SAP Contract number]:[AAA Premium USD]],24,FALSE)</f>
        <v>#N/A</v>
      </c>
      <c r="X1820" s="34" t="e">
        <f>VLOOKUP(Allocation[[#This Row],[SAP Contract number]],Shipments[[SAP Contract number]:[RA Premium USD]],25,FALSE)</f>
        <v>#N/A</v>
      </c>
      <c r="Y1820" s="38">
        <f>Allocation[[#This Row],[Quantity Processed]]/Allocation[[#This Row],[Quantity allocated]]</f>
        <v>3.3336755646817249</v>
      </c>
      <c r="Z1820" s="34" t="b">
        <f>Allocation[[#This Row],[Quantity allocated]]&lt;=Allocation[[#This Row],[Quantity Processed]]</f>
        <v>1</v>
      </c>
    </row>
    <row r="1821" spans="1:26">
      <c r="A1821" s="247" t="s">
        <v>467</v>
      </c>
      <c r="B1821" s="210" t="s">
        <v>68</v>
      </c>
      <c r="C1821" s="254" t="s">
        <v>1741</v>
      </c>
      <c r="D1821" s="255">
        <v>6998</v>
      </c>
      <c r="E1821" s="211" t="s">
        <v>1914</v>
      </c>
      <c r="F1821" s="212">
        <v>43542</v>
      </c>
      <c r="G1821" s="213">
        <v>2.62</v>
      </c>
      <c r="H1821" s="256">
        <v>3569</v>
      </c>
      <c r="I1821" s="214">
        <v>1453751</v>
      </c>
      <c r="J1821" s="215">
        <v>19175</v>
      </c>
      <c r="K1821" s="212">
        <v>43595</v>
      </c>
      <c r="L1821" s="211" t="s">
        <v>1915</v>
      </c>
      <c r="M1821" s="216">
        <v>4615506885</v>
      </c>
      <c r="N1821" s="212">
        <v>43614</v>
      </c>
      <c r="O1821" s="217">
        <v>3.9746999999999999</v>
      </c>
      <c r="P1821" s="219"/>
      <c r="Q1821" s="34">
        <f>SUMIF(Allocation[Delivery ID],Allocation[[#This Row],[Delivery ID]],Allocation[Quantity Processed])</f>
        <v>29075</v>
      </c>
      <c r="R1821" s="61">
        <f>Allocation[[#This Row],[Total volume used]]/VLOOKUP(Allocation[[#This Row],[Delivery ID]],Delivery[[Delivery ID]:[Quantity delivered]],3,FALSE)</f>
        <v>0.76836680761099363</v>
      </c>
      <c r="S1821" s="34">
        <f>Allocation[[#This Row],[Quantity Processed]]/Allocation[[#This Row],[Dilution rate]]</f>
        <v>2670.9923664122134</v>
      </c>
      <c r="T1821" s="59">
        <f>SUMIF(Allocation[Delivery ID],Allocation[[#This Row],[Delivery ID]],Allocation[Quantity allocated])/SUMIF(Allocation[Delivery ID],Allocation[[#This Row],[Delivery ID]],Allocation[Volume available (kg)])</f>
        <v>1.3571059936030028</v>
      </c>
      <c r="U1821" s="61">
        <f>Allocation[[#This Row],[Total volume used]]/VLOOKUP(Allocation[[#This Row],[Delivery ID]],Delivery[[Delivery ID]:[Quantity delivered]],3,FALSE)</f>
        <v>0.76836680761099363</v>
      </c>
      <c r="V1821" s="34" t="e">
        <f>VLOOKUP(Allocation[[#This Row],[SAP Contract number]],Shipments[[SAP Contract number]:[Contracted container weight]],2,FALSE)</f>
        <v>#N/A</v>
      </c>
      <c r="W1821" s="34" t="e">
        <f>VLOOKUP(Allocation[[#This Row],[SAP Contract number]],Shipments[[SAP Contract number]:[AAA Premium USD]],24,FALSE)</f>
        <v>#N/A</v>
      </c>
      <c r="X1821" s="34" t="e">
        <f>VLOOKUP(Allocation[[#This Row],[SAP Contract number]],Shipments[[SAP Contract number]:[RA Premium USD]],25,FALSE)</f>
        <v>#N/A</v>
      </c>
      <c r="Y1821" s="38">
        <f>Allocation[[#This Row],[Quantity Processed]]/Allocation[[#This Row],[Quantity allocated]]</f>
        <v>1.9607733258615858</v>
      </c>
      <c r="Z1821" s="34" t="b">
        <f>Allocation[[#This Row],[Quantity allocated]]&lt;=Allocation[[#This Row],[Quantity Processed]]</f>
        <v>1</v>
      </c>
    </row>
    <row r="1822" spans="1:26">
      <c r="A1822" s="247" t="s">
        <v>467</v>
      </c>
      <c r="B1822" s="210" t="s">
        <v>68</v>
      </c>
      <c r="C1822" s="254" t="s">
        <v>1741</v>
      </c>
      <c r="D1822" s="255">
        <v>3373</v>
      </c>
      <c r="E1822" s="211" t="s">
        <v>1914</v>
      </c>
      <c r="F1822" s="212">
        <v>43542</v>
      </c>
      <c r="G1822" s="213">
        <v>2.62</v>
      </c>
      <c r="H1822" s="256">
        <v>1720</v>
      </c>
      <c r="I1822" s="214">
        <v>1453752</v>
      </c>
      <c r="J1822" s="215">
        <v>19175</v>
      </c>
      <c r="K1822" s="212">
        <v>43595</v>
      </c>
      <c r="L1822" s="211" t="s">
        <v>1916</v>
      </c>
      <c r="M1822" s="216">
        <v>4615506885</v>
      </c>
      <c r="N1822" s="212">
        <v>43614</v>
      </c>
      <c r="O1822" s="217">
        <v>3.9746999999999999</v>
      </c>
      <c r="P1822" s="219"/>
      <c r="Q1822" s="34">
        <f>SUMIF(Allocation[Delivery ID],Allocation[[#This Row],[Delivery ID]],Allocation[Quantity Processed])</f>
        <v>29075</v>
      </c>
      <c r="R1822" s="61">
        <f>Allocation[[#This Row],[Total volume used]]/VLOOKUP(Allocation[[#This Row],[Delivery ID]],Delivery[[Delivery ID]:[Quantity delivered]],3,FALSE)</f>
        <v>0.76836680761099363</v>
      </c>
      <c r="S1822" s="34">
        <f>Allocation[[#This Row],[Quantity Processed]]/Allocation[[#This Row],[Dilution rate]]</f>
        <v>1287.4045801526718</v>
      </c>
      <c r="T1822" s="59">
        <f>SUMIF(Allocation[Delivery ID],Allocation[[#This Row],[Delivery ID]],Allocation[Quantity allocated])/SUMIF(Allocation[Delivery ID],Allocation[[#This Row],[Delivery ID]],Allocation[Volume available (kg)])</f>
        <v>1.3571059936030028</v>
      </c>
      <c r="U1822" s="61">
        <f>Allocation[[#This Row],[Total volume used]]/VLOOKUP(Allocation[[#This Row],[Delivery ID]],Delivery[[Delivery ID]:[Quantity delivered]],3,FALSE)</f>
        <v>0.76836680761099363</v>
      </c>
      <c r="V1822" s="34" t="e">
        <f>VLOOKUP(Allocation[[#This Row],[SAP Contract number]],Shipments[[SAP Contract number]:[Contracted container weight]],2,FALSE)</f>
        <v>#N/A</v>
      </c>
      <c r="W1822" s="34" t="e">
        <f>VLOOKUP(Allocation[[#This Row],[SAP Contract number]],Shipments[[SAP Contract number]:[AAA Premium USD]],24,FALSE)</f>
        <v>#N/A</v>
      </c>
      <c r="X1822" s="34" t="e">
        <f>VLOOKUP(Allocation[[#This Row],[SAP Contract number]],Shipments[[SAP Contract number]:[RA Premium USD]],25,FALSE)</f>
        <v>#N/A</v>
      </c>
      <c r="Y1822" s="38">
        <f>Allocation[[#This Row],[Quantity Processed]]/Allocation[[#This Row],[Quantity allocated]]</f>
        <v>1.961046511627907</v>
      </c>
      <c r="Z1822" s="34" t="b">
        <f>Allocation[[#This Row],[Quantity allocated]]&lt;=Allocation[[#This Row],[Quantity Processed]]</f>
        <v>1</v>
      </c>
    </row>
    <row r="1823" spans="1:26">
      <c r="A1823" s="247" t="s">
        <v>467</v>
      </c>
      <c r="B1823" s="210" t="s">
        <v>68</v>
      </c>
      <c r="C1823" s="254" t="s">
        <v>1743</v>
      </c>
      <c r="D1823" s="255">
        <v>8547</v>
      </c>
      <c r="E1823" s="211" t="s">
        <v>1914</v>
      </c>
      <c r="F1823" s="212">
        <v>43542</v>
      </c>
      <c r="G1823" s="213">
        <v>2.62</v>
      </c>
      <c r="H1823" s="256">
        <v>4359</v>
      </c>
      <c r="I1823" s="214">
        <v>1453752</v>
      </c>
      <c r="J1823" s="215">
        <v>19175</v>
      </c>
      <c r="K1823" s="212">
        <v>43595</v>
      </c>
      <c r="L1823" s="211" t="s">
        <v>1916</v>
      </c>
      <c r="M1823" s="216">
        <v>4615506885</v>
      </c>
      <c r="N1823" s="212">
        <v>43614</v>
      </c>
      <c r="O1823" s="217">
        <v>3.9746999999999999</v>
      </c>
      <c r="P1823" s="219"/>
      <c r="Q1823" s="34">
        <f>SUMIF(Allocation[Delivery ID],Allocation[[#This Row],[Delivery ID]],Allocation[Quantity Processed])</f>
        <v>23963</v>
      </c>
      <c r="R1823" s="61">
        <f>Allocation[[#This Row],[Total volume used]]/VLOOKUP(Allocation[[#This Row],[Delivery ID]],Delivery[[Delivery ID]:[Quantity delivered]],3,FALSE)</f>
        <v>0.76829111894838087</v>
      </c>
      <c r="S1823" s="34">
        <f>Allocation[[#This Row],[Quantity Processed]]/Allocation[[#This Row],[Dilution rate]]</f>
        <v>3262.2137404580153</v>
      </c>
      <c r="T1823" s="59">
        <f>SUMIF(Allocation[Delivery ID],Allocation[[#This Row],[Delivery ID]],Allocation[Quantity allocated])/SUMIF(Allocation[Delivery ID],Allocation[[#This Row],[Delivery ID]],Allocation[Volume available (kg)])</f>
        <v>1.3571155361370277</v>
      </c>
      <c r="U1823" s="61">
        <f>Allocation[[#This Row],[Total volume used]]/VLOOKUP(Allocation[[#This Row],[Delivery ID]],Delivery[[Delivery ID]:[Quantity delivered]],3,FALSE)</f>
        <v>0.76829111894838087</v>
      </c>
      <c r="V1823" s="34" t="e">
        <f>VLOOKUP(Allocation[[#This Row],[SAP Contract number]],Shipments[[SAP Contract number]:[Contracted container weight]],2,FALSE)</f>
        <v>#N/A</v>
      </c>
      <c r="W1823" s="34" t="e">
        <f>VLOOKUP(Allocation[[#This Row],[SAP Contract number]],Shipments[[SAP Contract number]:[AAA Premium USD]],24,FALSE)</f>
        <v>#N/A</v>
      </c>
      <c r="X1823" s="34" t="e">
        <f>VLOOKUP(Allocation[[#This Row],[SAP Contract number]],Shipments[[SAP Contract number]:[RA Premium USD]],25,FALSE)</f>
        <v>#N/A</v>
      </c>
      <c r="Y1823" s="38">
        <f>Allocation[[#This Row],[Quantity Processed]]/Allocation[[#This Row],[Quantity allocated]]</f>
        <v>1.9607708189951825</v>
      </c>
      <c r="Z1823" s="34" t="b">
        <f>Allocation[[#This Row],[Quantity allocated]]&lt;=Allocation[[#This Row],[Quantity Processed]]</f>
        <v>1</v>
      </c>
    </row>
    <row r="1824" spans="1:26">
      <c r="A1824" s="247" t="s">
        <v>467</v>
      </c>
      <c r="B1824" s="210" t="s">
        <v>68</v>
      </c>
      <c r="C1824" s="254" t="s">
        <v>1750</v>
      </c>
      <c r="D1824" s="255">
        <v>10510</v>
      </c>
      <c r="E1824" s="211" t="s">
        <v>1914</v>
      </c>
      <c r="F1824" s="212">
        <v>43542</v>
      </c>
      <c r="G1824" s="213">
        <v>2.62</v>
      </c>
      <c r="H1824" s="256">
        <v>5360</v>
      </c>
      <c r="I1824" s="214">
        <v>1453752</v>
      </c>
      <c r="J1824" s="215">
        <v>19175</v>
      </c>
      <c r="K1824" s="212">
        <v>43595</v>
      </c>
      <c r="L1824" s="211" t="s">
        <v>1916</v>
      </c>
      <c r="M1824" s="216">
        <v>4615506885</v>
      </c>
      <c r="N1824" s="212">
        <v>43614</v>
      </c>
      <c r="O1824" s="217">
        <v>3.9746999999999999</v>
      </c>
      <c r="P1824" s="219"/>
      <c r="Q1824" s="34">
        <f>SUMIF(Allocation[Delivery ID],Allocation[[#This Row],[Delivery ID]],Allocation[Quantity Processed])</f>
        <v>29466</v>
      </c>
      <c r="R1824" s="61">
        <f>Allocation[[#This Row],[Total volume used]]/VLOOKUP(Allocation[[#This Row],[Delivery ID]],Delivery[[Delivery ID]:[Quantity delivered]],3,FALSE)</f>
        <v>0.76834419817470667</v>
      </c>
      <c r="S1824" s="34">
        <f>Allocation[[#This Row],[Quantity Processed]]/Allocation[[#This Row],[Dilution rate]]</f>
        <v>4011.450381679389</v>
      </c>
      <c r="T1824" s="59">
        <f>SUMIF(Allocation[Delivery ID],Allocation[[#This Row],[Delivery ID]],Allocation[Quantity allocated])/SUMIF(Allocation[Delivery ID],Allocation[[#This Row],[Delivery ID]],Allocation[Volume available (kg)])</f>
        <v>1.3571585496452938</v>
      </c>
      <c r="U1824" s="61">
        <f>Allocation[[#This Row],[Total volume used]]/VLOOKUP(Allocation[[#This Row],[Delivery ID]],Delivery[[Delivery ID]:[Quantity delivered]],3,FALSE)</f>
        <v>0.76834419817470667</v>
      </c>
      <c r="V1824" s="34" t="e">
        <f>VLOOKUP(Allocation[[#This Row],[SAP Contract number]],Shipments[[SAP Contract number]:[Contracted container weight]],2,FALSE)</f>
        <v>#N/A</v>
      </c>
      <c r="W1824" s="34" t="e">
        <f>VLOOKUP(Allocation[[#This Row],[SAP Contract number]],Shipments[[SAP Contract number]:[AAA Premium USD]],24,FALSE)</f>
        <v>#N/A</v>
      </c>
      <c r="X1824" s="34" t="e">
        <f>VLOOKUP(Allocation[[#This Row],[SAP Contract number]],Shipments[[SAP Contract number]:[RA Premium USD]],25,FALSE)</f>
        <v>#N/A</v>
      </c>
      <c r="Y1824" s="38">
        <f>Allocation[[#This Row],[Quantity Processed]]/Allocation[[#This Row],[Quantity allocated]]</f>
        <v>1.960820895522388</v>
      </c>
      <c r="Z1824" s="34" t="b">
        <f>Allocation[[#This Row],[Quantity allocated]]&lt;=Allocation[[#This Row],[Quantity Processed]]</f>
        <v>1</v>
      </c>
    </row>
    <row r="1825" spans="1:26">
      <c r="A1825" s="247" t="s">
        <v>467</v>
      </c>
      <c r="B1825" s="210" t="s">
        <v>68</v>
      </c>
      <c r="C1825" s="254" t="s">
        <v>1751</v>
      </c>
      <c r="D1825" s="255">
        <v>1692</v>
      </c>
      <c r="E1825" s="211" t="s">
        <v>1914</v>
      </c>
      <c r="F1825" s="212">
        <v>43542</v>
      </c>
      <c r="G1825" s="213">
        <v>2.62</v>
      </c>
      <c r="H1825" s="256">
        <v>863</v>
      </c>
      <c r="I1825" s="214">
        <v>1453752</v>
      </c>
      <c r="J1825" s="215">
        <v>19175</v>
      </c>
      <c r="K1825" s="212">
        <v>43595</v>
      </c>
      <c r="L1825" s="211" t="s">
        <v>1916</v>
      </c>
      <c r="M1825" s="216">
        <v>4615506885</v>
      </c>
      <c r="N1825" s="212">
        <v>43614</v>
      </c>
      <c r="O1825" s="217">
        <v>3.9746999999999999</v>
      </c>
      <c r="P1825" s="219"/>
      <c r="Q1825" s="34">
        <f>SUMIF(Allocation[Delivery ID],Allocation[[#This Row],[Delivery ID]],Allocation[Quantity Processed])</f>
        <v>7303</v>
      </c>
      <c r="R1825" s="61">
        <f>Allocation[[#This Row],[Total volume used]]/VLOOKUP(Allocation[[#This Row],[Delivery ID]],Delivery[[Delivery ID]:[Quantity delivered]],3,FALSE)</f>
        <v>0.64315279612505505</v>
      </c>
      <c r="S1825" s="34">
        <f>Allocation[[#This Row],[Quantity Processed]]/Allocation[[#This Row],[Dilution rate]]</f>
        <v>645.80152671755718</v>
      </c>
      <c r="T1825" s="59">
        <f>SUMIF(Allocation[Delivery ID],Allocation[[#This Row],[Delivery ID]],Allocation[Quantity allocated])/SUMIF(Allocation[Delivery ID],Allocation[[#This Row],[Delivery ID]],Allocation[Volume available (kg)])</f>
        <v>1.3614462973248966</v>
      </c>
      <c r="U1825" s="61">
        <f>Allocation[[#This Row],[Total volume used]]/VLOOKUP(Allocation[[#This Row],[Delivery ID]],Delivery[[Delivery ID]:[Quantity delivered]],3,FALSE)</f>
        <v>0.64315279612505505</v>
      </c>
      <c r="V1825" s="34" t="e">
        <f>VLOOKUP(Allocation[[#This Row],[SAP Contract number]],Shipments[[SAP Contract number]:[Contracted container weight]],2,FALSE)</f>
        <v>#N/A</v>
      </c>
      <c r="W1825" s="34" t="e">
        <f>VLOOKUP(Allocation[[#This Row],[SAP Contract number]],Shipments[[SAP Contract number]:[AAA Premium USD]],24,FALSE)</f>
        <v>#N/A</v>
      </c>
      <c r="X1825" s="34" t="e">
        <f>VLOOKUP(Allocation[[#This Row],[SAP Contract number]],Shipments[[SAP Contract number]:[RA Premium USD]],25,FALSE)</f>
        <v>#N/A</v>
      </c>
      <c r="Y1825" s="38">
        <f>Allocation[[#This Row],[Quantity Processed]]/Allocation[[#This Row],[Quantity allocated]]</f>
        <v>1.9606025492468135</v>
      </c>
      <c r="Z1825" s="34" t="b">
        <f>Allocation[[#This Row],[Quantity allocated]]&lt;=Allocation[[#This Row],[Quantity Processed]]</f>
        <v>1</v>
      </c>
    </row>
    <row r="1826" spans="1:26">
      <c r="A1826" s="247" t="s">
        <v>467</v>
      </c>
      <c r="B1826" s="210" t="s">
        <v>68</v>
      </c>
      <c r="C1826" s="254" t="s">
        <v>1752</v>
      </c>
      <c r="D1826" s="255">
        <v>3949</v>
      </c>
      <c r="E1826" s="211" t="s">
        <v>1914</v>
      </c>
      <c r="F1826" s="212">
        <v>43542</v>
      </c>
      <c r="G1826" s="213">
        <v>2.62</v>
      </c>
      <c r="H1826" s="256">
        <v>2014</v>
      </c>
      <c r="I1826" s="214">
        <v>1453752</v>
      </c>
      <c r="J1826" s="215">
        <v>19175</v>
      </c>
      <c r="K1826" s="212">
        <v>43595</v>
      </c>
      <c r="L1826" s="211" t="s">
        <v>1916</v>
      </c>
      <c r="M1826" s="216">
        <v>4615506885</v>
      </c>
      <c r="N1826" s="212">
        <v>43614</v>
      </c>
      <c r="O1826" s="217">
        <v>3.9746999999999999</v>
      </c>
      <c r="P1826" s="219"/>
      <c r="Q1826" s="34">
        <f>SUMIF(Allocation[Delivery ID],Allocation[[#This Row],[Delivery ID]],Allocation[Quantity Processed])</f>
        <v>18343</v>
      </c>
      <c r="R1826" s="61">
        <f>Allocation[[#This Row],[Total volume used]]/VLOOKUP(Allocation[[#This Row],[Delivery ID]],Delivery[[Delivery ID]:[Quantity delivered]],3,FALSE)</f>
        <v>0.69231930552934517</v>
      </c>
      <c r="S1826" s="34">
        <f>Allocation[[#This Row],[Quantity Processed]]/Allocation[[#This Row],[Dilution rate]]</f>
        <v>1507.2519083969464</v>
      </c>
      <c r="T1826" s="59">
        <f>SUMIF(Allocation[Delivery ID],Allocation[[#This Row],[Delivery ID]],Allocation[Quantity allocated])/SUMIF(Allocation[Delivery ID],Allocation[[#This Row],[Delivery ID]],Allocation[Volume available (kg)])</f>
        <v>1.3616716107171336</v>
      </c>
      <c r="U1826" s="61">
        <f>Allocation[[#This Row],[Total volume used]]/VLOOKUP(Allocation[[#This Row],[Delivery ID]],Delivery[[Delivery ID]:[Quantity delivered]],3,FALSE)</f>
        <v>0.69231930552934517</v>
      </c>
      <c r="V1826" s="34" t="e">
        <f>VLOOKUP(Allocation[[#This Row],[SAP Contract number]],Shipments[[SAP Contract number]:[Contracted container weight]],2,FALSE)</f>
        <v>#N/A</v>
      </c>
      <c r="W1826" s="34" t="e">
        <f>VLOOKUP(Allocation[[#This Row],[SAP Contract number]],Shipments[[SAP Contract number]:[AAA Premium USD]],24,FALSE)</f>
        <v>#N/A</v>
      </c>
      <c r="X1826" s="34" t="e">
        <f>VLOOKUP(Allocation[[#This Row],[SAP Contract number]],Shipments[[SAP Contract number]:[RA Premium USD]],25,FALSE)</f>
        <v>#N/A</v>
      </c>
      <c r="Y1826" s="38">
        <f>Allocation[[#This Row],[Quantity Processed]]/Allocation[[#This Row],[Quantity allocated]]</f>
        <v>1.9607745779543198</v>
      </c>
      <c r="Z1826" s="34" t="b">
        <f>Allocation[[#This Row],[Quantity allocated]]&lt;=Allocation[[#This Row],[Quantity Processed]]</f>
        <v>1</v>
      </c>
    </row>
    <row r="1827" spans="1:26">
      <c r="A1827" s="247" t="s">
        <v>467</v>
      </c>
      <c r="B1827" s="210" t="s">
        <v>68</v>
      </c>
      <c r="C1827" s="254" t="s">
        <v>1753</v>
      </c>
      <c r="D1827" s="255">
        <v>116</v>
      </c>
      <c r="E1827" s="211" t="s">
        <v>1914</v>
      </c>
      <c r="F1827" s="212">
        <v>43542</v>
      </c>
      <c r="G1827" s="213">
        <v>2.62</v>
      </c>
      <c r="H1827" s="256">
        <v>59</v>
      </c>
      <c r="I1827" s="214">
        <v>1453752</v>
      </c>
      <c r="J1827" s="215">
        <v>19175</v>
      </c>
      <c r="K1827" s="212">
        <v>43595</v>
      </c>
      <c r="L1827" s="211" t="s">
        <v>1916</v>
      </c>
      <c r="M1827" s="216">
        <v>4615506885</v>
      </c>
      <c r="N1827" s="212">
        <v>43614</v>
      </c>
      <c r="O1827" s="217">
        <v>3.9746999999999999</v>
      </c>
      <c r="P1827" s="219"/>
      <c r="Q1827" s="34">
        <f>SUMIF(Allocation[Delivery ID],Allocation[[#This Row],[Delivery ID]],Allocation[Quantity Processed])</f>
        <v>775.5</v>
      </c>
      <c r="R1827" s="61">
        <f>Allocation[[#This Row],[Total volume used]]/VLOOKUP(Allocation[[#This Row],[Delivery ID]],Delivery[[Delivery ID]:[Quantity delivered]],3,FALSE)</f>
        <v>1</v>
      </c>
      <c r="S1827" s="34">
        <f>Allocation[[#This Row],[Quantity Processed]]/Allocation[[#This Row],[Dilution rate]]</f>
        <v>44.274809160305338</v>
      </c>
      <c r="T1827" s="59">
        <f>SUMIF(Allocation[Delivery ID],Allocation[[#This Row],[Delivery ID]],Allocation[Quantity allocated])/SUMIF(Allocation[Delivery ID],Allocation[[#This Row],[Delivery ID]],Allocation[Volume available (kg)])</f>
        <v>1.3500316675137278</v>
      </c>
      <c r="U1827" s="61">
        <f>Allocation[[#This Row],[Total volume used]]/VLOOKUP(Allocation[[#This Row],[Delivery ID]],Delivery[[Delivery ID]:[Quantity delivered]],3,FALSE)</f>
        <v>1</v>
      </c>
      <c r="V1827" s="34" t="e">
        <f>VLOOKUP(Allocation[[#This Row],[SAP Contract number]],Shipments[[SAP Contract number]:[Contracted container weight]],2,FALSE)</f>
        <v>#N/A</v>
      </c>
      <c r="W1827" s="34" t="e">
        <f>VLOOKUP(Allocation[[#This Row],[SAP Contract number]],Shipments[[SAP Contract number]:[AAA Premium USD]],24,FALSE)</f>
        <v>#N/A</v>
      </c>
      <c r="X1827" s="34" t="e">
        <f>VLOOKUP(Allocation[[#This Row],[SAP Contract number]],Shipments[[SAP Contract number]:[RA Premium USD]],25,FALSE)</f>
        <v>#N/A</v>
      </c>
      <c r="Y1827" s="38">
        <f>Allocation[[#This Row],[Quantity Processed]]/Allocation[[#This Row],[Quantity allocated]]</f>
        <v>1.9661016949152543</v>
      </c>
      <c r="Z1827" s="34" t="b">
        <f>Allocation[[#This Row],[Quantity allocated]]&lt;=Allocation[[#This Row],[Quantity Processed]]</f>
        <v>1</v>
      </c>
    </row>
    <row r="1828" spans="1:26">
      <c r="A1828" s="247" t="s">
        <v>467</v>
      </c>
      <c r="B1828" s="210" t="s">
        <v>68</v>
      </c>
      <c r="C1828" s="254" t="s">
        <v>1754</v>
      </c>
      <c r="D1828" s="255">
        <v>775</v>
      </c>
      <c r="E1828" s="211" t="s">
        <v>1914</v>
      </c>
      <c r="F1828" s="212">
        <v>43542</v>
      </c>
      <c r="G1828" s="213">
        <v>2.62</v>
      </c>
      <c r="H1828" s="256">
        <v>395</v>
      </c>
      <c r="I1828" s="214">
        <v>1453752</v>
      </c>
      <c r="J1828" s="215">
        <v>19175</v>
      </c>
      <c r="K1828" s="212">
        <v>43595</v>
      </c>
      <c r="L1828" s="211" t="s">
        <v>1916</v>
      </c>
      <c r="M1828" s="216">
        <v>4615506885</v>
      </c>
      <c r="N1828" s="212">
        <v>43614</v>
      </c>
      <c r="O1828" s="217">
        <v>3.9746999999999999</v>
      </c>
      <c r="P1828" s="219"/>
      <c r="Q1828" s="34">
        <f>SUMIF(Allocation[Delivery ID],Allocation[[#This Row],[Delivery ID]],Allocation[Quantity Processed])</f>
        <v>3344</v>
      </c>
      <c r="R1828" s="61">
        <f>Allocation[[#This Row],[Total volume used]]/VLOOKUP(Allocation[[#This Row],[Delivery ID]],Delivery[[Delivery ID]:[Quantity delivered]],3,FALSE)</f>
        <v>0.64282968089196468</v>
      </c>
      <c r="S1828" s="34">
        <f>Allocation[[#This Row],[Quantity Processed]]/Allocation[[#This Row],[Dilution rate]]</f>
        <v>295.80152671755724</v>
      </c>
      <c r="T1828" s="59">
        <f>SUMIF(Allocation[Delivery ID],Allocation[[#This Row],[Delivery ID]],Allocation[Quantity allocated])/SUMIF(Allocation[Delivery ID],Allocation[[#This Row],[Delivery ID]],Allocation[Volume available (kg)])</f>
        <v>1.3609070366506135</v>
      </c>
      <c r="U1828" s="61">
        <f>Allocation[[#This Row],[Total volume used]]/VLOOKUP(Allocation[[#This Row],[Delivery ID]],Delivery[[Delivery ID]:[Quantity delivered]],3,FALSE)</f>
        <v>0.64282968089196468</v>
      </c>
      <c r="V1828" s="34" t="e">
        <f>VLOOKUP(Allocation[[#This Row],[SAP Contract number]],Shipments[[SAP Contract number]:[Contracted container weight]],2,FALSE)</f>
        <v>#N/A</v>
      </c>
      <c r="W1828" s="34" t="e">
        <f>VLOOKUP(Allocation[[#This Row],[SAP Contract number]],Shipments[[SAP Contract number]:[AAA Premium USD]],24,FALSE)</f>
        <v>#N/A</v>
      </c>
      <c r="X1828" s="34" t="e">
        <f>VLOOKUP(Allocation[[#This Row],[SAP Contract number]],Shipments[[SAP Contract number]:[RA Premium USD]],25,FALSE)</f>
        <v>#N/A</v>
      </c>
      <c r="Y1828" s="38">
        <f>Allocation[[#This Row],[Quantity Processed]]/Allocation[[#This Row],[Quantity allocated]]</f>
        <v>1.9620253164556962</v>
      </c>
      <c r="Z1828" s="34" t="b">
        <f>Allocation[[#This Row],[Quantity allocated]]&lt;=Allocation[[#This Row],[Quantity Processed]]</f>
        <v>1</v>
      </c>
    </row>
    <row r="1829" spans="1:26">
      <c r="A1829" s="247" t="s">
        <v>467</v>
      </c>
      <c r="B1829" s="210" t="s">
        <v>68</v>
      </c>
      <c r="C1829" s="254" t="s">
        <v>1756</v>
      </c>
      <c r="D1829" s="255">
        <v>4391</v>
      </c>
      <c r="E1829" s="211" t="s">
        <v>1914</v>
      </c>
      <c r="F1829" s="212">
        <v>43542</v>
      </c>
      <c r="G1829" s="213">
        <v>2.62</v>
      </c>
      <c r="H1829" s="256">
        <v>1449</v>
      </c>
      <c r="I1829" s="214">
        <v>1453752</v>
      </c>
      <c r="J1829" s="215">
        <v>19175</v>
      </c>
      <c r="K1829" s="212">
        <v>43595</v>
      </c>
      <c r="L1829" s="211" t="s">
        <v>1916</v>
      </c>
      <c r="M1829" s="216">
        <v>4615506885</v>
      </c>
      <c r="N1829" s="212">
        <v>43614</v>
      </c>
      <c r="O1829" s="217">
        <v>3.9746999999999999</v>
      </c>
      <c r="P1829" s="219"/>
      <c r="Q1829" s="34">
        <f>SUMIF(Allocation[Delivery ID],Allocation[[#This Row],[Delivery ID]],Allocation[Quantity Processed])</f>
        <v>24832</v>
      </c>
      <c r="R1829" s="61">
        <f>Allocation[[#This Row],[Total volume used]]/VLOOKUP(Allocation[[#This Row],[Delivery ID]],Delivery[[Delivery ID]:[Quantity delivered]],3,FALSE)</f>
        <v>1</v>
      </c>
      <c r="S1829" s="34">
        <f>Allocation[[#This Row],[Quantity Processed]]/Allocation[[#This Row],[Dilution rate]]</f>
        <v>1675.9541984732823</v>
      </c>
      <c r="T1829" s="59">
        <f>SUMIF(Allocation[Delivery ID],Allocation[[#This Row],[Delivery ID]],Allocation[Quantity allocated])/SUMIF(Allocation[Delivery ID],Allocation[[#This Row],[Delivery ID]],Allocation[Volume available (kg)])</f>
        <v>0.88486077980064393</v>
      </c>
      <c r="U1829" s="61">
        <f>Allocation[[#This Row],[Total volume used]]/VLOOKUP(Allocation[[#This Row],[Delivery ID]],Delivery[[Delivery ID]:[Quantity delivered]],3,FALSE)</f>
        <v>1</v>
      </c>
      <c r="V1829" s="34" t="e">
        <f>VLOOKUP(Allocation[[#This Row],[SAP Contract number]],Shipments[[SAP Contract number]:[Contracted container weight]],2,FALSE)</f>
        <v>#N/A</v>
      </c>
      <c r="W1829" s="34" t="e">
        <f>VLOOKUP(Allocation[[#This Row],[SAP Contract number]],Shipments[[SAP Contract number]:[AAA Premium USD]],24,FALSE)</f>
        <v>#N/A</v>
      </c>
      <c r="X1829" s="34" t="e">
        <f>VLOOKUP(Allocation[[#This Row],[SAP Contract number]],Shipments[[SAP Contract number]:[RA Premium USD]],25,FALSE)</f>
        <v>#N/A</v>
      </c>
      <c r="Y1829" s="38">
        <f>Allocation[[#This Row],[Quantity Processed]]/Allocation[[#This Row],[Quantity allocated]]</f>
        <v>3.0303657694962043</v>
      </c>
      <c r="Z1829" s="34" t="b">
        <f>Allocation[[#This Row],[Quantity allocated]]&lt;=Allocation[[#This Row],[Quantity Processed]]</f>
        <v>1</v>
      </c>
    </row>
    <row r="1830" spans="1:26">
      <c r="A1830" s="247" t="s">
        <v>467</v>
      </c>
      <c r="B1830" s="210" t="s">
        <v>68</v>
      </c>
      <c r="C1830" s="254" t="s">
        <v>1757</v>
      </c>
      <c r="D1830" s="255">
        <v>1803</v>
      </c>
      <c r="E1830" s="211" t="s">
        <v>1914</v>
      </c>
      <c r="F1830" s="212">
        <v>43542</v>
      </c>
      <c r="G1830" s="213">
        <v>2.62</v>
      </c>
      <c r="H1830" s="256">
        <v>595</v>
      </c>
      <c r="I1830" s="214">
        <v>1453752</v>
      </c>
      <c r="J1830" s="215">
        <v>19175</v>
      </c>
      <c r="K1830" s="212">
        <v>43595</v>
      </c>
      <c r="L1830" s="211" t="s">
        <v>1916</v>
      </c>
      <c r="M1830" s="216">
        <v>4615506885</v>
      </c>
      <c r="N1830" s="212">
        <v>43614</v>
      </c>
      <c r="O1830" s="217">
        <v>3.9746999999999999</v>
      </c>
      <c r="P1830" s="219"/>
      <c r="Q1830" s="34">
        <f>SUMIF(Allocation[Delivery ID],Allocation[[#This Row],[Delivery ID]],Allocation[Quantity Processed])</f>
        <v>10198</v>
      </c>
      <c r="R1830" s="61">
        <f>Allocation[[#This Row],[Total volume used]]/VLOOKUP(Allocation[[#This Row],[Delivery ID]],Delivery[[Delivery ID]:[Quantity delivered]],3,FALSE)</f>
        <v>1</v>
      </c>
      <c r="S1830" s="34">
        <f>Allocation[[#This Row],[Quantity Processed]]/Allocation[[#This Row],[Dilution rate]]</f>
        <v>688.16793893129773</v>
      </c>
      <c r="T1830" s="59">
        <f>SUMIF(Allocation[Delivery ID],Allocation[[#This Row],[Delivery ID]],Allocation[Quantity allocated])/SUMIF(Allocation[Delivery ID],Allocation[[#This Row],[Delivery ID]],Allocation[Volume available (kg)])</f>
        <v>0.88472504109400829</v>
      </c>
      <c r="U1830" s="61">
        <f>Allocation[[#This Row],[Total volume used]]/VLOOKUP(Allocation[[#This Row],[Delivery ID]],Delivery[[Delivery ID]:[Quantity delivered]],3,FALSE)</f>
        <v>1</v>
      </c>
      <c r="V1830" s="34" t="e">
        <f>VLOOKUP(Allocation[[#This Row],[SAP Contract number]],Shipments[[SAP Contract number]:[Contracted container weight]],2,FALSE)</f>
        <v>#N/A</v>
      </c>
      <c r="W1830" s="34" t="e">
        <f>VLOOKUP(Allocation[[#This Row],[SAP Contract number]],Shipments[[SAP Contract number]:[AAA Premium USD]],24,FALSE)</f>
        <v>#N/A</v>
      </c>
      <c r="X1830" s="34" t="e">
        <f>VLOOKUP(Allocation[[#This Row],[SAP Contract number]],Shipments[[SAP Contract number]:[RA Premium USD]],25,FALSE)</f>
        <v>#N/A</v>
      </c>
      <c r="Y1830" s="38">
        <f>Allocation[[#This Row],[Quantity Processed]]/Allocation[[#This Row],[Quantity allocated]]</f>
        <v>3.030252100840336</v>
      </c>
      <c r="Z1830" s="34" t="b">
        <f>Allocation[[#This Row],[Quantity allocated]]&lt;=Allocation[[#This Row],[Quantity Processed]]</f>
        <v>1</v>
      </c>
    </row>
    <row r="1831" spans="1:26">
      <c r="A1831" s="247" t="s">
        <v>467</v>
      </c>
      <c r="B1831" s="210" t="s">
        <v>68</v>
      </c>
      <c r="C1831" s="254" t="s">
        <v>1763</v>
      </c>
      <c r="D1831" s="255">
        <v>4629</v>
      </c>
      <c r="E1831" s="211" t="s">
        <v>1914</v>
      </c>
      <c r="F1831" s="212">
        <v>43542</v>
      </c>
      <c r="G1831" s="213">
        <v>2.62</v>
      </c>
      <c r="H1831" s="256">
        <v>2361</v>
      </c>
      <c r="I1831" s="214">
        <v>1453752</v>
      </c>
      <c r="J1831" s="215">
        <v>19175</v>
      </c>
      <c r="K1831" s="212">
        <v>43595</v>
      </c>
      <c r="L1831" s="211" t="s">
        <v>1916</v>
      </c>
      <c r="M1831" s="216">
        <v>4615506885</v>
      </c>
      <c r="N1831" s="212">
        <v>43614</v>
      </c>
      <c r="O1831" s="217">
        <v>3.9746999999999999</v>
      </c>
      <c r="P1831" s="219"/>
      <c r="Q1831" s="34">
        <f>SUMIF(Allocation[Delivery ID],Allocation[[#This Row],[Delivery ID]],Allocation[Quantity Processed])</f>
        <v>31317</v>
      </c>
      <c r="R1831" s="61">
        <f>Allocation[[#This Row],[Total volume used]]/VLOOKUP(Allocation[[#This Row],[Delivery ID]],Delivery[[Delivery ID]:[Quantity delivered]],3,FALSE)</f>
        <v>0.81661016949152543</v>
      </c>
      <c r="S1831" s="34">
        <f>Allocation[[#This Row],[Quantity Processed]]/Allocation[[#This Row],[Dilution rate]]</f>
        <v>1766.7938931297708</v>
      </c>
      <c r="T1831" s="59">
        <f>SUMIF(Allocation[Delivery ID],Allocation[[#This Row],[Delivery ID]],Allocation[Quantity allocated])/SUMIF(Allocation[Delivery ID],Allocation[[#This Row],[Delivery ID]],Allocation[Volume available (kg)])</f>
        <v>1.3577237643313349</v>
      </c>
      <c r="U1831" s="61">
        <f>Allocation[[#This Row],[Total volume used]]/VLOOKUP(Allocation[[#This Row],[Delivery ID]],Delivery[[Delivery ID]:[Quantity delivered]],3,FALSE)</f>
        <v>0.81661016949152543</v>
      </c>
      <c r="V1831" s="34" t="e">
        <f>VLOOKUP(Allocation[[#This Row],[SAP Contract number]],Shipments[[SAP Contract number]:[Contracted container weight]],2,FALSE)</f>
        <v>#N/A</v>
      </c>
      <c r="W1831" s="34" t="e">
        <f>VLOOKUP(Allocation[[#This Row],[SAP Contract number]],Shipments[[SAP Contract number]:[AAA Premium USD]],24,FALSE)</f>
        <v>#N/A</v>
      </c>
      <c r="X1831" s="34" t="e">
        <f>VLOOKUP(Allocation[[#This Row],[SAP Contract number]],Shipments[[SAP Contract number]:[RA Premium USD]],25,FALSE)</f>
        <v>#N/A</v>
      </c>
      <c r="Y1831" s="38">
        <f>Allocation[[#This Row],[Quantity Processed]]/Allocation[[#This Row],[Quantity allocated]]</f>
        <v>1.9606099110546378</v>
      </c>
      <c r="Z1831" s="34" t="b">
        <f>Allocation[[#This Row],[Quantity allocated]]&lt;=Allocation[[#This Row],[Quantity Processed]]</f>
        <v>1</v>
      </c>
    </row>
    <row r="1832" spans="1:26">
      <c r="A1832" s="247" t="s">
        <v>467</v>
      </c>
      <c r="B1832" s="210" t="s">
        <v>68</v>
      </c>
      <c r="C1832" s="254" t="s">
        <v>1763</v>
      </c>
      <c r="D1832" s="255">
        <v>5881</v>
      </c>
      <c r="E1832" s="211" t="s">
        <v>1914</v>
      </c>
      <c r="F1832" s="212">
        <v>43542</v>
      </c>
      <c r="G1832" s="213">
        <v>2.62</v>
      </c>
      <c r="H1832" s="256">
        <v>2999</v>
      </c>
      <c r="I1832" s="214">
        <v>1459961</v>
      </c>
      <c r="J1832" s="215">
        <v>19175</v>
      </c>
      <c r="K1832" s="212">
        <v>43615</v>
      </c>
      <c r="L1832" s="211" t="s">
        <v>1917</v>
      </c>
      <c r="M1832" s="216">
        <v>4615506885</v>
      </c>
      <c r="N1832" s="212">
        <v>43642</v>
      </c>
      <c r="O1832" s="217">
        <v>3.8445</v>
      </c>
      <c r="P1832" s="219"/>
      <c r="Q1832" s="34">
        <f>SUMIF(Allocation[Delivery ID],Allocation[[#This Row],[Delivery ID]],Allocation[Quantity Processed])</f>
        <v>31317</v>
      </c>
      <c r="R1832" s="61">
        <f>Allocation[[#This Row],[Total volume used]]/VLOOKUP(Allocation[[#This Row],[Delivery ID]],Delivery[[Delivery ID]:[Quantity delivered]],3,FALSE)</f>
        <v>0.81661016949152543</v>
      </c>
      <c r="S1832" s="34">
        <f>Allocation[[#This Row],[Quantity Processed]]/Allocation[[#This Row],[Dilution rate]]</f>
        <v>2244.6564885496182</v>
      </c>
      <c r="T1832" s="59">
        <f>SUMIF(Allocation[Delivery ID],Allocation[[#This Row],[Delivery ID]],Allocation[Quantity allocated])/SUMIF(Allocation[Delivery ID],Allocation[[#This Row],[Delivery ID]],Allocation[Volume available (kg)])</f>
        <v>1.3577237643313349</v>
      </c>
      <c r="U1832" s="61">
        <f>Allocation[[#This Row],[Total volume used]]/VLOOKUP(Allocation[[#This Row],[Delivery ID]],Delivery[[Delivery ID]:[Quantity delivered]],3,FALSE)</f>
        <v>0.81661016949152543</v>
      </c>
      <c r="V1832" s="34" t="e">
        <f>VLOOKUP(Allocation[[#This Row],[SAP Contract number]],Shipments[[SAP Contract number]:[Contracted container weight]],2,FALSE)</f>
        <v>#N/A</v>
      </c>
      <c r="W1832" s="34" t="e">
        <f>VLOOKUP(Allocation[[#This Row],[SAP Contract number]],Shipments[[SAP Contract number]:[AAA Premium USD]],24,FALSE)</f>
        <v>#N/A</v>
      </c>
      <c r="X1832" s="34" t="e">
        <f>VLOOKUP(Allocation[[#This Row],[SAP Contract number]],Shipments[[SAP Contract number]:[RA Premium USD]],25,FALSE)</f>
        <v>#N/A</v>
      </c>
      <c r="Y1832" s="38">
        <f>Allocation[[#This Row],[Quantity Processed]]/Allocation[[#This Row],[Quantity allocated]]</f>
        <v>1.9609869956652217</v>
      </c>
      <c r="Z1832" s="34" t="b">
        <f>Allocation[[#This Row],[Quantity allocated]]&lt;=Allocation[[#This Row],[Quantity Processed]]</f>
        <v>1</v>
      </c>
    </row>
    <row r="1833" spans="1:26">
      <c r="A1833" s="247" t="s">
        <v>467</v>
      </c>
      <c r="B1833" s="210" t="s">
        <v>68</v>
      </c>
      <c r="C1833" s="254" t="s">
        <v>1764</v>
      </c>
      <c r="D1833" s="255">
        <v>3559</v>
      </c>
      <c r="E1833" s="211" t="s">
        <v>1914</v>
      </c>
      <c r="F1833" s="212">
        <v>43542</v>
      </c>
      <c r="G1833" s="213">
        <v>2.62</v>
      </c>
      <c r="H1833" s="256">
        <v>1815</v>
      </c>
      <c r="I1833" s="214">
        <v>1459961</v>
      </c>
      <c r="J1833" s="215">
        <v>19175</v>
      </c>
      <c r="K1833" s="212">
        <v>43615</v>
      </c>
      <c r="L1833" s="211" t="s">
        <v>1917</v>
      </c>
      <c r="M1833" s="216">
        <v>4615506885</v>
      </c>
      <c r="N1833" s="212">
        <v>43642</v>
      </c>
      <c r="O1833" s="217">
        <v>3.8445</v>
      </c>
      <c r="P1833" s="219"/>
      <c r="Q1833" s="34">
        <f>SUMIF(Allocation[Delivery ID],Allocation[[#This Row],[Delivery ID]],Allocation[Quantity Processed])</f>
        <v>15363</v>
      </c>
      <c r="R1833" s="61">
        <f>Allocation[[#This Row],[Total volume used]]/VLOOKUP(Allocation[[#This Row],[Delivery ID]],Delivery[[Delivery ID]:[Quantity delivered]],3,FALSE)</f>
        <v>0.64334170854271355</v>
      </c>
      <c r="S1833" s="34">
        <f>Allocation[[#This Row],[Quantity Processed]]/Allocation[[#This Row],[Dilution rate]]</f>
        <v>1358.3969465648854</v>
      </c>
      <c r="T1833" s="59">
        <f>SUMIF(Allocation[Delivery ID],Allocation[[#This Row],[Delivery ID]],Allocation[Quantity allocated])/SUMIF(Allocation[Delivery ID],Allocation[[#This Row],[Delivery ID]],Allocation[Volume available (kg)])</f>
        <v>1.361250130896805</v>
      </c>
      <c r="U1833" s="61">
        <f>Allocation[[#This Row],[Total volume used]]/VLOOKUP(Allocation[[#This Row],[Delivery ID]],Delivery[[Delivery ID]:[Quantity delivered]],3,FALSE)</f>
        <v>0.64334170854271355</v>
      </c>
      <c r="V1833" s="34" t="e">
        <f>VLOOKUP(Allocation[[#This Row],[SAP Contract number]],Shipments[[SAP Contract number]:[Contracted container weight]],2,FALSE)</f>
        <v>#N/A</v>
      </c>
      <c r="W1833" s="34" t="e">
        <f>VLOOKUP(Allocation[[#This Row],[SAP Contract number]],Shipments[[SAP Contract number]:[AAA Premium USD]],24,FALSE)</f>
        <v>#N/A</v>
      </c>
      <c r="X1833" s="34" t="e">
        <f>VLOOKUP(Allocation[[#This Row],[SAP Contract number]],Shipments[[SAP Contract number]:[RA Premium USD]],25,FALSE)</f>
        <v>#N/A</v>
      </c>
      <c r="Y1833" s="38">
        <f>Allocation[[#This Row],[Quantity Processed]]/Allocation[[#This Row],[Quantity allocated]]</f>
        <v>1.9608815426997246</v>
      </c>
      <c r="Z1833" s="34" t="b">
        <f>Allocation[[#This Row],[Quantity allocated]]&lt;=Allocation[[#This Row],[Quantity Processed]]</f>
        <v>1</v>
      </c>
    </row>
    <row r="1834" spans="1:26">
      <c r="A1834" s="247" t="s">
        <v>467</v>
      </c>
      <c r="B1834" s="210" t="s">
        <v>68</v>
      </c>
      <c r="C1834" s="254" t="s">
        <v>1765</v>
      </c>
      <c r="D1834" s="255">
        <v>1153</v>
      </c>
      <c r="E1834" s="211" t="s">
        <v>1914</v>
      </c>
      <c r="F1834" s="212">
        <v>43542</v>
      </c>
      <c r="G1834" s="213">
        <v>2.62</v>
      </c>
      <c r="H1834" s="256">
        <v>587</v>
      </c>
      <c r="I1834" s="214">
        <v>1459961</v>
      </c>
      <c r="J1834" s="215">
        <v>19175</v>
      </c>
      <c r="K1834" s="212">
        <v>43615</v>
      </c>
      <c r="L1834" s="211" t="s">
        <v>1917</v>
      </c>
      <c r="M1834" s="216">
        <v>4615506885</v>
      </c>
      <c r="N1834" s="212">
        <v>43642</v>
      </c>
      <c r="O1834" s="217">
        <v>3.8445</v>
      </c>
      <c r="P1834" s="219"/>
      <c r="Q1834" s="34">
        <f>SUMIF(Allocation[Delivery ID],Allocation[[#This Row],[Delivery ID]],Allocation[Quantity Processed])</f>
        <v>4978</v>
      </c>
      <c r="R1834" s="61">
        <f>Allocation[[#This Row],[Total volume used]]/VLOOKUP(Allocation[[#This Row],[Delivery ID]],Delivery[[Delivery ID]:[Quantity delivered]],3,FALSE)</f>
        <v>0.64315245478036176</v>
      </c>
      <c r="S1834" s="34">
        <f>Allocation[[#This Row],[Quantity Processed]]/Allocation[[#This Row],[Dilution rate]]</f>
        <v>440.07633587786256</v>
      </c>
      <c r="T1834" s="59">
        <f>SUMIF(Allocation[Delivery ID],Allocation[[#This Row],[Delivery ID]],Allocation[Quantity allocated])/SUMIF(Allocation[Delivery ID],Allocation[[#This Row],[Delivery ID]],Allocation[Volume available (kg)])</f>
        <v>1.3608642636697845</v>
      </c>
      <c r="U1834" s="61">
        <f>Allocation[[#This Row],[Total volume used]]/VLOOKUP(Allocation[[#This Row],[Delivery ID]],Delivery[[Delivery ID]:[Quantity delivered]],3,FALSE)</f>
        <v>0.64315245478036176</v>
      </c>
      <c r="V1834" s="34" t="e">
        <f>VLOOKUP(Allocation[[#This Row],[SAP Contract number]],Shipments[[SAP Contract number]:[Contracted container weight]],2,FALSE)</f>
        <v>#N/A</v>
      </c>
      <c r="W1834" s="34" t="e">
        <f>VLOOKUP(Allocation[[#This Row],[SAP Contract number]],Shipments[[SAP Contract number]:[AAA Premium USD]],24,FALSE)</f>
        <v>#N/A</v>
      </c>
      <c r="X1834" s="34" t="e">
        <f>VLOOKUP(Allocation[[#This Row],[SAP Contract number]],Shipments[[SAP Contract number]:[RA Premium USD]],25,FALSE)</f>
        <v>#N/A</v>
      </c>
      <c r="Y1834" s="38">
        <f>Allocation[[#This Row],[Quantity Processed]]/Allocation[[#This Row],[Quantity allocated]]</f>
        <v>1.9642248722316866</v>
      </c>
      <c r="Z1834" s="34" t="b">
        <f>Allocation[[#This Row],[Quantity allocated]]&lt;=Allocation[[#This Row],[Quantity Processed]]</f>
        <v>1</v>
      </c>
    </row>
    <row r="1835" spans="1:26">
      <c r="A1835" s="247" t="s">
        <v>467</v>
      </c>
      <c r="B1835" s="210" t="s">
        <v>68</v>
      </c>
      <c r="C1835" s="254" t="s">
        <v>1771</v>
      </c>
      <c r="D1835" s="255">
        <v>8919</v>
      </c>
      <c r="E1835" s="211" t="s">
        <v>1914</v>
      </c>
      <c r="F1835" s="212">
        <v>43542</v>
      </c>
      <c r="G1835" s="213">
        <v>2.62</v>
      </c>
      <c r="H1835" s="256">
        <v>3745</v>
      </c>
      <c r="I1835" s="214">
        <v>1459961</v>
      </c>
      <c r="J1835" s="215">
        <v>19175</v>
      </c>
      <c r="K1835" s="212">
        <v>43615</v>
      </c>
      <c r="L1835" s="211" t="s">
        <v>1917</v>
      </c>
      <c r="M1835" s="216">
        <v>4615506885</v>
      </c>
      <c r="N1835" s="212">
        <v>43642</v>
      </c>
      <c r="O1835" s="217">
        <v>3.8445</v>
      </c>
      <c r="P1835" s="219"/>
      <c r="Q1835" s="34">
        <f>SUMIF(Allocation[Delivery ID],Allocation[[#This Row],[Delivery ID]],Allocation[Quantity Processed])</f>
        <v>23824</v>
      </c>
      <c r="R1835" s="61">
        <f>Allocation[[#This Row],[Total volume used]]/VLOOKUP(Allocation[[#This Row],[Delivery ID]],Delivery[[Delivery ID]:[Quantity delivered]],3,FALSE)</f>
        <v>0.79413333333333336</v>
      </c>
      <c r="S1835" s="34">
        <f>Allocation[[#This Row],[Quantity Processed]]/Allocation[[#This Row],[Dilution rate]]</f>
        <v>3404.1984732824426</v>
      </c>
      <c r="T1835" s="59">
        <f>SUMIF(Allocation[Delivery ID],Allocation[[#This Row],[Delivery ID]],Allocation[Quantity allocated])/SUMIF(Allocation[Delivery ID],Allocation[[#This Row],[Delivery ID]],Allocation[Volume available (kg)])</f>
        <v>1.1190327187369244</v>
      </c>
      <c r="U1835" s="61">
        <f>Allocation[[#This Row],[Total volume used]]/VLOOKUP(Allocation[[#This Row],[Delivery ID]],Delivery[[Delivery ID]:[Quantity delivered]],3,FALSE)</f>
        <v>0.79413333333333336</v>
      </c>
      <c r="V1835" s="34" t="e">
        <f>VLOOKUP(Allocation[[#This Row],[SAP Contract number]],Shipments[[SAP Contract number]:[Contracted container weight]],2,FALSE)</f>
        <v>#N/A</v>
      </c>
      <c r="W1835" s="34" t="e">
        <f>VLOOKUP(Allocation[[#This Row],[SAP Contract number]],Shipments[[SAP Contract number]:[AAA Premium USD]],24,FALSE)</f>
        <v>#N/A</v>
      </c>
      <c r="X1835" s="34" t="e">
        <f>VLOOKUP(Allocation[[#This Row],[SAP Contract number]],Shipments[[SAP Contract number]:[RA Premium USD]],25,FALSE)</f>
        <v>#N/A</v>
      </c>
      <c r="Y1835" s="38">
        <f>Allocation[[#This Row],[Quantity Processed]]/Allocation[[#This Row],[Quantity allocated]]</f>
        <v>2.3815754339118826</v>
      </c>
      <c r="Z1835" s="34" t="b">
        <f>Allocation[[#This Row],[Quantity allocated]]&lt;=Allocation[[#This Row],[Quantity Processed]]</f>
        <v>1</v>
      </c>
    </row>
    <row r="1836" spans="1:26">
      <c r="A1836" s="247" t="s">
        <v>467</v>
      </c>
      <c r="B1836" s="210" t="s">
        <v>68</v>
      </c>
      <c r="C1836" s="254" t="s">
        <v>1772</v>
      </c>
      <c r="D1836" s="255">
        <v>9761</v>
      </c>
      <c r="E1836" s="211" t="s">
        <v>1914</v>
      </c>
      <c r="F1836" s="212">
        <v>43542</v>
      </c>
      <c r="G1836" s="213">
        <v>2.62</v>
      </c>
      <c r="H1836" s="256">
        <v>3220</v>
      </c>
      <c r="I1836" s="214">
        <v>1459961</v>
      </c>
      <c r="J1836" s="215">
        <v>19175</v>
      </c>
      <c r="K1836" s="212">
        <v>43615</v>
      </c>
      <c r="L1836" s="211" t="s">
        <v>1917</v>
      </c>
      <c r="M1836" s="216">
        <v>4615506885</v>
      </c>
      <c r="N1836" s="212">
        <v>43642</v>
      </c>
      <c r="O1836" s="217">
        <v>3.8445</v>
      </c>
      <c r="P1836" s="219"/>
      <c r="Q1836" s="34">
        <f>SUMIF(Allocation[Delivery ID],Allocation[[#This Row],[Delivery ID]],Allocation[Quantity Processed])</f>
        <v>30030</v>
      </c>
      <c r="R1836" s="61">
        <f>Allocation[[#This Row],[Total volume used]]/VLOOKUP(Allocation[[#This Row],[Delivery ID]],Delivery[[Delivery ID]:[Quantity delivered]],3,FALSE)</f>
        <v>1</v>
      </c>
      <c r="S1836" s="34">
        <f>Allocation[[#This Row],[Quantity Processed]]/Allocation[[#This Row],[Dilution rate]]</f>
        <v>3725.5725190839694</v>
      </c>
      <c r="T1836" s="59">
        <f>SUMIF(Allocation[Delivery ID],Allocation[[#This Row],[Delivery ID]],Allocation[Quantity allocated])/SUMIF(Allocation[Delivery ID],Allocation[[#This Row],[Delivery ID]],Allocation[Volume available (kg)])</f>
        <v>0.88086353858640154</v>
      </c>
      <c r="U1836" s="61">
        <f>Allocation[[#This Row],[Total volume used]]/VLOOKUP(Allocation[[#This Row],[Delivery ID]],Delivery[[Delivery ID]:[Quantity delivered]],3,FALSE)</f>
        <v>1</v>
      </c>
      <c r="V1836" s="34" t="e">
        <f>VLOOKUP(Allocation[[#This Row],[SAP Contract number]],Shipments[[SAP Contract number]:[Contracted container weight]],2,FALSE)</f>
        <v>#N/A</v>
      </c>
      <c r="W1836" s="34" t="e">
        <f>VLOOKUP(Allocation[[#This Row],[SAP Contract number]],Shipments[[SAP Contract number]:[AAA Premium USD]],24,FALSE)</f>
        <v>#N/A</v>
      </c>
      <c r="X1836" s="34" t="e">
        <f>VLOOKUP(Allocation[[#This Row],[SAP Contract number]],Shipments[[SAP Contract number]:[RA Premium USD]],25,FALSE)</f>
        <v>#N/A</v>
      </c>
      <c r="Y1836" s="38">
        <f>Allocation[[#This Row],[Quantity Processed]]/Allocation[[#This Row],[Quantity allocated]]</f>
        <v>3.0313664596273293</v>
      </c>
      <c r="Z1836" s="34" t="b">
        <f>Allocation[[#This Row],[Quantity allocated]]&lt;=Allocation[[#This Row],[Quantity Processed]]</f>
        <v>1</v>
      </c>
    </row>
    <row r="1837" spans="1:26">
      <c r="A1837" s="247" t="s">
        <v>467</v>
      </c>
      <c r="B1837" s="210" t="s">
        <v>68</v>
      </c>
      <c r="C1837" s="254" t="s">
        <v>1775</v>
      </c>
      <c r="D1837" s="255">
        <v>2209</v>
      </c>
      <c r="E1837" s="211" t="s">
        <v>1914</v>
      </c>
      <c r="F1837" s="212">
        <v>43542</v>
      </c>
      <c r="G1837" s="213">
        <v>2.62</v>
      </c>
      <c r="H1837" s="256">
        <v>729</v>
      </c>
      <c r="I1837" s="214">
        <v>1459961</v>
      </c>
      <c r="J1837" s="215">
        <v>19175</v>
      </c>
      <c r="K1837" s="212">
        <v>43615</v>
      </c>
      <c r="L1837" s="211" t="s">
        <v>1917</v>
      </c>
      <c r="M1837" s="216">
        <v>4615506885</v>
      </c>
      <c r="N1837" s="212">
        <v>43642</v>
      </c>
      <c r="O1837" s="217">
        <v>3.8445</v>
      </c>
      <c r="P1837" s="219"/>
      <c r="Q1837" s="34">
        <f>SUMIF(Allocation[Delivery ID],Allocation[[#This Row],[Delivery ID]],Allocation[Quantity Processed])</f>
        <v>12500</v>
      </c>
      <c r="R1837" s="61">
        <f>Allocation[[#This Row],[Total volume used]]/VLOOKUP(Allocation[[#This Row],[Delivery ID]],Delivery[[Delivery ID]:[Quantity delivered]],3,FALSE)</f>
        <v>1</v>
      </c>
      <c r="S1837" s="34">
        <f>Allocation[[#This Row],[Quantity Processed]]/Allocation[[#This Row],[Dilution rate]]</f>
        <v>843.12977099236639</v>
      </c>
      <c r="T1837" s="59">
        <f>SUMIF(Allocation[Delivery ID],Allocation[[#This Row],[Delivery ID]],Allocation[Quantity allocated])/SUMIF(Allocation[Delivery ID],Allocation[[#This Row],[Delivery ID]],Allocation[Volume available (kg)])</f>
        <v>0.88416581912199721</v>
      </c>
      <c r="U1837" s="61">
        <f>Allocation[[#This Row],[Total volume used]]/VLOOKUP(Allocation[[#This Row],[Delivery ID]],Delivery[[Delivery ID]:[Quantity delivered]],3,FALSE)</f>
        <v>1</v>
      </c>
      <c r="V1837" s="34" t="e">
        <f>VLOOKUP(Allocation[[#This Row],[SAP Contract number]],Shipments[[SAP Contract number]:[Contracted container weight]],2,FALSE)</f>
        <v>#N/A</v>
      </c>
      <c r="W1837" s="34" t="e">
        <f>VLOOKUP(Allocation[[#This Row],[SAP Contract number]],Shipments[[SAP Contract number]:[AAA Premium USD]],24,FALSE)</f>
        <v>#N/A</v>
      </c>
      <c r="X1837" s="34" t="e">
        <f>VLOOKUP(Allocation[[#This Row],[SAP Contract number]],Shipments[[SAP Contract number]:[RA Premium USD]],25,FALSE)</f>
        <v>#N/A</v>
      </c>
      <c r="Y1837" s="38">
        <f>Allocation[[#This Row],[Quantity Processed]]/Allocation[[#This Row],[Quantity allocated]]</f>
        <v>3.0301783264746227</v>
      </c>
      <c r="Z1837" s="34" t="b">
        <f>Allocation[[#This Row],[Quantity allocated]]&lt;=Allocation[[#This Row],[Quantity Processed]]</f>
        <v>1</v>
      </c>
    </row>
    <row r="1838" spans="1:26">
      <c r="A1838" s="247" t="s">
        <v>467</v>
      </c>
      <c r="B1838" s="210" t="s">
        <v>68</v>
      </c>
      <c r="C1838" s="254" t="s">
        <v>1781</v>
      </c>
      <c r="D1838" s="255">
        <v>3747</v>
      </c>
      <c r="E1838" s="211" t="s">
        <v>1914</v>
      </c>
      <c r="F1838" s="212">
        <v>43542</v>
      </c>
      <c r="G1838" s="213">
        <v>2.62</v>
      </c>
      <c r="H1838" s="256">
        <v>1123</v>
      </c>
      <c r="I1838" s="214">
        <v>1459961</v>
      </c>
      <c r="J1838" s="215">
        <v>19175</v>
      </c>
      <c r="K1838" s="212">
        <v>43615</v>
      </c>
      <c r="L1838" s="211" t="s">
        <v>1917</v>
      </c>
      <c r="M1838" s="216">
        <v>4615506885</v>
      </c>
      <c r="N1838" s="212">
        <v>43642</v>
      </c>
      <c r="O1838" s="217">
        <v>3.8445</v>
      </c>
      <c r="P1838" s="219"/>
      <c r="Q1838" s="34">
        <f>SUMIF(Allocation[Delivery ID],Allocation[[#This Row],[Delivery ID]],Allocation[Quantity Processed])</f>
        <v>19270</v>
      </c>
      <c r="R1838" s="61">
        <f>Allocation[[#This Row],[Total volume used]]/VLOOKUP(Allocation[[#This Row],[Delivery ID]],Delivery[[Delivery ID]:[Quantity delivered]],3,FALSE)</f>
        <v>1</v>
      </c>
      <c r="S1838" s="34">
        <f>Allocation[[#This Row],[Quantity Processed]]/Allocation[[#This Row],[Dilution rate]]</f>
        <v>1430.1526717557251</v>
      </c>
      <c r="T1838" s="59">
        <f>SUMIF(Allocation[Delivery ID],Allocation[[#This Row],[Delivery ID]],Allocation[Quantity allocated])/SUMIF(Allocation[Delivery ID],Allocation[[#This Row],[Delivery ID]],Allocation[Volume available (kg)])</f>
        <v>0.82062104172936123</v>
      </c>
      <c r="U1838" s="61">
        <f>Allocation[[#This Row],[Total volume used]]/VLOOKUP(Allocation[[#This Row],[Delivery ID]],Delivery[[Delivery ID]:[Quantity delivered]],3,FALSE)</f>
        <v>1</v>
      </c>
      <c r="V1838" s="34" t="e">
        <f>VLOOKUP(Allocation[[#This Row],[SAP Contract number]],Shipments[[SAP Contract number]:[Contracted container weight]],2,FALSE)</f>
        <v>#N/A</v>
      </c>
      <c r="W1838" s="34" t="e">
        <f>VLOOKUP(Allocation[[#This Row],[SAP Contract number]],Shipments[[SAP Contract number]:[AAA Premium USD]],24,FALSE)</f>
        <v>#N/A</v>
      </c>
      <c r="X1838" s="34" t="e">
        <f>VLOOKUP(Allocation[[#This Row],[SAP Contract number]],Shipments[[SAP Contract number]:[RA Premium USD]],25,FALSE)</f>
        <v>#N/A</v>
      </c>
      <c r="Y1838" s="38">
        <f>Allocation[[#This Row],[Quantity Processed]]/Allocation[[#This Row],[Quantity allocated]]</f>
        <v>3.3365983971504898</v>
      </c>
      <c r="Z1838" s="34" t="b">
        <f>Allocation[[#This Row],[Quantity allocated]]&lt;=Allocation[[#This Row],[Quantity Processed]]</f>
        <v>1</v>
      </c>
    </row>
    <row r="1839" spans="1:26">
      <c r="A1839" s="247" t="s">
        <v>467</v>
      </c>
      <c r="B1839" s="210" t="s">
        <v>68</v>
      </c>
      <c r="C1839" s="254" t="s">
        <v>1786</v>
      </c>
      <c r="D1839" s="255">
        <v>8043</v>
      </c>
      <c r="E1839" s="211" t="s">
        <v>1914</v>
      </c>
      <c r="F1839" s="212">
        <v>43542</v>
      </c>
      <c r="G1839" s="213">
        <v>2.62</v>
      </c>
      <c r="H1839" s="256">
        <v>3216</v>
      </c>
      <c r="I1839" s="214">
        <v>1459961</v>
      </c>
      <c r="J1839" s="215">
        <v>19175</v>
      </c>
      <c r="K1839" s="212">
        <v>43615</v>
      </c>
      <c r="L1839" s="211" t="s">
        <v>1917</v>
      </c>
      <c r="M1839" s="216">
        <v>4615506885</v>
      </c>
      <c r="N1839" s="212">
        <v>43642</v>
      </c>
      <c r="O1839" s="217">
        <v>3.8445</v>
      </c>
      <c r="P1839" s="219"/>
      <c r="Q1839" s="34">
        <f>SUMIF(Allocation[Delivery ID],Allocation[[#This Row],[Delivery ID]],Allocation[Quantity Processed])</f>
        <v>29990</v>
      </c>
      <c r="R1839" s="61">
        <f>Allocation[[#This Row],[Total volume used]]/VLOOKUP(Allocation[[#This Row],[Delivery ID]],Delivery[[Delivery ID]:[Quantity delivered]],3,FALSE)</f>
        <v>1</v>
      </c>
      <c r="S1839" s="34">
        <f>Allocation[[#This Row],[Quantity Processed]]/Allocation[[#This Row],[Dilution rate]]</f>
        <v>3069.8473282442746</v>
      </c>
      <c r="T1839" s="59">
        <f>SUMIF(Allocation[Delivery ID],Allocation[[#This Row],[Delivery ID]],Allocation[Quantity allocated])/SUMIF(Allocation[Delivery ID],Allocation[[#This Row],[Delivery ID]],Allocation[Volume available (kg)])</f>
        <v>1.0694064813765132</v>
      </c>
      <c r="U1839" s="61">
        <f>Allocation[[#This Row],[Total volume used]]/VLOOKUP(Allocation[[#This Row],[Delivery ID]],Delivery[[Delivery ID]:[Quantity delivered]],3,FALSE)</f>
        <v>1</v>
      </c>
      <c r="V1839" s="34" t="e">
        <f>VLOOKUP(Allocation[[#This Row],[SAP Contract number]],Shipments[[SAP Contract number]:[Contracted container weight]],2,FALSE)</f>
        <v>#N/A</v>
      </c>
      <c r="W1839" s="34" t="e">
        <f>VLOOKUP(Allocation[[#This Row],[SAP Contract number]],Shipments[[SAP Contract number]:[AAA Premium USD]],24,FALSE)</f>
        <v>#N/A</v>
      </c>
      <c r="X1839" s="34" t="e">
        <f>VLOOKUP(Allocation[[#This Row],[SAP Contract number]],Shipments[[SAP Contract number]:[RA Premium USD]],25,FALSE)</f>
        <v>#N/A</v>
      </c>
      <c r="Y1839" s="38">
        <f>Allocation[[#This Row],[Quantity Processed]]/Allocation[[#This Row],[Quantity allocated]]</f>
        <v>2.5009328358208953</v>
      </c>
      <c r="Z1839" s="34" t="b">
        <f>Allocation[[#This Row],[Quantity allocated]]&lt;=Allocation[[#This Row],[Quantity Processed]]</f>
        <v>1</v>
      </c>
    </row>
    <row r="1840" spans="1:26">
      <c r="A1840" s="247" t="s">
        <v>467</v>
      </c>
      <c r="B1840" s="210" t="s">
        <v>68</v>
      </c>
      <c r="C1840" s="254" t="s">
        <v>1826</v>
      </c>
      <c r="D1840" s="255">
        <v>4249</v>
      </c>
      <c r="E1840" s="211" t="s">
        <v>1914</v>
      </c>
      <c r="F1840" s="212">
        <v>43542</v>
      </c>
      <c r="G1840" s="213">
        <v>2.62</v>
      </c>
      <c r="H1840" s="256">
        <v>1741</v>
      </c>
      <c r="I1840" s="214">
        <v>1459961</v>
      </c>
      <c r="J1840" s="215">
        <v>19175</v>
      </c>
      <c r="K1840" s="212">
        <v>43615</v>
      </c>
      <c r="L1840" s="211" t="s">
        <v>1917</v>
      </c>
      <c r="M1840" s="216">
        <v>4615506885</v>
      </c>
      <c r="N1840" s="212">
        <v>43642</v>
      </c>
      <c r="O1840" s="217">
        <v>3.8445</v>
      </c>
      <c r="P1840" s="219"/>
      <c r="Q1840" s="34">
        <f>SUMIF(Allocation[Delivery ID],Allocation[[#This Row],[Delivery ID]],Allocation[Quantity Processed])</f>
        <v>32480</v>
      </c>
      <c r="R1840" s="61">
        <f>Allocation[[#This Row],[Total volume used]]/VLOOKUP(Allocation[[#This Row],[Delivery ID]],Delivery[[Delivery ID]:[Quantity delivered]],3,FALSE)</f>
        <v>1</v>
      </c>
      <c r="S1840" s="34">
        <f>Allocation[[#This Row],[Quantity Processed]]/Allocation[[#This Row],[Dilution rate]]</f>
        <v>1621.7557251908397</v>
      </c>
      <c r="T1840" s="59">
        <f>SUMIF(Allocation[Delivery ID],Allocation[[#This Row],[Delivery ID]],Allocation[Quantity allocated])/SUMIF(Allocation[Delivery ID],Allocation[[#This Row],[Delivery ID]],Allocation[Volume available (kg)])</f>
        <v>1.0959933064695457</v>
      </c>
      <c r="U1840" s="61">
        <f>Allocation[[#This Row],[Total volume used]]/VLOOKUP(Allocation[[#This Row],[Delivery ID]],Delivery[[Delivery ID]:[Quantity delivered]],3,FALSE)</f>
        <v>1</v>
      </c>
      <c r="V1840" s="34" t="e">
        <f>VLOOKUP(Allocation[[#This Row],[SAP Contract number]],Shipments[[SAP Contract number]:[Contracted container weight]],2,FALSE)</f>
        <v>#N/A</v>
      </c>
      <c r="W1840" s="34" t="e">
        <f>VLOOKUP(Allocation[[#This Row],[SAP Contract number]],Shipments[[SAP Contract number]:[AAA Premium USD]],24,FALSE)</f>
        <v>#N/A</v>
      </c>
      <c r="X1840" s="34" t="e">
        <f>VLOOKUP(Allocation[[#This Row],[SAP Contract number]],Shipments[[SAP Contract number]:[RA Premium USD]],25,FALSE)</f>
        <v>#N/A</v>
      </c>
      <c r="Y1840" s="38">
        <f>Allocation[[#This Row],[Quantity Processed]]/Allocation[[#This Row],[Quantity allocated]]</f>
        <v>2.4405514072372201</v>
      </c>
      <c r="Z1840" s="34" t="b">
        <f>Allocation[[#This Row],[Quantity allocated]]&lt;=Allocation[[#This Row],[Quantity Processed]]</f>
        <v>1</v>
      </c>
    </row>
    <row r="1841" spans="1:26">
      <c r="A1841" s="247" t="s">
        <v>467</v>
      </c>
      <c r="B1841" s="210" t="s">
        <v>68</v>
      </c>
      <c r="C1841" s="254" t="s">
        <v>1363</v>
      </c>
      <c r="D1841" s="255">
        <v>2252</v>
      </c>
      <c r="E1841" s="211" t="s">
        <v>1918</v>
      </c>
      <c r="F1841" s="212">
        <v>43615</v>
      </c>
      <c r="G1841" s="213">
        <v>2.7</v>
      </c>
      <c r="H1841" s="256">
        <v>743</v>
      </c>
      <c r="I1841" s="214">
        <v>1460299</v>
      </c>
      <c r="J1841" s="215">
        <v>19175</v>
      </c>
      <c r="K1841" s="212">
        <v>43626</v>
      </c>
      <c r="L1841" s="211" t="s">
        <v>1919</v>
      </c>
      <c r="M1841" s="216">
        <v>4615520198</v>
      </c>
      <c r="N1841" s="212">
        <v>43642</v>
      </c>
      <c r="O1841" s="218">
        <v>3.8445</v>
      </c>
      <c r="P1841" s="219"/>
      <c r="Q1841" s="34">
        <f>SUMIF(Allocation[Delivery ID],Allocation[[#This Row],[Delivery ID]],Allocation[Quantity Processed])</f>
        <v>4040</v>
      </c>
      <c r="R1841" s="61">
        <f>Allocation[[#This Row],[Total volume used]]/VLOOKUP(Allocation[[#This Row],[Delivery ID]],Delivery[[Delivery ID]:[Quantity delivered]],3,FALSE)</f>
        <v>1</v>
      </c>
      <c r="S1841" s="34">
        <f>Allocation[[#This Row],[Quantity Processed]]/Allocation[[#This Row],[Dilution rate]]</f>
        <v>834.07407407407402</v>
      </c>
      <c r="T1841" s="59">
        <f>SUMIF(Allocation[Delivery ID],Allocation[[#This Row],[Delivery ID]],Allocation[Quantity allocated])/SUMIF(Allocation[Delivery ID],Allocation[[#This Row],[Delivery ID]],Allocation[Volume available (kg)])</f>
        <v>0.87595574194031545</v>
      </c>
      <c r="U1841" s="61">
        <f>Allocation[[#This Row],[Total volume used]]/VLOOKUP(Allocation[[#This Row],[Delivery ID]],Delivery[[Delivery ID]:[Quantity delivered]],3,FALSE)</f>
        <v>1</v>
      </c>
      <c r="V1841" s="34" t="e">
        <f>VLOOKUP(Allocation[[#This Row],[SAP Contract number]],Shipments[[SAP Contract number]:[Contracted container weight]],2,FALSE)</f>
        <v>#N/A</v>
      </c>
      <c r="W1841" s="34" t="e">
        <f>VLOOKUP(Allocation[[#This Row],[SAP Contract number]],Shipments[[SAP Contract number]:[AAA Premium USD]],24,FALSE)</f>
        <v>#N/A</v>
      </c>
      <c r="X1841" s="34" t="e">
        <f>VLOOKUP(Allocation[[#This Row],[SAP Contract number]],Shipments[[SAP Contract number]:[RA Premium USD]],25,FALSE)</f>
        <v>#N/A</v>
      </c>
      <c r="Y1841" s="38">
        <f>Allocation[[#This Row],[Quantity Processed]]/Allocation[[#This Row],[Quantity allocated]]</f>
        <v>3.030955585464334</v>
      </c>
      <c r="Z1841" s="34" t="b">
        <f>Allocation[[#This Row],[Quantity allocated]]&lt;=Allocation[[#This Row],[Quantity Processed]]</f>
        <v>1</v>
      </c>
    </row>
    <row r="1842" spans="1:26">
      <c r="A1842" s="247" t="s">
        <v>467</v>
      </c>
      <c r="B1842" s="210" t="s">
        <v>68</v>
      </c>
      <c r="C1842" s="254" t="s">
        <v>1365</v>
      </c>
      <c r="D1842" s="255">
        <v>2318</v>
      </c>
      <c r="E1842" s="211" t="s">
        <v>1918</v>
      </c>
      <c r="F1842" s="212">
        <v>43615</v>
      </c>
      <c r="G1842" s="213">
        <v>2.7</v>
      </c>
      <c r="H1842" s="256">
        <v>765</v>
      </c>
      <c r="I1842" s="214">
        <v>1460299</v>
      </c>
      <c r="J1842" s="215">
        <v>19175</v>
      </c>
      <c r="K1842" s="212">
        <v>43626</v>
      </c>
      <c r="L1842" s="211" t="s">
        <v>1919</v>
      </c>
      <c r="M1842" s="216">
        <v>4615520198</v>
      </c>
      <c r="N1842" s="212">
        <v>43642</v>
      </c>
      <c r="O1842" s="218">
        <v>3.8445</v>
      </c>
      <c r="P1842" s="219"/>
      <c r="Q1842" s="34">
        <f>SUMIF(Allocation[Delivery ID],Allocation[[#This Row],[Delivery ID]],Allocation[Quantity Processed])</f>
        <v>4110</v>
      </c>
      <c r="R1842" s="61">
        <f>Allocation[[#This Row],[Total volume used]]/VLOOKUP(Allocation[[#This Row],[Delivery ID]],Delivery[[Delivery ID]:[Quantity delivered]],3,FALSE)</f>
        <v>1</v>
      </c>
      <c r="S1842" s="34">
        <f>Allocation[[#This Row],[Quantity Processed]]/Allocation[[#This Row],[Dilution rate]]</f>
        <v>858.51851851851848</v>
      </c>
      <c r="T1842" s="59">
        <f>SUMIF(Allocation[Delivery ID],Allocation[[#This Row],[Delivery ID]],Allocation[Quantity allocated])/SUMIF(Allocation[Delivery ID],Allocation[[#This Row],[Delivery ID]],Allocation[Volume available (kg)])</f>
        <v>0.87675698560541915</v>
      </c>
      <c r="U1842" s="61">
        <f>Allocation[[#This Row],[Total volume used]]/VLOOKUP(Allocation[[#This Row],[Delivery ID]],Delivery[[Delivery ID]:[Quantity delivered]],3,FALSE)</f>
        <v>1</v>
      </c>
      <c r="V1842" s="34" t="e">
        <f>VLOOKUP(Allocation[[#This Row],[SAP Contract number]],Shipments[[SAP Contract number]:[Contracted container weight]],2,FALSE)</f>
        <v>#N/A</v>
      </c>
      <c r="W1842" s="34" t="e">
        <f>VLOOKUP(Allocation[[#This Row],[SAP Contract number]],Shipments[[SAP Contract number]:[AAA Premium USD]],24,FALSE)</f>
        <v>#N/A</v>
      </c>
      <c r="X1842" s="34" t="e">
        <f>VLOOKUP(Allocation[[#This Row],[SAP Contract number]],Shipments[[SAP Contract number]:[RA Premium USD]],25,FALSE)</f>
        <v>#N/A</v>
      </c>
      <c r="Y1842" s="38">
        <f>Allocation[[#This Row],[Quantity Processed]]/Allocation[[#This Row],[Quantity allocated]]</f>
        <v>3.0300653594771241</v>
      </c>
      <c r="Z1842" s="34" t="b">
        <f>Allocation[[#This Row],[Quantity allocated]]&lt;=Allocation[[#This Row],[Quantity Processed]]</f>
        <v>1</v>
      </c>
    </row>
    <row r="1843" spans="1:26">
      <c r="A1843" s="247" t="s">
        <v>467</v>
      </c>
      <c r="B1843" s="210" t="s">
        <v>68</v>
      </c>
      <c r="C1843" s="254" t="s">
        <v>1366</v>
      </c>
      <c r="D1843" s="255">
        <v>996</v>
      </c>
      <c r="E1843" s="211" t="s">
        <v>1918</v>
      </c>
      <c r="F1843" s="212">
        <v>43615</v>
      </c>
      <c r="G1843" s="213">
        <v>2.7</v>
      </c>
      <c r="H1843" s="256">
        <v>328</v>
      </c>
      <c r="I1843" s="214">
        <v>1460299</v>
      </c>
      <c r="J1843" s="215">
        <v>19175</v>
      </c>
      <c r="K1843" s="212">
        <v>43626</v>
      </c>
      <c r="L1843" s="211" t="s">
        <v>1919</v>
      </c>
      <c r="M1843" s="216">
        <v>4615520198</v>
      </c>
      <c r="N1843" s="212">
        <v>43642</v>
      </c>
      <c r="O1843" s="218">
        <v>3.8445</v>
      </c>
      <c r="P1843" s="219"/>
      <c r="Q1843" s="34">
        <f>SUMIF(Allocation[Delivery ID],Allocation[[#This Row],[Delivery ID]],Allocation[Quantity Processed])</f>
        <v>2010</v>
      </c>
      <c r="R1843" s="61">
        <f>Allocation[[#This Row],[Total volume used]]/VLOOKUP(Allocation[[#This Row],[Delivery ID]],Delivery[[Delivery ID]:[Quantity delivered]],3,FALSE)</f>
        <v>1</v>
      </c>
      <c r="S1843" s="34">
        <f>Allocation[[#This Row],[Quantity Processed]]/Allocation[[#This Row],[Dilution rate]]</f>
        <v>368.88888888888886</v>
      </c>
      <c r="T1843" s="59">
        <f>SUMIF(Allocation[Delivery ID],Allocation[[#This Row],[Delivery ID]],Allocation[Quantity allocated])/SUMIF(Allocation[Delivery ID],Allocation[[#This Row],[Delivery ID]],Allocation[Volume available (kg)])</f>
        <v>0.97889430553804702</v>
      </c>
      <c r="U1843" s="61">
        <f>Allocation[[#This Row],[Total volume used]]/VLOOKUP(Allocation[[#This Row],[Delivery ID]],Delivery[[Delivery ID]:[Quantity delivered]],3,FALSE)</f>
        <v>1</v>
      </c>
      <c r="V1843" s="34" t="e">
        <f>VLOOKUP(Allocation[[#This Row],[SAP Contract number]],Shipments[[SAP Contract number]:[Contracted container weight]],2,FALSE)</f>
        <v>#N/A</v>
      </c>
      <c r="W1843" s="34" t="e">
        <f>VLOOKUP(Allocation[[#This Row],[SAP Contract number]],Shipments[[SAP Contract number]:[AAA Premium USD]],24,FALSE)</f>
        <v>#N/A</v>
      </c>
      <c r="X1843" s="34" t="e">
        <f>VLOOKUP(Allocation[[#This Row],[SAP Contract number]],Shipments[[SAP Contract number]:[RA Premium USD]],25,FALSE)</f>
        <v>#N/A</v>
      </c>
      <c r="Y1843" s="38">
        <f>Allocation[[#This Row],[Quantity Processed]]/Allocation[[#This Row],[Quantity allocated]]</f>
        <v>3.0365853658536586</v>
      </c>
      <c r="Z1843" s="34" t="b">
        <f>Allocation[[#This Row],[Quantity allocated]]&lt;=Allocation[[#This Row],[Quantity Processed]]</f>
        <v>1</v>
      </c>
    </row>
    <row r="1844" spans="1:26">
      <c r="A1844" s="247" t="s">
        <v>467</v>
      </c>
      <c r="B1844" s="210" t="s">
        <v>68</v>
      </c>
      <c r="C1844" s="254" t="s">
        <v>1382</v>
      </c>
      <c r="D1844" s="255">
        <v>10676</v>
      </c>
      <c r="E1844" s="211" t="s">
        <v>1918</v>
      </c>
      <c r="F1844" s="212">
        <v>43615</v>
      </c>
      <c r="G1844" s="213">
        <v>2.7</v>
      </c>
      <c r="H1844" s="256">
        <v>3523</v>
      </c>
      <c r="I1844" s="214">
        <v>1460299</v>
      </c>
      <c r="J1844" s="215">
        <v>19175</v>
      </c>
      <c r="K1844" s="212">
        <v>43626</v>
      </c>
      <c r="L1844" s="211" t="s">
        <v>1919</v>
      </c>
      <c r="M1844" s="216">
        <v>4615520198</v>
      </c>
      <c r="N1844" s="212">
        <v>43642</v>
      </c>
      <c r="O1844" s="218">
        <v>3.8445</v>
      </c>
      <c r="P1844" s="219"/>
      <c r="Q1844" s="34">
        <f>SUMIF(Allocation[Delivery ID],Allocation[[#This Row],[Delivery ID]],Allocation[Quantity Processed])</f>
        <v>19080</v>
      </c>
      <c r="R1844" s="61">
        <f>Allocation[[#This Row],[Total volume used]]/VLOOKUP(Allocation[[#This Row],[Delivery ID]],Delivery[[Delivery ID]:[Quantity delivered]],3,FALSE)</f>
        <v>1</v>
      </c>
      <c r="S1844" s="34">
        <f>Allocation[[#This Row],[Quantity Processed]]/Allocation[[#This Row],[Dilution rate]]</f>
        <v>3954.0740740740739</v>
      </c>
      <c r="T1844" s="59">
        <f>SUMIF(Allocation[Delivery ID],Allocation[[#This Row],[Delivery ID]],Allocation[Quantity allocated])/SUMIF(Allocation[Delivery ID],Allocation[[#This Row],[Delivery ID]],Allocation[Volume available (kg)])</f>
        <v>0.8762406736388072</v>
      </c>
      <c r="U1844" s="61">
        <f>Allocation[[#This Row],[Total volume used]]/VLOOKUP(Allocation[[#This Row],[Delivery ID]],Delivery[[Delivery ID]:[Quantity delivered]],3,FALSE)</f>
        <v>1</v>
      </c>
      <c r="V1844" s="34" t="e">
        <f>VLOOKUP(Allocation[[#This Row],[SAP Contract number]],Shipments[[SAP Contract number]:[Contracted container weight]],2,FALSE)</f>
        <v>#N/A</v>
      </c>
      <c r="W1844" s="34" t="e">
        <f>VLOOKUP(Allocation[[#This Row],[SAP Contract number]],Shipments[[SAP Contract number]:[AAA Premium USD]],24,FALSE)</f>
        <v>#N/A</v>
      </c>
      <c r="X1844" s="34" t="e">
        <f>VLOOKUP(Allocation[[#This Row],[SAP Contract number]],Shipments[[SAP Contract number]:[RA Premium USD]],25,FALSE)</f>
        <v>#N/A</v>
      </c>
      <c r="Y1844" s="38">
        <f>Allocation[[#This Row],[Quantity Processed]]/Allocation[[#This Row],[Quantity allocated]]</f>
        <v>3.0303718421799601</v>
      </c>
      <c r="Z1844" s="34" t="b">
        <f>Allocation[[#This Row],[Quantity allocated]]&lt;=Allocation[[#This Row],[Quantity Processed]]</f>
        <v>1</v>
      </c>
    </row>
    <row r="1845" spans="1:26">
      <c r="A1845" s="247" t="s">
        <v>467</v>
      </c>
      <c r="B1845" s="210" t="s">
        <v>68</v>
      </c>
      <c r="C1845" s="254" t="s">
        <v>1384</v>
      </c>
      <c r="D1845" s="255">
        <v>2995.5</v>
      </c>
      <c r="E1845" s="211" t="s">
        <v>1918</v>
      </c>
      <c r="F1845" s="212">
        <v>43615</v>
      </c>
      <c r="G1845" s="213">
        <v>2.7</v>
      </c>
      <c r="H1845" s="256">
        <v>988</v>
      </c>
      <c r="I1845" s="214">
        <v>1460299</v>
      </c>
      <c r="J1845" s="215">
        <v>19175</v>
      </c>
      <c r="K1845" s="212">
        <v>43626</v>
      </c>
      <c r="L1845" s="211" t="s">
        <v>1919</v>
      </c>
      <c r="M1845" s="216">
        <v>4615520198</v>
      </c>
      <c r="N1845" s="212">
        <v>43642</v>
      </c>
      <c r="O1845" s="218">
        <v>3.8445</v>
      </c>
      <c r="P1845" s="219"/>
      <c r="Q1845" s="34">
        <f>SUMIF(Allocation[Delivery ID],Allocation[[#This Row],[Delivery ID]],Allocation[Quantity Processed])</f>
        <v>2995.5</v>
      </c>
      <c r="R1845" s="61">
        <f>Allocation[[#This Row],[Total volume used]]/VLOOKUP(Allocation[[#This Row],[Delivery ID]],Delivery[[Delivery ID]:[Quantity delivered]],3,FALSE)</f>
        <v>1</v>
      </c>
      <c r="S1845" s="34">
        <f>Allocation[[#This Row],[Quantity Processed]]/Allocation[[#This Row],[Dilution rate]]</f>
        <v>1109.4444444444443</v>
      </c>
      <c r="T1845" s="59">
        <f>SUMIF(Allocation[Delivery ID],Allocation[[#This Row],[Delivery ID]],Allocation[Quantity allocated])/SUMIF(Allocation[Delivery ID],Allocation[[#This Row],[Delivery ID]],Allocation[Volume available (kg)])</f>
        <v>0.8905358037055584</v>
      </c>
      <c r="U1845" s="61">
        <f>Allocation[[#This Row],[Total volume used]]/VLOOKUP(Allocation[[#This Row],[Delivery ID]],Delivery[[Delivery ID]:[Quantity delivered]],3,FALSE)</f>
        <v>1</v>
      </c>
      <c r="V1845" s="34" t="e">
        <f>VLOOKUP(Allocation[[#This Row],[SAP Contract number]],Shipments[[SAP Contract number]:[Contracted container weight]],2,FALSE)</f>
        <v>#N/A</v>
      </c>
      <c r="W1845" s="34" t="e">
        <f>VLOOKUP(Allocation[[#This Row],[SAP Contract number]],Shipments[[SAP Contract number]:[AAA Premium USD]],24,FALSE)</f>
        <v>#N/A</v>
      </c>
      <c r="X1845" s="34" t="e">
        <f>VLOOKUP(Allocation[[#This Row],[SAP Contract number]],Shipments[[SAP Contract number]:[RA Premium USD]],25,FALSE)</f>
        <v>#N/A</v>
      </c>
      <c r="Y1845" s="38">
        <f>Allocation[[#This Row],[Quantity Processed]]/Allocation[[#This Row],[Quantity allocated]]</f>
        <v>3.0318825910931175</v>
      </c>
      <c r="Z1845" s="34" t="b">
        <f>Allocation[[#This Row],[Quantity allocated]]&lt;=Allocation[[#This Row],[Quantity Processed]]</f>
        <v>1</v>
      </c>
    </row>
    <row r="1846" spans="1:26">
      <c r="A1846" s="247" t="s">
        <v>467</v>
      </c>
      <c r="B1846" s="210" t="s">
        <v>68</v>
      </c>
      <c r="C1846" s="254" t="s">
        <v>1385</v>
      </c>
      <c r="D1846" s="255">
        <v>5442</v>
      </c>
      <c r="E1846" s="211" t="s">
        <v>1918</v>
      </c>
      <c r="F1846" s="212">
        <v>43615</v>
      </c>
      <c r="G1846" s="213">
        <v>2.7</v>
      </c>
      <c r="H1846" s="256">
        <v>1796</v>
      </c>
      <c r="I1846" s="214">
        <v>1460299</v>
      </c>
      <c r="J1846" s="215">
        <v>19175</v>
      </c>
      <c r="K1846" s="212">
        <v>43626</v>
      </c>
      <c r="L1846" s="211" t="s">
        <v>1919</v>
      </c>
      <c r="M1846" s="216">
        <v>4615520198</v>
      </c>
      <c r="N1846" s="212">
        <v>43642</v>
      </c>
      <c r="O1846" s="218">
        <v>3.8445</v>
      </c>
      <c r="P1846" s="219"/>
      <c r="Q1846" s="34">
        <f>SUMIF(Allocation[Delivery ID],Allocation[[#This Row],[Delivery ID]],Allocation[Quantity Processed])</f>
        <v>9704.5</v>
      </c>
      <c r="R1846" s="61">
        <f>Allocation[[#This Row],[Total volume used]]/VLOOKUP(Allocation[[#This Row],[Delivery ID]],Delivery[[Delivery ID]:[Quantity delivered]],3,FALSE)</f>
        <v>1</v>
      </c>
      <c r="S1846" s="34">
        <f>Allocation[[#This Row],[Quantity Processed]]/Allocation[[#This Row],[Dilution rate]]</f>
        <v>2015.5555555555554</v>
      </c>
      <c r="T1846" s="59">
        <f>SUMIF(Allocation[Delivery ID],Allocation[[#This Row],[Delivery ID]],Allocation[Quantity allocated])/SUMIF(Allocation[Delivery ID],Allocation[[#This Row],[Delivery ID]],Allocation[Volume available (kg)])</f>
        <v>0.87633891250080387</v>
      </c>
      <c r="U1846" s="61">
        <f>Allocation[[#This Row],[Total volume used]]/VLOOKUP(Allocation[[#This Row],[Delivery ID]],Delivery[[Delivery ID]:[Quantity delivered]],3,FALSE)</f>
        <v>1</v>
      </c>
      <c r="V1846" s="34" t="e">
        <f>VLOOKUP(Allocation[[#This Row],[SAP Contract number]],Shipments[[SAP Contract number]:[Contracted container weight]],2,FALSE)</f>
        <v>#N/A</v>
      </c>
      <c r="W1846" s="34" t="e">
        <f>VLOOKUP(Allocation[[#This Row],[SAP Contract number]],Shipments[[SAP Contract number]:[AAA Premium USD]],24,FALSE)</f>
        <v>#N/A</v>
      </c>
      <c r="X1846" s="34" t="e">
        <f>VLOOKUP(Allocation[[#This Row],[SAP Contract number]],Shipments[[SAP Contract number]:[RA Premium USD]],25,FALSE)</f>
        <v>#N/A</v>
      </c>
      <c r="Y1846" s="38">
        <f>Allocation[[#This Row],[Quantity Processed]]/Allocation[[#This Row],[Quantity allocated]]</f>
        <v>3.0300668151447661</v>
      </c>
      <c r="Z1846" s="34" t="b">
        <f>Allocation[[#This Row],[Quantity allocated]]&lt;=Allocation[[#This Row],[Quantity Processed]]</f>
        <v>1</v>
      </c>
    </row>
    <row r="1847" spans="1:26">
      <c r="A1847" s="247" t="s">
        <v>467</v>
      </c>
      <c r="B1847" s="210" t="s">
        <v>68</v>
      </c>
      <c r="C1847" s="254" t="s">
        <v>1393</v>
      </c>
      <c r="D1847" s="255">
        <v>1212</v>
      </c>
      <c r="E1847" s="211" t="s">
        <v>1918</v>
      </c>
      <c r="F1847" s="212">
        <v>43615</v>
      </c>
      <c r="G1847" s="213">
        <v>2.7</v>
      </c>
      <c r="H1847" s="256">
        <v>606</v>
      </c>
      <c r="I1847" s="214">
        <v>1460299</v>
      </c>
      <c r="J1847" s="215">
        <v>19175</v>
      </c>
      <c r="K1847" s="212">
        <v>43626</v>
      </c>
      <c r="L1847" s="211" t="s">
        <v>1919</v>
      </c>
      <c r="M1847" s="216">
        <v>4615520198</v>
      </c>
      <c r="N1847" s="212">
        <v>43642</v>
      </c>
      <c r="O1847" s="218">
        <v>3.8445</v>
      </c>
      <c r="P1847" s="219"/>
      <c r="Q1847" s="34">
        <f>SUMIF(Allocation[Delivery ID],Allocation[[#This Row],[Delivery ID]],Allocation[Quantity Processed])</f>
        <v>8682</v>
      </c>
      <c r="R1847" s="61">
        <f>Allocation[[#This Row],[Total volume used]]/VLOOKUP(Allocation[[#This Row],[Delivery ID]],Delivery[[Delivery ID]:[Quantity delivered]],3,FALSE)</f>
        <v>0.71675059853050438</v>
      </c>
      <c r="S1847" s="34">
        <f>Allocation[[#This Row],[Quantity Processed]]/Allocation[[#This Row],[Dilution rate]]</f>
        <v>448.88888888888886</v>
      </c>
      <c r="T1847" s="59">
        <f>SUMIF(Allocation[Delivery ID],Allocation[[#This Row],[Delivery ID]],Allocation[Quantity allocated])/SUMIF(Allocation[Delivery ID],Allocation[[#This Row],[Delivery ID]],Allocation[Volume available (kg)])</f>
        <v>1.0762678945787127</v>
      </c>
      <c r="U1847" s="61">
        <f>Allocation[[#This Row],[Total volume used]]/VLOOKUP(Allocation[[#This Row],[Delivery ID]],Delivery[[Delivery ID]:[Quantity delivered]],3,FALSE)</f>
        <v>0.71675059853050438</v>
      </c>
      <c r="V1847" s="34" t="e">
        <f>VLOOKUP(Allocation[[#This Row],[SAP Contract number]],Shipments[[SAP Contract number]:[Contracted container weight]],2,FALSE)</f>
        <v>#N/A</v>
      </c>
      <c r="W1847" s="34" t="e">
        <f>VLOOKUP(Allocation[[#This Row],[SAP Contract number]],Shipments[[SAP Contract number]:[AAA Premium USD]],24,FALSE)</f>
        <v>#N/A</v>
      </c>
      <c r="X1847" s="34" t="e">
        <f>VLOOKUP(Allocation[[#This Row],[SAP Contract number]],Shipments[[SAP Contract number]:[RA Premium USD]],25,FALSE)</f>
        <v>#N/A</v>
      </c>
      <c r="Y1847" s="38">
        <f>Allocation[[#This Row],[Quantity Processed]]/Allocation[[#This Row],[Quantity allocated]]</f>
        <v>2</v>
      </c>
      <c r="Z1847" s="34" t="b">
        <f>Allocation[[#This Row],[Quantity allocated]]&lt;=Allocation[[#This Row],[Quantity Processed]]</f>
        <v>1</v>
      </c>
    </row>
    <row r="1848" spans="1:26">
      <c r="A1848" s="247" t="s">
        <v>467</v>
      </c>
      <c r="B1848" s="210" t="s">
        <v>68</v>
      </c>
      <c r="C1848" s="254" t="s">
        <v>1395</v>
      </c>
      <c r="D1848" s="255">
        <v>1604</v>
      </c>
      <c r="E1848" s="211" t="s">
        <v>1918</v>
      </c>
      <c r="F1848" s="212">
        <v>43615</v>
      </c>
      <c r="G1848" s="213">
        <v>2.7</v>
      </c>
      <c r="H1848" s="256">
        <v>802</v>
      </c>
      <c r="I1848" s="214">
        <v>1460299</v>
      </c>
      <c r="J1848" s="215">
        <v>19175</v>
      </c>
      <c r="K1848" s="212">
        <v>43626</v>
      </c>
      <c r="L1848" s="211" t="s">
        <v>1919</v>
      </c>
      <c r="M1848" s="216">
        <v>4615520198</v>
      </c>
      <c r="N1848" s="212">
        <v>43642</v>
      </c>
      <c r="O1848" s="218">
        <v>3.8445</v>
      </c>
      <c r="P1848" s="219"/>
      <c r="Q1848" s="34">
        <f>SUMIF(Allocation[Delivery ID],Allocation[[#This Row],[Delivery ID]],Allocation[Quantity Processed])</f>
        <v>11484</v>
      </c>
      <c r="R1848" s="61">
        <f>Allocation[[#This Row],[Total volume used]]/VLOOKUP(Allocation[[#This Row],[Delivery ID]],Delivery[[Delivery ID]:[Quantity delivered]],3,FALSE)</f>
        <v>0.71596009975062347</v>
      </c>
      <c r="S1848" s="34">
        <f>Allocation[[#This Row],[Quantity Processed]]/Allocation[[#This Row],[Dilution rate]]</f>
        <v>594.07407407407402</v>
      </c>
      <c r="T1848" s="59">
        <f>SUMIF(Allocation[Delivery ID],Allocation[[#This Row],[Delivery ID]],Allocation[Quantity allocated])/SUMIF(Allocation[Delivery ID],Allocation[[#This Row],[Delivery ID]],Allocation[Volume available (kg)])</f>
        <v>1.0762941513493463</v>
      </c>
      <c r="U1848" s="61">
        <f>Allocation[[#This Row],[Total volume used]]/VLOOKUP(Allocation[[#This Row],[Delivery ID]],Delivery[[Delivery ID]:[Quantity delivered]],3,FALSE)</f>
        <v>0.71596009975062347</v>
      </c>
      <c r="V1848" s="34" t="e">
        <f>VLOOKUP(Allocation[[#This Row],[SAP Contract number]],Shipments[[SAP Contract number]:[Contracted container weight]],2,FALSE)</f>
        <v>#N/A</v>
      </c>
      <c r="W1848" s="34" t="e">
        <f>VLOOKUP(Allocation[[#This Row],[SAP Contract number]],Shipments[[SAP Contract number]:[AAA Premium USD]],24,FALSE)</f>
        <v>#N/A</v>
      </c>
      <c r="X1848" s="34" t="e">
        <f>VLOOKUP(Allocation[[#This Row],[SAP Contract number]],Shipments[[SAP Contract number]:[RA Premium USD]],25,FALSE)</f>
        <v>#N/A</v>
      </c>
      <c r="Y1848" s="38">
        <f>Allocation[[#This Row],[Quantity Processed]]/Allocation[[#This Row],[Quantity allocated]]</f>
        <v>2</v>
      </c>
      <c r="Z1848" s="34" t="b">
        <f>Allocation[[#This Row],[Quantity allocated]]&lt;=Allocation[[#This Row],[Quantity Processed]]</f>
        <v>1</v>
      </c>
    </row>
    <row r="1849" spans="1:26">
      <c r="A1849" s="247" t="s">
        <v>467</v>
      </c>
      <c r="B1849" s="210" t="s">
        <v>68</v>
      </c>
      <c r="C1849" s="254" t="s">
        <v>1402</v>
      </c>
      <c r="D1849" s="255">
        <v>1396</v>
      </c>
      <c r="E1849" s="211" t="s">
        <v>1918</v>
      </c>
      <c r="F1849" s="212">
        <v>43615</v>
      </c>
      <c r="G1849" s="213">
        <v>2.7</v>
      </c>
      <c r="H1849" s="256">
        <v>698</v>
      </c>
      <c r="I1849" s="214">
        <v>1460299</v>
      </c>
      <c r="J1849" s="215">
        <v>19175</v>
      </c>
      <c r="K1849" s="212">
        <v>43626</v>
      </c>
      <c r="L1849" s="211" t="s">
        <v>1919</v>
      </c>
      <c r="M1849" s="216">
        <v>4615520198</v>
      </c>
      <c r="N1849" s="212">
        <v>43642</v>
      </c>
      <c r="O1849" s="218">
        <v>3.8445</v>
      </c>
      <c r="P1849" s="219"/>
      <c r="Q1849" s="34">
        <f>SUMIF(Allocation[Delivery ID],Allocation[[#This Row],[Delivery ID]],Allocation[Quantity Processed])</f>
        <v>2616</v>
      </c>
      <c r="R1849" s="61">
        <f>Allocation[[#This Row],[Total volume used]]/VLOOKUP(Allocation[[#This Row],[Delivery ID]],Delivery[[Delivery ID]:[Quantity delivered]],3,FALSE)</f>
        <v>0.54500000000000004</v>
      </c>
      <c r="S1849" s="34">
        <f>Allocation[[#This Row],[Quantity Processed]]/Allocation[[#This Row],[Dilution rate]]</f>
        <v>517.03703703703695</v>
      </c>
      <c r="T1849" s="59">
        <f>SUMIF(Allocation[Delivery ID],Allocation[[#This Row],[Delivery ID]],Allocation[Quantity allocated])/SUMIF(Allocation[Delivery ID],Allocation[[#This Row],[Delivery ID]],Allocation[Volume available (kg)])</f>
        <v>1.3281981935767111</v>
      </c>
      <c r="U1849" s="61">
        <f>Allocation[[#This Row],[Total volume used]]/VLOOKUP(Allocation[[#This Row],[Delivery ID]],Delivery[[Delivery ID]:[Quantity delivered]],3,FALSE)</f>
        <v>0.54500000000000004</v>
      </c>
      <c r="V1849" s="34" t="e">
        <f>VLOOKUP(Allocation[[#This Row],[SAP Contract number]],Shipments[[SAP Contract number]:[Contracted container weight]],2,FALSE)</f>
        <v>#N/A</v>
      </c>
      <c r="W1849" s="34" t="e">
        <f>VLOOKUP(Allocation[[#This Row],[SAP Contract number]],Shipments[[SAP Contract number]:[AAA Premium USD]],24,FALSE)</f>
        <v>#N/A</v>
      </c>
      <c r="X1849" s="34" t="e">
        <f>VLOOKUP(Allocation[[#This Row],[SAP Contract number]],Shipments[[SAP Contract number]:[RA Premium USD]],25,FALSE)</f>
        <v>#N/A</v>
      </c>
      <c r="Y1849" s="38">
        <f>Allocation[[#This Row],[Quantity Processed]]/Allocation[[#This Row],[Quantity allocated]]</f>
        <v>2</v>
      </c>
      <c r="Z1849" s="34" t="b">
        <f>Allocation[[#This Row],[Quantity allocated]]&lt;=Allocation[[#This Row],[Quantity Processed]]</f>
        <v>1</v>
      </c>
    </row>
    <row r="1850" spans="1:26">
      <c r="A1850" s="247" t="s">
        <v>467</v>
      </c>
      <c r="B1850" s="210" t="s">
        <v>68</v>
      </c>
      <c r="C1850" s="254" t="s">
        <v>1404</v>
      </c>
      <c r="D1850" s="255">
        <v>5245</v>
      </c>
      <c r="E1850" s="211" t="s">
        <v>1918</v>
      </c>
      <c r="F1850" s="212">
        <v>43615</v>
      </c>
      <c r="G1850" s="213">
        <v>2.7</v>
      </c>
      <c r="H1850" s="256">
        <v>1731</v>
      </c>
      <c r="I1850" s="214">
        <v>1460299</v>
      </c>
      <c r="J1850" s="215">
        <v>19175</v>
      </c>
      <c r="K1850" s="212">
        <v>43626</v>
      </c>
      <c r="L1850" s="211" t="s">
        <v>1919</v>
      </c>
      <c r="M1850" s="216">
        <v>4615520198</v>
      </c>
      <c r="N1850" s="212">
        <v>43642</v>
      </c>
      <c r="O1850" s="218">
        <v>3.8445</v>
      </c>
      <c r="P1850" s="219"/>
      <c r="Q1850" s="34">
        <f>SUMIF(Allocation[Delivery ID],Allocation[[#This Row],[Delivery ID]],Allocation[Quantity Processed])</f>
        <v>9830</v>
      </c>
      <c r="R1850" s="61">
        <f>Allocation[[#This Row],[Total volume used]]/VLOOKUP(Allocation[[#This Row],[Delivery ID]],Delivery[[Delivery ID]:[Quantity delivered]],3,FALSE)</f>
        <v>0.82674516400336417</v>
      </c>
      <c r="S1850" s="34">
        <f>Allocation[[#This Row],[Quantity Processed]]/Allocation[[#This Row],[Dilution rate]]</f>
        <v>1942.5925925925924</v>
      </c>
      <c r="T1850" s="59">
        <f>SUMIF(Allocation[Delivery ID],Allocation[[#This Row],[Delivery ID]],Allocation[Quantity allocated])/SUMIF(Allocation[Delivery ID],Allocation[[#This Row],[Delivery ID]],Allocation[Volume available (kg)])</f>
        <v>0.87661347730365036</v>
      </c>
      <c r="U1850" s="61">
        <f>Allocation[[#This Row],[Total volume used]]/VLOOKUP(Allocation[[#This Row],[Delivery ID]],Delivery[[Delivery ID]:[Quantity delivered]],3,FALSE)</f>
        <v>0.82674516400336417</v>
      </c>
      <c r="V1850" s="34" t="e">
        <f>VLOOKUP(Allocation[[#This Row],[SAP Contract number]],Shipments[[SAP Contract number]:[Contracted container weight]],2,FALSE)</f>
        <v>#N/A</v>
      </c>
      <c r="W1850" s="34" t="e">
        <f>VLOOKUP(Allocation[[#This Row],[SAP Contract number]],Shipments[[SAP Contract number]:[AAA Premium USD]],24,FALSE)</f>
        <v>#N/A</v>
      </c>
      <c r="X1850" s="34" t="e">
        <f>VLOOKUP(Allocation[[#This Row],[SAP Contract number]],Shipments[[SAP Contract number]:[RA Premium USD]],25,FALSE)</f>
        <v>#N/A</v>
      </c>
      <c r="Y1850" s="38">
        <f>Allocation[[#This Row],[Quantity Processed]]/Allocation[[#This Row],[Quantity allocated]]</f>
        <v>3.0300404390525708</v>
      </c>
      <c r="Z1850" s="34" t="b">
        <f>Allocation[[#This Row],[Quantity allocated]]&lt;=Allocation[[#This Row],[Quantity Processed]]</f>
        <v>1</v>
      </c>
    </row>
    <row r="1851" spans="1:26">
      <c r="A1851" s="247" t="s">
        <v>467</v>
      </c>
      <c r="B1851" s="210" t="s">
        <v>68</v>
      </c>
      <c r="C1851" s="254" t="s">
        <v>1409</v>
      </c>
      <c r="D1851" s="255">
        <v>5990</v>
      </c>
      <c r="E1851" s="211" t="s">
        <v>1918</v>
      </c>
      <c r="F1851" s="212">
        <v>43615</v>
      </c>
      <c r="G1851" s="213">
        <v>2.7</v>
      </c>
      <c r="H1851" s="256">
        <v>1797</v>
      </c>
      <c r="I1851" s="214">
        <v>1460299</v>
      </c>
      <c r="J1851" s="215">
        <v>19175</v>
      </c>
      <c r="K1851" s="212">
        <v>43626</v>
      </c>
      <c r="L1851" s="211" t="s">
        <v>1919</v>
      </c>
      <c r="M1851" s="216">
        <v>4615520198</v>
      </c>
      <c r="N1851" s="212">
        <v>43642</v>
      </c>
      <c r="O1851" s="218">
        <v>3.8445</v>
      </c>
      <c r="P1851" s="219"/>
      <c r="Q1851" s="34">
        <f>SUMIF(Allocation[Delivery ID],Allocation[[#This Row],[Delivery ID]],Allocation[Quantity Processed])</f>
        <v>5990</v>
      </c>
      <c r="R1851" s="61">
        <f>Allocation[[#This Row],[Total volume used]]/VLOOKUP(Allocation[[#This Row],[Delivery ID]],Delivery[[Delivery ID]:[Quantity delivered]],3,FALSE)</f>
        <v>1</v>
      </c>
      <c r="S1851" s="34">
        <f>Allocation[[#This Row],[Quantity Processed]]/Allocation[[#This Row],[Dilution rate]]</f>
        <v>2218.5185185185182</v>
      </c>
      <c r="T1851" s="59">
        <f>SUMIF(Allocation[Delivery ID],Allocation[[#This Row],[Delivery ID]],Allocation[Quantity allocated])/SUMIF(Allocation[Delivery ID],Allocation[[#This Row],[Delivery ID]],Allocation[Volume available (kg)])</f>
        <v>0.81</v>
      </c>
      <c r="U1851" s="61">
        <f>Allocation[[#This Row],[Total volume used]]/VLOOKUP(Allocation[[#This Row],[Delivery ID]],Delivery[[Delivery ID]:[Quantity delivered]],3,FALSE)</f>
        <v>1</v>
      </c>
      <c r="V1851" s="34" t="e">
        <f>VLOOKUP(Allocation[[#This Row],[SAP Contract number]],Shipments[[SAP Contract number]:[Contracted container weight]],2,FALSE)</f>
        <v>#N/A</v>
      </c>
      <c r="W1851" s="34" t="e">
        <f>VLOOKUP(Allocation[[#This Row],[SAP Contract number]],Shipments[[SAP Contract number]:[AAA Premium USD]],24,FALSE)</f>
        <v>#N/A</v>
      </c>
      <c r="X1851" s="34" t="e">
        <f>VLOOKUP(Allocation[[#This Row],[SAP Contract number]],Shipments[[SAP Contract number]:[RA Premium USD]],25,FALSE)</f>
        <v>#N/A</v>
      </c>
      <c r="Y1851" s="38">
        <f>Allocation[[#This Row],[Quantity Processed]]/Allocation[[#This Row],[Quantity allocated]]</f>
        <v>3.3333333333333335</v>
      </c>
      <c r="Z1851" s="34" t="b">
        <f>Allocation[[#This Row],[Quantity allocated]]&lt;=Allocation[[#This Row],[Quantity Processed]]</f>
        <v>1</v>
      </c>
    </row>
    <row r="1852" spans="1:26">
      <c r="A1852" s="247" t="s">
        <v>467</v>
      </c>
      <c r="B1852" s="210" t="s">
        <v>68</v>
      </c>
      <c r="C1852" s="254" t="s">
        <v>1412</v>
      </c>
      <c r="D1852" s="255">
        <v>2970</v>
      </c>
      <c r="E1852" s="211" t="s">
        <v>1918</v>
      </c>
      <c r="F1852" s="212">
        <v>43615</v>
      </c>
      <c r="G1852" s="213">
        <v>2.7</v>
      </c>
      <c r="H1852" s="256">
        <v>980</v>
      </c>
      <c r="I1852" s="214">
        <v>1460299</v>
      </c>
      <c r="J1852" s="215">
        <v>19175</v>
      </c>
      <c r="K1852" s="212">
        <v>43626</v>
      </c>
      <c r="L1852" s="211" t="s">
        <v>1919</v>
      </c>
      <c r="M1852" s="216">
        <v>4615520198</v>
      </c>
      <c r="N1852" s="212">
        <v>43642</v>
      </c>
      <c r="O1852" s="218">
        <v>3.8445</v>
      </c>
      <c r="P1852" s="219"/>
      <c r="Q1852" s="34">
        <f>SUMIF(Allocation[Delivery ID],Allocation[[#This Row],[Delivery ID]],Allocation[Quantity Processed])</f>
        <v>2970</v>
      </c>
      <c r="R1852" s="61">
        <f>Allocation[[#This Row],[Total volume used]]/VLOOKUP(Allocation[[#This Row],[Delivery ID]],Delivery[[Delivery ID]:[Quantity delivered]],3,FALSE)</f>
        <v>1</v>
      </c>
      <c r="S1852" s="34">
        <f>Allocation[[#This Row],[Quantity Processed]]/Allocation[[#This Row],[Dilution rate]]</f>
        <v>1100</v>
      </c>
      <c r="T1852" s="59">
        <f>SUMIF(Allocation[Delivery ID],Allocation[[#This Row],[Delivery ID]],Allocation[Quantity allocated])/SUMIF(Allocation[Delivery ID],Allocation[[#This Row],[Delivery ID]],Allocation[Volume available (kg)])</f>
        <v>0.89090909090909087</v>
      </c>
      <c r="U1852" s="61">
        <f>Allocation[[#This Row],[Total volume used]]/VLOOKUP(Allocation[[#This Row],[Delivery ID]],Delivery[[Delivery ID]:[Quantity delivered]],3,FALSE)</f>
        <v>1</v>
      </c>
      <c r="V1852" s="34" t="e">
        <f>VLOOKUP(Allocation[[#This Row],[SAP Contract number]],Shipments[[SAP Contract number]:[Contracted container weight]],2,FALSE)</f>
        <v>#N/A</v>
      </c>
      <c r="W1852" s="34" t="e">
        <f>VLOOKUP(Allocation[[#This Row],[SAP Contract number]],Shipments[[SAP Contract number]:[AAA Premium USD]],24,FALSE)</f>
        <v>#N/A</v>
      </c>
      <c r="X1852" s="34" t="e">
        <f>VLOOKUP(Allocation[[#This Row],[SAP Contract number]],Shipments[[SAP Contract number]:[RA Premium USD]],25,FALSE)</f>
        <v>#N/A</v>
      </c>
      <c r="Y1852" s="38">
        <f>Allocation[[#This Row],[Quantity Processed]]/Allocation[[#This Row],[Quantity allocated]]</f>
        <v>3.0306122448979593</v>
      </c>
      <c r="Z1852" s="34" t="b">
        <f>Allocation[[#This Row],[Quantity allocated]]&lt;=Allocation[[#This Row],[Quantity Processed]]</f>
        <v>1</v>
      </c>
    </row>
    <row r="1853" spans="1:26">
      <c r="A1853" s="247" t="s">
        <v>467</v>
      </c>
      <c r="B1853" s="210" t="s">
        <v>68</v>
      </c>
      <c r="C1853" s="254" t="s">
        <v>1414</v>
      </c>
      <c r="D1853" s="255">
        <v>1400</v>
      </c>
      <c r="E1853" s="211" t="s">
        <v>1918</v>
      </c>
      <c r="F1853" s="212">
        <v>43615</v>
      </c>
      <c r="G1853" s="213">
        <v>2.7</v>
      </c>
      <c r="H1853" s="256">
        <v>602</v>
      </c>
      <c r="I1853" s="214">
        <v>1460299</v>
      </c>
      <c r="J1853" s="215">
        <v>19175</v>
      </c>
      <c r="K1853" s="212">
        <v>43626</v>
      </c>
      <c r="L1853" s="211" t="s">
        <v>1919</v>
      </c>
      <c r="M1853" s="216">
        <v>4615520198</v>
      </c>
      <c r="N1853" s="212">
        <v>43642</v>
      </c>
      <c r="O1853" s="218">
        <v>3.8445</v>
      </c>
      <c r="P1853" s="219"/>
      <c r="Q1853" s="34">
        <f>SUMIF(Allocation[Delivery ID],Allocation[[#This Row],[Delivery ID]],Allocation[Quantity Processed])</f>
        <v>2588</v>
      </c>
      <c r="R1853" s="61">
        <f>Allocation[[#This Row],[Total volume used]]/VLOOKUP(Allocation[[#This Row],[Delivery ID]],Delivery[[Delivery ID]:[Quantity delivered]],3,FALSE)</f>
        <v>0.78662613981762919</v>
      </c>
      <c r="S1853" s="34">
        <f>Allocation[[#This Row],[Quantity Processed]]/Allocation[[#This Row],[Dilution rate]]</f>
        <v>518.51851851851848</v>
      </c>
      <c r="T1853" s="59">
        <f>SUMIF(Allocation[Delivery ID],Allocation[[#This Row],[Delivery ID]],Allocation[Quantity allocated])/SUMIF(Allocation[Delivery ID],Allocation[[#This Row],[Delivery ID]],Allocation[Volume available (kg)])</f>
        <v>1.1410216718266255</v>
      </c>
      <c r="U1853" s="61">
        <f>Allocation[[#This Row],[Total volume used]]/VLOOKUP(Allocation[[#This Row],[Delivery ID]],Delivery[[Delivery ID]:[Quantity delivered]],3,FALSE)</f>
        <v>0.78662613981762919</v>
      </c>
      <c r="V1853" s="34" t="e">
        <f>VLOOKUP(Allocation[[#This Row],[SAP Contract number]],Shipments[[SAP Contract number]:[Contracted container weight]],2,FALSE)</f>
        <v>#N/A</v>
      </c>
      <c r="W1853" s="34" t="e">
        <f>VLOOKUP(Allocation[[#This Row],[SAP Contract number]],Shipments[[SAP Contract number]:[AAA Premium USD]],24,FALSE)</f>
        <v>#N/A</v>
      </c>
      <c r="X1853" s="34" t="e">
        <f>VLOOKUP(Allocation[[#This Row],[SAP Contract number]],Shipments[[SAP Contract number]:[RA Premium USD]],25,FALSE)</f>
        <v>#N/A</v>
      </c>
      <c r="Y1853" s="38">
        <f>Allocation[[#This Row],[Quantity Processed]]/Allocation[[#This Row],[Quantity allocated]]</f>
        <v>2.3255813953488373</v>
      </c>
      <c r="Z1853" s="34" t="b">
        <f>Allocation[[#This Row],[Quantity allocated]]&lt;=Allocation[[#This Row],[Quantity Processed]]</f>
        <v>1</v>
      </c>
    </row>
    <row r="1854" spans="1:26">
      <c r="A1854" s="247" t="s">
        <v>467</v>
      </c>
      <c r="B1854" s="210" t="s">
        <v>68</v>
      </c>
      <c r="C1854" s="254" t="s">
        <v>1421</v>
      </c>
      <c r="D1854" s="255">
        <v>4167</v>
      </c>
      <c r="E1854" s="211" t="s">
        <v>1918</v>
      </c>
      <c r="F1854" s="212">
        <v>43615</v>
      </c>
      <c r="G1854" s="213">
        <v>2.7</v>
      </c>
      <c r="H1854" s="256">
        <v>1375</v>
      </c>
      <c r="I1854" s="214">
        <v>1460299</v>
      </c>
      <c r="J1854" s="215">
        <v>19175</v>
      </c>
      <c r="K1854" s="212">
        <v>43626</v>
      </c>
      <c r="L1854" s="211" t="s">
        <v>1919</v>
      </c>
      <c r="M1854" s="216">
        <v>4615520198</v>
      </c>
      <c r="N1854" s="212">
        <v>43642</v>
      </c>
      <c r="O1854" s="218">
        <v>3.8445</v>
      </c>
      <c r="P1854" s="219"/>
      <c r="Q1854" s="34">
        <f>SUMIF(Allocation[Delivery ID],Allocation[[#This Row],[Delivery ID]],Allocation[Quantity Processed])</f>
        <v>7700</v>
      </c>
      <c r="R1854" s="61">
        <f>Allocation[[#This Row],[Total volume used]]/VLOOKUP(Allocation[[#This Row],[Delivery ID]],Delivery[[Delivery ID]:[Quantity delivered]],3,FALSE)</f>
        <v>0.64166666666666672</v>
      </c>
      <c r="S1854" s="34">
        <f>Allocation[[#This Row],[Quantity Processed]]/Allocation[[#This Row],[Dilution rate]]</f>
        <v>1543.3333333333333</v>
      </c>
      <c r="T1854" s="59">
        <f>SUMIF(Allocation[Delivery ID],Allocation[[#This Row],[Delivery ID]],Allocation[Quantity allocated])/SUMIF(Allocation[Delivery ID],Allocation[[#This Row],[Delivery ID]],Allocation[Volume available (kg)])</f>
        <v>0.87554888015196353</v>
      </c>
      <c r="U1854" s="61">
        <f>Allocation[[#This Row],[Total volume used]]/VLOOKUP(Allocation[[#This Row],[Delivery ID]],Delivery[[Delivery ID]:[Quantity delivered]],3,FALSE)</f>
        <v>0.64166666666666672</v>
      </c>
      <c r="V1854" s="34" t="e">
        <f>VLOOKUP(Allocation[[#This Row],[SAP Contract number]],Shipments[[SAP Contract number]:[Contracted container weight]],2,FALSE)</f>
        <v>#N/A</v>
      </c>
      <c r="W1854" s="34" t="e">
        <f>VLOOKUP(Allocation[[#This Row],[SAP Contract number]],Shipments[[SAP Contract number]:[AAA Premium USD]],24,FALSE)</f>
        <v>#N/A</v>
      </c>
      <c r="X1854" s="34" t="e">
        <f>VLOOKUP(Allocation[[#This Row],[SAP Contract number]],Shipments[[SAP Contract number]:[RA Premium USD]],25,FALSE)</f>
        <v>#N/A</v>
      </c>
      <c r="Y1854" s="38">
        <f>Allocation[[#This Row],[Quantity Processed]]/Allocation[[#This Row],[Quantity allocated]]</f>
        <v>3.0305454545454547</v>
      </c>
      <c r="Z1854" s="34" t="b">
        <f>Allocation[[#This Row],[Quantity allocated]]&lt;=Allocation[[#This Row],[Quantity Processed]]</f>
        <v>1</v>
      </c>
    </row>
    <row r="1855" spans="1:26">
      <c r="A1855" s="247" t="s">
        <v>467</v>
      </c>
      <c r="B1855" s="210" t="s">
        <v>68</v>
      </c>
      <c r="C1855" s="254" t="s">
        <v>1422</v>
      </c>
      <c r="D1855" s="255">
        <v>6939</v>
      </c>
      <c r="E1855" s="211" t="s">
        <v>1918</v>
      </c>
      <c r="F1855" s="212">
        <v>43615</v>
      </c>
      <c r="G1855" s="213">
        <v>2.7</v>
      </c>
      <c r="H1855" s="256">
        <v>2290</v>
      </c>
      <c r="I1855" s="214">
        <v>1460299</v>
      </c>
      <c r="J1855" s="215">
        <v>19175</v>
      </c>
      <c r="K1855" s="212">
        <v>43626</v>
      </c>
      <c r="L1855" s="211" t="s">
        <v>1919</v>
      </c>
      <c r="M1855" s="216">
        <v>4615520198</v>
      </c>
      <c r="N1855" s="212">
        <v>43642</v>
      </c>
      <c r="O1855" s="218">
        <v>3.8445</v>
      </c>
      <c r="P1855" s="219"/>
      <c r="Q1855" s="34">
        <f>SUMIF(Allocation[Delivery ID],Allocation[[#This Row],[Delivery ID]],Allocation[Quantity Processed])</f>
        <v>12380</v>
      </c>
      <c r="R1855" s="61">
        <f>Allocation[[#This Row],[Total volume used]]/VLOOKUP(Allocation[[#This Row],[Delivery ID]],Delivery[[Delivery ID]:[Quantity delivered]],3,FALSE)</f>
        <v>1</v>
      </c>
      <c r="S1855" s="34">
        <f>Allocation[[#This Row],[Quantity Processed]]/Allocation[[#This Row],[Dilution rate]]</f>
        <v>2570</v>
      </c>
      <c r="T1855" s="59">
        <f>SUMIF(Allocation[Delivery ID],Allocation[[#This Row],[Delivery ID]],Allocation[Quantity allocated])/SUMIF(Allocation[Delivery ID],Allocation[[#This Row],[Delivery ID]],Allocation[Volume available (kg)])</f>
        <v>0.87631774313288791</v>
      </c>
      <c r="U1855" s="61">
        <f>Allocation[[#This Row],[Total volume used]]/VLOOKUP(Allocation[[#This Row],[Delivery ID]],Delivery[[Delivery ID]:[Quantity delivered]],3,FALSE)</f>
        <v>1</v>
      </c>
      <c r="V1855" s="34" t="e">
        <f>VLOOKUP(Allocation[[#This Row],[SAP Contract number]],Shipments[[SAP Contract number]:[Contracted container weight]],2,FALSE)</f>
        <v>#N/A</v>
      </c>
      <c r="W1855" s="34" t="e">
        <f>VLOOKUP(Allocation[[#This Row],[SAP Contract number]],Shipments[[SAP Contract number]:[AAA Premium USD]],24,FALSE)</f>
        <v>#N/A</v>
      </c>
      <c r="X1855" s="34" t="e">
        <f>VLOOKUP(Allocation[[#This Row],[SAP Contract number]],Shipments[[SAP Contract number]:[RA Premium USD]],25,FALSE)</f>
        <v>#N/A</v>
      </c>
      <c r="Y1855" s="38">
        <f>Allocation[[#This Row],[Quantity Processed]]/Allocation[[#This Row],[Quantity allocated]]</f>
        <v>3.0301310043668122</v>
      </c>
      <c r="Z1855" s="34" t="b">
        <f>Allocation[[#This Row],[Quantity allocated]]&lt;=Allocation[[#This Row],[Quantity Processed]]</f>
        <v>1</v>
      </c>
    </row>
    <row r="1856" spans="1:26">
      <c r="A1856" s="247" t="s">
        <v>467</v>
      </c>
      <c r="B1856" s="210" t="s">
        <v>68</v>
      </c>
      <c r="C1856" s="254" t="s">
        <v>1424</v>
      </c>
      <c r="D1856" s="255">
        <v>458</v>
      </c>
      <c r="E1856" s="211" t="s">
        <v>1918</v>
      </c>
      <c r="F1856" s="212">
        <v>43615</v>
      </c>
      <c r="G1856" s="213">
        <v>2.7</v>
      </c>
      <c r="H1856" s="256">
        <v>151</v>
      </c>
      <c r="I1856" s="214">
        <v>1460299</v>
      </c>
      <c r="J1856" s="215">
        <v>19175</v>
      </c>
      <c r="K1856" s="212">
        <v>43626</v>
      </c>
      <c r="L1856" s="211" t="s">
        <v>1919</v>
      </c>
      <c r="M1856" s="216">
        <v>4615520198</v>
      </c>
      <c r="N1856" s="212">
        <v>43642</v>
      </c>
      <c r="O1856" s="218">
        <v>3.8445</v>
      </c>
      <c r="P1856" s="219"/>
      <c r="Q1856" s="34">
        <f>SUMIF(Allocation[Delivery ID],Allocation[[#This Row],[Delivery ID]],Allocation[Quantity Processed])</f>
        <v>4951</v>
      </c>
      <c r="R1856" s="61">
        <f>Allocation[[#This Row],[Total volume used]]/VLOOKUP(Allocation[[#This Row],[Delivery ID]],Delivery[[Delivery ID]:[Quantity delivered]],3,FALSE)</f>
        <v>0.82106135986732998</v>
      </c>
      <c r="S1856" s="34">
        <f>Allocation[[#This Row],[Quantity Processed]]/Allocation[[#This Row],[Dilution rate]]</f>
        <v>169.62962962962962</v>
      </c>
      <c r="T1856" s="59">
        <f>SUMIF(Allocation[Delivery ID],Allocation[[#This Row],[Delivery ID]],Allocation[Quantity allocated])/SUMIF(Allocation[Delivery ID],Allocation[[#This Row],[Delivery ID]],Allocation[Volume available (kg)])</f>
        <v>0.87667986531672437</v>
      </c>
      <c r="U1856" s="61">
        <f>Allocation[[#This Row],[Total volume used]]/VLOOKUP(Allocation[[#This Row],[Delivery ID]],Delivery[[Delivery ID]:[Quantity delivered]],3,FALSE)</f>
        <v>0.82106135986732998</v>
      </c>
      <c r="V1856" s="34" t="e">
        <f>VLOOKUP(Allocation[[#This Row],[SAP Contract number]],Shipments[[SAP Contract number]:[Contracted container weight]],2,FALSE)</f>
        <v>#N/A</v>
      </c>
      <c r="W1856" s="34" t="e">
        <f>VLOOKUP(Allocation[[#This Row],[SAP Contract number]],Shipments[[SAP Contract number]:[AAA Premium USD]],24,FALSE)</f>
        <v>#N/A</v>
      </c>
      <c r="X1856" s="34" t="e">
        <f>VLOOKUP(Allocation[[#This Row],[SAP Contract number]],Shipments[[SAP Contract number]:[RA Premium USD]],25,FALSE)</f>
        <v>#N/A</v>
      </c>
      <c r="Y1856" s="38">
        <f>Allocation[[#This Row],[Quantity Processed]]/Allocation[[#This Row],[Quantity allocated]]</f>
        <v>3.0331125827814569</v>
      </c>
      <c r="Z1856" s="34" t="b">
        <f>Allocation[[#This Row],[Quantity allocated]]&lt;=Allocation[[#This Row],[Quantity Processed]]</f>
        <v>1</v>
      </c>
    </row>
    <row r="1857" spans="1:26">
      <c r="A1857" s="247" t="s">
        <v>467</v>
      </c>
      <c r="B1857" s="210" t="s">
        <v>68</v>
      </c>
      <c r="C1857" s="254" t="s">
        <v>1424</v>
      </c>
      <c r="D1857" s="255">
        <v>2184</v>
      </c>
      <c r="E1857" s="211" t="s">
        <v>1918</v>
      </c>
      <c r="F1857" s="212">
        <v>43615</v>
      </c>
      <c r="G1857" s="213">
        <v>2.7</v>
      </c>
      <c r="H1857" s="256">
        <v>721</v>
      </c>
      <c r="I1857" s="214">
        <v>1460300</v>
      </c>
      <c r="J1857" s="215">
        <v>19175</v>
      </c>
      <c r="K1857" s="212">
        <v>43626</v>
      </c>
      <c r="L1857" s="211" t="s">
        <v>1920</v>
      </c>
      <c r="M1857" s="216">
        <v>4615520198</v>
      </c>
      <c r="N1857" s="212">
        <v>43642</v>
      </c>
      <c r="O1857" s="218">
        <v>3.8445</v>
      </c>
      <c r="P1857" s="219"/>
      <c r="Q1857" s="34">
        <f>SUMIF(Allocation[Delivery ID],Allocation[[#This Row],[Delivery ID]],Allocation[Quantity Processed])</f>
        <v>4951</v>
      </c>
      <c r="R1857" s="61">
        <f>Allocation[[#This Row],[Total volume used]]/VLOOKUP(Allocation[[#This Row],[Delivery ID]],Delivery[[Delivery ID]:[Quantity delivered]],3,FALSE)</f>
        <v>0.82106135986732998</v>
      </c>
      <c r="S1857" s="34">
        <f>Allocation[[#This Row],[Quantity Processed]]/Allocation[[#This Row],[Dilution rate]]</f>
        <v>808.8888888888888</v>
      </c>
      <c r="T1857" s="59">
        <f>SUMIF(Allocation[Delivery ID],Allocation[[#This Row],[Delivery ID]],Allocation[Quantity allocated])/SUMIF(Allocation[Delivery ID],Allocation[[#This Row],[Delivery ID]],Allocation[Volume available (kg)])</f>
        <v>0.87667986531672437</v>
      </c>
      <c r="U1857" s="61">
        <f>Allocation[[#This Row],[Total volume used]]/VLOOKUP(Allocation[[#This Row],[Delivery ID]],Delivery[[Delivery ID]:[Quantity delivered]],3,FALSE)</f>
        <v>0.82106135986732998</v>
      </c>
      <c r="V1857" s="34" t="e">
        <f>VLOOKUP(Allocation[[#This Row],[SAP Contract number]],Shipments[[SAP Contract number]:[Contracted container weight]],2,FALSE)</f>
        <v>#N/A</v>
      </c>
      <c r="W1857" s="34" t="e">
        <f>VLOOKUP(Allocation[[#This Row],[SAP Contract number]],Shipments[[SAP Contract number]:[AAA Premium USD]],24,FALSE)</f>
        <v>#N/A</v>
      </c>
      <c r="X1857" s="34" t="e">
        <f>VLOOKUP(Allocation[[#This Row],[SAP Contract number]],Shipments[[SAP Contract number]:[RA Premium USD]],25,FALSE)</f>
        <v>#N/A</v>
      </c>
      <c r="Y1857" s="38">
        <f>Allocation[[#This Row],[Quantity Processed]]/Allocation[[#This Row],[Quantity allocated]]</f>
        <v>3.029126213592233</v>
      </c>
      <c r="Z1857" s="34" t="b">
        <f>Allocation[[#This Row],[Quantity allocated]]&lt;=Allocation[[#This Row],[Quantity Processed]]</f>
        <v>1</v>
      </c>
    </row>
    <row r="1858" spans="1:26">
      <c r="A1858" s="247" t="s">
        <v>467</v>
      </c>
      <c r="B1858" s="210" t="s">
        <v>68</v>
      </c>
      <c r="C1858" s="254" t="s">
        <v>1426</v>
      </c>
      <c r="D1858" s="255">
        <v>5793</v>
      </c>
      <c r="E1858" s="211" t="s">
        <v>1918</v>
      </c>
      <c r="F1858" s="212">
        <v>43615</v>
      </c>
      <c r="G1858" s="213">
        <v>2.7</v>
      </c>
      <c r="H1858" s="256">
        <v>2317</v>
      </c>
      <c r="I1858" s="214">
        <v>1460300</v>
      </c>
      <c r="J1858" s="215">
        <v>19175</v>
      </c>
      <c r="K1858" s="212">
        <v>43626</v>
      </c>
      <c r="L1858" s="211" t="s">
        <v>1920</v>
      </c>
      <c r="M1858" s="216">
        <v>4615520198</v>
      </c>
      <c r="N1858" s="212">
        <v>43642</v>
      </c>
      <c r="O1858" s="218">
        <v>3.8445</v>
      </c>
      <c r="P1858" s="219"/>
      <c r="Q1858" s="34">
        <f>SUMIF(Allocation[Delivery ID],Allocation[[#This Row],[Delivery ID]],Allocation[Quantity Processed])</f>
        <v>10708</v>
      </c>
      <c r="R1858" s="61">
        <f>Allocation[[#This Row],[Total volume used]]/VLOOKUP(Allocation[[#This Row],[Delivery ID]],Delivery[[Delivery ID]:[Quantity delivered]],3,FALSE)</f>
        <v>0.85254777070063692</v>
      </c>
      <c r="S1858" s="34">
        <f>Allocation[[#This Row],[Quantity Processed]]/Allocation[[#This Row],[Dilution rate]]</f>
        <v>2145.5555555555552</v>
      </c>
      <c r="T1858" s="59">
        <f>SUMIF(Allocation[Delivery ID],Allocation[[#This Row],[Delivery ID]],Allocation[Quantity allocated])/SUMIF(Allocation[Delivery ID],Allocation[[#This Row],[Delivery ID]],Allocation[Volume available (kg)])</f>
        <v>1.0612149384271663</v>
      </c>
      <c r="U1858" s="61">
        <f>Allocation[[#This Row],[Total volume used]]/VLOOKUP(Allocation[[#This Row],[Delivery ID]],Delivery[[Delivery ID]:[Quantity delivered]],3,FALSE)</f>
        <v>0.85254777070063692</v>
      </c>
      <c r="V1858" s="34" t="e">
        <f>VLOOKUP(Allocation[[#This Row],[SAP Contract number]],Shipments[[SAP Contract number]:[Contracted container weight]],2,FALSE)</f>
        <v>#N/A</v>
      </c>
      <c r="W1858" s="34" t="e">
        <f>VLOOKUP(Allocation[[#This Row],[SAP Contract number]],Shipments[[SAP Contract number]:[AAA Premium USD]],24,FALSE)</f>
        <v>#N/A</v>
      </c>
      <c r="X1858" s="34" t="e">
        <f>VLOOKUP(Allocation[[#This Row],[SAP Contract number]],Shipments[[SAP Contract number]:[RA Premium USD]],25,FALSE)</f>
        <v>#N/A</v>
      </c>
      <c r="Y1858" s="38">
        <f>Allocation[[#This Row],[Quantity Processed]]/Allocation[[#This Row],[Quantity allocated]]</f>
        <v>2.500215796288304</v>
      </c>
      <c r="Z1858" s="34" t="b">
        <f>Allocation[[#This Row],[Quantity allocated]]&lt;=Allocation[[#This Row],[Quantity Processed]]</f>
        <v>1</v>
      </c>
    </row>
    <row r="1859" spans="1:26">
      <c r="A1859" s="247" t="s">
        <v>467</v>
      </c>
      <c r="B1859" s="210" t="s">
        <v>68</v>
      </c>
      <c r="C1859" s="254" t="s">
        <v>1428</v>
      </c>
      <c r="D1859" s="255">
        <v>2493</v>
      </c>
      <c r="E1859" s="211" t="s">
        <v>1918</v>
      </c>
      <c r="F1859" s="212">
        <v>43615</v>
      </c>
      <c r="G1859" s="213">
        <v>2.7</v>
      </c>
      <c r="H1859" s="256">
        <v>1047</v>
      </c>
      <c r="I1859" s="214">
        <v>1460300</v>
      </c>
      <c r="J1859" s="215">
        <v>19175</v>
      </c>
      <c r="K1859" s="212">
        <v>43626</v>
      </c>
      <c r="L1859" s="211" t="s">
        <v>1920</v>
      </c>
      <c r="M1859" s="216">
        <v>4615520198</v>
      </c>
      <c r="N1859" s="212">
        <v>43642</v>
      </c>
      <c r="O1859" s="218">
        <v>3.8445</v>
      </c>
      <c r="P1859" s="219"/>
      <c r="Q1859" s="34">
        <f>SUMIF(Allocation[Delivery ID],Allocation[[#This Row],[Delivery ID]],Allocation[Quantity Processed])</f>
        <v>7752</v>
      </c>
      <c r="R1859" s="61">
        <f>Allocation[[#This Row],[Total volume used]]/VLOOKUP(Allocation[[#This Row],[Delivery ID]],Delivery[[Delivery ID]:[Quantity delivered]],3,FALSE)</f>
        <v>0.61329113924050638</v>
      </c>
      <c r="S1859" s="34">
        <f>Allocation[[#This Row],[Quantity Processed]]/Allocation[[#This Row],[Dilution rate]]</f>
        <v>923.33333333333326</v>
      </c>
      <c r="T1859" s="59">
        <f>SUMIF(Allocation[Delivery ID],Allocation[[#This Row],[Delivery ID]],Allocation[Quantity allocated])/SUMIF(Allocation[Delivery ID],Allocation[[#This Row],[Delivery ID]],Allocation[Volume available (kg)])</f>
        <v>1.1557713275545305</v>
      </c>
      <c r="U1859" s="61">
        <f>Allocation[[#This Row],[Total volume used]]/VLOOKUP(Allocation[[#This Row],[Delivery ID]],Delivery[[Delivery ID]:[Quantity delivered]],3,FALSE)</f>
        <v>0.61329113924050638</v>
      </c>
      <c r="V1859" s="34" t="e">
        <f>VLOOKUP(Allocation[[#This Row],[SAP Contract number]],Shipments[[SAP Contract number]:[Contracted container weight]],2,FALSE)</f>
        <v>#N/A</v>
      </c>
      <c r="W1859" s="34" t="e">
        <f>VLOOKUP(Allocation[[#This Row],[SAP Contract number]],Shipments[[SAP Contract number]:[AAA Premium USD]],24,FALSE)</f>
        <v>#N/A</v>
      </c>
      <c r="X1859" s="34" t="e">
        <f>VLOOKUP(Allocation[[#This Row],[SAP Contract number]],Shipments[[SAP Contract number]:[RA Premium USD]],25,FALSE)</f>
        <v>#N/A</v>
      </c>
      <c r="Y1859" s="38">
        <f>Allocation[[#This Row],[Quantity Processed]]/Allocation[[#This Row],[Quantity allocated]]</f>
        <v>2.3810888252148996</v>
      </c>
      <c r="Z1859" s="34" t="b">
        <f>Allocation[[#This Row],[Quantity allocated]]&lt;=Allocation[[#This Row],[Quantity Processed]]</f>
        <v>1</v>
      </c>
    </row>
    <row r="1860" spans="1:26">
      <c r="A1860" s="247" t="s">
        <v>467</v>
      </c>
      <c r="B1860" s="210" t="s">
        <v>68</v>
      </c>
      <c r="C1860" s="254" t="s">
        <v>1438</v>
      </c>
      <c r="D1860" s="255">
        <v>2703</v>
      </c>
      <c r="E1860" s="211" t="s">
        <v>1918</v>
      </c>
      <c r="F1860" s="212">
        <v>43615</v>
      </c>
      <c r="G1860" s="213">
        <v>2.7</v>
      </c>
      <c r="H1860" s="256">
        <v>811</v>
      </c>
      <c r="I1860" s="214">
        <v>1460300</v>
      </c>
      <c r="J1860" s="215">
        <v>19175</v>
      </c>
      <c r="K1860" s="212">
        <v>43626</v>
      </c>
      <c r="L1860" s="211" t="s">
        <v>1920</v>
      </c>
      <c r="M1860" s="216">
        <v>4615520198</v>
      </c>
      <c r="N1860" s="212">
        <v>43642</v>
      </c>
      <c r="O1860" s="218">
        <v>3.8445</v>
      </c>
      <c r="P1860" s="219"/>
      <c r="Q1860" s="34">
        <f>SUMIF(Allocation[Delivery ID],Allocation[[#This Row],[Delivery ID]],Allocation[Quantity Processed])</f>
        <v>5066</v>
      </c>
      <c r="R1860" s="61">
        <f>Allocation[[#This Row],[Total volume used]]/VLOOKUP(Allocation[[#This Row],[Delivery ID]],Delivery[[Delivery ID]:[Quantity delivered]],3,FALSE)</f>
        <v>0.91115107913669069</v>
      </c>
      <c r="S1860" s="34">
        <f>Allocation[[#This Row],[Quantity Processed]]/Allocation[[#This Row],[Dilution rate]]</f>
        <v>1001.1111111111111</v>
      </c>
      <c r="T1860" s="59">
        <f>SUMIF(Allocation[Delivery ID],Allocation[[#This Row],[Delivery ID]],Allocation[Quantity allocated])/SUMIF(Allocation[Delivery ID],Allocation[[#This Row],[Delivery ID]],Allocation[Volume available (kg)])</f>
        <v>0.79702618169704564</v>
      </c>
      <c r="U1860" s="61">
        <f>Allocation[[#This Row],[Total volume used]]/VLOOKUP(Allocation[[#This Row],[Delivery ID]],Delivery[[Delivery ID]:[Quantity delivered]],3,FALSE)</f>
        <v>0.91115107913669069</v>
      </c>
      <c r="V1860" s="34" t="e">
        <f>VLOOKUP(Allocation[[#This Row],[SAP Contract number]],Shipments[[SAP Contract number]:[Contracted container weight]],2,FALSE)</f>
        <v>#N/A</v>
      </c>
      <c r="W1860" s="34" t="e">
        <f>VLOOKUP(Allocation[[#This Row],[SAP Contract number]],Shipments[[SAP Contract number]:[AAA Premium USD]],24,FALSE)</f>
        <v>#N/A</v>
      </c>
      <c r="X1860" s="34" t="e">
        <f>VLOOKUP(Allocation[[#This Row],[SAP Contract number]],Shipments[[SAP Contract number]:[RA Premium USD]],25,FALSE)</f>
        <v>#N/A</v>
      </c>
      <c r="Y1860" s="38">
        <f>Allocation[[#This Row],[Quantity Processed]]/Allocation[[#This Row],[Quantity allocated]]</f>
        <v>3.3329223181257706</v>
      </c>
      <c r="Z1860" s="34" t="b">
        <f>Allocation[[#This Row],[Quantity allocated]]&lt;=Allocation[[#This Row],[Quantity Processed]]</f>
        <v>1</v>
      </c>
    </row>
    <row r="1861" spans="1:26">
      <c r="A1861" s="247" t="s">
        <v>467</v>
      </c>
      <c r="B1861" s="210" t="s">
        <v>68</v>
      </c>
      <c r="C1861" s="254" t="s">
        <v>1466</v>
      </c>
      <c r="D1861" s="255">
        <v>2329</v>
      </c>
      <c r="E1861" s="211" t="s">
        <v>1918</v>
      </c>
      <c r="F1861" s="212">
        <v>43615</v>
      </c>
      <c r="G1861" s="213">
        <v>2.7</v>
      </c>
      <c r="H1861" s="256">
        <v>955</v>
      </c>
      <c r="I1861" s="214">
        <v>1460300</v>
      </c>
      <c r="J1861" s="215">
        <v>19175</v>
      </c>
      <c r="K1861" s="212">
        <v>43626</v>
      </c>
      <c r="L1861" s="211" t="s">
        <v>1920</v>
      </c>
      <c r="M1861" s="216">
        <v>4615520198</v>
      </c>
      <c r="N1861" s="212">
        <v>43642</v>
      </c>
      <c r="O1861" s="218">
        <v>3.8445</v>
      </c>
      <c r="P1861" s="219"/>
      <c r="Q1861" s="34">
        <f>SUMIF(Allocation[Delivery ID],Allocation[[#This Row],[Delivery ID]],Allocation[Quantity Processed])</f>
        <v>3960</v>
      </c>
      <c r="R1861" s="61">
        <f>Allocation[[#This Row],[Total volume used]]/VLOOKUP(Allocation[[#This Row],[Delivery ID]],Delivery[[Delivery ID]:[Quantity delivered]],3,FALSE)</f>
        <v>1</v>
      </c>
      <c r="S1861" s="34">
        <f>Allocation[[#This Row],[Quantity Processed]]/Allocation[[#This Row],[Dilution rate]]</f>
        <v>862.5925925925925</v>
      </c>
      <c r="T1861" s="59">
        <f>SUMIF(Allocation[Delivery ID],Allocation[[#This Row],[Delivery ID]],Allocation[Quantity allocated])/SUMIF(Allocation[Delivery ID],Allocation[[#This Row],[Delivery ID]],Allocation[Volume available (kg)])</f>
        <v>1.09000583224178</v>
      </c>
      <c r="U1861" s="61">
        <f>Allocation[[#This Row],[Total volume used]]/VLOOKUP(Allocation[[#This Row],[Delivery ID]],Delivery[[Delivery ID]:[Quantity delivered]],3,FALSE)</f>
        <v>1</v>
      </c>
      <c r="V1861" s="34" t="e">
        <f>VLOOKUP(Allocation[[#This Row],[SAP Contract number]],Shipments[[SAP Contract number]:[Contracted container weight]],2,FALSE)</f>
        <v>#N/A</v>
      </c>
      <c r="W1861" s="34" t="e">
        <f>VLOOKUP(Allocation[[#This Row],[SAP Contract number]],Shipments[[SAP Contract number]:[AAA Premium USD]],24,FALSE)</f>
        <v>#N/A</v>
      </c>
      <c r="X1861" s="34" t="e">
        <f>VLOOKUP(Allocation[[#This Row],[SAP Contract number]],Shipments[[SAP Contract number]:[RA Premium USD]],25,FALSE)</f>
        <v>#N/A</v>
      </c>
      <c r="Y1861" s="38">
        <f>Allocation[[#This Row],[Quantity Processed]]/Allocation[[#This Row],[Quantity allocated]]</f>
        <v>2.4387434554973821</v>
      </c>
      <c r="Z1861" s="34" t="b">
        <f>Allocation[[#This Row],[Quantity allocated]]&lt;=Allocation[[#This Row],[Quantity Processed]]</f>
        <v>1</v>
      </c>
    </row>
    <row r="1862" spans="1:26">
      <c r="A1862" s="247" t="s">
        <v>467</v>
      </c>
      <c r="B1862" s="210" t="s">
        <v>68</v>
      </c>
      <c r="C1862" s="254" t="s">
        <v>1468</v>
      </c>
      <c r="D1862" s="255">
        <v>8424</v>
      </c>
      <c r="E1862" s="211" t="s">
        <v>1918</v>
      </c>
      <c r="F1862" s="212">
        <v>43615</v>
      </c>
      <c r="G1862" s="213">
        <v>2.7</v>
      </c>
      <c r="H1862" s="256">
        <v>3454</v>
      </c>
      <c r="I1862" s="214">
        <v>1460300</v>
      </c>
      <c r="J1862" s="215">
        <v>19175</v>
      </c>
      <c r="K1862" s="212">
        <v>43626</v>
      </c>
      <c r="L1862" s="211" t="s">
        <v>1920</v>
      </c>
      <c r="M1862" s="216">
        <v>4615520198</v>
      </c>
      <c r="N1862" s="212">
        <v>43642</v>
      </c>
      <c r="O1862" s="218">
        <v>3.8445</v>
      </c>
      <c r="P1862" s="219"/>
      <c r="Q1862" s="34">
        <f>SUMIF(Allocation[Delivery ID],Allocation[[#This Row],[Delivery ID]],Allocation[Quantity Processed])</f>
        <v>14120</v>
      </c>
      <c r="R1862" s="61">
        <f>Allocation[[#This Row],[Total volume used]]/VLOOKUP(Allocation[[#This Row],[Delivery ID]],Delivery[[Delivery ID]:[Quantity delivered]],3,FALSE)</f>
        <v>1</v>
      </c>
      <c r="S1862" s="34">
        <f>Allocation[[#This Row],[Quantity Processed]]/Allocation[[#This Row],[Dilution rate]]</f>
        <v>3120</v>
      </c>
      <c r="T1862" s="59">
        <f>SUMIF(Allocation[Delivery ID],Allocation[[#This Row],[Delivery ID]],Allocation[Quantity allocated])/SUMIF(Allocation[Delivery ID],Allocation[[#This Row],[Delivery ID]],Allocation[Volume available (kg)])</f>
        <v>1.0902375434530707</v>
      </c>
      <c r="U1862" s="61">
        <f>Allocation[[#This Row],[Total volume used]]/VLOOKUP(Allocation[[#This Row],[Delivery ID]],Delivery[[Delivery ID]:[Quantity delivered]],3,FALSE)</f>
        <v>1</v>
      </c>
      <c r="V1862" s="34" t="e">
        <f>VLOOKUP(Allocation[[#This Row],[SAP Contract number]],Shipments[[SAP Contract number]:[Contracted container weight]],2,FALSE)</f>
        <v>#N/A</v>
      </c>
      <c r="W1862" s="34" t="e">
        <f>VLOOKUP(Allocation[[#This Row],[SAP Contract number]],Shipments[[SAP Contract number]:[AAA Premium USD]],24,FALSE)</f>
        <v>#N/A</v>
      </c>
      <c r="X1862" s="34" t="e">
        <f>VLOOKUP(Allocation[[#This Row],[SAP Contract number]],Shipments[[SAP Contract number]:[RA Premium USD]],25,FALSE)</f>
        <v>#N/A</v>
      </c>
      <c r="Y1862" s="38">
        <f>Allocation[[#This Row],[Quantity Processed]]/Allocation[[#This Row],[Quantity allocated]]</f>
        <v>2.4389114070642735</v>
      </c>
      <c r="Z1862" s="34" t="b">
        <f>Allocation[[#This Row],[Quantity allocated]]&lt;=Allocation[[#This Row],[Quantity Processed]]</f>
        <v>1</v>
      </c>
    </row>
    <row r="1863" spans="1:26">
      <c r="A1863" s="247" t="s">
        <v>467</v>
      </c>
      <c r="B1863" s="210" t="s">
        <v>68</v>
      </c>
      <c r="C1863" s="254" t="s">
        <v>1469</v>
      </c>
      <c r="D1863" s="255">
        <v>6107</v>
      </c>
      <c r="E1863" s="211" t="s">
        <v>1918</v>
      </c>
      <c r="F1863" s="212">
        <v>43615</v>
      </c>
      <c r="G1863" s="213">
        <v>2.7</v>
      </c>
      <c r="H1863" s="256">
        <v>2504</v>
      </c>
      <c r="I1863" s="214">
        <v>1460300</v>
      </c>
      <c r="J1863" s="215">
        <v>19175</v>
      </c>
      <c r="K1863" s="212">
        <v>43626</v>
      </c>
      <c r="L1863" s="211" t="s">
        <v>1920</v>
      </c>
      <c r="M1863" s="216">
        <v>4615520198</v>
      </c>
      <c r="N1863" s="212">
        <v>43642</v>
      </c>
      <c r="O1863" s="218">
        <v>3.8445</v>
      </c>
      <c r="P1863" s="219"/>
      <c r="Q1863" s="34">
        <f>SUMIF(Allocation[Delivery ID],Allocation[[#This Row],[Delivery ID]],Allocation[Quantity Processed])</f>
        <v>11287</v>
      </c>
      <c r="R1863" s="61">
        <f>Allocation[[#This Row],[Total volume used]]/VLOOKUP(Allocation[[#This Row],[Delivery ID]],Delivery[[Delivery ID]:[Quantity delivered]],3,FALSE)</f>
        <v>0.86623177283192632</v>
      </c>
      <c r="S1863" s="34">
        <f>Allocation[[#This Row],[Quantity Processed]]/Allocation[[#This Row],[Dilution rate]]</f>
        <v>2261.8518518518517</v>
      </c>
      <c r="T1863" s="59">
        <f>SUMIF(Allocation[Delivery ID],Allocation[[#This Row],[Delivery ID]],Allocation[Quantity allocated])/SUMIF(Allocation[Delivery ID],Allocation[[#This Row],[Delivery ID]],Allocation[Volume available (kg)])</f>
        <v>1.0878764540821453</v>
      </c>
      <c r="U1863" s="61">
        <f>Allocation[[#This Row],[Total volume used]]/VLOOKUP(Allocation[[#This Row],[Delivery ID]],Delivery[[Delivery ID]:[Quantity delivered]],3,FALSE)</f>
        <v>0.86623177283192632</v>
      </c>
      <c r="V1863" s="34" t="e">
        <f>VLOOKUP(Allocation[[#This Row],[SAP Contract number]],Shipments[[SAP Contract number]:[Contracted container weight]],2,FALSE)</f>
        <v>#N/A</v>
      </c>
      <c r="W1863" s="34" t="e">
        <f>VLOOKUP(Allocation[[#This Row],[SAP Contract number]],Shipments[[SAP Contract number]:[AAA Premium USD]],24,FALSE)</f>
        <v>#N/A</v>
      </c>
      <c r="X1863" s="34" t="e">
        <f>VLOOKUP(Allocation[[#This Row],[SAP Contract number]],Shipments[[SAP Contract number]:[RA Premium USD]],25,FALSE)</f>
        <v>#N/A</v>
      </c>
      <c r="Y1863" s="38">
        <f>Allocation[[#This Row],[Quantity Processed]]/Allocation[[#This Row],[Quantity allocated]]</f>
        <v>2.4388977635782747</v>
      </c>
      <c r="Z1863" s="34" t="b">
        <f>Allocation[[#This Row],[Quantity allocated]]&lt;=Allocation[[#This Row],[Quantity Processed]]</f>
        <v>1</v>
      </c>
    </row>
    <row r="1864" spans="1:26">
      <c r="A1864" s="247" t="s">
        <v>467</v>
      </c>
      <c r="B1864" s="210" t="s">
        <v>68</v>
      </c>
      <c r="C1864" s="254" t="s">
        <v>1471</v>
      </c>
      <c r="D1864" s="255">
        <v>10907</v>
      </c>
      <c r="E1864" s="211" t="s">
        <v>1918</v>
      </c>
      <c r="F1864" s="212">
        <v>43615</v>
      </c>
      <c r="G1864" s="213">
        <v>2.7</v>
      </c>
      <c r="H1864" s="256">
        <v>3272</v>
      </c>
      <c r="I1864" s="214">
        <v>1460300</v>
      </c>
      <c r="J1864" s="215">
        <v>19175</v>
      </c>
      <c r="K1864" s="212">
        <v>43626</v>
      </c>
      <c r="L1864" s="211" t="s">
        <v>1920</v>
      </c>
      <c r="M1864" s="216">
        <v>4615520198</v>
      </c>
      <c r="N1864" s="212">
        <v>43642</v>
      </c>
      <c r="O1864" s="218">
        <v>3.8445</v>
      </c>
      <c r="P1864" s="219"/>
      <c r="Q1864" s="34">
        <f>SUMIF(Allocation[Delivery ID],Allocation[[#This Row],[Delivery ID]],Allocation[Quantity Processed])</f>
        <v>17610</v>
      </c>
      <c r="R1864" s="61">
        <f>Allocation[[#This Row],[Total volume used]]/VLOOKUP(Allocation[[#This Row],[Delivery ID]],Delivery[[Delivery ID]:[Quantity delivered]],3,FALSE)</f>
        <v>1</v>
      </c>
      <c r="S1864" s="34">
        <f>Allocation[[#This Row],[Quantity Processed]]/Allocation[[#This Row],[Dilution rate]]</f>
        <v>4039.6296296296296</v>
      </c>
      <c r="T1864" s="59">
        <f>SUMIF(Allocation[Delivery ID],Allocation[[#This Row],[Delivery ID]],Allocation[Quantity allocated])/SUMIF(Allocation[Delivery ID],Allocation[[#This Row],[Delivery ID]],Allocation[Volume available (kg)])</f>
        <v>0.79831282301862183</v>
      </c>
      <c r="U1864" s="61">
        <f>Allocation[[#This Row],[Total volume used]]/VLOOKUP(Allocation[[#This Row],[Delivery ID]],Delivery[[Delivery ID]:[Quantity delivered]],3,FALSE)</f>
        <v>1</v>
      </c>
      <c r="V1864" s="34" t="e">
        <f>VLOOKUP(Allocation[[#This Row],[SAP Contract number]],Shipments[[SAP Contract number]:[Contracted container weight]],2,FALSE)</f>
        <v>#N/A</v>
      </c>
      <c r="W1864" s="34" t="e">
        <f>VLOOKUP(Allocation[[#This Row],[SAP Contract number]],Shipments[[SAP Contract number]:[AAA Premium USD]],24,FALSE)</f>
        <v>#N/A</v>
      </c>
      <c r="X1864" s="34" t="e">
        <f>VLOOKUP(Allocation[[#This Row],[SAP Contract number]],Shipments[[SAP Contract number]:[RA Premium USD]],25,FALSE)</f>
        <v>#N/A</v>
      </c>
      <c r="Y1864" s="38">
        <f>Allocation[[#This Row],[Quantity Processed]]/Allocation[[#This Row],[Quantity allocated]]</f>
        <v>3.3334352078239609</v>
      </c>
      <c r="Z1864" s="34" t="b">
        <f>Allocation[[#This Row],[Quantity allocated]]&lt;=Allocation[[#This Row],[Quantity Processed]]</f>
        <v>1</v>
      </c>
    </row>
    <row r="1865" spans="1:26">
      <c r="A1865" s="247" t="s">
        <v>467</v>
      </c>
      <c r="B1865" s="210" t="s">
        <v>68</v>
      </c>
      <c r="C1865" s="254" t="s">
        <v>1473</v>
      </c>
      <c r="D1865" s="255">
        <v>3510</v>
      </c>
      <c r="E1865" s="211" t="s">
        <v>1918</v>
      </c>
      <c r="F1865" s="212">
        <v>43615</v>
      </c>
      <c r="G1865" s="213">
        <v>2.7</v>
      </c>
      <c r="H1865" s="256">
        <v>1053</v>
      </c>
      <c r="I1865" s="214">
        <v>1460300</v>
      </c>
      <c r="J1865" s="215">
        <v>19175</v>
      </c>
      <c r="K1865" s="212">
        <v>43626</v>
      </c>
      <c r="L1865" s="211" t="s">
        <v>1920</v>
      </c>
      <c r="M1865" s="216">
        <v>4615520198</v>
      </c>
      <c r="N1865" s="212">
        <v>43642</v>
      </c>
      <c r="O1865" s="218">
        <v>3.8445</v>
      </c>
      <c r="P1865" s="219"/>
      <c r="Q1865" s="34">
        <f>SUMIF(Allocation[Delivery ID],Allocation[[#This Row],[Delivery ID]],Allocation[Quantity Processed])</f>
        <v>3510</v>
      </c>
      <c r="R1865" s="61">
        <f>Allocation[[#This Row],[Total volume used]]/VLOOKUP(Allocation[[#This Row],[Delivery ID]],Delivery[[Delivery ID]:[Quantity delivered]],3,FALSE)</f>
        <v>1</v>
      </c>
      <c r="S1865" s="34">
        <f>Allocation[[#This Row],[Quantity Processed]]/Allocation[[#This Row],[Dilution rate]]</f>
        <v>1300</v>
      </c>
      <c r="T1865" s="59">
        <f>SUMIF(Allocation[Delivery ID],Allocation[[#This Row],[Delivery ID]],Allocation[Quantity allocated])/SUMIF(Allocation[Delivery ID],Allocation[[#This Row],[Delivery ID]],Allocation[Volume available (kg)])</f>
        <v>0.81</v>
      </c>
      <c r="U1865" s="61">
        <f>Allocation[[#This Row],[Total volume used]]/VLOOKUP(Allocation[[#This Row],[Delivery ID]],Delivery[[Delivery ID]:[Quantity delivered]],3,FALSE)</f>
        <v>1</v>
      </c>
      <c r="V1865" s="34" t="e">
        <f>VLOOKUP(Allocation[[#This Row],[SAP Contract number]],Shipments[[SAP Contract number]:[Contracted container weight]],2,FALSE)</f>
        <v>#N/A</v>
      </c>
      <c r="W1865" s="34" t="e">
        <f>VLOOKUP(Allocation[[#This Row],[SAP Contract number]],Shipments[[SAP Contract number]:[AAA Premium USD]],24,FALSE)</f>
        <v>#N/A</v>
      </c>
      <c r="X1865" s="34" t="e">
        <f>VLOOKUP(Allocation[[#This Row],[SAP Contract number]],Shipments[[SAP Contract number]:[RA Premium USD]],25,FALSE)</f>
        <v>#N/A</v>
      </c>
      <c r="Y1865" s="38">
        <f>Allocation[[#This Row],[Quantity Processed]]/Allocation[[#This Row],[Quantity allocated]]</f>
        <v>3.3333333333333335</v>
      </c>
      <c r="Z1865" s="34" t="b">
        <f>Allocation[[#This Row],[Quantity allocated]]&lt;=Allocation[[#This Row],[Quantity Processed]]</f>
        <v>1</v>
      </c>
    </row>
    <row r="1866" spans="1:26">
      <c r="A1866" s="247" t="s">
        <v>467</v>
      </c>
      <c r="B1866" s="210" t="s">
        <v>68</v>
      </c>
      <c r="C1866" s="254" t="s">
        <v>1480</v>
      </c>
      <c r="D1866" s="255">
        <v>1187</v>
      </c>
      <c r="E1866" s="211" t="s">
        <v>1918</v>
      </c>
      <c r="F1866" s="212">
        <v>43615</v>
      </c>
      <c r="G1866" s="213">
        <v>2.7</v>
      </c>
      <c r="H1866" s="256">
        <v>356</v>
      </c>
      <c r="I1866" s="214">
        <v>1460300</v>
      </c>
      <c r="J1866" s="215">
        <v>19175</v>
      </c>
      <c r="K1866" s="212">
        <v>43626</v>
      </c>
      <c r="L1866" s="211" t="s">
        <v>1920</v>
      </c>
      <c r="M1866" s="216">
        <v>4615520198</v>
      </c>
      <c r="N1866" s="212">
        <v>43642</v>
      </c>
      <c r="O1866" s="218">
        <v>3.8445</v>
      </c>
      <c r="P1866" s="219"/>
      <c r="Q1866" s="34">
        <f>SUMIF(Allocation[Delivery ID],Allocation[[#This Row],[Delivery ID]],Allocation[Quantity Processed])</f>
        <v>11411</v>
      </c>
      <c r="R1866" s="61">
        <f>Allocation[[#This Row],[Total volume used]]/VLOOKUP(Allocation[[#This Row],[Delivery ID]],Delivery[[Delivery ID]:[Quantity delivered]],3,FALSE)</f>
        <v>0.76893530997304582</v>
      </c>
      <c r="S1866" s="34">
        <f>Allocation[[#This Row],[Quantity Processed]]/Allocation[[#This Row],[Dilution rate]]</f>
        <v>439.62962962962962</v>
      </c>
      <c r="T1866" s="59">
        <f>SUMIF(Allocation[Delivery ID],Allocation[[#This Row],[Delivery ID]],Allocation[Quantity allocated])/SUMIF(Allocation[Delivery ID],Allocation[[#This Row],[Delivery ID]],Allocation[Volume available (kg)])</f>
        <v>0.85697305612869312</v>
      </c>
      <c r="U1866" s="61">
        <f>Allocation[[#This Row],[Total volume used]]/VLOOKUP(Allocation[[#This Row],[Delivery ID]],Delivery[[Delivery ID]:[Quantity delivered]],3,FALSE)</f>
        <v>0.76893530997304582</v>
      </c>
      <c r="V1866" s="34" t="e">
        <f>VLOOKUP(Allocation[[#This Row],[SAP Contract number]],Shipments[[SAP Contract number]:[Contracted container weight]],2,FALSE)</f>
        <v>#N/A</v>
      </c>
      <c r="W1866" s="34" t="e">
        <f>VLOOKUP(Allocation[[#This Row],[SAP Contract number]],Shipments[[SAP Contract number]:[AAA Premium USD]],24,FALSE)</f>
        <v>#N/A</v>
      </c>
      <c r="X1866" s="34" t="e">
        <f>VLOOKUP(Allocation[[#This Row],[SAP Contract number]],Shipments[[SAP Contract number]:[RA Premium USD]],25,FALSE)</f>
        <v>#N/A</v>
      </c>
      <c r="Y1866" s="38">
        <f>Allocation[[#This Row],[Quantity Processed]]/Allocation[[#This Row],[Quantity allocated]]</f>
        <v>3.3342696629213484</v>
      </c>
      <c r="Z1866" s="34" t="b">
        <f>Allocation[[#This Row],[Quantity allocated]]&lt;=Allocation[[#This Row],[Quantity Processed]]</f>
        <v>1</v>
      </c>
    </row>
    <row r="1867" spans="1:26">
      <c r="A1867" s="247" t="s">
        <v>467</v>
      </c>
      <c r="B1867" s="210" t="s">
        <v>68</v>
      </c>
      <c r="C1867" s="254" t="s">
        <v>1481</v>
      </c>
      <c r="D1867" s="255">
        <v>7950</v>
      </c>
      <c r="E1867" s="211" t="s">
        <v>1918</v>
      </c>
      <c r="F1867" s="212">
        <v>43615</v>
      </c>
      <c r="G1867" s="213">
        <v>2.7</v>
      </c>
      <c r="H1867" s="256">
        <v>2385</v>
      </c>
      <c r="I1867" s="214">
        <v>1460300</v>
      </c>
      <c r="J1867" s="215">
        <v>19175</v>
      </c>
      <c r="K1867" s="212">
        <v>43626</v>
      </c>
      <c r="L1867" s="211" t="s">
        <v>1920</v>
      </c>
      <c r="M1867" s="216">
        <v>4615520198</v>
      </c>
      <c r="N1867" s="212">
        <v>43642</v>
      </c>
      <c r="O1867" s="218">
        <v>3.8445</v>
      </c>
      <c r="P1867" s="219"/>
      <c r="Q1867" s="34">
        <f>SUMIF(Allocation[Delivery ID],Allocation[[#This Row],[Delivery ID]],Allocation[Quantity Processed])</f>
        <v>14697</v>
      </c>
      <c r="R1867" s="61">
        <f>Allocation[[#This Row],[Total volume used]]/VLOOKUP(Allocation[[#This Row],[Delivery ID]],Delivery[[Delivery ID]:[Quantity delivered]],3,FALSE)</f>
        <v>0.70455417066155324</v>
      </c>
      <c r="S1867" s="34">
        <f>Allocation[[#This Row],[Quantity Processed]]/Allocation[[#This Row],[Dilution rate]]</f>
        <v>2944.4444444444443</v>
      </c>
      <c r="T1867" s="59">
        <f>SUMIF(Allocation[Delivery ID],Allocation[[#This Row],[Delivery ID]],Allocation[Quantity allocated])/SUMIF(Allocation[Delivery ID],Allocation[[#This Row],[Delivery ID]],Allocation[Volume available (kg)])</f>
        <v>0.79592819175609264</v>
      </c>
      <c r="U1867" s="61">
        <f>Allocation[[#This Row],[Total volume used]]/VLOOKUP(Allocation[[#This Row],[Delivery ID]],Delivery[[Delivery ID]:[Quantity delivered]],3,FALSE)</f>
        <v>0.70455417066155324</v>
      </c>
      <c r="V1867" s="34" t="e">
        <f>VLOOKUP(Allocation[[#This Row],[SAP Contract number]],Shipments[[SAP Contract number]:[Contracted container weight]],2,FALSE)</f>
        <v>#N/A</v>
      </c>
      <c r="W1867" s="34" t="e">
        <f>VLOOKUP(Allocation[[#This Row],[SAP Contract number]],Shipments[[SAP Contract number]:[AAA Premium USD]],24,FALSE)</f>
        <v>#N/A</v>
      </c>
      <c r="X1867" s="34" t="e">
        <f>VLOOKUP(Allocation[[#This Row],[SAP Contract number]],Shipments[[SAP Contract number]:[RA Premium USD]],25,FALSE)</f>
        <v>#N/A</v>
      </c>
      <c r="Y1867" s="38">
        <f>Allocation[[#This Row],[Quantity Processed]]/Allocation[[#This Row],[Quantity allocated]]</f>
        <v>3.3333333333333335</v>
      </c>
      <c r="Z1867" s="34" t="b">
        <f>Allocation[[#This Row],[Quantity allocated]]&lt;=Allocation[[#This Row],[Quantity Processed]]</f>
        <v>1</v>
      </c>
    </row>
    <row r="1868" spans="1:26">
      <c r="A1868" s="247" t="s">
        <v>467</v>
      </c>
      <c r="B1868" s="210" t="s">
        <v>68</v>
      </c>
      <c r="C1868" s="254" t="s">
        <v>1482</v>
      </c>
      <c r="D1868" s="255">
        <v>909</v>
      </c>
      <c r="E1868" s="211" t="s">
        <v>1918</v>
      </c>
      <c r="F1868" s="212">
        <v>43615</v>
      </c>
      <c r="G1868" s="213">
        <v>2.7</v>
      </c>
      <c r="H1868" s="256">
        <v>300</v>
      </c>
      <c r="I1868" s="214">
        <v>1460300</v>
      </c>
      <c r="J1868" s="215">
        <v>19175</v>
      </c>
      <c r="K1868" s="212">
        <v>43626</v>
      </c>
      <c r="L1868" s="211" t="s">
        <v>1920</v>
      </c>
      <c r="M1868" s="216">
        <v>4615520198</v>
      </c>
      <c r="N1868" s="212">
        <v>43642</v>
      </c>
      <c r="O1868" s="218">
        <v>3.8445</v>
      </c>
      <c r="P1868" s="219"/>
      <c r="Q1868" s="34">
        <f>SUMIF(Allocation[Delivery ID],Allocation[[#This Row],[Delivery ID]],Allocation[Quantity Processed])</f>
        <v>9993</v>
      </c>
      <c r="R1868" s="61">
        <f>Allocation[[#This Row],[Total volume used]]/VLOOKUP(Allocation[[#This Row],[Delivery ID]],Delivery[[Delivery ID]:[Quantity delivered]],3,FALSE)</f>
        <v>0.82998338870431898</v>
      </c>
      <c r="S1868" s="34">
        <f>Allocation[[#This Row],[Quantity Processed]]/Allocation[[#This Row],[Dilution rate]]</f>
        <v>336.66666666666663</v>
      </c>
      <c r="T1868" s="59">
        <f>SUMIF(Allocation[Delivery ID],Allocation[[#This Row],[Delivery ID]],Allocation[Quantity allocated])/SUMIF(Allocation[Delivery ID],Allocation[[#This Row],[Delivery ID]],Allocation[Volume available (kg)])</f>
        <v>0.87667985794425152</v>
      </c>
      <c r="U1868" s="61">
        <f>Allocation[[#This Row],[Total volume used]]/VLOOKUP(Allocation[[#This Row],[Delivery ID]],Delivery[[Delivery ID]:[Quantity delivered]],3,FALSE)</f>
        <v>0.82998338870431898</v>
      </c>
      <c r="V1868" s="34" t="e">
        <f>VLOOKUP(Allocation[[#This Row],[SAP Contract number]],Shipments[[SAP Contract number]:[Contracted container weight]],2,FALSE)</f>
        <v>#N/A</v>
      </c>
      <c r="W1868" s="34" t="e">
        <f>VLOOKUP(Allocation[[#This Row],[SAP Contract number]],Shipments[[SAP Contract number]:[AAA Premium USD]],24,FALSE)</f>
        <v>#N/A</v>
      </c>
      <c r="X1868" s="34" t="e">
        <f>VLOOKUP(Allocation[[#This Row],[SAP Contract number]],Shipments[[SAP Contract number]:[RA Premium USD]],25,FALSE)</f>
        <v>#N/A</v>
      </c>
      <c r="Y1868" s="38">
        <f>Allocation[[#This Row],[Quantity Processed]]/Allocation[[#This Row],[Quantity allocated]]</f>
        <v>3.03</v>
      </c>
      <c r="Z1868" s="34" t="b">
        <f>Allocation[[#This Row],[Quantity allocated]]&lt;=Allocation[[#This Row],[Quantity Processed]]</f>
        <v>1</v>
      </c>
    </row>
    <row r="1869" spans="1:26">
      <c r="A1869" s="247" t="s">
        <v>467</v>
      </c>
      <c r="B1869" s="210" t="s">
        <v>68</v>
      </c>
      <c r="C1869" s="254" t="s">
        <v>1482</v>
      </c>
      <c r="D1869" s="255">
        <v>4424</v>
      </c>
      <c r="E1869" s="211" t="s">
        <v>1918</v>
      </c>
      <c r="F1869" s="212">
        <v>43615</v>
      </c>
      <c r="G1869" s="213">
        <v>2.7</v>
      </c>
      <c r="H1869" s="256">
        <v>1460</v>
      </c>
      <c r="I1869" s="214">
        <v>1460301</v>
      </c>
      <c r="J1869" s="215">
        <v>19175</v>
      </c>
      <c r="K1869" s="212">
        <v>43626</v>
      </c>
      <c r="L1869" s="211" t="s">
        <v>1921</v>
      </c>
      <c r="M1869" s="216">
        <v>4615520198</v>
      </c>
      <c r="N1869" s="212">
        <v>43642</v>
      </c>
      <c r="O1869" s="218">
        <v>3.8445</v>
      </c>
      <c r="P1869" s="219"/>
      <c r="Q1869" s="34">
        <f>SUMIF(Allocation[Delivery ID],Allocation[[#This Row],[Delivery ID]],Allocation[Quantity Processed])</f>
        <v>9993</v>
      </c>
      <c r="R1869" s="61">
        <f>Allocation[[#This Row],[Total volume used]]/VLOOKUP(Allocation[[#This Row],[Delivery ID]],Delivery[[Delivery ID]:[Quantity delivered]],3,FALSE)</f>
        <v>0.82998338870431898</v>
      </c>
      <c r="S1869" s="34">
        <f>Allocation[[#This Row],[Quantity Processed]]/Allocation[[#This Row],[Dilution rate]]</f>
        <v>1638.5185185185185</v>
      </c>
      <c r="T1869" s="59">
        <f>SUMIF(Allocation[Delivery ID],Allocation[[#This Row],[Delivery ID]],Allocation[Quantity allocated])/SUMIF(Allocation[Delivery ID],Allocation[[#This Row],[Delivery ID]],Allocation[Volume available (kg)])</f>
        <v>0.87667985794425152</v>
      </c>
      <c r="U1869" s="61">
        <f>Allocation[[#This Row],[Total volume used]]/VLOOKUP(Allocation[[#This Row],[Delivery ID]],Delivery[[Delivery ID]:[Quantity delivered]],3,FALSE)</f>
        <v>0.82998338870431898</v>
      </c>
      <c r="V1869" s="34" t="e">
        <f>VLOOKUP(Allocation[[#This Row],[SAP Contract number]],Shipments[[SAP Contract number]:[Contracted container weight]],2,FALSE)</f>
        <v>#N/A</v>
      </c>
      <c r="W1869" s="34" t="e">
        <f>VLOOKUP(Allocation[[#This Row],[SAP Contract number]],Shipments[[SAP Contract number]:[AAA Premium USD]],24,FALSE)</f>
        <v>#N/A</v>
      </c>
      <c r="X1869" s="34" t="e">
        <f>VLOOKUP(Allocation[[#This Row],[SAP Contract number]],Shipments[[SAP Contract number]:[RA Premium USD]],25,FALSE)</f>
        <v>#N/A</v>
      </c>
      <c r="Y1869" s="38">
        <f>Allocation[[#This Row],[Quantity Processed]]/Allocation[[#This Row],[Quantity allocated]]</f>
        <v>3.0301369863013701</v>
      </c>
      <c r="Z1869" s="34" t="b">
        <f>Allocation[[#This Row],[Quantity allocated]]&lt;=Allocation[[#This Row],[Quantity Processed]]</f>
        <v>1</v>
      </c>
    </row>
    <row r="1870" spans="1:26">
      <c r="A1870" s="247" t="s">
        <v>467</v>
      </c>
      <c r="B1870" s="210" t="s">
        <v>68</v>
      </c>
      <c r="C1870" s="254" t="s">
        <v>1483</v>
      </c>
      <c r="D1870" s="255">
        <v>9721</v>
      </c>
      <c r="E1870" s="211" t="s">
        <v>1918</v>
      </c>
      <c r="F1870" s="212">
        <v>43615</v>
      </c>
      <c r="G1870" s="213">
        <v>2.7</v>
      </c>
      <c r="H1870" s="256">
        <v>3208</v>
      </c>
      <c r="I1870" s="214">
        <v>1460301</v>
      </c>
      <c r="J1870" s="215">
        <v>19175</v>
      </c>
      <c r="K1870" s="212">
        <v>43626</v>
      </c>
      <c r="L1870" s="211" t="s">
        <v>1921</v>
      </c>
      <c r="M1870" s="216">
        <v>4615520198</v>
      </c>
      <c r="N1870" s="212">
        <v>43642</v>
      </c>
      <c r="O1870" s="218">
        <v>3.8445</v>
      </c>
      <c r="P1870" s="219"/>
      <c r="Q1870" s="34">
        <f>SUMIF(Allocation[Delivery ID],Allocation[[#This Row],[Delivery ID]],Allocation[Quantity Processed])</f>
        <v>12980</v>
      </c>
      <c r="R1870" s="61">
        <f>Allocation[[#This Row],[Total volume used]]/VLOOKUP(Allocation[[#This Row],[Delivery ID]],Delivery[[Delivery ID]:[Quantity delivered]],3,FALSE)</f>
        <v>1</v>
      </c>
      <c r="S1870" s="34">
        <f>Allocation[[#This Row],[Quantity Processed]]/Allocation[[#This Row],[Dilution rate]]</f>
        <v>3600.37037037037</v>
      </c>
      <c r="T1870" s="59">
        <f>SUMIF(Allocation[Delivery ID],Allocation[[#This Row],[Delivery ID]],Allocation[Quantity allocated])/SUMIF(Allocation[Delivery ID],Allocation[[#This Row],[Delivery ID]],Allocation[Volume available (kg)])</f>
        <v>0.88260163937794034</v>
      </c>
      <c r="U1870" s="61">
        <f>Allocation[[#This Row],[Total volume used]]/VLOOKUP(Allocation[[#This Row],[Delivery ID]],Delivery[[Delivery ID]:[Quantity delivered]],3,FALSE)</f>
        <v>1</v>
      </c>
      <c r="V1870" s="34" t="e">
        <f>VLOOKUP(Allocation[[#This Row],[SAP Contract number]],Shipments[[SAP Contract number]:[Contracted container weight]],2,FALSE)</f>
        <v>#N/A</v>
      </c>
      <c r="W1870" s="34" t="e">
        <f>VLOOKUP(Allocation[[#This Row],[SAP Contract number]],Shipments[[SAP Contract number]:[AAA Premium USD]],24,FALSE)</f>
        <v>#N/A</v>
      </c>
      <c r="X1870" s="34" t="e">
        <f>VLOOKUP(Allocation[[#This Row],[SAP Contract number]],Shipments[[SAP Contract number]:[RA Premium USD]],25,FALSE)</f>
        <v>#N/A</v>
      </c>
      <c r="Y1870" s="38">
        <f>Allocation[[#This Row],[Quantity Processed]]/Allocation[[#This Row],[Quantity allocated]]</f>
        <v>3.0302369077306732</v>
      </c>
      <c r="Z1870" s="34" t="b">
        <f>Allocation[[#This Row],[Quantity allocated]]&lt;=Allocation[[#This Row],[Quantity Processed]]</f>
        <v>1</v>
      </c>
    </row>
    <row r="1871" spans="1:26">
      <c r="A1871" s="247" t="s">
        <v>467</v>
      </c>
      <c r="B1871" s="210" t="s">
        <v>68</v>
      </c>
      <c r="C1871" s="254" t="s">
        <v>1484</v>
      </c>
      <c r="D1871" s="255">
        <v>6706</v>
      </c>
      <c r="E1871" s="211" t="s">
        <v>1918</v>
      </c>
      <c r="F1871" s="212">
        <v>43615</v>
      </c>
      <c r="G1871" s="213">
        <v>2.7</v>
      </c>
      <c r="H1871" s="256">
        <v>2213</v>
      </c>
      <c r="I1871" s="214">
        <v>1460301</v>
      </c>
      <c r="J1871" s="215">
        <v>19175</v>
      </c>
      <c r="K1871" s="212">
        <v>43626</v>
      </c>
      <c r="L1871" s="211" t="s">
        <v>1921</v>
      </c>
      <c r="M1871" s="216">
        <v>4615520198</v>
      </c>
      <c r="N1871" s="212">
        <v>43642</v>
      </c>
      <c r="O1871" s="218">
        <v>3.8445</v>
      </c>
      <c r="P1871" s="219"/>
      <c r="Q1871" s="34">
        <f>SUMIF(Allocation[Delivery ID],Allocation[[#This Row],[Delivery ID]],Allocation[Quantity Processed])</f>
        <v>8930</v>
      </c>
      <c r="R1871" s="61">
        <f>Allocation[[#This Row],[Total volume used]]/VLOOKUP(Allocation[[#This Row],[Delivery ID]],Delivery[[Delivery ID]:[Quantity delivered]],3,FALSE)</f>
        <v>1</v>
      </c>
      <c r="S1871" s="34">
        <f>Allocation[[#This Row],[Quantity Processed]]/Allocation[[#This Row],[Dilution rate]]</f>
        <v>2483.7037037037035</v>
      </c>
      <c r="T1871" s="59">
        <f>SUMIF(Allocation[Delivery ID],Allocation[[#This Row],[Delivery ID]],Allocation[Quantity allocated])/SUMIF(Allocation[Delivery ID],Allocation[[#This Row],[Delivery ID]],Allocation[Volume available (kg)])</f>
        <v>0.88257623590041134</v>
      </c>
      <c r="U1871" s="61">
        <f>Allocation[[#This Row],[Total volume used]]/VLOOKUP(Allocation[[#This Row],[Delivery ID]],Delivery[[Delivery ID]:[Quantity delivered]],3,FALSE)</f>
        <v>1</v>
      </c>
      <c r="V1871" s="34" t="e">
        <f>VLOOKUP(Allocation[[#This Row],[SAP Contract number]],Shipments[[SAP Contract number]:[Contracted container weight]],2,FALSE)</f>
        <v>#N/A</v>
      </c>
      <c r="W1871" s="34" t="e">
        <f>VLOOKUP(Allocation[[#This Row],[SAP Contract number]],Shipments[[SAP Contract number]:[AAA Premium USD]],24,FALSE)</f>
        <v>#N/A</v>
      </c>
      <c r="X1871" s="34" t="e">
        <f>VLOOKUP(Allocation[[#This Row],[SAP Contract number]],Shipments[[SAP Contract number]:[RA Premium USD]],25,FALSE)</f>
        <v>#N/A</v>
      </c>
      <c r="Y1871" s="38">
        <f>Allocation[[#This Row],[Quantity Processed]]/Allocation[[#This Row],[Quantity allocated]]</f>
        <v>3.0302756439222773</v>
      </c>
      <c r="Z1871" s="34" t="b">
        <f>Allocation[[#This Row],[Quantity allocated]]&lt;=Allocation[[#This Row],[Quantity Processed]]</f>
        <v>1</v>
      </c>
    </row>
    <row r="1872" spans="1:26">
      <c r="A1872" s="247" t="s">
        <v>467</v>
      </c>
      <c r="B1872" s="210" t="s">
        <v>68</v>
      </c>
      <c r="C1872" s="254" t="s">
        <v>1485</v>
      </c>
      <c r="D1872" s="255">
        <v>5897</v>
      </c>
      <c r="E1872" s="211" t="s">
        <v>1918</v>
      </c>
      <c r="F1872" s="212">
        <v>43615</v>
      </c>
      <c r="G1872" s="213">
        <v>2.7</v>
      </c>
      <c r="H1872" s="256">
        <v>1946</v>
      </c>
      <c r="I1872" s="214">
        <v>1460301</v>
      </c>
      <c r="J1872" s="215">
        <v>19175</v>
      </c>
      <c r="K1872" s="212">
        <v>43626</v>
      </c>
      <c r="L1872" s="211" t="s">
        <v>1921</v>
      </c>
      <c r="M1872" s="216">
        <v>4615520198</v>
      </c>
      <c r="N1872" s="212">
        <v>43642</v>
      </c>
      <c r="O1872" s="218">
        <v>3.8445</v>
      </c>
      <c r="P1872" s="219"/>
      <c r="Q1872" s="34">
        <f>SUMIF(Allocation[Delivery ID],Allocation[[#This Row],[Delivery ID]],Allocation[Quantity Processed])</f>
        <v>7870</v>
      </c>
      <c r="R1872" s="61">
        <f>Allocation[[#This Row],[Total volume used]]/VLOOKUP(Allocation[[#This Row],[Delivery ID]],Delivery[[Delivery ID]:[Quantity delivered]],3,FALSE)</f>
        <v>1</v>
      </c>
      <c r="S1872" s="34">
        <f>Allocation[[#This Row],[Quantity Processed]]/Allocation[[#This Row],[Dilution rate]]</f>
        <v>2184.0740740740739</v>
      </c>
      <c r="T1872" s="59">
        <f>SUMIF(Allocation[Delivery ID],Allocation[[#This Row],[Delivery ID]],Allocation[Quantity allocated])/SUMIF(Allocation[Delivery ID],Allocation[[#This Row],[Delivery ID]],Allocation[Volume available (kg)])</f>
        <v>0.88245681121819231</v>
      </c>
      <c r="U1872" s="61">
        <f>Allocation[[#This Row],[Total volume used]]/VLOOKUP(Allocation[[#This Row],[Delivery ID]],Delivery[[Delivery ID]:[Quantity delivered]],3,FALSE)</f>
        <v>1</v>
      </c>
      <c r="V1872" s="34" t="e">
        <f>VLOOKUP(Allocation[[#This Row],[SAP Contract number]],Shipments[[SAP Contract number]:[Contracted container weight]],2,FALSE)</f>
        <v>#N/A</v>
      </c>
      <c r="W1872" s="34" t="e">
        <f>VLOOKUP(Allocation[[#This Row],[SAP Contract number]],Shipments[[SAP Contract number]:[AAA Premium USD]],24,FALSE)</f>
        <v>#N/A</v>
      </c>
      <c r="X1872" s="34" t="e">
        <f>VLOOKUP(Allocation[[#This Row],[SAP Contract number]],Shipments[[SAP Contract number]:[RA Premium USD]],25,FALSE)</f>
        <v>#N/A</v>
      </c>
      <c r="Y1872" s="38">
        <f>Allocation[[#This Row],[Quantity Processed]]/Allocation[[#This Row],[Quantity allocated]]</f>
        <v>3.0303186022610484</v>
      </c>
      <c r="Z1872" s="34" t="b">
        <f>Allocation[[#This Row],[Quantity allocated]]&lt;=Allocation[[#This Row],[Quantity Processed]]</f>
        <v>1</v>
      </c>
    </row>
    <row r="1873" spans="1:26">
      <c r="A1873" s="247" t="s">
        <v>467</v>
      </c>
      <c r="B1873" s="210" t="s">
        <v>68</v>
      </c>
      <c r="C1873" s="254" t="s">
        <v>1486</v>
      </c>
      <c r="D1873" s="255">
        <v>9448</v>
      </c>
      <c r="E1873" s="211" t="s">
        <v>1918</v>
      </c>
      <c r="F1873" s="212">
        <v>43615</v>
      </c>
      <c r="G1873" s="213">
        <v>2.7</v>
      </c>
      <c r="H1873" s="256">
        <v>3118</v>
      </c>
      <c r="I1873" s="214">
        <v>1460301</v>
      </c>
      <c r="J1873" s="215">
        <v>19175</v>
      </c>
      <c r="K1873" s="212">
        <v>43626</v>
      </c>
      <c r="L1873" s="211" t="s">
        <v>1921</v>
      </c>
      <c r="M1873" s="216">
        <v>4615520198</v>
      </c>
      <c r="N1873" s="212">
        <v>43642</v>
      </c>
      <c r="O1873" s="218">
        <v>3.8445</v>
      </c>
      <c r="P1873" s="219"/>
      <c r="Q1873" s="34">
        <f>SUMIF(Allocation[Delivery ID],Allocation[[#This Row],[Delivery ID]],Allocation[Quantity Processed])</f>
        <v>16360</v>
      </c>
      <c r="R1873" s="61">
        <f>Allocation[[#This Row],[Total volume used]]/VLOOKUP(Allocation[[#This Row],[Delivery ID]],Delivery[[Delivery ID]:[Quantity delivered]],3,FALSE)</f>
        <v>1</v>
      </c>
      <c r="S1873" s="34">
        <f>Allocation[[#This Row],[Quantity Processed]]/Allocation[[#This Row],[Dilution rate]]</f>
        <v>3499.2592592592591</v>
      </c>
      <c r="T1873" s="59">
        <f>SUMIF(Allocation[Delivery ID],Allocation[[#This Row],[Delivery ID]],Allocation[Quantity allocated])/SUMIF(Allocation[Delivery ID],Allocation[[#This Row],[Delivery ID]],Allocation[Volume available (kg)])</f>
        <v>0.87678544990191354</v>
      </c>
      <c r="U1873" s="61">
        <f>Allocation[[#This Row],[Total volume used]]/VLOOKUP(Allocation[[#This Row],[Delivery ID]],Delivery[[Delivery ID]:[Quantity delivered]],3,FALSE)</f>
        <v>1</v>
      </c>
      <c r="V1873" s="34" t="e">
        <f>VLOOKUP(Allocation[[#This Row],[SAP Contract number]],Shipments[[SAP Contract number]:[Contracted container weight]],2,FALSE)</f>
        <v>#N/A</v>
      </c>
      <c r="W1873" s="34" t="e">
        <f>VLOOKUP(Allocation[[#This Row],[SAP Contract number]],Shipments[[SAP Contract number]:[AAA Premium USD]],24,FALSE)</f>
        <v>#N/A</v>
      </c>
      <c r="X1873" s="34" t="e">
        <f>VLOOKUP(Allocation[[#This Row],[SAP Contract number]],Shipments[[SAP Contract number]:[RA Premium USD]],25,FALSE)</f>
        <v>#N/A</v>
      </c>
      <c r="Y1873" s="38">
        <f>Allocation[[#This Row],[Quantity Processed]]/Allocation[[#This Row],[Quantity allocated]]</f>
        <v>3.0301475304682488</v>
      </c>
      <c r="Z1873" s="34" t="b">
        <f>Allocation[[#This Row],[Quantity allocated]]&lt;=Allocation[[#This Row],[Quantity Processed]]</f>
        <v>1</v>
      </c>
    </row>
    <row r="1874" spans="1:26">
      <c r="A1874" s="247" t="s">
        <v>467</v>
      </c>
      <c r="B1874" s="210" t="s">
        <v>68</v>
      </c>
      <c r="C1874" s="254" t="s">
        <v>1487</v>
      </c>
      <c r="D1874" s="255">
        <v>7809</v>
      </c>
      <c r="E1874" s="211" t="s">
        <v>1918</v>
      </c>
      <c r="F1874" s="212">
        <v>43615</v>
      </c>
      <c r="G1874" s="213">
        <v>2.7</v>
      </c>
      <c r="H1874" s="256">
        <v>2577</v>
      </c>
      <c r="I1874" s="214">
        <v>1460301</v>
      </c>
      <c r="J1874" s="215">
        <v>19175</v>
      </c>
      <c r="K1874" s="212">
        <v>43626</v>
      </c>
      <c r="L1874" s="211" t="s">
        <v>1921</v>
      </c>
      <c r="M1874" s="216">
        <v>4615520198</v>
      </c>
      <c r="N1874" s="212">
        <v>43642</v>
      </c>
      <c r="O1874" s="218">
        <v>3.8445</v>
      </c>
      <c r="P1874" s="219"/>
      <c r="Q1874" s="34">
        <f>SUMIF(Allocation[Delivery ID],Allocation[[#This Row],[Delivery ID]],Allocation[Quantity Processed])</f>
        <v>13900</v>
      </c>
      <c r="R1874" s="61">
        <f>Allocation[[#This Row],[Total volume used]]/VLOOKUP(Allocation[[#This Row],[Delivery ID]],Delivery[[Delivery ID]:[Quantity delivered]],3,FALSE)</f>
        <v>1</v>
      </c>
      <c r="S1874" s="34">
        <f>Allocation[[#This Row],[Quantity Processed]]/Allocation[[#This Row],[Dilution rate]]</f>
        <v>2892.2222222222222</v>
      </c>
      <c r="T1874" s="59">
        <f>SUMIF(Allocation[Delivery ID],Allocation[[#This Row],[Delivery ID]],Allocation[Quantity allocated])/SUMIF(Allocation[Delivery ID],Allocation[[#This Row],[Delivery ID]],Allocation[Volume available (kg)])</f>
        <v>0.87623207098949374</v>
      </c>
      <c r="U1874" s="61">
        <f>Allocation[[#This Row],[Total volume used]]/VLOOKUP(Allocation[[#This Row],[Delivery ID]],Delivery[[Delivery ID]:[Quantity delivered]],3,FALSE)</f>
        <v>1</v>
      </c>
      <c r="V1874" s="34" t="e">
        <f>VLOOKUP(Allocation[[#This Row],[SAP Contract number]],Shipments[[SAP Contract number]:[Contracted container weight]],2,FALSE)</f>
        <v>#N/A</v>
      </c>
      <c r="W1874" s="34" t="e">
        <f>VLOOKUP(Allocation[[#This Row],[SAP Contract number]],Shipments[[SAP Contract number]:[AAA Premium USD]],24,FALSE)</f>
        <v>#N/A</v>
      </c>
      <c r="X1874" s="34" t="e">
        <f>VLOOKUP(Allocation[[#This Row],[SAP Contract number]],Shipments[[SAP Contract number]:[RA Premium USD]],25,FALSE)</f>
        <v>#N/A</v>
      </c>
      <c r="Y1874" s="38">
        <f>Allocation[[#This Row],[Quantity Processed]]/Allocation[[#This Row],[Quantity allocated]]</f>
        <v>3.0302677532013971</v>
      </c>
      <c r="Z1874" s="34" t="b">
        <f>Allocation[[#This Row],[Quantity allocated]]&lt;=Allocation[[#This Row],[Quantity Processed]]</f>
        <v>1</v>
      </c>
    </row>
    <row r="1875" spans="1:26">
      <c r="A1875" s="247" t="s">
        <v>467</v>
      </c>
      <c r="B1875" s="210" t="s">
        <v>68</v>
      </c>
      <c r="C1875" s="254" t="s">
        <v>1488</v>
      </c>
      <c r="D1875" s="255">
        <v>5839</v>
      </c>
      <c r="E1875" s="211" t="s">
        <v>1918</v>
      </c>
      <c r="F1875" s="212">
        <v>43615</v>
      </c>
      <c r="G1875" s="213">
        <v>2.7</v>
      </c>
      <c r="H1875" s="256">
        <v>1927</v>
      </c>
      <c r="I1875" s="214">
        <v>1460301</v>
      </c>
      <c r="J1875" s="215">
        <v>19175</v>
      </c>
      <c r="K1875" s="212">
        <v>43626</v>
      </c>
      <c r="L1875" s="211" t="s">
        <v>1921</v>
      </c>
      <c r="M1875" s="216">
        <v>4615520198</v>
      </c>
      <c r="N1875" s="212">
        <v>43642</v>
      </c>
      <c r="O1875" s="218">
        <v>3.8445</v>
      </c>
      <c r="P1875" s="219"/>
      <c r="Q1875" s="34">
        <f>SUMIF(Allocation[Delivery ID],Allocation[[#This Row],[Delivery ID]],Allocation[Quantity Processed])</f>
        <v>10930</v>
      </c>
      <c r="R1875" s="61">
        <f>Allocation[[#This Row],[Total volume used]]/VLOOKUP(Allocation[[#This Row],[Delivery ID]],Delivery[[Delivery ID]:[Quantity delivered]],3,FALSE)</f>
        <v>1</v>
      </c>
      <c r="S1875" s="34">
        <f>Allocation[[#This Row],[Quantity Processed]]/Allocation[[#This Row],[Dilution rate]]</f>
        <v>2162.5925925925926</v>
      </c>
      <c r="T1875" s="59">
        <f>SUMIF(Allocation[Delivery ID],Allocation[[#This Row],[Delivery ID]],Allocation[Quantity allocated])/SUMIF(Allocation[Delivery ID],Allocation[[#This Row],[Delivery ID]],Allocation[Volume available (kg)])</f>
        <v>0.87557825439364689</v>
      </c>
      <c r="U1875" s="61">
        <f>Allocation[[#This Row],[Total volume used]]/VLOOKUP(Allocation[[#This Row],[Delivery ID]],Delivery[[Delivery ID]:[Quantity delivered]],3,FALSE)</f>
        <v>1</v>
      </c>
      <c r="V1875" s="34" t="e">
        <f>VLOOKUP(Allocation[[#This Row],[SAP Contract number]],Shipments[[SAP Contract number]:[Contracted container weight]],2,FALSE)</f>
        <v>#N/A</v>
      </c>
      <c r="W1875" s="34" t="e">
        <f>VLOOKUP(Allocation[[#This Row],[SAP Contract number]],Shipments[[SAP Contract number]:[AAA Premium USD]],24,FALSE)</f>
        <v>#N/A</v>
      </c>
      <c r="X1875" s="34" t="e">
        <f>VLOOKUP(Allocation[[#This Row],[SAP Contract number]],Shipments[[SAP Contract number]:[RA Premium USD]],25,FALSE)</f>
        <v>#N/A</v>
      </c>
      <c r="Y1875" s="38">
        <f>Allocation[[#This Row],[Quantity Processed]]/Allocation[[#This Row],[Quantity allocated]]</f>
        <v>3.0300985988583289</v>
      </c>
      <c r="Z1875" s="34" t="b">
        <f>Allocation[[#This Row],[Quantity allocated]]&lt;=Allocation[[#This Row],[Quantity Processed]]</f>
        <v>1</v>
      </c>
    </row>
    <row r="1876" spans="1:26">
      <c r="A1876" s="247" t="s">
        <v>467</v>
      </c>
      <c r="B1876" s="210" t="s">
        <v>68</v>
      </c>
      <c r="C1876" s="254" t="s">
        <v>1489</v>
      </c>
      <c r="D1876" s="255">
        <v>5482</v>
      </c>
      <c r="E1876" s="211" t="s">
        <v>1918</v>
      </c>
      <c r="F1876" s="212">
        <v>43615</v>
      </c>
      <c r="G1876" s="213">
        <v>2.7</v>
      </c>
      <c r="H1876" s="256">
        <v>1809</v>
      </c>
      <c r="I1876" s="214">
        <v>1460301</v>
      </c>
      <c r="J1876" s="215">
        <v>19175</v>
      </c>
      <c r="K1876" s="212">
        <v>43626</v>
      </c>
      <c r="L1876" s="211" t="s">
        <v>1921</v>
      </c>
      <c r="M1876" s="216">
        <v>4615520198</v>
      </c>
      <c r="N1876" s="212">
        <v>43642</v>
      </c>
      <c r="O1876" s="218">
        <v>3.8445</v>
      </c>
      <c r="P1876" s="219"/>
      <c r="Q1876" s="34">
        <f>SUMIF(Allocation[Delivery ID],Allocation[[#This Row],[Delivery ID]],Allocation[Quantity Processed])</f>
        <v>10273</v>
      </c>
      <c r="R1876" s="61">
        <f>Allocation[[#This Row],[Total volume used]]/VLOOKUP(Allocation[[#This Row],[Delivery ID]],Delivery[[Delivery ID]:[Quantity delivered]],3,FALSE)</f>
        <v>0.82646822204344328</v>
      </c>
      <c r="S1876" s="34">
        <f>Allocation[[#This Row],[Quantity Processed]]/Allocation[[#This Row],[Dilution rate]]</f>
        <v>2030.3703703703702</v>
      </c>
      <c r="T1876" s="59">
        <f>SUMIF(Allocation[Delivery ID],Allocation[[#This Row],[Delivery ID]],Allocation[Quantity allocated])/SUMIF(Allocation[Delivery ID],Allocation[[#This Row],[Delivery ID]],Allocation[Volume available (kg)])</f>
        <v>0.87656526894882802</v>
      </c>
      <c r="U1876" s="61">
        <f>Allocation[[#This Row],[Total volume used]]/VLOOKUP(Allocation[[#This Row],[Delivery ID]],Delivery[[Delivery ID]:[Quantity delivered]],3,FALSE)</f>
        <v>0.82646822204344328</v>
      </c>
      <c r="V1876" s="34" t="e">
        <f>VLOOKUP(Allocation[[#This Row],[SAP Contract number]],Shipments[[SAP Contract number]:[Contracted container weight]],2,FALSE)</f>
        <v>#N/A</v>
      </c>
      <c r="W1876" s="34" t="e">
        <f>VLOOKUP(Allocation[[#This Row],[SAP Contract number]],Shipments[[SAP Contract number]:[AAA Premium USD]],24,FALSE)</f>
        <v>#N/A</v>
      </c>
      <c r="X1876" s="34" t="e">
        <f>VLOOKUP(Allocation[[#This Row],[SAP Contract number]],Shipments[[SAP Contract number]:[RA Premium USD]],25,FALSE)</f>
        <v>#N/A</v>
      </c>
      <c r="Y1876" s="38">
        <f>Allocation[[#This Row],[Quantity Processed]]/Allocation[[#This Row],[Quantity allocated]]</f>
        <v>3.0304035378662246</v>
      </c>
      <c r="Z1876" s="34" t="b">
        <f>Allocation[[#This Row],[Quantity allocated]]&lt;=Allocation[[#This Row],[Quantity Processed]]</f>
        <v>1</v>
      </c>
    </row>
    <row r="1877" spans="1:26">
      <c r="A1877" s="247" t="s">
        <v>467</v>
      </c>
      <c r="B1877" s="210" t="s">
        <v>68</v>
      </c>
      <c r="C1877" s="254" t="s">
        <v>1490</v>
      </c>
      <c r="D1877" s="255">
        <v>2779</v>
      </c>
      <c r="E1877" s="211" t="s">
        <v>1918</v>
      </c>
      <c r="F1877" s="212">
        <v>43615</v>
      </c>
      <c r="G1877" s="213">
        <v>2.7</v>
      </c>
      <c r="H1877" s="256">
        <v>917</v>
      </c>
      <c r="I1877" s="214">
        <v>1460301</v>
      </c>
      <c r="J1877" s="215">
        <v>19175</v>
      </c>
      <c r="K1877" s="212">
        <v>43626</v>
      </c>
      <c r="L1877" s="211" t="s">
        <v>1921</v>
      </c>
      <c r="M1877" s="216">
        <v>4615520198</v>
      </c>
      <c r="N1877" s="212">
        <v>43642</v>
      </c>
      <c r="O1877" s="218">
        <v>3.8445</v>
      </c>
      <c r="P1877" s="219"/>
      <c r="Q1877" s="34">
        <f>SUMIF(Allocation[Delivery ID],Allocation[[#This Row],[Delivery ID]],Allocation[Quantity Processed])</f>
        <v>11588</v>
      </c>
      <c r="R1877" s="61">
        <f>Allocation[[#This Row],[Total volume used]]/VLOOKUP(Allocation[[#This Row],[Delivery ID]],Delivery[[Delivery ID]:[Quantity delivered]],3,FALSE)</f>
        <v>0.87193378480060191</v>
      </c>
      <c r="S1877" s="34">
        <f>Allocation[[#This Row],[Quantity Processed]]/Allocation[[#This Row],[Dilution rate]]</f>
        <v>1029.2592592592591</v>
      </c>
      <c r="T1877" s="59">
        <f>SUMIF(Allocation[Delivery ID],Allocation[[#This Row],[Delivery ID]],Allocation[Quantity allocated])/SUMIF(Allocation[Delivery ID],Allocation[[#This Row],[Delivery ID]],Allocation[Volume available (kg)])</f>
        <v>0.8763399236213063</v>
      </c>
      <c r="U1877" s="61">
        <f>Allocation[[#This Row],[Total volume used]]/VLOOKUP(Allocation[[#This Row],[Delivery ID]],Delivery[[Delivery ID]:[Quantity delivered]],3,FALSE)</f>
        <v>0.87193378480060191</v>
      </c>
      <c r="V1877" s="34" t="e">
        <f>VLOOKUP(Allocation[[#This Row],[SAP Contract number]],Shipments[[SAP Contract number]:[Contracted container weight]],2,FALSE)</f>
        <v>#N/A</v>
      </c>
      <c r="W1877" s="34" t="e">
        <f>VLOOKUP(Allocation[[#This Row],[SAP Contract number]],Shipments[[SAP Contract number]:[AAA Premium USD]],24,FALSE)</f>
        <v>#N/A</v>
      </c>
      <c r="X1877" s="34" t="e">
        <f>VLOOKUP(Allocation[[#This Row],[SAP Contract number]],Shipments[[SAP Contract number]:[RA Premium USD]],25,FALSE)</f>
        <v>#N/A</v>
      </c>
      <c r="Y1877" s="38">
        <f>Allocation[[#This Row],[Quantity Processed]]/Allocation[[#This Row],[Quantity allocated]]</f>
        <v>3.0305343511450382</v>
      </c>
      <c r="Z1877" s="34" t="b">
        <f>Allocation[[#This Row],[Quantity allocated]]&lt;=Allocation[[#This Row],[Quantity Processed]]</f>
        <v>1</v>
      </c>
    </row>
    <row r="1878" spans="1:26">
      <c r="A1878" s="247" t="s">
        <v>467</v>
      </c>
      <c r="B1878" s="210" t="s">
        <v>68</v>
      </c>
      <c r="C1878" s="254" t="s">
        <v>1490</v>
      </c>
      <c r="D1878" s="255">
        <v>3424</v>
      </c>
      <c r="E1878" s="211" t="s">
        <v>1918</v>
      </c>
      <c r="F1878" s="212">
        <v>43615</v>
      </c>
      <c r="G1878" s="213">
        <v>2.7</v>
      </c>
      <c r="H1878" s="256">
        <v>1130</v>
      </c>
      <c r="I1878" s="214">
        <v>1460302</v>
      </c>
      <c r="J1878" s="215">
        <v>19175</v>
      </c>
      <c r="K1878" s="212">
        <v>43626</v>
      </c>
      <c r="L1878" s="211" t="s">
        <v>1922</v>
      </c>
      <c r="M1878" s="216">
        <v>4615520198</v>
      </c>
      <c r="N1878" s="212">
        <v>43642</v>
      </c>
      <c r="O1878" s="218">
        <v>3.8445</v>
      </c>
      <c r="P1878" s="219"/>
      <c r="Q1878" s="34">
        <f>SUMIF(Allocation[Delivery ID],Allocation[[#This Row],[Delivery ID]],Allocation[Quantity Processed])</f>
        <v>11588</v>
      </c>
      <c r="R1878" s="61">
        <f>Allocation[[#This Row],[Total volume used]]/VLOOKUP(Allocation[[#This Row],[Delivery ID]],Delivery[[Delivery ID]:[Quantity delivered]],3,FALSE)</f>
        <v>0.87193378480060191</v>
      </c>
      <c r="S1878" s="34">
        <f>Allocation[[#This Row],[Quantity Processed]]/Allocation[[#This Row],[Dilution rate]]</f>
        <v>1268.148148148148</v>
      </c>
      <c r="T1878" s="59">
        <f>SUMIF(Allocation[Delivery ID],Allocation[[#This Row],[Delivery ID]],Allocation[Quantity allocated])/SUMIF(Allocation[Delivery ID],Allocation[[#This Row],[Delivery ID]],Allocation[Volume available (kg)])</f>
        <v>0.8763399236213063</v>
      </c>
      <c r="U1878" s="61">
        <f>Allocation[[#This Row],[Total volume used]]/VLOOKUP(Allocation[[#This Row],[Delivery ID]],Delivery[[Delivery ID]:[Quantity delivered]],3,FALSE)</f>
        <v>0.87193378480060191</v>
      </c>
      <c r="V1878" s="34" t="e">
        <f>VLOOKUP(Allocation[[#This Row],[SAP Contract number]],Shipments[[SAP Contract number]:[Contracted container weight]],2,FALSE)</f>
        <v>#N/A</v>
      </c>
      <c r="W1878" s="34" t="e">
        <f>VLOOKUP(Allocation[[#This Row],[SAP Contract number]],Shipments[[SAP Contract number]:[AAA Premium USD]],24,FALSE)</f>
        <v>#N/A</v>
      </c>
      <c r="X1878" s="34" t="e">
        <f>VLOOKUP(Allocation[[#This Row],[SAP Contract number]],Shipments[[SAP Contract number]:[RA Premium USD]],25,FALSE)</f>
        <v>#N/A</v>
      </c>
      <c r="Y1878" s="38">
        <f>Allocation[[#This Row],[Quantity Processed]]/Allocation[[#This Row],[Quantity allocated]]</f>
        <v>3.0300884955752214</v>
      </c>
      <c r="Z1878" s="34" t="b">
        <f>Allocation[[#This Row],[Quantity allocated]]&lt;=Allocation[[#This Row],[Quantity Processed]]</f>
        <v>1</v>
      </c>
    </row>
    <row r="1879" spans="1:26">
      <c r="A1879" s="247" t="s">
        <v>467</v>
      </c>
      <c r="B1879" s="210" t="s">
        <v>68</v>
      </c>
      <c r="C1879" s="254" t="s">
        <v>1491</v>
      </c>
      <c r="D1879" s="255">
        <v>5252</v>
      </c>
      <c r="E1879" s="211" t="s">
        <v>1918</v>
      </c>
      <c r="F1879" s="212">
        <v>43615</v>
      </c>
      <c r="G1879" s="213">
        <v>2.7</v>
      </c>
      <c r="H1879" s="256">
        <v>1733</v>
      </c>
      <c r="I1879" s="214">
        <v>1460302</v>
      </c>
      <c r="J1879" s="215">
        <v>19175</v>
      </c>
      <c r="K1879" s="212">
        <v>43626</v>
      </c>
      <c r="L1879" s="211" t="s">
        <v>1922</v>
      </c>
      <c r="M1879" s="216">
        <v>4615520198</v>
      </c>
      <c r="N1879" s="212">
        <v>43642</v>
      </c>
      <c r="O1879" s="218">
        <v>3.8445</v>
      </c>
      <c r="P1879" s="219"/>
      <c r="Q1879" s="34">
        <f>SUMIF(Allocation[Delivery ID],Allocation[[#This Row],[Delivery ID]],Allocation[Quantity Processed])</f>
        <v>9350</v>
      </c>
      <c r="R1879" s="61">
        <f>Allocation[[#This Row],[Total volume used]]/VLOOKUP(Allocation[[#This Row],[Delivery ID]],Delivery[[Delivery ID]:[Quantity delivered]],3,FALSE)</f>
        <v>1</v>
      </c>
      <c r="S1879" s="34">
        <f>Allocation[[#This Row],[Quantity Processed]]/Allocation[[#This Row],[Dilution rate]]</f>
        <v>1945.185185185185</v>
      </c>
      <c r="T1879" s="59">
        <f>SUMIF(Allocation[Delivery ID],Allocation[[#This Row],[Delivery ID]],Allocation[Quantity allocated])/SUMIF(Allocation[Delivery ID],Allocation[[#This Row],[Delivery ID]],Allocation[Volume available (kg)])</f>
        <v>0.87608718517140116</v>
      </c>
      <c r="U1879" s="61">
        <f>Allocation[[#This Row],[Total volume used]]/VLOOKUP(Allocation[[#This Row],[Delivery ID]],Delivery[[Delivery ID]:[Quantity delivered]],3,FALSE)</f>
        <v>1</v>
      </c>
      <c r="V1879" s="34" t="e">
        <f>VLOOKUP(Allocation[[#This Row],[SAP Contract number]],Shipments[[SAP Contract number]:[Contracted container weight]],2,FALSE)</f>
        <v>#N/A</v>
      </c>
      <c r="W1879" s="34" t="e">
        <f>VLOOKUP(Allocation[[#This Row],[SAP Contract number]],Shipments[[SAP Contract number]:[AAA Premium USD]],24,FALSE)</f>
        <v>#N/A</v>
      </c>
      <c r="X1879" s="34" t="e">
        <f>VLOOKUP(Allocation[[#This Row],[SAP Contract number]],Shipments[[SAP Contract number]:[RA Premium USD]],25,FALSE)</f>
        <v>#N/A</v>
      </c>
      <c r="Y1879" s="38">
        <f>Allocation[[#This Row],[Quantity Processed]]/Allocation[[#This Row],[Quantity allocated]]</f>
        <v>3.0305828043854586</v>
      </c>
      <c r="Z1879" s="34" t="b">
        <f>Allocation[[#This Row],[Quantity allocated]]&lt;=Allocation[[#This Row],[Quantity Processed]]</f>
        <v>1</v>
      </c>
    </row>
    <row r="1880" spans="1:26">
      <c r="A1880" s="247" t="s">
        <v>467</v>
      </c>
      <c r="B1880" s="210" t="s">
        <v>68</v>
      </c>
      <c r="C1880" s="254" t="s">
        <v>1492</v>
      </c>
      <c r="D1880" s="255">
        <v>8100</v>
      </c>
      <c r="E1880" s="211" t="s">
        <v>1918</v>
      </c>
      <c r="F1880" s="212">
        <v>43615</v>
      </c>
      <c r="G1880" s="213">
        <v>2.7</v>
      </c>
      <c r="H1880" s="256">
        <v>2430</v>
      </c>
      <c r="I1880" s="214">
        <v>1460302</v>
      </c>
      <c r="J1880" s="215">
        <v>19175</v>
      </c>
      <c r="K1880" s="212">
        <v>43626</v>
      </c>
      <c r="L1880" s="211" t="s">
        <v>1922</v>
      </c>
      <c r="M1880" s="216">
        <v>4615520198</v>
      </c>
      <c r="N1880" s="212">
        <v>43642</v>
      </c>
      <c r="O1880" s="218">
        <v>3.8445</v>
      </c>
      <c r="P1880" s="219"/>
      <c r="Q1880" s="34">
        <f>SUMIF(Allocation[Delivery ID],Allocation[[#This Row],[Delivery ID]],Allocation[Quantity Processed])</f>
        <v>9780</v>
      </c>
      <c r="R1880" s="61">
        <f>Allocation[[#This Row],[Total volume used]]/VLOOKUP(Allocation[[#This Row],[Delivery ID]],Delivery[[Delivery ID]:[Quantity delivered]],3,FALSE)</f>
        <v>1</v>
      </c>
      <c r="S1880" s="34">
        <f>Allocation[[#This Row],[Quantity Processed]]/Allocation[[#This Row],[Dilution rate]]</f>
        <v>3000</v>
      </c>
      <c r="T1880" s="59">
        <f>SUMIF(Allocation[Delivery ID],Allocation[[#This Row],[Delivery ID]],Allocation[Quantity allocated])/SUMIF(Allocation[Delivery ID],Allocation[[#This Row],[Delivery ID]],Allocation[Volume available (kg)])</f>
        <v>0.80468354430379752</v>
      </c>
      <c r="U1880" s="61">
        <f>Allocation[[#This Row],[Total volume used]]/VLOOKUP(Allocation[[#This Row],[Delivery ID]],Delivery[[Delivery ID]:[Quantity delivered]],3,FALSE)</f>
        <v>1</v>
      </c>
      <c r="V1880" s="34" t="e">
        <f>VLOOKUP(Allocation[[#This Row],[SAP Contract number]],Shipments[[SAP Contract number]:[Contracted container weight]],2,FALSE)</f>
        <v>#N/A</v>
      </c>
      <c r="W1880" s="34" t="e">
        <f>VLOOKUP(Allocation[[#This Row],[SAP Contract number]],Shipments[[SAP Contract number]:[AAA Premium USD]],24,FALSE)</f>
        <v>#N/A</v>
      </c>
      <c r="X1880" s="34" t="e">
        <f>VLOOKUP(Allocation[[#This Row],[SAP Contract number]],Shipments[[SAP Contract number]:[RA Premium USD]],25,FALSE)</f>
        <v>#N/A</v>
      </c>
      <c r="Y1880" s="38">
        <f>Allocation[[#This Row],[Quantity Processed]]/Allocation[[#This Row],[Quantity allocated]]</f>
        <v>3.3333333333333335</v>
      </c>
      <c r="Z1880" s="34" t="b">
        <f>Allocation[[#This Row],[Quantity allocated]]&lt;=Allocation[[#This Row],[Quantity Processed]]</f>
        <v>1</v>
      </c>
    </row>
    <row r="1881" spans="1:26">
      <c r="A1881" s="247" t="s">
        <v>467</v>
      </c>
      <c r="B1881" s="210" t="s">
        <v>68</v>
      </c>
      <c r="C1881" s="254" t="s">
        <v>1493</v>
      </c>
      <c r="D1881" s="255">
        <v>10880</v>
      </c>
      <c r="E1881" s="211" t="s">
        <v>1918</v>
      </c>
      <c r="F1881" s="212">
        <v>43615</v>
      </c>
      <c r="G1881" s="213">
        <v>2.7</v>
      </c>
      <c r="H1881" s="256">
        <v>3264</v>
      </c>
      <c r="I1881" s="214">
        <v>1460302</v>
      </c>
      <c r="J1881" s="215">
        <v>19175</v>
      </c>
      <c r="K1881" s="212">
        <v>43626</v>
      </c>
      <c r="L1881" s="211" t="s">
        <v>1922</v>
      </c>
      <c r="M1881" s="216">
        <v>4615520198</v>
      </c>
      <c r="N1881" s="212">
        <v>43642</v>
      </c>
      <c r="O1881" s="218">
        <v>3.8445</v>
      </c>
      <c r="P1881" s="219"/>
      <c r="Q1881" s="34">
        <f>SUMIF(Allocation[Delivery ID],Allocation[[#This Row],[Delivery ID]],Allocation[Quantity Processed])</f>
        <v>13110</v>
      </c>
      <c r="R1881" s="61">
        <f>Allocation[[#This Row],[Total volume used]]/VLOOKUP(Allocation[[#This Row],[Delivery ID]],Delivery[[Delivery ID]:[Quantity delivered]],3,FALSE)</f>
        <v>1</v>
      </c>
      <c r="S1881" s="34">
        <f>Allocation[[#This Row],[Quantity Processed]]/Allocation[[#This Row],[Dilution rate]]</f>
        <v>4029.6296296296296</v>
      </c>
      <c r="T1881" s="59">
        <f>SUMIF(Allocation[Delivery ID],Allocation[[#This Row],[Delivery ID]],Allocation[Quantity allocated])/SUMIF(Allocation[Delivery ID],Allocation[[#This Row],[Delivery ID]],Allocation[Volume available (kg)])</f>
        <v>0.80473520067620741</v>
      </c>
      <c r="U1881" s="61">
        <f>Allocation[[#This Row],[Total volume used]]/VLOOKUP(Allocation[[#This Row],[Delivery ID]],Delivery[[Delivery ID]:[Quantity delivered]],3,FALSE)</f>
        <v>1</v>
      </c>
      <c r="V1881" s="34" t="e">
        <f>VLOOKUP(Allocation[[#This Row],[SAP Contract number]],Shipments[[SAP Contract number]:[Contracted container weight]],2,FALSE)</f>
        <v>#N/A</v>
      </c>
      <c r="W1881" s="34" t="e">
        <f>VLOOKUP(Allocation[[#This Row],[SAP Contract number]],Shipments[[SAP Contract number]:[AAA Premium USD]],24,FALSE)</f>
        <v>#N/A</v>
      </c>
      <c r="X1881" s="34" t="e">
        <f>VLOOKUP(Allocation[[#This Row],[SAP Contract number]],Shipments[[SAP Contract number]:[RA Premium USD]],25,FALSE)</f>
        <v>#N/A</v>
      </c>
      <c r="Y1881" s="38">
        <f>Allocation[[#This Row],[Quantity Processed]]/Allocation[[#This Row],[Quantity allocated]]</f>
        <v>3.3333333333333335</v>
      </c>
      <c r="Z1881" s="34" t="b">
        <f>Allocation[[#This Row],[Quantity allocated]]&lt;=Allocation[[#This Row],[Quantity Processed]]</f>
        <v>1</v>
      </c>
    </row>
    <row r="1882" spans="1:26">
      <c r="A1882" s="247" t="s">
        <v>467</v>
      </c>
      <c r="B1882" s="210" t="s">
        <v>68</v>
      </c>
      <c r="C1882" s="254" t="s">
        <v>1494</v>
      </c>
      <c r="D1882" s="255">
        <v>12570</v>
      </c>
      <c r="E1882" s="211" t="s">
        <v>1918</v>
      </c>
      <c r="F1882" s="212">
        <v>43615</v>
      </c>
      <c r="G1882" s="213">
        <v>2.7</v>
      </c>
      <c r="H1882" s="256">
        <v>3771</v>
      </c>
      <c r="I1882" s="214">
        <v>1460302</v>
      </c>
      <c r="J1882" s="215">
        <v>19175</v>
      </c>
      <c r="K1882" s="212">
        <v>43626</v>
      </c>
      <c r="L1882" s="211" t="s">
        <v>1922</v>
      </c>
      <c r="M1882" s="216">
        <v>4615520198</v>
      </c>
      <c r="N1882" s="212">
        <v>43642</v>
      </c>
      <c r="O1882" s="218">
        <v>3.8445</v>
      </c>
      <c r="P1882" s="219"/>
      <c r="Q1882" s="34">
        <f>SUMIF(Allocation[Delivery ID],Allocation[[#This Row],[Delivery ID]],Allocation[Quantity Processed])</f>
        <v>15180</v>
      </c>
      <c r="R1882" s="61">
        <f>Allocation[[#This Row],[Total volume used]]/VLOOKUP(Allocation[[#This Row],[Delivery ID]],Delivery[[Delivery ID]:[Quantity delivered]],3,FALSE)</f>
        <v>1</v>
      </c>
      <c r="S1882" s="34">
        <f>Allocation[[#This Row],[Quantity Processed]]/Allocation[[#This Row],[Dilution rate]]</f>
        <v>4655.5555555555557</v>
      </c>
      <c r="T1882" s="59">
        <f>SUMIF(Allocation[Delivery ID],Allocation[[#This Row],[Delivery ID]],Allocation[Quantity allocated])/SUMIF(Allocation[Delivery ID],Allocation[[#This Row],[Delivery ID]],Allocation[Volume available (kg)])</f>
        <v>0.80467869818017068</v>
      </c>
      <c r="U1882" s="61">
        <f>Allocation[[#This Row],[Total volume used]]/VLOOKUP(Allocation[[#This Row],[Delivery ID]],Delivery[[Delivery ID]:[Quantity delivered]],3,FALSE)</f>
        <v>1</v>
      </c>
      <c r="V1882" s="34" t="e">
        <f>VLOOKUP(Allocation[[#This Row],[SAP Contract number]],Shipments[[SAP Contract number]:[Contracted container weight]],2,FALSE)</f>
        <v>#N/A</v>
      </c>
      <c r="W1882" s="34" t="e">
        <f>VLOOKUP(Allocation[[#This Row],[SAP Contract number]],Shipments[[SAP Contract number]:[AAA Premium USD]],24,FALSE)</f>
        <v>#N/A</v>
      </c>
      <c r="X1882" s="34" t="e">
        <f>VLOOKUP(Allocation[[#This Row],[SAP Contract number]],Shipments[[SAP Contract number]:[RA Premium USD]],25,FALSE)</f>
        <v>#N/A</v>
      </c>
      <c r="Y1882" s="38">
        <f>Allocation[[#This Row],[Quantity Processed]]/Allocation[[#This Row],[Quantity allocated]]</f>
        <v>3.3333333333333335</v>
      </c>
      <c r="Z1882" s="34" t="b">
        <f>Allocation[[#This Row],[Quantity allocated]]&lt;=Allocation[[#This Row],[Quantity Processed]]</f>
        <v>1</v>
      </c>
    </row>
    <row r="1883" spans="1:26">
      <c r="A1883" s="247" t="s">
        <v>467</v>
      </c>
      <c r="B1883" s="210" t="s">
        <v>68</v>
      </c>
      <c r="C1883" s="254" t="s">
        <v>1495</v>
      </c>
      <c r="D1883" s="255">
        <v>12667</v>
      </c>
      <c r="E1883" s="211" t="s">
        <v>1918</v>
      </c>
      <c r="F1883" s="212">
        <v>43615</v>
      </c>
      <c r="G1883" s="213">
        <v>2.7</v>
      </c>
      <c r="H1883" s="256">
        <v>3800</v>
      </c>
      <c r="I1883" s="214">
        <v>1460302</v>
      </c>
      <c r="J1883" s="215">
        <v>19175</v>
      </c>
      <c r="K1883" s="212">
        <v>43626</v>
      </c>
      <c r="L1883" s="211" t="s">
        <v>1922</v>
      </c>
      <c r="M1883" s="216">
        <v>4615520198</v>
      </c>
      <c r="N1883" s="212">
        <v>43642</v>
      </c>
      <c r="O1883" s="218">
        <v>3.8445</v>
      </c>
      <c r="P1883" s="219"/>
      <c r="Q1883" s="34">
        <f>SUMIF(Allocation[Delivery ID],Allocation[[#This Row],[Delivery ID]],Allocation[Quantity Processed])</f>
        <v>15300</v>
      </c>
      <c r="R1883" s="61">
        <f>Allocation[[#This Row],[Total volume used]]/VLOOKUP(Allocation[[#This Row],[Delivery ID]],Delivery[[Delivery ID]:[Quantity delivered]],3,FALSE)</f>
        <v>1</v>
      </c>
      <c r="S1883" s="34">
        <f>Allocation[[#This Row],[Quantity Processed]]/Allocation[[#This Row],[Dilution rate]]</f>
        <v>4691.4814814814808</v>
      </c>
      <c r="T1883" s="59">
        <f>SUMIF(Allocation[Delivery ID],Allocation[[#This Row],[Delivery ID]],Allocation[Quantity allocated])/SUMIF(Allocation[Delivery ID],Allocation[[#This Row],[Delivery ID]],Allocation[Volume available (kg)])</f>
        <v>0.80467394045945273</v>
      </c>
      <c r="U1883" s="61">
        <f>Allocation[[#This Row],[Total volume used]]/VLOOKUP(Allocation[[#This Row],[Delivery ID]],Delivery[[Delivery ID]:[Quantity delivered]],3,FALSE)</f>
        <v>1</v>
      </c>
      <c r="V1883" s="34" t="e">
        <f>VLOOKUP(Allocation[[#This Row],[SAP Contract number]],Shipments[[SAP Contract number]:[Contracted container weight]],2,FALSE)</f>
        <v>#N/A</v>
      </c>
      <c r="W1883" s="34" t="e">
        <f>VLOOKUP(Allocation[[#This Row],[SAP Contract number]],Shipments[[SAP Contract number]:[AAA Premium USD]],24,FALSE)</f>
        <v>#N/A</v>
      </c>
      <c r="X1883" s="34" t="e">
        <f>VLOOKUP(Allocation[[#This Row],[SAP Contract number]],Shipments[[SAP Contract number]:[RA Premium USD]],25,FALSE)</f>
        <v>#N/A</v>
      </c>
      <c r="Y1883" s="38">
        <f>Allocation[[#This Row],[Quantity Processed]]/Allocation[[#This Row],[Quantity allocated]]</f>
        <v>3.3334210526315791</v>
      </c>
      <c r="Z1883" s="34" t="b">
        <f>Allocation[[#This Row],[Quantity allocated]]&lt;=Allocation[[#This Row],[Quantity Processed]]</f>
        <v>1</v>
      </c>
    </row>
    <row r="1884" spans="1:26">
      <c r="A1884" s="247" t="s">
        <v>467</v>
      </c>
      <c r="B1884" s="210" t="s">
        <v>68</v>
      </c>
      <c r="C1884" s="254" t="s">
        <v>1496</v>
      </c>
      <c r="D1884" s="255">
        <v>10157</v>
      </c>
      <c r="E1884" s="211" t="s">
        <v>1918</v>
      </c>
      <c r="F1884" s="212">
        <v>43615</v>
      </c>
      <c r="G1884" s="213">
        <v>2.7</v>
      </c>
      <c r="H1884" s="256">
        <v>3047</v>
      </c>
      <c r="I1884" s="214">
        <v>1460302</v>
      </c>
      <c r="J1884" s="215">
        <v>19175</v>
      </c>
      <c r="K1884" s="212">
        <v>43626</v>
      </c>
      <c r="L1884" s="211" t="s">
        <v>1922</v>
      </c>
      <c r="M1884" s="216">
        <v>4615520198</v>
      </c>
      <c r="N1884" s="212">
        <v>43642</v>
      </c>
      <c r="O1884" s="218">
        <v>3.8445</v>
      </c>
      <c r="P1884" s="219"/>
      <c r="Q1884" s="34">
        <f>SUMIF(Allocation[Delivery ID],Allocation[[#This Row],[Delivery ID]],Allocation[Quantity Processed])</f>
        <v>15580</v>
      </c>
      <c r="R1884" s="61">
        <f>Allocation[[#This Row],[Total volume used]]/VLOOKUP(Allocation[[#This Row],[Delivery ID]],Delivery[[Delivery ID]:[Quantity delivered]],3,FALSE)</f>
        <v>1</v>
      </c>
      <c r="S1884" s="34">
        <f>Allocation[[#This Row],[Quantity Processed]]/Allocation[[#This Row],[Dilution rate]]</f>
        <v>3761.8518518518517</v>
      </c>
      <c r="T1884" s="59">
        <f>SUMIF(Allocation[Delivery ID],Allocation[[#This Row],[Delivery ID]],Allocation[Quantity allocated])/SUMIF(Allocation[Delivery ID],Allocation[[#This Row],[Delivery ID]],Allocation[Volume available (kg)])</f>
        <v>0.80469601471489882</v>
      </c>
      <c r="U1884" s="61">
        <f>Allocation[[#This Row],[Total volume used]]/VLOOKUP(Allocation[[#This Row],[Delivery ID]],Delivery[[Delivery ID]:[Quantity delivered]],3,FALSE)</f>
        <v>1</v>
      </c>
      <c r="V1884" s="34" t="e">
        <f>VLOOKUP(Allocation[[#This Row],[SAP Contract number]],Shipments[[SAP Contract number]:[Contracted container weight]],2,FALSE)</f>
        <v>#N/A</v>
      </c>
      <c r="W1884" s="34" t="e">
        <f>VLOOKUP(Allocation[[#This Row],[SAP Contract number]],Shipments[[SAP Contract number]:[AAA Premium USD]],24,FALSE)</f>
        <v>#N/A</v>
      </c>
      <c r="X1884" s="34" t="e">
        <f>VLOOKUP(Allocation[[#This Row],[SAP Contract number]],Shipments[[SAP Contract number]:[RA Premium USD]],25,FALSE)</f>
        <v>#N/A</v>
      </c>
      <c r="Y1884" s="38">
        <f>Allocation[[#This Row],[Quantity Processed]]/Allocation[[#This Row],[Quantity allocated]]</f>
        <v>3.3334427305546441</v>
      </c>
      <c r="Z1884" s="34" t="b">
        <f>Allocation[[#This Row],[Quantity allocated]]&lt;=Allocation[[#This Row],[Quantity Processed]]</f>
        <v>1</v>
      </c>
    </row>
    <row r="1885" spans="1:26">
      <c r="A1885" s="247" t="s">
        <v>467</v>
      </c>
      <c r="B1885" s="210" t="s">
        <v>68</v>
      </c>
      <c r="C1885" s="254" t="s">
        <v>1496</v>
      </c>
      <c r="D1885" s="255">
        <v>2753</v>
      </c>
      <c r="E1885" s="211" t="s">
        <v>1918</v>
      </c>
      <c r="F1885" s="212">
        <v>43615</v>
      </c>
      <c r="G1885" s="213">
        <v>2.7</v>
      </c>
      <c r="H1885" s="256">
        <v>826</v>
      </c>
      <c r="I1885" s="214">
        <v>1460303</v>
      </c>
      <c r="J1885" s="215">
        <v>19175</v>
      </c>
      <c r="K1885" s="212">
        <v>43626</v>
      </c>
      <c r="L1885" s="211" t="s">
        <v>1923</v>
      </c>
      <c r="M1885" s="216">
        <v>4615520198</v>
      </c>
      <c r="N1885" s="212">
        <v>43642</v>
      </c>
      <c r="O1885" s="218">
        <v>3.8445</v>
      </c>
      <c r="P1885" s="219"/>
      <c r="Q1885" s="34">
        <f>SUMIF(Allocation[Delivery ID],Allocation[[#This Row],[Delivery ID]],Allocation[Quantity Processed])</f>
        <v>15580</v>
      </c>
      <c r="R1885" s="61">
        <f>Allocation[[#This Row],[Total volume used]]/VLOOKUP(Allocation[[#This Row],[Delivery ID]],Delivery[[Delivery ID]:[Quantity delivered]],3,FALSE)</f>
        <v>1</v>
      </c>
      <c r="S1885" s="34">
        <f>Allocation[[#This Row],[Quantity Processed]]/Allocation[[#This Row],[Dilution rate]]</f>
        <v>1019.6296296296296</v>
      </c>
      <c r="T1885" s="59">
        <f>SUMIF(Allocation[Delivery ID],Allocation[[#This Row],[Delivery ID]],Allocation[Quantity allocated])/SUMIF(Allocation[Delivery ID],Allocation[[#This Row],[Delivery ID]],Allocation[Volume available (kg)])</f>
        <v>0.80469601471489882</v>
      </c>
      <c r="U1885" s="61">
        <f>Allocation[[#This Row],[Total volume used]]/VLOOKUP(Allocation[[#This Row],[Delivery ID]],Delivery[[Delivery ID]:[Quantity delivered]],3,FALSE)</f>
        <v>1</v>
      </c>
      <c r="V1885" s="34" t="e">
        <f>VLOOKUP(Allocation[[#This Row],[SAP Contract number]],Shipments[[SAP Contract number]:[Contracted container weight]],2,FALSE)</f>
        <v>#N/A</v>
      </c>
      <c r="W1885" s="34" t="e">
        <f>VLOOKUP(Allocation[[#This Row],[SAP Contract number]],Shipments[[SAP Contract number]:[AAA Premium USD]],24,FALSE)</f>
        <v>#N/A</v>
      </c>
      <c r="X1885" s="34" t="e">
        <f>VLOOKUP(Allocation[[#This Row],[SAP Contract number]],Shipments[[SAP Contract number]:[RA Premium USD]],25,FALSE)</f>
        <v>#N/A</v>
      </c>
      <c r="Y1885" s="38">
        <f>Allocation[[#This Row],[Quantity Processed]]/Allocation[[#This Row],[Quantity allocated]]</f>
        <v>3.3329297820823243</v>
      </c>
      <c r="Z1885" s="34" t="b">
        <f>Allocation[[#This Row],[Quantity allocated]]&lt;=Allocation[[#This Row],[Quantity Processed]]</f>
        <v>1</v>
      </c>
    </row>
    <row r="1886" spans="1:26">
      <c r="A1886" s="247" t="s">
        <v>467</v>
      </c>
      <c r="B1886" s="210" t="s">
        <v>68</v>
      </c>
      <c r="C1886" s="254" t="s">
        <v>1497</v>
      </c>
      <c r="D1886" s="255">
        <v>11170</v>
      </c>
      <c r="E1886" s="211" t="s">
        <v>1918</v>
      </c>
      <c r="F1886" s="212">
        <v>43615</v>
      </c>
      <c r="G1886" s="213">
        <v>2.7</v>
      </c>
      <c r="H1886" s="256">
        <v>3351</v>
      </c>
      <c r="I1886" s="214">
        <v>1460303</v>
      </c>
      <c r="J1886" s="215">
        <v>19175</v>
      </c>
      <c r="K1886" s="212">
        <v>43626</v>
      </c>
      <c r="L1886" s="211" t="s">
        <v>1923</v>
      </c>
      <c r="M1886" s="216">
        <v>4615520198</v>
      </c>
      <c r="N1886" s="212">
        <v>43642</v>
      </c>
      <c r="O1886" s="218">
        <v>3.8445</v>
      </c>
      <c r="P1886" s="219"/>
      <c r="Q1886" s="34">
        <f>SUMIF(Allocation[Delivery ID],Allocation[[#This Row],[Delivery ID]],Allocation[Quantity Processed])</f>
        <v>13490</v>
      </c>
      <c r="R1886" s="61">
        <f>Allocation[[#This Row],[Total volume used]]/VLOOKUP(Allocation[[#This Row],[Delivery ID]],Delivery[[Delivery ID]:[Quantity delivered]],3,FALSE)</f>
        <v>1</v>
      </c>
      <c r="S1886" s="34">
        <f>Allocation[[#This Row],[Quantity Processed]]/Allocation[[#This Row],[Dilution rate]]</f>
        <v>4137.0370370370365</v>
      </c>
      <c r="T1886" s="59">
        <f>SUMIF(Allocation[Delivery ID],Allocation[[#This Row],[Delivery ID]],Allocation[Quantity allocated])/SUMIF(Allocation[Delivery ID],Allocation[[#This Row],[Delivery ID]],Allocation[Volume available (kg)])</f>
        <v>0.80467739194471199</v>
      </c>
      <c r="U1886" s="61">
        <f>Allocation[[#This Row],[Total volume used]]/VLOOKUP(Allocation[[#This Row],[Delivery ID]],Delivery[[Delivery ID]:[Quantity delivered]],3,FALSE)</f>
        <v>1</v>
      </c>
      <c r="V1886" s="34" t="e">
        <f>VLOOKUP(Allocation[[#This Row],[SAP Contract number]],Shipments[[SAP Contract number]:[Contracted container weight]],2,FALSE)</f>
        <v>#N/A</v>
      </c>
      <c r="W1886" s="34" t="e">
        <f>VLOOKUP(Allocation[[#This Row],[SAP Contract number]],Shipments[[SAP Contract number]:[AAA Premium USD]],24,FALSE)</f>
        <v>#N/A</v>
      </c>
      <c r="X1886" s="34" t="e">
        <f>VLOOKUP(Allocation[[#This Row],[SAP Contract number]],Shipments[[SAP Contract number]:[RA Premium USD]],25,FALSE)</f>
        <v>#N/A</v>
      </c>
      <c r="Y1886" s="38">
        <f>Allocation[[#This Row],[Quantity Processed]]/Allocation[[#This Row],[Quantity allocated]]</f>
        <v>3.3333333333333335</v>
      </c>
      <c r="Z1886" s="34" t="b">
        <f>Allocation[[#This Row],[Quantity allocated]]&lt;=Allocation[[#This Row],[Quantity Processed]]</f>
        <v>1</v>
      </c>
    </row>
    <row r="1887" spans="1:26">
      <c r="A1887" s="247" t="s">
        <v>467</v>
      </c>
      <c r="B1887" s="210" t="s">
        <v>68</v>
      </c>
      <c r="C1887" s="254" t="s">
        <v>1498</v>
      </c>
      <c r="D1887" s="255">
        <v>11413</v>
      </c>
      <c r="E1887" s="211" t="s">
        <v>1918</v>
      </c>
      <c r="F1887" s="212">
        <v>43615</v>
      </c>
      <c r="G1887" s="213">
        <v>2.7</v>
      </c>
      <c r="H1887" s="256">
        <v>3424</v>
      </c>
      <c r="I1887" s="214">
        <v>1460303</v>
      </c>
      <c r="J1887" s="215">
        <v>19175</v>
      </c>
      <c r="K1887" s="212">
        <v>43626</v>
      </c>
      <c r="L1887" s="211" t="s">
        <v>1923</v>
      </c>
      <c r="M1887" s="216">
        <v>4615520198</v>
      </c>
      <c r="N1887" s="212">
        <v>43642</v>
      </c>
      <c r="O1887" s="218">
        <v>3.8445</v>
      </c>
      <c r="P1887" s="219"/>
      <c r="Q1887" s="34">
        <f>SUMIF(Allocation[Delivery ID],Allocation[[#This Row],[Delivery ID]],Allocation[Quantity Processed])</f>
        <v>13810</v>
      </c>
      <c r="R1887" s="61">
        <f>Allocation[[#This Row],[Total volume used]]/VLOOKUP(Allocation[[#This Row],[Delivery ID]],Delivery[[Delivery ID]:[Quantity delivered]],3,FALSE)</f>
        <v>1</v>
      </c>
      <c r="S1887" s="34">
        <f>Allocation[[#This Row],[Quantity Processed]]/Allocation[[#This Row],[Dilution rate]]</f>
        <v>4227.0370370370365</v>
      </c>
      <c r="T1887" s="59">
        <f>SUMIF(Allocation[Delivery ID],Allocation[[#This Row],[Delivery ID]],Allocation[Quantity allocated])/SUMIF(Allocation[Delivery ID],Allocation[[#This Row],[Delivery ID]],Allocation[Volume available (kg)])</f>
        <v>0.80482270366876285</v>
      </c>
      <c r="U1887" s="61">
        <f>Allocation[[#This Row],[Total volume used]]/VLOOKUP(Allocation[[#This Row],[Delivery ID]],Delivery[[Delivery ID]:[Quantity delivered]],3,FALSE)</f>
        <v>1</v>
      </c>
      <c r="V1887" s="34" t="e">
        <f>VLOOKUP(Allocation[[#This Row],[SAP Contract number]],Shipments[[SAP Contract number]:[Contracted container weight]],2,FALSE)</f>
        <v>#N/A</v>
      </c>
      <c r="W1887" s="34" t="e">
        <f>VLOOKUP(Allocation[[#This Row],[SAP Contract number]],Shipments[[SAP Contract number]:[AAA Premium USD]],24,FALSE)</f>
        <v>#N/A</v>
      </c>
      <c r="X1887" s="34" t="e">
        <f>VLOOKUP(Allocation[[#This Row],[SAP Contract number]],Shipments[[SAP Contract number]:[RA Premium USD]],25,FALSE)</f>
        <v>#N/A</v>
      </c>
      <c r="Y1887" s="38">
        <f>Allocation[[#This Row],[Quantity Processed]]/Allocation[[#This Row],[Quantity allocated]]</f>
        <v>3.3332359813084111</v>
      </c>
      <c r="Z1887" s="34" t="b">
        <f>Allocation[[#This Row],[Quantity allocated]]&lt;=Allocation[[#This Row],[Quantity Processed]]</f>
        <v>1</v>
      </c>
    </row>
    <row r="1888" spans="1:26">
      <c r="A1888" s="247" t="s">
        <v>467</v>
      </c>
      <c r="B1888" s="210" t="s">
        <v>68</v>
      </c>
      <c r="C1888" s="254" t="s">
        <v>1499</v>
      </c>
      <c r="D1888" s="255">
        <v>10807</v>
      </c>
      <c r="E1888" s="211" t="s">
        <v>1918</v>
      </c>
      <c r="F1888" s="212">
        <v>43615</v>
      </c>
      <c r="G1888" s="213">
        <v>2.7</v>
      </c>
      <c r="H1888" s="256">
        <v>3242</v>
      </c>
      <c r="I1888" s="214">
        <v>1460303</v>
      </c>
      <c r="J1888" s="215">
        <v>19175</v>
      </c>
      <c r="K1888" s="212">
        <v>43626</v>
      </c>
      <c r="L1888" s="211" t="s">
        <v>1923</v>
      </c>
      <c r="M1888" s="216">
        <v>4615520198</v>
      </c>
      <c r="N1888" s="212">
        <v>43642</v>
      </c>
      <c r="O1888" s="218">
        <v>3.8445</v>
      </c>
      <c r="P1888" s="219"/>
      <c r="Q1888" s="34">
        <f>SUMIF(Allocation[Delivery ID],Allocation[[#This Row],[Delivery ID]],Allocation[Quantity Processed])</f>
        <v>13100</v>
      </c>
      <c r="R1888" s="61">
        <f>Allocation[[#This Row],[Total volume used]]/VLOOKUP(Allocation[[#This Row],[Delivery ID]],Delivery[[Delivery ID]:[Quantity delivered]],3,FALSE)</f>
        <v>1</v>
      </c>
      <c r="S1888" s="34">
        <f>Allocation[[#This Row],[Quantity Processed]]/Allocation[[#This Row],[Dilution rate]]</f>
        <v>4002.5925925925922</v>
      </c>
      <c r="T1888" s="59">
        <f>SUMIF(Allocation[Delivery ID],Allocation[[#This Row],[Delivery ID]],Allocation[Quantity allocated])/SUMIF(Allocation[Delivery ID],Allocation[[#This Row],[Delivery ID]],Allocation[Volume available (kg)])</f>
        <v>0.8045833539908952</v>
      </c>
      <c r="U1888" s="61">
        <f>Allocation[[#This Row],[Total volume used]]/VLOOKUP(Allocation[[#This Row],[Delivery ID]],Delivery[[Delivery ID]:[Quantity delivered]],3,FALSE)</f>
        <v>1</v>
      </c>
      <c r="V1888" s="34" t="e">
        <f>VLOOKUP(Allocation[[#This Row],[SAP Contract number]],Shipments[[SAP Contract number]:[Contracted container weight]],2,FALSE)</f>
        <v>#N/A</v>
      </c>
      <c r="W1888" s="34" t="e">
        <f>VLOOKUP(Allocation[[#This Row],[SAP Contract number]],Shipments[[SAP Contract number]:[AAA Premium USD]],24,FALSE)</f>
        <v>#N/A</v>
      </c>
      <c r="X1888" s="34" t="e">
        <f>VLOOKUP(Allocation[[#This Row],[SAP Contract number]],Shipments[[SAP Contract number]:[RA Premium USD]],25,FALSE)</f>
        <v>#N/A</v>
      </c>
      <c r="Y1888" s="38">
        <f>Allocation[[#This Row],[Quantity Processed]]/Allocation[[#This Row],[Quantity allocated]]</f>
        <v>3.3334361505243675</v>
      </c>
      <c r="Z1888" s="34" t="b">
        <f>Allocation[[#This Row],[Quantity allocated]]&lt;=Allocation[[#This Row],[Quantity Processed]]</f>
        <v>1</v>
      </c>
    </row>
    <row r="1889" spans="1:26">
      <c r="A1889" s="247" t="s">
        <v>467</v>
      </c>
      <c r="B1889" s="210" t="s">
        <v>68</v>
      </c>
      <c r="C1889" s="254" t="s">
        <v>1500</v>
      </c>
      <c r="D1889" s="255">
        <v>9270</v>
      </c>
      <c r="E1889" s="211" t="s">
        <v>1918</v>
      </c>
      <c r="F1889" s="212">
        <v>43615</v>
      </c>
      <c r="G1889" s="213">
        <v>2.7</v>
      </c>
      <c r="H1889" s="256">
        <v>2781</v>
      </c>
      <c r="I1889" s="214">
        <v>1460303</v>
      </c>
      <c r="J1889" s="215">
        <v>19175</v>
      </c>
      <c r="K1889" s="212">
        <v>43626</v>
      </c>
      <c r="L1889" s="211" t="s">
        <v>1923</v>
      </c>
      <c r="M1889" s="216">
        <v>4615520198</v>
      </c>
      <c r="N1889" s="212">
        <v>43642</v>
      </c>
      <c r="O1889" s="218">
        <v>3.8445</v>
      </c>
      <c r="P1889" s="219"/>
      <c r="Q1889" s="34">
        <f>SUMIF(Allocation[Delivery ID],Allocation[[#This Row],[Delivery ID]],Allocation[Quantity Processed])</f>
        <v>11190</v>
      </c>
      <c r="R1889" s="61">
        <f>Allocation[[#This Row],[Total volume used]]/VLOOKUP(Allocation[[#This Row],[Delivery ID]],Delivery[[Delivery ID]:[Quantity delivered]],3,FALSE)</f>
        <v>1</v>
      </c>
      <c r="S1889" s="34">
        <f>Allocation[[#This Row],[Quantity Processed]]/Allocation[[#This Row],[Dilution rate]]</f>
        <v>3433.333333333333</v>
      </c>
      <c r="T1889" s="59">
        <f>SUMIF(Allocation[Delivery ID],Allocation[[#This Row],[Delivery ID]],Allocation[Quantity allocated])/SUMIF(Allocation[Delivery ID],Allocation[[#This Row],[Delivery ID]],Allocation[Volume available (kg)])</f>
        <v>0.80468961278426565</v>
      </c>
      <c r="U1889" s="61">
        <f>Allocation[[#This Row],[Total volume used]]/VLOOKUP(Allocation[[#This Row],[Delivery ID]],Delivery[[Delivery ID]:[Quantity delivered]],3,FALSE)</f>
        <v>1</v>
      </c>
      <c r="V1889" s="34" t="e">
        <f>VLOOKUP(Allocation[[#This Row],[SAP Contract number]],Shipments[[SAP Contract number]:[Contracted container weight]],2,FALSE)</f>
        <v>#N/A</v>
      </c>
      <c r="W1889" s="34" t="e">
        <f>VLOOKUP(Allocation[[#This Row],[SAP Contract number]],Shipments[[SAP Contract number]:[AAA Premium USD]],24,FALSE)</f>
        <v>#N/A</v>
      </c>
      <c r="X1889" s="34" t="e">
        <f>VLOOKUP(Allocation[[#This Row],[SAP Contract number]],Shipments[[SAP Contract number]:[RA Premium USD]],25,FALSE)</f>
        <v>#N/A</v>
      </c>
      <c r="Y1889" s="38">
        <f>Allocation[[#This Row],[Quantity Processed]]/Allocation[[#This Row],[Quantity allocated]]</f>
        <v>3.3333333333333335</v>
      </c>
      <c r="Z1889" s="34" t="b">
        <f>Allocation[[#This Row],[Quantity allocated]]&lt;=Allocation[[#This Row],[Quantity Processed]]</f>
        <v>1</v>
      </c>
    </row>
    <row r="1890" spans="1:26">
      <c r="A1890" s="247" t="s">
        <v>467</v>
      </c>
      <c r="B1890" s="210" t="s">
        <v>68</v>
      </c>
      <c r="C1890" s="254" t="s">
        <v>1501</v>
      </c>
      <c r="D1890" s="255">
        <v>6975</v>
      </c>
      <c r="E1890" s="211" t="s">
        <v>1918</v>
      </c>
      <c r="F1890" s="212">
        <v>43615</v>
      </c>
      <c r="G1890" s="213">
        <v>2.7</v>
      </c>
      <c r="H1890" s="256">
        <v>3348</v>
      </c>
      <c r="I1890" s="214">
        <v>1460303</v>
      </c>
      <c r="J1890" s="215">
        <v>19175</v>
      </c>
      <c r="K1890" s="212">
        <v>43626</v>
      </c>
      <c r="L1890" s="211" t="s">
        <v>1923</v>
      </c>
      <c r="M1890" s="216">
        <v>4615520198</v>
      </c>
      <c r="N1890" s="212">
        <v>43642</v>
      </c>
      <c r="O1890" s="218">
        <v>3.8445</v>
      </c>
      <c r="P1890" s="219"/>
      <c r="Q1890" s="34">
        <f>SUMIF(Allocation[Delivery ID],Allocation[[#This Row],[Delivery ID]],Allocation[Quantity Processed])</f>
        <v>12894</v>
      </c>
      <c r="R1890" s="61">
        <f>Allocation[[#This Row],[Total volume used]]/VLOOKUP(Allocation[[#This Row],[Delivery ID]],Delivery[[Delivery ID]:[Quantity delivered]],3,FALSE)</f>
        <v>0.95511111111111113</v>
      </c>
      <c r="S1890" s="34">
        <f>Allocation[[#This Row],[Quantity Processed]]/Allocation[[#This Row],[Dilution rate]]</f>
        <v>2583.333333333333</v>
      </c>
      <c r="T1890" s="59">
        <f>SUMIF(Allocation[Delivery ID],Allocation[[#This Row],[Delivery ID]],Allocation[Quantity allocated])/SUMIF(Allocation[Delivery ID],Allocation[[#This Row],[Delivery ID]],Allocation[Volume available (kg)])</f>
        <v>1.2734903843617276</v>
      </c>
      <c r="U1890" s="61">
        <f>Allocation[[#This Row],[Total volume used]]/VLOOKUP(Allocation[[#This Row],[Delivery ID]],Delivery[[Delivery ID]:[Quantity delivered]],3,FALSE)</f>
        <v>0.95511111111111113</v>
      </c>
      <c r="V1890" s="34" t="e">
        <f>VLOOKUP(Allocation[[#This Row],[SAP Contract number]],Shipments[[SAP Contract number]:[Contracted container weight]],2,FALSE)</f>
        <v>#N/A</v>
      </c>
      <c r="W1890" s="34" t="e">
        <f>VLOOKUP(Allocation[[#This Row],[SAP Contract number]],Shipments[[SAP Contract number]:[AAA Premium USD]],24,FALSE)</f>
        <v>#N/A</v>
      </c>
      <c r="X1890" s="34" t="e">
        <f>VLOOKUP(Allocation[[#This Row],[SAP Contract number]],Shipments[[SAP Contract number]:[RA Premium USD]],25,FALSE)</f>
        <v>#N/A</v>
      </c>
      <c r="Y1890" s="38">
        <f>Allocation[[#This Row],[Quantity Processed]]/Allocation[[#This Row],[Quantity allocated]]</f>
        <v>2.0833333333333335</v>
      </c>
      <c r="Z1890" s="34" t="b">
        <f>Allocation[[#This Row],[Quantity allocated]]&lt;=Allocation[[#This Row],[Quantity Processed]]</f>
        <v>1</v>
      </c>
    </row>
    <row r="1891" spans="1:26">
      <c r="A1891" s="247" t="s">
        <v>467</v>
      </c>
      <c r="B1891" s="210" t="s">
        <v>68</v>
      </c>
      <c r="C1891" s="254" t="s">
        <v>1503</v>
      </c>
      <c r="D1891" s="255">
        <v>100</v>
      </c>
      <c r="E1891" s="211" t="s">
        <v>1918</v>
      </c>
      <c r="F1891" s="212">
        <v>43615</v>
      </c>
      <c r="G1891" s="213">
        <v>2.7</v>
      </c>
      <c r="H1891" s="256">
        <v>48</v>
      </c>
      <c r="I1891" s="214">
        <v>1460303</v>
      </c>
      <c r="J1891" s="215">
        <v>19175</v>
      </c>
      <c r="K1891" s="212">
        <v>43626</v>
      </c>
      <c r="L1891" s="211" t="s">
        <v>1923</v>
      </c>
      <c r="M1891" s="216">
        <v>4615520198</v>
      </c>
      <c r="N1891" s="212">
        <v>43642</v>
      </c>
      <c r="O1891" s="218">
        <v>3.8445</v>
      </c>
      <c r="P1891" s="219"/>
      <c r="Q1891" s="34">
        <f>SUMIF(Allocation[Delivery ID],Allocation[[#This Row],[Delivery ID]],Allocation[Quantity Processed])</f>
        <v>100</v>
      </c>
      <c r="R1891" s="61">
        <f>Allocation[[#This Row],[Total volume used]]/VLOOKUP(Allocation[[#This Row],[Delivery ID]],Delivery[[Delivery ID]:[Quantity delivered]],3,FALSE)</f>
        <v>1</v>
      </c>
      <c r="S1891" s="34">
        <f>Allocation[[#This Row],[Quantity Processed]]/Allocation[[#This Row],[Dilution rate]]</f>
        <v>37.037037037037038</v>
      </c>
      <c r="T1891" s="59">
        <f>SUMIF(Allocation[Delivery ID],Allocation[[#This Row],[Delivery ID]],Allocation[Quantity allocated])/SUMIF(Allocation[Delivery ID],Allocation[[#This Row],[Delivery ID]],Allocation[Volume available (kg)])</f>
        <v>1.296</v>
      </c>
      <c r="U1891" s="61">
        <f>Allocation[[#This Row],[Total volume used]]/VLOOKUP(Allocation[[#This Row],[Delivery ID]],Delivery[[Delivery ID]:[Quantity delivered]],3,FALSE)</f>
        <v>1</v>
      </c>
      <c r="V1891" s="34" t="e">
        <f>VLOOKUP(Allocation[[#This Row],[SAP Contract number]],Shipments[[SAP Contract number]:[Contracted container weight]],2,FALSE)</f>
        <v>#N/A</v>
      </c>
      <c r="W1891" s="34" t="e">
        <f>VLOOKUP(Allocation[[#This Row],[SAP Contract number]],Shipments[[SAP Contract number]:[AAA Premium USD]],24,FALSE)</f>
        <v>#N/A</v>
      </c>
      <c r="X1891" s="34" t="e">
        <f>VLOOKUP(Allocation[[#This Row],[SAP Contract number]],Shipments[[SAP Contract number]:[RA Premium USD]],25,FALSE)</f>
        <v>#N/A</v>
      </c>
      <c r="Y1891" s="38">
        <f>Allocation[[#This Row],[Quantity Processed]]/Allocation[[#This Row],[Quantity allocated]]</f>
        <v>2.0833333333333335</v>
      </c>
      <c r="Z1891" s="34" t="b">
        <f>Allocation[[#This Row],[Quantity allocated]]&lt;=Allocation[[#This Row],[Quantity Processed]]</f>
        <v>1</v>
      </c>
    </row>
    <row r="1892" spans="1:26">
      <c r="A1892" s="247" t="s">
        <v>467</v>
      </c>
      <c r="B1892" s="210" t="s">
        <v>68</v>
      </c>
      <c r="C1892" s="254" t="s">
        <v>1504</v>
      </c>
      <c r="D1892" s="255">
        <v>4490</v>
      </c>
      <c r="E1892" s="211" t="s">
        <v>1918</v>
      </c>
      <c r="F1892" s="212">
        <v>43615</v>
      </c>
      <c r="G1892" s="213">
        <v>2.7</v>
      </c>
      <c r="H1892" s="256">
        <v>2155</v>
      </c>
      <c r="I1892" s="214">
        <v>1460303</v>
      </c>
      <c r="J1892" s="215">
        <v>19175</v>
      </c>
      <c r="K1892" s="212">
        <v>43626</v>
      </c>
      <c r="L1892" s="211" t="s">
        <v>1923</v>
      </c>
      <c r="M1892" s="216">
        <v>4615520198</v>
      </c>
      <c r="N1892" s="212">
        <v>43642</v>
      </c>
      <c r="O1892" s="218">
        <v>3.8445</v>
      </c>
      <c r="P1892" s="219"/>
      <c r="Q1892" s="34">
        <f>SUMIF(Allocation[Delivery ID],Allocation[[#This Row],[Delivery ID]],Allocation[Quantity Processed])</f>
        <v>12550</v>
      </c>
      <c r="R1892" s="61">
        <f>Allocation[[#This Row],[Total volume used]]/VLOOKUP(Allocation[[#This Row],[Delivery ID]],Delivery[[Delivery ID]:[Quantity delivered]],3,FALSE)</f>
        <v>0.95509893455098938</v>
      </c>
      <c r="S1892" s="34">
        <f>Allocation[[#This Row],[Quantity Processed]]/Allocation[[#This Row],[Dilution rate]]</f>
        <v>1662.9629629629628</v>
      </c>
      <c r="T1892" s="59">
        <f>SUMIF(Allocation[Delivery ID],Allocation[[#This Row],[Delivery ID]],Allocation[Quantity allocated])/SUMIF(Allocation[Delivery ID],Allocation[[#This Row],[Delivery ID]],Allocation[Volume available (kg)])</f>
        <v>1.273519243510209</v>
      </c>
      <c r="U1892" s="61">
        <f>Allocation[[#This Row],[Total volume used]]/VLOOKUP(Allocation[[#This Row],[Delivery ID]],Delivery[[Delivery ID]:[Quantity delivered]],3,FALSE)</f>
        <v>0.95509893455098938</v>
      </c>
      <c r="V1892" s="34" t="e">
        <f>VLOOKUP(Allocation[[#This Row],[SAP Contract number]],Shipments[[SAP Contract number]:[Contracted container weight]],2,FALSE)</f>
        <v>#N/A</v>
      </c>
      <c r="W1892" s="34" t="e">
        <f>VLOOKUP(Allocation[[#This Row],[SAP Contract number]],Shipments[[SAP Contract number]:[AAA Premium USD]],24,FALSE)</f>
        <v>#N/A</v>
      </c>
      <c r="X1892" s="34" t="e">
        <f>VLOOKUP(Allocation[[#This Row],[SAP Contract number]],Shipments[[SAP Contract number]:[RA Premium USD]],25,FALSE)</f>
        <v>#N/A</v>
      </c>
      <c r="Y1892" s="38">
        <f>Allocation[[#This Row],[Quantity Processed]]/Allocation[[#This Row],[Quantity allocated]]</f>
        <v>2.0835266821345706</v>
      </c>
      <c r="Z1892" s="34" t="b">
        <f>Allocation[[#This Row],[Quantity allocated]]&lt;=Allocation[[#This Row],[Quantity Processed]]</f>
        <v>1</v>
      </c>
    </row>
    <row r="1893" spans="1:26">
      <c r="A1893" s="247" t="s">
        <v>467</v>
      </c>
      <c r="B1893" s="210" t="s">
        <v>68</v>
      </c>
      <c r="C1893" s="254" t="s">
        <v>1504</v>
      </c>
      <c r="D1893" s="255">
        <v>2300</v>
      </c>
      <c r="E1893" s="211" t="s">
        <v>1918</v>
      </c>
      <c r="F1893" s="212">
        <v>43615</v>
      </c>
      <c r="G1893" s="213">
        <v>2.7</v>
      </c>
      <c r="H1893" s="256">
        <v>1104</v>
      </c>
      <c r="I1893" s="214">
        <v>1460304</v>
      </c>
      <c r="J1893" s="215">
        <v>19175</v>
      </c>
      <c r="K1893" s="212">
        <v>43626</v>
      </c>
      <c r="L1893" s="211" t="s">
        <v>1924</v>
      </c>
      <c r="M1893" s="216">
        <v>4615520198</v>
      </c>
      <c r="N1893" s="212">
        <v>43642</v>
      </c>
      <c r="O1893" s="218">
        <v>3.8445</v>
      </c>
      <c r="P1893" s="219"/>
      <c r="Q1893" s="34">
        <f>SUMIF(Allocation[Delivery ID],Allocation[[#This Row],[Delivery ID]],Allocation[Quantity Processed])</f>
        <v>12550</v>
      </c>
      <c r="R1893" s="61">
        <f>Allocation[[#This Row],[Total volume used]]/VLOOKUP(Allocation[[#This Row],[Delivery ID]],Delivery[[Delivery ID]:[Quantity delivered]],3,FALSE)</f>
        <v>0.95509893455098938</v>
      </c>
      <c r="S1893" s="34">
        <f>Allocation[[#This Row],[Quantity Processed]]/Allocation[[#This Row],[Dilution rate]]</f>
        <v>851.85185185185185</v>
      </c>
      <c r="T1893" s="59">
        <f>SUMIF(Allocation[Delivery ID],Allocation[[#This Row],[Delivery ID]],Allocation[Quantity allocated])/SUMIF(Allocation[Delivery ID],Allocation[[#This Row],[Delivery ID]],Allocation[Volume available (kg)])</f>
        <v>1.273519243510209</v>
      </c>
      <c r="U1893" s="61">
        <f>Allocation[[#This Row],[Total volume used]]/VLOOKUP(Allocation[[#This Row],[Delivery ID]],Delivery[[Delivery ID]:[Quantity delivered]],3,FALSE)</f>
        <v>0.95509893455098938</v>
      </c>
      <c r="V1893" s="34" t="e">
        <f>VLOOKUP(Allocation[[#This Row],[SAP Contract number]],Shipments[[SAP Contract number]:[Contracted container weight]],2,FALSE)</f>
        <v>#N/A</v>
      </c>
      <c r="W1893" s="34" t="e">
        <f>VLOOKUP(Allocation[[#This Row],[SAP Contract number]],Shipments[[SAP Contract number]:[AAA Premium USD]],24,FALSE)</f>
        <v>#N/A</v>
      </c>
      <c r="X1893" s="34" t="e">
        <f>VLOOKUP(Allocation[[#This Row],[SAP Contract number]],Shipments[[SAP Contract number]:[RA Premium USD]],25,FALSE)</f>
        <v>#N/A</v>
      </c>
      <c r="Y1893" s="38">
        <f>Allocation[[#This Row],[Quantity Processed]]/Allocation[[#This Row],[Quantity allocated]]</f>
        <v>2.0833333333333335</v>
      </c>
      <c r="Z1893" s="34" t="b">
        <f>Allocation[[#This Row],[Quantity allocated]]&lt;=Allocation[[#This Row],[Quantity Processed]]</f>
        <v>1</v>
      </c>
    </row>
    <row r="1894" spans="1:26">
      <c r="A1894" s="247" t="s">
        <v>467</v>
      </c>
      <c r="B1894" s="210" t="s">
        <v>68</v>
      </c>
      <c r="C1894" s="254" t="s">
        <v>1505</v>
      </c>
      <c r="D1894" s="255">
        <v>6827</v>
      </c>
      <c r="E1894" s="211" t="s">
        <v>1918</v>
      </c>
      <c r="F1894" s="212">
        <v>43615</v>
      </c>
      <c r="G1894" s="213">
        <v>2.7</v>
      </c>
      <c r="H1894" s="256">
        <v>3277</v>
      </c>
      <c r="I1894" s="214">
        <v>1460304</v>
      </c>
      <c r="J1894" s="215">
        <v>19175</v>
      </c>
      <c r="K1894" s="212">
        <v>43626</v>
      </c>
      <c r="L1894" s="211" t="s">
        <v>1924</v>
      </c>
      <c r="M1894" s="216">
        <v>4615520198</v>
      </c>
      <c r="N1894" s="212">
        <v>43642</v>
      </c>
      <c r="O1894" s="218">
        <v>3.8445</v>
      </c>
      <c r="P1894" s="219"/>
      <c r="Q1894" s="34">
        <f>SUMIF(Allocation[Delivery ID],Allocation[[#This Row],[Delivery ID]],Allocation[Quantity Processed])</f>
        <v>12621</v>
      </c>
      <c r="R1894" s="61">
        <f>Allocation[[#This Row],[Total volume used]]/VLOOKUP(Allocation[[#This Row],[Delivery ID]],Delivery[[Delivery ID]:[Quantity delivered]],3,FALSE)</f>
        <v>0.75710857828434308</v>
      </c>
      <c r="S1894" s="34">
        <f>Allocation[[#This Row],[Quantity Processed]]/Allocation[[#This Row],[Dilution rate]]</f>
        <v>2528.5185185185182</v>
      </c>
      <c r="T1894" s="59">
        <f>SUMIF(Allocation[Delivery ID],Allocation[[#This Row],[Delivery ID]],Allocation[Quantity allocated])/SUMIF(Allocation[Delivery ID],Allocation[[#This Row],[Delivery ID]],Allocation[Volume available (kg)])</f>
        <v>1.2734970353955799</v>
      </c>
      <c r="U1894" s="61">
        <f>Allocation[[#This Row],[Total volume used]]/VLOOKUP(Allocation[[#This Row],[Delivery ID]],Delivery[[Delivery ID]:[Quantity delivered]],3,FALSE)</f>
        <v>0.75710857828434308</v>
      </c>
      <c r="V1894" s="34" t="e">
        <f>VLOOKUP(Allocation[[#This Row],[SAP Contract number]],Shipments[[SAP Contract number]:[Contracted container weight]],2,FALSE)</f>
        <v>#N/A</v>
      </c>
      <c r="W1894" s="34" t="e">
        <f>VLOOKUP(Allocation[[#This Row],[SAP Contract number]],Shipments[[SAP Contract number]:[AAA Premium USD]],24,FALSE)</f>
        <v>#N/A</v>
      </c>
      <c r="X1894" s="34" t="e">
        <f>VLOOKUP(Allocation[[#This Row],[SAP Contract number]],Shipments[[SAP Contract number]:[RA Premium USD]],25,FALSE)</f>
        <v>#N/A</v>
      </c>
      <c r="Y1894" s="38">
        <f>Allocation[[#This Row],[Quantity Processed]]/Allocation[[#This Row],[Quantity allocated]]</f>
        <v>2.0833079035703386</v>
      </c>
      <c r="Z1894" s="34" t="b">
        <f>Allocation[[#This Row],[Quantity allocated]]&lt;=Allocation[[#This Row],[Quantity Processed]]</f>
        <v>1</v>
      </c>
    </row>
    <row r="1895" spans="1:26">
      <c r="A1895" s="247" t="s">
        <v>467</v>
      </c>
      <c r="B1895" s="210" t="s">
        <v>68</v>
      </c>
      <c r="C1895" s="254" t="s">
        <v>1506</v>
      </c>
      <c r="D1895" s="255">
        <v>6915</v>
      </c>
      <c r="E1895" s="211" t="s">
        <v>1918</v>
      </c>
      <c r="F1895" s="212">
        <v>43615</v>
      </c>
      <c r="G1895" s="213">
        <v>2.7</v>
      </c>
      <c r="H1895" s="256">
        <v>3319</v>
      </c>
      <c r="I1895" s="214">
        <v>1460304</v>
      </c>
      <c r="J1895" s="215">
        <v>19175</v>
      </c>
      <c r="K1895" s="212">
        <v>43626</v>
      </c>
      <c r="L1895" s="211" t="s">
        <v>1924</v>
      </c>
      <c r="M1895" s="216">
        <v>4615520198</v>
      </c>
      <c r="N1895" s="212">
        <v>43642</v>
      </c>
      <c r="O1895" s="218">
        <v>3.8445</v>
      </c>
      <c r="P1895" s="219"/>
      <c r="Q1895" s="34">
        <f>SUMIF(Allocation[Delivery ID],Allocation[[#This Row],[Delivery ID]],Allocation[Quantity Processed])</f>
        <v>12782</v>
      </c>
      <c r="R1895" s="61">
        <f>Allocation[[#This Row],[Total volume used]]/VLOOKUP(Allocation[[#This Row],[Delivery ID]],Delivery[[Delivery ID]:[Quantity delivered]],3,FALSE)</f>
        <v>0.71367950865438301</v>
      </c>
      <c r="S1895" s="34">
        <f>Allocation[[#This Row],[Quantity Processed]]/Allocation[[#This Row],[Dilution rate]]</f>
        <v>2561.1111111111109</v>
      </c>
      <c r="T1895" s="59">
        <f>SUMIF(Allocation[Delivery ID],Allocation[[#This Row],[Delivery ID]],Allocation[Quantity allocated])/SUMIF(Allocation[Delivery ID],Allocation[[#This Row],[Delivery ID]],Allocation[Volume available (kg)])</f>
        <v>1.2734425589667622</v>
      </c>
      <c r="U1895" s="61">
        <f>Allocation[[#This Row],[Total volume used]]/VLOOKUP(Allocation[[#This Row],[Delivery ID]],Delivery[[Delivery ID]:[Quantity delivered]],3,FALSE)</f>
        <v>0.71367950865438301</v>
      </c>
      <c r="V1895" s="34" t="e">
        <f>VLOOKUP(Allocation[[#This Row],[SAP Contract number]],Shipments[[SAP Contract number]:[Contracted container weight]],2,FALSE)</f>
        <v>#N/A</v>
      </c>
      <c r="W1895" s="34" t="e">
        <f>VLOOKUP(Allocation[[#This Row],[SAP Contract number]],Shipments[[SAP Contract number]:[AAA Premium USD]],24,FALSE)</f>
        <v>#N/A</v>
      </c>
      <c r="X1895" s="34" t="e">
        <f>VLOOKUP(Allocation[[#This Row],[SAP Contract number]],Shipments[[SAP Contract number]:[RA Premium USD]],25,FALSE)</f>
        <v>#N/A</v>
      </c>
      <c r="Y1895" s="38">
        <f>Allocation[[#This Row],[Quantity Processed]]/Allocation[[#This Row],[Quantity allocated]]</f>
        <v>2.0834588731545645</v>
      </c>
      <c r="Z1895" s="34" t="b">
        <f>Allocation[[#This Row],[Quantity allocated]]&lt;=Allocation[[#This Row],[Quantity Processed]]</f>
        <v>1</v>
      </c>
    </row>
    <row r="1896" spans="1:26">
      <c r="A1896" s="247" t="s">
        <v>467</v>
      </c>
      <c r="B1896" s="210" t="s">
        <v>68</v>
      </c>
      <c r="C1896" s="254" t="s">
        <v>1507</v>
      </c>
      <c r="D1896" s="255">
        <v>3998</v>
      </c>
      <c r="E1896" s="211" t="s">
        <v>1918</v>
      </c>
      <c r="F1896" s="212">
        <v>43615</v>
      </c>
      <c r="G1896" s="213">
        <v>2.7</v>
      </c>
      <c r="H1896" s="256">
        <v>1919</v>
      </c>
      <c r="I1896" s="214">
        <v>1460304</v>
      </c>
      <c r="J1896" s="215">
        <v>19175</v>
      </c>
      <c r="K1896" s="212">
        <v>43626</v>
      </c>
      <c r="L1896" s="211" t="s">
        <v>1924</v>
      </c>
      <c r="M1896" s="216">
        <v>4615520198</v>
      </c>
      <c r="N1896" s="212">
        <v>43642</v>
      </c>
      <c r="O1896" s="218">
        <v>3.8445</v>
      </c>
      <c r="P1896" s="219"/>
      <c r="Q1896" s="34">
        <f>SUMIF(Allocation[Delivery ID],Allocation[[#This Row],[Delivery ID]],Allocation[Quantity Processed])</f>
        <v>7390</v>
      </c>
      <c r="R1896" s="61">
        <f>Allocation[[#This Row],[Total volume used]]/VLOOKUP(Allocation[[#This Row],[Delivery ID]],Delivery[[Delivery ID]:[Quantity delivered]],3,FALSE)</f>
        <v>0.7147001934235977</v>
      </c>
      <c r="S1896" s="34">
        <f>Allocation[[#This Row],[Quantity Processed]]/Allocation[[#This Row],[Dilution rate]]</f>
        <v>1480.7407407407406</v>
      </c>
      <c r="T1896" s="59">
        <f>SUMIF(Allocation[Delivery ID],Allocation[[#This Row],[Delivery ID]],Allocation[Quantity allocated])/SUMIF(Allocation[Delivery ID],Allocation[[#This Row],[Delivery ID]],Allocation[Volume available (kg)])</f>
        <v>1.2734457786960702</v>
      </c>
      <c r="U1896" s="61">
        <f>Allocation[[#This Row],[Total volume used]]/VLOOKUP(Allocation[[#This Row],[Delivery ID]],Delivery[[Delivery ID]:[Quantity delivered]],3,FALSE)</f>
        <v>0.7147001934235977</v>
      </c>
      <c r="V1896" s="34" t="e">
        <f>VLOOKUP(Allocation[[#This Row],[SAP Contract number]],Shipments[[SAP Contract number]:[Contracted container weight]],2,FALSE)</f>
        <v>#N/A</v>
      </c>
      <c r="W1896" s="34" t="e">
        <f>VLOOKUP(Allocation[[#This Row],[SAP Contract number]],Shipments[[SAP Contract number]:[AAA Premium USD]],24,FALSE)</f>
        <v>#N/A</v>
      </c>
      <c r="X1896" s="34" t="e">
        <f>VLOOKUP(Allocation[[#This Row],[SAP Contract number]],Shipments[[SAP Contract number]:[RA Premium USD]],25,FALSE)</f>
        <v>#N/A</v>
      </c>
      <c r="Y1896" s="38">
        <f>Allocation[[#This Row],[Quantity Processed]]/Allocation[[#This Row],[Quantity allocated]]</f>
        <v>2.0833767587285044</v>
      </c>
      <c r="Z1896" s="34" t="b">
        <f>Allocation[[#This Row],[Quantity allocated]]&lt;=Allocation[[#This Row],[Quantity Processed]]</f>
        <v>1</v>
      </c>
    </row>
    <row r="1897" spans="1:26">
      <c r="A1897" s="247" t="s">
        <v>467</v>
      </c>
      <c r="B1897" s="210" t="s">
        <v>68</v>
      </c>
      <c r="C1897" s="254" t="s">
        <v>1508</v>
      </c>
      <c r="D1897" s="255">
        <v>929</v>
      </c>
      <c r="E1897" s="211" t="s">
        <v>1918</v>
      </c>
      <c r="F1897" s="212">
        <v>43615</v>
      </c>
      <c r="G1897" s="213">
        <v>2.7</v>
      </c>
      <c r="H1897" s="256">
        <v>446</v>
      </c>
      <c r="I1897" s="214">
        <v>1460304</v>
      </c>
      <c r="J1897" s="215">
        <v>19175</v>
      </c>
      <c r="K1897" s="212">
        <v>43626</v>
      </c>
      <c r="L1897" s="211" t="s">
        <v>1924</v>
      </c>
      <c r="M1897" s="216">
        <v>4615520198</v>
      </c>
      <c r="N1897" s="212">
        <v>43642</v>
      </c>
      <c r="O1897" s="218">
        <v>3.8445</v>
      </c>
      <c r="P1897" s="219"/>
      <c r="Q1897" s="34">
        <f>SUMIF(Allocation[Delivery ID],Allocation[[#This Row],[Delivery ID]],Allocation[Quantity Processed])</f>
        <v>1719</v>
      </c>
      <c r="R1897" s="61">
        <f>Allocation[[#This Row],[Total volume used]]/VLOOKUP(Allocation[[#This Row],[Delivery ID]],Delivery[[Delivery ID]:[Quantity delivered]],3,FALSE)</f>
        <v>0.70450819672131149</v>
      </c>
      <c r="S1897" s="34">
        <f>Allocation[[#This Row],[Quantity Processed]]/Allocation[[#This Row],[Dilution rate]]</f>
        <v>344.07407407407408</v>
      </c>
      <c r="T1897" s="59">
        <f>SUMIF(Allocation[Delivery ID],Allocation[[#This Row],[Delivery ID]],Allocation[Quantity allocated])/SUMIF(Allocation[Delivery ID],Allocation[[#This Row],[Delivery ID]],Allocation[Volume available (kg)])</f>
        <v>1.27330489842582</v>
      </c>
      <c r="U1897" s="61">
        <f>Allocation[[#This Row],[Total volume used]]/VLOOKUP(Allocation[[#This Row],[Delivery ID]],Delivery[[Delivery ID]:[Quantity delivered]],3,FALSE)</f>
        <v>0.70450819672131149</v>
      </c>
      <c r="V1897" s="34" t="e">
        <f>VLOOKUP(Allocation[[#This Row],[SAP Contract number]],Shipments[[SAP Contract number]:[Contracted container weight]],2,FALSE)</f>
        <v>#N/A</v>
      </c>
      <c r="W1897" s="34" t="e">
        <f>VLOOKUP(Allocation[[#This Row],[SAP Contract number]],Shipments[[SAP Contract number]:[AAA Premium USD]],24,FALSE)</f>
        <v>#N/A</v>
      </c>
      <c r="X1897" s="34" t="e">
        <f>VLOOKUP(Allocation[[#This Row],[SAP Contract number]],Shipments[[SAP Contract number]:[RA Premium USD]],25,FALSE)</f>
        <v>#N/A</v>
      </c>
      <c r="Y1897" s="38">
        <f>Allocation[[#This Row],[Quantity Processed]]/Allocation[[#This Row],[Quantity allocated]]</f>
        <v>2.0829596412556053</v>
      </c>
      <c r="Z1897" s="34" t="b">
        <f>Allocation[[#This Row],[Quantity allocated]]&lt;=Allocation[[#This Row],[Quantity Processed]]</f>
        <v>1</v>
      </c>
    </row>
    <row r="1898" spans="1:26">
      <c r="A1898" s="247" t="s">
        <v>467</v>
      </c>
      <c r="B1898" s="210" t="s">
        <v>68</v>
      </c>
      <c r="C1898" s="254" t="s">
        <v>1509</v>
      </c>
      <c r="D1898" s="255">
        <v>2579</v>
      </c>
      <c r="E1898" s="211" t="s">
        <v>1918</v>
      </c>
      <c r="F1898" s="212">
        <v>43615</v>
      </c>
      <c r="G1898" s="213">
        <v>2.7</v>
      </c>
      <c r="H1898" s="256">
        <v>1238</v>
      </c>
      <c r="I1898" s="214">
        <v>1460304</v>
      </c>
      <c r="J1898" s="215">
        <v>19175</v>
      </c>
      <c r="K1898" s="212">
        <v>43626</v>
      </c>
      <c r="L1898" s="211" t="s">
        <v>1924</v>
      </c>
      <c r="M1898" s="216">
        <v>4615520198</v>
      </c>
      <c r="N1898" s="212">
        <v>43642</v>
      </c>
      <c r="O1898" s="218">
        <v>3.8445</v>
      </c>
      <c r="P1898" s="219"/>
      <c r="Q1898" s="34">
        <f>SUMIF(Allocation[Delivery ID],Allocation[[#This Row],[Delivery ID]],Allocation[Quantity Processed])</f>
        <v>4767</v>
      </c>
      <c r="R1898" s="61">
        <f>Allocation[[#This Row],[Total volume used]]/VLOOKUP(Allocation[[#This Row],[Delivery ID]],Delivery[[Delivery ID]:[Quantity delivered]],3,FALSE)</f>
        <v>0.71576576576576578</v>
      </c>
      <c r="S1898" s="34">
        <f>Allocation[[#This Row],[Quantity Processed]]/Allocation[[#This Row],[Dilution rate]]</f>
        <v>955.18518518518511</v>
      </c>
      <c r="T1898" s="59">
        <f>SUMIF(Allocation[Delivery ID],Allocation[[#This Row],[Delivery ID]],Allocation[Quantity allocated])/SUMIF(Allocation[Delivery ID],Allocation[[#This Row],[Delivery ID]],Allocation[Volume available (kg)])</f>
        <v>1.2734290018235155</v>
      </c>
      <c r="U1898" s="61">
        <f>Allocation[[#This Row],[Total volume used]]/VLOOKUP(Allocation[[#This Row],[Delivery ID]],Delivery[[Delivery ID]:[Quantity delivered]],3,FALSE)</f>
        <v>0.71576576576576578</v>
      </c>
      <c r="V1898" s="34" t="e">
        <f>VLOOKUP(Allocation[[#This Row],[SAP Contract number]],Shipments[[SAP Contract number]:[Contracted container weight]],2,FALSE)</f>
        <v>#N/A</v>
      </c>
      <c r="W1898" s="34" t="e">
        <f>VLOOKUP(Allocation[[#This Row],[SAP Contract number]],Shipments[[SAP Contract number]:[AAA Premium USD]],24,FALSE)</f>
        <v>#N/A</v>
      </c>
      <c r="X1898" s="34" t="e">
        <f>VLOOKUP(Allocation[[#This Row],[SAP Contract number]],Shipments[[SAP Contract number]:[RA Premium USD]],25,FALSE)</f>
        <v>#N/A</v>
      </c>
      <c r="Y1898" s="38">
        <f>Allocation[[#This Row],[Quantity Processed]]/Allocation[[#This Row],[Quantity allocated]]</f>
        <v>2.0831987075928917</v>
      </c>
      <c r="Z1898" s="34" t="b">
        <f>Allocation[[#This Row],[Quantity allocated]]&lt;=Allocation[[#This Row],[Quantity Processed]]</f>
        <v>1</v>
      </c>
    </row>
    <row r="1899" spans="1:26">
      <c r="A1899" s="247" t="s">
        <v>467</v>
      </c>
      <c r="B1899" s="210" t="s">
        <v>68</v>
      </c>
      <c r="C1899" s="254" t="s">
        <v>1557</v>
      </c>
      <c r="D1899" s="255">
        <v>4023</v>
      </c>
      <c r="E1899" s="211" t="s">
        <v>1918</v>
      </c>
      <c r="F1899" s="212">
        <v>43615</v>
      </c>
      <c r="G1899" s="213">
        <v>2.7</v>
      </c>
      <c r="H1899" s="256">
        <v>1207</v>
      </c>
      <c r="I1899" s="214">
        <v>1460304</v>
      </c>
      <c r="J1899" s="215">
        <v>19175</v>
      </c>
      <c r="K1899" s="212">
        <v>43626</v>
      </c>
      <c r="L1899" s="211" t="s">
        <v>1924</v>
      </c>
      <c r="M1899" s="216">
        <v>4615520198</v>
      </c>
      <c r="N1899" s="212">
        <v>43642</v>
      </c>
      <c r="O1899" s="218">
        <v>3.8445</v>
      </c>
      <c r="P1899" s="219"/>
      <c r="Q1899" s="34">
        <f>SUMIF(Allocation[Delivery ID],Allocation[[#This Row],[Delivery ID]],Allocation[Quantity Processed])</f>
        <v>15656</v>
      </c>
      <c r="R1899" s="61">
        <f>Allocation[[#This Row],[Total volume used]]/VLOOKUP(Allocation[[#This Row],[Delivery ID]],Delivery[[Delivery ID]:[Quantity delivered]],3,FALSE)</f>
        <v>0.92365781710914452</v>
      </c>
      <c r="S1899" s="34">
        <f>Allocation[[#This Row],[Quantity Processed]]/Allocation[[#This Row],[Dilution rate]]</f>
        <v>1490</v>
      </c>
      <c r="T1899" s="59">
        <f>SUMIF(Allocation[Delivery ID],Allocation[[#This Row],[Delivery ID]],Allocation[Quantity allocated])/SUMIF(Allocation[Delivery ID],Allocation[[#This Row],[Delivery ID]],Allocation[Volume available (kg)])</f>
        <v>0.83466096971686932</v>
      </c>
      <c r="U1899" s="61">
        <f>Allocation[[#This Row],[Total volume used]]/VLOOKUP(Allocation[[#This Row],[Delivery ID]],Delivery[[Delivery ID]:[Quantity delivered]],3,FALSE)</f>
        <v>0.92365781710914452</v>
      </c>
      <c r="V1899" s="34" t="e">
        <f>VLOOKUP(Allocation[[#This Row],[SAP Contract number]],Shipments[[SAP Contract number]:[Contracted container weight]],2,FALSE)</f>
        <v>#N/A</v>
      </c>
      <c r="W1899" s="34" t="e">
        <f>VLOOKUP(Allocation[[#This Row],[SAP Contract number]],Shipments[[SAP Contract number]:[AAA Premium USD]],24,FALSE)</f>
        <v>#N/A</v>
      </c>
      <c r="X1899" s="34" t="e">
        <f>VLOOKUP(Allocation[[#This Row],[SAP Contract number]],Shipments[[SAP Contract number]:[RA Premium USD]],25,FALSE)</f>
        <v>#N/A</v>
      </c>
      <c r="Y1899" s="38">
        <f>Allocation[[#This Row],[Quantity Processed]]/Allocation[[#This Row],[Quantity allocated]]</f>
        <v>3.3330571665285831</v>
      </c>
      <c r="Z1899" s="34" t="b">
        <f>Allocation[[#This Row],[Quantity allocated]]&lt;=Allocation[[#This Row],[Quantity Processed]]</f>
        <v>1</v>
      </c>
    </row>
    <row r="1900" spans="1:26">
      <c r="A1900" s="247" t="s">
        <v>467</v>
      </c>
      <c r="B1900" s="210" t="s">
        <v>68</v>
      </c>
      <c r="C1900" s="254" t="s">
        <v>1559</v>
      </c>
      <c r="D1900" s="255">
        <v>4914</v>
      </c>
      <c r="E1900" s="211" t="s">
        <v>1918</v>
      </c>
      <c r="F1900" s="212">
        <v>43615</v>
      </c>
      <c r="G1900" s="213">
        <v>2.7</v>
      </c>
      <c r="H1900" s="256">
        <v>2457</v>
      </c>
      <c r="I1900" s="214">
        <v>1460304</v>
      </c>
      <c r="J1900" s="215">
        <v>19175</v>
      </c>
      <c r="K1900" s="212">
        <v>43626</v>
      </c>
      <c r="L1900" s="211" t="s">
        <v>1924</v>
      </c>
      <c r="M1900" s="216">
        <v>4615520198</v>
      </c>
      <c r="N1900" s="212">
        <v>43642</v>
      </c>
      <c r="O1900" s="218">
        <v>3.8445</v>
      </c>
      <c r="P1900" s="219"/>
      <c r="Q1900" s="34">
        <f>SUMIF(Allocation[Delivery ID],Allocation[[#This Row],[Delivery ID]],Allocation[Quantity Processed])</f>
        <v>9082</v>
      </c>
      <c r="R1900" s="61">
        <f>Allocation[[#This Row],[Total volume used]]/VLOOKUP(Allocation[[#This Row],[Delivery ID]],Delivery[[Delivery ID]:[Quantity delivered]],3,FALSE)</f>
        <v>0.91460221550855991</v>
      </c>
      <c r="S1900" s="34">
        <f>Allocation[[#This Row],[Quantity Processed]]/Allocation[[#This Row],[Dilution rate]]</f>
        <v>1819.9999999999998</v>
      </c>
      <c r="T1900" s="59">
        <f>SUMIF(Allocation[Delivery ID],Allocation[[#This Row],[Delivery ID]],Allocation[Quantity allocated])/SUMIF(Allocation[Delivery ID],Allocation[[#This Row],[Delivery ID]],Allocation[Volume available (kg)])</f>
        <v>1.3265842696629215</v>
      </c>
      <c r="U1900" s="61">
        <f>Allocation[[#This Row],[Total volume used]]/VLOOKUP(Allocation[[#This Row],[Delivery ID]],Delivery[[Delivery ID]:[Quantity delivered]],3,FALSE)</f>
        <v>0.91460221550855991</v>
      </c>
      <c r="V1900" s="34" t="e">
        <f>VLOOKUP(Allocation[[#This Row],[SAP Contract number]],Shipments[[SAP Contract number]:[Contracted container weight]],2,FALSE)</f>
        <v>#N/A</v>
      </c>
      <c r="W1900" s="34" t="e">
        <f>VLOOKUP(Allocation[[#This Row],[SAP Contract number]],Shipments[[SAP Contract number]:[AAA Premium USD]],24,FALSE)</f>
        <v>#N/A</v>
      </c>
      <c r="X1900" s="34" t="e">
        <f>VLOOKUP(Allocation[[#This Row],[SAP Contract number]],Shipments[[SAP Contract number]:[RA Premium USD]],25,FALSE)</f>
        <v>#N/A</v>
      </c>
      <c r="Y1900" s="38">
        <f>Allocation[[#This Row],[Quantity Processed]]/Allocation[[#This Row],[Quantity allocated]]</f>
        <v>2</v>
      </c>
      <c r="Z1900" s="34" t="b">
        <f>Allocation[[#This Row],[Quantity allocated]]&lt;=Allocation[[#This Row],[Quantity Processed]]</f>
        <v>1</v>
      </c>
    </row>
    <row r="1901" spans="1:26">
      <c r="A1901" s="247" t="s">
        <v>467</v>
      </c>
      <c r="B1901" s="210" t="s">
        <v>68</v>
      </c>
      <c r="C1901" s="254" t="s">
        <v>1560</v>
      </c>
      <c r="D1901" s="255">
        <v>6820</v>
      </c>
      <c r="E1901" s="211" t="s">
        <v>1918</v>
      </c>
      <c r="F1901" s="212">
        <v>43615</v>
      </c>
      <c r="G1901" s="213">
        <v>2.7</v>
      </c>
      <c r="H1901" s="256">
        <v>3410</v>
      </c>
      <c r="I1901" s="214">
        <v>1460304</v>
      </c>
      <c r="J1901" s="215">
        <v>19175</v>
      </c>
      <c r="K1901" s="212">
        <v>43626</v>
      </c>
      <c r="L1901" s="211" t="s">
        <v>1924</v>
      </c>
      <c r="M1901" s="216">
        <v>4615520198</v>
      </c>
      <c r="N1901" s="212">
        <v>43642</v>
      </c>
      <c r="O1901" s="218">
        <v>3.8445</v>
      </c>
      <c r="P1901" s="219"/>
      <c r="Q1901" s="34">
        <f>SUMIF(Allocation[Delivery ID],Allocation[[#This Row],[Delivery ID]],Allocation[Quantity Processed])</f>
        <v>12606</v>
      </c>
      <c r="R1901" s="61">
        <f>Allocation[[#This Row],[Total volume used]]/VLOOKUP(Allocation[[#This Row],[Delivery ID]],Delivery[[Delivery ID]:[Quantity delivered]],3,FALSE)</f>
        <v>0.9161337209302326</v>
      </c>
      <c r="S1901" s="34">
        <f>Allocation[[#This Row],[Quantity Processed]]/Allocation[[#This Row],[Dilution rate]]</f>
        <v>2525.9259259259256</v>
      </c>
      <c r="T1901" s="59">
        <f>SUMIF(Allocation[Delivery ID],Allocation[[#This Row],[Delivery ID]],Allocation[Quantity allocated])/SUMIF(Allocation[Delivery ID],Allocation[[#This Row],[Delivery ID]],Allocation[Volume available (kg)])</f>
        <v>1.3265813600685974</v>
      </c>
      <c r="U1901" s="61">
        <f>Allocation[[#This Row],[Total volume used]]/VLOOKUP(Allocation[[#This Row],[Delivery ID]],Delivery[[Delivery ID]:[Quantity delivered]],3,FALSE)</f>
        <v>0.9161337209302326</v>
      </c>
      <c r="V1901" s="34" t="e">
        <f>VLOOKUP(Allocation[[#This Row],[SAP Contract number]],Shipments[[SAP Contract number]:[Contracted container weight]],2,FALSE)</f>
        <v>#N/A</v>
      </c>
      <c r="W1901" s="34" t="e">
        <f>VLOOKUP(Allocation[[#This Row],[SAP Contract number]],Shipments[[SAP Contract number]:[AAA Premium USD]],24,FALSE)</f>
        <v>#N/A</v>
      </c>
      <c r="X1901" s="34" t="e">
        <f>VLOOKUP(Allocation[[#This Row],[SAP Contract number]],Shipments[[SAP Contract number]:[RA Premium USD]],25,FALSE)</f>
        <v>#N/A</v>
      </c>
      <c r="Y1901" s="38">
        <f>Allocation[[#This Row],[Quantity Processed]]/Allocation[[#This Row],[Quantity allocated]]</f>
        <v>2</v>
      </c>
      <c r="Z1901" s="34" t="b">
        <f>Allocation[[#This Row],[Quantity allocated]]&lt;=Allocation[[#This Row],[Quantity Processed]]</f>
        <v>1</v>
      </c>
    </row>
    <row r="1902" spans="1:26">
      <c r="A1902" s="247" t="s">
        <v>467</v>
      </c>
      <c r="B1902" s="210" t="s">
        <v>68</v>
      </c>
      <c r="C1902" s="254" t="s">
        <v>1640</v>
      </c>
      <c r="D1902" s="255">
        <v>1735</v>
      </c>
      <c r="E1902" s="211" t="s">
        <v>1918</v>
      </c>
      <c r="F1902" s="212">
        <v>43615</v>
      </c>
      <c r="G1902" s="213">
        <v>2.7</v>
      </c>
      <c r="H1902" s="256">
        <v>798</v>
      </c>
      <c r="I1902" s="214">
        <v>1460304</v>
      </c>
      <c r="J1902" s="215">
        <v>19175</v>
      </c>
      <c r="K1902" s="212">
        <v>43626</v>
      </c>
      <c r="L1902" s="211" t="s">
        <v>1924</v>
      </c>
      <c r="M1902" s="216">
        <v>4615520198</v>
      </c>
      <c r="N1902" s="212">
        <v>43642</v>
      </c>
      <c r="O1902" s="218">
        <v>3.8445</v>
      </c>
      <c r="P1902" s="219"/>
      <c r="Q1902" s="34">
        <f>SUMIF(Allocation[Delivery ID],Allocation[[#This Row],[Delivery ID]],Allocation[Quantity Processed])</f>
        <v>4782</v>
      </c>
      <c r="R1902" s="61">
        <f>Allocation[[#This Row],[Total volume used]]/VLOOKUP(Allocation[[#This Row],[Delivery ID]],Delivery[[Delivery ID]:[Quantity delivered]],3,FALSE)</f>
        <v>1</v>
      </c>
      <c r="S1902" s="34">
        <f>Allocation[[#This Row],[Quantity Processed]]/Allocation[[#This Row],[Dilution rate]]</f>
        <v>642.5925925925925</v>
      </c>
      <c r="T1902" s="59">
        <f>SUMIF(Allocation[Delivery ID],Allocation[[#This Row],[Delivery ID]],Allocation[Quantity allocated])/SUMIF(Allocation[Delivery ID],Allocation[[#This Row],[Delivery ID]],Allocation[Volume available (kg)])</f>
        <v>1.2205222229247012</v>
      </c>
      <c r="U1902" s="61">
        <f>Allocation[[#This Row],[Total volume used]]/VLOOKUP(Allocation[[#This Row],[Delivery ID]],Delivery[[Delivery ID]:[Quantity delivered]],3,FALSE)</f>
        <v>1</v>
      </c>
      <c r="V1902" s="34" t="e">
        <f>VLOOKUP(Allocation[[#This Row],[SAP Contract number]],Shipments[[SAP Contract number]:[Contracted container weight]],2,FALSE)</f>
        <v>#N/A</v>
      </c>
      <c r="W1902" s="34" t="e">
        <f>VLOOKUP(Allocation[[#This Row],[SAP Contract number]],Shipments[[SAP Contract number]:[AAA Premium USD]],24,FALSE)</f>
        <v>#N/A</v>
      </c>
      <c r="X1902" s="34" t="e">
        <f>VLOOKUP(Allocation[[#This Row],[SAP Contract number]],Shipments[[SAP Contract number]:[RA Premium USD]],25,FALSE)</f>
        <v>#N/A</v>
      </c>
      <c r="Y1902" s="38">
        <f>Allocation[[#This Row],[Quantity Processed]]/Allocation[[#This Row],[Quantity allocated]]</f>
        <v>2.174185463659148</v>
      </c>
      <c r="Z1902" s="34" t="b">
        <f>Allocation[[#This Row],[Quantity allocated]]&lt;=Allocation[[#This Row],[Quantity Processed]]</f>
        <v>1</v>
      </c>
    </row>
    <row r="1903" spans="1:26">
      <c r="A1903" s="247" t="s">
        <v>467</v>
      </c>
      <c r="B1903" s="210" t="s">
        <v>68</v>
      </c>
      <c r="C1903" s="254" t="s">
        <v>1640</v>
      </c>
      <c r="D1903" s="255">
        <v>843</v>
      </c>
      <c r="E1903" s="211" t="s">
        <v>1918</v>
      </c>
      <c r="F1903" s="212">
        <v>43615</v>
      </c>
      <c r="G1903" s="213">
        <v>2.7</v>
      </c>
      <c r="H1903" s="256">
        <v>388</v>
      </c>
      <c r="I1903" s="214">
        <v>1460305</v>
      </c>
      <c r="J1903" s="215">
        <v>19175</v>
      </c>
      <c r="K1903" s="212">
        <v>43626</v>
      </c>
      <c r="L1903" s="211" t="s">
        <v>1925</v>
      </c>
      <c r="M1903" s="216">
        <v>4615520198</v>
      </c>
      <c r="N1903" s="212">
        <v>43642</v>
      </c>
      <c r="O1903" s="218">
        <v>3.8445</v>
      </c>
      <c r="P1903" s="219"/>
      <c r="Q1903" s="34">
        <f>SUMIF(Allocation[Delivery ID],Allocation[[#This Row],[Delivery ID]],Allocation[Quantity Processed])</f>
        <v>4782</v>
      </c>
      <c r="R1903" s="61">
        <f>Allocation[[#This Row],[Total volume used]]/VLOOKUP(Allocation[[#This Row],[Delivery ID]],Delivery[[Delivery ID]:[Quantity delivered]],3,FALSE)</f>
        <v>1</v>
      </c>
      <c r="S1903" s="34">
        <f>Allocation[[#This Row],[Quantity Processed]]/Allocation[[#This Row],[Dilution rate]]</f>
        <v>312.22222222222223</v>
      </c>
      <c r="T1903" s="59">
        <f>SUMIF(Allocation[Delivery ID],Allocation[[#This Row],[Delivery ID]],Allocation[Quantity allocated])/SUMIF(Allocation[Delivery ID],Allocation[[#This Row],[Delivery ID]],Allocation[Volume available (kg)])</f>
        <v>1.2205222229247012</v>
      </c>
      <c r="U1903" s="61">
        <f>Allocation[[#This Row],[Total volume used]]/VLOOKUP(Allocation[[#This Row],[Delivery ID]],Delivery[[Delivery ID]:[Quantity delivered]],3,FALSE)</f>
        <v>1</v>
      </c>
      <c r="V1903" s="34" t="e">
        <f>VLOOKUP(Allocation[[#This Row],[SAP Contract number]],Shipments[[SAP Contract number]:[Contracted container weight]],2,FALSE)</f>
        <v>#N/A</v>
      </c>
      <c r="W1903" s="34" t="e">
        <f>VLOOKUP(Allocation[[#This Row],[SAP Contract number]],Shipments[[SAP Contract number]:[AAA Premium USD]],24,FALSE)</f>
        <v>#N/A</v>
      </c>
      <c r="X1903" s="34" t="e">
        <f>VLOOKUP(Allocation[[#This Row],[SAP Contract number]],Shipments[[SAP Contract number]:[RA Premium USD]],25,FALSE)</f>
        <v>#N/A</v>
      </c>
      <c r="Y1903" s="38">
        <f>Allocation[[#This Row],[Quantity Processed]]/Allocation[[#This Row],[Quantity allocated]]</f>
        <v>2.1726804123711339</v>
      </c>
      <c r="Z1903" s="34" t="b">
        <f>Allocation[[#This Row],[Quantity allocated]]&lt;=Allocation[[#This Row],[Quantity Processed]]</f>
        <v>1</v>
      </c>
    </row>
    <row r="1904" spans="1:26">
      <c r="A1904" s="247" t="s">
        <v>467</v>
      </c>
      <c r="B1904" s="210" t="s">
        <v>68</v>
      </c>
      <c r="C1904" s="254" t="s">
        <v>1642</v>
      </c>
      <c r="D1904" s="255">
        <v>4044</v>
      </c>
      <c r="E1904" s="211" t="s">
        <v>1918</v>
      </c>
      <c r="F1904" s="212">
        <v>43615</v>
      </c>
      <c r="G1904" s="213">
        <v>2.7</v>
      </c>
      <c r="H1904" s="256">
        <v>2507</v>
      </c>
      <c r="I1904" s="214">
        <v>1460305</v>
      </c>
      <c r="J1904" s="215">
        <v>19175</v>
      </c>
      <c r="K1904" s="212">
        <v>43626</v>
      </c>
      <c r="L1904" s="211" t="s">
        <v>1925</v>
      </c>
      <c r="M1904" s="216">
        <v>4615520198</v>
      </c>
      <c r="N1904" s="212">
        <v>43642</v>
      </c>
      <c r="O1904" s="218">
        <v>3.8445</v>
      </c>
      <c r="P1904" s="219"/>
      <c r="Q1904" s="34">
        <f>SUMIF(Allocation[Delivery ID],Allocation[[#This Row],[Delivery ID]],Allocation[Quantity Processed])</f>
        <v>7475</v>
      </c>
      <c r="R1904" s="61">
        <f>Allocation[[#This Row],[Total volume used]]/VLOOKUP(Allocation[[#This Row],[Delivery ID]],Delivery[[Delivery ID]:[Quantity delivered]],3,FALSE)</f>
        <v>0.7394035313319155</v>
      </c>
      <c r="S1904" s="34">
        <f>Allocation[[#This Row],[Quantity Processed]]/Allocation[[#This Row],[Dilution rate]]</f>
        <v>1497.7777777777776</v>
      </c>
      <c r="T1904" s="59">
        <f>SUMIF(Allocation[Delivery ID],Allocation[[#This Row],[Delivery ID]],Allocation[Quantity allocated])/SUMIF(Allocation[Delivery ID],Allocation[[#This Row],[Delivery ID]],Allocation[Volume available (kg)])</f>
        <v>1.6447828658971289</v>
      </c>
      <c r="U1904" s="61">
        <f>Allocation[[#This Row],[Total volume used]]/VLOOKUP(Allocation[[#This Row],[Delivery ID]],Delivery[[Delivery ID]:[Quantity delivered]],3,FALSE)</f>
        <v>0.7394035313319155</v>
      </c>
      <c r="V1904" s="34" t="e">
        <f>VLOOKUP(Allocation[[#This Row],[SAP Contract number]],Shipments[[SAP Contract number]:[Contracted container weight]],2,FALSE)</f>
        <v>#N/A</v>
      </c>
      <c r="W1904" s="34" t="e">
        <f>VLOOKUP(Allocation[[#This Row],[SAP Contract number]],Shipments[[SAP Contract number]:[AAA Premium USD]],24,FALSE)</f>
        <v>#N/A</v>
      </c>
      <c r="X1904" s="34" t="e">
        <f>VLOOKUP(Allocation[[#This Row],[SAP Contract number]],Shipments[[SAP Contract number]:[RA Premium USD]],25,FALSE)</f>
        <v>#N/A</v>
      </c>
      <c r="Y1904" s="38">
        <f>Allocation[[#This Row],[Quantity Processed]]/Allocation[[#This Row],[Quantity allocated]]</f>
        <v>1.613083366573594</v>
      </c>
      <c r="Z1904" s="34" t="b">
        <f>Allocation[[#This Row],[Quantity allocated]]&lt;=Allocation[[#This Row],[Quantity Processed]]</f>
        <v>1</v>
      </c>
    </row>
    <row r="1905" spans="1:26">
      <c r="A1905" s="247" t="s">
        <v>467</v>
      </c>
      <c r="B1905" s="210" t="s">
        <v>68</v>
      </c>
      <c r="C1905" s="254" t="s">
        <v>1645</v>
      </c>
      <c r="D1905" s="255">
        <v>28906</v>
      </c>
      <c r="E1905" s="211" t="s">
        <v>1918</v>
      </c>
      <c r="F1905" s="212">
        <v>43615</v>
      </c>
      <c r="G1905" s="213">
        <v>2.7</v>
      </c>
      <c r="H1905" s="256">
        <v>9539</v>
      </c>
      <c r="I1905" s="214">
        <v>1460305</v>
      </c>
      <c r="J1905" s="215">
        <v>19175</v>
      </c>
      <c r="K1905" s="212">
        <v>43626</v>
      </c>
      <c r="L1905" s="211" t="s">
        <v>1925</v>
      </c>
      <c r="M1905" s="216">
        <v>4615520198</v>
      </c>
      <c r="N1905" s="212">
        <v>43642</v>
      </c>
      <c r="O1905" s="218">
        <v>3.8445</v>
      </c>
      <c r="P1905" s="219"/>
      <c r="Q1905" s="34">
        <f>SUMIF(Allocation[Delivery ID],Allocation[[#This Row],[Delivery ID]],Allocation[Quantity Processed])</f>
        <v>38460</v>
      </c>
      <c r="R1905" s="61">
        <f>Allocation[[#This Row],[Total volume used]]/VLOOKUP(Allocation[[#This Row],[Delivery ID]],Delivery[[Delivery ID]:[Quantity delivered]],3,FALSE)</f>
        <v>1</v>
      </c>
      <c r="S1905" s="34">
        <f>Allocation[[#This Row],[Quantity Processed]]/Allocation[[#This Row],[Dilution rate]]</f>
        <v>10705.925925925925</v>
      </c>
      <c r="T1905" s="59">
        <f>SUMIF(Allocation[Delivery ID],Allocation[[#This Row],[Delivery ID]],Allocation[Quantity allocated])/SUMIF(Allocation[Delivery ID],Allocation[[#This Row],[Delivery ID]],Allocation[Volume available (kg)])</f>
        <v>0.88258151942419827</v>
      </c>
      <c r="U1905" s="61">
        <f>Allocation[[#This Row],[Total volume used]]/VLOOKUP(Allocation[[#This Row],[Delivery ID]],Delivery[[Delivery ID]:[Quantity delivered]],3,FALSE)</f>
        <v>1</v>
      </c>
      <c r="V1905" s="34" t="e">
        <f>VLOOKUP(Allocation[[#This Row],[SAP Contract number]],Shipments[[SAP Contract number]:[Contracted container weight]],2,FALSE)</f>
        <v>#N/A</v>
      </c>
      <c r="W1905" s="34" t="e">
        <f>VLOOKUP(Allocation[[#This Row],[SAP Contract number]],Shipments[[SAP Contract number]:[AAA Premium USD]],24,FALSE)</f>
        <v>#N/A</v>
      </c>
      <c r="X1905" s="34" t="e">
        <f>VLOOKUP(Allocation[[#This Row],[SAP Contract number]],Shipments[[SAP Contract number]:[RA Premium USD]],25,FALSE)</f>
        <v>#N/A</v>
      </c>
      <c r="Y1905" s="38">
        <f>Allocation[[#This Row],[Quantity Processed]]/Allocation[[#This Row],[Quantity allocated]]</f>
        <v>3.0302966768005031</v>
      </c>
      <c r="Z1905" s="34" t="b">
        <f>Allocation[[#This Row],[Quantity allocated]]&lt;=Allocation[[#This Row],[Quantity Processed]]</f>
        <v>1</v>
      </c>
    </row>
    <row r="1906" spans="1:26">
      <c r="A1906" s="247" t="s">
        <v>467</v>
      </c>
      <c r="B1906" s="210" t="s">
        <v>68</v>
      </c>
      <c r="C1906" s="254" t="s">
        <v>1651</v>
      </c>
      <c r="D1906" s="255">
        <v>11235</v>
      </c>
      <c r="E1906" s="211" t="s">
        <v>1918</v>
      </c>
      <c r="F1906" s="212">
        <v>43615</v>
      </c>
      <c r="G1906" s="213">
        <v>2.7</v>
      </c>
      <c r="H1906" s="256">
        <v>6741</v>
      </c>
      <c r="I1906" s="214">
        <v>1460305</v>
      </c>
      <c r="J1906" s="215">
        <v>19175</v>
      </c>
      <c r="K1906" s="212">
        <v>43626</v>
      </c>
      <c r="L1906" s="211" t="s">
        <v>1925</v>
      </c>
      <c r="M1906" s="216">
        <v>4615520198</v>
      </c>
      <c r="N1906" s="212">
        <v>43642</v>
      </c>
      <c r="O1906" s="218">
        <v>3.8445</v>
      </c>
      <c r="P1906" s="219"/>
      <c r="Q1906" s="34">
        <f>SUMIF(Allocation[Delivery ID],Allocation[[#This Row],[Delivery ID]],Allocation[Quantity Processed])</f>
        <v>22095</v>
      </c>
      <c r="R1906" s="61">
        <f>Allocation[[#This Row],[Total volume used]]/VLOOKUP(Allocation[[#This Row],[Delivery ID]],Delivery[[Delivery ID]:[Quantity delivered]],3,FALSE)</f>
        <v>0.76426841923209965</v>
      </c>
      <c r="S1906" s="34">
        <f>Allocation[[#This Row],[Quantity Processed]]/Allocation[[#This Row],[Dilution rate]]</f>
        <v>4161.1111111111104</v>
      </c>
      <c r="T1906" s="59">
        <f>SUMIF(Allocation[Delivery ID],Allocation[[#This Row],[Delivery ID]],Allocation[Quantity allocated])/SUMIF(Allocation[Delivery ID],Allocation[[#This Row],[Delivery ID]],Allocation[Volume available (kg)])</f>
        <v>1.5918876525576664</v>
      </c>
      <c r="U1906" s="61">
        <f>Allocation[[#This Row],[Total volume used]]/VLOOKUP(Allocation[[#This Row],[Delivery ID]],Delivery[[Delivery ID]:[Quantity delivered]],3,FALSE)</f>
        <v>0.76426841923209965</v>
      </c>
      <c r="V1906" s="34" t="e">
        <f>VLOOKUP(Allocation[[#This Row],[SAP Contract number]],Shipments[[SAP Contract number]:[Contracted container weight]],2,FALSE)</f>
        <v>#N/A</v>
      </c>
      <c r="W1906" s="34" t="e">
        <f>VLOOKUP(Allocation[[#This Row],[SAP Contract number]],Shipments[[SAP Contract number]:[AAA Premium USD]],24,FALSE)</f>
        <v>#N/A</v>
      </c>
      <c r="X1906" s="34" t="e">
        <f>VLOOKUP(Allocation[[#This Row],[SAP Contract number]],Shipments[[SAP Contract number]:[RA Premium USD]],25,FALSE)</f>
        <v>#N/A</v>
      </c>
      <c r="Y1906" s="38">
        <f>Allocation[[#This Row],[Quantity Processed]]/Allocation[[#This Row],[Quantity allocated]]</f>
        <v>1.6666666666666667</v>
      </c>
      <c r="Z1906" s="34" t="b">
        <f>Allocation[[#This Row],[Quantity allocated]]&lt;=Allocation[[#This Row],[Quantity Processed]]</f>
        <v>1</v>
      </c>
    </row>
    <row r="1907" spans="1:26">
      <c r="A1907" s="247" t="s">
        <v>467</v>
      </c>
      <c r="B1907" s="210" t="s">
        <v>68</v>
      </c>
      <c r="C1907" s="254" t="s">
        <v>1651</v>
      </c>
      <c r="D1907" s="255">
        <v>715</v>
      </c>
      <c r="E1907" s="211" t="s">
        <v>1918</v>
      </c>
      <c r="F1907" s="212">
        <v>43615</v>
      </c>
      <c r="G1907" s="213">
        <v>2.7</v>
      </c>
      <c r="H1907" s="256">
        <v>429</v>
      </c>
      <c r="I1907" s="214">
        <v>1460306</v>
      </c>
      <c r="J1907" s="215">
        <v>19175</v>
      </c>
      <c r="K1907" s="212">
        <v>43626</v>
      </c>
      <c r="L1907" s="211" t="s">
        <v>1926</v>
      </c>
      <c r="M1907" s="216">
        <v>4615520198</v>
      </c>
      <c r="N1907" s="212">
        <v>43642</v>
      </c>
      <c r="O1907" s="218">
        <v>3.8445</v>
      </c>
      <c r="P1907" s="219"/>
      <c r="Q1907" s="34">
        <f>SUMIF(Allocation[Delivery ID],Allocation[[#This Row],[Delivery ID]],Allocation[Quantity Processed])</f>
        <v>22095</v>
      </c>
      <c r="R1907" s="61">
        <f>Allocation[[#This Row],[Total volume used]]/VLOOKUP(Allocation[[#This Row],[Delivery ID]],Delivery[[Delivery ID]:[Quantity delivered]],3,FALSE)</f>
        <v>0.76426841923209965</v>
      </c>
      <c r="S1907" s="34">
        <f>Allocation[[#This Row],[Quantity Processed]]/Allocation[[#This Row],[Dilution rate]]</f>
        <v>264.81481481481478</v>
      </c>
      <c r="T1907" s="59">
        <f>SUMIF(Allocation[Delivery ID],Allocation[[#This Row],[Delivery ID]],Allocation[Quantity allocated])/SUMIF(Allocation[Delivery ID],Allocation[[#This Row],[Delivery ID]],Allocation[Volume available (kg)])</f>
        <v>1.5918876525576664</v>
      </c>
      <c r="U1907" s="61">
        <f>Allocation[[#This Row],[Total volume used]]/VLOOKUP(Allocation[[#This Row],[Delivery ID]],Delivery[[Delivery ID]:[Quantity delivered]],3,FALSE)</f>
        <v>0.76426841923209965</v>
      </c>
      <c r="V1907" s="34" t="e">
        <f>VLOOKUP(Allocation[[#This Row],[SAP Contract number]],Shipments[[SAP Contract number]:[Contracted container weight]],2,FALSE)</f>
        <v>#N/A</v>
      </c>
      <c r="W1907" s="34" t="e">
        <f>VLOOKUP(Allocation[[#This Row],[SAP Contract number]],Shipments[[SAP Contract number]:[AAA Premium USD]],24,FALSE)</f>
        <v>#N/A</v>
      </c>
      <c r="X1907" s="34" t="e">
        <f>VLOOKUP(Allocation[[#This Row],[SAP Contract number]],Shipments[[SAP Contract number]:[RA Premium USD]],25,FALSE)</f>
        <v>#N/A</v>
      </c>
      <c r="Y1907" s="38">
        <f>Allocation[[#This Row],[Quantity Processed]]/Allocation[[#This Row],[Quantity allocated]]</f>
        <v>1.6666666666666667</v>
      </c>
      <c r="Z1907" s="34" t="b">
        <f>Allocation[[#This Row],[Quantity allocated]]&lt;=Allocation[[#This Row],[Quantity Processed]]</f>
        <v>1</v>
      </c>
    </row>
    <row r="1908" spans="1:26">
      <c r="A1908" s="247" t="s">
        <v>467</v>
      </c>
      <c r="B1908" s="210" t="s">
        <v>68</v>
      </c>
      <c r="C1908" s="254" t="s">
        <v>1665</v>
      </c>
      <c r="D1908" s="255">
        <v>16159</v>
      </c>
      <c r="E1908" s="211" t="s">
        <v>1918</v>
      </c>
      <c r="F1908" s="212">
        <v>43615</v>
      </c>
      <c r="G1908" s="213">
        <v>2.7</v>
      </c>
      <c r="H1908" s="256">
        <v>7433</v>
      </c>
      <c r="I1908" s="214">
        <v>1460306</v>
      </c>
      <c r="J1908" s="215">
        <v>19175</v>
      </c>
      <c r="K1908" s="212">
        <v>43626</v>
      </c>
      <c r="L1908" s="211" t="s">
        <v>1926</v>
      </c>
      <c r="M1908" s="216">
        <v>4615520198</v>
      </c>
      <c r="N1908" s="212">
        <v>43642</v>
      </c>
      <c r="O1908" s="218">
        <v>3.8445</v>
      </c>
      <c r="P1908" s="219"/>
      <c r="Q1908" s="34">
        <f>SUMIF(Allocation[Delivery ID],Allocation[[#This Row],[Delivery ID]],Allocation[Quantity Processed])</f>
        <v>29970</v>
      </c>
      <c r="R1908" s="61">
        <f>Allocation[[#This Row],[Total volume used]]/VLOOKUP(Allocation[[#This Row],[Delivery ID]],Delivery[[Delivery ID]:[Quantity delivered]],3,FALSE)</f>
        <v>1</v>
      </c>
      <c r="S1908" s="34">
        <f>Allocation[[#This Row],[Quantity Processed]]/Allocation[[#This Row],[Dilution rate]]</f>
        <v>5984.8148148148148</v>
      </c>
      <c r="T1908" s="59">
        <f>SUMIF(Allocation[Delivery ID],Allocation[[#This Row],[Delivery ID]],Allocation[Quantity allocated])/SUMIF(Allocation[Delivery ID],Allocation[[#This Row],[Delivery ID]],Allocation[Volume available (kg)])</f>
        <v>1.2203522939204141</v>
      </c>
      <c r="U1908" s="61">
        <f>Allocation[[#This Row],[Total volume used]]/VLOOKUP(Allocation[[#This Row],[Delivery ID]],Delivery[[Delivery ID]:[Quantity delivered]],3,FALSE)</f>
        <v>1</v>
      </c>
      <c r="V1908" s="34" t="e">
        <f>VLOOKUP(Allocation[[#This Row],[SAP Contract number]],Shipments[[SAP Contract number]:[Contracted container weight]],2,FALSE)</f>
        <v>#N/A</v>
      </c>
      <c r="W1908" s="34" t="e">
        <f>VLOOKUP(Allocation[[#This Row],[SAP Contract number]],Shipments[[SAP Contract number]:[AAA Premium USD]],24,FALSE)</f>
        <v>#N/A</v>
      </c>
      <c r="X1908" s="34" t="e">
        <f>VLOOKUP(Allocation[[#This Row],[SAP Contract number]],Shipments[[SAP Contract number]:[RA Premium USD]],25,FALSE)</f>
        <v>#N/A</v>
      </c>
      <c r="Y1908" s="38">
        <f>Allocation[[#This Row],[Quantity Processed]]/Allocation[[#This Row],[Quantity allocated]]</f>
        <v>2.173953988968115</v>
      </c>
      <c r="Z1908" s="34" t="b">
        <f>Allocation[[#This Row],[Quantity allocated]]&lt;=Allocation[[#This Row],[Quantity Processed]]</f>
        <v>1</v>
      </c>
    </row>
    <row r="1909" spans="1:26">
      <c r="A1909" s="247" t="s">
        <v>467</v>
      </c>
      <c r="B1909" s="210" t="s">
        <v>68</v>
      </c>
      <c r="C1909" s="254" t="s">
        <v>1683</v>
      </c>
      <c r="D1909" s="255">
        <v>11986</v>
      </c>
      <c r="E1909" s="211" t="s">
        <v>1918</v>
      </c>
      <c r="F1909" s="212">
        <v>43615</v>
      </c>
      <c r="G1909" s="213">
        <v>2.7</v>
      </c>
      <c r="H1909" s="256">
        <v>4195</v>
      </c>
      <c r="I1909" s="214">
        <v>1460306</v>
      </c>
      <c r="J1909" s="215">
        <v>19175</v>
      </c>
      <c r="K1909" s="212">
        <v>43626</v>
      </c>
      <c r="L1909" s="211" t="s">
        <v>1926</v>
      </c>
      <c r="M1909" s="216">
        <v>4615520198</v>
      </c>
      <c r="N1909" s="212">
        <v>43642</v>
      </c>
      <c r="O1909" s="218">
        <v>3.8445</v>
      </c>
      <c r="P1909" s="219"/>
      <c r="Q1909" s="34">
        <f>SUMIF(Allocation[Delivery ID],Allocation[[#This Row],[Delivery ID]],Allocation[Quantity Processed])</f>
        <v>30410</v>
      </c>
      <c r="R1909" s="61">
        <f>Allocation[[#This Row],[Total volume used]]/VLOOKUP(Allocation[[#This Row],[Delivery ID]],Delivery[[Delivery ID]:[Quantity delivered]],3,FALSE)</f>
        <v>1</v>
      </c>
      <c r="S1909" s="34">
        <f>Allocation[[#This Row],[Quantity Processed]]/Allocation[[#This Row],[Dilution rate]]</f>
        <v>4439.2592592592591</v>
      </c>
      <c r="T1909" s="59">
        <f>SUMIF(Allocation[Delivery ID],Allocation[[#This Row],[Delivery ID]],Allocation[Quantity allocated])/SUMIF(Allocation[Delivery ID],Allocation[[#This Row],[Delivery ID]],Allocation[Volume available (kg)])</f>
        <v>0.83774601877963062</v>
      </c>
      <c r="U1909" s="61">
        <f>Allocation[[#This Row],[Total volume used]]/VLOOKUP(Allocation[[#This Row],[Delivery ID]],Delivery[[Delivery ID]:[Quantity delivered]],3,FALSE)</f>
        <v>1</v>
      </c>
      <c r="V1909" s="34" t="e">
        <f>VLOOKUP(Allocation[[#This Row],[SAP Contract number]],Shipments[[SAP Contract number]:[Contracted container weight]],2,FALSE)</f>
        <v>#N/A</v>
      </c>
      <c r="W1909" s="34" t="e">
        <f>VLOOKUP(Allocation[[#This Row],[SAP Contract number]],Shipments[[SAP Contract number]:[AAA Premium USD]],24,FALSE)</f>
        <v>#N/A</v>
      </c>
      <c r="X1909" s="34" t="e">
        <f>VLOOKUP(Allocation[[#This Row],[SAP Contract number]],Shipments[[SAP Contract number]:[RA Premium USD]],25,FALSE)</f>
        <v>#N/A</v>
      </c>
      <c r="Y1909" s="38">
        <f>Allocation[[#This Row],[Quantity Processed]]/Allocation[[#This Row],[Quantity allocated]]</f>
        <v>2.8572109654350415</v>
      </c>
      <c r="Z1909" s="34" t="b">
        <f>Allocation[[#This Row],[Quantity allocated]]&lt;=Allocation[[#This Row],[Quantity Processed]]</f>
        <v>1</v>
      </c>
    </row>
    <row r="1910" spans="1:26">
      <c r="A1910" s="247" t="s">
        <v>467</v>
      </c>
      <c r="B1910" s="210" t="s">
        <v>68</v>
      </c>
      <c r="C1910" s="254" t="s">
        <v>1684</v>
      </c>
      <c r="D1910" s="255">
        <v>11991</v>
      </c>
      <c r="E1910" s="211" t="s">
        <v>1918</v>
      </c>
      <c r="F1910" s="212">
        <v>43615</v>
      </c>
      <c r="G1910" s="213">
        <v>2.7</v>
      </c>
      <c r="H1910" s="256">
        <v>4197</v>
      </c>
      <c r="I1910" s="214">
        <v>1460306</v>
      </c>
      <c r="J1910" s="215">
        <v>19175</v>
      </c>
      <c r="K1910" s="212">
        <v>43626</v>
      </c>
      <c r="L1910" s="211" t="s">
        <v>1926</v>
      </c>
      <c r="M1910" s="216">
        <v>4615520198</v>
      </c>
      <c r="N1910" s="212">
        <v>43642</v>
      </c>
      <c r="O1910" s="218">
        <v>3.8445</v>
      </c>
      <c r="P1910" s="219"/>
      <c r="Q1910" s="34">
        <f>SUMIF(Allocation[Delivery ID],Allocation[[#This Row],[Delivery ID]],Allocation[Quantity Processed])</f>
        <v>30430</v>
      </c>
      <c r="R1910" s="61">
        <f>Allocation[[#This Row],[Total volume used]]/VLOOKUP(Allocation[[#This Row],[Delivery ID]],Delivery[[Delivery ID]:[Quantity delivered]],3,FALSE)</f>
        <v>1</v>
      </c>
      <c r="S1910" s="34">
        <f>Allocation[[#This Row],[Quantity Processed]]/Allocation[[#This Row],[Dilution rate]]</f>
        <v>4441.1111111111104</v>
      </c>
      <c r="T1910" s="59">
        <f>SUMIF(Allocation[Delivery ID],Allocation[[#This Row],[Delivery ID]],Allocation[Quantity allocated])/SUMIF(Allocation[Delivery ID],Allocation[[#This Row],[Delivery ID]],Allocation[Volume available (kg)])</f>
        <v>0.83745679344302471</v>
      </c>
      <c r="U1910" s="61">
        <f>Allocation[[#This Row],[Total volume used]]/VLOOKUP(Allocation[[#This Row],[Delivery ID]],Delivery[[Delivery ID]:[Quantity delivered]],3,FALSE)</f>
        <v>1</v>
      </c>
      <c r="V1910" s="34" t="e">
        <f>VLOOKUP(Allocation[[#This Row],[SAP Contract number]],Shipments[[SAP Contract number]:[Contracted container weight]],2,FALSE)</f>
        <v>#N/A</v>
      </c>
      <c r="W1910" s="34" t="e">
        <f>VLOOKUP(Allocation[[#This Row],[SAP Contract number]],Shipments[[SAP Contract number]:[AAA Premium USD]],24,FALSE)</f>
        <v>#N/A</v>
      </c>
      <c r="X1910" s="34" t="e">
        <f>VLOOKUP(Allocation[[#This Row],[SAP Contract number]],Shipments[[SAP Contract number]:[RA Premium USD]],25,FALSE)</f>
        <v>#N/A</v>
      </c>
      <c r="Y1910" s="38">
        <f>Allocation[[#This Row],[Quantity Processed]]/Allocation[[#This Row],[Quantity allocated]]</f>
        <v>2.8570407433881342</v>
      </c>
      <c r="Z1910" s="34" t="b">
        <f>Allocation[[#This Row],[Quantity allocated]]&lt;=Allocation[[#This Row],[Quantity Processed]]</f>
        <v>1</v>
      </c>
    </row>
    <row r="1911" spans="1:26">
      <c r="A1911" s="247" t="s">
        <v>467</v>
      </c>
      <c r="B1911" s="210" t="s">
        <v>68</v>
      </c>
      <c r="C1911" s="254" t="s">
        <v>1685</v>
      </c>
      <c r="D1911" s="255">
        <v>5914</v>
      </c>
      <c r="E1911" s="211" t="s">
        <v>1918</v>
      </c>
      <c r="F1911" s="212">
        <v>43615</v>
      </c>
      <c r="G1911" s="213">
        <v>2.7</v>
      </c>
      <c r="H1911" s="256">
        <v>2070</v>
      </c>
      <c r="I1911" s="214">
        <v>1460306</v>
      </c>
      <c r="J1911" s="215">
        <v>19175</v>
      </c>
      <c r="K1911" s="212">
        <v>43626</v>
      </c>
      <c r="L1911" s="211" t="s">
        <v>1926</v>
      </c>
      <c r="M1911" s="216">
        <v>4615520198</v>
      </c>
      <c r="N1911" s="212">
        <v>43642</v>
      </c>
      <c r="O1911" s="218">
        <v>3.8445</v>
      </c>
      <c r="P1911" s="219"/>
      <c r="Q1911" s="34">
        <f>SUMIF(Allocation[Delivery ID],Allocation[[#This Row],[Delivery ID]],Allocation[Quantity Processed])</f>
        <v>15010</v>
      </c>
      <c r="R1911" s="61">
        <f>Allocation[[#This Row],[Total volume used]]/VLOOKUP(Allocation[[#This Row],[Delivery ID]],Delivery[[Delivery ID]:[Quantity delivered]],3,FALSE)</f>
        <v>1</v>
      </c>
      <c r="S1911" s="34">
        <f>Allocation[[#This Row],[Quantity Processed]]/Allocation[[#This Row],[Dilution rate]]</f>
        <v>2190.3703703703704</v>
      </c>
      <c r="T1911" s="59">
        <f>SUMIF(Allocation[Delivery ID],Allocation[[#This Row],[Delivery ID]],Allocation[Quantity allocated])/SUMIF(Allocation[Delivery ID],Allocation[[#This Row],[Delivery ID]],Allocation[Volume available (kg)])</f>
        <v>0.84070389442267879</v>
      </c>
      <c r="U1911" s="61">
        <f>Allocation[[#This Row],[Total volume used]]/VLOOKUP(Allocation[[#This Row],[Delivery ID]],Delivery[[Delivery ID]:[Quantity delivered]],3,FALSE)</f>
        <v>1</v>
      </c>
      <c r="V1911" s="34" t="e">
        <f>VLOOKUP(Allocation[[#This Row],[SAP Contract number]],Shipments[[SAP Contract number]:[Contracted container weight]],2,FALSE)</f>
        <v>#N/A</v>
      </c>
      <c r="W1911" s="34" t="e">
        <f>VLOOKUP(Allocation[[#This Row],[SAP Contract number]],Shipments[[SAP Contract number]:[AAA Premium USD]],24,FALSE)</f>
        <v>#N/A</v>
      </c>
      <c r="X1911" s="34" t="e">
        <f>VLOOKUP(Allocation[[#This Row],[SAP Contract number]],Shipments[[SAP Contract number]:[RA Premium USD]],25,FALSE)</f>
        <v>#N/A</v>
      </c>
      <c r="Y1911" s="38">
        <f>Allocation[[#This Row],[Quantity Processed]]/Allocation[[#This Row],[Quantity allocated]]</f>
        <v>2.8570048309178744</v>
      </c>
      <c r="Z1911" s="34" t="b">
        <f>Allocation[[#This Row],[Quantity allocated]]&lt;=Allocation[[#This Row],[Quantity Processed]]</f>
        <v>1</v>
      </c>
    </row>
    <row r="1912" spans="1:26">
      <c r="A1912" s="247" t="s">
        <v>467</v>
      </c>
      <c r="B1912" s="210" t="s">
        <v>68</v>
      </c>
      <c r="C1912" s="254" t="s">
        <v>1686</v>
      </c>
      <c r="D1912" s="255">
        <v>2431</v>
      </c>
      <c r="E1912" s="211" t="s">
        <v>1918</v>
      </c>
      <c r="F1912" s="212">
        <v>43615</v>
      </c>
      <c r="G1912" s="213">
        <v>2.7</v>
      </c>
      <c r="H1912" s="256">
        <v>851</v>
      </c>
      <c r="I1912" s="214">
        <v>1460306</v>
      </c>
      <c r="J1912" s="215">
        <v>19175</v>
      </c>
      <c r="K1912" s="212">
        <v>43626</v>
      </c>
      <c r="L1912" s="211" t="s">
        <v>1926</v>
      </c>
      <c r="M1912" s="216">
        <v>4615520198</v>
      </c>
      <c r="N1912" s="212">
        <v>43642</v>
      </c>
      <c r="O1912" s="218">
        <v>3.8445</v>
      </c>
      <c r="P1912" s="219"/>
      <c r="Q1912" s="34">
        <f>SUMIF(Allocation[Delivery ID],Allocation[[#This Row],[Delivery ID]],Allocation[Quantity Processed])</f>
        <v>15430</v>
      </c>
      <c r="R1912" s="61">
        <f>Allocation[[#This Row],[Total volume used]]/VLOOKUP(Allocation[[#This Row],[Delivery ID]],Delivery[[Delivery ID]:[Quantity delivered]],3,FALSE)</f>
        <v>1</v>
      </c>
      <c r="S1912" s="34">
        <f>Allocation[[#This Row],[Quantity Processed]]/Allocation[[#This Row],[Dilution rate]]</f>
        <v>900.37037037037032</v>
      </c>
      <c r="T1912" s="59">
        <f>SUMIF(Allocation[Delivery ID],Allocation[[#This Row],[Delivery ID]],Allocation[Quantity allocated])/SUMIF(Allocation[Delivery ID],Allocation[[#This Row],[Delivery ID]],Allocation[Volume available (kg)])</f>
        <v>0.83424921257877194</v>
      </c>
      <c r="U1912" s="61">
        <f>Allocation[[#This Row],[Total volume used]]/VLOOKUP(Allocation[[#This Row],[Delivery ID]],Delivery[[Delivery ID]:[Quantity delivered]],3,FALSE)</f>
        <v>1</v>
      </c>
      <c r="V1912" s="34" t="e">
        <f>VLOOKUP(Allocation[[#This Row],[SAP Contract number]],Shipments[[SAP Contract number]:[Contracted container weight]],2,FALSE)</f>
        <v>#N/A</v>
      </c>
      <c r="W1912" s="34" t="e">
        <f>VLOOKUP(Allocation[[#This Row],[SAP Contract number]],Shipments[[SAP Contract number]:[AAA Premium USD]],24,FALSE)</f>
        <v>#N/A</v>
      </c>
      <c r="X1912" s="34" t="e">
        <f>VLOOKUP(Allocation[[#This Row],[SAP Contract number]],Shipments[[SAP Contract number]:[RA Premium USD]],25,FALSE)</f>
        <v>#N/A</v>
      </c>
      <c r="Y1912" s="38">
        <f>Allocation[[#This Row],[Quantity Processed]]/Allocation[[#This Row],[Quantity allocated]]</f>
        <v>2.8566392479435958</v>
      </c>
      <c r="Z1912" s="34" t="b">
        <f>Allocation[[#This Row],[Quantity allocated]]&lt;=Allocation[[#This Row],[Quantity Processed]]</f>
        <v>1</v>
      </c>
    </row>
    <row r="1913" spans="1:26">
      <c r="A1913" s="247" t="s">
        <v>467</v>
      </c>
      <c r="B1913" s="210" t="s">
        <v>68</v>
      </c>
      <c r="C1913" s="254" t="s">
        <v>1686</v>
      </c>
      <c r="D1913" s="255">
        <v>3649</v>
      </c>
      <c r="E1913" s="211" t="s">
        <v>1918</v>
      </c>
      <c r="F1913" s="212">
        <v>43615</v>
      </c>
      <c r="G1913" s="213">
        <v>2.7</v>
      </c>
      <c r="H1913" s="256">
        <v>1277</v>
      </c>
      <c r="I1913" s="214">
        <v>1460307</v>
      </c>
      <c r="J1913" s="215">
        <v>19175</v>
      </c>
      <c r="K1913" s="212">
        <v>43626</v>
      </c>
      <c r="L1913" s="211" t="s">
        <v>1927</v>
      </c>
      <c r="M1913" s="216">
        <v>4615520198</v>
      </c>
      <c r="N1913" s="212">
        <v>43642</v>
      </c>
      <c r="O1913" s="218">
        <v>3.8445</v>
      </c>
      <c r="P1913" s="219"/>
      <c r="Q1913" s="34">
        <f>SUMIF(Allocation[Delivery ID],Allocation[[#This Row],[Delivery ID]],Allocation[Quantity Processed])</f>
        <v>15430</v>
      </c>
      <c r="R1913" s="61">
        <f>Allocation[[#This Row],[Total volume used]]/VLOOKUP(Allocation[[#This Row],[Delivery ID]],Delivery[[Delivery ID]:[Quantity delivered]],3,FALSE)</f>
        <v>1</v>
      </c>
      <c r="S1913" s="34">
        <f>Allocation[[#This Row],[Quantity Processed]]/Allocation[[#This Row],[Dilution rate]]</f>
        <v>1351.4814814814813</v>
      </c>
      <c r="T1913" s="59">
        <f>SUMIF(Allocation[Delivery ID],Allocation[[#This Row],[Delivery ID]],Allocation[Quantity allocated])/SUMIF(Allocation[Delivery ID],Allocation[[#This Row],[Delivery ID]],Allocation[Volume available (kg)])</f>
        <v>0.83424921257877194</v>
      </c>
      <c r="U1913" s="61">
        <f>Allocation[[#This Row],[Total volume used]]/VLOOKUP(Allocation[[#This Row],[Delivery ID]],Delivery[[Delivery ID]:[Quantity delivered]],3,FALSE)</f>
        <v>1</v>
      </c>
      <c r="V1913" s="34" t="e">
        <f>VLOOKUP(Allocation[[#This Row],[SAP Contract number]],Shipments[[SAP Contract number]:[Contracted container weight]],2,FALSE)</f>
        <v>#N/A</v>
      </c>
      <c r="W1913" s="34" t="e">
        <f>VLOOKUP(Allocation[[#This Row],[SAP Contract number]],Shipments[[SAP Contract number]:[AAA Premium USD]],24,FALSE)</f>
        <v>#N/A</v>
      </c>
      <c r="X1913" s="34" t="e">
        <f>VLOOKUP(Allocation[[#This Row],[SAP Contract number]],Shipments[[SAP Contract number]:[RA Premium USD]],25,FALSE)</f>
        <v>#N/A</v>
      </c>
      <c r="Y1913" s="38">
        <f>Allocation[[#This Row],[Quantity Processed]]/Allocation[[#This Row],[Quantity allocated]]</f>
        <v>2.8574784651527017</v>
      </c>
      <c r="Z1913" s="34" t="b">
        <f>Allocation[[#This Row],[Quantity allocated]]&lt;=Allocation[[#This Row],[Quantity Processed]]</f>
        <v>1</v>
      </c>
    </row>
    <row r="1914" spans="1:26">
      <c r="A1914" s="247" t="s">
        <v>467</v>
      </c>
      <c r="B1914" s="210" t="s">
        <v>68</v>
      </c>
      <c r="C1914" s="254" t="s">
        <v>1687</v>
      </c>
      <c r="D1914" s="255">
        <v>11980</v>
      </c>
      <c r="E1914" s="211" t="s">
        <v>1918</v>
      </c>
      <c r="F1914" s="212">
        <v>43615</v>
      </c>
      <c r="G1914" s="213">
        <v>2.7</v>
      </c>
      <c r="H1914" s="256">
        <v>4193</v>
      </c>
      <c r="I1914" s="214">
        <v>1460307</v>
      </c>
      <c r="J1914" s="215">
        <v>19175</v>
      </c>
      <c r="K1914" s="212">
        <v>43626</v>
      </c>
      <c r="L1914" s="211" t="s">
        <v>1927</v>
      </c>
      <c r="M1914" s="216">
        <v>4615520198</v>
      </c>
      <c r="N1914" s="212">
        <v>43642</v>
      </c>
      <c r="O1914" s="218">
        <v>3.8445</v>
      </c>
      <c r="P1914" s="219"/>
      <c r="Q1914" s="34">
        <f>SUMIF(Allocation[Delivery ID],Allocation[[#This Row],[Delivery ID]],Allocation[Quantity Processed])</f>
        <v>30400</v>
      </c>
      <c r="R1914" s="61">
        <f>Allocation[[#This Row],[Total volume used]]/VLOOKUP(Allocation[[#This Row],[Delivery ID]],Delivery[[Delivery ID]:[Quantity delivered]],3,FALSE)</f>
        <v>1</v>
      </c>
      <c r="S1914" s="34">
        <f>Allocation[[#This Row],[Quantity Processed]]/Allocation[[#This Row],[Dilution rate]]</f>
        <v>4437.0370370370365</v>
      </c>
      <c r="T1914" s="59">
        <f>SUMIF(Allocation[Delivery ID],Allocation[[#This Row],[Delivery ID]],Allocation[Quantity allocated])/SUMIF(Allocation[Delivery ID],Allocation[[#This Row],[Delivery ID]],Allocation[Volume available (kg)])</f>
        <v>0.83776811701499576</v>
      </c>
      <c r="U1914" s="61">
        <f>Allocation[[#This Row],[Total volume used]]/VLOOKUP(Allocation[[#This Row],[Delivery ID]],Delivery[[Delivery ID]:[Quantity delivered]],3,FALSE)</f>
        <v>1</v>
      </c>
      <c r="V1914" s="34" t="e">
        <f>VLOOKUP(Allocation[[#This Row],[SAP Contract number]],Shipments[[SAP Contract number]:[Contracted container weight]],2,FALSE)</f>
        <v>#N/A</v>
      </c>
      <c r="W1914" s="34" t="e">
        <f>VLOOKUP(Allocation[[#This Row],[SAP Contract number]],Shipments[[SAP Contract number]:[AAA Premium USD]],24,FALSE)</f>
        <v>#N/A</v>
      </c>
      <c r="X1914" s="34" t="e">
        <f>VLOOKUP(Allocation[[#This Row],[SAP Contract number]],Shipments[[SAP Contract number]:[RA Premium USD]],25,FALSE)</f>
        <v>#N/A</v>
      </c>
      <c r="Y1914" s="38">
        <f>Allocation[[#This Row],[Quantity Processed]]/Allocation[[#This Row],[Quantity allocated]]</f>
        <v>2.8571428571428572</v>
      </c>
      <c r="Z1914" s="34" t="b">
        <f>Allocation[[#This Row],[Quantity allocated]]&lt;=Allocation[[#This Row],[Quantity Processed]]</f>
        <v>1</v>
      </c>
    </row>
    <row r="1915" spans="1:26">
      <c r="A1915" s="247" t="s">
        <v>467</v>
      </c>
      <c r="B1915" s="210" t="s">
        <v>68</v>
      </c>
      <c r="C1915" s="254" t="s">
        <v>1690</v>
      </c>
      <c r="D1915" s="255">
        <v>6365</v>
      </c>
      <c r="E1915" s="211" t="s">
        <v>1918</v>
      </c>
      <c r="F1915" s="212">
        <v>43615</v>
      </c>
      <c r="G1915" s="213">
        <v>2.7</v>
      </c>
      <c r="H1915" s="256">
        <v>2164</v>
      </c>
      <c r="I1915" s="214">
        <v>1460307</v>
      </c>
      <c r="J1915" s="215">
        <v>19175</v>
      </c>
      <c r="K1915" s="212">
        <v>43626</v>
      </c>
      <c r="L1915" s="211" t="s">
        <v>1927</v>
      </c>
      <c r="M1915" s="216">
        <v>4615520198</v>
      </c>
      <c r="N1915" s="212">
        <v>43642</v>
      </c>
      <c r="O1915" s="218">
        <v>3.8445</v>
      </c>
      <c r="P1915" s="219"/>
      <c r="Q1915" s="34">
        <f>SUMIF(Allocation[Delivery ID],Allocation[[#This Row],[Delivery ID]],Allocation[Quantity Processed])</f>
        <v>37980</v>
      </c>
      <c r="R1915" s="61">
        <f>Allocation[[#This Row],[Total volume used]]/VLOOKUP(Allocation[[#This Row],[Delivery ID]],Delivery[[Delivery ID]:[Quantity delivered]],3,FALSE)</f>
        <v>1</v>
      </c>
      <c r="S1915" s="34">
        <f>Allocation[[#This Row],[Quantity Processed]]/Allocation[[#This Row],[Dilution rate]]</f>
        <v>2357.4074074074074</v>
      </c>
      <c r="T1915" s="59">
        <f>SUMIF(Allocation[Delivery ID],Allocation[[#This Row],[Delivery ID]],Allocation[Quantity allocated])/SUMIF(Allocation[Delivery ID],Allocation[[#This Row],[Delivery ID]],Allocation[Volume available (kg)])</f>
        <v>0.90783705734408049</v>
      </c>
      <c r="U1915" s="61">
        <f>Allocation[[#This Row],[Total volume used]]/VLOOKUP(Allocation[[#This Row],[Delivery ID]],Delivery[[Delivery ID]:[Quantity delivered]],3,FALSE)</f>
        <v>1</v>
      </c>
      <c r="V1915" s="34" t="e">
        <f>VLOOKUP(Allocation[[#This Row],[SAP Contract number]],Shipments[[SAP Contract number]:[Contracted container weight]],2,FALSE)</f>
        <v>#N/A</v>
      </c>
      <c r="W1915" s="34" t="e">
        <f>VLOOKUP(Allocation[[#This Row],[SAP Contract number]],Shipments[[SAP Contract number]:[AAA Premium USD]],24,FALSE)</f>
        <v>#N/A</v>
      </c>
      <c r="X1915" s="34" t="e">
        <f>VLOOKUP(Allocation[[#This Row],[SAP Contract number]],Shipments[[SAP Contract number]:[RA Premium USD]],25,FALSE)</f>
        <v>#N/A</v>
      </c>
      <c r="Y1915" s="38">
        <f>Allocation[[#This Row],[Quantity Processed]]/Allocation[[#This Row],[Quantity allocated]]</f>
        <v>2.9413123844731976</v>
      </c>
      <c r="Z1915" s="34" t="b">
        <f>Allocation[[#This Row],[Quantity allocated]]&lt;=Allocation[[#This Row],[Quantity Processed]]</f>
        <v>1</v>
      </c>
    </row>
    <row r="1916" spans="1:26">
      <c r="A1916" s="247" t="s">
        <v>467</v>
      </c>
      <c r="B1916" s="210" t="s">
        <v>68</v>
      </c>
      <c r="C1916" s="254" t="s">
        <v>1691</v>
      </c>
      <c r="D1916" s="255">
        <v>4446</v>
      </c>
      <c r="E1916" s="211" t="s">
        <v>1918</v>
      </c>
      <c r="F1916" s="212">
        <v>43615</v>
      </c>
      <c r="G1916" s="213">
        <v>2.7</v>
      </c>
      <c r="H1916" s="256">
        <v>2312</v>
      </c>
      <c r="I1916" s="214">
        <v>1460307</v>
      </c>
      <c r="J1916" s="215">
        <v>19175</v>
      </c>
      <c r="K1916" s="212">
        <v>43626</v>
      </c>
      <c r="L1916" s="211" t="s">
        <v>1927</v>
      </c>
      <c r="M1916" s="216">
        <v>4615520198</v>
      </c>
      <c r="N1916" s="212">
        <v>43642</v>
      </c>
      <c r="O1916" s="218">
        <v>3.8445</v>
      </c>
      <c r="P1916" s="219"/>
      <c r="Q1916" s="34">
        <f>SUMIF(Allocation[Delivery ID],Allocation[[#This Row],[Delivery ID]],Allocation[Quantity Processed])</f>
        <v>8219</v>
      </c>
      <c r="R1916" s="61">
        <f>Allocation[[#This Row],[Total volume used]]/VLOOKUP(Allocation[[#This Row],[Delivery ID]],Delivery[[Delivery ID]:[Quantity delivered]],3,FALSE)</f>
        <v>0.59879061634853559</v>
      </c>
      <c r="S1916" s="34">
        <f>Allocation[[#This Row],[Quantity Processed]]/Allocation[[#This Row],[Dilution rate]]</f>
        <v>1646.6666666666665</v>
      </c>
      <c r="T1916" s="59">
        <f>SUMIF(Allocation[Delivery ID],Allocation[[#This Row],[Delivery ID]],Allocation[Quantity allocated])/SUMIF(Allocation[Delivery ID],Allocation[[#This Row],[Delivery ID]],Allocation[Volume available (kg)])</f>
        <v>1.379679675536978</v>
      </c>
      <c r="U1916" s="61">
        <f>Allocation[[#This Row],[Total volume used]]/VLOOKUP(Allocation[[#This Row],[Delivery ID]],Delivery[[Delivery ID]:[Quantity delivered]],3,FALSE)</f>
        <v>0.59879061634853559</v>
      </c>
      <c r="V1916" s="34" t="e">
        <f>VLOOKUP(Allocation[[#This Row],[SAP Contract number]],Shipments[[SAP Contract number]:[Contracted container weight]],2,FALSE)</f>
        <v>#N/A</v>
      </c>
      <c r="W1916" s="34" t="e">
        <f>VLOOKUP(Allocation[[#This Row],[SAP Contract number]],Shipments[[SAP Contract number]:[AAA Premium USD]],24,FALSE)</f>
        <v>#N/A</v>
      </c>
      <c r="X1916" s="34" t="e">
        <f>VLOOKUP(Allocation[[#This Row],[SAP Contract number]],Shipments[[SAP Contract number]:[RA Premium USD]],25,FALSE)</f>
        <v>#N/A</v>
      </c>
      <c r="Y1916" s="38">
        <f>Allocation[[#This Row],[Quantity Processed]]/Allocation[[#This Row],[Quantity allocated]]</f>
        <v>1.9230103806228374</v>
      </c>
      <c r="Z1916" s="34" t="b">
        <f>Allocation[[#This Row],[Quantity allocated]]&lt;=Allocation[[#This Row],[Quantity Processed]]</f>
        <v>1</v>
      </c>
    </row>
    <row r="1917" spans="1:26">
      <c r="A1917" s="247" t="s">
        <v>467</v>
      </c>
      <c r="B1917" s="210" t="s">
        <v>68</v>
      </c>
      <c r="C1917" s="254" t="s">
        <v>1692</v>
      </c>
      <c r="D1917" s="255">
        <v>9806</v>
      </c>
      <c r="E1917" s="211" t="s">
        <v>1918</v>
      </c>
      <c r="F1917" s="212">
        <v>43615</v>
      </c>
      <c r="G1917" s="213">
        <v>2.7</v>
      </c>
      <c r="H1917" s="256">
        <v>3236</v>
      </c>
      <c r="I1917" s="214">
        <v>1460307</v>
      </c>
      <c r="J1917" s="215">
        <v>19175</v>
      </c>
      <c r="K1917" s="212">
        <v>43626</v>
      </c>
      <c r="L1917" s="211" t="s">
        <v>1927</v>
      </c>
      <c r="M1917" s="216">
        <v>4615520198</v>
      </c>
      <c r="N1917" s="212">
        <v>43642</v>
      </c>
      <c r="O1917" s="218">
        <v>3.8445</v>
      </c>
      <c r="P1917" s="219"/>
      <c r="Q1917" s="34">
        <f>SUMIF(Allocation[Delivery ID],Allocation[[#This Row],[Delivery ID]],Allocation[Quantity Processed])</f>
        <v>18124</v>
      </c>
      <c r="R1917" s="61">
        <f>Allocation[[#This Row],[Total volume used]]/VLOOKUP(Allocation[[#This Row],[Delivery ID]],Delivery[[Delivery ID]:[Quantity delivered]],3,FALSE)</f>
        <v>0.81529464687359421</v>
      </c>
      <c r="S1917" s="34">
        <f>Allocation[[#This Row],[Quantity Processed]]/Allocation[[#This Row],[Dilution rate]]</f>
        <v>3631.8518518518517</v>
      </c>
      <c r="T1917" s="59">
        <f>SUMIF(Allocation[Delivery ID],Allocation[[#This Row],[Delivery ID]],Allocation[Quantity allocated])/SUMIF(Allocation[Delivery ID],Allocation[[#This Row],[Delivery ID]],Allocation[Volume available (kg)])</f>
        <v>0.87555667699596706</v>
      </c>
      <c r="U1917" s="61">
        <f>Allocation[[#This Row],[Total volume used]]/VLOOKUP(Allocation[[#This Row],[Delivery ID]],Delivery[[Delivery ID]:[Quantity delivered]],3,FALSE)</f>
        <v>0.81529464687359421</v>
      </c>
      <c r="V1917" s="34" t="e">
        <f>VLOOKUP(Allocation[[#This Row],[SAP Contract number]],Shipments[[SAP Contract number]:[Contracted container weight]],2,FALSE)</f>
        <v>#N/A</v>
      </c>
      <c r="W1917" s="34" t="e">
        <f>VLOOKUP(Allocation[[#This Row],[SAP Contract number]],Shipments[[SAP Contract number]:[AAA Premium USD]],24,FALSE)</f>
        <v>#N/A</v>
      </c>
      <c r="X1917" s="34" t="e">
        <f>VLOOKUP(Allocation[[#This Row],[SAP Contract number]],Shipments[[SAP Contract number]:[RA Premium USD]],25,FALSE)</f>
        <v>#N/A</v>
      </c>
      <c r="Y1917" s="38">
        <f>Allocation[[#This Row],[Quantity Processed]]/Allocation[[#This Row],[Quantity allocated]]</f>
        <v>3.0302843016069221</v>
      </c>
      <c r="Z1917" s="34" t="b">
        <f>Allocation[[#This Row],[Quantity allocated]]&lt;=Allocation[[#This Row],[Quantity Processed]]</f>
        <v>1</v>
      </c>
    </row>
    <row r="1918" spans="1:26">
      <c r="A1918" s="247" t="s">
        <v>467</v>
      </c>
      <c r="B1918" s="210" t="s">
        <v>68</v>
      </c>
      <c r="C1918" s="254" t="s">
        <v>1696</v>
      </c>
      <c r="D1918" s="255">
        <v>15721</v>
      </c>
      <c r="E1918" s="211" t="s">
        <v>1918</v>
      </c>
      <c r="F1918" s="212">
        <v>43615</v>
      </c>
      <c r="G1918" s="213">
        <v>2.7</v>
      </c>
      <c r="H1918" s="256">
        <v>5188</v>
      </c>
      <c r="I1918" s="214">
        <v>1460307</v>
      </c>
      <c r="J1918" s="215">
        <v>19175</v>
      </c>
      <c r="K1918" s="212">
        <v>43626</v>
      </c>
      <c r="L1918" s="211" t="s">
        <v>1927</v>
      </c>
      <c r="M1918" s="216">
        <v>4615520198</v>
      </c>
      <c r="N1918" s="212">
        <v>43642</v>
      </c>
      <c r="O1918" s="218">
        <v>3.8445</v>
      </c>
      <c r="P1918" s="219"/>
      <c r="Q1918" s="34">
        <f>SUMIF(Allocation[Delivery ID],Allocation[[#This Row],[Delivery ID]],Allocation[Quantity Processed])</f>
        <v>28050</v>
      </c>
      <c r="R1918" s="61">
        <f>Allocation[[#This Row],[Total volume used]]/VLOOKUP(Allocation[[#This Row],[Delivery ID]],Delivery[[Delivery ID]:[Quantity delivered]],3,FALSE)</f>
        <v>1</v>
      </c>
      <c r="S1918" s="34">
        <f>Allocation[[#This Row],[Quantity Processed]]/Allocation[[#This Row],[Dilution rate]]</f>
        <v>5822.5925925925922</v>
      </c>
      <c r="T1918" s="59">
        <f>SUMIF(Allocation[Delivery ID],Allocation[[#This Row],[Delivery ID]],Allocation[Quantity allocated])/SUMIF(Allocation[Delivery ID],Allocation[[#This Row],[Delivery ID]],Allocation[Volume available (kg)])</f>
        <v>0.87623515261673968</v>
      </c>
      <c r="U1918" s="61">
        <f>Allocation[[#This Row],[Total volume used]]/VLOOKUP(Allocation[[#This Row],[Delivery ID]],Delivery[[Delivery ID]:[Quantity delivered]],3,FALSE)</f>
        <v>1</v>
      </c>
      <c r="V1918" s="34" t="e">
        <f>VLOOKUP(Allocation[[#This Row],[SAP Contract number]],Shipments[[SAP Contract number]:[Contracted container weight]],2,FALSE)</f>
        <v>#N/A</v>
      </c>
      <c r="W1918" s="34" t="e">
        <f>VLOOKUP(Allocation[[#This Row],[SAP Contract number]],Shipments[[SAP Contract number]:[AAA Premium USD]],24,FALSE)</f>
        <v>#N/A</v>
      </c>
      <c r="X1918" s="34" t="e">
        <f>VLOOKUP(Allocation[[#This Row],[SAP Contract number]],Shipments[[SAP Contract number]:[RA Premium USD]],25,FALSE)</f>
        <v>#N/A</v>
      </c>
      <c r="Y1918" s="38">
        <f>Allocation[[#This Row],[Quantity Processed]]/Allocation[[#This Row],[Quantity allocated]]</f>
        <v>3.0302621434078643</v>
      </c>
      <c r="Z1918" s="34" t="b">
        <f>Allocation[[#This Row],[Quantity allocated]]&lt;=Allocation[[#This Row],[Quantity Processed]]</f>
        <v>1</v>
      </c>
    </row>
    <row r="1919" spans="1:26">
      <c r="A1919" s="247" t="s">
        <v>467</v>
      </c>
      <c r="B1919" s="210" t="s">
        <v>68</v>
      </c>
      <c r="C1919" s="254" t="s">
        <v>1699</v>
      </c>
      <c r="D1919" s="255">
        <v>2013</v>
      </c>
      <c r="E1919" s="211" t="s">
        <v>1918</v>
      </c>
      <c r="F1919" s="212">
        <v>43615</v>
      </c>
      <c r="G1919" s="213">
        <v>2.7</v>
      </c>
      <c r="H1919" s="256">
        <v>805</v>
      </c>
      <c r="I1919" s="214">
        <v>1460307</v>
      </c>
      <c r="J1919" s="215">
        <v>19175</v>
      </c>
      <c r="K1919" s="212">
        <v>43626</v>
      </c>
      <c r="L1919" s="211" t="s">
        <v>1927</v>
      </c>
      <c r="M1919" s="216">
        <v>4615520198</v>
      </c>
      <c r="N1919" s="212">
        <v>43642</v>
      </c>
      <c r="O1919" s="218">
        <v>3.8445</v>
      </c>
      <c r="P1919" s="219"/>
      <c r="Q1919" s="34">
        <f>SUMIF(Allocation[Delivery ID],Allocation[[#This Row],[Delivery ID]],Allocation[Quantity Processed])</f>
        <v>25571</v>
      </c>
      <c r="R1919" s="61">
        <f>Allocation[[#This Row],[Total volume used]]/VLOOKUP(Allocation[[#This Row],[Delivery ID]],Delivery[[Delivery ID]:[Quantity delivered]],3,FALSE)</f>
        <v>0.94288348082595874</v>
      </c>
      <c r="S1919" s="34">
        <f>Allocation[[#This Row],[Quantity Processed]]/Allocation[[#This Row],[Dilution rate]]</f>
        <v>745.55555555555554</v>
      </c>
      <c r="T1919" s="59">
        <f>SUMIF(Allocation[Delivery ID],Allocation[[#This Row],[Delivery ID]],Allocation[Quantity allocated])/SUMIF(Allocation[Delivery ID],Allocation[[#This Row],[Delivery ID]],Allocation[Volume available (kg)])</f>
        <v>0.86965241001314963</v>
      </c>
      <c r="U1919" s="61">
        <f>Allocation[[#This Row],[Total volume used]]/VLOOKUP(Allocation[[#This Row],[Delivery ID]],Delivery[[Delivery ID]:[Quantity delivered]],3,FALSE)</f>
        <v>0.94288348082595874</v>
      </c>
      <c r="V1919" s="34" t="e">
        <f>VLOOKUP(Allocation[[#This Row],[SAP Contract number]],Shipments[[SAP Contract number]:[Contracted container weight]],2,FALSE)</f>
        <v>#N/A</v>
      </c>
      <c r="W1919" s="34" t="e">
        <f>VLOOKUP(Allocation[[#This Row],[SAP Contract number]],Shipments[[SAP Contract number]:[AAA Premium USD]],24,FALSE)</f>
        <v>#N/A</v>
      </c>
      <c r="X1919" s="34" t="e">
        <f>VLOOKUP(Allocation[[#This Row],[SAP Contract number]],Shipments[[SAP Contract number]:[RA Premium USD]],25,FALSE)</f>
        <v>#N/A</v>
      </c>
      <c r="Y1919" s="38">
        <f>Allocation[[#This Row],[Quantity Processed]]/Allocation[[#This Row],[Quantity allocated]]</f>
        <v>2.5006211180124223</v>
      </c>
      <c r="Z1919" s="34" t="b">
        <f>Allocation[[#This Row],[Quantity allocated]]&lt;=Allocation[[#This Row],[Quantity Processed]]</f>
        <v>1</v>
      </c>
    </row>
    <row r="1920" spans="1:26">
      <c r="A1920" s="247" t="s">
        <v>467</v>
      </c>
      <c r="B1920" s="210" t="s">
        <v>68</v>
      </c>
      <c r="C1920" s="254" t="s">
        <v>1699</v>
      </c>
      <c r="D1920" s="255">
        <v>2635</v>
      </c>
      <c r="E1920" s="211" t="s">
        <v>1918</v>
      </c>
      <c r="F1920" s="212">
        <v>43615</v>
      </c>
      <c r="G1920" s="213">
        <v>2.7</v>
      </c>
      <c r="H1920" s="256">
        <v>1054</v>
      </c>
      <c r="I1920" s="214">
        <v>1460308</v>
      </c>
      <c r="J1920" s="215">
        <v>19175</v>
      </c>
      <c r="K1920" s="212">
        <v>43626</v>
      </c>
      <c r="L1920" s="211" t="s">
        <v>1928</v>
      </c>
      <c r="M1920" s="216">
        <v>4615520198</v>
      </c>
      <c r="N1920" s="212">
        <v>43642</v>
      </c>
      <c r="O1920" s="218">
        <v>3.8445</v>
      </c>
      <c r="P1920" s="219"/>
      <c r="Q1920" s="34">
        <f>SUMIF(Allocation[Delivery ID],Allocation[[#This Row],[Delivery ID]],Allocation[Quantity Processed])</f>
        <v>25571</v>
      </c>
      <c r="R1920" s="61">
        <f>Allocation[[#This Row],[Total volume used]]/VLOOKUP(Allocation[[#This Row],[Delivery ID]],Delivery[[Delivery ID]:[Quantity delivered]],3,FALSE)</f>
        <v>0.94288348082595874</v>
      </c>
      <c r="S1920" s="34">
        <f>Allocation[[#This Row],[Quantity Processed]]/Allocation[[#This Row],[Dilution rate]]</f>
        <v>975.92592592592587</v>
      </c>
      <c r="T1920" s="59">
        <f>SUMIF(Allocation[Delivery ID],Allocation[[#This Row],[Delivery ID]],Allocation[Quantity allocated])/SUMIF(Allocation[Delivery ID],Allocation[[#This Row],[Delivery ID]],Allocation[Volume available (kg)])</f>
        <v>0.86965241001314963</v>
      </c>
      <c r="U1920" s="61">
        <f>Allocation[[#This Row],[Total volume used]]/VLOOKUP(Allocation[[#This Row],[Delivery ID]],Delivery[[Delivery ID]:[Quantity delivered]],3,FALSE)</f>
        <v>0.94288348082595874</v>
      </c>
      <c r="V1920" s="34" t="e">
        <f>VLOOKUP(Allocation[[#This Row],[SAP Contract number]],Shipments[[SAP Contract number]:[Contracted container weight]],2,FALSE)</f>
        <v>#N/A</v>
      </c>
      <c r="W1920" s="34" t="e">
        <f>VLOOKUP(Allocation[[#This Row],[SAP Contract number]],Shipments[[SAP Contract number]:[AAA Premium USD]],24,FALSE)</f>
        <v>#N/A</v>
      </c>
      <c r="X1920" s="34" t="e">
        <f>VLOOKUP(Allocation[[#This Row],[SAP Contract number]],Shipments[[SAP Contract number]:[RA Premium USD]],25,FALSE)</f>
        <v>#N/A</v>
      </c>
      <c r="Y1920" s="38">
        <f>Allocation[[#This Row],[Quantity Processed]]/Allocation[[#This Row],[Quantity allocated]]</f>
        <v>2.5</v>
      </c>
      <c r="Z1920" s="34" t="b">
        <f>Allocation[[#This Row],[Quantity allocated]]&lt;=Allocation[[#This Row],[Quantity Processed]]</f>
        <v>1</v>
      </c>
    </row>
    <row r="1921" spans="1:26">
      <c r="A1921" s="247" t="s">
        <v>467</v>
      </c>
      <c r="B1921" s="210" t="s">
        <v>68</v>
      </c>
      <c r="C1921" s="254" t="s">
        <v>1700</v>
      </c>
      <c r="D1921" s="255">
        <v>4645</v>
      </c>
      <c r="E1921" s="211" t="s">
        <v>1918</v>
      </c>
      <c r="F1921" s="212">
        <v>43615</v>
      </c>
      <c r="G1921" s="213">
        <v>2.7</v>
      </c>
      <c r="H1921" s="256">
        <v>1858</v>
      </c>
      <c r="I1921" s="214">
        <v>1460308</v>
      </c>
      <c r="J1921" s="215">
        <v>19175</v>
      </c>
      <c r="K1921" s="212">
        <v>43626</v>
      </c>
      <c r="L1921" s="211" t="s">
        <v>1928</v>
      </c>
      <c r="M1921" s="216">
        <v>4615520198</v>
      </c>
      <c r="N1921" s="212">
        <v>43642</v>
      </c>
      <c r="O1921" s="218">
        <v>3.8445</v>
      </c>
      <c r="P1921" s="219"/>
      <c r="Q1921" s="34">
        <f>SUMIF(Allocation[Delivery ID],Allocation[[#This Row],[Delivery ID]],Allocation[Quantity Processed])</f>
        <v>25553</v>
      </c>
      <c r="R1921" s="61">
        <f>Allocation[[#This Row],[Total volume used]]/VLOOKUP(Allocation[[#This Row],[Delivery ID]],Delivery[[Delivery ID]:[Quantity delivered]],3,FALSE)</f>
        <v>0.9429151291512915</v>
      </c>
      <c r="S1921" s="34">
        <f>Allocation[[#This Row],[Quantity Processed]]/Allocation[[#This Row],[Dilution rate]]</f>
        <v>1720.3703703703702</v>
      </c>
      <c r="T1921" s="59">
        <f>SUMIF(Allocation[Delivery ID],Allocation[[#This Row],[Delivery ID]],Allocation[Quantity allocated])/SUMIF(Allocation[Delivery ID],Allocation[[#This Row],[Delivery ID]],Allocation[Volume available (kg)])</f>
        <v>0.86966397979306564</v>
      </c>
      <c r="U1921" s="61">
        <f>Allocation[[#This Row],[Total volume used]]/VLOOKUP(Allocation[[#This Row],[Delivery ID]],Delivery[[Delivery ID]:[Quantity delivered]],3,FALSE)</f>
        <v>0.9429151291512915</v>
      </c>
      <c r="V1921" s="34" t="e">
        <f>VLOOKUP(Allocation[[#This Row],[SAP Contract number]],Shipments[[SAP Contract number]:[Contracted container weight]],2,FALSE)</f>
        <v>#N/A</v>
      </c>
      <c r="W1921" s="34" t="e">
        <f>VLOOKUP(Allocation[[#This Row],[SAP Contract number]],Shipments[[SAP Contract number]:[AAA Premium USD]],24,FALSE)</f>
        <v>#N/A</v>
      </c>
      <c r="X1921" s="34" t="e">
        <f>VLOOKUP(Allocation[[#This Row],[SAP Contract number]],Shipments[[SAP Contract number]:[RA Premium USD]],25,FALSE)</f>
        <v>#N/A</v>
      </c>
      <c r="Y1921" s="38">
        <f>Allocation[[#This Row],[Quantity Processed]]/Allocation[[#This Row],[Quantity allocated]]</f>
        <v>2.5</v>
      </c>
      <c r="Z1921" s="34" t="b">
        <f>Allocation[[#This Row],[Quantity allocated]]&lt;=Allocation[[#This Row],[Quantity Processed]]</f>
        <v>1</v>
      </c>
    </row>
    <row r="1922" spans="1:26">
      <c r="A1922" s="247" t="s">
        <v>467</v>
      </c>
      <c r="B1922" s="210" t="s">
        <v>68</v>
      </c>
      <c r="C1922" s="254" t="s">
        <v>1704</v>
      </c>
      <c r="D1922" s="255">
        <v>4645</v>
      </c>
      <c r="E1922" s="211" t="s">
        <v>1918</v>
      </c>
      <c r="F1922" s="212">
        <v>43615</v>
      </c>
      <c r="G1922" s="213">
        <v>2.7</v>
      </c>
      <c r="H1922" s="256">
        <v>1858</v>
      </c>
      <c r="I1922" s="214">
        <v>1460308</v>
      </c>
      <c r="J1922" s="215">
        <v>19175</v>
      </c>
      <c r="K1922" s="212">
        <v>43626</v>
      </c>
      <c r="L1922" s="211" t="s">
        <v>1928</v>
      </c>
      <c r="M1922" s="216">
        <v>4615520198</v>
      </c>
      <c r="N1922" s="212">
        <v>43642</v>
      </c>
      <c r="O1922" s="218">
        <v>3.8445</v>
      </c>
      <c r="P1922" s="219"/>
      <c r="Q1922" s="34">
        <f>SUMIF(Allocation[Delivery ID],Allocation[[#This Row],[Delivery ID]],Allocation[Quantity Processed])</f>
        <v>25561</v>
      </c>
      <c r="R1922" s="61">
        <f>Allocation[[#This Row],[Total volume used]]/VLOOKUP(Allocation[[#This Row],[Delivery ID]],Delivery[[Delivery ID]:[Quantity delivered]],3,FALSE)</f>
        <v>0.94286241239395052</v>
      </c>
      <c r="S1922" s="34">
        <f>Allocation[[#This Row],[Quantity Processed]]/Allocation[[#This Row],[Dilution rate]]</f>
        <v>1720.3703703703702</v>
      </c>
      <c r="T1922" s="59">
        <f>SUMIF(Allocation[Delivery ID],Allocation[[#This Row],[Delivery ID]],Allocation[Quantity allocated])/SUMIF(Allocation[Delivery ID],Allocation[[#This Row],[Delivery ID]],Allocation[Volume available (kg)])</f>
        <v>0.8696507026449507</v>
      </c>
      <c r="U1922" s="61">
        <f>Allocation[[#This Row],[Total volume used]]/VLOOKUP(Allocation[[#This Row],[Delivery ID]],Delivery[[Delivery ID]:[Quantity delivered]],3,FALSE)</f>
        <v>0.94286241239395052</v>
      </c>
      <c r="V1922" s="34" t="e">
        <f>VLOOKUP(Allocation[[#This Row],[SAP Contract number]],Shipments[[SAP Contract number]:[Contracted container weight]],2,FALSE)</f>
        <v>#N/A</v>
      </c>
      <c r="W1922" s="34" t="e">
        <f>VLOOKUP(Allocation[[#This Row],[SAP Contract number]],Shipments[[SAP Contract number]:[AAA Premium USD]],24,FALSE)</f>
        <v>#N/A</v>
      </c>
      <c r="X1922" s="34" t="e">
        <f>VLOOKUP(Allocation[[#This Row],[SAP Contract number]],Shipments[[SAP Contract number]:[RA Premium USD]],25,FALSE)</f>
        <v>#N/A</v>
      </c>
      <c r="Y1922" s="38">
        <f>Allocation[[#This Row],[Quantity Processed]]/Allocation[[#This Row],[Quantity allocated]]</f>
        <v>2.5</v>
      </c>
      <c r="Z1922" s="34" t="b">
        <f>Allocation[[#This Row],[Quantity allocated]]&lt;=Allocation[[#This Row],[Quantity Processed]]</f>
        <v>1</v>
      </c>
    </row>
    <row r="1923" spans="1:26">
      <c r="A1923" s="247" t="s">
        <v>467</v>
      </c>
      <c r="B1923" s="210" t="s">
        <v>68</v>
      </c>
      <c r="C1923" s="254" t="s">
        <v>1710</v>
      </c>
      <c r="D1923" s="255">
        <v>8576</v>
      </c>
      <c r="E1923" s="211" t="s">
        <v>1918</v>
      </c>
      <c r="F1923" s="212">
        <v>43615</v>
      </c>
      <c r="G1923" s="213">
        <v>2.7</v>
      </c>
      <c r="H1923" s="256">
        <v>2830</v>
      </c>
      <c r="I1923" s="214">
        <v>1460308</v>
      </c>
      <c r="J1923" s="215">
        <v>19175</v>
      </c>
      <c r="K1923" s="212">
        <v>43626</v>
      </c>
      <c r="L1923" s="211" t="s">
        <v>1928</v>
      </c>
      <c r="M1923" s="216">
        <v>4615520198</v>
      </c>
      <c r="N1923" s="212">
        <v>43642</v>
      </c>
      <c r="O1923" s="218">
        <v>3.8445</v>
      </c>
      <c r="P1923" s="219"/>
      <c r="Q1923" s="34">
        <f>SUMIF(Allocation[Delivery ID],Allocation[[#This Row],[Delivery ID]],Allocation[Quantity Processed])</f>
        <v>15300</v>
      </c>
      <c r="R1923" s="61">
        <f>Allocation[[#This Row],[Total volume used]]/VLOOKUP(Allocation[[#This Row],[Delivery ID]],Delivery[[Delivery ID]:[Quantity delivered]],3,FALSE)</f>
        <v>1</v>
      </c>
      <c r="S1923" s="34">
        <f>Allocation[[#This Row],[Quantity Processed]]/Allocation[[#This Row],[Dilution rate]]</f>
        <v>3176.2962962962961</v>
      </c>
      <c r="T1923" s="59">
        <f>SUMIF(Allocation[Delivery ID],Allocation[[#This Row],[Delivery ID]],Allocation[Quantity allocated])/SUMIF(Allocation[Delivery ID],Allocation[[#This Row],[Delivery ID]],Allocation[Volume available (kg)])</f>
        <v>0.87618979343623615</v>
      </c>
      <c r="U1923" s="61">
        <f>Allocation[[#This Row],[Total volume used]]/VLOOKUP(Allocation[[#This Row],[Delivery ID]],Delivery[[Delivery ID]:[Quantity delivered]],3,FALSE)</f>
        <v>1</v>
      </c>
      <c r="V1923" s="34" t="e">
        <f>VLOOKUP(Allocation[[#This Row],[SAP Contract number]],Shipments[[SAP Contract number]:[Contracted container weight]],2,FALSE)</f>
        <v>#N/A</v>
      </c>
      <c r="W1923" s="34" t="e">
        <f>VLOOKUP(Allocation[[#This Row],[SAP Contract number]],Shipments[[SAP Contract number]:[AAA Premium USD]],24,FALSE)</f>
        <v>#N/A</v>
      </c>
      <c r="X1923" s="34" t="e">
        <f>VLOOKUP(Allocation[[#This Row],[SAP Contract number]],Shipments[[SAP Contract number]:[RA Premium USD]],25,FALSE)</f>
        <v>#N/A</v>
      </c>
      <c r="Y1923" s="38">
        <f>Allocation[[#This Row],[Quantity Processed]]/Allocation[[#This Row],[Quantity allocated]]</f>
        <v>3.0303886925795052</v>
      </c>
      <c r="Z1923" s="34" t="b">
        <f>Allocation[[#This Row],[Quantity allocated]]&lt;=Allocation[[#This Row],[Quantity Processed]]</f>
        <v>1</v>
      </c>
    </row>
    <row r="1924" spans="1:26">
      <c r="A1924" s="247" t="s">
        <v>467</v>
      </c>
      <c r="B1924" s="210" t="s">
        <v>68</v>
      </c>
      <c r="C1924" s="254" t="s">
        <v>1711</v>
      </c>
      <c r="D1924" s="255">
        <v>16002</v>
      </c>
      <c r="E1924" s="211" t="s">
        <v>1918</v>
      </c>
      <c r="F1924" s="212">
        <v>43615</v>
      </c>
      <c r="G1924" s="213">
        <v>2.7</v>
      </c>
      <c r="H1924" s="256">
        <v>6561</v>
      </c>
      <c r="I1924" s="214">
        <v>1460308</v>
      </c>
      <c r="J1924" s="215">
        <v>19175</v>
      </c>
      <c r="K1924" s="212">
        <v>43626</v>
      </c>
      <c r="L1924" s="211" t="s">
        <v>1928</v>
      </c>
      <c r="M1924" s="216">
        <v>4615520198</v>
      </c>
      <c r="N1924" s="212">
        <v>43642</v>
      </c>
      <c r="O1924" s="218">
        <v>3.8445</v>
      </c>
      <c r="P1924" s="219"/>
      <c r="Q1924" s="34">
        <f>SUMIF(Allocation[Delivery ID],Allocation[[#This Row],[Delivery ID]],Allocation[Quantity Processed])</f>
        <v>28546</v>
      </c>
      <c r="R1924" s="61">
        <f>Allocation[[#This Row],[Total volume used]]/VLOOKUP(Allocation[[#This Row],[Delivery ID]],Delivery[[Delivery ID]:[Quantity delivered]],3,FALSE)</f>
        <v>0.79338521400778206</v>
      </c>
      <c r="S1924" s="34">
        <f>Allocation[[#This Row],[Quantity Processed]]/Allocation[[#This Row],[Dilution rate]]</f>
        <v>5926.6666666666661</v>
      </c>
      <c r="T1924" s="59">
        <f>SUMIF(Allocation[Delivery ID],Allocation[[#This Row],[Delivery ID]],Allocation[Quantity allocated])/SUMIF(Allocation[Delivery ID],Allocation[[#This Row],[Delivery ID]],Allocation[Volume available (kg)])</f>
        <v>1.0886143572621036</v>
      </c>
      <c r="U1924" s="61">
        <f>Allocation[[#This Row],[Total volume used]]/VLOOKUP(Allocation[[#This Row],[Delivery ID]],Delivery[[Delivery ID]:[Quantity delivered]],3,FALSE)</f>
        <v>0.79338521400778206</v>
      </c>
      <c r="V1924" s="34" t="e">
        <f>VLOOKUP(Allocation[[#This Row],[SAP Contract number]],Shipments[[SAP Contract number]:[Contracted container weight]],2,FALSE)</f>
        <v>#N/A</v>
      </c>
      <c r="W1924" s="34" t="e">
        <f>VLOOKUP(Allocation[[#This Row],[SAP Contract number]],Shipments[[SAP Contract number]:[AAA Premium USD]],24,FALSE)</f>
        <v>#N/A</v>
      </c>
      <c r="X1924" s="34" t="e">
        <f>VLOOKUP(Allocation[[#This Row],[SAP Contract number]],Shipments[[SAP Contract number]:[RA Premium USD]],25,FALSE)</f>
        <v>#N/A</v>
      </c>
      <c r="Y1924" s="38">
        <f>Allocation[[#This Row],[Quantity Processed]]/Allocation[[#This Row],[Quantity allocated]]</f>
        <v>2.438957475994513</v>
      </c>
      <c r="Z1924" s="34" t="b">
        <f>Allocation[[#This Row],[Quantity allocated]]&lt;=Allocation[[#This Row],[Quantity Processed]]</f>
        <v>1</v>
      </c>
    </row>
    <row r="1925" spans="1:26">
      <c r="A1925" s="247" t="s">
        <v>467</v>
      </c>
      <c r="B1925" s="210" t="s">
        <v>68</v>
      </c>
      <c r="C1925" s="254" t="s">
        <v>1734</v>
      </c>
      <c r="D1925" s="255">
        <v>15194</v>
      </c>
      <c r="E1925" s="211" t="s">
        <v>1918</v>
      </c>
      <c r="F1925" s="212">
        <v>43615</v>
      </c>
      <c r="G1925" s="213">
        <v>2.7</v>
      </c>
      <c r="H1925" s="256">
        <v>5014</v>
      </c>
      <c r="I1925" s="214">
        <v>1460308</v>
      </c>
      <c r="J1925" s="215">
        <v>19175</v>
      </c>
      <c r="K1925" s="212">
        <v>43626</v>
      </c>
      <c r="L1925" s="211" t="s">
        <v>1928</v>
      </c>
      <c r="M1925" s="216">
        <v>4615520198</v>
      </c>
      <c r="N1925" s="212">
        <v>43642</v>
      </c>
      <c r="O1925" s="218">
        <v>3.8445</v>
      </c>
      <c r="P1925" s="219"/>
      <c r="Q1925" s="34">
        <f>SUMIF(Allocation[Delivery ID],Allocation[[#This Row],[Delivery ID]],Allocation[Quantity Processed])</f>
        <v>29457</v>
      </c>
      <c r="R1925" s="61">
        <f>Allocation[[#This Row],[Total volume used]]/VLOOKUP(Allocation[[#This Row],[Delivery ID]],Delivery[[Delivery ID]:[Quantity delivered]],3,FALSE)</f>
        <v>0.82651515151515154</v>
      </c>
      <c r="S1925" s="34">
        <f>Allocation[[#This Row],[Quantity Processed]]/Allocation[[#This Row],[Dilution rate]]</f>
        <v>5627.4074074074069</v>
      </c>
      <c r="T1925" s="59">
        <f>SUMIF(Allocation[Delivery ID],Allocation[[#This Row],[Delivery ID]],Allocation[Quantity allocated])/SUMIF(Allocation[Delivery ID],Allocation[[#This Row],[Delivery ID]],Allocation[Volume available (kg)])</f>
        <v>0.87661867441478591</v>
      </c>
      <c r="U1925" s="61">
        <f>Allocation[[#This Row],[Total volume used]]/VLOOKUP(Allocation[[#This Row],[Delivery ID]],Delivery[[Delivery ID]:[Quantity delivered]],3,FALSE)</f>
        <v>0.82651515151515154</v>
      </c>
      <c r="V1925" s="34" t="e">
        <f>VLOOKUP(Allocation[[#This Row],[SAP Contract number]],Shipments[[SAP Contract number]:[Contracted container weight]],2,FALSE)</f>
        <v>#N/A</v>
      </c>
      <c r="W1925" s="34" t="e">
        <f>VLOOKUP(Allocation[[#This Row],[SAP Contract number]],Shipments[[SAP Contract number]:[AAA Premium USD]],24,FALSE)</f>
        <v>#N/A</v>
      </c>
      <c r="X1925" s="34" t="e">
        <f>VLOOKUP(Allocation[[#This Row],[SAP Contract number]],Shipments[[SAP Contract number]:[RA Premium USD]],25,FALSE)</f>
        <v>#N/A</v>
      </c>
      <c r="Y1925" s="38">
        <f>Allocation[[#This Row],[Quantity Processed]]/Allocation[[#This Row],[Quantity allocated]]</f>
        <v>3.0303151176705225</v>
      </c>
      <c r="Z1925" s="34" t="b">
        <f>Allocation[[#This Row],[Quantity allocated]]&lt;=Allocation[[#This Row],[Quantity Processed]]</f>
        <v>1</v>
      </c>
    </row>
    <row r="1926" spans="1:26">
      <c r="A1926" s="247" t="s">
        <v>467</v>
      </c>
      <c r="B1926" s="210" t="s">
        <v>68</v>
      </c>
      <c r="C1926" s="254" t="s">
        <v>1734</v>
      </c>
      <c r="D1926" s="255">
        <v>524</v>
      </c>
      <c r="E1926" s="211" t="s">
        <v>1918</v>
      </c>
      <c r="F1926" s="212">
        <v>43615</v>
      </c>
      <c r="G1926" s="213">
        <v>2.7</v>
      </c>
      <c r="H1926" s="256">
        <v>173</v>
      </c>
      <c r="I1926" s="214">
        <v>1460309</v>
      </c>
      <c r="J1926" s="215">
        <v>19175</v>
      </c>
      <c r="K1926" s="212">
        <v>43626</v>
      </c>
      <c r="L1926" s="211" t="s">
        <v>1929</v>
      </c>
      <c r="M1926" s="216">
        <v>4615520198</v>
      </c>
      <c r="N1926" s="212">
        <v>43642</v>
      </c>
      <c r="O1926" s="218">
        <v>3.8445</v>
      </c>
      <c r="P1926" s="219"/>
      <c r="Q1926" s="34">
        <f>SUMIF(Allocation[Delivery ID],Allocation[[#This Row],[Delivery ID]],Allocation[Quantity Processed])</f>
        <v>29457</v>
      </c>
      <c r="R1926" s="61">
        <f>Allocation[[#This Row],[Total volume used]]/VLOOKUP(Allocation[[#This Row],[Delivery ID]],Delivery[[Delivery ID]:[Quantity delivered]],3,FALSE)</f>
        <v>0.82651515151515154</v>
      </c>
      <c r="S1926" s="34">
        <f>Allocation[[#This Row],[Quantity Processed]]/Allocation[[#This Row],[Dilution rate]]</f>
        <v>194.07407407407405</v>
      </c>
      <c r="T1926" s="59">
        <f>SUMIF(Allocation[Delivery ID],Allocation[[#This Row],[Delivery ID]],Allocation[Quantity allocated])/SUMIF(Allocation[Delivery ID],Allocation[[#This Row],[Delivery ID]],Allocation[Volume available (kg)])</f>
        <v>0.87661867441478591</v>
      </c>
      <c r="U1926" s="61">
        <f>Allocation[[#This Row],[Total volume used]]/VLOOKUP(Allocation[[#This Row],[Delivery ID]],Delivery[[Delivery ID]:[Quantity delivered]],3,FALSE)</f>
        <v>0.82651515151515154</v>
      </c>
      <c r="V1926" s="34" t="e">
        <f>VLOOKUP(Allocation[[#This Row],[SAP Contract number]],Shipments[[SAP Contract number]:[Contracted container weight]],2,FALSE)</f>
        <v>#N/A</v>
      </c>
      <c r="W1926" s="34" t="e">
        <f>VLOOKUP(Allocation[[#This Row],[SAP Contract number]],Shipments[[SAP Contract number]:[AAA Premium USD]],24,FALSE)</f>
        <v>#N/A</v>
      </c>
      <c r="X1926" s="34" t="e">
        <f>VLOOKUP(Allocation[[#This Row],[SAP Contract number]],Shipments[[SAP Contract number]:[RA Premium USD]],25,FALSE)</f>
        <v>#N/A</v>
      </c>
      <c r="Y1926" s="38">
        <f>Allocation[[#This Row],[Quantity Processed]]/Allocation[[#This Row],[Quantity allocated]]</f>
        <v>3.0289017341040463</v>
      </c>
      <c r="Z1926" s="34" t="b">
        <f>Allocation[[#This Row],[Quantity allocated]]&lt;=Allocation[[#This Row],[Quantity Processed]]</f>
        <v>1</v>
      </c>
    </row>
    <row r="1927" spans="1:26">
      <c r="A1927" s="247" t="s">
        <v>467</v>
      </c>
      <c r="B1927" s="210" t="s">
        <v>68</v>
      </c>
      <c r="C1927" s="254" t="s">
        <v>1736</v>
      </c>
      <c r="D1927" s="255">
        <v>5334</v>
      </c>
      <c r="E1927" s="211" t="s">
        <v>1918</v>
      </c>
      <c r="F1927" s="212">
        <v>43615</v>
      </c>
      <c r="G1927" s="213">
        <v>2.7</v>
      </c>
      <c r="H1927" s="256">
        <v>2347</v>
      </c>
      <c r="I1927" s="214">
        <v>1460309</v>
      </c>
      <c r="J1927" s="215">
        <v>19175</v>
      </c>
      <c r="K1927" s="212">
        <v>43626</v>
      </c>
      <c r="L1927" s="211" t="s">
        <v>1929</v>
      </c>
      <c r="M1927" s="216">
        <v>4615520198</v>
      </c>
      <c r="N1927" s="212">
        <v>43642</v>
      </c>
      <c r="O1927" s="218">
        <v>3.8445</v>
      </c>
      <c r="P1927" s="219"/>
      <c r="Q1927" s="34">
        <f>SUMIF(Allocation[Delivery ID],Allocation[[#This Row],[Delivery ID]],Allocation[Quantity Processed])</f>
        <v>9861</v>
      </c>
      <c r="R1927" s="61">
        <f>Allocation[[#This Row],[Total volume used]]/VLOOKUP(Allocation[[#This Row],[Delivery ID]],Delivery[[Delivery ID]:[Quantity delivered]],3,FALSE)</f>
        <v>0.70764262648008613</v>
      </c>
      <c r="S1927" s="34">
        <f>Allocation[[#This Row],[Quantity Processed]]/Allocation[[#This Row],[Dilution rate]]</f>
        <v>1975.5555555555554</v>
      </c>
      <c r="T1927" s="59">
        <f>SUMIF(Allocation[Delivery ID],Allocation[[#This Row],[Delivery ID]],Allocation[Quantity allocated])/SUMIF(Allocation[Delivery ID],Allocation[[#This Row],[Delivery ID]],Allocation[Volume available (kg)])</f>
        <v>1.1674305228179509</v>
      </c>
      <c r="U1927" s="61">
        <f>Allocation[[#This Row],[Total volume used]]/VLOOKUP(Allocation[[#This Row],[Delivery ID]],Delivery[[Delivery ID]:[Quantity delivered]],3,FALSE)</f>
        <v>0.70764262648008613</v>
      </c>
      <c r="V1927" s="34" t="e">
        <f>VLOOKUP(Allocation[[#This Row],[SAP Contract number]],Shipments[[SAP Contract number]:[Contracted container weight]],2,FALSE)</f>
        <v>#N/A</v>
      </c>
      <c r="W1927" s="34" t="e">
        <f>VLOOKUP(Allocation[[#This Row],[SAP Contract number]],Shipments[[SAP Contract number]:[AAA Premium USD]],24,FALSE)</f>
        <v>#N/A</v>
      </c>
      <c r="X1927" s="34" t="e">
        <f>VLOOKUP(Allocation[[#This Row],[SAP Contract number]],Shipments[[SAP Contract number]:[RA Premium USD]],25,FALSE)</f>
        <v>#N/A</v>
      </c>
      <c r="Y1927" s="38">
        <f>Allocation[[#This Row],[Quantity Processed]]/Allocation[[#This Row],[Quantity allocated]]</f>
        <v>2.2726885385598639</v>
      </c>
      <c r="Z1927" s="34" t="b">
        <f>Allocation[[#This Row],[Quantity allocated]]&lt;=Allocation[[#This Row],[Quantity Processed]]</f>
        <v>1</v>
      </c>
    </row>
    <row r="1928" spans="1:26">
      <c r="A1928" s="247" t="s">
        <v>467</v>
      </c>
      <c r="B1928" s="210" t="s">
        <v>68</v>
      </c>
      <c r="C1928" s="254" t="s">
        <v>1737</v>
      </c>
      <c r="D1928" s="255">
        <v>9409</v>
      </c>
      <c r="E1928" s="211" t="s">
        <v>1918</v>
      </c>
      <c r="F1928" s="212">
        <v>43615</v>
      </c>
      <c r="G1928" s="213">
        <v>2.7</v>
      </c>
      <c r="H1928" s="256">
        <v>4140</v>
      </c>
      <c r="I1928" s="214">
        <v>1460309</v>
      </c>
      <c r="J1928" s="215">
        <v>19175</v>
      </c>
      <c r="K1928" s="212">
        <v>43626</v>
      </c>
      <c r="L1928" s="211" t="s">
        <v>1929</v>
      </c>
      <c r="M1928" s="216">
        <v>4615520198</v>
      </c>
      <c r="N1928" s="212">
        <v>43642</v>
      </c>
      <c r="O1928" s="218">
        <v>3.8445</v>
      </c>
      <c r="P1928" s="219"/>
      <c r="Q1928" s="34">
        <f>SUMIF(Allocation[Delivery ID],Allocation[[#This Row],[Delivery ID]],Allocation[Quantity Processed])</f>
        <v>17393</v>
      </c>
      <c r="R1928" s="61">
        <f>Allocation[[#This Row],[Total volume used]]/VLOOKUP(Allocation[[#This Row],[Delivery ID]],Delivery[[Delivery ID]:[Quantity delivered]],3,FALSE)</f>
        <v>0.7076941856207023</v>
      </c>
      <c r="S1928" s="34">
        <f>Allocation[[#This Row],[Quantity Processed]]/Allocation[[#This Row],[Dilution rate]]</f>
        <v>3484.8148148148148</v>
      </c>
      <c r="T1928" s="59">
        <f>SUMIF(Allocation[Delivery ID],Allocation[[#This Row],[Delivery ID]],Allocation[Quantity allocated])/SUMIF(Allocation[Delivery ID],Allocation[[#This Row],[Delivery ID]],Allocation[Volume available (kg)])</f>
        <v>1.1674017062072743</v>
      </c>
      <c r="U1928" s="61">
        <f>Allocation[[#This Row],[Total volume used]]/VLOOKUP(Allocation[[#This Row],[Delivery ID]],Delivery[[Delivery ID]:[Quantity delivered]],3,FALSE)</f>
        <v>0.7076941856207023</v>
      </c>
      <c r="V1928" s="34" t="e">
        <f>VLOOKUP(Allocation[[#This Row],[SAP Contract number]],Shipments[[SAP Contract number]:[Contracted container weight]],2,FALSE)</f>
        <v>#N/A</v>
      </c>
      <c r="W1928" s="34" t="e">
        <f>VLOOKUP(Allocation[[#This Row],[SAP Contract number]],Shipments[[SAP Contract number]:[AAA Premium USD]],24,FALSE)</f>
        <v>#N/A</v>
      </c>
      <c r="X1928" s="34" t="e">
        <f>VLOOKUP(Allocation[[#This Row],[SAP Contract number]],Shipments[[SAP Contract number]:[RA Premium USD]],25,FALSE)</f>
        <v>#N/A</v>
      </c>
      <c r="Y1928" s="38">
        <f>Allocation[[#This Row],[Quantity Processed]]/Allocation[[#This Row],[Quantity allocated]]</f>
        <v>2.272705314009662</v>
      </c>
      <c r="Z1928" s="34" t="b">
        <f>Allocation[[#This Row],[Quantity allocated]]&lt;=Allocation[[#This Row],[Quantity Processed]]</f>
        <v>1</v>
      </c>
    </row>
    <row r="1929" spans="1:26">
      <c r="A1929" s="247" t="s">
        <v>467</v>
      </c>
      <c r="B1929" s="210" t="s">
        <v>68</v>
      </c>
      <c r="C1929" s="254" t="s">
        <v>1755</v>
      </c>
      <c r="D1929" s="255">
        <v>3640</v>
      </c>
      <c r="E1929" s="211" t="s">
        <v>1918</v>
      </c>
      <c r="F1929" s="212">
        <v>43615</v>
      </c>
      <c r="G1929" s="213">
        <v>2.7</v>
      </c>
      <c r="H1929" s="256">
        <v>3276</v>
      </c>
      <c r="I1929" s="214">
        <v>1460309</v>
      </c>
      <c r="J1929" s="215">
        <v>19175</v>
      </c>
      <c r="K1929" s="212">
        <v>43626</v>
      </c>
      <c r="L1929" s="211" t="s">
        <v>1929</v>
      </c>
      <c r="M1929" s="216">
        <v>4615520198</v>
      </c>
      <c r="N1929" s="212">
        <v>43642</v>
      </c>
      <c r="O1929" s="218">
        <v>3.8445</v>
      </c>
      <c r="P1929" s="219"/>
      <c r="Q1929" s="34">
        <f>SUMIF(Allocation[Delivery ID],Allocation[[#This Row],[Delivery ID]],Allocation[Quantity Processed])</f>
        <v>6728</v>
      </c>
      <c r="R1929" s="61">
        <f>Allocation[[#This Row],[Total volume used]]/VLOOKUP(Allocation[[#This Row],[Delivery ID]],Delivery[[Delivery ID]:[Quantity delivered]],3,FALSE)</f>
        <v>0.37989836250705816</v>
      </c>
      <c r="S1929" s="34">
        <f>Allocation[[#This Row],[Quantity Processed]]/Allocation[[#This Row],[Dilution rate]]</f>
        <v>1348.148148148148</v>
      </c>
      <c r="T1929" s="59">
        <f>SUMIF(Allocation[Delivery ID],Allocation[[#This Row],[Delivery ID]],Allocation[Quantity allocated])/SUMIF(Allocation[Delivery ID],Allocation[[#This Row],[Delivery ID]],Allocation[Volume available (kg)])</f>
        <v>2.3877685151896464</v>
      </c>
      <c r="U1929" s="61">
        <f>Allocation[[#This Row],[Total volume used]]/VLOOKUP(Allocation[[#This Row],[Delivery ID]],Delivery[[Delivery ID]:[Quantity delivered]],3,FALSE)</f>
        <v>0.37989836250705816</v>
      </c>
      <c r="V1929" s="34" t="e">
        <f>VLOOKUP(Allocation[[#This Row],[SAP Contract number]],Shipments[[SAP Contract number]:[Contracted container weight]],2,FALSE)</f>
        <v>#N/A</v>
      </c>
      <c r="W1929" s="34" t="e">
        <f>VLOOKUP(Allocation[[#This Row],[SAP Contract number]],Shipments[[SAP Contract number]:[AAA Premium USD]],24,FALSE)</f>
        <v>#N/A</v>
      </c>
      <c r="X1929" s="34" t="e">
        <f>VLOOKUP(Allocation[[#This Row],[SAP Contract number]],Shipments[[SAP Contract number]:[RA Premium USD]],25,FALSE)</f>
        <v>#N/A</v>
      </c>
      <c r="Y1929" s="38">
        <f>Allocation[[#This Row],[Quantity Processed]]/Allocation[[#This Row],[Quantity allocated]]</f>
        <v>1.1111111111111112</v>
      </c>
      <c r="Z1929" s="34" t="b">
        <f>Allocation[[#This Row],[Quantity allocated]]&lt;=Allocation[[#This Row],[Quantity Processed]]</f>
        <v>1</v>
      </c>
    </row>
    <row r="1930" spans="1:26">
      <c r="A1930" s="247" t="s">
        <v>467</v>
      </c>
      <c r="B1930" s="210" t="s">
        <v>68</v>
      </c>
      <c r="C1930" s="254" t="s">
        <v>1756</v>
      </c>
      <c r="D1930" s="255">
        <v>9841</v>
      </c>
      <c r="E1930" s="211" t="s">
        <v>1918</v>
      </c>
      <c r="F1930" s="212">
        <v>43615</v>
      </c>
      <c r="G1930" s="213">
        <v>2.7</v>
      </c>
      <c r="H1930" s="256">
        <v>3248</v>
      </c>
      <c r="I1930" s="214">
        <v>1460309</v>
      </c>
      <c r="J1930" s="215">
        <v>19175</v>
      </c>
      <c r="K1930" s="212">
        <v>43626</v>
      </c>
      <c r="L1930" s="211" t="s">
        <v>1929</v>
      </c>
      <c r="M1930" s="216">
        <v>4615520198</v>
      </c>
      <c r="N1930" s="212">
        <v>43642</v>
      </c>
      <c r="O1930" s="218">
        <v>3.8445</v>
      </c>
      <c r="P1930" s="219"/>
      <c r="Q1930" s="34">
        <f>SUMIF(Allocation[Delivery ID],Allocation[[#This Row],[Delivery ID]],Allocation[Quantity Processed])</f>
        <v>24832</v>
      </c>
      <c r="R1930" s="61">
        <f>Allocation[[#This Row],[Total volume used]]/VLOOKUP(Allocation[[#This Row],[Delivery ID]],Delivery[[Delivery ID]:[Quantity delivered]],3,FALSE)</f>
        <v>1</v>
      </c>
      <c r="S1930" s="34">
        <f>Allocation[[#This Row],[Quantity Processed]]/Allocation[[#This Row],[Dilution rate]]</f>
        <v>3644.8148148148148</v>
      </c>
      <c r="T1930" s="59">
        <f>SUMIF(Allocation[Delivery ID],Allocation[[#This Row],[Delivery ID]],Allocation[Quantity allocated])/SUMIF(Allocation[Delivery ID],Allocation[[#This Row],[Delivery ID]],Allocation[Volume available (kg)])</f>
        <v>0.88486077980064393</v>
      </c>
      <c r="U1930" s="61">
        <f>Allocation[[#This Row],[Total volume used]]/VLOOKUP(Allocation[[#This Row],[Delivery ID]],Delivery[[Delivery ID]:[Quantity delivered]],3,FALSE)</f>
        <v>1</v>
      </c>
      <c r="V1930" s="34" t="e">
        <f>VLOOKUP(Allocation[[#This Row],[SAP Contract number]],Shipments[[SAP Contract number]:[Contracted container weight]],2,FALSE)</f>
        <v>#N/A</v>
      </c>
      <c r="W1930" s="34" t="e">
        <f>VLOOKUP(Allocation[[#This Row],[SAP Contract number]],Shipments[[SAP Contract number]:[AAA Premium USD]],24,FALSE)</f>
        <v>#N/A</v>
      </c>
      <c r="X1930" s="34" t="e">
        <f>VLOOKUP(Allocation[[#This Row],[SAP Contract number]],Shipments[[SAP Contract number]:[RA Premium USD]],25,FALSE)</f>
        <v>#N/A</v>
      </c>
      <c r="Y1930" s="38">
        <f>Allocation[[#This Row],[Quantity Processed]]/Allocation[[#This Row],[Quantity allocated]]</f>
        <v>3.0298645320197046</v>
      </c>
      <c r="Z1930" s="34" t="b">
        <f>Allocation[[#This Row],[Quantity allocated]]&lt;=Allocation[[#This Row],[Quantity Processed]]</f>
        <v>1</v>
      </c>
    </row>
    <row r="1931" spans="1:26">
      <c r="A1931" s="247" t="s">
        <v>467</v>
      </c>
      <c r="B1931" s="210" t="s">
        <v>68</v>
      </c>
      <c r="C1931" s="254" t="s">
        <v>1757</v>
      </c>
      <c r="D1931" s="255">
        <v>4043</v>
      </c>
      <c r="E1931" s="211" t="s">
        <v>1918</v>
      </c>
      <c r="F1931" s="212">
        <v>43615</v>
      </c>
      <c r="G1931" s="213">
        <v>2.7</v>
      </c>
      <c r="H1931" s="256">
        <v>1334</v>
      </c>
      <c r="I1931" s="214">
        <v>1460309</v>
      </c>
      <c r="J1931" s="215">
        <v>19175</v>
      </c>
      <c r="K1931" s="212">
        <v>43626</v>
      </c>
      <c r="L1931" s="211" t="s">
        <v>1929</v>
      </c>
      <c r="M1931" s="216">
        <v>4615520198</v>
      </c>
      <c r="N1931" s="212">
        <v>43642</v>
      </c>
      <c r="O1931" s="218">
        <v>3.8445</v>
      </c>
      <c r="P1931" s="219"/>
      <c r="Q1931" s="34">
        <f>SUMIF(Allocation[Delivery ID],Allocation[[#This Row],[Delivery ID]],Allocation[Quantity Processed])</f>
        <v>10198</v>
      </c>
      <c r="R1931" s="61">
        <f>Allocation[[#This Row],[Total volume used]]/VLOOKUP(Allocation[[#This Row],[Delivery ID]],Delivery[[Delivery ID]:[Quantity delivered]],3,FALSE)</f>
        <v>1</v>
      </c>
      <c r="S1931" s="34">
        <f>Allocation[[#This Row],[Quantity Processed]]/Allocation[[#This Row],[Dilution rate]]</f>
        <v>1497.4074074074074</v>
      </c>
      <c r="T1931" s="59">
        <f>SUMIF(Allocation[Delivery ID],Allocation[[#This Row],[Delivery ID]],Allocation[Quantity allocated])/SUMIF(Allocation[Delivery ID],Allocation[[#This Row],[Delivery ID]],Allocation[Volume available (kg)])</f>
        <v>0.88472504109400829</v>
      </c>
      <c r="U1931" s="61">
        <f>Allocation[[#This Row],[Total volume used]]/VLOOKUP(Allocation[[#This Row],[Delivery ID]],Delivery[[Delivery ID]:[Quantity delivered]],3,FALSE)</f>
        <v>1</v>
      </c>
      <c r="V1931" s="34" t="e">
        <f>VLOOKUP(Allocation[[#This Row],[SAP Contract number]],Shipments[[SAP Contract number]:[Contracted container weight]],2,FALSE)</f>
        <v>#N/A</v>
      </c>
      <c r="W1931" s="34" t="e">
        <f>VLOOKUP(Allocation[[#This Row],[SAP Contract number]],Shipments[[SAP Contract number]:[AAA Premium USD]],24,FALSE)</f>
        <v>#N/A</v>
      </c>
      <c r="X1931" s="34" t="e">
        <f>VLOOKUP(Allocation[[#This Row],[SAP Contract number]],Shipments[[SAP Contract number]:[RA Premium USD]],25,FALSE)</f>
        <v>#N/A</v>
      </c>
      <c r="Y1931" s="38">
        <f>Allocation[[#This Row],[Quantity Processed]]/Allocation[[#This Row],[Quantity allocated]]</f>
        <v>3.0307346326836582</v>
      </c>
      <c r="Z1931" s="34" t="b">
        <f>Allocation[[#This Row],[Quantity allocated]]&lt;=Allocation[[#This Row],[Quantity Processed]]</f>
        <v>1</v>
      </c>
    </row>
    <row r="1932" spans="1:26">
      <c r="A1932" s="247" t="s">
        <v>467</v>
      </c>
      <c r="B1932" s="210" t="s">
        <v>68</v>
      </c>
      <c r="C1932" s="254" t="s">
        <v>1759</v>
      </c>
      <c r="D1932" s="255">
        <v>15523</v>
      </c>
      <c r="E1932" s="211" t="s">
        <v>1918</v>
      </c>
      <c r="F1932" s="212">
        <v>43615</v>
      </c>
      <c r="G1932" s="213">
        <v>2.7</v>
      </c>
      <c r="H1932" s="256">
        <v>4657</v>
      </c>
      <c r="I1932" s="214">
        <v>1460309</v>
      </c>
      <c r="J1932" s="215">
        <v>19175</v>
      </c>
      <c r="K1932" s="212">
        <v>43626</v>
      </c>
      <c r="L1932" s="211" t="s">
        <v>1929</v>
      </c>
      <c r="M1932" s="216">
        <v>4615520198</v>
      </c>
      <c r="N1932" s="212">
        <v>43642</v>
      </c>
      <c r="O1932" s="218">
        <v>3.8445</v>
      </c>
      <c r="P1932" s="219"/>
      <c r="Q1932" s="34">
        <f>SUMIF(Allocation[Delivery ID],Allocation[[#This Row],[Delivery ID]],Allocation[Quantity Processed])</f>
        <v>26600</v>
      </c>
      <c r="R1932" s="61">
        <f>Allocation[[#This Row],[Total volume used]]/VLOOKUP(Allocation[[#This Row],[Delivery ID]],Delivery[[Delivery ID]:[Quantity delivered]],3,FALSE)</f>
        <v>1</v>
      </c>
      <c r="S1932" s="34">
        <f>Allocation[[#This Row],[Quantity Processed]]/Allocation[[#This Row],[Dilution rate]]</f>
        <v>5749.2592592592591</v>
      </c>
      <c r="T1932" s="59">
        <f>SUMIF(Allocation[Delivery ID],Allocation[[#This Row],[Delivery ID]],Allocation[Quantity allocated])/SUMIF(Allocation[Delivery ID],Allocation[[#This Row],[Delivery ID]],Allocation[Volume available (kg)])</f>
        <v>0.79822741521801088</v>
      </c>
      <c r="U1932" s="61">
        <f>Allocation[[#This Row],[Total volume used]]/VLOOKUP(Allocation[[#This Row],[Delivery ID]],Delivery[[Delivery ID]:[Quantity delivered]],3,FALSE)</f>
        <v>1</v>
      </c>
      <c r="V1932" s="34" t="e">
        <f>VLOOKUP(Allocation[[#This Row],[SAP Contract number]],Shipments[[SAP Contract number]:[Contracted container weight]],2,FALSE)</f>
        <v>#N/A</v>
      </c>
      <c r="W1932" s="34" t="e">
        <f>VLOOKUP(Allocation[[#This Row],[SAP Contract number]],Shipments[[SAP Contract number]:[AAA Premium USD]],24,FALSE)</f>
        <v>#N/A</v>
      </c>
      <c r="X1932" s="34" t="e">
        <f>VLOOKUP(Allocation[[#This Row],[SAP Contract number]],Shipments[[SAP Contract number]:[RA Premium USD]],25,FALSE)</f>
        <v>#N/A</v>
      </c>
      <c r="Y1932" s="38">
        <f>Allocation[[#This Row],[Quantity Processed]]/Allocation[[#This Row],[Quantity allocated]]</f>
        <v>3.333261756495598</v>
      </c>
      <c r="Z1932" s="34" t="b">
        <f>Allocation[[#This Row],[Quantity allocated]]&lt;=Allocation[[#This Row],[Quantity Processed]]</f>
        <v>1</v>
      </c>
    </row>
    <row r="1933" spans="1:26">
      <c r="A1933" s="247" t="s">
        <v>467</v>
      </c>
      <c r="B1933" s="210" t="s">
        <v>68</v>
      </c>
      <c r="C1933" s="254" t="s">
        <v>1759</v>
      </c>
      <c r="D1933" s="255">
        <v>877</v>
      </c>
      <c r="E1933" s="211" t="s">
        <v>1918</v>
      </c>
      <c r="F1933" s="212">
        <v>43615</v>
      </c>
      <c r="G1933" s="213">
        <v>2.7</v>
      </c>
      <c r="H1933" s="256">
        <v>263</v>
      </c>
      <c r="I1933" s="214">
        <v>1460310</v>
      </c>
      <c r="J1933" s="215">
        <v>19175</v>
      </c>
      <c r="K1933" s="212">
        <v>43626</v>
      </c>
      <c r="L1933" s="211" t="s">
        <v>1930</v>
      </c>
      <c r="M1933" s="216">
        <v>4615520198</v>
      </c>
      <c r="N1933" s="212">
        <v>43642</v>
      </c>
      <c r="O1933" s="218">
        <v>3.8445</v>
      </c>
      <c r="P1933" s="219"/>
      <c r="Q1933" s="34">
        <f>SUMIF(Allocation[Delivery ID],Allocation[[#This Row],[Delivery ID]],Allocation[Quantity Processed])</f>
        <v>26600</v>
      </c>
      <c r="R1933" s="61">
        <f>Allocation[[#This Row],[Total volume used]]/VLOOKUP(Allocation[[#This Row],[Delivery ID]],Delivery[[Delivery ID]:[Quantity delivered]],3,FALSE)</f>
        <v>1</v>
      </c>
      <c r="S1933" s="34">
        <f>Allocation[[#This Row],[Quantity Processed]]/Allocation[[#This Row],[Dilution rate]]</f>
        <v>324.81481481481478</v>
      </c>
      <c r="T1933" s="59">
        <f>SUMIF(Allocation[Delivery ID],Allocation[[#This Row],[Delivery ID]],Allocation[Quantity allocated])/SUMIF(Allocation[Delivery ID],Allocation[[#This Row],[Delivery ID]],Allocation[Volume available (kg)])</f>
        <v>0.79822741521801088</v>
      </c>
      <c r="U1933" s="61">
        <f>Allocation[[#This Row],[Total volume used]]/VLOOKUP(Allocation[[#This Row],[Delivery ID]],Delivery[[Delivery ID]:[Quantity delivered]],3,FALSE)</f>
        <v>1</v>
      </c>
      <c r="V1933" s="34" t="e">
        <f>VLOOKUP(Allocation[[#This Row],[SAP Contract number]],Shipments[[SAP Contract number]:[Contracted container weight]],2,FALSE)</f>
        <v>#N/A</v>
      </c>
      <c r="W1933" s="34" t="e">
        <f>VLOOKUP(Allocation[[#This Row],[SAP Contract number]],Shipments[[SAP Contract number]:[AAA Premium USD]],24,FALSE)</f>
        <v>#N/A</v>
      </c>
      <c r="X1933" s="34" t="e">
        <f>VLOOKUP(Allocation[[#This Row],[SAP Contract number]],Shipments[[SAP Contract number]:[RA Premium USD]],25,FALSE)</f>
        <v>#N/A</v>
      </c>
      <c r="Y1933" s="38">
        <f>Allocation[[#This Row],[Quantity Processed]]/Allocation[[#This Row],[Quantity allocated]]</f>
        <v>3.334600760456274</v>
      </c>
      <c r="Z1933" s="34" t="b">
        <f>Allocation[[#This Row],[Quantity allocated]]&lt;=Allocation[[#This Row],[Quantity Processed]]</f>
        <v>1</v>
      </c>
    </row>
    <row r="1934" spans="1:26">
      <c r="A1934" s="247" t="s">
        <v>467</v>
      </c>
      <c r="B1934" s="210" t="s">
        <v>68</v>
      </c>
      <c r="C1934" s="254" t="s">
        <v>1761</v>
      </c>
      <c r="D1934" s="255">
        <v>3677</v>
      </c>
      <c r="E1934" s="211" t="s">
        <v>1918</v>
      </c>
      <c r="F1934" s="212">
        <v>43615</v>
      </c>
      <c r="G1934" s="213">
        <v>2.7</v>
      </c>
      <c r="H1934" s="256">
        <v>1103</v>
      </c>
      <c r="I1934" s="214">
        <v>1460310</v>
      </c>
      <c r="J1934" s="215">
        <v>19175</v>
      </c>
      <c r="K1934" s="212">
        <v>43626</v>
      </c>
      <c r="L1934" s="211" t="s">
        <v>1930</v>
      </c>
      <c r="M1934" s="216">
        <v>4615520198</v>
      </c>
      <c r="N1934" s="212">
        <v>43642</v>
      </c>
      <c r="O1934" s="218">
        <v>3.8445</v>
      </c>
      <c r="P1934" s="219"/>
      <c r="Q1934" s="34">
        <f>SUMIF(Allocation[Delivery ID],Allocation[[#This Row],[Delivery ID]],Allocation[Quantity Processed])</f>
        <v>5962</v>
      </c>
      <c r="R1934" s="61">
        <f>Allocation[[#This Row],[Total volume used]]/VLOOKUP(Allocation[[#This Row],[Delivery ID]],Delivery[[Delivery ID]:[Quantity delivered]],3,FALSE)</f>
        <v>1</v>
      </c>
      <c r="S1934" s="34">
        <f>Allocation[[#This Row],[Quantity Processed]]/Allocation[[#This Row],[Dilution rate]]</f>
        <v>1361.8518518518517</v>
      </c>
      <c r="T1934" s="59">
        <f>SUMIF(Allocation[Delivery ID],Allocation[[#This Row],[Delivery ID]],Allocation[Quantity allocated])/SUMIF(Allocation[Delivery ID],Allocation[[#This Row],[Delivery ID]],Allocation[Volume available (kg)])</f>
        <v>0.79841192139710238</v>
      </c>
      <c r="U1934" s="61">
        <f>Allocation[[#This Row],[Total volume used]]/VLOOKUP(Allocation[[#This Row],[Delivery ID]],Delivery[[Delivery ID]:[Quantity delivered]],3,FALSE)</f>
        <v>1</v>
      </c>
      <c r="V1934" s="34" t="e">
        <f>VLOOKUP(Allocation[[#This Row],[SAP Contract number]],Shipments[[SAP Contract number]:[Contracted container weight]],2,FALSE)</f>
        <v>#N/A</v>
      </c>
      <c r="W1934" s="34" t="e">
        <f>VLOOKUP(Allocation[[#This Row],[SAP Contract number]],Shipments[[SAP Contract number]:[AAA Premium USD]],24,FALSE)</f>
        <v>#N/A</v>
      </c>
      <c r="X1934" s="34" t="e">
        <f>VLOOKUP(Allocation[[#This Row],[SAP Contract number]],Shipments[[SAP Contract number]:[RA Premium USD]],25,FALSE)</f>
        <v>#N/A</v>
      </c>
      <c r="Y1934" s="38">
        <f>Allocation[[#This Row],[Quantity Processed]]/Allocation[[#This Row],[Quantity allocated]]</f>
        <v>3.3336355394378967</v>
      </c>
      <c r="Z1934" s="34" t="b">
        <f>Allocation[[#This Row],[Quantity allocated]]&lt;=Allocation[[#This Row],[Quantity Processed]]</f>
        <v>1</v>
      </c>
    </row>
    <row r="1935" spans="1:26">
      <c r="A1935" s="247" t="s">
        <v>467</v>
      </c>
      <c r="B1935" s="210" t="s">
        <v>68</v>
      </c>
      <c r="C1935" s="254" t="s">
        <v>1762</v>
      </c>
      <c r="D1935" s="255">
        <v>12773</v>
      </c>
      <c r="E1935" s="211" t="s">
        <v>1918</v>
      </c>
      <c r="F1935" s="212">
        <v>43615</v>
      </c>
      <c r="G1935" s="213">
        <v>2.7</v>
      </c>
      <c r="H1935" s="256">
        <v>3832</v>
      </c>
      <c r="I1935" s="214">
        <v>1460310</v>
      </c>
      <c r="J1935" s="215">
        <v>19175</v>
      </c>
      <c r="K1935" s="212">
        <v>43626</v>
      </c>
      <c r="L1935" s="211" t="s">
        <v>1930</v>
      </c>
      <c r="M1935" s="216">
        <v>4615520198</v>
      </c>
      <c r="N1935" s="212">
        <v>43642</v>
      </c>
      <c r="O1935" s="218">
        <v>3.8445</v>
      </c>
      <c r="P1935" s="219"/>
      <c r="Q1935" s="34">
        <f>SUMIF(Allocation[Delivery ID],Allocation[[#This Row],[Delivery ID]],Allocation[Quantity Processed])</f>
        <v>20718</v>
      </c>
      <c r="R1935" s="61">
        <f>Allocation[[#This Row],[Total volume used]]/VLOOKUP(Allocation[[#This Row],[Delivery ID]],Delivery[[Delivery ID]:[Quantity delivered]],3,FALSE)</f>
        <v>1</v>
      </c>
      <c r="S1935" s="34">
        <f>Allocation[[#This Row],[Quantity Processed]]/Allocation[[#This Row],[Dilution rate]]</f>
        <v>4730.7407407407409</v>
      </c>
      <c r="T1935" s="59">
        <f>SUMIF(Allocation[Delivery ID],Allocation[[#This Row],[Delivery ID]],Allocation[Quantity allocated])/SUMIF(Allocation[Delivery ID],Allocation[[#This Row],[Delivery ID]],Allocation[Volume available (kg)])</f>
        <v>0.79830373591553805</v>
      </c>
      <c r="U1935" s="61">
        <f>Allocation[[#This Row],[Total volume used]]/VLOOKUP(Allocation[[#This Row],[Delivery ID]],Delivery[[Delivery ID]:[Quantity delivered]],3,FALSE)</f>
        <v>1</v>
      </c>
      <c r="V1935" s="34" t="e">
        <f>VLOOKUP(Allocation[[#This Row],[SAP Contract number]],Shipments[[SAP Contract number]:[Contracted container weight]],2,FALSE)</f>
        <v>#N/A</v>
      </c>
      <c r="W1935" s="34" t="e">
        <f>VLOOKUP(Allocation[[#This Row],[SAP Contract number]],Shipments[[SAP Contract number]:[AAA Premium USD]],24,FALSE)</f>
        <v>#N/A</v>
      </c>
      <c r="X1935" s="34" t="e">
        <f>VLOOKUP(Allocation[[#This Row],[SAP Contract number]],Shipments[[SAP Contract number]:[RA Premium USD]],25,FALSE)</f>
        <v>#N/A</v>
      </c>
      <c r="Y1935" s="38">
        <f>Allocation[[#This Row],[Quantity Processed]]/Allocation[[#This Row],[Quantity allocated]]</f>
        <v>3.3332463465553235</v>
      </c>
      <c r="Z1935" s="34" t="b">
        <f>Allocation[[#This Row],[Quantity allocated]]&lt;=Allocation[[#This Row],[Quantity Processed]]</f>
        <v>1</v>
      </c>
    </row>
    <row r="1936" spans="1:26">
      <c r="A1936" s="247" t="s">
        <v>467</v>
      </c>
      <c r="B1936" s="210" t="s">
        <v>68</v>
      </c>
      <c r="C1936" s="254" t="s">
        <v>1769</v>
      </c>
      <c r="D1936" s="255">
        <v>1792</v>
      </c>
      <c r="E1936" s="211" t="s">
        <v>1918</v>
      </c>
      <c r="F1936" s="212">
        <v>43615</v>
      </c>
      <c r="G1936" s="213">
        <v>2.7</v>
      </c>
      <c r="H1936" s="256">
        <v>753</v>
      </c>
      <c r="I1936" s="214">
        <v>1460310</v>
      </c>
      <c r="J1936" s="215">
        <v>19175</v>
      </c>
      <c r="K1936" s="212">
        <v>43626</v>
      </c>
      <c r="L1936" s="211" t="s">
        <v>1930</v>
      </c>
      <c r="M1936" s="216">
        <v>4615520198</v>
      </c>
      <c r="N1936" s="212">
        <v>43642</v>
      </c>
      <c r="O1936" s="218">
        <v>3.8445</v>
      </c>
      <c r="P1936" s="219"/>
      <c r="Q1936" s="34">
        <f>SUMIF(Allocation[Delivery ID],Allocation[[#This Row],[Delivery ID]],Allocation[Quantity Processed])</f>
        <v>1809</v>
      </c>
      <c r="R1936" s="61">
        <f>Allocation[[#This Row],[Total volume used]]/VLOOKUP(Allocation[[#This Row],[Delivery ID]],Delivery[[Delivery ID]:[Quantity delivered]],3,FALSE)</f>
        <v>1</v>
      </c>
      <c r="S1936" s="34">
        <f>Allocation[[#This Row],[Quantity Processed]]/Allocation[[#This Row],[Dilution rate]]</f>
        <v>663.7037037037037</v>
      </c>
      <c r="T1936" s="59">
        <f>SUMIF(Allocation[Delivery ID],Allocation[[#This Row],[Delivery ID]],Allocation[Quantity allocated])/SUMIF(Allocation[Delivery ID],Allocation[[#This Row],[Delivery ID]],Allocation[Volume available (kg)])</f>
        <v>1.1350981443251935</v>
      </c>
      <c r="U1936" s="61">
        <f>Allocation[[#This Row],[Total volume used]]/VLOOKUP(Allocation[[#This Row],[Delivery ID]],Delivery[[Delivery ID]:[Quantity delivered]],3,FALSE)</f>
        <v>1</v>
      </c>
      <c r="V1936" s="34" t="e">
        <f>VLOOKUP(Allocation[[#This Row],[SAP Contract number]],Shipments[[SAP Contract number]:[Contracted container weight]],2,FALSE)</f>
        <v>#N/A</v>
      </c>
      <c r="W1936" s="34" t="e">
        <f>VLOOKUP(Allocation[[#This Row],[SAP Contract number]],Shipments[[SAP Contract number]:[AAA Premium USD]],24,FALSE)</f>
        <v>#N/A</v>
      </c>
      <c r="X1936" s="34" t="e">
        <f>VLOOKUP(Allocation[[#This Row],[SAP Contract number]],Shipments[[SAP Contract number]:[RA Premium USD]],25,FALSE)</f>
        <v>#N/A</v>
      </c>
      <c r="Y1936" s="38">
        <f>Allocation[[#This Row],[Quantity Processed]]/Allocation[[#This Row],[Quantity allocated]]</f>
        <v>2.3798140770252325</v>
      </c>
      <c r="Z1936" s="34" t="b">
        <f>Allocation[[#This Row],[Quantity allocated]]&lt;=Allocation[[#This Row],[Quantity Processed]]</f>
        <v>1</v>
      </c>
    </row>
    <row r="1937" spans="1:26">
      <c r="A1937" s="247" t="s">
        <v>467</v>
      </c>
      <c r="B1937" s="210" t="s">
        <v>68</v>
      </c>
      <c r="C1937" s="254" t="s">
        <v>1770</v>
      </c>
      <c r="D1937" s="255">
        <v>13524</v>
      </c>
      <c r="E1937" s="211" t="s">
        <v>1918</v>
      </c>
      <c r="F1937" s="212">
        <v>43615</v>
      </c>
      <c r="G1937" s="213">
        <v>2.7</v>
      </c>
      <c r="H1937" s="256">
        <v>5680</v>
      </c>
      <c r="I1937" s="214">
        <v>1460310</v>
      </c>
      <c r="J1937" s="215">
        <v>19175</v>
      </c>
      <c r="K1937" s="212">
        <v>43626</v>
      </c>
      <c r="L1937" s="211" t="s">
        <v>1930</v>
      </c>
      <c r="M1937" s="216">
        <v>4615520198</v>
      </c>
      <c r="N1937" s="212">
        <v>43642</v>
      </c>
      <c r="O1937" s="218">
        <v>3.8445</v>
      </c>
      <c r="P1937" s="219"/>
      <c r="Q1937" s="34">
        <f>SUMIF(Allocation[Delivery ID],Allocation[[#This Row],[Delivery ID]],Allocation[Quantity Processed])</f>
        <v>24957</v>
      </c>
      <c r="R1937" s="61">
        <f>Allocation[[#This Row],[Total volume used]]/VLOOKUP(Allocation[[#This Row],[Delivery ID]],Delivery[[Delivery ID]:[Quantity delivered]],3,FALSE)</f>
        <v>0.71469072164948455</v>
      </c>
      <c r="S1937" s="34">
        <f>Allocation[[#This Row],[Quantity Processed]]/Allocation[[#This Row],[Dilution rate]]</f>
        <v>5008.8888888888887</v>
      </c>
      <c r="T1937" s="59">
        <f>SUMIF(Allocation[Delivery ID],Allocation[[#This Row],[Delivery ID]],Allocation[Quantity allocated])/SUMIF(Allocation[Delivery ID],Allocation[[#This Row],[Delivery ID]],Allocation[Volume available (kg)])</f>
        <v>1.114371777106381</v>
      </c>
      <c r="U1937" s="61">
        <f>Allocation[[#This Row],[Total volume used]]/VLOOKUP(Allocation[[#This Row],[Delivery ID]],Delivery[[Delivery ID]:[Quantity delivered]],3,FALSE)</f>
        <v>0.71469072164948455</v>
      </c>
      <c r="V1937" s="34" t="e">
        <f>VLOOKUP(Allocation[[#This Row],[SAP Contract number]],Shipments[[SAP Contract number]:[Contracted container weight]],2,FALSE)</f>
        <v>#N/A</v>
      </c>
      <c r="W1937" s="34" t="e">
        <f>VLOOKUP(Allocation[[#This Row],[SAP Contract number]],Shipments[[SAP Contract number]:[AAA Premium USD]],24,FALSE)</f>
        <v>#N/A</v>
      </c>
      <c r="X1937" s="34" t="e">
        <f>VLOOKUP(Allocation[[#This Row],[SAP Contract number]],Shipments[[SAP Contract number]:[RA Premium USD]],25,FALSE)</f>
        <v>#N/A</v>
      </c>
      <c r="Y1937" s="38">
        <f>Allocation[[#This Row],[Quantity Processed]]/Allocation[[#This Row],[Quantity allocated]]</f>
        <v>2.3809859154929578</v>
      </c>
      <c r="Z1937" s="34" t="b">
        <f>Allocation[[#This Row],[Quantity allocated]]&lt;=Allocation[[#This Row],[Quantity Processed]]</f>
        <v>1</v>
      </c>
    </row>
    <row r="1938" spans="1:26">
      <c r="A1938" s="247" t="s">
        <v>467</v>
      </c>
      <c r="B1938" s="210" t="s">
        <v>68</v>
      </c>
      <c r="C1938" s="254" t="s">
        <v>1772</v>
      </c>
      <c r="D1938" s="255">
        <v>7448</v>
      </c>
      <c r="E1938" s="211" t="s">
        <v>1918</v>
      </c>
      <c r="F1938" s="212">
        <v>43615</v>
      </c>
      <c r="G1938" s="213">
        <v>2.7</v>
      </c>
      <c r="H1938" s="256">
        <v>2458</v>
      </c>
      <c r="I1938" s="214">
        <v>1460310</v>
      </c>
      <c r="J1938" s="215">
        <v>19175</v>
      </c>
      <c r="K1938" s="212">
        <v>43626</v>
      </c>
      <c r="L1938" s="211" t="s">
        <v>1930</v>
      </c>
      <c r="M1938" s="216">
        <v>4615520198</v>
      </c>
      <c r="N1938" s="212">
        <v>43642</v>
      </c>
      <c r="O1938" s="218">
        <v>3.8445</v>
      </c>
      <c r="P1938" s="219"/>
      <c r="Q1938" s="34">
        <f>SUMIF(Allocation[Delivery ID],Allocation[[#This Row],[Delivery ID]],Allocation[Quantity Processed])</f>
        <v>30030</v>
      </c>
      <c r="R1938" s="61">
        <f>Allocation[[#This Row],[Total volume used]]/VLOOKUP(Allocation[[#This Row],[Delivery ID]],Delivery[[Delivery ID]:[Quantity delivered]],3,FALSE)</f>
        <v>1</v>
      </c>
      <c r="S1938" s="34">
        <f>Allocation[[#This Row],[Quantity Processed]]/Allocation[[#This Row],[Dilution rate]]</f>
        <v>2758.5185185185182</v>
      </c>
      <c r="T1938" s="59">
        <f>SUMIF(Allocation[Delivery ID],Allocation[[#This Row],[Delivery ID]],Allocation[Quantity allocated])/SUMIF(Allocation[Delivery ID],Allocation[[#This Row],[Delivery ID]],Allocation[Volume available (kg)])</f>
        <v>0.88086353858640154</v>
      </c>
      <c r="U1938" s="61">
        <f>Allocation[[#This Row],[Total volume used]]/VLOOKUP(Allocation[[#This Row],[Delivery ID]],Delivery[[Delivery ID]:[Quantity delivered]],3,FALSE)</f>
        <v>1</v>
      </c>
      <c r="V1938" s="34" t="e">
        <f>VLOOKUP(Allocation[[#This Row],[SAP Contract number]],Shipments[[SAP Contract number]:[Contracted container weight]],2,FALSE)</f>
        <v>#N/A</v>
      </c>
      <c r="W1938" s="34" t="e">
        <f>VLOOKUP(Allocation[[#This Row],[SAP Contract number]],Shipments[[SAP Contract number]:[AAA Premium USD]],24,FALSE)</f>
        <v>#N/A</v>
      </c>
      <c r="X1938" s="34" t="e">
        <f>VLOOKUP(Allocation[[#This Row],[SAP Contract number]],Shipments[[SAP Contract number]:[RA Premium USD]],25,FALSE)</f>
        <v>#N/A</v>
      </c>
      <c r="Y1938" s="38">
        <f>Allocation[[#This Row],[Quantity Processed]]/Allocation[[#This Row],[Quantity allocated]]</f>
        <v>3.0301057770545157</v>
      </c>
      <c r="Z1938" s="34" t="b">
        <f>Allocation[[#This Row],[Quantity allocated]]&lt;=Allocation[[#This Row],[Quantity Processed]]</f>
        <v>1</v>
      </c>
    </row>
    <row r="1939" spans="1:26">
      <c r="A1939" s="247" t="s">
        <v>467</v>
      </c>
      <c r="B1939" s="210" t="s">
        <v>68</v>
      </c>
      <c r="C1939" s="254" t="s">
        <v>1775</v>
      </c>
      <c r="D1939" s="255">
        <v>2894</v>
      </c>
      <c r="E1939" s="211" t="s">
        <v>1918</v>
      </c>
      <c r="F1939" s="212">
        <v>43615</v>
      </c>
      <c r="G1939" s="213">
        <v>2.7</v>
      </c>
      <c r="H1939" s="256">
        <v>955</v>
      </c>
      <c r="I1939" s="214">
        <v>1460310</v>
      </c>
      <c r="J1939" s="215">
        <v>19175</v>
      </c>
      <c r="K1939" s="212">
        <v>43626</v>
      </c>
      <c r="L1939" s="211" t="s">
        <v>1930</v>
      </c>
      <c r="M1939" s="216">
        <v>4615520198</v>
      </c>
      <c r="N1939" s="212">
        <v>43642</v>
      </c>
      <c r="O1939" s="218">
        <v>3.8445</v>
      </c>
      <c r="P1939" s="219"/>
      <c r="Q1939" s="34">
        <f>SUMIF(Allocation[Delivery ID],Allocation[[#This Row],[Delivery ID]],Allocation[Quantity Processed])</f>
        <v>12500</v>
      </c>
      <c r="R1939" s="61">
        <f>Allocation[[#This Row],[Total volume used]]/VLOOKUP(Allocation[[#This Row],[Delivery ID]],Delivery[[Delivery ID]:[Quantity delivered]],3,FALSE)</f>
        <v>1</v>
      </c>
      <c r="S1939" s="34">
        <f>Allocation[[#This Row],[Quantity Processed]]/Allocation[[#This Row],[Dilution rate]]</f>
        <v>1071.8518518518517</v>
      </c>
      <c r="T1939" s="59">
        <f>SUMIF(Allocation[Delivery ID],Allocation[[#This Row],[Delivery ID]],Allocation[Quantity allocated])/SUMIF(Allocation[Delivery ID],Allocation[[#This Row],[Delivery ID]],Allocation[Volume available (kg)])</f>
        <v>0.88416581912199721</v>
      </c>
      <c r="U1939" s="61">
        <f>Allocation[[#This Row],[Total volume used]]/VLOOKUP(Allocation[[#This Row],[Delivery ID]],Delivery[[Delivery ID]:[Quantity delivered]],3,FALSE)</f>
        <v>1</v>
      </c>
      <c r="V1939" s="34" t="e">
        <f>VLOOKUP(Allocation[[#This Row],[SAP Contract number]],Shipments[[SAP Contract number]:[Contracted container weight]],2,FALSE)</f>
        <v>#N/A</v>
      </c>
      <c r="W1939" s="34" t="e">
        <f>VLOOKUP(Allocation[[#This Row],[SAP Contract number]],Shipments[[SAP Contract number]:[AAA Premium USD]],24,FALSE)</f>
        <v>#N/A</v>
      </c>
      <c r="X1939" s="34" t="e">
        <f>VLOOKUP(Allocation[[#This Row],[SAP Contract number]],Shipments[[SAP Contract number]:[RA Premium USD]],25,FALSE)</f>
        <v>#N/A</v>
      </c>
      <c r="Y1939" s="38">
        <f>Allocation[[#This Row],[Quantity Processed]]/Allocation[[#This Row],[Quantity allocated]]</f>
        <v>3.0303664921465967</v>
      </c>
      <c r="Z1939" s="34" t="b">
        <f>Allocation[[#This Row],[Quantity allocated]]&lt;=Allocation[[#This Row],[Quantity Processed]]</f>
        <v>1</v>
      </c>
    </row>
    <row r="1940" spans="1:26">
      <c r="A1940" s="247" t="s">
        <v>467</v>
      </c>
      <c r="B1940" s="210" t="s">
        <v>68</v>
      </c>
      <c r="C1940" s="254" t="s">
        <v>1776</v>
      </c>
      <c r="D1940" s="255">
        <v>9836</v>
      </c>
      <c r="E1940" s="211" t="s">
        <v>1918</v>
      </c>
      <c r="F1940" s="212">
        <v>43615</v>
      </c>
      <c r="G1940" s="213">
        <v>2.7</v>
      </c>
      <c r="H1940" s="256">
        <v>4131</v>
      </c>
      <c r="I1940" s="214">
        <v>1460310</v>
      </c>
      <c r="J1940" s="215">
        <v>19175</v>
      </c>
      <c r="K1940" s="212">
        <v>43626</v>
      </c>
      <c r="L1940" s="211" t="s">
        <v>1930</v>
      </c>
      <c r="M1940" s="216">
        <v>4615520198</v>
      </c>
      <c r="N1940" s="212">
        <v>43642</v>
      </c>
      <c r="O1940" s="218">
        <v>3.8445</v>
      </c>
      <c r="P1940" s="219"/>
      <c r="Q1940" s="34">
        <f>SUMIF(Allocation[Delivery ID],Allocation[[#This Row],[Delivery ID]],Allocation[Quantity Processed])</f>
        <v>24396</v>
      </c>
      <c r="R1940" s="61">
        <f>Allocation[[#This Row],[Total volume used]]/VLOOKUP(Allocation[[#This Row],[Delivery ID]],Delivery[[Delivery ID]:[Quantity delivered]],3,FALSE)</f>
        <v>0.81401401401401396</v>
      </c>
      <c r="S1940" s="34">
        <f>Allocation[[#This Row],[Quantity Processed]]/Allocation[[#This Row],[Dilution rate]]</f>
        <v>3642.9629629629626</v>
      </c>
      <c r="T1940" s="59">
        <f>SUMIF(Allocation[Delivery ID],Allocation[[#This Row],[Delivery ID]],Allocation[Quantity allocated])/SUMIF(Allocation[Delivery ID],Allocation[[#This Row],[Delivery ID]],Allocation[Volume available (kg)])</f>
        <v>1.114292619296229</v>
      </c>
      <c r="U1940" s="61">
        <f>Allocation[[#This Row],[Total volume used]]/VLOOKUP(Allocation[[#This Row],[Delivery ID]],Delivery[[Delivery ID]:[Quantity delivered]],3,FALSE)</f>
        <v>0.81401401401401396</v>
      </c>
      <c r="V1940" s="34" t="e">
        <f>VLOOKUP(Allocation[[#This Row],[SAP Contract number]],Shipments[[SAP Contract number]:[Contracted container weight]],2,FALSE)</f>
        <v>#N/A</v>
      </c>
      <c r="W1940" s="34" t="e">
        <f>VLOOKUP(Allocation[[#This Row],[SAP Contract number]],Shipments[[SAP Contract number]:[AAA Premium USD]],24,FALSE)</f>
        <v>#N/A</v>
      </c>
      <c r="X1940" s="34" t="e">
        <f>VLOOKUP(Allocation[[#This Row],[SAP Contract number]],Shipments[[SAP Contract number]:[RA Premium USD]],25,FALSE)</f>
        <v>#N/A</v>
      </c>
      <c r="Y1940" s="38">
        <f>Allocation[[#This Row],[Quantity Processed]]/Allocation[[#This Row],[Quantity allocated]]</f>
        <v>2.3810215444202374</v>
      </c>
      <c r="Z1940" s="34" t="b">
        <f>Allocation[[#This Row],[Quantity allocated]]&lt;=Allocation[[#This Row],[Quantity Processed]]</f>
        <v>1</v>
      </c>
    </row>
    <row r="1941" spans="1:26">
      <c r="A1941" s="247" t="s">
        <v>467</v>
      </c>
      <c r="B1941" s="210" t="s">
        <v>68</v>
      </c>
      <c r="C1941" s="254" t="s">
        <v>1776</v>
      </c>
      <c r="D1941" s="255">
        <v>3362</v>
      </c>
      <c r="E1941" s="211" t="s">
        <v>1918</v>
      </c>
      <c r="F1941" s="212">
        <v>43615</v>
      </c>
      <c r="G1941" s="213">
        <v>2.7</v>
      </c>
      <c r="H1941" s="256">
        <v>1412</v>
      </c>
      <c r="I1941" s="214">
        <v>1460311</v>
      </c>
      <c r="J1941" s="215">
        <v>19175</v>
      </c>
      <c r="K1941" s="212">
        <v>43626</v>
      </c>
      <c r="L1941" s="211" t="s">
        <v>1931</v>
      </c>
      <c r="M1941" s="216">
        <v>4615520198</v>
      </c>
      <c r="N1941" s="212">
        <v>43642</v>
      </c>
      <c r="O1941" s="218">
        <v>3.8445</v>
      </c>
      <c r="P1941" s="219"/>
      <c r="Q1941" s="34">
        <f>SUMIF(Allocation[Delivery ID],Allocation[[#This Row],[Delivery ID]],Allocation[Quantity Processed])</f>
        <v>24396</v>
      </c>
      <c r="R1941" s="61">
        <f>Allocation[[#This Row],[Total volume used]]/VLOOKUP(Allocation[[#This Row],[Delivery ID]],Delivery[[Delivery ID]:[Quantity delivered]],3,FALSE)</f>
        <v>0.81401401401401396</v>
      </c>
      <c r="S1941" s="34">
        <f>Allocation[[#This Row],[Quantity Processed]]/Allocation[[#This Row],[Dilution rate]]</f>
        <v>1245.185185185185</v>
      </c>
      <c r="T1941" s="59">
        <f>SUMIF(Allocation[Delivery ID],Allocation[[#This Row],[Delivery ID]],Allocation[Quantity allocated])/SUMIF(Allocation[Delivery ID],Allocation[[#This Row],[Delivery ID]],Allocation[Volume available (kg)])</f>
        <v>1.114292619296229</v>
      </c>
      <c r="U1941" s="61">
        <f>Allocation[[#This Row],[Total volume used]]/VLOOKUP(Allocation[[#This Row],[Delivery ID]],Delivery[[Delivery ID]:[Quantity delivered]],3,FALSE)</f>
        <v>0.81401401401401396</v>
      </c>
      <c r="V1941" s="34" t="e">
        <f>VLOOKUP(Allocation[[#This Row],[SAP Contract number]],Shipments[[SAP Contract number]:[Contracted container weight]],2,FALSE)</f>
        <v>#N/A</v>
      </c>
      <c r="W1941" s="34" t="e">
        <f>VLOOKUP(Allocation[[#This Row],[SAP Contract number]],Shipments[[SAP Contract number]:[AAA Premium USD]],24,FALSE)</f>
        <v>#N/A</v>
      </c>
      <c r="X1941" s="34" t="e">
        <f>VLOOKUP(Allocation[[#This Row],[SAP Contract number]],Shipments[[SAP Contract number]:[RA Premium USD]],25,FALSE)</f>
        <v>#N/A</v>
      </c>
      <c r="Y1941" s="38">
        <f>Allocation[[#This Row],[Quantity Processed]]/Allocation[[#This Row],[Quantity allocated]]</f>
        <v>2.3810198300283285</v>
      </c>
      <c r="Z1941" s="34" t="b">
        <f>Allocation[[#This Row],[Quantity allocated]]&lt;=Allocation[[#This Row],[Quantity Processed]]</f>
        <v>1</v>
      </c>
    </row>
    <row r="1942" spans="1:26">
      <c r="A1942" s="247" t="s">
        <v>467</v>
      </c>
      <c r="B1942" s="210" t="s">
        <v>68</v>
      </c>
      <c r="C1942" s="254" t="s">
        <v>1777</v>
      </c>
      <c r="D1942" s="255">
        <v>5233</v>
      </c>
      <c r="E1942" s="211" t="s">
        <v>1918</v>
      </c>
      <c r="F1942" s="212">
        <v>43615</v>
      </c>
      <c r="G1942" s="213">
        <v>2.7</v>
      </c>
      <c r="H1942" s="256">
        <v>2198</v>
      </c>
      <c r="I1942" s="214">
        <v>1460311</v>
      </c>
      <c r="J1942" s="215">
        <v>19175</v>
      </c>
      <c r="K1942" s="212">
        <v>43626</v>
      </c>
      <c r="L1942" s="211" t="s">
        <v>1931</v>
      </c>
      <c r="M1942" s="216">
        <v>4615520198</v>
      </c>
      <c r="N1942" s="212">
        <v>43642</v>
      </c>
      <c r="O1942" s="218">
        <v>3.8445</v>
      </c>
      <c r="P1942" s="219"/>
      <c r="Q1942" s="34">
        <f>SUMIF(Allocation[Delivery ID],Allocation[[#This Row],[Delivery ID]],Allocation[Quantity Processed])</f>
        <v>9673</v>
      </c>
      <c r="R1942" s="61">
        <f>Allocation[[#This Row],[Total volume used]]/VLOOKUP(Allocation[[#This Row],[Delivery ID]],Delivery[[Delivery ID]:[Quantity delivered]],3,FALSE)</f>
        <v>0.50327783558792927</v>
      </c>
      <c r="S1942" s="34">
        <f>Allocation[[#This Row],[Quantity Processed]]/Allocation[[#This Row],[Dilution rate]]</f>
        <v>1938.148148148148</v>
      </c>
      <c r="T1942" s="59">
        <f>SUMIF(Allocation[Delivery ID],Allocation[[#This Row],[Delivery ID]],Allocation[Quantity allocated])/SUMIF(Allocation[Delivery ID],Allocation[[#This Row],[Delivery ID]],Allocation[Volume available (kg)])</f>
        <v>1.1144206800084397</v>
      </c>
      <c r="U1942" s="61">
        <f>Allocation[[#This Row],[Total volume used]]/VLOOKUP(Allocation[[#This Row],[Delivery ID]],Delivery[[Delivery ID]:[Quantity delivered]],3,FALSE)</f>
        <v>0.50327783558792927</v>
      </c>
      <c r="V1942" s="34" t="e">
        <f>VLOOKUP(Allocation[[#This Row],[SAP Contract number]],Shipments[[SAP Contract number]:[Contracted container weight]],2,FALSE)</f>
        <v>#N/A</v>
      </c>
      <c r="W1942" s="34" t="e">
        <f>VLOOKUP(Allocation[[#This Row],[SAP Contract number]],Shipments[[SAP Contract number]:[AAA Premium USD]],24,FALSE)</f>
        <v>#N/A</v>
      </c>
      <c r="X1942" s="34" t="e">
        <f>VLOOKUP(Allocation[[#This Row],[SAP Contract number]],Shipments[[SAP Contract number]:[RA Premium USD]],25,FALSE)</f>
        <v>#N/A</v>
      </c>
      <c r="Y1942" s="38">
        <f>Allocation[[#This Row],[Quantity Processed]]/Allocation[[#This Row],[Quantity allocated]]</f>
        <v>2.3808007279344858</v>
      </c>
      <c r="Z1942" s="34" t="b">
        <f>Allocation[[#This Row],[Quantity allocated]]&lt;=Allocation[[#This Row],[Quantity Processed]]</f>
        <v>1</v>
      </c>
    </row>
    <row r="1943" spans="1:26">
      <c r="A1943" s="247" t="s">
        <v>467</v>
      </c>
      <c r="B1943" s="210" t="s">
        <v>68</v>
      </c>
      <c r="C1943" s="254" t="s">
        <v>1781</v>
      </c>
      <c r="D1943" s="255">
        <v>4196</v>
      </c>
      <c r="E1943" s="211" t="s">
        <v>1918</v>
      </c>
      <c r="F1943" s="212">
        <v>43615</v>
      </c>
      <c r="G1943" s="213">
        <v>2.7</v>
      </c>
      <c r="H1943" s="256">
        <v>1385</v>
      </c>
      <c r="I1943" s="214">
        <v>1460311</v>
      </c>
      <c r="J1943" s="215">
        <v>19175</v>
      </c>
      <c r="K1943" s="212">
        <v>43626</v>
      </c>
      <c r="L1943" s="211" t="s">
        <v>1931</v>
      </c>
      <c r="M1943" s="216">
        <v>4615520198</v>
      </c>
      <c r="N1943" s="212">
        <v>43642</v>
      </c>
      <c r="O1943" s="218">
        <v>3.8445</v>
      </c>
      <c r="P1943" s="219"/>
      <c r="Q1943" s="34">
        <f>SUMIF(Allocation[Delivery ID],Allocation[[#This Row],[Delivery ID]],Allocation[Quantity Processed])</f>
        <v>19270</v>
      </c>
      <c r="R1943" s="61">
        <f>Allocation[[#This Row],[Total volume used]]/VLOOKUP(Allocation[[#This Row],[Delivery ID]],Delivery[[Delivery ID]:[Quantity delivered]],3,FALSE)</f>
        <v>1</v>
      </c>
      <c r="S1943" s="34">
        <f>Allocation[[#This Row],[Quantity Processed]]/Allocation[[#This Row],[Dilution rate]]</f>
        <v>1554.0740740740739</v>
      </c>
      <c r="T1943" s="59">
        <f>SUMIF(Allocation[Delivery ID],Allocation[[#This Row],[Delivery ID]],Allocation[Quantity allocated])/SUMIF(Allocation[Delivery ID],Allocation[[#This Row],[Delivery ID]],Allocation[Volume available (kg)])</f>
        <v>0.82062104172936123</v>
      </c>
      <c r="U1943" s="61">
        <f>Allocation[[#This Row],[Total volume used]]/VLOOKUP(Allocation[[#This Row],[Delivery ID]],Delivery[[Delivery ID]:[Quantity delivered]],3,FALSE)</f>
        <v>1</v>
      </c>
      <c r="V1943" s="34" t="e">
        <f>VLOOKUP(Allocation[[#This Row],[SAP Contract number]],Shipments[[SAP Contract number]:[Contracted container weight]],2,FALSE)</f>
        <v>#N/A</v>
      </c>
      <c r="W1943" s="34" t="e">
        <f>VLOOKUP(Allocation[[#This Row],[SAP Contract number]],Shipments[[SAP Contract number]:[AAA Premium USD]],24,FALSE)</f>
        <v>#N/A</v>
      </c>
      <c r="X1943" s="34" t="e">
        <f>VLOOKUP(Allocation[[#This Row],[SAP Contract number]],Shipments[[SAP Contract number]:[RA Premium USD]],25,FALSE)</f>
        <v>#N/A</v>
      </c>
      <c r="Y1943" s="38">
        <f>Allocation[[#This Row],[Quantity Processed]]/Allocation[[#This Row],[Quantity allocated]]</f>
        <v>3.0296028880866426</v>
      </c>
      <c r="Z1943" s="34" t="b">
        <f>Allocation[[#This Row],[Quantity allocated]]&lt;=Allocation[[#This Row],[Quantity Processed]]</f>
        <v>1</v>
      </c>
    </row>
    <row r="1944" spans="1:26">
      <c r="A1944" s="247" t="s">
        <v>467</v>
      </c>
      <c r="B1944" s="210" t="s">
        <v>68</v>
      </c>
      <c r="C1944" s="254" t="s">
        <v>1782</v>
      </c>
      <c r="D1944" s="255">
        <v>9000</v>
      </c>
      <c r="E1944" s="211" t="s">
        <v>1918</v>
      </c>
      <c r="F1944" s="212">
        <v>43615</v>
      </c>
      <c r="G1944" s="213">
        <v>2.7</v>
      </c>
      <c r="H1944" s="256">
        <v>2700</v>
      </c>
      <c r="I1944" s="214">
        <v>1460311</v>
      </c>
      <c r="J1944" s="215">
        <v>19175</v>
      </c>
      <c r="K1944" s="212">
        <v>43626</v>
      </c>
      <c r="L1944" s="211" t="s">
        <v>1931</v>
      </c>
      <c r="M1944" s="216">
        <v>4615520198</v>
      </c>
      <c r="N1944" s="212">
        <v>43642</v>
      </c>
      <c r="O1944" s="218">
        <v>3.8445</v>
      </c>
      <c r="P1944" s="219"/>
      <c r="Q1944" s="34">
        <f>SUMIF(Allocation[Delivery ID],Allocation[[#This Row],[Delivery ID]],Allocation[Quantity Processed])</f>
        <v>16030</v>
      </c>
      <c r="R1944" s="61">
        <f>Allocation[[#This Row],[Total volume used]]/VLOOKUP(Allocation[[#This Row],[Delivery ID]],Delivery[[Delivery ID]:[Quantity delivered]],3,FALSE)</f>
        <v>1</v>
      </c>
      <c r="S1944" s="34">
        <f>Allocation[[#This Row],[Quantity Processed]]/Allocation[[#This Row],[Dilution rate]]</f>
        <v>3333.333333333333</v>
      </c>
      <c r="T1944" s="59">
        <f>SUMIF(Allocation[Delivery ID],Allocation[[#This Row],[Delivery ID]],Allocation[Quantity allocated])/SUMIF(Allocation[Delivery ID],Allocation[[#This Row],[Delivery ID]],Allocation[Volume available (kg)])</f>
        <v>0.79656402633255474</v>
      </c>
      <c r="U1944" s="61">
        <f>Allocation[[#This Row],[Total volume used]]/VLOOKUP(Allocation[[#This Row],[Delivery ID]],Delivery[[Delivery ID]:[Quantity delivered]],3,FALSE)</f>
        <v>1</v>
      </c>
      <c r="V1944" s="34" t="e">
        <f>VLOOKUP(Allocation[[#This Row],[SAP Contract number]],Shipments[[SAP Contract number]:[Contracted container weight]],2,FALSE)</f>
        <v>#N/A</v>
      </c>
      <c r="W1944" s="34" t="e">
        <f>VLOOKUP(Allocation[[#This Row],[SAP Contract number]],Shipments[[SAP Contract number]:[AAA Premium USD]],24,FALSE)</f>
        <v>#N/A</v>
      </c>
      <c r="X1944" s="34" t="e">
        <f>VLOOKUP(Allocation[[#This Row],[SAP Contract number]],Shipments[[SAP Contract number]:[RA Premium USD]],25,FALSE)</f>
        <v>#N/A</v>
      </c>
      <c r="Y1944" s="38">
        <f>Allocation[[#This Row],[Quantity Processed]]/Allocation[[#This Row],[Quantity allocated]]</f>
        <v>3.3333333333333335</v>
      </c>
      <c r="Z1944" s="34" t="b">
        <f>Allocation[[#This Row],[Quantity allocated]]&lt;=Allocation[[#This Row],[Quantity Processed]]</f>
        <v>1</v>
      </c>
    </row>
    <row r="1945" spans="1:26">
      <c r="A1945" s="247" t="s">
        <v>467</v>
      </c>
      <c r="B1945" s="210" t="s">
        <v>68</v>
      </c>
      <c r="C1945" s="254" t="s">
        <v>1786</v>
      </c>
      <c r="D1945" s="255">
        <v>9764</v>
      </c>
      <c r="E1945" s="211" t="s">
        <v>1918</v>
      </c>
      <c r="F1945" s="212">
        <v>43615</v>
      </c>
      <c r="G1945" s="213">
        <v>2.7</v>
      </c>
      <c r="H1945" s="256">
        <v>3905</v>
      </c>
      <c r="I1945" s="214">
        <v>1460311</v>
      </c>
      <c r="J1945" s="215">
        <v>19175</v>
      </c>
      <c r="K1945" s="212">
        <v>43626</v>
      </c>
      <c r="L1945" s="211" t="s">
        <v>1931</v>
      </c>
      <c r="M1945" s="216">
        <v>4615520198</v>
      </c>
      <c r="N1945" s="212">
        <v>43642</v>
      </c>
      <c r="O1945" s="218">
        <v>3.8445</v>
      </c>
      <c r="P1945" s="219"/>
      <c r="Q1945" s="34">
        <f>SUMIF(Allocation[Delivery ID],Allocation[[#This Row],[Delivery ID]],Allocation[Quantity Processed])</f>
        <v>29990</v>
      </c>
      <c r="R1945" s="61">
        <f>Allocation[[#This Row],[Total volume used]]/VLOOKUP(Allocation[[#This Row],[Delivery ID]],Delivery[[Delivery ID]:[Quantity delivered]],3,FALSE)</f>
        <v>1</v>
      </c>
      <c r="S1945" s="34">
        <f>Allocation[[#This Row],[Quantity Processed]]/Allocation[[#This Row],[Dilution rate]]</f>
        <v>3616.2962962962961</v>
      </c>
      <c r="T1945" s="59">
        <f>SUMIF(Allocation[Delivery ID],Allocation[[#This Row],[Delivery ID]],Allocation[Quantity allocated])/SUMIF(Allocation[Delivery ID],Allocation[[#This Row],[Delivery ID]],Allocation[Volume available (kg)])</f>
        <v>1.0694064813765132</v>
      </c>
      <c r="U1945" s="61">
        <f>Allocation[[#This Row],[Total volume used]]/VLOOKUP(Allocation[[#This Row],[Delivery ID]],Delivery[[Delivery ID]:[Quantity delivered]],3,FALSE)</f>
        <v>1</v>
      </c>
      <c r="V1945" s="34" t="e">
        <f>VLOOKUP(Allocation[[#This Row],[SAP Contract number]],Shipments[[SAP Contract number]:[Contracted container weight]],2,FALSE)</f>
        <v>#N/A</v>
      </c>
      <c r="W1945" s="34" t="e">
        <f>VLOOKUP(Allocation[[#This Row],[SAP Contract number]],Shipments[[SAP Contract number]:[AAA Premium USD]],24,FALSE)</f>
        <v>#N/A</v>
      </c>
      <c r="X1945" s="34" t="e">
        <f>VLOOKUP(Allocation[[#This Row],[SAP Contract number]],Shipments[[SAP Contract number]:[RA Premium USD]],25,FALSE)</f>
        <v>#N/A</v>
      </c>
      <c r="Y1945" s="38">
        <f>Allocation[[#This Row],[Quantity Processed]]/Allocation[[#This Row],[Quantity allocated]]</f>
        <v>2.5003841229193342</v>
      </c>
      <c r="Z1945" s="34" t="b">
        <f>Allocation[[#This Row],[Quantity allocated]]&lt;=Allocation[[#This Row],[Quantity Processed]]</f>
        <v>1</v>
      </c>
    </row>
    <row r="1946" spans="1:26">
      <c r="A1946" s="247" t="s">
        <v>467</v>
      </c>
      <c r="B1946" s="210" t="s">
        <v>68</v>
      </c>
      <c r="C1946" s="254" t="s">
        <v>1788</v>
      </c>
      <c r="D1946" s="255">
        <v>11520</v>
      </c>
      <c r="E1946" s="211" t="s">
        <v>1918</v>
      </c>
      <c r="F1946" s="212">
        <v>43615</v>
      </c>
      <c r="G1946" s="213">
        <v>2.7</v>
      </c>
      <c r="H1946" s="256">
        <v>4608</v>
      </c>
      <c r="I1946" s="214">
        <v>1460311</v>
      </c>
      <c r="J1946" s="215">
        <v>19175</v>
      </c>
      <c r="K1946" s="212">
        <v>43626</v>
      </c>
      <c r="L1946" s="211" t="s">
        <v>1931</v>
      </c>
      <c r="M1946" s="216">
        <v>4615520198</v>
      </c>
      <c r="N1946" s="212">
        <v>43642</v>
      </c>
      <c r="O1946" s="218">
        <v>3.8445</v>
      </c>
      <c r="P1946" s="219"/>
      <c r="Q1946" s="34">
        <f>SUMIF(Allocation[Delivery ID],Allocation[[#This Row],[Delivery ID]],Allocation[Quantity Processed])</f>
        <v>20235</v>
      </c>
      <c r="R1946" s="61">
        <f>Allocation[[#This Row],[Total volume used]]/VLOOKUP(Allocation[[#This Row],[Delivery ID]],Delivery[[Delivery ID]:[Quantity delivered]],3,FALSE)</f>
        <v>0.56333518930957682</v>
      </c>
      <c r="S1946" s="34">
        <f>Allocation[[#This Row],[Quantity Processed]]/Allocation[[#This Row],[Dilution rate]]</f>
        <v>4266.6666666666661</v>
      </c>
      <c r="T1946" s="59">
        <f>SUMIF(Allocation[Delivery ID],Allocation[[#This Row],[Delivery ID]],Allocation[Quantity allocated])/SUMIF(Allocation[Delivery ID],Allocation[[#This Row],[Delivery ID]],Allocation[Volume available (kg)])</f>
        <v>1.0624013462347499</v>
      </c>
      <c r="U1946" s="61">
        <f>Allocation[[#This Row],[Total volume used]]/VLOOKUP(Allocation[[#This Row],[Delivery ID]],Delivery[[Delivery ID]:[Quantity delivered]],3,FALSE)</f>
        <v>0.56333518930957682</v>
      </c>
      <c r="V1946" s="34" t="e">
        <f>VLOOKUP(Allocation[[#This Row],[SAP Contract number]],Shipments[[SAP Contract number]:[Contracted container weight]],2,FALSE)</f>
        <v>#N/A</v>
      </c>
      <c r="W1946" s="34" t="e">
        <f>VLOOKUP(Allocation[[#This Row],[SAP Contract number]],Shipments[[SAP Contract number]:[AAA Premium USD]],24,FALSE)</f>
        <v>#N/A</v>
      </c>
      <c r="X1946" s="34" t="e">
        <f>VLOOKUP(Allocation[[#This Row],[SAP Contract number]],Shipments[[SAP Contract number]:[RA Premium USD]],25,FALSE)</f>
        <v>#N/A</v>
      </c>
      <c r="Y1946" s="38">
        <f>Allocation[[#This Row],[Quantity Processed]]/Allocation[[#This Row],[Quantity allocated]]</f>
        <v>2.5</v>
      </c>
      <c r="Z1946" s="34" t="b">
        <f>Allocation[[#This Row],[Quantity allocated]]&lt;=Allocation[[#This Row],[Quantity Processed]]</f>
        <v>1</v>
      </c>
    </row>
    <row r="1947" spans="1:26">
      <c r="A1947" s="247" t="s">
        <v>467</v>
      </c>
      <c r="B1947" s="210" t="s">
        <v>68</v>
      </c>
      <c r="C1947" s="254" t="s">
        <v>1790</v>
      </c>
      <c r="D1947" s="255">
        <v>5147</v>
      </c>
      <c r="E1947" s="211" t="s">
        <v>1918</v>
      </c>
      <c r="F1947" s="212">
        <v>43615</v>
      </c>
      <c r="G1947" s="213">
        <v>2.7</v>
      </c>
      <c r="H1947" s="256">
        <v>2213</v>
      </c>
      <c r="I1947" s="214">
        <v>1460311</v>
      </c>
      <c r="J1947" s="215">
        <v>19175</v>
      </c>
      <c r="K1947" s="212">
        <v>43626</v>
      </c>
      <c r="L1947" s="211" t="s">
        <v>1931</v>
      </c>
      <c r="M1947" s="216">
        <v>4615520198</v>
      </c>
      <c r="N1947" s="212">
        <v>43642</v>
      </c>
      <c r="O1947" s="218">
        <v>3.8445</v>
      </c>
      <c r="P1947" s="219"/>
      <c r="Q1947" s="34">
        <f>SUMIF(Allocation[Delivery ID],Allocation[[#This Row],[Delivery ID]],Allocation[Quantity Processed])</f>
        <v>33360</v>
      </c>
      <c r="R1947" s="61">
        <f>Allocation[[#This Row],[Total volume used]]/VLOOKUP(Allocation[[#This Row],[Delivery ID]],Delivery[[Delivery ID]:[Quantity delivered]],3,FALSE)</f>
        <v>1</v>
      </c>
      <c r="S1947" s="34">
        <f>Allocation[[#This Row],[Quantity Processed]]/Allocation[[#This Row],[Dilution rate]]</f>
        <v>1906.2962962962961</v>
      </c>
      <c r="T1947" s="59">
        <f>SUMIF(Allocation[Delivery ID],Allocation[[#This Row],[Delivery ID]],Allocation[Quantity allocated])/SUMIF(Allocation[Delivery ID],Allocation[[#This Row],[Delivery ID]],Allocation[Volume available (kg)])</f>
        <v>0.98629285076212725</v>
      </c>
      <c r="U1947" s="61">
        <f>Allocation[[#This Row],[Total volume used]]/VLOOKUP(Allocation[[#This Row],[Delivery ID]],Delivery[[Delivery ID]:[Quantity delivered]],3,FALSE)</f>
        <v>1</v>
      </c>
      <c r="V1947" s="34" t="e">
        <f>VLOOKUP(Allocation[[#This Row],[SAP Contract number]],Shipments[[SAP Contract number]:[Contracted container weight]],2,FALSE)</f>
        <v>#N/A</v>
      </c>
      <c r="W1947" s="34" t="e">
        <f>VLOOKUP(Allocation[[#This Row],[SAP Contract number]],Shipments[[SAP Contract number]:[AAA Premium USD]],24,FALSE)</f>
        <v>#N/A</v>
      </c>
      <c r="X1947" s="34" t="e">
        <f>VLOOKUP(Allocation[[#This Row],[SAP Contract number]],Shipments[[SAP Contract number]:[RA Premium USD]],25,FALSE)</f>
        <v>#N/A</v>
      </c>
      <c r="Y1947" s="38">
        <f>Allocation[[#This Row],[Quantity Processed]]/Allocation[[#This Row],[Quantity allocated]]</f>
        <v>2.3258020786262992</v>
      </c>
      <c r="Z1947" s="34" t="b">
        <f>Allocation[[#This Row],[Quantity allocated]]&lt;=Allocation[[#This Row],[Quantity Processed]]</f>
        <v>1</v>
      </c>
    </row>
    <row r="1948" spans="1:26">
      <c r="A1948" s="247" t="s">
        <v>467</v>
      </c>
      <c r="B1948" s="210" t="s">
        <v>68</v>
      </c>
      <c r="C1948" s="254" t="s">
        <v>1791</v>
      </c>
      <c r="D1948" s="255">
        <v>1885</v>
      </c>
      <c r="E1948" s="211" t="s">
        <v>1918</v>
      </c>
      <c r="F1948" s="212">
        <v>43615</v>
      </c>
      <c r="G1948" s="213">
        <v>2.7</v>
      </c>
      <c r="H1948" s="256">
        <v>754</v>
      </c>
      <c r="I1948" s="214">
        <v>1460311</v>
      </c>
      <c r="J1948" s="215">
        <v>19175</v>
      </c>
      <c r="K1948" s="212">
        <v>43626</v>
      </c>
      <c r="L1948" s="211" t="s">
        <v>1931</v>
      </c>
      <c r="M1948" s="216">
        <v>4615520198</v>
      </c>
      <c r="N1948" s="212">
        <v>43642</v>
      </c>
      <c r="O1948" s="218">
        <v>3.8445</v>
      </c>
      <c r="P1948" s="219"/>
      <c r="Q1948" s="34">
        <f>SUMIF(Allocation[Delivery ID],Allocation[[#This Row],[Delivery ID]],Allocation[Quantity Processed])</f>
        <v>11408</v>
      </c>
      <c r="R1948" s="61">
        <f>Allocation[[#This Row],[Total volume used]]/VLOOKUP(Allocation[[#This Row],[Delivery ID]],Delivery[[Delivery ID]:[Quantity delivered]],3,FALSE)</f>
        <v>0.68188882247459648</v>
      </c>
      <c r="S1948" s="34">
        <f>Allocation[[#This Row],[Quantity Processed]]/Allocation[[#This Row],[Dilution rate]]</f>
        <v>698.14814814814815</v>
      </c>
      <c r="T1948" s="59">
        <f>SUMIF(Allocation[Delivery ID],Allocation[[#This Row],[Delivery ID]],Allocation[Quantity allocated])/SUMIF(Allocation[Delivery ID],Allocation[[#This Row],[Delivery ID]],Allocation[Volume available (kg)])</f>
        <v>1.0624926655320888</v>
      </c>
      <c r="U1948" s="61">
        <f>Allocation[[#This Row],[Total volume used]]/VLOOKUP(Allocation[[#This Row],[Delivery ID]],Delivery[[Delivery ID]:[Quantity delivered]],3,FALSE)</f>
        <v>0.68188882247459648</v>
      </c>
      <c r="V1948" s="34" t="e">
        <f>VLOOKUP(Allocation[[#This Row],[SAP Contract number]],Shipments[[SAP Contract number]:[Contracted container weight]],2,FALSE)</f>
        <v>#N/A</v>
      </c>
      <c r="W1948" s="34" t="e">
        <f>VLOOKUP(Allocation[[#This Row],[SAP Contract number]],Shipments[[SAP Contract number]:[AAA Premium USD]],24,FALSE)</f>
        <v>#N/A</v>
      </c>
      <c r="X1948" s="34" t="e">
        <f>VLOOKUP(Allocation[[#This Row],[SAP Contract number]],Shipments[[SAP Contract number]:[RA Premium USD]],25,FALSE)</f>
        <v>#N/A</v>
      </c>
      <c r="Y1948" s="38">
        <f>Allocation[[#This Row],[Quantity Processed]]/Allocation[[#This Row],[Quantity allocated]]</f>
        <v>2.5</v>
      </c>
      <c r="Z1948" s="34" t="b">
        <f>Allocation[[#This Row],[Quantity allocated]]&lt;=Allocation[[#This Row],[Quantity Processed]]</f>
        <v>1</v>
      </c>
    </row>
    <row r="1949" spans="1:26">
      <c r="A1949" s="247" t="s">
        <v>467</v>
      </c>
      <c r="B1949" s="210" t="s">
        <v>68</v>
      </c>
      <c r="C1949" s="254" t="s">
        <v>1791</v>
      </c>
      <c r="D1949" s="255">
        <v>4203</v>
      </c>
      <c r="E1949" s="211" t="s">
        <v>1918</v>
      </c>
      <c r="F1949" s="212">
        <v>43615</v>
      </c>
      <c r="G1949" s="213">
        <v>2.7</v>
      </c>
      <c r="H1949" s="256">
        <v>1681</v>
      </c>
      <c r="I1949" s="214">
        <v>1460312</v>
      </c>
      <c r="J1949" s="215">
        <v>19175</v>
      </c>
      <c r="K1949" s="212">
        <v>43626</v>
      </c>
      <c r="L1949" s="211" t="s">
        <v>1932</v>
      </c>
      <c r="M1949" s="216">
        <v>4615520198</v>
      </c>
      <c r="N1949" s="212">
        <v>43642</v>
      </c>
      <c r="O1949" s="218">
        <v>3.8445</v>
      </c>
      <c r="P1949" s="219"/>
      <c r="Q1949" s="34">
        <f>SUMIF(Allocation[Delivery ID],Allocation[[#This Row],[Delivery ID]],Allocation[Quantity Processed])</f>
        <v>11408</v>
      </c>
      <c r="R1949" s="61">
        <f>Allocation[[#This Row],[Total volume used]]/VLOOKUP(Allocation[[#This Row],[Delivery ID]],Delivery[[Delivery ID]:[Quantity delivered]],3,FALSE)</f>
        <v>0.68188882247459648</v>
      </c>
      <c r="S1949" s="34">
        <f>Allocation[[#This Row],[Quantity Processed]]/Allocation[[#This Row],[Dilution rate]]</f>
        <v>1556.6666666666665</v>
      </c>
      <c r="T1949" s="59">
        <f>SUMIF(Allocation[Delivery ID],Allocation[[#This Row],[Delivery ID]],Allocation[Quantity allocated])/SUMIF(Allocation[Delivery ID],Allocation[[#This Row],[Delivery ID]],Allocation[Volume available (kg)])</f>
        <v>1.0624926655320888</v>
      </c>
      <c r="U1949" s="61">
        <f>Allocation[[#This Row],[Total volume used]]/VLOOKUP(Allocation[[#This Row],[Delivery ID]],Delivery[[Delivery ID]:[Quantity delivered]],3,FALSE)</f>
        <v>0.68188882247459648</v>
      </c>
      <c r="V1949" s="34" t="e">
        <f>VLOOKUP(Allocation[[#This Row],[SAP Contract number]],Shipments[[SAP Contract number]:[Contracted container weight]],2,FALSE)</f>
        <v>#N/A</v>
      </c>
      <c r="W1949" s="34" t="e">
        <f>VLOOKUP(Allocation[[#This Row],[SAP Contract number]],Shipments[[SAP Contract number]:[AAA Premium USD]],24,FALSE)</f>
        <v>#N/A</v>
      </c>
      <c r="X1949" s="34" t="e">
        <f>VLOOKUP(Allocation[[#This Row],[SAP Contract number]],Shipments[[SAP Contract number]:[RA Premium USD]],25,FALSE)</f>
        <v>#N/A</v>
      </c>
      <c r="Y1949" s="38">
        <f>Allocation[[#This Row],[Quantity Processed]]/Allocation[[#This Row],[Quantity allocated]]</f>
        <v>2.5002974419988102</v>
      </c>
      <c r="Z1949" s="34" t="b">
        <f>Allocation[[#This Row],[Quantity allocated]]&lt;=Allocation[[#This Row],[Quantity Processed]]</f>
        <v>1</v>
      </c>
    </row>
    <row r="1950" spans="1:26">
      <c r="A1950" s="247" t="s">
        <v>467</v>
      </c>
      <c r="B1950" s="210" t="s">
        <v>68</v>
      </c>
      <c r="C1950" s="254" t="s">
        <v>1796</v>
      </c>
      <c r="D1950" s="255">
        <v>17408</v>
      </c>
      <c r="E1950" s="211" t="s">
        <v>1918</v>
      </c>
      <c r="F1950" s="212">
        <v>43615</v>
      </c>
      <c r="G1950" s="213">
        <v>2.7</v>
      </c>
      <c r="H1950" s="256">
        <v>6963</v>
      </c>
      <c r="I1950" s="214">
        <v>1460312</v>
      </c>
      <c r="J1950" s="215">
        <v>19175</v>
      </c>
      <c r="K1950" s="212">
        <v>43626</v>
      </c>
      <c r="L1950" s="211" t="s">
        <v>1932</v>
      </c>
      <c r="M1950" s="216">
        <v>4615520198</v>
      </c>
      <c r="N1950" s="212">
        <v>43642</v>
      </c>
      <c r="O1950" s="218">
        <v>3.8445</v>
      </c>
      <c r="P1950" s="219"/>
      <c r="Q1950" s="34">
        <f>SUMIF(Allocation[Delivery ID],Allocation[[#This Row],[Delivery ID]],Allocation[Quantity Processed])</f>
        <v>30903</v>
      </c>
      <c r="R1950" s="61">
        <f>Allocation[[#This Row],[Total volume used]]/VLOOKUP(Allocation[[#This Row],[Delivery ID]],Delivery[[Delivery ID]:[Quantity delivered]],3,FALSE)</f>
        <v>0.81818903891977757</v>
      </c>
      <c r="S1950" s="34">
        <f>Allocation[[#This Row],[Quantity Processed]]/Allocation[[#This Row],[Dilution rate]]</f>
        <v>6447.4074074074069</v>
      </c>
      <c r="T1950" s="59">
        <f>SUMIF(Allocation[Delivery ID],Allocation[[#This Row],[Delivery ID]],Allocation[Quantity allocated])/SUMIF(Allocation[Delivery ID],Allocation[[#This Row],[Delivery ID]],Allocation[Volume available (kg)])</f>
        <v>1.0621430573593007</v>
      </c>
      <c r="U1950" s="61">
        <f>Allocation[[#This Row],[Total volume used]]/VLOOKUP(Allocation[[#This Row],[Delivery ID]],Delivery[[Delivery ID]:[Quantity delivered]],3,FALSE)</f>
        <v>0.81818903891977757</v>
      </c>
      <c r="V1950" s="34" t="e">
        <f>VLOOKUP(Allocation[[#This Row],[SAP Contract number]],Shipments[[SAP Contract number]:[Contracted container weight]],2,FALSE)</f>
        <v>#N/A</v>
      </c>
      <c r="W1950" s="34" t="e">
        <f>VLOOKUP(Allocation[[#This Row],[SAP Contract number]],Shipments[[SAP Contract number]:[AAA Premium USD]],24,FALSE)</f>
        <v>#N/A</v>
      </c>
      <c r="X1950" s="34" t="e">
        <f>VLOOKUP(Allocation[[#This Row],[SAP Contract number]],Shipments[[SAP Contract number]:[RA Premium USD]],25,FALSE)</f>
        <v>#N/A</v>
      </c>
      <c r="Y1950" s="38">
        <f>Allocation[[#This Row],[Quantity Processed]]/Allocation[[#This Row],[Quantity allocated]]</f>
        <v>2.5000718081286801</v>
      </c>
      <c r="Z1950" s="34" t="b">
        <f>Allocation[[#This Row],[Quantity allocated]]&lt;=Allocation[[#This Row],[Quantity Processed]]</f>
        <v>1</v>
      </c>
    </row>
    <row r="1951" spans="1:26">
      <c r="A1951" s="247" t="s">
        <v>467</v>
      </c>
      <c r="B1951" s="210" t="s">
        <v>68</v>
      </c>
      <c r="C1951" s="254" t="s">
        <v>1797</v>
      </c>
      <c r="D1951" s="255">
        <v>10745</v>
      </c>
      <c r="E1951" s="211" t="s">
        <v>1918</v>
      </c>
      <c r="F1951" s="212">
        <v>43615</v>
      </c>
      <c r="G1951" s="213">
        <v>2.7</v>
      </c>
      <c r="H1951" s="256">
        <v>5695</v>
      </c>
      <c r="I1951" s="214">
        <v>1460312</v>
      </c>
      <c r="J1951" s="215">
        <v>19175</v>
      </c>
      <c r="K1951" s="212">
        <v>43626</v>
      </c>
      <c r="L1951" s="211" t="s">
        <v>1932</v>
      </c>
      <c r="M1951" s="216">
        <v>4615520198</v>
      </c>
      <c r="N1951" s="212">
        <v>43642</v>
      </c>
      <c r="O1951" s="218">
        <v>3.8445</v>
      </c>
      <c r="P1951" s="219"/>
      <c r="Q1951" s="34">
        <f>SUMIF(Allocation[Delivery ID],Allocation[[#This Row],[Delivery ID]],Allocation[Quantity Processed])</f>
        <v>18902</v>
      </c>
      <c r="R1951" s="61">
        <f>Allocation[[#This Row],[Total volume used]]/VLOOKUP(Allocation[[#This Row],[Delivery ID]],Delivery[[Delivery ID]:[Quantity delivered]],3,FALSE)</f>
        <v>0.59477658904971675</v>
      </c>
      <c r="S1951" s="34">
        <f>Allocation[[#This Row],[Quantity Processed]]/Allocation[[#This Row],[Dilution rate]]</f>
        <v>3979.6296296296296</v>
      </c>
      <c r="T1951" s="59">
        <f>SUMIF(Allocation[Delivery ID],Allocation[[#This Row],[Delivery ID]],Allocation[Quantity allocated])/SUMIF(Allocation[Delivery ID],Allocation[[#This Row],[Delivery ID]],Allocation[Volume available (kg)])</f>
        <v>1.4076279650686838</v>
      </c>
      <c r="U1951" s="61">
        <f>Allocation[[#This Row],[Total volume used]]/VLOOKUP(Allocation[[#This Row],[Delivery ID]],Delivery[[Delivery ID]:[Quantity delivered]],3,FALSE)</f>
        <v>0.59477658904971675</v>
      </c>
      <c r="V1951" s="34" t="e">
        <f>VLOOKUP(Allocation[[#This Row],[SAP Contract number]],Shipments[[SAP Contract number]:[Contracted container weight]],2,FALSE)</f>
        <v>#N/A</v>
      </c>
      <c r="W1951" s="34" t="e">
        <f>VLOOKUP(Allocation[[#This Row],[SAP Contract number]],Shipments[[SAP Contract number]:[AAA Premium USD]],24,FALSE)</f>
        <v>#N/A</v>
      </c>
      <c r="X1951" s="34" t="e">
        <f>VLOOKUP(Allocation[[#This Row],[SAP Contract number]],Shipments[[SAP Contract number]:[RA Premium USD]],25,FALSE)</f>
        <v>#N/A</v>
      </c>
      <c r="Y1951" s="38">
        <f>Allocation[[#This Row],[Quantity Processed]]/Allocation[[#This Row],[Quantity allocated]]</f>
        <v>1.8867427568042143</v>
      </c>
      <c r="Z1951" s="34" t="b">
        <f>Allocation[[#This Row],[Quantity allocated]]&lt;=Allocation[[#This Row],[Quantity Processed]]</f>
        <v>1</v>
      </c>
    </row>
    <row r="1952" spans="1:26">
      <c r="A1952" s="247" t="s">
        <v>467</v>
      </c>
      <c r="B1952" s="210" t="s">
        <v>68</v>
      </c>
      <c r="C1952" s="254" t="s">
        <v>1800</v>
      </c>
      <c r="D1952" s="255">
        <v>1156.5</v>
      </c>
      <c r="E1952" s="211" t="s">
        <v>1918</v>
      </c>
      <c r="F1952" s="212">
        <v>43615</v>
      </c>
      <c r="G1952" s="213">
        <v>2.7</v>
      </c>
      <c r="H1952" s="256">
        <v>462</v>
      </c>
      <c r="I1952" s="214">
        <v>1460312</v>
      </c>
      <c r="J1952" s="215">
        <v>19175</v>
      </c>
      <c r="K1952" s="212">
        <v>43626</v>
      </c>
      <c r="L1952" s="211" t="s">
        <v>1932</v>
      </c>
      <c r="M1952" s="216">
        <v>4615520198</v>
      </c>
      <c r="N1952" s="212">
        <v>43642</v>
      </c>
      <c r="O1952" s="218">
        <v>3.8445</v>
      </c>
      <c r="P1952" s="219"/>
      <c r="Q1952" s="34">
        <f>SUMIF(Allocation[Delivery ID],Allocation[[#This Row],[Delivery ID]],Allocation[Quantity Processed])</f>
        <v>1156.5</v>
      </c>
      <c r="R1952" s="61">
        <f>Allocation[[#This Row],[Total volume used]]/VLOOKUP(Allocation[[#This Row],[Delivery ID]],Delivery[[Delivery ID]:[Quantity delivered]],3,FALSE)</f>
        <v>1</v>
      </c>
      <c r="S1952" s="34">
        <f>Allocation[[#This Row],[Quantity Processed]]/Allocation[[#This Row],[Dilution rate]]</f>
        <v>428.33333333333331</v>
      </c>
      <c r="T1952" s="59">
        <f>SUMIF(Allocation[Delivery ID],Allocation[[#This Row],[Delivery ID]],Allocation[Quantity allocated])/SUMIF(Allocation[Delivery ID],Allocation[[#This Row],[Delivery ID]],Allocation[Volume available (kg)])</f>
        <v>1.0785992217898832</v>
      </c>
      <c r="U1952" s="61">
        <f>Allocation[[#This Row],[Total volume used]]/VLOOKUP(Allocation[[#This Row],[Delivery ID]],Delivery[[Delivery ID]:[Quantity delivered]],3,FALSE)</f>
        <v>1</v>
      </c>
      <c r="V1952" s="34" t="e">
        <f>VLOOKUP(Allocation[[#This Row],[SAP Contract number]],Shipments[[SAP Contract number]:[Contracted container weight]],2,FALSE)</f>
        <v>#N/A</v>
      </c>
      <c r="W1952" s="34" t="e">
        <f>VLOOKUP(Allocation[[#This Row],[SAP Contract number]],Shipments[[SAP Contract number]:[AAA Premium USD]],24,FALSE)</f>
        <v>#N/A</v>
      </c>
      <c r="X1952" s="34" t="e">
        <f>VLOOKUP(Allocation[[#This Row],[SAP Contract number]],Shipments[[SAP Contract number]:[RA Premium USD]],25,FALSE)</f>
        <v>#N/A</v>
      </c>
      <c r="Y1952" s="38">
        <f>Allocation[[#This Row],[Quantity Processed]]/Allocation[[#This Row],[Quantity allocated]]</f>
        <v>2.5032467532467533</v>
      </c>
      <c r="Z1952" s="34" t="b">
        <f>Allocation[[#This Row],[Quantity allocated]]&lt;=Allocation[[#This Row],[Quantity Processed]]</f>
        <v>1</v>
      </c>
    </row>
    <row r="1953" spans="1:26">
      <c r="A1953" s="247" t="s">
        <v>467</v>
      </c>
      <c r="B1953" s="210" t="s">
        <v>68</v>
      </c>
      <c r="C1953" s="254" t="s">
        <v>1802</v>
      </c>
      <c r="D1953" s="255">
        <v>5457</v>
      </c>
      <c r="E1953" s="211" t="s">
        <v>1918</v>
      </c>
      <c r="F1953" s="212">
        <v>43615</v>
      </c>
      <c r="G1953" s="213">
        <v>2.7</v>
      </c>
      <c r="H1953" s="256">
        <v>2892</v>
      </c>
      <c r="I1953" s="214">
        <v>1460312</v>
      </c>
      <c r="J1953" s="215">
        <v>19175</v>
      </c>
      <c r="K1953" s="212">
        <v>43626</v>
      </c>
      <c r="L1953" s="211" t="s">
        <v>1932</v>
      </c>
      <c r="M1953" s="216">
        <v>4615520198</v>
      </c>
      <c r="N1953" s="212">
        <v>43642</v>
      </c>
      <c r="O1953" s="218">
        <v>3.8445</v>
      </c>
      <c r="P1953" s="219"/>
      <c r="Q1953" s="34">
        <f>SUMIF(Allocation[Delivery ID],Allocation[[#This Row],[Delivery ID]],Allocation[Quantity Processed])</f>
        <v>10087</v>
      </c>
      <c r="R1953" s="61">
        <f>Allocation[[#This Row],[Total volume used]]/VLOOKUP(Allocation[[#This Row],[Delivery ID]],Delivery[[Delivery ID]:[Quantity delivered]],3,FALSE)</f>
        <v>0.55914634146341469</v>
      </c>
      <c r="S1953" s="34">
        <f>Allocation[[#This Row],[Quantity Processed]]/Allocation[[#This Row],[Dilution rate]]</f>
        <v>2021.1111111111111</v>
      </c>
      <c r="T1953" s="59">
        <f>SUMIF(Allocation[Delivery ID],Allocation[[#This Row],[Delivery ID]],Allocation[Quantity allocated])/SUMIF(Allocation[Delivery ID],Allocation[[#This Row],[Delivery ID]],Allocation[Volume available (kg)])</f>
        <v>1.4061463063711164</v>
      </c>
      <c r="U1953" s="61">
        <f>Allocation[[#This Row],[Total volume used]]/VLOOKUP(Allocation[[#This Row],[Delivery ID]],Delivery[[Delivery ID]:[Quantity delivered]],3,FALSE)</f>
        <v>0.55914634146341469</v>
      </c>
      <c r="V1953" s="34" t="e">
        <f>VLOOKUP(Allocation[[#This Row],[SAP Contract number]],Shipments[[SAP Contract number]:[Contracted container weight]],2,FALSE)</f>
        <v>#N/A</v>
      </c>
      <c r="W1953" s="34" t="e">
        <f>VLOOKUP(Allocation[[#This Row],[SAP Contract number]],Shipments[[SAP Contract number]:[AAA Premium USD]],24,FALSE)</f>
        <v>#N/A</v>
      </c>
      <c r="X1953" s="34" t="e">
        <f>VLOOKUP(Allocation[[#This Row],[SAP Contract number]],Shipments[[SAP Contract number]:[RA Premium USD]],25,FALSE)</f>
        <v>#N/A</v>
      </c>
      <c r="Y1953" s="38">
        <f>Allocation[[#This Row],[Quantity Processed]]/Allocation[[#This Row],[Quantity allocated]]</f>
        <v>1.8869294605809128</v>
      </c>
      <c r="Z1953" s="34" t="b">
        <f>Allocation[[#This Row],[Quantity allocated]]&lt;=Allocation[[#This Row],[Quantity Processed]]</f>
        <v>1</v>
      </c>
    </row>
    <row r="1954" spans="1:26">
      <c r="A1954" s="247" t="s">
        <v>467</v>
      </c>
      <c r="B1954" s="210" t="s">
        <v>68</v>
      </c>
      <c r="C1954" s="254" t="s">
        <v>1805</v>
      </c>
      <c r="D1954" s="255">
        <v>4491</v>
      </c>
      <c r="E1954" s="211" t="s">
        <v>1918</v>
      </c>
      <c r="F1954" s="212">
        <v>43615</v>
      </c>
      <c r="G1954" s="213">
        <v>2.7</v>
      </c>
      <c r="H1954" s="256">
        <v>1482</v>
      </c>
      <c r="I1954" s="214">
        <v>1460312</v>
      </c>
      <c r="J1954" s="215">
        <v>19175</v>
      </c>
      <c r="K1954" s="212">
        <v>43626</v>
      </c>
      <c r="L1954" s="211" t="s">
        <v>1932</v>
      </c>
      <c r="M1954" s="216">
        <v>4615520198</v>
      </c>
      <c r="N1954" s="212">
        <v>43642</v>
      </c>
      <c r="O1954" s="218">
        <v>3.8445</v>
      </c>
      <c r="P1954" s="219"/>
      <c r="Q1954" s="34">
        <f>SUMIF(Allocation[Delivery ID],Allocation[[#This Row],[Delivery ID]],Allocation[Quantity Processed])</f>
        <v>30910</v>
      </c>
      <c r="R1954" s="61">
        <f>Allocation[[#This Row],[Total volume used]]/VLOOKUP(Allocation[[#This Row],[Delivery ID]],Delivery[[Delivery ID]:[Quantity delivered]],3,FALSE)</f>
        <v>1</v>
      </c>
      <c r="S1954" s="34">
        <f>Allocation[[#This Row],[Quantity Processed]]/Allocation[[#This Row],[Dilution rate]]</f>
        <v>1663.3333333333333</v>
      </c>
      <c r="T1954" s="59">
        <f>SUMIF(Allocation[Delivery ID],Allocation[[#This Row],[Delivery ID]],Allocation[Quantity allocated])/SUMIF(Allocation[Delivery ID],Allocation[[#This Row],[Delivery ID]],Allocation[Volume available (kg)])</f>
        <v>0.87624803302799903</v>
      </c>
      <c r="U1954" s="61">
        <f>Allocation[[#This Row],[Total volume used]]/VLOOKUP(Allocation[[#This Row],[Delivery ID]],Delivery[[Delivery ID]:[Quantity delivered]],3,FALSE)</f>
        <v>1</v>
      </c>
      <c r="V1954" s="34" t="e">
        <f>VLOOKUP(Allocation[[#This Row],[SAP Contract number]],Shipments[[SAP Contract number]:[Contracted container weight]],2,FALSE)</f>
        <v>#N/A</v>
      </c>
      <c r="W1954" s="34" t="e">
        <f>VLOOKUP(Allocation[[#This Row],[SAP Contract number]],Shipments[[SAP Contract number]:[AAA Premium USD]],24,FALSE)</f>
        <v>#N/A</v>
      </c>
      <c r="X1954" s="34" t="e">
        <f>VLOOKUP(Allocation[[#This Row],[SAP Contract number]],Shipments[[SAP Contract number]:[RA Premium USD]],25,FALSE)</f>
        <v>#N/A</v>
      </c>
      <c r="Y1954" s="38">
        <f>Allocation[[#This Row],[Quantity Processed]]/Allocation[[#This Row],[Quantity allocated]]</f>
        <v>3.0303643724696356</v>
      </c>
      <c r="Z1954" s="34" t="b">
        <f>Allocation[[#This Row],[Quantity allocated]]&lt;=Allocation[[#This Row],[Quantity Processed]]</f>
        <v>1</v>
      </c>
    </row>
    <row r="1955" spans="1:26">
      <c r="A1955" s="247" t="s">
        <v>467</v>
      </c>
      <c r="B1955" s="210" t="s">
        <v>68</v>
      </c>
      <c r="C1955" s="254" t="s">
        <v>1805</v>
      </c>
      <c r="D1955" s="255">
        <v>12833</v>
      </c>
      <c r="E1955" s="211" t="s">
        <v>1918</v>
      </c>
      <c r="F1955" s="212">
        <v>43615</v>
      </c>
      <c r="G1955" s="213">
        <v>2.7</v>
      </c>
      <c r="H1955" s="256">
        <v>4235</v>
      </c>
      <c r="I1955" s="214">
        <v>1460313</v>
      </c>
      <c r="J1955" s="215">
        <v>19175</v>
      </c>
      <c r="K1955" s="212">
        <v>43626</v>
      </c>
      <c r="L1955" s="211" t="s">
        <v>1933</v>
      </c>
      <c r="M1955" s="216">
        <v>4615520198</v>
      </c>
      <c r="N1955" s="212">
        <v>43642</v>
      </c>
      <c r="O1955" s="218">
        <v>3.8445</v>
      </c>
      <c r="P1955" s="219"/>
      <c r="Q1955" s="34">
        <f>SUMIF(Allocation[Delivery ID],Allocation[[#This Row],[Delivery ID]],Allocation[Quantity Processed])</f>
        <v>30910</v>
      </c>
      <c r="R1955" s="61">
        <f>Allocation[[#This Row],[Total volume used]]/VLOOKUP(Allocation[[#This Row],[Delivery ID]],Delivery[[Delivery ID]:[Quantity delivered]],3,FALSE)</f>
        <v>1</v>
      </c>
      <c r="S1955" s="34">
        <f>Allocation[[#This Row],[Quantity Processed]]/Allocation[[#This Row],[Dilution rate]]</f>
        <v>4752.9629629629626</v>
      </c>
      <c r="T1955" s="59">
        <f>SUMIF(Allocation[Delivery ID],Allocation[[#This Row],[Delivery ID]],Allocation[Quantity allocated])/SUMIF(Allocation[Delivery ID],Allocation[[#This Row],[Delivery ID]],Allocation[Volume available (kg)])</f>
        <v>0.87624803302799903</v>
      </c>
      <c r="U1955" s="61">
        <f>Allocation[[#This Row],[Total volume used]]/VLOOKUP(Allocation[[#This Row],[Delivery ID]],Delivery[[Delivery ID]:[Quantity delivered]],3,FALSE)</f>
        <v>1</v>
      </c>
      <c r="V1955" s="34" t="e">
        <f>VLOOKUP(Allocation[[#This Row],[SAP Contract number]],Shipments[[SAP Contract number]:[Contracted container weight]],2,FALSE)</f>
        <v>#N/A</v>
      </c>
      <c r="W1955" s="34" t="e">
        <f>VLOOKUP(Allocation[[#This Row],[SAP Contract number]],Shipments[[SAP Contract number]:[AAA Premium USD]],24,FALSE)</f>
        <v>#N/A</v>
      </c>
      <c r="X1955" s="34" t="e">
        <f>VLOOKUP(Allocation[[#This Row],[SAP Contract number]],Shipments[[SAP Contract number]:[RA Premium USD]],25,FALSE)</f>
        <v>#N/A</v>
      </c>
      <c r="Y1955" s="38">
        <f>Allocation[[#This Row],[Quantity Processed]]/Allocation[[#This Row],[Quantity allocated]]</f>
        <v>3.0302243211334119</v>
      </c>
      <c r="Z1955" s="34" t="b">
        <f>Allocation[[#This Row],[Quantity allocated]]&lt;=Allocation[[#This Row],[Quantity Processed]]</f>
        <v>1</v>
      </c>
    </row>
    <row r="1956" spans="1:26">
      <c r="A1956" s="247" t="s">
        <v>467</v>
      </c>
      <c r="B1956" s="210" t="s">
        <v>68</v>
      </c>
      <c r="C1956" s="254" t="s">
        <v>1808</v>
      </c>
      <c r="D1956" s="255">
        <v>13521</v>
      </c>
      <c r="E1956" s="211" t="s">
        <v>1918</v>
      </c>
      <c r="F1956" s="212">
        <v>43615</v>
      </c>
      <c r="G1956" s="213">
        <v>2.7</v>
      </c>
      <c r="H1956" s="256">
        <v>4462</v>
      </c>
      <c r="I1956" s="214">
        <v>1460313</v>
      </c>
      <c r="J1956" s="215">
        <v>19175</v>
      </c>
      <c r="K1956" s="212">
        <v>43626</v>
      </c>
      <c r="L1956" s="211" t="s">
        <v>1933</v>
      </c>
      <c r="M1956" s="216">
        <v>4615520198</v>
      </c>
      <c r="N1956" s="212">
        <v>43642</v>
      </c>
      <c r="O1956" s="218">
        <v>3.8445</v>
      </c>
      <c r="P1956" s="219"/>
      <c r="Q1956" s="34">
        <f>SUMIF(Allocation[Delivery ID],Allocation[[#This Row],[Delivery ID]],Allocation[Quantity Processed])</f>
        <v>24127</v>
      </c>
      <c r="R1956" s="61">
        <f>Allocation[[#This Row],[Total volume used]]/VLOOKUP(Allocation[[#This Row],[Delivery ID]],Delivery[[Delivery ID]:[Quantity delivered]],3,FALSE)</f>
        <v>1</v>
      </c>
      <c r="S1956" s="34">
        <f>Allocation[[#This Row],[Quantity Processed]]/Allocation[[#This Row],[Dilution rate]]</f>
        <v>5007.7777777777774</v>
      </c>
      <c r="T1956" s="59">
        <f>SUMIF(Allocation[Delivery ID],Allocation[[#This Row],[Delivery ID]],Allocation[Quantity allocated])/SUMIF(Allocation[Delivery ID],Allocation[[#This Row],[Delivery ID]],Allocation[Volume available (kg)])</f>
        <v>0.87619594048044547</v>
      </c>
      <c r="U1956" s="61">
        <f>Allocation[[#This Row],[Total volume used]]/VLOOKUP(Allocation[[#This Row],[Delivery ID]],Delivery[[Delivery ID]:[Quantity delivered]],3,FALSE)</f>
        <v>1</v>
      </c>
      <c r="V1956" s="34" t="e">
        <f>VLOOKUP(Allocation[[#This Row],[SAP Contract number]],Shipments[[SAP Contract number]:[Contracted container weight]],2,FALSE)</f>
        <v>#N/A</v>
      </c>
      <c r="W1956" s="34" t="e">
        <f>VLOOKUP(Allocation[[#This Row],[SAP Contract number]],Shipments[[SAP Contract number]:[AAA Premium USD]],24,FALSE)</f>
        <v>#N/A</v>
      </c>
      <c r="X1956" s="34" t="e">
        <f>VLOOKUP(Allocation[[#This Row],[SAP Contract number]],Shipments[[SAP Contract number]:[RA Premium USD]],25,FALSE)</f>
        <v>#N/A</v>
      </c>
      <c r="Y1956" s="38">
        <f>Allocation[[#This Row],[Quantity Processed]]/Allocation[[#This Row],[Quantity allocated]]</f>
        <v>3.0302554908112955</v>
      </c>
      <c r="Z1956" s="34" t="b">
        <f>Allocation[[#This Row],[Quantity allocated]]&lt;=Allocation[[#This Row],[Quantity Processed]]</f>
        <v>1</v>
      </c>
    </row>
    <row r="1957" spans="1:26">
      <c r="A1957" s="247" t="s">
        <v>467</v>
      </c>
      <c r="B1957" s="210" t="s">
        <v>68</v>
      </c>
      <c r="C1957" s="254" t="s">
        <v>1813</v>
      </c>
      <c r="D1957" s="255">
        <v>7711</v>
      </c>
      <c r="E1957" s="211" t="s">
        <v>1918</v>
      </c>
      <c r="F1957" s="212">
        <v>43615</v>
      </c>
      <c r="G1957" s="213">
        <v>2.7</v>
      </c>
      <c r="H1957" s="256">
        <v>3547</v>
      </c>
      <c r="I1957" s="214">
        <v>1460313</v>
      </c>
      <c r="J1957" s="215">
        <v>19175</v>
      </c>
      <c r="K1957" s="212">
        <v>43626</v>
      </c>
      <c r="L1957" s="211" t="s">
        <v>1933</v>
      </c>
      <c r="M1957" s="216">
        <v>4615520198</v>
      </c>
      <c r="N1957" s="212">
        <v>43642</v>
      </c>
      <c r="O1957" s="218">
        <v>3.8445</v>
      </c>
      <c r="P1957" s="219"/>
      <c r="Q1957" s="34">
        <f>SUMIF(Allocation[Delivery ID],Allocation[[#This Row],[Delivery ID]],Allocation[Quantity Processed])</f>
        <v>14254</v>
      </c>
      <c r="R1957" s="61">
        <f>Allocation[[#This Row],[Total volume used]]/VLOOKUP(Allocation[[#This Row],[Delivery ID]],Delivery[[Delivery ID]:[Quantity delivered]],3,FALSE)</f>
        <v>0.74316996871741392</v>
      </c>
      <c r="S1957" s="34">
        <f>Allocation[[#This Row],[Quantity Processed]]/Allocation[[#This Row],[Dilution rate]]</f>
        <v>2855.9259259259256</v>
      </c>
      <c r="T1957" s="59">
        <f>SUMIF(Allocation[Delivery ID],Allocation[[#This Row],[Delivery ID]],Allocation[Quantity allocated])/SUMIF(Allocation[Delivery ID],Allocation[[#This Row],[Delivery ID]],Allocation[Volume available (kg)])</f>
        <v>1.2204827295457741</v>
      </c>
      <c r="U1957" s="61">
        <f>Allocation[[#This Row],[Total volume used]]/VLOOKUP(Allocation[[#This Row],[Delivery ID]],Delivery[[Delivery ID]:[Quantity delivered]],3,FALSE)</f>
        <v>0.74316996871741392</v>
      </c>
      <c r="V1957" s="34" t="e">
        <f>VLOOKUP(Allocation[[#This Row],[SAP Contract number]],Shipments[[SAP Contract number]:[Contracted container weight]],2,FALSE)</f>
        <v>#N/A</v>
      </c>
      <c r="W1957" s="34" t="e">
        <f>VLOOKUP(Allocation[[#This Row],[SAP Contract number]],Shipments[[SAP Contract number]:[AAA Premium USD]],24,FALSE)</f>
        <v>#N/A</v>
      </c>
      <c r="X1957" s="34" t="e">
        <f>VLOOKUP(Allocation[[#This Row],[SAP Contract number]],Shipments[[SAP Contract number]:[RA Premium USD]],25,FALSE)</f>
        <v>#N/A</v>
      </c>
      <c r="Y1957" s="38">
        <f>Allocation[[#This Row],[Quantity Processed]]/Allocation[[#This Row],[Quantity allocated]]</f>
        <v>2.1739498167465463</v>
      </c>
      <c r="Z1957" s="34" t="b">
        <f>Allocation[[#This Row],[Quantity allocated]]&lt;=Allocation[[#This Row],[Quantity Processed]]</f>
        <v>1</v>
      </c>
    </row>
    <row r="1958" spans="1:26">
      <c r="A1958" s="247" t="s">
        <v>467</v>
      </c>
      <c r="B1958" s="210" t="s">
        <v>68</v>
      </c>
      <c r="C1958" s="254" t="s">
        <v>1816</v>
      </c>
      <c r="D1958" s="255">
        <v>10779</v>
      </c>
      <c r="E1958" s="211" t="s">
        <v>1918</v>
      </c>
      <c r="F1958" s="212">
        <v>43615</v>
      </c>
      <c r="G1958" s="213">
        <v>2.7</v>
      </c>
      <c r="H1958" s="256">
        <v>5713</v>
      </c>
      <c r="I1958" s="214">
        <v>1460313</v>
      </c>
      <c r="J1958" s="215">
        <v>19175</v>
      </c>
      <c r="K1958" s="212">
        <v>43626</v>
      </c>
      <c r="L1958" s="211" t="s">
        <v>1933</v>
      </c>
      <c r="M1958" s="216">
        <v>4615520198</v>
      </c>
      <c r="N1958" s="212">
        <v>43642</v>
      </c>
      <c r="O1958" s="218">
        <v>3.8445</v>
      </c>
      <c r="P1958" s="219"/>
      <c r="Q1958" s="34">
        <f>SUMIF(Allocation[Delivery ID],Allocation[[#This Row],[Delivery ID]],Allocation[Quantity Processed])</f>
        <v>18964</v>
      </c>
      <c r="R1958" s="61">
        <f>Allocation[[#This Row],[Total volume used]]/VLOOKUP(Allocation[[#This Row],[Delivery ID]],Delivery[[Delivery ID]:[Quantity delivered]],3,FALSE)</f>
        <v>0.59466917529005958</v>
      </c>
      <c r="S1958" s="34">
        <f>Allocation[[#This Row],[Quantity Processed]]/Allocation[[#This Row],[Dilution rate]]</f>
        <v>3992.2222222222222</v>
      </c>
      <c r="T1958" s="59">
        <f>SUMIF(Allocation[Delivery ID],Allocation[[#This Row],[Delivery ID]],Allocation[Quantity allocated])/SUMIF(Allocation[Delivery ID],Allocation[[#This Row],[Delivery ID]],Allocation[Volume available (kg)])</f>
        <v>1.4076441050256461</v>
      </c>
      <c r="U1958" s="61">
        <f>Allocation[[#This Row],[Total volume used]]/VLOOKUP(Allocation[[#This Row],[Delivery ID]],Delivery[[Delivery ID]:[Quantity delivered]],3,FALSE)</f>
        <v>0.59466917529005958</v>
      </c>
      <c r="V1958" s="34" t="e">
        <f>VLOOKUP(Allocation[[#This Row],[SAP Contract number]],Shipments[[SAP Contract number]:[Contracted container weight]],2,FALSE)</f>
        <v>#N/A</v>
      </c>
      <c r="W1958" s="34" t="e">
        <f>VLOOKUP(Allocation[[#This Row],[SAP Contract number]],Shipments[[SAP Contract number]:[AAA Premium USD]],24,FALSE)</f>
        <v>#N/A</v>
      </c>
      <c r="X1958" s="34" t="e">
        <f>VLOOKUP(Allocation[[#This Row],[SAP Contract number]],Shipments[[SAP Contract number]:[RA Premium USD]],25,FALSE)</f>
        <v>#N/A</v>
      </c>
      <c r="Y1958" s="38">
        <f>Allocation[[#This Row],[Quantity Processed]]/Allocation[[#This Row],[Quantity allocated]]</f>
        <v>1.8867495186416945</v>
      </c>
      <c r="Z1958" s="34" t="b">
        <f>Allocation[[#This Row],[Quantity allocated]]&lt;=Allocation[[#This Row],[Quantity Processed]]</f>
        <v>1</v>
      </c>
    </row>
    <row r="1959" spans="1:26">
      <c r="A1959" s="247" t="s">
        <v>467</v>
      </c>
      <c r="B1959" s="210" t="s">
        <v>68</v>
      </c>
      <c r="C1959" s="254" t="s">
        <v>1823</v>
      </c>
      <c r="D1959" s="255">
        <v>2971</v>
      </c>
      <c r="E1959" s="211" t="s">
        <v>1918</v>
      </c>
      <c r="F1959" s="212">
        <v>43615</v>
      </c>
      <c r="G1959" s="213">
        <v>2.7</v>
      </c>
      <c r="H1959" s="256">
        <v>1218</v>
      </c>
      <c r="I1959" s="214">
        <v>1460313</v>
      </c>
      <c r="J1959" s="215">
        <v>19175</v>
      </c>
      <c r="K1959" s="212">
        <v>43626</v>
      </c>
      <c r="L1959" s="211" t="s">
        <v>1933</v>
      </c>
      <c r="M1959" s="216">
        <v>4615520198</v>
      </c>
      <c r="N1959" s="212">
        <v>43642</v>
      </c>
      <c r="O1959" s="218">
        <v>3.8445</v>
      </c>
      <c r="P1959" s="219"/>
      <c r="Q1959" s="34">
        <f>SUMIF(Allocation[Delivery ID],Allocation[[#This Row],[Delivery ID]],Allocation[Quantity Processed])</f>
        <v>23024</v>
      </c>
      <c r="R1959" s="61">
        <f>Allocation[[#This Row],[Total volume used]]/VLOOKUP(Allocation[[#This Row],[Delivery ID]],Delivery[[Delivery ID]:[Quantity delivered]],3,FALSE)</f>
        <v>0.71039802530083307</v>
      </c>
      <c r="S1959" s="34">
        <f>Allocation[[#This Row],[Quantity Processed]]/Allocation[[#This Row],[Dilution rate]]</f>
        <v>1100.3703703703702</v>
      </c>
      <c r="T1959" s="59">
        <f>SUMIF(Allocation[Delivery ID],Allocation[[#This Row],[Delivery ID]],Allocation[Quantity allocated])/SUMIF(Allocation[Delivery ID],Allocation[[#This Row],[Delivery ID]],Allocation[Volume available (kg)])</f>
        <v>1.0902495274098873</v>
      </c>
      <c r="U1959" s="61">
        <f>Allocation[[#This Row],[Total volume used]]/VLOOKUP(Allocation[[#This Row],[Delivery ID]],Delivery[[Delivery ID]:[Quantity delivered]],3,FALSE)</f>
        <v>0.71039802530083307</v>
      </c>
      <c r="V1959" s="34" t="e">
        <f>VLOOKUP(Allocation[[#This Row],[SAP Contract number]],Shipments[[SAP Contract number]:[Contracted container weight]],2,FALSE)</f>
        <v>#N/A</v>
      </c>
      <c r="W1959" s="34" t="e">
        <f>VLOOKUP(Allocation[[#This Row],[SAP Contract number]],Shipments[[SAP Contract number]:[AAA Premium USD]],24,FALSE)</f>
        <v>#N/A</v>
      </c>
      <c r="X1959" s="34" t="e">
        <f>VLOOKUP(Allocation[[#This Row],[SAP Contract number]],Shipments[[SAP Contract number]:[RA Premium USD]],25,FALSE)</f>
        <v>#N/A</v>
      </c>
      <c r="Y1959" s="38">
        <f>Allocation[[#This Row],[Quantity Processed]]/Allocation[[#This Row],[Quantity allocated]]</f>
        <v>2.4392446633825946</v>
      </c>
      <c r="Z1959" s="34" t="b">
        <f>Allocation[[#This Row],[Quantity allocated]]&lt;=Allocation[[#This Row],[Quantity Processed]]</f>
        <v>1</v>
      </c>
    </row>
    <row r="1960" spans="1:26">
      <c r="A1960" s="247" t="s">
        <v>467</v>
      </c>
      <c r="B1960" s="210" t="s">
        <v>68</v>
      </c>
      <c r="C1960" s="254" t="s">
        <v>1823</v>
      </c>
      <c r="D1960" s="255">
        <v>9997</v>
      </c>
      <c r="E1960" s="211" t="s">
        <v>1918</v>
      </c>
      <c r="F1960" s="212">
        <v>43615</v>
      </c>
      <c r="G1960" s="213">
        <v>2.7</v>
      </c>
      <c r="H1960" s="256">
        <v>4099</v>
      </c>
      <c r="I1960" s="214">
        <v>1460314</v>
      </c>
      <c r="J1960" s="215">
        <v>19175</v>
      </c>
      <c r="K1960" s="212">
        <v>43626</v>
      </c>
      <c r="L1960" s="211" t="s">
        <v>1934</v>
      </c>
      <c r="M1960" s="216">
        <v>4615520198</v>
      </c>
      <c r="N1960" s="212">
        <v>43642</v>
      </c>
      <c r="O1960" s="218">
        <v>3.8445</v>
      </c>
      <c r="P1960" s="219"/>
      <c r="Q1960" s="34">
        <f>SUMIF(Allocation[Delivery ID],Allocation[[#This Row],[Delivery ID]],Allocation[Quantity Processed])</f>
        <v>23024</v>
      </c>
      <c r="R1960" s="61">
        <f>Allocation[[#This Row],[Total volume used]]/VLOOKUP(Allocation[[#This Row],[Delivery ID]],Delivery[[Delivery ID]:[Quantity delivered]],3,FALSE)</f>
        <v>0.71039802530083307</v>
      </c>
      <c r="S1960" s="34">
        <f>Allocation[[#This Row],[Quantity Processed]]/Allocation[[#This Row],[Dilution rate]]</f>
        <v>3702.5925925925922</v>
      </c>
      <c r="T1960" s="59">
        <f>SUMIF(Allocation[Delivery ID],Allocation[[#This Row],[Delivery ID]],Allocation[Quantity allocated])/SUMIF(Allocation[Delivery ID],Allocation[[#This Row],[Delivery ID]],Allocation[Volume available (kg)])</f>
        <v>1.0902495274098873</v>
      </c>
      <c r="U1960" s="61">
        <f>Allocation[[#This Row],[Total volume used]]/VLOOKUP(Allocation[[#This Row],[Delivery ID]],Delivery[[Delivery ID]:[Quantity delivered]],3,FALSE)</f>
        <v>0.71039802530083307</v>
      </c>
      <c r="V1960" s="34" t="e">
        <f>VLOOKUP(Allocation[[#This Row],[SAP Contract number]],Shipments[[SAP Contract number]:[Contracted container weight]],2,FALSE)</f>
        <v>#N/A</v>
      </c>
      <c r="W1960" s="34" t="e">
        <f>VLOOKUP(Allocation[[#This Row],[SAP Contract number]],Shipments[[SAP Contract number]:[AAA Premium USD]],24,FALSE)</f>
        <v>#N/A</v>
      </c>
      <c r="X1960" s="34" t="e">
        <f>VLOOKUP(Allocation[[#This Row],[SAP Contract number]],Shipments[[SAP Contract number]:[RA Premium USD]],25,FALSE)</f>
        <v>#N/A</v>
      </c>
      <c r="Y1960" s="38">
        <f>Allocation[[#This Row],[Quantity Processed]]/Allocation[[#This Row],[Quantity allocated]]</f>
        <v>2.4388875335447668</v>
      </c>
      <c r="Z1960" s="34" t="b">
        <f>Allocation[[#This Row],[Quantity allocated]]&lt;=Allocation[[#This Row],[Quantity Processed]]</f>
        <v>1</v>
      </c>
    </row>
    <row r="1961" spans="1:26">
      <c r="A1961" s="247" t="s">
        <v>467</v>
      </c>
      <c r="B1961" s="210" t="s">
        <v>68</v>
      </c>
      <c r="C1961" s="254" t="s">
        <v>1825</v>
      </c>
      <c r="D1961" s="255">
        <v>13137</v>
      </c>
      <c r="E1961" s="211" t="s">
        <v>1918</v>
      </c>
      <c r="F1961" s="212">
        <v>43615</v>
      </c>
      <c r="G1961" s="213">
        <v>2.7</v>
      </c>
      <c r="H1961" s="256">
        <v>5386</v>
      </c>
      <c r="I1961" s="214">
        <v>1460314</v>
      </c>
      <c r="J1961" s="215">
        <v>19175</v>
      </c>
      <c r="K1961" s="212">
        <v>43626</v>
      </c>
      <c r="L1961" s="211" t="s">
        <v>1934</v>
      </c>
      <c r="M1961" s="216">
        <v>4615520198</v>
      </c>
      <c r="N1961" s="212">
        <v>43642</v>
      </c>
      <c r="O1961" s="218">
        <v>3.8445</v>
      </c>
      <c r="P1961" s="219"/>
      <c r="Q1961" s="34">
        <f>SUMIF(Allocation[Delivery ID],Allocation[[#This Row],[Delivery ID]],Allocation[Quantity Processed])</f>
        <v>23212</v>
      </c>
      <c r="R1961" s="61">
        <f>Allocation[[#This Row],[Total volume used]]/VLOOKUP(Allocation[[#This Row],[Delivery ID]],Delivery[[Delivery ID]:[Quantity delivered]],3,FALSE)</f>
        <v>0.71487526947951952</v>
      </c>
      <c r="S1961" s="34">
        <f>Allocation[[#This Row],[Quantity Processed]]/Allocation[[#This Row],[Dilution rate]]</f>
        <v>4865.5555555555557</v>
      </c>
      <c r="T1961" s="59">
        <f>SUMIF(Allocation[Delivery ID],Allocation[[#This Row],[Delivery ID]],Allocation[Quantity allocated])/SUMIF(Allocation[Delivery ID],Allocation[[#This Row],[Delivery ID]],Allocation[Volume available (kg)])</f>
        <v>1.090340178755391</v>
      </c>
      <c r="U1961" s="61">
        <f>Allocation[[#This Row],[Total volume used]]/VLOOKUP(Allocation[[#This Row],[Delivery ID]],Delivery[[Delivery ID]:[Quantity delivered]],3,FALSE)</f>
        <v>0.71487526947951952</v>
      </c>
      <c r="V1961" s="34" t="e">
        <f>VLOOKUP(Allocation[[#This Row],[SAP Contract number]],Shipments[[SAP Contract number]:[Contracted container weight]],2,FALSE)</f>
        <v>#N/A</v>
      </c>
      <c r="W1961" s="34" t="e">
        <f>VLOOKUP(Allocation[[#This Row],[SAP Contract number]],Shipments[[SAP Contract number]:[AAA Premium USD]],24,FALSE)</f>
        <v>#N/A</v>
      </c>
      <c r="X1961" s="34" t="e">
        <f>VLOOKUP(Allocation[[#This Row],[SAP Contract number]],Shipments[[SAP Contract number]:[RA Premium USD]],25,FALSE)</f>
        <v>#N/A</v>
      </c>
      <c r="Y1961" s="38">
        <f>Allocation[[#This Row],[Quantity Processed]]/Allocation[[#This Row],[Quantity allocated]]</f>
        <v>2.4391013739324174</v>
      </c>
      <c r="Z1961" s="34" t="b">
        <f>Allocation[[#This Row],[Quantity allocated]]&lt;=Allocation[[#This Row],[Quantity Processed]]</f>
        <v>1</v>
      </c>
    </row>
    <row r="1962" spans="1:26">
      <c r="A1962" s="247" t="s">
        <v>467</v>
      </c>
      <c r="B1962" s="210" t="s">
        <v>68</v>
      </c>
      <c r="C1962" s="254" t="s">
        <v>1826</v>
      </c>
      <c r="D1962" s="255">
        <v>11751</v>
      </c>
      <c r="E1962" s="211" t="s">
        <v>1918</v>
      </c>
      <c r="F1962" s="212">
        <v>43615</v>
      </c>
      <c r="G1962" s="213">
        <v>2.7</v>
      </c>
      <c r="H1962" s="256">
        <v>4818</v>
      </c>
      <c r="I1962" s="214">
        <v>1460314</v>
      </c>
      <c r="J1962" s="215">
        <v>19175</v>
      </c>
      <c r="K1962" s="212">
        <v>43626</v>
      </c>
      <c r="L1962" s="211" t="s">
        <v>1934</v>
      </c>
      <c r="M1962" s="216">
        <v>4615520198</v>
      </c>
      <c r="N1962" s="212">
        <v>43642</v>
      </c>
      <c r="O1962" s="218">
        <v>3.8445</v>
      </c>
      <c r="P1962" s="219"/>
      <c r="Q1962" s="34">
        <f>SUMIF(Allocation[Delivery ID],Allocation[[#This Row],[Delivery ID]],Allocation[Quantity Processed])</f>
        <v>32480</v>
      </c>
      <c r="R1962" s="61">
        <f>Allocation[[#This Row],[Total volume used]]/VLOOKUP(Allocation[[#This Row],[Delivery ID]],Delivery[[Delivery ID]:[Quantity delivered]],3,FALSE)</f>
        <v>1</v>
      </c>
      <c r="S1962" s="34">
        <f>Allocation[[#This Row],[Quantity Processed]]/Allocation[[#This Row],[Dilution rate]]</f>
        <v>4352.2222222222217</v>
      </c>
      <c r="T1962" s="59">
        <f>SUMIF(Allocation[Delivery ID],Allocation[[#This Row],[Delivery ID]],Allocation[Quantity allocated])/SUMIF(Allocation[Delivery ID],Allocation[[#This Row],[Delivery ID]],Allocation[Volume available (kg)])</f>
        <v>1.0959933064695457</v>
      </c>
      <c r="U1962" s="61">
        <f>Allocation[[#This Row],[Total volume used]]/VLOOKUP(Allocation[[#This Row],[Delivery ID]],Delivery[[Delivery ID]:[Quantity delivered]],3,FALSE)</f>
        <v>1</v>
      </c>
      <c r="V1962" s="34" t="e">
        <f>VLOOKUP(Allocation[[#This Row],[SAP Contract number]],Shipments[[SAP Contract number]:[Contracted container weight]],2,FALSE)</f>
        <v>#N/A</v>
      </c>
      <c r="W1962" s="34" t="e">
        <f>VLOOKUP(Allocation[[#This Row],[SAP Contract number]],Shipments[[SAP Contract number]:[AAA Premium USD]],24,FALSE)</f>
        <v>#N/A</v>
      </c>
      <c r="X1962" s="34" t="e">
        <f>VLOOKUP(Allocation[[#This Row],[SAP Contract number]],Shipments[[SAP Contract number]:[RA Premium USD]],25,FALSE)</f>
        <v>#N/A</v>
      </c>
      <c r="Y1962" s="38">
        <f>Allocation[[#This Row],[Quantity Processed]]/Allocation[[#This Row],[Quantity allocated]]</f>
        <v>2.4389788293897885</v>
      </c>
      <c r="Z1962" s="34" t="b">
        <f>Allocation[[#This Row],[Quantity allocated]]&lt;=Allocation[[#This Row],[Quantity Processed]]</f>
        <v>1</v>
      </c>
    </row>
    <row r="1963" spans="1:26">
      <c r="A1963" s="247" t="s">
        <v>467</v>
      </c>
      <c r="B1963" s="210" t="s">
        <v>68</v>
      </c>
      <c r="C1963" s="254" t="s">
        <v>1828</v>
      </c>
      <c r="D1963" s="255">
        <v>5851</v>
      </c>
      <c r="E1963" s="211" t="s">
        <v>1918</v>
      </c>
      <c r="F1963" s="212">
        <v>43615</v>
      </c>
      <c r="G1963" s="213">
        <v>2.7</v>
      </c>
      <c r="H1963" s="256">
        <v>2399</v>
      </c>
      <c r="I1963" s="214">
        <v>1460314</v>
      </c>
      <c r="J1963" s="215">
        <v>19175</v>
      </c>
      <c r="K1963" s="212">
        <v>43626</v>
      </c>
      <c r="L1963" s="211" t="s">
        <v>1934</v>
      </c>
      <c r="M1963" s="216">
        <v>4615520198</v>
      </c>
      <c r="N1963" s="212">
        <v>43642</v>
      </c>
      <c r="O1963" s="218">
        <v>3.8445</v>
      </c>
      <c r="P1963" s="219"/>
      <c r="Q1963" s="34">
        <f>SUMIF(Allocation[Delivery ID],Allocation[[#This Row],[Delivery ID]],Allocation[Quantity Processed])</f>
        <v>10963</v>
      </c>
      <c r="R1963" s="61">
        <f>Allocation[[#This Row],[Total volume used]]/VLOOKUP(Allocation[[#This Row],[Delivery ID]],Delivery[[Delivery ID]:[Quantity delivered]],3,FALSE)</f>
        <v>0.66523058252427181</v>
      </c>
      <c r="S1963" s="34">
        <f>Allocation[[#This Row],[Quantity Processed]]/Allocation[[#This Row],[Dilution rate]]</f>
        <v>2167.037037037037</v>
      </c>
      <c r="T1963" s="59">
        <f>SUMIF(Allocation[Delivery ID],Allocation[[#This Row],[Delivery ID]],Allocation[Quantity allocated])/SUMIF(Allocation[Delivery ID],Allocation[[#This Row],[Delivery ID]],Allocation[Volume available (kg)])</f>
        <v>1.089146207595999</v>
      </c>
      <c r="U1963" s="61">
        <f>Allocation[[#This Row],[Total volume used]]/VLOOKUP(Allocation[[#This Row],[Delivery ID]],Delivery[[Delivery ID]:[Quantity delivered]],3,FALSE)</f>
        <v>0.66523058252427181</v>
      </c>
      <c r="V1963" s="34" t="e">
        <f>VLOOKUP(Allocation[[#This Row],[SAP Contract number]],Shipments[[SAP Contract number]:[Contracted container weight]],2,FALSE)</f>
        <v>#N/A</v>
      </c>
      <c r="W1963" s="34" t="e">
        <f>VLOOKUP(Allocation[[#This Row],[SAP Contract number]],Shipments[[SAP Contract number]:[AAA Premium USD]],24,FALSE)</f>
        <v>#N/A</v>
      </c>
      <c r="X1963" s="34" t="e">
        <f>VLOOKUP(Allocation[[#This Row],[SAP Contract number]],Shipments[[SAP Contract number]:[RA Premium USD]],25,FALSE)</f>
        <v>#N/A</v>
      </c>
      <c r="Y1963" s="38">
        <f>Allocation[[#This Row],[Quantity Processed]]/Allocation[[#This Row],[Quantity allocated]]</f>
        <v>2.4389328887036266</v>
      </c>
      <c r="Z1963" s="34" t="b">
        <f>Allocation[[#This Row],[Quantity allocated]]&lt;=Allocation[[#This Row],[Quantity Processed]]</f>
        <v>1</v>
      </c>
    </row>
    <row r="1964" spans="1:26">
      <c r="A1964" s="247" t="s">
        <v>467</v>
      </c>
      <c r="B1964" s="210" t="s">
        <v>68</v>
      </c>
      <c r="C1964" s="254" t="s">
        <v>1830</v>
      </c>
      <c r="D1964" s="255">
        <v>5652</v>
      </c>
      <c r="E1964" s="211" t="s">
        <v>1918</v>
      </c>
      <c r="F1964" s="212">
        <v>43615</v>
      </c>
      <c r="G1964" s="213">
        <v>2.7</v>
      </c>
      <c r="H1964" s="256">
        <v>1865</v>
      </c>
      <c r="I1964" s="214">
        <v>1460314</v>
      </c>
      <c r="J1964" s="215">
        <v>19175</v>
      </c>
      <c r="K1964" s="212">
        <v>43626</v>
      </c>
      <c r="L1964" s="211" t="s">
        <v>1934</v>
      </c>
      <c r="M1964" s="216">
        <v>4615520198</v>
      </c>
      <c r="N1964" s="212">
        <v>43642</v>
      </c>
      <c r="O1964" s="218">
        <v>3.8445</v>
      </c>
      <c r="P1964" s="219"/>
      <c r="Q1964" s="34">
        <f>SUMIF(Allocation[Delivery ID],Allocation[[#This Row],[Delivery ID]],Allocation[Quantity Processed])</f>
        <v>10449</v>
      </c>
      <c r="R1964" s="61">
        <f>Allocation[[#This Row],[Total volume used]]/VLOOKUP(Allocation[[#This Row],[Delivery ID]],Delivery[[Delivery ID]:[Quantity delivered]],3,FALSE)</f>
        <v>0.64064990803188226</v>
      </c>
      <c r="S1964" s="34">
        <f>Allocation[[#This Row],[Quantity Processed]]/Allocation[[#This Row],[Dilution rate]]</f>
        <v>2093.333333333333</v>
      </c>
      <c r="T1964" s="59">
        <f>SUMIF(Allocation[Delivery ID],Allocation[[#This Row],[Delivery ID]],Allocation[Quantity allocated])/SUMIF(Allocation[Delivery ID],Allocation[[#This Row],[Delivery ID]],Allocation[Volume available (kg)])</f>
        <v>0.87549724925941608</v>
      </c>
      <c r="U1964" s="61">
        <f>Allocation[[#This Row],[Total volume used]]/VLOOKUP(Allocation[[#This Row],[Delivery ID]],Delivery[[Delivery ID]:[Quantity delivered]],3,FALSE)</f>
        <v>0.64064990803188226</v>
      </c>
      <c r="V1964" s="34" t="e">
        <f>VLOOKUP(Allocation[[#This Row],[SAP Contract number]],Shipments[[SAP Contract number]:[Contracted container weight]],2,FALSE)</f>
        <v>#N/A</v>
      </c>
      <c r="W1964" s="34" t="e">
        <f>VLOOKUP(Allocation[[#This Row],[SAP Contract number]],Shipments[[SAP Contract number]:[AAA Premium USD]],24,FALSE)</f>
        <v>#N/A</v>
      </c>
      <c r="X1964" s="34" t="e">
        <f>VLOOKUP(Allocation[[#This Row],[SAP Contract number]],Shipments[[SAP Contract number]:[RA Premium USD]],25,FALSE)</f>
        <v>#N/A</v>
      </c>
      <c r="Y1964" s="38">
        <f>Allocation[[#This Row],[Quantity Processed]]/Allocation[[#This Row],[Quantity allocated]]</f>
        <v>3.0305630026809651</v>
      </c>
      <c r="Z1964" s="34" t="b">
        <f>Allocation[[#This Row],[Quantity allocated]]&lt;=Allocation[[#This Row],[Quantity Processed]]</f>
        <v>1</v>
      </c>
    </row>
    <row r="1965" spans="1:26">
      <c r="A1965" s="247" t="s">
        <v>467</v>
      </c>
      <c r="B1965" s="210" t="s">
        <v>68</v>
      </c>
      <c r="C1965" s="254" t="s">
        <v>1831</v>
      </c>
      <c r="D1965" s="255">
        <v>1738</v>
      </c>
      <c r="E1965" s="211" t="s">
        <v>1918</v>
      </c>
      <c r="F1965" s="212">
        <v>43615</v>
      </c>
      <c r="G1965" s="213">
        <v>2.7</v>
      </c>
      <c r="H1965" s="256">
        <v>608</v>
      </c>
      <c r="I1965" s="214">
        <v>1460314</v>
      </c>
      <c r="J1965" s="215">
        <v>19175</v>
      </c>
      <c r="K1965" s="212">
        <v>43626</v>
      </c>
      <c r="L1965" s="211" t="s">
        <v>1934</v>
      </c>
      <c r="M1965" s="216">
        <v>4615520198</v>
      </c>
      <c r="N1965" s="212">
        <v>43642</v>
      </c>
      <c r="O1965" s="218">
        <v>3.8445</v>
      </c>
      <c r="P1965" s="219"/>
      <c r="Q1965" s="34">
        <f>SUMIF(Allocation[Delivery ID],Allocation[[#This Row],[Delivery ID]],Allocation[Quantity Processed])</f>
        <v>4701</v>
      </c>
      <c r="R1965" s="61">
        <f>Allocation[[#This Row],[Total volume used]]/VLOOKUP(Allocation[[#This Row],[Delivery ID]],Delivery[[Delivery ID]:[Quantity delivered]],3,FALSE)</f>
        <v>1</v>
      </c>
      <c r="S1965" s="34">
        <f>Allocation[[#This Row],[Quantity Processed]]/Allocation[[#This Row],[Dilution rate]]</f>
        <v>643.7037037037037</v>
      </c>
      <c r="T1965" s="59">
        <f>SUMIF(Allocation[Delivery ID],Allocation[[#This Row],[Delivery ID]],Allocation[Quantity allocated])/SUMIF(Allocation[Delivery ID],Allocation[[#This Row],[Delivery ID]],Allocation[Volume available (kg)])</f>
        <v>0.9447989789406509</v>
      </c>
      <c r="U1965" s="61">
        <f>Allocation[[#This Row],[Total volume used]]/VLOOKUP(Allocation[[#This Row],[Delivery ID]],Delivery[[Delivery ID]:[Quantity delivered]],3,FALSE)</f>
        <v>1</v>
      </c>
      <c r="V1965" s="34" t="e">
        <f>VLOOKUP(Allocation[[#This Row],[SAP Contract number]],Shipments[[SAP Contract number]:[Contracted container weight]],2,FALSE)</f>
        <v>#N/A</v>
      </c>
      <c r="W1965" s="34" t="e">
        <f>VLOOKUP(Allocation[[#This Row],[SAP Contract number]],Shipments[[SAP Contract number]:[AAA Premium USD]],24,FALSE)</f>
        <v>#N/A</v>
      </c>
      <c r="X1965" s="34" t="e">
        <f>VLOOKUP(Allocation[[#This Row],[SAP Contract number]],Shipments[[SAP Contract number]:[RA Premium USD]],25,FALSE)</f>
        <v>#N/A</v>
      </c>
      <c r="Y1965" s="38">
        <f>Allocation[[#This Row],[Quantity Processed]]/Allocation[[#This Row],[Quantity allocated]]</f>
        <v>2.8585526315789473</v>
      </c>
      <c r="Z1965" s="34" t="b">
        <f>Allocation[[#This Row],[Quantity allocated]]&lt;=Allocation[[#This Row],[Quantity Processed]]</f>
        <v>1</v>
      </c>
    </row>
    <row r="1966" spans="1:26">
      <c r="A1966" s="247" t="s">
        <v>467</v>
      </c>
      <c r="B1966" s="210" t="s">
        <v>68</v>
      </c>
      <c r="C1966" s="254" t="s">
        <v>1831</v>
      </c>
      <c r="D1966" s="255">
        <v>2963</v>
      </c>
      <c r="E1966" s="211" t="s">
        <v>1918</v>
      </c>
      <c r="F1966" s="212">
        <v>43615</v>
      </c>
      <c r="G1966" s="213">
        <v>2.7</v>
      </c>
      <c r="H1966" s="256">
        <v>1037</v>
      </c>
      <c r="I1966" s="214">
        <v>1460315</v>
      </c>
      <c r="J1966" s="215">
        <v>19175</v>
      </c>
      <c r="K1966" s="212">
        <v>43626</v>
      </c>
      <c r="L1966" s="211" t="s">
        <v>1935</v>
      </c>
      <c r="M1966" s="216">
        <v>4615520198</v>
      </c>
      <c r="N1966" s="212">
        <v>43642</v>
      </c>
      <c r="O1966" s="218">
        <v>3.8445</v>
      </c>
      <c r="P1966" s="219"/>
      <c r="Q1966" s="34">
        <f>SUMIF(Allocation[Delivery ID],Allocation[[#This Row],[Delivery ID]],Allocation[Quantity Processed])</f>
        <v>4701</v>
      </c>
      <c r="R1966" s="61">
        <f>Allocation[[#This Row],[Total volume used]]/VLOOKUP(Allocation[[#This Row],[Delivery ID]],Delivery[[Delivery ID]:[Quantity delivered]],3,FALSE)</f>
        <v>1</v>
      </c>
      <c r="S1966" s="34">
        <f>Allocation[[#This Row],[Quantity Processed]]/Allocation[[#This Row],[Dilution rate]]</f>
        <v>1097.4074074074074</v>
      </c>
      <c r="T1966" s="59">
        <f>SUMIF(Allocation[Delivery ID],Allocation[[#This Row],[Delivery ID]],Allocation[Quantity allocated])/SUMIF(Allocation[Delivery ID],Allocation[[#This Row],[Delivery ID]],Allocation[Volume available (kg)])</f>
        <v>0.9447989789406509</v>
      </c>
      <c r="U1966" s="61">
        <f>Allocation[[#This Row],[Total volume used]]/VLOOKUP(Allocation[[#This Row],[Delivery ID]],Delivery[[Delivery ID]:[Quantity delivered]],3,FALSE)</f>
        <v>1</v>
      </c>
      <c r="V1966" s="34" t="e">
        <f>VLOOKUP(Allocation[[#This Row],[SAP Contract number]],Shipments[[SAP Contract number]:[Contracted container weight]],2,FALSE)</f>
        <v>#N/A</v>
      </c>
      <c r="W1966" s="34" t="e">
        <f>VLOOKUP(Allocation[[#This Row],[SAP Contract number]],Shipments[[SAP Contract number]:[AAA Premium USD]],24,FALSE)</f>
        <v>#N/A</v>
      </c>
      <c r="X1966" s="34" t="e">
        <f>VLOOKUP(Allocation[[#This Row],[SAP Contract number]],Shipments[[SAP Contract number]:[RA Premium USD]],25,FALSE)</f>
        <v>#N/A</v>
      </c>
      <c r="Y1966" s="38">
        <f>Allocation[[#This Row],[Quantity Processed]]/Allocation[[#This Row],[Quantity allocated]]</f>
        <v>2.8572806171648986</v>
      </c>
      <c r="Z1966" s="34" t="b">
        <f>Allocation[[#This Row],[Quantity allocated]]&lt;=Allocation[[#This Row],[Quantity Processed]]</f>
        <v>1</v>
      </c>
    </row>
    <row r="1967" spans="1:26">
      <c r="A1967" s="247" t="s">
        <v>467</v>
      </c>
      <c r="B1967" s="210" t="s">
        <v>68</v>
      </c>
      <c r="C1967" s="254" t="s">
        <v>1832</v>
      </c>
      <c r="D1967" s="255">
        <v>4353</v>
      </c>
      <c r="E1967" s="211" t="s">
        <v>1918</v>
      </c>
      <c r="F1967" s="212">
        <v>43615</v>
      </c>
      <c r="G1967" s="213">
        <v>2.7</v>
      </c>
      <c r="H1967" s="256">
        <v>1741</v>
      </c>
      <c r="I1967" s="214">
        <v>1460315</v>
      </c>
      <c r="J1967" s="215">
        <v>19175</v>
      </c>
      <c r="K1967" s="212">
        <v>43626</v>
      </c>
      <c r="L1967" s="211" t="s">
        <v>1935</v>
      </c>
      <c r="M1967" s="216">
        <v>4615520198</v>
      </c>
      <c r="N1967" s="212">
        <v>43642</v>
      </c>
      <c r="O1967" s="218">
        <v>3.8445</v>
      </c>
      <c r="P1967" s="219"/>
      <c r="Q1967" s="34">
        <f>SUMIF(Allocation[Delivery ID],Allocation[[#This Row],[Delivery ID]],Allocation[Quantity Processed])</f>
        <v>8159</v>
      </c>
      <c r="R1967" s="61">
        <f>Allocation[[#This Row],[Total volume used]]/VLOOKUP(Allocation[[#This Row],[Delivery ID]],Delivery[[Delivery ID]:[Quantity delivered]],3,FALSE)</f>
        <v>0.68219063545150505</v>
      </c>
      <c r="S1967" s="34">
        <f>Allocation[[#This Row],[Quantity Processed]]/Allocation[[#This Row],[Dilution rate]]</f>
        <v>1612.2222222222222</v>
      </c>
      <c r="T1967" s="59">
        <f>SUMIF(Allocation[Delivery ID],Allocation[[#This Row],[Delivery ID]],Allocation[Quantity allocated])/SUMIF(Allocation[Delivery ID],Allocation[[#This Row],[Delivery ID]],Allocation[Volume available (kg)])</f>
        <v>1.0623686752058474</v>
      </c>
      <c r="U1967" s="61">
        <f>Allocation[[#This Row],[Total volume used]]/VLOOKUP(Allocation[[#This Row],[Delivery ID]],Delivery[[Delivery ID]:[Quantity delivered]],3,FALSE)</f>
        <v>0.68219063545150505</v>
      </c>
      <c r="V1967" s="34" t="e">
        <f>VLOOKUP(Allocation[[#This Row],[SAP Contract number]],Shipments[[SAP Contract number]:[Contracted container weight]],2,FALSE)</f>
        <v>#N/A</v>
      </c>
      <c r="W1967" s="34" t="e">
        <f>VLOOKUP(Allocation[[#This Row],[SAP Contract number]],Shipments[[SAP Contract number]:[AAA Premium USD]],24,FALSE)</f>
        <v>#N/A</v>
      </c>
      <c r="X1967" s="34" t="e">
        <f>VLOOKUP(Allocation[[#This Row],[SAP Contract number]],Shipments[[SAP Contract number]:[RA Premium USD]],25,FALSE)</f>
        <v>#N/A</v>
      </c>
      <c r="Y1967" s="38">
        <f>Allocation[[#This Row],[Quantity Processed]]/Allocation[[#This Row],[Quantity allocated]]</f>
        <v>2.5002871912693854</v>
      </c>
      <c r="Z1967" s="34" t="b">
        <f>Allocation[[#This Row],[Quantity allocated]]&lt;=Allocation[[#This Row],[Quantity Processed]]</f>
        <v>1</v>
      </c>
    </row>
    <row r="1968" spans="1:26">
      <c r="A1968" s="247" t="s">
        <v>467</v>
      </c>
      <c r="B1968" s="210" t="s">
        <v>68</v>
      </c>
      <c r="C1968" s="254" t="s">
        <v>1836</v>
      </c>
      <c r="D1968" s="255">
        <v>10435</v>
      </c>
      <c r="E1968" s="211" t="s">
        <v>1918</v>
      </c>
      <c r="F1968" s="212">
        <v>43615</v>
      </c>
      <c r="G1968" s="213">
        <v>2.7</v>
      </c>
      <c r="H1968" s="256">
        <v>4487</v>
      </c>
      <c r="I1968" s="214">
        <v>1460315</v>
      </c>
      <c r="J1968" s="215">
        <v>19175</v>
      </c>
      <c r="K1968" s="212">
        <v>43626</v>
      </c>
      <c r="L1968" s="211" t="s">
        <v>1935</v>
      </c>
      <c r="M1968" s="216">
        <v>4615520198</v>
      </c>
      <c r="N1968" s="212">
        <v>43642</v>
      </c>
      <c r="O1968" s="218">
        <v>3.8445</v>
      </c>
      <c r="P1968" s="219"/>
      <c r="Q1968" s="34">
        <f>SUMIF(Allocation[Delivery ID],Allocation[[#This Row],[Delivery ID]],Allocation[Quantity Processed])</f>
        <v>19288</v>
      </c>
      <c r="R1968" s="61">
        <f>Allocation[[#This Row],[Total volume used]]/VLOOKUP(Allocation[[#This Row],[Delivery ID]],Delivery[[Delivery ID]:[Quantity delivered]],3,FALSE)</f>
        <v>0.79502081530027613</v>
      </c>
      <c r="S1968" s="34">
        <f>Allocation[[#This Row],[Quantity Processed]]/Allocation[[#This Row],[Dilution rate]]</f>
        <v>3864.8148148148148</v>
      </c>
      <c r="T1968" s="59">
        <f>SUMIF(Allocation[Delivery ID],Allocation[[#This Row],[Delivery ID]],Allocation[Quantity allocated])/SUMIF(Allocation[Delivery ID],Allocation[[#This Row],[Delivery ID]],Allocation[Volume available (kg)])</f>
        <v>1.1408818809384313</v>
      </c>
      <c r="U1968" s="61">
        <f>Allocation[[#This Row],[Total volume used]]/VLOOKUP(Allocation[[#This Row],[Delivery ID]],Delivery[[Delivery ID]:[Quantity delivered]],3,FALSE)</f>
        <v>0.79502081530027613</v>
      </c>
      <c r="V1968" s="34" t="e">
        <f>VLOOKUP(Allocation[[#This Row],[SAP Contract number]],Shipments[[SAP Contract number]:[Contracted container weight]],2,FALSE)</f>
        <v>#N/A</v>
      </c>
      <c r="W1968" s="34" t="e">
        <f>VLOOKUP(Allocation[[#This Row],[SAP Contract number]],Shipments[[SAP Contract number]:[AAA Premium USD]],24,FALSE)</f>
        <v>#N/A</v>
      </c>
      <c r="X1968" s="34" t="e">
        <f>VLOOKUP(Allocation[[#This Row],[SAP Contract number]],Shipments[[SAP Contract number]:[RA Premium USD]],25,FALSE)</f>
        <v>#N/A</v>
      </c>
      <c r="Y1968" s="38">
        <f>Allocation[[#This Row],[Quantity Processed]]/Allocation[[#This Row],[Quantity allocated]]</f>
        <v>2.3256073100066859</v>
      </c>
      <c r="Z1968" s="34" t="b">
        <f>Allocation[[#This Row],[Quantity allocated]]&lt;=Allocation[[#This Row],[Quantity Processed]]</f>
        <v>1</v>
      </c>
    </row>
    <row r="1969" spans="1:26">
      <c r="A1969" s="247" t="s">
        <v>467</v>
      </c>
      <c r="B1969" s="210" t="s">
        <v>68</v>
      </c>
      <c r="C1969" s="254" t="s">
        <v>1837</v>
      </c>
      <c r="D1969" s="255">
        <v>3226</v>
      </c>
      <c r="E1969" s="211" t="s">
        <v>1918</v>
      </c>
      <c r="F1969" s="212">
        <v>43615</v>
      </c>
      <c r="G1969" s="213">
        <v>2.7</v>
      </c>
      <c r="H1969" s="256">
        <v>1387</v>
      </c>
      <c r="I1969" s="214">
        <v>1460315</v>
      </c>
      <c r="J1969" s="215">
        <v>19175</v>
      </c>
      <c r="K1969" s="212">
        <v>43626</v>
      </c>
      <c r="L1969" s="211" t="s">
        <v>1935</v>
      </c>
      <c r="M1969" s="216">
        <v>4615520198</v>
      </c>
      <c r="N1969" s="212">
        <v>43642</v>
      </c>
      <c r="O1969" s="218">
        <v>3.8445</v>
      </c>
      <c r="P1969" s="219"/>
      <c r="Q1969" s="34">
        <f>SUMIF(Allocation[Delivery ID],Allocation[[#This Row],[Delivery ID]],Allocation[Quantity Processed])</f>
        <v>5963</v>
      </c>
      <c r="R1969" s="61">
        <f>Allocation[[#This Row],[Total volume used]]/VLOOKUP(Allocation[[#This Row],[Delivery ID]],Delivery[[Delivery ID]:[Quantity delivered]],3,FALSE)</f>
        <v>0.49155057291237325</v>
      </c>
      <c r="S1969" s="34">
        <f>Allocation[[#This Row],[Quantity Processed]]/Allocation[[#This Row],[Dilution rate]]</f>
        <v>1194.8148148148148</v>
      </c>
      <c r="T1969" s="59">
        <f>SUMIF(Allocation[Delivery ID],Allocation[[#This Row],[Delivery ID]],Allocation[Quantity allocated])/SUMIF(Allocation[Delivery ID],Allocation[[#This Row],[Delivery ID]],Allocation[Volume available (kg)])</f>
        <v>1.1408195214704484</v>
      </c>
      <c r="U1969" s="61">
        <f>Allocation[[#This Row],[Total volume used]]/VLOOKUP(Allocation[[#This Row],[Delivery ID]],Delivery[[Delivery ID]:[Quantity delivered]],3,FALSE)</f>
        <v>0.49155057291237325</v>
      </c>
      <c r="V1969" s="34" t="e">
        <f>VLOOKUP(Allocation[[#This Row],[SAP Contract number]],Shipments[[SAP Contract number]:[Contracted container weight]],2,FALSE)</f>
        <v>#N/A</v>
      </c>
      <c r="W1969" s="34" t="e">
        <f>VLOOKUP(Allocation[[#This Row],[SAP Contract number]],Shipments[[SAP Contract number]:[AAA Premium USD]],24,FALSE)</f>
        <v>#N/A</v>
      </c>
      <c r="X1969" s="34" t="e">
        <f>VLOOKUP(Allocation[[#This Row],[SAP Contract number]],Shipments[[SAP Contract number]:[RA Premium USD]],25,FALSE)</f>
        <v>#N/A</v>
      </c>
      <c r="Y1969" s="38">
        <f>Allocation[[#This Row],[Quantity Processed]]/Allocation[[#This Row],[Quantity allocated]]</f>
        <v>2.3258832011535691</v>
      </c>
      <c r="Z1969" s="34" t="b">
        <f>Allocation[[#This Row],[Quantity allocated]]&lt;=Allocation[[#This Row],[Quantity Processed]]</f>
        <v>1</v>
      </c>
    </row>
    <row r="1970" spans="1:26">
      <c r="A1970" s="247" t="s">
        <v>467</v>
      </c>
      <c r="B1970" s="210" t="s">
        <v>68</v>
      </c>
      <c r="C1970" s="254" t="s">
        <v>1838</v>
      </c>
      <c r="D1970" s="255">
        <v>3228</v>
      </c>
      <c r="E1970" s="211" t="s">
        <v>1918</v>
      </c>
      <c r="F1970" s="212">
        <v>43615</v>
      </c>
      <c r="G1970" s="213">
        <v>2.7</v>
      </c>
      <c r="H1970" s="256">
        <v>1388</v>
      </c>
      <c r="I1970" s="214">
        <v>1460315</v>
      </c>
      <c r="J1970" s="215">
        <v>19175</v>
      </c>
      <c r="K1970" s="212">
        <v>43626</v>
      </c>
      <c r="L1970" s="211" t="s">
        <v>1935</v>
      </c>
      <c r="M1970" s="216">
        <v>4615520198</v>
      </c>
      <c r="N1970" s="212">
        <v>43642</v>
      </c>
      <c r="O1970" s="218">
        <v>3.8445</v>
      </c>
      <c r="P1970" s="219"/>
      <c r="Q1970" s="34">
        <f>SUMIF(Allocation[Delivery ID],Allocation[[#This Row],[Delivery ID]],Allocation[Quantity Processed])</f>
        <v>5965</v>
      </c>
      <c r="R1970" s="61">
        <f>Allocation[[#This Row],[Total volume used]]/VLOOKUP(Allocation[[#This Row],[Delivery ID]],Delivery[[Delivery ID]:[Quantity delivered]],3,FALSE)</f>
        <v>0.49159386846876546</v>
      </c>
      <c r="S1970" s="34">
        <f>Allocation[[#This Row],[Quantity Processed]]/Allocation[[#This Row],[Dilution rate]]</f>
        <v>1195.5555555555554</v>
      </c>
      <c r="T1970" s="59">
        <f>SUMIF(Allocation[Delivery ID],Allocation[[#This Row],[Delivery ID]],Allocation[Quantity allocated])/SUMIF(Allocation[Delivery ID],Allocation[[#This Row],[Delivery ID]],Allocation[Volume available (kg)])</f>
        <v>1.1408884411412497</v>
      </c>
      <c r="U1970" s="61">
        <f>Allocation[[#This Row],[Total volume used]]/VLOOKUP(Allocation[[#This Row],[Delivery ID]],Delivery[[Delivery ID]:[Quantity delivered]],3,FALSE)</f>
        <v>0.49159386846876546</v>
      </c>
      <c r="V1970" s="34" t="e">
        <f>VLOOKUP(Allocation[[#This Row],[SAP Contract number]],Shipments[[SAP Contract number]:[Contracted container weight]],2,FALSE)</f>
        <v>#N/A</v>
      </c>
      <c r="W1970" s="34" t="e">
        <f>VLOOKUP(Allocation[[#This Row],[SAP Contract number]],Shipments[[SAP Contract number]:[AAA Premium USD]],24,FALSE)</f>
        <v>#N/A</v>
      </c>
      <c r="X1970" s="34" t="e">
        <f>VLOOKUP(Allocation[[#This Row],[SAP Contract number]],Shipments[[SAP Contract number]:[RA Premium USD]],25,FALSE)</f>
        <v>#N/A</v>
      </c>
      <c r="Y1970" s="38">
        <f>Allocation[[#This Row],[Quantity Processed]]/Allocation[[#This Row],[Quantity allocated]]</f>
        <v>2.3256484149855909</v>
      </c>
      <c r="Z1970" s="34" t="b">
        <f>Allocation[[#This Row],[Quantity allocated]]&lt;=Allocation[[#This Row],[Quantity Processed]]</f>
        <v>1</v>
      </c>
    </row>
    <row r="1971" spans="1:26">
      <c r="A1971" s="247" t="s">
        <v>467</v>
      </c>
      <c r="B1971" s="210" t="s">
        <v>68</v>
      </c>
      <c r="C1971" s="254" t="s">
        <v>1839</v>
      </c>
      <c r="D1971" s="255">
        <v>778</v>
      </c>
      <c r="E1971" s="211" t="s">
        <v>1918</v>
      </c>
      <c r="F1971" s="212">
        <v>43615</v>
      </c>
      <c r="G1971" s="213">
        <v>2.7</v>
      </c>
      <c r="H1971" s="256">
        <v>311</v>
      </c>
      <c r="I1971" s="214">
        <v>1460315</v>
      </c>
      <c r="J1971" s="215">
        <v>19175</v>
      </c>
      <c r="K1971" s="212">
        <v>43626</v>
      </c>
      <c r="L1971" s="211" t="s">
        <v>1935</v>
      </c>
      <c r="M1971" s="216">
        <v>4615520198</v>
      </c>
      <c r="N1971" s="212">
        <v>43642</v>
      </c>
      <c r="O1971" s="218">
        <v>3.8445</v>
      </c>
      <c r="P1971" s="219"/>
      <c r="Q1971" s="34">
        <f>SUMIF(Allocation[Delivery ID],Allocation[[#This Row],[Delivery ID]],Allocation[Quantity Processed])</f>
        <v>778</v>
      </c>
      <c r="R1971" s="61">
        <f>Allocation[[#This Row],[Total volume used]]/VLOOKUP(Allocation[[#This Row],[Delivery ID]],Delivery[[Delivery ID]:[Quantity delivered]],3,FALSE)</f>
        <v>1</v>
      </c>
      <c r="S1971" s="34">
        <f>Allocation[[#This Row],[Quantity Processed]]/Allocation[[#This Row],[Dilution rate]]</f>
        <v>288.14814814814815</v>
      </c>
      <c r="T1971" s="59">
        <f>SUMIF(Allocation[Delivery ID],Allocation[[#This Row],[Delivery ID]],Allocation[Quantity allocated])/SUMIF(Allocation[Delivery ID],Allocation[[#This Row],[Delivery ID]],Allocation[Volume available (kg)])</f>
        <v>1.0793059125964011</v>
      </c>
      <c r="U1971" s="61">
        <f>Allocation[[#This Row],[Total volume used]]/VLOOKUP(Allocation[[#This Row],[Delivery ID]],Delivery[[Delivery ID]:[Quantity delivered]],3,FALSE)</f>
        <v>1</v>
      </c>
      <c r="V1971" s="34" t="e">
        <f>VLOOKUP(Allocation[[#This Row],[SAP Contract number]],Shipments[[SAP Contract number]:[Contracted container weight]],2,FALSE)</f>
        <v>#N/A</v>
      </c>
      <c r="W1971" s="34" t="e">
        <f>VLOOKUP(Allocation[[#This Row],[SAP Contract number]],Shipments[[SAP Contract number]:[AAA Premium USD]],24,FALSE)</f>
        <v>#N/A</v>
      </c>
      <c r="X1971" s="34" t="e">
        <f>VLOOKUP(Allocation[[#This Row],[SAP Contract number]],Shipments[[SAP Contract number]:[RA Premium USD]],25,FALSE)</f>
        <v>#N/A</v>
      </c>
      <c r="Y1971" s="38">
        <f>Allocation[[#This Row],[Quantity Processed]]/Allocation[[#This Row],[Quantity allocated]]</f>
        <v>2.5016077170418005</v>
      </c>
      <c r="Z1971" s="34" t="b">
        <f>Allocation[[#This Row],[Quantity allocated]]&lt;=Allocation[[#This Row],[Quantity Processed]]</f>
        <v>1</v>
      </c>
    </row>
    <row r="1972" spans="1:26">
      <c r="A1972" s="247" t="s">
        <v>467</v>
      </c>
      <c r="B1972" s="210" t="s">
        <v>68</v>
      </c>
      <c r="C1972" s="254" t="s">
        <v>1840</v>
      </c>
      <c r="D1972" s="255">
        <v>4430</v>
      </c>
      <c r="E1972" s="211" t="s">
        <v>1918</v>
      </c>
      <c r="F1972" s="212">
        <v>43615</v>
      </c>
      <c r="G1972" s="213">
        <v>2.7</v>
      </c>
      <c r="H1972" s="256">
        <v>1772</v>
      </c>
      <c r="I1972" s="214">
        <v>1460315</v>
      </c>
      <c r="J1972" s="215">
        <v>19175</v>
      </c>
      <c r="K1972" s="212">
        <v>43626</v>
      </c>
      <c r="L1972" s="211" t="s">
        <v>1935</v>
      </c>
      <c r="M1972" s="216">
        <v>4615520198</v>
      </c>
      <c r="N1972" s="212">
        <v>43642</v>
      </c>
      <c r="O1972" s="218">
        <v>3.8445</v>
      </c>
      <c r="P1972" s="219"/>
      <c r="Q1972" s="34">
        <f>SUMIF(Allocation[Delivery ID],Allocation[[#This Row],[Delivery ID]],Allocation[Quantity Processed])</f>
        <v>8190</v>
      </c>
      <c r="R1972" s="61">
        <f>Allocation[[#This Row],[Total volume used]]/VLOOKUP(Allocation[[#This Row],[Delivery ID]],Delivery[[Delivery ID]:[Quantity delivered]],3,FALSE)</f>
        <v>0.85472761427676891</v>
      </c>
      <c r="S1972" s="34">
        <f>Allocation[[#This Row],[Quantity Processed]]/Allocation[[#This Row],[Dilution rate]]</f>
        <v>1640.7407407407406</v>
      </c>
      <c r="T1972" s="59">
        <f>SUMIF(Allocation[Delivery ID],Allocation[[#This Row],[Delivery ID]],Allocation[Quantity allocated])/SUMIF(Allocation[Delivery ID],Allocation[[#This Row],[Delivery ID]],Allocation[Volume available (kg)])</f>
        <v>1.0612607291185971</v>
      </c>
      <c r="U1972" s="61">
        <f>Allocation[[#This Row],[Total volume used]]/VLOOKUP(Allocation[[#This Row],[Delivery ID]],Delivery[[Delivery ID]:[Quantity delivered]],3,FALSE)</f>
        <v>0.85472761427676891</v>
      </c>
      <c r="V1972" s="34" t="e">
        <f>VLOOKUP(Allocation[[#This Row],[SAP Contract number]],Shipments[[SAP Contract number]:[Contracted container weight]],2,FALSE)</f>
        <v>#N/A</v>
      </c>
      <c r="W1972" s="34" t="e">
        <f>VLOOKUP(Allocation[[#This Row],[SAP Contract number]],Shipments[[SAP Contract number]:[AAA Premium USD]],24,FALSE)</f>
        <v>#N/A</v>
      </c>
      <c r="X1972" s="34" t="e">
        <f>VLOOKUP(Allocation[[#This Row],[SAP Contract number]],Shipments[[SAP Contract number]:[RA Premium USD]],25,FALSE)</f>
        <v>#N/A</v>
      </c>
      <c r="Y1972" s="38">
        <f>Allocation[[#This Row],[Quantity Processed]]/Allocation[[#This Row],[Quantity allocated]]</f>
        <v>2.5</v>
      </c>
      <c r="Z1972" s="34" t="b">
        <f>Allocation[[#This Row],[Quantity allocated]]&lt;=Allocation[[#This Row],[Quantity Processed]]</f>
        <v>1</v>
      </c>
    </row>
    <row r="1973" spans="1:26">
      <c r="A1973" s="247" t="s">
        <v>467</v>
      </c>
      <c r="B1973" s="210" t="s">
        <v>68</v>
      </c>
      <c r="C1973" s="254" t="s">
        <v>1841</v>
      </c>
      <c r="D1973" s="255">
        <v>14997</v>
      </c>
      <c r="E1973" s="211" t="s">
        <v>1918</v>
      </c>
      <c r="F1973" s="212">
        <v>43615</v>
      </c>
      <c r="G1973" s="213">
        <v>2.7</v>
      </c>
      <c r="H1973" s="256">
        <v>4949</v>
      </c>
      <c r="I1973" s="214">
        <v>1460315</v>
      </c>
      <c r="J1973" s="215">
        <v>19175</v>
      </c>
      <c r="K1973" s="212">
        <v>43626</v>
      </c>
      <c r="L1973" s="211" t="s">
        <v>1935</v>
      </c>
      <c r="M1973" s="216">
        <v>4615520198</v>
      </c>
      <c r="N1973" s="212">
        <v>43642</v>
      </c>
      <c r="O1973" s="218">
        <v>3.8445</v>
      </c>
      <c r="P1973" s="219"/>
      <c r="Q1973" s="34">
        <f>SUMIF(Allocation[Delivery ID],Allocation[[#This Row],[Delivery ID]],Allocation[Quantity Processed])</f>
        <v>27558</v>
      </c>
      <c r="R1973" s="61">
        <f>Allocation[[#This Row],[Total volume used]]/VLOOKUP(Allocation[[#This Row],[Delivery ID]],Delivery[[Delivery ID]:[Quantity delivered]],3,FALSE)</f>
        <v>0.89677839245037427</v>
      </c>
      <c r="S1973" s="34">
        <f>Allocation[[#This Row],[Quantity Processed]]/Allocation[[#This Row],[Dilution rate]]</f>
        <v>5554.4444444444443</v>
      </c>
      <c r="T1973" s="59">
        <f>SUMIF(Allocation[Delivery ID],Allocation[[#This Row],[Delivery ID]],Allocation[Quantity allocated])/SUMIF(Allocation[Delivery ID],Allocation[[#This Row],[Delivery ID]],Allocation[Volume available (kg)])</f>
        <v>0.87931628787217209</v>
      </c>
      <c r="U1973" s="61">
        <f>Allocation[[#This Row],[Total volume used]]/VLOOKUP(Allocation[[#This Row],[Delivery ID]],Delivery[[Delivery ID]:[Quantity delivered]],3,FALSE)</f>
        <v>0.89677839245037427</v>
      </c>
      <c r="V1973" s="34" t="e">
        <f>VLOOKUP(Allocation[[#This Row],[SAP Contract number]],Shipments[[SAP Contract number]:[Contracted container weight]],2,FALSE)</f>
        <v>#N/A</v>
      </c>
      <c r="W1973" s="34" t="e">
        <f>VLOOKUP(Allocation[[#This Row],[SAP Contract number]],Shipments[[SAP Contract number]:[AAA Premium USD]],24,FALSE)</f>
        <v>#N/A</v>
      </c>
      <c r="X1973" s="34" t="e">
        <f>VLOOKUP(Allocation[[#This Row],[SAP Contract number]],Shipments[[SAP Contract number]:[RA Premium USD]],25,FALSE)</f>
        <v>#N/A</v>
      </c>
      <c r="Y1973" s="38">
        <f>Allocation[[#This Row],[Quantity Processed]]/Allocation[[#This Row],[Quantity allocated]]</f>
        <v>3.0303091533643158</v>
      </c>
      <c r="Z1973" s="34" t="b">
        <f>Allocation[[#This Row],[Quantity allocated]]&lt;=Allocation[[#This Row],[Quantity Processed]]</f>
        <v>1</v>
      </c>
    </row>
    <row r="1974" spans="1:26">
      <c r="A1974" s="247" t="s">
        <v>467</v>
      </c>
      <c r="B1974" s="210" t="s">
        <v>68</v>
      </c>
      <c r="C1974" s="254" t="s">
        <v>1843</v>
      </c>
      <c r="D1974" s="255">
        <v>5007</v>
      </c>
      <c r="E1974" s="211" t="s">
        <v>1918</v>
      </c>
      <c r="F1974" s="212">
        <v>43615</v>
      </c>
      <c r="G1974" s="213">
        <v>2.7</v>
      </c>
      <c r="H1974" s="256">
        <v>2103</v>
      </c>
      <c r="I1974" s="214">
        <v>1460315</v>
      </c>
      <c r="J1974" s="215">
        <v>19175</v>
      </c>
      <c r="K1974" s="212">
        <v>43626</v>
      </c>
      <c r="L1974" s="211" t="s">
        <v>1935</v>
      </c>
      <c r="M1974" s="216">
        <v>4615520198</v>
      </c>
      <c r="N1974" s="212">
        <v>43642</v>
      </c>
      <c r="O1974" s="218">
        <v>3.8445</v>
      </c>
      <c r="P1974" s="219"/>
      <c r="Q1974" s="34">
        <f>SUMIF(Allocation[Delivery ID],Allocation[[#This Row],[Delivery ID]],Allocation[Quantity Processed])</f>
        <v>9255</v>
      </c>
      <c r="R1974" s="61">
        <f>Allocation[[#This Row],[Total volume used]]/VLOOKUP(Allocation[[#This Row],[Delivery ID]],Delivery[[Delivery ID]:[Quantity delivered]],3,FALSE)</f>
        <v>0.81398416886543534</v>
      </c>
      <c r="S1974" s="34">
        <f>Allocation[[#This Row],[Quantity Processed]]/Allocation[[#This Row],[Dilution rate]]</f>
        <v>1854.4444444444443</v>
      </c>
      <c r="T1974" s="59">
        <f>SUMIF(Allocation[Delivery ID],Allocation[[#This Row],[Delivery ID]],Allocation[Quantity allocated])/SUMIF(Allocation[Delivery ID],Allocation[[#This Row],[Delivery ID]],Allocation[Volume available (kg)])</f>
        <v>1.11429936539828</v>
      </c>
      <c r="U1974" s="61">
        <f>Allocation[[#This Row],[Total volume used]]/VLOOKUP(Allocation[[#This Row],[Delivery ID]],Delivery[[Delivery ID]:[Quantity delivered]],3,FALSE)</f>
        <v>0.81398416886543534</v>
      </c>
      <c r="V1974" s="34" t="e">
        <f>VLOOKUP(Allocation[[#This Row],[SAP Contract number]],Shipments[[SAP Contract number]:[Contracted container weight]],2,FALSE)</f>
        <v>#N/A</v>
      </c>
      <c r="W1974" s="34" t="e">
        <f>VLOOKUP(Allocation[[#This Row],[SAP Contract number]],Shipments[[SAP Contract number]:[AAA Premium USD]],24,FALSE)</f>
        <v>#N/A</v>
      </c>
      <c r="X1974" s="34" t="e">
        <f>VLOOKUP(Allocation[[#This Row],[SAP Contract number]],Shipments[[SAP Contract number]:[RA Premium USD]],25,FALSE)</f>
        <v>#N/A</v>
      </c>
      <c r="Y1974" s="38">
        <f>Allocation[[#This Row],[Quantity Processed]]/Allocation[[#This Row],[Quantity allocated]]</f>
        <v>2.3808844507845937</v>
      </c>
      <c r="Z1974" s="34" t="b">
        <f>Allocation[[#This Row],[Quantity allocated]]&lt;=Allocation[[#This Row],[Quantity Processed]]</f>
        <v>1</v>
      </c>
    </row>
    <row r="1975" spans="1:26">
      <c r="A1975" s="247" t="s">
        <v>467</v>
      </c>
      <c r="B1975" s="210" t="s">
        <v>68</v>
      </c>
      <c r="C1975" s="254" t="s">
        <v>1430</v>
      </c>
      <c r="D1975" s="255">
        <v>18136</v>
      </c>
      <c r="E1975" s="211" t="s">
        <v>1936</v>
      </c>
      <c r="F1975" s="212">
        <v>43614</v>
      </c>
      <c r="G1975" s="213">
        <v>2.8</v>
      </c>
      <c r="H1975" s="256">
        <v>5985</v>
      </c>
      <c r="I1975" s="214">
        <v>1462173</v>
      </c>
      <c r="J1975" s="215">
        <v>21600</v>
      </c>
      <c r="K1975" s="212">
        <v>43623</v>
      </c>
      <c r="L1975" s="211" t="s">
        <v>1937</v>
      </c>
      <c r="M1975" s="216">
        <v>4615445946</v>
      </c>
      <c r="N1975" s="212"/>
      <c r="O1975" s="218"/>
      <c r="P1975" s="219"/>
      <c r="Q1975" s="34">
        <f>SUMIF(Allocation[Delivery ID],Allocation[[#This Row],[Delivery ID]],Allocation[Quantity Processed])</f>
        <v>29950</v>
      </c>
      <c r="R1975" s="61">
        <f>Allocation[[#This Row],[Total volume used]]/VLOOKUP(Allocation[[#This Row],[Delivery ID]],Delivery[[Delivery ID]:[Quantity delivered]],3,FALSE)</f>
        <v>1</v>
      </c>
      <c r="S1975" s="34">
        <f>Allocation[[#This Row],[Quantity Processed]]/Allocation[[#This Row],[Dilution rate]]</f>
        <v>6477.1428571428578</v>
      </c>
      <c r="T1975" s="59">
        <f>SUMIF(Allocation[Delivery ID],Allocation[[#This Row],[Delivery ID]],Allocation[Quantity allocated])/SUMIF(Allocation[Delivery ID],Allocation[[#This Row],[Delivery ID]],Allocation[Volume available (kg)])</f>
        <v>0.87920881792314698</v>
      </c>
      <c r="U1975" s="61">
        <f>Allocation[[#This Row],[Total volume used]]/VLOOKUP(Allocation[[#This Row],[Delivery ID]],Delivery[[Delivery ID]:[Quantity delivered]],3,FALSE)</f>
        <v>1</v>
      </c>
      <c r="V1975" s="34" t="e">
        <f>VLOOKUP(Allocation[[#This Row],[SAP Contract number]],Shipments[[SAP Contract number]:[Contracted container weight]],2,FALSE)</f>
        <v>#N/A</v>
      </c>
      <c r="W1975" s="34" t="e">
        <f>VLOOKUP(Allocation[[#This Row],[SAP Contract number]],Shipments[[SAP Contract number]:[AAA Premium USD]],24,FALSE)</f>
        <v>#N/A</v>
      </c>
      <c r="X1975" s="34" t="e">
        <f>VLOOKUP(Allocation[[#This Row],[SAP Contract number]],Shipments[[SAP Contract number]:[RA Premium USD]],25,FALSE)</f>
        <v>#N/A</v>
      </c>
      <c r="Y1975" s="38">
        <f>Allocation[[#This Row],[Quantity Processed]]/Allocation[[#This Row],[Quantity allocated]]</f>
        <v>3.0302422723475355</v>
      </c>
      <c r="Z1975" s="34" t="b">
        <f>Allocation[[#This Row],[Quantity allocated]]&lt;=Allocation[[#This Row],[Quantity Processed]]</f>
        <v>1</v>
      </c>
    </row>
    <row r="1976" spans="1:26">
      <c r="A1976" s="247" t="s">
        <v>467</v>
      </c>
      <c r="B1976" s="210" t="s">
        <v>68</v>
      </c>
      <c r="C1976" s="254" t="s">
        <v>1432</v>
      </c>
      <c r="D1976" s="255">
        <v>18161</v>
      </c>
      <c r="E1976" s="211" t="s">
        <v>1936</v>
      </c>
      <c r="F1976" s="212">
        <v>43614</v>
      </c>
      <c r="G1976" s="213">
        <v>2.8</v>
      </c>
      <c r="H1976" s="256">
        <v>5993</v>
      </c>
      <c r="I1976" s="214">
        <v>1462173</v>
      </c>
      <c r="J1976" s="215">
        <v>21600</v>
      </c>
      <c r="K1976" s="212">
        <v>43623</v>
      </c>
      <c r="L1976" s="211" t="s">
        <v>1937</v>
      </c>
      <c r="M1976" s="216">
        <v>4615445946</v>
      </c>
      <c r="N1976" s="212"/>
      <c r="O1976" s="218"/>
      <c r="P1976" s="219"/>
      <c r="Q1976" s="34">
        <f>SUMIF(Allocation[Delivery ID],Allocation[[#This Row],[Delivery ID]],Allocation[Quantity Processed])</f>
        <v>29960</v>
      </c>
      <c r="R1976" s="61">
        <f>Allocation[[#This Row],[Total volume used]]/VLOOKUP(Allocation[[#This Row],[Delivery ID]],Delivery[[Delivery ID]:[Quantity delivered]],3,FALSE)</f>
        <v>1</v>
      </c>
      <c r="S1976" s="34">
        <f>Allocation[[#This Row],[Quantity Processed]]/Allocation[[#This Row],[Dilution rate]]</f>
        <v>6486.0714285714294</v>
      </c>
      <c r="T1976" s="59">
        <f>SUMIF(Allocation[Delivery ID],Allocation[[#This Row],[Delivery ID]],Allocation[Quantity allocated])/SUMIF(Allocation[Delivery ID],Allocation[[#This Row],[Delivery ID]],Allocation[Volume available (kg)])</f>
        <v>0.87914173875223489</v>
      </c>
      <c r="U1976" s="61">
        <f>Allocation[[#This Row],[Total volume used]]/VLOOKUP(Allocation[[#This Row],[Delivery ID]],Delivery[[Delivery ID]:[Quantity delivered]],3,FALSE)</f>
        <v>1</v>
      </c>
      <c r="V1976" s="34" t="e">
        <f>VLOOKUP(Allocation[[#This Row],[SAP Contract number]],Shipments[[SAP Contract number]:[Contracted container weight]],2,FALSE)</f>
        <v>#N/A</v>
      </c>
      <c r="W1976" s="34" t="e">
        <f>VLOOKUP(Allocation[[#This Row],[SAP Contract number]],Shipments[[SAP Contract number]:[AAA Premium USD]],24,FALSE)</f>
        <v>#N/A</v>
      </c>
      <c r="X1976" s="34" t="e">
        <f>VLOOKUP(Allocation[[#This Row],[SAP Contract number]],Shipments[[SAP Contract number]:[RA Premium USD]],25,FALSE)</f>
        <v>#N/A</v>
      </c>
      <c r="Y1976" s="38">
        <f>Allocation[[#This Row],[Quantity Processed]]/Allocation[[#This Row],[Quantity allocated]]</f>
        <v>3.0303687635574836</v>
      </c>
      <c r="Z1976" s="34" t="b">
        <f>Allocation[[#This Row],[Quantity allocated]]&lt;=Allocation[[#This Row],[Quantity Processed]]</f>
        <v>1</v>
      </c>
    </row>
    <row r="1977" spans="1:26">
      <c r="A1977" s="247" t="s">
        <v>467</v>
      </c>
      <c r="B1977" s="210" t="s">
        <v>68</v>
      </c>
      <c r="C1977" s="254" t="s">
        <v>1433</v>
      </c>
      <c r="D1977" s="255">
        <v>16921</v>
      </c>
      <c r="E1977" s="211" t="s">
        <v>1936</v>
      </c>
      <c r="F1977" s="212">
        <v>43614</v>
      </c>
      <c r="G1977" s="213">
        <v>2.8</v>
      </c>
      <c r="H1977" s="256">
        <v>5584</v>
      </c>
      <c r="I1977" s="214">
        <v>1462173</v>
      </c>
      <c r="J1977" s="215">
        <v>21600</v>
      </c>
      <c r="K1977" s="212">
        <v>43623</v>
      </c>
      <c r="L1977" s="211" t="s">
        <v>1937</v>
      </c>
      <c r="M1977" s="216">
        <v>4615445946</v>
      </c>
      <c r="N1977" s="212"/>
      <c r="O1977" s="218"/>
      <c r="P1977" s="219"/>
      <c r="Q1977" s="34">
        <f>SUMIF(Allocation[Delivery ID],Allocation[[#This Row],[Delivery ID]],Allocation[Quantity Processed])</f>
        <v>22561</v>
      </c>
      <c r="R1977" s="61">
        <f>Allocation[[#This Row],[Total volume used]]/VLOOKUP(Allocation[[#This Row],[Delivery ID]],Delivery[[Delivery ID]:[Quantity delivered]],3,FALSE)</f>
        <v>0.75128205128205128</v>
      </c>
      <c r="S1977" s="34">
        <f>Allocation[[#This Row],[Quantity Processed]]/Allocation[[#This Row],[Dilution rate]]</f>
        <v>6043.2142857142862</v>
      </c>
      <c r="T1977" s="59">
        <f>SUMIF(Allocation[Delivery ID],Allocation[[#This Row],[Delivery ID]],Allocation[Quantity allocated])/SUMIF(Allocation[Delivery ID],Allocation[[#This Row],[Delivery ID]],Allocation[Volume available (kg)])</f>
        <v>0.923983865963388</v>
      </c>
      <c r="U1977" s="61">
        <f>Allocation[[#This Row],[Total volume used]]/VLOOKUP(Allocation[[#This Row],[Delivery ID]],Delivery[[Delivery ID]:[Quantity delivered]],3,FALSE)</f>
        <v>0.75128205128205128</v>
      </c>
      <c r="V1977" s="34" t="e">
        <f>VLOOKUP(Allocation[[#This Row],[SAP Contract number]],Shipments[[SAP Contract number]:[Contracted container weight]],2,FALSE)</f>
        <v>#N/A</v>
      </c>
      <c r="W1977" s="34" t="e">
        <f>VLOOKUP(Allocation[[#This Row],[SAP Contract number]],Shipments[[SAP Contract number]:[AAA Premium USD]],24,FALSE)</f>
        <v>#N/A</v>
      </c>
      <c r="X1977" s="34" t="e">
        <f>VLOOKUP(Allocation[[#This Row],[SAP Contract number]],Shipments[[SAP Contract number]:[RA Premium USD]],25,FALSE)</f>
        <v>#N/A</v>
      </c>
      <c r="Y1977" s="38">
        <f>Allocation[[#This Row],[Quantity Processed]]/Allocation[[#This Row],[Quantity allocated]]</f>
        <v>3.0302650429799427</v>
      </c>
      <c r="Z1977" s="34" t="b">
        <f>Allocation[[#This Row],[Quantity allocated]]&lt;=Allocation[[#This Row],[Quantity Processed]]</f>
        <v>1</v>
      </c>
    </row>
    <row r="1978" spans="1:26">
      <c r="A1978" s="247" t="s">
        <v>467</v>
      </c>
      <c r="B1978" s="210" t="s">
        <v>68</v>
      </c>
      <c r="C1978" s="254" t="s">
        <v>1434</v>
      </c>
      <c r="D1978" s="255">
        <v>4745</v>
      </c>
      <c r="E1978" s="211" t="s">
        <v>1936</v>
      </c>
      <c r="F1978" s="212">
        <v>43614</v>
      </c>
      <c r="G1978" s="213">
        <v>2.8</v>
      </c>
      <c r="H1978" s="256">
        <v>1566</v>
      </c>
      <c r="I1978" s="214">
        <v>1462173</v>
      </c>
      <c r="J1978" s="215">
        <v>21600</v>
      </c>
      <c r="K1978" s="212">
        <v>43623</v>
      </c>
      <c r="L1978" s="211" t="s">
        <v>1937</v>
      </c>
      <c r="M1978" s="216">
        <v>4615445946</v>
      </c>
      <c r="N1978" s="212"/>
      <c r="O1978" s="218"/>
      <c r="P1978" s="219"/>
      <c r="Q1978" s="34">
        <f>SUMIF(Allocation[Delivery ID],Allocation[[#This Row],[Delivery ID]],Allocation[Quantity Processed])</f>
        <v>7930</v>
      </c>
      <c r="R1978" s="61">
        <f>Allocation[[#This Row],[Total volume used]]/VLOOKUP(Allocation[[#This Row],[Delivery ID]],Delivery[[Delivery ID]:[Quantity delivered]],3,FALSE)</f>
        <v>0.39276869737493808</v>
      </c>
      <c r="S1978" s="34">
        <f>Allocation[[#This Row],[Quantity Processed]]/Allocation[[#This Row],[Dilution rate]]</f>
        <v>1694.6428571428573</v>
      </c>
      <c r="T1978" s="59">
        <f>SUMIF(Allocation[Delivery ID],Allocation[[#This Row],[Delivery ID]],Allocation[Quantity allocated])/SUMIF(Allocation[Delivery ID],Allocation[[#This Row],[Delivery ID]],Allocation[Volume available (kg)])</f>
        <v>0.92403530895334163</v>
      </c>
      <c r="U1978" s="61">
        <f>Allocation[[#This Row],[Total volume used]]/VLOOKUP(Allocation[[#This Row],[Delivery ID]],Delivery[[Delivery ID]:[Quantity delivered]],3,FALSE)</f>
        <v>0.39276869737493808</v>
      </c>
      <c r="V1978" s="34" t="e">
        <f>VLOOKUP(Allocation[[#This Row],[SAP Contract number]],Shipments[[SAP Contract number]:[Contracted container weight]],2,FALSE)</f>
        <v>#N/A</v>
      </c>
      <c r="W1978" s="34" t="e">
        <f>VLOOKUP(Allocation[[#This Row],[SAP Contract number]],Shipments[[SAP Contract number]:[AAA Premium USD]],24,FALSE)</f>
        <v>#N/A</v>
      </c>
      <c r="X1978" s="34" t="e">
        <f>VLOOKUP(Allocation[[#This Row],[SAP Contract number]],Shipments[[SAP Contract number]:[RA Premium USD]],25,FALSE)</f>
        <v>#N/A</v>
      </c>
      <c r="Y1978" s="38">
        <f>Allocation[[#This Row],[Quantity Processed]]/Allocation[[#This Row],[Quantity allocated]]</f>
        <v>3.0300127713920819</v>
      </c>
      <c r="Z1978" s="34" t="b">
        <f>Allocation[[#This Row],[Quantity allocated]]&lt;=Allocation[[#This Row],[Quantity Processed]]</f>
        <v>1</v>
      </c>
    </row>
    <row r="1979" spans="1:26">
      <c r="A1979" s="247" t="s">
        <v>467</v>
      </c>
      <c r="B1979" s="210" t="s">
        <v>68</v>
      </c>
      <c r="C1979" s="254" t="s">
        <v>1436</v>
      </c>
      <c r="D1979" s="255">
        <v>2294</v>
      </c>
      <c r="E1979" s="211" t="s">
        <v>1936</v>
      </c>
      <c r="F1979" s="212">
        <v>43614</v>
      </c>
      <c r="G1979" s="213">
        <v>2.8</v>
      </c>
      <c r="H1979" s="256">
        <v>757</v>
      </c>
      <c r="I1979" s="214">
        <v>1462173</v>
      </c>
      <c r="J1979" s="215">
        <v>21600</v>
      </c>
      <c r="K1979" s="212">
        <v>43623</v>
      </c>
      <c r="L1979" s="211" t="s">
        <v>1937</v>
      </c>
      <c r="M1979" s="216">
        <v>4615445946</v>
      </c>
      <c r="N1979" s="212"/>
      <c r="O1979" s="218"/>
      <c r="P1979" s="219"/>
      <c r="Q1979" s="34">
        <f>SUMIF(Allocation[Delivery ID],Allocation[[#This Row],[Delivery ID]],Allocation[Quantity Processed])</f>
        <v>3833</v>
      </c>
      <c r="R1979" s="61">
        <f>Allocation[[#This Row],[Total volume used]]/VLOOKUP(Allocation[[#This Row],[Delivery ID]],Delivery[[Delivery ID]:[Quantity delivered]],3,FALSE)</f>
        <v>0.24970684039087948</v>
      </c>
      <c r="S1979" s="34">
        <f>Allocation[[#This Row],[Quantity Processed]]/Allocation[[#This Row],[Dilution rate]]</f>
        <v>819.28571428571433</v>
      </c>
      <c r="T1979" s="59">
        <f>SUMIF(Allocation[Delivery ID],Allocation[[#This Row],[Delivery ID]],Allocation[Quantity allocated])/SUMIF(Allocation[Delivery ID],Allocation[[#This Row],[Delivery ID]],Allocation[Volume available (kg)])</f>
        <v>0.92408035481346196</v>
      </c>
      <c r="U1979" s="61">
        <f>Allocation[[#This Row],[Total volume used]]/VLOOKUP(Allocation[[#This Row],[Delivery ID]],Delivery[[Delivery ID]:[Quantity delivered]],3,FALSE)</f>
        <v>0.24970684039087948</v>
      </c>
      <c r="V1979" s="34" t="e">
        <f>VLOOKUP(Allocation[[#This Row],[SAP Contract number]],Shipments[[SAP Contract number]:[Contracted container weight]],2,FALSE)</f>
        <v>#N/A</v>
      </c>
      <c r="W1979" s="34" t="e">
        <f>VLOOKUP(Allocation[[#This Row],[SAP Contract number]],Shipments[[SAP Contract number]:[AAA Premium USD]],24,FALSE)</f>
        <v>#N/A</v>
      </c>
      <c r="X1979" s="34" t="e">
        <f>VLOOKUP(Allocation[[#This Row],[SAP Contract number]],Shipments[[SAP Contract number]:[RA Premium USD]],25,FALSE)</f>
        <v>#N/A</v>
      </c>
      <c r="Y1979" s="38">
        <f>Allocation[[#This Row],[Quantity Processed]]/Allocation[[#This Row],[Quantity allocated]]</f>
        <v>3.0303830911492735</v>
      </c>
      <c r="Z1979" s="34" t="b">
        <f>Allocation[[#This Row],[Quantity allocated]]&lt;=Allocation[[#This Row],[Quantity Processed]]</f>
        <v>1</v>
      </c>
    </row>
    <row r="1980" spans="1:26">
      <c r="A1980" s="247" t="s">
        <v>467</v>
      </c>
      <c r="B1980" s="210" t="s">
        <v>68</v>
      </c>
      <c r="C1980" s="254" t="s">
        <v>1437</v>
      </c>
      <c r="D1980" s="255">
        <v>5197</v>
      </c>
      <c r="E1980" s="211" t="s">
        <v>1936</v>
      </c>
      <c r="F1980" s="212">
        <v>43614</v>
      </c>
      <c r="G1980" s="213">
        <v>2.8</v>
      </c>
      <c r="H1980" s="256">
        <v>1715</v>
      </c>
      <c r="I1980" s="214">
        <v>1462173</v>
      </c>
      <c r="J1980" s="215">
        <v>21600</v>
      </c>
      <c r="K1980" s="212">
        <v>43623</v>
      </c>
      <c r="L1980" s="211" t="s">
        <v>1937</v>
      </c>
      <c r="M1980" s="216">
        <v>4615445946</v>
      </c>
      <c r="N1980" s="212"/>
      <c r="O1980" s="218"/>
      <c r="P1980" s="219"/>
      <c r="Q1980" s="34">
        <f>SUMIF(Allocation[Delivery ID],Allocation[[#This Row],[Delivery ID]],Allocation[Quantity Processed])</f>
        <v>9807</v>
      </c>
      <c r="R1980" s="61">
        <f>Allocation[[#This Row],[Total volume used]]/VLOOKUP(Allocation[[#This Row],[Delivery ID]],Delivery[[Delivery ID]:[Quantity delivered]],3,FALSE)</f>
        <v>0.75554699537750381</v>
      </c>
      <c r="S1980" s="34">
        <f>Allocation[[#This Row],[Quantity Processed]]/Allocation[[#This Row],[Dilution rate]]</f>
        <v>1856.0714285714287</v>
      </c>
      <c r="T1980" s="59">
        <f>SUMIF(Allocation[Delivery ID],Allocation[[#This Row],[Delivery ID]],Allocation[Quantity allocated])/SUMIF(Allocation[Delivery ID],Allocation[[#This Row],[Delivery ID]],Allocation[Volume available (kg)])</f>
        <v>0.92391149179157728</v>
      </c>
      <c r="U1980" s="61">
        <f>Allocation[[#This Row],[Total volume used]]/VLOOKUP(Allocation[[#This Row],[Delivery ID]],Delivery[[Delivery ID]:[Quantity delivered]],3,FALSE)</f>
        <v>0.75554699537750381</v>
      </c>
      <c r="V1980" s="34" t="e">
        <f>VLOOKUP(Allocation[[#This Row],[SAP Contract number]],Shipments[[SAP Contract number]:[Contracted container weight]],2,FALSE)</f>
        <v>#N/A</v>
      </c>
      <c r="W1980" s="34" t="e">
        <f>VLOOKUP(Allocation[[#This Row],[SAP Contract number]],Shipments[[SAP Contract number]:[AAA Premium USD]],24,FALSE)</f>
        <v>#N/A</v>
      </c>
      <c r="X1980" s="34" t="e">
        <f>VLOOKUP(Allocation[[#This Row],[SAP Contract number]],Shipments[[SAP Contract number]:[RA Premium USD]],25,FALSE)</f>
        <v>#N/A</v>
      </c>
      <c r="Y1980" s="38">
        <f>Allocation[[#This Row],[Quantity Processed]]/Allocation[[#This Row],[Quantity allocated]]</f>
        <v>3.0303206997084549</v>
      </c>
      <c r="Z1980" s="34" t="b">
        <f>Allocation[[#This Row],[Quantity allocated]]&lt;=Allocation[[#This Row],[Quantity Processed]]</f>
        <v>1</v>
      </c>
    </row>
    <row r="1981" spans="1:26">
      <c r="A1981" s="247" t="s">
        <v>467</v>
      </c>
      <c r="B1981" s="210" t="s">
        <v>68</v>
      </c>
      <c r="C1981" s="254" t="s">
        <v>1437</v>
      </c>
      <c r="D1981" s="255">
        <v>2158</v>
      </c>
      <c r="E1981" s="211" t="s">
        <v>1936</v>
      </c>
      <c r="F1981" s="212">
        <v>43614</v>
      </c>
      <c r="G1981" s="213">
        <v>2.8</v>
      </c>
      <c r="H1981" s="256">
        <v>712</v>
      </c>
      <c r="I1981" s="214">
        <v>1462174</v>
      </c>
      <c r="J1981" s="215">
        <v>21600</v>
      </c>
      <c r="K1981" s="212">
        <v>43623</v>
      </c>
      <c r="L1981" s="211" t="s">
        <v>1938</v>
      </c>
      <c r="M1981" s="216">
        <v>4615445946</v>
      </c>
      <c r="N1981" s="212"/>
      <c r="O1981" s="218"/>
      <c r="P1981" s="219"/>
      <c r="Q1981" s="34">
        <f>SUMIF(Allocation[Delivery ID],Allocation[[#This Row],[Delivery ID]],Allocation[Quantity Processed])</f>
        <v>9807</v>
      </c>
      <c r="R1981" s="61">
        <f>Allocation[[#This Row],[Total volume used]]/VLOOKUP(Allocation[[#This Row],[Delivery ID]],Delivery[[Delivery ID]:[Quantity delivered]],3,FALSE)</f>
        <v>0.75554699537750381</v>
      </c>
      <c r="S1981" s="34">
        <f>Allocation[[#This Row],[Quantity Processed]]/Allocation[[#This Row],[Dilution rate]]</f>
        <v>770.71428571428578</v>
      </c>
      <c r="T1981" s="59">
        <f>SUMIF(Allocation[Delivery ID],Allocation[[#This Row],[Delivery ID]],Allocation[Quantity allocated])/SUMIF(Allocation[Delivery ID],Allocation[[#This Row],[Delivery ID]],Allocation[Volume available (kg)])</f>
        <v>0.92391149179157728</v>
      </c>
      <c r="U1981" s="61">
        <f>Allocation[[#This Row],[Total volume used]]/VLOOKUP(Allocation[[#This Row],[Delivery ID]],Delivery[[Delivery ID]:[Quantity delivered]],3,FALSE)</f>
        <v>0.75554699537750381</v>
      </c>
      <c r="V1981" s="34" t="e">
        <f>VLOOKUP(Allocation[[#This Row],[SAP Contract number]],Shipments[[SAP Contract number]:[Contracted container weight]],2,FALSE)</f>
        <v>#N/A</v>
      </c>
      <c r="W1981" s="34" t="e">
        <f>VLOOKUP(Allocation[[#This Row],[SAP Contract number]],Shipments[[SAP Contract number]:[AAA Premium USD]],24,FALSE)</f>
        <v>#N/A</v>
      </c>
      <c r="X1981" s="34" t="e">
        <f>VLOOKUP(Allocation[[#This Row],[SAP Contract number]],Shipments[[SAP Contract number]:[RA Premium USD]],25,FALSE)</f>
        <v>#N/A</v>
      </c>
      <c r="Y1981" s="38">
        <f>Allocation[[#This Row],[Quantity Processed]]/Allocation[[#This Row],[Quantity allocated]]</f>
        <v>3.0308988764044944</v>
      </c>
      <c r="Z1981" s="34" t="b">
        <f>Allocation[[#This Row],[Quantity allocated]]&lt;=Allocation[[#This Row],[Quantity Processed]]</f>
        <v>1</v>
      </c>
    </row>
    <row r="1982" spans="1:26">
      <c r="A1982" s="247" t="s">
        <v>467</v>
      </c>
      <c r="B1982" s="210" t="s">
        <v>68</v>
      </c>
      <c r="C1982" s="254" t="s">
        <v>1441</v>
      </c>
      <c r="D1982" s="255">
        <v>11061</v>
      </c>
      <c r="E1982" s="211" t="s">
        <v>1936</v>
      </c>
      <c r="F1982" s="212">
        <v>43614</v>
      </c>
      <c r="G1982" s="213">
        <v>2.8</v>
      </c>
      <c r="H1982" s="256">
        <v>3650</v>
      </c>
      <c r="I1982" s="214">
        <v>1462174</v>
      </c>
      <c r="J1982" s="215">
        <v>21600</v>
      </c>
      <c r="K1982" s="212">
        <v>43623</v>
      </c>
      <c r="L1982" s="211" t="s">
        <v>1938</v>
      </c>
      <c r="M1982" s="216">
        <v>4615445946</v>
      </c>
      <c r="N1982" s="212"/>
      <c r="O1982" s="218"/>
      <c r="P1982" s="219"/>
      <c r="Q1982" s="34">
        <f>SUMIF(Allocation[Delivery ID],Allocation[[#This Row],[Delivery ID]],Allocation[Quantity Processed])</f>
        <v>18320</v>
      </c>
      <c r="R1982" s="61">
        <f>Allocation[[#This Row],[Total volume used]]/VLOOKUP(Allocation[[#This Row],[Delivery ID]],Delivery[[Delivery ID]:[Quantity delivered]],3,FALSE)</f>
        <v>1</v>
      </c>
      <c r="S1982" s="34">
        <f>Allocation[[#This Row],[Quantity Processed]]/Allocation[[#This Row],[Dilution rate]]</f>
        <v>3950.3571428571431</v>
      </c>
      <c r="T1982" s="59">
        <f>SUMIF(Allocation[Delivery ID],Allocation[[#This Row],[Delivery ID]],Allocation[Quantity allocated])/SUMIF(Allocation[Delivery ID],Allocation[[#This Row],[Delivery ID]],Allocation[Volume available (kg)])</f>
        <v>0.87920322504149861</v>
      </c>
      <c r="U1982" s="61">
        <f>Allocation[[#This Row],[Total volume used]]/VLOOKUP(Allocation[[#This Row],[Delivery ID]],Delivery[[Delivery ID]:[Quantity delivered]],3,FALSE)</f>
        <v>1</v>
      </c>
      <c r="V1982" s="34" t="e">
        <f>VLOOKUP(Allocation[[#This Row],[SAP Contract number]],Shipments[[SAP Contract number]:[Contracted container weight]],2,FALSE)</f>
        <v>#N/A</v>
      </c>
      <c r="W1982" s="34" t="e">
        <f>VLOOKUP(Allocation[[#This Row],[SAP Contract number]],Shipments[[SAP Contract number]:[AAA Premium USD]],24,FALSE)</f>
        <v>#N/A</v>
      </c>
      <c r="X1982" s="34" t="e">
        <f>VLOOKUP(Allocation[[#This Row],[SAP Contract number]],Shipments[[SAP Contract number]:[RA Premium USD]],25,FALSE)</f>
        <v>#N/A</v>
      </c>
      <c r="Y1982" s="38">
        <f>Allocation[[#This Row],[Quantity Processed]]/Allocation[[#This Row],[Quantity allocated]]</f>
        <v>3.0304109589041097</v>
      </c>
      <c r="Z1982" s="34" t="b">
        <f>Allocation[[#This Row],[Quantity allocated]]&lt;=Allocation[[#This Row],[Quantity Processed]]</f>
        <v>1</v>
      </c>
    </row>
    <row r="1983" spans="1:26">
      <c r="A1983" s="247" t="s">
        <v>467</v>
      </c>
      <c r="B1983" s="210" t="s">
        <v>68</v>
      </c>
      <c r="C1983" s="254" t="s">
        <v>1443</v>
      </c>
      <c r="D1983" s="255">
        <v>10343</v>
      </c>
      <c r="E1983" s="211" t="s">
        <v>1936</v>
      </c>
      <c r="F1983" s="212">
        <v>43614</v>
      </c>
      <c r="G1983" s="213">
        <v>2.8</v>
      </c>
      <c r="H1983" s="256">
        <v>3620</v>
      </c>
      <c r="I1983" s="214">
        <v>1462174</v>
      </c>
      <c r="J1983" s="215">
        <v>21600</v>
      </c>
      <c r="K1983" s="212">
        <v>43623</v>
      </c>
      <c r="L1983" s="211" t="s">
        <v>1938</v>
      </c>
      <c r="M1983" s="216">
        <v>4615445946</v>
      </c>
      <c r="N1983" s="212"/>
      <c r="O1983" s="218"/>
      <c r="P1983" s="219"/>
      <c r="Q1983" s="34">
        <f>SUMIF(Allocation[Delivery ID],Allocation[[#This Row],[Delivery ID]],Allocation[Quantity Processed])</f>
        <v>13790</v>
      </c>
      <c r="R1983" s="61">
        <f>Allocation[[#This Row],[Total volume used]]/VLOOKUP(Allocation[[#This Row],[Delivery ID]],Delivery[[Delivery ID]:[Quantity delivered]],3,FALSE)</f>
        <v>0.71009268795056646</v>
      </c>
      <c r="S1983" s="34">
        <f>Allocation[[#This Row],[Quantity Processed]]/Allocation[[#This Row],[Dilution rate]]</f>
        <v>3693.9285714285716</v>
      </c>
      <c r="T1983" s="59">
        <f>SUMIF(Allocation[Delivery ID],Allocation[[#This Row],[Delivery ID]],Allocation[Quantity allocated])/SUMIF(Allocation[Delivery ID],Allocation[[#This Row],[Delivery ID]],Allocation[Volume available (kg)])</f>
        <v>0.98010152284263963</v>
      </c>
      <c r="U1983" s="61">
        <f>Allocation[[#This Row],[Total volume used]]/VLOOKUP(Allocation[[#This Row],[Delivery ID]],Delivery[[Delivery ID]:[Quantity delivered]],3,FALSE)</f>
        <v>0.71009268795056646</v>
      </c>
      <c r="V1983" s="34" t="e">
        <f>VLOOKUP(Allocation[[#This Row],[SAP Contract number]],Shipments[[SAP Contract number]:[Contracted container weight]],2,FALSE)</f>
        <v>#N/A</v>
      </c>
      <c r="W1983" s="34" t="e">
        <f>VLOOKUP(Allocation[[#This Row],[SAP Contract number]],Shipments[[SAP Contract number]:[AAA Premium USD]],24,FALSE)</f>
        <v>#N/A</v>
      </c>
      <c r="X1983" s="34" t="e">
        <f>VLOOKUP(Allocation[[#This Row],[SAP Contract number]],Shipments[[SAP Contract number]:[RA Premium USD]],25,FALSE)</f>
        <v>#N/A</v>
      </c>
      <c r="Y1983" s="38">
        <f>Allocation[[#This Row],[Quantity Processed]]/Allocation[[#This Row],[Quantity allocated]]</f>
        <v>2.8571823204419888</v>
      </c>
      <c r="Z1983" s="34" t="b">
        <f>Allocation[[#This Row],[Quantity allocated]]&lt;=Allocation[[#This Row],[Quantity Processed]]</f>
        <v>1</v>
      </c>
    </row>
    <row r="1984" spans="1:26">
      <c r="A1984" s="247" t="s">
        <v>467</v>
      </c>
      <c r="B1984" s="210" t="s">
        <v>68</v>
      </c>
      <c r="C1984" s="254" t="s">
        <v>1444</v>
      </c>
      <c r="D1984" s="255">
        <v>9443</v>
      </c>
      <c r="E1984" s="211" t="s">
        <v>1936</v>
      </c>
      <c r="F1984" s="212">
        <v>43614</v>
      </c>
      <c r="G1984" s="213">
        <v>2.8</v>
      </c>
      <c r="H1984" s="256">
        <v>3305</v>
      </c>
      <c r="I1984" s="214">
        <v>1462174</v>
      </c>
      <c r="J1984" s="215">
        <v>21600</v>
      </c>
      <c r="K1984" s="212">
        <v>43623</v>
      </c>
      <c r="L1984" s="211" t="s">
        <v>1938</v>
      </c>
      <c r="M1984" s="216">
        <v>4615445946</v>
      </c>
      <c r="N1984" s="212"/>
      <c r="O1984" s="218"/>
      <c r="P1984" s="219"/>
      <c r="Q1984" s="34">
        <f>SUMIF(Allocation[Delivery ID],Allocation[[#This Row],[Delivery ID]],Allocation[Quantity Processed])</f>
        <v>12591</v>
      </c>
      <c r="R1984" s="61">
        <f>Allocation[[#This Row],[Total volume used]]/VLOOKUP(Allocation[[#This Row],[Delivery ID]],Delivery[[Delivery ID]:[Quantity delivered]],3,FALSE)</f>
        <v>0.71015228426395938</v>
      </c>
      <c r="S1984" s="34">
        <f>Allocation[[#This Row],[Quantity Processed]]/Allocation[[#This Row],[Dilution rate]]</f>
        <v>3372.5</v>
      </c>
      <c r="T1984" s="59">
        <f>SUMIF(Allocation[Delivery ID],Allocation[[#This Row],[Delivery ID]],Allocation[Quantity allocated])/SUMIF(Allocation[Delivery ID],Allocation[[#This Row],[Delivery ID]],Allocation[Volume available (kg)])</f>
        <v>0.98003335715987605</v>
      </c>
      <c r="U1984" s="61">
        <f>Allocation[[#This Row],[Total volume used]]/VLOOKUP(Allocation[[#This Row],[Delivery ID]],Delivery[[Delivery ID]:[Quantity delivered]],3,FALSE)</f>
        <v>0.71015228426395938</v>
      </c>
      <c r="V1984" s="34" t="e">
        <f>VLOOKUP(Allocation[[#This Row],[SAP Contract number]],Shipments[[SAP Contract number]:[Contracted container weight]],2,FALSE)</f>
        <v>#N/A</v>
      </c>
      <c r="W1984" s="34" t="e">
        <f>VLOOKUP(Allocation[[#This Row],[SAP Contract number]],Shipments[[SAP Contract number]:[AAA Premium USD]],24,FALSE)</f>
        <v>#N/A</v>
      </c>
      <c r="X1984" s="34" t="e">
        <f>VLOOKUP(Allocation[[#This Row],[SAP Contract number]],Shipments[[SAP Contract number]:[RA Premium USD]],25,FALSE)</f>
        <v>#N/A</v>
      </c>
      <c r="Y1984" s="38">
        <f>Allocation[[#This Row],[Quantity Processed]]/Allocation[[#This Row],[Quantity allocated]]</f>
        <v>2.8571860816944024</v>
      </c>
      <c r="Z1984" s="34" t="b">
        <f>Allocation[[#This Row],[Quantity allocated]]&lt;=Allocation[[#This Row],[Quantity Processed]]</f>
        <v>1</v>
      </c>
    </row>
    <row r="1985" spans="1:26">
      <c r="A1985" s="247" t="s">
        <v>467</v>
      </c>
      <c r="B1985" s="210" t="s">
        <v>68</v>
      </c>
      <c r="C1985" s="254" t="s">
        <v>1445</v>
      </c>
      <c r="D1985" s="255">
        <v>9626</v>
      </c>
      <c r="E1985" s="211" t="s">
        <v>1936</v>
      </c>
      <c r="F1985" s="212">
        <v>43614</v>
      </c>
      <c r="G1985" s="213">
        <v>2.8</v>
      </c>
      <c r="H1985" s="256">
        <v>3369</v>
      </c>
      <c r="I1985" s="214">
        <v>1462174</v>
      </c>
      <c r="J1985" s="215">
        <v>21600</v>
      </c>
      <c r="K1985" s="212">
        <v>43623</v>
      </c>
      <c r="L1985" s="211" t="s">
        <v>1938</v>
      </c>
      <c r="M1985" s="216">
        <v>4615445946</v>
      </c>
      <c r="N1985" s="212"/>
      <c r="O1985" s="218"/>
      <c r="P1985" s="219"/>
      <c r="Q1985" s="34">
        <f>SUMIF(Allocation[Delivery ID],Allocation[[#This Row],[Delivery ID]],Allocation[Quantity Processed])</f>
        <v>12835</v>
      </c>
      <c r="R1985" s="61">
        <f>Allocation[[#This Row],[Total volume used]]/VLOOKUP(Allocation[[#This Row],[Delivery ID]],Delivery[[Delivery ID]:[Quantity delivered]],3,FALSE)</f>
        <v>0.70833333333333337</v>
      </c>
      <c r="S1985" s="34">
        <f>Allocation[[#This Row],[Quantity Processed]]/Allocation[[#This Row],[Dilution rate]]</f>
        <v>3437.8571428571431</v>
      </c>
      <c r="T1985" s="59">
        <f>SUMIF(Allocation[Delivery ID],Allocation[[#This Row],[Delivery ID]],Allocation[Quantity allocated])/SUMIF(Allocation[Delivery ID],Allocation[[#This Row],[Delivery ID]],Allocation[Volume available (kg)])</f>
        <v>0.97994546162835994</v>
      </c>
      <c r="U1985" s="61">
        <f>Allocation[[#This Row],[Total volume used]]/VLOOKUP(Allocation[[#This Row],[Delivery ID]],Delivery[[Delivery ID]:[Quantity delivered]],3,FALSE)</f>
        <v>0.70833333333333337</v>
      </c>
      <c r="V1985" s="34" t="e">
        <f>VLOOKUP(Allocation[[#This Row],[SAP Contract number]],Shipments[[SAP Contract number]:[Contracted container weight]],2,FALSE)</f>
        <v>#N/A</v>
      </c>
      <c r="W1985" s="34" t="e">
        <f>VLOOKUP(Allocation[[#This Row],[SAP Contract number]],Shipments[[SAP Contract number]:[AAA Premium USD]],24,FALSE)</f>
        <v>#N/A</v>
      </c>
      <c r="X1985" s="34" t="e">
        <f>VLOOKUP(Allocation[[#This Row],[SAP Contract number]],Shipments[[SAP Contract number]:[RA Premium USD]],25,FALSE)</f>
        <v>#N/A</v>
      </c>
      <c r="Y1985" s="38">
        <f>Allocation[[#This Row],[Quantity Processed]]/Allocation[[#This Row],[Quantity allocated]]</f>
        <v>2.8572276639952507</v>
      </c>
      <c r="Z1985" s="34" t="b">
        <f>Allocation[[#This Row],[Quantity allocated]]&lt;=Allocation[[#This Row],[Quantity Processed]]</f>
        <v>1</v>
      </c>
    </row>
    <row r="1986" spans="1:26">
      <c r="A1986" s="247" t="s">
        <v>467</v>
      </c>
      <c r="B1986" s="210" t="s">
        <v>68</v>
      </c>
      <c r="C1986" s="254" t="s">
        <v>1446</v>
      </c>
      <c r="D1986" s="255">
        <v>9694</v>
      </c>
      <c r="E1986" s="211" t="s">
        <v>1936</v>
      </c>
      <c r="F1986" s="212">
        <v>43614</v>
      </c>
      <c r="G1986" s="213">
        <v>2.8</v>
      </c>
      <c r="H1986" s="256">
        <v>3393</v>
      </c>
      <c r="I1986" s="214">
        <v>1462174</v>
      </c>
      <c r="J1986" s="215">
        <v>21600</v>
      </c>
      <c r="K1986" s="212">
        <v>43623</v>
      </c>
      <c r="L1986" s="211" t="s">
        <v>1938</v>
      </c>
      <c r="M1986" s="216">
        <v>4615445946</v>
      </c>
      <c r="N1986" s="212"/>
      <c r="O1986" s="218"/>
      <c r="P1986" s="219"/>
      <c r="Q1986" s="34">
        <f>SUMIF(Allocation[Delivery ID],Allocation[[#This Row],[Delivery ID]],Allocation[Quantity Processed])</f>
        <v>12926</v>
      </c>
      <c r="R1986" s="61">
        <f>Allocation[[#This Row],[Total volume used]]/VLOOKUP(Allocation[[#This Row],[Delivery ID]],Delivery[[Delivery ID]:[Quantity delivered]],3,FALSE)</f>
        <v>0.70788608981380063</v>
      </c>
      <c r="S1986" s="34">
        <f>Allocation[[#This Row],[Quantity Processed]]/Allocation[[#This Row],[Dilution rate]]</f>
        <v>3462.1428571428573</v>
      </c>
      <c r="T1986" s="59">
        <f>SUMIF(Allocation[Delivery ID],Allocation[[#This Row],[Delivery ID]],Allocation[Quantity allocated])/SUMIF(Allocation[Delivery ID],Allocation[[#This Row],[Delivery ID]],Allocation[Volume available (kg)])</f>
        <v>0.97997833823301872</v>
      </c>
      <c r="U1986" s="61">
        <f>Allocation[[#This Row],[Total volume used]]/VLOOKUP(Allocation[[#This Row],[Delivery ID]],Delivery[[Delivery ID]:[Quantity delivered]],3,FALSE)</f>
        <v>0.70788608981380063</v>
      </c>
      <c r="V1986" s="34" t="e">
        <f>VLOOKUP(Allocation[[#This Row],[SAP Contract number]],Shipments[[SAP Contract number]:[Contracted container weight]],2,FALSE)</f>
        <v>#N/A</v>
      </c>
      <c r="W1986" s="34" t="e">
        <f>VLOOKUP(Allocation[[#This Row],[SAP Contract number]],Shipments[[SAP Contract number]:[AAA Premium USD]],24,FALSE)</f>
        <v>#N/A</v>
      </c>
      <c r="X1986" s="34" t="e">
        <f>VLOOKUP(Allocation[[#This Row],[SAP Contract number]],Shipments[[SAP Contract number]:[RA Premium USD]],25,FALSE)</f>
        <v>#N/A</v>
      </c>
      <c r="Y1986" s="38">
        <f>Allocation[[#This Row],[Quantity Processed]]/Allocation[[#This Row],[Quantity allocated]]</f>
        <v>2.8570586501620983</v>
      </c>
      <c r="Z1986" s="34" t="b">
        <f>Allocation[[#This Row],[Quantity allocated]]&lt;=Allocation[[#This Row],[Quantity Processed]]</f>
        <v>1</v>
      </c>
    </row>
    <row r="1987" spans="1:26">
      <c r="A1987" s="247" t="s">
        <v>467</v>
      </c>
      <c r="B1987" s="210" t="s">
        <v>68</v>
      </c>
      <c r="C1987" s="254" t="s">
        <v>1447</v>
      </c>
      <c r="D1987" s="255">
        <v>9666</v>
      </c>
      <c r="E1987" s="211" t="s">
        <v>1936</v>
      </c>
      <c r="F1987" s="212">
        <v>43614</v>
      </c>
      <c r="G1987" s="213">
        <v>2.8</v>
      </c>
      <c r="H1987" s="256">
        <v>3383</v>
      </c>
      <c r="I1987" s="214">
        <v>1462174</v>
      </c>
      <c r="J1987" s="215">
        <v>21600</v>
      </c>
      <c r="K1987" s="212">
        <v>43623</v>
      </c>
      <c r="L1987" s="211" t="s">
        <v>1938</v>
      </c>
      <c r="M1987" s="216">
        <v>4615445946</v>
      </c>
      <c r="N1987" s="212"/>
      <c r="O1987" s="218"/>
      <c r="P1987" s="219"/>
      <c r="Q1987" s="34">
        <f>SUMIF(Allocation[Delivery ID],Allocation[[#This Row],[Delivery ID]],Allocation[Quantity Processed])</f>
        <v>12888</v>
      </c>
      <c r="R1987" s="61">
        <f>Allocation[[#This Row],[Total volume used]]/VLOOKUP(Allocation[[#This Row],[Delivery ID]],Delivery[[Delivery ID]:[Quantity delivered]],3,FALSE)</f>
        <v>0.70852116547553601</v>
      </c>
      <c r="S1987" s="34">
        <f>Allocation[[#This Row],[Quantity Processed]]/Allocation[[#This Row],[Dilution rate]]</f>
        <v>3452.1428571428573</v>
      </c>
      <c r="T1987" s="59">
        <f>SUMIF(Allocation[Delivery ID],Allocation[[#This Row],[Delivery ID]],Allocation[Quantity allocated])/SUMIF(Allocation[Delivery ID],Allocation[[#This Row],[Delivery ID]],Allocation[Volume available (kg)])</f>
        <v>0.98004345127250148</v>
      </c>
      <c r="U1987" s="61">
        <f>Allocation[[#This Row],[Total volume used]]/VLOOKUP(Allocation[[#This Row],[Delivery ID]],Delivery[[Delivery ID]:[Quantity delivered]],3,FALSE)</f>
        <v>0.70852116547553601</v>
      </c>
      <c r="V1987" s="34" t="e">
        <f>VLOOKUP(Allocation[[#This Row],[SAP Contract number]],Shipments[[SAP Contract number]:[Contracted container weight]],2,FALSE)</f>
        <v>#N/A</v>
      </c>
      <c r="W1987" s="34" t="e">
        <f>VLOOKUP(Allocation[[#This Row],[SAP Contract number]],Shipments[[SAP Contract number]:[AAA Premium USD]],24,FALSE)</f>
        <v>#N/A</v>
      </c>
      <c r="X1987" s="34" t="e">
        <f>VLOOKUP(Allocation[[#This Row],[SAP Contract number]],Shipments[[SAP Contract number]:[RA Premium USD]],25,FALSE)</f>
        <v>#N/A</v>
      </c>
      <c r="Y1987" s="38">
        <f>Allocation[[#This Row],[Quantity Processed]]/Allocation[[#This Row],[Quantity allocated]]</f>
        <v>2.857227313035767</v>
      </c>
      <c r="Z1987" s="34" t="b">
        <f>Allocation[[#This Row],[Quantity allocated]]&lt;=Allocation[[#This Row],[Quantity Processed]]</f>
        <v>1</v>
      </c>
    </row>
    <row r="1988" spans="1:26">
      <c r="A1988" s="247" t="s">
        <v>467</v>
      </c>
      <c r="B1988" s="210" t="s">
        <v>68</v>
      </c>
      <c r="C1988" s="254" t="s">
        <v>1448</v>
      </c>
      <c r="D1988" s="255">
        <v>480</v>
      </c>
      <c r="E1988" s="211" t="s">
        <v>1936</v>
      </c>
      <c r="F1988" s="212">
        <v>43614</v>
      </c>
      <c r="G1988" s="213">
        <v>2.8</v>
      </c>
      <c r="H1988" s="256">
        <v>168</v>
      </c>
      <c r="I1988" s="214">
        <v>1462174</v>
      </c>
      <c r="J1988" s="215">
        <v>21600</v>
      </c>
      <c r="K1988" s="212">
        <v>43623</v>
      </c>
      <c r="L1988" s="211" t="s">
        <v>1938</v>
      </c>
      <c r="M1988" s="216">
        <v>4615445946</v>
      </c>
      <c r="N1988" s="212"/>
      <c r="O1988" s="218"/>
      <c r="P1988" s="219"/>
      <c r="Q1988" s="34">
        <f>SUMIF(Allocation[Delivery ID],Allocation[[#This Row],[Delivery ID]],Allocation[Quantity Processed])</f>
        <v>16499</v>
      </c>
      <c r="R1988" s="61">
        <f>Allocation[[#This Row],[Total volume used]]/VLOOKUP(Allocation[[#This Row],[Delivery ID]],Delivery[[Delivery ID]:[Quantity delivered]],3,FALSE)</f>
        <v>0.93797612279704379</v>
      </c>
      <c r="S1988" s="34">
        <f>Allocation[[#This Row],[Quantity Processed]]/Allocation[[#This Row],[Dilution rate]]</f>
        <v>171.42857142857144</v>
      </c>
      <c r="T1988" s="59">
        <f>SUMIF(Allocation[Delivery ID],Allocation[[#This Row],[Delivery ID]],Allocation[Quantity allocated])/SUMIF(Allocation[Delivery ID],Allocation[[#This Row],[Delivery ID]],Allocation[Volume available (kg)])</f>
        <v>0.93433689991382929</v>
      </c>
      <c r="U1988" s="61">
        <f>Allocation[[#This Row],[Total volume used]]/VLOOKUP(Allocation[[#This Row],[Delivery ID]],Delivery[[Delivery ID]:[Quantity delivered]],3,FALSE)</f>
        <v>0.93797612279704379</v>
      </c>
      <c r="V1988" s="34" t="e">
        <f>VLOOKUP(Allocation[[#This Row],[SAP Contract number]],Shipments[[SAP Contract number]:[Contracted container weight]],2,FALSE)</f>
        <v>#N/A</v>
      </c>
      <c r="W1988" s="34" t="e">
        <f>VLOOKUP(Allocation[[#This Row],[SAP Contract number]],Shipments[[SAP Contract number]:[AAA Premium USD]],24,FALSE)</f>
        <v>#N/A</v>
      </c>
      <c r="X1988" s="34" t="e">
        <f>VLOOKUP(Allocation[[#This Row],[SAP Contract number]],Shipments[[SAP Contract number]:[RA Premium USD]],25,FALSE)</f>
        <v>#N/A</v>
      </c>
      <c r="Y1988" s="38">
        <f>Allocation[[#This Row],[Quantity Processed]]/Allocation[[#This Row],[Quantity allocated]]</f>
        <v>2.8571428571428572</v>
      </c>
      <c r="Z1988" s="34" t="b">
        <f>Allocation[[#This Row],[Quantity allocated]]&lt;=Allocation[[#This Row],[Quantity Processed]]</f>
        <v>1</v>
      </c>
    </row>
    <row r="1989" spans="1:26">
      <c r="A1989" s="247" t="s">
        <v>467</v>
      </c>
      <c r="B1989" s="210" t="s">
        <v>68</v>
      </c>
      <c r="C1989" s="254" t="s">
        <v>1448</v>
      </c>
      <c r="D1989" s="255">
        <v>9109</v>
      </c>
      <c r="E1989" s="211" t="s">
        <v>1936</v>
      </c>
      <c r="F1989" s="212">
        <v>43614</v>
      </c>
      <c r="G1989" s="213">
        <v>2.8</v>
      </c>
      <c r="H1989" s="256">
        <v>3188</v>
      </c>
      <c r="I1989" s="214">
        <v>1462175</v>
      </c>
      <c r="J1989" s="215">
        <v>21600</v>
      </c>
      <c r="K1989" s="212">
        <v>43623</v>
      </c>
      <c r="L1989" s="211" t="s">
        <v>1939</v>
      </c>
      <c r="M1989" s="216">
        <v>4615445946</v>
      </c>
      <c r="N1989" s="212"/>
      <c r="O1989" s="218"/>
      <c r="P1989" s="219"/>
      <c r="Q1989" s="34">
        <f>SUMIF(Allocation[Delivery ID],Allocation[[#This Row],[Delivery ID]],Allocation[Quantity Processed])</f>
        <v>16499</v>
      </c>
      <c r="R1989" s="61">
        <f>Allocation[[#This Row],[Total volume used]]/VLOOKUP(Allocation[[#This Row],[Delivery ID]],Delivery[[Delivery ID]:[Quantity delivered]],3,FALSE)</f>
        <v>0.93797612279704379</v>
      </c>
      <c r="S1989" s="34">
        <f>Allocation[[#This Row],[Quantity Processed]]/Allocation[[#This Row],[Dilution rate]]</f>
        <v>3253.2142857142858</v>
      </c>
      <c r="T1989" s="59">
        <f>SUMIF(Allocation[Delivery ID],Allocation[[#This Row],[Delivery ID]],Allocation[Quantity allocated])/SUMIF(Allocation[Delivery ID],Allocation[[#This Row],[Delivery ID]],Allocation[Volume available (kg)])</f>
        <v>0.93433689991382929</v>
      </c>
      <c r="U1989" s="61">
        <f>Allocation[[#This Row],[Total volume used]]/VLOOKUP(Allocation[[#This Row],[Delivery ID]],Delivery[[Delivery ID]:[Quantity delivered]],3,FALSE)</f>
        <v>0.93797612279704379</v>
      </c>
      <c r="V1989" s="34" t="e">
        <f>VLOOKUP(Allocation[[#This Row],[SAP Contract number]],Shipments[[SAP Contract number]:[Contracted container weight]],2,FALSE)</f>
        <v>#N/A</v>
      </c>
      <c r="W1989" s="34" t="e">
        <f>VLOOKUP(Allocation[[#This Row],[SAP Contract number]],Shipments[[SAP Contract number]:[AAA Premium USD]],24,FALSE)</f>
        <v>#N/A</v>
      </c>
      <c r="X1989" s="34" t="e">
        <f>VLOOKUP(Allocation[[#This Row],[SAP Contract number]],Shipments[[SAP Contract number]:[RA Premium USD]],25,FALSE)</f>
        <v>#N/A</v>
      </c>
      <c r="Y1989" s="38">
        <f>Allocation[[#This Row],[Quantity Processed]]/Allocation[[#This Row],[Quantity allocated]]</f>
        <v>2.8572772898368881</v>
      </c>
      <c r="Z1989" s="34" t="b">
        <f>Allocation[[#This Row],[Quantity allocated]]&lt;=Allocation[[#This Row],[Quantity Processed]]</f>
        <v>1</v>
      </c>
    </row>
    <row r="1990" spans="1:26">
      <c r="A1990" s="247" t="s">
        <v>467</v>
      </c>
      <c r="B1990" s="210" t="s">
        <v>68</v>
      </c>
      <c r="C1990" s="254" t="s">
        <v>1449</v>
      </c>
      <c r="D1990" s="255">
        <v>7197</v>
      </c>
      <c r="E1990" s="211" t="s">
        <v>1936</v>
      </c>
      <c r="F1990" s="212">
        <v>43614</v>
      </c>
      <c r="G1990" s="213">
        <v>2.8</v>
      </c>
      <c r="H1990" s="256">
        <v>2519</v>
      </c>
      <c r="I1990" s="214">
        <v>1462175</v>
      </c>
      <c r="J1990" s="215">
        <v>21600</v>
      </c>
      <c r="K1990" s="212">
        <v>43623</v>
      </c>
      <c r="L1990" s="211" t="s">
        <v>1939</v>
      </c>
      <c r="M1990" s="216">
        <v>4615445946</v>
      </c>
      <c r="N1990" s="212"/>
      <c r="O1990" s="218"/>
      <c r="P1990" s="219"/>
      <c r="Q1990" s="34">
        <f>SUMIF(Allocation[Delivery ID],Allocation[[#This Row],[Delivery ID]],Allocation[Quantity Processed])</f>
        <v>9596</v>
      </c>
      <c r="R1990" s="61">
        <f>Allocation[[#This Row],[Total volume used]]/VLOOKUP(Allocation[[#This Row],[Delivery ID]],Delivery[[Delivery ID]:[Quantity delivered]],3,FALSE)</f>
        <v>0.74532038834951453</v>
      </c>
      <c r="S1990" s="34">
        <f>Allocation[[#This Row],[Quantity Processed]]/Allocation[[#This Row],[Dilution rate]]</f>
        <v>2570.3571428571431</v>
      </c>
      <c r="T1990" s="59">
        <f>SUMIF(Allocation[Delivery ID],Allocation[[#This Row],[Delivery ID]],Allocation[Quantity allocated])/SUMIF(Allocation[Delivery ID],Allocation[[#This Row],[Delivery ID]],Allocation[Volume available (kg)])</f>
        <v>0.98011671529804079</v>
      </c>
      <c r="U1990" s="61">
        <f>Allocation[[#This Row],[Total volume used]]/VLOOKUP(Allocation[[#This Row],[Delivery ID]],Delivery[[Delivery ID]:[Quantity delivered]],3,FALSE)</f>
        <v>0.74532038834951453</v>
      </c>
      <c r="V1990" s="34" t="e">
        <f>VLOOKUP(Allocation[[#This Row],[SAP Contract number]],Shipments[[SAP Contract number]:[Contracted container weight]],2,FALSE)</f>
        <v>#N/A</v>
      </c>
      <c r="W1990" s="34" t="e">
        <f>VLOOKUP(Allocation[[#This Row],[SAP Contract number]],Shipments[[SAP Contract number]:[AAA Premium USD]],24,FALSE)</f>
        <v>#N/A</v>
      </c>
      <c r="X1990" s="34" t="e">
        <f>VLOOKUP(Allocation[[#This Row],[SAP Contract number]],Shipments[[SAP Contract number]:[RA Premium USD]],25,FALSE)</f>
        <v>#N/A</v>
      </c>
      <c r="Y1990" s="38">
        <f>Allocation[[#This Row],[Quantity Processed]]/Allocation[[#This Row],[Quantity allocated]]</f>
        <v>2.8570861452957521</v>
      </c>
      <c r="Z1990" s="34" t="b">
        <f>Allocation[[#This Row],[Quantity allocated]]&lt;=Allocation[[#This Row],[Quantity Processed]]</f>
        <v>1</v>
      </c>
    </row>
    <row r="1991" spans="1:26">
      <c r="A1991" s="247" t="s">
        <v>467</v>
      </c>
      <c r="B1991" s="210" t="s">
        <v>68</v>
      </c>
      <c r="C1991" s="254" t="s">
        <v>1450</v>
      </c>
      <c r="D1991" s="255">
        <v>9390</v>
      </c>
      <c r="E1991" s="211" t="s">
        <v>1936</v>
      </c>
      <c r="F1991" s="212">
        <v>43614</v>
      </c>
      <c r="G1991" s="213">
        <v>2.8</v>
      </c>
      <c r="H1991" s="256">
        <v>3850</v>
      </c>
      <c r="I1991" s="214">
        <v>1462175</v>
      </c>
      <c r="J1991" s="215">
        <v>21600</v>
      </c>
      <c r="K1991" s="212">
        <v>43623</v>
      </c>
      <c r="L1991" s="211" t="s">
        <v>1939</v>
      </c>
      <c r="M1991" s="216">
        <v>4615445946</v>
      </c>
      <c r="N1991" s="212"/>
      <c r="O1991" s="218"/>
      <c r="P1991" s="219"/>
      <c r="Q1991" s="34">
        <f>SUMIF(Allocation[Delivery ID],Allocation[[#This Row],[Delivery ID]],Allocation[Quantity Processed])</f>
        <v>16159</v>
      </c>
      <c r="R1991" s="61">
        <f>Allocation[[#This Row],[Total volume used]]/VLOOKUP(Allocation[[#This Row],[Delivery ID]],Delivery[[Delivery ID]:[Quantity delivered]],3,FALSE)</f>
        <v>0.83812240663900417</v>
      </c>
      <c r="S1991" s="34">
        <f>Allocation[[#This Row],[Quantity Processed]]/Allocation[[#This Row],[Dilution rate]]</f>
        <v>3353.5714285714289</v>
      </c>
      <c r="T1991" s="59">
        <f>SUMIF(Allocation[Delivery ID],Allocation[[#This Row],[Delivery ID]],Allocation[Quantity allocated])/SUMIF(Allocation[Delivery ID],Allocation[[#This Row],[Delivery ID]],Allocation[Volume available (kg)])</f>
        <v>1.0943896658219014</v>
      </c>
      <c r="U1991" s="61">
        <f>Allocation[[#This Row],[Total volume used]]/VLOOKUP(Allocation[[#This Row],[Delivery ID]],Delivery[[Delivery ID]:[Quantity delivered]],3,FALSE)</f>
        <v>0.83812240663900417</v>
      </c>
      <c r="V1991" s="34" t="e">
        <f>VLOOKUP(Allocation[[#This Row],[SAP Contract number]],Shipments[[SAP Contract number]:[Contracted container weight]],2,FALSE)</f>
        <v>#N/A</v>
      </c>
      <c r="W1991" s="34" t="e">
        <f>VLOOKUP(Allocation[[#This Row],[SAP Contract number]],Shipments[[SAP Contract number]:[AAA Premium USD]],24,FALSE)</f>
        <v>#N/A</v>
      </c>
      <c r="X1991" s="34" t="e">
        <f>VLOOKUP(Allocation[[#This Row],[SAP Contract number]],Shipments[[SAP Contract number]:[RA Premium USD]],25,FALSE)</f>
        <v>#N/A</v>
      </c>
      <c r="Y1991" s="38">
        <f>Allocation[[#This Row],[Quantity Processed]]/Allocation[[#This Row],[Quantity allocated]]</f>
        <v>2.4389610389610388</v>
      </c>
      <c r="Z1991" s="34" t="b">
        <f>Allocation[[#This Row],[Quantity allocated]]&lt;=Allocation[[#This Row],[Quantity Processed]]</f>
        <v>1</v>
      </c>
    </row>
    <row r="1992" spans="1:26">
      <c r="A1992" s="247" t="s">
        <v>467</v>
      </c>
      <c r="B1992" s="210" t="s">
        <v>68</v>
      </c>
      <c r="C1992" s="254" t="s">
        <v>1451</v>
      </c>
      <c r="D1992" s="255">
        <v>5880</v>
      </c>
      <c r="E1992" s="211" t="s">
        <v>1936</v>
      </c>
      <c r="F1992" s="212">
        <v>43614</v>
      </c>
      <c r="G1992" s="213">
        <v>2.8</v>
      </c>
      <c r="H1992" s="256">
        <v>2411</v>
      </c>
      <c r="I1992" s="214">
        <v>1462175</v>
      </c>
      <c r="J1992" s="215">
        <v>21600</v>
      </c>
      <c r="K1992" s="212">
        <v>43623</v>
      </c>
      <c r="L1992" s="211" t="s">
        <v>1939</v>
      </c>
      <c r="M1992" s="216">
        <v>4615445946</v>
      </c>
      <c r="N1992" s="212"/>
      <c r="O1992" s="218"/>
      <c r="P1992" s="219"/>
      <c r="Q1992" s="34">
        <f>SUMIF(Allocation[Delivery ID],Allocation[[#This Row],[Delivery ID]],Allocation[Quantity Processed])</f>
        <v>10118</v>
      </c>
      <c r="R1992" s="61">
        <f>Allocation[[#This Row],[Total volume used]]/VLOOKUP(Allocation[[#This Row],[Delivery ID]],Delivery[[Delivery ID]:[Quantity delivered]],3,FALSE)</f>
        <v>0.80493237867939538</v>
      </c>
      <c r="S1992" s="34">
        <f>Allocation[[#This Row],[Quantity Processed]]/Allocation[[#This Row],[Dilution rate]]</f>
        <v>2100</v>
      </c>
      <c r="T1992" s="59">
        <f>SUMIF(Allocation[Delivery ID],Allocation[[#This Row],[Delivery ID]],Allocation[Quantity allocated])/SUMIF(Allocation[Delivery ID],Allocation[[#This Row],[Delivery ID]],Allocation[Volume available (kg)])</f>
        <v>1.0945973847212662</v>
      </c>
      <c r="U1992" s="61">
        <f>Allocation[[#This Row],[Total volume used]]/VLOOKUP(Allocation[[#This Row],[Delivery ID]],Delivery[[Delivery ID]:[Quantity delivered]],3,FALSE)</f>
        <v>0.80493237867939538</v>
      </c>
      <c r="V1992" s="34" t="e">
        <f>VLOOKUP(Allocation[[#This Row],[SAP Contract number]],Shipments[[SAP Contract number]:[Contracted container weight]],2,FALSE)</f>
        <v>#N/A</v>
      </c>
      <c r="W1992" s="34" t="e">
        <f>VLOOKUP(Allocation[[#This Row],[SAP Contract number]],Shipments[[SAP Contract number]:[AAA Premium USD]],24,FALSE)</f>
        <v>#N/A</v>
      </c>
      <c r="X1992" s="34" t="e">
        <f>VLOOKUP(Allocation[[#This Row],[SAP Contract number]],Shipments[[SAP Contract number]:[RA Premium USD]],25,FALSE)</f>
        <v>#N/A</v>
      </c>
      <c r="Y1992" s="38">
        <f>Allocation[[#This Row],[Quantity Processed]]/Allocation[[#This Row],[Quantity allocated]]</f>
        <v>2.4388220655329738</v>
      </c>
      <c r="Z1992" s="34" t="b">
        <f>Allocation[[#This Row],[Quantity allocated]]&lt;=Allocation[[#This Row],[Quantity Processed]]</f>
        <v>1</v>
      </c>
    </row>
    <row r="1993" spans="1:26">
      <c r="A1993" s="247" t="s">
        <v>467</v>
      </c>
      <c r="B1993" s="210" t="s">
        <v>68</v>
      </c>
      <c r="C1993" s="254" t="s">
        <v>1452</v>
      </c>
      <c r="D1993" s="255">
        <v>2711</v>
      </c>
      <c r="E1993" s="211" t="s">
        <v>1936</v>
      </c>
      <c r="F1993" s="212">
        <v>43614</v>
      </c>
      <c r="G1993" s="213">
        <v>2.8</v>
      </c>
      <c r="H1993" s="256">
        <v>949</v>
      </c>
      <c r="I1993" s="214">
        <v>1462175</v>
      </c>
      <c r="J1993" s="215">
        <v>21600</v>
      </c>
      <c r="K1993" s="212">
        <v>43623</v>
      </c>
      <c r="L1993" s="211" t="s">
        <v>1939</v>
      </c>
      <c r="M1993" s="216">
        <v>4615445946</v>
      </c>
      <c r="N1993" s="212"/>
      <c r="O1993" s="218"/>
      <c r="P1993" s="219"/>
      <c r="Q1993" s="34">
        <f>SUMIF(Allocation[Delivery ID],Allocation[[#This Row],[Delivery ID]],Allocation[Quantity Processed])</f>
        <v>3615</v>
      </c>
      <c r="R1993" s="61">
        <f>Allocation[[#This Row],[Total volume used]]/VLOOKUP(Allocation[[#This Row],[Delivery ID]],Delivery[[Delivery ID]:[Quantity delivered]],3,FALSE)</f>
        <v>0.70536585365853655</v>
      </c>
      <c r="S1993" s="34">
        <f>Allocation[[#This Row],[Quantity Processed]]/Allocation[[#This Row],[Dilution rate]]</f>
        <v>968.21428571428578</v>
      </c>
      <c r="T1993" s="59">
        <f>SUMIF(Allocation[Delivery ID],Allocation[[#This Row],[Delivery ID]],Allocation[Quantity allocated])/SUMIF(Allocation[Delivery ID],Allocation[[#This Row],[Delivery ID]],Allocation[Volume available (kg)])</f>
        <v>0.97980636237897645</v>
      </c>
      <c r="U1993" s="61">
        <f>Allocation[[#This Row],[Total volume used]]/VLOOKUP(Allocation[[#This Row],[Delivery ID]],Delivery[[Delivery ID]:[Quantity delivered]],3,FALSE)</f>
        <v>0.70536585365853655</v>
      </c>
      <c r="V1993" s="34" t="e">
        <f>VLOOKUP(Allocation[[#This Row],[SAP Contract number]],Shipments[[SAP Contract number]:[Contracted container weight]],2,FALSE)</f>
        <v>#N/A</v>
      </c>
      <c r="W1993" s="34" t="e">
        <f>VLOOKUP(Allocation[[#This Row],[SAP Contract number]],Shipments[[SAP Contract number]:[AAA Premium USD]],24,FALSE)</f>
        <v>#N/A</v>
      </c>
      <c r="X1993" s="34" t="e">
        <f>VLOOKUP(Allocation[[#This Row],[SAP Contract number]],Shipments[[SAP Contract number]:[RA Premium USD]],25,FALSE)</f>
        <v>#N/A</v>
      </c>
      <c r="Y1993" s="38">
        <f>Allocation[[#This Row],[Quantity Processed]]/Allocation[[#This Row],[Quantity allocated]]</f>
        <v>2.8566912539515279</v>
      </c>
      <c r="Z1993" s="34" t="b">
        <f>Allocation[[#This Row],[Quantity allocated]]&lt;=Allocation[[#This Row],[Quantity Processed]]</f>
        <v>1</v>
      </c>
    </row>
    <row r="1994" spans="1:26">
      <c r="A1994" s="247" t="s">
        <v>467</v>
      </c>
      <c r="B1994" s="210" t="s">
        <v>68</v>
      </c>
      <c r="C1994" s="254" t="s">
        <v>1453</v>
      </c>
      <c r="D1994" s="255">
        <v>9806</v>
      </c>
      <c r="E1994" s="211" t="s">
        <v>1936</v>
      </c>
      <c r="F1994" s="212">
        <v>43614</v>
      </c>
      <c r="G1994" s="213">
        <v>2.8</v>
      </c>
      <c r="H1994" s="256">
        <v>3432</v>
      </c>
      <c r="I1994" s="214">
        <v>1462175</v>
      </c>
      <c r="J1994" s="215">
        <v>21600</v>
      </c>
      <c r="K1994" s="212">
        <v>43623</v>
      </c>
      <c r="L1994" s="211" t="s">
        <v>1939</v>
      </c>
      <c r="M1994" s="216">
        <v>4615445946</v>
      </c>
      <c r="N1994" s="212"/>
      <c r="O1994" s="218"/>
      <c r="P1994" s="219"/>
      <c r="Q1994" s="34">
        <f>SUMIF(Allocation[Delivery ID],Allocation[[#This Row],[Delivery ID]],Allocation[Quantity Processed])</f>
        <v>13075</v>
      </c>
      <c r="R1994" s="61">
        <f>Allocation[[#This Row],[Total volume used]]/VLOOKUP(Allocation[[#This Row],[Delivery ID]],Delivery[[Delivery ID]:[Quantity delivered]],3,FALSE)</f>
        <v>0.70867208672086723</v>
      </c>
      <c r="S1994" s="34">
        <f>Allocation[[#This Row],[Quantity Processed]]/Allocation[[#This Row],[Dilution rate]]</f>
        <v>3502.1428571428573</v>
      </c>
      <c r="T1994" s="59">
        <f>SUMIF(Allocation[Delivery ID],Allocation[[#This Row],[Delivery ID]],Allocation[Quantity allocated])/SUMIF(Allocation[Delivery ID],Allocation[[#This Row],[Delivery ID]],Allocation[Volume available (kg)])</f>
        <v>0.97994646271510522</v>
      </c>
      <c r="U1994" s="61">
        <f>Allocation[[#This Row],[Total volume used]]/VLOOKUP(Allocation[[#This Row],[Delivery ID]],Delivery[[Delivery ID]:[Quantity delivered]],3,FALSE)</f>
        <v>0.70867208672086723</v>
      </c>
      <c r="V1994" s="34" t="e">
        <f>VLOOKUP(Allocation[[#This Row],[SAP Contract number]],Shipments[[SAP Contract number]:[Contracted container weight]],2,FALSE)</f>
        <v>#N/A</v>
      </c>
      <c r="W1994" s="34" t="e">
        <f>VLOOKUP(Allocation[[#This Row],[SAP Contract number]],Shipments[[SAP Contract number]:[AAA Premium USD]],24,FALSE)</f>
        <v>#N/A</v>
      </c>
      <c r="X1994" s="34" t="e">
        <f>VLOOKUP(Allocation[[#This Row],[SAP Contract number]],Shipments[[SAP Contract number]:[RA Premium USD]],25,FALSE)</f>
        <v>#N/A</v>
      </c>
      <c r="Y1994" s="38">
        <f>Allocation[[#This Row],[Quantity Processed]]/Allocation[[#This Row],[Quantity allocated]]</f>
        <v>2.8572261072261074</v>
      </c>
      <c r="Z1994" s="34" t="b">
        <f>Allocation[[#This Row],[Quantity allocated]]&lt;=Allocation[[#This Row],[Quantity Processed]]</f>
        <v>1</v>
      </c>
    </row>
    <row r="1995" spans="1:26">
      <c r="A1995" s="247" t="s">
        <v>467</v>
      </c>
      <c r="B1995" s="210" t="s">
        <v>68</v>
      </c>
      <c r="C1995" s="254" t="s">
        <v>1454</v>
      </c>
      <c r="D1995" s="255">
        <v>9651</v>
      </c>
      <c r="E1995" s="211" t="s">
        <v>1936</v>
      </c>
      <c r="F1995" s="212">
        <v>43614</v>
      </c>
      <c r="G1995" s="213">
        <v>2.8</v>
      </c>
      <c r="H1995" s="256">
        <v>3378</v>
      </c>
      <c r="I1995" s="214">
        <v>1462175</v>
      </c>
      <c r="J1995" s="215">
        <v>21600</v>
      </c>
      <c r="K1995" s="212">
        <v>43623</v>
      </c>
      <c r="L1995" s="211" t="s">
        <v>1939</v>
      </c>
      <c r="M1995" s="216">
        <v>4615445946</v>
      </c>
      <c r="N1995" s="212"/>
      <c r="O1995" s="218"/>
      <c r="P1995" s="219"/>
      <c r="Q1995" s="34">
        <f>SUMIF(Allocation[Delivery ID],Allocation[[#This Row],[Delivery ID]],Allocation[Quantity Processed])</f>
        <v>12868</v>
      </c>
      <c r="R1995" s="61">
        <f>Allocation[[#This Row],[Total volume used]]/VLOOKUP(Allocation[[#This Row],[Delivery ID]],Delivery[[Delivery ID]:[Quantity delivered]],3,FALSE)</f>
        <v>0.7089807162534435</v>
      </c>
      <c r="S1995" s="34">
        <f>Allocation[[#This Row],[Quantity Processed]]/Allocation[[#This Row],[Dilution rate]]</f>
        <v>3446.7857142857147</v>
      </c>
      <c r="T1995" s="59">
        <f>SUMIF(Allocation[Delivery ID],Allocation[[#This Row],[Delivery ID]],Allocation[Quantity allocated])/SUMIF(Allocation[Delivery ID],Allocation[[#This Row],[Delivery ID]],Allocation[Volume available (kg)])</f>
        <v>0.98004351880634122</v>
      </c>
      <c r="U1995" s="61">
        <f>Allocation[[#This Row],[Total volume used]]/VLOOKUP(Allocation[[#This Row],[Delivery ID]],Delivery[[Delivery ID]:[Quantity delivered]],3,FALSE)</f>
        <v>0.7089807162534435</v>
      </c>
      <c r="V1995" s="34" t="e">
        <f>VLOOKUP(Allocation[[#This Row],[SAP Contract number]],Shipments[[SAP Contract number]:[Contracted container weight]],2,FALSE)</f>
        <v>#N/A</v>
      </c>
      <c r="W1995" s="34" t="e">
        <f>VLOOKUP(Allocation[[#This Row],[SAP Contract number]],Shipments[[SAP Contract number]:[AAA Premium USD]],24,FALSE)</f>
        <v>#N/A</v>
      </c>
      <c r="X1995" s="34" t="e">
        <f>VLOOKUP(Allocation[[#This Row],[SAP Contract number]],Shipments[[SAP Contract number]:[RA Premium USD]],25,FALSE)</f>
        <v>#N/A</v>
      </c>
      <c r="Y1995" s="38">
        <f>Allocation[[#This Row],[Quantity Processed]]/Allocation[[#This Row],[Quantity allocated]]</f>
        <v>2.8570159857904085</v>
      </c>
      <c r="Z1995" s="34" t="b">
        <f>Allocation[[#This Row],[Quantity allocated]]&lt;=Allocation[[#This Row],[Quantity Processed]]</f>
        <v>1</v>
      </c>
    </row>
    <row r="1996" spans="1:26">
      <c r="A1996" s="247" t="s">
        <v>467</v>
      </c>
      <c r="B1996" s="210" t="s">
        <v>68</v>
      </c>
      <c r="C1996" s="254" t="s">
        <v>1455</v>
      </c>
      <c r="D1996" s="255">
        <v>5352</v>
      </c>
      <c r="E1996" s="211" t="s">
        <v>1936</v>
      </c>
      <c r="F1996" s="212">
        <v>43614</v>
      </c>
      <c r="G1996" s="213">
        <v>2.8</v>
      </c>
      <c r="H1996" s="256">
        <v>1873</v>
      </c>
      <c r="I1996" s="214">
        <v>1462175</v>
      </c>
      <c r="J1996" s="215">
        <v>21600</v>
      </c>
      <c r="K1996" s="212">
        <v>43623</v>
      </c>
      <c r="L1996" s="211" t="s">
        <v>1939</v>
      </c>
      <c r="M1996" s="216">
        <v>4615445946</v>
      </c>
      <c r="N1996" s="212"/>
      <c r="O1996" s="218"/>
      <c r="P1996" s="219"/>
      <c r="Q1996" s="34">
        <f>SUMIF(Allocation[Delivery ID],Allocation[[#This Row],[Delivery ID]],Allocation[Quantity Processed])</f>
        <v>12381</v>
      </c>
      <c r="R1996" s="61">
        <f>Allocation[[#This Row],[Total volume used]]/VLOOKUP(Allocation[[#This Row],[Delivery ID]],Delivery[[Delivery ID]:[Quantity delivered]],3,FALSE)</f>
        <v>0.70991972477064225</v>
      </c>
      <c r="S1996" s="34">
        <f>Allocation[[#This Row],[Quantity Processed]]/Allocation[[#This Row],[Dilution rate]]</f>
        <v>1911.4285714285716</v>
      </c>
      <c r="T1996" s="59">
        <f>SUMIF(Allocation[Delivery ID],Allocation[[#This Row],[Delivery ID]],Allocation[Quantity allocated])/SUMIF(Allocation[Delivery ID],Allocation[[#This Row],[Delivery ID]],Allocation[Volume available (kg)])</f>
        <v>0.97992084645828281</v>
      </c>
      <c r="U1996" s="61">
        <f>Allocation[[#This Row],[Total volume used]]/VLOOKUP(Allocation[[#This Row],[Delivery ID]],Delivery[[Delivery ID]:[Quantity delivered]],3,FALSE)</f>
        <v>0.70991972477064225</v>
      </c>
      <c r="V1996" s="34" t="e">
        <f>VLOOKUP(Allocation[[#This Row],[SAP Contract number]],Shipments[[SAP Contract number]:[Contracted container weight]],2,FALSE)</f>
        <v>#N/A</v>
      </c>
      <c r="W1996" s="34" t="e">
        <f>VLOOKUP(Allocation[[#This Row],[SAP Contract number]],Shipments[[SAP Contract number]:[AAA Premium USD]],24,FALSE)</f>
        <v>#N/A</v>
      </c>
      <c r="X1996" s="34" t="e">
        <f>VLOOKUP(Allocation[[#This Row],[SAP Contract number]],Shipments[[SAP Contract number]:[RA Premium USD]],25,FALSE)</f>
        <v>#N/A</v>
      </c>
      <c r="Y1996" s="38">
        <f>Allocation[[#This Row],[Quantity Processed]]/Allocation[[#This Row],[Quantity allocated]]</f>
        <v>2.8574479444741057</v>
      </c>
      <c r="Z1996" s="34" t="b">
        <f>Allocation[[#This Row],[Quantity allocated]]&lt;=Allocation[[#This Row],[Quantity Processed]]</f>
        <v>1</v>
      </c>
    </row>
    <row r="1997" spans="1:26">
      <c r="A1997" s="247" t="s">
        <v>467</v>
      </c>
      <c r="B1997" s="210" t="s">
        <v>68</v>
      </c>
      <c r="C1997" s="254" t="s">
        <v>1455</v>
      </c>
      <c r="D1997" s="255">
        <v>3934</v>
      </c>
      <c r="E1997" s="211" t="s">
        <v>1936</v>
      </c>
      <c r="F1997" s="212">
        <v>43614</v>
      </c>
      <c r="G1997" s="213">
        <v>2.8</v>
      </c>
      <c r="H1997" s="256">
        <v>1377</v>
      </c>
      <c r="I1997" s="214">
        <v>1462176</v>
      </c>
      <c r="J1997" s="215">
        <v>21600</v>
      </c>
      <c r="K1997" s="212">
        <v>43623</v>
      </c>
      <c r="L1997" s="211" t="s">
        <v>1940</v>
      </c>
      <c r="M1997" s="216">
        <v>4615445946</v>
      </c>
      <c r="N1997" s="212"/>
      <c r="O1997" s="218"/>
      <c r="P1997" s="219"/>
      <c r="Q1997" s="34">
        <f>SUMIF(Allocation[Delivery ID],Allocation[[#This Row],[Delivery ID]],Allocation[Quantity Processed])</f>
        <v>12381</v>
      </c>
      <c r="R1997" s="61">
        <f>Allocation[[#This Row],[Total volume used]]/VLOOKUP(Allocation[[#This Row],[Delivery ID]],Delivery[[Delivery ID]:[Quantity delivered]],3,FALSE)</f>
        <v>0.70991972477064225</v>
      </c>
      <c r="S1997" s="34">
        <f>Allocation[[#This Row],[Quantity Processed]]/Allocation[[#This Row],[Dilution rate]]</f>
        <v>1405</v>
      </c>
      <c r="T1997" s="59">
        <f>SUMIF(Allocation[Delivery ID],Allocation[[#This Row],[Delivery ID]],Allocation[Quantity allocated])/SUMIF(Allocation[Delivery ID],Allocation[[#This Row],[Delivery ID]],Allocation[Volume available (kg)])</f>
        <v>0.97992084645828281</v>
      </c>
      <c r="U1997" s="61">
        <f>Allocation[[#This Row],[Total volume used]]/VLOOKUP(Allocation[[#This Row],[Delivery ID]],Delivery[[Delivery ID]:[Quantity delivered]],3,FALSE)</f>
        <v>0.70991972477064225</v>
      </c>
      <c r="V1997" s="34" t="e">
        <f>VLOOKUP(Allocation[[#This Row],[SAP Contract number]],Shipments[[SAP Contract number]:[Contracted container weight]],2,FALSE)</f>
        <v>#N/A</v>
      </c>
      <c r="W1997" s="34" t="e">
        <f>VLOOKUP(Allocation[[#This Row],[SAP Contract number]],Shipments[[SAP Contract number]:[AAA Premium USD]],24,FALSE)</f>
        <v>#N/A</v>
      </c>
      <c r="X1997" s="34" t="e">
        <f>VLOOKUP(Allocation[[#This Row],[SAP Contract number]],Shipments[[SAP Contract number]:[RA Premium USD]],25,FALSE)</f>
        <v>#N/A</v>
      </c>
      <c r="Y1997" s="38">
        <f>Allocation[[#This Row],[Quantity Processed]]/Allocation[[#This Row],[Quantity allocated]]</f>
        <v>2.8569353667392883</v>
      </c>
      <c r="Z1997" s="34" t="b">
        <f>Allocation[[#This Row],[Quantity allocated]]&lt;=Allocation[[#This Row],[Quantity Processed]]</f>
        <v>1</v>
      </c>
    </row>
    <row r="1998" spans="1:26">
      <c r="A1998" s="247" t="s">
        <v>467</v>
      </c>
      <c r="B1998" s="210" t="s">
        <v>68</v>
      </c>
      <c r="C1998" s="254" t="s">
        <v>1465</v>
      </c>
      <c r="D1998" s="255">
        <v>28890</v>
      </c>
      <c r="E1998" s="211" t="s">
        <v>1936</v>
      </c>
      <c r="F1998" s="212">
        <v>43614</v>
      </c>
      <c r="G1998" s="213">
        <v>2.8</v>
      </c>
      <c r="H1998" s="256">
        <v>20223</v>
      </c>
      <c r="I1998" s="214">
        <v>1462176</v>
      </c>
      <c r="J1998" s="215">
        <v>21600</v>
      </c>
      <c r="K1998" s="212">
        <v>43623</v>
      </c>
      <c r="L1998" s="211" t="s">
        <v>1940</v>
      </c>
      <c r="M1998" s="216">
        <v>4615445946</v>
      </c>
      <c r="N1998" s="212"/>
      <c r="O1998" s="218"/>
      <c r="P1998" s="219"/>
      <c r="Q1998" s="34">
        <f>SUMIF(Allocation[Delivery ID],Allocation[[#This Row],[Delivery ID]],Allocation[Quantity Processed])</f>
        <v>54725</v>
      </c>
      <c r="R1998" s="61">
        <f>Allocation[[#This Row],[Total volume used]]/VLOOKUP(Allocation[[#This Row],[Delivery ID]],Delivery[[Delivery ID]:[Quantity delivered]],3,FALSE)</f>
        <v>0.46630027266530333</v>
      </c>
      <c r="S1998" s="34">
        <f>Allocation[[#This Row],[Quantity Processed]]/Allocation[[#This Row],[Dilution rate]]</f>
        <v>10317.857142857143</v>
      </c>
      <c r="T1998" s="59">
        <f>SUMIF(Allocation[Delivery ID],Allocation[[#This Row],[Delivery ID]],Allocation[Quantity allocated])/SUMIF(Allocation[Delivery ID],Allocation[[#This Row],[Delivery ID]],Allocation[Volume available (kg)])</f>
        <v>1.9837218895135662</v>
      </c>
      <c r="U1998" s="61">
        <f>Allocation[[#This Row],[Total volume used]]/VLOOKUP(Allocation[[#This Row],[Delivery ID]],Delivery[[Delivery ID]:[Quantity delivered]],3,FALSE)</f>
        <v>0.46630027266530333</v>
      </c>
      <c r="V1998" s="34" t="e">
        <f>VLOOKUP(Allocation[[#This Row],[SAP Contract number]],Shipments[[SAP Contract number]:[Contracted container weight]],2,FALSE)</f>
        <v>#N/A</v>
      </c>
      <c r="W1998" s="34" t="e">
        <f>VLOOKUP(Allocation[[#This Row],[SAP Contract number]],Shipments[[SAP Contract number]:[AAA Premium USD]],24,FALSE)</f>
        <v>#N/A</v>
      </c>
      <c r="X1998" s="34" t="e">
        <f>VLOOKUP(Allocation[[#This Row],[SAP Contract number]],Shipments[[SAP Contract number]:[RA Premium USD]],25,FALSE)</f>
        <v>#N/A</v>
      </c>
      <c r="Y1998" s="38">
        <f>Allocation[[#This Row],[Quantity Processed]]/Allocation[[#This Row],[Quantity allocated]]</f>
        <v>1.4285714285714286</v>
      </c>
      <c r="Z1998" s="34" t="b">
        <f>Allocation[[#This Row],[Quantity allocated]]&lt;=Allocation[[#This Row],[Quantity Processed]]</f>
        <v>1</v>
      </c>
    </row>
    <row r="1999" spans="1:26">
      <c r="A1999" s="247" t="s">
        <v>467</v>
      </c>
      <c r="B1999" s="210" t="s">
        <v>68</v>
      </c>
      <c r="C1999" s="254" t="s">
        <v>1465</v>
      </c>
      <c r="D1999" s="255">
        <v>4587</v>
      </c>
      <c r="E1999" s="211" t="s">
        <v>1936</v>
      </c>
      <c r="F1999" s="212">
        <v>43614</v>
      </c>
      <c r="G1999" s="213">
        <v>2.8</v>
      </c>
      <c r="H1999" s="256">
        <v>3211</v>
      </c>
      <c r="I1999" s="214">
        <v>1462177</v>
      </c>
      <c r="J1999" s="215">
        <v>21600</v>
      </c>
      <c r="K1999" s="212">
        <v>43623</v>
      </c>
      <c r="L1999" s="211" t="s">
        <v>1941</v>
      </c>
      <c r="M1999" s="216">
        <v>4615445946</v>
      </c>
      <c r="N1999" s="212"/>
      <c r="O1999" s="218"/>
      <c r="P1999" s="219"/>
      <c r="Q1999" s="34">
        <f>SUMIF(Allocation[Delivery ID],Allocation[[#This Row],[Delivery ID]],Allocation[Quantity Processed])</f>
        <v>54725</v>
      </c>
      <c r="R1999" s="61">
        <f>Allocation[[#This Row],[Total volume used]]/VLOOKUP(Allocation[[#This Row],[Delivery ID]],Delivery[[Delivery ID]:[Quantity delivered]],3,FALSE)</f>
        <v>0.46630027266530333</v>
      </c>
      <c r="S1999" s="34">
        <f>Allocation[[#This Row],[Quantity Processed]]/Allocation[[#This Row],[Dilution rate]]</f>
        <v>1638.2142857142858</v>
      </c>
      <c r="T1999" s="59">
        <f>SUMIF(Allocation[Delivery ID],Allocation[[#This Row],[Delivery ID]],Allocation[Quantity allocated])/SUMIF(Allocation[Delivery ID],Allocation[[#This Row],[Delivery ID]],Allocation[Volume available (kg)])</f>
        <v>1.9837218895135662</v>
      </c>
      <c r="U1999" s="61">
        <f>Allocation[[#This Row],[Total volume used]]/VLOOKUP(Allocation[[#This Row],[Delivery ID]],Delivery[[Delivery ID]:[Quantity delivered]],3,FALSE)</f>
        <v>0.46630027266530333</v>
      </c>
      <c r="V1999" s="34" t="e">
        <f>VLOOKUP(Allocation[[#This Row],[SAP Contract number]],Shipments[[SAP Contract number]:[Contracted container weight]],2,FALSE)</f>
        <v>#N/A</v>
      </c>
      <c r="W1999" s="34" t="e">
        <f>VLOOKUP(Allocation[[#This Row],[SAP Contract number]],Shipments[[SAP Contract number]:[AAA Premium USD]],24,FALSE)</f>
        <v>#N/A</v>
      </c>
      <c r="X1999" s="34" t="e">
        <f>VLOOKUP(Allocation[[#This Row],[SAP Contract number]],Shipments[[SAP Contract number]:[RA Premium USD]],25,FALSE)</f>
        <v>#N/A</v>
      </c>
      <c r="Y1999" s="38">
        <f>Allocation[[#This Row],[Quantity Processed]]/Allocation[[#This Row],[Quantity allocated]]</f>
        <v>1.4285269386483961</v>
      </c>
      <c r="Z1999" s="34" t="b">
        <f>Allocation[[#This Row],[Quantity allocated]]&lt;=Allocation[[#This Row],[Quantity Processed]]</f>
        <v>1</v>
      </c>
    </row>
    <row r="2000" spans="1:26">
      <c r="A2000" s="247" t="s">
        <v>467</v>
      </c>
      <c r="B2000" s="210" t="s">
        <v>68</v>
      </c>
      <c r="C2000" s="254" t="s">
        <v>1510</v>
      </c>
      <c r="D2000" s="255">
        <v>10145</v>
      </c>
      <c r="E2000" s="211" t="s">
        <v>1936</v>
      </c>
      <c r="F2000" s="212">
        <v>43614</v>
      </c>
      <c r="G2000" s="213">
        <v>2.8</v>
      </c>
      <c r="H2000" s="256">
        <v>3348</v>
      </c>
      <c r="I2000" s="214">
        <v>1462177</v>
      </c>
      <c r="J2000" s="215">
        <v>21600</v>
      </c>
      <c r="K2000" s="212">
        <v>43623</v>
      </c>
      <c r="L2000" s="211" t="s">
        <v>1941</v>
      </c>
      <c r="M2000" s="216">
        <v>4615445946</v>
      </c>
      <c r="N2000" s="212"/>
      <c r="O2000" s="218"/>
      <c r="P2000" s="219"/>
      <c r="Q2000" s="34">
        <f>SUMIF(Allocation[Delivery ID],Allocation[[#This Row],[Delivery ID]],Allocation[Quantity Processed])</f>
        <v>13527</v>
      </c>
      <c r="R2000" s="61">
        <f>Allocation[[#This Row],[Total volume used]]/VLOOKUP(Allocation[[#This Row],[Delivery ID]],Delivery[[Delivery ID]:[Quantity delivered]],3,FALSE)</f>
        <v>0.75149999999999995</v>
      </c>
      <c r="S2000" s="34">
        <f>Allocation[[#This Row],[Quantity Processed]]/Allocation[[#This Row],[Dilution rate]]</f>
        <v>3623.2142857142858</v>
      </c>
      <c r="T2000" s="59">
        <f>SUMIF(Allocation[Delivery ID],Allocation[[#This Row],[Delivery ID]],Allocation[Quantity allocated])/SUMIF(Allocation[Delivery ID],Allocation[[#This Row],[Delivery ID]],Allocation[Volume available (kg)])</f>
        <v>0.92401862940785096</v>
      </c>
      <c r="U2000" s="61">
        <f>Allocation[[#This Row],[Total volume used]]/VLOOKUP(Allocation[[#This Row],[Delivery ID]],Delivery[[Delivery ID]:[Quantity delivered]],3,FALSE)</f>
        <v>0.75149999999999995</v>
      </c>
      <c r="V2000" s="34" t="e">
        <f>VLOOKUP(Allocation[[#This Row],[SAP Contract number]],Shipments[[SAP Contract number]:[Contracted container weight]],2,FALSE)</f>
        <v>#N/A</v>
      </c>
      <c r="W2000" s="34" t="e">
        <f>VLOOKUP(Allocation[[#This Row],[SAP Contract number]],Shipments[[SAP Contract number]:[AAA Premium USD]],24,FALSE)</f>
        <v>#N/A</v>
      </c>
      <c r="X2000" s="34" t="e">
        <f>VLOOKUP(Allocation[[#This Row],[SAP Contract number]],Shipments[[SAP Contract number]:[RA Premium USD]],25,FALSE)</f>
        <v>#N/A</v>
      </c>
      <c r="Y2000" s="38">
        <f>Allocation[[#This Row],[Quantity Processed]]/Allocation[[#This Row],[Quantity allocated]]</f>
        <v>3.0301672640382318</v>
      </c>
      <c r="Z2000" s="34" t="b">
        <f>Allocation[[#This Row],[Quantity allocated]]&lt;=Allocation[[#This Row],[Quantity Processed]]</f>
        <v>1</v>
      </c>
    </row>
    <row r="2001" spans="1:26">
      <c r="A2001" s="247" t="s">
        <v>467</v>
      </c>
      <c r="B2001" s="210" t="s">
        <v>68</v>
      </c>
      <c r="C2001" s="254" t="s">
        <v>1513</v>
      </c>
      <c r="D2001" s="255">
        <v>32847</v>
      </c>
      <c r="E2001" s="211" t="s">
        <v>1936</v>
      </c>
      <c r="F2001" s="212">
        <v>43614</v>
      </c>
      <c r="G2001" s="213">
        <v>2.8</v>
      </c>
      <c r="H2001" s="256">
        <v>9854</v>
      </c>
      <c r="I2001" s="214">
        <v>1462177</v>
      </c>
      <c r="J2001" s="215">
        <v>21600</v>
      </c>
      <c r="K2001" s="212">
        <v>43623</v>
      </c>
      <c r="L2001" s="211" t="s">
        <v>1941</v>
      </c>
      <c r="M2001" s="216">
        <v>4615445946</v>
      </c>
      <c r="N2001" s="212"/>
      <c r="O2001" s="218"/>
      <c r="P2001" s="219"/>
      <c r="Q2001" s="34">
        <f>SUMIF(Allocation[Delivery ID],Allocation[[#This Row],[Delivery ID]],Allocation[Quantity Processed])</f>
        <v>43796</v>
      </c>
      <c r="R2001" s="61">
        <f>Allocation[[#This Row],[Total volume used]]/VLOOKUP(Allocation[[#This Row],[Delivery ID]],Delivery[[Delivery ID]:[Quantity delivered]],3,FALSE)</f>
        <v>0.82735430244639652</v>
      </c>
      <c r="S2001" s="34">
        <f>Allocation[[#This Row],[Quantity Processed]]/Allocation[[#This Row],[Dilution rate]]</f>
        <v>11731.071428571429</v>
      </c>
      <c r="T2001" s="59">
        <f>SUMIF(Allocation[Delivery ID],Allocation[[#This Row],[Delivery ID]],Allocation[Quantity allocated])/SUMIF(Allocation[Delivery ID],Allocation[[#This Row],[Delivery ID]],Allocation[Volume available (kg)])</f>
        <v>0.84001278655584977</v>
      </c>
      <c r="U2001" s="61">
        <f>Allocation[[#This Row],[Total volume used]]/VLOOKUP(Allocation[[#This Row],[Delivery ID]],Delivery[[Delivery ID]:[Quantity delivered]],3,FALSE)</f>
        <v>0.82735430244639652</v>
      </c>
      <c r="V2001" s="34" t="e">
        <f>VLOOKUP(Allocation[[#This Row],[SAP Contract number]],Shipments[[SAP Contract number]:[Contracted container weight]],2,FALSE)</f>
        <v>#N/A</v>
      </c>
      <c r="W2001" s="34" t="e">
        <f>VLOOKUP(Allocation[[#This Row],[SAP Contract number]],Shipments[[SAP Contract number]:[AAA Premium USD]],24,FALSE)</f>
        <v>#N/A</v>
      </c>
      <c r="X2001" s="34" t="e">
        <f>VLOOKUP(Allocation[[#This Row],[SAP Contract number]],Shipments[[SAP Contract number]:[RA Premium USD]],25,FALSE)</f>
        <v>#N/A</v>
      </c>
      <c r="Y2001" s="38">
        <f>Allocation[[#This Row],[Quantity Processed]]/Allocation[[#This Row],[Quantity allocated]]</f>
        <v>3.3333671605439417</v>
      </c>
      <c r="Z2001" s="34" t="b">
        <f>Allocation[[#This Row],[Quantity allocated]]&lt;=Allocation[[#This Row],[Quantity Processed]]</f>
        <v>1</v>
      </c>
    </row>
    <row r="2002" spans="1:26">
      <c r="A2002" s="247" t="s">
        <v>467</v>
      </c>
      <c r="B2002" s="210" t="s">
        <v>68</v>
      </c>
      <c r="C2002" s="254" t="s">
        <v>1523</v>
      </c>
      <c r="D2002" s="255">
        <v>10078</v>
      </c>
      <c r="E2002" s="211" t="s">
        <v>1936</v>
      </c>
      <c r="F2002" s="212">
        <v>43614</v>
      </c>
      <c r="G2002" s="213">
        <v>2.8</v>
      </c>
      <c r="H2002" s="256">
        <v>3628</v>
      </c>
      <c r="I2002" s="214">
        <v>1462177</v>
      </c>
      <c r="J2002" s="215">
        <v>21600</v>
      </c>
      <c r="K2002" s="212">
        <v>43623</v>
      </c>
      <c r="L2002" s="211" t="s">
        <v>1941</v>
      </c>
      <c r="M2002" s="216">
        <v>4615445946</v>
      </c>
      <c r="N2002" s="212"/>
      <c r="O2002" s="218"/>
      <c r="P2002" s="219"/>
      <c r="Q2002" s="34">
        <f>SUMIF(Allocation[Delivery ID],Allocation[[#This Row],[Delivery ID]],Allocation[Quantity Processed])</f>
        <v>13437</v>
      </c>
      <c r="R2002" s="61">
        <f>Allocation[[#This Row],[Total volume used]]/VLOOKUP(Allocation[[#This Row],[Delivery ID]],Delivery[[Delivery ID]:[Quantity delivered]],3,FALSE)</f>
        <v>0.69120370370370365</v>
      </c>
      <c r="S2002" s="34">
        <f>Allocation[[#This Row],[Quantity Processed]]/Allocation[[#This Row],[Dilution rate]]</f>
        <v>3599.2857142857147</v>
      </c>
      <c r="T2002" s="59">
        <f>SUMIF(Allocation[Delivery ID],Allocation[[#This Row],[Delivery ID]],Allocation[Quantity allocated])/SUMIF(Allocation[Delivery ID],Allocation[[#This Row],[Delivery ID]],Allocation[Volume available (kg)])</f>
        <v>1.0079333184490586</v>
      </c>
      <c r="U2002" s="61">
        <f>Allocation[[#This Row],[Total volume used]]/VLOOKUP(Allocation[[#This Row],[Delivery ID]],Delivery[[Delivery ID]:[Quantity delivered]],3,FALSE)</f>
        <v>0.69120370370370365</v>
      </c>
      <c r="V2002" s="34" t="e">
        <f>VLOOKUP(Allocation[[#This Row],[SAP Contract number]],Shipments[[SAP Contract number]:[Contracted container weight]],2,FALSE)</f>
        <v>#N/A</v>
      </c>
      <c r="W2002" s="34" t="e">
        <f>VLOOKUP(Allocation[[#This Row],[SAP Contract number]],Shipments[[SAP Contract number]:[AAA Premium USD]],24,FALSE)</f>
        <v>#N/A</v>
      </c>
      <c r="X2002" s="34" t="e">
        <f>VLOOKUP(Allocation[[#This Row],[SAP Contract number]],Shipments[[SAP Contract number]:[RA Premium USD]],25,FALSE)</f>
        <v>#N/A</v>
      </c>
      <c r="Y2002" s="38">
        <f>Allocation[[#This Row],[Quantity Processed]]/Allocation[[#This Row],[Quantity allocated]]</f>
        <v>2.7778390297684674</v>
      </c>
      <c r="Z2002" s="34" t="b">
        <f>Allocation[[#This Row],[Quantity allocated]]&lt;=Allocation[[#This Row],[Quantity Processed]]</f>
        <v>1</v>
      </c>
    </row>
    <row r="2003" spans="1:26">
      <c r="A2003" s="247" t="s">
        <v>467</v>
      </c>
      <c r="B2003" s="210" t="s">
        <v>68</v>
      </c>
      <c r="C2003" s="254" t="s">
        <v>1524</v>
      </c>
      <c r="D2003" s="255">
        <v>4330</v>
      </c>
      <c r="E2003" s="211" t="s">
        <v>1936</v>
      </c>
      <c r="F2003" s="212">
        <v>43614</v>
      </c>
      <c r="G2003" s="213">
        <v>2.8</v>
      </c>
      <c r="H2003" s="256">
        <v>1559</v>
      </c>
      <c r="I2003" s="214">
        <v>1462177</v>
      </c>
      <c r="J2003" s="215">
        <v>21600</v>
      </c>
      <c r="K2003" s="212">
        <v>43623</v>
      </c>
      <c r="L2003" s="211" t="s">
        <v>1941</v>
      </c>
      <c r="M2003" s="216">
        <v>4615445946</v>
      </c>
      <c r="N2003" s="212"/>
      <c r="O2003" s="218"/>
      <c r="P2003" s="219"/>
      <c r="Q2003" s="34">
        <f>SUMIF(Allocation[Delivery ID],Allocation[[#This Row],[Delivery ID]],Allocation[Quantity Processed])</f>
        <v>7386</v>
      </c>
      <c r="R2003" s="61">
        <f>Allocation[[#This Row],[Total volume used]]/VLOOKUP(Allocation[[#This Row],[Delivery ID]],Delivery[[Delivery ID]:[Quantity delivered]],3,FALSE)</f>
        <v>0.3595910418695229</v>
      </c>
      <c r="S2003" s="34">
        <f>Allocation[[#This Row],[Quantity Processed]]/Allocation[[#This Row],[Dilution rate]]</f>
        <v>1546.4285714285716</v>
      </c>
      <c r="T2003" s="59">
        <f>SUMIF(Allocation[Delivery ID],Allocation[[#This Row],[Delivery ID]],Allocation[Quantity allocated])/SUMIF(Allocation[Delivery ID],Allocation[[#This Row],[Delivery ID]],Allocation[Volume available (kg)])</f>
        <v>1.0080151638234496</v>
      </c>
      <c r="U2003" s="61">
        <f>Allocation[[#This Row],[Total volume used]]/VLOOKUP(Allocation[[#This Row],[Delivery ID]],Delivery[[Delivery ID]:[Quantity delivered]],3,FALSE)</f>
        <v>0.3595910418695229</v>
      </c>
      <c r="V2003" s="34" t="e">
        <f>VLOOKUP(Allocation[[#This Row],[SAP Contract number]],Shipments[[SAP Contract number]:[Contracted container weight]],2,FALSE)</f>
        <v>#N/A</v>
      </c>
      <c r="W2003" s="34" t="e">
        <f>VLOOKUP(Allocation[[#This Row],[SAP Contract number]],Shipments[[SAP Contract number]:[AAA Premium USD]],24,FALSE)</f>
        <v>#N/A</v>
      </c>
      <c r="X2003" s="34" t="e">
        <f>VLOOKUP(Allocation[[#This Row],[SAP Contract number]],Shipments[[SAP Contract number]:[RA Premium USD]],25,FALSE)</f>
        <v>#N/A</v>
      </c>
      <c r="Y2003" s="38">
        <f>Allocation[[#This Row],[Quantity Processed]]/Allocation[[#This Row],[Quantity allocated]]</f>
        <v>2.777421423989737</v>
      </c>
      <c r="Z2003" s="34" t="b">
        <f>Allocation[[#This Row],[Quantity allocated]]&lt;=Allocation[[#This Row],[Quantity Processed]]</f>
        <v>1</v>
      </c>
    </row>
    <row r="2004" spans="1:26">
      <c r="A2004" s="247" t="s">
        <v>467</v>
      </c>
      <c r="B2004" s="210" t="s">
        <v>68</v>
      </c>
      <c r="C2004" s="254" t="s">
        <v>1524</v>
      </c>
      <c r="D2004" s="255">
        <v>89</v>
      </c>
      <c r="E2004" s="211" t="s">
        <v>1936</v>
      </c>
      <c r="F2004" s="212">
        <v>43614</v>
      </c>
      <c r="G2004" s="213">
        <v>2.8</v>
      </c>
      <c r="H2004" s="256">
        <v>32</v>
      </c>
      <c r="I2004" s="214">
        <v>1462178</v>
      </c>
      <c r="J2004" s="215">
        <v>21600</v>
      </c>
      <c r="K2004" s="212">
        <v>43623</v>
      </c>
      <c r="L2004" s="211" t="s">
        <v>1942</v>
      </c>
      <c r="M2004" s="216">
        <v>4615445946</v>
      </c>
      <c r="N2004" s="212"/>
      <c r="O2004" s="218"/>
      <c r="P2004" s="219"/>
      <c r="Q2004" s="34">
        <f>SUMIF(Allocation[Delivery ID],Allocation[[#This Row],[Delivery ID]],Allocation[Quantity Processed])</f>
        <v>7386</v>
      </c>
      <c r="R2004" s="61">
        <f>Allocation[[#This Row],[Total volume used]]/VLOOKUP(Allocation[[#This Row],[Delivery ID]],Delivery[[Delivery ID]:[Quantity delivered]],3,FALSE)</f>
        <v>0.3595910418695229</v>
      </c>
      <c r="S2004" s="34">
        <f>Allocation[[#This Row],[Quantity Processed]]/Allocation[[#This Row],[Dilution rate]]</f>
        <v>31.785714285714288</v>
      </c>
      <c r="T2004" s="59">
        <f>SUMIF(Allocation[Delivery ID],Allocation[[#This Row],[Delivery ID]],Allocation[Quantity allocated])/SUMIF(Allocation[Delivery ID],Allocation[[#This Row],[Delivery ID]],Allocation[Volume available (kg)])</f>
        <v>1.0080151638234496</v>
      </c>
      <c r="U2004" s="61">
        <f>Allocation[[#This Row],[Total volume used]]/VLOOKUP(Allocation[[#This Row],[Delivery ID]],Delivery[[Delivery ID]:[Quantity delivered]],3,FALSE)</f>
        <v>0.3595910418695229</v>
      </c>
      <c r="V2004" s="34" t="e">
        <f>VLOOKUP(Allocation[[#This Row],[SAP Contract number]],Shipments[[SAP Contract number]:[Contracted container weight]],2,FALSE)</f>
        <v>#N/A</v>
      </c>
      <c r="W2004" s="34" t="e">
        <f>VLOOKUP(Allocation[[#This Row],[SAP Contract number]],Shipments[[SAP Contract number]:[AAA Premium USD]],24,FALSE)</f>
        <v>#N/A</v>
      </c>
      <c r="X2004" s="34" t="e">
        <f>VLOOKUP(Allocation[[#This Row],[SAP Contract number]],Shipments[[SAP Contract number]:[RA Premium USD]],25,FALSE)</f>
        <v>#N/A</v>
      </c>
      <c r="Y2004" s="38">
        <f>Allocation[[#This Row],[Quantity Processed]]/Allocation[[#This Row],[Quantity allocated]]</f>
        <v>2.78125</v>
      </c>
      <c r="Z2004" s="34" t="b">
        <f>Allocation[[#This Row],[Quantity allocated]]&lt;=Allocation[[#This Row],[Quantity Processed]]</f>
        <v>1</v>
      </c>
    </row>
    <row r="2005" spans="1:26">
      <c r="A2005" s="247" t="s">
        <v>467</v>
      </c>
      <c r="B2005" s="210" t="s">
        <v>68</v>
      </c>
      <c r="C2005" s="254" t="s">
        <v>1525</v>
      </c>
      <c r="D2005" s="255">
        <v>3733</v>
      </c>
      <c r="E2005" s="211" t="s">
        <v>1936</v>
      </c>
      <c r="F2005" s="212">
        <v>43614</v>
      </c>
      <c r="G2005" s="213">
        <v>2.8</v>
      </c>
      <c r="H2005" s="256">
        <v>1344</v>
      </c>
      <c r="I2005" s="214">
        <v>1462178</v>
      </c>
      <c r="J2005" s="215">
        <v>21600</v>
      </c>
      <c r="K2005" s="212">
        <v>43623</v>
      </c>
      <c r="L2005" s="211" t="s">
        <v>1942</v>
      </c>
      <c r="M2005" s="216">
        <v>4615445946</v>
      </c>
      <c r="N2005" s="212"/>
      <c r="O2005" s="218"/>
      <c r="P2005" s="219"/>
      <c r="Q2005" s="34">
        <f>SUMIF(Allocation[Delivery ID],Allocation[[#This Row],[Delivery ID]],Allocation[Quantity Processed])</f>
        <v>6241</v>
      </c>
      <c r="R2005" s="61">
        <f>Allocation[[#This Row],[Total volume used]]/VLOOKUP(Allocation[[#This Row],[Delivery ID]],Delivery[[Delivery ID]:[Quantity delivered]],3,FALSE)</f>
        <v>0.35971181556195964</v>
      </c>
      <c r="S2005" s="34">
        <f>Allocation[[#This Row],[Quantity Processed]]/Allocation[[#This Row],[Dilution rate]]</f>
        <v>1333.2142857142858</v>
      </c>
      <c r="T2005" s="59">
        <f>SUMIF(Allocation[Delivery ID],Allocation[[#This Row],[Delivery ID]],Allocation[Quantity allocated])/SUMIF(Allocation[Delivery ID],Allocation[[#This Row],[Delivery ID]],Allocation[Volume available (kg)])</f>
        <v>1.008107675052075</v>
      </c>
      <c r="U2005" s="61">
        <f>Allocation[[#This Row],[Total volume used]]/VLOOKUP(Allocation[[#This Row],[Delivery ID]],Delivery[[Delivery ID]:[Quantity delivered]],3,FALSE)</f>
        <v>0.35971181556195964</v>
      </c>
      <c r="V2005" s="34" t="e">
        <f>VLOOKUP(Allocation[[#This Row],[SAP Contract number]],Shipments[[SAP Contract number]:[Contracted container weight]],2,FALSE)</f>
        <v>#N/A</v>
      </c>
      <c r="W2005" s="34" t="e">
        <f>VLOOKUP(Allocation[[#This Row],[SAP Contract number]],Shipments[[SAP Contract number]:[AAA Premium USD]],24,FALSE)</f>
        <v>#N/A</v>
      </c>
      <c r="X2005" s="34" t="e">
        <f>VLOOKUP(Allocation[[#This Row],[SAP Contract number]],Shipments[[SAP Contract number]:[RA Premium USD]],25,FALSE)</f>
        <v>#N/A</v>
      </c>
      <c r="Y2005" s="38">
        <f>Allocation[[#This Row],[Quantity Processed]]/Allocation[[#This Row],[Quantity allocated]]</f>
        <v>2.7775297619047619</v>
      </c>
      <c r="Z2005" s="34" t="b">
        <f>Allocation[[#This Row],[Quantity allocated]]&lt;=Allocation[[#This Row],[Quantity Processed]]</f>
        <v>1</v>
      </c>
    </row>
    <row r="2006" spans="1:26">
      <c r="A2006" s="247" t="s">
        <v>467</v>
      </c>
      <c r="B2006" s="210" t="s">
        <v>68</v>
      </c>
      <c r="C2006" s="254" t="s">
        <v>1526</v>
      </c>
      <c r="D2006" s="255">
        <v>4122</v>
      </c>
      <c r="E2006" s="211" t="s">
        <v>1936</v>
      </c>
      <c r="F2006" s="212">
        <v>43614</v>
      </c>
      <c r="G2006" s="213">
        <v>2.8</v>
      </c>
      <c r="H2006" s="256">
        <v>1484</v>
      </c>
      <c r="I2006" s="214">
        <v>1462178</v>
      </c>
      <c r="J2006" s="215">
        <v>21600</v>
      </c>
      <c r="K2006" s="212">
        <v>43623</v>
      </c>
      <c r="L2006" s="211" t="s">
        <v>1942</v>
      </c>
      <c r="M2006" s="216">
        <v>4615445946</v>
      </c>
      <c r="N2006" s="212"/>
      <c r="O2006" s="218"/>
      <c r="P2006" s="219"/>
      <c r="Q2006" s="34">
        <f>SUMIF(Allocation[Delivery ID],Allocation[[#This Row],[Delivery ID]],Allocation[Quantity Processed])</f>
        <v>6889</v>
      </c>
      <c r="R2006" s="61">
        <f>Allocation[[#This Row],[Total volume used]]/VLOOKUP(Allocation[[#This Row],[Delivery ID]],Delivery[[Delivery ID]:[Quantity delivered]],3,FALSE)</f>
        <v>0.36049188906331764</v>
      </c>
      <c r="S2006" s="34">
        <f>Allocation[[#This Row],[Quantity Processed]]/Allocation[[#This Row],[Dilution rate]]</f>
        <v>1472.1428571428573</v>
      </c>
      <c r="T2006" s="59">
        <f>SUMIF(Allocation[Delivery ID],Allocation[[#This Row],[Delivery ID]],Allocation[Quantity allocated])/SUMIF(Allocation[Delivery ID],Allocation[[#This Row],[Delivery ID]],Allocation[Volume available (kg)])</f>
        <v>1.0079837421977065</v>
      </c>
      <c r="U2006" s="61">
        <f>Allocation[[#This Row],[Total volume used]]/VLOOKUP(Allocation[[#This Row],[Delivery ID]],Delivery[[Delivery ID]:[Quantity delivered]],3,FALSE)</f>
        <v>0.36049188906331764</v>
      </c>
      <c r="V2006" s="34" t="e">
        <f>VLOOKUP(Allocation[[#This Row],[SAP Contract number]],Shipments[[SAP Contract number]:[Contracted container weight]],2,FALSE)</f>
        <v>#N/A</v>
      </c>
      <c r="W2006" s="34" t="e">
        <f>VLOOKUP(Allocation[[#This Row],[SAP Contract number]],Shipments[[SAP Contract number]:[AAA Premium USD]],24,FALSE)</f>
        <v>#N/A</v>
      </c>
      <c r="X2006" s="34" t="e">
        <f>VLOOKUP(Allocation[[#This Row],[SAP Contract number]],Shipments[[SAP Contract number]:[RA Premium USD]],25,FALSE)</f>
        <v>#N/A</v>
      </c>
      <c r="Y2006" s="38">
        <f>Allocation[[#This Row],[Quantity Processed]]/Allocation[[#This Row],[Quantity allocated]]</f>
        <v>2.7776280323450133</v>
      </c>
      <c r="Z2006" s="34" t="b">
        <f>Allocation[[#This Row],[Quantity allocated]]&lt;=Allocation[[#This Row],[Quantity Processed]]</f>
        <v>1</v>
      </c>
    </row>
    <row r="2007" spans="1:26">
      <c r="A2007" s="247" t="s">
        <v>467</v>
      </c>
      <c r="B2007" s="210" t="s">
        <v>68</v>
      </c>
      <c r="C2007" s="254" t="s">
        <v>1527</v>
      </c>
      <c r="D2007" s="255">
        <v>4111</v>
      </c>
      <c r="E2007" s="211" t="s">
        <v>1936</v>
      </c>
      <c r="F2007" s="212">
        <v>43614</v>
      </c>
      <c r="G2007" s="213">
        <v>2.8</v>
      </c>
      <c r="H2007" s="256">
        <v>1480</v>
      </c>
      <c r="I2007" s="214">
        <v>1462178</v>
      </c>
      <c r="J2007" s="215">
        <v>21600</v>
      </c>
      <c r="K2007" s="212">
        <v>43623</v>
      </c>
      <c r="L2007" s="211" t="s">
        <v>1942</v>
      </c>
      <c r="M2007" s="216">
        <v>4615445946</v>
      </c>
      <c r="N2007" s="212"/>
      <c r="O2007" s="218"/>
      <c r="P2007" s="219"/>
      <c r="Q2007" s="34">
        <f>SUMIF(Allocation[Delivery ID],Allocation[[#This Row],[Delivery ID]],Allocation[Quantity Processed])</f>
        <v>6872</v>
      </c>
      <c r="R2007" s="61">
        <f>Allocation[[#This Row],[Total volume used]]/VLOOKUP(Allocation[[#This Row],[Delivery ID]],Delivery[[Delivery ID]:[Quantity delivered]],3,FALSE)</f>
        <v>0.36035658101730467</v>
      </c>
      <c r="S2007" s="34">
        <f>Allocation[[#This Row],[Quantity Processed]]/Allocation[[#This Row],[Dilution rate]]</f>
        <v>1468.2142857142858</v>
      </c>
      <c r="T2007" s="59">
        <f>SUMIF(Allocation[Delivery ID],Allocation[[#This Row],[Delivery ID]],Allocation[Quantity allocated])/SUMIF(Allocation[Delivery ID],Allocation[[#This Row],[Delivery ID]],Allocation[Volume available (kg)])</f>
        <v>1.008032596041909</v>
      </c>
      <c r="U2007" s="61">
        <f>Allocation[[#This Row],[Total volume used]]/VLOOKUP(Allocation[[#This Row],[Delivery ID]],Delivery[[Delivery ID]:[Quantity delivered]],3,FALSE)</f>
        <v>0.36035658101730467</v>
      </c>
      <c r="V2007" s="34" t="e">
        <f>VLOOKUP(Allocation[[#This Row],[SAP Contract number]],Shipments[[SAP Contract number]:[Contracted container weight]],2,FALSE)</f>
        <v>#N/A</v>
      </c>
      <c r="W2007" s="34" t="e">
        <f>VLOOKUP(Allocation[[#This Row],[SAP Contract number]],Shipments[[SAP Contract number]:[AAA Premium USD]],24,FALSE)</f>
        <v>#N/A</v>
      </c>
      <c r="X2007" s="34" t="e">
        <f>VLOOKUP(Allocation[[#This Row],[SAP Contract number]],Shipments[[SAP Contract number]:[RA Premium USD]],25,FALSE)</f>
        <v>#N/A</v>
      </c>
      <c r="Y2007" s="38">
        <f>Allocation[[#This Row],[Quantity Processed]]/Allocation[[#This Row],[Quantity allocated]]</f>
        <v>2.7777027027027028</v>
      </c>
      <c r="Z2007" s="34" t="b">
        <f>Allocation[[#This Row],[Quantity allocated]]&lt;=Allocation[[#This Row],[Quantity Processed]]</f>
        <v>1</v>
      </c>
    </row>
    <row r="2008" spans="1:26">
      <c r="A2008" s="247" t="s">
        <v>467</v>
      </c>
      <c r="B2008" s="210" t="s">
        <v>68</v>
      </c>
      <c r="C2008" s="254" t="s">
        <v>1528</v>
      </c>
      <c r="D2008" s="255">
        <v>4153</v>
      </c>
      <c r="E2008" s="211" t="s">
        <v>1936</v>
      </c>
      <c r="F2008" s="212">
        <v>43614</v>
      </c>
      <c r="G2008" s="213">
        <v>2.8</v>
      </c>
      <c r="H2008" s="256">
        <v>1495</v>
      </c>
      <c r="I2008" s="214">
        <v>1462178</v>
      </c>
      <c r="J2008" s="215">
        <v>21600</v>
      </c>
      <c r="K2008" s="212">
        <v>43623</v>
      </c>
      <c r="L2008" s="211" t="s">
        <v>1942</v>
      </c>
      <c r="M2008" s="216">
        <v>4615445946</v>
      </c>
      <c r="N2008" s="212"/>
      <c r="O2008" s="218"/>
      <c r="P2008" s="219"/>
      <c r="Q2008" s="34">
        <f>SUMIF(Allocation[Delivery ID],Allocation[[#This Row],[Delivery ID]],Allocation[Quantity Processed])</f>
        <v>6942</v>
      </c>
      <c r="R2008" s="61">
        <f>Allocation[[#This Row],[Total volume used]]/VLOOKUP(Allocation[[#This Row],[Delivery ID]],Delivery[[Delivery ID]:[Quantity delivered]],3,FALSE)</f>
        <v>0.36024909185262066</v>
      </c>
      <c r="S2008" s="34">
        <f>Allocation[[#This Row],[Quantity Processed]]/Allocation[[#This Row],[Dilution rate]]</f>
        <v>1483.2142857142858</v>
      </c>
      <c r="T2008" s="59">
        <f>SUMIF(Allocation[Delivery ID],Allocation[[#This Row],[Delivery ID]],Allocation[Quantity allocated])/SUMIF(Allocation[Delivery ID],Allocation[[#This Row],[Delivery ID]],Allocation[Volume available (kg)])</f>
        <v>1.0079515989628347</v>
      </c>
      <c r="U2008" s="61">
        <f>Allocation[[#This Row],[Total volume used]]/VLOOKUP(Allocation[[#This Row],[Delivery ID]],Delivery[[Delivery ID]:[Quantity delivered]],3,FALSE)</f>
        <v>0.36024909185262066</v>
      </c>
      <c r="V2008" s="34" t="e">
        <f>VLOOKUP(Allocation[[#This Row],[SAP Contract number]],Shipments[[SAP Contract number]:[Contracted container weight]],2,FALSE)</f>
        <v>#N/A</v>
      </c>
      <c r="W2008" s="34" t="e">
        <f>VLOOKUP(Allocation[[#This Row],[SAP Contract number]],Shipments[[SAP Contract number]:[AAA Premium USD]],24,FALSE)</f>
        <v>#N/A</v>
      </c>
      <c r="X2008" s="34" t="e">
        <f>VLOOKUP(Allocation[[#This Row],[SAP Contract number]],Shipments[[SAP Contract number]:[RA Premium USD]],25,FALSE)</f>
        <v>#N/A</v>
      </c>
      <c r="Y2008" s="38">
        <f>Allocation[[#This Row],[Quantity Processed]]/Allocation[[#This Row],[Quantity allocated]]</f>
        <v>2.7779264214046822</v>
      </c>
      <c r="Z2008" s="34" t="b">
        <f>Allocation[[#This Row],[Quantity allocated]]&lt;=Allocation[[#This Row],[Quantity Processed]]</f>
        <v>1</v>
      </c>
    </row>
    <row r="2009" spans="1:26">
      <c r="A2009" s="247" t="s">
        <v>467</v>
      </c>
      <c r="B2009" s="210" t="s">
        <v>68</v>
      </c>
      <c r="C2009" s="254" t="s">
        <v>1529</v>
      </c>
      <c r="D2009" s="255">
        <v>10956</v>
      </c>
      <c r="E2009" s="211" t="s">
        <v>1936</v>
      </c>
      <c r="F2009" s="212">
        <v>43614</v>
      </c>
      <c r="G2009" s="213">
        <v>2.8</v>
      </c>
      <c r="H2009" s="256">
        <v>3944</v>
      </c>
      <c r="I2009" s="214">
        <v>1462178</v>
      </c>
      <c r="J2009" s="215">
        <v>21600</v>
      </c>
      <c r="K2009" s="212">
        <v>43623</v>
      </c>
      <c r="L2009" s="211" t="s">
        <v>1942</v>
      </c>
      <c r="M2009" s="216">
        <v>4615445946</v>
      </c>
      <c r="N2009" s="212"/>
      <c r="O2009" s="218"/>
      <c r="P2009" s="219"/>
      <c r="Q2009" s="34">
        <f>SUMIF(Allocation[Delivery ID],Allocation[[#This Row],[Delivery ID]],Allocation[Quantity Processed])</f>
        <v>14607</v>
      </c>
      <c r="R2009" s="61">
        <f>Allocation[[#This Row],[Total volume used]]/VLOOKUP(Allocation[[#This Row],[Delivery ID]],Delivery[[Delivery ID]:[Quantity delivered]],3,FALSE)</f>
        <v>0.69063829787234043</v>
      </c>
      <c r="S2009" s="34">
        <f>Allocation[[#This Row],[Quantity Processed]]/Allocation[[#This Row],[Dilution rate]]</f>
        <v>3912.8571428571431</v>
      </c>
      <c r="T2009" s="59">
        <f>SUMIF(Allocation[Delivery ID],Allocation[[#This Row],[Delivery ID]],Allocation[Quantity allocated])/SUMIF(Allocation[Delivery ID],Allocation[[#This Row],[Delivery ID]],Allocation[Volume available (kg)])</f>
        <v>1.008092010679811</v>
      </c>
      <c r="U2009" s="61">
        <f>Allocation[[#This Row],[Total volume used]]/VLOOKUP(Allocation[[#This Row],[Delivery ID]],Delivery[[Delivery ID]:[Quantity delivered]],3,FALSE)</f>
        <v>0.69063829787234043</v>
      </c>
      <c r="V2009" s="34" t="e">
        <f>VLOOKUP(Allocation[[#This Row],[SAP Contract number]],Shipments[[SAP Contract number]:[Contracted container weight]],2,FALSE)</f>
        <v>#N/A</v>
      </c>
      <c r="W2009" s="34" t="e">
        <f>VLOOKUP(Allocation[[#This Row],[SAP Contract number]],Shipments[[SAP Contract number]:[AAA Premium USD]],24,FALSE)</f>
        <v>#N/A</v>
      </c>
      <c r="X2009" s="34" t="e">
        <f>VLOOKUP(Allocation[[#This Row],[SAP Contract number]],Shipments[[SAP Contract number]:[RA Premium USD]],25,FALSE)</f>
        <v>#N/A</v>
      </c>
      <c r="Y2009" s="38">
        <f>Allocation[[#This Row],[Quantity Processed]]/Allocation[[#This Row],[Quantity allocated]]</f>
        <v>2.7778904665314403</v>
      </c>
      <c r="Z2009" s="34" t="b">
        <f>Allocation[[#This Row],[Quantity allocated]]&lt;=Allocation[[#This Row],[Quantity Processed]]</f>
        <v>1</v>
      </c>
    </row>
    <row r="2010" spans="1:26">
      <c r="A2010" s="247" t="s">
        <v>467</v>
      </c>
      <c r="B2010" s="210" t="s">
        <v>68</v>
      </c>
      <c r="C2010" s="254" t="s">
        <v>1530</v>
      </c>
      <c r="D2010" s="255">
        <v>1911</v>
      </c>
      <c r="E2010" s="211" t="s">
        <v>1936</v>
      </c>
      <c r="F2010" s="212">
        <v>43614</v>
      </c>
      <c r="G2010" s="213">
        <v>2.8</v>
      </c>
      <c r="H2010" s="256">
        <v>688</v>
      </c>
      <c r="I2010" s="214">
        <v>1462178</v>
      </c>
      <c r="J2010" s="215">
        <v>21600</v>
      </c>
      <c r="K2010" s="212">
        <v>43623</v>
      </c>
      <c r="L2010" s="211" t="s">
        <v>1942</v>
      </c>
      <c r="M2010" s="216">
        <v>4615445946</v>
      </c>
      <c r="N2010" s="212"/>
      <c r="O2010" s="218"/>
      <c r="P2010" s="219"/>
      <c r="Q2010" s="34">
        <f>SUMIF(Allocation[Delivery ID],Allocation[[#This Row],[Delivery ID]],Allocation[Quantity Processed])</f>
        <v>3194</v>
      </c>
      <c r="R2010" s="61">
        <f>Allocation[[#This Row],[Total volume used]]/VLOOKUP(Allocation[[#This Row],[Delivery ID]],Delivery[[Delivery ID]:[Quantity delivered]],3,FALSE)</f>
        <v>0.35968468468468467</v>
      </c>
      <c r="S2010" s="34">
        <f>Allocation[[#This Row],[Quantity Processed]]/Allocation[[#This Row],[Dilution rate]]</f>
        <v>682.5</v>
      </c>
      <c r="T2010" s="59">
        <f>SUMIF(Allocation[Delivery ID],Allocation[[#This Row],[Delivery ID]],Allocation[Quantity allocated])/SUMIF(Allocation[Delivery ID],Allocation[[#This Row],[Delivery ID]],Allocation[Volume available (kg)])</f>
        <v>1.008140262993112</v>
      </c>
      <c r="U2010" s="61">
        <f>Allocation[[#This Row],[Total volume used]]/VLOOKUP(Allocation[[#This Row],[Delivery ID]],Delivery[[Delivery ID]:[Quantity delivered]],3,FALSE)</f>
        <v>0.35968468468468467</v>
      </c>
      <c r="V2010" s="34" t="e">
        <f>VLOOKUP(Allocation[[#This Row],[SAP Contract number]],Shipments[[SAP Contract number]:[Contracted container weight]],2,FALSE)</f>
        <v>#N/A</v>
      </c>
      <c r="W2010" s="34" t="e">
        <f>VLOOKUP(Allocation[[#This Row],[SAP Contract number]],Shipments[[SAP Contract number]:[AAA Premium USD]],24,FALSE)</f>
        <v>#N/A</v>
      </c>
      <c r="X2010" s="34" t="e">
        <f>VLOOKUP(Allocation[[#This Row],[SAP Contract number]],Shipments[[SAP Contract number]:[RA Premium USD]],25,FALSE)</f>
        <v>#N/A</v>
      </c>
      <c r="Y2010" s="38">
        <f>Allocation[[#This Row],[Quantity Processed]]/Allocation[[#This Row],[Quantity allocated]]</f>
        <v>2.7776162790697674</v>
      </c>
      <c r="Z2010" s="34" t="b">
        <f>Allocation[[#This Row],[Quantity allocated]]&lt;=Allocation[[#This Row],[Quantity Processed]]</f>
        <v>1</v>
      </c>
    </row>
    <row r="2011" spans="1:26">
      <c r="A2011" s="247" t="s">
        <v>467</v>
      </c>
      <c r="B2011" s="210" t="s">
        <v>68</v>
      </c>
      <c r="C2011" s="254" t="s">
        <v>1531</v>
      </c>
      <c r="D2011" s="255">
        <v>3286</v>
      </c>
      <c r="E2011" s="211" t="s">
        <v>1936</v>
      </c>
      <c r="F2011" s="212">
        <v>43614</v>
      </c>
      <c r="G2011" s="213">
        <v>2.8</v>
      </c>
      <c r="H2011" s="256">
        <v>1183</v>
      </c>
      <c r="I2011" s="214">
        <v>1462178</v>
      </c>
      <c r="J2011" s="215">
        <v>21600</v>
      </c>
      <c r="K2011" s="212">
        <v>43623</v>
      </c>
      <c r="L2011" s="211" t="s">
        <v>1942</v>
      </c>
      <c r="M2011" s="216">
        <v>4615445946</v>
      </c>
      <c r="N2011" s="212"/>
      <c r="O2011" s="218"/>
      <c r="P2011" s="219"/>
      <c r="Q2011" s="34">
        <f>SUMIF(Allocation[Delivery ID],Allocation[[#This Row],[Delivery ID]],Allocation[Quantity Processed])</f>
        <v>5492</v>
      </c>
      <c r="R2011" s="61">
        <f>Allocation[[#This Row],[Total volume used]]/VLOOKUP(Allocation[[#This Row],[Delivery ID]],Delivery[[Delivery ID]:[Quantity delivered]],3,FALSE)</f>
        <v>0.36036745406824144</v>
      </c>
      <c r="S2011" s="34">
        <f>Allocation[[#This Row],[Quantity Processed]]/Allocation[[#This Row],[Dilution rate]]</f>
        <v>1173.5714285714287</v>
      </c>
      <c r="T2011" s="59">
        <f>SUMIF(Allocation[Delivery ID],Allocation[[#This Row],[Delivery ID]],Allocation[Quantity allocated])/SUMIF(Allocation[Delivery ID],Allocation[[#This Row],[Delivery ID]],Allocation[Volume available (kg)])</f>
        <v>1.0079388201019663</v>
      </c>
      <c r="U2011" s="61">
        <f>Allocation[[#This Row],[Total volume used]]/VLOOKUP(Allocation[[#This Row],[Delivery ID]],Delivery[[Delivery ID]:[Quantity delivered]],3,FALSE)</f>
        <v>0.36036745406824144</v>
      </c>
      <c r="V2011" s="34" t="e">
        <f>VLOOKUP(Allocation[[#This Row],[SAP Contract number]],Shipments[[SAP Contract number]:[Contracted container weight]],2,FALSE)</f>
        <v>#N/A</v>
      </c>
      <c r="W2011" s="34" t="e">
        <f>VLOOKUP(Allocation[[#This Row],[SAP Contract number]],Shipments[[SAP Contract number]:[AAA Premium USD]],24,FALSE)</f>
        <v>#N/A</v>
      </c>
      <c r="X2011" s="34" t="e">
        <f>VLOOKUP(Allocation[[#This Row],[SAP Contract number]],Shipments[[SAP Contract number]:[RA Premium USD]],25,FALSE)</f>
        <v>#N/A</v>
      </c>
      <c r="Y2011" s="38">
        <f>Allocation[[#This Row],[Quantity Processed]]/Allocation[[#This Row],[Quantity allocated]]</f>
        <v>2.7776838546069316</v>
      </c>
      <c r="Z2011" s="34" t="b">
        <f>Allocation[[#This Row],[Quantity allocated]]&lt;=Allocation[[#This Row],[Quantity Processed]]</f>
        <v>1</v>
      </c>
    </row>
    <row r="2012" spans="1:26">
      <c r="A2012" s="247" t="s">
        <v>467</v>
      </c>
      <c r="B2012" s="210" t="s">
        <v>68</v>
      </c>
      <c r="C2012" s="254" t="s">
        <v>1532</v>
      </c>
      <c r="D2012" s="255">
        <v>1614</v>
      </c>
      <c r="E2012" s="211" t="s">
        <v>1936</v>
      </c>
      <c r="F2012" s="212">
        <v>43614</v>
      </c>
      <c r="G2012" s="213">
        <v>2.8</v>
      </c>
      <c r="H2012" s="256">
        <v>581</v>
      </c>
      <c r="I2012" s="214">
        <v>1462178</v>
      </c>
      <c r="J2012" s="215">
        <v>21600</v>
      </c>
      <c r="K2012" s="212">
        <v>43623</v>
      </c>
      <c r="L2012" s="211" t="s">
        <v>1942</v>
      </c>
      <c r="M2012" s="216">
        <v>4615445946</v>
      </c>
      <c r="N2012" s="212"/>
      <c r="O2012" s="218"/>
      <c r="P2012" s="219"/>
      <c r="Q2012" s="34">
        <f>SUMIF(Allocation[Delivery ID],Allocation[[#This Row],[Delivery ID]],Allocation[Quantity Processed])</f>
        <v>2697</v>
      </c>
      <c r="R2012" s="61">
        <f>Allocation[[#This Row],[Total volume used]]/VLOOKUP(Allocation[[#This Row],[Delivery ID]],Delivery[[Delivery ID]:[Quantity delivered]],3,FALSE)</f>
        <v>0.36104417670682731</v>
      </c>
      <c r="S2012" s="34">
        <f>Allocation[[#This Row],[Quantity Processed]]/Allocation[[#This Row],[Dilution rate]]</f>
        <v>576.42857142857144</v>
      </c>
      <c r="T2012" s="59">
        <f>SUMIF(Allocation[Delivery ID],Allocation[[#This Row],[Delivery ID]],Allocation[Quantity allocated])/SUMIF(Allocation[Delivery ID],Allocation[[#This Row],[Delivery ID]],Allocation[Volume available (kg)])</f>
        <v>1.0080830552465703</v>
      </c>
      <c r="U2012" s="61">
        <f>Allocation[[#This Row],[Total volume used]]/VLOOKUP(Allocation[[#This Row],[Delivery ID]],Delivery[[Delivery ID]:[Quantity delivered]],3,FALSE)</f>
        <v>0.36104417670682731</v>
      </c>
      <c r="V2012" s="34" t="e">
        <f>VLOOKUP(Allocation[[#This Row],[SAP Contract number]],Shipments[[SAP Contract number]:[Contracted container weight]],2,FALSE)</f>
        <v>#N/A</v>
      </c>
      <c r="W2012" s="34" t="e">
        <f>VLOOKUP(Allocation[[#This Row],[SAP Contract number]],Shipments[[SAP Contract number]:[AAA Premium USD]],24,FALSE)</f>
        <v>#N/A</v>
      </c>
      <c r="X2012" s="34" t="e">
        <f>VLOOKUP(Allocation[[#This Row],[SAP Contract number]],Shipments[[SAP Contract number]:[RA Premium USD]],25,FALSE)</f>
        <v>#N/A</v>
      </c>
      <c r="Y2012" s="38">
        <f>Allocation[[#This Row],[Quantity Processed]]/Allocation[[#This Row],[Quantity allocated]]</f>
        <v>2.7779690189328745</v>
      </c>
      <c r="Z2012" s="34" t="b">
        <f>Allocation[[#This Row],[Quantity allocated]]&lt;=Allocation[[#This Row],[Quantity Processed]]</f>
        <v>1</v>
      </c>
    </row>
    <row r="2013" spans="1:26">
      <c r="A2013" s="247" t="s">
        <v>467</v>
      </c>
      <c r="B2013" s="210" t="s">
        <v>68</v>
      </c>
      <c r="C2013" s="254" t="s">
        <v>1533</v>
      </c>
      <c r="D2013" s="255">
        <v>2392</v>
      </c>
      <c r="E2013" s="211" t="s">
        <v>1936</v>
      </c>
      <c r="F2013" s="212">
        <v>43614</v>
      </c>
      <c r="G2013" s="213">
        <v>2.8</v>
      </c>
      <c r="H2013" s="256">
        <v>861</v>
      </c>
      <c r="I2013" s="214">
        <v>1462178</v>
      </c>
      <c r="J2013" s="215">
        <v>21600</v>
      </c>
      <c r="K2013" s="212">
        <v>43623</v>
      </c>
      <c r="L2013" s="211" t="s">
        <v>1942</v>
      </c>
      <c r="M2013" s="216">
        <v>4615445946</v>
      </c>
      <c r="N2013" s="212"/>
      <c r="O2013" s="218"/>
      <c r="P2013" s="219"/>
      <c r="Q2013" s="34">
        <f>SUMIF(Allocation[Delivery ID],Allocation[[#This Row],[Delivery ID]],Allocation[Quantity Processed])</f>
        <v>3998</v>
      </c>
      <c r="R2013" s="61">
        <f>Allocation[[#This Row],[Total volume used]]/VLOOKUP(Allocation[[#This Row],[Delivery ID]],Delivery[[Delivery ID]:[Quantity delivered]],3,FALSE)</f>
        <v>0.3605049594229035</v>
      </c>
      <c r="S2013" s="34">
        <f>Allocation[[#This Row],[Quantity Processed]]/Allocation[[#This Row],[Dilution rate]]</f>
        <v>854.28571428571433</v>
      </c>
      <c r="T2013" s="59">
        <f>SUMIF(Allocation[Delivery ID],Allocation[[#This Row],[Delivery ID]],Allocation[Quantity allocated])/SUMIF(Allocation[Delivery ID],Allocation[[#This Row],[Delivery ID]],Allocation[Volume available (kg)])</f>
        <v>1.0078039019509755</v>
      </c>
      <c r="U2013" s="61">
        <f>Allocation[[#This Row],[Total volume used]]/VLOOKUP(Allocation[[#This Row],[Delivery ID]],Delivery[[Delivery ID]:[Quantity delivered]],3,FALSE)</f>
        <v>0.3605049594229035</v>
      </c>
      <c r="V2013" s="34" t="e">
        <f>VLOOKUP(Allocation[[#This Row],[SAP Contract number]],Shipments[[SAP Contract number]:[Contracted container weight]],2,FALSE)</f>
        <v>#N/A</v>
      </c>
      <c r="W2013" s="34" t="e">
        <f>VLOOKUP(Allocation[[#This Row],[SAP Contract number]],Shipments[[SAP Contract number]:[AAA Premium USD]],24,FALSE)</f>
        <v>#N/A</v>
      </c>
      <c r="X2013" s="34" t="e">
        <f>VLOOKUP(Allocation[[#This Row],[SAP Contract number]],Shipments[[SAP Contract number]:[RA Premium USD]],25,FALSE)</f>
        <v>#N/A</v>
      </c>
      <c r="Y2013" s="38">
        <f>Allocation[[#This Row],[Quantity Processed]]/Allocation[[#This Row],[Quantity allocated]]</f>
        <v>2.7781649245063877</v>
      </c>
      <c r="Z2013" s="34" t="b">
        <f>Allocation[[#This Row],[Quantity allocated]]&lt;=Allocation[[#This Row],[Quantity Processed]]</f>
        <v>1</v>
      </c>
    </row>
    <row r="2014" spans="1:26">
      <c r="A2014" s="247" t="s">
        <v>467</v>
      </c>
      <c r="B2014" s="210" t="s">
        <v>68</v>
      </c>
      <c r="C2014" s="254" t="s">
        <v>1534</v>
      </c>
      <c r="D2014" s="255">
        <v>4597</v>
      </c>
      <c r="E2014" s="211" t="s">
        <v>1936</v>
      </c>
      <c r="F2014" s="212">
        <v>43614</v>
      </c>
      <c r="G2014" s="213">
        <v>2.8</v>
      </c>
      <c r="H2014" s="256">
        <v>1655</v>
      </c>
      <c r="I2014" s="214">
        <v>1462178</v>
      </c>
      <c r="J2014" s="215">
        <v>21600</v>
      </c>
      <c r="K2014" s="212">
        <v>43623</v>
      </c>
      <c r="L2014" s="211" t="s">
        <v>1942</v>
      </c>
      <c r="M2014" s="216">
        <v>4615445946</v>
      </c>
      <c r="N2014" s="212"/>
      <c r="O2014" s="218"/>
      <c r="P2014" s="219"/>
      <c r="Q2014" s="34">
        <f>SUMIF(Allocation[Delivery ID],Allocation[[#This Row],[Delivery ID]],Allocation[Quantity Processed])</f>
        <v>7683</v>
      </c>
      <c r="R2014" s="61">
        <f>Allocation[[#This Row],[Total volume used]]/VLOOKUP(Allocation[[#This Row],[Delivery ID]],Delivery[[Delivery ID]:[Quantity delivered]],3,FALSE)</f>
        <v>0.35952269536733739</v>
      </c>
      <c r="S2014" s="34">
        <f>Allocation[[#This Row],[Quantity Processed]]/Allocation[[#This Row],[Dilution rate]]</f>
        <v>1641.7857142857144</v>
      </c>
      <c r="T2014" s="59">
        <f>SUMIF(Allocation[Delivery ID],Allocation[[#This Row],[Delivery ID]],Allocation[Quantity allocated])/SUMIF(Allocation[Delivery ID],Allocation[[#This Row],[Delivery ID]],Allocation[Volume available (kg)])</f>
        <v>1.0080437329168292</v>
      </c>
      <c r="U2014" s="61">
        <f>Allocation[[#This Row],[Total volume used]]/VLOOKUP(Allocation[[#This Row],[Delivery ID]],Delivery[[Delivery ID]:[Quantity delivered]],3,FALSE)</f>
        <v>0.35952269536733739</v>
      </c>
      <c r="V2014" s="34" t="e">
        <f>VLOOKUP(Allocation[[#This Row],[SAP Contract number]],Shipments[[SAP Contract number]:[Contracted container weight]],2,FALSE)</f>
        <v>#N/A</v>
      </c>
      <c r="W2014" s="34" t="e">
        <f>VLOOKUP(Allocation[[#This Row],[SAP Contract number]],Shipments[[SAP Contract number]:[AAA Premium USD]],24,FALSE)</f>
        <v>#N/A</v>
      </c>
      <c r="X2014" s="34" t="e">
        <f>VLOOKUP(Allocation[[#This Row],[SAP Contract number]],Shipments[[SAP Contract number]:[RA Premium USD]],25,FALSE)</f>
        <v>#N/A</v>
      </c>
      <c r="Y2014" s="38">
        <f>Allocation[[#This Row],[Quantity Processed]]/Allocation[[#This Row],[Quantity allocated]]</f>
        <v>2.777643504531722</v>
      </c>
      <c r="Z2014" s="34" t="b">
        <f>Allocation[[#This Row],[Quantity allocated]]&lt;=Allocation[[#This Row],[Quantity Processed]]</f>
        <v>1</v>
      </c>
    </row>
    <row r="2015" spans="1:26">
      <c r="A2015" s="247" t="s">
        <v>467</v>
      </c>
      <c r="B2015" s="210" t="s">
        <v>68</v>
      </c>
      <c r="C2015" s="254" t="s">
        <v>1535</v>
      </c>
      <c r="D2015" s="255">
        <v>4186</v>
      </c>
      <c r="E2015" s="211" t="s">
        <v>1936</v>
      </c>
      <c r="F2015" s="212">
        <v>43614</v>
      </c>
      <c r="G2015" s="213">
        <v>2.8</v>
      </c>
      <c r="H2015" s="256">
        <v>1507</v>
      </c>
      <c r="I2015" s="214">
        <v>1462178</v>
      </c>
      <c r="J2015" s="215">
        <v>21600</v>
      </c>
      <c r="K2015" s="212">
        <v>43623</v>
      </c>
      <c r="L2015" s="211" t="s">
        <v>1942</v>
      </c>
      <c r="M2015" s="216">
        <v>4615445946</v>
      </c>
      <c r="N2015" s="212"/>
      <c r="O2015" s="218"/>
      <c r="P2015" s="219"/>
      <c r="Q2015" s="34">
        <f>SUMIF(Allocation[Delivery ID],Allocation[[#This Row],[Delivery ID]],Allocation[Quantity Processed])</f>
        <v>6997</v>
      </c>
      <c r="R2015" s="61">
        <f>Allocation[[#This Row],[Total volume used]]/VLOOKUP(Allocation[[#This Row],[Delivery ID]],Delivery[[Delivery ID]:[Quantity delivered]],3,FALSE)</f>
        <v>0.35974293059125961</v>
      </c>
      <c r="S2015" s="34">
        <f>Allocation[[#This Row],[Quantity Processed]]/Allocation[[#This Row],[Dilution rate]]</f>
        <v>1495</v>
      </c>
      <c r="T2015" s="59">
        <f>SUMIF(Allocation[Delivery ID],Allocation[[#This Row],[Delivery ID]],Allocation[Quantity allocated])/SUMIF(Allocation[Delivery ID],Allocation[[#This Row],[Delivery ID]],Allocation[Volume available (kg)])</f>
        <v>1.0080320137201657</v>
      </c>
      <c r="U2015" s="61">
        <f>Allocation[[#This Row],[Total volume used]]/VLOOKUP(Allocation[[#This Row],[Delivery ID]],Delivery[[Delivery ID]:[Quantity delivered]],3,FALSE)</f>
        <v>0.35974293059125961</v>
      </c>
      <c r="V2015" s="34" t="e">
        <f>VLOOKUP(Allocation[[#This Row],[SAP Contract number]],Shipments[[SAP Contract number]:[Contracted container weight]],2,FALSE)</f>
        <v>#N/A</v>
      </c>
      <c r="W2015" s="34" t="e">
        <f>VLOOKUP(Allocation[[#This Row],[SAP Contract number]],Shipments[[SAP Contract number]:[AAA Premium USD]],24,FALSE)</f>
        <v>#N/A</v>
      </c>
      <c r="X2015" s="34" t="e">
        <f>VLOOKUP(Allocation[[#This Row],[SAP Contract number]],Shipments[[SAP Contract number]:[RA Premium USD]],25,FALSE)</f>
        <v>#N/A</v>
      </c>
      <c r="Y2015" s="38">
        <f>Allocation[[#This Row],[Quantity Processed]]/Allocation[[#This Row],[Quantity allocated]]</f>
        <v>2.7777040477770405</v>
      </c>
      <c r="Z2015" s="34" t="b">
        <f>Allocation[[#This Row],[Quantity allocated]]&lt;=Allocation[[#This Row],[Quantity Processed]]</f>
        <v>1</v>
      </c>
    </row>
    <row r="2016" spans="1:26">
      <c r="A2016" s="247" t="s">
        <v>467</v>
      </c>
      <c r="B2016" s="210" t="s">
        <v>68</v>
      </c>
      <c r="C2016" s="254" t="s">
        <v>1536</v>
      </c>
      <c r="D2016" s="255">
        <v>4989</v>
      </c>
      <c r="E2016" s="211" t="s">
        <v>1936</v>
      </c>
      <c r="F2016" s="212">
        <v>43614</v>
      </c>
      <c r="G2016" s="213">
        <v>2.8</v>
      </c>
      <c r="H2016" s="256">
        <v>1796</v>
      </c>
      <c r="I2016" s="214">
        <v>1462178</v>
      </c>
      <c r="J2016" s="215">
        <v>21600</v>
      </c>
      <c r="K2016" s="212">
        <v>43623</v>
      </c>
      <c r="L2016" s="211" t="s">
        <v>1942</v>
      </c>
      <c r="M2016" s="216">
        <v>4615445946</v>
      </c>
      <c r="N2016" s="212"/>
      <c r="O2016" s="218"/>
      <c r="P2016" s="219"/>
      <c r="Q2016" s="34">
        <f>SUMIF(Allocation[Delivery ID],Allocation[[#This Row],[Delivery ID]],Allocation[Quantity Processed])</f>
        <v>8339</v>
      </c>
      <c r="R2016" s="61">
        <f>Allocation[[#This Row],[Total volume used]]/VLOOKUP(Allocation[[#This Row],[Delivery ID]],Delivery[[Delivery ID]:[Quantity delivered]],3,FALSE)</f>
        <v>0.35928479103834554</v>
      </c>
      <c r="S2016" s="34">
        <f>Allocation[[#This Row],[Quantity Processed]]/Allocation[[#This Row],[Dilution rate]]</f>
        <v>1781.7857142857144</v>
      </c>
      <c r="T2016" s="59">
        <f>SUMIF(Allocation[Delivery ID],Allocation[[#This Row],[Delivery ID]],Allocation[Quantity allocated])/SUMIF(Allocation[Delivery ID],Allocation[[#This Row],[Delivery ID]],Allocation[Volume available (kg)])</f>
        <v>1.0079865691329895</v>
      </c>
      <c r="U2016" s="61">
        <f>Allocation[[#This Row],[Total volume used]]/VLOOKUP(Allocation[[#This Row],[Delivery ID]],Delivery[[Delivery ID]:[Quantity delivered]],3,FALSE)</f>
        <v>0.35928479103834554</v>
      </c>
      <c r="V2016" s="34" t="e">
        <f>VLOOKUP(Allocation[[#This Row],[SAP Contract number]],Shipments[[SAP Contract number]:[Contracted container weight]],2,FALSE)</f>
        <v>#N/A</v>
      </c>
      <c r="W2016" s="34" t="e">
        <f>VLOOKUP(Allocation[[#This Row],[SAP Contract number]],Shipments[[SAP Contract number]:[AAA Premium USD]],24,FALSE)</f>
        <v>#N/A</v>
      </c>
      <c r="X2016" s="34" t="e">
        <f>VLOOKUP(Allocation[[#This Row],[SAP Contract number]],Shipments[[SAP Contract number]:[RA Premium USD]],25,FALSE)</f>
        <v>#N/A</v>
      </c>
      <c r="Y2016" s="38">
        <f>Allocation[[#This Row],[Quantity Processed]]/Allocation[[#This Row],[Quantity allocated]]</f>
        <v>2.7778396436525612</v>
      </c>
      <c r="Z2016" s="34" t="b">
        <f>Allocation[[#This Row],[Quantity allocated]]&lt;=Allocation[[#This Row],[Quantity Processed]]</f>
        <v>1</v>
      </c>
    </row>
    <row r="2017" spans="1:26">
      <c r="A2017" s="247" t="s">
        <v>467</v>
      </c>
      <c r="B2017" s="210" t="s">
        <v>68</v>
      </c>
      <c r="C2017" s="254" t="s">
        <v>1537</v>
      </c>
      <c r="D2017" s="255">
        <v>994</v>
      </c>
      <c r="E2017" s="211" t="s">
        <v>1936</v>
      </c>
      <c r="F2017" s="212">
        <v>43614</v>
      </c>
      <c r="G2017" s="213">
        <v>2.8</v>
      </c>
      <c r="H2017" s="256">
        <v>358</v>
      </c>
      <c r="I2017" s="214">
        <v>1462178</v>
      </c>
      <c r="J2017" s="215">
        <v>21600</v>
      </c>
      <c r="K2017" s="212">
        <v>43623</v>
      </c>
      <c r="L2017" s="211" t="s">
        <v>1942</v>
      </c>
      <c r="M2017" s="216">
        <v>4615445946</v>
      </c>
      <c r="N2017" s="212"/>
      <c r="O2017" s="218"/>
      <c r="P2017" s="219"/>
      <c r="Q2017" s="34">
        <f>SUMIF(Allocation[Delivery ID],Allocation[[#This Row],[Delivery ID]],Allocation[Quantity Processed])</f>
        <v>1930</v>
      </c>
      <c r="R2017" s="61">
        <f>Allocation[[#This Row],[Total volume used]]/VLOOKUP(Allocation[[#This Row],[Delivery ID]],Delivery[[Delivery ID]:[Quantity delivered]],3,FALSE)</f>
        <v>1</v>
      </c>
      <c r="S2017" s="34">
        <f>Allocation[[#This Row],[Quantity Processed]]/Allocation[[#This Row],[Dilution rate]]</f>
        <v>355</v>
      </c>
      <c r="T2017" s="59">
        <f>SUMIF(Allocation[Delivery ID],Allocation[[#This Row],[Delivery ID]],Allocation[Quantity allocated])/SUMIF(Allocation[Delivery ID],Allocation[[#This Row],[Delivery ID]],Allocation[Volume available (kg)])</f>
        <v>1.0082901554404144</v>
      </c>
      <c r="U2017" s="61">
        <f>Allocation[[#This Row],[Total volume used]]/VLOOKUP(Allocation[[#This Row],[Delivery ID]],Delivery[[Delivery ID]:[Quantity delivered]],3,FALSE)</f>
        <v>1</v>
      </c>
      <c r="V2017" s="34" t="e">
        <f>VLOOKUP(Allocation[[#This Row],[SAP Contract number]],Shipments[[SAP Contract number]:[Contracted container weight]],2,FALSE)</f>
        <v>#N/A</v>
      </c>
      <c r="W2017" s="34" t="e">
        <f>VLOOKUP(Allocation[[#This Row],[SAP Contract number]],Shipments[[SAP Contract number]:[AAA Premium USD]],24,FALSE)</f>
        <v>#N/A</v>
      </c>
      <c r="X2017" s="34" t="e">
        <f>VLOOKUP(Allocation[[#This Row],[SAP Contract number]],Shipments[[SAP Contract number]:[RA Premium USD]],25,FALSE)</f>
        <v>#N/A</v>
      </c>
      <c r="Y2017" s="38">
        <f>Allocation[[#This Row],[Quantity Processed]]/Allocation[[#This Row],[Quantity allocated]]</f>
        <v>2.7765363128491618</v>
      </c>
      <c r="Z2017" s="34" t="b">
        <f>Allocation[[#This Row],[Quantity allocated]]&lt;=Allocation[[#This Row],[Quantity Processed]]</f>
        <v>1</v>
      </c>
    </row>
    <row r="2018" spans="1:26">
      <c r="A2018" s="247" t="s">
        <v>467</v>
      </c>
      <c r="B2018" s="210" t="s">
        <v>68</v>
      </c>
      <c r="C2018" s="254" t="s">
        <v>1538</v>
      </c>
      <c r="D2018" s="255">
        <v>342</v>
      </c>
      <c r="E2018" s="211" t="s">
        <v>1936</v>
      </c>
      <c r="F2018" s="212">
        <v>43614</v>
      </c>
      <c r="G2018" s="213">
        <v>2.8</v>
      </c>
      <c r="H2018" s="256">
        <v>123</v>
      </c>
      <c r="I2018" s="214">
        <v>1462178</v>
      </c>
      <c r="J2018" s="215">
        <v>21600</v>
      </c>
      <c r="K2018" s="212">
        <v>43623</v>
      </c>
      <c r="L2018" s="211" t="s">
        <v>1942</v>
      </c>
      <c r="M2018" s="216">
        <v>4615445946</v>
      </c>
      <c r="N2018" s="212"/>
      <c r="O2018" s="218"/>
      <c r="P2018" s="219"/>
      <c r="Q2018" s="34">
        <f>SUMIF(Allocation[Delivery ID],Allocation[[#This Row],[Delivery ID]],Allocation[Quantity Processed])</f>
        <v>670</v>
      </c>
      <c r="R2018" s="61">
        <f>Allocation[[#This Row],[Total volume used]]/VLOOKUP(Allocation[[#This Row],[Delivery ID]],Delivery[[Delivery ID]:[Quantity delivered]],3,FALSE)</f>
        <v>1</v>
      </c>
      <c r="S2018" s="34">
        <f>Allocation[[#This Row],[Quantity Processed]]/Allocation[[#This Row],[Dilution rate]]</f>
        <v>122.14285714285715</v>
      </c>
      <c r="T2018" s="59">
        <f>SUMIF(Allocation[Delivery ID],Allocation[[#This Row],[Delivery ID]],Allocation[Quantity allocated])/SUMIF(Allocation[Delivery ID],Allocation[[#This Row],[Delivery ID]],Allocation[Volume available (kg)])</f>
        <v>1.0071641791044774</v>
      </c>
      <c r="U2018" s="61">
        <f>Allocation[[#This Row],[Total volume used]]/VLOOKUP(Allocation[[#This Row],[Delivery ID]],Delivery[[Delivery ID]:[Quantity delivered]],3,FALSE)</f>
        <v>1</v>
      </c>
      <c r="V2018" s="34" t="e">
        <f>VLOOKUP(Allocation[[#This Row],[SAP Contract number]],Shipments[[SAP Contract number]:[Contracted container weight]],2,FALSE)</f>
        <v>#N/A</v>
      </c>
      <c r="W2018" s="34" t="e">
        <f>VLOOKUP(Allocation[[#This Row],[SAP Contract number]],Shipments[[SAP Contract number]:[AAA Premium USD]],24,FALSE)</f>
        <v>#N/A</v>
      </c>
      <c r="X2018" s="34" t="e">
        <f>VLOOKUP(Allocation[[#This Row],[SAP Contract number]],Shipments[[SAP Contract number]:[RA Premium USD]],25,FALSE)</f>
        <v>#N/A</v>
      </c>
      <c r="Y2018" s="38">
        <f>Allocation[[#This Row],[Quantity Processed]]/Allocation[[#This Row],[Quantity allocated]]</f>
        <v>2.7804878048780486</v>
      </c>
      <c r="Z2018" s="34" t="b">
        <f>Allocation[[#This Row],[Quantity allocated]]&lt;=Allocation[[#This Row],[Quantity Processed]]</f>
        <v>1</v>
      </c>
    </row>
    <row r="2019" spans="1:26">
      <c r="A2019" s="247" t="s">
        <v>467</v>
      </c>
      <c r="B2019" s="210" t="s">
        <v>68</v>
      </c>
      <c r="C2019" s="254" t="s">
        <v>1539</v>
      </c>
      <c r="D2019" s="255">
        <v>8525</v>
      </c>
      <c r="E2019" s="211" t="s">
        <v>1936</v>
      </c>
      <c r="F2019" s="212">
        <v>43614</v>
      </c>
      <c r="G2019" s="213">
        <v>2.8</v>
      </c>
      <c r="H2019" s="256">
        <v>3069</v>
      </c>
      <c r="I2019" s="214">
        <v>1462178</v>
      </c>
      <c r="J2019" s="215">
        <v>21600</v>
      </c>
      <c r="K2019" s="212">
        <v>43623</v>
      </c>
      <c r="L2019" s="211" t="s">
        <v>1942</v>
      </c>
      <c r="M2019" s="216">
        <v>4615445946</v>
      </c>
      <c r="N2019" s="212"/>
      <c r="O2019" s="218"/>
      <c r="P2019" s="219"/>
      <c r="Q2019" s="34">
        <f>SUMIF(Allocation[Delivery ID],Allocation[[#This Row],[Delivery ID]],Allocation[Quantity Processed])</f>
        <v>10590</v>
      </c>
      <c r="R2019" s="61">
        <f>Allocation[[#This Row],[Total volume used]]/VLOOKUP(Allocation[[#This Row],[Delivery ID]],Delivery[[Delivery ID]:[Quantity delivered]],3,FALSE)</f>
        <v>0.57932166301969368</v>
      </c>
      <c r="S2019" s="34">
        <f>Allocation[[#This Row],[Quantity Processed]]/Allocation[[#This Row],[Dilution rate]]</f>
        <v>3044.6428571428573</v>
      </c>
      <c r="T2019" s="59">
        <f>SUMIF(Allocation[Delivery ID],Allocation[[#This Row],[Delivery ID]],Allocation[Quantity allocated])/SUMIF(Allocation[Delivery ID],Allocation[[#This Row],[Delivery ID]],Allocation[Volume available (kg)])</f>
        <v>1.1998489140698771</v>
      </c>
      <c r="U2019" s="61">
        <f>Allocation[[#This Row],[Total volume used]]/VLOOKUP(Allocation[[#This Row],[Delivery ID]],Delivery[[Delivery ID]:[Quantity delivered]],3,FALSE)</f>
        <v>0.57932166301969368</v>
      </c>
      <c r="V2019" s="34" t="e">
        <f>VLOOKUP(Allocation[[#This Row],[SAP Contract number]],Shipments[[SAP Contract number]:[Contracted container weight]],2,FALSE)</f>
        <v>#N/A</v>
      </c>
      <c r="W2019" s="34" t="e">
        <f>VLOOKUP(Allocation[[#This Row],[SAP Contract number]],Shipments[[SAP Contract number]:[AAA Premium USD]],24,FALSE)</f>
        <v>#N/A</v>
      </c>
      <c r="X2019" s="34" t="e">
        <f>VLOOKUP(Allocation[[#This Row],[SAP Contract number]],Shipments[[SAP Contract number]:[RA Premium USD]],25,FALSE)</f>
        <v>#N/A</v>
      </c>
      <c r="Y2019" s="38">
        <f>Allocation[[#This Row],[Quantity Processed]]/Allocation[[#This Row],[Quantity allocated]]</f>
        <v>2.7777777777777777</v>
      </c>
      <c r="Z2019" s="34" t="b">
        <f>Allocation[[#This Row],[Quantity allocated]]&lt;=Allocation[[#This Row],[Quantity Processed]]</f>
        <v>1</v>
      </c>
    </row>
    <row r="2020" spans="1:26">
      <c r="A2020" s="247" t="s">
        <v>467</v>
      </c>
      <c r="B2020" s="210" t="s">
        <v>68</v>
      </c>
      <c r="C2020" s="254" t="s">
        <v>1539</v>
      </c>
      <c r="D2020" s="255">
        <v>931</v>
      </c>
      <c r="E2020" s="211" t="s">
        <v>1936</v>
      </c>
      <c r="F2020" s="212">
        <v>43614</v>
      </c>
      <c r="G2020" s="213">
        <v>2.8</v>
      </c>
      <c r="H2020" s="256">
        <v>335</v>
      </c>
      <c r="I2020" s="214">
        <v>1462179</v>
      </c>
      <c r="J2020" s="215">
        <v>21600</v>
      </c>
      <c r="K2020" s="212">
        <v>43623</v>
      </c>
      <c r="L2020" s="211" t="s">
        <v>1943</v>
      </c>
      <c r="M2020" s="216">
        <v>4615445946</v>
      </c>
      <c r="N2020" s="212"/>
      <c r="O2020" s="218"/>
      <c r="P2020" s="219"/>
      <c r="Q2020" s="34">
        <f>SUMIF(Allocation[Delivery ID],Allocation[[#This Row],[Delivery ID]],Allocation[Quantity Processed])</f>
        <v>10590</v>
      </c>
      <c r="R2020" s="61">
        <f>Allocation[[#This Row],[Total volume used]]/VLOOKUP(Allocation[[#This Row],[Delivery ID]],Delivery[[Delivery ID]:[Quantity delivered]],3,FALSE)</f>
        <v>0.57932166301969368</v>
      </c>
      <c r="S2020" s="34">
        <f>Allocation[[#This Row],[Quantity Processed]]/Allocation[[#This Row],[Dilution rate]]</f>
        <v>332.5</v>
      </c>
      <c r="T2020" s="59">
        <f>SUMIF(Allocation[Delivery ID],Allocation[[#This Row],[Delivery ID]],Allocation[Quantity allocated])/SUMIF(Allocation[Delivery ID],Allocation[[#This Row],[Delivery ID]],Allocation[Volume available (kg)])</f>
        <v>1.1998489140698771</v>
      </c>
      <c r="U2020" s="61">
        <f>Allocation[[#This Row],[Total volume used]]/VLOOKUP(Allocation[[#This Row],[Delivery ID]],Delivery[[Delivery ID]:[Quantity delivered]],3,FALSE)</f>
        <v>0.57932166301969368</v>
      </c>
      <c r="V2020" s="34" t="e">
        <f>VLOOKUP(Allocation[[#This Row],[SAP Contract number]],Shipments[[SAP Contract number]:[Contracted container weight]],2,FALSE)</f>
        <v>#N/A</v>
      </c>
      <c r="W2020" s="34" t="e">
        <f>VLOOKUP(Allocation[[#This Row],[SAP Contract number]],Shipments[[SAP Contract number]:[AAA Premium USD]],24,FALSE)</f>
        <v>#N/A</v>
      </c>
      <c r="X2020" s="34" t="e">
        <f>VLOOKUP(Allocation[[#This Row],[SAP Contract number]],Shipments[[SAP Contract number]:[RA Premium USD]],25,FALSE)</f>
        <v>#N/A</v>
      </c>
      <c r="Y2020" s="38">
        <f>Allocation[[#This Row],[Quantity Processed]]/Allocation[[#This Row],[Quantity allocated]]</f>
        <v>2.7791044776119405</v>
      </c>
      <c r="Z2020" s="34" t="b">
        <f>Allocation[[#This Row],[Quantity allocated]]&lt;=Allocation[[#This Row],[Quantity Processed]]</f>
        <v>1</v>
      </c>
    </row>
    <row r="2021" spans="1:26">
      <c r="A2021" s="247" t="s">
        <v>467</v>
      </c>
      <c r="B2021" s="210" t="s">
        <v>68</v>
      </c>
      <c r="C2021" s="254" t="s">
        <v>1540</v>
      </c>
      <c r="D2021" s="255">
        <v>4006</v>
      </c>
      <c r="E2021" s="211" t="s">
        <v>1936</v>
      </c>
      <c r="F2021" s="212">
        <v>43614</v>
      </c>
      <c r="G2021" s="213">
        <v>2.8</v>
      </c>
      <c r="H2021" s="256">
        <v>1442</v>
      </c>
      <c r="I2021" s="214">
        <v>1462179</v>
      </c>
      <c r="J2021" s="215">
        <v>21600</v>
      </c>
      <c r="K2021" s="212">
        <v>43623</v>
      </c>
      <c r="L2021" s="211" t="s">
        <v>1943</v>
      </c>
      <c r="M2021" s="216">
        <v>4615445946</v>
      </c>
      <c r="N2021" s="212"/>
      <c r="O2021" s="218"/>
      <c r="P2021" s="219"/>
      <c r="Q2021" s="34">
        <f>SUMIF(Allocation[Delivery ID],Allocation[[#This Row],[Delivery ID]],Allocation[Quantity Processed])</f>
        <v>6695</v>
      </c>
      <c r="R2021" s="61">
        <f>Allocation[[#This Row],[Total volume used]]/VLOOKUP(Allocation[[#This Row],[Delivery ID]],Delivery[[Delivery ID]:[Quantity delivered]],3,FALSE)</f>
        <v>0.35975282106394413</v>
      </c>
      <c r="S2021" s="34">
        <f>Allocation[[#This Row],[Quantity Processed]]/Allocation[[#This Row],[Dilution rate]]</f>
        <v>1430.7142857142858</v>
      </c>
      <c r="T2021" s="59">
        <f>SUMIF(Allocation[Delivery ID],Allocation[[#This Row],[Delivery ID]],Allocation[Quantity allocated])/SUMIF(Allocation[Delivery ID],Allocation[[#This Row],[Delivery ID]],Allocation[Volume available (kg)])</f>
        <v>1.007916355489171</v>
      </c>
      <c r="U2021" s="61">
        <f>Allocation[[#This Row],[Total volume used]]/VLOOKUP(Allocation[[#This Row],[Delivery ID]],Delivery[[Delivery ID]:[Quantity delivered]],3,FALSE)</f>
        <v>0.35975282106394413</v>
      </c>
      <c r="V2021" s="34" t="e">
        <f>VLOOKUP(Allocation[[#This Row],[SAP Contract number]],Shipments[[SAP Contract number]:[Contracted container weight]],2,FALSE)</f>
        <v>#N/A</v>
      </c>
      <c r="W2021" s="34" t="e">
        <f>VLOOKUP(Allocation[[#This Row],[SAP Contract number]],Shipments[[SAP Contract number]:[AAA Premium USD]],24,FALSE)</f>
        <v>#N/A</v>
      </c>
      <c r="X2021" s="34" t="e">
        <f>VLOOKUP(Allocation[[#This Row],[SAP Contract number]],Shipments[[SAP Contract number]:[RA Premium USD]],25,FALSE)</f>
        <v>#N/A</v>
      </c>
      <c r="Y2021" s="38">
        <f>Allocation[[#This Row],[Quantity Processed]]/Allocation[[#This Row],[Quantity allocated]]</f>
        <v>2.7780859916782248</v>
      </c>
      <c r="Z2021" s="34" t="b">
        <f>Allocation[[#This Row],[Quantity allocated]]&lt;=Allocation[[#This Row],[Quantity Processed]]</f>
        <v>1</v>
      </c>
    </row>
    <row r="2022" spans="1:26">
      <c r="A2022" s="247" t="s">
        <v>467</v>
      </c>
      <c r="B2022" s="210" t="s">
        <v>68</v>
      </c>
      <c r="C2022" s="254" t="s">
        <v>1541</v>
      </c>
      <c r="D2022" s="255">
        <v>14</v>
      </c>
      <c r="E2022" s="211" t="s">
        <v>1936</v>
      </c>
      <c r="F2022" s="212">
        <v>43614</v>
      </c>
      <c r="G2022" s="213">
        <v>2.8</v>
      </c>
      <c r="H2022" s="256">
        <v>5</v>
      </c>
      <c r="I2022" s="214">
        <v>1462179</v>
      </c>
      <c r="J2022" s="215">
        <v>21600</v>
      </c>
      <c r="K2022" s="212">
        <v>43623</v>
      </c>
      <c r="L2022" s="211" t="s">
        <v>1943</v>
      </c>
      <c r="M2022" s="216">
        <v>4615445946</v>
      </c>
      <c r="N2022" s="212"/>
      <c r="O2022" s="218"/>
      <c r="P2022" s="219"/>
      <c r="Q2022" s="34">
        <f>SUMIF(Allocation[Delivery ID],Allocation[[#This Row],[Delivery ID]],Allocation[Quantity Processed])</f>
        <v>22</v>
      </c>
      <c r="R2022" s="61">
        <f>Allocation[[#This Row],[Total volume used]]/VLOOKUP(Allocation[[#This Row],[Delivery ID]],Delivery[[Delivery ID]:[Quantity delivered]],3,FALSE)</f>
        <v>0.44</v>
      </c>
      <c r="S2022" s="34">
        <f>Allocation[[#This Row],[Quantity Processed]]/Allocation[[#This Row],[Dilution rate]]</f>
        <v>5</v>
      </c>
      <c r="T2022" s="59">
        <f>SUMIF(Allocation[Delivery ID],Allocation[[#This Row],[Delivery ID]],Allocation[Quantity allocated])/SUMIF(Allocation[Delivery ID],Allocation[[#This Row],[Delivery ID]],Allocation[Volume available (kg)])</f>
        <v>1.0181818181818181</v>
      </c>
      <c r="U2022" s="61">
        <f>Allocation[[#This Row],[Total volume used]]/VLOOKUP(Allocation[[#This Row],[Delivery ID]],Delivery[[Delivery ID]:[Quantity delivered]],3,FALSE)</f>
        <v>0.44</v>
      </c>
      <c r="V2022" s="34" t="e">
        <f>VLOOKUP(Allocation[[#This Row],[SAP Contract number]],Shipments[[SAP Contract number]:[Contracted container weight]],2,FALSE)</f>
        <v>#N/A</v>
      </c>
      <c r="W2022" s="34" t="e">
        <f>VLOOKUP(Allocation[[#This Row],[SAP Contract number]],Shipments[[SAP Contract number]:[AAA Premium USD]],24,FALSE)</f>
        <v>#N/A</v>
      </c>
      <c r="X2022" s="34" t="e">
        <f>VLOOKUP(Allocation[[#This Row],[SAP Contract number]],Shipments[[SAP Contract number]:[RA Premium USD]],25,FALSE)</f>
        <v>#N/A</v>
      </c>
      <c r="Y2022" s="38">
        <f>Allocation[[#This Row],[Quantity Processed]]/Allocation[[#This Row],[Quantity allocated]]</f>
        <v>2.8</v>
      </c>
      <c r="Z2022" s="34" t="b">
        <f>Allocation[[#This Row],[Quantity allocated]]&lt;=Allocation[[#This Row],[Quantity Processed]]</f>
        <v>1</v>
      </c>
    </row>
    <row r="2023" spans="1:26">
      <c r="A2023" s="247" t="s">
        <v>467</v>
      </c>
      <c r="B2023" s="210" t="s">
        <v>68</v>
      </c>
      <c r="C2023" s="254" t="s">
        <v>1542</v>
      </c>
      <c r="D2023" s="255">
        <v>3261</v>
      </c>
      <c r="E2023" s="211" t="s">
        <v>1936</v>
      </c>
      <c r="F2023" s="212">
        <v>43614</v>
      </c>
      <c r="G2023" s="213">
        <v>2.8</v>
      </c>
      <c r="H2023" s="256">
        <v>1174</v>
      </c>
      <c r="I2023" s="214">
        <v>1462179</v>
      </c>
      <c r="J2023" s="215">
        <v>21600</v>
      </c>
      <c r="K2023" s="212">
        <v>43623</v>
      </c>
      <c r="L2023" s="211" t="s">
        <v>1943</v>
      </c>
      <c r="M2023" s="216">
        <v>4615445946</v>
      </c>
      <c r="N2023" s="212"/>
      <c r="O2023" s="218"/>
      <c r="P2023" s="219"/>
      <c r="Q2023" s="34">
        <f>SUMIF(Allocation[Delivery ID],Allocation[[#This Row],[Delivery ID]],Allocation[Quantity Processed])</f>
        <v>4348</v>
      </c>
      <c r="R2023" s="61">
        <f>Allocation[[#This Row],[Total volume used]]/VLOOKUP(Allocation[[#This Row],[Delivery ID]],Delivery[[Delivery ID]:[Quantity delivered]],3,FALSE)</f>
        <v>0.69235668789808913</v>
      </c>
      <c r="S2023" s="34">
        <f>Allocation[[#This Row],[Quantity Processed]]/Allocation[[#This Row],[Dilution rate]]</f>
        <v>1164.6428571428571</v>
      </c>
      <c r="T2023" s="59">
        <f>SUMIF(Allocation[Delivery ID],Allocation[[#This Row],[Delivery ID]],Allocation[Quantity allocated])/SUMIF(Allocation[Delivery ID],Allocation[[#This Row],[Delivery ID]],Allocation[Volume available (kg)])</f>
        <v>1.0078196872125116</v>
      </c>
      <c r="U2023" s="61">
        <f>Allocation[[#This Row],[Total volume used]]/VLOOKUP(Allocation[[#This Row],[Delivery ID]],Delivery[[Delivery ID]:[Quantity delivered]],3,FALSE)</f>
        <v>0.69235668789808913</v>
      </c>
      <c r="V2023" s="34" t="e">
        <f>VLOOKUP(Allocation[[#This Row],[SAP Contract number]],Shipments[[SAP Contract number]:[Contracted container weight]],2,FALSE)</f>
        <v>#N/A</v>
      </c>
      <c r="W2023" s="34" t="e">
        <f>VLOOKUP(Allocation[[#This Row],[SAP Contract number]],Shipments[[SAP Contract number]:[AAA Premium USD]],24,FALSE)</f>
        <v>#N/A</v>
      </c>
      <c r="X2023" s="34" t="e">
        <f>VLOOKUP(Allocation[[#This Row],[SAP Contract number]],Shipments[[SAP Contract number]:[RA Premium USD]],25,FALSE)</f>
        <v>#N/A</v>
      </c>
      <c r="Y2023" s="38">
        <f>Allocation[[#This Row],[Quantity Processed]]/Allocation[[#This Row],[Quantity allocated]]</f>
        <v>2.7776831345826234</v>
      </c>
      <c r="Z2023" s="34" t="b">
        <f>Allocation[[#This Row],[Quantity allocated]]&lt;=Allocation[[#This Row],[Quantity Processed]]</f>
        <v>1</v>
      </c>
    </row>
    <row r="2024" spans="1:26">
      <c r="A2024" s="247" t="s">
        <v>467</v>
      </c>
      <c r="B2024" s="210" t="s">
        <v>68</v>
      </c>
      <c r="C2024" s="254" t="s">
        <v>1543</v>
      </c>
      <c r="D2024" s="255">
        <v>8347</v>
      </c>
      <c r="E2024" s="211" t="s">
        <v>1936</v>
      </c>
      <c r="F2024" s="212">
        <v>43614</v>
      </c>
      <c r="G2024" s="213">
        <v>2.8</v>
      </c>
      <c r="H2024" s="256">
        <v>3005</v>
      </c>
      <c r="I2024" s="214">
        <v>1462179</v>
      </c>
      <c r="J2024" s="215">
        <v>21600</v>
      </c>
      <c r="K2024" s="212">
        <v>43623</v>
      </c>
      <c r="L2024" s="211" t="s">
        <v>1943</v>
      </c>
      <c r="M2024" s="216">
        <v>4615445946</v>
      </c>
      <c r="N2024" s="212"/>
      <c r="O2024" s="218"/>
      <c r="P2024" s="219"/>
      <c r="Q2024" s="34">
        <f>SUMIF(Allocation[Delivery ID],Allocation[[#This Row],[Delivery ID]],Allocation[Quantity Processed])</f>
        <v>11129</v>
      </c>
      <c r="R2024" s="61">
        <f>Allocation[[#This Row],[Total volume used]]/VLOOKUP(Allocation[[#This Row],[Delivery ID]],Delivery[[Delivery ID]:[Quantity delivered]],3,FALSE)</f>
        <v>0.68910216718266248</v>
      </c>
      <c r="S2024" s="34">
        <f>Allocation[[#This Row],[Quantity Processed]]/Allocation[[#This Row],[Dilution rate]]</f>
        <v>2981.0714285714289</v>
      </c>
      <c r="T2024" s="59">
        <f>SUMIF(Allocation[Delivery ID],Allocation[[#This Row],[Delivery ID]],Allocation[Quantity allocated])/SUMIF(Allocation[Delivery ID],Allocation[[#This Row],[Delivery ID]],Allocation[Volume available (kg)])</f>
        <v>1.0081408931620091</v>
      </c>
      <c r="U2024" s="61">
        <f>Allocation[[#This Row],[Total volume used]]/VLOOKUP(Allocation[[#This Row],[Delivery ID]],Delivery[[Delivery ID]:[Quantity delivered]],3,FALSE)</f>
        <v>0.68910216718266248</v>
      </c>
      <c r="V2024" s="34" t="e">
        <f>VLOOKUP(Allocation[[#This Row],[SAP Contract number]],Shipments[[SAP Contract number]:[Contracted container weight]],2,FALSE)</f>
        <v>#N/A</v>
      </c>
      <c r="W2024" s="34" t="e">
        <f>VLOOKUP(Allocation[[#This Row],[SAP Contract number]],Shipments[[SAP Contract number]:[AAA Premium USD]],24,FALSE)</f>
        <v>#N/A</v>
      </c>
      <c r="X2024" s="34" t="e">
        <f>VLOOKUP(Allocation[[#This Row],[SAP Contract number]],Shipments[[SAP Contract number]:[RA Premium USD]],25,FALSE)</f>
        <v>#N/A</v>
      </c>
      <c r="Y2024" s="38">
        <f>Allocation[[#This Row],[Quantity Processed]]/Allocation[[#This Row],[Quantity allocated]]</f>
        <v>2.7777038269550749</v>
      </c>
      <c r="Z2024" s="34" t="b">
        <f>Allocation[[#This Row],[Quantity allocated]]&lt;=Allocation[[#This Row],[Quantity Processed]]</f>
        <v>1</v>
      </c>
    </row>
    <row r="2025" spans="1:26">
      <c r="A2025" s="247" t="s">
        <v>467</v>
      </c>
      <c r="B2025" s="210" t="s">
        <v>68</v>
      </c>
      <c r="C2025" s="254" t="s">
        <v>1544</v>
      </c>
      <c r="D2025" s="255">
        <v>900</v>
      </c>
      <c r="E2025" s="211" t="s">
        <v>1936</v>
      </c>
      <c r="F2025" s="212">
        <v>43614</v>
      </c>
      <c r="G2025" s="213">
        <v>2.8</v>
      </c>
      <c r="H2025" s="256">
        <v>324</v>
      </c>
      <c r="I2025" s="214">
        <v>1462179</v>
      </c>
      <c r="J2025" s="215">
        <v>21600</v>
      </c>
      <c r="K2025" s="212">
        <v>43623</v>
      </c>
      <c r="L2025" s="211" t="s">
        <v>1943</v>
      </c>
      <c r="M2025" s="216">
        <v>4615445946</v>
      </c>
      <c r="N2025" s="212"/>
      <c r="O2025" s="218"/>
      <c r="P2025" s="219"/>
      <c r="Q2025" s="34">
        <f>SUMIF(Allocation[Delivery ID],Allocation[[#This Row],[Delivery ID]],Allocation[Quantity Processed])</f>
        <v>1750</v>
      </c>
      <c r="R2025" s="61">
        <f>Allocation[[#This Row],[Total volume used]]/VLOOKUP(Allocation[[#This Row],[Delivery ID]],Delivery[[Delivery ID]:[Quantity delivered]],3,FALSE)</f>
        <v>1</v>
      </c>
      <c r="S2025" s="34">
        <f>Allocation[[#This Row],[Quantity Processed]]/Allocation[[#This Row],[Dilution rate]]</f>
        <v>321.42857142857144</v>
      </c>
      <c r="T2025" s="59">
        <f>SUMIF(Allocation[Delivery ID],Allocation[[#This Row],[Delivery ID]],Allocation[Quantity allocated])/SUMIF(Allocation[Delivery ID],Allocation[[#This Row],[Delivery ID]],Allocation[Volume available (kg)])</f>
        <v>1.008</v>
      </c>
      <c r="U2025" s="61">
        <f>Allocation[[#This Row],[Total volume used]]/VLOOKUP(Allocation[[#This Row],[Delivery ID]],Delivery[[Delivery ID]:[Quantity delivered]],3,FALSE)</f>
        <v>1</v>
      </c>
      <c r="V2025" s="34" t="e">
        <f>VLOOKUP(Allocation[[#This Row],[SAP Contract number]],Shipments[[SAP Contract number]:[Contracted container weight]],2,FALSE)</f>
        <v>#N/A</v>
      </c>
      <c r="W2025" s="34" t="e">
        <f>VLOOKUP(Allocation[[#This Row],[SAP Contract number]],Shipments[[SAP Contract number]:[AAA Premium USD]],24,FALSE)</f>
        <v>#N/A</v>
      </c>
      <c r="X2025" s="34" t="e">
        <f>VLOOKUP(Allocation[[#This Row],[SAP Contract number]],Shipments[[SAP Contract number]:[RA Premium USD]],25,FALSE)</f>
        <v>#N/A</v>
      </c>
      <c r="Y2025" s="38">
        <f>Allocation[[#This Row],[Quantity Processed]]/Allocation[[#This Row],[Quantity allocated]]</f>
        <v>2.7777777777777777</v>
      </c>
      <c r="Z2025" s="34" t="b">
        <f>Allocation[[#This Row],[Quantity allocated]]&lt;=Allocation[[#This Row],[Quantity Processed]]</f>
        <v>1</v>
      </c>
    </row>
    <row r="2026" spans="1:26">
      <c r="A2026" s="247" t="s">
        <v>467</v>
      </c>
      <c r="B2026" s="210" t="s">
        <v>68</v>
      </c>
      <c r="C2026" s="254" t="s">
        <v>1545</v>
      </c>
      <c r="D2026" s="255">
        <v>4592</v>
      </c>
      <c r="E2026" s="211" t="s">
        <v>1936</v>
      </c>
      <c r="F2026" s="212">
        <v>43614</v>
      </c>
      <c r="G2026" s="213">
        <v>2.8</v>
      </c>
      <c r="H2026" s="256">
        <v>1653</v>
      </c>
      <c r="I2026" s="214">
        <v>1462179</v>
      </c>
      <c r="J2026" s="215">
        <v>21600</v>
      </c>
      <c r="K2026" s="212">
        <v>43623</v>
      </c>
      <c r="L2026" s="211" t="s">
        <v>1943</v>
      </c>
      <c r="M2026" s="216">
        <v>4615445946</v>
      </c>
      <c r="N2026" s="212"/>
      <c r="O2026" s="218"/>
      <c r="P2026" s="219"/>
      <c r="Q2026" s="34">
        <f>SUMIF(Allocation[Delivery ID],Allocation[[#This Row],[Delivery ID]],Allocation[Quantity Processed])</f>
        <v>6122</v>
      </c>
      <c r="R2026" s="61">
        <f>Allocation[[#This Row],[Total volume used]]/VLOOKUP(Allocation[[#This Row],[Delivery ID]],Delivery[[Delivery ID]:[Quantity delivered]],3,FALSE)</f>
        <v>0.31427104722792609</v>
      </c>
      <c r="S2026" s="34">
        <f>Allocation[[#This Row],[Quantity Processed]]/Allocation[[#This Row],[Dilution rate]]</f>
        <v>1640</v>
      </c>
      <c r="T2026" s="59">
        <f>SUMIF(Allocation[Delivery ID],Allocation[[#This Row],[Delivery ID]],Allocation[Quantity allocated])/SUMIF(Allocation[Delivery ID],Allocation[[#This Row],[Delivery ID]],Allocation[Volume available (kg)])</f>
        <v>1.0080365893498855</v>
      </c>
      <c r="U2026" s="61">
        <f>Allocation[[#This Row],[Total volume used]]/VLOOKUP(Allocation[[#This Row],[Delivery ID]],Delivery[[Delivery ID]:[Quantity delivered]],3,FALSE)</f>
        <v>0.31427104722792609</v>
      </c>
      <c r="V2026" s="34" t="e">
        <f>VLOOKUP(Allocation[[#This Row],[SAP Contract number]],Shipments[[SAP Contract number]:[Contracted container weight]],2,FALSE)</f>
        <v>#N/A</v>
      </c>
      <c r="W2026" s="34" t="e">
        <f>VLOOKUP(Allocation[[#This Row],[SAP Contract number]],Shipments[[SAP Contract number]:[AAA Premium USD]],24,FALSE)</f>
        <v>#N/A</v>
      </c>
      <c r="X2026" s="34" t="e">
        <f>VLOOKUP(Allocation[[#This Row],[SAP Contract number]],Shipments[[SAP Contract number]:[RA Premium USD]],25,FALSE)</f>
        <v>#N/A</v>
      </c>
      <c r="Y2026" s="38">
        <f>Allocation[[#This Row],[Quantity Processed]]/Allocation[[#This Row],[Quantity allocated]]</f>
        <v>2.7779794313369632</v>
      </c>
      <c r="Z2026" s="34" t="b">
        <f>Allocation[[#This Row],[Quantity allocated]]&lt;=Allocation[[#This Row],[Quantity Processed]]</f>
        <v>1</v>
      </c>
    </row>
    <row r="2027" spans="1:26">
      <c r="A2027" s="247" t="s">
        <v>467</v>
      </c>
      <c r="B2027" s="210" t="s">
        <v>68</v>
      </c>
      <c r="C2027" s="254" t="s">
        <v>1546</v>
      </c>
      <c r="D2027" s="255">
        <v>1150</v>
      </c>
      <c r="E2027" s="211" t="s">
        <v>1936</v>
      </c>
      <c r="F2027" s="212">
        <v>43614</v>
      </c>
      <c r="G2027" s="213">
        <v>2.8</v>
      </c>
      <c r="H2027" s="256">
        <v>414</v>
      </c>
      <c r="I2027" s="214">
        <v>1462179</v>
      </c>
      <c r="J2027" s="215">
        <v>21600</v>
      </c>
      <c r="K2027" s="212">
        <v>43623</v>
      </c>
      <c r="L2027" s="211" t="s">
        <v>1943</v>
      </c>
      <c r="M2027" s="216">
        <v>4615445946</v>
      </c>
      <c r="N2027" s="212"/>
      <c r="O2027" s="218"/>
      <c r="P2027" s="219"/>
      <c r="Q2027" s="34">
        <f>SUMIF(Allocation[Delivery ID],Allocation[[#This Row],[Delivery ID]],Allocation[Quantity Processed])</f>
        <v>1922</v>
      </c>
      <c r="R2027" s="61">
        <f>Allocation[[#This Row],[Total volume used]]/VLOOKUP(Allocation[[#This Row],[Delivery ID]],Delivery[[Delivery ID]:[Quantity delivered]],3,FALSE)</f>
        <v>0.35992509363295883</v>
      </c>
      <c r="S2027" s="34">
        <f>Allocation[[#This Row],[Quantity Processed]]/Allocation[[#This Row],[Dilution rate]]</f>
        <v>410.71428571428572</v>
      </c>
      <c r="T2027" s="59">
        <f>SUMIF(Allocation[Delivery ID],Allocation[[#This Row],[Delivery ID]],Allocation[Quantity allocated])/SUMIF(Allocation[Delivery ID],Allocation[[#This Row],[Delivery ID]],Allocation[Volume available (kg)])</f>
        <v>1.0081165452653487</v>
      </c>
      <c r="U2027" s="61">
        <f>Allocation[[#This Row],[Total volume used]]/VLOOKUP(Allocation[[#This Row],[Delivery ID]],Delivery[[Delivery ID]:[Quantity delivered]],3,FALSE)</f>
        <v>0.35992509363295883</v>
      </c>
      <c r="V2027" s="34" t="e">
        <f>VLOOKUP(Allocation[[#This Row],[SAP Contract number]],Shipments[[SAP Contract number]:[Contracted container weight]],2,FALSE)</f>
        <v>#N/A</v>
      </c>
      <c r="W2027" s="34" t="e">
        <f>VLOOKUP(Allocation[[#This Row],[SAP Contract number]],Shipments[[SAP Contract number]:[AAA Premium USD]],24,FALSE)</f>
        <v>#N/A</v>
      </c>
      <c r="X2027" s="34" t="e">
        <f>VLOOKUP(Allocation[[#This Row],[SAP Contract number]],Shipments[[SAP Contract number]:[RA Premium USD]],25,FALSE)</f>
        <v>#N/A</v>
      </c>
      <c r="Y2027" s="38">
        <f>Allocation[[#This Row],[Quantity Processed]]/Allocation[[#This Row],[Quantity allocated]]</f>
        <v>2.7777777777777777</v>
      </c>
      <c r="Z2027" s="34" t="b">
        <f>Allocation[[#This Row],[Quantity allocated]]&lt;=Allocation[[#This Row],[Quantity Processed]]</f>
        <v>1</v>
      </c>
    </row>
    <row r="2028" spans="1:26">
      <c r="A2028" s="247" t="s">
        <v>467</v>
      </c>
      <c r="B2028" s="210" t="s">
        <v>68</v>
      </c>
      <c r="C2028" s="254" t="s">
        <v>1547</v>
      </c>
      <c r="D2028" s="255">
        <v>3589</v>
      </c>
      <c r="E2028" s="211" t="s">
        <v>1936</v>
      </c>
      <c r="F2028" s="212">
        <v>43614</v>
      </c>
      <c r="G2028" s="213">
        <v>2.8</v>
      </c>
      <c r="H2028" s="256">
        <v>1292</v>
      </c>
      <c r="I2028" s="214">
        <v>1462179</v>
      </c>
      <c r="J2028" s="215">
        <v>21600</v>
      </c>
      <c r="K2028" s="212">
        <v>43623</v>
      </c>
      <c r="L2028" s="211" t="s">
        <v>1943</v>
      </c>
      <c r="M2028" s="216">
        <v>4615445946</v>
      </c>
      <c r="N2028" s="212"/>
      <c r="O2028" s="218"/>
      <c r="P2028" s="219"/>
      <c r="Q2028" s="34">
        <f>SUMIF(Allocation[Delivery ID],Allocation[[#This Row],[Delivery ID]],Allocation[Quantity Processed])</f>
        <v>6006</v>
      </c>
      <c r="R2028" s="61">
        <f>Allocation[[#This Row],[Total volume used]]/VLOOKUP(Allocation[[#This Row],[Delivery ID]],Delivery[[Delivery ID]:[Quantity delivered]],3,FALSE)</f>
        <v>0.17174721189591077</v>
      </c>
      <c r="S2028" s="34">
        <f>Allocation[[#This Row],[Quantity Processed]]/Allocation[[#This Row],[Dilution rate]]</f>
        <v>1281.7857142857144</v>
      </c>
      <c r="T2028" s="59">
        <f>SUMIF(Allocation[Delivery ID],Allocation[[#This Row],[Delivery ID]],Allocation[Quantity allocated])/SUMIF(Allocation[Delivery ID],Allocation[[#This Row],[Delivery ID]],Allocation[Volume available (kg)])</f>
        <v>1.0079254079254079</v>
      </c>
      <c r="U2028" s="61">
        <f>Allocation[[#This Row],[Total volume used]]/VLOOKUP(Allocation[[#This Row],[Delivery ID]],Delivery[[Delivery ID]:[Quantity delivered]],3,FALSE)</f>
        <v>0.17174721189591077</v>
      </c>
      <c r="V2028" s="34" t="e">
        <f>VLOOKUP(Allocation[[#This Row],[SAP Contract number]],Shipments[[SAP Contract number]:[Contracted container weight]],2,FALSE)</f>
        <v>#N/A</v>
      </c>
      <c r="W2028" s="34" t="e">
        <f>VLOOKUP(Allocation[[#This Row],[SAP Contract number]],Shipments[[SAP Contract number]:[AAA Premium USD]],24,FALSE)</f>
        <v>#N/A</v>
      </c>
      <c r="X2028" s="34" t="e">
        <f>VLOOKUP(Allocation[[#This Row],[SAP Contract number]],Shipments[[SAP Contract number]:[RA Premium USD]],25,FALSE)</f>
        <v>#N/A</v>
      </c>
      <c r="Y2028" s="38">
        <f>Allocation[[#This Row],[Quantity Processed]]/Allocation[[#This Row],[Quantity allocated]]</f>
        <v>2.7778637770897832</v>
      </c>
      <c r="Z2028" s="34" t="b">
        <f>Allocation[[#This Row],[Quantity allocated]]&lt;=Allocation[[#This Row],[Quantity Processed]]</f>
        <v>1</v>
      </c>
    </row>
    <row r="2029" spans="1:26">
      <c r="A2029" s="247" t="s">
        <v>467</v>
      </c>
      <c r="B2029" s="210" t="s">
        <v>68</v>
      </c>
      <c r="C2029" s="254" t="s">
        <v>1548</v>
      </c>
      <c r="D2029" s="255">
        <v>1278</v>
      </c>
      <c r="E2029" s="211" t="s">
        <v>1936</v>
      </c>
      <c r="F2029" s="212">
        <v>43614</v>
      </c>
      <c r="G2029" s="213">
        <v>2.8</v>
      </c>
      <c r="H2029" s="256">
        <v>460</v>
      </c>
      <c r="I2029" s="214">
        <v>1462179</v>
      </c>
      <c r="J2029" s="215">
        <v>21600</v>
      </c>
      <c r="K2029" s="212">
        <v>43623</v>
      </c>
      <c r="L2029" s="211" t="s">
        <v>1943</v>
      </c>
      <c r="M2029" s="216">
        <v>4615445946</v>
      </c>
      <c r="N2029" s="212"/>
      <c r="O2029" s="218"/>
      <c r="P2029" s="219"/>
      <c r="Q2029" s="34">
        <f>SUMIF(Allocation[Delivery ID],Allocation[[#This Row],[Delivery ID]],Allocation[Quantity Processed])</f>
        <v>2136</v>
      </c>
      <c r="R2029" s="61">
        <f>Allocation[[#This Row],[Total volume used]]/VLOOKUP(Allocation[[#This Row],[Delivery ID]],Delivery[[Delivery ID]:[Quantity delivered]],3,FALSE)</f>
        <v>0.35959595959595958</v>
      </c>
      <c r="S2029" s="34">
        <f>Allocation[[#This Row],[Quantity Processed]]/Allocation[[#This Row],[Dilution rate]]</f>
        <v>456.42857142857144</v>
      </c>
      <c r="T2029" s="59">
        <f>SUMIF(Allocation[Delivery ID],Allocation[[#This Row],[Delivery ID]],Allocation[Quantity allocated])/SUMIF(Allocation[Delivery ID],Allocation[[#This Row],[Delivery ID]],Allocation[Volume available (kg)])</f>
        <v>1.0080524344569288</v>
      </c>
      <c r="U2029" s="61">
        <f>Allocation[[#This Row],[Total volume used]]/VLOOKUP(Allocation[[#This Row],[Delivery ID]],Delivery[[Delivery ID]:[Quantity delivered]],3,FALSE)</f>
        <v>0.35959595959595958</v>
      </c>
      <c r="V2029" s="34" t="e">
        <f>VLOOKUP(Allocation[[#This Row],[SAP Contract number]],Shipments[[SAP Contract number]:[Contracted container weight]],2,FALSE)</f>
        <v>#N/A</v>
      </c>
      <c r="W2029" s="34" t="e">
        <f>VLOOKUP(Allocation[[#This Row],[SAP Contract number]],Shipments[[SAP Contract number]:[AAA Premium USD]],24,FALSE)</f>
        <v>#N/A</v>
      </c>
      <c r="X2029" s="34" t="e">
        <f>VLOOKUP(Allocation[[#This Row],[SAP Contract number]],Shipments[[SAP Contract number]:[RA Premium USD]],25,FALSE)</f>
        <v>#N/A</v>
      </c>
      <c r="Y2029" s="38">
        <f>Allocation[[#This Row],[Quantity Processed]]/Allocation[[#This Row],[Quantity allocated]]</f>
        <v>2.7782608695652176</v>
      </c>
      <c r="Z2029" s="34" t="b">
        <f>Allocation[[#This Row],[Quantity allocated]]&lt;=Allocation[[#This Row],[Quantity Processed]]</f>
        <v>1</v>
      </c>
    </row>
    <row r="2030" spans="1:26">
      <c r="A2030" s="247" t="s">
        <v>467</v>
      </c>
      <c r="B2030" s="210" t="s">
        <v>68</v>
      </c>
      <c r="C2030" s="254" t="s">
        <v>1598</v>
      </c>
      <c r="D2030" s="255">
        <v>6045</v>
      </c>
      <c r="E2030" s="211" t="s">
        <v>1936</v>
      </c>
      <c r="F2030" s="212">
        <v>43614</v>
      </c>
      <c r="G2030" s="213">
        <v>2.8</v>
      </c>
      <c r="H2030" s="256">
        <v>2418</v>
      </c>
      <c r="I2030" s="214">
        <v>1462179</v>
      </c>
      <c r="J2030" s="215">
        <v>21600</v>
      </c>
      <c r="K2030" s="212">
        <v>43623</v>
      </c>
      <c r="L2030" s="211" t="s">
        <v>1943</v>
      </c>
      <c r="M2030" s="216">
        <v>4615445946</v>
      </c>
      <c r="N2030" s="212"/>
      <c r="O2030" s="218"/>
      <c r="P2030" s="219"/>
      <c r="Q2030" s="34">
        <f>SUMIF(Allocation[Delivery ID],Allocation[[#This Row],[Delivery ID]],Allocation[Quantity Processed])</f>
        <v>10403</v>
      </c>
      <c r="R2030" s="61">
        <f>Allocation[[#This Row],[Total volume used]]/VLOOKUP(Allocation[[#This Row],[Delivery ID]],Delivery[[Delivery ID]:[Quantity delivered]],3,FALSE)</f>
        <v>0.85904211395540875</v>
      </c>
      <c r="S2030" s="34">
        <f>Allocation[[#This Row],[Quantity Processed]]/Allocation[[#This Row],[Dilution rate]]</f>
        <v>2158.9285714285716</v>
      </c>
      <c r="T2030" s="59">
        <f>SUMIF(Allocation[Delivery ID],Allocation[[#This Row],[Delivery ID]],Allocation[Quantity allocated])/SUMIF(Allocation[Delivery ID],Allocation[[#This Row],[Delivery ID]],Allocation[Volume available (kg)])</f>
        <v>1.0676712459758391</v>
      </c>
      <c r="U2030" s="61">
        <f>Allocation[[#This Row],[Total volume used]]/VLOOKUP(Allocation[[#This Row],[Delivery ID]],Delivery[[Delivery ID]:[Quantity delivered]],3,FALSE)</f>
        <v>0.85904211395540875</v>
      </c>
      <c r="V2030" s="34" t="e">
        <f>VLOOKUP(Allocation[[#This Row],[SAP Contract number]],Shipments[[SAP Contract number]:[Contracted container weight]],2,FALSE)</f>
        <v>#N/A</v>
      </c>
      <c r="W2030" s="34" t="e">
        <f>VLOOKUP(Allocation[[#This Row],[SAP Contract number]],Shipments[[SAP Contract number]:[AAA Premium USD]],24,FALSE)</f>
        <v>#N/A</v>
      </c>
      <c r="X2030" s="34" t="e">
        <f>VLOOKUP(Allocation[[#This Row],[SAP Contract number]],Shipments[[SAP Contract number]:[RA Premium USD]],25,FALSE)</f>
        <v>#N/A</v>
      </c>
      <c r="Y2030" s="38">
        <f>Allocation[[#This Row],[Quantity Processed]]/Allocation[[#This Row],[Quantity allocated]]</f>
        <v>2.5</v>
      </c>
      <c r="Z2030" s="34" t="b">
        <f>Allocation[[#This Row],[Quantity allocated]]&lt;=Allocation[[#This Row],[Quantity Processed]]</f>
        <v>1</v>
      </c>
    </row>
    <row r="2031" spans="1:26">
      <c r="A2031" s="247" t="s">
        <v>467</v>
      </c>
      <c r="B2031" s="210" t="s">
        <v>68</v>
      </c>
      <c r="C2031" s="254" t="s">
        <v>1680</v>
      </c>
      <c r="D2031" s="255">
        <v>16116</v>
      </c>
      <c r="E2031" s="211" t="s">
        <v>1936</v>
      </c>
      <c r="F2031" s="212">
        <v>43614</v>
      </c>
      <c r="G2031" s="213">
        <v>2.8</v>
      </c>
      <c r="H2031" s="256">
        <v>6930</v>
      </c>
      <c r="I2031" s="214">
        <v>1462179</v>
      </c>
      <c r="J2031" s="215">
        <v>21600</v>
      </c>
      <c r="K2031" s="212">
        <v>43623</v>
      </c>
      <c r="L2031" s="211" t="s">
        <v>1943</v>
      </c>
      <c r="M2031" s="216">
        <v>4615445946</v>
      </c>
      <c r="N2031" s="212"/>
      <c r="O2031" s="218"/>
      <c r="P2031" s="219"/>
      <c r="Q2031" s="34">
        <f>SUMIF(Allocation[Delivery ID],Allocation[[#This Row],[Delivery ID]],Allocation[Quantity Processed])</f>
        <v>17493</v>
      </c>
      <c r="R2031" s="61">
        <f>Allocation[[#This Row],[Total volume used]]/VLOOKUP(Allocation[[#This Row],[Delivery ID]],Delivery[[Delivery ID]:[Quantity delivered]],3,FALSE)</f>
        <v>0.54275519702140862</v>
      </c>
      <c r="S2031" s="34">
        <f>Allocation[[#This Row],[Quantity Processed]]/Allocation[[#This Row],[Dilution rate]]</f>
        <v>5755.7142857142862</v>
      </c>
      <c r="T2031" s="59">
        <f>SUMIF(Allocation[Delivery ID],Allocation[[#This Row],[Delivery ID]],Allocation[Quantity allocated])/SUMIF(Allocation[Delivery ID],Allocation[[#This Row],[Delivery ID]],Allocation[Volume available (kg)])</f>
        <v>1.2040016006402559</v>
      </c>
      <c r="U2031" s="61">
        <f>Allocation[[#This Row],[Total volume used]]/VLOOKUP(Allocation[[#This Row],[Delivery ID]],Delivery[[Delivery ID]:[Quantity delivered]],3,FALSE)</f>
        <v>0.54275519702140862</v>
      </c>
      <c r="V2031" s="34" t="e">
        <f>VLOOKUP(Allocation[[#This Row],[SAP Contract number]],Shipments[[SAP Contract number]:[Contracted container weight]],2,FALSE)</f>
        <v>#N/A</v>
      </c>
      <c r="W2031" s="34" t="e">
        <f>VLOOKUP(Allocation[[#This Row],[SAP Contract number]],Shipments[[SAP Contract number]:[AAA Premium USD]],24,FALSE)</f>
        <v>#N/A</v>
      </c>
      <c r="X2031" s="34" t="e">
        <f>VLOOKUP(Allocation[[#This Row],[SAP Contract number]],Shipments[[SAP Contract number]:[RA Premium USD]],25,FALSE)</f>
        <v>#N/A</v>
      </c>
      <c r="Y2031" s="38">
        <f>Allocation[[#This Row],[Quantity Processed]]/Allocation[[#This Row],[Quantity allocated]]</f>
        <v>2.3255411255411254</v>
      </c>
      <c r="Z2031" s="34" t="b">
        <f>Allocation[[#This Row],[Quantity allocated]]&lt;=Allocation[[#This Row],[Quantity Processed]]</f>
        <v>1</v>
      </c>
    </row>
    <row r="2032" spans="1:26">
      <c r="A2032" s="247" t="s">
        <v>467</v>
      </c>
      <c r="B2032" s="210" t="s">
        <v>68</v>
      </c>
      <c r="C2032" s="254" t="s">
        <v>1681</v>
      </c>
      <c r="D2032" s="255">
        <v>2995</v>
      </c>
      <c r="E2032" s="211" t="s">
        <v>1936</v>
      </c>
      <c r="F2032" s="212">
        <v>43614</v>
      </c>
      <c r="G2032" s="213">
        <v>2.8</v>
      </c>
      <c r="H2032" s="256">
        <v>1288</v>
      </c>
      <c r="I2032" s="214">
        <v>1462179</v>
      </c>
      <c r="J2032" s="215">
        <v>21600</v>
      </c>
      <c r="K2032" s="212">
        <v>43623</v>
      </c>
      <c r="L2032" s="211" t="s">
        <v>1943</v>
      </c>
      <c r="M2032" s="216">
        <v>4615445946</v>
      </c>
      <c r="N2032" s="212"/>
      <c r="O2032" s="218"/>
      <c r="P2032" s="219"/>
      <c r="Q2032" s="34">
        <f>SUMIF(Allocation[Delivery ID],Allocation[[#This Row],[Delivery ID]],Allocation[Quantity Processed])</f>
        <v>3118</v>
      </c>
      <c r="R2032" s="61">
        <f>Allocation[[#This Row],[Total volume used]]/VLOOKUP(Allocation[[#This Row],[Delivery ID]],Delivery[[Delivery ID]:[Quantity delivered]],3,FALSE)</f>
        <v>0.52062113875438298</v>
      </c>
      <c r="S2032" s="34">
        <f>Allocation[[#This Row],[Quantity Processed]]/Allocation[[#This Row],[Dilution rate]]</f>
        <v>1069.6428571428571</v>
      </c>
      <c r="T2032" s="59">
        <f>SUMIF(Allocation[Delivery ID],Allocation[[#This Row],[Delivery ID]],Allocation[Quantity allocated])/SUMIF(Allocation[Delivery ID],Allocation[[#This Row],[Delivery ID]],Allocation[Volume available (kg)])</f>
        <v>1.2042334830019243</v>
      </c>
      <c r="U2032" s="61">
        <f>Allocation[[#This Row],[Total volume used]]/VLOOKUP(Allocation[[#This Row],[Delivery ID]],Delivery[[Delivery ID]:[Quantity delivered]],3,FALSE)</f>
        <v>0.52062113875438298</v>
      </c>
      <c r="V2032" s="34" t="e">
        <f>VLOOKUP(Allocation[[#This Row],[SAP Contract number]],Shipments[[SAP Contract number]:[Contracted container weight]],2,FALSE)</f>
        <v>#N/A</v>
      </c>
      <c r="W2032" s="34" t="e">
        <f>VLOOKUP(Allocation[[#This Row],[SAP Contract number]],Shipments[[SAP Contract number]:[AAA Premium USD]],24,FALSE)</f>
        <v>#N/A</v>
      </c>
      <c r="X2032" s="34" t="e">
        <f>VLOOKUP(Allocation[[#This Row],[SAP Contract number]],Shipments[[SAP Contract number]:[RA Premium USD]],25,FALSE)</f>
        <v>#N/A</v>
      </c>
      <c r="Y2032" s="38">
        <f>Allocation[[#This Row],[Quantity Processed]]/Allocation[[#This Row],[Quantity allocated]]</f>
        <v>2.3253105590062111</v>
      </c>
      <c r="Z2032" s="34" t="b">
        <f>Allocation[[#This Row],[Quantity allocated]]&lt;=Allocation[[#This Row],[Quantity Processed]]</f>
        <v>1</v>
      </c>
    </row>
    <row r="2033" spans="1:26">
      <c r="A2033" s="247" t="s">
        <v>467</v>
      </c>
      <c r="B2033" s="210" t="s">
        <v>68</v>
      </c>
      <c r="C2033" s="254" t="s">
        <v>1682</v>
      </c>
      <c r="D2033" s="255">
        <v>2000</v>
      </c>
      <c r="E2033" s="211" t="s">
        <v>1936</v>
      </c>
      <c r="F2033" s="212">
        <v>43614</v>
      </c>
      <c r="G2033" s="213">
        <v>2.8</v>
      </c>
      <c r="H2033" s="256">
        <v>860</v>
      </c>
      <c r="I2033" s="214">
        <v>1462179</v>
      </c>
      <c r="J2033" s="215">
        <v>21600</v>
      </c>
      <c r="K2033" s="212">
        <v>43623</v>
      </c>
      <c r="L2033" s="211" t="s">
        <v>1943</v>
      </c>
      <c r="M2033" s="216">
        <v>4615445946</v>
      </c>
      <c r="N2033" s="212"/>
      <c r="O2033" s="218"/>
      <c r="P2033" s="219"/>
      <c r="Q2033" s="34">
        <f>SUMIF(Allocation[Delivery ID],Allocation[[#This Row],[Delivery ID]],Allocation[Quantity Processed])</f>
        <v>16834</v>
      </c>
      <c r="R2033" s="61">
        <f>Allocation[[#This Row],[Total volume used]]/VLOOKUP(Allocation[[#This Row],[Delivery ID]],Delivery[[Delivery ID]:[Quantity delivered]],3,FALSE)</f>
        <v>0.52051575399647509</v>
      </c>
      <c r="S2033" s="34">
        <f>Allocation[[#This Row],[Quantity Processed]]/Allocation[[#This Row],[Dilution rate]]</f>
        <v>714.28571428571433</v>
      </c>
      <c r="T2033" s="59">
        <f>SUMIF(Allocation[Delivery ID],Allocation[[#This Row],[Delivery ID]],Allocation[Quantity allocated])/SUMIF(Allocation[Delivery ID],Allocation[[#This Row],[Delivery ID]],Allocation[Volume available (kg)])</f>
        <v>1.204063205417607</v>
      </c>
      <c r="U2033" s="61">
        <f>Allocation[[#This Row],[Total volume used]]/VLOOKUP(Allocation[[#This Row],[Delivery ID]],Delivery[[Delivery ID]:[Quantity delivered]],3,FALSE)</f>
        <v>0.52051575399647509</v>
      </c>
      <c r="V2033" s="34" t="e">
        <f>VLOOKUP(Allocation[[#This Row],[SAP Contract number]],Shipments[[SAP Contract number]:[Contracted container weight]],2,FALSE)</f>
        <v>#N/A</v>
      </c>
      <c r="W2033" s="34" t="e">
        <f>VLOOKUP(Allocation[[#This Row],[SAP Contract number]],Shipments[[SAP Contract number]:[AAA Premium USD]],24,FALSE)</f>
        <v>#N/A</v>
      </c>
      <c r="X2033" s="34" t="e">
        <f>VLOOKUP(Allocation[[#This Row],[SAP Contract number]],Shipments[[SAP Contract number]:[RA Premium USD]],25,FALSE)</f>
        <v>#N/A</v>
      </c>
      <c r="Y2033" s="38">
        <f>Allocation[[#This Row],[Quantity Processed]]/Allocation[[#This Row],[Quantity allocated]]</f>
        <v>2.3255813953488373</v>
      </c>
      <c r="Z2033" s="34" t="b">
        <f>Allocation[[#This Row],[Quantity allocated]]&lt;=Allocation[[#This Row],[Quantity Processed]]</f>
        <v>1</v>
      </c>
    </row>
    <row r="2034" spans="1:26">
      <c r="A2034" s="247" t="s">
        <v>467</v>
      </c>
      <c r="B2034" s="210" t="s">
        <v>68</v>
      </c>
      <c r="C2034" s="254" t="s">
        <v>1682</v>
      </c>
      <c r="D2034" s="255">
        <v>14172</v>
      </c>
      <c r="E2034" s="211" t="s">
        <v>1936</v>
      </c>
      <c r="F2034" s="212">
        <v>43614</v>
      </c>
      <c r="G2034" s="213">
        <v>2.8</v>
      </c>
      <c r="H2034" s="256">
        <v>6094</v>
      </c>
      <c r="I2034" s="214">
        <v>1462180</v>
      </c>
      <c r="J2034" s="215">
        <v>21600</v>
      </c>
      <c r="K2034" s="212">
        <v>43623</v>
      </c>
      <c r="L2034" s="211" t="s">
        <v>1944</v>
      </c>
      <c r="M2034" s="216">
        <v>4615445946</v>
      </c>
      <c r="N2034" s="212"/>
      <c r="O2034" s="218"/>
      <c r="P2034" s="219"/>
      <c r="Q2034" s="34">
        <f>SUMIF(Allocation[Delivery ID],Allocation[[#This Row],[Delivery ID]],Allocation[Quantity Processed])</f>
        <v>16834</v>
      </c>
      <c r="R2034" s="61">
        <f>Allocation[[#This Row],[Total volume used]]/VLOOKUP(Allocation[[#This Row],[Delivery ID]],Delivery[[Delivery ID]:[Quantity delivered]],3,FALSE)</f>
        <v>0.52051575399647509</v>
      </c>
      <c r="S2034" s="34">
        <f>Allocation[[#This Row],[Quantity Processed]]/Allocation[[#This Row],[Dilution rate]]</f>
        <v>5061.4285714285716</v>
      </c>
      <c r="T2034" s="59">
        <f>SUMIF(Allocation[Delivery ID],Allocation[[#This Row],[Delivery ID]],Allocation[Quantity allocated])/SUMIF(Allocation[Delivery ID],Allocation[[#This Row],[Delivery ID]],Allocation[Volume available (kg)])</f>
        <v>1.204063205417607</v>
      </c>
      <c r="U2034" s="61">
        <f>Allocation[[#This Row],[Total volume used]]/VLOOKUP(Allocation[[#This Row],[Delivery ID]],Delivery[[Delivery ID]:[Quantity delivered]],3,FALSE)</f>
        <v>0.52051575399647509</v>
      </c>
      <c r="V2034" s="34" t="e">
        <f>VLOOKUP(Allocation[[#This Row],[SAP Contract number]],Shipments[[SAP Contract number]:[Contracted container weight]],2,FALSE)</f>
        <v>#N/A</v>
      </c>
      <c r="W2034" s="34" t="e">
        <f>VLOOKUP(Allocation[[#This Row],[SAP Contract number]],Shipments[[SAP Contract number]:[AAA Premium USD]],24,FALSE)</f>
        <v>#N/A</v>
      </c>
      <c r="X2034" s="34" t="e">
        <f>VLOOKUP(Allocation[[#This Row],[SAP Contract number]],Shipments[[SAP Contract number]:[RA Premium USD]],25,FALSE)</f>
        <v>#N/A</v>
      </c>
      <c r="Y2034" s="38">
        <f>Allocation[[#This Row],[Quantity Processed]]/Allocation[[#This Row],[Quantity allocated]]</f>
        <v>2.3255661306202824</v>
      </c>
      <c r="Z2034" s="34" t="b">
        <f>Allocation[[#This Row],[Quantity allocated]]&lt;=Allocation[[#This Row],[Quantity Processed]]</f>
        <v>1</v>
      </c>
    </row>
    <row r="2035" spans="1:26">
      <c r="A2035" s="247" t="s">
        <v>467</v>
      </c>
      <c r="B2035" s="210" t="s">
        <v>68</v>
      </c>
      <c r="C2035" s="254" t="s">
        <v>1708</v>
      </c>
      <c r="D2035" s="255">
        <v>21307</v>
      </c>
      <c r="E2035" s="211" t="s">
        <v>1936</v>
      </c>
      <c r="F2035" s="212">
        <v>43614</v>
      </c>
      <c r="G2035" s="213">
        <v>2.8</v>
      </c>
      <c r="H2035" s="256">
        <v>6392</v>
      </c>
      <c r="I2035" s="214">
        <v>1462180</v>
      </c>
      <c r="J2035" s="215">
        <v>21600</v>
      </c>
      <c r="K2035" s="212">
        <v>43623</v>
      </c>
      <c r="L2035" s="211" t="s">
        <v>1944</v>
      </c>
      <c r="M2035" s="216">
        <v>4615445946</v>
      </c>
      <c r="N2035" s="212"/>
      <c r="O2035" s="218"/>
      <c r="P2035" s="219"/>
      <c r="Q2035" s="34">
        <f>SUMIF(Allocation[Delivery ID],Allocation[[#This Row],[Delivery ID]],Allocation[Quantity Processed])</f>
        <v>22180</v>
      </c>
      <c r="R2035" s="61">
        <f>Allocation[[#This Row],[Total volume used]]/VLOOKUP(Allocation[[#This Row],[Delivery ID]],Delivery[[Delivery ID]:[Quantity delivered]],3,FALSE)</f>
        <v>0.74604776320215271</v>
      </c>
      <c r="S2035" s="34">
        <f>Allocation[[#This Row],[Quantity Processed]]/Allocation[[#This Row],[Dilution rate]]</f>
        <v>7609.6428571428578</v>
      </c>
      <c r="T2035" s="59">
        <f>SUMIF(Allocation[Delivery ID],Allocation[[#This Row],[Delivery ID]],Allocation[Quantity allocated])/SUMIF(Allocation[Delivery ID],Allocation[[#This Row],[Delivery ID]],Allocation[Volume available (kg)])</f>
        <v>0.83999999999999986</v>
      </c>
      <c r="U2035" s="61">
        <f>Allocation[[#This Row],[Total volume used]]/VLOOKUP(Allocation[[#This Row],[Delivery ID]],Delivery[[Delivery ID]:[Quantity delivered]],3,FALSE)</f>
        <v>0.74604776320215271</v>
      </c>
      <c r="V2035" s="34" t="e">
        <f>VLOOKUP(Allocation[[#This Row],[SAP Contract number]],Shipments[[SAP Contract number]:[Contracted container weight]],2,FALSE)</f>
        <v>#N/A</v>
      </c>
      <c r="W2035" s="34" t="e">
        <f>VLOOKUP(Allocation[[#This Row],[SAP Contract number]],Shipments[[SAP Contract number]:[AAA Premium USD]],24,FALSE)</f>
        <v>#N/A</v>
      </c>
      <c r="X2035" s="34" t="e">
        <f>VLOOKUP(Allocation[[#This Row],[SAP Contract number]],Shipments[[SAP Contract number]:[RA Premium USD]],25,FALSE)</f>
        <v>#N/A</v>
      </c>
      <c r="Y2035" s="38">
        <f>Allocation[[#This Row],[Quantity Processed]]/Allocation[[#This Row],[Quantity allocated]]</f>
        <v>3.3333854818523152</v>
      </c>
      <c r="Z2035" s="34" t="b">
        <f>Allocation[[#This Row],[Quantity allocated]]&lt;=Allocation[[#This Row],[Quantity Processed]]</f>
        <v>1</v>
      </c>
    </row>
    <row r="2036" spans="1:26">
      <c r="A2036" s="247" t="s">
        <v>467</v>
      </c>
      <c r="B2036" s="210" t="s">
        <v>68</v>
      </c>
      <c r="C2036" s="254" t="s">
        <v>1709</v>
      </c>
      <c r="D2036" s="255">
        <v>21517</v>
      </c>
      <c r="E2036" s="211" t="s">
        <v>1936</v>
      </c>
      <c r="F2036" s="212">
        <v>43614</v>
      </c>
      <c r="G2036" s="213">
        <v>2.8</v>
      </c>
      <c r="H2036" s="256">
        <v>6455</v>
      </c>
      <c r="I2036" s="214">
        <v>1462180</v>
      </c>
      <c r="J2036" s="215">
        <v>21600</v>
      </c>
      <c r="K2036" s="212">
        <v>43623</v>
      </c>
      <c r="L2036" s="211" t="s">
        <v>1944</v>
      </c>
      <c r="M2036" s="216">
        <v>4615445946</v>
      </c>
      <c r="N2036" s="212"/>
      <c r="O2036" s="218"/>
      <c r="P2036" s="219"/>
      <c r="Q2036" s="34">
        <f>SUMIF(Allocation[Delivery ID],Allocation[[#This Row],[Delivery ID]],Allocation[Quantity Processed])</f>
        <v>22398</v>
      </c>
      <c r="R2036" s="61">
        <f>Allocation[[#This Row],[Total volume used]]/VLOOKUP(Allocation[[#This Row],[Delivery ID]],Delivery[[Delivery ID]:[Quantity delivered]],3,FALSE)</f>
        <v>0.74610259826782144</v>
      </c>
      <c r="S2036" s="34">
        <f>Allocation[[#This Row],[Quantity Processed]]/Allocation[[#This Row],[Dilution rate]]</f>
        <v>7684.6428571428578</v>
      </c>
      <c r="T2036" s="59">
        <f>SUMIF(Allocation[Delivery ID],Allocation[[#This Row],[Delivery ID]],Allocation[Quantity allocated])/SUMIF(Allocation[Delivery ID],Allocation[[#This Row],[Delivery ID]],Allocation[Volume available (kg)])</f>
        <v>0.83994999553531557</v>
      </c>
      <c r="U2036" s="61">
        <f>Allocation[[#This Row],[Total volume used]]/VLOOKUP(Allocation[[#This Row],[Delivery ID]],Delivery[[Delivery ID]:[Quantity delivered]],3,FALSE)</f>
        <v>0.74610259826782144</v>
      </c>
      <c r="V2036" s="34" t="e">
        <f>VLOOKUP(Allocation[[#This Row],[SAP Contract number]],Shipments[[SAP Contract number]:[Contracted container weight]],2,FALSE)</f>
        <v>#N/A</v>
      </c>
      <c r="W2036" s="34" t="e">
        <f>VLOOKUP(Allocation[[#This Row],[SAP Contract number]],Shipments[[SAP Contract number]:[AAA Premium USD]],24,FALSE)</f>
        <v>#N/A</v>
      </c>
      <c r="X2036" s="34" t="e">
        <f>VLOOKUP(Allocation[[#This Row],[SAP Contract number]],Shipments[[SAP Contract number]:[RA Premium USD]],25,FALSE)</f>
        <v>#N/A</v>
      </c>
      <c r="Y2036" s="38">
        <f>Allocation[[#This Row],[Quantity Processed]]/Allocation[[#This Row],[Quantity allocated]]</f>
        <v>3.3333849728892333</v>
      </c>
      <c r="Z2036" s="34" t="b">
        <f>Allocation[[#This Row],[Quantity allocated]]&lt;=Allocation[[#This Row],[Quantity Processed]]</f>
        <v>1</v>
      </c>
    </row>
    <row r="2037" spans="1:26">
      <c r="A2037" s="247" t="s">
        <v>467</v>
      </c>
      <c r="B2037" s="210" t="s">
        <v>68</v>
      </c>
      <c r="C2037" s="254" t="s">
        <v>1713</v>
      </c>
      <c r="D2037" s="255">
        <v>6648</v>
      </c>
      <c r="E2037" s="211" t="s">
        <v>1936</v>
      </c>
      <c r="F2037" s="212">
        <v>43614</v>
      </c>
      <c r="G2037" s="213">
        <v>2.8</v>
      </c>
      <c r="H2037" s="256">
        <v>2659</v>
      </c>
      <c r="I2037" s="214">
        <v>1462180</v>
      </c>
      <c r="J2037" s="215">
        <v>21600</v>
      </c>
      <c r="K2037" s="212">
        <v>43623</v>
      </c>
      <c r="L2037" s="211" t="s">
        <v>1944</v>
      </c>
      <c r="M2037" s="216">
        <v>4615445946</v>
      </c>
      <c r="N2037" s="212"/>
      <c r="O2037" s="218"/>
      <c r="P2037" s="219"/>
      <c r="Q2037" s="34">
        <f>SUMIF(Allocation[Delivery ID],Allocation[[#This Row],[Delivery ID]],Allocation[Quantity Processed])</f>
        <v>18796</v>
      </c>
      <c r="R2037" s="61">
        <f>Allocation[[#This Row],[Total volume used]]/VLOOKUP(Allocation[[#This Row],[Delivery ID]],Delivery[[Delivery ID]:[Quantity delivered]],3,FALSE)</f>
        <v>0.58084054388133499</v>
      </c>
      <c r="S2037" s="34">
        <f>Allocation[[#This Row],[Quantity Processed]]/Allocation[[#This Row],[Dilution rate]]</f>
        <v>2374.2857142857142</v>
      </c>
      <c r="T2037" s="59">
        <f>SUMIF(Allocation[Delivery ID],Allocation[[#This Row],[Delivery ID]],Allocation[Quantity allocated])/SUMIF(Allocation[Delivery ID],Allocation[[#This Row],[Delivery ID]],Allocation[Volume available (kg)])</f>
        <v>1.1199404128537986</v>
      </c>
      <c r="U2037" s="61">
        <f>Allocation[[#This Row],[Total volume used]]/VLOOKUP(Allocation[[#This Row],[Delivery ID]],Delivery[[Delivery ID]:[Quantity delivered]],3,FALSE)</f>
        <v>0.58084054388133499</v>
      </c>
      <c r="V2037" s="34" t="e">
        <f>VLOOKUP(Allocation[[#This Row],[SAP Contract number]],Shipments[[SAP Contract number]:[Contracted container weight]],2,FALSE)</f>
        <v>#N/A</v>
      </c>
      <c r="W2037" s="34" t="e">
        <f>VLOOKUP(Allocation[[#This Row],[SAP Contract number]],Shipments[[SAP Contract number]:[AAA Premium USD]],24,FALSE)</f>
        <v>#N/A</v>
      </c>
      <c r="X2037" s="34" t="e">
        <f>VLOOKUP(Allocation[[#This Row],[SAP Contract number]],Shipments[[SAP Contract number]:[RA Premium USD]],25,FALSE)</f>
        <v>#N/A</v>
      </c>
      <c r="Y2037" s="38">
        <f>Allocation[[#This Row],[Quantity Processed]]/Allocation[[#This Row],[Quantity allocated]]</f>
        <v>2.5001880406167731</v>
      </c>
      <c r="Z2037" s="34" t="b">
        <f>Allocation[[#This Row],[Quantity allocated]]&lt;=Allocation[[#This Row],[Quantity Processed]]</f>
        <v>1</v>
      </c>
    </row>
    <row r="2038" spans="1:26">
      <c r="A2038" s="247" t="s">
        <v>467</v>
      </c>
      <c r="B2038" s="210" t="s">
        <v>68</v>
      </c>
      <c r="C2038" s="254" t="s">
        <v>1713</v>
      </c>
      <c r="D2038" s="255">
        <v>10748</v>
      </c>
      <c r="E2038" s="211" t="s">
        <v>1936</v>
      </c>
      <c r="F2038" s="212">
        <v>43614</v>
      </c>
      <c r="G2038" s="213">
        <v>2.8</v>
      </c>
      <c r="H2038" s="256">
        <v>4299</v>
      </c>
      <c r="I2038" s="214">
        <v>1462181</v>
      </c>
      <c r="J2038" s="215">
        <v>21600</v>
      </c>
      <c r="K2038" s="212">
        <v>43623</v>
      </c>
      <c r="L2038" s="211" t="s">
        <v>1945</v>
      </c>
      <c r="M2038" s="216">
        <v>4615445946</v>
      </c>
      <c r="N2038" s="212"/>
      <c r="O2038" s="218"/>
      <c r="P2038" s="219"/>
      <c r="Q2038" s="34">
        <f>SUMIF(Allocation[Delivery ID],Allocation[[#This Row],[Delivery ID]],Allocation[Quantity Processed])</f>
        <v>18796</v>
      </c>
      <c r="R2038" s="61">
        <f>Allocation[[#This Row],[Total volume used]]/VLOOKUP(Allocation[[#This Row],[Delivery ID]],Delivery[[Delivery ID]:[Quantity delivered]],3,FALSE)</f>
        <v>0.58084054388133499</v>
      </c>
      <c r="S2038" s="34">
        <f>Allocation[[#This Row],[Quantity Processed]]/Allocation[[#This Row],[Dilution rate]]</f>
        <v>3838.5714285714289</v>
      </c>
      <c r="T2038" s="59">
        <f>SUMIF(Allocation[Delivery ID],Allocation[[#This Row],[Delivery ID]],Allocation[Quantity allocated])/SUMIF(Allocation[Delivery ID],Allocation[[#This Row],[Delivery ID]],Allocation[Volume available (kg)])</f>
        <v>1.1199404128537986</v>
      </c>
      <c r="U2038" s="61">
        <f>Allocation[[#This Row],[Total volume used]]/VLOOKUP(Allocation[[#This Row],[Delivery ID]],Delivery[[Delivery ID]:[Quantity delivered]],3,FALSE)</f>
        <v>0.58084054388133499</v>
      </c>
      <c r="V2038" s="34" t="e">
        <f>VLOOKUP(Allocation[[#This Row],[SAP Contract number]],Shipments[[SAP Contract number]:[Contracted container weight]],2,FALSE)</f>
        <v>#N/A</v>
      </c>
      <c r="W2038" s="34" t="e">
        <f>VLOOKUP(Allocation[[#This Row],[SAP Contract number]],Shipments[[SAP Contract number]:[AAA Premium USD]],24,FALSE)</f>
        <v>#N/A</v>
      </c>
      <c r="X2038" s="34" t="e">
        <f>VLOOKUP(Allocation[[#This Row],[SAP Contract number]],Shipments[[SAP Contract number]:[RA Premium USD]],25,FALSE)</f>
        <v>#N/A</v>
      </c>
      <c r="Y2038" s="38">
        <f>Allocation[[#This Row],[Quantity Processed]]/Allocation[[#This Row],[Quantity allocated]]</f>
        <v>2.5001163061177016</v>
      </c>
      <c r="Z2038" s="34" t="b">
        <f>Allocation[[#This Row],[Quantity allocated]]&lt;=Allocation[[#This Row],[Quantity Processed]]</f>
        <v>1</v>
      </c>
    </row>
    <row r="2039" spans="1:26">
      <c r="A2039" s="247" t="s">
        <v>467</v>
      </c>
      <c r="B2039" s="210" t="s">
        <v>68</v>
      </c>
      <c r="C2039" s="254" t="s">
        <v>1738</v>
      </c>
      <c r="D2039" s="255">
        <v>21617</v>
      </c>
      <c r="E2039" s="211" t="s">
        <v>1936</v>
      </c>
      <c r="F2039" s="212">
        <v>43614</v>
      </c>
      <c r="G2039" s="213">
        <v>2.8</v>
      </c>
      <c r="H2039" s="256">
        <v>6485</v>
      </c>
      <c r="I2039" s="214">
        <v>1462181</v>
      </c>
      <c r="J2039" s="215">
        <v>21600</v>
      </c>
      <c r="K2039" s="212">
        <v>43623</v>
      </c>
      <c r="L2039" s="211" t="s">
        <v>1945</v>
      </c>
      <c r="M2039" s="216">
        <v>4615445946</v>
      </c>
      <c r="N2039" s="212"/>
      <c r="O2039" s="218"/>
      <c r="P2039" s="219"/>
      <c r="Q2039" s="34">
        <f>SUMIF(Allocation[Delivery ID],Allocation[[#This Row],[Delivery ID]],Allocation[Quantity Processed])</f>
        <v>22502</v>
      </c>
      <c r="R2039" s="61">
        <f>Allocation[[#This Row],[Total volume used]]/VLOOKUP(Allocation[[#This Row],[Delivery ID]],Delivery[[Delivery ID]:[Quantity delivered]],3,FALSE)</f>
        <v>0.74608753315649867</v>
      </c>
      <c r="S2039" s="34">
        <f>Allocation[[#This Row],[Quantity Processed]]/Allocation[[#This Row],[Dilution rate]]</f>
        <v>7720.3571428571431</v>
      </c>
      <c r="T2039" s="59">
        <f>SUMIF(Allocation[Delivery ID],Allocation[[#This Row],[Delivery ID]],Allocation[Quantity allocated])/SUMIF(Allocation[Delivery ID],Allocation[[#This Row],[Delivery ID]],Allocation[Volume available (kg)])</f>
        <v>0.84004977335347963</v>
      </c>
      <c r="U2039" s="61">
        <f>Allocation[[#This Row],[Total volume used]]/VLOOKUP(Allocation[[#This Row],[Delivery ID]],Delivery[[Delivery ID]:[Quantity delivered]],3,FALSE)</f>
        <v>0.74608753315649867</v>
      </c>
      <c r="V2039" s="34" t="e">
        <f>VLOOKUP(Allocation[[#This Row],[SAP Contract number]],Shipments[[SAP Contract number]:[Contracted container weight]],2,FALSE)</f>
        <v>#N/A</v>
      </c>
      <c r="W2039" s="34" t="e">
        <f>VLOOKUP(Allocation[[#This Row],[SAP Contract number]],Shipments[[SAP Contract number]:[AAA Premium USD]],24,FALSE)</f>
        <v>#N/A</v>
      </c>
      <c r="X2039" s="34" t="e">
        <f>VLOOKUP(Allocation[[#This Row],[SAP Contract number]],Shipments[[SAP Contract number]:[RA Premium USD]],25,FALSE)</f>
        <v>#N/A</v>
      </c>
      <c r="Y2039" s="38">
        <f>Allocation[[#This Row],[Quantity Processed]]/Allocation[[#This Row],[Quantity allocated]]</f>
        <v>3.3333847340015419</v>
      </c>
      <c r="Z2039" s="34" t="b">
        <f>Allocation[[#This Row],[Quantity allocated]]&lt;=Allocation[[#This Row],[Quantity Processed]]</f>
        <v>1</v>
      </c>
    </row>
    <row r="2040" spans="1:26">
      <c r="A2040" s="247" t="s">
        <v>467</v>
      </c>
      <c r="B2040" s="210" t="s">
        <v>68</v>
      </c>
      <c r="C2040" s="254" t="s">
        <v>1739</v>
      </c>
      <c r="D2040" s="255">
        <v>21653</v>
      </c>
      <c r="E2040" s="211" t="s">
        <v>1936</v>
      </c>
      <c r="F2040" s="212">
        <v>43614</v>
      </c>
      <c r="G2040" s="213">
        <v>2.8</v>
      </c>
      <c r="H2040" s="256">
        <v>6496</v>
      </c>
      <c r="I2040" s="214">
        <v>1462181</v>
      </c>
      <c r="J2040" s="215">
        <v>21600</v>
      </c>
      <c r="K2040" s="212">
        <v>43623</v>
      </c>
      <c r="L2040" s="211" t="s">
        <v>1945</v>
      </c>
      <c r="M2040" s="216">
        <v>4615445946</v>
      </c>
      <c r="N2040" s="212"/>
      <c r="O2040" s="218"/>
      <c r="P2040" s="219"/>
      <c r="Q2040" s="34">
        <f>SUMIF(Allocation[Delivery ID],Allocation[[#This Row],[Delivery ID]],Allocation[Quantity Processed])</f>
        <v>22540</v>
      </c>
      <c r="R2040" s="61">
        <f>Allocation[[#This Row],[Total volume used]]/VLOOKUP(Allocation[[#This Row],[Delivery ID]],Delivery[[Delivery ID]:[Quantity delivered]],3,FALSE)</f>
        <v>0.74611055941741145</v>
      </c>
      <c r="S2040" s="34">
        <f>Allocation[[#This Row],[Quantity Processed]]/Allocation[[#This Row],[Dilution rate]]</f>
        <v>7733.2142857142862</v>
      </c>
      <c r="T2040" s="59">
        <f>SUMIF(Allocation[Delivery ID],Allocation[[#This Row],[Delivery ID]],Allocation[Quantity allocated])/SUMIF(Allocation[Delivery ID],Allocation[[#This Row],[Delivery ID]],Allocation[Volume available (kg)])</f>
        <v>0.83999999999999986</v>
      </c>
      <c r="U2040" s="61">
        <f>Allocation[[#This Row],[Total volume used]]/VLOOKUP(Allocation[[#This Row],[Delivery ID]],Delivery[[Delivery ID]:[Quantity delivered]],3,FALSE)</f>
        <v>0.74611055941741145</v>
      </c>
      <c r="V2040" s="34" t="e">
        <f>VLOOKUP(Allocation[[#This Row],[SAP Contract number]],Shipments[[SAP Contract number]:[Contracted container weight]],2,FALSE)</f>
        <v>#N/A</v>
      </c>
      <c r="W2040" s="34" t="e">
        <f>VLOOKUP(Allocation[[#This Row],[SAP Contract number]],Shipments[[SAP Contract number]:[AAA Premium USD]],24,FALSE)</f>
        <v>#N/A</v>
      </c>
      <c r="X2040" s="34" t="e">
        <f>VLOOKUP(Allocation[[#This Row],[SAP Contract number]],Shipments[[SAP Contract number]:[RA Premium USD]],25,FALSE)</f>
        <v>#N/A</v>
      </c>
      <c r="Y2040" s="38">
        <f>Allocation[[#This Row],[Quantity Processed]]/Allocation[[#This Row],[Quantity allocated]]</f>
        <v>3.3332820197044337</v>
      </c>
      <c r="Z2040" s="34" t="b">
        <f>Allocation[[#This Row],[Quantity allocated]]&lt;=Allocation[[#This Row],[Quantity Processed]]</f>
        <v>1</v>
      </c>
    </row>
    <row r="2041" spans="1:26">
      <c r="A2041" s="247" t="s">
        <v>467</v>
      </c>
      <c r="B2041" s="210" t="s">
        <v>68</v>
      </c>
      <c r="C2041" s="254" t="s">
        <v>1740</v>
      </c>
      <c r="D2041" s="255">
        <v>14400</v>
      </c>
      <c r="E2041" s="211" t="s">
        <v>1936</v>
      </c>
      <c r="F2041" s="212">
        <v>43614</v>
      </c>
      <c r="G2041" s="213">
        <v>2.8</v>
      </c>
      <c r="H2041" s="256">
        <v>4320</v>
      </c>
      <c r="I2041" s="214">
        <v>1462181</v>
      </c>
      <c r="J2041" s="215">
        <v>21600</v>
      </c>
      <c r="K2041" s="212">
        <v>43623</v>
      </c>
      <c r="L2041" s="211" t="s">
        <v>1945</v>
      </c>
      <c r="M2041" s="216">
        <v>4615445946</v>
      </c>
      <c r="N2041" s="212"/>
      <c r="O2041" s="218"/>
      <c r="P2041" s="219"/>
      <c r="Q2041" s="34">
        <f>SUMIF(Allocation[Delivery ID],Allocation[[#This Row],[Delivery ID]],Allocation[Quantity Processed])</f>
        <v>22457</v>
      </c>
      <c r="R2041" s="61">
        <f>Allocation[[#This Row],[Total volume used]]/VLOOKUP(Allocation[[#This Row],[Delivery ID]],Delivery[[Delivery ID]:[Quantity delivered]],3,FALSE)</f>
        <v>0.7460797342192691</v>
      </c>
      <c r="S2041" s="34">
        <f>Allocation[[#This Row],[Quantity Processed]]/Allocation[[#This Row],[Dilution rate]]</f>
        <v>5142.8571428571431</v>
      </c>
      <c r="T2041" s="59">
        <f>SUMIF(Allocation[Delivery ID],Allocation[[#This Row],[Delivery ID]],Allocation[Quantity allocated])/SUMIF(Allocation[Delivery ID],Allocation[[#This Row],[Delivery ID]],Allocation[Volume available (kg)])</f>
        <v>0.83998753172730101</v>
      </c>
      <c r="U2041" s="61">
        <f>Allocation[[#This Row],[Total volume used]]/VLOOKUP(Allocation[[#This Row],[Delivery ID]],Delivery[[Delivery ID]:[Quantity delivered]],3,FALSE)</f>
        <v>0.7460797342192691</v>
      </c>
      <c r="V2041" s="34" t="e">
        <f>VLOOKUP(Allocation[[#This Row],[SAP Contract number]],Shipments[[SAP Contract number]:[Contracted container weight]],2,FALSE)</f>
        <v>#N/A</v>
      </c>
      <c r="W2041" s="34" t="e">
        <f>VLOOKUP(Allocation[[#This Row],[SAP Contract number]],Shipments[[SAP Contract number]:[AAA Premium USD]],24,FALSE)</f>
        <v>#N/A</v>
      </c>
      <c r="X2041" s="34" t="e">
        <f>VLOOKUP(Allocation[[#This Row],[SAP Contract number]],Shipments[[SAP Contract number]:[RA Premium USD]],25,FALSE)</f>
        <v>#N/A</v>
      </c>
      <c r="Y2041" s="38">
        <f>Allocation[[#This Row],[Quantity Processed]]/Allocation[[#This Row],[Quantity allocated]]</f>
        <v>3.3333333333333335</v>
      </c>
      <c r="Z2041" s="34" t="b">
        <f>Allocation[[#This Row],[Quantity allocated]]&lt;=Allocation[[#This Row],[Quantity Processed]]</f>
        <v>1</v>
      </c>
    </row>
    <row r="2042" spans="1:26">
      <c r="A2042" s="247" t="s">
        <v>467</v>
      </c>
      <c r="B2042" s="210" t="s">
        <v>68</v>
      </c>
      <c r="C2042" s="254" t="s">
        <v>1740</v>
      </c>
      <c r="D2042" s="255">
        <v>7173</v>
      </c>
      <c r="E2042" s="211" t="s">
        <v>1936</v>
      </c>
      <c r="F2042" s="212">
        <v>43614</v>
      </c>
      <c r="G2042" s="213">
        <v>2.8</v>
      </c>
      <c r="H2042" s="256">
        <v>2152</v>
      </c>
      <c r="I2042" s="214">
        <v>1462182</v>
      </c>
      <c r="J2042" s="215">
        <v>21600</v>
      </c>
      <c r="K2042" s="212">
        <v>43623</v>
      </c>
      <c r="L2042" s="211" t="s">
        <v>1946</v>
      </c>
      <c r="M2042" s="216">
        <v>4615445946</v>
      </c>
      <c r="N2042" s="212"/>
      <c r="O2042" s="218"/>
      <c r="P2042" s="219"/>
      <c r="Q2042" s="34">
        <f>SUMIF(Allocation[Delivery ID],Allocation[[#This Row],[Delivery ID]],Allocation[Quantity Processed])</f>
        <v>22457</v>
      </c>
      <c r="R2042" s="61">
        <f>Allocation[[#This Row],[Total volume used]]/VLOOKUP(Allocation[[#This Row],[Delivery ID]],Delivery[[Delivery ID]:[Quantity delivered]],3,FALSE)</f>
        <v>0.7460797342192691</v>
      </c>
      <c r="S2042" s="34">
        <f>Allocation[[#This Row],[Quantity Processed]]/Allocation[[#This Row],[Dilution rate]]</f>
        <v>2561.7857142857147</v>
      </c>
      <c r="T2042" s="59">
        <f>SUMIF(Allocation[Delivery ID],Allocation[[#This Row],[Delivery ID]],Allocation[Quantity allocated])/SUMIF(Allocation[Delivery ID],Allocation[[#This Row],[Delivery ID]],Allocation[Volume available (kg)])</f>
        <v>0.83998753172730101</v>
      </c>
      <c r="U2042" s="61">
        <f>Allocation[[#This Row],[Total volume used]]/VLOOKUP(Allocation[[#This Row],[Delivery ID]],Delivery[[Delivery ID]:[Quantity delivered]],3,FALSE)</f>
        <v>0.7460797342192691</v>
      </c>
      <c r="V2042" s="34" t="e">
        <f>VLOOKUP(Allocation[[#This Row],[SAP Contract number]],Shipments[[SAP Contract number]:[Contracted container weight]],2,FALSE)</f>
        <v>#N/A</v>
      </c>
      <c r="W2042" s="34" t="e">
        <f>VLOOKUP(Allocation[[#This Row],[SAP Contract number]],Shipments[[SAP Contract number]:[AAA Premium USD]],24,FALSE)</f>
        <v>#N/A</v>
      </c>
      <c r="X2042" s="34" t="e">
        <f>VLOOKUP(Allocation[[#This Row],[SAP Contract number]],Shipments[[SAP Contract number]:[RA Premium USD]],25,FALSE)</f>
        <v>#N/A</v>
      </c>
      <c r="Y2042" s="38">
        <f>Allocation[[#This Row],[Quantity Processed]]/Allocation[[#This Row],[Quantity allocated]]</f>
        <v>3.3331784386617098</v>
      </c>
      <c r="Z2042" s="34" t="b">
        <f>Allocation[[#This Row],[Quantity allocated]]&lt;=Allocation[[#This Row],[Quantity Processed]]</f>
        <v>1</v>
      </c>
    </row>
    <row r="2043" spans="1:26">
      <c r="A2043" s="247" t="s">
        <v>467</v>
      </c>
      <c r="B2043" s="210" t="s">
        <v>68</v>
      </c>
      <c r="C2043" s="254" t="s">
        <v>1746</v>
      </c>
      <c r="D2043" s="255">
        <v>21343</v>
      </c>
      <c r="E2043" s="211" t="s">
        <v>1936</v>
      </c>
      <c r="F2043" s="212">
        <v>43614</v>
      </c>
      <c r="G2043" s="213">
        <v>2.8</v>
      </c>
      <c r="H2043" s="256">
        <v>6403</v>
      </c>
      <c r="I2043" s="214">
        <v>1462182</v>
      </c>
      <c r="J2043" s="215">
        <v>21600</v>
      </c>
      <c r="K2043" s="212">
        <v>43623</v>
      </c>
      <c r="L2043" s="211" t="s">
        <v>1946</v>
      </c>
      <c r="M2043" s="216">
        <v>4615445946</v>
      </c>
      <c r="N2043" s="212"/>
      <c r="O2043" s="218"/>
      <c r="P2043" s="219"/>
      <c r="Q2043" s="34">
        <f>SUMIF(Allocation[Delivery ID],Allocation[[#This Row],[Delivery ID]],Allocation[Quantity Processed])</f>
        <v>22217</v>
      </c>
      <c r="R2043" s="61">
        <f>Allocation[[#This Row],[Total volume used]]/VLOOKUP(Allocation[[#This Row],[Delivery ID]],Delivery[[Delivery ID]:[Quantity delivered]],3,FALSE)</f>
        <v>0.7460376091336467</v>
      </c>
      <c r="S2043" s="34">
        <f>Allocation[[#This Row],[Quantity Processed]]/Allocation[[#This Row],[Dilution rate]]</f>
        <v>7622.5000000000009</v>
      </c>
      <c r="T2043" s="59">
        <f>SUMIF(Allocation[Delivery ID],Allocation[[#This Row],[Delivery ID]],Allocation[Quantity allocated])/SUMIF(Allocation[Delivery ID],Allocation[[#This Row],[Delivery ID]],Allocation[Volume available (kg)])</f>
        <v>0.83998739703830394</v>
      </c>
      <c r="U2043" s="61">
        <f>Allocation[[#This Row],[Total volume used]]/VLOOKUP(Allocation[[#This Row],[Delivery ID]],Delivery[[Delivery ID]:[Quantity delivered]],3,FALSE)</f>
        <v>0.7460376091336467</v>
      </c>
      <c r="V2043" s="34" t="e">
        <f>VLOOKUP(Allocation[[#This Row],[SAP Contract number]],Shipments[[SAP Contract number]:[Contracted container weight]],2,FALSE)</f>
        <v>#N/A</v>
      </c>
      <c r="W2043" s="34" t="e">
        <f>VLOOKUP(Allocation[[#This Row],[SAP Contract number]],Shipments[[SAP Contract number]:[AAA Premium USD]],24,FALSE)</f>
        <v>#N/A</v>
      </c>
      <c r="X2043" s="34" t="e">
        <f>VLOOKUP(Allocation[[#This Row],[SAP Contract number]],Shipments[[SAP Contract number]:[RA Premium USD]],25,FALSE)</f>
        <v>#N/A</v>
      </c>
      <c r="Y2043" s="38">
        <f>Allocation[[#This Row],[Quantity Processed]]/Allocation[[#This Row],[Quantity allocated]]</f>
        <v>3.3332812744026237</v>
      </c>
      <c r="Z2043" s="34" t="b">
        <f>Allocation[[#This Row],[Quantity allocated]]&lt;=Allocation[[#This Row],[Quantity Processed]]</f>
        <v>1</v>
      </c>
    </row>
    <row r="2044" spans="1:26">
      <c r="A2044" s="247" t="s">
        <v>467</v>
      </c>
      <c r="B2044" s="210" t="s">
        <v>68</v>
      </c>
      <c r="C2044" s="254" t="s">
        <v>1747</v>
      </c>
      <c r="D2044" s="255">
        <v>21797</v>
      </c>
      <c r="E2044" s="211" t="s">
        <v>1936</v>
      </c>
      <c r="F2044" s="212">
        <v>43614</v>
      </c>
      <c r="G2044" s="213">
        <v>2.8</v>
      </c>
      <c r="H2044" s="256">
        <v>6539</v>
      </c>
      <c r="I2044" s="214">
        <v>1462182</v>
      </c>
      <c r="J2044" s="215">
        <v>21600</v>
      </c>
      <c r="K2044" s="212">
        <v>43623</v>
      </c>
      <c r="L2044" s="211" t="s">
        <v>1946</v>
      </c>
      <c r="M2044" s="216">
        <v>4615445946</v>
      </c>
      <c r="N2044" s="212"/>
      <c r="O2044" s="218"/>
      <c r="P2044" s="219"/>
      <c r="Q2044" s="34">
        <f>SUMIF(Allocation[Delivery ID],Allocation[[#This Row],[Delivery ID]],Allocation[Quantity Processed])</f>
        <v>22690</v>
      </c>
      <c r="R2044" s="61">
        <f>Allocation[[#This Row],[Total volume used]]/VLOOKUP(Allocation[[#This Row],[Delivery ID]],Delivery[[Delivery ID]:[Quantity delivered]],3,FALSE)</f>
        <v>0.74613613942781976</v>
      </c>
      <c r="S2044" s="34">
        <f>Allocation[[#This Row],[Quantity Processed]]/Allocation[[#This Row],[Dilution rate]]</f>
        <v>7784.6428571428578</v>
      </c>
      <c r="T2044" s="59">
        <f>SUMIF(Allocation[Delivery ID],Allocation[[#This Row],[Delivery ID]],Allocation[Quantity allocated])/SUMIF(Allocation[Delivery ID],Allocation[[#This Row],[Delivery ID]],Allocation[Volume available (kg)])</f>
        <v>0.84</v>
      </c>
      <c r="U2044" s="61">
        <f>Allocation[[#This Row],[Total volume used]]/VLOOKUP(Allocation[[#This Row],[Delivery ID]],Delivery[[Delivery ID]:[Quantity delivered]],3,FALSE)</f>
        <v>0.74613613942781976</v>
      </c>
      <c r="V2044" s="34" t="e">
        <f>VLOOKUP(Allocation[[#This Row],[SAP Contract number]],Shipments[[SAP Contract number]:[Contracted container weight]],2,FALSE)</f>
        <v>#N/A</v>
      </c>
      <c r="W2044" s="34" t="e">
        <f>VLOOKUP(Allocation[[#This Row],[SAP Contract number]],Shipments[[SAP Contract number]:[AAA Premium USD]],24,FALSE)</f>
        <v>#N/A</v>
      </c>
      <c r="X2044" s="34" t="e">
        <f>VLOOKUP(Allocation[[#This Row],[SAP Contract number]],Shipments[[SAP Contract number]:[RA Premium USD]],25,FALSE)</f>
        <v>#N/A</v>
      </c>
      <c r="Y2044" s="38">
        <f>Allocation[[#This Row],[Quantity Processed]]/Allocation[[#This Row],[Quantity allocated]]</f>
        <v>3.3333843095274505</v>
      </c>
      <c r="Z2044" s="34" t="b">
        <f>Allocation[[#This Row],[Quantity allocated]]&lt;=Allocation[[#This Row],[Quantity Processed]]</f>
        <v>1</v>
      </c>
    </row>
    <row r="2045" spans="1:26">
      <c r="A2045" s="247" t="s">
        <v>467</v>
      </c>
      <c r="B2045" s="210" t="s">
        <v>68</v>
      </c>
      <c r="C2045" s="254" t="s">
        <v>1748</v>
      </c>
      <c r="D2045" s="255">
        <v>21687</v>
      </c>
      <c r="E2045" s="211" t="s">
        <v>1936</v>
      </c>
      <c r="F2045" s="212">
        <v>43614</v>
      </c>
      <c r="G2045" s="213">
        <v>2.8</v>
      </c>
      <c r="H2045" s="256">
        <v>6506</v>
      </c>
      <c r="I2045" s="214">
        <v>1462182</v>
      </c>
      <c r="J2045" s="215">
        <v>21600</v>
      </c>
      <c r="K2045" s="212">
        <v>43623</v>
      </c>
      <c r="L2045" s="211" t="s">
        <v>1946</v>
      </c>
      <c r="M2045" s="216">
        <v>4615445946</v>
      </c>
      <c r="N2045" s="212"/>
      <c r="O2045" s="218"/>
      <c r="P2045" s="219"/>
      <c r="Q2045" s="34">
        <f>SUMIF(Allocation[Delivery ID],Allocation[[#This Row],[Delivery ID]],Allocation[Quantity Processed])</f>
        <v>22575</v>
      </c>
      <c r="R2045" s="61">
        <f>Allocation[[#This Row],[Total volume used]]/VLOOKUP(Allocation[[#This Row],[Delivery ID]],Delivery[[Delivery ID]:[Quantity delivered]],3,FALSE)</f>
        <v>0.74603436880370122</v>
      </c>
      <c r="S2045" s="34">
        <f>Allocation[[#This Row],[Quantity Processed]]/Allocation[[#This Row],[Dilution rate]]</f>
        <v>7745.3571428571431</v>
      </c>
      <c r="T2045" s="59">
        <f>SUMIF(Allocation[Delivery ID],Allocation[[#This Row],[Delivery ID]],Allocation[Quantity allocated])/SUMIF(Allocation[Delivery ID],Allocation[[#This Row],[Delivery ID]],Allocation[Volume available (kg)])</f>
        <v>0.84006201550387594</v>
      </c>
      <c r="U2045" s="61">
        <f>Allocation[[#This Row],[Total volume used]]/VLOOKUP(Allocation[[#This Row],[Delivery ID]],Delivery[[Delivery ID]:[Quantity delivered]],3,FALSE)</f>
        <v>0.74603436880370122</v>
      </c>
      <c r="V2045" s="34" t="e">
        <f>VLOOKUP(Allocation[[#This Row],[SAP Contract number]],Shipments[[SAP Contract number]:[Contracted container weight]],2,FALSE)</f>
        <v>#N/A</v>
      </c>
      <c r="W2045" s="34" t="e">
        <f>VLOOKUP(Allocation[[#This Row],[SAP Contract number]],Shipments[[SAP Contract number]:[AAA Premium USD]],24,FALSE)</f>
        <v>#N/A</v>
      </c>
      <c r="X2045" s="34" t="e">
        <f>VLOOKUP(Allocation[[#This Row],[SAP Contract number]],Shipments[[SAP Contract number]:[RA Premium USD]],25,FALSE)</f>
        <v>#N/A</v>
      </c>
      <c r="Y2045" s="38">
        <f>Allocation[[#This Row],[Quantity Processed]]/Allocation[[#This Row],[Quantity allocated]]</f>
        <v>3.333384568090993</v>
      </c>
      <c r="Z2045" s="34" t="b">
        <f>Allocation[[#This Row],[Quantity allocated]]&lt;=Allocation[[#This Row],[Quantity Processed]]</f>
        <v>1</v>
      </c>
    </row>
    <row r="2046" spans="1:26">
      <c r="A2046" s="247" t="s">
        <v>467</v>
      </c>
      <c r="B2046" s="210" t="s">
        <v>68</v>
      </c>
      <c r="C2046" s="254" t="s">
        <v>1430</v>
      </c>
      <c r="D2046" s="255">
        <v>4788</v>
      </c>
      <c r="E2046" s="211" t="s">
        <v>1936</v>
      </c>
      <c r="F2046" s="212">
        <v>43614</v>
      </c>
      <c r="G2046" s="213">
        <v>2.8</v>
      </c>
      <c r="H2046" s="256">
        <v>1580</v>
      </c>
      <c r="I2046" s="214">
        <v>1462183</v>
      </c>
      <c r="J2046" s="215">
        <v>21600</v>
      </c>
      <c r="K2046" s="212">
        <v>43623</v>
      </c>
      <c r="L2046" s="211" t="s">
        <v>1947</v>
      </c>
      <c r="M2046" s="216">
        <v>4615445946</v>
      </c>
      <c r="N2046" s="212"/>
      <c r="O2046" s="218"/>
      <c r="P2046" s="219"/>
      <c r="Q2046" s="34">
        <f>SUMIF(Allocation[Delivery ID],Allocation[[#This Row],[Delivery ID]],Allocation[Quantity Processed])</f>
        <v>29950</v>
      </c>
      <c r="R2046" s="61">
        <f>Allocation[[#This Row],[Total volume used]]/VLOOKUP(Allocation[[#This Row],[Delivery ID]],Delivery[[Delivery ID]:[Quantity delivered]],3,FALSE)</f>
        <v>1</v>
      </c>
      <c r="S2046" s="34">
        <f>Allocation[[#This Row],[Quantity Processed]]/Allocation[[#This Row],[Dilution rate]]</f>
        <v>1710</v>
      </c>
      <c r="T2046" s="59">
        <f>SUMIF(Allocation[Delivery ID],Allocation[[#This Row],[Delivery ID]],Allocation[Quantity allocated])/SUMIF(Allocation[Delivery ID],Allocation[[#This Row],[Delivery ID]],Allocation[Volume available (kg)])</f>
        <v>0.87920881792314698</v>
      </c>
      <c r="U2046" s="61">
        <f>Allocation[[#This Row],[Total volume used]]/VLOOKUP(Allocation[[#This Row],[Delivery ID]],Delivery[[Delivery ID]:[Quantity delivered]],3,FALSE)</f>
        <v>1</v>
      </c>
      <c r="V2046" s="34" t="e">
        <f>VLOOKUP(Allocation[[#This Row],[SAP Contract number]],Shipments[[SAP Contract number]:[Contracted container weight]],2,FALSE)</f>
        <v>#N/A</v>
      </c>
      <c r="W2046" s="34" t="e">
        <f>VLOOKUP(Allocation[[#This Row],[SAP Contract number]],Shipments[[SAP Contract number]:[AAA Premium USD]],24,FALSE)</f>
        <v>#N/A</v>
      </c>
      <c r="X2046" s="34" t="e">
        <f>VLOOKUP(Allocation[[#This Row],[SAP Contract number]],Shipments[[SAP Contract number]:[RA Premium USD]],25,FALSE)</f>
        <v>#N/A</v>
      </c>
      <c r="Y2046" s="38">
        <f>Allocation[[#This Row],[Quantity Processed]]/Allocation[[#This Row],[Quantity allocated]]</f>
        <v>3.0303797468354432</v>
      </c>
      <c r="Z2046" s="34" t="b">
        <f>Allocation[[#This Row],[Quantity allocated]]&lt;=Allocation[[#This Row],[Quantity Processed]]</f>
        <v>1</v>
      </c>
    </row>
    <row r="2047" spans="1:26">
      <c r="A2047" s="247" t="s">
        <v>467</v>
      </c>
      <c r="B2047" s="210" t="s">
        <v>68</v>
      </c>
      <c r="C2047" s="254" t="s">
        <v>1432</v>
      </c>
      <c r="D2047" s="255">
        <v>4764</v>
      </c>
      <c r="E2047" s="211" t="s">
        <v>1936</v>
      </c>
      <c r="F2047" s="212">
        <v>43614</v>
      </c>
      <c r="G2047" s="213">
        <v>2.8</v>
      </c>
      <c r="H2047" s="256">
        <v>1572</v>
      </c>
      <c r="I2047" s="214">
        <v>1462183</v>
      </c>
      <c r="J2047" s="215">
        <v>21600</v>
      </c>
      <c r="K2047" s="212">
        <v>43623</v>
      </c>
      <c r="L2047" s="211" t="s">
        <v>1947</v>
      </c>
      <c r="M2047" s="216">
        <v>4615445946</v>
      </c>
      <c r="N2047" s="212"/>
      <c r="O2047" s="218"/>
      <c r="P2047" s="219"/>
      <c r="Q2047" s="34">
        <f>SUMIF(Allocation[Delivery ID],Allocation[[#This Row],[Delivery ID]],Allocation[Quantity Processed])</f>
        <v>29960</v>
      </c>
      <c r="R2047" s="61">
        <f>Allocation[[#This Row],[Total volume used]]/VLOOKUP(Allocation[[#This Row],[Delivery ID]],Delivery[[Delivery ID]:[Quantity delivered]],3,FALSE)</f>
        <v>1</v>
      </c>
      <c r="S2047" s="34">
        <f>Allocation[[#This Row],[Quantity Processed]]/Allocation[[#This Row],[Dilution rate]]</f>
        <v>1701.4285714285716</v>
      </c>
      <c r="T2047" s="59">
        <f>SUMIF(Allocation[Delivery ID],Allocation[[#This Row],[Delivery ID]],Allocation[Quantity allocated])/SUMIF(Allocation[Delivery ID],Allocation[[#This Row],[Delivery ID]],Allocation[Volume available (kg)])</f>
        <v>0.87914173875223489</v>
      </c>
      <c r="U2047" s="61">
        <f>Allocation[[#This Row],[Total volume used]]/VLOOKUP(Allocation[[#This Row],[Delivery ID]],Delivery[[Delivery ID]:[Quantity delivered]],3,FALSE)</f>
        <v>1</v>
      </c>
      <c r="V2047" s="34" t="e">
        <f>VLOOKUP(Allocation[[#This Row],[SAP Contract number]],Shipments[[SAP Contract number]:[Contracted container weight]],2,FALSE)</f>
        <v>#N/A</v>
      </c>
      <c r="W2047" s="34" t="e">
        <f>VLOOKUP(Allocation[[#This Row],[SAP Contract number]],Shipments[[SAP Contract number]:[AAA Premium USD]],24,FALSE)</f>
        <v>#N/A</v>
      </c>
      <c r="X2047" s="34" t="e">
        <f>VLOOKUP(Allocation[[#This Row],[SAP Contract number]],Shipments[[SAP Contract number]:[RA Premium USD]],25,FALSE)</f>
        <v>#N/A</v>
      </c>
      <c r="Y2047" s="38">
        <f>Allocation[[#This Row],[Quantity Processed]]/Allocation[[#This Row],[Quantity allocated]]</f>
        <v>3.0305343511450382</v>
      </c>
      <c r="Z2047" s="34" t="b">
        <f>Allocation[[#This Row],[Quantity allocated]]&lt;=Allocation[[#This Row],[Quantity Processed]]</f>
        <v>1</v>
      </c>
    </row>
    <row r="2048" spans="1:26">
      <c r="A2048" s="247" t="s">
        <v>467</v>
      </c>
      <c r="B2048" s="210" t="s">
        <v>68</v>
      </c>
      <c r="C2048" s="254" t="s">
        <v>1433</v>
      </c>
      <c r="D2048" s="255">
        <v>5640</v>
      </c>
      <c r="E2048" s="211" t="s">
        <v>1936</v>
      </c>
      <c r="F2048" s="212">
        <v>43614</v>
      </c>
      <c r="G2048" s="213">
        <v>2.8</v>
      </c>
      <c r="H2048" s="256">
        <v>1861</v>
      </c>
      <c r="I2048" s="214">
        <v>1462183</v>
      </c>
      <c r="J2048" s="215">
        <v>21600</v>
      </c>
      <c r="K2048" s="212">
        <v>43623</v>
      </c>
      <c r="L2048" s="211" t="s">
        <v>1947</v>
      </c>
      <c r="M2048" s="216">
        <v>4615445946</v>
      </c>
      <c r="N2048" s="212"/>
      <c r="O2048" s="218"/>
      <c r="P2048" s="219"/>
      <c r="Q2048" s="34">
        <f>SUMIF(Allocation[Delivery ID],Allocation[[#This Row],[Delivery ID]],Allocation[Quantity Processed])</f>
        <v>22561</v>
      </c>
      <c r="R2048" s="61">
        <f>Allocation[[#This Row],[Total volume used]]/VLOOKUP(Allocation[[#This Row],[Delivery ID]],Delivery[[Delivery ID]:[Quantity delivered]],3,FALSE)</f>
        <v>0.75128205128205128</v>
      </c>
      <c r="S2048" s="34">
        <f>Allocation[[#This Row],[Quantity Processed]]/Allocation[[#This Row],[Dilution rate]]</f>
        <v>2014.2857142857144</v>
      </c>
      <c r="T2048" s="59">
        <f>SUMIF(Allocation[Delivery ID],Allocation[[#This Row],[Delivery ID]],Allocation[Quantity allocated])/SUMIF(Allocation[Delivery ID],Allocation[[#This Row],[Delivery ID]],Allocation[Volume available (kg)])</f>
        <v>0.923983865963388</v>
      </c>
      <c r="U2048" s="61">
        <f>Allocation[[#This Row],[Total volume used]]/VLOOKUP(Allocation[[#This Row],[Delivery ID]],Delivery[[Delivery ID]:[Quantity delivered]],3,FALSE)</f>
        <v>0.75128205128205128</v>
      </c>
      <c r="V2048" s="34" t="e">
        <f>VLOOKUP(Allocation[[#This Row],[SAP Contract number]],Shipments[[SAP Contract number]:[Contracted container weight]],2,FALSE)</f>
        <v>#N/A</v>
      </c>
      <c r="W2048" s="34" t="e">
        <f>VLOOKUP(Allocation[[#This Row],[SAP Contract number]],Shipments[[SAP Contract number]:[AAA Premium USD]],24,FALSE)</f>
        <v>#N/A</v>
      </c>
      <c r="X2048" s="34" t="e">
        <f>VLOOKUP(Allocation[[#This Row],[SAP Contract number]],Shipments[[SAP Contract number]:[RA Premium USD]],25,FALSE)</f>
        <v>#N/A</v>
      </c>
      <c r="Y2048" s="38">
        <f>Allocation[[#This Row],[Quantity Processed]]/Allocation[[#This Row],[Quantity allocated]]</f>
        <v>3.030628694250403</v>
      </c>
      <c r="Z2048" s="34" t="b">
        <f>Allocation[[#This Row],[Quantity allocated]]&lt;=Allocation[[#This Row],[Quantity Processed]]</f>
        <v>1</v>
      </c>
    </row>
    <row r="2049" spans="1:26">
      <c r="A2049" s="247" t="s">
        <v>467</v>
      </c>
      <c r="B2049" s="210" t="s">
        <v>68</v>
      </c>
      <c r="C2049" s="254" t="s">
        <v>1437</v>
      </c>
      <c r="D2049" s="255">
        <v>2452</v>
      </c>
      <c r="E2049" s="211" t="s">
        <v>1936</v>
      </c>
      <c r="F2049" s="212">
        <v>43614</v>
      </c>
      <c r="G2049" s="213">
        <v>2.8</v>
      </c>
      <c r="H2049" s="256">
        <v>809</v>
      </c>
      <c r="I2049" s="214">
        <v>1462183</v>
      </c>
      <c r="J2049" s="215">
        <v>21600</v>
      </c>
      <c r="K2049" s="212">
        <v>43623</v>
      </c>
      <c r="L2049" s="211" t="s">
        <v>1947</v>
      </c>
      <c r="M2049" s="216">
        <v>4615445946</v>
      </c>
      <c r="N2049" s="212"/>
      <c r="O2049" s="218"/>
      <c r="P2049" s="219"/>
      <c r="Q2049" s="34">
        <f>SUMIF(Allocation[Delivery ID],Allocation[[#This Row],[Delivery ID]],Allocation[Quantity Processed])</f>
        <v>9807</v>
      </c>
      <c r="R2049" s="61">
        <f>Allocation[[#This Row],[Total volume used]]/VLOOKUP(Allocation[[#This Row],[Delivery ID]],Delivery[[Delivery ID]:[Quantity delivered]],3,FALSE)</f>
        <v>0.75554699537750381</v>
      </c>
      <c r="S2049" s="34">
        <f>Allocation[[#This Row],[Quantity Processed]]/Allocation[[#This Row],[Dilution rate]]</f>
        <v>875.71428571428578</v>
      </c>
      <c r="T2049" s="59">
        <f>SUMIF(Allocation[Delivery ID],Allocation[[#This Row],[Delivery ID]],Allocation[Quantity allocated])/SUMIF(Allocation[Delivery ID],Allocation[[#This Row],[Delivery ID]],Allocation[Volume available (kg)])</f>
        <v>0.92391149179157728</v>
      </c>
      <c r="U2049" s="61">
        <f>Allocation[[#This Row],[Total volume used]]/VLOOKUP(Allocation[[#This Row],[Delivery ID]],Delivery[[Delivery ID]:[Quantity delivered]],3,FALSE)</f>
        <v>0.75554699537750381</v>
      </c>
      <c r="V2049" s="34" t="e">
        <f>VLOOKUP(Allocation[[#This Row],[SAP Contract number]],Shipments[[SAP Contract number]:[Contracted container weight]],2,FALSE)</f>
        <v>#N/A</v>
      </c>
      <c r="W2049" s="34" t="e">
        <f>VLOOKUP(Allocation[[#This Row],[SAP Contract number]],Shipments[[SAP Contract number]:[AAA Premium USD]],24,FALSE)</f>
        <v>#N/A</v>
      </c>
      <c r="X2049" s="34" t="e">
        <f>VLOOKUP(Allocation[[#This Row],[SAP Contract number]],Shipments[[SAP Contract number]:[RA Premium USD]],25,FALSE)</f>
        <v>#N/A</v>
      </c>
      <c r="Y2049" s="38">
        <f>Allocation[[#This Row],[Quantity Processed]]/Allocation[[#This Row],[Quantity allocated]]</f>
        <v>3.0309023485784921</v>
      </c>
      <c r="Z2049" s="34" t="b">
        <f>Allocation[[#This Row],[Quantity allocated]]&lt;=Allocation[[#This Row],[Quantity Processed]]</f>
        <v>1</v>
      </c>
    </row>
    <row r="2050" spans="1:26">
      <c r="A2050" s="247" t="s">
        <v>467</v>
      </c>
      <c r="B2050" s="210" t="s">
        <v>68</v>
      </c>
      <c r="C2050" s="254" t="s">
        <v>1441</v>
      </c>
      <c r="D2050" s="255">
        <v>2974</v>
      </c>
      <c r="E2050" s="211" t="s">
        <v>1936</v>
      </c>
      <c r="F2050" s="212">
        <v>43614</v>
      </c>
      <c r="G2050" s="213">
        <v>2.8</v>
      </c>
      <c r="H2050" s="256">
        <v>981</v>
      </c>
      <c r="I2050" s="214">
        <v>1462183</v>
      </c>
      <c r="J2050" s="215">
        <v>21600</v>
      </c>
      <c r="K2050" s="212">
        <v>43623</v>
      </c>
      <c r="L2050" s="211" t="s">
        <v>1947</v>
      </c>
      <c r="M2050" s="216">
        <v>4615445946</v>
      </c>
      <c r="N2050" s="212"/>
      <c r="O2050" s="218"/>
      <c r="P2050" s="219"/>
      <c r="Q2050" s="34">
        <f>SUMIF(Allocation[Delivery ID],Allocation[[#This Row],[Delivery ID]],Allocation[Quantity Processed])</f>
        <v>18320</v>
      </c>
      <c r="R2050" s="61">
        <f>Allocation[[#This Row],[Total volume used]]/VLOOKUP(Allocation[[#This Row],[Delivery ID]],Delivery[[Delivery ID]:[Quantity delivered]],3,FALSE)</f>
        <v>1</v>
      </c>
      <c r="S2050" s="34">
        <f>Allocation[[#This Row],[Quantity Processed]]/Allocation[[#This Row],[Dilution rate]]</f>
        <v>1062.1428571428571</v>
      </c>
      <c r="T2050" s="59">
        <f>SUMIF(Allocation[Delivery ID],Allocation[[#This Row],[Delivery ID]],Allocation[Quantity allocated])/SUMIF(Allocation[Delivery ID],Allocation[[#This Row],[Delivery ID]],Allocation[Volume available (kg)])</f>
        <v>0.87920322504149861</v>
      </c>
      <c r="U2050" s="61">
        <f>Allocation[[#This Row],[Total volume used]]/VLOOKUP(Allocation[[#This Row],[Delivery ID]],Delivery[[Delivery ID]:[Quantity delivered]],3,FALSE)</f>
        <v>1</v>
      </c>
      <c r="V2050" s="34" t="e">
        <f>VLOOKUP(Allocation[[#This Row],[SAP Contract number]],Shipments[[SAP Contract number]:[Contracted container weight]],2,FALSE)</f>
        <v>#N/A</v>
      </c>
      <c r="W2050" s="34" t="e">
        <f>VLOOKUP(Allocation[[#This Row],[SAP Contract number]],Shipments[[SAP Contract number]:[AAA Premium USD]],24,FALSE)</f>
        <v>#N/A</v>
      </c>
      <c r="X2050" s="34" t="e">
        <f>VLOOKUP(Allocation[[#This Row],[SAP Contract number]],Shipments[[SAP Contract number]:[RA Premium USD]],25,FALSE)</f>
        <v>#N/A</v>
      </c>
      <c r="Y2050" s="38">
        <f>Allocation[[#This Row],[Quantity Processed]]/Allocation[[#This Row],[Quantity allocated]]</f>
        <v>3.0316004077471965</v>
      </c>
      <c r="Z2050" s="34" t="b">
        <f>Allocation[[#This Row],[Quantity allocated]]&lt;=Allocation[[#This Row],[Quantity Processed]]</f>
        <v>1</v>
      </c>
    </row>
    <row r="2051" spans="1:26">
      <c r="A2051" s="247" t="s">
        <v>467</v>
      </c>
      <c r="B2051" s="210" t="s">
        <v>68</v>
      </c>
      <c r="C2051" s="254" t="s">
        <v>1443</v>
      </c>
      <c r="D2051" s="255">
        <v>3447</v>
      </c>
      <c r="E2051" s="211" t="s">
        <v>1936</v>
      </c>
      <c r="F2051" s="212">
        <v>43614</v>
      </c>
      <c r="G2051" s="213">
        <v>2.8</v>
      </c>
      <c r="H2051" s="256">
        <v>1207</v>
      </c>
      <c r="I2051" s="214">
        <v>1462183</v>
      </c>
      <c r="J2051" s="215">
        <v>21600</v>
      </c>
      <c r="K2051" s="212">
        <v>43623</v>
      </c>
      <c r="L2051" s="211" t="s">
        <v>1947</v>
      </c>
      <c r="M2051" s="216">
        <v>4615445946</v>
      </c>
      <c r="N2051" s="212"/>
      <c r="O2051" s="218"/>
      <c r="P2051" s="219"/>
      <c r="Q2051" s="34">
        <f>SUMIF(Allocation[Delivery ID],Allocation[[#This Row],[Delivery ID]],Allocation[Quantity Processed])</f>
        <v>13790</v>
      </c>
      <c r="R2051" s="61">
        <f>Allocation[[#This Row],[Total volume used]]/VLOOKUP(Allocation[[#This Row],[Delivery ID]],Delivery[[Delivery ID]:[Quantity delivered]],3,FALSE)</f>
        <v>0.71009268795056646</v>
      </c>
      <c r="S2051" s="34">
        <f>Allocation[[#This Row],[Quantity Processed]]/Allocation[[#This Row],[Dilution rate]]</f>
        <v>1231.0714285714287</v>
      </c>
      <c r="T2051" s="59">
        <f>SUMIF(Allocation[Delivery ID],Allocation[[#This Row],[Delivery ID]],Allocation[Quantity allocated])/SUMIF(Allocation[Delivery ID],Allocation[[#This Row],[Delivery ID]],Allocation[Volume available (kg)])</f>
        <v>0.98010152284263963</v>
      </c>
      <c r="U2051" s="61">
        <f>Allocation[[#This Row],[Total volume used]]/VLOOKUP(Allocation[[#This Row],[Delivery ID]],Delivery[[Delivery ID]:[Quantity delivered]],3,FALSE)</f>
        <v>0.71009268795056646</v>
      </c>
      <c r="V2051" s="34" t="e">
        <f>VLOOKUP(Allocation[[#This Row],[SAP Contract number]],Shipments[[SAP Contract number]:[Contracted container weight]],2,FALSE)</f>
        <v>#N/A</v>
      </c>
      <c r="W2051" s="34" t="e">
        <f>VLOOKUP(Allocation[[#This Row],[SAP Contract number]],Shipments[[SAP Contract number]:[AAA Premium USD]],24,FALSE)</f>
        <v>#N/A</v>
      </c>
      <c r="X2051" s="34" t="e">
        <f>VLOOKUP(Allocation[[#This Row],[SAP Contract number]],Shipments[[SAP Contract number]:[RA Premium USD]],25,FALSE)</f>
        <v>#N/A</v>
      </c>
      <c r="Y2051" s="38">
        <f>Allocation[[#This Row],[Quantity Processed]]/Allocation[[#This Row],[Quantity allocated]]</f>
        <v>2.8558409279204642</v>
      </c>
      <c r="Z2051" s="34" t="b">
        <f>Allocation[[#This Row],[Quantity allocated]]&lt;=Allocation[[#This Row],[Quantity Processed]]</f>
        <v>1</v>
      </c>
    </row>
    <row r="2052" spans="1:26">
      <c r="A2052" s="247" t="s">
        <v>467</v>
      </c>
      <c r="B2052" s="210" t="s">
        <v>68</v>
      </c>
      <c r="C2052" s="254" t="s">
        <v>1444</v>
      </c>
      <c r="D2052" s="255">
        <v>3148</v>
      </c>
      <c r="E2052" s="211" t="s">
        <v>1936</v>
      </c>
      <c r="F2052" s="212">
        <v>43614</v>
      </c>
      <c r="G2052" s="213">
        <v>2.8</v>
      </c>
      <c r="H2052" s="256">
        <v>1102</v>
      </c>
      <c r="I2052" s="214">
        <v>1462183</v>
      </c>
      <c r="J2052" s="215">
        <v>21600</v>
      </c>
      <c r="K2052" s="212">
        <v>43623</v>
      </c>
      <c r="L2052" s="211" t="s">
        <v>1947</v>
      </c>
      <c r="M2052" s="216">
        <v>4615445946</v>
      </c>
      <c r="N2052" s="212"/>
      <c r="O2052" s="218"/>
      <c r="P2052" s="219"/>
      <c r="Q2052" s="34">
        <f>SUMIF(Allocation[Delivery ID],Allocation[[#This Row],[Delivery ID]],Allocation[Quantity Processed])</f>
        <v>12591</v>
      </c>
      <c r="R2052" s="61">
        <f>Allocation[[#This Row],[Total volume used]]/VLOOKUP(Allocation[[#This Row],[Delivery ID]],Delivery[[Delivery ID]:[Quantity delivered]],3,FALSE)</f>
        <v>0.71015228426395938</v>
      </c>
      <c r="S2052" s="34">
        <f>Allocation[[#This Row],[Quantity Processed]]/Allocation[[#This Row],[Dilution rate]]</f>
        <v>1124.2857142857144</v>
      </c>
      <c r="T2052" s="59">
        <f>SUMIF(Allocation[Delivery ID],Allocation[[#This Row],[Delivery ID]],Allocation[Quantity allocated])/SUMIF(Allocation[Delivery ID],Allocation[[#This Row],[Delivery ID]],Allocation[Volume available (kg)])</f>
        <v>0.98003335715987605</v>
      </c>
      <c r="U2052" s="61">
        <f>Allocation[[#This Row],[Total volume used]]/VLOOKUP(Allocation[[#This Row],[Delivery ID]],Delivery[[Delivery ID]:[Quantity delivered]],3,FALSE)</f>
        <v>0.71015228426395938</v>
      </c>
      <c r="V2052" s="34" t="e">
        <f>VLOOKUP(Allocation[[#This Row],[SAP Contract number]],Shipments[[SAP Contract number]:[Contracted container weight]],2,FALSE)</f>
        <v>#N/A</v>
      </c>
      <c r="W2052" s="34" t="e">
        <f>VLOOKUP(Allocation[[#This Row],[SAP Contract number]],Shipments[[SAP Contract number]:[AAA Premium USD]],24,FALSE)</f>
        <v>#N/A</v>
      </c>
      <c r="X2052" s="34" t="e">
        <f>VLOOKUP(Allocation[[#This Row],[SAP Contract number]],Shipments[[SAP Contract number]:[RA Premium USD]],25,FALSE)</f>
        <v>#N/A</v>
      </c>
      <c r="Y2052" s="38">
        <f>Allocation[[#This Row],[Quantity Processed]]/Allocation[[#This Row],[Quantity allocated]]</f>
        <v>2.8566243194192378</v>
      </c>
      <c r="Z2052" s="34" t="b">
        <f>Allocation[[#This Row],[Quantity allocated]]&lt;=Allocation[[#This Row],[Quantity Processed]]</f>
        <v>1</v>
      </c>
    </row>
    <row r="2053" spans="1:26">
      <c r="A2053" s="247" t="s">
        <v>467</v>
      </c>
      <c r="B2053" s="210" t="s">
        <v>68</v>
      </c>
      <c r="C2053" s="254" t="s">
        <v>1445</v>
      </c>
      <c r="D2053" s="255">
        <v>3209</v>
      </c>
      <c r="E2053" s="211" t="s">
        <v>1936</v>
      </c>
      <c r="F2053" s="212">
        <v>43614</v>
      </c>
      <c r="G2053" s="213">
        <v>2.8</v>
      </c>
      <c r="H2053" s="256">
        <v>1123</v>
      </c>
      <c r="I2053" s="214">
        <v>1462183</v>
      </c>
      <c r="J2053" s="215">
        <v>21600</v>
      </c>
      <c r="K2053" s="212">
        <v>43623</v>
      </c>
      <c r="L2053" s="211" t="s">
        <v>1947</v>
      </c>
      <c r="M2053" s="216">
        <v>4615445946</v>
      </c>
      <c r="N2053" s="212"/>
      <c r="O2053" s="218"/>
      <c r="P2053" s="219"/>
      <c r="Q2053" s="34">
        <f>SUMIF(Allocation[Delivery ID],Allocation[[#This Row],[Delivery ID]],Allocation[Quantity Processed])</f>
        <v>12835</v>
      </c>
      <c r="R2053" s="61">
        <f>Allocation[[#This Row],[Total volume used]]/VLOOKUP(Allocation[[#This Row],[Delivery ID]],Delivery[[Delivery ID]:[Quantity delivered]],3,FALSE)</f>
        <v>0.70833333333333337</v>
      </c>
      <c r="S2053" s="34">
        <f>Allocation[[#This Row],[Quantity Processed]]/Allocation[[#This Row],[Dilution rate]]</f>
        <v>1146.0714285714287</v>
      </c>
      <c r="T2053" s="59">
        <f>SUMIF(Allocation[Delivery ID],Allocation[[#This Row],[Delivery ID]],Allocation[Quantity allocated])/SUMIF(Allocation[Delivery ID],Allocation[[#This Row],[Delivery ID]],Allocation[Volume available (kg)])</f>
        <v>0.97994546162835994</v>
      </c>
      <c r="U2053" s="61">
        <f>Allocation[[#This Row],[Total volume used]]/VLOOKUP(Allocation[[#This Row],[Delivery ID]],Delivery[[Delivery ID]:[Quantity delivered]],3,FALSE)</f>
        <v>0.70833333333333337</v>
      </c>
      <c r="V2053" s="34" t="e">
        <f>VLOOKUP(Allocation[[#This Row],[SAP Contract number]],Shipments[[SAP Contract number]:[Contracted container weight]],2,FALSE)</f>
        <v>#N/A</v>
      </c>
      <c r="W2053" s="34" t="e">
        <f>VLOOKUP(Allocation[[#This Row],[SAP Contract number]],Shipments[[SAP Contract number]:[AAA Premium USD]],24,FALSE)</f>
        <v>#N/A</v>
      </c>
      <c r="X2053" s="34" t="e">
        <f>VLOOKUP(Allocation[[#This Row],[SAP Contract number]],Shipments[[SAP Contract number]:[RA Premium USD]],25,FALSE)</f>
        <v>#N/A</v>
      </c>
      <c r="Y2053" s="38">
        <f>Allocation[[#This Row],[Quantity Processed]]/Allocation[[#This Row],[Quantity allocated]]</f>
        <v>2.8575244879786288</v>
      </c>
      <c r="Z2053" s="34" t="b">
        <f>Allocation[[#This Row],[Quantity allocated]]&lt;=Allocation[[#This Row],[Quantity Processed]]</f>
        <v>1</v>
      </c>
    </row>
    <row r="2054" spans="1:26">
      <c r="A2054" s="247" t="s">
        <v>467</v>
      </c>
      <c r="B2054" s="210" t="s">
        <v>68</v>
      </c>
      <c r="C2054" s="254" t="s">
        <v>1446</v>
      </c>
      <c r="D2054" s="255">
        <v>3232</v>
      </c>
      <c r="E2054" s="211" t="s">
        <v>1936</v>
      </c>
      <c r="F2054" s="212">
        <v>43614</v>
      </c>
      <c r="G2054" s="213">
        <v>2.8</v>
      </c>
      <c r="H2054" s="256">
        <v>1131</v>
      </c>
      <c r="I2054" s="214">
        <v>1462183</v>
      </c>
      <c r="J2054" s="215">
        <v>21600</v>
      </c>
      <c r="K2054" s="212">
        <v>43623</v>
      </c>
      <c r="L2054" s="211" t="s">
        <v>1947</v>
      </c>
      <c r="M2054" s="216">
        <v>4615445946</v>
      </c>
      <c r="N2054" s="212"/>
      <c r="O2054" s="218"/>
      <c r="P2054" s="219"/>
      <c r="Q2054" s="34">
        <f>SUMIF(Allocation[Delivery ID],Allocation[[#This Row],[Delivery ID]],Allocation[Quantity Processed])</f>
        <v>12926</v>
      </c>
      <c r="R2054" s="61">
        <f>Allocation[[#This Row],[Total volume used]]/VLOOKUP(Allocation[[#This Row],[Delivery ID]],Delivery[[Delivery ID]:[Quantity delivered]],3,FALSE)</f>
        <v>0.70788608981380063</v>
      </c>
      <c r="S2054" s="34">
        <f>Allocation[[#This Row],[Quantity Processed]]/Allocation[[#This Row],[Dilution rate]]</f>
        <v>1154.2857142857144</v>
      </c>
      <c r="T2054" s="59">
        <f>SUMIF(Allocation[Delivery ID],Allocation[[#This Row],[Delivery ID]],Allocation[Quantity allocated])/SUMIF(Allocation[Delivery ID],Allocation[[#This Row],[Delivery ID]],Allocation[Volume available (kg)])</f>
        <v>0.97997833823301872</v>
      </c>
      <c r="U2054" s="61">
        <f>Allocation[[#This Row],[Total volume used]]/VLOOKUP(Allocation[[#This Row],[Delivery ID]],Delivery[[Delivery ID]:[Quantity delivered]],3,FALSE)</f>
        <v>0.70788608981380063</v>
      </c>
      <c r="V2054" s="34" t="e">
        <f>VLOOKUP(Allocation[[#This Row],[SAP Contract number]],Shipments[[SAP Contract number]:[Contracted container weight]],2,FALSE)</f>
        <v>#N/A</v>
      </c>
      <c r="W2054" s="34" t="e">
        <f>VLOOKUP(Allocation[[#This Row],[SAP Contract number]],Shipments[[SAP Contract number]:[AAA Premium USD]],24,FALSE)</f>
        <v>#N/A</v>
      </c>
      <c r="X2054" s="34" t="e">
        <f>VLOOKUP(Allocation[[#This Row],[SAP Contract number]],Shipments[[SAP Contract number]:[RA Premium USD]],25,FALSE)</f>
        <v>#N/A</v>
      </c>
      <c r="Y2054" s="38">
        <f>Allocation[[#This Row],[Quantity Processed]]/Allocation[[#This Row],[Quantity allocated]]</f>
        <v>2.8576480990274096</v>
      </c>
      <c r="Z2054" s="34" t="b">
        <f>Allocation[[#This Row],[Quantity allocated]]&lt;=Allocation[[#This Row],[Quantity Processed]]</f>
        <v>1</v>
      </c>
    </row>
    <row r="2055" spans="1:26">
      <c r="A2055" s="247" t="s">
        <v>467</v>
      </c>
      <c r="B2055" s="210" t="s">
        <v>68</v>
      </c>
      <c r="C2055" s="254" t="s">
        <v>1447</v>
      </c>
      <c r="D2055" s="255">
        <v>3222</v>
      </c>
      <c r="E2055" s="211" t="s">
        <v>1936</v>
      </c>
      <c r="F2055" s="212">
        <v>43614</v>
      </c>
      <c r="G2055" s="213">
        <v>2.8</v>
      </c>
      <c r="H2055" s="256">
        <v>1128</v>
      </c>
      <c r="I2055" s="214">
        <v>1462183</v>
      </c>
      <c r="J2055" s="215">
        <v>21600</v>
      </c>
      <c r="K2055" s="212">
        <v>43623</v>
      </c>
      <c r="L2055" s="211" t="s">
        <v>1947</v>
      </c>
      <c r="M2055" s="216">
        <v>4615445946</v>
      </c>
      <c r="N2055" s="212"/>
      <c r="O2055" s="218"/>
      <c r="P2055" s="219"/>
      <c r="Q2055" s="34">
        <f>SUMIF(Allocation[Delivery ID],Allocation[[#This Row],[Delivery ID]],Allocation[Quantity Processed])</f>
        <v>12888</v>
      </c>
      <c r="R2055" s="61">
        <f>Allocation[[#This Row],[Total volume used]]/VLOOKUP(Allocation[[#This Row],[Delivery ID]],Delivery[[Delivery ID]:[Quantity delivered]],3,FALSE)</f>
        <v>0.70852116547553601</v>
      </c>
      <c r="S2055" s="34">
        <f>Allocation[[#This Row],[Quantity Processed]]/Allocation[[#This Row],[Dilution rate]]</f>
        <v>1150.7142857142858</v>
      </c>
      <c r="T2055" s="59">
        <f>SUMIF(Allocation[Delivery ID],Allocation[[#This Row],[Delivery ID]],Allocation[Quantity allocated])/SUMIF(Allocation[Delivery ID],Allocation[[#This Row],[Delivery ID]],Allocation[Volume available (kg)])</f>
        <v>0.98004345127250148</v>
      </c>
      <c r="U2055" s="61">
        <f>Allocation[[#This Row],[Total volume used]]/VLOOKUP(Allocation[[#This Row],[Delivery ID]],Delivery[[Delivery ID]:[Quantity delivered]],3,FALSE)</f>
        <v>0.70852116547553601</v>
      </c>
      <c r="V2055" s="34" t="e">
        <f>VLOOKUP(Allocation[[#This Row],[SAP Contract number]],Shipments[[SAP Contract number]:[Contracted container weight]],2,FALSE)</f>
        <v>#N/A</v>
      </c>
      <c r="W2055" s="34" t="e">
        <f>VLOOKUP(Allocation[[#This Row],[SAP Contract number]],Shipments[[SAP Contract number]:[AAA Premium USD]],24,FALSE)</f>
        <v>#N/A</v>
      </c>
      <c r="X2055" s="34" t="e">
        <f>VLOOKUP(Allocation[[#This Row],[SAP Contract number]],Shipments[[SAP Contract number]:[RA Premium USD]],25,FALSE)</f>
        <v>#N/A</v>
      </c>
      <c r="Y2055" s="38">
        <f>Allocation[[#This Row],[Quantity Processed]]/Allocation[[#This Row],[Quantity allocated]]</f>
        <v>2.8563829787234041</v>
      </c>
      <c r="Z2055" s="34" t="b">
        <f>Allocation[[#This Row],[Quantity allocated]]&lt;=Allocation[[#This Row],[Quantity Processed]]</f>
        <v>1</v>
      </c>
    </row>
    <row r="2056" spans="1:26">
      <c r="A2056" s="247" t="s">
        <v>467</v>
      </c>
      <c r="B2056" s="210" t="s">
        <v>68</v>
      </c>
      <c r="C2056" s="254" t="s">
        <v>1448</v>
      </c>
      <c r="D2056" s="255">
        <v>3196</v>
      </c>
      <c r="E2056" s="211" t="s">
        <v>1936</v>
      </c>
      <c r="F2056" s="212">
        <v>43614</v>
      </c>
      <c r="G2056" s="213">
        <v>2.8</v>
      </c>
      <c r="H2056" s="256">
        <v>1119</v>
      </c>
      <c r="I2056" s="214">
        <v>1462183</v>
      </c>
      <c r="J2056" s="215">
        <v>21600</v>
      </c>
      <c r="K2056" s="212">
        <v>43623</v>
      </c>
      <c r="L2056" s="211" t="s">
        <v>1947</v>
      </c>
      <c r="M2056" s="216">
        <v>4615445946</v>
      </c>
      <c r="N2056" s="212"/>
      <c r="O2056" s="218"/>
      <c r="P2056" s="219"/>
      <c r="Q2056" s="34">
        <f>SUMIF(Allocation[Delivery ID],Allocation[[#This Row],[Delivery ID]],Allocation[Quantity Processed])</f>
        <v>16499</v>
      </c>
      <c r="R2056" s="61">
        <f>Allocation[[#This Row],[Total volume used]]/VLOOKUP(Allocation[[#This Row],[Delivery ID]],Delivery[[Delivery ID]:[Quantity delivered]],3,FALSE)</f>
        <v>0.93797612279704379</v>
      </c>
      <c r="S2056" s="34">
        <f>Allocation[[#This Row],[Quantity Processed]]/Allocation[[#This Row],[Dilution rate]]</f>
        <v>1141.4285714285716</v>
      </c>
      <c r="T2056" s="59">
        <f>SUMIF(Allocation[Delivery ID],Allocation[[#This Row],[Delivery ID]],Allocation[Quantity allocated])/SUMIF(Allocation[Delivery ID],Allocation[[#This Row],[Delivery ID]],Allocation[Volume available (kg)])</f>
        <v>0.93433689991382929</v>
      </c>
      <c r="U2056" s="61">
        <f>Allocation[[#This Row],[Total volume used]]/VLOOKUP(Allocation[[#This Row],[Delivery ID]],Delivery[[Delivery ID]:[Quantity delivered]],3,FALSE)</f>
        <v>0.93797612279704379</v>
      </c>
      <c r="V2056" s="34" t="e">
        <f>VLOOKUP(Allocation[[#This Row],[SAP Contract number]],Shipments[[SAP Contract number]:[Contracted container weight]],2,FALSE)</f>
        <v>#N/A</v>
      </c>
      <c r="W2056" s="34" t="e">
        <f>VLOOKUP(Allocation[[#This Row],[SAP Contract number]],Shipments[[SAP Contract number]:[AAA Premium USD]],24,FALSE)</f>
        <v>#N/A</v>
      </c>
      <c r="X2056" s="34" t="e">
        <f>VLOOKUP(Allocation[[#This Row],[SAP Contract number]],Shipments[[SAP Contract number]:[RA Premium USD]],25,FALSE)</f>
        <v>#N/A</v>
      </c>
      <c r="Y2056" s="38">
        <f>Allocation[[#This Row],[Quantity Processed]]/Allocation[[#This Row],[Quantity allocated]]</f>
        <v>2.8561215370866844</v>
      </c>
      <c r="Z2056" s="34" t="b">
        <f>Allocation[[#This Row],[Quantity allocated]]&lt;=Allocation[[#This Row],[Quantity Processed]]</f>
        <v>1</v>
      </c>
    </row>
    <row r="2057" spans="1:26">
      <c r="A2057" s="247" t="s">
        <v>467</v>
      </c>
      <c r="B2057" s="210" t="s">
        <v>68</v>
      </c>
      <c r="C2057" s="254" t="s">
        <v>1449</v>
      </c>
      <c r="D2057" s="255">
        <v>2399</v>
      </c>
      <c r="E2057" s="211" t="s">
        <v>1936</v>
      </c>
      <c r="F2057" s="212">
        <v>43614</v>
      </c>
      <c r="G2057" s="213">
        <v>2.8</v>
      </c>
      <c r="H2057" s="256">
        <v>840</v>
      </c>
      <c r="I2057" s="214">
        <v>1462183</v>
      </c>
      <c r="J2057" s="215">
        <v>21600</v>
      </c>
      <c r="K2057" s="212">
        <v>43623</v>
      </c>
      <c r="L2057" s="211" t="s">
        <v>1947</v>
      </c>
      <c r="M2057" s="216">
        <v>4615445946</v>
      </c>
      <c r="N2057" s="212"/>
      <c r="O2057" s="218"/>
      <c r="P2057" s="219"/>
      <c r="Q2057" s="34">
        <f>SUMIF(Allocation[Delivery ID],Allocation[[#This Row],[Delivery ID]],Allocation[Quantity Processed])</f>
        <v>9596</v>
      </c>
      <c r="R2057" s="61">
        <f>Allocation[[#This Row],[Total volume used]]/VLOOKUP(Allocation[[#This Row],[Delivery ID]],Delivery[[Delivery ID]:[Quantity delivered]],3,FALSE)</f>
        <v>0.74532038834951453</v>
      </c>
      <c r="S2057" s="34">
        <f>Allocation[[#This Row],[Quantity Processed]]/Allocation[[#This Row],[Dilution rate]]</f>
        <v>856.78571428571433</v>
      </c>
      <c r="T2057" s="59">
        <f>SUMIF(Allocation[Delivery ID],Allocation[[#This Row],[Delivery ID]],Allocation[Quantity allocated])/SUMIF(Allocation[Delivery ID],Allocation[[#This Row],[Delivery ID]],Allocation[Volume available (kg)])</f>
        <v>0.98011671529804079</v>
      </c>
      <c r="U2057" s="61">
        <f>Allocation[[#This Row],[Total volume used]]/VLOOKUP(Allocation[[#This Row],[Delivery ID]],Delivery[[Delivery ID]:[Quantity delivered]],3,FALSE)</f>
        <v>0.74532038834951453</v>
      </c>
      <c r="V2057" s="34" t="e">
        <f>VLOOKUP(Allocation[[#This Row],[SAP Contract number]],Shipments[[SAP Contract number]:[Contracted container weight]],2,FALSE)</f>
        <v>#N/A</v>
      </c>
      <c r="W2057" s="34" t="e">
        <f>VLOOKUP(Allocation[[#This Row],[SAP Contract number]],Shipments[[SAP Contract number]:[AAA Premium USD]],24,FALSE)</f>
        <v>#N/A</v>
      </c>
      <c r="X2057" s="34" t="e">
        <f>VLOOKUP(Allocation[[#This Row],[SAP Contract number]],Shipments[[SAP Contract number]:[RA Premium USD]],25,FALSE)</f>
        <v>#N/A</v>
      </c>
      <c r="Y2057" s="38">
        <f>Allocation[[#This Row],[Quantity Processed]]/Allocation[[#This Row],[Quantity allocated]]</f>
        <v>2.855952380952381</v>
      </c>
      <c r="Z2057" s="34" t="b">
        <f>Allocation[[#This Row],[Quantity allocated]]&lt;=Allocation[[#This Row],[Quantity Processed]]</f>
        <v>1</v>
      </c>
    </row>
    <row r="2058" spans="1:26">
      <c r="A2058" s="247" t="s">
        <v>467</v>
      </c>
      <c r="B2058" s="210" t="s">
        <v>68</v>
      </c>
      <c r="C2058" s="254" t="s">
        <v>1450</v>
      </c>
      <c r="D2058" s="255">
        <v>3130</v>
      </c>
      <c r="E2058" s="211" t="s">
        <v>1936</v>
      </c>
      <c r="F2058" s="212">
        <v>43614</v>
      </c>
      <c r="G2058" s="213">
        <v>2.8</v>
      </c>
      <c r="H2058" s="256">
        <v>1283</v>
      </c>
      <c r="I2058" s="214">
        <v>1462183</v>
      </c>
      <c r="J2058" s="215">
        <v>21600</v>
      </c>
      <c r="K2058" s="212">
        <v>43623</v>
      </c>
      <c r="L2058" s="211" t="s">
        <v>1947</v>
      </c>
      <c r="M2058" s="216">
        <v>4615445946</v>
      </c>
      <c r="N2058" s="212"/>
      <c r="O2058" s="218"/>
      <c r="P2058" s="219"/>
      <c r="Q2058" s="34">
        <f>SUMIF(Allocation[Delivery ID],Allocation[[#This Row],[Delivery ID]],Allocation[Quantity Processed])</f>
        <v>16159</v>
      </c>
      <c r="R2058" s="61">
        <f>Allocation[[#This Row],[Total volume used]]/VLOOKUP(Allocation[[#This Row],[Delivery ID]],Delivery[[Delivery ID]:[Quantity delivered]],3,FALSE)</f>
        <v>0.83812240663900417</v>
      </c>
      <c r="S2058" s="34">
        <f>Allocation[[#This Row],[Quantity Processed]]/Allocation[[#This Row],[Dilution rate]]</f>
        <v>1117.8571428571429</v>
      </c>
      <c r="T2058" s="59">
        <f>SUMIF(Allocation[Delivery ID],Allocation[[#This Row],[Delivery ID]],Allocation[Quantity allocated])/SUMIF(Allocation[Delivery ID],Allocation[[#This Row],[Delivery ID]],Allocation[Volume available (kg)])</f>
        <v>1.0943896658219014</v>
      </c>
      <c r="U2058" s="61">
        <f>Allocation[[#This Row],[Total volume used]]/VLOOKUP(Allocation[[#This Row],[Delivery ID]],Delivery[[Delivery ID]:[Quantity delivered]],3,FALSE)</f>
        <v>0.83812240663900417</v>
      </c>
      <c r="V2058" s="34" t="e">
        <f>VLOOKUP(Allocation[[#This Row],[SAP Contract number]],Shipments[[SAP Contract number]:[Contracted container weight]],2,FALSE)</f>
        <v>#N/A</v>
      </c>
      <c r="W2058" s="34" t="e">
        <f>VLOOKUP(Allocation[[#This Row],[SAP Contract number]],Shipments[[SAP Contract number]:[AAA Premium USD]],24,FALSE)</f>
        <v>#N/A</v>
      </c>
      <c r="X2058" s="34" t="e">
        <f>VLOOKUP(Allocation[[#This Row],[SAP Contract number]],Shipments[[SAP Contract number]:[RA Premium USD]],25,FALSE)</f>
        <v>#N/A</v>
      </c>
      <c r="Y2058" s="38">
        <f>Allocation[[#This Row],[Quantity Processed]]/Allocation[[#This Row],[Quantity allocated]]</f>
        <v>2.4395946999220577</v>
      </c>
      <c r="Z2058" s="34" t="b">
        <f>Allocation[[#This Row],[Quantity allocated]]&lt;=Allocation[[#This Row],[Quantity Processed]]</f>
        <v>1</v>
      </c>
    </row>
    <row r="2059" spans="1:26">
      <c r="A2059" s="247" t="s">
        <v>467</v>
      </c>
      <c r="B2059" s="210" t="s">
        <v>68</v>
      </c>
      <c r="C2059" s="254" t="s">
        <v>1451</v>
      </c>
      <c r="D2059" s="255">
        <v>1960</v>
      </c>
      <c r="E2059" s="211" t="s">
        <v>1936</v>
      </c>
      <c r="F2059" s="212">
        <v>43614</v>
      </c>
      <c r="G2059" s="213">
        <v>2.8</v>
      </c>
      <c r="H2059" s="256">
        <v>804</v>
      </c>
      <c r="I2059" s="214">
        <v>1462183</v>
      </c>
      <c r="J2059" s="215">
        <v>21600</v>
      </c>
      <c r="K2059" s="212">
        <v>43623</v>
      </c>
      <c r="L2059" s="211" t="s">
        <v>1947</v>
      </c>
      <c r="M2059" s="216">
        <v>4615445946</v>
      </c>
      <c r="N2059" s="212"/>
      <c r="O2059" s="218"/>
      <c r="P2059" s="219"/>
      <c r="Q2059" s="34">
        <f>SUMIF(Allocation[Delivery ID],Allocation[[#This Row],[Delivery ID]],Allocation[Quantity Processed])</f>
        <v>10118</v>
      </c>
      <c r="R2059" s="61">
        <f>Allocation[[#This Row],[Total volume used]]/VLOOKUP(Allocation[[#This Row],[Delivery ID]],Delivery[[Delivery ID]:[Quantity delivered]],3,FALSE)</f>
        <v>0.80493237867939538</v>
      </c>
      <c r="S2059" s="34">
        <f>Allocation[[#This Row],[Quantity Processed]]/Allocation[[#This Row],[Dilution rate]]</f>
        <v>700</v>
      </c>
      <c r="T2059" s="59">
        <f>SUMIF(Allocation[Delivery ID],Allocation[[#This Row],[Delivery ID]],Allocation[Quantity allocated])/SUMIF(Allocation[Delivery ID],Allocation[[#This Row],[Delivery ID]],Allocation[Volume available (kg)])</f>
        <v>1.0945973847212662</v>
      </c>
      <c r="U2059" s="61">
        <f>Allocation[[#This Row],[Total volume used]]/VLOOKUP(Allocation[[#This Row],[Delivery ID]],Delivery[[Delivery ID]:[Quantity delivered]],3,FALSE)</f>
        <v>0.80493237867939538</v>
      </c>
      <c r="V2059" s="34" t="e">
        <f>VLOOKUP(Allocation[[#This Row],[SAP Contract number]],Shipments[[SAP Contract number]:[Contracted container weight]],2,FALSE)</f>
        <v>#N/A</v>
      </c>
      <c r="W2059" s="34" t="e">
        <f>VLOOKUP(Allocation[[#This Row],[SAP Contract number]],Shipments[[SAP Contract number]:[AAA Premium USD]],24,FALSE)</f>
        <v>#N/A</v>
      </c>
      <c r="X2059" s="34" t="e">
        <f>VLOOKUP(Allocation[[#This Row],[SAP Contract number]],Shipments[[SAP Contract number]:[RA Premium USD]],25,FALSE)</f>
        <v>#N/A</v>
      </c>
      <c r="Y2059" s="38">
        <f>Allocation[[#This Row],[Quantity Processed]]/Allocation[[#This Row],[Quantity allocated]]</f>
        <v>2.4378109452736316</v>
      </c>
      <c r="Z2059" s="34" t="b">
        <f>Allocation[[#This Row],[Quantity allocated]]&lt;=Allocation[[#This Row],[Quantity Processed]]</f>
        <v>1</v>
      </c>
    </row>
    <row r="2060" spans="1:26">
      <c r="A2060" s="247" t="s">
        <v>467</v>
      </c>
      <c r="B2060" s="210" t="s">
        <v>68</v>
      </c>
      <c r="C2060" s="254" t="s">
        <v>1452</v>
      </c>
      <c r="D2060" s="255">
        <v>904</v>
      </c>
      <c r="E2060" s="211" t="s">
        <v>1936</v>
      </c>
      <c r="F2060" s="212">
        <v>43614</v>
      </c>
      <c r="G2060" s="213">
        <v>2.8</v>
      </c>
      <c r="H2060" s="256">
        <v>316</v>
      </c>
      <c r="I2060" s="214">
        <v>1462183</v>
      </c>
      <c r="J2060" s="215">
        <v>21600</v>
      </c>
      <c r="K2060" s="212">
        <v>43623</v>
      </c>
      <c r="L2060" s="211" t="s">
        <v>1947</v>
      </c>
      <c r="M2060" s="216">
        <v>4615445946</v>
      </c>
      <c r="N2060" s="212"/>
      <c r="O2060" s="218"/>
      <c r="P2060" s="219"/>
      <c r="Q2060" s="34">
        <f>SUMIF(Allocation[Delivery ID],Allocation[[#This Row],[Delivery ID]],Allocation[Quantity Processed])</f>
        <v>3615</v>
      </c>
      <c r="R2060" s="61">
        <f>Allocation[[#This Row],[Total volume used]]/VLOOKUP(Allocation[[#This Row],[Delivery ID]],Delivery[[Delivery ID]:[Quantity delivered]],3,FALSE)</f>
        <v>0.70536585365853655</v>
      </c>
      <c r="S2060" s="34">
        <f>Allocation[[#This Row],[Quantity Processed]]/Allocation[[#This Row],[Dilution rate]]</f>
        <v>322.85714285714289</v>
      </c>
      <c r="T2060" s="59">
        <f>SUMIF(Allocation[Delivery ID],Allocation[[#This Row],[Delivery ID]],Allocation[Quantity allocated])/SUMIF(Allocation[Delivery ID],Allocation[[#This Row],[Delivery ID]],Allocation[Volume available (kg)])</f>
        <v>0.97980636237897645</v>
      </c>
      <c r="U2060" s="61">
        <f>Allocation[[#This Row],[Total volume used]]/VLOOKUP(Allocation[[#This Row],[Delivery ID]],Delivery[[Delivery ID]:[Quantity delivered]],3,FALSE)</f>
        <v>0.70536585365853655</v>
      </c>
      <c r="V2060" s="34" t="e">
        <f>VLOOKUP(Allocation[[#This Row],[SAP Contract number]],Shipments[[SAP Contract number]:[Contracted container weight]],2,FALSE)</f>
        <v>#N/A</v>
      </c>
      <c r="W2060" s="34" t="e">
        <f>VLOOKUP(Allocation[[#This Row],[SAP Contract number]],Shipments[[SAP Contract number]:[AAA Premium USD]],24,FALSE)</f>
        <v>#N/A</v>
      </c>
      <c r="X2060" s="34" t="e">
        <f>VLOOKUP(Allocation[[#This Row],[SAP Contract number]],Shipments[[SAP Contract number]:[RA Premium USD]],25,FALSE)</f>
        <v>#N/A</v>
      </c>
      <c r="Y2060" s="38">
        <f>Allocation[[#This Row],[Quantity Processed]]/Allocation[[#This Row],[Quantity allocated]]</f>
        <v>2.8607594936708862</v>
      </c>
      <c r="Z2060" s="34" t="b">
        <f>Allocation[[#This Row],[Quantity allocated]]&lt;=Allocation[[#This Row],[Quantity Processed]]</f>
        <v>1</v>
      </c>
    </row>
    <row r="2061" spans="1:26">
      <c r="A2061" s="247" t="s">
        <v>467</v>
      </c>
      <c r="B2061" s="210" t="s">
        <v>68</v>
      </c>
      <c r="C2061" s="254" t="s">
        <v>1453</v>
      </c>
      <c r="D2061" s="255">
        <v>3269</v>
      </c>
      <c r="E2061" s="211" t="s">
        <v>1936</v>
      </c>
      <c r="F2061" s="212">
        <v>43614</v>
      </c>
      <c r="G2061" s="213">
        <v>2.8</v>
      </c>
      <c r="H2061" s="256">
        <v>1144</v>
      </c>
      <c r="I2061" s="214">
        <v>1462183</v>
      </c>
      <c r="J2061" s="215">
        <v>21600</v>
      </c>
      <c r="K2061" s="212">
        <v>43623</v>
      </c>
      <c r="L2061" s="211" t="s">
        <v>1947</v>
      </c>
      <c r="M2061" s="216">
        <v>4615445946</v>
      </c>
      <c r="N2061" s="212"/>
      <c r="O2061" s="218"/>
      <c r="P2061" s="219"/>
      <c r="Q2061" s="34">
        <f>SUMIF(Allocation[Delivery ID],Allocation[[#This Row],[Delivery ID]],Allocation[Quantity Processed])</f>
        <v>13075</v>
      </c>
      <c r="R2061" s="61">
        <f>Allocation[[#This Row],[Total volume used]]/VLOOKUP(Allocation[[#This Row],[Delivery ID]],Delivery[[Delivery ID]:[Quantity delivered]],3,FALSE)</f>
        <v>0.70867208672086723</v>
      </c>
      <c r="S2061" s="34">
        <f>Allocation[[#This Row],[Quantity Processed]]/Allocation[[#This Row],[Dilution rate]]</f>
        <v>1167.5</v>
      </c>
      <c r="T2061" s="59">
        <f>SUMIF(Allocation[Delivery ID],Allocation[[#This Row],[Delivery ID]],Allocation[Quantity allocated])/SUMIF(Allocation[Delivery ID],Allocation[[#This Row],[Delivery ID]],Allocation[Volume available (kg)])</f>
        <v>0.97994646271510522</v>
      </c>
      <c r="U2061" s="61">
        <f>Allocation[[#This Row],[Total volume used]]/VLOOKUP(Allocation[[#This Row],[Delivery ID]],Delivery[[Delivery ID]:[Quantity delivered]],3,FALSE)</f>
        <v>0.70867208672086723</v>
      </c>
      <c r="V2061" s="34" t="e">
        <f>VLOOKUP(Allocation[[#This Row],[SAP Contract number]],Shipments[[SAP Contract number]:[Contracted container weight]],2,FALSE)</f>
        <v>#N/A</v>
      </c>
      <c r="W2061" s="34" t="e">
        <f>VLOOKUP(Allocation[[#This Row],[SAP Contract number]],Shipments[[SAP Contract number]:[AAA Premium USD]],24,FALSE)</f>
        <v>#N/A</v>
      </c>
      <c r="X2061" s="34" t="e">
        <f>VLOOKUP(Allocation[[#This Row],[SAP Contract number]],Shipments[[SAP Contract number]:[RA Premium USD]],25,FALSE)</f>
        <v>#N/A</v>
      </c>
      <c r="Y2061" s="38">
        <f>Allocation[[#This Row],[Quantity Processed]]/Allocation[[#This Row],[Quantity allocated]]</f>
        <v>2.8575174825174825</v>
      </c>
      <c r="Z2061" s="34" t="b">
        <f>Allocation[[#This Row],[Quantity allocated]]&lt;=Allocation[[#This Row],[Quantity Processed]]</f>
        <v>1</v>
      </c>
    </row>
    <row r="2062" spans="1:26">
      <c r="A2062" s="247" t="s">
        <v>467</v>
      </c>
      <c r="B2062" s="210" t="s">
        <v>68</v>
      </c>
      <c r="C2062" s="254" t="s">
        <v>1454</v>
      </c>
      <c r="D2062" s="255">
        <v>3217</v>
      </c>
      <c r="E2062" s="211" t="s">
        <v>1936</v>
      </c>
      <c r="F2062" s="212">
        <v>43614</v>
      </c>
      <c r="G2062" s="213">
        <v>2.8</v>
      </c>
      <c r="H2062" s="256">
        <v>1126</v>
      </c>
      <c r="I2062" s="214">
        <v>1462183</v>
      </c>
      <c r="J2062" s="215">
        <v>21600</v>
      </c>
      <c r="K2062" s="212">
        <v>43623</v>
      </c>
      <c r="L2062" s="211" t="s">
        <v>1947</v>
      </c>
      <c r="M2062" s="216">
        <v>4615445946</v>
      </c>
      <c r="N2062" s="212"/>
      <c r="O2062" s="218"/>
      <c r="P2062" s="219"/>
      <c r="Q2062" s="34">
        <f>SUMIF(Allocation[Delivery ID],Allocation[[#This Row],[Delivery ID]],Allocation[Quantity Processed])</f>
        <v>12868</v>
      </c>
      <c r="R2062" s="61">
        <f>Allocation[[#This Row],[Total volume used]]/VLOOKUP(Allocation[[#This Row],[Delivery ID]],Delivery[[Delivery ID]:[Quantity delivered]],3,FALSE)</f>
        <v>0.7089807162534435</v>
      </c>
      <c r="S2062" s="34">
        <f>Allocation[[#This Row],[Quantity Processed]]/Allocation[[#This Row],[Dilution rate]]</f>
        <v>1148.9285714285716</v>
      </c>
      <c r="T2062" s="59">
        <f>SUMIF(Allocation[Delivery ID],Allocation[[#This Row],[Delivery ID]],Allocation[Quantity allocated])/SUMIF(Allocation[Delivery ID],Allocation[[#This Row],[Delivery ID]],Allocation[Volume available (kg)])</f>
        <v>0.98004351880634122</v>
      </c>
      <c r="U2062" s="61">
        <f>Allocation[[#This Row],[Total volume used]]/VLOOKUP(Allocation[[#This Row],[Delivery ID]],Delivery[[Delivery ID]:[Quantity delivered]],3,FALSE)</f>
        <v>0.7089807162534435</v>
      </c>
      <c r="V2062" s="34" t="e">
        <f>VLOOKUP(Allocation[[#This Row],[SAP Contract number]],Shipments[[SAP Contract number]:[Contracted container weight]],2,FALSE)</f>
        <v>#N/A</v>
      </c>
      <c r="W2062" s="34" t="e">
        <f>VLOOKUP(Allocation[[#This Row],[SAP Contract number]],Shipments[[SAP Contract number]:[AAA Premium USD]],24,FALSE)</f>
        <v>#N/A</v>
      </c>
      <c r="X2062" s="34" t="e">
        <f>VLOOKUP(Allocation[[#This Row],[SAP Contract number]],Shipments[[SAP Contract number]:[RA Premium USD]],25,FALSE)</f>
        <v>#N/A</v>
      </c>
      <c r="Y2062" s="38">
        <f>Allocation[[#This Row],[Quantity Processed]]/Allocation[[#This Row],[Quantity allocated]]</f>
        <v>2.8570159857904085</v>
      </c>
      <c r="Z2062" s="34" t="b">
        <f>Allocation[[#This Row],[Quantity allocated]]&lt;=Allocation[[#This Row],[Quantity Processed]]</f>
        <v>1</v>
      </c>
    </row>
    <row r="2063" spans="1:26">
      <c r="A2063" s="247" t="s">
        <v>467</v>
      </c>
      <c r="B2063" s="210" t="s">
        <v>68</v>
      </c>
      <c r="C2063" s="254" t="s">
        <v>1455</v>
      </c>
      <c r="D2063" s="255">
        <v>3095</v>
      </c>
      <c r="E2063" s="211" t="s">
        <v>1936</v>
      </c>
      <c r="F2063" s="212">
        <v>43614</v>
      </c>
      <c r="G2063" s="213">
        <v>2.8</v>
      </c>
      <c r="H2063" s="256">
        <v>1083</v>
      </c>
      <c r="I2063" s="214">
        <v>1462183</v>
      </c>
      <c r="J2063" s="215">
        <v>21600</v>
      </c>
      <c r="K2063" s="212">
        <v>43623</v>
      </c>
      <c r="L2063" s="211" t="s">
        <v>1947</v>
      </c>
      <c r="M2063" s="216">
        <v>4615445946</v>
      </c>
      <c r="N2063" s="212"/>
      <c r="O2063" s="218"/>
      <c r="P2063" s="219"/>
      <c r="Q2063" s="34">
        <f>SUMIF(Allocation[Delivery ID],Allocation[[#This Row],[Delivery ID]],Allocation[Quantity Processed])</f>
        <v>12381</v>
      </c>
      <c r="R2063" s="61">
        <f>Allocation[[#This Row],[Total volume used]]/VLOOKUP(Allocation[[#This Row],[Delivery ID]],Delivery[[Delivery ID]:[Quantity delivered]],3,FALSE)</f>
        <v>0.70991972477064225</v>
      </c>
      <c r="S2063" s="34">
        <f>Allocation[[#This Row],[Quantity Processed]]/Allocation[[#This Row],[Dilution rate]]</f>
        <v>1105.3571428571429</v>
      </c>
      <c r="T2063" s="59">
        <f>SUMIF(Allocation[Delivery ID],Allocation[[#This Row],[Delivery ID]],Allocation[Quantity allocated])/SUMIF(Allocation[Delivery ID],Allocation[[#This Row],[Delivery ID]],Allocation[Volume available (kg)])</f>
        <v>0.97992084645828281</v>
      </c>
      <c r="U2063" s="61">
        <f>Allocation[[#This Row],[Total volume used]]/VLOOKUP(Allocation[[#This Row],[Delivery ID]],Delivery[[Delivery ID]:[Quantity delivered]],3,FALSE)</f>
        <v>0.70991972477064225</v>
      </c>
      <c r="V2063" s="34" t="e">
        <f>VLOOKUP(Allocation[[#This Row],[SAP Contract number]],Shipments[[SAP Contract number]:[Contracted container weight]],2,FALSE)</f>
        <v>#N/A</v>
      </c>
      <c r="W2063" s="34" t="e">
        <f>VLOOKUP(Allocation[[#This Row],[SAP Contract number]],Shipments[[SAP Contract number]:[AAA Premium USD]],24,FALSE)</f>
        <v>#N/A</v>
      </c>
      <c r="X2063" s="34" t="e">
        <f>VLOOKUP(Allocation[[#This Row],[SAP Contract number]],Shipments[[SAP Contract number]:[RA Premium USD]],25,FALSE)</f>
        <v>#N/A</v>
      </c>
      <c r="Y2063" s="38">
        <f>Allocation[[#This Row],[Quantity Processed]]/Allocation[[#This Row],[Quantity allocated]]</f>
        <v>2.8578024007386889</v>
      </c>
      <c r="Z2063" s="34" t="b">
        <f>Allocation[[#This Row],[Quantity allocated]]&lt;=Allocation[[#This Row],[Quantity Processed]]</f>
        <v>1</v>
      </c>
    </row>
    <row r="2064" spans="1:26">
      <c r="A2064" s="247" t="s">
        <v>467</v>
      </c>
      <c r="B2064" s="210" t="s">
        <v>68</v>
      </c>
      <c r="C2064" s="254" t="s">
        <v>1465</v>
      </c>
      <c r="D2064" s="255">
        <v>1987</v>
      </c>
      <c r="E2064" s="211" t="s">
        <v>1936</v>
      </c>
      <c r="F2064" s="212">
        <v>43614</v>
      </c>
      <c r="G2064" s="213">
        <v>2.8</v>
      </c>
      <c r="H2064" s="256">
        <v>1391</v>
      </c>
      <c r="I2064" s="214">
        <v>1462183</v>
      </c>
      <c r="J2064" s="215">
        <v>21600</v>
      </c>
      <c r="K2064" s="212">
        <v>43623</v>
      </c>
      <c r="L2064" s="211" t="s">
        <v>1947</v>
      </c>
      <c r="M2064" s="216">
        <v>4615445946</v>
      </c>
      <c r="N2064" s="212"/>
      <c r="O2064" s="218"/>
      <c r="P2064" s="219"/>
      <c r="Q2064" s="34">
        <f>SUMIF(Allocation[Delivery ID],Allocation[[#This Row],[Delivery ID]],Allocation[Quantity Processed])</f>
        <v>54725</v>
      </c>
      <c r="R2064" s="61">
        <f>Allocation[[#This Row],[Total volume used]]/VLOOKUP(Allocation[[#This Row],[Delivery ID]],Delivery[[Delivery ID]:[Quantity delivered]],3,FALSE)</f>
        <v>0.46630027266530333</v>
      </c>
      <c r="S2064" s="34">
        <f>Allocation[[#This Row],[Quantity Processed]]/Allocation[[#This Row],[Dilution rate]]</f>
        <v>709.64285714285722</v>
      </c>
      <c r="T2064" s="59">
        <f>SUMIF(Allocation[Delivery ID],Allocation[[#This Row],[Delivery ID]],Allocation[Quantity allocated])/SUMIF(Allocation[Delivery ID],Allocation[[#This Row],[Delivery ID]],Allocation[Volume available (kg)])</f>
        <v>1.9837218895135662</v>
      </c>
      <c r="U2064" s="61">
        <f>Allocation[[#This Row],[Total volume used]]/VLOOKUP(Allocation[[#This Row],[Delivery ID]],Delivery[[Delivery ID]:[Quantity delivered]],3,FALSE)</f>
        <v>0.46630027266530333</v>
      </c>
      <c r="V2064" s="34" t="e">
        <f>VLOOKUP(Allocation[[#This Row],[SAP Contract number]],Shipments[[SAP Contract number]:[Contracted container weight]],2,FALSE)</f>
        <v>#N/A</v>
      </c>
      <c r="W2064" s="34" t="e">
        <f>VLOOKUP(Allocation[[#This Row],[SAP Contract number]],Shipments[[SAP Contract number]:[AAA Premium USD]],24,FALSE)</f>
        <v>#N/A</v>
      </c>
      <c r="X2064" s="34" t="e">
        <f>VLOOKUP(Allocation[[#This Row],[SAP Contract number]],Shipments[[SAP Contract number]:[RA Premium USD]],25,FALSE)</f>
        <v>#N/A</v>
      </c>
      <c r="Y2064" s="38">
        <f>Allocation[[#This Row],[Quantity Processed]]/Allocation[[#This Row],[Quantity allocated]]</f>
        <v>1.4284687275341481</v>
      </c>
      <c r="Z2064" s="34" t="b">
        <f>Allocation[[#This Row],[Quantity allocated]]&lt;=Allocation[[#This Row],[Quantity Processed]]</f>
        <v>1</v>
      </c>
    </row>
    <row r="2065" spans="1:26">
      <c r="A2065" s="247" t="s">
        <v>467</v>
      </c>
      <c r="B2065" s="210" t="s">
        <v>68</v>
      </c>
      <c r="C2065" s="254" t="s">
        <v>1465</v>
      </c>
      <c r="D2065" s="255">
        <v>9172</v>
      </c>
      <c r="E2065" s="211" t="s">
        <v>1936</v>
      </c>
      <c r="F2065" s="212">
        <v>43614</v>
      </c>
      <c r="G2065" s="213">
        <v>2.8</v>
      </c>
      <c r="H2065" s="256">
        <v>6420</v>
      </c>
      <c r="I2065" s="214">
        <v>1462184</v>
      </c>
      <c r="J2065" s="215">
        <v>21600</v>
      </c>
      <c r="K2065" s="212">
        <v>43623</v>
      </c>
      <c r="L2065" s="211" t="s">
        <v>1948</v>
      </c>
      <c r="M2065" s="216">
        <v>4615445946</v>
      </c>
      <c r="N2065" s="212"/>
      <c r="O2065" s="218"/>
      <c r="P2065" s="219"/>
      <c r="Q2065" s="34">
        <f>SUMIF(Allocation[Delivery ID],Allocation[[#This Row],[Delivery ID]],Allocation[Quantity Processed])</f>
        <v>54725</v>
      </c>
      <c r="R2065" s="61">
        <f>Allocation[[#This Row],[Total volume used]]/VLOOKUP(Allocation[[#This Row],[Delivery ID]],Delivery[[Delivery ID]:[Quantity delivered]],3,FALSE)</f>
        <v>0.46630027266530333</v>
      </c>
      <c r="S2065" s="34">
        <f>Allocation[[#This Row],[Quantity Processed]]/Allocation[[#This Row],[Dilution rate]]</f>
        <v>3275.7142857142858</v>
      </c>
      <c r="T2065" s="59">
        <f>SUMIF(Allocation[Delivery ID],Allocation[[#This Row],[Delivery ID]],Allocation[Quantity allocated])/SUMIF(Allocation[Delivery ID],Allocation[[#This Row],[Delivery ID]],Allocation[Volume available (kg)])</f>
        <v>1.9837218895135662</v>
      </c>
      <c r="U2065" s="61">
        <f>Allocation[[#This Row],[Total volume used]]/VLOOKUP(Allocation[[#This Row],[Delivery ID]],Delivery[[Delivery ID]:[Quantity delivered]],3,FALSE)</f>
        <v>0.46630027266530333</v>
      </c>
      <c r="V2065" s="34" t="e">
        <f>VLOOKUP(Allocation[[#This Row],[SAP Contract number]],Shipments[[SAP Contract number]:[Contracted container weight]],2,FALSE)</f>
        <v>#N/A</v>
      </c>
      <c r="W2065" s="34" t="e">
        <f>VLOOKUP(Allocation[[#This Row],[SAP Contract number]],Shipments[[SAP Contract number]:[AAA Premium USD]],24,FALSE)</f>
        <v>#N/A</v>
      </c>
      <c r="X2065" s="34" t="e">
        <f>VLOOKUP(Allocation[[#This Row],[SAP Contract number]],Shipments[[SAP Contract number]:[RA Premium USD]],25,FALSE)</f>
        <v>#N/A</v>
      </c>
      <c r="Y2065" s="38">
        <f>Allocation[[#This Row],[Quantity Processed]]/Allocation[[#This Row],[Quantity allocated]]</f>
        <v>1.4286604361370716</v>
      </c>
      <c r="Z2065" s="34" t="b">
        <f>Allocation[[#This Row],[Quantity allocated]]&lt;=Allocation[[#This Row],[Quantity Processed]]</f>
        <v>1</v>
      </c>
    </row>
    <row r="2066" spans="1:26">
      <c r="A2066" s="247" t="s">
        <v>467</v>
      </c>
      <c r="B2066" s="210" t="s">
        <v>68</v>
      </c>
      <c r="C2066" s="254" t="s">
        <v>1510</v>
      </c>
      <c r="D2066" s="255">
        <v>3382</v>
      </c>
      <c r="E2066" s="211" t="s">
        <v>1936</v>
      </c>
      <c r="F2066" s="212">
        <v>43614</v>
      </c>
      <c r="G2066" s="213">
        <v>2.8</v>
      </c>
      <c r="H2066" s="256">
        <v>1116</v>
      </c>
      <c r="I2066" s="214">
        <v>1462184</v>
      </c>
      <c r="J2066" s="215">
        <v>21600</v>
      </c>
      <c r="K2066" s="212">
        <v>43623</v>
      </c>
      <c r="L2066" s="211" t="s">
        <v>1948</v>
      </c>
      <c r="M2066" s="216">
        <v>4615445946</v>
      </c>
      <c r="N2066" s="212"/>
      <c r="O2066" s="218"/>
      <c r="P2066" s="219"/>
      <c r="Q2066" s="34">
        <f>SUMIF(Allocation[Delivery ID],Allocation[[#This Row],[Delivery ID]],Allocation[Quantity Processed])</f>
        <v>13527</v>
      </c>
      <c r="R2066" s="61">
        <f>Allocation[[#This Row],[Total volume used]]/VLOOKUP(Allocation[[#This Row],[Delivery ID]],Delivery[[Delivery ID]:[Quantity delivered]],3,FALSE)</f>
        <v>0.75149999999999995</v>
      </c>
      <c r="S2066" s="34">
        <f>Allocation[[#This Row],[Quantity Processed]]/Allocation[[#This Row],[Dilution rate]]</f>
        <v>1207.8571428571429</v>
      </c>
      <c r="T2066" s="59">
        <f>SUMIF(Allocation[Delivery ID],Allocation[[#This Row],[Delivery ID]],Allocation[Quantity allocated])/SUMIF(Allocation[Delivery ID],Allocation[[#This Row],[Delivery ID]],Allocation[Volume available (kg)])</f>
        <v>0.92401862940785096</v>
      </c>
      <c r="U2066" s="61">
        <f>Allocation[[#This Row],[Total volume used]]/VLOOKUP(Allocation[[#This Row],[Delivery ID]],Delivery[[Delivery ID]:[Quantity delivered]],3,FALSE)</f>
        <v>0.75149999999999995</v>
      </c>
      <c r="V2066" s="34" t="e">
        <f>VLOOKUP(Allocation[[#This Row],[SAP Contract number]],Shipments[[SAP Contract number]:[Contracted container weight]],2,FALSE)</f>
        <v>#N/A</v>
      </c>
      <c r="W2066" s="34" t="e">
        <f>VLOOKUP(Allocation[[#This Row],[SAP Contract number]],Shipments[[SAP Contract number]:[AAA Premium USD]],24,FALSE)</f>
        <v>#N/A</v>
      </c>
      <c r="X2066" s="34" t="e">
        <f>VLOOKUP(Allocation[[#This Row],[SAP Contract number]],Shipments[[SAP Contract number]:[RA Premium USD]],25,FALSE)</f>
        <v>#N/A</v>
      </c>
      <c r="Y2066" s="38">
        <f>Allocation[[#This Row],[Quantity Processed]]/Allocation[[#This Row],[Quantity allocated]]</f>
        <v>3.0304659498207887</v>
      </c>
      <c r="Z2066" s="34" t="b">
        <f>Allocation[[#This Row],[Quantity allocated]]&lt;=Allocation[[#This Row],[Quantity Processed]]</f>
        <v>1</v>
      </c>
    </row>
    <row r="2067" spans="1:26">
      <c r="A2067" s="247" t="s">
        <v>467</v>
      </c>
      <c r="B2067" s="210" t="s">
        <v>68</v>
      </c>
      <c r="C2067" s="254" t="s">
        <v>1513</v>
      </c>
      <c r="D2067" s="255">
        <v>10949</v>
      </c>
      <c r="E2067" s="211" t="s">
        <v>1936</v>
      </c>
      <c r="F2067" s="212">
        <v>43614</v>
      </c>
      <c r="G2067" s="213">
        <v>2.8</v>
      </c>
      <c r="H2067" s="256">
        <v>3285</v>
      </c>
      <c r="I2067" s="214">
        <v>1462184</v>
      </c>
      <c r="J2067" s="215">
        <v>21600</v>
      </c>
      <c r="K2067" s="212">
        <v>43623</v>
      </c>
      <c r="L2067" s="211" t="s">
        <v>1948</v>
      </c>
      <c r="M2067" s="216">
        <v>4615445946</v>
      </c>
      <c r="N2067" s="212"/>
      <c r="O2067" s="218"/>
      <c r="P2067" s="219"/>
      <c r="Q2067" s="34">
        <f>SUMIF(Allocation[Delivery ID],Allocation[[#This Row],[Delivery ID]],Allocation[Quantity Processed])</f>
        <v>43796</v>
      </c>
      <c r="R2067" s="61">
        <f>Allocation[[#This Row],[Total volume used]]/VLOOKUP(Allocation[[#This Row],[Delivery ID]],Delivery[[Delivery ID]:[Quantity delivered]],3,FALSE)</f>
        <v>0.82735430244639652</v>
      </c>
      <c r="S2067" s="34">
        <f>Allocation[[#This Row],[Quantity Processed]]/Allocation[[#This Row],[Dilution rate]]</f>
        <v>3910.3571428571431</v>
      </c>
      <c r="T2067" s="59">
        <f>SUMIF(Allocation[Delivery ID],Allocation[[#This Row],[Delivery ID]],Allocation[Quantity allocated])/SUMIF(Allocation[Delivery ID],Allocation[[#This Row],[Delivery ID]],Allocation[Volume available (kg)])</f>
        <v>0.84001278655584977</v>
      </c>
      <c r="U2067" s="61">
        <f>Allocation[[#This Row],[Total volume used]]/VLOOKUP(Allocation[[#This Row],[Delivery ID]],Delivery[[Delivery ID]:[Quantity delivered]],3,FALSE)</f>
        <v>0.82735430244639652</v>
      </c>
      <c r="V2067" s="34" t="e">
        <f>VLOOKUP(Allocation[[#This Row],[SAP Contract number]],Shipments[[SAP Contract number]:[Contracted container weight]],2,FALSE)</f>
        <v>#N/A</v>
      </c>
      <c r="W2067" s="34" t="e">
        <f>VLOOKUP(Allocation[[#This Row],[SAP Contract number]],Shipments[[SAP Contract number]:[AAA Premium USD]],24,FALSE)</f>
        <v>#N/A</v>
      </c>
      <c r="X2067" s="34" t="e">
        <f>VLOOKUP(Allocation[[#This Row],[SAP Contract number]],Shipments[[SAP Contract number]:[RA Premium USD]],25,FALSE)</f>
        <v>#N/A</v>
      </c>
      <c r="Y2067" s="38">
        <f>Allocation[[#This Row],[Quantity Processed]]/Allocation[[#This Row],[Quantity allocated]]</f>
        <v>3.3330289193302893</v>
      </c>
      <c r="Z2067" s="34" t="b">
        <f>Allocation[[#This Row],[Quantity allocated]]&lt;=Allocation[[#This Row],[Quantity Processed]]</f>
        <v>1</v>
      </c>
    </row>
    <row r="2068" spans="1:26">
      <c r="A2068" s="247" t="s">
        <v>467</v>
      </c>
      <c r="B2068" s="210" t="s">
        <v>68</v>
      </c>
      <c r="C2068" s="254" t="s">
        <v>1523</v>
      </c>
      <c r="D2068" s="255">
        <v>3359</v>
      </c>
      <c r="E2068" s="211" t="s">
        <v>1936</v>
      </c>
      <c r="F2068" s="212">
        <v>43614</v>
      </c>
      <c r="G2068" s="213">
        <v>2.8</v>
      </c>
      <c r="H2068" s="256">
        <v>1209</v>
      </c>
      <c r="I2068" s="214">
        <v>1462184</v>
      </c>
      <c r="J2068" s="215">
        <v>21600</v>
      </c>
      <c r="K2068" s="212">
        <v>43623</v>
      </c>
      <c r="L2068" s="211" t="s">
        <v>1948</v>
      </c>
      <c r="M2068" s="216">
        <v>4615445946</v>
      </c>
      <c r="N2068" s="212"/>
      <c r="O2068" s="218"/>
      <c r="P2068" s="219"/>
      <c r="Q2068" s="34">
        <f>SUMIF(Allocation[Delivery ID],Allocation[[#This Row],[Delivery ID]],Allocation[Quantity Processed])</f>
        <v>13437</v>
      </c>
      <c r="R2068" s="61">
        <f>Allocation[[#This Row],[Total volume used]]/VLOOKUP(Allocation[[#This Row],[Delivery ID]],Delivery[[Delivery ID]:[Quantity delivered]],3,FALSE)</f>
        <v>0.69120370370370365</v>
      </c>
      <c r="S2068" s="34">
        <f>Allocation[[#This Row],[Quantity Processed]]/Allocation[[#This Row],[Dilution rate]]</f>
        <v>1199.6428571428571</v>
      </c>
      <c r="T2068" s="59">
        <f>SUMIF(Allocation[Delivery ID],Allocation[[#This Row],[Delivery ID]],Allocation[Quantity allocated])/SUMIF(Allocation[Delivery ID],Allocation[[#This Row],[Delivery ID]],Allocation[Volume available (kg)])</f>
        <v>1.0079333184490586</v>
      </c>
      <c r="U2068" s="61">
        <f>Allocation[[#This Row],[Total volume used]]/VLOOKUP(Allocation[[#This Row],[Delivery ID]],Delivery[[Delivery ID]:[Quantity delivered]],3,FALSE)</f>
        <v>0.69120370370370365</v>
      </c>
      <c r="V2068" s="34" t="e">
        <f>VLOOKUP(Allocation[[#This Row],[SAP Contract number]],Shipments[[SAP Contract number]:[Contracted container weight]],2,FALSE)</f>
        <v>#N/A</v>
      </c>
      <c r="W2068" s="34" t="e">
        <f>VLOOKUP(Allocation[[#This Row],[SAP Contract number]],Shipments[[SAP Contract number]:[AAA Premium USD]],24,FALSE)</f>
        <v>#N/A</v>
      </c>
      <c r="X2068" s="34" t="e">
        <f>VLOOKUP(Allocation[[#This Row],[SAP Contract number]],Shipments[[SAP Contract number]:[RA Premium USD]],25,FALSE)</f>
        <v>#N/A</v>
      </c>
      <c r="Y2068" s="38">
        <f>Allocation[[#This Row],[Quantity Processed]]/Allocation[[#This Row],[Quantity allocated]]</f>
        <v>2.7783291976840365</v>
      </c>
      <c r="Z2068" s="34" t="b">
        <f>Allocation[[#This Row],[Quantity allocated]]&lt;=Allocation[[#This Row],[Quantity Processed]]</f>
        <v>1</v>
      </c>
    </row>
    <row r="2069" spans="1:26">
      <c r="A2069" s="247" t="s">
        <v>467</v>
      </c>
      <c r="B2069" s="210" t="s">
        <v>68</v>
      </c>
      <c r="C2069" s="254" t="s">
        <v>1529</v>
      </c>
      <c r="D2069" s="255">
        <v>3651</v>
      </c>
      <c r="E2069" s="211" t="s">
        <v>1936</v>
      </c>
      <c r="F2069" s="212">
        <v>43614</v>
      </c>
      <c r="G2069" s="213">
        <v>2.8</v>
      </c>
      <c r="H2069" s="256">
        <v>1315</v>
      </c>
      <c r="I2069" s="214">
        <v>1462184</v>
      </c>
      <c r="J2069" s="215">
        <v>21600</v>
      </c>
      <c r="K2069" s="212">
        <v>43623</v>
      </c>
      <c r="L2069" s="211" t="s">
        <v>1948</v>
      </c>
      <c r="M2069" s="216">
        <v>4615445946</v>
      </c>
      <c r="N2069" s="212"/>
      <c r="O2069" s="218"/>
      <c r="P2069" s="219"/>
      <c r="Q2069" s="34">
        <f>SUMIF(Allocation[Delivery ID],Allocation[[#This Row],[Delivery ID]],Allocation[Quantity Processed])</f>
        <v>14607</v>
      </c>
      <c r="R2069" s="61">
        <f>Allocation[[#This Row],[Total volume used]]/VLOOKUP(Allocation[[#This Row],[Delivery ID]],Delivery[[Delivery ID]:[Quantity delivered]],3,FALSE)</f>
        <v>0.69063829787234043</v>
      </c>
      <c r="S2069" s="34">
        <f>Allocation[[#This Row],[Quantity Processed]]/Allocation[[#This Row],[Dilution rate]]</f>
        <v>1303.9285714285716</v>
      </c>
      <c r="T2069" s="59">
        <f>SUMIF(Allocation[Delivery ID],Allocation[[#This Row],[Delivery ID]],Allocation[Quantity allocated])/SUMIF(Allocation[Delivery ID],Allocation[[#This Row],[Delivery ID]],Allocation[Volume available (kg)])</f>
        <v>1.008092010679811</v>
      </c>
      <c r="U2069" s="61">
        <f>Allocation[[#This Row],[Total volume used]]/VLOOKUP(Allocation[[#This Row],[Delivery ID]],Delivery[[Delivery ID]:[Quantity delivered]],3,FALSE)</f>
        <v>0.69063829787234043</v>
      </c>
      <c r="V2069" s="34" t="e">
        <f>VLOOKUP(Allocation[[#This Row],[SAP Contract number]],Shipments[[SAP Contract number]:[Contracted container weight]],2,FALSE)</f>
        <v>#N/A</v>
      </c>
      <c r="W2069" s="34" t="e">
        <f>VLOOKUP(Allocation[[#This Row],[SAP Contract number]],Shipments[[SAP Contract number]:[AAA Premium USD]],24,FALSE)</f>
        <v>#N/A</v>
      </c>
      <c r="X2069" s="34" t="e">
        <f>VLOOKUP(Allocation[[#This Row],[SAP Contract number]],Shipments[[SAP Contract number]:[RA Premium USD]],25,FALSE)</f>
        <v>#N/A</v>
      </c>
      <c r="Y2069" s="38">
        <f>Allocation[[#This Row],[Quantity Processed]]/Allocation[[#This Row],[Quantity allocated]]</f>
        <v>2.7764258555133079</v>
      </c>
      <c r="Z2069" s="34" t="b">
        <f>Allocation[[#This Row],[Quantity allocated]]&lt;=Allocation[[#This Row],[Quantity Processed]]</f>
        <v>1</v>
      </c>
    </row>
    <row r="2070" spans="1:26">
      <c r="A2070" s="247" t="s">
        <v>467</v>
      </c>
      <c r="B2070" s="210" t="s">
        <v>68</v>
      </c>
      <c r="C2070" s="254" t="s">
        <v>1537</v>
      </c>
      <c r="D2070" s="255">
        <v>936</v>
      </c>
      <c r="E2070" s="211" t="s">
        <v>1936</v>
      </c>
      <c r="F2070" s="212">
        <v>43614</v>
      </c>
      <c r="G2070" s="213">
        <v>2.8</v>
      </c>
      <c r="H2070" s="256">
        <v>337</v>
      </c>
      <c r="I2070" s="214">
        <v>1462184</v>
      </c>
      <c r="J2070" s="215">
        <v>21600</v>
      </c>
      <c r="K2070" s="212">
        <v>43623</v>
      </c>
      <c r="L2070" s="211" t="s">
        <v>1948</v>
      </c>
      <c r="M2070" s="216">
        <v>4615445946</v>
      </c>
      <c r="N2070" s="212"/>
      <c r="O2070" s="218"/>
      <c r="P2070" s="219"/>
      <c r="Q2070" s="34">
        <f>SUMIF(Allocation[Delivery ID],Allocation[[#This Row],[Delivery ID]],Allocation[Quantity Processed])</f>
        <v>1930</v>
      </c>
      <c r="R2070" s="61">
        <f>Allocation[[#This Row],[Total volume used]]/VLOOKUP(Allocation[[#This Row],[Delivery ID]],Delivery[[Delivery ID]:[Quantity delivered]],3,FALSE)</f>
        <v>1</v>
      </c>
      <c r="S2070" s="34">
        <f>Allocation[[#This Row],[Quantity Processed]]/Allocation[[#This Row],[Dilution rate]]</f>
        <v>334.28571428571433</v>
      </c>
      <c r="T2070" s="59">
        <f>SUMIF(Allocation[Delivery ID],Allocation[[#This Row],[Delivery ID]],Allocation[Quantity allocated])/SUMIF(Allocation[Delivery ID],Allocation[[#This Row],[Delivery ID]],Allocation[Volume available (kg)])</f>
        <v>1.0082901554404144</v>
      </c>
      <c r="U2070" s="61">
        <f>Allocation[[#This Row],[Total volume used]]/VLOOKUP(Allocation[[#This Row],[Delivery ID]],Delivery[[Delivery ID]:[Quantity delivered]],3,FALSE)</f>
        <v>1</v>
      </c>
      <c r="V2070" s="34" t="e">
        <f>VLOOKUP(Allocation[[#This Row],[SAP Contract number]],Shipments[[SAP Contract number]:[Contracted container weight]],2,FALSE)</f>
        <v>#N/A</v>
      </c>
      <c r="W2070" s="34" t="e">
        <f>VLOOKUP(Allocation[[#This Row],[SAP Contract number]],Shipments[[SAP Contract number]:[AAA Premium USD]],24,FALSE)</f>
        <v>#N/A</v>
      </c>
      <c r="X2070" s="34" t="e">
        <f>VLOOKUP(Allocation[[#This Row],[SAP Contract number]],Shipments[[SAP Contract number]:[RA Premium USD]],25,FALSE)</f>
        <v>#N/A</v>
      </c>
      <c r="Y2070" s="38">
        <f>Allocation[[#This Row],[Quantity Processed]]/Allocation[[#This Row],[Quantity allocated]]</f>
        <v>2.7774480712166172</v>
      </c>
      <c r="Z2070" s="34" t="b">
        <f>Allocation[[#This Row],[Quantity allocated]]&lt;=Allocation[[#This Row],[Quantity Processed]]</f>
        <v>1</v>
      </c>
    </row>
    <row r="2071" spans="1:26">
      <c r="A2071" s="247" t="s">
        <v>467</v>
      </c>
      <c r="B2071" s="210" t="s">
        <v>68</v>
      </c>
      <c r="C2071" s="254" t="s">
        <v>1538</v>
      </c>
      <c r="D2071" s="255">
        <v>328</v>
      </c>
      <c r="E2071" s="211" t="s">
        <v>1936</v>
      </c>
      <c r="F2071" s="212">
        <v>43614</v>
      </c>
      <c r="G2071" s="213">
        <v>2.8</v>
      </c>
      <c r="H2071" s="256">
        <v>118</v>
      </c>
      <c r="I2071" s="214">
        <v>1462184</v>
      </c>
      <c r="J2071" s="215">
        <v>21600</v>
      </c>
      <c r="K2071" s="212">
        <v>43623</v>
      </c>
      <c r="L2071" s="211" t="s">
        <v>1948</v>
      </c>
      <c r="M2071" s="216">
        <v>4615445946</v>
      </c>
      <c r="N2071" s="212"/>
      <c r="O2071" s="218"/>
      <c r="P2071" s="219"/>
      <c r="Q2071" s="34">
        <f>SUMIF(Allocation[Delivery ID],Allocation[[#This Row],[Delivery ID]],Allocation[Quantity Processed])</f>
        <v>670</v>
      </c>
      <c r="R2071" s="61">
        <f>Allocation[[#This Row],[Total volume used]]/VLOOKUP(Allocation[[#This Row],[Delivery ID]],Delivery[[Delivery ID]:[Quantity delivered]],3,FALSE)</f>
        <v>1</v>
      </c>
      <c r="S2071" s="34">
        <f>Allocation[[#This Row],[Quantity Processed]]/Allocation[[#This Row],[Dilution rate]]</f>
        <v>117.14285714285715</v>
      </c>
      <c r="T2071" s="59">
        <f>SUMIF(Allocation[Delivery ID],Allocation[[#This Row],[Delivery ID]],Allocation[Quantity allocated])/SUMIF(Allocation[Delivery ID],Allocation[[#This Row],[Delivery ID]],Allocation[Volume available (kg)])</f>
        <v>1.0071641791044774</v>
      </c>
      <c r="U2071" s="61">
        <f>Allocation[[#This Row],[Total volume used]]/VLOOKUP(Allocation[[#This Row],[Delivery ID]],Delivery[[Delivery ID]:[Quantity delivered]],3,FALSE)</f>
        <v>1</v>
      </c>
      <c r="V2071" s="34" t="e">
        <f>VLOOKUP(Allocation[[#This Row],[SAP Contract number]],Shipments[[SAP Contract number]:[Contracted container weight]],2,FALSE)</f>
        <v>#N/A</v>
      </c>
      <c r="W2071" s="34" t="e">
        <f>VLOOKUP(Allocation[[#This Row],[SAP Contract number]],Shipments[[SAP Contract number]:[AAA Premium USD]],24,FALSE)</f>
        <v>#N/A</v>
      </c>
      <c r="X2071" s="34" t="e">
        <f>VLOOKUP(Allocation[[#This Row],[SAP Contract number]],Shipments[[SAP Contract number]:[RA Premium USD]],25,FALSE)</f>
        <v>#N/A</v>
      </c>
      <c r="Y2071" s="38">
        <f>Allocation[[#This Row],[Quantity Processed]]/Allocation[[#This Row],[Quantity allocated]]</f>
        <v>2.7796610169491527</v>
      </c>
      <c r="Z2071" s="34" t="b">
        <f>Allocation[[#This Row],[Quantity allocated]]&lt;=Allocation[[#This Row],[Quantity Processed]]</f>
        <v>1</v>
      </c>
    </row>
    <row r="2072" spans="1:26">
      <c r="A2072" s="247" t="s">
        <v>467</v>
      </c>
      <c r="B2072" s="210" t="s">
        <v>68</v>
      </c>
      <c r="C2072" s="254" t="s">
        <v>1539</v>
      </c>
      <c r="D2072" s="255">
        <v>1134</v>
      </c>
      <c r="E2072" s="211" t="s">
        <v>1936</v>
      </c>
      <c r="F2072" s="212">
        <v>43614</v>
      </c>
      <c r="G2072" s="213">
        <v>2.8</v>
      </c>
      <c r="H2072" s="256">
        <v>1134</v>
      </c>
      <c r="I2072" s="214">
        <v>1462184</v>
      </c>
      <c r="J2072" s="215">
        <v>21600</v>
      </c>
      <c r="K2072" s="212">
        <v>43623</v>
      </c>
      <c r="L2072" s="211" t="s">
        <v>1948</v>
      </c>
      <c r="M2072" s="216">
        <v>4615445946</v>
      </c>
      <c r="N2072" s="212"/>
      <c r="O2072" s="218"/>
      <c r="P2072" s="219"/>
      <c r="Q2072" s="34">
        <f>SUMIF(Allocation[Delivery ID],Allocation[[#This Row],[Delivery ID]],Allocation[Quantity Processed])</f>
        <v>10590</v>
      </c>
      <c r="R2072" s="61">
        <f>Allocation[[#This Row],[Total volume used]]/VLOOKUP(Allocation[[#This Row],[Delivery ID]],Delivery[[Delivery ID]:[Quantity delivered]],3,FALSE)</f>
        <v>0.57932166301969368</v>
      </c>
      <c r="S2072" s="34">
        <f>Allocation[[#This Row],[Quantity Processed]]/Allocation[[#This Row],[Dilution rate]]</f>
        <v>405</v>
      </c>
      <c r="T2072" s="59">
        <f>SUMIF(Allocation[Delivery ID],Allocation[[#This Row],[Delivery ID]],Allocation[Quantity allocated])/SUMIF(Allocation[Delivery ID],Allocation[[#This Row],[Delivery ID]],Allocation[Volume available (kg)])</f>
        <v>1.1998489140698771</v>
      </c>
      <c r="U2072" s="61">
        <f>Allocation[[#This Row],[Total volume used]]/VLOOKUP(Allocation[[#This Row],[Delivery ID]],Delivery[[Delivery ID]:[Quantity delivered]],3,FALSE)</f>
        <v>0.57932166301969368</v>
      </c>
      <c r="V2072" s="34" t="e">
        <f>VLOOKUP(Allocation[[#This Row],[SAP Contract number]],Shipments[[SAP Contract number]:[Contracted container weight]],2,FALSE)</f>
        <v>#N/A</v>
      </c>
      <c r="W2072" s="34" t="e">
        <f>VLOOKUP(Allocation[[#This Row],[SAP Contract number]],Shipments[[SAP Contract number]:[AAA Premium USD]],24,FALSE)</f>
        <v>#N/A</v>
      </c>
      <c r="X2072" s="34" t="e">
        <f>VLOOKUP(Allocation[[#This Row],[SAP Contract number]],Shipments[[SAP Contract number]:[RA Premium USD]],25,FALSE)</f>
        <v>#N/A</v>
      </c>
      <c r="Y2072" s="38">
        <f>Allocation[[#This Row],[Quantity Processed]]/Allocation[[#This Row],[Quantity allocated]]</f>
        <v>1</v>
      </c>
      <c r="Z2072" s="34" t="b">
        <f>Allocation[[#This Row],[Quantity allocated]]&lt;=Allocation[[#This Row],[Quantity Processed]]</f>
        <v>1</v>
      </c>
    </row>
    <row r="2073" spans="1:26">
      <c r="A2073" s="247" t="s">
        <v>467</v>
      </c>
      <c r="B2073" s="210" t="s">
        <v>68</v>
      </c>
      <c r="C2073" s="254" t="s">
        <v>1542</v>
      </c>
      <c r="D2073" s="255">
        <v>1087</v>
      </c>
      <c r="E2073" s="211" t="s">
        <v>1936</v>
      </c>
      <c r="F2073" s="212">
        <v>43614</v>
      </c>
      <c r="G2073" s="213">
        <v>2.8</v>
      </c>
      <c r="H2073" s="256">
        <v>391</v>
      </c>
      <c r="I2073" s="214">
        <v>1462184</v>
      </c>
      <c r="J2073" s="215">
        <v>21600</v>
      </c>
      <c r="K2073" s="212">
        <v>43623</v>
      </c>
      <c r="L2073" s="211" t="s">
        <v>1948</v>
      </c>
      <c r="M2073" s="216">
        <v>4615445946</v>
      </c>
      <c r="N2073" s="212"/>
      <c r="O2073" s="218"/>
      <c r="P2073" s="219"/>
      <c r="Q2073" s="34">
        <f>SUMIF(Allocation[Delivery ID],Allocation[[#This Row],[Delivery ID]],Allocation[Quantity Processed])</f>
        <v>4348</v>
      </c>
      <c r="R2073" s="61">
        <f>Allocation[[#This Row],[Total volume used]]/VLOOKUP(Allocation[[#This Row],[Delivery ID]],Delivery[[Delivery ID]:[Quantity delivered]],3,FALSE)</f>
        <v>0.69235668789808913</v>
      </c>
      <c r="S2073" s="34">
        <f>Allocation[[#This Row],[Quantity Processed]]/Allocation[[#This Row],[Dilution rate]]</f>
        <v>388.21428571428572</v>
      </c>
      <c r="T2073" s="59">
        <f>SUMIF(Allocation[Delivery ID],Allocation[[#This Row],[Delivery ID]],Allocation[Quantity allocated])/SUMIF(Allocation[Delivery ID],Allocation[[#This Row],[Delivery ID]],Allocation[Volume available (kg)])</f>
        <v>1.0078196872125116</v>
      </c>
      <c r="U2073" s="61">
        <f>Allocation[[#This Row],[Total volume used]]/VLOOKUP(Allocation[[#This Row],[Delivery ID]],Delivery[[Delivery ID]:[Quantity delivered]],3,FALSE)</f>
        <v>0.69235668789808913</v>
      </c>
      <c r="V2073" s="34" t="e">
        <f>VLOOKUP(Allocation[[#This Row],[SAP Contract number]],Shipments[[SAP Contract number]:[Contracted container weight]],2,FALSE)</f>
        <v>#N/A</v>
      </c>
      <c r="W2073" s="34" t="e">
        <f>VLOOKUP(Allocation[[#This Row],[SAP Contract number]],Shipments[[SAP Contract number]:[AAA Premium USD]],24,FALSE)</f>
        <v>#N/A</v>
      </c>
      <c r="X2073" s="34" t="e">
        <f>VLOOKUP(Allocation[[#This Row],[SAP Contract number]],Shipments[[SAP Contract number]:[RA Premium USD]],25,FALSE)</f>
        <v>#N/A</v>
      </c>
      <c r="Y2073" s="38">
        <f>Allocation[[#This Row],[Quantity Processed]]/Allocation[[#This Row],[Quantity allocated]]</f>
        <v>2.7800511508951407</v>
      </c>
      <c r="Z2073" s="34" t="b">
        <f>Allocation[[#This Row],[Quantity allocated]]&lt;=Allocation[[#This Row],[Quantity Processed]]</f>
        <v>1</v>
      </c>
    </row>
    <row r="2074" spans="1:26">
      <c r="A2074" s="247" t="s">
        <v>467</v>
      </c>
      <c r="B2074" s="210" t="s">
        <v>68</v>
      </c>
      <c r="C2074" s="254" t="s">
        <v>1543</v>
      </c>
      <c r="D2074" s="255">
        <v>2782</v>
      </c>
      <c r="E2074" s="211" t="s">
        <v>1936</v>
      </c>
      <c r="F2074" s="212">
        <v>43614</v>
      </c>
      <c r="G2074" s="213">
        <v>2.8</v>
      </c>
      <c r="H2074" s="256">
        <v>1002</v>
      </c>
      <c r="I2074" s="214">
        <v>1462184</v>
      </c>
      <c r="J2074" s="215">
        <v>21600</v>
      </c>
      <c r="K2074" s="212">
        <v>43623</v>
      </c>
      <c r="L2074" s="211" t="s">
        <v>1948</v>
      </c>
      <c r="M2074" s="216">
        <v>4615445946</v>
      </c>
      <c r="N2074" s="212"/>
      <c r="O2074" s="218"/>
      <c r="P2074" s="219"/>
      <c r="Q2074" s="34">
        <f>SUMIF(Allocation[Delivery ID],Allocation[[#This Row],[Delivery ID]],Allocation[Quantity Processed])</f>
        <v>11129</v>
      </c>
      <c r="R2074" s="61">
        <f>Allocation[[#This Row],[Total volume used]]/VLOOKUP(Allocation[[#This Row],[Delivery ID]],Delivery[[Delivery ID]:[Quantity delivered]],3,FALSE)</f>
        <v>0.68910216718266248</v>
      </c>
      <c r="S2074" s="34">
        <f>Allocation[[#This Row],[Quantity Processed]]/Allocation[[#This Row],[Dilution rate]]</f>
        <v>993.57142857142867</v>
      </c>
      <c r="T2074" s="59">
        <f>SUMIF(Allocation[Delivery ID],Allocation[[#This Row],[Delivery ID]],Allocation[Quantity allocated])/SUMIF(Allocation[Delivery ID],Allocation[[#This Row],[Delivery ID]],Allocation[Volume available (kg)])</f>
        <v>1.0081408931620091</v>
      </c>
      <c r="U2074" s="61">
        <f>Allocation[[#This Row],[Total volume used]]/VLOOKUP(Allocation[[#This Row],[Delivery ID]],Delivery[[Delivery ID]:[Quantity delivered]],3,FALSE)</f>
        <v>0.68910216718266248</v>
      </c>
      <c r="V2074" s="34" t="e">
        <f>VLOOKUP(Allocation[[#This Row],[SAP Contract number]],Shipments[[SAP Contract number]:[Contracted container weight]],2,FALSE)</f>
        <v>#N/A</v>
      </c>
      <c r="W2074" s="34" t="e">
        <f>VLOOKUP(Allocation[[#This Row],[SAP Contract number]],Shipments[[SAP Contract number]:[AAA Premium USD]],24,FALSE)</f>
        <v>#N/A</v>
      </c>
      <c r="X2074" s="34" t="e">
        <f>VLOOKUP(Allocation[[#This Row],[SAP Contract number]],Shipments[[SAP Contract number]:[RA Premium USD]],25,FALSE)</f>
        <v>#N/A</v>
      </c>
      <c r="Y2074" s="38">
        <f>Allocation[[#This Row],[Quantity Processed]]/Allocation[[#This Row],[Quantity allocated]]</f>
        <v>2.776447105788423</v>
      </c>
      <c r="Z2074" s="34" t="b">
        <f>Allocation[[#This Row],[Quantity allocated]]&lt;=Allocation[[#This Row],[Quantity Processed]]</f>
        <v>1</v>
      </c>
    </row>
    <row r="2075" spans="1:26">
      <c r="A2075" s="247" t="s">
        <v>467</v>
      </c>
      <c r="B2075" s="210" t="s">
        <v>68</v>
      </c>
      <c r="C2075" s="254" t="s">
        <v>1544</v>
      </c>
      <c r="D2075" s="255">
        <v>850</v>
      </c>
      <c r="E2075" s="211" t="s">
        <v>1936</v>
      </c>
      <c r="F2075" s="212">
        <v>43614</v>
      </c>
      <c r="G2075" s="213">
        <v>2.8</v>
      </c>
      <c r="H2075" s="256">
        <v>306</v>
      </c>
      <c r="I2075" s="214">
        <v>1462184</v>
      </c>
      <c r="J2075" s="215">
        <v>21600</v>
      </c>
      <c r="K2075" s="212">
        <v>43623</v>
      </c>
      <c r="L2075" s="211" t="s">
        <v>1948</v>
      </c>
      <c r="M2075" s="216">
        <v>4615445946</v>
      </c>
      <c r="N2075" s="212"/>
      <c r="O2075" s="218"/>
      <c r="P2075" s="219"/>
      <c r="Q2075" s="34">
        <f>SUMIF(Allocation[Delivery ID],Allocation[[#This Row],[Delivery ID]],Allocation[Quantity Processed])</f>
        <v>1750</v>
      </c>
      <c r="R2075" s="61">
        <f>Allocation[[#This Row],[Total volume used]]/VLOOKUP(Allocation[[#This Row],[Delivery ID]],Delivery[[Delivery ID]:[Quantity delivered]],3,FALSE)</f>
        <v>1</v>
      </c>
      <c r="S2075" s="34">
        <f>Allocation[[#This Row],[Quantity Processed]]/Allocation[[#This Row],[Dilution rate]]</f>
        <v>303.57142857142861</v>
      </c>
      <c r="T2075" s="59">
        <f>SUMIF(Allocation[Delivery ID],Allocation[[#This Row],[Delivery ID]],Allocation[Quantity allocated])/SUMIF(Allocation[Delivery ID],Allocation[[#This Row],[Delivery ID]],Allocation[Volume available (kg)])</f>
        <v>1.008</v>
      </c>
      <c r="U2075" s="61">
        <f>Allocation[[#This Row],[Total volume used]]/VLOOKUP(Allocation[[#This Row],[Delivery ID]],Delivery[[Delivery ID]:[Quantity delivered]],3,FALSE)</f>
        <v>1</v>
      </c>
      <c r="V2075" s="34" t="e">
        <f>VLOOKUP(Allocation[[#This Row],[SAP Contract number]],Shipments[[SAP Contract number]:[Contracted container weight]],2,FALSE)</f>
        <v>#N/A</v>
      </c>
      <c r="W2075" s="34" t="e">
        <f>VLOOKUP(Allocation[[#This Row],[SAP Contract number]],Shipments[[SAP Contract number]:[AAA Premium USD]],24,FALSE)</f>
        <v>#N/A</v>
      </c>
      <c r="X2075" s="34" t="e">
        <f>VLOOKUP(Allocation[[#This Row],[SAP Contract number]],Shipments[[SAP Contract number]:[RA Premium USD]],25,FALSE)</f>
        <v>#N/A</v>
      </c>
      <c r="Y2075" s="38">
        <f>Allocation[[#This Row],[Quantity Processed]]/Allocation[[#This Row],[Quantity allocated]]</f>
        <v>2.7777777777777777</v>
      </c>
      <c r="Z2075" s="34" t="b">
        <f>Allocation[[#This Row],[Quantity allocated]]&lt;=Allocation[[#This Row],[Quantity Processed]]</f>
        <v>1</v>
      </c>
    </row>
    <row r="2076" spans="1:26">
      <c r="A2076" s="247" t="s">
        <v>467</v>
      </c>
      <c r="B2076" s="210" t="s">
        <v>68</v>
      </c>
      <c r="C2076" s="254" t="s">
        <v>1545</v>
      </c>
      <c r="D2076" s="255">
        <v>1530</v>
      </c>
      <c r="E2076" s="211" t="s">
        <v>1936</v>
      </c>
      <c r="F2076" s="212">
        <v>43614</v>
      </c>
      <c r="G2076" s="213">
        <v>2.8</v>
      </c>
      <c r="H2076" s="256">
        <v>551</v>
      </c>
      <c r="I2076" s="214">
        <v>1462184</v>
      </c>
      <c r="J2076" s="215">
        <v>21600</v>
      </c>
      <c r="K2076" s="212">
        <v>43623</v>
      </c>
      <c r="L2076" s="211" t="s">
        <v>1948</v>
      </c>
      <c r="M2076" s="216">
        <v>4615445946</v>
      </c>
      <c r="N2076" s="212"/>
      <c r="O2076" s="218"/>
      <c r="P2076" s="219"/>
      <c r="Q2076" s="34">
        <f>SUMIF(Allocation[Delivery ID],Allocation[[#This Row],[Delivery ID]],Allocation[Quantity Processed])</f>
        <v>6122</v>
      </c>
      <c r="R2076" s="61">
        <f>Allocation[[#This Row],[Total volume used]]/VLOOKUP(Allocation[[#This Row],[Delivery ID]],Delivery[[Delivery ID]:[Quantity delivered]],3,FALSE)</f>
        <v>0.31427104722792609</v>
      </c>
      <c r="S2076" s="34">
        <f>Allocation[[#This Row],[Quantity Processed]]/Allocation[[#This Row],[Dilution rate]]</f>
        <v>546.42857142857144</v>
      </c>
      <c r="T2076" s="59">
        <f>SUMIF(Allocation[Delivery ID],Allocation[[#This Row],[Delivery ID]],Allocation[Quantity allocated])/SUMIF(Allocation[Delivery ID],Allocation[[#This Row],[Delivery ID]],Allocation[Volume available (kg)])</f>
        <v>1.0080365893498855</v>
      </c>
      <c r="U2076" s="61">
        <f>Allocation[[#This Row],[Total volume used]]/VLOOKUP(Allocation[[#This Row],[Delivery ID]],Delivery[[Delivery ID]:[Quantity delivered]],3,FALSE)</f>
        <v>0.31427104722792609</v>
      </c>
      <c r="V2076" s="34" t="e">
        <f>VLOOKUP(Allocation[[#This Row],[SAP Contract number]],Shipments[[SAP Contract number]:[Contracted container weight]],2,FALSE)</f>
        <v>#N/A</v>
      </c>
      <c r="W2076" s="34" t="e">
        <f>VLOOKUP(Allocation[[#This Row],[SAP Contract number]],Shipments[[SAP Contract number]:[AAA Premium USD]],24,FALSE)</f>
        <v>#N/A</v>
      </c>
      <c r="X2076" s="34" t="e">
        <f>VLOOKUP(Allocation[[#This Row],[SAP Contract number]],Shipments[[SAP Contract number]:[RA Premium USD]],25,FALSE)</f>
        <v>#N/A</v>
      </c>
      <c r="Y2076" s="38">
        <f>Allocation[[#This Row],[Quantity Processed]]/Allocation[[#This Row],[Quantity allocated]]</f>
        <v>2.7767695099818512</v>
      </c>
      <c r="Z2076" s="34" t="b">
        <f>Allocation[[#This Row],[Quantity allocated]]&lt;=Allocation[[#This Row],[Quantity Processed]]</f>
        <v>1</v>
      </c>
    </row>
    <row r="2077" spans="1:26">
      <c r="A2077" s="247" t="s">
        <v>467</v>
      </c>
      <c r="B2077" s="210" t="s">
        <v>68</v>
      </c>
      <c r="C2077" s="254" t="s">
        <v>1598</v>
      </c>
      <c r="D2077" s="255">
        <v>2015</v>
      </c>
      <c r="E2077" s="211" t="s">
        <v>1936</v>
      </c>
      <c r="F2077" s="212">
        <v>43614</v>
      </c>
      <c r="G2077" s="213">
        <v>2.8</v>
      </c>
      <c r="H2077" s="256">
        <v>806</v>
      </c>
      <c r="I2077" s="214">
        <v>1462184</v>
      </c>
      <c r="J2077" s="215">
        <v>21600</v>
      </c>
      <c r="K2077" s="212">
        <v>43623</v>
      </c>
      <c r="L2077" s="211" t="s">
        <v>1948</v>
      </c>
      <c r="M2077" s="216">
        <v>4615445946</v>
      </c>
      <c r="N2077" s="212"/>
      <c r="O2077" s="218"/>
      <c r="P2077" s="219"/>
      <c r="Q2077" s="34">
        <f>SUMIF(Allocation[Delivery ID],Allocation[[#This Row],[Delivery ID]],Allocation[Quantity Processed])</f>
        <v>10403</v>
      </c>
      <c r="R2077" s="61">
        <f>Allocation[[#This Row],[Total volume used]]/VLOOKUP(Allocation[[#This Row],[Delivery ID]],Delivery[[Delivery ID]:[Quantity delivered]],3,FALSE)</f>
        <v>0.85904211395540875</v>
      </c>
      <c r="S2077" s="34">
        <f>Allocation[[#This Row],[Quantity Processed]]/Allocation[[#This Row],[Dilution rate]]</f>
        <v>719.64285714285722</v>
      </c>
      <c r="T2077" s="59">
        <f>SUMIF(Allocation[Delivery ID],Allocation[[#This Row],[Delivery ID]],Allocation[Quantity allocated])/SUMIF(Allocation[Delivery ID],Allocation[[#This Row],[Delivery ID]],Allocation[Volume available (kg)])</f>
        <v>1.0676712459758391</v>
      </c>
      <c r="U2077" s="61">
        <f>Allocation[[#This Row],[Total volume used]]/VLOOKUP(Allocation[[#This Row],[Delivery ID]],Delivery[[Delivery ID]:[Quantity delivered]],3,FALSE)</f>
        <v>0.85904211395540875</v>
      </c>
      <c r="V2077" s="34" t="e">
        <f>VLOOKUP(Allocation[[#This Row],[SAP Contract number]],Shipments[[SAP Contract number]:[Contracted container weight]],2,FALSE)</f>
        <v>#N/A</v>
      </c>
      <c r="W2077" s="34" t="e">
        <f>VLOOKUP(Allocation[[#This Row],[SAP Contract number]],Shipments[[SAP Contract number]:[AAA Premium USD]],24,FALSE)</f>
        <v>#N/A</v>
      </c>
      <c r="X2077" s="34" t="e">
        <f>VLOOKUP(Allocation[[#This Row],[SAP Contract number]],Shipments[[SAP Contract number]:[RA Premium USD]],25,FALSE)</f>
        <v>#N/A</v>
      </c>
      <c r="Y2077" s="38">
        <f>Allocation[[#This Row],[Quantity Processed]]/Allocation[[#This Row],[Quantity allocated]]</f>
        <v>2.5</v>
      </c>
      <c r="Z2077" s="34" t="b">
        <f>Allocation[[#This Row],[Quantity allocated]]&lt;=Allocation[[#This Row],[Quantity Processed]]</f>
        <v>1</v>
      </c>
    </row>
    <row r="2078" spans="1:26">
      <c r="A2078" s="247" t="s">
        <v>467</v>
      </c>
      <c r="B2078" s="210" t="s">
        <v>68</v>
      </c>
      <c r="C2078" s="254" t="s">
        <v>1680</v>
      </c>
      <c r="D2078" s="255">
        <v>1377</v>
      </c>
      <c r="E2078" s="211" t="s">
        <v>1936</v>
      </c>
      <c r="F2078" s="212">
        <v>43614</v>
      </c>
      <c r="G2078" s="213">
        <v>2.8</v>
      </c>
      <c r="H2078" s="256">
        <v>592</v>
      </c>
      <c r="I2078" s="214">
        <v>1462184</v>
      </c>
      <c r="J2078" s="215">
        <v>21600</v>
      </c>
      <c r="K2078" s="212">
        <v>43623</v>
      </c>
      <c r="L2078" s="211" t="s">
        <v>1948</v>
      </c>
      <c r="M2078" s="216">
        <v>4615445946</v>
      </c>
      <c r="N2078" s="212"/>
      <c r="O2078" s="218"/>
      <c r="P2078" s="219"/>
      <c r="Q2078" s="34">
        <f>SUMIF(Allocation[Delivery ID],Allocation[[#This Row],[Delivery ID]],Allocation[Quantity Processed])</f>
        <v>17493</v>
      </c>
      <c r="R2078" s="61">
        <f>Allocation[[#This Row],[Total volume used]]/VLOOKUP(Allocation[[#This Row],[Delivery ID]],Delivery[[Delivery ID]:[Quantity delivered]],3,FALSE)</f>
        <v>0.54275519702140862</v>
      </c>
      <c r="S2078" s="34">
        <f>Allocation[[#This Row],[Quantity Processed]]/Allocation[[#This Row],[Dilution rate]]</f>
        <v>491.78571428571433</v>
      </c>
      <c r="T2078" s="59">
        <f>SUMIF(Allocation[Delivery ID],Allocation[[#This Row],[Delivery ID]],Allocation[Quantity allocated])/SUMIF(Allocation[Delivery ID],Allocation[[#This Row],[Delivery ID]],Allocation[Volume available (kg)])</f>
        <v>1.2040016006402559</v>
      </c>
      <c r="U2078" s="61">
        <f>Allocation[[#This Row],[Total volume used]]/VLOOKUP(Allocation[[#This Row],[Delivery ID]],Delivery[[Delivery ID]:[Quantity delivered]],3,FALSE)</f>
        <v>0.54275519702140862</v>
      </c>
      <c r="V2078" s="34" t="e">
        <f>VLOOKUP(Allocation[[#This Row],[SAP Contract number]],Shipments[[SAP Contract number]:[Contracted container weight]],2,FALSE)</f>
        <v>#N/A</v>
      </c>
      <c r="W2078" s="34" t="e">
        <f>VLOOKUP(Allocation[[#This Row],[SAP Contract number]],Shipments[[SAP Contract number]:[AAA Premium USD]],24,FALSE)</f>
        <v>#N/A</v>
      </c>
      <c r="X2078" s="34" t="e">
        <f>VLOOKUP(Allocation[[#This Row],[SAP Contract number]],Shipments[[SAP Contract number]:[RA Premium USD]],25,FALSE)</f>
        <v>#N/A</v>
      </c>
      <c r="Y2078" s="38">
        <f>Allocation[[#This Row],[Quantity Processed]]/Allocation[[#This Row],[Quantity allocated]]</f>
        <v>2.3260135135135136</v>
      </c>
      <c r="Z2078" s="34" t="b">
        <f>Allocation[[#This Row],[Quantity allocated]]&lt;=Allocation[[#This Row],[Quantity Processed]]</f>
        <v>1</v>
      </c>
    </row>
    <row r="2079" spans="1:26">
      <c r="A2079" s="247" t="s">
        <v>467</v>
      </c>
      <c r="B2079" s="210" t="s">
        <v>68</v>
      </c>
      <c r="C2079" s="254" t="s">
        <v>1681</v>
      </c>
      <c r="D2079" s="255">
        <v>123</v>
      </c>
      <c r="E2079" s="211" t="s">
        <v>1936</v>
      </c>
      <c r="F2079" s="212">
        <v>43614</v>
      </c>
      <c r="G2079" s="213">
        <v>2.8</v>
      </c>
      <c r="H2079" s="256">
        <v>53</v>
      </c>
      <c r="I2079" s="214">
        <v>1462184</v>
      </c>
      <c r="J2079" s="215">
        <v>21600</v>
      </c>
      <c r="K2079" s="212">
        <v>43623</v>
      </c>
      <c r="L2079" s="211" t="s">
        <v>1948</v>
      </c>
      <c r="M2079" s="216">
        <v>4615445946</v>
      </c>
      <c r="N2079" s="212"/>
      <c r="O2079" s="218"/>
      <c r="P2079" s="219"/>
      <c r="Q2079" s="34">
        <f>SUMIF(Allocation[Delivery ID],Allocation[[#This Row],[Delivery ID]],Allocation[Quantity Processed])</f>
        <v>3118</v>
      </c>
      <c r="R2079" s="61">
        <f>Allocation[[#This Row],[Total volume used]]/VLOOKUP(Allocation[[#This Row],[Delivery ID]],Delivery[[Delivery ID]:[Quantity delivered]],3,FALSE)</f>
        <v>0.52062113875438298</v>
      </c>
      <c r="S2079" s="34">
        <f>Allocation[[#This Row],[Quantity Processed]]/Allocation[[#This Row],[Dilution rate]]</f>
        <v>43.928571428571431</v>
      </c>
      <c r="T2079" s="59">
        <f>SUMIF(Allocation[Delivery ID],Allocation[[#This Row],[Delivery ID]],Allocation[Quantity allocated])/SUMIF(Allocation[Delivery ID],Allocation[[#This Row],[Delivery ID]],Allocation[Volume available (kg)])</f>
        <v>1.2042334830019243</v>
      </c>
      <c r="U2079" s="61">
        <f>Allocation[[#This Row],[Total volume used]]/VLOOKUP(Allocation[[#This Row],[Delivery ID]],Delivery[[Delivery ID]:[Quantity delivered]],3,FALSE)</f>
        <v>0.52062113875438298</v>
      </c>
      <c r="V2079" s="34" t="e">
        <f>VLOOKUP(Allocation[[#This Row],[SAP Contract number]],Shipments[[SAP Contract number]:[Contracted container weight]],2,FALSE)</f>
        <v>#N/A</v>
      </c>
      <c r="W2079" s="34" t="e">
        <f>VLOOKUP(Allocation[[#This Row],[SAP Contract number]],Shipments[[SAP Contract number]:[AAA Premium USD]],24,FALSE)</f>
        <v>#N/A</v>
      </c>
      <c r="X2079" s="34" t="e">
        <f>VLOOKUP(Allocation[[#This Row],[SAP Contract number]],Shipments[[SAP Contract number]:[RA Premium USD]],25,FALSE)</f>
        <v>#N/A</v>
      </c>
      <c r="Y2079" s="38">
        <f>Allocation[[#This Row],[Quantity Processed]]/Allocation[[#This Row],[Quantity allocated]]</f>
        <v>2.3207547169811322</v>
      </c>
      <c r="Z2079" s="34" t="b">
        <f>Allocation[[#This Row],[Quantity allocated]]&lt;=Allocation[[#This Row],[Quantity Processed]]</f>
        <v>1</v>
      </c>
    </row>
    <row r="2080" spans="1:26">
      <c r="A2080" s="247" t="s">
        <v>467</v>
      </c>
      <c r="B2080" s="210" t="s">
        <v>68</v>
      </c>
      <c r="C2080" s="254" t="s">
        <v>1682</v>
      </c>
      <c r="D2080" s="255">
        <v>662</v>
      </c>
      <c r="E2080" s="211" t="s">
        <v>1936</v>
      </c>
      <c r="F2080" s="212">
        <v>43614</v>
      </c>
      <c r="G2080" s="213">
        <v>2.8</v>
      </c>
      <c r="H2080" s="256">
        <v>285</v>
      </c>
      <c r="I2080" s="214">
        <v>1462184</v>
      </c>
      <c r="J2080" s="215">
        <v>21600</v>
      </c>
      <c r="K2080" s="212">
        <v>43623</v>
      </c>
      <c r="L2080" s="211" t="s">
        <v>1948</v>
      </c>
      <c r="M2080" s="216">
        <v>4615445946</v>
      </c>
      <c r="N2080" s="212"/>
      <c r="O2080" s="218"/>
      <c r="P2080" s="219"/>
      <c r="Q2080" s="34">
        <f>SUMIF(Allocation[Delivery ID],Allocation[[#This Row],[Delivery ID]],Allocation[Quantity Processed])</f>
        <v>16834</v>
      </c>
      <c r="R2080" s="61">
        <f>Allocation[[#This Row],[Total volume used]]/VLOOKUP(Allocation[[#This Row],[Delivery ID]],Delivery[[Delivery ID]:[Quantity delivered]],3,FALSE)</f>
        <v>0.52051575399647509</v>
      </c>
      <c r="S2080" s="34">
        <f>Allocation[[#This Row],[Quantity Processed]]/Allocation[[#This Row],[Dilution rate]]</f>
        <v>236.42857142857144</v>
      </c>
      <c r="T2080" s="59">
        <f>SUMIF(Allocation[Delivery ID],Allocation[[#This Row],[Delivery ID]],Allocation[Quantity allocated])/SUMIF(Allocation[Delivery ID],Allocation[[#This Row],[Delivery ID]],Allocation[Volume available (kg)])</f>
        <v>1.204063205417607</v>
      </c>
      <c r="U2080" s="61">
        <f>Allocation[[#This Row],[Total volume used]]/VLOOKUP(Allocation[[#This Row],[Delivery ID]],Delivery[[Delivery ID]:[Quantity delivered]],3,FALSE)</f>
        <v>0.52051575399647509</v>
      </c>
      <c r="V2080" s="34" t="e">
        <f>VLOOKUP(Allocation[[#This Row],[SAP Contract number]],Shipments[[SAP Contract number]:[Contracted container weight]],2,FALSE)</f>
        <v>#N/A</v>
      </c>
      <c r="W2080" s="34" t="e">
        <f>VLOOKUP(Allocation[[#This Row],[SAP Contract number]],Shipments[[SAP Contract number]:[AAA Premium USD]],24,FALSE)</f>
        <v>#N/A</v>
      </c>
      <c r="X2080" s="34" t="e">
        <f>VLOOKUP(Allocation[[#This Row],[SAP Contract number]],Shipments[[SAP Contract number]:[RA Premium USD]],25,FALSE)</f>
        <v>#N/A</v>
      </c>
      <c r="Y2080" s="38">
        <f>Allocation[[#This Row],[Quantity Processed]]/Allocation[[#This Row],[Quantity allocated]]</f>
        <v>2.3228070175438598</v>
      </c>
      <c r="Z2080" s="34" t="b">
        <f>Allocation[[#This Row],[Quantity allocated]]&lt;=Allocation[[#This Row],[Quantity Processed]]</f>
        <v>1</v>
      </c>
    </row>
    <row r="2081" spans="1:26">
      <c r="A2081" s="247" t="s">
        <v>467</v>
      </c>
      <c r="B2081" s="210" t="s">
        <v>68</v>
      </c>
      <c r="C2081" s="254" t="s">
        <v>1708</v>
      </c>
      <c r="D2081" s="255">
        <v>873</v>
      </c>
      <c r="E2081" s="211" t="s">
        <v>1936</v>
      </c>
      <c r="F2081" s="212">
        <v>43614</v>
      </c>
      <c r="G2081" s="213">
        <v>2.8</v>
      </c>
      <c r="H2081" s="256">
        <v>262</v>
      </c>
      <c r="I2081" s="214">
        <v>1462184</v>
      </c>
      <c r="J2081" s="215">
        <v>21600</v>
      </c>
      <c r="K2081" s="212">
        <v>43623</v>
      </c>
      <c r="L2081" s="211" t="s">
        <v>1948</v>
      </c>
      <c r="M2081" s="216">
        <v>4615445946</v>
      </c>
      <c r="N2081" s="212"/>
      <c r="O2081" s="218"/>
      <c r="P2081" s="219"/>
      <c r="Q2081" s="34">
        <f>SUMIF(Allocation[Delivery ID],Allocation[[#This Row],[Delivery ID]],Allocation[Quantity Processed])</f>
        <v>22180</v>
      </c>
      <c r="R2081" s="61">
        <f>Allocation[[#This Row],[Total volume used]]/VLOOKUP(Allocation[[#This Row],[Delivery ID]],Delivery[[Delivery ID]:[Quantity delivered]],3,FALSE)</f>
        <v>0.74604776320215271</v>
      </c>
      <c r="S2081" s="34">
        <f>Allocation[[#This Row],[Quantity Processed]]/Allocation[[#This Row],[Dilution rate]]</f>
        <v>311.78571428571428</v>
      </c>
      <c r="T2081" s="59">
        <f>SUMIF(Allocation[Delivery ID],Allocation[[#This Row],[Delivery ID]],Allocation[Quantity allocated])/SUMIF(Allocation[Delivery ID],Allocation[[#This Row],[Delivery ID]],Allocation[Volume available (kg)])</f>
        <v>0.83999999999999986</v>
      </c>
      <c r="U2081" s="61">
        <f>Allocation[[#This Row],[Total volume used]]/VLOOKUP(Allocation[[#This Row],[Delivery ID]],Delivery[[Delivery ID]:[Quantity delivered]],3,FALSE)</f>
        <v>0.74604776320215271</v>
      </c>
      <c r="V2081" s="34" t="e">
        <f>VLOOKUP(Allocation[[#This Row],[SAP Contract number]],Shipments[[SAP Contract number]:[Contracted container weight]],2,FALSE)</f>
        <v>#N/A</v>
      </c>
      <c r="W2081" s="34" t="e">
        <f>VLOOKUP(Allocation[[#This Row],[SAP Contract number]],Shipments[[SAP Contract number]:[AAA Premium USD]],24,FALSE)</f>
        <v>#N/A</v>
      </c>
      <c r="X2081" s="34" t="e">
        <f>VLOOKUP(Allocation[[#This Row],[SAP Contract number]],Shipments[[SAP Contract number]:[RA Premium USD]],25,FALSE)</f>
        <v>#N/A</v>
      </c>
      <c r="Y2081" s="38">
        <f>Allocation[[#This Row],[Quantity Processed]]/Allocation[[#This Row],[Quantity allocated]]</f>
        <v>3.33206106870229</v>
      </c>
      <c r="Z2081" s="34" t="b">
        <f>Allocation[[#This Row],[Quantity allocated]]&lt;=Allocation[[#This Row],[Quantity Processed]]</f>
        <v>1</v>
      </c>
    </row>
    <row r="2082" spans="1:26">
      <c r="A2082" s="247" t="s">
        <v>467</v>
      </c>
      <c r="B2082" s="210" t="s">
        <v>68</v>
      </c>
      <c r="C2082" s="254" t="s">
        <v>1709</v>
      </c>
      <c r="D2082" s="255">
        <v>881</v>
      </c>
      <c r="E2082" s="211" t="s">
        <v>1936</v>
      </c>
      <c r="F2082" s="212">
        <v>43614</v>
      </c>
      <c r="G2082" s="213">
        <v>2.8</v>
      </c>
      <c r="H2082" s="256">
        <v>264</v>
      </c>
      <c r="I2082" s="214">
        <v>1462184</v>
      </c>
      <c r="J2082" s="215">
        <v>21600</v>
      </c>
      <c r="K2082" s="212">
        <v>43623</v>
      </c>
      <c r="L2082" s="211" t="s">
        <v>1948</v>
      </c>
      <c r="M2082" s="216">
        <v>4615445946</v>
      </c>
      <c r="N2082" s="212"/>
      <c r="O2082" s="218"/>
      <c r="P2082" s="219"/>
      <c r="Q2082" s="34">
        <f>SUMIF(Allocation[Delivery ID],Allocation[[#This Row],[Delivery ID]],Allocation[Quantity Processed])</f>
        <v>22398</v>
      </c>
      <c r="R2082" s="61">
        <f>Allocation[[#This Row],[Total volume used]]/VLOOKUP(Allocation[[#This Row],[Delivery ID]],Delivery[[Delivery ID]:[Quantity delivered]],3,FALSE)</f>
        <v>0.74610259826782144</v>
      </c>
      <c r="S2082" s="34">
        <f>Allocation[[#This Row],[Quantity Processed]]/Allocation[[#This Row],[Dilution rate]]</f>
        <v>314.64285714285717</v>
      </c>
      <c r="T2082" s="59">
        <f>SUMIF(Allocation[Delivery ID],Allocation[[#This Row],[Delivery ID]],Allocation[Quantity allocated])/SUMIF(Allocation[Delivery ID],Allocation[[#This Row],[Delivery ID]],Allocation[Volume available (kg)])</f>
        <v>0.83994999553531557</v>
      </c>
      <c r="U2082" s="61">
        <f>Allocation[[#This Row],[Total volume used]]/VLOOKUP(Allocation[[#This Row],[Delivery ID]],Delivery[[Delivery ID]:[Quantity delivered]],3,FALSE)</f>
        <v>0.74610259826782144</v>
      </c>
      <c r="V2082" s="34" t="e">
        <f>VLOOKUP(Allocation[[#This Row],[SAP Contract number]],Shipments[[SAP Contract number]:[Contracted container weight]],2,FALSE)</f>
        <v>#N/A</v>
      </c>
      <c r="W2082" s="34" t="e">
        <f>VLOOKUP(Allocation[[#This Row],[SAP Contract number]],Shipments[[SAP Contract number]:[AAA Premium USD]],24,FALSE)</f>
        <v>#N/A</v>
      </c>
      <c r="X2082" s="34" t="e">
        <f>VLOOKUP(Allocation[[#This Row],[SAP Contract number]],Shipments[[SAP Contract number]:[RA Premium USD]],25,FALSE)</f>
        <v>#N/A</v>
      </c>
      <c r="Y2082" s="38">
        <f>Allocation[[#This Row],[Quantity Processed]]/Allocation[[#This Row],[Quantity allocated]]</f>
        <v>3.3371212121212119</v>
      </c>
      <c r="Z2082" s="34" t="b">
        <f>Allocation[[#This Row],[Quantity allocated]]&lt;=Allocation[[#This Row],[Quantity Processed]]</f>
        <v>1</v>
      </c>
    </row>
    <row r="2083" spans="1:26">
      <c r="A2083" s="247" t="s">
        <v>467</v>
      </c>
      <c r="B2083" s="210" t="s">
        <v>68</v>
      </c>
      <c r="C2083" s="254" t="s">
        <v>1713</v>
      </c>
      <c r="D2083" s="255">
        <v>1400</v>
      </c>
      <c r="E2083" s="211" t="s">
        <v>1936</v>
      </c>
      <c r="F2083" s="212">
        <v>43614</v>
      </c>
      <c r="G2083" s="213">
        <v>2.8</v>
      </c>
      <c r="H2083" s="256">
        <v>560</v>
      </c>
      <c r="I2083" s="214">
        <v>1462184</v>
      </c>
      <c r="J2083" s="215">
        <v>21600</v>
      </c>
      <c r="K2083" s="212">
        <v>43623</v>
      </c>
      <c r="L2083" s="211" t="s">
        <v>1948</v>
      </c>
      <c r="M2083" s="216">
        <v>4615445946</v>
      </c>
      <c r="N2083" s="212"/>
      <c r="O2083" s="218"/>
      <c r="P2083" s="219"/>
      <c r="Q2083" s="34">
        <f>SUMIF(Allocation[Delivery ID],Allocation[[#This Row],[Delivery ID]],Allocation[Quantity Processed])</f>
        <v>18796</v>
      </c>
      <c r="R2083" s="61">
        <f>Allocation[[#This Row],[Total volume used]]/VLOOKUP(Allocation[[#This Row],[Delivery ID]],Delivery[[Delivery ID]:[Quantity delivered]],3,FALSE)</f>
        <v>0.58084054388133499</v>
      </c>
      <c r="S2083" s="34">
        <f>Allocation[[#This Row],[Quantity Processed]]/Allocation[[#This Row],[Dilution rate]]</f>
        <v>500.00000000000006</v>
      </c>
      <c r="T2083" s="59">
        <f>SUMIF(Allocation[Delivery ID],Allocation[[#This Row],[Delivery ID]],Allocation[Quantity allocated])/SUMIF(Allocation[Delivery ID],Allocation[[#This Row],[Delivery ID]],Allocation[Volume available (kg)])</f>
        <v>1.1199404128537986</v>
      </c>
      <c r="U2083" s="61">
        <f>Allocation[[#This Row],[Total volume used]]/VLOOKUP(Allocation[[#This Row],[Delivery ID]],Delivery[[Delivery ID]:[Quantity delivered]],3,FALSE)</f>
        <v>0.58084054388133499</v>
      </c>
      <c r="V2083" s="34" t="e">
        <f>VLOOKUP(Allocation[[#This Row],[SAP Contract number]],Shipments[[SAP Contract number]:[Contracted container weight]],2,FALSE)</f>
        <v>#N/A</v>
      </c>
      <c r="W2083" s="34" t="e">
        <f>VLOOKUP(Allocation[[#This Row],[SAP Contract number]],Shipments[[SAP Contract number]:[AAA Premium USD]],24,FALSE)</f>
        <v>#N/A</v>
      </c>
      <c r="X2083" s="34" t="e">
        <f>VLOOKUP(Allocation[[#This Row],[SAP Contract number]],Shipments[[SAP Contract number]:[RA Premium USD]],25,FALSE)</f>
        <v>#N/A</v>
      </c>
      <c r="Y2083" s="38">
        <f>Allocation[[#This Row],[Quantity Processed]]/Allocation[[#This Row],[Quantity allocated]]</f>
        <v>2.5</v>
      </c>
      <c r="Z2083" s="34" t="b">
        <f>Allocation[[#This Row],[Quantity allocated]]&lt;=Allocation[[#This Row],[Quantity Processed]]</f>
        <v>1</v>
      </c>
    </row>
    <row r="2084" spans="1:26">
      <c r="A2084" s="247" t="s">
        <v>467</v>
      </c>
      <c r="B2084" s="210" t="s">
        <v>68</v>
      </c>
      <c r="C2084" s="254" t="s">
        <v>1738</v>
      </c>
      <c r="D2084" s="255">
        <v>885</v>
      </c>
      <c r="E2084" s="211" t="s">
        <v>1936</v>
      </c>
      <c r="F2084" s="212">
        <v>43614</v>
      </c>
      <c r="G2084" s="213">
        <v>2.8</v>
      </c>
      <c r="H2084" s="256">
        <v>266</v>
      </c>
      <c r="I2084" s="214">
        <v>1462184</v>
      </c>
      <c r="J2084" s="215">
        <v>21600</v>
      </c>
      <c r="K2084" s="212">
        <v>43623</v>
      </c>
      <c r="L2084" s="211" t="s">
        <v>1948</v>
      </c>
      <c r="M2084" s="216">
        <v>4615445946</v>
      </c>
      <c r="N2084" s="212"/>
      <c r="O2084" s="218"/>
      <c r="P2084" s="219"/>
      <c r="Q2084" s="34">
        <f>SUMIF(Allocation[Delivery ID],Allocation[[#This Row],[Delivery ID]],Allocation[Quantity Processed])</f>
        <v>22502</v>
      </c>
      <c r="R2084" s="61">
        <f>Allocation[[#This Row],[Total volume used]]/VLOOKUP(Allocation[[#This Row],[Delivery ID]],Delivery[[Delivery ID]:[Quantity delivered]],3,FALSE)</f>
        <v>0.74608753315649867</v>
      </c>
      <c r="S2084" s="34">
        <f>Allocation[[#This Row],[Quantity Processed]]/Allocation[[#This Row],[Dilution rate]]</f>
        <v>316.07142857142861</v>
      </c>
      <c r="T2084" s="59">
        <f>SUMIF(Allocation[Delivery ID],Allocation[[#This Row],[Delivery ID]],Allocation[Quantity allocated])/SUMIF(Allocation[Delivery ID],Allocation[[#This Row],[Delivery ID]],Allocation[Volume available (kg)])</f>
        <v>0.84004977335347963</v>
      </c>
      <c r="U2084" s="61">
        <f>Allocation[[#This Row],[Total volume used]]/VLOOKUP(Allocation[[#This Row],[Delivery ID]],Delivery[[Delivery ID]:[Quantity delivered]],3,FALSE)</f>
        <v>0.74608753315649867</v>
      </c>
      <c r="V2084" s="34" t="e">
        <f>VLOOKUP(Allocation[[#This Row],[SAP Contract number]],Shipments[[SAP Contract number]:[Contracted container weight]],2,FALSE)</f>
        <v>#N/A</v>
      </c>
      <c r="W2084" s="34" t="e">
        <f>VLOOKUP(Allocation[[#This Row],[SAP Contract number]],Shipments[[SAP Contract number]:[AAA Premium USD]],24,FALSE)</f>
        <v>#N/A</v>
      </c>
      <c r="X2084" s="34" t="e">
        <f>VLOOKUP(Allocation[[#This Row],[SAP Contract number]],Shipments[[SAP Contract number]:[RA Premium USD]],25,FALSE)</f>
        <v>#N/A</v>
      </c>
      <c r="Y2084" s="38">
        <f>Allocation[[#This Row],[Quantity Processed]]/Allocation[[#This Row],[Quantity allocated]]</f>
        <v>3.3270676691729322</v>
      </c>
      <c r="Z2084" s="34" t="b">
        <f>Allocation[[#This Row],[Quantity allocated]]&lt;=Allocation[[#This Row],[Quantity Processed]]</f>
        <v>1</v>
      </c>
    </row>
    <row r="2085" spans="1:26">
      <c r="A2085" s="247" t="s">
        <v>467</v>
      </c>
      <c r="B2085" s="210" t="s">
        <v>68</v>
      </c>
      <c r="C2085" s="254" t="s">
        <v>1739</v>
      </c>
      <c r="D2085" s="255">
        <v>887</v>
      </c>
      <c r="E2085" s="211" t="s">
        <v>1936</v>
      </c>
      <c r="F2085" s="212">
        <v>43614</v>
      </c>
      <c r="G2085" s="213">
        <v>2.8</v>
      </c>
      <c r="H2085" s="256">
        <v>266</v>
      </c>
      <c r="I2085" s="214">
        <v>1462184</v>
      </c>
      <c r="J2085" s="215">
        <v>21600</v>
      </c>
      <c r="K2085" s="212">
        <v>43623</v>
      </c>
      <c r="L2085" s="211" t="s">
        <v>1948</v>
      </c>
      <c r="M2085" s="216">
        <v>4615445946</v>
      </c>
      <c r="N2085" s="212"/>
      <c r="O2085" s="218"/>
      <c r="P2085" s="219"/>
      <c r="Q2085" s="34">
        <f>SUMIF(Allocation[Delivery ID],Allocation[[#This Row],[Delivery ID]],Allocation[Quantity Processed])</f>
        <v>22540</v>
      </c>
      <c r="R2085" s="61">
        <f>Allocation[[#This Row],[Total volume used]]/VLOOKUP(Allocation[[#This Row],[Delivery ID]],Delivery[[Delivery ID]:[Quantity delivered]],3,FALSE)</f>
        <v>0.74611055941741145</v>
      </c>
      <c r="S2085" s="34">
        <f>Allocation[[#This Row],[Quantity Processed]]/Allocation[[#This Row],[Dilution rate]]</f>
        <v>316.78571428571428</v>
      </c>
      <c r="T2085" s="59">
        <f>SUMIF(Allocation[Delivery ID],Allocation[[#This Row],[Delivery ID]],Allocation[Quantity allocated])/SUMIF(Allocation[Delivery ID],Allocation[[#This Row],[Delivery ID]],Allocation[Volume available (kg)])</f>
        <v>0.83999999999999986</v>
      </c>
      <c r="U2085" s="61">
        <f>Allocation[[#This Row],[Total volume used]]/VLOOKUP(Allocation[[#This Row],[Delivery ID]],Delivery[[Delivery ID]:[Quantity delivered]],3,FALSE)</f>
        <v>0.74611055941741145</v>
      </c>
      <c r="V2085" s="34" t="e">
        <f>VLOOKUP(Allocation[[#This Row],[SAP Contract number]],Shipments[[SAP Contract number]:[Contracted container weight]],2,FALSE)</f>
        <v>#N/A</v>
      </c>
      <c r="W2085" s="34" t="e">
        <f>VLOOKUP(Allocation[[#This Row],[SAP Contract number]],Shipments[[SAP Contract number]:[AAA Premium USD]],24,FALSE)</f>
        <v>#N/A</v>
      </c>
      <c r="X2085" s="34" t="e">
        <f>VLOOKUP(Allocation[[#This Row],[SAP Contract number]],Shipments[[SAP Contract number]:[RA Premium USD]],25,FALSE)</f>
        <v>#N/A</v>
      </c>
      <c r="Y2085" s="38">
        <f>Allocation[[#This Row],[Quantity Processed]]/Allocation[[#This Row],[Quantity allocated]]</f>
        <v>3.3345864661654137</v>
      </c>
      <c r="Z2085" s="34" t="b">
        <f>Allocation[[#This Row],[Quantity allocated]]&lt;=Allocation[[#This Row],[Quantity Processed]]</f>
        <v>1</v>
      </c>
    </row>
    <row r="2086" spans="1:26">
      <c r="A2086" s="247" t="s">
        <v>467</v>
      </c>
      <c r="B2086" s="210" t="s">
        <v>68</v>
      </c>
      <c r="C2086" s="254" t="s">
        <v>1740</v>
      </c>
      <c r="D2086" s="255">
        <v>884</v>
      </c>
      <c r="E2086" s="211" t="s">
        <v>1936</v>
      </c>
      <c r="F2086" s="212">
        <v>43614</v>
      </c>
      <c r="G2086" s="213">
        <v>2.8</v>
      </c>
      <c r="H2086" s="256">
        <v>265</v>
      </c>
      <c r="I2086" s="214">
        <v>1462184</v>
      </c>
      <c r="J2086" s="215">
        <v>21600</v>
      </c>
      <c r="K2086" s="212">
        <v>43623</v>
      </c>
      <c r="L2086" s="211" t="s">
        <v>1948</v>
      </c>
      <c r="M2086" s="216">
        <v>4615445946</v>
      </c>
      <c r="N2086" s="212"/>
      <c r="O2086" s="218"/>
      <c r="P2086" s="219"/>
      <c r="Q2086" s="34">
        <f>SUMIF(Allocation[Delivery ID],Allocation[[#This Row],[Delivery ID]],Allocation[Quantity Processed])</f>
        <v>22457</v>
      </c>
      <c r="R2086" s="61">
        <f>Allocation[[#This Row],[Total volume used]]/VLOOKUP(Allocation[[#This Row],[Delivery ID]],Delivery[[Delivery ID]:[Quantity delivered]],3,FALSE)</f>
        <v>0.7460797342192691</v>
      </c>
      <c r="S2086" s="34">
        <f>Allocation[[#This Row],[Quantity Processed]]/Allocation[[#This Row],[Dilution rate]]</f>
        <v>315.71428571428572</v>
      </c>
      <c r="T2086" s="59">
        <f>SUMIF(Allocation[Delivery ID],Allocation[[#This Row],[Delivery ID]],Allocation[Quantity allocated])/SUMIF(Allocation[Delivery ID],Allocation[[#This Row],[Delivery ID]],Allocation[Volume available (kg)])</f>
        <v>0.83998753172730101</v>
      </c>
      <c r="U2086" s="61">
        <f>Allocation[[#This Row],[Total volume used]]/VLOOKUP(Allocation[[#This Row],[Delivery ID]],Delivery[[Delivery ID]:[Quantity delivered]],3,FALSE)</f>
        <v>0.7460797342192691</v>
      </c>
      <c r="V2086" s="34" t="e">
        <f>VLOOKUP(Allocation[[#This Row],[SAP Contract number]],Shipments[[SAP Contract number]:[Contracted container weight]],2,FALSE)</f>
        <v>#N/A</v>
      </c>
      <c r="W2086" s="34" t="e">
        <f>VLOOKUP(Allocation[[#This Row],[SAP Contract number]],Shipments[[SAP Contract number]:[AAA Premium USD]],24,FALSE)</f>
        <v>#N/A</v>
      </c>
      <c r="X2086" s="34" t="e">
        <f>VLOOKUP(Allocation[[#This Row],[SAP Contract number]],Shipments[[SAP Contract number]:[RA Premium USD]],25,FALSE)</f>
        <v>#N/A</v>
      </c>
      <c r="Y2086" s="38">
        <f>Allocation[[#This Row],[Quantity Processed]]/Allocation[[#This Row],[Quantity allocated]]</f>
        <v>3.3358490566037737</v>
      </c>
      <c r="Z2086" s="34" t="b">
        <f>Allocation[[#This Row],[Quantity allocated]]&lt;=Allocation[[#This Row],[Quantity Processed]]</f>
        <v>1</v>
      </c>
    </row>
    <row r="2087" spans="1:26">
      <c r="A2087" s="247" t="s">
        <v>467</v>
      </c>
      <c r="B2087" s="210" t="s">
        <v>68</v>
      </c>
      <c r="C2087" s="254" t="s">
        <v>1746</v>
      </c>
      <c r="D2087" s="255">
        <v>874</v>
      </c>
      <c r="E2087" s="211" t="s">
        <v>1936</v>
      </c>
      <c r="F2087" s="212">
        <v>43614</v>
      </c>
      <c r="G2087" s="213">
        <v>2.8</v>
      </c>
      <c r="H2087" s="256">
        <v>262</v>
      </c>
      <c r="I2087" s="214">
        <v>1462184</v>
      </c>
      <c r="J2087" s="215">
        <v>21600</v>
      </c>
      <c r="K2087" s="212">
        <v>43623</v>
      </c>
      <c r="L2087" s="211" t="s">
        <v>1948</v>
      </c>
      <c r="M2087" s="216">
        <v>4615445946</v>
      </c>
      <c r="N2087" s="212"/>
      <c r="O2087" s="218"/>
      <c r="P2087" s="219"/>
      <c r="Q2087" s="34">
        <f>SUMIF(Allocation[Delivery ID],Allocation[[#This Row],[Delivery ID]],Allocation[Quantity Processed])</f>
        <v>22217</v>
      </c>
      <c r="R2087" s="61">
        <f>Allocation[[#This Row],[Total volume used]]/VLOOKUP(Allocation[[#This Row],[Delivery ID]],Delivery[[Delivery ID]:[Quantity delivered]],3,FALSE)</f>
        <v>0.7460376091336467</v>
      </c>
      <c r="S2087" s="34">
        <f>Allocation[[#This Row],[Quantity Processed]]/Allocation[[#This Row],[Dilution rate]]</f>
        <v>312.14285714285717</v>
      </c>
      <c r="T2087" s="59">
        <f>SUMIF(Allocation[Delivery ID],Allocation[[#This Row],[Delivery ID]],Allocation[Quantity allocated])/SUMIF(Allocation[Delivery ID],Allocation[[#This Row],[Delivery ID]],Allocation[Volume available (kg)])</f>
        <v>0.83998739703830394</v>
      </c>
      <c r="U2087" s="61">
        <f>Allocation[[#This Row],[Total volume used]]/VLOOKUP(Allocation[[#This Row],[Delivery ID]],Delivery[[Delivery ID]:[Quantity delivered]],3,FALSE)</f>
        <v>0.7460376091336467</v>
      </c>
      <c r="V2087" s="34" t="e">
        <f>VLOOKUP(Allocation[[#This Row],[SAP Contract number]],Shipments[[SAP Contract number]:[Contracted container weight]],2,FALSE)</f>
        <v>#N/A</v>
      </c>
      <c r="W2087" s="34" t="e">
        <f>VLOOKUP(Allocation[[#This Row],[SAP Contract number]],Shipments[[SAP Contract number]:[AAA Premium USD]],24,FALSE)</f>
        <v>#N/A</v>
      </c>
      <c r="X2087" s="34" t="e">
        <f>VLOOKUP(Allocation[[#This Row],[SAP Contract number]],Shipments[[SAP Contract number]:[RA Premium USD]],25,FALSE)</f>
        <v>#N/A</v>
      </c>
      <c r="Y2087" s="38">
        <f>Allocation[[#This Row],[Quantity Processed]]/Allocation[[#This Row],[Quantity allocated]]</f>
        <v>3.33587786259542</v>
      </c>
      <c r="Z2087" s="34" t="b">
        <f>Allocation[[#This Row],[Quantity allocated]]&lt;=Allocation[[#This Row],[Quantity Processed]]</f>
        <v>1</v>
      </c>
    </row>
    <row r="2088" spans="1:26">
      <c r="A2088" s="247" t="s">
        <v>467</v>
      </c>
      <c r="B2088" s="210" t="s">
        <v>68</v>
      </c>
      <c r="C2088" s="254" t="s">
        <v>1747</v>
      </c>
      <c r="D2088" s="255">
        <v>893</v>
      </c>
      <c r="E2088" s="211" t="s">
        <v>1936</v>
      </c>
      <c r="F2088" s="212">
        <v>43614</v>
      </c>
      <c r="G2088" s="213">
        <v>2.8</v>
      </c>
      <c r="H2088" s="256">
        <v>268</v>
      </c>
      <c r="I2088" s="214">
        <v>1462184</v>
      </c>
      <c r="J2088" s="215">
        <v>21600</v>
      </c>
      <c r="K2088" s="212">
        <v>43623</v>
      </c>
      <c r="L2088" s="211" t="s">
        <v>1948</v>
      </c>
      <c r="M2088" s="216">
        <v>4615445946</v>
      </c>
      <c r="N2088" s="212"/>
      <c r="O2088" s="218"/>
      <c r="P2088" s="219"/>
      <c r="Q2088" s="34">
        <f>SUMIF(Allocation[Delivery ID],Allocation[[#This Row],[Delivery ID]],Allocation[Quantity Processed])</f>
        <v>22690</v>
      </c>
      <c r="R2088" s="61">
        <f>Allocation[[#This Row],[Total volume used]]/VLOOKUP(Allocation[[#This Row],[Delivery ID]],Delivery[[Delivery ID]:[Quantity delivered]],3,FALSE)</f>
        <v>0.74613613942781976</v>
      </c>
      <c r="S2088" s="34">
        <f>Allocation[[#This Row],[Quantity Processed]]/Allocation[[#This Row],[Dilution rate]]</f>
        <v>318.92857142857144</v>
      </c>
      <c r="T2088" s="59">
        <f>SUMIF(Allocation[Delivery ID],Allocation[[#This Row],[Delivery ID]],Allocation[Quantity allocated])/SUMIF(Allocation[Delivery ID],Allocation[[#This Row],[Delivery ID]],Allocation[Volume available (kg)])</f>
        <v>0.84</v>
      </c>
      <c r="U2088" s="61">
        <f>Allocation[[#This Row],[Total volume used]]/VLOOKUP(Allocation[[#This Row],[Delivery ID]],Delivery[[Delivery ID]:[Quantity delivered]],3,FALSE)</f>
        <v>0.74613613942781976</v>
      </c>
      <c r="V2088" s="34" t="e">
        <f>VLOOKUP(Allocation[[#This Row],[SAP Contract number]],Shipments[[SAP Contract number]:[Contracted container weight]],2,FALSE)</f>
        <v>#N/A</v>
      </c>
      <c r="W2088" s="34" t="e">
        <f>VLOOKUP(Allocation[[#This Row],[SAP Contract number]],Shipments[[SAP Contract number]:[AAA Premium USD]],24,FALSE)</f>
        <v>#N/A</v>
      </c>
      <c r="X2088" s="34" t="e">
        <f>VLOOKUP(Allocation[[#This Row],[SAP Contract number]],Shipments[[SAP Contract number]:[RA Premium USD]],25,FALSE)</f>
        <v>#N/A</v>
      </c>
      <c r="Y2088" s="38">
        <f>Allocation[[#This Row],[Quantity Processed]]/Allocation[[#This Row],[Quantity allocated]]</f>
        <v>3.3320895522388061</v>
      </c>
      <c r="Z2088" s="34" t="b">
        <f>Allocation[[#This Row],[Quantity allocated]]&lt;=Allocation[[#This Row],[Quantity Processed]]</f>
        <v>1</v>
      </c>
    </row>
    <row r="2089" spans="1:26">
      <c r="A2089" s="247" t="s">
        <v>467</v>
      </c>
      <c r="B2089" s="210" t="s">
        <v>68</v>
      </c>
      <c r="C2089" s="254" t="s">
        <v>1748</v>
      </c>
      <c r="D2089" s="255">
        <v>888</v>
      </c>
      <c r="E2089" s="211" t="s">
        <v>1936</v>
      </c>
      <c r="F2089" s="212">
        <v>43614</v>
      </c>
      <c r="G2089" s="213">
        <v>2.8</v>
      </c>
      <c r="H2089" s="256">
        <v>267</v>
      </c>
      <c r="I2089" s="214">
        <v>1462184</v>
      </c>
      <c r="J2089" s="215">
        <v>21600</v>
      </c>
      <c r="K2089" s="212">
        <v>43623</v>
      </c>
      <c r="L2089" s="211" t="s">
        <v>1948</v>
      </c>
      <c r="M2089" s="216">
        <v>4615445946</v>
      </c>
      <c r="N2089" s="212"/>
      <c r="O2089" s="218"/>
      <c r="P2089" s="219"/>
      <c r="Q2089" s="34">
        <f>SUMIF(Allocation[Delivery ID],Allocation[[#This Row],[Delivery ID]],Allocation[Quantity Processed])</f>
        <v>22575</v>
      </c>
      <c r="R2089" s="61">
        <f>Allocation[[#This Row],[Total volume used]]/VLOOKUP(Allocation[[#This Row],[Delivery ID]],Delivery[[Delivery ID]:[Quantity delivered]],3,FALSE)</f>
        <v>0.74603436880370122</v>
      </c>
      <c r="S2089" s="34">
        <f>Allocation[[#This Row],[Quantity Processed]]/Allocation[[#This Row],[Dilution rate]]</f>
        <v>317.14285714285717</v>
      </c>
      <c r="T2089" s="59">
        <f>SUMIF(Allocation[Delivery ID],Allocation[[#This Row],[Delivery ID]],Allocation[Quantity allocated])/SUMIF(Allocation[Delivery ID],Allocation[[#This Row],[Delivery ID]],Allocation[Volume available (kg)])</f>
        <v>0.84006201550387594</v>
      </c>
      <c r="U2089" s="61">
        <f>Allocation[[#This Row],[Total volume used]]/VLOOKUP(Allocation[[#This Row],[Delivery ID]],Delivery[[Delivery ID]:[Quantity delivered]],3,FALSE)</f>
        <v>0.74603436880370122</v>
      </c>
      <c r="V2089" s="34" t="e">
        <f>VLOOKUP(Allocation[[#This Row],[SAP Contract number]],Shipments[[SAP Contract number]:[Contracted container weight]],2,FALSE)</f>
        <v>#N/A</v>
      </c>
      <c r="W2089" s="34" t="e">
        <f>VLOOKUP(Allocation[[#This Row],[SAP Contract number]],Shipments[[SAP Contract number]:[AAA Premium USD]],24,FALSE)</f>
        <v>#N/A</v>
      </c>
      <c r="X2089" s="34" t="e">
        <f>VLOOKUP(Allocation[[#This Row],[SAP Contract number]],Shipments[[SAP Contract number]:[RA Premium USD]],25,FALSE)</f>
        <v>#N/A</v>
      </c>
      <c r="Y2089" s="38">
        <f>Allocation[[#This Row],[Quantity Processed]]/Allocation[[#This Row],[Quantity allocated]]</f>
        <v>3.3258426966292136</v>
      </c>
      <c r="Z2089" s="34" t="b">
        <f>Allocation[[#This Row],[Quantity allocated]]&lt;=Allocation[[#This Row],[Quantity Processed]]</f>
        <v>1</v>
      </c>
    </row>
    <row r="2090" spans="1:26">
      <c r="A2090" s="247" t="s">
        <v>467</v>
      </c>
      <c r="B2090" s="210" t="s">
        <v>68</v>
      </c>
      <c r="C2090" s="254" t="s">
        <v>1360</v>
      </c>
      <c r="D2090" s="255">
        <v>1320</v>
      </c>
      <c r="E2090" s="211" t="s">
        <v>1949</v>
      </c>
      <c r="F2090" s="212">
        <v>43647</v>
      </c>
      <c r="G2090" s="213">
        <v>3</v>
      </c>
      <c r="H2090" s="256">
        <v>581</v>
      </c>
      <c r="I2090" s="214">
        <v>1463086</v>
      </c>
      <c r="J2090" s="215">
        <v>21600</v>
      </c>
      <c r="K2090" s="212">
        <v>43654</v>
      </c>
      <c r="L2090" s="211" t="s">
        <v>1950</v>
      </c>
      <c r="M2090" s="216">
        <v>4615445946</v>
      </c>
      <c r="N2090" s="212"/>
      <c r="O2090" s="218"/>
      <c r="P2090" s="219"/>
      <c r="Q2090" s="34">
        <f>SUMIF(Allocation[Delivery ID],Allocation[[#This Row],[Delivery ID]],Allocation[Quantity Processed])</f>
        <v>1320</v>
      </c>
      <c r="R2090" s="61">
        <f>Allocation[[#This Row],[Total volume used]]/VLOOKUP(Allocation[[#This Row],[Delivery ID]],Delivery[[Delivery ID]:[Quantity delivered]],3,FALSE)</f>
        <v>1</v>
      </c>
      <c r="S2090" s="34">
        <f>Allocation[[#This Row],[Quantity Processed]]/Allocation[[#This Row],[Dilution rate]]</f>
        <v>440</v>
      </c>
      <c r="T2090" s="59">
        <f>SUMIF(Allocation[Delivery ID],Allocation[[#This Row],[Delivery ID]],Allocation[Quantity allocated])/SUMIF(Allocation[Delivery ID],Allocation[[#This Row],[Delivery ID]],Allocation[Volume available (kg)])</f>
        <v>1.3204545454545455</v>
      </c>
      <c r="U2090" s="61">
        <f>Allocation[[#This Row],[Total volume used]]/VLOOKUP(Allocation[[#This Row],[Delivery ID]],Delivery[[Delivery ID]:[Quantity delivered]],3,FALSE)</f>
        <v>1</v>
      </c>
      <c r="V2090" s="34" t="e">
        <f>VLOOKUP(Allocation[[#This Row],[SAP Contract number]],Shipments[[SAP Contract number]:[Contracted container weight]],2,FALSE)</f>
        <v>#N/A</v>
      </c>
      <c r="W2090" s="34" t="e">
        <f>VLOOKUP(Allocation[[#This Row],[SAP Contract number]],Shipments[[SAP Contract number]:[AAA Premium USD]],24,FALSE)</f>
        <v>#N/A</v>
      </c>
      <c r="X2090" s="34" t="e">
        <f>VLOOKUP(Allocation[[#This Row],[SAP Contract number]],Shipments[[SAP Contract number]:[RA Premium USD]],25,FALSE)</f>
        <v>#N/A</v>
      </c>
      <c r="Y2090" s="38">
        <f>Allocation[[#This Row],[Quantity Processed]]/Allocation[[#This Row],[Quantity allocated]]</f>
        <v>2.2719449225473323</v>
      </c>
      <c r="Z2090" s="34" t="b">
        <f>Allocation[[#This Row],[Quantity allocated]]&lt;=Allocation[[#This Row],[Quantity Processed]]</f>
        <v>1</v>
      </c>
    </row>
    <row r="2091" spans="1:26">
      <c r="A2091" s="247" t="s">
        <v>467</v>
      </c>
      <c r="B2091" s="210" t="s">
        <v>68</v>
      </c>
      <c r="C2091" s="254" t="s">
        <v>1416</v>
      </c>
      <c r="D2091" s="255">
        <v>1397</v>
      </c>
      <c r="E2091" s="211" t="s">
        <v>1949</v>
      </c>
      <c r="F2091" s="212">
        <v>43647</v>
      </c>
      <c r="G2091" s="213">
        <v>3</v>
      </c>
      <c r="H2091" s="256">
        <v>461</v>
      </c>
      <c r="I2091" s="214">
        <v>1463086</v>
      </c>
      <c r="J2091" s="215">
        <v>21600</v>
      </c>
      <c r="K2091" s="212">
        <v>43654</v>
      </c>
      <c r="L2091" s="211" t="s">
        <v>1950</v>
      </c>
      <c r="M2091" s="216">
        <v>4615445946</v>
      </c>
      <c r="N2091" s="212"/>
      <c r="O2091" s="218"/>
      <c r="P2091" s="219"/>
      <c r="Q2091" s="34">
        <f>SUMIF(Allocation[Delivery ID],Allocation[[#This Row],[Delivery ID]],Allocation[Quantity Processed])</f>
        <v>1397</v>
      </c>
      <c r="R2091" s="61">
        <f>Allocation[[#This Row],[Total volume used]]/VLOOKUP(Allocation[[#This Row],[Delivery ID]],Delivery[[Delivery ID]:[Quantity delivered]],3,FALSE)</f>
        <v>0.19242424242424241</v>
      </c>
      <c r="S2091" s="34">
        <f>Allocation[[#This Row],[Quantity Processed]]/Allocation[[#This Row],[Dilution rate]]</f>
        <v>465.66666666666669</v>
      </c>
      <c r="T2091" s="59">
        <f>SUMIF(Allocation[Delivery ID],Allocation[[#This Row],[Delivery ID]],Allocation[Quantity allocated])/SUMIF(Allocation[Delivery ID],Allocation[[#This Row],[Delivery ID]],Allocation[Volume available (kg)])</f>
        <v>0.98997852541159626</v>
      </c>
      <c r="U2091" s="61">
        <f>Allocation[[#This Row],[Total volume used]]/VLOOKUP(Allocation[[#This Row],[Delivery ID]],Delivery[[Delivery ID]:[Quantity delivered]],3,FALSE)</f>
        <v>0.19242424242424241</v>
      </c>
      <c r="V2091" s="34" t="e">
        <f>VLOOKUP(Allocation[[#This Row],[SAP Contract number]],Shipments[[SAP Contract number]:[Contracted container weight]],2,FALSE)</f>
        <v>#N/A</v>
      </c>
      <c r="W2091" s="34" t="e">
        <f>VLOOKUP(Allocation[[#This Row],[SAP Contract number]],Shipments[[SAP Contract number]:[AAA Premium USD]],24,FALSE)</f>
        <v>#N/A</v>
      </c>
      <c r="X2091" s="34" t="e">
        <f>VLOOKUP(Allocation[[#This Row],[SAP Contract number]],Shipments[[SAP Contract number]:[RA Premium USD]],25,FALSE)</f>
        <v>#N/A</v>
      </c>
      <c r="Y2091" s="38">
        <f>Allocation[[#This Row],[Quantity Processed]]/Allocation[[#This Row],[Quantity allocated]]</f>
        <v>3.0303687635574836</v>
      </c>
      <c r="Z2091" s="34" t="b">
        <f>Allocation[[#This Row],[Quantity allocated]]&lt;=Allocation[[#This Row],[Quantity Processed]]</f>
        <v>1</v>
      </c>
    </row>
    <row r="2092" spans="1:26">
      <c r="A2092" s="247" t="s">
        <v>467</v>
      </c>
      <c r="B2092" s="210" t="s">
        <v>68</v>
      </c>
      <c r="C2092" s="254" t="s">
        <v>1417</v>
      </c>
      <c r="D2092" s="255">
        <v>1291</v>
      </c>
      <c r="E2092" s="211" t="s">
        <v>1949</v>
      </c>
      <c r="F2092" s="212">
        <v>43647</v>
      </c>
      <c r="G2092" s="213">
        <v>3</v>
      </c>
      <c r="H2092" s="256">
        <v>426</v>
      </c>
      <c r="I2092" s="214">
        <v>1463086</v>
      </c>
      <c r="J2092" s="215">
        <v>21600</v>
      </c>
      <c r="K2092" s="212">
        <v>43654</v>
      </c>
      <c r="L2092" s="211" t="s">
        <v>1950</v>
      </c>
      <c r="M2092" s="216">
        <v>4615445946</v>
      </c>
      <c r="N2092" s="212"/>
      <c r="O2092" s="218"/>
      <c r="P2092" s="219"/>
      <c r="Q2092" s="34">
        <f>SUMIF(Allocation[Delivery ID],Allocation[[#This Row],[Delivery ID]],Allocation[Quantity Processed])</f>
        <v>1291</v>
      </c>
      <c r="R2092" s="61">
        <f>Allocation[[#This Row],[Total volume used]]/VLOOKUP(Allocation[[#This Row],[Delivery ID]],Delivery[[Delivery ID]:[Quantity delivered]],3,FALSE)</f>
        <v>0.19239940387481372</v>
      </c>
      <c r="S2092" s="34">
        <f>Allocation[[#This Row],[Quantity Processed]]/Allocation[[#This Row],[Dilution rate]]</f>
        <v>430.33333333333331</v>
      </c>
      <c r="T2092" s="59">
        <f>SUMIF(Allocation[Delivery ID],Allocation[[#This Row],[Delivery ID]],Allocation[Quantity allocated])/SUMIF(Allocation[Delivery ID],Allocation[[#This Row],[Delivery ID]],Allocation[Volume available (kg)])</f>
        <v>0.9899302865995353</v>
      </c>
      <c r="U2092" s="61">
        <f>Allocation[[#This Row],[Total volume used]]/VLOOKUP(Allocation[[#This Row],[Delivery ID]],Delivery[[Delivery ID]:[Quantity delivered]],3,FALSE)</f>
        <v>0.19239940387481372</v>
      </c>
      <c r="V2092" s="34" t="e">
        <f>VLOOKUP(Allocation[[#This Row],[SAP Contract number]],Shipments[[SAP Contract number]:[Contracted container weight]],2,FALSE)</f>
        <v>#N/A</v>
      </c>
      <c r="W2092" s="34" t="e">
        <f>VLOOKUP(Allocation[[#This Row],[SAP Contract number]],Shipments[[SAP Contract number]:[AAA Premium USD]],24,FALSE)</f>
        <v>#N/A</v>
      </c>
      <c r="X2092" s="34" t="e">
        <f>VLOOKUP(Allocation[[#This Row],[SAP Contract number]],Shipments[[SAP Contract number]:[RA Premium USD]],25,FALSE)</f>
        <v>#N/A</v>
      </c>
      <c r="Y2092" s="38">
        <f>Allocation[[#This Row],[Quantity Processed]]/Allocation[[#This Row],[Quantity allocated]]</f>
        <v>3.0305164319248825</v>
      </c>
      <c r="Z2092" s="34" t="b">
        <f>Allocation[[#This Row],[Quantity allocated]]&lt;=Allocation[[#This Row],[Quantity Processed]]</f>
        <v>1</v>
      </c>
    </row>
    <row r="2093" spans="1:26">
      <c r="A2093" s="247" t="s">
        <v>467</v>
      </c>
      <c r="B2093" s="210" t="s">
        <v>68</v>
      </c>
      <c r="C2093" s="254" t="s">
        <v>1418</v>
      </c>
      <c r="D2093" s="255">
        <v>440</v>
      </c>
      <c r="E2093" s="211" t="s">
        <v>1949</v>
      </c>
      <c r="F2093" s="212">
        <v>43647</v>
      </c>
      <c r="G2093" s="213">
        <v>3</v>
      </c>
      <c r="H2093" s="256">
        <v>145</v>
      </c>
      <c r="I2093" s="214">
        <v>1463086</v>
      </c>
      <c r="J2093" s="215">
        <v>21600</v>
      </c>
      <c r="K2093" s="212">
        <v>43654</v>
      </c>
      <c r="L2093" s="211" t="s">
        <v>1950</v>
      </c>
      <c r="M2093" s="216">
        <v>4615445946</v>
      </c>
      <c r="N2093" s="212"/>
      <c r="O2093" s="218"/>
      <c r="P2093" s="219"/>
      <c r="Q2093" s="34">
        <f>SUMIF(Allocation[Delivery ID],Allocation[[#This Row],[Delivery ID]],Allocation[Quantity Processed])</f>
        <v>440</v>
      </c>
      <c r="R2093" s="61">
        <f>Allocation[[#This Row],[Total volume used]]/VLOOKUP(Allocation[[#This Row],[Delivery ID]],Delivery[[Delivery ID]:[Quantity delivered]],3,FALSE)</f>
        <v>1</v>
      </c>
      <c r="S2093" s="34">
        <f>Allocation[[#This Row],[Quantity Processed]]/Allocation[[#This Row],[Dilution rate]]</f>
        <v>146.66666666666666</v>
      </c>
      <c r="T2093" s="59">
        <f>SUMIF(Allocation[Delivery ID],Allocation[[#This Row],[Delivery ID]],Allocation[Quantity allocated])/SUMIF(Allocation[Delivery ID],Allocation[[#This Row],[Delivery ID]],Allocation[Volume available (kg)])</f>
        <v>0.98863636363636365</v>
      </c>
      <c r="U2093" s="61">
        <f>Allocation[[#This Row],[Total volume used]]/VLOOKUP(Allocation[[#This Row],[Delivery ID]],Delivery[[Delivery ID]:[Quantity delivered]],3,FALSE)</f>
        <v>1</v>
      </c>
      <c r="V2093" s="34" t="e">
        <f>VLOOKUP(Allocation[[#This Row],[SAP Contract number]],Shipments[[SAP Contract number]:[Contracted container weight]],2,FALSE)</f>
        <v>#N/A</v>
      </c>
      <c r="W2093" s="34" t="e">
        <f>VLOOKUP(Allocation[[#This Row],[SAP Contract number]],Shipments[[SAP Contract number]:[AAA Premium USD]],24,FALSE)</f>
        <v>#N/A</v>
      </c>
      <c r="X2093" s="34" t="e">
        <f>VLOOKUP(Allocation[[#This Row],[SAP Contract number]],Shipments[[SAP Contract number]:[RA Premium USD]],25,FALSE)</f>
        <v>#N/A</v>
      </c>
      <c r="Y2093" s="38">
        <f>Allocation[[#This Row],[Quantity Processed]]/Allocation[[#This Row],[Quantity allocated]]</f>
        <v>3.0344827586206895</v>
      </c>
      <c r="Z2093" s="34" t="b">
        <f>Allocation[[#This Row],[Quantity allocated]]&lt;=Allocation[[#This Row],[Quantity Processed]]</f>
        <v>1</v>
      </c>
    </row>
    <row r="2094" spans="1:26">
      <c r="A2094" s="247" t="s">
        <v>467</v>
      </c>
      <c r="B2094" s="210" t="s">
        <v>68</v>
      </c>
      <c r="C2094" s="254" t="s">
        <v>1419</v>
      </c>
      <c r="D2094" s="255">
        <v>2442</v>
      </c>
      <c r="E2094" s="211" t="s">
        <v>1949</v>
      </c>
      <c r="F2094" s="212">
        <v>43647</v>
      </c>
      <c r="G2094" s="213">
        <v>3</v>
      </c>
      <c r="H2094" s="256">
        <v>806</v>
      </c>
      <c r="I2094" s="214">
        <v>1463086</v>
      </c>
      <c r="J2094" s="215">
        <v>21600</v>
      </c>
      <c r="K2094" s="212">
        <v>43654</v>
      </c>
      <c r="L2094" s="211" t="s">
        <v>1950</v>
      </c>
      <c r="M2094" s="216">
        <v>4615445946</v>
      </c>
      <c r="N2094" s="212"/>
      <c r="O2094" s="218"/>
      <c r="P2094" s="219"/>
      <c r="Q2094" s="34">
        <f>SUMIF(Allocation[Delivery ID],Allocation[[#This Row],[Delivery ID]],Allocation[Quantity Processed])</f>
        <v>2442</v>
      </c>
      <c r="R2094" s="61">
        <f>Allocation[[#This Row],[Total volume used]]/VLOOKUP(Allocation[[#This Row],[Delivery ID]],Delivery[[Delivery ID]:[Quantity delivered]],3,FALSE)</f>
        <v>0.19213217938631</v>
      </c>
      <c r="S2094" s="34">
        <f>Allocation[[#This Row],[Quantity Processed]]/Allocation[[#This Row],[Dilution rate]]</f>
        <v>814</v>
      </c>
      <c r="T2094" s="59">
        <f>SUMIF(Allocation[Delivery ID],Allocation[[#This Row],[Delivery ID]],Allocation[Quantity allocated])/SUMIF(Allocation[Delivery ID],Allocation[[#This Row],[Delivery ID]],Allocation[Volume available (kg)])</f>
        <v>0.9901719901719902</v>
      </c>
      <c r="U2094" s="61">
        <f>Allocation[[#This Row],[Total volume used]]/VLOOKUP(Allocation[[#This Row],[Delivery ID]],Delivery[[Delivery ID]:[Quantity delivered]],3,FALSE)</f>
        <v>0.19213217938631</v>
      </c>
      <c r="V2094" s="34" t="e">
        <f>VLOOKUP(Allocation[[#This Row],[SAP Contract number]],Shipments[[SAP Contract number]:[Contracted container weight]],2,FALSE)</f>
        <v>#N/A</v>
      </c>
      <c r="W2094" s="34" t="e">
        <f>VLOOKUP(Allocation[[#This Row],[SAP Contract number]],Shipments[[SAP Contract number]:[AAA Premium USD]],24,FALSE)</f>
        <v>#N/A</v>
      </c>
      <c r="X2094" s="34" t="e">
        <f>VLOOKUP(Allocation[[#This Row],[SAP Contract number]],Shipments[[SAP Contract number]:[RA Premium USD]],25,FALSE)</f>
        <v>#N/A</v>
      </c>
      <c r="Y2094" s="38">
        <f>Allocation[[#This Row],[Quantity Processed]]/Allocation[[#This Row],[Quantity allocated]]</f>
        <v>3.0297766749379651</v>
      </c>
      <c r="Z2094" s="34" t="b">
        <f>Allocation[[#This Row],[Quantity allocated]]&lt;=Allocation[[#This Row],[Quantity Processed]]</f>
        <v>1</v>
      </c>
    </row>
    <row r="2095" spans="1:26">
      <c r="A2095" s="247" t="s">
        <v>467</v>
      </c>
      <c r="B2095" s="210" t="s">
        <v>68</v>
      </c>
      <c r="C2095" s="254" t="s">
        <v>1442</v>
      </c>
      <c r="D2095" s="255">
        <v>14586</v>
      </c>
      <c r="E2095" s="211" t="s">
        <v>1949</v>
      </c>
      <c r="F2095" s="212">
        <v>43647</v>
      </c>
      <c r="G2095" s="213">
        <v>3</v>
      </c>
      <c r="H2095" s="256">
        <v>7293</v>
      </c>
      <c r="I2095" s="214">
        <v>1463086</v>
      </c>
      <c r="J2095" s="215">
        <v>21600</v>
      </c>
      <c r="K2095" s="212">
        <v>43654</v>
      </c>
      <c r="L2095" s="211" t="s">
        <v>1950</v>
      </c>
      <c r="M2095" s="216">
        <v>4615445946</v>
      </c>
      <c r="N2095" s="212"/>
      <c r="O2095" s="218"/>
      <c r="P2095" s="219"/>
      <c r="Q2095" s="34">
        <f>SUMIF(Allocation[Delivery ID],Allocation[[#This Row],[Delivery ID]],Allocation[Quantity Processed])</f>
        <v>22028</v>
      </c>
      <c r="R2095" s="61">
        <f>Allocation[[#This Row],[Total volume used]]/VLOOKUP(Allocation[[#This Row],[Delivery ID]],Delivery[[Delivery ID]:[Quantity delivered]],3,FALSE)</f>
        <v>0.9151641046946406</v>
      </c>
      <c r="S2095" s="34">
        <f>Allocation[[#This Row],[Quantity Processed]]/Allocation[[#This Row],[Dilution rate]]</f>
        <v>4862</v>
      </c>
      <c r="T2095" s="59">
        <f>SUMIF(Allocation[Delivery ID],Allocation[[#This Row],[Delivery ID]],Allocation[Quantity allocated])/SUMIF(Allocation[Delivery ID],Allocation[[#This Row],[Delivery ID]],Allocation[Volume available (kg)])</f>
        <v>1.4275043426184424</v>
      </c>
      <c r="U2095" s="61">
        <f>Allocation[[#This Row],[Total volume used]]/VLOOKUP(Allocation[[#This Row],[Delivery ID]],Delivery[[Delivery ID]:[Quantity delivered]],3,FALSE)</f>
        <v>0.9151641046946406</v>
      </c>
      <c r="V2095" s="34" t="e">
        <f>VLOOKUP(Allocation[[#This Row],[SAP Contract number]],Shipments[[SAP Contract number]:[Contracted container weight]],2,FALSE)</f>
        <v>#N/A</v>
      </c>
      <c r="W2095" s="34" t="e">
        <f>VLOOKUP(Allocation[[#This Row],[SAP Contract number]],Shipments[[SAP Contract number]:[AAA Premium USD]],24,FALSE)</f>
        <v>#N/A</v>
      </c>
      <c r="X2095" s="34" t="e">
        <f>VLOOKUP(Allocation[[#This Row],[SAP Contract number]],Shipments[[SAP Contract number]:[RA Premium USD]],25,FALSE)</f>
        <v>#N/A</v>
      </c>
      <c r="Y2095" s="38">
        <f>Allocation[[#This Row],[Quantity Processed]]/Allocation[[#This Row],[Quantity allocated]]</f>
        <v>2</v>
      </c>
      <c r="Z2095" s="34" t="b">
        <f>Allocation[[#This Row],[Quantity allocated]]&lt;=Allocation[[#This Row],[Quantity Processed]]</f>
        <v>1</v>
      </c>
    </row>
    <row r="2096" spans="1:26">
      <c r="A2096" s="247" t="s">
        <v>467</v>
      </c>
      <c r="B2096" s="210" t="s">
        <v>68</v>
      </c>
      <c r="C2096" s="254" t="s">
        <v>1456</v>
      </c>
      <c r="D2096" s="255">
        <v>958</v>
      </c>
      <c r="E2096" s="211" t="s">
        <v>1949</v>
      </c>
      <c r="F2096" s="212">
        <v>43647</v>
      </c>
      <c r="G2096" s="213">
        <v>3</v>
      </c>
      <c r="H2096" s="256">
        <v>345</v>
      </c>
      <c r="I2096" s="214">
        <v>1463086</v>
      </c>
      <c r="J2096" s="215">
        <v>21600</v>
      </c>
      <c r="K2096" s="212">
        <v>43654</v>
      </c>
      <c r="L2096" s="211" t="s">
        <v>1950</v>
      </c>
      <c r="M2096" s="216">
        <v>4615445946</v>
      </c>
      <c r="N2096" s="212"/>
      <c r="O2096" s="218"/>
      <c r="P2096" s="219"/>
      <c r="Q2096" s="34">
        <f>SUMIF(Allocation[Delivery ID],Allocation[[#This Row],[Delivery ID]],Allocation[Quantity Processed])</f>
        <v>3163</v>
      </c>
      <c r="R2096" s="61">
        <f>Allocation[[#This Row],[Total volume used]]/VLOOKUP(Allocation[[#This Row],[Delivery ID]],Delivery[[Delivery ID]:[Quantity delivered]],3,FALSE)</f>
        <v>0.44003895381190872</v>
      </c>
      <c r="S2096" s="34">
        <f>Allocation[[#This Row],[Quantity Processed]]/Allocation[[#This Row],[Dilution rate]]</f>
        <v>319.33333333333331</v>
      </c>
      <c r="T2096" s="59">
        <f>SUMIF(Allocation[Delivery ID],Allocation[[#This Row],[Delivery ID]],Allocation[Quantity allocated])/SUMIF(Allocation[Delivery ID],Allocation[[#This Row],[Delivery ID]],Allocation[Volume available (kg)])</f>
        <v>1.0615616995523252</v>
      </c>
      <c r="U2096" s="61">
        <f>Allocation[[#This Row],[Total volume used]]/VLOOKUP(Allocation[[#This Row],[Delivery ID]],Delivery[[Delivery ID]:[Quantity delivered]],3,FALSE)</f>
        <v>0.44003895381190872</v>
      </c>
      <c r="V2096" s="34" t="e">
        <f>VLOOKUP(Allocation[[#This Row],[SAP Contract number]],Shipments[[SAP Contract number]:[Contracted container weight]],2,FALSE)</f>
        <v>#N/A</v>
      </c>
      <c r="W2096" s="34" t="e">
        <f>VLOOKUP(Allocation[[#This Row],[SAP Contract number]],Shipments[[SAP Contract number]:[AAA Premium USD]],24,FALSE)</f>
        <v>#N/A</v>
      </c>
      <c r="X2096" s="34" t="e">
        <f>VLOOKUP(Allocation[[#This Row],[SAP Contract number]],Shipments[[SAP Contract number]:[RA Premium USD]],25,FALSE)</f>
        <v>#N/A</v>
      </c>
      <c r="Y2096" s="38">
        <f>Allocation[[#This Row],[Quantity Processed]]/Allocation[[#This Row],[Quantity allocated]]</f>
        <v>2.7768115942028984</v>
      </c>
      <c r="Z2096" s="34" t="b">
        <f>Allocation[[#This Row],[Quantity allocated]]&lt;=Allocation[[#This Row],[Quantity Processed]]</f>
        <v>1</v>
      </c>
    </row>
    <row r="2097" spans="1:26">
      <c r="A2097" s="247" t="s">
        <v>467</v>
      </c>
      <c r="B2097" s="210" t="s">
        <v>68</v>
      </c>
      <c r="C2097" s="254" t="s">
        <v>1457</v>
      </c>
      <c r="D2097" s="255">
        <v>2006</v>
      </c>
      <c r="E2097" s="211" t="s">
        <v>1949</v>
      </c>
      <c r="F2097" s="212">
        <v>43647</v>
      </c>
      <c r="G2097" s="213">
        <v>3</v>
      </c>
      <c r="H2097" s="256">
        <v>722</v>
      </c>
      <c r="I2097" s="214">
        <v>1463086</v>
      </c>
      <c r="J2097" s="215">
        <v>21600</v>
      </c>
      <c r="K2097" s="212">
        <v>43654</v>
      </c>
      <c r="L2097" s="211" t="s">
        <v>1950</v>
      </c>
      <c r="M2097" s="216">
        <v>4615445946</v>
      </c>
      <c r="N2097" s="212"/>
      <c r="O2097" s="218"/>
      <c r="P2097" s="219"/>
      <c r="Q2097" s="34">
        <f>SUMIF(Allocation[Delivery ID],Allocation[[#This Row],[Delivery ID]],Allocation[Quantity Processed])</f>
        <v>6617</v>
      </c>
      <c r="R2097" s="61">
        <f>Allocation[[#This Row],[Total volume used]]/VLOOKUP(Allocation[[#This Row],[Delivery ID]],Delivery[[Delivery ID]:[Quantity delivered]],3,FALSE)</f>
        <v>0.43864766324163074</v>
      </c>
      <c r="S2097" s="34">
        <f>Allocation[[#This Row],[Quantity Processed]]/Allocation[[#This Row],[Dilution rate]]</f>
        <v>668.66666666666663</v>
      </c>
      <c r="T2097" s="59">
        <f>SUMIF(Allocation[Delivery ID],Allocation[[#This Row],[Delivery ID]],Allocation[Quantity allocated])/SUMIF(Allocation[Delivery ID],Allocation[[#This Row],[Delivery ID]],Allocation[Volume available (kg)])</f>
        <v>1.0612083485335027</v>
      </c>
      <c r="U2097" s="61">
        <f>Allocation[[#This Row],[Total volume used]]/VLOOKUP(Allocation[[#This Row],[Delivery ID]],Delivery[[Delivery ID]:[Quantity delivered]],3,FALSE)</f>
        <v>0.43864766324163074</v>
      </c>
      <c r="V2097" s="34" t="e">
        <f>VLOOKUP(Allocation[[#This Row],[SAP Contract number]],Shipments[[SAP Contract number]:[Contracted container weight]],2,FALSE)</f>
        <v>#N/A</v>
      </c>
      <c r="W2097" s="34" t="e">
        <f>VLOOKUP(Allocation[[#This Row],[SAP Contract number]],Shipments[[SAP Contract number]:[AAA Premium USD]],24,FALSE)</f>
        <v>#N/A</v>
      </c>
      <c r="X2097" s="34" t="e">
        <f>VLOOKUP(Allocation[[#This Row],[SAP Contract number]],Shipments[[SAP Contract number]:[RA Premium USD]],25,FALSE)</f>
        <v>#N/A</v>
      </c>
      <c r="Y2097" s="38">
        <f>Allocation[[#This Row],[Quantity Processed]]/Allocation[[#This Row],[Quantity allocated]]</f>
        <v>2.7783933518005539</v>
      </c>
      <c r="Z2097" s="34" t="b">
        <f>Allocation[[#This Row],[Quantity allocated]]&lt;=Allocation[[#This Row],[Quantity Processed]]</f>
        <v>1</v>
      </c>
    </row>
    <row r="2098" spans="1:26">
      <c r="A2098" s="247" t="s">
        <v>467</v>
      </c>
      <c r="B2098" s="210" t="s">
        <v>68</v>
      </c>
      <c r="C2098" s="254" t="s">
        <v>1458</v>
      </c>
      <c r="D2098" s="255">
        <v>1606</v>
      </c>
      <c r="E2098" s="211" t="s">
        <v>1949</v>
      </c>
      <c r="F2098" s="212">
        <v>43647</v>
      </c>
      <c r="G2098" s="213">
        <v>3</v>
      </c>
      <c r="H2098" s="256">
        <v>578</v>
      </c>
      <c r="I2098" s="214">
        <v>1463086</v>
      </c>
      <c r="J2098" s="215">
        <v>21600</v>
      </c>
      <c r="K2098" s="212">
        <v>43654</v>
      </c>
      <c r="L2098" s="211" t="s">
        <v>1950</v>
      </c>
      <c r="M2098" s="216">
        <v>4615445946</v>
      </c>
      <c r="N2098" s="212"/>
      <c r="O2098" s="218"/>
      <c r="P2098" s="219"/>
      <c r="Q2098" s="34">
        <f>SUMIF(Allocation[Delivery ID],Allocation[[#This Row],[Delivery ID]],Allocation[Quantity Processed])</f>
        <v>5297</v>
      </c>
      <c r="R2098" s="61">
        <f>Allocation[[#This Row],[Total volume used]]/VLOOKUP(Allocation[[#This Row],[Delivery ID]],Delivery[[Delivery ID]:[Quantity delivered]],3,FALSE)</f>
        <v>0.43885666942833473</v>
      </c>
      <c r="S2098" s="34">
        <f>Allocation[[#This Row],[Quantity Processed]]/Allocation[[#This Row],[Dilution rate]]</f>
        <v>535.33333333333337</v>
      </c>
      <c r="T2098" s="59">
        <f>SUMIF(Allocation[Delivery ID],Allocation[[#This Row],[Delivery ID]],Allocation[Quantity allocated])/SUMIF(Allocation[Delivery ID],Allocation[[#This Row],[Delivery ID]],Allocation[Volume available (kg)])</f>
        <v>1.0613181567461747</v>
      </c>
      <c r="U2098" s="61">
        <f>Allocation[[#This Row],[Total volume used]]/VLOOKUP(Allocation[[#This Row],[Delivery ID]],Delivery[[Delivery ID]:[Quantity delivered]],3,FALSE)</f>
        <v>0.43885666942833473</v>
      </c>
      <c r="V2098" s="34" t="e">
        <f>VLOOKUP(Allocation[[#This Row],[SAP Contract number]],Shipments[[SAP Contract number]:[Contracted container weight]],2,FALSE)</f>
        <v>#N/A</v>
      </c>
      <c r="W2098" s="34" t="e">
        <f>VLOOKUP(Allocation[[#This Row],[SAP Contract number]],Shipments[[SAP Contract number]:[AAA Premium USD]],24,FALSE)</f>
        <v>#N/A</v>
      </c>
      <c r="X2098" s="34" t="e">
        <f>VLOOKUP(Allocation[[#This Row],[SAP Contract number]],Shipments[[SAP Contract number]:[RA Premium USD]],25,FALSE)</f>
        <v>#N/A</v>
      </c>
      <c r="Y2098" s="38">
        <f>Allocation[[#This Row],[Quantity Processed]]/Allocation[[#This Row],[Quantity allocated]]</f>
        <v>2.7785467128027683</v>
      </c>
      <c r="Z2098" s="34" t="b">
        <f>Allocation[[#This Row],[Quantity allocated]]&lt;=Allocation[[#This Row],[Quantity Processed]]</f>
        <v>1</v>
      </c>
    </row>
    <row r="2099" spans="1:26">
      <c r="A2099" s="247" t="s">
        <v>467</v>
      </c>
      <c r="B2099" s="210" t="s">
        <v>68</v>
      </c>
      <c r="C2099" s="254" t="s">
        <v>1459</v>
      </c>
      <c r="D2099" s="255">
        <v>1392</v>
      </c>
      <c r="E2099" s="211" t="s">
        <v>1949</v>
      </c>
      <c r="F2099" s="212">
        <v>43647</v>
      </c>
      <c r="G2099" s="213">
        <v>3</v>
      </c>
      <c r="H2099" s="256">
        <v>501</v>
      </c>
      <c r="I2099" s="214">
        <v>1463086</v>
      </c>
      <c r="J2099" s="215">
        <v>21600</v>
      </c>
      <c r="K2099" s="212">
        <v>43654</v>
      </c>
      <c r="L2099" s="211" t="s">
        <v>1950</v>
      </c>
      <c r="M2099" s="216">
        <v>4615445946</v>
      </c>
      <c r="N2099" s="212"/>
      <c r="O2099" s="218"/>
      <c r="P2099" s="219"/>
      <c r="Q2099" s="34">
        <f>SUMIF(Allocation[Delivery ID],Allocation[[#This Row],[Delivery ID]],Allocation[Quantity Processed])</f>
        <v>4587</v>
      </c>
      <c r="R2099" s="61">
        <f>Allocation[[#This Row],[Total volume used]]/VLOOKUP(Allocation[[#This Row],[Delivery ID]],Delivery[[Delivery ID]:[Quantity delivered]],3,FALSE)</f>
        <v>0.43966260902904247</v>
      </c>
      <c r="S2099" s="34">
        <f>Allocation[[#This Row],[Quantity Processed]]/Allocation[[#This Row],[Dilution rate]]</f>
        <v>464</v>
      </c>
      <c r="T2099" s="59">
        <f>SUMIF(Allocation[Delivery ID],Allocation[[#This Row],[Delivery ID]],Allocation[Quantity allocated])/SUMIF(Allocation[Delivery ID],Allocation[[#This Row],[Delivery ID]],Allocation[Volume available (kg)])</f>
        <v>1.0610641289453173</v>
      </c>
      <c r="U2099" s="61">
        <f>Allocation[[#This Row],[Total volume used]]/VLOOKUP(Allocation[[#This Row],[Delivery ID]],Delivery[[Delivery ID]:[Quantity delivered]],3,FALSE)</f>
        <v>0.43966260902904247</v>
      </c>
      <c r="V2099" s="34" t="e">
        <f>VLOOKUP(Allocation[[#This Row],[SAP Contract number]],Shipments[[SAP Contract number]:[Contracted container weight]],2,FALSE)</f>
        <v>#N/A</v>
      </c>
      <c r="W2099" s="34" t="e">
        <f>VLOOKUP(Allocation[[#This Row],[SAP Contract number]],Shipments[[SAP Contract number]:[AAA Premium USD]],24,FALSE)</f>
        <v>#N/A</v>
      </c>
      <c r="X2099" s="34" t="e">
        <f>VLOOKUP(Allocation[[#This Row],[SAP Contract number]],Shipments[[SAP Contract number]:[RA Premium USD]],25,FALSE)</f>
        <v>#N/A</v>
      </c>
      <c r="Y2099" s="38">
        <f>Allocation[[#This Row],[Quantity Processed]]/Allocation[[#This Row],[Quantity allocated]]</f>
        <v>2.7784431137724552</v>
      </c>
      <c r="Z2099" s="34" t="b">
        <f>Allocation[[#This Row],[Quantity allocated]]&lt;=Allocation[[#This Row],[Quantity Processed]]</f>
        <v>1</v>
      </c>
    </row>
    <row r="2100" spans="1:26">
      <c r="A2100" s="247" t="s">
        <v>467</v>
      </c>
      <c r="B2100" s="210" t="s">
        <v>68</v>
      </c>
      <c r="C2100" s="254" t="s">
        <v>1462</v>
      </c>
      <c r="D2100" s="255">
        <v>681</v>
      </c>
      <c r="E2100" s="211" t="s">
        <v>1949</v>
      </c>
      <c r="F2100" s="212">
        <v>43647</v>
      </c>
      <c r="G2100" s="213">
        <v>3</v>
      </c>
      <c r="H2100" s="256">
        <v>245</v>
      </c>
      <c r="I2100" s="214">
        <v>1463086</v>
      </c>
      <c r="J2100" s="215">
        <v>21600</v>
      </c>
      <c r="K2100" s="212">
        <v>43654</v>
      </c>
      <c r="L2100" s="211" t="s">
        <v>1950</v>
      </c>
      <c r="M2100" s="216">
        <v>4615445946</v>
      </c>
      <c r="N2100" s="212"/>
      <c r="O2100" s="218"/>
      <c r="P2100" s="219"/>
      <c r="Q2100" s="34">
        <f>SUMIF(Allocation[Delivery ID],Allocation[[#This Row],[Delivery ID]],Allocation[Quantity Processed])</f>
        <v>2245</v>
      </c>
      <c r="R2100" s="61">
        <f>Allocation[[#This Row],[Total volume used]]/VLOOKUP(Allocation[[#This Row],[Delivery ID]],Delivery[[Delivery ID]:[Quantity delivered]],3,FALSE)</f>
        <v>0.44045516970767118</v>
      </c>
      <c r="S2100" s="34">
        <f>Allocation[[#This Row],[Quantity Processed]]/Allocation[[#This Row],[Dilution rate]]</f>
        <v>227</v>
      </c>
      <c r="T2100" s="59">
        <f>SUMIF(Allocation[Delivery ID],Allocation[[#This Row],[Delivery ID]],Allocation[Quantity allocated])/SUMIF(Allocation[Delivery ID],Allocation[[#This Row],[Delivery ID]],Allocation[Volume available (kg)])</f>
        <v>1.0610032924943202</v>
      </c>
      <c r="U2100" s="61">
        <f>Allocation[[#This Row],[Total volume used]]/VLOOKUP(Allocation[[#This Row],[Delivery ID]],Delivery[[Delivery ID]:[Quantity delivered]],3,FALSE)</f>
        <v>0.44045516970767118</v>
      </c>
      <c r="V2100" s="34" t="e">
        <f>VLOOKUP(Allocation[[#This Row],[SAP Contract number]],Shipments[[SAP Contract number]:[Contracted container weight]],2,FALSE)</f>
        <v>#N/A</v>
      </c>
      <c r="W2100" s="34" t="e">
        <f>VLOOKUP(Allocation[[#This Row],[SAP Contract number]],Shipments[[SAP Contract number]:[AAA Premium USD]],24,FALSE)</f>
        <v>#N/A</v>
      </c>
      <c r="X2100" s="34" t="e">
        <f>VLOOKUP(Allocation[[#This Row],[SAP Contract number]],Shipments[[SAP Contract number]:[RA Premium USD]],25,FALSE)</f>
        <v>#N/A</v>
      </c>
      <c r="Y2100" s="38">
        <f>Allocation[[#This Row],[Quantity Processed]]/Allocation[[#This Row],[Quantity allocated]]</f>
        <v>2.7795918367346939</v>
      </c>
      <c r="Z2100" s="34" t="b">
        <f>Allocation[[#This Row],[Quantity allocated]]&lt;=Allocation[[#This Row],[Quantity Processed]]</f>
        <v>1</v>
      </c>
    </row>
    <row r="2101" spans="1:26">
      <c r="A2101" s="247" t="s">
        <v>467</v>
      </c>
      <c r="B2101" s="210" t="s">
        <v>68</v>
      </c>
      <c r="C2101" s="254" t="s">
        <v>1463</v>
      </c>
      <c r="D2101" s="255">
        <v>1192</v>
      </c>
      <c r="E2101" s="211" t="s">
        <v>1949</v>
      </c>
      <c r="F2101" s="212">
        <v>43647</v>
      </c>
      <c r="G2101" s="213">
        <v>3</v>
      </c>
      <c r="H2101" s="256">
        <v>429</v>
      </c>
      <c r="I2101" s="214">
        <v>1463086</v>
      </c>
      <c r="J2101" s="215">
        <v>21600</v>
      </c>
      <c r="K2101" s="212">
        <v>43654</v>
      </c>
      <c r="L2101" s="211" t="s">
        <v>1950</v>
      </c>
      <c r="M2101" s="216">
        <v>4615445946</v>
      </c>
      <c r="N2101" s="212"/>
      <c r="O2101" s="218"/>
      <c r="P2101" s="219"/>
      <c r="Q2101" s="34">
        <f>SUMIF(Allocation[Delivery ID],Allocation[[#This Row],[Delivery ID]],Allocation[Quantity Processed])</f>
        <v>3930</v>
      </c>
      <c r="R2101" s="61">
        <f>Allocation[[#This Row],[Total volume used]]/VLOOKUP(Allocation[[#This Row],[Delivery ID]],Delivery[[Delivery ID]:[Quantity delivered]],3,FALSE)</f>
        <v>0.44083006169377453</v>
      </c>
      <c r="S2101" s="34">
        <f>Allocation[[#This Row],[Quantity Processed]]/Allocation[[#This Row],[Dilution rate]]</f>
        <v>397.33333333333331</v>
      </c>
      <c r="T2101" s="59">
        <f>SUMIF(Allocation[Delivery ID],Allocation[[#This Row],[Delivery ID]],Allocation[Quantity allocated])/SUMIF(Allocation[Delivery ID],Allocation[[#This Row],[Delivery ID]],Allocation[Volume available (kg)])</f>
        <v>1.0614214245429592</v>
      </c>
      <c r="U2101" s="61">
        <f>Allocation[[#This Row],[Total volume used]]/VLOOKUP(Allocation[[#This Row],[Delivery ID]],Delivery[[Delivery ID]:[Quantity delivered]],3,FALSE)</f>
        <v>0.44083006169377453</v>
      </c>
      <c r="V2101" s="34" t="e">
        <f>VLOOKUP(Allocation[[#This Row],[SAP Contract number]],Shipments[[SAP Contract number]:[Contracted container weight]],2,FALSE)</f>
        <v>#N/A</v>
      </c>
      <c r="W2101" s="34" t="e">
        <f>VLOOKUP(Allocation[[#This Row],[SAP Contract number]],Shipments[[SAP Contract number]:[AAA Premium USD]],24,FALSE)</f>
        <v>#N/A</v>
      </c>
      <c r="X2101" s="34" t="e">
        <f>VLOOKUP(Allocation[[#This Row],[SAP Contract number]],Shipments[[SAP Contract number]:[RA Premium USD]],25,FALSE)</f>
        <v>#N/A</v>
      </c>
      <c r="Y2101" s="38">
        <f>Allocation[[#This Row],[Quantity Processed]]/Allocation[[#This Row],[Quantity allocated]]</f>
        <v>2.7785547785547786</v>
      </c>
      <c r="Z2101" s="34" t="b">
        <f>Allocation[[#This Row],[Quantity allocated]]&lt;=Allocation[[#This Row],[Quantity Processed]]</f>
        <v>1</v>
      </c>
    </row>
    <row r="2102" spans="1:26">
      <c r="A2102" s="247" t="s">
        <v>467</v>
      </c>
      <c r="B2102" s="210" t="s">
        <v>68</v>
      </c>
      <c r="C2102" s="254" t="s">
        <v>1549</v>
      </c>
      <c r="D2102" s="255">
        <v>27479</v>
      </c>
      <c r="E2102" s="211" t="s">
        <v>1949</v>
      </c>
      <c r="F2102" s="212">
        <v>43647</v>
      </c>
      <c r="G2102" s="213">
        <v>3</v>
      </c>
      <c r="H2102" s="256">
        <v>9068</v>
      </c>
      <c r="I2102" s="214">
        <v>1463086</v>
      </c>
      <c r="J2102" s="215">
        <v>21600</v>
      </c>
      <c r="K2102" s="212">
        <v>43654</v>
      </c>
      <c r="L2102" s="211" t="s">
        <v>1950</v>
      </c>
      <c r="M2102" s="216">
        <v>4615445946</v>
      </c>
      <c r="N2102" s="212"/>
      <c r="O2102" s="218"/>
      <c r="P2102" s="219"/>
      <c r="Q2102" s="34">
        <f>SUMIF(Allocation[Delivery ID],Allocation[[#This Row],[Delivery ID]],Allocation[Quantity Processed])</f>
        <v>701772</v>
      </c>
      <c r="R2102" s="61">
        <f>Allocation[[#This Row],[Total volume used]]/VLOOKUP(Allocation[[#This Row],[Delivery ID]],Delivery[[Delivery ID]:[Quantity delivered]],3,FALSE)</f>
        <v>0.98939090395137719</v>
      </c>
      <c r="S2102" s="34">
        <f>Allocation[[#This Row],[Quantity Processed]]/Allocation[[#This Row],[Dilution rate]]</f>
        <v>9159.6666666666661</v>
      </c>
      <c r="T2102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2102" s="61">
        <f>Allocation[[#This Row],[Total volume used]]/VLOOKUP(Allocation[[#This Row],[Delivery ID]],Delivery[[Delivery ID]:[Quantity delivered]],3,FALSE)</f>
        <v>0.98939090395137719</v>
      </c>
      <c r="V2102" s="34" t="e">
        <f>VLOOKUP(Allocation[[#This Row],[SAP Contract number]],Shipments[[SAP Contract number]:[Contracted container weight]],2,FALSE)</f>
        <v>#N/A</v>
      </c>
      <c r="W2102" s="34" t="e">
        <f>VLOOKUP(Allocation[[#This Row],[SAP Contract number]],Shipments[[SAP Contract number]:[AAA Premium USD]],24,FALSE)</f>
        <v>#N/A</v>
      </c>
      <c r="X2102" s="34" t="e">
        <f>VLOOKUP(Allocation[[#This Row],[SAP Contract number]],Shipments[[SAP Contract number]:[RA Premium USD]],25,FALSE)</f>
        <v>#N/A</v>
      </c>
      <c r="Y2102" s="38">
        <f>Allocation[[#This Row],[Quantity Processed]]/Allocation[[#This Row],[Quantity allocated]]</f>
        <v>3.0303264225849138</v>
      </c>
      <c r="Z2102" s="34" t="b">
        <f>Allocation[[#This Row],[Quantity allocated]]&lt;=Allocation[[#This Row],[Quantity Processed]]</f>
        <v>1</v>
      </c>
    </row>
    <row r="2103" spans="1:26">
      <c r="A2103" s="247" t="s">
        <v>467</v>
      </c>
      <c r="B2103" s="210" t="s">
        <v>68</v>
      </c>
      <c r="C2103" s="254" t="s">
        <v>1549</v>
      </c>
      <c r="D2103" s="255">
        <v>65454</v>
      </c>
      <c r="E2103" s="211" t="s">
        <v>1949</v>
      </c>
      <c r="F2103" s="212">
        <v>43647</v>
      </c>
      <c r="G2103" s="213">
        <v>3</v>
      </c>
      <c r="H2103" s="256">
        <v>21600</v>
      </c>
      <c r="I2103" s="214">
        <v>1463087</v>
      </c>
      <c r="J2103" s="215">
        <v>21600</v>
      </c>
      <c r="K2103" s="212">
        <v>43654</v>
      </c>
      <c r="L2103" s="211" t="s">
        <v>1951</v>
      </c>
      <c r="M2103" s="216">
        <v>4615445946</v>
      </c>
      <c r="N2103" s="212"/>
      <c r="O2103" s="218"/>
      <c r="P2103" s="219"/>
      <c r="Q2103" s="34">
        <f>SUMIF(Allocation[Delivery ID],Allocation[[#This Row],[Delivery ID]],Allocation[Quantity Processed])</f>
        <v>701772</v>
      </c>
      <c r="R2103" s="61">
        <f>Allocation[[#This Row],[Total volume used]]/VLOOKUP(Allocation[[#This Row],[Delivery ID]],Delivery[[Delivery ID]:[Quantity delivered]],3,FALSE)</f>
        <v>0.98939090395137719</v>
      </c>
      <c r="S2103" s="34">
        <f>Allocation[[#This Row],[Quantity Processed]]/Allocation[[#This Row],[Dilution rate]]</f>
        <v>21818</v>
      </c>
      <c r="T2103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2103" s="61">
        <f>Allocation[[#This Row],[Total volume used]]/VLOOKUP(Allocation[[#This Row],[Delivery ID]],Delivery[[Delivery ID]:[Quantity delivered]],3,FALSE)</f>
        <v>0.98939090395137719</v>
      </c>
      <c r="V2103" s="34" t="e">
        <f>VLOOKUP(Allocation[[#This Row],[SAP Contract number]],Shipments[[SAP Contract number]:[Contracted container weight]],2,FALSE)</f>
        <v>#N/A</v>
      </c>
      <c r="W2103" s="34" t="e">
        <f>VLOOKUP(Allocation[[#This Row],[SAP Contract number]],Shipments[[SAP Contract number]:[AAA Premium USD]],24,FALSE)</f>
        <v>#N/A</v>
      </c>
      <c r="X2103" s="34" t="e">
        <f>VLOOKUP(Allocation[[#This Row],[SAP Contract number]],Shipments[[SAP Contract number]:[RA Premium USD]],25,FALSE)</f>
        <v>#N/A</v>
      </c>
      <c r="Y2103" s="38">
        <f>Allocation[[#This Row],[Quantity Processed]]/Allocation[[#This Row],[Quantity allocated]]</f>
        <v>3.0302777777777776</v>
      </c>
      <c r="Z2103" s="34" t="b">
        <f>Allocation[[#This Row],[Quantity allocated]]&lt;=Allocation[[#This Row],[Quantity Processed]]</f>
        <v>1</v>
      </c>
    </row>
    <row r="2104" spans="1:26">
      <c r="A2104" s="247" t="s">
        <v>467</v>
      </c>
      <c r="B2104" s="210" t="s">
        <v>68</v>
      </c>
      <c r="C2104" s="254" t="s">
        <v>1549</v>
      </c>
      <c r="D2104" s="255">
        <v>65455</v>
      </c>
      <c r="E2104" s="211" t="s">
        <v>1949</v>
      </c>
      <c r="F2104" s="212">
        <v>43647</v>
      </c>
      <c r="G2104" s="213">
        <v>3</v>
      </c>
      <c r="H2104" s="256">
        <v>21600</v>
      </c>
      <c r="I2104" s="214">
        <v>1463088</v>
      </c>
      <c r="J2104" s="215">
        <v>21600</v>
      </c>
      <c r="K2104" s="212">
        <v>43654</v>
      </c>
      <c r="L2104" s="211" t="s">
        <v>1952</v>
      </c>
      <c r="M2104" s="216">
        <v>4615445946</v>
      </c>
      <c r="N2104" s="212"/>
      <c r="O2104" s="218"/>
      <c r="P2104" s="219"/>
      <c r="Q2104" s="34">
        <f>SUMIF(Allocation[Delivery ID],Allocation[[#This Row],[Delivery ID]],Allocation[Quantity Processed])</f>
        <v>701772</v>
      </c>
      <c r="R2104" s="61">
        <f>Allocation[[#This Row],[Total volume used]]/VLOOKUP(Allocation[[#This Row],[Delivery ID]],Delivery[[Delivery ID]:[Quantity delivered]],3,FALSE)</f>
        <v>0.98939090395137719</v>
      </c>
      <c r="S2104" s="34">
        <f>Allocation[[#This Row],[Quantity Processed]]/Allocation[[#This Row],[Dilution rate]]</f>
        <v>21818.333333333332</v>
      </c>
      <c r="T2104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2104" s="61">
        <f>Allocation[[#This Row],[Total volume used]]/VLOOKUP(Allocation[[#This Row],[Delivery ID]],Delivery[[Delivery ID]:[Quantity delivered]],3,FALSE)</f>
        <v>0.98939090395137719</v>
      </c>
      <c r="V2104" s="34" t="e">
        <f>VLOOKUP(Allocation[[#This Row],[SAP Contract number]],Shipments[[SAP Contract number]:[Contracted container weight]],2,FALSE)</f>
        <v>#N/A</v>
      </c>
      <c r="W2104" s="34" t="e">
        <f>VLOOKUP(Allocation[[#This Row],[SAP Contract number]],Shipments[[SAP Contract number]:[AAA Premium USD]],24,FALSE)</f>
        <v>#N/A</v>
      </c>
      <c r="X2104" s="34" t="e">
        <f>VLOOKUP(Allocation[[#This Row],[SAP Contract number]],Shipments[[SAP Contract number]:[RA Premium USD]],25,FALSE)</f>
        <v>#N/A</v>
      </c>
      <c r="Y2104" s="38">
        <f>Allocation[[#This Row],[Quantity Processed]]/Allocation[[#This Row],[Quantity allocated]]</f>
        <v>3.0303240740740742</v>
      </c>
      <c r="Z2104" s="34" t="b">
        <f>Allocation[[#This Row],[Quantity allocated]]&lt;=Allocation[[#This Row],[Quantity Processed]]</f>
        <v>1</v>
      </c>
    </row>
    <row r="2105" spans="1:26">
      <c r="A2105" s="247" t="s">
        <v>467</v>
      </c>
      <c r="B2105" s="210" t="s">
        <v>68</v>
      </c>
      <c r="C2105" s="254" t="s">
        <v>1549</v>
      </c>
      <c r="D2105" s="255">
        <v>12521</v>
      </c>
      <c r="E2105" s="211" t="s">
        <v>1949</v>
      </c>
      <c r="F2105" s="212">
        <v>43647</v>
      </c>
      <c r="G2105" s="213">
        <v>3</v>
      </c>
      <c r="H2105" s="256">
        <v>4132</v>
      </c>
      <c r="I2105" s="214">
        <v>1463089</v>
      </c>
      <c r="J2105" s="215">
        <v>21600</v>
      </c>
      <c r="K2105" s="212">
        <v>43654</v>
      </c>
      <c r="L2105" s="211" t="s">
        <v>1953</v>
      </c>
      <c r="M2105" s="216">
        <v>4615445946</v>
      </c>
      <c r="N2105" s="212"/>
      <c r="O2105" s="218"/>
      <c r="P2105" s="219"/>
      <c r="Q2105" s="34">
        <f>SUMIF(Allocation[Delivery ID],Allocation[[#This Row],[Delivery ID]],Allocation[Quantity Processed])</f>
        <v>701772</v>
      </c>
      <c r="R2105" s="61">
        <f>Allocation[[#This Row],[Total volume used]]/VLOOKUP(Allocation[[#This Row],[Delivery ID]],Delivery[[Delivery ID]:[Quantity delivered]],3,FALSE)</f>
        <v>0.98939090395137719</v>
      </c>
      <c r="S2105" s="34">
        <f>Allocation[[#This Row],[Quantity Processed]]/Allocation[[#This Row],[Dilution rate]]</f>
        <v>4173.666666666667</v>
      </c>
      <c r="T2105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2105" s="61">
        <f>Allocation[[#This Row],[Total volume used]]/VLOOKUP(Allocation[[#This Row],[Delivery ID]],Delivery[[Delivery ID]:[Quantity delivered]],3,FALSE)</f>
        <v>0.98939090395137719</v>
      </c>
      <c r="V2105" s="34" t="e">
        <f>VLOOKUP(Allocation[[#This Row],[SAP Contract number]],Shipments[[SAP Contract number]:[Contracted container weight]],2,FALSE)</f>
        <v>#N/A</v>
      </c>
      <c r="W2105" s="34" t="e">
        <f>VLOOKUP(Allocation[[#This Row],[SAP Contract number]],Shipments[[SAP Contract number]:[AAA Premium USD]],24,FALSE)</f>
        <v>#N/A</v>
      </c>
      <c r="X2105" s="34" t="e">
        <f>VLOOKUP(Allocation[[#This Row],[SAP Contract number]],Shipments[[SAP Contract number]:[RA Premium USD]],25,FALSE)</f>
        <v>#N/A</v>
      </c>
      <c r="Y2105" s="38">
        <f>Allocation[[#This Row],[Quantity Processed]]/Allocation[[#This Row],[Quantity allocated]]</f>
        <v>3.0302516940948694</v>
      </c>
      <c r="Z2105" s="34" t="b">
        <f>Allocation[[#This Row],[Quantity allocated]]&lt;=Allocation[[#This Row],[Quantity Processed]]</f>
        <v>1</v>
      </c>
    </row>
    <row r="2106" spans="1:26">
      <c r="A2106" s="247" t="s">
        <v>467</v>
      </c>
      <c r="B2106" s="210" t="s">
        <v>68</v>
      </c>
      <c r="C2106" s="254" t="s">
        <v>1551</v>
      </c>
      <c r="D2106" s="255">
        <v>52933</v>
      </c>
      <c r="E2106" s="211" t="s">
        <v>1949</v>
      </c>
      <c r="F2106" s="212">
        <v>43647</v>
      </c>
      <c r="G2106" s="213">
        <v>3</v>
      </c>
      <c r="H2106" s="256">
        <v>17468</v>
      </c>
      <c r="I2106" s="214">
        <v>1463089</v>
      </c>
      <c r="J2106" s="215">
        <v>21600</v>
      </c>
      <c r="K2106" s="212">
        <v>43654</v>
      </c>
      <c r="L2106" s="211" t="s">
        <v>1953</v>
      </c>
      <c r="M2106" s="216">
        <v>4615445946</v>
      </c>
      <c r="N2106" s="212"/>
      <c r="O2106" s="218"/>
      <c r="P2106" s="219"/>
      <c r="Q2106" s="34">
        <f>SUMIF(Allocation[Delivery ID],Allocation[[#This Row],[Delivery ID]],Allocation[Quantity Processed])</f>
        <v>330000</v>
      </c>
      <c r="R2106" s="61">
        <f>Allocation[[#This Row],[Total volume used]]/VLOOKUP(Allocation[[#This Row],[Delivery ID]],Delivery[[Delivery ID]:[Quantity delivered]],3,FALSE)</f>
        <v>1</v>
      </c>
      <c r="S2106" s="34">
        <f>Allocation[[#This Row],[Quantity Processed]]/Allocation[[#This Row],[Dilution rate]]</f>
        <v>17644.333333333332</v>
      </c>
      <c r="T2106" s="59">
        <f>SUMIF(Allocation[Delivery ID],Allocation[[#This Row],[Delivery ID]],Allocation[Quantity allocated])/SUMIF(Allocation[Delivery ID],Allocation[[#This Row],[Delivery ID]],Allocation[Volume available (kg)])</f>
        <v>0.98177301583052401</v>
      </c>
      <c r="U2106" s="61">
        <f>Allocation[[#This Row],[Total volume used]]/VLOOKUP(Allocation[[#This Row],[Delivery ID]],Delivery[[Delivery ID]:[Quantity delivered]],3,FALSE)</f>
        <v>1</v>
      </c>
      <c r="V2106" s="34" t="e">
        <f>VLOOKUP(Allocation[[#This Row],[SAP Contract number]],Shipments[[SAP Contract number]:[Contracted container weight]],2,FALSE)</f>
        <v>#N/A</v>
      </c>
      <c r="W2106" s="34" t="e">
        <f>VLOOKUP(Allocation[[#This Row],[SAP Contract number]],Shipments[[SAP Contract number]:[AAA Premium USD]],24,FALSE)</f>
        <v>#N/A</v>
      </c>
      <c r="X2106" s="34" t="e">
        <f>VLOOKUP(Allocation[[#This Row],[SAP Contract number]],Shipments[[SAP Contract number]:[RA Premium USD]],25,FALSE)</f>
        <v>#N/A</v>
      </c>
      <c r="Y2106" s="38">
        <f>Allocation[[#This Row],[Quantity Processed]]/Allocation[[#This Row],[Quantity allocated]]</f>
        <v>3.0302839477902452</v>
      </c>
      <c r="Z2106" s="34" t="b">
        <f>Allocation[[#This Row],[Quantity allocated]]&lt;=Allocation[[#This Row],[Quantity Processed]]</f>
        <v>1</v>
      </c>
    </row>
    <row r="2107" spans="1:26">
      <c r="A2107" s="247" t="s">
        <v>467</v>
      </c>
      <c r="B2107" s="210" t="s">
        <v>68</v>
      </c>
      <c r="C2107" s="254" t="s">
        <v>1551</v>
      </c>
      <c r="D2107" s="255">
        <v>65455</v>
      </c>
      <c r="E2107" s="211" t="s">
        <v>1949</v>
      </c>
      <c r="F2107" s="212">
        <v>43647</v>
      </c>
      <c r="G2107" s="213">
        <v>3</v>
      </c>
      <c r="H2107" s="256">
        <v>21600</v>
      </c>
      <c r="I2107" s="214">
        <v>1463090</v>
      </c>
      <c r="J2107" s="215">
        <v>21600</v>
      </c>
      <c r="K2107" s="212">
        <v>43654</v>
      </c>
      <c r="L2107" s="211" t="s">
        <v>1954</v>
      </c>
      <c r="M2107" s="216">
        <v>4615445946</v>
      </c>
      <c r="N2107" s="212"/>
      <c r="O2107" s="218"/>
      <c r="P2107" s="219"/>
      <c r="Q2107" s="34">
        <f>SUMIF(Allocation[Delivery ID],Allocation[[#This Row],[Delivery ID]],Allocation[Quantity Processed])</f>
        <v>330000</v>
      </c>
      <c r="R2107" s="61">
        <f>Allocation[[#This Row],[Total volume used]]/VLOOKUP(Allocation[[#This Row],[Delivery ID]],Delivery[[Delivery ID]:[Quantity delivered]],3,FALSE)</f>
        <v>1</v>
      </c>
      <c r="S2107" s="34">
        <f>Allocation[[#This Row],[Quantity Processed]]/Allocation[[#This Row],[Dilution rate]]</f>
        <v>21818.333333333332</v>
      </c>
      <c r="T2107" s="59">
        <f>SUMIF(Allocation[Delivery ID],Allocation[[#This Row],[Delivery ID]],Allocation[Quantity allocated])/SUMIF(Allocation[Delivery ID],Allocation[[#This Row],[Delivery ID]],Allocation[Volume available (kg)])</f>
        <v>0.98177301583052401</v>
      </c>
      <c r="U2107" s="61">
        <f>Allocation[[#This Row],[Total volume used]]/VLOOKUP(Allocation[[#This Row],[Delivery ID]],Delivery[[Delivery ID]:[Quantity delivered]],3,FALSE)</f>
        <v>1</v>
      </c>
      <c r="V2107" s="34" t="e">
        <f>VLOOKUP(Allocation[[#This Row],[SAP Contract number]],Shipments[[SAP Contract number]:[Contracted container weight]],2,FALSE)</f>
        <v>#N/A</v>
      </c>
      <c r="W2107" s="34" t="e">
        <f>VLOOKUP(Allocation[[#This Row],[SAP Contract number]],Shipments[[SAP Contract number]:[AAA Premium USD]],24,FALSE)</f>
        <v>#N/A</v>
      </c>
      <c r="X2107" s="34" t="e">
        <f>VLOOKUP(Allocation[[#This Row],[SAP Contract number]],Shipments[[SAP Contract number]:[RA Premium USD]],25,FALSE)</f>
        <v>#N/A</v>
      </c>
      <c r="Y2107" s="38">
        <f>Allocation[[#This Row],[Quantity Processed]]/Allocation[[#This Row],[Quantity allocated]]</f>
        <v>3.0303240740740742</v>
      </c>
      <c r="Z2107" s="34" t="b">
        <f>Allocation[[#This Row],[Quantity allocated]]&lt;=Allocation[[#This Row],[Quantity Processed]]</f>
        <v>1</v>
      </c>
    </row>
    <row r="2108" spans="1:26">
      <c r="A2108" s="247" t="s">
        <v>467</v>
      </c>
      <c r="B2108" s="210" t="s">
        <v>68</v>
      </c>
      <c r="C2108" s="254" t="s">
        <v>1551</v>
      </c>
      <c r="D2108" s="255">
        <v>65454</v>
      </c>
      <c r="E2108" s="211" t="s">
        <v>1949</v>
      </c>
      <c r="F2108" s="212">
        <v>43647</v>
      </c>
      <c r="G2108" s="213">
        <v>3</v>
      </c>
      <c r="H2108" s="256">
        <v>21600</v>
      </c>
      <c r="I2108" s="214">
        <v>1463091</v>
      </c>
      <c r="J2108" s="215">
        <v>21600</v>
      </c>
      <c r="K2108" s="212">
        <v>43654</v>
      </c>
      <c r="L2108" s="211" t="s">
        <v>1955</v>
      </c>
      <c r="M2108" s="216">
        <v>4615445946</v>
      </c>
      <c r="N2108" s="212"/>
      <c r="O2108" s="218"/>
      <c r="P2108" s="219"/>
      <c r="Q2108" s="34">
        <f>SUMIF(Allocation[Delivery ID],Allocation[[#This Row],[Delivery ID]],Allocation[Quantity Processed])</f>
        <v>330000</v>
      </c>
      <c r="R2108" s="61">
        <f>Allocation[[#This Row],[Total volume used]]/VLOOKUP(Allocation[[#This Row],[Delivery ID]],Delivery[[Delivery ID]:[Quantity delivered]],3,FALSE)</f>
        <v>1</v>
      </c>
      <c r="S2108" s="34">
        <f>Allocation[[#This Row],[Quantity Processed]]/Allocation[[#This Row],[Dilution rate]]</f>
        <v>21818</v>
      </c>
      <c r="T2108" s="59">
        <f>SUMIF(Allocation[Delivery ID],Allocation[[#This Row],[Delivery ID]],Allocation[Quantity allocated])/SUMIF(Allocation[Delivery ID],Allocation[[#This Row],[Delivery ID]],Allocation[Volume available (kg)])</f>
        <v>0.98177301583052401</v>
      </c>
      <c r="U2108" s="61">
        <f>Allocation[[#This Row],[Total volume used]]/VLOOKUP(Allocation[[#This Row],[Delivery ID]],Delivery[[Delivery ID]:[Quantity delivered]],3,FALSE)</f>
        <v>1</v>
      </c>
      <c r="V2108" s="34" t="e">
        <f>VLOOKUP(Allocation[[#This Row],[SAP Contract number]],Shipments[[SAP Contract number]:[Contracted container weight]],2,FALSE)</f>
        <v>#N/A</v>
      </c>
      <c r="W2108" s="34" t="e">
        <f>VLOOKUP(Allocation[[#This Row],[SAP Contract number]],Shipments[[SAP Contract number]:[AAA Premium USD]],24,FALSE)</f>
        <v>#N/A</v>
      </c>
      <c r="X2108" s="34" t="e">
        <f>VLOOKUP(Allocation[[#This Row],[SAP Contract number]],Shipments[[SAP Contract number]:[RA Premium USD]],25,FALSE)</f>
        <v>#N/A</v>
      </c>
      <c r="Y2108" s="38">
        <f>Allocation[[#This Row],[Quantity Processed]]/Allocation[[#This Row],[Quantity allocated]]</f>
        <v>3.0302777777777776</v>
      </c>
      <c r="Z2108" s="34" t="b">
        <f>Allocation[[#This Row],[Quantity allocated]]&lt;=Allocation[[#This Row],[Quantity Processed]]</f>
        <v>1</v>
      </c>
    </row>
    <row r="2109" spans="1:26">
      <c r="A2109" s="247" t="s">
        <v>467</v>
      </c>
      <c r="B2109" s="210" t="s">
        <v>68</v>
      </c>
      <c r="C2109" s="254" t="s">
        <v>1551</v>
      </c>
      <c r="D2109" s="255">
        <v>13867</v>
      </c>
      <c r="E2109" s="211" t="s">
        <v>1949</v>
      </c>
      <c r="F2109" s="212">
        <v>43647</v>
      </c>
      <c r="G2109" s="213">
        <v>3</v>
      </c>
      <c r="H2109" s="256">
        <v>4576</v>
      </c>
      <c r="I2109" s="214">
        <v>1463092</v>
      </c>
      <c r="J2109" s="215">
        <v>21600</v>
      </c>
      <c r="K2109" s="212">
        <v>43654</v>
      </c>
      <c r="L2109" s="211" t="s">
        <v>1956</v>
      </c>
      <c r="M2109" s="216">
        <v>4615445946</v>
      </c>
      <c r="N2109" s="212"/>
      <c r="O2109" s="218"/>
      <c r="P2109" s="219"/>
      <c r="Q2109" s="34">
        <f>SUMIF(Allocation[Delivery ID],Allocation[[#This Row],[Delivery ID]],Allocation[Quantity Processed])</f>
        <v>330000</v>
      </c>
      <c r="R2109" s="61">
        <f>Allocation[[#This Row],[Total volume used]]/VLOOKUP(Allocation[[#This Row],[Delivery ID]],Delivery[[Delivery ID]:[Quantity delivered]],3,FALSE)</f>
        <v>1</v>
      </c>
      <c r="S2109" s="34">
        <f>Allocation[[#This Row],[Quantity Processed]]/Allocation[[#This Row],[Dilution rate]]</f>
        <v>4622.333333333333</v>
      </c>
      <c r="T2109" s="59">
        <f>SUMIF(Allocation[Delivery ID],Allocation[[#This Row],[Delivery ID]],Allocation[Quantity allocated])/SUMIF(Allocation[Delivery ID],Allocation[[#This Row],[Delivery ID]],Allocation[Volume available (kg)])</f>
        <v>0.98177301583052401</v>
      </c>
      <c r="U2109" s="61">
        <f>Allocation[[#This Row],[Total volume used]]/VLOOKUP(Allocation[[#This Row],[Delivery ID]],Delivery[[Delivery ID]:[Quantity delivered]],3,FALSE)</f>
        <v>1</v>
      </c>
      <c r="V2109" s="34" t="e">
        <f>VLOOKUP(Allocation[[#This Row],[SAP Contract number]],Shipments[[SAP Contract number]:[Contracted container weight]],2,FALSE)</f>
        <v>#N/A</v>
      </c>
      <c r="W2109" s="34" t="e">
        <f>VLOOKUP(Allocation[[#This Row],[SAP Contract number]],Shipments[[SAP Contract number]:[AAA Premium USD]],24,FALSE)</f>
        <v>#N/A</v>
      </c>
      <c r="X2109" s="34" t="e">
        <f>VLOOKUP(Allocation[[#This Row],[SAP Contract number]],Shipments[[SAP Contract number]:[RA Premium USD]],25,FALSE)</f>
        <v>#N/A</v>
      </c>
      <c r="Y2109" s="38">
        <f>Allocation[[#This Row],[Quantity Processed]]/Allocation[[#This Row],[Quantity allocated]]</f>
        <v>3.0303758741258742</v>
      </c>
      <c r="Z2109" s="34" t="b">
        <f>Allocation[[#This Row],[Quantity allocated]]&lt;=Allocation[[#This Row],[Quantity Processed]]</f>
        <v>1</v>
      </c>
    </row>
    <row r="2110" spans="1:26">
      <c r="A2110" s="247" t="s">
        <v>467</v>
      </c>
      <c r="B2110" s="210" t="s">
        <v>68</v>
      </c>
      <c r="C2110" s="254" t="s">
        <v>1552</v>
      </c>
      <c r="D2110" s="255">
        <v>51588</v>
      </c>
      <c r="E2110" s="211" t="s">
        <v>1949</v>
      </c>
      <c r="F2110" s="212">
        <v>43647</v>
      </c>
      <c r="G2110" s="213">
        <v>3</v>
      </c>
      <c r="H2110" s="256">
        <v>17024</v>
      </c>
      <c r="I2110" s="214">
        <v>1463092</v>
      </c>
      <c r="J2110" s="215">
        <v>21600</v>
      </c>
      <c r="K2110" s="212">
        <v>43654</v>
      </c>
      <c r="L2110" s="211" t="s">
        <v>1956</v>
      </c>
      <c r="M2110" s="216">
        <v>4615445946</v>
      </c>
      <c r="N2110" s="212"/>
      <c r="O2110" s="218"/>
      <c r="P2110" s="219"/>
      <c r="Q2110" s="34">
        <f>SUMIF(Allocation[Delivery ID],Allocation[[#This Row],[Delivery ID]],Allocation[Quantity Processed])</f>
        <v>227273</v>
      </c>
      <c r="R2110" s="61">
        <f>Allocation[[#This Row],[Total volume used]]/VLOOKUP(Allocation[[#This Row],[Delivery ID]],Delivery[[Delivery ID]:[Quantity delivered]],3,FALSE)</f>
        <v>0.59636053529257416</v>
      </c>
      <c r="S2110" s="34">
        <f>Allocation[[#This Row],[Quantity Processed]]/Allocation[[#This Row],[Dilution rate]]</f>
        <v>17196</v>
      </c>
      <c r="T2110" s="59">
        <f>SUMIF(Allocation[Delivery ID],Allocation[[#This Row],[Delivery ID]],Allocation[Quantity allocated])/SUMIF(Allocation[Delivery ID],Allocation[[#This Row],[Delivery ID]],Allocation[Volume available (kg)])</f>
        <v>0.9899988120014257</v>
      </c>
      <c r="U2110" s="61">
        <f>Allocation[[#This Row],[Total volume used]]/VLOOKUP(Allocation[[#This Row],[Delivery ID]],Delivery[[Delivery ID]:[Quantity delivered]],3,FALSE)</f>
        <v>0.59636053529257416</v>
      </c>
      <c r="V2110" s="34" t="e">
        <f>VLOOKUP(Allocation[[#This Row],[SAP Contract number]],Shipments[[SAP Contract number]:[Contracted container weight]],2,FALSE)</f>
        <v>#N/A</v>
      </c>
      <c r="W2110" s="34" t="e">
        <f>VLOOKUP(Allocation[[#This Row],[SAP Contract number]],Shipments[[SAP Contract number]:[AAA Premium USD]],24,FALSE)</f>
        <v>#N/A</v>
      </c>
      <c r="X2110" s="34" t="e">
        <f>VLOOKUP(Allocation[[#This Row],[SAP Contract number]],Shipments[[SAP Contract number]:[RA Premium USD]],25,FALSE)</f>
        <v>#N/A</v>
      </c>
      <c r="Y2110" s="38">
        <f>Allocation[[#This Row],[Quantity Processed]]/Allocation[[#This Row],[Quantity allocated]]</f>
        <v>3.0303101503759398</v>
      </c>
      <c r="Z2110" s="34" t="b">
        <f>Allocation[[#This Row],[Quantity allocated]]&lt;=Allocation[[#This Row],[Quantity Processed]]</f>
        <v>1</v>
      </c>
    </row>
    <row r="2111" spans="1:26">
      <c r="A2111" s="247" t="s">
        <v>467</v>
      </c>
      <c r="B2111" s="210" t="s">
        <v>68</v>
      </c>
      <c r="C2111" s="254" t="s">
        <v>1552</v>
      </c>
      <c r="D2111" s="255">
        <v>65455</v>
      </c>
      <c r="E2111" s="211" t="s">
        <v>1949</v>
      </c>
      <c r="F2111" s="212">
        <v>43647</v>
      </c>
      <c r="G2111" s="213">
        <v>3</v>
      </c>
      <c r="H2111" s="256">
        <v>21600</v>
      </c>
      <c r="I2111" s="214">
        <v>1463093</v>
      </c>
      <c r="J2111" s="215">
        <v>21600</v>
      </c>
      <c r="K2111" s="212">
        <v>43654</v>
      </c>
      <c r="L2111" s="211" t="s">
        <v>1957</v>
      </c>
      <c r="M2111" s="216">
        <v>4615445946</v>
      </c>
      <c r="N2111" s="212"/>
      <c r="O2111" s="218"/>
      <c r="P2111" s="219"/>
      <c r="Q2111" s="34">
        <f>SUMIF(Allocation[Delivery ID],Allocation[[#This Row],[Delivery ID]],Allocation[Quantity Processed])</f>
        <v>227273</v>
      </c>
      <c r="R2111" s="61">
        <f>Allocation[[#This Row],[Total volume used]]/VLOOKUP(Allocation[[#This Row],[Delivery ID]],Delivery[[Delivery ID]:[Quantity delivered]],3,FALSE)</f>
        <v>0.59636053529257416</v>
      </c>
      <c r="S2111" s="34">
        <f>Allocation[[#This Row],[Quantity Processed]]/Allocation[[#This Row],[Dilution rate]]</f>
        <v>21818.333333333332</v>
      </c>
      <c r="T2111" s="59">
        <f>SUMIF(Allocation[Delivery ID],Allocation[[#This Row],[Delivery ID]],Allocation[Quantity allocated])/SUMIF(Allocation[Delivery ID],Allocation[[#This Row],[Delivery ID]],Allocation[Volume available (kg)])</f>
        <v>0.9899988120014257</v>
      </c>
      <c r="U2111" s="61">
        <f>Allocation[[#This Row],[Total volume used]]/VLOOKUP(Allocation[[#This Row],[Delivery ID]],Delivery[[Delivery ID]:[Quantity delivered]],3,FALSE)</f>
        <v>0.59636053529257416</v>
      </c>
      <c r="V2111" s="34" t="e">
        <f>VLOOKUP(Allocation[[#This Row],[SAP Contract number]],Shipments[[SAP Contract number]:[Contracted container weight]],2,FALSE)</f>
        <v>#N/A</v>
      </c>
      <c r="W2111" s="34" t="e">
        <f>VLOOKUP(Allocation[[#This Row],[SAP Contract number]],Shipments[[SAP Contract number]:[AAA Premium USD]],24,FALSE)</f>
        <v>#N/A</v>
      </c>
      <c r="X2111" s="34" t="e">
        <f>VLOOKUP(Allocation[[#This Row],[SAP Contract number]],Shipments[[SAP Contract number]:[RA Premium USD]],25,FALSE)</f>
        <v>#N/A</v>
      </c>
      <c r="Y2111" s="38">
        <f>Allocation[[#This Row],[Quantity Processed]]/Allocation[[#This Row],[Quantity allocated]]</f>
        <v>3.0303240740740742</v>
      </c>
      <c r="Z2111" s="34" t="b">
        <f>Allocation[[#This Row],[Quantity allocated]]&lt;=Allocation[[#This Row],[Quantity Processed]]</f>
        <v>1</v>
      </c>
    </row>
    <row r="2112" spans="1:26">
      <c r="A2112" s="247" t="s">
        <v>467</v>
      </c>
      <c r="B2112" s="210" t="s">
        <v>68</v>
      </c>
      <c r="C2112" s="254" t="s">
        <v>1552</v>
      </c>
      <c r="D2112" s="255">
        <v>65454</v>
      </c>
      <c r="E2112" s="211" t="s">
        <v>1949</v>
      </c>
      <c r="F2112" s="212">
        <v>43647</v>
      </c>
      <c r="G2112" s="213">
        <v>3</v>
      </c>
      <c r="H2112" s="256">
        <v>21600</v>
      </c>
      <c r="I2112" s="214">
        <v>1463094</v>
      </c>
      <c r="J2112" s="215">
        <v>21600</v>
      </c>
      <c r="K2112" s="212">
        <v>43654</v>
      </c>
      <c r="L2112" s="211" t="s">
        <v>1958</v>
      </c>
      <c r="M2112" s="216">
        <v>4615445946</v>
      </c>
      <c r="N2112" s="212"/>
      <c r="O2112" s="218"/>
      <c r="P2112" s="219"/>
      <c r="Q2112" s="34">
        <f>SUMIF(Allocation[Delivery ID],Allocation[[#This Row],[Delivery ID]],Allocation[Quantity Processed])</f>
        <v>227273</v>
      </c>
      <c r="R2112" s="61">
        <f>Allocation[[#This Row],[Total volume used]]/VLOOKUP(Allocation[[#This Row],[Delivery ID]],Delivery[[Delivery ID]:[Quantity delivered]],3,FALSE)</f>
        <v>0.59636053529257416</v>
      </c>
      <c r="S2112" s="34">
        <f>Allocation[[#This Row],[Quantity Processed]]/Allocation[[#This Row],[Dilution rate]]</f>
        <v>21818</v>
      </c>
      <c r="T2112" s="59">
        <f>SUMIF(Allocation[Delivery ID],Allocation[[#This Row],[Delivery ID]],Allocation[Quantity allocated])/SUMIF(Allocation[Delivery ID],Allocation[[#This Row],[Delivery ID]],Allocation[Volume available (kg)])</f>
        <v>0.9899988120014257</v>
      </c>
      <c r="U2112" s="61">
        <f>Allocation[[#This Row],[Total volume used]]/VLOOKUP(Allocation[[#This Row],[Delivery ID]],Delivery[[Delivery ID]:[Quantity delivered]],3,FALSE)</f>
        <v>0.59636053529257416</v>
      </c>
      <c r="V2112" s="34" t="e">
        <f>VLOOKUP(Allocation[[#This Row],[SAP Contract number]],Shipments[[SAP Contract number]:[Contracted container weight]],2,FALSE)</f>
        <v>#N/A</v>
      </c>
      <c r="W2112" s="34" t="e">
        <f>VLOOKUP(Allocation[[#This Row],[SAP Contract number]],Shipments[[SAP Contract number]:[AAA Premium USD]],24,FALSE)</f>
        <v>#N/A</v>
      </c>
      <c r="X2112" s="34" t="e">
        <f>VLOOKUP(Allocation[[#This Row],[SAP Contract number]],Shipments[[SAP Contract number]:[RA Premium USD]],25,FALSE)</f>
        <v>#N/A</v>
      </c>
      <c r="Y2112" s="38">
        <f>Allocation[[#This Row],[Quantity Processed]]/Allocation[[#This Row],[Quantity allocated]]</f>
        <v>3.0302777777777776</v>
      </c>
      <c r="Z2112" s="34" t="b">
        <f>Allocation[[#This Row],[Quantity allocated]]&lt;=Allocation[[#This Row],[Quantity Processed]]</f>
        <v>1</v>
      </c>
    </row>
    <row r="2113" spans="1:26">
      <c r="A2113" s="247" t="s">
        <v>467</v>
      </c>
      <c r="B2113" s="210" t="s">
        <v>68</v>
      </c>
      <c r="C2113" s="254" t="s">
        <v>1552</v>
      </c>
      <c r="D2113" s="255">
        <v>44776</v>
      </c>
      <c r="E2113" s="211" t="s">
        <v>1949</v>
      </c>
      <c r="F2113" s="212">
        <v>43647</v>
      </c>
      <c r="G2113" s="213">
        <v>3</v>
      </c>
      <c r="H2113" s="256">
        <v>14776</v>
      </c>
      <c r="I2113" s="214">
        <v>1463095</v>
      </c>
      <c r="J2113" s="215">
        <v>21600</v>
      </c>
      <c r="K2113" s="212">
        <v>43654</v>
      </c>
      <c r="L2113" s="211" t="s">
        <v>1959</v>
      </c>
      <c r="M2113" s="216">
        <v>4615445946</v>
      </c>
      <c r="N2113" s="212"/>
      <c r="O2113" s="218"/>
      <c r="P2113" s="219"/>
      <c r="Q2113" s="34">
        <f>SUMIF(Allocation[Delivery ID],Allocation[[#This Row],[Delivery ID]],Allocation[Quantity Processed])</f>
        <v>227273</v>
      </c>
      <c r="R2113" s="61">
        <f>Allocation[[#This Row],[Total volume used]]/VLOOKUP(Allocation[[#This Row],[Delivery ID]],Delivery[[Delivery ID]:[Quantity delivered]],3,FALSE)</f>
        <v>0.59636053529257416</v>
      </c>
      <c r="S2113" s="34">
        <f>Allocation[[#This Row],[Quantity Processed]]/Allocation[[#This Row],[Dilution rate]]</f>
        <v>14925.333333333334</v>
      </c>
      <c r="T2113" s="59">
        <f>SUMIF(Allocation[Delivery ID],Allocation[[#This Row],[Delivery ID]],Allocation[Quantity allocated])/SUMIF(Allocation[Delivery ID],Allocation[[#This Row],[Delivery ID]],Allocation[Volume available (kg)])</f>
        <v>0.9899988120014257</v>
      </c>
      <c r="U2113" s="61">
        <f>Allocation[[#This Row],[Total volume used]]/VLOOKUP(Allocation[[#This Row],[Delivery ID]],Delivery[[Delivery ID]:[Quantity delivered]],3,FALSE)</f>
        <v>0.59636053529257416</v>
      </c>
      <c r="V2113" s="34" t="e">
        <f>VLOOKUP(Allocation[[#This Row],[SAP Contract number]],Shipments[[SAP Contract number]:[Contracted container weight]],2,FALSE)</f>
        <v>#N/A</v>
      </c>
      <c r="W2113" s="34" t="e">
        <f>VLOOKUP(Allocation[[#This Row],[SAP Contract number]],Shipments[[SAP Contract number]:[AAA Premium USD]],24,FALSE)</f>
        <v>#N/A</v>
      </c>
      <c r="X2113" s="34" t="e">
        <f>VLOOKUP(Allocation[[#This Row],[SAP Contract number]],Shipments[[SAP Contract number]:[RA Premium USD]],25,FALSE)</f>
        <v>#N/A</v>
      </c>
      <c r="Y2113" s="38">
        <f>Allocation[[#This Row],[Quantity Processed]]/Allocation[[#This Row],[Quantity allocated]]</f>
        <v>3.030319436924743</v>
      </c>
      <c r="Z2113" s="34" t="b">
        <f>Allocation[[#This Row],[Quantity allocated]]&lt;=Allocation[[#This Row],[Quantity Processed]]</f>
        <v>1</v>
      </c>
    </row>
    <row r="2114" spans="1:26">
      <c r="A2114" s="247" t="s">
        <v>467</v>
      </c>
      <c r="B2114" s="210" t="s">
        <v>68</v>
      </c>
      <c r="C2114" s="254" t="s">
        <v>1573</v>
      </c>
      <c r="D2114" s="255">
        <v>3965</v>
      </c>
      <c r="E2114" s="211" t="s">
        <v>1949</v>
      </c>
      <c r="F2114" s="212">
        <v>43647</v>
      </c>
      <c r="G2114" s="213">
        <v>3</v>
      </c>
      <c r="H2114" s="256">
        <v>1467</v>
      </c>
      <c r="I2114" s="214">
        <v>1463095</v>
      </c>
      <c r="J2114" s="215">
        <v>21600</v>
      </c>
      <c r="K2114" s="212">
        <v>43654</v>
      </c>
      <c r="L2114" s="211" t="s">
        <v>1959</v>
      </c>
      <c r="M2114" s="216">
        <v>4615445946</v>
      </c>
      <c r="N2114" s="212"/>
      <c r="O2114" s="218"/>
      <c r="P2114" s="219"/>
      <c r="Q2114" s="34">
        <f>SUMIF(Allocation[Delivery ID],Allocation[[#This Row],[Delivery ID]],Allocation[Quantity Processed])</f>
        <v>13087</v>
      </c>
      <c r="R2114" s="61">
        <f>Allocation[[#This Row],[Total volume used]]/VLOOKUP(Allocation[[#This Row],[Delivery ID]],Delivery[[Delivery ID]:[Quantity delivered]],3,FALSE)</f>
        <v>0.42767973856209152</v>
      </c>
      <c r="S2114" s="34">
        <f>Allocation[[#This Row],[Quantity Processed]]/Allocation[[#This Row],[Dilution rate]]</f>
        <v>1321.6666666666667</v>
      </c>
      <c r="T2114" s="59">
        <f>SUMIF(Allocation[Delivery ID],Allocation[[#This Row],[Delivery ID]],Allocation[Quantity allocated])/SUMIF(Allocation[Delivery ID],Allocation[[#This Row],[Delivery ID]],Allocation[Volume available (kg)])</f>
        <v>1.0906960514135715</v>
      </c>
      <c r="U2114" s="61">
        <f>Allocation[[#This Row],[Total volume used]]/VLOOKUP(Allocation[[#This Row],[Delivery ID]],Delivery[[Delivery ID]:[Quantity delivered]],3,FALSE)</f>
        <v>0.42767973856209152</v>
      </c>
      <c r="V2114" s="34" t="e">
        <f>VLOOKUP(Allocation[[#This Row],[SAP Contract number]],Shipments[[SAP Contract number]:[Contracted container weight]],2,FALSE)</f>
        <v>#N/A</v>
      </c>
      <c r="W2114" s="34" t="e">
        <f>VLOOKUP(Allocation[[#This Row],[SAP Contract number]],Shipments[[SAP Contract number]:[AAA Premium USD]],24,FALSE)</f>
        <v>#N/A</v>
      </c>
      <c r="X2114" s="34" t="e">
        <f>VLOOKUP(Allocation[[#This Row],[SAP Contract number]],Shipments[[SAP Contract number]:[RA Premium USD]],25,FALSE)</f>
        <v>#N/A</v>
      </c>
      <c r="Y2114" s="38">
        <f>Allocation[[#This Row],[Quantity Processed]]/Allocation[[#This Row],[Quantity allocated]]</f>
        <v>2.7027948193592364</v>
      </c>
      <c r="Z2114" s="34" t="b">
        <f>Allocation[[#This Row],[Quantity allocated]]&lt;=Allocation[[#This Row],[Quantity Processed]]</f>
        <v>1</v>
      </c>
    </row>
    <row r="2115" spans="1:26">
      <c r="A2115" s="247" t="s">
        <v>467</v>
      </c>
      <c r="B2115" s="210" t="s">
        <v>68</v>
      </c>
      <c r="C2115" s="254" t="s">
        <v>1588</v>
      </c>
      <c r="D2115" s="255">
        <v>2332</v>
      </c>
      <c r="E2115" s="211" t="s">
        <v>1949</v>
      </c>
      <c r="F2115" s="212">
        <v>43647</v>
      </c>
      <c r="G2115" s="213">
        <v>3</v>
      </c>
      <c r="H2115" s="256">
        <v>863</v>
      </c>
      <c r="I2115" s="214">
        <v>1463095</v>
      </c>
      <c r="J2115" s="215">
        <v>21600</v>
      </c>
      <c r="K2115" s="212">
        <v>43654</v>
      </c>
      <c r="L2115" s="211" t="s">
        <v>1959</v>
      </c>
      <c r="M2115" s="216">
        <v>4615445946</v>
      </c>
      <c r="N2115" s="212"/>
      <c r="O2115" s="218"/>
      <c r="P2115" s="219"/>
      <c r="Q2115" s="34">
        <f>SUMIF(Allocation[Delivery ID],Allocation[[#This Row],[Delivery ID]],Allocation[Quantity Processed])</f>
        <v>7695</v>
      </c>
      <c r="R2115" s="61">
        <f>Allocation[[#This Row],[Total volume used]]/VLOOKUP(Allocation[[#This Row],[Delivery ID]],Delivery[[Delivery ID]:[Quantity delivered]],3,FALSE)</f>
        <v>0.42731008440693025</v>
      </c>
      <c r="S2115" s="34">
        <f>Allocation[[#This Row],[Quantity Processed]]/Allocation[[#This Row],[Dilution rate]]</f>
        <v>777.33333333333337</v>
      </c>
      <c r="T2115" s="59">
        <f>SUMIF(Allocation[Delivery ID],Allocation[[#This Row],[Delivery ID]],Allocation[Quantity allocated])/SUMIF(Allocation[Delivery ID],Allocation[[#This Row],[Delivery ID]],Allocation[Volume available (kg)])</f>
        <v>1.0906934796329115</v>
      </c>
      <c r="U2115" s="61">
        <f>Allocation[[#This Row],[Total volume used]]/VLOOKUP(Allocation[[#This Row],[Delivery ID]],Delivery[[Delivery ID]:[Quantity delivered]],3,FALSE)</f>
        <v>0.42731008440693025</v>
      </c>
      <c r="V2115" s="34" t="e">
        <f>VLOOKUP(Allocation[[#This Row],[SAP Contract number]],Shipments[[SAP Contract number]:[Contracted container weight]],2,FALSE)</f>
        <v>#N/A</v>
      </c>
      <c r="W2115" s="34" t="e">
        <f>VLOOKUP(Allocation[[#This Row],[SAP Contract number]],Shipments[[SAP Contract number]:[AAA Premium USD]],24,FALSE)</f>
        <v>#N/A</v>
      </c>
      <c r="X2115" s="34" t="e">
        <f>VLOOKUP(Allocation[[#This Row],[SAP Contract number]],Shipments[[SAP Contract number]:[RA Premium USD]],25,FALSE)</f>
        <v>#N/A</v>
      </c>
      <c r="Y2115" s="38">
        <f>Allocation[[#This Row],[Quantity Processed]]/Allocation[[#This Row],[Quantity allocated]]</f>
        <v>2.7022016222479723</v>
      </c>
      <c r="Z2115" s="34" t="b">
        <f>Allocation[[#This Row],[Quantity allocated]]&lt;=Allocation[[#This Row],[Quantity Processed]]</f>
        <v>1</v>
      </c>
    </row>
    <row r="2116" spans="1:26">
      <c r="A2116" s="247" t="s">
        <v>467</v>
      </c>
      <c r="B2116" s="210" t="s">
        <v>68</v>
      </c>
      <c r="C2116" s="254" t="s">
        <v>1591</v>
      </c>
      <c r="D2116" s="255">
        <v>3959</v>
      </c>
      <c r="E2116" s="211" t="s">
        <v>1949</v>
      </c>
      <c r="F2116" s="212">
        <v>43647</v>
      </c>
      <c r="G2116" s="213">
        <v>3</v>
      </c>
      <c r="H2116" s="256">
        <v>1465</v>
      </c>
      <c r="I2116" s="214">
        <v>1463095</v>
      </c>
      <c r="J2116" s="215">
        <v>21600</v>
      </c>
      <c r="K2116" s="212">
        <v>43654</v>
      </c>
      <c r="L2116" s="211" t="s">
        <v>1959</v>
      </c>
      <c r="M2116" s="216">
        <v>4615445946</v>
      </c>
      <c r="N2116" s="212"/>
      <c r="O2116" s="218"/>
      <c r="P2116" s="219"/>
      <c r="Q2116" s="34">
        <f>SUMIF(Allocation[Delivery ID],Allocation[[#This Row],[Delivery ID]],Allocation[Quantity Processed])</f>
        <v>13064</v>
      </c>
      <c r="R2116" s="61">
        <f>Allocation[[#This Row],[Total volume used]]/VLOOKUP(Allocation[[#This Row],[Delivery ID]],Delivery[[Delivery ID]:[Quantity delivered]],3,FALSE)</f>
        <v>0.42803315749811605</v>
      </c>
      <c r="S2116" s="34">
        <f>Allocation[[#This Row],[Quantity Processed]]/Allocation[[#This Row],[Dilution rate]]</f>
        <v>1319.6666666666667</v>
      </c>
      <c r="T2116" s="59">
        <f>SUMIF(Allocation[Delivery ID],Allocation[[#This Row],[Delivery ID]],Allocation[Quantity allocated])/SUMIF(Allocation[Delivery ID],Allocation[[#This Row],[Delivery ID]],Allocation[Volume available (kg)])</f>
        <v>1.0908166836619564</v>
      </c>
      <c r="U2116" s="61">
        <f>Allocation[[#This Row],[Total volume used]]/VLOOKUP(Allocation[[#This Row],[Delivery ID]],Delivery[[Delivery ID]:[Quantity delivered]],3,FALSE)</f>
        <v>0.42803315749811605</v>
      </c>
      <c r="V2116" s="34" t="e">
        <f>VLOOKUP(Allocation[[#This Row],[SAP Contract number]],Shipments[[SAP Contract number]:[Contracted container weight]],2,FALSE)</f>
        <v>#N/A</v>
      </c>
      <c r="W2116" s="34" t="e">
        <f>VLOOKUP(Allocation[[#This Row],[SAP Contract number]],Shipments[[SAP Contract number]:[AAA Premium USD]],24,FALSE)</f>
        <v>#N/A</v>
      </c>
      <c r="X2116" s="34" t="e">
        <f>VLOOKUP(Allocation[[#This Row],[SAP Contract number]],Shipments[[SAP Contract number]:[RA Premium USD]],25,FALSE)</f>
        <v>#N/A</v>
      </c>
      <c r="Y2116" s="38">
        <f>Allocation[[#This Row],[Quantity Processed]]/Allocation[[#This Row],[Quantity allocated]]</f>
        <v>2.7023890784982934</v>
      </c>
      <c r="Z2116" s="34" t="b">
        <f>Allocation[[#This Row],[Quantity allocated]]&lt;=Allocation[[#This Row],[Quantity Processed]]</f>
        <v>1</v>
      </c>
    </row>
    <row r="2117" spans="1:26">
      <c r="A2117" s="247" t="s">
        <v>467</v>
      </c>
      <c r="B2117" s="210" t="s">
        <v>68</v>
      </c>
      <c r="C2117" s="254" t="s">
        <v>1593</v>
      </c>
      <c r="D2117" s="255">
        <v>3997</v>
      </c>
      <c r="E2117" s="211" t="s">
        <v>1949</v>
      </c>
      <c r="F2117" s="212">
        <v>43647</v>
      </c>
      <c r="G2117" s="213">
        <v>3</v>
      </c>
      <c r="H2117" s="256">
        <v>1479</v>
      </c>
      <c r="I2117" s="214">
        <v>1463095</v>
      </c>
      <c r="J2117" s="215">
        <v>21600</v>
      </c>
      <c r="K2117" s="212">
        <v>43654</v>
      </c>
      <c r="L2117" s="211" t="s">
        <v>1959</v>
      </c>
      <c r="M2117" s="216">
        <v>4615445946</v>
      </c>
      <c r="N2117" s="212"/>
      <c r="O2117" s="218"/>
      <c r="P2117" s="219"/>
      <c r="Q2117" s="34">
        <f>SUMIF(Allocation[Delivery ID],Allocation[[#This Row],[Delivery ID]],Allocation[Quantity Processed])</f>
        <v>13114</v>
      </c>
      <c r="R2117" s="61">
        <f>Allocation[[#This Row],[Total volume used]]/VLOOKUP(Allocation[[#This Row],[Delivery ID]],Delivery[[Delivery ID]:[Quantity delivered]],3,FALSE)</f>
        <v>0.424951393389501</v>
      </c>
      <c r="S2117" s="34">
        <f>Allocation[[#This Row],[Quantity Processed]]/Allocation[[#This Row],[Dilution rate]]</f>
        <v>1332.3333333333333</v>
      </c>
      <c r="T2117" s="59">
        <f>SUMIF(Allocation[Delivery ID],Allocation[[#This Row],[Delivery ID]],Allocation[Quantity allocated])/SUMIF(Allocation[Delivery ID],Allocation[[#This Row],[Delivery ID]],Allocation[Volume available (kg)])</f>
        <v>1.0906883735665476</v>
      </c>
      <c r="U2117" s="61">
        <f>Allocation[[#This Row],[Total volume used]]/VLOOKUP(Allocation[[#This Row],[Delivery ID]],Delivery[[Delivery ID]:[Quantity delivered]],3,FALSE)</f>
        <v>0.424951393389501</v>
      </c>
      <c r="V2117" s="34" t="e">
        <f>VLOOKUP(Allocation[[#This Row],[SAP Contract number]],Shipments[[SAP Contract number]:[Contracted container weight]],2,FALSE)</f>
        <v>#N/A</v>
      </c>
      <c r="W2117" s="34" t="e">
        <f>VLOOKUP(Allocation[[#This Row],[SAP Contract number]],Shipments[[SAP Contract number]:[AAA Premium USD]],24,FALSE)</f>
        <v>#N/A</v>
      </c>
      <c r="X2117" s="34" t="e">
        <f>VLOOKUP(Allocation[[#This Row],[SAP Contract number]],Shipments[[SAP Contract number]:[RA Premium USD]],25,FALSE)</f>
        <v>#N/A</v>
      </c>
      <c r="Y2117" s="38">
        <f>Allocation[[#This Row],[Quantity Processed]]/Allocation[[#This Row],[Quantity allocated]]</f>
        <v>2.7025016903313048</v>
      </c>
      <c r="Z2117" s="34" t="b">
        <f>Allocation[[#This Row],[Quantity allocated]]&lt;=Allocation[[#This Row],[Quantity Processed]]</f>
        <v>1</v>
      </c>
    </row>
    <row r="2118" spans="1:26">
      <c r="A2118" s="247" t="s">
        <v>467</v>
      </c>
      <c r="B2118" s="210" t="s">
        <v>68</v>
      </c>
      <c r="C2118" s="254" t="s">
        <v>1062</v>
      </c>
      <c r="D2118" s="255">
        <v>258</v>
      </c>
      <c r="E2118" s="211" t="s">
        <v>1949</v>
      </c>
      <c r="F2118" s="212">
        <v>43647</v>
      </c>
      <c r="G2118" s="213">
        <v>3</v>
      </c>
      <c r="H2118" s="256">
        <v>116</v>
      </c>
      <c r="I2118" s="214">
        <v>1463095</v>
      </c>
      <c r="J2118" s="215">
        <v>21600</v>
      </c>
      <c r="K2118" s="212">
        <v>43654</v>
      </c>
      <c r="L2118" s="211" t="s">
        <v>1959</v>
      </c>
      <c r="M2118" s="216">
        <v>4615445946</v>
      </c>
      <c r="N2118" s="212"/>
      <c r="O2118" s="218"/>
      <c r="P2118" s="219"/>
      <c r="Q2118" s="34">
        <f>SUMIF(Allocation[Delivery ID],Allocation[[#This Row],[Delivery ID]],Allocation[Quantity Processed])</f>
        <v>17572</v>
      </c>
      <c r="R2118" s="61">
        <f>Allocation[[#This Row],[Total volume used]]/VLOOKUP(Allocation[[#This Row],[Delivery ID]],Delivery[[Delivery ID]:[Quantity delivered]],3,FALSE)</f>
        <v>0.78097777777777777</v>
      </c>
      <c r="S2118" s="34">
        <f>Allocation[[#This Row],[Quantity Processed]]/Allocation[[#This Row],[Dilution rate]]</f>
        <v>86</v>
      </c>
      <c r="T2118" s="59">
        <f>SUMIF(Allocation[Delivery ID],Allocation[[#This Row],[Delivery ID]],Allocation[Quantity allocated])/SUMIF(Allocation[Delivery ID],Allocation[[#This Row],[Delivery ID]],Allocation[Volume available (kg)])</f>
        <v>1.3108909975420102</v>
      </c>
      <c r="U2118" s="61">
        <f>Allocation[[#This Row],[Total volume used]]/VLOOKUP(Allocation[[#This Row],[Delivery ID]],Delivery[[Delivery ID]:[Quantity delivered]],3,FALSE)</f>
        <v>0.78097777777777777</v>
      </c>
      <c r="V2118" s="34" t="e">
        <f>VLOOKUP(Allocation[[#This Row],[SAP Contract number]],Shipments[[SAP Contract number]:[Contracted container weight]],2,FALSE)</f>
        <v>#N/A</v>
      </c>
      <c r="W2118" s="34" t="e">
        <f>VLOOKUP(Allocation[[#This Row],[SAP Contract number]],Shipments[[SAP Contract number]:[AAA Premium USD]],24,FALSE)</f>
        <v>#N/A</v>
      </c>
      <c r="X2118" s="34" t="e">
        <f>VLOOKUP(Allocation[[#This Row],[SAP Contract number]],Shipments[[SAP Contract number]:[RA Premium USD]],25,FALSE)</f>
        <v>#N/A</v>
      </c>
      <c r="Y2118" s="38">
        <f>Allocation[[#This Row],[Quantity Processed]]/Allocation[[#This Row],[Quantity allocated]]</f>
        <v>2.2241379310344827</v>
      </c>
      <c r="Z2118" s="34" t="b">
        <f>Allocation[[#This Row],[Quantity allocated]]&lt;=Allocation[[#This Row],[Quantity Processed]]</f>
        <v>1</v>
      </c>
    </row>
    <row r="2119" spans="1:26">
      <c r="A2119" s="247" t="s">
        <v>467</v>
      </c>
      <c r="B2119" s="210" t="s">
        <v>68</v>
      </c>
      <c r="C2119" s="254" t="s">
        <v>1298</v>
      </c>
      <c r="D2119" s="255">
        <v>358</v>
      </c>
      <c r="E2119" s="211" t="s">
        <v>1949</v>
      </c>
      <c r="F2119" s="212">
        <v>43647</v>
      </c>
      <c r="G2119" s="213">
        <v>3</v>
      </c>
      <c r="H2119" s="256">
        <v>118</v>
      </c>
      <c r="I2119" s="214">
        <v>1463095</v>
      </c>
      <c r="J2119" s="215">
        <v>21600</v>
      </c>
      <c r="K2119" s="212">
        <v>43654</v>
      </c>
      <c r="L2119" s="211" t="s">
        <v>1959</v>
      </c>
      <c r="M2119" s="216">
        <v>4615445946</v>
      </c>
      <c r="N2119" s="212"/>
      <c r="O2119" s="218"/>
      <c r="P2119" s="219"/>
      <c r="Q2119" s="34">
        <f>SUMIF(Allocation[Delivery ID],Allocation[[#This Row],[Delivery ID]],Allocation[Quantity Processed])</f>
        <v>37820</v>
      </c>
      <c r="R2119" s="61">
        <f>Allocation[[#This Row],[Total volume used]]/VLOOKUP(Allocation[[#This Row],[Delivery ID]],Delivery[[Delivery ID]:[Quantity delivered]],3,FALSE)</f>
        <v>1</v>
      </c>
      <c r="S2119" s="34">
        <f>Allocation[[#This Row],[Quantity Processed]]/Allocation[[#This Row],[Dilution rate]]</f>
        <v>119.33333333333333</v>
      </c>
      <c r="T2119" s="59">
        <f>SUMIF(Allocation[Delivery ID],Allocation[[#This Row],[Delivery ID]],Allocation[Quantity allocated])/SUMIF(Allocation[Delivery ID],Allocation[[#This Row],[Delivery ID]],Allocation[Volume available (kg)])</f>
        <v>0.95932702192301111</v>
      </c>
      <c r="U2119" s="61">
        <f>Allocation[[#This Row],[Total volume used]]/VLOOKUP(Allocation[[#This Row],[Delivery ID]],Delivery[[Delivery ID]:[Quantity delivered]],3,FALSE)</f>
        <v>1</v>
      </c>
      <c r="V2119" s="34" t="e">
        <f>VLOOKUP(Allocation[[#This Row],[SAP Contract number]],Shipments[[SAP Contract number]:[Contracted container weight]],2,FALSE)</f>
        <v>#N/A</v>
      </c>
      <c r="W2119" s="34" t="e">
        <f>VLOOKUP(Allocation[[#This Row],[SAP Contract number]],Shipments[[SAP Contract number]:[AAA Premium USD]],24,FALSE)</f>
        <v>#N/A</v>
      </c>
      <c r="X2119" s="34" t="e">
        <f>VLOOKUP(Allocation[[#This Row],[SAP Contract number]],Shipments[[SAP Contract number]:[RA Premium USD]],25,FALSE)</f>
        <v>#N/A</v>
      </c>
      <c r="Y2119" s="38">
        <f>Allocation[[#This Row],[Quantity Processed]]/Allocation[[#This Row],[Quantity allocated]]</f>
        <v>3.0338983050847457</v>
      </c>
      <c r="Z2119" s="34" t="b">
        <f>Allocation[[#This Row],[Quantity allocated]]&lt;=Allocation[[#This Row],[Quantity Processed]]</f>
        <v>1</v>
      </c>
    </row>
    <row r="2120" spans="1:26">
      <c r="A2120" s="247" t="s">
        <v>467</v>
      </c>
      <c r="B2120" s="210" t="s">
        <v>68</v>
      </c>
      <c r="C2120" s="254" t="s">
        <v>1299</v>
      </c>
      <c r="D2120" s="255">
        <v>282</v>
      </c>
      <c r="E2120" s="211" t="s">
        <v>1949</v>
      </c>
      <c r="F2120" s="212">
        <v>43647</v>
      </c>
      <c r="G2120" s="213">
        <v>3</v>
      </c>
      <c r="H2120" s="256">
        <v>93</v>
      </c>
      <c r="I2120" s="214">
        <v>1463095</v>
      </c>
      <c r="J2120" s="215">
        <v>21600</v>
      </c>
      <c r="K2120" s="212">
        <v>43654</v>
      </c>
      <c r="L2120" s="211" t="s">
        <v>1959</v>
      </c>
      <c r="M2120" s="216">
        <v>4615445946</v>
      </c>
      <c r="N2120" s="212"/>
      <c r="O2120" s="218"/>
      <c r="P2120" s="219"/>
      <c r="Q2120" s="34">
        <f>SUMIF(Allocation[Delivery ID],Allocation[[#This Row],[Delivery ID]],Allocation[Quantity Processed])</f>
        <v>29953</v>
      </c>
      <c r="R2120" s="61">
        <f>Allocation[[#This Row],[Total volume used]]/VLOOKUP(Allocation[[#This Row],[Delivery ID]],Delivery[[Delivery ID]:[Quantity delivered]],3,FALSE)</f>
        <v>1</v>
      </c>
      <c r="S2120" s="34">
        <f>Allocation[[#This Row],[Quantity Processed]]/Allocation[[#This Row],[Dilution rate]]</f>
        <v>94</v>
      </c>
      <c r="T2120" s="59">
        <f>SUMIF(Allocation[Delivery ID],Allocation[[#This Row],[Delivery ID]],Allocation[Quantity allocated])/SUMIF(Allocation[Delivery ID],Allocation[[#This Row],[Delivery ID]],Allocation[Volume available (kg)])</f>
        <v>0.94412108025696206</v>
      </c>
      <c r="U2120" s="61">
        <f>Allocation[[#This Row],[Total volume used]]/VLOOKUP(Allocation[[#This Row],[Delivery ID]],Delivery[[Delivery ID]:[Quantity delivered]],3,FALSE)</f>
        <v>1</v>
      </c>
      <c r="V2120" s="34" t="e">
        <f>VLOOKUP(Allocation[[#This Row],[SAP Contract number]],Shipments[[SAP Contract number]:[Contracted container weight]],2,FALSE)</f>
        <v>#N/A</v>
      </c>
      <c r="W2120" s="34" t="e">
        <f>VLOOKUP(Allocation[[#This Row],[SAP Contract number]],Shipments[[SAP Contract number]:[AAA Premium USD]],24,FALSE)</f>
        <v>#N/A</v>
      </c>
      <c r="X2120" s="34" t="e">
        <f>VLOOKUP(Allocation[[#This Row],[SAP Contract number]],Shipments[[SAP Contract number]:[RA Premium USD]],25,FALSE)</f>
        <v>#N/A</v>
      </c>
      <c r="Y2120" s="38">
        <f>Allocation[[#This Row],[Quantity Processed]]/Allocation[[#This Row],[Quantity allocated]]</f>
        <v>3.032258064516129</v>
      </c>
      <c r="Z2120" s="34" t="b">
        <f>Allocation[[#This Row],[Quantity allocated]]&lt;=Allocation[[#This Row],[Quantity Processed]]</f>
        <v>1</v>
      </c>
    </row>
    <row r="2121" spans="1:26">
      <c r="A2121" s="247" t="s">
        <v>467</v>
      </c>
      <c r="B2121" s="210" t="s">
        <v>68</v>
      </c>
      <c r="C2121" s="254" t="s">
        <v>1300</v>
      </c>
      <c r="D2121" s="255">
        <v>79</v>
      </c>
      <c r="E2121" s="211" t="s">
        <v>1949</v>
      </c>
      <c r="F2121" s="212">
        <v>43647</v>
      </c>
      <c r="G2121" s="213">
        <v>3</v>
      </c>
      <c r="H2121" s="256">
        <v>26</v>
      </c>
      <c r="I2121" s="214">
        <v>1463095</v>
      </c>
      <c r="J2121" s="215">
        <v>21600</v>
      </c>
      <c r="K2121" s="212">
        <v>43654</v>
      </c>
      <c r="L2121" s="211" t="s">
        <v>1959</v>
      </c>
      <c r="M2121" s="216">
        <v>4615445946</v>
      </c>
      <c r="N2121" s="212"/>
      <c r="O2121" s="218"/>
      <c r="P2121" s="219"/>
      <c r="Q2121" s="34">
        <f>SUMIF(Allocation[Delivery ID],Allocation[[#This Row],[Delivery ID]],Allocation[Quantity Processed])</f>
        <v>8387</v>
      </c>
      <c r="R2121" s="61">
        <f>Allocation[[#This Row],[Total volume used]]/VLOOKUP(Allocation[[#This Row],[Delivery ID]],Delivery[[Delivery ID]:[Quantity delivered]],3,FALSE)</f>
        <v>1</v>
      </c>
      <c r="S2121" s="34">
        <f>Allocation[[#This Row],[Quantity Processed]]/Allocation[[#This Row],[Dilution rate]]</f>
        <v>26.333333333333332</v>
      </c>
      <c r="T2121" s="59">
        <f>SUMIF(Allocation[Delivery ID],Allocation[[#This Row],[Delivery ID]],Allocation[Quantity allocated])/SUMIF(Allocation[Delivery ID],Allocation[[#This Row],[Delivery ID]],Allocation[Volume available (kg)])</f>
        <v>0.93031527331744857</v>
      </c>
      <c r="U2121" s="61">
        <f>Allocation[[#This Row],[Total volume used]]/VLOOKUP(Allocation[[#This Row],[Delivery ID]],Delivery[[Delivery ID]:[Quantity delivered]],3,FALSE)</f>
        <v>1</v>
      </c>
      <c r="V2121" s="34" t="e">
        <f>VLOOKUP(Allocation[[#This Row],[SAP Contract number]],Shipments[[SAP Contract number]:[Contracted container weight]],2,FALSE)</f>
        <v>#N/A</v>
      </c>
      <c r="W2121" s="34" t="e">
        <f>VLOOKUP(Allocation[[#This Row],[SAP Contract number]],Shipments[[SAP Contract number]:[AAA Premium USD]],24,FALSE)</f>
        <v>#N/A</v>
      </c>
      <c r="X2121" s="34" t="e">
        <f>VLOOKUP(Allocation[[#This Row],[SAP Contract number]],Shipments[[SAP Contract number]:[RA Premium USD]],25,FALSE)</f>
        <v>#N/A</v>
      </c>
      <c r="Y2121" s="38">
        <f>Allocation[[#This Row],[Quantity Processed]]/Allocation[[#This Row],[Quantity allocated]]</f>
        <v>3.0384615384615383</v>
      </c>
      <c r="Z2121" s="34" t="b">
        <f>Allocation[[#This Row],[Quantity allocated]]&lt;=Allocation[[#This Row],[Quantity Processed]]</f>
        <v>1</v>
      </c>
    </row>
    <row r="2122" spans="1:26">
      <c r="A2122" s="247" t="s">
        <v>467</v>
      </c>
      <c r="B2122" s="210" t="s">
        <v>68</v>
      </c>
      <c r="C2122" s="254" t="s">
        <v>1301</v>
      </c>
      <c r="D2122" s="255">
        <v>3196.5</v>
      </c>
      <c r="E2122" s="211" t="s">
        <v>1949</v>
      </c>
      <c r="F2122" s="212">
        <v>43647</v>
      </c>
      <c r="G2122" s="213">
        <v>3</v>
      </c>
      <c r="H2122" s="256">
        <v>1055</v>
      </c>
      <c r="I2122" s="214">
        <v>1463095</v>
      </c>
      <c r="J2122" s="215">
        <v>21600</v>
      </c>
      <c r="K2122" s="212">
        <v>43654</v>
      </c>
      <c r="L2122" s="211" t="s">
        <v>1959</v>
      </c>
      <c r="M2122" s="216">
        <v>4615445946</v>
      </c>
      <c r="N2122" s="212"/>
      <c r="O2122" s="218"/>
      <c r="P2122" s="219"/>
      <c r="Q2122" s="34">
        <f>SUMIF(Allocation[Delivery ID],Allocation[[#This Row],[Delivery ID]],Allocation[Quantity Processed])</f>
        <v>7232.5</v>
      </c>
      <c r="R2122" s="61">
        <f>Allocation[[#This Row],[Total volume used]]/VLOOKUP(Allocation[[#This Row],[Delivery ID]],Delivery[[Delivery ID]:[Quantity delivered]],3,FALSE)</f>
        <v>1</v>
      </c>
      <c r="S2122" s="34">
        <f>Allocation[[#This Row],[Quantity Processed]]/Allocation[[#This Row],[Dilution rate]]</f>
        <v>1065.5</v>
      </c>
      <c r="T2122" s="59">
        <f>SUMIF(Allocation[Delivery ID],Allocation[[#This Row],[Delivery ID]],Allocation[Quantity allocated])/SUMIF(Allocation[Delivery ID],Allocation[[#This Row],[Delivery ID]],Allocation[Volume available (kg)])</f>
        <v>0.9714213543457364</v>
      </c>
      <c r="U2122" s="61">
        <f>Allocation[[#This Row],[Total volume used]]/VLOOKUP(Allocation[[#This Row],[Delivery ID]],Delivery[[Delivery ID]:[Quantity delivered]],3,FALSE)</f>
        <v>1</v>
      </c>
      <c r="V2122" s="34" t="e">
        <f>VLOOKUP(Allocation[[#This Row],[SAP Contract number]],Shipments[[SAP Contract number]:[Contracted container weight]],2,FALSE)</f>
        <v>#N/A</v>
      </c>
      <c r="W2122" s="34" t="e">
        <f>VLOOKUP(Allocation[[#This Row],[SAP Contract number]],Shipments[[SAP Contract number]:[AAA Premium USD]],24,FALSE)</f>
        <v>#N/A</v>
      </c>
      <c r="X2122" s="34" t="e">
        <f>VLOOKUP(Allocation[[#This Row],[SAP Contract number]],Shipments[[SAP Contract number]:[RA Premium USD]],25,FALSE)</f>
        <v>#N/A</v>
      </c>
      <c r="Y2122" s="38">
        <f>Allocation[[#This Row],[Quantity Processed]]/Allocation[[#This Row],[Quantity allocated]]</f>
        <v>3.0298578199052133</v>
      </c>
      <c r="Z2122" s="34" t="b">
        <f>Allocation[[#This Row],[Quantity allocated]]&lt;=Allocation[[#This Row],[Quantity Processed]]</f>
        <v>1</v>
      </c>
    </row>
    <row r="2123" spans="1:26">
      <c r="A2123" s="247" t="s">
        <v>467</v>
      </c>
      <c r="B2123" s="210" t="s">
        <v>68</v>
      </c>
      <c r="C2123" s="254" t="s">
        <v>1302</v>
      </c>
      <c r="D2123" s="255">
        <v>302</v>
      </c>
      <c r="E2123" s="211" t="s">
        <v>1949</v>
      </c>
      <c r="F2123" s="212">
        <v>43647</v>
      </c>
      <c r="G2123" s="213">
        <v>3</v>
      </c>
      <c r="H2123" s="256">
        <v>142</v>
      </c>
      <c r="I2123" s="214">
        <v>1463095</v>
      </c>
      <c r="J2123" s="215">
        <v>21600</v>
      </c>
      <c r="K2123" s="212">
        <v>43654</v>
      </c>
      <c r="L2123" s="211" t="s">
        <v>1959</v>
      </c>
      <c r="M2123" s="216">
        <v>4615445946</v>
      </c>
      <c r="N2123" s="212"/>
      <c r="O2123" s="218"/>
      <c r="P2123" s="219"/>
      <c r="Q2123" s="34">
        <f>SUMIF(Allocation[Delivery ID],Allocation[[#This Row],[Delivery ID]],Allocation[Quantity Processed])</f>
        <v>6402</v>
      </c>
      <c r="R2123" s="61">
        <f>Allocation[[#This Row],[Total volume used]]/VLOOKUP(Allocation[[#This Row],[Delivery ID]],Delivery[[Delivery ID]:[Quantity delivered]],3,FALSE)</f>
        <v>0.99992190550566185</v>
      </c>
      <c r="S2123" s="34">
        <f>Allocation[[#This Row],[Quantity Processed]]/Allocation[[#This Row],[Dilution rate]]</f>
        <v>100.66666666666667</v>
      </c>
      <c r="T2123" s="59">
        <f>SUMIF(Allocation[Delivery ID],Allocation[[#This Row],[Delivery ID]],Allocation[Quantity allocated])/SUMIF(Allocation[Delivery ID],Allocation[[#This Row],[Delivery ID]],Allocation[Volume available (kg)])</f>
        <v>1.3769066503965832</v>
      </c>
      <c r="U2123" s="61">
        <f>Allocation[[#This Row],[Total volume used]]/VLOOKUP(Allocation[[#This Row],[Delivery ID]],Delivery[[Delivery ID]:[Quantity delivered]],3,FALSE)</f>
        <v>0.99992190550566185</v>
      </c>
      <c r="V2123" s="34" t="e">
        <f>VLOOKUP(Allocation[[#This Row],[SAP Contract number]],Shipments[[SAP Contract number]:[Contracted container weight]],2,FALSE)</f>
        <v>#N/A</v>
      </c>
      <c r="W2123" s="34" t="e">
        <f>VLOOKUP(Allocation[[#This Row],[SAP Contract number]],Shipments[[SAP Contract number]:[AAA Premium USD]],24,FALSE)</f>
        <v>#N/A</v>
      </c>
      <c r="X2123" s="34" t="e">
        <f>VLOOKUP(Allocation[[#This Row],[SAP Contract number]],Shipments[[SAP Contract number]:[RA Premium USD]],25,FALSE)</f>
        <v>#N/A</v>
      </c>
      <c r="Y2123" s="38">
        <f>Allocation[[#This Row],[Quantity Processed]]/Allocation[[#This Row],[Quantity allocated]]</f>
        <v>2.1267605633802815</v>
      </c>
      <c r="Z2123" s="34" t="b">
        <f>Allocation[[#This Row],[Quantity allocated]]&lt;=Allocation[[#This Row],[Quantity Processed]]</f>
        <v>1</v>
      </c>
    </row>
    <row r="2124" spans="1:26">
      <c r="A2124" s="247" t="s">
        <v>467</v>
      </c>
      <c r="B2124" s="210" t="s">
        <v>68</v>
      </c>
      <c r="C2124" s="254" t="s">
        <v>1302</v>
      </c>
      <c r="D2124" s="255">
        <v>1634</v>
      </c>
      <c r="E2124" s="211" t="s">
        <v>1949</v>
      </c>
      <c r="F2124" s="212">
        <v>43647</v>
      </c>
      <c r="G2124" s="213">
        <v>3</v>
      </c>
      <c r="H2124" s="256">
        <v>768</v>
      </c>
      <c r="I2124" s="214">
        <v>1463096</v>
      </c>
      <c r="J2124" s="215">
        <v>21600</v>
      </c>
      <c r="K2124" s="212">
        <v>43654</v>
      </c>
      <c r="L2124" s="211" t="s">
        <v>1960</v>
      </c>
      <c r="M2124" s="216">
        <v>4615445946</v>
      </c>
      <c r="N2124" s="212"/>
      <c r="O2124" s="218"/>
      <c r="P2124" s="219"/>
      <c r="Q2124" s="34">
        <f>SUMIF(Allocation[Delivery ID],Allocation[[#This Row],[Delivery ID]],Allocation[Quantity Processed])</f>
        <v>6402</v>
      </c>
      <c r="R2124" s="61">
        <f>Allocation[[#This Row],[Total volume used]]/VLOOKUP(Allocation[[#This Row],[Delivery ID]],Delivery[[Delivery ID]:[Quantity delivered]],3,FALSE)</f>
        <v>0.99992190550566185</v>
      </c>
      <c r="S2124" s="34">
        <f>Allocation[[#This Row],[Quantity Processed]]/Allocation[[#This Row],[Dilution rate]]</f>
        <v>544.66666666666663</v>
      </c>
      <c r="T2124" s="59">
        <f>SUMIF(Allocation[Delivery ID],Allocation[[#This Row],[Delivery ID]],Allocation[Quantity allocated])/SUMIF(Allocation[Delivery ID],Allocation[[#This Row],[Delivery ID]],Allocation[Volume available (kg)])</f>
        <v>1.3769066503965832</v>
      </c>
      <c r="U2124" s="61">
        <f>Allocation[[#This Row],[Total volume used]]/VLOOKUP(Allocation[[#This Row],[Delivery ID]],Delivery[[Delivery ID]:[Quantity delivered]],3,FALSE)</f>
        <v>0.99992190550566185</v>
      </c>
      <c r="V2124" s="34" t="e">
        <f>VLOOKUP(Allocation[[#This Row],[SAP Contract number]],Shipments[[SAP Contract number]:[Contracted container weight]],2,FALSE)</f>
        <v>#N/A</v>
      </c>
      <c r="W2124" s="34" t="e">
        <f>VLOOKUP(Allocation[[#This Row],[SAP Contract number]],Shipments[[SAP Contract number]:[AAA Premium USD]],24,FALSE)</f>
        <v>#N/A</v>
      </c>
      <c r="X2124" s="34" t="e">
        <f>VLOOKUP(Allocation[[#This Row],[SAP Contract number]],Shipments[[SAP Contract number]:[RA Premium USD]],25,FALSE)</f>
        <v>#N/A</v>
      </c>
      <c r="Y2124" s="38">
        <f>Allocation[[#This Row],[Quantity Processed]]/Allocation[[#This Row],[Quantity allocated]]</f>
        <v>2.1276041666666665</v>
      </c>
      <c r="Z2124" s="34" t="b">
        <f>Allocation[[#This Row],[Quantity allocated]]&lt;=Allocation[[#This Row],[Quantity Processed]]</f>
        <v>1</v>
      </c>
    </row>
    <row r="2125" spans="1:26">
      <c r="A2125" s="247" t="s">
        <v>467</v>
      </c>
      <c r="B2125" s="210" t="s">
        <v>68</v>
      </c>
      <c r="C2125" s="254" t="s">
        <v>1705</v>
      </c>
      <c r="D2125" s="255">
        <v>12603</v>
      </c>
      <c r="E2125" s="211" t="s">
        <v>1949</v>
      </c>
      <c r="F2125" s="212">
        <v>43647</v>
      </c>
      <c r="G2125" s="213">
        <v>3</v>
      </c>
      <c r="H2125" s="256">
        <v>4159</v>
      </c>
      <c r="I2125" s="214">
        <v>1463096</v>
      </c>
      <c r="J2125" s="215">
        <v>21600</v>
      </c>
      <c r="K2125" s="212">
        <v>43654</v>
      </c>
      <c r="L2125" s="211" t="s">
        <v>1960</v>
      </c>
      <c r="M2125" s="216">
        <v>4615445946</v>
      </c>
      <c r="N2125" s="212"/>
      <c r="O2125" s="218"/>
      <c r="P2125" s="219"/>
      <c r="Q2125" s="34">
        <f>SUMIF(Allocation[Delivery ID],Allocation[[#This Row],[Delivery ID]],Allocation[Quantity Processed])</f>
        <v>12603</v>
      </c>
      <c r="R2125" s="61">
        <f>Allocation[[#This Row],[Total volume used]]/VLOOKUP(Allocation[[#This Row],[Delivery ID]],Delivery[[Delivery ID]:[Quantity delivered]],3,FALSE)</f>
        <v>0.386951182069389</v>
      </c>
      <c r="S2125" s="34">
        <f>Allocation[[#This Row],[Quantity Processed]]/Allocation[[#This Row],[Dilution rate]]</f>
        <v>4201</v>
      </c>
      <c r="T2125" s="59">
        <f>SUMIF(Allocation[Delivery ID],Allocation[[#This Row],[Delivery ID]],Allocation[Quantity allocated])/SUMIF(Allocation[Delivery ID],Allocation[[#This Row],[Delivery ID]],Allocation[Volume available (kg)])</f>
        <v>0.99000238038562249</v>
      </c>
      <c r="U2125" s="61">
        <f>Allocation[[#This Row],[Total volume used]]/VLOOKUP(Allocation[[#This Row],[Delivery ID]],Delivery[[Delivery ID]:[Quantity delivered]],3,FALSE)</f>
        <v>0.386951182069389</v>
      </c>
      <c r="V2125" s="34" t="e">
        <f>VLOOKUP(Allocation[[#This Row],[SAP Contract number]],Shipments[[SAP Contract number]:[Contracted container weight]],2,FALSE)</f>
        <v>#N/A</v>
      </c>
      <c r="W2125" s="34" t="e">
        <f>VLOOKUP(Allocation[[#This Row],[SAP Contract number]],Shipments[[SAP Contract number]:[AAA Premium USD]],24,FALSE)</f>
        <v>#N/A</v>
      </c>
      <c r="X2125" s="34" t="e">
        <f>VLOOKUP(Allocation[[#This Row],[SAP Contract number]],Shipments[[SAP Contract number]:[RA Premium USD]],25,FALSE)</f>
        <v>#N/A</v>
      </c>
      <c r="Y2125" s="38">
        <f>Allocation[[#This Row],[Quantity Processed]]/Allocation[[#This Row],[Quantity allocated]]</f>
        <v>3.0302957441692713</v>
      </c>
      <c r="Z2125" s="34" t="b">
        <f>Allocation[[#This Row],[Quantity allocated]]&lt;=Allocation[[#This Row],[Quantity Processed]]</f>
        <v>1</v>
      </c>
    </row>
    <row r="2126" spans="1:26">
      <c r="A2126" s="247" t="s">
        <v>467</v>
      </c>
      <c r="B2126" s="210" t="s">
        <v>68</v>
      </c>
      <c r="C2126" s="254" t="s">
        <v>1707</v>
      </c>
      <c r="D2126" s="255">
        <v>12739</v>
      </c>
      <c r="E2126" s="211" t="s">
        <v>1949</v>
      </c>
      <c r="F2126" s="212">
        <v>43647</v>
      </c>
      <c r="G2126" s="213">
        <v>3</v>
      </c>
      <c r="H2126" s="256">
        <v>4204</v>
      </c>
      <c r="I2126" s="214">
        <v>1463096</v>
      </c>
      <c r="J2126" s="215">
        <v>21600</v>
      </c>
      <c r="K2126" s="212">
        <v>43654</v>
      </c>
      <c r="L2126" s="211" t="s">
        <v>1960</v>
      </c>
      <c r="M2126" s="216">
        <v>4615445946</v>
      </c>
      <c r="N2126" s="212"/>
      <c r="O2126" s="218"/>
      <c r="P2126" s="219"/>
      <c r="Q2126" s="34">
        <f>SUMIF(Allocation[Delivery ID],Allocation[[#This Row],[Delivery ID]],Allocation[Quantity Processed])</f>
        <v>12739</v>
      </c>
      <c r="R2126" s="61">
        <f>Allocation[[#This Row],[Total volume used]]/VLOOKUP(Allocation[[#This Row],[Delivery ID]],Delivery[[Delivery ID]:[Quantity delivered]],3,FALSE)</f>
        <v>0.38688026725381519</v>
      </c>
      <c r="S2126" s="34">
        <f>Allocation[[#This Row],[Quantity Processed]]/Allocation[[#This Row],[Dilution rate]]</f>
        <v>4246.333333333333</v>
      </c>
      <c r="T2126" s="59">
        <f>SUMIF(Allocation[Delivery ID],Allocation[[#This Row],[Delivery ID]],Allocation[Quantity allocated])/SUMIF(Allocation[Delivery ID],Allocation[[#This Row],[Delivery ID]],Allocation[Volume available (kg)])</f>
        <v>0.99003061464793163</v>
      </c>
      <c r="U2126" s="61">
        <f>Allocation[[#This Row],[Total volume used]]/VLOOKUP(Allocation[[#This Row],[Delivery ID]],Delivery[[Delivery ID]:[Quantity delivered]],3,FALSE)</f>
        <v>0.38688026725381519</v>
      </c>
      <c r="V2126" s="34" t="e">
        <f>VLOOKUP(Allocation[[#This Row],[SAP Contract number]],Shipments[[SAP Contract number]:[Contracted container weight]],2,FALSE)</f>
        <v>#N/A</v>
      </c>
      <c r="W2126" s="34" t="e">
        <f>VLOOKUP(Allocation[[#This Row],[SAP Contract number]],Shipments[[SAP Contract number]:[AAA Premium USD]],24,FALSE)</f>
        <v>#N/A</v>
      </c>
      <c r="X2126" s="34" t="e">
        <f>VLOOKUP(Allocation[[#This Row],[SAP Contract number]],Shipments[[SAP Contract number]:[RA Premium USD]],25,FALSE)</f>
        <v>#N/A</v>
      </c>
      <c r="Y2126" s="38">
        <f>Allocation[[#This Row],[Quantity Processed]]/Allocation[[#This Row],[Quantity allocated]]</f>
        <v>3.030209324452902</v>
      </c>
      <c r="Z2126" s="34" t="b">
        <f>Allocation[[#This Row],[Quantity allocated]]&lt;=Allocation[[#This Row],[Quantity Processed]]</f>
        <v>1</v>
      </c>
    </row>
    <row r="2127" spans="1:26">
      <c r="A2127" s="247" t="s">
        <v>467</v>
      </c>
      <c r="B2127" s="210" t="s">
        <v>68</v>
      </c>
      <c r="C2127" s="254" t="s">
        <v>1720</v>
      </c>
      <c r="D2127" s="255">
        <v>4988</v>
      </c>
      <c r="E2127" s="211" t="s">
        <v>1949</v>
      </c>
      <c r="F2127" s="212">
        <v>43647</v>
      </c>
      <c r="G2127" s="213">
        <v>3</v>
      </c>
      <c r="H2127" s="256">
        <v>1646</v>
      </c>
      <c r="I2127" s="214">
        <v>1463096</v>
      </c>
      <c r="J2127" s="215">
        <v>21600</v>
      </c>
      <c r="K2127" s="212">
        <v>43654</v>
      </c>
      <c r="L2127" s="211" t="s">
        <v>1960</v>
      </c>
      <c r="M2127" s="216">
        <v>4615445946</v>
      </c>
      <c r="N2127" s="212"/>
      <c r="O2127" s="218"/>
      <c r="P2127" s="219"/>
      <c r="Q2127" s="34">
        <f>SUMIF(Allocation[Delivery ID],Allocation[[#This Row],[Delivery ID]],Allocation[Quantity Processed])</f>
        <v>20140</v>
      </c>
      <c r="R2127" s="61">
        <f>Allocation[[#This Row],[Total volume used]]/VLOOKUP(Allocation[[#This Row],[Delivery ID]],Delivery[[Delivery ID]:[Quantity delivered]],3,FALSE)</f>
        <v>0.66865869853917659</v>
      </c>
      <c r="S2127" s="34">
        <f>Allocation[[#This Row],[Quantity Processed]]/Allocation[[#This Row],[Dilution rate]]</f>
        <v>1662.6666666666667</v>
      </c>
      <c r="T2127" s="59">
        <f>SUMIF(Allocation[Delivery ID],Allocation[[#This Row],[Delivery ID]],Allocation[Quantity allocated])/SUMIF(Allocation[Delivery ID],Allocation[[#This Row],[Delivery ID]],Allocation[Volume available (kg)])</f>
        <v>0.83324974924774309</v>
      </c>
      <c r="U2127" s="61">
        <f>Allocation[[#This Row],[Total volume used]]/VLOOKUP(Allocation[[#This Row],[Delivery ID]],Delivery[[Delivery ID]:[Quantity delivered]],3,FALSE)</f>
        <v>0.66865869853917659</v>
      </c>
      <c r="V2127" s="34" t="e">
        <f>VLOOKUP(Allocation[[#This Row],[SAP Contract number]],Shipments[[SAP Contract number]:[Contracted container weight]],2,FALSE)</f>
        <v>#N/A</v>
      </c>
      <c r="W2127" s="34" t="e">
        <f>VLOOKUP(Allocation[[#This Row],[SAP Contract number]],Shipments[[SAP Contract number]:[AAA Premium USD]],24,FALSE)</f>
        <v>#N/A</v>
      </c>
      <c r="X2127" s="34" t="e">
        <f>VLOOKUP(Allocation[[#This Row],[SAP Contract number]],Shipments[[SAP Contract number]:[RA Premium USD]],25,FALSE)</f>
        <v>#N/A</v>
      </c>
      <c r="Y2127" s="38">
        <f>Allocation[[#This Row],[Quantity Processed]]/Allocation[[#This Row],[Quantity allocated]]</f>
        <v>3.0303766707168895</v>
      </c>
      <c r="Z2127" s="34" t="b">
        <f>Allocation[[#This Row],[Quantity allocated]]&lt;=Allocation[[#This Row],[Quantity Processed]]</f>
        <v>1</v>
      </c>
    </row>
    <row r="2128" spans="1:26">
      <c r="A2128" s="247" t="s">
        <v>467</v>
      </c>
      <c r="B2128" s="210" t="s">
        <v>68</v>
      </c>
      <c r="C2128" s="254" t="s">
        <v>1722</v>
      </c>
      <c r="D2128" s="255">
        <v>4979</v>
      </c>
      <c r="E2128" s="211" t="s">
        <v>1949</v>
      </c>
      <c r="F2128" s="212">
        <v>43647</v>
      </c>
      <c r="G2128" s="213">
        <v>3</v>
      </c>
      <c r="H2128" s="256">
        <v>1643</v>
      </c>
      <c r="I2128" s="214">
        <v>1463096</v>
      </c>
      <c r="J2128" s="215">
        <v>21600</v>
      </c>
      <c r="K2128" s="212">
        <v>43654</v>
      </c>
      <c r="L2128" s="211" t="s">
        <v>1960</v>
      </c>
      <c r="M2128" s="216">
        <v>4615445946</v>
      </c>
      <c r="N2128" s="212"/>
      <c r="O2128" s="218"/>
      <c r="P2128" s="219"/>
      <c r="Q2128" s="34">
        <f>SUMIF(Allocation[Delivery ID],Allocation[[#This Row],[Delivery ID]],Allocation[Quantity Processed])</f>
        <v>20131</v>
      </c>
      <c r="R2128" s="61">
        <f>Allocation[[#This Row],[Total volume used]]/VLOOKUP(Allocation[[#This Row],[Delivery ID]],Delivery[[Delivery ID]:[Quantity delivered]],3,FALSE)</f>
        <v>0.66969394544244842</v>
      </c>
      <c r="S2128" s="34">
        <f>Allocation[[#This Row],[Quantity Processed]]/Allocation[[#This Row],[Dilution rate]]</f>
        <v>1659.6666666666667</v>
      </c>
      <c r="T2128" s="59">
        <f>SUMIF(Allocation[Delivery ID],Allocation[[#This Row],[Delivery ID]],Allocation[Quantity allocated])/SUMIF(Allocation[Delivery ID],Allocation[[#This Row],[Delivery ID]],Allocation[Volume available (kg)])</f>
        <v>0.83318700614574193</v>
      </c>
      <c r="U2128" s="61">
        <f>Allocation[[#This Row],[Total volume used]]/VLOOKUP(Allocation[[#This Row],[Delivery ID]],Delivery[[Delivery ID]:[Quantity delivered]],3,FALSE)</f>
        <v>0.66969394544244842</v>
      </c>
      <c r="V2128" s="34" t="e">
        <f>VLOOKUP(Allocation[[#This Row],[SAP Contract number]],Shipments[[SAP Contract number]:[Contracted container weight]],2,FALSE)</f>
        <v>#N/A</v>
      </c>
      <c r="W2128" s="34" t="e">
        <f>VLOOKUP(Allocation[[#This Row],[SAP Contract number]],Shipments[[SAP Contract number]:[AAA Premium USD]],24,FALSE)</f>
        <v>#N/A</v>
      </c>
      <c r="X2128" s="34" t="e">
        <f>VLOOKUP(Allocation[[#This Row],[SAP Contract number]],Shipments[[SAP Contract number]:[RA Premium USD]],25,FALSE)</f>
        <v>#N/A</v>
      </c>
      <c r="Y2128" s="38">
        <f>Allocation[[#This Row],[Quantity Processed]]/Allocation[[#This Row],[Quantity allocated]]</f>
        <v>3.0304321363359707</v>
      </c>
      <c r="Z2128" s="34" t="b">
        <f>Allocation[[#This Row],[Quantity allocated]]&lt;=Allocation[[#This Row],[Quantity Processed]]</f>
        <v>1</v>
      </c>
    </row>
    <row r="2129" spans="1:26">
      <c r="A2129" s="247" t="s">
        <v>467</v>
      </c>
      <c r="B2129" s="210" t="s">
        <v>68</v>
      </c>
      <c r="C2129" s="254" t="s">
        <v>1723</v>
      </c>
      <c r="D2129" s="255">
        <v>997</v>
      </c>
      <c r="E2129" s="211" t="s">
        <v>1949</v>
      </c>
      <c r="F2129" s="212">
        <v>43647</v>
      </c>
      <c r="G2129" s="213">
        <v>3</v>
      </c>
      <c r="H2129" s="256">
        <v>329</v>
      </c>
      <c r="I2129" s="214">
        <v>1463096</v>
      </c>
      <c r="J2129" s="215">
        <v>21600</v>
      </c>
      <c r="K2129" s="212">
        <v>43654</v>
      </c>
      <c r="L2129" s="211" t="s">
        <v>1960</v>
      </c>
      <c r="M2129" s="216">
        <v>4615445946</v>
      </c>
      <c r="N2129" s="212"/>
      <c r="O2129" s="218"/>
      <c r="P2129" s="219"/>
      <c r="Q2129" s="34">
        <f>SUMIF(Allocation[Delivery ID],Allocation[[#This Row],[Delivery ID]],Allocation[Quantity Processed])</f>
        <v>4027</v>
      </c>
      <c r="R2129" s="61">
        <f>Allocation[[#This Row],[Total volume used]]/VLOOKUP(Allocation[[#This Row],[Delivery ID]],Delivery[[Delivery ID]:[Quantity delivered]],3,FALSE)</f>
        <v>0.66938164893617025</v>
      </c>
      <c r="S2129" s="34">
        <f>Allocation[[#This Row],[Quantity Processed]]/Allocation[[#This Row],[Dilution rate]]</f>
        <v>332.33333333333331</v>
      </c>
      <c r="T2129" s="59">
        <f>SUMIF(Allocation[Delivery ID],Allocation[[#This Row],[Delivery ID]],Allocation[Quantity allocated])/SUMIF(Allocation[Delivery ID],Allocation[[#This Row],[Delivery ID]],Allocation[Volume available (kg)])</f>
        <v>0.83331591597868115</v>
      </c>
      <c r="U2129" s="61">
        <f>Allocation[[#This Row],[Total volume used]]/VLOOKUP(Allocation[[#This Row],[Delivery ID]],Delivery[[Delivery ID]:[Quantity delivered]],3,FALSE)</f>
        <v>0.66938164893617025</v>
      </c>
      <c r="V2129" s="34" t="e">
        <f>VLOOKUP(Allocation[[#This Row],[SAP Contract number]],Shipments[[SAP Contract number]:[Contracted container weight]],2,FALSE)</f>
        <v>#N/A</v>
      </c>
      <c r="W2129" s="34" t="e">
        <f>VLOOKUP(Allocation[[#This Row],[SAP Contract number]],Shipments[[SAP Contract number]:[AAA Premium USD]],24,FALSE)</f>
        <v>#N/A</v>
      </c>
      <c r="X2129" s="34" t="e">
        <f>VLOOKUP(Allocation[[#This Row],[SAP Contract number]],Shipments[[SAP Contract number]:[RA Premium USD]],25,FALSE)</f>
        <v>#N/A</v>
      </c>
      <c r="Y2129" s="38">
        <f>Allocation[[#This Row],[Quantity Processed]]/Allocation[[#This Row],[Quantity allocated]]</f>
        <v>3.0303951367781155</v>
      </c>
      <c r="Z2129" s="34" t="b">
        <f>Allocation[[#This Row],[Quantity allocated]]&lt;=Allocation[[#This Row],[Quantity Processed]]</f>
        <v>1</v>
      </c>
    </row>
    <row r="2130" spans="1:26">
      <c r="A2130" s="247" t="s">
        <v>467</v>
      </c>
      <c r="B2130" s="210" t="s">
        <v>68</v>
      </c>
      <c r="C2130" s="254" t="s">
        <v>1724</v>
      </c>
      <c r="D2130" s="255">
        <v>2491</v>
      </c>
      <c r="E2130" s="211" t="s">
        <v>1949</v>
      </c>
      <c r="F2130" s="212">
        <v>43647</v>
      </c>
      <c r="G2130" s="213">
        <v>3</v>
      </c>
      <c r="H2130" s="256">
        <v>822</v>
      </c>
      <c r="I2130" s="214">
        <v>1463096</v>
      </c>
      <c r="J2130" s="215">
        <v>21600</v>
      </c>
      <c r="K2130" s="212">
        <v>43654</v>
      </c>
      <c r="L2130" s="211" t="s">
        <v>1960</v>
      </c>
      <c r="M2130" s="216">
        <v>4615445946</v>
      </c>
      <c r="N2130" s="212"/>
      <c r="O2130" s="218"/>
      <c r="P2130" s="219"/>
      <c r="Q2130" s="34">
        <f>SUMIF(Allocation[Delivery ID],Allocation[[#This Row],[Delivery ID]],Allocation[Quantity Processed])</f>
        <v>11582</v>
      </c>
      <c r="R2130" s="61">
        <f>Allocation[[#This Row],[Total volume used]]/VLOOKUP(Allocation[[#This Row],[Delivery ID]],Delivery[[Delivery ID]:[Quantity delivered]],3,FALSE)</f>
        <v>0.77007978723404258</v>
      </c>
      <c r="S2130" s="34">
        <f>Allocation[[#This Row],[Quantity Processed]]/Allocation[[#This Row],[Dilution rate]]</f>
        <v>830.33333333333337</v>
      </c>
      <c r="T2130" s="59">
        <f>SUMIF(Allocation[Delivery ID],Allocation[[#This Row],[Delivery ID]],Allocation[Quantity allocated])/SUMIF(Allocation[Delivery ID],Allocation[[#This Row],[Delivery ID]],Allocation[Volume available (kg)])</f>
        <v>0.82758620689655171</v>
      </c>
      <c r="U2130" s="61">
        <f>Allocation[[#This Row],[Total volume used]]/VLOOKUP(Allocation[[#This Row],[Delivery ID]],Delivery[[Delivery ID]:[Quantity delivered]],3,FALSE)</f>
        <v>0.77007978723404258</v>
      </c>
      <c r="V2130" s="34" t="e">
        <f>VLOOKUP(Allocation[[#This Row],[SAP Contract number]],Shipments[[SAP Contract number]:[Contracted container weight]],2,FALSE)</f>
        <v>#N/A</v>
      </c>
      <c r="W2130" s="34" t="e">
        <f>VLOOKUP(Allocation[[#This Row],[SAP Contract number]],Shipments[[SAP Contract number]:[AAA Premium USD]],24,FALSE)</f>
        <v>#N/A</v>
      </c>
      <c r="X2130" s="34" t="e">
        <f>VLOOKUP(Allocation[[#This Row],[SAP Contract number]],Shipments[[SAP Contract number]:[RA Premium USD]],25,FALSE)</f>
        <v>#N/A</v>
      </c>
      <c r="Y2130" s="38">
        <f>Allocation[[#This Row],[Quantity Processed]]/Allocation[[#This Row],[Quantity allocated]]</f>
        <v>3.0304136253041363</v>
      </c>
      <c r="Z2130" s="34" t="b">
        <f>Allocation[[#This Row],[Quantity allocated]]&lt;=Allocation[[#This Row],[Quantity Processed]]</f>
        <v>1</v>
      </c>
    </row>
    <row r="2131" spans="1:26">
      <c r="A2131" s="247" t="s">
        <v>467</v>
      </c>
      <c r="B2131" s="210" t="s">
        <v>68</v>
      </c>
      <c r="C2131" s="254" t="s">
        <v>1725</v>
      </c>
      <c r="D2131" s="255">
        <v>1494</v>
      </c>
      <c r="E2131" s="211" t="s">
        <v>1949</v>
      </c>
      <c r="F2131" s="212">
        <v>43647</v>
      </c>
      <c r="G2131" s="213">
        <v>3</v>
      </c>
      <c r="H2131" s="256">
        <v>493</v>
      </c>
      <c r="I2131" s="214">
        <v>1463096</v>
      </c>
      <c r="J2131" s="215">
        <v>21600</v>
      </c>
      <c r="K2131" s="212">
        <v>43654</v>
      </c>
      <c r="L2131" s="211" t="s">
        <v>1960</v>
      </c>
      <c r="M2131" s="216">
        <v>4615445946</v>
      </c>
      <c r="N2131" s="212"/>
      <c r="O2131" s="218"/>
      <c r="P2131" s="219"/>
      <c r="Q2131" s="34">
        <f>SUMIF(Allocation[Delivery ID],Allocation[[#This Row],[Delivery ID]],Allocation[Quantity Processed])</f>
        <v>5130</v>
      </c>
      <c r="R2131" s="61">
        <f>Allocation[[#This Row],[Total volume used]]/VLOOKUP(Allocation[[#This Row],[Delivery ID]],Delivery[[Delivery ID]:[Quantity delivered]],3,FALSE)</f>
        <v>0.56848404255319152</v>
      </c>
      <c r="S2131" s="34">
        <f>Allocation[[#This Row],[Quantity Processed]]/Allocation[[#This Row],[Dilution rate]]</f>
        <v>498</v>
      </c>
      <c r="T2131" s="59">
        <f>SUMIF(Allocation[Delivery ID],Allocation[[#This Row],[Delivery ID]],Allocation[Quantity allocated])/SUMIF(Allocation[Delivery ID],Allocation[[#This Row],[Delivery ID]],Allocation[Volume available (kg)])</f>
        <v>0.84103328365623442</v>
      </c>
      <c r="U2131" s="61">
        <f>Allocation[[#This Row],[Total volume used]]/VLOOKUP(Allocation[[#This Row],[Delivery ID]],Delivery[[Delivery ID]:[Quantity delivered]],3,FALSE)</f>
        <v>0.56848404255319152</v>
      </c>
      <c r="V2131" s="34" t="e">
        <f>VLOOKUP(Allocation[[#This Row],[SAP Contract number]],Shipments[[SAP Contract number]:[Contracted container weight]],2,FALSE)</f>
        <v>#N/A</v>
      </c>
      <c r="W2131" s="34" t="e">
        <f>VLOOKUP(Allocation[[#This Row],[SAP Contract number]],Shipments[[SAP Contract number]:[AAA Premium USD]],24,FALSE)</f>
        <v>#N/A</v>
      </c>
      <c r="X2131" s="34" t="e">
        <f>VLOOKUP(Allocation[[#This Row],[SAP Contract number]],Shipments[[SAP Contract number]:[RA Premium USD]],25,FALSE)</f>
        <v>#N/A</v>
      </c>
      <c r="Y2131" s="38">
        <f>Allocation[[#This Row],[Quantity Processed]]/Allocation[[#This Row],[Quantity allocated]]</f>
        <v>3.030425963488844</v>
      </c>
      <c r="Z2131" s="34" t="b">
        <f>Allocation[[#This Row],[Quantity allocated]]&lt;=Allocation[[#This Row],[Quantity Processed]]</f>
        <v>1</v>
      </c>
    </row>
    <row r="2132" spans="1:26">
      <c r="A2132" s="247" t="s">
        <v>467</v>
      </c>
      <c r="B2132" s="210" t="s">
        <v>68</v>
      </c>
      <c r="C2132" s="254" t="s">
        <v>1726</v>
      </c>
      <c r="D2132" s="255">
        <v>2691</v>
      </c>
      <c r="E2132" s="211" t="s">
        <v>1949</v>
      </c>
      <c r="F2132" s="212">
        <v>43647</v>
      </c>
      <c r="G2132" s="213">
        <v>3</v>
      </c>
      <c r="H2132" s="256">
        <v>888</v>
      </c>
      <c r="I2132" s="214">
        <v>1463096</v>
      </c>
      <c r="J2132" s="215">
        <v>21600</v>
      </c>
      <c r="K2132" s="212">
        <v>43654</v>
      </c>
      <c r="L2132" s="211" t="s">
        <v>1960</v>
      </c>
      <c r="M2132" s="216">
        <v>4615445946</v>
      </c>
      <c r="N2132" s="212"/>
      <c r="O2132" s="218"/>
      <c r="P2132" s="219"/>
      <c r="Q2132" s="34">
        <f>SUMIF(Allocation[Delivery ID],Allocation[[#This Row],[Delivery ID]],Allocation[Quantity Processed])</f>
        <v>11782</v>
      </c>
      <c r="R2132" s="61">
        <f>Allocation[[#This Row],[Total volume used]]/VLOOKUP(Allocation[[#This Row],[Delivery ID]],Delivery[[Delivery ID]:[Quantity delivered]],3,FALSE)</f>
        <v>0.72513540128015752</v>
      </c>
      <c r="S2132" s="34">
        <f>Allocation[[#This Row],[Quantity Processed]]/Allocation[[#This Row],[Dilution rate]]</f>
        <v>897</v>
      </c>
      <c r="T2132" s="59">
        <f>SUMIF(Allocation[Delivery ID],Allocation[[#This Row],[Delivery ID]],Allocation[Quantity allocated])/SUMIF(Allocation[Delivery ID],Allocation[[#This Row],[Delivery ID]],Allocation[Volume available (kg)])</f>
        <v>0.82989736565929662</v>
      </c>
      <c r="U2132" s="61">
        <f>Allocation[[#This Row],[Total volume used]]/VLOOKUP(Allocation[[#This Row],[Delivery ID]],Delivery[[Delivery ID]:[Quantity delivered]],3,FALSE)</f>
        <v>0.72513540128015752</v>
      </c>
      <c r="V2132" s="34" t="e">
        <f>VLOOKUP(Allocation[[#This Row],[SAP Contract number]],Shipments[[SAP Contract number]:[Contracted container weight]],2,FALSE)</f>
        <v>#N/A</v>
      </c>
      <c r="W2132" s="34" t="e">
        <f>VLOOKUP(Allocation[[#This Row],[SAP Contract number]],Shipments[[SAP Contract number]:[AAA Premium USD]],24,FALSE)</f>
        <v>#N/A</v>
      </c>
      <c r="X2132" s="34" t="e">
        <f>VLOOKUP(Allocation[[#This Row],[SAP Contract number]],Shipments[[SAP Contract number]:[RA Premium USD]],25,FALSE)</f>
        <v>#N/A</v>
      </c>
      <c r="Y2132" s="38">
        <f>Allocation[[#This Row],[Quantity Processed]]/Allocation[[#This Row],[Quantity allocated]]</f>
        <v>3.0304054054054053</v>
      </c>
      <c r="Z2132" s="34" t="b">
        <f>Allocation[[#This Row],[Quantity allocated]]&lt;=Allocation[[#This Row],[Quantity Processed]]</f>
        <v>1</v>
      </c>
    </row>
    <row r="2133" spans="1:26">
      <c r="A2133" s="247" t="s">
        <v>467</v>
      </c>
      <c r="B2133" s="210" t="s">
        <v>68</v>
      </c>
      <c r="C2133" s="254" t="s">
        <v>1727</v>
      </c>
      <c r="D2133" s="255">
        <v>2291</v>
      </c>
      <c r="E2133" s="211" t="s">
        <v>1949</v>
      </c>
      <c r="F2133" s="212">
        <v>43647</v>
      </c>
      <c r="G2133" s="213">
        <v>3</v>
      </c>
      <c r="H2133" s="256">
        <v>756</v>
      </c>
      <c r="I2133" s="214">
        <v>1463096</v>
      </c>
      <c r="J2133" s="215">
        <v>21600</v>
      </c>
      <c r="K2133" s="212">
        <v>43654</v>
      </c>
      <c r="L2133" s="211" t="s">
        <v>1960</v>
      </c>
      <c r="M2133" s="216">
        <v>4615445946</v>
      </c>
      <c r="N2133" s="212"/>
      <c r="O2133" s="218"/>
      <c r="P2133" s="219"/>
      <c r="Q2133" s="34">
        <f>SUMIF(Allocation[Delivery ID],Allocation[[#This Row],[Delivery ID]],Allocation[Quantity Processed])</f>
        <v>8352</v>
      </c>
      <c r="R2133" s="61">
        <f>Allocation[[#This Row],[Total volume used]]/VLOOKUP(Allocation[[#This Row],[Delivery ID]],Delivery[[Delivery ID]:[Quantity delivered]],3,FALSE)</f>
        <v>0.60338101430429125</v>
      </c>
      <c r="S2133" s="34">
        <f>Allocation[[#This Row],[Quantity Processed]]/Allocation[[#This Row],[Dilution rate]]</f>
        <v>763.66666666666663</v>
      </c>
      <c r="T2133" s="59">
        <f>SUMIF(Allocation[Delivery ID],Allocation[[#This Row],[Delivery ID]],Allocation[Quantity allocated])/SUMIF(Allocation[Delivery ID],Allocation[[#This Row],[Delivery ID]],Allocation[Volume available (kg)])</f>
        <v>0.83792343358078492</v>
      </c>
      <c r="U2133" s="61">
        <f>Allocation[[#This Row],[Total volume used]]/VLOOKUP(Allocation[[#This Row],[Delivery ID]],Delivery[[Delivery ID]:[Quantity delivered]],3,FALSE)</f>
        <v>0.60338101430429125</v>
      </c>
      <c r="V2133" s="34" t="e">
        <f>VLOOKUP(Allocation[[#This Row],[SAP Contract number]],Shipments[[SAP Contract number]:[Contracted container weight]],2,FALSE)</f>
        <v>#N/A</v>
      </c>
      <c r="W2133" s="34" t="e">
        <f>VLOOKUP(Allocation[[#This Row],[SAP Contract number]],Shipments[[SAP Contract number]:[AAA Premium USD]],24,FALSE)</f>
        <v>#N/A</v>
      </c>
      <c r="X2133" s="34" t="e">
        <f>VLOOKUP(Allocation[[#This Row],[SAP Contract number]],Shipments[[SAP Contract number]:[RA Premium USD]],25,FALSE)</f>
        <v>#N/A</v>
      </c>
      <c r="Y2133" s="38">
        <f>Allocation[[#This Row],[Quantity Processed]]/Allocation[[#This Row],[Quantity allocated]]</f>
        <v>3.0304232804232805</v>
      </c>
      <c r="Z2133" s="34" t="b">
        <f>Allocation[[#This Row],[Quantity allocated]]&lt;=Allocation[[#This Row],[Quantity Processed]]</f>
        <v>1</v>
      </c>
    </row>
    <row r="2134" spans="1:26">
      <c r="A2134" s="247" t="s">
        <v>467</v>
      </c>
      <c r="B2134" s="210" t="s">
        <v>68</v>
      </c>
      <c r="C2134" s="254" t="s">
        <v>1313</v>
      </c>
      <c r="D2134" s="255">
        <v>2413</v>
      </c>
      <c r="E2134" s="211" t="s">
        <v>1949</v>
      </c>
      <c r="F2134" s="212">
        <v>43647</v>
      </c>
      <c r="G2134" s="213">
        <v>3</v>
      </c>
      <c r="H2134" s="256">
        <v>990</v>
      </c>
      <c r="I2134" s="214">
        <v>1463096</v>
      </c>
      <c r="J2134" s="215">
        <v>21600</v>
      </c>
      <c r="K2134" s="212">
        <v>43654</v>
      </c>
      <c r="L2134" s="211" t="s">
        <v>1960</v>
      </c>
      <c r="M2134" s="216">
        <v>4615445946</v>
      </c>
      <c r="N2134" s="212"/>
      <c r="O2134" s="218"/>
      <c r="P2134" s="219"/>
      <c r="Q2134" s="34">
        <f>SUMIF(Allocation[Delivery ID],Allocation[[#This Row],[Delivery ID]],Allocation[Quantity Processed])</f>
        <v>12040</v>
      </c>
      <c r="R2134" s="61">
        <f>Allocation[[#This Row],[Total volume used]]/VLOOKUP(Allocation[[#This Row],[Delivery ID]],Delivery[[Delivery ID]:[Quantity delivered]],3,FALSE)</f>
        <v>1</v>
      </c>
      <c r="S2134" s="34">
        <f>Allocation[[#This Row],[Quantity Processed]]/Allocation[[#This Row],[Dilution rate]]</f>
        <v>804.33333333333337</v>
      </c>
      <c r="T2134" s="59">
        <f>SUMIF(Allocation[Delivery ID],Allocation[[#This Row],[Delivery ID]],Allocation[Quantity allocated])/SUMIF(Allocation[Delivery ID],Allocation[[#This Row],[Delivery ID]],Allocation[Volume available (kg)])</f>
        <v>1.1971420369188404</v>
      </c>
      <c r="U2134" s="61">
        <f>Allocation[[#This Row],[Total volume used]]/VLOOKUP(Allocation[[#This Row],[Delivery ID]],Delivery[[Delivery ID]:[Quantity delivered]],3,FALSE)</f>
        <v>1</v>
      </c>
      <c r="V2134" s="34" t="e">
        <f>VLOOKUP(Allocation[[#This Row],[SAP Contract number]],Shipments[[SAP Contract number]:[Contracted container weight]],2,FALSE)</f>
        <v>#N/A</v>
      </c>
      <c r="W2134" s="34" t="e">
        <f>VLOOKUP(Allocation[[#This Row],[SAP Contract number]],Shipments[[SAP Contract number]:[AAA Premium USD]],24,FALSE)</f>
        <v>#N/A</v>
      </c>
      <c r="X2134" s="34" t="e">
        <f>VLOOKUP(Allocation[[#This Row],[SAP Contract number]],Shipments[[SAP Contract number]:[RA Premium USD]],25,FALSE)</f>
        <v>#N/A</v>
      </c>
      <c r="Y2134" s="38">
        <f>Allocation[[#This Row],[Quantity Processed]]/Allocation[[#This Row],[Quantity allocated]]</f>
        <v>2.4373737373737372</v>
      </c>
      <c r="Z2134" s="34" t="b">
        <f>Allocation[[#This Row],[Quantity allocated]]&lt;=Allocation[[#This Row],[Quantity Processed]]</f>
        <v>1</v>
      </c>
    </row>
    <row r="2135" spans="1:26">
      <c r="A2135" s="247" t="s">
        <v>467</v>
      </c>
      <c r="B2135" s="210" t="s">
        <v>68</v>
      </c>
      <c r="C2135" s="254" t="s">
        <v>1730</v>
      </c>
      <c r="D2135" s="255">
        <v>4994</v>
      </c>
      <c r="E2135" s="211" t="s">
        <v>1949</v>
      </c>
      <c r="F2135" s="212">
        <v>43647</v>
      </c>
      <c r="G2135" s="213">
        <v>3</v>
      </c>
      <c r="H2135" s="256">
        <v>1648</v>
      </c>
      <c r="I2135" s="214">
        <v>1463096</v>
      </c>
      <c r="J2135" s="215">
        <v>21600</v>
      </c>
      <c r="K2135" s="212">
        <v>43654</v>
      </c>
      <c r="L2135" s="211" t="s">
        <v>1960</v>
      </c>
      <c r="M2135" s="216">
        <v>4615445946</v>
      </c>
      <c r="N2135" s="212"/>
      <c r="O2135" s="218"/>
      <c r="P2135" s="219"/>
      <c r="Q2135" s="34">
        <f>SUMIF(Allocation[Delivery ID],Allocation[[#This Row],[Delivery ID]],Allocation[Quantity Processed])</f>
        <v>20146</v>
      </c>
      <c r="R2135" s="61">
        <f>Allocation[[#This Row],[Total volume used]]/VLOOKUP(Allocation[[#This Row],[Delivery ID]],Delivery[[Delivery ID]:[Quantity delivered]],3,FALSE)</f>
        <v>0.66797082228116711</v>
      </c>
      <c r="S2135" s="34">
        <f>Allocation[[#This Row],[Quantity Processed]]/Allocation[[#This Row],[Dilution rate]]</f>
        <v>1664.6666666666667</v>
      </c>
      <c r="T2135" s="59">
        <f>SUMIF(Allocation[Delivery ID],Allocation[[#This Row],[Delivery ID]],Allocation[Quantity allocated])/SUMIF(Allocation[Delivery ID],Allocation[[#This Row],[Delivery ID]],Allocation[Volume available (kg)])</f>
        <v>0.83329155176736014</v>
      </c>
      <c r="U2135" s="61">
        <f>Allocation[[#This Row],[Total volume used]]/VLOOKUP(Allocation[[#This Row],[Delivery ID]],Delivery[[Delivery ID]:[Quantity delivered]],3,FALSE)</f>
        <v>0.66797082228116711</v>
      </c>
      <c r="V2135" s="34" t="e">
        <f>VLOOKUP(Allocation[[#This Row],[SAP Contract number]],Shipments[[SAP Contract number]:[Contracted container weight]],2,FALSE)</f>
        <v>#N/A</v>
      </c>
      <c r="W2135" s="34" t="e">
        <f>VLOOKUP(Allocation[[#This Row],[SAP Contract number]],Shipments[[SAP Contract number]:[AAA Premium USD]],24,FALSE)</f>
        <v>#N/A</v>
      </c>
      <c r="X2135" s="34" t="e">
        <f>VLOOKUP(Allocation[[#This Row],[SAP Contract number]],Shipments[[SAP Contract number]:[RA Premium USD]],25,FALSE)</f>
        <v>#N/A</v>
      </c>
      <c r="Y2135" s="38">
        <f>Allocation[[#This Row],[Quantity Processed]]/Allocation[[#This Row],[Quantity allocated]]</f>
        <v>3.0303398058252426</v>
      </c>
      <c r="Z2135" s="34" t="b">
        <f>Allocation[[#This Row],[Quantity allocated]]&lt;=Allocation[[#This Row],[Quantity Processed]]</f>
        <v>1</v>
      </c>
    </row>
    <row r="2136" spans="1:26">
      <c r="A2136" s="247" t="s">
        <v>467</v>
      </c>
      <c r="B2136" s="210" t="s">
        <v>68</v>
      </c>
      <c r="C2136" s="254" t="s">
        <v>1731</v>
      </c>
      <c r="D2136" s="255">
        <v>4970</v>
      </c>
      <c r="E2136" s="211" t="s">
        <v>1949</v>
      </c>
      <c r="F2136" s="212">
        <v>43647</v>
      </c>
      <c r="G2136" s="213">
        <v>3</v>
      </c>
      <c r="H2136" s="256">
        <v>1640</v>
      </c>
      <c r="I2136" s="214">
        <v>1463096</v>
      </c>
      <c r="J2136" s="215">
        <v>21600</v>
      </c>
      <c r="K2136" s="212">
        <v>43654</v>
      </c>
      <c r="L2136" s="211" t="s">
        <v>1960</v>
      </c>
      <c r="M2136" s="216">
        <v>4615445946</v>
      </c>
      <c r="N2136" s="212"/>
      <c r="O2136" s="218"/>
      <c r="P2136" s="219"/>
      <c r="Q2136" s="34">
        <f>SUMIF(Allocation[Delivery ID],Allocation[[#This Row],[Delivery ID]],Allocation[Quantity Processed])</f>
        <v>20122</v>
      </c>
      <c r="R2136" s="61">
        <f>Allocation[[#This Row],[Total volume used]]/VLOOKUP(Allocation[[#This Row],[Delivery ID]],Delivery[[Delivery ID]:[Quantity delivered]],3,FALSE)</f>
        <v>0.67050983005664777</v>
      </c>
      <c r="S2136" s="34">
        <f>Allocation[[#This Row],[Quantity Processed]]/Allocation[[#This Row],[Dilution rate]]</f>
        <v>1656.6666666666667</v>
      </c>
      <c r="T2136" s="59">
        <f>SUMIF(Allocation[Delivery ID],Allocation[[#This Row],[Delivery ID]],Allocation[Quantity allocated])/SUMIF(Allocation[Delivery ID],Allocation[[#This Row],[Delivery ID]],Allocation[Volume available (kg)])</f>
        <v>0.83312421580928486</v>
      </c>
      <c r="U2136" s="61">
        <f>Allocation[[#This Row],[Total volume used]]/VLOOKUP(Allocation[[#This Row],[Delivery ID]],Delivery[[Delivery ID]:[Quantity delivered]],3,FALSE)</f>
        <v>0.67050983005664777</v>
      </c>
      <c r="V2136" s="34" t="e">
        <f>VLOOKUP(Allocation[[#This Row],[SAP Contract number]],Shipments[[SAP Contract number]:[Contracted container weight]],2,FALSE)</f>
        <v>#N/A</v>
      </c>
      <c r="W2136" s="34" t="e">
        <f>VLOOKUP(Allocation[[#This Row],[SAP Contract number]],Shipments[[SAP Contract number]:[AAA Premium USD]],24,FALSE)</f>
        <v>#N/A</v>
      </c>
      <c r="X2136" s="34" t="e">
        <f>VLOOKUP(Allocation[[#This Row],[SAP Contract number]],Shipments[[SAP Contract number]:[RA Premium USD]],25,FALSE)</f>
        <v>#N/A</v>
      </c>
      <c r="Y2136" s="38">
        <f>Allocation[[#This Row],[Quantity Processed]]/Allocation[[#This Row],[Quantity allocated]]</f>
        <v>3.0304878048780486</v>
      </c>
      <c r="Z2136" s="34" t="b">
        <f>Allocation[[#This Row],[Quantity allocated]]&lt;=Allocation[[#This Row],[Quantity Processed]]</f>
        <v>1</v>
      </c>
    </row>
    <row r="2137" spans="1:26">
      <c r="A2137" s="247" t="s">
        <v>467</v>
      </c>
      <c r="B2137" s="210" t="s">
        <v>68</v>
      </c>
      <c r="C2137" s="254" t="s">
        <v>1732</v>
      </c>
      <c r="D2137" s="255">
        <v>4891</v>
      </c>
      <c r="E2137" s="211" t="s">
        <v>1949</v>
      </c>
      <c r="F2137" s="212">
        <v>43647</v>
      </c>
      <c r="G2137" s="213">
        <v>3</v>
      </c>
      <c r="H2137" s="256">
        <v>1614</v>
      </c>
      <c r="I2137" s="214">
        <v>1463096</v>
      </c>
      <c r="J2137" s="215">
        <v>21600</v>
      </c>
      <c r="K2137" s="212">
        <v>43654</v>
      </c>
      <c r="L2137" s="211" t="s">
        <v>1960</v>
      </c>
      <c r="M2137" s="216">
        <v>4615445946</v>
      </c>
      <c r="N2137" s="212"/>
      <c r="O2137" s="218"/>
      <c r="P2137" s="219"/>
      <c r="Q2137" s="34">
        <f>SUMIF(Allocation[Delivery ID],Allocation[[#This Row],[Delivery ID]],Allocation[Quantity Processed])</f>
        <v>20116</v>
      </c>
      <c r="R2137" s="61">
        <f>Allocation[[#This Row],[Total volume used]]/VLOOKUP(Allocation[[#This Row],[Delivery ID]],Delivery[[Delivery ID]:[Quantity delivered]],3,FALSE)</f>
        <v>0.67098065376917948</v>
      </c>
      <c r="S2137" s="34">
        <f>Allocation[[#This Row],[Quantity Processed]]/Allocation[[#This Row],[Dilution rate]]</f>
        <v>1630.3333333333333</v>
      </c>
      <c r="T2137" s="59">
        <f>SUMIF(Allocation[Delivery ID],Allocation[[#This Row],[Delivery ID]],Allocation[Quantity allocated])/SUMIF(Allocation[Delivery ID],Allocation[[#This Row],[Delivery ID]],Allocation[Volume available (kg)])</f>
        <v>0.83308232931726911</v>
      </c>
      <c r="U2137" s="61">
        <f>Allocation[[#This Row],[Total volume used]]/VLOOKUP(Allocation[[#This Row],[Delivery ID]],Delivery[[Delivery ID]:[Quantity delivered]],3,FALSE)</f>
        <v>0.67098065376917948</v>
      </c>
      <c r="V2137" s="34" t="e">
        <f>VLOOKUP(Allocation[[#This Row],[SAP Contract number]],Shipments[[SAP Contract number]:[Contracted container weight]],2,FALSE)</f>
        <v>#N/A</v>
      </c>
      <c r="W2137" s="34" t="e">
        <f>VLOOKUP(Allocation[[#This Row],[SAP Contract number]],Shipments[[SAP Contract number]:[AAA Premium USD]],24,FALSE)</f>
        <v>#N/A</v>
      </c>
      <c r="X2137" s="34" t="e">
        <f>VLOOKUP(Allocation[[#This Row],[SAP Contract number]],Shipments[[SAP Contract number]:[RA Premium USD]],25,FALSE)</f>
        <v>#N/A</v>
      </c>
      <c r="Y2137" s="38">
        <f>Allocation[[#This Row],[Quantity Processed]]/Allocation[[#This Row],[Quantity allocated]]</f>
        <v>3.0303593556381658</v>
      </c>
      <c r="Z2137" s="34" t="b">
        <f>Allocation[[#This Row],[Quantity allocated]]&lt;=Allocation[[#This Row],[Quantity Processed]]</f>
        <v>1</v>
      </c>
    </row>
    <row r="2138" spans="1:26">
      <c r="A2138" s="247" t="s">
        <v>467</v>
      </c>
      <c r="B2138" s="210" t="s">
        <v>68</v>
      </c>
      <c r="C2138" s="254" t="s">
        <v>1732</v>
      </c>
      <c r="D2138" s="255">
        <v>73</v>
      </c>
      <c r="E2138" s="211" t="s">
        <v>1949</v>
      </c>
      <c r="F2138" s="212">
        <v>43647</v>
      </c>
      <c r="G2138" s="213">
        <v>3</v>
      </c>
      <c r="H2138" s="256">
        <v>24</v>
      </c>
      <c r="I2138" s="214">
        <v>1463097</v>
      </c>
      <c r="J2138" s="215">
        <v>21600</v>
      </c>
      <c r="K2138" s="212">
        <v>43654</v>
      </c>
      <c r="L2138" s="211" t="s">
        <v>1961</v>
      </c>
      <c r="M2138" s="216">
        <v>4615445946</v>
      </c>
      <c r="N2138" s="212"/>
      <c r="O2138" s="218"/>
      <c r="P2138" s="219"/>
      <c r="Q2138" s="34">
        <f>SUMIF(Allocation[Delivery ID],Allocation[[#This Row],[Delivery ID]],Allocation[Quantity Processed])</f>
        <v>20116</v>
      </c>
      <c r="R2138" s="61">
        <f>Allocation[[#This Row],[Total volume used]]/VLOOKUP(Allocation[[#This Row],[Delivery ID]],Delivery[[Delivery ID]:[Quantity delivered]],3,FALSE)</f>
        <v>0.67098065376917948</v>
      </c>
      <c r="S2138" s="34">
        <f>Allocation[[#This Row],[Quantity Processed]]/Allocation[[#This Row],[Dilution rate]]</f>
        <v>24.333333333333332</v>
      </c>
      <c r="T2138" s="59">
        <f>SUMIF(Allocation[Delivery ID],Allocation[[#This Row],[Delivery ID]],Allocation[Quantity allocated])/SUMIF(Allocation[Delivery ID],Allocation[[#This Row],[Delivery ID]],Allocation[Volume available (kg)])</f>
        <v>0.83308232931726911</v>
      </c>
      <c r="U2138" s="61">
        <f>Allocation[[#This Row],[Total volume used]]/VLOOKUP(Allocation[[#This Row],[Delivery ID]],Delivery[[Delivery ID]:[Quantity delivered]],3,FALSE)</f>
        <v>0.67098065376917948</v>
      </c>
      <c r="V2138" s="34" t="e">
        <f>VLOOKUP(Allocation[[#This Row],[SAP Contract number]],Shipments[[SAP Contract number]:[Contracted container weight]],2,FALSE)</f>
        <v>#N/A</v>
      </c>
      <c r="W2138" s="34" t="e">
        <f>VLOOKUP(Allocation[[#This Row],[SAP Contract number]],Shipments[[SAP Contract number]:[AAA Premium USD]],24,FALSE)</f>
        <v>#N/A</v>
      </c>
      <c r="X2138" s="34" t="e">
        <f>VLOOKUP(Allocation[[#This Row],[SAP Contract number]],Shipments[[SAP Contract number]:[RA Premium USD]],25,FALSE)</f>
        <v>#N/A</v>
      </c>
      <c r="Y2138" s="38">
        <f>Allocation[[#This Row],[Quantity Processed]]/Allocation[[#This Row],[Quantity allocated]]</f>
        <v>3.0416666666666665</v>
      </c>
      <c r="Z2138" s="34" t="b">
        <f>Allocation[[#This Row],[Quantity allocated]]&lt;=Allocation[[#This Row],[Quantity Processed]]</f>
        <v>1</v>
      </c>
    </row>
    <row r="2139" spans="1:26">
      <c r="A2139" s="247" t="s">
        <v>467</v>
      </c>
      <c r="B2139" s="210" t="s">
        <v>68</v>
      </c>
      <c r="C2139" s="254" t="s">
        <v>1733</v>
      </c>
      <c r="D2139" s="255">
        <v>4961</v>
      </c>
      <c r="E2139" s="211" t="s">
        <v>1949</v>
      </c>
      <c r="F2139" s="212">
        <v>43647</v>
      </c>
      <c r="G2139" s="213">
        <v>3</v>
      </c>
      <c r="H2139" s="256">
        <v>1637</v>
      </c>
      <c r="I2139" s="214">
        <v>1463097</v>
      </c>
      <c r="J2139" s="215">
        <v>21600</v>
      </c>
      <c r="K2139" s="212">
        <v>43654</v>
      </c>
      <c r="L2139" s="211" t="s">
        <v>1961</v>
      </c>
      <c r="M2139" s="216">
        <v>4615445946</v>
      </c>
      <c r="N2139" s="212"/>
      <c r="O2139" s="218"/>
      <c r="P2139" s="219"/>
      <c r="Q2139" s="34">
        <f>SUMIF(Allocation[Delivery ID],Allocation[[#This Row],[Delivery ID]],Allocation[Quantity Processed])</f>
        <v>18597</v>
      </c>
      <c r="R2139" s="61">
        <f>Allocation[[#This Row],[Total volume used]]/VLOOKUP(Allocation[[#This Row],[Delivery ID]],Delivery[[Delivery ID]:[Quantity delivered]],3,FALSE)</f>
        <v>0.62072763684913213</v>
      </c>
      <c r="S2139" s="34">
        <f>Allocation[[#This Row],[Quantity Processed]]/Allocation[[#This Row],[Dilution rate]]</f>
        <v>1653.6666666666667</v>
      </c>
      <c r="T2139" s="59">
        <f>SUMIF(Allocation[Delivery ID],Allocation[[#This Row],[Delivery ID]],Allocation[Quantity allocated])/SUMIF(Allocation[Delivery ID],Allocation[[#This Row],[Delivery ID]],Allocation[Volume available (kg)])</f>
        <v>0.83663546305553027</v>
      </c>
      <c r="U2139" s="61">
        <f>Allocation[[#This Row],[Total volume used]]/VLOOKUP(Allocation[[#This Row],[Delivery ID]],Delivery[[Delivery ID]:[Quantity delivered]],3,FALSE)</f>
        <v>0.62072763684913213</v>
      </c>
      <c r="V2139" s="34" t="e">
        <f>VLOOKUP(Allocation[[#This Row],[SAP Contract number]],Shipments[[SAP Contract number]:[Contracted container weight]],2,FALSE)</f>
        <v>#N/A</v>
      </c>
      <c r="W2139" s="34" t="e">
        <f>VLOOKUP(Allocation[[#This Row],[SAP Contract number]],Shipments[[SAP Contract number]:[AAA Premium USD]],24,FALSE)</f>
        <v>#N/A</v>
      </c>
      <c r="X2139" s="34" t="e">
        <f>VLOOKUP(Allocation[[#This Row],[SAP Contract number]],Shipments[[SAP Contract number]:[RA Premium USD]],25,FALSE)</f>
        <v>#N/A</v>
      </c>
      <c r="Y2139" s="38">
        <f>Allocation[[#This Row],[Quantity Processed]]/Allocation[[#This Row],[Quantity allocated]]</f>
        <v>3.0305436774587662</v>
      </c>
      <c r="Z2139" s="34" t="b">
        <f>Allocation[[#This Row],[Quantity allocated]]&lt;=Allocation[[#This Row],[Quantity Processed]]</f>
        <v>1</v>
      </c>
    </row>
    <row r="2140" spans="1:26">
      <c r="A2140" s="247" t="s">
        <v>467</v>
      </c>
      <c r="B2140" s="210" t="s">
        <v>68</v>
      </c>
      <c r="C2140" s="254" t="s">
        <v>1744</v>
      </c>
      <c r="D2140" s="255">
        <v>6521</v>
      </c>
      <c r="E2140" s="211" t="s">
        <v>1949</v>
      </c>
      <c r="F2140" s="212">
        <v>43647</v>
      </c>
      <c r="G2140" s="213">
        <v>3</v>
      </c>
      <c r="H2140" s="256">
        <v>1826</v>
      </c>
      <c r="I2140" s="214">
        <v>1463097</v>
      </c>
      <c r="J2140" s="215">
        <v>21600</v>
      </c>
      <c r="K2140" s="212">
        <v>43654</v>
      </c>
      <c r="L2140" s="211" t="s">
        <v>1961</v>
      </c>
      <c r="M2140" s="216">
        <v>4615445946</v>
      </c>
      <c r="N2140" s="212"/>
      <c r="O2140" s="218"/>
      <c r="P2140" s="219"/>
      <c r="Q2140" s="34">
        <f>SUMIF(Allocation[Delivery ID],Allocation[[#This Row],[Delivery ID]],Allocation[Quantity Processed])</f>
        <v>6521</v>
      </c>
      <c r="R2140" s="61">
        <f>Allocation[[#This Row],[Total volume used]]/VLOOKUP(Allocation[[#This Row],[Delivery ID]],Delivery[[Delivery ID]:[Quantity delivered]],3,FALSE)</f>
        <v>0.21743914638212739</v>
      </c>
      <c r="S2140" s="34">
        <f>Allocation[[#This Row],[Quantity Processed]]/Allocation[[#This Row],[Dilution rate]]</f>
        <v>2173.6666666666665</v>
      </c>
      <c r="T2140" s="59">
        <f>SUMIF(Allocation[Delivery ID],Allocation[[#This Row],[Delivery ID]],Allocation[Quantity allocated])/SUMIF(Allocation[Delivery ID],Allocation[[#This Row],[Delivery ID]],Allocation[Volume available (kg)])</f>
        <v>0.84005520625670915</v>
      </c>
      <c r="U2140" s="61">
        <f>Allocation[[#This Row],[Total volume used]]/VLOOKUP(Allocation[[#This Row],[Delivery ID]],Delivery[[Delivery ID]:[Quantity delivered]],3,FALSE)</f>
        <v>0.21743914638212739</v>
      </c>
      <c r="V2140" s="34" t="e">
        <f>VLOOKUP(Allocation[[#This Row],[SAP Contract number]],Shipments[[SAP Contract number]:[Contracted container weight]],2,FALSE)</f>
        <v>#N/A</v>
      </c>
      <c r="W2140" s="34" t="e">
        <f>VLOOKUP(Allocation[[#This Row],[SAP Contract number]],Shipments[[SAP Contract number]:[AAA Premium USD]],24,FALSE)</f>
        <v>#N/A</v>
      </c>
      <c r="X2140" s="34" t="e">
        <f>VLOOKUP(Allocation[[#This Row],[SAP Contract number]],Shipments[[SAP Contract number]:[RA Premium USD]],25,FALSE)</f>
        <v>#N/A</v>
      </c>
      <c r="Y2140" s="38">
        <f>Allocation[[#This Row],[Quantity Processed]]/Allocation[[#This Row],[Quantity allocated]]</f>
        <v>3.5711938663745895</v>
      </c>
      <c r="Z2140" s="34" t="b">
        <f>Allocation[[#This Row],[Quantity allocated]]&lt;=Allocation[[#This Row],[Quantity Processed]]</f>
        <v>1</v>
      </c>
    </row>
    <row r="2141" spans="1:26">
      <c r="A2141" s="247" t="s">
        <v>467</v>
      </c>
      <c r="B2141" s="210" t="s">
        <v>68</v>
      </c>
      <c r="C2141" s="254" t="s">
        <v>1749</v>
      </c>
      <c r="D2141" s="255">
        <v>6446</v>
      </c>
      <c r="E2141" s="211" t="s">
        <v>1949</v>
      </c>
      <c r="F2141" s="212">
        <v>43647</v>
      </c>
      <c r="G2141" s="213">
        <v>3</v>
      </c>
      <c r="H2141" s="256">
        <v>1805</v>
      </c>
      <c r="I2141" s="214">
        <v>1463097</v>
      </c>
      <c r="J2141" s="215">
        <v>21600</v>
      </c>
      <c r="K2141" s="212">
        <v>43654</v>
      </c>
      <c r="L2141" s="211" t="s">
        <v>1961</v>
      </c>
      <c r="M2141" s="216">
        <v>4615445946</v>
      </c>
      <c r="N2141" s="212"/>
      <c r="O2141" s="218"/>
      <c r="P2141" s="219"/>
      <c r="Q2141" s="34">
        <f>SUMIF(Allocation[Delivery ID],Allocation[[#This Row],[Delivery ID]],Allocation[Quantity Processed])</f>
        <v>6446</v>
      </c>
      <c r="R2141" s="61">
        <f>Allocation[[#This Row],[Total volume used]]/VLOOKUP(Allocation[[#This Row],[Delivery ID]],Delivery[[Delivery ID]:[Quantity delivered]],3,FALSE)</f>
        <v>0.21740303541315345</v>
      </c>
      <c r="S2141" s="34">
        <f>Allocation[[#This Row],[Quantity Processed]]/Allocation[[#This Row],[Dilution rate]]</f>
        <v>2148.6666666666665</v>
      </c>
      <c r="T2141" s="59">
        <f>SUMIF(Allocation[Delivery ID],Allocation[[#This Row],[Delivery ID]],Allocation[Quantity allocated])/SUMIF(Allocation[Delivery ID],Allocation[[#This Row],[Delivery ID]],Allocation[Volume available (kg)])</f>
        <v>0.84005584858827187</v>
      </c>
      <c r="U2141" s="61">
        <f>Allocation[[#This Row],[Total volume used]]/VLOOKUP(Allocation[[#This Row],[Delivery ID]],Delivery[[Delivery ID]:[Quantity delivered]],3,FALSE)</f>
        <v>0.21740303541315345</v>
      </c>
      <c r="V2141" s="34" t="e">
        <f>VLOOKUP(Allocation[[#This Row],[SAP Contract number]],Shipments[[SAP Contract number]:[Contracted container weight]],2,FALSE)</f>
        <v>#N/A</v>
      </c>
      <c r="W2141" s="34" t="e">
        <f>VLOOKUP(Allocation[[#This Row],[SAP Contract number]],Shipments[[SAP Contract number]:[AAA Premium USD]],24,FALSE)</f>
        <v>#N/A</v>
      </c>
      <c r="X2141" s="34" t="e">
        <f>VLOOKUP(Allocation[[#This Row],[SAP Contract number]],Shipments[[SAP Contract number]:[RA Premium USD]],25,FALSE)</f>
        <v>#N/A</v>
      </c>
      <c r="Y2141" s="38">
        <f>Allocation[[#This Row],[Quantity Processed]]/Allocation[[#This Row],[Quantity allocated]]</f>
        <v>3.5711911357340722</v>
      </c>
      <c r="Z2141" s="34" t="b">
        <f>Allocation[[#This Row],[Quantity allocated]]&lt;=Allocation[[#This Row],[Quantity Processed]]</f>
        <v>1</v>
      </c>
    </row>
    <row r="2142" spans="1:26">
      <c r="A2142" s="247" t="s">
        <v>467</v>
      </c>
      <c r="B2142" s="210" t="s">
        <v>68</v>
      </c>
      <c r="C2142" s="254" t="s">
        <v>1758</v>
      </c>
      <c r="D2142" s="255">
        <v>6457</v>
      </c>
      <c r="E2142" s="211" t="s">
        <v>1949</v>
      </c>
      <c r="F2142" s="212">
        <v>43647</v>
      </c>
      <c r="G2142" s="213">
        <v>3</v>
      </c>
      <c r="H2142" s="256">
        <v>1808</v>
      </c>
      <c r="I2142" s="214">
        <v>1463097</v>
      </c>
      <c r="J2142" s="215">
        <v>21600</v>
      </c>
      <c r="K2142" s="212">
        <v>43654</v>
      </c>
      <c r="L2142" s="211" t="s">
        <v>1961</v>
      </c>
      <c r="M2142" s="216">
        <v>4615445946</v>
      </c>
      <c r="N2142" s="212"/>
      <c r="O2142" s="218"/>
      <c r="P2142" s="219"/>
      <c r="Q2142" s="34">
        <f>SUMIF(Allocation[Delivery ID],Allocation[[#This Row],[Delivery ID]],Allocation[Quantity Processed])</f>
        <v>6457</v>
      </c>
      <c r="R2142" s="61">
        <f>Allocation[[#This Row],[Total volume used]]/VLOOKUP(Allocation[[#This Row],[Delivery ID]],Delivery[[Delivery ID]:[Quantity delivered]],3,FALSE)</f>
        <v>0.21740740740740741</v>
      </c>
      <c r="S2142" s="34">
        <f>Allocation[[#This Row],[Quantity Processed]]/Allocation[[#This Row],[Dilution rate]]</f>
        <v>2152.3333333333335</v>
      </c>
      <c r="T2142" s="59">
        <f>SUMIF(Allocation[Delivery ID],Allocation[[#This Row],[Delivery ID]],Allocation[Quantity allocated])/SUMIF(Allocation[Delivery ID],Allocation[[#This Row],[Delivery ID]],Allocation[Volume available (kg)])</f>
        <v>0.84001858448195754</v>
      </c>
      <c r="U2142" s="61">
        <f>Allocation[[#This Row],[Total volume used]]/VLOOKUP(Allocation[[#This Row],[Delivery ID]],Delivery[[Delivery ID]:[Quantity delivered]],3,FALSE)</f>
        <v>0.21740740740740741</v>
      </c>
      <c r="V2142" s="34" t="e">
        <f>VLOOKUP(Allocation[[#This Row],[SAP Contract number]],Shipments[[SAP Contract number]:[Contracted container weight]],2,FALSE)</f>
        <v>#N/A</v>
      </c>
      <c r="W2142" s="34" t="e">
        <f>VLOOKUP(Allocation[[#This Row],[SAP Contract number]],Shipments[[SAP Contract number]:[AAA Premium USD]],24,FALSE)</f>
        <v>#N/A</v>
      </c>
      <c r="X2142" s="34" t="e">
        <f>VLOOKUP(Allocation[[#This Row],[SAP Contract number]],Shipments[[SAP Contract number]:[RA Premium USD]],25,FALSE)</f>
        <v>#N/A</v>
      </c>
      <c r="Y2142" s="38">
        <f>Allocation[[#This Row],[Quantity Processed]]/Allocation[[#This Row],[Quantity allocated]]</f>
        <v>3.5713495575221237</v>
      </c>
      <c r="Z2142" s="34" t="b">
        <f>Allocation[[#This Row],[Quantity allocated]]&lt;=Allocation[[#This Row],[Quantity Processed]]</f>
        <v>1</v>
      </c>
    </row>
    <row r="2143" spans="1:26">
      <c r="A2143" s="247" t="s">
        <v>467</v>
      </c>
      <c r="B2143" s="210" t="s">
        <v>68</v>
      </c>
      <c r="C2143" s="254" t="s">
        <v>1766</v>
      </c>
      <c r="D2143" s="255">
        <v>900</v>
      </c>
      <c r="E2143" s="211" t="s">
        <v>1949</v>
      </c>
      <c r="F2143" s="212">
        <v>43647</v>
      </c>
      <c r="G2143" s="213">
        <v>3</v>
      </c>
      <c r="H2143" s="256">
        <v>504</v>
      </c>
      <c r="I2143" s="214">
        <v>1463097</v>
      </c>
      <c r="J2143" s="215">
        <v>21600</v>
      </c>
      <c r="K2143" s="212">
        <v>43654</v>
      </c>
      <c r="L2143" s="211" t="s">
        <v>1961</v>
      </c>
      <c r="M2143" s="216">
        <v>4615445946</v>
      </c>
      <c r="N2143" s="212"/>
      <c r="O2143" s="218"/>
      <c r="P2143" s="219"/>
      <c r="Q2143" s="34">
        <f>SUMIF(Allocation[Delivery ID],Allocation[[#This Row],[Delivery ID]],Allocation[Quantity Processed])</f>
        <v>2970</v>
      </c>
      <c r="R2143" s="61">
        <f>Allocation[[#This Row],[Total volume used]]/VLOOKUP(Allocation[[#This Row],[Delivery ID]],Delivery[[Delivery ID]:[Quantity delivered]],3,FALSE)</f>
        <v>0.2825880114176974</v>
      </c>
      <c r="S2143" s="34">
        <f>Allocation[[#This Row],[Quantity Processed]]/Allocation[[#This Row],[Dilution rate]]</f>
        <v>300</v>
      </c>
      <c r="T2143" s="59">
        <f>SUMIF(Allocation[Delivery ID],Allocation[[#This Row],[Delivery ID]],Allocation[Quantity allocated])/SUMIF(Allocation[Delivery ID],Allocation[[#This Row],[Delivery ID]],Allocation[Volume available (kg)])</f>
        <v>1.6506558077443048</v>
      </c>
      <c r="U2143" s="61">
        <f>Allocation[[#This Row],[Total volume used]]/VLOOKUP(Allocation[[#This Row],[Delivery ID]],Delivery[[Delivery ID]:[Quantity delivered]],3,FALSE)</f>
        <v>0.2825880114176974</v>
      </c>
      <c r="V2143" s="34" t="e">
        <f>VLOOKUP(Allocation[[#This Row],[SAP Contract number]],Shipments[[SAP Contract number]:[Contracted container weight]],2,FALSE)</f>
        <v>#N/A</v>
      </c>
      <c r="W2143" s="34" t="e">
        <f>VLOOKUP(Allocation[[#This Row],[SAP Contract number]],Shipments[[SAP Contract number]:[AAA Premium USD]],24,FALSE)</f>
        <v>#N/A</v>
      </c>
      <c r="X2143" s="34" t="e">
        <f>VLOOKUP(Allocation[[#This Row],[SAP Contract number]],Shipments[[SAP Contract number]:[RA Premium USD]],25,FALSE)</f>
        <v>#N/A</v>
      </c>
      <c r="Y2143" s="38">
        <f>Allocation[[#This Row],[Quantity Processed]]/Allocation[[#This Row],[Quantity allocated]]</f>
        <v>1.7857142857142858</v>
      </c>
      <c r="Z2143" s="34" t="b">
        <f>Allocation[[#This Row],[Quantity allocated]]&lt;=Allocation[[#This Row],[Quantity Processed]]</f>
        <v>1</v>
      </c>
    </row>
    <row r="2144" spans="1:26">
      <c r="A2144" s="247" t="s">
        <v>467</v>
      </c>
      <c r="B2144" s="210" t="s">
        <v>68</v>
      </c>
      <c r="C2144" s="254" t="s">
        <v>1784</v>
      </c>
      <c r="D2144" s="255">
        <v>5365</v>
      </c>
      <c r="E2144" s="211" t="s">
        <v>1949</v>
      </c>
      <c r="F2144" s="212">
        <v>43647</v>
      </c>
      <c r="G2144" s="213">
        <v>3</v>
      </c>
      <c r="H2144" s="256">
        <v>1824</v>
      </c>
      <c r="I2144" s="214">
        <v>1463097</v>
      </c>
      <c r="J2144" s="215">
        <v>21600</v>
      </c>
      <c r="K2144" s="212">
        <v>43654</v>
      </c>
      <c r="L2144" s="211" t="s">
        <v>1961</v>
      </c>
      <c r="M2144" s="216">
        <v>4615445946</v>
      </c>
      <c r="N2144" s="212"/>
      <c r="O2144" s="218"/>
      <c r="P2144" s="219"/>
      <c r="Q2144" s="34">
        <f>SUMIF(Allocation[Delivery ID],Allocation[[#This Row],[Delivery ID]],Allocation[Quantity Processed])</f>
        <v>5365</v>
      </c>
      <c r="R2144" s="61">
        <f>Allocation[[#This Row],[Total volume used]]/VLOOKUP(Allocation[[#This Row],[Delivery ID]],Delivery[[Delivery ID]:[Quantity delivered]],3,FALSE)</f>
        <v>0.17901234567901234</v>
      </c>
      <c r="S2144" s="34">
        <f>Allocation[[#This Row],[Quantity Processed]]/Allocation[[#This Row],[Dilution rate]]</f>
        <v>1788.3333333333333</v>
      </c>
      <c r="T2144" s="59">
        <f>SUMIF(Allocation[Delivery ID],Allocation[[#This Row],[Delivery ID]],Allocation[Quantity allocated])/SUMIF(Allocation[Delivery ID],Allocation[[#This Row],[Delivery ID]],Allocation[Volume available (kg)])</f>
        <v>1.0199440820130476</v>
      </c>
      <c r="U2144" s="61">
        <f>Allocation[[#This Row],[Total volume used]]/VLOOKUP(Allocation[[#This Row],[Delivery ID]],Delivery[[Delivery ID]:[Quantity delivered]],3,FALSE)</f>
        <v>0.17901234567901234</v>
      </c>
      <c r="V2144" s="34" t="e">
        <f>VLOOKUP(Allocation[[#This Row],[SAP Contract number]],Shipments[[SAP Contract number]:[Contracted container weight]],2,FALSE)</f>
        <v>#N/A</v>
      </c>
      <c r="W2144" s="34" t="e">
        <f>VLOOKUP(Allocation[[#This Row],[SAP Contract number]],Shipments[[SAP Contract number]:[AAA Premium USD]],24,FALSE)</f>
        <v>#N/A</v>
      </c>
      <c r="X2144" s="34" t="e">
        <f>VLOOKUP(Allocation[[#This Row],[SAP Contract number]],Shipments[[SAP Contract number]:[RA Premium USD]],25,FALSE)</f>
        <v>#N/A</v>
      </c>
      <c r="Y2144" s="38">
        <f>Allocation[[#This Row],[Quantity Processed]]/Allocation[[#This Row],[Quantity allocated]]</f>
        <v>2.9413377192982457</v>
      </c>
      <c r="Z2144" s="34" t="b">
        <f>Allocation[[#This Row],[Quantity allocated]]&lt;=Allocation[[#This Row],[Quantity Processed]]</f>
        <v>1</v>
      </c>
    </row>
    <row r="2145" spans="1:26">
      <c r="A2145" s="247" t="s">
        <v>467</v>
      </c>
      <c r="B2145" s="210" t="s">
        <v>68</v>
      </c>
      <c r="C2145" s="254" t="s">
        <v>1785</v>
      </c>
      <c r="D2145" s="255">
        <v>5188</v>
      </c>
      <c r="E2145" s="211" t="s">
        <v>1949</v>
      </c>
      <c r="F2145" s="212">
        <v>43647</v>
      </c>
      <c r="G2145" s="213">
        <v>3</v>
      </c>
      <c r="H2145" s="256">
        <v>1764</v>
      </c>
      <c r="I2145" s="214">
        <v>1463097</v>
      </c>
      <c r="J2145" s="215">
        <v>21600</v>
      </c>
      <c r="K2145" s="212">
        <v>43654</v>
      </c>
      <c r="L2145" s="211" t="s">
        <v>1961</v>
      </c>
      <c r="M2145" s="216">
        <v>4615445946</v>
      </c>
      <c r="N2145" s="212"/>
      <c r="O2145" s="218"/>
      <c r="P2145" s="219"/>
      <c r="Q2145" s="34">
        <f>SUMIF(Allocation[Delivery ID],Allocation[[#This Row],[Delivery ID]],Allocation[Quantity Processed])</f>
        <v>5188</v>
      </c>
      <c r="R2145" s="61">
        <f>Allocation[[#This Row],[Total volume used]]/VLOOKUP(Allocation[[#This Row],[Delivery ID]],Delivery[[Delivery ID]:[Quantity delivered]],3,FALSE)</f>
        <v>0.1790200138026225</v>
      </c>
      <c r="S2145" s="34">
        <f>Allocation[[#This Row],[Quantity Processed]]/Allocation[[#This Row],[Dilution rate]]</f>
        <v>1729.3333333333333</v>
      </c>
      <c r="T2145" s="59">
        <f>SUMIF(Allocation[Delivery ID],Allocation[[#This Row],[Delivery ID]],Allocation[Quantity allocated])/SUMIF(Allocation[Delivery ID],Allocation[[#This Row],[Delivery ID]],Allocation[Volume available (kg)])</f>
        <v>1.0200462606013878</v>
      </c>
      <c r="U2145" s="61">
        <f>Allocation[[#This Row],[Total volume used]]/VLOOKUP(Allocation[[#This Row],[Delivery ID]],Delivery[[Delivery ID]:[Quantity delivered]],3,FALSE)</f>
        <v>0.1790200138026225</v>
      </c>
      <c r="V2145" s="34" t="e">
        <f>VLOOKUP(Allocation[[#This Row],[SAP Contract number]],Shipments[[SAP Contract number]:[Contracted container weight]],2,FALSE)</f>
        <v>#N/A</v>
      </c>
      <c r="W2145" s="34" t="e">
        <f>VLOOKUP(Allocation[[#This Row],[SAP Contract number]],Shipments[[SAP Contract number]:[AAA Premium USD]],24,FALSE)</f>
        <v>#N/A</v>
      </c>
      <c r="X2145" s="34" t="e">
        <f>VLOOKUP(Allocation[[#This Row],[SAP Contract number]],Shipments[[SAP Contract number]:[RA Premium USD]],25,FALSE)</f>
        <v>#N/A</v>
      </c>
      <c r="Y2145" s="38">
        <f>Allocation[[#This Row],[Quantity Processed]]/Allocation[[#This Row],[Quantity allocated]]</f>
        <v>2.9410430839002268</v>
      </c>
      <c r="Z2145" s="34" t="b">
        <f>Allocation[[#This Row],[Quantity allocated]]&lt;=Allocation[[#This Row],[Quantity Processed]]</f>
        <v>1</v>
      </c>
    </row>
    <row r="2146" spans="1:26">
      <c r="A2146" s="247" t="s">
        <v>467</v>
      </c>
      <c r="B2146" s="210" t="s">
        <v>68</v>
      </c>
      <c r="C2146" s="254" t="s">
        <v>1317</v>
      </c>
      <c r="D2146" s="255">
        <v>370</v>
      </c>
      <c r="E2146" s="211" t="s">
        <v>1949</v>
      </c>
      <c r="F2146" s="212">
        <v>43647</v>
      </c>
      <c r="G2146" s="213">
        <v>3</v>
      </c>
      <c r="H2146" s="256">
        <v>185</v>
      </c>
      <c r="I2146" s="214">
        <v>1463097</v>
      </c>
      <c r="J2146" s="215">
        <v>21600</v>
      </c>
      <c r="K2146" s="212">
        <v>43654</v>
      </c>
      <c r="L2146" s="211" t="s">
        <v>1961</v>
      </c>
      <c r="M2146" s="216">
        <v>4615445946</v>
      </c>
      <c r="N2146" s="212"/>
      <c r="O2146" s="218"/>
      <c r="P2146" s="219"/>
      <c r="Q2146" s="34">
        <f>SUMIF(Allocation[Delivery ID],Allocation[[#This Row],[Delivery ID]],Allocation[Quantity Processed])</f>
        <v>22184</v>
      </c>
      <c r="R2146" s="61">
        <f>Allocation[[#This Row],[Total volume used]]/VLOOKUP(Allocation[[#This Row],[Delivery ID]],Delivery[[Delivery ID]:[Quantity delivered]],3,FALSE)</f>
        <v>0.66678689510069133</v>
      </c>
      <c r="S2146" s="34">
        <f>Allocation[[#This Row],[Quantity Processed]]/Allocation[[#This Row],[Dilution rate]]</f>
        <v>123.33333333333333</v>
      </c>
      <c r="T2146" s="59">
        <f>SUMIF(Allocation[Delivery ID],Allocation[[#This Row],[Delivery ID]],Allocation[Quantity allocated])/SUMIF(Allocation[Delivery ID],Allocation[[#This Row],[Delivery ID]],Allocation[Volume available (kg)])</f>
        <v>1.4508065849808314</v>
      </c>
      <c r="U2146" s="61">
        <f>Allocation[[#This Row],[Total volume used]]/VLOOKUP(Allocation[[#This Row],[Delivery ID]],Delivery[[Delivery ID]:[Quantity delivered]],3,FALSE)</f>
        <v>0.66678689510069133</v>
      </c>
      <c r="V2146" s="34" t="e">
        <f>VLOOKUP(Allocation[[#This Row],[SAP Contract number]],Shipments[[SAP Contract number]:[Contracted container weight]],2,FALSE)</f>
        <v>#N/A</v>
      </c>
      <c r="W2146" s="34" t="e">
        <f>VLOOKUP(Allocation[[#This Row],[SAP Contract number]],Shipments[[SAP Contract number]:[AAA Premium USD]],24,FALSE)</f>
        <v>#N/A</v>
      </c>
      <c r="X2146" s="34" t="e">
        <f>VLOOKUP(Allocation[[#This Row],[SAP Contract number]],Shipments[[SAP Contract number]:[RA Premium USD]],25,FALSE)</f>
        <v>#N/A</v>
      </c>
      <c r="Y2146" s="38">
        <f>Allocation[[#This Row],[Quantity Processed]]/Allocation[[#This Row],[Quantity allocated]]</f>
        <v>2</v>
      </c>
      <c r="Z2146" s="34" t="b">
        <f>Allocation[[#This Row],[Quantity allocated]]&lt;=Allocation[[#This Row],[Quantity Processed]]</f>
        <v>1</v>
      </c>
    </row>
    <row r="2147" spans="1:26">
      <c r="A2147" s="247" t="s">
        <v>467</v>
      </c>
      <c r="B2147" s="210" t="s">
        <v>68</v>
      </c>
      <c r="C2147" s="254" t="s">
        <v>1318</v>
      </c>
      <c r="D2147" s="255">
        <v>370</v>
      </c>
      <c r="E2147" s="211" t="s">
        <v>1949</v>
      </c>
      <c r="F2147" s="212">
        <v>43647</v>
      </c>
      <c r="G2147" s="213">
        <v>3</v>
      </c>
      <c r="H2147" s="256">
        <v>185</v>
      </c>
      <c r="I2147" s="214">
        <v>1463097</v>
      </c>
      <c r="J2147" s="215">
        <v>21600</v>
      </c>
      <c r="K2147" s="212">
        <v>43654</v>
      </c>
      <c r="L2147" s="211" t="s">
        <v>1961</v>
      </c>
      <c r="M2147" s="216">
        <v>4615445946</v>
      </c>
      <c r="N2147" s="212"/>
      <c r="O2147" s="218"/>
      <c r="P2147" s="219"/>
      <c r="Q2147" s="34">
        <f>SUMIF(Allocation[Delivery ID],Allocation[[#This Row],[Delivery ID]],Allocation[Quantity Processed])</f>
        <v>22170</v>
      </c>
      <c r="R2147" s="61">
        <f>Allocation[[#This Row],[Total volume used]]/VLOOKUP(Allocation[[#This Row],[Delivery ID]],Delivery[[Delivery ID]:[Quantity delivered]],3,FALSE)</f>
        <v>0.6669675090252708</v>
      </c>
      <c r="S2147" s="34">
        <f>Allocation[[#This Row],[Quantity Processed]]/Allocation[[#This Row],[Dilution rate]]</f>
        <v>123.33333333333333</v>
      </c>
      <c r="T2147" s="59">
        <f>SUMIF(Allocation[Delivery ID],Allocation[[#This Row],[Delivery ID]],Allocation[Quantity allocated])/SUMIF(Allocation[Delivery ID],Allocation[[#This Row],[Delivery ID]],Allocation[Volume available (kg)])</f>
        <v>1.4508070946098417</v>
      </c>
      <c r="U2147" s="61">
        <f>Allocation[[#This Row],[Total volume used]]/VLOOKUP(Allocation[[#This Row],[Delivery ID]],Delivery[[Delivery ID]:[Quantity delivered]],3,FALSE)</f>
        <v>0.6669675090252708</v>
      </c>
      <c r="V2147" s="34" t="e">
        <f>VLOOKUP(Allocation[[#This Row],[SAP Contract number]],Shipments[[SAP Contract number]:[Contracted container weight]],2,FALSE)</f>
        <v>#N/A</v>
      </c>
      <c r="W2147" s="34" t="e">
        <f>VLOOKUP(Allocation[[#This Row],[SAP Contract number]],Shipments[[SAP Contract number]:[AAA Premium USD]],24,FALSE)</f>
        <v>#N/A</v>
      </c>
      <c r="X2147" s="34" t="e">
        <f>VLOOKUP(Allocation[[#This Row],[SAP Contract number]],Shipments[[SAP Contract number]:[RA Premium USD]],25,FALSE)</f>
        <v>#N/A</v>
      </c>
      <c r="Y2147" s="38">
        <f>Allocation[[#This Row],[Quantity Processed]]/Allocation[[#This Row],[Quantity allocated]]</f>
        <v>2</v>
      </c>
      <c r="Z2147" s="34" t="b">
        <f>Allocation[[#This Row],[Quantity allocated]]&lt;=Allocation[[#This Row],[Quantity Processed]]</f>
        <v>1</v>
      </c>
    </row>
    <row r="2148" spans="1:26">
      <c r="A2148" s="247" t="s">
        <v>467</v>
      </c>
      <c r="B2148" s="210" t="s">
        <v>68</v>
      </c>
      <c r="C2148" s="254" t="s">
        <v>1319</v>
      </c>
      <c r="D2148" s="255">
        <v>370</v>
      </c>
      <c r="E2148" s="211" t="s">
        <v>1949</v>
      </c>
      <c r="F2148" s="212">
        <v>43647</v>
      </c>
      <c r="G2148" s="213">
        <v>3</v>
      </c>
      <c r="H2148" s="256">
        <v>185</v>
      </c>
      <c r="I2148" s="214">
        <v>1463097</v>
      </c>
      <c r="J2148" s="215">
        <v>21600</v>
      </c>
      <c r="K2148" s="212">
        <v>43654</v>
      </c>
      <c r="L2148" s="211" t="s">
        <v>1961</v>
      </c>
      <c r="M2148" s="216">
        <v>4615445946</v>
      </c>
      <c r="N2148" s="212"/>
      <c r="O2148" s="218"/>
      <c r="P2148" s="219"/>
      <c r="Q2148" s="34">
        <f>SUMIF(Allocation[Delivery ID],Allocation[[#This Row],[Delivery ID]],Allocation[Quantity Processed])</f>
        <v>22230</v>
      </c>
      <c r="R2148" s="61">
        <f>Allocation[[#This Row],[Total volume used]]/VLOOKUP(Allocation[[#This Row],[Delivery ID]],Delivery[[Delivery ID]:[Quantity delivered]],3,FALSE)</f>
        <v>0.66696669666966701</v>
      </c>
      <c r="S2148" s="34">
        <f>Allocation[[#This Row],[Quantity Processed]]/Allocation[[#This Row],[Dilution rate]]</f>
        <v>123.33333333333333</v>
      </c>
      <c r="T2148" s="59">
        <f>SUMIF(Allocation[Delivery ID],Allocation[[#This Row],[Delivery ID]],Allocation[Quantity allocated])/SUMIF(Allocation[Delivery ID],Allocation[[#This Row],[Delivery ID]],Allocation[Volume available (kg)])</f>
        <v>1.4508049150075766</v>
      </c>
      <c r="U2148" s="61">
        <f>Allocation[[#This Row],[Total volume used]]/VLOOKUP(Allocation[[#This Row],[Delivery ID]],Delivery[[Delivery ID]:[Quantity delivered]],3,FALSE)</f>
        <v>0.66696669666966701</v>
      </c>
      <c r="V2148" s="34" t="e">
        <f>VLOOKUP(Allocation[[#This Row],[SAP Contract number]],Shipments[[SAP Contract number]:[Contracted container weight]],2,FALSE)</f>
        <v>#N/A</v>
      </c>
      <c r="W2148" s="34" t="e">
        <f>VLOOKUP(Allocation[[#This Row],[SAP Contract number]],Shipments[[SAP Contract number]:[AAA Premium USD]],24,FALSE)</f>
        <v>#N/A</v>
      </c>
      <c r="X2148" s="34" t="e">
        <f>VLOOKUP(Allocation[[#This Row],[SAP Contract number]],Shipments[[SAP Contract number]:[RA Premium USD]],25,FALSE)</f>
        <v>#N/A</v>
      </c>
      <c r="Y2148" s="38">
        <f>Allocation[[#This Row],[Quantity Processed]]/Allocation[[#This Row],[Quantity allocated]]</f>
        <v>2</v>
      </c>
      <c r="Z2148" s="34" t="b">
        <f>Allocation[[#This Row],[Quantity allocated]]&lt;=Allocation[[#This Row],[Quantity Processed]]</f>
        <v>1</v>
      </c>
    </row>
    <row r="2149" spans="1:26">
      <c r="A2149" s="247" t="s">
        <v>467</v>
      </c>
      <c r="B2149" s="210" t="s">
        <v>68</v>
      </c>
      <c r="C2149" s="254" t="s">
        <v>1817</v>
      </c>
      <c r="D2149" s="255">
        <v>6510</v>
      </c>
      <c r="E2149" s="211" t="s">
        <v>1949</v>
      </c>
      <c r="F2149" s="212">
        <v>43647</v>
      </c>
      <c r="G2149" s="213">
        <v>3</v>
      </c>
      <c r="H2149" s="256">
        <v>1953</v>
      </c>
      <c r="I2149" s="214">
        <v>1463097</v>
      </c>
      <c r="J2149" s="215">
        <v>21600</v>
      </c>
      <c r="K2149" s="212">
        <v>43654</v>
      </c>
      <c r="L2149" s="211" t="s">
        <v>1961</v>
      </c>
      <c r="M2149" s="216">
        <v>4615445946</v>
      </c>
      <c r="N2149" s="212"/>
      <c r="O2149" s="218"/>
      <c r="P2149" s="219"/>
      <c r="Q2149" s="34">
        <f>SUMIF(Allocation[Delivery ID],Allocation[[#This Row],[Delivery ID]],Allocation[Quantity Processed])</f>
        <v>6510</v>
      </c>
      <c r="R2149" s="61">
        <f>Allocation[[#This Row],[Total volume used]]/VLOOKUP(Allocation[[#This Row],[Delivery ID]],Delivery[[Delivery ID]:[Quantity delivered]],3,FALSE)</f>
        <v>0.20293017456359103</v>
      </c>
      <c r="S2149" s="34">
        <f>Allocation[[#This Row],[Quantity Processed]]/Allocation[[#This Row],[Dilution rate]]</f>
        <v>2170</v>
      </c>
      <c r="T2149" s="59">
        <f>SUMIF(Allocation[Delivery ID],Allocation[[#This Row],[Delivery ID]],Allocation[Quantity allocated])/SUMIF(Allocation[Delivery ID],Allocation[[#This Row],[Delivery ID]],Allocation[Volume available (kg)])</f>
        <v>0.9</v>
      </c>
      <c r="U2149" s="61">
        <f>Allocation[[#This Row],[Total volume used]]/VLOOKUP(Allocation[[#This Row],[Delivery ID]],Delivery[[Delivery ID]:[Quantity delivered]],3,FALSE)</f>
        <v>0.20293017456359103</v>
      </c>
      <c r="V2149" s="34" t="e">
        <f>VLOOKUP(Allocation[[#This Row],[SAP Contract number]],Shipments[[SAP Contract number]:[Contracted container weight]],2,FALSE)</f>
        <v>#N/A</v>
      </c>
      <c r="W2149" s="34" t="e">
        <f>VLOOKUP(Allocation[[#This Row],[SAP Contract number]],Shipments[[SAP Contract number]:[AAA Premium USD]],24,FALSE)</f>
        <v>#N/A</v>
      </c>
      <c r="X2149" s="34" t="e">
        <f>VLOOKUP(Allocation[[#This Row],[SAP Contract number]],Shipments[[SAP Contract number]:[RA Premium USD]],25,FALSE)</f>
        <v>#N/A</v>
      </c>
      <c r="Y2149" s="38">
        <f>Allocation[[#This Row],[Quantity Processed]]/Allocation[[#This Row],[Quantity allocated]]</f>
        <v>3.3333333333333335</v>
      </c>
      <c r="Z2149" s="34" t="b">
        <f>Allocation[[#This Row],[Quantity allocated]]&lt;=Allocation[[#This Row],[Quantity Processed]]</f>
        <v>1</v>
      </c>
    </row>
    <row r="2150" spans="1:26">
      <c r="A2150" s="247" t="s">
        <v>467</v>
      </c>
      <c r="B2150" s="210" t="s">
        <v>68</v>
      </c>
      <c r="C2150" s="254" t="s">
        <v>1818</v>
      </c>
      <c r="D2150" s="255">
        <v>5743</v>
      </c>
      <c r="E2150" s="211" t="s">
        <v>1949</v>
      </c>
      <c r="F2150" s="212">
        <v>43647</v>
      </c>
      <c r="G2150" s="213">
        <v>3</v>
      </c>
      <c r="H2150" s="256">
        <v>1723</v>
      </c>
      <c r="I2150" s="214">
        <v>1463097</v>
      </c>
      <c r="J2150" s="215">
        <v>21600</v>
      </c>
      <c r="K2150" s="212">
        <v>43654</v>
      </c>
      <c r="L2150" s="211" t="s">
        <v>1961</v>
      </c>
      <c r="M2150" s="216">
        <v>4615445946</v>
      </c>
      <c r="N2150" s="212"/>
      <c r="O2150" s="218"/>
      <c r="P2150" s="219"/>
      <c r="Q2150" s="34">
        <f>SUMIF(Allocation[Delivery ID],Allocation[[#This Row],[Delivery ID]],Allocation[Quantity Processed])</f>
        <v>5743</v>
      </c>
      <c r="R2150" s="61">
        <f>Allocation[[#This Row],[Total volume used]]/VLOOKUP(Allocation[[#This Row],[Delivery ID]],Delivery[[Delivery ID]:[Quantity delivered]],3,FALSE)</f>
        <v>0.42565965016305957</v>
      </c>
      <c r="S2150" s="34">
        <f>Allocation[[#This Row],[Quantity Processed]]/Allocation[[#This Row],[Dilution rate]]</f>
        <v>1914.3333333333333</v>
      </c>
      <c r="T2150" s="59">
        <f>SUMIF(Allocation[Delivery ID],Allocation[[#This Row],[Delivery ID]],Allocation[Quantity allocated])/SUMIF(Allocation[Delivery ID],Allocation[[#This Row],[Delivery ID]],Allocation[Volume available (kg)])</f>
        <v>0.90005223750652974</v>
      </c>
      <c r="U2150" s="61">
        <f>Allocation[[#This Row],[Total volume used]]/VLOOKUP(Allocation[[#This Row],[Delivery ID]],Delivery[[Delivery ID]:[Quantity delivered]],3,FALSE)</f>
        <v>0.42565965016305957</v>
      </c>
      <c r="V2150" s="34" t="e">
        <f>VLOOKUP(Allocation[[#This Row],[SAP Contract number]],Shipments[[SAP Contract number]:[Contracted container weight]],2,FALSE)</f>
        <v>#N/A</v>
      </c>
      <c r="W2150" s="34" t="e">
        <f>VLOOKUP(Allocation[[#This Row],[SAP Contract number]],Shipments[[SAP Contract number]:[AAA Premium USD]],24,FALSE)</f>
        <v>#N/A</v>
      </c>
      <c r="X2150" s="34" t="e">
        <f>VLOOKUP(Allocation[[#This Row],[SAP Contract number]],Shipments[[SAP Contract number]:[RA Premium USD]],25,FALSE)</f>
        <v>#N/A</v>
      </c>
      <c r="Y2150" s="38">
        <f>Allocation[[#This Row],[Quantity Processed]]/Allocation[[#This Row],[Quantity allocated]]</f>
        <v>3.3331398723157282</v>
      </c>
      <c r="Z2150" s="34" t="b">
        <f>Allocation[[#This Row],[Quantity allocated]]&lt;=Allocation[[#This Row],[Quantity Processed]]</f>
        <v>1</v>
      </c>
    </row>
    <row r="2151" spans="1:26">
      <c r="A2151" s="247" t="s">
        <v>467</v>
      </c>
      <c r="B2151" s="210" t="s">
        <v>68</v>
      </c>
      <c r="C2151" s="254" t="s">
        <v>1819</v>
      </c>
      <c r="D2151" s="255">
        <v>7487</v>
      </c>
      <c r="E2151" s="211" t="s">
        <v>1949</v>
      </c>
      <c r="F2151" s="212">
        <v>43647</v>
      </c>
      <c r="G2151" s="213">
        <v>3</v>
      </c>
      <c r="H2151" s="256">
        <v>2246</v>
      </c>
      <c r="I2151" s="214">
        <v>1463097</v>
      </c>
      <c r="J2151" s="215">
        <v>21600</v>
      </c>
      <c r="K2151" s="212">
        <v>43654</v>
      </c>
      <c r="L2151" s="211" t="s">
        <v>1961</v>
      </c>
      <c r="M2151" s="216">
        <v>4615445946</v>
      </c>
      <c r="N2151" s="212"/>
      <c r="O2151" s="218"/>
      <c r="P2151" s="219"/>
      <c r="Q2151" s="34">
        <f>SUMIF(Allocation[Delivery ID],Allocation[[#This Row],[Delivery ID]],Allocation[Quantity Processed])</f>
        <v>7487</v>
      </c>
      <c r="R2151" s="61">
        <f>Allocation[[#This Row],[Total volume used]]/VLOOKUP(Allocation[[#This Row],[Delivery ID]],Delivery[[Delivery ID]:[Quantity delivered]],3,FALSE)</f>
        <v>0.42568796906982032</v>
      </c>
      <c r="S2151" s="34">
        <f>Allocation[[#This Row],[Quantity Processed]]/Allocation[[#This Row],[Dilution rate]]</f>
        <v>2495.6666666666665</v>
      </c>
      <c r="T2151" s="59">
        <f>SUMIF(Allocation[Delivery ID],Allocation[[#This Row],[Delivery ID]],Allocation[Quantity allocated])/SUMIF(Allocation[Delivery ID],Allocation[[#This Row],[Delivery ID]],Allocation[Volume available (kg)])</f>
        <v>0.89995993054628032</v>
      </c>
      <c r="U2151" s="61">
        <f>Allocation[[#This Row],[Total volume used]]/VLOOKUP(Allocation[[#This Row],[Delivery ID]],Delivery[[Delivery ID]:[Quantity delivered]],3,FALSE)</f>
        <v>0.42568796906982032</v>
      </c>
      <c r="V2151" s="34" t="e">
        <f>VLOOKUP(Allocation[[#This Row],[SAP Contract number]],Shipments[[SAP Contract number]:[Contracted container weight]],2,FALSE)</f>
        <v>#N/A</v>
      </c>
      <c r="W2151" s="34" t="e">
        <f>VLOOKUP(Allocation[[#This Row],[SAP Contract number]],Shipments[[SAP Contract number]:[AAA Premium USD]],24,FALSE)</f>
        <v>#N/A</v>
      </c>
      <c r="X2151" s="34" t="e">
        <f>VLOOKUP(Allocation[[#This Row],[SAP Contract number]],Shipments[[SAP Contract number]:[RA Premium USD]],25,FALSE)</f>
        <v>#N/A</v>
      </c>
      <c r="Y2151" s="38">
        <f>Allocation[[#This Row],[Quantity Processed]]/Allocation[[#This Row],[Quantity allocated]]</f>
        <v>3.3334817453250221</v>
      </c>
      <c r="Z2151" s="34" t="b">
        <f>Allocation[[#This Row],[Quantity allocated]]&lt;=Allocation[[#This Row],[Quantity Processed]]</f>
        <v>1</v>
      </c>
    </row>
    <row r="2152" spans="1:26">
      <c r="A2152" s="247" t="s">
        <v>467</v>
      </c>
      <c r="B2152" s="210" t="s">
        <v>68</v>
      </c>
      <c r="C2152" s="254" t="s">
        <v>1820</v>
      </c>
      <c r="D2152" s="255">
        <v>810</v>
      </c>
      <c r="E2152" s="211" t="s">
        <v>1949</v>
      </c>
      <c r="F2152" s="212">
        <v>43647</v>
      </c>
      <c r="G2152" s="213">
        <v>3</v>
      </c>
      <c r="H2152" s="256">
        <v>243</v>
      </c>
      <c r="I2152" s="214">
        <v>1463097</v>
      </c>
      <c r="J2152" s="215">
        <v>21600</v>
      </c>
      <c r="K2152" s="212">
        <v>43654</v>
      </c>
      <c r="L2152" s="211" t="s">
        <v>1961</v>
      </c>
      <c r="M2152" s="216">
        <v>4615445946</v>
      </c>
      <c r="N2152" s="212"/>
      <c r="O2152" s="218"/>
      <c r="P2152" s="219"/>
      <c r="Q2152" s="34">
        <f>SUMIF(Allocation[Delivery ID],Allocation[[#This Row],[Delivery ID]],Allocation[Quantity Processed])</f>
        <v>810</v>
      </c>
      <c r="R2152" s="61">
        <f>Allocation[[#This Row],[Total volume used]]/VLOOKUP(Allocation[[#This Row],[Delivery ID]],Delivery[[Delivery ID]:[Quantity delivered]],3,FALSE)</f>
        <v>0.20310932798395184</v>
      </c>
      <c r="S2152" s="34">
        <f>Allocation[[#This Row],[Quantity Processed]]/Allocation[[#This Row],[Dilution rate]]</f>
        <v>270</v>
      </c>
      <c r="T2152" s="59">
        <f>SUMIF(Allocation[Delivery ID],Allocation[[#This Row],[Delivery ID]],Allocation[Quantity allocated])/SUMIF(Allocation[Delivery ID],Allocation[[#This Row],[Delivery ID]],Allocation[Volume available (kg)])</f>
        <v>0.9</v>
      </c>
      <c r="U2152" s="61">
        <f>Allocation[[#This Row],[Total volume used]]/VLOOKUP(Allocation[[#This Row],[Delivery ID]],Delivery[[Delivery ID]:[Quantity delivered]],3,FALSE)</f>
        <v>0.20310932798395184</v>
      </c>
      <c r="V2152" s="34" t="e">
        <f>VLOOKUP(Allocation[[#This Row],[SAP Contract number]],Shipments[[SAP Contract number]:[Contracted container weight]],2,FALSE)</f>
        <v>#N/A</v>
      </c>
      <c r="W2152" s="34" t="e">
        <f>VLOOKUP(Allocation[[#This Row],[SAP Contract number]],Shipments[[SAP Contract number]:[AAA Premium USD]],24,FALSE)</f>
        <v>#N/A</v>
      </c>
      <c r="X2152" s="34" t="e">
        <f>VLOOKUP(Allocation[[#This Row],[SAP Contract number]],Shipments[[SAP Contract number]:[RA Premium USD]],25,FALSE)</f>
        <v>#N/A</v>
      </c>
      <c r="Y2152" s="38">
        <f>Allocation[[#This Row],[Quantity Processed]]/Allocation[[#This Row],[Quantity allocated]]</f>
        <v>3.3333333333333335</v>
      </c>
      <c r="Z2152" s="34" t="b">
        <f>Allocation[[#This Row],[Quantity allocated]]&lt;=Allocation[[#This Row],[Quantity Processed]]</f>
        <v>1</v>
      </c>
    </row>
    <row r="2153" spans="1:26">
      <c r="A2153" s="247" t="s">
        <v>467</v>
      </c>
      <c r="B2153" s="210" t="s">
        <v>68</v>
      </c>
      <c r="C2153" s="254" t="s">
        <v>1821</v>
      </c>
      <c r="D2153" s="255">
        <v>4820</v>
      </c>
      <c r="E2153" s="211" t="s">
        <v>1949</v>
      </c>
      <c r="F2153" s="212">
        <v>43647</v>
      </c>
      <c r="G2153" s="213">
        <v>3</v>
      </c>
      <c r="H2153" s="256">
        <v>1446</v>
      </c>
      <c r="I2153" s="214">
        <v>1463097</v>
      </c>
      <c r="J2153" s="215">
        <v>21600</v>
      </c>
      <c r="K2153" s="212">
        <v>43654</v>
      </c>
      <c r="L2153" s="211" t="s">
        <v>1961</v>
      </c>
      <c r="M2153" s="216">
        <v>4615445946</v>
      </c>
      <c r="N2153" s="212"/>
      <c r="O2153" s="218"/>
      <c r="P2153" s="219"/>
      <c r="Q2153" s="34">
        <f>SUMIF(Allocation[Delivery ID],Allocation[[#This Row],[Delivery ID]],Allocation[Quantity Processed])</f>
        <v>4820</v>
      </c>
      <c r="R2153" s="61">
        <f>Allocation[[#This Row],[Total volume used]]/VLOOKUP(Allocation[[#This Row],[Delivery ID]],Delivery[[Delivery ID]:[Quantity delivered]],3,FALSE)</f>
        <v>0.20295164108718078</v>
      </c>
      <c r="S2153" s="34">
        <f>Allocation[[#This Row],[Quantity Processed]]/Allocation[[#This Row],[Dilution rate]]</f>
        <v>1606.6666666666667</v>
      </c>
      <c r="T2153" s="59">
        <f>SUMIF(Allocation[Delivery ID],Allocation[[#This Row],[Delivery ID]],Allocation[Quantity allocated])/SUMIF(Allocation[Delivery ID],Allocation[[#This Row],[Delivery ID]],Allocation[Volume available (kg)])</f>
        <v>0.89999999999999991</v>
      </c>
      <c r="U2153" s="61">
        <f>Allocation[[#This Row],[Total volume used]]/VLOOKUP(Allocation[[#This Row],[Delivery ID]],Delivery[[Delivery ID]:[Quantity delivered]],3,FALSE)</f>
        <v>0.20295164108718078</v>
      </c>
      <c r="V2153" s="34" t="e">
        <f>VLOOKUP(Allocation[[#This Row],[SAP Contract number]],Shipments[[SAP Contract number]:[Contracted container weight]],2,FALSE)</f>
        <v>#N/A</v>
      </c>
      <c r="W2153" s="34" t="e">
        <f>VLOOKUP(Allocation[[#This Row],[SAP Contract number]],Shipments[[SAP Contract number]:[AAA Premium USD]],24,FALSE)</f>
        <v>#N/A</v>
      </c>
      <c r="X2153" s="34" t="e">
        <f>VLOOKUP(Allocation[[#This Row],[SAP Contract number]],Shipments[[SAP Contract number]:[RA Premium USD]],25,FALSE)</f>
        <v>#N/A</v>
      </c>
      <c r="Y2153" s="38">
        <f>Allocation[[#This Row],[Quantity Processed]]/Allocation[[#This Row],[Quantity allocated]]</f>
        <v>3.3333333333333335</v>
      </c>
      <c r="Z2153" s="34" t="b">
        <f>Allocation[[#This Row],[Quantity allocated]]&lt;=Allocation[[#This Row],[Quantity Processed]]</f>
        <v>1</v>
      </c>
    </row>
    <row r="2154" spans="1:26">
      <c r="A2154" s="247" t="s">
        <v>467</v>
      </c>
      <c r="B2154" s="210" t="s">
        <v>68</v>
      </c>
      <c r="C2154" s="254" t="s">
        <v>1822</v>
      </c>
      <c r="D2154" s="255">
        <v>687</v>
      </c>
      <c r="E2154" s="211" t="s">
        <v>1949</v>
      </c>
      <c r="F2154" s="212">
        <v>43647</v>
      </c>
      <c r="G2154" s="213">
        <v>3</v>
      </c>
      <c r="H2154" s="256">
        <v>206</v>
      </c>
      <c r="I2154" s="214">
        <v>1463097</v>
      </c>
      <c r="J2154" s="215">
        <v>21600</v>
      </c>
      <c r="K2154" s="212">
        <v>43654</v>
      </c>
      <c r="L2154" s="211" t="s">
        <v>1961</v>
      </c>
      <c r="M2154" s="216">
        <v>4615445946</v>
      </c>
      <c r="N2154" s="212"/>
      <c r="O2154" s="218"/>
      <c r="P2154" s="219"/>
      <c r="Q2154" s="34">
        <f>SUMIF(Allocation[Delivery ID],Allocation[[#This Row],[Delivery ID]],Allocation[Quantity Processed])</f>
        <v>687</v>
      </c>
      <c r="R2154" s="61">
        <f>Allocation[[#This Row],[Total volume used]]/VLOOKUP(Allocation[[#This Row],[Delivery ID]],Delivery[[Delivery ID]:[Quantity delivered]],3,FALSE)</f>
        <v>0.20295420974889217</v>
      </c>
      <c r="S2154" s="34">
        <f>Allocation[[#This Row],[Quantity Processed]]/Allocation[[#This Row],[Dilution rate]]</f>
        <v>229</v>
      </c>
      <c r="T2154" s="59">
        <f>SUMIF(Allocation[Delivery ID],Allocation[[#This Row],[Delivery ID]],Allocation[Quantity allocated])/SUMIF(Allocation[Delivery ID],Allocation[[#This Row],[Delivery ID]],Allocation[Volume available (kg)])</f>
        <v>0.89956331877729256</v>
      </c>
      <c r="U2154" s="61">
        <f>Allocation[[#This Row],[Total volume used]]/VLOOKUP(Allocation[[#This Row],[Delivery ID]],Delivery[[Delivery ID]:[Quantity delivered]],3,FALSE)</f>
        <v>0.20295420974889217</v>
      </c>
      <c r="V2154" s="34" t="e">
        <f>VLOOKUP(Allocation[[#This Row],[SAP Contract number]],Shipments[[SAP Contract number]:[Contracted container weight]],2,FALSE)</f>
        <v>#N/A</v>
      </c>
      <c r="W2154" s="34" t="e">
        <f>VLOOKUP(Allocation[[#This Row],[SAP Contract number]],Shipments[[SAP Contract number]:[AAA Premium USD]],24,FALSE)</f>
        <v>#N/A</v>
      </c>
      <c r="X2154" s="34" t="e">
        <f>VLOOKUP(Allocation[[#This Row],[SAP Contract number]],Shipments[[SAP Contract number]:[RA Premium USD]],25,FALSE)</f>
        <v>#N/A</v>
      </c>
      <c r="Y2154" s="38">
        <f>Allocation[[#This Row],[Quantity Processed]]/Allocation[[#This Row],[Quantity allocated]]</f>
        <v>3.3349514563106797</v>
      </c>
      <c r="Z2154" s="34" t="b">
        <f>Allocation[[#This Row],[Quantity allocated]]&lt;=Allocation[[#This Row],[Quantity Processed]]</f>
        <v>1</v>
      </c>
    </row>
    <row r="2155" spans="1:26">
      <c r="A2155" s="247" t="s">
        <v>467</v>
      </c>
      <c r="B2155" s="210" t="s">
        <v>68</v>
      </c>
      <c r="C2155" s="254" t="s">
        <v>1827</v>
      </c>
      <c r="D2155" s="255">
        <v>6470</v>
      </c>
      <c r="E2155" s="211" t="s">
        <v>1949</v>
      </c>
      <c r="F2155" s="212">
        <v>43647</v>
      </c>
      <c r="G2155" s="213">
        <v>3</v>
      </c>
      <c r="H2155" s="256">
        <v>1941</v>
      </c>
      <c r="I2155" s="214">
        <v>1463097</v>
      </c>
      <c r="J2155" s="215">
        <v>21600</v>
      </c>
      <c r="K2155" s="212">
        <v>43654</v>
      </c>
      <c r="L2155" s="211" t="s">
        <v>1961</v>
      </c>
      <c r="M2155" s="216">
        <v>4615445946</v>
      </c>
      <c r="N2155" s="212"/>
      <c r="O2155" s="218"/>
      <c r="P2155" s="219"/>
      <c r="Q2155" s="34">
        <f>SUMIF(Allocation[Delivery ID],Allocation[[#This Row],[Delivery ID]],Allocation[Quantity Processed])</f>
        <v>6470</v>
      </c>
      <c r="R2155" s="61">
        <f>Allocation[[#This Row],[Total volume used]]/VLOOKUP(Allocation[[#This Row],[Delivery ID]],Delivery[[Delivery ID]:[Quantity delivered]],3,FALSE)</f>
        <v>0.20293582585785083</v>
      </c>
      <c r="S2155" s="34">
        <f>Allocation[[#This Row],[Quantity Processed]]/Allocation[[#This Row],[Dilution rate]]</f>
        <v>2156.6666666666665</v>
      </c>
      <c r="T2155" s="59">
        <f>SUMIF(Allocation[Delivery ID],Allocation[[#This Row],[Delivery ID]],Allocation[Quantity allocated])/SUMIF(Allocation[Delivery ID],Allocation[[#This Row],[Delivery ID]],Allocation[Volume available (kg)])</f>
        <v>0.9</v>
      </c>
      <c r="U2155" s="61">
        <f>Allocation[[#This Row],[Total volume used]]/VLOOKUP(Allocation[[#This Row],[Delivery ID]],Delivery[[Delivery ID]:[Quantity delivered]],3,FALSE)</f>
        <v>0.20293582585785083</v>
      </c>
      <c r="V2155" s="34" t="e">
        <f>VLOOKUP(Allocation[[#This Row],[SAP Contract number]],Shipments[[SAP Contract number]:[Contracted container weight]],2,FALSE)</f>
        <v>#N/A</v>
      </c>
      <c r="W2155" s="34" t="e">
        <f>VLOOKUP(Allocation[[#This Row],[SAP Contract number]],Shipments[[SAP Contract number]:[AAA Premium USD]],24,FALSE)</f>
        <v>#N/A</v>
      </c>
      <c r="X2155" s="34" t="e">
        <f>VLOOKUP(Allocation[[#This Row],[SAP Contract number]],Shipments[[SAP Contract number]:[RA Premium USD]],25,FALSE)</f>
        <v>#N/A</v>
      </c>
      <c r="Y2155" s="38">
        <f>Allocation[[#This Row],[Quantity Processed]]/Allocation[[#This Row],[Quantity allocated]]</f>
        <v>3.3333333333333335</v>
      </c>
      <c r="Z2155" s="34" t="b">
        <f>Allocation[[#This Row],[Quantity allocated]]&lt;=Allocation[[#This Row],[Quantity Processed]]</f>
        <v>1</v>
      </c>
    </row>
    <row r="2156" spans="1:26">
      <c r="A2156" s="247" t="s">
        <v>467</v>
      </c>
      <c r="B2156" s="210" t="s">
        <v>68</v>
      </c>
      <c r="C2156" s="254" t="s">
        <v>1167</v>
      </c>
      <c r="D2156" s="255">
        <v>98</v>
      </c>
      <c r="E2156" s="211" t="s">
        <v>1949</v>
      </c>
      <c r="F2156" s="212">
        <v>43647</v>
      </c>
      <c r="G2156" s="213">
        <v>3</v>
      </c>
      <c r="H2156" s="256">
        <v>95</v>
      </c>
      <c r="I2156" s="214">
        <v>1463097</v>
      </c>
      <c r="J2156" s="215">
        <v>21600</v>
      </c>
      <c r="K2156" s="212">
        <v>43654</v>
      </c>
      <c r="L2156" s="211" t="s">
        <v>1961</v>
      </c>
      <c r="M2156" s="216">
        <v>4615445946</v>
      </c>
      <c r="N2156" s="212"/>
      <c r="O2156" s="218"/>
      <c r="P2156" s="219"/>
      <c r="Q2156" s="34">
        <f>SUMIF(Allocation[Delivery ID],Allocation[[#This Row],[Delivery ID]],Allocation[Quantity Processed])</f>
        <v>29950</v>
      </c>
      <c r="R2156" s="61">
        <f>Allocation[[#This Row],[Total volume used]]/VLOOKUP(Allocation[[#This Row],[Delivery ID]],Delivery[[Delivery ID]:[Quantity delivered]],3,FALSE)</f>
        <v>1</v>
      </c>
      <c r="S2156" s="34">
        <f>Allocation[[#This Row],[Quantity Processed]]/Allocation[[#This Row],[Dilution rate]]</f>
        <v>32.666666666666664</v>
      </c>
      <c r="T2156" s="59">
        <f>SUMIF(Allocation[Delivery ID],Allocation[[#This Row],[Delivery ID]],Allocation[Quantity allocated])/SUMIF(Allocation[Delivery ID],Allocation[[#This Row],[Delivery ID]],Allocation[Volume available (kg)])</f>
        <v>2.3907840155759827</v>
      </c>
      <c r="U2156" s="61">
        <f>Allocation[[#This Row],[Total volume used]]/VLOOKUP(Allocation[[#This Row],[Delivery ID]],Delivery[[Delivery ID]:[Quantity delivered]],3,FALSE)</f>
        <v>1</v>
      </c>
      <c r="V2156" s="34" t="e">
        <f>VLOOKUP(Allocation[[#This Row],[SAP Contract number]],Shipments[[SAP Contract number]:[Contracted container weight]],2,FALSE)</f>
        <v>#N/A</v>
      </c>
      <c r="W2156" s="34" t="e">
        <f>VLOOKUP(Allocation[[#This Row],[SAP Contract number]],Shipments[[SAP Contract number]:[AAA Premium USD]],24,FALSE)</f>
        <v>#N/A</v>
      </c>
      <c r="X2156" s="34" t="e">
        <f>VLOOKUP(Allocation[[#This Row],[SAP Contract number]],Shipments[[SAP Contract number]:[RA Premium USD]],25,FALSE)</f>
        <v>#N/A</v>
      </c>
      <c r="Y2156" s="38">
        <f>Allocation[[#This Row],[Quantity Processed]]/Allocation[[#This Row],[Quantity allocated]]</f>
        <v>1.0315789473684212</v>
      </c>
      <c r="Z2156" s="34" t="b">
        <f>Allocation[[#This Row],[Quantity allocated]]&lt;=Allocation[[#This Row],[Quantity Processed]]</f>
        <v>1</v>
      </c>
    </row>
    <row r="2157" spans="1:26">
      <c r="A2157" s="247" t="s">
        <v>467</v>
      </c>
      <c r="B2157" s="210" t="s">
        <v>68</v>
      </c>
      <c r="C2157" s="254" t="s">
        <v>1345</v>
      </c>
      <c r="D2157" s="255">
        <v>420</v>
      </c>
      <c r="E2157" s="211" t="s">
        <v>1962</v>
      </c>
      <c r="F2157" s="212">
        <v>43651</v>
      </c>
      <c r="G2157" s="213">
        <v>2.6</v>
      </c>
      <c r="H2157" s="256">
        <v>126</v>
      </c>
      <c r="I2157" s="214">
        <v>1466005</v>
      </c>
      <c r="J2157" s="215">
        <v>11700</v>
      </c>
      <c r="K2157" s="212">
        <v>43665</v>
      </c>
      <c r="L2157" s="211" t="s">
        <v>1963</v>
      </c>
      <c r="M2157" s="216">
        <v>4615447218</v>
      </c>
      <c r="N2157" s="212"/>
      <c r="O2157" s="218"/>
      <c r="P2157" s="219"/>
      <c r="Q2157" s="34">
        <f>SUMIF(Allocation[Delivery ID],Allocation[[#This Row],[Delivery ID]],Allocation[Quantity Processed])</f>
        <v>8100</v>
      </c>
      <c r="R2157" s="61">
        <f>Allocation[[#This Row],[Total volume used]]/VLOOKUP(Allocation[[#This Row],[Delivery ID]],Delivery[[Delivery ID]:[Quantity delivered]],3,FALSE)</f>
        <v>0.89601769911504425</v>
      </c>
      <c r="S2157" s="34">
        <f>Allocation[[#This Row],[Quantity Processed]]/Allocation[[#This Row],[Dilution rate]]</f>
        <v>161.53846153846152</v>
      </c>
      <c r="T2157" s="59">
        <f>SUMIF(Allocation[Delivery ID],Allocation[[#This Row],[Delivery ID]],Allocation[Quantity allocated])/SUMIF(Allocation[Delivery ID],Allocation[[#This Row],[Delivery ID]],Allocation[Volume available (kg)])</f>
        <v>0.79998733534744815</v>
      </c>
      <c r="U2157" s="61">
        <f>Allocation[[#This Row],[Total volume used]]/VLOOKUP(Allocation[[#This Row],[Delivery ID]],Delivery[[Delivery ID]:[Quantity delivered]],3,FALSE)</f>
        <v>0.89601769911504425</v>
      </c>
      <c r="V2157" s="34" t="e">
        <f>VLOOKUP(Allocation[[#This Row],[SAP Contract number]],Shipments[[SAP Contract number]:[Contracted container weight]],2,FALSE)</f>
        <v>#N/A</v>
      </c>
      <c r="W2157" s="34" t="e">
        <f>VLOOKUP(Allocation[[#This Row],[SAP Contract number]],Shipments[[SAP Contract number]:[AAA Premium USD]],24,FALSE)</f>
        <v>#N/A</v>
      </c>
      <c r="X2157" s="34" t="e">
        <f>VLOOKUP(Allocation[[#This Row],[SAP Contract number]],Shipments[[SAP Contract number]:[RA Premium USD]],25,FALSE)</f>
        <v>#N/A</v>
      </c>
      <c r="Y2157" s="38">
        <f>Allocation[[#This Row],[Quantity Processed]]/Allocation[[#This Row],[Quantity allocated]]</f>
        <v>3.3333333333333335</v>
      </c>
      <c r="Z2157" s="34" t="b">
        <f>Allocation[[#This Row],[Quantity allocated]]&lt;=Allocation[[#This Row],[Quantity Processed]]</f>
        <v>1</v>
      </c>
    </row>
    <row r="2158" spans="1:26">
      <c r="A2158" s="247" t="s">
        <v>467</v>
      </c>
      <c r="B2158" s="210" t="s">
        <v>68</v>
      </c>
      <c r="C2158" s="254" t="s">
        <v>1347</v>
      </c>
      <c r="D2158" s="255">
        <v>361</v>
      </c>
      <c r="E2158" s="211" t="s">
        <v>1962</v>
      </c>
      <c r="F2158" s="212">
        <v>43651</v>
      </c>
      <c r="G2158" s="213">
        <v>2.6</v>
      </c>
      <c r="H2158" s="256">
        <v>119</v>
      </c>
      <c r="I2158" s="214">
        <v>1466005</v>
      </c>
      <c r="J2158" s="215">
        <v>11700</v>
      </c>
      <c r="K2158" s="212">
        <v>43665</v>
      </c>
      <c r="L2158" s="211" t="s">
        <v>1963</v>
      </c>
      <c r="M2158" s="216">
        <v>4615447218</v>
      </c>
      <c r="N2158" s="212"/>
      <c r="O2158" s="218"/>
      <c r="P2158" s="219"/>
      <c r="Q2158" s="34">
        <f>SUMIF(Allocation[Delivery ID],Allocation[[#This Row],[Delivery ID]],Allocation[Quantity Processed])</f>
        <v>6949</v>
      </c>
      <c r="R2158" s="61">
        <f>Allocation[[#This Row],[Total volume used]]/VLOOKUP(Allocation[[#This Row],[Delivery ID]],Delivery[[Delivery ID]:[Quantity delivered]],3,FALSE)</f>
        <v>0.81274853801169589</v>
      </c>
      <c r="S2158" s="34">
        <f>Allocation[[#This Row],[Quantity Processed]]/Allocation[[#This Row],[Dilution rate]]</f>
        <v>138.84615384615384</v>
      </c>
      <c r="T2158" s="59">
        <f>SUMIF(Allocation[Delivery ID],Allocation[[#This Row],[Delivery ID]],Allocation[Quantity allocated])/SUMIF(Allocation[Delivery ID],Allocation[[#This Row],[Delivery ID]],Allocation[Volume available (kg)])</f>
        <v>0.87992200140259735</v>
      </c>
      <c r="U2158" s="61">
        <f>Allocation[[#This Row],[Total volume used]]/VLOOKUP(Allocation[[#This Row],[Delivery ID]],Delivery[[Delivery ID]:[Quantity delivered]],3,FALSE)</f>
        <v>0.81274853801169589</v>
      </c>
      <c r="V2158" s="34" t="e">
        <f>VLOOKUP(Allocation[[#This Row],[SAP Contract number]],Shipments[[SAP Contract number]:[Contracted container weight]],2,FALSE)</f>
        <v>#N/A</v>
      </c>
      <c r="W2158" s="34" t="e">
        <f>VLOOKUP(Allocation[[#This Row],[SAP Contract number]],Shipments[[SAP Contract number]:[AAA Premium USD]],24,FALSE)</f>
        <v>#N/A</v>
      </c>
      <c r="X2158" s="34" t="e">
        <f>VLOOKUP(Allocation[[#This Row],[SAP Contract number]],Shipments[[SAP Contract number]:[RA Premium USD]],25,FALSE)</f>
        <v>#N/A</v>
      </c>
      <c r="Y2158" s="38">
        <f>Allocation[[#This Row],[Quantity Processed]]/Allocation[[#This Row],[Quantity allocated]]</f>
        <v>3.0336134453781511</v>
      </c>
      <c r="Z2158" s="34" t="b">
        <f>Allocation[[#This Row],[Quantity allocated]]&lt;=Allocation[[#This Row],[Quantity Processed]]</f>
        <v>1</v>
      </c>
    </row>
    <row r="2159" spans="1:26">
      <c r="A2159" s="247" t="s">
        <v>467</v>
      </c>
      <c r="B2159" s="210" t="s">
        <v>68</v>
      </c>
      <c r="C2159" s="254" t="s">
        <v>1349</v>
      </c>
      <c r="D2159" s="255">
        <v>437</v>
      </c>
      <c r="E2159" s="211" t="s">
        <v>1962</v>
      </c>
      <c r="F2159" s="212">
        <v>43651</v>
      </c>
      <c r="G2159" s="213">
        <v>2.6</v>
      </c>
      <c r="H2159" s="256">
        <v>131</v>
      </c>
      <c r="I2159" s="214">
        <v>1466005</v>
      </c>
      <c r="J2159" s="215">
        <v>11700</v>
      </c>
      <c r="K2159" s="212">
        <v>43665</v>
      </c>
      <c r="L2159" s="211" t="s">
        <v>1963</v>
      </c>
      <c r="M2159" s="216">
        <v>4615447218</v>
      </c>
      <c r="N2159" s="212"/>
      <c r="O2159" s="218"/>
      <c r="P2159" s="219"/>
      <c r="Q2159" s="34">
        <f>SUMIF(Allocation[Delivery ID],Allocation[[#This Row],[Delivery ID]],Allocation[Quantity Processed])</f>
        <v>9307</v>
      </c>
      <c r="R2159" s="61">
        <f>Allocation[[#This Row],[Total volume used]]/VLOOKUP(Allocation[[#This Row],[Delivery ID]],Delivery[[Delivery ID]:[Quantity delivered]],3,FALSE)</f>
        <v>0.56406060606060604</v>
      </c>
      <c r="S2159" s="34">
        <f>Allocation[[#This Row],[Quantity Processed]]/Allocation[[#This Row],[Dilution rate]]</f>
        <v>168.07692307692307</v>
      </c>
      <c r="T2159" s="59">
        <f>SUMIF(Allocation[Delivery ID],Allocation[[#This Row],[Delivery ID]],Allocation[Quantity allocated])/SUMIF(Allocation[Delivery ID],Allocation[[#This Row],[Delivery ID]],Allocation[Volume available (kg)])</f>
        <v>0.80062990717625149</v>
      </c>
      <c r="U2159" s="61">
        <f>Allocation[[#This Row],[Total volume used]]/VLOOKUP(Allocation[[#This Row],[Delivery ID]],Delivery[[Delivery ID]:[Quantity delivered]],3,FALSE)</f>
        <v>0.56406060606060604</v>
      </c>
      <c r="V2159" s="34" t="e">
        <f>VLOOKUP(Allocation[[#This Row],[SAP Contract number]],Shipments[[SAP Contract number]:[Contracted container weight]],2,FALSE)</f>
        <v>#N/A</v>
      </c>
      <c r="W2159" s="34" t="e">
        <f>VLOOKUP(Allocation[[#This Row],[SAP Contract number]],Shipments[[SAP Contract number]:[AAA Premium USD]],24,FALSE)</f>
        <v>#N/A</v>
      </c>
      <c r="X2159" s="34" t="e">
        <f>VLOOKUP(Allocation[[#This Row],[SAP Contract number]],Shipments[[SAP Contract number]:[RA Premium USD]],25,FALSE)</f>
        <v>#N/A</v>
      </c>
      <c r="Y2159" s="38">
        <f>Allocation[[#This Row],[Quantity Processed]]/Allocation[[#This Row],[Quantity allocated]]</f>
        <v>3.33587786259542</v>
      </c>
      <c r="Z2159" s="34" t="b">
        <f>Allocation[[#This Row],[Quantity allocated]]&lt;=Allocation[[#This Row],[Quantity Processed]]</f>
        <v>1</v>
      </c>
    </row>
    <row r="2160" spans="1:26">
      <c r="A2160" s="247" t="s">
        <v>467</v>
      </c>
      <c r="B2160" s="210" t="s">
        <v>68</v>
      </c>
      <c r="C2160" s="254" t="s">
        <v>1351</v>
      </c>
      <c r="D2160" s="255">
        <v>320</v>
      </c>
      <c r="E2160" s="211" t="s">
        <v>1962</v>
      </c>
      <c r="F2160" s="212">
        <v>43651</v>
      </c>
      <c r="G2160" s="213">
        <v>2.6</v>
      </c>
      <c r="H2160" s="256">
        <v>96</v>
      </c>
      <c r="I2160" s="214">
        <v>1466005</v>
      </c>
      <c r="J2160" s="215">
        <v>11700</v>
      </c>
      <c r="K2160" s="212">
        <v>43665</v>
      </c>
      <c r="L2160" s="211" t="s">
        <v>1963</v>
      </c>
      <c r="M2160" s="216">
        <v>4615447218</v>
      </c>
      <c r="N2160" s="212"/>
      <c r="O2160" s="218"/>
      <c r="P2160" s="219"/>
      <c r="Q2160" s="34">
        <f>SUMIF(Allocation[Delivery ID],Allocation[[#This Row],[Delivery ID]],Allocation[Quantity Processed])</f>
        <v>6801</v>
      </c>
      <c r="R2160" s="61">
        <f>Allocation[[#This Row],[Total volume used]]/VLOOKUP(Allocation[[#This Row],[Delivery ID]],Delivery[[Delivery ID]:[Quantity delivered]],3,FALSE)</f>
        <v>0.56533665835411473</v>
      </c>
      <c r="S2160" s="34">
        <f>Allocation[[#This Row],[Quantity Processed]]/Allocation[[#This Row],[Dilution rate]]</f>
        <v>123.07692307692307</v>
      </c>
      <c r="T2160" s="59">
        <f>SUMIF(Allocation[Delivery ID],Allocation[[#This Row],[Delivery ID]],Allocation[Quantity allocated])/SUMIF(Allocation[Delivery ID],Allocation[[#This Row],[Delivery ID]],Allocation[Volume available (kg)])</f>
        <v>0.80054273598629144</v>
      </c>
      <c r="U2160" s="61">
        <f>Allocation[[#This Row],[Total volume used]]/VLOOKUP(Allocation[[#This Row],[Delivery ID]],Delivery[[Delivery ID]:[Quantity delivered]],3,FALSE)</f>
        <v>0.56533665835411473</v>
      </c>
      <c r="V2160" s="34" t="e">
        <f>VLOOKUP(Allocation[[#This Row],[SAP Contract number]],Shipments[[SAP Contract number]:[Contracted container weight]],2,FALSE)</f>
        <v>#N/A</v>
      </c>
      <c r="W2160" s="34" t="e">
        <f>VLOOKUP(Allocation[[#This Row],[SAP Contract number]],Shipments[[SAP Contract number]:[AAA Premium USD]],24,FALSE)</f>
        <v>#N/A</v>
      </c>
      <c r="X2160" s="34" t="e">
        <f>VLOOKUP(Allocation[[#This Row],[SAP Contract number]],Shipments[[SAP Contract number]:[RA Premium USD]],25,FALSE)</f>
        <v>#N/A</v>
      </c>
      <c r="Y2160" s="38">
        <f>Allocation[[#This Row],[Quantity Processed]]/Allocation[[#This Row],[Quantity allocated]]</f>
        <v>3.3333333333333335</v>
      </c>
      <c r="Z2160" s="34" t="b">
        <f>Allocation[[#This Row],[Quantity allocated]]&lt;=Allocation[[#This Row],[Quantity Processed]]</f>
        <v>1</v>
      </c>
    </row>
    <row r="2161" spans="1:26">
      <c r="A2161" s="247" t="s">
        <v>467</v>
      </c>
      <c r="B2161" s="210" t="s">
        <v>68</v>
      </c>
      <c r="C2161" s="254" t="s">
        <v>547</v>
      </c>
      <c r="D2161" s="255">
        <v>250</v>
      </c>
      <c r="E2161" s="211" t="s">
        <v>1962</v>
      </c>
      <c r="F2161" s="212">
        <v>43651</v>
      </c>
      <c r="G2161" s="213">
        <v>2.6</v>
      </c>
      <c r="H2161" s="256">
        <v>110</v>
      </c>
      <c r="I2161" s="214">
        <v>1466005</v>
      </c>
      <c r="J2161" s="215">
        <v>11700</v>
      </c>
      <c r="K2161" s="212">
        <v>43665</v>
      </c>
      <c r="L2161" s="211" t="s">
        <v>1963</v>
      </c>
      <c r="M2161" s="216">
        <v>4615447218</v>
      </c>
      <c r="N2161" s="212"/>
      <c r="O2161" s="218"/>
      <c r="P2161" s="219"/>
      <c r="Q2161" s="34">
        <f>SUMIF(Allocation[Delivery ID],Allocation[[#This Row],[Delivery ID]],Allocation[Quantity Processed])</f>
        <v>8706</v>
      </c>
      <c r="R2161" s="61">
        <f>Allocation[[#This Row],[Total volume used]]/VLOOKUP(Allocation[[#This Row],[Delivery ID]],Delivery[[Delivery ID]:[Quantity delivered]],3,FALSE)</f>
        <v>0.72550000000000003</v>
      </c>
      <c r="S2161" s="34">
        <f>Allocation[[#This Row],[Quantity Processed]]/Allocation[[#This Row],[Dilution rate]]</f>
        <v>96.153846153846146</v>
      </c>
      <c r="T2161" s="59">
        <f>SUMIF(Allocation[Delivery ID],Allocation[[#This Row],[Delivery ID]],Allocation[Quantity allocated])/SUMIF(Allocation[Delivery ID],Allocation[[#This Row],[Delivery ID]],Allocation[Volume available (kg)])</f>
        <v>1.0493621698535043</v>
      </c>
      <c r="U2161" s="61">
        <f>Allocation[[#This Row],[Total volume used]]/VLOOKUP(Allocation[[#This Row],[Delivery ID]],Delivery[[Delivery ID]:[Quantity delivered]],3,FALSE)</f>
        <v>0.72550000000000003</v>
      </c>
      <c r="V2161" s="34" t="e">
        <f>VLOOKUP(Allocation[[#This Row],[SAP Contract number]],Shipments[[SAP Contract number]:[Contracted container weight]],2,FALSE)</f>
        <v>#N/A</v>
      </c>
      <c r="W2161" s="34" t="e">
        <f>VLOOKUP(Allocation[[#This Row],[SAP Contract number]],Shipments[[SAP Contract number]:[AAA Premium USD]],24,FALSE)</f>
        <v>#N/A</v>
      </c>
      <c r="X2161" s="34" t="e">
        <f>VLOOKUP(Allocation[[#This Row],[SAP Contract number]],Shipments[[SAP Contract number]:[RA Premium USD]],25,FALSE)</f>
        <v>#N/A</v>
      </c>
      <c r="Y2161" s="38">
        <f>Allocation[[#This Row],[Quantity Processed]]/Allocation[[#This Row],[Quantity allocated]]</f>
        <v>2.2727272727272729</v>
      </c>
      <c r="Z2161" s="34" t="b">
        <f>Allocation[[#This Row],[Quantity allocated]]&lt;=Allocation[[#This Row],[Quantity Processed]]</f>
        <v>1</v>
      </c>
    </row>
    <row r="2162" spans="1:26">
      <c r="A2162" s="247" t="s">
        <v>467</v>
      </c>
      <c r="B2162" s="210" t="s">
        <v>68</v>
      </c>
      <c r="C2162" s="254" t="s">
        <v>1352</v>
      </c>
      <c r="D2162" s="255">
        <v>550</v>
      </c>
      <c r="E2162" s="211" t="s">
        <v>1962</v>
      </c>
      <c r="F2162" s="212">
        <v>43651</v>
      </c>
      <c r="G2162" s="213">
        <v>2.6</v>
      </c>
      <c r="H2162" s="256">
        <v>242</v>
      </c>
      <c r="I2162" s="214">
        <v>1466005</v>
      </c>
      <c r="J2162" s="215">
        <v>11700</v>
      </c>
      <c r="K2162" s="212">
        <v>43665</v>
      </c>
      <c r="L2162" s="211" t="s">
        <v>1963</v>
      </c>
      <c r="M2162" s="216">
        <v>4615447218</v>
      </c>
      <c r="N2162" s="212"/>
      <c r="O2162" s="218"/>
      <c r="P2162" s="219"/>
      <c r="Q2162" s="34">
        <f>SUMIF(Allocation[Delivery ID],Allocation[[#This Row],[Delivery ID]],Allocation[Quantity Processed])</f>
        <v>10573</v>
      </c>
      <c r="R2162" s="61">
        <f>Allocation[[#This Row],[Total volume used]]/VLOOKUP(Allocation[[#This Row],[Delivery ID]],Delivery[[Delivery ID]:[Quantity delivered]],3,FALSE)</f>
        <v>0.60869314910765693</v>
      </c>
      <c r="S2162" s="34">
        <f>Allocation[[#This Row],[Quantity Processed]]/Allocation[[#This Row],[Dilution rate]]</f>
        <v>211.53846153846152</v>
      </c>
      <c r="T2162" s="59">
        <f>SUMIF(Allocation[Delivery ID],Allocation[[#This Row],[Delivery ID]],Allocation[Quantity allocated])/SUMIF(Allocation[Delivery ID],Allocation[[#This Row],[Delivery ID]],Allocation[Volume available (kg)])</f>
        <v>1.1732834933779279</v>
      </c>
      <c r="U2162" s="61">
        <f>Allocation[[#This Row],[Total volume used]]/VLOOKUP(Allocation[[#This Row],[Delivery ID]],Delivery[[Delivery ID]:[Quantity delivered]],3,FALSE)</f>
        <v>0.60869314910765693</v>
      </c>
      <c r="V2162" s="34" t="e">
        <f>VLOOKUP(Allocation[[#This Row],[SAP Contract number]],Shipments[[SAP Contract number]:[Contracted container weight]],2,FALSE)</f>
        <v>#N/A</v>
      </c>
      <c r="W2162" s="34" t="e">
        <f>VLOOKUP(Allocation[[#This Row],[SAP Contract number]],Shipments[[SAP Contract number]:[AAA Premium USD]],24,FALSE)</f>
        <v>#N/A</v>
      </c>
      <c r="X2162" s="34" t="e">
        <f>VLOOKUP(Allocation[[#This Row],[SAP Contract number]],Shipments[[SAP Contract number]:[RA Premium USD]],25,FALSE)</f>
        <v>#N/A</v>
      </c>
      <c r="Y2162" s="38">
        <f>Allocation[[#This Row],[Quantity Processed]]/Allocation[[#This Row],[Quantity allocated]]</f>
        <v>2.2727272727272729</v>
      </c>
      <c r="Z2162" s="34" t="b">
        <f>Allocation[[#This Row],[Quantity allocated]]&lt;=Allocation[[#This Row],[Quantity Processed]]</f>
        <v>1</v>
      </c>
    </row>
    <row r="2163" spans="1:26">
      <c r="A2163" s="247" t="s">
        <v>467</v>
      </c>
      <c r="B2163" s="210" t="s">
        <v>68</v>
      </c>
      <c r="C2163" s="254" t="s">
        <v>1353</v>
      </c>
      <c r="D2163" s="255">
        <v>617</v>
      </c>
      <c r="E2163" s="211" t="s">
        <v>1962</v>
      </c>
      <c r="F2163" s="212">
        <v>43651</v>
      </c>
      <c r="G2163" s="213">
        <v>2.6</v>
      </c>
      <c r="H2163" s="256">
        <v>222</v>
      </c>
      <c r="I2163" s="214">
        <v>1466005</v>
      </c>
      <c r="J2163" s="215">
        <v>11700</v>
      </c>
      <c r="K2163" s="212">
        <v>43665</v>
      </c>
      <c r="L2163" s="211" t="s">
        <v>1963</v>
      </c>
      <c r="M2163" s="216">
        <v>4615447218</v>
      </c>
      <c r="N2163" s="212"/>
      <c r="O2163" s="218"/>
      <c r="P2163" s="219"/>
      <c r="Q2163" s="34">
        <f>SUMIF(Allocation[Delivery ID],Allocation[[#This Row],[Delivery ID]],Allocation[Quantity Processed])</f>
        <v>11879</v>
      </c>
      <c r="R2163" s="61">
        <f>Allocation[[#This Row],[Total volume used]]/VLOOKUP(Allocation[[#This Row],[Delivery ID]],Delivery[[Delivery ID]:[Quantity delivered]],3,FALSE)</f>
        <v>0.74523212045169385</v>
      </c>
      <c r="S2163" s="34">
        <f>Allocation[[#This Row],[Quantity Processed]]/Allocation[[#This Row],[Dilution rate]]</f>
        <v>237.30769230769229</v>
      </c>
      <c r="T2163" s="59">
        <f>SUMIF(Allocation[Delivery ID],Allocation[[#This Row],[Delivery ID]],Allocation[Quantity allocated])/SUMIF(Allocation[Delivery ID],Allocation[[#This Row],[Delivery ID]],Allocation[Volume available (kg)])</f>
        <v>0.95988762633416358</v>
      </c>
      <c r="U2163" s="61">
        <f>Allocation[[#This Row],[Total volume used]]/VLOOKUP(Allocation[[#This Row],[Delivery ID]],Delivery[[Delivery ID]:[Quantity delivered]],3,FALSE)</f>
        <v>0.74523212045169385</v>
      </c>
      <c r="V2163" s="34" t="e">
        <f>VLOOKUP(Allocation[[#This Row],[SAP Contract number]],Shipments[[SAP Contract number]:[Contracted container weight]],2,FALSE)</f>
        <v>#N/A</v>
      </c>
      <c r="W2163" s="34" t="e">
        <f>VLOOKUP(Allocation[[#This Row],[SAP Contract number]],Shipments[[SAP Contract number]:[AAA Premium USD]],24,FALSE)</f>
        <v>#N/A</v>
      </c>
      <c r="X2163" s="34" t="e">
        <f>VLOOKUP(Allocation[[#This Row],[SAP Contract number]],Shipments[[SAP Contract number]:[RA Premium USD]],25,FALSE)</f>
        <v>#N/A</v>
      </c>
      <c r="Y2163" s="38">
        <f>Allocation[[#This Row],[Quantity Processed]]/Allocation[[#This Row],[Quantity allocated]]</f>
        <v>2.7792792792792791</v>
      </c>
      <c r="Z2163" s="34" t="b">
        <f>Allocation[[#This Row],[Quantity allocated]]&lt;=Allocation[[#This Row],[Quantity Processed]]</f>
        <v>1</v>
      </c>
    </row>
    <row r="2164" spans="1:26">
      <c r="A2164" s="247" t="s">
        <v>467</v>
      </c>
      <c r="B2164" s="210" t="s">
        <v>68</v>
      </c>
      <c r="C2164" s="254" t="s">
        <v>1355</v>
      </c>
      <c r="D2164" s="255">
        <v>40</v>
      </c>
      <c r="E2164" s="211" t="s">
        <v>1962</v>
      </c>
      <c r="F2164" s="212">
        <v>43651</v>
      </c>
      <c r="G2164" s="213">
        <v>2.6</v>
      </c>
      <c r="H2164" s="256">
        <v>18</v>
      </c>
      <c r="I2164" s="214">
        <v>1466005</v>
      </c>
      <c r="J2164" s="215">
        <v>11700</v>
      </c>
      <c r="K2164" s="212">
        <v>43665</v>
      </c>
      <c r="L2164" s="211" t="s">
        <v>1963</v>
      </c>
      <c r="M2164" s="216">
        <v>4615447218</v>
      </c>
      <c r="N2164" s="212"/>
      <c r="O2164" s="218"/>
      <c r="P2164" s="219"/>
      <c r="Q2164" s="34">
        <f>SUMIF(Allocation[Delivery ID],Allocation[[#This Row],[Delivery ID]],Allocation[Quantity Processed])</f>
        <v>2650</v>
      </c>
      <c r="R2164" s="61">
        <f>Allocation[[#This Row],[Total volume used]]/VLOOKUP(Allocation[[#This Row],[Delivery ID]],Delivery[[Delivery ID]:[Quantity delivered]],3,FALSE)</f>
        <v>0.13548057259713703</v>
      </c>
      <c r="S2164" s="34">
        <f>Allocation[[#This Row],[Quantity Processed]]/Allocation[[#This Row],[Dilution rate]]</f>
        <v>15.384615384615383</v>
      </c>
      <c r="T2164" s="59">
        <f>SUMIF(Allocation[Delivery ID],Allocation[[#This Row],[Delivery ID]],Allocation[Quantity allocated])/SUMIF(Allocation[Delivery ID],Allocation[[#This Row],[Delivery ID]],Allocation[Volume available (kg)])</f>
        <v>0.99760834836771495</v>
      </c>
      <c r="U2164" s="61">
        <f>Allocation[[#This Row],[Total volume used]]/VLOOKUP(Allocation[[#This Row],[Delivery ID]],Delivery[[Delivery ID]:[Quantity delivered]],3,FALSE)</f>
        <v>0.13548057259713703</v>
      </c>
      <c r="V2164" s="34" t="e">
        <f>VLOOKUP(Allocation[[#This Row],[SAP Contract number]],Shipments[[SAP Contract number]:[Contracted container weight]],2,FALSE)</f>
        <v>#N/A</v>
      </c>
      <c r="W2164" s="34" t="e">
        <f>VLOOKUP(Allocation[[#This Row],[SAP Contract number]],Shipments[[SAP Contract number]:[AAA Premium USD]],24,FALSE)</f>
        <v>#N/A</v>
      </c>
      <c r="X2164" s="34" t="e">
        <f>VLOOKUP(Allocation[[#This Row],[SAP Contract number]],Shipments[[SAP Contract number]:[RA Premium USD]],25,FALSE)</f>
        <v>#N/A</v>
      </c>
      <c r="Y2164" s="38">
        <f>Allocation[[#This Row],[Quantity Processed]]/Allocation[[#This Row],[Quantity allocated]]</f>
        <v>2.2222222222222223</v>
      </c>
      <c r="Z2164" s="34" t="b">
        <f>Allocation[[#This Row],[Quantity allocated]]&lt;=Allocation[[#This Row],[Quantity Processed]]</f>
        <v>1</v>
      </c>
    </row>
    <row r="2165" spans="1:26">
      <c r="A2165" s="247" t="s">
        <v>467</v>
      </c>
      <c r="B2165" s="210" t="s">
        <v>68</v>
      </c>
      <c r="C2165" s="254" t="s">
        <v>1357</v>
      </c>
      <c r="D2165" s="255">
        <v>11</v>
      </c>
      <c r="E2165" s="211" t="s">
        <v>1962</v>
      </c>
      <c r="F2165" s="212">
        <v>43651</v>
      </c>
      <c r="G2165" s="213">
        <v>2.6</v>
      </c>
      <c r="H2165" s="256">
        <v>5</v>
      </c>
      <c r="I2165" s="214">
        <v>1466005</v>
      </c>
      <c r="J2165" s="215">
        <v>11700</v>
      </c>
      <c r="K2165" s="212">
        <v>43665</v>
      </c>
      <c r="L2165" s="211" t="s">
        <v>1963</v>
      </c>
      <c r="M2165" s="216">
        <v>4615447218</v>
      </c>
      <c r="N2165" s="212"/>
      <c r="O2165" s="218"/>
      <c r="P2165" s="219"/>
      <c r="Q2165" s="34">
        <f>SUMIF(Allocation[Delivery ID],Allocation[[#This Row],[Delivery ID]],Allocation[Quantity Processed])</f>
        <v>586</v>
      </c>
      <c r="R2165" s="61">
        <f>Allocation[[#This Row],[Total volume used]]/VLOOKUP(Allocation[[#This Row],[Delivery ID]],Delivery[[Delivery ID]:[Quantity delivered]],3,FALSE)</f>
        <v>0.10226876090750436</v>
      </c>
      <c r="S2165" s="34">
        <f>Allocation[[#This Row],[Quantity Processed]]/Allocation[[#This Row],[Dilution rate]]</f>
        <v>4.2307692307692308</v>
      </c>
      <c r="T2165" s="59">
        <f>SUMIF(Allocation[Delivery ID],Allocation[[#This Row],[Delivery ID]],Allocation[Quantity allocated])/SUMIF(Allocation[Delivery ID],Allocation[[#This Row],[Delivery ID]],Allocation[Volume available (kg)])</f>
        <v>1.0100696850305781</v>
      </c>
      <c r="U2165" s="61">
        <f>Allocation[[#This Row],[Total volume used]]/VLOOKUP(Allocation[[#This Row],[Delivery ID]],Delivery[[Delivery ID]:[Quantity delivered]],3,FALSE)</f>
        <v>0.10226876090750436</v>
      </c>
      <c r="V2165" s="34" t="e">
        <f>VLOOKUP(Allocation[[#This Row],[SAP Contract number]],Shipments[[SAP Contract number]:[Contracted container weight]],2,FALSE)</f>
        <v>#N/A</v>
      </c>
      <c r="W2165" s="34" t="e">
        <f>VLOOKUP(Allocation[[#This Row],[SAP Contract number]],Shipments[[SAP Contract number]:[AAA Premium USD]],24,FALSE)</f>
        <v>#N/A</v>
      </c>
      <c r="X2165" s="34" t="e">
        <f>VLOOKUP(Allocation[[#This Row],[SAP Contract number]],Shipments[[SAP Contract number]:[RA Premium USD]],25,FALSE)</f>
        <v>#N/A</v>
      </c>
      <c r="Y2165" s="38">
        <f>Allocation[[#This Row],[Quantity Processed]]/Allocation[[#This Row],[Quantity allocated]]</f>
        <v>2.2000000000000002</v>
      </c>
      <c r="Z2165" s="34" t="b">
        <f>Allocation[[#This Row],[Quantity allocated]]&lt;=Allocation[[#This Row],[Quantity Processed]]</f>
        <v>1</v>
      </c>
    </row>
    <row r="2166" spans="1:26">
      <c r="A2166" s="247" t="s">
        <v>467</v>
      </c>
      <c r="B2166" s="210" t="s">
        <v>68</v>
      </c>
      <c r="C2166" s="254" t="s">
        <v>549</v>
      </c>
      <c r="D2166" s="255">
        <v>198</v>
      </c>
      <c r="E2166" s="211" t="s">
        <v>1962</v>
      </c>
      <c r="F2166" s="212">
        <v>43651</v>
      </c>
      <c r="G2166" s="213">
        <v>2.6</v>
      </c>
      <c r="H2166" s="256">
        <v>97</v>
      </c>
      <c r="I2166" s="214">
        <v>1466005</v>
      </c>
      <c r="J2166" s="215">
        <v>11700</v>
      </c>
      <c r="K2166" s="212">
        <v>43665</v>
      </c>
      <c r="L2166" s="211" t="s">
        <v>1963</v>
      </c>
      <c r="M2166" s="216">
        <v>4615447218</v>
      </c>
      <c r="N2166" s="212"/>
      <c r="O2166" s="218"/>
      <c r="P2166" s="219"/>
      <c r="Q2166" s="34">
        <f>SUMIF(Allocation[Delivery ID],Allocation[[#This Row],[Delivery ID]],Allocation[Quantity Processed])</f>
        <v>5072</v>
      </c>
      <c r="R2166" s="61">
        <f>Allocation[[#This Row],[Total volume used]]/VLOOKUP(Allocation[[#This Row],[Delivery ID]],Delivery[[Delivery ID]:[Quantity delivered]],3,FALSE)</f>
        <v>0.84533333333333338</v>
      </c>
      <c r="S2166" s="34">
        <f>Allocation[[#This Row],[Quantity Processed]]/Allocation[[#This Row],[Dilution rate]]</f>
        <v>76.153846153846146</v>
      </c>
      <c r="T2166" s="59">
        <f>SUMIF(Allocation[Delivery ID],Allocation[[#This Row],[Delivery ID]],Allocation[Quantity allocated])/SUMIF(Allocation[Delivery ID],Allocation[[#This Row],[Delivery ID]],Allocation[Volume available (kg)])</f>
        <v>1.2229337091198389</v>
      </c>
      <c r="U2166" s="61">
        <f>Allocation[[#This Row],[Total volume used]]/VLOOKUP(Allocation[[#This Row],[Delivery ID]],Delivery[[Delivery ID]:[Quantity delivered]],3,FALSE)</f>
        <v>0.84533333333333338</v>
      </c>
      <c r="V2166" s="34" t="e">
        <f>VLOOKUP(Allocation[[#This Row],[SAP Contract number]],Shipments[[SAP Contract number]:[Contracted container weight]],2,FALSE)</f>
        <v>#N/A</v>
      </c>
      <c r="W2166" s="34" t="e">
        <f>VLOOKUP(Allocation[[#This Row],[SAP Contract number]],Shipments[[SAP Contract number]:[AAA Premium USD]],24,FALSE)</f>
        <v>#N/A</v>
      </c>
      <c r="X2166" s="34" t="e">
        <f>VLOOKUP(Allocation[[#This Row],[SAP Contract number]],Shipments[[SAP Contract number]:[RA Premium USD]],25,FALSE)</f>
        <v>#N/A</v>
      </c>
      <c r="Y2166" s="38">
        <f>Allocation[[#This Row],[Quantity Processed]]/Allocation[[#This Row],[Quantity allocated]]</f>
        <v>2.0412371134020617</v>
      </c>
      <c r="Z2166" s="34" t="b">
        <f>Allocation[[#This Row],[Quantity allocated]]&lt;=Allocation[[#This Row],[Quantity Processed]]</f>
        <v>1</v>
      </c>
    </row>
    <row r="2167" spans="1:26">
      <c r="A2167" s="247" t="s">
        <v>467</v>
      </c>
      <c r="B2167" s="210" t="s">
        <v>68</v>
      </c>
      <c r="C2167" s="254" t="s">
        <v>551</v>
      </c>
      <c r="D2167" s="255">
        <v>155</v>
      </c>
      <c r="E2167" s="211" t="s">
        <v>1962</v>
      </c>
      <c r="F2167" s="212">
        <v>43651</v>
      </c>
      <c r="G2167" s="213">
        <v>2.6</v>
      </c>
      <c r="H2167" s="256">
        <v>51</v>
      </c>
      <c r="I2167" s="214">
        <v>1466005</v>
      </c>
      <c r="J2167" s="215">
        <v>11700</v>
      </c>
      <c r="K2167" s="212">
        <v>43665</v>
      </c>
      <c r="L2167" s="211" t="s">
        <v>1963</v>
      </c>
      <c r="M2167" s="216">
        <v>4615447218</v>
      </c>
      <c r="N2167" s="212"/>
      <c r="O2167" s="218"/>
      <c r="P2167" s="219"/>
      <c r="Q2167" s="34">
        <f>SUMIF(Allocation[Delivery ID],Allocation[[#This Row],[Delivery ID]],Allocation[Quantity Processed])</f>
        <v>15141</v>
      </c>
      <c r="R2167" s="61">
        <f>Allocation[[#This Row],[Total volume used]]/VLOOKUP(Allocation[[#This Row],[Delivery ID]],Delivery[[Delivery ID]:[Quantity delivered]],3,FALSE)</f>
        <v>0.67443207126948779</v>
      </c>
      <c r="S2167" s="34">
        <f>Allocation[[#This Row],[Quantity Processed]]/Allocation[[#This Row],[Dilution rate]]</f>
        <v>59.615384615384613</v>
      </c>
      <c r="T2167" s="59">
        <f>SUMIF(Allocation[Delivery ID],Allocation[[#This Row],[Delivery ID]],Allocation[Quantity allocated])/SUMIF(Allocation[Delivery ID],Allocation[[#This Row],[Delivery ID]],Allocation[Volume available (kg)])</f>
        <v>0.72304231515186435</v>
      </c>
      <c r="U2167" s="61">
        <f>Allocation[[#This Row],[Total volume used]]/VLOOKUP(Allocation[[#This Row],[Delivery ID]],Delivery[[Delivery ID]:[Quantity delivered]],3,FALSE)</f>
        <v>0.67443207126948779</v>
      </c>
      <c r="V2167" s="34" t="e">
        <f>VLOOKUP(Allocation[[#This Row],[SAP Contract number]],Shipments[[SAP Contract number]:[Contracted container weight]],2,FALSE)</f>
        <v>#N/A</v>
      </c>
      <c r="W2167" s="34" t="e">
        <f>VLOOKUP(Allocation[[#This Row],[SAP Contract number]],Shipments[[SAP Contract number]:[AAA Premium USD]],24,FALSE)</f>
        <v>#N/A</v>
      </c>
      <c r="X2167" s="34" t="e">
        <f>VLOOKUP(Allocation[[#This Row],[SAP Contract number]],Shipments[[SAP Contract number]:[RA Premium USD]],25,FALSE)</f>
        <v>#N/A</v>
      </c>
      <c r="Y2167" s="38">
        <f>Allocation[[#This Row],[Quantity Processed]]/Allocation[[#This Row],[Quantity allocated]]</f>
        <v>3.0392156862745097</v>
      </c>
      <c r="Z2167" s="34" t="b">
        <f>Allocation[[#This Row],[Quantity allocated]]&lt;=Allocation[[#This Row],[Quantity Processed]]</f>
        <v>1</v>
      </c>
    </row>
    <row r="2168" spans="1:26">
      <c r="A2168" s="247" t="s">
        <v>467</v>
      </c>
      <c r="B2168" s="210" t="s">
        <v>68</v>
      </c>
      <c r="C2168" s="254" t="s">
        <v>553</v>
      </c>
      <c r="D2168" s="255">
        <v>161</v>
      </c>
      <c r="E2168" s="211" t="s">
        <v>1962</v>
      </c>
      <c r="F2168" s="212">
        <v>43651</v>
      </c>
      <c r="G2168" s="213">
        <v>2.6</v>
      </c>
      <c r="H2168" s="256">
        <v>53</v>
      </c>
      <c r="I2168" s="214">
        <v>1466005</v>
      </c>
      <c r="J2168" s="215">
        <v>11700</v>
      </c>
      <c r="K2168" s="212">
        <v>43665</v>
      </c>
      <c r="L2168" s="211" t="s">
        <v>1963</v>
      </c>
      <c r="M2168" s="216">
        <v>4615447218</v>
      </c>
      <c r="N2168" s="212"/>
      <c r="O2168" s="218"/>
      <c r="P2168" s="219"/>
      <c r="Q2168" s="34">
        <f>SUMIF(Allocation[Delivery ID],Allocation[[#This Row],[Delivery ID]],Allocation[Quantity Processed])</f>
        <v>15504</v>
      </c>
      <c r="R2168" s="61">
        <f>Allocation[[#This Row],[Total volume used]]/VLOOKUP(Allocation[[#This Row],[Delivery ID]],Delivery[[Delivery ID]:[Quantity delivered]],3,FALSE)</f>
        <v>0.67555555555555558</v>
      </c>
      <c r="S2168" s="34">
        <f>Allocation[[#This Row],[Quantity Processed]]/Allocation[[#This Row],[Dilution rate]]</f>
        <v>61.92307692307692</v>
      </c>
      <c r="T2168" s="59">
        <f>SUMIF(Allocation[Delivery ID],Allocation[[#This Row],[Delivery ID]],Allocation[Quantity allocated])/SUMIF(Allocation[Delivery ID],Allocation[[#This Row],[Delivery ID]],Allocation[Volume available (kg)])</f>
        <v>0.72304788105801232</v>
      </c>
      <c r="U2168" s="61">
        <f>Allocation[[#This Row],[Total volume used]]/VLOOKUP(Allocation[[#This Row],[Delivery ID]],Delivery[[Delivery ID]:[Quantity delivered]],3,FALSE)</f>
        <v>0.67555555555555558</v>
      </c>
      <c r="V2168" s="34" t="e">
        <f>VLOOKUP(Allocation[[#This Row],[SAP Contract number]],Shipments[[SAP Contract number]:[Contracted container weight]],2,FALSE)</f>
        <v>#N/A</v>
      </c>
      <c r="W2168" s="34" t="e">
        <f>VLOOKUP(Allocation[[#This Row],[SAP Contract number]],Shipments[[SAP Contract number]:[AAA Premium USD]],24,FALSE)</f>
        <v>#N/A</v>
      </c>
      <c r="X2168" s="34" t="e">
        <f>VLOOKUP(Allocation[[#This Row],[SAP Contract number]],Shipments[[SAP Contract number]:[RA Premium USD]],25,FALSE)</f>
        <v>#N/A</v>
      </c>
      <c r="Y2168" s="38">
        <f>Allocation[[#This Row],[Quantity Processed]]/Allocation[[#This Row],[Quantity allocated]]</f>
        <v>3.0377358490566038</v>
      </c>
      <c r="Z2168" s="34" t="b">
        <f>Allocation[[#This Row],[Quantity allocated]]&lt;=Allocation[[#This Row],[Quantity Processed]]</f>
        <v>1</v>
      </c>
    </row>
    <row r="2169" spans="1:26">
      <c r="A2169" s="247" t="s">
        <v>467</v>
      </c>
      <c r="B2169" s="210" t="s">
        <v>68</v>
      </c>
      <c r="C2169" s="254" t="s">
        <v>554</v>
      </c>
      <c r="D2169" s="255">
        <v>136</v>
      </c>
      <c r="E2169" s="211" t="s">
        <v>1962</v>
      </c>
      <c r="F2169" s="212">
        <v>43651</v>
      </c>
      <c r="G2169" s="213">
        <v>2.6</v>
      </c>
      <c r="H2169" s="256">
        <v>45</v>
      </c>
      <c r="I2169" s="214">
        <v>1466005</v>
      </c>
      <c r="J2169" s="215">
        <v>11700</v>
      </c>
      <c r="K2169" s="212">
        <v>43665</v>
      </c>
      <c r="L2169" s="211" t="s">
        <v>1963</v>
      </c>
      <c r="M2169" s="216">
        <v>4615447218</v>
      </c>
      <c r="N2169" s="212"/>
      <c r="O2169" s="218"/>
      <c r="P2169" s="219"/>
      <c r="Q2169" s="34">
        <f>SUMIF(Allocation[Delivery ID],Allocation[[#This Row],[Delivery ID]],Allocation[Quantity Processed])</f>
        <v>13277</v>
      </c>
      <c r="R2169" s="61">
        <f>Allocation[[#This Row],[Total volume used]]/VLOOKUP(Allocation[[#This Row],[Delivery ID]],Delivery[[Delivery ID]:[Quantity delivered]],3,FALSE)</f>
        <v>0.67464430894308947</v>
      </c>
      <c r="S2169" s="34">
        <f>Allocation[[#This Row],[Quantity Processed]]/Allocation[[#This Row],[Dilution rate]]</f>
        <v>52.307692307692307</v>
      </c>
      <c r="T2169" s="59">
        <f>SUMIF(Allocation[Delivery ID],Allocation[[#This Row],[Delivery ID]],Allocation[Quantity allocated])/SUMIF(Allocation[Delivery ID],Allocation[[#This Row],[Delivery ID]],Allocation[Volume available (kg)])</f>
        <v>0.72304006354556072</v>
      </c>
      <c r="U2169" s="61">
        <f>Allocation[[#This Row],[Total volume used]]/VLOOKUP(Allocation[[#This Row],[Delivery ID]],Delivery[[Delivery ID]:[Quantity delivered]],3,FALSE)</f>
        <v>0.67464430894308947</v>
      </c>
      <c r="V2169" s="34" t="e">
        <f>VLOOKUP(Allocation[[#This Row],[SAP Contract number]],Shipments[[SAP Contract number]:[Contracted container weight]],2,FALSE)</f>
        <v>#N/A</v>
      </c>
      <c r="W2169" s="34" t="e">
        <f>VLOOKUP(Allocation[[#This Row],[SAP Contract number]],Shipments[[SAP Contract number]:[AAA Premium USD]],24,FALSE)</f>
        <v>#N/A</v>
      </c>
      <c r="X2169" s="34" t="e">
        <f>VLOOKUP(Allocation[[#This Row],[SAP Contract number]],Shipments[[SAP Contract number]:[RA Premium USD]],25,FALSE)</f>
        <v>#N/A</v>
      </c>
      <c r="Y2169" s="38">
        <f>Allocation[[#This Row],[Quantity Processed]]/Allocation[[#This Row],[Quantity allocated]]</f>
        <v>3.0222222222222221</v>
      </c>
      <c r="Z2169" s="34" t="b">
        <f>Allocation[[#This Row],[Quantity allocated]]&lt;=Allocation[[#This Row],[Quantity Processed]]</f>
        <v>1</v>
      </c>
    </row>
    <row r="2170" spans="1:26">
      <c r="A2170" s="247" t="s">
        <v>467</v>
      </c>
      <c r="B2170" s="210" t="s">
        <v>68</v>
      </c>
      <c r="C2170" s="254" t="s">
        <v>1358</v>
      </c>
      <c r="D2170" s="255">
        <v>93</v>
      </c>
      <c r="E2170" s="211" t="s">
        <v>1962</v>
      </c>
      <c r="F2170" s="212">
        <v>43651</v>
      </c>
      <c r="G2170" s="213">
        <v>2.6</v>
      </c>
      <c r="H2170" s="256">
        <v>28</v>
      </c>
      <c r="I2170" s="214">
        <v>1466005</v>
      </c>
      <c r="J2170" s="215">
        <v>11700</v>
      </c>
      <c r="K2170" s="212">
        <v>43665</v>
      </c>
      <c r="L2170" s="211" t="s">
        <v>1963</v>
      </c>
      <c r="M2170" s="216">
        <v>4615447218</v>
      </c>
      <c r="N2170" s="212"/>
      <c r="O2170" s="218"/>
      <c r="P2170" s="219"/>
      <c r="Q2170" s="34">
        <f>SUMIF(Allocation[Delivery ID],Allocation[[#This Row],[Delivery ID]],Allocation[Quantity Processed])</f>
        <v>1923</v>
      </c>
      <c r="R2170" s="61">
        <f>Allocation[[#This Row],[Total volume used]]/VLOOKUP(Allocation[[#This Row],[Delivery ID]],Delivery[[Delivery ID]:[Quantity delivered]],3,FALSE)</f>
        <v>0.32050000000000001</v>
      </c>
      <c r="S2170" s="34">
        <f>Allocation[[#This Row],[Quantity Processed]]/Allocation[[#This Row],[Dilution rate]]</f>
        <v>35.769230769230766</v>
      </c>
      <c r="T2170" s="59">
        <f>SUMIF(Allocation[Delivery ID],Allocation[[#This Row],[Delivery ID]],Allocation[Quantity allocated])/SUMIF(Allocation[Delivery ID],Allocation[[#This Row],[Delivery ID]],Allocation[Volume available (kg)])</f>
        <v>0.80061634793682046</v>
      </c>
      <c r="U2170" s="61">
        <f>Allocation[[#This Row],[Total volume used]]/VLOOKUP(Allocation[[#This Row],[Delivery ID]],Delivery[[Delivery ID]:[Quantity delivered]],3,FALSE)</f>
        <v>0.32050000000000001</v>
      </c>
      <c r="V2170" s="34" t="e">
        <f>VLOOKUP(Allocation[[#This Row],[SAP Contract number]],Shipments[[SAP Contract number]:[Contracted container weight]],2,FALSE)</f>
        <v>#N/A</v>
      </c>
      <c r="W2170" s="34" t="e">
        <f>VLOOKUP(Allocation[[#This Row],[SAP Contract number]],Shipments[[SAP Contract number]:[AAA Premium USD]],24,FALSE)</f>
        <v>#N/A</v>
      </c>
      <c r="X2170" s="34" t="e">
        <f>VLOOKUP(Allocation[[#This Row],[SAP Contract number]],Shipments[[SAP Contract number]:[RA Premium USD]],25,FALSE)</f>
        <v>#N/A</v>
      </c>
      <c r="Y2170" s="38">
        <f>Allocation[[#This Row],[Quantity Processed]]/Allocation[[#This Row],[Quantity allocated]]</f>
        <v>3.3214285714285716</v>
      </c>
      <c r="Z2170" s="34" t="b">
        <f>Allocation[[#This Row],[Quantity allocated]]&lt;=Allocation[[#This Row],[Quantity Processed]]</f>
        <v>1</v>
      </c>
    </row>
    <row r="2171" spans="1:26">
      <c r="A2171" s="247" t="s">
        <v>467</v>
      </c>
      <c r="B2171" s="210" t="s">
        <v>68</v>
      </c>
      <c r="C2171" s="254" t="s">
        <v>559</v>
      </c>
      <c r="D2171" s="255">
        <v>158</v>
      </c>
      <c r="E2171" s="211" t="s">
        <v>1962</v>
      </c>
      <c r="F2171" s="212">
        <v>43651</v>
      </c>
      <c r="G2171" s="213">
        <v>2.6</v>
      </c>
      <c r="H2171" s="256">
        <v>52</v>
      </c>
      <c r="I2171" s="214">
        <v>1466005</v>
      </c>
      <c r="J2171" s="215">
        <v>11700</v>
      </c>
      <c r="K2171" s="212">
        <v>43665</v>
      </c>
      <c r="L2171" s="211" t="s">
        <v>1963</v>
      </c>
      <c r="M2171" s="216">
        <v>4615447218</v>
      </c>
      <c r="N2171" s="212"/>
      <c r="O2171" s="218"/>
      <c r="P2171" s="219"/>
      <c r="Q2171" s="34">
        <f>SUMIF(Allocation[Delivery ID],Allocation[[#This Row],[Delivery ID]],Allocation[Quantity Processed])</f>
        <v>15180</v>
      </c>
      <c r="R2171" s="61">
        <f>Allocation[[#This Row],[Total volume used]]/VLOOKUP(Allocation[[#This Row],[Delivery ID]],Delivery[[Delivery ID]:[Quantity delivered]],3,FALSE)</f>
        <v>0.67496665184526461</v>
      </c>
      <c r="S2171" s="34">
        <f>Allocation[[#This Row],[Quantity Processed]]/Allocation[[#This Row],[Dilution rate]]</f>
        <v>60.769230769230766</v>
      </c>
      <c r="T2171" s="59">
        <f>SUMIF(Allocation[Delivery ID],Allocation[[#This Row],[Delivery ID]],Allocation[Quantity allocated])/SUMIF(Allocation[Delivery ID],Allocation[[#This Row],[Delivery ID]],Allocation[Volume available (kg)])</f>
        <v>0.72304148531501</v>
      </c>
      <c r="U2171" s="61">
        <f>Allocation[[#This Row],[Total volume used]]/VLOOKUP(Allocation[[#This Row],[Delivery ID]],Delivery[[Delivery ID]:[Quantity delivered]],3,FALSE)</f>
        <v>0.67496665184526461</v>
      </c>
      <c r="V2171" s="34" t="e">
        <f>VLOOKUP(Allocation[[#This Row],[SAP Contract number]],Shipments[[SAP Contract number]:[Contracted container weight]],2,FALSE)</f>
        <v>#N/A</v>
      </c>
      <c r="W2171" s="34" t="e">
        <f>VLOOKUP(Allocation[[#This Row],[SAP Contract number]],Shipments[[SAP Contract number]:[AAA Premium USD]],24,FALSE)</f>
        <v>#N/A</v>
      </c>
      <c r="X2171" s="34" t="e">
        <f>VLOOKUP(Allocation[[#This Row],[SAP Contract number]],Shipments[[SAP Contract number]:[RA Premium USD]],25,FALSE)</f>
        <v>#N/A</v>
      </c>
      <c r="Y2171" s="38">
        <f>Allocation[[#This Row],[Quantity Processed]]/Allocation[[#This Row],[Quantity allocated]]</f>
        <v>3.0384615384615383</v>
      </c>
      <c r="Z2171" s="34" t="b">
        <f>Allocation[[#This Row],[Quantity allocated]]&lt;=Allocation[[#This Row],[Quantity Processed]]</f>
        <v>1</v>
      </c>
    </row>
    <row r="2172" spans="1:26">
      <c r="A2172" s="247" t="s">
        <v>467</v>
      </c>
      <c r="B2172" s="210" t="s">
        <v>68</v>
      </c>
      <c r="C2172" s="254" t="s">
        <v>1361</v>
      </c>
      <c r="D2172" s="255">
        <v>282</v>
      </c>
      <c r="E2172" s="211" t="s">
        <v>1962</v>
      </c>
      <c r="F2172" s="212">
        <v>43651</v>
      </c>
      <c r="G2172" s="213">
        <v>2.6</v>
      </c>
      <c r="H2172" s="256">
        <v>93</v>
      </c>
      <c r="I2172" s="214">
        <v>1466005</v>
      </c>
      <c r="J2172" s="215">
        <v>11700</v>
      </c>
      <c r="K2172" s="212">
        <v>43665</v>
      </c>
      <c r="L2172" s="211" t="s">
        <v>1963</v>
      </c>
      <c r="M2172" s="216">
        <v>4615447218</v>
      </c>
      <c r="N2172" s="212"/>
      <c r="O2172" s="218"/>
      <c r="P2172" s="219"/>
      <c r="Q2172" s="34">
        <f>SUMIF(Allocation[Delivery ID],Allocation[[#This Row],[Delivery ID]],Allocation[Quantity Processed])</f>
        <v>6366</v>
      </c>
      <c r="R2172" s="61">
        <f>Allocation[[#This Row],[Total volume used]]/VLOOKUP(Allocation[[#This Row],[Delivery ID]],Delivery[[Delivery ID]:[Quantity delivered]],3,FALSE)</f>
        <v>0.42383488681757658</v>
      </c>
      <c r="S2172" s="34">
        <f>Allocation[[#This Row],[Quantity Processed]]/Allocation[[#This Row],[Dilution rate]]</f>
        <v>108.46153846153845</v>
      </c>
      <c r="T2172" s="59">
        <f>SUMIF(Allocation[Delivery ID],Allocation[[#This Row],[Delivery ID]],Allocation[Quantity allocated])/SUMIF(Allocation[Delivery ID],Allocation[[#This Row],[Delivery ID]],Allocation[Volume available (kg)])</f>
        <v>0.87691692120759035</v>
      </c>
      <c r="U2172" s="61">
        <f>Allocation[[#This Row],[Total volume used]]/VLOOKUP(Allocation[[#This Row],[Delivery ID]],Delivery[[Delivery ID]:[Quantity delivered]],3,FALSE)</f>
        <v>0.42383488681757658</v>
      </c>
      <c r="V2172" s="34" t="e">
        <f>VLOOKUP(Allocation[[#This Row],[SAP Contract number]],Shipments[[SAP Contract number]:[Contracted container weight]],2,FALSE)</f>
        <v>#N/A</v>
      </c>
      <c r="W2172" s="34" t="e">
        <f>VLOOKUP(Allocation[[#This Row],[SAP Contract number]],Shipments[[SAP Contract number]:[AAA Premium USD]],24,FALSE)</f>
        <v>#N/A</v>
      </c>
      <c r="X2172" s="34" t="e">
        <f>VLOOKUP(Allocation[[#This Row],[SAP Contract number]],Shipments[[SAP Contract number]:[RA Premium USD]],25,FALSE)</f>
        <v>#N/A</v>
      </c>
      <c r="Y2172" s="38">
        <f>Allocation[[#This Row],[Quantity Processed]]/Allocation[[#This Row],[Quantity allocated]]</f>
        <v>3.032258064516129</v>
      </c>
      <c r="Z2172" s="34" t="b">
        <f>Allocation[[#This Row],[Quantity allocated]]&lt;=Allocation[[#This Row],[Quantity Processed]]</f>
        <v>1</v>
      </c>
    </row>
    <row r="2173" spans="1:26">
      <c r="A2173" s="247" t="s">
        <v>467</v>
      </c>
      <c r="B2173" s="210" t="s">
        <v>68</v>
      </c>
      <c r="C2173" s="254" t="s">
        <v>561</v>
      </c>
      <c r="D2173" s="255">
        <v>321</v>
      </c>
      <c r="E2173" s="211" t="s">
        <v>1962</v>
      </c>
      <c r="F2173" s="212">
        <v>43651</v>
      </c>
      <c r="G2173" s="213">
        <v>2.6</v>
      </c>
      <c r="H2173" s="256">
        <v>106</v>
      </c>
      <c r="I2173" s="214">
        <v>1466005</v>
      </c>
      <c r="J2173" s="215">
        <v>11700</v>
      </c>
      <c r="K2173" s="212">
        <v>43665</v>
      </c>
      <c r="L2173" s="211" t="s">
        <v>1963</v>
      </c>
      <c r="M2173" s="216">
        <v>4615447218</v>
      </c>
      <c r="N2173" s="212"/>
      <c r="O2173" s="218"/>
      <c r="P2173" s="219"/>
      <c r="Q2173" s="34">
        <f>SUMIF(Allocation[Delivery ID],Allocation[[#This Row],[Delivery ID]],Allocation[Quantity Processed])</f>
        <v>10736</v>
      </c>
      <c r="R2173" s="61">
        <f>Allocation[[#This Row],[Total volume used]]/VLOOKUP(Allocation[[#This Row],[Delivery ID]],Delivery[[Delivery ID]:[Quantity delivered]],3,FALSE)</f>
        <v>0.93356521739130438</v>
      </c>
      <c r="S2173" s="34">
        <f>Allocation[[#This Row],[Quantity Processed]]/Allocation[[#This Row],[Dilution rate]]</f>
        <v>123.46153846153845</v>
      </c>
      <c r="T2173" s="59">
        <f>SUMIF(Allocation[Delivery ID],Allocation[[#This Row],[Delivery ID]],Allocation[Quantity allocated])/SUMIF(Allocation[Delivery ID],Allocation[[#This Row],[Delivery ID]],Allocation[Volume available (kg)])</f>
        <v>0.8212168824808399</v>
      </c>
      <c r="U2173" s="61">
        <f>Allocation[[#This Row],[Total volume used]]/VLOOKUP(Allocation[[#This Row],[Delivery ID]],Delivery[[Delivery ID]:[Quantity delivered]],3,FALSE)</f>
        <v>0.93356521739130438</v>
      </c>
      <c r="V2173" s="34" t="e">
        <f>VLOOKUP(Allocation[[#This Row],[SAP Contract number]],Shipments[[SAP Contract number]:[Contracted container weight]],2,FALSE)</f>
        <v>#N/A</v>
      </c>
      <c r="W2173" s="34" t="e">
        <f>VLOOKUP(Allocation[[#This Row],[SAP Contract number]],Shipments[[SAP Contract number]:[AAA Premium USD]],24,FALSE)</f>
        <v>#N/A</v>
      </c>
      <c r="X2173" s="34" t="e">
        <f>VLOOKUP(Allocation[[#This Row],[SAP Contract number]],Shipments[[SAP Contract number]:[RA Premium USD]],25,FALSE)</f>
        <v>#N/A</v>
      </c>
      <c r="Y2173" s="38">
        <f>Allocation[[#This Row],[Quantity Processed]]/Allocation[[#This Row],[Quantity allocated]]</f>
        <v>3.0283018867924527</v>
      </c>
      <c r="Z2173" s="34" t="b">
        <f>Allocation[[#This Row],[Quantity allocated]]&lt;=Allocation[[#This Row],[Quantity Processed]]</f>
        <v>1</v>
      </c>
    </row>
    <row r="2174" spans="1:26">
      <c r="A2174" s="247" t="s">
        <v>467</v>
      </c>
      <c r="B2174" s="210" t="s">
        <v>68</v>
      </c>
      <c r="C2174" s="254" t="s">
        <v>1363</v>
      </c>
      <c r="D2174" s="255">
        <v>1788</v>
      </c>
      <c r="E2174" s="211" t="s">
        <v>1962</v>
      </c>
      <c r="F2174" s="212">
        <v>43651</v>
      </c>
      <c r="G2174" s="213">
        <v>2.6</v>
      </c>
      <c r="H2174" s="256">
        <v>590</v>
      </c>
      <c r="I2174" s="214">
        <v>1466005</v>
      </c>
      <c r="J2174" s="215">
        <v>11700</v>
      </c>
      <c r="K2174" s="212">
        <v>43665</v>
      </c>
      <c r="L2174" s="211" t="s">
        <v>1963</v>
      </c>
      <c r="M2174" s="216">
        <v>4615447218</v>
      </c>
      <c r="N2174" s="212"/>
      <c r="O2174" s="218"/>
      <c r="P2174" s="219"/>
      <c r="Q2174" s="34">
        <f>SUMIF(Allocation[Delivery ID],Allocation[[#This Row],[Delivery ID]],Allocation[Quantity Processed])</f>
        <v>4040</v>
      </c>
      <c r="R2174" s="61">
        <f>Allocation[[#This Row],[Total volume used]]/VLOOKUP(Allocation[[#This Row],[Delivery ID]],Delivery[[Delivery ID]:[Quantity delivered]],3,FALSE)</f>
        <v>1</v>
      </c>
      <c r="S2174" s="34">
        <f>Allocation[[#This Row],[Quantity Processed]]/Allocation[[#This Row],[Dilution rate]]</f>
        <v>687.69230769230762</v>
      </c>
      <c r="T2174" s="59">
        <f>SUMIF(Allocation[Delivery ID],Allocation[[#This Row],[Delivery ID]],Allocation[Quantity allocated])/SUMIF(Allocation[Delivery ID],Allocation[[#This Row],[Delivery ID]],Allocation[Volume available (kg)])</f>
        <v>0.87595574194031545</v>
      </c>
      <c r="U2174" s="61">
        <f>Allocation[[#This Row],[Total volume used]]/VLOOKUP(Allocation[[#This Row],[Delivery ID]],Delivery[[Delivery ID]:[Quantity delivered]],3,FALSE)</f>
        <v>1</v>
      </c>
      <c r="V2174" s="34" t="e">
        <f>VLOOKUP(Allocation[[#This Row],[SAP Contract number]],Shipments[[SAP Contract number]:[Contracted container weight]],2,FALSE)</f>
        <v>#N/A</v>
      </c>
      <c r="W2174" s="34" t="e">
        <f>VLOOKUP(Allocation[[#This Row],[SAP Contract number]],Shipments[[SAP Contract number]:[AAA Premium USD]],24,FALSE)</f>
        <v>#N/A</v>
      </c>
      <c r="X2174" s="34" t="e">
        <f>VLOOKUP(Allocation[[#This Row],[SAP Contract number]],Shipments[[SAP Contract number]:[RA Premium USD]],25,FALSE)</f>
        <v>#N/A</v>
      </c>
      <c r="Y2174" s="38">
        <f>Allocation[[#This Row],[Quantity Processed]]/Allocation[[#This Row],[Quantity allocated]]</f>
        <v>3.0305084745762714</v>
      </c>
      <c r="Z2174" s="34" t="b">
        <f>Allocation[[#This Row],[Quantity allocated]]&lt;=Allocation[[#This Row],[Quantity Processed]]</f>
        <v>1</v>
      </c>
    </row>
    <row r="2175" spans="1:26">
      <c r="A2175" s="247" t="s">
        <v>467</v>
      </c>
      <c r="B2175" s="210" t="s">
        <v>68</v>
      </c>
      <c r="C2175" s="254" t="s">
        <v>1365</v>
      </c>
      <c r="D2175" s="255">
        <v>1792</v>
      </c>
      <c r="E2175" s="211" t="s">
        <v>1962</v>
      </c>
      <c r="F2175" s="212">
        <v>43651</v>
      </c>
      <c r="G2175" s="213">
        <v>2.6</v>
      </c>
      <c r="H2175" s="256">
        <v>592</v>
      </c>
      <c r="I2175" s="214">
        <v>1466005</v>
      </c>
      <c r="J2175" s="215">
        <v>11700</v>
      </c>
      <c r="K2175" s="212">
        <v>43665</v>
      </c>
      <c r="L2175" s="211" t="s">
        <v>1963</v>
      </c>
      <c r="M2175" s="216">
        <v>4615447218</v>
      </c>
      <c r="N2175" s="212"/>
      <c r="O2175" s="218"/>
      <c r="P2175" s="219"/>
      <c r="Q2175" s="34">
        <f>SUMIF(Allocation[Delivery ID],Allocation[[#This Row],[Delivery ID]],Allocation[Quantity Processed])</f>
        <v>4110</v>
      </c>
      <c r="R2175" s="61">
        <f>Allocation[[#This Row],[Total volume used]]/VLOOKUP(Allocation[[#This Row],[Delivery ID]],Delivery[[Delivery ID]:[Quantity delivered]],3,FALSE)</f>
        <v>1</v>
      </c>
      <c r="S2175" s="34">
        <f>Allocation[[#This Row],[Quantity Processed]]/Allocation[[#This Row],[Dilution rate]]</f>
        <v>689.23076923076917</v>
      </c>
      <c r="T2175" s="59">
        <f>SUMIF(Allocation[Delivery ID],Allocation[[#This Row],[Delivery ID]],Allocation[Quantity allocated])/SUMIF(Allocation[Delivery ID],Allocation[[#This Row],[Delivery ID]],Allocation[Volume available (kg)])</f>
        <v>0.87675698560541915</v>
      </c>
      <c r="U2175" s="61">
        <f>Allocation[[#This Row],[Total volume used]]/VLOOKUP(Allocation[[#This Row],[Delivery ID]],Delivery[[Delivery ID]:[Quantity delivered]],3,FALSE)</f>
        <v>1</v>
      </c>
      <c r="V2175" s="34" t="e">
        <f>VLOOKUP(Allocation[[#This Row],[SAP Contract number]],Shipments[[SAP Contract number]:[Contracted container weight]],2,FALSE)</f>
        <v>#N/A</v>
      </c>
      <c r="W2175" s="34" t="e">
        <f>VLOOKUP(Allocation[[#This Row],[SAP Contract number]],Shipments[[SAP Contract number]:[AAA Premium USD]],24,FALSE)</f>
        <v>#N/A</v>
      </c>
      <c r="X2175" s="34" t="e">
        <f>VLOOKUP(Allocation[[#This Row],[SAP Contract number]],Shipments[[SAP Contract number]:[RA Premium USD]],25,FALSE)</f>
        <v>#N/A</v>
      </c>
      <c r="Y2175" s="38">
        <f>Allocation[[#This Row],[Quantity Processed]]/Allocation[[#This Row],[Quantity allocated]]</f>
        <v>3.0270270270270272</v>
      </c>
      <c r="Z2175" s="34" t="b">
        <f>Allocation[[#This Row],[Quantity allocated]]&lt;=Allocation[[#This Row],[Quantity Processed]]</f>
        <v>1</v>
      </c>
    </row>
    <row r="2176" spans="1:26">
      <c r="A2176" s="247" t="s">
        <v>467</v>
      </c>
      <c r="B2176" s="210" t="s">
        <v>68</v>
      </c>
      <c r="C2176" s="254" t="s">
        <v>1368</v>
      </c>
      <c r="D2176" s="255">
        <v>7</v>
      </c>
      <c r="E2176" s="211" t="s">
        <v>1962</v>
      </c>
      <c r="F2176" s="212">
        <v>43651</v>
      </c>
      <c r="G2176" s="213">
        <v>2.6</v>
      </c>
      <c r="H2176" s="256">
        <v>3</v>
      </c>
      <c r="I2176" s="214">
        <v>1466005</v>
      </c>
      <c r="J2176" s="215">
        <v>11700</v>
      </c>
      <c r="K2176" s="212">
        <v>43665</v>
      </c>
      <c r="L2176" s="211" t="s">
        <v>1963</v>
      </c>
      <c r="M2176" s="216">
        <v>4615447218</v>
      </c>
      <c r="N2176" s="212"/>
      <c r="O2176" s="218"/>
      <c r="P2176" s="219"/>
      <c r="Q2176" s="34">
        <f>SUMIF(Allocation[Delivery ID],Allocation[[#This Row],[Delivery ID]],Allocation[Quantity Processed])</f>
        <v>327</v>
      </c>
      <c r="R2176" s="61">
        <f>Allocation[[#This Row],[Total volume used]]/VLOOKUP(Allocation[[#This Row],[Delivery ID]],Delivery[[Delivery ID]:[Quantity delivered]],3,FALSE)</f>
        <v>0.11978021978021978</v>
      </c>
      <c r="S2176" s="34">
        <f>Allocation[[#This Row],[Quantity Processed]]/Allocation[[#This Row],[Dilution rate]]</f>
        <v>2.6923076923076921</v>
      </c>
      <c r="T2176" s="59">
        <f>SUMIF(Allocation[Delivery ID],Allocation[[#This Row],[Delivery ID]],Allocation[Quantity allocated])/SUMIF(Allocation[Delivery ID],Allocation[[#This Row],[Delivery ID]],Allocation[Volume available (kg)])</f>
        <v>0.99353429860527831</v>
      </c>
      <c r="U2176" s="61">
        <f>Allocation[[#This Row],[Total volume used]]/VLOOKUP(Allocation[[#This Row],[Delivery ID]],Delivery[[Delivery ID]:[Quantity delivered]],3,FALSE)</f>
        <v>0.11978021978021978</v>
      </c>
      <c r="V2176" s="34" t="e">
        <f>VLOOKUP(Allocation[[#This Row],[SAP Contract number]],Shipments[[SAP Contract number]:[Contracted container weight]],2,FALSE)</f>
        <v>#N/A</v>
      </c>
      <c r="W2176" s="34" t="e">
        <f>VLOOKUP(Allocation[[#This Row],[SAP Contract number]],Shipments[[SAP Contract number]:[AAA Premium USD]],24,FALSE)</f>
        <v>#N/A</v>
      </c>
      <c r="X2176" s="34" t="e">
        <f>VLOOKUP(Allocation[[#This Row],[SAP Contract number]],Shipments[[SAP Contract number]:[RA Premium USD]],25,FALSE)</f>
        <v>#N/A</v>
      </c>
      <c r="Y2176" s="38">
        <f>Allocation[[#This Row],[Quantity Processed]]/Allocation[[#This Row],[Quantity allocated]]</f>
        <v>2.3333333333333335</v>
      </c>
      <c r="Z2176" s="34" t="b">
        <f>Allocation[[#This Row],[Quantity allocated]]&lt;=Allocation[[#This Row],[Quantity Processed]]</f>
        <v>1</v>
      </c>
    </row>
    <row r="2177" spans="1:26">
      <c r="A2177" s="247" t="s">
        <v>467</v>
      </c>
      <c r="B2177" s="210" t="s">
        <v>68</v>
      </c>
      <c r="C2177" s="254" t="s">
        <v>1370</v>
      </c>
      <c r="D2177" s="255">
        <v>42</v>
      </c>
      <c r="E2177" s="211" t="s">
        <v>1962</v>
      </c>
      <c r="F2177" s="212">
        <v>43651</v>
      </c>
      <c r="G2177" s="213">
        <v>2.6</v>
      </c>
      <c r="H2177" s="256">
        <v>19</v>
      </c>
      <c r="I2177" s="214">
        <v>1466005</v>
      </c>
      <c r="J2177" s="215">
        <v>11700</v>
      </c>
      <c r="K2177" s="212">
        <v>43665</v>
      </c>
      <c r="L2177" s="211" t="s">
        <v>1963</v>
      </c>
      <c r="M2177" s="216">
        <v>4615447218</v>
      </c>
      <c r="N2177" s="212"/>
      <c r="O2177" s="218"/>
      <c r="P2177" s="219"/>
      <c r="Q2177" s="34">
        <f>SUMIF(Allocation[Delivery ID],Allocation[[#This Row],[Delivery ID]],Allocation[Quantity Processed])</f>
        <v>2464</v>
      </c>
      <c r="R2177" s="61">
        <f>Allocation[[#This Row],[Total volume used]]/VLOOKUP(Allocation[[#This Row],[Delivery ID]],Delivery[[Delivery ID]:[Quantity delivered]],3,FALSE)</f>
        <v>0.12161895360315893</v>
      </c>
      <c r="S2177" s="34">
        <f>Allocation[[#This Row],[Quantity Processed]]/Allocation[[#This Row],[Dilution rate]]</f>
        <v>16.153846153846153</v>
      </c>
      <c r="T2177" s="59">
        <f>SUMIF(Allocation[Delivery ID],Allocation[[#This Row],[Delivery ID]],Allocation[Quantity allocated])/SUMIF(Allocation[Delivery ID],Allocation[[#This Row],[Delivery ID]],Allocation[Volume available (kg)])</f>
        <v>1.0096768207281628</v>
      </c>
      <c r="U2177" s="61">
        <f>Allocation[[#This Row],[Total volume used]]/VLOOKUP(Allocation[[#This Row],[Delivery ID]],Delivery[[Delivery ID]:[Quantity delivered]],3,FALSE)</f>
        <v>0.12161895360315893</v>
      </c>
      <c r="V2177" s="34" t="e">
        <f>VLOOKUP(Allocation[[#This Row],[SAP Contract number]],Shipments[[SAP Contract number]:[Contracted container weight]],2,FALSE)</f>
        <v>#N/A</v>
      </c>
      <c r="W2177" s="34" t="e">
        <f>VLOOKUP(Allocation[[#This Row],[SAP Contract number]],Shipments[[SAP Contract number]:[AAA Premium USD]],24,FALSE)</f>
        <v>#N/A</v>
      </c>
      <c r="X2177" s="34" t="e">
        <f>VLOOKUP(Allocation[[#This Row],[SAP Contract number]],Shipments[[SAP Contract number]:[RA Premium USD]],25,FALSE)</f>
        <v>#N/A</v>
      </c>
      <c r="Y2177" s="38">
        <f>Allocation[[#This Row],[Quantity Processed]]/Allocation[[#This Row],[Quantity allocated]]</f>
        <v>2.2105263157894739</v>
      </c>
      <c r="Z2177" s="34" t="b">
        <f>Allocation[[#This Row],[Quantity allocated]]&lt;=Allocation[[#This Row],[Quantity Processed]]</f>
        <v>1</v>
      </c>
    </row>
    <row r="2178" spans="1:26">
      <c r="A2178" s="247" t="s">
        <v>467</v>
      </c>
      <c r="B2178" s="210" t="s">
        <v>68</v>
      </c>
      <c r="C2178" s="254" t="s">
        <v>1371</v>
      </c>
      <c r="D2178" s="255">
        <v>282</v>
      </c>
      <c r="E2178" s="211" t="s">
        <v>1962</v>
      </c>
      <c r="F2178" s="212">
        <v>43651</v>
      </c>
      <c r="G2178" s="213">
        <v>2.6</v>
      </c>
      <c r="H2178" s="256">
        <v>93</v>
      </c>
      <c r="I2178" s="214">
        <v>1466005</v>
      </c>
      <c r="J2178" s="215">
        <v>11700</v>
      </c>
      <c r="K2178" s="212">
        <v>43665</v>
      </c>
      <c r="L2178" s="211" t="s">
        <v>1963</v>
      </c>
      <c r="M2178" s="216">
        <v>4615447218</v>
      </c>
      <c r="N2178" s="212"/>
      <c r="O2178" s="218"/>
      <c r="P2178" s="219"/>
      <c r="Q2178" s="34">
        <f>SUMIF(Allocation[Delivery ID],Allocation[[#This Row],[Delivery ID]],Allocation[Quantity Processed])</f>
        <v>6360</v>
      </c>
      <c r="R2178" s="61">
        <f>Allocation[[#This Row],[Total volume used]]/VLOOKUP(Allocation[[#This Row],[Delivery ID]],Delivery[[Delivery ID]:[Quantity delivered]],3,FALSE)</f>
        <v>0.42399999999999999</v>
      </c>
      <c r="S2178" s="34">
        <f>Allocation[[#This Row],[Quantity Processed]]/Allocation[[#This Row],[Dilution rate]]</f>
        <v>108.46153846153845</v>
      </c>
      <c r="T2178" s="59">
        <f>SUMIF(Allocation[Delivery ID],Allocation[[#This Row],[Delivery ID]],Allocation[Quantity allocated])/SUMIF(Allocation[Delivery ID],Allocation[[#This Row],[Delivery ID]],Allocation[Volume available (kg)])</f>
        <v>0.87691095819810005</v>
      </c>
      <c r="U2178" s="61">
        <f>Allocation[[#This Row],[Total volume used]]/VLOOKUP(Allocation[[#This Row],[Delivery ID]],Delivery[[Delivery ID]:[Quantity delivered]],3,FALSE)</f>
        <v>0.42399999999999999</v>
      </c>
      <c r="V2178" s="34" t="e">
        <f>VLOOKUP(Allocation[[#This Row],[SAP Contract number]],Shipments[[SAP Contract number]:[Contracted container weight]],2,FALSE)</f>
        <v>#N/A</v>
      </c>
      <c r="W2178" s="34" t="e">
        <f>VLOOKUP(Allocation[[#This Row],[SAP Contract number]],Shipments[[SAP Contract number]:[AAA Premium USD]],24,FALSE)</f>
        <v>#N/A</v>
      </c>
      <c r="X2178" s="34" t="e">
        <f>VLOOKUP(Allocation[[#This Row],[SAP Contract number]],Shipments[[SAP Contract number]:[RA Premium USD]],25,FALSE)</f>
        <v>#N/A</v>
      </c>
      <c r="Y2178" s="38">
        <f>Allocation[[#This Row],[Quantity Processed]]/Allocation[[#This Row],[Quantity allocated]]</f>
        <v>3.032258064516129</v>
      </c>
      <c r="Z2178" s="34" t="b">
        <f>Allocation[[#This Row],[Quantity allocated]]&lt;=Allocation[[#This Row],[Quantity Processed]]</f>
        <v>1</v>
      </c>
    </row>
    <row r="2179" spans="1:26">
      <c r="A2179" s="247" t="s">
        <v>467</v>
      </c>
      <c r="B2179" s="210" t="s">
        <v>68</v>
      </c>
      <c r="C2179" s="254" t="s">
        <v>567</v>
      </c>
      <c r="D2179" s="255">
        <v>100</v>
      </c>
      <c r="E2179" s="211" t="s">
        <v>1962</v>
      </c>
      <c r="F2179" s="212">
        <v>43651</v>
      </c>
      <c r="G2179" s="213">
        <v>2.6</v>
      </c>
      <c r="H2179" s="256">
        <v>33</v>
      </c>
      <c r="I2179" s="214">
        <v>1466005</v>
      </c>
      <c r="J2179" s="215">
        <v>11700</v>
      </c>
      <c r="K2179" s="212">
        <v>43665</v>
      </c>
      <c r="L2179" s="211" t="s">
        <v>1963</v>
      </c>
      <c r="M2179" s="216">
        <v>4615447218</v>
      </c>
      <c r="N2179" s="212"/>
      <c r="O2179" s="218"/>
      <c r="P2179" s="219"/>
      <c r="Q2179" s="34">
        <f>SUMIF(Allocation[Delivery ID],Allocation[[#This Row],[Delivery ID]],Allocation[Quantity Processed])</f>
        <v>9599</v>
      </c>
      <c r="R2179" s="61">
        <f>Allocation[[#This Row],[Total volume used]]/VLOOKUP(Allocation[[#This Row],[Delivery ID]],Delivery[[Delivery ID]:[Quantity delivered]],3,FALSE)</f>
        <v>0.67456078706957134</v>
      </c>
      <c r="S2179" s="34">
        <f>Allocation[[#This Row],[Quantity Processed]]/Allocation[[#This Row],[Dilution rate]]</f>
        <v>38.46153846153846</v>
      </c>
      <c r="T2179" s="59">
        <f>SUMIF(Allocation[Delivery ID],Allocation[[#This Row],[Delivery ID]],Allocation[Quantity allocated])/SUMIF(Allocation[Delivery ID],Allocation[[#This Row],[Delivery ID]],Allocation[Volume available (kg)])</f>
        <v>0.72327415502228787</v>
      </c>
      <c r="U2179" s="61">
        <f>Allocation[[#This Row],[Total volume used]]/VLOOKUP(Allocation[[#This Row],[Delivery ID]],Delivery[[Delivery ID]:[Quantity delivered]],3,FALSE)</f>
        <v>0.67456078706957134</v>
      </c>
      <c r="V2179" s="34" t="e">
        <f>VLOOKUP(Allocation[[#This Row],[SAP Contract number]],Shipments[[SAP Contract number]:[Contracted container weight]],2,FALSE)</f>
        <v>#N/A</v>
      </c>
      <c r="W2179" s="34" t="e">
        <f>VLOOKUP(Allocation[[#This Row],[SAP Contract number]],Shipments[[SAP Contract number]:[AAA Premium USD]],24,FALSE)</f>
        <v>#N/A</v>
      </c>
      <c r="X2179" s="34" t="e">
        <f>VLOOKUP(Allocation[[#This Row],[SAP Contract number]],Shipments[[SAP Contract number]:[RA Premium USD]],25,FALSE)</f>
        <v>#N/A</v>
      </c>
      <c r="Y2179" s="38">
        <f>Allocation[[#This Row],[Quantity Processed]]/Allocation[[#This Row],[Quantity allocated]]</f>
        <v>3.0303030303030303</v>
      </c>
      <c r="Z2179" s="34" t="b">
        <f>Allocation[[#This Row],[Quantity allocated]]&lt;=Allocation[[#This Row],[Quantity Processed]]</f>
        <v>1</v>
      </c>
    </row>
    <row r="2180" spans="1:26">
      <c r="A2180" s="247" t="s">
        <v>467</v>
      </c>
      <c r="B2180" s="210" t="s">
        <v>68</v>
      </c>
      <c r="C2180" s="254" t="s">
        <v>1372</v>
      </c>
      <c r="D2180" s="255">
        <v>164</v>
      </c>
      <c r="E2180" s="211" t="s">
        <v>1962</v>
      </c>
      <c r="F2180" s="212">
        <v>43651</v>
      </c>
      <c r="G2180" s="213">
        <v>2.6</v>
      </c>
      <c r="H2180" s="256">
        <v>72</v>
      </c>
      <c r="I2180" s="214">
        <v>1466005</v>
      </c>
      <c r="J2180" s="215">
        <v>11700</v>
      </c>
      <c r="K2180" s="212">
        <v>43665</v>
      </c>
      <c r="L2180" s="211" t="s">
        <v>1963</v>
      </c>
      <c r="M2180" s="216">
        <v>4615447218</v>
      </c>
      <c r="N2180" s="212"/>
      <c r="O2180" s="218"/>
      <c r="P2180" s="219"/>
      <c r="Q2180" s="34">
        <f>SUMIF(Allocation[Delivery ID],Allocation[[#This Row],[Delivery ID]],Allocation[Quantity Processed])</f>
        <v>4064</v>
      </c>
      <c r="R2180" s="61">
        <f>Allocation[[#This Row],[Total volume used]]/VLOOKUP(Allocation[[#This Row],[Delivery ID]],Delivery[[Delivery ID]:[Quantity delivered]],3,FALSE)</f>
        <v>0.26304207119741102</v>
      </c>
      <c r="S2180" s="34">
        <f>Allocation[[#This Row],[Quantity Processed]]/Allocation[[#This Row],[Dilution rate]]</f>
        <v>63.076923076923073</v>
      </c>
      <c r="T2180" s="59">
        <f>SUMIF(Allocation[Delivery ID],Allocation[[#This Row],[Delivery ID]],Allocation[Quantity allocated])/SUMIF(Allocation[Delivery ID],Allocation[[#This Row],[Delivery ID]],Allocation[Volume available (kg)])</f>
        <v>1.1702529587570443</v>
      </c>
      <c r="U2180" s="61">
        <f>Allocation[[#This Row],[Total volume used]]/VLOOKUP(Allocation[[#This Row],[Delivery ID]],Delivery[[Delivery ID]:[Quantity delivered]],3,FALSE)</f>
        <v>0.26304207119741102</v>
      </c>
      <c r="V2180" s="34" t="e">
        <f>VLOOKUP(Allocation[[#This Row],[SAP Contract number]],Shipments[[SAP Contract number]:[Contracted container weight]],2,FALSE)</f>
        <v>#N/A</v>
      </c>
      <c r="W2180" s="34" t="e">
        <f>VLOOKUP(Allocation[[#This Row],[SAP Contract number]],Shipments[[SAP Contract number]:[AAA Premium USD]],24,FALSE)</f>
        <v>#N/A</v>
      </c>
      <c r="X2180" s="34" t="e">
        <f>VLOOKUP(Allocation[[#This Row],[SAP Contract number]],Shipments[[SAP Contract number]:[RA Premium USD]],25,FALSE)</f>
        <v>#N/A</v>
      </c>
      <c r="Y2180" s="38">
        <f>Allocation[[#This Row],[Quantity Processed]]/Allocation[[#This Row],[Quantity allocated]]</f>
        <v>2.2777777777777777</v>
      </c>
      <c r="Z2180" s="34" t="b">
        <f>Allocation[[#This Row],[Quantity allocated]]&lt;=Allocation[[#This Row],[Quantity Processed]]</f>
        <v>1</v>
      </c>
    </row>
    <row r="2181" spans="1:26">
      <c r="A2181" s="247" t="s">
        <v>467</v>
      </c>
      <c r="B2181" s="210" t="s">
        <v>68</v>
      </c>
      <c r="C2181" s="254" t="s">
        <v>1374</v>
      </c>
      <c r="D2181" s="255">
        <v>59</v>
      </c>
      <c r="E2181" s="211" t="s">
        <v>1962</v>
      </c>
      <c r="F2181" s="212">
        <v>43651</v>
      </c>
      <c r="G2181" s="213">
        <v>2.6</v>
      </c>
      <c r="H2181" s="256">
        <v>26</v>
      </c>
      <c r="I2181" s="214">
        <v>1466005</v>
      </c>
      <c r="J2181" s="215">
        <v>11700</v>
      </c>
      <c r="K2181" s="212">
        <v>43665</v>
      </c>
      <c r="L2181" s="211" t="s">
        <v>1963</v>
      </c>
      <c r="M2181" s="216">
        <v>4615447218</v>
      </c>
      <c r="N2181" s="212"/>
      <c r="O2181" s="218"/>
      <c r="P2181" s="219"/>
      <c r="Q2181" s="34">
        <f>SUMIF(Allocation[Delivery ID],Allocation[[#This Row],[Delivery ID]],Allocation[Quantity Processed])</f>
        <v>1216</v>
      </c>
      <c r="R2181" s="61">
        <f>Allocation[[#This Row],[Total volume used]]/VLOOKUP(Allocation[[#This Row],[Delivery ID]],Delivery[[Delivery ID]:[Quantity delivered]],3,FALSE)</f>
        <v>0.21909909909909911</v>
      </c>
      <c r="S2181" s="34">
        <f>Allocation[[#This Row],[Quantity Processed]]/Allocation[[#This Row],[Dilution rate]]</f>
        <v>22.69230769230769</v>
      </c>
      <c r="T2181" s="59">
        <f>SUMIF(Allocation[Delivery ID],Allocation[[#This Row],[Delivery ID]],Allocation[Quantity allocated])/SUMIF(Allocation[Delivery ID],Allocation[[#This Row],[Delivery ID]],Allocation[Volume available (kg)])</f>
        <v>1.1739246153931462</v>
      </c>
      <c r="U2181" s="61">
        <f>Allocation[[#This Row],[Total volume used]]/VLOOKUP(Allocation[[#This Row],[Delivery ID]],Delivery[[Delivery ID]:[Quantity delivered]],3,FALSE)</f>
        <v>0.21909909909909911</v>
      </c>
      <c r="V2181" s="34" t="e">
        <f>VLOOKUP(Allocation[[#This Row],[SAP Contract number]],Shipments[[SAP Contract number]:[Contracted container weight]],2,FALSE)</f>
        <v>#N/A</v>
      </c>
      <c r="W2181" s="34" t="e">
        <f>VLOOKUP(Allocation[[#This Row],[SAP Contract number]],Shipments[[SAP Contract number]:[AAA Premium USD]],24,FALSE)</f>
        <v>#N/A</v>
      </c>
      <c r="X2181" s="34" t="e">
        <f>VLOOKUP(Allocation[[#This Row],[SAP Contract number]],Shipments[[SAP Contract number]:[RA Premium USD]],25,FALSE)</f>
        <v>#N/A</v>
      </c>
      <c r="Y2181" s="38">
        <f>Allocation[[#This Row],[Quantity Processed]]/Allocation[[#This Row],[Quantity allocated]]</f>
        <v>2.2692307692307692</v>
      </c>
      <c r="Z2181" s="34" t="b">
        <f>Allocation[[#This Row],[Quantity allocated]]&lt;=Allocation[[#This Row],[Quantity Processed]]</f>
        <v>1</v>
      </c>
    </row>
    <row r="2182" spans="1:26">
      <c r="A2182" s="247" t="s">
        <v>467</v>
      </c>
      <c r="B2182" s="210" t="s">
        <v>68</v>
      </c>
      <c r="C2182" s="254" t="s">
        <v>1376</v>
      </c>
      <c r="D2182" s="255">
        <v>313</v>
      </c>
      <c r="E2182" s="211" t="s">
        <v>1962</v>
      </c>
      <c r="F2182" s="212">
        <v>43651</v>
      </c>
      <c r="G2182" s="213">
        <v>2.6</v>
      </c>
      <c r="H2182" s="256">
        <v>94</v>
      </c>
      <c r="I2182" s="214">
        <v>1466005</v>
      </c>
      <c r="J2182" s="215">
        <v>11700</v>
      </c>
      <c r="K2182" s="212">
        <v>43665</v>
      </c>
      <c r="L2182" s="211" t="s">
        <v>1963</v>
      </c>
      <c r="M2182" s="216">
        <v>4615447218</v>
      </c>
      <c r="N2182" s="212"/>
      <c r="O2182" s="218"/>
      <c r="P2182" s="219"/>
      <c r="Q2182" s="34">
        <f>SUMIF(Allocation[Delivery ID],Allocation[[#This Row],[Delivery ID]],Allocation[Quantity Processed])</f>
        <v>7720</v>
      </c>
      <c r="R2182" s="61">
        <f>Allocation[[#This Row],[Total volume used]]/VLOOKUP(Allocation[[#This Row],[Delivery ID]],Delivery[[Delivery ID]:[Quantity delivered]],3,FALSE)</f>
        <v>0.3869674185463659</v>
      </c>
      <c r="S2182" s="34">
        <f>Allocation[[#This Row],[Quantity Processed]]/Allocation[[#This Row],[Dilution rate]]</f>
        <v>120.38461538461539</v>
      </c>
      <c r="T2182" s="59">
        <f>SUMIF(Allocation[Delivery ID],Allocation[[#This Row],[Delivery ID]],Allocation[Quantity allocated])/SUMIF(Allocation[Delivery ID],Allocation[[#This Row],[Delivery ID]],Allocation[Volume available (kg)])</f>
        <v>0.79796361379487191</v>
      </c>
      <c r="U2182" s="61">
        <f>Allocation[[#This Row],[Total volume used]]/VLOOKUP(Allocation[[#This Row],[Delivery ID]],Delivery[[Delivery ID]:[Quantity delivered]],3,FALSE)</f>
        <v>0.3869674185463659</v>
      </c>
      <c r="V2182" s="34" t="e">
        <f>VLOOKUP(Allocation[[#This Row],[SAP Contract number]],Shipments[[SAP Contract number]:[Contracted container weight]],2,FALSE)</f>
        <v>#N/A</v>
      </c>
      <c r="W2182" s="34" t="e">
        <f>VLOOKUP(Allocation[[#This Row],[SAP Contract number]],Shipments[[SAP Contract number]:[AAA Premium USD]],24,FALSE)</f>
        <v>#N/A</v>
      </c>
      <c r="X2182" s="34" t="e">
        <f>VLOOKUP(Allocation[[#This Row],[SAP Contract number]],Shipments[[SAP Contract number]:[RA Premium USD]],25,FALSE)</f>
        <v>#N/A</v>
      </c>
      <c r="Y2182" s="38">
        <f>Allocation[[#This Row],[Quantity Processed]]/Allocation[[#This Row],[Quantity allocated]]</f>
        <v>3.3297872340425534</v>
      </c>
      <c r="Z2182" s="34" t="b">
        <f>Allocation[[#This Row],[Quantity allocated]]&lt;=Allocation[[#This Row],[Quantity Processed]]</f>
        <v>1</v>
      </c>
    </row>
    <row r="2183" spans="1:26">
      <c r="A2183" s="247" t="s">
        <v>467</v>
      </c>
      <c r="B2183" s="210" t="s">
        <v>68</v>
      </c>
      <c r="C2183" s="254" t="s">
        <v>1378</v>
      </c>
      <c r="D2183" s="255">
        <v>114</v>
      </c>
      <c r="E2183" s="211" t="s">
        <v>1962</v>
      </c>
      <c r="F2183" s="212">
        <v>43651</v>
      </c>
      <c r="G2183" s="213">
        <v>2.6</v>
      </c>
      <c r="H2183" s="256">
        <v>65</v>
      </c>
      <c r="I2183" s="214">
        <v>1466005</v>
      </c>
      <c r="J2183" s="215">
        <v>11700</v>
      </c>
      <c r="K2183" s="212">
        <v>43665</v>
      </c>
      <c r="L2183" s="211" t="s">
        <v>1963</v>
      </c>
      <c r="M2183" s="216">
        <v>4615447218</v>
      </c>
      <c r="N2183" s="212"/>
      <c r="O2183" s="218"/>
      <c r="P2183" s="219"/>
      <c r="Q2183" s="34">
        <f>SUMIF(Allocation[Delivery ID],Allocation[[#This Row],[Delivery ID]],Allocation[Quantity Processed])</f>
        <v>2813</v>
      </c>
      <c r="R2183" s="61">
        <f>Allocation[[#This Row],[Total volume used]]/VLOOKUP(Allocation[[#This Row],[Delivery ID]],Delivery[[Delivery ID]:[Quantity delivered]],3,FALSE)</f>
        <v>0.20310469314079421</v>
      </c>
      <c r="S2183" s="34">
        <f>Allocation[[#This Row],[Quantity Processed]]/Allocation[[#This Row],[Dilution rate]]</f>
        <v>43.846153846153847</v>
      </c>
      <c r="T2183" s="59">
        <f>SUMIF(Allocation[Delivery ID],Allocation[[#This Row],[Delivery ID]],Allocation[Quantity allocated])/SUMIF(Allocation[Delivery ID],Allocation[[#This Row],[Delivery ID]],Allocation[Volume available (kg)])</f>
        <v>1.5157515713259846</v>
      </c>
      <c r="U2183" s="61">
        <f>Allocation[[#This Row],[Total volume used]]/VLOOKUP(Allocation[[#This Row],[Delivery ID]],Delivery[[Delivery ID]:[Quantity delivered]],3,FALSE)</f>
        <v>0.20310469314079421</v>
      </c>
      <c r="V2183" s="34" t="e">
        <f>VLOOKUP(Allocation[[#This Row],[SAP Contract number]],Shipments[[SAP Contract number]:[Contracted container weight]],2,FALSE)</f>
        <v>#N/A</v>
      </c>
      <c r="W2183" s="34" t="e">
        <f>VLOOKUP(Allocation[[#This Row],[SAP Contract number]],Shipments[[SAP Contract number]:[AAA Premium USD]],24,FALSE)</f>
        <v>#N/A</v>
      </c>
      <c r="X2183" s="34" t="e">
        <f>VLOOKUP(Allocation[[#This Row],[SAP Contract number]],Shipments[[SAP Contract number]:[RA Premium USD]],25,FALSE)</f>
        <v>#N/A</v>
      </c>
      <c r="Y2183" s="38">
        <f>Allocation[[#This Row],[Quantity Processed]]/Allocation[[#This Row],[Quantity allocated]]</f>
        <v>1.7538461538461538</v>
      </c>
      <c r="Z2183" s="34" t="b">
        <f>Allocation[[#This Row],[Quantity allocated]]&lt;=Allocation[[#This Row],[Quantity Processed]]</f>
        <v>1</v>
      </c>
    </row>
    <row r="2184" spans="1:26">
      <c r="A2184" s="247" t="s">
        <v>467</v>
      </c>
      <c r="B2184" s="210" t="s">
        <v>68</v>
      </c>
      <c r="C2184" s="254" t="s">
        <v>1379</v>
      </c>
      <c r="D2184" s="255">
        <v>85</v>
      </c>
      <c r="E2184" s="211" t="s">
        <v>1962</v>
      </c>
      <c r="F2184" s="212">
        <v>43651</v>
      </c>
      <c r="G2184" s="213">
        <v>2.6</v>
      </c>
      <c r="H2184" s="256">
        <v>40</v>
      </c>
      <c r="I2184" s="214">
        <v>1466005</v>
      </c>
      <c r="J2184" s="215">
        <v>11700</v>
      </c>
      <c r="K2184" s="212">
        <v>43665</v>
      </c>
      <c r="L2184" s="211" t="s">
        <v>1963</v>
      </c>
      <c r="M2184" s="216">
        <v>4615447218</v>
      </c>
      <c r="N2184" s="212"/>
      <c r="O2184" s="218"/>
      <c r="P2184" s="219"/>
      <c r="Q2184" s="34">
        <f>SUMIF(Allocation[Delivery ID],Allocation[[#This Row],[Delivery ID]],Allocation[Quantity Processed])</f>
        <v>1759</v>
      </c>
      <c r="R2184" s="61">
        <f>Allocation[[#This Row],[Total volume used]]/VLOOKUP(Allocation[[#This Row],[Delivery ID]],Delivery[[Delivery ID]:[Quantity delivered]],3,FALSE)</f>
        <v>0.20406032482598607</v>
      </c>
      <c r="S2184" s="34">
        <f>Allocation[[#This Row],[Quantity Processed]]/Allocation[[#This Row],[Dilution rate]]</f>
        <v>32.692307692307693</v>
      </c>
      <c r="T2184" s="59">
        <f>SUMIF(Allocation[Delivery ID],Allocation[[#This Row],[Delivery ID]],Allocation[Quantity allocated])/SUMIF(Allocation[Delivery ID],Allocation[[#This Row],[Delivery ID]],Allocation[Volume available (kg)])</f>
        <v>1.2544936044755211</v>
      </c>
      <c r="U2184" s="61">
        <f>Allocation[[#This Row],[Total volume used]]/VLOOKUP(Allocation[[#This Row],[Delivery ID]],Delivery[[Delivery ID]:[Quantity delivered]],3,FALSE)</f>
        <v>0.20406032482598607</v>
      </c>
      <c r="V2184" s="34" t="e">
        <f>VLOOKUP(Allocation[[#This Row],[SAP Contract number]],Shipments[[SAP Contract number]:[Contracted container weight]],2,FALSE)</f>
        <v>#N/A</v>
      </c>
      <c r="W2184" s="34" t="e">
        <f>VLOOKUP(Allocation[[#This Row],[SAP Contract number]],Shipments[[SAP Contract number]:[AAA Premium USD]],24,FALSE)</f>
        <v>#N/A</v>
      </c>
      <c r="X2184" s="34" t="e">
        <f>VLOOKUP(Allocation[[#This Row],[SAP Contract number]],Shipments[[SAP Contract number]:[RA Premium USD]],25,FALSE)</f>
        <v>#N/A</v>
      </c>
      <c r="Y2184" s="38">
        <f>Allocation[[#This Row],[Quantity Processed]]/Allocation[[#This Row],[Quantity allocated]]</f>
        <v>2.125</v>
      </c>
      <c r="Z2184" s="34" t="b">
        <f>Allocation[[#This Row],[Quantity allocated]]&lt;=Allocation[[#This Row],[Quantity Processed]]</f>
        <v>1</v>
      </c>
    </row>
    <row r="2185" spans="1:26">
      <c r="A2185" s="247" t="s">
        <v>467</v>
      </c>
      <c r="B2185" s="210" t="s">
        <v>68</v>
      </c>
      <c r="C2185" s="254" t="s">
        <v>1380</v>
      </c>
      <c r="D2185" s="255">
        <v>40</v>
      </c>
      <c r="E2185" s="211" t="s">
        <v>1962</v>
      </c>
      <c r="F2185" s="212">
        <v>43651</v>
      </c>
      <c r="G2185" s="213">
        <v>2.6</v>
      </c>
      <c r="H2185" s="256">
        <v>14</v>
      </c>
      <c r="I2185" s="214">
        <v>1466005</v>
      </c>
      <c r="J2185" s="215">
        <v>11700</v>
      </c>
      <c r="K2185" s="212">
        <v>43665</v>
      </c>
      <c r="L2185" s="211" t="s">
        <v>1963</v>
      </c>
      <c r="M2185" s="216">
        <v>4615447218</v>
      </c>
      <c r="N2185" s="212"/>
      <c r="O2185" s="218"/>
      <c r="P2185" s="219"/>
      <c r="Q2185" s="34">
        <f>SUMIF(Allocation[Delivery ID],Allocation[[#This Row],[Delivery ID]],Allocation[Quantity Processed])</f>
        <v>826</v>
      </c>
      <c r="R2185" s="61">
        <f>Allocation[[#This Row],[Total volume used]]/VLOOKUP(Allocation[[#This Row],[Delivery ID]],Delivery[[Delivery ID]:[Quantity delivered]],3,FALSE)</f>
        <v>0.27533333333333332</v>
      </c>
      <c r="S2185" s="34">
        <f>Allocation[[#This Row],[Quantity Processed]]/Allocation[[#This Row],[Dilution rate]]</f>
        <v>15.384615384615383</v>
      </c>
      <c r="T2185" s="59">
        <f>SUMIF(Allocation[Delivery ID],Allocation[[#This Row],[Delivery ID]],Allocation[Quantity allocated])/SUMIF(Allocation[Delivery ID],Allocation[[#This Row],[Delivery ID]],Allocation[Volume available (kg)])</f>
        <v>0.93354196341835627</v>
      </c>
      <c r="U2185" s="61">
        <f>Allocation[[#This Row],[Total volume used]]/VLOOKUP(Allocation[[#This Row],[Delivery ID]],Delivery[[Delivery ID]:[Quantity delivered]],3,FALSE)</f>
        <v>0.27533333333333332</v>
      </c>
      <c r="V2185" s="34" t="e">
        <f>VLOOKUP(Allocation[[#This Row],[SAP Contract number]],Shipments[[SAP Contract number]:[Contracted container weight]],2,FALSE)</f>
        <v>#N/A</v>
      </c>
      <c r="W2185" s="34" t="e">
        <f>VLOOKUP(Allocation[[#This Row],[SAP Contract number]],Shipments[[SAP Contract number]:[AAA Premium USD]],24,FALSE)</f>
        <v>#N/A</v>
      </c>
      <c r="X2185" s="34" t="e">
        <f>VLOOKUP(Allocation[[#This Row],[SAP Contract number]],Shipments[[SAP Contract number]:[RA Premium USD]],25,FALSE)</f>
        <v>#N/A</v>
      </c>
      <c r="Y2185" s="38">
        <f>Allocation[[#This Row],[Quantity Processed]]/Allocation[[#This Row],[Quantity allocated]]</f>
        <v>2.8571428571428572</v>
      </c>
      <c r="Z2185" s="34" t="b">
        <f>Allocation[[#This Row],[Quantity allocated]]&lt;=Allocation[[#This Row],[Quantity Processed]]</f>
        <v>1</v>
      </c>
    </row>
    <row r="2186" spans="1:26">
      <c r="A2186" s="247" t="s">
        <v>467</v>
      </c>
      <c r="B2186" s="210" t="s">
        <v>68</v>
      </c>
      <c r="C2186" s="254" t="s">
        <v>1382</v>
      </c>
      <c r="D2186" s="255">
        <v>8404</v>
      </c>
      <c r="E2186" s="211" t="s">
        <v>1962</v>
      </c>
      <c r="F2186" s="212">
        <v>43651</v>
      </c>
      <c r="G2186" s="213">
        <v>2.6</v>
      </c>
      <c r="H2186" s="256">
        <v>2774</v>
      </c>
      <c r="I2186" s="214">
        <v>1466005</v>
      </c>
      <c r="J2186" s="215">
        <v>11700</v>
      </c>
      <c r="K2186" s="212">
        <v>43665</v>
      </c>
      <c r="L2186" s="211" t="s">
        <v>1963</v>
      </c>
      <c r="M2186" s="216">
        <v>4615447218</v>
      </c>
      <c r="N2186" s="212"/>
      <c r="O2186" s="218"/>
      <c r="P2186" s="219"/>
      <c r="Q2186" s="34">
        <f>SUMIF(Allocation[Delivery ID],Allocation[[#This Row],[Delivery ID]],Allocation[Quantity Processed])</f>
        <v>19080</v>
      </c>
      <c r="R2186" s="61">
        <f>Allocation[[#This Row],[Total volume used]]/VLOOKUP(Allocation[[#This Row],[Delivery ID]],Delivery[[Delivery ID]:[Quantity delivered]],3,FALSE)</f>
        <v>1</v>
      </c>
      <c r="S2186" s="34">
        <f>Allocation[[#This Row],[Quantity Processed]]/Allocation[[#This Row],[Dilution rate]]</f>
        <v>3232.3076923076924</v>
      </c>
      <c r="T2186" s="59">
        <f>SUMIF(Allocation[Delivery ID],Allocation[[#This Row],[Delivery ID]],Allocation[Quantity allocated])/SUMIF(Allocation[Delivery ID],Allocation[[#This Row],[Delivery ID]],Allocation[Volume available (kg)])</f>
        <v>0.8762406736388072</v>
      </c>
      <c r="U2186" s="61">
        <f>Allocation[[#This Row],[Total volume used]]/VLOOKUP(Allocation[[#This Row],[Delivery ID]],Delivery[[Delivery ID]:[Quantity delivered]],3,FALSE)</f>
        <v>1</v>
      </c>
      <c r="V2186" s="34" t="e">
        <f>VLOOKUP(Allocation[[#This Row],[SAP Contract number]],Shipments[[SAP Contract number]:[Contracted container weight]],2,FALSE)</f>
        <v>#N/A</v>
      </c>
      <c r="W2186" s="34" t="e">
        <f>VLOOKUP(Allocation[[#This Row],[SAP Contract number]],Shipments[[SAP Contract number]:[AAA Premium USD]],24,FALSE)</f>
        <v>#N/A</v>
      </c>
      <c r="X2186" s="34" t="e">
        <f>VLOOKUP(Allocation[[#This Row],[SAP Contract number]],Shipments[[SAP Contract number]:[RA Premium USD]],25,FALSE)</f>
        <v>#N/A</v>
      </c>
      <c r="Y2186" s="38">
        <f>Allocation[[#This Row],[Quantity Processed]]/Allocation[[#This Row],[Quantity allocated]]</f>
        <v>3.0295602018745496</v>
      </c>
      <c r="Z2186" s="34" t="b">
        <f>Allocation[[#This Row],[Quantity allocated]]&lt;=Allocation[[#This Row],[Quantity Processed]]</f>
        <v>1</v>
      </c>
    </row>
    <row r="2187" spans="1:26">
      <c r="A2187" s="247" t="s">
        <v>467</v>
      </c>
      <c r="B2187" s="210" t="s">
        <v>68</v>
      </c>
      <c r="C2187" s="254" t="s">
        <v>1385</v>
      </c>
      <c r="D2187" s="255">
        <v>4262.5</v>
      </c>
      <c r="E2187" s="211" t="s">
        <v>1962</v>
      </c>
      <c r="F2187" s="212">
        <v>43651</v>
      </c>
      <c r="G2187" s="213">
        <v>2.6</v>
      </c>
      <c r="H2187" s="256">
        <v>1407</v>
      </c>
      <c r="I2187" s="214">
        <v>1466005</v>
      </c>
      <c r="J2187" s="215">
        <v>11700</v>
      </c>
      <c r="K2187" s="212">
        <v>43665</v>
      </c>
      <c r="L2187" s="211" t="s">
        <v>1963</v>
      </c>
      <c r="M2187" s="216">
        <v>4615447218</v>
      </c>
      <c r="N2187" s="212"/>
      <c r="O2187" s="218"/>
      <c r="P2187" s="219"/>
      <c r="Q2187" s="34">
        <f>SUMIF(Allocation[Delivery ID],Allocation[[#This Row],[Delivery ID]],Allocation[Quantity Processed])</f>
        <v>9704.5</v>
      </c>
      <c r="R2187" s="61">
        <f>Allocation[[#This Row],[Total volume used]]/VLOOKUP(Allocation[[#This Row],[Delivery ID]],Delivery[[Delivery ID]:[Quantity delivered]],3,FALSE)</f>
        <v>1</v>
      </c>
      <c r="S2187" s="34">
        <f>Allocation[[#This Row],[Quantity Processed]]/Allocation[[#This Row],[Dilution rate]]</f>
        <v>1639.4230769230769</v>
      </c>
      <c r="T2187" s="59">
        <f>SUMIF(Allocation[Delivery ID],Allocation[[#This Row],[Delivery ID]],Allocation[Quantity allocated])/SUMIF(Allocation[Delivery ID],Allocation[[#This Row],[Delivery ID]],Allocation[Volume available (kg)])</f>
        <v>0.87633891250080387</v>
      </c>
      <c r="U2187" s="61">
        <f>Allocation[[#This Row],[Total volume used]]/VLOOKUP(Allocation[[#This Row],[Delivery ID]],Delivery[[Delivery ID]:[Quantity delivered]],3,FALSE)</f>
        <v>1</v>
      </c>
      <c r="V2187" s="34" t="e">
        <f>VLOOKUP(Allocation[[#This Row],[SAP Contract number]],Shipments[[SAP Contract number]:[Contracted container weight]],2,FALSE)</f>
        <v>#N/A</v>
      </c>
      <c r="W2187" s="34" t="e">
        <f>VLOOKUP(Allocation[[#This Row],[SAP Contract number]],Shipments[[SAP Contract number]:[AAA Premium USD]],24,FALSE)</f>
        <v>#N/A</v>
      </c>
      <c r="X2187" s="34" t="e">
        <f>VLOOKUP(Allocation[[#This Row],[SAP Contract number]],Shipments[[SAP Contract number]:[RA Premium USD]],25,FALSE)</f>
        <v>#N/A</v>
      </c>
      <c r="Y2187" s="38">
        <f>Allocation[[#This Row],[Quantity Processed]]/Allocation[[#This Row],[Quantity allocated]]</f>
        <v>3.0294953802416491</v>
      </c>
      <c r="Z2187" s="34" t="b">
        <f>Allocation[[#This Row],[Quantity allocated]]&lt;=Allocation[[#This Row],[Quantity Processed]]</f>
        <v>1</v>
      </c>
    </row>
    <row r="2188" spans="1:26">
      <c r="A2188" s="247" t="s">
        <v>467</v>
      </c>
      <c r="B2188" s="210" t="s">
        <v>68</v>
      </c>
      <c r="C2188" s="254" t="s">
        <v>1386</v>
      </c>
      <c r="D2188" s="255">
        <v>118</v>
      </c>
      <c r="E2188" s="211" t="s">
        <v>1962</v>
      </c>
      <c r="F2188" s="212">
        <v>43651</v>
      </c>
      <c r="G2188" s="213">
        <v>2.6</v>
      </c>
      <c r="H2188" s="256">
        <v>39</v>
      </c>
      <c r="I2188" s="214">
        <v>1466005</v>
      </c>
      <c r="J2188" s="215">
        <v>11700</v>
      </c>
      <c r="K2188" s="212">
        <v>43665</v>
      </c>
      <c r="L2188" s="211" t="s">
        <v>1963</v>
      </c>
      <c r="M2188" s="216">
        <v>4615447218</v>
      </c>
      <c r="N2188" s="212"/>
      <c r="O2188" s="218"/>
      <c r="P2188" s="219"/>
      <c r="Q2188" s="34">
        <f>SUMIF(Allocation[Delivery ID],Allocation[[#This Row],[Delivery ID]],Allocation[Quantity Processed])</f>
        <v>2427</v>
      </c>
      <c r="R2188" s="61">
        <f>Allocation[[#This Row],[Total volume used]]/VLOOKUP(Allocation[[#This Row],[Delivery ID]],Delivery[[Delivery ID]:[Quantity delivered]],3,FALSE)</f>
        <v>0.29065868263473055</v>
      </c>
      <c r="S2188" s="34">
        <f>Allocation[[#This Row],[Quantity Processed]]/Allocation[[#This Row],[Dilution rate]]</f>
        <v>45.38461538461538</v>
      </c>
      <c r="T2188" s="59">
        <f>SUMIF(Allocation[Delivery ID],Allocation[[#This Row],[Delivery ID]],Allocation[Quantity allocated])/SUMIF(Allocation[Delivery ID],Allocation[[#This Row],[Delivery ID]],Allocation[Volume available (kg)])</f>
        <v>0.88060877056474307</v>
      </c>
      <c r="U2188" s="61">
        <f>Allocation[[#This Row],[Total volume used]]/VLOOKUP(Allocation[[#This Row],[Delivery ID]],Delivery[[Delivery ID]:[Quantity delivered]],3,FALSE)</f>
        <v>0.29065868263473055</v>
      </c>
      <c r="V2188" s="34" t="e">
        <f>VLOOKUP(Allocation[[#This Row],[SAP Contract number]],Shipments[[SAP Contract number]:[Contracted container weight]],2,FALSE)</f>
        <v>#N/A</v>
      </c>
      <c r="W2188" s="34" t="e">
        <f>VLOOKUP(Allocation[[#This Row],[SAP Contract number]],Shipments[[SAP Contract number]:[AAA Premium USD]],24,FALSE)</f>
        <v>#N/A</v>
      </c>
      <c r="X2188" s="34" t="e">
        <f>VLOOKUP(Allocation[[#This Row],[SAP Contract number]],Shipments[[SAP Contract number]:[RA Premium USD]],25,FALSE)</f>
        <v>#N/A</v>
      </c>
      <c r="Y2188" s="38">
        <f>Allocation[[#This Row],[Quantity Processed]]/Allocation[[#This Row],[Quantity allocated]]</f>
        <v>3.0256410256410255</v>
      </c>
      <c r="Z2188" s="34" t="b">
        <f>Allocation[[#This Row],[Quantity allocated]]&lt;=Allocation[[#This Row],[Quantity Processed]]</f>
        <v>1</v>
      </c>
    </row>
    <row r="2189" spans="1:26">
      <c r="A2189" s="247" t="s">
        <v>467</v>
      </c>
      <c r="B2189" s="210" t="s">
        <v>68</v>
      </c>
      <c r="C2189" s="254" t="s">
        <v>1387</v>
      </c>
      <c r="D2189" s="255">
        <v>682</v>
      </c>
      <c r="E2189" s="211" t="s">
        <v>1962</v>
      </c>
      <c r="F2189" s="212">
        <v>43651</v>
      </c>
      <c r="G2189" s="213">
        <v>2.6</v>
      </c>
      <c r="H2189" s="256">
        <v>225</v>
      </c>
      <c r="I2189" s="214">
        <v>1466005</v>
      </c>
      <c r="J2189" s="215">
        <v>11700</v>
      </c>
      <c r="K2189" s="212">
        <v>43665</v>
      </c>
      <c r="L2189" s="211" t="s">
        <v>1963</v>
      </c>
      <c r="M2189" s="216">
        <v>4615447218</v>
      </c>
      <c r="N2189" s="212"/>
      <c r="O2189" s="218"/>
      <c r="P2189" s="219"/>
      <c r="Q2189" s="34">
        <f>SUMIF(Allocation[Delivery ID],Allocation[[#This Row],[Delivery ID]],Allocation[Quantity Processed])</f>
        <v>13255</v>
      </c>
      <c r="R2189" s="61">
        <f>Allocation[[#This Row],[Total volume used]]/VLOOKUP(Allocation[[#This Row],[Delivery ID]],Delivery[[Delivery ID]:[Quantity delivered]],3,FALSE)</f>
        <v>0.86015574302401043</v>
      </c>
      <c r="S2189" s="34">
        <f>Allocation[[#This Row],[Quantity Processed]]/Allocation[[#This Row],[Dilution rate]]</f>
        <v>262.30769230769232</v>
      </c>
      <c r="T2189" s="59">
        <f>SUMIF(Allocation[Delivery ID],Allocation[[#This Row],[Delivery ID]],Allocation[Quantity allocated])/SUMIF(Allocation[Delivery ID],Allocation[[#This Row],[Delivery ID]],Allocation[Volume available (kg)])</f>
        <v>0.88004354526368123</v>
      </c>
      <c r="U2189" s="61">
        <f>Allocation[[#This Row],[Total volume used]]/VLOOKUP(Allocation[[#This Row],[Delivery ID]],Delivery[[Delivery ID]:[Quantity delivered]],3,FALSE)</f>
        <v>0.86015574302401043</v>
      </c>
      <c r="V2189" s="34" t="e">
        <f>VLOOKUP(Allocation[[#This Row],[SAP Contract number]],Shipments[[SAP Contract number]:[Contracted container weight]],2,FALSE)</f>
        <v>#N/A</v>
      </c>
      <c r="W2189" s="34" t="e">
        <f>VLOOKUP(Allocation[[#This Row],[SAP Contract number]],Shipments[[SAP Contract number]:[AAA Premium USD]],24,FALSE)</f>
        <v>#N/A</v>
      </c>
      <c r="X2189" s="34" t="e">
        <f>VLOOKUP(Allocation[[#This Row],[SAP Contract number]],Shipments[[SAP Contract number]:[RA Premium USD]],25,FALSE)</f>
        <v>#N/A</v>
      </c>
      <c r="Y2189" s="38">
        <f>Allocation[[#This Row],[Quantity Processed]]/Allocation[[#This Row],[Quantity allocated]]</f>
        <v>3.0311111111111111</v>
      </c>
      <c r="Z2189" s="34" t="b">
        <f>Allocation[[#This Row],[Quantity allocated]]&lt;=Allocation[[#This Row],[Quantity Processed]]</f>
        <v>1</v>
      </c>
    </row>
    <row r="2190" spans="1:26">
      <c r="A2190" s="247" t="s">
        <v>467</v>
      </c>
      <c r="B2190" s="210" t="s">
        <v>68</v>
      </c>
      <c r="C2190" s="254" t="s">
        <v>1388</v>
      </c>
      <c r="D2190" s="255">
        <v>60</v>
      </c>
      <c r="E2190" s="211" t="s">
        <v>1962</v>
      </c>
      <c r="F2190" s="212">
        <v>43651</v>
      </c>
      <c r="G2190" s="213">
        <v>2.6</v>
      </c>
      <c r="H2190" s="256">
        <v>18</v>
      </c>
      <c r="I2190" s="214">
        <v>1466005</v>
      </c>
      <c r="J2190" s="215">
        <v>11700</v>
      </c>
      <c r="K2190" s="212">
        <v>43665</v>
      </c>
      <c r="L2190" s="211" t="s">
        <v>1963</v>
      </c>
      <c r="M2190" s="216">
        <v>4615447218</v>
      </c>
      <c r="N2190" s="212"/>
      <c r="O2190" s="218"/>
      <c r="P2190" s="219"/>
      <c r="Q2190" s="34">
        <f>SUMIF(Allocation[Delivery ID],Allocation[[#This Row],[Delivery ID]],Allocation[Quantity Processed])</f>
        <v>3940</v>
      </c>
      <c r="R2190" s="61">
        <f>Allocation[[#This Row],[Total volume used]]/VLOOKUP(Allocation[[#This Row],[Delivery ID]],Delivery[[Delivery ID]:[Quantity delivered]],3,FALSE)</f>
        <v>0.20671563483735572</v>
      </c>
      <c r="S2190" s="34">
        <f>Allocation[[#This Row],[Quantity Processed]]/Allocation[[#This Row],[Dilution rate]]</f>
        <v>23.076923076923077</v>
      </c>
      <c r="T2190" s="59">
        <f>SUMIF(Allocation[Delivery ID],Allocation[[#This Row],[Delivery ID]],Allocation[Quantity allocated])/SUMIF(Allocation[Delivery ID],Allocation[[#This Row],[Delivery ID]],Allocation[Volume available (kg)])</f>
        <v>0.6362840904262469</v>
      </c>
      <c r="U2190" s="61">
        <f>Allocation[[#This Row],[Total volume used]]/VLOOKUP(Allocation[[#This Row],[Delivery ID]],Delivery[[Delivery ID]:[Quantity delivered]],3,FALSE)</f>
        <v>0.20671563483735572</v>
      </c>
      <c r="V2190" s="34" t="e">
        <f>VLOOKUP(Allocation[[#This Row],[SAP Contract number]],Shipments[[SAP Contract number]:[Contracted container weight]],2,FALSE)</f>
        <v>#N/A</v>
      </c>
      <c r="W2190" s="34" t="e">
        <f>VLOOKUP(Allocation[[#This Row],[SAP Contract number]],Shipments[[SAP Contract number]:[AAA Premium USD]],24,FALSE)</f>
        <v>#N/A</v>
      </c>
      <c r="X2190" s="34" t="e">
        <f>VLOOKUP(Allocation[[#This Row],[SAP Contract number]],Shipments[[SAP Contract number]:[RA Premium USD]],25,FALSE)</f>
        <v>#N/A</v>
      </c>
      <c r="Y2190" s="38">
        <f>Allocation[[#This Row],[Quantity Processed]]/Allocation[[#This Row],[Quantity allocated]]</f>
        <v>3.3333333333333335</v>
      </c>
      <c r="Z2190" s="34" t="b">
        <f>Allocation[[#This Row],[Quantity allocated]]&lt;=Allocation[[#This Row],[Quantity Processed]]</f>
        <v>1</v>
      </c>
    </row>
    <row r="2191" spans="1:26">
      <c r="A2191" s="247" t="s">
        <v>467</v>
      </c>
      <c r="B2191" s="210" t="s">
        <v>68</v>
      </c>
      <c r="C2191" s="254" t="s">
        <v>1389</v>
      </c>
      <c r="D2191" s="255">
        <v>63</v>
      </c>
      <c r="E2191" s="211" t="s">
        <v>1962</v>
      </c>
      <c r="F2191" s="212">
        <v>43651</v>
      </c>
      <c r="G2191" s="213">
        <v>2.6</v>
      </c>
      <c r="H2191" s="256">
        <v>19</v>
      </c>
      <c r="I2191" s="214">
        <v>1466005</v>
      </c>
      <c r="J2191" s="215">
        <v>11700</v>
      </c>
      <c r="K2191" s="212">
        <v>43665</v>
      </c>
      <c r="L2191" s="211" t="s">
        <v>1963</v>
      </c>
      <c r="M2191" s="216">
        <v>4615447218</v>
      </c>
      <c r="N2191" s="212"/>
      <c r="O2191" s="218"/>
      <c r="P2191" s="219"/>
      <c r="Q2191" s="34">
        <f>SUMIF(Allocation[Delivery ID],Allocation[[#This Row],[Delivery ID]],Allocation[Quantity Processed])</f>
        <v>4209</v>
      </c>
      <c r="R2191" s="61">
        <f>Allocation[[#This Row],[Total volume used]]/VLOOKUP(Allocation[[#This Row],[Delivery ID]],Delivery[[Delivery ID]:[Quantity delivered]],3,FALSE)</f>
        <v>0.20805734058329214</v>
      </c>
      <c r="S2191" s="34">
        <f>Allocation[[#This Row],[Quantity Processed]]/Allocation[[#This Row],[Dilution rate]]</f>
        <v>24.23076923076923</v>
      </c>
      <c r="T2191" s="59">
        <f>SUMIF(Allocation[Delivery ID],Allocation[[#This Row],[Delivery ID]],Allocation[Quantity allocated])/SUMIF(Allocation[Delivery ID],Allocation[[#This Row],[Delivery ID]],Allocation[Volume available (kg)])</f>
        <v>0.63580805210327485</v>
      </c>
      <c r="U2191" s="61">
        <f>Allocation[[#This Row],[Total volume used]]/VLOOKUP(Allocation[[#This Row],[Delivery ID]],Delivery[[Delivery ID]:[Quantity delivered]],3,FALSE)</f>
        <v>0.20805734058329214</v>
      </c>
      <c r="V2191" s="34" t="e">
        <f>VLOOKUP(Allocation[[#This Row],[SAP Contract number]],Shipments[[SAP Contract number]:[Contracted container weight]],2,FALSE)</f>
        <v>#N/A</v>
      </c>
      <c r="W2191" s="34" t="e">
        <f>VLOOKUP(Allocation[[#This Row],[SAP Contract number]],Shipments[[SAP Contract number]:[AAA Premium USD]],24,FALSE)</f>
        <v>#N/A</v>
      </c>
      <c r="X2191" s="34" t="e">
        <f>VLOOKUP(Allocation[[#This Row],[SAP Contract number]],Shipments[[SAP Contract number]:[RA Premium USD]],25,FALSE)</f>
        <v>#N/A</v>
      </c>
      <c r="Y2191" s="38">
        <f>Allocation[[#This Row],[Quantity Processed]]/Allocation[[#This Row],[Quantity allocated]]</f>
        <v>3.3157894736842106</v>
      </c>
      <c r="Z2191" s="34" t="b">
        <f>Allocation[[#This Row],[Quantity allocated]]&lt;=Allocation[[#This Row],[Quantity Processed]]</f>
        <v>1</v>
      </c>
    </row>
    <row r="2192" spans="1:26">
      <c r="A2192" s="247" t="s">
        <v>467</v>
      </c>
      <c r="B2192" s="210" t="s">
        <v>68</v>
      </c>
      <c r="C2192" s="254" t="s">
        <v>1392</v>
      </c>
      <c r="D2192" s="255">
        <v>256</v>
      </c>
      <c r="E2192" s="211" t="s">
        <v>1962</v>
      </c>
      <c r="F2192" s="212">
        <v>43651</v>
      </c>
      <c r="G2192" s="213">
        <v>2.6</v>
      </c>
      <c r="H2192" s="256">
        <v>100</v>
      </c>
      <c r="I2192" s="214">
        <v>1466005</v>
      </c>
      <c r="J2192" s="215">
        <v>11700</v>
      </c>
      <c r="K2192" s="212">
        <v>43665</v>
      </c>
      <c r="L2192" s="211" t="s">
        <v>1963</v>
      </c>
      <c r="M2192" s="216">
        <v>4615447218</v>
      </c>
      <c r="N2192" s="212"/>
      <c r="O2192" s="218"/>
      <c r="P2192" s="219"/>
      <c r="Q2192" s="34">
        <f>SUMIF(Allocation[Delivery ID],Allocation[[#This Row],[Delivery ID]],Allocation[Quantity Processed])</f>
        <v>6344</v>
      </c>
      <c r="R2192" s="61">
        <f>Allocation[[#This Row],[Total volume used]]/VLOOKUP(Allocation[[#This Row],[Delivery ID]],Delivery[[Delivery ID]:[Quantity delivered]],3,FALSE)</f>
        <v>0.297282099343955</v>
      </c>
      <c r="S2192" s="34">
        <f>Allocation[[#This Row],[Quantity Processed]]/Allocation[[#This Row],[Dilution rate]]</f>
        <v>98.461538461538453</v>
      </c>
      <c r="T2192" s="59">
        <f>SUMIF(Allocation[Delivery ID],Allocation[[#This Row],[Delivery ID]],Allocation[Quantity allocated])/SUMIF(Allocation[Delivery ID],Allocation[[#This Row],[Delivery ID]],Allocation[Volume available (kg)])</f>
        <v>1.0372922683531849</v>
      </c>
      <c r="U2192" s="61">
        <f>Allocation[[#This Row],[Total volume used]]/VLOOKUP(Allocation[[#This Row],[Delivery ID]],Delivery[[Delivery ID]:[Quantity delivered]],3,FALSE)</f>
        <v>0.297282099343955</v>
      </c>
      <c r="V2192" s="34" t="e">
        <f>VLOOKUP(Allocation[[#This Row],[SAP Contract number]],Shipments[[SAP Contract number]:[Contracted container weight]],2,FALSE)</f>
        <v>#N/A</v>
      </c>
      <c r="W2192" s="34" t="e">
        <f>VLOOKUP(Allocation[[#This Row],[SAP Contract number]],Shipments[[SAP Contract number]:[AAA Premium USD]],24,FALSE)</f>
        <v>#N/A</v>
      </c>
      <c r="X2192" s="34" t="e">
        <f>VLOOKUP(Allocation[[#This Row],[SAP Contract number]],Shipments[[SAP Contract number]:[RA Premium USD]],25,FALSE)</f>
        <v>#N/A</v>
      </c>
      <c r="Y2192" s="38">
        <f>Allocation[[#This Row],[Quantity Processed]]/Allocation[[#This Row],[Quantity allocated]]</f>
        <v>2.56</v>
      </c>
      <c r="Z2192" s="34" t="b">
        <f>Allocation[[#This Row],[Quantity allocated]]&lt;=Allocation[[#This Row],[Quantity Processed]]</f>
        <v>1</v>
      </c>
    </row>
    <row r="2193" spans="1:26">
      <c r="A2193" s="247" t="s">
        <v>467</v>
      </c>
      <c r="B2193" s="210" t="s">
        <v>68</v>
      </c>
      <c r="C2193" s="254" t="s">
        <v>1393</v>
      </c>
      <c r="D2193" s="255">
        <v>1028</v>
      </c>
      <c r="E2193" s="211" t="s">
        <v>1962</v>
      </c>
      <c r="F2193" s="212">
        <v>43651</v>
      </c>
      <c r="G2193" s="213">
        <v>2.6</v>
      </c>
      <c r="H2193" s="256">
        <v>514</v>
      </c>
      <c r="I2193" s="214">
        <v>1466005</v>
      </c>
      <c r="J2193" s="215">
        <v>11700</v>
      </c>
      <c r="K2193" s="212">
        <v>43665</v>
      </c>
      <c r="L2193" s="211" t="s">
        <v>1963</v>
      </c>
      <c r="M2193" s="216">
        <v>4615447218</v>
      </c>
      <c r="N2193" s="212"/>
      <c r="O2193" s="218"/>
      <c r="P2193" s="219"/>
      <c r="Q2193" s="34">
        <f>SUMIF(Allocation[Delivery ID],Allocation[[#This Row],[Delivery ID]],Allocation[Quantity Processed])</f>
        <v>8682</v>
      </c>
      <c r="R2193" s="61">
        <f>Allocation[[#This Row],[Total volume used]]/VLOOKUP(Allocation[[#This Row],[Delivery ID]],Delivery[[Delivery ID]:[Quantity delivered]],3,FALSE)</f>
        <v>0.71675059853050438</v>
      </c>
      <c r="S2193" s="34">
        <f>Allocation[[#This Row],[Quantity Processed]]/Allocation[[#This Row],[Dilution rate]]</f>
        <v>395.38461538461536</v>
      </c>
      <c r="T2193" s="59">
        <f>SUMIF(Allocation[Delivery ID],Allocation[[#This Row],[Delivery ID]],Allocation[Quantity allocated])/SUMIF(Allocation[Delivery ID],Allocation[[#This Row],[Delivery ID]],Allocation[Volume available (kg)])</f>
        <v>1.0762678945787127</v>
      </c>
      <c r="U2193" s="61">
        <f>Allocation[[#This Row],[Total volume used]]/VLOOKUP(Allocation[[#This Row],[Delivery ID]],Delivery[[Delivery ID]:[Quantity delivered]],3,FALSE)</f>
        <v>0.71675059853050438</v>
      </c>
      <c r="V2193" s="34" t="e">
        <f>VLOOKUP(Allocation[[#This Row],[SAP Contract number]],Shipments[[SAP Contract number]:[Contracted container weight]],2,FALSE)</f>
        <v>#N/A</v>
      </c>
      <c r="W2193" s="34" t="e">
        <f>VLOOKUP(Allocation[[#This Row],[SAP Contract number]],Shipments[[SAP Contract number]:[AAA Premium USD]],24,FALSE)</f>
        <v>#N/A</v>
      </c>
      <c r="X2193" s="34" t="e">
        <f>VLOOKUP(Allocation[[#This Row],[SAP Contract number]],Shipments[[SAP Contract number]:[RA Premium USD]],25,FALSE)</f>
        <v>#N/A</v>
      </c>
      <c r="Y2193" s="38">
        <f>Allocation[[#This Row],[Quantity Processed]]/Allocation[[#This Row],[Quantity allocated]]</f>
        <v>2</v>
      </c>
      <c r="Z2193" s="34" t="b">
        <f>Allocation[[#This Row],[Quantity allocated]]&lt;=Allocation[[#This Row],[Quantity Processed]]</f>
        <v>1</v>
      </c>
    </row>
    <row r="2194" spans="1:26">
      <c r="A2194" s="247" t="s">
        <v>467</v>
      </c>
      <c r="B2194" s="210" t="s">
        <v>68</v>
      </c>
      <c r="C2194" s="254" t="s">
        <v>1395</v>
      </c>
      <c r="D2194" s="255">
        <v>1360</v>
      </c>
      <c r="E2194" s="211" t="s">
        <v>1962</v>
      </c>
      <c r="F2194" s="212">
        <v>43651</v>
      </c>
      <c r="G2194" s="213">
        <v>2.6</v>
      </c>
      <c r="H2194" s="256">
        <v>680</v>
      </c>
      <c r="I2194" s="214">
        <v>1466005</v>
      </c>
      <c r="J2194" s="215">
        <v>11700</v>
      </c>
      <c r="K2194" s="212">
        <v>43665</v>
      </c>
      <c r="L2194" s="211" t="s">
        <v>1963</v>
      </c>
      <c r="M2194" s="216">
        <v>4615447218</v>
      </c>
      <c r="N2194" s="212"/>
      <c r="O2194" s="218"/>
      <c r="P2194" s="219"/>
      <c r="Q2194" s="34">
        <f>SUMIF(Allocation[Delivery ID],Allocation[[#This Row],[Delivery ID]],Allocation[Quantity Processed])</f>
        <v>11484</v>
      </c>
      <c r="R2194" s="61">
        <f>Allocation[[#This Row],[Total volume used]]/VLOOKUP(Allocation[[#This Row],[Delivery ID]],Delivery[[Delivery ID]:[Quantity delivered]],3,FALSE)</f>
        <v>0.71596009975062347</v>
      </c>
      <c r="S2194" s="34">
        <f>Allocation[[#This Row],[Quantity Processed]]/Allocation[[#This Row],[Dilution rate]]</f>
        <v>523.07692307692309</v>
      </c>
      <c r="T2194" s="59">
        <f>SUMIF(Allocation[Delivery ID],Allocation[[#This Row],[Delivery ID]],Allocation[Quantity allocated])/SUMIF(Allocation[Delivery ID],Allocation[[#This Row],[Delivery ID]],Allocation[Volume available (kg)])</f>
        <v>1.0762941513493463</v>
      </c>
      <c r="U2194" s="61">
        <f>Allocation[[#This Row],[Total volume used]]/VLOOKUP(Allocation[[#This Row],[Delivery ID]],Delivery[[Delivery ID]:[Quantity delivered]],3,FALSE)</f>
        <v>0.71596009975062347</v>
      </c>
      <c r="V2194" s="34" t="e">
        <f>VLOOKUP(Allocation[[#This Row],[SAP Contract number]],Shipments[[SAP Contract number]:[Contracted container weight]],2,FALSE)</f>
        <v>#N/A</v>
      </c>
      <c r="W2194" s="34" t="e">
        <f>VLOOKUP(Allocation[[#This Row],[SAP Contract number]],Shipments[[SAP Contract number]:[AAA Premium USD]],24,FALSE)</f>
        <v>#N/A</v>
      </c>
      <c r="X2194" s="34" t="e">
        <f>VLOOKUP(Allocation[[#This Row],[SAP Contract number]],Shipments[[SAP Contract number]:[RA Premium USD]],25,FALSE)</f>
        <v>#N/A</v>
      </c>
      <c r="Y2194" s="38">
        <f>Allocation[[#This Row],[Quantity Processed]]/Allocation[[#This Row],[Quantity allocated]]</f>
        <v>2</v>
      </c>
      <c r="Z2194" s="34" t="b">
        <f>Allocation[[#This Row],[Quantity allocated]]&lt;=Allocation[[#This Row],[Quantity Processed]]</f>
        <v>1</v>
      </c>
    </row>
    <row r="2195" spans="1:26">
      <c r="A2195" s="247" t="s">
        <v>467</v>
      </c>
      <c r="B2195" s="210" t="s">
        <v>68</v>
      </c>
      <c r="C2195" s="254" t="s">
        <v>1396</v>
      </c>
      <c r="D2195" s="255">
        <v>200</v>
      </c>
      <c r="E2195" s="211" t="s">
        <v>1962</v>
      </c>
      <c r="F2195" s="212">
        <v>43651</v>
      </c>
      <c r="G2195" s="213">
        <v>2.6</v>
      </c>
      <c r="H2195" s="256">
        <v>66</v>
      </c>
      <c r="I2195" s="214">
        <v>1466005</v>
      </c>
      <c r="J2195" s="215">
        <v>11700</v>
      </c>
      <c r="K2195" s="212">
        <v>43665</v>
      </c>
      <c r="L2195" s="211" t="s">
        <v>1963</v>
      </c>
      <c r="M2195" s="216">
        <v>4615447218</v>
      </c>
      <c r="N2195" s="212"/>
      <c r="O2195" s="218"/>
      <c r="P2195" s="219"/>
      <c r="Q2195" s="34">
        <f>SUMIF(Allocation[Delivery ID],Allocation[[#This Row],[Delivery ID]],Allocation[Quantity Processed])</f>
        <v>4921</v>
      </c>
      <c r="R2195" s="61">
        <f>Allocation[[#This Row],[Total volume used]]/VLOOKUP(Allocation[[#This Row],[Delivery ID]],Delivery[[Delivery ID]:[Quantity delivered]],3,FALSE)</f>
        <v>0.35049857549857549</v>
      </c>
      <c r="S2195" s="34">
        <f>Allocation[[#This Row],[Quantity Processed]]/Allocation[[#This Row],[Dilution rate]]</f>
        <v>76.92307692307692</v>
      </c>
      <c r="T2195" s="59">
        <f>SUMIF(Allocation[Delivery ID],Allocation[[#This Row],[Delivery ID]],Allocation[Quantity allocated])/SUMIF(Allocation[Delivery ID],Allocation[[#This Row],[Delivery ID]],Allocation[Volume available (kg)])</f>
        <v>0.87779462227618565</v>
      </c>
      <c r="U2195" s="61">
        <f>Allocation[[#This Row],[Total volume used]]/VLOOKUP(Allocation[[#This Row],[Delivery ID]],Delivery[[Delivery ID]:[Quantity delivered]],3,FALSE)</f>
        <v>0.35049857549857549</v>
      </c>
      <c r="V2195" s="34" t="e">
        <f>VLOOKUP(Allocation[[#This Row],[SAP Contract number]],Shipments[[SAP Contract number]:[Contracted container weight]],2,FALSE)</f>
        <v>#N/A</v>
      </c>
      <c r="W2195" s="34" t="e">
        <f>VLOOKUP(Allocation[[#This Row],[SAP Contract number]],Shipments[[SAP Contract number]:[AAA Premium USD]],24,FALSE)</f>
        <v>#N/A</v>
      </c>
      <c r="X2195" s="34" t="e">
        <f>VLOOKUP(Allocation[[#This Row],[SAP Contract number]],Shipments[[SAP Contract number]:[RA Premium USD]],25,FALSE)</f>
        <v>#N/A</v>
      </c>
      <c r="Y2195" s="38">
        <f>Allocation[[#This Row],[Quantity Processed]]/Allocation[[#This Row],[Quantity allocated]]</f>
        <v>3.0303030303030303</v>
      </c>
      <c r="Z2195" s="34" t="b">
        <f>Allocation[[#This Row],[Quantity allocated]]&lt;=Allocation[[#This Row],[Quantity Processed]]</f>
        <v>1</v>
      </c>
    </row>
    <row r="2196" spans="1:26">
      <c r="A2196" s="247" t="s">
        <v>467</v>
      </c>
      <c r="B2196" s="210" t="s">
        <v>68</v>
      </c>
      <c r="C2196" s="254" t="s">
        <v>1397</v>
      </c>
      <c r="D2196" s="255">
        <v>58</v>
      </c>
      <c r="E2196" s="211" t="s">
        <v>1962</v>
      </c>
      <c r="F2196" s="212">
        <v>43651</v>
      </c>
      <c r="G2196" s="213">
        <v>2.6</v>
      </c>
      <c r="H2196" s="256">
        <v>19</v>
      </c>
      <c r="I2196" s="214">
        <v>1466005</v>
      </c>
      <c r="J2196" s="215">
        <v>11700</v>
      </c>
      <c r="K2196" s="212">
        <v>43665</v>
      </c>
      <c r="L2196" s="211" t="s">
        <v>1963</v>
      </c>
      <c r="M2196" s="216">
        <v>4615447218</v>
      </c>
      <c r="N2196" s="212"/>
      <c r="O2196" s="218"/>
      <c r="P2196" s="219"/>
      <c r="Q2196" s="34">
        <f>SUMIF(Allocation[Delivery ID],Allocation[[#This Row],[Delivery ID]],Allocation[Quantity Processed])</f>
        <v>1155</v>
      </c>
      <c r="R2196" s="61">
        <f>Allocation[[#This Row],[Total volume used]]/VLOOKUP(Allocation[[#This Row],[Delivery ID]],Delivery[[Delivery ID]:[Quantity delivered]],3,FALSE)</f>
        <v>0.29166666666666669</v>
      </c>
      <c r="S2196" s="34">
        <f>Allocation[[#This Row],[Quantity Processed]]/Allocation[[#This Row],[Dilution rate]]</f>
        <v>22.307692307692307</v>
      </c>
      <c r="T2196" s="59">
        <f>SUMIF(Allocation[Delivery ID],Allocation[[#This Row],[Delivery ID]],Allocation[Quantity allocated])/SUMIF(Allocation[Delivery ID],Allocation[[#This Row],[Delivery ID]],Allocation[Volume available (kg)])</f>
        <v>0.8801303505968916</v>
      </c>
      <c r="U2196" s="61">
        <f>Allocation[[#This Row],[Total volume used]]/VLOOKUP(Allocation[[#This Row],[Delivery ID]],Delivery[[Delivery ID]:[Quantity delivered]],3,FALSE)</f>
        <v>0.29166666666666669</v>
      </c>
      <c r="V2196" s="34" t="e">
        <f>VLOOKUP(Allocation[[#This Row],[SAP Contract number]],Shipments[[SAP Contract number]:[Contracted container weight]],2,FALSE)</f>
        <v>#N/A</v>
      </c>
      <c r="W2196" s="34" t="e">
        <f>VLOOKUP(Allocation[[#This Row],[SAP Contract number]],Shipments[[SAP Contract number]:[AAA Premium USD]],24,FALSE)</f>
        <v>#N/A</v>
      </c>
      <c r="X2196" s="34" t="e">
        <f>VLOOKUP(Allocation[[#This Row],[SAP Contract number]],Shipments[[SAP Contract number]:[RA Premium USD]],25,FALSE)</f>
        <v>#N/A</v>
      </c>
      <c r="Y2196" s="38">
        <f>Allocation[[#This Row],[Quantity Processed]]/Allocation[[#This Row],[Quantity allocated]]</f>
        <v>3.0526315789473686</v>
      </c>
      <c r="Z2196" s="34" t="b">
        <f>Allocation[[#This Row],[Quantity allocated]]&lt;=Allocation[[#This Row],[Quantity Processed]]</f>
        <v>1</v>
      </c>
    </row>
    <row r="2197" spans="1:26">
      <c r="A2197" s="247" t="s">
        <v>467</v>
      </c>
      <c r="B2197" s="210" t="s">
        <v>68</v>
      </c>
      <c r="C2197" s="254" t="s">
        <v>569</v>
      </c>
      <c r="D2197" s="255">
        <v>73</v>
      </c>
      <c r="E2197" s="211" t="s">
        <v>1962</v>
      </c>
      <c r="F2197" s="212">
        <v>43651</v>
      </c>
      <c r="G2197" s="213">
        <v>2.6</v>
      </c>
      <c r="H2197" s="256">
        <v>24</v>
      </c>
      <c r="I2197" s="214">
        <v>1466005</v>
      </c>
      <c r="J2197" s="215">
        <v>11700</v>
      </c>
      <c r="K2197" s="212">
        <v>43665</v>
      </c>
      <c r="L2197" s="211" t="s">
        <v>1963</v>
      </c>
      <c r="M2197" s="216">
        <v>4615447218</v>
      </c>
      <c r="N2197" s="212"/>
      <c r="O2197" s="218"/>
      <c r="P2197" s="219"/>
      <c r="Q2197" s="34">
        <f>SUMIF(Allocation[Delivery ID],Allocation[[#This Row],[Delivery ID]],Allocation[Quantity Processed])</f>
        <v>7262</v>
      </c>
      <c r="R2197" s="61">
        <f>Allocation[[#This Row],[Total volume used]]/VLOOKUP(Allocation[[#This Row],[Delivery ID]],Delivery[[Delivery ID]:[Quantity delivered]],3,FALSE)</f>
        <v>0.60516666666666663</v>
      </c>
      <c r="S2197" s="34">
        <f>Allocation[[#This Row],[Quantity Processed]]/Allocation[[#This Row],[Dilution rate]]</f>
        <v>28.076923076923077</v>
      </c>
      <c r="T2197" s="59">
        <f>SUMIF(Allocation[Delivery ID],Allocation[[#This Row],[Delivery ID]],Allocation[Quantity allocated])/SUMIF(Allocation[Delivery ID],Allocation[[#This Row],[Delivery ID]],Allocation[Volume available (kg)])</f>
        <v>0.67035577324738682</v>
      </c>
      <c r="U2197" s="61">
        <f>Allocation[[#This Row],[Total volume used]]/VLOOKUP(Allocation[[#This Row],[Delivery ID]],Delivery[[Delivery ID]:[Quantity delivered]],3,FALSE)</f>
        <v>0.60516666666666663</v>
      </c>
      <c r="V2197" s="34" t="e">
        <f>VLOOKUP(Allocation[[#This Row],[SAP Contract number]],Shipments[[SAP Contract number]:[Contracted container weight]],2,FALSE)</f>
        <v>#N/A</v>
      </c>
      <c r="W2197" s="34" t="e">
        <f>VLOOKUP(Allocation[[#This Row],[SAP Contract number]],Shipments[[SAP Contract number]:[AAA Premium USD]],24,FALSE)</f>
        <v>#N/A</v>
      </c>
      <c r="X2197" s="34" t="e">
        <f>VLOOKUP(Allocation[[#This Row],[SAP Contract number]],Shipments[[SAP Contract number]:[RA Premium USD]],25,FALSE)</f>
        <v>#N/A</v>
      </c>
      <c r="Y2197" s="38">
        <f>Allocation[[#This Row],[Quantity Processed]]/Allocation[[#This Row],[Quantity allocated]]</f>
        <v>3.0416666666666665</v>
      </c>
      <c r="Z2197" s="34" t="b">
        <f>Allocation[[#This Row],[Quantity allocated]]&lt;=Allocation[[#This Row],[Quantity Processed]]</f>
        <v>1</v>
      </c>
    </row>
    <row r="2198" spans="1:26">
      <c r="A2198" s="247" t="s">
        <v>467</v>
      </c>
      <c r="B2198" s="210" t="s">
        <v>68</v>
      </c>
      <c r="C2198" s="254" t="s">
        <v>571</v>
      </c>
      <c r="D2198" s="255">
        <v>26</v>
      </c>
      <c r="E2198" s="211" t="s">
        <v>1962</v>
      </c>
      <c r="F2198" s="212">
        <v>43651</v>
      </c>
      <c r="G2198" s="213">
        <v>2.6</v>
      </c>
      <c r="H2198" s="256">
        <v>12</v>
      </c>
      <c r="I2198" s="214">
        <v>1466005</v>
      </c>
      <c r="J2198" s="215">
        <v>11700</v>
      </c>
      <c r="K2198" s="212">
        <v>43665</v>
      </c>
      <c r="L2198" s="211" t="s">
        <v>1963</v>
      </c>
      <c r="M2198" s="216">
        <v>4615447218</v>
      </c>
      <c r="N2198" s="212"/>
      <c r="O2198" s="218"/>
      <c r="P2198" s="219"/>
      <c r="Q2198" s="34">
        <f>SUMIF(Allocation[Delivery ID],Allocation[[#This Row],[Delivery ID]],Allocation[Quantity Processed])</f>
        <v>2415</v>
      </c>
      <c r="R2198" s="61">
        <f>Allocation[[#This Row],[Total volume used]]/VLOOKUP(Allocation[[#This Row],[Delivery ID]],Delivery[[Delivery ID]:[Quantity delivered]],3,FALSE)</f>
        <v>0.4716796875</v>
      </c>
      <c r="S2198" s="34">
        <f>Allocation[[#This Row],[Quantity Processed]]/Allocation[[#This Row],[Dilution rate]]</f>
        <v>10</v>
      </c>
      <c r="T2198" s="59">
        <f>SUMIF(Allocation[Delivery ID],Allocation[[#This Row],[Delivery ID]],Allocation[Quantity allocated])/SUMIF(Allocation[Delivery ID],Allocation[[#This Row],[Delivery ID]],Allocation[Volume available (kg)])</f>
        <v>1.0297957209646704</v>
      </c>
      <c r="U2198" s="61">
        <f>Allocation[[#This Row],[Total volume used]]/VLOOKUP(Allocation[[#This Row],[Delivery ID]],Delivery[[Delivery ID]:[Quantity delivered]],3,FALSE)</f>
        <v>0.4716796875</v>
      </c>
      <c r="V2198" s="34" t="e">
        <f>VLOOKUP(Allocation[[#This Row],[SAP Contract number]],Shipments[[SAP Contract number]:[Contracted container weight]],2,FALSE)</f>
        <v>#N/A</v>
      </c>
      <c r="W2198" s="34" t="e">
        <f>VLOOKUP(Allocation[[#This Row],[SAP Contract number]],Shipments[[SAP Contract number]:[AAA Premium USD]],24,FALSE)</f>
        <v>#N/A</v>
      </c>
      <c r="X2198" s="34" t="e">
        <f>VLOOKUP(Allocation[[#This Row],[SAP Contract number]],Shipments[[SAP Contract number]:[RA Premium USD]],25,FALSE)</f>
        <v>#N/A</v>
      </c>
      <c r="Y2198" s="38">
        <f>Allocation[[#This Row],[Quantity Processed]]/Allocation[[#This Row],[Quantity allocated]]</f>
        <v>2.1666666666666665</v>
      </c>
      <c r="Z2198" s="34" t="b">
        <f>Allocation[[#This Row],[Quantity allocated]]&lt;=Allocation[[#This Row],[Quantity Processed]]</f>
        <v>1</v>
      </c>
    </row>
    <row r="2199" spans="1:26">
      <c r="A2199" s="247" t="s">
        <v>467</v>
      </c>
      <c r="B2199" s="210" t="s">
        <v>68</v>
      </c>
      <c r="C2199" s="254" t="s">
        <v>1399</v>
      </c>
      <c r="D2199" s="255">
        <v>43</v>
      </c>
      <c r="E2199" s="211" t="s">
        <v>1962</v>
      </c>
      <c r="F2199" s="212">
        <v>43651</v>
      </c>
      <c r="G2199" s="213">
        <v>2.6</v>
      </c>
      <c r="H2199" s="256">
        <v>13</v>
      </c>
      <c r="I2199" s="214">
        <v>1466005</v>
      </c>
      <c r="J2199" s="215">
        <v>11700</v>
      </c>
      <c r="K2199" s="212">
        <v>43665</v>
      </c>
      <c r="L2199" s="211" t="s">
        <v>1963</v>
      </c>
      <c r="M2199" s="216">
        <v>4615447218</v>
      </c>
      <c r="N2199" s="212"/>
      <c r="O2199" s="218"/>
      <c r="P2199" s="219"/>
      <c r="Q2199" s="34">
        <f>SUMIF(Allocation[Delivery ID],Allocation[[#This Row],[Delivery ID]],Allocation[Quantity Processed])</f>
        <v>883</v>
      </c>
      <c r="R2199" s="61">
        <f>Allocation[[#This Row],[Total volume used]]/VLOOKUP(Allocation[[#This Row],[Delivery ID]],Delivery[[Delivery ID]:[Quantity delivered]],3,FALSE)</f>
        <v>0.31992753623188408</v>
      </c>
      <c r="S2199" s="34">
        <f>Allocation[[#This Row],[Quantity Processed]]/Allocation[[#This Row],[Dilution rate]]</f>
        <v>16.538461538461537</v>
      </c>
      <c r="T2199" s="59">
        <f>SUMIF(Allocation[Delivery ID],Allocation[[#This Row],[Delivery ID]],Allocation[Quantity allocated])/SUMIF(Allocation[Delivery ID],Allocation[[#This Row],[Delivery ID]],Allocation[Volume available (kg)])</f>
        <v>0.8007466971280095</v>
      </c>
      <c r="U2199" s="61">
        <f>Allocation[[#This Row],[Total volume used]]/VLOOKUP(Allocation[[#This Row],[Delivery ID]],Delivery[[Delivery ID]:[Quantity delivered]],3,FALSE)</f>
        <v>0.31992753623188408</v>
      </c>
      <c r="V2199" s="34" t="e">
        <f>VLOOKUP(Allocation[[#This Row],[SAP Contract number]],Shipments[[SAP Contract number]:[Contracted container weight]],2,FALSE)</f>
        <v>#N/A</v>
      </c>
      <c r="W2199" s="34" t="e">
        <f>VLOOKUP(Allocation[[#This Row],[SAP Contract number]],Shipments[[SAP Contract number]:[AAA Premium USD]],24,FALSE)</f>
        <v>#N/A</v>
      </c>
      <c r="X2199" s="34" t="e">
        <f>VLOOKUP(Allocation[[#This Row],[SAP Contract number]],Shipments[[SAP Contract number]:[RA Premium USD]],25,FALSE)</f>
        <v>#N/A</v>
      </c>
      <c r="Y2199" s="38">
        <f>Allocation[[#This Row],[Quantity Processed]]/Allocation[[#This Row],[Quantity allocated]]</f>
        <v>3.3076923076923075</v>
      </c>
      <c r="Z2199" s="34" t="b">
        <f>Allocation[[#This Row],[Quantity allocated]]&lt;=Allocation[[#This Row],[Quantity Processed]]</f>
        <v>1</v>
      </c>
    </row>
    <row r="2200" spans="1:26">
      <c r="A2200" s="247" t="s">
        <v>467</v>
      </c>
      <c r="B2200" s="210" t="s">
        <v>68</v>
      </c>
      <c r="C2200" s="254" t="s">
        <v>573</v>
      </c>
      <c r="D2200" s="255">
        <v>123</v>
      </c>
      <c r="E2200" s="211" t="s">
        <v>1962</v>
      </c>
      <c r="F2200" s="212">
        <v>43651</v>
      </c>
      <c r="G2200" s="213">
        <v>2.6</v>
      </c>
      <c r="H2200" s="256">
        <v>37</v>
      </c>
      <c r="I2200" s="214">
        <v>1466005</v>
      </c>
      <c r="J2200" s="215">
        <v>11700</v>
      </c>
      <c r="K2200" s="212">
        <v>43665</v>
      </c>
      <c r="L2200" s="211" t="s">
        <v>1963</v>
      </c>
      <c r="M2200" s="216">
        <v>4615447218</v>
      </c>
      <c r="N2200" s="212"/>
      <c r="O2200" s="218"/>
      <c r="P2200" s="219"/>
      <c r="Q2200" s="34">
        <f>SUMIF(Allocation[Delivery ID],Allocation[[#This Row],[Delivery ID]],Allocation[Quantity Processed])</f>
        <v>12026</v>
      </c>
      <c r="R2200" s="61">
        <f>Allocation[[#This Row],[Total volume used]]/VLOOKUP(Allocation[[#This Row],[Delivery ID]],Delivery[[Delivery ID]:[Quantity delivered]],3,FALSE)</f>
        <v>0.74188772362739053</v>
      </c>
      <c r="S2200" s="34">
        <f>Allocation[[#This Row],[Quantity Processed]]/Allocation[[#This Row],[Dilution rate]]</f>
        <v>47.307692307692307</v>
      </c>
      <c r="T2200" s="59">
        <f>SUMIF(Allocation[Delivery ID],Allocation[[#This Row],[Delivery ID]],Allocation[Quantity allocated])/SUMIF(Allocation[Delivery ID],Allocation[[#This Row],[Delivery ID]],Allocation[Volume available (kg)])</f>
        <v>0.65745962201999164</v>
      </c>
      <c r="U2200" s="61">
        <f>Allocation[[#This Row],[Total volume used]]/VLOOKUP(Allocation[[#This Row],[Delivery ID]],Delivery[[Delivery ID]:[Quantity delivered]],3,FALSE)</f>
        <v>0.74188772362739053</v>
      </c>
      <c r="V2200" s="34" t="e">
        <f>VLOOKUP(Allocation[[#This Row],[SAP Contract number]],Shipments[[SAP Contract number]:[Contracted container weight]],2,FALSE)</f>
        <v>#N/A</v>
      </c>
      <c r="W2200" s="34" t="e">
        <f>VLOOKUP(Allocation[[#This Row],[SAP Contract number]],Shipments[[SAP Contract number]:[AAA Premium USD]],24,FALSE)</f>
        <v>#N/A</v>
      </c>
      <c r="X2200" s="34" t="e">
        <f>VLOOKUP(Allocation[[#This Row],[SAP Contract number]],Shipments[[SAP Contract number]:[RA Premium USD]],25,FALSE)</f>
        <v>#N/A</v>
      </c>
      <c r="Y2200" s="38">
        <f>Allocation[[#This Row],[Quantity Processed]]/Allocation[[#This Row],[Quantity allocated]]</f>
        <v>3.3243243243243241</v>
      </c>
      <c r="Z2200" s="34" t="b">
        <f>Allocation[[#This Row],[Quantity allocated]]&lt;=Allocation[[#This Row],[Quantity Processed]]</f>
        <v>1</v>
      </c>
    </row>
    <row r="2201" spans="1:26">
      <c r="A2201" s="247" t="s">
        <v>467</v>
      </c>
      <c r="B2201" s="210" t="s">
        <v>68</v>
      </c>
      <c r="C2201" s="254" t="s">
        <v>1402</v>
      </c>
      <c r="D2201" s="255">
        <v>1184</v>
      </c>
      <c r="E2201" s="211" t="s">
        <v>1962</v>
      </c>
      <c r="F2201" s="212">
        <v>43651</v>
      </c>
      <c r="G2201" s="213">
        <v>2.6</v>
      </c>
      <c r="H2201" s="256">
        <v>592</v>
      </c>
      <c r="I2201" s="214">
        <v>1466005</v>
      </c>
      <c r="J2201" s="215">
        <v>11700</v>
      </c>
      <c r="K2201" s="212">
        <v>43665</v>
      </c>
      <c r="L2201" s="211" t="s">
        <v>1963</v>
      </c>
      <c r="M2201" s="216">
        <v>4615447218</v>
      </c>
      <c r="N2201" s="212"/>
      <c r="O2201" s="218"/>
      <c r="P2201" s="219"/>
      <c r="Q2201" s="34">
        <f>SUMIF(Allocation[Delivery ID],Allocation[[#This Row],[Delivery ID]],Allocation[Quantity Processed])</f>
        <v>2616</v>
      </c>
      <c r="R2201" s="61">
        <f>Allocation[[#This Row],[Total volume used]]/VLOOKUP(Allocation[[#This Row],[Delivery ID]],Delivery[[Delivery ID]:[Quantity delivered]],3,FALSE)</f>
        <v>0.54500000000000004</v>
      </c>
      <c r="S2201" s="34">
        <f>Allocation[[#This Row],[Quantity Processed]]/Allocation[[#This Row],[Dilution rate]]</f>
        <v>455.38461538461536</v>
      </c>
      <c r="T2201" s="59">
        <f>SUMIF(Allocation[Delivery ID],Allocation[[#This Row],[Delivery ID]],Allocation[Quantity allocated])/SUMIF(Allocation[Delivery ID],Allocation[[#This Row],[Delivery ID]],Allocation[Volume available (kg)])</f>
        <v>1.3281981935767111</v>
      </c>
      <c r="U2201" s="61">
        <f>Allocation[[#This Row],[Total volume used]]/VLOOKUP(Allocation[[#This Row],[Delivery ID]],Delivery[[Delivery ID]:[Quantity delivered]],3,FALSE)</f>
        <v>0.54500000000000004</v>
      </c>
      <c r="V2201" s="34" t="e">
        <f>VLOOKUP(Allocation[[#This Row],[SAP Contract number]],Shipments[[SAP Contract number]:[Contracted container weight]],2,FALSE)</f>
        <v>#N/A</v>
      </c>
      <c r="W2201" s="34" t="e">
        <f>VLOOKUP(Allocation[[#This Row],[SAP Contract number]],Shipments[[SAP Contract number]:[AAA Premium USD]],24,FALSE)</f>
        <v>#N/A</v>
      </c>
      <c r="X2201" s="34" t="e">
        <f>VLOOKUP(Allocation[[#This Row],[SAP Contract number]],Shipments[[SAP Contract number]:[RA Premium USD]],25,FALSE)</f>
        <v>#N/A</v>
      </c>
      <c r="Y2201" s="38">
        <f>Allocation[[#This Row],[Quantity Processed]]/Allocation[[#This Row],[Quantity allocated]]</f>
        <v>2</v>
      </c>
      <c r="Z2201" s="34" t="b">
        <f>Allocation[[#This Row],[Quantity allocated]]&lt;=Allocation[[#This Row],[Quantity Processed]]</f>
        <v>1</v>
      </c>
    </row>
    <row r="2202" spans="1:26">
      <c r="A2202" s="247" t="s">
        <v>467</v>
      </c>
      <c r="B2202" s="210" t="s">
        <v>68</v>
      </c>
      <c r="C2202" s="254" t="s">
        <v>1404</v>
      </c>
      <c r="D2202" s="255">
        <v>4452</v>
      </c>
      <c r="E2202" s="211" t="s">
        <v>1962</v>
      </c>
      <c r="F2202" s="212">
        <v>43651</v>
      </c>
      <c r="G2202" s="213">
        <v>2.6</v>
      </c>
      <c r="H2202" s="256">
        <v>1469</v>
      </c>
      <c r="I2202" s="214">
        <v>1466005</v>
      </c>
      <c r="J2202" s="215">
        <v>11700</v>
      </c>
      <c r="K2202" s="212">
        <v>43665</v>
      </c>
      <c r="L2202" s="211" t="s">
        <v>1963</v>
      </c>
      <c r="M2202" s="216">
        <v>4615447218</v>
      </c>
      <c r="N2202" s="212"/>
      <c r="O2202" s="218"/>
      <c r="P2202" s="219"/>
      <c r="Q2202" s="34">
        <f>SUMIF(Allocation[Delivery ID],Allocation[[#This Row],[Delivery ID]],Allocation[Quantity Processed])</f>
        <v>9830</v>
      </c>
      <c r="R2202" s="61">
        <f>Allocation[[#This Row],[Total volume used]]/VLOOKUP(Allocation[[#This Row],[Delivery ID]],Delivery[[Delivery ID]:[Quantity delivered]],3,FALSE)</f>
        <v>0.82674516400336417</v>
      </c>
      <c r="S2202" s="34">
        <f>Allocation[[#This Row],[Quantity Processed]]/Allocation[[#This Row],[Dilution rate]]</f>
        <v>1712.3076923076922</v>
      </c>
      <c r="T2202" s="59">
        <f>SUMIF(Allocation[Delivery ID],Allocation[[#This Row],[Delivery ID]],Allocation[Quantity allocated])/SUMIF(Allocation[Delivery ID],Allocation[[#This Row],[Delivery ID]],Allocation[Volume available (kg)])</f>
        <v>0.87661347730365036</v>
      </c>
      <c r="U2202" s="61">
        <f>Allocation[[#This Row],[Total volume used]]/VLOOKUP(Allocation[[#This Row],[Delivery ID]],Delivery[[Delivery ID]:[Quantity delivered]],3,FALSE)</f>
        <v>0.82674516400336417</v>
      </c>
      <c r="V2202" s="34" t="e">
        <f>VLOOKUP(Allocation[[#This Row],[SAP Contract number]],Shipments[[SAP Contract number]:[Contracted container weight]],2,FALSE)</f>
        <v>#N/A</v>
      </c>
      <c r="W2202" s="34" t="e">
        <f>VLOOKUP(Allocation[[#This Row],[SAP Contract number]],Shipments[[SAP Contract number]:[AAA Premium USD]],24,FALSE)</f>
        <v>#N/A</v>
      </c>
      <c r="X2202" s="34" t="e">
        <f>VLOOKUP(Allocation[[#This Row],[SAP Contract number]],Shipments[[SAP Contract number]:[RA Premium USD]],25,FALSE)</f>
        <v>#N/A</v>
      </c>
      <c r="Y2202" s="38">
        <f>Allocation[[#This Row],[Quantity Processed]]/Allocation[[#This Row],[Quantity allocated]]</f>
        <v>3.0306330837304287</v>
      </c>
      <c r="Z2202" s="34" t="b">
        <f>Allocation[[#This Row],[Quantity allocated]]&lt;=Allocation[[#This Row],[Quantity Processed]]</f>
        <v>1</v>
      </c>
    </row>
    <row r="2203" spans="1:26">
      <c r="A2203" s="247" t="s">
        <v>467</v>
      </c>
      <c r="B2203" s="210" t="s">
        <v>68</v>
      </c>
      <c r="C2203" s="254" t="s">
        <v>581</v>
      </c>
      <c r="D2203" s="255">
        <v>161</v>
      </c>
      <c r="E2203" s="211" t="s">
        <v>1962</v>
      </c>
      <c r="F2203" s="212">
        <v>43651</v>
      </c>
      <c r="G2203" s="213">
        <v>2.6</v>
      </c>
      <c r="H2203" s="256">
        <v>53</v>
      </c>
      <c r="I2203" s="214">
        <v>1466005</v>
      </c>
      <c r="J2203" s="215">
        <v>11700</v>
      </c>
      <c r="K2203" s="212">
        <v>43665</v>
      </c>
      <c r="L2203" s="211" t="s">
        <v>1963</v>
      </c>
      <c r="M2203" s="216">
        <v>4615447218</v>
      </c>
      <c r="N2203" s="212"/>
      <c r="O2203" s="218"/>
      <c r="P2203" s="219"/>
      <c r="Q2203" s="34">
        <f>SUMIF(Allocation[Delivery ID],Allocation[[#This Row],[Delivery ID]],Allocation[Quantity Processed])</f>
        <v>15552</v>
      </c>
      <c r="R2203" s="61">
        <f>Allocation[[#This Row],[Total volume used]]/VLOOKUP(Allocation[[#This Row],[Delivery ID]],Delivery[[Delivery ID]:[Quantity delivered]],3,FALSE)</f>
        <v>0.67588005215123859</v>
      </c>
      <c r="S2203" s="34">
        <f>Allocation[[#This Row],[Quantity Processed]]/Allocation[[#This Row],[Dilution rate]]</f>
        <v>61.92307692307692</v>
      </c>
      <c r="T2203" s="59">
        <f>SUMIF(Allocation[Delivery ID],Allocation[[#This Row],[Delivery ID]],Allocation[Quantity allocated])/SUMIF(Allocation[Delivery ID],Allocation[[#This Row],[Delivery ID]],Allocation[Volume available (kg)])</f>
        <v>0.72313923676224701</v>
      </c>
      <c r="U2203" s="61">
        <f>Allocation[[#This Row],[Total volume used]]/VLOOKUP(Allocation[[#This Row],[Delivery ID]],Delivery[[Delivery ID]:[Quantity delivered]],3,FALSE)</f>
        <v>0.67588005215123859</v>
      </c>
      <c r="V2203" s="34" t="e">
        <f>VLOOKUP(Allocation[[#This Row],[SAP Contract number]],Shipments[[SAP Contract number]:[Contracted container weight]],2,FALSE)</f>
        <v>#N/A</v>
      </c>
      <c r="W2203" s="34" t="e">
        <f>VLOOKUP(Allocation[[#This Row],[SAP Contract number]],Shipments[[SAP Contract number]:[AAA Premium USD]],24,FALSE)</f>
        <v>#N/A</v>
      </c>
      <c r="X2203" s="34" t="e">
        <f>VLOOKUP(Allocation[[#This Row],[SAP Contract number]],Shipments[[SAP Contract number]:[RA Premium USD]],25,FALSE)</f>
        <v>#N/A</v>
      </c>
      <c r="Y2203" s="38">
        <f>Allocation[[#This Row],[Quantity Processed]]/Allocation[[#This Row],[Quantity allocated]]</f>
        <v>3.0377358490566038</v>
      </c>
      <c r="Z2203" s="34" t="b">
        <f>Allocation[[#This Row],[Quantity allocated]]&lt;=Allocation[[#This Row],[Quantity Processed]]</f>
        <v>1</v>
      </c>
    </row>
    <row r="2204" spans="1:26">
      <c r="A2204" s="247" t="s">
        <v>467</v>
      </c>
      <c r="B2204" s="210" t="s">
        <v>68</v>
      </c>
      <c r="C2204" s="254" t="s">
        <v>582</v>
      </c>
      <c r="D2204" s="255">
        <v>61</v>
      </c>
      <c r="E2204" s="211" t="s">
        <v>1962</v>
      </c>
      <c r="F2204" s="212">
        <v>43651</v>
      </c>
      <c r="G2204" s="213">
        <v>2.6</v>
      </c>
      <c r="H2204" s="256">
        <v>20</v>
      </c>
      <c r="I2204" s="214">
        <v>1466005</v>
      </c>
      <c r="J2204" s="215">
        <v>11700</v>
      </c>
      <c r="K2204" s="212">
        <v>43665</v>
      </c>
      <c r="L2204" s="211" t="s">
        <v>1963</v>
      </c>
      <c r="M2204" s="216">
        <v>4615447218</v>
      </c>
      <c r="N2204" s="212"/>
      <c r="O2204" s="218"/>
      <c r="P2204" s="219"/>
      <c r="Q2204" s="34">
        <f>SUMIF(Allocation[Delivery ID],Allocation[[#This Row],[Delivery ID]],Allocation[Quantity Processed])</f>
        <v>5879</v>
      </c>
      <c r="R2204" s="61">
        <f>Allocation[[#This Row],[Total volume used]]/VLOOKUP(Allocation[[#This Row],[Delivery ID]],Delivery[[Delivery ID]:[Quantity delivered]],3,FALSE)</f>
        <v>0.67265446224256298</v>
      </c>
      <c r="S2204" s="34">
        <f>Allocation[[#This Row],[Quantity Processed]]/Allocation[[#This Row],[Dilution rate]]</f>
        <v>23.46153846153846</v>
      </c>
      <c r="T2204" s="59">
        <f>SUMIF(Allocation[Delivery ID],Allocation[[#This Row],[Delivery ID]],Allocation[Quantity allocated])/SUMIF(Allocation[Delivery ID],Allocation[[#This Row],[Delivery ID]],Allocation[Volume available (kg)])</f>
        <v>0.72326677996293631</v>
      </c>
      <c r="U2204" s="61">
        <f>Allocation[[#This Row],[Total volume used]]/VLOOKUP(Allocation[[#This Row],[Delivery ID]],Delivery[[Delivery ID]:[Quantity delivered]],3,FALSE)</f>
        <v>0.67265446224256298</v>
      </c>
      <c r="V2204" s="34" t="e">
        <f>VLOOKUP(Allocation[[#This Row],[SAP Contract number]],Shipments[[SAP Contract number]:[Contracted container weight]],2,FALSE)</f>
        <v>#N/A</v>
      </c>
      <c r="W2204" s="34" t="e">
        <f>VLOOKUP(Allocation[[#This Row],[SAP Contract number]],Shipments[[SAP Contract number]:[AAA Premium USD]],24,FALSE)</f>
        <v>#N/A</v>
      </c>
      <c r="X2204" s="34" t="e">
        <f>VLOOKUP(Allocation[[#This Row],[SAP Contract number]],Shipments[[SAP Contract number]:[RA Premium USD]],25,FALSE)</f>
        <v>#N/A</v>
      </c>
      <c r="Y2204" s="38">
        <f>Allocation[[#This Row],[Quantity Processed]]/Allocation[[#This Row],[Quantity allocated]]</f>
        <v>3.05</v>
      </c>
      <c r="Z2204" s="34" t="b">
        <f>Allocation[[#This Row],[Quantity allocated]]&lt;=Allocation[[#This Row],[Quantity Processed]]</f>
        <v>1</v>
      </c>
    </row>
    <row r="2205" spans="1:26">
      <c r="A2205" s="247" t="s">
        <v>467</v>
      </c>
      <c r="B2205" s="210" t="s">
        <v>68</v>
      </c>
      <c r="C2205" s="254" t="s">
        <v>583</v>
      </c>
      <c r="D2205" s="255">
        <v>161</v>
      </c>
      <c r="E2205" s="211" t="s">
        <v>1962</v>
      </c>
      <c r="F2205" s="212">
        <v>43651</v>
      </c>
      <c r="G2205" s="213">
        <v>2.6</v>
      </c>
      <c r="H2205" s="256">
        <v>53</v>
      </c>
      <c r="I2205" s="214">
        <v>1466005</v>
      </c>
      <c r="J2205" s="215">
        <v>11700</v>
      </c>
      <c r="K2205" s="212">
        <v>43665</v>
      </c>
      <c r="L2205" s="211" t="s">
        <v>1963</v>
      </c>
      <c r="M2205" s="216">
        <v>4615447218</v>
      </c>
      <c r="N2205" s="212"/>
      <c r="O2205" s="218"/>
      <c r="P2205" s="219"/>
      <c r="Q2205" s="34">
        <f>SUMIF(Allocation[Delivery ID],Allocation[[#This Row],[Delivery ID]],Allocation[Quantity Processed])</f>
        <v>15619</v>
      </c>
      <c r="R2205" s="61">
        <f>Allocation[[#This Row],[Total volume used]]/VLOOKUP(Allocation[[#This Row],[Delivery ID]],Delivery[[Delivery ID]:[Quantity delivered]],3,FALSE)</f>
        <v>0.67410444540353909</v>
      </c>
      <c r="S2205" s="34">
        <f>Allocation[[#This Row],[Quantity Processed]]/Allocation[[#This Row],[Dilution rate]]</f>
        <v>61.92307692307692</v>
      </c>
      <c r="T2205" s="59">
        <f>SUMIF(Allocation[Delivery ID],Allocation[[#This Row],[Delivery ID]],Allocation[Quantity allocated])/SUMIF(Allocation[Delivery ID],Allocation[[#This Row],[Delivery ID]],Allocation[Volume available (kg)])</f>
        <v>0.72302027462828689</v>
      </c>
      <c r="U2205" s="61">
        <f>Allocation[[#This Row],[Total volume used]]/VLOOKUP(Allocation[[#This Row],[Delivery ID]],Delivery[[Delivery ID]:[Quantity delivered]],3,FALSE)</f>
        <v>0.67410444540353909</v>
      </c>
      <c r="V2205" s="34" t="e">
        <f>VLOOKUP(Allocation[[#This Row],[SAP Contract number]],Shipments[[SAP Contract number]:[Contracted container weight]],2,FALSE)</f>
        <v>#N/A</v>
      </c>
      <c r="W2205" s="34" t="e">
        <f>VLOOKUP(Allocation[[#This Row],[SAP Contract number]],Shipments[[SAP Contract number]:[AAA Premium USD]],24,FALSE)</f>
        <v>#N/A</v>
      </c>
      <c r="X2205" s="34" t="e">
        <f>VLOOKUP(Allocation[[#This Row],[SAP Contract number]],Shipments[[SAP Contract number]:[RA Premium USD]],25,FALSE)</f>
        <v>#N/A</v>
      </c>
      <c r="Y2205" s="38">
        <f>Allocation[[#This Row],[Quantity Processed]]/Allocation[[#This Row],[Quantity allocated]]</f>
        <v>3.0377358490566038</v>
      </c>
      <c r="Z2205" s="34" t="b">
        <f>Allocation[[#This Row],[Quantity allocated]]&lt;=Allocation[[#This Row],[Quantity Processed]]</f>
        <v>1</v>
      </c>
    </row>
    <row r="2206" spans="1:26">
      <c r="A2206" s="247" t="s">
        <v>467</v>
      </c>
      <c r="B2206" s="210" t="s">
        <v>68</v>
      </c>
      <c r="C2206" s="254" t="s">
        <v>1407</v>
      </c>
      <c r="D2206" s="255">
        <v>21</v>
      </c>
      <c r="E2206" s="211" t="s">
        <v>1962</v>
      </c>
      <c r="F2206" s="212">
        <v>43651</v>
      </c>
      <c r="G2206" s="213">
        <v>2.6</v>
      </c>
      <c r="H2206" s="256">
        <v>9</v>
      </c>
      <c r="I2206" s="214">
        <v>1466005</v>
      </c>
      <c r="J2206" s="215">
        <v>11700</v>
      </c>
      <c r="K2206" s="212">
        <v>43665</v>
      </c>
      <c r="L2206" s="211" t="s">
        <v>1963</v>
      </c>
      <c r="M2206" s="216">
        <v>4615447218</v>
      </c>
      <c r="N2206" s="212"/>
      <c r="O2206" s="218"/>
      <c r="P2206" s="219"/>
      <c r="Q2206" s="34">
        <f>SUMIF(Allocation[Delivery ID],Allocation[[#This Row],[Delivery ID]],Allocation[Quantity Processed])</f>
        <v>1117</v>
      </c>
      <c r="R2206" s="61">
        <f>Allocation[[#This Row],[Total volume used]]/VLOOKUP(Allocation[[#This Row],[Delivery ID]],Delivery[[Delivery ID]:[Quantity delivered]],3,FALSE)</f>
        <v>0.10918866080156403</v>
      </c>
      <c r="S2206" s="34">
        <f>Allocation[[#This Row],[Quantity Processed]]/Allocation[[#This Row],[Dilution rate]]</f>
        <v>8.0769230769230766</v>
      </c>
      <c r="T2206" s="59">
        <f>SUMIF(Allocation[Delivery ID],Allocation[[#This Row],[Delivery ID]],Allocation[Quantity allocated])/SUMIF(Allocation[Delivery ID],Allocation[[#This Row],[Delivery ID]],Allocation[Volume available (kg)])</f>
        <v>0.94175676352267901</v>
      </c>
      <c r="U2206" s="61">
        <f>Allocation[[#This Row],[Total volume used]]/VLOOKUP(Allocation[[#This Row],[Delivery ID]],Delivery[[Delivery ID]:[Quantity delivered]],3,FALSE)</f>
        <v>0.10918866080156403</v>
      </c>
      <c r="V2206" s="34" t="e">
        <f>VLOOKUP(Allocation[[#This Row],[SAP Contract number]],Shipments[[SAP Contract number]:[Contracted container weight]],2,FALSE)</f>
        <v>#N/A</v>
      </c>
      <c r="W2206" s="34" t="e">
        <f>VLOOKUP(Allocation[[#This Row],[SAP Contract number]],Shipments[[SAP Contract number]:[AAA Premium USD]],24,FALSE)</f>
        <v>#N/A</v>
      </c>
      <c r="X2206" s="34" t="e">
        <f>VLOOKUP(Allocation[[#This Row],[SAP Contract number]],Shipments[[SAP Contract number]:[RA Premium USD]],25,FALSE)</f>
        <v>#N/A</v>
      </c>
      <c r="Y2206" s="38">
        <f>Allocation[[#This Row],[Quantity Processed]]/Allocation[[#This Row],[Quantity allocated]]</f>
        <v>2.3333333333333335</v>
      </c>
      <c r="Z2206" s="34" t="b">
        <f>Allocation[[#This Row],[Quantity allocated]]&lt;=Allocation[[#This Row],[Quantity Processed]]</f>
        <v>1</v>
      </c>
    </row>
    <row r="2207" spans="1:26">
      <c r="A2207" s="247" t="s">
        <v>467</v>
      </c>
      <c r="B2207" s="210" t="s">
        <v>68</v>
      </c>
      <c r="C2207" s="254" t="s">
        <v>1408</v>
      </c>
      <c r="D2207" s="255">
        <v>43</v>
      </c>
      <c r="E2207" s="211" t="s">
        <v>1962</v>
      </c>
      <c r="F2207" s="212">
        <v>43651</v>
      </c>
      <c r="G2207" s="213">
        <v>2.6</v>
      </c>
      <c r="H2207" s="256">
        <v>18</v>
      </c>
      <c r="I2207" s="214">
        <v>1466005</v>
      </c>
      <c r="J2207" s="215">
        <v>11700</v>
      </c>
      <c r="K2207" s="212">
        <v>43665</v>
      </c>
      <c r="L2207" s="211" t="s">
        <v>1963</v>
      </c>
      <c r="M2207" s="216">
        <v>4615447218</v>
      </c>
      <c r="N2207" s="212"/>
      <c r="O2207" s="218"/>
      <c r="P2207" s="219"/>
      <c r="Q2207" s="34">
        <f>SUMIF(Allocation[Delivery ID],Allocation[[#This Row],[Delivery ID]],Allocation[Quantity Processed])</f>
        <v>2375</v>
      </c>
      <c r="R2207" s="61">
        <f>Allocation[[#This Row],[Total volume used]]/VLOOKUP(Allocation[[#This Row],[Delivery ID]],Delivery[[Delivery ID]:[Quantity delivered]],3,FALSE)</f>
        <v>0.1185129740518962</v>
      </c>
      <c r="S2207" s="34">
        <f>Allocation[[#This Row],[Quantity Processed]]/Allocation[[#This Row],[Dilution rate]]</f>
        <v>16.538461538461537</v>
      </c>
      <c r="T2207" s="59">
        <f>SUMIF(Allocation[Delivery ID],Allocation[[#This Row],[Delivery ID]],Allocation[Quantity allocated])/SUMIF(Allocation[Delivery ID],Allocation[[#This Row],[Delivery ID]],Allocation[Volume available (kg)])</f>
        <v>0.95232763112325824</v>
      </c>
      <c r="U2207" s="61">
        <f>Allocation[[#This Row],[Total volume used]]/VLOOKUP(Allocation[[#This Row],[Delivery ID]],Delivery[[Delivery ID]:[Quantity delivered]],3,FALSE)</f>
        <v>0.1185129740518962</v>
      </c>
      <c r="V2207" s="34" t="e">
        <f>VLOOKUP(Allocation[[#This Row],[SAP Contract number]],Shipments[[SAP Contract number]:[Contracted container weight]],2,FALSE)</f>
        <v>#N/A</v>
      </c>
      <c r="W2207" s="34" t="e">
        <f>VLOOKUP(Allocation[[#This Row],[SAP Contract number]],Shipments[[SAP Contract number]:[AAA Premium USD]],24,FALSE)</f>
        <v>#N/A</v>
      </c>
      <c r="X2207" s="34" t="e">
        <f>VLOOKUP(Allocation[[#This Row],[SAP Contract number]],Shipments[[SAP Contract number]:[RA Premium USD]],25,FALSE)</f>
        <v>#N/A</v>
      </c>
      <c r="Y2207" s="38">
        <f>Allocation[[#This Row],[Quantity Processed]]/Allocation[[#This Row],[Quantity allocated]]</f>
        <v>2.3888888888888888</v>
      </c>
      <c r="Z2207" s="34" t="b">
        <f>Allocation[[#This Row],[Quantity allocated]]&lt;=Allocation[[#This Row],[Quantity Processed]]</f>
        <v>1</v>
      </c>
    </row>
    <row r="2208" spans="1:26">
      <c r="A2208" s="247" t="s">
        <v>467</v>
      </c>
      <c r="B2208" s="210" t="s">
        <v>68</v>
      </c>
      <c r="C2208" s="254" t="s">
        <v>1411</v>
      </c>
      <c r="D2208" s="255">
        <v>452</v>
      </c>
      <c r="E2208" s="211" t="s">
        <v>1962</v>
      </c>
      <c r="F2208" s="212">
        <v>43651</v>
      </c>
      <c r="G2208" s="213">
        <v>2.6</v>
      </c>
      <c r="H2208" s="256">
        <v>149</v>
      </c>
      <c r="I2208" s="214">
        <v>1466005</v>
      </c>
      <c r="J2208" s="215">
        <v>11700</v>
      </c>
      <c r="K2208" s="212">
        <v>43665</v>
      </c>
      <c r="L2208" s="211" t="s">
        <v>1963</v>
      </c>
      <c r="M2208" s="216">
        <v>4615447218</v>
      </c>
      <c r="N2208" s="212"/>
      <c r="O2208" s="218"/>
      <c r="P2208" s="219"/>
      <c r="Q2208" s="34">
        <f>SUMIF(Allocation[Delivery ID],Allocation[[#This Row],[Delivery ID]],Allocation[Quantity Processed])</f>
        <v>13853</v>
      </c>
      <c r="R2208" s="61">
        <f>Allocation[[#This Row],[Total volume used]]/VLOOKUP(Allocation[[#This Row],[Delivery ID]],Delivery[[Delivery ID]:[Quantity delivered]],3,FALSE)</f>
        <v>0.43700315457413247</v>
      </c>
      <c r="S2208" s="34">
        <f>Allocation[[#This Row],[Quantity Processed]]/Allocation[[#This Row],[Dilution rate]]</f>
        <v>173.84615384615384</v>
      </c>
      <c r="T2208" s="59">
        <f>SUMIF(Allocation[Delivery ID],Allocation[[#This Row],[Delivery ID]],Allocation[Quantity allocated])/SUMIF(Allocation[Delivery ID],Allocation[[#This Row],[Delivery ID]],Allocation[Volume available (kg)])</f>
        <v>0.88022818013421911</v>
      </c>
      <c r="U2208" s="61">
        <f>Allocation[[#This Row],[Total volume used]]/VLOOKUP(Allocation[[#This Row],[Delivery ID]],Delivery[[Delivery ID]:[Quantity delivered]],3,FALSE)</f>
        <v>0.43700315457413247</v>
      </c>
      <c r="V2208" s="34" t="e">
        <f>VLOOKUP(Allocation[[#This Row],[SAP Contract number]],Shipments[[SAP Contract number]:[Contracted container weight]],2,FALSE)</f>
        <v>#N/A</v>
      </c>
      <c r="W2208" s="34" t="e">
        <f>VLOOKUP(Allocation[[#This Row],[SAP Contract number]],Shipments[[SAP Contract number]:[AAA Premium USD]],24,FALSE)</f>
        <v>#N/A</v>
      </c>
      <c r="X2208" s="34" t="e">
        <f>VLOOKUP(Allocation[[#This Row],[SAP Contract number]],Shipments[[SAP Contract number]:[RA Premium USD]],25,FALSE)</f>
        <v>#N/A</v>
      </c>
      <c r="Y2208" s="38">
        <f>Allocation[[#This Row],[Quantity Processed]]/Allocation[[#This Row],[Quantity allocated]]</f>
        <v>3.0335570469798658</v>
      </c>
      <c r="Z2208" s="34" t="b">
        <f>Allocation[[#This Row],[Quantity allocated]]&lt;=Allocation[[#This Row],[Quantity Processed]]</f>
        <v>1</v>
      </c>
    </row>
    <row r="2209" spans="1:26">
      <c r="A2209" s="247" t="s">
        <v>467</v>
      </c>
      <c r="B2209" s="210" t="s">
        <v>68</v>
      </c>
      <c r="C2209" s="254" t="s">
        <v>1414</v>
      </c>
      <c r="D2209" s="255">
        <v>360</v>
      </c>
      <c r="E2209" s="211" t="s">
        <v>1962</v>
      </c>
      <c r="F2209" s="212">
        <v>43651</v>
      </c>
      <c r="G2209" s="213">
        <v>2.6</v>
      </c>
      <c r="H2209" s="256">
        <v>155</v>
      </c>
      <c r="I2209" s="214">
        <v>1466005</v>
      </c>
      <c r="J2209" s="215">
        <v>11700</v>
      </c>
      <c r="K2209" s="212">
        <v>43665</v>
      </c>
      <c r="L2209" s="211" t="s">
        <v>1963</v>
      </c>
      <c r="M2209" s="216">
        <v>4615447218</v>
      </c>
      <c r="N2209" s="212"/>
      <c r="O2209" s="218"/>
      <c r="P2209" s="219"/>
      <c r="Q2209" s="34">
        <f>SUMIF(Allocation[Delivery ID],Allocation[[#This Row],[Delivery ID]],Allocation[Quantity Processed])</f>
        <v>2588</v>
      </c>
      <c r="R2209" s="61">
        <f>Allocation[[#This Row],[Total volume used]]/VLOOKUP(Allocation[[#This Row],[Delivery ID]],Delivery[[Delivery ID]:[Quantity delivered]],3,FALSE)</f>
        <v>0.78662613981762919</v>
      </c>
      <c r="S2209" s="34">
        <f>Allocation[[#This Row],[Quantity Processed]]/Allocation[[#This Row],[Dilution rate]]</f>
        <v>138.46153846153845</v>
      </c>
      <c r="T2209" s="59">
        <f>SUMIF(Allocation[Delivery ID],Allocation[[#This Row],[Delivery ID]],Allocation[Quantity allocated])/SUMIF(Allocation[Delivery ID],Allocation[[#This Row],[Delivery ID]],Allocation[Volume available (kg)])</f>
        <v>1.1410216718266255</v>
      </c>
      <c r="U2209" s="61">
        <f>Allocation[[#This Row],[Total volume used]]/VLOOKUP(Allocation[[#This Row],[Delivery ID]],Delivery[[Delivery ID]:[Quantity delivered]],3,FALSE)</f>
        <v>0.78662613981762919</v>
      </c>
      <c r="V2209" s="34" t="e">
        <f>VLOOKUP(Allocation[[#This Row],[SAP Contract number]],Shipments[[SAP Contract number]:[Contracted container weight]],2,FALSE)</f>
        <v>#N/A</v>
      </c>
      <c r="W2209" s="34" t="e">
        <f>VLOOKUP(Allocation[[#This Row],[SAP Contract number]],Shipments[[SAP Contract number]:[AAA Premium USD]],24,FALSE)</f>
        <v>#N/A</v>
      </c>
      <c r="X2209" s="34" t="e">
        <f>VLOOKUP(Allocation[[#This Row],[SAP Contract number]],Shipments[[SAP Contract number]:[RA Premium USD]],25,FALSE)</f>
        <v>#N/A</v>
      </c>
      <c r="Y2209" s="38">
        <f>Allocation[[#This Row],[Quantity Processed]]/Allocation[[#This Row],[Quantity allocated]]</f>
        <v>2.3225806451612905</v>
      </c>
      <c r="Z2209" s="34" t="b">
        <f>Allocation[[#This Row],[Quantity allocated]]&lt;=Allocation[[#This Row],[Quantity Processed]]</f>
        <v>1</v>
      </c>
    </row>
    <row r="2210" spans="1:26">
      <c r="A2210" s="247" t="s">
        <v>467</v>
      </c>
      <c r="B2210" s="210" t="s">
        <v>68</v>
      </c>
      <c r="C2210" s="254" t="s">
        <v>1414</v>
      </c>
      <c r="D2210" s="255">
        <v>828</v>
      </c>
      <c r="E2210" s="211" t="s">
        <v>1962</v>
      </c>
      <c r="F2210" s="212">
        <v>43651</v>
      </c>
      <c r="G2210" s="213">
        <v>2.6</v>
      </c>
      <c r="H2210" s="256">
        <v>356</v>
      </c>
      <c r="I2210" s="214">
        <v>1466006</v>
      </c>
      <c r="J2210" s="215">
        <v>20700</v>
      </c>
      <c r="K2210" s="212">
        <v>43665</v>
      </c>
      <c r="L2210" s="211" t="s">
        <v>1964</v>
      </c>
      <c r="M2210" s="216">
        <v>4615447218</v>
      </c>
      <c r="N2210" s="212"/>
      <c r="O2210" s="218"/>
      <c r="P2210" s="219"/>
      <c r="Q2210" s="34">
        <f>SUMIF(Allocation[Delivery ID],Allocation[[#This Row],[Delivery ID]],Allocation[Quantity Processed])</f>
        <v>2588</v>
      </c>
      <c r="R2210" s="61">
        <f>Allocation[[#This Row],[Total volume used]]/VLOOKUP(Allocation[[#This Row],[Delivery ID]],Delivery[[Delivery ID]:[Quantity delivered]],3,FALSE)</f>
        <v>0.78662613981762919</v>
      </c>
      <c r="S2210" s="34">
        <f>Allocation[[#This Row],[Quantity Processed]]/Allocation[[#This Row],[Dilution rate]]</f>
        <v>318.46153846153845</v>
      </c>
      <c r="T2210" s="59">
        <f>SUMIF(Allocation[Delivery ID],Allocation[[#This Row],[Delivery ID]],Allocation[Quantity allocated])/SUMIF(Allocation[Delivery ID],Allocation[[#This Row],[Delivery ID]],Allocation[Volume available (kg)])</f>
        <v>1.1410216718266255</v>
      </c>
      <c r="U2210" s="61">
        <f>Allocation[[#This Row],[Total volume used]]/VLOOKUP(Allocation[[#This Row],[Delivery ID]],Delivery[[Delivery ID]:[Quantity delivered]],3,FALSE)</f>
        <v>0.78662613981762919</v>
      </c>
      <c r="V2210" s="34" t="e">
        <f>VLOOKUP(Allocation[[#This Row],[SAP Contract number]],Shipments[[SAP Contract number]:[Contracted container weight]],2,FALSE)</f>
        <v>#N/A</v>
      </c>
      <c r="W2210" s="34" t="e">
        <f>VLOOKUP(Allocation[[#This Row],[SAP Contract number]],Shipments[[SAP Contract number]:[AAA Premium USD]],24,FALSE)</f>
        <v>#N/A</v>
      </c>
      <c r="X2210" s="34" t="e">
        <f>VLOOKUP(Allocation[[#This Row],[SAP Contract number]],Shipments[[SAP Contract number]:[RA Premium USD]],25,FALSE)</f>
        <v>#N/A</v>
      </c>
      <c r="Y2210" s="38">
        <f>Allocation[[#This Row],[Quantity Processed]]/Allocation[[#This Row],[Quantity allocated]]</f>
        <v>2.3258426966292136</v>
      </c>
      <c r="Z2210" s="34" t="b">
        <f>Allocation[[#This Row],[Quantity allocated]]&lt;=Allocation[[#This Row],[Quantity Processed]]</f>
        <v>1</v>
      </c>
    </row>
    <row r="2211" spans="1:26">
      <c r="A2211" s="247" t="s">
        <v>467</v>
      </c>
      <c r="B2211" s="210" t="s">
        <v>68</v>
      </c>
      <c r="C2211" s="254" t="s">
        <v>1415</v>
      </c>
      <c r="D2211" s="255">
        <v>76</v>
      </c>
      <c r="E2211" s="211" t="s">
        <v>1962</v>
      </c>
      <c r="F2211" s="212">
        <v>43651</v>
      </c>
      <c r="G2211" s="213">
        <v>2.6</v>
      </c>
      <c r="H2211" s="256">
        <v>25</v>
      </c>
      <c r="I2211" s="214">
        <v>1466006</v>
      </c>
      <c r="J2211" s="215">
        <v>20700</v>
      </c>
      <c r="K2211" s="212">
        <v>43665</v>
      </c>
      <c r="L2211" s="211" t="s">
        <v>1964</v>
      </c>
      <c r="M2211" s="216">
        <v>4615447218</v>
      </c>
      <c r="N2211" s="212"/>
      <c r="O2211" s="218"/>
      <c r="P2211" s="219"/>
      <c r="Q2211" s="34">
        <f>SUMIF(Allocation[Delivery ID],Allocation[[#This Row],[Delivery ID]],Allocation[Quantity Processed])</f>
        <v>1525</v>
      </c>
      <c r="R2211" s="61">
        <f>Allocation[[#This Row],[Total volume used]]/VLOOKUP(Allocation[[#This Row],[Delivery ID]],Delivery[[Delivery ID]:[Quantity delivered]],3,FALSE)</f>
        <v>0.29214559386973182</v>
      </c>
      <c r="S2211" s="34">
        <f>Allocation[[#This Row],[Quantity Processed]]/Allocation[[#This Row],[Dilution rate]]</f>
        <v>29.23076923076923</v>
      </c>
      <c r="T2211" s="59">
        <f>SUMIF(Allocation[Delivery ID],Allocation[[#This Row],[Delivery ID]],Allocation[Quantity allocated])/SUMIF(Allocation[Delivery ID],Allocation[[#This Row],[Delivery ID]],Allocation[Volume available (kg)])</f>
        <v>0.88004140870419656</v>
      </c>
      <c r="U2211" s="61">
        <f>Allocation[[#This Row],[Total volume used]]/VLOOKUP(Allocation[[#This Row],[Delivery ID]],Delivery[[Delivery ID]:[Quantity delivered]],3,FALSE)</f>
        <v>0.29214559386973182</v>
      </c>
      <c r="V2211" s="34" t="e">
        <f>VLOOKUP(Allocation[[#This Row],[SAP Contract number]],Shipments[[SAP Contract number]:[Contracted container weight]],2,FALSE)</f>
        <v>#N/A</v>
      </c>
      <c r="W2211" s="34" t="e">
        <f>VLOOKUP(Allocation[[#This Row],[SAP Contract number]],Shipments[[SAP Contract number]:[AAA Premium USD]],24,FALSE)</f>
        <v>#N/A</v>
      </c>
      <c r="X2211" s="34" t="e">
        <f>VLOOKUP(Allocation[[#This Row],[SAP Contract number]],Shipments[[SAP Contract number]:[RA Premium USD]],25,FALSE)</f>
        <v>#N/A</v>
      </c>
      <c r="Y2211" s="38">
        <f>Allocation[[#This Row],[Quantity Processed]]/Allocation[[#This Row],[Quantity allocated]]</f>
        <v>3.04</v>
      </c>
      <c r="Z2211" s="34" t="b">
        <f>Allocation[[#This Row],[Quantity allocated]]&lt;=Allocation[[#This Row],[Quantity Processed]]</f>
        <v>1</v>
      </c>
    </row>
    <row r="2212" spans="1:26">
      <c r="A2212" s="247" t="s">
        <v>467</v>
      </c>
      <c r="B2212" s="210" t="s">
        <v>68</v>
      </c>
      <c r="C2212" s="254" t="s">
        <v>1420</v>
      </c>
      <c r="D2212" s="255">
        <v>42</v>
      </c>
      <c r="E2212" s="211" t="s">
        <v>1962</v>
      </c>
      <c r="F2212" s="212">
        <v>43651</v>
      </c>
      <c r="G2212" s="213">
        <v>2.6</v>
      </c>
      <c r="H2212" s="256">
        <v>19</v>
      </c>
      <c r="I2212" s="214">
        <v>1466006</v>
      </c>
      <c r="J2212" s="215">
        <v>20700</v>
      </c>
      <c r="K2212" s="212">
        <v>43665</v>
      </c>
      <c r="L2212" s="211" t="s">
        <v>1964</v>
      </c>
      <c r="M2212" s="216">
        <v>4615447218</v>
      </c>
      <c r="N2212" s="212"/>
      <c r="O2212" s="218"/>
      <c r="P2212" s="219"/>
      <c r="Q2212" s="34">
        <f>SUMIF(Allocation[Delivery ID],Allocation[[#This Row],[Delivery ID]],Allocation[Quantity Processed])</f>
        <v>2318</v>
      </c>
      <c r="R2212" s="61">
        <f>Allocation[[#This Row],[Total volume used]]/VLOOKUP(Allocation[[#This Row],[Delivery ID]],Delivery[[Delivery ID]:[Quantity delivered]],3,FALSE)</f>
        <v>0.11043353978084802</v>
      </c>
      <c r="S2212" s="34">
        <f>Allocation[[#This Row],[Quantity Processed]]/Allocation[[#This Row],[Dilution rate]]</f>
        <v>16.153846153846153</v>
      </c>
      <c r="T2212" s="59">
        <f>SUMIF(Allocation[Delivery ID],Allocation[[#This Row],[Delivery ID]],Allocation[Quantity allocated])/SUMIF(Allocation[Delivery ID],Allocation[[#This Row],[Delivery ID]],Allocation[Volume available (kg)])</f>
        <v>1.0207533828338875</v>
      </c>
      <c r="U2212" s="61">
        <f>Allocation[[#This Row],[Total volume used]]/VLOOKUP(Allocation[[#This Row],[Delivery ID]],Delivery[[Delivery ID]:[Quantity delivered]],3,FALSE)</f>
        <v>0.11043353978084802</v>
      </c>
      <c r="V2212" s="34" t="e">
        <f>VLOOKUP(Allocation[[#This Row],[SAP Contract number]],Shipments[[SAP Contract number]:[Contracted container weight]],2,FALSE)</f>
        <v>#N/A</v>
      </c>
      <c r="W2212" s="34" t="e">
        <f>VLOOKUP(Allocation[[#This Row],[SAP Contract number]],Shipments[[SAP Contract number]:[AAA Premium USD]],24,FALSE)</f>
        <v>#N/A</v>
      </c>
      <c r="X2212" s="34" t="e">
        <f>VLOOKUP(Allocation[[#This Row],[SAP Contract number]],Shipments[[SAP Contract number]:[RA Premium USD]],25,FALSE)</f>
        <v>#N/A</v>
      </c>
      <c r="Y2212" s="38">
        <f>Allocation[[#This Row],[Quantity Processed]]/Allocation[[#This Row],[Quantity allocated]]</f>
        <v>2.2105263157894739</v>
      </c>
      <c r="Z2212" s="34" t="b">
        <f>Allocation[[#This Row],[Quantity allocated]]&lt;=Allocation[[#This Row],[Quantity Processed]]</f>
        <v>1</v>
      </c>
    </row>
    <row r="2213" spans="1:26">
      <c r="A2213" s="247" t="s">
        <v>467</v>
      </c>
      <c r="B2213" s="210" t="s">
        <v>68</v>
      </c>
      <c r="C2213" s="254" t="s">
        <v>1421</v>
      </c>
      <c r="D2213" s="255">
        <v>3533</v>
      </c>
      <c r="E2213" s="211" t="s">
        <v>1962</v>
      </c>
      <c r="F2213" s="212">
        <v>43651</v>
      </c>
      <c r="G2213" s="213">
        <v>2.6</v>
      </c>
      <c r="H2213" s="256">
        <v>1166</v>
      </c>
      <c r="I2213" s="214">
        <v>1466006</v>
      </c>
      <c r="J2213" s="215">
        <v>20700</v>
      </c>
      <c r="K2213" s="212">
        <v>43665</v>
      </c>
      <c r="L2213" s="211" t="s">
        <v>1964</v>
      </c>
      <c r="M2213" s="216">
        <v>4615447218</v>
      </c>
      <c r="N2213" s="212"/>
      <c r="O2213" s="218"/>
      <c r="P2213" s="219"/>
      <c r="Q2213" s="34">
        <f>SUMIF(Allocation[Delivery ID],Allocation[[#This Row],[Delivery ID]],Allocation[Quantity Processed])</f>
        <v>7700</v>
      </c>
      <c r="R2213" s="61">
        <f>Allocation[[#This Row],[Total volume used]]/VLOOKUP(Allocation[[#This Row],[Delivery ID]],Delivery[[Delivery ID]:[Quantity delivered]],3,FALSE)</f>
        <v>0.64166666666666672</v>
      </c>
      <c r="S2213" s="34">
        <f>Allocation[[#This Row],[Quantity Processed]]/Allocation[[#This Row],[Dilution rate]]</f>
        <v>1358.8461538461538</v>
      </c>
      <c r="T2213" s="59">
        <f>SUMIF(Allocation[Delivery ID],Allocation[[#This Row],[Delivery ID]],Allocation[Quantity allocated])/SUMIF(Allocation[Delivery ID],Allocation[[#This Row],[Delivery ID]],Allocation[Volume available (kg)])</f>
        <v>0.87554888015196353</v>
      </c>
      <c r="U2213" s="61">
        <f>Allocation[[#This Row],[Total volume used]]/VLOOKUP(Allocation[[#This Row],[Delivery ID]],Delivery[[Delivery ID]:[Quantity delivered]],3,FALSE)</f>
        <v>0.64166666666666672</v>
      </c>
      <c r="V2213" s="34" t="e">
        <f>VLOOKUP(Allocation[[#This Row],[SAP Contract number]],Shipments[[SAP Contract number]:[Contracted container weight]],2,FALSE)</f>
        <v>#N/A</v>
      </c>
      <c r="W2213" s="34" t="e">
        <f>VLOOKUP(Allocation[[#This Row],[SAP Contract number]],Shipments[[SAP Contract number]:[AAA Premium USD]],24,FALSE)</f>
        <v>#N/A</v>
      </c>
      <c r="X2213" s="34" t="e">
        <f>VLOOKUP(Allocation[[#This Row],[SAP Contract number]],Shipments[[SAP Contract number]:[RA Premium USD]],25,FALSE)</f>
        <v>#N/A</v>
      </c>
      <c r="Y2213" s="38">
        <f>Allocation[[#This Row],[Quantity Processed]]/Allocation[[#This Row],[Quantity allocated]]</f>
        <v>3.0300171526586621</v>
      </c>
      <c r="Z2213" s="34" t="b">
        <f>Allocation[[#This Row],[Quantity allocated]]&lt;=Allocation[[#This Row],[Quantity Processed]]</f>
        <v>1</v>
      </c>
    </row>
    <row r="2214" spans="1:26">
      <c r="A2214" s="247" t="s">
        <v>467</v>
      </c>
      <c r="B2214" s="210" t="s">
        <v>68</v>
      </c>
      <c r="C2214" s="254" t="s">
        <v>1422</v>
      </c>
      <c r="D2214" s="255">
        <v>5441</v>
      </c>
      <c r="E2214" s="211" t="s">
        <v>1962</v>
      </c>
      <c r="F2214" s="212">
        <v>43651</v>
      </c>
      <c r="G2214" s="213">
        <v>2.6</v>
      </c>
      <c r="H2214" s="256">
        <v>1796</v>
      </c>
      <c r="I2214" s="214">
        <v>1466006</v>
      </c>
      <c r="J2214" s="215">
        <v>20700</v>
      </c>
      <c r="K2214" s="212">
        <v>43665</v>
      </c>
      <c r="L2214" s="211" t="s">
        <v>1964</v>
      </c>
      <c r="M2214" s="216">
        <v>4615447218</v>
      </c>
      <c r="N2214" s="212"/>
      <c r="O2214" s="218"/>
      <c r="P2214" s="219"/>
      <c r="Q2214" s="34">
        <f>SUMIF(Allocation[Delivery ID],Allocation[[#This Row],[Delivery ID]],Allocation[Quantity Processed])</f>
        <v>12380</v>
      </c>
      <c r="R2214" s="61">
        <f>Allocation[[#This Row],[Total volume used]]/VLOOKUP(Allocation[[#This Row],[Delivery ID]],Delivery[[Delivery ID]:[Quantity delivered]],3,FALSE)</f>
        <v>1</v>
      </c>
      <c r="S2214" s="34">
        <f>Allocation[[#This Row],[Quantity Processed]]/Allocation[[#This Row],[Dilution rate]]</f>
        <v>2092.6923076923076</v>
      </c>
      <c r="T2214" s="59">
        <f>SUMIF(Allocation[Delivery ID],Allocation[[#This Row],[Delivery ID]],Allocation[Quantity allocated])/SUMIF(Allocation[Delivery ID],Allocation[[#This Row],[Delivery ID]],Allocation[Volume available (kg)])</f>
        <v>0.87631774313288791</v>
      </c>
      <c r="U2214" s="61">
        <f>Allocation[[#This Row],[Total volume used]]/VLOOKUP(Allocation[[#This Row],[Delivery ID]],Delivery[[Delivery ID]:[Quantity delivered]],3,FALSE)</f>
        <v>1</v>
      </c>
      <c r="V2214" s="34" t="e">
        <f>VLOOKUP(Allocation[[#This Row],[SAP Contract number]],Shipments[[SAP Contract number]:[Contracted container weight]],2,FALSE)</f>
        <v>#N/A</v>
      </c>
      <c r="W2214" s="34" t="e">
        <f>VLOOKUP(Allocation[[#This Row],[SAP Contract number]],Shipments[[SAP Contract number]:[AAA Premium USD]],24,FALSE)</f>
        <v>#N/A</v>
      </c>
      <c r="X2214" s="34" t="e">
        <f>VLOOKUP(Allocation[[#This Row],[SAP Contract number]],Shipments[[SAP Contract number]:[RA Premium USD]],25,FALSE)</f>
        <v>#N/A</v>
      </c>
      <c r="Y2214" s="38">
        <f>Allocation[[#This Row],[Quantity Processed]]/Allocation[[#This Row],[Quantity allocated]]</f>
        <v>3.0295100222717148</v>
      </c>
      <c r="Z2214" s="34" t="b">
        <f>Allocation[[#This Row],[Quantity allocated]]&lt;=Allocation[[#This Row],[Quantity Processed]]</f>
        <v>1</v>
      </c>
    </row>
    <row r="2215" spans="1:26">
      <c r="A2215" s="247" t="s">
        <v>467</v>
      </c>
      <c r="B2215" s="210" t="s">
        <v>68</v>
      </c>
      <c r="C2215" s="254" t="s">
        <v>1424</v>
      </c>
      <c r="D2215" s="255">
        <v>2242</v>
      </c>
      <c r="E2215" s="211" t="s">
        <v>1962</v>
      </c>
      <c r="F2215" s="212">
        <v>43651</v>
      </c>
      <c r="G2215" s="213">
        <v>2.6</v>
      </c>
      <c r="H2215" s="256">
        <v>740</v>
      </c>
      <c r="I2215" s="214">
        <v>1466006</v>
      </c>
      <c r="J2215" s="215">
        <v>20700</v>
      </c>
      <c r="K2215" s="212">
        <v>43665</v>
      </c>
      <c r="L2215" s="211" t="s">
        <v>1964</v>
      </c>
      <c r="M2215" s="216">
        <v>4615447218</v>
      </c>
      <c r="N2215" s="212"/>
      <c r="O2215" s="218"/>
      <c r="P2215" s="219"/>
      <c r="Q2215" s="34">
        <f>SUMIF(Allocation[Delivery ID],Allocation[[#This Row],[Delivery ID]],Allocation[Quantity Processed])</f>
        <v>4951</v>
      </c>
      <c r="R2215" s="61">
        <f>Allocation[[#This Row],[Total volume used]]/VLOOKUP(Allocation[[#This Row],[Delivery ID]],Delivery[[Delivery ID]:[Quantity delivered]],3,FALSE)</f>
        <v>0.82106135986732998</v>
      </c>
      <c r="S2215" s="34">
        <f>Allocation[[#This Row],[Quantity Processed]]/Allocation[[#This Row],[Dilution rate]]</f>
        <v>862.30769230769226</v>
      </c>
      <c r="T2215" s="59">
        <f>SUMIF(Allocation[Delivery ID],Allocation[[#This Row],[Delivery ID]],Allocation[Quantity allocated])/SUMIF(Allocation[Delivery ID],Allocation[[#This Row],[Delivery ID]],Allocation[Volume available (kg)])</f>
        <v>0.87667986531672437</v>
      </c>
      <c r="U2215" s="61">
        <f>Allocation[[#This Row],[Total volume used]]/VLOOKUP(Allocation[[#This Row],[Delivery ID]],Delivery[[Delivery ID]:[Quantity delivered]],3,FALSE)</f>
        <v>0.82106135986732998</v>
      </c>
      <c r="V2215" s="34" t="e">
        <f>VLOOKUP(Allocation[[#This Row],[SAP Contract number]],Shipments[[SAP Contract number]:[Contracted container weight]],2,FALSE)</f>
        <v>#N/A</v>
      </c>
      <c r="W2215" s="34" t="e">
        <f>VLOOKUP(Allocation[[#This Row],[SAP Contract number]],Shipments[[SAP Contract number]:[AAA Premium USD]],24,FALSE)</f>
        <v>#N/A</v>
      </c>
      <c r="X2215" s="34" t="e">
        <f>VLOOKUP(Allocation[[#This Row],[SAP Contract number]],Shipments[[SAP Contract number]:[RA Premium USD]],25,FALSE)</f>
        <v>#N/A</v>
      </c>
      <c r="Y2215" s="38">
        <f>Allocation[[#This Row],[Quantity Processed]]/Allocation[[#This Row],[Quantity allocated]]</f>
        <v>3.0297297297297296</v>
      </c>
      <c r="Z2215" s="34" t="b">
        <f>Allocation[[#This Row],[Quantity allocated]]&lt;=Allocation[[#This Row],[Quantity Processed]]</f>
        <v>1</v>
      </c>
    </row>
    <row r="2216" spans="1:26">
      <c r="A2216" s="247" t="s">
        <v>467</v>
      </c>
      <c r="B2216" s="210" t="s">
        <v>68</v>
      </c>
      <c r="C2216" s="254" t="s">
        <v>1426</v>
      </c>
      <c r="D2216" s="255">
        <v>4915</v>
      </c>
      <c r="E2216" s="211" t="s">
        <v>1962</v>
      </c>
      <c r="F2216" s="212">
        <v>43651</v>
      </c>
      <c r="G2216" s="213">
        <v>2.6</v>
      </c>
      <c r="H2216" s="256">
        <v>1966</v>
      </c>
      <c r="I2216" s="214">
        <v>1466006</v>
      </c>
      <c r="J2216" s="215">
        <v>20700</v>
      </c>
      <c r="K2216" s="212">
        <v>43665</v>
      </c>
      <c r="L2216" s="211" t="s">
        <v>1964</v>
      </c>
      <c r="M2216" s="216">
        <v>4615447218</v>
      </c>
      <c r="N2216" s="212"/>
      <c r="O2216" s="218"/>
      <c r="P2216" s="219"/>
      <c r="Q2216" s="34">
        <f>SUMIF(Allocation[Delivery ID],Allocation[[#This Row],[Delivery ID]],Allocation[Quantity Processed])</f>
        <v>10708</v>
      </c>
      <c r="R2216" s="61">
        <f>Allocation[[#This Row],[Total volume used]]/VLOOKUP(Allocation[[#This Row],[Delivery ID]],Delivery[[Delivery ID]:[Quantity delivered]],3,FALSE)</f>
        <v>0.85254777070063692</v>
      </c>
      <c r="S2216" s="34">
        <f>Allocation[[#This Row],[Quantity Processed]]/Allocation[[#This Row],[Dilution rate]]</f>
        <v>1890.3846153846152</v>
      </c>
      <c r="T2216" s="59">
        <f>SUMIF(Allocation[Delivery ID],Allocation[[#This Row],[Delivery ID]],Allocation[Quantity allocated])/SUMIF(Allocation[Delivery ID],Allocation[[#This Row],[Delivery ID]],Allocation[Volume available (kg)])</f>
        <v>1.0612149384271663</v>
      </c>
      <c r="U2216" s="61">
        <f>Allocation[[#This Row],[Total volume used]]/VLOOKUP(Allocation[[#This Row],[Delivery ID]],Delivery[[Delivery ID]:[Quantity delivered]],3,FALSE)</f>
        <v>0.85254777070063692</v>
      </c>
      <c r="V2216" s="34" t="e">
        <f>VLOOKUP(Allocation[[#This Row],[SAP Contract number]],Shipments[[SAP Contract number]:[Contracted container weight]],2,FALSE)</f>
        <v>#N/A</v>
      </c>
      <c r="W2216" s="34" t="e">
        <f>VLOOKUP(Allocation[[#This Row],[SAP Contract number]],Shipments[[SAP Contract number]:[AAA Premium USD]],24,FALSE)</f>
        <v>#N/A</v>
      </c>
      <c r="X2216" s="34" t="e">
        <f>VLOOKUP(Allocation[[#This Row],[SAP Contract number]],Shipments[[SAP Contract number]:[RA Premium USD]],25,FALSE)</f>
        <v>#N/A</v>
      </c>
      <c r="Y2216" s="38">
        <f>Allocation[[#This Row],[Quantity Processed]]/Allocation[[#This Row],[Quantity allocated]]</f>
        <v>2.5</v>
      </c>
      <c r="Z2216" s="34" t="b">
        <f>Allocation[[#This Row],[Quantity allocated]]&lt;=Allocation[[#This Row],[Quantity Processed]]</f>
        <v>1</v>
      </c>
    </row>
    <row r="2217" spans="1:26">
      <c r="A2217" s="247" t="s">
        <v>467</v>
      </c>
      <c r="B2217" s="210" t="s">
        <v>68</v>
      </c>
      <c r="C2217" s="254" t="s">
        <v>1428</v>
      </c>
      <c r="D2217" s="255">
        <v>2114</v>
      </c>
      <c r="E2217" s="211" t="s">
        <v>1962</v>
      </c>
      <c r="F2217" s="212">
        <v>43651</v>
      </c>
      <c r="G2217" s="213">
        <v>2.6</v>
      </c>
      <c r="H2217" s="256">
        <v>888</v>
      </c>
      <c r="I2217" s="214">
        <v>1466006</v>
      </c>
      <c r="J2217" s="215">
        <v>20700</v>
      </c>
      <c r="K2217" s="212">
        <v>43665</v>
      </c>
      <c r="L2217" s="211" t="s">
        <v>1964</v>
      </c>
      <c r="M2217" s="216">
        <v>4615447218</v>
      </c>
      <c r="N2217" s="212"/>
      <c r="O2217" s="218"/>
      <c r="P2217" s="219"/>
      <c r="Q2217" s="34">
        <f>SUMIF(Allocation[Delivery ID],Allocation[[#This Row],[Delivery ID]],Allocation[Quantity Processed])</f>
        <v>7752</v>
      </c>
      <c r="R2217" s="61">
        <f>Allocation[[#This Row],[Total volume used]]/VLOOKUP(Allocation[[#This Row],[Delivery ID]],Delivery[[Delivery ID]:[Quantity delivered]],3,FALSE)</f>
        <v>0.61329113924050638</v>
      </c>
      <c r="S2217" s="34">
        <f>Allocation[[#This Row],[Quantity Processed]]/Allocation[[#This Row],[Dilution rate]]</f>
        <v>813.07692307692309</v>
      </c>
      <c r="T2217" s="59">
        <f>SUMIF(Allocation[Delivery ID],Allocation[[#This Row],[Delivery ID]],Allocation[Quantity allocated])/SUMIF(Allocation[Delivery ID],Allocation[[#This Row],[Delivery ID]],Allocation[Volume available (kg)])</f>
        <v>1.1557713275545305</v>
      </c>
      <c r="U2217" s="61">
        <f>Allocation[[#This Row],[Total volume used]]/VLOOKUP(Allocation[[#This Row],[Delivery ID]],Delivery[[Delivery ID]:[Quantity delivered]],3,FALSE)</f>
        <v>0.61329113924050638</v>
      </c>
      <c r="V2217" s="34" t="e">
        <f>VLOOKUP(Allocation[[#This Row],[SAP Contract number]],Shipments[[SAP Contract number]:[Contracted container weight]],2,FALSE)</f>
        <v>#N/A</v>
      </c>
      <c r="W2217" s="34" t="e">
        <f>VLOOKUP(Allocation[[#This Row],[SAP Contract number]],Shipments[[SAP Contract number]:[AAA Premium USD]],24,FALSE)</f>
        <v>#N/A</v>
      </c>
      <c r="X2217" s="34" t="e">
        <f>VLOOKUP(Allocation[[#This Row],[SAP Contract number]],Shipments[[SAP Contract number]:[RA Premium USD]],25,FALSE)</f>
        <v>#N/A</v>
      </c>
      <c r="Y2217" s="38">
        <f>Allocation[[#This Row],[Quantity Processed]]/Allocation[[#This Row],[Quantity allocated]]</f>
        <v>2.3806306306306309</v>
      </c>
      <c r="Z2217" s="34" t="b">
        <f>Allocation[[#This Row],[Quantity allocated]]&lt;=Allocation[[#This Row],[Quantity Processed]]</f>
        <v>1</v>
      </c>
    </row>
    <row r="2218" spans="1:26">
      <c r="A2218" s="247" t="s">
        <v>467</v>
      </c>
      <c r="B2218" s="210" t="s">
        <v>68</v>
      </c>
      <c r="C2218" s="254" t="s">
        <v>1429</v>
      </c>
      <c r="D2218" s="255">
        <v>200</v>
      </c>
      <c r="E2218" s="211" t="s">
        <v>1962</v>
      </c>
      <c r="F2218" s="212">
        <v>43651</v>
      </c>
      <c r="G2218" s="213">
        <v>2.6</v>
      </c>
      <c r="H2218" s="256">
        <v>66</v>
      </c>
      <c r="I2218" s="214">
        <v>1466006</v>
      </c>
      <c r="J2218" s="215">
        <v>20700</v>
      </c>
      <c r="K2218" s="212">
        <v>43665</v>
      </c>
      <c r="L2218" s="211" t="s">
        <v>1964</v>
      </c>
      <c r="M2218" s="216">
        <v>4615447218</v>
      </c>
      <c r="N2218" s="212"/>
      <c r="O2218" s="218"/>
      <c r="P2218" s="219"/>
      <c r="Q2218" s="34">
        <f>SUMIF(Allocation[Delivery ID],Allocation[[#This Row],[Delivery ID]],Allocation[Quantity Processed])</f>
        <v>430</v>
      </c>
      <c r="R2218" s="61">
        <f>Allocation[[#This Row],[Total volume used]]/VLOOKUP(Allocation[[#This Row],[Delivery ID]],Delivery[[Delivery ID]:[Quantity delivered]],3,FALSE)</f>
        <v>0.35833333333333334</v>
      </c>
      <c r="S2218" s="34">
        <f>Allocation[[#This Row],[Quantity Processed]]/Allocation[[#This Row],[Dilution rate]]</f>
        <v>76.92307692307692</v>
      </c>
      <c r="T2218" s="59">
        <f>SUMIF(Allocation[Delivery ID],Allocation[[#This Row],[Delivery ID]],Allocation[Quantity allocated])/SUMIF(Allocation[Delivery ID],Allocation[[#This Row],[Delivery ID]],Allocation[Volume available (kg)])</f>
        <v>0.9088964346349746</v>
      </c>
      <c r="U2218" s="61">
        <f>Allocation[[#This Row],[Total volume used]]/VLOOKUP(Allocation[[#This Row],[Delivery ID]],Delivery[[Delivery ID]:[Quantity delivered]],3,FALSE)</f>
        <v>0.35833333333333334</v>
      </c>
      <c r="V2218" s="34" t="e">
        <f>VLOOKUP(Allocation[[#This Row],[SAP Contract number]],Shipments[[SAP Contract number]:[Contracted container weight]],2,FALSE)</f>
        <v>#N/A</v>
      </c>
      <c r="W2218" s="34" t="e">
        <f>VLOOKUP(Allocation[[#This Row],[SAP Contract number]],Shipments[[SAP Contract number]:[AAA Premium USD]],24,FALSE)</f>
        <v>#N/A</v>
      </c>
      <c r="X2218" s="34" t="e">
        <f>VLOOKUP(Allocation[[#This Row],[SAP Contract number]],Shipments[[SAP Contract number]:[RA Premium USD]],25,FALSE)</f>
        <v>#N/A</v>
      </c>
      <c r="Y2218" s="38">
        <f>Allocation[[#This Row],[Quantity Processed]]/Allocation[[#This Row],[Quantity allocated]]</f>
        <v>3.0303030303030303</v>
      </c>
      <c r="Z2218" s="34" t="b">
        <f>Allocation[[#This Row],[Quantity allocated]]&lt;=Allocation[[#This Row],[Quantity Processed]]</f>
        <v>1</v>
      </c>
    </row>
    <row r="2219" spans="1:26">
      <c r="A2219" s="247" t="s">
        <v>467</v>
      </c>
      <c r="B2219" s="210" t="s">
        <v>68</v>
      </c>
      <c r="C2219" s="254" t="s">
        <v>1438</v>
      </c>
      <c r="D2219" s="255">
        <v>2293</v>
      </c>
      <c r="E2219" s="211" t="s">
        <v>1962</v>
      </c>
      <c r="F2219" s="212">
        <v>43651</v>
      </c>
      <c r="G2219" s="213">
        <v>2.6</v>
      </c>
      <c r="H2219" s="256">
        <v>688</v>
      </c>
      <c r="I2219" s="214">
        <v>1466006</v>
      </c>
      <c r="J2219" s="215">
        <v>20700</v>
      </c>
      <c r="K2219" s="212">
        <v>43665</v>
      </c>
      <c r="L2219" s="211" t="s">
        <v>1964</v>
      </c>
      <c r="M2219" s="216">
        <v>4615447218</v>
      </c>
      <c r="N2219" s="212"/>
      <c r="O2219" s="218"/>
      <c r="P2219" s="219"/>
      <c r="Q2219" s="34">
        <f>SUMIF(Allocation[Delivery ID],Allocation[[#This Row],[Delivery ID]],Allocation[Quantity Processed])</f>
        <v>5066</v>
      </c>
      <c r="R2219" s="61">
        <f>Allocation[[#This Row],[Total volume used]]/VLOOKUP(Allocation[[#This Row],[Delivery ID]],Delivery[[Delivery ID]:[Quantity delivered]],3,FALSE)</f>
        <v>0.91115107913669069</v>
      </c>
      <c r="S2219" s="34">
        <f>Allocation[[#This Row],[Quantity Processed]]/Allocation[[#This Row],[Dilution rate]]</f>
        <v>881.92307692307691</v>
      </c>
      <c r="T2219" s="59">
        <f>SUMIF(Allocation[Delivery ID],Allocation[[#This Row],[Delivery ID]],Allocation[Quantity allocated])/SUMIF(Allocation[Delivery ID],Allocation[[#This Row],[Delivery ID]],Allocation[Volume available (kg)])</f>
        <v>0.79702618169704564</v>
      </c>
      <c r="U2219" s="61">
        <f>Allocation[[#This Row],[Total volume used]]/VLOOKUP(Allocation[[#This Row],[Delivery ID]],Delivery[[Delivery ID]:[Quantity delivered]],3,FALSE)</f>
        <v>0.91115107913669069</v>
      </c>
      <c r="V2219" s="34" t="e">
        <f>VLOOKUP(Allocation[[#This Row],[SAP Contract number]],Shipments[[SAP Contract number]:[Contracted container weight]],2,FALSE)</f>
        <v>#N/A</v>
      </c>
      <c r="W2219" s="34" t="e">
        <f>VLOOKUP(Allocation[[#This Row],[SAP Contract number]],Shipments[[SAP Contract number]:[AAA Premium USD]],24,FALSE)</f>
        <v>#N/A</v>
      </c>
      <c r="X2219" s="34" t="e">
        <f>VLOOKUP(Allocation[[#This Row],[SAP Contract number]],Shipments[[SAP Contract number]:[RA Premium USD]],25,FALSE)</f>
        <v>#N/A</v>
      </c>
      <c r="Y2219" s="38">
        <f>Allocation[[#This Row],[Quantity Processed]]/Allocation[[#This Row],[Quantity allocated]]</f>
        <v>3.3328488372093021</v>
      </c>
      <c r="Z2219" s="34" t="b">
        <f>Allocation[[#This Row],[Quantity allocated]]&lt;=Allocation[[#This Row],[Quantity Processed]]</f>
        <v>1</v>
      </c>
    </row>
    <row r="2220" spans="1:26">
      <c r="A2220" s="247" t="s">
        <v>467</v>
      </c>
      <c r="B2220" s="210" t="s">
        <v>68</v>
      </c>
      <c r="C2220" s="254" t="s">
        <v>1440</v>
      </c>
      <c r="D2220" s="255">
        <v>1178</v>
      </c>
      <c r="E2220" s="211" t="s">
        <v>1962</v>
      </c>
      <c r="F2220" s="212">
        <v>43651</v>
      </c>
      <c r="G2220" s="213">
        <v>2.6</v>
      </c>
      <c r="H2220" s="256">
        <v>589</v>
      </c>
      <c r="I2220" s="214">
        <v>1466006</v>
      </c>
      <c r="J2220" s="215">
        <v>20700</v>
      </c>
      <c r="K2220" s="212">
        <v>43665</v>
      </c>
      <c r="L2220" s="211" t="s">
        <v>1964</v>
      </c>
      <c r="M2220" s="216">
        <v>4615447218</v>
      </c>
      <c r="N2220" s="212"/>
      <c r="O2220" s="218"/>
      <c r="P2220" s="219"/>
      <c r="Q2220" s="34">
        <f>SUMIF(Allocation[Delivery ID],Allocation[[#This Row],[Delivery ID]],Allocation[Quantity Processed])</f>
        <v>2522</v>
      </c>
      <c r="R2220" s="61">
        <f>Allocation[[#This Row],[Total volume used]]/VLOOKUP(Allocation[[#This Row],[Delivery ID]],Delivery[[Delivery ID]:[Quantity delivered]],3,FALSE)</f>
        <v>0.33537234042553193</v>
      </c>
      <c r="S2220" s="34">
        <f>Allocation[[#This Row],[Quantity Processed]]/Allocation[[#This Row],[Dilution rate]]</f>
        <v>453.07692307692304</v>
      </c>
      <c r="T2220" s="59">
        <f>SUMIF(Allocation[Delivery ID],Allocation[[#This Row],[Delivery ID]],Allocation[Quantity allocated])/SUMIF(Allocation[Delivery ID],Allocation[[#This Row],[Delivery ID]],Allocation[Volume available (kg)])</f>
        <v>1.3758486962058289</v>
      </c>
      <c r="U2220" s="61">
        <f>Allocation[[#This Row],[Total volume used]]/VLOOKUP(Allocation[[#This Row],[Delivery ID]],Delivery[[Delivery ID]:[Quantity delivered]],3,FALSE)</f>
        <v>0.33537234042553193</v>
      </c>
      <c r="V2220" s="34" t="e">
        <f>VLOOKUP(Allocation[[#This Row],[SAP Contract number]],Shipments[[SAP Contract number]:[Contracted container weight]],2,FALSE)</f>
        <v>#N/A</v>
      </c>
      <c r="W2220" s="34" t="e">
        <f>VLOOKUP(Allocation[[#This Row],[SAP Contract number]],Shipments[[SAP Contract number]:[AAA Premium USD]],24,FALSE)</f>
        <v>#N/A</v>
      </c>
      <c r="X2220" s="34" t="e">
        <f>VLOOKUP(Allocation[[#This Row],[SAP Contract number]],Shipments[[SAP Contract number]:[RA Premium USD]],25,FALSE)</f>
        <v>#N/A</v>
      </c>
      <c r="Y2220" s="38">
        <f>Allocation[[#This Row],[Quantity Processed]]/Allocation[[#This Row],[Quantity allocated]]</f>
        <v>2</v>
      </c>
      <c r="Z2220" s="34" t="b">
        <f>Allocation[[#This Row],[Quantity allocated]]&lt;=Allocation[[#This Row],[Quantity Processed]]</f>
        <v>1</v>
      </c>
    </row>
    <row r="2221" spans="1:26">
      <c r="A2221" s="247" t="s">
        <v>467</v>
      </c>
      <c r="B2221" s="210" t="s">
        <v>68</v>
      </c>
      <c r="C2221" s="254" t="s">
        <v>1466</v>
      </c>
      <c r="D2221" s="255">
        <v>1631</v>
      </c>
      <c r="E2221" s="211" t="s">
        <v>1962</v>
      </c>
      <c r="F2221" s="212">
        <v>43651</v>
      </c>
      <c r="G2221" s="213">
        <v>2.6</v>
      </c>
      <c r="H2221" s="256">
        <v>669</v>
      </c>
      <c r="I2221" s="214">
        <v>1466006</v>
      </c>
      <c r="J2221" s="215">
        <v>20700</v>
      </c>
      <c r="K2221" s="212">
        <v>43665</v>
      </c>
      <c r="L2221" s="211" t="s">
        <v>1964</v>
      </c>
      <c r="M2221" s="216">
        <v>4615447218</v>
      </c>
      <c r="N2221" s="212"/>
      <c r="O2221" s="218"/>
      <c r="P2221" s="219"/>
      <c r="Q2221" s="34">
        <f>SUMIF(Allocation[Delivery ID],Allocation[[#This Row],[Delivery ID]],Allocation[Quantity Processed])</f>
        <v>3960</v>
      </c>
      <c r="R2221" s="61">
        <f>Allocation[[#This Row],[Total volume used]]/VLOOKUP(Allocation[[#This Row],[Delivery ID]],Delivery[[Delivery ID]:[Quantity delivered]],3,FALSE)</f>
        <v>1</v>
      </c>
      <c r="S2221" s="34">
        <f>Allocation[[#This Row],[Quantity Processed]]/Allocation[[#This Row],[Dilution rate]]</f>
        <v>627.30769230769226</v>
      </c>
      <c r="T2221" s="59">
        <f>SUMIF(Allocation[Delivery ID],Allocation[[#This Row],[Delivery ID]],Allocation[Quantity allocated])/SUMIF(Allocation[Delivery ID],Allocation[[#This Row],[Delivery ID]],Allocation[Volume available (kg)])</f>
        <v>1.09000583224178</v>
      </c>
      <c r="U2221" s="61">
        <f>Allocation[[#This Row],[Total volume used]]/VLOOKUP(Allocation[[#This Row],[Delivery ID]],Delivery[[Delivery ID]:[Quantity delivered]],3,FALSE)</f>
        <v>1</v>
      </c>
      <c r="V2221" s="34" t="e">
        <f>VLOOKUP(Allocation[[#This Row],[SAP Contract number]],Shipments[[SAP Contract number]:[Contracted container weight]],2,FALSE)</f>
        <v>#N/A</v>
      </c>
      <c r="W2221" s="34" t="e">
        <f>VLOOKUP(Allocation[[#This Row],[SAP Contract number]],Shipments[[SAP Contract number]:[AAA Premium USD]],24,FALSE)</f>
        <v>#N/A</v>
      </c>
      <c r="X2221" s="34" t="e">
        <f>VLOOKUP(Allocation[[#This Row],[SAP Contract number]],Shipments[[SAP Contract number]:[RA Premium USD]],25,FALSE)</f>
        <v>#N/A</v>
      </c>
      <c r="Y2221" s="38">
        <f>Allocation[[#This Row],[Quantity Processed]]/Allocation[[#This Row],[Quantity allocated]]</f>
        <v>2.4379671150971598</v>
      </c>
      <c r="Z2221" s="34" t="b">
        <f>Allocation[[#This Row],[Quantity allocated]]&lt;=Allocation[[#This Row],[Quantity Processed]]</f>
        <v>1</v>
      </c>
    </row>
    <row r="2222" spans="1:26">
      <c r="A2222" s="247" t="s">
        <v>467</v>
      </c>
      <c r="B2222" s="210" t="s">
        <v>68</v>
      </c>
      <c r="C2222" s="254" t="s">
        <v>1468</v>
      </c>
      <c r="D2222" s="255">
        <v>5696</v>
      </c>
      <c r="E2222" s="211" t="s">
        <v>1962</v>
      </c>
      <c r="F2222" s="212">
        <v>43651</v>
      </c>
      <c r="G2222" s="213">
        <v>2.6</v>
      </c>
      <c r="H2222" s="256">
        <v>2336</v>
      </c>
      <c r="I2222" s="214">
        <v>1466006</v>
      </c>
      <c r="J2222" s="215">
        <v>20700</v>
      </c>
      <c r="K2222" s="212">
        <v>43665</v>
      </c>
      <c r="L2222" s="211" t="s">
        <v>1964</v>
      </c>
      <c r="M2222" s="216">
        <v>4615447218</v>
      </c>
      <c r="N2222" s="212"/>
      <c r="O2222" s="218"/>
      <c r="P2222" s="219"/>
      <c r="Q2222" s="34">
        <f>SUMIF(Allocation[Delivery ID],Allocation[[#This Row],[Delivery ID]],Allocation[Quantity Processed])</f>
        <v>14120</v>
      </c>
      <c r="R2222" s="61">
        <f>Allocation[[#This Row],[Total volume used]]/VLOOKUP(Allocation[[#This Row],[Delivery ID]],Delivery[[Delivery ID]:[Quantity delivered]],3,FALSE)</f>
        <v>1</v>
      </c>
      <c r="S2222" s="34">
        <f>Allocation[[#This Row],[Quantity Processed]]/Allocation[[#This Row],[Dilution rate]]</f>
        <v>2190.7692307692305</v>
      </c>
      <c r="T2222" s="59">
        <f>SUMIF(Allocation[Delivery ID],Allocation[[#This Row],[Delivery ID]],Allocation[Quantity allocated])/SUMIF(Allocation[Delivery ID],Allocation[[#This Row],[Delivery ID]],Allocation[Volume available (kg)])</f>
        <v>1.0902375434530707</v>
      </c>
      <c r="U2222" s="61">
        <f>Allocation[[#This Row],[Total volume used]]/VLOOKUP(Allocation[[#This Row],[Delivery ID]],Delivery[[Delivery ID]:[Quantity delivered]],3,FALSE)</f>
        <v>1</v>
      </c>
      <c r="V2222" s="34" t="e">
        <f>VLOOKUP(Allocation[[#This Row],[SAP Contract number]],Shipments[[SAP Contract number]:[Contracted container weight]],2,FALSE)</f>
        <v>#N/A</v>
      </c>
      <c r="W2222" s="34" t="e">
        <f>VLOOKUP(Allocation[[#This Row],[SAP Contract number]],Shipments[[SAP Contract number]:[AAA Premium USD]],24,FALSE)</f>
        <v>#N/A</v>
      </c>
      <c r="X2222" s="34" t="e">
        <f>VLOOKUP(Allocation[[#This Row],[SAP Contract number]],Shipments[[SAP Contract number]:[RA Premium USD]],25,FALSE)</f>
        <v>#N/A</v>
      </c>
      <c r="Y2222" s="38">
        <f>Allocation[[#This Row],[Quantity Processed]]/Allocation[[#This Row],[Quantity allocated]]</f>
        <v>2.4383561643835616</v>
      </c>
      <c r="Z2222" s="34" t="b">
        <f>Allocation[[#This Row],[Quantity allocated]]&lt;=Allocation[[#This Row],[Quantity Processed]]</f>
        <v>1</v>
      </c>
    </row>
    <row r="2223" spans="1:26">
      <c r="A2223" s="247" t="s">
        <v>467</v>
      </c>
      <c r="B2223" s="210" t="s">
        <v>68</v>
      </c>
      <c r="C2223" s="254" t="s">
        <v>1469</v>
      </c>
      <c r="D2223" s="255">
        <v>5180</v>
      </c>
      <c r="E2223" s="211" t="s">
        <v>1962</v>
      </c>
      <c r="F2223" s="212">
        <v>43651</v>
      </c>
      <c r="G2223" s="213">
        <v>2.6</v>
      </c>
      <c r="H2223" s="256">
        <v>2124</v>
      </c>
      <c r="I2223" s="214">
        <v>1466006</v>
      </c>
      <c r="J2223" s="215">
        <v>20700</v>
      </c>
      <c r="K2223" s="212">
        <v>43665</v>
      </c>
      <c r="L2223" s="211" t="s">
        <v>1964</v>
      </c>
      <c r="M2223" s="216">
        <v>4615447218</v>
      </c>
      <c r="N2223" s="212"/>
      <c r="O2223" s="218"/>
      <c r="P2223" s="219"/>
      <c r="Q2223" s="34">
        <f>SUMIF(Allocation[Delivery ID],Allocation[[#This Row],[Delivery ID]],Allocation[Quantity Processed])</f>
        <v>11287</v>
      </c>
      <c r="R2223" s="61">
        <f>Allocation[[#This Row],[Total volume used]]/VLOOKUP(Allocation[[#This Row],[Delivery ID]],Delivery[[Delivery ID]:[Quantity delivered]],3,FALSE)</f>
        <v>0.86623177283192632</v>
      </c>
      <c r="S2223" s="34">
        <f>Allocation[[#This Row],[Quantity Processed]]/Allocation[[#This Row],[Dilution rate]]</f>
        <v>1992.3076923076922</v>
      </c>
      <c r="T2223" s="59">
        <f>SUMIF(Allocation[Delivery ID],Allocation[[#This Row],[Delivery ID]],Allocation[Quantity allocated])/SUMIF(Allocation[Delivery ID],Allocation[[#This Row],[Delivery ID]],Allocation[Volume available (kg)])</f>
        <v>1.0878764540821453</v>
      </c>
      <c r="U2223" s="61">
        <f>Allocation[[#This Row],[Total volume used]]/VLOOKUP(Allocation[[#This Row],[Delivery ID]],Delivery[[Delivery ID]:[Quantity delivered]],3,FALSE)</f>
        <v>0.86623177283192632</v>
      </c>
      <c r="V2223" s="34" t="e">
        <f>VLOOKUP(Allocation[[#This Row],[SAP Contract number]],Shipments[[SAP Contract number]:[Contracted container weight]],2,FALSE)</f>
        <v>#N/A</v>
      </c>
      <c r="W2223" s="34" t="e">
        <f>VLOOKUP(Allocation[[#This Row],[SAP Contract number]],Shipments[[SAP Contract number]:[AAA Premium USD]],24,FALSE)</f>
        <v>#N/A</v>
      </c>
      <c r="X2223" s="34" t="e">
        <f>VLOOKUP(Allocation[[#This Row],[SAP Contract number]],Shipments[[SAP Contract number]:[RA Premium USD]],25,FALSE)</f>
        <v>#N/A</v>
      </c>
      <c r="Y2223" s="38">
        <f>Allocation[[#This Row],[Quantity Processed]]/Allocation[[#This Row],[Quantity allocated]]</f>
        <v>2.4387947269303201</v>
      </c>
      <c r="Z2223" s="34" t="b">
        <f>Allocation[[#This Row],[Quantity allocated]]&lt;=Allocation[[#This Row],[Quantity Processed]]</f>
        <v>1</v>
      </c>
    </row>
    <row r="2224" spans="1:26">
      <c r="A2224" s="247" t="s">
        <v>467</v>
      </c>
      <c r="B2224" s="210" t="s">
        <v>68</v>
      </c>
      <c r="C2224" s="254" t="s">
        <v>1471</v>
      </c>
      <c r="D2224" s="255">
        <v>6703</v>
      </c>
      <c r="E2224" s="211" t="s">
        <v>1962</v>
      </c>
      <c r="F2224" s="212">
        <v>43651</v>
      </c>
      <c r="G2224" s="213">
        <v>2.6</v>
      </c>
      <c r="H2224" s="256">
        <v>2011</v>
      </c>
      <c r="I2224" s="214">
        <v>1466006</v>
      </c>
      <c r="J2224" s="215">
        <v>20700</v>
      </c>
      <c r="K2224" s="212">
        <v>43665</v>
      </c>
      <c r="L2224" s="211" t="s">
        <v>1964</v>
      </c>
      <c r="M2224" s="216">
        <v>4615447218</v>
      </c>
      <c r="N2224" s="212"/>
      <c r="O2224" s="218"/>
      <c r="P2224" s="219"/>
      <c r="Q2224" s="34">
        <f>SUMIF(Allocation[Delivery ID],Allocation[[#This Row],[Delivery ID]],Allocation[Quantity Processed])</f>
        <v>17610</v>
      </c>
      <c r="R2224" s="61">
        <f>Allocation[[#This Row],[Total volume used]]/VLOOKUP(Allocation[[#This Row],[Delivery ID]],Delivery[[Delivery ID]:[Quantity delivered]],3,FALSE)</f>
        <v>1</v>
      </c>
      <c r="S2224" s="34">
        <f>Allocation[[#This Row],[Quantity Processed]]/Allocation[[#This Row],[Dilution rate]]</f>
        <v>2578.0769230769229</v>
      </c>
      <c r="T2224" s="59">
        <f>SUMIF(Allocation[Delivery ID],Allocation[[#This Row],[Delivery ID]],Allocation[Quantity allocated])/SUMIF(Allocation[Delivery ID],Allocation[[#This Row],[Delivery ID]],Allocation[Volume available (kg)])</f>
        <v>0.79831282301862183</v>
      </c>
      <c r="U2224" s="61">
        <f>Allocation[[#This Row],[Total volume used]]/VLOOKUP(Allocation[[#This Row],[Delivery ID]],Delivery[[Delivery ID]:[Quantity delivered]],3,FALSE)</f>
        <v>1</v>
      </c>
      <c r="V2224" s="34" t="e">
        <f>VLOOKUP(Allocation[[#This Row],[SAP Contract number]],Shipments[[SAP Contract number]:[Contracted container weight]],2,FALSE)</f>
        <v>#N/A</v>
      </c>
      <c r="W2224" s="34" t="e">
        <f>VLOOKUP(Allocation[[#This Row],[SAP Contract number]],Shipments[[SAP Contract number]:[AAA Premium USD]],24,FALSE)</f>
        <v>#N/A</v>
      </c>
      <c r="X2224" s="34" t="e">
        <f>VLOOKUP(Allocation[[#This Row],[SAP Contract number]],Shipments[[SAP Contract number]:[RA Premium USD]],25,FALSE)</f>
        <v>#N/A</v>
      </c>
      <c r="Y2224" s="38">
        <f>Allocation[[#This Row],[Quantity Processed]]/Allocation[[#This Row],[Quantity allocated]]</f>
        <v>3.333167578319244</v>
      </c>
      <c r="Z2224" s="34" t="b">
        <f>Allocation[[#This Row],[Quantity allocated]]&lt;=Allocation[[#This Row],[Quantity Processed]]</f>
        <v>1</v>
      </c>
    </row>
    <row r="2225" spans="1:26">
      <c r="A2225" s="247" t="s">
        <v>467</v>
      </c>
      <c r="B2225" s="210" t="s">
        <v>68</v>
      </c>
      <c r="C2225" s="254" t="s">
        <v>1480</v>
      </c>
      <c r="D2225" s="255">
        <v>1007</v>
      </c>
      <c r="E2225" s="211" t="s">
        <v>1962</v>
      </c>
      <c r="F2225" s="212">
        <v>43651</v>
      </c>
      <c r="G2225" s="213">
        <v>2.6</v>
      </c>
      <c r="H2225" s="256">
        <v>302</v>
      </c>
      <c r="I2225" s="214">
        <v>1466006</v>
      </c>
      <c r="J2225" s="215">
        <v>20700</v>
      </c>
      <c r="K2225" s="212">
        <v>43665</v>
      </c>
      <c r="L2225" s="211" t="s">
        <v>1964</v>
      </c>
      <c r="M2225" s="216">
        <v>4615447218</v>
      </c>
      <c r="N2225" s="212"/>
      <c r="O2225" s="218"/>
      <c r="P2225" s="219"/>
      <c r="Q2225" s="34">
        <f>SUMIF(Allocation[Delivery ID],Allocation[[#This Row],[Delivery ID]],Allocation[Quantity Processed])</f>
        <v>11411</v>
      </c>
      <c r="R2225" s="61">
        <f>Allocation[[#This Row],[Total volume used]]/VLOOKUP(Allocation[[#This Row],[Delivery ID]],Delivery[[Delivery ID]:[Quantity delivered]],3,FALSE)</f>
        <v>0.76893530997304582</v>
      </c>
      <c r="S2225" s="34">
        <f>Allocation[[#This Row],[Quantity Processed]]/Allocation[[#This Row],[Dilution rate]]</f>
        <v>387.30769230769232</v>
      </c>
      <c r="T2225" s="59">
        <f>SUMIF(Allocation[Delivery ID],Allocation[[#This Row],[Delivery ID]],Allocation[Quantity allocated])/SUMIF(Allocation[Delivery ID],Allocation[[#This Row],[Delivery ID]],Allocation[Volume available (kg)])</f>
        <v>0.85697305612869312</v>
      </c>
      <c r="U2225" s="61">
        <f>Allocation[[#This Row],[Total volume used]]/VLOOKUP(Allocation[[#This Row],[Delivery ID]],Delivery[[Delivery ID]:[Quantity delivered]],3,FALSE)</f>
        <v>0.76893530997304582</v>
      </c>
      <c r="V2225" s="34" t="e">
        <f>VLOOKUP(Allocation[[#This Row],[SAP Contract number]],Shipments[[SAP Contract number]:[Contracted container weight]],2,FALSE)</f>
        <v>#N/A</v>
      </c>
      <c r="W2225" s="34" t="e">
        <f>VLOOKUP(Allocation[[#This Row],[SAP Contract number]],Shipments[[SAP Contract number]:[AAA Premium USD]],24,FALSE)</f>
        <v>#N/A</v>
      </c>
      <c r="X2225" s="34" t="e">
        <f>VLOOKUP(Allocation[[#This Row],[SAP Contract number]],Shipments[[SAP Contract number]:[RA Premium USD]],25,FALSE)</f>
        <v>#N/A</v>
      </c>
      <c r="Y2225" s="38">
        <f>Allocation[[#This Row],[Quantity Processed]]/Allocation[[#This Row],[Quantity allocated]]</f>
        <v>3.3344370860927151</v>
      </c>
      <c r="Z2225" s="34" t="b">
        <f>Allocation[[#This Row],[Quantity allocated]]&lt;=Allocation[[#This Row],[Quantity Processed]]</f>
        <v>1</v>
      </c>
    </row>
    <row r="2226" spans="1:26">
      <c r="A2226" s="247" t="s">
        <v>467</v>
      </c>
      <c r="B2226" s="210" t="s">
        <v>68</v>
      </c>
      <c r="C2226" s="254" t="s">
        <v>1481</v>
      </c>
      <c r="D2226" s="255">
        <v>6747</v>
      </c>
      <c r="E2226" s="211" t="s">
        <v>1962</v>
      </c>
      <c r="F2226" s="212">
        <v>43651</v>
      </c>
      <c r="G2226" s="213">
        <v>2.6</v>
      </c>
      <c r="H2226" s="256">
        <v>2024</v>
      </c>
      <c r="I2226" s="214">
        <v>1466006</v>
      </c>
      <c r="J2226" s="215">
        <v>20700</v>
      </c>
      <c r="K2226" s="212">
        <v>43665</v>
      </c>
      <c r="L2226" s="211" t="s">
        <v>1964</v>
      </c>
      <c r="M2226" s="216">
        <v>4615447218</v>
      </c>
      <c r="N2226" s="212"/>
      <c r="O2226" s="218"/>
      <c r="P2226" s="219"/>
      <c r="Q2226" s="34">
        <f>SUMIF(Allocation[Delivery ID],Allocation[[#This Row],[Delivery ID]],Allocation[Quantity Processed])</f>
        <v>14697</v>
      </c>
      <c r="R2226" s="61">
        <f>Allocation[[#This Row],[Total volume used]]/VLOOKUP(Allocation[[#This Row],[Delivery ID]],Delivery[[Delivery ID]:[Quantity delivered]],3,FALSE)</f>
        <v>0.70455417066155324</v>
      </c>
      <c r="S2226" s="34">
        <f>Allocation[[#This Row],[Quantity Processed]]/Allocation[[#This Row],[Dilution rate]]</f>
        <v>2595</v>
      </c>
      <c r="T2226" s="59">
        <f>SUMIF(Allocation[Delivery ID],Allocation[[#This Row],[Delivery ID]],Allocation[Quantity allocated])/SUMIF(Allocation[Delivery ID],Allocation[[#This Row],[Delivery ID]],Allocation[Volume available (kg)])</f>
        <v>0.79592819175609264</v>
      </c>
      <c r="U2226" s="61">
        <f>Allocation[[#This Row],[Total volume used]]/VLOOKUP(Allocation[[#This Row],[Delivery ID]],Delivery[[Delivery ID]:[Quantity delivered]],3,FALSE)</f>
        <v>0.70455417066155324</v>
      </c>
      <c r="V2226" s="34" t="e">
        <f>VLOOKUP(Allocation[[#This Row],[SAP Contract number]],Shipments[[SAP Contract number]:[Contracted container weight]],2,FALSE)</f>
        <v>#N/A</v>
      </c>
      <c r="W2226" s="34" t="e">
        <f>VLOOKUP(Allocation[[#This Row],[SAP Contract number]],Shipments[[SAP Contract number]:[AAA Premium USD]],24,FALSE)</f>
        <v>#N/A</v>
      </c>
      <c r="X2226" s="34" t="e">
        <f>VLOOKUP(Allocation[[#This Row],[SAP Contract number]],Shipments[[SAP Contract number]:[RA Premium USD]],25,FALSE)</f>
        <v>#N/A</v>
      </c>
      <c r="Y2226" s="38">
        <f>Allocation[[#This Row],[Quantity Processed]]/Allocation[[#This Row],[Quantity allocated]]</f>
        <v>3.333498023715415</v>
      </c>
      <c r="Z2226" s="34" t="b">
        <f>Allocation[[#This Row],[Quantity allocated]]&lt;=Allocation[[#This Row],[Quantity Processed]]</f>
        <v>1</v>
      </c>
    </row>
    <row r="2227" spans="1:26">
      <c r="A2227" s="247" t="s">
        <v>467</v>
      </c>
      <c r="B2227" s="210" t="s">
        <v>68</v>
      </c>
      <c r="C2227" s="254" t="s">
        <v>1482</v>
      </c>
      <c r="D2227" s="255">
        <v>4524</v>
      </c>
      <c r="E2227" s="211" t="s">
        <v>1962</v>
      </c>
      <c r="F2227" s="212">
        <v>43651</v>
      </c>
      <c r="G2227" s="213">
        <v>2.6</v>
      </c>
      <c r="H2227" s="256">
        <v>1493</v>
      </c>
      <c r="I2227" s="214">
        <v>1466006</v>
      </c>
      <c r="J2227" s="215">
        <v>20700</v>
      </c>
      <c r="K2227" s="212">
        <v>43665</v>
      </c>
      <c r="L2227" s="211" t="s">
        <v>1964</v>
      </c>
      <c r="M2227" s="216">
        <v>4615447218</v>
      </c>
      <c r="N2227" s="212"/>
      <c r="O2227" s="218"/>
      <c r="P2227" s="219"/>
      <c r="Q2227" s="34">
        <f>SUMIF(Allocation[Delivery ID],Allocation[[#This Row],[Delivery ID]],Allocation[Quantity Processed])</f>
        <v>9993</v>
      </c>
      <c r="R2227" s="61">
        <f>Allocation[[#This Row],[Total volume used]]/VLOOKUP(Allocation[[#This Row],[Delivery ID]],Delivery[[Delivery ID]:[Quantity delivered]],3,FALSE)</f>
        <v>0.82998338870431898</v>
      </c>
      <c r="S2227" s="34">
        <f>Allocation[[#This Row],[Quantity Processed]]/Allocation[[#This Row],[Dilution rate]]</f>
        <v>1740</v>
      </c>
      <c r="T2227" s="59">
        <f>SUMIF(Allocation[Delivery ID],Allocation[[#This Row],[Delivery ID]],Allocation[Quantity allocated])/SUMIF(Allocation[Delivery ID],Allocation[[#This Row],[Delivery ID]],Allocation[Volume available (kg)])</f>
        <v>0.87667985794425152</v>
      </c>
      <c r="U2227" s="61">
        <f>Allocation[[#This Row],[Total volume used]]/VLOOKUP(Allocation[[#This Row],[Delivery ID]],Delivery[[Delivery ID]:[Quantity delivered]],3,FALSE)</f>
        <v>0.82998338870431898</v>
      </c>
      <c r="V2227" s="34" t="e">
        <f>VLOOKUP(Allocation[[#This Row],[SAP Contract number]],Shipments[[SAP Contract number]:[Contracted container weight]],2,FALSE)</f>
        <v>#N/A</v>
      </c>
      <c r="W2227" s="34" t="e">
        <f>VLOOKUP(Allocation[[#This Row],[SAP Contract number]],Shipments[[SAP Contract number]:[AAA Premium USD]],24,FALSE)</f>
        <v>#N/A</v>
      </c>
      <c r="X2227" s="34" t="e">
        <f>VLOOKUP(Allocation[[#This Row],[SAP Contract number]],Shipments[[SAP Contract number]:[RA Premium USD]],25,FALSE)</f>
        <v>#N/A</v>
      </c>
      <c r="Y2227" s="38">
        <f>Allocation[[#This Row],[Quantity Processed]]/Allocation[[#This Row],[Quantity allocated]]</f>
        <v>3.030140656396517</v>
      </c>
      <c r="Z2227" s="34" t="b">
        <f>Allocation[[#This Row],[Quantity allocated]]&lt;=Allocation[[#This Row],[Quantity Processed]]</f>
        <v>1</v>
      </c>
    </row>
    <row r="2228" spans="1:26">
      <c r="A2228" s="247" t="s">
        <v>467</v>
      </c>
      <c r="B2228" s="210" t="s">
        <v>68</v>
      </c>
      <c r="C2228" s="254" t="s">
        <v>1483</v>
      </c>
      <c r="D2228" s="255">
        <v>3259</v>
      </c>
      <c r="E2228" s="211" t="s">
        <v>1962</v>
      </c>
      <c r="F2228" s="212">
        <v>43651</v>
      </c>
      <c r="G2228" s="213">
        <v>2.6</v>
      </c>
      <c r="H2228" s="256">
        <v>1076</v>
      </c>
      <c r="I2228" s="214">
        <v>1466006</v>
      </c>
      <c r="J2228" s="215">
        <v>20700</v>
      </c>
      <c r="K2228" s="212">
        <v>43665</v>
      </c>
      <c r="L2228" s="211" t="s">
        <v>1964</v>
      </c>
      <c r="M2228" s="216">
        <v>4615447218</v>
      </c>
      <c r="N2228" s="212"/>
      <c r="O2228" s="218"/>
      <c r="P2228" s="219"/>
      <c r="Q2228" s="34">
        <f>SUMIF(Allocation[Delivery ID],Allocation[[#This Row],[Delivery ID]],Allocation[Quantity Processed])</f>
        <v>12980</v>
      </c>
      <c r="R2228" s="61">
        <f>Allocation[[#This Row],[Total volume used]]/VLOOKUP(Allocation[[#This Row],[Delivery ID]],Delivery[[Delivery ID]:[Quantity delivered]],3,FALSE)</f>
        <v>1</v>
      </c>
      <c r="S2228" s="34">
        <f>Allocation[[#This Row],[Quantity Processed]]/Allocation[[#This Row],[Dilution rate]]</f>
        <v>1253.4615384615383</v>
      </c>
      <c r="T2228" s="59">
        <f>SUMIF(Allocation[Delivery ID],Allocation[[#This Row],[Delivery ID]],Allocation[Quantity allocated])/SUMIF(Allocation[Delivery ID],Allocation[[#This Row],[Delivery ID]],Allocation[Volume available (kg)])</f>
        <v>0.88260163937794034</v>
      </c>
      <c r="U2228" s="61">
        <f>Allocation[[#This Row],[Total volume used]]/VLOOKUP(Allocation[[#This Row],[Delivery ID]],Delivery[[Delivery ID]:[Quantity delivered]],3,FALSE)</f>
        <v>1</v>
      </c>
      <c r="V2228" s="34" t="e">
        <f>VLOOKUP(Allocation[[#This Row],[SAP Contract number]],Shipments[[SAP Contract number]:[Contracted container weight]],2,FALSE)</f>
        <v>#N/A</v>
      </c>
      <c r="W2228" s="34" t="e">
        <f>VLOOKUP(Allocation[[#This Row],[SAP Contract number]],Shipments[[SAP Contract number]:[AAA Premium USD]],24,FALSE)</f>
        <v>#N/A</v>
      </c>
      <c r="X2228" s="34" t="e">
        <f>VLOOKUP(Allocation[[#This Row],[SAP Contract number]],Shipments[[SAP Contract number]:[RA Premium USD]],25,FALSE)</f>
        <v>#N/A</v>
      </c>
      <c r="Y2228" s="38">
        <f>Allocation[[#This Row],[Quantity Processed]]/Allocation[[#This Row],[Quantity allocated]]</f>
        <v>3.0288104089219332</v>
      </c>
      <c r="Z2228" s="34" t="b">
        <f>Allocation[[#This Row],[Quantity allocated]]&lt;=Allocation[[#This Row],[Quantity Processed]]</f>
        <v>1</v>
      </c>
    </row>
    <row r="2229" spans="1:26">
      <c r="A2229" s="247" t="s">
        <v>467</v>
      </c>
      <c r="B2229" s="210" t="s">
        <v>68</v>
      </c>
      <c r="C2229" s="254" t="s">
        <v>1484</v>
      </c>
      <c r="D2229" s="255">
        <v>1109</v>
      </c>
      <c r="E2229" s="211" t="s">
        <v>1962</v>
      </c>
      <c r="F2229" s="212">
        <v>43651</v>
      </c>
      <c r="G2229" s="213">
        <v>2.6</v>
      </c>
      <c r="H2229" s="256">
        <v>366</v>
      </c>
      <c r="I2229" s="214">
        <v>1466006</v>
      </c>
      <c r="J2229" s="215">
        <v>20700</v>
      </c>
      <c r="K2229" s="212">
        <v>43665</v>
      </c>
      <c r="L2229" s="211" t="s">
        <v>1964</v>
      </c>
      <c r="M2229" s="216">
        <v>4615447218</v>
      </c>
      <c r="N2229" s="212"/>
      <c r="O2229" s="218"/>
      <c r="P2229" s="219"/>
      <c r="Q2229" s="34">
        <f>SUMIF(Allocation[Delivery ID],Allocation[[#This Row],[Delivery ID]],Allocation[Quantity Processed])</f>
        <v>8930</v>
      </c>
      <c r="R2229" s="61">
        <f>Allocation[[#This Row],[Total volume used]]/VLOOKUP(Allocation[[#This Row],[Delivery ID]],Delivery[[Delivery ID]:[Quantity delivered]],3,FALSE)</f>
        <v>1</v>
      </c>
      <c r="S2229" s="34">
        <f>Allocation[[#This Row],[Quantity Processed]]/Allocation[[#This Row],[Dilution rate]]</f>
        <v>426.53846153846155</v>
      </c>
      <c r="T2229" s="59">
        <f>SUMIF(Allocation[Delivery ID],Allocation[[#This Row],[Delivery ID]],Allocation[Quantity allocated])/SUMIF(Allocation[Delivery ID],Allocation[[#This Row],[Delivery ID]],Allocation[Volume available (kg)])</f>
        <v>0.88257623590041134</v>
      </c>
      <c r="U2229" s="61">
        <f>Allocation[[#This Row],[Total volume used]]/VLOOKUP(Allocation[[#This Row],[Delivery ID]],Delivery[[Delivery ID]:[Quantity delivered]],3,FALSE)</f>
        <v>1</v>
      </c>
      <c r="V2229" s="34" t="e">
        <f>VLOOKUP(Allocation[[#This Row],[SAP Contract number]],Shipments[[SAP Contract number]:[Contracted container weight]],2,FALSE)</f>
        <v>#N/A</v>
      </c>
      <c r="W2229" s="34" t="e">
        <f>VLOOKUP(Allocation[[#This Row],[SAP Contract number]],Shipments[[SAP Contract number]:[AAA Premium USD]],24,FALSE)</f>
        <v>#N/A</v>
      </c>
      <c r="X2229" s="34" t="e">
        <f>VLOOKUP(Allocation[[#This Row],[SAP Contract number]],Shipments[[SAP Contract number]:[RA Premium USD]],25,FALSE)</f>
        <v>#N/A</v>
      </c>
      <c r="Y2229" s="38">
        <f>Allocation[[#This Row],[Quantity Processed]]/Allocation[[#This Row],[Quantity allocated]]</f>
        <v>3.0300546448087431</v>
      </c>
      <c r="Z2229" s="34" t="b">
        <f>Allocation[[#This Row],[Quantity allocated]]&lt;=Allocation[[#This Row],[Quantity Processed]]</f>
        <v>1</v>
      </c>
    </row>
    <row r="2230" spans="1:26">
      <c r="A2230" s="247" t="s">
        <v>467</v>
      </c>
      <c r="B2230" s="210" t="s">
        <v>68</v>
      </c>
      <c r="C2230" s="254" t="s">
        <v>1484</v>
      </c>
      <c r="D2230" s="255">
        <v>1115</v>
      </c>
      <c r="E2230" s="211" t="s">
        <v>1962</v>
      </c>
      <c r="F2230" s="212">
        <v>43651</v>
      </c>
      <c r="G2230" s="213">
        <v>2.6</v>
      </c>
      <c r="H2230" s="256">
        <v>368</v>
      </c>
      <c r="I2230" s="214">
        <v>1466007</v>
      </c>
      <c r="J2230" s="215">
        <v>20700</v>
      </c>
      <c r="K2230" s="212">
        <v>43665</v>
      </c>
      <c r="L2230" s="211" t="s">
        <v>1965</v>
      </c>
      <c r="M2230" s="216">
        <v>4615447218</v>
      </c>
      <c r="N2230" s="212"/>
      <c r="O2230" s="218"/>
      <c r="P2230" s="219"/>
      <c r="Q2230" s="34">
        <f>SUMIF(Allocation[Delivery ID],Allocation[[#This Row],[Delivery ID]],Allocation[Quantity Processed])</f>
        <v>8930</v>
      </c>
      <c r="R2230" s="61">
        <f>Allocation[[#This Row],[Total volume used]]/VLOOKUP(Allocation[[#This Row],[Delivery ID]],Delivery[[Delivery ID]:[Quantity delivered]],3,FALSE)</f>
        <v>1</v>
      </c>
      <c r="S2230" s="34">
        <f>Allocation[[#This Row],[Quantity Processed]]/Allocation[[#This Row],[Dilution rate]]</f>
        <v>428.84615384615381</v>
      </c>
      <c r="T2230" s="59">
        <f>SUMIF(Allocation[Delivery ID],Allocation[[#This Row],[Delivery ID]],Allocation[Quantity allocated])/SUMIF(Allocation[Delivery ID],Allocation[[#This Row],[Delivery ID]],Allocation[Volume available (kg)])</f>
        <v>0.88257623590041134</v>
      </c>
      <c r="U2230" s="61">
        <f>Allocation[[#This Row],[Total volume used]]/VLOOKUP(Allocation[[#This Row],[Delivery ID]],Delivery[[Delivery ID]:[Quantity delivered]],3,FALSE)</f>
        <v>1</v>
      </c>
      <c r="V2230" s="34" t="e">
        <f>VLOOKUP(Allocation[[#This Row],[SAP Contract number]],Shipments[[SAP Contract number]:[Contracted container weight]],2,FALSE)</f>
        <v>#N/A</v>
      </c>
      <c r="W2230" s="34" t="e">
        <f>VLOOKUP(Allocation[[#This Row],[SAP Contract number]],Shipments[[SAP Contract number]:[AAA Premium USD]],24,FALSE)</f>
        <v>#N/A</v>
      </c>
      <c r="X2230" s="34" t="e">
        <f>VLOOKUP(Allocation[[#This Row],[SAP Contract number]],Shipments[[SAP Contract number]:[RA Premium USD]],25,FALSE)</f>
        <v>#N/A</v>
      </c>
      <c r="Y2230" s="38">
        <f>Allocation[[#This Row],[Quantity Processed]]/Allocation[[#This Row],[Quantity allocated]]</f>
        <v>3.0298913043478262</v>
      </c>
      <c r="Z2230" s="34" t="b">
        <f>Allocation[[#This Row],[Quantity allocated]]&lt;=Allocation[[#This Row],[Quantity Processed]]</f>
        <v>1</v>
      </c>
    </row>
    <row r="2231" spans="1:26">
      <c r="A2231" s="247" t="s">
        <v>467</v>
      </c>
      <c r="B2231" s="210" t="s">
        <v>68</v>
      </c>
      <c r="C2231" s="254" t="s">
        <v>1485</v>
      </c>
      <c r="D2231" s="255">
        <v>1973</v>
      </c>
      <c r="E2231" s="211" t="s">
        <v>1962</v>
      </c>
      <c r="F2231" s="212">
        <v>43651</v>
      </c>
      <c r="G2231" s="213">
        <v>2.6</v>
      </c>
      <c r="H2231" s="256">
        <v>651</v>
      </c>
      <c r="I2231" s="214">
        <v>1466007</v>
      </c>
      <c r="J2231" s="215">
        <v>20700</v>
      </c>
      <c r="K2231" s="212">
        <v>43665</v>
      </c>
      <c r="L2231" s="211" t="s">
        <v>1965</v>
      </c>
      <c r="M2231" s="216">
        <v>4615447218</v>
      </c>
      <c r="N2231" s="212"/>
      <c r="O2231" s="218"/>
      <c r="P2231" s="219"/>
      <c r="Q2231" s="34">
        <f>SUMIF(Allocation[Delivery ID],Allocation[[#This Row],[Delivery ID]],Allocation[Quantity Processed])</f>
        <v>7870</v>
      </c>
      <c r="R2231" s="61">
        <f>Allocation[[#This Row],[Total volume used]]/VLOOKUP(Allocation[[#This Row],[Delivery ID]],Delivery[[Delivery ID]:[Quantity delivered]],3,FALSE)</f>
        <v>1</v>
      </c>
      <c r="S2231" s="34">
        <f>Allocation[[#This Row],[Quantity Processed]]/Allocation[[#This Row],[Dilution rate]]</f>
        <v>758.84615384615381</v>
      </c>
      <c r="T2231" s="59">
        <f>SUMIF(Allocation[Delivery ID],Allocation[[#This Row],[Delivery ID]],Allocation[Quantity allocated])/SUMIF(Allocation[Delivery ID],Allocation[[#This Row],[Delivery ID]],Allocation[Volume available (kg)])</f>
        <v>0.88245681121819231</v>
      </c>
      <c r="U2231" s="61">
        <f>Allocation[[#This Row],[Total volume used]]/VLOOKUP(Allocation[[#This Row],[Delivery ID]],Delivery[[Delivery ID]:[Quantity delivered]],3,FALSE)</f>
        <v>1</v>
      </c>
      <c r="V2231" s="34" t="e">
        <f>VLOOKUP(Allocation[[#This Row],[SAP Contract number]],Shipments[[SAP Contract number]:[Contracted container weight]],2,FALSE)</f>
        <v>#N/A</v>
      </c>
      <c r="W2231" s="34" t="e">
        <f>VLOOKUP(Allocation[[#This Row],[SAP Contract number]],Shipments[[SAP Contract number]:[AAA Premium USD]],24,FALSE)</f>
        <v>#N/A</v>
      </c>
      <c r="X2231" s="34" t="e">
        <f>VLOOKUP(Allocation[[#This Row],[SAP Contract number]],Shipments[[SAP Contract number]:[RA Premium USD]],25,FALSE)</f>
        <v>#N/A</v>
      </c>
      <c r="Y2231" s="38">
        <f>Allocation[[#This Row],[Quantity Processed]]/Allocation[[#This Row],[Quantity allocated]]</f>
        <v>3.0307219662058373</v>
      </c>
      <c r="Z2231" s="34" t="b">
        <f>Allocation[[#This Row],[Quantity allocated]]&lt;=Allocation[[#This Row],[Quantity Processed]]</f>
        <v>1</v>
      </c>
    </row>
    <row r="2232" spans="1:26">
      <c r="A2232" s="247" t="s">
        <v>467</v>
      </c>
      <c r="B2232" s="210" t="s">
        <v>68</v>
      </c>
      <c r="C2232" s="254" t="s">
        <v>1486</v>
      </c>
      <c r="D2232" s="255">
        <v>6912</v>
      </c>
      <c r="E2232" s="211" t="s">
        <v>1962</v>
      </c>
      <c r="F2232" s="212">
        <v>43651</v>
      </c>
      <c r="G2232" s="213">
        <v>2.6</v>
      </c>
      <c r="H2232" s="256">
        <v>2281</v>
      </c>
      <c r="I2232" s="214">
        <v>1466007</v>
      </c>
      <c r="J2232" s="215">
        <v>20700</v>
      </c>
      <c r="K2232" s="212">
        <v>43665</v>
      </c>
      <c r="L2232" s="211" t="s">
        <v>1965</v>
      </c>
      <c r="M2232" s="216">
        <v>4615447218</v>
      </c>
      <c r="N2232" s="212"/>
      <c r="O2232" s="218"/>
      <c r="P2232" s="219"/>
      <c r="Q2232" s="34">
        <f>SUMIF(Allocation[Delivery ID],Allocation[[#This Row],[Delivery ID]],Allocation[Quantity Processed])</f>
        <v>16360</v>
      </c>
      <c r="R2232" s="61">
        <f>Allocation[[#This Row],[Total volume used]]/VLOOKUP(Allocation[[#This Row],[Delivery ID]],Delivery[[Delivery ID]:[Quantity delivered]],3,FALSE)</f>
        <v>1</v>
      </c>
      <c r="S2232" s="34">
        <f>Allocation[[#This Row],[Quantity Processed]]/Allocation[[#This Row],[Dilution rate]]</f>
        <v>2658.4615384615386</v>
      </c>
      <c r="T2232" s="59">
        <f>SUMIF(Allocation[Delivery ID],Allocation[[#This Row],[Delivery ID]],Allocation[Quantity allocated])/SUMIF(Allocation[Delivery ID],Allocation[[#This Row],[Delivery ID]],Allocation[Volume available (kg)])</f>
        <v>0.87678544990191354</v>
      </c>
      <c r="U2232" s="61">
        <f>Allocation[[#This Row],[Total volume used]]/VLOOKUP(Allocation[[#This Row],[Delivery ID]],Delivery[[Delivery ID]:[Quantity delivered]],3,FALSE)</f>
        <v>1</v>
      </c>
      <c r="V2232" s="34" t="e">
        <f>VLOOKUP(Allocation[[#This Row],[SAP Contract number]],Shipments[[SAP Contract number]:[Contracted container weight]],2,FALSE)</f>
        <v>#N/A</v>
      </c>
      <c r="W2232" s="34" t="e">
        <f>VLOOKUP(Allocation[[#This Row],[SAP Contract number]],Shipments[[SAP Contract number]:[AAA Premium USD]],24,FALSE)</f>
        <v>#N/A</v>
      </c>
      <c r="X2232" s="34" t="e">
        <f>VLOOKUP(Allocation[[#This Row],[SAP Contract number]],Shipments[[SAP Contract number]:[RA Premium USD]],25,FALSE)</f>
        <v>#N/A</v>
      </c>
      <c r="Y2232" s="38">
        <f>Allocation[[#This Row],[Quantity Processed]]/Allocation[[#This Row],[Quantity allocated]]</f>
        <v>3.0302498903989479</v>
      </c>
      <c r="Z2232" s="34" t="b">
        <f>Allocation[[#This Row],[Quantity allocated]]&lt;=Allocation[[#This Row],[Quantity Processed]]</f>
        <v>1</v>
      </c>
    </row>
    <row r="2233" spans="1:26">
      <c r="A2233" s="247" t="s">
        <v>467</v>
      </c>
      <c r="B2233" s="210" t="s">
        <v>68</v>
      </c>
      <c r="C2233" s="254" t="s">
        <v>1487</v>
      </c>
      <c r="D2233" s="255">
        <v>6091</v>
      </c>
      <c r="E2233" s="211" t="s">
        <v>1962</v>
      </c>
      <c r="F2233" s="212">
        <v>43651</v>
      </c>
      <c r="G2233" s="213">
        <v>2.6</v>
      </c>
      <c r="H2233" s="256">
        <v>2010</v>
      </c>
      <c r="I2233" s="214">
        <v>1466007</v>
      </c>
      <c r="J2233" s="215">
        <v>20700</v>
      </c>
      <c r="K2233" s="212">
        <v>43665</v>
      </c>
      <c r="L2233" s="211" t="s">
        <v>1965</v>
      </c>
      <c r="M2233" s="216">
        <v>4615447218</v>
      </c>
      <c r="N2233" s="212"/>
      <c r="O2233" s="218"/>
      <c r="P2233" s="219"/>
      <c r="Q2233" s="34">
        <f>SUMIF(Allocation[Delivery ID],Allocation[[#This Row],[Delivery ID]],Allocation[Quantity Processed])</f>
        <v>13900</v>
      </c>
      <c r="R2233" s="61">
        <f>Allocation[[#This Row],[Total volume used]]/VLOOKUP(Allocation[[#This Row],[Delivery ID]],Delivery[[Delivery ID]:[Quantity delivered]],3,FALSE)</f>
        <v>1</v>
      </c>
      <c r="S2233" s="34">
        <f>Allocation[[#This Row],[Quantity Processed]]/Allocation[[#This Row],[Dilution rate]]</f>
        <v>2342.6923076923076</v>
      </c>
      <c r="T2233" s="59">
        <f>SUMIF(Allocation[Delivery ID],Allocation[[#This Row],[Delivery ID]],Allocation[Quantity allocated])/SUMIF(Allocation[Delivery ID],Allocation[[#This Row],[Delivery ID]],Allocation[Volume available (kg)])</f>
        <v>0.87623207098949374</v>
      </c>
      <c r="U2233" s="61">
        <f>Allocation[[#This Row],[Total volume used]]/VLOOKUP(Allocation[[#This Row],[Delivery ID]],Delivery[[Delivery ID]:[Quantity delivered]],3,FALSE)</f>
        <v>1</v>
      </c>
      <c r="V2233" s="34" t="e">
        <f>VLOOKUP(Allocation[[#This Row],[SAP Contract number]],Shipments[[SAP Contract number]:[Contracted container weight]],2,FALSE)</f>
        <v>#N/A</v>
      </c>
      <c r="W2233" s="34" t="e">
        <f>VLOOKUP(Allocation[[#This Row],[SAP Contract number]],Shipments[[SAP Contract number]:[AAA Premium USD]],24,FALSE)</f>
        <v>#N/A</v>
      </c>
      <c r="X2233" s="34" t="e">
        <f>VLOOKUP(Allocation[[#This Row],[SAP Contract number]],Shipments[[SAP Contract number]:[RA Premium USD]],25,FALSE)</f>
        <v>#N/A</v>
      </c>
      <c r="Y2233" s="38">
        <f>Allocation[[#This Row],[Quantity Processed]]/Allocation[[#This Row],[Quantity allocated]]</f>
        <v>3.0303482587064678</v>
      </c>
      <c r="Z2233" s="34" t="b">
        <f>Allocation[[#This Row],[Quantity allocated]]&lt;=Allocation[[#This Row],[Quantity Processed]]</f>
        <v>1</v>
      </c>
    </row>
    <row r="2234" spans="1:26">
      <c r="A2234" s="247" t="s">
        <v>467</v>
      </c>
      <c r="B2234" s="210" t="s">
        <v>68</v>
      </c>
      <c r="C2234" s="254" t="s">
        <v>1488</v>
      </c>
      <c r="D2234" s="255">
        <v>5064</v>
      </c>
      <c r="E2234" s="211" t="s">
        <v>1962</v>
      </c>
      <c r="F2234" s="212">
        <v>43651</v>
      </c>
      <c r="G2234" s="213">
        <v>2.6</v>
      </c>
      <c r="H2234" s="256">
        <v>1671</v>
      </c>
      <c r="I2234" s="214">
        <v>1466007</v>
      </c>
      <c r="J2234" s="215">
        <v>20700</v>
      </c>
      <c r="K2234" s="212">
        <v>43665</v>
      </c>
      <c r="L2234" s="211" t="s">
        <v>1965</v>
      </c>
      <c r="M2234" s="216">
        <v>4615447218</v>
      </c>
      <c r="N2234" s="212"/>
      <c r="O2234" s="218"/>
      <c r="P2234" s="219"/>
      <c r="Q2234" s="34">
        <f>SUMIF(Allocation[Delivery ID],Allocation[[#This Row],[Delivery ID]],Allocation[Quantity Processed])</f>
        <v>10930</v>
      </c>
      <c r="R2234" s="61">
        <f>Allocation[[#This Row],[Total volume used]]/VLOOKUP(Allocation[[#This Row],[Delivery ID]],Delivery[[Delivery ID]:[Quantity delivered]],3,FALSE)</f>
        <v>1</v>
      </c>
      <c r="S2234" s="34">
        <f>Allocation[[#This Row],[Quantity Processed]]/Allocation[[#This Row],[Dilution rate]]</f>
        <v>1947.6923076923076</v>
      </c>
      <c r="T2234" s="59">
        <f>SUMIF(Allocation[Delivery ID],Allocation[[#This Row],[Delivery ID]],Allocation[Quantity allocated])/SUMIF(Allocation[Delivery ID],Allocation[[#This Row],[Delivery ID]],Allocation[Volume available (kg)])</f>
        <v>0.87557825439364689</v>
      </c>
      <c r="U2234" s="61">
        <f>Allocation[[#This Row],[Total volume used]]/VLOOKUP(Allocation[[#This Row],[Delivery ID]],Delivery[[Delivery ID]:[Quantity delivered]],3,FALSE)</f>
        <v>1</v>
      </c>
      <c r="V2234" s="34" t="e">
        <f>VLOOKUP(Allocation[[#This Row],[SAP Contract number]],Shipments[[SAP Contract number]:[Contracted container weight]],2,FALSE)</f>
        <v>#N/A</v>
      </c>
      <c r="W2234" s="34" t="e">
        <f>VLOOKUP(Allocation[[#This Row],[SAP Contract number]],Shipments[[SAP Contract number]:[AAA Premium USD]],24,FALSE)</f>
        <v>#N/A</v>
      </c>
      <c r="X2234" s="34" t="e">
        <f>VLOOKUP(Allocation[[#This Row],[SAP Contract number]],Shipments[[SAP Contract number]:[RA Premium USD]],25,FALSE)</f>
        <v>#N/A</v>
      </c>
      <c r="Y2234" s="38">
        <f>Allocation[[#This Row],[Quantity Processed]]/Allocation[[#This Row],[Quantity allocated]]</f>
        <v>3.0305206463195691</v>
      </c>
      <c r="Z2234" s="34" t="b">
        <f>Allocation[[#This Row],[Quantity allocated]]&lt;=Allocation[[#This Row],[Quantity Processed]]</f>
        <v>1</v>
      </c>
    </row>
    <row r="2235" spans="1:26">
      <c r="A2235" s="247" t="s">
        <v>467</v>
      </c>
      <c r="B2235" s="210" t="s">
        <v>68</v>
      </c>
      <c r="C2235" s="254" t="s">
        <v>1489</v>
      </c>
      <c r="D2235" s="255">
        <v>4652</v>
      </c>
      <c r="E2235" s="211" t="s">
        <v>1962</v>
      </c>
      <c r="F2235" s="212">
        <v>43651</v>
      </c>
      <c r="G2235" s="213">
        <v>2.6</v>
      </c>
      <c r="H2235" s="256">
        <v>1535</v>
      </c>
      <c r="I2235" s="214">
        <v>1466007</v>
      </c>
      <c r="J2235" s="215">
        <v>20700</v>
      </c>
      <c r="K2235" s="212">
        <v>43665</v>
      </c>
      <c r="L2235" s="211" t="s">
        <v>1965</v>
      </c>
      <c r="M2235" s="216">
        <v>4615447218</v>
      </c>
      <c r="N2235" s="212"/>
      <c r="O2235" s="218"/>
      <c r="P2235" s="219"/>
      <c r="Q2235" s="34">
        <f>SUMIF(Allocation[Delivery ID],Allocation[[#This Row],[Delivery ID]],Allocation[Quantity Processed])</f>
        <v>10273</v>
      </c>
      <c r="R2235" s="61">
        <f>Allocation[[#This Row],[Total volume used]]/VLOOKUP(Allocation[[#This Row],[Delivery ID]],Delivery[[Delivery ID]:[Quantity delivered]],3,FALSE)</f>
        <v>0.82646822204344328</v>
      </c>
      <c r="S2235" s="34">
        <f>Allocation[[#This Row],[Quantity Processed]]/Allocation[[#This Row],[Dilution rate]]</f>
        <v>1789.2307692307693</v>
      </c>
      <c r="T2235" s="59">
        <f>SUMIF(Allocation[Delivery ID],Allocation[[#This Row],[Delivery ID]],Allocation[Quantity allocated])/SUMIF(Allocation[Delivery ID],Allocation[[#This Row],[Delivery ID]],Allocation[Volume available (kg)])</f>
        <v>0.87656526894882802</v>
      </c>
      <c r="U2235" s="61">
        <f>Allocation[[#This Row],[Total volume used]]/VLOOKUP(Allocation[[#This Row],[Delivery ID]],Delivery[[Delivery ID]:[Quantity delivered]],3,FALSE)</f>
        <v>0.82646822204344328</v>
      </c>
      <c r="V2235" s="34" t="e">
        <f>VLOOKUP(Allocation[[#This Row],[SAP Contract number]],Shipments[[SAP Contract number]:[Contracted container weight]],2,FALSE)</f>
        <v>#N/A</v>
      </c>
      <c r="W2235" s="34" t="e">
        <f>VLOOKUP(Allocation[[#This Row],[SAP Contract number]],Shipments[[SAP Contract number]:[AAA Premium USD]],24,FALSE)</f>
        <v>#N/A</v>
      </c>
      <c r="X2235" s="34" t="e">
        <f>VLOOKUP(Allocation[[#This Row],[SAP Contract number]],Shipments[[SAP Contract number]:[RA Premium USD]],25,FALSE)</f>
        <v>#N/A</v>
      </c>
      <c r="Y2235" s="38">
        <f>Allocation[[#This Row],[Quantity Processed]]/Allocation[[#This Row],[Quantity allocated]]</f>
        <v>3.0306188925081434</v>
      </c>
      <c r="Z2235" s="34" t="b">
        <f>Allocation[[#This Row],[Quantity allocated]]&lt;=Allocation[[#This Row],[Quantity Processed]]</f>
        <v>1</v>
      </c>
    </row>
    <row r="2236" spans="1:26">
      <c r="A2236" s="247" t="s">
        <v>467</v>
      </c>
      <c r="B2236" s="210" t="s">
        <v>68</v>
      </c>
      <c r="C2236" s="254" t="s">
        <v>1490</v>
      </c>
      <c r="D2236" s="255">
        <v>5264</v>
      </c>
      <c r="E2236" s="211" t="s">
        <v>1962</v>
      </c>
      <c r="F2236" s="212">
        <v>43651</v>
      </c>
      <c r="G2236" s="213">
        <v>2.6</v>
      </c>
      <c r="H2236" s="256">
        <v>1737</v>
      </c>
      <c r="I2236" s="214">
        <v>1466007</v>
      </c>
      <c r="J2236" s="215">
        <v>20700</v>
      </c>
      <c r="K2236" s="212">
        <v>43665</v>
      </c>
      <c r="L2236" s="211" t="s">
        <v>1965</v>
      </c>
      <c r="M2236" s="216">
        <v>4615447218</v>
      </c>
      <c r="N2236" s="212"/>
      <c r="O2236" s="218"/>
      <c r="P2236" s="219"/>
      <c r="Q2236" s="34">
        <f>SUMIF(Allocation[Delivery ID],Allocation[[#This Row],[Delivery ID]],Allocation[Quantity Processed])</f>
        <v>11588</v>
      </c>
      <c r="R2236" s="61">
        <f>Allocation[[#This Row],[Total volume used]]/VLOOKUP(Allocation[[#This Row],[Delivery ID]],Delivery[[Delivery ID]:[Quantity delivered]],3,FALSE)</f>
        <v>0.87193378480060191</v>
      </c>
      <c r="S2236" s="34">
        <f>Allocation[[#This Row],[Quantity Processed]]/Allocation[[#This Row],[Dilution rate]]</f>
        <v>2024.6153846153845</v>
      </c>
      <c r="T2236" s="59">
        <f>SUMIF(Allocation[Delivery ID],Allocation[[#This Row],[Delivery ID]],Allocation[Quantity allocated])/SUMIF(Allocation[Delivery ID],Allocation[[#This Row],[Delivery ID]],Allocation[Volume available (kg)])</f>
        <v>0.8763399236213063</v>
      </c>
      <c r="U2236" s="61">
        <f>Allocation[[#This Row],[Total volume used]]/VLOOKUP(Allocation[[#This Row],[Delivery ID]],Delivery[[Delivery ID]:[Quantity delivered]],3,FALSE)</f>
        <v>0.87193378480060191</v>
      </c>
      <c r="V2236" s="34" t="e">
        <f>VLOOKUP(Allocation[[#This Row],[SAP Contract number]],Shipments[[SAP Contract number]:[Contracted container weight]],2,FALSE)</f>
        <v>#N/A</v>
      </c>
      <c r="W2236" s="34" t="e">
        <f>VLOOKUP(Allocation[[#This Row],[SAP Contract number]],Shipments[[SAP Contract number]:[AAA Premium USD]],24,FALSE)</f>
        <v>#N/A</v>
      </c>
      <c r="X2236" s="34" t="e">
        <f>VLOOKUP(Allocation[[#This Row],[SAP Contract number]],Shipments[[SAP Contract number]:[RA Premium USD]],25,FALSE)</f>
        <v>#N/A</v>
      </c>
      <c r="Y2236" s="38">
        <f>Allocation[[#This Row],[Quantity Processed]]/Allocation[[#This Row],[Quantity allocated]]</f>
        <v>3.0305123776626366</v>
      </c>
      <c r="Z2236" s="34" t="b">
        <f>Allocation[[#This Row],[Quantity allocated]]&lt;=Allocation[[#This Row],[Quantity Processed]]</f>
        <v>1</v>
      </c>
    </row>
    <row r="2237" spans="1:26">
      <c r="A2237" s="247" t="s">
        <v>467</v>
      </c>
      <c r="B2237" s="210" t="s">
        <v>68</v>
      </c>
      <c r="C2237" s="254" t="s">
        <v>1491</v>
      </c>
      <c r="D2237" s="255">
        <v>4098</v>
      </c>
      <c r="E2237" s="211" t="s">
        <v>1962</v>
      </c>
      <c r="F2237" s="212">
        <v>43651</v>
      </c>
      <c r="G2237" s="213">
        <v>2.6</v>
      </c>
      <c r="H2237" s="256">
        <v>1352</v>
      </c>
      <c r="I2237" s="214">
        <v>1466007</v>
      </c>
      <c r="J2237" s="215">
        <v>20700</v>
      </c>
      <c r="K2237" s="212">
        <v>43665</v>
      </c>
      <c r="L2237" s="211" t="s">
        <v>1965</v>
      </c>
      <c r="M2237" s="216">
        <v>4615447218</v>
      </c>
      <c r="N2237" s="212"/>
      <c r="O2237" s="218"/>
      <c r="P2237" s="219"/>
      <c r="Q2237" s="34">
        <f>SUMIF(Allocation[Delivery ID],Allocation[[#This Row],[Delivery ID]],Allocation[Quantity Processed])</f>
        <v>9350</v>
      </c>
      <c r="R2237" s="61">
        <f>Allocation[[#This Row],[Total volume used]]/VLOOKUP(Allocation[[#This Row],[Delivery ID]],Delivery[[Delivery ID]:[Quantity delivered]],3,FALSE)</f>
        <v>1</v>
      </c>
      <c r="S2237" s="34">
        <f>Allocation[[#This Row],[Quantity Processed]]/Allocation[[#This Row],[Dilution rate]]</f>
        <v>1576.1538461538462</v>
      </c>
      <c r="T2237" s="59">
        <f>SUMIF(Allocation[Delivery ID],Allocation[[#This Row],[Delivery ID]],Allocation[Quantity allocated])/SUMIF(Allocation[Delivery ID],Allocation[[#This Row],[Delivery ID]],Allocation[Volume available (kg)])</f>
        <v>0.87608718517140116</v>
      </c>
      <c r="U2237" s="61">
        <f>Allocation[[#This Row],[Total volume used]]/VLOOKUP(Allocation[[#This Row],[Delivery ID]],Delivery[[Delivery ID]:[Quantity delivered]],3,FALSE)</f>
        <v>1</v>
      </c>
      <c r="V2237" s="34" t="e">
        <f>VLOOKUP(Allocation[[#This Row],[SAP Contract number]],Shipments[[SAP Contract number]:[Contracted container weight]],2,FALSE)</f>
        <v>#N/A</v>
      </c>
      <c r="W2237" s="34" t="e">
        <f>VLOOKUP(Allocation[[#This Row],[SAP Contract number]],Shipments[[SAP Contract number]:[AAA Premium USD]],24,FALSE)</f>
        <v>#N/A</v>
      </c>
      <c r="X2237" s="34" t="e">
        <f>VLOOKUP(Allocation[[#This Row],[SAP Contract number]],Shipments[[SAP Contract number]:[RA Premium USD]],25,FALSE)</f>
        <v>#N/A</v>
      </c>
      <c r="Y2237" s="38">
        <f>Allocation[[#This Row],[Quantity Processed]]/Allocation[[#This Row],[Quantity allocated]]</f>
        <v>3.0310650887573964</v>
      </c>
      <c r="Z2237" s="34" t="b">
        <f>Allocation[[#This Row],[Quantity allocated]]&lt;=Allocation[[#This Row],[Quantity Processed]]</f>
        <v>1</v>
      </c>
    </row>
    <row r="2238" spans="1:26">
      <c r="A2238" s="247" t="s">
        <v>467</v>
      </c>
      <c r="B2238" s="210" t="s">
        <v>68</v>
      </c>
      <c r="C2238" s="254" t="s">
        <v>1492</v>
      </c>
      <c r="D2238" s="255">
        <v>1680</v>
      </c>
      <c r="E2238" s="211" t="s">
        <v>1962</v>
      </c>
      <c r="F2238" s="212">
        <v>43651</v>
      </c>
      <c r="G2238" s="213">
        <v>2.6</v>
      </c>
      <c r="H2238" s="256">
        <v>504</v>
      </c>
      <c r="I2238" s="214">
        <v>1466007</v>
      </c>
      <c r="J2238" s="215">
        <v>20700</v>
      </c>
      <c r="K2238" s="212">
        <v>43665</v>
      </c>
      <c r="L2238" s="211" t="s">
        <v>1965</v>
      </c>
      <c r="M2238" s="216">
        <v>4615447218</v>
      </c>
      <c r="N2238" s="212"/>
      <c r="O2238" s="218"/>
      <c r="P2238" s="219"/>
      <c r="Q2238" s="34">
        <f>SUMIF(Allocation[Delivery ID],Allocation[[#This Row],[Delivery ID]],Allocation[Quantity Processed])</f>
        <v>9780</v>
      </c>
      <c r="R2238" s="61">
        <f>Allocation[[#This Row],[Total volume used]]/VLOOKUP(Allocation[[#This Row],[Delivery ID]],Delivery[[Delivery ID]:[Quantity delivered]],3,FALSE)</f>
        <v>1</v>
      </c>
      <c r="S2238" s="34">
        <f>Allocation[[#This Row],[Quantity Processed]]/Allocation[[#This Row],[Dilution rate]]</f>
        <v>646.15384615384608</v>
      </c>
      <c r="T2238" s="59">
        <f>SUMIF(Allocation[Delivery ID],Allocation[[#This Row],[Delivery ID]],Allocation[Quantity allocated])/SUMIF(Allocation[Delivery ID],Allocation[[#This Row],[Delivery ID]],Allocation[Volume available (kg)])</f>
        <v>0.80468354430379752</v>
      </c>
      <c r="U2238" s="61">
        <f>Allocation[[#This Row],[Total volume used]]/VLOOKUP(Allocation[[#This Row],[Delivery ID]],Delivery[[Delivery ID]:[Quantity delivered]],3,FALSE)</f>
        <v>1</v>
      </c>
      <c r="V2238" s="34" t="e">
        <f>VLOOKUP(Allocation[[#This Row],[SAP Contract number]],Shipments[[SAP Contract number]:[Contracted container weight]],2,FALSE)</f>
        <v>#N/A</v>
      </c>
      <c r="W2238" s="34" t="e">
        <f>VLOOKUP(Allocation[[#This Row],[SAP Contract number]],Shipments[[SAP Contract number]:[AAA Premium USD]],24,FALSE)</f>
        <v>#N/A</v>
      </c>
      <c r="X2238" s="34" t="e">
        <f>VLOOKUP(Allocation[[#This Row],[SAP Contract number]],Shipments[[SAP Contract number]:[RA Premium USD]],25,FALSE)</f>
        <v>#N/A</v>
      </c>
      <c r="Y2238" s="38">
        <f>Allocation[[#This Row],[Quantity Processed]]/Allocation[[#This Row],[Quantity allocated]]</f>
        <v>3.3333333333333335</v>
      </c>
      <c r="Z2238" s="34" t="b">
        <f>Allocation[[#This Row],[Quantity allocated]]&lt;=Allocation[[#This Row],[Quantity Processed]]</f>
        <v>1</v>
      </c>
    </row>
    <row r="2239" spans="1:26">
      <c r="A2239" s="247" t="s">
        <v>467</v>
      </c>
      <c r="B2239" s="210" t="s">
        <v>68</v>
      </c>
      <c r="C2239" s="254" t="s">
        <v>1493</v>
      </c>
      <c r="D2239" s="255">
        <v>2230</v>
      </c>
      <c r="E2239" s="211" t="s">
        <v>1962</v>
      </c>
      <c r="F2239" s="212">
        <v>43651</v>
      </c>
      <c r="G2239" s="213">
        <v>2.6</v>
      </c>
      <c r="H2239" s="256">
        <v>669</v>
      </c>
      <c r="I2239" s="214">
        <v>1466007</v>
      </c>
      <c r="J2239" s="215">
        <v>20700</v>
      </c>
      <c r="K2239" s="212">
        <v>43665</v>
      </c>
      <c r="L2239" s="211" t="s">
        <v>1965</v>
      </c>
      <c r="M2239" s="216">
        <v>4615447218</v>
      </c>
      <c r="N2239" s="212"/>
      <c r="O2239" s="218"/>
      <c r="P2239" s="219"/>
      <c r="Q2239" s="34">
        <f>SUMIF(Allocation[Delivery ID],Allocation[[#This Row],[Delivery ID]],Allocation[Quantity Processed])</f>
        <v>13110</v>
      </c>
      <c r="R2239" s="61">
        <f>Allocation[[#This Row],[Total volume used]]/VLOOKUP(Allocation[[#This Row],[Delivery ID]],Delivery[[Delivery ID]:[Quantity delivered]],3,FALSE)</f>
        <v>1</v>
      </c>
      <c r="S2239" s="34">
        <f>Allocation[[#This Row],[Quantity Processed]]/Allocation[[#This Row],[Dilution rate]]</f>
        <v>857.69230769230762</v>
      </c>
      <c r="T2239" s="59">
        <f>SUMIF(Allocation[Delivery ID],Allocation[[#This Row],[Delivery ID]],Allocation[Quantity allocated])/SUMIF(Allocation[Delivery ID],Allocation[[#This Row],[Delivery ID]],Allocation[Volume available (kg)])</f>
        <v>0.80473520067620741</v>
      </c>
      <c r="U2239" s="61">
        <f>Allocation[[#This Row],[Total volume used]]/VLOOKUP(Allocation[[#This Row],[Delivery ID]],Delivery[[Delivery ID]:[Quantity delivered]],3,FALSE)</f>
        <v>1</v>
      </c>
      <c r="V2239" s="34" t="e">
        <f>VLOOKUP(Allocation[[#This Row],[SAP Contract number]],Shipments[[SAP Contract number]:[Contracted container weight]],2,FALSE)</f>
        <v>#N/A</v>
      </c>
      <c r="W2239" s="34" t="e">
        <f>VLOOKUP(Allocation[[#This Row],[SAP Contract number]],Shipments[[SAP Contract number]:[AAA Premium USD]],24,FALSE)</f>
        <v>#N/A</v>
      </c>
      <c r="X2239" s="34" t="e">
        <f>VLOOKUP(Allocation[[#This Row],[SAP Contract number]],Shipments[[SAP Contract number]:[RA Premium USD]],25,FALSE)</f>
        <v>#N/A</v>
      </c>
      <c r="Y2239" s="38">
        <f>Allocation[[#This Row],[Quantity Processed]]/Allocation[[#This Row],[Quantity allocated]]</f>
        <v>3.3333333333333335</v>
      </c>
      <c r="Z2239" s="34" t="b">
        <f>Allocation[[#This Row],[Quantity allocated]]&lt;=Allocation[[#This Row],[Quantity Processed]]</f>
        <v>1</v>
      </c>
    </row>
    <row r="2240" spans="1:26">
      <c r="A2240" s="247" t="s">
        <v>467</v>
      </c>
      <c r="B2240" s="210" t="s">
        <v>68</v>
      </c>
      <c r="C2240" s="254" t="s">
        <v>1494</v>
      </c>
      <c r="D2240" s="255">
        <v>2610</v>
      </c>
      <c r="E2240" s="211" t="s">
        <v>1962</v>
      </c>
      <c r="F2240" s="212">
        <v>43651</v>
      </c>
      <c r="G2240" s="213">
        <v>2.6</v>
      </c>
      <c r="H2240" s="256">
        <v>783</v>
      </c>
      <c r="I2240" s="214">
        <v>1466007</v>
      </c>
      <c r="J2240" s="215">
        <v>20700</v>
      </c>
      <c r="K2240" s="212">
        <v>43665</v>
      </c>
      <c r="L2240" s="211" t="s">
        <v>1965</v>
      </c>
      <c r="M2240" s="216">
        <v>4615447218</v>
      </c>
      <c r="N2240" s="212"/>
      <c r="O2240" s="218"/>
      <c r="P2240" s="219"/>
      <c r="Q2240" s="34">
        <f>SUMIF(Allocation[Delivery ID],Allocation[[#This Row],[Delivery ID]],Allocation[Quantity Processed])</f>
        <v>15180</v>
      </c>
      <c r="R2240" s="61">
        <f>Allocation[[#This Row],[Total volume used]]/VLOOKUP(Allocation[[#This Row],[Delivery ID]],Delivery[[Delivery ID]:[Quantity delivered]],3,FALSE)</f>
        <v>1</v>
      </c>
      <c r="S2240" s="34">
        <f>Allocation[[#This Row],[Quantity Processed]]/Allocation[[#This Row],[Dilution rate]]</f>
        <v>1003.8461538461538</v>
      </c>
      <c r="T2240" s="59">
        <f>SUMIF(Allocation[Delivery ID],Allocation[[#This Row],[Delivery ID]],Allocation[Quantity allocated])/SUMIF(Allocation[Delivery ID],Allocation[[#This Row],[Delivery ID]],Allocation[Volume available (kg)])</f>
        <v>0.80467869818017068</v>
      </c>
      <c r="U2240" s="61">
        <f>Allocation[[#This Row],[Total volume used]]/VLOOKUP(Allocation[[#This Row],[Delivery ID]],Delivery[[Delivery ID]:[Quantity delivered]],3,FALSE)</f>
        <v>1</v>
      </c>
      <c r="V2240" s="34" t="e">
        <f>VLOOKUP(Allocation[[#This Row],[SAP Contract number]],Shipments[[SAP Contract number]:[Contracted container weight]],2,FALSE)</f>
        <v>#N/A</v>
      </c>
      <c r="W2240" s="34" t="e">
        <f>VLOOKUP(Allocation[[#This Row],[SAP Contract number]],Shipments[[SAP Contract number]:[AAA Premium USD]],24,FALSE)</f>
        <v>#N/A</v>
      </c>
      <c r="X2240" s="34" t="e">
        <f>VLOOKUP(Allocation[[#This Row],[SAP Contract number]],Shipments[[SAP Contract number]:[RA Premium USD]],25,FALSE)</f>
        <v>#N/A</v>
      </c>
      <c r="Y2240" s="38">
        <f>Allocation[[#This Row],[Quantity Processed]]/Allocation[[#This Row],[Quantity allocated]]</f>
        <v>3.3333333333333335</v>
      </c>
      <c r="Z2240" s="34" t="b">
        <f>Allocation[[#This Row],[Quantity allocated]]&lt;=Allocation[[#This Row],[Quantity Processed]]</f>
        <v>1</v>
      </c>
    </row>
    <row r="2241" spans="1:26">
      <c r="A2241" s="247" t="s">
        <v>467</v>
      </c>
      <c r="B2241" s="210" t="s">
        <v>68</v>
      </c>
      <c r="C2241" s="254" t="s">
        <v>1495</v>
      </c>
      <c r="D2241" s="255">
        <v>2633</v>
      </c>
      <c r="E2241" s="211" t="s">
        <v>1962</v>
      </c>
      <c r="F2241" s="212">
        <v>43651</v>
      </c>
      <c r="G2241" s="213">
        <v>2.6</v>
      </c>
      <c r="H2241" s="256">
        <v>790</v>
      </c>
      <c r="I2241" s="214">
        <v>1466007</v>
      </c>
      <c r="J2241" s="215">
        <v>20700</v>
      </c>
      <c r="K2241" s="212">
        <v>43665</v>
      </c>
      <c r="L2241" s="211" t="s">
        <v>1965</v>
      </c>
      <c r="M2241" s="216">
        <v>4615447218</v>
      </c>
      <c r="N2241" s="212"/>
      <c r="O2241" s="218"/>
      <c r="P2241" s="219"/>
      <c r="Q2241" s="34">
        <f>SUMIF(Allocation[Delivery ID],Allocation[[#This Row],[Delivery ID]],Allocation[Quantity Processed])</f>
        <v>15300</v>
      </c>
      <c r="R2241" s="61">
        <f>Allocation[[#This Row],[Total volume used]]/VLOOKUP(Allocation[[#This Row],[Delivery ID]],Delivery[[Delivery ID]:[Quantity delivered]],3,FALSE)</f>
        <v>1</v>
      </c>
      <c r="S2241" s="34">
        <f>Allocation[[#This Row],[Quantity Processed]]/Allocation[[#This Row],[Dilution rate]]</f>
        <v>1012.6923076923076</v>
      </c>
      <c r="T2241" s="59">
        <f>SUMIF(Allocation[Delivery ID],Allocation[[#This Row],[Delivery ID]],Allocation[Quantity allocated])/SUMIF(Allocation[Delivery ID],Allocation[[#This Row],[Delivery ID]],Allocation[Volume available (kg)])</f>
        <v>0.80467394045945273</v>
      </c>
      <c r="U2241" s="61">
        <f>Allocation[[#This Row],[Total volume used]]/VLOOKUP(Allocation[[#This Row],[Delivery ID]],Delivery[[Delivery ID]:[Quantity delivered]],3,FALSE)</f>
        <v>1</v>
      </c>
      <c r="V2241" s="34" t="e">
        <f>VLOOKUP(Allocation[[#This Row],[SAP Contract number]],Shipments[[SAP Contract number]:[Contracted container weight]],2,FALSE)</f>
        <v>#N/A</v>
      </c>
      <c r="W2241" s="34" t="e">
        <f>VLOOKUP(Allocation[[#This Row],[SAP Contract number]],Shipments[[SAP Contract number]:[AAA Premium USD]],24,FALSE)</f>
        <v>#N/A</v>
      </c>
      <c r="X2241" s="34" t="e">
        <f>VLOOKUP(Allocation[[#This Row],[SAP Contract number]],Shipments[[SAP Contract number]:[RA Premium USD]],25,FALSE)</f>
        <v>#N/A</v>
      </c>
      <c r="Y2241" s="38">
        <f>Allocation[[#This Row],[Quantity Processed]]/Allocation[[#This Row],[Quantity allocated]]</f>
        <v>3.3329113924050633</v>
      </c>
      <c r="Z2241" s="34" t="b">
        <f>Allocation[[#This Row],[Quantity allocated]]&lt;=Allocation[[#This Row],[Quantity Processed]]</f>
        <v>1</v>
      </c>
    </row>
    <row r="2242" spans="1:26">
      <c r="A2242" s="247" t="s">
        <v>467</v>
      </c>
      <c r="B2242" s="210" t="s">
        <v>68</v>
      </c>
      <c r="C2242" s="254" t="s">
        <v>1496</v>
      </c>
      <c r="D2242" s="255">
        <v>2670</v>
      </c>
      <c r="E2242" s="211" t="s">
        <v>1962</v>
      </c>
      <c r="F2242" s="212">
        <v>43651</v>
      </c>
      <c r="G2242" s="213">
        <v>2.6</v>
      </c>
      <c r="H2242" s="256">
        <v>801</v>
      </c>
      <c r="I2242" s="214">
        <v>1466007</v>
      </c>
      <c r="J2242" s="215">
        <v>20700</v>
      </c>
      <c r="K2242" s="212">
        <v>43665</v>
      </c>
      <c r="L2242" s="211" t="s">
        <v>1965</v>
      </c>
      <c r="M2242" s="216">
        <v>4615447218</v>
      </c>
      <c r="N2242" s="212"/>
      <c r="O2242" s="218"/>
      <c r="P2242" s="219"/>
      <c r="Q2242" s="34">
        <f>SUMIF(Allocation[Delivery ID],Allocation[[#This Row],[Delivery ID]],Allocation[Quantity Processed])</f>
        <v>15580</v>
      </c>
      <c r="R2242" s="61">
        <f>Allocation[[#This Row],[Total volume used]]/VLOOKUP(Allocation[[#This Row],[Delivery ID]],Delivery[[Delivery ID]:[Quantity delivered]],3,FALSE)</f>
        <v>1</v>
      </c>
      <c r="S2242" s="34">
        <f>Allocation[[#This Row],[Quantity Processed]]/Allocation[[#This Row],[Dilution rate]]</f>
        <v>1026.9230769230769</v>
      </c>
      <c r="T2242" s="59">
        <f>SUMIF(Allocation[Delivery ID],Allocation[[#This Row],[Delivery ID]],Allocation[Quantity allocated])/SUMIF(Allocation[Delivery ID],Allocation[[#This Row],[Delivery ID]],Allocation[Volume available (kg)])</f>
        <v>0.80469601471489882</v>
      </c>
      <c r="U2242" s="61">
        <f>Allocation[[#This Row],[Total volume used]]/VLOOKUP(Allocation[[#This Row],[Delivery ID]],Delivery[[Delivery ID]:[Quantity delivered]],3,FALSE)</f>
        <v>1</v>
      </c>
      <c r="V2242" s="34" t="e">
        <f>VLOOKUP(Allocation[[#This Row],[SAP Contract number]],Shipments[[SAP Contract number]:[Contracted container weight]],2,FALSE)</f>
        <v>#N/A</v>
      </c>
      <c r="W2242" s="34" t="e">
        <f>VLOOKUP(Allocation[[#This Row],[SAP Contract number]],Shipments[[SAP Contract number]:[AAA Premium USD]],24,FALSE)</f>
        <v>#N/A</v>
      </c>
      <c r="X2242" s="34" t="e">
        <f>VLOOKUP(Allocation[[#This Row],[SAP Contract number]],Shipments[[SAP Contract number]:[RA Premium USD]],25,FALSE)</f>
        <v>#N/A</v>
      </c>
      <c r="Y2242" s="38">
        <f>Allocation[[#This Row],[Quantity Processed]]/Allocation[[#This Row],[Quantity allocated]]</f>
        <v>3.3333333333333335</v>
      </c>
      <c r="Z2242" s="34" t="b">
        <f>Allocation[[#This Row],[Quantity allocated]]&lt;=Allocation[[#This Row],[Quantity Processed]]</f>
        <v>1</v>
      </c>
    </row>
    <row r="2243" spans="1:26">
      <c r="A2243" s="247" t="s">
        <v>467</v>
      </c>
      <c r="B2243" s="210" t="s">
        <v>68</v>
      </c>
      <c r="C2243" s="254" t="s">
        <v>1497</v>
      </c>
      <c r="D2243" s="255">
        <v>2320</v>
      </c>
      <c r="E2243" s="211" t="s">
        <v>1962</v>
      </c>
      <c r="F2243" s="212">
        <v>43651</v>
      </c>
      <c r="G2243" s="213">
        <v>2.6</v>
      </c>
      <c r="H2243" s="256">
        <v>696</v>
      </c>
      <c r="I2243" s="214">
        <v>1466007</v>
      </c>
      <c r="J2243" s="215">
        <v>20700</v>
      </c>
      <c r="K2243" s="212">
        <v>43665</v>
      </c>
      <c r="L2243" s="211" t="s">
        <v>1965</v>
      </c>
      <c r="M2243" s="216">
        <v>4615447218</v>
      </c>
      <c r="N2243" s="212"/>
      <c r="O2243" s="218"/>
      <c r="P2243" s="219"/>
      <c r="Q2243" s="34">
        <f>SUMIF(Allocation[Delivery ID],Allocation[[#This Row],[Delivery ID]],Allocation[Quantity Processed])</f>
        <v>13490</v>
      </c>
      <c r="R2243" s="61">
        <f>Allocation[[#This Row],[Total volume used]]/VLOOKUP(Allocation[[#This Row],[Delivery ID]],Delivery[[Delivery ID]:[Quantity delivered]],3,FALSE)</f>
        <v>1</v>
      </c>
      <c r="S2243" s="34">
        <f>Allocation[[#This Row],[Quantity Processed]]/Allocation[[#This Row],[Dilution rate]]</f>
        <v>892.30769230769226</v>
      </c>
      <c r="T2243" s="59">
        <f>SUMIF(Allocation[Delivery ID],Allocation[[#This Row],[Delivery ID]],Allocation[Quantity allocated])/SUMIF(Allocation[Delivery ID],Allocation[[#This Row],[Delivery ID]],Allocation[Volume available (kg)])</f>
        <v>0.80467739194471199</v>
      </c>
      <c r="U2243" s="61">
        <f>Allocation[[#This Row],[Total volume used]]/VLOOKUP(Allocation[[#This Row],[Delivery ID]],Delivery[[Delivery ID]:[Quantity delivered]],3,FALSE)</f>
        <v>1</v>
      </c>
      <c r="V2243" s="34" t="e">
        <f>VLOOKUP(Allocation[[#This Row],[SAP Contract number]],Shipments[[SAP Contract number]:[Contracted container weight]],2,FALSE)</f>
        <v>#N/A</v>
      </c>
      <c r="W2243" s="34" t="e">
        <f>VLOOKUP(Allocation[[#This Row],[SAP Contract number]],Shipments[[SAP Contract number]:[AAA Premium USD]],24,FALSE)</f>
        <v>#N/A</v>
      </c>
      <c r="X2243" s="34" t="e">
        <f>VLOOKUP(Allocation[[#This Row],[SAP Contract number]],Shipments[[SAP Contract number]:[RA Premium USD]],25,FALSE)</f>
        <v>#N/A</v>
      </c>
      <c r="Y2243" s="38">
        <f>Allocation[[#This Row],[Quantity Processed]]/Allocation[[#This Row],[Quantity allocated]]</f>
        <v>3.3333333333333335</v>
      </c>
      <c r="Z2243" s="34" t="b">
        <f>Allocation[[#This Row],[Quantity allocated]]&lt;=Allocation[[#This Row],[Quantity Processed]]</f>
        <v>1</v>
      </c>
    </row>
    <row r="2244" spans="1:26">
      <c r="A2244" s="247" t="s">
        <v>467</v>
      </c>
      <c r="B2244" s="210" t="s">
        <v>68</v>
      </c>
      <c r="C2244" s="254" t="s">
        <v>1498</v>
      </c>
      <c r="D2244" s="255">
        <v>2397</v>
      </c>
      <c r="E2244" s="211" t="s">
        <v>1962</v>
      </c>
      <c r="F2244" s="212">
        <v>43651</v>
      </c>
      <c r="G2244" s="213">
        <v>2.6</v>
      </c>
      <c r="H2244" s="256">
        <v>720</v>
      </c>
      <c r="I2244" s="214">
        <v>1466007</v>
      </c>
      <c r="J2244" s="215">
        <v>20700</v>
      </c>
      <c r="K2244" s="212">
        <v>43665</v>
      </c>
      <c r="L2244" s="211" t="s">
        <v>1965</v>
      </c>
      <c r="M2244" s="216">
        <v>4615447218</v>
      </c>
      <c r="N2244" s="212"/>
      <c r="O2244" s="218"/>
      <c r="P2244" s="219"/>
      <c r="Q2244" s="34">
        <f>SUMIF(Allocation[Delivery ID],Allocation[[#This Row],[Delivery ID]],Allocation[Quantity Processed])</f>
        <v>13810</v>
      </c>
      <c r="R2244" s="61">
        <f>Allocation[[#This Row],[Total volume used]]/VLOOKUP(Allocation[[#This Row],[Delivery ID]],Delivery[[Delivery ID]:[Quantity delivered]],3,FALSE)</f>
        <v>1</v>
      </c>
      <c r="S2244" s="34">
        <f>Allocation[[#This Row],[Quantity Processed]]/Allocation[[#This Row],[Dilution rate]]</f>
        <v>921.92307692307691</v>
      </c>
      <c r="T2244" s="59">
        <f>SUMIF(Allocation[Delivery ID],Allocation[[#This Row],[Delivery ID]],Allocation[Quantity allocated])/SUMIF(Allocation[Delivery ID],Allocation[[#This Row],[Delivery ID]],Allocation[Volume available (kg)])</f>
        <v>0.80482270366876285</v>
      </c>
      <c r="U2244" s="61">
        <f>Allocation[[#This Row],[Total volume used]]/VLOOKUP(Allocation[[#This Row],[Delivery ID]],Delivery[[Delivery ID]:[Quantity delivered]],3,FALSE)</f>
        <v>1</v>
      </c>
      <c r="V2244" s="34" t="e">
        <f>VLOOKUP(Allocation[[#This Row],[SAP Contract number]],Shipments[[SAP Contract number]:[Contracted container weight]],2,FALSE)</f>
        <v>#N/A</v>
      </c>
      <c r="W2244" s="34" t="e">
        <f>VLOOKUP(Allocation[[#This Row],[SAP Contract number]],Shipments[[SAP Contract number]:[AAA Premium USD]],24,FALSE)</f>
        <v>#N/A</v>
      </c>
      <c r="X2244" s="34" t="e">
        <f>VLOOKUP(Allocation[[#This Row],[SAP Contract number]],Shipments[[SAP Contract number]:[RA Premium USD]],25,FALSE)</f>
        <v>#N/A</v>
      </c>
      <c r="Y2244" s="38">
        <f>Allocation[[#This Row],[Quantity Processed]]/Allocation[[#This Row],[Quantity allocated]]</f>
        <v>3.3291666666666666</v>
      </c>
      <c r="Z2244" s="34" t="b">
        <f>Allocation[[#This Row],[Quantity allocated]]&lt;=Allocation[[#This Row],[Quantity Processed]]</f>
        <v>1</v>
      </c>
    </row>
    <row r="2245" spans="1:26">
      <c r="A2245" s="247" t="s">
        <v>467</v>
      </c>
      <c r="B2245" s="210" t="s">
        <v>68</v>
      </c>
      <c r="C2245" s="254" t="s">
        <v>1499</v>
      </c>
      <c r="D2245" s="255">
        <v>2293</v>
      </c>
      <c r="E2245" s="211" t="s">
        <v>1962</v>
      </c>
      <c r="F2245" s="212">
        <v>43651</v>
      </c>
      <c r="G2245" s="213">
        <v>2.6</v>
      </c>
      <c r="H2245" s="256">
        <v>688</v>
      </c>
      <c r="I2245" s="214">
        <v>1466007</v>
      </c>
      <c r="J2245" s="215">
        <v>20700</v>
      </c>
      <c r="K2245" s="212">
        <v>43665</v>
      </c>
      <c r="L2245" s="211" t="s">
        <v>1965</v>
      </c>
      <c r="M2245" s="216">
        <v>4615447218</v>
      </c>
      <c r="N2245" s="212"/>
      <c r="O2245" s="218"/>
      <c r="P2245" s="219"/>
      <c r="Q2245" s="34">
        <f>SUMIF(Allocation[Delivery ID],Allocation[[#This Row],[Delivery ID]],Allocation[Quantity Processed])</f>
        <v>13100</v>
      </c>
      <c r="R2245" s="61">
        <f>Allocation[[#This Row],[Total volume used]]/VLOOKUP(Allocation[[#This Row],[Delivery ID]],Delivery[[Delivery ID]:[Quantity delivered]],3,FALSE)</f>
        <v>1</v>
      </c>
      <c r="S2245" s="34">
        <f>Allocation[[#This Row],[Quantity Processed]]/Allocation[[#This Row],[Dilution rate]]</f>
        <v>881.92307692307691</v>
      </c>
      <c r="T2245" s="59">
        <f>SUMIF(Allocation[Delivery ID],Allocation[[#This Row],[Delivery ID]],Allocation[Quantity allocated])/SUMIF(Allocation[Delivery ID],Allocation[[#This Row],[Delivery ID]],Allocation[Volume available (kg)])</f>
        <v>0.8045833539908952</v>
      </c>
      <c r="U2245" s="61">
        <f>Allocation[[#This Row],[Total volume used]]/VLOOKUP(Allocation[[#This Row],[Delivery ID]],Delivery[[Delivery ID]:[Quantity delivered]],3,FALSE)</f>
        <v>1</v>
      </c>
      <c r="V2245" s="34" t="e">
        <f>VLOOKUP(Allocation[[#This Row],[SAP Contract number]],Shipments[[SAP Contract number]:[Contracted container weight]],2,FALSE)</f>
        <v>#N/A</v>
      </c>
      <c r="W2245" s="34" t="e">
        <f>VLOOKUP(Allocation[[#This Row],[SAP Contract number]],Shipments[[SAP Contract number]:[AAA Premium USD]],24,FALSE)</f>
        <v>#N/A</v>
      </c>
      <c r="X2245" s="34" t="e">
        <f>VLOOKUP(Allocation[[#This Row],[SAP Contract number]],Shipments[[SAP Contract number]:[RA Premium USD]],25,FALSE)</f>
        <v>#N/A</v>
      </c>
      <c r="Y2245" s="38">
        <f>Allocation[[#This Row],[Quantity Processed]]/Allocation[[#This Row],[Quantity allocated]]</f>
        <v>3.3328488372093021</v>
      </c>
      <c r="Z2245" s="34" t="b">
        <f>Allocation[[#This Row],[Quantity allocated]]&lt;=Allocation[[#This Row],[Quantity Processed]]</f>
        <v>1</v>
      </c>
    </row>
    <row r="2246" spans="1:26">
      <c r="A2246" s="247" t="s">
        <v>467</v>
      </c>
      <c r="B2246" s="210" t="s">
        <v>68</v>
      </c>
      <c r="C2246" s="254" t="s">
        <v>1500</v>
      </c>
      <c r="D2246" s="255">
        <v>1920</v>
      </c>
      <c r="E2246" s="211" t="s">
        <v>1962</v>
      </c>
      <c r="F2246" s="212">
        <v>43651</v>
      </c>
      <c r="G2246" s="213">
        <v>2.6</v>
      </c>
      <c r="H2246" s="256">
        <v>576</v>
      </c>
      <c r="I2246" s="214">
        <v>1466007</v>
      </c>
      <c r="J2246" s="215">
        <v>20700</v>
      </c>
      <c r="K2246" s="212">
        <v>43665</v>
      </c>
      <c r="L2246" s="211" t="s">
        <v>1965</v>
      </c>
      <c r="M2246" s="216">
        <v>4615447218</v>
      </c>
      <c r="N2246" s="212"/>
      <c r="O2246" s="218"/>
      <c r="P2246" s="219"/>
      <c r="Q2246" s="34">
        <f>SUMIF(Allocation[Delivery ID],Allocation[[#This Row],[Delivery ID]],Allocation[Quantity Processed])</f>
        <v>11190</v>
      </c>
      <c r="R2246" s="61">
        <f>Allocation[[#This Row],[Total volume used]]/VLOOKUP(Allocation[[#This Row],[Delivery ID]],Delivery[[Delivery ID]:[Quantity delivered]],3,FALSE)</f>
        <v>1</v>
      </c>
      <c r="S2246" s="34">
        <f>Allocation[[#This Row],[Quantity Processed]]/Allocation[[#This Row],[Dilution rate]]</f>
        <v>738.46153846153845</v>
      </c>
      <c r="T2246" s="59">
        <f>SUMIF(Allocation[Delivery ID],Allocation[[#This Row],[Delivery ID]],Allocation[Quantity allocated])/SUMIF(Allocation[Delivery ID],Allocation[[#This Row],[Delivery ID]],Allocation[Volume available (kg)])</f>
        <v>0.80468961278426565</v>
      </c>
      <c r="U2246" s="61">
        <f>Allocation[[#This Row],[Total volume used]]/VLOOKUP(Allocation[[#This Row],[Delivery ID]],Delivery[[Delivery ID]:[Quantity delivered]],3,FALSE)</f>
        <v>1</v>
      </c>
      <c r="V2246" s="34" t="e">
        <f>VLOOKUP(Allocation[[#This Row],[SAP Contract number]],Shipments[[SAP Contract number]:[Contracted container weight]],2,FALSE)</f>
        <v>#N/A</v>
      </c>
      <c r="W2246" s="34" t="e">
        <f>VLOOKUP(Allocation[[#This Row],[SAP Contract number]],Shipments[[SAP Contract number]:[AAA Premium USD]],24,FALSE)</f>
        <v>#N/A</v>
      </c>
      <c r="X2246" s="34" t="e">
        <f>VLOOKUP(Allocation[[#This Row],[SAP Contract number]],Shipments[[SAP Contract number]:[RA Premium USD]],25,FALSE)</f>
        <v>#N/A</v>
      </c>
      <c r="Y2246" s="38">
        <f>Allocation[[#This Row],[Quantity Processed]]/Allocation[[#This Row],[Quantity allocated]]</f>
        <v>3.3333333333333335</v>
      </c>
      <c r="Z2246" s="34" t="b">
        <f>Allocation[[#This Row],[Quantity allocated]]&lt;=Allocation[[#This Row],[Quantity Processed]]</f>
        <v>1</v>
      </c>
    </row>
    <row r="2247" spans="1:26">
      <c r="A2247" s="247" t="s">
        <v>467</v>
      </c>
      <c r="B2247" s="210" t="s">
        <v>68</v>
      </c>
      <c r="C2247" s="254" t="s">
        <v>1844</v>
      </c>
      <c r="D2247" s="255">
        <v>1513</v>
      </c>
      <c r="E2247" s="211" t="s">
        <v>1962</v>
      </c>
      <c r="F2247" s="212">
        <v>43651</v>
      </c>
      <c r="G2247" s="213">
        <v>2.6</v>
      </c>
      <c r="H2247" s="256">
        <v>454</v>
      </c>
      <c r="I2247" s="214">
        <v>1466007</v>
      </c>
      <c r="J2247" s="215">
        <v>20700</v>
      </c>
      <c r="K2247" s="212">
        <v>43665</v>
      </c>
      <c r="L2247" s="211" t="s">
        <v>1965</v>
      </c>
      <c r="M2247" s="216">
        <v>4615447218</v>
      </c>
      <c r="N2247" s="212"/>
      <c r="O2247" s="218"/>
      <c r="P2247" s="219"/>
      <c r="Q2247" s="34">
        <f>SUMIF(Allocation[Delivery ID],Allocation[[#This Row],[Delivery ID]],Allocation[Quantity Processed])</f>
        <v>1513</v>
      </c>
      <c r="R2247" s="61">
        <f>Allocation[[#This Row],[Total volume used]]/VLOOKUP(Allocation[[#This Row],[Delivery ID]],Delivery[[Delivery ID]:[Quantity delivered]],3,FALSE)</f>
        <v>0.70046296296296295</v>
      </c>
      <c r="S2247" s="34">
        <f>Allocation[[#This Row],[Quantity Processed]]/Allocation[[#This Row],[Dilution rate]]</f>
        <v>581.92307692307691</v>
      </c>
      <c r="T2247" s="59">
        <f>SUMIF(Allocation[Delivery ID],Allocation[[#This Row],[Delivery ID]],Allocation[Quantity allocated])/SUMIF(Allocation[Delivery ID],Allocation[[#This Row],[Delivery ID]],Allocation[Volume available (kg)])</f>
        <v>0.78017184401850626</v>
      </c>
      <c r="U2247" s="61">
        <f>Allocation[[#This Row],[Total volume used]]/VLOOKUP(Allocation[[#This Row],[Delivery ID]],Delivery[[Delivery ID]:[Quantity delivered]],3,FALSE)</f>
        <v>0.70046296296296295</v>
      </c>
      <c r="V2247" s="34" t="e">
        <f>VLOOKUP(Allocation[[#This Row],[SAP Contract number]],Shipments[[SAP Contract number]:[Contracted container weight]],2,FALSE)</f>
        <v>#N/A</v>
      </c>
      <c r="W2247" s="34" t="e">
        <f>VLOOKUP(Allocation[[#This Row],[SAP Contract number]],Shipments[[SAP Contract number]:[AAA Premium USD]],24,FALSE)</f>
        <v>#N/A</v>
      </c>
      <c r="X2247" s="34" t="e">
        <f>VLOOKUP(Allocation[[#This Row],[SAP Contract number]],Shipments[[SAP Contract number]:[RA Premium USD]],25,FALSE)</f>
        <v>#N/A</v>
      </c>
      <c r="Y2247" s="38">
        <f>Allocation[[#This Row],[Quantity Processed]]/Allocation[[#This Row],[Quantity allocated]]</f>
        <v>3.3325991189427313</v>
      </c>
      <c r="Z2247" s="34" t="b">
        <f>Allocation[[#This Row],[Quantity allocated]]&lt;=Allocation[[#This Row],[Quantity Processed]]</f>
        <v>1</v>
      </c>
    </row>
    <row r="2248" spans="1:26">
      <c r="A2248" s="247" t="s">
        <v>467</v>
      </c>
      <c r="B2248" s="210" t="s">
        <v>68</v>
      </c>
      <c r="C2248" s="254" t="s">
        <v>1501</v>
      </c>
      <c r="D2248" s="255">
        <v>5029</v>
      </c>
      <c r="E2248" s="211" t="s">
        <v>1962</v>
      </c>
      <c r="F2248" s="212">
        <v>43651</v>
      </c>
      <c r="G2248" s="213">
        <v>2.6</v>
      </c>
      <c r="H2248" s="256">
        <v>2414</v>
      </c>
      <c r="I2248" s="214">
        <v>1466007</v>
      </c>
      <c r="J2248" s="215">
        <v>20700</v>
      </c>
      <c r="K2248" s="212">
        <v>43665</v>
      </c>
      <c r="L2248" s="211" t="s">
        <v>1965</v>
      </c>
      <c r="M2248" s="216">
        <v>4615447218</v>
      </c>
      <c r="N2248" s="212"/>
      <c r="O2248" s="218"/>
      <c r="P2248" s="219"/>
      <c r="Q2248" s="34">
        <f>SUMIF(Allocation[Delivery ID],Allocation[[#This Row],[Delivery ID]],Allocation[Quantity Processed])</f>
        <v>12894</v>
      </c>
      <c r="R2248" s="61">
        <f>Allocation[[#This Row],[Total volume used]]/VLOOKUP(Allocation[[#This Row],[Delivery ID]],Delivery[[Delivery ID]:[Quantity delivered]],3,FALSE)</f>
        <v>0.95511111111111113</v>
      </c>
      <c r="S2248" s="34">
        <f>Allocation[[#This Row],[Quantity Processed]]/Allocation[[#This Row],[Dilution rate]]</f>
        <v>1934.2307692307691</v>
      </c>
      <c r="T2248" s="59">
        <f>SUMIF(Allocation[Delivery ID],Allocation[[#This Row],[Delivery ID]],Allocation[Quantity allocated])/SUMIF(Allocation[Delivery ID],Allocation[[#This Row],[Delivery ID]],Allocation[Volume available (kg)])</f>
        <v>1.2734903843617276</v>
      </c>
      <c r="U2248" s="61">
        <f>Allocation[[#This Row],[Total volume used]]/VLOOKUP(Allocation[[#This Row],[Delivery ID]],Delivery[[Delivery ID]:[Quantity delivered]],3,FALSE)</f>
        <v>0.95511111111111113</v>
      </c>
      <c r="V2248" s="34" t="e">
        <f>VLOOKUP(Allocation[[#This Row],[SAP Contract number]],Shipments[[SAP Contract number]:[Contracted container weight]],2,FALSE)</f>
        <v>#N/A</v>
      </c>
      <c r="W2248" s="34" t="e">
        <f>VLOOKUP(Allocation[[#This Row],[SAP Contract number]],Shipments[[SAP Contract number]:[AAA Premium USD]],24,FALSE)</f>
        <v>#N/A</v>
      </c>
      <c r="X2248" s="34" t="e">
        <f>VLOOKUP(Allocation[[#This Row],[SAP Contract number]],Shipments[[SAP Contract number]:[RA Premium USD]],25,FALSE)</f>
        <v>#N/A</v>
      </c>
      <c r="Y2248" s="38">
        <f>Allocation[[#This Row],[Quantity Processed]]/Allocation[[#This Row],[Quantity allocated]]</f>
        <v>2.0832642916321458</v>
      </c>
      <c r="Z2248" s="34" t="b">
        <f>Allocation[[#This Row],[Quantity allocated]]&lt;=Allocation[[#This Row],[Quantity Processed]]</f>
        <v>1</v>
      </c>
    </row>
    <row r="2249" spans="1:26">
      <c r="A2249" s="247" t="s">
        <v>467</v>
      </c>
      <c r="B2249" s="210" t="s">
        <v>68</v>
      </c>
      <c r="C2249" s="254" t="s">
        <v>1501</v>
      </c>
      <c r="D2249" s="255">
        <v>890</v>
      </c>
      <c r="E2249" s="211" t="s">
        <v>1962</v>
      </c>
      <c r="F2249" s="212">
        <v>43651</v>
      </c>
      <c r="G2249" s="213">
        <v>2.6</v>
      </c>
      <c r="H2249" s="256">
        <v>427</v>
      </c>
      <c r="I2249" s="214">
        <v>1466008</v>
      </c>
      <c r="J2249" s="215">
        <v>20700</v>
      </c>
      <c r="K2249" s="212">
        <v>43665</v>
      </c>
      <c r="L2249" s="211" t="s">
        <v>1966</v>
      </c>
      <c r="M2249" s="216">
        <v>4615447218</v>
      </c>
      <c r="N2249" s="212"/>
      <c r="O2249" s="218"/>
      <c r="P2249" s="219"/>
      <c r="Q2249" s="34">
        <f>SUMIF(Allocation[Delivery ID],Allocation[[#This Row],[Delivery ID]],Allocation[Quantity Processed])</f>
        <v>12894</v>
      </c>
      <c r="R2249" s="61">
        <f>Allocation[[#This Row],[Total volume used]]/VLOOKUP(Allocation[[#This Row],[Delivery ID]],Delivery[[Delivery ID]:[Quantity delivered]],3,FALSE)</f>
        <v>0.95511111111111113</v>
      </c>
      <c r="S2249" s="34">
        <f>Allocation[[#This Row],[Quantity Processed]]/Allocation[[#This Row],[Dilution rate]]</f>
        <v>342.30769230769232</v>
      </c>
      <c r="T2249" s="59">
        <f>SUMIF(Allocation[Delivery ID],Allocation[[#This Row],[Delivery ID]],Allocation[Quantity allocated])/SUMIF(Allocation[Delivery ID],Allocation[[#This Row],[Delivery ID]],Allocation[Volume available (kg)])</f>
        <v>1.2734903843617276</v>
      </c>
      <c r="U2249" s="61">
        <f>Allocation[[#This Row],[Total volume used]]/VLOOKUP(Allocation[[#This Row],[Delivery ID]],Delivery[[Delivery ID]:[Quantity delivered]],3,FALSE)</f>
        <v>0.95511111111111113</v>
      </c>
      <c r="V2249" s="34" t="e">
        <f>VLOOKUP(Allocation[[#This Row],[SAP Contract number]],Shipments[[SAP Contract number]:[Contracted container weight]],2,FALSE)</f>
        <v>#N/A</v>
      </c>
      <c r="W2249" s="34" t="e">
        <f>VLOOKUP(Allocation[[#This Row],[SAP Contract number]],Shipments[[SAP Contract number]:[AAA Premium USD]],24,FALSE)</f>
        <v>#N/A</v>
      </c>
      <c r="X2249" s="34" t="e">
        <f>VLOOKUP(Allocation[[#This Row],[SAP Contract number]],Shipments[[SAP Contract number]:[RA Premium USD]],25,FALSE)</f>
        <v>#N/A</v>
      </c>
      <c r="Y2249" s="38">
        <f>Allocation[[#This Row],[Quantity Processed]]/Allocation[[#This Row],[Quantity allocated]]</f>
        <v>2.0843091334894615</v>
      </c>
      <c r="Z2249" s="34" t="b">
        <f>Allocation[[#This Row],[Quantity allocated]]&lt;=Allocation[[#This Row],[Quantity Processed]]</f>
        <v>1</v>
      </c>
    </row>
    <row r="2250" spans="1:26">
      <c r="A2250" s="247" t="s">
        <v>467</v>
      </c>
      <c r="B2250" s="210" t="s">
        <v>68</v>
      </c>
      <c r="C2250" s="254" t="s">
        <v>1504</v>
      </c>
      <c r="D2250" s="255">
        <v>5760</v>
      </c>
      <c r="E2250" s="211" t="s">
        <v>1962</v>
      </c>
      <c r="F2250" s="212">
        <v>43651</v>
      </c>
      <c r="G2250" s="213">
        <v>2.6</v>
      </c>
      <c r="H2250" s="256">
        <v>2765</v>
      </c>
      <c r="I2250" s="214">
        <v>1466008</v>
      </c>
      <c r="J2250" s="215">
        <v>20700</v>
      </c>
      <c r="K2250" s="212">
        <v>43665</v>
      </c>
      <c r="L2250" s="211" t="s">
        <v>1966</v>
      </c>
      <c r="M2250" s="216">
        <v>4615447218</v>
      </c>
      <c r="N2250" s="212"/>
      <c r="O2250" s="218"/>
      <c r="P2250" s="219"/>
      <c r="Q2250" s="34">
        <f>SUMIF(Allocation[Delivery ID],Allocation[[#This Row],[Delivery ID]],Allocation[Quantity Processed])</f>
        <v>12550</v>
      </c>
      <c r="R2250" s="61">
        <f>Allocation[[#This Row],[Total volume used]]/VLOOKUP(Allocation[[#This Row],[Delivery ID]],Delivery[[Delivery ID]:[Quantity delivered]],3,FALSE)</f>
        <v>0.95509893455098938</v>
      </c>
      <c r="S2250" s="34">
        <f>Allocation[[#This Row],[Quantity Processed]]/Allocation[[#This Row],[Dilution rate]]</f>
        <v>2215.3846153846152</v>
      </c>
      <c r="T2250" s="59">
        <f>SUMIF(Allocation[Delivery ID],Allocation[[#This Row],[Delivery ID]],Allocation[Quantity allocated])/SUMIF(Allocation[Delivery ID],Allocation[[#This Row],[Delivery ID]],Allocation[Volume available (kg)])</f>
        <v>1.273519243510209</v>
      </c>
      <c r="U2250" s="61">
        <f>Allocation[[#This Row],[Total volume used]]/VLOOKUP(Allocation[[#This Row],[Delivery ID]],Delivery[[Delivery ID]:[Quantity delivered]],3,FALSE)</f>
        <v>0.95509893455098938</v>
      </c>
      <c r="V2250" s="34" t="e">
        <f>VLOOKUP(Allocation[[#This Row],[SAP Contract number]],Shipments[[SAP Contract number]:[Contracted container weight]],2,FALSE)</f>
        <v>#N/A</v>
      </c>
      <c r="W2250" s="34" t="e">
        <f>VLOOKUP(Allocation[[#This Row],[SAP Contract number]],Shipments[[SAP Contract number]:[AAA Premium USD]],24,FALSE)</f>
        <v>#N/A</v>
      </c>
      <c r="X2250" s="34" t="e">
        <f>VLOOKUP(Allocation[[#This Row],[SAP Contract number]],Shipments[[SAP Contract number]:[RA Premium USD]],25,FALSE)</f>
        <v>#N/A</v>
      </c>
      <c r="Y2250" s="38">
        <f>Allocation[[#This Row],[Quantity Processed]]/Allocation[[#This Row],[Quantity allocated]]</f>
        <v>2.0831826401446656</v>
      </c>
      <c r="Z2250" s="34" t="b">
        <f>Allocation[[#This Row],[Quantity allocated]]&lt;=Allocation[[#This Row],[Quantity Processed]]</f>
        <v>1</v>
      </c>
    </row>
    <row r="2251" spans="1:26">
      <c r="A2251" s="247" t="s">
        <v>467</v>
      </c>
      <c r="B2251" s="210" t="s">
        <v>68</v>
      </c>
      <c r="C2251" s="254" t="s">
        <v>1505</v>
      </c>
      <c r="D2251" s="255">
        <v>5794</v>
      </c>
      <c r="E2251" s="211" t="s">
        <v>1962</v>
      </c>
      <c r="F2251" s="212">
        <v>43651</v>
      </c>
      <c r="G2251" s="213">
        <v>2.6</v>
      </c>
      <c r="H2251" s="256">
        <v>2781</v>
      </c>
      <c r="I2251" s="214">
        <v>1466008</v>
      </c>
      <c r="J2251" s="215">
        <v>20700</v>
      </c>
      <c r="K2251" s="212">
        <v>43665</v>
      </c>
      <c r="L2251" s="211" t="s">
        <v>1966</v>
      </c>
      <c r="M2251" s="216">
        <v>4615447218</v>
      </c>
      <c r="N2251" s="212"/>
      <c r="O2251" s="218"/>
      <c r="P2251" s="219"/>
      <c r="Q2251" s="34">
        <f>SUMIF(Allocation[Delivery ID],Allocation[[#This Row],[Delivery ID]],Allocation[Quantity Processed])</f>
        <v>12621</v>
      </c>
      <c r="R2251" s="61">
        <f>Allocation[[#This Row],[Total volume used]]/VLOOKUP(Allocation[[#This Row],[Delivery ID]],Delivery[[Delivery ID]:[Quantity delivered]],3,FALSE)</f>
        <v>0.75710857828434308</v>
      </c>
      <c r="S2251" s="34">
        <f>Allocation[[#This Row],[Quantity Processed]]/Allocation[[#This Row],[Dilution rate]]</f>
        <v>2228.4615384615386</v>
      </c>
      <c r="T2251" s="59">
        <f>SUMIF(Allocation[Delivery ID],Allocation[[#This Row],[Delivery ID]],Allocation[Quantity allocated])/SUMIF(Allocation[Delivery ID],Allocation[[#This Row],[Delivery ID]],Allocation[Volume available (kg)])</f>
        <v>1.2734970353955799</v>
      </c>
      <c r="U2251" s="61">
        <f>Allocation[[#This Row],[Total volume used]]/VLOOKUP(Allocation[[#This Row],[Delivery ID]],Delivery[[Delivery ID]:[Quantity delivered]],3,FALSE)</f>
        <v>0.75710857828434308</v>
      </c>
      <c r="V2251" s="34" t="e">
        <f>VLOOKUP(Allocation[[#This Row],[SAP Contract number]],Shipments[[SAP Contract number]:[Contracted container weight]],2,FALSE)</f>
        <v>#N/A</v>
      </c>
      <c r="W2251" s="34" t="e">
        <f>VLOOKUP(Allocation[[#This Row],[SAP Contract number]],Shipments[[SAP Contract number]:[AAA Premium USD]],24,FALSE)</f>
        <v>#N/A</v>
      </c>
      <c r="X2251" s="34" t="e">
        <f>VLOOKUP(Allocation[[#This Row],[SAP Contract number]],Shipments[[SAP Contract number]:[RA Premium USD]],25,FALSE)</f>
        <v>#N/A</v>
      </c>
      <c r="Y2251" s="38">
        <f>Allocation[[#This Row],[Quantity Processed]]/Allocation[[#This Row],[Quantity allocated]]</f>
        <v>2.0834232290542971</v>
      </c>
      <c r="Z2251" s="34" t="b">
        <f>Allocation[[#This Row],[Quantity allocated]]&lt;=Allocation[[#This Row],[Quantity Processed]]</f>
        <v>1</v>
      </c>
    </row>
    <row r="2252" spans="1:26">
      <c r="A2252" s="247" t="s">
        <v>467</v>
      </c>
      <c r="B2252" s="210" t="s">
        <v>68</v>
      </c>
      <c r="C2252" s="254" t="s">
        <v>1506</v>
      </c>
      <c r="D2252" s="255">
        <v>5867</v>
      </c>
      <c r="E2252" s="211" t="s">
        <v>1962</v>
      </c>
      <c r="F2252" s="212">
        <v>43651</v>
      </c>
      <c r="G2252" s="213">
        <v>2.6</v>
      </c>
      <c r="H2252" s="256">
        <v>2816</v>
      </c>
      <c r="I2252" s="214">
        <v>1466008</v>
      </c>
      <c r="J2252" s="215">
        <v>20700</v>
      </c>
      <c r="K2252" s="212">
        <v>43665</v>
      </c>
      <c r="L2252" s="211" t="s">
        <v>1966</v>
      </c>
      <c r="M2252" s="216">
        <v>4615447218</v>
      </c>
      <c r="N2252" s="212"/>
      <c r="O2252" s="218"/>
      <c r="P2252" s="219"/>
      <c r="Q2252" s="34">
        <f>SUMIF(Allocation[Delivery ID],Allocation[[#This Row],[Delivery ID]],Allocation[Quantity Processed])</f>
        <v>12782</v>
      </c>
      <c r="R2252" s="61">
        <f>Allocation[[#This Row],[Total volume used]]/VLOOKUP(Allocation[[#This Row],[Delivery ID]],Delivery[[Delivery ID]:[Quantity delivered]],3,FALSE)</f>
        <v>0.71367950865438301</v>
      </c>
      <c r="S2252" s="34">
        <f>Allocation[[#This Row],[Quantity Processed]]/Allocation[[#This Row],[Dilution rate]]</f>
        <v>2256.5384615384614</v>
      </c>
      <c r="T2252" s="59">
        <f>SUMIF(Allocation[Delivery ID],Allocation[[#This Row],[Delivery ID]],Allocation[Quantity allocated])/SUMIF(Allocation[Delivery ID],Allocation[[#This Row],[Delivery ID]],Allocation[Volume available (kg)])</f>
        <v>1.2734425589667622</v>
      </c>
      <c r="U2252" s="61">
        <f>Allocation[[#This Row],[Total volume used]]/VLOOKUP(Allocation[[#This Row],[Delivery ID]],Delivery[[Delivery ID]:[Quantity delivered]],3,FALSE)</f>
        <v>0.71367950865438301</v>
      </c>
      <c r="V2252" s="34" t="e">
        <f>VLOOKUP(Allocation[[#This Row],[SAP Contract number]],Shipments[[SAP Contract number]:[Contracted container weight]],2,FALSE)</f>
        <v>#N/A</v>
      </c>
      <c r="W2252" s="34" t="e">
        <f>VLOOKUP(Allocation[[#This Row],[SAP Contract number]],Shipments[[SAP Contract number]:[AAA Premium USD]],24,FALSE)</f>
        <v>#N/A</v>
      </c>
      <c r="X2252" s="34" t="e">
        <f>VLOOKUP(Allocation[[#This Row],[SAP Contract number]],Shipments[[SAP Contract number]:[RA Premium USD]],25,FALSE)</f>
        <v>#N/A</v>
      </c>
      <c r="Y2252" s="38">
        <f>Allocation[[#This Row],[Quantity Processed]]/Allocation[[#This Row],[Quantity allocated]]</f>
        <v>2.0834517045454546</v>
      </c>
      <c r="Z2252" s="34" t="b">
        <f>Allocation[[#This Row],[Quantity allocated]]&lt;=Allocation[[#This Row],[Quantity Processed]]</f>
        <v>1</v>
      </c>
    </row>
    <row r="2253" spans="1:26">
      <c r="A2253" s="247" t="s">
        <v>467</v>
      </c>
      <c r="B2253" s="210" t="s">
        <v>68</v>
      </c>
      <c r="C2253" s="254" t="s">
        <v>1507</v>
      </c>
      <c r="D2253" s="255">
        <v>3392</v>
      </c>
      <c r="E2253" s="211" t="s">
        <v>1962</v>
      </c>
      <c r="F2253" s="212">
        <v>43651</v>
      </c>
      <c r="G2253" s="213">
        <v>2.6</v>
      </c>
      <c r="H2253" s="256">
        <v>1628</v>
      </c>
      <c r="I2253" s="214">
        <v>1466008</v>
      </c>
      <c r="J2253" s="215">
        <v>20700</v>
      </c>
      <c r="K2253" s="212">
        <v>43665</v>
      </c>
      <c r="L2253" s="211" t="s">
        <v>1966</v>
      </c>
      <c r="M2253" s="216">
        <v>4615447218</v>
      </c>
      <c r="N2253" s="212"/>
      <c r="O2253" s="218"/>
      <c r="P2253" s="219"/>
      <c r="Q2253" s="34">
        <f>SUMIF(Allocation[Delivery ID],Allocation[[#This Row],[Delivery ID]],Allocation[Quantity Processed])</f>
        <v>7390</v>
      </c>
      <c r="R2253" s="61">
        <f>Allocation[[#This Row],[Total volume used]]/VLOOKUP(Allocation[[#This Row],[Delivery ID]],Delivery[[Delivery ID]:[Quantity delivered]],3,FALSE)</f>
        <v>0.7147001934235977</v>
      </c>
      <c r="S2253" s="34">
        <f>Allocation[[#This Row],[Quantity Processed]]/Allocation[[#This Row],[Dilution rate]]</f>
        <v>1304.6153846153845</v>
      </c>
      <c r="T2253" s="59">
        <f>SUMIF(Allocation[Delivery ID],Allocation[[#This Row],[Delivery ID]],Allocation[Quantity allocated])/SUMIF(Allocation[Delivery ID],Allocation[[#This Row],[Delivery ID]],Allocation[Volume available (kg)])</f>
        <v>1.2734457786960702</v>
      </c>
      <c r="U2253" s="61">
        <f>Allocation[[#This Row],[Total volume used]]/VLOOKUP(Allocation[[#This Row],[Delivery ID]],Delivery[[Delivery ID]:[Quantity delivered]],3,FALSE)</f>
        <v>0.7147001934235977</v>
      </c>
      <c r="V2253" s="34" t="e">
        <f>VLOOKUP(Allocation[[#This Row],[SAP Contract number]],Shipments[[SAP Contract number]:[Contracted container weight]],2,FALSE)</f>
        <v>#N/A</v>
      </c>
      <c r="W2253" s="34" t="e">
        <f>VLOOKUP(Allocation[[#This Row],[SAP Contract number]],Shipments[[SAP Contract number]:[AAA Premium USD]],24,FALSE)</f>
        <v>#N/A</v>
      </c>
      <c r="X2253" s="34" t="e">
        <f>VLOOKUP(Allocation[[#This Row],[SAP Contract number]],Shipments[[SAP Contract number]:[RA Premium USD]],25,FALSE)</f>
        <v>#N/A</v>
      </c>
      <c r="Y2253" s="38">
        <f>Allocation[[#This Row],[Quantity Processed]]/Allocation[[#This Row],[Quantity allocated]]</f>
        <v>2.0835380835380835</v>
      </c>
      <c r="Z2253" s="34" t="b">
        <f>Allocation[[#This Row],[Quantity allocated]]&lt;=Allocation[[#This Row],[Quantity Processed]]</f>
        <v>1</v>
      </c>
    </row>
    <row r="2254" spans="1:26">
      <c r="A2254" s="247" t="s">
        <v>467</v>
      </c>
      <c r="B2254" s="210" t="s">
        <v>68</v>
      </c>
      <c r="C2254" s="254" t="s">
        <v>1508</v>
      </c>
      <c r="D2254" s="255">
        <v>790</v>
      </c>
      <c r="E2254" s="211" t="s">
        <v>1962</v>
      </c>
      <c r="F2254" s="212">
        <v>43651</v>
      </c>
      <c r="G2254" s="213">
        <v>2.6</v>
      </c>
      <c r="H2254" s="256">
        <v>379</v>
      </c>
      <c r="I2254" s="214">
        <v>1466008</v>
      </c>
      <c r="J2254" s="215">
        <v>20700</v>
      </c>
      <c r="K2254" s="212">
        <v>43665</v>
      </c>
      <c r="L2254" s="211" t="s">
        <v>1966</v>
      </c>
      <c r="M2254" s="216">
        <v>4615447218</v>
      </c>
      <c r="N2254" s="212"/>
      <c r="O2254" s="218"/>
      <c r="P2254" s="219"/>
      <c r="Q2254" s="34">
        <f>SUMIF(Allocation[Delivery ID],Allocation[[#This Row],[Delivery ID]],Allocation[Quantity Processed])</f>
        <v>1719</v>
      </c>
      <c r="R2254" s="61">
        <f>Allocation[[#This Row],[Total volume used]]/VLOOKUP(Allocation[[#This Row],[Delivery ID]],Delivery[[Delivery ID]:[Quantity delivered]],3,FALSE)</f>
        <v>0.70450819672131149</v>
      </c>
      <c r="S2254" s="34">
        <f>Allocation[[#This Row],[Quantity Processed]]/Allocation[[#This Row],[Dilution rate]]</f>
        <v>303.84615384615381</v>
      </c>
      <c r="T2254" s="59">
        <f>SUMIF(Allocation[Delivery ID],Allocation[[#This Row],[Delivery ID]],Allocation[Quantity allocated])/SUMIF(Allocation[Delivery ID],Allocation[[#This Row],[Delivery ID]],Allocation[Volume available (kg)])</f>
        <v>1.27330489842582</v>
      </c>
      <c r="U2254" s="61">
        <f>Allocation[[#This Row],[Total volume used]]/VLOOKUP(Allocation[[#This Row],[Delivery ID]],Delivery[[Delivery ID]:[Quantity delivered]],3,FALSE)</f>
        <v>0.70450819672131149</v>
      </c>
      <c r="V2254" s="34" t="e">
        <f>VLOOKUP(Allocation[[#This Row],[SAP Contract number]],Shipments[[SAP Contract number]:[Contracted container weight]],2,FALSE)</f>
        <v>#N/A</v>
      </c>
      <c r="W2254" s="34" t="e">
        <f>VLOOKUP(Allocation[[#This Row],[SAP Contract number]],Shipments[[SAP Contract number]:[AAA Premium USD]],24,FALSE)</f>
        <v>#N/A</v>
      </c>
      <c r="X2254" s="34" t="e">
        <f>VLOOKUP(Allocation[[#This Row],[SAP Contract number]],Shipments[[SAP Contract number]:[RA Premium USD]],25,FALSE)</f>
        <v>#N/A</v>
      </c>
      <c r="Y2254" s="38">
        <f>Allocation[[#This Row],[Quantity Processed]]/Allocation[[#This Row],[Quantity allocated]]</f>
        <v>2.0844327176781001</v>
      </c>
      <c r="Z2254" s="34" t="b">
        <f>Allocation[[#This Row],[Quantity allocated]]&lt;=Allocation[[#This Row],[Quantity Processed]]</f>
        <v>1</v>
      </c>
    </row>
    <row r="2255" spans="1:26">
      <c r="A2255" s="247" t="s">
        <v>467</v>
      </c>
      <c r="B2255" s="210" t="s">
        <v>68</v>
      </c>
      <c r="C2255" s="254" t="s">
        <v>1509</v>
      </c>
      <c r="D2255" s="255">
        <v>2188</v>
      </c>
      <c r="E2255" s="211" t="s">
        <v>1962</v>
      </c>
      <c r="F2255" s="212">
        <v>43651</v>
      </c>
      <c r="G2255" s="213">
        <v>2.6</v>
      </c>
      <c r="H2255" s="256">
        <v>1050</v>
      </c>
      <c r="I2255" s="214">
        <v>1466008</v>
      </c>
      <c r="J2255" s="215">
        <v>20700</v>
      </c>
      <c r="K2255" s="212">
        <v>43665</v>
      </c>
      <c r="L2255" s="211" t="s">
        <v>1966</v>
      </c>
      <c r="M2255" s="216">
        <v>4615447218</v>
      </c>
      <c r="N2255" s="212"/>
      <c r="O2255" s="218"/>
      <c r="P2255" s="219"/>
      <c r="Q2255" s="34">
        <f>SUMIF(Allocation[Delivery ID],Allocation[[#This Row],[Delivery ID]],Allocation[Quantity Processed])</f>
        <v>4767</v>
      </c>
      <c r="R2255" s="61">
        <f>Allocation[[#This Row],[Total volume used]]/VLOOKUP(Allocation[[#This Row],[Delivery ID]],Delivery[[Delivery ID]:[Quantity delivered]],3,FALSE)</f>
        <v>0.71576576576576578</v>
      </c>
      <c r="S2255" s="34">
        <f>Allocation[[#This Row],[Quantity Processed]]/Allocation[[#This Row],[Dilution rate]]</f>
        <v>841.53846153846155</v>
      </c>
      <c r="T2255" s="59">
        <f>SUMIF(Allocation[Delivery ID],Allocation[[#This Row],[Delivery ID]],Allocation[Quantity allocated])/SUMIF(Allocation[Delivery ID],Allocation[[#This Row],[Delivery ID]],Allocation[Volume available (kg)])</f>
        <v>1.2734290018235155</v>
      </c>
      <c r="U2255" s="61">
        <f>Allocation[[#This Row],[Total volume used]]/VLOOKUP(Allocation[[#This Row],[Delivery ID]],Delivery[[Delivery ID]:[Quantity delivered]],3,FALSE)</f>
        <v>0.71576576576576578</v>
      </c>
      <c r="V2255" s="34" t="e">
        <f>VLOOKUP(Allocation[[#This Row],[SAP Contract number]],Shipments[[SAP Contract number]:[Contracted container weight]],2,FALSE)</f>
        <v>#N/A</v>
      </c>
      <c r="W2255" s="34" t="e">
        <f>VLOOKUP(Allocation[[#This Row],[SAP Contract number]],Shipments[[SAP Contract number]:[AAA Premium USD]],24,FALSE)</f>
        <v>#N/A</v>
      </c>
      <c r="X2255" s="34" t="e">
        <f>VLOOKUP(Allocation[[#This Row],[SAP Contract number]],Shipments[[SAP Contract number]:[RA Premium USD]],25,FALSE)</f>
        <v>#N/A</v>
      </c>
      <c r="Y2255" s="38">
        <f>Allocation[[#This Row],[Quantity Processed]]/Allocation[[#This Row],[Quantity allocated]]</f>
        <v>2.0838095238095238</v>
      </c>
      <c r="Z2255" s="34" t="b">
        <f>Allocation[[#This Row],[Quantity allocated]]&lt;=Allocation[[#This Row],[Quantity Processed]]</f>
        <v>1</v>
      </c>
    </row>
    <row r="2256" spans="1:26">
      <c r="A2256" s="247" t="s">
        <v>467</v>
      </c>
      <c r="B2256" s="210" t="s">
        <v>68</v>
      </c>
      <c r="C2256" s="254" t="s">
        <v>597</v>
      </c>
      <c r="D2256" s="255">
        <v>96</v>
      </c>
      <c r="E2256" s="211" t="s">
        <v>1962</v>
      </c>
      <c r="F2256" s="212">
        <v>43651</v>
      </c>
      <c r="G2256" s="213">
        <v>2.6</v>
      </c>
      <c r="H2256" s="256">
        <v>47</v>
      </c>
      <c r="I2256" s="214">
        <v>1466008</v>
      </c>
      <c r="J2256" s="215">
        <v>20700</v>
      </c>
      <c r="K2256" s="212">
        <v>43665</v>
      </c>
      <c r="L2256" s="211" t="s">
        <v>1966</v>
      </c>
      <c r="M2256" s="216">
        <v>4615447218</v>
      </c>
      <c r="N2256" s="212"/>
      <c r="O2256" s="218"/>
      <c r="P2256" s="219"/>
      <c r="Q2256" s="34">
        <f>SUMIF(Allocation[Delivery ID],Allocation[[#This Row],[Delivery ID]],Allocation[Quantity Processed])</f>
        <v>9699</v>
      </c>
      <c r="R2256" s="61">
        <f>Allocation[[#This Row],[Total volume used]]/VLOOKUP(Allocation[[#This Row],[Delivery ID]],Delivery[[Delivery ID]:[Quantity delivered]],3,FALSE)</f>
        <v>0.4747430249632893</v>
      </c>
      <c r="S2256" s="34">
        <f>Allocation[[#This Row],[Quantity Processed]]/Allocation[[#This Row],[Dilution rate]]</f>
        <v>36.92307692307692</v>
      </c>
      <c r="T2256" s="59">
        <f>SUMIF(Allocation[Delivery ID],Allocation[[#This Row],[Delivery ID]],Allocation[Quantity allocated])/SUMIF(Allocation[Delivery ID],Allocation[[#This Row],[Delivery ID]],Allocation[Volume available (kg)])</f>
        <v>1.0809257549804461</v>
      </c>
      <c r="U2256" s="61">
        <f>Allocation[[#This Row],[Total volume used]]/VLOOKUP(Allocation[[#This Row],[Delivery ID]],Delivery[[Delivery ID]:[Quantity delivered]],3,FALSE)</f>
        <v>0.4747430249632893</v>
      </c>
      <c r="V2256" s="34" t="e">
        <f>VLOOKUP(Allocation[[#This Row],[SAP Contract number]],Shipments[[SAP Contract number]:[Contracted container weight]],2,FALSE)</f>
        <v>#N/A</v>
      </c>
      <c r="W2256" s="34" t="e">
        <f>VLOOKUP(Allocation[[#This Row],[SAP Contract number]],Shipments[[SAP Contract number]:[AAA Premium USD]],24,FALSE)</f>
        <v>#N/A</v>
      </c>
      <c r="X2256" s="34" t="e">
        <f>VLOOKUP(Allocation[[#This Row],[SAP Contract number]],Shipments[[SAP Contract number]:[RA Premium USD]],25,FALSE)</f>
        <v>#N/A</v>
      </c>
      <c r="Y2256" s="38">
        <f>Allocation[[#This Row],[Quantity Processed]]/Allocation[[#This Row],[Quantity allocated]]</f>
        <v>2.0425531914893615</v>
      </c>
      <c r="Z2256" s="34" t="b">
        <f>Allocation[[#This Row],[Quantity allocated]]&lt;=Allocation[[#This Row],[Quantity Processed]]</f>
        <v>1</v>
      </c>
    </row>
    <row r="2257" spans="1:26">
      <c r="A2257" s="247" t="s">
        <v>467</v>
      </c>
      <c r="B2257" s="210" t="s">
        <v>68</v>
      </c>
      <c r="C2257" s="254" t="s">
        <v>1557</v>
      </c>
      <c r="D2257" s="255">
        <v>3413</v>
      </c>
      <c r="E2257" s="211" t="s">
        <v>1962</v>
      </c>
      <c r="F2257" s="212">
        <v>43651</v>
      </c>
      <c r="G2257" s="213">
        <v>2.6</v>
      </c>
      <c r="H2257" s="256">
        <v>1024</v>
      </c>
      <c r="I2257" s="214">
        <v>1466008</v>
      </c>
      <c r="J2257" s="215">
        <v>20700</v>
      </c>
      <c r="K2257" s="212">
        <v>43665</v>
      </c>
      <c r="L2257" s="211" t="s">
        <v>1966</v>
      </c>
      <c r="M2257" s="216">
        <v>4615447218</v>
      </c>
      <c r="N2257" s="212"/>
      <c r="O2257" s="218"/>
      <c r="P2257" s="219"/>
      <c r="Q2257" s="34">
        <f>SUMIF(Allocation[Delivery ID],Allocation[[#This Row],[Delivery ID]],Allocation[Quantity Processed])</f>
        <v>15656</v>
      </c>
      <c r="R2257" s="61">
        <f>Allocation[[#This Row],[Total volume used]]/VLOOKUP(Allocation[[#This Row],[Delivery ID]],Delivery[[Delivery ID]:[Quantity delivered]],3,FALSE)</f>
        <v>0.92365781710914452</v>
      </c>
      <c r="S2257" s="34">
        <f>Allocation[[#This Row],[Quantity Processed]]/Allocation[[#This Row],[Dilution rate]]</f>
        <v>1312.6923076923076</v>
      </c>
      <c r="T2257" s="59">
        <f>SUMIF(Allocation[Delivery ID],Allocation[[#This Row],[Delivery ID]],Allocation[Quantity allocated])/SUMIF(Allocation[Delivery ID],Allocation[[#This Row],[Delivery ID]],Allocation[Volume available (kg)])</f>
        <v>0.83466096971686932</v>
      </c>
      <c r="U2257" s="61">
        <f>Allocation[[#This Row],[Total volume used]]/VLOOKUP(Allocation[[#This Row],[Delivery ID]],Delivery[[Delivery ID]:[Quantity delivered]],3,FALSE)</f>
        <v>0.92365781710914452</v>
      </c>
      <c r="V2257" s="34" t="e">
        <f>VLOOKUP(Allocation[[#This Row],[SAP Contract number]],Shipments[[SAP Contract number]:[Contracted container weight]],2,FALSE)</f>
        <v>#N/A</v>
      </c>
      <c r="W2257" s="34" t="e">
        <f>VLOOKUP(Allocation[[#This Row],[SAP Contract number]],Shipments[[SAP Contract number]:[AAA Premium USD]],24,FALSE)</f>
        <v>#N/A</v>
      </c>
      <c r="X2257" s="34" t="e">
        <f>VLOOKUP(Allocation[[#This Row],[SAP Contract number]],Shipments[[SAP Contract number]:[RA Premium USD]],25,FALSE)</f>
        <v>#N/A</v>
      </c>
      <c r="Y2257" s="38">
        <f>Allocation[[#This Row],[Quantity Processed]]/Allocation[[#This Row],[Quantity allocated]]</f>
        <v>3.3330078125</v>
      </c>
      <c r="Z2257" s="34" t="b">
        <f>Allocation[[#This Row],[Quantity allocated]]&lt;=Allocation[[#This Row],[Quantity Processed]]</f>
        <v>1</v>
      </c>
    </row>
    <row r="2258" spans="1:26">
      <c r="A2258" s="247" t="s">
        <v>467</v>
      </c>
      <c r="B2258" s="210" t="s">
        <v>68</v>
      </c>
      <c r="C2258" s="254" t="s">
        <v>1559</v>
      </c>
      <c r="D2258" s="255">
        <v>4168</v>
      </c>
      <c r="E2258" s="211" t="s">
        <v>1962</v>
      </c>
      <c r="F2258" s="212">
        <v>43651</v>
      </c>
      <c r="G2258" s="213">
        <v>2.6</v>
      </c>
      <c r="H2258" s="256">
        <v>2084</v>
      </c>
      <c r="I2258" s="214">
        <v>1466008</v>
      </c>
      <c r="J2258" s="215">
        <v>20700</v>
      </c>
      <c r="K2258" s="212">
        <v>43665</v>
      </c>
      <c r="L2258" s="211" t="s">
        <v>1966</v>
      </c>
      <c r="M2258" s="216">
        <v>4615447218</v>
      </c>
      <c r="N2258" s="212"/>
      <c r="O2258" s="218"/>
      <c r="P2258" s="219"/>
      <c r="Q2258" s="34">
        <f>SUMIF(Allocation[Delivery ID],Allocation[[#This Row],[Delivery ID]],Allocation[Quantity Processed])</f>
        <v>9082</v>
      </c>
      <c r="R2258" s="61">
        <f>Allocation[[#This Row],[Total volume used]]/VLOOKUP(Allocation[[#This Row],[Delivery ID]],Delivery[[Delivery ID]:[Quantity delivered]],3,FALSE)</f>
        <v>0.91460221550855991</v>
      </c>
      <c r="S2258" s="34">
        <f>Allocation[[#This Row],[Quantity Processed]]/Allocation[[#This Row],[Dilution rate]]</f>
        <v>1603.0769230769231</v>
      </c>
      <c r="T2258" s="59">
        <f>SUMIF(Allocation[Delivery ID],Allocation[[#This Row],[Delivery ID]],Allocation[Quantity allocated])/SUMIF(Allocation[Delivery ID],Allocation[[#This Row],[Delivery ID]],Allocation[Volume available (kg)])</f>
        <v>1.3265842696629215</v>
      </c>
      <c r="U2258" s="61">
        <f>Allocation[[#This Row],[Total volume used]]/VLOOKUP(Allocation[[#This Row],[Delivery ID]],Delivery[[Delivery ID]:[Quantity delivered]],3,FALSE)</f>
        <v>0.91460221550855991</v>
      </c>
      <c r="V2258" s="34" t="e">
        <f>VLOOKUP(Allocation[[#This Row],[SAP Contract number]],Shipments[[SAP Contract number]:[Contracted container weight]],2,FALSE)</f>
        <v>#N/A</v>
      </c>
      <c r="W2258" s="34" t="e">
        <f>VLOOKUP(Allocation[[#This Row],[SAP Contract number]],Shipments[[SAP Contract number]:[AAA Premium USD]],24,FALSE)</f>
        <v>#N/A</v>
      </c>
      <c r="X2258" s="34" t="e">
        <f>VLOOKUP(Allocation[[#This Row],[SAP Contract number]],Shipments[[SAP Contract number]:[RA Premium USD]],25,FALSE)</f>
        <v>#N/A</v>
      </c>
      <c r="Y2258" s="38">
        <f>Allocation[[#This Row],[Quantity Processed]]/Allocation[[#This Row],[Quantity allocated]]</f>
        <v>2</v>
      </c>
      <c r="Z2258" s="34" t="b">
        <f>Allocation[[#This Row],[Quantity allocated]]&lt;=Allocation[[#This Row],[Quantity Processed]]</f>
        <v>1</v>
      </c>
    </row>
    <row r="2259" spans="1:26">
      <c r="A2259" s="247" t="s">
        <v>467</v>
      </c>
      <c r="B2259" s="210" t="s">
        <v>68</v>
      </c>
      <c r="C2259" s="254" t="s">
        <v>1560</v>
      </c>
      <c r="D2259" s="255">
        <v>5786</v>
      </c>
      <c r="E2259" s="211" t="s">
        <v>1962</v>
      </c>
      <c r="F2259" s="212">
        <v>43651</v>
      </c>
      <c r="G2259" s="213">
        <v>2.6</v>
      </c>
      <c r="H2259" s="256">
        <v>2893</v>
      </c>
      <c r="I2259" s="214">
        <v>1466008</v>
      </c>
      <c r="J2259" s="215">
        <v>20700</v>
      </c>
      <c r="K2259" s="212">
        <v>43665</v>
      </c>
      <c r="L2259" s="211" t="s">
        <v>1966</v>
      </c>
      <c r="M2259" s="216">
        <v>4615447218</v>
      </c>
      <c r="N2259" s="212"/>
      <c r="O2259" s="218"/>
      <c r="P2259" s="219"/>
      <c r="Q2259" s="34">
        <f>SUMIF(Allocation[Delivery ID],Allocation[[#This Row],[Delivery ID]],Allocation[Quantity Processed])</f>
        <v>12606</v>
      </c>
      <c r="R2259" s="61">
        <f>Allocation[[#This Row],[Total volume used]]/VLOOKUP(Allocation[[#This Row],[Delivery ID]],Delivery[[Delivery ID]:[Quantity delivered]],3,FALSE)</f>
        <v>0.9161337209302326</v>
      </c>
      <c r="S2259" s="34">
        <f>Allocation[[#This Row],[Quantity Processed]]/Allocation[[#This Row],[Dilution rate]]</f>
        <v>2225.3846153846152</v>
      </c>
      <c r="T2259" s="59">
        <f>SUMIF(Allocation[Delivery ID],Allocation[[#This Row],[Delivery ID]],Allocation[Quantity allocated])/SUMIF(Allocation[Delivery ID],Allocation[[#This Row],[Delivery ID]],Allocation[Volume available (kg)])</f>
        <v>1.3265813600685974</v>
      </c>
      <c r="U2259" s="61">
        <f>Allocation[[#This Row],[Total volume used]]/VLOOKUP(Allocation[[#This Row],[Delivery ID]],Delivery[[Delivery ID]:[Quantity delivered]],3,FALSE)</f>
        <v>0.9161337209302326</v>
      </c>
      <c r="V2259" s="34" t="e">
        <f>VLOOKUP(Allocation[[#This Row],[SAP Contract number]],Shipments[[SAP Contract number]:[Contracted container weight]],2,FALSE)</f>
        <v>#N/A</v>
      </c>
      <c r="W2259" s="34" t="e">
        <f>VLOOKUP(Allocation[[#This Row],[SAP Contract number]],Shipments[[SAP Contract number]:[AAA Premium USD]],24,FALSE)</f>
        <v>#N/A</v>
      </c>
      <c r="X2259" s="34" t="e">
        <f>VLOOKUP(Allocation[[#This Row],[SAP Contract number]],Shipments[[SAP Contract number]:[RA Premium USD]],25,FALSE)</f>
        <v>#N/A</v>
      </c>
      <c r="Y2259" s="38">
        <f>Allocation[[#This Row],[Quantity Processed]]/Allocation[[#This Row],[Quantity allocated]]</f>
        <v>2</v>
      </c>
      <c r="Z2259" s="34" t="b">
        <f>Allocation[[#This Row],[Quantity allocated]]&lt;=Allocation[[#This Row],[Quantity Processed]]</f>
        <v>1</v>
      </c>
    </row>
    <row r="2260" spans="1:26">
      <c r="A2260" s="247" t="s">
        <v>467</v>
      </c>
      <c r="B2260" s="210" t="s">
        <v>68</v>
      </c>
      <c r="C2260" s="254" t="s">
        <v>1606</v>
      </c>
      <c r="D2260" s="255">
        <v>224</v>
      </c>
      <c r="E2260" s="211" t="s">
        <v>1962</v>
      </c>
      <c r="F2260" s="212">
        <v>43651</v>
      </c>
      <c r="G2260" s="213">
        <v>2.6</v>
      </c>
      <c r="H2260" s="256">
        <v>74</v>
      </c>
      <c r="I2260" s="214">
        <v>1466008</v>
      </c>
      <c r="J2260" s="215">
        <v>20700</v>
      </c>
      <c r="K2260" s="212">
        <v>43665</v>
      </c>
      <c r="L2260" s="211" t="s">
        <v>1966</v>
      </c>
      <c r="M2260" s="216">
        <v>4615447218</v>
      </c>
      <c r="N2260" s="212"/>
      <c r="O2260" s="218"/>
      <c r="P2260" s="219"/>
      <c r="Q2260" s="34">
        <f>SUMIF(Allocation[Delivery ID],Allocation[[#This Row],[Delivery ID]],Allocation[Quantity Processed])</f>
        <v>5342</v>
      </c>
      <c r="R2260" s="61">
        <f>Allocation[[#This Row],[Total volume used]]/VLOOKUP(Allocation[[#This Row],[Delivery ID]],Delivery[[Delivery ID]:[Quantity delivered]],3,FALSE)</f>
        <v>0.29319429198682767</v>
      </c>
      <c r="S2260" s="34">
        <f>Allocation[[#This Row],[Quantity Processed]]/Allocation[[#This Row],[Dilution rate]]</f>
        <v>86.153846153846146</v>
      </c>
      <c r="T2260" s="59">
        <f>SUMIF(Allocation[Delivery ID],Allocation[[#This Row],[Delivery ID]],Allocation[Quantity allocated])/SUMIF(Allocation[Delivery ID],Allocation[[#This Row],[Delivery ID]],Allocation[Volume available (kg)])</f>
        <v>0.87749520815179838</v>
      </c>
      <c r="U2260" s="61">
        <f>Allocation[[#This Row],[Total volume used]]/VLOOKUP(Allocation[[#This Row],[Delivery ID]],Delivery[[Delivery ID]:[Quantity delivered]],3,FALSE)</f>
        <v>0.29319429198682767</v>
      </c>
      <c r="V2260" s="34" t="e">
        <f>VLOOKUP(Allocation[[#This Row],[SAP Contract number]],Shipments[[SAP Contract number]:[Contracted container weight]],2,FALSE)</f>
        <v>#N/A</v>
      </c>
      <c r="W2260" s="34" t="e">
        <f>VLOOKUP(Allocation[[#This Row],[SAP Contract number]],Shipments[[SAP Contract number]:[AAA Premium USD]],24,FALSE)</f>
        <v>#N/A</v>
      </c>
      <c r="X2260" s="34" t="e">
        <f>VLOOKUP(Allocation[[#This Row],[SAP Contract number]],Shipments[[SAP Contract number]:[RA Premium USD]],25,FALSE)</f>
        <v>#N/A</v>
      </c>
      <c r="Y2260" s="38">
        <f>Allocation[[#This Row],[Quantity Processed]]/Allocation[[#This Row],[Quantity allocated]]</f>
        <v>3.0270270270270272</v>
      </c>
      <c r="Z2260" s="34" t="b">
        <f>Allocation[[#This Row],[Quantity allocated]]&lt;=Allocation[[#This Row],[Quantity Processed]]</f>
        <v>1</v>
      </c>
    </row>
    <row r="2261" spans="1:26">
      <c r="A2261" s="247" t="s">
        <v>467</v>
      </c>
      <c r="B2261" s="210" t="s">
        <v>68</v>
      </c>
      <c r="C2261" s="254" t="s">
        <v>1607</v>
      </c>
      <c r="D2261" s="255">
        <v>144</v>
      </c>
      <c r="E2261" s="211" t="s">
        <v>1962</v>
      </c>
      <c r="F2261" s="212">
        <v>43651</v>
      </c>
      <c r="G2261" s="213">
        <v>2.6</v>
      </c>
      <c r="H2261" s="256">
        <v>59</v>
      </c>
      <c r="I2261" s="214">
        <v>1466008</v>
      </c>
      <c r="J2261" s="215">
        <v>20700</v>
      </c>
      <c r="K2261" s="212">
        <v>43665</v>
      </c>
      <c r="L2261" s="211" t="s">
        <v>1966</v>
      </c>
      <c r="M2261" s="216">
        <v>4615447218</v>
      </c>
      <c r="N2261" s="212"/>
      <c r="O2261" s="218"/>
      <c r="P2261" s="219"/>
      <c r="Q2261" s="34">
        <f>SUMIF(Allocation[Delivery ID],Allocation[[#This Row],[Delivery ID]],Allocation[Quantity Processed])</f>
        <v>3425</v>
      </c>
      <c r="R2261" s="61">
        <f>Allocation[[#This Row],[Total volume used]]/VLOOKUP(Allocation[[#This Row],[Delivery ID]],Delivery[[Delivery ID]:[Quantity delivered]],3,FALSE)</f>
        <v>0.23620689655172414</v>
      </c>
      <c r="S2261" s="34">
        <f>Allocation[[#This Row],[Quantity Processed]]/Allocation[[#This Row],[Dilution rate]]</f>
        <v>55.38461538461538</v>
      </c>
      <c r="T2261" s="59">
        <f>SUMIF(Allocation[Delivery ID],Allocation[[#This Row],[Delivery ID]],Allocation[Quantity allocated])/SUMIF(Allocation[Delivery ID],Allocation[[#This Row],[Delivery ID]],Allocation[Volume available (kg)])</f>
        <v>1.0899399916484667</v>
      </c>
      <c r="U2261" s="61">
        <f>Allocation[[#This Row],[Total volume used]]/VLOOKUP(Allocation[[#This Row],[Delivery ID]],Delivery[[Delivery ID]:[Quantity delivered]],3,FALSE)</f>
        <v>0.23620689655172414</v>
      </c>
      <c r="V2261" s="34" t="e">
        <f>VLOOKUP(Allocation[[#This Row],[SAP Contract number]],Shipments[[SAP Contract number]:[Contracted container weight]],2,FALSE)</f>
        <v>#N/A</v>
      </c>
      <c r="W2261" s="34" t="e">
        <f>VLOOKUP(Allocation[[#This Row],[SAP Contract number]],Shipments[[SAP Contract number]:[AAA Premium USD]],24,FALSE)</f>
        <v>#N/A</v>
      </c>
      <c r="X2261" s="34" t="e">
        <f>VLOOKUP(Allocation[[#This Row],[SAP Contract number]],Shipments[[SAP Contract number]:[RA Premium USD]],25,FALSE)</f>
        <v>#N/A</v>
      </c>
      <c r="Y2261" s="38">
        <f>Allocation[[#This Row],[Quantity Processed]]/Allocation[[#This Row],[Quantity allocated]]</f>
        <v>2.4406779661016951</v>
      </c>
      <c r="Z2261" s="34" t="b">
        <f>Allocation[[#This Row],[Quantity allocated]]&lt;=Allocation[[#This Row],[Quantity Processed]]</f>
        <v>1</v>
      </c>
    </row>
    <row r="2262" spans="1:26">
      <c r="A2262" s="247" t="s">
        <v>467</v>
      </c>
      <c r="B2262" s="210" t="s">
        <v>68</v>
      </c>
      <c r="C2262" s="254" t="s">
        <v>1608</v>
      </c>
      <c r="D2262" s="255">
        <v>41</v>
      </c>
      <c r="E2262" s="211" t="s">
        <v>1962</v>
      </c>
      <c r="F2262" s="212">
        <v>43651</v>
      </c>
      <c r="G2262" s="213">
        <v>2.6</v>
      </c>
      <c r="H2262" s="256">
        <v>17</v>
      </c>
      <c r="I2262" s="214">
        <v>1466008</v>
      </c>
      <c r="J2262" s="215">
        <v>20700</v>
      </c>
      <c r="K2262" s="212">
        <v>43665</v>
      </c>
      <c r="L2262" s="211" t="s">
        <v>1966</v>
      </c>
      <c r="M2262" s="216">
        <v>4615447218</v>
      </c>
      <c r="N2262" s="212"/>
      <c r="O2262" s="218"/>
      <c r="P2262" s="219"/>
      <c r="Q2262" s="34">
        <f>SUMIF(Allocation[Delivery ID],Allocation[[#This Row],[Delivery ID]],Allocation[Quantity Processed])</f>
        <v>816</v>
      </c>
      <c r="R2262" s="61">
        <f>Allocation[[#This Row],[Total volume used]]/VLOOKUP(Allocation[[#This Row],[Delivery ID]],Delivery[[Delivery ID]:[Quantity delivered]],3,FALSE)</f>
        <v>0.19430884629122513</v>
      </c>
      <c r="S2262" s="34">
        <f>Allocation[[#This Row],[Quantity Processed]]/Allocation[[#This Row],[Dilution rate]]</f>
        <v>15.769230769230768</v>
      </c>
      <c r="T2262" s="59">
        <f>SUMIF(Allocation[Delivery ID],Allocation[[#This Row],[Delivery ID]],Allocation[Quantity allocated])/SUMIF(Allocation[Delivery ID],Allocation[[#This Row],[Delivery ID]],Allocation[Volume available (kg)])</f>
        <v>1.0950237598989234</v>
      </c>
      <c r="U2262" s="61">
        <f>Allocation[[#This Row],[Total volume used]]/VLOOKUP(Allocation[[#This Row],[Delivery ID]],Delivery[[Delivery ID]:[Quantity delivered]],3,FALSE)</f>
        <v>0.19430884629122513</v>
      </c>
      <c r="V2262" s="34" t="e">
        <f>VLOOKUP(Allocation[[#This Row],[SAP Contract number]],Shipments[[SAP Contract number]:[Contracted container weight]],2,FALSE)</f>
        <v>#N/A</v>
      </c>
      <c r="W2262" s="34" t="e">
        <f>VLOOKUP(Allocation[[#This Row],[SAP Contract number]],Shipments[[SAP Contract number]:[AAA Premium USD]],24,FALSE)</f>
        <v>#N/A</v>
      </c>
      <c r="X2262" s="34" t="e">
        <f>VLOOKUP(Allocation[[#This Row],[SAP Contract number]],Shipments[[SAP Contract number]:[RA Premium USD]],25,FALSE)</f>
        <v>#N/A</v>
      </c>
      <c r="Y2262" s="38">
        <f>Allocation[[#This Row],[Quantity Processed]]/Allocation[[#This Row],[Quantity allocated]]</f>
        <v>2.4117647058823528</v>
      </c>
      <c r="Z2262" s="34" t="b">
        <f>Allocation[[#This Row],[Quantity allocated]]&lt;=Allocation[[#This Row],[Quantity Processed]]</f>
        <v>1</v>
      </c>
    </row>
    <row r="2263" spans="1:26">
      <c r="A2263" s="247" t="s">
        <v>467</v>
      </c>
      <c r="B2263" s="210" t="s">
        <v>68</v>
      </c>
      <c r="C2263" s="254" t="s">
        <v>1609</v>
      </c>
      <c r="D2263" s="255">
        <v>4660</v>
      </c>
      <c r="E2263" s="211" t="s">
        <v>1962</v>
      </c>
      <c r="F2263" s="212">
        <v>43651</v>
      </c>
      <c r="G2263" s="213">
        <v>2.6</v>
      </c>
      <c r="H2263" s="256">
        <v>2656</v>
      </c>
      <c r="I2263" s="214">
        <v>1466008</v>
      </c>
      <c r="J2263" s="215">
        <v>20700</v>
      </c>
      <c r="K2263" s="212">
        <v>43665</v>
      </c>
      <c r="L2263" s="211" t="s">
        <v>1966</v>
      </c>
      <c r="M2263" s="216">
        <v>4615447218</v>
      </c>
      <c r="N2263" s="212"/>
      <c r="O2263" s="218"/>
      <c r="P2263" s="219"/>
      <c r="Q2263" s="34">
        <f>SUMIF(Allocation[Delivery ID],Allocation[[#This Row],[Delivery ID]],Allocation[Quantity Processed])</f>
        <v>24121</v>
      </c>
      <c r="R2263" s="61">
        <f>Allocation[[#This Row],[Total volume used]]/VLOOKUP(Allocation[[#This Row],[Delivery ID]],Delivery[[Delivery ID]:[Quantity delivered]],3,FALSE)</f>
        <v>0.78188006482982175</v>
      </c>
      <c r="S2263" s="34">
        <f>Allocation[[#This Row],[Quantity Processed]]/Allocation[[#This Row],[Dilution rate]]</f>
        <v>1792.3076923076922</v>
      </c>
      <c r="T2263" s="59">
        <f>SUMIF(Allocation[Delivery ID],Allocation[[#This Row],[Delivery ID]],Allocation[Quantity allocated])/SUMIF(Allocation[Delivery ID],Allocation[[#This Row],[Delivery ID]],Allocation[Volume available (kg)])</f>
        <v>1.4923482595490969</v>
      </c>
      <c r="U2263" s="61">
        <f>Allocation[[#This Row],[Total volume used]]/VLOOKUP(Allocation[[#This Row],[Delivery ID]],Delivery[[Delivery ID]:[Quantity delivered]],3,FALSE)</f>
        <v>0.78188006482982175</v>
      </c>
      <c r="V2263" s="34" t="e">
        <f>VLOOKUP(Allocation[[#This Row],[SAP Contract number]],Shipments[[SAP Contract number]:[Contracted container weight]],2,FALSE)</f>
        <v>#N/A</v>
      </c>
      <c r="W2263" s="34" t="e">
        <f>VLOOKUP(Allocation[[#This Row],[SAP Contract number]],Shipments[[SAP Contract number]:[AAA Premium USD]],24,FALSE)</f>
        <v>#N/A</v>
      </c>
      <c r="X2263" s="34" t="e">
        <f>VLOOKUP(Allocation[[#This Row],[SAP Contract number]],Shipments[[SAP Contract number]:[RA Premium USD]],25,FALSE)</f>
        <v>#N/A</v>
      </c>
      <c r="Y2263" s="38">
        <f>Allocation[[#This Row],[Quantity Processed]]/Allocation[[#This Row],[Quantity allocated]]</f>
        <v>1.7545180722891567</v>
      </c>
      <c r="Z2263" s="34" t="b">
        <f>Allocation[[#This Row],[Quantity allocated]]&lt;=Allocation[[#This Row],[Quantity Processed]]</f>
        <v>1</v>
      </c>
    </row>
    <row r="2264" spans="1:26">
      <c r="A2264" s="247" t="s">
        <v>467</v>
      </c>
      <c r="B2264" s="210" t="s">
        <v>68</v>
      </c>
      <c r="C2264" s="254" t="s">
        <v>1609</v>
      </c>
      <c r="D2264" s="255">
        <v>13059</v>
      </c>
      <c r="E2264" s="211" t="s">
        <v>1962</v>
      </c>
      <c r="F2264" s="212">
        <v>43651</v>
      </c>
      <c r="G2264" s="213">
        <v>2.6</v>
      </c>
      <c r="H2264" s="256">
        <v>7444</v>
      </c>
      <c r="I2264" s="214">
        <v>1466009</v>
      </c>
      <c r="J2264" s="215">
        <v>20700</v>
      </c>
      <c r="K2264" s="212">
        <v>43665</v>
      </c>
      <c r="L2264" s="211" t="s">
        <v>1967</v>
      </c>
      <c r="M2264" s="216">
        <v>4615447218</v>
      </c>
      <c r="N2264" s="212"/>
      <c r="O2264" s="218"/>
      <c r="P2264" s="219"/>
      <c r="Q2264" s="34">
        <f>SUMIF(Allocation[Delivery ID],Allocation[[#This Row],[Delivery ID]],Allocation[Quantity Processed])</f>
        <v>24121</v>
      </c>
      <c r="R2264" s="61">
        <f>Allocation[[#This Row],[Total volume used]]/VLOOKUP(Allocation[[#This Row],[Delivery ID]],Delivery[[Delivery ID]:[Quantity delivered]],3,FALSE)</f>
        <v>0.78188006482982175</v>
      </c>
      <c r="S2264" s="34">
        <f>Allocation[[#This Row],[Quantity Processed]]/Allocation[[#This Row],[Dilution rate]]</f>
        <v>5022.6923076923076</v>
      </c>
      <c r="T2264" s="59">
        <f>SUMIF(Allocation[Delivery ID],Allocation[[#This Row],[Delivery ID]],Allocation[Quantity allocated])/SUMIF(Allocation[Delivery ID],Allocation[[#This Row],[Delivery ID]],Allocation[Volume available (kg)])</f>
        <v>1.4923482595490969</v>
      </c>
      <c r="U2264" s="61">
        <f>Allocation[[#This Row],[Total volume used]]/VLOOKUP(Allocation[[#This Row],[Delivery ID]],Delivery[[Delivery ID]:[Quantity delivered]],3,FALSE)</f>
        <v>0.78188006482982175</v>
      </c>
      <c r="V2264" s="34" t="e">
        <f>VLOOKUP(Allocation[[#This Row],[SAP Contract number]],Shipments[[SAP Contract number]:[Contracted container weight]],2,FALSE)</f>
        <v>#N/A</v>
      </c>
      <c r="W2264" s="34" t="e">
        <f>VLOOKUP(Allocation[[#This Row],[SAP Contract number]],Shipments[[SAP Contract number]:[AAA Premium USD]],24,FALSE)</f>
        <v>#N/A</v>
      </c>
      <c r="X2264" s="34" t="e">
        <f>VLOOKUP(Allocation[[#This Row],[SAP Contract number]],Shipments[[SAP Contract number]:[RA Premium USD]],25,FALSE)</f>
        <v>#N/A</v>
      </c>
      <c r="Y2264" s="38">
        <f>Allocation[[#This Row],[Quantity Processed]]/Allocation[[#This Row],[Quantity allocated]]</f>
        <v>1.7542987641053198</v>
      </c>
      <c r="Z2264" s="34" t="b">
        <f>Allocation[[#This Row],[Quantity allocated]]&lt;=Allocation[[#This Row],[Quantity Processed]]</f>
        <v>1</v>
      </c>
    </row>
    <row r="2265" spans="1:26">
      <c r="A2265" s="247" t="s">
        <v>467</v>
      </c>
      <c r="B2265" s="210" t="s">
        <v>68</v>
      </c>
      <c r="C2265" s="254" t="s">
        <v>1610</v>
      </c>
      <c r="D2265" s="255">
        <v>197</v>
      </c>
      <c r="E2265" s="211" t="s">
        <v>1962</v>
      </c>
      <c r="F2265" s="212">
        <v>43651</v>
      </c>
      <c r="G2265" s="213">
        <v>2.6</v>
      </c>
      <c r="H2265" s="256">
        <v>61</v>
      </c>
      <c r="I2265" s="214">
        <v>1466009</v>
      </c>
      <c r="J2265" s="215">
        <v>20700</v>
      </c>
      <c r="K2265" s="212">
        <v>43665</v>
      </c>
      <c r="L2265" s="211" t="s">
        <v>1967</v>
      </c>
      <c r="M2265" s="216">
        <v>4615447218</v>
      </c>
      <c r="N2265" s="212"/>
      <c r="O2265" s="218"/>
      <c r="P2265" s="219"/>
      <c r="Q2265" s="34">
        <f>SUMIF(Allocation[Delivery ID],Allocation[[#This Row],[Delivery ID]],Allocation[Quantity Processed])</f>
        <v>4703</v>
      </c>
      <c r="R2265" s="61">
        <f>Allocation[[#This Row],[Total volume used]]/VLOOKUP(Allocation[[#This Row],[Delivery ID]],Delivery[[Delivery ID]:[Quantity delivered]],3,FALSE)</f>
        <v>0.3123879109930256</v>
      </c>
      <c r="S2265" s="34">
        <f>Allocation[[#This Row],[Quantity Processed]]/Allocation[[#This Row],[Dilution rate]]</f>
        <v>75.769230769230774</v>
      </c>
      <c r="T2265" s="59">
        <f>SUMIF(Allocation[Delivery ID],Allocation[[#This Row],[Delivery ID]],Allocation[Quantity allocated])/SUMIF(Allocation[Delivery ID],Allocation[[#This Row],[Delivery ID]],Allocation[Volume available (kg)])</f>
        <v>0.82429164199365212</v>
      </c>
      <c r="U2265" s="61">
        <f>Allocation[[#This Row],[Total volume used]]/VLOOKUP(Allocation[[#This Row],[Delivery ID]],Delivery[[Delivery ID]:[Quantity delivered]],3,FALSE)</f>
        <v>0.3123879109930256</v>
      </c>
      <c r="V2265" s="34" t="e">
        <f>VLOOKUP(Allocation[[#This Row],[SAP Contract number]],Shipments[[SAP Contract number]:[Contracted container weight]],2,FALSE)</f>
        <v>#N/A</v>
      </c>
      <c r="W2265" s="34" t="e">
        <f>VLOOKUP(Allocation[[#This Row],[SAP Contract number]],Shipments[[SAP Contract number]:[AAA Premium USD]],24,FALSE)</f>
        <v>#N/A</v>
      </c>
      <c r="X2265" s="34" t="e">
        <f>VLOOKUP(Allocation[[#This Row],[SAP Contract number]],Shipments[[SAP Contract number]:[RA Premium USD]],25,FALSE)</f>
        <v>#N/A</v>
      </c>
      <c r="Y2265" s="38">
        <f>Allocation[[#This Row],[Quantity Processed]]/Allocation[[#This Row],[Quantity allocated]]</f>
        <v>3.2295081967213113</v>
      </c>
      <c r="Z2265" s="34" t="b">
        <f>Allocation[[#This Row],[Quantity allocated]]&lt;=Allocation[[#This Row],[Quantity Processed]]</f>
        <v>1</v>
      </c>
    </row>
    <row r="2266" spans="1:26">
      <c r="A2266" s="247" t="s">
        <v>467</v>
      </c>
      <c r="B2266" s="210" t="s">
        <v>68</v>
      </c>
      <c r="C2266" s="254" t="s">
        <v>1611</v>
      </c>
      <c r="D2266" s="255">
        <v>858</v>
      </c>
      <c r="E2266" s="211" t="s">
        <v>1962</v>
      </c>
      <c r="F2266" s="212">
        <v>43651</v>
      </c>
      <c r="G2266" s="213">
        <v>2.6</v>
      </c>
      <c r="H2266" s="256">
        <v>266</v>
      </c>
      <c r="I2266" s="214">
        <v>1466009</v>
      </c>
      <c r="J2266" s="215">
        <v>20700</v>
      </c>
      <c r="K2266" s="212">
        <v>43665</v>
      </c>
      <c r="L2266" s="211" t="s">
        <v>1967</v>
      </c>
      <c r="M2266" s="216">
        <v>4615447218</v>
      </c>
      <c r="N2266" s="212"/>
      <c r="O2266" s="218"/>
      <c r="P2266" s="219"/>
      <c r="Q2266" s="34">
        <f>SUMIF(Allocation[Delivery ID],Allocation[[#This Row],[Delivery ID]],Allocation[Quantity Processed])</f>
        <v>21885</v>
      </c>
      <c r="R2266" s="61">
        <f>Allocation[[#This Row],[Total volume used]]/VLOOKUP(Allocation[[#This Row],[Delivery ID]],Delivery[[Delivery ID]:[Quantity delivered]],3,FALSE)</f>
        <v>0.65406455469216973</v>
      </c>
      <c r="S2266" s="34">
        <f>Allocation[[#This Row],[Quantity Processed]]/Allocation[[#This Row],[Dilution rate]]</f>
        <v>330</v>
      </c>
      <c r="T2266" s="59">
        <f>SUMIF(Allocation[Delivery ID],Allocation[[#This Row],[Delivery ID]],Allocation[Quantity allocated])/SUMIF(Allocation[Delivery ID],Allocation[[#This Row],[Delivery ID]],Allocation[Volume available (kg)])</f>
        <v>0.824778286832902</v>
      </c>
      <c r="U2266" s="61">
        <f>Allocation[[#This Row],[Total volume used]]/VLOOKUP(Allocation[[#This Row],[Delivery ID]],Delivery[[Delivery ID]:[Quantity delivered]],3,FALSE)</f>
        <v>0.65406455469216973</v>
      </c>
      <c r="V2266" s="34" t="e">
        <f>VLOOKUP(Allocation[[#This Row],[SAP Contract number]],Shipments[[SAP Contract number]:[Contracted container weight]],2,FALSE)</f>
        <v>#N/A</v>
      </c>
      <c r="W2266" s="34" t="e">
        <f>VLOOKUP(Allocation[[#This Row],[SAP Contract number]],Shipments[[SAP Contract number]:[AAA Premium USD]],24,FALSE)</f>
        <v>#N/A</v>
      </c>
      <c r="X2266" s="34" t="e">
        <f>VLOOKUP(Allocation[[#This Row],[SAP Contract number]],Shipments[[SAP Contract number]:[RA Premium USD]],25,FALSE)</f>
        <v>#N/A</v>
      </c>
      <c r="Y2266" s="38">
        <f>Allocation[[#This Row],[Quantity Processed]]/Allocation[[#This Row],[Quantity allocated]]</f>
        <v>3.225563909774436</v>
      </c>
      <c r="Z2266" s="34" t="b">
        <f>Allocation[[#This Row],[Quantity allocated]]&lt;=Allocation[[#This Row],[Quantity Processed]]</f>
        <v>1</v>
      </c>
    </row>
    <row r="2267" spans="1:26">
      <c r="A2267" s="247" t="s">
        <v>467</v>
      </c>
      <c r="B2267" s="210" t="s">
        <v>68</v>
      </c>
      <c r="C2267" s="254" t="s">
        <v>1613</v>
      </c>
      <c r="D2267" s="255">
        <v>5360</v>
      </c>
      <c r="E2267" s="211" t="s">
        <v>1962</v>
      </c>
      <c r="F2267" s="212">
        <v>43651</v>
      </c>
      <c r="G2267" s="213">
        <v>2.6</v>
      </c>
      <c r="H2267" s="256">
        <v>2680</v>
      </c>
      <c r="I2267" s="214">
        <v>1466009</v>
      </c>
      <c r="J2267" s="215">
        <v>20700</v>
      </c>
      <c r="K2267" s="212">
        <v>43665</v>
      </c>
      <c r="L2267" s="211" t="s">
        <v>1967</v>
      </c>
      <c r="M2267" s="216">
        <v>4615447218</v>
      </c>
      <c r="N2267" s="212"/>
      <c r="O2267" s="218"/>
      <c r="P2267" s="219"/>
      <c r="Q2267" s="34">
        <f>SUMIF(Allocation[Delivery ID],Allocation[[#This Row],[Delivery ID]],Allocation[Quantity Processed])</f>
        <v>17096</v>
      </c>
      <c r="R2267" s="61">
        <f>Allocation[[#This Row],[Total volume used]]/VLOOKUP(Allocation[[#This Row],[Delivery ID]],Delivery[[Delivery ID]:[Quantity delivered]],3,FALSE)</f>
        <v>0.48381938843372813</v>
      </c>
      <c r="S2267" s="34">
        <f>Allocation[[#This Row],[Quantity Processed]]/Allocation[[#This Row],[Dilution rate]]</f>
        <v>2061.5384615384614</v>
      </c>
      <c r="T2267" s="59">
        <f>SUMIF(Allocation[Delivery ID],Allocation[[#This Row],[Delivery ID]],Allocation[Quantity allocated])/SUMIF(Allocation[Delivery ID],Allocation[[#This Row],[Delivery ID]],Allocation[Volume available (kg)])</f>
        <v>1.3229793239919183</v>
      </c>
      <c r="U2267" s="61">
        <f>Allocation[[#This Row],[Total volume used]]/VLOOKUP(Allocation[[#This Row],[Delivery ID]],Delivery[[Delivery ID]:[Quantity delivered]],3,FALSE)</f>
        <v>0.48381938843372813</v>
      </c>
      <c r="V2267" s="34" t="e">
        <f>VLOOKUP(Allocation[[#This Row],[SAP Contract number]],Shipments[[SAP Contract number]:[Contracted container weight]],2,FALSE)</f>
        <v>#N/A</v>
      </c>
      <c r="W2267" s="34" t="e">
        <f>VLOOKUP(Allocation[[#This Row],[SAP Contract number]],Shipments[[SAP Contract number]:[AAA Premium USD]],24,FALSE)</f>
        <v>#N/A</v>
      </c>
      <c r="X2267" s="34" t="e">
        <f>VLOOKUP(Allocation[[#This Row],[SAP Contract number]],Shipments[[SAP Contract number]:[RA Premium USD]],25,FALSE)</f>
        <v>#N/A</v>
      </c>
      <c r="Y2267" s="38">
        <f>Allocation[[#This Row],[Quantity Processed]]/Allocation[[#This Row],[Quantity allocated]]</f>
        <v>2</v>
      </c>
      <c r="Z2267" s="34" t="b">
        <f>Allocation[[#This Row],[Quantity allocated]]&lt;=Allocation[[#This Row],[Quantity Processed]]</f>
        <v>1</v>
      </c>
    </row>
    <row r="2268" spans="1:26">
      <c r="A2268" s="247" t="s">
        <v>467</v>
      </c>
      <c r="B2268" s="210" t="s">
        <v>68</v>
      </c>
      <c r="C2268" s="254" t="s">
        <v>1614</v>
      </c>
      <c r="D2268" s="255">
        <v>721</v>
      </c>
      <c r="E2268" s="211" t="s">
        <v>1962</v>
      </c>
      <c r="F2268" s="212">
        <v>43651</v>
      </c>
      <c r="G2268" s="213">
        <v>2.6</v>
      </c>
      <c r="H2268" s="256">
        <v>238</v>
      </c>
      <c r="I2268" s="214">
        <v>1466009</v>
      </c>
      <c r="J2268" s="215">
        <v>20700</v>
      </c>
      <c r="K2268" s="212">
        <v>43665</v>
      </c>
      <c r="L2268" s="211" t="s">
        <v>1967</v>
      </c>
      <c r="M2268" s="216">
        <v>4615447218</v>
      </c>
      <c r="N2268" s="212"/>
      <c r="O2268" s="218"/>
      <c r="P2268" s="219"/>
      <c r="Q2268" s="34">
        <f>SUMIF(Allocation[Delivery ID],Allocation[[#This Row],[Delivery ID]],Allocation[Quantity Processed])</f>
        <v>18433</v>
      </c>
      <c r="R2268" s="61">
        <f>Allocation[[#This Row],[Total volume used]]/VLOOKUP(Allocation[[#This Row],[Delivery ID]],Delivery[[Delivery ID]:[Quantity delivered]],3,FALSE)</f>
        <v>0.61422859046984335</v>
      </c>
      <c r="S2268" s="34">
        <f>Allocation[[#This Row],[Quantity Processed]]/Allocation[[#This Row],[Dilution rate]]</f>
        <v>277.30769230769232</v>
      </c>
      <c r="T2268" s="59">
        <f>SUMIF(Allocation[Delivery ID],Allocation[[#This Row],[Delivery ID]],Allocation[Quantity allocated])/SUMIF(Allocation[Delivery ID],Allocation[[#This Row],[Delivery ID]],Allocation[Volume available (kg)])</f>
        <v>0.8780497905731125</v>
      </c>
      <c r="U2268" s="61">
        <f>Allocation[[#This Row],[Total volume used]]/VLOOKUP(Allocation[[#This Row],[Delivery ID]],Delivery[[Delivery ID]:[Quantity delivered]],3,FALSE)</f>
        <v>0.61422859046984335</v>
      </c>
      <c r="V2268" s="34" t="e">
        <f>VLOOKUP(Allocation[[#This Row],[SAP Contract number]],Shipments[[SAP Contract number]:[Contracted container weight]],2,FALSE)</f>
        <v>#N/A</v>
      </c>
      <c r="W2268" s="34" t="e">
        <f>VLOOKUP(Allocation[[#This Row],[SAP Contract number]],Shipments[[SAP Contract number]:[AAA Premium USD]],24,FALSE)</f>
        <v>#N/A</v>
      </c>
      <c r="X2268" s="34" t="e">
        <f>VLOOKUP(Allocation[[#This Row],[SAP Contract number]],Shipments[[SAP Contract number]:[RA Premium USD]],25,FALSE)</f>
        <v>#N/A</v>
      </c>
      <c r="Y2268" s="38">
        <f>Allocation[[#This Row],[Quantity Processed]]/Allocation[[#This Row],[Quantity allocated]]</f>
        <v>3.0294117647058822</v>
      </c>
      <c r="Z2268" s="34" t="b">
        <f>Allocation[[#This Row],[Quantity allocated]]&lt;=Allocation[[#This Row],[Quantity Processed]]</f>
        <v>1</v>
      </c>
    </row>
    <row r="2269" spans="1:26">
      <c r="A2269" s="247" t="s">
        <v>467</v>
      </c>
      <c r="B2269" s="210" t="s">
        <v>68</v>
      </c>
      <c r="C2269" s="254" t="s">
        <v>1616</v>
      </c>
      <c r="D2269" s="255">
        <v>721</v>
      </c>
      <c r="E2269" s="211" t="s">
        <v>1962</v>
      </c>
      <c r="F2269" s="212">
        <v>43651</v>
      </c>
      <c r="G2269" s="213">
        <v>2.6</v>
      </c>
      <c r="H2269" s="256">
        <v>238</v>
      </c>
      <c r="I2269" s="214">
        <v>1466009</v>
      </c>
      <c r="J2269" s="215">
        <v>20700</v>
      </c>
      <c r="K2269" s="212">
        <v>43665</v>
      </c>
      <c r="L2269" s="211" t="s">
        <v>1967</v>
      </c>
      <c r="M2269" s="216">
        <v>4615447218</v>
      </c>
      <c r="N2269" s="212"/>
      <c r="O2269" s="218"/>
      <c r="P2269" s="219"/>
      <c r="Q2269" s="34">
        <f>SUMIF(Allocation[Delivery ID],Allocation[[#This Row],[Delivery ID]],Allocation[Quantity Processed])</f>
        <v>18442</v>
      </c>
      <c r="R2269" s="61">
        <f>Allocation[[#This Row],[Total volume used]]/VLOOKUP(Allocation[[#This Row],[Delivery ID]],Delivery[[Delivery ID]:[Quantity delivered]],3,FALSE)</f>
        <v>0.61432378414390409</v>
      </c>
      <c r="S2269" s="34">
        <f>Allocation[[#This Row],[Quantity Processed]]/Allocation[[#This Row],[Dilution rate]]</f>
        <v>277.30769230769232</v>
      </c>
      <c r="T2269" s="59">
        <f>SUMIF(Allocation[Delivery ID],Allocation[[#This Row],[Delivery ID]],Allocation[Quantity allocated])/SUMIF(Allocation[Delivery ID],Allocation[[#This Row],[Delivery ID]],Allocation[Volume available (kg)])</f>
        <v>0.87805499845803603</v>
      </c>
      <c r="U2269" s="61">
        <f>Allocation[[#This Row],[Total volume used]]/VLOOKUP(Allocation[[#This Row],[Delivery ID]],Delivery[[Delivery ID]:[Quantity delivered]],3,FALSE)</f>
        <v>0.61432378414390409</v>
      </c>
      <c r="V2269" s="34" t="e">
        <f>VLOOKUP(Allocation[[#This Row],[SAP Contract number]],Shipments[[SAP Contract number]:[Contracted container weight]],2,FALSE)</f>
        <v>#N/A</v>
      </c>
      <c r="W2269" s="34" t="e">
        <f>VLOOKUP(Allocation[[#This Row],[SAP Contract number]],Shipments[[SAP Contract number]:[AAA Premium USD]],24,FALSE)</f>
        <v>#N/A</v>
      </c>
      <c r="X2269" s="34" t="e">
        <f>VLOOKUP(Allocation[[#This Row],[SAP Contract number]],Shipments[[SAP Contract number]:[RA Premium USD]],25,FALSE)</f>
        <v>#N/A</v>
      </c>
      <c r="Y2269" s="38">
        <f>Allocation[[#This Row],[Quantity Processed]]/Allocation[[#This Row],[Quantity allocated]]</f>
        <v>3.0294117647058822</v>
      </c>
      <c r="Z2269" s="34" t="b">
        <f>Allocation[[#This Row],[Quantity allocated]]&lt;=Allocation[[#This Row],[Quantity Processed]]</f>
        <v>1</v>
      </c>
    </row>
    <row r="2270" spans="1:26">
      <c r="A2270" s="247" t="s">
        <v>467</v>
      </c>
      <c r="B2270" s="210" t="s">
        <v>68</v>
      </c>
      <c r="C2270" s="254" t="s">
        <v>1617</v>
      </c>
      <c r="D2270" s="255">
        <v>1050</v>
      </c>
      <c r="E2270" s="211" t="s">
        <v>1962</v>
      </c>
      <c r="F2270" s="212">
        <v>43651</v>
      </c>
      <c r="G2270" s="213">
        <v>2.6</v>
      </c>
      <c r="H2270" s="256">
        <v>420</v>
      </c>
      <c r="I2270" s="214">
        <v>1466009</v>
      </c>
      <c r="J2270" s="215">
        <v>20700</v>
      </c>
      <c r="K2270" s="212">
        <v>43665</v>
      </c>
      <c r="L2270" s="211" t="s">
        <v>1967</v>
      </c>
      <c r="M2270" s="216">
        <v>4615447218</v>
      </c>
      <c r="N2270" s="212"/>
      <c r="O2270" s="218"/>
      <c r="P2270" s="219"/>
      <c r="Q2270" s="34">
        <f>SUMIF(Allocation[Delivery ID],Allocation[[#This Row],[Delivery ID]],Allocation[Quantity Processed])</f>
        <v>24596</v>
      </c>
      <c r="R2270" s="61">
        <f>Allocation[[#This Row],[Total volume used]]/VLOOKUP(Allocation[[#This Row],[Delivery ID]],Delivery[[Delivery ID]:[Quantity delivered]],3,FALSE)</f>
        <v>0.81687147127200266</v>
      </c>
      <c r="S2270" s="34">
        <f>Allocation[[#This Row],[Quantity Processed]]/Allocation[[#This Row],[Dilution rate]]</f>
        <v>403.84615384615381</v>
      </c>
      <c r="T2270" s="59">
        <f>SUMIF(Allocation[Delivery ID],Allocation[[#This Row],[Delivery ID]],Allocation[Quantity allocated])/SUMIF(Allocation[Delivery ID],Allocation[[#This Row],[Delivery ID]],Allocation[Volume available (kg)])</f>
        <v>1.0632147038798412</v>
      </c>
      <c r="U2270" s="61">
        <f>Allocation[[#This Row],[Total volume used]]/VLOOKUP(Allocation[[#This Row],[Delivery ID]],Delivery[[Delivery ID]:[Quantity delivered]],3,FALSE)</f>
        <v>0.81687147127200266</v>
      </c>
      <c r="V2270" s="34" t="e">
        <f>VLOOKUP(Allocation[[#This Row],[SAP Contract number]],Shipments[[SAP Contract number]:[Contracted container weight]],2,FALSE)</f>
        <v>#N/A</v>
      </c>
      <c r="W2270" s="34" t="e">
        <f>VLOOKUP(Allocation[[#This Row],[SAP Contract number]],Shipments[[SAP Contract number]:[AAA Premium USD]],24,FALSE)</f>
        <v>#N/A</v>
      </c>
      <c r="X2270" s="34" t="e">
        <f>VLOOKUP(Allocation[[#This Row],[SAP Contract number]],Shipments[[SAP Contract number]:[RA Premium USD]],25,FALSE)</f>
        <v>#N/A</v>
      </c>
      <c r="Y2270" s="38">
        <f>Allocation[[#This Row],[Quantity Processed]]/Allocation[[#This Row],[Quantity allocated]]</f>
        <v>2.5</v>
      </c>
      <c r="Z2270" s="34" t="b">
        <f>Allocation[[#This Row],[Quantity allocated]]&lt;=Allocation[[#This Row],[Quantity Processed]]</f>
        <v>1</v>
      </c>
    </row>
    <row r="2271" spans="1:26">
      <c r="A2271" s="247" t="s">
        <v>467</v>
      </c>
      <c r="B2271" s="210" t="s">
        <v>68</v>
      </c>
      <c r="C2271" s="254" t="s">
        <v>1618</v>
      </c>
      <c r="D2271" s="255">
        <v>721</v>
      </c>
      <c r="E2271" s="211" t="s">
        <v>1962</v>
      </c>
      <c r="F2271" s="212">
        <v>43651</v>
      </c>
      <c r="G2271" s="213">
        <v>2.6</v>
      </c>
      <c r="H2271" s="256">
        <v>238</v>
      </c>
      <c r="I2271" s="214">
        <v>1466009</v>
      </c>
      <c r="J2271" s="215">
        <v>20700</v>
      </c>
      <c r="K2271" s="212">
        <v>43665</v>
      </c>
      <c r="L2271" s="211" t="s">
        <v>1967</v>
      </c>
      <c r="M2271" s="216">
        <v>4615447218</v>
      </c>
      <c r="N2271" s="212"/>
      <c r="O2271" s="218"/>
      <c r="P2271" s="219"/>
      <c r="Q2271" s="34">
        <f>SUMIF(Allocation[Delivery ID],Allocation[[#This Row],[Delivery ID]],Allocation[Quantity Processed])</f>
        <v>18433</v>
      </c>
      <c r="R2271" s="61">
        <f>Allocation[[#This Row],[Total volume used]]/VLOOKUP(Allocation[[#This Row],[Delivery ID]],Delivery[[Delivery ID]:[Quantity delivered]],3,FALSE)</f>
        <v>0.61422859046984335</v>
      </c>
      <c r="S2271" s="34">
        <f>Allocation[[#This Row],[Quantity Processed]]/Allocation[[#This Row],[Dilution rate]]</f>
        <v>277.30769230769232</v>
      </c>
      <c r="T2271" s="59">
        <f>SUMIF(Allocation[Delivery ID],Allocation[[#This Row],[Delivery ID]],Allocation[Quantity allocated])/SUMIF(Allocation[Delivery ID],Allocation[[#This Row],[Delivery ID]],Allocation[Volume available (kg)])</f>
        <v>0.8780497905731125</v>
      </c>
      <c r="U2271" s="61">
        <f>Allocation[[#This Row],[Total volume used]]/VLOOKUP(Allocation[[#This Row],[Delivery ID]],Delivery[[Delivery ID]:[Quantity delivered]],3,FALSE)</f>
        <v>0.61422859046984335</v>
      </c>
      <c r="V2271" s="34" t="e">
        <f>VLOOKUP(Allocation[[#This Row],[SAP Contract number]],Shipments[[SAP Contract number]:[Contracted container weight]],2,FALSE)</f>
        <v>#N/A</v>
      </c>
      <c r="W2271" s="34" t="e">
        <f>VLOOKUP(Allocation[[#This Row],[SAP Contract number]],Shipments[[SAP Contract number]:[AAA Premium USD]],24,FALSE)</f>
        <v>#N/A</v>
      </c>
      <c r="X2271" s="34" t="e">
        <f>VLOOKUP(Allocation[[#This Row],[SAP Contract number]],Shipments[[SAP Contract number]:[RA Premium USD]],25,FALSE)</f>
        <v>#N/A</v>
      </c>
      <c r="Y2271" s="38">
        <f>Allocation[[#This Row],[Quantity Processed]]/Allocation[[#This Row],[Quantity allocated]]</f>
        <v>3.0294117647058822</v>
      </c>
      <c r="Z2271" s="34" t="b">
        <f>Allocation[[#This Row],[Quantity allocated]]&lt;=Allocation[[#This Row],[Quantity Processed]]</f>
        <v>1</v>
      </c>
    </row>
    <row r="2272" spans="1:26">
      <c r="A2272" s="247" t="s">
        <v>467</v>
      </c>
      <c r="B2272" s="210" t="s">
        <v>68</v>
      </c>
      <c r="C2272" s="254" t="s">
        <v>1619</v>
      </c>
      <c r="D2272" s="255">
        <v>724</v>
      </c>
      <c r="E2272" s="211" t="s">
        <v>1962</v>
      </c>
      <c r="F2272" s="212">
        <v>43651</v>
      </c>
      <c r="G2272" s="213">
        <v>2.6</v>
      </c>
      <c r="H2272" s="256">
        <v>239</v>
      </c>
      <c r="I2272" s="214">
        <v>1466009</v>
      </c>
      <c r="J2272" s="215">
        <v>20700</v>
      </c>
      <c r="K2272" s="212">
        <v>43665</v>
      </c>
      <c r="L2272" s="211" t="s">
        <v>1967</v>
      </c>
      <c r="M2272" s="216">
        <v>4615447218</v>
      </c>
      <c r="N2272" s="212"/>
      <c r="O2272" s="218"/>
      <c r="P2272" s="219"/>
      <c r="Q2272" s="34">
        <f>SUMIF(Allocation[Delivery ID],Allocation[[#This Row],[Delivery ID]],Allocation[Quantity Processed])</f>
        <v>18454</v>
      </c>
      <c r="R2272" s="61">
        <f>Allocation[[#This Row],[Total volume used]]/VLOOKUP(Allocation[[#This Row],[Delivery ID]],Delivery[[Delivery ID]:[Quantity delivered]],3,FALSE)</f>
        <v>0.61431424766977361</v>
      </c>
      <c r="S2272" s="34">
        <f>Allocation[[#This Row],[Quantity Processed]]/Allocation[[#This Row],[Dilution rate]]</f>
        <v>278.46153846153845</v>
      </c>
      <c r="T2272" s="59">
        <f>SUMIF(Allocation[Delivery ID],Allocation[[#This Row],[Delivery ID]],Allocation[Quantity allocated])/SUMIF(Allocation[Delivery ID],Allocation[[#This Row],[Delivery ID]],Allocation[Volume available (kg)])</f>
        <v>0.87805830582239175</v>
      </c>
      <c r="U2272" s="61">
        <f>Allocation[[#This Row],[Total volume used]]/VLOOKUP(Allocation[[#This Row],[Delivery ID]],Delivery[[Delivery ID]:[Quantity delivered]],3,FALSE)</f>
        <v>0.61431424766977361</v>
      </c>
      <c r="V2272" s="34" t="e">
        <f>VLOOKUP(Allocation[[#This Row],[SAP Contract number]],Shipments[[SAP Contract number]:[Contracted container weight]],2,FALSE)</f>
        <v>#N/A</v>
      </c>
      <c r="W2272" s="34" t="e">
        <f>VLOOKUP(Allocation[[#This Row],[SAP Contract number]],Shipments[[SAP Contract number]:[AAA Premium USD]],24,FALSE)</f>
        <v>#N/A</v>
      </c>
      <c r="X2272" s="34" t="e">
        <f>VLOOKUP(Allocation[[#This Row],[SAP Contract number]],Shipments[[SAP Contract number]:[RA Premium USD]],25,FALSE)</f>
        <v>#N/A</v>
      </c>
      <c r="Y2272" s="38">
        <f>Allocation[[#This Row],[Quantity Processed]]/Allocation[[#This Row],[Quantity allocated]]</f>
        <v>3.0292887029288704</v>
      </c>
      <c r="Z2272" s="34" t="b">
        <f>Allocation[[#This Row],[Quantity allocated]]&lt;=Allocation[[#This Row],[Quantity Processed]]</f>
        <v>1</v>
      </c>
    </row>
    <row r="2273" spans="1:26">
      <c r="A2273" s="247" t="s">
        <v>467</v>
      </c>
      <c r="B2273" s="210" t="s">
        <v>68</v>
      </c>
      <c r="C2273" s="254" t="s">
        <v>934</v>
      </c>
      <c r="D2273" s="255">
        <v>870</v>
      </c>
      <c r="E2273" s="211" t="s">
        <v>1962</v>
      </c>
      <c r="F2273" s="212">
        <v>43651</v>
      </c>
      <c r="G2273" s="213">
        <v>2.6</v>
      </c>
      <c r="H2273" s="256">
        <v>287</v>
      </c>
      <c r="I2273" s="214">
        <v>1466009</v>
      </c>
      <c r="J2273" s="215">
        <v>20700</v>
      </c>
      <c r="K2273" s="212">
        <v>43665</v>
      </c>
      <c r="L2273" s="211" t="s">
        <v>1967</v>
      </c>
      <c r="M2273" s="216">
        <v>4615447218</v>
      </c>
      <c r="N2273" s="212"/>
      <c r="O2273" s="218"/>
      <c r="P2273" s="219"/>
      <c r="Q2273" s="34">
        <f>SUMIF(Allocation[Delivery ID],Allocation[[#This Row],[Delivery ID]],Allocation[Quantity Processed])</f>
        <v>30146</v>
      </c>
      <c r="R2273" s="61">
        <f>Allocation[[#This Row],[Total volume used]]/VLOOKUP(Allocation[[#This Row],[Delivery ID]],Delivery[[Delivery ID]:[Quantity delivered]],3,FALSE)</f>
        <v>0.96525887739745764</v>
      </c>
      <c r="S2273" s="34">
        <f>Allocation[[#This Row],[Quantity Processed]]/Allocation[[#This Row],[Dilution rate]]</f>
        <v>334.61538461538458</v>
      </c>
      <c r="T2273" s="59">
        <f>SUMIF(Allocation[Delivery ID],Allocation[[#This Row],[Delivery ID]],Allocation[Quantity allocated])/SUMIF(Allocation[Delivery ID],Allocation[[#This Row],[Delivery ID]],Allocation[Volume available (kg)])</f>
        <v>0.7873812275223806</v>
      </c>
      <c r="U2273" s="61">
        <f>Allocation[[#This Row],[Total volume used]]/VLOOKUP(Allocation[[#This Row],[Delivery ID]],Delivery[[Delivery ID]:[Quantity delivered]],3,FALSE)</f>
        <v>0.96525887739745764</v>
      </c>
      <c r="V2273" s="34" t="e">
        <f>VLOOKUP(Allocation[[#This Row],[SAP Contract number]],Shipments[[SAP Contract number]:[Contracted container weight]],2,FALSE)</f>
        <v>#N/A</v>
      </c>
      <c r="W2273" s="34" t="e">
        <f>VLOOKUP(Allocation[[#This Row],[SAP Contract number]],Shipments[[SAP Contract number]:[AAA Premium USD]],24,FALSE)</f>
        <v>#N/A</v>
      </c>
      <c r="X2273" s="34" t="e">
        <f>VLOOKUP(Allocation[[#This Row],[SAP Contract number]],Shipments[[SAP Contract number]:[RA Premium USD]],25,FALSE)</f>
        <v>#N/A</v>
      </c>
      <c r="Y2273" s="38">
        <f>Allocation[[#This Row],[Quantity Processed]]/Allocation[[#This Row],[Quantity allocated]]</f>
        <v>3.0313588850174216</v>
      </c>
      <c r="Z2273" s="34" t="b">
        <f>Allocation[[#This Row],[Quantity allocated]]&lt;=Allocation[[#This Row],[Quantity Processed]]</f>
        <v>1</v>
      </c>
    </row>
    <row r="2274" spans="1:26">
      <c r="A2274" s="247" t="s">
        <v>467</v>
      </c>
      <c r="B2274" s="210" t="s">
        <v>68</v>
      </c>
      <c r="C2274" s="254" t="s">
        <v>936</v>
      </c>
      <c r="D2274" s="255">
        <v>864</v>
      </c>
      <c r="E2274" s="211" t="s">
        <v>1962</v>
      </c>
      <c r="F2274" s="212">
        <v>43651</v>
      </c>
      <c r="G2274" s="213">
        <v>2.6</v>
      </c>
      <c r="H2274" s="256">
        <v>285</v>
      </c>
      <c r="I2274" s="214">
        <v>1466009</v>
      </c>
      <c r="J2274" s="215">
        <v>20700</v>
      </c>
      <c r="K2274" s="212">
        <v>43665</v>
      </c>
      <c r="L2274" s="211" t="s">
        <v>1967</v>
      </c>
      <c r="M2274" s="216">
        <v>4615447218</v>
      </c>
      <c r="N2274" s="212"/>
      <c r="O2274" s="218"/>
      <c r="P2274" s="219"/>
      <c r="Q2274" s="34">
        <f>SUMIF(Allocation[Delivery ID],Allocation[[#This Row],[Delivery ID]],Allocation[Quantity Processed])</f>
        <v>30003</v>
      </c>
      <c r="R2274" s="61">
        <f>Allocation[[#This Row],[Total volume used]]/VLOOKUP(Allocation[[#This Row],[Delivery ID]],Delivery[[Delivery ID]:[Quantity delivered]],3,FALSE)</f>
        <v>0.96747980587846449</v>
      </c>
      <c r="S2274" s="34">
        <f>Allocation[[#This Row],[Quantity Processed]]/Allocation[[#This Row],[Dilution rate]]</f>
        <v>332.30769230769232</v>
      </c>
      <c r="T2274" s="59">
        <f>SUMIF(Allocation[Delivery ID],Allocation[[#This Row],[Delivery ID]],Allocation[Quantity allocated])/SUMIF(Allocation[Delivery ID],Allocation[[#This Row],[Delivery ID]],Allocation[Volume available (kg)])</f>
        <v>0.7871596743518644</v>
      </c>
      <c r="U2274" s="61">
        <f>Allocation[[#This Row],[Total volume used]]/VLOOKUP(Allocation[[#This Row],[Delivery ID]],Delivery[[Delivery ID]:[Quantity delivered]],3,FALSE)</f>
        <v>0.96747980587846449</v>
      </c>
      <c r="V2274" s="34" t="e">
        <f>VLOOKUP(Allocation[[#This Row],[SAP Contract number]],Shipments[[SAP Contract number]:[Contracted container weight]],2,FALSE)</f>
        <v>#N/A</v>
      </c>
      <c r="W2274" s="34" t="e">
        <f>VLOOKUP(Allocation[[#This Row],[SAP Contract number]],Shipments[[SAP Contract number]:[AAA Premium USD]],24,FALSE)</f>
        <v>#N/A</v>
      </c>
      <c r="X2274" s="34" t="e">
        <f>VLOOKUP(Allocation[[#This Row],[SAP Contract number]],Shipments[[SAP Contract number]:[RA Premium USD]],25,FALSE)</f>
        <v>#N/A</v>
      </c>
      <c r="Y2274" s="38">
        <f>Allocation[[#This Row],[Quantity Processed]]/Allocation[[#This Row],[Quantity allocated]]</f>
        <v>3.0315789473684212</v>
      </c>
      <c r="Z2274" s="34" t="b">
        <f>Allocation[[#This Row],[Quantity allocated]]&lt;=Allocation[[#This Row],[Quantity Processed]]</f>
        <v>1</v>
      </c>
    </row>
    <row r="2275" spans="1:26">
      <c r="A2275" s="247" t="s">
        <v>467</v>
      </c>
      <c r="B2275" s="210" t="s">
        <v>68</v>
      </c>
      <c r="C2275" s="254" t="s">
        <v>937</v>
      </c>
      <c r="D2275" s="255">
        <v>673</v>
      </c>
      <c r="E2275" s="211" t="s">
        <v>1962</v>
      </c>
      <c r="F2275" s="212">
        <v>43651</v>
      </c>
      <c r="G2275" s="213">
        <v>2.6</v>
      </c>
      <c r="H2275" s="256">
        <v>276</v>
      </c>
      <c r="I2275" s="214">
        <v>1466009</v>
      </c>
      <c r="J2275" s="215">
        <v>20700</v>
      </c>
      <c r="K2275" s="212">
        <v>43665</v>
      </c>
      <c r="L2275" s="211" t="s">
        <v>1967</v>
      </c>
      <c r="M2275" s="216">
        <v>4615447218</v>
      </c>
      <c r="N2275" s="212"/>
      <c r="O2275" s="218"/>
      <c r="P2275" s="219"/>
      <c r="Q2275" s="34">
        <f>SUMIF(Allocation[Delivery ID],Allocation[[#This Row],[Delivery ID]],Allocation[Quantity Processed])</f>
        <v>23371</v>
      </c>
      <c r="R2275" s="61">
        <f>Allocation[[#This Row],[Total volume used]]/VLOOKUP(Allocation[[#This Row],[Delivery ID]],Delivery[[Delivery ID]:[Quantity delivered]],3,FALSE)</f>
        <v>0.77825507825507823</v>
      </c>
      <c r="S2275" s="34">
        <f>Allocation[[#This Row],[Quantity Processed]]/Allocation[[#This Row],[Dilution rate]]</f>
        <v>258.84615384615381</v>
      </c>
      <c r="T2275" s="59">
        <f>SUMIF(Allocation[Delivery ID],Allocation[[#This Row],[Delivery ID]],Allocation[Quantity allocated])/SUMIF(Allocation[Delivery ID],Allocation[[#This Row],[Delivery ID]],Allocation[Volume available (kg)])</f>
        <v>0.97805484651195362</v>
      </c>
      <c r="U2275" s="61">
        <f>Allocation[[#This Row],[Total volume used]]/VLOOKUP(Allocation[[#This Row],[Delivery ID]],Delivery[[Delivery ID]:[Quantity delivered]],3,FALSE)</f>
        <v>0.77825507825507823</v>
      </c>
      <c r="V2275" s="34" t="e">
        <f>VLOOKUP(Allocation[[#This Row],[SAP Contract number]],Shipments[[SAP Contract number]:[Contracted container weight]],2,FALSE)</f>
        <v>#N/A</v>
      </c>
      <c r="W2275" s="34" t="e">
        <f>VLOOKUP(Allocation[[#This Row],[SAP Contract number]],Shipments[[SAP Contract number]:[AAA Premium USD]],24,FALSE)</f>
        <v>#N/A</v>
      </c>
      <c r="X2275" s="34" t="e">
        <f>VLOOKUP(Allocation[[#This Row],[SAP Contract number]],Shipments[[SAP Contract number]:[RA Premium USD]],25,FALSE)</f>
        <v>#N/A</v>
      </c>
      <c r="Y2275" s="38">
        <f>Allocation[[#This Row],[Quantity Processed]]/Allocation[[#This Row],[Quantity allocated]]</f>
        <v>2.4384057971014492</v>
      </c>
      <c r="Z2275" s="34" t="b">
        <f>Allocation[[#This Row],[Quantity allocated]]&lt;=Allocation[[#This Row],[Quantity Processed]]</f>
        <v>1</v>
      </c>
    </row>
    <row r="2276" spans="1:26">
      <c r="A2276" s="247" t="s">
        <v>467</v>
      </c>
      <c r="B2276" s="210" t="s">
        <v>68</v>
      </c>
      <c r="C2276" s="254" t="s">
        <v>939</v>
      </c>
      <c r="D2276" s="255">
        <v>814</v>
      </c>
      <c r="E2276" s="211" t="s">
        <v>1962</v>
      </c>
      <c r="F2276" s="212">
        <v>43651</v>
      </c>
      <c r="G2276" s="213">
        <v>2.6</v>
      </c>
      <c r="H2276" s="256">
        <v>269</v>
      </c>
      <c r="I2276" s="214">
        <v>1466009</v>
      </c>
      <c r="J2276" s="215">
        <v>20700</v>
      </c>
      <c r="K2276" s="212">
        <v>43665</v>
      </c>
      <c r="L2276" s="211" t="s">
        <v>1967</v>
      </c>
      <c r="M2276" s="216">
        <v>4615447218</v>
      </c>
      <c r="N2276" s="212"/>
      <c r="O2276" s="218"/>
      <c r="P2276" s="219"/>
      <c r="Q2276" s="34">
        <f>SUMIF(Allocation[Delivery ID],Allocation[[#This Row],[Delivery ID]],Allocation[Quantity Processed])</f>
        <v>13750</v>
      </c>
      <c r="R2276" s="61">
        <f>Allocation[[#This Row],[Total volume used]]/VLOOKUP(Allocation[[#This Row],[Delivery ID]],Delivery[[Delivery ID]:[Quantity delivered]],3,FALSE)</f>
        <v>1</v>
      </c>
      <c r="S2276" s="34">
        <f>Allocation[[#This Row],[Quantity Processed]]/Allocation[[#This Row],[Dilution rate]]</f>
        <v>313.07692307692309</v>
      </c>
      <c r="T2276" s="59">
        <f>SUMIF(Allocation[Delivery ID],Allocation[[#This Row],[Delivery ID]],Allocation[Quantity allocated])/SUMIF(Allocation[Delivery ID],Allocation[[#This Row],[Delivery ID]],Allocation[Volume available (kg)])</f>
        <v>0.78913135555090075</v>
      </c>
      <c r="U2276" s="61">
        <f>Allocation[[#This Row],[Total volume used]]/VLOOKUP(Allocation[[#This Row],[Delivery ID]],Delivery[[Delivery ID]:[Quantity delivered]],3,FALSE)</f>
        <v>1</v>
      </c>
      <c r="V2276" s="34" t="e">
        <f>VLOOKUP(Allocation[[#This Row],[SAP Contract number]],Shipments[[SAP Contract number]:[Contracted container weight]],2,FALSE)</f>
        <v>#N/A</v>
      </c>
      <c r="W2276" s="34" t="e">
        <f>VLOOKUP(Allocation[[#This Row],[SAP Contract number]],Shipments[[SAP Contract number]:[AAA Premium USD]],24,FALSE)</f>
        <v>#N/A</v>
      </c>
      <c r="X2276" s="34" t="e">
        <f>VLOOKUP(Allocation[[#This Row],[SAP Contract number]],Shipments[[SAP Contract number]:[RA Premium USD]],25,FALSE)</f>
        <v>#N/A</v>
      </c>
      <c r="Y2276" s="38">
        <f>Allocation[[#This Row],[Quantity Processed]]/Allocation[[#This Row],[Quantity allocated]]</f>
        <v>3.0260223048327139</v>
      </c>
      <c r="Z2276" s="34" t="b">
        <f>Allocation[[#This Row],[Quantity allocated]]&lt;=Allocation[[#This Row],[Quantity Processed]]</f>
        <v>1</v>
      </c>
    </row>
    <row r="2277" spans="1:26">
      <c r="A2277" s="247" t="s">
        <v>467</v>
      </c>
      <c r="B2277" s="210" t="s">
        <v>68</v>
      </c>
      <c r="C2277" s="254" t="s">
        <v>1620</v>
      </c>
      <c r="D2277" s="255">
        <v>12</v>
      </c>
      <c r="E2277" s="211" t="s">
        <v>1962</v>
      </c>
      <c r="F2277" s="212">
        <v>43651</v>
      </c>
      <c r="G2277" s="213">
        <v>2.6</v>
      </c>
      <c r="H2277" s="256">
        <v>4</v>
      </c>
      <c r="I2277" s="214">
        <v>1466009</v>
      </c>
      <c r="J2277" s="215">
        <v>20700</v>
      </c>
      <c r="K2277" s="212">
        <v>43665</v>
      </c>
      <c r="L2277" s="211" t="s">
        <v>1967</v>
      </c>
      <c r="M2277" s="216">
        <v>4615447218</v>
      </c>
      <c r="N2277" s="212"/>
      <c r="O2277" s="218"/>
      <c r="P2277" s="219"/>
      <c r="Q2277" s="34">
        <f>SUMIF(Allocation[Delivery ID],Allocation[[#This Row],[Delivery ID]],Allocation[Quantity Processed])</f>
        <v>595</v>
      </c>
      <c r="R2277" s="61">
        <f>Allocation[[#This Row],[Total volume used]]/VLOOKUP(Allocation[[#This Row],[Delivery ID]],Delivery[[Delivery ID]:[Quantity delivered]],3,FALSE)</f>
        <v>0.13947491795593062</v>
      </c>
      <c r="S2277" s="34">
        <f>Allocation[[#This Row],[Quantity Processed]]/Allocation[[#This Row],[Dilution rate]]</f>
        <v>4.615384615384615</v>
      </c>
      <c r="T2277" s="59">
        <f>SUMIF(Allocation[Delivery ID],Allocation[[#This Row],[Delivery ID]],Allocation[Quantity allocated])/SUMIF(Allocation[Delivery ID],Allocation[[#This Row],[Delivery ID]],Allocation[Volume available (kg)])</f>
        <v>0.73863829449507756</v>
      </c>
      <c r="U2277" s="61">
        <f>Allocation[[#This Row],[Total volume used]]/VLOOKUP(Allocation[[#This Row],[Delivery ID]],Delivery[[Delivery ID]:[Quantity delivered]],3,FALSE)</f>
        <v>0.13947491795593062</v>
      </c>
      <c r="V2277" s="34" t="e">
        <f>VLOOKUP(Allocation[[#This Row],[SAP Contract number]],Shipments[[SAP Contract number]:[Contracted container weight]],2,FALSE)</f>
        <v>#N/A</v>
      </c>
      <c r="W2277" s="34" t="e">
        <f>VLOOKUP(Allocation[[#This Row],[SAP Contract number]],Shipments[[SAP Contract number]:[AAA Premium USD]],24,FALSE)</f>
        <v>#N/A</v>
      </c>
      <c r="X2277" s="34" t="e">
        <f>VLOOKUP(Allocation[[#This Row],[SAP Contract number]],Shipments[[SAP Contract number]:[RA Premium USD]],25,FALSE)</f>
        <v>#N/A</v>
      </c>
      <c r="Y2277" s="38">
        <f>Allocation[[#This Row],[Quantity Processed]]/Allocation[[#This Row],[Quantity allocated]]</f>
        <v>3</v>
      </c>
      <c r="Z2277" s="34" t="b">
        <f>Allocation[[#This Row],[Quantity allocated]]&lt;=Allocation[[#This Row],[Quantity Processed]]</f>
        <v>1</v>
      </c>
    </row>
    <row r="2278" spans="1:26">
      <c r="A2278" s="247" t="s">
        <v>467</v>
      </c>
      <c r="B2278" s="210" t="s">
        <v>68</v>
      </c>
      <c r="C2278" s="254" t="s">
        <v>961</v>
      </c>
      <c r="D2278" s="255">
        <v>143</v>
      </c>
      <c r="E2278" s="211" t="s">
        <v>1962</v>
      </c>
      <c r="F2278" s="212">
        <v>43651</v>
      </c>
      <c r="G2278" s="213">
        <v>2.6</v>
      </c>
      <c r="H2278" s="256">
        <v>53</v>
      </c>
      <c r="I2278" s="214">
        <v>1466009</v>
      </c>
      <c r="J2278" s="215">
        <v>20700</v>
      </c>
      <c r="K2278" s="212">
        <v>43665</v>
      </c>
      <c r="L2278" s="211" t="s">
        <v>1967</v>
      </c>
      <c r="M2278" s="216">
        <v>4615447218</v>
      </c>
      <c r="N2278" s="212"/>
      <c r="O2278" s="218"/>
      <c r="P2278" s="219"/>
      <c r="Q2278" s="34">
        <f>SUMIF(Allocation[Delivery ID],Allocation[[#This Row],[Delivery ID]],Allocation[Quantity Processed])</f>
        <v>2816</v>
      </c>
      <c r="R2278" s="61">
        <f>Allocation[[#This Row],[Total volume used]]/VLOOKUP(Allocation[[#This Row],[Delivery ID]],Delivery[[Delivery ID]:[Quantity delivered]],3,FALSE)</f>
        <v>0.46692090863870006</v>
      </c>
      <c r="S2278" s="34">
        <f>Allocation[[#This Row],[Quantity Processed]]/Allocation[[#This Row],[Dilution rate]]</f>
        <v>55</v>
      </c>
      <c r="T2278" s="59">
        <f>SUMIF(Allocation[Delivery ID],Allocation[[#This Row],[Delivery ID]],Allocation[Quantity allocated])/SUMIF(Allocation[Delivery ID],Allocation[[#This Row],[Delivery ID]],Allocation[Volume available (kg)])</f>
        <v>0.9947900889252449</v>
      </c>
      <c r="U2278" s="61">
        <f>Allocation[[#This Row],[Total volume used]]/VLOOKUP(Allocation[[#This Row],[Delivery ID]],Delivery[[Delivery ID]:[Quantity delivered]],3,FALSE)</f>
        <v>0.46692090863870006</v>
      </c>
      <c r="V2278" s="34" t="e">
        <f>VLOOKUP(Allocation[[#This Row],[SAP Contract number]],Shipments[[SAP Contract number]:[Contracted container weight]],2,FALSE)</f>
        <v>#N/A</v>
      </c>
      <c r="W2278" s="34" t="e">
        <f>VLOOKUP(Allocation[[#This Row],[SAP Contract number]],Shipments[[SAP Contract number]:[AAA Premium USD]],24,FALSE)</f>
        <v>#N/A</v>
      </c>
      <c r="X2278" s="34" t="e">
        <f>VLOOKUP(Allocation[[#This Row],[SAP Contract number]],Shipments[[SAP Contract number]:[RA Premium USD]],25,FALSE)</f>
        <v>#N/A</v>
      </c>
      <c r="Y2278" s="38">
        <f>Allocation[[#This Row],[Quantity Processed]]/Allocation[[#This Row],[Quantity allocated]]</f>
        <v>2.6981132075471699</v>
      </c>
      <c r="Z2278" s="34" t="b">
        <f>Allocation[[#This Row],[Quantity allocated]]&lt;=Allocation[[#This Row],[Quantity Processed]]</f>
        <v>1</v>
      </c>
    </row>
    <row r="2279" spans="1:26">
      <c r="A2279" s="247" t="s">
        <v>467</v>
      </c>
      <c r="B2279" s="210" t="s">
        <v>68</v>
      </c>
      <c r="C2279" s="254" t="s">
        <v>1621</v>
      </c>
      <c r="D2279" s="255">
        <v>15</v>
      </c>
      <c r="E2279" s="211" t="s">
        <v>1962</v>
      </c>
      <c r="F2279" s="212">
        <v>43651</v>
      </c>
      <c r="G2279" s="213">
        <v>2.6</v>
      </c>
      <c r="H2279" s="256">
        <v>5</v>
      </c>
      <c r="I2279" s="214">
        <v>1466009</v>
      </c>
      <c r="J2279" s="215">
        <v>20700</v>
      </c>
      <c r="K2279" s="212">
        <v>43665</v>
      </c>
      <c r="L2279" s="211" t="s">
        <v>1967</v>
      </c>
      <c r="M2279" s="216">
        <v>4615447218</v>
      </c>
      <c r="N2279" s="212"/>
      <c r="O2279" s="218"/>
      <c r="P2279" s="219"/>
      <c r="Q2279" s="34">
        <f>SUMIF(Allocation[Delivery ID],Allocation[[#This Row],[Delivery ID]],Allocation[Quantity Processed])</f>
        <v>833</v>
      </c>
      <c r="R2279" s="61">
        <f>Allocation[[#This Row],[Total volume used]]/VLOOKUP(Allocation[[#This Row],[Delivery ID]],Delivery[[Delivery ID]:[Quantity delivered]],3,FALSE)</f>
        <v>0.13957774798927614</v>
      </c>
      <c r="S2279" s="34">
        <f>Allocation[[#This Row],[Quantity Processed]]/Allocation[[#This Row],[Dilution rate]]</f>
        <v>5.7692307692307692</v>
      </c>
      <c r="T2279" s="59">
        <f>SUMIF(Allocation[Delivery ID],Allocation[[#This Row],[Delivery ID]],Allocation[Quantity allocated])/SUMIF(Allocation[Delivery ID],Allocation[[#This Row],[Delivery ID]],Allocation[Volume available (kg)])</f>
        <v>0.74075001016675313</v>
      </c>
      <c r="U2279" s="61">
        <f>Allocation[[#This Row],[Total volume used]]/VLOOKUP(Allocation[[#This Row],[Delivery ID]],Delivery[[Delivery ID]:[Quantity delivered]],3,FALSE)</f>
        <v>0.13957774798927614</v>
      </c>
      <c r="V2279" s="34" t="e">
        <f>VLOOKUP(Allocation[[#This Row],[SAP Contract number]],Shipments[[SAP Contract number]:[Contracted container weight]],2,FALSE)</f>
        <v>#N/A</v>
      </c>
      <c r="W2279" s="34" t="e">
        <f>VLOOKUP(Allocation[[#This Row],[SAP Contract number]],Shipments[[SAP Contract number]:[AAA Premium USD]],24,FALSE)</f>
        <v>#N/A</v>
      </c>
      <c r="X2279" s="34" t="e">
        <f>VLOOKUP(Allocation[[#This Row],[SAP Contract number]],Shipments[[SAP Contract number]:[RA Premium USD]],25,FALSE)</f>
        <v>#N/A</v>
      </c>
      <c r="Y2279" s="38">
        <f>Allocation[[#This Row],[Quantity Processed]]/Allocation[[#This Row],[Quantity allocated]]</f>
        <v>3</v>
      </c>
      <c r="Z2279" s="34" t="b">
        <f>Allocation[[#This Row],[Quantity allocated]]&lt;=Allocation[[#This Row],[Quantity Processed]]</f>
        <v>1</v>
      </c>
    </row>
    <row r="2280" spans="1:26">
      <c r="A2280" s="247" t="s">
        <v>467</v>
      </c>
      <c r="B2280" s="210" t="s">
        <v>68</v>
      </c>
      <c r="C2280" s="254" t="s">
        <v>973</v>
      </c>
      <c r="D2280" s="255">
        <v>177</v>
      </c>
      <c r="E2280" s="211" t="s">
        <v>1962</v>
      </c>
      <c r="F2280" s="212">
        <v>43651</v>
      </c>
      <c r="G2280" s="213">
        <v>2.6</v>
      </c>
      <c r="H2280" s="256">
        <v>69</v>
      </c>
      <c r="I2280" s="214">
        <v>1466009</v>
      </c>
      <c r="J2280" s="215">
        <v>20700</v>
      </c>
      <c r="K2280" s="212">
        <v>43665</v>
      </c>
      <c r="L2280" s="211" t="s">
        <v>1967</v>
      </c>
      <c r="M2280" s="216">
        <v>4615447218</v>
      </c>
      <c r="N2280" s="212"/>
      <c r="O2280" s="218"/>
      <c r="P2280" s="219"/>
      <c r="Q2280" s="34">
        <f>SUMIF(Allocation[Delivery ID],Allocation[[#This Row],[Delivery ID]],Allocation[Quantity Processed])</f>
        <v>18984</v>
      </c>
      <c r="R2280" s="61">
        <f>Allocation[[#This Row],[Total volume used]]/VLOOKUP(Allocation[[#This Row],[Delivery ID]],Delivery[[Delivery ID]:[Quantity delivered]],3,FALSE)</f>
        <v>0.63174708818635605</v>
      </c>
      <c r="S2280" s="34">
        <f>Allocation[[#This Row],[Quantity Processed]]/Allocation[[#This Row],[Dilution rate]]</f>
        <v>68.07692307692308</v>
      </c>
      <c r="T2280" s="59">
        <f>SUMIF(Allocation[Delivery ID],Allocation[[#This Row],[Delivery ID]],Allocation[Quantity allocated])/SUMIF(Allocation[Delivery ID],Allocation[[#This Row],[Delivery ID]],Allocation[Volume available (kg)])</f>
        <v>0.86980715245582985</v>
      </c>
      <c r="U2280" s="61">
        <f>Allocation[[#This Row],[Total volume used]]/VLOOKUP(Allocation[[#This Row],[Delivery ID]],Delivery[[Delivery ID]:[Quantity delivered]],3,FALSE)</f>
        <v>0.63174708818635605</v>
      </c>
      <c r="V2280" s="34" t="e">
        <f>VLOOKUP(Allocation[[#This Row],[SAP Contract number]],Shipments[[SAP Contract number]:[Contracted container weight]],2,FALSE)</f>
        <v>#N/A</v>
      </c>
      <c r="W2280" s="34" t="e">
        <f>VLOOKUP(Allocation[[#This Row],[SAP Contract number]],Shipments[[SAP Contract number]:[AAA Premium USD]],24,FALSE)</f>
        <v>#N/A</v>
      </c>
      <c r="X2280" s="34" t="e">
        <f>VLOOKUP(Allocation[[#This Row],[SAP Contract number]],Shipments[[SAP Contract number]:[RA Premium USD]],25,FALSE)</f>
        <v>#N/A</v>
      </c>
      <c r="Y2280" s="38">
        <f>Allocation[[#This Row],[Quantity Processed]]/Allocation[[#This Row],[Quantity allocated]]</f>
        <v>2.5652173913043477</v>
      </c>
      <c r="Z2280" s="34" t="b">
        <f>Allocation[[#This Row],[Quantity allocated]]&lt;=Allocation[[#This Row],[Quantity Processed]]</f>
        <v>1</v>
      </c>
    </row>
    <row r="2281" spans="1:26">
      <c r="A2281" s="247" t="s">
        <v>467</v>
      </c>
      <c r="B2281" s="210" t="s">
        <v>68</v>
      </c>
      <c r="C2281" s="254" t="s">
        <v>978</v>
      </c>
      <c r="D2281" s="255">
        <v>103</v>
      </c>
      <c r="E2281" s="211" t="s">
        <v>1962</v>
      </c>
      <c r="F2281" s="212">
        <v>43651</v>
      </c>
      <c r="G2281" s="213">
        <v>2.6</v>
      </c>
      <c r="H2281" s="256">
        <v>34</v>
      </c>
      <c r="I2281" s="214">
        <v>1466009</v>
      </c>
      <c r="J2281" s="215">
        <v>20700</v>
      </c>
      <c r="K2281" s="212">
        <v>43665</v>
      </c>
      <c r="L2281" s="211" t="s">
        <v>1967</v>
      </c>
      <c r="M2281" s="216">
        <v>4615447218</v>
      </c>
      <c r="N2281" s="212"/>
      <c r="O2281" s="218"/>
      <c r="P2281" s="219"/>
      <c r="Q2281" s="34">
        <f>SUMIF(Allocation[Delivery ID],Allocation[[#This Row],[Delivery ID]],Allocation[Quantity Processed])</f>
        <v>10932</v>
      </c>
      <c r="R2281" s="61">
        <f>Allocation[[#This Row],[Total volume used]]/VLOOKUP(Allocation[[#This Row],[Delivery ID]],Delivery[[Delivery ID]:[Quantity delivered]],3,FALSE)</f>
        <v>0.72807192807192811</v>
      </c>
      <c r="S2281" s="34">
        <f>Allocation[[#This Row],[Quantity Processed]]/Allocation[[#This Row],[Dilution rate]]</f>
        <v>39.615384615384613</v>
      </c>
      <c r="T2281" s="59">
        <f>SUMIF(Allocation[Delivery ID],Allocation[[#This Row],[Delivery ID]],Allocation[Quantity allocated])/SUMIF(Allocation[Delivery ID],Allocation[[#This Row],[Delivery ID]],Allocation[Volume available (kg)])</f>
        <v>0.66709261121584584</v>
      </c>
      <c r="U2281" s="61">
        <f>Allocation[[#This Row],[Total volume used]]/VLOOKUP(Allocation[[#This Row],[Delivery ID]],Delivery[[Delivery ID]:[Quantity delivered]],3,FALSE)</f>
        <v>0.72807192807192811</v>
      </c>
      <c r="V2281" s="34" t="e">
        <f>VLOOKUP(Allocation[[#This Row],[SAP Contract number]],Shipments[[SAP Contract number]:[Contracted container weight]],2,FALSE)</f>
        <v>#N/A</v>
      </c>
      <c r="W2281" s="34" t="e">
        <f>VLOOKUP(Allocation[[#This Row],[SAP Contract number]],Shipments[[SAP Contract number]:[AAA Premium USD]],24,FALSE)</f>
        <v>#N/A</v>
      </c>
      <c r="X2281" s="34" t="e">
        <f>VLOOKUP(Allocation[[#This Row],[SAP Contract number]],Shipments[[SAP Contract number]:[RA Premium USD]],25,FALSE)</f>
        <v>#N/A</v>
      </c>
      <c r="Y2281" s="38">
        <f>Allocation[[#This Row],[Quantity Processed]]/Allocation[[#This Row],[Quantity allocated]]</f>
        <v>3.0294117647058822</v>
      </c>
      <c r="Z2281" s="34" t="b">
        <f>Allocation[[#This Row],[Quantity allocated]]&lt;=Allocation[[#This Row],[Quantity Processed]]</f>
        <v>1</v>
      </c>
    </row>
    <row r="2282" spans="1:26">
      <c r="A2282" s="247" t="s">
        <v>467</v>
      </c>
      <c r="B2282" s="210" t="s">
        <v>68</v>
      </c>
      <c r="C2282" s="254" t="s">
        <v>984</v>
      </c>
      <c r="D2282" s="255">
        <v>167</v>
      </c>
      <c r="E2282" s="211" t="s">
        <v>1962</v>
      </c>
      <c r="F2282" s="212">
        <v>43651</v>
      </c>
      <c r="G2282" s="213">
        <v>2.6</v>
      </c>
      <c r="H2282" s="256">
        <v>55</v>
      </c>
      <c r="I2282" s="214">
        <v>1466009</v>
      </c>
      <c r="J2282" s="215">
        <v>20700</v>
      </c>
      <c r="K2282" s="212">
        <v>43665</v>
      </c>
      <c r="L2282" s="211" t="s">
        <v>1967</v>
      </c>
      <c r="M2282" s="216">
        <v>4615447218</v>
      </c>
      <c r="N2282" s="212"/>
      <c r="O2282" s="218"/>
      <c r="P2282" s="219"/>
      <c r="Q2282" s="34">
        <f>SUMIF(Allocation[Delivery ID],Allocation[[#This Row],[Delivery ID]],Allocation[Quantity Processed])</f>
        <v>16184</v>
      </c>
      <c r="R2282" s="61">
        <f>Allocation[[#This Row],[Total volume used]]/VLOOKUP(Allocation[[#This Row],[Delivery ID]],Delivery[[Delivery ID]:[Quantity delivered]],3,FALSE)</f>
        <v>0.675741127348643</v>
      </c>
      <c r="S2282" s="34">
        <f>Allocation[[#This Row],[Quantity Processed]]/Allocation[[#This Row],[Dilution rate]]</f>
        <v>64.230769230769226</v>
      </c>
      <c r="T2282" s="59">
        <f>SUMIF(Allocation[Delivery ID],Allocation[[#This Row],[Delivery ID]],Allocation[Quantity allocated])/SUMIF(Allocation[Delivery ID],Allocation[[#This Row],[Delivery ID]],Allocation[Volume available (kg)])</f>
        <v>0.72306862817030149</v>
      </c>
      <c r="U2282" s="61">
        <f>Allocation[[#This Row],[Total volume used]]/VLOOKUP(Allocation[[#This Row],[Delivery ID]],Delivery[[Delivery ID]:[Quantity delivered]],3,FALSE)</f>
        <v>0.675741127348643</v>
      </c>
      <c r="V2282" s="34" t="e">
        <f>VLOOKUP(Allocation[[#This Row],[SAP Contract number]],Shipments[[SAP Contract number]:[Contracted container weight]],2,FALSE)</f>
        <v>#N/A</v>
      </c>
      <c r="W2282" s="34" t="e">
        <f>VLOOKUP(Allocation[[#This Row],[SAP Contract number]],Shipments[[SAP Contract number]:[AAA Premium USD]],24,FALSE)</f>
        <v>#N/A</v>
      </c>
      <c r="X2282" s="34" t="e">
        <f>VLOOKUP(Allocation[[#This Row],[SAP Contract number]],Shipments[[SAP Contract number]:[RA Premium USD]],25,FALSE)</f>
        <v>#N/A</v>
      </c>
      <c r="Y2282" s="38">
        <f>Allocation[[#This Row],[Quantity Processed]]/Allocation[[#This Row],[Quantity allocated]]</f>
        <v>3.0363636363636362</v>
      </c>
      <c r="Z2282" s="34" t="b">
        <f>Allocation[[#This Row],[Quantity allocated]]&lt;=Allocation[[#This Row],[Quantity Processed]]</f>
        <v>1</v>
      </c>
    </row>
    <row r="2283" spans="1:26">
      <c r="A2283" s="247" t="s">
        <v>467</v>
      </c>
      <c r="B2283" s="210" t="s">
        <v>68</v>
      </c>
      <c r="C2283" s="254" t="s">
        <v>985</v>
      </c>
      <c r="D2283" s="255">
        <v>71</v>
      </c>
      <c r="E2283" s="211" t="s">
        <v>1962</v>
      </c>
      <c r="F2283" s="212">
        <v>43651</v>
      </c>
      <c r="G2283" s="213">
        <v>2.6</v>
      </c>
      <c r="H2283" s="256">
        <v>25</v>
      </c>
      <c r="I2283" s="214">
        <v>1466009</v>
      </c>
      <c r="J2283" s="215">
        <v>20700</v>
      </c>
      <c r="K2283" s="212">
        <v>43665</v>
      </c>
      <c r="L2283" s="211" t="s">
        <v>1967</v>
      </c>
      <c r="M2283" s="216">
        <v>4615447218</v>
      </c>
      <c r="N2283" s="212"/>
      <c r="O2283" s="218"/>
      <c r="P2283" s="219"/>
      <c r="Q2283" s="34">
        <f>SUMIF(Allocation[Delivery ID],Allocation[[#This Row],[Delivery ID]],Allocation[Quantity Processed])</f>
        <v>7053</v>
      </c>
      <c r="R2283" s="61">
        <f>Allocation[[#This Row],[Total volume used]]/VLOOKUP(Allocation[[#This Row],[Delivery ID]],Delivery[[Delivery ID]:[Quantity delivered]],3,FALSE)</f>
        <v>0.63770343580470168</v>
      </c>
      <c r="S2283" s="34">
        <f>Allocation[[#This Row],[Quantity Processed]]/Allocation[[#This Row],[Dilution rate]]</f>
        <v>27.307692307692307</v>
      </c>
      <c r="T2283" s="59">
        <f>SUMIF(Allocation[Delivery ID],Allocation[[#This Row],[Delivery ID]],Allocation[Quantity allocated])/SUMIF(Allocation[Delivery ID],Allocation[[#This Row],[Delivery ID]],Allocation[Volume available (kg)])</f>
        <v>0.76690120298999431</v>
      </c>
      <c r="U2283" s="61">
        <f>Allocation[[#This Row],[Total volume used]]/VLOOKUP(Allocation[[#This Row],[Delivery ID]],Delivery[[Delivery ID]:[Quantity delivered]],3,FALSE)</f>
        <v>0.63770343580470168</v>
      </c>
      <c r="V2283" s="34" t="e">
        <f>VLOOKUP(Allocation[[#This Row],[SAP Contract number]],Shipments[[SAP Contract number]:[Contracted container weight]],2,FALSE)</f>
        <v>#N/A</v>
      </c>
      <c r="W2283" s="34" t="e">
        <f>VLOOKUP(Allocation[[#This Row],[SAP Contract number]],Shipments[[SAP Contract number]:[AAA Premium USD]],24,FALSE)</f>
        <v>#N/A</v>
      </c>
      <c r="X2283" s="34" t="e">
        <f>VLOOKUP(Allocation[[#This Row],[SAP Contract number]],Shipments[[SAP Contract number]:[RA Premium USD]],25,FALSE)</f>
        <v>#N/A</v>
      </c>
      <c r="Y2283" s="38">
        <f>Allocation[[#This Row],[Quantity Processed]]/Allocation[[#This Row],[Quantity allocated]]</f>
        <v>2.84</v>
      </c>
      <c r="Z2283" s="34" t="b">
        <f>Allocation[[#This Row],[Quantity allocated]]&lt;=Allocation[[#This Row],[Quantity Processed]]</f>
        <v>1</v>
      </c>
    </row>
    <row r="2284" spans="1:26">
      <c r="A2284" s="247" t="s">
        <v>467</v>
      </c>
      <c r="B2284" s="210" t="s">
        <v>68</v>
      </c>
      <c r="C2284" s="254" t="s">
        <v>987</v>
      </c>
      <c r="D2284" s="255">
        <v>35</v>
      </c>
      <c r="E2284" s="211" t="s">
        <v>1962</v>
      </c>
      <c r="F2284" s="212">
        <v>43651</v>
      </c>
      <c r="G2284" s="213">
        <v>2.6</v>
      </c>
      <c r="H2284" s="256">
        <v>12</v>
      </c>
      <c r="I2284" s="214">
        <v>1466009</v>
      </c>
      <c r="J2284" s="215">
        <v>20700</v>
      </c>
      <c r="K2284" s="212">
        <v>43665</v>
      </c>
      <c r="L2284" s="211" t="s">
        <v>1967</v>
      </c>
      <c r="M2284" s="216">
        <v>4615447218</v>
      </c>
      <c r="N2284" s="212"/>
      <c r="O2284" s="218"/>
      <c r="P2284" s="219"/>
      <c r="Q2284" s="34">
        <f>SUMIF(Allocation[Delivery ID],Allocation[[#This Row],[Delivery ID]],Allocation[Quantity Processed])</f>
        <v>3339</v>
      </c>
      <c r="R2284" s="61">
        <f>Allocation[[#This Row],[Total volume used]]/VLOOKUP(Allocation[[#This Row],[Delivery ID]],Delivery[[Delivery ID]:[Quantity delivered]],3,FALSE)</f>
        <v>0.65573448546739987</v>
      </c>
      <c r="S2284" s="34">
        <f>Allocation[[#This Row],[Quantity Processed]]/Allocation[[#This Row],[Dilution rate]]</f>
        <v>13.461538461538462</v>
      </c>
      <c r="T2284" s="59">
        <f>SUMIF(Allocation[Delivery ID],Allocation[[#This Row],[Delivery ID]],Allocation[Quantity allocated])/SUMIF(Allocation[Delivery ID],Allocation[[#This Row],[Delivery ID]],Allocation[Volume available (kg)])</f>
        <v>0.74487926835387097</v>
      </c>
      <c r="U2284" s="61">
        <f>Allocation[[#This Row],[Total volume used]]/VLOOKUP(Allocation[[#This Row],[Delivery ID]],Delivery[[Delivery ID]:[Quantity delivered]],3,FALSE)</f>
        <v>0.65573448546739987</v>
      </c>
      <c r="V2284" s="34" t="e">
        <f>VLOOKUP(Allocation[[#This Row],[SAP Contract number]],Shipments[[SAP Contract number]:[Contracted container weight]],2,FALSE)</f>
        <v>#N/A</v>
      </c>
      <c r="W2284" s="34" t="e">
        <f>VLOOKUP(Allocation[[#This Row],[SAP Contract number]],Shipments[[SAP Contract number]:[AAA Premium USD]],24,FALSE)</f>
        <v>#N/A</v>
      </c>
      <c r="X2284" s="34" t="e">
        <f>VLOOKUP(Allocation[[#This Row],[SAP Contract number]],Shipments[[SAP Contract number]:[RA Premium USD]],25,FALSE)</f>
        <v>#N/A</v>
      </c>
      <c r="Y2284" s="38">
        <f>Allocation[[#This Row],[Quantity Processed]]/Allocation[[#This Row],[Quantity allocated]]</f>
        <v>2.9166666666666665</v>
      </c>
      <c r="Z2284" s="34" t="b">
        <f>Allocation[[#This Row],[Quantity allocated]]&lt;=Allocation[[#This Row],[Quantity Processed]]</f>
        <v>1</v>
      </c>
    </row>
    <row r="2285" spans="1:26">
      <c r="A2285" s="247" t="s">
        <v>467</v>
      </c>
      <c r="B2285" s="210" t="s">
        <v>68</v>
      </c>
      <c r="C2285" s="254" t="s">
        <v>989</v>
      </c>
      <c r="D2285" s="255">
        <v>35</v>
      </c>
      <c r="E2285" s="211" t="s">
        <v>1962</v>
      </c>
      <c r="F2285" s="212">
        <v>43651</v>
      </c>
      <c r="G2285" s="213">
        <v>2.6</v>
      </c>
      <c r="H2285" s="256">
        <v>12</v>
      </c>
      <c r="I2285" s="214">
        <v>1466009</v>
      </c>
      <c r="J2285" s="215">
        <v>20700</v>
      </c>
      <c r="K2285" s="212">
        <v>43665</v>
      </c>
      <c r="L2285" s="211" t="s">
        <v>1967</v>
      </c>
      <c r="M2285" s="216">
        <v>4615447218</v>
      </c>
      <c r="N2285" s="212"/>
      <c r="O2285" s="218"/>
      <c r="P2285" s="219"/>
      <c r="Q2285" s="34">
        <f>SUMIF(Allocation[Delivery ID],Allocation[[#This Row],[Delivery ID]],Allocation[Quantity Processed])</f>
        <v>3415</v>
      </c>
      <c r="R2285" s="61">
        <f>Allocation[[#This Row],[Total volume used]]/VLOOKUP(Allocation[[#This Row],[Delivery ID]],Delivery[[Delivery ID]:[Quantity delivered]],3,FALSE)</f>
        <v>0.65521872601688413</v>
      </c>
      <c r="S2285" s="34">
        <f>Allocation[[#This Row],[Quantity Processed]]/Allocation[[#This Row],[Dilution rate]]</f>
        <v>13.461538461538462</v>
      </c>
      <c r="T2285" s="59">
        <f>SUMIF(Allocation[Delivery ID],Allocation[[#This Row],[Delivery ID]],Allocation[Quantity allocated])/SUMIF(Allocation[Delivery ID],Allocation[[#This Row],[Delivery ID]],Allocation[Volume available (kg)])</f>
        <v>0.74479024256456761</v>
      </c>
      <c r="U2285" s="61">
        <f>Allocation[[#This Row],[Total volume used]]/VLOOKUP(Allocation[[#This Row],[Delivery ID]],Delivery[[Delivery ID]:[Quantity delivered]],3,FALSE)</f>
        <v>0.65521872601688413</v>
      </c>
      <c r="V2285" s="34" t="e">
        <f>VLOOKUP(Allocation[[#This Row],[SAP Contract number]],Shipments[[SAP Contract number]:[Contracted container weight]],2,FALSE)</f>
        <v>#N/A</v>
      </c>
      <c r="W2285" s="34" t="e">
        <f>VLOOKUP(Allocation[[#This Row],[SAP Contract number]],Shipments[[SAP Contract number]:[AAA Premium USD]],24,FALSE)</f>
        <v>#N/A</v>
      </c>
      <c r="X2285" s="34" t="e">
        <f>VLOOKUP(Allocation[[#This Row],[SAP Contract number]],Shipments[[SAP Contract number]:[RA Premium USD]],25,FALSE)</f>
        <v>#N/A</v>
      </c>
      <c r="Y2285" s="38">
        <f>Allocation[[#This Row],[Quantity Processed]]/Allocation[[#This Row],[Quantity allocated]]</f>
        <v>2.9166666666666665</v>
      </c>
      <c r="Z2285" s="34" t="b">
        <f>Allocation[[#This Row],[Quantity allocated]]&lt;=Allocation[[#This Row],[Quantity Processed]]</f>
        <v>1</v>
      </c>
    </row>
    <row r="2286" spans="1:26">
      <c r="A2286" s="247" t="s">
        <v>467</v>
      </c>
      <c r="B2286" s="210" t="s">
        <v>68</v>
      </c>
      <c r="C2286" s="254" t="s">
        <v>990</v>
      </c>
      <c r="D2286" s="255">
        <v>44</v>
      </c>
      <c r="E2286" s="211" t="s">
        <v>1962</v>
      </c>
      <c r="F2286" s="212">
        <v>43651</v>
      </c>
      <c r="G2286" s="213">
        <v>2.6</v>
      </c>
      <c r="H2286" s="256">
        <v>15</v>
      </c>
      <c r="I2286" s="214">
        <v>1466009</v>
      </c>
      <c r="J2286" s="215">
        <v>20700</v>
      </c>
      <c r="K2286" s="212">
        <v>43665</v>
      </c>
      <c r="L2286" s="211" t="s">
        <v>1967</v>
      </c>
      <c r="M2286" s="216">
        <v>4615447218</v>
      </c>
      <c r="N2286" s="212"/>
      <c r="O2286" s="218"/>
      <c r="P2286" s="219"/>
      <c r="Q2286" s="34">
        <f>SUMIF(Allocation[Delivery ID],Allocation[[#This Row],[Delivery ID]],Allocation[Quantity Processed])</f>
        <v>4243</v>
      </c>
      <c r="R2286" s="61">
        <f>Allocation[[#This Row],[Total volume used]]/VLOOKUP(Allocation[[#This Row],[Delivery ID]],Delivery[[Delivery ID]:[Quantity delivered]],3,FALSE)</f>
        <v>0.65584666512095213</v>
      </c>
      <c r="S2286" s="34">
        <f>Allocation[[#This Row],[Quantity Processed]]/Allocation[[#This Row],[Dilution rate]]</f>
        <v>16.923076923076923</v>
      </c>
      <c r="T2286" s="59">
        <f>SUMIF(Allocation[Delivery ID],Allocation[[#This Row],[Delivery ID]],Allocation[Quantity allocated])/SUMIF(Allocation[Delivery ID],Allocation[[#This Row],[Delivery ID]],Allocation[Volume available (kg)])</f>
        <v>0.74465989275145106</v>
      </c>
      <c r="U2286" s="61">
        <f>Allocation[[#This Row],[Total volume used]]/VLOOKUP(Allocation[[#This Row],[Delivery ID]],Delivery[[Delivery ID]:[Quantity delivered]],3,FALSE)</f>
        <v>0.65584666512095213</v>
      </c>
      <c r="V2286" s="34" t="e">
        <f>VLOOKUP(Allocation[[#This Row],[SAP Contract number]],Shipments[[SAP Contract number]:[Contracted container weight]],2,FALSE)</f>
        <v>#N/A</v>
      </c>
      <c r="W2286" s="34" t="e">
        <f>VLOOKUP(Allocation[[#This Row],[SAP Contract number]],Shipments[[SAP Contract number]:[AAA Premium USD]],24,FALSE)</f>
        <v>#N/A</v>
      </c>
      <c r="X2286" s="34" t="e">
        <f>VLOOKUP(Allocation[[#This Row],[SAP Contract number]],Shipments[[SAP Contract number]:[RA Premium USD]],25,FALSE)</f>
        <v>#N/A</v>
      </c>
      <c r="Y2286" s="38">
        <f>Allocation[[#This Row],[Quantity Processed]]/Allocation[[#This Row],[Quantity allocated]]</f>
        <v>2.9333333333333331</v>
      </c>
      <c r="Z2286" s="34" t="b">
        <f>Allocation[[#This Row],[Quantity allocated]]&lt;=Allocation[[#This Row],[Quantity Processed]]</f>
        <v>1</v>
      </c>
    </row>
    <row r="2287" spans="1:26">
      <c r="A2287" s="247" t="s">
        <v>467</v>
      </c>
      <c r="B2287" s="210" t="s">
        <v>68</v>
      </c>
      <c r="C2287" s="254" t="s">
        <v>1623</v>
      </c>
      <c r="D2287" s="255">
        <v>448</v>
      </c>
      <c r="E2287" s="211" t="s">
        <v>1962</v>
      </c>
      <c r="F2287" s="212">
        <v>43651</v>
      </c>
      <c r="G2287" s="213">
        <v>2.6</v>
      </c>
      <c r="H2287" s="256">
        <v>148</v>
      </c>
      <c r="I2287" s="214">
        <v>1466009</v>
      </c>
      <c r="J2287" s="215">
        <v>20700</v>
      </c>
      <c r="K2287" s="212">
        <v>43665</v>
      </c>
      <c r="L2287" s="211" t="s">
        <v>1967</v>
      </c>
      <c r="M2287" s="216">
        <v>4615447218</v>
      </c>
      <c r="N2287" s="212"/>
      <c r="O2287" s="218"/>
      <c r="P2287" s="219"/>
      <c r="Q2287" s="34">
        <f>SUMIF(Allocation[Delivery ID],Allocation[[#This Row],[Delivery ID]],Allocation[Quantity Processed])</f>
        <v>13197</v>
      </c>
      <c r="R2287" s="61">
        <f>Allocation[[#This Row],[Total volume used]]/VLOOKUP(Allocation[[#This Row],[Delivery ID]],Delivery[[Delivery ID]:[Quantity delivered]],3,FALSE)</f>
        <v>0.41815589353612165</v>
      </c>
      <c r="S2287" s="34">
        <f>Allocation[[#This Row],[Quantity Processed]]/Allocation[[#This Row],[Dilution rate]]</f>
        <v>172.30769230769229</v>
      </c>
      <c r="T2287" s="59">
        <f>SUMIF(Allocation[Delivery ID],Allocation[[#This Row],[Delivery ID]],Allocation[Quantity allocated])/SUMIF(Allocation[Delivery ID],Allocation[[#This Row],[Delivery ID]],Allocation[Volume available (kg)])</f>
        <v>0.87986713282800932</v>
      </c>
      <c r="U2287" s="61">
        <f>Allocation[[#This Row],[Total volume used]]/VLOOKUP(Allocation[[#This Row],[Delivery ID]],Delivery[[Delivery ID]:[Quantity delivered]],3,FALSE)</f>
        <v>0.41815589353612165</v>
      </c>
      <c r="V2287" s="34" t="e">
        <f>VLOOKUP(Allocation[[#This Row],[SAP Contract number]],Shipments[[SAP Contract number]:[Contracted container weight]],2,FALSE)</f>
        <v>#N/A</v>
      </c>
      <c r="W2287" s="34" t="e">
        <f>VLOOKUP(Allocation[[#This Row],[SAP Contract number]],Shipments[[SAP Contract number]:[AAA Premium USD]],24,FALSE)</f>
        <v>#N/A</v>
      </c>
      <c r="X2287" s="34" t="e">
        <f>VLOOKUP(Allocation[[#This Row],[SAP Contract number]],Shipments[[SAP Contract number]:[RA Premium USD]],25,FALSE)</f>
        <v>#N/A</v>
      </c>
      <c r="Y2287" s="38">
        <f>Allocation[[#This Row],[Quantity Processed]]/Allocation[[#This Row],[Quantity allocated]]</f>
        <v>3.0270270270270272</v>
      </c>
      <c r="Z2287" s="34" t="b">
        <f>Allocation[[#This Row],[Quantity allocated]]&lt;=Allocation[[#This Row],[Quantity Processed]]</f>
        <v>1</v>
      </c>
    </row>
    <row r="2288" spans="1:26">
      <c r="A2288" s="247" t="s">
        <v>467</v>
      </c>
      <c r="B2288" s="210" t="s">
        <v>68</v>
      </c>
      <c r="C2288" s="254" t="s">
        <v>1625</v>
      </c>
      <c r="D2288" s="255">
        <v>373</v>
      </c>
      <c r="E2288" s="211" t="s">
        <v>1962</v>
      </c>
      <c r="F2288" s="212">
        <v>43651</v>
      </c>
      <c r="G2288" s="213">
        <v>2.6</v>
      </c>
      <c r="H2288" s="256">
        <v>123</v>
      </c>
      <c r="I2288" s="214">
        <v>1466009</v>
      </c>
      <c r="J2288" s="215">
        <v>20700</v>
      </c>
      <c r="K2288" s="212">
        <v>43665</v>
      </c>
      <c r="L2288" s="211" t="s">
        <v>1967</v>
      </c>
      <c r="M2288" s="216">
        <v>4615447218</v>
      </c>
      <c r="N2288" s="212"/>
      <c r="O2288" s="218"/>
      <c r="P2288" s="219"/>
      <c r="Q2288" s="34">
        <f>SUMIF(Allocation[Delivery ID],Allocation[[#This Row],[Delivery ID]],Allocation[Quantity Processed])</f>
        <v>9221</v>
      </c>
      <c r="R2288" s="61">
        <f>Allocation[[#This Row],[Total volume used]]/VLOOKUP(Allocation[[#This Row],[Delivery ID]],Delivery[[Delivery ID]:[Quantity delivered]],3,FALSE)</f>
        <v>0.3507417268923545</v>
      </c>
      <c r="S2288" s="34">
        <f>Allocation[[#This Row],[Quantity Processed]]/Allocation[[#This Row],[Dilution rate]]</f>
        <v>143.46153846153845</v>
      </c>
      <c r="T2288" s="59">
        <f>SUMIF(Allocation[Delivery ID],Allocation[[#This Row],[Delivery ID]],Allocation[Quantity allocated])/SUMIF(Allocation[Delivery ID],Allocation[[#This Row],[Delivery ID]],Allocation[Volume available (kg)])</f>
        <v>0.87778607677140652</v>
      </c>
      <c r="U2288" s="61">
        <f>Allocation[[#This Row],[Total volume used]]/VLOOKUP(Allocation[[#This Row],[Delivery ID]],Delivery[[Delivery ID]:[Quantity delivered]],3,FALSE)</f>
        <v>0.3507417268923545</v>
      </c>
      <c r="V2288" s="34" t="e">
        <f>VLOOKUP(Allocation[[#This Row],[SAP Contract number]],Shipments[[SAP Contract number]:[Contracted container weight]],2,FALSE)</f>
        <v>#N/A</v>
      </c>
      <c r="W2288" s="34" t="e">
        <f>VLOOKUP(Allocation[[#This Row],[SAP Contract number]],Shipments[[SAP Contract number]:[AAA Premium USD]],24,FALSE)</f>
        <v>#N/A</v>
      </c>
      <c r="X2288" s="34" t="e">
        <f>VLOOKUP(Allocation[[#This Row],[SAP Contract number]],Shipments[[SAP Contract number]:[RA Premium USD]],25,FALSE)</f>
        <v>#N/A</v>
      </c>
      <c r="Y2288" s="38">
        <f>Allocation[[#This Row],[Quantity Processed]]/Allocation[[#This Row],[Quantity allocated]]</f>
        <v>3.0325203252032522</v>
      </c>
      <c r="Z2288" s="34" t="b">
        <f>Allocation[[#This Row],[Quantity allocated]]&lt;=Allocation[[#This Row],[Quantity Processed]]</f>
        <v>1</v>
      </c>
    </row>
    <row r="2289" spans="1:26">
      <c r="A2289" s="247" t="s">
        <v>467</v>
      </c>
      <c r="B2289" s="210" t="s">
        <v>68</v>
      </c>
      <c r="C2289" s="254" t="s">
        <v>1627</v>
      </c>
      <c r="D2289" s="255">
        <v>424</v>
      </c>
      <c r="E2289" s="211" t="s">
        <v>1962</v>
      </c>
      <c r="F2289" s="212">
        <v>43651</v>
      </c>
      <c r="G2289" s="213">
        <v>2.6</v>
      </c>
      <c r="H2289" s="256">
        <v>140</v>
      </c>
      <c r="I2289" s="214">
        <v>1466009</v>
      </c>
      <c r="J2289" s="215">
        <v>20700</v>
      </c>
      <c r="K2289" s="212">
        <v>43665</v>
      </c>
      <c r="L2289" s="211" t="s">
        <v>1967</v>
      </c>
      <c r="M2289" s="216">
        <v>4615447218</v>
      </c>
      <c r="N2289" s="212"/>
      <c r="O2289" s="218"/>
      <c r="P2289" s="219"/>
      <c r="Q2289" s="34">
        <f>SUMIF(Allocation[Delivery ID],Allocation[[#This Row],[Delivery ID]],Allocation[Quantity Processed])</f>
        <v>12806</v>
      </c>
      <c r="R2289" s="61">
        <f>Allocation[[#This Row],[Total volume used]]/VLOOKUP(Allocation[[#This Row],[Delivery ID]],Delivery[[Delivery ID]:[Quantity delivered]],3,FALSE)</f>
        <v>0.42729396062729397</v>
      </c>
      <c r="S2289" s="34">
        <f>Allocation[[#This Row],[Quantity Processed]]/Allocation[[#This Row],[Dilution rate]]</f>
        <v>163.07692307692307</v>
      </c>
      <c r="T2289" s="59">
        <f>SUMIF(Allocation[Delivery ID],Allocation[[#This Row],[Delivery ID]],Allocation[Quantity allocated])/SUMIF(Allocation[Delivery ID],Allocation[[#This Row],[Delivery ID]],Allocation[Volume available (kg)])</f>
        <v>0.8801133997605286</v>
      </c>
      <c r="U2289" s="61">
        <f>Allocation[[#This Row],[Total volume used]]/VLOOKUP(Allocation[[#This Row],[Delivery ID]],Delivery[[Delivery ID]:[Quantity delivered]],3,FALSE)</f>
        <v>0.42729396062729397</v>
      </c>
      <c r="V2289" s="34" t="e">
        <f>VLOOKUP(Allocation[[#This Row],[SAP Contract number]],Shipments[[SAP Contract number]:[Contracted container weight]],2,FALSE)</f>
        <v>#N/A</v>
      </c>
      <c r="W2289" s="34" t="e">
        <f>VLOOKUP(Allocation[[#This Row],[SAP Contract number]],Shipments[[SAP Contract number]:[AAA Premium USD]],24,FALSE)</f>
        <v>#N/A</v>
      </c>
      <c r="X2289" s="34" t="e">
        <f>VLOOKUP(Allocation[[#This Row],[SAP Contract number]],Shipments[[SAP Contract number]:[RA Premium USD]],25,FALSE)</f>
        <v>#N/A</v>
      </c>
      <c r="Y2289" s="38">
        <f>Allocation[[#This Row],[Quantity Processed]]/Allocation[[#This Row],[Quantity allocated]]</f>
        <v>3.0285714285714285</v>
      </c>
      <c r="Z2289" s="34" t="b">
        <f>Allocation[[#This Row],[Quantity allocated]]&lt;=Allocation[[#This Row],[Quantity Processed]]</f>
        <v>1</v>
      </c>
    </row>
    <row r="2290" spans="1:26">
      <c r="A2290" s="247" t="s">
        <v>467</v>
      </c>
      <c r="B2290" s="210" t="s">
        <v>68</v>
      </c>
      <c r="C2290" s="254" t="s">
        <v>1628</v>
      </c>
      <c r="D2290" s="255">
        <v>18182</v>
      </c>
      <c r="E2290" s="211" t="s">
        <v>1962</v>
      </c>
      <c r="F2290" s="212">
        <v>43651</v>
      </c>
      <c r="G2290" s="213">
        <v>2.6</v>
      </c>
      <c r="H2290" s="256">
        <v>6000</v>
      </c>
      <c r="I2290" s="214">
        <v>1466009</v>
      </c>
      <c r="J2290" s="215">
        <v>20700</v>
      </c>
      <c r="K2290" s="212">
        <v>43665</v>
      </c>
      <c r="L2290" s="211" t="s">
        <v>1967</v>
      </c>
      <c r="M2290" s="216">
        <v>4615447218</v>
      </c>
      <c r="N2290" s="212"/>
      <c r="O2290" s="218"/>
      <c r="P2290" s="219"/>
      <c r="Q2290" s="34">
        <f>SUMIF(Allocation[Delivery ID],Allocation[[#This Row],[Delivery ID]],Allocation[Quantity Processed])</f>
        <v>22228</v>
      </c>
      <c r="R2290" s="61">
        <f>Allocation[[#This Row],[Total volume used]]/VLOOKUP(Allocation[[#This Row],[Delivery ID]],Delivery[[Delivery ID]:[Quantity delivered]],3,FALSE)</f>
        <v>0.9242411642411642</v>
      </c>
      <c r="S2290" s="34">
        <f>Allocation[[#This Row],[Quantity Processed]]/Allocation[[#This Row],[Dilution rate]]</f>
        <v>6993.0769230769229</v>
      </c>
      <c r="T2290" s="59">
        <f>SUMIF(Allocation[Delivery ID],Allocation[[#This Row],[Delivery ID]],Allocation[Quantity allocated])/SUMIF(Allocation[Delivery ID],Allocation[[#This Row],[Delivery ID]],Allocation[Volume available (kg)])</f>
        <v>0.83864200650369825</v>
      </c>
      <c r="U2290" s="61">
        <f>Allocation[[#This Row],[Total volume used]]/VLOOKUP(Allocation[[#This Row],[Delivery ID]],Delivery[[Delivery ID]:[Quantity delivered]],3,FALSE)</f>
        <v>0.9242411642411642</v>
      </c>
      <c r="V2290" s="34" t="e">
        <f>VLOOKUP(Allocation[[#This Row],[SAP Contract number]],Shipments[[SAP Contract number]:[Contracted container weight]],2,FALSE)</f>
        <v>#N/A</v>
      </c>
      <c r="W2290" s="34" t="e">
        <f>VLOOKUP(Allocation[[#This Row],[SAP Contract number]],Shipments[[SAP Contract number]:[AAA Premium USD]],24,FALSE)</f>
        <v>#N/A</v>
      </c>
      <c r="X2290" s="34" t="e">
        <f>VLOOKUP(Allocation[[#This Row],[SAP Contract number]],Shipments[[SAP Contract number]:[RA Premium USD]],25,FALSE)</f>
        <v>#N/A</v>
      </c>
      <c r="Y2290" s="38">
        <f>Allocation[[#This Row],[Quantity Processed]]/Allocation[[#This Row],[Quantity allocated]]</f>
        <v>3.0303333333333335</v>
      </c>
      <c r="Z2290" s="34" t="b">
        <f>Allocation[[#This Row],[Quantity allocated]]&lt;=Allocation[[#This Row],[Quantity Processed]]</f>
        <v>1</v>
      </c>
    </row>
    <row r="2291" spans="1:26">
      <c r="A2291" s="247" t="s">
        <v>467</v>
      </c>
      <c r="B2291" s="210" t="s">
        <v>68</v>
      </c>
      <c r="C2291" s="254" t="s">
        <v>1629</v>
      </c>
      <c r="D2291" s="255">
        <v>165</v>
      </c>
      <c r="E2291" s="211" t="s">
        <v>1962</v>
      </c>
      <c r="F2291" s="212">
        <v>43651</v>
      </c>
      <c r="G2291" s="213">
        <v>2.6</v>
      </c>
      <c r="H2291" s="256">
        <v>56</v>
      </c>
      <c r="I2291" s="214">
        <v>1466009</v>
      </c>
      <c r="J2291" s="215">
        <v>20700</v>
      </c>
      <c r="K2291" s="212">
        <v>43665</v>
      </c>
      <c r="L2291" s="211" t="s">
        <v>1967</v>
      </c>
      <c r="M2291" s="216">
        <v>4615447218</v>
      </c>
      <c r="N2291" s="212"/>
      <c r="O2291" s="218"/>
      <c r="P2291" s="219"/>
      <c r="Q2291" s="34">
        <f>SUMIF(Allocation[Delivery ID],Allocation[[#This Row],[Delivery ID]],Allocation[Quantity Processed])</f>
        <v>3397</v>
      </c>
      <c r="R2291" s="61">
        <f>Allocation[[#This Row],[Total volume used]]/VLOOKUP(Allocation[[#This Row],[Delivery ID]],Delivery[[Delivery ID]:[Quantity delivered]],3,FALSE)</f>
        <v>0.2823773898586866</v>
      </c>
      <c r="S2291" s="34">
        <f>Allocation[[#This Row],[Quantity Processed]]/Allocation[[#This Row],[Dilution rate]]</f>
        <v>63.46153846153846</v>
      </c>
      <c r="T2291" s="59">
        <f>SUMIF(Allocation[Delivery ID],Allocation[[#This Row],[Delivery ID]],Allocation[Quantity allocated])/SUMIF(Allocation[Delivery ID],Allocation[[#This Row],[Delivery ID]],Allocation[Volume available (kg)])</f>
        <v>0.9072269365467488</v>
      </c>
      <c r="U2291" s="61">
        <f>Allocation[[#This Row],[Total volume used]]/VLOOKUP(Allocation[[#This Row],[Delivery ID]],Delivery[[Delivery ID]:[Quantity delivered]],3,FALSE)</f>
        <v>0.2823773898586866</v>
      </c>
      <c r="V2291" s="34" t="e">
        <f>VLOOKUP(Allocation[[#This Row],[SAP Contract number]],Shipments[[SAP Contract number]:[Contracted container weight]],2,FALSE)</f>
        <v>#N/A</v>
      </c>
      <c r="W2291" s="34" t="e">
        <f>VLOOKUP(Allocation[[#This Row],[SAP Contract number]],Shipments[[SAP Contract number]:[AAA Premium USD]],24,FALSE)</f>
        <v>#N/A</v>
      </c>
      <c r="X2291" s="34" t="e">
        <f>VLOOKUP(Allocation[[#This Row],[SAP Contract number]],Shipments[[SAP Contract number]:[RA Premium USD]],25,FALSE)</f>
        <v>#N/A</v>
      </c>
      <c r="Y2291" s="38">
        <f>Allocation[[#This Row],[Quantity Processed]]/Allocation[[#This Row],[Quantity allocated]]</f>
        <v>2.9464285714285716</v>
      </c>
      <c r="Z2291" s="34" t="b">
        <f>Allocation[[#This Row],[Quantity allocated]]&lt;=Allocation[[#This Row],[Quantity Processed]]</f>
        <v>1</v>
      </c>
    </row>
    <row r="2292" spans="1:26">
      <c r="A2292" s="247" t="s">
        <v>467</v>
      </c>
      <c r="B2292" s="210" t="s">
        <v>68</v>
      </c>
      <c r="C2292" s="254" t="s">
        <v>1630</v>
      </c>
      <c r="D2292" s="255">
        <v>427</v>
      </c>
      <c r="E2292" s="211" t="s">
        <v>1962</v>
      </c>
      <c r="F2292" s="212">
        <v>43651</v>
      </c>
      <c r="G2292" s="213">
        <v>2.6</v>
      </c>
      <c r="H2292" s="256">
        <v>141</v>
      </c>
      <c r="I2292" s="214">
        <v>1466009</v>
      </c>
      <c r="J2292" s="215">
        <v>20700</v>
      </c>
      <c r="K2292" s="212">
        <v>43665</v>
      </c>
      <c r="L2292" s="211" t="s">
        <v>1967</v>
      </c>
      <c r="M2292" s="216">
        <v>4615447218</v>
      </c>
      <c r="N2292" s="212"/>
      <c r="O2292" s="218"/>
      <c r="P2292" s="219"/>
      <c r="Q2292" s="34">
        <f>SUMIF(Allocation[Delivery ID],Allocation[[#This Row],[Delivery ID]],Allocation[Quantity Processed])</f>
        <v>13127</v>
      </c>
      <c r="R2292" s="61">
        <f>Allocation[[#This Row],[Total volume used]]/VLOOKUP(Allocation[[#This Row],[Delivery ID]],Delivery[[Delivery ID]:[Quantity delivered]],3,FALSE)</f>
        <v>0.7292777777777778</v>
      </c>
      <c r="S2292" s="34">
        <f>Allocation[[#This Row],[Quantity Processed]]/Allocation[[#This Row],[Dilution rate]]</f>
        <v>164.23076923076923</v>
      </c>
      <c r="T2292" s="59">
        <f>SUMIF(Allocation[Delivery ID],Allocation[[#This Row],[Delivery ID]],Allocation[Quantity allocated])/SUMIF(Allocation[Delivery ID],Allocation[[#This Row],[Delivery ID]],Allocation[Volume available (kg)])</f>
        <v>0.88036184176841381</v>
      </c>
      <c r="U2292" s="61">
        <f>Allocation[[#This Row],[Total volume used]]/VLOOKUP(Allocation[[#This Row],[Delivery ID]],Delivery[[Delivery ID]:[Quantity delivered]],3,FALSE)</f>
        <v>0.7292777777777778</v>
      </c>
      <c r="V2292" s="34" t="e">
        <f>VLOOKUP(Allocation[[#This Row],[SAP Contract number]],Shipments[[SAP Contract number]:[Contracted container weight]],2,FALSE)</f>
        <v>#N/A</v>
      </c>
      <c r="W2292" s="34" t="e">
        <f>VLOOKUP(Allocation[[#This Row],[SAP Contract number]],Shipments[[SAP Contract number]:[AAA Premium USD]],24,FALSE)</f>
        <v>#N/A</v>
      </c>
      <c r="X2292" s="34" t="e">
        <f>VLOOKUP(Allocation[[#This Row],[SAP Contract number]],Shipments[[SAP Contract number]:[RA Premium USD]],25,FALSE)</f>
        <v>#N/A</v>
      </c>
      <c r="Y2292" s="38">
        <f>Allocation[[#This Row],[Quantity Processed]]/Allocation[[#This Row],[Quantity allocated]]</f>
        <v>3.0283687943262412</v>
      </c>
      <c r="Z2292" s="34" t="b">
        <f>Allocation[[#This Row],[Quantity allocated]]&lt;=Allocation[[#This Row],[Quantity Processed]]</f>
        <v>1</v>
      </c>
    </row>
    <row r="2293" spans="1:26">
      <c r="A2293" s="247" t="s">
        <v>467</v>
      </c>
      <c r="B2293" s="210" t="s">
        <v>68</v>
      </c>
      <c r="C2293" s="254" t="s">
        <v>1631</v>
      </c>
      <c r="D2293" s="255">
        <v>70</v>
      </c>
      <c r="E2293" s="211" t="s">
        <v>1962</v>
      </c>
      <c r="F2293" s="212">
        <v>43651</v>
      </c>
      <c r="G2293" s="213">
        <v>2.6</v>
      </c>
      <c r="H2293" s="256">
        <v>42</v>
      </c>
      <c r="I2293" s="214">
        <v>1466009</v>
      </c>
      <c r="J2293" s="215">
        <v>20700</v>
      </c>
      <c r="K2293" s="212">
        <v>43665</v>
      </c>
      <c r="L2293" s="211" t="s">
        <v>1967</v>
      </c>
      <c r="M2293" s="216">
        <v>4615447218</v>
      </c>
      <c r="N2293" s="212"/>
      <c r="O2293" s="218"/>
      <c r="P2293" s="219"/>
      <c r="Q2293" s="34">
        <f>SUMIF(Allocation[Delivery ID],Allocation[[#This Row],[Delivery ID]],Allocation[Quantity Processed])</f>
        <v>1444</v>
      </c>
      <c r="R2293" s="61">
        <f>Allocation[[#This Row],[Total volume used]]/VLOOKUP(Allocation[[#This Row],[Delivery ID]],Delivery[[Delivery ID]:[Quantity delivered]],3,FALSE)</f>
        <v>0.15992911728873629</v>
      </c>
      <c r="S2293" s="34">
        <f>Allocation[[#This Row],[Quantity Processed]]/Allocation[[#This Row],[Dilution rate]]</f>
        <v>26.923076923076923</v>
      </c>
      <c r="T2293" s="59">
        <f>SUMIF(Allocation[Delivery ID],Allocation[[#This Row],[Delivery ID]],Allocation[Quantity allocated])/SUMIF(Allocation[Delivery ID],Allocation[[#This Row],[Delivery ID]],Allocation[Volume available (kg)])</f>
        <v>1.6020532873526978</v>
      </c>
      <c r="U2293" s="61">
        <f>Allocation[[#This Row],[Total volume used]]/VLOOKUP(Allocation[[#This Row],[Delivery ID]],Delivery[[Delivery ID]:[Quantity delivered]],3,FALSE)</f>
        <v>0.15992911728873629</v>
      </c>
      <c r="V2293" s="34" t="e">
        <f>VLOOKUP(Allocation[[#This Row],[SAP Contract number]],Shipments[[SAP Contract number]:[Contracted container weight]],2,FALSE)</f>
        <v>#N/A</v>
      </c>
      <c r="W2293" s="34" t="e">
        <f>VLOOKUP(Allocation[[#This Row],[SAP Contract number]],Shipments[[SAP Contract number]:[AAA Premium USD]],24,FALSE)</f>
        <v>#N/A</v>
      </c>
      <c r="X2293" s="34" t="e">
        <f>VLOOKUP(Allocation[[#This Row],[SAP Contract number]],Shipments[[SAP Contract number]:[RA Premium USD]],25,FALSE)</f>
        <v>#N/A</v>
      </c>
      <c r="Y2293" s="38">
        <f>Allocation[[#This Row],[Quantity Processed]]/Allocation[[#This Row],[Quantity allocated]]</f>
        <v>1.6666666666666667</v>
      </c>
      <c r="Z2293" s="34" t="b">
        <f>Allocation[[#This Row],[Quantity allocated]]&lt;=Allocation[[#This Row],[Quantity Processed]]</f>
        <v>1</v>
      </c>
    </row>
    <row r="2294" spans="1:26">
      <c r="A2294" s="247" t="s">
        <v>467</v>
      </c>
      <c r="B2294" s="210" t="s">
        <v>68</v>
      </c>
      <c r="C2294" s="254" t="s">
        <v>1632</v>
      </c>
      <c r="D2294" s="255">
        <v>388</v>
      </c>
      <c r="E2294" s="211" t="s">
        <v>1962</v>
      </c>
      <c r="F2294" s="212">
        <v>43651</v>
      </c>
      <c r="G2294" s="213">
        <v>2.6</v>
      </c>
      <c r="H2294" s="256">
        <v>130</v>
      </c>
      <c r="I2294" s="214">
        <v>1466009</v>
      </c>
      <c r="J2294" s="215">
        <v>20700</v>
      </c>
      <c r="K2294" s="212">
        <v>43665</v>
      </c>
      <c r="L2294" s="211" t="s">
        <v>1967</v>
      </c>
      <c r="M2294" s="216">
        <v>4615447218</v>
      </c>
      <c r="N2294" s="212"/>
      <c r="O2294" s="218"/>
      <c r="P2294" s="219"/>
      <c r="Q2294" s="34">
        <f>SUMIF(Allocation[Delivery ID],Allocation[[#This Row],[Delivery ID]],Allocation[Quantity Processed])</f>
        <v>3300</v>
      </c>
      <c r="R2294" s="61">
        <f>Allocation[[#This Row],[Total volume used]]/VLOOKUP(Allocation[[#This Row],[Delivery ID]],Delivery[[Delivery ID]:[Quantity delivered]],3,FALSE)</f>
        <v>1</v>
      </c>
      <c r="S2294" s="34">
        <f>Allocation[[#This Row],[Quantity Processed]]/Allocation[[#This Row],[Dilution rate]]</f>
        <v>149.23076923076923</v>
      </c>
      <c r="T2294" s="59">
        <f>SUMIF(Allocation[Delivery ID],Allocation[[#This Row],[Delivery ID]],Allocation[Quantity allocated])/SUMIF(Allocation[Delivery ID],Allocation[[#This Row],[Delivery ID]],Allocation[Volume available (kg)])</f>
        <v>0.88046042152952353</v>
      </c>
      <c r="U2294" s="61">
        <f>Allocation[[#This Row],[Total volume used]]/VLOOKUP(Allocation[[#This Row],[Delivery ID]],Delivery[[Delivery ID]:[Quantity delivered]],3,FALSE)</f>
        <v>1</v>
      </c>
      <c r="V2294" s="34" t="e">
        <f>VLOOKUP(Allocation[[#This Row],[SAP Contract number]],Shipments[[SAP Contract number]:[Contracted container weight]],2,FALSE)</f>
        <v>#N/A</v>
      </c>
      <c r="W2294" s="34" t="e">
        <f>VLOOKUP(Allocation[[#This Row],[SAP Contract number]],Shipments[[SAP Contract number]:[AAA Premium USD]],24,FALSE)</f>
        <v>#N/A</v>
      </c>
      <c r="X2294" s="34" t="e">
        <f>VLOOKUP(Allocation[[#This Row],[SAP Contract number]],Shipments[[SAP Contract number]:[RA Premium USD]],25,FALSE)</f>
        <v>#N/A</v>
      </c>
      <c r="Y2294" s="38">
        <f>Allocation[[#This Row],[Quantity Processed]]/Allocation[[#This Row],[Quantity allocated]]</f>
        <v>2.9846153846153847</v>
      </c>
      <c r="Z2294" s="34" t="b">
        <f>Allocation[[#This Row],[Quantity allocated]]&lt;=Allocation[[#This Row],[Quantity Processed]]</f>
        <v>1</v>
      </c>
    </row>
    <row r="2295" spans="1:26">
      <c r="A2295" s="247" t="s">
        <v>467</v>
      </c>
      <c r="B2295" s="210" t="s">
        <v>68</v>
      </c>
      <c r="C2295" s="254" t="s">
        <v>1634</v>
      </c>
      <c r="D2295" s="255">
        <v>136</v>
      </c>
      <c r="E2295" s="211" t="s">
        <v>1962</v>
      </c>
      <c r="F2295" s="212">
        <v>43651</v>
      </c>
      <c r="G2295" s="213">
        <v>2.6</v>
      </c>
      <c r="H2295" s="256">
        <v>45</v>
      </c>
      <c r="I2295" s="214">
        <v>1466009</v>
      </c>
      <c r="J2295" s="215">
        <v>20700</v>
      </c>
      <c r="K2295" s="212">
        <v>43665</v>
      </c>
      <c r="L2295" s="211" t="s">
        <v>1967</v>
      </c>
      <c r="M2295" s="216">
        <v>4615447218</v>
      </c>
      <c r="N2295" s="212"/>
      <c r="O2295" s="218"/>
      <c r="P2295" s="219"/>
      <c r="Q2295" s="34">
        <f>SUMIF(Allocation[Delivery ID],Allocation[[#This Row],[Delivery ID]],Allocation[Quantity Processed])</f>
        <v>2791</v>
      </c>
      <c r="R2295" s="61">
        <f>Allocation[[#This Row],[Total volume used]]/VLOOKUP(Allocation[[#This Row],[Delivery ID]],Delivery[[Delivery ID]:[Quantity delivered]],3,FALSE)</f>
        <v>0.29112339626577655</v>
      </c>
      <c r="S2295" s="34">
        <f>Allocation[[#This Row],[Quantity Processed]]/Allocation[[#This Row],[Dilution rate]]</f>
        <v>52.307692307692307</v>
      </c>
      <c r="T2295" s="59">
        <f>SUMIF(Allocation[Delivery ID],Allocation[[#This Row],[Delivery ID]],Allocation[Quantity allocated])/SUMIF(Allocation[Delivery ID],Allocation[[#This Row],[Delivery ID]],Allocation[Volume available (kg)])</f>
        <v>0.88048876460586634</v>
      </c>
      <c r="U2295" s="61">
        <f>Allocation[[#This Row],[Total volume used]]/VLOOKUP(Allocation[[#This Row],[Delivery ID]],Delivery[[Delivery ID]:[Quantity delivered]],3,FALSE)</f>
        <v>0.29112339626577655</v>
      </c>
      <c r="V2295" s="34" t="e">
        <f>VLOOKUP(Allocation[[#This Row],[SAP Contract number]],Shipments[[SAP Contract number]:[Contracted container weight]],2,FALSE)</f>
        <v>#N/A</v>
      </c>
      <c r="W2295" s="34" t="e">
        <f>VLOOKUP(Allocation[[#This Row],[SAP Contract number]],Shipments[[SAP Contract number]:[AAA Premium USD]],24,FALSE)</f>
        <v>#N/A</v>
      </c>
      <c r="X2295" s="34" t="e">
        <f>VLOOKUP(Allocation[[#This Row],[SAP Contract number]],Shipments[[SAP Contract number]:[RA Premium USD]],25,FALSE)</f>
        <v>#N/A</v>
      </c>
      <c r="Y2295" s="38">
        <f>Allocation[[#This Row],[Quantity Processed]]/Allocation[[#This Row],[Quantity allocated]]</f>
        <v>3.0222222222222221</v>
      </c>
      <c r="Z2295" s="34" t="b">
        <f>Allocation[[#This Row],[Quantity allocated]]&lt;=Allocation[[#This Row],[Quantity Processed]]</f>
        <v>1</v>
      </c>
    </row>
    <row r="2296" spans="1:26">
      <c r="A2296" s="247" t="s">
        <v>467</v>
      </c>
      <c r="B2296" s="210" t="s">
        <v>68</v>
      </c>
      <c r="C2296" s="254" t="s">
        <v>1635</v>
      </c>
      <c r="D2296" s="255">
        <v>294</v>
      </c>
      <c r="E2296" s="211" t="s">
        <v>1962</v>
      </c>
      <c r="F2296" s="212">
        <v>43651</v>
      </c>
      <c r="G2296" s="213">
        <v>2.6</v>
      </c>
      <c r="H2296" s="256">
        <v>97</v>
      </c>
      <c r="I2296" s="214">
        <v>1466009</v>
      </c>
      <c r="J2296" s="215">
        <v>20700</v>
      </c>
      <c r="K2296" s="212">
        <v>43665</v>
      </c>
      <c r="L2296" s="211" t="s">
        <v>1967</v>
      </c>
      <c r="M2296" s="216">
        <v>4615447218</v>
      </c>
      <c r="N2296" s="212"/>
      <c r="O2296" s="218"/>
      <c r="P2296" s="219"/>
      <c r="Q2296" s="34">
        <f>SUMIF(Allocation[Delivery ID],Allocation[[#This Row],[Delivery ID]],Allocation[Quantity Processed])</f>
        <v>7291</v>
      </c>
      <c r="R2296" s="61">
        <f>Allocation[[#This Row],[Total volume used]]/VLOOKUP(Allocation[[#This Row],[Delivery ID]],Delivery[[Delivery ID]:[Quantity delivered]],3,FALSE)</f>
        <v>0.35064685230606452</v>
      </c>
      <c r="S2296" s="34">
        <f>Allocation[[#This Row],[Quantity Processed]]/Allocation[[#This Row],[Dilution rate]]</f>
        <v>113.07692307692307</v>
      </c>
      <c r="T2296" s="59">
        <f>SUMIF(Allocation[Delivery ID],Allocation[[#This Row],[Delivery ID]],Allocation[Quantity allocated])/SUMIF(Allocation[Delivery ID],Allocation[[#This Row],[Delivery ID]],Allocation[Volume available (kg)])</f>
        <v>0.87775201878010578</v>
      </c>
      <c r="U2296" s="61">
        <f>Allocation[[#This Row],[Total volume used]]/VLOOKUP(Allocation[[#This Row],[Delivery ID]],Delivery[[Delivery ID]:[Quantity delivered]],3,FALSE)</f>
        <v>0.35064685230606452</v>
      </c>
      <c r="V2296" s="34" t="e">
        <f>VLOOKUP(Allocation[[#This Row],[SAP Contract number]],Shipments[[SAP Contract number]:[Contracted container weight]],2,FALSE)</f>
        <v>#N/A</v>
      </c>
      <c r="W2296" s="34" t="e">
        <f>VLOOKUP(Allocation[[#This Row],[SAP Contract number]],Shipments[[SAP Contract number]:[AAA Premium USD]],24,FALSE)</f>
        <v>#N/A</v>
      </c>
      <c r="X2296" s="34" t="e">
        <f>VLOOKUP(Allocation[[#This Row],[SAP Contract number]],Shipments[[SAP Contract number]:[RA Premium USD]],25,FALSE)</f>
        <v>#N/A</v>
      </c>
      <c r="Y2296" s="38">
        <f>Allocation[[#This Row],[Quantity Processed]]/Allocation[[#This Row],[Quantity allocated]]</f>
        <v>3.0309278350515463</v>
      </c>
      <c r="Z2296" s="34" t="b">
        <f>Allocation[[#This Row],[Quantity allocated]]&lt;=Allocation[[#This Row],[Quantity Processed]]</f>
        <v>1</v>
      </c>
    </row>
    <row r="2297" spans="1:26">
      <c r="A2297" s="247" t="s">
        <v>467</v>
      </c>
      <c r="B2297" s="210" t="s">
        <v>68</v>
      </c>
      <c r="C2297" s="254" t="s">
        <v>1636</v>
      </c>
      <c r="D2297" s="255">
        <v>1626</v>
      </c>
      <c r="E2297" s="211" t="s">
        <v>1962</v>
      </c>
      <c r="F2297" s="212">
        <v>43651</v>
      </c>
      <c r="G2297" s="213">
        <v>2.6</v>
      </c>
      <c r="H2297" s="256">
        <v>553</v>
      </c>
      <c r="I2297" s="214">
        <v>1466009</v>
      </c>
      <c r="J2297" s="215">
        <v>20700</v>
      </c>
      <c r="K2297" s="212">
        <v>43665</v>
      </c>
      <c r="L2297" s="211" t="s">
        <v>1967</v>
      </c>
      <c r="M2297" s="216">
        <v>4615447218</v>
      </c>
      <c r="N2297" s="212"/>
      <c r="O2297" s="218"/>
      <c r="P2297" s="219"/>
      <c r="Q2297" s="34">
        <f>SUMIF(Allocation[Delivery ID],Allocation[[#This Row],[Delivery ID]],Allocation[Quantity Processed])</f>
        <v>28652</v>
      </c>
      <c r="R2297" s="61">
        <f>Allocation[[#This Row],[Total volume used]]/VLOOKUP(Allocation[[#This Row],[Delivery ID]],Delivery[[Delivery ID]:[Quantity delivered]],3,FALSE)</f>
        <v>0.76876844647169307</v>
      </c>
      <c r="S2297" s="34">
        <f>Allocation[[#This Row],[Quantity Processed]]/Allocation[[#This Row],[Dilution rate]]</f>
        <v>625.38461538461536</v>
      </c>
      <c r="T2297" s="59">
        <f>SUMIF(Allocation[Delivery ID],Allocation[[#This Row],[Delivery ID]],Allocation[Quantity allocated])/SUMIF(Allocation[Delivery ID],Allocation[[#This Row],[Delivery ID]],Allocation[Volume available (kg)])</f>
        <v>0.89500335314152635</v>
      </c>
      <c r="U2297" s="61">
        <f>Allocation[[#This Row],[Total volume used]]/VLOOKUP(Allocation[[#This Row],[Delivery ID]],Delivery[[Delivery ID]:[Quantity delivered]],3,FALSE)</f>
        <v>0.76876844647169307</v>
      </c>
      <c r="V2297" s="34" t="e">
        <f>VLOOKUP(Allocation[[#This Row],[SAP Contract number]],Shipments[[SAP Contract number]:[Contracted container weight]],2,FALSE)</f>
        <v>#N/A</v>
      </c>
      <c r="W2297" s="34" t="e">
        <f>VLOOKUP(Allocation[[#This Row],[SAP Contract number]],Shipments[[SAP Contract number]:[AAA Premium USD]],24,FALSE)</f>
        <v>#N/A</v>
      </c>
      <c r="X2297" s="34" t="e">
        <f>VLOOKUP(Allocation[[#This Row],[SAP Contract number]],Shipments[[SAP Contract number]:[RA Premium USD]],25,FALSE)</f>
        <v>#N/A</v>
      </c>
      <c r="Y2297" s="38">
        <f>Allocation[[#This Row],[Quantity Processed]]/Allocation[[#This Row],[Quantity allocated]]</f>
        <v>2.9403254972875228</v>
      </c>
      <c r="Z2297" s="34" t="b">
        <f>Allocation[[#This Row],[Quantity allocated]]&lt;=Allocation[[#This Row],[Quantity Processed]]</f>
        <v>1</v>
      </c>
    </row>
    <row r="2298" spans="1:26">
      <c r="A2298" s="247" t="s">
        <v>467</v>
      </c>
      <c r="B2298" s="210" t="s">
        <v>68</v>
      </c>
      <c r="C2298" s="254" t="s">
        <v>1636</v>
      </c>
      <c r="D2298" s="255">
        <v>13080</v>
      </c>
      <c r="E2298" s="211" t="s">
        <v>1962</v>
      </c>
      <c r="F2298" s="212">
        <v>43651</v>
      </c>
      <c r="G2298" s="213">
        <v>2.6</v>
      </c>
      <c r="H2298" s="256">
        <v>4447</v>
      </c>
      <c r="I2298" s="214">
        <v>1466010</v>
      </c>
      <c r="J2298" s="215">
        <v>20700</v>
      </c>
      <c r="K2298" s="212">
        <v>43665</v>
      </c>
      <c r="L2298" s="211" t="s">
        <v>1968</v>
      </c>
      <c r="M2298" s="216">
        <v>4615447218</v>
      </c>
      <c r="N2298" s="212"/>
      <c r="O2298" s="218"/>
      <c r="P2298" s="219"/>
      <c r="Q2298" s="34">
        <f>SUMIF(Allocation[Delivery ID],Allocation[[#This Row],[Delivery ID]],Allocation[Quantity Processed])</f>
        <v>28652</v>
      </c>
      <c r="R2298" s="61">
        <f>Allocation[[#This Row],[Total volume used]]/VLOOKUP(Allocation[[#This Row],[Delivery ID]],Delivery[[Delivery ID]:[Quantity delivered]],3,FALSE)</f>
        <v>0.76876844647169307</v>
      </c>
      <c r="S2298" s="34">
        <f>Allocation[[#This Row],[Quantity Processed]]/Allocation[[#This Row],[Dilution rate]]</f>
        <v>5030.7692307692305</v>
      </c>
      <c r="T2298" s="59">
        <f>SUMIF(Allocation[Delivery ID],Allocation[[#This Row],[Delivery ID]],Allocation[Quantity allocated])/SUMIF(Allocation[Delivery ID],Allocation[[#This Row],[Delivery ID]],Allocation[Volume available (kg)])</f>
        <v>0.89500335314152635</v>
      </c>
      <c r="U2298" s="61">
        <f>Allocation[[#This Row],[Total volume used]]/VLOOKUP(Allocation[[#This Row],[Delivery ID]],Delivery[[Delivery ID]:[Quantity delivered]],3,FALSE)</f>
        <v>0.76876844647169307</v>
      </c>
      <c r="V2298" s="34" t="e">
        <f>VLOOKUP(Allocation[[#This Row],[SAP Contract number]],Shipments[[SAP Contract number]:[Contracted container weight]],2,FALSE)</f>
        <v>#N/A</v>
      </c>
      <c r="W2298" s="34" t="e">
        <f>VLOOKUP(Allocation[[#This Row],[SAP Contract number]],Shipments[[SAP Contract number]:[AAA Premium USD]],24,FALSE)</f>
        <v>#N/A</v>
      </c>
      <c r="X2298" s="34" t="e">
        <f>VLOOKUP(Allocation[[#This Row],[SAP Contract number]],Shipments[[SAP Contract number]:[RA Premium USD]],25,FALSE)</f>
        <v>#N/A</v>
      </c>
      <c r="Y2298" s="38">
        <f>Allocation[[#This Row],[Quantity Processed]]/Allocation[[#This Row],[Quantity allocated]]</f>
        <v>2.9413087474702047</v>
      </c>
      <c r="Z2298" s="34" t="b">
        <f>Allocation[[#This Row],[Quantity allocated]]&lt;=Allocation[[#This Row],[Quantity Processed]]</f>
        <v>1</v>
      </c>
    </row>
    <row r="2299" spans="1:26">
      <c r="A2299" s="247" t="s">
        <v>467</v>
      </c>
      <c r="B2299" s="210" t="s">
        <v>68</v>
      </c>
      <c r="C2299" s="254" t="s">
        <v>1637</v>
      </c>
      <c r="D2299" s="255">
        <v>20333</v>
      </c>
      <c r="E2299" s="211" t="s">
        <v>1962</v>
      </c>
      <c r="F2299" s="212">
        <v>43651</v>
      </c>
      <c r="G2299" s="213">
        <v>2.6</v>
      </c>
      <c r="H2299" s="256">
        <v>6100</v>
      </c>
      <c r="I2299" s="214">
        <v>1466010</v>
      </c>
      <c r="J2299" s="215">
        <v>20700</v>
      </c>
      <c r="K2299" s="212">
        <v>43665</v>
      </c>
      <c r="L2299" s="211" t="s">
        <v>1968</v>
      </c>
      <c r="M2299" s="216">
        <v>4615447218</v>
      </c>
      <c r="N2299" s="212"/>
      <c r="O2299" s="218"/>
      <c r="P2299" s="219"/>
      <c r="Q2299" s="34">
        <f>SUMIF(Allocation[Delivery ID],Allocation[[#This Row],[Delivery ID]],Allocation[Quantity Processed])</f>
        <v>24645.5</v>
      </c>
      <c r="R2299" s="61">
        <f>Allocation[[#This Row],[Total volume used]]/VLOOKUP(Allocation[[#This Row],[Delivery ID]],Delivery[[Delivery ID]:[Quantity delivered]],3,FALSE)</f>
        <v>1</v>
      </c>
      <c r="S2299" s="34">
        <f>Allocation[[#This Row],[Quantity Processed]]/Allocation[[#This Row],[Dilution rate]]</f>
        <v>7820.3846153846152</v>
      </c>
      <c r="T2299" s="59">
        <f>SUMIF(Allocation[Delivery ID],Allocation[[#This Row],[Delivery ID]],Allocation[Quantity allocated])/SUMIF(Allocation[Delivery ID],Allocation[[#This Row],[Delivery ID]],Allocation[Volume available (kg)])</f>
        <v>0.77198266112039871</v>
      </c>
      <c r="U2299" s="61">
        <f>Allocation[[#This Row],[Total volume used]]/VLOOKUP(Allocation[[#This Row],[Delivery ID]],Delivery[[Delivery ID]:[Quantity delivered]],3,FALSE)</f>
        <v>1</v>
      </c>
      <c r="V2299" s="34" t="e">
        <f>VLOOKUP(Allocation[[#This Row],[SAP Contract number]],Shipments[[SAP Contract number]:[Contracted container weight]],2,FALSE)</f>
        <v>#N/A</v>
      </c>
      <c r="W2299" s="34" t="e">
        <f>VLOOKUP(Allocation[[#This Row],[SAP Contract number]],Shipments[[SAP Contract number]:[AAA Premium USD]],24,FALSE)</f>
        <v>#N/A</v>
      </c>
      <c r="X2299" s="34" t="e">
        <f>VLOOKUP(Allocation[[#This Row],[SAP Contract number]],Shipments[[SAP Contract number]:[RA Premium USD]],25,FALSE)</f>
        <v>#N/A</v>
      </c>
      <c r="Y2299" s="38">
        <f>Allocation[[#This Row],[Quantity Processed]]/Allocation[[#This Row],[Quantity allocated]]</f>
        <v>3.3332786885245902</v>
      </c>
      <c r="Z2299" s="34" t="b">
        <f>Allocation[[#This Row],[Quantity allocated]]&lt;=Allocation[[#This Row],[Quantity Processed]]</f>
        <v>1</v>
      </c>
    </row>
    <row r="2300" spans="1:26">
      <c r="A2300" s="247" t="s">
        <v>467</v>
      </c>
      <c r="B2300" s="210" t="s">
        <v>68</v>
      </c>
      <c r="C2300" s="254" t="s">
        <v>1001</v>
      </c>
      <c r="D2300" s="255">
        <v>1124</v>
      </c>
      <c r="E2300" s="211" t="s">
        <v>1962</v>
      </c>
      <c r="F2300" s="212">
        <v>43651</v>
      </c>
      <c r="G2300" s="213">
        <v>2.6</v>
      </c>
      <c r="H2300" s="256">
        <v>517</v>
      </c>
      <c r="I2300" s="214">
        <v>1466010</v>
      </c>
      <c r="J2300" s="215">
        <v>20700</v>
      </c>
      <c r="K2300" s="212">
        <v>43665</v>
      </c>
      <c r="L2300" s="211" t="s">
        <v>1968</v>
      </c>
      <c r="M2300" s="216">
        <v>4615447218</v>
      </c>
      <c r="N2300" s="212"/>
      <c r="O2300" s="218"/>
      <c r="P2300" s="219"/>
      <c r="Q2300" s="34">
        <f>SUMIF(Allocation[Delivery ID],Allocation[[#This Row],[Delivery ID]],Allocation[Quantity Processed])</f>
        <v>28867</v>
      </c>
      <c r="R2300" s="61">
        <f>Allocation[[#This Row],[Total volume used]]/VLOOKUP(Allocation[[#This Row],[Delivery ID]],Delivery[[Delivery ID]:[Quantity delivered]],3,FALSE)</f>
        <v>0.89900342572407355</v>
      </c>
      <c r="S2300" s="34">
        <f>Allocation[[#This Row],[Quantity Processed]]/Allocation[[#This Row],[Dilution rate]]</f>
        <v>432.30769230769232</v>
      </c>
      <c r="T2300" s="59">
        <f>SUMIF(Allocation[Delivery ID],Allocation[[#This Row],[Delivery ID]],Allocation[Quantity allocated])/SUMIF(Allocation[Delivery ID],Allocation[[#This Row],[Delivery ID]],Allocation[Volume available (kg)])</f>
        <v>1.1481266053320882</v>
      </c>
      <c r="U2300" s="61">
        <f>Allocation[[#This Row],[Total volume used]]/VLOOKUP(Allocation[[#This Row],[Delivery ID]],Delivery[[Delivery ID]:[Quantity delivered]],3,FALSE)</f>
        <v>0.89900342572407355</v>
      </c>
      <c r="V2300" s="34" t="e">
        <f>VLOOKUP(Allocation[[#This Row],[SAP Contract number]],Shipments[[SAP Contract number]:[Contracted container weight]],2,FALSE)</f>
        <v>#N/A</v>
      </c>
      <c r="W2300" s="34" t="e">
        <f>VLOOKUP(Allocation[[#This Row],[SAP Contract number]],Shipments[[SAP Contract number]:[AAA Premium USD]],24,FALSE)</f>
        <v>#N/A</v>
      </c>
      <c r="X2300" s="34" t="e">
        <f>VLOOKUP(Allocation[[#This Row],[SAP Contract number]],Shipments[[SAP Contract number]:[RA Premium USD]],25,FALSE)</f>
        <v>#N/A</v>
      </c>
      <c r="Y2300" s="38">
        <f>Allocation[[#This Row],[Quantity Processed]]/Allocation[[#This Row],[Quantity allocated]]</f>
        <v>2.1740812379110253</v>
      </c>
      <c r="Z2300" s="34" t="b">
        <f>Allocation[[#This Row],[Quantity allocated]]&lt;=Allocation[[#This Row],[Quantity Processed]]</f>
        <v>1</v>
      </c>
    </row>
    <row r="2301" spans="1:26">
      <c r="A2301" s="247" t="s">
        <v>467</v>
      </c>
      <c r="B2301" s="210" t="s">
        <v>68</v>
      </c>
      <c r="C2301" s="254" t="s">
        <v>1003</v>
      </c>
      <c r="D2301" s="255">
        <v>1124</v>
      </c>
      <c r="E2301" s="211" t="s">
        <v>1962</v>
      </c>
      <c r="F2301" s="212">
        <v>43651</v>
      </c>
      <c r="G2301" s="213">
        <v>2.6</v>
      </c>
      <c r="H2301" s="256">
        <v>517</v>
      </c>
      <c r="I2301" s="214">
        <v>1466010</v>
      </c>
      <c r="J2301" s="215">
        <v>20700</v>
      </c>
      <c r="K2301" s="212">
        <v>43665</v>
      </c>
      <c r="L2301" s="211" t="s">
        <v>1968</v>
      </c>
      <c r="M2301" s="216">
        <v>4615447218</v>
      </c>
      <c r="N2301" s="212"/>
      <c r="O2301" s="218"/>
      <c r="P2301" s="219"/>
      <c r="Q2301" s="34">
        <f>SUMIF(Allocation[Delivery ID],Allocation[[#This Row],[Delivery ID]],Allocation[Quantity Processed])</f>
        <v>28873</v>
      </c>
      <c r="R2301" s="61">
        <f>Allocation[[#This Row],[Total volume used]]/VLOOKUP(Allocation[[#This Row],[Delivery ID]],Delivery[[Delivery ID]:[Quantity delivered]],3,FALSE)</f>
        <v>0.89891033623910332</v>
      </c>
      <c r="S2301" s="34">
        <f>Allocation[[#This Row],[Quantity Processed]]/Allocation[[#This Row],[Dilution rate]]</f>
        <v>432.30769230769232</v>
      </c>
      <c r="T2301" s="59">
        <f>SUMIF(Allocation[Delivery ID],Allocation[[#This Row],[Delivery ID]],Allocation[Quantity allocated])/SUMIF(Allocation[Delivery ID],Allocation[[#This Row],[Delivery ID]],Allocation[Volume available (kg)])</f>
        <v>1.1481625917339773</v>
      </c>
      <c r="U2301" s="61">
        <f>Allocation[[#This Row],[Total volume used]]/VLOOKUP(Allocation[[#This Row],[Delivery ID]],Delivery[[Delivery ID]:[Quantity delivered]],3,FALSE)</f>
        <v>0.89891033623910332</v>
      </c>
      <c r="V2301" s="34" t="e">
        <f>VLOOKUP(Allocation[[#This Row],[SAP Contract number]],Shipments[[SAP Contract number]:[Contracted container weight]],2,FALSE)</f>
        <v>#N/A</v>
      </c>
      <c r="W2301" s="34" t="e">
        <f>VLOOKUP(Allocation[[#This Row],[SAP Contract number]],Shipments[[SAP Contract number]:[AAA Premium USD]],24,FALSE)</f>
        <v>#N/A</v>
      </c>
      <c r="X2301" s="34" t="e">
        <f>VLOOKUP(Allocation[[#This Row],[SAP Contract number]],Shipments[[SAP Contract number]:[RA Premium USD]],25,FALSE)</f>
        <v>#N/A</v>
      </c>
      <c r="Y2301" s="38">
        <f>Allocation[[#This Row],[Quantity Processed]]/Allocation[[#This Row],[Quantity allocated]]</f>
        <v>2.1740812379110253</v>
      </c>
      <c r="Z2301" s="34" t="b">
        <f>Allocation[[#This Row],[Quantity allocated]]&lt;=Allocation[[#This Row],[Quantity Processed]]</f>
        <v>1</v>
      </c>
    </row>
    <row r="2302" spans="1:26">
      <c r="A2302" s="247" t="s">
        <v>467</v>
      </c>
      <c r="B2302" s="210" t="s">
        <v>68</v>
      </c>
      <c r="C2302" s="254" t="s">
        <v>1004</v>
      </c>
      <c r="D2302" s="255">
        <v>633</v>
      </c>
      <c r="E2302" s="211" t="s">
        <v>1962</v>
      </c>
      <c r="F2302" s="212">
        <v>43651</v>
      </c>
      <c r="G2302" s="213">
        <v>2.6</v>
      </c>
      <c r="H2302" s="256">
        <v>291</v>
      </c>
      <c r="I2302" s="214">
        <v>1466010</v>
      </c>
      <c r="J2302" s="215">
        <v>20700</v>
      </c>
      <c r="K2302" s="212">
        <v>43665</v>
      </c>
      <c r="L2302" s="211" t="s">
        <v>1968</v>
      </c>
      <c r="M2302" s="216">
        <v>4615447218</v>
      </c>
      <c r="N2302" s="212"/>
      <c r="O2302" s="218"/>
      <c r="P2302" s="219"/>
      <c r="Q2302" s="34">
        <f>SUMIF(Allocation[Delivery ID],Allocation[[#This Row],[Delivery ID]],Allocation[Quantity Processed])</f>
        <v>16278</v>
      </c>
      <c r="R2302" s="61">
        <f>Allocation[[#This Row],[Total volume used]]/VLOOKUP(Allocation[[#This Row],[Delivery ID]],Delivery[[Delivery ID]:[Quantity delivered]],3,FALSE)</f>
        <v>0.90132890365448504</v>
      </c>
      <c r="S2302" s="34">
        <f>Allocation[[#This Row],[Quantity Processed]]/Allocation[[#This Row],[Dilution rate]]</f>
        <v>243.46153846153845</v>
      </c>
      <c r="T2302" s="59">
        <f>SUMIF(Allocation[Delivery ID],Allocation[[#This Row],[Delivery ID]],Allocation[Quantity allocated])/SUMIF(Allocation[Delivery ID],Allocation[[#This Row],[Delivery ID]],Allocation[Volume available (kg)])</f>
        <v>1.1475658695106412</v>
      </c>
      <c r="U2302" s="61">
        <f>Allocation[[#This Row],[Total volume used]]/VLOOKUP(Allocation[[#This Row],[Delivery ID]],Delivery[[Delivery ID]:[Quantity delivered]],3,FALSE)</f>
        <v>0.90132890365448504</v>
      </c>
      <c r="V2302" s="34" t="e">
        <f>VLOOKUP(Allocation[[#This Row],[SAP Contract number]],Shipments[[SAP Contract number]:[Contracted container weight]],2,FALSE)</f>
        <v>#N/A</v>
      </c>
      <c r="W2302" s="34" t="e">
        <f>VLOOKUP(Allocation[[#This Row],[SAP Contract number]],Shipments[[SAP Contract number]:[AAA Premium USD]],24,FALSE)</f>
        <v>#N/A</v>
      </c>
      <c r="X2302" s="34" t="e">
        <f>VLOOKUP(Allocation[[#This Row],[SAP Contract number]],Shipments[[SAP Contract number]:[RA Premium USD]],25,FALSE)</f>
        <v>#N/A</v>
      </c>
      <c r="Y2302" s="38">
        <f>Allocation[[#This Row],[Quantity Processed]]/Allocation[[#This Row],[Quantity allocated]]</f>
        <v>2.1752577319587627</v>
      </c>
      <c r="Z2302" s="34" t="b">
        <f>Allocation[[#This Row],[Quantity allocated]]&lt;=Allocation[[#This Row],[Quantity Processed]]</f>
        <v>1</v>
      </c>
    </row>
    <row r="2303" spans="1:26">
      <c r="A2303" s="247" t="s">
        <v>467</v>
      </c>
      <c r="B2303" s="210" t="s">
        <v>68</v>
      </c>
      <c r="C2303" s="254" t="s">
        <v>1639</v>
      </c>
      <c r="D2303" s="255">
        <v>150</v>
      </c>
      <c r="E2303" s="211" t="s">
        <v>1962</v>
      </c>
      <c r="F2303" s="212">
        <v>43651</v>
      </c>
      <c r="G2303" s="213">
        <v>2.6</v>
      </c>
      <c r="H2303" s="256">
        <v>51</v>
      </c>
      <c r="I2303" s="214">
        <v>1466010</v>
      </c>
      <c r="J2303" s="215">
        <v>20700</v>
      </c>
      <c r="K2303" s="212">
        <v>43665</v>
      </c>
      <c r="L2303" s="211" t="s">
        <v>1968</v>
      </c>
      <c r="M2303" s="216">
        <v>4615447218</v>
      </c>
      <c r="N2303" s="212"/>
      <c r="O2303" s="218"/>
      <c r="P2303" s="219"/>
      <c r="Q2303" s="34">
        <f>SUMIF(Allocation[Delivery ID],Allocation[[#This Row],[Delivery ID]],Allocation[Quantity Processed])</f>
        <v>3095</v>
      </c>
      <c r="R2303" s="61">
        <f>Allocation[[#This Row],[Total volume used]]/VLOOKUP(Allocation[[#This Row],[Delivery ID]],Delivery[[Delivery ID]:[Quantity delivered]],3,FALSE)</f>
        <v>0.2824936108068638</v>
      </c>
      <c r="S2303" s="34">
        <f>Allocation[[#This Row],[Quantity Processed]]/Allocation[[#This Row],[Dilution rate]]</f>
        <v>57.692307692307693</v>
      </c>
      <c r="T2303" s="59">
        <f>SUMIF(Allocation[Delivery ID],Allocation[[#This Row],[Delivery ID]],Allocation[Quantity allocated])/SUMIF(Allocation[Delivery ID],Allocation[[#This Row],[Delivery ID]],Allocation[Volume available (kg)])</f>
        <v>0.90694770522858625</v>
      </c>
      <c r="U2303" s="61">
        <f>Allocation[[#This Row],[Total volume used]]/VLOOKUP(Allocation[[#This Row],[Delivery ID]],Delivery[[Delivery ID]:[Quantity delivered]],3,FALSE)</f>
        <v>0.2824936108068638</v>
      </c>
      <c r="V2303" s="34" t="e">
        <f>VLOOKUP(Allocation[[#This Row],[SAP Contract number]],Shipments[[SAP Contract number]:[Contracted container weight]],2,FALSE)</f>
        <v>#N/A</v>
      </c>
      <c r="W2303" s="34" t="e">
        <f>VLOOKUP(Allocation[[#This Row],[SAP Contract number]],Shipments[[SAP Contract number]:[AAA Premium USD]],24,FALSE)</f>
        <v>#N/A</v>
      </c>
      <c r="X2303" s="34" t="e">
        <f>VLOOKUP(Allocation[[#This Row],[SAP Contract number]],Shipments[[SAP Contract number]:[RA Premium USD]],25,FALSE)</f>
        <v>#N/A</v>
      </c>
      <c r="Y2303" s="38">
        <f>Allocation[[#This Row],[Quantity Processed]]/Allocation[[#This Row],[Quantity allocated]]</f>
        <v>2.9411764705882355</v>
      </c>
      <c r="Z2303" s="34" t="b">
        <f>Allocation[[#This Row],[Quantity allocated]]&lt;=Allocation[[#This Row],[Quantity Processed]]</f>
        <v>1</v>
      </c>
    </row>
    <row r="2304" spans="1:26">
      <c r="A2304" s="247" t="s">
        <v>467</v>
      </c>
      <c r="B2304" s="210" t="s">
        <v>68</v>
      </c>
      <c r="C2304" s="254" t="s">
        <v>1640</v>
      </c>
      <c r="D2304" s="255">
        <v>2204</v>
      </c>
      <c r="E2304" s="211" t="s">
        <v>1962</v>
      </c>
      <c r="F2304" s="212">
        <v>43651</v>
      </c>
      <c r="G2304" s="213">
        <v>2.6</v>
      </c>
      <c r="H2304" s="256">
        <v>1014</v>
      </c>
      <c r="I2304" s="214">
        <v>1466010</v>
      </c>
      <c r="J2304" s="215">
        <v>20700</v>
      </c>
      <c r="K2304" s="212">
        <v>43665</v>
      </c>
      <c r="L2304" s="211" t="s">
        <v>1968</v>
      </c>
      <c r="M2304" s="216">
        <v>4615447218</v>
      </c>
      <c r="N2304" s="212"/>
      <c r="O2304" s="218"/>
      <c r="P2304" s="219"/>
      <c r="Q2304" s="34">
        <f>SUMIF(Allocation[Delivery ID],Allocation[[#This Row],[Delivery ID]],Allocation[Quantity Processed])</f>
        <v>4782</v>
      </c>
      <c r="R2304" s="61">
        <f>Allocation[[#This Row],[Total volume used]]/VLOOKUP(Allocation[[#This Row],[Delivery ID]],Delivery[[Delivery ID]:[Quantity delivered]],3,FALSE)</f>
        <v>1</v>
      </c>
      <c r="S2304" s="34">
        <f>Allocation[[#This Row],[Quantity Processed]]/Allocation[[#This Row],[Dilution rate]]</f>
        <v>847.69230769230762</v>
      </c>
      <c r="T2304" s="59">
        <f>SUMIF(Allocation[Delivery ID],Allocation[[#This Row],[Delivery ID]],Allocation[Quantity allocated])/SUMIF(Allocation[Delivery ID],Allocation[[#This Row],[Delivery ID]],Allocation[Volume available (kg)])</f>
        <v>1.2205222229247012</v>
      </c>
      <c r="U2304" s="61">
        <f>Allocation[[#This Row],[Total volume used]]/VLOOKUP(Allocation[[#This Row],[Delivery ID]],Delivery[[Delivery ID]:[Quantity delivered]],3,FALSE)</f>
        <v>1</v>
      </c>
      <c r="V2304" s="34" t="e">
        <f>VLOOKUP(Allocation[[#This Row],[SAP Contract number]],Shipments[[SAP Contract number]:[Contracted container weight]],2,FALSE)</f>
        <v>#N/A</v>
      </c>
      <c r="W2304" s="34" t="e">
        <f>VLOOKUP(Allocation[[#This Row],[SAP Contract number]],Shipments[[SAP Contract number]:[AAA Premium USD]],24,FALSE)</f>
        <v>#N/A</v>
      </c>
      <c r="X2304" s="34" t="e">
        <f>VLOOKUP(Allocation[[#This Row],[SAP Contract number]],Shipments[[SAP Contract number]:[RA Premium USD]],25,FALSE)</f>
        <v>#N/A</v>
      </c>
      <c r="Y2304" s="38">
        <f>Allocation[[#This Row],[Quantity Processed]]/Allocation[[#This Row],[Quantity allocated]]</f>
        <v>2.1735700197238659</v>
      </c>
      <c r="Z2304" s="34" t="b">
        <f>Allocation[[#This Row],[Quantity allocated]]&lt;=Allocation[[#This Row],[Quantity Processed]]</f>
        <v>1</v>
      </c>
    </row>
    <row r="2305" spans="1:26">
      <c r="A2305" s="247" t="s">
        <v>467</v>
      </c>
      <c r="B2305" s="210" t="s">
        <v>68</v>
      </c>
      <c r="C2305" s="254" t="s">
        <v>1642</v>
      </c>
      <c r="D2305" s="255">
        <v>3431</v>
      </c>
      <c r="E2305" s="211" t="s">
        <v>1962</v>
      </c>
      <c r="F2305" s="212">
        <v>43651</v>
      </c>
      <c r="G2305" s="213">
        <v>2.6</v>
      </c>
      <c r="H2305" s="256">
        <v>2127</v>
      </c>
      <c r="I2305" s="214">
        <v>1466010</v>
      </c>
      <c r="J2305" s="215">
        <v>20700</v>
      </c>
      <c r="K2305" s="212">
        <v>43665</v>
      </c>
      <c r="L2305" s="211" t="s">
        <v>1968</v>
      </c>
      <c r="M2305" s="216">
        <v>4615447218</v>
      </c>
      <c r="N2305" s="212"/>
      <c r="O2305" s="218"/>
      <c r="P2305" s="219"/>
      <c r="Q2305" s="34">
        <f>SUMIF(Allocation[Delivery ID],Allocation[[#This Row],[Delivery ID]],Allocation[Quantity Processed])</f>
        <v>7475</v>
      </c>
      <c r="R2305" s="61">
        <f>Allocation[[#This Row],[Total volume used]]/VLOOKUP(Allocation[[#This Row],[Delivery ID]],Delivery[[Delivery ID]:[Quantity delivered]],3,FALSE)</f>
        <v>0.7394035313319155</v>
      </c>
      <c r="S2305" s="34">
        <f>Allocation[[#This Row],[Quantity Processed]]/Allocation[[#This Row],[Dilution rate]]</f>
        <v>1319.6153846153845</v>
      </c>
      <c r="T2305" s="59">
        <f>SUMIF(Allocation[Delivery ID],Allocation[[#This Row],[Delivery ID]],Allocation[Quantity allocated])/SUMIF(Allocation[Delivery ID],Allocation[[#This Row],[Delivery ID]],Allocation[Volume available (kg)])</f>
        <v>1.6447828658971289</v>
      </c>
      <c r="U2305" s="61">
        <f>Allocation[[#This Row],[Total volume used]]/VLOOKUP(Allocation[[#This Row],[Delivery ID]],Delivery[[Delivery ID]:[Quantity delivered]],3,FALSE)</f>
        <v>0.7394035313319155</v>
      </c>
      <c r="V2305" s="34" t="e">
        <f>VLOOKUP(Allocation[[#This Row],[SAP Contract number]],Shipments[[SAP Contract number]:[Contracted container weight]],2,FALSE)</f>
        <v>#N/A</v>
      </c>
      <c r="W2305" s="34" t="e">
        <f>VLOOKUP(Allocation[[#This Row],[SAP Contract number]],Shipments[[SAP Contract number]:[AAA Premium USD]],24,FALSE)</f>
        <v>#N/A</v>
      </c>
      <c r="X2305" s="34" t="e">
        <f>VLOOKUP(Allocation[[#This Row],[SAP Contract number]],Shipments[[SAP Contract number]:[RA Premium USD]],25,FALSE)</f>
        <v>#N/A</v>
      </c>
      <c r="Y2305" s="38">
        <f>Allocation[[#This Row],[Quantity Processed]]/Allocation[[#This Row],[Quantity allocated]]</f>
        <v>1.6130700517160319</v>
      </c>
      <c r="Z2305" s="34" t="b">
        <f>Allocation[[#This Row],[Quantity allocated]]&lt;=Allocation[[#This Row],[Quantity Processed]]</f>
        <v>1</v>
      </c>
    </row>
    <row r="2306" spans="1:26">
      <c r="A2306" s="247" t="s">
        <v>467</v>
      </c>
      <c r="B2306" s="210" t="s">
        <v>68</v>
      </c>
      <c r="C2306" s="254" t="s">
        <v>1007</v>
      </c>
      <c r="D2306" s="255">
        <v>996</v>
      </c>
      <c r="E2306" s="211" t="s">
        <v>1962</v>
      </c>
      <c r="F2306" s="212">
        <v>43651</v>
      </c>
      <c r="G2306" s="213">
        <v>2.6</v>
      </c>
      <c r="H2306" s="256">
        <v>409</v>
      </c>
      <c r="I2306" s="214">
        <v>1466010</v>
      </c>
      <c r="J2306" s="215">
        <v>20700</v>
      </c>
      <c r="K2306" s="212">
        <v>43665</v>
      </c>
      <c r="L2306" s="211" t="s">
        <v>1968</v>
      </c>
      <c r="M2306" s="216">
        <v>4615447218</v>
      </c>
      <c r="N2306" s="212"/>
      <c r="O2306" s="218"/>
      <c r="P2306" s="219"/>
      <c r="Q2306" s="34">
        <f>SUMIF(Allocation[Delivery ID],Allocation[[#This Row],[Delivery ID]],Allocation[Quantity Processed])</f>
        <v>31880</v>
      </c>
      <c r="R2306" s="61">
        <f>Allocation[[#This Row],[Total volume used]]/VLOOKUP(Allocation[[#This Row],[Delivery ID]],Delivery[[Delivery ID]:[Quantity delivered]],3,FALSE)</f>
        <v>1</v>
      </c>
      <c r="S2306" s="34">
        <f>Allocation[[#This Row],[Quantity Processed]]/Allocation[[#This Row],[Dilution rate]]</f>
        <v>383.07692307692304</v>
      </c>
      <c r="T2306" s="59">
        <f>SUMIF(Allocation[Delivery ID],Allocation[[#This Row],[Delivery ID]],Allocation[Quantity allocated])/SUMIF(Allocation[Delivery ID],Allocation[[#This Row],[Delivery ID]],Allocation[Volume available (kg)])</f>
        <v>1.0232020361011271</v>
      </c>
      <c r="U2306" s="61">
        <f>Allocation[[#This Row],[Total volume used]]/VLOOKUP(Allocation[[#This Row],[Delivery ID]],Delivery[[Delivery ID]:[Quantity delivered]],3,FALSE)</f>
        <v>1</v>
      </c>
      <c r="V2306" s="34" t="e">
        <f>VLOOKUP(Allocation[[#This Row],[SAP Contract number]],Shipments[[SAP Contract number]:[Contracted container weight]],2,FALSE)</f>
        <v>#N/A</v>
      </c>
      <c r="W2306" s="34" t="e">
        <f>VLOOKUP(Allocation[[#This Row],[SAP Contract number]],Shipments[[SAP Contract number]:[AAA Premium USD]],24,FALSE)</f>
        <v>#N/A</v>
      </c>
      <c r="X2306" s="34" t="e">
        <f>VLOOKUP(Allocation[[#This Row],[SAP Contract number]],Shipments[[SAP Contract number]:[RA Premium USD]],25,FALSE)</f>
        <v>#N/A</v>
      </c>
      <c r="Y2306" s="38">
        <f>Allocation[[#This Row],[Quantity Processed]]/Allocation[[#This Row],[Quantity allocated]]</f>
        <v>2.4352078239608801</v>
      </c>
      <c r="Z2306" s="34" t="b">
        <f>Allocation[[#This Row],[Quantity allocated]]&lt;=Allocation[[#This Row],[Quantity Processed]]</f>
        <v>1</v>
      </c>
    </row>
    <row r="2307" spans="1:26">
      <c r="A2307" s="247" t="s">
        <v>467</v>
      </c>
      <c r="B2307" s="210" t="s">
        <v>68</v>
      </c>
      <c r="C2307" s="254" t="s">
        <v>1643</v>
      </c>
      <c r="D2307" s="255">
        <v>17</v>
      </c>
      <c r="E2307" s="211" t="s">
        <v>1962</v>
      </c>
      <c r="F2307" s="212">
        <v>43651</v>
      </c>
      <c r="G2307" s="213">
        <v>2.6</v>
      </c>
      <c r="H2307" s="256">
        <v>6</v>
      </c>
      <c r="I2307" s="214">
        <v>1466010</v>
      </c>
      <c r="J2307" s="215">
        <v>20700</v>
      </c>
      <c r="K2307" s="212">
        <v>43665</v>
      </c>
      <c r="L2307" s="211" t="s">
        <v>1968</v>
      </c>
      <c r="M2307" s="216">
        <v>4615447218</v>
      </c>
      <c r="N2307" s="212"/>
      <c r="O2307" s="218"/>
      <c r="P2307" s="219"/>
      <c r="Q2307" s="34">
        <f>SUMIF(Allocation[Delivery ID],Allocation[[#This Row],[Delivery ID]],Allocation[Quantity Processed])</f>
        <v>826</v>
      </c>
      <c r="R2307" s="61">
        <f>Allocation[[#This Row],[Total volume used]]/VLOOKUP(Allocation[[#This Row],[Delivery ID]],Delivery[[Delivery ID]:[Quantity delivered]],3,FALSE)</f>
        <v>0.13149725384064315</v>
      </c>
      <c r="S2307" s="34">
        <f>Allocation[[#This Row],[Quantity Processed]]/Allocation[[#This Row],[Dilution rate]]</f>
        <v>6.5384615384615383</v>
      </c>
      <c r="T2307" s="59">
        <f>SUMIF(Allocation[Delivery ID],Allocation[[#This Row],[Delivery ID]],Allocation[Quantity allocated])/SUMIF(Allocation[Delivery ID],Allocation[[#This Row],[Delivery ID]],Allocation[Volume available (kg)])</f>
        <v>0.78525679208867372</v>
      </c>
      <c r="U2307" s="61">
        <f>Allocation[[#This Row],[Total volume used]]/VLOOKUP(Allocation[[#This Row],[Delivery ID]],Delivery[[Delivery ID]:[Quantity delivered]],3,FALSE)</f>
        <v>0.13149725384064315</v>
      </c>
      <c r="V2307" s="34" t="e">
        <f>VLOOKUP(Allocation[[#This Row],[SAP Contract number]],Shipments[[SAP Contract number]:[Contracted container weight]],2,FALSE)</f>
        <v>#N/A</v>
      </c>
      <c r="W2307" s="34" t="e">
        <f>VLOOKUP(Allocation[[#This Row],[SAP Contract number]],Shipments[[SAP Contract number]:[AAA Premium USD]],24,FALSE)</f>
        <v>#N/A</v>
      </c>
      <c r="X2307" s="34" t="e">
        <f>VLOOKUP(Allocation[[#This Row],[SAP Contract number]],Shipments[[SAP Contract number]:[RA Premium USD]],25,FALSE)</f>
        <v>#N/A</v>
      </c>
      <c r="Y2307" s="38">
        <f>Allocation[[#This Row],[Quantity Processed]]/Allocation[[#This Row],[Quantity allocated]]</f>
        <v>2.8333333333333335</v>
      </c>
      <c r="Z2307" s="34" t="b">
        <f>Allocation[[#This Row],[Quantity allocated]]&lt;=Allocation[[#This Row],[Quantity Processed]]</f>
        <v>1</v>
      </c>
    </row>
    <row r="2308" spans="1:26">
      <c r="A2308" s="247" t="s">
        <v>467</v>
      </c>
      <c r="B2308" s="210" t="s">
        <v>68</v>
      </c>
      <c r="C2308" s="254" t="s">
        <v>1644</v>
      </c>
      <c r="D2308" s="255">
        <v>970</v>
      </c>
      <c r="E2308" s="211" t="s">
        <v>1962</v>
      </c>
      <c r="F2308" s="212">
        <v>43651</v>
      </c>
      <c r="G2308" s="213">
        <v>2.6</v>
      </c>
      <c r="H2308" s="256">
        <v>388</v>
      </c>
      <c r="I2308" s="214">
        <v>1466010</v>
      </c>
      <c r="J2308" s="215">
        <v>20700</v>
      </c>
      <c r="K2308" s="212">
        <v>43665</v>
      </c>
      <c r="L2308" s="211" t="s">
        <v>1968</v>
      </c>
      <c r="M2308" s="216">
        <v>4615447218</v>
      </c>
      <c r="N2308" s="212"/>
      <c r="O2308" s="218"/>
      <c r="P2308" s="219"/>
      <c r="Q2308" s="34">
        <f>SUMIF(Allocation[Delivery ID],Allocation[[#This Row],[Delivery ID]],Allocation[Quantity Processed])</f>
        <v>18880</v>
      </c>
      <c r="R2308" s="61">
        <f>Allocation[[#This Row],[Total volume used]]/VLOOKUP(Allocation[[#This Row],[Delivery ID]],Delivery[[Delivery ID]:[Quantity delivered]],3,FALSE)</f>
        <v>0.70914793321689484</v>
      </c>
      <c r="S2308" s="34">
        <f>Allocation[[#This Row],[Quantity Processed]]/Allocation[[#This Row],[Dilution rate]]</f>
        <v>373.07692307692304</v>
      </c>
      <c r="T2308" s="59">
        <f>SUMIF(Allocation[Delivery ID],Allocation[[#This Row],[Delivery ID]],Allocation[Quantity allocated])/SUMIF(Allocation[Delivery ID],Allocation[[#This Row],[Delivery ID]],Allocation[Volume available (kg)])</f>
        <v>1.0667581103543555</v>
      </c>
      <c r="U2308" s="61">
        <f>Allocation[[#This Row],[Total volume used]]/VLOOKUP(Allocation[[#This Row],[Delivery ID]],Delivery[[Delivery ID]:[Quantity delivered]],3,FALSE)</f>
        <v>0.70914793321689484</v>
      </c>
      <c r="V2308" s="34" t="e">
        <f>VLOOKUP(Allocation[[#This Row],[SAP Contract number]],Shipments[[SAP Contract number]:[Contracted container weight]],2,FALSE)</f>
        <v>#N/A</v>
      </c>
      <c r="W2308" s="34" t="e">
        <f>VLOOKUP(Allocation[[#This Row],[SAP Contract number]],Shipments[[SAP Contract number]:[AAA Premium USD]],24,FALSE)</f>
        <v>#N/A</v>
      </c>
      <c r="X2308" s="34" t="e">
        <f>VLOOKUP(Allocation[[#This Row],[SAP Contract number]],Shipments[[SAP Contract number]:[RA Premium USD]],25,FALSE)</f>
        <v>#N/A</v>
      </c>
      <c r="Y2308" s="38">
        <f>Allocation[[#This Row],[Quantity Processed]]/Allocation[[#This Row],[Quantity allocated]]</f>
        <v>2.5</v>
      </c>
      <c r="Z2308" s="34" t="b">
        <f>Allocation[[#This Row],[Quantity allocated]]&lt;=Allocation[[#This Row],[Quantity Processed]]</f>
        <v>1</v>
      </c>
    </row>
    <row r="2309" spans="1:26">
      <c r="A2309" s="247" t="s">
        <v>467</v>
      </c>
      <c r="B2309" s="210" t="s">
        <v>68</v>
      </c>
      <c r="C2309" s="254" t="s">
        <v>1645</v>
      </c>
      <c r="D2309" s="255">
        <v>9554</v>
      </c>
      <c r="E2309" s="211" t="s">
        <v>1962</v>
      </c>
      <c r="F2309" s="212">
        <v>43651</v>
      </c>
      <c r="G2309" s="213">
        <v>2.6</v>
      </c>
      <c r="H2309" s="256">
        <v>3153</v>
      </c>
      <c r="I2309" s="214">
        <v>1466010</v>
      </c>
      <c r="J2309" s="215">
        <v>20700</v>
      </c>
      <c r="K2309" s="212">
        <v>43665</v>
      </c>
      <c r="L2309" s="211" t="s">
        <v>1968</v>
      </c>
      <c r="M2309" s="216">
        <v>4615447218</v>
      </c>
      <c r="N2309" s="212"/>
      <c r="O2309" s="218"/>
      <c r="P2309" s="219"/>
      <c r="Q2309" s="34">
        <f>SUMIF(Allocation[Delivery ID],Allocation[[#This Row],[Delivery ID]],Allocation[Quantity Processed])</f>
        <v>38460</v>
      </c>
      <c r="R2309" s="61">
        <f>Allocation[[#This Row],[Total volume used]]/VLOOKUP(Allocation[[#This Row],[Delivery ID]],Delivery[[Delivery ID]:[Quantity delivered]],3,FALSE)</f>
        <v>1</v>
      </c>
      <c r="S2309" s="34">
        <f>Allocation[[#This Row],[Quantity Processed]]/Allocation[[#This Row],[Dilution rate]]</f>
        <v>3674.6153846153843</v>
      </c>
      <c r="T2309" s="59">
        <f>SUMIF(Allocation[Delivery ID],Allocation[[#This Row],[Delivery ID]],Allocation[Quantity allocated])/SUMIF(Allocation[Delivery ID],Allocation[[#This Row],[Delivery ID]],Allocation[Volume available (kg)])</f>
        <v>0.88258151942419827</v>
      </c>
      <c r="U2309" s="61">
        <f>Allocation[[#This Row],[Total volume used]]/VLOOKUP(Allocation[[#This Row],[Delivery ID]],Delivery[[Delivery ID]:[Quantity delivered]],3,FALSE)</f>
        <v>1</v>
      </c>
      <c r="V2309" s="34" t="e">
        <f>VLOOKUP(Allocation[[#This Row],[SAP Contract number]],Shipments[[SAP Contract number]:[Contracted container weight]],2,FALSE)</f>
        <v>#N/A</v>
      </c>
      <c r="W2309" s="34" t="e">
        <f>VLOOKUP(Allocation[[#This Row],[SAP Contract number]],Shipments[[SAP Contract number]:[AAA Premium USD]],24,FALSE)</f>
        <v>#N/A</v>
      </c>
      <c r="X2309" s="34" t="e">
        <f>VLOOKUP(Allocation[[#This Row],[SAP Contract number]],Shipments[[SAP Contract number]:[RA Premium USD]],25,FALSE)</f>
        <v>#N/A</v>
      </c>
      <c r="Y2309" s="38">
        <f>Allocation[[#This Row],[Quantity Processed]]/Allocation[[#This Row],[Quantity allocated]]</f>
        <v>3.0301300348874087</v>
      </c>
      <c r="Z2309" s="34" t="b">
        <f>Allocation[[#This Row],[Quantity allocated]]&lt;=Allocation[[#This Row],[Quantity Processed]]</f>
        <v>1</v>
      </c>
    </row>
    <row r="2310" spans="1:26">
      <c r="A2310" s="247" t="s">
        <v>467</v>
      </c>
      <c r="B2310" s="210" t="s">
        <v>68</v>
      </c>
      <c r="C2310" s="254" t="s">
        <v>1010</v>
      </c>
      <c r="D2310" s="255">
        <v>234</v>
      </c>
      <c r="E2310" s="211" t="s">
        <v>1962</v>
      </c>
      <c r="F2310" s="212">
        <v>43651</v>
      </c>
      <c r="G2310" s="213">
        <v>2.6</v>
      </c>
      <c r="H2310" s="256">
        <v>97</v>
      </c>
      <c r="I2310" s="214">
        <v>1466010</v>
      </c>
      <c r="J2310" s="215">
        <v>20700</v>
      </c>
      <c r="K2310" s="212">
        <v>43665</v>
      </c>
      <c r="L2310" s="211" t="s">
        <v>1968</v>
      </c>
      <c r="M2310" s="216">
        <v>4615447218</v>
      </c>
      <c r="N2310" s="212"/>
      <c r="O2310" s="218"/>
      <c r="P2310" s="219"/>
      <c r="Q2310" s="34">
        <f>SUMIF(Allocation[Delivery ID],Allocation[[#This Row],[Delivery ID]],Allocation[Quantity Processed])</f>
        <v>7793</v>
      </c>
      <c r="R2310" s="61">
        <f>Allocation[[#This Row],[Total volume used]]/VLOOKUP(Allocation[[#This Row],[Delivery ID]],Delivery[[Delivery ID]:[Quantity delivered]],3,FALSE)</f>
        <v>1</v>
      </c>
      <c r="S2310" s="34">
        <f>Allocation[[#This Row],[Quantity Processed]]/Allocation[[#This Row],[Dilution rate]]</f>
        <v>90</v>
      </c>
      <c r="T2310" s="59">
        <f>SUMIF(Allocation[Delivery ID],Allocation[[#This Row],[Delivery ID]],Allocation[Quantity allocated])/SUMIF(Allocation[Delivery ID],Allocation[[#This Row],[Delivery ID]],Allocation[Volume available (kg)])</f>
        <v>1.0231604080667922</v>
      </c>
      <c r="U2310" s="61">
        <f>Allocation[[#This Row],[Total volume used]]/VLOOKUP(Allocation[[#This Row],[Delivery ID]],Delivery[[Delivery ID]:[Quantity delivered]],3,FALSE)</f>
        <v>1</v>
      </c>
      <c r="V2310" s="34" t="e">
        <f>VLOOKUP(Allocation[[#This Row],[SAP Contract number]],Shipments[[SAP Contract number]:[Contracted container weight]],2,FALSE)</f>
        <v>#N/A</v>
      </c>
      <c r="W2310" s="34" t="e">
        <f>VLOOKUP(Allocation[[#This Row],[SAP Contract number]],Shipments[[SAP Contract number]:[AAA Premium USD]],24,FALSE)</f>
        <v>#N/A</v>
      </c>
      <c r="X2310" s="34" t="e">
        <f>VLOOKUP(Allocation[[#This Row],[SAP Contract number]],Shipments[[SAP Contract number]:[RA Premium USD]],25,FALSE)</f>
        <v>#N/A</v>
      </c>
      <c r="Y2310" s="38">
        <f>Allocation[[#This Row],[Quantity Processed]]/Allocation[[#This Row],[Quantity allocated]]</f>
        <v>2.4123711340206184</v>
      </c>
      <c r="Z2310" s="34" t="b">
        <f>Allocation[[#This Row],[Quantity allocated]]&lt;=Allocation[[#This Row],[Quantity Processed]]</f>
        <v>1</v>
      </c>
    </row>
    <row r="2311" spans="1:26">
      <c r="A2311" s="247" t="s">
        <v>467</v>
      </c>
      <c r="B2311" s="210" t="s">
        <v>68</v>
      </c>
      <c r="C2311" s="254" t="s">
        <v>1646</v>
      </c>
      <c r="D2311" s="255">
        <v>1367</v>
      </c>
      <c r="E2311" s="211" t="s">
        <v>1962</v>
      </c>
      <c r="F2311" s="212">
        <v>43651</v>
      </c>
      <c r="G2311" s="213">
        <v>2.6</v>
      </c>
      <c r="H2311" s="256">
        <v>451</v>
      </c>
      <c r="I2311" s="214">
        <v>1466010</v>
      </c>
      <c r="J2311" s="215">
        <v>20700</v>
      </c>
      <c r="K2311" s="212">
        <v>43665</v>
      </c>
      <c r="L2311" s="211" t="s">
        <v>1968</v>
      </c>
      <c r="M2311" s="216">
        <v>4615447218</v>
      </c>
      <c r="N2311" s="212"/>
      <c r="O2311" s="218"/>
      <c r="P2311" s="219"/>
      <c r="Q2311" s="34">
        <f>SUMIF(Allocation[Delivery ID],Allocation[[#This Row],[Delivery ID]],Allocation[Quantity Processed])</f>
        <v>26600</v>
      </c>
      <c r="R2311" s="61">
        <f>Allocation[[#This Row],[Total volume used]]/VLOOKUP(Allocation[[#This Row],[Delivery ID]],Delivery[[Delivery ID]:[Quantity delivered]],3,FALSE)</f>
        <v>0.85963126343173846</v>
      </c>
      <c r="S2311" s="34">
        <f>Allocation[[#This Row],[Quantity Processed]]/Allocation[[#This Row],[Dilution rate]]</f>
        <v>525.76923076923072</v>
      </c>
      <c r="T2311" s="59">
        <f>SUMIF(Allocation[Delivery ID],Allocation[[#This Row],[Delivery ID]],Allocation[Quantity allocated])/SUMIF(Allocation[Delivery ID],Allocation[[#This Row],[Delivery ID]],Allocation[Volume available (kg)])</f>
        <v>0.88007447307869247</v>
      </c>
      <c r="U2311" s="61">
        <f>Allocation[[#This Row],[Total volume used]]/VLOOKUP(Allocation[[#This Row],[Delivery ID]],Delivery[[Delivery ID]:[Quantity delivered]],3,FALSE)</f>
        <v>0.85963126343173846</v>
      </c>
      <c r="V2311" s="34" t="e">
        <f>VLOOKUP(Allocation[[#This Row],[SAP Contract number]],Shipments[[SAP Contract number]:[Contracted container weight]],2,FALSE)</f>
        <v>#N/A</v>
      </c>
      <c r="W2311" s="34" t="e">
        <f>VLOOKUP(Allocation[[#This Row],[SAP Contract number]],Shipments[[SAP Contract number]:[AAA Premium USD]],24,FALSE)</f>
        <v>#N/A</v>
      </c>
      <c r="X2311" s="34" t="e">
        <f>VLOOKUP(Allocation[[#This Row],[SAP Contract number]],Shipments[[SAP Contract number]:[RA Premium USD]],25,FALSE)</f>
        <v>#N/A</v>
      </c>
      <c r="Y2311" s="38">
        <f>Allocation[[#This Row],[Quantity Processed]]/Allocation[[#This Row],[Quantity allocated]]</f>
        <v>3.0310421286031044</v>
      </c>
      <c r="Z2311" s="34" t="b">
        <f>Allocation[[#This Row],[Quantity allocated]]&lt;=Allocation[[#This Row],[Quantity Processed]]</f>
        <v>1</v>
      </c>
    </row>
    <row r="2312" spans="1:26">
      <c r="A2312" s="247" t="s">
        <v>467</v>
      </c>
      <c r="B2312" s="210" t="s">
        <v>68</v>
      </c>
      <c r="C2312" s="254" t="s">
        <v>1647</v>
      </c>
      <c r="D2312" s="255">
        <v>1370</v>
      </c>
      <c r="E2312" s="211" t="s">
        <v>1962</v>
      </c>
      <c r="F2312" s="212">
        <v>43651</v>
      </c>
      <c r="G2312" s="213">
        <v>2.6</v>
      </c>
      <c r="H2312" s="256">
        <v>452</v>
      </c>
      <c r="I2312" s="214">
        <v>1466010</v>
      </c>
      <c r="J2312" s="215">
        <v>20700</v>
      </c>
      <c r="K2312" s="212">
        <v>43665</v>
      </c>
      <c r="L2312" s="211" t="s">
        <v>1968</v>
      </c>
      <c r="M2312" s="216">
        <v>4615447218</v>
      </c>
      <c r="N2312" s="212"/>
      <c r="O2312" s="218"/>
      <c r="P2312" s="219"/>
      <c r="Q2312" s="34">
        <f>SUMIF(Allocation[Delivery ID],Allocation[[#This Row],[Delivery ID]],Allocation[Quantity Processed])</f>
        <v>26643</v>
      </c>
      <c r="R2312" s="61">
        <f>Allocation[[#This Row],[Total volume used]]/VLOOKUP(Allocation[[#This Row],[Delivery ID]],Delivery[[Delivery ID]:[Quantity delivered]],3,FALSE)</f>
        <v>0.85964572645436066</v>
      </c>
      <c r="S2312" s="34">
        <f>Allocation[[#This Row],[Quantity Processed]]/Allocation[[#This Row],[Dilution rate]]</f>
        <v>526.92307692307691</v>
      </c>
      <c r="T2312" s="59">
        <f>SUMIF(Allocation[Delivery ID],Allocation[[#This Row],[Delivery ID]],Allocation[Quantity allocated])/SUMIF(Allocation[Delivery ID],Allocation[[#This Row],[Delivery ID]],Allocation[Volume available (kg)])</f>
        <v>0.88005549202645716</v>
      </c>
      <c r="U2312" s="61">
        <f>Allocation[[#This Row],[Total volume used]]/VLOOKUP(Allocation[[#This Row],[Delivery ID]],Delivery[[Delivery ID]:[Quantity delivered]],3,FALSE)</f>
        <v>0.85964572645436066</v>
      </c>
      <c r="V2312" s="34" t="e">
        <f>VLOOKUP(Allocation[[#This Row],[SAP Contract number]],Shipments[[SAP Contract number]:[Contracted container weight]],2,FALSE)</f>
        <v>#N/A</v>
      </c>
      <c r="W2312" s="34" t="e">
        <f>VLOOKUP(Allocation[[#This Row],[SAP Contract number]],Shipments[[SAP Contract number]:[AAA Premium USD]],24,FALSE)</f>
        <v>#N/A</v>
      </c>
      <c r="X2312" s="34" t="e">
        <f>VLOOKUP(Allocation[[#This Row],[SAP Contract number]],Shipments[[SAP Contract number]:[RA Premium USD]],25,FALSE)</f>
        <v>#N/A</v>
      </c>
      <c r="Y2312" s="38">
        <f>Allocation[[#This Row],[Quantity Processed]]/Allocation[[#This Row],[Quantity allocated]]</f>
        <v>3.0309734513274336</v>
      </c>
      <c r="Z2312" s="34" t="b">
        <f>Allocation[[#This Row],[Quantity allocated]]&lt;=Allocation[[#This Row],[Quantity Processed]]</f>
        <v>1</v>
      </c>
    </row>
    <row r="2313" spans="1:26">
      <c r="A2313" s="247" t="s">
        <v>467</v>
      </c>
      <c r="B2313" s="210" t="s">
        <v>68</v>
      </c>
      <c r="C2313" s="254" t="s">
        <v>1031</v>
      </c>
      <c r="D2313" s="255">
        <v>1057</v>
      </c>
      <c r="E2313" s="211" t="s">
        <v>1962</v>
      </c>
      <c r="F2313" s="212">
        <v>43651</v>
      </c>
      <c r="G2313" s="213">
        <v>2.6</v>
      </c>
      <c r="H2313" s="256">
        <v>465</v>
      </c>
      <c r="I2313" s="214">
        <v>1466010</v>
      </c>
      <c r="J2313" s="215">
        <v>20700</v>
      </c>
      <c r="K2313" s="212">
        <v>43665</v>
      </c>
      <c r="L2313" s="211" t="s">
        <v>1968</v>
      </c>
      <c r="M2313" s="216">
        <v>4615447218</v>
      </c>
      <c r="N2313" s="212"/>
      <c r="O2313" s="218"/>
      <c r="P2313" s="219"/>
      <c r="Q2313" s="34">
        <f>SUMIF(Allocation[Delivery ID],Allocation[[#This Row],[Delivery ID]],Allocation[Quantity Processed])</f>
        <v>27391</v>
      </c>
      <c r="R2313" s="61">
        <f>Allocation[[#This Row],[Total volume used]]/VLOOKUP(Allocation[[#This Row],[Delivery ID]],Delivery[[Delivery ID]:[Quantity delivered]],3,FALSE)</f>
        <v>0.94942807625649916</v>
      </c>
      <c r="S2313" s="34">
        <f>Allocation[[#This Row],[Quantity Processed]]/Allocation[[#This Row],[Dilution rate]]</f>
        <v>406.53846153846155</v>
      </c>
      <c r="T2313" s="59">
        <f>SUMIF(Allocation[Delivery ID],Allocation[[#This Row],[Delivery ID]],Allocation[Quantity allocated])/SUMIF(Allocation[Delivery ID],Allocation[[#This Row],[Delivery ID]],Allocation[Volume available (kg)])</f>
        <v>1.0961111825794865</v>
      </c>
      <c r="U2313" s="61">
        <f>Allocation[[#This Row],[Total volume used]]/VLOOKUP(Allocation[[#This Row],[Delivery ID]],Delivery[[Delivery ID]:[Quantity delivered]],3,FALSE)</f>
        <v>0.94942807625649916</v>
      </c>
      <c r="V2313" s="34" t="e">
        <f>VLOOKUP(Allocation[[#This Row],[SAP Contract number]],Shipments[[SAP Contract number]:[Contracted container weight]],2,FALSE)</f>
        <v>#N/A</v>
      </c>
      <c r="W2313" s="34" t="e">
        <f>VLOOKUP(Allocation[[#This Row],[SAP Contract number]],Shipments[[SAP Contract number]:[AAA Premium USD]],24,FALSE)</f>
        <v>#N/A</v>
      </c>
      <c r="X2313" s="34" t="e">
        <f>VLOOKUP(Allocation[[#This Row],[SAP Contract number]],Shipments[[SAP Contract number]:[RA Premium USD]],25,FALSE)</f>
        <v>#N/A</v>
      </c>
      <c r="Y2313" s="38">
        <f>Allocation[[#This Row],[Quantity Processed]]/Allocation[[#This Row],[Quantity allocated]]</f>
        <v>2.2731182795698923</v>
      </c>
      <c r="Z2313" s="34" t="b">
        <f>Allocation[[#This Row],[Quantity allocated]]&lt;=Allocation[[#This Row],[Quantity Processed]]</f>
        <v>1</v>
      </c>
    </row>
    <row r="2314" spans="1:26">
      <c r="A2314" s="247" t="s">
        <v>467</v>
      </c>
      <c r="B2314" s="210" t="s">
        <v>68</v>
      </c>
      <c r="C2314" s="254" t="s">
        <v>1037</v>
      </c>
      <c r="D2314" s="255">
        <v>339</v>
      </c>
      <c r="E2314" s="211" t="s">
        <v>1962</v>
      </c>
      <c r="F2314" s="212">
        <v>43651</v>
      </c>
      <c r="G2314" s="213">
        <v>2.6</v>
      </c>
      <c r="H2314" s="256">
        <v>156</v>
      </c>
      <c r="I2314" s="214">
        <v>1466010</v>
      </c>
      <c r="J2314" s="215">
        <v>20700</v>
      </c>
      <c r="K2314" s="212">
        <v>43665</v>
      </c>
      <c r="L2314" s="211" t="s">
        <v>1968</v>
      </c>
      <c r="M2314" s="216">
        <v>4615447218</v>
      </c>
      <c r="N2314" s="212"/>
      <c r="O2314" s="218"/>
      <c r="P2314" s="219"/>
      <c r="Q2314" s="34">
        <f>SUMIF(Allocation[Delivery ID],Allocation[[#This Row],[Delivery ID]],Allocation[Quantity Processed])</f>
        <v>8667</v>
      </c>
      <c r="R2314" s="61">
        <f>Allocation[[#This Row],[Total volume used]]/VLOOKUP(Allocation[[#This Row],[Delivery ID]],Delivery[[Delivery ID]:[Quantity delivered]],3,FALSE)</f>
        <v>0.89623080502559327</v>
      </c>
      <c r="S2314" s="34">
        <f>Allocation[[#This Row],[Quantity Processed]]/Allocation[[#This Row],[Dilution rate]]</f>
        <v>130.38461538461539</v>
      </c>
      <c r="T2314" s="59">
        <f>SUMIF(Allocation[Delivery ID],Allocation[[#This Row],[Delivery ID]],Allocation[Quantity allocated])/SUMIF(Allocation[Delivery ID],Allocation[[#This Row],[Delivery ID]],Allocation[Volume available (kg)])</f>
        <v>1.1488915260962267</v>
      </c>
      <c r="U2314" s="61">
        <f>Allocation[[#This Row],[Total volume used]]/VLOOKUP(Allocation[[#This Row],[Delivery ID]],Delivery[[Delivery ID]:[Quantity delivered]],3,FALSE)</f>
        <v>0.89623080502559327</v>
      </c>
      <c r="V2314" s="34" t="e">
        <f>VLOOKUP(Allocation[[#This Row],[SAP Contract number]],Shipments[[SAP Contract number]:[Contracted container weight]],2,FALSE)</f>
        <v>#N/A</v>
      </c>
      <c r="W2314" s="34" t="e">
        <f>VLOOKUP(Allocation[[#This Row],[SAP Contract number]],Shipments[[SAP Contract number]:[AAA Premium USD]],24,FALSE)</f>
        <v>#N/A</v>
      </c>
      <c r="X2314" s="34" t="e">
        <f>VLOOKUP(Allocation[[#This Row],[SAP Contract number]],Shipments[[SAP Contract number]:[RA Premium USD]],25,FALSE)</f>
        <v>#N/A</v>
      </c>
      <c r="Y2314" s="38">
        <f>Allocation[[#This Row],[Quantity Processed]]/Allocation[[#This Row],[Quantity allocated]]</f>
        <v>2.1730769230769229</v>
      </c>
      <c r="Z2314" s="34" t="b">
        <f>Allocation[[#This Row],[Quantity allocated]]&lt;=Allocation[[#This Row],[Quantity Processed]]</f>
        <v>1</v>
      </c>
    </row>
    <row r="2315" spans="1:26">
      <c r="A2315" s="247" t="s">
        <v>467</v>
      </c>
      <c r="B2315" s="210" t="s">
        <v>68</v>
      </c>
      <c r="C2315" s="254" t="s">
        <v>1039</v>
      </c>
      <c r="D2315" s="255">
        <v>120</v>
      </c>
      <c r="E2315" s="211" t="s">
        <v>1962</v>
      </c>
      <c r="F2315" s="212">
        <v>43651</v>
      </c>
      <c r="G2315" s="213">
        <v>2.6</v>
      </c>
      <c r="H2315" s="256">
        <v>50</v>
      </c>
      <c r="I2315" s="214">
        <v>1466010</v>
      </c>
      <c r="J2315" s="215">
        <v>20700</v>
      </c>
      <c r="K2315" s="212">
        <v>43665</v>
      </c>
      <c r="L2315" s="211" t="s">
        <v>1968</v>
      </c>
      <c r="M2315" s="216">
        <v>4615447218</v>
      </c>
      <c r="N2315" s="212"/>
      <c r="O2315" s="218"/>
      <c r="P2315" s="219"/>
      <c r="Q2315" s="34">
        <f>SUMIF(Allocation[Delivery ID],Allocation[[#This Row],[Delivery ID]],Allocation[Quantity Processed])</f>
        <v>9713</v>
      </c>
      <c r="R2315" s="61">
        <f>Allocation[[#This Row],[Total volume used]]/VLOOKUP(Allocation[[#This Row],[Delivery ID]],Delivery[[Delivery ID]:[Quantity delivered]],3,FALSE)</f>
        <v>1</v>
      </c>
      <c r="S2315" s="34">
        <f>Allocation[[#This Row],[Quantity Processed]]/Allocation[[#This Row],[Dilution rate]]</f>
        <v>46.153846153846153</v>
      </c>
      <c r="T2315" s="59">
        <f>SUMIF(Allocation[Delivery ID],Allocation[[#This Row],[Delivery ID]],Allocation[Quantity allocated])/SUMIF(Allocation[Delivery ID],Allocation[[#This Row],[Delivery ID]],Allocation[Volume available (kg)])</f>
        <v>0.99890031407161339</v>
      </c>
      <c r="U2315" s="61">
        <f>Allocation[[#This Row],[Total volume used]]/VLOOKUP(Allocation[[#This Row],[Delivery ID]],Delivery[[Delivery ID]:[Quantity delivered]],3,FALSE)</f>
        <v>1</v>
      </c>
      <c r="V2315" s="34" t="e">
        <f>VLOOKUP(Allocation[[#This Row],[SAP Contract number]],Shipments[[SAP Contract number]:[Contracted container weight]],2,FALSE)</f>
        <v>#N/A</v>
      </c>
      <c r="W2315" s="34" t="e">
        <f>VLOOKUP(Allocation[[#This Row],[SAP Contract number]],Shipments[[SAP Contract number]:[AAA Premium USD]],24,FALSE)</f>
        <v>#N/A</v>
      </c>
      <c r="X2315" s="34" t="e">
        <f>VLOOKUP(Allocation[[#This Row],[SAP Contract number]],Shipments[[SAP Contract number]:[RA Premium USD]],25,FALSE)</f>
        <v>#N/A</v>
      </c>
      <c r="Y2315" s="38">
        <f>Allocation[[#This Row],[Quantity Processed]]/Allocation[[#This Row],[Quantity allocated]]</f>
        <v>2.4</v>
      </c>
      <c r="Z2315" s="34" t="b">
        <f>Allocation[[#This Row],[Quantity allocated]]&lt;=Allocation[[#This Row],[Quantity Processed]]</f>
        <v>1</v>
      </c>
    </row>
    <row r="2316" spans="1:26">
      <c r="A2316" s="247" t="s">
        <v>467</v>
      </c>
      <c r="B2316" s="210" t="s">
        <v>68</v>
      </c>
      <c r="C2316" s="254" t="s">
        <v>1046</v>
      </c>
      <c r="D2316" s="255">
        <v>20</v>
      </c>
      <c r="E2316" s="211" t="s">
        <v>1962</v>
      </c>
      <c r="F2316" s="212">
        <v>43651</v>
      </c>
      <c r="G2316" s="213">
        <v>2.6</v>
      </c>
      <c r="H2316" s="256">
        <v>9</v>
      </c>
      <c r="I2316" s="214">
        <v>1466010</v>
      </c>
      <c r="J2316" s="215">
        <v>20700</v>
      </c>
      <c r="K2316" s="212">
        <v>43665</v>
      </c>
      <c r="L2316" s="211" t="s">
        <v>1968</v>
      </c>
      <c r="M2316" s="216">
        <v>4615447218</v>
      </c>
      <c r="N2316" s="212"/>
      <c r="O2316" s="218"/>
      <c r="P2316" s="219"/>
      <c r="Q2316" s="34">
        <f>SUMIF(Allocation[Delivery ID],Allocation[[#This Row],[Delivery ID]],Allocation[Quantity Processed])</f>
        <v>15124</v>
      </c>
      <c r="R2316" s="61">
        <f>Allocation[[#This Row],[Total volume used]]/VLOOKUP(Allocation[[#This Row],[Delivery ID]],Delivery[[Delivery ID]:[Quantity delivered]],3,FALSE)</f>
        <v>0.89879360551494625</v>
      </c>
      <c r="S2316" s="34">
        <f>Allocation[[#This Row],[Quantity Processed]]/Allocation[[#This Row],[Dilution rate]]</f>
        <v>7.6923076923076916</v>
      </c>
      <c r="T2316" s="59">
        <f>SUMIF(Allocation[Delivery ID],Allocation[[#This Row],[Delivery ID]],Allocation[Quantity allocated])/SUMIF(Allocation[Delivery ID],Allocation[[#This Row],[Delivery ID]],Allocation[Volume available (kg)])</f>
        <v>1.1481700980151472</v>
      </c>
      <c r="U2316" s="61">
        <f>Allocation[[#This Row],[Total volume used]]/VLOOKUP(Allocation[[#This Row],[Delivery ID]],Delivery[[Delivery ID]:[Quantity delivered]],3,FALSE)</f>
        <v>0.89879360551494625</v>
      </c>
      <c r="V2316" s="34" t="e">
        <f>VLOOKUP(Allocation[[#This Row],[SAP Contract number]],Shipments[[SAP Contract number]:[Contracted container weight]],2,FALSE)</f>
        <v>#N/A</v>
      </c>
      <c r="W2316" s="34" t="e">
        <f>VLOOKUP(Allocation[[#This Row],[SAP Contract number]],Shipments[[SAP Contract number]:[AAA Premium USD]],24,FALSE)</f>
        <v>#N/A</v>
      </c>
      <c r="X2316" s="34" t="e">
        <f>VLOOKUP(Allocation[[#This Row],[SAP Contract number]],Shipments[[SAP Contract number]:[RA Premium USD]],25,FALSE)</f>
        <v>#N/A</v>
      </c>
      <c r="Y2316" s="38">
        <f>Allocation[[#This Row],[Quantity Processed]]/Allocation[[#This Row],[Quantity allocated]]</f>
        <v>2.2222222222222223</v>
      </c>
      <c r="Z2316" s="34" t="b">
        <f>Allocation[[#This Row],[Quantity allocated]]&lt;=Allocation[[#This Row],[Quantity Processed]]</f>
        <v>1</v>
      </c>
    </row>
    <row r="2317" spans="1:26">
      <c r="A2317" s="247" t="s">
        <v>467</v>
      </c>
      <c r="B2317" s="210" t="s">
        <v>68</v>
      </c>
      <c r="C2317" s="254" t="s">
        <v>1046</v>
      </c>
      <c r="D2317" s="255">
        <v>569</v>
      </c>
      <c r="E2317" s="211" t="s">
        <v>1962</v>
      </c>
      <c r="F2317" s="212">
        <v>43651</v>
      </c>
      <c r="G2317" s="213">
        <v>2.6</v>
      </c>
      <c r="H2317" s="256">
        <v>262</v>
      </c>
      <c r="I2317" s="214">
        <v>1465995</v>
      </c>
      <c r="J2317" s="215">
        <v>20700</v>
      </c>
      <c r="K2317" s="212">
        <v>43651</v>
      </c>
      <c r="L2317" s="211" t="s">
        <v>1969</v>
      </c>
      <c r="M2317" s="216">
        <v>4615447218</v>
      </c>
      <c r="N2317" s="212"/>
      <c r="O2317" s="218"/>
      <c r="P2317" s="219"/>
      <c r="Q2317" s="34">
        <f>SUMIF(Allocation[Delivery ID],Allocation[[#This Row],[Delivery ID]],Allocation[Quantity Processed])</f>
        <v>15124</v>
      </c>
      <c r="R2317" s="61">
        <f>Allocation[[#This Row],[Total volume used]]/VLOOKUP(Allocation[[#This Row],[Delivery ID]],Delivery[[Delivery ID]:[Quantity delivered]],3,FALSE)</f>
        <v>0.89879360551494625</v>
      </c>
      <c r="S2317" s="34">
        <f>Allocation[[#This Row],[Quantity Processed]]/Allocation[[#This Row],[Dilution rate]]</f>
        <v>218.84615384615384</v>
      </c>
      <c r="T2317" s="59">
        <f>SUMIF(Allocation[Delivery ID],Allocation[[#This Row],[Delivery ID]],Allocation[Quantity allocated])/SUMIF(Allocation[Delivery ID],Allocation[[#This Row],[Delivery ID]],Allocation[Volume available (kg)])</f>
        <v>1.1481700980151472</v>
      </c>
      <c r="U2317" s="61">
        <f>Allocation[[#This Row],[Total volume used]]/VLOOKUP(Allocation[[#This Row],[Delivery ID]],Delivery[[Delivery ID]:[Quantity delivered]],3,FALSE)</f>
        <v>0.89879360551494625</v>
      </c>
      <c r="V2317" s="34" t="e">
        <f>VLOOKUP(Allocation[[#This Row],[SAP Contract number]],Shipments[[SAP Contract number]:[Contracted container weight]],2,FALSE)</f>
        <v>#N/A</v>
      </c>
      <c r="W2317" s="34" t="e">
        <f>VLOOKUP(Allocation[[#This Row],[SAP Contract number]],Shipments[[SAP Contract number]:[AAA Premium USD]],24,FALSE)</f>
        <v>#N/A</v>
      </c>
      <c r="X2317" s="34" t="e">
        <f>VLOOKUP(Allocation[[#This Row],[SAP Contract number]],Shipments[[SAP Contract number]:[RA Premium USD]],25,FALSE)</f>
        <v>#N/A</v>
      </c>
      <c r="Y2317" s="38">
        <f>Allocation[[#This Row],[Quantity Processed]]/Allocation[[#This Row],[Quantity allocated]]</f>
        <v>2.1717557251908395</v>
      </c>
      <c r="Z2317" s="34" t="b">
        <f>Allocation[[#This Row],[Quantity allocated]]&lt;=Allocation[[#This Row],[Quantity Processed]]</f>
        <v>1</v>
      </c>
    </row>
    <row r="2318" spans="1:26">
      <c r="A2318" s="247" t="s">
        <v>467</v>
      </c>
      <c r="B2318" s="210" t="s">
        <v>68</v>
      </c>
      <c r="C2318" s="254" t="s">
        <v>1047</v>
      </c>
      <c r="D2318" s="255">
        <v>959</v>
      </c>
      <c r="E2318" s="211" t="s">
        <v>1962</v>
      </c>
      <c r="F2318" s="212">
        <v>43651</v>
      </c>
      <c r="G2318" s="213">
        <v>2.6</v>
      </c>
      <c r="H2318" s="256">
        <v>403</v>
      </c>
      <c r="I2318" s="214">
        <v>1465995</v>
      </c>
      <c r="J2318" s="215">
        <v>20700</v>
      </c>
      <c r="K2318" s="212">
        <v>43651</v>
      </c>
      <c r="L2318" s="211" t="s">
        <v>1969</v>
      </c>
      <c r="M2318" s="216">
        <v>4615447218</v>
      </c>
      <c r="N2318" s="212"/>
      <c r="O2318" s="218"/>
      <c r="P2318" s="219"/>
      <c r="Q2318" s="34">
        <f>SUMIF(Allocation[Delivery ID],Allocation[[#This Row],[Delivery ID]],Allocation[Quantity Processed])</f>
        <v>18140</v>
      </c>
      <c r="R2318" s="61">
        <f>Allocation[[#This Row],[Total volume used]]/VLOOKUP(Allocation[[#This Row],[Delivery ID]],Delivery[[Delivery ID]:[Quantity delivered]],3,FALSE)</f>
        <v>1</v>
      </c>
      <c r="S2318" s="34">
        <f>Allocation[[#This Row],[Quantity Processed]]/Allocation[[#This Row],[Dilution rate]]</f>
        <v>368.84615384615381</v>
      </c>
      <c r="T2318" s="59">
        <f>SUMIF(Allocation[Delivery ID],Allocation[[#This Row],[Delivery ID]],Allocation[Quantity allocated])/SUMIF(Allocation[Delivery ID],Allocation[[#This Row],[Delivery ID]],Allocation[Volume available (kg)])</f>
        <v>1.0487957952321874</v>
      </c>
      <c r="U2318" s="61">
        <f>Allocation[[#This Row],[Total volume used]]/VLOOKUP(Allocation[[#This Row],[Delivery ID]],Delivery[[Delivery ID]:[Quantity delivered]],3,FALSE)</f>
        <v>1</v>
      </c>
      <c r="V2318" s="34" t="e">
        <f>VLOOKUP(Allocation[[#This Row],[SAP Contract number]],Shipments[[SAP Contract number]:[Contracted container weight]],2,FALSE)</f>
        <v>#N/A</v>
      </c>
      <c r="W2318" s="34" t="e">
        <f>VLOOKUP(Allocation[[#This Row],[SAP Contract number]],Shipments[[SAP Contract number]:[AAA Premium USD]],24,FALSE)</f>
        <v>#N/A</v>
      </c>
      <c r="X2318" s="34" t="e">
        <f>VLOOKUP(Allocation[[#This Row],[SAP Contract number]],Shipments[[SAP Contract number]:[RA Premium USD]],25,FALSE)</f>
        <v>#N/A</v>
      </c>
      <c r="Y2318" s="38">
        <f>Allocation[[#This Row],[Quantity Processed]]/Allocation[[#This Row],[Quantity allocated]]</f>
        <v>2.3796526054590572</v>
      </c>
      <c r="Z2318" s="34" t="b">
        <f>Allocation[[#This Row],[Quantity allocated]]&lt;=Allocation[[#This Row],[Quantity Processed]]</f>
        <v>1</v>
      </c>
    </row>
    <row r="2319" spans="1:26">
      <c r="A2319" s="247" t="s">
        <v>467</v>
      </c>
      <c r="B2319" s="210" t="s">
        <v>68</v>
      </c>
      <c r="C2319" s="254" t="s">
        <v>1651</v>
      </c>
      <c r="D2319" s="255">
        <v>10145</v>
      </c>
      <c r="E2319" s="211" t="s">
        <v>1962</v>
      </c>
      <c r="F2319" s="212">
        <v>43651</v>
      </c>
      <c r="G2319" s="213">
        <v>2.6</v>
      </c>
      <c r="H2319" s="256">
        <v>6087</v>
      </c>
      <c r="I2319" s="214">
        <v>1465995</v>
      </c>
      <c r="J2319" s="215">
        <v>20700</v>
      </c>
      <c r="K2319" s="212">
        <v>43651</v>
      </c>
      <c r="L2319" s="211" t="s">
        <v>1969</v>
      </c>
      <c r="M2319" s="216">
        <v>4615447218</v>
      </c>
      <c r="N2319" s="212"/>
      <c r="O2319" s="218"/>
      <c r="P2319" s="219"/>
      <c r="Q2319" s="34">
        <f>SUMIF(Allocation[Delivery ID],Allocation[[#This Row],[Delivery ID]],Allocation[Quantity Processed])</f>
        <v>22095</v>
      </c>
      <c r="R2319" s="61">
        <f>Allocation[[#This Row],[Total volume used]]/VLOOKUP(Allocation[[#This Row],[Delivery ID]],Delivery[[Delivery ID]:[Quantity delivered]],3,FALSE)</f>
        <v>0.76426841923209965</v>
      </c>
      <c r="S2319" s="34">
        <f>Allocation[[#This Row],[Quantity Processed]]/Allocation[[#This Row],[Dilution rate]]</f>
        <v>3901.9230769230767</v>
      </c>
      <c r="T2319" s="59">
        <f>SUMIF(Allocation[Delivery ID],Allocation[[#This Row],[Delivery ID]],Allocation[Quantity allocated])/SUMIF(Allocation[Delivery ID],Allocation[[#This Row],[Delivery ID]],Allocation[Volume available (kg)])</f>
        <v>1.5918876525576664</v>
      </c>
      <c r="U2319" s="61">
        <f>Allocation[[#This Row],[Total volume used]]/VLOOKUP(Allocation[[#This Row],[Delivery ID]],Delivery[[Delivery ID]:[Quantity delivered]],3,FALSE)</f>
        <v>0.76426841923209965</v>
      </c>
      <c r="V2319" s="34" t="e">
        <f>VLOOKUP(Allocation[[#This Row],[SAP Contract number]],Shipments[[SAP Contract number]:[Contracted container weight]],2,FALSE)</f>
        <v>#N/A</v>
      </c>
      <c r="W2319" s="34" t="e">
        <f>VLOOKUP(Allocation[[#This Row],[SAP Contract number]],Shipments[[SAP Contract number]:[AAA Premium USD]],24,FALSE)</f>
        <v>#N/A</v>
      </c>
      <c r="X2319" s="34" t="e">
        <f>VLOOKUP(Allocation[[#This Row],[SAP Contract number]],Shipments[[SAP Contract number]:[RA Premium USD]],25,FALSE)</f>
        <v>#N/A</v>
      </c>
      <c r="Y2319" s="38">
        <f>Allocation[[#This Row],[Quantity Processed]]/Allocation[[#This Row],[Quantity allocated]]</f>
        <v>1.6666666666666667</v>
      </c>
      <c r="Z2319" s="34" t="b">
        <f>Allocation[[#This Row],[Quantity allocated]]&lt;=Allocation[[#This Row],[Quantity Processed]]</f>
        <v>1</v>
      </c>
    </row>
    <row r="2320" spans="1:26">
      <c r="A2320" s="247" t="s">
        <v>467</v>
      </c>
      <c r="B2320" s="210" t="s">
        <v>68</v>
      </c>
      <c r="C2320" s="254" t="s">
        <v>1652</v>
      </c>
      <c r="D2320" s="255">
        <v>15227</v>
      </c>
      <c r="E2320" s="211" t="s">
        <v>1962</v>
      </c>
      <c r="F2320" s="212">
        <v>43651</v>
      </c>
      <c r="G2320" s="213">
        <v>2.6</v>
      </c>
      <c r="H2320" s="256">
        <v>6852</v>
      </c>
      <c r="I2320" s="214">
        <v>1465995</v>
      </c>
      <c r="J2320" s="215">
        <v>20700</v>
      </c>
      <c r="K2320" s="212">
        <v>43651</v>
      </c>
      <c r="L2320" s="211" t="s">
        <v>1969</v>
      </c>
      <c r="M2320" s="216">
        <v>4615447218</v>
      </c>
      <c r="N2320" s="212"/>
      <c r="O2320" s="218"/>
      <c r="P2320" s="219"/>
      <c r="Q2320" s="34">
        <f>SUMIF(Allocation[Delivery ID],Allocation[[#This Row],[Delivery ID]],Allocation[Quantity Processed])</f>
        <v>19074</v>
      </c>
      <c r="R2320" s="61">
        <f>Allocation[[#This Row],[Total volume used]]/VLOOKUP(Allocation[[#This Row],[Delivery ID]],Delivery[[Delivery ID]:[Quantity delivered]],3,FALSE)</f>
        <v>0.61173829377806288</v>
      </c>
      <c r="S2320" s="34">
        <f>Allocation[[#This Row],[Quantity Processed]]/Allocation[[#This Row],[Dilution rate]]</f>
        <v>5856.538461538461</v>
      </c>
      <c r="T2320" s="59">
        <f>SUMIF(Allocation[Delivery ID],Allocation[[#This Row],[Delivery ID]],Allocation[Quantity allocated])/SUMIF(Allocation[Delivery ID],Allocation[[#This Row],[Delivery ID]],Allocation[Volume available (kg)])</f>
        <v>1.1408389842987046</v>
      </c>
      <c r="U2320" s="61">
        <f>Allocation[[#This Row],[Total volume used]]/VLOOKUP(Allocation[[#This Row],[Delivery ID]],Delivery[[Delivery ID]:[Quantity delivered]],3,FALSE)</f>
        <v>0.61173829377806288</v>
      </c>
      <c r="V2320" s="34" t="e">
        <f>VLOOKUP(Allocation[[#This Row],[SAP Contract number]],Shipments[[SAP Contract number]:[Contracted container weight]],2,FALSE)</f>
        <v>#N/A</v>
      </c>
      <c r="W2320" s="34" t="e">
        <f>VLOOKUP(Allocation[[#This Row],[SAP Contract number]],Shipments[[SAP Contract number]:[AAA Premium USD]],24,FALSE)</f>
        <v>#N/A</v>
      </c>
      <c r="X2320" s="34" t="e">
        <f>VLOOKUP(Allocation[[#This Row],[SAP Contract number]],Shipments[[SAP Contract number]:[RA Premium USD]],25,FALSE)</f>
        <v>#N/A</v>
      </c>
      <c r="Y2320" s="38">
        <f>Allocation[[#This Row],[Quantity Processed]]/Allocation[[#This Row],[Quantity allocated]]</f>
        <v>2.222270869819031</v>
      </c>
      <c r="Z2320" s="34" t="b">
        <f>Allocation[[#This Row],[Quantity allocated]]&lt;=Allocation[[#This Row],[Quantity Processed]]</f>
        <v>1</v>
      </c>
    </row>
    <row r="2321" spans="1:26">
      <c r="A2321" s="247" t="s">
        <v>467</v>
      </c>
      <c r="B2321" s="210" t="s">
        <v>68</v>
      </c>
      <c r="C2321" s="254" t="s">
        <v>1654</v>
      </c>
      <c r="D2321" s="255">
        <v>18674</v>
      </c>
      <c r="E2321" s="211" t="s">
        <v>1962</v>
      </c>
      <c r="F2321" s="212">
        <v>43651</v>
      </c>
      <c r="G2321" s="213">
        <v>2.6</v>
      </c>
      <c r="H2321" s="256">
        <v>7096</v>
      </c>
      <c r="I2321" s="214">
        <v>1465995</v>
      </c>
      <c r="J2321" s="215">
        <v>20700</v>
      </c>
      <c r="K2321" s="212">
        <v>43651</v>
      </c>
      <c r="L2321" s="211" t="s">
        <v>1969</v>
      </c>
      <c r="M2321" s="216">
        <v>4615447218</v>
      </c>
      <c r="N2321" s="212"/>
      <c r="O2321" s="218"/>
      <c r="P2321" s="219"/>
      <c r="Q2321" s="34">
        <f>SUMIF(Allocation[Delivery ID],Allocation[[#This Row],[Delivery ID]],Allocation[Quantity Processed])</f>
        <v>29452</v>
      </c>
      <c r="R2321" s="61">
        <f>Allocation[[#This Row],[Total volume used]]/VLOOKUP(Allocation[[#This Row],[Delivery ID]],Delivery[[Delivery ID]:[Quantity delivered]],3,FALSE)</f>
        <v>0.9311413215301928</v>
      </c>
      <c r="S2321" s="34">
        <f>Allocation[[#This Row],[Quantity Processed]]/Allocation[[#This Row],[Dilution rate]]</f>
        <v>7182.3076923076924</v>
      </c>
      <c r="T2321" s="59">
        <f>SUMIF(Allocation[Delivery ID],Allocation[[#This Row],[Delivery ID]],Allocation[Quantity allocated])/SUMIF(Allocation[Delivery ID],Allocation[[#This Row],[Delivery ID]],Allocation[Volume available (kg)])</f>
        <v>0.96872974165984982</v>
      </c>
      <c r="U2321" s="61">
        <f>Allocation[[#This Row],[Total volume used]]/VLOOKUP(Allocation[[#This Row],[Delivery ID]],Delivery[[Delivery ID]:[Quantity delivered]],3,FALSE)</f>
        <v>0.9311413215301928</v>
      </c>
      <c r="V2321" s="34" t="e">
        <f>VLOOKUP(Allocation[[#This Row],[SAP Contract number]],Shipments[[SAP Contract number]:[Contracted container weight]],2,FALSE)</f>
        <v>#N/A</v>
      </c>
      <c r="W2321" s="34" t="e">
        <f>VLOOKUP(Allocation[[#This Row],[SAP Contract number]],Shipments[[SAP Contract number]:[AAA Premium USD]],24,FALSE)</f>
        <v>#N/A</v>
      </c>
      <c r="X2321" s="34" t="e">
        <f>VLOOKUP(Allocation[[#This Row],[SAP Contract number]],Shipments[[SAP Contract number]:[RA Premium USD]],25,FALSE)</f>
        <v>#N/A</v>
      </c>
      <c r="Y2321" s="38">
        <f>Allocation[[#This Row],[Quantity Processed]]/Allocation[[#This Row],[Quantity allocated]]</f>
        <v>2.6316234498308906</v>
      </c>
      <c r="Z2321" s="34" t="b">
        <f>Allocation[[#This Row],[Quantity allocated]]&lt;=Allocation[[#This Row],[Quantity Processed]]</f>
        <v>1</v>
      </c>
    </row>
    <row r="2322" spans="1:26">
      <c r="A2322" s="247" t="s">
        <v>467</v>
      </c>
      <c r="B2322" s="210" t="s">
        <v>68</v>
      </c>
      <c r="C2322" s="254" t="s">
        <v>1654</v>
      </c>
      <c r="D2322" s="255">
        <v>6210</v>
      </c>
      <c r="E2322" s="211" t="s">
        <v>1962</v>
      </c>
      <c r="F2322" s="212">
        <v>43651</v>
      </c>
      <c r="G2322" s="213">
        <v>2.6</v>
      </c>
      <c r="H2322" s="256">
        <v>2360</v>
      </c>
      <c r="I2322" s="214">
        <v>1465996</v>
      </c>
      <c r="J2322" s="215">
        <v>20700</v>
      </c>
      <c r="K2322" s="212">
        <v>43651</v>
      </c>
      <c r="L2322" s="211" t="s">
        <v>1970</v>
      </c>
      <c r="M2322" s="216">
        <v>4615447218</v>
      </c>
      <c r="N2322" s="212"/>
      <c r="O2322" s="218"/>
      <c r="P2322" s="219"/>
      <c r="Q2322" s="34">
        <f>SUMIF(Allocation[Delivery ID],Allocation[[#This Row],[Delivery ID]],Allocation[Quantity Processed])</f>
        <v>29452</v>
      </c>
      <c r="R2322" s="61">
        <f>Allocation[[#This Row],[Total volume used]]/VLOOKUP(Allocation[[#This Row],[Delivery ID]],Delivery[[Delivery ID]:[Quantity delivered]],3,FALSE)</f>
        <v>0.9311413215301928</v>
      </c>
      <c r="S2322" s="34">
        <f>Allocation[[#This Row],[Quantity Processed]]/Allocation[[#This Row],[Dilution rate]]</f>
        <v>2388.4615384615386</v>
      </c>
      <c r="T2322" s="59">
        <f>SUMIF(Allocation[Delivery ID],Allocation[[#This Row],[Delivery ID]],Allocation[Quantity allocated])/SUMIF(Allocation[Delivery ID],Allocation[[#This Row],[Delivery ID]],Allocation[Volume available (kg)])</f>
        <v>0.96872974165984982</v>
      </c>
      <c r="U2322" s="61">
        <f>Allocation[[#This Row],[Total volume used]]/VLOOKUP(Allocation[[#This Row],[Delivery ID]],Delivery[[Delivery ID]:[Quantity delivered]],3,FALSE)</f>
        <v>0.9311413215301928</v>
      </c>
      <c r="V2322" s="34" t="e">
        <f>VLOOKUP(Allocation[[#This Row],[SAP Contract number]],Shipments[[SAP Contract number]:[Contracted container weight]],2,FALSE)</f>
        <v>#N/A</v>
      </c>
      <c r="W2322" s="34" t="e">
        <f>VLOOKUP(Allocation[[#This Row],[SAP Contract number]],Shipments[[SAP Contract number]:[AAA Premium USD]],24,FALSE)</f>
        <v>#N/A</v>
      </c>
      <c r="X2322" s="34" t="e">
        <f>VLOOKUP(Allocation[[#This Row],[SAP Contract number]],Shipments[[SAP Contract number]:[RA Premium USD]],25,FALSE)</f>
        <v>#N/A</v>
      </c>
      <c r="Y2322" s="38">
        <f>Allocation[[#This Row],[Quantity Processed]]/Allocation[[#This Row],[Quantity allocated]]</f>
        <v>2.6313559322033897</v>
      </c>
      <c r="Z2322" s="34" t="b">
        <f>Allocation[[#This Row],[Quantity allocated]]&lt;=Allocation[[#This Row],[Quantity Processed]]</f>
        <v>1</v>
      </c>
    </row>
    <row r="2323" spans="1:26">
      <c r="A2323" s="247" t="s">
        <v>467</v>
      </c>
      <c r="B2323" s="210" t="s">
        <v>68</v>
      </c>
      <c r="C2323" s="254" t="s">
        <v>1657</v>
      </c>
      <c r="D2323" s="255">
        <v>33</v>
      </c>
      <c r="E2323" s="211" t="s">
        <v>1962</v>
      </c>
      <c r="F2323" s="212">
        <v>43651</v>
      </c>
      <c r="G2323" s="213">
        <v>2.6</v>
      </c>
      <c r="H2323" s="256">
        <v>11</v>
      </c>
      <c r="I2323" s="214">
        <v>1465996</v>
      </c>
      <c r="J2323" s="215">
        <v>20700</v>
      </c>
      <c r="K2323" s="212">
        <v>43651</v>
      </c>
      <c r="L2323" s="211" t="s">
        <v>1970</v>
      </c>
      <c r="M2323" s="216">
        <v>4615447218</v>
      </c>
      <c r="N2323" s="212"/>
      <c r="O2323" s="218"/>
      <c r="P2323" s="219"/>
      <c r="Q2323" s="34">
        <f>SUMIF(Allocation[Delivery ID],Allocation[[#This Row],[Delivery ID]],Allocation[Quantity Processed])</f>
        <v>1900</v>
      </c>
      <c r="R2323" s="61">
        <f>Allocation[[#This Row],[Total volume used]]/VLOOKUP(Allocation[[#This Row],[Delivery ID]],Delivery[[Delivery ID]:[Quantity delivered]],3,FALSE)</f>
        <v>0.15873015873015872</v>
      </c>
      <c r="S2323" s="34">
        <f>Allocation[[#This Row],[Quantity Processed]]/Allocation[[#This Row],[Dilution rate]]</f>
        <v>12.692307692307692</v>
      </c>
      <c r="T2323" s="59">
        <f>SUMIF(Allocation[Delivery ID],Allocation[[#This Row],[Delivery ID]],Allocation[Quantity allocated])/SUMIF(Allocation[Delivery ID],Allocation[[#This Row],[Delivery ID]],Allocation[Volume available (kg)])</f>
        <v>0.70582737111780935</v>
      </c>
      <c r="U2323" s="61">
        <f>Allocation[[#This Row],[Total volume used]]/VLOOKUP(Allocation[[#This Row],[Delivery ID]],Delivery[[Delivery ID]:[Quantity delivered]],3,FALSE)</f>
        <v>0.15873015873015872</v>
      </c>
      <c r="V2323" s="34" t="e">
        <f>VLOOKUP(Allocation[[#This Row],[SAP Contract number]],Shipments[[SAP Contract number]:[Contracted container weight]],2,FALSE)</f>
        <v>#N/A</v>
      </c>
      <c r="W2323" s="34" t="e">
        <f>VLOOKUP(Allocation[[#This Row],[SAP Contract number]],Shipments[[SAP Contract number]:[AAA Premium USD]],24,FALSE)</f>
        <v>#N/A</v>
      </c>
      <c r="X2323" s="34" t="e">
        <f>VLOOKUP(Allocation[[#This Row],[SAP Contract number]],Shipments[[SAP Contract number]:[RA Premium USD]],25,FALSE)</f>
        <v>#N/A</v>
      </c>
      <c r="Y2323" s="38">
        <f>Allocation[[#This Row],[Quantity Processed]]/Allocation[[#This Row],[Quantity allocated]]</f>
        <v>3</v>
      </c>
      <c r="Z2323" s="34" t="b">
        <f>Allocation[[#This Row],[Quantity allocated]]&lt;=Allocation[[#This Row],[Quantity Processed]]</f>
        <v>1</v>
      </c>
    </row>
    <row r="2324" spans="1:26">
      <c r="A2324" s="247" t="s">
        <v>467</v>
      </c>
      <c r="B2324" s="210" t="s">
        <v>68</v>
      </c>
      <c r="C2324" s="254" t="s">
        <v>1658</v>
      </c>
      <c r="D2324" s="255">
        <v>18939</v>
      </c>
      <c r="E2324" s="211" t="s">
        <v>1962</v>
      </c>
      <c r="F2324" s="212">
        <v>43651</v>
      </c>
      <c r="G2324" s="213">
        <v>2.6</v>
      </c>
      <c r="H2324" s="256">
        <v>6250</v>
      </c>
      <c r="I2324" s="214">
        <v>1465996</v>
      </c>
      <c r="J2324" s="215">
        <v>20700</v>
      </c>
      <c r="K2324" s="212">
        <v>43651</v>
      </c>
      <c r="L2324" s="211" t="s">
        <v>1970</v>
      </c>
      <c r="M2324" s="216">
        <v>4615447218</v>
      </c>
      <c r="N2324" s="212"/>
      <c r="O2324" s="218"/>
      <c r="P2324" s="219"/>
      <c r="Q2324" s="34">
        <f>SUMIF(Allocation[Delivery ID],Allocation[[#This Row],[Delivery ID]],Allocation[Quantity Processed])</f>
        <v>24228</v>
      </c>
      <c r="R2324" s="61">
        <f>Allocation[[#This Row],[Total volume used]]/VLOOKUP(Allocation[[#This Row],[Delivery ID]],Delivery[[Delivery ID]:[Quantity delivered]],3,FALSE)</f>
        <v>0.80813875917278188</v>
      </c>
      <c r="S2324" s="34">
        <f>Allocation[[#This Row],[Quantity Processed]]/Allocation[[#This Row],[Dilution rate]]</f>
        <v>7284.2307692307686</v>
      </c>
      <c r="T2324" s="59">
        <f>SUMIF(Allocation[Delivery ID],Allocation[[#This Row],[Delivery ID]],Allocation[Quantity allocated])/SUMIF(Allocation[Delivery ID],Allocation[[#This Row],[Delivery ID]],Allocation[Volume available (kg)])</f>
        <v>0.82514851771312481</v>
      </c>
      <c r="U2324" s="61">
        <f>Allocation[[#This Row],[Total volume used]]/VLOOKUP(Allocation[[#This Row],[Delivery ID]],Delivery[[Delivery ID]:[Quantity delivered]],3,FALSE)</f>
        <v>0.80813875917278188</v>
      </c>
      <c r="V2324" s="34" t="e">
        <f>VLOOKUP(Allocation[[#This Row],[SAP Contract number]],Shipments[[SAP Contract number]:[Contracted container weight]],2,FALSE)</f>
        <v>#N/A</v>
      </c>
      <c r="W2324" s="34" t="e">
        <f>VLOOKUP(Allocation[[#This Row],[SAP Contract number]],Shipments[[SAP Contract number]:[AAA Premium USD]],24,FALSE)</f>
        <v>#N/A</v>
      </c>
      <c r="X2324" s="34" t="e">
        <f>VLOOKUP(Allocation[[#This Row],[SAP Contract number]],Shipments[[SAP Contract number]:[RA Premium USD]],25,FALSE)</f>
        <v>#N/A</v>
      </c>
      <c r="Y2324" s="38">
        <f>Allocation[[#This Row],[Quantity Processed]]/Allocation[[#This Row],[Quantity allocated]]</f>
        <v>3.03024</v>
      </c>
      <c r="Z2324" s="34" t="b">
        <f>Allocation[[#This Row],[Quantity allocated]]&lt;=Allocation[[#This Row],[Quantity Processed]]</f>
        <v>1</v>
      </c>
    </row>
    <row r="2325" spans="1:26">
      <c r="A2325" s="247" t="s">
        <v>467</v>
      </c>
      <c r="B2325" s="210" t="s">
        <v>68</v>
      </c>
      <c r="C2325" s="254" t="s">
        <v>1659</v>
      </c>
      <c r="D2325" s="255">
        <v>16</v>
      </c>
      <c r="E2325" s="211" t="s">
        <v>1962</v>
      </c>
      <c r="F2325" s="212">
        <v>43651</v>
      </c>
      <c r="G2325" s="213">
        <v>2.6</v>
      </c>
      <c r="H2325" s="256">
        <v>6</v>
      </c>
      <c r="I2325" s="214">
        <v>1465996</v>
      </c>
      <c r="J2325" s="215">
        <v>20700</v>
      </c>
      <c r="K2325" s="212">
        <v>43651</v>
      </c>
      <c r="L2325" s="211" t="s">
        <v>1970</v>
      </c>
      <c r="M2325" s="216">
        <v>4615447218</v>
      </c>
      <c r="N2325" s="212"/>
      <c r="O2325" s="218"/>
      <c r="P2325" s="219"/>
      <c r="Q2325" s="34">
        <f>SUMIF(Allocation[Delivery ID],Allocation[[#This Row],[Delivery ID]],Allocation[Quantity Processed])</f>
        <v>729</v>
      </c>
      <c r="R2325" s="61">
        <f>Allocation[[#This Row],[Total volume used]]/VLOOKUP(Allocation[[#This Row],[Delivery ID]],Delivery[[Delivery ID]:[Quantity delivered]],3,FALSE)</f>
        <v>0.1208955223880597</v>
      </c>
      <c r="S2325" s="34">
        <f>Allocation[[#This Row],[Quantity Processed]]/Allocation[[#This Row],[Dilution rate]]</f>
        <v>6.1538461538461533</v>
      </c>
      <c r="T2325" s="59">
        <f>SUMIF(Allocation[Delivery ID],Allocation[[#This Row],[Delivery ID]],Allocation[Quantity allocated])/SUMIF(Allocation[Delivery ID],Allocation[[#This Row],[Delivery ID]],Allocation[Volume available (kg)])</f>
        <v>0.85272132261820344</v>
      </c>
      <c r="U2325" s="61">
        <f>Allocation[[#This Row],[Total volume used]]/VLOOKUP(Allocation[[#This Row],[Delivery ID]],Delivery[[Delivery ID]:[Quantity delivered]],3,FALSE)</f>
        <v>0.1208955223880597</v>
      </c>
      <c r="V2325" s="34" t="e">
        <f>VLOOKUP(Allocation[[#This Row],[SAP Contract number]],Shipments[[SAP Contract number]:[Contracted container weight]],2,FALSE)</f>
        <v>#N/A</v>
      </c>
      <c r="W2325" s="34" t="e">
        <f>VLOOKUP(Allocation[[#This Row],[SAP Contract number]],Shipments[[SAP Contract number]:[AAA Premium USD]],24,FALSE)</f>
        <v>#N/A</v>
      </c>
      <c r="X2325" s="34" t="e">
        <f>VLOOKUP(Allocation[[#This Row],[SAP Contract number]],Shipments[[SAP Contract number]:[RA Premium USD]],25,FALSE)</f>
        <v>#N/A</v>
      </c>
      <c r="Y2325" s="38">
        <f>Allocation[[#This Row],[Quantity Processed]]/Allocation[[#This Row],[Quantity allocated]]</f>
        <v>2.6666666666666665</v>
      </c>
      <c r="Z2325" s="34" t="b">
        <f>Allocation[[#This Row],[Quantity allocated]]&lt;=Allocation[[#This Row],[Quantity Processed]]</f>
        <v>1</v>
      </c>
    </row>
    <row r="2326" spans="1:26">
      <c r="A2326" s="247" t="s">
        <v>467</v>
      </c>
      <c r="B2326" s="210" t="s">
        <v>68</v>
      </c>
      <c r="C2326" s="254" t="s">
        <v>1064</v>
      </c>
      <c r="D2326" s="255">
        <v>19.5</v>
      </c>
      <c r="E2326" s="211" t="s">
        <v>1962</v>
      </c>
      <c r="F2326" s="212">
        <v>43651</v>
      </c>
      <c r="G2326" s="213">
        <v>2.6</v>
      </c>
      <c r="H2326" s="256">
        <v>8</v>
      </c>
      <c r="I2326" s="214">
        <v>1465996</v>
      </c>
      <c r="J2326" s="215">
        <v>20700</v>
      </c>
      <c r="K2326" s="212">
        <v>43651</v>
      </c>
      <c r="L2326" s="211" t="s">
        <v>1970</v>
      </c>
      <c r="M2326" s="216">
        <v>4615447218</v>
      </c>
      <c r="N2326" s="212"/>
      <c r="O2326" s="218"/>
      <c r="P2326" s="219"/>
      <c r="Q2326" s="34">
        <f>SUMIF(Allocation[Delivery ID],Allocation[[#This Row],[Delivery ID]],Allocation[Quantity Processed])</f>
        <v>4700.5</v>
      </c>
      <c r="R2326" s="61">
        <f>Allocation[[#This Row],[Total volume used]]/VLOOKUP(Allocation[[#This Row],[Delivery ID]],Delivery[[Delivery ID]:[Quantity delivered]],3,FALSE)</f>
        <v>1</v>
      </c>
      <c r="S2326" s="34">
        <f>Allocation[[#This Row],[Quantity Processed]]/Allocation[[#This Row],[Dilution rate]]</f>
        <v>7.5</v>
      </c>
      <c r="T2326" s="59">
        <f>SUMIF(Allocation[Delivery ID],Allocation[[#This Row],[Delivery ID]],Allocation[Quantity allocated])/SUMIF(Allocation[Delivery ID],Allocation[[#This Row],[Delivery ID]],Allocation[Volume available (kg)])</f>
        <v>0.99634426923687691</v>
      </c>
      <c r="U2326" s="61">
        <f>Allocation[[#This Row],[Total volume used]]/VLOOKUP(Allocation[[#This Row],[Delivery ID]],Delivery[[Delivery ID]:[Quantity delivered]],3,FALSE)</f>
        <v>1</v>
      </c>
      <c r="V2326" s="34" t="e">
        <f>VLOOKUP(Allocation[[#This Row],[SAP Contract number]],Shipments[[SAP Contract number]:[Contracted container weight]],2,FALSE)</f>
        <v>#N/A</v>
      </c>
      <c r="W2326" s="34" t="e">
        <f>VLOOKUP(Allocation[[#This Row],[SAP Contract number]],Shipments[[SAP Contract number]:[AAA Premium USD]],24,FALSE)</f>
        <v>#N/A</v>
      </c>
      <c r="X2326" s="34" t="e">
        <f>VLOOKUP(Allocation[[#This Row],[SAP Contract number]],Shipments[[SAP Contract number]:[RA Premium USD]],25,FALSE)</f>
        <v>#N/A</v>
      </c>
      <c r="Y2326" s="38">
        <f>Allocation[[#This Row],[Quantity Processed]]/Allocation[[#This Row],[Quantity allocated]]</f>
        <v>2.4375</v>
      </c>
      <c r="Z2326" s="34" t="b">
        <f>Allocation[[#This Row],[Quantity allocated]]&lt;=Allocation[[#This Row],[Quantity Processed]]</f>
        <v>1</v>
      </c>
    </row>
    <row r="2327" spans="1:26">
      <c r="A2327" s="247" t="s">
        <v>467</v>
      </c>
      <c r="B2327" s="210" t="s">
        <v>68</v>
      </c>
      <c r="C2327" s="254" t="s">
        <v>1067</v>
      </c>
      <c r="D2327" s="255">
        <v>528</v>
      </c>
      <c r="E2327" s="211" t="s">
        <v>1962</v>
      </c>
      <c r="F2327" s="212">
        <v>43651</v>
      </c>
      <c r="G2327" s="213">
        <v>2.6</v>
      </c>
      <c r="H2327" s="256">
        <v>264</v>
      </c>
      <c r="I2327" s="214">
        <v>1465996</v>
      </c>
      <c r="J2327" s="215">
        <v>20700</v>
      </c>
      <c r="K2327" s="212">
        <v>43651</v>
      </c>
      <c r="L2327" s="211" t="s">
        <v>1970</v>
      </c>
      <c r="M2327" s="216">
        <v>4615447218</v>
      </c>
      <c r="N2327" s="212"/>
      <c r="O2327" s="218"/>
      <c r="P2327" s="219"/>
      <c r="Q2327" s="34">
        <f>SUMIF(Allocation[Delivery ID],Allocation[[#This Row],[Delivery ID]],Allocation[Quantity Processed])</f>
        <v>13526</v>
      </c>
      <c r="R2327" s="61">
        <f>Allocation[[#This Row],[Total volume used]]/VLOOKUP(Allocation[[#This Row],[Delivery ID]],Delivery[[Delivery ID]:[Quantity delivered]],3,FALSE)</f>
        <v>0.82682315544959961</v>
      </c>
      <c r="S2327" s="34">
        <f>Allocation[[#This Row],[Quantity Processed]]/Allocation[[#This Row],[Dilution rate]]</f>
        <v>203.07692307692307</v>
      </c>
      <c r="T2327" s="59">
        <f>SUMIF(Allocation[Delivery ID],Allocation[[#This Row],[Delivery ID]],Allocation[Quantity allocated])/SUMIF(Allocation[Delivery ID],Allocation[[#This Row],[Delivery ID]],Allocation[Volume available (kg)])</f>
        <v>1.2481077066953579</v>
      </c>
      <c r="U2327" s="61">
        <f>Allocation[[#This Row],[Total volume used]]/VLOOKUP(Allocation[[#This Row],[Delivery ID]],Delivery[[Delivery ID]:[Quantity delivered]],3,FALSE)</f>
        <v>0.82682315544959961</v>
      </c>
      <c r="V2327" s="34" t="e">
        <f>VLOOKUP(Allocation[[#This Row],[SAP Contract number]],Shipments[[SAP Contract number]:[Contracted container weight]],2,FALSE)</f>
        <v>#N/A</v>
      </c>
      <c r="W2327" s="34" t="e">
        <f>VLOOKUP(Allocation[[#This Row],[SAP Contract number]],Shipments[[SAP Contract number]:[AAA Premium USD]],24,FALSE)</f>
        <v>#N/A</v>
      </c>
      <c r="X2327" s="34" t="e">
        <f>VLOOKUP(Allocation[[#This Row],[SAP Contract number]],Shipments[[SAP Contract number]:[RA Premium USD]],25,FALSE)</f>
        <v>#N/A</v>
      </c>
      <c r="Y2327" s="38">
        <f>Allocation[[#This Row],[Quantity Processed]]/Allocation[[#This Row],[Quantity allocated]]</f>
        <v>2</v>
      </c>
      <c r="Z2327" s="34" t="b">
        <f>Allocation[[#This Row],[Quantity allocated]]&lt;=Allocation[[#This Row],[Quantity Processed]]</f>
        <v>1</v>
      </c>
    </row>
    <row r="2328" spans="1:26">
      <c r="A2328" s="247" t="s">
        <v>467</v>
      </c>
      <c r="B2328" s="210" t="s">
        <v>68</v>
      </c>
      <c r="C2328" s="254" t="s">
        <v>1076</v>
      </c>
      <c r="D2328" s="255">
        <v>343</v>
      </c>
      <c r="E2328" s="211" t="s">
        <v>1962</v>
      </c>
      <c r="F2328" s="212">
        <v>43651</v>
      </c>
      <c r="G2328" s="213">
        <v>2.6</v>
      </c>
      <c r="H2328" s="256">
        <v>199</v>
      </c>
      <c r="I2328" s="214">
        <v>1465996</v>
      </c>
      <c r="J2328" s="215">
        <v>20700</v>
      </c>
      <c r="K2328" s="212">
        <v>43651</v>
      </c>
      <c r="L2328" s="211" t="s">
        <v>1970</v>
      </c>
      <c r="M2328" s="216">
        <v>4615447218</v>
      </c>
      <c r="N2328" s="212"/>
      <c r="O2328" s="218"/>
      <c r="P2328" s="219"/>
      <c r="Q2328" s="34">
        <f>SUMIF(Allocation[Delivery ID],Allocation[[#This Row],[Delivery ID]],Allocation[Quantity Processed])</f>
        <v>8805</v>
      </c>
      <c r="R2328" s="61">
        <f>Allocation[[#This Row],[Total volume used]]/VLOOKUP(Allocation[[#This Row],[Delivery ID]],Delivery[[Delivery ID]:[Quantity delivered]],3,FALSE)</f>
        <v>0.71341759844433639</v>
      </c>
      <c r="S2328" s="34">
        <f>Allocation[[#This Row],[Quantity Processed]]/Allocation[[#This Row],[Dilution rate]]</f>
        <v>131.92307692307691</v>
      </c>
      <c r="T2328" s="59">
        <f>SUMIF(Allocation[Delivery ID],Allocation[[#This Row],[Delivery ID]],Allocation[Quantity allocated])/SUMIF(Allocation[Delivery ID],Allocation[[#This Row],[Delivery ID]],Allocation[Volume available (kg)])</f>
        <v>1.4474976748977335</v>
      </c>
      <c r="U2328" s="61">
        <f>Allocation[[#This Row],[Total volume used]]/VLOOKUP(Allocation[[#This Row],[Delivery ID]],Delivery[[Delivery ID]:[Quantity delivered]],3,FALSE)</f>
        <v>0.71341759844433639</v>
      </c>
      <c r="V2328" s="34" t="e">
        <f>VLOOKUP(Allocation[[#This Row],[SAP Contract number]],Shipments[[SAP Contract number]:[Contracted container weight]],2,FALSE)</f>
        <v>#N/A</v>
      </c>
      <c r="W2328" s="34" t="e">
        <f>VLOOKUP(Allocation[[#This Row],[SAP Contract number]],Shipments[[SAP Contract number]:[AAA Premium USD]],24,FALSE)</f>
        <v>#N/A</v>
      </c>
      <c r="X2328" s="34" t="e">
        <f>VLOOKUP(Allocation[[#This Row],[SAP Contract number]],Shipments[[SAP Contract number]:[RA Premium USD]],25,FALSE)</f>
        <v>#N/A</v>
      </c>
      <c r="Y2328" s="38">
        <f>Allocation[[#This Row],[Quantity Processed]]/Allocation[[#This Row],[Quantity allocated]]</f>
        <v>1.7236180904522613</v>
      </c>
      <c r="Z2328" s="34" t="b">
        <f>Allocation[[#This Row],[Quantity allocated]]&lt;=Allocation[[#This Row],[Quantity Processed]]</f>
        <v>1</v>
      </c>
    </row>
    <row r="2329" spans="1:26">
      <c r="A2329" s="247" t="s">
        <v>467</v>
      </c>
      <c r="B2329" s="210" t="s">
        <v>68</v>
      </c>
      <c r="C2329" s="254" t="s">
        <v>1083</v>
      </c>
      <c r="D2329" s="255">
        <v>526</v>
      </c>
      <c r="E2329" s="211" t="s">
        <v>1962</v>
      </c>
      <c r="F2329" s="212">
        <v>43651</v>
      </c>
      <c r="G2329" s="213">
        <v>2.6</v>
      </c>
      <c r="H2329" s="256">
        <v>221</v>
      </c>
      <c r="I2329" s="214">
        <v>1465996</v>
      </c>
      <c r="J2329" s="215">
        <v>20700</v>
      </c>
      <c r="K2329" s="212">
        <v>43651</v>
      </c>
      <c r="L2329" s="211" t="s">
        <v>1970</v>
      </c>
      <c r="M2329" s="216">
        <v>4615447218</v>
      </c>
      <c r="N2329" s="212"/>
      <c r="O2329" s="218"/>
      <c r="P2329" s="219"/>
      <c r="Q2329" s="34">
        <f>SUMIF(Allocation[Delivery ID],Allocation[[#This Row],[Delivery ID]],Allocation[Quantity Processed])</f>
        <v>12310</v>
      </c>
      <c r="R2329" s="61">
        <f>Allocation[[#This Row],[Total volume used]]/VLOOKUP(Allocation[[#This Row],[Delivery ID]],Delivery[[Delivery ID]:[Quantity delivered]],3,FALSE)</f>
        <v>0.85694396101635917</v>
      </c>
      <c r="S2329" s="34">
        <f>Allocation[[#This Row],[Quantity Processed]]/Allocation[[#This Row],[Dilution rate]]</f>
        <v>202.30769230769229</v>
      </c>
      <c r="T2329" s="59">
        <f>SUMIF(Allocation[Delivery ID],Allocation[[#This Row],[Delivery ID]],Allocation[Quantity allocated])/SUMIF(Allocation[Delivery ID],Allocation[[#This Row],[Delivery ID]],Allocation[Volume available (kg)])</f>
        <v>1.0696976228020301</v>
      </c>
      <c r="U2329" s="61">
        <f>Allocation[[#This Row],[Total volume used]]/VLOOKUP(Allocation[[#This Row],[Delivery ID]],Delivery[[Delivery ID]:[Quantity delivered]],3,FALSE)</f>
        <v>0.85694396101635917</v>
      </c>
      <c r="V2329" s="34" t="e">
        <f>VLOOKUP(Allocation[[#This Row],[SAP Contract number]],Shipments[[SAP Contract number]:[Contracted container weight]],2,FALSE)</f>
        <v>#N/A</v>
      </c>
      <c r="W2329" s="34" t="e">
        <f>VLOOKUP(Allocation[[#This Row],[SAP Contract number]],Shipments[[SAP Contract number]:[AAA Premium USD]],24,FALSE)</f>
        <v>#N/A</v>
      </c>
      <c r="X2329" s="34" t="e">
        <f>VLOOKUP(Allocation[[#This Row],[SAP Contract number]],Shipments[[SAP Contract number]:[RA Premium USD]],25,FALSE)</f>
        <v>#N/A</v>
      </c>
      <c r="Y2329" s="38">
        <f>Allocation[[#This Row],[Quantity Processed]]/Allocation[[#This Row],[Quantity allocated]]</f>
        <v>2.3800904977375565</v>
      </c>
      <c r="Z2329" s="34" t="b">
        <f>Allocation[[#This Row],[Quantity allocated]]&lt;=Allocation[[#This Row],[Quantity Processed]]</f>
        <v>1</v>
      </c>
    </row>
    <row r="2330" spans="1:26">
      <c r="A2330" s="247" t="s">
        <v>467</v>
      </c>
      <c r="B2330" s="210" t="s">
        <v>68</v>
      </c>
      <c r="C2330" s="254" t="s">
        <v>1084</v>
      </c>
      <c r="D2330" s="255">
        <v>286</v>
      </c>
      <c r="E2330" s="211" t="s">
        <v>1962</v>
      </c>
      <c r="F2330" s="212">
        <v>43651</v>
      </c>
      <c r="G2330" s="213">
        <v>2.6</v>
      </c>
      <c r="H2330" s="256">
        <v>120</v>
      </c>
      <c r="I2330" s="214">
        <v>1465996</v>
      </c>
      <c r="J2330" s="215">
        <v>20700</v>
      </c>
      <c r="K2330" s="212">
        <v>43651</v>
      </c>
      <c r="L2330" s="211" t="s">
        <v>1970</v>
      </c>
      <c r="M2330" s="216">
        <v>4615447218</v>
      </c>
      <c r="N2330" s="212"/>
      <c r="O2330" s="218"/>
      <c r="P2330" s="219"/>
      <c r="Q2330" s="34">
        <f>SUMIF(Allocation[Delivery ID],Allocation[[#This Row],[Delivery ID]],Allocation[Quantity Processed])</f>
        <v>6696</v>
      </c>
      <c r="R2330" s="61">
        <f>Allocation[[#This Row],[Total volume used]]/VLOOKUP(Allocation[[#This Row],[Delivery ID]],Delivery[[Delivery ID]:[Quantity delivered]],3,FALSE)</f>
        <v>0.85681381957773517</v>
      </c>
      <c r="S2330" s="34">
        <f>Allocation[[#This Row],[Quantity Processed]]/Allocation[[#This Row],[Dilution rate]]</f>
        <v>110</v>
      </c>
      <c r="T2330" s="59">
        <f>SUMIF(Allocation[Delivery ID],Allocation[[#This Row],[Delivery ID]],Allocation[Quantity allocated])/SUMIF(Allocation[Delivery ID],Allocation[[#This Row],[Delivery ID]],Allocation[Volume available (kg)])</f>
        <v>1.0696839892515559</v>
      </c>
      <c r="U2330" s="61">
        <f>Allocation[[#This Row],[Total volume used]]/VLOOKUP(Allocation[[#This Row],[Delivery ID]],Delivery[[Delivery ID]:[Quantity delivered]],3,FALSE)</f>
        <v>0.85681381957773517</v>
      </c>
      <c r="V2330" s="34" t="e">
        <f>VLOOKUP(Allocation[[#This Row],[SAP Contract number]],Shipments[[SAP Contract number]:[Contracted container weight]],2,FALSE)</f>
        <v>#N/A</v>
      </c>
      <c r="W2330" s="34" t="e">
        <f>VLOOKUP(Allocation[[#This Row],[SAP Contract number]],Shipments[[SAP Contract number]:[AAA Premium USD]],24,FALSE)</f>
        <v>#N/A</v>
      </c>
      <c r="X2330" s="34" t="e">
        <f>VLOOKUP(Allocation[[#This Row],[SAP Contract number]],Shipments[[SAP Contract number]:[RA Premium USD]],25,FALSE)</f>
        <v>#N/A</v>
      </c>
      <c r="Y2330" s="38">
        <f>Allocation[[#This Row],[Quantity Processed]]/Allocation[[#This Row],[Quantity allocated]]</f>
        <v>2.3833333333333333</v>
      </c>
      <c r="Z2330" s="34" t="b">
        <f>Allocation[[#This Row],[Quantity allocated]]&lt;=Allocation[[#This Row],[Quantity Processed]]</f>
        <v>1</v>
      </c>
    </row>
    <row r="2331" spans="1:26">
      <c r="A2331" s="247" t="s">
        <v>467</v>
      </c>
      <c r="B2331" s="210" t="s">
        <v>68</v>
      </c>
      <c r="C2331" s="254" t="s">
        <v>1090</v>
      </c>
      <c r="D2331" s="255">
        <v>959</v>
      </c>
      <c r="E2331" s="211" t="s">
        <v>1962</v>
      </c>
      <c r="F2331" s="212">
        <v>43651</v>
      </c>
      <c r="G2331" s="213">
        <v>2.6</v>
      </c>
      <c r="H2331" s="256">
        <v>441</v>
      </c>
      <c r="I2331" s="214">
        <v>1465996</v>
      </c>
      <c r="J2331" s="215">
        <v>20700</v>
      </c>
      <c r="K2331" s="212">
        <v>43651</v>
      </c>
      <c r="L2331" s="211" t="s">
        <v>1970</v>
      </c>
      <c r="M2331" s="216">
        <v>4615447218</v>
      </c>
      <c r="N2331" s="212"/>
      <c r="O2331" s="218"/>
      <c r="P2331" s="219"/>
      <c r="Q2331" s="34">
        <f>SUMIF(Allocation[Delivery ID],Allocation[[#This Row],[Delivery ID]],Allocation[Quantity Processed])</f>
        <v>22447</v>
      </c>
      <c r="R2331" s="61">
        <f>Allocation[[#This Row],[Total volume used]]/VLOOKUP(Allocation[[#This Row],[Delivery ID]],Delivery[[Delivery ID]:[Quantity delivered]],3,FALSE)</f>
        <v>0.78212543554006964</v>
      </c>
      <c r="S2331" s="34">
        <f>Allocation[[#This Row],[Quantity Processed]]/Allocation[[#This Row],[Dilution rate]]</f>
        <v>368.84615384615381</v>
      </c>
      <c r="T2331" s="59">
        <f>SUMIF(Allocation[Delivery ID],Allocation[[#This Row],[Delivery ID]],Allocation[Quantity allocated])/SUMIF(Allocation[Delivery ID],Allocation[[#This Row],[Delivery ID]],Allocation[Volume available (kg)])</f>
        <v>1.1716289140490868</v>
      </c>
      <c r="U2331" s="61">
        <f>Allocation[[#This Row],[Total volume used]]/VLOOKUP(Allocation[[#This Row],[Delivery ID]],Delivery[[Delivery ID]:[Quantity delivered]],3,FALSE)</f>
        <v>0.78212543554006964</v>
      </c>
      <c r="V2331" s="34" t="e">
        <f>VLOOKUP(Allocation[[#This Row],[SAP Contract number]],Shipments[[SAP Contract number]:[Contracted container weight]],2,FALSE)</f>
        <v>#N/A</v>
      </c>
      <c r="W2331" s="34" t="e">
        <f>VLOOKUP(Allocation[[#This Row],[SAP Contract number]],Shipments[[SAP Contract number]:[AAA Premium USD]],24,FALSE)</f>
        <v>#N/A</v>
      </c>
      <c r="X2331" s="34" t="e">
        <f>VLOOKUP(Allocation[[#This Row],[SAP Contract number]],Shipments[[SAP Contract number]:[RA Premium USD]],25,FALSE)</f>
        <v>#N/A</v>
      </c>
      <c r="Y2331" s="38">
        <f>Allocation[[#This Row],[Quantity Processed]]/Allocation[[#This Row],[Quantity allocated]]</f>
        <v>2.1746031746031744</v>
      </c>
      <c r="Z2331" s="34" t="b">
        <f>Allocation[[#This Row],[Quantity allocated]]&lt;=Allocation[[#This Row],[Quantity Processed]]</f>
        <v>1</v>
      </c>
    </row>
    <row r="2332" spans="1:26">
      <c r="A2332" s="247" t="s">
        <v>467</v>
      </c>
      <c r="B2332" s="210" t="s">
        <v>68</v>
      </c>
      <c r="C2332" s="254" t="s">
        <v>1661</v>
      </c>
      <c r="D2332" s="255">
        <v>2106</v>
      </c>
      <c r="E2332" s="211" t="s">
        <v>1962</v>
      </c>
      <c r="F2332" s="212">
        <v>43651</v>
      </c>
      <c r="G2332" s="213">
        <v>2.6</v>
      </c>
      <c r="H2332" s="256">
        <v>758</v>
      </c>
      <c r="I2332" s="214">
        <v>1465996</v>
      </c>
      <c r="J2332" s="215">
        <v>20700</v>
      </c>
      <c r="K2332" s="212">
        <v>43651</v>
      </c>
      <c r="L2332" s="211" t="s">
        <v>1970</v>
      </c>
      <c r="M2332" s="216">
        <v>4615447218</v>
      </c>
      <c r="N2332" s="212"/>
      <c r="O2332" s="218"/>
      <c r="P2332" s="219"/>
      <c r="Q2332" s="34">
        <f>SUMIF(Allocation[Delivery ID],Allocation[[#This Row],[Delivery ID]],Allocation[Quantity Processed])</f>
        <v>4509</v>
      </c>
      <c r="R2332" s="61">
        <f>Allocation[[#This Row],[Total volume used]]/VLOOKUP(Allocation[[#This Row],[Delivery ID]],Delivery[[Delivery ID]:[Quantity delivered]],3,FALSE)</f>
        <v>0.46518105849582175</v>
      </c>
      <c r="S2332" s="34">
        <f>Allocation[[#This Row],[Quantity Processed]]/Allocation[[#This Row],[Dilution rate]]</f>
        <v>810</v>
      </c>
      <c r="T2332" s="59">
        <f>SUMIF(Allocation[Delivery ID],Allocation[[#This Row],[Delivery ID]],Allocation[Quantity allocated])/SUMIF(Allocation[Delivery ID],Allocation[[#This Row],[Delivery ID]],Allocation[Volume available (kg)])</f>
        <v>0.99046717171717158</v>
      </c>
      <c r="U2332" s="61">
        <f>Allocation[[#This Row],[Total volume used]]/VLOOKUP(Allocation[[#This Row],[Delivery ID]],Delivery[[Delivery ID]:[Quantity delivered]],3,FALSE)</f>
        <v>0.46518105849582175</v>
      </c>
      <c r="V2332" s="34" t="e">
        <f>VLOOKUP(Allocation[[#This Row],[SAP Contract number]],Shipments[[SAP Contract number]:[Contracted container weight]],2,FALSE)</f>
        <v>#N/A</v>
      </c>
      <c r="W2332" s="34" t="e">
        <f>VLOOKUP(Allocation[[#This Row],[SAP Contract number]],Shipments[[SAP Contract number]:[AAA Premium USD]],24,FALSE)</f>
        <v>#N/A</v>
      </c>
      <c r="X2332" s="34" t="e">
        <f>VLOOKUP(Allocation[[#This Row],[SAP Contract number]],Shipments[[SAP Contract number]:[RA Premium USD]],25,FALSE)</f>
        <v>#N/A</v>
      </c>
      <c r="Y2332" s="38">
        <f>Allocation[[#This Row],[Quantity Processed]]/Allocation[[#This Row],[Quantity allocated]]</f>
        <v>2.7783641160949868</v>
      </c>
      <c r="Z2332" s="34" t="b">
        <f>Allocation[[#This Row],[Quantity allocated]]&lt;=Allocation[[#This Row],[Quantity Processed]]</f>
        <v>1</v>
      </c>
    </row>
    <row r="2333" spans="1:26">
      <c r="A2333" s="247" t="s">
        <v>467</v>
      </c>
      <c r="B2333" s="210" t="s">
        <v>68</v>
      </c>
      <c r="C2333" s="254" t="s">
        <v>1663</v>
      </c>
      <c r="D2333" s="255">
        <v>4197</v>
      </c>
      <c r="E2333" s="211" t="s">
        <v>1962</v>
      </c>
      <c r="F2333" s="212">
        <v>43651</v>
      </c>
      <c r="G2333" s="213">
        <v>2.6</v>
      </c>
      <c r="H2333" s="256">
        <v>1511</v>
      </c>
      <c r="I2333" s="214">
        <v>1465996</v>
      </c>
      <c r="J2333" s="215">
        <v>20700</v>
      </c>
      <c r="K2333" s="212">
        <v>43651</v>
      </c>
      <c r="L2333" s="211" t="s">
        <v>1970</v>
      </c>
      <c r="M2333" s="216">
        <v>4615447218</v>
      </c>
      <c r="N2333" s="212"/>
      <c r="O2333" s="218"/>
      <c r="P2333" s="219"/>
      <c r="Q2333" s="34">
        <f>SUMIF(Allocation[Delivery ID],Allocation[[#This Row],[Delivery ID]],Allocation[Quantity Processed])</f>
        <v>8989</v>
      </c>
      <c r="R2333" s="61">
        <f>Allocation[[#This Row],[Total volume used]]/VLOOKUP(Allocation[[#This Row],[Delivery ID]],Delivery[[Delivery ID]:[Quantity delivered]],3,FALSE)</f>
        <v>0.46510063641537747</v>
      </c>
      <c r="S2333" s="34">
        <f>Allocation[[#This Row],[Quantity Processed]]/Allocation[[#This Row],[Dilution rate]]</f>
        <v>1614.2307692307693</v>
      </c>
      <c r="T2333" s="59">
        <f>SUMIF(Allocation[Delivery ID],Allocation[[#This Row],[Delivery ID]],Allocation[Quantity allocated])/SUMIF(Allocation[Delivery ID],Allocation[[#This Row],[Delivery ID]],Allocation[Volume available (kg)])</f>
        <v>0.99061894805221162</v>
      </c>
      <c r="U2333" s="61">
        <f>Allocation[[#This Row],[Total volume used]]/VLOOKUP(Allocation[[#This Row],[Delivery ID]],Delivery[[Delivery ID]:[Quantity delivered]],3,FALSE)</f>
        <v>0.46510063641537747</v>
      </c>
      <c r="V2333" s="34" t="e">
        <f>VLOOKUP(Allocation[[#This Row],[SAP Contract number]],Shipments[[SAP Contract number]:[Contracted container weight]],2,FALSE)</f>
        <v>#N/A</v>
      </c>
      <c r="W2333" s="34" t="e">
        <f>VLOOKUP(Allocation[[#This Row],[SAP Contract number]],Shipments[[SAP Contract number]:[AAA Premium USD]],24,FALSE)</f>
        <v>#N/A</v>
      </c>
      <c r="X2333" s="34" t="e">
        <f>VLOOKUP(Allocation[[#This Row],[SAP Contract number]],Shipments[[SAP Contract number]:[RA Premium USD]],25,FALSE)</f>
        <v>#N/A</v>
      </c>
      <c r="Y2333" s="38">
        <f>Allocation[[#This Row],[Quantity Processed]]/Allocation[[#This Row],[Quantity allocated]]</f>
        <v>2.7776307081403044</v>
      </c>
      <c r="Z2333" s="34" t="b">
        <f>Allocation[[#This Row],[Quantity allocated]]&lt;=Allocation[[#This Row],[Quantity Processed]]</f>
        <v>1</v>
      </c>
    </row>
    <row r="2334" spans="1:26">
      <c r="A2334" s="247" t="s">
        <v>467</v>
      </c>
      <c r="B2334" s="210" t="s">
        <v>68</v>
      </c>
      <c r="C2334" s="254" t="s">
        <v>1664</v>
      </c>
      <c r="D2334" s="255">
        <v>6381</v>
      </c>
      <c r="E2334" s="211" t="s">
        <v>1962</v>
      </c>
      <c r="F2334" s="212">
        <v>43651</v>
      </c>
      <c r="G2334" s="213">
        <v>2.6</v>
      </c>
      <c r="H2334" s="256">
        <v>2297</v>
      </c>
      <c r="I2334" s="214">
        <v>1465996</v>
      </c>
      <c r="J2334" s="215">
        <v>20700</v>
      </c>
      <c r="K2334" s="212">
        <v>43651</v>
      </c>
      <c r="L2334" s="211" t="s">
        <v>1970</v>
      </c>
      <c r="M2334" s="216">
        <v>4615447218</v>
      </c>
      <c r="N2334" s="212"/>
      <c r="O2334" s="218"/>
      <c r="P2334" s="219"/>
      <c r="Q2334" s="34">
        <f>SUMIF(Allocation[Delivery ID],Allocation[[#This Row],[Delivery ID]],Allocation[Quantity Processed])</f>
        <v>13664</v>
      </c>
      <c r="R2334" s="61">
        <f>Allocation[[#This Row],[Total volume used]]/VLOOKUP(Allocation[[#This Row],[Delivery ID]],Delivery[[Delivery ID]:[Quantity delivered]],3,FALSE)</f>
        <v>0.46523663602315285</v>
      </c>
      <c r="S2334" s="34">
        <f>Allocation[[#This Row],[Quantity Processed]]/Allocation[[#This Row],[Dilution rate]]</f>
        <v>2454.2307692307691</v>
      </c>
      <c r="T2334" s="59">
        <f>SUMIF(Allocation[Delivery ID],Allocation[[#This Row],[Delivery ID]],Allocation[Quantity allocated])/SUMIF(Allocation[Delivery ID],Allocation[[#This Row],[Delivery ID]],Allocation[Volume available (kg)])</f>
        <v>0.99061342336014024</v>
      </c>
      <c r="U2334" s="61">
        <f>Allocation[[#This Row],[Total volume used]]/VLOOKUP(Allocation[[#This Row],[Delivery ID]],Delivery[[Delivery ID]:[Quantity delivered]],3,FALSE)</f>
        <v>0.46523663602315285</v>
      </c>
      <c r="V2334" s="34" t="e">
        <f>VLOOKUP(Allocation[[#This Row],[SAP Contract number]],Shipments[[SAP Contract number]:[Contracted container weight]],2,FALSE)</f>
        <v>#N/A</v>
      </c>
      <c r="W2334" s="34" t="e">
        <f>VLOOKUP(Allocation[[#This Row],[SAP Contract number]],Shipments[[SAP Contract number]:[AAA Premium USD]],24,FALSE)</f>
        <v>#N/A</v>
      </c>
      <c r="X2334" s="34" t="e">
        <f>VLOOKUP(Allocation[[#This Row],[SAP Contract number]],Shipments[[SAP Contract number]:[RA Premium USD]],25,FALSE)</f>
        <v>#N/A</v>
      </c>
      <c r="Y2334" s="38">
        <f>Allocation[[#This Row],[Quantity Processed]]/Allocation[[#This Row],[Quantity allocated]]</f>
        <v>2.7779712668698302</v>
      </c>
      <c r="Z2334" s="34" t="b">
        <f>Allocation[[#This Row],[Quantity allocated]]&lt;=Allocation[[#This Row],[Quantity Processed]]</f>
        <v>1</v>
      </c>
    </row>
    <row r="2335" spans="1:26">
      <c r="A2335" s="247" t="s">
        <v>467</v>
      </c>
      <c r="B2335" s="210" t="s">
        <v>68</v>
      </c>
      <c r="C2335" s="254" t="s">
        <v>1665</v>
      </c>
      <c r="D2335" s="255">
        <v>13596</v>
      </c>
      <c r="E2335" s="211" t="s">
        <v>1962</v>
      </c>
      <c r="F2335" s="212">
        <v>43651</v>
      </c>
      <c r="G2335" s="213">
        <v>2.6</v>
      </c>
      <c r="H2335" s="256">
        <v>6254</v>
      </c>
      <c r="I2335" s="214">
        <v>1465996</v>
      </c>
      <c r="J2335" s="215">
        <v>20700</v>
      </c>
      <c r="K2335" s="212">
        <v>43651</v>
      </c>
      <c r="L2335" s="211" t="s">
        <v>1970</v>
      </c>
      <c r="M2335" s="216">
        <v>4615447218</v>
      </c>
      <c r="N2335" s="212"/>
      <c r="O2335" s="218"/>
      <c r="P2335" s="219"/>
      <c r="Q2335" s="34">
        <f>SUMIF(Allocation[Delivery ID],Allocation[[#This Row],[Delivery ID]],Allocation[Quantity Processed])</f>
        <v>29970</v>
      </c>
      <c r="R2335" s="61">
        <f>Allocation[[#This Row],[Total volume used]]/VLOOKUP(Allocation[[#This Row],[Delivery ID]],Delivery[[Delivery ID]:[Quantity delivered]],3,FALSE)</f>
        <v>1</v>
      </c>
      <c r="S2335" s="34">
        <f>Allocation[[#This Row],[Quantity Processed]]/Allocation[[#This Row],[Dilution rate]]</f>
        <v>5229.2307692307686</v>
      </c>
      <c r="T2335" s="59">
        <f>SUMIF(Allocation[Delivery ID],Allocation[[#This Row],[Delivery ID]],Allocation[Quantity allocated])/SUMIF(Allocation[Delivery ID],Allocation[[#This Row],[Delivery ID]],Allocation[Volume available (kg)])</f>
        <v>1.2203522939204141</v>
      </c>
      <c r="U2335" s="61">
        <f>Allocation[[#This Row],[Total volume used]]/VLOOKUP(Allocation[[#This Row],[Delivery ID]],Delivery[[Delivery ID]:[Quantity delivered]],3,FALSE)</f>
        <v>1</v>
      </c>
      <c r="V2335" s="34" t="e">
        <f>VLOOKUP(Allocation[[#This Row],[SAP Contract number]],Shipments[[SAP Contract number]:[Contracted container weight]],2,FALSE)</f>
        <v>#N/A</v>
      </c>
      <c r="W2335" s="34" t="e">
        <f>VLOOKUP(Allocation[[#This Row],[SAP Contract number]],Shipments[[SAP Contract number]:[AAA Premium USD]],24,FALSE)</f>
        <v>#N/A</v>
      </c>
      <c r="X2335" s="34" t="e">
        <f>VLOOKUP(Allocation[[#This Row],[SAP Contract number]],Shipments[[SAP Contract number]:[RA Premium USD]],25,FALSE)</f>
        <v>#N/A</v>
      </c>
      <c r="Y2335" s="38">
        <f>Allocation[[#This Row],[Quantity Processed]]/Allocation[[#This Row],[Quantity allocated]]</f>
        <v>2.1739686600575632</v>
      </c>
      <c r="Z2335" s="34" t="b">
        <f>Allocation[[#This Row],[Quantity allocated]]&lt;=Allocation[[#This Row],[Quantity Processed]]</f>
        <v>1</v>
      </c>
    </row>
    <row r="2336" spans="1:26">
      <c r="A2336" s="247" t="s">
        <v>467</v>
      </c>
      <c r="B2336" s="210" t="s">
        <v>68</v>
      </c>
      <c r="C2336" s="254" t="s">
        <v>1665</v>
      </c>
      <c r="D2336" s="255">
        <v>215</v>
      </c>
      <c r="E2336" s="211" t="s">
        <v>1962</v>
      </c>
      <c r="F2336" s="212">
        <v>43651</v>
      </c>
      <c r="G2336" s="213">
        <v>2.6</v>
      </c>
      <c r="H2336" s="256">
        <v>99</v>
      </c>
      <c r="I2336" s="214">
        <v>1465997</v>
      </c>
      <c r="J2336" s="215">
        <v>20700</v>
      </c>
      <c r="K2336" s="212">
        <v>43651</v>
      </c>
      <c r="L2336" s="211" t="s">
        <v>1971</v>
      </c>
      <c r="M2336" s="216">
        <v>4615447218</v>
      </c>
      <c r="N2336" s="212"/>
      <c r="O2336" s="218"/>
      <c r="P2336" s="219"/>
      <c r="Q2336" s="34">
        <f>SUMIF(Allocation[Delivery ID],Allocation[[#This Row],[Delivery ID]],Allocation[Quantity Processed])</f>
        <v>29970</v>
      </c>
      <c r="R2336" s="61">
        <f>Allocation[[#This Row],[Total volume used]]/VLOOKUP(Allocation[[#This Row],[Delivery ID]],Delivery[[Delivery ID]:[Quantity delivered]],3,FALSE)</f>
        <v>1</v>
      </c>
      <c r="S2336" s="34">
        <f>Allocation[[#This Row],[Quantity Processed]]/Allocation[[#This Row],[Dilution rate]]</f>
        <v>82.692307692307693</v>
      </c>
      <c r="T2336" s="59">
        <f>SUMIF(Allocation[Delivery ID],Allocation[[#This Row],[Delivery ID]],Allocation[Quantity allocated])/SUMIF(Allocation[Delivery ID],Allocation[[#This Row],[Delivery ID]],Allocation[Volume available (kg)])</f>
        <v>1.2203522939204141</v>
      </c>
      <c r="U2336" s="61">
        <f>Allocation[[#This Row],[Total volume used]]/VLOOKUP(Allocation[[#This Row],[Delivery ID]],Delivery[[Delivery ID]:[Quantity delivered]],3,FALSE)</f>
        <v>1</v>
      </c>
      <c r="V2336" s="34" t="e">
        <f>VLOOKUP(Allocation[[#This Row],[SAP Contract number]],Shipments[[SAP Contract number]:[Contracted container weight]],2,FALSE)</f>
        <v>#N/A</v>
      </c>
      <c r="W2336" s="34" t="e">
        <f>VLOOKUP(Allocation[[#This Row],[SAP Contract number]],Shipments[[SAP Contract number]:[AAA Premium USD]],24,FALSE)</f>
        <v>#N/A</v>
      </c>
      <c r="X2336" s="34" t="e">
        <f>VLOOKUP(Allocation[[#This Row],[SAP Contract number]],Shipments[[SAP Contract number]:[RA Premium USD]],25,FALSE)</f>
        <v>#N/A</v>
      </c>
      <c r="Y2336" s="38">
        <f>Allocation[[#This Row],[Quantity Processed]]/Allocation[[#This Row],[Quantity allocated]]</f>
        <v>2.1717171717171717</v>
      </c>
      <c r="Z2336" s="34" t="b">
        <f>Allocation[[#This Row],[Quantity allocated]]&lt;=Allocation[[#This Row],[Quantity Processed]]</f>
        <v>1</v>
      </c>
    </row>
    <row r="2337" spans="1:26">
      <c r="A2337" s="247" t="s">
        <v>467</v>
      </c>
      <c r="B2337" s="210" t="s">
        <v>68</v>
      </c>
      <c r="C2337" s="254" t="s">
        <v>1666</v>
      </c>
      <c r="D2337" s="255">
        <v>14600</v>
      </c>
      <c r="E2337" s="211" t="s">
        <v>1962</v>
      </c>
      <c r="F2337" s="212">
        <v>43651</v>
      </c>
      <c r="G2337" s="213">
        <v>2.6</v>
      </c>
      <c r="H2337" s="256">
        <v>5840</v>
      </c>
      <c r="I2337" s="214">
        <v>1465997</v>
      </c>
      <c r="J2337" s="215">
        <v>20700</v>
      </c>
      <c r="K2337" s="212">
        <v>43651</v>
      </c>
      <c r="L2337" s="211" t="s">
        <v>1971</v>
      </c>
      <c r="M2337" s="216">
        <v>4615447218</v>
      </c>
      <c r="N2337" s="212"/>
      <c r="O2337" s="218"/>
      <c r="P2337" s="219"/>
      <c r="Q2337" s="34">
        <f>SUMIF(Allocation[Delivery ID],Allocation[[#This Row],[Delivery ID]],Allocation[Quantity Processed])</f>
        <v>18909</v>
      </c>
      <c r="R2337" s="61">
        <f>Allocation[[#This Row],[Total volume used]]/VLOOKUP(Allocation[[#This Row],[Delivery ID]],Delivery[[Delivery ID]:[Quantity delivered]],3,FALSE)</f>
        <v>0.60954499298873366</v>
      </c>
      <c r="S2337" s="34">
        <f>Allocation[[#This Row],[Quantity Processed]]/Allocation[[#This Row],[Dilution rate]]</f>
        <v>5615.3846153846152</v>
      </c>
      <c r="T2337" s="59">
        <f>SUMIF(Allocation[Delivery ID],Allocation[[#This Row],[Delivery ID]],Allocation[Quantity allocated])/SUMIF(Allocation[Delivery ID],Allocation[[#This Row],[Delivery ID]],Allocation[Volume available (kg)])</f>
        <v>1.0107752498483131</v>
      </c>
      <c r="U2337" s="61">
        <f>Allocation[[#This Row],[Total volume used]]/VLOOKUP(Allocation[[#This Row],[Delivery ID]],Delivery[[Delivery ID]:[Quantity delivered]],3,FALSE)</f>
        <v>0.60954499298873366</v>
      </c>
      <c r="V2337" s="34" t="e">
        <f>VLOOKUP(Allocation[[#This Row],[SAP Contract number]],Shipments[[SAP Contract number]:[Contracted container weight]],2,FALSE)</f>
        <v>#N/A</v>
      </c>
      <c r="W2337" s="34" t="e">
        <f>VLOOKUP(Allocation[[#This Row],[SAP Contract number]],Shipments[[SAP Contract number]:[AAA Premium USD]],24,FALSE)</f>
        <v>#N/A</v>
      </c>
      <c r="X2337" s="34" t="e">
        <f>VLOOKUP(Allocation[[#This Row],[SAP Contract number]],Shipments[[SAP Contract number]:[RA Premium USD]],25,FALSE)</f>
        <v>#N/A</v>
      </c>
      <c r="Y2337" s="38">
        <f>Allocation[[#This Row],[Quantity Processed]]/Allocation[[#This Row],[Quantity allocated]]</f>
        <v>2.5</v>
      </c>
      <c r="Z2337" s="34" t="b">
        <f>Allocation[[#This Row],[Quantity allocated]]&lt;=Allocation[[#This Row],[Quantity Processed]]</f>
        <v>1</v>
      </c>
    </row>
    <row r="2338" spans="1:26">
      <c r="A2338" s="247" t="s">
        <v>467</v>
      </c>
      <c r="B2338" s="210" t="s">
        <v>68</v>
      </c>
      <c r="C2338" s="254" t="s">
        <v>1104</v>
      </c>
      <c r="D2338" s="255">
        <v>665.5</v>
      </c>
      <c r="E2338" s="211" t="s">
        <v>1962</v>
      </c>
      <c r="F2338" s="212">
        <v>43651</v>
      </c>
      <c r="G2338" s="213">
        <v>2.6</v>
      </c>
      <c r="H2338" s="256">
        <v>267</v>
      </c>
      <c r="I2338" s="214">
        <v>1465997</v>
      </c>
      <c r="J2338" s="215">
        <v>20700</v>
      </c>
      <c r="K2338" s="212">
        <v>43651</v>
      </c>
      <c r="L2338" s="211" t="s">
        <v>1971</v>
      </c>
      <c r="M2338" s="216">
        <v>4615447218</v>
      </c>
      <c r="N2338" s="212"/>
      <c r="O2338" s="218"/>
      <c r="P2338" s="219"/>
      <c r="Q2338" s="34">
        <f>SUMIF(Allocation[Delivery ID],Allocation[[#This Row],[Delivery ID]],Allocation[Quantity Processed])</f>
        <v>4717.5</v>
      </c>
      <c r="R2338" s="61">
        <f>Allocation[[#This Row],[Total volume used]]/VLOOKUP(Allocation[[#This Row],[Delivery ID]],Delivery[[Delivery ID]:[Quantity delivered]],3,FALSE)</f>
        <v>1</v>
      </c>
      <c r="S2338" s="34">
        <f>Allocation[[#This Row],[Quantity Processed]]/Allocation[[#This Row],[Dilution rate]]</f>
        <v>255.96153846153845</v>
      </c>
      <c r="T2338" s="59">
        <f>SUMIF(Allocation[Delivery ID],Allocation[[#This Row],[Delivery ID]],Allocation[Quantity allocated])/SUMIF(Allocation[Delivery ID],Allocation[[#This Row],[Delivery ID]],Allocation[Volume available (kg)])</f>
        <v>1.0217175128487634</v>
      </c>
      <c r="U2338" s="61">
        <f>Allocation[[#This Row],[Total volume used]]/VLOOKUP(Allocation[[#This Row],[Delivery ID]],Delivery[[Delivery ID]:[Quantity delivered]],3,FALSE)</f>
        <v>1</v>
      </c>
      <c r="V2338" s="34" t="e">
        <f>VLOOKUP(Allocation[[#This Row],[SAP Contract number]],Shipments[[SAP Contract number]:[Contracted container weight]],2,FALSE)</f>
        <v>#N/A</v>
      </c>
      <c r="W2338" s="34" t="e">
        <f>VLOOKUP(Allocation[[#This Row],[SAP Contract number]],Shipments[[SAP Contract number]:[AAA Premium USD]],24,FALSE)</f>
        <v>#N/A</v>
      </c>
      <c r="X2338" s="34" t="e">
        <f>VLOOKUP(Allocation[[#This Row],[SAP Contract number]],Shipments[[SAP Contract number]:[RA Premium USD]],25,FALSE)</f>
        <v>#N/A</v>
      </c>
      <c r="Y2338" s="38">
        <f>Allocation[[#This Row],[Quantity Processed]]/Allocation[[#This Row],[Quantity allocated]]</f>
        <v>2.4925093632958801</v>
      </c>
      <c r="Z2338" s="34" t="b">
        <f>Allocation[[#This Row],[Quantity allocated]]&lt;=Allocation[[#This Row],[Quantity Processed]]</f>
        <v>1</v>
      </c>
    </row>
    <row r="2339" spans="1:26">
      <c r="A2339" s="247" t="s">
        <v>467</v>
      </c>
      <c r="B2339" s="210" t="s">
        <v>68</v>
      </c>
      <c r="C2339" s="254" t="s">
        <v>1667</v>
      </c>
      <c r="D2339" s="255">
        <v>783</v>
      </c>
      <c r="E2339" s="211" t="s">
        <v>1962</v>
      </c>
      <c r="F2339" s="212">
        <v>43651</v>
      </c>
      <c r="G2339" s="213">
        <v>2.6</v>
      </c>
      <c r="H2339" s="256">
        <v>235</v>
      </c>
      <c r="I2339" s="214">
        <v>1465997</v>
      </c>
      <c r="J2339" s="215">
        <v>20700</v>
      </c>
      <c r="K2339" s="212">
        <v>43651</v>
      </c>
      <c r="L2339" s="211" t="s">
        <v>1971</v>
      </c>
      <c r="M2339" s="216">
        <v>4615447218</v>
      </c>
      <c r="N2339" s="212"/>
      <c r="O2339" s="218"/>
      <c r="P2339" s="219"/>
      <c r="Q2339" s="34">
        <f>SUMIF(Allocation[Delivery ID],Allocation[[#This Row],[Delivery ID]],Allocation[Quantity Processed])</f>
        <v>16603</v>
      </c>
      <c r="R2339" s="61">
        <f>Allocation[[#This Row],[Total volume used]]/VLOOKUP(Allocation[[#This Row],[Delivery ID]],Delivery[[Delivery ID]:[Quantity delivered]],3,FALSE)</f>
        <v>0.71245279780295223</v>
      </c>
      <c r="S2339" s="34">
        <f>Allocation[[#This Row],[Quantity Processed]]/Allocation[[#This Row],[Dilution rate]]</f>
        <v>301.15384615384613</v>
      </c>
      <c r="T2339" s="59">
        <f>SUMIF(Allocation[Delivery ID],Allocation[[#This Row],[Delivery ID]],Allocation[Quantity allocated])/SUMIF(Allocation[Delivery ID],Allocation[[#This Row],[Delivery ID]],Allocation[Volume available (kg)])</f>
        <v>0.80065042016330834</v>
      </c>
      <c r="U2339" s="61">
        <f>Allocation[[#This Row],[Total volume used]]/VLOOKUP(Allocation[[#This Row],[Delivery ID]],Delivery[[Delivery ID]:[Quantity delivered]],3,FALSE)</f>
        <v>0.71245279780295223</v>
      </c>
      <c r="V2339" s="34" t="e">
        <f>VLOOKUP(Allocation[[#This Row],[SAP Contract number]],Shipments[[SAP Contract number]:[Contracted container weight]],2,FALSE)</f>
        <v>#N/A</v>
      </c>
      <c r="W2339" s="34" t="e">
        <f>VLOOKUP(Allocation[[#This Row],[SAP Contract number]],Shipments[[SAP Contract number]:[AAA Premium USD]],24,FALSE)</f>
        <v>#N/A</v>
      </c>
      <c r="X2339" s="34" t="e">
        <f>VLOOKUP(Allocation[[#This Row],[SAP Contract number]],Shipments[[SAP Contract number]:[RA Premium USD]],25,FALSE)</f>
        <v>#N/A</v>
      </c>
      <c r="Y2339" s="38">
        <f>Allocation[[#This Row],[Quantity Processed]]/Allocation[[#This Row],[Quantity allocated]]</f>
        <v>3.3319148936170211</v>
      </c>
      <c r="Z2339" s="34" t="b">
        <f>Allocation[[#This Row],[Quantity allocated]]&lt;=Allocation[[#This Row],[Quantity Processed]]</f>
        <v>1</v>
      </c>
    </row>
    <row r="2340" spans="1:26">
      <c r="A2340" s="247" t="s">
        <v>467</v>
      </c>
      <c r="B2340" s="210" t="s">
        <v>68</v>
      </c>
      <c r="C2340" s="254" t="s">
        <v>1105</v>
      </c>
      <c r="D2340" s="255">
        <v>533</v>
      </c>
      <c r="E2340" s="211" t="s">
        <v>1962</v>
      </c>
      <c r="F2340" s="212">
        <v>43651</v>
      </c>
      <c r="G2340" s="213">
        <v>2.6</v>
      </c>
      <c r="H2340" s="256">
        <v>213</v>
      </c>
      <c r="I2340" s="214">
        <v>1465997</v>
      </c>
      <c r="J2340" s="215">
        <v>20700</v>
      </c>
      <c r="K2340" s="212">
        <v>43651</v>
      </c>
      <c r="L2340" s="211" t="s">
        <v>1971</v>
      </c>
      <c r="M2340" s="216">
        <v>4615447218</v>
      </c>
      <c r="N2340" s="212"/>
      <c r="O2340" s="218"/>
      <c r="P2340" s="219"/>
      <c r="Q2340" s="34">
        <f>SUMIF(Allocation[Delivery ID],Allocation[[#This Row],[Delivery ID]],Allocation[Quantity Processed])</f>
        <v>12457</v>
      </c>
      <c r="R2340" s="61">
        <f>Allocation[[#This Row],[Total volume used]]/VLOOKUP(Allocation[[#This Row],[Delivery ID]],Delivery[[Delivery ID]:[Quantity delivered]],3,FALSE)</f>
        <v>0.89961724561276812</v>
      </c>
      <c r="S2340" s="34">
        <f>Allocation[[#This Row],[Quantity Processed]]/Allocation[[#This Row],[Dilution rate]]</f>
        <v>205</v>
      </c>
      <c r="T2340" s="59">
        <f>SUMIF(Allocation[Delivery ID],Allocation[[#This Row],[Delivery ID]],Allocation[Quantity allocated])/SUMIF(Allocation[Delivery ID],Allocation[[#This Row],[Delivery ID]],Allocation[Volume available (kg)])</f>
        <v>1.0187170394824583</v>
      </c>
      <c r="U2340" s="61">
        <f>Allocation[[#This Row],[Total volume used]]/VLOOKUP(Allocation[[#This Row],[Delivery ID]],Delivery[[Delivery ID]:[Quantity delivered]],3,FALSE)</f>
        <v>0.89961724561276812</v>
      </c>
      <c r="V2340" s="34" t="e">
        <f>VLOOKUP(Allocation[[#This Row],[SAP Contract number]],Shipments[[SAP Contract number]:[Contracted container weight]],2,FALSE)</f>
        <v>#N/A</v>
      </c>
      <c r="W2340" s="34" t="e">
        <f>VLOOKUP(Allocation[[#This Row],[SAP Contract number]],Shipments[[SAP Contract number]:[AAA Premium USD]],24,FALSE)</f>
        <v>#N/A</v>
      </c>
      <c r="X2340" s="34" t="e">
        <f>VLOOKUP(Allocation[[#This Row],[SAP Contract number]],Shipments[[SAP Contract number]:[RA Premium USD]],25,FALSE)</f>
        <v>#N/A</v>
      </c>
      <c r="Y2340" s="38">
        <f>Allocation[[#This Row],[Quantity Processed]]/Allocation[[#This Row],[Quantity allocated]]</f>
        <v>2.5023474178403755</v>
      </c>
      <c r="Z2340" s="34" t="b">
        <f>Allocation[[#This Row],[Quantity allocated]]&lt;=Allocation[[#This Row],[Quantity Processed]]</f>
        <v>1</v>
      </c>
    </row>
    <row r="2341" spans="1:26">
      <c r="A2341" s="247" t="s">
        <v>467</v>
      </c>
      <c r="B2341" s="210" t="s">
        <v>68</v>
      </c>
      <c r="C2341" s="254" t="s">
        <v>1109</v>
      </c>
      <c r="D2341" s="255">
        <v>354</v>
      </c>
      <c r="E2341" s="211" t="s">
        <v>1962</v>
      </c>
      <c r="F2341" s="212">
        <v>43651</v>
      </c>
      <c r="G2341" s="213">
        <v>2.6</v>
      </c>
      <c r="H2341" s="256">
        <v>124</v>
      </c>
      <c r="I2341" s="214">
        <v>1465997</v>
      </c>
      <c r="J2341" s="215">
        <v>20700</v>
      </c>
      <c r="K2341" s="212">
        <v>43651</v>
      </c>
      <c r="L2341" s="211" t="s">
        <v>1971</v>
      </c>
      <c r="M2341" s="216">
        <v>4615447218</v>
      </c>
      <c r="N2341" s="212"/>
      <c r="O2341" s="218"/>
      <c r="P2341" s="219"/>
      <c r="Q2341" s="34">
        <f>SUMIF(Allocation[Delivery ID],Allocation[[#This Row],[Delivery ID]],Allocation[Quantity Processed])</f>
        <v>23260</v>
      </c>
      <c r="R2341" s="61">
        <f>Allocation[[#This Row],[Total volume used]]/VLOOKUP(Allocation[[#This Row],[Delivery ID]],Delivery[[Delivery ID]:[Quantity delivered]],3,FALSE)</f>
        <v>1</v>
      </c>
      <c r="S2341" s="34">
        <f>Allocation[[#This Row],[Quantity Processed]]/Allocation[[#This Row],[Dilution rate]]</f>
        <v>136.15384615384616</v>
      </c>
      <c r="T2341" s="59">
        <f>SUMIF(Allocation[Delivery ID],Allocation[[#This Row],[Delivery ID]],Allocation[Quantity allocated])/SUMIF(Allocation[Delivery ID],Allocation[[#This Row],[Delivery ID]],Allocation[Volume available (kg)])</f>
        <v>0.89085097920131462</v>
      </c>
      <c r="U2341" s="61">
        <f>Allocation[[#This Row],[Total volume used]]/VLOOKUP(Allocation[[#This Row],[Delivery ID]],Delivery[[Delivery ID]:[Quantity delivered]],3,FALSE)</f>
        <v>1</v>
      </c>
      <c r="V2341" s="34" t="e">
        <f>VLOOKUP(Allocation[[#This Row],[SAP Contract number]],Shipments[[SAP Contract number]:[Contracted container weight]],2,FALSE)</f>
        <v>#N/A</v>
      </c>
      <c r="W2341" s="34" t="e">
        <f>VLOOKUP(Allocation[[#This Row],[SAP Contract number]],Shipments[[SAP Contract number]:[AAA Premium USD]],24,FALSE)</f>
        <v>#N/A</v>
      </c>
      <c r="X2341" s="34" t="e">
        <f>VLOOKUP(Allocation[[#This Row],[SAP Contract number]],Shipments[[SAP Contract number]:[RA Premium USD]],25,FALSE)</f>
        <v>#N/A</v>
      </c>
      <c r="Y2341" s="38">
        <f>Allocation[[#This Row],[Quantity Processed]]/Allocation[[#This Row],[Quantity allocated]]</f>
        <v>2.8548387096774195</v>
      </c>
      <c r="Z2341" s="34" t="b">
        <f>Allocation[[#This Row],[Quantity allocated]]&lt;=Allocation[[#This Row],[Quantity Processed]]</f>
        <v>1</v>
      </c>
    </row>
    <row r="2342" spans="1:26">
      <c r="A2342" s="247" t="s">
        <v>467</v>
      </c>
      <c r="B2342" s="210" t="s">
        <v>68</v>
      </c>
      <c r="C2342" s="254" t="s">
        <v>1669</v>
      </c>
      <c r="D2342" s="255">
        <v>15000</v>
      </c>
      <c r="E2342" s="211" t="s">
        <v>1962</v>
      </c>
      <c r="F2342" s="212">
        <v>43651</v>
      </c>
      <c r="G2342" s="213">
        <v>2.6</v>
      </c>
      <c r="H2342" s="256">
        <v>6000</v>
      </c>
      <c r="I2342" s="214">
        <v>1465997</v>
      </c>
      <c r="J2342" s="215">
        <v>20700</v>
      </c>
      <c r="K2342" s="212">
        <v>43651</v>
      </c>
      <c r="L2342" s="211" t="s">
        <v>1971</v>
      </c>
      <c r="M2342" s="216">
        <v>4615447218</v>
      </c>
      <c r="N2342" s="212"/>
      <c r="O2342" s="218"/>
      <c r="P2342" s="219"/>
      <c r="Q2342" s="34">
        <f>SUMIF(Allocation[Delivery ID],Allocation[[#This Row],[Delivery ID]],Allocation[Quantity Processed])</f>
        <v>18270</v>
      </c>
      <c r="R2342" s="61">
        <f>Allocation[[#This Row],[Total volume used]]/VLOOKUP(Allocation[[#This Row],[Delivery ID]],Delivery[[Delivery ID]:[Quantity delivered]],3,FALSE)</f>
        <v>0.77591149427728112</v>
      </c>
      <c r="S2342" s="34">
        <f>Allocation[[#This Row],[Quantity Processed]]/Allocation[[#This Row],[Dilution rate]]</f>
        <v>5769.2307692307686</v>
      </c>
      <c r="T2342" s="59">
        <f>SUMIF(Allocation[Delivery ID],Allocation[[#This Row],[Delivery ID]],Allocation[Quantity allocated])/SUMIF(Allocation[Delivery ID],Allocation[[#This Row],[Delivery ID]],Allocation[Volume available (kg)])</f>
        <v>1.0169862938572127</v>
      </c>
      <c r="U2342" s="61">
        <f>Allocation[[#This Row],[Total volume used]]/VLOOKUP(Allocation[[#This Row],[Delivery ID]],Delivery[[Delivery ID]:[Quantity delivered]],3,FALSE)</f>
        <v>0.77591149427728112</v>
      </c>
      <c r="V2342" s="34" t="e">
        <f>VLOOKUP(Allocation[[#This Row],[SAP Contract number]],Shipments[[SAP Contract number]:[Contracted container weight]],2,FALSE)</f>
        <v>#N/A</v>
      </c>
      <c r="W2342" s="34" t="e">
        <f>VLOOKUP(Allocation[[#This Row],[SAP Contract number]],Shipments[[SAP Contract number]:[AAA Premium USD]],24,FALSE)</f>
        <v>#N/A</v>
      </c>
      <c r="X2342" s="34" t="e">
        <f>VLOOKUP(Allocation[[#This Row],[SAP Contract number]],Shipments[[SAP Contract number]:[RA Premium USD]],25,FALSE)</f>
        <v>#N/A</v>
      </c>
      <c r="Y2342" s="38">
        <f>Allocation[[#This Row],[Quantity Processed]]/Allocation[[#This Row],[Quantity allocated]]</f>
        <v>2.5</v>
      </c>
      <c r="Z2342" s="34" t="b">
        <f>Allocation[[#This Row],[Quantity allocated]]&lt;=Allocation[[#This Row],[Quantity Processed]]</f>
        <v>1</v>
      </c>
    </row>
    <row r="2343" spans="1:26">
      <c r="A2343" s="247" t="s">
        <v>467</v>
      </c>
      <c r="B2343" s="210" t="s">
        <v>68</v>
      </c>
      <c r="C2343" s="254" t="s">
        <v>1670</v>
      </c>
      <c r="D2343" s="255">
        <v>18</v>
      </c>
      <c r="E2343" s="211" t="s">
        <v>1962</v>
      </c>
      <c r="F2343" s="212">
        <v>43651</v>
      </c>
      <c r="G2343" s="213">
        <v>2.6</v>
      </c>
      <c r="H2343" s="256">
        <v>7</v>
      </c>
      <c r="I2343" s="214">
        <v>1465997</v>
      </c>
      <c r="J2343" s="215">
        <v>20700</v>
      </c>
      <c r="K2343" s="212">
        <v>43651</v>
      </c>
      <c r="L2343" s="211" t="s">
        <v>1971</v>
      </c>
      <c r="M2343" s="216">
        <v>4615447218</v>
      </c>
      <c r="N2343" s="212"/>
      <c r="O2343" s="218"/>
      <c r="P2343" s="219"/>
      <c r="Q2343" s="34">
        <f>SUMIF(Allocation[Delivery ID],Allocation[[#This Row],[Delivery ID]],Allocation[Quantity Processed])</f>
        <v>915</v>
      </c>
      <c r="R2343" s="61">
        <f>Allocation[[#This Row],[Total volume used]]/VLOOKUP(Allocation[[#This Row],[Delivery ID]],Delivery[[Delivery ID]:[Quantity delivered]],3,FALSE)</f>
        <v>0.11506539235412475</v>
      </c>
      <c r="S2343" s="34">
        <f>Allocation[[#This Row],[Quantity Processed]]/Allocation[[#This Row],[Dilution rate]]</f>
        <v>6.9230769230769225</v>
      </c>
      <c r="T2343" s="59">
        <f>SUMIF(Allocation[Delivery ID],Allocation[[#This Row],[Delivery ID]],Allocation[Quantity allocated])/SUMIF(Allocation[Delivery ID],Allocation[[#This Row],[Delivery ID]],Allocation[Volume available (kg)])</f>
        <v>0.89539346592143143</v>
      </c>
      <c r="U2343" s="61">
        <f>Allocation[[#This Row],[Total volume used]]/VLOOKUP(Allocation[[#This Row],[Delivery ID]],Delivery[[Delivery ID]:[Quantity delivered]],3,FALSE)</f>
        <v>0.11506539235412475</v>
      </c>
      <c r="V2343" s="34" t="e">
        <f>VLOOKUP(Allocation[[#This Row],[SAP Contract number]],Shipments[[SAP Contract number]:[Contracted container weight]],2,FALSE)</f>
        <v>#N/A</v>
      </c>
      <c r="W2343" s="34" t="e">
        <f>VLOOKUP(Allocation[[#This Row],[SAP Contract number]],Shipments[[SAP Contract number]:[AAA Premium USD]],24,FALSE)</f>
        <v>#N/A</v>
      </c>
      <c r="X2343" s="34" t="e">
        <f>VLOOKUP(Allocation[[#This Row],[SAP Contract number]],Shipments[[SAP Contract number]:[RA Premium USD]],25,FALSE)</f>
        <v>#N/A</v>
      </c>
      <c r="Y2343" s="38">
        <f>Allocation[[#This Row],[Quantity Processed]]/Allocation[[#This Row],[Quantity allocated]]</f>
        <v>2.5714285714285716</v>
      </c>
      <c r="Z2343" s="34" t="b">
        <f>Allocation[[#This Row],[Quantity allocated]]&lt;=Allocation[[#This Row],[Quantity Processed]]</f>
        <v>1</v>
      </c>
    </row>
    <row r="2344" spans="1:26">
      <c r="A2344" s="247" t="s">
        <v>467</v>
      </c>
      <c r="B2344" s="210" t="s">
        <v>68</v>
      </c>
      <c r="C2344" s="254" t="s">
        <v>1671</v>
      </c>
      <c r="D2344" s="255">
        <v>19788</v>
      </c>
      <c r="E2344" s="211" t="s">
        <v>1962</v>
      </c>
      <c r="F2344" s="212">
        <v>43651</v>
      </c>
      <c r="G2344" s="213">
        <v>2.6</v>
      </c>
      <c r="H2344" s="256">
        <v>7915</v>
      </c>
      <c r="I2344" s="214">
        <v>1465997</v>
      </c>
      <c r="J2344" s="215">
        <v>20700</v>
      </c>
      <c r="K2344" s="212">
        <v>43651</v>
      </c>
      <c r="L2344" s="211" t="s">
        <v>1971</v>
      </c>
      <c r="M2344" s="216">
        <v>4615447218</v>
      </c>
      <c r="N2344" s="212"/>
      <c r="O2344" s="218"/>
      <c r="P2344" s="219"/>
      <c r="Q2344" s="34">
        <f>SUMIF(Allocation[Delivery ID],Allocation[[#This Row],[Delivery ID]],Allocation[Quantity Processed])</f>
        <v>25604</v>
      </c>
      <c r="R2344" s="61">
        <f>Allocation[[#This Row],[Total volume used]]/VLOOKUP(Allocation[[#This Row],[Delivery ID]],Delivery[[Delivery ID]:[Quantity delivered]],3,FALSE)</f>
        <v>0.81642804757501353</v>
      </c>
      <c r="S2344" s="34">
        <f>Allocation[[#This Row],[Quantity Processed]]/Allocation[[#This Row],[Dilution rate]]</f>
        <v>7610.7692307692305</v>
      </c>
      <c r="T2344" s="59">
        <f>SUMIF(Allocation[Delivery ID],Allocation[[#This Row],[Delivery ID]],Allocation[Quantity allocated])/SUMIF(Allocation[Delivery ID],Allocation[[#This Row],[Delivery ID]],Allocation[Volume available (kg)])</f>
        <v>1.0180340767934712</v>
      </c>
      <c r="U2344" s="61">
        <f>Allocation[[#This Row],[Total volume used]]/VLOOKUP(Allocation[[#This Row],[Delivery ID]],Delivery[[Delivery ID]:[Quantity delivered]],3,FALSE)</f>
        <v>0.81642804757501353</v>
      </c>
      <c r="V2344" s="34" t="e">
        <f>VLOOKUP(Allocation[[#This Row],[SAP Contract number]],Shipments[[SAP Contract number]:[Contracted container weight]],2,FALSE)</f>
        <v>#N/A</v>
      </c>
      <c r="W2344" s="34" t="e">
        <f>VLOOKUP(Allocation[[#This Row],[SAP Contract number]],Shipments[[SAP Contract number]:[AAA Premium USD]],24,FALSE)</f>
        <v>#N/A</v>
      </c>
      <c r="X2344" s="34" t="e">
        <f>VLOOKUP(Allocation[[#This Row],[SAP Contract number]],Shipments[[SAP Contract number]:[RA Premium USD]],25,FALSE)</f>
        <v>#N/A</v>
      </c>
      <c r="Y2344" s="38">
        <f>Allocation[[#This Row],[Quantity Processed]]/Allocation[[#This Row],[Quantity allocated]]</f>
        <v>2.5000631711939354</v>
      </c>
      <c r="Z2344" s="34" t="b">
        <f>Allocation[[#This Row],[Quantity allocated]]&lt;=Allocation[[#This Row],[Quantity Processed]]</f>
        <v>1</v>
      </c>
    </row>
    <row r="2345" spans="1:26">
      <c r="A2345" s="247" t="s">
        <v>467</v>
      </c>
      <c r="B2345" s="210" t="s">
        <v>68</v>
      </c>
      <c r="C2345" s="254" t="s">
        <v>1671</v>
      </c>
      <c r="D2345" s="255">
        <v>1463</v>
      </c>
      <c r="E2345" s="211" t="s">
        <v>1962</v>
      </c>
      <c r="F2345" s="212">
        <v>43651</v>
      </c>
      <c r="G2345" s="213">
        <v>2.6</v>
      </c>
      <c r="H2345" s="256">
        <v>585</v>
      </c>
      <c r="I2345" s="214">
        <v>1465998</v>
      </c>
      <c r="J2345" s="215">
        <v>20700</v>
      </c>
      <c r="K2345" s="212">
        <v>43651</v>
      </c>
      <c r="L2345" s="211" t="s">
        <v>1972</v>
      </c>
      <c r="M2345" s="216">
        <v>4615447218</v>
      </c>
      <c r="N2345" s="212"/>
      <c r="O2345" s="218"/>
      <c r="P2345" s="219"/>
      <c r="Q2345" s="34">
        <f>SUMIF(Allocation[Delivery ID],Allocation[[#This Row],[Delivery ID]],Allocation[Quantity Processed])</f>
        <v>25604</v>
      </c>
      <c r="R2345" s="61">
        <f>Allocation[[#This Row],[Total volume used]]/VLOOKUP(Allocation[[#This Row],[Delivery ID]],Delivery[[Delivery ID]:[Quantity delivered]],3,FALSE)</f>
        <v>0.81642804757501353</v>
      </c>
      <c r="S2345" s="34">
        <f>Allocation[[#This Row],[Quantity Processed]]/Allocation[[#This Row],[Dilution rate]]</f>
        <v>562.69230769230762</v>
      </c>
      <c r="T2345" s="59">
        <f>SUMIF(Allocation[Delivery ID],Allocation[[#This Row],[Delivery ID]],Allocation[Quantity allocated])/SUMIF(Allocation[Delivery ID],Allocation[[#This Row],[Delivery ID]],Allocation[Volume available (kg)])</f>
        <v>1.0180340767934712</v>
      </c>
      <c r="U2345" s="61">
        <f>Allocation[[#This Row],[Total volume used]]/VLOOKUP(Allocation[[#This Row],[Delivery ID]],Delivery[[Delivery ID]:[Quantity delivered]],3,FALSE)</f>
        <v>0.81642804757501353</v>
      </c>
      <c r="V2345" s="34" t="e">
        <f>VLOOKUP(Allocation[[#This Row],[SAP Contract number]],Shipments[[SAP Contract number]:[Contracted container weight]],2,FALSE)</f>
        <v>#N/A</v>
      </c>
      <c r="W2345" s="34" t="e">
        <f>VLOOKUP(Allocation[[#This Row],[SAP Contract number]],Shipments[[SAP Contract number]:[AAA Premium USD]],24,FALSE)</f>
        <v>#N/A</v>
      </c>
      <c r="X2345" s="34" t="e">
        <f>VLOOKUP(Allocation[[#This Row],[SAP Contract number]],Shipments[[SAP Contract number]:[RA Premium USD]],25,FALSE)</f>
        <v>#N/A</v>
      </c>
      <c r="Y2345" s="38">
        <f>Allocation[[#This Row],[Quantity Processed]]/Allocation[[#This Row],[Quantity allocated]]</f>
        <v>2.5008547008547009</v>
      </c>
      <c r="Z2345" s="34" t="b">
        <f>Allocation[[#This Row],[Quantity allocated]]&lt;=Allocation[[#This Row],[Quantity Processed]]</f>
        <v>1</v>
      </c>
    </row>
    <row r="2346" spans="1:26">
      <c r="A2346" s="247" t="s">
        <v>467</v>
      </c>
      <c r="B2346" s="210" t="s">
        <v>68</v>
      </c>
      <c r="C2346" s="254" t="s">
        <v>1118</v>
      </c>
      <c r="D2346" s="255">
        <v>607</v>
      </c>
      <c r="E2346" s="211" t="s">
        <v>1962</v>
      </c>
      <c r="F2346" s="212">
        <v>43651</v>
      </c>
      <c r="G2346" s="213">
        <v>2.6</v>
      </c>
      <c r="H2346" s="256">
        <v>261</v>
      </c>
      <c r="I2346" s="214">
        <v>1465998</v>
      </c>
      <c r="J2346" s="215">
        <v>20700</v>
      </c>
      <c r="K2346" s="212">
        <v>43651</v>
      </c>
      <c r="L2346" s="211" t="s">
        <v>1972</v>
      </c>
      <c r="M2346" s="216">
        <v>4615447218</v>
      </c>
      <c r="N2346" s="212"/>
      <c r="O2346" s="218"/>
      <c r="P2346" s="219"/>
      <c r="Q2346" s="34">
        <f>SUMIF(Allocation[Delivery ID],Allocation[[#This Row],[Delivery ID]],Allocation[Quantity Processed])</f>
        <v>29102</v>
      </c>
      <c r="R2346" s="61">
        <f>Allocation[[#This Row],[Total volume used]]/VLOOKUP(Allocation[[#This Row],[Delivery ID]],Delivery[[Delivery ID]:[Quantity delivered]],3,FALSE)</f>
        <v>0.93816892327530621</v>
      </c>
      <c r="S2346" s="34">
        <f>Allocation[[#This Row],[Quantity Processed]]/Allocation[[#This Row],[Dilution rate]]</f>
        <v>233.46153846153845</v>
      </c>
      <c r="T2346" s="59">
        <f>SUMIF(Allocation[Delivery ID],Allocation[[#This Row],[Delivery ID]],Allocation[Quantity allocated])/SUMIF(Allocation[Delivery ID],Allocation[[#This Row],[Delivery ID]],Allocation[Volume available (kg)])</f>
        <v>0.98724339684173867</v>
      </c>
      <c r="U2346" s="61">
        <f>Allocation[[#This Row],[Total volume used]]/VLOOKUP(Allocation[[#This Row],[Delivery ID]],Delivery[[Delivery ID]:[Quantity delivered]],3,FALSE)</f>
        <v>0.93816892327530621</v>
      </c>
      <c r="V2346" s="34" t="e">
        <f>VLOOKUP(Allocation[[#This Row],[SAP Contract number]],Shipments[[SAP Contract number]:[Contracted container weight]],2,FALSE)</f>
        <v>#N/A</v>
      </c>
      <c r="W2346" s="34" t="e">
        <f>VLOOKUP(Allocation[[#This Row],[SAP Contract number]],Shipments[[SAP Contract number]:[AAA Premium USD]],24,FALSE)</f>
        <v>#N/A</v>
      </c>
      <c r="X2346" s="34" t="e">
        <f>VLOOKUP(Allocation[[#This Row],[SAP Contract number]],Shipments[[SAP Contract number]:[RA Premium USD]],25,FALSE)</f>
        <v>#N/A</v>
      </c>
      <c r="Y2346" s="38">
        <f>Allocation[[#This Row],[Quantity Processed]]/Allocation[[#This Row],[Quantity allocated]]</f>
        <v>2.3256704980842913</v>
      </c>
      <c r="Z2346" s="34" t="b">
        <f>Allocation[[#This Row],[Quantity allocated]]&lt;=Allocation[[#This Row],[Quantity Processed]]</f>
        <v>1</v>
      </c>
    </row>
    <row r="2347" spans="1:26">
      <c r="A2347" s="247" t="s">
        <v>467</v>
      </c>
      <c r="B2347" s="210" t="s">
        <v>68</v>
      </c>
      <c r="C2347" s="254" t="s">
        <v>1119</v>
      </c>
      <c r="D2347" s="255">
        <v>605</v>
      </c>
      <c r="E2347" s="211" t="s">
        <v>1962</v>
      </c>
      <c r="F2347" s="212">
        <v>43651</v>
      </c>
      <c r="G2347" s="213">
        <v>2.6</v>
      </c>
      <c r="H2347" s="256">
        <v>260</v>
      </c>
      <c r="I2347" s="214">
        <v>1465998</v>
      </c>
      <c r="J2347" s="215">
        <v>20700</v>
      </c>
      <c r="K2347" s="212">
        <v>43651</v>
      </c>
      <c r="L2347" s="211" t="s">
        <v>1972</v>
      </c>
      <c r="M2347" s="216">
        <v>4615447218</v>
      </c>
      <c r="N2347" s="212"/>
      <c r="O2347" s="218"/>
      <c r="P2347" s="219"/>
      <c r="Q2347" s="34">
        <f>SUMIF(Allocation[Delivery ID],Allocation[[#This Row],[Delivery ID]],Allocation[Quantity Processed])</f>
        <v>29056</v>
      </c>
      <c r="R2347" s="61">
        <f>Allocation[[#This Row],[Total volume used]]/VLOOKUP(Allocation[[#This Row],[Delivery ID]],Delivery[[Delivery ID]:[Quantity delivered]],3,FALSE)</f>
        <v>0.94062803496277114</v>
      </c>
      <c r="S2347" s="34">
        <f>Allocation[[#This Row],[Quantity Processed]]/Allocation[[#This Row],[Dilution rate]]</f>
        <v>232.69230769230768</v>
      </c>
      <c r="T2347" s="59">
        <f>SUMIF(Allocation[Delivery ID],Allocation[[#This Row],[Delivery ID]],Allocation[Quantity allocated])/SUMIF(Allocation[Delivery ID],Allocation[[#This Row],[Delivery ID]],Allocation[Volume available (kg)])</f>
        <v>0.98700841277560369</v>
      </c>
      <c r="U2347" s="61">
        <f>Allocation[[#This Row],[Total volume used]]/VLOOKUP(Allocation[[#This Row],[Delivery ID]],Delivery[[Delivery ID]:[Quantity delivered]],3,FALSE)</f>
        <v>0.94062803496277114</v>
      </c>
      <c r="V2347" s="34" t="e">
        <f>VLOOKUP(Allocation[[#This Row],[SAP Contract number]],Shipments[[SAP Contract number]:[Contracted container weight]],2,FALSE)</f>
        <v>#N/A</v>
      </c>
      <c r="W2347" s="34" t="e">
        <f>VLOOKUP(Allocation[[#This Row],[SAP Contract number]],Shipments[[SAP Contract number]:[AAA Premium USD]],24,FALSE)</f>
        <v>#N/A</v>
      </c>
      <c r="X2347" s="34" t="e">
        <f>VLOOKUP(Allocation[[#This Row],[SAP Contract number]],Shipments[[SAP Contract number]:[RA Premium USD]],25,FALSE)</f>
        <v>#N/A</v>
      </c>
      <c r="Y2347" s="38">
        <f>Allocation[[#This Row],[Quantity Processed]]/Allocation[[#This Row],[Quantity allocated]]</f>
        <v>2.3269230769230771</v>
      </c>
      <c r="Z2347" s="34" t="b">
        <f>Allocation[[#This Row],[Quantity allocated]]&lt;=Allocation[[#This Row],[Quantity Processed]]</f>
        <v>1</v>
      </c>
    </row>
    <row r="2348" spans="1:26">
      <c r="A2348" s="247" t="s">
        <v>467</v>
      </c>
      <c r="B2348" s="210" t="s">
        <v>68</v>
      </c>
      <c r="C2348" s="254" t="s">
        <v>1121</v>
      </c>
      <c r="D2348" s="255">
        <v>612</v>
      </c>
      <c r="E2348" s="211" t="s">
        <v>1962</v>
      </c>
      <c r="F2348" s="212">
        <v>43651</v>
      </c>
      <c r="G2348" s="213">
        <v>2.6</v>
      </c>
      <c r="H2348" s="256">
        <v>263</v>
      </c>
      <c r="I2348" s="214">
        <v>1465998</v>
      </c>
      <c r="J2348" s="215">
        <v>20700</v>
      </c>
      <c r="K2348" s="212">
        <v>43651</v>
      </c>
      <c r="L2348" s="211" t="s">
        <v>1972</v>
      </c>
      <c r="M2348" s="216">
        <v>4615447218</v>
      </c>
      <c r="N2348" s="212"/>
      <c r="O2348" s="218"/>
      <c r="P2348" s="219"/>
      <c r="Q2348" s="34">
        <f>SUMIF(Allocation[Delivery ID],Allocation[[#This Row],[Delivery ID]],Allocation[Quantity Processed])</f>
        <v>29140</v>
      </c>
      <c r="R2348" s="61">
        <f>Allocation[[#This Row],[Total volume used]]/VLOOKUP(Allocation[[#This Row],[Delivery ID]],Delivery[[Delivery ID]:[Quantity delivered]],3,FALSE)</f>
        <v>0.93099041533546323</v>
      </c>
      <c r="S2348" s="34">
        <f>Allocation[[#This Row],[Quantity Processed]]/Allocation[[#This Row],[Dilution rate]]</f>
        <v>235.38461538461539</v>
      </c>
      <c r="T2348" s="59">
        <f>SUMIF(Allocation[Delivery ID],Allocation[[#This Row],[Delivery ID]],Allocation[Quantity allocated])/SUMIF(Allocation[Delivery ID],Allocation[[#This Row],[Delivery ID]],Allocation[Volume available (kg)])</f>
        <v>0.98792443374064631</v>
      </c>
      <c r="U2348" s="61">
        <f>Allocation[[#This Row],[Total volume used]]/VLOOKUP(Allocation[[#This Row],[Delivery ID]],Delivery[[Delivery ID]:[Quantity delivered]],3,FALSE)</f>
        <v>0.93099041533546323</v>
      </c>
      <c r="V2348" s="34" t="e">
        <f>VLOOKUP(Allocation[[#This Row],[SAP Contract number]],Shipments[[SAP Contract number]:[Contracted container weight]],2,FALSE)</f>
        <v>#N/A</v>
      </c>
      <c r="W2348" s="34" t="e">
        <f>VLOOKUP(Allocation[[#This Row],[SAP Contract number]],Shipments[[SAP Contract number]:[AAA Premium USD]],24,FALSE)</f>
        <v>#N/A</v>
      </c>
      <c r="X2348" s="34" t="e">
        <f>VLOOKUP(Allocation[[#This Row],[SAP Contract number]],Shipments[[SAP Contract number]:[RA Premium USD]],25,FALSE)</f>
        <v>#N/A</v>
      </c>
      <c r="Y2348" s="38">
        <f>Allocation[[#This Row],[Quantity Processed]]/Allocation[[#This Row],[Quantity allocated]]</f>
        <v>2.3269961977186311</v>
      </c>
      <c r="Z2348" s="34" t="b">
        <f>Allocation[[#This Row],[Quantity allocated]]&lt;=Allocation[[#This Row],[Quantity Processed]]</f>
        <v>1</v>
      </c>
    </row>
    <row r="2349" spans="1:26">
      <c r="A2349" s="247" t="s">
        <v>467</v>
      </c>
      <c r="B2349" s="210" t="s">
        <v>68</v>
      </c>
      <c r="C2349" s="254" t="s">
        <v>1123</v>
      </c>
      <c r="D2349" s="255">
        <v>593</v>
      </c>
      <c r="E2349" s="211" t="s">
        <v>1962</v>
      </c>
      <c r="F2349" s="212">
        <v>43651</v>
      </c>
      <c r="G2349" s="213">
        <v>2.6</v>
      </c>
      <c r="H2349" s="256">
        <v>255</v>
      </c>
      <c r="I2349" s="214">
        <v>1465998</v>
      </c>
      <c r="J2349" s="215">
        <v>20700</v>
      </c>
      <c r="K2349" s="212">
        <v>43651</v>
      </c>
      <c r="L2349" s="211" t="s">
        <v>1972</v>
      </c>
      <c r="M2349" s="216">
        <v>4615447218</v>
      </c>
      <c r="N2349" s="212"/>
      <c r="O2349" s="218"/>
      <c r="P2349" s="219"/>
      <c r="Q2349" s="34">
        <f>SUMIF(Allocation[Delivery ID],Allocation[[#This Row],[Delivery ID]],Allocation[Quantity Processed])</f>
        <v>28827</v>
      </c>
      <c r="R2349" s="61">
        <f>Allocation[[#This Row],[Total volume used]]/VLOOKUP(Allocation[[#This Row],[Delivery ID]],Delivery[[Delivery ID]:[Quantity delivered]],3,FALSE)</f>
        <v>0.95201453104359313</v>
      </c>
      <c r="S2349" s="34">
        <f>Allocation[[#This Row],[Quantity Processed]]/Allocation[[#This Row],[Dilution rate]]</f>
        <v>228.07692307692307</v>
      </c>
      <c r="T2349" s="59">
        <f>SUMIF(Allocation[Delivery ID],Allocation[[#This Row],[Delivery ID]],Allocation[Quantity allocated])/SUMIF(Allocation[Delivery ID],Allocation[[#This Row],[Delivery ID]],Allocation[Volume available (kg)])</f>
        <v>0.98595213653173808</v>
      </c>
      <c r="U2349" s="61">
        <f>Allocation[[#This Row],[Total volume used]]/VLOOKUP(Allocation[[#This Row],[Delivery ID]],Delivery[[Delivery ID]:[Quantity delivered]],3,FALSE)</f>
        <v>0.95201453104359313</v>
      </c>
      <c r="V2349" s="34" t="e">
        <f>VLOOKUP(Allocation[[#This Row],[SAP Contract number]],Shipments[[SAP Contract number]:[Contracted container weight]],2,FALSE)</f>
        <v>#N/A</v>
      </c>
      <c r="W2349" s="34" t="e">
        <f>VLOOKUP(Allocation[[#This Row],[SAP Contract number]],Shipments[[SAP Contract number]:[AAA Premium USD]],24,FALSE)</f>
        <v>#N/A</v>
      </c>
      <c r="X2349" s="34" t="e">
        <f>VLOOKUP(Allocation[[#This Row],[SAP Contract number]],Shipments[[SAP Contract number]:[RA Premium USD]],25,FALSE)</f>
        <v>#N/A</v>
      </c>
      <c r="Y2349" s="38">
        <f>Allocation[[#This Row],[Quantity Processed]]/Allocation[[#This Row],[Quantity allocated]]</f>
        <v>2.3254901960784315</v>
      </c>
      <c r="Z2349" s="34" t="b">
        <f>Allocation[[#This Row],[Quantity allocated]]&lt;=Allocation[[#This Row],[Quantity Processed]]</f>
        <v>1</v>
      </c>
    </row>
    <row r="2350" spans="1:26">
      <c r="A2350" s="247" t="s">
        <v>467</v>
      </c>
      <c r="B2350" s="210" t="s">
        <v>68</v>
      </c>
      <c r="C2350" s="254" t="s">
        <v>1124</v>
      </c>
      <c r="D2350" s="255">
        <v>438</v>
      </c>
      <c r="E2350" s="211" t="s">
        <v>1962</v>
      </c>
      <c r="F2350" s="212">
        <v>43651</v>
      </c>
      <c r="G2350" s="213">
        <v>2.6</v>
      </c>
      <c r="H2350" s="256">
        <v>219</v>
      </c>
      <c r="I2350" s="214">
        <v>1465998</v>
      </c>
      <c r="J2350" s="215">
        <v>20700</v>
      </c>
      <c r="K2350" s="212">
        <v>43651</v>
      </c>
      <c r="L2350" s="211" t="s">
        <v>1972</v>
      </c>
      <c r="M2350" s="216">
        <v>4615447218</v>
      </c>
      <c r="N2350" s="212"/>
      <c r="O2350" s="218"/>
      <c r="P2350" s="219"/>
      <c r="Q2350" s="34">
        <f>SUMIF(Allocation[Delivery ID],Allocation[[#This Row],[Delivery ID]],Allocation[Quantity Processed])</f>
        <v>10256</v>
      </c>
      <c r="R2350" s="61">
        <f>Allocation[[#This Row],[Total volume used]]/VLOOKUP(Allocation[[#This Row],[Delivery ID]],Delivery[[Delivery ID]:[Quantity delivered]],3,FALSE)</f>
        <v>0.71964354629337268</v>
      </c>
      <c r="S2350" s="34">
        <f>Allocation[[#This Row],[Quantity Processed]]/Allocation[[#This Row],[Dilution rate]]</f>
        <v>168.46153846153845</v>
      </c>
      <c r="T2350" s="59">
        <f>SUMIF(Allocation[Delivery ID],Allocation[[#This Row],[Delivery ID]],Allocation[Quantity allocated])/SUMIF(Allocation[Delivery ID],Allocation[[#This Row],[Delivery ID]],Allocation[Volume available (kg)])</f>
        <v>1.2735516020343203</v>
      </c>
      <c r="U2350" s="61">
        <f>Allocation[[#This Row],[Total volume used]]/VLOOKUP(Allocation[[#This Row],[Delivery ID]],Delivery[[Delivery ID]:[Quantity delivered]],3,FALSE)</f>
        <v>0.71964354629337268</v>
      </c>
      <c r="V2350" s="34" t="e">
        <f>VLOOKUP(Allocation[[#This Row],[SAP Contract number]],Shipments[[SAP Contract number]:[Contracted container weight]],2,FALSE)</f>
        <v>#N/A</v>
      </c>
      <c r="W2350" s="34" t="e">
        <f>VLOOKUP(Allocation[[#This Row],[SAP Contract number]],Shipments[[SAP Contract number]:[AAA Premium USD]],24,FALSE)</f>
        <v>#N/A</v>
      </c>
      <c r="X2350" s="34" t="e">
        <f>VLOOKUP(Allocation[[#This Row],[SAP Contract number]],Shipments[[SAP Contract number]:[RA Premium USD]],25,FALSE)</f>
        <v>#N/A</v>
      </c>
      <c r="Y2350" s="38">
        <f>Allocation[[#This Row],[Quantity Processed]]/Allocation[[#This Row],[Quantity allocated]]</f>
        <v>2</v>
      </c>
      <c r="Z2350" s="34" t="b">
        <f>Allocation[[#This Row],[Quantity allocated]]&lt;=Allocation[[#This Row],[Quantity Processed]]</f>
        <v>1</v>
      </c>
    </row>
    <row r="2351" spans="1:26">
      <c r="A2351" s="247" t="s">
        <v>467</v>
      </c>
      <c r="B2351" s="210" t="s">
        <v>68</v>
      </c>
      <c r="C2351" s="254" t="s">
        <v>1672</v>
      </c>
      <c r="D2351" s="255">
        <v>970</v>
      </c>
      <c r="E2351" s="211" t="s">
        <v>1962</v>
      </c>
      <c r="F2351" s="212">
        <v>43651</v>
      </c>
      <c r="G2351" s="213">
        <v>2.6</v>
      </c>
      <c r="H2351" s="256">
        <v>320</v>
      </c>
      <c r="I2351" s="214">
        <v>1465998</v>
      </c>
      <c r="J2351" s="215">
        <v>20700</v>
      </c>
      <c r="K2351" s="212">
        <v>43651</v>
      </c>
      <c r="L2351" s="211" t="s">
        <v>1972</v>
      </c>
      <c r="M2351" s="216">
        <v>4615447218</v>
      </c>
      <c r="N2351" s="212"/>
      <c r="O2351" s="218"/>
      <c r="P2351" s="219"/>
      <c r="Q2351" s="34">
        <f>SUMIF(Allocation[Delivery ID],Allocation[[#This Row],[Delivery ID]],Allocation[Quantity Processed])</f>
        <v>24691</v>
      </c>
      <c r="R2351" s="61">
        <f>Allocation[[#This Row],[Total volume used]]/VLOOKUP(Allocation[[#This Row],[Delivery ID]],Delivery[[Delivery ID]:[Quantity delivered]],3,FALSE)</f>
        <v>0.77564162975528539</v>
      </c>
      <c r="S2351" s="34">
        <f>Allocation[[#This Row],[Quantity Processed]]/Allocation[[#This Row],[Dilution rate]]</f>
        <v>373.07692307692304</v>
      </c>
      <c r="T2351" s="59">
        <f>SUMIF(Allocation[Delivery ID],Allocation[[#This Row],[Delivery ID]],Allocation[Quantity allocated])/SUMIF(Allocation[Delivery ID],Allocation[[#This Row],[Delivery ID]],Allocation[Volume available (kg)])</f>
        <v>0.8779989177104609</v>
      </c>
      <c r="U2351" s="61">
        <f>Allocation[[#This Row],[Total volume used]]/VLOOKUP(Allocation[[#This Row],[Delivery ID]],Delivery[[Delivery ID]:[Quantity delivered]],3,FALSE)</f>
        <v>0.77564162975528539</v>
      </c>
      <c r="V2351" s="34" t="e">
        <f>VLOOKUP(Allocation[[#This Row],[SAP Contract number]],Shipments[[SAP Contract number]:[Contracted container weight]],2,FALSE)</f>
        <v>#N/A</v>
      </c>
      <c r="W2351" s="34" t="e">
        <f>VLOOKUP(Allocation[[#This Row],[SAP Contract number]],Shipments[[SAP Contract number]:[AAA Premium USD]],24,FALSE)</f>
        <v>#N/A</v>
      </c>
      <c r="X2351" s="34" t="e">
        <f>VLOOKUP(Allocation[[#This Row],[SAP Contract number]],Shipments[[SAP Contract number]:[RA Premium USD]],25,FALSE)</f>
        <v>#N/A</v>
      </c>
      <c r="Y2351" s="38">
        <f>Allocation[[#This Row],[Quantity Processed]]/Allocation[[#This Row],[Quantity allocated]]</f>
        <v>3.03125</v>
      </c>
      <c r="Z2351" s="34" t="b">
        <f>Allocation[[#This Row],[Quantity allocated]]&lt;=Allocation[[#This Row],[Quantity Processed]]</f>
        <v>1</v>
      </c>
    </row>
    <row r="2352" spans="1:26">
      <c r="A2352" s="247" t="s">
        <v>467</v>
      </c>
      <c r="B2352" s="210" t="s">
        <v>68</v>
      </c>
      <c r="C2352" s="254" t="s">
        <v>1673</v>
      </c>
      <c r="D2352" s="255">
        <v>182</v>
      </c>
      <c r="E2352" s="211" t="s">
        <v>1962</v>
      </c>
      <c r="F2352" s="212">
        <v>43651</v>
      </c>
      <c r="G2352" s="213">
        <v>2.6</v>
      </c>
      <c r="H2352" s="256">
        <v>60</v>
      </c>
      <c r="I2352" s="214">
        <v>1465998</v>
      </c>
      <c r="J2352" s="215">
        <v>20700</v>
      </c>
      <c r="K2352" s="212">
        <v>43651</v>
      </c>
      <c r="L2352" s="211" t="s">
        <v>1972</v>
      </c>
      <c r="M2352" s="216">
        <v>4615447218</v>
      </c>
      <c r="N2352" s="212"/>
      <c r="O2352" s="218"/>
      <c r="P2352" s="219"/>
      <c r="Q2352" s="34">
        <f>SUMIF(Allocation[Delivery ID],Allocation[[#This Row],[Delivery ID]],Allocation[Quantity Processed])</f>
        <v>3888</v>
      </c>
      <c r="R2352" s="61">
        <f>Allocation[[#This Row],[Total volume used]]/VLOOKUP(Allocation[[#This Row],[Delivery ID]],Delivery[[Delivery ID]:[Quantity delivered]],3,FALSE)</f>
        <v>0.64724488097219912</v>
      </c>
      <c r="S2352" s="34">
        <f>Allocation[[#This Row],[Quantity Processed]]/Allocation[[#This Row],[Dilution rate]]</f>
        <v>70</v>
      </c>
      <c r="T2352" s="59">
        <f>SUMIF(Allocation[Delivery ID],Allocation[[#This Row],[Delivery ID]],Allocation[Quantity allocated])/SUMIF(Allocation[Delivery ID],Allocation[[#This Row],[Delivery ID]],Allocation[Volume available (kg)])</f>
        <v>0.88067594539644489</v>
      </c>
      <c r="U2352" s="61">
        <f>Allocation[[#This Row],[Total volume used]]/VLOOKUP(Allocation[[#This Row],[Delivery ID]],Delivery[[Delivery ID]:[Quantity delivered]],3,FALSE)</f>
        <v>0.64724488097219912</v>
      </c>
      <c r="V2352" s="34" t="e">
        <f>VLOOKUP(Allocation[[#This Row],[SAP Contract number]],Shipments[[SAP Contract number]:[Contracted container weight]],2,FALSE)</f>
        <v>#N/A</v>
      </c>
      <c r="W2352" s="34" t="e">
        <f>VLOOKUP(Allocation[[#This Row],[SAP Contract number]],Shipments[[SAP Contract number]:[AAA Premium USD]],24,FALSE)</f>
        <v>#N/A</v>
      </c>
      <c r="X2352" s="34" t="e">
        <f>VLOOKUP(Allocation[[#This Row],[SAP Contract number]],Shipments[[SAP Contract number]:[RA Premium USD]],25,FALSE)</f>
        <v>#N/A</v>
      </c>
      <c r="Y2352" s="38">
        <f>Allocation[[#This Row],[Quantity Processed]]/Allocation[[#This Row],[Quantity allocated]]</f>
        <v>3.0333333333333332</v>
      </c>
      <c r="Z2352" s="34" t="b">
        <f>Allocation[[#This Row],[Quantity allocated]]&lt;=Allocation[[#This Row],[Quantity Processed]]</f>
        <v>1</v>
      </c>
    </row>
    <row r="2353" spans="1:26">
      <c r="A2353" s="247" t="s">
        <v>467</v>
      </c>
      <c r="B2353" s="210" t="s">
        <v>68</v>
      </c>
      <c r="C2353" s="254" t="s">
        <v>1674</v>
      </c>
      <c r="D2353" s="255">
        <v>2315</v>
      </c>
      <c r="E2353" s="211" t="s">
        <v>1962</v>
      </c>
      <c r="F2353" s="212">
        <v>43651</v>
      </c>
      <c r="G2353" s="213">
        <v>2.6</v>
      </c>
      <c r="H2353" s="256">
        <v>926</v>
      </c>
      <c r="I2353" s="214">
        <v>1465998</v>
      </c>
      <c r="J2353" s="215">
        <v>20700</v>
      </c>
      <c r="K2353" s="212">
        <v>43651</v>
      </c>
      <c r="L2353" s="211" t="s">
        <v>1972</v>
      </c>
      <c r="M2353" s="216">
        <v>4615447218</v>
      </c>
      <c r="N2353" s="212"/>
      <c r="O2353" s="218"/>
      <c r="P2353" s="219"/>
      <c r="Q2353" s="34">
        <f>SUMIF(Allocation[Delivery ID],Allocation[[#This Row],[Delivery ID]],Allocation[Quantity Processed])</f>
        <v>4958</v>
      </c>
      <c r="R2353" s="61">
        <f>Allocation[[#This Row],[Total volume used]]/VLOOKUP(Allocation[[#This Row],[Delivery ID]],Delivery[[Delivery ID]:[Quantity delivered]],3,FALSE)</f>
        <v>0.29635385534967124</v>
      </c>
      <c r="S2353" s="34">
        <f>Allocation[[#This Row],[Quantity Processed]]/Allocation[[#This Row],[Dilution rate]]</f>
        <v>890.38461538461536</v>
      </c>
      <c r="T2353" s="59">
        <f>SUMIF(Allocation[Delivery ID],Allocation[[#This Row],[Delivery ID]],Allocation[Quantity allocated])/SUMIF(Allocation[Delivery ID],Allocation[[#This Row],[Delivery ID]],Allocation[Volume available (kg)])</f>
        <v>1.1005881357055052</v>
      </c>
      <c r="U2353" s="61">
        <f>Allocation[[#This Row],[Total volume used]]/VLOOKUP(Allocation[[#This Row],[Delivery ID]],Delivery[[Delivery ID]:[Quantity delivered]],3,FALSE)</f>
        <v>0.29635385534967124</v>
      </c>
      <c r="V2353" s="34" t="e">
        <f>VLOOKUP(Allocation[[#This Row],[SAP Contract number]],Shipments[[SAP Contract number]:[Contracted container weight]],2,FALSE)</f>
        <v>#N/A</v>
      </c>
      <c r="W2353" s="34" t="e">
        <f>VLOOKUP(Allocation[[#This Row],[SAP Contract number]],Shipments[[SAP Contract number]:[AAA Premium USD]],24,FALSE)</f>
        <v>#N/A</v>
      </c>
      <c r="X2353" s="34" t="e">
        <f>VLOOKUP(Allocation[[#This Row],[SAP Contract number]],Shipments[[SAP Contract number]:[RA Premium USD]],25,FALSE)</f>
        <v>#N/A</v>
      </c>
      <c r="Y2353" s="38">
        <f>Allocation[[#This Row],[Quantity Processed]]/Allocation[[#This Row],[Quantity allocated]]</f>
        <v>2.5</v>
      </c>
      <c r="Z2353" s="34" t="b">
        <f>Allocation[[#This Row],[Quantity allocated]]&lt;=Allocation[[#This Row],[Quantity Processed]]</f>
        <v>1</v>
      </c>
    </row>
    <row r="2354" spans="1:26">
      <c r="A2354" s="247" t="s">
        <v>467</v>
      </c>
      <c r="B2354" s="210" t="s">
        <v>68</v>
      </c>
      <c r="C2354" s="254" t="s">
        <v>1140</v>
      </c>
      <c r="D2354" s="255">
        <v>855</v>
      </c>
      <c r="E2354" s="211" t="s">
        <v>1962</v>
      </c>
      <c r="F2354" s="212">
        <v>43651</v>
      </c>
      <c r="G2354" s="213">
        <v>2.6</v>
      </c>
      <c r="H2354" s="256">
        <v>402</v>
      </c>
      <c r="I2354" s="214">
        <v>1465998</v>
      </c>
      <c r="J2354" s="215">
        <v>20700</v>
      </c>
      <c r="K2354" s="212">
        <v>43651</v>
      </c>
      <c r="L2354" s="211" t="s">
        <v>1972</v>
      </c>
      <c r="M2354" s="216">
        <v>4615447218</v>
      </c>
      <c r="N2354" s="212"/>
      <c r="O2354" s="218"/>
      <c r="P2354" s="219"/>
      <c r="Q2354" s="34">
        <f>SUMIF(Allocation[Delivery ID],Allocation[[#This Row],[Delivery ID]],Allocation[Quantity Processed])</f>
        <v>26473</v>
      </c>
      <c r="R2354" s="61">
        <f>Allocation[[#This Row],[Total volume used]]/VLOOKUP(Allocation[[#This Row],[Delivery ID]],Delivery[[Delivery ID]:[Quantity delivered]],3,FALSE)</f>
        <v>0.70935155412647377</v>
      </c>
      <c r="S2354" s="34">
        <f>Allocation[[#This Row],[Quantity Processed]]/Allocation[[#This Row],[Dilution rate]]</f>
        <v>328.84615384615381</v>
      </c>
      <c r="T2354" s="59">
        <f>SUMIF(Allocation[Delivery ID],Allocation[[#This Row],[Delivery ID]],Allocation[Quantity allocated])/SUMIF(Allocation[Delivery ID],Allocation[[#This Row],[Delivery ID]],Allocation[Volume available (kg)])</f>
        <v>1.2088176972477704</v>
      </c>
      <c r="U2354" s="61">
        <f>Allocation[[#This Row],[Total volume used]]/VLOOKUP(Allocation[[#This Row],[Delivery ID]],Delivery[[Delivery ID]:[Quantity delivered]],3,FALSE)</f>
        <v>0.70935155412647377</v>
      </c>
      <c r="V2354" s="34" t="e">
        <f>VLOOKUP(Allocation[[#This Row],[SAP Contract number]],Shipments[[SAP Contract number]:[Contracted container weight]],2,FALSE)</f>
        <v>#N/A</v>
      </c>
      <c r="W2354" s="34" t="e">
        <f>VLOOKUP(Allocation[[#This Row],[SAP Contract number]],Shipments[[SAP Contract number]:[AAA Premium USD]],24,FALSE)</f>
        <v>#N/A</v>
      </c>
      <c r="X2354" s="34" t="e">
        <f>VLOOKUP(Allocation[[#This Row],[SAP Contract number]],Shipments[[SAP Contract number]:[RA Premium USD]],25,FALSE)</f>
        <v>#N/A</v>
      </c>
      <c r="Y2354" s="38">
        <f>Allocation[[#This Row],[Quantity Processed]]/Allocation[[#This Row],[Quantity allocated]]</f>
        <v>2.1268656716417911</v>
      </c>
      <c r="Z2354" s="34" t="b">
        <f>Allocation[[#This Row],[Quantity allocated]]&lt;=Allocation[[#This Row],[Quantity Processed]]</f>
        <v>1</v>
      </c>
    </row>
    <row r="2355" spans="1:26">
      <c r="A2355" s="247" t="s">
        <v>467</v>
      </c>
      <c r="B2355" s="210" t="s">
        <v>68</v>
      </c>
      <c r="C2355" s="254" t="s">
        <v>1675</v>
      </c>
      <c r="D2355" s="255">
        <v>1100</v>
      </c>
      <c r="E2355" s="211" t="s">
        <v>1962</v>
      </c>
      <c r="F2355" s="212">
        <v>43651</v>
      </c>
      <c r="G2355" s="213">
        <v>2.6</v>
      </c>
      <c r="H2355" s="256">
        <v>363</v>
      </c>
      <c r="I2355" s="214">
        <v>1465998</v>
      </c>
      <c r="J2355" s="215">
        <v>20700</v>
      </c>
      <c r="K2355" s="212">
        <v>43651</v>
      </c>
      <c r="L2355" s="211" t="s">
        <v>1972</v>
      </c>
      <c r="M2355" s="216">
        <v>4615447218</v>
      </c>
      <c r="N2355" s="212"/>
      <c r="O2355" s="218"/>
      <c r="P2355" s="219"/>
      <c r="Q2355" s="34">
        <f>SUMIF(Allocation[Delivery ID],Allocation[[#This Row],[Delivery ID]],Allocation[Quantity Processed])</f>
        <v>21346</v>
      </c>
      <c r="R2355" s="61">
        <f>Allocation[[#This Row],[Total volume used]]/VLOOKUP(Allocation[[#This Row],[Delivery ID]],Delivery[[Delivery ID]:[Quantity delivered]],3,FALSE)</f>
        <v>0.71200800533689124</v>
      </c>
      <c r="S2355" s="34">
        <f>Allocation[[#This Row],[Quantity Processed]]/Allocation[[#This Row],[Dilution rate]]</f>
        <v>423.07692307692304</v>
      </c>
      <c r="T2355" s="59">
        <f>SUMIF(Allocation[Delivery ID],Allocation[[#This Row],[Delivery ID]],Allocation[Quantity allocated])/SUMIF(Allocation[Delivery ID],Allocation[[#This Row],[Delivery ID]],Allocation[Volume available (kg)])</f>
        <v>0.88002959681646864</v>
      </c>
      <c r="U2355" s="61">
        <f>Allocation[[#This Row],[Total volume used]]/VLOOKUP(Allocation[[#This Row],[Delivery ID]],Delivery[[Delivery ID]:[Quantity delivered]],3,FALSE)</f>
        <v>0.71200800533689124</v>
      </c>
      <c r="V2355" s="34" t="e">
        <f>VLOOKUP(Allocation[[#This Row],[SAP Contract number]],Shipments[[SAP Contract number]:[Contracted container weight]],2,FALSE)</f>
        <v>#N/A</v>
      </c>
      <c r="W2355" s="34" t="e">
        <f>VLOOKUP(Allocation[[#This Row],[SAP Contract number]],Shipments[[SAP Contract number]:[AAA Premium USD]],24,FALSE)</f>
        <v>#N/A</v>
      </c>
      <c r="X2355" s="34" t="e">
        <f>VLOOKUP(Allocation[[#This Row],[SAP Contract number]],Shipments[[SAP Contract number]:[RA Premium USD]],25,FALSE)</f>
        <v>#N/A</v>
      </c>
      <c r="Y2355" s="38">
        <f>Allocation[[#This Row],[Quantity Processed]]/Allocation[[#This Row],[Quantity allocated]]</f>
        <v>3.0303030303030303</v>
      </c>
      <c r="Z2355" s="34" t="b">
        <f>Allocation[[#This Row],[Quantity allocated]]&lt;=Allocation[[#This Row],[Quantity Processed]]</f>
        <v>1</v>
      </c>
    </row>
    <row r="2356" spans="1:26">
      <c r="A2356" s="247" t="s">
        <v>467</v>
      </c>
      <c r="B2356" s="210" t="s">
        <v>68</v>
      </c>
      <c r="C2356" s="254" t="s">
        <v>1676</v>
      </c>
      <c r="D2356" s="255">
        <v>358</v>
      </c>
      <c r="E2356" s="211" t="s">
        <v>1962</v>
      </c>
      <c r="F2356" s="212">
        <v>43651</v>
      </c>
      <c r="G2356" s="213">
        <v>2.6</v>
      </c>
      <c r="H2356" s="256">
        <v>118</v>
      </c>
      <c r="I2356" s="214">
        <v>1465998</v>
      </c>
      <c r="J2356" s="215">
        <v>20700</v>
      </c>
      <c r="K2356" s="212">
        <v>43651</v>
      </c>
      <c r="L2356" s="211" t="s">
        <v>1972</v>
      </c>
      <c r="M2356" s="216">
        <v>4615447218</v>
      </c>
      <c r="N2356" s="212"/>
      <c r="O2356" s="218"/>
      <c r="P2356" s="219"/>
      <c r="Q2356" s="34">
        <f>SUMIF(Allocation[Delivery ID],Allocation[[#This Row],[Delivery ID]],Allocation[Quantity Processed])</f>
        <v>7573</v>
      </c>
      <c r="R2356" s="61">
        <f>Allocation[[#This Row],[Total volume used]]/VLOOKUP(Allocation[[#This Row],[Delivery ID]],Delivery[[Delivery ID]:[Quantity delivered]],3,FALSE)</f>
        <v>0.64754168448054727</v>
      </c>
      <c r="S2356" s="34">
        <f>Allocation[[#This Row],[Quantity Processed]]/Allocation[[#This Row],[Dilution rate]]</f>
        <v>137.69230769230768</v>
      </c>
      <c r="T2356" s="59">
        <f>SUMIF(Allocation[Delivery ID],Allocation[[#This Row],[Delivery ID]],Allocation[Quantity allocated])/SUMIF(Allocation[Delivery ID],Allocation[[#This Row],[Delivery ID]],Allocation[Volume available (kg)])</f>
        <v>0.88066702495677374</v>
      </c>
      <c r="U2356" s="61">
        <f>Allocation[[#This Row],[Total volume used]]/VLOOKUP(Allocation[[#This Row],[Delivery ID]],Delivery[[Delivery ID]:[Quantity delivered]],3,FALSE)</f>
        <v>0.64754168448054727</v>
      </c>
      <c r="V2356" s="34" t="e">
        <f>VLOOKUP(Allocation[[#This Row],[SAP Contract number]],Shipments[[SAP Contract number]:[Contracted container weight]],2,FALSE)</f>
        <v>#N/A</v>
      </c>
      <c r="W2356" s="34" t="e">
        <f>VLOOKUP(Allocation[[#This Row],[SAP Contract number]],Shipments[[SAP Contract number]:[AAA Premium USD]],24,FALSE)</f>
        <v>#N/A</v>
      </c>
      <c r="X2356" s="34" t="e">
        <f>VLOOKUP(Allocation[[#This Row],[SAP Contract number]],Shipments[[SAP Contract number]:[RA Premium USD]],25,FALSE)</f>
        <v>#N/A</v>
      </c>
      <c r="Y2356" s="38">
        <f>Allocation[[#This Row],[Quantity Processed]]/Allocation[[#This Row],[Quantity allocated]]</f>
        <v>3.0338983050847457</v>
      </c>
      <c r="Z2356" s="34" t="b">
        <f>Allocation[[#This Row],[Quantity allocated]]&lt;=Allocation[[#This Row],[Quantity Processed]]</f>
        <v>1</v>
      </c>
    </row>
    <row r="2357" spans="1:26">
      <c r="A2357" s="247" t="s">
        <v>467</v>
      </c>
      <c r="B2357" s="210" t="s">
        <v>68</v>
      </c>
      <c r="C2357" s="254" t="s">
        <v>1677</v>
      </c>
      <c r="D2357" s="255">
        <v>585</v>
      </c>
      <c r="E2357" s="211" t="s">
        <v>1962</v>
      </c>
      <c r="F2357" s="212">
        <v>43651</v>
      </c>
      <c r="G2357" s="213">
        <v>2.6</v>
      </c>
      <c r="H2357" s="256">
        <v>193</v>
      </c>
      <c r="I2357" s="214">
        <v>1465998</v>
      </c>
      <c r="J2357" s="215">
        <v>20700</v>
      </c>
      <c r="K2357" s="212">
        <v>43651</v>
      </c>
      <c r="L2357" s="211" t="s">
        <v>1972</v>
      </c>
      <c r="M2357" s="216">
        <v>4615447218</v>
      </c>
      <c r="N2357" s="212"/>
      <c r="O2357" s="218"/>
      <c r="P2357" s="219"/>
      <c r="Q2357" s="34">
        <f>SUMIF(Allocation[Delivery ID],Allocation[[#This Row],[Delivery ID]],Allocation[Quantity Processed])</f>
        <v>12415</v>
      </c>
      <c r="R2357" s="61">
        <f>Allocation[[#This Row],[Total volume used]]/VLOOKUP(Allocation[[#This Row],[Delivery ID]],Delivery[[Delivery ID]:[Quantity delivered]],3,FALSE)</f>
        <v>0.64779546047482395</v>
      </c>
      <c r="S2357" s="34">
        <f>Allocation[[#This Row],[Quantity Processed]]/Allocation[[#This Row],[Dilution rate]]</f>
        <v>225</v>
      </c>
      <c r="T2357" s="59">
        <f>SUMIF(Allocation[Delivery ID],Allocation[[#This Row],[Delivery ID]],Allocation[Quantity allocated])/SUMIF(Allocation[Delivery ID],Allocation[[#This Row],[Delivery ID]],Allocation[Volume available (kg)])</f>
        <v>0.88071294606616191</v>
      </c>
      <c r="U2357" s="61">
        <f>Allocation[[#This Row],[Total volume used]]/VLOOKUP(Allocation[[#This Row],[Delivery ID]],Delivery[[Delivery ID]:[Quantity delivered]],3,FALSE)</f>
        <v>0.64779546047482395</v>
      </c>
      <c r="V2357" s="34" t="e">
        <f>VLOOKUP(Allocation[[#This Row],[SAP Contract number]],Shipments[[SAP Contract number]:[Contracted container weight]],2,FALSE)</f>
        <v>#N/A</v>
      </c>
      <c r="W2357" s="34" t="e">
        <f>VLOOKUP(Allocation[[#This Row],[SAP Contract number]],Shipments[[SAP Contract number]:[AAA Premium USD]],24,FALSE)</f>
        <v>#N/A</v>
      </c>
      <c r="X2357" s="34" t="e">
        <f>VLOOKUP(Allocation[[#This Row],[SAP Contract number]],Shipments[[SAP Contract number]:[RA Premium USD]],25,FALSE)</f>
        <v>#N/A</v>
      </c>
      <c r="Y2357" s="38">
        <f>Allocation[[#This Row],[Quantity Processed]]/Allocation[[#This Row],[Quantity allocated]]</f>
        <v>3.0310880829015545</v>
      </c>
      <c r="Z2357" s="34" t="b">
        <f>Allocation[[#This Row],[Quantity allocated]]&lt;=Allocation[[#This Row],[Quantity Processed]]</f>
        <v>1</v>
      </c>
    </row>
    <row r="2358" spans="1:26">
      <c r="A2358" s="247" t="s">
        <v>467</v>
      </c>
      <c r="B2358" s="210" t="s">
        <v>68</v>
      </c>
      <c r="C2358" s="254" t="s">
        <v>1678</v>
      </c>
      <c r="D2358" s="255">
        <v>273</v>
      </c>
      <c r="E2358" s="211" t="s">
        <v>1962</v>
      </c>
      <c r="F2358" s="212">
        <v>43651</v>
      </c>
      <c r="G2358" s="213">
        <v>2.6</v>
      </c>
      <c r="H2358" s="256">
        <v>90</v>
      </c>
      <c r="I2358" s="214">
        <v>1465998</v>
      </c>
      <c r="J2358" s="215">
        <v>20700</v>
      </c>
      <c r="K2358" s="212">
        <v>43651</v>
      </c>
      <c r="L2358" s="211" t="s">
        <v>1972</v>
      </c>
      <c r="M2358" s="216">
        <v>4615447218</v>
      </c>
      <c r="N2358" s="212"/>
      <c r="O2358" s="218"/>
      <c r="P2358" s="219"/>
      <c r="Q2358" s="34">
        <f>SUMIF(Allocation[Delivery ID],Allocation[[#This Row],[Delivery ID]],Allocation[Quantity Processed])</f>
        <v>5783</v>
      </c>
      <c r="R2358" s="61">
        <f>Allocation[[#This Row],[Total volume used]]/VLOOKUP(Allocation[[#This Row],[Delivery ID]],Delivery[[Delivery ID]:[Quantity delivered]],3,FALSE)</f>
        <v>0.64788259018597361</v>
      </c>
      <c r="S2358" s="34">
        <f>Allocation[[#This Row],[Quantity Processed]]/Allocation[[#This Row],[Dilution rate]]</f>
        <v>105</v>
      </c>
      <c r="T2358" s="59">
        <f>SUMIF(Allocation[Delivery ID],Allocation[[#This Row],[Delivery ID]],Allocation[Quantity allocated])/SUMIF(Allocation[Delivery ID],Allocation[[#This Row],[Delivery ID]],Allocation[Volume available (kg)])</f>
        <v>0.88051884478884213</v>
      </c>
      <c r="U2358" s="61">
        <f>Allocation[[#This Row],[Total volume used]]/VLOOKUP(Allocation[[#This Row],[Delivery ID]],Delivery[[Delivery ID]:[Quantity delivered]],3,FALSE)</f>
        <v>0.64788259018597361</v>
      </c>
      <c r="V2358" s="34" t="e">
        <f>VLOOKUP(Allocation[[#This Row],[SAP Contract number]],Shipments[[SAP Contract number]:[Contracted container weight]],2,FALSE)</f>
        <v>#N/A</v>
      </c>
      <c r="W2358" s="34" t="e">
        <f>VLOOKUP(Allocation[[#This Row],[SAP Contract number]],Shipments[[SAP Contract number]:[AAA Premium USD]],24,FALSE)</f>
        <v>#N/A</v>
      </c>
      <c r="X2358" s="34" t="e">
        <f>VLOOKUP(Allocation[[#This Row],[SAP Contract number]],Shipments[[SAP Contract number]:[RA Premium USD]],25,FALSE)</f>
        <v>#N/A</v>
      </c>
      <c r="Y2358" s="38">
        <f>Allocation[[#This Row],[Quantity Processed]]/Allocation[[#This Row],[Quantity allocated]]</f>
        <v>3.0333333333333332</v>
      </c>
      <c r="Z2358" s="34" t="b">
        <f>Allocation[[#This Row],[Quantity allocated]]&lt;=Allocation[[#This Row],[Quantity Processed]]</f>
        <v>1</v>
      </c>
    </row>
    <row r="2359" spans="1:26">
      <c r="A2359" s="247" t="s">
        <v>467</v>
      </c>
      <c r="B2359" s="210" t="s">
        <v>68</v>
      </c>
      <c r="C2359" s="254" t="s">
        <v>1679</v>
      </c>
      <c r="D2359" s="255">
        <v>697</v>
      </c>
      <c r="E2359" s="211" t="s">
        <v>1962</v>
      </c>
      <c r="F2359" s="212">
        <v>43651</v>
      </c>
      <c r="G2359" s="213">
        <v>2.6</v>
      </c>
      <c r="H2359" s="256">
        <v>230</v>
      </c>
      <c r="I2359" s="214">
        <v>1465998</v>
      </c>
      <c r="J2359" s="215">
        <v>20700</v>
      </c>
      <c r="K2359" s="212">
        <v>43651</v>
      </c>
      <c r="L2359" s="211" t="s">
        <v>1972</v>
      </c>
      <c r="M2359" s="216">
        <v>4615447218</v>
      </c>
      <c r="N2359" s="212"/>
      <c r="O2359" s="218"/>
      <c r="P2359" s="219"/>
      <c r="Q2359" s="34">
        <f>SUMIF(Allocation[Delivery ID],Allocation[[#This Row],[Delivery ID]],Allocation[Quantity Processed])</f>
        <v>14788</v>
      </c>
      <c r="R2359" s="61">
        <f>Allocation[[#This Row],[Total volume used]]/VLOOKUP(Allocation[[#This Row],[Delivery ID]],Delivery[[Delivery ID]:[Quantity delivered]],3,FALSE)</f>
        <v>0.64763072611018657</v>
      </c>
      <c r="S2359" s="34">
        <f>Allocation[[#This Row],[Quantity Processed]]/Allocation[[#This Row],[Dilution rate]]</f>
        <v>268.07692307692309</v>
      </c>
      <c r="T2359" s="59">
        <f>SUMIF(Allocation[Delivery ID],Allocation[[#This Row],[Delivery ID]],Allocation[Quantity allocated])/SUMIF(Allocation[Delivery ID],Allocation[[#This Row],[Delivery ID]],Allocation[Volume available (kg)])</f>
        <v>0.88069254249133311</v>
      </c>
      <c r="U2359" s="61">
        <f>Allocation[[#This Row],[Total volume used]]/VLOOKUP(Allocation[[#This Row],[Delivery ID]],Delivery[[Delivery ID]:[Quantity delivered]],3,FALSE)</f>
        <v>0.64763072611018657</v>
      </c>
      <c r="V2359" s="34" t="e">
        <f>VLOOKUP(Allocation[[#This Row],[SAP Contract number]],Shipments[[SAP Contract number]:[Contracted container weight]],2,FALSE)</f>
        <v>#N/A</v>
      </c>
      <c r="W2359" s="34" t="e">
        <f>VLOOKUP(Allocation[[#This Row],[SAP Contract number]],Shipments[[SAP Contract number]:[AAA Premium USD]],24,FALSE)</f>
        <v>#N/A</v>
      </c>
      <c r="X2359" s="34" t="e">
        <f>VLOOKUP(Allocation[[#This Row],[SAP Contract number]],Shipments[[SAP Contract number]:[RA Premium USD]],25,FALSE)</f>
        <v>#N/A</v>
      </c>
      <c r="Y2359" s="38">
        <f>Allocation[[#This Row],[Quantity Processed]]/Allocation[[#This Row],[Quantity allocated]]</f>
        <v>3.0304347826086957</v>
      </c>
      <c r="Z2359" s="34" t="b">
        <f>Allocation[[#This Row],[Quantity allocated]]&lt;=Allocation[[#This Row],[Quantity Processed]]</f>
        <v>1</v>
      </c>
    </row>
    <row r="2360" spans="1:26">
      <c r="A2360" s="247" t="s">
        <v>467</v>
      </c>
      <c r="B2360" s="210" t="s">
        <v>68</v>
      </c>
      <c r="C2360" s="254" t="s">
        <v>1683</v>
      </c>
      <c r="D2360" s="255">
        <v>10169</v>
      </c>
      <c r="E2360" s="211" t="s">
        <v>1962</v>
      </c>
      <c r="F2360" s="212">
        <v>43651</v>
      </c>
      <c r="G2360" s="213">
        <v>2.6</v>
      </c>
      <c r="H2360" s="256">
        <v>3559</v>
      </c>
      <c r="I2360" s="214">
        <v>1465998</v>
      </c>
      <c r="J2360" s="215">
        <v>20700</v>
      </c>
      <c r="K2360" s="212">
        <v>43651</v>
      </c>
      <c r="L2360" s="211" t="s">
        <v>1972</v>
      </c>
      <c r="M2360" s="216">
        <v>4615447218</v>
      </c>
      <c r="N2360" s="212"/>
      <c r="O2360" s="218"/>
      <c r="P2360" s="219"/>
      <c r="Q2360" s="34">
        <f>SUMIF(Allocation[Delivery ID],Allocation[[#This Row],[Delivery ID]],Allocation[Quantity Processed])</f>
        <v>30410</v>
      </c>
      <c r="R2360" s="61">
        <f>Allocation[[#This Row],[Total volume used]]/VLOOKUP(Allocation[[#This Row],[Delivery ID]],Delivery[[Delivery ID]:[Quantity delivered]],3,FALSE)</f>
        <v>1</v>
      </c>
      <c r="S2360" s="34">
        <f>Allocation[[#This Row],[Quantity Processed]]/Allocation[[#This Row],[Dilution rate]]</f>
        <v>3911.1538461538462</v>
      </c>
      <c r="T2360" s="59">
        <f>SUMIF(Allocation[Delivery ID],Allocation[[#This Row],[Delivery ID]],Allocation[Quantity allocated])/SUMIF(Allocation[Delivery ID],Allocation[[#This Row],[Delivery ID]],Allocation[Volume available (kg)])</f>
        <v>0.83774601877963062</v>
      </c>
      <c r="U2360" s="61">
        <f>Allocation[[#This Row],[Total volume used]]/VLOOKUP(Allocation[[#This Row],[Delivery ID]],Delivery[[Delivery ID]:[Quantity delivered]],3,FALSE)</f>
        <v>1</v>
      </c>
      <c r="V2360" s="34" t="e">
        <f>VLOOKUP(Allocation[[#This Row],[SAP Contract number]],Shipments[[SAP Contract number]:[Contracted container weight]],2,FALSE)</f>
        <v>#N/A</v>
      </c>
      <c r="W2360" s="34" t="e">
        <f>VLOOKUP(Allocation[[#This Row],[SAP Contract number]],Shipments[[SAP Contract number]:[AAA Premium USD]],24,FALSE)</f>
        <v>#N/A</v>
      </c>
      <c r="X2360" s="34" t="e">
        <f>VLOOKUP(Allocation[[#This Row],[SAP Contract number]],Shipments[[SAP Contract number]:[RA Premium USD]],25,FALSE)</f>
        <v>#N/A</v>
      </c>
      <c r="Y2360" s="38">
        <f>Allocation[[#This Row],[Quantity Processed]]/Allocation[[#This Row],[Quantity allocated]]</f>
        <v>2.8572632762011803</v>
      </c>
      <c r="Z2360" s="34" t="b">
        <f>Allocation[[#This Row],[Quantity allocated]]&lt;=Allocation[[#This Row],[Quantity Processed]]</f>
        <v>1</v>
      </c>
    </row>
    <row r="2361" spans="1:26">
      <c r="A2361" s="247" t="s">
        <v>467</v>
      </c>
      <c r="B2361" s="210" t="s">
        <v>68</v>
      </c>
      <c r="C2361" s="254" t="s">
        <v>1684</v>
      </c>
      <c r="D2361" s="255">
        <v>10174</v>
      </c>
      <c r="E2361" s="211" t="s">
        <v>1962</v>
      </c>
      <c r="F2361" s="212">
        <v>43651</v>
      </c>
      <c r="G2361" s="213">
        <v>2.6</v>
      </c>
      <c r="H2361" s="256">
        <v>3561</v>
      </c>
      <c r="I2361" s="214">
        <v>1465998</v>
      </c>
      <c r="J2361" s="215">
        <v>20700</v>
      </c>
      <c r="K2361" s="212">
        <v>43651</v>
      </c>
      <c r="L2361" s="211" t="s">
        <v>1972</v>
      </c>
      <c r="M2361" s="216">
        <v>4615447218</v>
      </c>
      <c r="N2361" s="212"/>
      <c r="O2361" s="218"/>
      <c r="P2361" s="219"/>
      <c r="Q2361" s="34">
        <f>SUMIF(Allocation[Delivery ID],Allocation[[#This Row],[Delivery ID]],Allocation[Quantity Processed])</f>
        <v>30430</v>
      </c>
      <c r="R2361" s="61">
        <f>Allocation[[#This Row],[Total volume used]]/VLOOKUP(Allocation[[#This Row],[Delivery ID]],Delivery[[Delivery ID]:[Quantity delivered]],3,FALSE)</f>
        <v>1</v>
      </c>
      <c r="S2361" s="34">
        <f>Allocation[[#This Row],[Quantity Processed]]/Allocation[[#This Row],[Dilution rate]]</f>
        <v>3913.0769230769229</v>
      </c>
      <c r="T2361" s="59">
        <f>SUMIF(Allocation[Delivery ID],Allocation[[#This Row],[Delivery ID]],Allocation[Quantity allocated])/SUMIF(Allocation[Delivery ID],Allocation[[#This Row],[Delivery ID]],Allocation[Volume available (kg)])</f>
        <v>0.83745679344302471</v>
      </c>
      <c r="U2361" s="61">
        <f>Allocation[[#This Row],[Total volume used]]/VLOOKUP(Allocation[[#This Row],[Delivery ID]],Delivery[[Delivery ID]:[Quantity delivered]],3,FALSE)</f>
        <v>1</v>
      </c>
      <c r="V2361" s="34" t="e">
        <f>VLOOKUP(Allocation[[#This Row],[SAP Contract number]],Shipments[[SAP Contract number]:[Contracted container weight]],2,FALSE)</f>
        <v>#N/A</v>
      </c>
      <c r="W2361" s="34" t="e">
        <f>VLOOKUP(Allocation[[#This Row],[SAP Contract number]],Shipments[[SAP Contract number]:[AAA Premium USD]],24,FALSE)</f>
        <v>#N/A</v>
      </c>
      <c r="X2361" s="34" t="e">
        <f>VLOOKUP(Allocation[[#This Row],[SAP Contract number]],Shipments[[SAP Contract number]:[RA Premium USD]],25,FALSE)</f>
        <v>#N/A</v>
      </c>
      <c r="Y2361" s="38">
        <f>Allocation[[#This Row],[Quantity Processed]]/Allocation[[#This Row],[Quantity allocated]]</f>
        <v>2.8570626228587477</v>
      </c>
      <c r="Z2361" s="34" t="b">
        <f>Allocation[[#This Row],[Quantity allocated]]&lt;=Allocation[[#This Row],[Quantity Processed]]</f>
        <v>1</v>
      </c>
    </row>
    <row r="2362" spans="1:26">
      <c r="A2362" s="247" t="s">
        <v>467</v>
      </c>
      <c r="B2362" s="210" t="s">
        <v>68</v>
      </c>
      <c r="C2362" s="254" t="s">
        <v>1685</v>
      </c>
      <c r="D2362" s="255">
        <v>5020</v>
      </c>
      <c r="E2362" s="211" t="s">
        <v>1962</v>
      </c>
      <c r="F2362" s="212">
        <v>43651</v>
      </c>
      <c r="G2362" s="213">
        <v>2.6</v>
      </c>
      <c r="H2362" s="256">
        <v>1757</v>
      </c>
      <c r="I2362" s="214">
        <v>1465998</v>
      </c>
      <c r="J2362" s="215">
        <v>20700</v>
      </c>
      <c r="K2362" s="212">
        <v>43651</v>
      </c>
      <c r="L2362" s="211" t="s">
        <v>1972</v>
      </c>
      <c r="M2362" s="216">
        <v>4615447218</v>
      </c>
      <c r="N2362" s="212"/>
      <c r="O2362" s="218"/>
      <c r="P2362" s="219"/>
      <c r="Q2362" s="34">
        <f>SUMIF(Allocation[Delivery ID],Allocation[[#This Row],[Delivery ID]],Allocation[Quantity Processed])</f>
        <v>15010</v>
      </c>
      <c r="R2362" s="61">
        <f>Allocation[[#This Row],[Total volume used]]/VLOOKUP(Allocation[[#This Row],[Delivery ID]],Delivery[[Delivery ID]:[Quantity delivered]],3,FALSE)</f>
        <v>1</v>
      </c>
      <c r="S2362" s="34">
        <f>Allocation[[#This Row],[Quantity Processed]]/Allocation[[#This Row],[Dilution rate]]</f>
        <v>1930.7692307692307</v>
      </c>
      <c r="T2362" s="59">
        <f>SUMIF(Allocation[Delivery ID],Allocation[[#This Row],[Delivery ID]],Allocation[Quantity allocated])/SUMIF(Allocation[Delivery ID],Allocation[[#This Row],[Delivery ID]],Allocation[Volume available (kg)])</f>
        <v>0.84070389442267879</v>
      </c>
      <c r="U2362" s="61">
        <f>Allocation[[#This Row],[Total volume used]]/VLOOKUP(Allocation[[#This Row],[Delivery ID]],Delivery[[Delivery ID]:[Quantity delivered]],3,FALSE)</f>
        <v>1</v>
      </c>
      <c r="V2362" s="34" t="e">
        <f>VLOOKUP(Allocation[[#This Row],[SAP Contract number]],Shipments[[SAP Contract number]:[Contracted container weight]],2,FALSE)</f>
        <v>#N/A</v>
      </c>
      <c r="W2362" s="34" t="e">
        <f>VLOOKUP(Allocation[[#This Row],[SAP Contract number]],Shipments[[SAP Contract number]:[AAA Premium USD]],24,FALSE)</f>
        <v>#N/A</v>
      </c>
      <c r="X2362" s="34" t="e">
        <f>VLOOKUP(Allocation[[#This Row],[SAP Contract number]],Shipments[[SAP Contract number]:[RA Premium USD]],25,FALSE)</f>
        <v>#N/A</v>
      </c>
      <c r="Y2362" s="38">
        <f>Allocation[[#This Row],[Quantity Processed]]/Allocation[[#This Row],[Quantity allocated]]</f>
        <v>2.8571428571428572</v>
      </c>
      <c r="Z2362" s="34" t="b">
        <f>Allocation[[#This Row],[Quantity allocated]]&lt;=Allocation[[#This Row],[Quantity Processed]]</f>
        <v>1</v>
      </c>
    </row>
    <row r="2363" spans="1:26">
      <c r="A2363" s="247" t="s">
        <v>467</v>
      </c>
      <c r="B2363" s="210" t="s">
        <v>68</v>
      </c>
      <c r="C2363" s="254" t="s">
        <v>1686</v>
      </c>
      <c r="D2363" s="255">
        <v>5160</v>
      </c>
      <c r="E2363" s="211" t="s">
        <v>1962</v>
      </c>
      <c r="F2363" s="212">
        <v>43651</v>
      </c>
      <c r="G2363" s="213">
        <v>2.6</v>
      </c>
      <c r="H2363" s="256">
        <v>1806</v>
      </c>
      <c r="I2363" s="214">
        <v>1465998</v>
      </c>
      <c r="J2363" s="215">
        <v>20700</v>
      </c>
      <c r="K2363" s="212">
        <v>43651</v>
      </c>
      <c r="L2363" s="211" t="s">
        <v>1972</v>
      </c>
      <c r="M2363" s="216">
        <v>4615447218</v>
      </c>
      <c r="N2363" s="212"/>
      <c r="O2363" s="218"/>
      <c r="P2363" s="219"/>
      <c r="Q2363" s="34">
        <f>SUMIF(Allocation[Delivery ID],Allocation[[#This Row],[Delivery ID]],Allocation[Quantity Processed])</f>
        <v>15430</v>
      </c>
      <c r="R2363" s="61">
        <f>Allocation[[#This Row],[Total volume used]]/VLOOKUP(Allocation[[#This Row],[Delivery ID]],Delivery[[Delivery ID]:[Quantity delivered]],3,FALSE)</f>
        <v>1</v>
      </c>
      <c r="S2363" s="34">
        <f>Allocation[[#This Row],[Quantity Processed]]/Allocation[[#This Row],[Dilution rate]]</f>
        <v>1984.6153846153845</v>
      </c>
      <c r="T2363" s="59">
        <f>SUMIF(Allocation[Delivery ID],Allocation[[#This Row],[Delivery ID]],Allocation[Quantity allocated])/SUMIF(Allocation[Delivery ID],Allocation[[#This Row],[Delivery ID]],Allocation[Volume available (kg)])</f>
        <v>0.83424921257877194</v>
      </c>
      <c r="U2363" s="61">
        <f>Allocation[[#This Row],[Total volume used]]/VLOOKUP(Allocation[[#This Row],[Delivery ID]],Delivery[[Delivery ID]:[Quantity delivered]],3,FALSE)</f>
        <v>1</v>
      </c>
      <c r="V2363" s="34" t="e">
        <f>VLOOKUP(Allocation[[#This Row],[SAP Contract number]],Shipments[[SAP Contract number]:[Contracted container weight]],2,FALSE)</f>
        <v>#N/A</v>
      </c>
      <c r="W2363" s="34" t="e">
        <f>VLOOKUP(Allocation[[#This Row],[SAP Contract number]],Shipments[[SAP Contract number]:[AAA Premium USD]],24,FALSE)</f>
        <v>#N/A</v>
      </c>
      <c r="X2363" s="34" t="e">
        <f>VLOOKUP(Allocation[[#This Row],[SAP Contract number]],Shipments[[SAP Contract number]:[RA Premium USD]],25,FALSE)</f>
        <v>#N/A</v>
      </c>
      <c r="Y2363" s="38">
        <f>Allocation[[#This Row],[Quantity Processed]]/Allocation[[#This Row],[Quantity allocated]]</f>
        <v>2.8571428571428572</v>
      </c>
      <c r="Z2363" s="34" t="b">
        <f>Allocation[[#This Row],[Quantity allocated]]&lt;=Allocation[[#This Row],[Quantity Processed]]</f>
        <v>1</v>
      </c>
    </row>
    <row r="2364" spans="1:26">
      <c r="A2364" s="247" t="s">
        <v>467</v>
      </c>
      <c r="B2364" s="210" t="s">
        <v>68</v>
      </c>
      <c r="C2364" s="254" t="s">
        <v>1687</v>
      </c>
      <c r="D2364" s="255">
        <v>10166</v>
      </c>
      <c r="E2364" s="211" t="s">
        <v>1962</v>
      </c>
      <c r="F2364" s="212">
        <v>43651</v>
      </c>
      <c r="G2364" s="213">
        <v>2.6</v>
      </c>
      <c r="H2364" s="256">
        <v>3558</v>
      </c>
      <c r="I2364" s="214">
        <v>1465998</v>
      </c>
      <c r="J2364" s="215">
        <v>20700</v>
      </c>
      <c r="K2364" s="212">
        <v>43651</v>
      </c>
      <c r="L2364" s="211" t="s">
        <v>1972</v>
      </c>
      <c r="M2364" s="216">
        <v>4615447218</v>
      </c>
      <c r="N2364" s="212"/>
      <c r="O2364" s="218"/>
      <c r="P2364" s="219"/>
      <c r="Q2364" s="34">
        <f>SUMIF(Allocation[Delivery ID],Allocation[[#This Row],[Delivery ID]],Allocation[Quantity Processed])</f>
        <v>30400</v>
      </c>
      <c r="R2364" s="61">
        <f>Allocation[[#This Row],[Total volume used]]/VLOOKUP(Allocation[[#This Row],[Delivery ID]],Delivery[[Delivery ID]:[Quantity delivered]],3,FALSE)</f>
        <v>1</v>
      </c>
      <c r="S2364" s="34">
        <f>Allocation[[#This Row],[Quantity Processed]]/Allocation[[#This Row],[Dilution rate]]</f>
        <v>3910</v>
      </c>
      <c r="T2364" s="59">
        <f>SUMIF(Allocation[Delivery ID],Allocation[[#This Row],[Delivery ID]],Allocation[Quantity allocated])/SUMIF(Allocation[Delivery ID],Allocation[[#This Row],[Delivery ID]],Allocation[Volume available (kg)])</f>
        <v>0.83776811701499576</v>
      </c>
      <c r="U2364" s="61">
        <f>Allocation[[#This Row],[Total volume used]]/VLOOKUP(Allocation[[#This Row],[Delivery ID]],Delivery[[Delivery ID]:[Quantity delivered]],3,FALSE)</f>
        <v>1</v>
      </c>
      <c r="V2364" s="34" t="e">
        <f>VLOOKUP(Allocation[[#This Row],[SAP Contract number]],Shipments[[SAP Contract number]:[Contracted container weight]],2,FALSE)</f>
        <v>#N/A</v>
      </c>
      <c r="W2364" s="34" t="e">
        <f>VLOOKUP(Allocation[[#This Row],[SAP Contract number]],Shipments[[SAP Contract number]:[AAA Premium USD]],24,FALSE)</f>
        <v>#N/A</v>
      </c>
      <c r="X2364" s="34" t="e">
        <f>VLOOKUP(Allocation[[#This Row],[SAP Contract number]],Shipments[[SAP Contract number]:[RA Premium USD]],25,FALSE)</f>
        <v>#N/A</v>
      </c>
      <c r="Y2364" s="38">
        <f>Allocation[[#This Row],[Quantity Processed]]/Allocation[[#This Row],[Quantity allocated]]</f>
        <v>2.8572231590781336</v>
      </c>
      <c r="Z2364" s="34" t="b">
        <f>Allocation[[#This Row],[Quantity allocated]]&lt;=Allocation[[#This Row],[Quantity Processed]]</f>
        <v>1</v>
      </c>
    </row>
    <row r="2365" spans="1:26">
      <c r="A2365" s="247" t="s">
        <v>467</v>
      </c>
      <c r="B2365" s="210" t="s">
        <v>68</v>
      </c>
      <c r="C2365" s="254" t="s">
        <v>1688</v>
      </c>
      <c r="D2365" s="255">
        <v>935</v>
      </c>
      <c r="E2365" s="211" t="s">
        <v>1962</v>
      </c>
      <c r="F2365" s="212">
        <v>43651</v>
      </c>
      <c r="G2365" s="213">
        <v>2.6</v>
      </c>
      <c r="H2365" s="256">
        <v>374</v>
      </c>
      <c r="I2365" s="214">
        <v>1465998</v>
      </c>
      <c r="J2365" s="215">
        <v>20700</v>
      </c>
      <c r="K2365" s="212">
        <v>43651</v>
      </c>
      <c r="L2365" s="211" t="s">
        <v>1972</v>
      </c>
      <c r="M2365" s="216">
        <v>4615447218</v>
      </c>
      <c r="N2365" s="212"/>
      <c r="O2365" s="218"/>
      <c r="P2365" s="219"/>
      <c r="Q2365" s="34">
        <f>SUMIF(Allocation[Delivery ID],Allocation[[#This Row],[Delivery ID]],Allocation[Quantity Processed])</f>
        <v>22081</v>
      </c>
      <c r="R2365" s="61">
        <f>Allocation[[#This Row],[Total volume used]]/VLOOKUP(Allocation[[#This Row],[Delivery ID]],Delivery[[Delivery ID]:[Quantity delivered]],3,FALSE)</f>
        <v>0.71459546925566342</v>
      </c>
      <c r="S2365" s="34">
        <f>Allocation[[#This Row],[Quantity Processed]]/Allocation[[#This Row],[Dilution rate]]</f>
        <v>359.61538461538458</v>
      </c>
      <c r="T2365" s="59">
        <f>SUMIF(Allocation[Delivery ID],Allocation[[#This Row],[Delivery ID]],Allocation[Quantity allocated])/SUMIF(Allocation[Delivery ID],Allocation[[#This Row],[Delivery ID]],Allocation[Volume available (kg)])</f>
        <v>1.0632988843733371</v>
      </c>
      <c r="U2365" s="61">
        <f>Allocation[[#This Row],[Total volume used]]/VLOOKUP(Allocation[[#This Row],[Delivery ID]],Delivery[[Delivery ID]:[Quantity delivered]],3,FALSE)</f>
        <v>0.71459546925566342</v>
      </c>
      <c r="V2365" s="34" t="e">
        <f>VLOOKUP(Allocation[[#This Row],[SAP Contract number]],Shipments[[SAP Contract number]:[Contracted container weight]],2,FALSE)</f>
        <v>#N/A</v>
      </c>
      <c r="W2365" s="34" t="e">
        <f>VLOOKUP(Allocation[[#This Row],[SAP Contract number]],Shipments[[SAP Contract number]:[AAA Premium USD]],24,FALSE)</f>
        <v>#N/A</v>
      </c>
      <c r="X2365" s="34" t="e">
        <f>VLOOKUP(Allocation[[#This Row],[SAP Contract number]],Shipments[[SAP Contract number]:[RA Premium USD]],25,FALSE)</f>
        <v>#N/A</v>
      </c>
      <c r="Y2365" s="38">
        <f>Allocation[[#This Row],[Quantity Processed]]/Allocation[[#This Row],[Quantity allocated]]</f>
        <v>2.5</v>
      </c>
      <c r="Z2365" s="34" t="b">
        <f>Allocation[[#This Row],[Quantity allocated]]&lt;=Allocation[[#This Row],[Quantity Processed]]</f>
        <v>1</v>
      </c>
    </row>
    <row r="2366" spans="1:26">
      <c r="A2366" s="247" t="s">
        <v>467</v>
      </c>
      <c r="B2366" s="210" t="s">
        <v>68</v>
      </c>
      <c r="C2366" s="254" t="s">
        <v>1689</v>
      </c>
      <c r="D2366" s="255">
        <v>935</v>
      </c>
      <c r="E2366" s="211" t="s">
        <v>1962</v>
      </c>
      <c r="F2366" s="212">
        <v>43651</v>
      </c>
      <c r="G2366" s="213">
        <v>2.6</v>
      </c>
      <c r="H2366" s="256">
        <v>374</v>
      </c>
      <c r="I2366" s="214">
        <v>1465998</v>
      </c>
      <c r="J2366" s="215">
        <v>20700</v>
      </c>
      <c r="K2366" s="212">
        <v>43651</v>
      </c>
      <c r="L2366" s="211" t="s">
        <v>1972</v>
      </c>
      <c r="M2366" s="216">
        <v>4615447218</v>
      </c>
      <c r="N2366" s="212"/>
      <c r="O2366" s="218"/>
      <c r="P2366" s="219"/>
      <c r="Q2366" s="34">
        <f>SUMIF(Allocation[Delivery ID],Allocation[[#This Row],[Delivery ID]],Allocation[Quantity Processed])</f>
        <v>22068</v>
      </c>
      <c r="R2366" s="61">
        <f>Allocation[[#This Row],[Total volume used]]/VLOOKUP(Allocation[[#This Row],[Delivery ID]],Delivery[[Delivery ID]:[Quantity delivered]],3,FALSE)</f>
        <v>0.71463730569948192</v>
      </c>
      <c r="S2366" s="34">
        <f>Allocation[[#This Row],[Quantity Processed]]/Allocation[[#This Row],[Dilution rate]]</f>
        <v>359.61538461538458</v>
      </c>
      <c r="T2366" s="59">
        <f>SUMIF(Allocation[Delivery ID],Allocation[[#This Row],[Delivery ID]],Allocation[Quantity allocated])/SUMIF(Allocation[Delivery ID],Allocation[[#This Row],[Delivery ID]],Allocation[Volume available (kg)])</f>
        <v>1.0633215949443131</v>
      </c>
      <c r="U2366" s="61">
        <f>Allocation[[#This Row],[Total volume used]]/VLOOKUP(Allocation[[#This Row],[Delivery ID]],Delivery[[Delivery ID]:[Quantity delivered]],3,FALSE)</f>
        <v>0.71463730569948192</v>
      </c>
      <c r="V2366" s="34" t="e">
        <f>VLOOKUP(Allocation[[#This Row],[SAP Contract number]],Shipments[[SAP Contract number]:[Contracted container weight]],2,FALSE)</f>
        <v>#N/A</v>
      </c>
      <c r="W2366" s="34" t="e">
        <f>VLOOKUP(Allocation[[#This Row],[SAP Contract number]],Shipments[[SAP Contract number]:[AAA Premium USD]],24,FALSE)</f>
        <v>#N/A</v>
      </c>
      <c r="X2366" s="34" t="e">
        <f>VLOOKUP(Allocation[[#This Row],[SAP Contract number]],Shipments[[SAP Contract number]:[RA Premium USD]],25,FALSE)</f>
        <v>#N/A</v>
      </c>
      <c r="Y2366" s="38">
        <f>Allocation[[#This Row],[Quantity Processed]]/Allocation[[#This Row],[Quantity allocated]]</f>
        <v>2.5</v>
      </c>
      <c r="Z2366" s="34" t="b">
        <f>Allocation[[#This Row],[Quantity allocated]]&lt;=Allocation[[#This Row],[Quantity Processed]]</f>
        <v>1</v>
      </c>
    </row>
    <row r="2367" spans="1:26">
      <c r="A2367" s="247" t="s">
        <v>467</v>
      </c>
      <c r="B2367" s="210" t="s">
        <v>68</v>
      </c>
      <c r="C2367" s="254" t="s">
        <v>1152</v>
      </c>
      <c r="D2367" s="255">
        <v>392</v>
      </c>
      <c r="E2367" s="211" t="s">
        <v>1962</v>
      </c>
      <c r="F2367" s="212">
        <v>43651</v>
      </c>
      <c r="G2367" s="213">
        <v>2.6</v>
      </c>
      <c r="H2367" s="256">
        <v>138</v>
      </c>
      <c r="I2367" s="214">
        <v>1465998</v>
      </c>
      <c r="J2367" s="215">
        <v>20700</v>
      </c>
      <c r="K2367" s="212">
        <v>43651</v>
      </c>
      <c r="L2367" s="211" t="s">
        <v>1972</v>
      </c>
      <c r="M2367" s="216">
        <v>4615447218</v>
      </c>
      <c r="N2367" s="212"/>
      <c r="O2367" s="218"/>
      <c r="P2367" s="219"/>
      <c r="Q2367" s="34">
        <f>SUMIF(Allocation[Delivery ID],Allocation[[#This Row],[Delivery ID]],Allocation[Quantity Processed])</f>
        <v>24112</v>
      </c>
      <c r="R2367" s="61">
        <f>Allocation[[#This Row],[Total volume used]]/VLOOKUP(Allocation[[#This Row],[Delivery ID]],Delivery[[Delivery ID]:[Quantity delivered]],3,FALSE)</f>
        <v>1</v>
      </c>
      <c r="S2367" s="34">
        <f>Allocation[[#This Row],[Quantity Processed]]/Allocation[[#This Row],[Dilution rate]]</f>
        <v>150.76923076923077</v>
      </c>
      <c r="T2367" s="59">
        <f>SUMIF(Allocation[Delivery ID],Allocation[[#This Row],[Delivery ID]],Allocation[Quantity allocated])/SUMIF(Allocation[Delivery ID],Allocation[[#This Row],[Delivery ID]],Allocation[Volume available (kg)])</f>
        <v>0.89115983858053149</v>
      </c>
      <c r="U2367" s="61">
        <f>Allocation[[#This Row],[Total volume used]]/VLOOKUP(Allocation[[#This Row],[Delivery ID]],Delivery[[Delivery ID]:[Quantity delivered]],3,FALSE)</f>
        <v>1</v>
      </c>
      <c r="V2367" s="34" t="e">
        <f>VLOOKUP(Allocation[[#This Row],[SAP Contract number]],Shipments[[SAP Contract number]:[Contracted container weight]],2,FALSE)</f>
        <v>#N/A</v>
      </c>
      <c r="W2367" s="34" t="e">
        <f>VLOOKUP(Allocation[[#This Row],[SAP Contract number]],Shipments[[SAP Contract number]:[AAA Premium USD]],24,FALSE)</f>
        <v>#N/A</v>
      </c>
      <c r="X2367" s="34" t="e">
        <f>VLOOKUP(Allocation[[#This Row],[SAP Contract number]],Shipments[[SAP Contract number]:[RA Premium USD]],25,FALSE)</f>
        <v>#N/A</v>
      </c>
      <c r="Y2367" s="38">
        <f>Allocation[[#This Row],[Quantity Processed]]/Allocation[[#This Row],[Quantity allocated]]</f>
        <v>2.8405797101449277</v>
      </c>
      <c r="Z2367" s="34" t="b">
        <f>Allocation[[#This Row],[Quantity allocated]]&lt;=Allocation[[#This Row],[Quantity Processed]]</f>
        <v>1</v>
      </c>
    </row>
    <row r="2368" spans="1:26">
      <c r="A2368" s="247" t="s">
        <v>467</v>
      </c>
      <c r="B2368" s="210" t="s">
        <v>68</v>
      </c>
      <c r="C2368" s="254" t="s">
        <v>1153</v>
      </c>
      <c r="D2368" s="255">
        <v>96</v>
      </c>
      <c r="E2368" s="211" t="s">
        <v>1962</v>
      </c>
      <c r="F2368" s="212">
        <v>43651</v>
      </c>
      <c r="G2368" s="213">
        <v>2.6</v>
      </c>
      <c r="H2368" s="256">
        <v>35</v>
      </c>
      <c r="I2368" s="214">
        <v>1465998</v>
      </c>
      <c r="J2368" s="215">
        <v>20700</v>
      </c>
      <c r="K2368" s="212">
        <v>43651</v>
      </c>
      <c r="L2368" s="211" t="s">
        <v>1972</v>
      </c>
      <c r="M2368" s="216">
        <v>4615447218</v>
      </c>
      <c r="N2368" s="212"/>
      <c r="O2368" s="218"/>
      <c r="P2368" s="219"/>
      <c r="Q2368" s="34">
        <f>SUMIF(Allocation[Delivery ID],Allocation[[#This Row],[Delivery ID]],Allocation[Quantity Processed])</f>
        <v>6028</v>
      </c>
      <c r="R2368" s="61">
        <f>Allocation[[#This Row],[Total volume used]]/VLOOKUP(Allocation[[#This Row],[Delivery ID]],Delivery[[Delivery ID]:[Quantity delivered]],3,FALSE)</f>
        <v>1</v>
      </c>
      <c r="S2368" s="34">
        <f>Allocation[[#This Row],[Quantity Processed]]/Allocation[[#This Row],[Dilution rate]]</f>
        <v>36.92307692307692</v>
      </c>
      <c r="T2368" s="59">
        <f>SUMIF(Allocation[Delivery ID],Allocation[[#This Row],[Delivery ID]],Allocation[Quantity allocated])/SUMIF(Allocation[Delivery ID],Allocation[[#This Row],[Delivery ID]],Allocation[Volume available (kg)])</f>
        <v>0.89160953867856818</v>
      </c>
      <c r="U2368" s="61">
        <f>Allocation[[#This Row],[Total volume used]]/VLOOKUP(Allocation[[#This Row],[Delivery ID]],Delivery[[Delivery ID]:[Quantity delivered]],3,FALSE)</f>
        <v>1</v>
      </c>
      <c r="V2368" s="34" t="e">
        <f>VLOOKUP(Allocation[[#This Row],[SAP Contract number]],Shipments[[SAP Contract number]:[Contracted container weight]],2,FALSE)</f>
        <v>#N/A</v>
      </c>
      <c r="W2368" s="34" t="e">
        <f>VLOOKUP(Allocation[[#This Row],[SAP Contract number]],Shipments[[SAP Contract number]:[AAA Premium USD]],24,FALSE)</f>
        <v>#N/A</v>
      </c>
      <c r="X2368" s="34" t="e">
        <f>VLOOKUP(Allocation[[#This Row],[SAP Contract number]],Shipments[[SAP Contract number]:[RA Premium USD]],25,FALSE)</f>
        <v>#N/A</v>
      </c>
      <c r="Y2368" s="38">
        <f>Allocation[[#This Row],[Quantity Processed]]/Allocation[[#This Row],[Quantity allocated]]</f>
        <v>2.7428571428571429</v>
      </c>
      <c r="Z2368" s="34" t="b">
        <f>Allocation[[#This Row],[Quantity allocated]]&lt;=Allocation[[#This Row],[Quantity Processed]]</f>
        <v>1</v>
      </c>
    </row>
    <row r="2369" spans="1:26">
      <c r="A2369" s="247" t="s">
        <v>467</v>
      </c>
      <c r="B2369" s="210" t="s">
        <v>68</v>
      </c>
      <c r="C2369" s="254" t="s">
        <v>1154</v>
      </c>
      <c r="D2369" s="255">
        <v>447</v>
      </c>
      <c r="E2369" s="211" t="s">
        <v>1962</v>
      </c>
      <c r="F2369" s="212">
        <v>43651</v>
      </c>
      <c r="G2369" s="213">
        <v>2.6</v>
      </c>
      <c r="H2369" s="256">
        <v>157</v>
      </c>
      <c r="I2369" s="214">
        <v>1465998</v>
      </c>
      <c r="J2369" s="215">
        <v>20700</v>
      </c>
      <c r="K2369" s="212">
        <v>43651</v>
      </c>
      <c r="L2369" s="211" t="s">
        <v>1972</v>
      </c>
      <c r="M2369" s="216">
        <v>4615447218</v>
      </c>
      <c r="N2369" s="212"/>
      <c r="O2369" s="218"/>
      <c r="P2369" s="219"/>
      <c r="Q2369" s="34">
        <f>SUMIF(Allocation[Delivery ID],Allocation[[#This Row],[Delivery ID]],Allocation[Quantity Processed])</f>
        <v>30250</v>
      </c>
      <c r="R2369" s="61">
        <f>Allocation[[#This Row],[Total volume used]]/VLOOKUP(Allocation[[#This Row],[Delivery ID]],Delivery[[Delivery ID]:[Quantity delivered]],3,FALSE)</f>
        <v>1</v>
      </c>
      <c r="S2369" s="34">
        <f>Allocation[[#This Row],[Quantity Processed]]/Allocation[[#This Row],[Dilution rate]]</f>
        <v>171.92307692307691</v>
      </c>
      <c r="T2369" s="59">
        <f>SUMIF(Allocation[Delivery ID],Allocation[[#This Row],[Delivery ID]],Allocation[Quantity allocated])/SUMIF(Allocation[Delivery ID],Allocation[[#This Row],[Delivery ID]],Allocation[Volume available (kg)])</f>
        <v>0.89079977299863311</v>
      </c>
      <c r="U2369" s="61">
        <f>Allocation[[#This Row],[Total volume used]]/VLOOKUP(Allocation[[#This Row],[Delivery ID]],Delivery[[Delivery ID]:[Quantity delivered]],3,FALSE)</f>
        <v>1</v>
      </c>
      <c r="V2369" s="34" t="e">
        <f>VLOOKUP(Allocation[[#This Row],[SAP Contract number]],Shipments[[SAP Contract number]:[Contracted container weight]],2,FALSE)</f>
        <v>#N/A</v>
      </c>
      <c r="W2369" s="34" t="e">
        <f>VLOOKUP(Allocation[[#This Row],[SAP Contract number]],Shipments[[SAP Contract number]:[AAA Premium USD]],24,FALSE)</f>
        <v>#N/A</v>
      </c>
      <c r="X2369" s="34" t="e">
        <f>VLOOKUP(Allocation[[#This Row],[SAP Contract number]],Shipments[[SAP Contract number]:[RA Premium USD]],25,FALSE)</f>
        <v>#N/A</v>
      </c>
      <c r="Y2369" s="38">
        <f>Allocation[[#This Row],[Quantity Processed]]/Allocation[[#This Row],[Quantity allocated]]</f>
        <v>2.8471337579617835</v>
      </c>
      <c r="Z2369" s="34" t="b">
        <f>Allocation[[#This Row],[Quantity allocated]]&lt;=Allocation[[#This Row],[Quantity Processed]]</f>
        <v>1</v>
      </c>
    </row>
    <row r="2370" spans="1:26">
      <c r="A2370" s="247" t="s">
        <v>467</v>
      </c>
      <c r="B2370" s="210" t="s">
        <v>68</v>
      </c>
      <c r="C2370" s="254" t="s">
        <v>1155</v>
      </c>
      <c r="D2370" s="255">
        <v>476</v>
      </c>
      <c r="E2370" s="211" t="s">
        <v>1962</v>
      </c>
      <c r="F2370" s="212">
        <v>43651</v>
      </c>
      <c r="G2370" s="213">
        <v>2.6</v>
      </c>
      <c r="H2370" s="256">
        <v>167</v>
      </c>
      <c r="I2370" s="214">
        <v>1465998</v>
      </c>
      <c r="J2370" s="215">
        <v>20700</v>
      </c>
      <c r="K2370" s="212">
        <v>43651</v>
      </c>
      <c r="L2370" s="211" t="s">
        <v>1972</v>
      </c>
      <c r="M2370" s="216">
        <v>4615447218</v>
      </c>
      <c r="N2370" s="212"/>
      <c r="O2370" s="218"/>
      <c r="P2370" s="219"/>
      <c r="Q2370" s="34">
        <f>SUMIF(Allocation[Delivery ID],Allocation[[#This Row],[Delivery ID]],Allocation[Quantity Processed])</f>
        <v>30110</v>
      </c>
      <c r="R2370" s="61">
        <f>Allocation[[#This Row],[Total volume used]]/VLOOKUP(Allocation[[#This Row],[Delivery ID]],Delivery[[Delivery ID]:[Quantity delivered]],3,FALSE)</f>
        <v>1</v>
      </c>
      <c r="S2370" s="34">
        <f>Allocation[[#This Row],[Quantity Processed]]/Allocation[[#This Row],[Dilution rate]]</f>
        <v>183.07692307692307</v>
      </c>
      <c r="T2370" s="59">
        <f>SUMIF(Allocation[Delivery ID],Allocation[[#This Row],[Delivery ID]],Allocation[Quantity allocated])/SUMIF(Allocation[Delivery ID],Allocation[[#This Row],[Delivery ID]],Allocation[Volume available (kg)])</f>
        <v>0.89099699146553557</v>
      </c>
      <c r="U2370" s="61">
        <f>Allocation[[#This Row],[Total volume used]]/VLOOKUP(Allocation[[#This Row],[Delivery ID]],Delivery[[Delivery ID]:[Quantity delivered]],3,FALSE)</f>
        <v>1</v>
      </c>
      <c r="V2370" s="34" t="e">
        <f>VLOOKUP(Allocation[[#This Row],[SAP Contract number]],Shipments[[SAP Contract number]:[Contracted container weight]],2,FALSE)</f>
        <v>#N/A</v>
      </c>
      <c r="W2370" s="34" t="e">
        <f>VLOOKUP(Allocation[[#This Row],[SAP Contract number]],Shipments[[SAP Contract number]:[AAA Premium USD]],24,FALSE)</f>
        <v>#N/A</v>
      </c>
      <c r="X2370" s="34" t="e">
        <f>VLOOKUP(Allocation[[#This Row],[SAP Contract number]],Shipments[[SAP Contract number]:[RA Premium USD]],25,FALSE)</f>
        <v>#N/A</v>
      </c>
      <c r="Y2370" s="38">
        <f>Allocation[[#This Row],[Quantity Processed]]/Allocation[[#This Row],[Quantity allocated]]</f>
        <v>2.8502994011976046</v>
      </c>
      <c r="Z2370" s="34" t="b">
        <f>Allocation[[#This Row],[Quantity allocated]]&lt;=Allocation[[#This Row],[Quantity Processed]]</f>
        <v>1</v>
      </c>
    </row>
    <row r="2371" spans="1:26">
      <c r="A2371" s="247" t="s">
        <v>467</v>
      </c>
      <c r="B2371" s="210" t="s">
        <v>68</v>
      </c>
      <c r="C2371" s="254" t="s">
        <v>1691</v>
      </c>
      <c r="D2371" s="255">
        <v>1287</v>
      </c>
      <c r="E2371" s="211" t="s">
        <v>1962</v>
      </c>
      <c r="F2371" s="212">
        <v>43651</v>
      </c>
      <c r="G2371" s="213">
        <v>2.6</v>
      </c>
      <c r="H2371" s="256">
        <v>669</v>
      </c>
      <c r="I2371" s="214">
        <v>1465998</v>
      </c>
      <c r="J2371" s="215">
        <v>20700</v>
      </c>
      <c r="K2371" s="212">
        <v>43651</v>
      </c>
      <c r="L2371" s="211" t="s">
        <v>1972</v>
      </c>
      <c r="M2371" s="216">
        <v>4615447218</v>
      </c>
      <c r="N2371" s="212"/>
      <c r="O2371" s="218"/>
      <c r="P2371" s="219"/>
      <c r="Q2371" s="34">
        <f>SUMIF(Allocation[Delivery ID],Allocation[[#This Row],[Delivery ID]],Allocation[Quantity Processed])</f>
        <v>8219</v>
      </c>
      <c r="R2371" s="61">
        <f>Allocation[[#This Row],[Total volume used]]/VLOOKUP(Allocation[[#This Row],[Delivery ID]],Delivery[[Delivery ID]:[Quantity delivered]],3,FALSE)</f>
        <v>0.59879061634853559</v>
      </c>
      <c r="S2371" s="34">
        <f>Allocation[[#This Row],[Quantity Processed]]/Allocation[[#This Row],[Dilution rate]]</f>
        <v>495</v>
      </c>
      <c r="T2371" s="59">
        <f>SUMIF(Allocation[Delivery ID],Allocation[[#This Row],[Delivery ID]],Allocation[Quantity allocated])/SUMIF(Allocation[Delivery ID],Allocation[[#This Row],[Delivery ID]],Allocation[Volume available (kg)])</f>
        <v>1.379679675536978</v>
      </c>
      <c r="U2371" s="61">
        <f>Allocation[[#This Row],[Total volume used]]/VLOOKUP(Allocation[[#This Row],[Delivery ID]],Delivery[[Delivery ID]:[Quantity delivered]],3,FALSE)</f>
        <v>0.59879061634853559</v>
      </c>
      <c r="V2371" s="34" t="e">
        <f>VLOOKUP(Allocation[[#This Row],[SAP Contract number]],Shipments[[SAP Contract number]:[Contracted container weight]],2,FALSE)</f>
        <v>#N/A</v>
      </c>
      <c r="W2371" s="34" t="e">
        <f>VLOOKUP(Allocation[[#This Row],[SAP Contract number]],Shipments[[SAP Contract number]:[AAA Premium USD]],24,FALSE)</f>
        <v>#N/A</v>
      </c>
      <c r="X2371" s="34" t="e">
        <f>VLOOKUP(Allocation[[#This Row],[SAP Contract number]],Shipments[[SAP Contract number]:[RA Premium USD]],25,FALSE)</f>
        <v>#N/A</v>
      </c>
      <c r="Y2371" s="38">
        <f>Allocation[[#This Row],[Quantity Processed]]/Allocation[[#This Row],[Quantity allocated]]</f>
        <v>1.9237668161434978</v>
      </c>
      <c r="Z2371" s="34" t="b">
        <f>Allocation[[#This Row],[Quantity allocated]]&lt;=Allocation[[#This Row],[Quantity Processed]]</f>
        <v>1</v>
      </c>
    </row>
    <row r="2372" spans="1:26">
      <c r="A2372" s="247" t="s">
        <v>467</v>
      </c>
      <c r="B2372" s="210" t="s">
        <v>68</v>
      </c>
      <c r="C2372" s="254" t="s">
        <v>1691</v>
      </c>
      <c r="D2372" s="255">
        <v>2486</v>
      </c>
      <c r="E2372" s="211" t="s">
        <v>1962</v>
      </c>
      <c r="F2372" s="212">
        <v>43651</v>
      </c>
      <c r="G2372" s="213">
        <v>2.6</v>
      </c>
      <c r="H2372" s="256">
        <v>1293</v>
      </c>
      <c r="I2372" s="214">
        <v>1465999</v>
      </c>
      <c r="J2372" s="215">
        <v>20700</v>
      </c>
      <c r="K2372" s="212">
        <v>43651</v>
      </c>
      <c r="L2372" s="211" t="s">
        <v>1973</v>
      </c>
      <c r="M2372" s="216">
        <v>4615447218</v>
      </c>
      <c r="N2372" s="212"/>
      <c r="O2372" s="218"/>
      <c r="P2372" s="219"/>
      <c r="Q2372" s="34">
        <f>SUMIF(Allocation[Delivery ID],Allocation[[#This Row],[Delivery ID]],Allocation[Quantity Processed])</f>
        <v>8219</v>
      </c>
      <c r="R2372" s="61">
        <f>Allocation[[#This Row],[Total volume used]]/VLOOKUP(Allocation[[#This Row],[Delivery ID]],Delivery[[Delivery ID]:[Quantity delivered]],3,FALSE)</f>
        <v>0.59879061634853559</v>
      </c>
      <c r="S2372" s="34">
        <f>Allocation[[#This Row],[Quantity Processed]]/Allocation[[#This Row],[Dilution rate]]</f>
        <v>956.15384615384608</v>
      </c>
      <c r="T2372" s="59">
        <f>SUMIF(Allocation[Delivery ID],Allocation[[#This Row],[Delivery ID]],Allocation[Quantity allocated])/SUMIF(Allocation[Delivery ID],Allocation[[#This Row],[Delivery ID]],Allocation[Volume available (kg)])</f>
        <v>1.379679675536978</v>
      </c>
      <c r="U2372" s="61">
        <f>Allocation[[#This Row],[Total volume used]]/VLOOKUP(Allocation[[#This Row],[Delivery ID]],Delivery[[Delivery ID]:[Quantity delivered]],3,FALSE)</f>
        <v>0.59879061634853559</v>
      </c>
      <c r="V2372" s="34" t="e">
        <f>VLOOKUP(Allocation[[#This Row],[SAP Contract number]],Shipments[[SAP Contract number]:[Contracted container weight]],2,FALSE)</f>
        <v>#N/A</v>
      </c>
      <c r="W2372" s="34" t="e">
        <f>VLOOKUP(Allocation[[#This Row],[SAP Contract number]],Shipments[[SAP Contract number]:[AAA Premium USD]],24,FALSE)</f>
        <v>#N/A</v>
      </c>
      <c r="X2372" s="34" t="e">
        <f>VLOOKUP(Allocation[[#This Row],[SAP Contract number]],Shipments[[SAP Contract number]:[RA Premium USD]],25,FALSE)</f>
        <v>#N/A</v>
      </c>
      <c r="Y2372" s="38">
        <f>Allocation[[#This Row],[Quantity Processed]]/Allocation[[#This Row],[Quantity allocated]]</f>
        <v>1.9226604795050271</v>
      </c>
      <c r="Z2372" s="34" t="b">
        <f>Allocation[[#This Row],[Quantity allocated]]&lt;=Allocation[[#This Row],[Quantity Processed]]</f>
        <v>1</v>
      </c>
    </row>
    <row r="2373" spans="1:26">
      <c r="A2373" s="247" t="s">
        <v>467</v>
      </c>
      <c r="B2373" s="210" t="s">
        <v>68</v>
      </c>
      <c r="C2373" s="254" t="s">
        <v>1692</v>
      </c>
      <c r="D2373" s="255">
        <v>8318</v>
      </c>
      <c r="E2373" s="211" t="s">
        <v>1962</v>
      </c>
      <c r="F2373" s="212">
        <v>43651</v>
      </c>
      <c r="G2373" s="213">
        <v>2.6</v>
      </c>
      <c r="H2373" s="256">
        <v>2745</v>
      </c>
      <c r="I2373" s="214">
        <v>1465999</v>
      </c>
      <c r="J2373" s="215">
        <v>20700</v>
      </c>
      <c r="K2373" s="212">
        <v>43651</v>
      </c>
      <c r="L2373" s="211" t="s">
        <v>1973</v>
      </c>
      <c r="M2373" s="216">
        <v>4615447218</v>
      </c>
      <c r="N2373" s="212"/>
      <c r="O2373" s="218"/>
      <c r="P2373" s="219"/>
      <c r="Q2373" s="34">
        <f>SUMIF(Allocation[Delivery ID],Allocation[[#This Row],[Delivery ID]],Allocation[Quantity Processed])</f>
        <v>18124</v>
      </c>
      <c r="R2373" s="61">
        <f>Allocation[[#This Row],[Total volume used]]/VLOOKUP(Allocation[[#This Row],[Delivery ID]],Delivery[[Delivery ID]:[Quantity delivered]],3,FALSE)</f>
        <v>0.81529464687359421</v>
      </c>
      <c r="S2373" s="34">
        <f>Allocation[[#This Row],[Quantity Processed]]/Allocation[[#This Row],[Dilution rate]]</f>
        <v>3199.2307692307691</v>
      </c>
      <c r="T2373" s="59">
        <f>SUMIF(Allocation[Delivery ID],Allocation[[#This Row],[Delivery ID]],Allocation[Quantity allocated])/SUMIF(Allocation[Delivery ID],Allocation[[#This Row],[Delivery ID]],Allocation[Volume available (kg)])</f>
        <v>0.87555667699596706</v>
      </c>
      <c r="U2373" s="61">
        <f>Allocation[[#This Row],[Total volume used]]/VLOOKUP(Allocation[[#This Row],[Delivery ID]],Delivery[[Delivery ID]:[Quantity delivered]],3,FALSE)</f>
        <v>0.81529464687359421</v>
      </c>
      <c r="V2373" s="34" t="e">
        <f>VLOOKUP(Allocation[[#This Row],[SAP Contract number]],Shipments[[SAP Contract number]:[Contracted container weight]],2,FALSE)</f>
        <v>#N/A</v>
      </c>
      <c r="W2373" s="34" t="e">
        <f>VLOOKUP(Allocation[[#This Row],[SAP Contract number]],Shipments[[SAP Contract number]:[AAA Premium USD]],24,FALSE)</f>
        <v>#N/A</v>
      </c>
      <c r="X2373" s="34" t="e">
        <f>VLOOKUP(Allocation[[#This Row],[SAP Contract number]],Shipments[[SAP Contract number]:[RA Premium USD]],25,FALSE)</f>
        <v>#N/A</v>
      </c>
      <c r="Y2373" s="38">
        <f>Allocation[[#This Row],[Quantity Processed]]/Allocation[[#This Row],[Quantity allocated]]</f>
        <v>3.0302367941712203</v>
      </c>
      <c r="Z2373" s="34" t="b">
        <f>Allocation[[#This Row],[Quantity allocated]]&lt;=Allocation[[#This Row],[Quantity Processed]]</f>
        <v>1</v>
      </c>
    </row>
    <row r="2374" spans="1:26">
      <c r="A2374" s="247" t="s">
        <v>467</v>
      </c>
      <c r="B2374" s="210" t="s">
        <v>68</v>
      </c>
      <c r="C2374" s="254" t="s">
        <v>1695</v>
      </c>
      <c r="D2374" s="255">
        <v>1213</v>
      </c>
      <c r="E2374" s="211" t="s">
        <v>1962</v>
      </c>
      <c r="F2374" s="212">
        <v>43651</v>
      </c>
      <c r="G2374" s="213">
        <v>2.6</v>
      </c>
      <c r="H2374" s="256">
        <v>364</v>
      </c>
      <c r="I2374" s="214">
        <v>1465999</v>
      </c>
      <c r="J2374" s="215">
        <v>20700</v>
      </c>
      <c r="K2374" s="212">
        <v>43651</v>
      </c>
      <c r="L2374" s="211" t="s">
        <v>1973</v>
      </c>
      <c r="M2374" s="216">
        <v>4615447218</v>
      </c>
      <c r="N2374" s="212"/>
      <c r="O2374" s="218"/>
      <c r="P2374" s="219"/>
      <c r="Q2374" s="34">
        <f>SUMIF(Allocation[Delivery ID],Allocation[[#This Row],[Delivery ID]],Allocation[Quantity Processed])</f>
        <v>23530</v>
      </c>
      <c r="R2374" s="61">
        <f>Allocation[[#This Row],[Total volume used]]/VLOOKUP(Allocation[[#This Row],[Delivery ID]],Delivery[[Delivery ID]:[Quantity delivered]],3,FALSE)</f>
        <v>0.78328894806924099</v>
      </c>
      <c r="S2374" s="34">
        <f>Allocation[[#This Row],[Quantity Processed]]/Allocation[[#This Row],[Dilution rate]]</f>
        <v>466.53846153846155</v>
      </c>
      <c r="T2374" s="59">
        <f>SUMIF(Allocation[Delivery ID],Allocation[[#This Row],[Delivery ID]],Allocation[Quantity allocated])/SUMIF(Allocation[Delivery ID],Allocation[[#This Row],[Delivery ID]],Allocation[Volume available (kg)])</f>
        <v>0.80004597707588787</v>
      </c>
      <c r="U2374" s="61">
        <f>Allocation[[#This Row],[Total volume used]]/VLOOKUP(Allocation[[#This Row],[Delivery ID]],Delivery[[Delivery ID]:[Quantity delivered]],3,FALSE)</f>
        <v>0.78328894806924099</v>
      </c>
      <c r="V2374" s="34" t="e">
        <f>VLOOKUP(Allocation[[#This Row],[SAP Contract number]],Shipments[[SAP Contract number]:[Contracted container weight]],2,FALSE)</f>
        <v>#N/A</v>
      </c>
      <c r="W2374" s="34" t="e">
        <f>VLOOKUP(Allocation[[#This Row],[SAP Contract number]],Shipments[[SAP Contract number]:[AAA Premium USD]],24,FALSE)</f>
        <v>#N/A</v>
      </c>
      <c r="X2374" s="34" t="e">
        <f>VLOOKUP(Allocation[[#This Row],[SAP Contract number]],Shipments[[SAP Contract number]:[RA Premium USD]],25,FALSE)</f>
        <v>#N/A</v>
      </c>
      <c r="Y2374" s="38">
        <f>Allocation[[#This Row],[Quantity Processed]]/Allocation[[#This Row],[Quantity allocated]]</f>
        <v>3.3324175824175826</v>
      </c>
      <c r="Z2374" s="34" t="b">
        <f>Allocation[[#This Row],[Quantity allocated]]&lt;=Allocation[[#This Row],[Quantity Processed]]</f>
        <v>1</v>
      </c>
    </row>
    <row r="2375" spans="1:26">
      <c r="A2375" s="247" t="s">
        <v>467</v>
      </c>
      <c r="B2375" s="210" t="s">
        <v>68</v>
      </c>
      <c r="C2375" s="254" t="s">
        <v>1696</v>
      </c>
      <c r="D2375" s="255">
        <v>12329</v>
      </c>
      <c r="E2375" s="211" t="s">
        <v>1962</v>
      </c>
      <c r="F2375" s="212">
        <v>43651</v>
      </c>
      <c r="G2375" s="213">
        <v>2.6</v>
      </c>
      <c r="H2375" s="256">
        <v>4069</v>
      </c>
      <c r="I2375" s="214">
        <v>1465999</v>
      </c>
      <c r="J2375" s="215">
        <v>20700</v>
      </c>
      <c r="K2375" s="212">
        <v>43651</v>
      </c>
      <c r="L2375" s="211" t="s">
        <v>1973</v>
      </c>
      <c r="M2375" s="216">
        <v>4615447218</v>
      </c>
      <c r="N2375" s="212"/>
      <c r="O2375" s="218"/>
      <c r="P2375" s="219"/>
      <c r="Q2375" s="34">
        <f>SUMIF(Allocation[Delivery ID],Allocation[[#This Row],[Delivery ID]],Allocation[Quantity Processed])</f>
        <v>28050</v>
      </c>
      <c r="R2375" s="61">
        <f>Allocation[[#This Row],[Total volume used]]/VLOOKUP(Allocation[[#This Row],[Delivery ID]],Delivery[[Delivery ID]:[Quantity delivered]],3,FALSE)</f>
        <v>1</v>
      </c>
      <c r="S2375" s="34">
        <f>Allocation[[#This Row],[Quantity Processed]]/Allocation[[#This Row],[Dilution rate]]</f>
        <v>4741.9230769230771</v>
      </c>
      <c r="T2375" s="59">
        <f>SUMIF(Allocation[Delivery ID],Allocation[[#This Row],[Delivery ID]],Allocation[Quantity allocated])/SUMIF(Allocation[Delivery ID],Allocation[[#This Row],[Delivery ID]],Allocation[Volume available (kg)])</f>
        <v>0.87623515261673968</v>
      </c>
      <c r="U2375" s="61">
        <f>Allocation[[#This Row],[Total volume used]]/VLOOKUP(Allocation[[#This Row],[Delivery ID]],Delivery[[Delivery ID]:[Quantity delivered]],3,FALSE)</f>
        <v>1</v>
      </c>
      <c r="V2375" s="34" t="e">
        <f>VLOOKUP(Allocation[[#This Row],[SAP Contract number]],Shipments[[SAP Contract number]:[Contracted container weight]],2,FALSE)</f>
        <v>#N/A</v>
      </c>
      <c r="W2375" s="34" t="e">
        <f>VLOOKUP(Allocation[[#This Row],[SAP Contract number]],Shipments[[SAP Contract number]:[AAA Premium USD]],24,FALSE)</f>
        <v>#N/A</v>
      </c>
      <c r="X2375" s="34" t="e">
        <f>VLOOKUP(Allocation[[#This Row],[SAP Contract number]],Shipments[[SAP Contract number]:[RA Premium USD]],25,FALSE)</f>
        <v>#N/A</v>
      </c>
      <c r="Y2375" s="38">
        <f>Allocation[[#This Row],[Quantity Processed]]/Allocation[[#This Row],[Quantity allocated]]</f>
        <v>3.0299827967559598</v>
      </c>
      <c r="Z2375" s="34" t="b">
        <f>Allocation[[#This Row],[Quantity allocated]]&lt;=Allocation[[#This Row],[Quantity Processed]]</f>
        <v>1</v>
      </c>
    </row>
    <row r="2376" spans="1:26">
      <c r="A2376" s="247" t="s">
        <v>467</v>
      </c>
      <c r="B2376" s="210" t="s">
        <v>68</v>
      </c>
      <c r="C2376" s="254" t="s">
        <v>1699</v>
      </c>
      <c r="D2376" s="255">
        <v>2883</v>
      </c>
      <c r="E2376" s="211" t="s">
        <v>1962</v>
      </c>
      <c r="F2376" s="212">
        <v>43651</v>
      </c>
      <c r="G2376" s="213">
        <v>2.6</v>
      </c>
      <c r="H2376" s="256">
        <v>1153</v>
      </c>
      <c r="I2376" s="214">
        <v>1465999</v>
      </c>
      <c r="J2376" s="215">
        <v>20700</v>
      </c>
      <c r="K2376" s="212">
        <v>43651</v>
      </c>
      <c r="L2376" s="211" t="s">
        <v>1973</v>
      </c>
      <c r="M2376" s="216">
        <v>4615447218</v>
      </c>
      <c r="N2376" s="212"/>
      <c r="O2376" s="218"/>
      <c r="P2376" s="219"/>
      <c r="Q2376" s="34">
        <f>SUMIF(Allocation[Delivery ID],Allocation[[#This Row],[Delivery ID]],Allocation[Quantity Processed])</f>
        <v>25571</v>
      </c>
      <c r="R2376" s="61">
        <f>Allocation[[#This Row],[Total volume used]]/VLOOKUP(Allocation[[#This Row],[Delivery ID]],Delivery[[Delivery ID]:[Quantity delivered]],3,FALSE)</f>
        <v>0.94288348082595874</v>
      </c>
      <c r="S2376" s="34">
        <f>Allocation[[#This Row],[Quantity Processed]]/Allocation[[#This Row],[Dilution rate]]</f>
        <v>1108.8461538461538</v>
      </c>
      <c r="T2376" s="59">
        <f>SUMIF(Allocation[Delivery ID],Allocation[[#This Row],[Delivery ID]],Allocation[Quantity allocated])/SUMIF(Allocation[Delivery ID],Allocation[[#This Row],[Delivery ID]],Allocation[Volume available (kg)])</f>
        <v>0.86965241001314963</v>
      </c>
      <c r="U2376" s="61">
        <f>Allocation[[#This Row],[Total volume used]]/VLOOKUP(Allocation[[#This Row],[Delivery ID]],Delivery[[Delivery ID]:[Quantity delivered]],3,FALSE)</f>
        <v>0.94288348082595874</v>
      </c>
      <c r="V2376" s="34" t="e">
        <f>VLOOKUP(Allocation[[#This Row],[SAP Contract number]],Shipments[[SAP Contract number]:[Contracted container weight]],2,FALSE)</f>
        <v>#N/A</v>
      </c>
      <c r="W2376" s="34" t="e">
        <f>VLOOKUP(Allocation[[#This Row],[SAP Contract number]],Shipments[[SAP Contract number]:[AAA Premium USD]],24,FALSE)</f>
        <v>#N/A</v>
      </c>
      <c r="X2376" s="34" t="e">
        <f>VLOOKUP(Allocation[[#This Row],[SAP Contract number]],Shipments[[SAP Contract number]:[RA Premium USD]],25,FALSE)</f>
        <v>#N/A</v>
      </c>
      <c r="Y2376" s="38">
        <f>Allocation[[#This Row],[Quantity Processed]]/Allocation[[#This Row],[Quantity allocated]]</f>
        <v>2.5004336513443191</v>
      </c>
      <c r="Z2376" s="34" t="b">
        <f>Allocation[[#This Row],[Quantity allocated]]&lt;=Allocation[[#This Row],[Quantity Processed]]</f>
        <v>1</v>
      </c>
    </row>
    <row r="2377" spans="1:26">
      <c r="A2377" s="247" t="s">
        <v>467</v>
      </c>
      <c r="B2377" s="210" t="s">
        <v>68</v>
      </c>
      <c r="C2377" s="254" t="s">
        <v>1700</v>
      </c>
      <c r="D2377" s="255">
        <v>2880</v>
      </c>
      <c r="E2377" s="211" t="s">
        <v>1962</v>
      </c>
      <c r="F2377" s="212">
        <v>43651</v>
      </c>
      <c r="G2377" s="213">
        <v>2.6</v>
      </c>
      <c r="H2377" s="256">
        <v>1152</v>
      </c>
      <c r="I2377" s="214">
        <v>1465999</v>
      </c>
      <c r="J2377" s="215">
        <v>20700</v>
      </c>
      <c r="K2377" s="212">
        <v>43651</v>
      </c>
      <c r="L2377" s="211" t="s">
        <v>1973</v>
      </c>
      <c r="M2377" s="216">
        <v>4615447218</v>
      </c>
      <c r="N2377" s="212"/>
      <c r="O2377" s="218"/>
      <c r="P2377" s="219"/>
      <c r="Q2377" s="34">
        <f>SUMIF(Allocation[Delivery ID],Allocation[[#This Row],[Delivery ID]],Allocation[Quantity Processed])</f>
        <v>25553</v>
      </c>
      <c r="R2377" s="61">
        <f>Allocation[[#This Row],[Total volume used]]/VLOOKUP(Allocation[[#This Row],[Delivery ID]],Delivery[[Delivery ID]:[Quantity delivered]],3,FALSE)</f>
        <v>0.9429151291512915</v>
      </c>
      <c r="S2377" s="34">
        <f>Allocation[[#This Row],[Quantity Processed]]/Allocation[[#This Row],[Dilution rate]]</f>
        <v>1107.6923076923076</v>
      </c>
      <c r="T2377" s="59">
        <f>SUMIF(Allocation[Delivery ID],Allocation[[#This Row],[Delivery ID]],Allocation[Quantity allocated])/SUMIF(Allocation[Delivery ID],Allocation[[#This Row],[Delivery ID]],Allocation[Volume available (kg)])</f>
        <v>0.86966397979306564</v>
      </c>
      <c r="U2377" s="61">
        <f>Allocation[[#This Row],[Total volume used]]/VLOOKUP(Allocation[[#This Row],[Delivery ID]],Delivery[[Delivery ID]:[Quantity delivered]],3,FALSE)</f>
        <v>0.9429151291512915</v>
      </c>
      <c r="V2377" s="34" t="e">
        <f>VLOOKUP(Allocation[[#This Row],[SAP Contract number]],Shipments[[SAP Contract number]:[Contracted container weight]],2,FALSE)</f>
        <v>#N/A</v>
      </c>
      <c r="W2377" s="34" t="e">
        <f>VLOOKUP(Allocation[[#This Row],[SAP Contract number]],Shipments[[SAP Contract number]:[AAA Premium USD]],24,FALSE)</f>
        <v>#N/A</v>
      </c>
      <c r="X2377" s="34" t="e">
        <f>VLOOKUP(Allocation[[#This Row],[SAP Contract number]],Shipments[[SAP Contract number]:[RA Premium USD]],25,FALSE)</f>
        <v>#N/A</v>
      </c>
      <c r="Y2377" s="38">
        <f>Allocation[[#This Row],[Quantity Processed]]/Allocation[[#This Row],[Quantity allocated]]</f>
        <v>2.5</v>
      </c>
      <c r="Z2377" s="34" t="b">
        <f>Allocation[[#This Row],[Quantity allocated]]&lt;=Allocation[[#This Row],[Quantity Processed]]</f>
        <v>1</v>
      </c>
    </row>
    <row r="2378" spans="1:26">
      <c r="A2378" s="247" t="s">
        <v>467</v>
      </c>
      <c r="B2378" s="210" t="s">
        <v>68</v>
      </c>
      <c r="C2378" s="254" t="s">
        <v>1163</v>
      </c>
      <c r="D2378" s="255">
        <v>1230</v>
      </c>
      <c r="E2378" s="211" t="s">
        <v>1962</v>
      </c>
      <c r="F2378" s="212">
        <v>43651</v>
      </c>
      <c r="G2378" s="213">
        <v>2.6</v>
      </c>
      <c r="H2378" s="256">
        <v>431</v>
      </c>
      <c r="I2378" s="214">
        <v>1465999</v>
      </c>
      <c r="J2378" s="215">
        <v>20700</v>
      </c>
      <c r="K2378" s="212">
        <v>43651</v>
      </c>
      <c r="L2378" s="211" t="s">
        <v>1973</v>
      </c>
      <c r="M2378" s="216">
        <v>4615447218</v>
      </c>
      <c r="N2378" s="212"/>
      <c r="O2378" s="218"/>
      <c r="P2378" s="219"/>
      <c r="Q2378" s="34">
        <f>SUMIF(Allocation[Delivery ID],Allocation[[#This Row],[Delivery ID]],Allocation[Quantity Processed])</f>
        <v>32420</v>
      </c>
      <c r="R2378" s="61">
        <f>Allocation[[#This Row],[Total volume used]]/VLOOKUP(Allocation[[#This Row],[Delivery ID]],Delivery[[Delivery ID]:[Quantity delivered]],3,FALSE)</f>
        <v>1</v>
      </c>
      <c r="S2378" s="34">
        <f>Allocation[[#This Row],[Quantity Processed]]/Allocation[[#This Row],[Dilution rate]]</f>
        <v>473.07692307692304</v>
      </c>
      <c r="T2378" s="59">
        <f>SUMIF(Allocation[Delivery ID],Allocation[[#This Row],[Delivery ID]],Allocation[Quantity allocated])/SUMIF(Allocation[Delivery ID],Allocation[[#This Row],[Delivery ID]],Allocation[Volume available (kg)])</f>
        <v>0.91573014953438914</v>
      </c>
      <c r="U2378" s="61">
        <f>Allocation[[#This Row],[Total volume used]]/VLOOKUP(Allocation[[#This Row],[Delivery ID]],Delivery[[Delivery ID]:[Quantity delivered]],3,FALSE)</f>
        <v>1</v>
      </c>
      <c r="V2378" s="34" t="e">
        <f>VLOOKUP(Allocation[[#This Row],[SAP Contract number]],Shipments[[SAP Contract number]:[Contracted container weight]],2,FALSE)</f>
        <v>#N/A</v>
      </c>
      <c r="W2378" s="34" t="e">
        <f>VLOOKUP(Allocation[[#This Row],[SAP Contract number]],Shipments[[SAP Contract number]:[AAA Premium USD]],24,FALSE)</f>
        <v>#N/A</v>
      </c>
      <c r="X2378" s="34" t="e">
        <f>VLOOKUP(Allocation[[#This Row],[SAP Contract number]],Shipments[[SAP Contract number]:[RA Premium USD]],25,FALSE)</f>
        <v>#N/A</v>
      </c>
      <c r="Y2378" s="38">
        <f>Allocation[[#This Row],[Quantity Processed]]/Allocation[[#This Row],[Quantity allocated]]</f>
        <v>2.8538283062645013</v>
      </c>
      <c r="Z2378" s="34" t="b">
        <f>Allocation[[#This Row],[Quantity allocated]]&lt;=Allocation[[#This Row],[Quantity Processed]]</f>
        <v>1</v>
      </c>
    </row>
    <row r="2379" spans="1:26">
      <c r="A2379" s="247" t="s">
        <v>467</v>
      </c>
      <c r="B2379" s="210" t="s">
        <v>68</v>
      </c>
      <c r="C2379" s="254" t="s">
        <v>1165</v>
      </c>
      <c r="D2379" s="255">
        <v>966</v>
      </c>
      <c r="E2379" s="211" t="s">
        <v>1962</v>
      </c>
      <c r="F2379" s="212">
        <v>43651</v>
      </c>
      <c r="G2379" s="213">
        <v>2.6</v>
      </c>
      <c r="H2379" s="256">
        <v>338</v>
      </c>
      <c r="I2379" s="214">
        <v>1465999</v>
      </c>
      <c r="J2379" s="215">
        <v>20700</v>
      </c>
      <c r="K2379" s="212">
        <v>43651</v>
      </c>
      <c r="L2379" s="211" t="s">
        <v>1973</v>
      </c>
      <c r="M2379" s="216">
        <v>4615447218</v>
      </c>
      <c r="N2379" s="212"/>
      <c r="O2379" s="218"/>
      <c r="P2379" s="219"/>
      <c r="Q2379" s="34">
        <f>SUMIF(Allocation[Delivery ID],Allocation[[#This Row],[Delivery ID]],Allocation[Quantity Processed])</f>
        <v>25500</v>
      </c>
      <c r="R2379" s="61">
        <f>Allocation[[#This Row],[Total volume used]]/VLOOKUP(Allocation[[#This Row],[Delivery ID]],Delivery[[Delivery ID]:[Quantity delivered]],3,FALSE)</f>
        <v>1</v>
      </c>
      <c r="S2379" s="34">
        <f>Allocation[[#This Row],[Quantity Processed]]/Allocation[[#This Row],[Dilution rate]]</f>
        <v>371.53846153846155</v>
      </c>
      <c r="T2379" s="59">
        <f>SUMIF(Allocation[Delivery ID],Allocation[[#This Row],[Delivery ID]],Allocation[Quantity allocated])/SUMIF(Allocation[Delivery ID],Allocation[[#This Row],[Delivery ID]],Allocation[Volume available (kg)])</f>
        <v>0.91565224611931262</v>
      </c>
      <c r="U2379" s="61">
        <f>Allocation[[#This Row],[Total volume used]]/VLOOKUP(Allocation[[#This Row],[Delivery ID]],Delivery[[Delivery ID]:[Quantity delivered]],3,FALSE)</f>
        <v>1</v>
      </c>
      <c r="V2379" s="34" t="e">
        <f>VLOOKUP(Allocation[[#This Row],[SAP Contract number]],Shipments[[SAP Contract number]:[Contracted container weight]],2,FALSE)</f>
        <v>#N/A</v>
      </c>
      <c r="W2379" s="34" t="e">
        <f>VLOOKUP(Allocation[[#This Row],[SAP Contract number]],Shipments[[SAP Contract number]:[AAA Premium USD]],24,FALSE)</f>
        <v>#N/A</v>
      </c>
      <c r="X2379" s="34" t="e">
        <f>VLOOKUP(Allocation[[#This Row],[SAP Contract number]],Shipments[[SAP Contract number]:[RA Premium USD]],25,FALSE)</f>
        <v>#N/A</v>
      </c>
      <c r="Y2379" s="38">
        <f>Allocation[[#This Row],[Quantity Processed]]/Allocation[[#This Row],[Quantity allocated]]</f>
        <v>2.8579881656804735</v>
      </c>
      <c r="Z2379" s="34" t="b">
        <f>Allocation[[#This Row],[Quantity allocated]]&lt;=Allocation[[#This Row],[Quantity Processed]]</f>
        <v>1</v>
      </c>
    </row>
    <row r="2380" spans="1:26">
      <c r="A2380" s="247" t="s">
        <v>467</v>
      </c>
      <c r="B2380" s="210" t="s">
        <v>68</v>
      </c>
      <c r="C2380" s="254" t="s">
        <v>1166</v>
      </c>
      <c r="D2380" s="255">
        <v>265</v>
      </c>
      <c r="E2380" s="211" t="s">
        <v>1962</v>
      </c>
      <c r="F2380" s="212">
        <v>43651</v>
      </c>
      <c r="G2380" s="213">
        <v>2.6</v>
      </c>
      <c r="H2380" s="256">
        <v>95</v>
      </c>
      <c r="I2380" s="214">
        <v>1465999</v>
      </c>
      <c r="J2380" s="215">
        <v>20700</v>
      </c>
      <c r="K2380" s="212">
        <v>43651</v>
      </c>
      <c r="L2380" s="211" t="s">
        <v>1973</v>
      </c>
      <c r="M2380" s="216">
        <v>4615447218</v>
      </c>
      <c r="N2380" s="212"/>
      <c r="O2380" s="218"/>
      <c r="P2380" s="219"/>
      <c r="Q2380" s="34">
        <f>SUMIF(Allocation[Delivery ID],Allocation[[#This Row],[Delivery ID]],Allocation[Quantity Processed])</f>
        <v>6960</v>
      </c>
      <c r="R2380" s="61">
        <f>Allocation[[#This Row],[Total volume used]]/VLOOKUP(Allocation[[#This Row],[Delivery ID]],Delivery[[Delivery ID]:[Quantity delivered]],3,FALSE)</f>
        <v>1</v>
      </c>
      <c r="S2380" s="34">
        <f>Allocation[[#This Row],[Quantity Processed]]/Allocation[[#This Row],[Dilution rate]]</f>
        <v>101.92307692307692</v>
      </c>
      <c r="T2380" s="59">
        <f>SUMIF(Allocation[Delivery ID],Allocation[[#This Row],[Delivery ID]],Allocation[Quantity allocated])/SUMIF(Allocation[Delivery ID],Allocation[[#This Row],[Delivery ID]],Allocation[Volume available (kg)])</f>
        <v>0.91648668745422734</v>
      </c>
      <c r="U2380" s="61">
        <f>Allocation[[#This Row],[Total volume used]]/VLOOKUP(Allocation[[#This Row],[Delivery ID]],Delivery[[Delivery ID]:[Quantity delivered]],3,FALSE)</f>
        <v>1</v>
      </c>
      <c r="V2380" s="34" t="e">
        <f>VLOOKUP(Allocation[[#This Row],[SAP Contract number]],Shipments[[SAP Contract number]:[Contracted container weight]],2,FALSE)</f>
        <v>#N/A</v>
      </c>
      <c r="W2380" s="34" t="e">
        <f>VLOOKUP(Allocation[[#This Row],[SAP Contract number]],Shipments[[SAP Contract number]:[AAA Premium USD]],24,FALSE)</f>
        <v>#N/A</v>
      </c>
      <c r="X2380" s="34" t="e">
        <f>VLOOKUP(Allocation[[#This Row],[SAP Contract number]],Shipments[[SAP Contract number]:[RA Premium USD]],25,FALSE)</f>
        <v>#N/A</v>
      </c>
      <c r="Y2380" s="38">
        <f>Allocation[[#This Row],[Quantity Processed]]/Allocation[[#This Row],[Quantity allocated]]</f>
        <v>2.7894736842105261</v>
      </c>
      <c r="Z2380" s="34" t="b">
        <f>Allocation[[#This Row],[Quantity allocated]]&lt;=Allocation[[#This Row],[Quantity Processed]]</f>
        <v>1</v>
      </c>
    </row>
    <row r="2381" spans="1:26">
      <c r="A2381" s="247" t="s">
        <v>467</v>
      </c>
      <c r="B2381" s="210" t="s">
        <v>68</v>
      </c>
      <c r="C2381" s="254" t="s">
        <v>1701</v>
      </c>
      <c r="D2381" s="255">
        <v>560</v>
      </c>
      <c r="E2381" s="211" t="s">
        <v>1962</v>
      </c>
      <c r="F2381" s="212">
        <v>43651</v>
      </c>
      <c r="G2381" s="213">
        <v>2.6</v>
      </c>
      <c r="H2381" s="256">
        <v>168</v>
      </c>
      <c r="I2381" s="214">
        <v>1465999</v>
      </c>
      <c r="J2381" s="215">
        <v>20700</v>
      </c>
      <c r="K2381" s="212">
        <v>43651</v>
      </c>
      <c r="L2381" s="211" t="s">
        <v>1973</v>
      </c>
      <c r="M2381" s="216">
        <v>4615447218</v>
      </c>
      <c r="N2381" s="212"/>
      <c r="O2381" s="218"/>
      <c r="P2381" s="219"/>
      <c r="Q2381" s="34">
        <f>SUMIF(Allocation[Delivery ID],Allocation[[#This Row],[Delivery ID]],Allocation[Quantity Processed])</f>
        <v>10837</v>
      </c>
      <c r="R2381" s="61">
        <f>Allocation[[#This Row],[Total volume used]]/VLOOKUP(Allocation[[#This Row],[Delivery ID]],Delivery[[Delivery ID]:[Quantity delivered]],3,FALSE)</f>
        <v>0.78347310584152685</v>
      </c>
      <c r="S2381" s="34">
        <f>Allocation[[#This Row],[Quantity Processed]]/Allocation[[#This Row],[Dilution rate]]</f>
        <v>215.38461538461539</v>
      </c>
      <c r="T2381" s="59">
        <f>SUMIF(Allocation[Delivery ID],Allocation[[#This Row],[Delivery ID]],Allocation[Quantity allocated])/SUMIF(Allocation[Delivery ID],Allocation[[#This Row],[Delivery ID]],Allocation[Volume available (kg)])</f>
        <v>0.80002142932056886</v>
      </c>
      <c r="U2381" s="61">
        <f>Allocation[[#This Row],[Total volume used]]/VLOOKUP(Allocation[[#This Row],[Delivery ID]],Delivery[[Delivery ID]:[Quantity delivered]],3,FALSE)</f>
        <v>0.78347310584152685</v>
      </c>
      <c r="V2381" s="34" t="e">
        <f>VLOOKUP(Allocation[[#This Row],[SAP Contract number]],Shipments[[SAP Contract number]:[Contracted container weight]],2,FALSE)</f>
        <v>#N/A</v>
      </c>
      <c r="W2381" s="34" t="e">
        <f>VLOOKUP(Allocation[[#This Row],[SAP Contract number]],Shipments[[SAP Contract number]:[AAA Premium USD]],24,FALSE)</f>
        <v>#N/A</v>
      </c>
      <c r="X2381" s="34" t="e">
        <f>VLOOKUP(Allocation[[#This Row],[SAP Contract number]],Shipments[[SAP Contract number]:[RA Premium USD]],25,FALSE)</f>
        <v>#N/A</v>
      </c>
      <c r="Y2381" s="38">
        <f>Allocation[[#This Row],[Quantity Processed]]/Allocation[[#This Row],[Quantity allocated]]</f>
        <v>3.3333333333333335</v>
      </c>
      <c r="Z2381" s="34" t="b">
        <f>Allocation[[#This Row],[Quantity allocated]]&lt;=Allocation[[#This Row],[Quantity Processed]]</f>
        <v>1</v>
      </c>
    </row>
    <row r="2382" spans="1:26">
      <c r="A2382" s="247" t="s">
        <v>467</v>
      </c>
      <c r="B2382" s="210" t="s">
        <v>68</v>
      </c>
      <c r="C2382" s="254" t="s">
        <v>1702</v>
      </c>
      <c r="D2382" s="255">
        <v>647</v>
      </c>
      <c r="E2382" s="211" t="s">
        <v>1962</v>
      </c>
      <c r="F2382" s="212">
        <v>43651</v>
      </c>
      <c r="G2382" s="213">
        <v>2.6</v>
      </c>
      <c r="H2382" s="256">
        <v>194</v>
      </c>
      <c r="I2382" s="214">
        <v>1465999</v>
      </c>
      <c r="J2382" s="215">
        <v>20700</v>
      </c>
      <c r="K2382" s="212">
        <v>43651</v>
      </c>
      <c r="L2382" s="211" t="s">
        <v>1973</v>
      </c>
      <c r="M2382" s="216">
        <v>4615447218</v>
      </c>
      <c r="N2382" s="212"/>
      <c r="O2382" s="218"/>
      <c r="P2382" s="219"/>
      <c r="Q2382" s="34">
        <f>SUMIF(Allocation[Delivery ID],Allocation[[#This Row],[Delivery ID]],Allocation[Quantity Processed])</f>
        <v>12574</v>
      </c>
      <c r="R2382" s="61">
        <f>Allocation[[#This Row],[Total volume used]]/VLOOKUP(Allocation[[#This Row],[Delivery ID]],Delivery[[Delivery ID]:[Quantity delivered]],3,FALSE)</f>
        <v>0.78303649271391207</v>
      </c>
      <c r="S2382" s="34">
        <f>Allocation[[#This Row],[Quantity Processed]]/Allocation[[#This Row],[Dilution rate]]</f>
        <v>248.84615384615384</v>
      </c>
      <c r="T2382" s="59">
        <f>SUMIF(Allocation[Delivery ID],Allocation[[#This Row],[Delivery ID]],Allocation[Quantity allocated])/SUMIF(Allocation[Delivery ID],Allocation[[#This Row],[Delivery ID]],Allocation[Volume available (kg)])</f>
        <v>0.80000657794533359</v>
      </c>
      <c r="U2382" s="61">
        <f>Allocation[[#This Row],[Total volume used]]/VLOOKUP(Allocation[[#This Row],[Delivery ID]],Delivery[[Delivery ID]:[Quantity delivered]],3,FALSE)</f>
        <v>0.78303649271391207</v>
      </c>
      <c r="V2382" s="34" t="e">
        <f>VLOOKUP(Allocation[[#This Row],[SAP Contract number]],Shipments[[SAP Contract number]:[Contracted container weight]],2,FALSE)</f>
        <v>#N/A</v>
      </c>
      <c r="W2382" s="34" t="e">
        <f>VLOOKUP(Allocation[[#This Row],[SAP Contract number]],Shipments[[SAP Contract number]:[AAA Premium USD]],24,FALSE)</f>
        <v>#N/A</v>
      </c>
      <c r="X2382" s="34" t="e">
        <f>VLOOKUP(Allocation[[#This Row],[SAP Contract number]],Shipments[[SAP Contract number]:[RA Premium USD]],25,FALSE)</f>
        <v>#N/A</v>
      </c>
      <c r="Y2382" s="38">
        <f>Allocation[[#This Row],[Quantity Processed]]/Allocation[[#This Row],[Quantity allocated]]</f>
        <v>3.3350515463917527</v>
      </c>
      <c r="Z2382" s="34" t="b">
        <f>Allocation[[#This Row],[Quantity allocated]]&lt;=Allocation[[#This Row],[Quantity Processed]]</f>
        <v>1</v>
      </c>
    </row>
    <row r="2383" spans="1:26">
      <c r="A2383" s="247" t="s">
        <v>467</v>
      </c>
      <c r="B2383" s="210" t="s">
        <v>68</v>
      </c>
      <c r="C2383" s="254" t="s">
        <v>1704</v>
      </c>
      <c r="D2383" s="255">
        <v>2883</v>
      </c>
      <c r="E2383" s="211" t="s">
        <v>1962</v>
      </c>
      <c r="F2383" s="212">
        <v>43651</v>
      </c>
      <c r="G2383" s="213">
        <v>2.6</v>
      </c>
      <c r="H2383" s="256">
        <v>1153</v>
      </c>
      <c r="I2383" s="214">
        <v>1465999</v>
      </c>
      <c r="J2383" s="215">
        <v>20700</v>
      </c>
      <c r="K2383" s="212">
        <v>43651</v>
      </c>
      <c r="L2383" s="211" t="s">
        <v>1973</v>
      </c>
      <c r="M2383" s="216">
        <v>4615447218</v>
      </c>
      <c r="N2383" s="212"/>
      <c r="O2383" s="218"/>
      <c r="P2383" s="219"/>
      <c r="Q2383" s="34">
        <f>SUMIF(Allocation[Delivery ID],Allocation[[#This Row],[Delivery ID]],Allocation[Quantity Processed])</f>
        <v>25561</v>
      </c>
      <c r="R2383" s="61">
        <f>Allocation[[#This Row],[Total volume used]]/VLOOKUP(Allocation[[#This Row],[Delivery ID]],Delivery[[Delivery ID]:[Quantity delivered]],3,FALSE)</f>
        <v>0.94286241239395052</v>
      </c>
      <c r="S2383" s="34">
        <f>Allocation[[#This Row],[Quantity Processed]]/Allocation[[#This Row],[Dilution rate]]</f>
        <v>1108.8461538461538</v>
      </c>
      <c r="T2383" s="59">
        <f>SUMIF(Allocation[Delivery ID],Allocation[[#This Row],[Delivery ID]],Allocation[Quantity allocated])/SUMIF(Allocation[Delivery ID],Allocation[[#This Row],[Delivery ID]],Allocation[Volume available (kg)])</f>
        <v>0.8696507026449507</v>
      </c>
      <c r="U2383" s="61">
        <f>Allocation[[#This Row],[Total volume used]]/VLOOKUP(Allocation[[#This Row],[Delivery ID]],Delivery[[Delivery ID]:[Quantity delivered]],3,FALSE)</f>
        <v>0.94286241239395052</v>
      </c>
      <c r="V2383" s="34" t="e">
        <f>VLOOKUP(Allocation[[#This Row],[SAP Contract number]],Shipments[[SAP Contract number]:[Contracted container weight]],2,FALSE)</f>
        <v>#N/A</v>
      </c>
      <c r="W2383" s="34" t="e">
        <f>VLOOKUP(Allocation[[#This Row],[SAP Contract number]],Shipments[[SAP Contract number]:[AAA Premium USD]],24,FALSE)</f>
        <v>#N/A</v>
      </c>
      <c r="X2383" s="34" t="e">
        <f>VLOOKUP(Allocation[[#This Row],[SAP Contract number]],Shipments[[SAP Contract number]:[RA Premium USD]],25,FALSE)</f>
        <v>#N/A</v>
      </c>
      <c r="Y2383" s="38">
        <f>Allocation[[#This Row],[Quantity Processed]]/Allocation[[#This Row],[Quantity allocated]]</f>
        <v>2.5004336513443191</v>
      </c>
      <c r="Z2383" s="34" t="b">
        <f>Allocation[[#This Row],[Quantity allocated]]&lt;=Allocation[[#This Row],[Quantity Processed]]</f>
        <v>1</v>
      </c>
    </row>
    <row r="2384" spans="1:26">
      <c r="A2384" s="247" t="s">
        <v>467</v>
      </c>
      <c r="B2384" s="210" t="s">
        <v>68</v>
      </c>
      <c r="C2384" s="254" t="s">
        <v>1710</v>
      </c>
      <c r="D2384" s="255">
        <v>6724</v>
      </c>
      <c r="E2384" s="211" t="s">
        <v>1962</v>
      </c>
      <c r="F2384" s="212">
        <v>43651</v>
      </c>
      <c r="G2384" s="213">
        <v>2.6</v>
      </c>
      <c r="H2384" s="256">
        <v>2219</v>
      </c>
      <c r="I2384" s="214">
        <v>1465999</v>
      </c>
      <c r="J2384" s="215">
        <v>20700</v>
      </c>
      <c r="K2384" s="212">
        <v>43651</v>
      </c>
      <c r="L2384" s="211" t="s">
        <v>1973</v>
      </c>
      <c r="M2384" s="216">
        <v>4615447218</v>
      </c>
      <c r="N2384" s="212"/>
      <c r="O2384" s="218"/>
      <c r="P2384" s="219"/>
      <c r="Q2384" s="34">
        <f>SUMIF(Allocation[Delivery ID],Allocation[[#This Row],[Delivery ID]],Allocation[Quantity Processed])</f>
        <v>15300</v>
      </c>
      <c r="R2384" s="61">
        <f>Allocation[[#This Row],[Total volume used]]/VLOOKUP(Allocation[[#This Row],[Delivery ID]],Delivery[[Delivery ID]:[Quantity delivered]],3,FALSE)</f>
        <v>1</v>
      </c>
      <c r="S2384" s="34">
        <f>Allocation[[#This Row],[Quantity Processed]]/Allocation[[#This Row],[Dilution rate]]</f>
        <v>2586.1538461538462</v>
      </c>
      <c r="T2384" s="59">
        <f>SUMIF(Allocation[Delivery ID],Allocation[[#This Row],[Delivery ID]],Allocation[Quantity allocated])/SUMIF(Allocation[Delivery ID],Allocation[[#This Row],[Delivery ID]],Allocation[Volume available (kg)])</f>
        <v>0.87618979343623615</v>
      </c>
      <c r="U2384" s="61">
        <f>Allocation[[#This Row],[Total volume used]]/VLOOKUP(Allocation[[#This Row],[Delivery ID]],Delivery[[Delivery ID]:[Quantity delivered]],3,FALSE)</f>
        <v>1</v>
      </c>
      <c r="V2384" s="34" t="e">
        <f>VLOOKUP(Allocation[[#This Row],[SAP Contract number]],Shipments[[SAP Contract number]:[Contracted container weight]],2,FALSE)</f>
        <v>#N/A</v>
      </c>
      <c r="W2384" s="34" t="e">
        <f>VLOOKUP(Allocation[[#This Row],[SAP Contract number]],Shipments[[SAP Contract number]:[AAA Premium USD]],24,FALSE)</f>
        <v>#N/A</v>
      </c>
      <c r="X2384" s="34" t="e">
        <f>VLOOKUP(Allocation[[#This Row],[SAP Contract number]],Shipments[[SAP Contract number]:[RA Premium USD]],25,FALSE)</f>
        <v>#N/A</v>
      </c>
      <c r="Y2384" s="38">
        <f>Allocation[[#This Row],[Quantity Processed]]/Allocation[[#This Row],[Quantity allocated]]</f>
        <v>3.0301937809824246</v>
      </c>
      <c r="Z2384" s="34" t="b">
        <f>Allocation[[#This Row],[Quantity allocated]]&lt;=Allocation[[#This Row],[Quantity Processed]]</f>
        <v>1</v>
      </c>
    </row>
    <row r="2385" spans="1:26">
      <c r="A2385" s="247" t="s">
        <v>467</v>
      </c>
      <c r="B2385" s="210" t="s">
        <v>68</v>
      </c>
      <c r="C2385" s="254" t="s">
        <v>1711</v>
      </c>
      <c r="D2385" s="255">
        <v>12544</v>
      </c>
      <c r="E2385" s="211" t="s">
        <v>1962</v>
      </c>
      <c r="F2385" s="212">
        <v>43651</v>
      </c>
      <c r="G2385" s="213">
        <v>2.6</v>
      </c>
      <c r="H2385" s="256">
        <v>5143</v>
      </c>
      <c r="I2385" s="214">
        <v>1465999</v>
      </c>
      <c r="J2385" s="215">
        <v>20700</v>
      </c>
      <c r="K2385" s="212">
        <v>43651</v>
      </c>
      <c r="L2385" s="211" t="s">
        <v>1973</v>
      </c>
      <c r="M2385" s="216">
        <v>4615447218</v>
      </c>
      <c r="N2385" s="212"/>
      <c r="O2385" s="218"/>
      <c r="P2385" s="219"/>
      <c r="Q2385" s="34">
        <f>SUMIF(Allocation[Delivery ID],Allocation[[#This Row],[Delivery ID]],Allocation[Quantity Processed])</f>
        <v>28546</v>
      </c>
      <c r="R2385" s="61">
        <f>Allocation[[#This Row],[Total volume used]]/VLOOKUP(Allocation[[#This Row],[Delivery ID]],Delivery[[Delivery ID]:[Quantity delivered]],3,FALSE)</f>
        <v>0.79338521400778206</v>
      </c>
      <c r="S2385" s="34">
        <f>Allocation[[#This Row],[Quantity Processed]]/Allocation[[#This Row],[Dilution rate]]</f>
        <v>4824.6153846153848</v>
      </c>
      <c r="T2385" s="59">
        <f>SUMIF(Allocation[Delivery ID],Allocation[[#This Row],[Delivery ID]],Allocation[Quantity allocated])/SUMIF(Allocation[Delivery ID],Allocation[[#This Row],[Delivery ID]],Allocation[Volume available (kg)])</f>
        <v>1.0886143572621036</v>
      </c>
      <c r="U2385" s="61">
        <f>Allocation[[#This Row],[Total volume used]]/VLOOKUP(Allocation[[#This Row],[Delivery ID]],Delivery[[Delivery ID]:[Quantity delivered]],3,FALSE)</f>
        <v>0.79338521400778206</v>
      </c>
      <c r="V2385" s="34" t="e">
        <f>VLOOKUP(Allocation[[#This Row],[SAP Contract number]],Shipments[[SAP Contract number]:[Contracted container weight]],2,FALSE)</f>
        <v>#N/A</v>
      </c>
      <c r="W2385" s="34" t="e">
        <f>VLOOKUP(Allocation[[#This Row],[SAP Contract number]],Shipments[[SAP Contract number]:[AAA Premium USD]],24,FALSE)</f>
        <v>#N/A</v>
      </c>
      <c r="X2385" s="34" t="e">
        <f>VLOOKUP(Allocation[[#This Row],[SAP Contract number]],Shipments[[SAP Contract number]:[RA Premium USD]],25,FALSE)</f>
        <v>#N/A</v>
      </c>
      <c r="Y2385" s="38">
        <f>Allocation[[#This Row],[Quantity Processed]]/Allocation[[#This Row],[Quantity allocated]]</f>
        <v>2.4390433599066692</v>
      </c>
      <c r="Z2385" s="34" t="b">
        <f>Allocation[[#This Row],[Quantity allocated]]&lt;=Allocation[[#This Row],[Quantity Processed]]</f>
        <v>1</v>
      </c>
    </row>
    <row r="2386" spans="1:26">
      <c r="A2386" s="247" t="s">
        <v>467</v>
      </c>
      <c r="B2386" s="210" t="s">
        <v>68</v>
      </c>
      <c r="C2386" s="254" t="s">
        <v>1719</v>
      </c>
      <c r="D2386" s="255">
        <v>555</v>
      </c>
      <c r="E2386" s="211" t="s">
        <v>1962</v>
      </c>
      <c r="F2386" s="212">
        <v>43651</v>
      </c>
      <c r="G2386" s="213">
        <v>2.6</v>
      </c>
      <c r="H2386" s="256">
        <v>183</v>
      </c>
      <c r="I2386" s="214">
        <v>1465999</v>
      </c>
      <c r="J2386" s="215">
        <v>20700</v>
      </c>
      <c r="K2386" s="212">
        <v>43651</v>
      </c>
      <c r="L2386" s="211" t="s">
        <v>1973</v>
      </c>
      <c r="M2386" s="216">
        <v>4615447218</v>
      </c>
      <c r="N2386" s="212"/>
      <c r="O2386" s="218"/>
      <c r="P2386" s="219"/>
      <c r="Q2386" s="34">
        <f>SUMIF(Allocation[Delivery ID],Allocation[[#This Row],[Delivery ID]],Allocation[Quantity Processed])</f>
        <v>3770</v>
      </c>
      <c r="R2386" s="61">
        <f>Allocation[[#This Row],[Total volume used]]/VLOOKUP(Allocation[[#This Row],[Delivery ID]],Delivery[[Delivery ID]:[Quantity delivered]],3,FALSE)</f>
        <v>0.35938989513822689</v>
      </c>
      <c r="S2386" s="34">
        <f>Allocation[[#This Row],[Quantity Processed]]/Allocation[[#This Row],[Dilution rate]]</f>
        <v>213.46153846153845</v>
      </c>
      <c r="T2386" s="59">
        <f>SUMIF(Allocation[Delivery ID],Allocation[[#This Row],[Delivery ID]],Allocation[Quantity allocated])/SUMIF(Allocation[Delivery ID],Allocation[[#This Row],[Delivery ID]],Allocation[Volume available (kg)])</f>
        <v>0.90798524728226671</v>
      </c>
      <c r="U2386" s="61">
        <f>Allocation[[#This Row],[Total volume used]]/VLOOKUP(Allocation[[#This Row],[Delivery ID]],Delivery[[Delivery ID]:[Quantity delivered]],3,FALSE)</f>
        <v>0.35938989513822689</v>
      </c>
      <c r="V2386" s="34" t="e">
        <f>VLOOKUP(Allocation[[#This Row],[SAP Contract number]],Shipments[[SAP Contract number]:[Contracted container weight]],2,FALSE)</f>
        <v>#N/A</v>
      </c>
      <c r="W2386" s="34" t="e">
        <f>VLOOKUP(Allocation[[#This Row],[SAP Contract number]],Shipments[[SAP Contract number]:[AAA Premium USD]],24,FALSE)</f>
        <v>#N/A</v>
      </c>
      <c r="X2386" s="34" t="e">
        <f>VLOOKUP(Allocation[[#This Row],[SAP Contract number]],Shipments[[SAP Contract number]:[RA Premium USD]],25,FALSE)</f>
        <v>#N/A</v>
      </c>
      <c r="Y2386" s="38">
        <f>Allocation[[#This Row],[Quantity Processed]]/Allocation[[#This Row],[Quantity allocated]]</f>
        <v>3.0327868852459017</v>
      </c>
      <c r="Z2386" s="34" t="b">
        <f>Allocation[[#This Row],[Quantity allocated]]&lt;=Allocation[[#This Row],[Quantity Processed]]</f>
        <v>1</v>
      </c>
    </row>
    <row r="2387" spans="1:26">
      <c r="A2387" s="247" t="s">
        <v>467</v>
      </c>
      <c r="B2387" s="210" t="s">
        <v>68</v>
      </c>
      <c r="C2387" s="254" t="s">
        <v>1719</v>
      </c>
      <c r="D2387" s="255">
        <v>1206</v>
      </c>
      <c r="E2387" s="211" t="s">
        <v>1962</v>
      </c>
      <c r="F2387" s="212">
        <v>43651</v>
      </c>
      <c r="G2387" s="213">
        <v>2.6</v>
      </c>
      <c r="H2387" s="256">
        <v>398</v>
      </c>
      <c r="I2387" s="214">
        <v>1466000</v>
      </c>
      <c r="J2387" s="215">
        <v>20700</v>
      </c>
      <c r="K2387" s="212">
        <v>43651</v>
      </c>
      <c r="L2387" s="211" t="s">
        <v>1974</v>
      </c>
      <c r="M2387" s="216">
        <v>4615447218</v>
      </c>
      <c r="N2387" s="212"/>
      <c r="O2387" s="218"/>
      <c r="P2387" s="219"/>
      <c r="Q2387" s="34">
        <f>SUMIF(Allocation[Delivery ID],Allocation[[#This Row],[Delivery ID]],Allocation[Quantity Processed])</f>
        <v>3770</v>
      </c>
      <c r="R2387" s="61">
        <f>Allocation[[#This Row],[Total volume used]]/VLOOKUP(Allocation[[#This Row],[Delivery ID]],Delivery[[Delivery ID]:[Quantity delivered]],3,FALSE)</f>
        <v>0.35938989513822689</v>
      </c>
      <c r="S2387" s="34">
        <f>Allocation[[#This Row],[Quantity Processed]]/Allocation[[#This Row],[Dilution rate]]</f>
        <v>463.84615384615381</v>
      </c>
      <c r="T2387" s="59">
        <f>SUMIF(Allocation[Delivery ID],Allocation[[#This Row],[Delivery ID]],Allocation[Quantity allocated])/SUMIF(Allocation[Delivery ID],Allocation[[#This Row],[Delivery ID]],Allocation[Volume available (kg)])</f>
        <v>0.90798524728226671</v>
      </c>
      <c r="U2387" s="61">
        <f>Allocation[[#This Row],[Total volume used]]/VLOOKUP(Allocation[[#This Row],[Delivery ID]],Delivery[[Delivery ID]:[Quantity delivered]],3,FALSE)</f>
        <v>0.35938989513822689</v>
      </c>
      <c r="V2387" s="34" t="e">
        <f>VLOOKUP(Allocation[[#This Row],[SAP Contract number]],Shipments[[SAP Contract number]:[Contracted container weight]],2,FALSE)</f>
        <v>#N/A</v>
      </c>
      <c r="W2387" s="34" t="e">
        <f>VLOOKUP(Allocation[[#This Row],[SAP Contract number]],Shipments[[SAP Contract number]:[AAA Premium USD]],24,FALSE)</f>
        <v>#N/A</v>
      </c>
      <c r="X2387" s="34" t="e">
        <f>VLOOKUP(Allocation[[#This Row],[SAP Contract number]],Shipments[[SAP Contract number]:[RA Premium USD]],25,FALSE)</f>
        <v>#N/A</v>
      </c>
      <c r="Y2387" s="38">
        <f>Allocation[[#This Row],[Quantity Processed]]/Allocation[[#This Row],[Quantity allocated]]</f>
        <v>3.0301507537688441</v>
      </c>
      <c r="Z2387" s="34" t="b">
        <f>Allocation[[#This Row],[Quantity allocated]]&lt;=Allocation[[#This Row],[Quantity Processed]]</f>
        <v>1</v>
      </c>
    </row>
    <row r="2388" spans="1:26">
      <c r="A2388" s="247" t="s">
        <v>467</v>
      </c>
      <c r="B2388" s="210" t="s">
        <v>68</v>
      </c>
      <c r="C2388" s="254" t="s">
        <v>1734</v>
      </c>
      <c r="D2388" s="255">
        <v>13336</v>
      </c>
      <c r="E2388" s="211" t="s">
        <v>1962</v>
      </c>
      <c r="F2388" s="212">
        <v>43651</v>
      </c>
      <c r="G2388" s="213">
        <v>2.6</v>
      </c>
      <c r="H2388" s="256">
        <v>4401</v>
      </c>
      <c r="I2388" s="214">
        <v>1466000</v>
      </c>
      <c r="J2388" s="215">
        <v>20700</v>
      </c>
      <c r="K2388" s="212">
        <v>43651</v>
      </c>
      <c r="L2388" s="211" t="s">
        <v>1974</v>
      </c>
      <c r="M2388" s="216">
        <v>4615447218</v>
      </c>
      <c r="N2388" s="212"/>
      <c r="O2388" s="218"/>
      <c r="P2388" s="219"/>
      <c r="Q2388" s="34">
        <f>SUMIF(Allocation[Delivery ID],Allocation[[#This Row],[Delivery ID]],Allocation[Quantity Processed])</f>
        <v>29457</v>
      </c>
      <c r="R2388" s="61">
        <f>Allocation[[#This Row],[Total volume used]]/VLOOKUP(Allocation[[#This Row],[Delivery ID]],Delivery[[Delivery ID]:[Quantity delivered]],3,FALSE)</f>
        <v>0.82651515151515154</v>
      </c>
      <c r="S2388" s="34">
        <f>Allocation[[#This Row],[Quantity Processed]]/Allocation[[#This Row],[Dilution rate]]</f>
        <v>5129.2307692307686</v>
      </c>
      <c r="T2388" s="59">
        <f>SUMIF(Allocation[Delivery ID],Allocation[[#This Row],[Delivery ID]],Allocation[Quantity allocated])/SUMIF(Allocation[Delivery ID],Allocation[[#This Row],[Delivery ID]],Allocation[Volume available (kg)])</f>
        <v>0.87661867441478591</v>
      </c>
      <c r="U2388" s="61">
        <f>Allocation[[#This Row],[Total volume used]]/VLOOKUP(Allocation[[#This Row],[Delivery ID]],Delivery[[Delivery ID]:[Quantity delivered]],3,FALSE)</f>
        <v>0.82651515151515154</v>
      </c>
      <c r="V2388" s="34" t="e">
        <f>VLOOKUP(Allocation[[#This Row],[SAP Contract number]],Shipments[[SAP Contract number]:[Contracted container weight]],2,FALSE)</f>
        <v>#N/A</v>
      </c>
      <c r="W2388" s="34" t="e">
        <f>VLOOKUP(Allocation[[#This Row],[SAP Contract number]],Shipments[[SAP Contract number]:[AAA Premium USD]],24,FALSE)</f>
        <v>#N/A</v>
      </c>
      <c r="X2388" s="34" t="e">
        <f>VLOOKUP(Allocation[[#This Row],[SAP Contract number]],Shipments[[SAP Contract number]:[RA Premium USD]],25,FALSE)</f>
        <v>#N/A</v>
      </c>
      <c r="Y2388" s="38">
        <f>Allocation[[#This Row],[Quantity Processed]]/Allocation[[#This Row],[Quantity allocated]]</f>
        <v>3.0302204044535332</v>
      </c>
      <c r="Z2388" s="34" t="b">
        <f>Allocation[[#This Row],[Quantity allocated]]&lt;=Allocation[[#This Row],[Quantity Processed]]</f>
        <v>1</v>
      </c>
    </row>
    <row r="2389" spans="1:26">
      <c r="A2389" s="247" t="s">
        <v>467</v>
      </c>
      <c r="B2389" s="210" t="s">
        <v>68</v>
      </c>
      <c r="C2389" s="254" t="s">
        <v>1735</v>
      </c>
      <c r="D2389" s="255">
        <v>2783</v>
      </c>
      <c r="E2389" s="211" t="s">
        <v>1962</v>
      </c>
      <c r="F2389" s="212">
        <v>43651</v>
      </c>
      <c r="G2389" s="213">
        <v>2.6</v>
      </c>
      <c r="H2389" s="256">
        <v>835</v>
      </c>
      <c r="I2389" s="214">
        <v>1466000</v>
      </c>
      <c r="J2389" s="215">
        <v>20700</v>
      </c>
      <c r="K2389" s="212">
        <v>43651</v>
      </c>
      <c r="L2389" s="211" t="s">
        <v>1974</v>
      </c>
      <c r="M2389" s="216">
        <v>4615447218</v>
      </c>
      <c r="N2389" s="212"/>
      <c r="O2389" s="218"/>
      <c r="P2389" s="219"/>
      <c r="Q2389" s="34">
        <f>SUMIF(Allocation[Delivery ID],Allocation[[#This Row],[Delivery ID]],Allocation[Quantity Processed])</f>
        <v>5960</v>
      </c>
      <c r="R2389" s="61">
        <f>Allocation[[#This Row],[Total volume used]]/VLOOKUP(Allocation[[#This Row],[Delivery ID]],Delivery[[Delivery ID]:[Quantity delivered]],3,FALSE)</f>
        <v>0.39496355202120609</v>
      </c>
      <c r="S2389" s="34">
        <f>Allocation[[#This Row],[Quantity Processed]]/Allocation[[#This Row],[Dilution rate]]</f>
        <v>1070.3846153846152</v>
      </c>
      <c r="T2389" s="59">
        <f>SUMIF(Allocation[Delivery ID],Allocation[[#This Row],[Delivery ID]],Allocation[Quantity allocated])/SUMIF(Allocation[Delivery ID],Allocation[[#This Row],[Delivery ID]],Allocation[Volume available (kg)])</f>
        <v>0.82552216962935288</v>
      </c>
      <c r="U2389" s="61">
        <f>Allocation[[#This Row],[Total volume used]]/VLOOKUP(Allocation[[#This Row],[Delivery ID]],Delivery[[Delivery ID]:[Quantity delivered]],3,FALSE)</f>
        <v>0.39496355202120609</v>
      </c>
      <c r="V2389" s="34" t="e">
        <f>VLOOKUP(Allocation[[#This Row],[SAP Contract number]],Shipments[[SAP Contract number]:[Contracted container weight]],2,FALSE)</f>
        <v>#N/A</v>
      </c>
      <c r="W2389" s="34" t="e">
        <f>VLOOKUP(Allocation[[#This Row],[SAP Contract number]],Shipments[[SAP Contract number]:[AAA Premium USD]],24,FALSE)</f>
        <v>#N/A</v>
      </c>
      <c r="X2389" s="34" t="e">
        <f>VLOOKUP(Allocation[[#This Row],[SAP Contract number]],Shipments[[SAP Contract number]:[RA Premium USD]],25,FALSE)</f>
        <v>#N/A</v>
      </c>
      <c r="Y2389" s="38">
        <f>Allocation[[#This Row],[Quantity Processed]]/Allocation[[#This Row],[Quantity allocated]]</f>
        <v>3.3329341317365269</v>
      </c>
      <c r="Z2389" s="34" t="b">
        <f>Allocation[[#This Row],[Quantity allocated]]&lt;=Allocation[[#This Row],[Quantity Processed]]</f>
        <v>1</v>
      </c>
    </row>
    <row r="2390" spans="1:26">
      <c r="A2390" s="247" t="s">
        <v>467</v>
      </c>
      <c r="B2390" s="210" t="s">
        <v>68</v>
      </c>
      <c r="C2390" s="254" t="s">
        <v>1736</v>
      </c>
      <c r="D2390" s="255">
        <v>4527</v>
      </c>
      <c r="E2390" s="211" t="s">
        <v>1962</v>
      </c>
      <c r="F2390" s="212">
        <v>43651</v>
      </c>
      <c r="G2390" s="213">
        <v>2.6</v>
      </c>
      <c r="H2390" s="256">
        <v>1992</v>
      </c>
      <c r="I2390" s="214">
        <v>1466000</v>
      </c>
      <c r="J2390" s="215">
        <v>20700</v>
      </c>
      <c r="K2390" s="212">
        <v>43651</v>
      </c>
      <c r="L2390" s="211" t="s">
        <v>1974</v>
      </c>
      <c r="M2390" s="216">
        <v>4615447218</v>
      </c>
      <c r="N2390" s="212"/>
      <c r="O2390" s="218"/>
      <c r="P2390" s="219"/>
      <c r="Q2390" s="34">
        <f>SUMIF(Allocation[Delivery ID],Allocation[[#This Row],[Delivery ID]],Allocation[Quantity Processed])</f>
        <v>9861</v>
      </c>
      <c r="R2390" s="61">
        <f>Allocation[[#This Row],[Total volume used]]/VLOOKUP(Allocation[[#This Row],[Delivery ID]],Delivery[[Delivery ID]:[Quantity delivered]],3,FALSE)</f>
        <v>0.70764262648008613</v>
      </c>
      <c r="S2390" s="34">
        <f>Allocation[[#This Row],[Quantity Processed]]/Allocation[[#This Row],[Dilution rate]]</f>
        <v>1741.1538461538462</v>
      </c>
      <c r="T2390" s="59">
        <f>SUMIF(Allocation[Delivery ID],Allocation[[#This Row],[Delivery ID]],Allocation[Quantity allocated])/SUMIF(Allocation[Delivery ID],Allocation[[#This Row],[Delivery ID]],Allocation[Volume available (kg)])</f>
        <v>1.1674305228179509</v>
      </c>
      <c r="U2390" s="61">
        <f>Allocation[[#This Row],[Total volume used]]/VLOOKUP(Allocation[[#This Row],[Delivery ID]],Delivery[[Delivery ID]:[Quantity delivered]],3,FALSE)</f>
        <v>0.70764262648008613</v>
      </c>
      <c r="V2390" s="34" t="e">
        <f>VLOOKUP(Allocation[[#This Row],[SAP Contract number]],Shipments[[SAP Contract number]:[Contracted container weight]],2,FALSE)</f>
        <v>#N/A</v>
      </c>
      <c r="W2390" s="34" t="e">
        <f>VLOOKUP(Allocation[[#This Row],[SAP Contract number]],Shipments[[SAP Contract number]:[AAA Premium USD]],24,FALSE)</f>
        <v>#N/A</v>
      </c>
      <c r="X2390" s="34" t="e">
        <f>VLOOKUP(Allocation[[#This Row],[SAP Contract number]],Shipments[[SAP Contract number]:[RA Premium USD]],25,FALSE)</f>
        <v>#N/A</v>
      </c>
      <c r="Y2390" s="38">
        <f>Allocation[[#This Row],[Quantity Processed]]/Allocation[[#This Row],[Quantity allocated]]</f>
        <v>2.2725903614457832</v>
      </c>
      <c r="Z2390" s="34" t="b">
        <f>Allocation[[#This Row],[Quantity allocated]]&lt;=Allocation[[#This Row],[Quantity Processed]]</f>
        <v>1</v>
      </c>
    </row>
    <row r="2391" spans="1:26">
      <c r="A2391" s="247" t="s">
        <v>467</v>
      </c>
      <c r="B2391" s="210" t="s">
        <v>68</v>
      </c>
      <c r="C2391" s="254" t="s">
        <v>1737</v>
      </c>
      <c r="D2391" s="255">
        <v>7984</v>
      </c>
      <c r="E2391" s="211" t="s">
        <v>1962</v>
      </c>
      <c r="F2391" s="212">
        <v>43651</v>
      </c>
      <c r="G2391" s="213">
        <v>2.6</v>
      </c>
      <c r="H2391" s="256">
        <v>3513</v>
      </c>
      <c r="I2391" s="214">
        <v>1466000</v>
      </c>
      <c r="J2391" s="215">
        <v>20700</v>
      </c>
      <c r="K2391" s="212">
        <v>43651</v>
      </c>
      <c r="L2391" s="211" t="s">
        <v>1974</v>
      </c>
      <c r="M2391" s="216">
        <v>4615447218</v>
      </c>
      <c r="N2391" s="212"/>
      <c r="O2391" s="218"/>
      <c r="P2391" s="219"/>
      <c r="Q2391" s="34">
        <f>SUMIF(Allocation[Delivery ID],Allocation[[#This Row],[Delivery ID]],Allocation[Quantity Processed])</f>
        <v>17393</v>
      </c>
      <c r="R2391" s="61">
        <f>Allocation[[#This Row],[Total volume used]]/VLOOKUP(Allocation[[#This Row],[Delivery ID]],Delivery[[Delivery ID]:[Quantity delivered]],3,FALSE)</f>
        <v>0.7076941856207023</v>
      </c>
      <c r="S2391" s="34">
        <f>Allocation[[#This Row],[Quantity Processed]]/Allocation[[#This Row],[Dilution rate]]</f>
        <v>3070.7692307692305</v>
      </c>
      <c r="T2391" s="59">
        <f>SUMIF(Allocation[Delivery ID],Allocation[[#This Row],[Delivery ID]],Allocation[Quantity allocated])/SUMIF(Allocation[Delivery ID],Allocation[[#This Row],[Delivery ID]],Allocation[Volume available (kg)])</f>
        <v>1.1674017062072743</v>
      </c>
      <c r="U2391" s="61">
        <f>Allocation[[#This Row],[Total volume used]]/VLOOKUP(Allocation[[#This Row],[Delivery ID]],Delivery[[Delivery ID]:[Quantity delivered]],3,FALSE)</f>
        <v>0.7076941856207023</v>
      </c>
      <c r="V2391" s="34" t="e">
        <f>VLOOKUP(Allocation[[#This Row],[SAP Contract number]],Shipments[[SAP Contract number]:[Contracted container weight]],2,FALSE)</f>
        <v>#N/A</v>
      </c>
      <c r="W2391" s="34" t="e">
        <f>VLOOKUP(Allocation[[#This Row],[SAP Contract number]],Shipments[[SAP Contract number]:[AAA Premium USD]],24,FALSE)</f>
        <v>#N/A</v>
      </c>
      <c r="X2391" s="34" t="e">
        <f>VLOOKUP(Allocation[[#This Row],[SAP Contract number]],Shipments[[SAP Contract number]:[RA Premium USD]],25,FALSE)</f>
        <v>#N/A</v>
      </c>
      <c r="Y2391" s="38">
        <f>Allocation[[#This Row],[Quantity Processed]]/Allocation[[#This Row],[Quantity allocated]]</f>
        <v>2.2727013948192427</v>
      </c>
      <c r="Z2391" s="34" t="b">
        <f>Allocation[[#This Row],[Quantity allocated]]&lt;=Allocation[[#This Row],[Quantity Processed]]</f>
        <v>1</v>
      </c>
    </row>
    <row r="2392" spans="1:26">
      <c r="A2392" s="247" t="s">
        <v>467</v>
      </c>
      <c r="B2392" s="210" t="s">
        <v>68</v>
      </c>
      <c r="C2392" s="254" t="s">
        <v>1741</v>
      </c>
      <c r="D2392" s="255">
        <v>1125</v>
      </c>
      <c r="E2392" s="211" t="s">
        <v>1962</v>
      </c>
      <c r="F2392" s="212">
        <v>43651</v>
      </c>
      <c r="G2392" s="213">
        <v>2.6</v>
      </c>
      <c r="H2392" s="256">
        <v>574</v>
      </c>
      <c r="I2392" s="214">
        <v>1466000</v>
      </c>
      <c r="J2392" s="215">
        <v>20700</v>
      </c>
      <c r="K2392" s="212">
        <v>43651</v>
      </c>
      <c r="L2392" s="211" t="s">
        <v>1974</v>
      </c>
      <c r="M2392" s="216">
        <v>4615447218</v>
      </c>
      <c r="N2392" s="212"/>
      <c r="O2392" s="218"/>
      <c r="P2392" s="219"/>
      <c r="Q2392" s="34">
        <f>SUMIF(Allocation[Delivery ID],Allocation[[#This Row],[Delivery ID]],Allocation[Quantity Processed])</f>
        <v>29075</v>
      </c>
      <c r="R2392" s="61">
        <f>Allocation[[#This Row],[Total volume used]]/VLOOKUP(Allocation[[#This Row],[Delivery ID]],Delivery[[Delivery ID]:[Quantity delivered]],3,FALSE)</f>
        <v>0.76836680761099363</v>
      </c>
      <c r="S2392" s="34">
        <f>Allocation[[#This Row],[Quantity Processed]]/Allocation[[#This Row],[Dilution rate]]</f>
        <v>432.69230769230768</v>
      </c>
      <c r="T2392" s="59">
        <f>SUMIF(Allocation[Delivery ID],Allocation[[#This Row],[Delivery ID]],Allocation[Quantity allocated])/SUMIF(Allocation[Delivery ID],Allocation[[#This Row],[Delivery ID]],Allocation[Volume available (kg)])</f>
        <v>1.3571059936030028</v>
      </c>
      <c r="U2392" s="61">
        <f>Allocation[[#This Row],[Total volume used]]/VLOOKUP(Allocation[[#This Row],[Delivery ID]],Delivery[[Delivery ID]:[Quantity delivered]],3,FALSE)</f>
        <v>0.76836680761099363</v>
      </c>
      <c r="V2392" s="34" t="e">
        <f>VLOOKUP(Allocation[[#This Row],[SAP Contract number]],Shipments[[SAP Contract number]:[Contracted container weight]],2,FALSE)</f>
        <v>#N/A</v>
      </c>
      <c r="W2392" s="34" t="e">
        <f>VLOOKUP(Allocation[[#This Row],[SAP Contract number]],Shipments[[SAP Contract number]:[AAA Premium USD]],24,FALSE)</f>
        <v>#N/A</v>
      </c>
      <c r="X2392" s="34" t="e">
        <f>VLOOKUP(Allocation[[#This Row],[SAP Contract number]],Shipments[[SAP Contract number]:[RA Premium USD]],25,FALSE)</f>
        <v>#N/A</v>
      </c>
      <c r="Y2392" s="38">
        <f>Allocation[[#This Row],[Quantity Processed]]/Allocation[[#This Row],[Quantity allocated]]</f>
        <v>1.9599303135888502</v>
      </c>
      <c r="Z2392" s="34" t="b">
        <f>Allocation[[#This Row],[Quantity allocated]]&lt;=Allocation[[#This Row],[Quantity Processed]]</f>
        <v>1</v>
      </c>
    </row>
    <row r="2393" spans="1:26">
      <c r="A2393" s="247" t="s">
        <v>467</v>
      </c>
      <c r="B2393" s="210" t="s">
        <v>68</v>
      </c>
      <c r="C2393" s="254" t="s">
        <v>1743</v>
      </c>
      <c r="D2393" s="255">
        <v>927</v>
      </c>
      <c r="E2393" s="211" t="s">
        <v>1962</v>
      </c>
      <c r="F2393" s="212">
        <v>43651</v>
      </c>
      <c r="G2393" s="213">
        <v>2.6</v>
      </c>
      <c r="H2393" s="256">
        <v>473</v>
      </c>
      <c r="I2393" s="214">
        <v>1466000</v>
      </c>
      <c r="J2393" s="215">
        <v>20700</v>
      </c>
      <c r="K2393" s="212">
        <v>43651</v>
      </c>
      <c r="L2393" s="211" t="s">
        <v>1974</v>
      </c>
      <c r="M2393" s="216">
        <v>4615447218</v>
      </c>
      <c r="N2393" s="212"/>
      <c r="O2393" s="218"/>
      <c r="P2393" s="219"/>
      <c r="Q2393" s="34">
        <f>SUMIF(Allocation[Delivery ID],Allocation[[#This Row],[Delivery ID]],Allocation[Quantity Processed])</f>
        <v>23963</v>
      </c>
      <c r="R2393" s="61">
        <f>Allocation[[#This Row],[Total volume used]]/VLOOKUP(Allocation[[#This Row],[Delivery ID]],Delivery[[Delivery ID]:[Quantity delivered]],3,FALSE)</f>
        <v>0.76829111894838087</v>
      </c>
      <c r="S2393" s="34">
        <f>Allocation[[#This Row],[Quantity Processed]]/Allocation[[#This Row],[Dilution rate]]</f>
        <v>356.53846153846155</v>
      </c>
      <c r="T2393" s="59">
        <f>SUMIF(Allocation[Delivery ID],Allocation[[#This Row],[Delivery ID]],Allocation[Quantity allocated])/SUMIF(Allocation[Delivery ID],Allocation[[#This Row],[Delivery ID]],Allocation[Volume available (kg)])</f>
        <v>1.3571155361370277</v>
      </c>
      <c r="U2393" s="61">
        <f>Allocation[[#This Row],[Total volume used]]/VLOOKUP(Allocation[[#This Row],[Delivery ID]],Delivery[[Delivery ID]:[Quantity delivered]],3,FALSE)</f>
        <v>0.76829111894838087</v>
      </c>
      <c r="V2393" s="34" t="e">
        <f>VLOOKUP(Allocation[[#This Row],[SAP Contract number]],Shipments[[SAP Contract number]:[Contracted container weight]],2,FALSE)</f>
        <v>#N/A</v>
      </c>
      <c r="W2393" s="34" t="e">
        <f>VLOOKUP(Allocation[[#This Row],[SAP Contract number]],Shipments[[SAP Contract number]:[AAA Premium USD]],24,FALSE)</f>
        <v>#N/A</v>
      </c>
      <c r="X2393" s="34" t="e">
        <f>VLOOKUP(Allocation[[#This Row],[SAP Contract number]],Shipments[[SAP Contract number]:[RA Premium USD]],25,FALSE)</f>
        <v>#N/A</v>
      </c>
      <c r="Y2393" s="38">
        <f>Allocation[[#This Row],[Quantity Processed]]/Allocation[[#This Row],[Quantity allocated]]</f>
        <v>1.959830866807611</v>
      </c>
      <c r="Z2393" s="34" t="b">
        <f>Allocation[[#This Row],[Quantity allocated]]&lt;=Allocation[[#This Row],[Quantity Processed]]</f>
        <v>1</v>
      </c>
    </row>
    <row r="2394" spans="1:26">
      <c r="A2394" s="247" t="s">
        <v>467</v>
      </c>
      <c r="B2394" s="210" t="s">
        <v>68</v>
      </c>
      <c r="C2394" s="254" t="s">
        <v>1750</v>
      </c>
      <c r="D2394" s="255">
        <v>1141</v>
      </c>
      <c r="E2394" s="211" t="s">
        <v>1962</v>
      </c>
      <c r="F2394" s="212">
        <v>43651</v>
      </c>
      <c r="G2394" s="213">
        <v>2.6</v>
      </c>
      <c r="H2394" s="256">
        <v>582</v>
      </c>
      <c r="I2394" s="214">
        <v>1466000</v>
      </c>
      <c r="J2394" s="215">
        <v>20700</v>
      </c>
      <c r="K2394" s="212">
        <v>43651</v>
      </c>
      <c r="L2394" s="211" t="s">
        <v>1974</v>
      </c>
      <c r="M2394" s="216">
        <v>4615447218</v>
      </c>
      <c r="N2394" s="212"/>
      <c r="O2394" s="218"/>
      <c r="P2394" s="219"/>
      <c r="Q2394" s="34">
        <f>SUMIF(Allocation[Delivery ID],Allocation[[#This Row],[Delivery ID]],Allocation[Quantity Processed])</f>
        <v>29466</v>
      </c>
      <c r="R2394" s="61">
        <f>Allocation[[#This Row],[Total volume used]]/VLOOKUP(Allocation[[#This Row],[Delivery ID]],Delivery[[Delivery ID]:[Quantity delivered]],3,FALSE)</f>
        <v>0.76834419817470667</v>
      </c>
      <c r="S2394" s="34">
        <f>Allocation[[#This Row],[Quantity Processed]]/Allocation[[#This Row],[Dilution rate]]</f>
        <v>438.84615384615381</v>
      </c>
      <c r="T2394" s="59">
        <f>SUMIF(Allocation[Delivery ID],Allocation[[#This Row],[Delivery ID]],Allocation[Quantity allocated])/SUMIF(Allocation[Delivery ID],Allocation[[#This Row],[Delivery ID]],Allocation[Volume available (kg)])</f>
        <v>1.3571585496452938</v>
      </c>
      <c r="U2394" s="61">
        <f>Allocation[[#This Row],[Total volume used]]/VLOOKUP(Allocation[[#This Row],[Delivery ID]],Delivery[[Delivery ID]:[Quantity delivered]],3,FALSE)</f>
        <v>0.76834419817470667</v>
      </c>
      <c r="V2394" s="34" t="e">
        <f>VLOOKUP(Allocation[[#This Row],[SAP Contract number]],Shipments[[SAP Contract number]:[Contracted container weight]],2,FALSE)</f>
        <v>#N/A</v>
      </c>
      <c r="W2394" s="34" t="e">
        <f>VLOOKUP(Allocation[[#This Row],[SAP Contract number]],Shipments[[SAP Contract number]:[AAA Premium USD]],24,FALSE)</f>
        <v>#N/A</v>
      </c>
      <c r="X2394" s="34" t="e">
        <f>VLOOKUP(Allocation[[#This Row],[SAP Contract number]],Shipments[[SAP Contract number]:[RA Premium USD]],25,FALSE)</f>
        <v>#N/A</v>
      </c>
      <c r="Y2394" s="38">
        <f>Allocation[[#This Row],[Quantity Processed]]/Allocation[[#This Row],[Quantity allocated]]</f>
        <v>1.9604810996563573</v>
      </c>
      <c r="Z2394" s="34" t="b">
        <f>Allocation[[#This Row],[Quantity allocated]]&lt;=Allocation[[#This Row],[Quantity Processed]]</f>
        <v>1</v>
      </c>
    </row>
    <row r="2395" spans="1:26">
      <c r="A2395" s="247" t="s">
        <v>467</v>
      </c>
      <c r="B2395" s="210" t="s">
        <v>68</v>
      </c>
      <c r="C2395" s="254" t="s">
        <v>1751</v>
      </c>
      <c r="D2395" s="255">
        <v>337</v>
      </c>
      <c r="E2395" s="211" t="s">
        <v>1962</v>
      </c>
      <c r="F2395" s="212">
        <v>43651</v>
      </c>
      <c r="G2395" s="213">
        <v>2.6</v>
      </c>
      <c r="H2395" s="256">
        <v>172</v>
      </c>
      <c r="I2395" s="214">
        <v>1466000</v>
      </c>
      <c r="J2395" s="215">
        <v>20700</v>
      </c>
      <c r="K2395" s="212">
        <v>43651</v>
      </c>
      <c r="L2395" s="211" t="s">
        <v>1974</v>
      </c>
      <c r="M2395" s="216">
        <v>4615447218</v>
      </c>
      <c r="N2395" s="212"/>
      <c r="O2395" s="218"/>
      <c r="P2395" s="219"/>
      <c r="Q2395" s="34">
        <f>SUMIF(Allocation[Delivery ID],Allocation[[#This Row],[Delivery ID]],Allocation[Quantity Processed])</f>
        <v>7303</v>
      </c>
      <c r="R2395" s="61">
        <f>Allocation[[#This Row],[Total volume used]]/VLOOKUP(Allocation[[#This Row],[Delivery ID]],Delivery[[Delivery ID]:[Quantity delivered]],3,FALSE)</f>
        <v>0.64315279612505505</v>
      </c>
      <c r="S2395" s="34">
        <f>Allocation[[#This Row],[Quantity Processed]]/Allocation[[#This Row],[Dilution rate]]</f>
        <v>129.61538461538461</v>
      </c>
      <c r="T2395" s="59">
        <f>SUMIF(Allocation[Delivery ID],Allocation[[#This Row],[Delivery ID]],Allocation[Quantity allocated])/SUMIF(Allocation[Delivery ID],Allocation[[#This Row],[Delivery ID]],Allocation[Volume available (kg)])</f>
        <v>1.3614462973248966</v>
      </c>
      <c r="U2395" s="61">
        <f>Allocation[[#This Row],[Total volume used]]/VLOOKUP(Allocation[[#This Row],[Delivery ID]],Delivery[[Delivery ID]:[Quantity delivered]],3,FALSE)</f>
        <v>0.64315279612505505</v>
      </c>
      <c r="V2395" s="34" t="e">
        <f>VLOOKUP(Allocation[[#This Row],[SAP Contract number]],Shipments[[SAP Contract number]:[Contracted container weight]],2,FALSE)</f>
        <v>#N/A</v>
      </c>
      <c r="W2395" s="34" t="e">
        <f>VLOOKUP(Allocation[[#This Row],[SAP Contract number]],Shipments[[SAP Contract number]:[AAA Premium USD]],24,FALSE)</f>
        <v>#N/A</v>
      </c>
      <c r="X2395" s="34" t="e">
        <f>VLOOKUP(Allocation[[#This Row],[SAP Contract number]],Shipments[[SAP Contract number]:[RA Premium USD]],25,FALSE)</f>
        <v>#N/A</v>
      </c>
      <c r="Y2395" s="38">
        <f>Allocation[[#This Row],[Quantity Processed]]/Allocation[[#This Row],[Quantity allocated]]</f>
        <v>1.9593023255813953</v>
      </c>
      <c r="Z2395" s="34" t="b">
        <f>Allocation[[#This Row],[Quantity allocated]]&lt;=Allocation[[#This Row],[Quantity Processed]]</f>
        <v>1</v>
      </c>
    </row>
    <row r="2396" spans="1:26">
      <c r="A2396" s="247" t="s">
        <v>467</v>
      </c>
      <c r="B2396" s="210" t="s">
        <v>68</v>
      </c>
      <c r="C2396" s="254" t="s">
        <v>1752</v>
      </c>
      <c r="D2396" s="255">
        <v>788</v>
      </c>
      <c r="E2396" s="211" t="s">
        <v>1962</v>
      </c>
      <c r="F2396" s="212">
        <v>43651</v>
      </c>
      <c r="G2396" s="213">
        <v>2.6</v>
      </c>
      <c r="H2396" s="256">
        <v>402</v>
      </c>
      <c r="I2396" s="214">
        <v>1466000</v>
      </c>
      <c r="J2396" s="215">
        <v>20700</v>
      </c>
      <c r="K2396" s="212">
        <v>43651</v>
      </c>
      <c r="L2396" s="211" t="s">
        <v>1974</v>
      </c>
      <c r="M2396" s="216">
        <v>4615447218</v>
      </c>
      <c r="N2396" s="212"/>
      <c r="O2396" s="218"/>
      <c r="P2396" s="219"/>
      <c r="Q2396" s="34">
        <f>SUMIF(Allocation[Delivery ID],Allocation[[#This Row],[Delivery ID]],Allocation[Quantity Processed])</f>
        <v>18343</v>
      </c>
      <c r="R2396" s="61">
        <f>Allocation[[#This Row],[Total volume used]]/VLOOKUP(Allocation[[#This Row],[Delivery ID]],Delivery[[Delivery ID]:[Quantity delivered]],3,FALSE)</f>
        <v>0.69231930552934517</v>
      </c>
      <c r="S2396" s="34">
        <f>Allocation[[#This Row],[Quantity Processed]]/Allocation[[#This Row],[Dilution rate]]</f>
        <v>303.07692307692309</v>
      </c>
      <c r="T2396" s="59">
        <f>SUMIF(Allocation[Delivery ID],Allocation[[#This Row],[Delivery ID]],Allocation[Quantity allocated])/SUMIF(Allocation[Delivery ID],Allocation[[#This Row],[Delivery ID]],Allocation[Volume available (kg)])</f>
        <v>1.3616716107171336</v>
      </c>
      <c r="U2396" s="61">
        <f>Allocation[[#This Row],[Total volume used]]/VLOOKUP(Allocation[[#This Row],[Delivery ID]],Delivery[[Delivery ID]:[Quantity delivered]],3,FALSE)</f>
        <v>0.69231930552934517</v>
      </c>
      <c r="V2396" s="34" t="e">
        <f>VLOOKUP(Allocation[[#This Row],[SAP Contract number]],Shipments[[SAP Contract number]:[Contracted container weight]],2,FALSE)</f>
        <v>#N/A</v>
      </c>
      <c r="W2396" s="34" t="e">
        <f>VLOOKUP(Allocation[[#This Row],[SAP Contract number]],Shipments[[SAP Contract number]:[AAA Premium USD]],24,FALSE)</f>
        <v>#N/A</v>
      </c>
      <c r="X2396" s="34" t="e">
        <f>VLOOKUP(Allocation[[#This Row],[SAP Contract number]],Shipments[[SAP Contract number]:[RA Premium USD]],25,FALSE)</f>
        <v>#N/A</v>
      </c>
      <c r="Y2396" s="38">
        <f>Allocation[[#This Row],[Quantity Processed]]/Allocation[[#This Row],[Quantity allocated]]</f>
        <v>1.9601990049751243</v>
      </c>
      <c r="Z2396" s="34" t="b">
        <f>Allocation[[#This Row],[Quantity allocated]]&lt;=Allocation[[#This Row],[Quantity Processed]]</f>
        <v>1</v>
      </c>
    </row>
    <row r="2397" spans="1:26">
      <c r="A2397" s="247" t="s">
        <v>467</v>
      </c>
      <c r="B2397" s="210" t="s">
        <v>68</v>
      </c>
      <c r="C2397" s="254" t="s">
        <v>1753</v>
      </c>
      <c r="D2397" s="255">
        <v>301.5</v>
      </c>
      <c r="E2397" s="211" t="s">
        <v>1962</v>
      </c>
      <c r="F2397" s="212">
        <v>43651</v>
      </c>
      <c r="G2397" s="213">
        <v>2.6</v>
      </c>
      <c r="H2397" s="256">
        <v>154</v>
      </c>
      <c r="I2397" s="214">
        <v>1466000</v>
      </c>
      <c r="J2397" s="215">
        <v>20700</v>
      </c>
      <c r="K2397" s="212">
        <v>43651</v>
      </c>
      <c r="L2397" s="211" t="s">
        <v>1974</v>
      </c>
      <c r="M2397" s="216">
        <v>4615447218</v>
      </c>
      <c r="N2397" s="212"/>
      <c r="O2397" s="218"/>
      <c r="P2397" s="219"/>
      <c r="Q2397" s="34">
        <f>SUMIF(Allocation[Delivery ID],Allocation[[#This Row],[Delivery ID]],Allocation[Quantity Processed])</f>
        <v>775.5</v>
      </c>
      <c r="R2397" s="61">
        <f>Allocation[[#This Row],[Total volume used]]/VLOOKUP(Allocation[[#This Row],[Delivery ID]],Delivery[[Delivery ID]:[Quantity delivered]],3,FALSE)</f>
        <v>1</v>
      </c>
      <c r="S2397" s="34">
        <f>Allocation[[#This Row],[Quantity Processed]]/Allocation[[#This Row],[Dilution rate]]</f>
        <v>115.96153846153845</v>
      </c>
      <c r="T2397" s="59">
        <f>SUMIF(Allocation[Delivery ID],Allocation[[#This Row],[Delivery ID]],Allocation[Quantity allocated])/SUMIF(Allocation[Delivery ID],Allocation[[#This Row],[Delivery ID]],Allocation[Volume available (kg)])</f>
        <v>1.3500316675137278</v>
      </c>
      <c r="U2397" s="61">
        <f>Allocation[[#This Row],[Total volume used]]/VLOOKUP(Allocation[[#This Row],[Delivery ID]],Delivery[[Delivery ID]:[Quantity delivered]],3,FALSE)</f>
        <v>1</v>
      </c>
      <c r="V2397" s="34" t="e">
        <f>VLOOKUP(Allocation[[#This Row],[SAP Contract number]],Shipments[[SAP Contract number]:[Contracted container weight]],2,FALSE)</f>
        <v>#N/A</v>
      </c>
      <c r="W2397" s="34" t="e">
        <f>VLOOKUP(Allocation[[#This Row],[SAP Contract number]],Shipments[[SAP Contract number]:[AAA Premium USD]],24,FALSE)</f>
        <v>#N/A</v>
      </c>
      <c r="X2397" s="34" t="e">
        <f>VLOOKUP(Allocation[[#This Row],[SAP Contract number]],Shipments[[SAP Contract number]:[RA Premium USD]],25,FALSE)</f>
        <v>#N/A</v>
      </c>
      <c r="Y2397" s="38">
        <f>Allocation[[#This Row],[Quantity Processed]]/Allocation[[#This Row],[Quantity allocated]]</f>
        <v>1.9577922077922079</v>
      </c>
      <c r="Z2397" s="34" t="b">
        <f>Allocation[[#This Row],[Quantity allocated]]&lt;=Allocation[[#This Row],[Quantity Processed]]</f>
        <v>1</v>
      </c>
    </row>
    <row r="2398" spans="1:26">
      <c r="A2398" s="247" t="s">
        <v>467</v>
      </c>
      <c r="B2398" s="210" t="s">
        <v>68</v>
      </c>
      <c r="C2398" s="254" t="s">
        <v>1754</v>
      </c>
      <c r="D2398" s="255">
        <v>155</v>
      </c>
      <c r="E2398" s="211" t="s">
        <v>1962</v>
      </c>
      <c r="F2398" s="212">
        <v>43651</v>
      </c>
      <c r="G2398" s="213">
        <v>2.6</v>
      </c>
      <c r="H2398" s="256">
        <v>79</v>
      </c>
      <c r="I2398" s="214">
        <v>1466000</v>
      </c>
      <c r="J2398" s="215">
        <v>20700</v>
      </c>
      <c r="K2398" s="212">
        <v>43651</v>
      </c>
      <c r="L2398" s="211" t="s">
        <v>1974</v>
      </c>
      <c r="M2398" s="216">
        <v>4615447218</v>
      </c>
      <c r="N2398" s="212"/>
      <c r="O2398" s="218"/>
      <c r="P2398" s="219"/>
      <c r="Q2398" s="34">
        <f>SUMIF(Allocation[Delivery ID],Allocation[[#This Row],[Delivery ID]],Allocation[Quantity Processed])</f>
        <v>3344</v>
      </c>
      <c r="R2398" s="61">
        <f>Allocation[[#This Row],[Total volume used]]/VLOOKUP(Allocation[[#This Row],[Delivery ID]],Delivery[[Delivery ID]:[Quantity delivered]],3,FALSE)</f>
        <v>0.64282968089196468</v>
      </c>
      <c r="S2398" s="34">
        <f>Allocation[[#This Row],[Quantity Processed]]/Allocation[[#This Row],[Dilution rate]]</f>
        <v>59.615384615384613</v>
      </c>
      <c r="T2398" s="59">
        <f>SUMIF(Allocation[Delivery ID],Allocation[[#This Row],[Delivery ID]],Allocation[Quantity allocated])/SUMIF(Allocation[Delivery ID],Allocation[[#This Row],[Delivery ID]],Allocation[Volume available (kg)])</f>
        <v>1.3609070366506135</v>
      </c>
      <c r="U2398" s="61">
        <f>Allocation[[#This Row],[Total volume used]]/VLOOKUP(Allocation[[#This Row],[Delivery ID]],Delivery[[Delivery ID]:[Quantity delivered]],3,FALSE)</f>
        <v>0.64282968089196468</v>
      </c>
      <c r="V2398" s="34" t="e">
        <f>VLOOKUP(Allocation[[#This Row],[SAP Contract number]],Shipments[[SAP Contract number]:[Contracted container weight]],2,FALSE)</f>
        <v>#N/A</v>
      </c>
      <c r="W2398" s="34" t="e">
        <f>VLOOKUP(Allocation[[#This Row],[SAP Contract number]],Shipments[[SAP Contract number]:[AAA Premium USD]],24,FALSE)</f>
        <v>#N/A</v>
      </c>
      <c r="X2398" s="34" t="e">
        <f>VLOOKUP(Allocation[[#This Row],[SAP Contract number]],Shipments[[SAP Contract number]:[RA Premium USD]],25,FALSE)</f>
        <v>#N/A</v>
      </c>
      <c r="Y2398" s="38">
        <f>Allocation[[#This Row],[Quantity Processed]]/Allocation[[#This Row],[Quantity allocated]]</f>
        <v>1.9620253164556962</v>
      </c>
      <c r="Z2398" s="34" t="b">
        <f>Allocation[[#This Row],[Quantity allocated]]&lt;=Allocation[[#This Row],[Quantity Processed]]</f>
        <v>1</v>
      </c>
    </row>
    <row r="2399" spans="1:26">
      <c r="A2399" s="247" t="s">
        <v>467</v>
      </c>
      <c r="B2399" s="210" t="s">
        <v>68</v>
      </c>
      <c r="C2399" s="254" t="s">
        <v>1755</v>
      </c>
      <c r="D2399" s="255">
        <v>3088</v>
      </c>
      <c r="E2399" s="211" t="s">
        <v>1962</v>
      </c>
      <c r="F2399" s="212">
        <v>43651</v>
      </c>
      <c r="G2399" s="213">
        <v>2.6</v>
      </c>
      <c r="H2399" s="256">
        <v>2779</v>
      </c>
      <c r="I2399" s="214">
        <v>1466000</v>
      </c>
      <c r="J2399" s="215">
        <v>20700</v>
      </c>
      <c r="K2399" s="212">
        <v>43651</v>
      </c>
      <c r="L2399" s="211" t="s">
        <v>1974</v>
      </c>
      <c r="M2399" s="216">
        <v>4615447218</v>
      </c>
      <c r="N2399" s="212"/>
      <c r="O2399" s="218"/>
      <c r="P2399" s="219"/>
      <c r="Q2399" s="34">
        <f>SUMIF(Allocation[Delivery ID],Allocation[[#This Row],[Delivery ID]],Allocation[Quantity Processed])</f>
        <v>6728</v>
      </c>
      <c r="R2399" s="61">
        <f>Allocation[[#This Row],[Total volume used]]/VLOOKUP(Allocation[[#This Row],[Delivery ID]],Delivery[[Delivery ID]:[Quantity delivered]],3,FALSE)</f>
        <v>0.37989836250705816</v>
      </c>
      <c r="S2399" s="34">
        <f>Allocation[[#This Row],[Quantity Processed]]/Allocation[[#This Row],[Dilution rate]]</f>
        <v>1187.6923076923076</v>
      </c>
      <c r="T2399" s="59">
        <f>SUMIF(Allocation[Delivery ID],Allocation[[#This Row],[Delivery ID]],Allocation[Quantity allocated])/SUMIF(Allocation[Delivery ID],Allocation[[#This Row],[Delivery ID]],Allocation[Volume available (kg)])</f>
        <v>2.3877685151896464</v>
      </c>
      <c r="U2399" s="61">
        <f>Allocation[[#This Row],[Total volume used]]/VLOOKUP(Allocation[[#This Row],[Delivery ID]],Delivery[[Delivery ID]:[Quantity delivered]],3,FALSE)</f>
        <v>0.37989836250705816</v>
      </c>
      <c r="V2399" s="34" t="e">
        <f>VLOOKUP(Allocation[[#This Row],[SAP Contract number]],Shipments[[SAP Contract number]:[Contracted container weight]],2,FALSE)</f>
        <v>#N/A</v>
      </c>
      <c r="W2399" s="34" t="e">
        <f>VLOOKUP(Allocation[[#This Row],[SAP Contract number]],Shipments[[SAP Contract number]:[AAA Premium USD]],24,FALSE)</f>
        <v>#N/A</v>
      </c>
      <c r="X2399" s="34" t="e">
        <f>VLOOKUP(Allocation[[#This Row],[SAP Contract number]],Shipments[[SAP Contract number]:[RA Premium USD]],25,FALSE)</f>
        <v>#N/A</v>
      </c>
      <c r="Y2399" s="38">
        <f>Allocation[[#This Row],[Quantity Processed]]/Allocation[[#This Row],[Quantity allocated]]</f>
        <v>1.1111910759265924</v>
      </c>
      <c r="Z2399" s="34" t="b">
        <f>Allocation[[#This Row],[Quantity allocated]]&lt;=Allocation[[#This Row],[Quantity Processed]]</f>
        <v>1</v>
      </c>
    </row>
    <row r="2400" spans="1:26">
      <c r="A2400" s="247" t="s">
        <v>467</v>
      </c>
      <c r="B2400" s="210" t="s">
        <v>68</v>
      </c>
      <c r="C2400" s="254" t="s">
        <v>1759</v>
      </c>
      <c r="D2400" s="255">
        <v>10200</v>
      </c>
      <c r="E2400" s="211" t="s">
        <v>1962</v>
      </c>
      <c r="F2400" s="212">
        <v>43651</v>
      </c>
      <c r="G2400" s="213">
        <v>2.6</v>
      </c>
      <c r="H2400" s="256">
        <v>3060</v>
      </c>
      <c r="I2400" s="214">
        <v>1466000</v>
      </c>
      <c r="J2400" s="215">
        <v>20700</v>
      </c>
      <c r="K2400" s="212">
        <v>43651</v>
      </c>
      <c r="L2400" s="211" t="s">
        <v>1974</v>
      </c>
      <c r="M2400" s="216">
        <v>4615447218</v>
      </c>
      <c r="N2400" s="212"/>
      <c r="O2400" s="218"/>
      <c r="P2400" s="219"/>
      <c r="Q2400" s="34">
        <f>SUMIF(Allocation[Delivery ID],Allocation[[#This Row],[Delivery ID]],Allocation[Quantity Processed])</f>
        <v>26600</v>
      </c>
      <c r="R2400" s="61">
        <f>Allocation[[#This Row],[Total volume used]]/VLOOKUP(Allocation[[#This Row],[Delivery ID]],Delivery[[Delivery ID]:[Quantity delivered]],3,FALSE)</f>
        <v>1</v>
      </c>
      <c r="S2400" s="34">
        <f>Allocation[[#This Row],[Quantity Processed]]/Allocation[[#This Row],[Dilution rate]]</f>
        <v>3923.0769230769229</v>
      </c>
      <c r="T2400" s="59">
        <f>SUMIF(Allocation[Delivery ID],Allocation[[#This Row],[Delivery ID]],Allocation[Quantity allocated])/SUMIF(Allocation[Delivery ID],Allocation[[#This Row],[Delivery ID]],Allocation[Volume available (kg)])</f>
        <v>0.79822741521801088</v>
      </c>
      <c r="U2400" s="61">
        <f>Allocation[[#This Row],[Total volume used]]/VLOOKUP(Allocation[[#This Row],[Delivery ID]],Delivery[[Delivery ID]:[Quantity delivered]],3,FALSE)</f>
        <v>1</v>
      </c>
      <c r="V2400" s="34" t="e">
        <f>VLOOKUP(Allocation[[#This Row],[SAP Contract number]],Shipments[[SAP Contract number]:[Contracted container weight]],2,FALSE)</f>
        <v>#N/A</v>
      </c>
      <c r="W2400" s="34" t="e">
        <f>VLOOKUP(Allocation[[#This Row],[SAP Contract number]],Shipments[[SAP Contract number]:[AAA Premium USD]],24,FALSE)</f>
        <v>#N/A</v>
      </c>
      <c r="X2400" s="34" t="e">
        <f>VLOOKUP(Allocation[[#This Row],[SAP Contract number]],Shipments[[SAP Contract number]:[RA Premium USD]],25,FALSE)</f>
        <v>#N/A</v>
      </c>
      <c r="Y2400" s="38">
        <f>Allocation[[#This Row],[Quantity Processed]]/Allocation[[#This Row],[Quantity allocated]]</f>
        <v>3.3333333333333335</v>
      </c>
      <c r="Z2400" s="34" t="b">
        <f>Allocation[[#This Row],[Quantity allocated]]&lt;=Allocation[[#This Row],[Quantity Processed]]</f>
        <v>1</v>
      </c>
    </row>
    <row r="2401" spans="1:26">
      <c r="A2401" s="247" t="s">
        <v>467</v>
      </c>
      <c r="B2401" s="210" t="s">
        <v>68</v>
      </c>
      <c r="C2401" s="254" t="s">
        <v>1761</v>
      </c>
      <c r="D2401" s="255">
        <v>2285</v>
      </c>
      <c r="E2401" s="211" t="s">
        <v>1962</v>
      </c>
      <c r="F2401" s="212">
        <v>43651</v>
      </c>
      <c r="G2401" s="213">
        <v>2.6</v>
      </c>
      <c r="H2401" s="256">
        <v>686</v>
      </c>
      <c r="I2401" s="214">
        <v>1466000</v>
      </c>
      <c r="J2401" s="215">
        <v>20700</v>
      </c>
      <c r="K2401" s="212">
        <v>43651</v>
      </c>
      <c r="L2401" s="211" t="s">
        <v>1974</v>
      </c>
      <c r="M2401" s="216">
        <v>4615447218</v>
      </c>
      <c r="N2401" s="212"/>
      <c r="O2401" s="218"/>
      <c r="P2401" s="219"/>
      <c r="Q2401" s="34">
        <f>SUMIF(Allocation[Delivery ID],Allocation[[#This Row],[Delivery ID]],Allocation[Quantity Processed])</f>
        <v>5962</v>
      </c>
      <c r="R2401" s="61">
        <f>Allocation[[#This Row],[Total volume used]]/VLOOKUP(Allocation[[#This Row],[Delivery ID]],Delivery[[Delivery ID]:[Quantity delivered]],3,FALSE)</f>
        <v>1</v>
      </c>
      <c r="S2401" s="34">
        <f>Allocation[[#This Row],[Quantity Processed]]/Allocation[[#This Row],[Dilution rate]]</f>
        <v>878.84615384615381</v>
      </c>
      <c r="T2401" s="59">
        <f>SUMIF(Allocation[Delivery ID],Allocation[[#This Row],[Delivery ID]],Allocation[Quantity allocated])/SUMIF(Allocation[Delivery ID],Allocation[[#This Row],[Delivery ID]],Allocation[Volume available (kg)])</f>
        <v>0.79841192139710238</v>
      </c>
      <c r="U2401" s="61">
        <f>Allocation[[#This Row],[Total volume used]]/VLOOKUP(Allocation[[#This Row],[Delivery ID]],Delivery[[Delivery ID]:[Quantity delivered]],3,FALSE)</f>
        <v>1</v>
      </c>
      <c r="V2401" s="34" t="e">
        <f>VLOOKUP(Allocation[[#This Row],[SAP Contract number]],Shipments[[SAP Contract number]:[Contracted container weight]],2,FALSE)</f>
        <v>#N/A</v>
      </c>
      <c r="W2401" s="34" t="e">
        <f>VLOOKUP(Allocation[[#This Row],[SAP Contract number]],Shipments[[SAP Contract number]:[AAA Premium USD]],24,FALSE)</f>
        <v>#N/A</v>
      </c>
      <c r="X2401" s="34" t="e">
        <f>VLOOKUP(Allocation[[#This Row],[SAP Contract number]],Shipments[[SAP Contract number]:[RA Premium USD]],25,FALSE)</f>
        <v>#N/A</v>
      </c>
      <c r="Y2401" s="38">
        <f>Allocation[[#This Row],[Quantity Processed]]/Allocation[[#This Row],[Quantity allocated]]</f>
        <v>3.3309037900874636</v>
      </c>
      <c r="Z2401" s="34" t="b">
        <f>Allocation[[#This Row],[Quantity allocated]]&lt;=Allocation[[#This Row],[Quantity Processed]]</f>
        <v>1</v>
      </c>
    </row>
    <row r="2402" spans="1:26">
      <c r="A2402" s="247" t="s">
        <v>467</v>
      </c>
      <c r="B2402" s="210" t="s">
        <v>68</v>
      </c>
      <c r="C2402" s="254" t="s">
        <v>1762</v>
      </c>
      <c r="D2402" s="255">
        <v>2000</v>
      </c>
      <c r="E2402" s="211" t="s">
        <v>1962</v>
      </c>
      <c r="F2402" s="212">
        <v>43651</v>
      </c>
      <c r="G2402" s="213">
        <v>2.6</v>
      </c>
      <c r="H2402" s="256">
        <v>600</v>
      </c>
      <c r="I2402" s="214">
        <v>1466000</v>
      </c>
      <c r="J2402" s="215">
        <v>20700</v>
      </c>
      <c r="K2402" s="212">
        <v>43651</v>
      </c>
      <c r="L2402" s="211" t="s">
        <v>1974</v>
      </c>
      <c r="M2402" s="216">
        <v>4615447218</v>
      </c>
      <c r="N2402" s="212"/>
      <c r="O2402" s="218"/>
      <c r="P2402" s="219"/>
      <c r="Q2402" s="34">
        <f>SUMIF(Allocation[Delivery ID],Allocation[[#This Row],[Delivery ID]],Allocation[Quantity Processed])</f>
        <v>20718</v>
      </c>
      <c r="R2402" s="61">
        <f>Allocation[[#This Row],[Total volume used]]/VLOOKUP(Allocation[[#This Row],[Delivery ID]],Delivery[[Delivery ID]:[Quantity delivered]],3,FALSE)</f>
        <v>1</v>
      </c>
      <c r="S2402" s="34">
        <f>Allocation[[#This Row],[Quantity Processed]]/Allocation[[#This Row],[Dilution rate]]</f>
        <v>769.23076923076917</v>
      </c>
      <c r="T2402" s="59">
        <f>SUMIF(Allocation[Delivery ID],Allocation[[#This Row],[Delivery ID]],Allocation[Quantity allocated])/SUMIF(Allocation[Delivery ID],Allocation[[#This Row],[Delivery ID]],Allocation[Volume available (kg)])</f>
        <v>0.79830373591553805</v>
      </c>
      <c r="U2402" s="61">
        <f>Allocation[[#This Row],[Total volume used]]/VLOOKUP(Allocation[[#This Row],[Delivery ID]],Delivery[[Delivery ID]:[Quantity delivered]],3,FALSE)</f>
        <v>1</v>
      </c>
      <c r="V2402" s="34" t="e">
        <f>VLOOKUP(Allocation[[#This Row],[SAP Contract number]],Shipments[[SAP Contract number]:[Contracted container weight]],2,FALSE)</f>
        <v>#N/A</v>
      </c>
      <c r="W2402" s="34" t="e">
        <f>VLOOKUP(Allocation[[#This Row],[SAP Contract number]],Shipments[[SAP Contract number]:[AAA Premium USD]],24,FALSE)</f>
        <v>#N/A</v>
      </c>
      <c r="X2402" s="34" t="e">
        <f>VLOOKUP(Allocation[[#This Row],[SAP Contract number]],Shipments[[SAP Contract number]:[RA Premium USD]],25,FALSE)</f>
        <v>#N/A</v>
      </c>
      <c r="Y2402" s="38">
        <f>Allocation[[#This Row],[Quantity Processed]]/Allocation[[#This Row],[Quantity allocated]]</f>
        <v>3.3333333333333335</v>
      </c>
      <c r="Z2402" s="34" t="b">
        <f>Allocation[[#This Row],[Quantity allocated]]&lt;=Allocation[[#This Row],[Quantity Processed]]</f>
        <v>1</v>
      </c>
    </row>
    <row r="2403" spans="1:26">
      <c r="A2403" s="247" t="s">
        <v>467</v>
      </c>
      <c r="B2403" s="210" t="s">
        <v>68</v>
      </c>
      <c r="C2403" s="254" t="s">
        <v>1762</v>
      </c>
      <c r="D2403" s="255">
        <v>5945</v>
      </c>
      <c r="E2403" s="211" t="s">
        <v>1962</v>
      </c>
      <c r="F2403" s="212">
        <v>43651</v>
      </c>
      <c r="G2403" s="213">
        <v>2.6</v>
      </c>
      <c r="H2403" s="256">
        <v>1784</v>
      </c>
      <c r="I2403" s="214">
        <v>1466001</v>
      </c>
      <c r="J2403" s="215">
        <v>20700</v>
      </c>
      <c r="K2403" s="212">
        <v>43651</v>
      </c>
      <c r="L2403" s="211" t="s">
        <v>1975</v>
      </c>
      <c r="M2403" s="216">
        <v>4615447218</v>
      </c>
      <c r="N2403" s="212"/>
      <c r="O2403" s="218"/>
      <c r="P2403" s="219"/>
      <c r="Q2403" s="34">
        <f>SUMIF(Allocation[Delivery ID],Allocation[[#This Row],[Delivery ID]],Allocation[Quantity Processed])</f>
        <v>20718</v>
      </c>
      <c r="R2403" s="61">
        <f>Allocation[[#This Row],[Total volume used]]/VLOOKUP(Allocation[[#This Row],[Delivery ID]],Delivery[[Delivery ID]:[Quantity delivered]],3,FALSE)</f>
        <v>1</v>
      </c>
      <c r="S2403" s="34">
        <f>Allocation[[#This Row],[Quantity Processed]]/Allocation[[#This Row],[Dilution rate]]</f>
        <v>2286.5384615384614</v>
      </c>
      <c r="T2403" s="59">
        <f>SUMIF(Allocation[Delivery ID],Allocation[[#This Row],[Delivery ID]],Allocation[Quantity allocated])/SUMIF(Allocation[Delivery ID],Allocation[[#This Row],[Delivery ID]],Allocation[Volume available (kg)])</f>
        <v>0.79830373591553805</v>
      </c>
      <c r="U2403" s="61">
        <f>Allocation[[#This Row],[Total volume used]]/VLOOKUP(Allocation[[#This Row],[Delivery ID]],Delivery[[Delivery ID]:[Quantity delivered]],3,FALSE)</f>
        <v>1</v>
      </c>
      <c r="V2403" s="34" t="e">
        <f>VLOOKUP(Allocation[[#This Row],[SAP Contract number]],Shipments[[SAP Contract number]:[Contracted container weight]],2,FALSE)</f>
        <v>#N/A</v>
      </c>
      <c r="W2403" s="34" t="e">
        <f>VLOOKUP(Allocation[[#This Row],[SAP Contract number]],Shipments[[SAP Contract number]:[AAA Premium USD]],24,FALSE)</f>
        <v>#N/A</v>
      </c>
      <c r="X2403" s="34" t="e">
        <f>VLOOKUP(Allocation[[#This Row],[SAP Contract number]],Shipments[[SAP Contract number]:[RA Premium USD]],25,FALSE)</f>
        <v>#N/A</v>
      </c>
      <c r="Y2403" s="38">
        <f>Allocation[[#This Row],[Quantity Processed]]/Allocation[[#This Row],[Quantity allocated]]</f>
        <v>3.3323991031390134</v>
      </c>
      <c r="Z2403" s="34" t="b">
        <f>Allocation[[#This Row],[Quantity allocated]]&lt;=Allocation[[#This Row],[Quantity Processed]]</f>
        <v>1</v>
      </c>
    </row>
    <row r="2404" spans="1:26">
      <c r="A2404" s="247" t="s">
        <v>467</v>
      </c>
      <c r="B2404" s="210" t="s">
        <v>68</v>
      </c>
      <c r="C2404" s="254" t="s">
        <v>1763</v>
      </c>
      <c r="D2404" s="255">
        <v>1141</v>
      </c>
      <c r="E2404" s="211" t="s">
        <v>1962</v>
      </c>
      <c r="F2404" s="212">
        <v>43651</v>
      </c>
      <c r="G2404" s="213">
        <v>2.6</v>
      </c>
      <c r="H2404" s="256">
        <v>582</v>
      </c>
      <c r="I2404" s="214">
        <v>1466001</v>
      </c>
      <c r="J2404" s="215">
        <v>20700</v>
      </c>
      <c r="K2404" s="212">
        <v>43651</v>
      </c>
      <c r="L2404" s="211" t="s">
        <v>1975</v>
      </c>
      <c r="M2404" s="216">
        <v>4615447218</v>
      </c>
      <c r="N2404" s="212"/>
      <c r="O2404" s="218"/>
      <c r="P2404" s="219"/>
      <c r="Q2404" s="34">
        <f>SUMIF(Allocation[Delivery ID],Allocation[[#This Row],[Delivery ID]],Allocation[Quantity Processed])</f>
        <v>31317</v>
      </c>
      <c r="R2404" s="61">
        <f>Allocation[[#This Row],[Total volume used]]/VLOOKUP(Allocation[[#This Row],[Delivery ID]],Delivery[[Delivery ID]:[Quantity delivered]],3,FALSE)</f>
        <v>0.81661016949152543</v>
      </c>
      <c r="S2404" s="34">
        <f>Allocation[[#This Row],[Quantity Processed]]/Allocation[[#This Row],[Dilution rate]]</f>
        <v>438.84615384615381</v>
      </c>
      <c r="T2404" s="59">
        <f>SUMIF(Allocation[Delivery ID],Allocation[[#This Row],[Delivery ID]],Allocation[Quantity allocated])/SUMIF(Allocation[Delivery ID],Allocation[[#This Row],[Delivery ID]],Allocation[Volume available (kg)])</f>
        <v>1.3577237643313349</v>
      </c>
      <c r="U2404" s="61">
        <f>Allocation[[#This Row],[Total volume used]]/VLOOKUP(Allocation[[#This Row],[Delivery ID]],Delivery[[Delivery ID]:[Quantity delivered]],3,FALSE)</f>
        <v>0.81661016949152543</v>
      </c>
      <c r="V2404" s="34" t="e">
        <f>VLOOKUP(Allocation[[#This Row],[SAP Contract number]],Shipments[[SAP Contract number]:[Contracted container weight]],2,FALSE)</f>
        <v>#N/A</v>
      </c>
      <c r="W2404" s="34" t="e">
        <f>VLOOKUP(Allocation[[#This Row],[SAP Contract number]],Shipments[[SAP Contract number]:[AAA Premium USD]],24,FALSE)</f>
        <v>#N/A</v>
      </c>
      <c r="X2404" s="34" t="e">
        <f>VLOOKUP(Allocation[[#This Row],[SAP Contract number]],Shipments[[SAP Contract number]:[RA Premium USD]],25,FALSE)</f>
        <v>#N/A</v>
      </c>
      <c r="Y2404" s="38">
        <f>Allocation[[#This Row],[Quantity Processed]]/Allocation[[#This Row],[Quantity allocated]]</f>
        <v>1.9604810996563573</v>
      </c>
      <c r="Z2404" s="34" t="b">
        <f>Allocation[[#This Row],[Quantity allocated]]&lt;=Allocation[[#This Row],[Quantity Processed]]</f>
        <v>1</v>
      </c>
    </row>
    <row r="2405" spans="1:26">
      <c r="A2405" s="247" t="s">
        <v>467</v>
      </c>
      <c r="B2405" s="210" t="s">
        <v>68</v>
      </c>
      <c r="C2405" s="254" t="s">
        <v>1764</v>
      </c>
      <c r="D2405" s="255">
        <v>710</v>
      </c>
      <c r="E2405" s="211" t="s">
        <v>1962</v>
      </c>
      <c r="F2405" s="212">
        <v>43651</v>
      </c>
      <c r="G2405" s="213">
        <v>2.6</v>
      </c>
      <c r="H2405" s="256">
        <v>362</v>
      </c>
      <c r="I2405" s="214">
        <v>1466001</v>
      </c>
      <c r="J2405" s="215">
        <v>20700</v>
      </c>
      <c r="K2405" s="212">
        <v>43651</v>
      </c>
      <c r="L2405" s="211" t="s">
        <v>1975</v>
      </c>
      <c r="M2405" s="216">
        <v>4615447218</v>
      </c>
      <c r="N2405" s="212"/>
      <c r="O2405" s="218"/>
      <c r="P2405" s="219"/>
      <c r="Q2405" s="34">
        <f>SUMIF(Allocation[Delivery ID],Allocation[[#This Row],[Delivery ID]],Allocation[Quantity Processed])</f>
        <v>15363</v>
      </c>
      <c r="R2405" s="61">
        <f>Allocation[[#This Row],[Total volume used]]/VLOOKUP(Allocation[[#This Row],[Delivery ID]],Delivery[[Delivery ID]:[Quantity delivered]],3,FALSE)</f>
        <v>0.64334170854271355</v>
      </c>
      <c r="S2405" s="34">
        <f>Allocation[[#This Row],[Quantity Processed]]/Allocation[[#This Row],[Dilution rate]]</f>
        <v>273.07692307692309</v>
      </c>
      <c r="T2405" s="59">
        <f>SUMIF(Allocation[Delivery ID],Allocation[[#This Row],[Delivery ID]],Allocation[Quantity allocated])/SUMIF(Allocation[Delivery ID],Allocation[[#This Row],[Delivery ID]],Allocation[Volume available (kg)])</f>
        <v>1.361250130896805</v>
      </c>
      <c r="U2405" s="61">
        <f>Allocation[[#This Row],[Total volume used]]/VLOOKUP(Allocation[[#This Row],[Delivery ID]],Delivery[[Delivery ID]:[Quantity delivered]],3,FALSE)</f>
        <v>0.64334170854271355</v>
      </c>
      <c r="V2405" s="34" t="e">
        <f>VLOOKUP(Allocation[[#This Row],[SAP Contract number]],Shipments[[SAP Contract number]:[Contracted container weight]],2,FALSE)</f>
        <v>#N/A</v>
      </c>
      <c r="W2405" s="34" t="e">
        <f>VLOOKUP(Allocation[[#This Row],[SAP Contract number]],Shipments[[SAP Contract number]:[AAA Premium USD]],24,FALSE)</f>
        <v>#N/A</v>
      </c>
      <c r="X2405" s="34" t="e">
        <f>VLOOKUP(Allocation[[#This Row],[SAP Contract number]],Shipments[[SAP Contract number]:[RA Premium USD]],25,FALSE)</f>
        <v>#N/A</v>
      </c>
      <c r="Y2405" s="38">
        <f>Allocation[[#This Row],[Quantity Processed]]/Allocation[[#This Row],[Quantity allocated]]</f>
        <v>1.9613259668508287</v>
      </c>
      <c r="Z2405" s="34" t="b">
        <f>Allocation[[#This Row],[Quantity allocated]]&lt;=Allocation[[#This Row],[Quantity Processed]]</f>
        <v>1</v>
      </c>
    </row>
    <row r="2406" spans="1:26">
      <c r="A2406" s="247" t="s">
        <v>467</v>
      </c>
      <c r="B2406" s="210" t="s">
        <v>68</v>
      </c>
      <c r="C2406" s="254" t="s">
        <v>1765</v>
      </c>
      <c r="D2406" s="255">
        <v>229</v>
      </c>
      <c r="E2406" s="211" t="s">
        <v>1962</v>
      </c>
      <c r="F2406" s="212">
        <v>43651</v>
      </c>
      <c r="G2406" s="213">
        <v>2.6</v>
      </c>
      <c r="H2406" s="256">
        <v>117</v>
      </c>
      <c r="I2406" s="214">
        <v>1466001</v>
      </c>
      <c r="J2406" s="215">
        <v>20700</v>
      </c>
      <c r="K2406" s="212">
        <v>43651</v>
      </c>
      <c r="L2406" s="211" t="s">
        <v>1975</v>
      </c>
      <c r="M2406" s="216">
        <v>4615447218</v>
      </c>
      <c r="N2406" s="212"/>
      <c r="O2406" s="218"/>
      <c r="P2406" s="219"/>
      <c r="Q2406" s="34">
        <f>SUMIF(Allocation[Delivery ID],Allocation[[#This Row],[Delivery ID]],Allocation[Quantity Processed])</f>
        <v>4978</v>
      </c>
      <c r="R2406" s="61">
        <f>Allocation[[#This Row],[Total volume used]]/VLOOKUP(Allocation[[#This Row],[Delivery ID]],Delivery[[Delivery ID]:[Quantity delivered]],3,FALSE)</f>
        <v>0.64315245478036176</v>
      </c>
      <c r="S2406" s="34">
        <f>Allocation[[#This Row],[Quantity Processed]]/Allocation[[#This Row],[Dilution rate]]</f>
        <v>88.07692307692308</v>
      </c>
      <c r="T2406" s="59">
        <f>SUMIF(Allocation[Delivery ID],Allocation[[#This Row],[Delivery ID]],Allocation[Quantity allocated])/SUMIF(Allocation[Delivery ID],Allocation[[#This Row],[Delivery ID]],Allocation[Volume available (kg)])</f>
        <v>1.3608642636697845</v>
      </c>
      <c r="U2406" s="61">
        <f>Allocation[[#This Row],[Total volume used]]/VLOOKUP(Allocation[[#This Row],[Delivery ID]],Delivery[[Delivery ID]:[Quantity delivered]],3,FALSE)</f>
        <v>0.64315245478036176</v>
      </c>
      <c r="V2406" s="34" t="e">
        <f>VLOOKUP(Allocation[[#This Row],[SAP Contract number]],Shipments[[SAP Contract number]:[Contracted container weight]],2,FALSE)</f>
        <v>#N/A</v>
      </c>
      <c r="W2406" s="34" t="e">
        <f>VLOOKUP(Allocation[[#This Row],[SAP Contract number]],Shipments[[SAP Contract number]:[AAA Premium USD]],24,FALSE)</f>
        <v>#N/A</v>
      </c>
      <c r="X2406" s="34" t="e">
        <f>VLOOKUP(Allocation[[#This Row],[SAP Contract number]],Shipments[[SAP Contract number]:[RA Premium USD]],25,FALSE)</f>
        <v>#N/A</v>
      </c>
      <c r="Y2406" s="38">
        <f>Allocation[[#This Row],[Quantity Processed]]/Allocation[[#This Row],[Quantity allocated]]</f>
        <v>1.9572649572649572</v>
      </c>
      <c r="Z2406" s="34" t="b">
        <f>Allocation[[#This Row],[Quantity allocated]]&lt;=Allocation[[#This Row],[Quantity Processed]]</f>
        <v>1</v>
      </c>
    </row>
    <row r="2407" spans="1:26">
      <c r="A2407" s="247" t="s">
        <v>467</v>
      </c>
      <c r="B2407" s="210" t="s">
        <v>68</v>
      </c>
      <c r="C2407" s="254" t="s">
        <v>1770</v>
      </c>
      <c r="D2407" s="255">
        <v>11433</v>
      </c>
      <c r="E2407" s="211" t="s">
        <v>1962</v>
      </c>
      <c r="F2407" s="212">
        <v>43651</v>
      </c>
      <c r="G2407" s="213">
        <v>2.6</v>
      </c>
      <c r="H2407" s="256">
        <v>4802</v>
      </c>
      <c r="I2407" s="214">
        <v>1466001</v>
      </c>
      <c r="J2407" s="215">
        <v>20700</v>
      </c>
      <c r="K2407" s="212">
        <v>43651</v>
      </c>
      <c r="L2407" s="211" t="s">
        <v>1975</v>
      </c>
      <c r="M2407" s="216">
        <v>4615447218</v>
      </c>
      <c r="N2407" s="212"/>
      <c r="O2407" s="218"/>
      <c r="P2407" s="219"/>
      <c r="Q2407" s="34">
        <f>SUMIF(Allocation[Delivery ID],Allocation[[#This Row],[Delivery ID]],Allocation[Quantity Processed])</f>
        <v>24957</v>
      </c>
      <c r="R2407" s="61">
        <f>Allocation[[#This Row],[Total volume used]]/VLOOKUP(Allocation[[#This Row],[Delivery ID]],Delivery[[Delivery ID]:[Quantity delivered]],3,FALSE)</f>
        <v>0.71469072164948455</v>
      </c>
      <c r="S2407" s="34">
        <f>Allocation[[#This Row],[Quantity Processed]]/Allocation[[#This Row],[Dilution rate]]</f>
        <v>4397.3076923076924</v>
      </c>
      <c r="T2407" s="59">
        <f>SUMIF(Allocation[Delivery ID],Allocation[[#This Row],[Delivery ID]],Allocation[Quantity allocated])/SUMIF(Allocation[Delivery ID],Allocation[[#This Row],[Delivery ID]],Allocation[Volume available (kg)])</f>
        <v>1.114371777106381</v>
      </c>
      <c r="U2407" s="61">
        <f>Allocation[[#This Row],[Total volume used]]/VLOOKUP(Allocation[[#This Row],[Delivery ID]],Delivery[[Delivery ID]:[Quantity delivered]],3,FALSE)</f>
        <v>0.71469072164948455</v>
      </c>
      <c r="V2407" s="34" t="e">
        <f>VLOOKUP(Allocation[[#This Row],[SAP Contract number]],Shipments[[SAP Contract number]:[Contracted container weight]],2,FALSE)</f>
        <v>#N/A</v>
      </c>
      <c r="W2407" s="34" t="e">
        <f>VLOOKUP(Allocation[[#This Row],[SAP Contract number]],Shipments[[SAP Contract number]:[AAA Premium USD]],24,FALSE)</f>
        <v>#N/A</v>
      </c>
      <c r="X2407" s="34" t="e">
        <f>VLOOKUP(Allocation[[#This Row],[SAP Contract number]],Shipments[[SAP Contract number]:[RA Premium USD]],25,FALSE)</f>
        <v>#N/A</v>
      </c>
      <c r="Y2407" s="38">
        <f>Allocation[[#This Row],[Quantity Processed]]/Allocation[[#This Row],[Quantity allocated]]</f>
        <v>2.3808829654310704</v>
      </c>
      <c r="Z2407" s="34" t="b">
        <f>Allocation[[#This Row],[Quantity allocated]]&lt;=Allocation[[#This Row],[Quantity Processed]]</f>
        <v>1</v>
      </c>
    </row>
    <row r="2408" spans="1:26">
      <c r="A2408" s="247" t="s">
        <v>467</v>
      </c>
      <c r="B2408" s="210" t="s">
        <v>68</v>
      </c>
      <c r="C2408" s="254" t="s">
        <v>1776</v>
      </c>
      <c r="D2408" s="255">
        <v>11198</v>
      </c>
      <c r="E2408" s="211" t="s">
        <v>1962</v>
      </c>
      <c r="F2408" s="212">
        <v>43651</v>
      </c>
      <c r="G2408" s="213">
        <v>2.6</v>
      </c>
      <c r="H2408" s="256">
        <v>4703</v>
      </c>
      <c r="I2408" s="214">
        <v>1466001</v>
      </c>
      <c r="J2408" s="215">
        <v>20700</v>
      </c>
      <c r="K2408" s="212">
        <v>43651</v>
      </c>
      <c r="L2408" s="211" t="s">
        <v>1975</v>
      </c>
      <c r="M2408" s="216">
        <v>4615447218</v>
      </c>
      <c r="N2408" s="212"/>
      <c r="O2408" s="218"/>
      <c r="P2408" s="219"/>
      <c r="Q2408" s="34">
        <f>SUMIF(Allocation[Delivery ID],Allocation[[#This Row],[Delivery ID]],Allocation[Quantity Processed])</f>
        <v>24396</v>
      </c>
      <c r="R2408" s="61">
        <f>Allocation[[#This Row],[Total volume used]]/VLOOKUP(Allocation[[#This Row],[Delivery ID]],Delivery[[Delivery ID]:[Quantity delivered]],3,FALSE)</f>
        <v>0.81401401401401396</v>
      </c>
      <c r="S2408" s="34">
        <f>Allocation[[#This Row],[Quantity Processed]]/Allocation[[#This Row],[Dilution rate]]</f>
        <v>4306.9230769230771</v>
      </c>
      <c r="T2408" s="59">
        <f>SUMIF(Allocation[Delivery ID],Allocation[[#This Row],[Delivery ID]],Allocation[Quantity allocated])/SUMIF(Allocation[Delivery ID],Allocation[[#This Row],[Delivery ID]],Allocation[Volume available (kg)])</f>
        <v>1.114292619296229</v>
      </c>
      <c r="U2408" s="61">
        <f>Allocation[[#This Row],[Total volume used]]/VLOOKUP(Allocation[[#This Row],[Delivery ID]],Delivery[[Delivery ID]:[Quantity delivered]],3,FALSE)</f>
        <v>0.81401401401401396</v>
      </c>
      <c r="V2408" s="34" t="e">
        <f>VLOOKUP(Allocation[[#This Row],[SAP Contract number]],Shipments[[SAP Contract number]:[Contracted container weight]],2,FALSE)</f>
        <v>#N/A</v>
      </c>
      <c r="W2408" s="34" t="e">
        <f>VLOOKUP(Allocation[[#This Row],[SAP Contract number]],Shipments[[SAP Contract number]:[AAA Premium USD]],24,FALSE)</f>
        <v>#N/A</v>
      </c>
      <c r="X2408" s="34" t="e">
        <f>VLOOKUP(Allocation[[#This Row],[SAP Contract number]],Shipments[[SAP Contract number]:[RA Premium USD]],25,FALSE)</f>
        <v>#N/A</v>
      </c>
      <c r="Y2408" s="38">
        <f>Allocation[[#This Row],[Quantity Processed]]/Allocation[[#This Row],[Quantity allocated]]</f>
        <v>2.3810333829470549</v>
      </c>
      <c r="Z2408" s="34" t="b">
        <f>Allocation[[#This Row],[Quantity allocated]]&lt;=Allocation[[#This Row],[Quantity Processed]]</f>
        <v>1</v>
      </c>
    </row>
    <row r="2409" spans="1:26">
      <c r="A2409" s="247" t="s">
        <v>467</v>
      </c>
      <c r="B2409" s="210" t="s">
        <v>68</v>
      </c>
      <c r="C2409" s="254" t="s">
        <v>1777</v>
      </c>
      <c r="D2409" s="255">
        <v>4440</v>
      </c>
      <c r="E2409" s="211" t="s">
        <v>1962</v>
      </c>
      <c r="F2409" s="212">
        <v>43651</v>
      </c>
      <c r="G2409" s="213">
        <v>2.6</v>
      </c>
      <c r="H2409" s="256">
        <v>1865</v>
      </c>
      <c r="I2409" s="214">
        <v>1466001</v>
      </c>
      <c r="J2409" s="215">
        <v>20700</v>
      </c>
      <c r="K2409" s="212">
        <v>43651</v>
      </c>
      <c r="L2409" s="211" t="s">
        <v>1975</v>
      </c>
      <c r="M2409" s="216">
        <v>4615447218</v>
      </c>
      <c r="N2409" s="212"/>
      <c r="O2409" s="218"/>
      <c r="P2409" s="219"/>
      <c r="Q2409" s="34">
        <f>SUMIF(Allocation[Delivery ID],Allocation[[#This Row],[Delivery ID]],Allocation[Quantity Processed])</f>
        <v>9673</v>
      </c>
      <c r="R2409" s="61">
        <f>Allocation[[#This Row],[Total volume used]]/VLOOKUP(Allocation[[#This Row],[Delivery ID]],Delivery[[Delivery ID]:[Quantity delivered]],3,FALSE)</f>
        <v>0.50327783558792927</v>
      </c>
      <c r="S2409" s="34">
        <f>Allocation[[#This Row],[Quantity Processed]]/Allocation[[#This Row],[Dilution rate]]</f>
        <v>1707.6923076923076</v>
      </c>
      <c r="T2409" s="59">
        <f>SUMIF(Allocation[Delivery ID],Allocation[[#This Row],[Delivery ID]],Allocation[Quantity allocated])/SUMIF(Allocation[Delivery ID],Allocation[[#This Row],[Delivery ID]],Allocation[Volume available (kg)])</f>
        <v>1.1144206800084397</v>
      </c>
      <c r="U2409" s="61">
        <f>Allocation[[#This Row],[Total volume used]]/VLOOKUP(Allocation[[#This Row],[Delivery ID]],Delivery[[Delivery ID]:[Quantity delivered]],3,FALSE)</f>
        <v>0.50327783558792927</v>
      </c>
      <c r="V2409" s="34" t="e">
        <f>VLOOKUP(Allocation[[#This Row],[SAP Contract number]],Shipments[[SAP Contract number]:[Contracted container weight]],2,FALSE)</f>
        <v>#N/A</v>
      </c>
      <c r="W2409" s="34" t="e">
        <f>VLOOKUP(Allocation[[#This Row],[SAP Contract number]],Shipments[[SAP Contract number]:[AAA Premium USD]],24,FALSE)</f>
        <v>#N/A</v>
      </c>
      <c r="X2409" s="34" t="e">
        <f>VLOOKUP(Allocation[[#This Row],[SAP Contract number]],Shipments[[SAP Contract number]:[RA Premium USD]],25,FALSE)</f>
        <v>#N/A</v>
      </c>
      <c r="Y2409" s="38">
        <f>Allocation[[#This Row],[Quantity Processed]]/Allocation[[#This Row],[Quantity allocated]]</f>
        <v>2.3806970509383376</v>
      </c>
      <c r="Z2409" s="34" t="b">
        <f>Allocation[[#This Row],[Quantity allocated]]&lt;=Allocation[[#This Row],[Quantity Processed]]</f>
        <v>1</v>
      </c>
    </row>
    <row r="2410" spans="1:26">
      <c r="A2410" s="247" t="s">
        <v>467</v>
      </c>
      <c r="B2410" s="210" t="s">
        <v>68</v>
      </c>
      <c r="C2410" s="254" t="s">
        <v>1782</v>
      </c>
      <c r="D2410" s="255">
        <v>7030</v>
      </c>
      <c r="E2410" s="211" t="s">
        <v>1962</v>
      </c>
      <c r="F2410" s="212">
        <v>43651</v>
      </c>
      <c r="G2410" s="213">
        <v>2.6</v>
      </c>
      <c r="H2410" s="256">
        <v>2109</v>
      </c>
      <c r="I2410" s="214">
        <v>1466001</v>
      </c>
      <c r="J2410" s="215">
        <v>20700</v>
      </c>
      <c r="K2410" s="212">
        <v>43651</v>
      </c>
      <c r="L2410" s="211" t="s">
        <v>1975</v>
      </c>
      <c r="M2410" s="216">
        <v>4615447218</v>
      </c>
      <c r="N2410" s="212"/>
      <c r="O2410" s="218"/>
      <c r="P2410" s="219"/>
      <c r="Q2410" s="34">
        <f>SUMIF(Allocation[Delivery ID],Allocation[[#This Row],[Delivery ID]],Allocation[Quantity Processed])</f>
        <v>16030</v>
      </c>
      <c r="R2410" s="61">
        <f>Allocation[[#This Row],[Total volume used]]/VLOOKUP(Allocation[[#This Row],[Delivery ID]],Delivery[[Delivery ID]:[Quantity delivered]],3,FALSE)</f>
        <v>1</v>
      </c>
      <c r="S2410" s="34">
        <f>Allocation[[#This Row],[Quantity Processed]]/Allocation[[#This Row],[Dilution rate]]</f>
        <v>2703.8461538461538</v>
      </c>
      <c r="T2410" s="59">
        <f>SUMIF(Allocation[Delivery ID],Allocation[[#This Row],[Delivery ID]],Allocation[Quantity allocated])/SUMIF(Allocation[Delivery ID],Allocation[[#This Row],[Delivery ID]],Allocation[Volume available (kg)])</f>
        <v>0.79656402633255474</v>
      </c>
      <c r="U2410" s="61">
        <f>Allocation[[#This Row],[Total volume used]]/VLOOKUP(Allocation[[#This Row],[Delivery ID]],Delivery[[Delivery ID]:[Quantity delivered]],3,FALSE)</f>
        <v>1</v>
      </c>
      <c r="V2410" s="34" t="e">
        <f>VLOOKUP(Allocation[[#This Row],[SAP Contract number]],Shipments[[SAP Contract number]:[Contracted container weight]],2,FALSE)</f>
        <v>#N/A</v>
      </c>
      <c r="W2410" s="34" t="e">
        <f>VLOOKUP(Allocation[[#This Row],[SAP Contract number]],Shipments[[SAP Contract number]:[AAA Premium USD]],24,FALSE)</f>
        <v>#N/A</v>
      </c>
      <c r="X2410" s="34" t="e">
        <f>VLOOKUP(Allocation[[#This Row],[SAP Contract number]],Shipments[[SAP Contract number]:[RA Premium USD]],25,FALSE)</f>
        <v>#N/A</v>
      </c>
      <c r="Y2410" s="38">
        <f>Allocation[[#This Row],[Quantity Processed]]/Allocation[[#This Row],[Quantity allocated]]</f>
        <v>3.3333333333333335</v>
      </c>
      <c r="Z2410" s="34" t="b">
        <f>Allocation[[#This Row],[Quantity allocated]]&lt;=Allocation[[#This Row],[Quantity Processed]]</f>
        <v>1</v>
      </c>
    </row>
    <row r="2411" spans="1:26">
      <c r="A2411" s="247" t="s">
        <v>467</v>
      </c>
      <c r="B2411" s="210" t="s">
        <v>68</v>
      </c>
      <c r="C2411" s="254" t="s">
        <v>1788</v>
      </c>
      <c r="D2411" s="255">
        <v>8715</v>
      </c>
      <c r="E2411" s="211" t="s">
        <v>1962</v>
      </c>
      <c r="F2411" s="212">
        <v>43651</v>
      </c>
      <c r="G2411" s="213">
        <v>2.6</v>
      </c>
      <c r="H2411" s="256">
        <v>3486</v>
      </c>
      <c r="I2411" s="214">
        <v>1466001</v>
      </c>
      <c r="J2411" s="215">
        <v>20700</v>
      </c>
      <c r="K2411" s="212">
        <v>43651</v>
      </c>
      <c r="L2411" s="211" t="s">
        <v>1975</v>
      </c>
      <c r="M2411" s="216">
        <v>4615447218</v>
      </c>
      <c r="N2411" s="212"/>
      <c r="O2411" s="218"/>
      <c r="P2411" s="219"/>
      <c r="Q2411" s="34">
        <f>SUMIF(Allocation[Delivery ID],Allocation[[#This Row],[Delivery ID]],Allocation[Quantity Processed])</f>
        <v>20235</v>
      </c>
      <c r="R2411" s="61">
        <f>Allocation[[#This Row],[Total volume used]]/VLOOKUP(Allocation[[#This Row],[Delivery ID]],Delivery[[Delivery ID]:[Quantity delivered]],3,FALSE)</f>
        <v>0.56333518930957682</v>
      </c>
      <c r="S2411" s="34">
        <f>Allocation[[#This Row],[Quantity Processed]]/Allocation[[#This Row],[Dilution rate]]</f>
        <v>3351.9230769230767</v>
      </c>
      <c r="T2411" s="59">
        <f>SUMIF(Allocation[Delivery ID],Allocation[[#This Row],[Delivery ID]],Allocation[Quantity allocated])/SUMIF(Allocation[Delivery ID],Allocation[[#This Row],[Delivery ID]],Allocation[Volume available (kg)])</f>
        <v>1.0624013462347499</v>
      </c>
      <c r="U2411" s="61">
        <f>Allocation[[#This Row],[Total volume used]]/VLOOKUP(Allocation[[#This Row],[Delivery ID]],Delivery[[Delivery ID]:[Quantity delivered]],3,FALSE)</f>
        <v>0.56333518930957682</v>
      </c>
      <c r="V2411" s="34" t="e">
        <f>VLOOKUP(Allocation[[#This Row],[SAP Contract number]],Shipments[[SAP Contract number]:[Contracted container weight]],2,FALSE)</f>
        <v>#N/A</v>
      </c>
      <c r="W2411" s="34" t="e">
        <f>VLOOKUP(Allocation[[#This Row],[SAP Contract number]],Shipments[[SAP Contract number]:[AAA Premium USD]],24,FALSE)</f>
        <v>#N/A</v>
      </c>
      <c r="X2411" s="34" t="e">
        <f>VLOOKUP(Allocation[[#This Row],[SAP Contract number]],Shipments[[SAP Contract number]:[RA Premium USD]],25,FALSE)</f>
        <v>#N/A</v>
      </c>
      <c r="Y2411" s="38">
        <f>Allocation[[#This Row],[Quantity Processed]]/Allocation[[#This Row],[Quantity allocated]]</f>
        <v>2.5</v>
      </c>
      <c r="Z2411" s="34" t="b">
        <f>Allocation[[#This Row],[Quantity allocated]]&lt;=Allocation[[#This Row],[Quantity Processed]]</f>
        <v>1</v>
      </c>
    </row>
    <row r="2412" spans="1:26">
      <c r="A2412" s="247" t="s">
        <v>467</v>
      </c>
      <c r="B2412" s="210" t="s">
        <v>68</v>
      </c>
      <c r="C2412" s="254" t="s">
        <v>1790</v>
      </c>
      <c r="D2412" s="255">
        <v>2070</v>
      </c>
      <c r="E2412" s="211" t="s">
        <v>1962</v>
      </c>
      <c r="F2412" s="212">
        <v>43651</v>
      </c>
      <c r="G2412" s="213">
        <v>2.6</v>
      </c>
      <c r="H2412" s="256">
        <v>890</v>
      </c>
      <c r="I2412" s="214">
        <v>1466001</v>
      </c>
      <c r="J2412" s="215">
        <v>20700</v>
      </c>
      <c r="K2412" s="212">
        <v>43651</v>
      </c>
      <c r="L2412" s="211" t="s">
        <v>1975</v>
      </c>
      <c r="M2412" s="216">
        <v>4615447218</v>
      </c>
      <c r="N2412" s="212"/>
      <c r="O2412" s="218"/>
      <c r="P2412" s="219"/>
      <c r="Q2412" s="34">
        <f>SUMIF(Allocation[Delivery ID],Allocation[[#This Row],[Delivery ID]],Allocation[Quantity Processed])</f>
        <v>33360</v>
      </c>
      <c r="R2412" s="61">
        <f>Allocation[[#This Row],[Total volume used]]/VLOOKUP(Allocation[[#This Row],[Delivery ID]],Delivery[[Delivery ID]:[Quantity delivered]],3,FALSE)</f>
        <v>1</v>
      </c>
      <c r="S2412" s="34">
        <f>Allocation[[#This Row],[Quantity Processed]]/Allocation[[#This Row],[Dilution rate]]</f>
        <v>796.15384615384608</v>
      </c>
      <c r="T2412" s="59">
        <f>SUMIF(Allocation[Delivery ID],Allocation[[#This Row],[Delivery ID]],Allocation[Quantity allocated])/SUMIF(Allocation[Delivery ID],Allocation[[#This Row],[Delivery ID]],Allocation[Volume available (kg)])</f>
        <v>0.98629285076212725</v>
      </c>
      <c r="U2412" s="61">
        <f>Allocation[[#This Row],[Total volume used]]/VLOOKUP(Allocation[[#This Row],[Delivery ID]],Delivery[[Delivery ID]:[Quantity delivered]],3,FALSE)</f>
        <v>1</v>
      </c>
      <c r="V2412" s="34" t="e">
        <f>VLOOKUP(Allocation[[#This Row],[SAP Contract number]],Shipments[[SAP Contract number]:[Contracted container weight]],2,FALSE)</f>
        <v>#N/A</v>
      </c>
      <c r="W2412" s="34" t="e">
        <f>VLOOKUP(Allocation[[#This Row],[SAP Contract number]],Shipments[[SAP Contract number]:[AAA Premium USD]],24,FALSE)</f>
        <v>#N/A</v>
      </c>
      <c r="X2412" s="34" t="e">
        <f>VLOOKUP(Allocation[[#This Row],[SAP Contract number]],Shipments[[SAP Contract number]:[RA Premium USD]],25,FALSE)</f>
        <v>#N/A</v>
      </c>
      <c r="Y2412" s="38">
        <f>Allocation[[#This Row],[Quantity Processed]]/Allocation[[#This Row],[Quantity allocated]]</f>
        <v>2.3258426966292136</v>
      </c>
      <c r="Z2412" s="34" t="b">
        <f>Allocation[[#This Row],[Quantity allocated]]&lt;=Allocation[[#This Row],[Quantity Processed]]</f>
        <v>1</v>
      </c>
    </row>
    <row r="2413" spans="1:26">
      <c r="A2413" s="247" t="s">
        <v>467</v>
      </c>
      <c r="B2413" s="210" t="s">
        <v>68</v>
      </c>
      <c r="C2413" s="254" t="s">
        <v>1790</v>
      </c>
      <c r="D2413" s="255">
        <v>10256</v>
      </c>
      <c r="E2413" s="211" t="s">
        <v>1962</v>
      </c>
      <c r="F2413" s="212">
        <v>43651</v>
      </c>
      <c r="G2413" s="213">
        <v>2.6</v>
      </c>
      <c r="H2413" s="256">
        <v>4410</v>
      </c>
      <c r="I2413" s="214">
        <v>1466002</v>
      </c>
      <c r="J2413" s="215">
        <v>20700</v>
      </c>
      <c r="K2413" s="212">
        <v>43651</v>
      </c>
      <c r="L2413" s="211" t="s">
        <v>1976</v>
      </c>
      <c r="M2413" s="216">
        <v>4615447218</v>
      </c>
      <c r="N2413" s="212"/>
      <c r="O2413" s="218"/>
      <c r="P2413" s="219"/>
      <c r="Q2413" s="34">
        <f>SUMIF(Allocation[Delivery ID],Allocation[[#This Row],[Delivery ID]],Allocation[Quantity Processed])</f>
        <v>33360</v>
      </c>
      <c r="R2413" s="61">
        <f>Allocation[[#This Row],[Total volume used]]/VLOOKUP(Allocation[[#This Row],[Delivery ID]],Delivery[[Delivery ID]:[Quantity delivered]],3,FALSE)</f>
        <v>1</v>
      </c>
      <c r="S2413" s="34">
        <f>Allocation[[#This Row],[Quantity Processed]]/Allocation[[#This Row],[Dilution rate]]</f>
        <v>3944.6153846153843</v>
      </c>
      <c r="T2413" s="59">
        <f>SUMIF(Allocation[Delivery ID],Allocation[[#This Row],[Delivery ID]],Allocation[Quantity allocated])/SUMIF(Allocation[Delivery ID],Allocation[[#This Row],[Delivery ID]],Allocation[Volume available (kg)])</f>
        <v>0.98629285076212725</v>
      </c>
      <c r="U2413" s="61">
        <f>Allocation[[#This Row],[Total volume used]]/VLOOKUP(Allocation[[#This Row],[Delivery ID]],Delivery[[Delivery ID]:[Quantity delivered]],3,FALSE)</f>
        <v>1</v>
      </c>
      <c r="V2413" s="34" t="e">
        <f>VLOOKUP(Allocation[[#This Row],[SAP Contract number]],Shipments[[SAP Contract number]:[Contracted container weight]],2,FALSE)</f>
        <v>#N/A</v>
      </c>
      <c r="W2413" s="34" t="e">
        <f>VLOOKUP(Allocation[[#This Row],[SAP Contract number]],Shipments[[SAP Contract number]:[AAA Premium USD]],24,FALSE)</f>
        <v>#N/A</v>
      </c>
      <c r="X2413" s="34" t="e">
        <f>VLOOKUP(Allocation[[#This Row],[SAP Contract number]],Shipments[[SAP Contract number]:[RA Premium USD]],25,FALSE)</f>
        <v>#N/A</v>
      </c>
      <c r="Y2413" s="38">
        <f>Allocation[[#This Row],[Quantity Processed]]/Allocation[[#This Row],[Quantity allocated]]</f>
        <v>2.3256235827664398</v>
      </c>
      <c r="Z2413" s="34" t="b">
        <f>Allocation[[#This Row],[Quantity allocated]]&lt;=Allocation[[#This Row],[Quantity Processed]]</f>
        <v>1</v>
      </c>
    </row>
    <row r="2414" spans="1:26">
      <c r="A2414" s="247" t="s">
        <v>467</v>
      </c>
      <c r="B2414" s="210" t="s">
        <v>68</v>
      </c>
      <c r="C2414" s="254" t="s">
        <v>1791</v>
      </c>
      <c r="D2414" s="255">
        <v>5165</v>
      </c>
      <c r="E2414" s="211" t="s">
        <v>1962</v>
      </c>
      <c r="F2414" s="212">
        <v>43651</v>
      </c>
      <c r="G2414" s="213">
        <v>2.6</v>
      </c>
      <c r="H2414" s="256">
        <v>2066</v>
      </c>
      <c r="I2414" s="214">
        <v>1466002</v>
      </c>
      <c r="J2414" s="215">
        <v>20700</v>
      </c>
      <c r="K2414" s="212">
        <v>43651</v>
      </c>
      <c r="L2414" s="211" t="s">
        <v>1976</v>
      </c>
      <c r="M2414" s="216">
        <v>4615447218</v>
      </c>
      <c r="N2414" s="212"/>
      <c r="O2414" s="218"/>
      <c r="P2414" s="219"/>
      <c r="Q2414" s="34">
        <f>SUMIF(Allocation[Delivery ID],Allocation[[#This Row],[Delivery ID]],Allocation[Quantity Processed])</f>
        <v>11408</v>
      </c>
      <c r="R2414" s="61">
        <f>Allocation[[#This Row],[Total volume used]]/VLOOKUP(Allocation[[#This Row],[Delivery ID]],Delivery[[Delivery ID]:[Quantity delivered]],3,FALSE)</f>
        <v>0.68188882247459648</v>
      </c>
      <c r="S2414" s="34">
        <f>Allocation[[#This Row],[Quantity Processed]]/Allocation[[#This Row],[Dilution rate]]</f>
        <v>1986.5384615384614</v>
      </c>
      <c r="T2414" s="59">
        <f>SUMIF(Allocation[Delivery ID],Allocation[[#This Row],[Delivery ID]],Allocation[Quantity allocated])/SUMIF(Allocation[Delivery ID],Allocation[[#This Row],[Delivery ID]],Allocation[Volume available (kg)])</f>
        <v>1.0624926655320888</v>
      </c>
      <c r="U2414" s="61">
        <f>Allocation[[#This Row],[Total volume used]]/VLOOKUP(Allocation[[#This Row],[Delivery ID]],Delivery[[Delivery ID]:[Quantity delivered]],3,FALSE)</f>
        <v>0.68188882247459648</v>
      </c>
      <c r="V2414" s="34" t="e">
        <f>VLOOKUP(Allocation[[#This Row],[SAP Contract number]],Shipments[[SAP Contract number]:[Contracted container weight]],2,FALSE)</f>
        <v>#N/A</v>
      </c>
      <c r="W2414" s="34" t="e">
        <f>VLOOKUP(Allocation[[#This Row],[SAP Contract number]],Shipments[[SAP Contract number]:[AAA Premium USD]],24,FALSE)</f>
        <v>#N/A</v>
      </c>
      <c r="X2414" s="34" t="e">
        <f>VLOOKUP(Allocation[[#This Row],[SAP Contract number]],Shipments[[SAP Contract number]:[RA Premium USD]],25,FALSE)</f>
        <v>#N/A</v>
      </c>
      <c r="Y2414" s="38">
        <f>Allocation[[#This Row],[Quantity Processed]]/Allocation[[#This Row],[Quantity allocated]]</f>
        <v>2.5</v>
      </c>
      <c r="Z2414" s="34" t="b">
        <f>Allocation[[#This Row],[Quantity allocated]]&lt;=Allocation[[#This Row],[Quantity Processed]]</f>
        <v>1</v>
      </c>
    </row>
    <row r="2415" spans="1:26">
      <c r="A2415" s="247" t="s">
        <v>467</v>
      </c>
      <c r="B2415" s="210" t="s">
        <v>68</v>
      </c>
      <c r="C2415" s="254" t="s">
        <v>1796</v>
      </c>
      <c r="D2415" s="255">
        <v>13495</v>
      </c>
      <c r="E2415" s="211" t="s">
        <v>1962</v>
      </c>
      <c r="F2415" s="212">
        <v>43651</v>
      </c>
      <c r="G2415" s="213">
        <v>2.6</v>
      </c>
      <c r="H2415" s="256">
        <v>5398</v>
      </c>
      <c r="I2415" s="214">
        <v>1466002</v>
      </c>
      <c r="J2415" s="215">
        <v>20700</v>
      </c>
      <c r="K2415" s="212">
        <v>43651</v>
      </c>
      <c r="L2415" s="211" t="s">
        <v>1976</v>
      </c>
      <c r="M2415" s="216">
        <v>4615447218</v>
      </c>
      <c r="N2415" s="212"/>
      <c r="O2415" s="218"/>
      <c r="P2415" s="219"/>
      <c r="Q2415" s="34">
        <f>SUMIF(Allocation[Delivery ID],Allocation[[#This Row],[Delivery ID]],Allocation[Quantity Processed])</f>
        <v>30903</v>
      </c>
      <c r="R2415" s="61">
        <f>Allocation[[#This Row],[Total volume used]]/VLOOKUP(Allocation[[#This Row],[Delivery ID]],Delivery[[Delivery ID]:[Quantity delivered]],3,FALSE)</f>
        <v>0.81818903891977757</v>
      </c>
      <c r="S2415" s="34">
        <f>Allocation[[#This Row],[Quantity Processed]]/Allocation[[#This Row],[Dilution rate]]</f>
        <v>5190.3846153846152</v>
      </c>
      <c r="T2415" s="59">
        <f>SUMIF(Allocation[Delivery ID],Allocation[[#This Row],[Delivery ID]],Allocation[Quantity allocated])/SUMIF(Allocation[Delivery ID],Allocation[[#This Row],[Delivery ID]],Allocation[Volume available (kg)])</f>
        <v>1.0621430573593007</v>
      </c>
      <c r="U2415" s="61">
        <f>Allocation[[#This Row],[Total volume used]]/VLOOKUP(Allocation[[#This Row],[Delivery ID]],Delivery[[Delivery ID]:[Quantity delivered]],3,FALSE)</f>
        <v>0.81818903891977757</v>
      </c>
      <c r="V2415" s="34" t="e">
        <f>VLOOKUP(Allocation[[#This Row],[SAP Contract number]],Shipments[[SAP Contract number]:[Contracted container weight]],2,FALSE)</f>
        <v>#N/A</v>
      </c>
      <c r="W2415" s="34" t="e">
        <f>VLOOKUP(Allocation[[#This Row],[SAP Contract number]],Shipments[[SAP Contract number]:[AAA Premium USD]],24,FALSE)</f>
        <v>#N/A</v>
      </c>
      <c r="X2415" s="34" t="e">
        <f>VLOOKUP(Allocation[[#This Row],[SAP Contract number]],Shipments[[SAP Contract number]:[RA Premium USD]],25,FALSE)</f>
        <v>#N/A</v>
      </c>
      <c r="Y2415" s="38">
        <f>Allocation[[#This Row],[Quantity Processed]]/Allocation[[#This Row],[Quantity allocated]]</f>
        <v>2.5</v>
      </c>
      <c r="Z2415" s="34" t="b">
        <f>Allocation[[#This Row],[Quantity allocated]]&lt;=Allocation[[#This Row],[Quantity Processed]]</f>
        <v>1</v>
      </c>
    </row>
    <row r="2416" spans="1:26">
      <c r="A2416" s="247" t="s">
        <v>467</v>
      </c>
      <c r="B2416" s="210" t="s">
        <v>68</v>
      </c>
      <c r="C2416" s="254" t="s">
        <v>1797</v>
      </c>
      <c r="D2416" s="255">
        <v>8157</v>
      </c>
      <c r="E2416" s="211" t="s">
        <v>1962</v>
      </c>
      <c r="F2416" s="212">
        <v>43651</v>
      </c>
      <c r="G2416" s="213">
        <v>2.6</v>
      </c>
      <c r="H2416" s="256">
        <v>4323</v>
      </c>
      <c r="I2416" s="214">
        <v>1466002</v>
      </c>
      <c r="J2416" s="215">
        <v>20700</v>
      </c>
      <c r="K2416" s="212">
        <v>43651</v>
      </c>
      <c r="L2416" s="211" t="s">
        <v>1976</v>
      </c>
      <c r="M2416" s="216">
        <v>4615447218</v>
      </c>
      <c r="N2416" s="212"/>
      <c r="O2416" s="218"/>
      <c r="P2416" s="219"/>
      <c r="Q2416" s="34">
        <f>SUMIF(Allocation[Delivery ID],Allocation[[#This Row],[Delivery ID]],Allocation[Quantity Processed])</f>
        <v>18902</v>
      </c>
      <c r="R2416" s="61">
        <f>Allocation[[#This Row],[Total volume used]]/VLOOKUP(Allocation[[#This Row],[Delivery ID]],Delivery[[Delivery ID]:[Quantity delivered]],3,FALSE)</f>
        <v>0.59477658904971675</v>
      </c>
      <c r="S2416" s="34">
        <f>Allocation[[#This Row],[Quantity Processed]]/Allocation[[#This Row],[Dilution rate]]</f>
        <v>3137.3076923076924</v>
      </c>
      <c r="T2416" s="59">
        <f>SUMIF(Allocation[Delivery ID],Allocation[[#This Row],[Delivery ID]],Allocation[Quantity allocated])/SUMIF(Allocation[Delivery ID],Allocation[[#This Row],[Delivery ID]],Allocation[Volume available (kg)])</f>
        <v>1.4076279650686838</v>
      </c>
      <c r="U2416" s="61">
        <f>Allocation[[#This Row],[Total volume used]]/VLOOKUP(Allocation[[#This Row],[Delivery ID]],Delivery[[Delivery ID]:[Quantity delivered]],3,FALSE)</f>
        <v>0.59477658904971675</v>
      </c>
      <c r="V2416" s="34" t="e">
        <f>VLOOKUP(Allocation[[#This Row],[SAP Contract number]],Shipments[[SAP Contract number]:[Contracted container weight]],2,FALSE)</f>
        <v>#N/A</v>
      </c>
      <c r="W2416" s="34" t="e">
        <f>VLOOKUP(Allocation[[#This Row],[SAP Contract number]],Shipments[[SAP Contract number]:[AAA Premium USD]],24,FALSE)</f>
        <v>#N/A</v>
      </c>
      <c r="X2416" s="34" t="e">
        <f>VLOOKUP(Allocation[[#This Row],[SAP Contract number]],Shipments[[SAP Contract number]:[RA Premium USD]],25,FALSE)</f>
        <v>#N/A</v>
      </c>
      <c r="Y2416" s="38">
        <f>Allocation[[#This Row],[Quantity Processed]]/Allocation[[#This Row],[Quantity allocated]]</f>
        <v>1.886884108258154</v>
      </c>
      <c r="Z2416" s="34" t="b">
        <f>Allocation[[#This Row],[Quantity allocated]]&lt;=Allocation[[#This Row],[Quantity Processed]]</f>
        <v>1</v>
      </c>
    </row>
    <row r="2417" spans="1:26">
      <c r="A2417" s="247" t="s">
        <v>467</v>
      </c>
      <c r="B2417" s="210" t="s">
        <v>68</v>
      </c>
      <c r="C2417" s="254" t="s">
        <v>1799</v>
      </c>
      <c r="D2417" s="255">
        <v>7336</v>
      </c>
      <c r="E2417" s="211" t="s">
        <v>1962</v>
      </c>
      <c r="F2417" s="212">
        <v>43651</v>
      </c>
      <c r="G2417" s="213">
        <v>2.6</v>
      </c>
      <c r="H2417" s="256">
        <v>2421</v>
      </c>
      <c r="I2417" s="214">
        <v>1466002</v>
      </c>
      <c r="J2417" s="215">
        <v>20700</v>
      </c>
      <c r="K2417" s="212">
        <v>43651</v>
      </c>
      <c r="L2417" s="211" t="s">
        <v>1976</v>
      </c>
      <c r="M2417" s="216">
        <v>4615447218</v>
      </c>
      <c r="N2417" s="212"/>
      <c r="O2417" s="218"/>
      <c r="P2417" s="219"/>
      <c r="Q2417" s="34">
        <f>SUMIF(Allocation[Delivery ID],Allocation[[#This Row],[Delivery ID]],Allocation[Quantity Processed])</f>
        <v>15709</v>
      </c>
      <c r="R2417" s="61">
        <f>Allocation[[#This Row],[Total volume used]]/VLOOKUP(Allocation[[#This Row],[Delivery ID]],Delivery[[Delivery ID]:[Quantity delivered]],3,FALSE)</f>
        <v>0.50739664082687341</v>
      </c>
      <c r="S2417" s="34">
        <f>Allocation[[#This Row],[Quantity Processed]]/Allocation[[#This Row],[Dilution rate]]</f>
        <v>2821.5384615384614</v>
      </c>
      <c r="T2417" s="59">
        <f>SUMIF(Allocation[Delivery ID],Allocation[[#This Row],[Delivery ID]],Allocation[Quantity allocated])/SUMIF(Allocation[Delivery ID],Allocation[[#This Row],[Delivery ID]],Allocation[Volume available (kg)])</f>
        <v>0.90807495551084694</v>
      </c>
      <c r="U2417" s="61">
        <f>Allocation[[#This Row],[Total volume used]]/VLOOKUP(Allocation[[#This Row],[Delivery ID]],Delivery[[Delivery ID]:[Quantity delivered]],3,FALSE)</f>
        <v>0.50739664082687341</v>
      </c>
      <c r="V2417" s="34" t="e">
        <f>VLOOKUP(Allocation[[#This Row],[SAP Contract number]],Shipments[[SAP Contract number]:[Contracted container weight]],2,FALSE)</f>
        <v>#N/A</v>
      </c>
      <c r="W2417" s="34" t="e">
        <f>VLOOKUP(Allocation[[#This Row],[SAP Contract number]],Shipments[[SAP Contract number]:[AAA Premium USD]],24,FALSE)</f>
        <v>#N/A</v>
      </c>
      <c r="X2417" s="34" t="e">
        <f>VLOOKUP(Allocation[[#This Row],[SAP Contract number]],Shipments[[SAP Contract number]:[RA Premium USD]],25,FALSE)</f>
        <v>#N/A</v>
      </c>
      <c r="Y2417" s="38">
        <f>Allocation[[#This Row],[Quantity Processed]]/Allocation[[#This Row],[Quantity allocated]]</f>
        <v>3.0301528294093352</v>
      </c>
      <c r="Z2417" s="34" t="b">
        <f>Allocation[[#This Row],[Quantity allocated]]&lt;=Allocation[[#This Row],[Quantity Processed]]</f>
        <v>1</v>
      </c>
    </row>
    <row r="2418" spans="1:26">
      <c r="A2418" s="247" t="s">
        <v>467</v>
      </c>
      <c r="B2418" s="210" t="s">
        <v>68</v>
      </c>
      <c r="C2418" s="254" t="s">
        <v>1801</v>
      </c>
      <c r="D2418" s="255">
        <v>5194</v>
      </c>
      <c r="E2418" s="211" t="s">
        <v>1962</v>
      </c>
      <c r="F2418" s="212">
        <v>43651</v>
      </c>
      <c r="G2418" s="213">
        <v>2.6</v>
      </c>
      <c r="H2418" s="256">
        <v>1714</v>
      </c>
      <c r="I2418" s="214">
        <v>1466002</v>
      </c>
      <c r="J2418" s="215">
        <v>20700</v>
      </c>
      <c r="K2418" s="212">
        <v>43651</v>
      </c>
      <c r="L2418" s="211" t="s">
        <v>1976</v>
      </c>
      <c r="M2418" s="216">
        <v>4615447218</v>
      </c>
      <c r="N2418" s="212"/>
      <c r="O2418" s="218"/>
      <c r="P2418" s="219"/>
      <c r="Q2418" s="34">
        <f>SUMIF(Allocation[Delivery ID],Allocation[[#This Row],[Delivery ID]],Allocation[Quantity Processed])</f>
        <v>11121</v>
      </c>
      <c r="R2418" s="61">
        <f>Allocation[[#This Row],[Total volume used]]/VLOOKUP(Allocation[[#This Row],[Delivery ID]],Delivery[[Delivery ID]:[Quantity delivered]],3,FALSE)</f>
        <v>0.35920542635658914</v>
      </c>
      <c r="S2418" s="34">
        <f>Allocation[[#This Row],[Quantity Processed]]/Allocation[[#This Row],[Dilution rate]]</f>
        <v>1997.6923076923076</v>
      </c>
      <c r="T2418" s="59">
        <f>SUMIF(Allocation[Delivery ID],Allocation[[#This Row],[Delivery ID]],Allocation[Quantity allocated])/SUMIF(Allocation[Delivery ID],Allocation[[#This Row],[Delivery ID]],Allocation[Volume available (kg)])</f>
        <v>0.90808196161823007</v>
      </c>
      <c r="U2418" s="61">
        <f>Allocation[[#This Row],[Total volume used]]/VLOOKUP(Allocation[[#This Row],[Delivery ID]],Delivery[[Delivery ID]:[Quantity delivered]],3,FALSE)</f>
        <v>0.35920542635658914</v>
      </c>
      <c r="V2418" s="34" t="e">
        <f>VLOOKUP(Allocation[[#This Row],[SAP Contract number]],Shipments[[SAP Contract number]:[Contracted container weight]],2,FALSE)</f>
        <v>#N/A</v>
      </c>
      <c r="W2418" s="34" t="e">
        <f>VLOOKUP(Allocation[[#This Row],[SAP Contract number]],Shipments[[SAP Contract number]:[AAA Premium USD]],24,FALSE)</f>
        <v>#N/A</v>
      </c>
      <c r="X2418" s="34" t="e">
        <f>VLOOKUP(Allocation[[#This Row],[SAP Contract number]],Shipments[[SAP Contract number]:[RA Premium USD]],25,FALSE)</f>
        <v>#N/A</v>
      </c>
      <c r="Y2418" s="38">
        <f>Allocation[[#This Row],[Quantity Processed]]/Allocation[[#This Row],[Quantity allocated]]</f>
        <v>3.0303383897316221</v>
      </c>
      <c r="Z2418" s="34" t="b">
        <f>Allocation[[#This Row],[Quantity allocated]]&lt;=Allocation[[#This Row],[Quantity Processed]]</f>
        <v>1</v>
      </c>
    </row>
    <row r="2419" spans="1:26">
      <c r="A2419" s="247" t="s">
        <v>467</v>
      </c>
      <c r="B2419" s="210" t="s">
        <v>68</v>
      </c>
      <c r="C2419" s="254" t="s">
        <v>1802</v>
      </c>
      <c r="D2419" s="255">
        <v>694</v>
      </c>
      <c r="E2419" s="211" t="s">
        <v>1962</v>
      </c>
      <c r="F2419" s="212">
        <v>43651</v>
      </c>
      <c r="G2419" s="213">
        <v>2.6</v>
      </c>
      <c r="H2419" s="256">
        <v>368</v>
      </c>
      <c r="I2419" s="214">
        <v>1466002</v>
      </c>
      <c r="J2419" s="215">
        <v>20700</v>
      </c>
      <c r="K2419" s="212">
        <v>43651</v>
      </c>
      <c r="L2419" s="211" t="s">
        <v>1976</v>
      </c>
      <c r="M2419" s="216">
        <v>4615447218</v>
      </c>
      <c r="N2419" s="212"/>
      <c r="O2419" s="218"/>
      <c r="P2419" s="219"/>
      <c r="Q2419" s="34">
        <f>SUMIF(Allocation[Delivery ID],Allocation[[#This Row],[Delivery ID]],Allocation[Quantity Processed])</f>
        <v>10087</v>
      </c>
      <c r="R2419" s="61">
        <f>Allocation[[#This Row],[Total volume used]]/VLOOKUP(Allocation[[#This Row],[Delivery ID]],Delivery[[Delivery ID]:[Quantity delivered]],3,FALSE)</f>
        <v>0.55914634146341469</v>
      </c>
      <c r="S2419" s="34">
        <f>Allocation[[#This Row],[Quantity Processed]]/Allocation[[#This Row],[Dilution rate]]</f>
        <v>266.92307692307691</v>
      </c>
      <c r="T2419" s="59">
        <f>SUMIF(Allocation[Delivery ID],Allocation[[#This Row],[Delivery ID]],Allocation[Quantity allocated])/SUMIF(Allocation[Delivery ID],Allocation[[#This Row],[Delivery ID]],Allocation[Volume available (kg)])</f>
        <v>1.4061463063711164</v>
      </c>
      <c r="U2419" s="61">
        <f>Allocation[[#This Row],[Total volume used]]/VLOOKUP(Allocation[[#This Row],[Delivery ID]],Delivery[[Delivery ID]:[Quantity delivered]],3,FALSE)</f>
        <v>0.55914634146341469</v>
      </c>
      <c r="V2419" s="34" t="e">
        <f>VLOOKUP(Allocation[[#This Row],[SAP Contract number]],Shipments[[SAP Contract number]:[Contracted container weight]],2,FALSE)</f>
        <v>#N/A</v>
      </c>
      <c r="W2419" s="34" t="e">
        <f>VLOOKUP(Allocation[[#This Row],[SAP Contract number]],Shipments[[SAP Contract number]:[AAA Premium USD]],24,FALSE)</f>
        <v>#N/A</v>
      </c>
      <c r="X2419" s="34" t="e">
        <f>VLOOKUP(Allocation[[#This Row],[SAP Contract number]],Shipments[[SAP Contract number]:[RA Premium USD]],25,FALSE)</f>
        <v>#N/A</v>
      </c>
      <c r="Y2419" s="38">
        <f>Allocation[[#This Row],[Quantity Processed]]/Allocation[[#This Row],[Quantity allocated]]</f>
        <v>1.8858695652173914</v>
      </c>
      <c r="Z2419" s="34" t="b">
        <f>Allocation[[#This Row],[Quantity allocated]]&lt;=Allocation[[#This Row],[Quantity Processed]]</f>
        <v>1</v>
      </c>
    </row>
    <row r="2420" spans="1:26">
      <c r="A2420" s="247" t="s">
        <v>467</v>
      </c>
      <c r="B2420" s="210" t="s">
        <v>68</v>
      </c>
      <c r="C2420" s="254" t="s">
        <v>1802</v>
      </c>
      <c r="D2420" s="255">
        <v>3936</v>
      </c>
      <c r="E2420" s="211" t="s">
        <v>1962</v>
      </c>
      <c r="F2420" s="212">
        <v>43651</v>
      </c>
      <c r="G2420" s="213">
        <v>2.6</v>
      </c>
      <c r="H2420" s="256">
        <v>2086</v>
      </c>
      <c r="I2420" s="214">
        <v>1466003</v>
      </c>
      <c r="J2420" s="215">
        <v>20700</v>
      </c>
      <c r="K2420" s="212">
        <v>43651</v>
      </c>
      <c r="L2420" s="211" t="s">
        <v>1977</v>
      </c>
      <c r="M2420" s="216">
        <v>4615447218</v>
      </c>
      <c r="N2420" s="212"/>
      <c r="O2420" s="218"/>
      <c r="P2420" s="219"/>
      <c r="Q2420" s="34">
        <f>SUMIF(Allocation[Delivery ID],Allocation[[#This Row],[Delivery ID]],Allocation[Quantity Processed])</f>
        <v>10087</v>
      </c>
      <c r="R2420" s="61">
        <f>Allocation[[#This Row],[Total volume used]]/VLOOKUP(Allocation[[#This Row],[Delivery ID]],Delivery[[Delivery ID]:[Quantity delivered]],3,FALSE)</f>
        <v>0.55914634146341469</v>
      </c>
      <c r="S2420" s="34">
        <f>Allocation[[#This Row],[Quantity Processed]]/Allocation[[#This Row],[Dilution rate]]</f>
        <v>1513.8461538461538</v>
      </c>
      <c r="T2420" s="59">
        <f>SUMIF(Allocation[Delivery ID],Allocation[[#This Row],[Delivery ID]],Allocation[Quantity allocated])/SUMIF(Allocation[Delivery ID],Allocation[[#This Row],[Delivery ID]],Allocation[Volume available (kg)])</f>
        <v>1.4061463063711164</v>
      </c>
      <c r="U2420" s="61">
        <f>Allocation[[#This Row],[Total volume used]]/VLOOKUP(Allocation[[#This Row],[Delivery ID]],Delivery[[Delivery ID]:[Quantity delivered]],3,FALSE)</f>
        <v>0.55914634146341469</v>
      </c>
      <c r="V2420" s="34" t="e">
        <f>VLOOKUP(Allocation[[#This Row],[SAP Contract number]],Shipments[[SAP Contract number]:[Contracted container weight]],2,FALSE)</f>
        <v>#N/A</v>
      </c>
      <c r="W2420" s="34" t="e">
        <f>VLOOKUP(Allocation[[#This Row],[SAP Contract number]],Shipments[[SAP Contract number]:[AAA Premium USD]],24,FALSE)</f>
        <v>#N/A</v>
      </c>
      <c r="X2420" s="34" t="e">
        <f>VLOOKUP(Allocation[[#This Row],[SAP Contract number]],Shipments[[SAP Contract number]:[RA Premium USD]],25,FALSE)</f>
        <v>#N/A</v>
      </c>
      <c r="Y2420" s="38">
        <f>Allocation[[#This Row],[Quantity Processed]]/Allocation[[#This Row],[Quantity allocated]]</f>
        <v>1.8868648130393098</v>
      </c>
      <c r="Z2420" s="34" t="b">
        <f>Allocation[[#This Row],[Quantity allocated]]&lt;=Allocation[[#This Row],[Quantity Processed]]</f>
        <v>1</v>
      </c>
    </row>
    <row r="2421" spans="1:26">
      <c r="A2421" s="247" t="s">
        <v>467</v>
      </c>
      <c r="B2421" s="210" t="s">
        <v>68</v>
      </c>
      <c r="C2421" s="254" t="s">
        <v>1805</v>
      </c>
      <c r="D2421" s="255">
        <v>13586</v>
      </c>
      <c r="E2421" s="211" t="s">
        <v>1962</v>
      </c>
      <c r="F2421" s="212">
        <v>43651</v>
      </c>
      <c r="G2421" s="213">
        <v>2.6</v>
      </c>
      <c r="H2421" s="256">
        <v>4484</v>
      </c>
      <c r="I2421" s="214">
        <v>1466003</v>
      </c>
      <c r="J2421" s="215">
        <v>20700</v>
      </c>
      <c r="K2421" s="212">
        <v>43651</v>
      </c>
      <c r="L2421" s="211" t="s">
        <v>1977</v>
      </c>
      <c r="M2421" s="216">
        <v>4615447218</v>
      </c>
      <c r="N2421" s="212"/>
      <c r="O2421" s="218"/>
      <c r="P2421" s="219"/>
      <c r="Q2421" s="34">
        <f>SUMIF(Allocation[Delivery ID],Allocation[[#This Row],[Delivery ID]],Allocation[Quantity Processed])</f>
        <v>30910</v>
      </c>
      <c r="R2421" s="61">
        <f>Allocation[[#This Row],[Total volume used]]/VLOOKUP(Allocation[[#This Row],[Delivery ID]],Delivery[[Delivery ID]:[Quantity delivered]],3,FALSE)</f>
        <v>1</v>
      </c>
      <c r="S2421" s="34">
        <f>Allocation[[#This Row],[Quantity Processed]]/Allocation[[#This Row],[Dilution rate]]</f>
        <v>5225.3846153846152</v>
      </c>
      <c r="T2421" s="59">
        <f>SUMIF(Allocation[Delivery ID],Allocation[[#This Row],[Delivery ID]],Allocation[Quantity allocated])/SUMIF(Allocation[Delivery ID],Allocation[[#This Row],[Delivery ID]],Allocation[Volume available (kg)])</f>
        <v>0.87624803302799903</v>
      </c>
      <c r="U2421" s="61">
        <f>Allocation[[#This Row],[Total volume used]]/VLOOKUP(Allocation[[#This Row],[Delivery ID]],Delivery[[Delivery ID]:[Quantity delivered]],3,FALSE)</f>
        <v>1</v>
      </c>
      <c r="V2421" s="34" t="e">
        <f>VLOOKUP(Allocation[[#This Row],[SAP Contract number]],Shipments[[SAP Contract number]:[Contracted container weight]],2,FALSE)</f>
        <v>#N/A</v>
      </c>
      <c r="W2421" s="34" t="e">
        <f>VLOOKUP(Allocation[[#This Row],[SAP Contract number]],Shipments[[SAP Contract number]:[AAA Premium USD]],24,FALSE)</f>
        <v>#N/A</v>
      </c>
      <c r="X2421" s="34" t="e">
        <f>VLOOKUP(Allocation[[#This Row],[SAP Contract number]],Shipments[[SAP Contract number]:[RA Premium USD]],25,FALSE)</f>
        <v>#N/A</v>
      </c>
      <c r="Y2421" s="38">
        <f>Allocation[[#This Row],[Quantity Processed]]/Allocation[[#This Row],[Quantity allocated]]</f>
        <v>3.0298840321141838</v>
      </c>
      <c r="Z2421" s="34" t="b">
        <f>Allocation[[#This Row],[Quantity allocated]]&lt;=Allocation[[#This Row],[Quantity Processed]]</f>
        <v>1</v>
      </c>
    </row>
    <row r="2422" spans="1:26">
      <c r="A2422" s="247" t="s">
        <v>467</v>
      </c>
      <c r="B2422" s="210" t="s">
        <v>68</v>
      </c>
      <c r="C2422" s="254" t="s">
        <v>1806</v>
      </c>
      <c r="D2422" s="255">
        <v>5130</v>
      </c>
      <c r="E2422" s="211" t="s">
        <v>1962</v>
      </c>
      <c r="F2422" s="212">
        <v>43651</v>
      </c>
      <c r="G2422" s="213">
        <v>2.6</v>
      </c>
      <c r="H2422" s="256">
        <v>1693</v>
      </c>
      <c r="I2422" s="214">
        <v>1466003</v>
      </c>
      <c r="J2422" s="215">
        <v>20700</v>
      </c>
      <c r="K2422" s="212">
        <v>43651</v>
      </c>
      <c r="L2422" s="211" t="s">
        <v>1977</v>
      </c>
      <c r="M2422" s="216">
        <v>4615447218</v>
      </c>
      <c r="N2422" s="212"/>
      <c r="O2422" s="218"/>
      <c r="P2422" s="219"/>
      <c r="Q2422" s="34">
        <f>SUMIF(Allocation[Delivery ID],Allocation[[#This Row],[Delivery ID]],Allocation[Quantity Processed])</f>
        <v>10985</v>
      </c>
      <c r="R2422" s="61">
        <f>Allocation[[#This Row],[Total volume used]]/VLOOKUP(Allocation[[#This Row],[Delivery ID]],Delivery[[Delivery ID]:[Quantity delivered]],3,FALSE)</f>
        <v>0.35922171353826032</v>
      </c>
      <c r="S2422" s="34">
        <f>Allocation[[#This Row],[Quantity Processed]]/Allocation[[#This Row],[Dilution rate]]</f>
        <v>1973.0769230769231</v>
      </c>
      <c r="T2422" s="59">
        <f>SUMIF(Allocation[Delivery ID],Allocation[[#This Row],[Delivery ID]],Allocation[Quantity allocated])/SUMIF(Allocation[Delivery ID],Allocation[[#This Row],[Delivery ID]],Allocation[Volume available (kg)])</f>
        <v>0.90805647840531556</v>
      </c>
      <c r="U2422" s="61">
        <f>Allocation[[#This Row],[Total volume used]]/VLOOKUP(Allocation[[#This Row],[Delivery ID]],Delivery[[Delivery ID]:[Quantity delivered]],3,FALSE)</f>
        <v>0.35922171353826032</v>
      </c>
      <c r="V2422" s="34" t="e">
        <f>VLOOKUP(Allocation[[#This Row],[SAP Contract number]],Shipments[[SAP Contract number]:[Contracted container weight]],2,FALSE)</f>
        <v>#N/A</v>
      </c>
      <c r="W2422" s="34" t="e">
        <f>VLOOKUP(Allocation[[#This Row],[SAP Contract number]],Shipments[[SAP Contract number]:[AAA Premium USD]],24,FALSE)</f>
        <v>#N/A</v>
      </c>
      <c r="X2422" s="34" t="e">
        <f>VLOOKUP(Allocation[[#This Row],[SAP Contract number]],Shipments[[SAP Contract number]:[RA Premium USD]],25,FALSE)</f>
        <v>#N/A</v>
      </c>
      <c r="Y2422" s="38">
        <f>Allocation[[#This Row],[Quantity Processed]]/Allocation[[#This Row],[Quantity allocated]]</f>
        <v>3.0301240401653868</v>
      </c>
      <c r="Z2422" s="34" t="b">
        <f>Allocation[[#This Row],[Quantity allocated]]&lt;=Allocation[[#This Row],[Quantity Processed]]</f>
        <v>1</v>
      </c>
    </row>
    <row r="2423" spans="1:26">
      <c r="A2423" s="247" t="s">
        <v>467</v>
      </c>
      <c r="B2423" s="210" t="s">
        <v>68</v>
      </c>
      <c r="C2423" s="254" t="s">
        <v>1808</v>
      </c>
      <c r="D2423" s="255">
        <v>10606</v>
      </c>
      <c r="E2423" s="211" t="s">
        <v>1962</v>
      </c>
      <c r="F2423" s="212">
        <v>43651</v>
      </c>
      <c r="G2423" s="213">
        <v>2.6</v>
      </c>
      <c r="H2423" s="256">
        <v>3500</v>
      </c>
      <c r="I2423" s="214">
        <v>1466003</v>
      </c>
      <c r="J2423" s="215">
        <v>20700</v>
      </c>
      <c r="K2423" s="212">
        <v>43651</v>
      </c>
      <c r="L2423" s="211" t="s">
        <v>1977</v>
      </c>
      <c r="M2423" s="216">
        <v>4615447218</v>
      </c>
      <c r="N2423" s="212"/>
      <c r="O2423" s="218"/>
      <c r="P2423" s="219"/>
      <c r="Q2423" s="34">
        <f>SUMIF(Allocation[Delivery ID],Allocation[[#This Row],[Delivery ID]],Allocation[Quantity Processed])</f>
        <v>24127</v>
      </c>
      <c r="R2423" s="61">
        <f>Allocation[[#This Row],[Total volume used]]/VLOOKUP(Allocation[[#This Row],[Delivery ID]],Delivery[[Delivery ID]:[Quantity delivered]],3,FALSE)</f>
        <v>1</v>
      </c>
      <c r="S2423" s="34">
        <f>Allocation[[#This Row],[Quantity Processed]]/Allocation[[#This Row],[Dilution rate]]</f>
        <v>4079.2307692307691</v>
      </c>
      <c r="T2423" s="59">
        <f>SUMIF(Allocation[Delivery ID],Allocation[[#This Row],[Delivery ID]],Allocation[Quantity allocated])/SUMIF(Allocation[Delivery ID],Allocation[[#This Row],[Delivery ID]],Allocation[Volume available (kg)])</f>
        <v>0.87619594048044547</v>
      </c>
      <c r="U2423" s="61">
        <f>Allocation[[#This Row],[Total volume used]]/VLOOKUP(Allocation[[#This Row],[Delivery ID]],Delivery[[Delivery ID]:[Quantity delivered]],3,FALSE)</f>
        <v>1</v>
      </c>
      <c r="V2423" s="34" t="e">
        <f>VLOOKUP(Allocation[[#This Row],[SAP Contract number]],Shipments[[SAP Contract number]:[Contracted container weight]],2,FALSE)</f>
        <v>#N/A</v>
      </c>
      <c r="W2423" s="34" t="e">
        <f>VLOOKUP(Allocation[[#This Row],[SAP Contract number]],Shipments[[SAP Contract number]:[AAA Premium USD]],24,FALSE)</f>
        <v>#N/A</v>
      </c>
      <c r="X2423" s="34" t="e">
        <f>VLOOKUP(Allocation[[#This Row],[SAP Contract number]],Shipments[[SAP Contract number]:[RA Premium USD]],25,FALSE)</f>
        <v>#N/A</v>
      </c>
      <c r="Y2423" s="38">
        <f>Allocation[[#This Row],[Quantity Processed]]/Allocation[[#This Row],[Quantity allocated]]</f>
        <v>3.0302857142857142</v>
      </c>
      <c r="Z2423" s="34" t="b">
        <f>Allocation[[#This Row],[Quantity allocated]]&lt;=Allocation[[#This Row],[Quantity Processed]]</f>
        <v>1</v>
      </c>
    </row>
    <row r="2424" spans="1:26">
      <c r="A2424" s="247" t="s">
        <v>467</v>
      </c>
      <c r="B2424" s="210" t="s">
        <v>68</v>
      </c>
      <c r="C2424" s="254" t="s">
        <v>1809</v>
      </c>
      <c r="D2424" s="255">
        <v>5136</v>
      </c>
      <c r="E2424" s="211" t="s">
        <v>1962</v>
      </c>
      <c r="F2424" s="212">
        <v>43651</v>
      </c>
      <c r="G2424" s="213">
        <v>2.6</v>
      </c>
      <c r="H2424" s="256">
        <v>1695</v>
      </c>
      <c r="I2424" s="214">
        <v>1466003</v>
      </c>
      <c r="J2424" s="215">
        <v>20700</v>
      </c>
      <c r="K2424" s="212">
        <v>43651</v>
      </c>
      <c r="L2424" s="211" t="s">
        <v>1977</v>
      </c>
      <c r="M2424" s="216">
        <v>4615447218</v>
      </c>
      <c r="N2424" s="212"/>
      <c r="O2424" s="218"/>
      <c r="P2424" s="219"/>
      <c r="Q2424" s="34">
        <f>SUMIF(Allocation[Delivery ID],Allocation[[#This Row],[Delivery ID]],Allocation[Quantity Processed])</f>
        <v>11000</v>
      </c>
      <c r="R2424" s="61">
        <f>Allocation[[#This Row],[Total volume used]]/VLOOKUP(Allocation[[#This Row],[Delivery ID]],Delivery[[Delivery ID]:[Quantity delivered]],3,FALSE)</f>
        <v>0.35912504080966373</v>
      </c>
      <c r="S2424" s="34">
        <f>Allocation[[#This Row],[Quantity Processed]]/Allocation[[#This Row],[Dilution rate]]</f>
        <v>1975.3846153846152</v>
      </c>
      <c r="T2424" s="59">
        <f>SUMIF(Allocation[Delivery ID],Allocation[[#This Row],[Delivery ID]],Allocation[Quantity allocated])/SUMIF(Allocation[Delivery ID],Allocation[[#This Row],[Delivery ID]],Allocation[Volume available (kg)])</f>
        <v>0.90807808684573732</v>
      </c>
      <c r="U2424" s="61">
        <f>Allocation[[#This Row],[Total volume used]]/VLOOKUP(Allocation[[#This Row],[Delivery ID]],Delivery[[Delivery ID]:[Quantity delivered]],3,FALSE)</f>
        <v>0.35912504080966373</v>
      </c>
      <c r="V2424" s="34" t="e">
        <f>VLOOKUP(Allocation[[#This Row],[SAP Contract number]],Shipments[[SAP Contract number]:[Contracted container weight]],2,FALSE)</f>
        <v>#N/A</v>
      </c>
      <c r="W2424" s="34" t="e">
        <f>VLOOKUP(Allocation[[#This Row],[SAP Contract number]],Shipments[[SAP Contract number]:[AAA Premium USD]],24,FALSE)</f>
        <v>#N/A</v>
      </c>
      <c r="X2424" s="34" t="e">
        <f>VLOOKUP(Allocation[[#This Row],[SAP Contract number]],Shipments[[SAP Contract number]:[RA Premium USD]],25,FALSE)</f>
        <v>#N/A</v>
      </c>
      <c r="Y2424" s="38">
        <f>Allocation[[#This Row],[Quantity Processed]]/Allocation[[#This Row],[Quantity allocated]]</f>
        <v>3.0300884955752214</v>
      </c>
      <c r="Z2424" s="34" t="b">
        <f>Allocation[[#This Row],[Quantity allocated]]&lt;=Allocation[[#This Row],[Quantity Processed]]</f>
        <v>1</v>
      </c>
    </row>
    <row r="2425" spans="1:26">
      <c r="A2425" s="247" t="s">
        <v>467</v>
      </c>
      <c r="B2425" s="210" t="s">
        <v>68</v>
      </c>
      <c r="C2425" s="254" t="s">
        <v>1813</v>
      </c>
      <c r="D2425" s="255">
        <v>6543</v>
      </c>
      <c r="E2425" s="211" t="s">
        <v>1962</v>
      </c>
      <c r="F2425" s="212">
        <v>43651</v>
      </c>
      <c r="G2425" s="213">
        <v>2.6</v>
      </c>
      <c r="H2425" s="256">
        <v>3010</v>
      </c>
      <c r="I2425" s="214">
        <v>1466003</v>
      </c>
      <c r="J2425" s="215">
        <v>20700</v>
      </c>
      <c r="K2425" s="212">
        <v>43651</v>
      </c>
      <c r="L2425" s="211" t="s">
        <v>1977</v>
      </c>
      <c r="M2425" s="216">
        <v>4615447218</v>
      </c>
      <c r="N2425" s="212"/>
      <c r="O2425" s="218"/>
      <c r="P2425" s="219"/>
      <c r="Q2425" s="34">
        <f>SUMIF(Allocation[Delivery ID],Allocation[[#This Row],[Delivery ID]],Allocation[Quantity Processed])</f>
        <v>14254</v>
      </c>
      <c r="R2425" s="61">
        <f>Allocation[[#This Row],[Total volume used]]/VLOOKUP(Allocation[[#This Row],[Delivery ID]],Delivery[[Delivery ID]:[Quantity delivered]],3,FALSE)</f>
        <v>0.74316996871741392</v>
      </c>
      <c r="S2425" s="34">
        <f>Allocation[[#This Row],[Quantity Processed]]/Allocation[[#This Row],[Dilution rate]]</f>
        <v>2516.5384615384614</v>
      </c>
      <c r="T2425" s="59">
        <f>SUMIF(Allocation[Delivery ID],Allocation[[#This Row],[Delivery ID]],Allocation[Quantity allocated])/SUMIF(Allocation[Delivery ID],Allocation[[#This Row],[Delivery ID]],Allocation[Volume available (kg)])</f>
        <v>1.2204827295457741</v>
      </c>
      <c r="U2425" s="61">
        <f>Allocation[[#This Row],[Total volume used]]/VLOOKUP(Allocation[[#This Row],[Delivery ID]],Delivery[[Delivery ID]:[Quantity delivered]],3,FALSE)</f>
        <v>0.74316996871741392</v>
      </c>
      <c r="V2425" s="34" t="e">
        <f>VLOOKUP(Allocation[[#This Row],[SAP Contract number]],Shipments[[SAP Contract number]:[Contracted container weight]],2,FALSE)</f>
        <v>#N/A</v>
      </c>
      <c r="W2425" s="34" t="e">
        <f>VLOOKUP(Allocation[[#This Row],[SAP Contract number]],Shipments[[SAP Contract number]:[AAA Premium USD]],24,FALSE)</f>
        <v>#N/A</v>
      </c>
      <c r="X2425" s="34" t="e">
        <f>VLOOKUP(Allocation[[#This Row],[SAP Contract number]],Shipments[[SAP Contract number]:[RA Premium USD]],25,FALSE)</f>
        <v>#N/A</v>
      </c>
      <c r="Y2425" s="38">
        <f>Allocation[[#This Row],[Quantity Processed]]/Allocation[[#This Row],[Quantity allocated]]</f>
        <v>2.1737541528239204</v>
      </c>
      <c r="Z2425" s="34" t="b">
        <f>Allocation[[#This Row],[Quantity allocated]]&lt;=Allocation[[#This Row],[Quantity Processed]]</f>
        <v>1</v>
      </c>
    </row>
    <row r="2426" spans="1:26">
      <c r="A2426" s="247" t="s">
        <v>467</v>
      </c>
      <c r="B2426" s="210" t="s">
        <v>68</v>
      </c>
      <c r="C2426" s="254" t="s">
        <v>1815</v>
      </c>
      <c r="D2426" s="255">
        <v>5194</v>
      </c>
      <c r="E2426" s="211" t="s">
        <v>1962</v>
      </c>
      <c r="F2426" s="212">
        <v>43651</v>
      </c>
      <c r="G2426" s="213">
        <v>2.6</v>
      </c>
      <c r="H2426" s="256">
        <v>1714</v>
      </c>
      <c r="I2426" s="214">
        <v>1466003</v>
      </c>
      <c r="J2426" s="215">
        <v>20700</v>
      </c>
      <c r="K2426" s="212">
        <v>43651</v>
      </c>
      <c r="L2426" s="211" t="s">
        <v>1977</v>
      </c>
      <c r="M2426" s="216">
        <v>4615447218</v>
      </c>
      <c r="N2426" s="212"/>
      <c r="O2426" s="218"/>
      <c r="P2426" s="219"/>
      <c r="Q2426" s="34">
        <f>SUMIF(Allocation[Delivery ID],Allocation[[#This Row],[Delivery ID]],Allocation[Quantity Processed])</f>
        <v>11121</v>
      </c>
      <c r="R2426" s="61">
        <f>Allocation[[#This Row],[Total volume used]]/VLOOKUP(Allocation[[#This Row],[Delivery ID]],Delivery[[Delivery ID]:[Quantity delivered]],3,FALSE)</f>
        <v>0.35920542635658914</v>
      </c>
      <c r="S2426" s="34">
        <f>Allocation[[#This Row],[Quantity Processed]]/Allocation[[#This Row],[Dilution rate]]</f>
        <v>1997.6923076923076</v>
      </c>
      <c r="T2426" s="59">
        <f>SUMIF(Allocation[Delivery ID],Allocation[[#This Row],[Delivery ID]],Allocation[Quantity allocated])/SUMIF(Allocation[Delivery ID],Allocation[[#This Row],[Delivery ID]],Allocation[Volume available (kg)])</f>
        <v>0.90808196161823007</v>
      </c>
      <c r="U2426" s="61">
        <f>Allocation[[#This Row],[Total volume used]]/VLOOKUP(Allocation[[#This Row],[Delivery ID]],Delivery[[Delivery ID]:[Quantity delivered]],3,FALSE)</f>
        <v>0.35920542635658914</v>
      </c>
      <c r="V2426" s="34" t="e">
        <f>VLOOKUP(Allocation[[#This Row],[SAP Contract number]],Shipments[[SAP Contract number]:[Contracted container weight]],2,FALSE)</f>
        <v>#N/A</v>
      </c>
      <c r="W2426" s="34" t="e">
        <f>VLOOKUP(Allocation[[#This Row],[SAP Contract number]],Shipments[[SAP Contract number]:[AAA Premium USD]],24,FALSE)</f>
        <v>#N/A</v>
      </c>
      <c r="X2426" s="34" t="e">
        <f>VLOOKUP(Allocation[[#This Row],[SAP Contract number]],Shipments[[SAP Contract number]:[RA Premium USD]],25,FALSE)</f>
        <v>#N/A</v>
      </c>
      <c r="Y2426" s="38">
        <f>Allocation[[#This Row],[Quantity Processed]]/Allocation[[#This Row],[Quantity allocated]]</f>
        <v>3.0303383897316221</v>
      </c>
      <c r="Z2426" s="34" t="b">
        <f>Allocation[[#This Row],[Quantity allocated]]&lt;=Allocation[[#This Row],[Quantity Processed]]</f>
        <v>1</v>
      </c>
    </row>
    <row r="2427" spans="1:26">
      <c r="A2427" s="247" t="s">
        <v>467</v>
      </c>
      <c r="B2427" s="210" t="s">
        <v>68</v>
      </c>
      <c r="C2427" s="254" t="s">
        <v>1816</v>
      </c>
      <c r="D2427" s="255">
        <v>4751</v>
      </c>
      <c r="E2427" s="211" t="s">
        <v>1962</v>
      </c>
      <c r="F2427" s="212">
        <v>43651</v>
      </c>
      <c r="G2427" s="213">
        <v>2.6</v>
      </c>
      <c r="H2427" s="256">
        <v>2518</v>
      </c>
      <c r="I2427" s="214">
        <v>1466003</v>
      </c>
      <c r="J2427" s="215">
        <v>20700</v>
      </c>
      <c r="K2427" s="212">
        <v>43651</v>
      </c>
      <c r="L2427" s="211" t="s">
        <v>1977</v>
      </c>
      <c r="M2427" s="216">
        <v>4615447218</v>
      </c>
      <c r="N2427" s="212"/>
      <c r="O2427" s="218"/>
      <c r="P2427" s="219"/>
      <c r="Q2427" s="34">
        <f>SUMIF(Allocation[Delivery ID],Allocation[[#This Row],[Delivery ID]],Allocation[Quantity Processed])</f>
        <v>18964</v>
      </c>
      <c r="R2427" s="61">
        <f>Allocation[[#This Row],[Total volume used]]/VLOOKUP(Allocation[[#This Row],[Delivery ID]],Delivery[[Delivery ID]:[Quantity delivered]],3,FALSE)</f>
        <v>0.59466917529005958</v>
      </c>
      <c r="S2427" s="34">
        <f>Allocation[[#This Row],[Quantity Processed]]/Allocation[[#This Row],[Dilution rate]]</f>
        <v>1827.3076923076922</v>
      </c>
      <c r="T2427" s="59">
        <f>SUMIF(Allocation[Delivery ID],Allocation[[#This Row],[Delivery ID]],Allocation[Quantity allocated])/SUMIF(Allocation[Delivery ID],Allocation[[#This Row],[Delivery ID]],Allocation[Volume available (kg)])</f>
        <v>1.4076441050256461</v>
      </c>
      <c r="U2427" s="61">
        <f>Allocation[[#This Row],[Total volume used]]/VLOOKUP(Allocation[[#This Row],[Delivery ID]],Delivery[[Delivery ID]:[Quantity delivered]],3,FALSE)</f>
        <v>0.59466917529005958</v>
      </c>
      <c r="V2427" s="34" t="e">
        <f>VLOOKUP(Allocation[[#This Row],[SAP Contract number]],Shipments[[SAP Contract number]:[Contracted container weight]],2,FALSE)</f>
        <v>#N/A</v>
      </c>
      <c r="W2427" s="34" t="e">
        <f>VLOOKUP(Allocation[[#This Row],[SAP Contract number]],Shipments[[SAP Contract number]:[AAA Premium USD]],24,FALSE)</f>
        <v>#N/A</v>
      </c>
      <c r="X2427" s="34" t="e">
        <f>VLOOKUP(Allocation[[#This Row],[SAP Contract number]],Shipments[[SAP Contract number]:[RA Premium USD]],25,FALSE)</f>
        <v>#N/A</v>
      </c>
      <c r="Y2427" s="38">
        <f>Allocation[[#This Row],[Quantity Processed]]/Allocation[[#This Row],[Quantity allocated]]</f>
        <v>1.8868149324861001</v>
      </c>
      <c r="Z2427" s="34" t="b">
        <f>Allocation[[#This Row],[Quantity allocated]]&lt;=Allocation[[#This Row],[Quantity Processed]]</f>
        <v>1</v>
      </c>
    </row>
    <row r="2428" spans="1:26">
      <c r="A2428" s="247" t="s">
        <v>467</v>
      </c>
      <c r="B2428" s="210" t="s">
        <v>68</v>
      </c>
      <c r="C2428" s="254" t="s">
        <v>1816</v>
      </c>
      <c r="D2428" s="255">
        <v>3434</v>
      </c>
      <c r="E2428" s="211" t="s">
        <v>1962</v>
      </c>
      <c r="F2428" s="212">
        <v>43651</v>
      </c>
      <c r="G2428" s="213">
        <v>2.6</v>
      </c>
      <c r="H2428" s="256">
        <v>1820</v>
      </c>
      <c r="I2428" s="214">
        <v>1466004</v>
      </c>
      <c r="J2428" s="215">
        <v>20700</v>
      </c>
      <c r="K2428" s="212">
        <v>43651</v>
      </c>
      <c r="L2428" s="211" t="s">
        <v>1978</v>
      </c>
      <c r="M2428" s="216">
        <v>4615447218</v>
      </c>
      <c r="N2428" s="212"/>
      <c r="O2428" s="218"/>
      <c r="P2428" s="219"/>
      <c r="Q2428" s="34">
        <f>SUMIF(Allocation[Delivery ID],Allocation[[#This Row],[Delivery ID]],Allocation[Quantity Processed])</f>
        <v>18964</v>
      </c>
      <c r="R2428" s="61">
        <f>Allocation[[#This Row],[Total volume used]]/VLOOKUP(Allocation[[#This Row],[Delivery ID]],Delivery[[Delivery ID]:[Quantity delivered]],3,FALSE)</f>
        <v>0.59466917529005958</v>
      </c>
      <c r="S2428" s="34">
        <f>Allocation[[#This Row],[Quantity Processed]]/Allocation[[#This Row],[Dilution rate]]</f>
        <v>1320.7692307692307</v>
      </c>
      <c r="T2428" s="59">
        <f>SUMIF(Allocation[Delivery ID],Allocation[[#This Row],[Delivery ID]],Allocation[Quantity allocated])/SUMIF(Allocation[Delivery ID],Allocation[[#This Row],[Delivery ID]],Allocation[Volume available (kg)])</f>
        <v>1.4076441050256461</v>
      </c>
      <c r="U2428" s="61">
        <f>Allocation[[#This Row],[Total volume used]]/VLOOKUP(Allocation[[#This Row],[Delivery ID]],Delivery[[Delivery ID]:[Quantity delivered]],3,FALSE)</f>
        <v>0.59466917529005958</v>
      </c>
      <c r="V2428" s="34" t="e">
        <f>VLOOKUP(Allocation[[#This Row],[SAP Contract number]],Shipments[[SAP Contract number]:[Contracted container weight]],2,FALSE)</f>
        <v>#N/A</v>
      </c>
      <c r="W2428" s="34" t="e">
        <f>VLOOKUP(Allocation[[#This Row],[SAP Contract number]],Shipments[[SAP Contract number]:[AAA Premium USD]],24,FALSE)</f>
        <v>#N/A</v>
      </c>
      <c r="X2428" s="34" t="e">
        <f>VLOOKUP(Allocation[[#This Row],[SAP Contract number]],Shipments[[SAP Contract number]:[RA Premium USD]],25,FALSE)</f>
        <v>#N/A</v>
      </c>
      <c r="Y2428" s="38">
        <f>Allocation[[#This Row],[Quantity Processed]]/Allocation[[#This Row],[Quantity allocated]]</f>
        <v>1.8868131868131868</v>
      </c>
      <c r="Z2428" s="34" t="b">
        <f>Allocation[[#This Row],[Quantity allocated]]&lt;=Allocation[[#This Row],[Quantity Processed]]</f>
        <v>1</v>
      </c>
    </row>
    <row r="2429" spans="1:26">
      <c r="A2429" s="247" t="s">
        <v>467</v>
      </c>
      <c r="B2429" s="210" t="s">
        <v>68</v>
      </c>
      <c r="C2429" s="254" t="s">
        <v>1823</v>
      </c>
      <c r="D2429" s="255">
        <v>9761</v>
      </c>
      <c r="E2429" s="211" t="s">
        <v>1962</v>
      </c>
      <c r="F2429" s="212">
        <v>43651</v>
      </c>
      <c r="G2429" s="213">
        <v>2.6</v>
      </c>
      <c r="H2429" s="256">
        <v>4002</v>
      </c>
      <c r="I2429" s="214">
        <v>1466004</v>
      </c>
      <c r="J2429" s="215">
        <v>20700</v>
      </c>
      <c r="K2429" s="212">
        <v>43651</v>
      </c>
      <c r="L2429" s="211" t="s">
        <v>1978</v>
      </c>
      <c r="M2429" s="216">
        <v>4615447218</v>
      </c>
      <c r="N2429" s="212"/>
      <c r="O2429" s="218"/>
      <c r="P2429" s="219"/>
      <c r="Q2429" s="34">
        <f>SUMIF(Allocation[Delivery ID],Allocation[[#This Row],[Delivery ID]],Allocation[Quantity Processed])</f>
        <v>23024</v>
      </c>
      <c r="R2429" s="61">
        <f>Allocation[[#This Row],[Total volume used]]/VLOOKUP(Allocation[[#This Row],[Delivery ID]],Delivery[[Delivery ID]:[Quantity delivered]],3,FALSE)</f>
        <v>0.71039802530083307</v>
      </c>
      <c r="S2429" s="34">
        <f>Allocation[[#This Row],[Quantity Processed]]/Allocation[[#This Row],[Dilution rate]]</f>
        <v>3754.2307692307691</v>
      </c>
      <c r="T2429" s="59">
        <f>SUMIF(Allocation[Delivery ID],Allocation[[#This Row],[Delivery ID]],Allocation[Quantity allocated])/SUMIF(Allocation[Delivery ID],Allocation[[#This Row],[Delivery ID]],Allocation[Volume available (kg)])</f>
        <v>1.0902495274098873</v>
      </c>
      <c r="U2429" s="61">
        <f>Allocation[[#This Row],[Total volume used]]/VLOOKUP(Allocation[[#This Row],[Delivery ID]],Delivery[[Delivery ID]:[Quantity delivered]],3,FALSE)</f>
        <v>0.71039802530083307</v>
      </c>
      <c r="V2429" s="34" t="e">
        <f>VLOOKUP(Allocation[[#This Row],[SAP Contract number]],Shipments[[SAP Contract number]:[Contracted container weight]],2,FALSE)</f>
        <v>#N/A</v>
      </c>
      <c r="W2429" s="34" t="e">
        <f>VLOOKUP(Allocation[[#This Row],[SAP Contract number]],Shipments[[SAP Contract number]:[AAA Premium USD]],24,FALSE)</f>
        <v>#N/A</v>
      </c>
      <c r="X2429" s="34" t="e">
        <f>VLOOKUP(Allocation[[#This Row],[SAP Contract number]],Shipments[[SAP Contract number]:[RA Premium USD]],25,FALSE)</f>
        <v>#N/A</v>
      </c>
      <c r="Y2429" s="38">
        <f>Allocation[[#This Row],[Quantity Processed]]/Allocation[[#This Row],[Quantity allocated]]</f>
        <v>2.4390304847576214</v>
      </c>
      <c r="Z2429" s="34" t="b">
        <f>Allocation[[#This Row],[Quantity allocated]]&lt;=Allocation[[#This Row],[Quantity Processed]]</f>
        <v>1</v>
      </c>
    </row>
    <row r="2430" spans="1:26">
      <c r="A2430" s="247" t="s">
        <v>467</v>
      </c>
      <c r="B2430" s="210" t="s">
        <v>68</v>
      </c>
      <c r="C2430" s="254" t="s">
        <v>1825</v>
      </c>
      <c r="D2430" s="255">
        <v>9780</v>
      </c>
      <c r="E2430" s="211" t="s">
        <v>1962</v>
      </c>
      <c r="F2430" s="212">
        <v>43651</v>
      </c>
      <c r="G2430" s="213">
        <v>2.6</v>
      </c>
      <c r="H2430" s="256">
        <v>4010</v>
      </c>
      <c r="I2430" s="214">
        <v>1466004</v>
      </c>
      <c r="J2430" s="215">
        <v>20700</v>
      </c>
      <c r="K2430" s="212">
        <v>43651</v>
      </c>
      <c r="L2430" s="211" t="s">
        <v>1978</v>
      </c>
      <c r="M2430" s="216">
        <v>4615447218</v>
      </c>
      <c r="N2430" s="212"/>
      <c r="O2430" s="218"/>
      <c r="P2430" s="219"/>
      <c r="Q2430" s="34">
        <f>SUMIF(Allocation[Delivery ID],Allocation[[#This Row],[Delivery ID]],Allocation[Quantity Processed])</f>
        <v>23212</v>
      </c>
      <c r="R2430" s="61">
        <f>Allocation[[#This Row],[Total volume used]]/VLOOKUP(Allocation[[#This Row],[Delivery ID]],Delivery[[Delivery ID]:[Quantity delivered]],3,FALSE)</f>
        <v>0.71487526947951952</v>
      </c>
      <c r="S2430" s="34">
        <f>Allocation[[#This Row],[Quantity Processed]]/Allocation[[#This Row],[Dilution rate]]</f>
        <v>3761.5384615384614</v>
      </c>
      <c r="T2430" s="59">
        <f>SUMIF(Allocation[Delivery ID],Allocation[[#This Row],[Delivery ID]],Allocation[Quantity allocated])/SUMIF(Allocation[Delivery ID],Allocation[[#This Row],[Delivery ID]],Allocation[Volume available (kg)])</f>
        <v>1.090340178755391</v>
      </c>
      <c r="U2430" s="61">
        <f>Allocation[[#This Row],[Total volume used]]/VLOOKUP(Allocation[[#This Row],[Delivery ID]],Delivery[[Delivery ID]:[Quantity delivered]],3,FALSE)</f>
        <v>0.71487526947951952</v>
      </c>
      <c r="V2430" s="34" t="e">
        <f>VLOOKUP(Allocation[[#This Row],[SAP Contract number]],Shipments[[SAP Contract number]:[Contracted container weight]],2,FALSE)</f>
        <v>#N/A</v>
      </c>
      <c r="W2430" s="34" t="e">
        <f>VLOOKUP(Allocation[[#This Row],[SAP Contract number]],Shipments[[SAP Contract number]:[AAA Premium USD]],24,FALSE)</f>
        <v>#N/A</v>
      </c>
      <c r="X2430" s="34" t="e">
        <f>VLOOKUP(Allocation[[#This Row],[SAP Contract number]],Shipments[[SAP Contract number]:[RA Premium USD]],25,FALSE)</f>
        <v>#N/A</v>
      </c>
      <c r="Y2430" s="38">
        <f>Allocation[[#This Row],[Quantity Processed]]/Allocation[[#This Row],[Quantity allocated]]</f>
        <v>2.4389027431421448</v>
      </c>
      <c r="Z2430" s="34" t="b">
        <f>Allocation[[#This Row],[Quantity allocated]]&lt;=Allocation[[#This Row],[Quantity Processed]]</f>
        <v>1</v>
      </c>
    </row>
    <row r="2431" spans="1:26">
      <c r="A2431" s="247" t="s">
        <v>467</v>
      </c>
      <c r="B2431" s="210" t="s">
        <v>68</v>
      </c>
      <c r="C2431" s="254" t="s">
        <v>1826</v>
      </c>
      <c r="D2431" s="255">
        <v>3729</v>
      </c>
      <c r="E2431" s="211" t="s">
        <v>1962</v>
      </c>
      <c r="F2431" s="212">
        <v>43651</v>
      </c>
      <c r="G2431" s="213">
        <v>2.6</v>
      </c>
      <c r="H2431" s="256">
        <v>1529</v>
      </c>
      <c r="I2431" s="214">
        <v>1466004</v>
      </c>
      <c r="J2431" s="215">
        <v>20700</v>
      </c>
      <c r="K2431" s="212">
        <v>43651</v>
      </c>
      <c r="L2431" s="211" t="s">
        <v>1978</v>
      </c>
      <c r="M2431" s="216">
        <v>4615447218</v>
      </c>
      <c r="N2431" s="212"/>
      <c r="O2431" s="218"/>
      <c r="P2431" s="219"/>
      <c r="Q2431" s="34">
        <f>SUMIF(Allocation[Delivery ID],Allocation[[#This Row],[Delivery ID]],Allocation[Quantity Processed])</f>
        <v>32480</v>
      </c>
      <c r="R2431" s="61">
        <f>Allocation[[#This Row],[Total volume used]]/VLOOKUP(Allocation[[#This Row],[Delivery ID]],Delivery[[Delivery ID]:[Quantity delivered]],3,FALSE)</f>
        <v>1</v>
      </c>
      <c r="S2431" s="34">
        <f>Allocation[[#This Row],[Quantity Processed]]/Allocation[[#This Row],[Dilution rate]]</f>
        <v>1434.2307692307693</v>
      </c>
      <c r="T2431" s="59">
        <f>SUMIF(Allocation[Delivery ID],Allocation[[#This Row],[Delivery ID]],Allocation[Quantity allocated])/SUMIF(Allocation[Delivery ID],Allocation[[#This Row],[Delivery ID]],Allocation[Volume available (kg)])</f>
        <v>1.0959933064695457</v>
      </c>
      <c r="U2431" s="61">
        <f>Allocation[[#This Row],[Total volume used]]/VLOOKUP(Allocation[[#This Row],[Delivery ID]],Delivery[[Delivery ID]:[Quantity delivered]],3,FALSE)</f>
        <v>1</v>
      </c>
      <c r="V2431" s="34" t="e">
        <f>VLOOKUP(Allocation[[#This Row],[SAP Contract number]],Shipments[[SAP Contract number]:[Contracted container weight]],2,FALSE)</f>
        <v>#N/A</v>
      </c>
      <c r="W2431" s="34" t="e">
        <f>VLOOKUP(Allocation[[#This Row],[SAP Contract number]],Shipments[[SAP Contract number]:[AAA Premium USD]],24,FALSE)</f>
        <v>#N/A</v>
      </c>
      <c r="X2431" s="34" t="e">
        <f>VLOOKUP(Allocation[[#This Row],[SAP Contract number]],Shipments[[SAP Contract number]:[RA Premium USD]],25,FALSE)</f>
        <v>#N/A</v>
      </c>
      <c r="Y2431" s="38">
        <f>Allocation[[#This Row],[Quantity Processed]]/Allocation[[#This Row],[Quantity allocated]]</f>
        <v>2.4388489208633093</v>
      </c>
      <c r="Z2431" s="34" t="b">
        <f>Allocation[[#This Row],[Quantity allocated]]&lt;=Allocation[[#This Row],[Quantity Processed]]</f>
        <v>1</v>
      </c>
    </row>
    <row r="2432" spans="1:26">
      <c r="A2432" s="247" t="s">
        <v>467</v>
      </c>
      <c r="B2432" s="210" t="s">
        <v>68</v>
      </c>
      <c r="C2432" s="254" t="s">
        <v>1828</v>
      </c>
      <c r="D2432" s="255">
        <v>4963</v>
      </c>
      <c r="E2432" s="211" t="s">
        <v>1962</v>
      </c>
      <c r="F2432" s="212">
        <v>43651</v>
      </c>
      <c r="G2432" s="213">
        <v>2.6</v>
      </c>
      <c r="H2432" s="256">
        <v>2035</v>
      </c>
      <c r="I2432" s="214">
        <v>1466004</v>
      </c>
      <c r="J2432" s="215">
        <v>20700</v>
      </c>
      <c r="K2432" s="212">
        <v>43651</v>
      </c>
      <c r="L2432" s="211" t="s">
        <v>1978</v>
      </c>
      <c r="M2432" s="216">
        <v>4615447218</v>
      </c>
      <c r="N2432" s="212"/>
      <c r="O2432" s="218"/>
      <c r="P2432" s="219"/>
      <c r="Q2432" s="34">
        <f>SUMIF(Allocation[Delivery ID],Allocation[[#This Row],[Delivery ID]],Allocation[Quantity Processed])</f>
        <v>10963</v>
      </c>
      <c r="R2432" s="61">
        <f>Allocation[[#This Row],[Total volume used]]/VLOOKUP(Allocation[[#This Row],[Delivery ID]],Delivery[[Delivery ID]:[Quantity delivered]],3,FALSE)</f>
        <v>0.66523058252427181</v>
      </c>
      <c r="S2432" s="34">
        <f>Allocation[[#This Row],[Quantity Processed]]/Allocation[[#This Row],[Dilution rate]]</f>
        <v>1908.8461538461538</v>
      </c>
      <c r="T2432" s="59">
        <f>SUMIF(Allocation[Delivery ID],Allocation[[#This Row],[Delivery ID]],Allocation[Quantity allocated])/SUMIF(Allocation[Delivery ID],Allocation[[#This Row],[Delivery ID]],Allocation[Volume available (kg)])</f>
        <v>1.089146207595999</v>
      </c>
      <c r="U2432" s="61">
        <f>Allocation[[#This Row],[Total volume used]]/VLOOKUP(Allocation[[#This Row],[Delivery ID]],Delivery[[Delivery ID]:[Quantity delivered]],3,FALSE)</f>
        <v>0.66523058252427181</v>
      </c>
      <c r="V2432" s="34" t="e">
        <f>VLOOKUP(Allocation[[#This Row],[SAP Contract number]],Shipments[[SAP Contract number]:[Contracted container weight]],2,FALSE)</f>
        <v>#N/A</v>
      </c>
      <c r="W2432" s="34" t="e">
        <f>VLOOKUP(Allocation[[#This Row],[SAP Contract number]],Shipments[[SAP Contract number]:[AAA Premium USD]],24,FALSE)</f>
        <v>#N/A</v>
      </c>
      <c r="X2432" s="34" t="e">
        <f>VLOOKUP(Allocation[[#This Row],[SAP Contract number]],Shipments[[SAP Contract number]:[RA Premium USD]],25,FALSE)</f>
        <v>#N/A</v>
      </c>
      <c r="Y2432" s="38">
        <f>Allocation[[#This Row],[Quantity Processed]]/Allocation[[#This Row],[Quantity allocated]]</f>
        <v>2.4388206388206388</v>
      </c>
      <c r="Z2432" s="34" t="b">
        <f>Allocation[[#This Row],[Quantity allocated]]&lt;=Allocation[[#This Row],[Quantity Processed]]</f>
        <v>1</v>
      </c>
    </row>
    <row r="2433" spans="1:26">
      <c r="A2433" s="247" t="s">
        <v>467</v>
      </c>
      <c r="B2433" s="210" t="s">
        <v>68</v>
      </c>
      <c r="C2433" s="254" t="s">
        <v>1830</v>
      </c>
      <c r="D2433" s="255">
        <v>4797</v>
      </c>
      <c r="E2433" s="211" t="s">
        <v>1962</v>
      </c>
      <c r="F2433" s="212">
        <v>43651</v>
      </c>
      <c r="G2433" s="213">
        <v>2.6</v>
      </c>
      <c r="H2433" s="256">
        <v>1583</v>
      </c>
      <c r="I2433" s="214">
        <v>1466004</v>
      </c>
      <c r="J2433" s="215">
        <v>20700</v>
      </c>
      <c r="K2433" s="212">
        <v>43651</v>
      </c>
      <c r="L2433" s="211" t="s">
        <v>1978</v>
      </c>
      <c r="M2433" s="216">
        <v>4615447218</v>
      </c>
      <c r="N2433" s="212"/>
      <c r="O2433" s="218"/>
      <c r="P2433" s="219"/>
      <c r="Q2433" s="34">
        <f>SUMIF(Allocation[Delivery ID],Allocation[[#This Row],[Delivery ID]],Allocation[Quantity Processed])</f>
        <v>10449</v>
      </c>
      <c r="R2433" s="61">
        <f>Allocation[[#This Row],[Total volume used]]/VLOOKUP(Allocation[[#This Row],[Delivery ID]],Delivery[[Delivery ID]:[Quantity delivered]],3,FALSE)</f>
        <v>0.64064990803188226</v>
      </c>
      <c r="S2433" s="34">
        <f>Allocation[[#This Row],[Quantity Processed]]/Allocation[[#This Row],[Dilution rate]]</f>
        <v>1845</v>
      </c>
      <c r="T2433" s="59">
        <f>SUMIF(Allocation[Delivery ID],Allocation[[#This Row],[Delivery ID]],Allocation[Quantity allocated])/SUMIF(Allocation[Delivery ID],Allocation[[#This Row],[Delivery ID]],Allocation[Volume available (kg)])</f>
        <v>0.87549724925941608</v>
      </c>
      <c r="U2433" s="61">
        <f>Allocation[[#This Row],[Total volume used]]/VLOOKUP(Allocation[[#This Row],[Delivery ID]],Delivery[[Delivery ID]:[Quantity delivered]],3,FALSE)</f>
        <v>0.64064990803188226</v>
      </c>
      <c r="V2433" s="34" t="e">
        <f>VLOOKUP(Allocation[[#This Row],[SAP Contract number]],Shipments[[SAP Contract number]:[Contracted container weight]],2,FALSE)</f>
        <v>#N/A</v>
      </c>
      <c r="W2433" s="34" t="e">
        <f>VLOOKUP(Allocation[[#This Row],[SAP Contract number]],Shipments[[SAP Contract number]:[AAA Premium USD]],24,FALSE)</f>
        <v>#N/A</v>
      </c>
      <c r="X2433" s="34" t="e">
        <f>VLOOKUP(Allocation[[#This Row],[SAP Contract number]],Shipments[[SAP Contract number]:[RA Premium USD]],25,FALSE)</f>
        <v>#N/A</v>
      </c>
      <c r="Y2433" s="38">
        <f>Allocation[[#This Row],[Quantity Processed]]/Allocation[[#This Row],[Quantity allocated]]</f>
        <v>3.0303221730890715</v>
      </c>
      <c r="Z2433" s="34" t="b">
        <f>Allocation[[#This Row],[Quantity allocated]]&lt;=Allocation[[#This Row],[Quantity Processed]]</f>
        <v>1</v>
      </c>
    </row>
    <row r="2434" spans="1:26">
      <c r="A2434" s="247" t="s">
        <v>467</v>
      </c>
      <c r="B2434" s="210" t="s">
        <v>68</v>
      </c>
      <c r="C2434" s="254" t="s">
        <v>1832</v>
      </c>
      <c r="D2434" s="255">
        <v>3693</v>
      </c>
      <c r="E2434" s="211" t="s">
        <v>1962</v>
      </c>
      <c r="F2434" s="212">
        <v>43651</v>
      </c>
      <c r="G2434" s="213">
        <v>2.6</v>
      </c>
      <c r="H2434" s="256">
        <v>1477</v>
      </c>
      <c r="I2434" s="214">
        <v>1466004</v>
      </c>
      <c r="J2434" s="215">
        <v>20700</v>
      </c>
      <c r="K2434" s="212">
        <v>43651</v>
      </c>
      <c r="L2434" s="211" t="s">
        <v>1978</v>
      </c>
      <c r="M2434" s="216">
        <v>4615447218</v>
      </c>
      <c r="N2434" s="212"/>
      <c r="O2434" s="218"/>
      <c r="P2434" s="219"/>
      <c r="Q2434" s="34">
        <f>SUMIF(Allocation[Delivery ID],Allocation[[#This Row],[Delivery ID]],Allocation[Quantity Processed])</f>
        <v>8159</v>
      </c>
      <c r="R2434" s="61">
        <f>Allocation[[#This Row],[Total volume used]]/VLOOKUP(Allocation[[#This Row],[Delivery ID]],Delivery[[Delivery ID]:[Quantity delivered]],3,FALSE)</f>
        <v>0.68219063545150505</v>
      </c>
      <c r="S2434" s="34">
        <f>Allocation[[#This Row],[Quantity Processed]]/Allocation[[#This Row],[Dilution rate]]</f>
        <v>1420.3846153846152</v>
      </c>
      <c r="T2434" s="59">
        <f>SUMIF(Allocation[Delivery ID],Allocation[[#This Row],[Delivery ID]],Allocation[Quantity allocated])/SUMIF(Allocation[Delivery ID],Allocation[[#This Row],[Delivery ID]],Allocation[Volume available (kg)])</f>
        <v>1.0623686752058474</v>
      </c>
      <c r="U2434" s="61">
        <f>Allocation[[#This Row],[Total volume used]]/VLOOKUP(Allocation[[#This Row],[Delivery ID]],Delivery[[Delivery ID]:[Quantity delivered]],3,FALSE)</f>
        <v>0.68219063545150505</v>
      </c>
      <c r="V2434" s="34" t="e">
        <f>VLOOKUP(Allocation[[#This Row],[SAP Contract number]],Shipments[[SAP Contract number]:[Contracted container weight]],2,FALSE)</f>
        <v>#N/A</v>
      </c>
      <c r="W2434" s="34" t="e">
        <f>VLOOKUP(Allocation[[#This Row],[SAP Contract number]],Shipments[[SAP Contract number]:[AAA Premium USD]],24,FALSE)</f>
        <v>#N/A</v>
      </c>
      <c r="X2434" s="34" t="e">
        <f>VLOOKUP(Allocation[[#This Row],[SAP Contract number]],Shipments[[SAP Contract number]:[RA Premium USD]],25,FALSE)</f>
        <v>#N/A</v>
      </c>
      <c r="Y2434" s="38">
        <f>Allocation[[#This Row],[Quantity Processed]]/Allocation[[#This Row],[Quantity allocated]]</f>
        <v>2.5003385240352065</v>
      </c>
      <c r="Z2434" s="34" t="b">
        <f>Allocation[[#This Row],[Quantity allocated]]&lt;=Allocation[[#This Row],[Quantity Processed]]</f>
        <v>1</v>
      </c>
    </row>
    <row r="2435" spans="1:26">
      <c r="A2435" s="247" t="s">
        <v>467</v>
      </c>
      <c r="B2435" s="210" t="s">
        <v>68</v>
      </c>
      <c r="C2435" s="254" t="s">
        <v>1836</v>
      </c>
      <c r="D2435" s="255">
        <v>8853</v>
      </c>
      <c r="E2435" s="211" t="s">
        <v>1962</v>
      </c>
      <c r="F2435" s="212">
        <v>43651</v>
      </c>
      <c r="G2435" s="213">
        <v>2.6</v>
      </c>
      <c r="H2435" s="256">
        <v>3807</v>
      </c>
      <c r="I2435" s="214">
        <v>1466004</v>
      </c>
      <c r="J2435" s="215">
        <v>20700</v>
      </c>
      <c r="K2435" s="212">
        <v>43651</v>
      </c>
      <c r="L2435" s="211" t="s">
        <v>1978</v>
      </c>
      <c r="M2435" s="216">
        <v>4615447218</v>
      </c>
      <c r="N2435" s="212"/>
      <c r="O2435" s="218"/>
      <c r="P2435" s="219"/>
      <c r="Q2435" s="34">
        <f>SUMIF(Allocation[Delivery ID],Allocation[[#This Row],[Delivery ID]],Allocation[Quantity Processed])</f>
        <v>19288</v>
      </c>
      <c r="R2435" s="61">
        <f>Allocation[[#This Row],[Total volume used]]/VLOOKUP(Allocation[[#This Row],[Delivery ID]],Delivery[[Delivery ID]:[Quantity delivered]],3,FALSE)</f>
        <v>0.79502081530027613</v>
      </c>
      <c r="S2435" s="34">
        <f>Allocation[[#This Row],[Quantity Processed]]/Allocation[[#This Row],[Dilution rate]]</f>
        <v>3405</v>
      </c>
      <c r="T2435" s="59">
        <f>SUMIF(Allocation[Delivery ID],Allocation[[#This Row],[Delivery ID]],Allocation[Quantity allocated])/SUMIF(Allocation[Delivery ID],Allocation[[#This Row],[Delivery ID]],Allocation[Volume available (kg)])</f>
        <v>1.1408818809384313</v>
      </c>
      <c r="U2435" s="61">
        <f>Allocation[[#This Row],[Total volume used]]/VLOOKUP(Allocation[[#This Row],[Delivery ID]],Delivery[[Delivery ID]:[Quantity delivered]],3,FALSE)</f>
        <v>0.79502081530027613</v>
      </c>
      <c r="V2435" s="34" t="e">
        <f>VLOOKUP(Allocation[[#This Row],[SAP Contract number]],Shipments[[SAP Contract number]:[Contracted container weight]],2,FALSE)</f>
        <v>#N/A</v>
      </c>
      <c r="W2435" s="34" t="e">
        <f>VLOOKUP(Allocation[[#This Row],[SAP Contract number]],Shipments[[SAP Contract number]:[AAA Premium USD]],24,FALSE)</f>
        <v>#N/A</v>
      </c>
      <c r="X2435" s="34" t="e">
        <f>VLOOKUP(Allocation[[#This Row],[SAP Contract number]],Shipments[[SAP Contract number]:[RA Premium USD]],25,FALSE)</f>
        <v>#N/A</v>
      </c>
      <c r="Y2435" s="38">
        <f>Allocation[[#This Row],[Quantity Processed]]/Allocation[[#This Row],[Quantity allocated]]</f>
        <v>2.3254531126871552</v>
      </c>
      <c r="Z2435" s="34" t="b">
        <f>Allocation[[#This Row],[Quantity allocated]]&lt;=Allocation[[#This Row],[Quantity Processed]]</f>
        <v>1</v>
      </c>
    </row>
    <row r="2436" spans="1:26">
      <c r="A2436" s="247" t="s">
        <v>467</v>
      </c>
      <c r="B2436" s="210" t="s">
        <v>68</v>
      </c>
      <c r="C2436" s="254" t="s">
        <v>1837</v>
      </c>
      <c r="D2436" s="255">
        <v>1016</v>
      </c>
      <c r="E2436" s="211" t="s">
        <v>1962</v>
      </c>
      <c r="F2436" s="212">
        <v>43651</v>
      </c>
      <c r="G2436" s="213">
        <v>2.6</v>
      </c>
      <c r="H2436" s="256">
        <v>437</v>
      </c>
      <c r="I2436" s="214">
        <v>1466004</v>
      </c>
      <c r="J2436" s="215">
        <v>20700</v>
      </c>
      <c r="K2436" s="212">
        <v>43651</v>
      </c>
      <c r="L2436" s="211" t="s">
        <v>1978</v>
      </c>
      <c r="M2436" s="216">
        <v>4615447218</v>
      </c>
      <c r="N2436" s="212"/>
      <c r="O2436" s="218"/>
      <c r="P2436" s="219"/>
      <c r="Q2436" s="34">
        <f>SUMIF(Allocation[Delivery ID],Allocation[[#This Row],[Delivery ID]],Allocation[Quantity Processed])</f>
        <v>5963</v>
      </c>
      <c r="R2436" s="61">
        <f>Allocation[[#This Row],[Total volume used]]/VLOOKUP(Allocation[[#This Row],[Delivery ID]],Delivery[[Delivery ID]:[Quantity delivered]],3,FALSE)</f>
        <v>0.49155057291237325</v>
      </c>
      <c r="S2436" s="34">
        <f>Allocation[[#This Row],[Quantity Processed]]/Allocation[[#This Row],[Dilution rate]]</f>
        <v>390.76923076923077</v>
      </c>
      <c r="T2436" s="59">
        <f>SUMIF(Allocation[Delivery ID],Allocation[[#This Row],[Delivery ID]],Allocation[Quantity allocated])/SUMIF(Allocation[Delivery ID],Allocation[[#This Row],[Delivery ID]],Allocation[Volume available (kg)])</f>
        <v>1.1408195214704484</v>
      </c>
      <c r="U2436" s="61">
        <f>Allocation[[#This Row],[Total volume used]]/VLOOKUP(Allocation[[#This Row],[Delivery ID]],Delivery[[Delivery ID]:[Quantity delivered]],3,FALSE)</f>
        <v>0.49155057291237325</v>
      </c>
      <c r="V2436" s="34" t="e">
        <f>VLOOKUP(Allocation[[#This Row],[SAP Contract number]],Shipments[[SAP Contract number]:[Contracted container weight]],2,FALSE)</f>
        <v>#N/A</v>
      </c>
      <c r="W2436" s="34" t="e">
        <f>VLOOKUP(Allocation[[#This Row],[SAP Contract number]],Shipments[[SAP Contract number]:[AAA Premium USD]],24,FALSE)</f>
        <v>#N/A</v>
      </c>
      <c r="X2436" s="34" t="e">
        <f>VLOOKUP(Allocation[[#This Row],[SAP Contract number]],Shipments[[SAP Contract number]:[RA Premium USD]],25,FALSE)</f>
        <v>#N/A</v>
      </c>
      <c r="Y2436" s="38">
        <f>Allocation[[#This Row],[Quantity Processed]]/Allocation[[#This Row],[Quantity allocated]]</f>
        <v>2.3249427917620138</v>
      </c>
      <c r="Z2436" s="34" t="b">
        <f>Allocation[[#This Row],[Quantity allocated]]&lt;=Allocation[[#This Row],[Quantity Processed]]</f>
        <v>1</v>
      </c>
    </row>
    <row r="2437" spans="1:26">
      <c r="A2437" s="247" t="s">
        <v>467</v>
      </c>
      <c r="B2437" s="210" t="s">
        <v>68</v>
      </c>
      <c r="C2437" s="254" t="s">
        <v>1837</v>
      </c>
      <c r="D2437" s="255">
        <v>1721</v>
      </c>
      <c r="E2437" s="211" t="s">
        <v>1962</v>
      </c>
      <c r="F2437" s="212">
        <v>43651</v>
      </c>
      <c r="G2437" s="213">
        <v>2.6</v>
      </c>
      <c r="H2437" s="256">
        <v>740</v>
      </c>
      <c r="I2437" s="214">
        <v>1466005</v>
      </c>
      <c r="J2437" s="215">
        <v>20700</v>
      </c>
      <c r="K2437" s="212">
        <v>43651</v>
      </c>
      <c r="L2437" s="211" t="s">
        <v>1963</v>
      </c>
      <c r="M2437" s="216">
        <v>4615447218</v>
      </c>
      <c r="N2437" s="212"/>
      <c r="O2437" s="218"/>
      <c r="P2437" s="219"/>
      <c r="Q2437" s="34">
        <f>SUMIF(Allocation[Delivery ID],Allocation[[#This Row],[Delivery ID]],Allocation[Quantity Processed])</f>
        <v>5963</v>
      </c>
      <c r="R2437" s="61">
        <f>Allocation[[#This Row],[Total volume used]]/VLOOKUP(Allocation[[#This Row],[Delivery ID]],Delivery[[Delivery ID]:[Quantity delivered]],3,FALSE)</f>
        <v>0.49155057291237325</v>
      </c>
      <c r="S2437" s="34">
        <f>Allocation[[#This Row],[Quantity Processed]]/Allocation[[#This Row],[Dilution rate]]</f>
        <v>661.92307692307691</v>
      </c>
      <c r="T2437" s="59">
        <f>SUMIF(Allocation[Delivery ID],Allocation[[#This Row],[Delivery ID]],Allocation[Quantity allocated])/SUMIF(Allocation[Delivery ID],Allocation[[#This Row],[Delivery ID]],Allocation[Volume available (kg)])</f>
        <v>1.1408195214704484</v>
      </c>
      <c r="U2437" s="61">
        <f>Allocation[[#This Row],[Total volume used]]/VLOOKUP(Allocation[[#This Row],[Delivery ID]],Delivery[[Delivery ID]:[Quantity delivered]],3,FALSE)</f>
        <v>0.49155057291237325</v>
      </c>
      <c r="V2437" s="34" t="e">
        <f>VLOOKUP(Allocation[[#This Row],[SAP Contract number]],Shipments[[SAP Contract number]:[Contracted container weight]],2,FALSE)</f>
        <v>#N/A</v>
      </c>
      <c r="W2437" s="34" t="e">
        <f>VLOOKUP(Allocation[[#This Row],[SAP Contract number]],Shipments[[SAP Contract number]:[AAA Premium USD]],24,FALSE)</f>
        <v>#N/A</v>
      </c>
      <c r="X2437" s="34" t="e">
        <f>VLOOKUP(Allocation[[#This Row],[SAP Contract number]],Shipments[[SAP Contract number]:[RA Premium USD]],25,FALSE)</f>
        <v>#N/A</v>
      </c>
      <c r="Y2437" s="38">
        <f>Allocation[[#This Row],[Quantity Processed]]/Allocation[[#This Row],[Quantity allocated]]</f>
        <v>2.3256756756756758</v>
      </c>
      <c r="Z2437" s="34" t="b">
        <f>Allocation[[#This Row],[Quantity allocated]]&lt;=Allocation[[#This Row],[Quantity Processed]]</f>
        <v>1</v>
      </c>
    </row>
    <row r="2438" spans="1:26">
      <c r="A2438" s="247" t="s">
        <v>467</v>
      </c>
      <c r="B2438" s="210" t="s">
        <v>68</v>
      </c>
      <c r="C2438" s="254" t="s">
        <v>1838</v>
      </c>
      <c r="D2438" s="255">
        <v>2737</v>
      </c>
      <c r="E2438" s="211" t="s">
        <v>1962</v>
      </c>
      <c r="F2438" s="212">
        <v>43651</v>
      </c>
      <c r="G2438" s="213">
        <v>2.6</v>
      </c>
      <c r="H2438" s="256">
        <v>1177</v>
      </c>
      <c r="I2438" s="214">
        <v>1466005</v>
      </c>
      <c r="J2438" s="215">
        <v>20700</v>
      </c>
      <c r="K2438" s="212">
        <v>43651</v>
      </c>
      <c r="L2438" s="211" t="s">
        <v>1963</v>
      </c>
      <c r="M2438" s="216">
        <v>4615447218</v>
      </c>
      <c r="N2438" s="212"/>
      <c r="O2438" s="218"/>
      <c r="P2438" s="219"/>
      <c r="Q2438" s="34">
        <f>SUMIF(Allocation[Delivery ID],Allocation[[#This Row],[Delivery ID]],Allocation[Quantity Processed])</f>
        <v>5965</v>
      </c>
      <c r="R2438" s="61">
        <f>Allocation[[#This Row],[Total volume used]]/VLOOKUP(Allocation[[#This Row],[Delivery ID]],Delivery[[Delivery ID]:[Quantity delivered]],3,FALSE)</f>
        <v>0.49159386846876546</v>
      </c>
      <c r="S2438" s="34">
        <f>Allocation[[#This Row],[Quantity Processed]]/Allocation[[#This Row],[Dilution rate]]</f>
        <v>1052.6923076923076</v>
      </c>
      <c r="T2438" s="59">
        <f>SUMIF(Allocation[Delivery ID],Allocation[[#This Row],[Delivery ID]],Allocation[Quantity allocated])/SUMIF(Allocation[Delivery ID],Allocation[[#This Row],[Delivery ID]],Allocation[Volume available (kg)])</f>
        <v>1.1408884411412497</v>
      </c>
      <c r="U2438" s="61">
        <f>Allocation[[#This Row],[Total volume used]]/VLOOKUP(Allocation[[#This Row],[Delivery ID]],Delivery[[Delivery ID]:[Quantity delivered]],3,FALSE)</f>
        <v>0.49159386846876546</v>
      </c>
      <c r="V2438" s="34" t="e">
        <f>VLOOKUP(Allocation[[#This Row],[SAP Contract number]],Shipments[[SAP Contract number]:[Contracted container weight]],2,FALSE)</f>
        <v>#N/A</v>
      </c>
      <c r="W2438" s="34" t="e">
        <f>VLOOKUP(Allocation[[#This Row],[SAP Contract number]],Shipments[[SAP Contract number]:[AAA Premium USD]],24,FALSE)</f>
        <v>#N/A</v>
      </c>
      <c r="X2438" s="34" t="e">
        <f>VLOOKUP(Allocation[[#This Row],[SAP Contract number]],Shipments[[SAP Contract number]:[RA Premium USD]],25,FALSE)</f>
        <v>#N/A</v>
      </c>
      <c r="Y2438" s="38">
        <f>Allocation[[#This Row],[Quantity Processed]]/Allocation[[#This Row],[Quantity allocated]]</f>
        <v>2.3254035683942225</v>
      </c>
      <c r="Z2438" s="34" t="b">
        <f>Allocation[[#This Row],[Quantity allocated]]&lt;=Allocation[[#This Row],[Quantity Processed]]</f>
        <v>1</v>
      </c>
    </row>
    <row r="2439" spans="1:26">
      <c r="A2439" s="247" t="s">
        <v>467</v>
      </c>
      <c r="B2439" s="210" t="s">
        <v>68</v>
      </c>
      <c r="C2439" s="254" t="s">
        <v>1840</v>
      </c>
      <c r="D2439" s="255">
        <v>3760</v>
      </c>
      <c r="E2439" s="211" t="s">
        <v>1962</v>
      </c>
      <c r="F2439" s="212">
        <v>43651</v>
      </c>
      <c r="G2439" s="213">
        <v>2.6</v>
      </c>
      <c r="H2439" s="256">
        <v>1504</v>
      </c>
      <c r="I2439" s="214">
        <v>1466005</v>
      </c>
      <c r="J2439" s="215">
        <v>20700</v>
      </c>
      <c r="K2439" s="212">
        <v>43651</v>
      </c>
      <c r="L2439" s="211" t="s">
        <v>1963</v>
      </c>
      <c r="M2439" s="216">
        <v>4615447218</v>
      </c>
      <c r="N2439" s="212"/>
      <c r="O2439" s="218"/>
      <c r="P2439" s="219"/>
      <c r="Q2439" s="34">
        <f>SUMIF(Allocation[Delivery ID],Allocation[[#This Row],[Delivery ID]],Allocation[Quantity Processed])</f>
        <v>8190</v>
      </c>
      <c r="R2439" s="61">
        <f>Allocation[[#This Row],[Total volume used]]/VLOOKUP(Allocation[[#This Row],[Delivery ID]],Delivery[[Delivery ID]:[Quantity delivered]],3,FALSE)</f>
        <v>0.85472761427676891</v>
      </c>
      <c r="S2439" s="34">
        <f>Allocation[[#This Row],[Quantity Processed]]/Allocation[[#This Row],[Dilution rate]]</f>
        <v>1446.1538461538462</v>
      </c>
      <c r="T2439" s="59">
        <f>SUMIF(Allocation[Delivery ID],Allocation[[#This Row],[Delivery ID]],Allocation[Quantity allocated])/SUMIF(Allocation[Delivery ID],Allocation[[#This Row],[Delivery ID]],Allocation[Volume available (kg)])</f>
        <v>1.0612607291185971</v>
      </c>
      <c r="U2439" s="61">
        <f>Allocation[[#This Row],[Total volume used]]/VLOOKUP(Allocation[[#This Row],[Delivery ID]],Delivery[[Delivery ID]:[Quantity delivered]],3,FALSE)</f>
        <v>0.85472761427676891</v>
      </c>
      <c r="V2439" s="34" t="e">
        <f>VLOOKUP(Allocation[[#This Row],[SAP Contract number]],Shipments[[SAP Contract number]:[Contracted container weight]],2,FALSE)</f>
        <v>#N/A</v>
      </c>
      <c r="W2439" s="34" t="e">
        <f>VLOOKUP(Allocation[[#This Row],[SAP Contract number]],Shipments[[SAP Contract number]:[AAA Premium USD]],24,FALSE)</f>
        <v>#N/A</v>
      </c>
      <c r="X2439" s="34" t="e">
        <f>VLOOKUP(Allocation[[#This Row],[SAP Contract number]],Shipments[[SAP Contract number]:[RA Premium USD]],25,FALSE)</f>
        <v>#N/A</v>
      </c>
      <c r="Y2439" s="38">
        <f>Allocation[[#This Row],[Quantity Processed]]/Allocation[[#This Row],[Quantity allocated]]</f>
        <v>2.5</v>
      </c>
      <c r="Z2439" s="34" t="b">
        <f>Allocation[[#This Row],[Quantity allocated]]&lt;=Allocation[[#This Row],[Quantity Processed]]</f>
        <v>1</v>
      </c>
    </row>
    <row r="2440" spans="1:26">
      <c r="A2440" s="247" t="s">
        <v>467</v>
      </c>
      <c r="B2440" s="210" t="s">
        <v>68</v>
      </c>
      <c r="C2440" s="254" t="s">
        <v>1841</v>
      </c>
      <c r="D2440" s="255">
        <v>11500</v>
      </c>
      <c r="E2440" s="211" t="s">
        <v>1962</v>
      </c>
      <c r="F2440" s="212">
        <v>43651</v>
      </c>
      <c r="G2440" s="213">
        <v>2.6</v>
      </c>
      <c r="H2440" s="256">
        <v>3795</v>
      </c>
      <c r="I2440" s="214">
        <v>1466005</v>
      </c>
      <c r="J2440" s="215">
        <v>20700</v>
      </c>
      <c r="K2440" s="212">
        <v>43651</v>
      </c>
      <c r="L2440" s="211" t="s">
        <v>1963</v>
      </c>
      <c r="M2440" s="216">
        <v>4615447218</v>
      </c>
      <c r="N2440" s="212"/>
      <c r="O2440" s="218"/>
      <c r="P2440" s="219"/>
      <c r="Q2440" s="34">
        <f>SUMIF(Allocation[Delivery ID],Allocation[[#This Row],[Delivery ID]],Allocation[Quantity Processed])</f>
        <v>27558</v>
      </c>
      <c r="R2440" s="61">
        <f>Allocation[[#This Row],[Total volume used]]/VLOOKUP(Allocation[[#This Row],[Delivery ID]],Delivery[[Delivery ID]:[Quantity delivered]],3,FALSE)</f>
        <v>0.89677839245037427</v>
      </c>
      <c r="S2440" s="34">
        <f>Allocation[[#This Row],[Quantity Processed]]/Allocation[[#This Row],[Dilution rate]]</f>
        <v>4423.0769230769229</v>
      </c>
      <c r="T2440" s="59">
        <f>SUMIF(Allocation[Delivery ID],Allocation[[#This Row],[Delivery ID]],Allocation[Quantity allocated])/SUMIF(Allocation[Delivery ID],Allocation[[#This Row],[Delivery ID]],Allocation[Volume available (kg)])</f>
        <v>0.87931628787217209</v>
      </c>
      <c r="U2440" s="61">
        <f>Allocation[[#This Row],[Total volume used]]/VLOOKUP(Allocation[[#This Row],[Delivery ID]],Delivery[[Delivery ID]:[Quantity delivered]],3,FALSE)</f>
        <v>0.89677839245037427</v>
      </c>
      <c r="V2440" s="34" t="e">
        <f>VLOOKUP(Allocation[[#This Row],[SAP Contract number]],Shipments[[SAP Contract number]:[Contracted container weight]],2,FALSE)</f>
        <v>#N/A</v>
      </c>
      <c r="W2440" s="34" t="e">
        <f>VLOOKUP(Allocation[[#This Row],[SAP Contract number]],Shipments[[SAP Contract number]:[AAA Premium USD]],24,FALSE)</f>
        <v>#N/A</v>
      </c>
      <c r="X2440" s="34" t="e">
        <f>VLOOKUP(Allocation[[#This Row],[SAP Contract number]],Shipments[[SAP Contract number]:[RA Premium USD]],25,FALSE)</f>
        <v>#N/A</v>
      </c>
      <c r="Y2440" s="38">
        <f>Allocation[[#This Row],[Quantity Processed]]/Allocation[[#This Row],[Quantity allocated]]</f>
        <v>3.0303030303030303</v>
      </c>
      <c r="Z2440" s="34" t="b">
        <f>Allocation[[#This Row],[Quantity allocated]]&lt;=Allocation[[#This Row],[Quantity Processed]]</f>
        <v>1</v>
      </c>
    </row>
    <row r="2441" spans="1:26">
      <c r="A2441" s="247" t="s">
        <v>467</v>
      </c>
      <c r="B2441" s="224" t="s">
        <v>68</v>
      </c>
      <c r="C2441" s="257" t="s">
        <v>1843</v>
      </c>
      <c r="D2441" s="258">
        <v>4248</v>
      </c>
      <c r="E2441" s="225" t="s">
        <v>1962</v>
      </c>
      <c r="F2441" s="226">
        <v>43651</v>
      </c>
      <c r="G2441" s="227">
        <v>2.6</v>
      </c>
      <c r="H2441" s="259">
        <v>1784</v>
      </c>
      <c r="I2441" s="228">
        <v>1466005</v>
      </c>
      <c r="J2441" s="229">
        <v>20700</v>
      </c>
      <c r="K2441" s="226">
        <v>43651</v>
      </c>
      <c r="L2441" s="225" t="s">
        <v>1963</v>
      </c>
      <c r="M2441" s="230">
        <v>4615447218</v>
      </c>
      <c r="N2441" s="226"/>
      <c r="O2441" s="231"/>
      <c r="P2441" s="219"/>
      <c r="Q2441" s="34">
        <f>SUMIF(Allocation[Delivery ID],Allocation[[#This Row],[Delivery ID]],Allocation[Quantity Processed])</f>
        <v>9255</v>
      </c>
      <c r="R2441" s="61">
        <f>Allocation[[#This Row],[Total volume used]]/VLOOKUP(Allocation[[#This Row],[Delivery ID]],Delivery[[Delivery ID]:[Quantity delivered]],3,FALSE)</f>
        <v>0.81398416886543534</v>
      </c>
      <c r="S2441" s="34">
        <f>Allocation[[#This Row],[Quantity Processed]]/Allocation[[#This Row],[Dilution rate]]</f>
        <v>1633.8461538461538</v>
      </c>
      <c r="T2441" s="59">
        <f>SUMIF(Allocation[Delivery ID],Allocation[[#This Row],[Delivery ID]],Allocation[Quantity allocated])/SUMIF(Allocation[Delivery ID],Allocation[[#This Row],[Delivery ID]],Allocation[Volume available (kg)])</f>
        <v>1.11429936539828</v>
      </c>
      <c r="U2441" s="61">
        <f>Allocation[[#This Row],[Total volume used]]/VLOOKUP(Allocation[[#This Row],[Delivery ID]],Delivery[[Delivery ID]:[Quantity delivered]],3,FALSE)</f>
        <v>0.81398416886543534</v>
      </c>
      <c r="V2441" s="34" t="e">
        <f>VLOOKUP(Allocation[[#This Row],[SAP Contract number]],Shipments[[SAP Contract number]:[Contracted container weight]],2,FALSE)</f>
        <v>#N/A</v>
      </c>
      <c r="W2441" s="34" t="e">
        <f>VLOOKUP(Allocation[[#This Row],[SAP Contract number]],Shipments[[SAP Contract number]:[AAA Premium USD]],24,FALSE)</f>
        <v>#N/A</v>
      </c>
      <c r="X2441" s="34" t="e">
        <f>VLOOKUP(Allocation[[#This Row],[SAP Contract number]],Shipments[[SAP Contract number]:[RA Premium USD]],25,FALSE)</f>
        <v>#N/A</v>
      </c>
      <c r="Y2441" s="38">
        <f>Allocation[[#This Row],[Quantity Processed]]/Allocation[[#This Row],[Quantity allocated]]</f>
        <v>2.3811659192825112</v>
      </c>
      <c r="Z2441" s="34" t="b">
        <f>Allocation[[#This Row],[Quantity allocated]]&lt;=Allocation[[#This Row],[Quantity Processed]]</f>
        <v>1</v>
      </c>
    </row>
    <row r="2442" spans="1:26">
      <c r="A2442" s="247" t="s">
        <v>467</v>
      </c>
      <c r="B2442" s="210" t="s">
        <v>68</v>
      </c>
      <c r="C2442" s="254" t="s">
        <v>1979</v>
      </c>
      <c r="D2442" s="255">
        <v>2727</v>
      </c>
      <c r="E2442" s="211" t="s">
        <v>2087</v>
      </c>
      <c r="F2442" s="212">
        <v>43673</v>
      </c>
      <c r="G2442" s="213">
        <v>2.02</v>
      </c>
      <c r="H2442" s="256">
        <v>1200</v>
      </c>
      <c r="I2442" s="214">
        <v>1482484</v>
      </c>
      <c r="J2442" s="215">
        <v>20400</v>
      </c>
      <c r="K2442" s="212">
        <v>43690</v>
      </c>
      <c r="L2442" s="211" t="s">
        <v>2088</v>
      </c>
      <c r="M2442" s="216">
        <v>4615507497</v>
      </c>
      <c r="N2442" s="212"/>
      <c r="O2442" s="218"/>
      <c r="P2442" s="219"/>
      <c r="Q2442" s="34">
        <f>SUMIF(Allocation[Delivery ID],Allocation[[#This Row],[Delivery ID]],Allocation[Quantity Processed])</f>
        <v>2727</v>
      </c>
      <c r="R2442" s="61">
        <f>Allocation[[#This Row],[Total volume used]]/VLOOKUP(Allocation[[#This Row],[Delivery ID]],Delivery[[Delivery ID]:[Quantity delivered]],3,FALSE)</f>
        <v>0.13682890115403915</v>
      </c>
      <c r="S2442" s="34">
        <f>Allocation[[#This Row],[Quantity Processed]]/Allocation[[#This Row],[Dilution rate]]</f>
        <v>1350</v>
      </c>
      <c r="T2442" s="59">
        <f>SUMIF(Allocation[Delivery ID],Allocation[[#This Row],[Delivery ID]],Allocation[Quantity allocated])/SUMIF(Allocation[Delivery ID],Allocation[[#This Row],[Delivery ID]],Allocation[Volume available (kg)])</f>
        <v>0.88888888888888884</v>
      </c>
      <c r="U2442" s="61">
        <f>Allocation[[#This Row],[Total volume used]]/VLOOKUP(Allocation[[#This Row],[Delivery ID]],Delivery[[Delivery ID]:[Quantity delivered]],3,FALSE)</f>
        <v>0.13682890115403915</v>
      </c>
      <c r="V2442" s="34" t="e">
        <f>VLOOKUP(Allocation[[#This Row],[SAP Contract number]],Shipments[[SAP Contract number]:[Contracted container weight]],2,FALSE)</f>
        <v>#N/A</v>
      </c>
      <c r="W2442" s="34" t="e">
        <f>VLOOKUP(Allocation[[#This Row],[SAP Contract number]],Shipments[[SAP Contract number]:[AAA Premium USD]],24,FALSE)</f>
        <v>#N/A</v>
      </c>
      <c r="X2442" s="34" t="e">
        <f>VLOOKUP(Allocation[[#This Row],[SAP Contract number]],Shipments[[SAP Contract number]:[RA Premium USD]],25,FALSE)</f>
        <v>#N/A</v>
      </c>
      <c r="Y2442" s="38">
        <f>Allocation[[#This Row],[Quantity Processed]]/Allocation[[#This Row],[Quantity allocated]]</f>
        <v>2.2725</v>
      </c>
      <c r="Z2442" s="34" t="b">
        <f>Allocation[[#This Row],[Quantity allocated]]&lt;=Allocation[[#This Row],[Quantity Processed]]</f>
        <v>1</v>
      </c>
    </row>
    <row r="2443" spans="1:26">
      <c r="A2443" s="247" t="s">
        <v>467</v>
      </c>
      <c r="B2443" s="210" t="s">
        <v>68</v>
      </c>
      <c r="C2443" s="254" t="s">
        <v>1980</v>
      </c>
      <c r="D2443" s="255">
        <v>2553</v>
      </c>
      <c r="E2443" s="211" t="s">
        <v>2087</v>
      </c>
      <c r="F2443" s="212">
        <v>43673</v>
      </c>
      <c r="G2443" s="213">
        <v>2.02</v>
      </c>
      <c r="H2443" s="256">
        <v>1200</v>
      </c>
      <c r="I2443" s="214">
        <v>1482484</v>
      </c>
      <c r="J2443" s="215">
        <v>20400</v>
      </c>
      <c r="K2443" s="212">
        <v>43690</v>
      </c>
      <c r="L2443" s="211" t="s">
        <v>2088</v>
      </c>
      <c r="M2443" s="216">
        <v>4615507497</v>
      </c>
      <c r="N2443" s="212"/>
      <c r="O2443" s="218"/>
      <c r="P2443" s="219"/>
      <c r="Q2443" s="34">
        <f>SUMIF(Allocation[Delivery ID],Allocation[[#This Row],[Delivery ID]],Allocation[Quantity Processed])</f>
        <v>2553</v>
      </c>
      <c r="R2443" s="61">
        <f>Allocation[[#This Row],[Total volume used]]/VLOOKUP(Allocation[[#This Row],[Delivery ID]],Delivery[[Delivery ID]:[Quantity delivered]],3,FALSE)</f>
        <v>0.1620952380952381</v>
      </c>
      <c r="S2443" s="34">
        <f>Allocation[[#This Row],[Quantity Processed]]/Allocation[[#This Row],[Dilution rate]]</f>
        <v>1263.8613861386139</v>
      </c>
      <c r="T2443" s="59">
        <f>SUMIF(Allocation[Delivery ID],Allocation[[#This Row],[Delivery ID]],Allocation[Quantity allocated])/SUMIF(Allocation[Delivery ID],Allocation[[#This Row],[Delivery ID]],Allocation[Volume available (kg)])</f>
        <v>0.94947121034077553</v>
      </c>
      <c r="U2443" s="61">
        <f>Allocation[[#This Row],[Total volume used]]/VLOOKUP(Allocation[[#This Row],[Delivery ID]],Delivery[[Delivery ID]:[Quantity delivered]],3,FALSE)</f>
        <v>0.1620952380952381</v>
      </c>
      <c r="V2443" s="34" t="e">
        <f>VLOOKUP(Allocation[[#This Row],[SAP Contract number]],Shipments[[SAP Contract number]:[Contracted container weight]],2,FALSE)</f>
        <v>#N/A</v>
      </c>
      <c r="W2443" s="34" t="e">
        <f>VLOOKUP(Allocation[[#This Row],[SAP Contract number]],Shipments[[SAP Contract number]:[AAA Premium USD]],24,FALSE)</f>
        <v>#N/A</v>
      </c>
      <c r="X2443" s="34" t="e">
        <f>VLOOKUP(Allocation[[#This Row],[SAP Contract number]],Shipments[[SAP Contract number]:[RA Premium USD]],25,FALSE)</f>
        <v>#N/A</v>
      </c>
      <c r="Y2443" s="38">
        <f>Allocation[[#This Row],[Quantity Processed]]/Allocation[[#This Row],[Quantity allocated]]</f>
        <v>2.1274999999999999</v>
      </c>
      <c r="Z2443" s="34" t="b">
        <f>Allocation[[#This Row],[Quantity allocated]]&lt;=Allocation[[#This Row],[Quantity Processed]]</f>
        <v>1</v>
      </c>
    </row>
    <row r="2444" spans="1:26">
      <c r="A2444" s="247" t="s">
        <v>467</v>
      </c>
      <c r="B2444" s="210" t="s">
        <v>68</v>
      </c>
      <c r="C2444" s="254" t="s">
        <v>1355</v>
      </c>
      <c r="D2444" s="255">
        <v>1667</v>
      </c>
      <c r="E2444" s="211" t="s">
        <v>2087</v>
      </c>
      <c r="F2444" s="212">
        <v>43673</v>
      </c>
      <c r="G2444" s="213">
        <v>2.02</v>
      </c>
      <c r="H2444" s="256">
        <v>750</v>
      </c>
      <c r="I2444" s="214">
        <v>1482484</v>
      </c>
      <c r="J2444" s="215">
        <v>20400</v>
      </c>
      <c r="K2444" s="212">
        <v>43690</v>
      </c>
      <c r="L2444" s="211" t="s">
        <v>2088</v>
      </c>
      <c r="M2444" s="216">
        <v>4615507497</v>
      </c>
      <c r="N2444" s="212"/>
      <c r="O2444" s="218"/>
      <c r="P2444" s="219"/>
      <c r="Q2444" s="34">
        <f>SUMIF(Allocation[Delivery ID],Allocation[[#This Row],[Delivery ID]],Allocation[Quantity Processed])</f>
        <v>2650</v>
      </c>
      <c r="R2444" s="61">
        <f>Allocation[[#This Row],[Total volume used]]/VLOOKUP(Allocation[[#This Row],[Delivery ID]],Delivery[[Delivery ID]:[Quantity delivered]],3,FALSE)</f>
        <v>0.13548057259713703</v>
      </c>
      <c r="S2444" s="34">
        <f>Allocation[[#This Row],[Quantity Processed]]/Allocation[[#This Row],[Dilution rate]]</f>
        <v>825.24752475247521</v>
      </c>
      <c r="T2444" s="59">
        <f>SUMIF(Allocation[Delivery ID],Allocation[[#This Row],[Delivery ID]],Allocation[Quantity allocated])/SUMIF(Allocation[Delivery ID],Allocation[[#This Row],[Delivery ID]],Allocation[Volume available (kg)])</f>
        <v>0.99760834836771495</v>
      </c>
      <c r="U2444" s="61">
        <f>Allocation[[#This Row],[Total volume used]]/VLOOKUP(Allocation[[#This Row],[Delivery ID]],Delivery[[Delivery ID]:[Quantity delivered]],3,FALSE)</f>
        <v>0.13548057259713703</v>
      </c>
      <c r="V2444" s="34" t="e">
        <f>VLOOKUP(Allocation[[#This Row],[SAP Contract number]],Shipments[[SAP Contract number]:[Contracted container weight]],2,FALSE)</f>
        <v>#N/A</v>
      </c>
      <c r="W2444" s="34" t="e">
        <f>VLOOKUP(Allocation[[#This Row],[SAP Contract number]],Shipments[[SAP Contract number]:[AAA Premium USD]],24,FALSE)</f>
        <v>#N/A</v>
      </c>
      <c r="X2444" s="34" t="e">
        <f>VLOOKUP(Allocation[[#This Row],[SAP Contract number]],Shipments[[SAP Contract number]:[RA Premium USD]],25,FALSE)</f>
        <v>#N/A</v>
      </c>
      <c r="Y2444" s="38">
        <f>Allocation[[#This Row],[Quantity Processed]]/Allocation[[#This Row],[Quantity allocated]]</f>
        <v>2.2226666666666666</v>
      </c>
      <c r="Z2444" s="34" t="b">
        <f>Allocation[[#This Row],[Quantity allocated]]&lt;=Allocation[[#This Row],[Quantity Processed]]</f>
        <v>1</v>
      </c>
    </row>
    <row r="2445" spans="1:26">
      <c r="A2445" s="247" t="s">
        <v>467</v>
      </c>
      <c r="B2445" s="210" t="s">
        <v>68</v>
      </c>
      <c r="C2445" s="254" t="s">
        <v>1357</v>
      </c>
      <c r="D2445" s="255">
        <v>347</v>
      </c>
      <c r="E2445" s="211" t="s">
        <v>2087</v>
      </c>
      <c r="F2445" s="212">
        <v>43673</v>
      </c>
      <c r="G2445" s="213">
        <v>2.02</v>
      </c>
      <c r="H2445" s="256">
        <v>156</v>
      </c>
      <c r="I2445" s="214">
        <v>1482484</v>
      </c>
      <c r="J2445" s="215">
        <v>20400</v>
      </c>
      <c r="K2445" s="212">
        <v>43690</v>
      </c>
      <c r="L2445" s="211" t="s">
        <v>2088</v>
      </c>
      <c r="M2445" s="216">
        <v>4615507497</v>
      </c>
      <c r="N2445" s="212"/>
      <c r="O2445" s="218"/>
      <c r="P2445" s="219"/>
      <c r="Q2445" s="34">
        <f>SUMIF(Allocation[Delivery ID],Allocation[[#This Row],[Delivery ID]],Allocation[Quantity Processed])</f>
        <v>586</v>
      </c>
      <c r="R2445" s="61">
        <f>Allocation[[#This Row],[Total volume used]]/VLOOKUP(Allocation[[#This Row],[Delivery ID]],Delivery[[Delivery ID]:[Quantity delivered]],3,FALSE)</f>
        <v>0.10226876090750436</v>
      </c>
      <c r="S2445" s="34">
        <f>Allocation[[#This Row],[Quantity Processed]]/Allocation[[#This Row],[Dilution rate]]</f>
        <v>171.78217821782178</v>
      </c>
      <c r="T2445" s="59">
        <f>SUMIF(Allocation[Delivery ID],Allocation[[#This Row],[Delivery ID]],Allocation[Quantity allocated])/SUMIF(Allocation[Delivery ID],Allocation[[#This Row],[Delivery ID]],Allocation[Volume available (kg)])</f>
        <v>1.0100696850305781</v>
      </c>
      <c r="U2445" s="61">
        <f>Allocation[[#This Row],[Total volume used]]/VLOOKUP(Allocation[[#This Row],[Delivery ID]],Delivery[[Delivery ID]:[Quantity delivered]],3,FALSE)</f>
        <v>0.10226876090750436</v>
      </c>
      <c r="V2445" s="34" t="e">
        <f>VLOOKUP(Allocation[[#This Row],[SAP Contract number]],Shipments[[SAP Contract number]:[Contracted container weight]],2,FALSE)</f>
        <v>#N/A</v>
      </c>
      <c r="W2445" s="34" t="e">
        <f>VLOOKUP(Allocation[[#This Row],[SAP Contract number]],Shipments[[SAP Contract number]:[AAA Premium USD]],24,FALSE)</f>
        <v>#N/A</v>
      </c>
      <c r="X2445" s="34" t="e">
        <f>VLOOKUP(Allocation[[#This Row],[SAP Contract number]],Shipments[[SAP Contract number]:[RA Premium USD]],25,FALSE)</f>
        <v>#N/A</v>
      </c>
      <c r="Y2445" s="38">
        <f>Allocation[[#This Row],[Quantity Processed]]/Allocation[[#This Row],[Quantity allocated]]</f>
        <v>2.2243589743589745</v>
      </c>
      <c r="Z2445" s="34" t="b">
        <f>Allocation[[#This Row],[Quantity allocated]]&lt;=Allocation[[#This Row],[Quantity Processed]]</f>
        <v>1</v>
      </c>
    </row>
    <row r="2446" spans="1:26">
      <c r="A2446" s="247" t="s">
        <v>467</v>
      </c>
      <c r="B2446" s="210" t="s">
        <v>68</v>
      </c>
      <c r="C2446" s="254" t="s">
        <v>1981</v>
      </c>
      <c r="D2446" s="255">
        <v>7424</v>
      </c>
      <c r="E2446" s="211" t="s">
        <v>2087</v>
      </c>
      <c r="F2446" s="212">
        <v>43673</v>
      </c>
      <c r="G2446" s="213">
        <v>2.02</v>
      </c>
      <c r="H2446" s="256">
        <v>2450</v>
      </c>
      <c r="I2446" s="214">
        <v>1482484</v>
      </c>
      <c r="J2446" s="215">
        <v>20400</v>
      </c>
      <c r="K2446" s="212">
        <v>43690</v>
      </c>
      <c r="L2446" s="211" t="s">
        <v>2088</v>
      </c>
      <c r="M2446" s="216">
        <v>4615507497</v>
      </c>
      <c r="N2446" s="212"/>
      <c r="O2446" s="218"/>
      <c r="P2446" s="219"/>
      <c r="Q2446" s="34">
        <f>SUMIF(Allocation[Delivery ID],Allocation[[#This Row],[Delivery ID]],Allocation[Quantity Processed])</f>
        <v>15580</v>
      </c>
      <c r="R2446" s="61">
        <f>Allocation[[#This Row],[Total volume used]]/VLOOKUP(Allocation[[#This Row],[Delivery ID]],Delivery[[Delivery ID]:[Quantity delivered]],3,FALSE)</f>
        <v>1</v>
      </c>
      <c r="S2446" s="34">
        <f>Allocation[[#This Row],[Quantity Processed]]/Allocation[[#This Row],[Dilution rate]]</f>
        <v>3675.2475247524753</v>
      </c>
      <c r="T2446" s="59">
        <f>SUMIF(Allocation[Delivery ID],Allocation[[#This Row],[Delivery ID]],Allocation[Quantity allocated])/SUMIF(Allocation[Delivery ID],Allocation[[#This Row],[Delivery ID]],Allocation[Volume available (kg)])</f>
        <v>0.63518639946268951</v>
      </c>
      <c r="U2446" s="61">
        <f>Allocation[[#This Row],[Total volume used]]/VLOOKUP(Allocation[[#This Row],[Delivery ID]],Delivery[[Delivery ID]:[Quantity delivered]],3,FALSE)</f>
        <v>1</v>
      </c>
      <c r="V2446" s="34" t="e">
        <f>VLOOKUP(Allocation[[#This Row],[SAP Contract number]],Shipments[[SAP Contract number]:[Contracted container weight]],2,FALSE)</f>
        <v>#N/A</v>
      </c>
      <c r="W2446" s="34" t="e">
        <f>VLOOKUP(Allocation[[#This Row],[SAP Contract number]],Shipments[[SAP Contract number]:[AAA Premium USD]],24,FALSE)</f>
        <v>#N/A</v>
      </c>
      <c r="X2446" s="34" t="e">
        <f>VLOOKUP(Allocation[[#This Row],[SAP Contract number]],Shipments[[SAP Contract number]:[RA Premium USD]],25,FALSE)</f>
        <v>#N/A</v>
      </c>
      <c r="Y2446" s="38">
        <f>Allocation[[#This Row],[Quantity Processed]]/Allocation[[#This Row],[Quantity allocated]]</f>
        <v>3.030204081632653</v>
      </c>
      <c r="Z2446" s="34" t="b">
        <f>Allocation[[#This Row],[Quantity allocated]]&lt;=Allocation[[#This Row],[Quantity Processed]]</f>
        <v>1</v>
      </c>
    </row>
    <row r="2447" spans="1:26">
      <c r="A2447" s="247" t="s">
        <v>467</v>
      </c>
      <c r="B2447" s="210" t="s">
        <v>68</v>
      </c>
      <c r="C2447" s="254" t="s">
        <v>1368</v>
      </c>
      <c r="D2447" s="255">
        <v>211</v>
      </c>
      <c r="E2447" s="211" t="s">
        <v>2087</v>
      </c>
      <c r="F2447" s="212">
        <v>43673</v>
      </c>
      <c r="G2447" s="213">
        <v>2.02</v>
      </c>
      <c r="H2447" s="256">
        <v>95</v>
      </c>
      <c r="I2447" s="214">
        <v>1482484</v>
      </c>
      <c r="J2447" s="215">
        <v>20400</v>
      </c>
      <c r="K2447" s="212">
        <v>43690</v>
      </c>
      <c r="L2447" s="211" t="s">
        <v>2088</v>
      </c>
      <c r="M2447" s="216">
        <v>4615507497</v>
      </c>
      <c r="N2447" s="212"/>
      <c r="O2447" s="218"/>
      <c r="P2447" s="219"/>
      <c r="Q2447" s="34">
        <f>SUMIF(Allocation[Delivery ID],Allocation[[#This Row],[Delivery ID]],Allocation[Quantity Processed])</f>
        <v>327</v>
      </c>
      <c r="R2447" s="61">
        <f>Allocation[[#This Row],[Total volume used]]/VLOOKUP(Allocation[[#This Row],[Delivery ID]],Delivery[[Delivery ID]:[Quantity delivered]],3,FALSE)</f>
        <v>0.11978021978021978</v>
      </c>
      <c r="S2447" s="34">
        <f>Allocation[[#This Row],[Quantity Processed]]/Allocation[[#This Row],[Dilution rate]]</f>
        <v>104.45544554455445</v>
      </c>
      <c r="T2447" s="59">
        <f>SUMIF(Allocation[Delivery ID],Allocation[[#This Row],[Delivery ID]],Allocation[Quantity allocated])/SUMIF(Allocation[Delivery ID],Allocation[[#This Row],[Delivery ID]],Allocation[Volume available (kg)])</f>
        <v>0.99353429860527831</v>
      </c>
      <c r="U2447" s="61">
        <f>Allocation[[#This Row],[Total volume used]]/VLOOKUP(Allocation[[#This Row],[Delivery ID]],Delivery[[Delivery ID]:[Quantity delivered]],3,FALSE)</f>
        <v>0.11978021978021978</v>
      </c>
      <c r="V2447" s="34" t="e">
        <f>VLOOKUP(Allocation[[#This Row],[SAP Contract number]],Shipments[[SAP Contract number]:[Contracted container weight]],2,FALSE)</f>
        <v>#N/A</v>
      </c>
      <c r="W2447" s="34" t="e">
        <f>VLOOKUP(Allocation[[#This Row],[SAP Contract number]],Shipments[[SAP Contract number]:[AAA Premium USD]],24,FALSE)</f>
        <v>#N/A</v>
      </c>
      <c r="X2447" s="34" t="e">
        <f>VLOOKUP(Allocation[[#This Row],[SAP Contract number]],Shipments[[SAP Contract number]:[RA Premium USD]],25,FALSE)</f>
        <v>#N/A</v>
      </c>
      <c r="Y2447" s="38">
        <f>Allocation[[#This Row],[Quantity Processed]]/Allocation[[#This Row],[Quantity allocated]]</f>
        <v>2.2210526315789472</v>
      </c>
      <c r="Z2447" s="34" t="b">
        <f>Allocation[[#This Row],[Quantity allocated]]&lt;=Allocation[[#This Row],[Quantity Processed]]</f>
        <v>1</v>
      </c>
    </row>
    <row r="2448" spans="1:26">
      <c r="A2448" s="247" t="s">
        <v>467</v>
      </c>
      <c r="B2448" s="210" t="s">
        <v>68</v>
      </c>
      <c r="C2448" s="254" t="s">
        <v>1370</v>
      </c>
      <c r="D2448" s="255">
        <v>1444</v>
      </c>
      <c r="E2448" s="211" t="s">
        <v>2087</v>
      </c>
      <c r="F2448" s="212">
        <v>43673</v>
      </c>
      <c r="G2448" s="213">
        <v>2.02</v>
      </c>
      <c r="H2448" s="256">
        <v>650</v>
      </c>
      <c r="I2448" s="214">
        <v>1482484</v>
      </c>
      <c r="J2448" s="215">
        <v>20400</v>
      </c>
      <c r="K2448" s="212">
        <v>43690</v>
      </c>
      <c r="L2448" s="211" t="s">
        <v>2088</v>
      </c>
      <c r="M2448" s="216">
        <v>4615507497</v>
      </c>
      <c r="N2448" s="212"/>
      <c r="O2448" s="218"/>
      <c r="P2448" s="219"/>
      <c r="Q2448" s="34">
        <f>SUMIF(Allocation[Delivery ID],Allocation[[#This Row],[Delivery ID]],Allocation[Quantity Processed])</f>
        <v>2464</v>
      </c>
      <c r="R2448" s="61">
        <f>Allocation[[#This Row],[Total volume used]]/VLOOKUP(Allocation[[#This Row],[Delivery ID]],Delivery[[Delivery ID]:[Quantity delivered]],3,FALSE)</f>
        <v>0.12161895360315893</v>
      </c>
      <c r="S2448" s="34">
        <f>Allocation[[#This Row],[Quantity Processed]]/Allocation[[#This Row],[Dilution rate]]</f>
        <v>714.85148514851483</v>
      </c>
      <c r="T2448" s="59">
        <f>SUMIF(Allocation[Delivery ID],Allocation[[#This Row],[Delivery ID]],Allocation[Quantity allocated])/SUMIF(Allocation[Delivery ID],Allocation[[#This Row],[Delivery ID]],Allocation[Volume available (kg)])</f>
        <v>1.0096768207281628</v>
      </c>
      <c r="U2448" s="61">
        <f>Allocation[[#This Row],[Total volume used]]/VLOOKUP(Allocation[[#This Row],[Delivery ID]],Delivery[[Delivery ID]:[Quantity delivered]],3,FALSE)</f>
        <v>0.12161895360315893</v>
      </c>
      <c r="V2448" s="34" t="e">
        <f>VLOOKUP(Allocation[[#This Row],[SAP Contract number]],Shipments[[SAP Contract number]:[Contracted container weight]],2,FALSE)</f>
        <v>#N/A</v>
      </c>
      <c r="W2448" s="34" t="e">
        <f>VLOOKUP(Allocation[[#This Row],[SAP Contract number]],Shipments[[SAP Contract number]:[AAA Premium USD]],24,FALSE)</f>
        <v>#N/A</v>
      </c>
      <c r="X2448" s="34" t="e">
        <f>VLOOKUP(Allocation[[#This Row],[SAP Contract number]],Shipments[[SAP Contract number]:[RA Premium USD]],25,FALSE)</f>
        <v>#N/A</v>
      </c>
      <c r="Y2448" s="38">
        <f>Allocation[[#This Row],[Quantity Processed]]/Allocation[[#This Row],[Quantity allocated]]</f>
        <v>2.2215384615384615</v>
      </c>
      <c r="Z2448" s="34" t="b">
        <f>Allocation[[#This Row],[Quantity allocated]]&lt;=Allocation[[#This Row],[Quantity Processed]]</f>
        <v>1</v>
      </c>
    </row>
    <row r="2449" spans="1:26">
      <c r="A2449" s="247" t="s">
        <v>467</v>
      </c>
      <c r="B2449" s="210" t="s">
        <v>68</v>
      </c>
      <c r="C2449" s="254" t="s">
        <v>1388</v>
      </c>
      <c r="D2449" s="255">
        <v>2500</v>
      </c>
      <c r="E2449" s="211" t="s">
        <v>2087</v>
      </c>
      <c r="F2449" s="212">
        <v>43673</v>
      </c>
      <c r="G2449" s="213">
        <v>2.02</v>
      </c>
      <c r="H2449" s="256">
        <v>700</v>
      </c>
      <c r="I2449" s="214">
        <v>1482484</v>
      </c>
      <c r="J2449" s="215">
        <v>20400</v>
      </c>
      <c r="K2449" s="212">
        <v>43690</v>
      </c>
      <c r="L2449" s="211" t="s">
        <v>2088</v>
      </c>
      <c r="M2449" s="216">
        <v>4615507497</v>
      </c>
      <c r="N2449" s="212"/>
      <c r="O2449" s="218"/>
      <c r="P2449" s="219"/>
      <c r="Q2449" s="34">
        <f>SUMIF(Allocation[Delivery ID],Allocation[[#This Row],[Delivery ID]],Allocation[Quantity Processed])</f>
        <v>3940</v>
      </c>
      <c r="R2449" s="61">
        <f>Allocation[[#This Row],[Total volume used]]/VLOOKUP(Allocation[[#This Row],[Delivery ID]],Delivery[[Delivery ID]:[Quantity delivered]],3,FALSE)</f>
        <v>0.20671563483735572</v>
      </c>
      <c r="S2449" s="34">
        <f>Allocation[[#This Row],[Quantity Processed]]/Allocation[[#This Row],[Dilution rate]]</f>
        <v>1237.6237623762377</v>
      </c>
      <c r="T2449" s="59">
        <f>SUMIF(Allocation[Delivery ID],Allocation[[#This Row],[Delivery ID]],Allocation[Quantity allocated])/SUMIF(Allocation[Delivery ID],Allocation[[#This Row],[Delivery ID]],Allocation[Volume available (kg)])</f>
        <v>0.6362840904262469</v>
      </c>
      <c r="U2449" s="61">
        <f>Allocation[[#This Row],[Total volume used]]/VLOOKUP(Allocation[[#This Row],[Delivery ID]],Delivery[[Delivery ID]:[Quantity delivered]],3,FALSE)</f>
        <v>0.20671563483735572</v>
      </c>
      <c r="V2449" s="34" t="e">
        <f>VLOOKUP(Allocation[[#This Row],[SAP Contract number]],Shipments[[SAP Contract number]:[Contracted container weight]],2,FALSE)</f>
        <v>#N/A</v>
      </c>
      <c r="W2449" s="34" t="e">
        <f>VLOOKUP(Allocation[[#This Row],[SAP Contract number]],Shipments[[SAP Contract number]:[AAA Premium USD]],24,FALSE)</f>
        <v>#N/A</v>
      </c>
      <c r="X2449" s="34" t="e">
        <f>VLOOKUP(Allocation[[#This Row],[SAP Contract number]],Shipments[[SAP Contract number]:[RA Premium USD]],25,FALSE)</f>
        <v>#N/A</v>
      </c>
      <c r="Y2449" s="38">
        <f>Allocation[[#This Row],[Quantity Processed]]/Allocation[[#This Row],[Quantity allocated]]</f>
        <v>3.5714285714285716</v>
      </c>
      <c r="Z2449" s="34" t="b">
        <f>Allocation[[#This Row],[Quantity allocated]]&lt;=Allocation[[#This Row],[Quantity Processed]]</f>
        <v>1</v>
      </c>
    </row>
    <row r="2450" spans="1:26">
      <c r="A2450" s="247" t="s">
        <v>467</v>
      </c>
      <c r="B2450" s="210" t="s">
        <v>68</v>
      </c>
      <c r="C2450" s="254" t="s">
        <v>1389</v>
      </c>
      <c r="D2450" s="255">
        <v>2679</v>
      </c>
      <c r="E2450" s="211" t="s">
        <v>2087</v>
      </c>
      <c r="F2450" s="212">
        <v>43673</v>
      </c>
      <c r="G2450" s="213">
        <v>2.02</v>
      </c>
      <c r="H2450" s="256">
        <v>750</v>
      </c>
      <c r="I2450" s="214">
        <v>1482484</v>
      </c>
      <c r="J2450" s="215">
        <v>20400</v>
      </c>
      <c r="K2450" s="212">
        <v>43690</v>
      </c>
      <c r="L2450" s="211" t="s">
        <v>2088</v>
      </c>
      <c r="M2450" s="216">
        <v>4615507497</v>
      </c>
      <c r="N2450" s="212"/>
      <c r="O2450" s="218"/>
      <c r="P2450" s="219"/>
      <c r="Q2450" s="34">
        <f>SUMIF(Allocation[Delivery ID],Allocation[[#This Row],[Delivery ID]],Allocation[Quantity Processed])</f>
        <v>4209</v>
      </c>
      <c r="R2450" s="61">
        <f>Allocation[[#This Row],[Total volume used]]/VLOOKUP(Allocation[[#This Row],[Delivery ID]],Delivery[[Delivery ID]:[Quantity delivered]],3,FALSE)</f>
        <v>0.20805734058329214</v>
      </c>
      <c r="S2450" s="34">
        <f>Allocation[[#This Row],[Quantity Processed]]/Allocation[[#This Row],[Dilution rate]]</f>
        <v>1326.2376237623762</v>
      </c>
      <c r="T2450" s="59">
        <f>SUMIF(Allocation[Delivery ID],Allocation[[#This Row],[Delivery ID]],Allocation[Quantity allocated])/SUMIF(Allocation[Delivery ID],Allocation[[#This Row],[Delivery ID]],Allocation[Volume available (kg)])</f>
        <v>0.63580805210327485</v>
      </c>
      <c r="U2450" s="61">
        <f>Allocation[[#This Row],[Total volume used]]/VLOOKUP(Allocation[[#This Row],[Delivery ID]],Delivery[[Delivery ID]:[Quantity delivered]],3,FALSE)</f>
        <v>0.20805734058329214</v>
      </c>
      <c r="V2450" s="34" t="e">
        <f>VLOOKUP(Allocation[[#This Row],[SAP Contract number]],Shipments[[SAP Contract number]:[Contracted container weight]],2,FALSE)</f>
        <v>#N/A</v>
      </c>
      <c r="W2450" s="34" t="e">
        <f>VLOOKUP(Allocation[[#This Row],[SAP Contract number]],Shipments[[SAP Contract number]:[AAA Premium USD]],24,FALSE)</f>
        <v>#N/A</v>
      </c>
      <c r="X2450" s="34" t="e">
        <f>VLOOKUP(Allocation[[#This Row],[SAP Contract number]],Shipments[[SAP Contract number]:[RA Premium USD]],25,FALSE)</f>
        <v>#N/A</v>
      </c>
      <c r="Y2450" s="38">
        <f>Allocation[[#This Row],[Quantity Processed]]/Allocation[[#This Row],[Quantity allocated]]</f>
        <v>3.5720000000000001</v>
      </c>
      <c r="Z2450" s="34" t="b">
        <f>Allocation[[#This Row],[Quantity allocated]]&lt;=Allocation[[#This Row],[Quantity Processed]]</f>
        <v>1</v>
      </c>
    </row>
    <row r="2451" spans="1:26">
      <c r="A2451" s="247" t="s">
        <v>467</v>
      </c>
      <c r="B2451" s="210" t="s">
        <v>68</v>
      </c>
      <c r="C2451" s="254" t="s">
        <v>1393</v>
      </c>
      <c r="D2451" s="255">
        <v>6442</v>
      </c>
      <c r="E2451" s="211" t="s">
        <v>2087</v>
      </c>
      <c r="F2451" s="212">
        <v>43673</v>
      </c>
      <c r="G2451" s="213">
        <v>2.02</v>
      </c>
      <c r="H2451" s="256">
        <v>3221</v>
      </c>
      <c r="I2451" s="214">
        <v>1482484</v>
      </c>
      <c r="J2451" s="215">
        <v>20400</v>
      </c>
      <c r="K2451" s="212">
        <v>43690</v>
      </c>
      <c r="L2451" s="211" t="s">
        <v>2088</v>
      </c>
      <c r="M2451" s="216">
        <v>4615507497</v>
      </c>
      <c r="N2451" s="212"/>
      <c r="O2451" s="218"/>
      <c r="P2451" s="219"/>
      <c r="Q2451" s="34">
        <f>SUMIF(Allocation[Delivery ID],Allocation[[#This Row],[Delivery ID]],Allocation[Quantity Processed])</f>
        <v>8682</v>
      </c>
      <c r="R2451" s="61">
        <f>Allocation[[#This Row],[Total volume used]]/VLOOKUP(Allocation[[#This Row],[Delivery ID]],Delivery[[Delivery ID]:[Quantity delivered]],3,FALSE)</f>
        <v>0.71675059853050438</v>
      </c>
      <c r="S2451" s="34">
        <f>Allocation[[#This Row],[Quantity Processed]]/Allocation[[#This Row],[Dilution rate]]</f>
        <v>3189.1089108910892</v>
      </c>
      <c r="T2451" s="59">
        <f>SUMIF(Allocation[Delivery ID],Allocation[[#This Row],[Delivery ID]],Allocation[Quantity allocated])/SUMIF(Allocation[Delivery ID],Allocation[[#This Row],[Delivery ID]],Allocation[Volume available (kg)])</f>
        <v>1.0762678945787127</v>
      </c>
      <c r="U2451" s="61">
        <f>Allocation[[#This Row],[Total volume used]]/VLOOKUP(Allocation[[#This Row],[Delivery ID]],Delivery[[Delivery ID]:[Quantity delivered]],3,FALSE)</f>
        <v>0.71675059853050438</v>
      </c>
      <c r="V2451" s="34" t="e">
        <f>VLOOKUP(Allocation[[#This Row],[SAP Contract number]],Shipments[[SAP Contract number]:[Contracted container weight]],2,FALSE)</f>
        <v>#N/A</v>
      </c>
      <c r="W2451" s="34" t="e">
        <f>VLOOKUP(Allocation[[#This Row],[SAP Contract number]],Shipments[[SAP Contract number]:[AAA Premium USD]],24,FALSE)</f>
        <v>#N/A</v>
      </c>
      <c r="X2451" s="34" t="e">
        <f>VLOOKUP(Allocation[[#This Row],[SAP Contract number]],Shipments[[SAP Contract number]:[RA Premium USD]],25,FALSE)</f>
        <v>#N/A</v>
      </c>
      <c r="Y2451" s="38">
        <f>Allocation[[#This Row],[Quantity Processed]]/Allocation[[#This Row],[Quantity allocated]]</f>
        <v>2</v>
      </c>
      <c r="Z2451" s="34" t="b">
        <f>Allocation[[#This Row],[Quantity allocated]]&lt;=Allocation[[#This Row],[Quantity Processed]]</f>
        <v>1</v>
      </c>
    </row>
    <row r="2452" spans="1:26">
      <c r="A2452" s="247" t="s">
        <v>467</v>
      </c>
      <c r="B2452" s="210" t="s">
        <v>68</v>
      </c>
      <c r="C2452" s="254" t="s">
        <v>1395</v>
      </c>
      <c r="D2452" s="255">
        <v>8520</v>
      </c>
      <c r="E2452" s="211" t="s">
        <v>2087</v>
      </c>
      <c r="F2452" s="212">
        <v>43673</v>
      </c>
      <c r="G2452" s="213">
        <v>2.02</v>
      </c>
      <c r="H2452" s="256">
        <v>4260</v>
      </c>
      <c r="I2452" s="214">
        <v>1482484</v>
      </c>
      <c r="J2452" s="215">
        <v>20400</v>
      </c>
      <c r="K2452" s="212">
        <v>43690</v>
      </c>
      <c r="L2452" s="211" t="s">
        <v>2088</v>
      </c>
      <c r="M2452" s="216">
        <v>4615507497</v>
      </c>
      <c r="N2452" s="212"/>
      <c r="O2452" s="218"/>
      <c r="P2452" s="219"/>
      <c r="Q2452" s="34">
        <f>SUMIF(Allocation[Delivery ID],Allocation[[#This Row],[Delivery ID]],Allocation[Quantity Processed])</f>
        <v>11484</v>
      </c>
      <c r="R2452" s="61">
        <f>Allocation[[#This Row],[Total volume used]]/VLOOKUP(Allocation[[#This Row],[Delivery ID]],Delivery[[Delivery ID]:[Quantity delivered]],3,FALSE)</f>
        <v>0.71596009975062347</v>
      </c>
      <c r="S2452" s="34">
        <f>Allocation[[#This Row],[Quantity Processed]]/Allocation[[#This Row],[Dilution rate]]</f>
        <v>4217.8217821782182</v>
      </c>
      <c r="T2452" s="59">
        <f>SUMIF(Allocation[Delivery ID],Allocation[[#This Row],[Delivery ID]],Allocation[Quantity allocated])/SUMIF(Allocation[Delivery ID],Allocation[[#This Row],[Delivery ID]],Allocation[Volume available (kg)])</f>
        <v>1.0762941513493463</v>
      </c>
      <c r="U2452" s="61">
        <f>Allocation[[#This Row],[Total volume used]]/VLOOKUP(Allocation[[#This Row],[Delivery ID]],Delivery[[Delivery ID]:[Quantity delivered]],3,FALSE)</f>
        <v>0.71596009975062347</v>
      </c>
      <c r="V2452" s="34" t="e">
        <f>VLOOKUP(Allocation[[#This Row],[SAP Contract number]],Shipments[[SAP Contract number]:[Contracted container weight]],2,FALSE)</f>
        <v>#N/A</v>
      </c>
      <c r="W2452" s="34" t="e">
        <f>VLOOKUP(Allocation[[#This Row],[SAP Contract number]],Shipments[[SAP Contract number]:[AAA Premium USD]],24,FALSE)</f>
        <v>#N/A</v>
      </c>
      <c r="X2452" s="34" t="e">
        <f>VLOOKUP(Allocation[[#This Row],[SAP Contract number]],Shipments[[SAP Contract number]:[RA Premium USD]],25,FALSE)</f>
        <v>#N/A</v>
      </c>
      <c r="Y2452" s="38">
        <f>Allocation[[#This Row],[Quantity Processed]]/Allocation[[#This Row],[Quantity allocated]]</f>
        <v>2</v>
      </c>
      <c r="Z2452" s="34" t="b">
        <f>Allocation[[#This Row],[Quantity allocated]]&lt;=Allocation[[#This Row],[Quantity Processed]]</f>
        <v>1</v>
      </c>
    </row>
    <row r="2453" spans="1:26">
      <c r="A2453" s="247" t="s">
        <v>467</v>
      </c>
      <c r="B2453" s="210" t="s">
        <v>68</v>
      </c>
      <c r="C2453" s="254" t="s">
        <v>569</v>
      </c>
      <c r="D2453" s="255">
        <v>206</v>
      </c>
      <c r="E2453" s="211" t="s">
        <v>2087</v>
      </c>
      <c r="F2453" s="212">
        <v>43673</v>
      </c>
      <c r="G2453" s="213">
        <v>2.02</v>
      </c>
      <c r="H2453" s="256">
        <v>68</v>
      </c>
      <c r="I2453" s="214">
        <v>1482484</v>
      </c>
      <c r="J2453" s="215">
        <v>20400</v>
      </c>
      <c r="K2453" s="212">
        <v>43690</v>
      </c>
      <c r="L2453" s="211" t="s">
        <v>2088</v>
      </c>
      <c r="M2453" s="216">
        <v>4615507497</v>
      </c>
      <c r="N2453" s="212"/>
      <c r="O2453" s="218"/>
      <c r="P2453" s="219"/>
      <c r="Q2453" s="34">
        <f>SUMIF(Allocation[Delivery ID],Allocation[[#This Row],[Delivery ID]],Allocation[Quantity Processed])</f>
        <v>7262</v>
      </c>
      <c r="R2453" s="61">
        <f>Allocation[[#This Row],[Total volume used]]/VLOOKUP(Allocation[[#This Row],[Delivery ID]],Delivery[[Delivery ID]:[Quantity delivered]],3,FALSE)</f>
        <v>0.60516666666666663</v>
      </c>
      <c r="S2453" s="34">
        <f>Allocation[[#This Row],[Quantity Processed]]/Allocation[[#This Row],[Dilution rate]]</f>
        <v>101.98019801980197</v>
      </c>
      <c r="T2453" s="59">
        <f>SUMIF(Allocation[Delivery ID],Allocation[[#This Row],[Delivery ID]],Allocation[Quantity allocated])/SUMIF(Allocation[Delivery ID],Allocation[[#This Row],[Delivery ID]],Allocation[Volume available (kg)])</f>
        <v>0.67035577324738682</v>
      </c>
      <c r="U2453" s="61">
        <f>Allocation[[#This Row],[Total volume used]]/VLOOKUP(Allocation[[#This Row],[Delivery ID]],Delivery[[Delivery ID]:[Quantity delivered]],3,FALSE)</f>
        <v>0.60516666666666663</v>
      </c>
      <c r="V2453" s="34" t="e">
        <f>VLOOKUP(Allocation[[#This Row],[SAP Contract number]],Shipments[[SAP Contract number]:[Contracted container weight]],2,FALSE)</f>
        <v>#N/A</v>
      </c>
      <c r="W2453" s="34" t="e">
        <f>VLOOKUP(Allocation[[#This Row],[SAP Contract number]],Shipments[[SAP Contract number]:[AAA Premium USD]],24,FALSE)</f>
        <v>#N/A</v>
      </c>
      <c r="X2453" s="34" t="e">
        <f>VLOOKUP(Allocation[[#This Row],[SAP Contract number]],Shipments[[SAP Contract number]:[RA Premium USD]],25,FALSE)</f>
        <v>#N/A</v>
      </c>
      <c r="Y2453" s="38">
        <f>Allocation[[#This Row],[Quantity Processed]]/Allocation[[#This Row],[Quantity allocated]]</f>
        <v>3.0294117647058822</v>
      </c>
      <c r="Z2453" s="34" t="b">
        <f>Allocation[[#This Row],[Quantity allocated]]&lt;=Allocation[[#This Row],[Quantity Processed]]</f>
        <v>1</v>
      </c>
    </row>
    <row r="2454" spans="1:26">
      <c r="A2454" s="247" t="s">
        <v>467</v>
      </c>
      <c r="B2454" s="210" t="s">
        <v>68</v>
      </c>
      <c r="C2454" s="254" t="s">
        <v>574</v>
      </c>
      <c r="D2454" s="255">
        <v>2358</v>
      </c>
      <c r="E2454" s="211" t="s">
        <v>2087</v>
      </c>
      <c r="F2454" s="212">
        <v>43673</v>
      </c>
      <c r="G2454" s="213">
        <v>2.02</v>
      </c>
      <c r="H2454" s="256">
        <v>965</v>
      </c>
      <c r="I2454" s="214">
        <v>1482484</v>
      </c>
      <c r="J2454" s="215">
        <v>20400</v>
      </c>
      <c r="K2454" s="212">
        <v>43690</v>
      </c>
      <c r="L2454" s="211" t="s">
        <v>2088</v>
      </c>
      <c r="M2454" s="216">
        <v>4615507497</v>
      </c>
      <c r="N2454" s="212"/>
      <c r="O2454" s="218"/>
      <c r="P2454" s="219"/>
      <c r="Q2454" s="34">
        <f>SUMIF(Allocation[Delivery ID],Allocation[[#This Row],[Delivery ID]],Allocation[Quantity Processed])</f>
        <v>6000</v>
      </c>
      <c r="R2454" s="61">
        <f>Allocation[[#This Row],[Total volume used]]/VLOOKUP(Allocation[[#This Row],[Delivery ID]],Delivery[[Delivery ID]:[Quantity delivered]],3,FALSE)</f>
        <v>1</v>
      </c>
      <c r="S2454" s="34">
        <f>Allocation[[#This Row],[Quantity Processed]]/Allocation[[#This Row],[Dilution rate]]</f>
        <v>1167.3267326732673</v>
      </c>
      <c r="T2454" s="59">
        <f>SUMIF(Allocation[Delivery ID],Allocation[[#This Row],[Delivery ID]],Allocation[Quantity allocated])/SUMIF(Allocation[Delivery ID],Allocation[[#This Row],[Delivery ID]],Allocation[Volume available (kg)])</f>
        <v>0.74754324711936126</v>
      </c>
      <c r="U2454" s="61">
        <f>Allocation[[#This Row],[Total volume used]]/VLOOKUP(Allocation[[#This Row],[Delivery ID]],Delivery[[Delivery ID]:[Quantity delivered]],3,FALSE)</f>
        <v>1</v>
      </c>
      <c r="V2454" s="34" t="e">
        <f>VLOOKUP(Allocation[[#This Row],[SAP Contract number]],Shipments[[SAP Contract number]:[Contracted container weight]],2,FALSE)</f>
        <v>#N/A</v>
      </c>
      <c r="W2454" s="34" t="e">
        <f>VLOOKUP(Allocation[[#This Row],[SAP Contract number]],Shipments[[SAP Contract number]:[AAA Premium USD]],24,FALSE)</f>
        <v>#N/A</v>
      </c>
      <c r="X2454" s="34" t="e">
        <f>VLOOKUP(Allocation[[#This Row],[SAP Contract number]],Shipments[[SAP Contract number]:[RA Premium USD]],25,FALSE)</f>
        <v>#N/A</v>
      </c>
      <c r="Y2454" s="38">
        <f>Allocation[[#This Row],[Quantity Processed]]/Allocation[[#This Row],[Quantity allocated]]</f>
        <v>2.4435233160621763</v>
      </c>
      <c r="Z2454" s="34" t="b">
        <f>Allocation[[#This Row],[Quantity allocated]]&lt;=Allocation[[#This Row],[Quantity Processed]]</f>
        <v>1</v>
      </c>
    </row>
    <row r="2455" spans="1:26">
      <c r="A2455" s="247" t="s">
        <v>467</v>
      </c>
      <c r="B2455" s="210" t="s">
        <v>68</v>
      </c>
      <c r="C2455" s="254" t="s">
        <v>1407</v>
      </c>
      <c r="D2455" s="255">
        <v>660</v>
      </c>
      <c r="E2455" s="211" t="s">
        <v>2087</v>
      </c>
      <c r="F2455" s="212">
        <v>43673</v>
      </c>
      <c r="G2455" s="213">
        <v>2.02</v>
      </c>
      <c r="H2455" s="256">
        <v>277</v>
      </c>
      <c r="I2455" s="214">
        <v>1482484</v>
      </c>
      <c r="J2455" s="215">
        <v>20400</v>
      </c>
      <c r="K2455" s="212">
        <v>43690</v>
      </c>
      <c r="L2455" s="211" t="s">
        <v>2088</v>
      </c>
      <c r="M2455" s="216">
        <v>4615507497</v>
      </c>
      <c r="N2455" s="212"/>
      <c r="O2455" s="218"/>
      <c r="P2455" s="219"/>
      <c r="Q2455" s="34">
        <f>SUMIF(Allocation[Delivery ID],Allocation[[#This Row],[Delivery ID]],Allocation[Quantity Processed])</f>
        <v>1117</v>
      </c>
      <c r="R2455" s="61">
        <f>Allocation[[#This Row],[Total volume used]]/VLOOKUP(Allocation[[#This Row],[Delivery ID]],Delivery[[Delivery ID]:[Quantity delivered]],3,FALSE)</f>
        <v>0.10918866080156403</v>
      </c>
      <c r="S2455" s="34">
        <f>Allocation[[#This Row],[Quantity Processed]]/Allocation[[#This Row],[Dilution rate]]</f>
        <v>326.73267326732673</v>
      </c>
      <c r="T2455" s="59">
        <f>SUMIF(Allocation[Delivery ID],Allocation[[#This Row],[Delivery ID]],Allocation[Quantity allocated])/SUMIF(Allocation[Delivery ID],Allocation[[#This Row],[Delivery ID]],Allocation[Volume available (kg)])</f>
        <v>0.94175676352267901</v>
      </c>
      <c r="U2455" s="61">
        <f>Allocation[[#This Row],[Total volume used]]/VLOOKUP(Allocation[[#This Row],[Delivery ID]],Delivery[[Delivery ID]:[Quantity delivered]],3,FALSE)</f>
        <v>0.10918866080156403</v>
      </c>
      <c r="V2455" s="34" t="e">
        <f>VLOOKUP(Allocation[[#This Row],[SAP Contract number]],Shipments[[SAP Contract number]:[Contracted container weight]],2,FALSE)</f>
        <v>#N/A</v>
      </c>
      <c r="W2455" s="34" t="e">
        <f>VLOOKUP(Allocation[[#This Row],[SAP Contract number]],Shipments[[SAP Contract number]:[AAA Premium USD]],24,FALSE)</f>
        <v>#N/A</v>
      </c>
      <c r="X2455" s="34" t="e">
        <f>VLOOKUP(Allocation[[#This Row],[SAP Contract number]],Shipments[[SAP Contract number]:[RA Premium USD]],25,FALSE)</f>
        <v>#N/A</v>
      </c>
      <c r="Y2455" s="38">
        <f>Allocation[[#This Row],[Quantity Processed]]/Allocation[[#This Row],[Quantity allocated]]</f>
        <v>2.3826714801444044</v>
      </c>
      <c r="Z2455" s="34" t="b">
        <f>Allocation[[#This Row],[Quantity allocated]]&lt;=Allocation[[#This Row],[Quantity Processed]]</f>
        <v>1</v>
      </c>
    </row>
    <row r="2456" spans="1:26">
      <c r="A2456" s="247" t="s">
        <v>467</v>
      </c>
      <c r="B2456" s="210" t="s">
        <v>68</v>
      </c>
      <c r="C2456" s="254" t="s">
        <v>1408</v>
      </c>
      <c r="D2456" s="255">
        <v>1293</v>
      </c>
      <c r="E2456" s="211" t="s">
        <v>2087</v>
      </c>
      <c r="F2456" s="212">
        <v>43673</v>
      </c>
      <c r="G2456" s="213">
        <v>2.02</v>
      </c>
      <c r="H2456" s="256">
        <v>543</v>
      </c>
      <c r="I2456" s="214">
        <v>1482484</v>
      </c>
      <c r="J2456" s="215">
        <v>20400</v>
      </c>
      <c r="K2456" s="212">
        <v>43690</v>
      </c>
      <c r="L2456" s="211" t="s">
        <v>2088</v>
      </c>
      <c r="M2456" s="216">
        <v>4615507497</v>
      </c>
      <c r="N2456" s="212"/>
      <c r="O2456" s="218"/>
      <c r="P2456" s="219"/>
      <c r="Q2456" s="34">
        <f>SUMIF(Allocation[Delivery ID],Allocation[[#This Row],[Delivery ID]],Allocation[Quantity Processed])</f>
        <v>2375</v>
      </c>
      <c r="R2456" s="61">
        <f>Allocation[[#This Row],[Total volume used]]/VLOOKUP(Allocation[[#This Row],[Delivery ID]],Delivery[[Delivery ID]:[Quantity delivered]],3,FALSE)</f>
        <v>0.1185129740518962</v>
      </c>
      <c r="S2456" s="34">
        <f>Allocation[[#This Row],[Quantity Processed]]/Allocation[[#This Row],[Dilution rate]]</f>
        <v>640.09900990099004</v>
      </c>
      <c r="T2456" s="59">
        <f>SUMIF(Allocation[Delivery ID],Allocation[[#This Row],[Delivery ID]],Allocation[Quantity allocated])/SUMIF(Allocation[Delivery ID],Allocation[[#This Row],[Delivery ID]],Allocation[Volume available (kg)])</f>
        <v>0.95232763112325824</v>
      </c>
      <c r="U2456" s="61">
        <f>Allocation[[#This Row],[Total volume used]]/VLOOKUP(Allocation[[#This Row],[Delivery ID]],Delivery[[Delivery ID]:[Quantity delivered]],3,FALSE)</f>
        <v>0.1185129740518962</v>
      </c>
      <c r="V2456" s="34" t="e">
        <f>VLOOKUP(Allocation[[#This Row],[SAP Contract number]],Shipments[[SAP Contract number]:[Contracted container weight]],2,FALSE)</f>
        <v>#N/A</v>
      </c>
      <c r="W2456" s="34" t="e">
        <f>VLOOKUP(Allocation[[#This Row],[SAP Contract number]],Shipments[[SAP Contract number]:[AAA Premium USD]],24,FALSE)</f>
        <v>#N/A</v>
      </c>
      <c r="X2456" s="34" t="e">
        <f>VLOOKUP(Allocation[[#This Row],[SAP Contract number]],Shipments[[SAP Contract number]:[RA Premium USD]],25,FALSE)</f>
        <v>#N/A</v>
      </c>
      <c r="Y2456" s="38">
        <f>Allocation[[#This Row],[Quantity Processed]]/Allocation[[#This Row],[Quantity allocated]]</f>
        <v>2.3812154696132595</v>
      </c>
      <c r="Z2456" s="34" t="b">
        <f>Allocation[[#This Row],[Quantity allocated]]&lt;=Allocation[[#This Row],[Quantity Processed]]</f>
        <v>1</v>
      </c>
    </row>
    <row r="2457" spans="1:26">
      <c r="A2457" s="247" t="s">
        <v>467</v>
      </c>
      <c r="B2457" s="210" t="s">
        <v>68</v>
      </c>
      <c r="C2457" s="254" t="s">
        <v>1420</v>
      </c>
      <c r="D2457" s="255">
        <v>1262</v>
      </c>
      <c r="E2457" s="211" t="s">
        <v>2087</v>
      </c>
      <c r="F2457" s="212">
        <v>43673</v>
      </c>
      <c r="G2457" s="213">
        <v>2.02</v>
      </c>
      <c r="H2457" s="256">
        <v>568</v>
      </c>
      <c r="I2457" s="214">
        <v>1482484</v>
      </c>
      <c r="J2457" s="215">
        <v>20400</v>
      </c>
      <c r="K2457" s="212">
        <v>43690</v>
      </c>
      <c r="L2457" s="211" t="s">
        <v>2088</v>
      </c>
      <c r="M2457" s="216">
        <v>4615507497</v>
      </c>
      <c r="N2457" s="212"/>
      <c r="O2457" s="218"/>
      <c r="P2457" s="219"/>
      <c r="Q2457" s="34">
        <f>SUMIF(Allocation[Delivery ID],Allocation[[#This Row],[Delivery ID]],Allocation[Quantity Processed])</f>
        <v>2318</v>
      </c>
      <c r="R2457" s="61">
        <f>Allocation[[#This Row],[Total volume used]]/VLOOKUP(Allocation[[#This Row],[Delivery ID]],Delivery[[Delivery ID]:[Quantity delivered]],3,FALSE)</f>
        <v>0.11043353978084802</v>
      </c>
      <c r="S2457" s="34">
        <f>Allocation[[#This Row],[Quantity Processed]]/Allocation[[#This Row],[Dilution rate]]</f>
        <v>624.75247524752479</v>
      </c>
      <c r="T2457" s="59">
        <f>SUMIF(Allocation[Delivery ID],Allocation[[#This Row],[Delivery ID]],Allocation[Quantity allocated])/SUMIF(Allocation[Delivery ID],Allocation[[#This Row],[Delivery ID]],Allocation[Volume available (kg)])</f>
        <v>1.0207533828338875</v>
      </c>
      <c r="U2457" s="61">
        <f>Allocation[[#This Row],[Total volume used]]/VLOOKUP(Allocation[[#This Row],[Delivery ID]],Delivery[[Delivery ID]:[Quantity delivered]],3,FALSE)</f>
        <v>0.11043353978084802</v>
      </c>
      <c r="V2457" s="34" t="e">
        <f>VLOOKUP(Allocation[[#This Row],[SAP Contract number]],Shipments[[SAP Contract number]:[Contracted container weight]],2,FALSE)</f>
        <v>#N/A</v>
      </c>
      <c r="W2457" s="34" t="e">
        <f>VLOOKUP(Allocation[[#This Row],[SAP Contract number]],Shipments[[SAP Contract number]:[AAA Premium USD]],24,FALSE)</f>
        <v>#N/A</v>
      </c>
      <c r="X2457" s="34" t="e">
        <f>VLOOKUP(Allocation[[#This Row],[SAP Contract number]],Shipments[[SAP Contract number]:[RA Premium USD]],25,FALSE)</f>
        <v>#N/A</v>
      </c>
      <c r="Y2457" s="38">
        <f>Allocation[[#This Row],[Quantity Processed]]/Allocation[[#This Row],[Quantity allocated]]</f>
        <v>2.221830985915493</v>
      </c>
      <c r="Z2457" s="34" t="b">
        <f>Allocation[[#This Row],[Quantity allocated]]&lt;=Allocation[[#This Row],[Quantity Processed]]</f>
        <v>1</v>
      </c>
    </row>
    <row r="2458" spans="1:26">
      <c r="A2458" s="247" t="s">
        <v>467</v>
      </c>
      <c r="B2458" s="210" t="s">
        <v>68</v>
      </c>
      <c r="C2458" s="254" t="s">
        <v>2008</v>
      </c>
      <c r="D2458" s="255">
        <v>490</v>
      </c>
      <c r="E2458" s="211" t="s">
        <v>2087</v>
      </c>
      <c r="F2458" s="212">
        <v>43673</v>
      </c>
      <c r="G2458" s="213">
        <v>2.02</v>
      </c>
      <c r="H2458" s="256">
        <v>196</v>
      </c>
      <c r="I2458" s="214">
        <v>1482484</v>
      </c>
      <c r="J2458" s="215">
        <v>20400</v>
      </c>
      <c r="K2458" s="212">
        <v>43690</v>
      </c>
      <c r="L2458" s="211" t="s">
        <v>2088</v>
      </c>
      <c r="M2458" s="216">
        <v>4615507497</v>
      </c>
      <c r="N2458" s="212"/>
      <c r="O2458" s="218"/>
      <c r="P2458" s="219"/>
      <c r="Q2458" s="34">
        <f>SUMIF(Allocation[Delivery ID],Allocation[[#This Row],[Delivery ID]],Allocation[Quantity Processed])</f>
        <v>633</v>
      </c>
      <c r="R2458" s="61">
        <f>Allocation[[#This Row],[Total volume used]]/VLOOKUP(Allocation[[#This Row],[Delivery ID]],Delivery[[Delivery ID]:[Quantity delivered]],3,FALSE)</f>
        <v>0.15216346153846153</v>
      </c>
      <c r="S2458" s="34">
        <f>Allocation[[#This Row],[Quantity Processed]]/Allocation[[#This Row],[Dilution rate]]</f>
        <v>242.57425742574256</v>
      </c>
      <c r="T2458" s="59">
        <f>SUMIF(Allocation[Delivery ID],Allocation[[#This Row],[Delivery ID]],Allocation[Quantity allocated])/SUMIF(Allocation[Delivery ID],Allocation[[#This Row],[Delivery ID]],Allocation[Volume available (kg)])</f>
        <v>0.78990507870907045</v>
      </c>
      <c r="U2458" s="61">
        <f>Allocation[[#This Row],[Total volume used]]/VLOOKUP(Allocation[[#This Row],[Delivery ID]],Delivery[[Delivery ID]:[Quantity delivered]],3,FALSE)</f>
        <v>0.15216346153846153</v>
      </c>
      <c r="V2458" s="34" t="e">
        <f>VLOOKUP(Allocation[[#This Row],[SAP Contract number]],Shipments[[SAP Contract number]:[Contracted container weight]],2,FALSE)</f>
        <v>#N/A</v>
      </c>
      <c r="W2458" s="34" t="e">
        <f>VLOOKUP(Allocation[[#This Row],[SAP Contract number]],Shipments[[SAP Contract number]:[AAA Premium USD]],24,FALSE)</f>
        <v>#N/A</v>
      </c>
      <c r="X2458" s="34" t="e">
        <f>VLOOKUP(Allocation[[#This Row],[SAP Contract number]],Shipments[[SAP Contract number]:[RA Premium USD]],25,FALSE)</f>
        <v>#N/A</v>
      </c>
      <c r="Y2458" s="38">
        <f>Allocation[[#This Row],[Quantity Processed]]/Allocation[[#This Row],[Quantity allocated]]</f>
        <v>2.5</v>
      </c>
      <c r="Z2458" s="34" t="b">
        <f>Allocation[[#This Row],[Quantity allocated]]&lt;=Allocation[[#This Row],[Quantity Processed]]</f>
        <v>1</v>
      </c>
    </row>
    <row r="2459" spans="1:26">
      <c r="A2459" s="247" t="s">
        <v>467</v>
      </c>
      <c r="B2459" s="210" t="s">
        <v>68</v>
      </c>
      <c r="C2459" s="254" t="s">
        <v>2010</v>
      </c>
      <c r="D2459" s="255">
        <v>660</v>
      </c>
      <c r="E2459" s="211" t="s">
        <v>2087</v>
      </c>
      <c r="F2459" s="212">
        <v>43673</v>
      </c>
      <c r="G2459" s="213">
        <v>2.02</v>
      </c>
      <c r="H2459" s="256">
        <v>264</v>
      </c>
      <c r="I2459" s="214">
        <v>1482484</v>
      </c>
      <c r="J2459" s="215">
        <v>20400</v>
      </c>
      <c r="K2459" s="212">
        <v>43690</v>
      </c>
      <c r="L2459" s="211" t="s">
        <v>2088</v>
      </c>
      <c r="M2459" s="216">
        <v>4615507497</v>
      </c>
      <c r="N2459" s="212"/>
      <c r="O2459" s="218"/>
      <c r="P2459" s="219"/>
      <c r="Q2459" s="34">
        <f>SUMIF(Allocation[Delivery ID],Allocation[[#This Row],[Delivery ID]],Allocation[Quantity Processed])</f>
        <v>853</v>
      </c>
      <c r="R2459" s="61">
        <f>Allocation[[#This Row],[Total volume used]]/VLOOKUP(Allocation[[#This Row],[Delivery ID]],Delivery[[Delivery ID]:[Quantity delivered]],3,FALSE)</f>
        <v>0.15341726618705037</v>
      </c>
      <c r="S2459" s="34">
        <f>Allocation[[#This Row],[Quantity Processed]]/Allocation[[#This Row],[Dilution rate]]</f>
        <v>326.73267326732673</v>
      </c>
      <c r="T2459" s="59">
        <f>SUMIF(Allocation[Delivery ID],Allocation[[#This Row],[Delivery ID]],Allocation[Quantity allocated])/SUMIF(Allocation[Delivery ID],Allocation[[#This Row],[Delivery ID]],Allocation[Volume available (kg)])</f>
        <v>0.79003951977858955</v>
      </c>
      <c r="U2459" s="61">
        <f>Allocation[[#This Row],[Total volume used]]/VLOOKUP(Allocation[[#This Row],[Delivery ID]],Delivery[[Delivery ID]:[Quantity delivered]],3,FALSE)</f>
        <v>0.15341726618705037</v>
      </c>
      <c r="V2459" s="34" t="e">
        <f>VLOOKUP(Allocation[[#This Row],[SAP Contract number]],Shipments[[SAP Contract number]:[Contracted container weight]],2,FALSE)</f>
        <v>#N/A</v>
      </c>
      <c r="W2459" s="34" t="e">
        <f>VLOOKUP(Allocation[[#This Row],[SAP Contract number]],Shipments[[SAP Contract number]:[AAA Premium USD]],24,FALSE)</f>
        <v>#N/A</v>
      </c>
      <c r="X2459" s="34" t="e">
        <f>VLOOKUP(Allocation[[#This Row],[SAP Contract number]],Shipments[[SAP Contract number]:[RA Premium USD]],25,FALSE)</f>
        <v>#N/A</v>
      </c>
      <c r="Y2459" s="38">
        <f>Allocation[[#This Row],[Quantity Processed]]/Allocation[[#This Row],[Quantity allocated]]</f>
        <v>2.5</v>
      </c>
      <c r="Z2459" s="34" t="b">
        <f>Allocation[[#This Row],[Quantity allocated]]&lt;=Allocation[[#This Row],[Quantity Processed]]</f>
        <v>1</v>
      </c>
    </row>
    <row r="2460" spans="1:26">
      <c r="A2460" s="247" t="s">
        <v>467</v>
      </c>
      <c r="B2460" s="210" t="s">
        <v>68</v>
      </c>
      <c r="C2460" s="254" t="s">
        <v>2011</v>
      </c>
      <c r="D2460" s="255">
        <v>355</v>
      </c>
      <c r="E2460" s="211" t="s">
        <v>2087</v>
      </c>
      <c r="F2460" s="212">
        <v>43673</v>
      </c>
      <c r="G2460" s="213">
        <v>2.02</v>
      </c>
      <c r="H2460" s="256">
        <v>142</v>
      </c>
      <c r="I2460" s="214">
        <v>1482484</v>
      </c>
      <c r="J2460" s="215">
        <v>20400</v>
      </c>
      <c r="K2460" s="212">
        <v>43690</v>
      </c>
      <c r="L2460" s="211" t="s">
        <v>2088</v>
      </c>
      <c r="M2460" s="216">
        <v>4615507497</v>
      </c>
      <c r="N2460" s="212"/>
      <c r="O2460" s="218"/>
      <c r="P2460" s="219"/>
      <c r="Q2460" s="34">
        <f>SUMIF(Allocation[Delivery ID],Allocation[[#This Row],[Delivery ID]],Allocation[Quantity Processed])</f>
        <v>459</v>
      </c>
      <c r="R2460" s="61">
        <f>Allocation[[#This Row],[Total volume used]]/VLOOKUP(Allocation[[#This Row],[Delivery ID]],Delivery[[Delivery ID]:[Quantity delivered]],3,FALSE)</f>
        <v>0.153</v>
      </c>
      <c r="S2460" s="34">
        <f>Allocation[[#This Row],[Quantity Processed]]/Allocation[[#This Row],[Dilution rate]]</f>
        <v>175.74257425742573</v>
      </c>
      <c r="T2460" s="59">
        <f>SUMIF(Allocation[Delivery ID],Allocation[[#This Row],[Delivery ID]],Allocation[Quantity allocated])/SUMIF(Allocation[Delivery ID],Allocation[[#This Row],[Delivery ID]],Allocation[Volume available (kg)])</f>
        <v>0.78789546844592717</v>
      </c>
      <c r="U2460" s="61">
        <f>Allocation[[#This Row],[Total volume used]]/VLOOKUP(Allocation[[#This Row],[Delivery ID]],Delivery[[Delivery ID]:[Quantity delivered]],3,FALSE)</f>
        <v>0.153</v>
      </c>
      <c r="V2460" s="34" t="e">
        <f>VLOOKUP(Allocation[[#This Row],[SAP Contract number]],Shipments[[SAP Contract number]:[Contracted container weight]],2,FALSE)</f>
        <v>#N/A</v>
      </c>
      <c r="W2460" s="34" t="e">
        <f>VLOOKUP(Allocation[[#This Row],[SAP Contract number]],Shipments[[SAP Contract number]:[AAA Premium USD]],24,FALSE)</f>
        <v>#N/A</v>
      </c>
      <c r="X2460" s="34" t="e">
        <f>VLOOKUP(Allocation[[#This Row],[SAP Contract number]],Shipments[[SAP Contract number]:[RA Premium USD]],25,FALSE)</f>
        <v>#N/A</v>
      </c>
      <c r="Y2460" s="38">
        <f>Allocation[[#This Row],[Quantity Processed]]/Allocation[[#This Row],[Quantity allocated]]</f>
        <v>2.5</v>
      </c>
      <c r="Z2460" s="34" t="b">
        <f>Allocation[[#This Row],[Quantity allocated]]&lt;=Allocation[[#This Row],[Quantity Processed]]</f>
        <v>1</v>
      </c>
    </row>
    <row r="2461" spans="1:26">
      <c r="A2461" s="247" t="s">
        <v>467</v>
      </c>
      <c r="B2461" s="210" t="s">
        <v>68</v>
      </c>
      <c r="C2461" s="254" t="s">
        <v>2026</v>
      </c>
      <c r="D2461" s="255">
        <v>3890</v>
      </c>
      <c r="E2461" s="211" t="s">
        <v>2087</v>
      </c>
      <c r="F2461" s="212">
        <v>43673</v>
      </c>
      <c r="G2461" s="213">
        <v>2.02</v>
      </c>
      <c r="H2461" s="256">
        <v>1945</v>
      </c>
      <c r="I2461" s="214">
        <v>1482484</v>
      </c>
      <c r="J2461" s="215">
        <v>20400</v>
      </c>
      <c r="K2461" s="212">
        <v>43690</v>
      </c>
      <c r="L2461" s="211" t="s">
        <v>2088</v>
      </c>
      <c r="M2461" s="216">
        <v>4615507497</v>
      </c>
      <c r="N2461" s="212"/>
      <c r="O2461" s="218"/>
      <c r="P2461" s="219"/>
      <c r="Q2461" s="34">
        <f>SUMIF(Allocation[Delivery ID],Allocation[[#This Row],[Delivery ID]],Allocation[Quantity Processed])</f>
        <v>3950</v>
      </c>
      <c r="R2461" s="61">
        <f>Allocation[[#This Row],[Total volume used]]/VLOOKUP(Allocation[[#This Row],[Delivery ID]],Delivery[[Delivery ID]:[Quantity delivered]],3,FALSE)</f>
        <v>0.13109857285097909</v>
      </c>
      <c r="S2461" s="34">
        <f>Allocation[[#This Row],[Quantity Processed]]/Allocation[[#This Row],[Dilution rate]]</f>
        <v>1925.7425742574258</v>
      </c>
      <c r="T2461" s="59">
        <f>SUMIF(Allocation[Delivery ID],Allocation[[#This Row],[Delivery ID]],Allocation[Quantity allocated])/SUMIF(Allocation[Delivery ID],Allocation[[#This Row],[Delivery ID]],Allocation[Volume available (kg)])</f>
        <v>1.01</v>
      </c>
      <c r="U2461" s="61">
        <f>Allocation[[#This Row],[Total volume used]]/VLOOKUP(Allocation[[#This Row],[Delivery ID]],Delivery[[Delivery ID]:[Quantity delivered]],3,FALSE)</f>
        <v>0.13109857285097909</v>
      </c>
      <c r="V2461" s="34" t="e">
        <f>VLOOKUP(Allocation[[#This Row],[SAP Contract number]],Shipments[[SAP Contract number]:[Contracted container weight]],2,FALSE)</f>
        <v>#N/A</v>
      </c>
      <c r="W2461" s="34" t="e">
        <f>VLOOKUP(Allocation[[#This Row],[SAP Contract number]],Shipments[[SAP Contract number]:[AAA Premium USD]],24,FALSE)</f>
        <v>#N/A</v>
      </c>
      <c r="X2461" s="34" t="e">
        <f>VLOOKUP(Allocation[[#This Row],[SAP Contract number]],Shipments[[SAP Contract number]:[RA Premium USD]],25,FALSE)</f>
        <v>#N/A</v>
      </c>
      <c r="Y2461" s="38">
        <f>Allocation[[#This Row],[Quantity Processed]]/Allocation[[#This Row],[Quantity allocated]]</f>
        <v>2</v>
      </c>
      <c r="Z2461" s="34" t="b">
        <f>Allocation[[#This Row],[Quantity allocated]]&lt;=Allocation[[#This Row],[Quantity Processed]]</f>
        <v>1</v>
      </c>
    </row>
    <row r="2462" spans="1:26">
      <c r="A2462" s="247" t="s">
        <v>467</v>
      </c>
      <c r="B2462" s="210" t="s">
        <v>68</v>
      </c>
      <c r="C2462" s="254" t="s">
        <v>2026</v>
      </c>
      <c r="D2462" s="255">
        <v>60</v>
      </c>
      <c r="E2462" s="211" t="s">
        <v>2087</v>
      </c>
      <c r="F2462" s="212">
        <v>43673</v>
      </c>
      <c r="G2462" s="213">
        <v>2.02</v>
      </c>
      <c r="H2462" s="256">
        <v>30</v>
      </c>
      <c r="I2462" s="214">
        <v>1482485</v>
      </c>
      <c r="J2462" s="215">
        <v>20400</v>
      </c>
      <c r="K2462" s="212">
        <v>43690</v>
      </c>
      <c r="L2462" s="211" t="s">
        <v>2089</v>
      </c>
      <c r="M2462" s="216">
        <v>4615507497</v>
      </c>
      <c r="N2462" s="212"/>
      <c r="O2462" s="218"/>
      <c r="P2462" s="219"/>
      <c r="Q2462" s="34">
        <f>SUMIF(Allocation[Delivery ID],Allocation[[#This Row],[Delivery ID]],Allocation[Quantity Processed])</f>
        <v>3950</v>
      </c>
      <c r="R2462" s="61">
        <f>Allocation[[#This Row],[Total volume used]]/VLOOKUP(Allocation[[#This Row],[Delivery ID]],Delivery[[Delivery ID]:[Quantity delivered]],3,FALSE)</f>
        <v>0.13109857285097909</v>
      </c>
      <c r="S2462" s="34">
        <f>Allocation[[#This Row],[Quantity Processed]]/Allocation[[#This Row],[Dilution rate]]</f>
        <v>29.702970297029704</v>
      </c>
      <c r="T2462" s="59">
        <f>SUMIF(Allocation[Delivery ID],Allocation[[#This Row],[Delivery ID]],Allocation[Quantity allocated])/SUMIF(Allocation[Delivery ID],Allocation[[#This Row],[Delivery ID]],Allocation[Volume available (kg)])</f>
        <v>1.01</v>
      </c>
      <c r="U2462" s="61">
        <f>Allocation[[#This Row],[Total volume used]]/VLOOKUP(Allocation[[#This Row],[Delivery ID]],Delivery[[Delivery ID]:[Quantity delivered]],3,FALSE)</f>
        <v>0.13109857285097909</v>
      </c>
      <c r="V2462" s="34" t="e">
        <f>VLOOKUP(Allocation[[#This Row],[SAP Contract number]],Shipments[[SAP Contract number]:[Contracted container weight]],2,FALSE)</f>
        <v>#N/A</v>
      </c>
      <c r="W2462" s="34" t="e">
        <f>VLOOKUP(Allocation[[#This Row],[SAP Contract number]],Shipments[[SAP Contract number]:[AAA Premium USD]],24,FALSE)</f>
        <v>#N/A</v>
      </c>
      <c r="X2462" s="34" t="e">
        <f>VLOOKUP(Allocation[[#This Row],[SAP Contract number]],Shipments[[SAP Contract number]:[RA Premium USD]],25,FALSE)</f>
        <v>#N/A</v>
      </c>
      <c r="Y2462" s="38">
        <f>Allocation[[#This Row],[Quantity Processed]]/Allocation[[#This Row],[Quantity allocated]]</f>
        <v>2</v>
      </c>
      <c r="Z2462" s="34" t="b">
        <f>Allocation[[#This Row],[Quantity allocated]]&lt;=Allocation[[#This Row],[Quantity Processed]]</f>
        <v>1</v>
      </c>
    </row>
    <row r="2463" spans="1:26">
      <c r="A2463" s="247" t="s">
        <v>467</v>
      </c>
      <c r="B2463" s="210" t="s">
        <v>68</v>
      </c>
      <c r="C2463" s="254" t="s">
        <v>2027</v>
      </c>
      <c r="D2463" s="255">
        <v>5100</v>
      </c>
      <c r="E2463" s="211" t="s">
        <v>2087</v>
      </c>
      <c r="F2463" s="212">
        <v>43673</v>
      </c>
      <c r="G2463" s="213">
        <v>2.02</v>
      </c>
      <c r="H2463" s="256">
        <v>1938</v>
      </c>
      <c r="I2463" s="214">
        <v>1482485</v>
      </c>
      <c r="J2463" s="215">
        <v>20400</v>
      </c>
      <c r="K2463" s="212">
        <v>43690</v>
      </c>
      <c r="L2463" s="211" t="s">
        <v>2089</v>
      </c>
      <c r="M2463" s="216">
        <v>4615507497</v>
      </c>
      <c r="N2463" s="212"/>
      <c r="O2463" s="218"/>
      <c r="P2463" s="219"/>
      <c r="Q2463" s="34">
        <f>SUMIF(Allocation[Delivery ID],Allocation[[#This Row],[Delivery ID]],Allocation[Quantity Processed])</f>
        <v>5100</v>
      </c>
      <c r="R2463" s="61">
        <f>Allocation[[#This Row],[Total volume used]]/VLOOKUP(Allocation[[#This Row],[Delivery ID]],Delivery[[Delivery ID]:[Quantity delivered]],3,FALSE)</f>
        <v>0.14225941422594143</v>
      </c>
      <c r="S2463" s="34">
        <f>Allocation[[#This Row],[Quantity Processed]]/Allocation[[#This Row],[Dilution rate]]</f>
        <v>2524.7524752475247</v>
      </c>
      <c r="T2463" s="59">
        <f>SUMIF(Allocation[Delivery ID],Allocation[[#This Row],[Delivery ID]],Allocation[Quantity allocated])/SUMIF(Allocation[Delivery ID],Allocation[[#This Row],[Delivery ID]],Allocation[Volume available (kg)])</f>
        <v>0.76760000000000006</v>
      </c>
      <c r="U2463" s="61">
        <f>Allocation[[#This Row],[Total volume used]]/VLOOKUP(Allocation[[#This Row],[Delivery ID]],Delivery[[Delivery ID]:[Quantity delivered]],3,FALSE)</f>
        <v>0.14225941422594143</v>
      </c>
      <c r="V2463" s="34" t="e">
        <f>VLOOKUP(Allocation[[#This Row],[SAP Contract number]],Shipments[[SAP Contract number]:[Contracted container weight]],2,FALSE)</f>
        <v>#N/A</v>
      </c>
      <c r="W2463" s="34" t="e">
        <f>VLOOKUP(Allocation[[#This Row],[SAP Contract number]],Shipments[[SAP Contract number]:[AAA Premium USD]],24,FALSE)</f>
        <v>#N/A</v>
      </c>
      <c r="X2463" s="34" t="e">
        <f>VLOOKUP(Allocation[[#This Row],[SAP Contract number]],Shipments[[SAP Contract number]:[RA Premium USD]],25,FALSE)</f>
        <v>#N/A</v>
      </c>
      <c r="Y2463" s="38">
        <f>Allocation[[#This Row],[Quantity Processed]]/Allocation[[#This Row],[Quantity allocated]]</f>
        <v>2.6315789473684212</v>
      </c>
      <c r="Z2463" s="34" t="b">
        <f>Allocation[[#This Row],[Quantity allocated]]&lt;=Allocation[[#This Row],[Quantity Processed]]</f>
        <v>1</v>
      </c>
    </row>
    <row r="2464" spans="1:26">
      <c r="A2464" s="247" t="s">
        <v>467</v>
      </c>
      <c r="B2464" s="210" t="s">
        <v>68</v>
      </c>
      <c r="C2464" s="254" t="s">
        <v>2028</v>
      </c>
      <c r="D2464" s="255">
        <v>1815</v>
      </c>
      <c r="E2464" s="211" t="s">
        <v>2087</v>
      </c>
      <c r="F2464" s="212">
        <v>43673</v>
      </c>
      <c r="G2464" s="213">
        <v>2.02</v>
      </c>
      <c r="H2464" s="256">
        <v>744</v>
      </c>
      <c r="I2464" s="214">
        <v>1482485</v>
      </c>
      <c r="J2464" s="215">
        <v>20400</v>
      </c>
      <c r="K2464" s="212">
        <v>43690</v>
      </c>
      <c r="L2464" s="211" t="s">
        <v>2089</v>
      </c>
      <c r="M2464" s="216">
        <v>4615507497</v>
      </c>
      <c r="N2464" s="212"/>
      <c r="O2464" s="218"/>
      <c r="P2464" s="219"/>
      <c r="Q2464" s="34">
        <f>SUMIF(Allocation[Delivery ID],Allocation[[#This Row],[Delivery ID]],Allocation[Quantity Processed])</f>
        <v>1815</v>
      </c>
      <c r="R2464" s="61">
        <f>Allocation[[#This Row],[Total volume used]]/VLOOKUP(Allocation[[#This Row],[Delivery ID]],Delivery[[Delivery ID]:[Quantity delivered]],3,FALSE)</f>
        <v>0.13180827886710239</v>
      </c>
      <c r="S2464" s="34">
        <f>Allocation[[#This Row],[Quantity Processed]]/Allocation[[#This Row],[Dilution rate]]</f>
        <v>898.51485148514848</v>
      </c>
      <c r="T2464" s="59">
        <f>SUMIF(Allocation[Delivery ID],Allocation[[#This Row],[Delivery ID]],Allocation[Quantity allocated])/SUMIF(Allocation[Delivery ID],Allocation[[#This Row],[Delivery ID]],Allocation[Volume available (kg)])</f>
        <v>0.82803305785123971</v>
      </c>
      <c r="U2464" s="61">
        <f>Allocation[[#This Row],[Total volume used]]/VLOOKUP(Allocation[[#This Row],[Delivery ID]],Delivery[[Delivery ID]:[Quantity delivered]],3,FALSE)</f>
        <v>0.13180827886710239</v>
      </c>
      <c r="V2464" s="34" t="e">
        <f>VLOOKUP(Allocation[[#This Row],[SAP Contract number]],Shipments[[SAP Contract number]:[Contracted container weight]],2,FALSE)</f>
        <v>#N/A</v>
      </c>
      <c r="W2464" s="34" t="e">
        <f>VLOOKUP(Allocation[[#This Row],[SAP Contract number]],Shipments[[SAP Contract number]:[AAA Premium USD]],24,FALSE)</f>
        <v>#N/A</v>
      </c>
      <c r="X2464" s="34" t="e">
        <f>VLOOKUP(Allocation[[#This Row],[SAP Contract number]],Shipments[[SAP Contract number]:[RA Premium USD]],25,FALSE)</f>
        <v>#N/A</v>
      </c>
      <c r="Y2464" s="38">
        <f>Allocation[[#This Row],[Quantity Processed]]/Allocation[[#This Row],[Quantity allocated]]</f>
        <v>2.439516129032258</v>
      </c>
      <c r="Z2464" s="34" t="b">
        <f>Allocation[[#This Row],[Quantity allocated]]&lt;=Allocation[[#This Row],[Quantity Processed]]</f>
        <v>1</v>
      </c>
    </row>
    <row r="2465" spans="1:26">
      <c r="A2465" s="247" t="s">
        <v>467</v>
      </c>
      <c r="B2465" s="210" t="s">
        <v>68</v>
      </c>
      <c r="C2465" s="254" t="s">
        <v>2029</v>
      </c>
      <c r="D2465" s="255">
        <v>6480</v>
      </c>
      <c r="E2465" s="211" t="s">
        <v>2087</v>
      </c>
      <c r="F2465" s="212">
        <v>43673</v>
      </c>
      <c r="G2465" s="213">
        <v>2.02</v>
      </c>
      <c r="H2465" s="256">
        <v>1944</v>
      </c>
      <c r="I2465" s="214">
        <v>1482485</v>
      </c>
      <c r="J2465" s="215">
        <v>20400</v>
      </c>
      <c r="K2465" s="212">
        <v>43690</v>
      </c>
      <c r="L2465" s="211" t="s">
        <v>2089</v>
      </c>
      <c r="M2465" s="216">
        <v>4615507497</v>
      </c>
      <c r="N2465" s="212"/>
      <c r="O2465" s="218"/>
      <c r="P2465" s="219"/>
      <c r="Q2465" s="34">
        <f>SUMIF(Allocation[Delivery ID],Allocation[[#This Row],[Delivery ID]],Allocation[Quantity Processed])</f>
        <v>6480</v>
      </c>
      <c r="R2465" s="61">
        <f>Allocation[[#This Row],[Total volume used]]/VLOOKUP(Allocation[[#This Row],[Delivery ID]],Delivery[[Delivery ID]:[Quantity delivered]],3,FALSE)</f>
        <v>0.18015012510425354</v>
      </c>
      <c r="S2465" s="34">
        <f>Allocation[[#This Row],[Quantity Processed]]/Allocation[[#This Row],[Dilution rate]]</f>
        <v>3207.9207920792078</v>
      </c>
      <c r="T2465" s="59">
        <f>SUMIF(Allocation[Delivery ID],Allocation[[#This Row],[Delivery ID]],Allocation[Quantity allocated])/SUMIF(Allocation[Delivery ID],Allocation[[#This Row],[Delivery ID]],Allocation[Volume available (kg)])</f>
        <v>0.60599999999999998</v>
      </c>
      <c r="U2465" s="61">
        <f>Allocation[[#This Row],[Total volume used]]/VLOOKUP(Allocation[[#This Row],[Delivery ID]],Delivery[[Delivery ID]:[Quantity delivered]],3,FALSE)</f>
        <v>0.18015012510425354</v>
      </c>
      <c r="V2465" s="34" t="e">
        <f>VLOOKUP(Allocation[[#This Row],[SAP Contract number]],Shipments[[SAP Contract number]:[Contracted container weight]],2,FALSE)</f>
        <v>#N/A</v>
      </c>
      <c r="W2465" s="34" t="e">
        <f>VLOOKUP(Allocation[[#This Row],[SAP Contract number]],Shipments[[SAP Contract number]:[AAA Premium USD]],24,FALSE)</f>
        <v>#N/A</v>
      </c>
      <c r="X2465" s="34" t="e">
        <f>VLOOKUP(Allocation[[#This Row],[SAP Contract number]],Shipments[[SAP Contract number]:[RA Premium USD]],25,FALSE)</f>
        <v>#N/A</v>
      </c>
      <c r="Y2465" s="38">
        <f>Allocation[[#This Row],[Quantity Processed]]/Allocation[[#This Row],[Quantity allocated]]</f>
        <v>3.3333333333333335</v>
      </c>
      <c r="Z2465" s="34" t="b">
        <f>Allocation[[#This Row],[Quantity allocated]]&lt;=Allocation[[#This Row],[Quantity Processed]]</f>
        <v>1</v>
      </c>
    </row>
    <row r="2466" spans="1:26">
      <c r="A2466" s="247" t="s">
        <v>467</v>
      </c>
      <c r="B2466" s="210" t="s">
        <v>68</v>
      </c>
      <c r="C2466" s="254" t="s">
        <v>2030</v>
      </c>
      <c r="D2466" s="255">
        <v>1968</v>
      </c>
      <c r="E2466" s="211" t="s">
        <v>2087</v>
      </c>
      <c r="F2466" s="212">
        <v>43673</v>
      </c>
      <c r="G2466" s="213">
        <v>2.02</v>
      </c>
      <c r="H2466" s="256">
        <v>1181</v>
      </c>
      <c r="I2466" s="214">
        <v>1482485</v>
      </c>
      <c r="J2466" s="215">
        <v>20400</v>
      </c>
      <c r="K2466" s="212">
        <v>43690</v>
      </c>
      <c r="L2466" s="211" t="s">
        <v>2089</v>
      </c>
      <c r="M2466" s="216">
        <v>4615507497</v>
      </c>
      <c r="N2466" s="212"/>
      <c r="O2466" s="218"/>
      <c r="P2466" s="219"/>
      <c r="Q2466" s="34">
        <f>SUMIF(Allocation[Delivery ID],Allocation[[#This Row],[Delivery ID]],Allocation[Quantity Processed])</f>
        <v>4845</v>
      </c>
      <c r="R2466" s="61">
        <f>Allocation[[#This Row],[Total volume used]]/VLOOKUP(Allocation[[#This Row],[Delivery ID]],Delivery[[Delivery ID]:[Quantity delivered]],3,FALSE)</f>
        <v>0.58606507802104757</v>
      </c>
      <c r="S2466" s="34">
        <f>Allocation[[#This Row],[Quantity Processed]]/Allocation[[#This Row],[Dilution rate]]</f>
        <v>974.25742574257424</v>
      </c>
      <c r="T2466" s="59">
        <f>SUMIF(Allocation[Delivery ID],Allocation[[#This Row],[Delivery ID]],Allocation[Quantity allocated])/SUMIF(Allocation[Delivery ID],Allocation[[#This Row],[Delivery ID]],Allocation[Volume available (kg)])</f>
        <v>1.1454603049404941</v>
      </c>
      <c r="U2466" s="61">
        <f>Allocation[[#This Row],[Total volume used]]/VLOOKUP(Allocation[[#This Row],[Delivery ID]],Delivery[[Delivery ID]:[Quantity delivered]],3,FALSE)</f>
        <v>0.58606507802104757</v>
      </c>
      <c r="V2466" s="34" t="e">
        <f>VLOOKUP(Allocation[[#This Row],[SAP Contract number]],Shipments[[SAP Contract number]:[Contracted container weight]],2,FALSE)</f>
        <v>#N/A</v>
      </c>
      <c r="W2466" s="34" t="e">
        <f>VLOOKUP(Allocation[[#This Row],[SAP Contract number]],Shipments[[SAP Contract number]:[AAA Premium USD]],24,FALSE)</f>
        <v>#N/A</v>
      </c>
      <c r="X2466" s="34" t="e">
        <f>VLOOKUP(Allocation[[#This Row],[SAP Contract number]],Shipments[[SAP Contract number]:[RA Premium USD]],25,FALSE)</f>
        <v>#N/A</v>
      </c>
      <c r="Y2466" s="38">
        <f>Allocation[[#This Row],[Quantity Processed]]/Allocation[[#This Row],[Quantity allocated]]</f>
        <v>1.6663844199830653</v>
      </c>
      <c r="Z2466" s="34" t="b">
        <f>Allocation[[#This Row],[Quantity allocated]]&lt;=Allocation[[#This Row],[Quantity Processed]]</f>
        <v>1</v>
      </c>
    </row>
    <row r="2467" spans="1:26">
      <c r="A2467" s="247" t="s">
        <v>467</v>
      </c>
      <c r="B2467" s="210" t="s">
        <v>68</v>
      </c>
      <c r="C2467" s="254" t="s">
        <v>2031</v>
      </c>
      <c r="D2467" s="255">
        <v>1568</v>
      </c>
      <c r="E2467" s="211" t="s">
        <v>2087</v>
      </c>
      <c r="F2467" s="212">
        <v>43673</v>
      </c>
      <c r="G2467" s="213">
        <v>2.02</v>
      </c>
      <c r="H2467" s="256">
        <v>941</v>
      </c>
      <c r="I2467" s="214">
        <v>1482485</v>
      </c>
      <c r="J2467" s="215">
        <v>20400</v>
      </c>
      <c r="K2467" s="212">
        <v>43690</v>
      </c>
      <c r="L2467" s="211" t="s">
        <v>2089</v>
      </c>
      <c r="M2467" s="216">
        <v>4615507497</v>
      </c>
      <c r="N2467" s="212"/>
      <c r="O2467" s="218"/>
      <c r="P2467" s="219"/>
      <c r="Q2467" s="34">
        <f>SUMIF(Allocation[Delivery ID],Allocation[[#This Row],[Delivery ID]],Allocation[Quantity Processed])</f>
        <v>3861</v>
      </c>
      <c r="R2467" s="61">
        <f>Allocation[[#This Row],[Total volume used]]/VLOOKUP(Allocation[[#This Row],[Delivery ID]],Delivery[[Delivery ID]:[Quantity delivered]],3,FALSE)</f>
        <v>0.58597662771285475</v>
      </c>
      <c r="S2467" s="34">
        <f>Allocation[[#This Row],[Quantity Processed]]/Allocation[[#This Row],[Dilution rate]]</f>
        <v>776.23762376237619</v>
      </c>
      <c r="T2467" s="59">
        <f>SUMIF(Allocation[Delivery ID],Allocation[[#This Row],[Delivery ID]],Allocation[Quantity allocated])/SUMIF(Allocation[Delivery ID],Allocation[[#This Row],[Delivery ID]],Allocation[Volume available (kg)])</f>
        <v>1.1456496624974393</v>
      </c>
      <c r="U2467" s="61">
        <f>Allocation[[#This Row],[Total volume used]]/VLOOKUP(Allocation[[#This Row],[Delivery ID]],Delivery[[Delivery ID]:[Quantity delivered]],3,FALSE)</f>
        <v>0.58597662771285475</v>
      </c>
      <c r="V2467" s="34" t="e">
        <f>VLOOKUP(Allocation[[#This Row],[SAP Contract number]],Shipments[[SAP Contract number]:[Contracted container weight]],2,FALSE)</f>
        <v>#N/A</v>
      </c>
      <c r="W2467" s="34" t="e">
        <f>VLOOKUP(Allocation[[#This Row],[SAP Contract number]],Shipments[[SAP Contract number]:[AAA Premium USD]],24,FALSE)</f>
        <v>#N/A</v>
      </c>
      <c r="X2467" s="34" t="e">
        <f>VLOOKUP(Allocation[[#This Row],[SAP Contract number]],Shipments[[SAP Contract number]:[RA Premium USD]],25,FALSE)</f>
        <v>#N/A</v>
      </c>
      <c r="Y2467" s="38">
        <f>Allocation[[#This Row],[Quantity Processed]]/Allocation[[#This Row],[Quantity allocated]]</f>
        <v>1.6663124335812964</v>
      </c>
      <c r="Z2467" s="34" t="b">
        <f>Allocation[[#This Row],[Quantity allocated]]&lt;=Allocation[[#This Row],[Quantity Processed]]</f>
        <v>1</v>
      </c>
    </row>
    <row r="2468" spans="1:26">
      <c r="A2468" s="247" t="s">
        <v>467</v>
      </c>
      <c r="B2468" s="210" t="s">
        <v>68</v>
      </c>
      <c r="C2468" s="254" t="s">
        <v>1620</v>
      </c>
      <c r="D2468" s="255">
        <v>352</v>
      </c>
      <c r="E2468" s="211" t="s">
        <v>2087</v>
      </c>
      <c r="F2468" s="212">
        <v>43673</v>
      </c>
      <c r="G2468" s="213">
        <v>2.02</v>
      </c>
      <c r="H2468" s="256">
        <v>116</v>
      </c>
      <c r="I2468" s="214">
        <v>1482485</v>
      </c>
      <c r="J2468" s="215">
        <v>20400</v>
      </c>
      <c r="K2468" s="212">
        <v>43690</v>
      </c>
      <c r="L2468" s="211" t="s">
        <v>2089</v>
      </c>
      <c r="M2468" s="216">
        <v>4615507497</v>
      </c>
      <c r="N2468" s="212"/>
      <c r="O2468" s="218"/>
      <c r="P2468" s="219"/>
      <c r="Q2468" s="34">
        <f>SUMIF(Allocation[Delivery ID],Allocation[[#This Row],[Delivery ID]],Allocation[Quantity Processed])</f>
        <v>595</v>
      </c>
      <c r="R2468" s="61">
        <f>Allocation[[#This Row],[Total volume used]]/VLOOKUP(Allocation[[#This Row],[Delivery ID]],Delivery[[Delivery ID]:[Quantity delivered]],3,FALSE)</f>
        <v>0.13947491795593062</v>
      </c>
      <c r="S2468" s="34">
        <f>Allocation[[#This Row],[Quantity Processed]]/Allocation[[#This Row],[Dilution rate]]</f>
        <v>174.25742574257427</v>
      </c>
      <c r="T2468" s="59">
        <f>SUMIF(Allocation[Delivery ID],Allocation[[#This Row],[Delivery ID]],Allocation[Quantity allocated])/SUMIF(Allocation[Delivery ID],Allocation[[#This Row],[Delivery ID]],Allocation[Volume available (kg)])</f>
        <v>0.73863829449507756</v>
      </c>
      <c r="U2468" s="61">
        <f>Allocation[[#This Row],[Total volume used]]/VLOOKUP(Allocation[[#This Row],[Delivery ID]],Delivery[[Delivery ID]:[Quantity delivered]],3,FALSE)</f>
        <v>0.13947491795593062</v>
      </c>
      <c r="V2468" s="34" t="e">
        <f>VLOOKUP(Allocation[[#This Row],[SAP Contract number]],Shipments[[SAP Contract number]:[Contracted container weight]],2,FALSE)</f>
        <v>#N/A</v>
      </c>
      <c r="W2468" s="34" t="e">
        <f>VLOOKUP(Allocation[[#This Row],[SAP Contract number]],Shipments[[SAP Contract number]:[AAA Premium USD]],24,FALSE)</f>
        <v>#N/A</v>
      </c>
      <c r="X2468" s="34" t="e">
        <f>VLOOKUP(Allocation[[#This Row],[SAP Contract number]],Shipments[[SAP Contract number]:[RA Premium USD]],25,FALSE)</f>
        <v>#N/A</v>
      </c>
      <c r="Y2468" s="38">
        <f>Allocation[[#This Row],[Quantity Processed]]/Allocation[[#This Row],[Quantity allocated]]</f>
        <v>3.0344827586206895</v>
      </c>
      <c r="Z2468" s="34" t="b">
        <f>Allocation[[#This Row],[Quantity allocated]]&lt;=Allocation[[#This Row],[Quantity Processed]]</f>
        <v>1</v>
      </c>
    </row>
    <row r="2469" spans="1:26">
      <c r="A2469" s="247" t="s">
        <v>467</v>
      </c>
      <c r="B2469" s="210" t="s">
        <v>68</v>
      </c>
      <c r="C2469" s="254" t="s">
        <v>2032</v>
      </c>
      <c r="D2469" s="255">
        <v>3456</v>
      </c>
      <c r="E2469" s="211" t="s">
        <v>2087</v>
      </c>
      <c r="F2469" s="212">
        <v>43673</v>
      </c>
      <c r="G2469" s="213">
        <v>2.02</v>
      </c>
      <c r="H2469" s="256">
        <v>1728</v>
      </c>
      <c r="I2469" s="214">
        <v>1482485</v>
      </c>
      <c r="J2469" s="215">
        <v>20400</v>
      </c>
      <c r="K2469" s="212">
        <v>43690</v>
      </c>
      <c r="L2469" s="211" t="s">
        <v>2089</v>
      </c>
      <c r="M2469" s="216">
        <v>4615507497</v>
      </c>
      <c r="N2469" s="212"/>
      <c r="O2469" s="218"/>
      <c r="P2469" s="219"/>
      <c r="Q2469" s="34">
        <f>SUMIF(Allocation[Delivery ID],Allocation[[#This Row],[Delivery ID]],Allocation[Quantity Processed])</f>
        <v>8510</v>
      </c>
      <c r="R2469" s="61">
        <f>Allocation[[#This Row],[Total volume used]]/VLOOKUP(Allocation[[#This Row],[Delivery ID]],Delivery[[Delivery ID]:[Quantity delivered]],3,FALSE)</f>
        <v>0.70333484854746064</v>
      </c>
      <c r="S2469" s="34">
        <f>Allocation[[#This Row],[Quantity Processed]]/Allocation[[#This Row],[Dilution rate]]</f>
        <v>1710.8910891089108</v>
      </c>
      <c r="T2469" s="59">
        <f>SUMIF(Allocation[Delivery ID],Allocation[[#This Row],[Delivery ID]],Allocation[Quantity allocated])/SUMIF(Allocation[Delivery ID],Allocation[[#This Row],[Delivery ID]],Allocation[Volume available (kg)])</f>
        <v>0.95454306221828444</v>
      </c>
      <c r="U2469" s="61">
        <f>Allocation[[#This Row],[Total volume used]]/VLOOKUP(Allocation[[#This Row],[Delivery ID]],Delivery[[Delivery ID]:[Quantity delivered]],3,FALSE)</f>
        <v>0.70333484854746064</v>
      </c>
      <c r="V2469" s="34" t="e">
        <f>VLOOKUP(Allocation[[#This Row],[SAP Contract number]],Shipments[[SAP Contract number]:[Contracted container weight]],2,FALSE)</f>
        <v>#N/A</v>
      </c>
      <c r="W2469" s="34" t="e">
        <f>VLOOKUP(Allocation[[#This Row],[SAP Contract number]],Shipments[[SAP Contract number]:[AAA Premium USD]],24,FALSE)</f>
        <v>#N/A</v>
      </c>
      <c r="X2469" s="34" t="e">
        <f>VLOOKUP(Allocation[[#This Row],[SAP Contract number]],Shipments[[SAP Contract number]:[RA Premium USD]],25,FALSE)</f>
        <v>#N/A</v>
      </c>
      <c r="Y2469" s="38">
        <f>Allocation[[#This Row],[Quantity Processed]]/Allocation[[#This Row],[Quantity allocated]]</f>
        <v>2</v>
      </c>
      <c r="Z2469" s="34" t="b">
        <f>Allocation[[#This Row],[Quantity allocated]]&lt;=Allocation[[#This Row],[Quantity Processed]]</f>
        <v>1</v>
      </c>
    </row>
    <row r="2470" spans="1:26">
      <c r="A2470" s="247" t="s">
        <v>467</v>
      </c>
      <c r="B2470" s="210" t="s">
        <v>68</v>
      </c>
      <c r="C2470" s="254" t="s">
        <v>1621</v>
      </c>
      <c r="D2470" s="255">
        <v>491</v>
      </c>
      <c r="E2470" s="211" t="s">
        <v>2087</v>
      </c>
      <c r="F2470" s="212">
        <v>43673</v>
      </c>
      <c r="G2470" s="213">
        <v>2.02</v>
      </c>
      <c r="H2470" s="256">
        <v>162</v>
      </c>
      <c r="I2470" s="214">
        <v>1482485</v>
      </c>
      <c r="J2470" s="215">
        <v>20400</v>
      </c>
      <c r="K2470" s="212">
        <v>43690</v>
      </c>
      <c r="L2470" s="211" t="s">
        <v>2089</v>
      </c>
      <c r="M2470" s="216">
        <v>4615507497</v>
      </c>
      <c r="N2470" s="212"/>
      <c r="O2470" s="218"/>
      <c r="P2470" s="219"/>
      <c r="Q2470" s="34">
        <f>SUMIF(Allocation[Delivery ID],Allocation[[#This Row],[Delivery ID]],Allocation[Quantity Processed])</f>
        <v>833</v>
      </c>
      <c r="R2470" s="61">
        <f>Allocation[[#This Row],[Total volume used]]/VLOOKUP(Allocation[[#This Row],[Delivery ID]],Delivery[[Delivery ID]:[Quantity delivered]],3,FALSE)</f>
        <v>0.13957774798927614</v>
      </c>
      <c r="S2470" s="34">
        <f>Allocation[[#This Row],[Quantity Processed]]/Allocation[[#This Row],[Dilution rate]]</f>
        <v>243.06930693069307</v>
      </c>
      <c r="T2470" s="59">
        <f>SUMIF(Allocation[Delivery ID],Allocation[[#This Row],[Delivery ID]],Allocation[Quantity allocated])/SUMIF(Allocation[Delivery ID],Allocation[[#This Row],[Delivery ID]],Allocation[Volume available (kg)])</f>
        <v>0.74075001016675313</v>
      </c>
      <c r="U2470" s="61">
        <f>Allocation[[#This Row],[Total volume used]]/VLOOKUP(Allocation[[#This Row],[Delivery ID]],Delivery[[Delivery ID]:[Quantity delivered]],3,FALSE)</f>
        <v>0.13957774798927614</v>
      </c>
      <c r="V2470" s="34" t="e">
        <f>VLOOKUP(Allocation[[#This Row],[SAP Contract number]],Shipments[[SAP Contract number]:[Contracted container weight]],2,FALSE)</f>
        <v>#N/A</v>
      </c>
      <c r="W2470" s="34" t="e">
        <f>VLOOKUP(Allocation[[#This Row],[SAP Contract number]],Shipments[[SAP Contract number]:[AAA Premium USD]],24,FALSE)</f>
        <v>#N/A</v>
      </c>
      <c r="X2470" s="34" t="e">
        <f>VLOOKUP(Allocation[[#This Row],[SAP Contract number]],Shipments[[SAP Contract number]:[RA Premium USD]],25,FALSE)</f>
        <v>#N/A</v>
      </c>
      <c r="Y2470" s="38">
        <f>Allocation[[#This Row],[Quantity Processed]]/Allocation[[#This Row],[Quantity allocated]]</f>
        <v>3.0308641975308643</v>
      </c>
      <c r="Z2470" s="34" t="b">
        <f>Allocation[[#This Row],[Quantity allocated]]&lt;=Allocation[[#This Row],[Quantity Processed]]</f>
        <v>1</v>
      </c>
    </row>
    <row r="2471" spans="1:26">
      <c r="A2471" s="247" t="s">
        <v>467</v>
      </c>
      <c r="B2471" s="210" t="s">
        <v>68</v>
      </c>
      <c r="C2471" s="254" t="s">
        <v>2033</v>
      </c>
      <c r="D2471" s="255">
        <v>10666</v>
      </c>
      <c r="E2471" s="211" t="s">
        <v>2087</v>
      </c>
      <c r="F2471" s="212">
        <v>43673</v>
      </c>
      <c r="G2471" s="213">
        <v>2.02</v>
      </c>
      <c r="H2471" s="256">
        <v>4373</v>
      </c>
      <c r="I2471" s="214">
        <v>1482485</v>
      </c>
      <c r="J2471" s="215">
        <v>20400</v>
      </c>
      <c r="K2471" s="212">
        <v>43690</v>
      </c>
      <c r="L2471" s="211" t="s">
        <v>2089</v>
      </c>
      <c r="M2471" s="216">
        <v>4615507497</v>
      </c>
      <c r="N2471" s="212"/>
      <c r="O2471" s="218"/>
      <c r="P2471" s="219"/>
      <c r="Q2471" s="34">
        <f>SUMIF(Allocation[Delivery ID],Allocation[[#This Row],[Delivery ID]],Allocation[Quantity Processed])</f>
        <v>26257</v>
      </c>
      <c r="R2471" s="61">
        <f>Allocation[[#This Row],[Total volume used]]/VLOOKUP(Allocation[[#This Row],[Delivery ID]],Delivery[[Delivery ID]:[Quantity delivered]],3,FALSE)</f>
        <v>0.85779157138190132</v>
      </c>
      <c r="S2471" s="34">
        <f>Allocation[[#This Row],[Quantity Processed]]/Allocation[[#This Row],[Dilution rate]]</f>
        <v>5280.1980198019801</v>
      </c>
      <c r="T2471" s="59">
        <f>SUMIF(Allocation[Delivery ID],Allocation[[#This Row],[Delivery ID]],Allocation[Quantity allocated])/SUMIF(Allocation[Delivery ID],Allocation[[#This Row],[Delivery ID]],Allocation[Volume available (kg)])</f>
        <v>0.78270600943753899</v>
      </c>
      <c r="U2471" s="61">
        <f>Allocation[[#This Row],[Total volume used]]/VLOOKUP(Allocation[[#This Row],[Delivery ID]],Delivery[[Delivery ID]:[Quantity delivered]],3,FALSE)</f>
        <v>0.85779157138190132</v>
      </c>
      <c r="V2471" s="34" t="e">
        <f>VLOOKUP(Allocation[[#This Row],[SAP Contract number]],Shipments[[SAP Contract number]:[Contracted container weight]],2,FALSE)</f>
        <v>#N/A</v>
      </c>
      <c r="W2471" s="34" t="e">
        <f>VLOOKUP(Allocation[[#This Row],[SAP Contract number]],Shipments[[SAP Contract number]:[AAA Premium USD]],24,FALSE)</f>
        <v>#N/A</v>
      </c>
      <c r="X2471" s="34" t="e">
        <f>VLOOKUP(Allocation[[#This Row],[SAP Contract number]],Shipments[[SAP Contract number]:[RA Premium USD]],25,FALSE)</f>
        <v>#N/A</v>
      </c>
      <c r="Y2471" s="38">
        <f>Allocation[[#This Row],[Quantity Processed]]/Allocation[[#This Row],[Quantity allocated]]</f>
        <v>2.4390578550194375</v>
      </c>
      <c r="Z2471" s="34" t="b">
        <f>Allocation[[#This Row],[Quantity allocated]]&lt;=Allocation[[#This Row],[Quantity Processed]]</f>
        <v>1</v>
      </c>
    </row>
    <row r="2472" spans="1:26">
      <c r="A2472" s="247" t="s">
        <v>467</v>
      </c>
      <c r="B2472" s="210" t="s">
        <v>68</v>
      </c>
      <c r="C2472" s="254" t="s">
        <v>2034</v>
      </c>
      <c r="D2472" s="255">
        <v>10668</v>
      </c>
      <c r="E2472" s="211" t="s">
        <v>2087</v>
      </c>
      <c r="F2472" s="212">
        <v>43673</v>
      </c>
      <c r="G2472" s="213">
        <v>2.02</v>
      </c>
      <c r="H2472" s="256">
        <v>4374</v>
      </c>
      <c r="I2472" s="214">
        <v>1482485</v>
      </c>
      <c r="J2472" s="215">
        <v>20400</v>
      </c>
      <c r="K2472" s="212">
        <v>43690</v>
      </c>
      <c r="L2472" s="211" t="s">
        <v>2089</v>
      </c>
      <c r="M2472" s="216">
        <v>4615507497</v>
      </c>
      <c r="N2472" s="212"/>
      <c r="O2472" s="218"/>
      <c r="P2472" s="219"/>
      <c r="Q2472" s="34">
        <f>SUMIF(Allocation[Delivery ID],Allocation[[#This Row],[Delivery ID]],Allocation[Quantity Processed])</f>
        <v>26264</v>
      </c>
      <c r="R2472" s="61">
        <f>Allocation[[#This Row],[Total volume used]]/VLOOKUP(Allocation[[#This Row],[Delivery ID]],Delivery[[Delivery ID]:[Quantity delivered]],3,FALSE)</f>
        <v>0.8577400391900718</v>
      </c>
      <c r="S2472" s="34">
        <f>Allocation[[#This Row],[Quantity Processed]]/Allocation[[#This Row],[Dilution rate]]</f>
        <v>5281.1881188118814</v>
      </c>
      <c r="T2472" s="59">
        <f>SUMIF(Allocation[Delivery ID],Allocation[[#This Row],[Delivery ID]],Allocation[Quantity allocated])/SUMIF(Allocation[Delivery ID],Allocation[[#This Row],[Delivery ID]],Allocation[Volume available (kg)])</f>
        <v>0.78278583084440134</v>
      </c>
      <c r="U2472" s="61">
        <f>Allocation[[#This Row],[Total volume used]]/VLOOKUP(Allocation[[#This Row],[Delivery ID]],Delivery[[Delivery ID]:[Quantity delivered]],3,FALSE)</f>
        <v>0.8577400391900718</v>
      </c>
      <c r="V2472" s="34" t="e">
        <f>VLOOKUP(Allocation[[#This Row],[SAP Contract number]],Shipments[[SAP Contract number]:[Contracted container weight]],2,FALSE)</f>
        <v>#N/A</v>
      </c>
      <c r="W2472" s="34" t="e">
        <f>VLOOKUP(Allocation[[#This Row],[SAP Contract number]],Shipments[[SAP Contract number]:[AAA Premium USD]],24,FALSE)</f>
        <v>#N/A</v>
      </c>
      <c r="X2472" s="34" t="e">
        <f>VLOOKUP(Allocation[[#This Row],[SAP Contract number]],Shipments[[SAP Contract number]:[RA Premium USD]],25,FALSE)</f>
        <v>#N/A</v>
      </c>
      <c r="Y2472" s="38">
        <f>Allocation[[#This Row],[Quantity Processed]]/Allocation[[#This Row],[Quantity allocated]]</f>
        <v>2.438957475994513</v>
      </c>
      <c r="Z2472" s="34" t="b">
        <f>Allocation[[#This Row],[Quantity allocated]]&lt;=Allocation[[#This Row],[Quantity Processed]]</f>
        <v>1</v>
      </c>
    </row>
    <row r="2473" spans="1:26">
      <c r="A2473" s="247" t="s">
        <v>467</v>
      </c>
      <c r="B2473" s="210" t="s">
        <v>68</v>
      </c>
      <c r="C2473" s="254" t="s">
        <v>1628</v>
      </c>
      <c r="D2473" s="255">
        <v>1976</v>
      </c>
      <c r="E2473" s="211" t="s">
        <v>2087</v>
      </c>
      <c r="F2473" s="212">
        <v>43673</v>
      </c>
      <c r="G2473" s="213">
        <v>2.02</v>
      </c>
      <c r="H2473" s="256">
        <v>652</v>
      </c>
      <c r="I2473" s="214">
        <v>1482485</v>
      </c>
      <c r="J2473" s="215">
        <v>20400</v>
      </c>
      <c r="K2473" s="212">
        <v>43690</v>
      </c>
      <c r="L2473" s="211" t="s">
        <v>2089</v>
      </c>
      <c r="M2473" s="216">
        <v>4615507497</v>
      </c>
      <c r="N2473" s="212"/>
      <c r="O2473" s="218"/>
      <c r="P2473" s="219"/>
      <c r="Q2473" s="34">
        <f>SUMIF(Allocation[Delivery ID],Allocation[[#This Row],[Delivery ID]],Allocation[Quantity Processed])</f>
        <v>22228</v>
      </c>
      <c r="R2473" s="61">
        <f>Allocation[[#This Row],[Total volume used]]/VLOOKUP(Allocation[[#This Row],[Delivery ID]],Delivery[[Delivery ID]:[Quantity delivered]],3,FALSE)</f>
        <v>0.9242411642411642</v>
      </c>
      <c r="S2473" s="34">
        <f>Allocation[[#This Row],[Quantity Processed]]/Allocation[[#This Row],[Dilution rate]]</f>
        <v>978.21782178217825</v>
      </c>
      <c r="T2473" s="59">
        <f>SUMIF(Allocation[Delivery ID],Allocation[[#This Row],[Delivery ID]],Allocation[Quantity allocated])/SUMIF(Allocation[Delivery ID],Allocation[[#This Row],[Delivery ID]],Allocation[Volume available (kg)])</f>
        <v>0.83864200650369825</v>
      </c>
      <c r="U2473" s="61">
        <f>Allocation[[#This Row],[Total volume used]]/VLOOKUP(Allocation[[#This Row],[Delivery ID]],Delivery[[Delivery ID]:[Quantity delivered]],3,FALSE)</f>
        <v>0.9242411642411642</v>
      </c>
      <c r="V2473" s="34" t="e">
        <f>VLOOKUP(Allocation[[#This Row],[SAP Contract number]],Shipments[[SAP Contract number]:[Contracted container weight]],2,FALSE)</f>
        <v>#N/A</v>
      </c>
      <c r="W2473" s="34" t="e">
        <f>VLOOKUP(Allocation[[#This Row],[SAP Contract number]],Shipments[[SAP Contract number]:[AAA Premium USD]],24,FALSE)</f>
        <v>#N/A</v>
      </c>
      <c r="X2473" s="34" t="e">
        <f>VLOOKUP(Allocation[[#This Row],[SAP Contract number]],Shipments[[SAP Contract number]:[RA Premium USD]],25,FALSE)</f>
        <v>#N/A</v>
      </c>
      <c r="Y2473" s="38">
        <f>Allocation[[#This Row],[Quantity Processed]]/Allocation[[#This Row],[Quantity allocated]]</f>
        <v>3.0306748466257667</v>
      </c>
      <c r="Z2473" s="34" t="b">
        <f>Allocation[[#This Row],[Quantity allocated]]&lt;=Allocation[[#This Row],[Quantity Processed]]</f>
        <v>1</v>
      </c>
    </row>
    <row r="2474" spans="1:26">
      <c r="A2474" s="247" t="s">
        <v>467</v>
      </c>
      <c r="B2474" s="210" t="s">
        <v>68</v>
      </c>
      <c r="C2474" s="254" t="s">
        <v>2035</v>
      </c>
      <c r="D2474" s="255">
        <v>3167</v>
      </c>
      <c r="E2474" s="211" t="s">
        <v>2087</v>
      </c>
      <c r="F2474" s="212">
        <v>43673</v>
      </c>
      <c r="G2474" s="213">
        <v>2.02</v>
      </c>
      <c r="H2474" s="256">
        <v>2217</v>
      </c>
      <c r="I2474" s="214">
        <v>1482485</v>
      </c>
      <c r="J2474" s="215">
        <v>20400</v>
      </c>
      <c r="K2474" s="212">
        <v>43690</v>
      </c>
      <c r="L2474" s="211" t="s">
        <v>2089</v>
      </c>
      <c r="M2474" s="216">
        <v>4615507497</v>
      </c>
      <c r="N2474" s="212"/>
      <c r="O2474" s="218"/>
      <c r="P2474" s="219"/>
      <c r="Q2474" s="34">
        <f>SUMIF(Allocation[Delivery ID],Allocation[[#This Row],[Delivery ID]],Allocation[Quantity Processed])</f>
        <v>11715</v>
      </c>
      <c r="R2474" s="61">
        <f>Allocation[[#This Row],[Total volume used]]/VLOOKUP(Allocation[[#This Row],[Delivery ID]],Delivery[[Delivery ID]:[Quantity delivered]],3,FALSE)</f>
        <v>0.50243389874123479</v>
      </c>
      <c r="S2474" s="34">
        <f>Allocation[[#This Row],[Quantity Processed]]/Allocation[[#This Row],[Dilution rate]]</f>
        <v>1567.8217821782177</v>
      </c>
      <c r="T2474" s="59">
        <f>SUMIF(Allocation[Delivery ID],Allocation[[#This Row],[Delivery ID]],Allocation[Quantity allocated])/SUMIF(Allocation[Delivery ID],Allocation[[#This Row],[Delivery ID]],Allocation[Volume available (kg)])</f>
        <v>1.3362937396526082</v>
      </c>
      <c r="U2474" s="61">
        <f>Allocation[[#This Row],[Total volume used]]/VLOOKUP(Allocation[[#This Row],[Delivery ID]],Delivery[[Delivery ID]:[Quantity delivered]],3,FALSE)</f>
        <v>0.50243389874123479</v>
      </c>
      <c r="V2474" s="34" t="e">
        <f>VLOOKUP(Allocation[[#This Row],[SAP Contract number]],Shipments[[SAP Contract number]:[Contracted container weight]],2,FALSE)</f>
        <v>#N/A</v>
      </c>
      <c r="W2474" s="34" t="e">
        <f>VLOOKUP(Allocation[[#This Row],[SAP Contract number]],Shipments[[SAP Contract number]:[AAA Premium USD]],24,FALSE)</f>
        <v>#N/A</v>
      </c>
      <c r="X2474" s="34" t="e">
        <f>VLOOKUP(Allocation[[#This Row],[SAP Contract number]],Shipments[[SAP Contract number]:[RA Premium USD]],25,FALSE)</f>
        <v>#N/A</v>
      </c>
      <c r="Y2474" s="38">
        <f>Allocation[[#This Row],[Quantity Processed]]/Allocation[[#This Row],[Quantity allocated]]</f>
        <v>1.4285069914298603</v>
      </c>
      <c r="Z2474" s="34" t="b">
        <f>Allocation[[#This Row],[Quantity allocated]]&lt;=Allocation[[#This Row],[Quantity Processed]]</f>
        <v>1</v>
      </c>
    </row>
    <row r="2475" spans="1:26">
      <c r="A2475" s="247" t="s">
        <v>467</v>
      </c>
      <c r="B2475" s="210" t="s">
        <v>68</v>
      </c>
      <c r="C2475" s="254" t="s">
        <v>2035</v>
      </c>
      <c r="D2475" s="255">
        <v>1592</v>
      </c>
      <c r="E2475" s="211" t="s">
        <v>2087</v>
      </c>
      <c r="F2475" s="212">
        <v>43673</v>
      </c>
      <c r="G2475" s="213">
        <v>2.02</v>
      </c>
      <c r="H2475" s="256">
        <v>1114</v>
      </c>
      <c r="I2475" s="214">
        <v>1482486</v>
      </c>
      <c r="J2475" s="215">
        <v>20400</v>
      </c>
      <c r="K2475" s="212">
        <v>43690</v>
      </c>
      <c r="L2475" s="211" t="s">
        <v>2090</v>
      </c>
      <c r="M2475" s="216">
        <v>4615507497</v>
      </c>
      <c r="N2475" s="212"/>
      <c r="O2475" s="218"/>
      <c r="P2475" s="219"/>
      <c r="Q2475" s="34">
        <f>SUMIF(Allocation[Delivery ID],Allocation[[#This Row],[Delivery ID]],Allocation[Quantity Processed])</f>
        <v>11715</v>
      </c>
      <c r="R2475" s="61">
        <f>Allocation[[#This Row],[Total volume used]]/VLOOKUP(Allocation[[#This Row],[Delivery ID]],Delivery[[Delivery ID]:[Quantity delivered]],3,FALSE)</f>
        <v>0.50243389874123479</v>
      </c>
      <c r="S2475" s="34">
        <f>Allocation[[#This Row],[Quantity Processed]]/Allocation[[#This Row],[Dilution rate]]</f>
        <v>788.11881188118809</v>
      </c>
      <c r="T2475" s="59">
        <f>SUMIF(Allocation[Delivery ID],Allocation[[#This Row],[Delivery ID]],Allocation[Quantity allocated])/SUMIF(Allocation[Delivery ID],Allocation[[#This Row],[Delivery ID]],Allocation[Volume available (kg)])</f>
        <v>1.3362937396526082</v>
      </c>
      <c r="U2475" s="61">
        <f>Allocation[[#This Row],[Total volume used]]/VLOOKUP(Allocation[[#This Row],[Delivery ID]],Delivery[[Delivery ID]:[Quantity delivered]],3,FALSE)</f>
        <v>0.50243389874123479</v>
      </c>
      <c r="V2475" s="34" t="e">
        <f>VLOOKUP(Allocation[[#This Row],[SAP Contract number]],Shipments[[SAP Contract number]:[Contracted container weight]],2,FALSE)</f>
        <v>#N/A</v>
      </c>
      <c r="W2475" s="34" t="e">
        <f>VLOOKUP(Allocation[[#This Row],[SAP Contract number]],Shipments[[SAP Contract number]:[AAA Premium USD]],24,FALSE)</f>
        <v>#N/A</v>
      </c>
      <c r="X2475" s="34" t="e">
        <f>VLOOKUP(Allocation[[#This Row],[SAP Contract number]],Shipments[[SAP Contract number]:[RA Premium USD]],25,FALSE)</f>
        <v>#N/A</v>
      </c>
      <c r="Y2475" s="38">
        <f>Allocation[[#This Row],[Quantity Processed]]/Allocation[[#This Row],[Quantity allocated]]</f>
        <v>1.429084380610413</v>
      </c>
      <c r="Z2475" s="34" t="b">
        <f>Allocation[[#This Row],[Quantity allocated]]&lt;=Allocation[[#This Row],[Quantity Processed]]</f>
        <v>1</v>
      </c>
    </row>
    <row r="2476" spans="1:26">
      <c r="A2476" s="247" t="s">
        <v>467</v>
      </c>
      <c r="B2476" s="210" t="s">
        <v>68</v>
      </c>
      <c r="C2476" s="254" t="s">
        <v>1637</v>
      </c>
      <c r="D2476" s="255">
        <v>1979.5</v>
      </c>
      <c r="E2476" s="211" t="s">
        <v>2087</v>
      </c>
      <c r="F2476" s="212">
        <v>43673</v>
      </c>
      <c r="G2476" s="213">
        <v>2.02</v>
      </c>
      <c r="H2476" s="256">
        <v>668</v>
      </c>
      <c r="I2476" s="214">
        <v>1482486</v>
      </c>
      <c r="J2476" s="215">
        <v>20400</v>
      </c>
      <c r="K2476" s="212">
        <v>43690</v>
      </c>
      <c r="L2476" s="211" t="s">
        <v>2090</v>
      </c>
      <c r="M2476" s="216">
        <v>4615507497</v>
      </c>
      <c r="N2476" s="212"/>
      <c r="O2476" s="218"/>
      <c r="P2476" s="219"/>
      <c r="Q2476" s="34">
        <f>SUMIF(Allocation[Delivery ID],Allocation[[#This Row],[Delivery ID]],Allocation[Quantity Processed])</f>
        <v>24645.5</v>
      </c>
      <c r="R2476" s="61">
        <f>Allocation[[#This Row],[Total volume used]]/VLOOKUP(Allocation[[#This Row],[Delivery ID]],Delivery[[Delivery ID]:[Quantity delivered]],3,FALSE)</f>
        <v>1</v>
      </c>
      <c r="S2476" s="34">
        <f>Allocation[[#This Row],[Quantity Processed]]/Allocation[[#This Row],[Dilution rate]]</f>
        <v>979.95049504950498</v>
      </c>
      <c r="T2476" s="59">
        <f>SUMIF(Allocation[Delivery ID],Allocation[[#This Row],[Delivery ID]],Allocation[Quantity allocated])/SUMIF(Allocation[Delivery ID],Allocation[[#This Row],[Delivery ID]],Allocation[Volume available (kg)])</f>
        <v>0.77198266112039871</v>
      </c>
      <c r="U2476" s="61">
        <f>Allocation[[#This Row],[Total volume used]]/VLOOKUP(Allocation[[#This Row],[Delivery ID]],Delivery[[Delivery ID]:[Quantity delivered]],3,FALSE)</f>
        <v>1</v>
      </c>
      <c r="V2476" s="34" t="e">
        <f>VLOOKUP(Allocation[[#This Row],[SAP Contract number]],Shipments[[SAP Contract number]:[Contracted container weight]],2,FALSE)</f>
        <v>#N/A</v>
      </c>
      <c r="W2476" s="34" t="e">
        <f>VLOOKUP(Allocation[[#This Row],[SAP Contract number]],Shipments[[SAP Contract number]:[AAA Premium USD]],24,FALSE)</f>
        <v>#N/A</v>
      </c>
      <c r="X2476" s="34" t="e">
        <f>VLOOKUP(Allocation[[#This Row],[SAP Contract number]],Shipments[[SAP Contract number]:[RA Premium USD]],25,FALSE)</f>
        <v>#N/A</v>
      </c>
      <c r="Y2476" s="38">
        <f>Allocation[[#This Row],[Quantity Processed]]/Allocation[[#This Row],[Quantity allocated]]</f>
        <v>2.9633233532934131</v>
      </c>
      <c r="Z2476" s="34" t="b">
        <f>Allocation[[#This Row],[Quantity allocated]]&lt;=Allocation[[#This Row],[Quantity Processed]]</f>
        <v>1</v>
      </c>
    </row>
    <row r="2477" spans="1:26">
      <c r="A2477" s="247" t="s">
        <v>467</v>
      </c>
      <c r="B2477" s="210" t="s">
        <v>68</v>
      </c>
      <c r="C2477" s="254" t="s">
        <v>2036</v>
      </c>
      <c r="D2477" s="255">
        <v>10414</v>
      </c>
      <c r="E2477" s="211" t="s">
        <v>2087</v>
      </c>
      <c r="F2477" s="212">
        <v>43673</v>
      </c>
      <c r="G2477" s="213">
        <v>2.02</v>
      </c>
      <c r="H2477" s="256">
        <v>4374</v>
      </c>
      <c r="I2477" s="214">
        <v>1482486</v>
      </c>
      <c r="J2477" s="215">
        <v>20400</v>
      </c>
      <c r="K2477" s="212">
        <v>43690</v>
      </c>
      <c r="L2477" s="211" t="s">
        <v>2090</v>
      </c>
      <c r="M2477" s="216">
        <v>4615507497</v>
      </c>
      <c r="N2477" s="212"/>
      <c r="O2477" s="218"/>
      <c r="P2477" s="219"/>
      <c r="Q2477" s="34">
        <f>SUMIF(Allocation[Delivery ID],Allocation[[#This Row],[Delivery ID]],Allocation[Quantity Processed])</f>
        <v>25639</v>
      </c>
      <c r="R2477" s="61">
        <f>Allocation[[#This Row],[Total volume used]]/VLOOKUP(Allocation[[#This Row],[Delivery ID]],Delivery[[Delivery ID]:[Quantity delivered]],3,FALSE)</f>
        <v>0.83732854343566299</v>
      </c>
      <c r="S2477" s="34">
        <f>Allocation[[#This Row],[Quantity Processed]]/Allocation[[#This Row],[Dilution rate]]</f>
        <v>5155.4455445544554</v>
      </c>
      <c r="T2477" s="59">
        <f>SUMIF(Allocation[Delivery ID],Allocation[[#This Row],[Delivery ID]],Allocation[Quantity allocated])/SUMIF(Allocation[Delivery ID],Allocation[[#This Row],[Delivery ID]],Allocation[Volume available (kg)])</f>
        <v>0.80186735144019206</v>
      </c>
      <c r="U2477" s="61">
        <f>Allocation[[#This Row],[Total volume used]]/VLOOKUP(Allocation[[#This Row],[Delivery ID]],Delivery[[Delivery ID]:[Quantity delivered]],3,FALSE)</f>
        <v>0.83732854343566299</v>
      </c>
      <c r="V2477" s="34" t="e">
        <f>VLOOKUP(Allocation[[#This Row],[SAP Contract number]],Shipments[[SAP Contract number]:[Contracted container weight]],2,FALSE)</f>
        <v>#N/A</v>
      </c>
      <c r="W2477" s="34" t="e">
        <f>VLOOKUP(Allocation[[#This Row],[SAP Contract number]],Shipments[[SAP Contract number]:[AAA Premium USD]],24,FALSE)</f>
        <v>#N/A</v>
      </c>
      <c r="X2477" s="34" t="e">
        <f>VLOOKUP(Allocation[[#This Row],[SAP Contract number]],Shipments[[SAP Contract number]:[RA Premium USD]],25,FALSE)</f>
        <v>#N/A</v>
      </c>
      <c r="Y2477" s="38">
        <f>Allocation[[#This Row],[Quantity Processed]]/Allocation[[#This Row],[Quantity allocated]]</f>
        <v>2.3808870598994054</v>
      </c>
      <c r="Z2477" s="34" t="b">
        <f>Allocation[[#This Row],[Quantity allocated]]&lt;=Allocation[[#This Row],[Quantity Processed]]</f>
        <v>1</v>
      </c>
    </row>
    <row r="2478" spans="1:26">
      <c r="A2478" s="247" t="s">
        <v>467</v>
      </c>
      <c r="B2478" s="210" t="s">
        <v>68</v>
      </c>
      <c r="C2478" s="254" t="s">
        <v>2037</v>
      </c>
      <c r="D2478" s="255">
        <v>10412</v>
      </c>
      <c r="E2478" s="211" t="s">
        <v>2087</v>
      </c>
      <c r="F2478" s="212">
        <v>43673</v>
      </c>
      <c r="G2478" s="213">
        <v>2.02</v>
      </c>
      <c r="H2478" s="256">
        <v>4373</v>
      </c>
      <c r="I2478" s="214">
        <v>1482486</v>
      </c>
      <c r="J2478" s="215">
        <v>20400</v>
      </c>
      <c r="K2478" s="212">
        <v>43690</v>
      </c>
      <c r="L2478" s="211" t="s">
        <v>2090</v>
      </c>
      <c r="M2478" s="216">
        <v>4615507497</v>
      </c>
      <c r="N2478" s="212"/>
      <c r="O2478" s="218"/>
      <c r="P2478" s="219"/>
      <c r="Q2478" s="34">
        <f>SUMIF(Allocation[Delivery ID],Allocation[[#This Row],[Delivery ID]],Allocation[Quantity Processed])</f>
        <v>25632</v>
      </c>
      <c r="R2478" s="61">
        <f>Allocation[[#This Row],[Total volume used]]/VLOOKUP(Allocation[[#This Row],[Delivery ID]],Delivery[[Delivery ID]:[Quantity delivered]],3,FALSE)</f>
        <v>0.83737340738320809</v>
      </c>
      <c r="S2478" s="34">
        <f>Allocation[[#This Row],[Quantity Processed]]/Allocation[[#This Row],[Dilution rate]]</f>
        <v>5154.4554455445541</v>
      </c>
      <c r="T2478" s="59">
        <f>SUMIF(Allocation[Delivery ID],Allocation[[#This Row],[Delivery ID]],Allocation[Quantity allocated])/SUMIF(Allocation[Delivery ID],Allocation[[#This Row],[Delivery ID]],Allocation[Volume available (kg)])</f>
        <v>0.80179085287945617</v>
      </c>
      <c r="U2478" s="61">
        <f>Allocation[[#This Row],[Total volume used]]/VLOOKUP(Allocation[[#This Row],[Delivery ID]],Delivery[[Delivery ID]:[Quantity delivered]],3,FALSE)</f>
        <v>0.83737340738320809</v>
      </c>
      <c r="V2478" s="34" t="e">
        <f>VLOOKUP(Allocation[[#This Row],[SAP Contract number]],Shipments[[SAP Contract number]:[Contracted container weight]],2,FALSE)</f>
        <v>#N/A</v>
      </c>
      <c r="W2478" s="34" t="e">
        <f>VLOOKUP(Allocation[[#This Row],[SAP Contract number]],Shipments[[SAP Contract number]:[AAA Premium USD]],24,FALSE)</f>
        <v>#N/A</v>
      </c>
      <c r="X2478" s="34" t="e">
        <f>VLOOKUP(Allocation[[#This Row],[SAP Contract number]],Shipments[[SAP Contract number]:[RA Premium USD]],25,FALSE)</f>
        <v>#N/A</v>
      </c>
      <c r="Y2478" s="38">
        <f>Allocation[[#This Row],[Quantity Processed]]/Allocation[[#This Row],[Quantity allocated]]</f>
        <v>2.3809741596158243</v>
      </c>
      <c r="Z2478" s="34" t="b">
        <f>Allocation[[#This Row],[Quantity allocated]]&lt;=Allocation[[#This Row],[Quantity Processed]]</f>
        <v>1</v>
      </c>
    </row>
    <row r="2479" spans="1:26">
      <c r="A2479" s="247" t="s">
        <v>467</v>
      </c>
      <c r="B2479" s="210" t="s">
        <v>68</v>
      </c>
      <c r="C2479" s="254" t="s">
        <v>1643</v>
      </c>
      <c r="D2479" s="255">
        <v>486</v>
      </c>
      <c r="E2479" s="211" t="s">
        <v>2087</v>
      </c>
      <c r="F2479" s="212">
        <v>43673</v>
      </c>
      <c r="G2479" s="213">
        <v>2.02</v>
      </c>
      <c r="H2479" s="256">
        <v>170</v>
      </c>
      <c r="I2479" s="214">
        <v>1482486</v>
      </c>
      <c r="J2479" s="215">
        <v>20400</v>
      </c>
      <c r="K2479" s="212">
        <v>43690</v>
      </c>
      <c r="L2479" s="211" t="s">
        <v>2090</v>
      </c>
      <c r="M2479" s="216">
        <v>4615507497</v>
      </c>
      <c r="N2479" s="212"/>
      <c r="O2479" s="218"/>
      <c r="P2479" s="219"/>
      <c r="Q2479" s="34">
        <f>SUMIF(Allocation[Delivery ID],Allocation[[#This Row],[Delivery ID]],Allocation[Quantity Processed])</f>
        <v>826</v>
      </c>
      <c r="R2479" s="61">
        <f>Allocation[[#This Row],[Total volume used]]/VLOOKUP(Allocation[[#This Row],[Delivery ID]],Delivery[[Delivery ID]:[Quantity delivered]],3,FALSE)</f>
        <v>0.13149725384064315</v>
      </c>
      <c r="S2479" s="34">
        <f>Allocation[[#This Row],[Quantity Processed]]/Allocation[[#This Row],[Dilution rate]]</f>
        <v>240.59405940594058</v>
      </c>
      <c r="T2479" s="59">
        <f>SUMIF(Allocation[Delivery ID],Allocation[[#This Row],[Delivery ID]],Allocation[Quantity allocated])/SUMIF(Allocation[Delivery ID],Allocation[[#This Row],[Delivery ID]],Allocation[Volume available (kg)])</f>
        <v>0.78525679208867372</v>
      </c>
      <c r="U2479" s="61">
        <f>Allocation[[#This Row],[Total volume used]]/VLOOKUP(Allocation[[#This Row],[Delivery ID]],Delivery[[Delivery ID]:[Quantity delivered]],3,FALSE)</f>
        <v>0.13149725384064315</v>
      </c>
      <c r="V2479" s="34" t="e">
        <f>VLOOKUP(Allocation[[#This Row],[SAP Contract number]],Shipments[[SAP Contract number]:[Contracted container weight]],2,FALSE)</f>
        <v>#N/A</v>
      </c>
      <c r="W2479" s="34" t="e">
        <f>VLOOKUP(Allocation[[#This Row],[SAP Contract number]],Shipments[[SAP Contract number]:[AAA Premium USD]],24,FALSE)</f>
        <v>#N/A</v>
      </c>
      <c r="X2479" s="34" t="e">
        <f>VLOOKUP(Allocation[[#This Row],[SAP Contract number]],Shipments[[SAP Contract number]:[RA Premium USD]],25,FALSE)</f>
        <v>#N/A</v>
      </c>
      <c r="Y2479" s="38">
        <f>Allocation[[#This Row],[Quantity Processed]]/Allocation[[#This Row],[Quantity allocated]]</f>
        <v>2.8588235294117648</v>
      </c>
      <c r="Z2479" s="34" t="b">
        <f>Allocation[[#This Row],[Quantity allocated]]&lt;=Allocation[[#This Row],[Quantity Processed]]</f>
        <v>1</v>
      </c>
    </row>
    <row r="2480" spans="1:26">
      <c r="A2480" s="247" t="s">
        <v>467</v>
      </c>
      <c r="B2480" s="210" t="s">
        <v>68</v>
      </c>
      <c r="C2480" s="254" t="s">
        <v>1014</v>
      </c>
      <c r="D2480" s="255">
        <v>1018</v>
      </c>
      <c r="E2480" s="211" t="s">
        <v>2087</v>
      </c>
      <c r="F2480" s="212">
        <v>43673</v>
      </c>
      <c r="G2480" s="213">
        <v>2.02</v>
      </c>
      <c r="H2480" s="256">
        <v>560</v>
      </c>
      <c r="I2480" s="214">
        <v>1482486</v>
      </c>
      <c r="J2480" s="215">
        <v>20400</v>
      </c>
      <c r="K2480" s="212">
        <v>43690</v>
      </c>
      <c r="L2480" s="211" t="s">
        <v>2090</v>
      </c>
      <c r="M2480" s="216">
        <v>4615507497</v>
      </c>
      <c r="N2480" s="212"/>
      <c r="O2480" s="218"/>
      <c r="P2480" s="219"/>
      <c r="Q2480" s="34">
        <f>SUMIF(Allocation[Delivery ID],Allocation[[#This Row],[Delivery ID]],Allocation[Quantity Processed])</f>
        <v>2591</v>
      </c>
      <c r="R2480" s="61">
        <f>Allocation[[#This Row],[Total volume used]]/VLOOKUP(Allocation[[#This Row],[Delivery ID]],Delivery[[Delivery ID]:[Quantity delivered]],3,FALSE)</f>
        <v>0.74411257897759908</v>
      </c>
      <c r="S2480" s="34">
        <f>Allocation[[#This Row],[Quantity Processed]]/Allocation[[#This Row],[Dilution rate]]</f>
        <v>503.96039603960395</v>
      </c>
      <c r="T2480" s="59">
        <f>SUMIF(Allocation[Delivery ID],Allocation[[#This Row],[Delivery ID]],Allocation[Quantity allocated])/SUMIF(Allocation[Delivery ID],Allocation[[#This Row],[Delivery ID]],Allocation[Volume available (kg)])</f>
        <v>1.1196930302978436</v>
      </c>
      <c r="U2480" s="61">
        <f>Allocation[[#This Row],[Total volume used]]/VLOOKUP(Allocation[[#This Row],[Delivery ID]],Delivery[[Delivery ID]:[Quantity delivered]],3,FALSE)</f>
        <v>0.74411257897759908</v>
      </c>
      <c r="V2480" s="34" t="e">
        <f>VLOOKUP(Allocation[[#This Row],[SAP Contract number]],Shipments[[SAP Contract number]:[Contracted container weight]],2,FALSE)</f>
        <v>#N/A</v>
      </c>
      <c r="W2480" s="34" t="e">
        <f>VLOOKUP(Allocation[[#This Row],[SAP Contract number]],Shipments[[SAP Contract number]:[AAA Premium USD]],24,FALSE)</f>
        <v>#N/A</v>
      </c>
      <c r="X2480" s="34" t="e">
        <f>VLOOKUP(Allocation[[#This Row],[SAP Contract number]],Shipments[[SAP Contract number]:[RA Premium USD]],25,FALSE)</f>
        <v>#N/A</v>
      </c>
      <c r="Y2480" s="38">
        <f>Allocation[[#This Row],[Quantity Processed]]/Allocation[[#This Row],[Quantity allocated]]</f>
        <v>1.8178571428571428</v>
      </c>
      <c r="Z2480" s="34" t="b">
        <f>Allocation[[#This Row],[Quantity allocated]]&lt;=Allocation[[#This Row],[Quantity Processed]]</f>
        <v>1</v>
      </c>
    </row>
    <row r="2481" spans="1:26">
      <c r="A2481" s="247" t="s">
        <v>467</v>
      </c>
      <c r="B2481" s="210" t="s">
        <v>68</v>
      </c>
      <c r="C2481" s="254" t="s">
        <v>1019</v>
      </c>
      <c r="D2481" s="255">
        <v>11355</v>
      </c>
      <c r="E2481" s="211" t="s">
        <v>2087</v>
      </c>
      <c r="F2481" s="212">
        <v>43673</v>
      </c>
      <c r="G2481" s="213">
        <v>2.02</v>
      </c>
      <c r="H2481" s="256">
        <v>3200</v>
      </c>
      <c r="I2481" s="214">
        <v>1482486</v>
      </c>
      <c r="J2481" s="215">
        <v>20400</v>
      </c>
      <c r="K2481" s="212">
        <v>43690</v>
      </c>
      <c r="L2481" s="211" t="s">
        <v>2090</v>
      </c>
      <c r="M2481" s="216">
        <v>4615507497</v>
      </c>
      <c r="N2481" s="212"/>
      <c r="O2481" s="218"/>
      <c r="P2481" s="219"/>
      <c r="Q2481" s="34">
        <f>SUMIF(Allocation[Delivery ID],Allocation[[#This Row],[Delivery ID]],Allocation[Quantity Processed])</f>
        <v>34180</v>
      </c>
      <c r="R2481" s="61">
        <f>Allocation[[#This Row],[Total volume used]]/VLOOKUP(Allocation[[#This Row],[Delivery ID]],Delivery[[Delivery ID]:[Quantity delivered]],3,FALSE)</f>
        <v>1</v>
      </c>
      <c r="S2481" s="34">
        <f>Allocation[[#This Row],[Quantity Processed]]/Allocation[[#This Row],[Dilution rate]]</f>
        <v>5621.287128712871</v>
      </c>
      <c r="T2481" s="59">
        <f>SUMIF(Allocation[Delivery ID],Allocation[[#This Row],[Delivery ID]],Allocation[Quantity allocated])/SUMIF(Allocation[Delivery ID],Allocation[[#This Row],[Delivery ID]],Allocation[Volume available (kg)])</f>
        <v>0.61008720035374187</v>
      </c>
      <c r="U2481" s="61">
        <f>Allocation[[#This Row],[Total volume used]]/VLOOKUP(Allocation[[#This Row],[Delivery ID]],Delivery[[Delivery ID]:[Quantity delivered]],3,FALSE)</f>
        <v>1</v>
      </c>
      <c r="V2481" s="34" t="e">
        <f>VLOOKUP(Allocation[[#This Row],[SAP Contract number]],Shipments[[SAP Contract number]:[Contracted container weight]],2,FALSE)</f>
        <v>#N/A</v>
      </c>
      <c r="W2481" s="34" t="e">
        <f>VLOOKUP(Allocation[[#This Row],[SAP Contract number]],Shipments[[SAP Contract number]:[AAA Premium USD]],24,FALSE)</f>
        <v>#N/A</v>
      </c>
      <c r="X2481" s="34" t="e">
        <f>VLOOKUP(Allocation[[#This Row],[SAP Contract number]],Shipments[[SAP Contract number]:[RA Premium USD]],25,FALSE)</f>
        <v>#N/A</v>
      </c>
      <c r="Y2481" s="38">
        <f>Allocation[[#This Row],[Quantity Processed]]/Allocation[[#This Row],[Quantity allocated]]</f>
        <v>3.5484374999999999</v>
      </c>
      <c r="Z2481" s="34" t="b">
        <f>Allocation[[#This Row],[Quantity allocated]]&lt;=Allocation[[#This Row],[Quantity Processed]]</f>
        <v>1</v>
      </c>
    </row>
    <row r="2482" spans="1:26">
      <c r="A2482" s="247" t="s">
        <v>467</v>
      </c>
      <c r="B2482" s="210" t="s">
        <v>68</v>
      </c>
      <c r="C2482" s="254" t="s">
        <v>1021</v>
      </c>
      <c r="D2482" s="255">
        <v>4452</v>
      </c>
      <c r="E2482" s="211" t="s">
        <v>2087</v>
      </c>
      <c r="F2482" s="212">
        <v>43673</v>
      </c>
      <c r="G2482" s="213">
        <v>2.02</v>
      </c>
      <c r="H2482" s="256">
        <v>1250</v>
      </c>
      <c r="I2482" s="214">
        <v>1482486</v>
      </c>
      <c r="J2482" s="215">
        <v>20400</v>
      </c>
      <c r="K2482" s="212">
        <v>43690</v>
      </c>
      <c r="L2482" s="211" t="s">
        <v>2090</v>
      </c>
      <c r="M2482" s="216">
        <v>4615507497</v>
      </c>
      <c r="N2482" s="212"/>
      <c r="O2482" s="218"/>
      <c r="P2482" s="219"/>
      <c r="Q2482" s="34">
        <f>SUMIF(Allocation[Delivery ID],Allocation[[#This Row],[Delivery ID]],Allocation[Quantity Processed])</f>
        <v>13420</v>
      </c>
      <c r="R2482" s="61">
        <f>Allocation[[#This Row],[Total volume used]]/VLOOKUP(Allocation[[#This Row],[Delivery ID]],Delivery[[Delivery ID]:[Quantity delivered]],3,FALSE)</f>
        <v>1</v>
      </c>
      <c r="S2482" s="34">
        <f>Allocation[[#This Row],[Quantity Processed]]/Allocation[[#This Row],[Dilution rate]]</f>
        <v>2203.9603960396039</v>
      </c>
      <c r="T2482" s="59">
        <f>SUMIF(Allocation[Delivery ID],Allocation[[#This Row],[Delivery ID]],Allocation[Quantity allocated])/SUMIF(Allocation[Delivery ID],Allocation[[#This Row],[Delivery ID]],Allocation[Volume available (kg)])</f>
        <v>0.60941750092863034</v>
      </c>
      <c r="U2482" s="61">
        <f>Allocation[[#This Row],[Total volume used]]/VLOOKUP(Allocation[[#This Row],[Delivery ID]],Delivery[[Delivery ID]:[Quantity delivered]],3,FALSE)</f>
        <v>1</v>
      </c>
      <c r="V2482" s="34" t="e">
        <f>VLOOKUP(Allocation[[#This Row],[SAP Contract number]],Shipments[[SAP Contract number]:[Contracted container weight]],2,FALSE)</f>
        <v>#N/A</v>
      </c>
      <c r="W2482" s="34" t="e">
        <f>VLOOKUP(Allocation[[#This Row],[SAP Contract number]],Shipments[[SAP Contract number]:[AAA Premium USD]],24,FALSE)</f>
        <v>#N/A</v>
      </c>
      <c r="X2482" s="34" t="e">
        <f>VLOOKUP(Allocation[[#This Row],[SAP Contract number]],Shipments[[SAP Contract number]:[RA Premium USD]],25,FALSE)</f>
        <v>#N/A</v>
      </c>
      <c r="Y2482" s="38">
        <f>Allocation[[#This Row],[Quantity Processed]]/Allocation[[#This Row],[Quantity allocated]]</f>
        <v>3.5615999999999999</v>
      </c>
      <c r="Z2482" s="34" t="b">
        <f>Allocation[[#This Row],[Quantity allocated]]&lt;=Allocation[[#This Row],[Quantity Processed]]</f>
        <v>1</v>
      </c>
    </row>
    <row r="2483" spans="1:26">
      <c r="A2483" s="247" t="s">
        <v>467</v>
      </c>
      <c r="B2483" s="210" t="s">
        <v>68</v>
      </c>
      <c r="C2483" s="254" t="s">
        <v>1652</v>
      </c>
      <c r="D2483" s="255">
        <v>1878</v>
      </c>
      <c r="E2483" s="211" t="s">
        <v>2087</v>
      </c>
      <c r="F2483" s="212">
        <v>43673</v>
      </c>
      <c r="G2483" s="213">
        <v>2.02</v>
      </c>
      <c r="H2483" s="256">
        <v>845</v>
      </c>
      <c r="I2483" s="214">
        <v>1482486</v>
      </c>
      <c r="J2483" s="215">
        <v>20400</v>
      </c>
      <c r="K2483" s="212">
        <v>43690</v>
      </c>
      <c r="L2483" s="211" t="s">
        <v>2090</v>
      </c>
      <c r="M2483" s="216">
        <v>4615507497</v>
      </c>
      <c r="N2483" s="212"/>
      <c r="O2483" s="218"/>
      <c r="P2483" s="219"/>
      <c r="Q2483" s="34">
        <f>SUMIF(Allocation[Delivery ID],Allocation[[#This Row],[Delivery ID]],Allocation[Quantity Processed])</f>
        <v>19074</v>
      </c>
      <c r="R2483" s="61">
        <f>Allocation[[#This Row],[Total volume used]]/VLOOKUP(Allocation[[#This Row],[Delivery ID]],Delivery[[Delivery ID]:[Quantity delivered]],3,FALSE)</f>
        <v>0.61173829377806288</v>
      </c>
      <c r="S2483" s="34">
        <f>Allocation[[#This Row],[Quantity Processed]]/Allocation[[#This Row],[Dilution rate]]</f>
        <v>929.70297029702965</v>
      </c>
      <c r="T2483" s="59">
        <f>SUMIF(Allocation[Delivery ID],Allocation[[#This Row],[Delivery ID]],Allocation[Quantity allocated])/SUMIF(Allocation[Delivery ID],Allocation[[#This Row],[Delivery ID]],Allocation[Volume available (kg)])</f>
        <v>1.1408389842987046</v>
      </c>
      <c r="U2483" s="61">
        <f>Allocation[[#This Row],[Total volume used]]/VLOOKUP(Allocation[[#This Row],[Delivery ID]],Delivery[[Delivery ID]:[Quantity delivered]],3,FALSE)</f>
        <v>0.61173829377806288</v>
      </c>
      <c r="V2483" s="34" t="e">
        <f>VLOOKUP(Allocation[[#This Row],[SAP Contract number]],Shipments[[SAP Contract number]:[Contracted container weight]],2,FALSE)</f>
        <v>#N/A</v>
      </c>
      <c r="W2483" s="34" t="e">
        <f>VLOOKUP(Allocation[[#This Row],[SAP Contract number]],Shipments[[SAP Contract number]:[AAA Premium USD]],24,FALSE)</f>
        <v>#N/A</v>
      </c>
      <c r="X2483" s="34" t="e">
        <f>VLOOKUP(Allocation[[#This Row],[SAP Contract number]],Shipments[[SAP Contract number]:[RA Premium USD]],25,FALSE)</f>
        <v>#N/A</v>
      </c>
      <c r="Y2483" s="38">
        <f>Allocation[[#This Row],[Quantity Processed]]/Allocation[[#This Row],[Quantity allocated]]</f>
        <v>2.2224852071005916</v>
      </c>
      <c r="Z2483" s="34" t="b">
        <f>Allocation[[#This Row],[Quantity allocated]]&lt;=Allocation[[#This Row],[Quantity Processed]]</f>
        <v>1</v>
      </c>
    </row>
    <row r="2484" spans="1:26">
      <c r="A2484" s="247" t="s">
        <v>467</v>
      </c>
      <c r="B2484" s="210" t="s">
        <v>68</v>
      </c>
      <c r="C2484" s="254" t="s">
        <v>1654</v>
      </c>
      <c r="D2484" s="255">
        <v>2255</v>
      </c>
      <c r="E2484" s="211" t="s">
        <v>2087</v>
      </c>
      <c r="F2484" s="212">
        <v>43673</v>
      </c>
      <c r="G2484" s="213">
        <v>2.02</v>
      </c>
      <c r="H2484" s="256">
        <v>857</v>
      </c>
      <c r="I2484" s="214">
        <v>1482486</v>
      </c>
      <c r="J2484" s="215">
        <v>20400</v>
      </c>
      <c r="K2484" s="212">
        <v>43690</v>
      </c>
      <c r="L2484" s="211" t="s">
        <v>2090</v>
      </c>
      <c r="M2484" s="216">
        <v>4615507497</v>
      </c>
      <c r="N2484" s="212"/>
      <c r="O2484" s="218"/>
      <c r="P2484" s="219"/>
      <c r="Q2484" s="34">
        <f>SUMIF(Allocation[Delivery ID],Allocation[[#This Row],[Delivery ID]],Allocation[Quantity Processed])</f>
        <v>29452</v>
      </c>
      <c r="R2484" s="61">
        <f>Allocation[[#This Row],[Total volume used]]/VLOOKUP(Allocation[[#This Row],[Delivery ID]],Delivery[[Delivery ID]:[Quantity delivered]],3,FALSE)</f>
        <v>0.9311413215301928</v>
      </c>
      <c r="S2484" s="34">
        <f>Allocation[[#This Row],[Quantity Processed]]/Allocation[[#This Row],[Dilution rate]]</f>
        <v>1116.3366336633662</v>
      </c>
      <c r="T2484" s="59">
        <f>SUMIF(Allocation[Delivery ID],Allocation[[#This Row],[Delivery ID]],Allocation[Quantity allocated])/SUMIF(Allocation[Delivery ID],Allocation[[#This Row],[Delivery ID]],Allocation[Volume available (kg)])</f>
        <v>0.96872974165984982</v>
      </c>
      <c r="U2484" s="61">
        <f>Allocation[[#This Row],[Total volume used]]/VLOOKUP(Allocation[[#This Row],[Delivery ID]],Delivery[[Delivery ID]:[Quantity delivered]],3,FALSE)</f>
        <v>0.9311413215301928</v>
      </c>
      <c r="V2484" s="34" t="e">
        <f>VLOOKUP(Allocation[[#This Row],[SAP Contract number]],Shipments[[SAP Contract number]:[Contracted container weight]],2,FALSE)</f>
        <v>#N/A</v>
      </c>
      <c r="W2484" s="34" t="e">
        <f>VLOOKUP(Allocation[[#This Row],[SAP Contract number]],Shipments[[SAP Contract number]:[AAA Premium USD]],24,FALSE)</f>
        <v>#N/A</v>
      </c>
      <c r="X2484" s="34" t="e">
        <f>VLOOKUP(Allocation[[#This Row],[SAP Contract number]],Shipments[[SAP Contract number]:[RA Premium USD]],25,FALSE)</f>
        <v>#N/A</v>
      </c>
      <c r="Y2484" s="38">
        <f>Allocation[[#This Row],[Quantity Processed]]/Allocation[[#This Row],[Quantity allocated]]</f>
        <v>2.6312718786464409</v>
      </c>
      <c r="Z2484" s="34" t="b">
        <f>Allocation[[#This Row],[Quantity allocated]]&lt;=Allocation[[#This Row],[Quantity Processed]]</f>
        <v>1</v>
      </c>
    </row>
    <row r="2485" spans="1:26">
      <c r="A2485" s="247" t="s">
        <v>467</v>
      </c>
      <c r="B2485" s="210" t="s">
        <v>68</v>
      </c>
      <c r="C2485" s="254" t="s">
        <v>1657</v>
      </c>
      <c r="D2485" s="255">
        <v>1080</v>
      </c>
      <c r="E2485" s="211" t="s">
        <v>2087</v>
      </c>
      <c r="F2485" s="212">
        <v>43673</v>
      </c>
      <c r="G2485" s="213">
        <v>2.02</v>
      </c>
      <c r="H2485" s="256">
        <v>324</v>
      </c>
      <c r="I2485" s="214">
        <v>1482486</v>
      </c>
      <c r="J2485" s="215">
        <v>20400</v>
      </c>
      <c r="K2485" s="212">
        <v>43690</v>
      </c>
      <c r="L2485" s="211" t="s">
        <v>2090</v>
      </c>
      <c r="M2485" s="216">
        <v>4615507497</v>
      </c>
      <c r="N2485" s="212"/>
      <c r="O2485" s="218"/>
      <c r="P2485" s="219"/>
      <c r="Q2485" s="34">
        <f>SUMIF(Allocation[Delivery ID],Allocation[[#This Row],[Delivery ID]],Allocation[Quantity Processed])</f>
        <v>1900</v>
      </c>
      <c r="R2485" s="61">
        <f>Allocation[[#This Row],[Total volume used]]/VLOOKUP(Allocation[[#This Row],[Delivery ID]],Delivery[[Delivery ID]:[Quantity delivered]],3,FALSE)</f>
        <v>0.15873015873015872</v>
      </c>
      <c r="S2485" s="34">
        <f>Allocation[[#This Row],[Quantity Processed]]/Allocation[[#This Row],[Dilution rate]]</f>
        <v>534.65346534653463</v>
      </c>
      <c r="T2485" s="59">
        <f>SUMIF(Allocation[Delivery ID],Allocation[[#This Row],[Delivery ID]],Allocation[Quantity allocated])/SUMIF(Allocation[Delivery ID],Allocation[[#This Row],[Delivery ID]],Allocation[Volume available (kg)])</f>
        <v>0.70582737111780935</v>
      </c>
      <c r="U2485" s="61">
        <f>Allocation[[#This Row],[Total volume used]]/VLOOKUP(Allocation[[#This Row],[Delivery ID]],Delivery[[Delivery ID]:[Quantity delivered]],3,FALSE)</f>
        <v>0.15873015873015872</v>
      </c>
      <c r="V2485" s="34" t="e">
        <f>VLOOKUP(Allocation[[#This Row],[SAP Contract number]],Shipments[[SAP Contract number]:[Contracted container weight]],2,FALSE)</f>
        <v>#N/A</v>
      </c>
      <c r="W2485" s="34" t="e">
        <f>VLOOKUP(Allocation[[#This Row],[SAP Contract number]],Shipments[[SAP Contract number]:[AAA Premium USD]],24,FALSE)</f>
        <v>#N/A</v>
      </c>
      <c r="X2485" s="34" t="e">
        <f>VLOOKUP(Allocation[[#This Row],[SAP Contract number]],Shipments[[SAP Contract number]:[RA Premium USD]],25,FALSE)</f>
        <v>#N/A</v>
      </c>
      <c r="Y2485" s="38">
        <f>Allocation[[#This Row],[Quantity Processed]]/Allocation[[#This Row],[Quantity allocated]]</f>
        <v>3.3333333333333335</v>
      </c>
      <c r="Z2485" s="34" t="b">
        <f>Allocation[[#This Row],[Quantity allocated]]&lt;=Allocation[[#This Row],[Quantity Processed]]</f>
        <v>1</v>
      </c>
    </row>
    <row r="2486" spans="1:26">
      <c r="A2486" s="247" t="s">
        <v>467</v>
      </c>
      <c r="B2486" s="210" t="s">
        <v>68</v>
      </c>
      <c r="C2486" s="254" t="s">
        <v>1658</v>
      </c>
      <c r="D2486" s="255">
        <v>2707</v>
      </c>
      <c r="E2486" s="211" t="s">
        <v>2087</v>
      </c>
      <c r="F2486" s="212">
        <v>43673</v>
      </c>
      <c r="G2486" s="213">
        <v>2.02</v>
      </c>
      <c r="H2486" s="256">
        <v>812</v>
      </c>
      <c r="I2486" s="214">
        <v>1482486</v>
      </c>
      <c r="J2486" s="215">
        <v>20400</v>
      </c>
      <c r="K2486" s="212">
        <v>43690</v>
      </c>
      <c r="L2486" s="211" t="s">
        <v>2090</v>
      </c>
      <c r="M2486" s="216">
        <v>4615507497</v>
      </c>
      <c r="N2486" s="212"/>
      <c r="O2486" s="218"/>
      <c r="P2486" s="219"/>
      <c r="Q2486" s="34">
        <f>SUMIF(Allocation[Delivery ID],Allocation[[#This Row],[Delivery ID]],Allocation[Quantity Processed])</f>
        <v>24228</v>
      </c>
      <c r="R2486" s="61">
        <f>Allocation[[#This Row],[Total volume used]]/VLOOKUP(Allocation[[#This Row],[Delivery ID]],Delivery[[Delivery ID]:[Quantity delivered]],3,FALSE)</f>
        <v>0.80813875917278188</v>
      </c>
      <c r="S2486" s="34">
        <f>Allocation[[#This Row],[Quantity Processed]]/Allocation[[#This Row],[Dilution rate]]</f>
        <v>1340.09900990099</v>
      </c>
      <c r="T2486" s="59">
        <f>SUMIF(Allocation[Delivery ID],Allocation[[#This Row],[Delivery ID]],Allocation[Quantity allocated])/SUMIF(Allocation[Delivery ID],Allocation[[#This Row],[Delivery ID]],Allocation[Volume available (kg)])</f>
        <v>0.82514851771312481</v>
      </c>
      <c r="U2486" s="61">
        <f>Allocation[[#This Row],[Total volume used]]/VLOOKUP(Allocation[[#This Row],[Delivery ID]],Delivery[[Delivery ID]:[Quantity delivered]],3,FALSE)</f>
        <v>0.80813875917278188</v>
      </c>
      <c r="V2486" s="34" t="e">
        <f>VLOOKUP(Allocation[[#This Row],[SAP Contract number]],Shipments[[SAP Contract number]:[Contracted container weight]],2,FALSE)</f>
        <v>#N/A</v>
      </c>
      <c r="W2486" s="34" t="e">
        <f>VLOOKUP(Allocation[[#This Row],[SAP Contract number]],Shipments[[SAP Contract number]:[AAA Premium USD]],24,FALSE)</f>
        <v>#N/A</v>
      </c>
      <c r="X2486" s="34" t="e">
        <f>VLOOKUP(Allocation[[#This Row],[SAP Contract number]],Shipments[[SAP Contract number]:[RA Premium USD]],25,FALSE)</f>
        <v>#N/A</v>
      </c>
      <c r="Y2486" s="38">
        <f>Allocation[[#This Row],[Quantity Processed]]/Allocation[[#This Row],[Quantity allocated]]</f>
        <v>3.333743842364532</v>
      </c>
      <c r="Z2486" s="34" t="b">
        <f>Allocation[[#This Row],[Quantity allocated]]&lt;=Allocation[[#This Row],[Quantity Processed]]</f>
        <v>1</v>
      </c>
    </row>
    <row r="2487" spans="1:26">
      <c r="A2487" s="247" t="s">
        <v>467</v>
      </c>
      <c r="B2487" s="210" t="s">
        <v>68</v>
      </c>
      <c r="C2487" s="254" t="s">
        <v>1659</v>
      </c>
      <c r="D2487" s="255">
        <v>429</v>
      </c>
      <c r="E2487" s="211" t="s">
        <v>2087</v>
      </c>
      <c r="F2487" s="212">
        <v>43673</v>
      </c>
      <c r="G2487" s="213">
        <v>2.02</v>
      </c>
      <c r="H2487" s="256">
        <v>163</v>
      </c>
      <c r="I2487" s="214">
        <v>1482486</v>
      </c>
      <c r="J2487" s="215">
        <v>20400</v>
      </c>
      <c r="K2487" s="212">
        <v>43690</v>
      </c>
      <c r="L2487" s="211" t="s">
        <v>2090</v>
      </c>
      <c r="M2487" s="216">
        <v>4615507497</v>
      </c>
      <c r="N2487" s="212"/>
      <c r="O2487" s="218"/>
      <c r="P2487" s="219"/>
      <c r="Q2487" s="34">
        <f>SUMIF(Allocation[Delivery ID],Allocation[[#This Row],[Delivery ID]],Allocation[Quantity Processed])</f>
        <v>729</v>
      </c>
      <c r="R2487" s="61">
        <f>Allocation[[#This Row],[Total volume used]]/VLOOKUP(Allocation[[#This Row],[Delivery ID]],Delivery[[Delivery ID]:[Quantity delivered]],3,FALSE)</f>
        <v>0.1208955223880597</v>
      </c>
      <c r="S2487" s="34">
        <f>Allocation[[#This Row],[Quantity Processed]]/Allocation[[#This Row],[Dilution rate]]</f>
        <v>212.37623762376236</v>
      </c>
      <c r="T2487" s="59">
        <f>SUMIF(Allocation[Delivery ID],Allocation[[#This Row],[Delivery ID]],Allocation[Quantity allocated])/SUMIF(Allocation[Delivery ID],Allocation[[#This Row],[Delivery ID]],Allocation[Volume available (kg)])</f>
        <v>0.85272132261820344</v>
      </c>
      <c r="U2487" s="61">
        <f>Allocation[[#This Row],[Total volume used]]/VLOOKUP(Allocation[[#This Row],[Delivery ID]],Delivery[[Delivery ID]:[Quantity delivered]],3,FALSE)</f>
        <v>0.1208955223880597</v>
      </c>
      <c r="V2487" s="34" t="e">
        <f>VLOOKUP(Allocation[[#This Row],[SAP Contract number]],Shipments[[SAP Contract number]:[Contracted container weight]],2,FALSE)</f>
        <v>#N/A</v>
      </c>
      <c r="W2487" s="34" t="e">
        <f>VLOOKUP(Allocation[[#This Row],[SAP Contract number]],Shipments[[SAP Contract number]:[AAA Premium USD]],24,FALSE)</f>
        <v>#N/A</v>
      </c>
      <c r="X2487" s="34" t="e">
        <f>VLOOKUP(Allocation[[#This Row],[SAP Contract number]],Shipments[[SAP Contract number]:[RA Premium USD]],25,FALSE)</f>
        <v>#N/A</v>
      </c>
      <c r="Y2487" s="38">
        <f>Allocation[[#This Row],[Quantity Processed]]/Allocation[[#This Row],[Quantity allocated]]</f>
        <v>2.6319018404907975</v>
      </c>
      <c r="Z2487" s="34" t="b">
        <f>Allocation[[#This Row],[Quantity allocated]]&lt;=Allocation[[#This Row],[Quantity Processed]]</f>
        <v>1</v>
      </c>
    </row>
    <row r="2488" spans="1:26">
      <c r="A2488" s="247" t="s">
        <v>467</v>
      </c>
      <c r="B2488" s="210" t="s">
        <v>68</v>
      </c>
      <c r="C2488" s="254" t="s">
        <v>1085</v>
      </c>
      <c r="D2488" s="255">
        <v>3521</v>
      </c>
      <c r="E2488" s="211" t="s">
        <v>2087</v>
      </c>
      <c r="F2488" s="212">
        <v>43673</v>
      </c>
      <c r="G2488" s="213">
        <v>2.02</v>
      </c>
      <c r="H2488" s="256">
        <v>1690</v>
      </c>
      <c r="I2488" s="214">
        <v>1482486</v>
      </c>
      <c r="J2488" s="215">
        <v>20400</v>
      </c>
      <c r="K2488" s="212">
        <v>43690</v>
      </c>
      <c r="L2488" s="211" t="s">
        <v>2090</v>
      </c>
      <c r="M2488" s="216">
        <v>4615507497</v>
      </c>
      <c r="N2488" s="212"/>
      <c r="O2488" s="218"/>
      <c r="P2488" s="219"/>
      <c r="Q2488" s="34">
        <f>SUMIF(Allocation[Delivery ID],Allocation[[#This Row],[Delivery ID]],Allocation[Quantity Processed])</f>
        <v>26624</v>
      </c>
      <c r="R2488" s="61">
        <f>Allocation[[#This Row],[Total volume used]]/VLOOKUP(Allocation[[#This Row],[Delivery ID]],Delivery[[Delivery ID]:[Quantity delivered]],3,FALSE)</f>
        <v>0.85224071702944937</v>
      </c>
      <c r="S2488" s="34">
        <f>Allocation[[#This Row],[Quantity Processed]]/Allocation[[#This Row],[Dilution rate]]</f>
        <v>1743.0693069306931</v>
      </c>
      <c r="T2488" s="59">
        <f>SUMIF(Allocation[Delivery ID],Allocation[[#This Row],[Delivery ID]],Allocation[Quantity allocated])/SUMIF(Allocation[Delivery ID],Allocation[[#This Row],[Delivery ID]],Allocation[Volume available (kg)])</f>
        <v>0.97718912475220943</v>
      </c>
      <c r="U2488" s="61">
        <f>Allocation[[#This Row],[Total volume used]]/VLOOKUP(Allocation[[#This Row],[Delivery ID]],Delivery[[Delivery ID]:[Quantity delivered]],3,FALSE)</f>
        <v>0.85224071702944937</v>
      </c>
      <c r="V2488" s="34" t="e">
        <f>VLOOKUP(Allocation[[#This Row],[SAP Contract number]],Shipments[[SAP Contract number]:[Contracted container weight]],2,FALSE)</f>
        <v>#N/A</v>
      </c>
      <c r="W2488" s="34" t="e">
        <f>VLOOKUP(Allocation[[#This Row],[SAP Contract number]],Shipments[[SAP Contract number]:[AAA Premium USD]],24,FALSE)</f>
        <v>#N/A</v>
      </c>
      <c r="X2488" s="34" t="e">
        <f>VLOOKUP(Allocation[[#This Row],[SAP Contract number]],Shipments[[SAP Contract number]:[RA Premium USD]],25,FALSE)</f>
        <v>#N/A</v>
      </c>
      <c r="Y2488" s="38">
        <f>Allocation[[#This Row],[Quantity Processed]]/Allocation[[#This Row],[Quantity allocated]]</f>
        <v>2.0834319526627221</v>
      </c>
      <c r="Z2488" s="34" t="b">
        <f>Allocation[[#This Row],[Quantity allocated]]&lt;=Allocation[[#This Row],[Quantity Processed]]</f>
        <v>1</v>
      </c>
    </row>
    <row r="2489" spans="1:26">
      <c r="A2489" s="247" t="s">
        <v>467</v>
      </c>
      <c r="B2489" s="210" t="s">
        <v>68</v>
      </c>
      <c r="C2489" s="254" t="s">
        <v>1085</v>
      </c>
      <c r="D2489" s="255">
        <v>6939</v>
      </c>
      <c r="E2489" s="211" t="s">
        <v>2087</v>
      </c>
      <c r="F2489" s="212">
        <v>43673</v>
      </c>
      <c r="G2489" s="213">
        <v>2.02</v>
      </c>
      <c r="H2489" s="256">
        <v>3331</v>
      </c>
      <c r="I2489" s="214">
        <v>1482487</v>
      </c>
      <c r="J2489" s="215">
        <v>20400</v>
      </c>
      <c r="K2489" s="212">
        <v>43690</v>
      </c>
      <c r="L2489" s="211" t="s">
        <v>2091</v>
      </c>
      <c r="M2489" s="216">
        <v>4615507497</v>
      </c>
      <c r="N2489" s="212"/>
      <c r="O2489" s="218"/>
      <c r="P2489" s="219"/>
      <c r="Q2489" s="34">
        <f>SUMIF(Allocation[Delivery ID],Allocation[[#This Row],[Delivery ID]],Allocation[Quantity Processed])</f>
        <v>26624</v>
      </c>
      <c r="R2489" s="61">
        <f>Allocation[[#This Row],[Total volume used]]/VLOOKUP(Allocation[[#This Row],[Delivery ID]],Delivery[[Delivery ID]:[Quantity delivered]],3,FALSE)</f>
        <v>0.85224071702944937</v>
      </c>
      <c r="S2489" s="34">
        <f>Allocation[[#This Row],[Quantity Processed]]/Allocation[[#This Row],[Dilution rate]]</f>
        <v>3435.1485148514853</v>
      </c>
      <c r="T2489" s="59">
        <f>SUMIF(Allocation[Delivery ID],Allocation[[#This Row],[Delivery ID]],Allocation[Quantity allocated])/SUMIF(Allocation[Delivery ID],Allocation[[#This Row],[Delivery ID]],Allocation[Volume available (kg)])</f>
        <v>0.97718912475220943</v>
      </c>
      <c r="U2489" s="61">
        <f>Allocation[[#This Row],[Total volume used]]/VLOOKUP(Allocation[[#This Row],[Delivery ID]],Delivery[[Delivery ID]:[Quantity delivered]],3,FALSE)</f>
        <v>0.85224071702944937</v>
      </c>
      <c r="V2489" s="34" t="e">
        <f>VLOOKUP(Allocation[[#This Row],[SAP Contract number]],Shipments[[SAP Contract number]:[Contracted container weight]],2,FALSE)</f>
        <v>#N/A</v>
      </c>
      <c r="W2489" s="34" t="e">
        <f>VLOOKUP(Allocation[[#This Row],[SAP Contract number]],Shipments[[SAP Contract number]:[AAA Premium USD]],24,FALSE)</f>
        <v>#N/A</v>
      </c>
      <c r="X2489" s="34" t="e">
        <f>VLOOKUP(Allocation[[#This Row],[SAP Contract number]],Shipments[[SAP Contract number]:[RA Premium USD]],25,FALSE)</f>
        <v>#N/A</v>
      </c>
      <c r="Y2489" s="38">
        <f>Allocation[[#This Row],[Quantity Processed]]/Allocation[[#This Row],[Quantity allocated]]</f>
        <v>2.0831582107475231</v>
      </c>
      <c r="Z2489" s="34" t="b">
        <f>Allocation[[#This Row],[Quantity allocated]]&lt;=Allocation[[#This Row],[Quantity Processed]]</f>
        <v>1</v>
      </c>
    </row>
    <row r="2490" spans="1:26">
      <c r="A2490" s="247" t="s">
        <v>467</v>
      </c>
      <c r="B2490" s="210" t="s">
        <v>68</v>
      </c>
      <c r="C2490" s="254" t="s">
        <v>1088</v>
      </c>
      <c r="D2490" s="255">
        <v>12681</v>
      </c>
      <c r="E2490" s="211" t="s">
        <v>2087</v>
      </c>
      <c r="F2490" s="212">
        <v>43673</v>
      </c>
      <c r="G2490" s="213">
        <v>2.02</v>
      </c>
      <c r="H2490" s="256">
        <v>6087</v>
      </c>
      <c r="I2490" s="214">
        <v>1482487</v>
      </c>
      <c r="J2490" s="215">
        <v>20400</v>
      </c>
      <c r="K2490" s="212">
        <v>43690</v>
      </c>
      <c r="L2490" s="211" t="s">
        <v>2091</v>
      </c>
      <c r="M2490" s="216">
        <v>4615507497</v>
      </c>
      <c r="N2490" s="212"/>
      <c r="O2490" s="218"/>
      <c r="P2490" s="219"/>
      <c r="Q2490" s="34">
        <f>SUMIF(Allocation[Delivery ID],Allocation[[#This Row],[Delivery ID]],Allocation[Quantity Processed])</f>
        <v>32243</v>
      </c>
      <c r="R2490" s="61">
        <f>Allocation[[#This Row],[Total volume used]]/VLOOKUP(Allocation[[#This Row],[Delivery ID]],Delivery[[Delivery ID]:[Quantity delivered]],3,FALSE)</f>
        <v>0.85141272775283861</v>
      </c>
      <c r="S2490" s="34">
        <f>Allocation[[#This Row],[Quantity Processed]]/Allocation[[#This Row],[Dilution rate]]</f>
        <v>6277.7227722772277</v>
      </c>
      <c r="T2490" s="59">
        <f>SUMIF(Allocation[Delivery ID],Allocation[[#This Row],[Delivery ID]],Allocation[Quantity allocated])/SUMIF(Allocation[Delivery ID],Allocation[[#This Row],[Delivery ID]],Allocation[Volume available (kg)])</f>
        <v>0.97723555782784222</v>
      </c>
      <c r="U2490" s="61">
        <f>Allocation[[#This Row],[Total volume used]]/VLOOKUP(Allocation[[#This Row],[Delivery ID]],Delivery[[Delivery ID]:[Quantity delivered]],3,FALSE)</f>
        <v>0.85141272775283861</v>
      </c>
      <c r="V2490" s="34" t="e">
        <f>VLOOKUP(Allocation[[#This Row],[SAP Contract number]],Shipments[[SAP Contract number]:[Contracted container weight]],2,FALSE)</f>
        <v>#N/A</v>
      </c>
      <c r="W2490" s="34" t="e">
        <f>VLOOKUP(Allocation[[#This Row],[SAP Contract number]],Shipments[[SAP Contract number]:[AAA Premium USD]],24,FALSE)</f>
        <v>#N/A</v>
      </c>
      <c r="X2490" s="34" t="e">
        <f>VLOOKUP(Allocation[[#This Row],[SAP Contract number]],Shipments[[SAP Contract number]:[RA Premium USD]],25,FALSE)</f>
        <v>#N/A</v>
      </c>
      <c r="Y2490" s="38">
        <f>Allocation[[#This Row],[Quantity Processed]]/Allocation[[#This Row],[Quantity allocated]]</f>
        <v>2.0832922621981274</v>
      </c>
      <c r="Z2490" s="34" t="b">
        <f>Allocation[[#This Row],[Quantity allocated]]&lt;=Allocation[[#This Row],[Quantity Processed]]</f>
        <v>1</v>
      </c>
    </row>
    <row r="2491" spans="1:26">
      <c r="A2491" s="247" t="s">
        <v>467</v>
      </c>
      <c r="B2491" s="210" t="s">
        <v>68</v>
      </c>
      <c r="C2491" s="254" t="s">
        <v>1098</v>
      </c>
      <c r="D2491" s="255">
        <v>10037</v>
      </c>
      <c r="E2491" s="211" t="s">
        <v>2087</v>
      </c>
      <c r="F2491" s="212">
        <v>43673</v>
      </c>
      <c r="G2491" s="213">
        <v>2.02</v>
      </c>
      <c r="H2491" s="256">
        <v>4918</v>
      </c>
      <c r="I2491" s="214">
        <v>1482487</v>
      </c>
      <c r="J2491" s="215">
        <v>20400</v>
      </c>
      <c r="K2491" s="212">
        <v>43690</v>
      </c>
      <c r="L2491" s="211" t="s">
        <v>2091</v>
      </c>
      <c r="M2491" s="216">
        <v>4615507497</v>
      </c>
      <c r="N2491" s="212"/>
      <c r="O2491" s="218"/>
      <c r="P2491" s="219"/>
      <c r="Q2491" s="34">
        <f>SUMIF(Allocation[Delivery ID],Allocation[[#This Row],[Delivery ID]],Allocation[Quantity Processed])</f>
        <v>25564</v>
      </c>
      <c r="R2491" s="61">
        <f>Allocation[[#This Row],[Total volume used]]/VLOOKUP(Allocation[[#This Row],[Delivery ID]],Delivery[[Delivery ID]:[Quantity delivered]],3,FALSE)</f>
        <v>0.83556136623631316</v>
      </c>
      <c r="S2491" s="34">
        <f>Allocation[[#This Row],[Quantity Processed]]/Allocation[[#This Row],[Dilution rate]]</f>
        <v>4968.8118811881186</v>
      </c>
      <c r="T2491" s="59">
        <f>SUMIF(Allocation[Delivery ID],Allocation[[#This Row],[Delivery ID]],Allocation[Quantity allocated])/SUMIF(Allocation[Delivery ID],Allocation[[#This Row],[Delivery ID]],Allocation[Volume available (kg)])</f>
        <v>0.99759340323742973</v>
      </c>
      <c r="U2491" s="61">
        <f>Allocation[[#This Row],[Total volume used]]/VLOOKUP(Allocation[[#This Row],[Delivery ID]],Delivery[[Delivery ID]:[Quantity delivered]],3,FALSE)</f>
        <v>0.83556136623631316</v>
      </c>
      <c r="V2491" s="34" t="e">
        <f>VLOOKUP(Allocation[[#This Row],[SAP Contract number]],Shipments[[SAP Contract number]:[Contracted container weight]],2,FALSE)</f>
        <v>#N/A</v>
      </c>
      <c r="W2491" s="34" t="e">
        <f>VLOOKUP(Allocation[[#This Row],[SAP Contract number]],Shipments[[SAP Contract number]:[AAA Premium USD]],24,FALSE)</f>
        <v>#N/A</v>
      </c>
      <c r="X2491" s="34" t="e">
        <f>VLOOKUP(Allocation[[#This Row],[SAP Contract number]],Shipments[[SAP Contract number]:[RA Premium USD]],25,FALSE)</f>
        <v>#N/A</v>
      </c>
      <c r="Y2491" s="38">
        <f>Allocation[[#This Row],[Quantity Processed]]/Allocation[[#This Row],[Quantity allocated]]</f>
        <v>2.0408702724684833</v>
      </c>
      <c r="Z2491" s="34" t="b">
        <f>Allocation[[#This Row],[Quantity allocated]]&lt;=Allocation[[#This Row],[Quantity Processed]]</f>
        <v>1</v>
      </c>
    </row>
    <row r="2492" spans="1:26">
      <c r="A2492" s="247" t="s">
        <v>467</v>
      </c>
      <c r="B2492" s="210" t="s">
        <v>68</v>
      </c>
      <c r="C2492" s="254" t="s">
        <v>1101</v>
      </c>
      <c r="D2492" s="255">
        <v>4545</v>
      </c>
      <c r="E2492" s="211" t="s">
        <v>2087</v>
      </c>
      <c r="F2492" s="212">
        <v>43673</v>
      </c>
      <c r="G2492" s="213">
        <v>2.02</v>
      </c>
      <c r="H2492" s="256">
        <v>2227</v>
      </c>
      <c r="I2492" s="214">
        <v>1482487</v>
      </c>
      <c r="J2492" s="215">
        <v>20400</v>
      </c>
      <c r="K2492" s="212">
        <v>43690</v>
      </c>
      <c r="L2492" s="211" t="s">
        <v>2091</v>
      </c>
      <c r="M2492" s="216">
        <v>4615507497</v>
      </c>
      <c r="N2492" s="212"/>
      <c r="O2492" s="218"/>
      <c r="P2492" s="219"/>
      <c r="Q2492" s="34">
        <f>SUMIF(Allocation[Delivery ID],Allocation[[#This Row],[Delivery ID]],Allocation[Quantity Processed])</f>
        <v>11579</v>
      </c>
      <c r="R2492" s="61">
        <f>Allocation[[#This Row],[Total volume used]]/VLOOKUP(Allocation[[#This Row],[Delivery ID]],Delivery[[Delivery ID]:[Quantity delivered]],3,FALSE)</f>
        <v>0.83575733516186079</v>
      </c>
      <c r="S2492" s="34">
        <f>Allocation[[#This Row],[Quantity Processed]]/Allocation[[#This Row],[Dilution rate]]</f>
        <v>2250</v>
      </c>
      <c r="T2492" s="59">
        <f>SUMIF(Allocation[Delivery ID],Allocation[[#This Row],[Delivery ID]],Allocation[Quantity allocated])/SUMIF(Allocation[Delivery ID],Allocation[[#This Row],[Delivery ID]],Allocation[Volume available (kg)])</f>
        <v>0.99752687119755723</v>
      </c>
      <c r="U2492" s="61">
        <f>Allocation[[#This Row],[Total volume used]]/VLOOKUP(Allocation[[#This Row],[Delivery ID]],Delivery[[Delivery ID]:[Quantity delivered]],3,FALSE)</f>
        <v>0.83575733516186079</v>
      </c>
      <c r="V2492" s="34" t="e">
        <f>VLOOKUP(Allocation[[#This Row],[SAP Contract number]],Shipments[[SAP Contract number]:[Contracted container weight]],2,FALSE)</f>
        <v>#N/A</v>
      </c>
      <c r="W2492" s="34" t="e">
        <f>VLOOKUP(Allocation[[#This Row],[SAP Contract number]],Shipments[[SAP Contract number]:[AAA Premium USD]],24,FALSE)</f>
        <v>#N/A</v>
      </c>
      <c r="X2492" s="34" t="e">
        <f>VLOOKUP(Allocation[[#This Row],[SAP Contract number]],Shipments[[SAP Contract number]:[RA Premium USD]],25,FALSE)</f>
        <v>#N/A</v>
      </c>
      <c r="Y2492" s="38">
        <f>Allocation[[#This Row],[Quantity Processed]]/Allocation[[#This Row],[Quantity allocated]]</f>
        <v>2.0408621463852716</v>
      </c>
      <c r="Z2492" s="34" t="b">
        <f>Allocation[[#This Row],[Quantity allocated]]&lt;=Allocation[[#This Row],[Quantity Processed]]</f>
        <v>1</v>
      </c>
    </row>
    <row r="2493" spans="1:26">
      <c r="A2493" s="247" t="s">
        <v>467</v>
      </c>
      <c r="B2493" s="210" t="s">
        <v>68</v>
      </c>
      <c r="C2493" s="254" t="s">
        <v>1102</v>
      </c>
      <c r="D2493" s="255">
        <v>7831</v>
      </c>
      <c r="E2493" s="211" t="s">
        <v>2087</v>
      </c>
      <c r="F2493" s="212">
        <v>43673</v>
      </c>
      <c r="G2493" s="213">
        <v>2.02</v>
      </c>
      <c r="H2493" s="256">
        <v>3837</v>
      </c>
      <c r="I2493" s="214">
        <v>1482487</v>
      </c>
      <c r="J2493" s="215">
        <v>20400</v>
      </c>
      <c r="K2493" s="212">
        <v>43690</v>
      </c>
      <c r="L2493" s="211" t="s">
        <v>2091</v>
      </c>
      <c r="M2493" s="216">
        <v>4615507497</v>
      </c>
      <c r="N2493" s="212"/>
      <c r="O2493" s="218"/>
      <c r="P2493" s="219"/>
      <c r="Q2493" s="34">
        <f>SUMIF(Allocation[Delivery ID],Allocation[[#This Row],[Delivery ID]],Allocation[Quantity Processed])</f>
        <v>25580</v>
      </c>
      <c r="R2493" s="61">
        <f>Allocation[[#This Row],[Total volume used]]/VLOOKUP(Allocation[[#This Row],[Delivery ID]],Delivery[[Delivery ID]:[Quantity delivered]],3,FALSE)</f>
        <v>0.83499265545944179</v>
      </c>
      <c r="S2493" s="34">
        <f>Allocation[[#This Row],[Quantity Processed]]/Allocation[[#This Row],[Dilution rate]]</f>
        <v>3876.7326732673268</v>
      </c>
      <c r="T2493" s="59">
        <f>SUMIF(Allocation[Delivery ID],Allocation[[#This Row],[Delivery ID]],Allocation[Quantity allocated])/SUMIF(Allocation[Delivery ID],Allocation[[#This Row],[Delivery ID]],Allocation[Volume available (kg)])</f>
        <v>0.9975858438419607</v>
      </c>
      <c r="U2493" s="61">
        <f>Allocation[[#This Row],[Total volume used]]/VLOOKUP(Allocation[[#This Row],[Delivery ID]],Delivery[[Delivery ID]:[Quantity delivered]],3,FALSE)</f>
        <v>0.83499265545944179</v>
      </c>
      <c r="V2493" s="34" t="e">
        <f>VLOOKUP(Allocation[[#This Row],[SAP Contract number]],Shipments[[SAP Contract number]:[Contracted container weight]],2,FALSE)</f>
        <v>#N/A</v>
      </c>
      <c r="W2493" s="34" t="e">
        <f>VLOOKUP(Allocation[[#This Row],[SAP Contract number]],Shipments[[SAP Contract number]:[AAA Premium USD]],24,FALSE)</f>
        <v>#N/A</v>
      </c>
      <c r="X2493" s="34" t="e">
        <f>VLOOKUP(Allocation[[#This Row],[SAP Contract number]],Shipments[[SAP Contract number]:[RA Premium USD]],25,FALSE)</f>
        <v>#N/A</v>
      </c>
      <c r="Y2493" s="38">
        <f>Allocation[[#This Row],[Quantity Processed]]/Allocation[[#This Row],[Quantity allocated]]</f>
        <v>2.0409173833724266</v>
      </c>
      <c r="Z2493" s="34" t="b">
        <f>Allocation[[#This Row],[Quantity allocated]]&lt;=Allocation[[#This Row],[Quantity Processed]]</f>
        <v>1</v>
      </c>
    </row>
    <row r="2494" spans="1:26">
      <c r="A2494" s="247" t="s">
        <v>467</v>
      </c>
      <c r="B2494" s="210" t="s">
        <v>68</v>
      </c>
      <c r="C2494" s="254" t="s">
        <v>1102</v>
      </c>
      <c r="D2494" s="255">
        <v>2218</v>
      </c>
      <c r="E2494" s="211" t="s">
        <v>2087</v>
      </c>
      <c r="F2494" s="212">
        <v>43673</v>
      </c>
      <c r="G2494" s="213">
        <v>2.02</v>
      </c>
      <c r="H2494" s="256">
        <v>1087</v>
      </c>
      <c r="I2494" s="214">
        <v>1482488</v>
      </c>
      <c r="J2494" s="215">
        <v>20400</v>
      </c>
      <c r="K2494" s="212">
        <v>43690</v>
      </c>
      <c r="L2494" s="211" t="s">
        <v>2092</v>
      </c>
      <c r="M2494" s="216">
        <v>4615507497</v>
      </c>
      <c r="N2494" s="212"/>
      <c r="O2494" s="218"/>
      <c r="P2494" s="219"/>
      <c r="Q2494" s="34">
        <f>SUMIF(Allocation[Delivery ID],Allocation[[#This Row],[Delivery ID]],Allocation[Quantity Processed])</f>
        <v>25580</v>
      </c>
      <c r="R2494" s="61">
        <f>Allocation[[#This Row],[Total volume used]]/VLOOKUP(Allocation[[#This Row],[Delivery ID]],Delivery[[Delivery ID]:[Quantity delivered]],3,FALSE)</f>
        <v>0.83499265545944179</v>
      </c>
      <c r="S2494" s="34">
        <f>Allocation[[#This Row],[Quantity Processed]]/Allocation[[#This Row],[Dilution rate]]</f>
        <v>1098.0198019801981</v>
      </c>
      <c r="T2494" s="59">
        <f>SUMIF(Allocation[Delivery ID],Allocation[[#This Row],[Delivery ID]],Allocation[Quantity allocated])/SUMIF(Allocation[Delivery ID],Allocation[[#This Row],[Delivery ID]],Allocation[Volume available (kg)])</f>
        <v>0.9975858438419607</v>
      </c>
      <c r="U2494" s="61">
        <f>Allocation[[#This Row],[Total volume used]]/VLOOKUP(Allocation[[#This Row],[Delivery ID]],Delivery[[Delivery ID]:[Quantity delivered]],3,FALSE)</f>
        <v>0.83499265545944179</v>
      </c>
      <c r="V2494" s="34" t="e">
        <f>VLOOKUP(Allocation[[#This Row],[SAP Contract number]],Shipments[[SAP Contract number]:[Contracted container weight]],2,FALSE)</f>
        <v>#N/A</v>
      </c>
      <c r="W2494" s="34" t="e">
        <f>VLOOKUP(Allocation[[#This Row],[SAP Contract number]],Shipments[[SAP Contract number]:[AAA Premium USD]],24,FALSE)</f>
        <v>#N/A</v>
      </c>
      <c r="X2494" s="34" t="e">
        <f>VLOOKUP(Allocation[[#This Row],[SAP Contract number]],Shipments[[SAP Contract number]:[RA Premium USD]],25,FALSE)</f>
        <v>#N/A</v>
      </c>
      <c r="Y2494" s="38">
        <f>Allocation[[#This Row],[Quantity Processed]]/Allocation[[#This Row],[Quantity allocated]]</f>
        <v>2.0404783808647653</v>
      </c>
      <c r="Z2494" s="34" t="b">
        <f>Allocation[[#This Row],[Quantity allocated]]&lt;=Allocation[[#This Row],[Quantity Processed]]</f>
        <v>1</v>
      </c>
    </row>
    <row r="2495" spans="1:26">
      <c r="A2495" s="247" t="s">
        <v>467</v>
      </c>
      <c r="B2495" s="210" t="s">
        <v>68</v>
      </c>
      <c r="C2495" s="254" t="s">
        <v>1103</v>
      </c>
      <c r="D2495" s="255">
        <v>8465</v>
      </c>
      <c r="E2495" s="211" t="s">
        <v>2087</v>
      </c>
      <c r="F2495" s="212">
        <v>43673</v>
      </c>
      <c r="G2495" s="213">
        <v>2.02</v>
      </c>
      <c r="H2495" s="256">
        <v>4148</v>
      </c>
      <c r="I2495" s="214">
        <v>1482488</v>
      </c>
      <c r="J2495" s="215">
        <v>20400</v>
      </c>
      <c r="K2495" s="212">
        <v>43690</v>
      </c>
      <c r="L2495" s="211" t="s">
        <v>2092</v>
      </c>
      <c r="M2495" s="216">
        <v>4615507497</v>
      </c>
      <c r="N2495" s="212"/>
      <c r="O2495" s="218"/>
      <c r="P2495" s="219"/>
      <c r="Q2495" s="34">
        <f>SUMIF(Allocation[Delivery ID],Allocation[[#This Row],[Delivery ID]],Allocation[Quantity Processed])</f>
        <v>21556</v>
      </c>
      <c r="R2495" s="61">
        <f>Allocation[[#This Row],[Total volume used]]/VLOOKUP(Allocation[[#This Row],[Delivery ID]],Delivery[[Delivery ID]:[Quantity delivered]],3,FALSE)</f>
        <v>0.83534198798682424</v>
      </c>
      <c r="S2495" s="34">
        <f>Allocation[[#This Row],[Quantity Processed]]/Allocation[[#This Row],[Dilution rate]]</f>
        <v>4190.5940594059402</v>
      </c>
      <c r="T2495" s="59">
        <f>SUMIF(Allocation[Delivery ID],Allocation[[#This Row],[Delivery ID]],Allocation[Quantity allocated])/SUMIF(Allocation[Delivery ID],Allocation[[#This Row],[Delivery ID]],Allocation[Volume available (kg)])</f>
        <v>0.99766113176726967</v>
      </c>
      <c r="U2495" s="61">
        <f>Allocation[[#This Row],[Total volume used]]/VLOOKUP(Allocation[[#This Row],[Delivery ID]],Delivery[[Delivery ID]:[Quantity delivered]],3,FALSE)</f>
        <v>0.83534198798682424</v>
      </c>
      <c r="V2495" s="34" t="e">
        <f>VLOOKUP(Allocation[[#This Row],[SAP Contract number]],Shipments[[SAP Contract number]:[Contracted container weight]],2,FALSE)</f>
        <v>#N/A</v>
      </c>
      <c r="W2495" s="34" t="e">
        <f>VLOOKUP(Allocation[[#This Row],[SAP Contract number]],Shipments[[SAP Contract number]:[AAA Premium USD]],24,FALSE)</f>
        <v>#N/A</v>
      </c>
      <c r="X2495" s="34" t="e">
        <f>VLOOKUP(Allocation[[#This Row],[SAP Contract number]],Shipments[[SAP Contract number]:[RA Premium USD]],25,FALSE)</f>
        <v>#N/A</v>
      </c>
      <c r="Y2495" s="38">
        <f>Allocation[[#This Row],[Quantity Processed]]/Allocation[[#This Row],[Quantity allocated]]</f>
        <v>2.0407425265188044</v>
      </c>
      <c r="Z2495" s="34" t="b">
        <f>Allocation[[#This Row],[Quantity allocated]]&lt;=Allocation[[#This Row],[Quantity Processed]]</f>
        <v>1</v>
      </c>
    </row>
    <row r="2496" spans="1:26">
      <c r="A2496" s="247" t="s">
        <v>467</v>
      </c>
      <c r="B2496" s="210" t="s">
        <v>68</v>
      </c>
      <c r="C2496" s="254" t="s">
        <v>1666</v>
      </c>
      <c r="D2496" s="255">
        <v>2103</v>
      </c>
      <c r="E2496" s="211" t="s">
        <v>2087</v>
      </c>
      <c r="F2496" s="212">
        <v>43673</v>
      </c>
      <c r="G2496" s="213">
        <v>2.02</v>
      </c>
      <c r="H2496" s="256">
        <v>841</v>
      </c>
      <c r="I2496" s="214">
        <v>1482488</v>
      </c>
      <c r="J2496" s="215">
        <v>20400</v>
      </c>
      <c r="K2496" s="212">
        <v>43690</v>
      </c>
      <c r="L2496" s="211" t="s">
        <v>2092</v>
      </c>
      <c r="M2496" s="216">
        <v>4615507497</v>
      </c>
      <c r="N2496" s="212"/>
      <c r="O2496" s="218"/>
      <c r="P2496" s="219"/>
      <c r="Q2496" s="34">
        <f>SUMIF(Allocation[Delivery ID],Allocation[[#This Row],[Delivery ID]],Allocation[Quantity Processed])</f>
        <v>18909</v>
      </c>
      <c r="R2496" s="61">
        <f>Allocation[[#This Row],[Total volume used]]/VLOOKUP(Allocation[[#This Row],[Delivery ID]],Delivery[[Delivery ID]:[Quantity delivered]],3,FALSE)</f>
        <v>0.60954499298873366</v>
      </c>
      <c r="S2496" s="34">
        <f>Allocation[[#This Row],[Quantity Processed]]/Allocation[[#This Row],[Dilution rate]]</f>
        <v>1041.0891089108911</v>
      </c>
      <c r="T2496" s="59">
        <f>SUMIF(Allocation[Delivery ID],Allocation[[#This Row],[Delivery ID]],Allocation[Quantity allocated])/SUMIF(Allocation[Delivery ID],Allocation[[#This Row],[Delivery ID]],Allocation[Volume available (kg)])</f>
        <v>1.0107752498483131</v>
      </c>
      <c r="U2496" s="61">
        <f>Allocation[[#This Row],[Total volume used]]/VLOOKUP(Allocation[[#This Row],[Delivery ID]],Delivery[[Delivery ID]:[Quantity delivered]],3,FALSE)</f>
        <v>0.60954499298873366</v>
      </c>
      <c r="V2496" s="34" t="e">
        <f>VLOOKUP(Allocation[[#This Row],[SAP Contract number]],Shipments[[SAP Contract number]:[Contracted container weight]],2,FALSE)</f>
        <v>#N/A</v>
      </c>
      <c r="W2496" s="34" t="e">
        <f>VLOOKUP(Allocation[[#This Row],[SAP Contract number]],Shipments[[SAP Contract number]:[AAA Premium USD]],24,FALSE)</f>
        <v>#N/A</v>
      </c>
      <c r="X2496" s="34" t="e">
        <f>VLOOKUP(Allocation[[#This Row],[SAP Contract number]],Shipments[[SAP Contract number]:[RA Premium USD]],25,FALSE)</f>
        <v>#N/A</v>
      </c>
      <c r="Y2496" s="38">
        <f>Allocation[[#This Row],[Quantity Processed]]/Allocation[[#This Row],[Quantity allocated]]</f>
        <v>2.5005945303210462</v>
      </c>
      <c r="Z2496" s="34" t="b">
        <f>Allocation[[#This Row],[Quantity allocated]]&lt;=Allocation[[#This Row],[Quantity Processed]]</f>
        <v>1</v>
      </c>
    </row>
    <row r="2497" spans="1:26">
      <c r="A2497" s="247" t="s">
        <v>467</v>
      </c>
      <c r="B2497" s="210" t="s">
        <v>68</v>
      </c>
      <c r="C2497" s="254" t="s">
        <v>1669</v>
      </c>
      <c r="D2497" s="255">
        <v>1595</v>
      </c>
      <c r="E2497" s="211" t="s">
        <v>2087</v>
      </c>
      <c r="F2497" s="212">
        <v>43673</v>
      </c>
      <c r="G2497" s="213">
        <v>2.02</v>
      </c>
      <c r="H2497" s="256">
        <v>638</v>
      </c>
      <c r="I2497" s="214">
        <v>1482488</v>
      </c>
      <c r="J2497" s="215">
        <v>20400</v>
      </c>
      <c r="K2497" s="212">
        <v>43690</v>
      </c>
      <c r="L2497" s="211" t="s">
        <v>2092</v>
      </c>
      <c r="M2497" s="216">
        <v>4615507497</v>
      </c>
      <c r="N2497" s="212"/>
      <c r="O2497" s="218"/>
      <c r="P2497" s="219"/>
      <c r="Q2497" s="34">
        <f>SUMIF(Allocation[Delivery ID],Allocation[[#This Row],[Delivery ID]],Allocation[Quantity Processed])</f>
        <v>18270</v>
      </c>
      <c r="R2497" s="61">
        <f>Allocation[[#This Row],[Total volume used]]/VLOOKUP(Allocation[[#This Row],[Delivery ID]],Delivery[[Delivery ID]:[Quantity delivered]],3,FALSE)</f>
        <v>0.77591149427728112</v>
      </c>
      <c r="S2497" s="34">
        <f>Allocation[[#This Row],[Quantity Processed]]/Allocation[[#This Row],[Dilution rate]]</f>
        <v>789.60396039603961</v>
      </c>
      <c r="T2497" s="59">
        <f>SUMIF(Allocation[Delivery ID],Allocation[[#This Row],[Delivery ID]],Allocation[Quantity allocated])/SUMIF(Allocation[Delivery ID],Allocation[[#This Row],[Delivery ID]],Allocation[Volume available (kg)])</f>
        <v>1.0169862938572127</v>
      </c>
      <c r="U2497" s="61">
        <f>Allocation[[#This Row],[Total volume used]]/VLOOKUP(Allocation[[#This Row],[Delivery ID]],Delivery[[Delivery ID]:[Quantity delivered]],3,FALSE)</f>
        <v>0.77591149427728112</v>
      </c>
      <c r="V2497" s="34" t="e">
        <f>VLOOKUP(Allocation[[#This Row],[SAP Contract number]],Shipments[[SAP Contract number]:[Contracted container weight]],2,FALSE)</f>
        <v>#N/A</v>
      </c>
      <c r="W2497" s="34" t="e">
        <f>VLOOKUP(Allocation[[#This Row],[SAP Contract number]],Shipments[[SAP Contract number]:[AAA Premium USD]],24,FALSE)</f>
        <v>#N/A</v>
      </c>
      <c r="X2497" s="34" t="e">
        <f>VLOOKUP(Allocation[[#This Row],[SAP Contract number]],Shipments[[SAP Contract number]:[RA Premium USD]],25,FALSE)</f>
        <v>#N/A</v>
      </c>
      <c r="Y2497" s="38">
        <f>Allocation[[#This Row],[Quantity Processed]]/Allocation[[#This Row],[Quantity allocated]]</f>
        <v>2.5</v>
      </c>
      <c r="Z2497" s="34" t="b">
        <f>Allocation[[#This Row],[Quantity allocated]]&lt;=Allocation[[#This Row],[Quantity Processed]]</f>
        <v>1</v>
      </c>
    </row>
    <row r="2498" spans="1:26">
      <c r="A2498" s="247" t="s">
        <v>467</v>
      </c>
      <c r="B2498" s="210" t="s">
        <v>68</v>
      </c>
      <c r="C2498" s="254" t="s">
        <v>1670</v>
      </c>
      <c r="D2498" s="255">
        <v>538</v>
      </c>
      <c r="E2498" s="211" t="s">
        <v>2087</v>
      </c>
      <c r="F2498" s="212">
        <v>43673</v>
      </c>
      <c r="G2498" s="213">
        <v>2.02</v>
      </c>
      <c r="H2498" s="256">
        <v>215</v>
      </c>
      <c r="I2498" s="214">
        <v>1482488</v>
      </c>
      <c r="J2498" s="215">
        <v>20400</v>
      </c>
      <c r="K2498" s="212">
        <v>43690</v>
      </c>
      <c r="L2498" s="211" t="s">
        <v>2092</v>
      </c>
      <c r="M2498" s="216">
        <v>4615507497</v>
      </c>
      <c r="N2498" s="212"/>
      <c r="O2498" s="218"/>
      <c r="P2498" s="219"/>
      <c r="Q2498" s="34">
        <f>SUMIF(Allocation[Delivery ID],Allocation[[#This Row],[Delivery ID]],Allocation[Quantity Processed])</f>
        <v>915</v>
      </c>
      <c r="R2498" s="61">
        <f>Allocation[[#This Row],[Total volume used]]/VLOOKUP(Allocation[[#This Row],[Delivery ID]],Delivery[[Delivery ID]:[Quantity delivered]],3,FALSE)</f>
        <v>0.11506539235412475</v>
      </c>
      <c r="S2498" s="34">
        <f>Allocation[[#This Row],[Quantity Processed]]/Allocation[[#This Row],[Dilution rate]]</f>
        <v>266.33663366336634</v>
      </c>
      <c r="T2498" s="59">
        <f>SUMIF(Allocation[Delivery ID],Allocation[[#This Row],[Delivery ID]],Allocation[Quantity allocated])/SUMIF(Allocation[Delivery ID],Allocation[[#This Row],[Delivery ID]],Allocation[Volume available (kg)])</f>
        <v>0.89539346592143143</v>
      </c>
      <c r="U2498" s="61">
        <f>Allocation[[#This Row],[Total volume used]]/VLOOKUP(Allocation[[#This Row],[Delivery ID]],Delivery[[Delivery ID]:[Quantity delivered]],3,FALSE)</f>
        <v>0.11506539235412475</v>
      </c>
      <c r="V2498" s="34" t="e">
        <f>VLOOKUP(Allocation[[#This Row],[SAP Contract number]],Shipments[[SAP Contract number]:[Contracted container weight]],2,FALSE)</f>
        <v>#N/A</v>
      </c>
      <c r="W2498" s="34" t="e">
        <f>VLOOKUP(Allocation[[#This Row],[SAP Contract number]],Shipments[[SAP Contract number]:[AAA Premium USD]],24,FALSE)</f>
        <v>#N/A</v>
      </c>
      <c r="X2498" s="34" t="e">
        <f>VLOOKUP(Allocation[[#This Row],[SAP Contract number]],Shipments[[SAP Contract number]:[RA Premium USD]],25,FALSE)</f>
        <v>#N/A</v>
      </c>
      <c r="Y2498" s="38">
        <f>Allocation[[#This Row],[Quantity Processed]]/Allocation[[#This Row],[Quantity allocated]]</f>
        <v>2.5023255813953487</v>
      </c>
      <c r="Z2498" s="34" t="b">
        <f>Allocation[[#This Row],[Quantity allocated]]&lt;=Allocation[[#This Row],[Quantity Processed]]</f>
        <v>1</v>
      </c>
    </row>
    <row r="2499" spans="1:26">
      <c r="A2499" s="247" t="s">
        <v>467</v>
      </c>
      <c r="B2499" s="210" t="s">
        <v>68</v>
      </c>
      <c r="C2499" s="254" t="s">
        <v>1671</v>
      </c>
      <c r="D2499" s="255">
        <v>2125</v>
      </c>
      <c r="E2499" s="211" t="s">
        <v>2087</v>
      </c>
      <c r="F2499" s="212">
        <v>43673</v>
      </c>
      <c r="G2499" s="213">
        <v>2.02</v>
      </c>
      <c r="H2499" s="256">
        <v>850</v>
      </c>
      <c r="I2499" s="214">
        <v>1482488</v>
      </c>
      <c r="J2499" s="215">
        <v>20400</v>
      </c>
      <c r="K2499" s="212">
        <v>43690</v>
      </c>
      <c r="L2499" s="211" t="s">
        <v>2092</v>
      </c>
      <c r="M2499" s="216">
        <v>4615507497</v>
      </c>
      <c r="N2499" s="212"/>
      <c r="O2499" s="218"/>
      <c r="P2499" s="219"/>
      <c r="Q2499" s="34">
        <f>SUMIF(Allocation[Delivery ID],Allocation[[#This Row],[Delivery ID]],Allocation[Quantity Processed])</f>
        <v>25604</v>
      </c>
      <c r="R2499" s="61">
        <f>Allocation[[#This Row],[Total volume used]]/VLOOKUP(Allocation[[#This Row],[Delivery ID]],Delivery[[Delivery ID]:[Quantity delivered]],3,FALSE)</f>
        <v>0.81642804757501353</v>
      </c>
      <c r="S2499" s="34">
        <f>Allocation[[#This Row],[Quantity Processed]]/Allocation[[#This Row],[Dilution rate]]</f>
        <v>1051.9801980198019</v>
      </c>
      <c r="T2499" s="59">
        <f>SUMIF(Allocation[Delivery ID],Allocation[[#This Row],[Delivery ID]],Allocation[Quantity allocated])/SUMIF(Allocation[Delivery ID],Allocation[[#This Row],[Delivery ID]],Allocation[Volume available (kg)])</f>
        <v>1.0180340767934712</v>
      </c>
      <c r="U2499" s="61">
        <f>Allocation[[#This Row],[Total volume used]]/VLOOKUP(Allocation[[#This Row],[Delivery ID]],Delivery[[Delivery ID]:[Quantity delivered]],3,FALSE)</f>
        <v>0.81642804757501353</v>
      </c>
      <c r="V2499" s="34" t="e">
        <f>VLOOKUP(Allocation[[#This Row],[SAP Contract number]],Shipments[[SAP Contract number]:[Contracted container weight]],2,FALSE)</f>
        <v>#N/A</v>
      </c>
      <c r="W2499" s="34" t="e">
        <f>VLOOKUP(Allocation[[#This Row],[SAP Contract number]],Shipments[[SAP Contract number]:[AAA Premium USD]],24,FALSE)</f>
        <v>#N/A</v>
      </c>
      <c r="X2499" s="34" t="e">
        <f>VLOOKUP(Allocation[[#This Row],[SAP Contract number]],Shipments[[SAP Contract number]:[RA Premium USD]],25,FALSE)</f>
        <v>#N/A</v>
      </c>
      <c r="Y2499" s="38">
        <f>Allocation[[#This Row],[Quantity Processed]]/Allocation[[#This Row],[Quantity allocated]]</f>
        <v>2.5</v>
      </c>
      <c r="Z2499" s="34" t="b">
        <f>Allocation[[#This Row],[Quantity allocated]]&lt;=Allocation[[#This Row],[Quantity Processed]]</f>
        <v>1</v>
      </c>
    </row>
    <row r="2500" spans="1:26">
      <c r="A2500" s="247" t="s">
        <v>467</v>
      </c>
      <c r="B2500" s="210" t="s">
        <v>68</v>
      </c>
      <c r="C2500" s="254" t="s">
        <v>1146</v>
      </c>
      <c r="D2500" s="255">
        <v>2834</v>
      </c>
      <c r="E2500" s="211" t="s">
        <v>2087</v>
      </c>
      <c r="F2500" s="212">
        <v>43673</v>
      </c>
      <c r="G2500" s="213">
        <v>2.02</v>
      </c>
      <c r="H2500" s="256">
        <v>2154</v>
      </c>
      <c r="I2500" s="214">
        <v>1482488</v>
      </c>
      <c r="J2500" s="215">
        <v>20400</v>
      </c>
      <c r="K2500" s="212">
        <v>43690</v>
      </c>
      <c r="L2500" s="211" t="s">
        <v>2092</v>
      </c>
      <c r="M2500" s="216">
        <v>4615507497</v>
      </c>
      <c r="N2500" s="212"/>
      <c r="O2500" s="218"/>
      <c r="P2500" s="219"/>
      <c r="Q2500" s="34">
        <f>SUMIF(Allocation[Delivery ID],Allocation[[#This Row],[Delivery ID]],Allocation[Quantity Processed])</f>
        <v>21146</v>
      </c>
      <c r="R2500" s="61">
        <f>Allocation[[#This Row],[Total volume used]]/VLOOKUP(Allocation[[#This Row],[Delivery ID]],Delivery[[Delivery ID]:[Quantity delivered]],3,FALSE)</f>
        <v>0.71102891728312034</v>
      </c>
      <c r="S2500" s="34">
        <f>Allocation[[#This Row],[Quantity Processed]]/Allocation[[#This Row],[Dilution rate]]</f>
        <v>1402.970297029703</v>
      </c>
      <c r="T2500" s="59">
        <f>SUMIF(Allocation[Delivery ID],Allocation[[#This Row],[Delivery ID]],Allocation[Quantity allocated])/SUMIF(Allocation[Delivery ID],Allocation[[#This Row],[Delivery ID]],Allocation[Volume available (kg)])</f>
        <v>1.9882647142436314</v>
      </c>
      <c r="U2500" s="61">
        <f>Allocation[[#This Row],[Total volume used]]/VLOOKUP(Allocation[[#This Row],[Delivery ID]],Delivery[[Delivery ID]:[Quantity delivered]],3,FALSE)</f>
        <v>0.71102891728312034</v>
      </c>
      <c r="V2500" s="34" t="e">
        <f>VLOOKUP(Allocation[[#This Row],[SAP Contract number]],Shipments[[SAP Contract number]:[Contracted container weight]],2,FALSE)</f>
        <v>#N/A</v>
      </c>
      <c r="W2500" s="34" t="e">
        <f>VLOOKUP(Allocation[[#This Row],[SAP Contract number]],Shipments[[SAP Contract number]:[AAA Premium USD]],24,FALSE)</f>
        <v>#N/A</v>
      </c>
      <c r="X2500" s="34" t="e">
        <f>VLOOKUP(Allocation[[#This Row],[SAP Contract number]],Shipments[[SAP Contract number]:[RA Premium USD]],25,FALSE)</f>
        <v>#N/A</v>
      </c>
      <c r="Y2500" s="38">
        <f>Allocation[[#This Row],[Quantity Processed]]/Allocation[[#This Row],[Quantity allocated]]</f>
        <v>1.3156917363045497</v>
      </c>
      <c r="Z2500" s="34" t="b">
        <f>Allocation[[#This Row],[Quantity allocated]]&lt;=Allocation[[#This Row],[Quantity Processed]]</f>
        <v>1</v>
      </c>
    </row>
    <row r="2501" spans="1:26">
      <c r="A2501" s="247" t="s">
        <v>467</v>
      </c>
      <c r="B2501" s="210" t="s">
        <v>68</v>
      </c>
      <c r="C2501" s="254" t="s">
        <v>1148</v>
      </c>
      <c r="D2501" s="255">
        <v>2886</v>
      </c>
      <c r="E2501" s="211" t="s">
        <v>2087</v>
      </c>
      <c r="F2501" s="212">
        <v>43673</v>
      </c>
      <c r="G2501" s="213">
        <v>2.02</v>
      </c>
      <c r="H2501" s="256">
        <v>2193</v>
      </c>
      <c r="I2501" s="214">
        <v>1482488</v>
      </c>
      <c r="J2501" s="215">
        <v>20400</v>
      </c>
      <c r="K2501" s="212">
        <v>43690</v>
      </c>
      <c r="L2501" s="211" t="s">
        <v>2092</v>
      </c>
      <c r="M2501" s="216">
        <v>4615507497</v>
      </c>
      <c r="N2501" s="212"/>
      <c r="O2501" s="218"/>
      <c r="P2501" s="219"/>
      <c r="Q2501" s="34">
        <f>SUMIF(Allocation[Delivery ID],Allocation[[#This Row],[Delivery ID]],Allocation[Quantity Processed])</f>
        <v>21200</v>
      </c>
      <c r="R2501" s="61">
        <f>Allocation[[#This Row],[Total volume used]]/VLOOKUP(Allocation[[#This Row],[Delivery ID]],Delivery[[Delivery ID]:[Quantity delivered]],3,FALSE)</f>
        <v>0.70013210039630114</v>
      </c>
      <c r="S2501" s="34">
        <f>Allocation[[#This Row],[Quantity Processed]]/Allocation[[#This Row],[Dilution rate]]</f>
        <v>1428.7128712871288</v>
      </c>
      <c r="T2501" s="59">
        <f>SUMIF(Allocation[Delivery ID],Allocation[[#This Row],[Delivery ID]],Allocation[Quantity allocated])/SUMIF(Allocation[Delivery ID],Allocation[[#This Row],[Delivery ID]],Allocation[Volume available (kg)])</f>
        <v>1.9871252268254587</v>
      </c>
      <c r="U2501" s="61">
        <f>Allocation[[#This Row],[Total volume used]]/VLOOKUP(Allocation[[#This Row],[Delivery ID]],Delivery[[Delivery ID]:[Quantity delivered]],3,FALSE)</f>
        <v>0.70013210039630114</v>
      </c>
      <c r="V2501" s="34" t="e">
        <f>VLOOKUP(Allocation[[#This Row],[SAP Contract number]],Shipments[[SAP Contract number]:[Contracted container weight]],2,FALSE)</f>
        <v>#N/A</v>
      </c>
      <c r="W2501" s="34" t="e">
        <f>VLOOKUP(Allocation[[#This Row],[SAP Contract number]],Shipments[[SAP Contract number]:[AAA Premium USD]],24,FALSE)</f>
        <v>#N/A</v>
      </c>
      <c r="X2501" s="34" t="e">
        <f>VLOOKUP(Allocation[[#This Row],[SAP Contract number]],Shipments[[SAP Contract number]:[RA Premium USD]],25,FALSE)</f>
        <v>#N/A</v>
      </c>
      <c r="Y2501" s="38">
        <f>Allocation[[#This Row],[Quantity Processed]]/Allocation[[#This Row],[Quantity allocated]]</f>
        <v>1.3160054719562244</v>
      </c>
      <c r="Z2501" s="34" t="b">
        <f>Allocation[[#This Row],[Quantity allocated]]&lt;=Allocation[[#This Row],[Quantity Processed]]</f>
        <v>1</v>
      </c>
    </row>
    <row r="2502" spans="1:26">
      <c r="A2502" s="247" t="s">
        <v>467</v>
      </c>
      <c r="B2502" s="210" t="s">
        <v>68</v>
      </c>
      <c r="C2502" s="254" t="s">
        <v>1149</v>
      </c>
      <c r="D2502" s="255">
        <v>2854</v>
      </c>
      <c r="E2502" s="211" t="s">
        <v>2087</v>
      </c>
      <c r="F2502" s="212">
        <v>43673</v>
      </c>
      <c r="G2502" s="213">
        <v>2.02</v>
      </c>
      <c r="H2502" s="256">
        <v>2169</v>
      </c>
      <c r="I2502" s="214">
        <v>1482488</v>
      </c>
      <c r="J2502" s="215">
        <v>20400</v>
      </c>
      <c r="K2502" s="212">
        <v>43690</v>
      </c>
      <c r="L2502" s="211" t="s">
        <v>2092</v>
      </c>
      <c r="M2502" s="216">
        <v>4615507497</v>
      </c>
      <c r="N2502" s="212"/>
      <c r="O2502" s="218"/>
      <c r="P2502" s="219"/>
      <c r="Q2502" s="34">
        <f>SUMIF(Allocation[Delivery ID],Allocation[[#This Row],[Delivery ID]],Allocation[Quantity Processed])</f>
        <v>21167</v>
      </c>
      <c r="R2502" s="61">
        <f>Allocation[[#This Row],[Total volume used]]/VLOOKUP(Allocation[[#This Row],[Delivery ID]],Delivery[[Delivery ID]:[Quantity delivered]],3,FALSE)</f>
        <v>0.70698062792251171</v>
      </c>
      <c r="S2502" s="34">
        <f>Allocation[[#This Row],[Quantity Processed]]/Allocation[[#This Row],[Dilution rate]]</f>
        <v>1412.8712871287128</v>
      </c>
      <c r="T2502" s="59">
        <f>SUMIF(Allocation[Delivery ID],Allocation[[#This Row],[Delivery ID]],Allocation[Quantity allocated])/SUMIF(Allocation[Delivery ID],Allocation[[#This Row],[Delivery ID]],Allocation[Volume available (kg)])</f>
        <v>1.987832972087862</v>
      </c>
      <c r="U2502" s="61">
        <f>Allocation[[#This Row],[Total volume used]]/VLOOKUP(Allocation[[#This Row],[Delivery ID]],Delivery[[Delivery ID]:[Quantity delivered]],3,FALSE)</f>
        <v>0.70698062792251171</v>
      </c>
      <c r="V2502" s="34" t="e">
        <f>VLOOKUP(Allocation[[#This Row],[SAP Contract number]],Shipments[[SAP Contract number]:[Contracted container weight]],2,FALSE)</f>
        <v>#N/A</v>
      </c>
      <c r="W2502" s="34" t="e">
        <f>VLOOKUP(Allocation[[#This Row],[SAP Contract number]],Shipments[[SAP Contract number]:[AAA Premium USD]],24,FALSE)</f>
        <v>#N/A</v>
      </c>
      <c r="X2502" s="34" t="e">
        <f>VLOOKUP(Allocation[[#This Row],[SAP Contract number]],Shipments[[SAP Contract number]:[RA Premium USD]],25,FALSE)</f>
        <v>#N/A</v>
      </c>
      <c r="Y2502" s="38">
        <f>Allocation[[#This Row],[Quantity Processed]]/Allocation[[#This Row],[Quantity allocated]]</f>
        <v>1.3158137390502536</v>
      </c>
      <c r="Z2502" s="34" t="b">
        <f>Allocation[[#This Row],[Quantity allocated]]&lt;=Allocation[[#This Row],[Quantity Processed]]</f>
        <v>1</v>
      </c>
    </row>
    <row r="2503" spans="1:26">
      <c r="A2503" s="247" t="s">
        <v>467</v>
      </c>
      <c r="B2503" s="210" t="s">
        <v>68</v>
      </c>
      <c r="C2503" s="254" t="s">
        <v>1151</v>
      </c>
      <c r="D2503" s="255">
        <v>2834</v>
      </c>
      <c r="E2503" s="211" t="s">
        <v>2087</v>
      </c>
      <c r="F2503" s="212">
        <v>43673</v>
      </c>
      <c r="G2503" s="213">
        <v>2.02</v>
      </c>
      <c r="H2503" s="256">
        <v>2154</v>
      </c>
      <c r="I2503" s="214">
        <v>1482488</v>
      </c>
      <c r="J2503" s="215">
        <v>20400</v>
      </c>
      <c r="K2503" s="212">
        <v>43690</v>
      </c>
      <c r="L2503" s="211" t="s">
        <v>2092</v>
      </c>
      <c r="M2503" s="216">
        <v>4615507497</v>
      </c>
      <c r="N2503" s="212"/>
      <c r="O2503" s="218"/>
      <c r="P2503" s="219"/>
      <c r="Q2503" s="34">
        <f>SUMIF(Allocation[Delivery ID],Allocation[[#This Row],[Delivery ID]],Allocation[Quantity Processed])</f>
        <v>21146</v>
      </c>
      <c r="R2503" s="61">
        <f>Allocation[[#This Row],[Total volume used]]/VLOOKUP(Allocation[[#This Row],[Delivery ID]],Delivery[[Delivery ID]:[Quantity delivered]],3,FALSE)</f>
        <v>0.71102891728312034</v>
      </c>
      <c r="S2503" s="34">
        <f>Allocation[[#This Row],[Quantity Processed]]/Allocation[[#This Row],[Dilution rate]]</f>
        <v>1402.970297029703</v>
      </c>
      <c r="T2503" s="59">
        <f>SUMIF(Allocation[Delivery ID],Allocation[[#This Row],[Delivery ID]],Allocation[Quantity allocated])/SUMIF(Allocation[Delivery ID],Allocation[[#This Row],[Delivery ID]],Allocation[Volume available (kg)])</f>
        <v>1.9882647142436314</v>
      </c>
      <c r="U2503" s="61">
        <f>Allocation[[#This Row],[Total volume used]]/VLOOKUP(Allocation[[#This Row],[Delivery ID]],Delivery[[Delivery ID]:[Quantity delivered]],3,FALSE)</f>
        <v>0.71102891728312034</v>
      </c>
      <c r="V2503" s="34" t="e">
        <f>VLOOKUP(Allocation[[#This Row],[SAP Contract number]],Shipments[[SAP Contract number]:[Contracted container weight]],2,FALSE)</f>
        <v>#N/A</v>
      </c>
      <c r="W2503" s="34" t="e">
        <f>VLOOKUP(Allocation[[#This Row],[SAP Contract number]],Shipments[[SAP Contract number]:[AAA Premium USD]],24,FALSE)</f>
        <v>#N/A</v>
      </c>
      <c r="X2503" s="34" t="e">
        <f>VLOOKUP(Allocation[[#This Row],[SAP Contract number]],Shipments[[SAP Contract number]:[RA Premium USD]],25,FALSE)</f>
        <v>#N/A</v>
      </c>
      <c r="Y2503" s="38">
        <f>Allocation[[#This Row],[Quantity Processed]]/Allocation[[#This Row],[Quantity allocated]]</f>
        <v>1.3156917363045497</v>
      </c>
      <c r="Z2503" s="34" t="b">
        <f>Allocation[[#This Row],[Quantity allocated]]&lt;=Allocation[[#This Row],[Quantity Processed]]</f>
        <v>1</v>
      </c>
    </row>
    <row r="2504" spans="1:26">
      <c r="A2504" s="247" t="s">
        <v>467</v>
      </c>
      <c r="B2504" s="210" t="s">
        <v>68</v>
      </c>
      <c r="C2504" s="254" t="s">
        <v>1157</v>
      </c>
      <c r="D2504" s="255">
        <v>2602</v>
      </c>
      <c r="E2504" s="211" t="s">
        <v>2087</v>
      </c>
      <c r="F2504" s="212">
        <v>43673</v>
      </c>
      <c r="G2504" s="213">
        <v>2.02</v>
      </c>
      <c r="H2504" s="256">
        <v>2160</v>
      </c>
      <c r="I2504" s="214">
        <v>1482488</v>
      </c>
      <c r="J2504" s="215">
        <v>20400</v>
      </c>
      <c r="K2504" s="212">
        <v>43690</v>
      </c>
      <c r="L2504" s="211" t="s">
        <v>2092</v>
      </c>
      <c r="M2504" s="216">
        <v>4615507497</v>
      </c>
      <c r="N2504" s="212"/>
      <c r="O2504" s="218"/>
      <c r="P2504" s="219"/>
      <c r="Q2504" s="34">
        <f>SUMIF(Allocation[Delivery ID],Allocation[[#This Row],[Delivery ID]],Allocation[Quantity Processed])</f>
        <v>21103</v>
      </c>
      <c r="R2504" s="61">
        <f>Allocation[[#This Row],[Total volume used]]/VLOOKUP(Allocation[[#This Row],[Delivery ID]],Delivery[[Delivery ID]:[Quantity delivered]],3,FALSE)</f>
        <v>0.70767940979208588</v>
      </c>
      <c r="S2504" s="34">
        <f>Allocation[[#This Row],[Quantity Processed]]/Allocation[[#This Row],[Dilution rate]]</f>
        <v>1288.1188118811881</v>
      </c>
      <c r="T2504" s="59">
        <f>SUMIF(Allocation[Delivery ID],Allocation[[#This Row],[Delivery ID]],Allocation[Quantity allocated])/SUMIF(Allocation[Delivery ID],Allocation[[#This Row],[Delivery ID]],Allocation[Volume available (kg)])</f>
        <v>1.9937856412751944</v>
      </c>
      <c r="U2504" s="61">
        <f>Allocation[[#This Row],[Total volume used]]/VLOOKUP(Allocation[[#This Row],[Delivery ID]],Delivery[[Delivery ID]:[Quantity delivered]],3,FALSE)</f>
        <v>0.70767940979208588</v>
      </c>
      <c r="V2504" s="34" t="e">
        <f>VLOOKUP(Allocation[[#This Row],[SAP Contract number]],Shipments[[SAP Contract number]:[Contracted container weight]],2,FALSE)</f>
        <v>#N/A</v>
      </c>
      <c r="W2504" s="34" t="e">
        <f>VLOOKUP(Allocation[[#This Row],[SAP Contract number]],Shipments[[SAP Contract number]:[AAA Premium USD]],24,FALSE)</f>
        <v>#N/A</v>
      </c>
      <c r="X2504" s="34" t="e">
        <f>VLOOKUP(Allocation[[#This Row],[SAP Contract number]],Shipments[[SAP Contract number]:[RA Premium USD]],25,FALSE)</f>
        <v>#N/A</v>
      </c>
      <c r="Y2504" s="38">
        <f>Allocation[[#This Row],[Quantity Processed]]/Allocation[[#This Row],[Quantity allocated]]</f>
        <v>1.2046296296296297</v>
      </c>
      <c r="Z2504" s="34" t="b">
        <f>Allocation[[#This Row],[Quantity allocated]]&lt;=Allocation[[#This Row],[Quantity Processed]]</f>
        <v>1</v>
      </c>
    </row>
    <row r="2505" spans="1:26">
      <c r="A2505" s="247" t="s">
        <v>467</v>
      </c>
      <c r="B2505" s="210" t="s">
        <v>68</v>
      </c>
      <c r="C2505" s="254" t="s">
        <v>1158</v>
      </c>
      <c r="D2505" s="255">
        <v>2157</v>
      </c>
      <c r="E2505" s="211" t="s">
        <v>2087</v>
      </c>
      <c r="F2505" s="212">
        <v>43673</v>
      </c>
      <c r="G2505" s="213">
        <v>2.02</v>
      </c>
      <c r="H2505" s="256">
        <v>1791</v>
      </c>
      <c r="I2505" s="214">
        <v>1482488</v>
      </c>
      <c r="J2505" s="215">
        <v>20400</v>
      </c>
      <c r="K2505" s="212">
        <v>43690</v>
      </c>
      <c r="L2505" s="211" t="s">
        <v>2092</v>
      </c>
      <c r="M2505" s="216">
        <v>4615507497</v>
      </c>
      <c r="N2505" s="212"/>
      <c r="O2505" s="218"/>
      <c r="P2505" s="219"/>
      <c r="Q2505" s="34">
        <f>SUMIF(Allocation[Delivery ID],Allocation[[#This Row],[Delivery ID]],Allocation[Quantity Processed])</f>
        <v>21164</v>
      </c>
      <c r="R2505" s="61">
        <f>Allocation[[#This Row],[Total volume used]]/VLOOKUP(Allocation[[#This Row],[Delivery ID]],Delivery[[Delivery ID]:[Quantity delivered]],3,FALSE)</f>
        <v>0.69412922269596589</v>
      </c>
      <c r="S2505" s="34">
        <f>Allocation[[#This Row],[Quantity Processed]]/Allocation[[#This Row],[Dilution rate]]</f>
        <v>1067.8217821782177</v>
      </c>
      <c r="T2505" s="59">
        <f>SUMIF(Allocation[Delivery ID],Allocation[[#This Row],[Delivery ID]],Allocation[Quantity allocated])/SUMIF(Allocation[Delivery ID],Allocation[[#This Row],[Delivery ID]],Allocation[Volume available (kg)])</f>
        <v>1.9929348960070636</v>
      </c>
      <c r="U2505" s="61">
        <f>Allocation[[#This Row],[Total volume used]]/VLOOKUP(Allocation[[#This Row],[Delivery ID]],Delivery[[Delivery ID]:[Quantity delivered]],3,FALSE)</f>
        <v>0.69412922269596589</v>
      </c>
      <c r="V2505" s="34" t="e">
        <f>VLOOKUP(Allocation[[#This Row],[SAP Contract number]],Shipments[[SAP Contract number]:[Contracted container weight]],2,FALSE)</f>
        <v>#N/A</v>
      </c>
      <c r="W2505" s="34" t="e">
        <f>VLOOKUP(Allocation[[#This Row],[SAP Contract number]],Shipments[[SAP Contract number]:[AAA Premium USD]],24,FALSE)</f>
        <v>#N/A</v>
      </c>
      <c r="X2505" s="34" t="e">
        <f>VLOOKUP(Allocation[[#This Row],[SAP Contract number]],Shipments[[SAP Contract number]:[RA Premium USD]],25,FALSE)</f>
        <v>#N/A</v>
      </c>
      <c r="Y2505" s="38">
        <f>Allocation[[#This Row],[Quantity Processed]]/Allocation[[#This Row],[Quantity allocated]]</f>
        <v>1.204355108877722</v>
      </c>
      <c r="Z2505" s="34" t="b">
        <f>Allocation[[#This Row],[Quantity allocated]]&lt;=Allocation[[#This Row],[Quantity Processed]]</f>
        <v>1</v>
      </c>
    </row>
    <row r="2506" spans="1:26">
      <c r="A2506" s="247" t="s">
        <v>467</v>
      </c>
      <c r="B2506" s="210" t="s">
        <v>68</v>
      </c>
      <c r="C2506" s="254" t="s">
        <v>1158</v>
      </c>
      <c r="D2506" s="255">
        <v>504</v>
      </c>
      <c r="E2506" s="211" t="s">
        <v>2087</v>
      </c>
      <c r="F2506" s="212">
        <v>43673</v>
      </c>
      <c r="G2506" s="213">
        <v>2.02</v>
      </c>
      <c r="H2506" s="256">
        <v>418</v>
      </c>
      <c r="I2506" s="214">
        <v>1482489</v>
      </c>
      <c r="J2506" s="215">
        <v>20400</v>
      </c>
      <c r="K2506" s="212">
        <v>43690</v>
      </c>
      <c r="L2506" s="211" t="s">
        <v>2093</v>
      </c>
      <c r="M2506" s="216">
        <v>4615507497</v>
      </c>
      <c r="N2506" s="212"/>
      <c r="O2506" s="218"/>
      <c r="P2506" s="219"/>
      <c r="Q2506" s="34">
        <f>SUMIF(Allocation[Delivery ID],Allocation[[#This Row],[Delivery ID]],Allocation[Quantity Processed])</f>
        <v>21164</v>
      </c>
      <c r="R2506" s="61">
        <f>Allocation[[#This Row],[Total volume used]]/VLOOKUP(Allocation[[#This Row],[Delivery ID]],Delivery[[Delivery ID]:[Quantity delivered]],3,FALSE)</f>
        <v>0.69412922269596589</v>
      </c>
      <c r="S2506" s="34">
        <f>Allocation[[#This Row],[Quantity Processed]]/Allocation[[#This Row],[Dilution rate]]</f>
        <v>249.50495049504951</v>
      </c>
      <c r="T2506" s="59">
        <f>SUMIF(Allocation[Delivery ID],Allocation[[#This Row],[Delivery ID]],Allocation[Quantity allocated])/SUMIF(Allocation[Delivery ID],Allocation[[#This Row],[Delivery ID]],Allocation[Volume available (kg)])</f>
        <v>1.9929348960070636</v>
      </c>
      <c r="U2506" s="61">
        <f>Allocation[[#This Row],[Total volume used]]/VLOOKUP(Allocation[[#This Row],[Delivery ID]],Delivery[[Delivery ID]:[Quantity delivered]],3,FALSE)</f>
        <v>0.69412922269596589</v>
      </c>
      <c r="V2506" s="34" t="e">
        <f>VLOOKUP(Allocation[[#This Row],[SAP Contract number]],Shipments[[SAP Contract number]:[Contracted container weight]],2,FALSE)</f>
        <v>#N/A</v>
      </c>
      <c r="W2506" s="34" t="e">
        <f>VLOOKUP(Allocation[[#This Row],[SAP Contract number]],Shipments[[SAP Contract number]:[AAA Premium USD]],24,FALSE)</f>
        <v>#N/A</v>
      </c>
      <c r="X2506" s="34" t="e">
        <f>VLOOKUP(Allocation[[#This Row],[SAP Contract number]],Shipments[[SAP Contract number]:[RA Premium USD]],25,FALSE)</f>
        <v>#N/A</v>
      </c>
      <c r="Y2506" s="38">
        <f>Allocation[[#This Row],[Quantity Processed]]/Allocation[[#This Row],[Quantity allocated]]</f>
        <v>1.2057416267942584</v>
      </c>
      <c r="Z2506" s="34" t="b">
        <f>Allocation[[#This Row],[Quantity allocated]]&lt;=Allocation[[#This Row],[Quantity Processed]]</f>
        <v>1</v>
      </c>
    </row>
    <row r="2507" spans="1:26">
      <c r="A2507" s="247" t="s">
        <v>467</v>
      </c>
      <c r="B2507" s="210" t="s">
        <v>68</v>
      </c>
      <c r="C2507" s="254" t="s">
        <v>1159</v>
      </c>
      <c r="D2507" s="255">
        <v>1272</v>
      </c>
      <c r="E2507" s="211" t="s">
        <v>2087</v>
      </c>
      <c r="F2507" s="212">
        <v>43673</v>
      </c>
      <c r="G2507" s="213">
        <v>2.02</v>
      </c>
      <c r="H2507" s="256">
        <v>1056</v>
      </c>
      <c r="I2507" s="214">
        <v>1482489</v>
      </c>
      <c r="J2507" s="215">
        <v>20400</v>
      </c>
      <c r="K2507" s="212">
        <v>43690</v>
      </c>
      <c r="L2507" s="211" t="s">
        <v>2093</v>
      </c>
      <c r="M2507" s="216">
        <v>4615507497</v>
      </c>
      <c r="N2507" s="212"/>
      <c r="O2507" s="218"/>
      <c r="P2507" s="219"/>
      <c r="Q2507" s="34">
        <f>SUMIF(Allocation[Delivery ID],Allocation[[#This Row],[Delivery ID]],Allocation[Quantity Processed])</f>
        <v>10523</v>
      </c>
      <c r="R2507" s="61">
        <f>Allocation[[#This Row],[Total volume used]]/VLOOKUP(Allocation[[#This Row],[Delivery ID]],Delivery[[Delivery ID]:[Quantity delivered]],3,FALSE)</f>
        <v>0.7215936364259754</v>
      </c>
      <c r="S2507" s="34">
        <f>Allocation[[#This Row],[Quantity Processed]]/Allocation[[#This Row],[Dilution rate]]</f>
        <v>629.70297029702965</v>
      </c>
      <c r="T2507" s="59">
        <f>SUMIF(Allocation[Delivery ID],Allocation[[#This Row],[Delivery ID]],Allocation[Quantity allocated])/SUMIF(Allocation[Delivery ID],Allocation[[#This Row],[Delivery ID]],Allocation[Volume available (kg)])</f>
        <v>1.9945582213103765</v>
      </c>
      <c r="U2507" s="61">
        <f>Allocation[[#This Row],[Total volume used]]/VLOOKUP(Allocation[[#This Row],[Delivery ID]],Delivery[[Delivery ID]:[Quantity delivered]],3,FALSE)</f>
        <v>0.7215936364259754</v>
      </c>
      <c r="V2507" s="34" t="e">
        <f>VLOOKUP(Allocation[[#This Row],[SAP Contract number]],Shipments[[SAP Contract number]:[Contracted container weight]],2,FALSE)</f>
        <v>#N/A</v>
      </c>
      <c r="W2507" s="34" t="e">
        <f>VLOOKUP(Allocation[[#This Row],[SAP Contract number]],Shipments[[SAP Contract number]:[AAA Premium USD]],24,FALSE)</f>
        <v>#N/A</v>
      </c>
      <c r="X2507" s="34" t="e">
        <f>VLOOKUP(Allocation[[#This Row],[SAP Contract number]],Shipments[[SAP Contract number]:[RA Premium USD]],25,FALSE)</f>
        <v>#N/A</v>
      </c>
      <c r="Y2507" s="38">
        <f>Allocation[[#This Row],[Quantity Processed]]/Allocation[[#This Row],[Quantity allocated]]</f>
        <v>1.2045454545454546</v>
      </c>
      <c r="Z2507" s="34" t="b">
        <f>Allocation[[#This Row],[Quantity allocated]]&lt;=Allocation[[#This Row],[Quantity Processed]]</f>
        <v>1</v>
      </c>
    </row>
    <row r="2508" spans="1:26">
      <c r="A2508" s="247" t="s">
        <v>467</v>
      </c>
      <c r="B2508" s="210" t="s">
        <v>68</v>
      </c>
      <c r="C2508" s="254" t="s">
        <v>1160</v>
      </c>
      <c r="D2508" s="255">
        <v>1018</v>
      </c>
      <c r="E2508" s="211" t="s">
        <v>2087</v>
      </c>
      <c r="F2508" s="212">
        <v>43673</v>
      </c>
      <c r="G2508" s="213">
        <v>2.02</v>
      </c>
      <c r="H2508" s="256">
        <v>845</v>
      </c>
      <c r="I2508" s="214">
        <v>1482489</v>
      </c>
      <c r="J2508" s="215">
        <v>20400</v>
      </c>
      <c r="K2508" s="212">
        <v>43690</v>
      </c>
      <c r="L2508" s="211" t="s">
        <v>2093</v>
      </c>
      <c r="M2508" s="216">
        <v>4615507497</v>
      </c>
      <c r="N2508" s="212"/>
      <c r="O2508" s="218"/>
      <c r="P2508" s="219"/>
      <c r="Q2508" s="34">
        <f>SUMIF(Allocation[Delivery ID],Allocation[[#This Row],[Delivery ID]],Allocation[Quantity Processed])</f>
        <v>8419</v>
      </c>
      <c r="R2508" s="61">
        <f>Allocation[[#This Row],[Total volume used]]/VLOOKUP(Allocation[[#This Row],[Delivery ID]],Delivery[[Delivery ID]:[Quantity delivered]],3,FALSE)</f>
        <v>0.72163888055543646</v>
      </c>
      <c r="S2508" s="34">
        <f>Allocation[[#This Row],[Quantity Processed]]/Allocation[[#This Row],[Dilution rate]]</f>
        <v>503.96039603960395</v>
      </c>
      <c r="T2508" s="59">
        <f>SUMIF(Allocation[Delivery ID],Allocation[[#This Row],[Delivery ID]],Allocation[Quantity allocated])/SUMIF(Allocation[Delivery ID],Allocation[[#This Row],[Delivery ID]],Allocation[Volume available (kg)])</f>
        <v>1.9946248301800347</v>
      </c>
      <c r="U2508" s="61">
        <f>Allocation[[#This Row],[Total volume used]]/VLOOKUP(Allocation[[#This Row],[Delivery ID]],Delivery[[Delivery ID]:[Quantity delivered]],3,FALSE)</f>
        <v>0.72163888055543646</v>
      </c>
      <c r="V2508" s="34" t="e">
        <f>VLOOKUP(Allocation[[#This Row],[SAP Contract number]],Shipments[[SAP Contract number]:[Contracted container weight]],2,FALSE)</f>
        <v>#N/A</v>
      </c>
      <c r="W2508" s="34" t="e">
        <f>VLOOKUP(Allocation[[#This Row],[SAP Contract number]],Shipments[[SAP Contract number]:[AAA Premium USD]],24,FALSE)</f>
        <v>#N/A</v>
      </c>
      <c r="X2508" s="34" t="e">
        <f>VLOOKUP(Allocation[[#This Row],[SAP Contract number]],Shipments[[SAP Contract number]:[RA Premium USD]],25,FALSE)</f>
        <v>#N/A</v>
      </c>
      <c r="Y2508" s="38">
        <f>Allocation[[#This Row],[Quantity Processed]]/Allocation[[#This Row],[Quantity allocated]]</f>
        <v>1.2047337278106509</v>
      </c>
      <c r="Z2508" s="34" t="b">
        <f>Allocation[[#This Row],[Quantity allocated]]&lt;=Allocation[[#This Row],[Quantity Processed]]</f>
        <v>1</v>
      </c>
    </row>
    <row r="2509" spans="1:26">
      <c r="A2509" s="247" t="s">
        <v>467</v>
      </c>
      <c r="B2509" s="210" t="s">
        <v>68</v>
      </c>
      <c r="C2509" s="254" t="s">
        <v>1161</v>
      </c>
      <c r="D2509" s="255">
        <v>280</v>
      </c>
      <c r="E2509" s="211" t="s">
        <v>2087</v>
      </c>
      <c r="F2509" s="212">
        <v>43673</v>
      </c>
      <c r="G2509" s="213">
        <v>2.02</v>
      </c>
      <c r="H2509" s="256">
        <v>232</v>
      </c>
      <c r="I2509" s="214">
        <v>1482489</v>
      </c>
      <c r="J2509" s="215">
        <v>20400</v>
      </c>
      <c r="K2509" s="212">
        <v>43690</v>
      </c>
      <c r="L2509" s="211" t="s">
        <v>2093</v>
      </c>
      <c r="M2509" s="216">
        <v>4615507497</v>
      </c>
      <c r="N2509" s="212"/>
      <c r="O2509" s="218"/>
      <c r="P2509" s="219"/>
      <c r="Q2509" s="34">
        <f>SUMIF(Allocation[Delivery ID],Allocation[[#This Row],[Delivery ID]],Allocation[Quantity Processed])</f>
        <v>2315</v>
      </c>
      <c r="R2509" s="61">
        <f>Allocation[[#This Row],[Total volume used]]/VLOOKUP(Allocation[[#This Row],[Delivery ID]],Delivery[[Delivery ID]:[Quantity delivered]],3,FALSE)</f>
        <v>0.72163341645885282</v>
      </c>
      <c r="S2509" s="34">
        <f>Allocation[[#This Row],[Quantity Processed]]/Allocation[[#This Row],[Dilution rate]]</f>
        <v>138.61386138613861</v>
      </c>
      <c r="T2509" s="59">
        <f>SUMIF(Allocation[Delivery ID],Allocation[[#This Row],[Delivery ID]],Allocation[Quantity allocated])/SUMIF(Allocation[Delivery ID],Allocation[[#This Row],[Delivery ID]],Allocation[Volume available (kg)])</f>
        <v>1.9942082011897166</v>
      </c>
      <c r="U2509" s="61">
        <f>Allocation[[#This Row],[Total volume used]]/VLOOKUP(Allocation[[#This Row],[Delivery ID]],Delivery[[Delivery ID]:[Quantity delivered]],3,FALSE)</f>
        <v>0.72163341645885282</v>
      </c>
      <c r="V2509" s="34" t="e">
        <f>VLOOKUP(Allocation[[#This Row],[SAP Contract number]],Shipments[[SAP Contract number]:[Contracted container weight]],2,FALSE)</f>
        <v>#N/A</v>
      </c>
      <c r="W2509" s="34" t="e">
        <f>VLOOKUP(Allocation[[#This Row],[SAP Contract number]],Shipments[[SAP Contract number]:[AAA Premium USD]],24,FALSE)</f>
        <v>#N/A</v>
      </c>
      <c r="X2509" s="34" t="e">
        <f>VLOOKUP(Allocation[[#This Row],[SAP Contract number]],Shipments[[SAP Contract number]:[RA Premium USD]],25,FALSE)</f>
        <v>#N/A</v>
      </c>
      <c r="Y2509" s="38">
        <f>Allocation[[#This Row],[Quantity Processed]]/Allocation[[#This Row],[Quantity allocated]]</f>
        <v>1.2068965517241379</v>
      </c>
      <c r="Z2509" s="34" t="b">
        <f>Allocation[[#This Row],[Quantity allocated]]&lt;=Allocation[[#This Row],[Quantity Processed]]</f>
        <v>1</v>
      </c>
    </row>
    <row r="2510" spans="1:26">
      <c r="A2510" s="247" t="s">
        <v>467</v>
      </c>
      <c r="B2510" s="210" t="s">
        <v>68</v>
      </c>
      <c r="C2510" s="254" t="s">
        <v>1162</v>
      </c>
      <c r="D2510" s="255">
        <v>2642</v>
      </c>
      <c r="E2510" s="211" t="s">
        <v>2087</v>
      </c>
      <c r="F2510" s="212">
        <v>43673</v>
      </c>
      <c r="G2510" s="213">
        <v>2.02</v>
      </c>
      <c r="H2510" s="256">
        <v>2193</v>
      </c>
      <c r="I2510" s="214">
        <v>1482489</v>
      </c>
      <c r="J2510" s="215">
        <v>20400</v>
      </c>
      <c r="K2510" s="212">
        <v>43690</v>
      </c>
      <c r="L2510" s="211" t="s">
        <v>2093</v>
      </c>
      <c r="M2510" s="216">
        <v>4615507497</v>
      </c>
      <c r="N2510" s="212"/>
      <c r="O2510" s="218"/>
      <c r="P2510" s="219"/>
      <c r="Q2510" s="34">
        <f>SUMIF(Allocation[Delivery ID],Allocation[[#This Row],[Delivery ID]],Allocation[Quantity Processed])</f>
        <v>21145</v>
      </c>
      <c r="R2510" s="61">
        <f>Allocation[[#This Row],[Total volume used]]/VLOOKUP(Allocation[[#This Row],[Delivery ID]],Delivery[[Delivery ID]:[Quantity delivered]],3,FALSE)</f>
        <v>0.6983157199471598</v>
      </c>
      <c r="S2510" s="34">
        <f>Allocation[[#This Row],[Quantity Processed]]/Allocation[[#This Row],[Dilution rate]]</f>
        <v>1307.920792079208</v>
      </c>
      <c r="T2510" s="59">
        <f>SUMIF(Allocation[Delivery ID],Allocation[[#This Row],[Delivery ID]],Allocation[Quantity allocated])/SUMIF(Allocation[Delivery ID],Allocation[[#This Row],[Delivery ID]],Allocation[Volume available (kg)])</f>
        <v>1.9932065907426038</v>
      </c>
      <c r="U2510" s="61">
        <f>Allocation[[#This Row],[Total volume used]]/VLOOKUP(Allocation[[#This Row],[Delivery ID]],Delivery[[Delivery ID]:[Quantity delivered]],3,FALSE)</f>
        <v>0.6983157199471598</v>
      </c>
      <c r="V2510" s="34" t="e">
        <f>VLOOKUP(Allocation[[#This Row],[SAP Contract number]],Shipments[[SAP Contract number]:[Contracted container weight]],2,FALSE)</f>
        <v>#N/A</v>
      </c>
      <c r="W2510" s="34" t="e">
        <f>VLOOKUP(Allocation[[#This Row],[SAP Contract number]],Shipments[[SAP Contract number]:[AAA Premium USD]],24,FALSE)</f>
        <v>#N/A</v>
      </c>
      <c r="X2510" s="34" t="e">
        <f>VLOOKUP(Allocation[[#This Row],[SAP Contract number]],Shipments[[SAP Contract number]:[RA Premium USD]],25,FALSE)</f>
        <v>#N/A</v>
      </c>
      <c r="Y2510" s="38">
        <f>Allocation[[#This Row],[Quantity Processed]]/Allocation[[#This Row],[Quantity allocated]]</f>
        <v>1.2047423620611035</v>
      </c>
      <c r="Z2510" s="34" t="b">
        <f>Allocation[[#This Row],[Quantity allocated]]&lt;=Allocation[[#This Row],[Quantity Processed]]</f>
        <v>1</v>
      </c>
    </row>
    <row r="2511" spans="1:26">
      <c r="A2511" s="247" t="s">
        <v>467</v>
      </c>
      <c r="B2511" s="210" t="s">
        <v>68</v>
      </c>
      <c r="C2511" s="254" t="s">
        <v>1699</v>
      </c>
      <c r="D2511" s="255">
        <v>18040</v>
      </c>
      <c r="E2511" s="211" t="s">
        <v>2087</v>
      </c>
      <c r="F2511" s="212">
        <v>43673</v>
      </c>
      <c r="G2511" s="213">
        <v>2.02</v>
      </c>
      <c r="H2511" s="256">
        <v>7216</v>
      </c>
      <c r="I2511" s="214">
        <v>1482489</v>
      </c>
      <c r="J2511" s="215">
        <v>20400</v>
      </c>
      <c r="K2511" s="212">
        <v>43690</v>
      </c>
      <c r="L2511" s="211" t="s">
        <v>2093</v>
      </c>
      <c r="M2511" s="216">
        <v>4615507497</v>
      </c>
      <c r="N2511" s="212"/>
      <c r="O2511" s="218"/>
      <c r="P2511" s="219"/>
      <c r="Q2511" s="34">
        <f>SUMIF(Allocation[Delivery ID],Allocation[[#This Row],[Delivery ID]],Allocation[Quantity Processed])</f>
        <v>25571</v>
      </c>
      <c r="R2511" s="61">
        <f>Allocation[[#This Row],[Total volume used]]/VLOOKUP(Allocation[[#This Row],[Delivery ID]],Delivery[[Delivery ID]:[Quantity delivered]],3,FALSE)</f>
        <v>0.94288348082595874</v>
      </c>
      <c r="S2511" s="34">
        <f>Allocation[[#This Row],[Quantity Processed]]/Allocation[[#This Row],[Dilution rate]]</f>
        <v>8930.6930693069298</v>
      </c>
      <c r="T2511" s="59">
        <f>SUMIF(Allocation[Delivery ID],Allocation[[#This Row],[Delivery ID]],Allocation[Quantity allocated])/SUMIF(Allocation[Delivery ID],Allocation[[#This Row],[Delivery ID]],Allocation[Volume available (kg)])</f>
        <v>0.86965241001314963</v>
      </c>
      <c r="U2511" s="61">
        <f>Allocation[[#This Row],[Total volume used]]/VLOOKUP(Allocation[[#This Row],[Delivery ID]],Delivery[[Delivery ID]:[Quantity delivered]],3,FALSE)</f>
        <v>0.94288348082595874</v>
      </c>
      <c r="V2511" s="34" t="e">
        <f>VLOOKUP(Allocation[[#This Row],[SAP Contract number]],Shipments[[SAP Contract number]:[Contracted container weight]],2,FALSE)</f>
        <v>#N/A</v>
      </c>
      <c r="W2511" s="34" t="e">
        <f>VLOOKUP(Allocation[[#This Row],[SAP Contract number]],Shipments[[SAP Contract number]:[AAA Premium USD]],24,FALSE)</f>
        <v>#N/A</v>
      </c>
      <c r="X2511" s="34" t="e">
        <f>VLOOKUP(Allocation[[#This Row],[SAP Contract number]],Shipments[[SAP Contract number]:[RA Premium USD]],25,FALSE)</f>
        <v>#N/A</v>
      </c>
      <c r="Y2511" s="38">
        <f>Allocation[[#This Row],[Quantity Processed]]/Allocation[[#This Row],[Quantity allocated]]</f>
        <v>2.5</v>
      </c>
      <c r="Z2511" s="34" t="b">
        <f>Allocation[[#This Row],[Quantity allocated]]&lt;=Allocation[[#This Row],[Quantity Processed]]</f>
        <v>1</v>
      </c>
    </row>
    <row r="2512" spans="1:26">
      <c r="A2512" s="247" t="s">
        <v>467</v>
      </c>
      <c r="B2512" s="210" t="s">
        <v>68</v>
      </c>
      <c r="C2512" s="254" t="s">
        <v>1700</v>
      </c>
      <c r="D2512" s="255">
        <v>18028</v>
      </c>
      <c r="E2512" s="211" t="s">
        <v>2087</v>
      </c>
      <c r="F2512" s="212">
        <v>43673</v>
      </c>
      <c r="G2512" s="213">
        <v>2.02</v>
      </c>
      <c r="H2512" s="256">
        <v>7211</v>
      </c>
      <c r="I2512" s="214">
        <v>1482489</v>
      </c>
      <c r="J2512" s="215">
        <v>20400</v>
      </c>
      <c r="K2512" s="212">
        <v>43690</v>
      </c>
      <c r="L2512" s="211" t="s">
        <v>2093</v>
      </c>
      <c r="M2512" s="216">
        <v>4615507497</v>
      </c>
      <c r="N2512" s="212"/>
      <c r="O2512" s="218"/>
      <c r="P2512" s="219"/>
      <c r="Q2512" s="34">
        <f>SUMIF(Allocation[Delivery ID],Allocation[[#This Row],[Delivery ID]],Allocation[Quantity Processed])</f>
        <v>25553</v>
      </c>
      <c r="R2512" s="61">
        <f>Allocation[[#This Row],[Total volume used]]/VLOOKUP(Allocation[[#This Row],[Delivery ID]],Delivery[[Delivery ID]:[Quantity delivered]],3,FALSE)</f>
        <v>0.9429151291512915</v>
      </c>
      <c r="S2512" s="34">
        <f>Allocation[[#This Row],[Quantity Processed]]/Allocation[[#This Row],[Dilution rate]]</f>
        <v>8924.7524752475256</v>
      </c>
      <c r="T2512" s="59">
        <f>SUMIF(Allocation[Delivery ID],Allocation[[#This Row],[Delivery ID]],Allocation[Quantity allocated])/SUMIF(Allocation[Delivery ID],Allocation[[#This Row],[Delivery ID]],Allocation[Volume available (kg)])</f>
        <v>0.86966397979306564</v>
      </c>
      <c r="U2512" s="61">
        <f>Allocation[[#This Row],[Total volume used]]/VLOOKUP(Allocation[[#This Row],[Delivery ID]],Delivery[[Delivery ID]:[Quantity delivered]],3,FALSE)</f>
        <v>0.9429151291512915</v>
      </c>
      <c r="V2512" s="34" t="e">
        <f>VLOOKUP(Allocation[[#This Row],[SAP Contract number]],Shipments[[SAP Contract number]:[Contracted container weight]],2,FALSE)</f>
        <v>#N/A</v>
      </c>
      <c r="W2512" s="34" t="e">
        <f>VLOOKUP(Allocation[[#This Row],[SAP Contract number]],Shipments[[SAP Contract number]:[AAA Premium USD]],24,FALSE)</f>
        <v>#N/A</v>
      </c>
      <c r="X2512" s="34" t="e">
        <f>VLOOKUP(Allocation[[#This Row],[SAP Contract number]],Shipments[[SAP Contract number]:[RA Premium USD]],25,FALSE)</f>
        <v>#N/A</v>
      </c>
      <c r="Y2512" s="38">
        <f>Allocation[[#This Row],[Quantity Processed]]/Allocation[[#This Row],[Quantity allocated]]</f>
        <v>2.5000693385106088</v>
      </c>
      <c r="Z2512" s="34" t="b">
        <f>Allocation[[#This Row],[Quantity allocated]]&lt;=Allocation[[#This Row],[Quantity Processed]]</f>
        <v>1</v>
      </c>
    </row>
    <row r="2513" spans="1:26">
      <c r="A2513" s="247" t="s">
        <v>467</v>
      </c>
      <c r="B2513" s="210" t="s">
        <v>68</v>
      </c>
      <c r="C2513" s="254" t="s">
        <v>1704</v>
      </c>
      <c r="D2513" s="255">
        <v>3073</v>
      </c>
      <c r="E2513" s="211" t="s">
        <v>2087</v>
      </c>
      <c r="F2513" s="212">
        <v>43673</v>
      </c>
      <c r="G2513" s="213">
        <v>2.02</v>
      </c>
      <c r="H2513" s="256">
        <v>1229</v>
      </c>
      <c r="I2513" s="214">
        <v>1482489</v>
      </c>
      <c r="J2513" s="215">
        <v>20400</v>
      </c>
      <c r="K2513" s="212">
        <v>43690</v>
      </c>
      <c r="L2513" s="211" t="s">
        <v>2093</v>
      </c>
      <c r="M2513" s="216">
        <v>4615507497</v>
      </c>
      <c r="N2513" s="212"/>
      <c r="O2513" s="218"/>
      <c r="P2513" s="219"/>
      <c r="Q2513" s="34">
        <f>SUMIF(Allocation[Delivery ID],Allocation[[#This Row],[Delivery ID]],Allocation[Quantity Processed])</f>
        <v>25561</v>
      </c>
      <c r="R2513" s="61">
        <f>Allocation[[#This Row],[Total volume used]]/VLOOKUP(Allocation[[#This Row],[Delivery ID]],Delivery[[Delivery ID]:[Quantity delivered]],3,FALSE)</f>
        <v>0.94286241239395052</v>
      </c>
      <c r="S2513" s="34">
        <f>Allocation[[#This Row],[Quantity Processed]]/Allocation[[#This Row],[Dilution rate]]</f>
        <v>1521.2871287128712</v>
      </c>
      <c r="T2513" s="59">
        <f>SUMIF(Allocation[Delivery ID],Allocation[[#This Row],[Delivery ID]],Allocation[Quantity allocated])/SUMIF(Allocation[Delivery ID],Allocation[[#This Row],[Delivery ID]],Allocation[Volume available (kg)])</f>
        <v>0.8696507026449507</v>
      </c>
      <c r="U2513" s="61">
        <f>Allocation[[#This Row],[Total volume used]]/VLOOKUP(Allocation[[#This Row],[Delivery ID]],Delivery[[Delivery ID]:[Quantity delivered]],3,FALSE)</f>
        <v>0.94286241239395052</v>
      </c>
      <c r="V2513" s="34" t="e">
        <f>VLOOKUP(Allocation[[#This Row],[SAP Contract number]],Shipments[[SAP Contract number]:[Contracted container weight]],2,FALSE)</f>
        <v>#N/A</v>
      </c>
      <c r="W2513" s="34" t="e">
        <f>VLOOKUP(Allocation[[#This Row],[SAP Contract number]],Shipments[[SAP Contract number]:[AAA Premium USD]],24,FALSE)</f>
        <v>#N/A</v>
      </c>
      <c r="X2513" s="34" t="e">
        <f>VLOOKUP(Allocation[[#This Row],[SAP Contract number]],Shipments[[SAP Contract number]:[RA Premium USD]],25,FALSE)</f>
        <v>#N/A</v>
      </c>
      <c r="Y2513" s="38">
        <f>Allocation[[#This Row],[Quantity Processed]]/Allocation[[#This Row],[Quantity allocated]]</f>
        <v>2.500406834825061</v>
      </c>
      <c r="Z2513" s="34" t="b">
        <f>Allocation[[#This Row],[Quantity allocated]]&lt;=Allocation[[#This Row],[Quantity Processed]]</f>
        <v>1</v>
      </c>
    </row>
    <row r="2514" spans="1:26">
      <c r="A2514" s="247" t="s">
        <v>467</v>
      </c>
      <c r="B2514" s="210" t="s">
        <v>68</v>
      </c>
      <c r="C2514" s="254" t="s">
        <v>1704</v>
      </c>
      <c r="D2514" s="255">
        <v>14960</v>
      </c>
      <c r="E2514" s="211" t="s">
        <v>2087</v>
      </c>
      <c r="F2514" s="212">
        <v>43673</v>
      </c>
      <c r="G2514" s="213">
        <v>2.02</v>
      </c>
      <c r="H2514" s="256">
        <v>5984</v>
      </c>
      <c r="I2514" s="214">
        <v>1482490</v>
      </c>
      <c r="J2514" s="215">
        <v>20400</v>
      </c>
      <c r="K2514" s="212">
        <v>43690</v>
      </c>
      <c r="L2514" s="211" t="s">
        <v>2094</v>
      </c>
      <c r="M2514" s="216">
        <v>4615507497</v>
      </c>
      <c r="N2514" s="212"/>
      <c r="O2514" s="218"/>
      <c r="P2514" s="219"/>
      <c r="Q2514" s="34">
        <f>SUMIF(Allocation[Delivery ID],Allocation[[#This Row],[Delivery ID]],Allocation[Quantity Processed])</f>
        <v>25561</v>
      </c>
      <c r="R2514" s="61">
        <f>Allocation[[#This Row],[Total volume used]]/VLOOKUP(Allocation[[#This Row],[Delivery ID]],Delivery[[Delivery ID]:[Quantity delivered]],3,FALSE)</f>
        <v>0.94286241239395052</v>
      </c>
      <c r="S2514" s="34">
        <f>Allocation[[#This Row],[Quantity Processed]]/Allocation[[#This Row],[Dilution rate]]</f>
        <v>7405.9405940594061</v>
      </c>
      <c r="T2514" s="59">
        <f>SUMIF(Allocation[Delivery ID],Allocation[[#This Row],[Delivery ID]],Allocation[Quantity allocated])/SUMIF(Allocation[Delivery ID],Allocation[[#This Row],[Delivery ID]],Allocation[Volume available (kg)])</f>
        <v>0.8696507026449507</v>
      </c>
      <c r="U2514" s="61">
        <f>Allocation[[#This Row],[Total volume used]]/VLOOKUP(Allocation[[#This Row],[Delivery ID]],Delivery[[Delivery ID]:[Quantity delivered]],3,FALSE)</f>
        <v>0.94286241239395052</v>
      </c>
      <c r="V2514" s="34" t="e">
        <f>VLOOKUP(Allocation[[#This Row],[SAP Contract number]],Shipments[[SAP Contract number]:[Contracted container weight]],2,FALSE)</f>
        <v>#N/A</v>
      </c>
      <c r="W2514" s="34" t="e">
        <f>VLOOKUP(Allocation[[#This Row],[SAP Contract number]],Shipments[[SAP Contract number]:[AAA Premium USD]],24,FALSE)</f>
        <v>#N/A</v>
      </c>
      <c r="X2514" s="34" t="e">
        <f>VLOOKUP(Allocation[[#This Row],[SAP Contract number]],Shipments[[SAP Contract number]:[RA Premium USD]],25,FALSE)</f>
        <v>#N/A</v>
      </c>
      <c r="Y2514" s="38">
        <f>Allocation[[#This Row],[Quantity Processed]]/Allocation[[#This Row],[Quantity allocated]]</f>
        <v>2.5</v>
      </c>
      <c r="Z2514" s="34" t="b">
        <f>Allocation[[#This Row],[Quantity allocated]]&lt;=Allocation[[#This Row],[Quantity Processed]]</f>
        <v>1</v>
      </c>
    </row>
    <row r="2515" spans="1:26">
      <c r="A2515" s="247" t="s">
        <v>467</v>
      </c>
      <c r="B2515" s="210" t="s">
        <v>68</v>
      </c>
      <c r="C2515" s="254" t="s">
        <v>1790</v>
      </c>
      <c r="D2515" s="255">
        <v>15887</v>
      </c>
      <c r="E2515" s="211" t="s">
        <v>2087</v>
      </c>
      <c r="F2515" s="212">
        <v>43673</v>
      </c>
      <c r="G2515" s="213">
        <v>2.02</v>
      </c>
      <c r="H2515" s="256">
        <v>6800</v>
      </c>
      <c r="I2515" s="214">
        <v>1482490</v>
      </c>
      <c r="J2515" s="215">
        <v>20400</v>
      </c>
      <c r="K2515" s="212">
        <v>43690</v>
      </c>
      <c r="L2515" s="211" t="s">
        <v>2094</v>
      </c>
      <c r="M2515" s="216">
        <v>4615507497</v>
      </c>
      <c r="N2515" s="212"/>
      <c r="O2515" s="218"/>
      <c r="P2515" s="219"/>
      <c r="Q2515" s="34">
        <f>SUMIF(Allocation[Delivery ID],Allocation[[#This Row],[Delivery ID]],Allocation[Quantity Processed])</f>
        <v>33360</v>
      </c>
      <c r="R2515" s="61">
        <f>Allocation[[#This Row],[Total volume used]]/VLOOKUP(Allocation[[#This Row],[Delivery ID]],Delivery[[Delivery ID]:[Quantity delivered]],3,FALSE)</f>
        <v>1</v>
      </c>
      <c r="S2515" s="34">
        <f>Allocation[[#This Row],[Quantity Processed]]/Allocation[[#This Row],[Dilution rate]]</f>
        <v>7864.8514851485152</v>
      </c>
      <c r="T2515" s="59">
        <f>SUMIF(Allocation[Delivery ID],Allocation[[#This Row],[Delivery ID]],Allocation[Quantity allocated])/SUMIF(Allocation[Delivery ID],Allocation[[#This Row],[Delivery ID]],Allocation[Volume available (kg)])</f>
        <v>0.98629285076212725</v>
      </c>
      <c r="U2515" s="61">
        <f>Allocation[[#This Row],[Total volume used]]/VLOOKUP(Allocation[[#This Row],[Delivery ID]],Delivery[[Delivery ID]:[Quantity delivered]],3,FALSE)</f>
        <v>1</v>
      </c>
      <c r="V2515" s="34" t="e">
        <f>VLOOKUP(Allocation[[#This Row],[SAP Contract number]],Shipments[[SAP Contract number]:[Contracted container weight]],2,FALSE)</f>
        <v>#N/A</v>
      </c>
      <c r="W2515" s="34" t="e">
        <f>VLOOKUP(Allocation[[#This Row],[SAP Contract number]],Shipments[[SAP Contract number]:[AAA Premium USD]],24,FALSE)</f>
        <v>#N/A</v>
      </c>
      <c r="X2515" s="34" t="e">
        <f>VLOOKUP(Allocation[[#This Row],[SAP Contract number]],Shipments[[SAP Contract number]:[RA Premium USD]],25,FALSE)</f>
        <v>#N/A</v>
      </c>
      <c r="Y2515" s="38">
        <f>Allocation[[#This Row],[Quantity Processed]]/Allocation[[#This Row],[Quantity allocated]]</f>
        <v>2.3363235294117648</v>
      </c>
      <c r="Z2515" s="34" t="b">
        <f>Allocation[[#This Row],[Quantity allocated]]&lt;=Allocation[[#This Row],[Quantity Processed]]</f>
        <v>1</v>
      </c>
    </row>
    <row r="2516" spans="1:26">
      <c r="A2516" s="247" t="s">
        <v>467</v>
      </c>
      <c r="B2516" s="210" t="s">
        <v>68</v>
      </c>
      <c r="C2516" s="254" t="s">
        <v>2038</v>
      </c>
      <c r="D2516" s="255">
        <v>15536</v>
      </c>
      <c r="E2516" s="211" t="s">
        <v>2087</v>
      </c>
      <c r="F2516" s="212">
        <v>43673</v>
      </c>
      <c r="G2516" s="213">
        <v>2.02</v>
      </c>
      <c r="H2516" s="256">
        <v>7616</v>
      </c>
      <c r="I2516" s="214">
        <v>1482490</v>
      </c>
      <c r="J2516" s="215">
        <v>20400</v>
      </c>
      <c r="K2516" s="212">
        <v>43690</v>
      </c>
      <c r="L2516" s="211" t="s">
        <v>2094</v>
      </c>
      <c r="M2516" s="216">
        <v>4615507497</v>
      </c>
      <c r="N2516" s="212"/>
      <c r="O2516" s="218"/>
      <c r="P2516" s="219"/>
      <c r="Q2516" s="34">
        <f>SUMIF(Allocation[Delivery ID],Allocation[[#This Row],[Delivery ID]],Allocation[Quantity Processed])</f>
        <v>26640</v>
      </c>
      <c r="R2516" s="61">
        <f>Allocation[[#This Row],[Total volume used]]/VLOOKUP(Allocation[[#This Row],[Delivery ID]],Delivery[[Delivery ID]:[Quantity delivered]],3,FALSE)</f>
        <v>0.87920792079207921</v>
      </c>
      <c r="S2516" s="34">
        <f>Allocation[[#This Row],[Quantity Processed]]/Allocation[[#This Row],[Dilution rate]]</f>
        <v>7691.0891089108909</v>
      </c>
      <c r="T2516" s="59">
        <f>SUMIF(Allocation[Delivery ID],Allocation[[#This Row],[Delivery ID]],Allocation[Quantity allocated])/SUMIF(Allocation[Delivery ID],Allocation[[#This Row],[Delivery ID]],Allocation[Volume available (kg)])</f>
        <v>0.99020945945945948</v>
      </c>
      <c r="U2516" s="61">
        <f>Allocation[[#This Row],[Total volume used]]/VLOOKUP(Allocation[[#This Row],[Delivery ID]],Delivery[[Delivery ID]:[Quantity delivered]],3,FALSE)</f>
        <v>0.87920792079207921</v>
      </c>
      <c r="V2516" s="34" t="e">
        <f>VLOOKUP(Allocation[[#This Row],[SAP Contract number]],Shipments[[SAP Contract number]:[Contracted container weight]],2,FALSE)</f>
        <v>#N/A</v>
      </c>
      <c r="W2516" s="34" t="e">
        <f>VLOOKUP(Allocation[[#This Row],[SAP Contract number]],Shipments[[SAP Contract number]:[AAA Premium USD]],24,FALSE)</f>
        <v>#N/A</v>
      </c>
      <c r="X2516" s="34" t="e">
        <f>VLOOKUP(Allocation[[#This Row],[SAP Contract number]],Shipments[[SAP Contract number]:[RA Premium USD]],25,FALSE)</f>
        <v>#N/A</v>
      </c>
      <c r="Y2516" s="38">
        <f>Allocation[[#This Row],[Quantity Processed]]/Allocation[[#This Row],[Quantity allocated]]</f>
        <v>2.0399159663865545</v>
      </c>
      <c r="Z2516" s="34" t="b">
        <f>Allocation[[#This Row],[Quantity allocated]]&lt;=Allocation[[#This Row],[Quantity Processed]]</f>
        <v>1</v>
      </c>
    </row>
    <row r="2517" spans="1:26">
      <c r="A2517" s="247" t="s">
        <v>467</v>
      </c>
      <c r="B2517" s="210" t="s">
        <v>68</v>
      </c>
      <c r="C2517" s="254" t="s">
        <v>2038</v>
      </c>
      <c r="D2517" s="255">
        <v>11104</v>
      </c>
      <c r="E2517" s="211" t="s">
        <v>2087</v>
      </c>
      <c r="F2517" s="212">
        <v>43673</v>
      </c>
      <c r="G2517" s="213">
        <v>2.02</v>
      </c>
      <c r="H2517" s="256">
        <v>5443</v>
      </c>
      <c r="I2517" s="214">
        <v>1482491</v>
      </c>
      <c r="J2517" s="215">
        <v>20400</v>
      </c>
      <c r="K2517" s="212">
        <v>43690</v>
      </c>
      <c r="L2517" s="211" t="s">
        <v>2095</v>
      </c>
      <c r="M2517" s="216">
        <v>4615507497</v>
      </c>
      <c r="N2517" s="212"/>
      <c r="O2517" s="218"/>
      <c r="P2517" s="219"/>
      <c r="Q2517" s="34">
        <f>SUMIF(Allocation[Delivery ID],Allocation[[#This Row],[Delivery ID]],Allocation[Quantity Processed])</f>
        <v>26640</v>
      </c>
      <c r="R2517" s="61">
        <f>Allocation[[#This Row],[Total volume used]]/VLOOKUP(Allocation[[#This Row],[Delivery ID]],Delivery[[Delivery ID]:[Quantity delivered]],3,FALSE)</f>
        <v>0.87920792079207921</v>
      </c>
      <c r="S2517" s="34">
        <f>Allocation[[#This Row],[Quantity Processed]]/Allocation[[#This Row],[Dilution rate]]</f>
        <v>5497.029702970297</v>
      </c>
      <c r="T2517" s="59">
        <f>SUMIF(Allocation[Delivery ID],Allocation[[#This Row],[Delivery ID]],Allocation[Quantity allocated])/SUMIF(Allocation[Delivery ID],Allocation[[#This Row],[Delivery ID]],Allocation[Volume available (kg)])</f>
        <v>0.99020945945945948</v>
      </c>
      <c r="U2517" s="61">
        <f>Allocation[[#This Row],[Total volume used]]/VLOOKUP(Allocation[[#This Row],[Delivery ID]],Delivery[[Delivery ID]:[Quantity delivered]],3,FALSE)</f>
        <v>0.87920792079207921</v>
      </c>
      <c r="V2517" s="34" t="e">
        <f>VLOOKUP(Allocation[[#This Row],[SAP Contract number]],Shipments[[SAP Contract number]:[Contracted container weight]],2,FALSE)</f>
        <v>#N/A</v>
      </c>
      <c r="W2517" s="34" t="e">
        <f>VLOOKUP(Allocation[[#This Row],[SAP Contract number]],Shipments[[SAP Contract number]:[AAA Premium USD]],24,FALSE)</f>
        <v>#N/A</v>
      </c>
      <c r="X2517" s="34" t="e">
        <f>VLOOKUP(Allocation[[#This Row],[SAP Contract number]],Shipments[[SAP Contract number]:[RA Premium USD]],25,FALSE)</f>
        <v>#N/A</v>
      </c>
      <c r="Y2517" s="38">
        <f>Allocation[[#This Row],[Quantity Processed]]/Allocation[[#This Row],[Quantity allocated]]</f>
        <v>2.0400514422193643</v>
      </c>
      <c r="Z2517" s="34" t="b">
        <f>Allocation[[#This Row],[Quantity allocated]]&lt;=Allocation[[#This Row],[Quantity Processed]]</f>
        <v>1</v>
      </c>
    </row>
    <row r="2518" spans="1:26">
      <c r="A2518" s="247" t="s">
        <v>467</v>
      </c>
      <c r="B2518" s="210" t="s">
        <v>68</v>
      </c>
      <c r="C2518" s="254" t="s">
        <v>2039</v>
      </c>
      <c r="D2518" s="255">
        <v>25853</v>
      </c>
      <c r="E2518" s="211" t="s">
        <v>2087</v>
      </c>
      <c r="F2518" s="212">
        <v>43673</v>
      </c>
      <c r="G2518" s="213">
        <v>2.02</v>
      </c>
      <c r="H2518" s="256">
        <v>13702</v>
      </c>
      <c r="I2518" s="214">
        <v>1482491</v>
      </c>
      <c r="J2518" s="215">
        <v>20400</v>
      </c>
      <c r="K2518" s="212">
        <v>43690</v>
      </c>
      <c r="L2518" s="211" t="s">
        <v>2095</v>
      </c>
      <c r="M2518" s="216">
        <v>4615507497</v>
      </c>
      <c r="N2518" s="212"/>
      <c r="O2518" s="218"/>
      <c r="P2518" s="219"/>
      <c r="Q2518" s="34">
        <f>SUMIF(Allocation[Delivery ID],Allocation[[#This Row],[Delivery ID]],Allocation[Quantity Processed])</f>
        <v>25853</v>
      </c>
      <c r="R2518" s="61">
        <f>Allocation[[#This Row],[Total volume used]]/VLOOKUP(Allocation[[#This Row],[Delivery ID]],Delivery[[Delivery ID]:[Quantity delivered]],3,FALSE)</f>
        <v>0.81324315822585713</v>
      </c>
      <c r="S2518" s="34">
        <f>Allocation[[#This Row],[Quantity Processed]]/Allocation[[#This Row],[Dilution rate]]</f>
        <v>12798.514851485148</v>
      </c>
      <c r="T2518" s="59">
        <f>SUMIF(Allocation[Delivery ID],Allocation[[#This Row],[Delivery ID]],Allocation[Quantity allocated])/SUMIF(Allocation[Delivery ID],Allocation[[#This Row],[Delivery ID]],Allocation[Volume available (kg)])</f>
        <v>1.0705929679340889</v>
      </c>
      <c r="U2518" s="61">
        <f>Allocation[[#This Row],[Total volume used]]/VLOOKUP(Allocation[[#This Row],[Delivery ID]],Delivery[[Delivery ID]:[Quantity delivered]],3,FALSE)</f>
        <v>0.81324315822585713</v>
      </c>
      <c r="V2518" s="34" t="e">
        <f>VLOOKUP(Allocation[[#This Row],[SAP Contract number]],Shipments[[SAP Contract number]:[Contracted container weight]],2,FALSE)</f>
        <v>#N/A</v>
      </c>
      <c r="W2518" s="34" t="e">
        <f>VLOOKUP(Allocation[[#This Row],[SAP Contract number]],Shipments[[SAP Contract number]:[AAA Premium USD]],24,FALSE)</f>
        <v>#N/A</v>
      </c>
      <c r="X2518" s="34" t="e">
        <f>VLOOKUP(Allocation[[#This Row],[SAP Contract number]],Shipments[[SAP Contract number]:[RA Premium USD]],25,FALSE)</f>
        <v>#N/A</v>
      </c>
      <c r="Y2518" s="38">
        <f>Allocation[[#This Row],[Quantity Processed]]/Allocation[[#This Row],[Quantity allocated]]</f>
        <v>1.8868048460078821</v>
      </c>
      <c r="Z2518" s="34" t="b">
        <f>Allocation[[#This Row],[Quantity allocated]]&lt;=Allocation[[#This Row],[Quantity Processed]]</f>
        <v>1</v>
      </c>
    </row>
    <row r="2519" spans="1:26">
      <c r="A2519" s="247" t="s">
        <v>467</v>
      </c>
      <c r="B2519" s="210" t="s">
        <v>68</v>
      </c>
      <c r="C2519" s="254" t="s">
        <v>2040</v>
      </c>
      <c r="D2519" s="255">
        <v>2368</v>
      </c>
      <c r="E2519" s="211" t="s">
        <v>2087</v>
      </c>
      <c r="F2519" s="212">
        <v>43673</v>
      </c>
      <c r="G2519" s="213">
        <v>2.02</v>
      </c>
      <c r="H2519" s="256">
        <v>1255</v>
      </c>
      <c r="I2519" s="214">
        <v>1482491</v>
      </c>
      <c r="J2519" s="215">
        <v>20400</v>
      </c>
      <c r="K2519" s="212">
        <v>43690</v>
      </c>
      <c r="L2519" s="211" t="s">
        <v>2095</v>
      </c>
      <c r="M2519" s="216">
        <v>4615507497</v>
      </c>
      <c r="N2519" s="212"/>
      <c r="O2519" s="218"/>
      <c r="P2519" s="219"/>
      <c r="Q2519" s="34">
        <f>SUMIF(Allocation[Delivery ID],Allocation[[#This Row],[Delivery ID]],Allocation[Quantity Processed])</f>
        <v>25868</v>
      </c>
      <c r="R2519" s="61">
        <f>Allocation[[#This Row],[Total volume used]]/VLOOKUP(Allocation[[#This Row],[Delivery ID]],Delivery[[Delivery ID]:[Quantity delivered]],3,FALSE)</f>
        <v>0.81320339515875506</v>
      </c>
      <c r="S2519" s="34">
        <f>Allocation[[#This Row],[Quantity Processed]]/Allocation[[#This Row],[Dilution rate]]</f>
        <v>1172.2772277227723</v>
      </c>
      <c r="T2519" s="59">
        <f>SUMIF(Allocation[Delivery ID],Allocation[[#This Row],[Delivery ID]],Allocation[Quantity allocated])/SUMIF(Allocation[Delivery ID],Allocation[[#This Row],[Delivery ID]],Allocation[Volume available (kg)])</f>
        <v>1.0705968764496676</v>
      </c>
      <c r="U2519" s="61">
        <f>Allocation[[#This Row],[Total volume used]]/VLOOKUP(Allocation[[#This Row],[Delivery ID]],Delivery[[Delivery ID]:[Quantity delivered]],3,FALSE)</f>
        <v>0.81320339515875506</v>
      </c>
      <c r="V2519" s="34" t="e">
        <f>VLOOKUP(Allocation[[#This Row],[SAP Contract number]],Shipments[[SAP Contract number]:[Contracted container weight]],2,FALSE)</f>
        <v>#N/A</v>
      </c>
      <c r="W2519" s="34" t="e">
        <f>VLOOKUP(Allocation[[#This Row],[SAP Contract number]],Shipments[[SAP Contract number]:[AAA Premium USD]],24,FALSE)</f>
        <v>#N/A</v>
      </c>
      <c r="X2519" s="34" t="e">
        <f>VLOOKUP(Allocation[[#This Row],[SAP Contract number]],Shipments[[SAP Contract number]:[RA Premium USD]],25,FALSE)</f>
        <v>#N/A</v>
      </c>
      <c r="Y2519" s="38">
        <f>Allocation[[#This Row],[Quantity Processed]]/Allocation[[#This Row],[Quantity allocated]]</f>
        <v>1.8868525896414343</v>
      </c>
      <c r="Z2519" s="34" t="b">
        <f>Allocation[[#This Row],[Quantity allocated]]&lt;=Allocation[[#This Row],[Quantity Processed]]</f>
        <v>1</v>
      </c>
    </row>
    <row r="2520" spans="1:26">
      <c r="A2520" s="247" t="s">
        <v>467</v>
      </c>
      <c r="B2520" s="210" t="s">
        <v>68</v>
      </c>
      <c r="C2520" s="254" t="s">
        <v>2040</v>
      </c>
      <c r="D2520" s="255">
        <v>23500</v>
      </c>
      <c r="E2520" s="211" t="s">
        <v>2087</v>
      </c>
      <c r="F2520" s="212">
        <v>43673</v>
      </c>
      <c r="G2520" s="213">
        <v>2.02</v>
      </c>
      <c r="H2520" s="256">
        <v>12455</v>
      </c>
      <c r="I2520" s="214">
        <v>1482496</v>
      </c>
      <c r="J2520" s="215">
        <v>20400</v>
      </c>
      <c r="K2520" s="212">
        <v>43690</v>
      </c>
      <c r="L2520" s="211" t="s">
        <v>2096</v>
      </c>
      <c r="M2520" s="216">
        <v>4615507497</v>
      </c>
      <c r="N2520" s="212"/>
      <c r="O2520" s="218"/>
      <c r="P2520" s="219"/>
      <c r="Q2520" s="34">
        <f>SUMIF(Allocation[Delivery ID],Allocation[[#This Row],[Delivery ID]],Allocation[Quantity Processed])</f>
        <v>25868</v>
      </c>
      <c r="R2520" s="61">
        <f>Allocation[[#This Row],[Total volume used]]/VLOOKUP(Allocation[[#This Row],[Delivery ID]],Delivery[[Delivery ID]:[Quantity delivered]],3,FALSE)</f>
        <v>0.81320339515875506</v>
      </c>
      <c r="S2520" s="34">
        <f>Allocation[[#This Row],[Quantity Processed]]/Allocation[[#This Row],[Dilution rate]]</f>
        <v>11633.663366336634</v>
      </c>
      <c r="T2520" s="59">
        <f>SUMIF(Allocation[Delivery ID],Allocation[[#This Row],[Delivery ID]],Allocation[Quantity allocated])/SUMIF(Allocation[Delivery ID],Allocation[[#This Row],[Delivery ID]],Allocation[Volume available (kg)])</f>
        <v>1.0705968764496676</v>
      </c>
      <c r="U2520" s="61">
        <f>Allocation[[#This Row],[Total volume used]]/VLOOKUP(Allocation[[#This Row],[Delivery ID]],Delivery[[Delivery ID]:[Quantity delivered]],3,FALSE)</f>
        <v>0.81320339515875506</v>
      </c>
      <c r="V2520" s="34" t="e">
        <f>VLOOKUP(Allocation[[#This Row],[SAP Contract number]],Shipments[[SAP Contract number]:[Contracted container weight]],2,FALSE)</f>
        <v>#N/A</v>
      </c>
      <c r="W2520" s="34" t="e">
        <f>VLOOKUP(Allocation[[#This Row],[SAP Contract number]],Shipments[[SAP Contract number]:[AAA Premium USD]],24,FALSE)</f>
        <v>#N/A</v>
      </c>
      <c r="X2520" s="34" t="e">
        <f>VLOOKUP(Allocation[[#This Row],[SAP Contract number]],Shipments[[SAP Contract number]:[RA Premium USD]],25,FALSE)</f>
        <v>#N/A</v>
      </c>
      <c r="Y2520" s="38">
        <f>Allocation[[#This Row],[Quantity Processed]]/Allocation[[#This Row],[Quantity allocated]]</f>
        <v>1.8867924528301887</v>
      </c>
      <c r="Z2520" s="34" t="b">
        <f>Allocation[[#This Row],[Quantity allocated]]&lt;=Allocation[[#This Row],[Quantity Processed]]</f>
        <v>1</v>
      </c>
    </row>
    <row r="2521" spans="1:26">
      <c r="A2521" s="247" t="s">
        <v>467</v>
      </c>
      <c r="B2521" s="210" t="s">
        <v>68</v>
      </c>
      <c r="C2521" s="254" t="s">
        <v>2041</v>
      </c>
      <c r="D2521" s="255">
        <v>14990</v>
      </c>
      <c r="E2521" s="211" t="s">
        <v>2087</v>
      </c>
      <c r="F2521" s="212">
        <v>43673</v>
      </c>
      <c r="G2521" s="213">
        <v>2.02</v>
      </c>
      <c r="H2521" s="256">
        <v>7945</v>
      </c>
      <c r="I2521" s="214">
        <v>1482496</v>
      </c>
      <c r="J2521" s="215">
        <v>20400</v>
      </c>
      <c r="K2521" s="212">
        <v>43690</v>
      </c>
      <c r="L2521" s="211" t="s">
        <v>2096</v>
      </c>
      <c r="M2521" s="216">
        <v>4615507497</v>
      </c>
      <c r="N2521" s="212"/>
      <c r="O2521" s="218"/>
      <c r="P2521" s="219"/>
      <c r="Q2521" s="34">
        <f>SUMIF(Allocation[Delivery ID],Allocation[[#This Row],[Delivery ID]],Allocation[Quantity Processed])</f>
        <v>25860</v>
      </c>
      <c r="R2521" s="61">
        <f>Allocation[[#This Row],[Total volume used]]/VLOOKUP(Allocation[[#This Row],[Delivery ID]],Delivery[[Delivery ID]:[Quantity delivered]],3,FALSE)</f>
        <v>0.81320754716981136</v>
      </c>
      <c r="S2521" s="34">
        <f>Allocation[[#This Row],[Quantity Processed]]/Allocation[[#This Row],[Dilution rate]]</f>
        <v>7420.7920792079203</v>
      </c>
      <c r="T2521" s="59">
        <f>SUMIF(Allocation[Delivery ID],Allocation[[#This Row],[Delivery ID]],Allocation[Quantity allocated])/SUMIF(Allocation[Delivery ID],Allocation[[#This Row],[Delivery ID]],Allocation[Volume available (kg)])</f>
        <v>1.07061562258314</v>
      </c>
      <c r="U2521" s="61">
        <f>Allocation[[#This Row],[Total volume used]]/VLOOKUP(Allocation[[#This Row],[Delivery ID]],Delivery[[Delivery ID]:[Quantity delivered]],3,FALSE)</f>
        <v>0.81320754716981136</v>
      </c>
      <c r="V2521" s="34" t="e">
        <f>VLOOKUP(Allocation[[#This Row],[SAP Contract number]],Shipments[[SAP Contract number]:[Contracted container weight]],2,FALSE)</f>
        <v>#N/A</v>
      </c>
      <c r="W2521" s="34" t="e">
        <f>VLOOKUP(Allocation[[#This Row],[SAP Contract number]],Shipments[[SAP Contract number]:[AAA Premium USD]],24,FALSE)</f>
        <v>#N/A</v>
      </c>
      <c r="X2521" s="34" t="e">
        <f>VLOOKUP(Allocation[[#This Row],[SAP Contract number]],Shipments[[SAP Contract number]:[RA Premium USD]],25,FALSE)</f>
        <v>#N/A</v>
      </c>
      <c r="Y2521" s="38">
        <f>Allocation[[#This Row],[Quantity Processed]]/Allocation[[#This Row],[Quantity allocated]]</f>
        <v>1.8867212083071114</v>
      </c>
      <c r="Z2521" s="34" t="b">
        <f>Allocation[[#This Row],[Quantity allocated]]&lt;=Allocation[[#This Row],[Quantity Processed]]</f>
        <v>1</v>
      </c>
    </row>
    <row r="2522" spans="1:26">
      <c r="A2522" s="247" t="s">
        <v>467</v>
      </c>
      <c r="B2522" s="210" t="s">
        <v>68</v>
      </c>
      <c r="C2522" s="254" t="s">
        <v>2041</v>
      </c>
      <c r="D2522" s="255">
        <v>10870</v>
      </c>
      <c r="E2522" s="211" t="s">
        <v>2087</v>
      </c>
      <c r="F2522" s="212">
        <v>43673</v>
      </c>
      <c r="G2522" s="213">
        <v>2.02</v>
      </c>
      <c r="H2522" s="256">
        <v>5761</v>
      </c>
      <c r="I2522" s="214">
        <v>1482497</v>
      </c>
      <c r="J2522" s="215">
        <v>8100</v>
      </c>
      <c r="K2522" s="212">
        <v>43690</v>
      </c>
      <c r="L2522" s="211" t="s">
        <v>2097</v>
      </c>
      <c r="M2522" s="216">
        <v>4615507497</v>
      </c>
      <c r="N2522" s="212"/>
      <c r="O2522" s="218"/>
      <c r="P2522" s="219"/>
      <c r="Q2522" s="34">
        <f>SUMIF(Allocation[Delivery ID],Allocation[[#This Row],[Delivery ID]],Allocation[Quantity Processed])</f>
        <v>25860</v>
      </c>
      <c r="R2522" s="61">
        <f>Allocation[[#This Row],[Total volume used]]/VLOOKUP(Allocation[[#This Row],[Delivery ID]],Delivery[[Delivery ID]:[Quantity delivered]],3,FALSE)</f>
        <v>0.81320754716981136</v>
      </c>
      <c r="S2522" s="34">
        <f>Allocation[[#This Row],[Quantity Processed]]/Allocation[[#This Row],[Dilution rate]]</f>
        <v>5381.1881188118814</v>
      </c>
      <c r="T2522" s="59">
        <f>SUMIF(Allocation[Delivery ID],Allocation[[#This Row],[Delivery ID]],Allocation[Quantity allocated])/SUMIF(Allocation[Delivery ID],Allocation[[#This Row],[Delivery ID]],Allocation[Volume available (kg)])</f>
        <v>1.07061562258314</v>
      </c>
      <c r="U2522" s="61">
        <f>Allocation[[#This Row],[Total volume used]]/VLOOKUP(Allocation[[#This Row],[Delivery ID]],Delivery[[Delivery ID]:[Quantity delivered]],3,FALSE)</f>
        <v>0.81320754716981136</v>
      </c>
      <c r="V2522" s="34" t="e">
        <f>VLOOKUP(Allocation[[#This Row],[SAP Contract number]],Shipments[[SAP Contract number]:[Contracted container weight]],2,FALSE)</f>
        <v>#N/A</v>
      </c>
      <c r="W2522" s="34" t="e">
        <f>VLOOKUP(Allocation[[#This Row],[SAP Contract number]],Shipments[[SAP Contract number]:[AAA Premium USD]],24,FALSE)</f>
        <v>#N/A</v>
      </c>
      <c r="X2522" s="34" t="e">
        <f>VLOOKUP(Allocation[[#This Row],[SAP Contract number]],Shipments[[SAP Contract number]:[RA Premium USD]],25,FALSE)</f>
        <v>#N/A</v>
      </c>
      <c r="Y2522" s="38">
        <f>Allocation[[#This Row],[Quantity Processed]]/Allocation[[#This Row],[Quantity allocated]]</f>
        <v>1.8868252039576463</v>
      </c>
      <c r="Z2522" s="34" t="b">
        <f>Allocation[[#This Row],[Quantity allocated]]&lt;=Allocation[[#This Row],[Quantity Processed]]</f>
        <v>1</v>
      </c>
    </row>
    <row r="2523" spans="1:26">
      <c r="A2523" s="247" t="s">
        <v>467</v>
      </c>
      <c r="B2523" s="210" t="s">
        <v>68</v>
      </c>
      <c r="C2523" s="254" t="s">
        <v>2042</v>
      </c>
      <c r="D2523" s="255">
        <v>4413</v>
      </c>
      <c r="E2523" s="211" t="s">
        <v>2087</v>
      </c>
      <c r="F2523" s="212">
        <v>43673</v>
      </c>
      <c r="G2523" s="213">
        <v>2.02</v>
      </c>
      <c r="H2523" s="256">
        <v>2339</v>
      </c>
      <c r="I2523" s="214">
        <v>1482497</v>
      </c>
      <c r="J2523" s="215">
        <v>8100</v>
      </c>
      <c r="K2523" s="212">
        <v>43690</v>
      </c>
      <c r="L2523" s="211" t="s">
        <v>2097</v>
      </c>
      <c r="M2523" s="216">
        <v>4615507497</v>
      </c>
      <c r="N2523" s="212"/>
      <c r="O2523" s="218"/>
      <c r="P2523" s="219"/>
      <c r="Q2523" s="34">
        <f>SUMIF(Allocation[Delivery ID],Allocation[[#This Row],[Delivery ID]],Allocation[Quantity Processed])</f>
        <v>25868</v>
      </c>
      <c r="R2523" s="61">
        <f>Allocation[[#This Row],[Total volume used]]/VLOOKUP(Allocation[[#This Row],[Delivery ID]],Delivery[[Delivery ID]:[Quantity delivered]],3,FALSE)</f>
        <v>0.81320339515875506</v>
      </c>
      <c r="S2523" s="34">
        <f>Allocation[[#This Row],[Quantity Processed]]/Allocation[[#This Row],[Dilution rate]]</f>
        <v>2184.6534653465346</v>
      </c>
      <c r="T2523" s="59">
        <f>SUMIF(Allocation[Delivery ID],Allocation[[#This Row],[Delivery ID]],Allocation[Quantity allocated])/SUMIF(Allocation[Delivery ID],Allocation[[#This Row],[Delivery ID]],Allocation[Volume available (kg)])</f>
        <v>1.0705968764496676</v>
      </c>
      <c r="U2523" s="61">
        <f>Allocation[[#This Row],[Total volume used]]/VLOOKUP(Allocation[[#This Row],[Delivery ID]],Delivery[[Delivery ID]:[Quantity delivered]],3,FALSE)</f>
        <v>0.81320339515875506</v>
      </c>
      <c r="V2523" s="34" t="e">
        <f>VLOOKUP(Allocation[[#This Row],[SAP Contract number]],Shipments[[SAP Contract number]:[Contracted container weight]],2,FALSE)</f>
        <v>#N/A</v>
      </c>
      <c r="W2523" s="34" t="e">
        <f>VLOOKUP(Allocation[[#This Row],[SAP Contract number]],Shipments[[SAP Contract number]:[AAA Premium USD]],24,FALSE)</f>
        <v>#N/A</v>
      </c>
      <c r="X2523" s="34" t="e">
        <f>VLOOKUP(Allocation[[#This Row],[SAP Contract number]],Shipments[[SAP Contract number]:[RA Premium USD]],25,FALSE)</f>
        <v>#N/A</v>
      </c>
      <c r="Y2523" s="38">
        <f>Allocation[[#This Row],[Quantity Processed]]/Allocation[[#This Row],[Quantity allocated]]</f>
        <v>1.8867037195382643</v>
      </c>
      <c r="Z2523" s="34" t="b">
        <f>Allocation[[#This Row],[Quantity allocated]]&lt;=Allocation[[#This Row],[Quantity Processed]]</f>
        <v>1</v>
      </c>
    </row>
    <row r="2524" spans="1:26">
      <c r="A2524" s="247" t="s">
        <v>467</v>
      </c>
      <c r="B2524" s="210" t="s">
        <v>68</v>
      </c>
      <c r="C2524" s="254" t="s">
        <v>2042</v>
      </c>
      <c r="D2524" s="255">
        <v>21455</v>
      </c>
      <c r="E2524" s="211" t="s">
        <v>2087</v>
      </c>
      <c r="F2524" s="212">
        <v>43673</v>
      </c>
      <c r="G2524" s="213">
        <v>2.02</v>
      </c>
      <c r="H2524" s="256">
        <v>11371</v>
      </c>
      <c r="I2524" s="214">
        <v>1482497</v>
      </c>
      <c r="J2524" s="215">
        <v>11880</v>
      </c>
      <c r="K2524" s="212">
        <v>43690</v>
      </c>
      <c r="L2524" s="211" t="s">
        <v>2097</v>
      </c>
      <c r="M2524" s="216">
        <v>4615507497</v>
      </c>
      <c r="N2524" s="212"/>
      <c r="O2524" s="218"/>
      <c r="P2524" s="219"/>
      <c r="Q2524" s="34">
        <f>SUMIF(Allocation[Delivery ID],Allocation[[#This Row],[Delivery ID]],Allocation[Quantity Processed])</f>
        <v>25868</v>
      </c>
      <c r="R2524" s="61">
        <f>Allocation[[#This Row],[Total volume used]]/VLOOKUP(Allocation[[#This Row],[Delivery ID]],Delivery[[Delivery ID]:[Quantity delivered]],3,FALSE)</f>
        <v>0.81320339515875506</v>
      </c>
      <c r="S2524" s="34">
        <f>Allocation[[#This Row],[Quantity Processed]]/Allocation[[#This Row],[Dilution rate]]</f>
        <v>10621.287128712871</v>
      </c>
      <c r="T2524" s="59">
        <f>SUMIF(Allocation[Delivery ID],Allocation[[#This Row],[Delivery ID]],Allocation[Quantity allocated])/SUMIF(Allocation[Delivery ID],Allocation[[#This Row],[Delivery ID]],Allocation[Volume available (kg)])</f>
        <v>1.0705968764496676</v>
      </c>
      <c r="U2524" s="61">
        <f>Allocation[[#This Row],[Total volume used]]/VLOOKUP(Allocation[[#This Row],[Delivery ID]],Delivery[[Delivery ID]:[Quantity delivered]],3,FALSE)</f>
        <v>0.81320339515875506</v>
      </c>
      <c r="V2524" s="34" t="e">
        <f>VLOOKUP(Allocation[[#This Row],[SAP Contract number]],Shipments[[SAP Contract number]:[Contracted container weight]],2,FALSE)</f>
        <v>#N/A</v>
      </c>
      <c r="W2524" s="34" t="e">
        <f>VLOOKUP(Allocation[[#This Row],[SAP Contract number]],Shipments[[SAP Contract number]:[AAA Premium USD]],24,FALSE)</f>
        <v>#N/A</v>
      </c>
      <c r="X2524" s="34" t="e">
        <f>VLOOKUP(Allocation[[#This Row],[SAP Contract number]],Shipments[[SAP Contract number]:[RA Premium USD]],25,FALSE)</f>
        <v>#N/A</v>
      </c>
      <c r="Y2524" s="38">
        <f>Allocation[[#This Row],[Quantity Processed]]/Allocation[[#This Row],[Quantity allocated]]</f>
        <v>1.8868173423621493</v>
      </c>
      <c r="Z2524" s="34" t="b">
        <f>Allocation[[#This Row],[Quantity allocated]]&lt;=Allocation[[#This Row],[Quantity Processed]]</f>
        <v>1</v>
      </c>
    </row>
    <row r="2525" spans="1:26">
      <c r="A2525" s="247" t="s">
        <v>467</v>
      </c>
      <c r="B2525" s="210" t="s">
        <v>68</v>
      </c>
      <c r="C2525" s="254" t="s">
        <v>2043</v>
      </c>
      <c r="D2525" s="255">
        <v>960</v>
      </c>
      <c r="E2525" s="211" t="s">
        <v>2087</v>
      </c>
      <c r="F2525" s="212">
        <v>43673</v>
      </c>
      <c r="G2525" s="213">
        <v>2.02</v>
      </c>
      <c r="H2525" s="256">
        <v>509</v>
      </c>
      <c r="I2525" s="214">
        <v>1482497</v>
      </c>
      <c r="J2525" s="215">
        <v>11880</v>
      </c>
      <c r="K2525" s="212">
        <v>43690</v>
      </c>
      <c r="L2525" s="211" t="s">
        <v>2097</v>
      </c>
      <c r="M2525" s="216">
        <v>4615507497</v>
      </c>
      <c r="N2525" s="212"/>
      <c r="O2525" s="218"/>
      <c r="P2525" s="219"/>
      <c r="Q2525" s="34">
        <f>SUMIF(Allocation[Delivery ID],Allocation[[#This Row],[Delivery ID]],Allocation[Quantity Processed])</f>
        <v>24998</v>
      </c>
      <c r="R2525" s="61">
        <f>Allocation[[#This Row],[Total volume used]]/VLOOKUP(Allocation[[#This Row],[Delivery ID]],Delivery[[Delivery ID]:[Quantity delivered]],3,FALSE)</f>
        <v>0.81320754716981136</v>
      </c>
      <c r="S2525" s="34">
        <f>Allocation[[#This Row],[Quantity Processed]]/Allocation[[#This Row],[Dilution rate]]</f>
        <v>475.24752475247527</v>
      </c>
      <c r="T2525" s="59">
        <f>SUMIF(Allocation[Delivery ID],Allocation[[#This Row],[Delivery ID]],Allocation[Quantity allocated])/SUMIF(Allocation[Delivery ID],Allocation[[#This Row],[Delivery ID]],Allocation[Volume available (kg)])</f>
        <v>1.0706048483878712</v>
      </c>
      <c r="U2525" s="61">
        <f>Allocation[[#This Row],[Total volume used]]/VLOOKUP(Allocation[[#This Row],[Delivery ID]],Delivery[[Delivery ID]:[Quantity delivered]],3,FALSE)</f>
        <v>0.81320754716981136</v>
      </c>
      <c r="V2525" s="34" t="e">
        <f>VLOOKUP(Allocation[[#This Row],[SAP Contract number]],Shipments[[SAP Contract number]:[Contracted container weight]],2,FALSE)</f>
        <v>#N/A</v>
      </c>
      <c r="W2525" s="34" t="e">
        <f>VLOOKUP(Allocation[[#This Row],[SAP Contract number]],Shipments[[SAP Contract number]:[AAA Premium USD]],24,FALSE)</f>
        <v>#N/A</v>
      </c>
      <c r="X2525" s="34" t="e">
        <f>VLOOKUP(Allocation[[#This Row],[SAP Contract number]],Shipments[[SAP Contract number]:[RA Premium USD]],25,FALSE)</f>
        <v>#N/A</v>
      </c>
      <c r="Y2525" s="38">
        <f>Allocation[[#This Row],[Quantity Processed]]/Allocation[[#This Row],[Quantity allocated]]</f>
        <v>1.8860510805500983</v>
      </c>
      <c r="Z2525" s="34" t="b">
        <f>Allocation[[#This Row],[Quantity allocated]]&lt;=Allocation[[#This Row],[Quantity Processed]]</f>
        <v>1</v>
      </c>
    </row>
    <row r="2526" spans="1:26">
      <c r="A2526" s="247" t="s">
        <v>467</v>
      </c>
      <c r="B2526" s="210" t="s">
        <v>68</v>
      </c>
      <c r="C2526" s="254" t="s">
        <v>2043</v>
      </c>
      <c r="D2526" s="255">
        <v>24038</v>
      </c>
      <c r="E2526" s="211" t="s">
        <v>2087</v>
      </c>
      <c r="F2526" s="212">
        <v>43673</v>
      </c>
      <c r="G2526" s="213">
        <v>2.02</v>
      </c>
      <c r="H2526" s="256">
        <v>12740</v>
      </c>
      <c r="I2526" s="214">
        <v>1482498</v>
      </c>
      <c r="J2526" s="215">
        <v>20400</v>
      </c>
      <c r="K2526" s="212">
        <v>43690</v>
      </c>
      <c r="L2526" s="211" t="s">
        <v>2098</v>
      </c>
      <c r="M2526" s="216">
        <v>4615507497</v>
      </c>
      <c r="N2526" s="212"/>
      <c r="O2526" s="218"/>
      <c r="P2526" s="219"/>
      <c r="Q2526" s="34">
        <f>SUMIF(Allocation[Delivery ID],Allocation[[#This Row],[Delivery ID]],Allocation[Quantity Processed])</f>
        <v>24998</v>
      </c>
      <c r="R2526" s="61">
        <f>Allocation[[#This Row],[Total volume used]]/VLOOKUP(Allocation[[#This Row],[Delivery ID]],Delivery[[Delivery ID]:[Quantity delivered]],3,FALSE)</f>
        <v>0.81320754716981136</v>
      </c>
      <c r="S2526" s="34">
        <f>Allocation[[#This Row],[Quantity Processed]]/Allocation[[#This Row],[Dilution rate]]</f>
        <v>11900</v>
      </c>
      <c r="T2526" s="59">
        <f>SUMIF(Allocation[Delivery ID],Allocation[[#This Row],[Delivery ID]],Allocation[Quantity allocated])/SUMIF(Allocation[Delivery ID],Allocation[[#This Row],[Delivery ID]],Allocation[Volume available (kg)])</f>
        <v>1.0706048483878712</v>
      </c>
      <c r="U2526" s="61">
        <f>Allocation[[#This Row],[Total volume used]]/VLOOKUP(Allocation[[#This Row],[Delivery ID]],Delivery[[Delivery ID]:[Quantity delivered]],3,FALSE)</f>
        <v>0.81320754716981136</v>
      </c>
      <c r="V2526" s="34" t="e">
        <f>VLOOKUP(Allocation[[#This Row],[SAP Contract number]],Shipments[[SAP Contract number]:[Contracted container weight]],2,FALSE)</f>
        <v>#N/A</v>
      </c>
      <c r="W2526" s="34" t="e">
        <f>VLOOKUP(Allocation[[#This Row],[SAP Contract number]],Shipments[[SAP Contract number]:[AAA Premium USD]],24,FALSE)</f>
        <v>#N/A</v>
      </c>
      <c r="X2526" s="34" t="e">
        <f>VLOOKUP(Allocation[[#This Row],[SAP Contract number]],Shipments[[SAP Contract number]:[RA Premium USD]],25,FALSE)</f>
        <v>#N/A</v>
      </c>
      <c r="Y2526" s="38">
        <f>Allocation[[#This Row],[Quantity Processed]]/Allocation[[#This Row],[Quantity allocated]]</f>
        <v>1.8868131868131868</v>
      </c>
      <c r="Z2526" s="34" t="b">
        <f>Allocation[[#This Row],[Quantity allocated]]&lt;=Allocation[[#This Row],[Quantity Processed]]</f>
        <v>1</v>
      </c>
    </row>
    <row r="2527" spans="1:26">
      <c r="A2527" s="247" t="s">
        <v>467</v>
      </c>
      <c r="B2527" s="210" t="s">
        <v>68</v>
      </c>
      <c r="C2527" s="254" t="s">
        <v>2044</v>
      </c>
      <c r="D2527" s="255">
        <v>14453</v>
      </c>
      <c r="E2527" s="211" t="s">
        <v>2087</v>
      </c>
      <c r="F2527" s="212">
        <v>43673</v>
      </c>
      <c r="G2527" s="213">
        <v>2.02</v>
      </c>
      <c r="H2527" s="256">
        <v>7660</v>
      </c>
      <c r="I2527" s="214">
        <v>1482498</v>
      </c>
      <c r="J2527" s="215">
        <v>20400</v>
      </c>
      <c r="K2527" s="212">
        <v>43690</v>
      </c>
      <c r="L2527" s="211" t="s">
        <v>2098</v>
      </c>
      <c r="M2527" s="216">
        <v>4615507497</v>
      </c>
      <c r="N2527" s="212"/>
      <c r="O2527" s="218"/>
      <c r="P2527" s="219"/>
      <c r="Q2527" s="34">
        <f>SUMIF(Allocation[Delivery ID],Allocation[[#This Row],[Delivery ID]],Allocation[Quantity Processed])</f>
        <v>25951</v>
      </c>
      <c r="R2527" s="61">
        <f>Allocation[[#This Row],[Total volume used]]/VLOOKUP(Allocation[[#This Row],[Delivery ID]],Delivery[[Delivery ID]:[Quantity delivered]],3,FALSE)</f>
        <v>0.84420949902407283</v>
      </c>
      <c r="S2527" s="34">
        <f>Allocation[[#This Row],[Quantity Processed]]/Allocation[[#This Row],[Dilution rate]]</f>
        <v>7154.9504950495048</v>
      </c>
      <c r="T2527" s="59">
        <f>SUMIF(Allocation[Delivery ID],Allocation[[#This Row],[Delivery ID]],Allocation[Quantity allocated])/SUMIF(Allocation[Delivery ID],Allocation[[#This Row],[Delivery ID]],Allocation[Volume available (kg)])</f>
        <v>1.0705976648298718</v>
      </c>
      <c r="U2527" s="61">
        <f>Allocation[[#This Row],[Total volume used]]/VLOOKUP(Allocation[[#This Row],[Delivery ID]],Delivery[[Delivery ID]:[Quantity delivered]],3,FALSE)</f>
        <v>0.84420949902407283</v>
      </c>
      <c r="V2527" s="34" t="e">
        <f>VLOOKUP(Allocation[[#This Row],[SAP Contract number]],Shipments[[SAP Contract number]:[Contracted container weight]],2,FALSE)</f>
        <v>#N/A</v>
      </c>
      <c r="W2527" s="34" t="e">
        <f>VLOOKUP(Allocation[[#This Row],[SAP Contract number]],Shipments[[SAP Contract number]:[AAA Premium USD]],24,FALSE)</f>
        <v>#N/A</v>
      </c>
      <c r="X2527" s="34" t="e">
        <f>VLOOKUP(Allocation[[#This Row],[SAP Contract number]],Shipments[[SAP Contract number]:[RA Premium USD]],25,FALSE)</f>
        <v>#N/A</v>
      </c>
      <c r="Y2527" s="38">
        <f>Allocation[[#This Row],[Quantity Processed]]/Allocation[[#This Row],[Quantity allocated]]</f>
        <v>1.8868146214099217</v>
      </c>
      <c r="Z2527" s="34" t="b">
        <f>Allocation[[#This Row],[Quantity allocated]]&lt;=Allocation[[#This Row],[Quantity Processed]]</f>
        <v>1</v>
      </c>
    </row>
    <row r="2528" spans="1:26">
      <c r="A2528" s="247" t="s">
        <v>467</v>
      </c>
      <c r="B2528" s="210" t="s">
        <v>68</v>
      </c>
      <c r="C2528" s="254" t="s">
        <v>2044</v>
      </c>
      <c r="D2528" s="255">
        <v>11498</v>
      </c>
      <c r="E2528" s="211" t="s">
        <v>2087</v>
      </c>
      <c r="F2528" s="212">
        <v>43673</v>
      </c>
      <c r="G2528" s="213">
        <v>2.02</v>
      </c>
      <c r="H2528" s="256">
        <v>6094</v>
      </c>
      <c r="I2528" s="214">
        <v>1482499</v>
      </c>
      <c r="J2528" s="215">
        <v>20400</v>
      </c>
      <c r="K2528" s="212">
        <v>43690</v>
      </c>
      <c r="L2528" s="211" t="s">
        <v>2099</v>
      </c>
      <c r="M2528" s="216">
        <v>4615507497</v>
      </c>
      <c r="N2528" s="212"/>
      <c r="O2528" s="218"/>
      <c r="P2528" s="219"/>
      <c r="Q2528" s="34">
        <f>SUMIF(Allocation[Delivery ID],Allocation[[#This Row],[Delivery ID]],Allocation[Quantity Processed])</f>
        <v>25951</v>
      </c>
      <c r="R2528" s="61">
        <f>Allocation[[#This Row],[Total volume used]]/VLOOKUP(Allocation[[#This Row],[Delivery ID]],Delivery[[Delivery ID]:[Quantity delivered]],3,FALSE)</f>
        <v>0.84420949902407283</v>
      </c>
      <c r="S2528" s="34">
        <f>Allocation[[#This Row],[Quantity Processed]]/Allocation[[#This Row],[Dilution rate]]</f>
        <v>5692.0792079207922</v>
      </c>
      <c r="T2528" s="59">
        <f>SUMIF(Allocation[Delivery ID],Allocation[[#This Row],[Delivery ID]],Allocation[Quantity allocated])/SUMIF(Allocation[Delivery ID],Allocation[[#This Row],[Delivery ID]],Allocation[Volume available (kg)])</f>
        <v>1.0705976648298718</v>
      </c>
      <c r="U2528" s="61">
        <f>Allocation[[#This Row],[Total volume used]]/VLOOKUP(Allocation[[#This Row],[Delivery ID]],Delivery[[Delivery ID]:[Quantity delivered]],3,FALSE)</f>
        <v>0.84420949902407283</v>
      </c>
      <c r="V2528" s="34" t="e">
        <f>VLOOKUP(Allocation[[#This Row],[SAP Contract number]],Shipments[[SAP Contract number]:[Contracted container weight]],2,FALSE)</f>
        <v>#N/A</v>
      </c>
      <c r="W2528" s="34" t="e">
        <f>VLOOKUP(Allocation[[#This Row],[SAP Contract number]],Shipments[[SAP Contract number]:[AAA Premium USD]],24,FALSE)</f>
        <v>#N/A</v>
      </c>
      <c r="X2528" s="34" t="e">
        <f>VLOOKUP(Allocation[[#This Row],[SAP Contract number]],Shipments[[SAP Contract number]:[RA Premium USD]],25,FALSE)</f>
        <v>#N/A</v>
      </c>
      <c r="Y2528" s="38">
        <f>Allocation[[#This Row],[Quantity Processed]]/Allocation[[#This Row],[Quantity allocated]]</f>
        <v>1.8867738759435511</v>
      </c>
      <c r="Z2528" s="34" t="b">
        <f>Allocation[[#This Row],[Quantity allocated]]&lt;=Allocation[[#This Row],[Quantity Processed]]</f>
        <v>1</v>
      </c>
    </row>
    <row r="2529" spans="1:26">
      <c r="A2529" s="247" t="s">
        <v>467</v>
      </c>
      <c r="B2529" s="210" t="s">
        <v>68</v>
      </c>
      <c r="C2529" s="254" t="s">
        <v>2045</v>
      </c>
      <c r="D2529" s="255">
        <v>26136</v>
      </c>
      <c r="E2529" s="211" t="s">
        <v>2087</v>
      </c>
      <c r="F2529" s="212">
        <v>43673</v>
      </c>
      <c r="G2529" s="213">
        <v>2.02</v>
      </c>
      <c r="H2529" s="256">
        <v>13852</v>
      </c>
      <c r="I2529" s="214">
        <v>1482499</v>
      </c>
      <c r="J2529" s="215">
        <v>20400</v>
      </c>
      <c r="K2529" s="212">
        <v>43690</v>
      </c>
      <c r="L2529" s="211" t="s">
        <v>2099</v>
      </c>
      <c r="M2529" s="216">
        <v>4615507497</v>
      </c>
      <c r="N2529" s="212"/>
      <c r="O2529" s="218"/>
      <c r="P2529" s="219"/>
      <c r="Q2529" s="34">
        <f>SUMIF(Allocation[Delivery ID],Allocation[[#This Row],[Delivery ID]],Allocation[Quantity Processed])</f>
        <v>26136</v>
      </c>
      <c r="R2529" s="61">
        <f>Allocation[[#This Row],[Total volume used]]/VLOOKUP(Allocation[[#This Row],[Delivery ID]],Delivery[[Delivery ID]:[Quantity delivered]],3,FALSE)</f>
        <v>0.82188679245283014</v>
      </c>
      <c r="S2529" s="34">
        <f>Allocation[[#This Row],[Quantity Processed]]/Allocation[[#This Row],[Dilution rate]]</f>
        <v>12938.613861386139</v>
      </c>
      <c r="T2529" s="59">
        <f>SUMIF(Allocation[Delivery ID],Allocation[[#This Row],[Delivery ID]],Allocation[Quantity allocated])/SUMIF(Allocation[Delivery ID],Allocation[[#This Row],[Delivery ID]],Allocation[Volume available (kg)])</f>
        <v>1.0705938169574534</v>
      </c>
      <c r="U2529" s="61">
        <f>Allocation[[#This Row],[Total volume used]]/VLOOKUP(Allocation[[#This Row],[Delivery ID]],Delivery[[Delivery ID]:[Quantity delivered]],3,FALSE)</f>
        <v>0.82188679245283014</v>
      </c>
      <c r="V2529" s="34" t="e">
        <f>VLOOKUP(Allocation[[#This Row],[SAP Contract number]],Shipments[[SAP Contract number]:[Contracted container weight]],2,FALSE)</f>
        <v>#N/A</v>
      </c>
      <c r="W2529" s="34" t="e">
        <f>VLOOKUP(Allocation[[#This Row],[SAP Contract number]],Shipments[[SAP Contract number]:[AAA Premium USD]],24,FALSE)</f>
        <v>#N/A</v>
      </c>
      <c r="X2529" s="34" t="e">
        <f>VLOOKUP(Allocation[[#This Row],[SAP Contract number]],Shipments[[SAP Contract number]:[RA Premium USD]],25,FALSE)</f>
        <v>#N/A</v>
      </c>
      <c r="Y2529" s="38">
        <f>Allocation[[#This Row],[Quantity Processed]]/Allocation[[#This Row],[Quantity allocated]]</f>
        <v>1.8868033496967946</v>
      </c>
      <c r="Z2529" s="34" t="b">
        <f>Allocation[[#This Row],[Quantity allocated]]&lt;=Allocation[[#This Row],[Quantity Processed]]</f>
        <v>1</v>
      </c>
    </row>
    <row r="2530" spans="1:26">
      <c r="A2530" s="247" t="s">
        <v>467</v>
      </c>
      <c r="B2530" s="210" t="s">
        <v>68</v>
      </c>
      <c r="C2530" s="254" t="s">
        <v>2050</v>
      </c>
      <c r="D2530" s="255">
        <v>873</v>
      </c>
      <c r="E2530" s="211" t="s">
        <v>2087</v>
      </c>
      <c r="F2530" s="212">
        <v>43673</v>
      </c>
      <c r="G2530" s="213">
        <v>2.02</v>
      </c>
      <c r="H2530" s="256">
        <v>454</v>
      </c>
      <c r="I2530" s="214">
        <v>1482499</v>
      </c>
      <c r="J2530" s="215">
        <v>20400</v>
      </c>
      <c r="K2530" s="212">
        <v>43690</v>
      </c>
      <c r="L2530" s="211" t="s">
        <v>2099</v>
      </c>
      <c r="M2530" s="216">
        <v>4615507497</v>
      </c>
      <c r="N2530" s="212"/>
      <c r="O2530" s="218"/>
      <c r="P2530" s="219"/>
      <c r="Q2530" s="34">
        <f>SUMIF(Allocation[Delivery ID],Allocation[[#This Row],[Delivery ID]],Allocation[Quantity Processed])</f>
        <v>5798</v>
      </c>
      <c r="R2530" s="61">
        <f>Allocation[[#This Row],[Total volume used]]/VLOOKUP(Allocation[[#This Row],[Delivery ID]],Delivery[[Delivery ID]:[Quantity delivered]],3,FALSE)</f>
        <v>0.19192320423700762</v>
      </c>
      <c r="S2530" s="34">
        <f>Allocation[[#This Row],[Quantity Processed]]/Allocation[[#This Row],[Dilution rate]]</f>
        <v>432.1782178217822</v>
      </c>
      <c r="T2530" s="59">
        <f>SUMIF(Allocation[Delivery ID],Allocation[[#This Row],[Delivery ID]],Allocation[Quantity allocated])/SUMIF(Allocation[Delivery ID],Allocation[[#This Row],[Delivery ID]],Allocation[Volume available (kg)])</f>
        <v>1.0504139358399447</v>
      </c>
      <c r="U2530" s="61">
        <f>Allocation[[#This Row],[Total volume used]]/VLOOKUP(Allocation[[#This Row],[Delivery ID]],Delivery[[Delivery ID]:[Quantity delivered]],3,FALSE)</f>
        <v>0.19192320423700762</v>
      </c>
      <c r="V2530" s="34" t="e">
        <f>VLOOKUP(Allocation[[#This Row],[SAP Contract number]],Shipments[[SAP Contract number]:[Contracted container weight]],2,FALSE)</f>
        <v>#N/A</v>
      </c>
      <c r="W2530" s="34" t="e">
        <f>VLOOKUP(Allocation[[#This Row],[SAP Contract number]],Shipments[[SAP Contract number]:[AAA Premium USD]],24,FALSE)</f>
        <v>#N/A</v>
      </c>
      <c r="X2530" s="34" t="e">
        <f>VLOOKUP(Allocation[[#This Row],[SAP Contract number]],Shipments[[SAP Contract number]:[RA Premium USD]],25,FALSE)</f>
        <v>#N/A</v>
      </c>
      <c r="Y2530" s="38">
        <f>Allocation[[#This Row],[Quantity Processed]]/Allocation[[#This Row],[Quantity allocated]]</f>
        <v>1.9229074889867841</v>
      </c>
      <c r="Z2530" s="34" t="b">
        <f>Allocation[[#This Row],[Quantity allocated]]&lt;=Allocation[[#This Row],[Quantity Processed]]</f>
        <v>1</v>
      </c>
    </row>
    <row r="2531" spans="1:26">
      <c r="A2531" s="247" t="s">
        <v>467</v>
      </c>
      <c r="B2531" s="210" t="s">
        <v>68</v>
      </c>
      <c r="C2531" s="254" t="s">
        <v>2050</v>
      </c>
      <c r="D2531" s="255">
        <v>4925</v>
      </c>
      <c r="E2531" s="211" t="s">
        <v>2087</v>
      </c>
      <c r="F2531" s="212">
        <v>43673</v>
      </c>
      <c r="G2531" s="213">
        <v>2.02</v>
      </c>
      <c r="H2531" s="256">
        <v>2561</v>
      </c>
      <c r="I2531" s="214">
        <v>1482500</v>
      </c>
      <c r="J2531" s="215">
        <v>20400</v>
      </c>
      <c r="K2531" s="212">
        <v>43690</v>
      </c>
      <c r="L2531" s="211" t="s">
        <v>2100</v>
      </c>
      <c r="M2531" s="216">
        <v>4615507497</v>
      </c>
      <c r="N2531" s="212"/>
      <c r="O2531" s="218"/>
      <c r="P2531" s="219"/>
      <c r="Q2531" s="34">
        <f>SUMIF(Allocation[Delivery ID],Allocation[[#This Row],[Delivery ID]],Allocation[Quantity Processed])</f>
        <v>5798</v>
      </c>
      <c r="R2531" s="61">
        <f>Allocation[[#This Row],[Total volume used]]/VLOOKUP(Allocation[[#This Row],[Delivery ID]],Delivery[[Delivery ID]:[Quantity delivered]],3,FALSE)</f>
        <v>0.19192320423700762</v>
      </c>
      <c r="S2531" s="34">
        <f>Allocation[[#This Row],[Quantity Processed]]/Allocation[[#This Row],[Dilution rate]]</f>
        <v>2438.1188118811883</v>
      </c>
      <c r="T2531" s="59">
        <f>SUMIF(Allocation[Delivery ID],Allocation[[#This Row],[Delivery ID]],Allocation[Quantity allocated])/SUMIF(Allocation[Delivery ID],Allocation[[#This Row],[Delivery ID]],Allocation[Volume available (kg)])</f>
        <v>1.0504139358399447</v>
      </c>
      <c r="U2531" s="61">
        <f>Allocation[[#This Row],[Total volume used]]/VLOOKUP(Allocation[[#This Row],[Delivery ID]],Delivery[[Delivery ID]:[Quantity delivered]],3,FALSE)</f>
        <v>0.19192320423700762</v>
      </c>
      <c r="V2531" s="34" t="e">
        <f>VLOOKUP(Allocation[[#This Row],[SAP Contract number]],Shipments[[SAP Contract number]:[Contracted container weight]],2,FALSE)</f>
        <v>#N/A</v>
      </c>
      <c r="W2531" s="34" t="e">
        <f>VLOOKUP(Allocation[[#This Row],[SAP Contract number]],Shipments[[SAP Contract number]:[AAA Premium USD]],24,FALSE)</f>
        <v>#N/A</v>
      </c>
      <c r="X2531" s="34" t="e">
        <f>VLOOKUP(Allocation[[#This Row],[SAP Contract number]],Shipments[[SAP Contract number]:[RA Premium USD]],25,FALSE)</f>
        <v>#N/A</v>
      </c>
      <c r="Y2531" s="38">
        <f>Allocation[[#This Row],[Quantity Processed]]/Allocation[[#This Row],[Quantity allocated]]</f>
        <v>1.9230769230769231</v>
      </c>
      <c r="Z2531" s="34" t="b">
        <f>Allocation[[#This Row],[Quantity allocated]]&lt;=Allocation[[#This Row],[Quantity Processed]]</f>
        <v>1</v>
      </c>
    </row>
    <row r="2532" spans="1:26">
      <c r="A2532" s="247" t="s">
        <v>467</v>
      </c>
      <c r="B2532" s="210" t="s">
        <v>68</v>
      </c>
      <c r="C2532" s="254" t="s">
        <v>2051</v>
      </c>
      <c r="D2532" s="255">
        <v>5610</v>
      </c>
      <c r="E2532" s="211" t="s">
        <v>2087</v>
      </c>
      <c r="F2532" s="212">
        <v>43673</v>
      </c>
      <c r="G2532" s="213">
        <v>2.02</v>
      </c>
      <c r="H2532" s="256">
        <v>2917</v>
      </c>
      <c r="I2532" s="214">
        <v>1482500</v>
      </c>
      <c r="J2532" s="215">
        <v>20400</v>
      </c>
      <c r="K2532" s="212">
        <v>43690</v>
      </c>
      <c r="L2532" s="211" t="s">
        <v>2100</v>
      </c>
      <c r="M2532" s="216">
        <v>4615507497</v>
      </c>
      <c r="N2532" s="212"/>
      <c r="O2532" s="218"/>
      <c r="P2532" s="219"/>
      <c r="Q2532" s="34">
        <f>SUMIF(Allocation[Delivery ID],Allocation[[#This Row],[Delivery ID]],Allocation[Quantity Processed])</f>
        <v>5610</v>
      </c>
      <c r="R2532" s="61">
        <f>Allocation[[#This Row],[Total volume used]]/VLOOKUP(Allocation[[#This Row],[Delivery ID]],Delivery[[Delivery ID]:[Quantity delivered]],3,FALSE)</f>
        <v>0.19192610331850837</v>
      </c>
      <c r="S2532" s="34">
        <f>Allocation[[#This Row],[Quantity Processed]]/Allocation[[#This Row],[Dilution rate]]</f>
        <v>2777.227722772277</v>
      </c>
      <c r="T2532" s="59">
        <f>SUMIF(Allocation[Delivery ID],Allocation[[#This Row],[Delivery ID]],Allocation[Quantity allocated])/SUMIF(Allocation[Delivery ID],Allocation[[#This Row],[Delivery ID]],Allocation[Volume available (kg)])</f>
        <v>1.0503279857397505</v>
      </c>
      <c r="U2532" s="61">
        <f>Allocation[[#This Row],[Total volume used]]/VLOOKUP(Allocation[[#This Row],[Delivery ID]],Delivery[[Delivery ID]:[Quantity delivered]],3,FALSE)</f>
        <v>0.19192610331850837</v>
      </c>
      <c r="V2532" s="34" t="e">
        <f>VLOOKUP(Allocation[[#This Row],[SAP Contract number]],Shipments[[SAP Contract number]:[Contracted container weight]],2,FALSE)</f>
        <v>#N/A</v>
      </c>
      <c r="W2532" s="34" t="e">
        <f>VLOOKUP(Allocation[[#This Row],[SAP Contract number]],Shipments[[SAP Contract number]:[AAA Premium USD]],24,FALSE)</f>
        <v>#N/A</v>
      </c>
      <c r="X2532" s="34" t="e">
        <f>VLOOKUP(Allocation[[#This Row],[SAP Contract number]],Shipments[[SAP Contract number]:[RA Premium USD]],25,FALSE)</f>
        <v>#N/A</v>
      </c>
      <c r="Y2532" s="38">
        <f>Allocation[[#This Row],[Quantity Processed]]/Allocation[[#This Row],[Quantity allocated]]</f>
        <v>1.9232087761398697</v>
      </c>
      <c r="Z2532" s="34" t="b">
        <f>Allocation[[#This Row],[Quantity allocated]]&lt;=Allocation[[#This Row],[Quantity Processed]]</f>
        <v>1</v>
      </c>
    </row>
    <row r="2533" spans="1:26">
      <c r="A2533" s="247" t="s">
        <v>467</v>
      </c>
      <c r="B2533" s="210" t="s">
        <v>68</v>
      </c>
      <c r="C2533" s="254" t="s">
        <v>2052</v>
      </c>
      <c r="D2533" s="255">
        <v>5729</v>
      </c>
      <c r="E2533" s="211" t="s">
        <v>2087</v>
      </c>
      <c r="F2533" s="212">
        <v>43673</v>
      </c>
      <c r="G2533" s="213">
        <v>2.02</v>
      </c>
      <c r="H2533" s="256">
        <v>2979</v>
      </c>
      <c r="I2533" s="214">
        <v>1482500</v>
      </c>
      <c r="J2533" s="215">
        <v>20400</v>
      </c>
      <c r="K2533" s="212">
        <v>43690</v>
      </c>
      <c r="L2533" s="211" t="s">
        <v>2100</v>
      </c>
      <c r="M2533" s="216">
        <v>4615507497</v>
      </c>
      <c r="N2533" s="212"/>
      <c r="O2533" s="218"/>
      <c r="P2533" s="219"/>
      <c r="Q2533" s="34">
        <f>SUMIF(Allocation[Delivery ID],Allocation[[#This Row],[Delivery ID]],Allocation[Quantity Processed])</f>
        <v>5729</v>
      </c>
      <c r="R2533" s="61">
        <f>Allocation[[#This Row],[Total volume used]]/VLOOKUP(Allocation[[#This Row],[Delivery ID]],Delivery[[Delivery ID]:[Quantity delivered]],3,FALSE)</f>
        <v>0.19192629815745393</v>
      </c>
      <c r="S2533" s="34">
        <f>Allocation[[#This Row],[Quantity Processed]]/Allocation[[#This Row],[Dilution rate]]</f>
        <v>2836.1386138613861</v>
      </c>
      <c r="T2533" s="59">
        <f>SUMIF(Allocation[Delivery ID],Allocation[[#This Row],[Delivery ID]],Allocation[Quantity allocated])/SUMIF(Allocation[Delivery ID],Allocation[[#This Row],[Delivery ID]],Allocation[Volume available (kg)])</f>
        <v>1.0503717926339675</v>
      </c>
      <c r="U2533" s="61">
        <f>Allocation[[#This Row],[Total volume used]]/VLOOKUP(Allocation[[#This Row],[Delivery ID]],Delivery[[Delivery ID]:[Quantity delivered]],3,FALSE)</f>
        <v>0.19192629815745393</v>
      </c>
      <c r="V2533" s="34" t="e">
        <f>VLOOKUP(Allocation[[#This Row],[SAP Contract number]],Shipments[[SAP Contract number]:[Contracted container weight]],2,FALSE)</f>
        <v>#N/A</v>
      </c>
      <c r="W2533" s="34" t="e">
        <f>VLOOKUP(Allocation[[#This Row],[SAP Contract number]],Shipments[[SAP Contract number]:[AAA Premium USD]],24,FALSE)</f>
        <v>#N/A</v>
      </c>
      <c r="X2533" s="34" t="e">
        <f>VLOOKUP(Allocation[[#This Row],[SAP Contract number]],Shipments[[SAP Contract number]:[RA Premium USD]],25,FALSE)</f>
        <v>#N/A</v>
      </c>
      <c r="Y2533" s="38">
        <f>Allocation[[#This Row],[Quantity Processed]]/Allocation[[#This Row],[Quantity allocated]]</f>
        <v>1.9231285666330984</v>
      </c>
      <c r="Z2533" s="34" t="b">
        <f>Allocation[[#This Row],[Quantity allocated]]&lt;=Allocation[[#This Row],[Quantity Processed]]</f>
        <v>1</v>
      </c>
    </row>
    <row r="2534" spans="1:26">
      <c r="A2534" s="247" t="s">
        <v>467</v>
      </c>
      <c r="B2534" s="210" t="s">
        <v>68</v>
      </c>
      <c r="C2534" s="254" t="s">
        <v>2053</v>
      </c>
      <c r="D2534" s="255">
        <v>5825</v>
      </c>
      <c r="E2534" s="211" t="s">
        <v>2087</v>
      </c>
      <c r="F2534" s="212">
        <v>43673</v>
      </c>
      <c r="G2534" s="213">
        <v>2.02</v>
      </c>
      <c r="H2534" s="256">
        <v>3029</v>
      </c>
      <c r="I2534" s="214">
        <v>1482500</v>
      </c>
      <c r="J2534" s="215">
        <v>20400</v>
      </c>
      <c r="K2534" s="212">
        <v>43690</v>
      </c>
      <c r="L2534" s="211" t="s">
        <v>2100</v>
      </c>
      <c r="M2534" s="216">
        <v>4615507497</v>
      </c>
      <c r="N2534" s="212"/>
      <c r="O2534" s="218"/>
      <c r="P2534" s="219"/>
      <c r="Q2534" s="34">
        <f>SUMIF(Allocation[Delivery ID],Allocation[[#This Row],[Delivery ID]],Allocation[Quantity Processed])</f>
        <v>5825</v>
      </c>
      <c r="R2534" s="61">
        <f>Allocation[[#This Row],[Total volume used]]/VLOOKUP(Allocation[[#This Row],[Delivery ID]],Delivery[[Delivery ID]:[Quantity delivered]],3,FALSE)</f>
        <v>0.19192751235584843</v>
      </c>
      <c r="S2534" s="34">
        <f>Allocation[[#This Row],[Quantity Processed]]/Allocation[[#This Row],[Dilution rate]]</f>
        <v>2883.6633663366338</v>
      </c>
      <c r="T2534" s="59">
        <f>SUMIF(Allocation[Delivery ID],Allocation[[#This Row],[Delivery ID]],Allocation[Quantity allocated])/SUMIF(Allocation[Delivery ID],Allocation[[#This Row],[Delivery ID]],Allocation[Volume available (kg)])</f>
        <v>1.0504</v>
      </c>
      <c r="U2534" s="61">
        <f>Allocation[[#This Row],[Total volume used]]/VLOOKUP(Allocation[[#This Row],[Delivery ID]],Delivery[[Delivery ID]:[Quantity delivered]],3,FALSE)</f>
        <v>0.19192751235584843</v>
      </c>
      <c r="V2534" s="34" t="e">
        <f>VLOOKUP(Allocation[[#This Row],[SAP Contract number]],Shipments[[SAP Contract number]:[Contracted container weight]],2,FALSE)</f>
        <v>#N/A</v>
      </c>
      <c r="W2534" s="34" t="e">
        <f>VLOOKUP(Allocation[[#This Row],[SAP Contract number]],Shipments[[SAP Contract number]:[AAA Premium USD]],24,FALSE)</f>
        <v>#N/A</v>
      </c>
      <c r="X2534" s="34" t="e">
        <f>VLOOKUP(Allocation[[#This Row],[SAP Contract number]],Shipments[[SAP Contract number]:[RA Premium USD]],25,FALSE)</f>
        <v>#N/A</v>
      </c>
      <c r="Y2534" s="38">
        <f>Allocation[[#This Row],[Quantity Processed]]/Allocation[[#This Row],[Quantity allocated]]</f>
        <v>1.9230769230769231</v>
      </c>
      <c r="Z2534" s="34" t="b">
        <f>Allocation[[#This Row],[Quantity allocated]]&lt;=Allocation[[#This Row],[Quantity Processed]]</f>
        <v>1</v>
      </c>
    </row>
    <row r="2535" spans="1:26">
      <c r="A2535" s="247" t="s">
        <v>467</v>
      </c>
      <c r="B2535" s="210" t="s">
        <v>68</v>
      </c>
      <c r="C2535" s="254" t="s">
        <v>2054</v>
      </c>
      <c r="D2535" s="255">
        <v>5846</v>
      </c>
      <c r="E2535" s="211" t="s">
        <v>2087</v>
      </c>
      <c r="F2535" s="212">
        <v>43673</v>
      </c>
      <c r="G2535" s="213">
        <v>2.02</v>
      </c>
      <c r="H2535" s="256">
        <v>3040</v>
      </c>
      <c r="I2535" s="214">
        <v>1482500</v>
      </c>
      <c r="J2535" s="215">
        <v>20400</v>
      </c>
      <c r="K2535" s="212">
        <v>43690</v>
      </c>
      <c r="L2535" s="211" t="s">
        <v>2100</v>
      </c>
      <c r="M2535" s="216">
        <v>4615507497</v>
      </c>
      <c r="N2535" s="212"/>
      <c r="O2535" s="218"/>
      <c r="P2535" s="219"/>
      <c r="Q2535" s="34">
        <f>SUMIF(Allocation[Delivery ID],Allocation[[#This Row],[Delivery ID]],Allocation[Quantity Processed])</f>
        <v>5846</v>
      </c>
      <c r="R2535" s="61">
        <f>Allocation[[#This Row],[Total volume used]]/VLOOKUP(Allocation[[#This Row],[Delivery ID]],Delivery[[Delivery ID]:[Quantity delivered]],3,FALSE)</f>
        <v>0.19192383453709783</v>
      </c>
      <c r="S2535" s="34">
        <f>Allocation[[#This Row],[Quantity Processed]]/Allocation[[#This Row],[Dilution rate]]</f>
        <v>2894.0594059405939</v>
      </c>
      <c r="T2535" s="59">
        <f>SUMIF(Allocation[Delivery ID],Allocation[[#This Row],[Delivery ID]],Allocation[Quantity allocated])/SUMIF(Allocation[Delivery ID],Allocation[[#This Row],[Delivery ID]],Allocation[Volume available (kg)])</f>
        <v>1.0504276428327062</v>
      </c>
      <c r="U2535" s="61">
        <f>Allocation[[#This Row],[Total volume used]]/VLOOKUP(Allocation[[#This Row],[Delivery ID]],Delivery[[Delivery ID]:[Quantity delivered]],3,FALSE)</f>
        <v>0.19192383453709783</v>
      </c>
      <c r="V2535" s="34" t="e">
        <f>VLOOKUP(Allocation[[#This Row],[SAP Contract number]],Shipments[[SAP Contract number]:[Contracted container weight]],2,FALSE)</f>
        <v>#N/A</v>
      </c>
      <c r="W2535" s="34" t="e">
        <f>VLOOKUP(Allocation[[#This Row],[SAP Contract number]],Shipments[[SAP Contract number]:[AAA Premium USD]],24,FALSE)</f>
        <v>#N/A</v>
      </c>
      <c r="X2535" s="34" t="e">
        <f>VLOOKUP(Allocation[[#This Row],[SAP Contract number]],Shipments[[SAP Contract number]:[RA Premium USD]],25,FALSE)</f>
        <v>#N/A</v>
      </c>
      <c r="Y2535" s="38">
        <f>Allocation[[#This Row],[Quantity Processed]]/Allocation[[#This Row],[Quantity allocated]]</f>
        <v>1.9230263157894736</v>
      </c>
      <c r="Z2535" s="34" t="b">
        <f>Allocation[[#This Row],[Quantity allocated]]&lt;=Allocation[[#This Row],[Quantity Processed]]</f>
        <v>1</v>
      </c>
    </row>
    <row r="2536" spans="1:26">
      <c r="A2536" s="247" t="s">
        <v>467</v>
      </c>
      <c r="B2536" s="210" t="s">
        <v>68</v>
      </c>
      <c r="C2536" s="254" t="s">
        <v>2055</v>
      </c>
      <c r="D2536" s="255">
        <v>5762</v>
      </c>
      <c r="E2536" s="211" t="s">
        <v>2087</v>
      </c>
      <c r="F2536" s="212">
        <v>43673</v>
      </c>
      <c r="G2536" s="213">
        <v>2.02</v>
      </c>
      <c r="H2536" s="256">
        <v>2996</v>
      </c>
      <c r="I2536" s="214">
        <v>1482500</v>
      </c>
      <c r="J2536" s="215">
        <v>20400</v>
      </c>
      <c r="K2536" s="212">
        <v>43690</v>
      </c>
      <c r="L2536" s="211" t="s">
        <v>2100</v>
      </c>
      <c r="M2536" s="216">
        <v>4615507497</v>
      </c>
      <c r="N2536" s="212"/>
      <c r="O2536" s="218"/>
      <c r="P2536" s="219"/>
      <c r="Q2536" s="34">
        <f>SUMIF(Allocation[Delivery ID],Allocation[[#This Row],[Delivery ID]],Allocation[Quantity Processed])</f>
        <v>5762</v>
      </c>
      <c r="R2536" s="61">
        <f>Allocation[[#This Row],[Total volume used]]/VLOOKUP(Allocation[[#This Row],[Delivery ID]],Delivery[[Delivery ID]:[Quantity delivered]],3,FALSE)</f>
        <v>0.19193870752831446</v>
      </c>
      <c r="S2536" s="34">
        <f>Allocation[[#This Row],[Quantity Processed]]/Allocation[[#This Row],[Dilution rate]]</f>
        <v>2852.4752475247524</v>
      </c>
      <c r="T2536" s="59">
        <f>SUMIF(Allocation[Delivery ID],Allocation[[#This Row],[Delivery ID]],Allocation[Quantity allocated])/SUMIF(Allocation[Delivery ID],Allocation[[#This Row],[Delivery ID]],Allocation[Volume available (kg)])</f>
        <v>1.0503158625477265</v>
      </c>
      <c r="U2536" s="61">
        <f>Allocation[[#This Row],[Total volume used]]/VLOOKUP(Allocation[[#This Row],[Delivery ID]],Delivery[[Delivery ID]:[Quantity delivered]],3,FALSE)</f>
        <v>0.19193870752831446</v>
      </c>
      <c r="V2536" s="34" t="e">
        <f>VLOOKUP(Allocation[[#This Row],[SAP Contract number]],Shipments[[SAP Contract number]:[Contracted container weight]],2,FALSE)</f>
        <v>#N/A</v>
      </c>
      <c r="W2536" s="34" t="e">
        <f>VLOOKUP(Allocation[[#This Row],[SAP Contract number]],Shipments[[SAP Contract number]:[AAA Premium USD]],24,FALSE)</f>
        <v>#N/A</v>
      </c>
      <c r="X2536" s="34" t="e">
        <f>VLOOKUP(Allocation[[#This Row],[SAP Contract number]],Shipments[[SAP Contract number]:[RA Premium USD]],25,FALSE)</f>
        <v>#N/A</v>
      </c>
      <c r="Y2536" s="38">
        <f>Allocation[[#This Row],[Quantity Processed]]/Allocation[[#This Row],[Quantity allocated]]</f>
        <v>1.9232309746328438</v>
      </c>
      <c r="Z2536" s="34" t="b">
        <f>Allocation[[#This Row],[Quantity allocated]]&lt;=Allocation[[#This Row],[Quantity Processed]]</f>
        <v>1</v>
      </c>
    </row>
    <row r="2537" spans="1:26">
      <c r="A2537" s="247" t="s">
        <v>467</v>
      </c>
      <c r="B2537" s="210" t="s">
        <v>68</v>
      </c>
      <c r="C2537" s="254" t="s">
        <v>2056</v>
      </c>
      <c r="D2537" s="255">
        <v>5535</v>
      </c>
      <c r="E2537" s="211" t="s">
        <v>2087</v>
      </c>
      <c r="F2537" s="212">
        <v>43673</v>
      </c>
      <c r="G2537" s="213">
        <v>2.02</v>
      </c>
      <c r="H2537" s="256">
        <v>2878</v>
      </c>
      <c r="I2537" s="214">
        <v>1482500</v>
      </c>
      <c r="J2537" s="215">
        <v>20400</v>
      </c>
      <c r="K2537" s="212">
        <v>43690</v>
      </c>
      <c r="L2537" s="211" t="s">
        <v>2100</v>
      </c>
      <c r="M2537" s="216">
        <v>4615507497</v>
      </c>
      <c r="N2537" s="212"/>
      <c r="O2537" s="218"/>
      <c r="P2537" s="219"/>
      <c r="Q2537" s="34">
        <f>SUMIF(Allocation[Delivery ID],Allocation[[#This Row],[Delivery ID]],Allocation[Quantity Processed])</f>
        <v>5758</v>
      </c>
      <c r="R2537" s="61">
        <f>Allocation[[#This Row],[Total volume used]]/VLOOKUP(Allocation[[#This Row],[Delivery ID]],Delivery[[Delivery ID]:[Quantity delivered]],3,FALSE)</f>
        <v>0.19193333333333334</v>
      </c>
      <c r="S2537" s="34">
        <f>Allocation[[#This Row],[Quantity Processed]]/Allocation[[#This Row],[Dilution rate]]</f>
        <v>2740.09900990099</v>
      </c>
      <c r="T2537" s="59">
        <f>SUMIF(Allocation[Delivery ID],Allocation[[#This Row],[Delivery ID]],Allocation[Quantity allocated])/SUMIF(Allocation[Delivery ID],Allocation[[#This Row],[Delivery ID]],Allocation[Volume available (kg)])</f>
        <v>1.0503438693990967</v>
      </c>
      <c r="U2537" s="61">
        <f>Allocation[[#This Row],[Total volume used]]/VLOOKUP(Allocation[[#This Row],[Delivery ID]],Delivery[[Delivery ID]:[Quantity delivered]],3,FALSE)</f>
        <v>0.19193333333333334</v>
      </c>
      <c r="V2537" s="34" t="e">
        <f>VLOOKUP(Allocation[[#This Row],[SAP Contract number]],Shipments[[SAP Contract number]:[Contracted container weight]],2,FALSE)</f>
        <v>#N/A</v>
      </c>
      <c r="W2537" s="34" t="e">
        <f>VLOOKUP(Allocation[[#This Row],[SAP Contract number]],Shipments[[SAP Contract number]:[AAA Premium USD]],24,FALSE)</f>
        <v>#N/A</v>
      </c>
      <c r="X2537" s="34" t="e">
        <f>VLOOKUP(Allocation[[#This Row],[SAP Contract number]],Shipments[[SAP Contract number]:[RA Premium USD]],25,FALSE)</f>
        <v>#N/A</v>
      </c>
      <c r="Y2537" s="38">
        <f>Allocation[[#This Row],[Quantity Processed]]/Allocation[[#This Row],[Quantity allocated]]</f>
        <v>1.9232105628908964</v>
      </c>
      <c r="Z2537" s="34" t="b">
        <f>Allocation[[#This Row],[Quantity allocated]]&lt;=Allocation[[#This Row],[Quantity Processed]]</f>
        <v>1</v>
      </c>
    </row>
    <row r="2538" spans="1:26">
      <c r="A2538" s="247" t="s">
        <v>467</v>
      </c>
      <c r="B2538" s="210" t="s">
        <v>68</v>
      </c>
      <c r="C2538" s="254" t="s">
        <v>2056</v>
      </c>
      <c r="D2538" s="255">
        <v>223</v>
      </c>
      <c r="E2538" s="211" t="s">
        <v>2087</v>
      </c>
      <c r="F2538" s="212">
        <v>43673</v>
      </c>
      <c r="G2538" s="213">
        <v>2.02</v>
      </c>
      <c r="H2538" s="256">
        <v>116</v>
      </c>
      <c r="I2538" s="214">
        <v>1482501</v>
      </c>
      <c r="J2538" s="215">
        <v>20400</v>
      </c>
      <c r="K2538" s="212">
        <v>43690</v>
      </c>
      <c r="L2538" s="211" t="s">
        <v>2101</v>
      </c>
      <c r="M2538" s="216">
        <v>4615507497</v>
      </c>
      <c r="N2538" s="212"/>
      <c r="O2538" s="218"/>
      <c r="P2538" s="219"/>
      <c r="Q2538" s="34">
        <f>SUMIF(Allocation[Delivery ID],Allocation[[#This Row],[Delivery ID]],Allocation[Quantity Processed])</f>
        <v>5758</v>
      </c>
      <c r="R2538" s="61">
        <f>Allocation[[#This Row],[Total volume used]]/VLOOKUP(Allocation[[#This Row],[Delivery ID]],Delivery[[Delivery ID]:[Quantity delivered]],3,FALSE)</f>
        <v>0.19193333333333334</v>
      </c>
      <c r="S2538" s="34">
        <f>Allocation[[#This Row],[Quantity Processed]]/Allocation[[#This Row],[Dilution rate]]</f>
        <v>110.39603960396039</v>
      </c>
      <c r="T2538" s="59">
        <f>SUMIF(Allocation[Delivery ID],Allocation[[#This Row],[Delivery ID]],Allocation[Quantity allocated])/SUMIF(Allocation[Delivery ID],Allocation[[#This Row],[Delivery ID]],Allocation[Volume available (kg)])</f>
        <v>1.0503438693990967</v>
      </c>
      <c r="U2538" s="61">
        <f>Allocation[[#This Row],[Total volume used]]/VLOOKUP(Allocation[[#This Row],[Delivery ID]],Delivery[[Delivery ID]:[Quantity delivered]],3,FALSE)</f>
        <v>0.19193333333333334</v>
      </c>
      <c r="V2538" s="34" t="e">
        <f>VLOOKUP(Allocation[[#This Row],[SAP Contract number]],Shipments[[SAP Contract number]:[Contracted container weight]],2,FALSE)</f>
        <v>#N/A</v>
      </c>
      <c r="W2538" s="34" t="e">
        <f>VLOOKUP(Allocation[[#This Row],[SAP Contract number]],Shipments[[SAP Contract number]:[AAA Premium USD]],24,FALSE)</f>
        <v>#N/A</v>
      </c>
      <c r="X2538" s="34" t="e">
        <f>VLOOKUP(Allocation[[#This Row],[SAP Contract number]],Shipments[[SAP Contract number]:[RA Premium USD]],25,FALSE)</f>
        <v>#N/A</v>
      </c>
      <c r="Y2538" s="38">
        <f>Allocation[[#This Row],[Quantity Processed]]/Allocation[[#This Row],[Quantity allocated]]</f>
        <v>1.9224137931034482</v>
      </c>
      <c r="Z2538" s="34" t="b">
        <f>Allocation[[#This Row],[Quantity allocated]]&lt;=Allocation[[#This Row],[Quantity Processed]]</f>
        <v>1</v>
      </c>
    </row>
    <row r="2539" spans="1:26">
      <c r="A2539" s="247" t="s">
        <v>467</v>
      </c>
      <c r="B2539" s="210" t="s">
        <v>68</v>
      </c>
      <c r="C2539" s="254" t="s">
        <v>2057</v>
      </c>
      <c r="D2539" s="255">
        <v>1190</v>
      </c>
      <c r="E2539" s="211" t="s">
        <v>2087</v>
      </c>
      <c r="F2539" s="212">
        <v>43673</v>
      </c>
      <c r="G2539" s="213">
        <v>2.02</v>
      </c>
      <c r="H2539" s="256">
        <v>619</v>
      </c>
      <c r="I2539" s="214">
        <v>1482501</v>
      </c>
      <c r="J2539" s="215">
        <v>20400</v>
      </c>
      <c r="K2539" s="212">
        <v>43690</v>
      </c>
      <c r="L2539" s="211" t="s">
        <v>2101</v>
      </c>
      <c r="M2539" s="216">
        <v>4615507497</v>
      </c>
      <c r="N2539" s="212"/>
      <c r="O2539" s="218"/>
      <c r="P2539" s="219"/>
      <c r="Q2539" s="34">
        <f>SUMIF(Allocation[Delivery ID],Allocation[[#This Row],[Delivery ID]],Allocation[Quantity Processed])</f>
        <v>1190</v>
      </c>
      <c r="R2539" s="61">
        <f>Allocation[[#This Row],[Total volume used]]/VLOOKUP(Allocation[[#This Row],[Delivery ID]],Delivery[[Delivery ID]:[Quantity delivered]],3,FALSE)</f>
        <v>0.19193548387096773</v>
      </c>
      <c r="S2539" s="34">
        <f>Allocation[[#This Row],[Quantity Processed]]/Allocation[[#This Row],[Dilution rate]]</f>
        <v>589.10891089108907</v>
      </c>
      <c r="T2539" s="59">
        <f>SUMIF(Allocation[Delivery ID],Allocation[[#This Row],[Delivery ID]],Allocation[Quantity allocated])/SUMIF(Allocation[Delivery ID],Allocation[[#This Row],[Delivery ID]],Allocation[Volume available (kg)])</f>
        <v>1.0507394957983194</v>
      </c>
      <c r="U2539" s="61">
        <f>Allocation[[#This Row],[Total volume used]]/VLOOKUP(Allocation[[#This Row],[Delivery ID]],Delivery[[Delivery ID]:[Quantity delivered]],3,FALSE)</f>
        <v>0.19193548387096773</v>
      </c>
      <c r="V2539" s="34" t="e">
        <f>VLOOKUP(Allocation[[#This Row],[SAP Contract number]],Shipments[[SAP Contract number]:[Contracted container weight]],2,FALSE)</f>
        <v>#N/A</v>
      </c>
      <c r="W2539" s="34" t="e">
        <f>VLOOKUP(Allocation[[#This Row],[SAP Contract number]],Shipments[[SAP Contract number]:[AAA Premium USD]],24,FALSE)</f>
        <v>#N/A</v>
      </c>
      <c r="X2539" s="34" t="e">
        <f>VLOOKUP(Allocation[[#This Row],[SAP Contract number]],Shipments[[SAP Contract number]:[RA Premium USD]],25,FALSE)</f>
        <v>#N/A</v>
      </c>
      <c r="Y2539" s="38">
        <f>Allocation[[#This Row],[Quantity Processed]]/Allocation[[#This Row],[Quantity allocated]]</f>
        <v>1.9224555735056543</v>
      </c>
      <c r="Z2539" s="34" t="b">
        <f>Allocation[[#This Row],[Quantity allocated]]&lt;=Allocation[[#This Row],[Quantity Processed]]</f>
        <v>1</v>
      </c>
    </row>
    <row r="2540" spans="1:26">
      <c r="A2540" s="247" t="s">
        <v>467</v>
      </c>
      <c r="B2540" s="210" t="s">
        <v>68</v>
      </c>
      <c r="C2540" s="254" t="s">
        <v>2058</v>
      </c>
      <c r="D2540" s="255">
        <v>6731</v>
      </c>
      <c r="E2540" s="211" t="s">
        <v>2087</v>
      </c>
      <c r="F2540" s="212">
        <v>43673</v>
      </c>
      <c r="G2540" s="213">
        <v>2.02</v>
      </c>
      <c r="H2540" s="256">
        <v>3500</v>
      </c>
      <c r="I2540" s="214">
        <v>1482501</v>
      </c>
      <c r="J2540" s="215">
        <v>20400</v>
      </c>
      <c r="K2540" s="212">
        <v>43690</v>
      </c>
      <c r="L2540" s="211" t="s">
        <v>2101</v>
      </c>
      <c r="M2540" s="216">
        <v>4615507497</v>
      </c>
      <c r="N2540" s="212"/>
      <c r="O2540" s="218"/>
      <c r="P2540" s="219"/>
      <c r="Q2540" s="34">
        <f>SUMIF(Allocation[Delivery ID],Allocation[[#This Row],[Delivery ID]],Allocation[Quantity Processed])</f>
        <v>6731</v>
      </c>
      <c r="R2540" s="61">
        <f>Allocation[[#This Row],[Total volume used]]/VLOOKUP(Allocation[[#This Row],[Delivery ID]],Delivery[[Delivery ID]:[Quantity delivered]],3,FALSE)</f>
        <v>0.2231024196221412</v>
      </c>
      <c r="S2540" s="34">
        <f>Allocation[[#This Row],[Quantity Processed]]/Allocation[[#This Row],[Dilution rate]]</f>
        <v>3332.1782178217823</v>
      </c>
      <c r="T2540" s="59">
        <f>SUMIF(Allocation[Delivery ID],Allocation[[#This Row],[Delivery ID]],Allocation[Quantity allocated])/SUMIF(Allocation[Delivery ID],Allocation[[#This Row],[Delivery ID]],Allocation[Volume available (kg)])</f>
        <v>1.0503639875204278</v>
      </c>
      <c r="U2540" s="61">
        <f>Allocation[[#This Row],[Total volume used]]/VLOOKUP(Allocation[[#This Row],[Delivery ID]],Delivery[[Delivery ID]:[Quantity delivered]],3,FALSE)</f>
        <v>0.2231024196221412</v>
      </c>
      <c r="V2540" s="34" t="e">
        <f>VLOOKUP(Allocation[[#This Row],[SAP Contract number]],Shipments[[SAP Contract number]:[Contracted container weight]],2,FALSE)</f>
        <v>#N/A</v>
      </c>
      <c r="W2540" s="34" t="e">
        <f>VLOOKUP(Allocation[[#This Row],[SAP Contract number]],Shipments[[SAP Contract number]:[AAA Premium USD]],24,FALSE)</f>
        <v>#N/A</v>
      </c>
      <c r="X2540" s="34" t="e">
        <f>VLOOKUP(Allocation[[#This Row],[SAP Contract number]],Shipments[[SAP Contract number]:[RA Premium USD]],25,FALSE)</f>
        <v>#N/A</v>
      </c>
      <c r="Y2540" s="38">
        <f>Allocation[[#This Row],[Quantity Processed]]/Allocation[[#This Row],[Quantity allocated]]</f>
        <v>1.923142857142857</v>
      </c>
      <c r="Z2540" s="34" t="b">
        <f>Allocation[[#This Row],[Quantity allocated]]&lt;=Allocation[[#This Row],[Quantity Processed]]</f>
        <v>1</v>
      </c>
    </row>
    <row r="2541" spans="1:26">
      <c r="A2541" s="247" t="s">
        <v>467</v>
      </c>
      <c r="B2541" s="210" t="s">
        <v>68</v>
      </c>
      <c r="C2541" s="254" t="s">
        <v>2059</v>
      </c>
      <c r="D2541" s="255">
        <v>6850</v>
      </c>
      <c r="E2541" s="211" t="s">
        <v>2087</v>
      </c>
      <c r="F2541" s="212">
        <v>43673</v>
      </c>
      <c r="G2541" s="213">
        <v>2.02</v>
      </c>
      <c r="H2541" s="256">
        <v>3562</v>
      </c>
      <c r="I2541" s="214">
        <v>1482501</v>
      </c>
      <c r="J2541" s="215">
        <v>20400</v>
      </c>
      <c r="K2541" s="212">
        <v>43690</v>
      </c>
      <c r="L2541" s="211" t="s">
        <v>2101</v>
      </c>
      <c r="M2541" s="216">
        <v>4615507497</v>
      </c>
      <c r="N2541" s="212"/>
      <c r="O2541" s="218"/>
      <c r="P2541" s="219"/>
      <c r="Q2541" s="34">
        <f>SUMIF(Allocation[Delivery ID],Allocation[[#This Row],[Delivery ID]],Allocation[Quantity Processed])</f>
        <v>6850</v>
      </c>
      <c r="R2541" s="61">
        <f>Allocation[[#This Row],[Total volume used]]/VLOOKUP(Allocation[[#This Row],[Delivery ID]],Delivery[[Delivery ID]:[Quantity delivered]],3,FALSE)</f>
        <v>0.22349102773246329</v>
      </c>
      <c r="S2541" s="34">
        <f>Allocation[[#This Row],[Quantity Processed]]/Allocation[[#This Row],[Dilution rate]]</f>
        <v>3391.0891089108909</v>
      </c>
      <c r="T2541" s="59">
        <f>SUMIF(Allocation[Delivery ID],Allocation[[#This Row],[Delivery ID]],Allocation[Quantity allocated])/SUMIF(Allocation[Delivery ID],Allocation[[#This Row],[Delivery ID]],Allocation[Volume available (kg)])</f>
        <v>1.0504</v>
      </c>
      <c r="U2541" s="61">
        <f>Allocation[[#This Row],[Total volume used]]/VLOOKUP(Allocation[[#This Row],[Delivery ID]],Delivery[[Delivery ID]:[Quantity delivered]],3,FALSE)</f>
        <v>0.22349102773246329</v>
      </c>
      <c r="V2541" s="34" t="e">
        <f>VLOOKUP(Allocation[[#This Row],[SAP Contract number]],Shipments[[SAP Contract number]:[Contracted container weight]],2,FALSE)</f>
        <v>#N/A</v>
      </c>
      <c r="W2541" s="34" t="e">
        <f>VLOOKUP(Allocation[[#This Row],[SAP Contract number]],Shipments[[SAP Contract number]:[AAA Premium USD]],24,FALSE)</f>
        <v>#N/A</v>
      </c>
      <c r="X2541" s="34" t="e">
        <f>VLOOKUP(Allocation[[#This Row],[SAP Contract number]],Shipments[[SAP Contract number]:[RA Premium USD]],25,FALSE)</f>
        <v>#N/A</v>
      </c>
      <c r="Y2541" s="38">
        <f>Allocation[[#This Row],[Quantity Processed]]/Allocation[[#This Row],[Quantity allocated]]</f>
        <v>1.9230769230769231</v>
      </c>
      <c r="Z2541" s="34" t="b">
        <f>Allocation[[#This Row],[Quantity allocated]]&lt;=Allocation[[#This Row],[Quantity Processed]]</f>
        <v>1</v>
      </c>
    </row>
    <row r="2542" spans="1:26">
      <c r="A2542" s="247" t="s">
        <v>467</v>
      </c>
      <c r="B2542" s="210" t="s">
        <v>68</v>
      </c>
      <c r="C2542" s="254" t="s">
        <v>2060</v>
      </c>
      <c r="D2542" s="255">
        <v>8863</v>
      </c>
      <c r="E2542" s="211" t="s">
        <v>2087</v>
      </c>
      <c r="F2542" s="212">
        <v>43673</v>
      </c>
      <c r="G2542" s="213">
        <v>2.02</v>
      </c>
      <c r="H2542" s="256">
        <v>4963</v>
      </c>
      <c r="I2542" s="214">
        <v>1482501</v>
      </c>
      <c r="J2542" s="215">
        <v>20400</v>
      </c>
      <c r="K2542" s="212">
        <v>43690</v>
      </c>
      <c r="L2542" s="211" t="s">
        <v>2101</v>
      </c>
      <c r="M2542" s="216">
        <v>4615507497</v>
      </c>
      <c r="N2542" s="212"/>
      <c r="O2542" s="218"/>
      <c r="P2542" s="219"/>
      <c r="Q2542" s="34">
        <f>SUMIF(Allocation[Delivery ID],Allocation[[#This Row],[Delivery ID]],Allocation[Quantity Processed])</f>
        <v>8863</v>
      </c>
      <c r="R2542" s="61">
        <f>Allocation[[#This Row],[Total volume used]]/VLOOKUP(Allocation[[#This Row],[Delivery ID]],Delivery[[Delivery ID]:[Quantity delivered]],3,FALSE)</f>
        <v>0.28575573897343309</v>
      </c>
      <c r="S2542" s="34">
        <f>Allocation[[#This Row],[Quantity Processed]]/Allocation[[#This Row],[Dilution rate]]</f>
        <v>4387.6237623762372</v>
      </c>
      <c r="T2542" s="59">
        <f>SUMIF(Allocation[Delivery ID],Allocation[[#This Row],[Delivery ID]],Allocation[Quantity allocated])/SUMIF(Allocation[Delivery ID],Allocation[[#This Row],[Delivery ID]],Allocation[Volume available (kg)])</f>
        <v>1.131136184136297</v>
      </c>
      <c r="U2542" s="61">
        <f>Allocation[[#This Row],[Total volume used]]/VLOOKUP(Allocation[[#This Row],[Delivery ID]],Delivery[[Delivery ID]:[Quantity delivered]],3,FALSE)</f>
        <v>0.28575573897343309</v>
      </c>
      <c r="V2542" s="34" t="e">
        <f>VLOOKUP(Allocation[[#This Row],[SAP Contract number]],Shipments[[SAP Contract number]:[Contracted container weight]],2,FALSE)</f>
        <v>#N/A</v>
      </c>
      <c r="W2542" s="34" t="e">
        <f>VLOOKUP(Allocation[[#This Row],[SAP Contract number]],Shipments[[SAP Contract number]:[AAA Premium USD]],24,FALSE)</f>
        <v>#N/A</v>
      </c>
      <c r="X2542" s="34" t="e">
        <f>VLOOKUP(Allocation[[#This Row],[SAP Contract number]],Shipments[[SAP Contract number]:[RA Premium USD]],25,FALSE)</f>
        <v>#N/A</v>
      </c>
      <c r="Y2542" s="38">
        <f>Allocation[[#This Row],[Quantity Processed]]/Allocation[[#This Row],[Quantity allocated]]</f>
        <v>1.7858150312311103</v>
      </c>
      <c r="Z2542" s="34" t="b">
        <f>Allocation[[#This Row],[Quantity allocated]]&lt;=Allocation[[#This Row],[Quantity Processed]]</f>
        <v>1</v>
      </c>
    </row>
    <row r="2543" spans="1:26">
      <c r="A2543" s="247" t="s">
        <v>467</v>
      </c>
      <c r="B2543" s="210" t="s">
        <v>68</v>
      </c>
      <c r="C2543" s="254" t="s">
        <v>2062</v>
      </c>
      <c r="D2543" s="255">
        <v>5868</v>
      </c>
      <c r="E2543" s="211" t="s">
        <v>2087</v>
      </c>
      <c r="F2543" s="212">
        <v>43673</v>
      </c>
      <c r="G2543" s="213">
        <v>2.02</v>
      </c>
      <c r="H2543" s="256">
        <v>3286</v>
      </c>
      <c r="I2543" s="214">
        <v>1482501</v>
      </c>
      <c r="J2543" s="215">
        <v>20400</v>
      </c>
      <c r="K2543" s="212">
        <v>43690</v>
      </c>
      <c r="L2543" s="211" t="s">
        <v>2101</v>
      </c>
      <c r="M2543" s="216">
        <v>4615507497</v>
      </c>
      <c r="N2543" s="212"/>
      <c r="O2543" s="218"/>
      <c r="P2543" s="219"/>
      <c r="Q2543" s="34">
        <f>SUMIF(Allocation[Delivery ID],Allocation[[#This Row],[Delivery ID]],Allocation[Quantity Processed])</f>
        <v>5868</v>
      </c>
      <c r="R2543" s="61">
        <f>Allocation[[#This Row],[Total volume used]]/VLOOKUP(Allocation[[#This Row],[Delivery ID]],Delivery[[Delivery ID]:[Quantity delivered]],3,FALSE)</f>
        <v>0.26342251750763152</v>
      </c>
      <c r="S2543" s="34">
        <f>Allocation[[#This Row],[Quantity Processed]]/Allocation[[#This Row],[Dilution rate]]</f>
        <v>2904.9504950495048</v>
      </c>
      <c r="T2543" s="59">
        <f>SUMIF(Allocation[Delivery ID],Allocation[[#This Row],[Delivery ID]],Allocation[Quantity allocated])/SUMIF(Allocation[Delivery ID],Allocation[[#This Row],[Delivery ID]],Allocation[Volume available (kg)])</f>
        <v>1.1311724608043627</v>
      </c>
      <c r="U2543" s="61">
        <f>Allocation[[#This Row],[Total volume used]]/VLOOKUP(Allocation[[#This Row],[Delivery ID]],Delivery[[Delivery ID]:[Quantity delivered]],3,FALSE)</f>
        <v>0.26342251750763152</v>
      </c>
      <c r="V2543" s="34" t="e">
        <f>VLOOKUP(Allocation[[#This Row],[SAP Contract number]],Shipments[[SAP Contract number]:[Contracted container weight]],2,FALSE)</f>
        <v>#N/A</v>
      </c>
      <c r="W2543" s="34" t="e">
        <f>VLOOKUP(Allocation[[#This Row],[SAP Contract number]],Shipments[[SAP Contract number]:[AAA Premium USD]],24,FALSE)</f>
        <v>#N/A</v>
      </c>
      <c r="X2543" s="34" t="e">
        <f>VLOOKUP(Allocation[[#This Row],[SAP Contract number]],Shipments[[SAP Contract number]:[RA Premium USD]],25,FALSE)</f>
        <v>#N/A</v>
      </c>
      <c r="Y2543" s="38">
        <f>Allocation[[#This Row],[Quantity Processed]]/Allocation[[#This Row],[Quantity allocated]]</f>
        <v>1.7857577601947656</v>
      </c>
      <c r="Z2543" s="34" t="b">
        <f>Allocation[[#This Row],[Quantity allocated]]&lt;=Allocation[[#This Row],[Quantity Processed]]</f>
        <v>1</v>
      </c>
    </row>
    <row r="2544" spans="1:26">
      <c r="A2544" s="247" t="s">
        <v>467</v>
      </c>
      <c r="B2544" s="210" t="s">
        <v>68</v>
      </c>
      <c r="C2544" s="254" t="s">
        <v>2063</v>
      </c>
      <c r="D2544" s="255">
        <v>1402</v>
      </c>
      <c r="E2544" s="211" t="s">
        <v>2087</v>
      </c>
      <c r="F2544" s="212">
        <v>43673</v>
      </c>
      <c r="G2544" s="213">
        <v>2.02</v>
      </c>
      <c r="H2544" s="256">
        <v>785</v>
      </c>
      <c r="I2544" s="214">
        <v>1482501</v>
      </c>
      <c r="J2544" s="215">
        <v>20400</v>
      </c>
      <c r="K2544" s="212">
        <v>43690</v>
      </c>
      <c r="L2544" s="211" t="s">
        <v>2101</v>
      </c>
      <c r="M2544" s="216">
        <v>4615507497</v>
      </c>
      <c r="N2544" s="212"/>
      <c r="O2544" s="218"/>
      <c r="P2544" s="219"/>
      <c r="Q2544" s="34">
        <f>SUMIF(Allocation[Delivery ID],Allocation[[#This Row],[Delivery ID]],Allocation[Quantity Processed])</f>
        <v>1402</v>
      </c>
      <c r="R2544" s="61">
        <f>Allocation[[#This Row],[Total volume used]]/VLOOKUP(Allocation[[#This Row],[Delivery ID]],Delivery[[Delivery ID]:[Quantity delivered]],3,FALSE)</f>
        <v>0.26336057105287874</v>
      </c>
      <c r="S2544" s="34">
        <f>Allocation[[#This Row],[Quantity Processed]]/Allocation[[#This Row],[Dilution rate]]</f>
        <v>694.05940594059405</v>
      </c>
      <c r="T2544" s="59">
        <f>SUMIF(Allocation[Delivery ID],Allocation[[#This Row],[Delivery ID]],Allocation[Quantity allocated])/SUMIF(Allocation[Delivery ID],Allocation[[#This Row],[Delivery ID]],Allocation[Volume available (kg)])</f>
        <v>1.1310271041369473</v>
      </c>
      <c r="U2544" s="61">
        <f>Allocation[[#This Row],[Total volume used]]/VLOOKUP(Allocation[[#This Row],[Delivery ID]],Delivery[[Delivery ID]:[Quantity delivered]],3,FALSE)</f>
        <v>0.26336057105287874</v>
      </c>
      <c r="V2544" s="34" t="e">
        <f>VLOOKUP(Allocation[[#This Row],[SAP Contract number]],Shipments[[SAP Contract number]:[Contracted container weight]],2,FALSE)</f>
        <v>#N/A</v>
      </c>
      <c r="W2544" s="34" t="e">
        <f>VLOOKUP(Allocation[[#This Row],[SAP Contract number]],Shipments[[SAP Contract number]:[AAA Premium USD]],24,FALSE)</f>
        <v>#N/A</v>
      </c>
      <c r="X2544" s="34" t="e">
        <f>VLOOKUP(Allocation[[#This Row],[SAP Contract number]],Shipments[[SAP Contract number]:[RA Premium USD]],25,FALSE)</f>
        <v>#N/A</v>
      </c>
      <c r="Y2544" s="38">
        <f>Allocation[[#This Row],[Quantity Processed]]/Allocation[[#This Row],[Quantity allocated]]</f>
        <v>1.7859872611464969</v>
      </c>
      <c r="Z2544" s="34" t="b">
        <f>Allocation[[#This Row],[Quantity allocated]]&lt;=Allocation[[#This Row],[Quantity Processed]]</f>
        <v>1</v>
      </c>
    </row>
    <row r="2545" spans="1:26">
      <c r="A2545" s="247" t="s">
        <v>467</v>
      </c>
      <c r="B2545" s="210" t="s">
        <v>68</v>
      </c>
      <c r="C2545" s="254" t="s">
        <v>2064</v>
      </c>
      <c r="D2545" s="255">
        <v>791</v>
      </c>
      <c r="E2545" s="211" t="s">
        <v>2087</v>
      </c>
      <c r="F2545" s="212">
        <v>43673</v>
      </c>
      <c r="G2545" s="213">
        <v>2.02</v>
      </c>
      <c r="H2545" s="256">
        <v>443</v>
      </c>
      <c r="I2545" s="214">
        <v>1482501</v>
      </c>
      <c r="J2545" s="215">
        <v>20400</v>
      </c>
      <c r="K2545" s="212">
        <v>43690</v>
      </c>
      <c r="L2545" s="211" t="s">
        <v>2101</v>
      </c>
      <c r="M2545" s="216">
        <v>4615507497</v>
      </c>
      <c r="N2545" s="212"/>
      <c r="O2545" s="218"/>
      <c r="P2545" s="219"/>
      <c r="Q2545" s="34">
        <f>SUMIF(Allocation[Delivery ID],Allocation[[#This Row],[Delivery ID]],Allocation[Quantity Processed])</f>
        <v>791</v>
      </c>
      <c r="R2545" s="61">
        <f>Allocation[[#This Row],[Total volume used]]/VLOOKUP(Allocation[[#This Row],[Delivery ID]],Delivery[[Delivery ID]:[Quantity delivered]],3,FALSE)</f>
        <v>0.26362272954507582</v>
      </c>
      <c r="S2545" s="34">
        <f>Allocation[[#This Row],[Quantity Processed]]/Allocation[[#This Row],[Dilution rate]]</f>
        <v>391.58415841584156</v>
      </c>
      <c r="T2545" s="59">
        <f>SUMIF(Allocation[Delivery ID],Allocation[[#This Row],[Delivery ID]],Allocation[Quantity allocated])/SUMIF(Allocation[Delivery ID],Allocation[[#This Row],[Delivery ID]],Allocation[Volume available (kg)])</f>
        <v>1.1313021491782556</v>
      </c>
      <c r="U2545" s="61">
        <f>Allocation[[#This Row],[Total volume used]]/VLOOKUP(Allocation[[#This Row],[Delivery ID]],Delivery[[Delivery ID]:[Quantity delivered]],3,FALSE)</f>
        <v>0.26362272954507582</v>
      </c>
      <c r="V2545" s="34" t="e">
        <f>VLOOKUP(Allocation[[#This Row],[SAP Contract number]],Shipments[[SAP Contract number]:[Contracted container weight]],2,FALSE)</f>
        <v>#N/A</v>
      </c>
      <c r="W2545" s="34" t="e">
        <f>VLOOKUP(Allocation[[#This Row],[SAP Contract number]],Shipments[[SAP Contract number]:[AAA Premium USD]],24,FALSE)</f>
        <v>#N/A</v>
      </c>
      <c r="X2545" s="34" t="e">
        <f>VLOOKUP(Allocation[[#This Row],[SAP Contract number]],Shipments[[SAP Contract number]:[RA Premium USD]],25,FALSE)</f>
        <v>#N/A</v>
      </c>
      <c r="Y2545" s="38">
        <f>Allocation[[#This Row],[Quantity Processed]]/Allocation[[#This Row],[Quantity allocated]]</f>
        <v>1.7855530474040633</v>
      </c>
      <c r="Z2545" s="34" t="b">
        <f>Allocation[[#This Row],[Quantity allocated]]&lt;=Allocation[[#This Row],[Quantity Processed]]</f>
        <v>1</v>
      </c>
    </row>
    <row r="2546" spans="1:26">
      <c r="A2546" s="247" t="s">
        <v>467</v>
      </c>
      <c r="B2546" s="210" t="s">
        <v>68</v>
      </c>
      <c r="C2546" s="254" t="s">
        <v>2065</v>
      </c>
      <c r="D2546" s="255">
        <v>5582</v>
      </c>
      <c r="E2546" s="211" t="s">
        <v>2087</v>
      </c>
      <c r="F2546" s="212">
        <v>43673</v>
      </c>
      <c r="G2546" s="213">
        <v>2.02</v>
      </c>
      <c r="H2546" s="256">
        <v>3126</v>
      </c>
      <c r="I2546" s="214">
        <v>1482501</v>
      </c>
      <c r="J2546" s="215">
        <v>20400</v>
      </c>
      <c r="K2546" s="212">
        <v>43690</v>
      </c>
      <c r="L2546" s="211" t="s">
        <v>2101</v>
      </c>
      <c r="M2546" s="216">
        <v>4615507497</v>
      </c>
      <c r="N2546" s="212"/>
      <c r="O2546" s="218"/>
      <c r="P2546" s="219"/>
      <c r="Q2546" s="34">
        <f>SUMIF(Allocation[Delivery ID],Allocation[[#This Row],[Delivery ID]],Allocation[Quantity Processed])</f>
        <v>8393</v>
      </c>
      <c r="R2546" s="61">
        <f>Allocation[[#This Row],[Total volume used]]/VLOOKUP(Allocation[[#This Row],[Delivery ID]],Delivery[[Delivery ID]:[Quantity delivered]],3,FALSE)</f>
        <v>0.26982800192895035</v>
      </c>
      <c r="S2546" s="34">
        <f>Allocation[[#This Row],[Quantity Processed]]/Allocation[[#This Row],[Dilution rate]]</f>
        <v>2763.3663366336632</v>
      </c>
      <c r="T2546" s="59">
        <f>SUMIF(Allocation[Delivery ID],Allocation[[#This Row],[Delivery ID]],Allocation[Quantity allocated])/SUMIF(Allocation[Delivery ID],Allocation[[#This Row],[Delivery ID]],Allocation[Volume available (kg)])</f>
        <v>1.131180745859645</v>
      </c>
      <c r="U2546" s="61">
        <f>Allocation[[#This Row],[Total volume used]]/VLOOKUP(Allocation[[#This Row],[Delivery ID]],Delivery[[Delivery ID]:[Quantity delivered]],3,FALSE)</f>
        <v>0.26982800192895035</v>
      </c>
      <c r="V2546" s="34" t="e">
        <f>VLOOKUP(Allocation[[#This Row],[SAP Contract number]],Shipments[[SAP Contract number]:[Contracted container weight]],2,FALSE)</f>
        <v>#N/A</v>
      </c>
      <c r="W2546" s="34" t="e">
        <f>VLOOKUP(Allocation[[#This Row],[SAP Contract number]],Shipments[[SAP Contract number]:[AAA Premium USD]],24,FALSE)</f>
        <v>#N/A</v>
      </c>
      <c r="X2546" s="34" t="e">
        <f>VLOOKUP(Allocation[[#This Row],[SAP Contract number]],Shipments[[SAP Contract number]:[RA Premium USD]],25,FALSE)</f>
        <v>#N/A</v>
      </c>
      <c r="Y2546" s="38">
        <f>Allocation[[#This Row],[Quantity Processed]]/Allocation[[#This Row],[Quantity allocated]]</f>
        <v>1.7856685860524633</v>
      </c>
      <c r="Z2546" s="34" t="b">
        <f>Allocation[[#This Row],[Quantity allocated]]&lt;=Allocation[[#This Row],[Quantity Processed]]</f>
        <v>1</v>
      </c>
    </row>
    <row r="2547" spans="1:26">
      <c r="A2547" s="247" t="s">
        <v>467</v>
      </c>
      <c r="B2547" s="210" t="s">
        <v>68</v>
      </c>
      <c r="C2547" s="254" t="s">
        <v>2065</v>
      </c>
      <c r="D2547" s="255">
        <v>2811</v>
      </c>
      <c r="E2547" s="211" t="s">
        <v>2087</v>
      </c>
      <c r="F2547" s="212">
        <v>43673</v>
      </c>
      <c r="G2547" s="213">
        <v>2.02</v>
      </c>
      <c r="H2547" s="256">
        <v>1574</v>
      </c>
      <c r="I2547" s="214">
        <v>1482502</v>
      </c>
      <c r="J2547" s="215">
        <v>20400</v>
      </c>
      <c r="K2547" s="212">
        <v>43690</v>
      </c>
      <c r="L2547" s="211" t="s">
        <v>2102</v>
      </c>
      <c r="M2547" s="216">
        <v>4615507497</v>
      </c>
      <c r="N2547" s="212"/>
      <c r="O2547" s="218"/>
      <c r="P2547" s="219"/>
      <c r="Q2547" s="34">
        <f>SUMIF(Allocation[Delivery ID],Allocation[[#This Row],[Delivery ID]],Allocation[Quantity Processed])</f>
        <v>8393</v>
      </c>
      <c r="R2547" s="61">
        <f>Allocation[[#This Row],[Total volume used]]/VLOOKUP(Allocation[[#This Row],[Delivery ID]],Delivery[[Delivery ID]:[Quantity delivered]],3,FALSE)</f>
        <v>0.26982800192895035</v>
      </c>
      <c r="S2547" s="34">
        <f>Allocation[[#This Row],[Quantity Processed]]/Allocation[[#This Row],[Dilution rate]]</f>
        <v>1391.5841584158416</v>
      </c>
      <c r="T2547" s="59">
        <f>SUMIF(Allocation[Delivery ID],Allocation[[#This Row],[Delivery ID]],Allocation[Quantity allocated])/SUMIF(Allocation[Delivery ID],Allocation[[#This Row],[Delivery ID]],Allocation[Volume available (kg)])</f>
        <v>1.131180745859645</v>
      </c>
      <c r="U2547" s="61">
        <f>Allocation[[#This Row],[Total volume used]]/VLOOKUP(Allocation[[#This Row],[Delivery ID]],Delivery[[Delivery ID]:[Quantity delivered]],3,FALSE)</f>
        <v>0.26982800192895035</v>
      </c>
      <c r="V2547" s="34" t="e">
        <f>VLOOKUP(Allocation[[#This Row],[SAP Contract number]],Shipments[[SAP Contract number]:[Contracted container weight]],2,FALSE)</f>
        <v>#N/A</v>
      </c>
      <c r="W2547" s="34" t="e">
        <f>VLOOKUP(Allocation[[#This Row],[SAP Contract number]],Shipments[[SAP Contract number]:[AAA Premium USD]],24,FALSE)</f>
        <v>#N/A</v>
      </c>
      <c r="X2547" s="34" t="e">
        <f>VLOOKUP(Allocation[[#This Row],[SAP Contract number]],Shipments[[SAP Contract number]:[RA Premium USD]],25,FALSE)</f>
        <v>#N/A</v>
      </c>
      <c r="Y2547" s="38">
        <f>Allocation[[#This Row],[Quantity Processed]]/Allocation[[#This Row],[Quantity allocated]]</f>
        <v>1.7858958068614994</v>
      </c>
      <c r="Z2547" s="34" t="b">
        <f>Allocation[[#This Row],[Quantity allocated]]&lt;=Allocation[[#This Row],[Quantity Processed]]</f>
        <v>1</v>
      </c>
    </row>
    <row r="2548" spans="1:26">
      <c r="A2548" s="247" t="s">
        <v>467</v>
      </c>
      <c r="B2548" s="210" t="s">
        <v>68</v>
      </c>
      <c r="C2548" s="254" t="s">
        <v>2066</v>
      </c>
      <c r="D2548" s="255">
        <v>8393</v>
      </c>
      <c r="E2548" s="211" t="s">
        <v>2087</v>
      </c>
      <c r="F2548" s="212">
        <v>43673</v>
      </c>
      <c r="G2548" s="213">
        <v>2.02</v>
      </c>
      <c r="H2548" s="256">
        <v>4700</v>
      </c>
      <c r="I2548" s="214">
        <v>1482502</v>
      </c>
      <c r="J2548" s="215">
        <v>20400</v>
      </c>
      <c r="K2548" s="212">
        <v>43690</v>
      </c>
      <c r="L2548" s="211" t="s">
        <v>2102</v>
      </c>
      <c r="M2548" s="216">
        <v>4615507497</v>
      </c>
      <c r="N2548" s="212"/>
      <c r="O2548" s="218"/>
      <c r="P2548" s="219"/>
      <c r="Q2548" s="34">
        <f>SUMIF(Allocation[Delivery ID],Allocation[[#This Row],[Delivery ID]],Allocation[Quantity Processed])</f>
        <v>8393</v>
      </c>
      <c r="R2548" s="61">
        <f>Allocation[[#This Row],[Total volume used]]/VLOOKUP(Allocation[[#This Row],[Delivery ID]],Delivery[[Delivery ID]:[Quantity delivered]],3,FALSE)</f>
        <v>0.2695680102778224</v>
      </c>
      <c r="S2548" s="34">
        <f>Allocation[[#This Row],[Quantity Processed]]/Allocation[[#This Row],[Dilution rate]]</f>
        <v>4154.9504950495048</v>
      </c>
      <c r="T2548" s="59">
        <f>SUMIF(Allocation[Delivery ID],Allocation[[#This Row],[Delivery ID]],Allocation[Quantity allocated])/SUMIF(Allocation[Delivery ID],Allocation[[#This Row],[Delivery ID]],Allocation[Volume available (kg)])</f>
        <v>1.131180745859645</v>
      </c>
      <c r="U2548" s="61">
        <f>Allocation[[#This Row],[Total volume used]]/VLOOKUP(Allocation[[#This Row],[Delivery ID]],Delivery[[Delivery ID]:[Quantity delivered]],3,FALSE)</f>
        <v>0.2695680102778224</v>
      </c>
      <c r="V2548" s="34" t="e">
        <f>VLOOKUP(Allocation[[#This Row],[SAP Contract number]],Shipments[[SAP Contract number]:[Contracted container weight]],2,FALSE)</f>
        <v>#N/A</v>
      </c>
      <c r="W2548" s="34" t="e">
        <f>VLOOKUP(Allocation[[#This Row],[SAP Contract number]],Shipments[[SAP Contract number]:[AAA Premium USD]],24,FALSE)</f>
        <v>#N/A</v>
      </c>
      <c r="X2548" s="34" t="e">
        <f>VLOOKUP(Allocation[[#This Row],[SAP Contract number]],Shipments[[SAP Contract number]:[RA Premium USD]],25,FALSE)</f>
        <v>#N/A</v>
      </c>
      <c r="Y2548" s="38">
        <f>Allocation[[#This Row],[Quantity Processed]]/Allocation[[#This Row],[Quantity allocated]]</f>
        <v>1.7857446808510637</v>
      </c>
      <c r="Z2548" s="34" t="b">
        <f>Allocation[[#This Row],[Quantity allocated]]&lt;=Allocation[[#This Row],[Quantity Processed]]</f>
        <v>1</v>
      </c>
    </row>
    <row r="2549" spans="1:26">
      <c r="A2549" s="247" t="s">
        <v>467</v>
      </c>
      <c r="B2549" s="210" t="s">
        <v>68</v>
      </c>
      <c r="C2549" s="254" t="s">
        <v>2067</v>
      </c>
      <c r="D2549" s="255">
        <v>8393</v>
      </c>
      <c r="E2549" s="211" t="s">
        <v>2087</v>
      </c>
      <c r="F2549" s="212">
        <v>43673</v>
      </c>
      <c r="G2549" s="213">
        <v>2.02</v>
      </c>
      <c r="H2549" s="256">
        <v>4700</v>
      </c>
      <c r="I2549" s="214">
        <v>1482502</v>
      </c>
      <c r="J2549" s="215">
        <v>20400</v>
      </c>
      <c r="K2549" s="212">
        <v>43690</v>
      </c>
      <c r="L2549" s="211" t="s">
        <v>2102</v>
      </c>
      <c r="M2549" s="216">
        <v>4615507497</v>
      </c>
      <c r="N2549" s="212"/>
      <c r="O2549" s="218"/>
      <c r="P2549" s="219"/>
      <c r="Q2549" s="34">
        <f>SUMIF(Allocation[Delivery ID],Allocation[[#This Row],[Delivery ID]],Allocation[Quantity Processed])</f>
        <v>8393</v>
      </c>
      <c r="R2549" s="61">
        <f>Allocation[[#This Row],[Total volume used]]/VLOOKUP(Allocation[[#This Row],[Delivery ID]],Delivery[[Delivery ID]:[Quantity delivered]],3,FALSE)</f>
        <v>0.27034949267192787</v>
      </c>
      <c r="S2549" s="34">
        <f>Allocation[[#This Row],[Quantity Processed]]/Allocation[[#This Row],[Dilution rate]]</f>
        <v>4154.9504950495048</v>
      </c>
      <c r="T2549" s="59">
        <f>SUMIF(Allocation[Delivery ID],Allocation[[#This Row],[Delivery ID]],Allocation[Quantity allocated])/SUMIF(Allocation[Delivery ID],Allocation[[#This Row],[Delivery ID]],Allocation[Volume available (kg)])</f>
        <v>1.131180745859645</v>
      </c>
      <c r="U2549" s="61">
        <f>Allocation[[#This Row],[Total volume used]]/VLOOKUP(Allocation[[#This Row],[Delivery ID]],Delivery[[Delivery ID]:[Quantity delivered]],3,FALSE)</f>
        <v>0.27034949267192787</v>
      </c>
      <c r="V2549" s="34" t="e">
        <f>VLOOKUP(Allocation[[#This Row],[SAP Contract number]],Shipments[[SAP Contract number]:[Contracted container weight]],2,FALSE)</f>
        <v>#N/A</v>
      </c>
      <c r="W2549" s="34" t="e">
        <f>VLOOKUP(Allocation[[#This Row],[SAP Contract number]],Shipments[[SAP Contract number]:[AAA Premium USD]],24,FALSE)</f>
        <v>#N/A</v>
      </c>
      <c r="X2549" s="34" t="e">
        <f>VLOOKUP(Allocation[[#This Row],[SAP Contract number]],Shipments[[SAP Contract number]:[RA Premium USD]],25,FALSE)</f>
        <v>#N/A</v>
      </c>
      <c r="Y2549" s="38">
        <f>Allocation[[#This Row],[Quantity Processed]]/Allocation[[#This Row],[Quantity allocated]]</f>
        <v>1.7857446808510637</v>
      </c>
      <c r="Z2549" s="34" t="b">
        <f>Allocation[[#This Row],[Quantity allocated]]&lt;=Allocation[[#This Row],[Quantity Processed]]</f>
        <v>1</v>
      </c>
    </row>
    <row r="2550" spans="1:26">
      <c r="A2550" s="247" t="s">
        <v>467</v>
      </c>
      <c r="B2550" s="210" t="s">
        <v>68</v>
      </c>
      <c r="C2550" s="254" t="s">
        <v>2069</v>
      </c>
      <c r="D2550" s="255">
        <v>3015</v>
      </c>
      <c r="E2550" s="211" t="s">
        <v>2087</v>
      </c>
      <c r="F2550" s="212">
        <v>43673</v>
      </c>
      <c r="G2550" s="213">
        <v>2.02</v>
      </c>
      <c r="H2550" s="256">
        <v>995</v>
      </c>
      <c r="I2550" s="214">
        <v>1482502</v>
      </c>
      <c r="J2550" s="215">
        <v>20400</v>
      </c>
      <c r="K2550" s="212">
        <v>43690</v>
      </c>
      <c r="L2550" s="211" t="s">
        <v>2102</v>
      </c>
      <c r="M2550" s="216">
        <v>4615507497</v>
      </c>
      <c r="N2550" s="212"/>
      <c r="O2550" s="218"/>
      <c r="P2550" s="219"/>
      <c r="Q2550" s="34">
        <f>SUMIF(Allocation[Delivery ID],Allocation[[#This Row],[Delivery ID]],Allocation[Quantity Processed])</f>
        <v>3895</v>
      </c>
      <c r="R2550" s="61">
        <f>Allocation[[#This Row],[Total volume used]]/VLOOKUP(Allocation[[#This Row],[Delivery ID]],Delivery[[Delivery ID]:[Quantity delivered]],3,FALSE)</f>
        <v>0.18565300285986655</v>
      </c>
      <c r="S2550" s="34">
        <f>Allocation[[#This Row],[Quantity Processed]]/Allocation[[#This Row],[Dilution rate]]</f>
        <v>1492.5742574257426</v>
      </c>
      <c r="T2550" s="59">
        <f>SUMIF(Allocation[Delivery ID],Allocation[[#This Row],[Delivery ID]],Allocation[Quantity allocated])/SUMIF(Allocation[Delivery ID],Allocation[[#This Row],[Delivery ID]],Allocation[Volume available (kg)])</f>
        <v>0.65251526238191448</v>
      </c>
      <c r="U2550" s="61">
        <f>Allocation[[#This Row],[Total volume used]]/VLOOKUP(Allocation[[#This Row],[Delivery ID]],Delivery[[Delivery ID]:[Quantity delivered]],3,FALSE)</f>
        <v>0.18565300285986655</v>
      </c>
      <c r="V2550" s="34" t="e">
        <f>VLOOKUP(Allocation[[#This Row],[SAP Contract number]],Shipments[[SAP Contract number]:[Contracted container weight]],2,FALSE)</f>
        <v>#N/A</v>
      </c>
      <c r="W2550" s="34" t="e">
        <f>VLOOKUP(Allocation[[#This Row],[SAP Contract number]],Shipments[[SAP Contract number]:[AAA Premium USD]],24,FALSE)</f>
        <v>#N/A</v>
      </c>
      <c r="X2550" s="34" t="e">
        <f>VLOOKUP(Allocation[[#This Row],[SAP Contract number]],Shipments[[SAP Contract number]:[RA Premium USD]],25,FALSE)</f>
        <v>#N/A</v>
      </c>
      <c r="Y2550" s="38">
        <f>Allocation[[#This Row],[Quantity Processed]]/Allocation[[#This Row],[Quantity allocated]]</f>
        <v>3.0301507537688441</v>
      </c>
      <c r="Z2550" s="34" t="b">
        <f>Allocation[[#This Row],[Quantity allocated]]&lt;=Allocation[[#This Row],[Quantity Processed]]</f>
        <v>1</v>
      </c>
    </row>
    <row r="2551" spans="1:26">
      <c r="A2551" s="247" t="s">
        <v>467</v>
      </c>
      <c r="B2551" s="210" t="s">
        <v>68</v>
      </c>
      <c r="C2551" s="254" t="s">
        <v>2070</v>
      </c>
      <c r="D2551" s="255">
        <v>4697</v>
      </c>
      <c r="E2551" s="211" t="s">
        <v>2087</v>
      </c>
      <c r="F2551" s="212">
        <v>43673</v>
      </c>
      <c r="G2551" s="213">
        <v>2.02</v>
      </c>
      <c r="H2551" s="256">
        <v>1550</v>
      </c>
      <c r="I2551" s="214">
        <v>1482502</v>
      </c>
      <c r="J2551" s="215">
        <v>20400</v>
      </c>
      <c r="K2551" s="212">
        <v>43690</v>
      </c>
      <c r="L2551" s="211" t="s">
        <v>2102</v>
      </c>
      <c r="M2551" s="216">
        <v>4615507497</v>
      </c>
      <c r="N2551" s="212"/>
      <c r="O2551" s="218"/>
      <c r="P2551" s="219"/>
      <c r="Q2551" s="34">
        <f>SUMIF(Allocation[Delivery ID],Allocation[[#This Row],[Delivery ID]],Allocation[Quantity Processed])</f>
        <v>4697</v>
      </c>
      <c r="R2551" s="61">
        <f>Allocation[[#This Row],[Total volume used]]/VLOOKUP(Allocation[[#This Row],[Delivery ID]],Delivery[[Delivery ID]:[Quantity delivered]],3,FALSE)</f>
        <v>0.23579317269076305</v>
      </c>
      <c r="S2551" s="34">
        <f>Allocation[[#This Row],[Quantity Processed]]/Allocation[[#This Row],[Dilution rate]]</f>
        <v>2325.2475247524753</v>
      </c>
      <c r="T2551" s="59">
        <f>SUMIF(Allocation[Delivery ID],Allocation[[#This Row],[Delivery ID]],Allocation[Quantity allocated])/SUMIF(Allocation[Delivery ID],Allocation[[#This Row],[Delivery ID]],Allocation[Volume available (kg)])</f>
        <v>0.66659569938258456</v>
      </c>
      <c r="U2551" s="61">
        <f>Allocation[[#This Row],[Total volume used]]/VLOOKUP(Allocation[[#This Row],[Delivery ID]],Delivery[[Delivery ID]:[Quantity delivered]],3,FALSE)</f>
        <v>0.23579317269076305</v>
      </c>
      <c r="V2551" s="34" t="e">
        <f>VLOOKUP(Allocation[[#This Row],[SAP Contract number]],Shipments[[SAP Contract number]:[Contracted container weight]],2,FALSE)</f>
        <v>#N/A</v>
      </c>
      <c r="W2551" s="34" t="e">
        <f>VLOOKUP(Allocation[[#This Row],[SAP Contract number]],Shipments[[SAP Contract number]:[AAA Premium USD]],24,FALSE)</f>
        <v>#N/A</v>
      </c>
      <c r="X2551" s="34" t="e">
        <f>VLOOKUP(Allocation[[#This Row],[SAP Contract number]],Shipments[[SAP Contract number]:[RA Premium USD]],25,FALSE)</f>
        <v>#N/A</v>
      </c>
      <c r="Y2551" s="38">
        <f>Allocation[[#This Row],[Quantity Processed]]/Allocation[[#This Row],[Quantity allocated]]</f>
        <v>3.0303225806451612</v>
      </c>
      <c r="Z2551" s="34" t="b">
        <f>Allocation[[#This Row],[Quantity allocated]]&lt;=Allocation[[#This Row],[Quantity Processed]]</f>
        <v>1</v>
      </c>
    </row>
    <row r="2552" spans="1:26">
      <c r="A2552" s="247" t="s">
        <v>467</v>
      </c>
      <c r="B2552" s="210" t="s">
        <v>68</v>
      </c>
      <c r="C2552" s="254" t="s">
        <v>2071</v>
      </c>
      <c r="D2552" s="255">
        <v>7857</v>
      </c>
      <c r="E2552" s="211" t="s">
        <v>2087</v>
      </c>
      <c r="F2552" s="212">
        <v>43673</v>
      </c>
      <c r="G2552" s="213">
        <v>2.02</v>
      </c>
      <c r="H2552" s="256">
        <v>4950</v>
      </c>
      <c r="I2552" s="214">
        <v>1482502</v>
      </c>
      <c r="J2552" s="215">
        <v>20400</v>
      </c>
      <c r="K2552" s="212">
        <v>43690</v>
      </c>
      <c r="L2552" s="211" t="s">
        <v>2102</v>
      </c>
      <c r="M2552" s="216">
        <v>4615507497</v>
      </c>
      <c r="N2552" s="212"/>
      <c r="O2552" s="218"/>
      <c r="P2552" s="219"/>
      <c r="Q2552" s="34">
        <f>SUMIF(Allocation[Delivery ID],Allocation[[#This Row],[Delivery ID]],Allocation[Quantity Processed])</f>
        <v>7857</v>
      </c>
      <c r="R2552" s="61">
        <f>Allocation[[#This Row],[Total volume used]]/VLOOKUP(Allocation[[#This Row],[Delivery ID]],Delivery[[Delivery ID]:[Quantity delivered]],3,FALSE)</f>
        <v>0.24586547337787304</v>
      </c>
      <c r="S2552" s="34">
        <f>Allocation[[#This Row],[Quantity Processed]]/Allocation[[#This Row],[Dilution rate]]</f>
        <v>3889.6039603960394</v>
      </c>
      <c r="T2552" s="59">
        <f>SUMIF(Allocation[Delivery ID],Allocation[[#This Row],[Delivery ID]],Allocation[Quantity allocated])/SUMIF(Allocation[Delivery ID],Allocation[[#This Row],[Delivery ID]],Allocation[Volume available (kg)])</f>
        <v>1.2726231386025202</v>
      </c>
      <c r="U2552" s="61">
        <f>Allocation[[#This Row],[Total volume used]]/VLOOKUP(Allocation[[#This Row],[Delivery ID]],Delivery[[Delivery ID]:[Quantity delivered]],3,FALSE)</f>
        <v>0.24586547337787304</v>
      </c>
      <c r="V2552" s="34" t="e">
        <f>VLOOKUP(Allocation[[#This Row],[SAP Contract number]],Shipments[[SAP Contract number]:[Contracted container weight]],2,FALSE)</f>
        <v>#N/A</v>
      </c>
      <c r="W2552" s="34" t="e">
        <f>VLOOKUP(Allocation[[#This Row],[SAP Contract number]],Shipments[[SAP Contract number]:[AAA Premium USD]],24,FALSE)</f>
        <v>#N/A</v>
      </c>
      <c r="X2552" s="34" t="e">
        <f>VLOOKUP(Allocation[[#This Row],[SAP Contract number]],Shipments[[SAP Contract number]:[RA Premium USD]],25,FALSE)</f>
        <v>#N/A</v>
      </c>
      <c r="Y2552" s="38">
        <f>Allocation[[#This Row],[Quantity Processed]]/Allocation[[#This Row],[Quantity allocated]]</f>
        <v>1.5872727272727272</v>
      </c>
      <c r="Z2552" s="34" t="b">
        <f>Allocation[[#This Row],[Quantity allocated]]&lt;=Allocation[[#This Row],[Quantity Processed]]</f>
        <v>1</v>
      </c>
    </row>
    <row r="2553" spans="1:26">
      <c r="A2553" s="247" t="s">
        <v>467</v>
      </c>
      <c r="B2553" s="210" t="s">
        <v>68</v>
      </c>
      <c r="C2553" s="254" t="s">
        <v>2072</v>
      </c>
      <c r="D2553" s="255">
        <v>3065</v>
      </c>
      <c r="E2553" s="211" t="s">
        <v>2087</v>
      </c>
      <c r="F2553" s="212">
        <v>43673</v>
      </c>
      <c r="G2553" s="213">
        <v>2.02</v>
      </c>
      <c r="H2553" s="256">
        <v>1931</v>
      </c>
      <c r="I2553" s="214">
        <v>1482502</v>
      </c>
      <c r="J2553" s="215">
        <v>20400</v>
      </c>
      <c r="K2553" s="212">
        <v>43690</v>
      </c>
      <c r="L2553" s="211" t="s">
        <v>2102</v>
      </c>
      <c r="M2553" s="216">
        <v>4615507497</v>
      </c>
      <c r="N2553" s="212"/>
      <c r="O2553" s="218"/>
      <c r="P2553" s="219"/>
      <c r="Q2553" s="34">
        <f>SUMIF(Allocation[Delivery ID],Allocation[[#This Row],[Delivery ID]],Allocation[Quantity Processed])</f>
        <v>7857</v>
      </c>
      <c r="R2553" s="61">
        <f>Allocation[[#This Row],[Total volume used]]/VLOOKUP(Allocation[[#This Row],[Delivery ID]],Delivery[[Delivery ID]:[Quantity delivered]],3,FALSE)</f>
        <v>0.24540471319475896</v>
      </c>
      <c r="S2553" s="34">
        <f>Allocation[[#This Row],[Quantity Processed]]/Allocation[[#This Row],[Dilution rate]]</f>
        <v>1517.3267326732673</v>
      </c>
      <c r="T2553" s="59">
        <f>SUMIF(Allocation[Delivery ID],Allocation[[#This Row],[Delivery ID]],Allocation[Quantity allocated])/SUMIF(Allocation[Delivery ID],Allocation[[#This Row],[Delivery ID]],Allocation[Volume available (kg)])</f>
        <v>1.27262313860252</v>
      </c>
      <c r="U2553" s="61">
        <f>Allocation[[#This Row],[Total volume used]]/VLOOKUP(Allocation[[#This Row],[Delivery ID]],Delivery[[Delivery ID]:[Quantity delivered]],3,FALSE)</f>
        <v>0.24540471319475896</v>
      </c>
      <c r="V2553" s="34" t="e">
        <f>VLOOKUP(Allocation[[#This Row],[SAP Contract number]],Shipments[[SAP Contract number]:[Contracted container weight]],2,FALSE)</f>
        <v>#N/A</v>
      </c>
      <c r="W2553" s="34" t="e">
        <f>VLOOKUP(Allocation[[#This Row],[SAP Contract number]],Shipments[[SAP Contract number]:[AAA Premium USD]],24,FALSE)</f>
        <v>#N/A</v>
      </c>
      <c r="X2553" s="34" t="e">
        <f>VLOOKUP(Allocation[[#This Row],[SAP Contract number]],Shipments[[SAP Contract number]:[RA Premium USD]],25,FALSE)</f>
        <v>#N/A</v>
      </c>
      <c r="Y2553" s="38">
        <f>Allocation[[#This Row],[Quantity Processed]]/Allocation[[#This Row],[Quantity allocated]]</f>
        <v>1.5872604867944071</v>
      </c>
      <c r="Z2553" s="34" t="b">
        <f>Allocation[[#This Row],[Quantity allocated]]&lt;=Allocation[[#This Row],[Quantity Processed]]</f>
        <v>1</v>
      </c>
    </row>
    <row r="2554" spans="1:26">
      <c r="A2554" s="247" t="s">
        <v>467</v>
      </c>
      <c r="B2554" s="210" t="s">
        <v>68</v>
      </c>
      <c r="C2554" s="254" t="s">
        <v>2072</v>
      </c>
      <c r="D2554" s="255">
        <v>4792</v>
      </c>
      <c r="E2554" s="211" t="s">
        <v>2087</v>
      </c>
      <c r="F2554" s="212">
        <v>43673</v>
      </c>
      <c r="G2554" s="213">
        <v>2.02</v>
      </c>
      <c r="H2554" s="256">
        <v>3019</v>
      </c>
      <c r="I2554" s="214">
        <v>1482503</v>
      </c>
      <c r="J2554" s="215">
        <v>20400</v>
      </c>
      <c r="K2554" s="212">
        <v>43690</v>
      </c>
      <c r="L2554" s="211" t="s">
        <v>2103</v>
      </c>
      <c r="M2554" s="216">
        <v>4615507497</v>
      </c>
      <c r="N2554" s="212"/>
      <c r="O2554" s="218"/>
      <c r="P2554" s="219"/>
      <c r="Q2554" s="34">
        <f>SUMIF(Allocation[Delivery ID],Allocation[[#This Row],[Delivery ID]],Allocation[Quantity Processed])</f>
        <v>7857</v>
      </c>
      <c r="R2554" s="61">
        <f>Allocation[[#This Row],[Total volume used]]/VLOOKUP(Allocation[[#This Row],[Delivery ID]],Delivery[[Delivery ID]:[Quantity delivered]],3,FALSE)</f>
        <v>0.24540471319475896</v>
      </c>
      <c r="S2554" s="34">
        <f>Allocation[[#This Row],[Quantity Processed]]/Allocation[[#This Row],[Dilution rate]]</f>
        <v>2372.2772277227723</v>
      </c>
      <c r="T2554" s="59">
        <f>SUMIF(Allocation[Delivery ID],Allocation[[#This Row],[Delivery ID]],Allocation[Quantity allocated])/SUMIF(Allocation[Delivery ID],Allocation[[#This Row],[Delivery ID]],Allocation[Volume available (kg)])</f>
        <v>1.27262313860252</v>
      </c>
      <c r="U2554" s="61">
        <f>Allocation[[#This Row],[Total volume used]]/VLOOKUP(Allocation[[#This Row],[Delivery ID]],Delivery[[Delivery ID]:[Quantity delivered]],3,FALSE)</f>
        <v>0.24540471319475896</v>
      </c>
      <c r="V2554" s="34" t="e">
        <f>VLOOKUP(Allocation[[#This Row],[SAP Contract number]],Shipments[[SAP Contract number]:[Contracted container weight]],2,FALSE)</f>
        <v>#N/A</v>
      </c>
      <c r="W2554" s="34" t="e">
        <f>VLOOKUP(Allocation[[#This Row],[SAP Contract number]],Shipments[[SAP Contract number]:[AAA Premium USD]],24,FALSE)</f>
        <v>#N/A</v>
      </c>
      <c r="X2554" s="34" t="e">
        <f>VLOOKUP(Allocation[[#This Row],[SAP Contract number]],Shipments[[SAP Contract number]:[RA Premium USD]],25,FALSE)</f>
        <v>#N/A</v>
      </c>
      <c r="Y2554" s="38">
        <f>Allocation[[#This Row],[Quantity Processed]]/Allocation[[#This Row],[Quantity allocated]]</f>
        <v>1.5872805564756542</v>
      </c>
      <c r="Z2554" s="34" t="b">
        <f>Allocation[[#This Row],[Quantity allocated]]&lt;=Allocation[[#This Row],[Quantity Processed]]</f>
        <v>1</v>
      </c>
    </row>
    <row r="2555" spans="1:26">
      <c r="A2555" s="247" t="s">
        <v>467</v>
      </c>
      <c r="B2555" s="210" t="s">
        <v>68</v>
      </c>
      <c r="C2555" s="254" t="s">
        <v>2073</v>
      </c>
      <c r="D2555" s="255">
        <v>7857</v>
      </c>
      <c r="E2555" s="211" t="s">
        <v>2087</v>
      </c>
      <c r="F2555" s="212">
        <v>43673</v>
      </c>
      <c r="G2555" s="213">
        <v>2.02</v>
      </c>
      <c r="H2555" s="256">
        <v>4950</v>
      </c>
      <c r="I2555" s="214">
        <v>1482503</v>
      </c>
      <c r="J2555" s="215">
        <v>20400</v>
      </c>
      <c r="K2555" s="212">
        <v>43690</v>
      </c>
      <c r="L2555" s="211" t="s">
        <v>2103</v>
      </c>
      <c r="M2555" s="216">
        <v>4615507497</v>
      </c>
      <c r="N2555" s="212"/>
      <c r="O2555" s="218"/>
      <c r="P2555" s="219"/>
      <c r="Q2555" s="34">
        <f>SUMIF(Allocation[Delivery ID],Allocation[[#This Row],[Delivery ID]],Allocation[Quantity Processed])</f>
        <v>7857</v>
      </c>
      <c r="R2555" s="61">
        <f>Allocation[[#This Row],[Total volume used]]/VLOOKUP(Allocation[[#This Row],[Delivery ID]],Delivery[[Delivery ID]:[Quantity delivered]],3,FALSE)</f>
        <v>0.2457885598986439</v>
      </c>
      <c r="S2555" s="34">
        <f>Allocation[[#This Row],[Quantity Processed]]/Allocation[[#This Row],[Dilution rate]]</f>
        <v>3889.6039603960394</v>
      </c>
      <c r="T2555" s="59">
        <f>SUMIF(Allocation[Delivery ID],Allocation[[#This Row],[Delivery ID]],Allocation[Quantity allocated])/SUMIF(Allocation[Delivery ID],Allocation[[#This Row],[Delivery ID]],Allocation[Volume available (kg)])</f>
        <v>1.2726231386025202</v>
      </c>
      <c r="U2555" s="61">
        <f>Allocation[[#This Row],[Total volume used]]/VLOOKUP(Allocation[[#This Row],[Delivery ID]],Delivery[[Delivery ID]:[Quantity delivered]],3,FALSE)</f>
        <v>0.2457885598986439</v>
      </c>
      <c r="V2555" s="34" t="e">
        <f>VLOOKUP(Allocation[[#This Row],[SAP Contract number]],Shipments[[SAP Contract number]:[Contracted container weight]],2,FALSE)</f>
        <v>#N/A</v>
      </c>
      <c r="W2555" s="34" t="e">
        <f>VLOOKUP(Allocation[[#This Row],[SAP Contract number]],Shipments[[SAP Contract number]:[AAA Premium USD]],24,FALSE)</f>
        <v>#N/A</v>
      </c>
      <c r="X2555" s="34" t="e">
        <f>VLOOKUP(Allocation[[#This Row],[SAP Contract number]],Shipments[[SAP Contract number]:[RA Premium USD]],25,FALSE)</f>
        <v>#N/A</v>
      </c>
      <c r="Y2555" s="38">
        <f>Allocation[[#This Row],[Quantity Processed]]/Allocation[[#This Row],[Quantity allocated]]</f>
        <v>1.5872727272727272</v>
      </c>
      <c r="Z2555" s="34" t="b">
        <f>Allocation[[#This Row],[Quantity allocated]]&lt;=Allocation[[#This Row],[Quantity Processed]]</f>
        <v>1</v>
      </c>
    </row>
    <row r="2556" spans="1:26">
      <c r="A2556" s="247" t="s">
        <v>467</v>
      </c>
      <c r="B2556" s="210" t="s">
        <v>68</v>
      </c>
      <c r="C2556" s="254" t="s">
        <v>2074</v>
      </c>
      <c r="D2556" s="255">
        <v>7857</v>
      </c>
      <c r="E2556" s="211" t="s">
        <v>2087</v>
      </c>
      <c r="F2556" s="212">
        <v>43673</v>
      </c>
      <c r="G2556" s="213">
        <v>2.02</v>
      </c>
      <c r="H2556" s="256">
        <v>4950</v>
      </c>
      <c r="I2556" s="214">
        <v>1482503</v>
      </c>
      <c r="J2556" s="215">
        <v>20400</v>
      </c>
      <c r="K2556" s="212">
        <v>43690</v>
      </c>
      <c r="L2556" s="211" t="s">
        <v>2103</v>
      </c>
      <c r="M2556" s="216">
        <v>4615507497</v>
      </c>
      <c r="N2556" s="212"/>
      <c r="O2556" s="218"/>
      <c r="P2556" s="219"/>
      <c r="Q2556" s="34">
        <f>SUMIF(Allocation[Delivery ID],Allocation[[#This Row],[Delivery ID]],Allocation[Quantity Processed])</f>
        <v>7857</v>
      </c>
      <c r="R2556" s="61">
        <f>Allocation[[#This Row],[Total volume used]]/VLOOKUP(Allocation[[#This Row],[Delivery ID]],Delivery[[Delivery ID]:[Quantity delivered]],3,FALSE)</f>
        <v>0.2457885598986439</v>
      </c>
      <c r="S2556" s="34">
        <f>Allocation[[#This Row],[Quantity Processed]]/Allocation[[#This Row],[Dilution rate]]</f>
        <v>3889.6039603960394</v>
      </c>
      <c r="T2556" s="59">
        <f>SUMIF(Allocation[Delivery ID],Allocation[[#This Row],[Delivery ID]],Allocation[Quantity allocated])/SUMIF(Allocation[Delivery ID],Allocation[[#This Row],[Delivery ID]],Allocation[Volume available (kg)])</f>
        <v>1.2726231386025202</v>
      </c>
      <c r="U2556" s="61">
        <f>Allocation[[#This Row],[Total volume used]]/VLOOKUP(Allocation[[#This Row],[Delivery ID]],Delivery[[Delivery ID]:[Quantity delivered]],3,FALSE)</f>
        <v>0.2457885598986439</v>
      </c>
      <c r="V2556" s="34" t="e">
        <f>VLOOKUP(Allocation[[#This Row],[SAP Contract number]],Shipments[[SAP Contract number]:[Contracted container weight]],2,FALSE)</f>
        <v>#N/A</v>
      </c>
      <c r="W2556" s="34" t="e">
        <f>VLOOKUP(Allocation[[#This Row],[SAP Contract number]],Shipments[[SAP Contract number]:[AAA Premium USD]],24,FALSE)</f>
        <v>#N/A</v>
      </c>
      <c r="X2556" s="34" t="e">
        <f>VLOOKUP(Allocation[[#This Row],[SAP Contract number]],Shipments[[SAP Contract number]:[RA Premium USD]],25,FALSE)</f>
        <v>#N/A</v>
      </c>
      <c r="Y2556" s="38">
        <f>Allocation[[#This Row],[Quantity Processed]]/Allocation[[#This Row],[Quantity allocated]]</f>
        <v>1.5872727272727272</v>
      </c>
      <c r="Z2556" s="34" t="b">
        <f>Allocation[[#This Row],[Quantity allocated]]&lt;=Allocation[[#This Row],[Quantity Processed]]</f>
        <v>1</v>
      </c>
    </row>
    <row r="2557" spans="1:26">
      <c r="A2557" s="247" t="s">
        <v>467</v>
      </c>
      <c r="B2557" s="210" t="s">
        <v>68</v>
      </c>
      <c r="C2557" s="254" t="s">
        <v>2075</v>
      </c>
      <c r="D2557" s="255">
        <v>4028</v>
      </c>
      <c r="E2557" s="211" t="s">
        <v>2087</v>
      </c>
      <c r="F2557" s="212">
        <v>43673</v>
      </c>
      <c r="G2557" s="213">
        <v>2.02</v>
      </c>
      <c r="H2557" s="256">
        <v>1450</v>
      </c>
      <c r="I2557" s="214">
        <v>1482503</v>
      </c>
      <c r="J2557" s="215">
        <v>20400</v>
      </c>
      <c r="K2557" s="212">
        <v>43690</v>
      </c>
      <c r="L2557" s="211" t="s">
        <v>2103</v>
      </c>
      <c r="M2557" s="216">
        <v>4615507497</v>
      </c>
      <c r="N2557" s="212"/>
      <c r="O2557" s="218"/>
      <c r="P2557" s="219"/>
      <c r="Q2557" s="34">
        <f>SUMIF(Allocation[Delivery ID],Allocation[[#This Row],[Delivery ID]],Allocation[Quantity Processed])</f>
        <v>4028</v>
      </c>
      <c r="R2557" s="61">
        <f>Allocation[[#This Row],[Total volume used]]/VLOOKUP(Allocation[[#This Row],[Delivery ID]],Delivery[[Delivery ID]:[Quantity delivered]],3,FALSE)</f>
        <v>0.27817679558011049</v>
      </c>
      <c r="S2557" s="34">
        <f>Allocation[[#This Row],[Quantity Processed]]/Allocation[[#This Row],[Dilution rate]]</f>
        <v>1994.0594059405939</v>
      </c>
      <c r="T2557" s="59">
        <f>SUMIF(Allocation[Delivery ID],Allocation[[#This Row],[Delivery ID]],Allocation[Quantity allocated])/SUMIF(Allocation[Delivery ID],Allocation[[#This Row],[Delivery ID]],Allocation[Volume available (kg)])</f>
        <v>0.72715988083416094</v>
      </c>
      <c r="U2557" s="61">
        <f>Allocation[[#This Row],[Total volume used]]/VLOOKUP(Allocation[[#This Row],[Delivery ID]],Delivery[[Delivery ID]:[Quantity delivered]],3,FALSE)</f>
        <v>0.27817679558011049</v>
      </c>
      <c r="V2557" s="34" t="e">
        <f>VLOOKUP(Allocation[[#This Row],[SAP Contract number]],Shipments[[SAP Contract number]:[Contracted container weight]],2,FALSE)</f>
        <v>#N/A</v>
      </c>
      <c r="W2557" s="34" t="e">
        <f>VLOOKUP(Allocation[[#This Row],[SAP Contract number]],Shipments[[SAP Contract number]:[AAA Premium USD]],24,FALSE)</f>
        <v>#N/A</v>
      </c>
      <c r="X2557" s="34" t="e">
        <f>VLOOKUP(Allocation[[#This Row],[SAP Contract number]],Shipments[[SAP Contract number]:[RA Premium USD]],25,FALSE)</f>
        <v>#N/A</v>
      </c>
      <c r="Y2557" s="38">
        <f>Allocation[[#This Row],[Quantity Processed]]/Allocation[[#This Row],[Quantity allocated]]</f>
        <v>2.7779310344827586</v>
      </c>
      <c r="Z2557" s="34" t="b">
        <f>Allocation[[#This Row],[Quantity allocated]]&lt;=Allocation[[#This Row],[Quantity Processed]]</f>
        <v>1</v>
      </c>
    </row>
    <row r="2558" spans="1:26">
      <c r="A2558" s="247" t="s">
        <v>467</v>
      </c>
      <c r="B2558" s="210" t="s">
        <v>68</v>
      </c>
      <c r="C2558" s="254" t="s">
        <v>2077</v>
      </c>
      <c r="D2558" s="255">
        <v>6633</v>
      </c>
      <c r="E2558" s="211" t="s">
        <v>2087</v>
      </c>
      <c r="F2558" s="212">
        <v>43673</v>
      </c>
      <c r="G2558" s="213">
        <v>2.02</v>
      </c>
      <c r="H2558" s="256">
        <v>3250</v>
      </c>
      <c r="I2558" s="214">
        <v>1482503</v>
      </c>
      <c r="J2558" s="215">
        <v>20400</v>
      </c>
      <c r="K2558" s="212">
        <v>43690</v>
      </c>
      <c r="L2558" s="211" t="s">
        <v>2103</v>
      </c>
      <c r="M2558" s="216">
        <v>4615507497</v>
      </c>
      <c r="N2558" s="212"/>
      <c r="O2558" s="218"/>
      <c r="P2558" s="219"/>
      <c r="Q2558" s="34">
        <f>SUMIF(Allocation[Delivery ID],Allocation[[#This Row],[Delivery ID]],Allocation[Quantity Processed])</f>
        <v>6633</v>
      </c>
      <c r="R2558" s="61">
        <f>Allocation[[#This Row],[Total volume used]]/VLOOKUP(Allocation[[#This Row],[Delivery ID]],Delivery[[Delivery ID]:[Quantity delivered]],3,FALSE)</f>
        <v>0.61416666666666664</v>
      </c>
      <c r="S2558" s="34">
        <f>Allocation[[#This Row],[Quantity Processed]]/Allocation[[#This Row],[Dilution rate]]</f>
        <v>3283.6633663366338</v>
      </c>
      <c r="T2558" s="59">
        <f>SUMIF(Allocation[Delivery ID],Allocation[[#This Row],[Delivery ID]],Allocation[Quantity allocated])/SUMIF(Allocation[Delivery ID],Allocation[[#This Row],[Delivery ID]],Allocation[Volume available (kg)])</f>
        <v>0.98974822855419864</v>
      </c>
      <c r="U2558" s="61">
        <f>Allocation[[#This Row],[Total volume used]]/VLOOKUP(Allocation[[#This Row],[Delivery ID]],Delivery[[Delivery ID]:[Quantity delivered]],3,FALSE)</f>
        <v>0.61416666666666664</v>
      </c>
      <c r="V2558" s="34" t="e">
        <f>VLOOKUP(Allocation[[#This Row],[SAP Contract number]],Shipments[[SAP Contract number]:[Contracted container weight]],2,FALSE)</f>
        <v>#N/A</v>
      </c>
      <c r="W2558" s="34" t="e">
        <f>VLOOKUP(Allocation[[#This Row],[SAP Contract number]],Shipments[[SAP Contract number]:[AAA Premium USD]],24,FALSE)</f>
        <v>#N/A</v>
      </c>
      <c r="X2558" s="34" t="e">
        <f>VLOOKUP(Allocation[[#This Row],[SAP Contract number]],Shipments[[SAP Contract number]:[RA Premium USD]],25,FALSE)</f>
        <v>#N/A</v>
      </c>
      <c r="Y2558" s="38">
        <f>Allocation[[#This Row],[Quantity Processed]]/Allocation[[#This Row],[Quantity allocated]]</f>
        <v>2.0409230769230771</v>
      </c>
      <c r="Z2558" s="34" t="b">
        <f>Allocation[[#This Row],[Quantity allocated]]&lt;=Allocation[[#This Row],[Quantity Processed]]</f>
        <v>1</v>
      </c>
    </row>
    <row r="2559" spans="1:26">
      <c r="A2559" s="247" t="s">
        <v>467</v>
      </c>
      <c r="B2559" s="210" t="s">
        <v>68</v>
      </c>
      <c r="C2559" s="254" t="s">
        <v>2078</v>
      </c>
      <c r="D2559" s="255">
        <v>798</v>
      </c>
      <c r="E2559" s="211" t="s">
        <v>2087</v>
      </c>
      <c r="F2559" s="212">
        <v>43673</v>
      </c>
      <c r="G2559" s="213">
        <v>2.02</v>
      </c>
      <c r="H2559" s="256">
        <v>391</v>
      </c>
      <c r="I2559" s="214">
        <v>1482503</v>
      </c>
      <c r="J2559" s="215">
        <v>20400</v>
      </c>
      <c r="K2559" s="212">
        <v>43690</v>
      </c>
      <c r="L2559" s="211" t="s">
        <v>2103</v>
      </c>
      <c r="M2559" s="216">
        <v>4615507497</v>
      </c>
      <c r="N2559" s="212"/>
      <c r="O2559" s="218"/>
      <c r="P2559" s="219"/>
      <c r="Q2559" s="34">
        <f>SUMIF(Allocation[Delivery ID],Allocation[[#This Row],[Delivery ID]],Allocation[Quantity Processed])</f>
        <v>1031</v>
      </c>
      <c r="R2559" s="61">
        <f>Allocation[[#This Row],[Total volume used]]/VLOOKUP(Allocation[[#This Row],[Delivery ID]],Delivery[[Delivery ID]:[Quantity delivered]],3,FALSE)</f>
        <v>0.12509858642237456</v>
      </c>
      <c r="S2559" s="34">
        <f>Allocation[[#This Row],[Quantity Processed]]/Allocation[[#This Row],[Dilution rate]]</f>
        <v>395.04950495049502</v>
      </c>
      <c r="T2559" s="59">
        <f>SUMIF(Allocation[Delivery ID],Allocation[[#This Row],[Delivery ID]],Allocation[Quantity allocated])/SUMIF(Allocation[Delivery ID],Allocation[[#This Row],[Delivery ID]],Allocation[Volume available (kg)])</f>
        <v>0.96802648815356529</v>
      </c>
      <c r="U2559" s="61">
        <f>Allocation[[#This Row],[Total volume used]]/VLOOKUP(Allocation[[#This Row],[Delivery ID]],Delivery[[Delivery ID]:[Quantity delivered]],3,FALSE)</f>
        <v>0.12509858642237456</v>
      </c>
      <c r="V2559" s="34" t="e">
        <f>VLOOKUP(Allocation[[#This Row],[SAP Contract number]],Shipments[[SAP Contract number]:[Contracted container weight]],2,FALSE)</f>
        <v>#N/A</v>
      </c>
      <c r="W2559" s="34" t="e">
        <f>VLOOKUP(Allocation[[#This Row],[SAP Contract number]],Shipments[[SAP Contract number]:[AAA Premium USD]],24,FALSE)</f>
        <v>#N/A</v>
      </c>
      <c r="X2559" s="34" t="e">
        <f>VLOOKUP(Allocation[[#This Row],[SAP Contract number]],Shipments[[SAP Contract number]:[RA Premium USD]],25,FALSE)</f>
        <v>#N/A</v>
      </c>
      <c r="Y2559" s="38">
        <f>Allocation[[#This Row],[Quantity Processed]]/Allocation[[#This Row],[Quantity allocated]]</f>
        <v>2.0409207161125318</v>
      </c>
      <c r="Z2559" s="34" t="b">
        <f>Allocation[[#This Row],[Quantity allocated]]&lt;=Allocation[[#This Row],[Quantity Processed]]</f>
        <v>1</v>
      </c>
    </row>
    <row r="2560" spans="1:26">
      <c r="A2560" s="247" t="s">
        <v>467</v>
      </c>
      <c r="B2560" s="210" t="s">
        <v>68</v>
      </c>
      <c r="C2560" s="254" t="s">
        <v>2079</v>
      </c>
      <c r="D2560" s="255">
        <v>2363</v>
      </c>
      <c r="E2560" s="211" t="s">
        <v>2087</v>
      </c>
      <c r="F2560" s="212">
        <v>43673</v>
      </c>
      <c r="G2560" s="213">
        <v>2.02</v>
      </c>
      <c r="H2560" s="256">
        <v>1134</v>
      </c>
      <c r="I2560" s="214">
        <v>1482503</v>
      </c>
      <c r="J2560" s="215">
        <v>20400</v>
      </c>
      <c r="K2560" s="212">
        <v>43690</v>
      </c>
      <c r="L2560" s="211" t="s">
        <v>2103</v>
      </c>
      <c r="M2560" s="216">
        <v>4615507497</v>
      </c>
      <c r="N2560" s="212"/>
      <c r="O2560" s="218"/>
      <c r="P2560" s="219"/>
      <c r="Q2560" s="34">
        <f>SUMIF(Allocation[Delivery ID],Allocation[[#This Row],[Delivery ID]],Allocation[Quantity Processed])</f>
        <v>5484</v>
      </c>
      <c r="R2560" s="61">
        <f>Allocation[[#This Row],[Total volume used]]/VLOOKUP(Allocation[[#This Row],[Delivery ID]],Delivery[[Delivery ID]:[Quantity delivered]],3,FALSE)</f>
        <v>0.22947526989706252</v>
      </c>
      <c r="S2560" s="34">
        <f>Allocation[[#This Row],[Quantity Processed]]/Allocation[[#This Row],[Dilution rate]]</f>
        <v>1169.8019801980197</v>
      </c>
      <c r="T2560" s="59">
        <f>SUMIF(Allocation[Delivery ID],Allocation[[#This Row],[Delivery ID]],Allocation[Quantity allocated])/SUMIF(Allocation[Delivery ID],Allocation[[#This Row],[Delivery ID]],Allocation[Volume available (kg)])</f>
        <v>0.91870278267498029</v>
      </c>
      <c r="U2560" s="61">
        <f>Allocation[[#This Row],[Total volume used]]/VLOOKUP(Allocation[[#This Row],[Delivery ID]],Delivery[[Delivery ID]:[Quantity delivered]],3,FALSE)</f>
        <v>0.22947526989706252</v>
      </c>
      <c r="V2560" s="34" t="e">
        <f>VLOOKUP(Allocation[[#This Row],[SAP Contract number]],Shipments[[SAP Contract number]:[Contracted container weight]],2,FALSE)</f>
        <v>#N/A</v>
      </c>
      <c r="W2560" s="34" t="e">
        <f>VLOOKUP(Allocation[[#This Row],[SAP Contract number]],Shipments[[SAP Contract number]:[AAA Premium USD]],24,FALSE)</f>
        <v>#N/A</v>
      </c>
      <c r="X2560" s="34" t="e">
        <f>VLOOKUP(Allocation[[#This Row],[SAP Contract number]],Shipments[[SAP Contract number]:[RA Premium USD]],25,FALSE)</f>
        <v>#N/A</v>
      </c>
      <c r="Y2560" s="38">
        <f>Allocation[[#This Row],[Quantity Processed]]/Allocation[[#This Row],[Quantity allocated]]</f>
        <v>2.0837742504409169</v>
      </c>
      <c r="Z2560" s="34" t="b">
        <f>Allocation[[#This Row],[Quantity allocated]]&lt;=Allocation[[#This Row],[Quantity Processed]]</f>
        <v>1</v>
      </c>
    </row>
    <row r="2561" spans="1:26">
      <c r="A2561" s="247" t="s">
        <v>467</v>
      </c>
      <c r="B2561" s="210" t="s">
        <v>68</v>
      </c>
      <c r="C2561" s="254" t="s">
        <v>2080</v>
      </c>
      <c r="D2561" s="255">
        <v>1164</v>
      </c>
      <c r="E2561" s="211" t="s">
        <v>2087</v>
      </c>
      <c r="F2561" s="212">
        <v>43673</v>
      </c>
      <c r="G2561" s="213">
        <v>2.02</v>
      </c>
      <c r="H2561" s="256">
        <v>582</v>
      </c>
      <c r="I2561" s="214">
        <v>1482503</v>
      </c>
      <c r="J2561" s="215">
        <v>20400</v>
      </c>
      <c r="K2561" s="212">
        <v>43690</v>
      </c>
      <c r="L2561" s="211" t="s">
        <v>2103</v>
      </c>
      <c r="M2561" s="216">
        <v>4615507497</v>
      </c>
      <c r="N2561" s="212"/>
      <c r="O2561" s="218"/>
      <c r="P2561" s="219"/>
      <c r="Q2561" s="34">
        <f>SUMIF(Allocation[Delivery ID],Allocation[[#This Row],[Delivery ID]],Allocation[Quantity Processed])</f>
        <v>1503</v>
      </c>
      <c r="R2561" s="61">
        <f>Allocation[[#This Row],[Total volume used]]/VLOOKUP(Allocation[[#This Row],[Delivery ID]],Delivery[[Delivery ID]:[Quantity delivered]],3,FALSE)</f>
        <v>0.12255881273698373</v>
      </c>
      <c r="S2561" s="34">
        <f>Allocation[[#This Row],[Quantity Processed]]/Allocation[[#This Row],[Dilution rate]]</f>
        <v>576.23762376237619</v>
      </c>
      <c r="T2561" s="59">
        <f>SUMIF(Allocation[Delivery ID],Allocation[[#This Row],[Delivery ID]],Allocation[Quantity allocated])/SUMIF(Allocation[Delivery ID],Allocation[[#This Row],[Delivery ID]],Allocation[Volume available (kg)])</f>
        <v>0.9875384038435685</v>
      </c>
      <c r="U2561" s="61">
        <f>Allocation[[#This Row],[Total volume used]]/VLOOKUP(Allocation[[#This Row],[Delivery ID]],Delivery[[Delivery ID]:[Quantity delivered]],3,FALSE)</f>
        <v>0.12255881273698373</v>
      </c>
      <c r="V2561" s="34" t="e">
        <f>VLOOKUP(Allocation[[#This Row],[SAP Contract number]],Shipments[[SAP Contract number]:[Contracted container weight]],2,FALSE)</f>
        <v>#N/A</v>
      </c>
      <c r="W2561" s="34" t="e">
        <f>VLOOKUP(Allocation[[#This Row],[SAP Contract number]],Shipments[[SAP Contract number]:[AAA Premium USD]],24,FALSE)</f>
        <v>#N/A</v>
      </c>
      <c r="X2561" s="34" t="e">
        <f>VLOOKUP(Allocation[[#This Row],[SAP Contract number]],Shipments[[SAP Contract number]:[RA Premium USD]],25,FALSE)</f>
        <v>#N/A</v>
      </c>
      <c r="Y2561" s="38">
        <f>Allocation[[#This Row],[Quantity Processed]]/Allocation[[#This Row],[Quantity allocated]]</f>
        <v>2</v>
      </c>
      <c r="Z2561" s="34" t="b">
        <f>Allocation[[#This Row],[Quantity allocated]]&lt;=Allocation[[#This Row],[Quantity Processed]]</f>
        <v>1</v>
      </c>
    </row>
    <row r="2562" spans="1:26">
      <c r="A2562" s="247" t="s">
        <v>467</v>
      </c>
      <c r="B2562" s="210" t="s">
        <v>68</v>
      </c>
      <c r="C2562" s="254" t="s">
        <v>2085</v>
      </c>
      <c r="D2562" s="255">
        <v>1926</v>
      </c>
      <c r="E2562" s="211" t="s">
        <v>2087</v>
      </c>
      <c r="F2562" s="212">
        <v>43673</v>
      </c>
      <c r="G2562" s="213">
        <v>2.02</v>
      </c>
      <c r="H2562" s="256">
        <v>674</v>
      </c>
      <c r="I2562" s="214">
        <v>1482503</v>
      </c>
      <c r="J2562" s="215">
        <v>20400</v>
      </c>
      <c r="K2562" s="212">
        <v>43690</v>
      </c>
      <c r="L2562" s="211" t="s">
        <v>2103</v>
      </c>
      <c r="M2562" s="216">
        <v>4615507497</v>
      </c>
      <c r="N2562" s="212"/>
      <c r="O2562" s="218"/>
      <c r="P2562" s="219"/>
      <c r="Q2562" s="34">
        <f>SUMIF(Allocation[Delivery ID],Allocation[[#This Row],[Delivery ID]],Allocation[Quantity Processed])</f>
        <v>1926</v>
      </c>
      <c r="R2562" s="61">
        <f>Allocation[[#This Row],[Total volume used]]/VLOOKUP(Allocation[[#This Row],[Delivery ID]],Delivery[[Delivery ID]:[Quantity delivered]],3,FALSE)</f>
        <v>0.71333333333333337</v>
      </c>
      <c r="S2562" s="34">
        <f>Allocation[[#This Row],[Quantity Processed]]/Allocation[[#This Row],[Dilution rate]]</f>
        <v>953.46534653465346</v>
      </c>
      <c r="T2562" s="59">
        <f>SUMIF(Allocation[Delivery ID],Allocation[[#This Row],[Delivery ID]],Allocation[Quantity allocated])/SUMIF(Allocation[Delivery ID],Allocation[[#This Row],[Delivery ID]],Allocation[Volume available (kg)])</f>
        <v>0.70689511941848393</v>
      </c>
      <c r="U2562" s="61">
        <f>Allocation[[#This Row],[Total volume used]]/VLOOKUP(Allocation[[#This Row],[Delivery ID]],Delivery[[Delivery ID]:[Quantity delivered]],3,FALSE)</f>
        <v>0.71333333333333337</v>
      </c>
      <c r="V2562" s="34" t="e">
        <f>VLOOKUP(Allocation[[#This Row],[SAP Contract number]],Shipments[[SAP Contract number]:[Contracted container weight]],2,FALSE)</f>
        <v>#N/A</v>
      </c>
      <c r="W2562" s="34" t="e">
        <f>VLOOKUP(Allocation[[#This Row],[SAP Contract number]],Shipments[[SAP Contract number]:[AAA Premium USD]],24,FALSE)</f>
        <v>#N/A</v>
      </c>
      <c r="X2562" s="34" t="e">
        <f>VLOOKUP(Allocation[[#This Row],[SAP Contract number]],Shipments[[SAP Contract number]:[RA Premium USD]],25,FALSE)</f>
        <v>#N/A</v>
      </c>
      <c r="Y2562" s="38">
        <f>Allocation[[#This Row],[Quantity Processed]]/Allocation[[#This Row],[Quantity allocated]]</f>
        <v>2.857566765578635</v>
      </c>
      <c r="Z2562" s="34" t="b">
        <f>Allocation[[#This Row],[Quantity allocated]]&lt;=Allocation[[#This Row],[Quantity Processed]]</f>
        <v>1</v>
      </c>
    </row>
    <row r="2563" spans="1:26">
      <c r="A2563" s="247" t="s">
        <v>467</v>
      </c>
      <c r="B2563" s="210" t="s">
        <v>68</v>
      </c>
      <c r="C2563" s="254" t="s">
        <v>2023</v>
      </c>
      <c r="D2563" s="255">
        <v>30</v>
      </c>
      <c r="E2563" s="211" t="s">
        <v>2104</v>
      </c>
      <c r="F2563" s="212">
        <v>43661</v>
      </c>
      <c r="G2563" s="213">
        <v>2.9</v>
      </c>
      <c r="H2563" s="256">
        <v>15</v>
      </c>
      <c r="I2563" s="214">
        <v>1482472</v>
      </c>
      <c r="J2563" s="215">
        <v>21600</v>
      </c>
      <c r="K2563" s="212">
        <v>43685</v>
      </c>
      <c r="L2563" s="211" t="s">
        <v>2105</v>
      </c>
      <c r="M2563" s="216">
        <v>4615445946</v>
      </c>
      <c r="N2563" s="212"/>
      <c r="O2563" s="218"/>
      <c r="P2563" s="219"/>
      <c r="Q2563" s="34">
        <f>SUMIF(Allocation[Delivery ID],Allocation[[#This Row],[Delivery ID]],Allocation[Quantity Processed])</f>
        <v>30</v>
      </c>
      <c r="R2563" s="61">
        <f>Allocation[[#This Row],[Total volume used]]/VLOOKUP(Allocation[[#This Row],[Delivery ID]],Delivery[[Delivery ID]:[Quantity delivered]],3,FALSE)</f>
        <v>1</v>
      </c>
      <c r="S2563" s="34">
        <f>Allocation[[#This Row],[Quantity Processed]]/Allocation[[#This Row],[Dilution rate]]</f>
        <v>10.344827586206897</v>
      </c>
      <c r="T2563" s="59">
        <f>SUMIF(Allocation[Delivery ID],Allocation[[#This Row],[Delivery ID]],Allocation[Quantity allocated])/SUMIF(Allocation[Delivery ID],Allocation[[#This Row],[Delivery ID]],Allocation[Volume available (kg)])</f>
        <v>1.45</v>
      </c>
      <c r="U2563" s="61">
        <f>Allocation[[#This Row],[Total volume used]]/VLOOKUP(Allocation[[#This Row],[Delivery ID]],Delivery[[Delivery ID]:[Quantity delivered]],3,FALSE)</f>
        <v>1</v>
      </c>
      <c r="V2563" s="34" t="e">
        <f>VLOOKUP(Allocation[[#This Row],[SAP Contract number]],Shipments[[SAP Contract number]:[Contracted container weight]],2,FALSE)</f>
        <v>#N/A</v>
      </c>
      <c r="W2563" s="34" t="e">
        <f>VLOOKUP(Allocation[[#This Row],[SAP Contract number]],Shipments[[SAP Contract number]:[AAA Premium USD]],24,FALSE)</f>
        <v>#N/A</v>
      </c>
      <c r="X2563" s="34" t="e">
        <f>VLOOKUP(Allocation[[#This Row],[SAP Contract number]],Shipments[[SAP Contract number]:[RA Premium USD]],25,FALSE)</f>
        <v>#N/A</v>
      </c>
      <c r="Y2563" s="38">
        <f>Allocation[[#This Row],[Quantity Processed]]/Allocation[[#This Row],[Quantity allocated]]</f>
        <v>2</v>
      </c>
      <c r="Z2563" s="34" t="b">
        <f>Allocation[[#This Row],[Quantity allocated]]&lt;=Allocation[[#This Row],[Quantity Processed]]</f>
        <v>1</v>
      </c>
    </row>
    <row r="2564" spans="1:26">
      <c r="A2564" s="247" t="s">
        <v>467</v>
      </c>
      <c r="B2564" s="210" t="s">
        <v>68</v>
      </c>
      <c r="C2564" s="254" t="s">
        <v>2016</v>
      </c>
      <c r="D2564" s="255">
        <v>35</v>
      </c>
      <c r="E2564" s="211" t="s">
        <v>2104</v>
      </c>
      <c r="F2564" s="212">
        <v>43661</v>
      </c>
      <c r="G2564" s="213">
        <v>2.9</v>
      </c>
      <c r="H2564" s="256">
        <v>22</v>
      </c>
      <c r="I2564" s="214">
        <v>1482472</v>
      </c>
      <c r="J2564" s="215">
        <v>21600</v>
      </c>
      <c r="K2564" s="212">
        <v>43685</v>
      </c>
      <c r="L2564" s="211" t="s">
        <v>2105</v>
      </c>
      <c r="M2564" s="216">
        <v>4615445946</v>
      </c>
      <c r="N2564" s="212"/>
      <c r="O2564" s="218"/>
      <c r="P2564" s="219"/>
      <c r="Q2564" s="34">
        <f>SUMIF(Allocation[Delivery ID],Allocation[[#This Row],[Delivery ID]],Allocation[Quantity Processed])</f>
        <v>1844</v>
      </c>
      <c r="R2564" s="61">
        <f>Allocation[[#This Row],[Total volume used]]/VLOOKUP(Allocation[[#This Row],[Delivery ID]],Delivery[[Delivery ID]:[Quantity delivered]],3,FALSE)</f>
        <v>1</v>
      </c>
      <c r="S2564" s="34">
        <f>Allocation[[#This Row],[Quantity Processed]]/Allocation[[#This Row],[Dilution rate]]</f>
        <v>12.068965517241379</v>
      </c>
      <c r="T2564" s="59">
        <f>SUMIF(Allocation[Delivery ID],Allocation[[#This Row],[Delivery ID]],Allocation[Quantity allocated])/SUMIF(Allocation[Delivery ID],Allocation[[#This Row],[Delivery ID]],Allocation[Volume available (kg)])</f>
        <v>1.5303877976022964</v>
      </c>
      <c r="U2564" s="61">
        <f>Allocation[[#This Row],[Total volume used]]/VLOOKUP(Allocation[[#This Row],[Delivery ID]],Delivery[[Delivery ID]:[Quantity delivered]],3,FALSE)</f>
        <v>1</v>
      </c>
      <c r="V2564" s="34" t="e">
        <f>VLOOKUP(Allocation[[#This Row],[SAP Contract number]],Shipments[[SAP Contract number]:[Contracted container weight]],2,FALSE)</f>
        <v>#N/A</v>
      </c>
      <c r="W2564" s="34" t="e">
        <f>VLOOKUP(Allocation[[#This Row],[SAP Contract number]],Shipments[[SAP Contract number]:[AAA Premium USD]],24,FALSE)</f>
        <v>#N/A</v>
      </c>
      <c r="X2564" s="34" t="e">
        <f>VLOOKUP(Allocation[[#This Row],[SAP Contract number]],Shipments[[SAP Contract number]:[RA Premium USD]],25,FALSE)</f>
        <v>#N/A</v>
      </c>
      <c r="Y2564" s="38">
        <f>Allocation[[#This Row],[Quantity Processed]]/Allocation[[#This Row],[Quantity allocated]]</f>
        <v>1.5909090909090908</v>
      </c>
      <c r="Z2564" s="34" t="b">
        <f>Allocation[[#This Row],[Quantity allocated]]&lt;=Allocation[[#This Row],[Quantity Processed]]</f>
        <v>1</v>
      </c>
    </row>
    <row r="2565" spans="1:26">
      <c r="A2565" s="247" t="s">
        <v>467</v>
      </c>
      <c r="B2565" s="210" t="s">
        <v>68</v>
      </c>
      <c r="C2565" s="254" t="s">
        <v>2021</v>
      </c>
      <c r="D2565" s="255">
        <v>60</v>
      </c>
      <c r="E2565" s="211" t="s">
        <v>2104</v>
      </c>
      <c r="F2565" s="212">
        <v>43661</v>
      </c>
      <c r="G2565" s="213">
        <v>2.9</v>
      </c>
      <c r="H2565" s="256">
        <v>24</v>
      </c>
      <c r="I2565" s="214">
        <v>1482472</v>
      </c>
      <c r="J2565" s="215">
        <v>21600</v>
      </c>
      <c r="K2565" s="212">
        <v>43685</v>
      </c>
      <c r="L2565" s="211" t="s">
        <v>2105</v>
      </c>
      <c r="M2565" s="216">
        <v>4615445946</v>
      </c>
      <c r="N2565" s="212"/>
      <c r="O2565" s="218"/>
      <c r="P2565" s="219"/>
      <c r="Q2565" s="34">
        <f>SUMIF(Allocation[Delivery ID],Allocation[[#This Row],[Delivery ID]],Allocation[Quantity Processed])</f>
        <v>60</v>
      </c>
      <c r="R2565" s="61">
        <f>Allocation[[#This Row],[Total volume used]]/VLOOKUP(Allocation[[#This Row],[Delivery ID]],Delivery[[Delivery ID]:[Quantity delivered]],3,FALSE)</f>
        <v>1</v>
      </c>
      <c r="S2565" s="34">
        <f>Allocation[[#This Row],[Quantity Processed]]/Allocation[[#This Row],[Dilution rate]]</f>
        <v>20.689655172413794</v>
      </c>
      <c r="T2565" s="59">
        <f>SUMIF(Allocation[Delivery ID],Allocation[[#This Row],[Delivery ID]],Allocation[Quantity allocated])/SUMIF(Allocation[Delivery ID],Allocation[[#This Row],[Delivery ID]],Allocation[Volume available (kg)])</f>
        <v>1.1599999999999999</v>
      </c>
      <c r="U2565" s="61">
        <f>Allocation[[#This Row],[Total volume used]]/VLOOKUP(Allocation[[#This Row],[Delivery ID]],Delivery[[Delivery ID]:[Quantity delivered]],3,FALSE)</f>
        <v>1</v>
      </c>
      <c r="V2565" s="34" t="e">
        <f>VLOOKUP(Allocation[[#This Row],[SAP Contract number]],Shipments[[SAP Contract number]:[Contracted container weight]],2,FALSE)</f>
        <v>#N/A</v>
      </c>
      <c r="W2565" s="34" t="e">
        <f>VLOOKUP(Allocation[[#This Row],[SAP Contract number]],Shipments[[SAP Contract number]:[AAA Premium USD]],24,FALSE)</f>
        <v>#N/A</v>
      </c>
      <c r="X2565" s="34" t="e">
        <f>VLOOKUP(Allocation[[#This Row],[SAP Contract number]],Shipments[[SAP Contract number]:[RA Premium USD]],25,FALSE)</f>
        <v>#N/A</v>
      </c>
      <c r="Y2565" s="38">
        <f>Allocation[[#This Row],[Quantity Processed]]/Allocation[[#This Row],[Quantity allocated]]</f>
        <v>2.5</v>
      </c>
      <c r="Z2565" s="34" t="b">
        <f>Allocation[[#This Row],[Quantity allocated]]&lt;=Allocation[[#This Row],[Quantity Processed]]</f>
        <v>1</v>
      </c>
    </row>
    <row r="2566" spans="1:26">
      <c r="A2566" s="247" t="s">
        <v>467</v>
      </c>
      <c r="B2566" s="210" t="s">
        <v>68</v>
      </c>
      <c r="C2566" s="254" t="s">
        <v>2015</v>
      </c>
      <c r="D2566" s="255">
        <v>50</v>
      </c>
      <c r="E2566" s="211" t="s">
        <v>2104</v>
      </c>
      <c r="F2566" s="212">
        <v>43661</v>
      </c>
      <c r="G2566" s="213">
        <v>2.9</v>
      </c>
      <c r="H2566" s="256">
        <v>32</v>
      </c>
      <c r="I2566" s="214">
        <v>1482472</v>
      </c>
      <c r="J2566" s="215">
        <v>21600</v>
      </c>
      <c r="K2566" s="212">
        <v>43685</v>
      </c>
      <c r="L2566" s="211" t="s">
        <v>2105</v>
      </c>
      <c r="M2566" s="216">
        <v>4615445946</v>
      </c>
      <c r="N2566" s="212"/>
      <c r="O2566" s="218"/>
      <c r="P2566" s="219"/>
      <c r="Q2566" s="34">
        <f>SUMIF(Allocation[Delivery ID],Allocation[[#This Row],[Delivery ID]],Allocation[Quantity Processed])</f>
        <v>50</v>
      </c>
      <c r="R2566" s="61">
        <f>Allocation[[#This Row],[Total volume used]]/VLOOKUP(Allocation[[#This Row],[Delivery ID]],Delivery[[Delivery ID]:[Quantity delivered]],3,FALSE)</f>
        <v>1</v>
      </c>
      <c r="S2566" s="34">
        <f>Allocation[[#This Row],[Quantity Processed]]/Allocation[[#This Row],[Dilution rate]]</f>
        <v>17.241379310344829</v>
      </c>
      <c r="T2566" s="59">
        <f>SUMIF(Allocation[Delivery ID],Allocation[[#This Row],[Delivery ID]],Allocation[Quantity allocated])/SUMIF(Allocation[Delivery ID],Allocation[[#This Row],[Delivery ID]],Allocation[Volume available (kg)])</f>
        <v>1.8559999999999999</v>
      </c>
      <c r="U2566" s="61">
        <f>Allocation[[#This Row],[Total volume used]]/VLOOKUP(Allocation[[#This Row],[Delivery ID]],Delivery[[Delivery ID]:[Quantity delivered]],3,FALSE)</f>
        <v>1</v>
      </c>
      <c r="V2566" s="34" t="e">
        <f>VLOOKUP(Allocation[[#This Row],[SAP Contract number]],Shipments[[SAP Contract number]:[Contracted container weight]],2,FALSE)</f>
        <v>#N/A</v>
      </c>
      <c r="W2566" s="34" t="e">
        <f>VLOOKUP(Allocation[[#This Row],[SAP Contract number]],Shipments[[SAP Contract number]:[AAA Premium USD]],24,FALSE)</f>
        <v>#N/A</v>
      </c>
      <c r="X2566" s="34" t="e">
        <f>VLOOKUP(Allocation[[#This Row],[SAP Contract number]],Shipments[[SAP Contract number]:[RA Premium USD]],25,FALSE)</f>
        <v>#N/A</v>
      </c>
      <c r="Y2566" s="38">
        <f>Allocation[[#This Row],[Quantity Processed]]/Allocation[[#This Row],[Quantity allocated]]</f>
        <v>1.5625</v>
      </c>
      <c r="Z2566" s="34" t="b">
        <f>Allocation[[#This Row],[Quantity allocated]]&lt;=Allocation[[#This Row],[Quantity Processed]]</f>
        <v>1</v>
      </c>
    </row>
    <row r="2567" spans="1:26">
      <c r="A2567" s="247" t="s">
        <v>467</v>
      </c>
      <c r="B2567" s="210" t="s">
        <v>68</v>
      </c>
      <c r="C2567" s="254" t="s">
        <v>2017</v>
      </c>
      <c r="D2567" s="255">
        <v>100</v>
      </c>
      <c r="E2567" s="211" t="s">
        <v>2104</v>
      </c>
      <c r="F2567" s="212">
        <v>43661</v>
      </c>
      <c r="G2567" s="213">
        <v>2.9</v>
      </c>
      <c r="H2567" s="256">
        <v>63</v>
      </c>
      <c r="I2567" s="214">
        <v>1482472</v>
      </c>
      <c r="J2567" s="215">
        <v>21600</v>
      </c>
      <c r="K2567" s="212">
        <v>43685</v>
      </c>
      <c r="L2567" s="211" t="s">
        <v>2105</v>
      </c>
      <c r="M2567" s="216">
        <v>4615445946</v>
      </c>
      <c r="N2567" s="212"/>
      <c r="O2567" s="218"/>
      <c r="P2567" s="219"/>
      <c r="Q2567" s="34">
        <f>SUMIF(Allocation[Delivery ID],Allocation[[#This Row],[Delivery ID]],Allocation[Quantity Processed])</f>
        <v>3275</v>
      </c>
      <c r="R2567" s="61">
        <f>Allocation[[#This Row],[Total volume used]]/VLOOKUP(Allocation[[#This Row],[Delivery ID]],Delivery[[Delivery ID]:[Quantity delivered]],3,FALSE)</f>
        <v>0.6009174311926605</v>
      </c>
      <c r="S2567" s="34">
        <f>Allocation[[#This Row],[Quantity Processed]]/Allocation[[#This Row],[Dilution rate]]</f>
        <v>34.482758620689658</v>
      </c>
      <c r="T2567" s="59">
        <f>SUMIF(Allocation[Delivery ID],Allocation[[#This Row],[Delivery ID]],Allocation[Quantity allocated])/SUMIF(Allocation[Delivery ID],Allocation[[#This Row],[Delivery ID]],Allocation[Volume available (kg)])</f>
        <v>1.5198179412542998</v>
      </c>
      <c r="U2567" s="61">
        <f>Allocation[[#This Row],[Total volume used]]/VLOOKUP(Allocation[[#This Row],[Delivery ID]],Delivery[[Delivery ID]:[Quantity delivered]],3,FALSE)</f>
        <v>0.6009174311926605</v>
      </c>
      <c r="V2567" s="34" t="e">
        <f>VLOOKUP(Allocation[[#This Row],[SAP Contract number]],Shipments[[SAP Contract number]:[Contracted container weight]],2,FALSE)</f>
        <v>#N/A</v>
      </c>
      <c r="W2567" s="34" t="e">
        <f>VLOOKUP(Allocation[[#This Row],[SAP Contract number]],Shipments[[SAP Contract number]:[AAA Premium USD]],24,FALSE)</f>
        <v>#N/A</v>
      </c>
      <c r="X2567" s="34" t="e">
        <f>VLOOKUP(Allocation[[#This Row],[SAP Contract number]],Shipments[[SAP Contract number]:[RA Premium USD]],25,FALSE)</f>
        <v>#N/A</v>
      </c>
      <c r="Y2567" s="38">
        <f>Allocation[[#This Row],[Quantity Processed]]/Allocation[[#This Row],[Quantity allocated]]</f>
        <v>1.5873015873015872</v>
      </c>
      <c r="Z2567" s="34" t="b">
        <f>Allocation[[#This Row],[Quantity allocated]]&lt;=Allocation[[#This Row],[Quantity Processed]]</f>
        <v>1</v>
      </c>
    </row>
    <row r="2568" spans="1:26">
      <c r="A2568" s="247" t="s">
        <v>467</v>
      </c>
      <c r="B2568" s="210" t="s">
        <v>68</v>
      </c>
      <c r="C2568" s="254" t="s">
        <v>2014</v>
      </c>
      <c r="D2568" s="255">
        <v>113</v>
      </c>
      <c r="E2568" s="211" t="s">
        <v>2104</v>
      </c>
      <c r="F2568" s="212">
        <v>43661</v>
      </c>
      <c r="G2568" s="213">
        <v>2.9</v>
      </c>
      <c r="H2568" s="256">
        <v>71</v>
      </c>
      <c r="I2568" s="214">
        <v>1482472</v>
      </c>
      <c r="J2568" s="215">
        <v>21600</v>
      </c>
      <c r="K2568" s="212">
        <v>43685</v>
      </c>
      <c r="L2568" s="211" t="s">
        <v>2105</v>
      </c>
      <c r="M2568" s="216">
        <v>4615445946</v>
      </c>
      <c r="N2568" s="212"/>
      <c r="O2568" s="218"/>
      <c r="P2568" s="219"/>
      <c r="Q2568" s="34">
        <f>SUMIF(Allocation[Delivery ID],Allocation[[#This Row],[Delivery ID]],Allocation[Quantity Processed])</f>
        <v>3288</v>
      </c>
      <c r="R2568" s="61">
        <f>Allocation[[#This Row],[Total volume used]]/VLOOKUP(Allocation[[#This Row],[Delivery ID]],Delivery[[Delivery ID]:[Quantity delivered]],3,FALSE)</f>
        <v>0.53006609704981456</v>
      </c>
      <c r="S2568" s="34">
        <f>Allocation[[#This Row],[Quantity Processed]]/Allocation[[#This Row],[Dilution rate]]</f>
        <v>38.96551724137931</v>
      </c>
      <c r="T2568" s="59">
        <f>SUMIF(Allocation[Delivery ID],Allocation[[#This Row],[Delivery ID]],Allocation[Quantity allocated])/SUMIF(Allocation[Delivery ID],Allocation[[#This Row],[Delivery ID]],Allocation[Volume available (kg)])</f>
        <v>1.5206895460347938</v>
      </c>
      <c r="U2568" s="61">
        <f>Allocation[[#This Row],[Total volume used]]/VLOOKUP(Allocation[[#This Row],[Delivery ID]],Delivery[[Delivery ID]:[Quantity delivered]],3,FALSE)</f>
        <v>0.53006609704981456</v>
      </c>
      <c r="V2568" s="34" t="e">
        <f>VLOOKUP(Allocation[[#This Row],[SAP Contract number]],Shipments[[SAP Contract number]:[Contracted container weight]],2,FALSE)</f>
        <v>#N/A</v>
      </c>
      <c r="W2568" s="34" t="e">
        <f>VLOOKUP(Allocation[[#This Row],[SAP Contract number]],Shipments[[SAP Contract number]:[AAA Premium USD]],24,FALSE)</f>
        <v>#N/A</v>
      </c>
      <c r="X2568" s="34" t="e">
        <f>VLOOKUP(Allocation[[#This Row],[SAP Contract number]],Shipments[[SAP Contract number]:[RA Premium USD]],25,FALSE)</f>
        <v>#N/A</v>
      </c>
      <c r="Y2568" s="38">
        <f>Allocation[[#This Row],[Quantity Processed]]/Allocation[[#This Row],[Quantity allocated]]</f>
        <v>1.591549295774648</v>
      </c>
      <c r="Z2568" s="34" t="b">
        <f>Allocation[[#This Row],[Quantity allocated]]&lt;=Allocation[[#This Row],[Quantity Processed]]</f>
        <v>1</v>
      </c>
    </row>
    <row r="2569" spans="1:26">
      <c r="A2569" s="247" t="s">
        <v>467</v>
      </c>
      <c r="B2569" s="210" t="s">
        <v>68</v>
      </c>
      <c r="C2569" s="254" t="s">
        <v>2024</v>
      </c>
      <c r="D2569" s="255">
        <v>240</v>
      </c>
      <c r="E2569" s="211" t="s">
        <v>2104</v>
      </c>
      <c r="F2569" s="212">
        <v>43661</v>
      </c>
      <c r="G2569" s="213">
        <v>2.9</v>
      </c>
      <c r="H2569" s="256">
        <v>120</v>
      </c>
      <c r="I2569" s="214">
        <v>1482472</v>
      </c>
      <c r="J2569" s="215">
        <v>21600</v>
      </c>
      <c r="K2569" s="212">
        <v>43685</v>
      </c>
      <c r="L2569" s="211" t="s">
        <v>2105</v>
      </c>
      <c r="M2569" s="216">
        <v>4615445946</v>
      </c>
      <c r="N2569" s="212"/>
      <c r="O2569" s="218"/>
      <c r="P2569" s="219"/>
      <c r="Q2569" s="34">
        <f>SUMIF(Allocation[Delivery ID],Allocation[[#This Row],[Delivery ID]],Allocation[Quantity Processed])</f>
        <v>240</v>
      </c>
      <c r="R2569" s="61">
        <f>Allocation[[#This Row],[Total volume used]]/VLOOKUP(Allocation[[#This Row],[Delivery ID]],Delivery[[Delivery ID]:[Quantity delivered]],3,FALSE)</f>
        <v>1</v>
      </c>
      <c r="S2569" s="34">
        <f>Allocation[[#This Row],[Quantity Processed]]/Allocation[[#This Row],[Dilution rate]]</f>
        <v>82.758620689655174</v>
      </c>
      <c r="T2569" s="59">
        <f>SUMIF(Allocation[Delivery ID],Allocation[[#This Row],[Delivery ID]],Allocation[Quantity allocated])/SUMIF(Allocation[Delivery ID],Allocation[[#This Row],[Delivery ID]],Allocation[Volume available (kg)])</f>
        <v>1.45</v>
      </c>
      <c r="U2569" s="61">
        <f>Allocation[[#This Row],[Total volume used]]/VLOOKUP(Allocation[[#This Row],[Delivery ID]],Delivery[[Delivery ID]:[Quantity delivered]],3,FALSE)</f>
        <v>1</v>
      </c>
      <c r="V2569" s="34" t="e">
        <f>VLOOKUP(Allocation[[#This Row],[SAP Contract number]],Shipments[[SAP Contract number]:[Contracted container weight]],2,FALSE)</f>
        <v>#N/A</v>
      </c>
      <c r="W2569" s="34" t="e">
        <f>VLOOKUP(Allocation[[#This Row],[SAP Contract number]],Shipments[[SAP Contract number]:[AAA Premium USD]],24,FALSE)</f>
        <v>#N/A</v>
      </c>
      <c r="X2569" s="34" t="e">
        <f>VLOOKUP(Allocation[[#This Row],[SAP Contract number]],Shipments[[SAP Contract number]:[RA Premium USD]],25,FALSE)</f>
        <v>#N/A</v>
      </c>
      <c r="Y2569" s="38">
        <f>Allocation[[#This Row],[Quantity Processed]]/Allocation[[#This Row],[Quantity allocated]]</f>
        <v>2</v>
      </c>
      <c r="Z2569" s="34" t="b">
        <f>Allocation[[#This Row],[Quantity allocated]]&lt;=Allocation[[#This Row],[Quantity Processed]]</f>
        <v>1</v>
      </c>
    </row>
    <row r="2570" spans="1:26">
      <c r="A2570" s="247" t="s">
        <v>467</v>
      </c>
      <c r="B2570" s="210" t="s">
        <v>68</v>
      </c>
      <c r="C2570" s="254" t="s">
        <v>1999</v>
      </c>
      <c r="D2570" s="255">
        <v>490</v>
      </c>
      <c r="E2570" s="211" t="s">
        <v>2104</v>
      </c>
      <c r="F2570" s="212">
        <v>43661</v>
      </c>
      <c r="G2570" s="213">
        <v>2.9</v>
      </c>
      <c r="H2570" s="256">
        <v>162</v>
      </c>
      <c r="I2570" s="214">
        <v>1482472</v>
      </c>
      <c r="J2570" s="215">
        <v>21600</v>
      </c>
      <c r="K2570" s="212">
        <v>43685</v>
      </c>
      <c r="L2570" s="211" t="s">
        <v>2105</v>
      </c>
      <c r="M2570" s="216">
        <v>4615445946</v>
      </c>
      <c r="N2570" s="212"/>
      <c r="O2570" s="218"/>
      <c r="P2570" s="219"/>
      <c r="Q2570" s="34">
        <f>SUMIF(Allocation[Delivery ID],Allocation[[#This Row],[Delivery ID]],Allocation[Quantity Processed])</f>
        <v>490</v>
      </c>
      <c r="R2570" s="61">
        <f>Allocation[[#This Row],[Total volume used]]/VLOOKUP(Allocation[[#This Row],[Delivery ID]],Delivery[[Delivery ID]:[Quantity delivered]],3,FALSE)</f>
        <v>1</v>
      </c>
      <c r="S2570" s="34">
        <f>Allocation[[#This Row],[Quantity Processed]]/Allocation[[#This Row],[Dilution rate]]</f>
        <v>168.9655172413793</v>
      </c>
      <c r="T2570" s="59">
        <f>SUMIF(Allocation[Delivery ID],Allocation[[#This Row],[Delivery ID]],Allocation[Quantity allocated])/SUMIF(Allocation[Delivery ID],Allocation[[#This Row],[Delivery ID]],Allocation[Volume available (kg)])</f>
        <v>0.95877551020408169</v>
      </c>
      <c r="U2570" s="61">
        <f>Allocation[[#This Row],[Total volume used]]/VLOOKUP(Allocation[[#This Row],[Delivery ID]],Delivery[[Delivery ID]:[Quantity delivered]],3,FALSE)</f>
        <v>1</v>
      </c>
      <c r="V2570" s="34" t="e">
        <f>VLOOKUP(Allocation[[#This Row],[SAP Contract number]],Shipments[[SAP Contract number]:[Contracted container weight]],2,FALSE)</f>
        <v>#N/A</v>
      </c>
      <c r="W2570" s="34" t="e">
        <f>VLOOKUP(Allocation[[#This Row],[SAP Contract number]],Shipments[[SAP Contract number]:[AAA Premium USD]],24,FALSE)</f>
        <v>#N/A</v>
      </c>
      <c r="X2570" s="34" t="e">
        <f>VLOOKUP(Allocation[[#This Row],[SAP Contract number]],Shipments[[SAP Contract number]:[RA Premium USD]],25,FALSE)</f>
        <v>#N/A</v>
      </c>
      <c r="Y2570" s="38">
        <f>Allocation[[#This Row],[Quantity Processed]]/Allocation[[#This Row],[Quantity allocated]]</f>
        <v>3.0246913580246915</v>
      </c>
      <c r="Z2570" s="34" t="b">
        <f>Allocation[[#This Row],[Quantity allocated]]&lt;=Allocation[[#This Row],[Quantity Processed]]</f>
        <v>1</v>
      </c>
    </row>
    <row r="2571" spans="1:26">
      <c r="A2571" s="247" t="s">
        <v>467</v>
      </c>
      <c r="B2571" s="210" t="s">
        <v>68</v>
      </c>
      <c r="C2571" s="254" t="s">
        <v>2000</v>
      </c>
      <c r="D2571" s="255">
        <v>1080</v>
      </c>
      <c r="E2571" s="211" t="s">
        <v>2104</v>
      </c>
      <c r="F2571" s="212">
        <v>43661</v>
      </c>
      <c r="G2571" s="213">
        <v>2.9</v>
      </c>
      <c r="H2571" s="256">
        <v>357</v>
      </c>
      <c r="I2571" s="214">
        <v>1482472</v>
      </c>
      <c r="J2571" s="215">
        <v>21600</v>
      </c>
      <c r="K2571" s="212">
        <v>43685</v>
      </c>
      <c r="L2571" s="211" t="s">
        <v>2105</v>
      </c>
      <c r="M2571" s="216">
        <v>4615445946</v>
      </c>
      <c r="N2571" s="212"/>
      <c r="O2571" s="218"/>
      <c r="P2571" s="219"/>
      <c r="Q2571" s="34">
        <f>SUMIF(Allocation[Delivery ID],Allocation[[#This Row],[Delivery ID]],Allocation[Quantity Processed])</f>
        <v>1080</v>
      </c>
      <c r="R2571" s="61">
        <f>Allocation[[#This Row],[Total volume used]]/VLOOKUP(Allocation[[#This Row],[Delivery ID]],Delivery[[Delivery ID]:[Quantity delivered]],3,FALSE)</f>
        <v>1</v>
      </c>
      <c r="S2571" s="34">
        <f>Allocation[[#This Row],[Quantity Processed]]/Allocation[[#This Row],[Dilution rate]]</f>
        <v>372.41379310344831</v>
      </c>
      <c r="T2571" s="59">
        <f>SUMIF(Allocation[Delivery ID],Allocation[[#This Row],[Delivery ID]],Allocation[Quantity allocated])/SUMIF(Allocation[Delivery ID],Allocation[[#This Row],[Delivery ID]],Allocation[Volume available (kg)])</f>
        <v>0.95861111111111097</v>
      </c>
      <c r="U2571" s="61">
        <f>Allocation[[#This Row],[Total volume used]]/VLOOKUP(Allocation[[#This Row],[Delivery ID]],Delivery[[Delivery ID]:[Quantity delivered]],3,FALSE)</f>
        <v>1</v>
      </c>
      <c r="V2571" s="34" t="e">
        <f>VLOOKUP(Allocation[[#This Row],[SAP Contract number]],Shipments[[SAP Contract number]:[Contracted container weight]],2,FALSE)</f>
        <v>#N/A</v>
      </c>
      <c r="W2571" s="34" t="e">
        <f>VLOOKUP(Allocation[[#This Row],[SAP Contract number]],Shipments[[SAP Contract number]:[AAA Premium USD]],24,FALSE)</f>
        <v>#N/A</v>
      </c>
      <c r="X2571" s="34" t="e">
        <f>VLOOKUP(Allocation[[#This Row],[SAP Contract number]],Shipments[[SAP Contract number]:[RA Premium USD]],25,FALSE)</f>
        <v>#N/A</v>
      </c>
      <c r="Y2571" s="38">
        <f>Allocation[[#This Row],[Quantity Processed]]/Allocation[[#This Row],[Quantity allocated]]</f>
        <v>3.0252100840336134</v>
      </c>
      <c r="Z2571" s="34" t="b">
        <f>Allocation[[#This Row],[Quantity allocated]]&lt;=Allocation[[#This Row],[Quantity Processed]]</f>
        <v>1</v>
      </c>
    </row>
    <row r="2572" spans="1:26">
      <c r="A2572" s="247" t="s">
        <v>467</v>
      </c>
      <c r="B2572" s="210" t="s">
        <v>68</v>
      </c>
      <c r="C2572" s="254" t="s">
        <v>2002</v>
      </c>
      <c r="D2572" s="255">
        <v>1660</v>
      </c>
      <c r="E2572" s="211" t="s">
        <v>2104</v>
      </c>
      <c r="F2572" s="212">
        <v>43661</v>
      </c>
      <c r="G2572" s="213">
        <v>2.9</v>
      </c>
      <c r="H2572" s="256">
        <v>550</v>
      </c>
      <c r="I2572" s="214">
        <v>1482472</v>
      </c>
      <c r="J2572" s="215">
        <v>21600</v>
      </c>
      <c r="K2572" s="212">
        <v>43685</v>
      </c>
      <c r="L2572" s="211" t="s">
        <v>2105</v>
      </c>
      <c r="M2572" s="216">
        <v>4615445946</v>
      </c>
      <c r="N2572" s="212"/>
      <c r="O2572" s="218"/>
      <c r="P2572" s="219"/>
      <c r="Q2572" s="34">
        <f>SUMIF(Allocation[Delivery ID],Allocation[[#This Row],[Delivery ID]],Allocation[Quantity Processed])</f>
        <v>1660</v>
      </c>
      <c r="R2572" s="61">
        <f>Allocation[[#This Row],[Total volume used]]/VLOOKUP(Allocation[[#This Row],[Delivery ID]],Delivery[[Delivery ID]:[Quantity delivered]],3,FALSE)</f>
        <v>1</v>
      </c>
      <c r="S2572" s="34">
        <f>Allocation[[#This Row],[Quantity Processed]]/Allocation[[#This Row],[Dilution rate]]</f>
        <v>572.41379310344826</v>
      </c>
      <c r="T2572" s="59">
        <f>SUMIF(Allocation[Delivery ID],Allocation[[#This Row],[Delivery ID]],Allocation[Quantity allocated])/SUMIF(Allocation[Delivery ID],Allocation[[#This Row],[Delivery ID]],Allocation[Volume available (kg)])</f>
        <v>0.96084337349397597</v>
      </c>
      <c r="U2572" s="61">
        <f>Allocation[[#This Row],[Total volume used]]/VLOOKUP(Allocation[[#This Row],[Delivery ID]],Delivery[[Delivery ID]:[Quantity delivered]],3,FALSE)</f>
        <v>1</v>
      </c>
      <c r="V2572" s="34" t="e">
        <f>VLOOKUP(Allocation[[#This Row],[SAP Contract number]],Shipments[[SAP Contract number]:[Contracted container weight]],2,FALSE)</f>
        <v>#N/A</v>
      </c>
      <c r="W2572" s="34" t="e">
        <f>VLOOKUP(Allocation[[#This Row],[SAP Contract number]],Shipments[[SAP Contract number]:[AAA Premium USD]],24,FALSE)</f>
        <v>#N/A</v>
      </c>
      <c r="X2572" s="34" t="e">
        <f>VLOOKUP(Allocation[[#This Row],[SAP Contract number]],Shipments[[SAP Contract number]:[RA Premium USD]],25,FALSE)</f>
        <v>#N/A</v>
      </c>
      <c r="Y2572" s="38">
        <f>Allocation[[#This Row],[Quantity Processed]]/Allocation[[#This Row],[Quantity allocated]]</f>
        <v>3.0181818181818181</v>
      </c>
      <c r="Z2572" s="34" t="b">
        <f>Allocation[[#This Row],[Quantity allocated]]&lt;=Allocation[[#This Row],[Quantity Processed]]</f>
        <v>1</v>
      </c>
    </row>
    <row r="2573" spans="1:26">
      <c r="A2573" s="247" t="s">
        <v>467</v>
      </c>
      <c r="B2573" s="210" t="s">
        <v>68</v>
      </c>
      <c r="C2573" s="254" t="s">
        <v>1300</v>
      </c>
      <c r="D2573" s="255">
        <v>2173</v>
      </c>
      <c r="E2573" s="211" t="s">
        <v>2104</v>
      </c>
      <c r="F2573" s="212">
        <v>43661</v>
      </c>
      <c r="G2573" s="213">
        <v>2.9</v>
      </c>
      <c r="H2573" s="256">
        <v>717</v>
      </c>
      <c r="I2573" s="214">
        <v>1482472</v>
      </c>
      <c r="J2573" s="215">
        <v>21600</v>
      </c>
      <c r="K2573" s="212">
        <v>43685</v>
      </c>
      <c r="L2573" s="211" t="s">
        <v>2105</v>
      </c>
      <c r="M2573" s="216">
        <v>4615445946</v>
      </c>
      <c r="N2573" s="212"/>
      <c r="O2573" s="218"/>
      <c r="P2573" s="219"/>
      <c r="Q2573" s="34">
        <f>SUMIF(Allocation[Delivery ID],Allocation[[#This Row],[Delivery ID]],Allocation[Quantity Processed])</f>
        <v>8387</v>
      </c>
      <c r="R2573" s="61">
        <f>Allocation[[#This Row],[Total volume used]]/VLOOKUP(Allocation[[#This Row],[Delivery ID]],Delivery[[Delivery ID]:[Quantity delivered]],3,FALSE)</f>
        <v>1</v>
      </c>
      <c r="S2573" s="34">
        <f>Allocation[[#This Row],[Quantity Processed]]/Allocation[[#This Row],[Dilution rate]]</f>
        <v>749.31034482758628</v>
      </c>
      <c r="T2573" s="59">
        <f>SUMIF(Allocation[Delivery ID],Allocation[[#This Row],[Delivery ID]],Allocation[Quantity allocated])/SUMIF(Allocation[Delivery ID],Allocation[[#This Row],[Delivery ID]],Allocation[Volume available (kg)])</f>
        <v>0.93031527331744857</v>
      </c>
      <c r="U2573" s="61">
        <f>Allocation[[#This Row],[Total volume used]]/VLOOKUP(Allocation[[#This Row],[Delivery ID]],Delivery[[Delivery ID]:[Quantity delivered]],3,FALSE)</f>
        <v>1</v>
      </c>
      <c r="V2573" s="34" t="e">
        <f>VLOOKUP(Allocation[[#This Row],[SAP Contract number]],Shipments[[SAP Contract number]:[Contracted container weight]],2,FALSE)</f>
        <v>#N/A</v>
      </c>
      <c r="W2573" s="34" t="e">
        <f>VLOOKUP(Allocation[[#This Row],[SAP Contract number]],Shipments[[SAP Contract number]:[AAA Premium USD]],24,FALSE)</f>
        <v>#N/A</v>
      </c>
      <c r="X2573" s="34" t="e">
        <f>VLOOKUP(Allocation[[#This Row],[SAP Contract number]],Shipments[[SAP Contract number]:[RA Premium USD]],25,FALSE)</f>
        <v>#N/A</v>
      </c>
      <c r="Y2573" s="38">
        <f>Allocation[[#This Row],[Quantity Processed]]/Allocation[[#This Row],[Quantity allocated]]</f>
        <v>3.0306834030683403</v>
      </c>
      <c r="Z2573" s="34" t="b">
        <f>Allocation[[#This Row],[Quantity allocated]]&lt;=Allocation[[#This Row],[Quantity Processed]]</f>
        <v>1</v>
      </c>
    </row>
    <row r="2574" spans="1:26">
      <c r="A2574" s="247" t="s">
        <v>467</v>
      </c>
      <c r="B2574" s="210" t="s">
        <v>68</v>
      </c>
      <c r="C2574" s="254" t="s">
        <v>1993</v>
      </c>
      <c r="D2574" s="255">
        <v>2191</v>
      </c>
      <c r="E2574" s="211" t="s">
        <v>2104</v>
      </c>
      <c r="F2574" s="212">
        <v>43661</v>
      </c>
      <c r="G2574" s="213">
        <v>2.9</v>
      </c>
      <c r="H2574" s="256">
        <v>723</v>
      </c>
      <c r="I2574" s="214">
        <v>1482472</v>
      </c>
      <c r="J2574" s="215">
        <v>21600</v>
      </c>
      <c r="K2574" s="212">
        <v>43685</v>
      </c>
      <c r="L2574" s="211" t="s">
        <v>2105</v>
      </c>
      <c r="M2574" s="216">
        <v>4615445946</v>
      </c>
      <c r="N2574" s="212"/>
      <c r="O2574" s="218"/>
      <c r="P2574" s="219"/>
      <c r="Q2574" s="34">
        <f>SUMIF(Allocation[Delivery ID],Allocation[[#This Row],[Delivery ID]],Allocation[Quantity Processed])</f>
        <v>3270</v>
      </c>
      <c r="R2574" s="61">
        <f>Allocation[[#This Row],[Total volume used]]/VLOOKUP(Allocation[[#This Row],[Delivery ID]],Delivery[[Delivery ID]:[Quantity delivered]],3,FALSE)</f>
        <v>1</v>
      </c>
      <c r="S2574" s="34">
        <f>Allocation[[#This Row],[Quantity Processed]]/Allocation[[#This Row],[Dilution rate]]</f>
        <v>755.51724137931035</v>
      </c>
      <c r="T2574" s="59">
        <f>SUMIF(Allocation[Delivery ID],Allocation[[#This Row],[Delivery ID]],Allocation[Quantity allocated])/SUMIF(Allocation[Delivery ID],Allocation[[#This Row],[Delivery ID]],Allocation[Volume available (kg)])</f>
        <v>0.90697824143070038</v>
      </c>
      <c r="U2574" s="61">
        <f>Allocation[[#This Row],[Total volume used]]/VLOOKUP(Allocation[[#This Row],[Delivery ID]],Delivery[[Delivery ID]:[Quantity delivered]],3,FALSE)</f>
        <v>1</v>
      </c>
      <c r="V2574" s="34" t="e">
        <f>VLOOKUP(Allocation[[#This Row],[SAP Contract number]],Shipments[[SAP Contract number]:[Contracted container weight]],2,FALSE)</f>
        <v>#N/A</v>
      </c>
      <c r="W2574" s="34" t="e">
        <f>VLOOKUP(Allocation[[#This Row],[SAP Contract number]],Shipments[[SAP Contract number]:[AAA Premium USD]],24,FALSE)</f>
        <v>#N/A</v>
      </c>
      <c r="X2574" s="34" t="e">
        <f>VLOOKUP(Allocation[[#This Row],[SAP Contract number]],Shipments[[SAP Contract number]:[RA Premium USD]],25,FALSE)</f>
        <v>#N/A</v>
      </c>
      <c r="Y2574" s="38">
        <f>Allocation[[#This Row],[Quantity Processed]]/Allocation[[#This Row],[Quantity allocated]]</f>
        <v>3.0304287690179805</v>
      </c>
      <c r="Z2574" s="34" t="b">
        <f>Allocation[[#This Row],[Quantity allocated]]&lt;=Allocation[[#This Row],[Quantity Processed]]</f>
        <v>1</v>
      </c>
    </row>
    <row r="2575" spans="1:26">
      <c r="A2575" s="247" t="s">
        <v>467</v>
      </c>
      <c r="B2575" s="210" t="s">
        <v>68</v>
      </c>
      <c r="C2575" s="254" t="s">
        <v>2003</v>
      </c>
      <c r="D2575" s="255">
        <v>3345</v>
      </c>
      <c r="E2575" s="211" t="s">
        <v>2104</v>
      </c>
      <c r="F2575" s="212">
        <v>43661</v>
      </c>
      <c r="G2575" s="213">
        <v>2.9</v>
      </c>
      <c r="H2575" s="256">
        <v>1104</v>
      </c>
      <c r="I2575" s="214">
        <v>1482472</v>
      </c>
      <c r="J2575" s="215">
        <v>21600</v>
      </c>
      <c r="K2575" s="212">
        <v>43685</v>
      </c>
      <c r="L2575" s="211" t="s">
        <v>2105</v>
      </c>
      <c r="M2575" s="216">
        <v>4615445946</v>
      </c>
      <c r="N2575" s="212"/>
      <c r="O2575" s="218"/>
      <c r="P2575" s="219"/>
      <c r="Q2575" s="34">
        <f>SUMIF(Allocation[Delivery ID],Allocation[[#This Row],[Delivery ID]],Allocation[Quantity Processed])</f>
        <v>5010</v>
      </c>
      <c r="R2575" s="61">
        <f>Allocation[[#This Row],[Total volume used]]/VLOOKUP(Allocation[[#This Row],[Delivery ID]],Delivery[[Delivery ID]:[Quantity delivered]],3,FALSE)</f>
        <v>1</v>
      </c>
      <c r="S2575" s="34">
        <f>Allocation[[#This Row],[Quantity Processed]]/Allocation[[#This Row],[Dilution rate]]</f>
        <v>1153.4482758620691</v>
      </c>
      <c r="T2575" s="59">
        <f>SUMIF(Allocation[Delivery ID],Allocation[[#This Row],[Delivery ID]],Allocation[Quantity allocated])/SUMIF(Allocation[Delivery ID],Allocation[[#This Row],[Delivery ID]],Allocation[Volume available (kg)])</f>
        <v>0.92247812390619521</v>
      </c>
      <c r="U2575" s="61">
        <f>Allocation[[#This Row],[Total volume used]]/VLOOKUP(Allocation[[#This Row],[Delivery ID]],Delivery[[Delivery ID]:[Quantity delivered]],3,FALSE)</f>
        <v>1</v>
      </c>
      <c r="V2575" s="34" t="e">
        <f>VLOOKUP(Allocation[[#This Row],[SAP Contract number]],Shipments[[SAP Contract number]:[Contracted container weight]],2,FALSE)</f>
        <v>#N/A</v>
      </c>
      <c r="W2575" s="34" t="e">
        <f>VLOOKUP(Allocation[[#This Row],[SAP Contract number]],Shipments[[SAP Contract number]:[AAA Premium USD]],24,FALSE)</f>
        <v>#N/A</v>
      </c>
      <c r="X2575" s="34" t="e">
        <f>VLOOKUP(Allocation[[#This Row],[SAP Contract number]],Shipments[[SAP Contract number]:[RA Premium USD]],25,FALSE)</f>
        <v>#N/A</v>
      </c>
      <c r="Y2575" s="38">
        <f>Allocation[[#This Row],[Quantity Processed]]/Allocation[[#This Row],[Quantity allocated]]</f>
        <v>3.0298913043478262</v>
      </c>
      <c r="Z2575" s="34" t="b">
        <f>Allocation[[#This Row],[Quantity allocated]]&lt;=Allocation[[#This Row],[Quantity Processed]]</f>
        <v>1</v>
      </c>
    </row>
    <row r="2576" spans="1:26">
      <c r="A2576" s="247" t="s">
        <v>467</v>
      </c>
      <c r="B2576" s="210" t="s">
        <v>68</v>
      </c>
      <c r="C2576" s="254" t="s">
        <v>1998</v>
      </c>
      <c r="D2576" s="255">
        <v>4339</v>
      </c>
      <c r="E2576" s="211" t="s">
        <v>2104</v>
      </c>
      <c r="F2576" s="212">
        <v>43661</v>
      </c>
      <c r="G2576" s="213">
        <v>2.9</v>
      </c>
      <c r="H2576" s="256">
        <v>1432</v>
      </c>
      <c r="I2576" s="214">
        <v>1482472</v>
      </c>
      <c r="J2576" s="215">
        <v>21600</v>
      </c>
      <c r="K2576" s="212">
        <v>43685</v>
      </c>
      <c r="L2576" s="211" t="s">
        <v>2105</v>
      </c>
      <c r="M2576" s="216">
        <v>4615445946</v>
      </c>
      <c r="N2576" s="212"/>
      <c r="O2576" s="218"/>
      <c r="P2576" s="219"/>
      <c r="Q2576" s="34">
        <f>SUMIF(Allocation[Delivery ID],Allocation[[#This Row],[Delivery ID]],Allocation[Quantity Processed])</f>
        <v>6540</v>
      </c>
      <c r="R2576" s="61">
        <f>Allocation[[#This Row],[Total volume used]]/VLOOKUP(Allocation[[#This Row],[Delivery ID]],Delivery[[Delivery ID]:[Quantity delivered]],3,FALSE)</f>
        <v>1</v>
      </c>
      <c r="S2576" s="34">
        <f>Allocation[[#This Row],[Quantity Processed]]/Allocation[[#This Row],[Dilution rate]]</f>
        <v>1496.2068965517242</v>
      </c>
      <c r="T2576" s="59">
        <f>SUMIF(Allocation[Delivery ID],Allocation[[#This Row],[Delivery ID]],Allocation[Quantity allocated])/SUMIF(Allocation[Delivery ID],Allocation[[#This Row],[Delivery ID]],Allocation[Volume available (kg)])</f>
        <v>0.90415979519542755</v>
      </c>
      <c r="U2576" s="61">
        <f>Allocation[[#This Row],[Total volume used]]/VLOOKUP(Allocation[[#This Row],[Delivery ID]],Delivery[[Delivery ID]:[Quantity delivered]],3,FALSE)</f>
        <v>1</v>
      </c>
      <c r="V2576" s="34" t="e">
        <f>VLOOKUP(Allocation[[#This Row],[SAP Contract number]],Shipments[[SAP Contract number]:[Contracted container weight]],2,FALSE)</f>
        <v>#N/A</v>
      </c>
      <c r="W2576" s="34" t="e">
        <f>VLOOKUP(Allocation[[#This Row],[SAP Contract number]],Shipments[[SAP Contract number]:[AAA Premium USD]],24,FALSE)</f>
        <v>#N/A</v>
      </c>
      <c r="X2576" s="34" t="e">
        <f>VLOOKUP(Allocation[[#This Row],[SAP Contract number]],Shipments[[SAP Contract number]:[RA Premium USD]],25,FALSE)</f>
        <v>#N/A</v>
      </c>
      <c r="Y2576" s="38">
        <f>Allocation[[#This Row],[Quantity Processed]]/Allocation[[#This Row],[Quantity allocated]]</f>
        <v>3.0300279329608939</v>
      </c>
      <c r="Z2576" s="34" t="b">
        <f>Allocation[[#This Row],[Quantity allocated]]&lt;=Allocation[[#This Row],[Quantity Processed]]</f>
        <v>1</v>
      </c>
    </row>
    <row r="2577" spans="1:26">
      <c r="A2577" s="247" t="s">
        <v>467</v>
      </c>
      <c r="B2577" s="210" t="s">
        <v>68</v>
      </c>
      <c r="C2577" s="254" t="s">
        <v>1990</v>
      </c>
      <c r="D2577" s="255">
        <v>4710</v>
      </c>
      <c r="E2577" s="211" t="s">
        <v>2104</v>
      </c>
      <c r="F2577" s="212">
        <v>43661</v>
      </c>
      <c r="G2577" s="213">
        <v>2.9</v>
      </c>
      <c r="H2577" s="256">
        <v>1600</v>
      </c>
      <c r="I2577" s="214">
        <v>1482472</v>
      </c>
      <c r="J2577" s="215">
        <v>21600</v>
      </c>
      <c r="K2577" s="212">
        <v>43685</v>
      </c>
      <c r="L2577" s="211" t="s">
        <v>2105</v>
      </c>
      <c r="M2577" s="216">
        <v>4615445946</v>
      </c>
      <c r="N2577" s="212"/>
      <c r="O2577" s="218"/>
      <c r="P2577" s="219"/>
      <c r="Q2577" s="34">
        <f>SUMIF(Allocation[Delivery ID],Allocation[[#This Row],[Delivery ID]],Allocation[Quantity Processed])</f>
        <v>4710</v>
      </c>
      <c r="R2577" s="61">
        <f>Allocation[[#This Row],[Total volume used]]/VLOOKUP(Allocation[[#This Row],[Delivery ID]],Delivery[[Delivery ID]:[Quantity delivered]],3,FALSE)</f>
        <v>1</v>
      </c>
      <c r="S2577" s="34">
        <f>Allocation[[#This Row],[Quantity Processed]]/Allocation[[#This Row],[Dilution rate]]</f>
        <v>1624.1379310344828</v>
      </c>
      <c r="T2577" s="59">
        <f>SUMIF(Allocation[Delivery ID],Allocation[[#This Row],[Delivery ID]],Allocation[Quantity allocated])/SUMIF(Allocation[Delivery ID],Allocation[[#This Row],[Delivery ID]],Allocation[Volume available (kg)])</f>
        <v>0.9851380042462845</v>
      </c>
      <c r="U2577" s="61">
        <f>Allocation[[#This Row],[Total volume used]]/VLOOKUP(Allocation[[#This Row],[Delivery ID]],Delivery[[Delivery ID]:[Quantity delivered]],3,FALSE)</f>
        <v>1</v>
      </c>
      <c r="V2577" s="34" t="e">
        <f>VLOOKUP(Allocation[[#This Row],[SAP Contract number]],Shipments[[SAP Contract number]:[Contracted container weight]],2,FALSE)</f>
        <v>#N/A</v>
      </c>
      <c r="W2577" s="34" t="e">
        <f>VLOOKUP(Allocation[[#This Row],[SAP Contract number]],Shipments[[SAP Contract number]:[AAA Premium USD]],24,FALSE)</f>
        <v>#N/A</v>
      </c>
      <c r="X2577" s="34" t="e">
        <f>VLOOKUP(Allocation[[#This Row],[SAP Contract number]],Shipments[[SAP Contract number]:[RA Premium USD]],25,FALSE)</f>
        <v>#N/A</v>
      </c>
      <c r="Y2577" s="38">
        <f>Allocation[[#This Row],[Quantity Processed]]/Allocation[[#This Row],[Quantity allocated]]</f>
        <v>2.9437500000000001</v>
      </c>
      <c r="Z2577" s="34" t="b">
        <f>Allocation[[#This Row],[Quantity allocated]]&lt;=Allocation[[#This Row],[Quantity Processed]]</f>
        <v>1</v>
      </c>
    </row>
    <row r="2578" spans="1:26">
      <c r="A2578" s="247" t="s">
        <v>467</v>
      </c>
      <c r="B2578" s="210" t="s">
        <v>68</v>
      </c>
      <c r="C2578" s="254" t="s">
        <v>1995</v>
      </c>
      <c r="D2578" s="255">
        <v>5142</v>
      </c>
      <c r="E2578" s="211" t="s">
        <v>2104</v>
      </c>
      <c r="F2578" s="212">
        <v>43661</v>
      </c>
      <c r="G2578" s="213">
        <v>2.9</v>
      </c>
      <c r="H2578" s="256">
        <v>1697</v>
      </c>
      <c r="I2578" s="214">
        <v>1482472</v>
      </c>
      <c r="J2578" s="215">
        <v>21600</v>
      </c>
      <c r="K2578" s="212">
        <v>43685</v>
      </c>
      <c r="L2578" s="211" t="s">
        <v>2105</v>
      </c>
      <c r="M2578" s="216">
        <v>4615445946</v>
      </c>
      <c r="N2578" s="212"/>
      <c r="O2578" s="218"/>
      <c r="P2578" s="219"/>
      <c r="Q2578" s="34">
        <f>SUMIF(Allocation[Delivery ID],Allocation[[#This Row],[Delivery ID]],Allocation[Quantity Processed])</f>
        <v>7750</v>
      </c>
      <c r="R2578" s="61">
        <f>Allocation[[#This Row],[Total volume used]]/VLOOKUP(Allocation[[#This Row],[Delivery ID]],Delivery[[Delivery ID]:[Quantity delivered]],3,FALSE)</f>
        <v>1</v>
      </c>
      <c r="S2578" s="34">
        <f>Allocation[[#This Row],[Quantity Processed]]/Allocation[[#This Row],[Dilution rate]]</f>
        <v>1773.1034482758621</v>
      </c>
      <c r="T2578" s="59">
        <f>SUMIF(Allocation[Delivery ID],Allocation[[#This Row],[Delivery ID]],Allocation[Quantity allocated])/SUMIF(Allocation[Delivery ID],Allocation[[#This Row],[Delivery ID]],Allocation[Volume available (kg)])</f>
        <v>0.90811495176848867</v>
      </c>
      <c r="U2578" s="61">
        <f>Allocation[[#This Row],[Total volume used]]/VLOOKUP(Allocation[[#This Row],[Delivery ID]],Delivery[[Delivery ID]:[Quantity delivered]],3,FALSE)</f>
        <v>1</v>
      </c>
      <c r="V2578" s="34" t="e">
        <f>VLOOKUP(Allocation[[#This Row],[SAP Contract number]],Shipments[[SAP Contract number]:[Contracted container weight]],2,FALSE)</f>
        <v>#N/A</v>
      </c>
      <c r="W2578" s="34" t="e">
        <f>VLOOKUP(Allocation[[#This Row],[SAP Contract number]],Shipments[[SAP Contract number]:[AAA Premium USD]],24,FALSE)</f>
        <v>#N/A</v>
      </c>
      <c r="X2578" s="34" t="e">
        <f>VLOOKUP(Allocation[[#This Row],[SAP Contract number]],Shipments[[SAP Contract number]:[RA Premium USD]],25,FALSE)</f>
        <v>#N/A</v>
      </c>
      <c r="Y2578" s="38">
        <f>Allocation[[#This Row],[Quantity Processed]]/Allocation[[#This Row],[Quantity allocated]]</f>
        <v>3.0300530347672363</v>
      </c>
      <c r="Z2578" s="34" t="b">
        <f>Allocation[[#This Row],[Quantity allocated]]&lt;=Allocation[[#This Row],[Quantity Processed]]</f>
        <v>1</v>
      </c>
    </row>
    <row r="2579" spans="1:26">
      <c r="A2579" s="247" t="s">
        <v>467</v>
      </c>
      <c r="B2579" s="210" t="s">
        <v>68</v>
      </c>
      <c r="C2579" s="254" t="s">
        <v>1442</v>
      </c>
      <c r="D2579" s="255">
        <v>3442</v>
      </c>
      <c r="E2579" s="211" t="s">
        <v>2104</v>
      </c>
      <c r="F2579" s="212">
        <v>43661</v>
      </c>
      <c r="G2579" s="213">
        <v>2.9</v>
      </c>
      <c r="H2579" s="256">
        <v>1721</v>
      </c>
      <c r="I2579" s="214">
        <v>1482472</v>
      </c>
      <c r="J2579" s="215">
        <v>21600</v>
      </c>
      <c r="K2579" s="212">
        <v>43685</v>
      </c>
      <c r="L2579" s="211" t="s">
        <v>2105</v>
      </c>
      <c r="M2579" s="216">
        <v>4615445946</v>
      </c>
      <c r="N2579" s="212"/>
      <c r="O2579" s="218"/>
      <c r="P2579" s="219"/>
      <c r="Q2579" s="34">
        <f>SUMIF(Allocation[Delivery ID],Allocation[[#This Row],[Delivery ID]],Allocation[Quantity Processed])</f>
        <v>22028</v>
      </c>
      <c r="R2579" s="61">
        <f>Allocation[[#This Row],[Total volume used]]/VLOOKUP(Allocation[[#This Row],[Delivery ID]],Delivery[[Delivery ID]:[Quantity delivered]],3,FALSE)</f>
        <v>0.9151641046946406</v>
      </c>
      <c r="S2579" s="34">
        <f>Allocation[[#This Row],[Quantity Processed]]/Allocation[[#This Row],[Dilution rate]]</f>
        <v>1186.8965517241379</v>
      </c>
      <c r="T2579" s="59">
        <f>SUMIF(Allocation[Delivery ID],Allocation[[#This Row],[Delivery ID]],Allocation[Quantity allocated])/SUMIF(Allocation[Delivery ID],Allocation[[#This Row],[Delivery ID]],Allocation[Volume available (kg)])</f>
        <v>1.4275043426184424</v>
      </c>
      <c r="U2579" s="61">
        <f>Allocation[[#This Row],[Total volume used]]/VLOOKUP(Allocation[[#This Row],[Delivery ID]],Delivery[[Delivery ID]:[Quantity delivered]],3,FALSE)</f>
        <v>0.9151641046946406</v>
      </c>
      <c r="V2579" s="34" t="e">
        <f>VLOOKUP(Allocation[[#This Row],[SAP Contract number]],Shipments[[SAP Contract number]:[Contracted container weight]],2,FALSE)</f>
        <v>#N/A</v>
      </c>
      <c r="W2579" s="34" t="e">
        <f>VLOOKUP(Allocation[[#This Row],[SAP Contract number]],Shipments[[SAP Contract number]:[AAA Premium USD]],24,FALSE)</f>
        <v>#N/A</v>
      </c>
      <c r="X2579" s="34" t="e">
        <f>VLOOKUP(Allocation[[#This Row],[SAP Contract number]],Shipments[[SAP Contract number]:[RA Premium USD]],25,FALSE)</f>
        <v>#N/A</v>
      </c>
      <c r="Y2579" s="38">
        <f>Allocation[[#This Row],[Quantity Processed]]/Allocation[[#This Row],[Quantity allocated]]</f>
        <v>2</v>
      </c>
      <c r="Z2579" s="34" t="b">
        <f>Allocation[[#This Row],[Quantity allocated]]&lt;=Allocation[[#This Row],[Quantity Processed]]</f>
        <v>1</v>
      </c>
    </row>
    <row r="2580" spans="1:26">
      <c r="A2580" s="247" t="s">
        <v>467</v>
      </c>
      <c r="B2580" s="210" t="s">
        <v>68</v>
      </c>
      <c r="C2580" s="254" t="s">
        <v>2001</v>
      </c>
      <c r="D2580" s="255">
        <v>5215</v>
      </c>
      <c r="E2580" s="211" t="s">
        <v>2104</v>
      </c>
      <c r="F2580" s="212">
        <v>43661</v>
      </c>
      <c r="G2580" s="213">
        <v>2.9</v>
      </c>
      <c r="H2580" s="256">
        <v>1721</v>
      </c>
      <c r="I2580" s="214">
        <v>1482472</v>
      </c>
      <c r="J2580" s="215">
        <v>21600</v>
      </c>
      <c r="K2580" s="212">
        <v>43685</v>
      </c>
      <c r="L2580" s="211" t="s">
        <v>2105</v>
      </c>
      <c r="M2580" s="216">
        <v>4615445946</v>
      </c>
      <c r="N2580" s="212"/>
      <c r="O2580" s="218"/>
      <c r="P2580" s="219"/>
      <c r="Q2580" s="34">
        <f>SUMIF(Allocation[Delivery ID],Allocation[[#This Row],[Delivery ID]],Allocation[Quantity Processed])</f>
        <v>7840</v>
      </c>
      <c r="R2580" s="61">
        <f>Allocation[[#This Row],[Total volume used]]/VLOOKUP(Allocation[[#This Row],[Delivery ID]],Delivery[[Delivery ID]:[Quantity delivered]],3,FALSE)</f>
        <v>1</v>
      </c>
      <c r="S2580" s="34">
        <f>Allocation[[#This Row],[Quantity Processed]]/Allocation[[#This Row],[Dilution rate]]</f>
        <v>1798.2758620689656</v>
      </c>
      <c r="T2580" s="59">
        <f>SUMIF(Allocation[Delivery ID],Allocation[[#This Row],[Delivery ID]],Allocation[Quantity allocated])/SUMIF(Allocation[Delivery ID],Allocation[[#This Row],[Delivery ID]],Allocation[Volume available (kg)])</f>
        <v>0.90628511811610402</v>
      </c>
      <c r="U2580" s="61">
        <f>Allocation[[#This Row],[Total volume used]]/VLOOKUP(Allocation[[#This Row],[Delivery ID]],Delivery[[Delivery ID]:[Quantity delivered]],3,FALSE)</f>
        <v>1</v>
      </c>
      <c r="V2580" s="34" t="e">
        <f>VLOOKUP(Allocation[[#This Row],[SAP Contract number]],Shipments[[SAP Contract number]:[Contracted container weight]],2,FALSE)</f>
        <v>#N/A</v>
      </c>
      <c r="W2580" s="34" t="e">
        <f>VLOOKUP(Allocation[[#This Row],[SAP Contract number]],Shipments[[SAP Contract number]:[AAA Premium USD]],24,FALSE)</f>
        <v>#N/A</v>
      </c>
      <c r="X2580" s="34" t="e">
        <f>VLOOKUP(Allocation[[#This Row],[SAP Contract number]],Shipments[[SAP Contract number]:[RA Premium USD]],25,FALSE)</f>
        <v>#N/A</v>
      </c>
      <c r="Y2580" s="38">
        <f>Allocation[[#This Row],[Quantity Processed]]/Allocation[[#This Row],[Quantity allocated]]</f>
        <v>3.030214991284137</v>
      </c>
      <c r="Z2580" s="34" t="b">
        <f>Allocation[[#This Row],[Quantity allocated]]&lt;=Allocation[[#This Row],[Quantity Processed]]</f>
        <v>1</v>
      </c>
    </row>
    <row r="2581" spans="1:26">
      <c r="A2581" s="247" t="s">
        <v>467</v>
      </c>
      <c r="B2581" s="210" t="s">
        <v>68</v>
      </c>
      <c r="C2581" s="254" t="s">
        <v>1992</v>
      </c>
      <c r="D2581" s="255">
        <v>6286</v>
      </c>
      <c r="E2581" s="211" t="s">
        <v>2104</v>
      </c>
      <c r="F2581" s="212">
        <v>43661</v>
      </c>
      <c r="G2581" s="213">
        <v>2.9</v>
      </c>
      <c r="H2581" s="256">
        <v>1760</v>
      </c>
      <c r="I2581" s="214">
        <v>1482472</v>
      </c>
      <c r="J2581" s="215">
        <v>21600</v>
      </c>
      <c r="K2581" s="212">
        <v>43685</v>
      </c>
      <c r="L2581" s="211" t="s">
        <v>2105</v>
      </c>
      <c r="M2581" s="216">
        <v>4615445946</v>
      </c>
      <c r="N2581" s="212"/>
      <c r="O2581" s="218"/>
      <c r="P2581" s="219"/>
      <c r="Q2581" s="34">
        <f>SUMIF(Allocation[Delivery ID],Allocation[[#This Row],[Delivery ID]],Allocation[Quantity Processed])</f>
        <v>8020</v>
      </c>
      <c r="R2581" s="61">
        <f>Allocation[[#This Row],[Total volume used]]/VLOOKUP(Allocation[[#This Row],[Delivery ID]],Delivery[[Delivery ID]:[Quantity delivered]],3,FALSE)</f>
        <v>1</v>
      </c>
      <c r="S2581" s="34">
        <f>Allocation[[#This Row],[Quantity Processed]]/Allocation[[#This Row],[Dilution rate]]</f>
        <v>2167.5862068965516</v>
      </c>
      <c r="T2581" s="59">
        <f>SUMIF(Allocation[Delivery ID],Allocation[[#This Row],[Delivery ID]],Allocation[Quantity allocated])/SUMIF(Allocation[Delivery ID],Allocation[[#This Row],[Delivery ID]],Allocation[Volume available (kg)])</f>
        <v>0.78198359433258768</v>
      </c>
      <c r="U2581" s="61">
        <f>Allocation[[#This Row],[Total volume used]]/VLOOKUP(Allocation[[#This Row],[Delivery ID]],Delivery[[Delivery ID]:[Quantity delivered]],3,FALSE)</f>
        <v>1</v>
      </c>
      <c r="V2581" s="34" t="e">
        <f>VLOOKUP(Allocation[[#This Row],[SAP Contract number]],Shipments[[SAP Contract number]:[Contracted container weight]],2,FALSE)</f>
        <v>#N/A</v>
      </c>
      <c r="W2581" s="34" t="e">
        <f>VLOOKUP(Allocation[[#This Row],[SAP Contract number]],Shipments[[SAP Contract number]:[AAA Premium USD]],24,FALSE)</f>
        <v>#N/A</v>
      </c>
      <c r="X2581" s="34" t="e">
        <f>VLOOKUP(Allocation[[#This Row],[SAP Contract number]],Shipments[[SAP Contract number]:[RA Premium USD]],25,FALSE)</f>
        <v>#N/A</v>
      </c>
      <c r="Y2581" s="38">
        <f>Allocation[[#This Row],[Quantity Processed]]/Allocation[[#This Row],[Quantity allocated]]</f>
        <v>3.5715909090909093</v>
      </c>
      <c r="Z2581" s="34" t="b">
        <f>Allocation[[#This Row],[Quantity allocated]]&lt;=Allocation[[#This Row],[Quantity Processed]]</f>
        <v>1</v>
      </c>
    </row>
    <row r="2582" spans="1:26">
      <c r="A2582" s="247" t="s">
        <v>467</v>
      </c>
      <c r="B2582" s="210" t="s">
        <v>68</v>
      </c>
      <c r="C2582" s="254" t="s">
        <v>1989</v>
      </c>
      <c r="D2582" s="255">
        <v>5485</v>
      </c>
      <c r="E2582" s="211" t="s">
        <v>2104</v>
      </c>
      <c r="F2582" s="212">
        <v>43661</v>
      </c>
      <c r="G2582" s="213">
        <v>2.9</v>
      </c>
      <c r="H2582" s="256">
        <v>1810</v>
      </c>
      <c r="I2582" s="214">
        <v>1482472</v>
      </c>
      <c r="J2582" s="215">
        <v>21600</v>
      </c>
      <c r="K2582" s="212">
        <v>43685</v>
      </c>
      <c r="L2582" s="211" t="s">
        <v>2105</v>
      </c>
      <c r="M2582" s="216">
        <v>4615445946</v>
      </c>
      <c r="N2582" s="212"/>
      <c r="O2582" s="218"/>
      <c r="P2582" s="219"/>
      <c r="Q2582" s="34">
        <f>SUMIF(Allocation[Delivery ID],Allocation[[#This Row],[Delivery ID]],Allocation[Quantity Processed])</f>
        <v>8290</v>
      </c>
      <c r="R2582" s="61">
        <f>Allocation[[#This Row],[Total volume used]]/VLOOKUP(Allocation[[#This Row],[Delivery ID]],Delivery[[Delivery ID]:[Quantity delivered]],3,FALSE)</f>
        <v>1</v>
      </c>
      <c r="S2582" s="34">
        <f>Allocation[[#This Row],[Quantity Processed]]/Allocation[[#This Row],[Dilution rate]]</f>
        <v>1891.3793103448277</v>
      </c>
      <c r="T2582" s="59">
        <f>SUMIF(Allocation[Delivery ID],Allocation[[#This Row],[Delivery ID]],Allocation[Quantity allocated])/SUMIF(Allocation[Delivery ID],Allocation[[#This Row],[Delivery ID]],Allocation[Volume available (kg)])</f>
        <v>0.89538699908444253</v>
      </c>
      <c r="U2582" s="61">
        <f>Allocation[[#This Row],[Total volume used]]/VLOOKUP(Allocation[[#This Row],[Delivery ID]],Delivery[[Delivery ID]:[Quantity delivered]],3,FALSE)</f>
        <v>1</v>
      </c>
      <c r="V2582" s="34" t="e">
        <f>VLOOKUP(Allocation[[#This Row],[SAP Contract number]],Shipments[[SAP Contract number]:[Contracted container weight]],2,FALSE)</f>
        <v>#N/A</v>
      </c>
      <c r="W2582" s="34" t="e">
        <f>VLOOKUP(Allocation[[#This Row],[SAP Contract number]],Shipments[[SAP Contract number]:[AAA Premium USD]],24,FALSE)</f>
        <v>#N/A</v>
      </c>
      <c r="X2582" s="34" t="e">
        <f>VLOOKUP(Allocation[[#This Row],[SAP Contract number]],Shipments[[SAP Contract number]:[RA Premium USD]],25,FALSE)</f>
        <v>#N/A</v>
      </c>
      <c r="Y2582" s="38">
        <f>Allocation[[#This Row],[Quantity Processed]]/Allocation[[#This Row],[Quantity allocated]]</f>
        <v>3.0303867403314917</v>
      </c>
      <c r="Z2582" s="34" t="b">
        <f>Allocation[[#This Row],[Quantity allocated]]&lt;=Allocation[[#This Row],[Quantity Processed]]</f>
        <v>1</v>
      </c>
    </row>
    <row r="2583" spans="1:26">
      <c r="A2583" s="247" t="s">
        <v>467</v>
      </c>
      <c r="B2583" s="210" t="s">
        <v>68</v>
      </c>
      <c r="C2583" s="254" t="s">
        <v>2012</v>
      </c>
      <c r="D2583" s="255">
        <v>4444</v>
      </c>
      <c r="E2583" s="211" t="s">
        <v>2104</v>
      </c>
      <c r="F2583" s="212">
        <v>43661</v>
      </c>
      <c r="G2583" s="213">
        <v>2.9</v>
      </c>
      <c r="H2583" s="256">
        <v>2000</v>
      </c>
      <c r="I2583" s="214">
        <v>1482472</v>
      </c>
      <c r="J2583" s="215">
        <v>21600</v>
      </c>
      <c r="K2583" s="212">
        <v>43685</v>
      </c>
      <c r="L2583" s="211" t="s">
        <v>2105</v>
      </c>
      <c r="M2583" s="216">
        <v>4615445946</v>
      </c>
      <c r="N2583" s="212"/>
      <c r="O2583" s="218"/>
      <c r="P2583" s="219"/>
      <c r="Q2583" s="34">
        <f>SUMIF(Allocation[Delivery ID],Allocation[[#This Row],[Delivery ID]],Allocation[Quantity Processed])</f>
        <v>11111</v>
      </c>
      <c r="R2583" s="61">
        <f>Allocation[[#This Row],[Total volume used]]/VLOOKUP(Allocation[[#This Row],[Delivery ID]],Delivery[[Delivery ID]:[Quantity delivered]],3,FALSE)</f>
        <v>0.51688686267212502</v>
      </c>
      <c r="S2583" s="34">
        <f>Allocation[[#This Row],[Quantity Processed]]/Allocation[[#This Row],[Dilution rate]]</f>
        <v>1532.4137931034484</v>
      </c>
      <c r="T2583" s="59">
        <f>SUMIF(Allocation[Delivery ID],Allocation[[#This Row],[Delivery ID]],Allocation[Quantity allocated])/SUMIF(Allocation[Delivery ID],Allocation[[#This Row],[Delivery ID]],Allocation[Volume available (kg)])</f>
        <v>1.1600038666795556</v>
      </c>
      <c r="U2583" s="61">
        <f>Allocation[[#This Row],[Total volume used]]/VLOOKUP(Allocation[[#This Row],[Delivery ID]],Delivery[[Delivery ID]:[Quantity delivered]],3,FALSE)</f>
        <v>0.51688686267212502</v>
      </c>
      <c r="V2583" s="34" t="e">
        <f>VLOOKUP(Allocation[[#This Row],[SAP Contract number]],Shipments[[SAP Contract number]:[Contracted container weight]],2,FALSE)</f>
        <v>#N/A</v>
      </c>
      <c r="W2583" s="34" t="e">
        <f>VLOOKUP(Allocation[[#This Row],[SAP Contract number]],Shipments[[SAP Contract number]:[AAA Premium USD]],24,FALSE)</f>
        <v>#N/A</v>
      </c>
      <c r="X2583" s="34" t="e">
        <f>VLOOKUP(Allocation[[#This Row],[SAP Contract number]],Shipments[[SAP Contract number]:[RA Premium USD]],25,FALSE)</f>
        <v>#N/A</v>
      </c>
      <c r="Y2583" s="38">
        <f>Allocation[[#This Row],[Quantity Processed]]/Allocation[[#This Row],[Quantity allocated]]</f>
        <v>2.222</v>
      </c>
      <c r="Z2583" s="34" t="b">
        <f>Allocation[[#This Row],[Quantity allocated]]&lt;=Allocation[[#This Row],[Quantity Processed]]</f>
        <v>1</v>
      </c>
    </row>
    <row r="2584" spans="1:26">
      <c r="A2584" s="247" t="s">
        <v>467</v>
      </c>
      <c r="B2584" s="210" t="s">
        <v>68</v>
      </c>
      <c r="C2584" s="254" t="s">
        <v>2013</v>
      </c>
      <c r="D2584" s="255">
        <v>4444</v>
      </c>
      <c r="E2584" s="211" t="s">
        <v>2104</v>
      </c>
      <c r="F2584" s="212">
        <v>43661</v>
      </c>
      <c r="G2584" s="213">
        <v>2.9</v>
      </c>
      <c r="H2584" s="256">
        <v>2000</v>
      </c>
      <c r="I2584" s="214">
        <v>1482472</v>
      </c>
      <c r="J2584" s="215">
        <v>21600</v>
      </c>
      <c r="K2584" s="212">
        <v>43685</v>
      </c>
      <c r="L2584" s="211" t="s">
        <v>2105</v>
      </c>
      <c r="M2584" s="216">
        <v>4615445946</v>
      </c>
      <c r="N2584" s="212"/>
      <c r="O2584" s="218"/>
      <c r="P2584" s="219"/>
      <c r="Q2584" s="34">
        <f>SUMIF(Allocation[Delivery ID],Allocation[[#This Row],[Delivery ID]],Allocation[Quantity Processed])</f>
        <v>13777</v>
      </c>
      <c r="R2584" s="61">
        <f>Allocation[[#This Row],[Total volume used]]/VLOOKUP(Allocation[[#This Row],[Delivery ID]],Delivery[[Delivery ID]:[Quantity delivered]],3,FALSE)</f>
        <v>0.67204878048780492</v>
      </c>
      <c r="S2584" s="34">
        <f>Allocation[[#This Row],[Quantity Processed]]/Allocation[[#This Row],[Dilution rate]]</f>
        <v>1532.4137931034484</v>
      </c>
      <c r="T2584" s="59">
        <f>SUMIF(Allocation[Delivery ID],Allocation[[#This Row],[Delivery ID]],Allocation[Quantity allocated])/SUMIF(Allocation[Delivery ID],Allocation[[#This Row],[Delivery ID]],Allocation[Volume available (kg)])</f>
        <v>1.1436658689204984</v>
      </c>
      <c r="U2584" s="61">
        <f>Allocation[[#This Row],[Total volume used]]/VLOOKUP(Allocation[[#This Row],[Delivery ID]],Delivery[[Delivery ID]:[Quantity delivered]],3,FALSE)</f>
        <v>0.67204878048780492</v>
      </c>
      <c r="V2584" s="34" t="e">
        <f>VLOOKUP(Allocation[[#This Row],[SAP Contract number]],Shipments[[SAP Contract number]:[Contracted container weight]],2,FALSE)</f>
        <v>#N/A</v>
      </c>
      <c r="W2584" s="34" t="e">
        <f>VLOOKUP(Allocation[[#This Row],[SAP Contract number]],Shipments[[SAP Contract number]:[AAA Premium USD]],24,FALSE)</f>
        <v>#N/A</v>
      </c>
      <c r="X2584" s="34" t="e">
        <f>VLOOKUP(Allocation[[#This Row],[SAP Contract number]],Shipments[[SAP Contract number]:[RA Premium USD]],25,FALSE)</f>
        <v>#N/A</v>
      </c>
      <c r="Y2584" s="38">
        <f>Allocation[[#This Row],[Quantity Processed]]/Allocation[[#This Row],[Quantity allocated]]</f>
        <v>2.222</v>
      </c>
      <c r="Z2584" s="34" t="b">
        <f>Allocation[[#This Row],[Quantity allocated]]&lt;=Allocation[[#This Row],[Quantity Processed]]</f>
        <v>1</v>
      </c>
    </row>
    <row r="2585" spans="1:26">
      <c r="A2585" s="247" t="s">
        <v>467</v>
      </c>
      <c r="B2585" s="210" t="s">
        <v>68</v>
      </c>
      <c r="C2585" s="254" t="s">
        <v>1298</v>
      </c>
      <c r="D2585" s="255">
        <v>5688</v>
      </c>
      <c r="E2585" s="211" t="s">
        <v>2104</v>
      </c>
      <c r="F2585" s="212">
        <v>43661</v>
      </c>
      <c r="G2585" s="213">
        <v>2.9</v>
      </c>
      <c r="H2585" s="256">
        <v>1899</v>
      </c>
      <c r="I2585" s="214">
        <v>1482472</v>
      </c>
      <c r="J2585" s="215">
        <v>21600</v>
      </c>
      <c r="K2585" s="212">
        <v>43685</v>
      </c>
      <c r="L2585" s="211" t="s">
        <v>2105</v>
      </c>
      <c r="M2585" s="216">
        <v>4615445946</v>
      </c>
      <c r="N2585" s="212"/>
      <c r="O2585" s="218"/>
      <c r="P2585" s="219"/>
      <c r="Q2585" s="34">
        <f>SUMIF(Allocation[Delivery ID],Allocation[[#This Row],[Delivery ID]],Allocation[Quantity Processed])</f>
        <v>37820</v>
      </c>
      <c r="R2585" s="61">
        <f>Allocation[[#This Row],[Total volume used]]/VLOOKUP(Allocation[[#This Row],[Delivery ID]],Delivery[[Delivery ID]:[Quantity delivered]],3,FALSE)</f>
        <v>1</v>
      </c>
      <c r="S2585" s="34">
        <f>Allocation[[#This Row],[Quantity Processed]]/Allocation[[#This Row],[Dilution rate]]</f>
        <v>1961.3793103448277</v>
      </c>
      <c r="T2585" s="59">
        <f>SUMIF(Allocation[Delivery ID],Allocation[[#This Row],[Delivery ID]],Allocation[Quantity allocated])/SUMIF(Allocation[Delivery ID],Allocation[[#This Row],[Delivery ID]],Allocation[Volume available (kg)])</f>
        <v>0.95932702192301111</v>
      </c>
      <c r="U2585" s="61">
        <f>Allocation[[#This Row],[Total volume used]]/VLOOKUP(Allocation[[#This Row],[Delivery ID]],Delivery[[Delivery ID]:[Quantity delivered]],3,FALSE)</f>
        <v>1</v>
      </c>
      <c r="V2585" s="34" t="e">
        <f>VLOOKUP(Allocation[[#This Row],[SAP Contract number]],Shipments[[SAP Contract number]:[Contracted container weight]],2,FALSE)</f>
        <v>#N/A</v>
      </c>
      <c r="W2585" s="34" t="e">
        <f>VLOOKUP(Allocation[[#This Row],[SAP Contract number]],Shipments[[SAP Contract number]:[AAA Premium USD]],24,FALSE)</f>
        <v>#N/A</v>
      </c>
      <c r="X2585" s="34" t="e">
        <f>VLOOKUP(Allocation[[#This Row],[SAP Contract number]],Shipments[[SAP Contract number]:[RA Premium USD]],25,FALSE)</f>
        <v>#N/A</v>
      </c>
      <c r="Y2585" s="38">
        <f>Allocation[[#This Row],[Quantity Processed]]/Allocation[[#This Row],[Quantity allocated]]</f>
        <v>2.9952606635071088</v>
      </c>
      <c r="Z2585" s="34" t="b">
        <f>Allocation[[#This Row],[Quantity allocated]]&lt;=Allocation[[#This Row],[Quantity Processed]]</f>
        <v>1</v>
      </c>
    </row>
    <row r="2586" spans="1:26">
      <c r="A2586" s="247" t="s">
        <v>467</v>
      </c>
      <c r="B2586" s="210" t="s">
        <v>68</v>
      </c>
      <c r="C2586" s="254" t="s">
        <v>1298</v>
      </c>
      <c r="D2586" s="255">
        <v>1201</v>
      </c>
      <c r="E2586" s="211" t="s">
        <v>2104</v>
      </c>
      <c r="F2586" s="212">
        <v>43661</v>
      </c>
      <c r="G2586" s="213">
        <v>2.9</v>
      </c>
      <c r="H2586" s="256">
        <v>401</v>
      </c>
      <c r="I2586" s="214">
        <v>1482473</v>
      </c>
      <c r="J2586" s="215">
        <v>21600</v>
      </c>
      <c r="K2586" s="212">
        <v>43685</v>
      </c>
      <c r="L2586" s="211" t="s">
        <v>2106</v>
      </c>
      <c r="M2586" s="216">
        <v>4615445946</v>
      </c>
      <c r="N2586" s="212"/>
      <c r="O2586" s="218"/>
      <c r="P2586" s="219"/>
      <c r="Q2586" s="34">
        <f>SUMIF(Allocation[Delivery ID],Allocation[[#This Row],[Delivery ID]],Allocation[Quantity Processed])</f>
        <v>37820</v>
      </c>
      <c r="R2586" s="61">
        <f>Allocation[[#This Row],[Total volume used]]/VLOOKUP(Allocation[[#This Row],[Delivery ID]],Delivery[[Delivery ID]:[Quantity delivered]],3,FALSE)</f>
        <v>1</v>
      </c>
      <c r="S2586" s="34">
        <f>Allocation[[#This Row],[Quantity Processed]]/Allocation[[#This Row],[Dilution rate]]</f>
        <v>414.13793103448279</v>
      </c>
      <c r="T2586" s="59">
        <f>SUMIF(Allocation[Delivery ID],Allocation[[#This Row],[Delivery ID]],Allocation[Quantity allocated])/SUMIF(Allocation[Delivery ID],Allocation[[#This Row],[Delivery ID]],Allocation[Volume available (kg)])</f>
        <v>0.95932702192301111</v>
      </c>
      <c r="U2586" s="61">
        <f>Allocation[[#This Row],[Total volume used]]/VLOOKUP(Allocation[[#This Row],[Delivery ID]],Delivery[[Delivery ID]:[Quantity delivered]],3,FALSE)</f>
        <v>1</v>
      </c>
      <c r="V2586" s="34" t="e">
        <f>VLOOKUP(Allocation[[#This Row],[SAP Contract number]],Shipments[[SAP Contract number]:[Contracted container weight]],2,FALSE)</f>
        <v>#N/A</v>
      </c>
      <c r="W2586" s="34" t="e">
        <f>VLOOKUP(Allocation[[#This Row],[SAP Contract number]],Shipments[[SAP Contract number]:[AAA Premium USD]],24,FALSE)</f>
        <v>#N/A</v>
      </c>
      <c r="X2586" s="34" t="e">
        <f>VLOOKUP(Allocation[[#This Row],[SAP Contract number]],Shipments[[SAP Contract number]:[RA Premium USD]],25,FALSE)</f>
        <v>#N/A</v>
      </c>
      <c r="Y2586" s="38">
        <f>Allocation[[#This Row],[Quantity Processed]]/Allocation[[#This Row],[Quantity allocated]]</f>
        <v>2.9950124688279303</v>
      </c>
      <c r="Z2586" s="34" t="b">
        <f>Allocation[[#This Row],[Quantity allocated]]&lt;=Allocation[[#This Row],[Quantity Processed]]</f>
        <v>1</v>
      </c>
    </row>
    <row r="2587" spans="1:26">
      <c r="A2587" s="247" t="s">
        <v>467</v>
      </c>
      <c r="B2587" s="210" t="s">
        <v>68</v>
      </c>
      <c r="C2587" s="254" t="s">
        <v>2083</v>
      </c>
      <c r="D2587" s="255">
        <v>4720</v>
      </c>
      <c r="E2587" s="211" t="s">
        <v>2104</v>
      </c>
      <c r="F2587" s="212">
        <v>43661</v>
      </c>
      <c r="G2587" s="213">
        <v>2.9</v>
      </c>
      <c r="H2587" s="256">
        <v>2360</v>
      </c>
      <c r="I2587" s="214">
        <v>1482473</v>
      </c>
      <c r="J2587" s="215">
        <v>21600</v>
      </c>
      <c r="K2587" s="212">
        <v>43685</v>
      </c>
      <c r="L2587" s="211" t="s">
        <v>2106</v>
      </c>
      <c r="M2587" s="216">
        <v>4615445946</v>
      </c>
      <c r="N2587" s="212"/>
      <c r="O2587" s="218"/>
      <c r="P2587" s="219"/>
      <c r="Q2587" s="34">
        <f>SUMIF(Allocation[Delivery ID],Allocation[[#This Row],[Delivery ID]],Allocation[Quantity Processed])</f>
        <v>19720</v>
      </c>
      <c r="R2587" s="61">
        <f>Allocation[[#This Row],[Total volume used]]/VLOOKUP(Allocation[[#This Row],[Delivery ID]],Delivery[[Delivery ID]:[Quantity delivered]],3,FALSE)</f>
        <v>0.61702127659574468</v>
      </c>
      <c r="S2587" s="34">
        <f>Allocation[[#This Row],[Quantity Processed]]/Allocation[[#This Row],[Dilution rate]]</f>
        <v>1627.5862068965519</v>
      </c>
      <c r="T2587" s="59">
        <f>SUMIF(Allocation[Delivery ID],Allocation[[#This Row],[Delivery ID]],Allocation[Quantity allocated])/SUMIF(Allocation[Delivery ID],Allocation[[#This Row],[Delivery ID]],Allocation[Volume available (kg)])</f>
        <v>1.2516524403589406</v>
      </c>
      <c r="U2587" s="61">
        <f>Allocation[[#This Row],[Total volume used]]/VLOOKUP(Allocation[[#This Row],[Delivery ID]],Delivery[[Delivery ID]:[Quantity delivered]],3,FALSE)</f>
        <v>0.61702127659574468</v>
      </c>
      <c r="V2587" s="34" t="e">
        <f>VLOOKUP(Allocation[[#This Row],[SAP Contract number]],Shipments[[SAP Contract number]:[Contracted container weight]],2,FALSE)</f>
        <v>#N/A</v>
      </c>
      <c r="W2587" s="34" t="e">
        <f>VLOOKUP(Allocation[[#This Row],[SAP Contract number]],Shipments[[SAP Contract number]:[AAA Premium USD]],24,FALSE)</f>
        <v>#N/A</v>
      </c>
      <c r="X2587" s="34" t="e">
        <f>VLOOKUP(Allocation[[#This Row],[SAP Contract number]],Shipments[[SAP Contract number]:[RA Premium USD]],25,FALSE)</f>
        <v>#N/A</v>
      </c>
      <c r="Y2587" s="38">
        <f>Allocation[[#This Row],[Quantity Processed]]/Allocation[[#This Row],[Quantity allocated]]</f>
        <v>2</v>
      </c>
      <c r="Z2587" s="34" t="b">
        <f>Allocation[[#This Row],[Quantity allocated]]&lt;=Allocation[[#This Row],[Quantity Processed]]</f>
        <v>1</v>
      </c>
    </row>
    <row r="2588" spans="1:26">
      <c r="A2588" s="247" t="s">
        <v>467</v>
      </c>
      <c r="B2588" s="210" t="s">
        <v>68</v>
      </c>
      <c r="C2588" s="254" t="s">
        <v>1985</v>
      </c>
      <c r="D2588" s="255">
        <v>7155</v>
      </c>
      <c r="E2588" s="211" t="s">
        <v>2104</v>
      </c>
      <c r="F2588" s="212">
        <v>43661</v>
      </c>
      <c r="G2588" s="213">
        <v>2.9</v>
      </c>
      <c r="H2588" s="256">
        <v>2361</v>
      </c>
      <c r="I2588" s="214">
        <v>1482473</v>
      </c>
      <c r="J2588" s="215">
        <v>21600</v>
      </c>
      <c r="K2588" s="212">
        <v>43685</v>
      </c>
      <c r="L2588" s="211" t="s">
        <v>2106</v>
      </c>
      <c r="M2588" s="216">
        <v>4615445946</v>
      </c>
      <c r="N2588" s="212"/>
      <c r="O2588" s="218"/>
      <c r="P2588" s="219"/>
      <c r="Q2588" s="34">
        <f>SUMIF(Allocation[Delivery ID],Allocation[[#This Row],[Delivery ID]],Allocation[Quantity Processed])</f>
        <v>10770</v>
      </c>
      <c r="R2588" s="61">
        <f>Allocation[[#This Row],[Total volume used]]/VLOOKUP(Allocation[[#This Row],[Delivery ID]],Delivery[[Delivery ID]:[Quantity delivered]],3,FALSE)</f>
        <v>1</v>
      </c>
      <c r="S2588" s="34">
        <f>Allocation[[#This Row],[Quantity Processed]]/Allocation[[#This Row],[Dilution rate]]</f>
        <v>2467.2413793103451</v>
      </c>
      <c r="T2588" s="59">
        <f>SUMIF(Allocation[Delivery ID],Allocation[[#This Row],[Delivery ID]],Allocation[Quantity allocated])/SUMIF(Allocation[Delivery ID],Allocation[[#This Row],[Delivery ID]],Allocation[Volume available (kg)])</f>
        <v>0.89618918479145193</v>
      </c>
      <c r="U2588" s="61">
        <f>Allocation[[#This Row],[Total volume used]]/VLOOKUP(Allocation[[#This Row],[Delivery ID]],Delivery[[Delivery ID]:[Quantity delivered]],3,FALSE)</f>
        <v>1</v>
      </c>
      <c r="V2588" s="34" t="e">
        <f>VLOOKUP(Allocation[[#This Row],[SAP Contract number]],Shipments[[SAP Contract number]:[Contracted container weight]],2,FALSE)</f>
        <v>#N/A</v>
      </c>
      <c r="W2588" s="34" t="e">
        <f>VLOOKUP(Allocation[[#This Row],[SAP Contract number]],Shipments[[SAP Contract number]:[AAA Premium USD]],24,FALSE)</f>
        <v>#N/A</v>
      </c>
      <c r="X2588" s="34" t="e">
        <f>VLOOKUP(Allocation[[#This Row],[SAP Contract number]],Shipments[[SAP Contract number]:[RA Premium USD]],25,FALSE)</f>
        <v>#N/A</v>
      </c>
      <c r="Y2588" s="38">
        <f>Allocation[[#This Row],[Quantity Processed]]/Allocation[[#This Row],[Quantity allocated]]</f>
        <v>3.0304955527318933</v>
      </c>
      <c r="Z2588" s="34" t="b">
        <f>Allocation[[#This Row],[Quantity allocated]]&lt;=Allocation[[#This Row],[Quantity Processed]]</f>
        <v>1</v>
      </c>
    </row>
    <row r="2589" spans="1:26">
      <c r="A2589" s="247" t="s">
        <v>467</v>
      </c>
      <c r="B2589" s="210" t="s">
        <v>68</v>
      </c>
      <c r="C2589" s="254" t="s">
        <v>1986</v>
      </c>
      <c r="D2589" s="255">
        <v>7870</v>
      </c>
      <c r="E2589" s="211" t="s">
        <v>2104</v>
      </c>
      <c r="F2589" s="212">
        <v>43661</v>
      </c>
      <c r="G2589" s="213">
        <v>2.9</v>
      </c>
      <c r="H2589" s="256">
        <v>2597</v>
      </c>
      <c r="I2589" s="214">
        <v>1482473</v>
      </c>
      <c r="J2589" s="215">
        <v>21600</v>
      </c>
      <c r="K2589" s="212">
        <v>43685</v>
      </c>
      <c r="L2589" s="211" t="s">
        <v>2106</v>
      </c>
      <c r="M2589" s="216">
        <v>4615445946</v>
      </c>
      <c r="N2589" s="212"/>
      <c r="O2589" s="218"/>
      <c r="P2589" s="219"/>
      <c r="Q2589" s="34">
        <f>SUMIF(Allocation[Delivery ID],Allocation[[#This Row],[Delivery ID]],Allocation[Quantity Processed])</f>
        <v>11880</v>
      </c>
      <c r="R2589" s="61">
        <f>Allocation[[#This Row],[Total volume used]]/VLOOKUP(Allocation[[#This Row],[Delivery ID]],Delivery[[Delivery ID]:[Quantity delivered]],3,FALSE)</f>
        <v>1</v>
      </c>
      <c r="S2589" s="34">
        <f>Allocation[[#This Row],[Quantity Processed]]/Allocation[[#This Row],[Dilution rate]]</f>
        <v>2713.7931034482758</v>
      </c>
      <c r="T2589" s="59">
        <f>SUMIF(Allocation[Delivery ID],Allocation[[#This Row],[Delivery ID]],Allocation[Quantity allocated])/SUMIF(Allocation[Delivery ID],Allocation[[#This Row],[Delivery ID]],Allocation[Volume available (kg)])</f>
        <v>0.90019071337287415</v>
      </c>
      <c r="U2589" s="61">
        <f>Allocation[[#This Row],[Total volume used]]/VLOOKUP(Allocation[[#This Row],[Delivery ID]],Delivery[[Delivery ID]:[Quantity delivered]],3,FALSE)</f>
        <v>1</v>
      </c>
      <c r="V2589" s="34" t="e">
        <f>VLOOKUP(Allocation[[#This Row],[SAP Contract number]],Shipments[[SAP Contract number]:[Contracted container weight]],2,FALSE)</f>
        <v>#N/A</v>
      </c>
      <c r="W2589" s="34" t="e">
        <f>VLOOKUP(Allocation[[#This Row],[SAP Contract number]],Shipments[[SAP Contract number]:[AAA Premium USD]],24,FALSE)</f>
        <v>#N/A</v>
      </c>
      <c r="X2589" s="34" t="e">
        <f>VLOOKUP(Allocation[[#This Row],[SAP Contract number]],Shipments[[SAP Contract number]:[RA Premium USD]],25,FALSE)</f>
        <v>#N/A</v>
      </c>
      <c r="Y2589" s="38">
        <f>Allocation[[#This Row],[Quantity Processed]]/Allocation[[#This Row],[Quantity allocated]]</f>
        <v>3.0304197150558339</v>
      </c>
      <c r="Z2589" s="34" t="b">
        <f>Allocation[[#This Row],[Quantity allocated]]&lt;=Allocation[[#This Row],[Quantity Processed]]</f>
        <v>1</v>
      </c>
    </row>
    <row r="2590" spans="1:26">
      <c r="A2590" s="247" t="s">
        <v>467</v>
      </c>
      <c r="B2590" s="210" t="s">
        <v>68</v>
      </c>
      <c r="C2590" s="254" t="s">
        <v>1996</v>
      </c>
      <c r="D2590" s="255">
        <v>8409</v>
      </c>
      <c r="E2590" s="211" t="s">
        <v>2104</v>
      </c>
      <c r="F2590" s="212">
        <v>43661</v>
      </c>
      <c r="G2590" s="213">
        <v>2.9</v>
      </c>
      <c r="H2590" s="256">
        <v>2775</v>
      </c>
      <c r="I2590" s="214">
        <v>1482473</v>
      </c>
      <c r="J2590" s="215">
        <v>21600</v>
      </c>
      <c r="K2590" s="212">
        <v>43685</v>
      </c>
      <c r="L2590" s="211" t="s">
        <v>2106</v>
      </c>
      <c r="M2590" s="216">
        <v>4615445946</v>
      </c>
      <c r="N2590" s="212"/>
      <c r="O2590" s="218"/>
      <c r="P2590" s="219"/>
      <c r="Q2590" s="34">
        <f>SUMIF(Allocation[Delivery ID],Allocation[[#This Row],[Delivery ID]],Allocation[Quantity Processed])</f>
        <v>12680</v>
      </c>
      <c r="R2590" s="61">
        <f>Allocation[[#This Row],[Total volume used]]/VLOOKUP(Allocation[[#This Row],[Delivery ID]],Delivery[[Delivery ID]:[Quantity delivered]],3,FALSE)</f>
        <v>1</v>
      </c>
      <c r="S2590" s="34">
        <f>Allocation[[#This Row],[Quantity Processed]]/Allocation[[#This Row],[Dilution rate]]</f>
        <v>2899.655172413793</v>
      </c>
      <c r="T2590" s="59">
        <f>SUMIF(Allocation[Delivery ID],Allocation[[#This Row],[Delivery ID]],Allocation[Quantity allocated])/SUMIF(Allocation[Delivery ID],Allocation[[#This Row],[Delivery ID]],Allocation[Volume available (kg)])</f>
        <v>0.9029246948645121</v>
      </c>
      <c r="U2590" s="61">
        <f>Allocation[[#This Row],[Total volume used]]/VLOOKUP(Allocation[[#This Row],[Delivery ID]],Delivery[[Delivery ID]:[Quantity delivered]],3,FALSE)</f>
        <v>1</v>
      </c>
      <c r="V2590" s="34" t="e">
        <f>VLOOKUP(Allocation[[#This Row],[SAP Contract number]],Shipments[[SAP Contract number]:[Contracted container weight]],2,FALSE)</f>
        <v>#N/A</v>
      </c>
      <c r="W2590" s="34" t="e">
        <f>VLOOKUP(Allocation[[#This Row],[SAP Contract number]],Shipments[[SAP Contract number]:[AAA Premium USD]],24,FALSE)</f>
        <v>#N/A</v>
      </c>
      <c r="X2590" s="34" t="e">
        <f>VLOOKUP(Allocation[[#This Row],[SAP Contract number]],Shipments[[SAP Contract number]:[RA Premium USD]],25,FALSE)</f>
        <v>#N/A</v>
      </c>
      <c r="Y2590" s="38">
        <f>Allocation[[#This Row],[Quantity Processed]]/Allocation[[#This Row],[Quantity allocated]]</f>
        <v>3.0302702702702704</v>
      </c>
      <c r="Z2590" s="34" t="b">
        <f>Allocation[[#This Row],[Quantity allocated]]&lt;=Allocation[[#This Row],[Quantity Processed]]</f>
        <v>1</v>
      </c>
    </row>
    <row r="2591" spans="1:26">
      <c r="A2591" s="247" t="s">
        <v>467</v>
      </c>
      <c r="B2591" s="210" t="s">
        <v>68</v>
      </c>
      <c r="C2591" s="254" t="s">
        <v>2082</v>
      </c>
      <c r="D2591" s="255">
        <v>5600</v>
      </c>
      <c r="E2591" s="211" t="s">
        <v>2104</v>
      </c>
      <c r="F2591" s="212">
        <v>43661</v>
      </c>
      <c r="G2591" s="213">
        <v>2.9</v>
      </c>
      <c r="H2591" s="256">
        <v>2800</v>
      </c>
      <c r="I2591" s="214">
        <v>1482473</v>
      </c>
      <c r="J2591" s="215">
        <v>21600</v>
      </c>
      <c r="K2591" s="212">
        <v>43685</v>
      </c>
      <c r="L2591" s="211" t="s">
        <v>2106</v>
      </c>
      <c r="M2591" s="216">
        <v>4615445946</v>
      </c>
      <c r="N2591" s="212"/>
      <c r="O2591" s="218"/>
      <c r="P2591" s="219"/>
      <c r="Q2591" s="34">
        <f>SUMIF(Allocation[Delivery ID],Allocation[[#This Row],[Delivery ID]],Allocation[Quantity Processed])</f>
        <v>20600</v>
      </c>
      <c r="R2591" s="61">
        <f>Allocation[[#This Row],[Total volume used]]/VLOOKUP(Allocation[[#This Row],[Delivery ID]],Delivery[[Delivery ID]:[Quantity delivered]],3,FALSE)</f>
        <v>0.64375000000000004</v>
      </c>
      <c r="S2591" s="34">
        <f>Allocation[[#This Row],[Quantity Processed]]/Allocation[[#This Row],[Dilution rate]]</f>
        <v>1931.0344827586207</v>
      </c>
      <c r="T2591" s="59">
        <f>SUMIF(Allocation[Delivery ID],Allocation[[#This Row],[Delivery ID]],Allocation[Quantity allocated])/SUMIF(Allocation[Delivery ID],Allocation[[#This Row],[Delivery ID]],Allocation[Volume available (kg)])</f>
        <v>1.2590094836670178</v>
      </c>
      <c r="U2591" s="61">
        <f>Allocation[[#This Row],[Total volume used]]/VLOOKUP(Allocation[[#This Row],[Delivery ID]],Delivery[[Delivery ID]:[Quantity delivered]],3,FALSE)</f>
        <v>0.64375000000000004</v>
      </c>
      <c r="V2591" s="34" t="e">
        <f>VLOOKUP(Allocation[[#This Row],[SAP Contract number]],Shipments[[SAP Contract number]:[Contracted container weight]],2,FALSE)</f>
        <v>#N/A</v>
      </c>
      <c r="W2591" s="34" t="e">
        <f>VLOOKUP(Allocation[[#This Row],[SAP Contract number]],Shipments[[SAP Contract number]:[AAA Premium USD]],24,FALSE)</f>
        <v>#N/A</v>
      </c>
      <c r="X2591" s="34" t="e">
        <f>VLOOKUP(Allocation[[#This Row],[SAP Contract number]],Shipments[[SAP Contract number]:[RA Premium USD]],25,FALSE)</f>
        <v>#N/A</v>
      </c>
      <c r="Y2591" s="38">
        <f>Allocation[[#This Row],[Quantity Processed]]/Allocation[[#This Row],[Quantity allocated]]</f>
        <v>2</v>
      </c>
      <c r="Z2591" s="34" t="b">
        <f>Allocation[[#This Row],[Quantity allocated]]&lt;=Allocation[[#This Row],[Quantity Processed]]</f>
        <v>1</v>
      </c>
    </row>
    <row r="2592" spans="1:26">
      <c r="A2592" s="247" t="s">
        <v>467</v>
      </c>
      <c r="B2592" s="210" t="s">
        <v>68</v>
      </c>
      <c r="C2592" s="254" t="s">
        <v>2084</v>
      </c>
      <c r="D2592" s="255">
        <v>5606</v>
      </c>
      <c r="E2592" s="211" t="s">
        <v>2104</v>
      </c>
      <c r="F2592" s="212">
        <v>43661</v>
      </c>
      <c r="G2592" s="213">
        <v>2.9</v>
      </c>
      <c r="H2592" s="256">
        <v>2803</v>
      </c>
      <c r="I2592" s="214">
        <v>1482473</v>
      </c>
      <c r="J2592" s="215">
        <v>21600</v>
      </c>
      <c r="K2592" s="212">
        <v>43685</v>
      </c>
      <c r="L2592" s="211" t="s">
        <v>2106</v>
      </c>
      <c r="M2592" s="216">
        <v>4615445946</v>
      </c>
      <c r="N2592" s="212"/>
      <c r="O2592" s="218"/>
      <c r="P2592" s="219"/>
      <c r="Q2592" s="34">
        <f>SUMIF(Allocation[Delivery ID],Allocation[[#This Row],[Delivery ID]],Allocation[Quantity Processed])</f>
        <v>20938</v>
      </c>
      <c r="R2592" s="61">
        <f>Allocation[[#This Row],[Total volume used]]/VLOOKUP(Allocation[[#This Row],[Delivery ID]],Delivery[[Delivery ID]:[Quantity delivered]],3,FALSE)</f>
        <v>0.65288431555971316</v>
      </c>
      <c r="S2592" s="34">
        <f>Allocation[[#This Row],[Quantity Processed]]/Allocation[[#This Row],[Dilution rate]]</f>
        <v>1933.1034482758621</v>
      </c>
      <c r="T2592" s="59">
        <f>SUMIF(Allocation[Delivery ID],Allocation[[#This Row],[Delivery ID]],Allocation[Quantity allocated])/SUMIF(Allocation[Delivery ID],Allocation[[#This Row],[Delivery ID]],Allocation[Volume available (kg)])</f>
        <v>1.2580760119619041</v>
      </c>
      <c r="U2592" s="61">
        <f>Allocation[[#This Row],[Total volume used]]/VLOOKUP(Allocation[[#This Row],[Delivery ID]],Delivery[[Delivery ID]:[Quantity delivered]],3,FALSE)</f>
        <v>0.65288431555971316</v>
      </c>
      <c r="V2592" s="34" t="e">
        <f>VLOOKUP(Allocation[[#This Row],[SAP Contract number]],Shipments[[SAP Contract number]:[Contracted container weight]],2,FALSE)</f>
        <v>#N/A</v>
      </c>
      <c r="W2592" s="34" t="e">
        <f>VLOOKUP(Allocation[[#This Row],[SAP Contract number]],Shipments[[SAP Contract number]:[AAA Premium USD]],24,FALSE)</f>
        <v>#N/A</v>
      </c>
      <c r="X2592" s="34" t="e">
        <f>VLOOKUP(Allocation[[#This Row],[SAP Contract number]],Shipments[[SAP Contract number]:[RA Premium USD]],25,FALSE)</f>
        <v>#N/A</v>
      </c>
      <c r="Y2592" s="38">
        <f>Allocation[[#This Row],[Quantity Processed]]/Allocation[[#This Row],[Quantity allocated]]</f>
        <v>2</v>
      </c>
      <c r="Z2592" s="34" t="b">
        <f>Allocation[[#This Row],[Quantity allocated]]&lt;=Allocation[[#This Row],[Quantity Processed]]</f>
        <v>1</v>
      </c>
    </row>
    <row r="2593" spans="1:26">
      <c r="A2593" s="247" t="s">
        <v>467</v>
      </c>
      <c r="B2593" s="210" t="s">
        <v>68</v>
      </c>
      <c r="C2593" s="254" t="s">
        <v>1988</v>
      </c>
      <c r="D2593" s="255">
        <v>10094</v>
      </c>
      <c r="E2593" s="211" t="s">
        <v>2104</v>
      </c>
      <c r="F2593" s="212">
        <v>43661</v>
      </c>
      <c r="G2593" s="213">
        <v>2.9</v>
      </c>
      <c r="H2593" s="256">
        <v>3331</v>
      </c>
      <c r="I2593" s="214">
        <v>1482473</v>
      </c>
      <c r="J2593" s="215">
        <v>21600</v>
      </c>
      <c r="K2593" s="212">
        <v>43685</v>
      </c>
      <c r="L2593" s="211" t="s">
        <v>2106</v>
      </c>
      <c r="M2593" s="216">
        <v>4615445946</v>
      </c>
      <c r="N2593" s="212"/>
      <c r="O2593" s="218"/>
      <c r="P2593" s="219"/>
      <c r="Q2593" s="34">
        <f>SUMIF(Allocation[Delivery ID],Allocation[[#This Row],[Delivery ID]],Allocation[Quantity Processed])</f>
        <v>15210</v>
      </c>
      <c r="R2593" s="61">
        <f>Allocation[[#This Row],[Total volume used]]/VLOOKUP(Allocation[[#This Row],[Delivery ID]],Delivery[[Delivery ID]:[Quantity delivered]],3,FALSE)</f>
        <v>1</v>
      </c>
      <c r="S2593" s="34">
        <f>Allocation[[#This Row],[Quantity Processed]]/Allocation[[#This Row],[Dilution rate]]</f>
        <v>3480.6896551724139</v>
      </c>
      <c r="T2593" s="59">
        <f>SUMIF(Allocation[Delivery ID],Allocation[[#This Row],[Delivery ID]],Allocation[Quantity allocated])/SUMIF(Allocation[Delivery ID],Allocation[[#This Row],[Delivery ID]],Allocation[Volume available (kg)])</f>
        <v>0.90532384414520495</v>
      </c>
      <c r="U2593" s="61">
        <f>Allocation[[#This Row],[Total volume used]]/VLOOKUP(Allocation[[#This Row],[Delivery ID]],Delivery[[Delivery ID]:[Quantity delivered]],3,FALSE)</f>
        <v>1</v>
      </c>
      <c r="V2593" s="34" t="e">
        <f>VLOOKUP(Allocation[[#This Row],[SAP Contract number]],Shipments[[SAP Contract number]:[Contracted container weight]],2,FALSE)</f>
        <v>#N/A</v>
      </c>
      <c r="W2593" s="34" t="e">
        <f>VLOOKUP(Allocation[[#This Row],[SAP Contract number]],Shipments[[SAP Contract number]:[AAA Premium USD]],24,FALSE)</f>
        <v>#N/A</v>
      </c>
      <c r="X2593" s="34" t="e">
        <f>VLOOKUP(Allocation[[#This Row],[SAP Contract number]],Shipments[[SAP Contract number]:[RA Premium USD]],25,FALSE)</f>
        <v>#N/A</v>
      </c>
      <c r="Y2593" s="38">
        <f>Allocation[[#This Row],[Quantity Processed]]/Allocation[[#This Row],[Quantity allocated]]</f>
        <v>3.0303212248574001</v>
      </c>
      <c r="Z2593" s="34" t="b">
        <f>Allocation[[#This Row],[Quantity allocated]]&lt;=Allocation[[#This Row],[Quantity Processed]]</f>
        <v>1</v>
      </c>
    </row>
    <row r="2594" spans="1:26">
      <c r="A2594" s="247" t="s">
        <v>467</v>
      </c>
      <c r="B2594" s="210" t="s">
        <v>68</v>
      </c>
      <c r="C2594" s="254" t="s">
        <v>1987</v>
      </c>
      <c r="D2594" s="255">
        <v>6582</v>
      </c>
      <c r="E2594" s="211" t="s">
        <v>2104</v>
      </c>
      <c r="F2594" s="212">
        <v>43661</v>
      </c>
      <c r="G2594" s="213">
        <v>2.9</v>
      </c>
      <c r="H2594" s="256">
        <v>2172</v>
      </c>
      <c r="I2594" s="214">
        <v>1482473</v>
      </c>
      <c r="J2594" s="215">
        <v>21600</v>
      </c>
      <c r="K2594" s="212">
        <v>43685</v>
      </c>
      <c r="L2594" s="211" t="s">
        <v>2106</v>
      </c>
      <c r="M2594" s="216">
        <v>4615445946</v>
      </c>
      <c r="N2594" s="212"/>
      <c r="O2594" s="218"/>
      <c r="P2594" s="219"/>
      <c r="Q2594" s="34">
        <f>SUMIF(Allocation[Delivery ID],Allocation[[#This Row],[Delivery ID]],Allocation[Quantity Processed])</f>
        <v>15720</v>
      </c>
      <c r="R2594" s="61">
        <f>Allocation[[#This Row],[Total volume used]]/VLOOKUP(Allocation[[#This Row],[Delivery ID]],Delivery[[Delivery ID]:[Quantity delivered]],3,FALSE)</f>
        <v>1</v>
      </c>
      <c r="S2594" s="34">
        <f>Allocation[[#This Row],[Quantity Processed]]/Allocation[[#This Row],[Dilution rate]]</f>
        <v>2269.655172413793</v>
      </c>
      <c r="T2594" s="59">
        <f>SUMIF(Allocation[Delivery ID],Allocation[[#This Row],[Delivery ID]],Allocation[Quantity allocated])/SUMIF(Allocation[Delivery ID],Allocation[[#This Row],[Delivery ID]],Allocation[Volume available (kg)])</f>
        <v>0.90244564409885597</v>
      </c>
      <c r="U2594" s="61">
        <f>Allocation[[#This Row],[Total volume used]]/VLOOKUP(Allocation[[#This Row],[Delivery ID]],Delivery[[Delivery ID]:[Quantity delivered]],3,FALSE)</f>
        <v>1</v>
      </c>
      <c r="V2594" s="34" t="e">
        <f>VLOOKUP(Allocation[[#This Row],[SAP Contract number]],Shipments[[SAP Contract number]:[Contracted container weight]],2,FALSE)</f>
        <v>#N/A</v>
      </c>
      <c r="W2594" s="34" t="e">
        <f>VLOOKUP(Allocation[[#This Row],[SAP Contract number]],Shipments[[SAP Contract number]:[AAA Premium USD]],24,FALSE)</f>
        <v>#N/A</v>
      </c>
      <c r="X2594" s="34" t="e">
        <f>VLOOKUP(Allocation[[#This Row],[SAP Contract number]],Shipments[[SAP Contract number]:[RA Premium USD]],25,FALSE)</f>
        <v>#N/A</v>
      </c>
      <c r="Y2594" s="38">
        <f>Allocation[[#This Row],[Quantity Processed]]/Allocation[[#This Row],[Quantity allocated]]</f>
        <v>3.0303867403314917</v>
      </c>
      <c r="Z2594" s="34" t="b">
        <f>Allocation[[#This Row],[Quantity allocated]]&lt;=Allocation[[#This Row],[Quantity Processed]]</f>
        <v>1</v>
      </c>
    </row>
    <row r="2595" spans="1:26">
      <c r="A2595" s="247" t="s">
        <v>467</v>
      </c>
      <c r="B2595" s="210" t="s">
        <v>68</v>
      </c>
      <c r="C2595" s="254" t="s">
        <v>1987</v>
      </c>
      <c r="D2595" s="255">
        <v>3830</v>
      </c>
      <c r="E2595" s="211" t="s">
        <v>2104</v>
      </c>
      <c r="F2595" s="212">
        <v>43661</v>
      </c>
      <c r="G2595" s="213">
        <v>2.9</v>
      </c>
      <c r="H2595" s="256">
        <v>1264</v>
      </c>
      <c r="I2595" s="214">
        <v>1482474</v>
      </c>
      <c r="J2595" s="215">
        <v>21600</v>
      </c>
      <c r="K2595" s="212">
        <v>43685</v>
      </c>
      <c r="L2595" s="211" t="s">
        <v>2107</v>
      </c>
      <c r="M2595" s="216">
        <v>4615445946</v>
      </c>
      <c r="N2595" s="212"/>
      <c r="O2595" s="218"/>
      <c r="P2595" s="219"/>
      <c r="Q2595" s="34">
        <f>SUMIF(Allocation[Delivery ID],Allocation[[#This Row],[Delivery ID]],Allocation[Quantity Processed])</f>
        <v>15720</v>
      </c>
      <c r="R2595" s="61">
        <f>Allocation[[#This Row],[Total volume used]]/VLOOKUP(Allocation[[#This Row],[Delivery ID]],Delivery[[Delivery ID]:[Quantity delivered]],3,FALSE)</f>
        <v>1</v>
      </c>
      <c r="S2595" s="34">
        <f>Allocation[[#This Row],[Quantity Processed]]/Allocation[[#This Row],[Dilution rate]]</f>
        <v>1320.6896551724137</v>
      </c>
      <c r="T2595" s="59">
        <f>SUMIF(Allocation[Delivery ID],Allocation[[#This Row],[Delivery ID]],Allocation[Quantity allocated])/SUMIF(Allocation[Delivery ID],Allocation[[#This Row],[Delivery ID]],Allocation[Volume available (kg)])</f>
        <v>0.90244564409885597</v>
      </c>
      <c r="U2595" s="61">
        <f>Allocation[[#This Row],[Total volume used]]/VLOOKUP(Allocation[[#This Row],[Delivery ID]],Delivery[[Delivery ID]:[Quantity delivered]],3,FALSE)</f>
        <v>1</v>
      </c>
      <c r="V2595" s="34" t="e">
        <f>VLOOKUP(Allocation[[#This Row],[SAP Contract number]],Shipments[[SAP Contract number]:[Contracted container weight]],2,FALSE)</f>
        <v>#N/A</v>
      </c>
      <c r="W2595" s="34" t="e">
        <f>VLOOKUP(Allocation[[#This Row],[SAP Contract number]],Shipments[[SAP Contract number]:[AAA Premium USD]],24,FALSE)</f>
        <v>#N/A</v>
      </c>
      <c r="X2595" s="34" t="e">
        <f>VLOOKUP(Allocation[[#This Row],[SAP Contract number]],Shipments[[SAP Contract number]:[RA Premium USD]],25,FALSE)</f>
        <v>#N/A</v>
      </c>
      <c r="Y2595" s="38">
        <f>Allocation[[#This Row],[Quantity Processed]]/Allocation[[#This Row],[Quantity allocated]]</f>
        <v>3.0300632911392404</v>
      </c>
      <c r="Z2595" s="34" t="b">
        <f>Allocation[[#This Row],[Quantity allocated]]&lt;=Allocation[[#This Row],[Quantity Processed]]</f>
        <v>1</v>
      </c>
    </row>
    <row r="2596" spans="1:26">
      <c r="A2596" s="247" t="s">
        <v>467</v>
      </c>
      <c r="B2596" s="210" t="s">
        <v>68</v>
      </c>
      <c r="C2596" s="254" t="s">
        <v>1299</v>
      </c>
      <c r="D2596" s="255">
        <v>10606</v>
      </c>
      <c r="E2596" s="211" t="s">
        <v>2104</v>
      </c>
      <c r="F2596" s="212">
        <v>43661</v>
      </c>
      <c r="G2596" s="213">
        <v>2.9</v>
      </c>
      <c r="H2596" s="256">
        <v>3500</v>
      </c>
      <c r="I2596" s="214">
        <v>1482474</v>
      </c>
      <c r="J2596" s="215">
        <v>21600</v>
      </c>
      <c r="K2596" s="212">
        <v>43685</v>
      </c>
      <c r="L2596" s="211" t="s">
        <v>2107</v>
      </c>
      <c r="M2596" s="216">
        <v>4615445946</v>
      </c>
      <c r="N2596" s="212"/>
      <c r="O2596" s="218"/>
      <c r="P2596" s="219"/>
      <c r="Q2596" s="34">
        <f>SUMIF(Allocation[Delivery ID],Allocation[[#This Row],[Delivery ID]],Allocation[Quantity Processed])</f>
        <v>29953</v>
      </c>
      <c r="R2596" s="61">
        <f>Allocation[[#This Row],[Total volume used]]/VLOOKUP(Allocation[[#This Row],[Delivery ID]],Delivery[[Delivery ID]:[Quantity delivered]],3,FALSE)</f>
        <v>1</v>
      </c>
      <c r="S2596" s="34">
        <f>Allocation[[#This Row],[Quantity Processed]]/Allocation[[#This Row],[Dilution rate]]</f>
        <v>3657.2413793103451</v>
      </c>
      <c r="T2596" s="59">
        <f>SUMIF(Allocation[Delivery ID],Allocation[[#This Row],[Delivery ID]],Allocation[Quantity allocated])/SUMIF(Allocation[Delivery ID],Allocation[[#This Row],[Delivery ID]],Allocation[Volume available (kg)])</f>
        <v>0.94412108025696206</v>
      </c>
      <c r="U2596" s="61">
        <f>Allocation[[#This Row],[Total volume used]]/VLOOKUP(Allocation[[#This Row],[Delivery ID]],Delivery[[Delivery ID]:[Quantity delivered]],3,FALSE)</f>
        <v>1</v>
      </c>
      <c r="V2596" s="34" t="e">
        <f>VLOOKUP(Allocation[[#This Row],[SAP Contract number]],Shipments[[SAP Contract number]:[Contracted container weight]],2,FALSE)</f>
        <v>#N/A</v>
      </c>
      <c r="W2596" s="34" t="e">
        <f>VLOOKUP(Allocation[[#This Row],[SAP Contract number]],Shipments[[SAP Contract number]:[AAA Premium USD]],24,FALSE)</f>
        <v>#N/A</v>
      </c>
      <c r="X2596" s="34" t="e">
        <f>VLOOKUP(Allocation[[#This Row],[SAP Contract number]],Shipments[[SAP Contract number]:[RA Premium USD]],25,FALSE)</f>
        <v>#N/A</v>
      </c>
      <c r="Y2596" s="38">
        <f>Allocation[[#This Row],[Quantity Processed]]/Allocation[[#This Row],[Quantity allocated]]</f>
        <v>3.0302857142857142</v>
      </c>
      <c r="Z2596" s="34" t="b">
        <f>Allocation[[#This Row],[Quantity allocated]]&lt;=Allocation[[#This Row],[Quantity Processed]]</f>
        <v>1</v>
      </c>
    </row>
    <row r="2597" spans="1:26">
      <c r="A2597" s="247" t="s">
        <v>467</v>
      </c>
      <c r="B2597" s="210" t="s">
        <v>68</v>
      </c>
      <c r="C2597" s="254" t="s">
        <v>2004</v>
      </c>
      <c r="D2597" s="255">
        <v>11267</v>
      </c>
      <c r="E2597" s="211" t="s">
        <v>2104</v>
      </c>
      <c r="F2597" s="212">
        <v>43661</v>
      </c>
      <c r="G2597" s="213">
        <v>2.9</v>
      </c>
      <c r="H2597" s="256">
        <v>3718</v>
      </c>
      <c r="I2597" s="214">
        <v>1482474</v>
      </c>
      <c r="J2597" s="215">
        <v>21600</v>
      </c>
      <c r="K2597" s="212">
        <v>43685</v>
      </c>
      <c r="L2597" s="211" t="s">
        <v>2107</v>
      </c>
      <c r="M2597" s="216">
        <v>4615445946</v>
      </c>
      <c r="N2597" s="212"/>
      <c r="O2597" s="218"/>
      <c r="P2597" s="219"/>
      <c r="Q2597" s="34">
        <f>SUMIF(Allocation[Delivery ID],Allocation[[#This Row],[Delivery ID]],Allocation[Quantity Processed])</f>
        <v>16960</v>
      </c>
      <c r="R2597" s="61">
        <f>Allocation[[#This Row],[Total volume used]]/VLOOKUP(Allocation[[#This Row],[Delivery ID]],Delivery[[Delivery ID]:[Quantity delivered]],3,FALSE)</f>
        <v>1</v>
      </c>
      <c r="S2597" s="34">
        <f>Allocation[[#This Row],[Quantity Processed]]/Allocation[[#This Row],[Dilution rate]]</f>
        <v>3885.1724137931037</v>
      </c>
      <c r="T2597" s="59">
        <f>SUMIF(Allocation[Delivery ID],Allocation[[#This Row],[Delivery ID]],Allocation[Quantity allocated])/SUMIF(Allocation[Delivery ID],Allocation[[#This Row],[Delivery ID]],Allocation[Volume available (kg)])</f>
        <v>0.89783768269021014</v>
      </c>
      <c r="U2597" s="61">
        <f>Allocation[[#This Row],[Total volume used]]/VLOOKUP(Allocation[[#This Row],[Delivery ID]],Delivery[[Delivery ID]:[Quantity delivered]],3,FALSE)</f>
        <v>1</v>
      </c>
      <c r="V2597" s="34" t="e">
        <f>VLOOKUP(Allocation[[#This Row],[SAP Contract number]],Shipments[[SAP Contract number]:[Contracted container weight]],2,FALSE)</f>
        <v>#N/A</v>
      </c>
      <c r="W2597" s="34" t="e">
        <f>VLOOKUP(Allocation[[#This Row],[SAP Contract number]],Shipments[[SAP Contract number]:[AAA Premium USD]],24,FALSE)</f>
        <v>#N/A</v>
      </c>
      <c r="X2597" s="34" t="e">
        <f>VLOOKUP(Allocation[[#This Row],[SAP Contract number]],Shipments[[SAP Contract number]:[RA Premium USD]],25,FALSE)</f>
        <v>#N/A</v>
      </c>
      <c r="Y2597" s="38">
        <f>Allocation[[#This Row],[Quantity Processed]]/Allocation[[#This Row],[Quantity allocated]]</f>
        <v>3.030392684238838</v>
      </c>
      <c r="Z2597" s="34" t="b">
        <f>Allocation[[#This Row],[Quantity allocated]]&lt;=Allocation[[#This Row],[Quantity Processed]]</f>
        <v>1</v>
      </c>
    </row>
    <row r="2598" spans="1:26">
      <c r="A2598" s="247" t="s">
        <v>467</v>
      </c>
      <c r="B2598" s="210" t="s">
        <v>68</v>
      </c>
      <c r="C2598" s="254" t="s">
        <v>2020</v>
      </c>
      <c r="D2598" s="255">
        <v>10340</v>
      </c>
      <c r="E2598" s="211" t="s">
        <v>2104</v>
      </c>
      <c r="F2598" s="212">
        <v>43661</v>
      </c>
      <c r="G2598" s="213">
        <v>2.9</v>
      </c>
      <c r="H2598" s="256">
        <v>3750</v>
      </c>
      <c r="I2598" s="214">
        <v>1482474</v>
      </c>
      <c r="J2598" s="215">
        <v>21600</v>
      </c>
      <c r="K2598" s="212">
        <v>43685</v>
      </c>
      <c r="L2598" s="211" t="s">
        <v>2107</v>
      </c>
      <c r="M2598" s="216">
        <v>4615445946</v>
      </c>
      <c r="N2598" s="212"/>
      <c r="O2598" s="218"/>
      <c r="P2598" s="219"/>
      <c r="Q2598" s="34">
        <f>SUMIF(Allocation[Delivery ID],Allocation[[#This Row],[Delivery ID]],Allocation[Quantity Processed])</f>
        <v>10340</v>
      </c>
      <c r="R2598" s="61">
        <f>Allocation[[#This Row],[Total volume used]]/VLOOKUP(Allocation[[#This Row],[Delivery ID]],Delivery[[Delivery ID]:[Quantity delivered]],3,FALSE)</f>
        <v>1</v>
      </c>
      <c r="S2598" s="34">
        <f>Allocation[[#This Row],[Quantity Processed]]/Allocation[[#This Row],[Dilution rate]]</f>
        <v>3565.5172413793102</v>
      </c>
      <c r="T2598" s="59">
        <f>SUMIF(Allocation[Delivery ID],Allocation[[#This Row],[Delivery ID]],Allocation[Quantity allocated])/SUMIF(Allocation[Delivery ID],Allocation[[#This Row],[Delivery ID]],Allocation[Volume available (kg)])</f>
        <v>1.0517408123791103</v>
      </c>
      <c r="U2598" s="61">
        <f>Allocation[[#This Row],[Total volume used]]/VLOOKUP(Allocation[[#This Row],[Delivery ID]],Delivery[[Delivery ID]:[Quantity delivered]],3,FALSE)</f>
        <v>1</v>
      </c>
      <c r="V2598" s="34" t="e">
        <f>VLOOKUP(Allocation[[#This Row],[SAP Contract number]],Shipments[[SAP Contract number]:[Contracted container weight]],2,FALSE)</f>
        <v>#N/A</v>
      </c>
      <c r="W2598" s="34" t="e">
        <f>VLOOKUP(Allocation[[#This Row],[SAP Contract number]],Shipments[[SAP Contract number]:[AAA Premium USD]],24,FALSE)</f>
        <v>#N/A</v>
      </c>
      <c r="X2598" s="34" t="e">
        <f>VLOOKUP(Allocation[[#This Row],[SAP Contract number]],Shipments[[SAP Contract number]:[RA Premium USD]],25,FALSE)</f>
        <v>#N/A</v>
      </c>
      <c r="Y2598" s="38">
        <f>Allocation[[#This Row],[Quantity Processed]]/Allocation[[#This Row],[Quantity allocated]]</f>
        <v>2.7573333333333334</v>
      </c>
      <c r="Z2598" s="34" t="b">
        <f>Allocation[[#This Row],[Quantity allocated]]&lt;=Allocation[[#This Row],[Quantity Processed]]</f>
        <v>1</v>
      </c>
    </row>
    <row r="2599" spans="1:26">
      <c r="A2599" s="247" t="s">
        <v>467</v>
      </c>
      <c r="B2599" s="210" t="s">
        <v>68</v>
      </c>
      <c r="C2599" s="254" t="s">
        <v>2006</v>
      </c>
      <c r="D2599" s="255">
        <v>11600</v>
      </c>
      <c r="E2599" s="211" t="s">
        <v>2104</v>
      </c>
      <c r="F2599" s="212">
        <v>43661</v>
      </c>
      <c r="G2599" s="213">
        <v>2.9</v>
      </c>
      <c r="H2599" s="256">
        <v>3828</v>
      </c>
      <c r="I2599" s="214">
        <v>1482474</v>
      </c>
      <c r="J2599" s="215">
        <v>21600</v>
      </c>
      <c r="K2599" s="212">
        <v>43685</v>
      </c>
      <c r="L2599" s="211" t="s">
        <v>2107</v>
      </c>
      <c r="M2599" s="216">
        <v>4615445946</v>
      </c>
      <c r="N2599" s="212"/>
      <c r="O2599" s="218"/>
      <c r="P2599" s="219"/>
      <c r="Q2599" s="34">
        <f>SUMIF(Allocation[Delivery ID],Allocation[[#This Row],[Delivery ID]],Allocation[Quantity Processed])</f>
        <v>17540</v>
      </c>
      <c r="R2599" s="61">
        <f>Allocation[[#This Row],[Total volume used]]/VLOOKUP(Allocation[[#This Row],[Delivery ID]],Delivery[[Delivery ID]:[Quantity delivered]],3,FALSE)</f>
        <v>1</v>
      </c>
      <c r="S2599" s="34">
        <f>Allocation[[#This Row],[Quantity Processed]]/Allocation[[#This Row],[Dilution rate]]</f>
        <v>4000</v>
      </c>
      <c r="T2599" s="59">
        <f>SUMIF(Allocation[Delivery ID],Allocation[[#This Row],[Delivery ID]],Allocation[Quantity allocated])/SUMIF(Allocation[Delivery ID],Allocation[[#This Row],[Delivery ID]],Allocation[Volume available (kg)])</f>
        <v>0.90007722007722013</v>
      </c>
      <c r="U2599" s="61">
        <f>Allocation[[#This Row],[Total volume used]]/VLOOKUP(Allocation[[#This Row],[Delivery ID]],Delivery[[Delivery ID]:[Quantity delivered]],3,FALSE)</f>
        <v>1</v>
      </c>
      <c r="V2599" s="34" t="e">
        <f>VLOOKUP(Allocation[[#This Row],[SAP Contract number]],Shipments[[SAP Contract number]:[Contracted container weight]],2,FALSE)</f>
        <v>#N/A</v>
      </c>
      <c r="W2599" s="34" t="e">
        <f>VLOOKUP(Allocation[[#This Row],[SAP Contract number]],Shipments[[SAP Contract number]:[AAA Premium USD]],24,FALSE)</f>
        <v>#N/A</v>
      </c>
      <c r="X2599" s="34" t="e">
        <f>VLOOKUP(Allocation[[#This Row],[SAP Contract number]],Shipments[[SAP Contract number]:[RA Premium USD]],25,FALSE)</f>
        <v>#N/A</v>
      </c>
      <c r="Y2599" s="38">
        <f>Allocation[[#This Row],[Quantity Processed]]/Allocation[[#This Row],[Quantity allocated]]</f>
        <v>3.0303030303030303</v>
      </c>
      <c r="Z2599" s="34" t="b">
        <f>Allocation[[#This Row],[Quantity allocated]]&lt;=Allocation[[#This Row],[Quantity Processed]]</f>
        <v>1</v>
      </c>
    </row>
    <row r="2600" spans="1:26">
      <c r="A2600" s="247" t="s">
        <v>467</v>
      </c>
      <c r="B2600" s="210" t="s">
        <v>68</v>
      </c>
      <c r="C2600" s="254" t="s">
        <v>1997</v>
      </c>
      <c r="D2600" s="255">
        <v>11630</v>
      </c>
      <c r="E2600" s="211" t="s">
        <v>2104</v>
      </c>
      <c r="F2600" s="212">
        <v>43661</v>
      </c>
      <c r="G2600" s="213">
        <v>2.9</v>
      </c>
      <c r="H2600" s="256">
        <v>3838</v>
      </c>
      <c r="I2600" s="214">
        <v>1482474</v>
      </c>
      <c r="J2600" s="215">
        <v>21600</v>
      </c>
      <c r="K2600" s="212">
        <v>43685</v>
      </c>
      <c r="L2600" s="211" t="s">
        <v>2107</v>
      </c>
      <c r="M2600" s="216">
        <v>4615445946</v>
      </c>
      <c r="N2600" s="212"/>
      <c r="O2600" s="218"/>
      <c r="P2600" s="219"/>
      <c r="Q2600" s="34">
        <f>SUMIF(Allocation[Delivery ID],Allocation[[#This Row],[Delivery ID]],Allocation[Quantity Processed])</f>
        <v>17510</v>
      </c>
      <c r="R2600" s="61">
        <f>Allocation[[#This Row],[Total volume used]]/VLOOKUP(Allocation[[#This Row],[Delivery ID]],Delivery[[Delivery ID]:[Quantity delivered]],3,FALSE)</f>
        <v>1</v>
      </c>
      <c r="S2600" s="34">
        <f>Allocation[[#This Row],[Quantity Processed]]/Allocation[[#This Row],[Dilution rate]]</f>
        <v>4010.344827586207</v>
      </c>
      <c r="T2600" s="59">
        <f>SUMIF(Allocation[Delivery ID],Allocation[[#This Row],[Delivery ID]],Allocation[Quantity allocated])/SUMIF(Allocation[Delivery ID],Allocation[[#This Row],[Delivery ID]],Allocation[Volume available (kg)])</f>
        <v>0.90366693354683747</v>
      </c>
      <c r="U2600" s="61">
        <f>Allocation[[#This Row],[Total volume used]]/VLOOKUP(Allocation[[#This Row],[Delivery ID]],Delivery[[Delivery ID]:[Quantity delivered]],3,FALSE)</f>
        <v>1</v>
      </c>
      <c r="V2600" s="34" t="e">
        <f>VLOOKUP(Allocation[[#This Row],[SAP Contract number]],Shipments[[SAP Contract number]:[Contracted container weight]],2,FALSE)</f>
        <v>#N/A</v>
      </c>
      <c r="W2600" s="34" t="e">
        <f>VLOOKUP(Allocation[[#This Row],[SAP Contract number]],Shipments[[SAP Contract number]:[AAA Premium USD]],24,FALSE)</f>
        <v>#N/A</v>
      </c>
      <c r="X2600" s="34" t="e">
        <f>VLOOKUP(Allocation[[#This Row],[SAP Contract number]],Shipments[[SAP Contract number]:[RA Premium USD]],25,FALSE)</f>
        <v>#N/A</v>
      </c>
      <c r="Y2600" s="38">
        <f>Allocation[[#This Row],[Quantity Processed]]/Allocation[[#This Row],[Quantity allocated]]</f>
        <v>3.030224075039083</v>
      </c>
      <c r="Z2600" s="34" t="b">
        <f>Allocation[[#This Row],[Quantity allocated]]&lt;=Allocation[[#This Row],[Quantity Processed]]</f>
        <v>1</v>
      </c>
    </row>
    <row r="2601" spans="1:26">
      <c r="A2601" s="247" t="s">
        <v>467</v>
      </c>
      <c r="B2601" s="210" t="s">
        <v>68</v>
      </c>
      <c r="C2601" s="254" t="s">
        <v>2005</v>
      </c>
      <c r="D2601" s="255">
        <v>5157</v>
      </c>
      <c r="E2601" s="211" t="s">
        <v>2104</v>
      </c>
      <c r="F2601" s="212">
        <v>43661</v>
      </c>
      <c r="G2601" s="213">
        <v>2.9</v>
      </c>
      <c r="H2601" s="256">
        <v>1702</v>
      </c>
      <c r="I2601" s="214">
        <v>1482474</v>
      </c>
      <c r="J2601" s="215">
        <v>21600</v>
      </c>
      <c r="K2601" s="212">
        <v>43685</v>
      </c>
      <c r="L2601" s="211" t="s">
        <v>2107</v>
      </c>
      <c r="M2601" s="216">
        <v>4615445946</v>
      </c>
      <c r="N2601" s="212"/>
      <c r="O2601" s="218"/>
      <c r="P2601" s="219"/>
      <c r="Q2601" s="34">
        <f>SUMIF(Allocation[Delivery ID],Allocation[[#This Row],[Delivery ID]],Allocation[Quantity Processed])</f>
        <v>17840</v>
      </c>
      <c r="R2601" s="61">
        <f>Allocation[[#This Row],[Total volume used]]/VLOOKUP(Allocation[[#This Row],[Delivery ID]],Delivery[[Delivery ID]:[Quantity delivered]],3,FALSE)</f>
        <v>1</v>
      </c>
      <c r="S2601" s="34">
        <f>Allocation[[#This Row],[Quantity Processed]]/Allocation[[#This Row],[Dilution rate]]</f>
        <v>1778.2758620689656</v>
      </c>
      <c r="T2601" s="59">
        <f>SUMIF(Allocation[Delivery ID],Allocation[[#This Row],[Delivery ID]],Allocation[Quantity allocated])/SUMIF(Allocation[Delivery ID],Allocation[[#This Row],[Delivery ID]],Allocation[Volume available (kg)])</f>
        <v>0.89733436644003794</v>
      </c>
      <c r="U2601" s="61">
        <f>Allocation[[#This Row],[Total volume used]]/VLOOKUP(Allocation[[#This Row],[Delivery ID]],Delivery[[Delivery ID]:[Quantity delivered]],3,FALSE)</f>
        <v>1</v>
      </c>
      <c r="V2601" s="34" t="e">
        <f>VLOOKUP(Allocation[[#This Row],[SAP Contract number]],Shipments[[SAP Contract number]:[Contracted container weight]],2,FALSE)</f>
        <v>#N/A</v>
      </c>
      <c r="W2601" s="34" t="e">
        <f>VLOOKUP(Allocation[[#This Row],[SAP Contract number]],Shipments[[SAP Contract number]:[AAA Premium USD]],24,FALSE)</f>
        <v>#N/A</v>
      </c>
      <c r="X2601" s="34" t="e">
        <f>VLOOKUP(Allocation[[#This Row],[SAP Contract number]],Shipments[[SAP Contract number]:[RA Premium USD]],25,FALSE)</f>
        <v>#N/A</v>
      </c>
      <c r="Y2601" s="38">
        <f>Allocation[[#This Row],[Quantity Processed]]/Allocation[[#This Row],[Quantity allocated]]</f>
        <v>3.0299647473560518</v>
      </c>
      <c r="Z2601" s="34" t="b">
        <f>Allocation[[#This Row],[Quantity allocated]]&lt;=Allocation[[#This Row],[Quantity Processed]]</f>
        <v>1</v>
      </c>
    </row>
    <row r="2602" spans="1:26">
      <c r="A2602" s="247" t="s">
        <v>467</v>
      </c>
      <c r="B2602" s="210" t="s">
        <v>68</v>
      </c>
      <c r="C2602" s="254" t="s">
        <v>2005</v>
      </c>
      <c r="D2602" s="255">
        <v>6682</v>
      </c>
      <c r="E2602" s="211" t="s">
        <v>2104</v>
      </c>
      <c r="F2602" s="212">
        <v>43661</v>
      </c>
      <c r="G2602" s="213">
        <v>2.9</v>
      </c>
      <c r="H2602" s="256">
        <v>2205</v>
      </c>
      <c r="I2602" s="214">
        <v>1482475</v>
      </c>
      <c r="J2602" s="215">
        <v>21600</v>
      </c>
      <c r="K2602" s="212">
        <v>43685</v>
      </c>
      <c r="L2602" s="211" t="s">
        <v>2108</v>
      </c>
      <c r="M2602" s="216">
        <v>4615445946</v>
      </c>
      <c r="N2602" s="212"/>
      <c r="O2602" s="218"/>
      <c r="P2602" s="219"/>
      <c r="Q2602" s="34">
        <f>SUMIF(Allocation[Delivery ID],Allocation[[#This Row],[Delivery ID]],Allocation[Quantity Processed])</f>
        <v>17840</v>
      </c>
      <c r="R2602" s="61">
        <f>Allocation[[#This Row],[Total volume used]]/VLOOKUP(Allocation[[#This Row],[Delivery ID]],Delivery[[Delivery ID]:[Quantity delivered]],3,FALSE)</f>
        <v>1</v>
      </c>
      <c r="S2602" s="34">
        <f>Allocation[[#This Row],[Quantity Processed]]/Allocation[[#This Row],[Dilution rate]]</f>
        <v>2304.1379310344828</v>
      </c>
      <c r="T2602" s="59">
        <f>SUMIF(Allocation[Delivery ID],Allocation[[#This Row],[Delivery ID]],Allocation[Quantity allocated])/SUMIF(Allocation[Delivery ID],Allocation[[#This Row],[Delivery ID]],Allocation[Volume available (kg)])</f>
        <v>0.89733436644003794</v>
      </c>
      <c r="U2602" s="61">
        <f>Allocation[[#This Row],[Total volume used]]/VLOOKUP(Allocation[[#This Row],[Delivery ID]],Delivery[[Delivery ID]:[Quantity delivered]],3,FALSE)</f>
        <v>1</v>
      </c>
      <c r="V2602" s="34" t="e">
        <f>VLOOKUP(Allocation[[#This Row],[SAP Contract number]],Shipments[[SAP Contract number]:[Contracted container weight]],2,FALSE)</f>
        <v>#N/A</v>
      </c>
      <c r="W2602" s="34" t="e">
        <f>VLOOKUP(Allocation[[#This Row],[SAP Contract number]],Shipments[[SAP Contract number]:[AAA Premium USD]],24,FALSE)</f>
        <v>#N/A</v>
      </c>
      <c r="X2602" s="34" t="e">
        <f>VLOOKUP(Allocation[[#This Row],[SAP Contract number]],Shipments[[SAP Contract number]:[RA Premium USD]],25,FALSE)</f>
        <v>#N/A</v>
      </c>
      <c r="Y2602" s="38">
        <f>Allocation[[#This Row],[Quantity Processed]]/Allocation[[#This Row],[Quantity allocated]]</f>
        <v>3.0303854875283447</v>
      </c>
      <c r="Z2602" s="34" t="b">
        <f>Allocation[[#This Row],[Quantity allocated]]&lt;=Allocation[[#This Row],[Quantity Processed]]</f>
        <v>1</v>
      </c>
    </row>
    <row r="2603" spans="1:26">
      <c r="A2603" s="247" t="s">
        <v>467</v>
      </c>
      <c r="B2603" s="210" t="s">
        <v>68</v>
      </c>
      <c r="C2603" s="254" t="s">
        <v>2007</v>
      </c>
      <c r="D2603" s="255">
        <v>16667</v>
      </c>
      <c r="E2603" s="211" t="s">
        <v>2104</v>
      </c>
      <c r="F2603" s="212">
        <v>43661</v>
      </c>
      <c r="G2603" s="213">
        <v>2.9</v>
      </c>
      <c r="H2603" s="256">
        <v>5500</v>
      </c>
      <c r="I2603" s="214">
        <v>1482475</v>
      </c>
      <c r="J2603" s="215">
        <v>21600</v>
      </c>
      <c r="K2603" s="212">
        <v>43685</v>
      </c>
      <c r="L2603" s="211" t="s">
        <v>2108</v>
      </c>
      <c r="M2603" s="216">
        <v>4615445946</v>
      </c>
      <c r="N2603" s="212"/>
      <c r="O2603" s="218"/>
      <c r="P2603" s="219"/>
      <c r="Q2603" s="34">
        <f>SUMIF(Allocation[Delivery ID],Allocation[[#This Row],[Delivery ID]],Allocation[Quantity Processed])</f>
        <v>19130</v>
      </c>
      <c r="R2603" s="61">
        <f>Allocation[[#This Row],[Total volume used]]/VLOOKUP(Allocation[[#This Row],[Delivery ID]],Delivery[[Delivery ID]:[Quantity delivered]],3,FALSE)</f>
        <v>1</v>
      </c>
      <c r="S2603" s="34">
        <f>Allocation[[#This Row],[Quantity Processed]]/Allocation[[#This Row],[Dilution rate]]</f>
        <v>5747.2413793103451</v>
      </c>
      <c r="T2603" s="59">
        <f>SUMIF(Allocation[Delivery ID],Allocation[[#This Row],[Delivery ID]],Allocation[Quantity allocated])/SUMIF(Allocation[Delivery ID],Allocation[[#This Row],[Delivery ID]],Allocation[Volume available (kg)])</f>
        <v>0.93747812529829133</v>
      </c>
      <c r="U2603" s="61">
        <f>Allocation[[#This Row],[Total volume used]]/VLOOKUP(Allocation[[#This Row],[Delivery ID]],Delivery[[Delivery ID]:[Quantity delivered]],3,FALSE)</f>
        <v>1</v>
      </c>
      <c r="V2603" s="34" t="e">
        <f>VLOOKUP(Allocation[[#This Row],[SAP Contract number]],Shipments[[SAP Contract number]:[Contracted container weight]],2,FALSE)</f>
        <v>#N/A</v>
      </c>
      <c r="W2603" s="34" t="e">
        <f>VLOOKUP(Allocation[[#This Row],[SAP Contract number]],Shipments[[SAP Contract number]:[AAA Premium USD]],24,FALSE)</f>
        <v>#N/A</v>
      </c>
      <c r="X2603" s="34" t="e">
        <f>VLOOKUP(Allocation[[#This Row],[SAP Contract number]],Shipments[[SAP Contract number]:[RA Premium USD]],25,FALSE)</f>
        <v>#N/A</v>
      </c>
      <c r="Y2603" s="38">
        <f>Allocation[[#This Row],[Quantity Processed]]/Allocation[[#This Row],[Quantity allocated]]</f>
        <v>3.0303636363636364</v>
      </c>
      <c r="Z2603" s="34" t="b">
        <f>Allocation[[#This Row],[Quantity allocated]]&lt;=Allocation[[#This Row],[Quantity Processed]]</f>
        <v>1</v>
      </c>
    </row>
    <row r="2604" spans="1:26">
      <c r="A2604" s="247" t="s">
        <v>467</v>
      </c>
      <c r="B2604" s="210" t="s">
        <v>68</v>
      </c>
      <c r="C2604" s="254" t="s">
        <v>1991</v>
      </c>
      <c r="D2604" s="255">
        <v>18640</v>
      </c>
      <c r="E2604" s="211" t="s">
        <v>2104</v>
      </c>
      <c r="F2604" s="212">
        <v>43661</v>
      </c>
      <c r="G2604" s="213">
        <v>2.9</v>
      </c>
      <c r="H2604" s="256">
        <v>6200</v>
      </c>
      <c r="I2604" s="214">
        <v>1482475</v>
      </c>
      <c r="J2604" s="215">
        <v>21600</v>
      </c>
      <c r="K2604" s="212">
        <v>43685</v>
      </c>
      <c r="L2604" s="211" t="s">
        <v>2108</v>
      </c>
      <c r="M2604" s="216">
        <v>4615445946</v>
      </c>
      <c r="N2604" s="212"/>
      <c r="O2604" s="218"/>
      <c r="P2604" s="219"/>
      <c r="Q2604" s="34">
        <f>SUMIF(Allocation[Delivery ID],Allocation[[#This Row],[Delivery ID]],Allocation[Quantity Processed])</f>
        <v>18640</v>
      </c>
      <c r="R2604" s="61">
        <f>Allocation[[#This Row],[Total volume used]]/VLOOKUP(Allocation[[#This Row],[Delivery ID]],Delivery[[Delivery ID]:[Quantity delivered]],3,FALSE)</f>
        <v>1</v>
      </c>
      <c r="S2604" s="34">
        <f>Allocation[[#This Row],[Quantity Processed]]/Allocation[[#This Row],[Dilution rate]]</f>
        <v>6427.5862068965516</v>
      </c>
      <c r="T2604" s="59">
        <f>SUMIF(Allocation[Delivery ID],Allocation[[#This Row],[Delivery ID]],Allocation[Quantity allocated])/SUMIF(Allocation[Delivery ID],Allocation[[#This Row],[Delivery ID]],Allocation[Volume available (kg)])</f>
        <v>0.96459227467811159</v>
      </c>
      <c r="U2604" s="61">
        <f>Allocation[[#This Row],[Total volume used]]/VLOOKUP(Allocation[[#This Row],[Delivery ID]],Delivery[[Delivery ID]:[Quantity delivered]],3,FALSE)</f>
        <v>1</v>
      </c>
      <c r="V2604" s="34" t="e">
        <f>VLOOKUP(Allocation[[#This Row],[SAP Contract number]],Shipments[[SAP Contract number]:[Contracted container weight]],2,FALSE)</f>
        <v>#N/A</v>
      </c>
      <c r="W2604" s="34" t="e">
        <f>VLOOKUP(Allocation[[#This Row],[SAP Contract number]],Shipments[[SAP Contract number]:[AAA Premium USD]],24,FALSE)</f>
        <v>#N/A</v>
      </c>
      <c r="X2604" s="34" t="e">
        <f>VLOOKUP(Allocation[[#This Row],[SAP Contract number]],Shipments[[SAP Contract number]:[RA Premium USD]],25,FALSE)</f>
        <v>#N/A</v>
      </c>
      <c r="Y2604" s="38">
        <f>Allocation[[#This Row],[Quantity Processed]]/Allocation[[#This Row],[Quantity allocated]]</f>
        <v>3.0064516129032257</v>
      </c>
      <c r="Z2604" s="34" t="b">
        <f>Allocation[[#This Row],[Quantity allocated]]&lt;=Allocation[[#This Row],[Quantity Processed]]</f>
        <v>1</v>
      </c>
    </row>
    <row r="2605" spans="1:26">
      <c r="A2605" s="247" t="s">
        <v>467</v>
      </c>
      <c r="B2605" s="210" t="s">
        <v>68</v>
      </c>
      <c r="C2605" s="254" t="s">
        <v>1984</v>
      </c>
      <c r="D2605" s="255">
        <v>14084</v>
      </c>
      <c r="E2605" s="211" t="s">
        <v>2104</v>
      </c>
      <c r="F2605" s="212">
        <v>43661</v>
      </c>
      <c r="G2605" s="213">
        <v>2.9</v>
      </c>
      <c r="H2605" s="256">
        <v>7042</v>
      </c>
      <c r="I2605" s="214">
        <v>1482475</v>
      </c>
      <c r="J2605" s="215">
        <v>21600</v>
      </c>
      <c r="K2605" s="212">
        <v>43685</v>
      </c>
      <c r="L2605" s="211" t="s">
        <v>2108</v>
      </c>
      <c r="M2605" s="216">
        <v>4615445946</v>
      </c>
      <c r="N2605" s="212"/>
      <c r="O2605" s="218"/>
      <c r="P2605" s="219"/>
      <c r="Q2605" s="34">
        <f>SUMIF(Allocation[Delivery ID],Allocation[[#This Row],[Delivery ID]],Allocation[Quantity Processed])</f>
        <v>16084</v>
      </c>
      <c r="R2605" s="61">
        <f>Allocation[[#This Row],[Total volume used]]/VLOOKUP(Allocation[[#This Row],[Delivery ID]],Delivery[[Delivery ID]:[Quantity delivered]],3,FALSE)</f>
        <v>0.91179138321995468</v>
      </c>
      <c r="S2605" s="34">
        <f>Allocation[[#This Row],[Quantity Processed]]/Allocation[[#This Row],[Dilution rate]]</f>
        <v>4856.5517241379312</v>
      </c>
      <c r="T2605" s="59">
        <f>SUMIF(Allocation[Delivery ID],Allocation[[#This Row],[Delivery ID]],Allocation[Quantity allocated])/SUMIF(Allocation[Delivery ID],Allocation[[#This Row],[Delivery ID]],Allocation[Volume available (kg)])</f>
        <v>1.4133853177649389</v>
      </c>
      <c r="U2605" s="61">
        <f>Allocation[[#This Row],[Total volume used]]/VLOOKUP(Allocation[[#This Row],[Delivery ID]],Delivery[[Delivery ID]:[Quantity delivered]],3,FALSE)</f>
        <v>0.91179138321995468</v>
      </c>
      <c r="V2605" s="34" t="e">
        <f>VLOOKUP(Allocation[[#This Row],[SAP Contract number]],Shipments[[SAP Contract number]:[Contracted container weight]],2,FALSE)</f>
        <v>#N/A</v>
      </c>
      <c r="W2605" s="34" t="e">
        <f>VLOOKUP(Allocation[[#This Row],[SAP Contract number]],Shipments[[SAP Contract number]:[AAA Premium USD]],24,FALSE)</f>
        <v>#N/A</v>
      </c>
      <c r="X2605" s="34" t="e">
        <f>VLOOKUP(Allocation[[#This Row],[SAP Contract number]],Shipments[[SAP Contract number]:[RA Premium USD]],25,FALSE)</f>
        <v>#N/A</v>
      </c>
      <c r="Y2605" s="38">
        <f>Allocation[[#This Row],[Quantity Processed]]/Allocation[[#This Row],[Quantity allocated]]</f>
        <v>2</v>
      </c>
      <c r="Z2605" s="34" t="b">
        <f>Allocation[[#This Row],[Quantity allocated]]&lt;=Allocation[[#This Row],[Quantity Processed]]</f>
        <v>1</v>
      </c>
    </row>
    <row r="2606" spans="1:26">
      <c r="A2606" s="247" t="s">
        <v>467</v>
      </c>
      <c r="B2606" s="210" t="s">
        <v>68</v>
      </c>
      <c r="C2606" s="254" t="s">
        <v>2025</v>
      </c>
      <c r="D2606" s="255">
        <v>1302</v>
      </c>
      <c r="E2606" s="211" t="s">
        <v>2104</v>
      </c>
      <c r="F2606" s="212">
        <v>43661</v>
      </c>
      <c r="G2606" s="213">
        <v>2.9</v>
      </c>
      <c r="H2606" s="256">
        <v>653</v>
      </c>
      <c r="I2606" s="214">
        <v>1482475</v>
      </c>
      <c r="J2606" s="215">
        <v>21600</v>
      </c>
      <c r="K2606" s="212">
        <v>43685</v>
      </c>
      <c r="L2606" s="211" t="s">
        <v>2108</v>
      </c>
      <c r="M2606" s="216">
        <v>4615445946</v>
      </c>
      <c r="N2606" s="212"/>
      <c r="O2606" s="218"/>
      <c r="P2606" s="219"/>
      <c r="Q2606" s="34">
        <f>SUMIF(Allocation[Delivery ID],Allocation[[#This Row],[Delivery ID]],Allocation[Quantity Processed])</f>
        <v>14550</v>
      </c>
      <c r="R2606" s="61">
        <f>Allocation[[#This Row],[Total volume used]]/VLOOKUP(Allocation[[#This Row],[Delivery ID]],Delivery[[Delivery ID]:[Quantity delivered]],3,FALSE)</f>
        <v>1</v>
      </c>
      <c r="S2606" s="34">
        <f>Allocation[[#This Row],[Quantity Processed]]/Allocation[[#This Row],[Dilution rate]]</f>
        <v>448.9655172413793</v>
      </c>
      <c r="T2606" s="59">
        <f>SUMIF(Allocation[Delivery ID],Allocation[[#This Row],[Delivery ID]],Allocation[Quantity allocated])/SUMIF(Allocation[Delivery ID],Allocation[[#This Row],[Delivery ID]],Allocation[Volume available (kg)])</f>
        <v>1.4549828178694157</v>
      </c>
      <c r="U2606" s="61">
        <f>Allocation[[#This Row],[Total volume used]]/VLOOKUP(Allocation[[#This Row],[Delivery ID]],Delivery[[Delivery ID]:[Quantity delivered]],3,FALSE)</f>
        <v>1</v>
      </c>
      <c r="V2606" s="34" t="e">
        <f>VLOOKUP(Allocation[[#This Row],[SAP Contract number]],Shipments[[SAP Contract number]:[Contracted container weight]],2,FALSE)</f>
        <v>#N/A</v>
      </c>
      <c r="W2606" s="34" t="e">
        <f>VLOOKUP(Allocation[[#This Row],[SAP Contract number]],Shipments[[SAP Contract number]:[AAA Premium USD]],24,FALSE)</f>
        <v>#N/A</v>
      </c>
      <c r="X2606" s="34" t="e">
        <f>VLOOKUP(Allocation[[#This Row],[SAP Contract number]],Shipments[[SAP Contract number]:[RA Premium USD]],25,FALSE)</f>
        <v>#N/A</v>
      </c>
      <c r="Y2606" s="38">
        <f>Allocation[[#This Row],[Quantity Processed]]/Allocation[[#This Row],[Quantity allocated]]</f>
        <v>1.9938744257274119</v>
      </c>
      <c r="Z2606" s="34" t="b">
        <f>Allocation[[#This Row],[Quantity allocated]]&lt;=Allocation[[#This Row],[Quantity Processed]]</f>
        <v>1</v>
      </c>
    </row>
    <row r="2607" spans="1:26">
      <c r="A2607" s="247" t="s">
        <v>467</v>
      </c>
      <c r="B2607" s="210" t="s">
        <v>68</v>
      </c>
      <c r="C2607" s="254" t="s">
        <v>2025</v>
      </c>
      <c r="D2607" s="255">
        <v>13248</v>
      </c>
      <c r="E2607" s="211" t="s">
        <v>2104</v>
      </c>
      <c r="F2607" s="212">
        <v>43661</v>
      </c>
      <c r="G2607" s="213">
        <v>2.9</v>
      </c>
      <c r="H2607" s="256">
        <v>6647</v>
      </c>
      <c r="I2607" s="214">
        <v>1482476</v>
      </c>
      <c r="J2607" s="215">
        <v>21600</v>
      </c>
      <c r="K2607" s="212">
        <v>43685</v>
      </c>
      <c r="L2607" s="211" t="s">
        <v>2109</v>
      </c>
      <c r="M2607" s="216">
        <v>4615445946</v>
      </c>
      <c r="N2607" s="212"/>
      <c r="O2607" s="218"/>
      <c r="P2607" s="219"/>
      <c r="Q2607" s="34">
        <f>SUMIF(Allocation[Delivery ID],Allocation[[#This Row],[Delivery ID]],Allocation[Quantity Processed])</f>
        <v>14550</v>
      </c>
      <c r="R2607" s="61">
        <f>Allocation[[#This Row],[Total volume used]]/VLOOKUP(Allocation[[#This Row],[Delivery ID]],Delivery[[Delivery ID]:[Quantity delivered]],3,FALSE)</f>
        <v>1</v>
      </c>
      <c r="S2607" s="34">
        <f>Allocation[[#This Row],[Quantity Processed]]/Allocation[[#This Row],[Dilution rate]]</f>
        <v>4568.2758620689656</v>
      </c>
      <c r="T2607" s="59">
        <f>SUMIF(Allocation[Delivery ID],Allocation[[#This Row],[Delivery ID]],Allocation[Quantity allocated])/SUMIF(Allocation[Delivery ID],Allocation[[#This Row],[Delivery ID]],Allocation[Volume available (kg)])</f>
        <v>1.4549828178694157</v>
      </c>
      <c r="U2607" s="61">
        <f>Allocation[[#This Row],[Total volume used]]/VLOOKUP(Allocation[[#This Row],[Delivery ID]],Delivery[[Delivery ID]:[Quantity delivered]],3,FALSE)</f>
        <v>1</v>
      </c>
      <c r="V2607" s="34" t="e">
        <f>VLOOKUP(Allocation[[#This Row],[SAP Contract number]],Shipments[[SAP Contract number]:[Contracted container weight]],2,FALSE)</f>
        <v>#N/A</v>
      </c>
      <c r="W2607" s="34" t="e">
        <f>VLOOKUP(Allocation[[#This Row],[SAP Contract number]],Shipments[[SAP Contract number]:[AAA Premium USD]],24,FALSE)</f>
        <v>#N/A</v>
      </c>
      <c r="X2607" s="34" t="e">
        <f>VLOOKUP(Allocation[[#This Row],[SAP Contract number]],Shipments[[SAP Contract number]:[RA Premium USD]],25,FALSE)</f>
        <v>#N/A</v>
      </c>
      <c r="Y2607" s="38">
        <f>Allocation[[#This Row],[Quantity Processed]]/Allocation[[#This Row],[Quantity allocated]]</f>
        <v>1.9930795847750864</v>
      </c>
      <c r="Z2607" s="34" t="b">
        <f>Allocation[[#This Row],[Quantity allocated]]&lt;=Allocation[[#This Row],[Quantity Processed]]</f>
        <v>1</v>
      </c>
    </row>
    <row r="2608" spans="1:26">
      <c r="A2608" s="247" t="s">
        <v>467</v>
      </c>
      <c r="B2608" s="210" t="s">
        <v>68</v>
      </c>
      <c r="C2608" s="254" t="s">
        <v>1983</v>
      </c>
      <c r="D2608" s="255">
        <v>14606</v>
      </c>
      <c r="E2608" s="211" t="s">
        <v>2104</v>
      </c>
      <c r="F2608" s="212">
        <v>43661</v>
      </c>
      <c r="G2608" s="213">
        <v>2.9</v>
      </c>
      <c r="H2608" s="256">
        <v>7303</v>
      </c>
      <c r="I2608" s="214">
        <v>1482476</v>
      </c>
      <c r="J2608" s="215">
        <v>21600</v>
      </c>
      <c r="K2608" s="212">
        <v>43685</v>
      </c>
      <c r="L2608" s="211" t="s">
        <v>2109</v>
      </c>
      <c r="M2608" s="216">
        <v>4615445946</v>
      </c>
      <c r="N2608" s="212"/>
      <c r="O2608" s="218"/>
      <c r="P2608" s="219"/>
      <c r="Q2608" s="34">
        <f>SUMIF(Allocation[Delivery ID],Allocation[[#This Row],[Delivery ID]],Allocation[Quantity Processed])</f>
        <v>16606</v>
      </c>
      <c r="R2608" s="61">
        <f>Allocation[[#This Row],[Total volume used]]/VLOOKUP(Allocation[[#This Row],[Delivery ID]],Delivery[[Delivery ID]:[Quantity delivered]],3,FALSE)</f>
        <v>0.90701040500314056</v>
      </c>
      <c r="S2608" s="34">
        <f>Allocation[[#This Row],[Quantity Processed]]/Allocation[[#This Row],[Dilution rate]]</f>
        <v>5036.5517241379312</v>
      </c>
      <c r="T2608" s="59">
        <f>SUMIF(Allocation[Delivery ID],Allocation[[#This Row],[Delivery ID]],Allocation[Quantity allocated])/SUMIF(Allocation[Delivery ID],Allocation[[#This Row],[Delivery ID]],Allocation[Volume available (kg)])</f>
        <v>1.4145081068379417</v>
      </c>
      <c r="U2608" s="61">
        <f>Allocation[[#This Row],[Total volume used]]/VLOOKUP(Allocation[[#This Row],[Delivery ID]],Delivery[[Delivery ID]:[Quantity delivered]],3,FALSE)</f>
        <v>0.90701040500314056</v>
      </c>
      <c r="V2608" s="34" t="e">
        <f>VLOOKUP(Allocation[[#This Row],[SAP Contract number]],Shipments[[SAP Contract number]:[Contracted container weight]],2,FALSE)</f>
        <v>#N/A</v>
      </c>
      <c r="W2608" s="34" t="e">
        <f>VLOOKUP(Allocation[[#This Row],[SAP Contract number]],Shipments[[SAP Contract number]:[AAA Premium USD]],24,FALSE)</f>
        <v>#N/A</v>
      </c>
      <c r="X2608" s="34" t="e">
        <f>VLOOKUP(Allocation[[#This Row],[SAP Contract number]],Shipments[[SAP Contract number]:[RA Premium USD]],25,FALSE)</f>
        <v>#N/A</v>
      </c>
      <c r="Y2608" s="38">
        <f>Allocation[[#This Row],[Quantity Processed]]/Allocation[[#This Row],[Quantity allocated]]</f>
        <v>2</v>
      </c>
      <c r="Z2608" s="34" t="b">
        <f>Allocation[[#This Row],[Quantity allocated]]&lt;=Allocation[[#This Row],[Quantity Processed]]</f>
        <v>1</v>
      </c>
    </row>
    <row r="2609" spans="1:26">
      <c r="A2609" s="247" t="s">
        <v>467</v>
      </c>
      <c r="B2609" s="210" t="s">
        <v>68</v>
      </c>
      <c r="C2609" s="254" t="s">
        <v>2018</v>
      </c>
      <c r="D2609" s="255">
        <v>31994</v>
      </c>
      <c r="E2609" s="211" t="s">
        <v>2104</v>
      </c>
      <c r="F2609" s="212">
        <v>43661</v>
      </c>
      <c r="G2609" s="213">
        <v>2.9</v>
      </c>
      <c r="H2609" s="256">
        <v>7650</v>
      </c>
      <c r="I2609" s="214">
        <v>1482476</v>
      </c>
      <c r="J2609" s="215">
        <v>21600</v>
      </c>
      <c r="K2609" s="212">
        <v>43685</v>
      </c>
      <c r="L2609" s="211" t="s">
        <v>2109</v>
      </c>
      <c r="M2609" s="216">
        <v>4615445946</v>
      </c>
      <c r="N2609" s="212"/>
      <c r="O2609" s="218"/>
      <c r="P2609" s="219"/>
      <c r="Q2609" s="34">
        <f>SUMIF(Allocation[Delivery ID],Allocation[[#This Row],[Delivery ID]],Allocation[Quantity Processed])</f>
        <v>37640</v>
      </c>
      <c r="R2609" s="61">
        <f>Allocation[[#This Row],[Total volume used]]/VLOOKUP(Allocation[[#This Row],[Delivery ID]],Delivery[[Delivery ID]:[Quantity delivered]],3,FALSE)</f>
        <v>1</v>
      </c>
      <c r="S2609" s="34">
        <f>Allocation[[#This Row],[Quantity Processed]]/Allocation[[#This Row],[Dilution rate]]</f>
        <v>11032.413793103449</v>
      </c>
      <c r="T2609" s="59">
        <f>SUMIF(Allocation[Delivery ID],Allocation[[#This Row],[Delivery ID]],Allocation[Quantity allocated])/SUMIF(Allocation[Delivery ID],Allocation[[#This Row],[Delivery ID]],Allocation[Volume available (kg)])</f>
        <v>0.69341126461211477</v>
      </c>
      <c r="U2609" s="61">
        <f>Allocation[[#This Row],[Total volume used]]/VLOOKUP(Allocation[[#This Row],[Delivery ID]],Delivery[[Delivery ID]:[Quantity delivered]],3,FALSE)</f>
        <v>1</v>
      </c>
      <c r="V2609" s="34" t="e">
        <f>VLOOKUP(Allocation[[#This Row],[SAP Contract number]],Shipments[[SAP Contract number]:[Contracted container weight]],2,FALSE)</f>
        <v>#N/A</v>
      </c>
      <c r="W2609" s="34" t="e">
        <f>VLOOKUP(Allocation[[#This Row],[SAP Contract number]],Shipments[[SAP Contract number]:[AAA Premium USD]],24,FALSE)</f>
        <v>#N/A</v>
      </c>
      <c r="X2609" s="34" t="e">
        <f>VLOOKUP(Allocation[[#This Row],[SAP Contract number]],Shipments[[SAP Contract number]:[RA Premium USD]],25,FALSE)</f>
        <v>#N/A</v>
      </c>
      <c r="Y2609" s="38">
        <f>Allocation[[#This Row],[Quantity Processed]]/Allocation[[#This Row],[Quantity allocated]]</f>
        <v>4.1822222222222223</v>
      </c>
      <c r="Z2609" s="34" t="b">
        <f>Allocation[[#This Row],[Quantity allocated]]&lt;=Allocation[[#This Row],[Quantity Processed]]</f>
        <v>1</v>
      </c>
    </row>
    <row r="2610" spans="1:26">
      <c r="A2610" s="247" t="s">
        <v>467</v>
      </c>
      <c r="B2610" s="210" t="s">
        <v>68</v>
      </c>
      <c r="C2610" s="254" t="s">
        <v>2018</v>
      </c>
      <c r="D2610" s="255">
        <v>5646</v>
      </c>
      <c r="E2610" s="211" t="s">
        <v>2104</v>
      </c>
      <c r="F2610" s="212">
        <v>43661</v>
      </c>
      <c r="G2610" s="213">
        <v>2.9</v>
      </c>
      <c r="H2610" s="256">
        <v>1350</v>
      </c>
      <c r="I2610" s="214">
        <v>1482477</v>
      </c>
      <c r="J2610" s="215">
        <v>21600</v>
      </c>
      <c r="K2610" s="212">
        <v>43685</v>
      </c>
      <c r="L2610" s="211" t="s">
        <v>2110</v>
      </c>
      <c r="M2610" s="216">
        <v>4615445946</v>
      </c>
      <c r="N2610" s="212"/>
      <c r="O2610" s="218"/>
      <c r="P2610" s="219"/>
      <c r="Q2610" s="34">
        <f>SUMIF(Allocation[Delivery ID],Allocation[[#This Row],[Delivery ID]],Allocation[Quantity Processed])</f>
        <v>37640</v>
      </c>
      <c r="R2610" s="61">
        <f>Allocation[[#This Row],[Total volume used]]/VLOOKUP(Allocation[[#This Row],[Delivery ID]],Delivery[[Delivery ID]:[Quantity delivered]],3,FALSE)</f>
        <v>1</v>
      </c>
      <c r="S2610" s="34">
        <f>Allocation[[#This Row],[Quantity Processed]]/Allocation[[#This Row],[Dilution rate]]</f>
        <v>1946.8965517241379</v>
      </c>
      <c r="T2610" s="59">
        <f>SUMIF(Allocation[Delivery ID],Allocation[[#This Row],[Delivery ID]],Allocation[Quantity allocated])/SUMIF(Allocation[Delivery ID],Allocation[[#This Row],[Delivery ID]],Allocation[Volume available (kg)])</f>
        <v>0.69341126461211477</v>
      </c>
      <c r="U2610" s="61">
        <f>Allocation[[#This Row],[Total volume used]]/VLOOKUP(Allocation[[#This Row],[Delivery ID]],Delivery[[Delivery ID]:[Quantity delivered]],3,FALSE)</f>
        <v>1</v>
      </c>
      <c r="V2610" s="34" t="e">
        <f>VLOOKUP(Allocation[[#This Row],[SAP Contract number]],Shipments[[SAP Contract number]:[Contracted container weight]],2,FALSE)</f>
        <v>#N/A</v>
      </c>
      <c r="W2610" s="34" t="e">
        <f>VLOOKUP(Allocation[[#This Row],[SAP Contract number]],Shipments[[SAP Contract number]:[AAA Premium USD]],24,FALSE)</f>
        <v>#N/A</v>
      </c>
      <c r="X2610" s="34" t="e">
        <f>VLOOKUP(Allocation[[#This Row],[SAP Contract number]],Shipments[[SAP Contract number]:[RA Premium USD]],25,FALSE)</f>
        <v>#N/A</v>
      </c>
      <c r="Y2610" s="38">
        <f>Allocation[[#This Row],[Quantity Processed]]/Allocation[[#This Row],[Quantity allocated]]</f>
        <v>4.1822222222222223</v>
      </c>
      <c r="Z2610" s="34" t="b">
        <f>Allocation[[#This Row],[Quantity allocated]]&lt;=Allocation[[#This Row],[Quantity Processed]]</f>
        <v>1</v>
      </c>
    </row>
    <row r="2611" spans="1:26">
      <c r="A2611" s="247" t="s">
        <v>467</v>
      </c>
      <c r="B2611" s="210" t="s">
        <v>68</v>
      </c>
      <c r="C2611" s="254" t="s">
        <v>2048</v>
      </c>
      <c r="D2611" s="255">
        <v>28760</v>
      </c>
      <c r="E2611" s="211" t="s">
        <v>2104</v>
      </c>
      <c r="F2611" s="212">
        <v>43661</v>
      </c>
      <c r="G2611" s="213">
        <v>2.9</v>
      </c>
      <c r="H2611" s="256">
        <v>9500</v>
      </c>
      <c r="I2611" s="214">
        <v>1482477</v>
      </c>
      <c r="J2611" s="215">
        <v>21600</v>
      </c>
      <c r="K2611" s="212">
        <v>43685</v>
      </c>
      <c r="L2611" s="211" t="s">
        <v>2110</v>
      </c>
      <c r="M2611" s="216">
        <v>4615445946</v>
      </c>
      <c r="N2611" s="212"/>
      <c r="O2611" s="218"/>
      <c r="P2611" s="219"/>
      <c r="Q2611" s="34">
        <f>SUMIF(Allocation[Delivery ID],Allocation[[#This Row],[Delivery ID]],Allocation[Quantity Processed])</f>
        <v>28760</v>
      </c>
      <c r="R2611" s="61">
        <f>Allocation[[#This Row],[Total volume used]]/VLOOKUP(Allocation[[#This Row],[Delivery ID]],Delivery[[Delivery ID]:[Quantity delivered]],3,FALSE)</f>
        <v>1</v>
      </c>
      <c r="S2611" s="34">
        <f>Allocation[[#This Row],[Quantity Processed]]/Allocation[[#This Row],[Dilution rate]]</f>
        <v>9917.241379310346</v>
      </c>
      <c r="T2611" s="59">
        <f>SUMIF(Allocation[Delivery ID],Allocation[[#This Row],[Delivery ID]],Allocation[Quantity allocated])/SUMIF(Allocation[Delivery ID],Allocation[[#This Row],[Delivery ID]],Allocation[Volume available (kg)])</f>
        <v>0.95792767732962436</v>
      </c>
      <c r="U2611" s="61">
        <f>Allocation[[#This Row],[Total volume used]]/VLOOKUP(Allocation[[#This Row],[Delivery ID]],Delivery[[Delivery ID]:[Quantity delivered]],3,FALSE)</f>
        <v>1</v>
      </c>
      <c r="V2611" s="34" t="e">
        <f>VLOOKUP(Allocation[[#This Row],[SAP Contract number]],Shipments[[SAP Contract number]:[Contracted container weight]],2,FALSE)</f>
        <v>#N/A</v>
      </c>
      <c r="W2611" s="34" t="e">
        <f>VLOOKUP(Allocation[[#This Row],[SAP Contract number]],Shipments[[SAP Contract number]:[AAA Premium USD]],24,FALSE)</f>
        <v>#N/A</v>
      </c>
      <c r="X2611" s="34" t="e">
        <f>VLOOKUP(Allocation[[#This Row],[SAP Contract number]],Shipments[[SAP Contract number]:[RA Premium USD]],25,FALSE)</f>
        <v>#N/A</v>
      </c>
      <c r="Y2611" s="38">
        <f>Allocation[[#This Row],[Quantity Processed]]/Allocation[[#This Row],[Quantity allocated]]</f>
        <v>3.0273684210526315</v>
      </c>
      <c r="Z2611" s="34" t="b">
        <f>Allocation[[#This Row],[Quantity allocated]]&lt;=Allocation[[#This Row],[Quantity Processed]]</f>
        <v>1</v>
      </c>
    </row>
    <row r="2612" spans="1:26">
      <c r="A2612" s="247" t="s">
        <v>467</v>
      </c>
      <c r="B2612" s="210" t="s">
        <v>68</v>
      </c>
      <c r="C2612" s="254" t="s">
        <v>2046</v>
      </c>
      <c r="D2612" s="255">
        <v>29770</v>
      </c>
      <c r="E2612" s="211" t="s">
        <v>2104</v>
      </c>
      <c r="F2612" s="212">
        <v>43661</v>
      </c>
      <c r="G2612" s="213">
        <v>2.9</v>
      </c>
      <c r="H2612" s="256">
        <v>9850</v>
      </c>
      <c r="I2612" s="214">
        <v>1482477</v>
      </c>
      <c r="J2612" s="215">
        <v>21600</v>
      </c>
      <c r="K2612" s="212">
        <v>43685</v>
      </c>
      <c r="L2612" s="211" t="s">
        <v>2110</v>
      </c>
      <c r="M2612" s="216">
        <v>4615445946</v>
      </c>
      <c r="N2612" s="212"/>
      <c r="O2612" s="218"/>
      <c r="P2612" s="219"/>
      <c r="Q2612" s="34">
        <f>SUMIF(Allocation[Delivery ID],Allocation[[#This Row],[Delivery ID]],Allocation[Quantity Processed])</f>
        <v>29770</v>
      </c>
      <c r="R2612" s="61">
        <f>Allocation[[#This Row],[Total volume used]]/VLOOKUP(Allocation[[#This Row],[Delivery ID]],Delivery[[Delivery ID]:[Quantity delivered]],3,FALSE)</f>
        <v>1</v>
      </c>
      <c r="S2612" s="34">
        <f>Allocation[[#This Row],[Quantity Processed]]/Allocation[[#This Row],[Dilution rate]]</f>
        <v>10265.51724137931</v>
      </c>
      <c r="T2612" s="59">
        <f>SUMIF(Allocation[Delivery ID],Allocation[[#This Row],[Delivery ID]],Allocation[Quantity allocated])/SUMIF(Allocation[Delivery ID],Allocation[[#This Row],[Delivery ID]],Allocation[Volume available (kg)])</f>
        <v>0.95952300974135041</v>
      </c>
      <c r="U2612" s="61">
        <f>Allocation[[#This Row],[Total volume used]]/VLOOKUP(Allocation[[#This Row],[Delivery ID]],Delivery[[Delivery ID]:[Quantity delivered]],3,FALSE)</f>
        <v>1</v>
      </c>
      <c r="V2612" s="34" t="e">
        <f>VLOOKUP(Allocation[[#This Row],[SAP Contract number]],Shipments[[SAP Contract number]:[Contracted container weight]],2,FALSE)</f>
        <v>#N/A</v>
      </c>
      <c r="W2612" s="34" t="e">
        <f>VLOOKUP(Allocation[[#This Row],[SAP Contract number]],Shipments[[SAP Contract number]:[AAA Premium USD]],24,FALSE)</f>
        <v>#N/A</v>
      </c>
      <c r="X2612" s="34" t="e">
        <f>VLOOKUP(Allocation[[#This Row],[SAP Contract number]],Shipments[[SAP Contract number]:[RA Premium USD]],25,FALSE)</f>
        <v>#N/A</v>
      </c>
      <c r="Y2612" s="38">
        <f>Allocation[[#This Row],[Quantity Processed]]/Allocation[[#This Row],[Quantity allocated]]</f>
        <v>3.0223350253807109</v>
      </c>
      <c r="Z2612" s="34" t="b">
        <f>Allocation[[#This Row],[Quantity allocated]]&lt;=Allocation[[#This Row],[Quantity Processed]]</f>
        <v>1</v>
      </c>
    </row>
    <row r="2613" spans="1:26">
      <c r="A2613" s="247" t="s">
        <v>467</v>
      </c>
      <c r="B2613" s="210" t="s">
        <v>68</v>
      </c>
      <c r="C2613" s="254" t="s">
        <v>2047</v>
      </c>
      <c r="D2613" s="255">
        <v>2704</v>
      </c>
      <c r="E2613" s="211" t="s">
        <v>2104</v>
      </c>
      <c r="F2613" s="212">
        <v>43661</v>
      </c>
      <c r="G2613" s="213">
        <v>2.9</v>
      </c>
      <c r="H2613" s="256">
        <v>900</v>
      </c>
      <c r="I2613" s="214">
        <v>1482477</v>
      </c>
      <c r="J2613" s="215">
        <v>21600</v>
      </c>
      <c r="K2613" s="212">
        <v>43685</v>
      </c>
      <c r="L2613" s="211" t="s">
        <v>2110</v>
      </c>
      <c r="M2613" s="216">
        <v>4615445946</v>
      </c>
      <c r="N2613" s="212"/>
      <c r="O2613" s="218"/>
      <c r="P2613" s="219"/>
      <c r="Q2613" s="34">
        <f>SUMIF(Allocation[Delivery ID],Allocation[[#This Row],[Delivery ID]],Allocation[Quantity Processed])</f>
        <v>30040</v>
      </c>
      <c r="R2613" s="61">
        <f>Allocation[[#This Row],[Total volume used]]/VLOOKUP(Allocation[[#This Row],[Delivery ID]],Delivery[[Delivery ID]:[Quantity delivered]],3,FALSE)</f>
        <v>1</v>
      </c>
      <c r="S2613" s="34">
        <f>Allocation[[#This Row],[Quantity Processed]]/Allocation[[#This Row],[Dilution rate]]</f>
        <v>932.41379310344826</v>
      </c>
      <c r="T2613" s="59">
        <f>SUMIF(Allocation[Delivery ID],Allocation[[#This Row],[Delivery ID]],Allocation[Quantity allocated])/SUMIF(Allocation[Delivery ID],Allocation[[#This Row],[Delivery ID]],Allocation[Volume available (kg)])</f>
        <v>0.96537949400798939</v>
      </c>
      <c r="U2613" s="61">
        <f>Allocation[[#This Row],[Total volume used]]/VLOOKUP(Allocation[[#This Row],[Delivery ID]],Delivery[[Delivery ID]:[Quantity delivered]],3,FALSE)</f>
        <v>1</v>
      </c>
      <c r="V2613" s="34" t="e">
        <f>VLOOKUP(Allocation[[#This Row],[SAP Contract number]],Shipments[[SAP Contract number]:[Contracted container weight]],2,FALSE)</f>
        <v>#N/A</v>
      </c>
      <c r="W2613" s="34" t="e">
        <f>VLOOKUP(Allocation[[#This Row],[SAP Contract number]],Shipments[[SAP Contract number]:[AAA Premium USD]],24,FALSE)</f>
        <v>#N/A</v>
      </c>
      <c r="X2613" s="34" t="e">
        <f>VLOOKUP(Allocation[[#This Row],[SAP Contract number]],Shipments[[SAP Contract number]:[RA Premium USD]],25,FALSE)</f>
        <v>#N/A</v>
      </c>
      <c r="Y2613" s="38">
        <f>Allocation[[#This Row],[Quantity Processed]]/Allocation[[#This Row],[Quantity allocated]]</f>
        <v>3.0044444444444443</v>
      </c>
      <c r="Z2613" s="34" t="b">
        <f>Allocation[[#This Row],[Quantity allocated]]&lt;=Allocation[[#This Row],[Quantity Processed]]</f>
        <v>1</v>
      </c>
    </row>
    <row r="2614" spans="1:26">
      <c r="A2614" s="247" t="s">
        <v>467</v>
      </c>
      <c r="B2614" s="210" t="s">
        <v>68</v>
      </c>
      <c r="C2614" s="254" t="s">
        <v>2047</v>
      </c>
      <c r="D2614" s="255">
        <v>27336</v>
      </c>
      <c r="E2614" s="211" t="s">
        <v>2104</v>
      </c>
      <c r="F2614" s="212">
        <v>43661</v>
      </c>
      <c r="G2614" s="213">
        <v>2.9</v>
      </c>
      <c r="H2614" s="256">
        <v>9100</v>
      </c>
      <c r="I2614" s="214">
        <v>1482478</v>
      </c>
      <c r="J2614" s="215">
        <v>21600</v>
      </c>
      <c r="K2614" s="212">
        <v>43685</v>
      </c>
      <c r="L2614" s="211" t="s">
        <v>2111</v>
      </c>
      <c r="M2614" s="216">
        <v>4615445946</v>
      </c>
      <c r="N2614" s="212"/>
      <c r="O2614" s="218"/>
      <c r="P2614" s="219"/>
      <c r="Q2614" s="34">
        <f>SUMIF(Allocation[Delivery ID],Allocation[[#This Row],[Delivery ID]],Allocation[Quantity Processed])</f>
        <v>30040</v>
      </c>
      <c r="R2614" s="61">
        <f>Allocation[[#This Row],[Total volume used]]/VLOOKUP(Allocation[[#This Row],[Delivery ID]],Delivery[[Delivery ID]:[Quantity delivered]],3,FALSE)</f>
        <v>1</v>
      </c>
      <c r="S2614" s="34">
        <f>Allocation[[#This Row],[Quantity Processed]]/Allocation[[#This Row],[Dilution rate]]</f>
        <v>9426.2068965517246</v>
      </c>
      <c r="T2614" s="59">
        <f>SUMIF(Allocation[Delivery ID],Allocation[[#This Row],[Delivery ID]],Allocation[Quantity allocated])/SUMIF(Allocation[Delivery ID],Allocation[[#This Row],[Delivery ID]],Allocation[Volume available (kg)])</f>
        <v>0.96537949400798939</v>
      </c>
      <c r="U2614" s="61">
        <f>Allocation[[#This Row],[Total volume used]]/VLOOKUP(Allocation[[#This Row],[Delivery ID]],Delivery[[Delivery ID]:[Quantity delivered]],3,FALSE)</f>
        <v>1</v>
      </c>
      <c r="V2614" s="34" t="e">
        <f>VLOOKUP(Allocation[[#This Row],[SAP Contract number]],Shipments[[SAP Contract number]:[Contracted container weight]],2,FALSE)</f>
        <v>#N/A</v>
      </c>
      <c r="W2614" s="34" t="e">
        <f>VLOOKUP(Allocation[[#This Row],[SAP Contract number]],Shipments[[SAP Contract number]:[AAA Premium USD]],24,FALSE)</f>
        <v>#N/A</v>
      </c>
      <c r="X2614" s="34" t="e">
        <f>VLOOKUP(Allocation[[#This Row],[SAP Contract number]],Shipments[[SAP Contract number]:[RA Premium USD]],25,FALSE)</f>
        <v>#N/A</v>
      </c>
      <c r="Y2614" s="38">
        <f>Allocation[[#This Row],[Quantity Processed]]/Allocation[[#This Row],[Quantity allocated]]</f>
        <v>3.0039560439560438</v>
      </c>
      <c r="Z2614" s="34" t="b">
        <f>Allocation[[#This Row],[Quantity allocated]]&lt;=Allocation[[#This Row],[Quantity Processed]]</f>
        <v>1</v>
      </c>
    </row>
    <row r="2615" spans="1:26">
      <c r="A2615" s="247" t="s">
        <v>467</v>
      </c>
      <c r="B2615" s="210" t="s">
        <v>68</v>
      </c>
      <c r="C2615" s="254" t="s">
        <v>2049</v>
      </c>
      <c r="D2615" s="255">
        <v>31440</v>
      </c>
      <c r="E2615" s="211" t="s">
        <v>2104</v>
      </c>
      <c r="F2615" s="212">
        <v>43661</v>
      </c>
      <c r="G2615" s="213">
        <v>2.9</v>
      </c>
      <c r="H2615" s="256">
        <v>10400</v>
      </c>
      <c r="I2615" s="214">
        <v>1482478</v>
      </c>
      <c r="J2615" s="215">
        <v>21600</v>
      </c>
      <c r="K2615" s="212">
        <v>43685</v>
      </c>
      <c r="L2615" s="211" t="s">
        <v>2111</v>
      </c>
      <c r="M2615" s="216">
        <v>4615445946</v>
      </c>
      <c r="N2615" s="212"/>
      <c r="O2615" s="218"/>
      <c r="P2615" s="219"/>
      <c r="Q2615" s="34">
        <f>SUMIF(Allocation[Delivery ID],Allocation[[#This Row],[Delivery ID]],Allocation[Quantity Processed])</f>
        <v>31440</v>
      </c>
      <c r="R2615" s="61">
        <f>Allocation[[#This Row],[Total volume used]]/VLOOKUP(Allocation[[#This Row],[Delivery ID]],Delivery[[Delivery ID]:[Quantity delivered]],3,FALSE)</f>
        <v>1</v>
      </c>
      <c r="S2615" s="34">
        <f>Allocation[[#This Row],[Quantity Processed]]/Allocation[[#This Row],[Dilution rate]]</f>
        <v>10841.379310344828</v>
      </c>
      <c r="T2615" s="59">
        <f>SUMIF(Allocation[Delivery ID],Allocation[[#This Row],[Delivery ID]],Allocation[Quantity allocated])/SUMIF(Allocation[Delivery ID],Allocation[[#This Row],[Delivery ID]],Allocation[Volume available (kg)])</f>
        <v>0.95928753180661575</v>
      </c>
      <c r="U2615" s="61">
        <f>Allocation[[#This Row],[Total volume used]]/VLOOKUP(Allocation[[#This Row],[Delivery ID]],Delivery[[Delivery ID]:[Quantity delivered]],3,FALSE)</f>
        <v>1</v>
      </c>
      <c r="V2615" s="34" t="e">
        <f>VLOOKUP(Allocation[[#This Row],[SAP Contract number]],Shipments[[SAP Contract number]:[Contracted container weight]],2,FALSE)</f>
        <v>#N/A</v>
      </c>
      <c r="W2615" s="34" t="e">
        <f>VLOOKUP(Allocation[[#This Row],[SAP Contract number]],Shipments[[SAP Contract number]:[AAA Premium USD]],24,FALSE)</f>
        <v>#N/A</v>
      </c>
      <c r="X2615" s="34" t="e">
        <f>VLOOKUP(Allocation[[#This Row],[SAP Contract number]],Shipments[[SAP Contract number]:[RA Premium USD]],25,FALSE)</f>
        <v>#N/A</v>
      </c>
      <c r="Y2615" s="38">
        <f>Allocation[[#This Row],[Quantity Processed]]/Allocation[[#This Row],[Quantity allocated]]</f>
        <v>3.023076923076923</v>
      </c>
      <c r="Z2615" s="34" t="b">
        <f>Allocation[[#This Row],[Quantity allocated]]&lt;=Allocation[[#This Row],[Quantity Processed]]</f>
        <v>1</v>
      </c>
    </row>
    <row r="2616" spans="1:26">
      <c r="A2616" s="247" t="s">
        <v>467</v>
      </c>
      <c r="B2616" s="210" t="s">
        <v>68</v>
      </c>
      <c r="C2616" s="254" t="s">
        <v>2022</v>
      </c>
      <c r="D2616" s="255">
        <v>5801</v>
      </c>
      <c r="E2616" s="211" t="s">
        <v>2104</v>
      </c>
      <c r="F2616" s="212">
        <v>43661</v>
      </c>
      <c r="G2616" s="213">
        <v>2.9</v>
      </c>
      <c r="H2616" s="256">
        <v>2100</v>
      </c>
      <c r="I2616" s="214">
        <v>1482478</v>
      </c>
      <c r="J2616" s="215">
        <v>21600</v>
      </c>
      <c r="K2616" s="212">
        <v>43685</v>
      </c>
      <c r="L2616" s="211" t="s">
        <v>2111</v>
      </c>
      <c r="M2616" s="216">
        <v>4615445946</v>
      </c>
      <c r="N2616" s="212"/>
      <c r="O2616" s="218"/>
      <c r="P2616" s="219"/>
      <c r="Q2616" s="34">
        <f>SUMIF(Allocation[Delivery ID],Allocation[[#This Row],[Delivery ID]],Allocation[Quantity Processed])</f>
        <v>29280</v>
      </c>
      <c r="R2616" s="61">
        <f>Allocation[[#This Row],[Total volume used]]/VLOOKUP(Allocation[[#This Row],[Delivery ID]],Delivery[[Delivery ID]:[Quantity delivered]],3,FALSE)</f>
        <v>1</v>
      </c>
      <c r="S2616" s="34">
        <f>Allocation[[#This Row],[Quantity Processed]]/Allocation[[#This Row],[Dilution rate]]</f>
        <v>2000.344827586207</v>
      </c>
      <c r="T2616" s="59">
        <f>SUMIF(Allocation[Delivery ID],Allocation[[#This Row],[Delivery ID]],Allocation[Quantity allocated])/SUMIF(Allocation[Delivery ID],Allocation[[#This Row],[Delivery ID]],Allocation[Volume available (kg)])</f>
        <v>1.049863387978142</v>
      </c>
      <c r="U2616" s="61">
        <f>Allocation[[#This Row],[Total volume used]]/VLOOKUP(Allocation[[#This Row],[Delivery ID]],Delivery[[Delivery ID]:[Quantity delivered]],3,FALSE)</f>
        <v>1</v>
      </c>
      <c r="V2616" s="34" t="e">
        <f>VLOOKUP(Allocation[[#This Row],[SAP Contract number]],Shipments[[SAP Contract number]:[Contracted container weight]],2,FALSE)</f>
        <v>#N/A</v>
      </c>
      <c r="W2616" s="34" t="e">
        <f>VLOOKUP(Allocation[[#This Row],[SAP Contract number]],Shipments[[SAP Contract number]:[AAA Premium USD]],24,FALSE)</f>
        <v>#N/A</v>
      </c>
      <c r="X2616" s="34" t="e">
        <f>VLOOKUP(Allocation[[#This Row],[SAP Contract number]],Shipments[[SAP Contract number]:[RA Premium USD]],25,FALSE)</f>
        <v>#N/A</v>
      </c>
      <c r="Y2616" s="38">
        <f>Allocation[[#This Row],[Quantity Processed]]/Allocation[[#This Row],[Quantity allocated]]</f>
        <v>2.7623809523809522</v>
      </c>
      <c r="Z2616" s="34" t="b">
        <f>Allocation[[#This Row],[Quantity allocated]]&lt;=Allocation[[#This Row],[Quantity Processed]]</f>
        <v>1</v>
      </c>
    </row>
    <row r="2617" spans="1:26">
      <c r="A2617" s="247" t="s">
        <v>467</v>
      </c>
      <c r="B2617" s="210" t="s">
        <v>68</v>
      </c>
      <c r="C2617" s="254" t="s">
        <v>2022</v>
      </c>
      <c r="D2617" s="255">
        <v>23479</v>
      </c>
      <c r="E2617" s="211" t="s">
        <v>2104</v>
      </c>
      <c r="F2617" s="212">
        <v>43661</v>
      </c>
      <c r="G2617" s="213">
        <v>2.9</v>
      </c>
      <c r="H2617" s="256">
        <v>8500</v>
      </c>
      <c r="I2617" s="214">
        <v>1482479</v>
      </c>
      <c r="J2617" s="215">
        <v>21600</v>
      </c>
      <c r="K2617" s="212">
        <v>43685</v>
      </c>
      <c r="L2617" s="211" t="s">
        <v>2112</v>
      </c>
      <c r="M2617" s="216">
        <v>4615445946</v>
      </c>
      <c r="N2617" s="212"/>
      <c r="O2617" s="218"/>
      <c r="P2617" s="219"/>
      <c r="Q2617" s="34">
        <f>SUMIF(Allocation[Delivery ID],Allocation[[#This Row],[Delivery ID]],Allocation[Quantity Processed])</f>
        <v>29280</v>
      </c>
      <c r="R2617" s="61">
        <f>Allocation[[#This Row],[Total volume used]]/VLOOKUP(Allocation[[#This Row],[Delivery ID]],Delivery[[Delivery ID]:[Quantity delivered]],3,FALSE)</f>
        <v>1</v>
      </c>
      <c r="S2617" s="34">
        <f>Allocation[[#This Row],[Quantity Processed]]/Allocation[[#This Row],[Dilution rate]]</f>
        <v>8096.2068965517246</v>
      </c>
      <c r="T2617" s="59">
        <f>SUMIF(Allocation[Delivery ID],Allocation[[#This Row],[Delivery ID]],Allocation[Quantity allocated])/SUMIF(Allocation[Delivery ID],Allocation[[#This Row],[Delivery ID]],Allocation[Volume available (kg)])</f>
        <v>1.049863387978142</v>
      </c>
      <c r="U2617" s="61">
        <f>Allocation[[#This Row],[Total volume used]]/VLOOKUP(Allocation[[#This Row],[Delivery ID]],Delivery[[Delivery ID]:[Quantity delivered]],3,FALSE)</f>
        <v>1</v>
      </c>
      <c r="V2617" s="34" t="e">
        <f>VLOOKUP(Allocation[[#This Row],[SAP Contract number]],Shipments[[SAP Contract number]:[Contracted container weight]],2,FALSE)</f>
        <v>#N/A</v>
      </c>
      <c r="W2617" s="34" t="e">
        <f>VLOOKUP(Allocation[[#This Row],[SAP Contract number]],Shipments[[SAP Contract number]:[AAA Premium USD]],24,FALSE)</f>
        <v>#N/A</v>
      </c>
      <c r="X2617" s="34" t="e">
        <f>VLOOKUP(Allocation[[#This Row],[SAP Contract number]],Shipments[[SAP Contract number]:[RA Premium USD]],25,FALSE)</f>
        <v>#N/A</v>
      </c>
      <c r="Y2617" s="38">
        <f>Allocation[[#This Row],[Quantity Processed]]/Allocation[[#This Row],[Quantity allocated]]</f>
        <v>2.7622352941176471</v>
      </c>
      <c r="Z2617" s="34" t="b">
        <f>Allocation[[#This Row],[Quantity allocated]]&lt;=Allocation[[#This Row],[Quantity Processed]]</f>
        <v>1</v>
      </c>
    </row>
    <row r="2618" spans="1:26">
      <c r="A2618" s="247" t="s">
        <v>467</v>
      </c>
      <c r="B2618" s="210" t="s">
        <v>68</v>
      </c>
      <c r="C2618" s="254" t="s">
        <v>2068</v>
      </c>
      <c r="D2618" s="255">
        <v>37800</v>
      </c>
      <c r="E2618" s="211" t="s">
        <v>2104</v>
      </c>
      <c r="F2618" s="212">
        <v>43661</v>
      </c>
      <c r="G2618" s="213">
        <v>2.9</v>
      </c>
      <c r="H2618" s="256">
        <v>12500</v>
      </c>
      <c r="I2618" s="214">
        <v>1482479</v>
      </c>
      <c r="J2618" s="215">
        <v>21600</v>
      </c>
      <c r="K2618" s="212">
        <v>43685</v>
      </c>
      <c r="L2618" s="211" t="s">
        <v>2112</v>
      </c>
      <c r="M2618" s="216">
        <v>4615445946</v>
      </c>
      <c r="N2618" s="212"/>
      <c r="O2618" s="218"/>
      <c r="P2618" s="219"/>
      <c r="Q2618" s="34">
        <f>SUMIF(Allocation[Delivery ID],Allocation[[#This Row],[Delivery ID]],Allocation[Quantity Processed])</f>
        <v>37800</v>
      </c>
      <c r="R2618" s="61">
        <f>Allocation[[#This Row],[Total volume used]]/VLOOKUP(Allocation[[#This Row],[Delivery ID]],Delivery[[Delivery ID]:[Quantity delivered]],3,FALSE)</f>
        <v>1</v>
      </c>
      <c r="S2618" s="34">
        <f>Allocation[[#This Row],[Quantity Processed]]/Allocation[[#This Row],[Dilution rate]]</f>
        <v>13034.48275862069</v>
      </c>
      <c r="T2618" s="59">
        <f>SUMIF(Allocation[Delivery ID],Allocation[[#This Row],[Delivery ID]],Allocation[Quantity allocated])/SUMIF(Allocation[Delivery ID],Allocation[[#This Row],[Delivery ID]],Allocation[Volume available (kg)])</f>
        <v>0.95899470899470896</v>
      </c>
      <c r="U2618" s="61">
        <f>Allocation[[#This Row],[Total volume used]]/VLOOKUP(Allocation[[#This Row],[Delivery ID]],Delivery[[Delivery ID]:[Quantity delivered]],3,FALSE)</f>
        <v>1</v>
      </c>
      <c r="V2618" s="34" t="e">
        <f>VLOOKUP(Allocation[[#This Row],[SAP Contract number]],Shipments[[SAP Contract number]:[Contracted container weight]],2,FALSE)</f>
        <v>#N/A</v>
      </c>
      <c r="W2618" s="34" t="e">
        <f>VLOOKUP(Allocation[[#This Row],[SAP Contract number]],Shipments[[SAP Contract number]:[AAA Premium USD]],24,FALSE)</f>
        <v>#N/A</v>
      </c>
      <c r="X2618" s="34" t="e">
        <f>VLOOKUP(Allocation[[#This Row],[SAP Contract number]],Shipments[[SAP Contract number]:[RA Premium USD]],25,FALSE)</f>
        <v>#N/A</v>
      </c>
      <c r="Y2618" s="38">
        <f>Allocation[[#This Row],[Quantity Processed]]/Allocation[[#This Row],[Quantity allocated]]</f>
        <v>3.024</v>
      </c>
      <c r="Z2618" s="34" t="b">
        <f>Allocation[[#This Row],[Quantity allocated]]&lt;=Allocation[[#This Row],[Quantity Processed]]</f>
        <v>1</v>
      </c>
    </row>
    <row r="2619" spans="1:26">
      <c r="A2619" s="247" t="s">
        <v>467</v>
      </c>
      <c r="B2619" s="210" t="s">
        <v>68</v>
      </c>
      <c r="C2619" s="254" t="s">
        <v>1551</v>
      </c>
      <c r="D2619" s="255">
        <v>1791</v>
      </c>
      <c r="E2619" s="211" t="s">
        <v>2104</v>
      </c>
      <c r="F2619" s="212">
        <v>43661</v>
      </c>
      <c r="G2619" s="213">
        <v>2.9</v>
      </c>
      <c r="H2619" s="256">
        <v>600</v>
      </c>
      <c r="I2619" s="214">
        <v>1482479</v>
      </c>
      <c r="J2619" s="215">
        <v>21600</v>
      </c>
      <c r="K2619" s="212">
        <v>43685</v>
      </c>
      <c r="L2619" s="211" t="s">
        <v>2112</v>
      </c>
      <c r="M2619" s="216">
        <v>4615445946</v>
      </c>
      <c r="N2619" s="212"/>
      <c r="O2619" s="218"/>
      <c r="P2619" s="219"/>
      <c r="Q2619" s="34">
        <f>SUMIF(Allocation[Delivery ID],Allocation[[#This Row],[Delivery ID]],Allocation[Quantity Processed])</f>
        <v>330000</v>
      </c>
      <c r="R2619" s="61">
        <f>Allocation[[#This Row],[Total volume used]]/VLOOKUP(Allocation[[#This Row],[Delivery ID]],Delivery[[Delivery ID]:[Quantity delivered]],3,FALSE)</f>
        <v>1</v>
      </c>
      <c r="S2619" s="34">
        <f>Allocation[[#This Row],[Quantity Processed]]/Allocation[[#This Row],[Dilution rate]]</f>
        <v>617.58620689655174</v>
      </c>
      <c r="T2619" s="59">
        <f>SUMIF(Allocation[Delivery ID],Allocation[[#This Row],[Delivery ID]],Allocation[Quantity allocated])/SUMIF(Allocation[Delivery ID],Allocation[[#This Row],[Delivery ID]],Allocation[Volume available (kg)])</f>
        <v>0.98177301583052401</v>
      </c>
      <c r="U2619" s="61">
        <f>Allocation[[#This Row],[Total volume used]]/VLOOKUP(Allocation[[#This Row],[Delivery ID]],Delivery[[Delivery ID]:[Quantity delivered]],3,FALSE)</f>
        <v>1</v>
      </c>
      <c r="V2619" s="34" t="e">
        <f>VLOOKUP(Allocation[[#This Row],[SAP Contract number]],Shipments[[SAP Contract number]:[Contracted container weight]],2,FALSE)</f>
        <v>#N/A</v>
      </c>
      <c r="W2619" s="34" t="e">
        <f>VLOOKUP(Allocation[[#This Row],[SAP Contract number]],Shipments[[SAP Contract number]:[AAA Premium USD]],24,FALSE)</f>
        <v>#N/A</v>
      </c>
      <c r="X2619" s="34" t="e">
        <f>VLOOKUP(Allocation[[#This Row],[SAP Contract number]],Shipments[[SAP Contract number]:[RA Premium USD]],25,FALSE)</f>
        <v>#N/A</v>
      </c>
      <c r="Y2619" s="38">
        <f>Allocation[[#This Row],[Quantity Processed]]/Allocation[[#This Row],[Quantity allocated]]</f>
        <v>2.9849999999999999</v>
      </c>
      <c r="Z2619" s="34" t="b">
        <f>Allocation[[#This Row],[Quantity allocated]]&lt;=Allocation[[#This Row],[Quantity Processed]]</f>
        <v>1</v>
      </c>
    </row>
    <row r="2620" spans="1:26">
      <c r="A2620" s="247" t="s">
        <v>467</v>
      </c>
      <c r="B2620" s="210" t="s">
        <v>68</v>
      </c>
      <c r="C2620" s="254" t="s">
        <v>1551</v>
      </c>
      <c r="D2620" s="255">
        <v>63882</v>
      </c>
      <c r="E2620" s="211" t="s">
        <v>2104</v>
      </c>
      <c r="F2620" s="212">
        <v>43661</v>
      </c>
      <c r="G2620" s="213">
        <v>2.9</v>
      </c>
      <c r="H2620" s="256">
        <v>21400</v>
      </c>
      <c r="I2620" s="214">
        <v>1482480</v>
      </c>
      <c r="J2620" s="215">
        <v>21600</v>
      </c>
      <c r="K2620" s="212">
        <v>43685</v>
      </c>
      <c r="L2620" s="211" t="s">
        <v>2113</v>
      </c>
      <c r="M2620" s="216">
        <v>4615445946</v>
      </c>
      <c r="N2620" s="212"/>
      <c r="O2620" s="218"/>
      <c r="P2620" s="219"/>
      <c r="Q2620" s="34">
        <f>SUMIF(Allocation[Delivery ID],Allocation[[#This Row],[Delivery ID]],Allocation[Quantity Processed])</f>
        <v>330000</v>
      </c>
      <c r="R2620" s="61">
        <f>Allocation[[#This Row],[Total volume used]]/VLOOKUP(Allocation[[#This Row],[Delivery ID]],Delivery[[Delivery ID]:[Quantity delivered]],3,FALSE)</f>
        <v>1</v>
      </c>
      <c r="S2620" s="34">
        <f>Allocation[[#This Row],[Quantity Processed]]/Allocation[[#This Row],[Dilution rate]]</f>
        <v>22028.275862068967</v>
      </c>
      <c r="T2620" s="59">
        <f>SUMIF(Allocation[Delivery ID],Allocation[[#This Row],[Delivery ID]],Allocation[Quantity allocated])/SUMIF(Allocation[Delivery ID],Allocation[[#This Row],[Delivery ID]],Allocation[Volume available (kg)])</f>
        <v>0.98177301583052401</v>
      </c>
      <c r="U2620" s="61">
        <f>Allocation[[#This Row],[Total volume used]]/VLOOKUP(Allocation[[#This Row],[Delivery ID]],Delivery[[Delivery ID]:[Quantity delivered]],3,FALSE)</f>
        <v>1</v>
      </c>
      <c r="V2620" s="34" t="e">
        <f>VLOOKUP(Allocation[[#This Row],[SAP Contract number]],Shipments[[SAP Contract number]:[Contracted container weight]],2,FALSE)</f>
        <v>#N/A</v>
      </c>
      <c r="W2620" s="34" t="e">
        <f>VLOOKUP(Allocation[[#This Row],[SAP Contract number]],Shipments[[SAP Contract number]:[AAA Premium USD]],24,FALSE)</f>
        <v>#N/A</v>
      </c>
      <c r="X2620" s="34" t="e">
        <f>VLOOKUP(Allocation[[#This Row],[SAP Contract number]],Shipments[[SAP Contract number]:[RA Premium USD]],25,FALSE)</f>
        <v>#N/A</v>
      </c>
      <c r="Y2620" s="38">
        <f>Allocation[[#This Row],[Quantity Processed]]/Allocation[[#This Row],[Quantity allocated]]</f>
        <v>2.985140186915888</v>
      </c>
      <c r="Z2620" s="34" t="b">
        <f>Allocation[[#This Row],[Quantity allocated]]&lt;=Allocation[[#This Row],[Quantity Processed]]</f>
        <v>1</v>
      </c>
    </row>
    <row r="2621" spans="1:26">
      <c r="A2621" s="247" t="s">
        <v>467</v>
      </c>
      <c r="B2621" s="210" t="s">
        <v>68</v>
      </c>
      <c r="C2621" s="254" t="s">
        <v>1549</v>
      </c>
      <c r="D2621" s="255">
        <v>606</v>
      </c>
      <c r="E2621" s="211" t="s">
        <v>2104</v>
      </c>
      <c r="F2621" s="212">
        <v>43661</v>
      </c>
      <c r="G2621" s="213">
        <v>2.9</v>
      </c>
      <c r="H2621" s="256">
        <v>200</v>
      </c>
      <c r="I2621" s="214">
        <v>1482480</v>
      </c>
      <c r="J2621" s="215">
        <v>21600</v>
      </c>
      <c r="K2621" s="212">
        <v>43685</v>
      </c>
      <c r="L2621" s="211" t="s">
        <v>2113</v>
      </c>
      <c r="M2621" s="216">
        <v>4615445946</v>
      </c>
      <c r="N2621" s="212"/>
      <c r="O2621" s="218"/>
      <c r="P2621" s="219"/>
      <c r="Q2621" s="34">
        <f>SUMIF(Allocation[Delivery ID],Allocation[[#This Row],[Delivery ID]],Allocation[Quantity Processed])</f>
        <v>701772</v>
      </c>
      <c r="R2621" s="61">
        <f>Allocation[[#This Row],[Total volume used]]/VLOOKUP(Allocation[[#This Row],[Delivery ID]],Delivery[[Delivery ID]:[Quantity delivered]],3,FALSE)</f>
        <v>0.98939090395137719</v>
      </c>
      <c r="S2621" s="34">
        <f>Allocation[[#This Row],[Quantity Processed]]/Allocation[[#This Row],[Dilution rate]]</f>
        <v>208.96551724137933</v>
      </c>
      <c r="T2621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2621" s="61">
        <f>Allocation[[#This Row],[Total volume used]]/VLOOKUP(Allocation[[#This Row],[Delivery ID]],Delivery[[Delivery ID]:[Quantity delivered]],3,FALSE)</f>
        <v>0.98939090395137719</v>
      </c>
      <c r="V2621" s="34" t="e">
        <f>VLOOKUP(Allocation[[#This Row],[SAP Contract number]],Shipments[[SAP Contract number]:[Contracted container weight]],2,FALSE)</f>
        <v>#N/A</v>
      </c>
      <c r="W2621" s="34" t="e">
        <f>VLOOKUP(Allocation[[#This Row],[SAP Contract number]],Shipments[[SAP Contract number]:[AAA Premium USD]],24,FALSE)</f>
        <v>#N/A</v>
      </c>
      <c r="X2621" s="34" t="e">
        <f>VLOOKUP(Allocation[[#This Row],[SAP Contract number]],Shipments[[SAP Contract number]:[RA Premium USD]],25,FALSE)</f>
        <v>#N/A</v>
      </c>
      <c r="Y2621" s="38">
        <f>Allocation[[#This Row],[Quantity Processed]]/Allocation[[#This Row],[Quantity allocated]]</f>
        <v>3.03</v>
      </c>
      <c r="Z2621" s="34" t="b">
        <f>Allocation[[#This Row],[Quantity allocated]]&lt;=Allocation[[#This Row],[Quantity Processed]]</f>
        <v>1</v>
      </c>
    </row>
    <row r="2622" spans="1:26">
      <c r="A2622" s="247" t="s">
        <v>467</v>
      </c>
      <c r="B2622" s="210" t="s">
        <v>68</v>
      </c>
      <c r="C2622" s="254" t="s">
        <v>1549</v>
      </c>
      <c r="D2622" s="255">
        <v>65454</v>
      </c>
      <c r="E2622" s="211" t="s">
        <v>2104</v>
      </c>
      <c r="F2622" s="212">
        <v>43661</v>
      </c>
      <c r="G2622" s="213">
        <v>2.9</v>
      </c>
      <c r="H2622" s="256">
        <v>21600</v>
      </c>
      <c r="I2622" s="214">
        <v>1482481</v>
      </c>
      <c r="J2622" s="215">
        <v>21600</v>
      </c>
      <c r="K2622" s="212">
        <v>43685</v>
      </c>
      <c r="L2622" s="211" t="s">
        <v>2114</v>
      </c>
      <c r="M2622" s="216">
        <v>4615445946</v>
      </c>
      <c r="N2622" s="212"/>
      <c r="O2622" s="218"/>
      <c r="P2622" s="219"/>
      <c r="Q2622" s="34">
        <f>SUMIF(Allocation[Delivery ID],Allocation[[#This Row],[Delivery ID]],Allocation[Quantity Processed])</f>
        <v>701772</v>
      </c>
      <c r="R2622" s="61">
        <f>Allocation[[#This Row],[Total volume used]]/VLOOKUP(Allocation[[#This Row],[Delivery ID]],Delivery[[Delivery ID]:[Quantity delivered]],3,FALSE)</f>
        <v>0.98939090395137719</v>
      </c>
      <c r="S2622" s="34">
        <f>Allocation[[#This Row],[Quantity Processed]]/Allocation[[#This Row],[Dilution rate]]</f>
        <v>22570.344827586207</v>
      </c>
      <c r="T2622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2622" s="61">
        <f>Allocation[[#This Row],[Total volume used]]/VLOOKUP(Allocation[[#This Row],[Delivery ID]],Delivery[[Delivery ID]:[Quantity delivered]],3,FALSE)</f>
        <v>0.98939090395137719</v>
      </c>
      <c r="V2622" s="34" t="e">
        <f>VLOOKUP(Allocation[[#This Row],[SAP Contract number]],Shipments[[SAP Contract number]:[Contracted container weight]],2,FALSE)</f>
        <v>#N/A</v>
      </c>
      <c r="W2622" s="34" t="e">
        <f>VLOOKUP(Allocation[[#This Row],[SAP Contract number]],Shipments[[SAP Contract number]:[AAA Premium USD]],24,FALSE)</f>
        <v>#N/A</v>
      </c>
      <c r="X2622" s="34" t="e">
        <f>VLOOKUP(Allocation[[#This Row],[SAP Contract number]],Shipments[[SAP Contract number]:[RA Premium USD]],25,FALSE)</f>
        <v>#N/A</v>
      </c>
      <c r="Y2622" s="38">
        <f>Allocation[[#This Row],[Quantity Processed]]/Allocation[[#This Row],[Quantity allocated]]</f>
        <v>3.0302777777777776</v>
      </c>
      <c r="Z2622" s="34" t="b">
        <f>Allocation[[#This Row],[Quantity allocated]]&lt;=Allocation[[#This Row],[Quantity Processed]]</f>
        <v>1</v>
      </c>
    </row>
    <row r="2623" spans="1:26">
      <c r="A2623" s="247" t="s">
        <v>467</v>
      </c>
      <c r="B2623" s="210" t="s">
        <v>68</v>
      </c>
      <c r="C2623" s="254" t="s">
        <v>1549</v>
      </c>
      <c r="D2623" s="255">
        <v>65454</v>
      </c>
      <c r="E2623" s="211" t="s">
        <v>2104</v>
      </c>
      <c r="F2623" s="212">
        <v>43661</v>
      </c>
      <c r="G2623" s="213">
        <v>2.9</v>
      </c>
      <c r="H2623" s="256">
        <v>21600</v>
      </c>
      <c r="I2623" s="214">
        <v>1482482</v>
      </c>
      <c r="J2623" s="215">
        <v>21600</v>
      </c>
      <c r="K2623" s="212">
        <v>43685</v>
      </c>
      <c r="L2623" s="211" t="s">
        <v>2115</v>
      </c>
      <c r="M2623" s="216">
        <v>4615445946</v>
      </c>
      <c r="N2623" s="212"/>
      <c r="O2623" s="218"/>
      <c r="P2623" s="219"/>
      <c r="Q2623" s="34">
        <f>SUMIF(Allocation[Delivery ID],Allocation[[#This Row],[Delivery ID]],Allocation[Quantity Processed])</f>
        <v>701772</v>
      </c>
      <c r="R2623" s="61">
        <f>Allocation[[#This Row],[Total volume used]]/VLOOKUP(Allocation[[#This Row],[Delivery ID]],Delivery[[Delivery ID]:[Quantity delivered]],3,FALSE)</f>
        <v>0.98939090395137719</v>
      </c>
      <c r="S2623" s="34">
        <f>Allocation[[#This Row],[Quantity Processed]]/Allocation[[#This Row],[Dilution rate]]</f>
        <v>22570.344827586207</v>
      </c>
      <c r="T2623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2623" s="61">
        <f>Allocation[[#This Row],[Total volume used]]/VLOOKUP(Allocation[[#This Row],[Delivery ID]],Delivery[[Delivery ID]:[Quantity delivered]],3,FALSE)</f>
        <v>0.98939090395137719</v>
      </c>
      <c r="V2623" s="34" t="e">
        <f>VLOOKUP(Allocation[[#This Row],[SAP Contract number]],Shipments[[SAP Contract number]:[Contracted container weight]],2,FALSE)</f>
        <v>#N/A</v>
      </c>
      <c r="W2623" s="34" t="e">
        <f>VLOOKUP(Allocation[[#This Row],[SAP Contract number]],Shipments[[SAP Contract number]:[AAA Premium USD]],24,FALSE)</f>
        <v>#N/A</v>
      </c>
      <c r="X2623" s="34" t="e">
        <f>VLOOKUP(Allocation[[#This Row],[SAP Contract number]],Shipments[[SAP Contract number]:[RA Premium USD]],25,FALSE)</f>
        <v>#N/A</v>
      </c>
      <c r="Y2623" s="38">
        <f>Allocation[[#This Row],[Quantity Processed]]/Allocation[[#This Row],[Quantity allocated]]</f>
        <v>3.0302777777777776</v>
      </c>
      <c r="Z2623" s="34" t="b">
        <f>Allocation[[#This Row],[Quantity allocated]]&lt;=Allocation[[#This Row],[Quantity Processed]]</f>
        <v>1</v>
      </c>
    </row>
    <row r="2624" spans="1:26">
      <c r="A2624" s="247" t="s">
        <v>467</v>
      </c>
      <c r="B2624" s="210" t="s">
        <v>68</v>
      </c>
      <c r="C2624" s="254" t="s">
        <v>1549</v>
      </c>
      <c r="D2624" s="255">
        <v>65454</v>
      </c>
      <c r="E2624" s="211" t="s">
        <v>2104</v>
      </c>
      <c r="F2624" s="212">
        <v>43661</v>
      </c>
      <c r="G2624" s="213">
        <v>2.9</v>
      </c>
      <c r="H2624" s="256">
        <v>21600</v>
      </c>
      <c r="I2624" s="214">
        <v>1482483</v>
      </c>
      <c r="J2624" s="215">
        <v>21600</v>
      </c>
      <c r="K2624" s="212">
        <v>43685</v>
      </c>
      <c r="L2624" s="211" t="s">
        <v>2116</v>
      </c>
      <c r="M2624" s="216">
        <v>4615445946</v>
      </c>
      <c r="N2624" s="212"/>
      <c r="O2624" s="218"/>
      <c r="P2624" s="219"/>
      <c r="Q2624" s="34">
        <f>SUMIF(Allocation[Delivery ID],Allocation[[#This Row],[Delivery ID]],Allocation[Quantity Processed])</f>
        <v>701772</v>
      </c>
      <c r="R2624" s="61">
        <f>Allocation[[#This Row],[Total volume used]]/VLOOKUP(Allocation[[#This Row],[Delivery ID]],Delivery[[Delivery ID]:[Quantity delivered]],3,FALSE)</f>
        <v>0.98939090395137719</v>
      </c>
      <c r="S2624" s="34">
        <f>Allocation[[#This Row],[Quantity Processed]]/Allocation[[#This Row],[Dilution rate]]</f>
        <v>22570.344827586207</v>
      </c>
      <c r="T2624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2624" s="61">
        <f>Allocation[[#This Row],[Total volume used]]/VLOOKUP(Allocation[[#This Row],[Delivery ID]],Delivery[[Delivery ID]:[Quantity delivered]],3,FALSE)</f>
        <v>0.98939090395137719</v>
      </c>
      <c r="V2624" s="34" t="e">
        <f>VLOOKUP(Allocation[[#This Row],[SAP Contract number]],Shipments[[SAP Contract number]:[Contracted container weight]],2,FALSE)</f>
        <v>#N/A</v>
      </c>
      <c r="W2624" s="34" t="e">
        <f>VLOOKUP(Allocation[[#This Row],[SAP Contract number]],Shipments[[SAP Contract number]:[AAA Premium USD]],24,FALSE)</f>
        <v>#N/A</v>
      </c>
      <c r="X2624" s="34" t="e">
        <f>VLOOKUP(Allocation[[#This Row],[SAP Contract number]],Shipments[[SAP Contract number]:[RA Premium USD]],25,FALSE)</f>
        <v>#N/A</v>
      </c>
      <c r="Y2624" s="38">
        <f>Allocation[[#This Row],[Quantity Processed]]/Allocation[[#This Row],[Quantity allocated]]</f>
        <v>3.0302777777777776</v>
      </c>
      <c r="Z2624" s="34" t="b">
        <f>Allocation[[#This Row],[Quantity allocated]]&lt;=Allocation[[#This Row],[Quantity Processed]]</f>
        <v>1</v>
      </c>
    </row>
    <row r="2625" spans="1:26">
      <c r="A2625" s="247" t="s">
        <v>467</v>
      </c>
      <c r="B2625" s="210" t="s">
        <v>68</v>
      </c>
      <c r="C2625" s="254" t="s">
        <v>2117</v>
      </c>
      <c r="D2625" s="255">
        <v>1356</v>
      </c>
      <c r="E2625" s="211" t="s">
        <v>2239</v>
      </c>
      <c r="F2625" s="212">
        <v>43712</v>
      </c>
      <c r="G2625" s="213">
        <v>1.84</v>
      </c>
      <c r="H2625" s="256">
        <v>447</v>
      </c>
      <c r="I2625" s="214">
        <v>1490119</v>
      </c>
      <c r="J2625" s="215">
        <v>21000</v>
      </c>
      <c r="K2625" s="212">
        <v>43721</v>
      </c>
      <c r="L2625" s="211" t="s">
        <v>2240</v>
      </c>
      <c r="M2625" s="216">
        <v>4615450207</v>
      </c>
      <c r="N2625" s="212"/>
      <c r="O2625" s="218"/>
      <c r="P2625" s="219"/>
      <c r="Q2625" s="34">
        <f>SUMIF(Allocation[Delivery ID],Allocation[[#This Row],[Delivery ID]],Allocation[Quantity Processed])</f>
        <v>1356</v>
      </c>
      <c r="R2625" s="61">
        <f>Allocation[[#This Row],[Total volume used]]/VLOOKUP(Allocation[[#This Row],[Delivery ID]],Delivery[[Delivery ID]:[Quantity delivered]],3,FALSE)</f>
        <v>0.13425742574257427</v>
      </c>
      <c r="S2625" s="34">
        <f>Allocation[[#This Row],[Quantity Processed]]/Allocation[[#This Row],[Dilution rate]]</f>
        <v>736.95652173913038</v>
      </c>
      <c r="T2625" s="59">
        <f>SUMIF(Allocation[Delivery ID],Allocation[[#This Row],[Delivery ID]],Allocation[Quantity allocated])/SUMIF(Allocation[Delivery ID],Allocation[[#This Row],[Delivery ID]],Allocation[Volume available (kg)])</f>
        <v>0.60654867256637168</v>
      </c>
      <c r="U2625" s="61">
        <f>Allocation[[#This Row],[Total volume used]]/VLOOKUP(Allocation[[#This Row],[Delivery ID]],Delivery[[Delivery ID]:[Quantity delivered]],3,FALSE)</f>
        <v>0.13425742574257427</v>
      </c>
      <c r="V2625" s="34" t="e">
        <f>VLOOKUP(Allocation[[#This Row],[SAP Contract number]],Shipments[[SAP Contract number]:[Contracted container weight]],2,FALSE)</f>
        <v>#N/A</v>
      </c>
      <c r="W2625" s="34" t="e">
        <f>VLOOKUP(Allocation[[#This Row],[SAP Contract number]],Shipments[[SAP Contract number]:[AAA Premium USD]],24,FALSE)</f>
        <v>#N/A</v>
      </c>
      <c r="X2625" s="34" t="e">
        <f>VLOOKUP(Allocation[[#This Row],[SAP Contract number]],Shipments[[SAP Contract number]:[RA Premium USD]],25,FALSE)</f>
        <v>#N/A</v>
      </c>
      <c r="Y2625" s="38">
        <f>Allocation[[#This Row],[Quantity Processed]]/Allocation[[#This Row],[Quantity allocated]]</f>
        <v>3.0335570469798658</v>
      </c>
      <c r="Z2625" s="34" t="b">
        <f>Allocation[[#This Row],[Quantity allocated]]&lt;=Allocation[[#This Row],[Quantity Processed]]</f>
        <v>1</v>
      </c>
    </row>
    <row r="2626" spans="1:26">
      <c r="A2626" s="247" t="s">
        <v>467</v>
      </c>
      <c r="B2626" s="210" t="s">
        <v>68</v>
      </c>
      <c r="C2626" s="254" t="s">
        <v>2118</v>
      </c>
      <c r="D2626" s="255">
        <v>1404</v>
      </c>
      <c r="E2626" s="211" t="s">
        <v>2239</v>
      </c>
      <c r="F2626" s="212">
        <v>43712</v>
      </c>
      <c r="G2626" s="213">
        <v>1.84</v>
      </c>
      <c r="H2626" s="256">
        <v>463</v>
      </c>
      <c r="I2626" s="214">
        <v>1490119</v>
      </c>
      <c r="J2626" s="215">
        <v>21000</v>
      </c>
      <c r="K2626" s="212">
        <v>43721</v>
      </c>
      <c r="L2626" s="211" t="s">
        <v>2240</v>
      </c>
      <c r="M2626" s="216">
        <v>4615450207</v>
      </c>
      <c r="N2626" s="212"/>
      <c r="O2626" s="218"/>
      <c r="P2626" s="219"/>
      <c r="Q2626" s="34">
        <f>SUMIF(Allocation[Delivery ID],Allocation[[#This Row],[Delivery ID]],Allocation[Quantity Processed])</f>
        <v>1404</v>
      </c>
      <c r="R2626" s="61">
        <f>Allocation[[#This Row],[Total volume used]]/VLOOKUP(Allocation[[#This Row],[Delivery ID]],Delivery[[Delivery ID]:[Quantity delivered]],3,FALSE)</f>
        <v>0.13448275862068965</v>
      </c>
      <c r="S2626" s="34">
        <f>Allocation[[#This Row],[Quantity Processed]]/Allocation[[#This Row],[Dilution rate]]</f>
        <v>763.04347826086951</v>
      </c>
      <c r="T2626" s="59">
        <f>SUMIF(Allocation[Delivery ID],Allocation[[#This Row],[Delivery ID]],Allocation[Quantity allocated])/SUMIF(Allocation[Delivery ID],Allocation[[#This Row],[Delivery ID]],Allocation[Volume available (kg)])</f>
        <v>0.60678062678062683</v>
      </c>
      <c r="U2626" s="61">
        <f>Allocation[[#This Row],[Total volume used]]/VLOOKUP(Allocation[[#This Row],[Delivery ID]],Delivery[[Delivery ID]:[Quantity delivered]],3,FALSE)</f>
        <v>0.13448275862068965</v>
      </c>
      <c r="V2626" s="34" t="e">
        <f>VLOOKUP(Allocation[[#This Row],[SAP Contract number]],Shipments[[SAP Contract number]:[Contracted container weight]],2,FALSE)</f>
        <v>#N/A</v>
      </c>
      <c r="W2626" s="34" t="e">
        <f>VLOOKUP(Allocation[[#This Row],[SAP Contract number]],Shipments[[SAP Contract number]:[AAA Premium USD]],24,FALSE)</f>
        <v>#N/A</v>
      </c>
      <c r="X2626" s="34" t="e">
        <f>VLOOKUP(Allocation[[#This Row],[SAP Contract number]],Shipments[[SAP Contract number]:[RA Premium USD]],25,FALSE)</f>
        <v>#N/A</v>
      </c>
      <c r="Y2626" s="38">
        <f>Allocation[[#This Row],[Quantity Processed]]/Allocation[[#This Row],[Quantity allocated]]</f>
        <v>3.0323974082073435</v>
      </c>
      <c r="Z2626" s="34" t="b">
        <f>Allocation[[#This Row],[Quantity allocated]]&lt;=Allocation[[#This Row],[Quantity Processed]]</f>
        <v>1</v>
      </c>
    </row>
    <row r="2627" spans="1:26">
      <c r="A2627" s="247" t="s">
        <v>467</v>
      </c>
      <c r="B2627" s="210" t="s">
        <v>68</v>
      </c>
      <c r="C2627" s="254" t="s">
        <v>2119</v>
      </c>
      <c r="D2627" s="255">
        <v>1348</v>
      </c>
      <c r="E2627" s="211" t="s">
        <v>2239</v>
      </c>
      <c r="F2627" s="212">
        <v>43712</v>
      </c>
      <c r="G2627" s="213">
        <v>1.84</v>
      </c>
      <c r="H2627" s="256">
        <v>445</v>
      </c>
      <c r="I2627" s="214">
        <v>1490119</v>
      </c>
      <c r="J2627" s="215">
        <v>21000</v>
      </c>
      <c r="K2627" s="212">
        <v>43721</v>
      </c>
      <c r="L2627" s="211" t="s">
        <v>2240</v>
      </c>
      <c r="M2627" s="216">
        <v>4615450207</v>
      </c>
      <c r="N2627" s="212"/>
      <c r="O2627" s="218"/>
      <c r="P2627" s="219"/>
      <c r="Q2627" s="34">
        <f>SUMIF(Allocation[Delivery ID],Allocation[[#This Row],[Delivery ID]],Allocation[Quantity Processed])</f>
        <v>1348</v>
      </c>
      <c r="R2627" s="61">
        <f>Allocation[[#This Row],[Total volume used]]/VLOOKUP(Allocation[[#This Row],[Delivery ID]],Delivery[[Delivery ID]:[Quantity delivered]],3,FALSE)</f>
        <v>0.1342629482071713</v>
      </c>
      <c r="S2627" s="34">
        <f>Allocation[[#This Row],[Quantity Processed]]/Allocation[[#This Row],[Dilution rate]]</f>
        <v>732.60869565217388</v>
      </c>
      <c r="T2627" s="59">
        <f>SUMIF(Allocation[Delivery ID],Allocation[[#This Row],[Delivery ID]],Allocation[Quantity allocated])/SUMIF(Allocation[Delivery ID],Allocation[[#This Row],[Delivery ID]],Allocation[Volume available (kg)])</f>
        <v>0.60741839762611283</v>
      </c>
      <c r="U2627" s="61">
        <f>Allocation[[#This Row],[Total volume used]]/VLOOKUP(Allocation[[#This Row],[Delivery ID]],Delivery[[Delivery ID]:[Quantity delivered]],3,FALSE)</f>
        <v>0.1342629482071713</v>
      </c>
      <c r="V2627" s="34" t="e">
        <f>VLOOKUP(Allocation[[#This Row],[SAP Contract number]],Shipments[[SAP Contract number]:[Contracted container weight]],2,FALSE)</f>
        <v>#N/A</v>
      </c>
      <c r="W2627" s="34" t="e">
        <f>VLOOKUP(Allocation[[#This Row],[SAP Contract number]],Shipments[[SAP Contract number]:[AAA Premium USD]],24,FALSE)</f>
        <v>#N/A</v>
      </c>
      <c r="X2627" s="34" t="e">
        <f>VLOOKUP(Allocation[[#This Row],[SAP Contract number]],Shipments[[SAP Contract number]:[RA Premium USD]],25,FALSE)</f>
        <v>#N/A</v>
      </c>
      <c r="Y2627" s="38">
        <f>Allocation[[#This Row],[Quantity Processed]]/Allocation[[#This Row],[Quantity allocated]]</f>
        <v>3.0292134831460675</v>
      </c>
      <c r="Z2627" s="34" t="b">
        <f>Allocation[[#This Row],[Quantity allocated]]&lt;=Allocation[[#This Row],[Quantity Processed]]</f>
        <v>1</v>
      </c>
    </row>
    <row r="2628" spans="1:26">
      <c r="A2628" s="247" t="s">
        <v>467</v>
      </c>
      <c r="B2628" s="210" t="s">
        <v>68</v>
      </c>
      <c r="C2628" s="254" t="s">
        <v>2120</v>
      </c>
      <c r="D2628" s="255">
        <v>1322</v>
      </c>
      <c r="E2628" s="211" t="s">
        <v>2239</v>
      </c>
      <c r="F2628" s="212">
        <v>43712</v>
      </c>
      <c r="G2628" s="213">
        <v>1.84</v>
      </c>
      <c r="H2628" s="256">
        <v>436</v>
      </c>
      <c r="I2628" s="214">
        <v>1490119</v>
      </c>
      <c r="J2628" s="215">
        <v>21000</v>
      </c>
      <c r="K2628" s="212">
        <v>43721</v>
      </c>
      <c r="L2628" s="211" t="s">
        <v>2240</v>
      </c>
      <c r="M2628" s="216">
        <v>4615450207</v>
      </c>
      <c r="N2628" s="212"/>
      <c r="O2628" s="218"/>
      <c r="P2628" s="219"/>
      <c r="Q2628" s="34">
        <f>SUMIF(Allocation[Delivery ID],Allocation[[#This Row],[Delivery ID]],Allocation[Quantity Processed])</f>
        <v>1322</v>
      </c>
      <c r="R2628" s="61">
        <f>Allocation[[#This Row],[Total volume used]]/VLOOKUP(Allocation[[#This Row],[Delivery ID]],Delivery[[Delivery ID]:[Quantity delivered]],3,FALSE)</f>
        <v>0.1347604485219164</v>
      </c>
      <c r="S2628" s="34">
        <f>Allocation[[#This Row],[Quantity Processed]]/Allocation[[#This Row],[Dilution rate]]</f>
        <v>718.47826086956513</v>
      </c>
      <c r="T2628" s="59">
        <f>SUMIF(Allocation[Delivery ID],Allocation[[#This Row],[Delivery ID]],Allocation[Quantity allocated])/SUMIF(Allocation[Delivery ID],Allocation[[#This Row],[Delivery ID]],Allocation[Volume available (kg)])</f>
        <v>0.60683812405446302</v>
      </c>
      <c r="U2628" s="61">
        <f>Allocation[[#This Row],[Total volume used]]/VLOOKUP(Allocation[[#This Row],[Delivery ID]],Delivery[[Delivery ID]:[Quantity delivered]],3,FALSE)</f>
        <v>0.1347604485219164</v>
      </c>
      <c r="V2628" s="34" t="e">
        <f>VLOOKUP(Allocation[[#This Row],[SAP Contract number]],Shipments[[SAP Contract number]:[Contracted container weight]],2,FALSE)</f>
        <v>#N/A</v>
      </c>
      <c r="W2628" s="34" t="e">
        <f>VLOOKUP(Allocation[[#This Row],[SAP Contract number]],Shipments[[SAP Contract number]:[AAA Premium USD]],24,FALSE)</f>
        <v>#N/A</v>
      </c>
      <c r="X2628" s="34" t="e">
        <f>VLOOKUP(Allocation[[#This Row],[SAP Contract number]],Shipments[[SAP Contract number]:[RA Premium USD]],25,FALSE)</f>
        <v>#N/A</v>
      </c>
      <c r="Y2628" s="38">
        <f>Allocation[[#This Row],[Quantity Processed]]/Allocation[[#This Row],[Quantity allocated]]</f>
        <v>3.0321100917431192</v>
      </c>
      <c r="Z2628" s="34" t="b">
        <f>Allocation[[#This Row],[Quantity allocated]]&lt;=Allocation[[#This Row],[Quantity Processed]]</f>
        <v>1</v>
      </c>
    </row>
    <row r="2629" spans="1:26">
      <c r="A2629" s="247" t="s">
        <v>467</v>
      </c>
      <c r="B2629" s="210" t="s">
        <v>68</v>
      </c>
      <c r="C2629" s="254" t="s">
        <v>2121</v>
      </c>
      <c r="D2629" s="255">
        <v>1233</v>
      </c>
      <c r="E2629" s="211" t="s">
        <v>2239</v>
      </c>
      <c r="F2629" s="212">
        <v>43712</v>
      </c>
      <c r="G2629" s="213">
        <v>1.84</v>
      </c>
      <c r="H2629" s="256">
        <v>407</v>
      </c>
      <c r="I2629" s="214">
        <v>1490119</v>
      </c>
      <c r="J2629" s="215">
        <v>21000</v>
      </c>
      <c r="K2629" s="212">
        <v>43721</v>
      </c>
      <c r="L2629" s="211" t="s">
        <v>2240</v>
      </c>
      <c r="M2629" s="216">
        <v>4615450207</v>
      </c>
      <c r="N2629" s="212"/>
      <c r="O2629" s="218"/>
      <c r="P2629" s="219"/>
      <c r="Q2629" s="34">
        <f>SUMIF(Allocation[Delivery ID],Allocation[[#This Row],[Delivery ID]],Allocation[Quantity Processed])</f>
        <v>1233</v>
      </c>
      <c r="R2629" s="61">
        <f>Allocation[[#This Row],[Total volume used]]/VLOOKUP(Allocation[[#This Row],[Delivery ID]],Delivery[[Delivery ID]:[Quantity delivered]],3,FALSE)</f>
        <v>0.13475409836065574</v>
      </c>
      <c r="S2629" s="34">
        <f>Allocation[[#This Row],[Quantity Processed]]/Allocation[[#This Row],[Dilution rate]]</f>
        <v>670.10869565217388</v>
      </c>
      <c r="T2629" s="59">
        <f>SUMIF(Allocation[Delivery ID],Allocation[[#This Row],[Delivery ID]],Allocation[Quantity allocated])/SUMIF(Allocation[Delivery ID],Allocation[[#This Row],[Delivery ID]],Allocation[Volume available (kg)])</f>
        <v>0.60736415247364151</v>
      </c>
      <c r="U2629" s="61">
        <f>Allocation[[#This Row],[Total volume used]]/VLOOKUP(Allocation[[#This Row],[Delivery ID]],Delivery[[Delivery ID]:[Quantity delivered]],3,FALSE)</f>
        <v>0.13475409836065574</v>
      </c>
      <c r="V2629" s="34" t="e">
        <f>VLOOKUP(Allocation[[#This Row],[SAP Contract number]],Shipments[[SAP Contract number]:[Contracted container weight]],2,FALSE)</f>
        <v>#N/A</v>
      </c>
      <c r="W2629" s="34" t="e">
        <f>VLOOKUP(Allocation[[#This Row],[SAP Contract number]],Shipments[[SAP Contract number]:[AAA Premium USD]],24,FALSE)</f>
        <v>#N/A</v>
      </c>
      <c r="X2629" s="34" t="e">
        <f>VLOOKUP(Allocation[[#This Row],[SAP Contract number]],Shipments[[SAP Contract number]:[RA Premium USD]],25,FALSE)</f>
        <v>#N/A</v>
      </c>
      <c r="Y2629" s="38">
        <f>Allocation[[#This Row],[Quantity Processed]]/Allocation[[#This Row],[Quantity allocated]]</f>
        <v>3.0294840294840295</v>
      </c>
      <c r="Z2629" s="34" t="b">
        <f>Allocation[[#This Row],[Quantity allocated]]&lt;=Allocation[[#This Row],[Quantity Processed]]</f>
        <v>1</v>
      </c>
    </row>
    <row r="2630" spans="1:26">
      <c r="A2630" s="247" t="s">
        <v>467</v>
      </c>
      <c r="B2630" s="210" t="s">
        <v>68</v>
      </c>
      <c r="C2630" s="254" t="s">
        <v>2122</v>
      </c>
      <c r="D2630" s="255">
        <v>1380</v>
      </c>
      <c r="E2630" s="211" t="s">
        <v>2239</v>
      </c>
      <c r="F2630" s="212">
        <v>43712</v>
      </c>
      <c r="G2630" s="213">
        <v>1.84</v>
      </c>
      <c r="H2630" s="256">
        <v>456</v>
      </c>
      <c r="I2630" s="214">
        <v>1490119</v>
      </c>
      <c r="J2630" s="215">
        <v>21000</v>
      </c>
      <c r="K2630" s="212">
        <v>43721</v>
      </c>
      <c r="L2630" s="211" t="s">
        <v>2240</v>
      </c>
      <c r="M2630" s="216">
        <v>4615450207</v>
      </c>
      <c r="N2630" s="212"/>
      <c r="O2630" s="218"/>
      <c r="P2630" s="219"/>
      <c r="Q2630" s="34">
        <f>SUMIF(Allocation[Delivery ID],Allocation[[#This Row],[Delivery ID]],Allocation[Quantity Processed])</f>
        <v>1380</v>
      </c>
      <c r="R2630" s="61">
        <f>Allocation[[#This Row],[Total volume used]]/VLOOKUP(Allocation[[#This Row],[Delivery ID]],Delivery[[Delivery ID]:[Quantity delivered]],3,FALSE)</f>
        <v>0.13463414634146342</v>
      </c>
      <c r="S2630" s="34">
        <f>Allocation[[#This Row],[Quantity Processed]]/Allocation[[#This Row],[Dilution rate]]</f>
        <v>750</v>
      </c>
      <c r="T2630" s="59">
        <f>SUMIF(Allocation[Delivery ID],Allocation[[#This Row],[Delivery ID]],Allocation[Quantity allocated])/SUMIF(Allocation[Delivery ID],Allocation[[#This Row],[Delivery ID]],Allocation[Volume available (kg)])</f>
        <v>0.60799999999999998</v>
      </c>
      <c r="U2630" s="61">
        <f>Allocation[[#This Row],[Total volume used]]/VLOOKUP(Allocation[[#This Row],[Delivery ID]],Delivery[[Delivery ID]:[Quantity delivered]],3,FALSE)</f>
        <v>0.13463414634146342</v>
      </c>
      <c r="V2630" s="34" t="e">
        <f>VLOOKUP(Allocation[[#This Row],[SAP Contract number]],Shipments[[SAP Contract number]:[Contracted container weight]],2,FALSE)</f>
        <v>#N/A</v>
      </c>
      <c r="W2630" s="34" t="e">
        <f>VLOOKUP(Allocation[[#This Row],[SAP Contract number]],Shipments[[SAP Contract number]:[AAA Premium USD]],24,FALSE)</f>
        <v>#N/A</v>
      </c>
      <c r="X2630" s="34" t="e">
        <f>VLOOKUP(Allocation[[#This Row],[SAP Contract number]],Shipments[[SAP Contract number]:[RA Premium USD]],25,FALSE)</f>
        <v>#N/A</v>
      </c>
      <c r="Y2630" s="38">
        <f>Allocation[[#This Row],[Quantity Processed]]/Allocation[[#This Row],[Quantity allocated]]</f>
        <v>3.0263157894736841</v>
      </c>
      <c r="Z2630" s="34" t="b">
        <f>Allocation[[#This Row],[Quantity allocated]]&lt;=Allocation[[#This Row],[Quantity Processed]]</f>
        <v>1</v>
      </c>
    </row>
    <row r="2631" spans="1:26">
      <c r="A2631" s="247" t="s">
        <v>467</v>
      </c>
      <c r="B2631" s="210" t="s">
        <v>68</v>
      </c>
      <c r="C2631" s="254" t="s">
        <v>2123</v>
      </c>
      <c r="D2631" s="255">
        <v>1387</v>
      </c>
      <c r="E2631" s="211" t="s">
        <v>2239</v>
      </c>
      <c r="F2631" s="212">
        <v>43712</v>
      </c>
      <c r="G2631" s="213">
        <v>1.84</v>
      </c>
      <c r="H2631" s="256">
        <v>458</v>
      </c>
      <c r="I2631" s="214">
        <v>1490119</v>
      </c>
      <c r="J2631" s="215">
        <v>21000</v>
      </c>
      <c r="K2631" s="212">
        <v>43721</v>
      </c>
      <c r="L2631" s="211" t="s">
        <v>2240</v>
      </c>
      <c r="M2631" s="216">
        <v>4615450207</v>
      </c>
      <c r="N2631" s="212"/>
      <c r="O2631" s="218"/>
      <c r="P2631" s="219"/>
      <c r="Q2631" s="34">
        <f>SUMIF(Allocation[Delivery ID],Allocation[[#This Row],[Delivery ID]],Allocation[Quantity Processed])</f>
        <v>1387</v>
      </c>
      <c r="R2631" s="61">
        <f>Allocation[[#This Row],[Total volume used]]/VLOOKUP(Allocation[[#This Row],[Delivery ID]],Delivery[[Delivery ID]:[Quantity delivered]],3,FALSE)</f>
        <v>0.13375120540019286</v>
      </c>
      <c r="S2631" s="34">
        <f>Allocation[[#This Row],[Quantity Processed]]/Allocation[[#This Row],[Dilution rate]]</f>
        <v>753.80434782608688</v>
      </c>
      <c r="T2631" s="59">
        <f>SUMIF(Allocation[Delivery ID],Allocation[[#This Row],[Delivery ID]],Allocation[Quantity allocated])/SUMIF(Allocation[Delivery ID],Allocation[[#This Row],[Delivery ID]],Allocation[Volume available (kg)])</f>
        <v>0.60758471521268931</v>
      </c>
      <c r="U2631" s="61">
        <f>Allocation[[#This Row],[Total volume used]]/VLOOKUP(Allocation[[#This Row],[Delivery ID]],Delivery[[Delivery ID]:[Quantity delivered]],3,FALSE)</f>
        <v>0.13375120540019286</v>
      </c>
      <c r="V2631" s="34" t="e">
        <f>VLOOKUP(Allocation[[#This Row],[SAP Contract number]],Shipments[[SAP Contract number]:[Contracted container weight]],2,FALSE)</f>
        <v>#N/A</v>
      </c>
      <c r="W2631" s="34" t="e">
        <f>VLOOKUP(Allocation[[#This Row],[SAP Contract number]],Shipments[[SAP Contract number]:[AAA Premium USD]],24,FALSE)</f>
        <v>#N/A</v>
      </c>
      <c r="X2631" s="34" t="e">
        <f>VLOOKUP(Allocation[[#This Row],[SAP Contract number]],Shipments[[SAP Contract number]:[RA Premium USD]],25,FALSE)</f>
        <v>#N/A</v>
      </c>
      <c r="Y2631" s="38">
        <f>Allocation[[#This Row],[Quantity Processed]]/Allocation[[#This Row],[Quantity allocated]]</f>
        <v>3.0283842794759823</v>
      </c>
      <c r="Z2631" s="34" t="b">
        <f>Allocation[[#This Row],[Quantity allocated]]&lt;=Allocation[[#This Row],[Quantity Processed]]</f>
        <v>1</v>
      </c>
    </row>
    <row r="2632" spans="1:26">
      <c r="A2632" s="247" t="s">
        <v>467</v>
      </c>
      <c r="B2632" s="210" t="s">
        <v>68</v>
      </c>
      <c r="C2632" s="254" t="s">
        <v>1981</v>
      </c>
      <c r="D2632" s="255">
        <v>8156</v>
      </c>
      <c r="E2632" s="211" t="s">
        <v>2239</v>
      </c>
      <c r="F2632" s="212">
        <v>43712</v>
      </c>
      <c r="G2632" s="213">
        <v>1.84</v>
      </c>
      <c r="H2632" s="256">
        <v>2700</v>
      </c>
      <c r="I2632" s="214">
        <v>1490119</v>
      </c>
      <c r="J2632" s="215">
        <v>21000</v>
      </c>
      <c r="K2632" s="212">
        <v>43721</v>
      </c>
      <c r="L2632" s="211" t="s">
        <v>2240</v>
      </c>
      <c r="M2632" s="216">
        <v>4615450207</v>
      </c>
      <c r="N2632" s="212"/>
      <c r="O2632" s="218"/>
      <c r="P2632" s="219"/>
      <c r="Q2632" s="34">
        <f>SUMIF(Allocation[Delivery ID],Allocation[[#This Row],[Delivery ID]],Allocation[Quantity Processed])</f>
        <v>15580</v>
      </c>
      <c r="R2632" s="61">
        <f>Allocation[[#This Row],[Total volume used]]/VLOOKUP(Allocation[[#This Row],[Delivery ID]],Delivery[[Delivery ID]:[Quantity delivered]],3,FALSE)</f>
        <v>1</v>
      </c>
      <c r="S2632" s="34">
        <f>Allocation[[#This Row],[Quantity Processed]]/Allocation[[#This Row],[Dilution rate]]</f>
        <v>4432.608695652174</v>
      </c>
      <c r="T2632" s="59">
        <f>SUMIF(Allocation[Delivery ID],Allocation[[#This Row],[Delivery ID]],Allocation[Quantity allocated])/SUMIF(Allocation[Delivery ID],Allocation[[#This Row],[Delivery ID]],Allocation[Volume available (kg)])</f>
        <v>0.63518639946268951</v>
      </c>
      <c r="U2632" s="61">
        <f>Allocation[[#This Row],[Total volume used]]/VLOOKUP(Allocation[[#This Row],[Delivery ID]],Delivery[[Delivery ID]:[Quantity delivered]],3,FALSE)</f>
        <v>1</v>
      </c>
      <c r="V2632" s="34" t="e">
        <f>VLOOKUP(Allocation[[#This Row],[SAP Contract number]],Shipments[[SAP Contract number]:[Contracted container weight]],2,FALSE)</f>
        <v>#N/A</v>
      </c>
      <c r="W2632" s="34" t="e">
        <f>VLOOKUP(Allocation[[#This Row],[SAP Contract number]],Shipments[[SAP Contract number]:[AAA Premium USD]],24,FALSE)</f>
        <v>#N/A</v>
      </c>
      <c r="X2632" s="34" t="e">
        <f>VLOOKUP(Allocation[[#This Row],[SAP Contract number]],Shipments[[SAP Contract number]:[RA Premium USD]],25,FALSE)</f>
        <v>#N/A</v>
      </c>
      <c r="Y2632" s="38">
        <f>Allocation[[#This Row],[Quantity Processed]]/Allocation[[#This Row],[Quantity allocated]]</f>
        <v>3.0207407407407407</v>
      </c>
      <c r="Z2632" s="34" t="b">
        <f>Allocation[[#This Row],[Quantity allocated]]&lt;=Allocation[[#This Row],[Quantity Processed]]</f>
        <v>1</v>
      </c>
    </row>
    <row r="2633" spans="1:26">
      <c r="A2633" s="247" t="s">
        <v>467</v>
      </c>
      <c r="B2633" s="210" t="s">
        <v>68</v>
      </c>
      <c r="C2633" s="254" t="s">
        <v>2127</v>
      </c>
      <c r="D2633" s="255">
        <v>1780</v>
      </c>
      <c r="E2633" s="211" t="s">
        <v>2239</v>
      </c>
      <c r="F2633" s="212">
        <v>43712</v>
      </c>
      <c r="G2633" s="213">
        <v>1.84</v>
      </c>
      <c r="H2633" s="256">
        <v>730</v>
      </c>
      <c r="I2633" s="214">
        <v>1490119</v>
      </c>
      <c r="J2633" s="215">
        <v>21000</v>
      </c>
      <c r="K2633" s="212">
        <v>43721</v>
      </c>
      <c r="L2633" s="211" t="s">
        <v>2240</v>
      </c>
      <c r="M2633" s="216">
        <v>4615450207</v>
      </c>
      <c r="N2633" s="212"/>
      <c r="O2633" s="218"/>
      <c r="P2633" s="219"/>
      <c r="Q2633" s="34">
        <f>SUMIF(Allocation[Delivery ID],Allocation[[#This Row],[Delivery ID]],Allocation[Quantity Processed])</f>
        <v>1780</v>
      </c>
      <c r="R2633" s="61">
        <f>Allocation[[#This Row],[Total volume used]]/VLOOKUP(Allocation[[#This Row],[Delivery ID]],Delivery[[Delivery ID]:[Quantity delivered]],3,FALSE)</f>
        <v>0.10840438489646773</v>
      </c>
      <c r="S2633" s="34">
        <f>Allocation[[#This Row],[Quantity Processed]]/Allocation[[#This Row],[Dilution rate]]</f>
        <v>967.39130434782601</v>
      </c>
      <c r="T2633" s="59">
        <f>SUMIF(Allocation[Delivery ID],Allocation[[#This Row],[Delivery ID]],Allocation[Quantity allocated])/SUMIF(Allocation[Delivery ID],Allocation[[#This Row],[Delivery ID]],Allocation[Volume available (kg)])</f>
        <v>0.75460674157303376</v>
      </c>
      <c r="U2633" s="61">
        <f>Allocation[[#This Row],[Total volume used]]/VLOOKUP(Allocation[[#This Row],[Delivery ID]],Delivery[[Delivery ID]:[Quantity delivered]],3,FALSE)</f>
        <v>0.10840438489646773</v>
      </c>
      <c r="V2633" s="34" t="e">
        <f>VLOOKUP(Allocation[[#This Row],[SAP Contract number]],Shipments[[SAP Contract number]:[Contracted container weight]],2,FALSE)</f>
        <v>#N/A</v>
      </c>
      <c r="W2633" s="34" t="e">
        <f>VLOOKUP(Allocation[[#This Row],[SAP Contract number]],Shipments[[SAP Contract number]:[AAA Premium USD]],24,FALSE)</f>
        <v>#N/A</v>
      </c>
      <c r="X2633" s="34" t="e">
        <f>VLOOKUP(Allocation[[#This Row],[SAP Contract number]],Shipments[[SAP Contract number]:[RA Premium USD]],25,FALSE)</f>
        <v>#N/A</v>
      </c>
      <c r="Y2633" s="38">
        <f>Allocation[[#This Row],[Quantity Processed]]/Allocation[[#This Row],[Quantity allocated]]</f>
        <v>2.4383561643835616</v>
      </c>
      <c r="Z2633" s="34" t="b">
        <f>Allocation[[#This Row],[Quantity allocated]]&lt;=Allocation[[#This Row],[Quantity Processed]]</f>
        <v>1</v>
      </c>
    </row>
    <row r="2634" spans="1:26">
      <c r="A2634" s="247" t="s">
        <v>467</v>
      </c>
      <c r="B2634" s="210" t="s">
        <v>68</v>
      </c>
      <c r="C2634" s="254" t="s">
        <v>2129</v>
      </c>
      <c r="D2634" s="255">
        <v>1806</v>
      </c>
      <c r="E2634" s="211" t="s">
        <v>2239</v>
      </c>
      <c r="F2634" s="212">
        <v>43712</v>
      </c>
      <c r="G2634" s="213">
        <v>1.84</v>
      </c>
      <c r="H2634" s="256">
        <v>741</v>
      </c>
      <c r="I2634" s="214">
        <v>1490119</v>
      </c>
      <c r="J2634" s="215">
        <v>21000</v>
      </c>
      <c r="K2634" s="212">
        <v>43721</v>
      </c>
      <c r="L2634" s="211" t="s">
        <v>2240</v>
      </c>
      <c r="M2634" s="216">
        <v>4615450207</v>
      </c>
      <c r="N2634" s="212"/>
      <c r="O2634" s="218"/>
      <c r="P2634" s="219"/>
      <c r="Q2634" s="34">
        <f>SUMIF(Allocation[Delivery ID],Allocation[[#This Row],[Delivery ID]],Allocation[Quantity Processed])</f>
        <v>1806</v>
      </c>
      <c r="R2634" s="61">
        <f>Allocation[[#This Row],[Total volume used]]/VLOOKUP(Allocation[[#This Row],[Delivery ID]],Delivery[[Delivery ID]:[Quantity delivered]],3,FALSE)</f>
        <v>0.10820850808867585</v>
      </c>
      <c r="S2634" s="34">
        <f>Allocation[[#This Row],[Quantity Processed]]/Allocation[[#This Row],[Dilution rate]]</f>
        <v>981.52173913043475</v>
      </c>
      <c r="T2634" s="59">
        <f>SUMIF(Allocation[Delivery ID],Allocation[[#This Row],[Delivery ID]],Allocation[Quantity allocated])/SUMIF(Allocation[Delivery ID],Allocation[[#This Row],[Delivery ID]],Allocation[Volume available (kg)])</f>
        <v>0.75495016611295684</v>
      </c>
      <c r="U2634" s="61">
        <f>Allocation[[#This Row],[Total volume used]]/VLOOKUP(Allocation[[#This Row],[Delivery ID]],Delivery[[Delivery ID]:[Quantity delivered]],3,FALSE)</f>
        <v>0.10820850808867585</v>
      </c>
      <c r="V2634" s="34" t="e">
        <f>VLOOKUP(Allocation[[#This Row],[SAP Contract number]],Shipments[[SAP Contract number]:[Contracted container weight]],2,FALSE)</f>
        <v>#N/A</v>
      </c>
      <c r="W2634" s="34" t="e">
        <f>VLOOKUP(Allocation[[#This Row],[SAP Contract number]],Shipments[[SAP Contract number]:[AAA Premium USD]],24,FALSE)</f>
        <v>#N/A</v>
      </c>
      <c r="X2634" s="34" t="e">
        <f>VLOOKUP(Allocation[[#This Row],[SAP Contract number]],Shipments[[SAP Contract number]:[RA Premium USD]],25,FALSE)</f>
        <v>#N/A</v>
      </c>
      <c r="Y2634" s="38">
        <f>Allocation[[#This Row],[Quantity Processed]]/Allocation[[#This Row],[Quantity allocated]]</f>
        <v>2.4372469635627532</v>
      </c>
      <c r="Z2634" s="34" t="b">
        <f>Allocation[[#This Row],[Quantity allocated]]&lt;=Allocation[[#This Row],[Quantity Processed]]</f>
        <v>1</v>
      </c>
    </row>
    <row r="2635" spans="1:26">
      <c r="A2635" s="247" t="s">
        <v>467</v>
      </c>
      <c r="B2635" s="210" t="s">
        <v>68</v>
      </c>
      <c r="C2635" s="254" t="s">
        <v>2130</v>
      </c>
      <c r="D2635" s="255">
        <v>4033</v>
      </c>
      <c r="E2635" s="211" t="s">
        <v>2239</v>
      </c>
      <c r="F2635" s="212">
        <v>43712</v>
      </c>
      <c r="G2635" s="213">
        <v>1.84</v>
      </c>
      <c r="H2635" s="256">
        <v>1452</v>
      </c>
      <c r="I2635" s="214">
        <v>1490119</v>
      </c>
      <c r="J2635" s="215">
        <v>21000</v>
      </c>
      <c r="K2635" s="212">
        <v>43721</v>
      </c>
      <c r="L2635" s="211" t="s">
        <v>2240</v>
      </c>
      <c r="M2635" s="216">
        <v>4615450207</v>
      </c>
      <c r="N2635" s="212"/>
      <c r="O2635" s="218"/>
      <c r="P2635" s="219"/>
      <c r="Q2635" s="34">
        <f>SUMIF(Allocation[Delivery ID],Allocation[[#This Row],[Delivery ID]],Allocation[Quantity Processed])</f>
        <v>4033</v>
      </c>
      <c r="R2635" s="61">
        <f>Allocation[[#This Row],[Total volume used]]/VLOOKUP(Allocation[[#This Row],[Delivery ID]],Delivery[[Delivery ID]:[Quantity delivered]],3,FALSE)</f>
        <v>0.12303233679072605</v>
      </c>
      <c r="S2635" s="34">
        <f>Allocation[[#This Row],[Quantity Processed]]/Allocation[[#This Row],[Dilution rate]]</f>
        <v>2191.8478260869565</v>
      </c>
      <c r="T2635" s="59">
        <f>SUMIF(Allocation[Delivery ID],Allocation[[#This Row],[Delivery ID]],Allocation[Quantity allocated])/SUMIF(Allocation[Delivery ID],Allocation[[#This Row],[Delivery ID]],Allocation[Volume available (kg)])</f>
        <v>0.66245474832630802</v>
      </c>
      <c r="U2635" s="61">
        <f>Allocation[[#This Row],[Total volume used]]/VLOOKUP(Allocation[[#This Row],[Delivery ID]],Delivery[[Delivery ID]:[Quantity delivered]],3,FALSE)</f>
        <v>0.12303233679072605</v>
      </c>
      <c r="V2635" s="34" t="e">
        <f>VLOOKUP(Allocation[[#This Row],[SAP Contract number]],Shipments[[SAP Contract number]:[Contracted container weight]],2,FALSE)</f>
        <v>#N/A</v>
      </c>
      <c r="W2635" s="34" t="e">
        <f>VLOOKUP(Allocation[[#This Row],[SAP Contract number]],Shipments[[SAP Contract number]:[AAA Premium USD]],24,FALSE)</f>
        <v>#N/A</v>
      </c>
      <c r="X2635" s="34" t="e">
        <f>VLOOKUP(Allocation[[#This Row],[SAP Contract number]],Shipments[[SAP Contract number]:[RA Premium USD]],25,FALSE)</f>
        <v>#N/A</v>
      </c>
      <c r="Y2635" s="38">
        <f>Allocation[[#This Row],[Quantity Processed]]/Allocation[[#This Row],[Quantity allocated]]</f>
        <v>2.7775482093663912</v>
      </c>
      <c r="Z2635" s="34" t="b">
        <f>Allocation[[#This Row],[Quantity allocated]]&lt;=Allocation[[#This Row],[Quantity Processed]]</f>
        <v>1</v>
      </c>
    </row>
    <row r="2636" spans="1:26">
      <c r="A2636" s="247" t="s">
        <v>467</v>
      </c>
      <c r="B2636" s="210" t="s">
        <v>68</v>
      </c>
      <c r="C2636" s="254" t="s">
        <v>2131</v>
      </c>
      <c r="D2636" s="255">
        <v>3725</v>
      </c>
      <c r="E2636" s="211" t="s">
        <v>2239</v>
      </c>
      <c r="F2636" s="212">
        <v>43712</v>
      </c>
      <c r="G2636" s="213">
        <v>1.84</v>
      </c>
      <c r="H2636" s="256">
        <v>1341</v>
      </c>
      <c r="I2636" s="214">
        <v>1490119</v>
      </c>
      <c r="J2636" s="215">
        <v>21000</v>
      </c>
      <c r="K2636" s="212">
        <v>43721</v>
      </c>
      <c r="L2636" s="211" t="s">
        <v>2240</v>
      </c>
      <c r="M2636" s="216">
        <v>4615450207</v>
      </c>
      <c r="N2636" s="212"/>
      <c r="O2636" s="218"/>
      <c r="P2636" s="219"/>
      <c r="Q2636" s="34">
        <f>SUMIF(Allocation[Delivery ID],Allocation[[#This Row],[Delivery ID]],Allocation[Quantity Processed])</f>
        <v>3725</v>
      </c>
      <c r="R2636" s="61">
        <f>Allocation[[#This Row],[Total volume used]]/VLOOKUP(Allocation[[#This Row],[Delivery ID]],Delivery[[Delivery ID]:[Quantity delivered]],3,FALSE)</f>
        <v>0.1233035418735518</v>
      </c>
      <c r="S2636" s="34">
        <f>Allocation[[#This Row],[Quantity Processed]]/Allocation[[#This Row],[Dilution rate]]</f>
        <v>2024.4565217391303</v>
      </c>
      <c r="T2636" s="59">
        <f>SUMIF(Allocation[Delivery ID],Allocation[[#This Row],[Delivery ID]],Allocation[Quantity allocated])/SUMIF(Allocation[Delivery ID],Allocation[[#This Row],[Delivery ID]],Allocation[Volume available (kg)])</f>
        <v>0.6624000000000001</v>
      </c>
      <c r="U2636" s="61">
        <f>Allocation[[#This Row],[Total volume used]]/VLOOKUP(Allocation[[#This Row],[Delivery ID]],Delivery[[Delivery ID]:[Quantity delivered]],3,FALSE)</f>
        <v>0.1233035418735518</v>
      </c>
      <c r="V2636" s="34" t="e">
        <f>VLOOKUP(Allocation[[#This Row],[SAP Contract number]],Shipments[[SAP Contract number]:[Contracted container weight]],2,FALSE)</f>
        <v>#N/A</v>
      </c>
      <c r="W2636" s="34" t="e">
        <f>VLOOKUP(Allocation[[#This Row],[SAP Contract number]],Shipments[[SAP Contract number]:[AAA Premium USD]],24,FALSE)</f>
        <v>#N/A</v>
      </c>
      <c r="X2636" s="34" t="e">
        <f>VLOOKUP(Allocation[[#This Row],[SAP Contract number]],Shipments[[SAP Contract number]:[RA Premium USD]],25,FALSE)</f>
        <v>#N/A</v>
      </c>
      <c r="Y2636" s="38">
        <f>Allocation[[#This Row],[Quantity Processed]]/Allocation[[#This Row],[Quantity allocated]]</f>
        <v>2.7777777777777777</v>
      </c>
      <c r="Z2636" s="34" t="b">
        <f>Allocation[[#This Row],[Quantity allocated]]&lt;=Allocation[[#This Row],[Quantity Processed]]</f>
        <v>1</v>
      </c>
    </row>
    <row r="2637" spans="1:26">
      <c r="A2637" s="247" t="s">
        <v>467</v>
      </c>
      <c r="B2637" s="210" t="s">
        <v>68</v>
      </c>
      <c r="C2637" s="254" t="s">
        <v>2132</v>
      </c>
      <c r="D2637" s="255">
        <v>290</v>
      </c>
      <c r="E2637" s="211" t="s">
        <v>2239</v>
      </c>
      <c r="F2637" s="212">
        <v>43712</v>
      </c>
      <c r="G2637" s="213">
        <v>1.84</v>
      </c>
      <c r="H2637" s="256">
        <v>96</v>
      </c>
      <c r="I2637" s="214">
        <v>1490119</v>
      </c>
      <c r="J2637" s="215">
        <v>21000</v>
      </c>
      <c r="K2637" s="212">
        <v>43721</v>
      </c>
      <c r="L2637" s="211" t="s">
        <v>2240</v>
      </c>
      <c r="M2637" s="216">
        <v>4615450207</v>
      </c>
      <c r="N2637" s="212"/>
      <c r="O2637" s="218"/>
      <c r="P2637" s="219"/>
      <c r="Q2637" s="34">
        <f>SUMIF(Allocation[Delivery ID],Allocation[[#This Row],[Delivery ID]],Allocation[Quantity Processed])</f>
        <v>290</v>
      </c>
      <c r="R2637" s="61">
        <f>Allocation[[#This Row],[Total volume used]]/VLOOKUP(Allocation[[#This Row],[Delivery ID]],Delivery[[Delivery ID]:[Quantity delivered]],3,FALSE)</f>
        <v>2.0523708421797595E-2</v>
      </c>
      <c r="S2637" s="34">
        <f>Allocation[[#This Row],[Quantity Processed]]/Allocation[[#This Row],[Dilution rate]]</f>
        <v>157.60869565217391</v>
      </c>
      <c r="T2637" s="59">
        <f>SUMIF(Allocation[Delivery ID],Allocation[[#This Row],[Delivery ID]],Allocation[Quantity allocated])/SUMIF(Allocation[Delivery ID],Allocation[[#This Row],[Delivery ID]],Allocation[Volume available (kg)])</f>
        <v>0.60910344827586205</v>
      </c>
      <c r="U2637" s="61">
        <f>Allocation[[#This Row],[Total volume used]]/VLOOKUP(Allocation[[#This Row],[Delivery ID]],Delivery[[Delivery ID]:[Quantity delivered]],3,FALSE)</f>
        <v>2.0523708421797595E-2</v>
      </c>
      <c r="V2637" s="34" t="e">
        <f>VLOOKUP(Allocation[[#This Row],[SAP Contract number]],Shipments[[SAP Contract number]:[Contracted container weight]],2,FALSE)</f>
        <v>#N/A</v>
      </c>
      <c r="W2637" s="34" t="e">
        <f>VLOOKUP(Allocation[[#This Row],[SAP Contract number]],Shipments[[SAP Contract number]:[AAA Premium USD]],24,FALSE)</f>
        <v>#N/A</v>
      </c>
      <c r="X2637" s="34" t="e">
        <f>VLOOKUP(Allocation[[#This Row],[SAP Contract number]],Shipments[[SAP Contract number]:[RA Premium USD]],25,FALSE)</f>
        <v>#N/A</v>
      </c>
      <c r="Y2637" s="38">
        <f>Allocation[[#This Row],[Quantity Processed]]/Allocation[[#This Row],[Quantity allocated]]</f>
        <v>3.0208333333333335</v>
      </c>
      <c r="Z2637" s="34" t="b">
        <f>Allocation[[#This Row],[Quantity allocated]]&lt;=Allocation[[#This Row],[Quantity Processed]]</f>
        <v>1</v>
      </c>
    </row>
    <row r="2638" spans="1:26">
      <c r="A2638" s="247" t="s">
        <v>467</v>
      </c>
      <c r="B2638" s="210" t="s">
        <v>68</v>
      </c>
      <c r="C2638" s="254" t="s">
        <v>2133</v>
      </c>
      <c r="D2638" s="255">
        <v>2767</v>
      </c>
      <c r="E2638" s="211" t="s">
        <v>2239</v>
      </c>
      <c r="F2638" s="212">
        <v>43712</v>
      </c>
      <c r="G2638" s="213">
        <v>1.84</v>
      </c>
      <c r="H2638" s="256">
        <v>913</v>
      </c>
      <c r="I2638" s="214">
        <v>1490119</v>
      </c>
      <c r="J2638" s="215">
        <v>21000</v>
      </c>
      <c r="K2638" s="212">
        <v>43721</v>
      </c>
      <c r="L2638" s="211" t="s">
        <v>2240</v>
      </c>
      <c r="M2638" s="216">
        <v>4615450207</v>
      </c>
      <c r="N2638" s="212"/>
      <c r="O2638" s="218"/>
      <c r="P2638" s="219"/>
      <c r="Q2638" s="34">
        <f>SUMIF(Allocation[Delivery ID],Allocation[[#This Row],[Delivery ID]],Allocation[Quantity Processed])</f>
        <v>2767</v>
      </c>
      <c r="R2638" s="61">
        <f>Allocation[[#This Row],[Total volume used]]/VLOOKUP(Allocation[[#This Row],[Delivery ID]],Delivery[[Delivery ID]:[Quantity delivered]],3,FALSE)</f>
        <v>0.13445092322643343</v>
      </c>
      <c r="S2638" s="34">
        <f>Allocation[[#This Row],[Quantity Processed]]/Allocation[[#This Row],[Dilution rate]]</f>
        <v>1503.804347826087</v>
      </c>
      <c r="T2638" s="59">
        <f>SUMIF(Allocation[Delivery ID],Allocation[[#This Row],[Delivery ID]],Allocation[Quantity allocated])/SUMIF(Allocation[Delivery ID],Allocation[[#This Row],[Delivery ID]],Allocation[Volume available (kg)])</f>
        <v>0.60712685218648355</v>
      </c>
      <c r="U2638" s="61">
        <f>Allocation[[#This Row],[Total volume used]]/VLOOKUP(Allocation[[#This Row],[Delivery ID]],Delivery[[Delivery ID]:[Quantity delivered]],3,FALSE)</f>
        <v>0.13445092322643343</v>
      </c>
      <c r="V2638" s="34" t="e">
        <f>VLOOKUP(Allocation[[#This Row],[SAP Contract number]],Shipments[[SAP Contract number]:[Contracted container weight]],2,FALSE)</f>
        <v>#N/A</v>
      </c>
      <c r="W2638" s="34" t="e">
        <f>VLOOKUP(Allocation[[#This Row],[SAP Contract number]],Shipments[[SAP Contract number]:[AAA Premium USD]],24,FALSE)</f>
        <v>#N/A</v>
      </c>
      <c r="X2638" s="34" t="e">
        <f>VLOOKUP(Allocation[[#This Row],[SAP Contract number]],Shipments[[SAP Contract number]:[RA Premium USD]],25,FALSE)</f>
        <v>#N/A</v>
      </c>
      <c r="Y2638" s="38">
        <f>Allocation[[#This Row],[Quantity Processed]]/Allocation[[#This Row],[Quantity allocated]]</f>
        <v>3.0306681270536693</v>
      </c>
      <c r="Z2638" s="34" t="b">
        <f>Allocation[[#This Row],[Quantity allocated]]&lt;=Allocation[[#This Row],[Quantity Processed]]</f>
        <v>1</v>
      </c>
    </row>
    <row r="2639" spans="1:26">
      <c r="A2639" s="247" t="s">
        <v>467</v>
      </c>
      <c r="B2639" s="210" t="s">
        <v>68</v>
      </c>
      <c r="C2639" s="254" t="s">
        <v>2134</v>
      </c>
      <c r="D2639" s="255">
        <v>985</v>
      </c>
      <c r="E2639" s="211" t="s">
        <v>2239</v>
      </c>
      <c r="F2639" s="212">
        <v>43712</v>
      </c>
      <c r="G2639" s="213">
        <v>1.84</v>
      </c>
      <c r="H2639" s="256">
        <v>394</v>
      </c>
      <c r="I2639" s="214">
        <v>1490119</v>
      </c>
      <c r="J2639" s="215">
        <v>21000</v>
      </c>
      <c r="K2639" s="212">
        <v>43721</v>
      </c>
      <c r="L2639" s="211" t="s">
        <v>2240</v>
      </c>
      <c r="M2639" s="216">
        <v>4615450207</v>
      </c>
      <c r="N2639" s="212"/>
      <c r="O2639" s="218"/>
      <c r="P2639" s="219"/>
      <c r="Q2639" s="34">
        <f>SUMIF(Allocation[Delivery ID],Allocation[[#This Row],[Delivery ID]],Allocation[Quantity Processed])</f>
        <v>985</v>
      </c>
      <c r="R2639" s="61">
        <f>Allocation[[#This Row],[Total volume used]]/VLOOKUP(Allocation[[#This Row],[Delivery ID]],Delivery[[Delivery ID]:[Quantity delivered]],3,FALSE)</f>
        <v>0.11104847801578353</v>
      </c>
      <c r="S2639" s="34">
        <f>Allocation[[#This Row],[Quantity Processed]]/Allocation[[#This Row],[Dilution rate]]</f>
        <v>535.32608695652175</v>
      </c>
      <c r="T2639" s="59">
        <f>SUMIF(Allocation[Delivery ID],Allocation[[#This Row],[Delivery ID]],Allocation[Quantity allocated])/SUMIF(Allocation[Delivery ID],Allocation[[#This Row],[Delivery ID]],Allocation[Volume available (kg)])</f>
        <v>0.73599999999999999</v>
      </c>
      <c r="U2639" s="61">
        <f>Allocation[[#This Row],[Total volume used]]/VLOOKUP(Allocation[[#This Row],[Delivery ID]],Delivery[[Delivery ID]:[Quantity delivered]],3,FALSE)</f>
        <v>0.11104847801578353</v>
      </c>
      <c r="V2639" s="34" t="e">
        <f>VLOOKUP(Allocation[[#This Row],[SAP Contract number]],Shipments[[SAP Contract number]:[Contracted container weight]],2,FALSE)</f>
        <v>#N/A</v>
      </c>
      <c r="W2639" s="34" t="e">
        <f>VLOOKUP(Allocation[[#This Row],[SAP Contract number]],Shipments[[SAP Contract number]:[AAA Premium USD]],24,FALSE)</f>
        <v>#N/A</v>
      </c>
      <c r="X2639" s="34" t="e">
        <f>VLOOKUP(Allocation[[#This Row],[SAP Contract number]],Shipments[[SAP Contract number]:[RA Premium USD]],25,FALSE)</f>
        <v>#N/A</v>
      </c>
      <c r="Y2639" s="38">
        <f>Allocation[[#This Row],[Quantity Processed]]/Allocation[[#This Row],[Quantity allocated]]</f>
        <v>2.5</v>
      </c>
      <c r="Z2639" s="34" t="b">
        <f>Allocation[[#This Row],[Quantity allocated]]&lt;=Allocation[[#This Row],[Quantity Processed]]</f>
        <v>1</v>
      </c>
    </row>
    <row r="2640" spans="1:26">
      <c r="A2640" s="247" t="s">
        <v>467</v>
      </c>
      <c r="B2640" s="210" t="s">
        <v>68</v>
      </c>
      <c r="C2640" s="254" t="s">
        <v>2135</v>
      </c>
      <c r="D2640" s="255">
        <v>552</v>
      </c>
      <c r="E2640" s="211" t="s">
        <v>2239</v>
      </c>
      <c r="F2640" s="212">
        <v>43712</v>
      </c>
      <c r="G2640" s="213">
        <v>1.84</v>
      </c>
      <c r="H2640" s="256">
        <v>221</v>
      </c>
      <c r="I2640" s="214">
        <v>1490119</v>
      </c>
      <c r="J2640" s="215">
        <v>21000</v>
      </c>
      <c r="K2640" s="212">
        <v>43721</v>
      </c>
      <c r="L2640" s="211" t="s">
        <v>2240</v>
      </c>
      <c r="M2640" s="216">
        <v>4615450207</v>
      </c>
      <c r="N2640" s="212"/>
      <c r="O2640" s="218"/>
      <c r="P2640" s="219"/>
      <c r="Q2640" s="34">
        <f>SUMIF(Allocation[Delivery ID],Allocation[[#This Row],[Delivery ID]],Allocation[Quantity Processed])</f>
        <v>552</v>
      </c>
      <c r="R2640" s="61">
        <f>Allocation[[#This Row],[Total volume used]]/VLOOKUP(Allocation[[#This Row],[Delivery ID]],Delivery[[Delivery ID]:[Quantity delivered]],3,FALSE)</f>
        <v>0.1104</v>
      </c>
      <c r="S2640" s="34">
        <f>Allocation[[#This Row],[Quantity Processed]]/Allocation[[#This Row],[Dilution rate]]</f>
        <v>300</v>
      </c>
      <c r="T2640" s="59">
        <f>SUMIF(Allocation[Delivery ID],Allocation[[#This Row],[Delivery ID]],Allocation[Quantity allocated])/SUMIF(Allocation[Delivery ID],Allocation[[#This Row],[Delivery ID]],Allocation[Volume available (kg)])</f>
        <v>0.73666666666666669</v>
      </c>
      <c r="U2640" s="61">
        <f>Allocation[[#This Row],[Total volume used]]/VLOOKUP(Allocation[[#This Row],[Delivery ID]],Delivery[[Delivery ID]:[Quantity delivered]],3,FALSE)</f>
        <v>0.1104</v>
      </c>
      <c r="V2640" s="34" t="e">
        <f>VLOOKUP(Allocation[[#This Row],[SAP Contract number]],Shipments[[SAP Contract number]:[Contracted container weight]],2,FALSE)</f>
        <v>#N/A</v>
      </c>
      <c r="W2640" s="34" t="e">
        <f>VLOOKUP(Allocation[[#This Row],[SAP Contract number]],Shipments[[SAP Contract number]:[AAA Premium USD]],24,FALSE)</f>
        <v>#N/A</v>
      </c>
      <c r="X2640" s="34" t="e">
        <f>VLOOKUP(Allocation[[#This Row],[SAP Contract number]],Shipments[[SAP Contract number]:[RA Premium USD]],25,FALSE)</f>
        <v>#N/A</v>
      </c>
      <c r="Y2640" s="38">
        <f>Allocation[[#This Row],[Quantity Processed]]/Allocation[[#This Row],[Quantity allocated]]</f>
        <v>2.497737556561086</v>
      </c>
      <c r="Z2640" s="34" t="b">
        <f>Allocation[[#This Row],[Quantity allocated]]&lt;=Allocation[[#This Row],[Quantity Processed]]</f>
        <v>1</v>
      </c>
    </row>
    <row r="2641" spans="1:26">
      <c r="A2641" s="247" t="s">
        <v>467</v>
      </c>
      <c r="B2641" s="210" t="s">
        <v>68</v>
      </c>
      <c r="C2641" s="254" t="s">
        <v>2136</v>
      </c>
      <c r="D2641" s="255">
        <v>732</v>
      </c>
      <c r="E2641" s="211" t="s">
        <v>2239</v>
      </c>
      <c r="F2641" s="212">
        <v>43712</v>
      </c>
      <c r="G2641" s="213">
        <v>1.84</v>
      </c>
      <c r="H2641" s="256">
        <v>205</v>
      </c>
      <c r="I2641" s="214">
        <v>1490119</v>
      </c>
      <c r="J2641" s="215">
        <v>21000</v>
      </c>
      <c r="K2641" s="212">
        <v>43721</v>
      </c>
      <c r="L2641" s="211" t="s">
        <v>2240</v>
      </c>
      <c r="M2641" s="216">
        <v>4615450207</v>
      </c>
      <c r="N2641" s="212"/>
      <c r="O2641" s="218"/>
      <c r="P2641" s="219"/>
      <c r="Q2641" s="34">
        <f>SUMIF(Allocation[Delivery ID],Allocation[[#This Row],[Delivery ID]],Allocation[Quantity Processed])</f>
        <v>732</v>
      </c>
      <c r="R2641" s="61">
        <f>Allocation[[#This Row],[Total volume used]]/VLOOKUP(Allocation[[#This Row],[Delivery ID]],Delivery[[Delivery ID]:[Quantity delivered]],3,FALSE)</f>
        <v>0.15775862068965518</v>
      </c>
      <c r="S2641" s="34">
        <f>Allocation[[#This Row],[Quantity Processed]]/Allocation[[#This Row],[Dilution rate]]</f>
        <v>397.82608695652175</v>
      </c>
      <c r="T2641" s="59">
        <f>SUMIF(Allocation[Delivery ID],Allocation[[#This Row],[Delivery ID]],Allocation[Quantity allocated])/SUMIF(Allocation[Delivery ID],Allocation[[#This Row],[Delivery ID]],Allocation[Volume available (kg)])</f>
        <v>0.51530054644808743</v>
      </c>
      <c r="U2641" s="61">
        <f>Allocation[[#This Row],[Total volume used]]/VLOOKUP(Allocation[[#This Row],[Delivery ID]],Delivery[[Delivery ID]:[Quantity delivered]],3,FALSE)</f>
        <v>0.15775862068965518</v>
      </c>
      <c r="V2641" s="34" t="e">
        <f>VLOOKUP(Allocation[[#This Row],[SAP Contract number]],Shipments[[SAP Contract number]:[Contracted container weight]],2,FALSE)</f>
        <v>#N/A</v>
      </c>
      <c r="W2641" s="34" t="e">
        <f>VLOOKUP(Allocation[[#This Row],[SAP Contract number]],Shipments[[SAP Contract number]:[AAA Premium USD]],24,FALSE)</f>
        <v>#N/A</v>
      </c>
      <c r="X2641" s="34" t="e">
        <f>VLOOKUP(Allocation[[#This Row],[SAP Contract number]],Shipments[[SAP Contract number]:[RA Premium USD]],25,FALSE)</f>
        <v>#N/A</v>
      </c>
      <c r="Y2641" s="38">
        <f>Allocation[[#This Row],[Quantity Processed]]/Allocation[[#This Row],[Quantity allocated]]</f>
        <v>3.5707317073170732</v>
      </c>
      <c r="Z2641" s="34" t="b">
        <f>Allocation[[#This Row],[Quantity allocated]]&lt;=Allocation[[#This Row],[Quantity Processed]]</f>
        <v>1</v>
      </c>
    </row>
    <row r="2642" spans="1:26">
      <c r="A2642" s="247" t="s">
        <v>467</v>
      </c>
      <c r="B2642" s="210" t="s">
        <v>68</v>
      </c>
      <c r="C2642" s="254" t="s">
        <v>2137</v>
      </c>
      <c r="D2642" s="255">
        <v>2015</v>
      </c>
      <c r="E2642" s="211" t="s">
        <v>2239</v>
      </c>
      <c r="F2642" s="212">
        <v>43712</v>
      </c>
      <c r="G2642" s="213">
        <v>1.84</v>
      </c>
      <c r="H2642" s="256">
        <v>564</v>
      </c>
      <c r="I2642" s="214">
        <v>1490119</v>
      </c>
      <c r="J2642" s="215">
        <v>21000</v>
      </c>
      <c r="K2642" s="212">
        <v>43721</v>
      </c>
      <c r="L2642" s="211" t="s">
        <v>2240</v>
      </c>
      <c r="M2642" s="216">
        <v>4615450207</v>
      </c>
      <c r="N2642" s="212"/>
      <c r="O2642" s="218"/>
      <c r="P2642" s="219"/>
      <c r="Q2642" s="34">
        <f>SUMIF(Allocation[Delivery ID],Allocation[[#This Row],[Delivery ID]],Allocation[Quantity Processed])</f>
        <v>2015</v>
      </c>
      <c r="R2642" s="61">
        <f>Allocation[[#This Row],[Total volume used]]/VLOOKUP(Allocation[[#This Row],[Delivery ID]],Delivery[[Delivery ID]:[Quantity delivered]],3,FALSE)</f>
        <v>0.15866141732283465</v>
      </c>
      <c r="S2642" s="34">
        <f>Allocation[[#This Row],[Quantity Processed]]/Allocation[[#This Row],[Dilution rate]]</f>
        <v>1095.1086956521738</v>
      </c>
      <c r="T2642" s="59">
        <f>SUMIF(Allocation[Delivery ID],Allocation[[#This Row],[Delivery ID]],Allocation[Quantity allocated])/SUMIF(Allocation[Delivery ID],Allocation[[#This Row],[Delivery ID]],Allocation[Volume available (kg)])</f>
        <v>0.51501736972704726</v>
      </c>
      <c r="U2642" s="61">
        <f>Allocation[[#This Row],[Total volume used]]/VLOOKUP(Allocation[[#This Row],[Delivery ID]],Delivery[[Delivery ID]:[Quantity delivered]],3,FALSE)</f>
        <v>0.15866141732283465</v>
      </c>
      <c r="V2642" s="34" t="e">
        <f>VLOOKUP(Allocation[[#This Row],[SAP Contract number]],Shipments[[SAP Contract number]:[Contracted container weight]],2,FALSE)</f>
        <v>#N/A</v>
      </c>
      <c r="W2642" s="34" t="e">
        <f>VLOOKUP(Allocation[[#This Row],[SAP Contract number]],Shipments[[SAP Contract number]:[AAA Premium USD]],24,FALSE)</f>
        <v>#N/A</v>
      </c>
      <c r="X2642" s="34" t="e">
        <f>VLOOKUP(Allocation[[#This Row],[SAP Contract number]],Shipments[[SAP Contract number]:[RA Premium USD]],25,FALSE)</f>
        <v>#N/A</v>
      </c>
      <c r="Y2642" s="38">
        <f>Allocation[[#This Row],[Quantity Processed]]/Allocation[[#This Row],[Quantity allocated]]</f>
        <v>3.5726950354609928</v>
      </c>
      <c r="Z2642" s="34" t="b">
        <f>Allocation[[#This Row],[Quantity allocated]]&lt;=Allocation[[#This Row],[Quantity Processed]]</f>
        <v>1</v>
      </c>
    </row>
    <row r="2643" spans="1:26">
      <c r="A2643" s="247" t="s">
        <v>467</v>
      </c>
      <c r="B2643" s="210" t="s">
        <v>68</v>
      </c>
      <c r="C2643" s="254" t="s">
        <v>2138</v>
      </c>
      <c r="D2643" s="255">
        <v>2009</v>
      </c>
      <c r="E2643" s="211" t="s">
        <v>2239</v>
      </c>
      <c r="F2643" s="212">
        <v>43712</v>
      </c>
      <c r="G2643" s="213">
        <v>1.84</v>
      </c>
      <c r="H2643" s="256">
        <v>663</v>
      </c>
      <c r="I2643" s="214">
        <v>1490119</v>
      </c>
      <c r="J2643" s="215">
        <v>21000</v>
      </c>
      <c r="K2643" s="212">
        <v>43721</v>
      </c>
      <c r="L2643" s="211" t="s">
        <v>2240</v>
      </c>
      <c r="M2643" s="216">
        <v>4615450207</v>
      </c>
      <c r="N2643" s="212"/>
      <c r="O2643" s="218"/>
      <c r="P2643" s="219"/>
      <c r="Q2643" s="34">
        <f>SUMIF(Allocation[Delivery ID],Allocation[[#This Row],[Delivery ID]],Allocation[Quantity Processed])</f>
        <v>2009</v>
      </c>
      <c r="R2643" s="61">
        <f>Allocation[[#This Row],[Total volume used]]/VLOOKUP(Allocation[[#This Row],[Delivery ID]],Delivery[[Delivery ID]:[Quantity delivered]],3,FALSE)</f>
        <v>0.13447121820615796</v>
      </c>
      <c r="S2643" s="34">
        <f>Allocation[[#This Row],[Quantity Processed]]/Allocation[[#This Row],[Dilution rate]]</f>
        <v>1091.8478260869565</v>
      </c>
      <c r="T2643" s="59">
        <f>SUMIF(Allocation[Delivery ID],Allocation[[#This Row],[Delivery ID]],Allocation[Quantity allocated])/SUMIF(Allocation[Delivery ID],Allocation[[#This Row],[Delivery ID]],Allocation[Volume available (kg)])</f>
        <v>0.60722747635639618</v>
      </c>
      <c r="U2643" s="61">
        <f>Allocation[[#This Row],[Total volume used]]/VLOOKUP(Allocation[[#This Row],[Delivery ID]],Delivery[[Delivery ID]:[Quantity delivered]],3,FALSE)</f>
        <v>0.13447121820615796</v>
      </c>
      <c r="V2643" s="34" t="e">
        <f>VLOOKUP(Allocation[[#This Row],[SAP Contract number]],Shipments[[SAP Contract number]:[Contracted container weight]],2,FALSE)</f>
        <v>#N/A</v>
      </c>
      <c r="W2643" s="34" t="e">
        <f>VLOOKUP(Allocation[[#This Row],[SAP Contract number]],Shipments[[SAP Contract number]:[AAA Premium USD]],24,FALSE)</f>
        <v>#N/A</v>
      </c>
      <c r="X2643" s="34" t="e">
        <f>VLOOKUP(Allocation[[#This Row],[SAP Contract number]],Shipments[[SAP Contract number]:[RA Premium USD]],25,FALSE)</f>
        <v>#N/A</v>
      </c>
      <c r="Y2643" s="38">
        <f>Allocation[[#This Row],[Quantity Processed]]/Allocation[[#This Row],[Quantity allocated]]</f>
        <v>3.0301659125188536</v>
      </c>
      <c r="Z2643" s="34" t="b">
        <f>Allocation[[#This Row],[Quantity allocated]]&lt;=Allocation[[#This Row],[Quantity Processed]]</f>
        <v>1</v>
      </c>
    </row>
    <row r="2644" spans="1:26">
      <c r="A2644" s="247" t="s">
        <v>467</v>
      </c>
      <c r="B2644" s="210" t="s">
        <v>68</v>
      </c>
      <c r="C2644" s="254" t="s">
        <v>2139</v>
      </c>
      <c r="D2644" s="255">
        <v>5131</v>
      </c>
      <c r="E2644" s="211" t="s">
        <v>2239</v>
      </c>
      <c r="F2644" s="212">
        <v>43712</v>
      </c>
      <c r="G2644" s="213">
        <v>1.84</v>
      </c>
      <c r="H2644" s="256">
        <v>1693</v>
      </c>
      <c r="I2644" s="214">
        <v>1490119</v>
      </c>
      <c r="J2644" s="215">
        <v>21000</v>
      </c>
      <c r="K2644" s="212">
        <v>43721</v>
      </c>
      <c r="L2644" s="211" t="s">
        <v>2240</v>
      </c>
      <c r="M2644" s="216">
        <v>4615450207</v>
      </c>
      <c r="N2644" s="212"/>
      <c r="O2644" s="218"/>
      <c r="P2644" s="219"/>
      <c r="Q2644" s="34">
        <f>SUMIF(Allocation[Delivery ID],Allocation[[#This Row],[Delivery ID]],Allocation[Quantity Processed])</f>
        <v>5131</v>
      </c>
      <c r="R2644" s="61">
        <f>Allocation[[#This Row],[Total volume used]]/VLOOKUP(Allocation[[#This Row],[Delivery ID]],Delivery[[Delivery ID]:[Quantity delivered]],3,FALSE)</f>
        <v>0.5367154811715481</v>
      </c>
      <c r="S2644" s="34">
        <f>Allocation[[#This Row],[Quantity Processed]]/Allocation[[#This Row],[Dilution rate]]</f>
        <v>2788.586956521739</v>
      </c>
      <c r="T2644" s="59">
        <f>SUMIF(Allocation[Delivery ID],Allocation[[#This Row],[Delivery ID]],Allocation[Quantity allocated])/SUMIF(Allocation[Delivery ID],Allocation[[#This Row],[Delivery ID]],Allocation[Volume available (kg)])</f>
        <v>0.60711752095108173</v>
      </c>
      <c r="U2644" s="61">
        <f>Allocation[[#This Row],[Total volume used]]/VLOOKUP(Allocation[[#This Row],[Delivery ID]],Delivery[[Delivery ID]:[Quantity delivered]],3,FALSE)</f>
        <v>0.5367154811715481</v>
      </c>
      <c r="V2644" s="34" t="e">
        <f>VLOOKUP(Allocation[[#This Row],[SAP Contract number]],Shipments[[SAP Contract number]:[Contracted container weight]],2,FALSE)</f>
        <v>#N/A</v>
      </c>
      <c r="W2644" s="34" t="e">
        <f>VLOOKUP(Allocation[[#This Row],[SAP Contract number]],Shipments[[SAP Contract number]:[AAA Premium USD]],24,FALSE)</f>
        <v>#N/A</v>
      </c>
      <c r="X2644" s="34" t="e">
        <f>VLOOKUP(Allocation[[#This Row],[SAP Contract number]],Shipments[[SAP Contract number]:[RA Premium USD]],25,FALSE)</f>
        <v>#N/A</v>
      </c>
      <c r="Y2644" s="38">
        <f>Allocation[[#This Row],[Quantity Processed]]/Allocation[[#This Row],[Quantity allocated]]</f>
        <v>3.0307147076196101</v>
      </c>
      <c r="Z2644" s="34" t="b">
        <f>Allocation[[#This Row],[Quantity allocated]]&lt;=Allocation[[#This Row],[Quantity Processed]]</f>
        <v>1</v>
      </c>
    </row>
    <row r="2645" spans="1:26">
      <c r="A2645" s="247" t="s">
        <v>467</v>
      </c>
      <c r="B2645" s="210" t="s">
        <v>68</v>
      </c>
      <c r="C2645" s="254" t="s">
        <v>2140</v>
      </c>
      <c r="D2645" s="255">
        <v>3356</v>
      </c>
      <c r="E2645" s="211" t="s">
        <v>2239</v>
      </c>
      <c r="F2645" s="212">
        <v>43712</v>
      </c>
      <c r="G2645" s="213">
        <v>1.84</v>
      </c>
      <c r="H2645" s="256">
        <v>1108</v>
      </c>
      <c r="I2645" s="214">
        <v>1490119</v>
      </c>
      <c r="J2645" s="215">
        <v>21000</v>
      </c>
      <c r="K2645" s="212">
        <v>43721</v>
      </c>
      <c r="L2645" s="211" t="s">
        <v>2240</v>
      </c>
      <c r="M2645" s="216">
        <v>4615450207</v>
      </c>
      <c r="N2645" s="212"/>
      <c r="O2645" s="218"/>
      <c r="P2645" s="219"/>
      <c r="Q2645" s="34">
        <f>SUMIF(Allocation[Delivery ID],Allocation[[#This Row],[Delivery ID]],Allocation[Quantity Processed])</f>
        <v>3356</v>
      </c>
      <c r="R2645" s="61">
        <f>Allocation[[#This Row],[Total volume used]]/VLOOKUP(Allocation[[#This Row],[Delivery ID]],Delivery[[Delivery ID]:[Quantity delivered]],3,FALSE)</f>
        <v>0.5378205128205128</v>
      </c>
      <c r="S2645" s="34">
        <f>Allocation[[#This Row],[Quantity Processed]]/Allocation[[#This Row],[Dilution rate]]</f>
        <v>1823.9130434782608</v>
      </c>
      <c r="T2645" s="59">
        <f>SUMIF(Allocation[Delivery ID],Allocation[[#This Row],[Delivery ID]],Allocation[Quantity allocated])/SUMIF(Allocation[Delivery ID],Allocation[[#This Row],[Delivery ID]],Allocation[Volume available (kg)])</f>
        <v>0.60748510131108469</v>
      </c>
      <c r="U2645" s="61">
        <f>Allocation[[#This Row],[Total volume used]]/VLOOKUP(Allocation[[#This Row],[Delivery ID]],Delivery[[Delivery ID]:[Quantity delivered]],3,FALSE)</f>
        <v>0.5378205128205128</v>
      </c>
      <c r="V2645" s="34" t="e">
        <f>VLOOKUP(Allocation[[#This Row],[SAP Contract number]],Shipments[[SAP Contract number]:[Contracted container weight]],2,FALSE)</f>
        <v>#N/A</v>
      </c>
      <c r="W2645" s="34" t="e">
        <f>VLOOKUP(Allocation[[#This Row],[SAP Contract number]],Shipments[[SAP Contract number]:[AAA Premium USD]],24,FALSE)</f>
        <v>#N/A</v>
      </c>
      <c r="X2645" s="34" t="e">
        <f>VLOOKUP(Allocation[[#This Row],[SAP Contract number]],Shipments[[SAP Contract number]:[RA Premium USD]],25,FALSE)</f>
        <v>#N/A</v>
      </c>
      <c r="Y2645" s="38">
        <f>Allocation[[#This Row],[Quantity Processed]]/Allocation[[#This Row],[Quantity allocated]]</f>
        <v>3.0288808664259927</v>
      </c>
      <c r="Z2645" s="34" t="b">
        <f>Allocation[[#This Row],[Quantity allocated]]&lt;=Allocation[[#This Row],[Quantity Processed]]</f>
        <v>1</v>
      </c>
    </row>
    <row r="2646" spans="1:26">
      <c r="A2646" s="247" t="s">
        <v>467</v>
      </c>
      <c r="B2646" s="210" t="s">
        <v>68</v>
      </c>
      <c r="C2646" s="254" t="s">
        <v>2141</v>
      </c>
      <c r="D2646" s="255">
        <v>1453</v>
      </c>
      <c r="E2646" s="211" t="s">
        <v>2239</v>
      </c>
      <c r="F2646" s="212">
        <v>43712</v>
      </c>
      <c r="G2646" s="213">
        <v>1.84</v>
      </c>
      <c r="H2646" s="256">
        <v>407</v>
      </c>
      <c r="I2646" s="214">
        <v>1490119</v>
      </c>
      <c r="J2646" s="215">
        <v>21000</v>
      </c>
      <c r="K2646" s="212">
        <v>43721</v>
      </c>
      <c r="L2646" s="211" t="s">
        <v>2240</v>
      </c>
      <c r="M2646" s="216">
        <v>4615450207</v>
      </c>
      <c r="N2646" s="212"/>
      <c r="O2646" s="218"/>
      <c r="P2646" s="219"/>
      <c r="Q2646" s="34">
        <f>SUMIF(Allocation[Delivery ID],Allocation[[#This Row],[Delivery ID]],Allocation[Quantity Processed])</f>
        <v>1453</v>
      </c>
      <c r="R2646" s="61">
        <f>Allocation[[#This Row],[Total volume used]]/VLOOKUP(Allocation[[#This Row],[Delivery ID]],Delivery[[Delivery ID]:[Quantity delivered]],3,FALSE)</f>
        <v>0.15793478260869565</v>
      </c>
      <c r="S2646" s="34">
        <f>Allocation[[#This Row],[Quantity Processed]]/Allocation[[#This Row],[Dilution rate]]</f>
        <v>789.67391304347825</v>
      </c>
      <c r="T2646" s="59">
        <f>SUMIF(Allocation[Delivery ID],Allocation[[#This Row],[Delivery ID]],Allocation[Quantity allocated])/SUMIF(Allocation[Delivery ID],Allocation[[#This Row],[Delivery ID]],Allocation[Volume available (kg)])</f>
        <v>0.51540261527873366</v>
      </c>
      <c r="U2646" s="61">
        <f>Allocation[[#This Row],[Total volume used]]/VLOOKUP(Allocation[[#This Row],[Delivery ID]],Delivery[[Delivery ID]:[Quantity delivered]],3,FALSE)</f>
        <v>0.15793478260869565</v>
      </c>
      <c r="V2646" s="34" t="e">
        <f>VLOOKUP(Allocation[[#This Row],[SAP Contract number]],Shipments[[SAP Contract number]:[Contracted container weight]],2,FALSE)</f>
        <v>#N/A</v>
      </c>
      <c r="W2646" s="34" t="e">
        <f>VLOOKUP(Allocation[[#This Row],[SAP Contract number]],Shipments[[SAP Contract number]:[AAA Premium USD]],24,FALSE)</f>
        <v>#N/A</v>
      </c>
      <c r="X2646" s="34" t="e">
        <f>VLOOKUP(Allocation[[#This Row],[SAP Contract number]],Shipments[[SAP Contract number]:[RA Premium USD]],25,FALSE)</f>
        <v>#N/A</v>
      </c>
      <c r="Y2646" s="38">
        <f>Allocation[[#This Row],[Quantity Processed]]/Allocation[[#This Row],[Quantity allocated]]</f>
        <v>3.5700245700245699</v>
      </c>
      <c r="Z2646" s="34" t="b">
        <f>Allocation[[#This Row],[Quantity allocated]]&lt;=Allocation[[#This Row],[Quantity Processed]]</f>
        <v>1</v>
      </c>
    </row>
    <row r="2647" spans="1:26">
      <c r="A2647" s="247" t="s">
        <v>467</v>
      </c>
      <c r="B2647" s="210" t="s">
        <v>68</v>
      </c>
      <c r="C2647" s="254" t="s">
        <v>2142</v>
      </c>
      <c r="D2647" s="255">
        <v>1310</v>
      </c>
      <c r="E2647" s="211" t="s">
        <v>2239</v>
      </c>
      <c r="F2647" s="212">
        <v>43712</v>
      </c>
      <c r="G2647" s="213">
        <v>1.84</v>
      </c>
      <c r="H2647" s="256">
        <v>367</v>
      </c>
      <c r="I2647" s="214">
        <v>1490119</v>
      </c>
      <c r="J2647" s="215">
        <v>21000</v>
      </c>
      <c r="K2647" s="212">
        <v>43721</v>
      </c>
      <c r="L2647" s="211" t="s">
        <v>2240</v>
      </c>
      <c r="M2647" s="216">
        <v>4615450207</v>
      </c>
      <c r="N2647" s="212"/>
      <c r="O2647" s="218"/>
      <c r="P2647" s="219"/>
      <c r="Q2647" s="34">
        <f>SUMIF(Allocation[Delivery ID],Allocation[[#This Row],[Delivery ID]],Allocation[Quantity Processed])</f>
        <v>1310</v>
      </c>
      <c r="R2647" s="61">
        <f>Allocation[[#This Row],[Total volume used]]/VLOOKUP(Allocation[[#This Row],[Delivery ID]],Delivery[[Delivery ID]:[Quantity delivered]],3,FALSE)</f>
        <v>0.15859564164648909</v>
      </c>
      <c r="S2647" s="34">
        <f>Allocation[[#This Row],[Quantity Processed]]/Allocation[[#This Row],[Dilution rate]]</f>
        <v>711.95652173913038</v>
      </c>
      <c r="T2647" s="59">
        <f>SUMIF(Allocation[Delivery ID],Allocation[[#This Row],[Delivery ID]],Allocation[Quantity allocated])/SUMIF(Allocation[Delivery ID],Allocation[[#This Row],[Delivery ID]],Allocation[Volume available (kg)])</f>
        <v>0.51548091603053436</v>
      </c>
      <c r="U2647" s="61">
        <f>Allocation[[#This Row],[Total volume used]]/VLOOKUP(Allocation[[#This Row],[Delivery ID]],Delivery[[Delivery ID]:[Quantity delivered]],3,FALSE)</f>
        <v>0.15859564164648909</v>
      </c>
      <c r="V2647" s="34" t="e">
        <f>VLOOKUP(Allocation[[#This Row],[SAP Contract number]],Shipments[[SAP Contract number]:[Contracted container weight]],2,FALSE)</f>
        <v>#N/A</v>
      </c>
      <c r="W2647" s="34" t="e">
        <f>VLOOKUP(Allocation[[#This Row],[SAP Contract number]],Shipments[[SAP Contract number]:[AAA Premium USD]],24,FALSE)</f>
        <v>#N/A</v>
      </c>
      <c r="X2647" s="34" t="e">
        <f>VLOOKUP(Allocation[[#This Row],[SAP Contract number]],Shipments[[SAP Contract number]:[RA Premium USD]],25,FALSE)</f>
        <v>#N/A</v>
      </c>
      <c r="Y2647" s="38">
        <f>Allocation[[#This Row],[Quantity Processed]]/Allocation[[#This Row],[Quantity allocated]]</f>
        <v>3.569482288828338</v>
      </c>
      <c r="Z2647" s="34" t="b">
        <f>Allocation[[#This Row],[Quantity allocated]]&lt;=Allocation[[#This Row],[Quantity Processed]]</f>
        <v>1</v>
      </c>
    </row>
    <row r="2648" spans="1:26">
      <c r="A2648" s="247" t="s">
        <v>467</v>
      </c>
      <c r="B2648" s="210" t="s">
        <v>68</v>
      </c>
      <c r="C2648" s="254" t="s">
        <v>2143</v>
      </c>
      <c r="D2648" s="255">
        <v>2357</v>
      </c>
      <c r="E2648" s="211" t="s">
        <v>2239</v>
      </c>
      <c r="F2648" s="212">
        <v>43712</v>
      </c>
      <c r="G2648" s="213">
        <v>1.84</v>
      </c>
      <c r="H2648" s="256">
        <v>778</v>
      </c>
      <c r="I2648" s="214">
        <v>1490119</v>
      </c>
      <c r="J2648" s="215">
        <v>21000</v>
      </c>
      <c r="K2648" s="212">
        <v>43721</v>
      </c>
      <c r="L2648" s="211" t="s">
        <v>2240</v>
      </c>
      <c r="M2648" s="216">
        <v>4615450207</v>
      </c>
      <c r="N2648" s="212"/>
      <c r="O2648" s="218"/>
      <c r="P2648" s="219"/>
      <c r="Q2648" s="34">
        <f>SUMIF(Allocation[Delivery ID],Allocation[[#This Row],[Delivery ID]],Allocation[Quantity Processed])</f>
        <v>2357</v>
      </c>
      <c r="R2648" s="61">
        <f>Allocation[[#This Row],[Total volume used]]/VLOOKUP(Allocation[[#This Row],[Delivery ID]],Delivery[[Delivery ID]:[Quantity delivered]],3,FALSE)</f>
        <v>0.13460879497430039</v>
      </c>
      <c r="S2648" s="34">
        <f>Allocation[[#This Row],[Quantity Processed]]/Allocation[[#This Row],[Dilution rate]]</f>
        <v>1280.9782608695652</v>
      </c>
      <c r="T2648" s="59">
        <f>SUMIF(Allocation[Delivery ID],Allocation[[#This Row],[Delivery ID]],Allocation[Quantity allocated])/SUMIF(Allocation[Delivery ID],Allocation[[#This Row],[Delivery ID]],Allocation[Volume available (kg)])</f>
        <v>0.60734832414085704</v>
      </c>
      <c r="U2648" s="61">
        <f>Allocation[[#This Row],[Total volume used]]/VLOOKUP(Allocation[[#This Row],[Delivery ID]],Delivery[[Delivery ID]:[Quantity delivered]],3,FALSE)</f>
        <v>0.13460879497430039</v>
      </c>
      <c r="V2648" s="34" t="e">
        <f>VLOOKUP(Allocation[[#This Row],[SAP Contract number]],Shipments[[SAP Contract number]:[Contracted container weight]],2,FALSE)</f>
        <v>#N/A</v>
      </c>
      <c r="W2648" s="34" t="e">
        <f>VLOOKUP(Allocation[[#This Row],[SAP Contract number]],Shipments[[SAP Contract number]:[AAA Premium USD]],24,FALSE)</f>
        <v>#N/A</v>
      </c>
      <c r="X2648" s="34" t="e">
        <f>VLOOKUP(Allocation[[#This Row],[SAP Contract number]],Shipments[[SAP Contract number]:[RA Premium USD]],25,FALSE)</f>
        <v>#N/A</v>
      </c>
      <c r="Y2648" s="38">
        <f>Allocation[[#This Row],[Quantity Processed]]/Allocation[[#This Row],[Quantity allocated]]</f>
        <v>3.0295629820051415</v>
      </c>
      <c r="Z2648" s="34" t="b">
        <f>Allocation[[#This Row],[Quantity allocated]]&lt;=Allocation[[#This Row],[Quantity Processed]]</f>
        <v>1</v>
      </c>
    </row>
    <row r="2649" spans="1:26">
      <c r="A2649" s="247" t="s">
        <v>467</v>
      </c>
      <c r="B2649" s="210" t="s">
        <v>68</v>
      </c>
      <c r="C2649" s="254" t="s">
        <v>2144</v>
      </c>
      <c r="D2649" s="255">
        <v>283</v>
      </c>
      <c r="E2649" s="211" t="s">
        <v>2239</v>
      </c>
      <c r="F2649" s="212">
        <v>43712</v>
      </c>
      <c r="G2649" s="213">
        <v>1.84</v>
      </c>
      <c r="H2649" s="256">
        <v>93</v>
      </c>
      <c r="I2649" s="214">
        <v>1490119</v>
      </c>
      <c r="J2649" s="215">
        <v>21000</v>
      </c>
      <c r="K2649" s="212">
        <v>43721</v>
      </c>
      <c r="L2649" s="211" t="s">
        <v>2240</v>
      </c>
      <c r="M2649" s="216">
        <v>4615450207</v>
      </c>
      <c r="N2649" s="212"/>
      <c r="O2649" s="218"/>
      <c r="P2649" s="219"/>
      <c r="Q2649" s="34">
        <f>SUMIF(Allocation[Delivery ID],Allocation[[#This Row],[Delivery ID]],Allocation[Quantity Processed])</f>
        <v>283</v>
      </c>
      <c r="R2649" s="61">
        <f>Allocation[[#This Row],[Total volume used]]/VLOOKUP(Allocation[[#This Row],[Delivery ID]],Delivery[[Delivery ID]:[Quantity delivered]],3,FALSE)</f>
        <v>0.1360576923076923</v>
      </c>
      <c r="S2649" s="34">
        <f>Allocation[[#This Row],[Quantity Processed]]/Allocation[[#This Row],[Dilution rate]]</f>
        <v>153.80434782608694</v>
      </c>
      <c r="T2649" s="59">
        <f>SUMIF(Allocation[Delivery ID],Allocation[[#This Row],[Delivery ID]],Allocation[Quantity allocated])/SUMIF(Allocation[Delivery ID],Allocation[[#This Row],[Delivery ID]],Allocation[Volume available (kg)])</f>
        <v>0.6046643109540637</v>
      </c>
      <c r="U2649" s="61">
        <f>Allocation[[#This Row],[Total volume used]]/VLOOKUP(Allocation[[#This Row],[Delivery ID]],Delivery[[Delivery ID]:[Quantity delivered]],3,FALSE)</f>
        <v>0.1360576923076923</v>
      </c>
      <c r="V2649" s="34" t="e">
        <f>VLOOKUP(Allocation[[#This Row],[SAP Contract number]],Shipments[[SAP Contract number]:[Contracted container weight]],2,FALSE)</f>
        <v>#N/A</v>
      </c>
      <c r="W2649" s="34" t="e">
        <f>VLOOKUP(Allocation[[#This Row],[SAP Contract number]],Shipments[[SAP Contract number]:[AAA Premium USD]],24,FALSE)</f>
        <v>#N/A</v>
      </c>
      <c r="X2649" s="34" t="e">
        <f>VLOOKUP(Allocation[[#This Row],[SAP Contract number]],Shipments[[SAP Contract number]:[RA Premium USD]],25,FALSE)</f>
        <v>#N/A</v>
      </c>
      <c r="Y2649" s="38">
        <f>Allocation[[#This Row],[Quantity Processed]]/Allocation[[#This Row],[Quantity allocated]]</f>
        <v>3.043010752688172</v>
      </c>
      <c r="Z2649" s="34" t="b">
        <f>Allocation[[#This Row],[Quantity allocated]]&lt;=Allocation[[#This Row],[Quantity Processed]]</f>
        <v>1</v>
      </c>
    </row>
    <row r="2650" spans="1:26">
      <c r="A2650" s="247" t="s">
        <v>467</v>
      </c>
      <c r="B2650" s="210" t="s">
        <v>68</v>
      </c>
      <c r="C2650" s="254" t="s">
        <v>2145</v>
      </c>
      <c r="D2650" s="255">
        <v>258</v>
      </c>
      <c r="E2650" s="211" t="s">
        <v>2239</v>
      </c>
      <c r="F2650" s="212">
        <v>43712</v>
      </c>
      <c r="G2650" s="213">
        <v>1.84</v>
      </c>
      <c r="H2650" s="256">
        <v>85</v>
      </c>
      <c r="I2650" s="214">
        <v>1490119</v>
      </c>
      <c r="J2650" s="215">
        <v>21000</v>
      </c>
      <c r="K2650" s="212">
        <v>43721</v>
      </c>
      <c r="L2650" s="211" t="s">
        <v>2240</v>
      </c>
      <c r="M2650" s="216">
        <v>4615450207</v>
      </c>
      <c r="N2650" s="212"/>
      <c r="O2650" s="218"/>
      <c r="P2650" s="219"/>
      <c r="Q2650" s="34">
        <f>SUMIF(Allocation[Delivery ID],Allocation[[#This Row],[Delivery ID]],Allocation[Quantity Processed])</f>
        <v>258</v>
      </c>
      <c r="R2650" s="61">
        <f>Allocation[[#This Row],[Total volume used]]/VLOOKUP(Allocation[[#This Row],[Delivery ID]],Delivery[[Delivery ID]:[Quantity delivered]],3,FALSE)</f>
        <v>0.13650793650793649</v>
      </c>
      <c r="S2650" s="34">
        <f>Allocation[[#This Row],[Quantity Processed]]/Allocation[[#This Row],[Dilution rate]]</f>
        <v>140.21739130434781</v>
      </c>
      <c r="T2650" s="59">
        <f>SUMIF(Allocation[Delivery ID],Allocation[[#This Row],[Delivery ID]],Allocation[Quantity allocated])/SUMIF(Allocation[Delivery ID],Allocation[[#This Row],[Delivery ID]],Allocation[Volume available (kg)])</f>
        <v>0.60620155038759693</v>
      </c>
      <c r="U2650" s="61">
        <f>Allocation[[#This Row],[Total volume used]]/VLOOKUP(Allocation[[#This Row],[Delivery ID]],Delivery[[Delivery ID]:[Quantity delivered]],3,FALSE)</f>
        <v>0.13650793650793649</v>
      </c>
      <c r="V2650" s="34" t="e">
        <f>VLOOKUP(Allocation[[#This Row],[SAP Contract number]],Shipments[[SAP Contract number]:[Contracted container weight]],2,FALSE)</f>
        <v>#N/A</v>
      </c>
      <c r="W2650" s="34" t="e">
        <f>VLOOKUP(Allocation[[#This Row],[SAP Contract number]],Shipments[[SAP Contract number]:[AAA Premium USD]],24,FALSE)</f>
        <v>#N/A</v>
      </c>
      <c r="X2650" s="34" t="e">
        <f>VLOOKUP(Allocation[[#This Row],[SAP Contract number]],Shipments[[SAP Contract number]:[RA Premium USD]],25,FALSE)</f>
        <v>#N/A</v>
      </c>
      <c r="Y2650" s="38">
        <f>Allocation[[#This Row],[Quantity Processed]]/Allocation[[#This Row],[Quantity allocated]]</f>
        <v>3.0352941176470587</v>
      </c>
      <c r="Z2650" s="34" t="b">
        <f>Allocation[[#This Row],[Quantity allocated]]&lt;=Allocation[[#This Row],[Quantity Processed]]</f>
        <v>1</v>
      </c>
    </row>
    <row r="2651" spans="1:26">
      <c r="A2651" s="247" t="s">
        <v>467</v>
      </c>
      <c r="B2651" s="210" t="s">
        <v>68</v>
      </c>
      <c r="C2651" s="254" t="s">
        <v>2146</v>
      </c>
      <c r="D2651" s="255">
        <v>276</v>
      </c>
      <c r="E2651" s="211" t="s">
        <v>2239</v>
      </c>
      <c r="F2651" s="212">
        <v>43712</v>
      </c>
      <c r="G2651" s="213">
        <v>1.84</v>
      </c>
      <c r="H2651" s="256">
        <v>91</v>
      </c>
      <c r="I2651" s="214">
        <v>1490119</v>
      </c>
      <c r="J2651" s="215">
        <v>21000</v>
      </c>
      <c r="K2651" s="212">
        <v>43721</v>
      </c>
      <c r="L2651" s="211" t="s">
        <v>2240</v>
      </c>
      <c r="M2651" s="216">
        <v>4615450207</v>
      </c>
      <c r="N2651" s="212"/>
      <c r="O2651" s="218"/>
      <c r="P2651" s="219"/>
      <c r="Q2651" s="34">
        <f>SUMIF(Allocation[Delivery ID],Allocation[[#This Row],[Delivery ID]],Allocation[Quantity Processed])</f>
        <v>276</v>
      </c>
      <c r="R2651" s="61">
        <f>Allocation[[#This Row],[Total volume used]]/VLOOKUP(Allocation[[#This Row],[Delivery ID]],Delivery[[Delivery ID]:[Quantity delivered]],3,FALSE)</f>
        <v>0.1373134328358209</v>
      </c>
      <c r="S2651" s="34">
        <f>Allocation[[#This Row],[Quantity Processed]]/Allocation[[#This Row],[Dilution rate]]</f>
        <v>150</v>
      </c>
      <c r="T2651" s="59">
        <f>SUMIF(Allocation[Delivery ID],Allocation[[#This Row],[Delivery ID]],Allocation[Quantity allocated])/SUMIF(Allocation[Delivery ID],Allocation[[#This Row],[Delivery ID]],Allocation[Volume available (kg)])</f>
        <v>0.60666666666666669</v>
      </c>
      <c r="U2651" s="61">
        <f>Allocation[[#This Row],[Total volume used]]/VLOOKUP(Allocation[[#This Row],[Delivery ID]],Delivery[[Delivery ID]:[Quantity delivered]],3,FALSE)</f>
        <v>0.1373134328358209</v>
      </c>
      <c r="V2651" s="34" t="e">
        <f>VLOOKUP(Allocation[[#This Row],[SAP Contract number]],Shipments[[SAP Contract number]:[Contracted container weight]],2,FALSE)</f>
        <v>#N/A</v>
      </c>
      <c r="W2651" s="34" t="e">
        <f>VLOOKUP(Allocation[[#This Row],[SAP Contract number]],Shipments[[SAP Contract number]:[AAA Premium USD]],24,FALSE)</f>
        <v>#N/A</v>
      </c>
      <c r="X2651" s="34" t="e">
        <f>VLOOKUP(Allocation[[#This Row],[SAP Contract number]],Shipments[[SAP Contract number]:[RA Premium USD]],25,FALSE)</f>
        <v>#N/A</v>
      </c>
      <c r="Y2651" s="38">
        <f>Allocation[[#This Row],[Quantity Processed]]/Allocation[[#This Row],[Quantity allocated]]</f>
        <v>3.0329670329670328</v>
      </c>
      <c r="Z2651" s="34" t="b">
        <f>Allocation[[#This Row],[Quantity allocated]]&lt;=Allocation[[#This Row],[Quantity Processed]]</f>
        <v>1</v>
      </c>
    </row>
    <row r="2652" spans="1:26">
      <c r="A2652" s="247" t="s">
        <v>467</v>
      </c>
      <c r="B2652" s="210" t="s">
        <v>68</v>
      </c>
      <c r="C2652" s="254" t="s">
        <v>2147</v>
      </c>
      <c r="D2652" s="255">
        <v>953</v>
      </c>
      <c r="E2652" s="211" t="s">
        <v>2239</v>
      </c>
      <c r="F2652" s="212">
        <v>43712</v>
      </c>
      <c r="G2652" s="213">
        <v>1.84</v>
      </c>
      <c r="H2652" s="256">
        <v>314</v>
      </c>
      <c r="I2652" s="214">
        <v>1490119</v>
      </c>
      <c r="J2652" s="215">
        <v>21000</v>
      </c>
      <c r="K2652" s="212">
        <v>43721</v>
      </c>
      <c r="L2652" s="211" t="s">
        <v>2240</v>
      </c>
      <c r="M2652" s="216">
        <v>4615450207</v>
      </c>
      <c r="N2652" s="212"/>
      <c r="O2652" s="218"/>
      <c r="P2652" s="219"/>
      <c r="Q2652" s="34">
        <f>SUMIF(Allocation[Delivery ID],Allocation[[#This Row],[Delivery ID]],Allocation[Quantity Processed])</f>
        <v>953</v>
      </c>
      <c r="R2652" s="61">
        <f>Allocation[[#This Row],[Total volume used]]/VLOOKUP(Allocation[[#This Row],[Delivery ID]],Delivery[[Delivery ID]:[Quantity delivered]],3,FALSE)</f>
        <v>0.13460451977401131</v>
      </c>
      <c r="S2652" s="34">
        <f>Allocation[[#This Row],[Quantity Processed]]/Allocation[[#This Row],[Dilution rate]]</f>
        <v>517.93478260869563</v>
      </c>
      <c r="T2652" s="59">
        <f>SUMIF(Allocation[Delivery ID],Allocation[[#This Row],[Delivery ID]],Allocation[Quantity allocated])/SUMIF(Allocation[Delivery ID],Allocation[[#This Row],[Delivery ID]],Allocation[Volume available (kg)])</f>
        <v>0.60625393494228752</v>
      </c>
      <c r="U2652" s="61">
        <f>Allocation[[#This Row],[Total volume used]]/VLOOKUP(Allocation[[#This Row],[Delivery ID]],Delivery[[Delivery ID]:[Quantity delivered]],3,FALSE)</f>
        <v>0.13460451977401131</v>
      </c>
      <c r="V2652" s="34" t="e">
        <f>VLOOKUP(Allocation[[#This Row],[SAP Contract number]],Shipments[[SAP Contract number]:[Contracted container weight]],2,FALSE)</f>
        <v>#N/A</v>
      </c>
      <c r="W2652" s="34" t="e">
        <f>VLOOKUP(Allocation[[#This Row],[SAP Contract number]],Shipments[[SAP Contract number]:[AAA Premium USD]],24,FALSE)</f>
        <v>#N/A</v>
      </c>
      <c r="X2652" s="34" t="e">
        <f>VLOOKUP(Allocation[[#This Row],[SAP Contract number]],Shipments[[SAP Contract number]:[RA Premium USD]],25,FALSE)</f>
        <v>#N/A</v>
      </c>
      <c r="Y2652" s="38">
        <f>Allocation[[#This Row],[Quantity Processed]]/Allocation[[#This Row],[Quantity allocated]]</f>
        <v>3.0350318471337578</v>
      </c>
      <c r="Z2652" s="34" t="b">
        <f>Allocation[[#This Row],[Quantity allocated]]&lt;=Allocation[[#This Row],[Quantity Processed]]</f>
        <v>1</v>
      </c>
    </row>
    <row r="2653" spans="1:26">
      <c r="A2653" s="247" t="s">
        <v>467</v>
      </c>
      <c r="B2653" s="210" t="s">
        <v>68</v>
      </c>
      <c r="C2653" s="254" t="s">
        <v>2148</v>
      </c>
      <c r="D2653" s="255">
        <v>608</v>
      </c>
      <c r="E2653" s="211" t="s">
        <v>2239</v>
      </c>
      <c r="F2653" s="212">
        <v>43712</v>
      </c>
      <c r="G2653" s="213">
        <v>1.84</v>
      </c>
      <c r="H2653" s="256">
        <v>201</v>
      </c>
      <c r="I2653" s="214">
        <v>1490119</v>
      </c>
      <c r="J2653" s="215">
        <v>21000</v>
      </c>
      <c r="K2653" s="212">
        <v>43721</v>
      </c>
      <c r="L2653" s="211" t="s">
        <v>2240</v>
      </c>
      <c r="M2653" s="216">
        <v>4615450207</v>
      </c>
      <c r="N2653" s="212"/>
      <c r="O2653" s="218"/>
      <c r="P2653" s="219"/>
      <c r="Q2653" s="34">
        <f>SUMIF(Allocation[Delivery ID],Allocation[[#This Row],[Delivery ID]],Allocation[Quantity Processed])</f>
        <v>608</v>
      </c>
      <c r="R2653" s="61">
        <f>Allocation[[#This Row],[Total volume used]]/VLOOKUP(Allocation[[#This Row],[Delivery ID]],Delivery[[Delivery ID]:[Quantity delivered]],3,FALSE)</f>
        <v>0.13362637362637364</v>
      </c>
      <c r="S2653" s="34">
        <f>Allocation[[#This Row],[Quantity Processed]]/Allocation[[#This Row],[Dilution rate]]</f>
        <v>330.43478260869563</v>
      </c>
      <c r="T2653" s="59">
        <f>SUMIF(Allocation[Delivery ID],Allocation[[#This Row],[Delivery ID]],Allocation[Quantity allocated])/SUMIF(Allocation[Delivery ID],Allocation[[#This Row],[Delivery ID]],Allocation[Volume available (kg)])</f>
        <v>0.6082894736842106</v>
      </c>
      <c r="U2653" s="61">
        <f>Allocation[[#This Row],[Total volume used]]/VLOOKUP(Allocation[[#This Row],[Delivery ID]],Delivery[[Delivery ID]:[Quantity delivered]],3,FALSE)</f>
        <v>0.13362637362637364</v>
      </c>
      <c r="V2653" s="34" t="e">
        <f>VLOOKUP(Allocation[[#This Row],[SAP Contract number]],Shipments[[SAP Contract number]:[Contracted container weight]],2,FALSE)</f>
        <v>#N/A</v>
      </c>
      <c r="W2653" s="34" t="e">
        <f>VLOOKUP(Allocation[[#This Row],[SAP Contract number]],Shipments[[SAP Contract number]:[AAA Premium USD]],24,FALSE)</f>
        <v>#N/A</v>
      </c>
      <c r="X2653" s="34" t="e">
        <f>VLOOKUP(Allocation[[#This Row],[SAP Contract number]],Shipments[[SAP Contract number]:[RA Premium USD]],25,FALSE)</f>
        <v>#N/A</v>
      </c>
      <c r="Y2653" s="38">
        <f>Allocation[[#This Row],[Quantity Processed]]/Allocation[[#This Row],[Quantity allocated]]</f>
        <v>3.0248756218905473</v>
      </c>
      <c r="Z2653" s="34" t="b">
        <f>Allocation[[#This Row],[Quantity allocated]]&lt;=Allocation[[#This Row],[Quantity Processed]]</f>
        <v>1</v>
      </c>
    </row>
    <row r="2654" spans="1:26">
      <c r="A2654" s="247" t="s">
        <v>467</v>
      </c>
      <c r="B2654" s="210" t="s">
        <v>68</v>
      </c>
      <c r="C2654" s="254" t="s">
        <v>2149</v>
      </c>
      <c r="D2654" s="255">
        <v>161</v>
      </c>
      <c r="E2654" s="211" t="s">
        <v>2239</v>
      </c>
      <c r="F2654" s="212">
        <v>43712</v>
      </c>
      <c r="G2654" s="213">
        <v>1.84</v>
      </c>
      <c r="H2654" s="256">
        <v>53</v>
      </c>
      <c r="I2654" s="214">
        <v>1490119</v>
      </c>
      <c r="J2654" s="215">
        <v>21000</v>
      </c>
      <c r="K2654" s="212">
        <v>43721</v>
      </c>
      <c r="L2654" s="211" t="s">
        <v>2240</v>
      </c>
      <c r="M2654" s="216">
        <v>4615450207</v>
      </c>
      <c r="N2654" s="212"/>
      <c r="O2654" s="218"/>
      <c r="P2654" s="219"/>
      <c r="Q2654" s="34">
        <f>SUMIF(Allocation[Delivery ID],Allocation[[#This Row],[Delivery ID]],Allocation[Quantity Processed])</f>
        <v>161</v>
      </c>
      <c r="R2654" s="61">
        <f>Allocation[[#This Row],[Total volume used]]/VLOOKUP(Allocation[[#This Row],[Delivery ID]],Delivery[[Delivery ID]:[Quantity delivered]],3,FALSE)</f>
        <v>0.12983870967741937</v>
      </c>
      <c r="S2654" s="34">
        <f>Allocation[[#This Row],[Quantity Processed]]/Allocation[[#This Row],[Dilution rate]]</f>
        <v>87.5</v>
      </c>
      <c r="T2654" s="59">
        <f>SUMIF(Allocation[Delivery ID],Allocation[[#This Row],[Delivery ID]],Allocation[Quantity allocated])/SUMIF(Allocation[Delivery ID],Allocation[[#This Row],[Delivery ID]],Allocation[Volume available (kg)])</f>
        <v>0.60571428571428576</v>
      </c>
      <c r="U2654" s="61">
        <f>Allocation[[#This Row],[Total volume used]]/VLOOKUP(Allocation[[#This Row],[Delivery ID]],Delivery[[Delivery ID]:[Quantity delivered]],3,FALSE)</f>
        <v>0.12983870967741937</v>
      </c>
      <c r="V2654" s="34" t="e">
        <f>VLOOKUP(Allocation[[#This Row],[SAP Contract number]],Shipments[[SAP Contract number]:[Contracted container weight]],2,FALSE)</f>
        <v>#N/A</v>
      </c>
      <c r="W2654" s="34" t="e">
        <f>VLOOKUP(Allocation[[#This Row],[SAP Contract number]],Shipments[[SAP Contract number]:[AAA Premium USD]],24,FALSE)</f>
        <v>#N/A</v>
      </c>
      <c r="X2654" s="34" t="e">
        <f>VLOOKUP(Allocation[[#This Row],[SAP Contract number]],Shipments[[SAP Contract number]:[RA Premium USD]],25,FALSE)</f>
        <v>#N/A</v>
      </c>
      <c r="Y2654" s="38">
        <f>Allocation[[#This Row],[Quantity Processed]]/Allocation[[#This Row],[Quantity allocated]]</f>
        <v>3.0377358490566038</v>
      </c>
      <c r="Z2654" s="34" t="b">
        <f>Allocation[[#This Row],[Quantity allocated]]&lt;=Allocation[[#This Row],[Quantity Processed]]</f>
        <v>1</v>
      </c>
    </row>
    <row r="2655" spans="1:26">
      <c r="A2655" s="247" t="s">
        <v>467</v>
      </c>
      <c r="B2655" s="210" t="s">
        <v>68</v>
      </c>
      <c r="C2655" s="254" t="s">
        <v>2008</v>
      </c>
      <c r="D2655" s="255">
        <v>143</v>
      </c>
      <c r="E2655" s="211" t="s">
        <v>2239</v>
      </c>
      <c r="F2655" s="212">
        <v>43712</v>
      </c>
      <c r="G2655" s="213">
        <v>1.84</v>
      </c>
      <c r="H2655" s="256">
        <v>57</v>
      </c>
      <c r="I2655" s="214">
        <v>1490119</v>
      </c>
      <c r="J2655" s="215">
        <v>21000</v>
      </c>
      <c r="K2655" s="212">
        <v>43721</v>
      </c>
      <c r="L2655" s="211" t="s">
        <v>2240</v>
      </c>
      <c r="M2655" s="216">
        <v>4615450207</v>
      </c>
      <c r="N2655" s="212"/>
      <c r="O2655" s="218"/>
      <c r="P2655" s="219"/>
      <c r="Q2655" s="34">
        <f>SUMIF(Allocation[Delivery ID],Allocation[[#This Row],[Delivery ID]],Allocation[Quantity Processed])</f>
        <v>633</v>
      </c>
      <c r="R2655" s="61">
        <f>Allocation[[#This Row],[Total volume used]]/VLOOKUP(Allocation[[#This Row],[Delivery ID]],Delivery[[Delivery ID]:[Quantity delivered]],3,FALSE)</f>
        <v>0.15216346153846153</v>
      </c>
      <c r="S2655" s="34">
        <f>Allocation[[#This Row],[Quantity Processed]]/Allocation[[#This Row],[Dilution rate]]</f>
        <v>77.717391304347828</v>
      </c>
      <c r="T2655" s="59">
        <f>SUMIF(Allocation[Delivery ID],Allocation[[#This Row],[Delivery ID]],Allocation[Quantity allocated])/SUMIF(Allocation[Delivery ID],Allocation[[#This Row],[Delivery ID]],Allocation[Volume available (kg)])</f>
        <v>0.78990507870907045</v>
      </c>
      <c r="U2655" s="61">
        <f>Allocation[[#This Row],[Total volume used]]/VLOOKUP(Allocation[[#This Row],[Delivery ID]],Delivery[[Delivery ID]:[Quantity delivered]],3,FALSE)</f>
        <v>0.15216346153846153</v>
      </c>
      <c r="V2655" s="34" t="e">
        <f>VLOOKUP(Allocation[[#This Row],[SAP Contract number]],Shipments[[SAP Contract number]:[Contracted container weight]],2,FALSE)</f>
        <v>#N/A</v>
      </c>
      <c r="W2655" s="34" t="e">
        <f>VLOOKUP(Allocation[[#This Row],[SAP Contract number]],Shipments[[SAP Contract number]:[AAA Premium USD]],24,FALSE)</f>
        <v>#N/A</v>
      </c>
      <c r="X2655" s="34" t="e">
        <f>VLOOKUP(Allocation[[#This Row],[SAP Contract number]],Shipments[[SAP Contract number]:[RA Premium USD]],25,FALSE)</f>
        <v>#N/A</v>
      </c>
      <c r="Y2655" s="38">
        <f>Allocation[[#This Row],[Quantity Processed]]/Allocation[[#This Row],[Quantity allocated]]</f>
        <v>2.5087719298245612</v>
      </c>
      <c r="Z2655" s="34" t="b">
        <f>Allocation[[#This Row],[Quantity allocated]]&lt;=Allocation[[#This Row],[Quantity Processed]]</f>
        <v>1</v>
      </c>
    </row>
    <row r="2656" spans="1:26">
      <c r="A2656" s="247" t="s">
        <v>467</v>
      </c>
      <c r="B2656" s="210" t="s">
        <v>68</v>
      </c>
      <c r="C2656" s="254" t="s">
        <v>2010</v>
      </c>
      <c r="D2656" s="255">
        <v>193</v>
      </c>
      <c r="E2656" s="211" t="s">
        <v>2239</v>
      </c>
      <c r="F2656" s="212">
        <v>43712</v>
      </c>
      <c r="G2656" s="213">
        <v>1.84</v>
      </c>
      <c r="H2656" s="256">
        <v>77</v>
      </c>
      <c r="I2656" s="214">
        <v>1490119</v>
      </c>
      <c r="J2656" s="215">
        <v>21000</v>
      </c>
      <c r="K2656" s="212">
        <v>43721</v>
      </c>
      <c r="L2656" s="211" t="s">
        <v>2240</v>
      </c>
      <c r="M2656" s="216">
        <v>4615450207</v>
      </c>
      <c r="N2656" s="212"/>
      <c r="O2656" s="218"/>
      <c r="P2656" s="219"/>
      <c r="Q2656" s="34">
        <f>SUMIF(Allocation[Delivery ID],Allocation[[#This Row],[Delivery ID]],Allocation[Quantity Processed])</f>
        <v>853</v>
      </c>
      <c r="R2656" s="61">
        <f>Allocation[[#This Row],[Total volume used]]/VLOOKUP(Allocation[[#This Row],[Delivery ID]],Delivery[[Delivery ID]:[Quantity delivered]],3,FALSE)</f>
        <v>0.15341726618705037</v>
      </c>
      <c r="S2656" s="34">
        <f>Allocation[[#This Row],[Quantity Processed]]/Allocation[[#This Row],[Dilution rate]]</f>
        <v>104.89130434782608</v>
      </c>
      <c r="T2656" s="59">
        <f>SUMIF(Allocation[Delivery ID],Allocation[[#This Row],[Delivery ID]],Allocation[Quantity allocated])/SUMIF(Allocation[Delivery ID],Allocation[[#This Row],[Delivery ID]],Allocation[Volume available (kg)])</f>
        <v>0.79003951977858955</v>
      </c>
      <c r="U2656" s="61">
        <f>Allocation[[#This Row],[Total volume used]]/VLOOKUP(Allocation[[#This Row],[Delivery ID]],Delivery[[Delivery ID]:[Quantity delivered]],3,FALSE)</f>
        <v>0.15341726618705037</v>
      </c>
      <c r="V2656" s="34" t="e">
        <f>VLOOKUP(Allocation[[#This Row],[SAP Contract number]],Shipments[[SAP Contract number]:[Contracted container weight]],2,FALSE)</f>
        <v>#N/A</v>
      </c>
      <c r="W2656" s="34" t="e">
        <f>VLOOKUP(Allocation[[#This Row],[SAP Contract number]],Shipments[[SAP Contract number]:[AAA Premium USD]],24,FALSE)</f>
        <v>#N/A</v>
      </c>
      <c r="X2656" s="34" t="e">
        <f>VLOOKUP(Allocation[[#This Row],[SAP Contract number]],Shipments[[SAP Contract number]:[RA Premium USD]],25,FALSE)</f>
        <v>#N/A</v>
      </c>
      <c r="Y2656" s="38">
        <f>Allocation[[#This Row],[Quantity Processed]]/Allocation[[#This Row],[Quantity allocated]]</f>
        <v>2.5064935064935066</v>
      </c>
      <c r="Z2656" s="34" t="b">
        <f>Allocation[[#This Row],[Quantity allocated]]&lt;=Allocation[[#This Row],[Quantity Processed]]</f>
        <v>1</v>
      </c>
    </row>
    <row r="2657" spans="1:26">
      <c r="A2657" s="247" t="s">
        <v>467</v>
      </c>
      <c r="B2657" s="210" t="s">
        <v>68</v>
      </c>
      <c r="C2657" s="254" t="s">
        <v>2011</v>
      </c>
      <c r="D2657" s="255">
        <v>104</v>
      </c>
      <c r="E2657" s="211" t="s">
        <v>2239</v>
      </c>
      <c r="F2657" s="212">
        <v>43712</v>
      </c>
      <c r="G2657" s="213">
        <v>1.84</v>
      </c>
      <c r="H2657" s="256">
        <v>41</v>
      </c>
      <c r="I2657" s="214">
        <v>1490119</v>
      </c>
      <c r="J2657" s="215">
        <v>21000</v>
      </c>
      <c r="K2657" s="212">
        <v>43721</v>
      </c>
      <c r="L2657" s="211" t="s">
        <v>2240</v>
      </c>
      <c r="M2657" s="216">
        <v>4615450207</v>
      </c>
      <c r="N2657" s="212"/>
      <c r="O2657" s="218"/>
      <c r="P2657" s="219"/>
      <c r="Q2657" s="34">
        <f>SUMIF(Allocation[Delivery ID],Allocation[[#This Row],[Delivery ID]],Allocation[Quantity Processed])</f>
        <v>459</v>
      </c>
      <c r="R2657" s="61">
        <f>Allocation[[#This Row],[Total volume used]]/VLOOKUP(Allocation[[#This Row],[Delivery ID]],Delivery[[Delivery ID]:[Quantity delivered]],3,FALSE)</f>
        <v>0.153</v>
      </c>
      <c r="S2657" s="34">
        <f>Allocation[[#This Row],[Quantity Processed]]/Allocation[[#This Row],[Dilution rate]]</f>
        <v>56.521739130434781</v>
      </c>
      <c r="T2657" s="59">
        <f>SUMIF(Allocation[Delivery ID],Allocation[[#This Row],[Delivery ID]],Allocation[Quantity allocated])/SUMIF(Allocation[Delivery ID],Allocation[[#This Row],[Delivery ID]],Allocation[Volume available (kg)])</f>
        <v>0.78789546844592717</v>
      </c>
      <c r="U2657" s="61">
        <f>Allocation[[#This Row],[Total volume used]]/VLOOKUP(Allocation[[#This Row],[Delivery ID]],Delivery[[Delivery ID]:[Quantity delivered]],3,FALSE)</f>
        <v>0.153</v>
      </c>
      <c r="V2657" s="34" t="e">
        <f>VLOOKUP(Allocation[[#This Row],[SAP Contract number]],Shipments[[SAP Contract number]:[Contracted container weight]],2,FALSE)</f>
        <v>#N/A</v>
      </c>
      <c r="W2657" s="34" t="e">
        <f>VLOOKUP(Allocation[[#This Row],[SAP Contract number]],Shipments[[SAP Contract number]:[AAA Premium USD]],24,FALSE)</f>
        <v>#N/A</v>
      </c>
      <c r="X2657" s="34" t="e">
        <f>VLOOKUP(Allocation[[#This Row],[SAP Contract number]],Shipments[[SAP Contract number]:[RA Premium USD]],25,FALSE)</f>
        <v>#N/A</v>
      </c>
      <c r="Y2657" s="38">
        <f>Allocation[[#This Row],[Quantity Processed]]/Allocation[[#This Row],[Quantity allocated]]</f>
        <v>2.5365853658536586</v>
      </c>
      <c r="Z2657" s="34" t="b">
        <f>Allocation[[#This Row],[Quantity allocated]]&lt;=Allocation[[#This Row],[Quantity Processed]]</f>
        <v>1</v>
      </c>
    </row>
    <row r="2658" spans="1:26">
      <c r="A2658" s="247" t="s">
        <v>467</v>
      </c>
      <c r="B2658" s="210" t="s">
        <v>68</v>
      </c>
      <c r="C2658" s="254" t="s">
        <v>2174</v>
      </c>
      <c r="D2658" s="255">
        <v>1113</v>
      </c>
      <c r="E2658" s="211" t="s">
        <v>2239</v>
      </c>
      <c r="F2658" s="212">
        <v>43712</v>
      </c>
      <c r="G2658" s="213">
        <v>1.84</v>
      </c>
      <c r="H2658" s="256">
        <v>891</v>
      </c>
      <c r="I2658" s="214">
        <v>1490119</v>
      </c>
      <c r="J2658" s="215">
        <v>21000</v>
      </c>
      <c r="K2658" s="212">
        <v>43721</v>
      </c>
      <c r="L2658" s="211" t="s">
        <v>2240</v>
      </c>
      <c r="M2658" s="216">
        <v>4615450207</v>
      </c>
      <c r="N2658" s="212"/>
      <c r="O2658" s="218"/>
      <c r="P2658" s="219"/>
      <c r="Q2658" s="34">
        <f>SUMIF(Allocation[Delivery ID],Allocation[[#This Row],[Delivery ID]],Allocation[Quantity Processed])</f>
        <v>1113</v>
      </c>
      <c r="R2658" s="61">
        <f>Allocation[[#This Row],[Total volume used]]/VLOOKUP(Allocation[[#This Row],[Delivery ID]],Delivery[[Delivery ID]:[Quantity delivered]],3,FALSE)</f>
        <v>0.19526315789473683</v>
      </c>
      <c r="S2658" s="34">
        <f>Allocation[[#This Row],[Quantity Processed]]/Allocation[[#This Row],[Dilution rate]]</f>
        <v>604.89130434782601</v>
      </c>
      <c r="T2658" s="59">
        <f>SUMIF(Allocation[Delivery ID],Allocation[[#This Row],[Delivery ID]],Allocation[Quantity allocated])/SUMIF(Allocation[Delivery ID],Allocation[[#This Row],[Delivery ID]],Allocation[Volume available (kg)])</f>
        <v>1.472991913746631</v>
      </c>
      <c r="U2658" s="61">
        <f>Allocation[[#This Row],[Total volume used]]/VLOOKUP(Allocation[[#This Row],[Delivery ID]],Delivery[[Delivery ID]:[Quantity delivered]],3,FALSE)</f>
        <v>0.19526315789473683</v>
      </c>
      <c r="V2658" s="34" t="e">
        <f>VLOOKUP(Allocation[[#This Row],[SAP Contract number]],Shipments[[SAP Contract number]:[Contracted container weight]],2,FALSE)</f>
        <v>#N/A</v>
      </c>
      <c r="W2658" s="34" t="e">
        <f>VLOOKUP(Allocation[[#This Row],[SAP Contract number]],Shipments[[SAP Contract number]:[AAA Premium USD]],24,FALSE)</f>
        <v>#N/A</v>
      </c>
      <c r="X2658" s="34" t="e">
        <f>VLOOKUP(Allocation[[#This Row],[SAP Contract number]],Shipments[[SAP Contract number]:[RA Premium USD]],25,FALSE)</f>
        <v>#N/A</v>
      </c>
      <c r="Y2658" s="38">
        <f>Allocation[[#This Row],[Quantity Processed]]/Allocation[[#This Row],[Quantity allocated]]</f>
        <v>1.2491582491582491</v>
      </c>
      <c r="Z2658" s="34" t="b">
        <f>Allocation[[#This Row],[Quantity allocated]]&lt;=Allocation[[#This Row],[Quantity Processed]]</f>
        <v>1</v>
      </c>
    </row>
    <row r="2659" spans="1:26">
      <c r="A2659" s="247" t="s">
        <v>467</v>
      </c>
      <c r="B2659" s="210" t="s">
        <v>68</v>
      </c>
      <c r="C2659" s="254" t="s">
        <v>2175</v>
      </c>
      <c r="D2659" s="255">
        <v>563</v>
      </c>
      <c r="E2659" s="211" t="s">
        <v>2239</v>
      </c>
      <c r="F2659" s="212">
        <v>43712</v>
      </c>
      <c r="G2659" s="213">
        <v>1.84</v>
      </c>
      <c r="H2659" s="256">
        <v>450</v>
      </c>
      <c r="I2659" s="214">
        <v>1490119</v>
      </c>
      <c r="J2659" s="215">
        <v>21000</v>
      </c>
      <c r="K2659" s="212">
        <v>43721</v>
      </c>
      <c r="L2659" s="211" t="s">
        <v>2240</v>
      </c>
      <c r="M2659" s="216">
        <v>4615450207</v>
      </c>
      <c r="N2659" s="212"/>
      <c r="O2659" s="218"/>
      <c r="P2659" s="219"/>
      <c r="Q2659" s="34">
        <f>SUMIF(Allocation[Delivery ID],Allocation[[#This Row],[Delivery ID]],Allocation[Quantity Processed])</f>
        <v>563</v>
      </c>
      <c r="R2659" s="61">
        <f>Allocation[[#This Row],[Total volume used]]/VLOOKUP(Allocation[[#This Row],[Delivery ID]],Delivery[[Delivery ID]:[Quantity delivered]],3,FALSE)</f>
        <v>0.19548611111111111</v>
      </c>
      <c r="S2659" s="34">
        <f>Allocation[[#This Row],[Quantity Processed]]/Allocation[[#This Row],[Dilution rate]]</f>
        <v>305.97826086956519</v>
      </c>
      <c r="T2659" s="59">
        <f>SUMIF(Allocation[Delivery ID],Allocation[[#This Row],[Delivery ID]],Allocation[Quantity allocated])/SUMIF(Allocation[Delivery ID],Allocation[[#This Row],[Delivery ID]],Allocation[Volume available (kg)])</f>
        <v>1.4706927175843696</v>
      </c>
      <c r="U2659" s="61">
        <f>Allocation[[#This Row],[Total volume used]]/VLOOKUP(Allocation[[#This Row],[Delivery ID]],Delivery[[Delivery ID]:[Quantity delivered]],3,FALSE)</f>
        <v>0.19548611111111111</v>
      </c>
      <c r="V2659" s="34" t="e">
        <f>VLOOKUP(Allocation[[#This Row],[SAP Contract number]],Shipments[[SAP Contract number]:[Contracted container weight]],2,FALSE)</f>
        <v>#N/A</v>
      </c>
      <c r="W2659" s="34" t="e">
        <f>VLOOKUP(Allocation[[#This Row],[SAP Contract number]],Shipments[[SAP Contract number]:[AAA Premium USD]],24,FALSE)</f>
        <v>#N/A</v>
      </c>
      <c r="X2659" s="34" t="e">
        <f>VLOOKUP(Allocation[[#This Row],[SAP Contract number]],Shipments[[SAP Contract number]:[RA Premium USD]],25,FALSE)</f>
        <v>#N/A</v>
      </c>
      <c r="Y2659" s="38">
        <f>Allocation[[#This Row],[Quantity Processed]]/Allocation[[#This Row],[Quantity allocated]]</f>
        <v>1.2511111111111111</v>
      </c>
      <c r="Z2659" s="34" t="b">
        <f>Allocation[[#This Row],[Quantity allocated]]&lt;=Allocation[[#This Row],[Quantity Processed]]</f>
        <v>1</v>
      </c>
    </row>
    <row r="2660" spans="1:26">
      <c r="A2660" s="247" t="s">
        <v>467</v>
      </c>
      <c r="B2660" s="210" t="s">
        <v>68</v>
      </c>
      <c r="C2660" s="254" t="s">
        <v>2176</v>
      </c>
      <c r="D2660" s="255">
        <v>1453</v>
      </c>
      <c r="E2660" s="211" t="s">
        <v>2239</v>
      </c>
      <c r="F2660" s="212">
        <v>43712</v>
      </c>
      <c r="G2660" s="213">
        <v>1.84</v>
      </c>
      <c r="H2660" s="256">
        <v>1162</v>
      </c>
      <c r="I2660" s="214">
        <v>1490119</v>
      </c>
      <c r="J2660" s="215">
        <v>21000</v>
      </c>
      <c r="K2660" s="212">
        <v>43721</v>
      </c>
      <c r="L2660" s="211" t="s">
        <v>2240</v>
      </c>
      <c r="M2660" s="216">
        <v>4615450207</v>
      </c>
      <c r="N2660" s="212"/>
      <c r="O2660" s="218"/>
      <c r="P2660" s="219"/>
      <c r="Q2660" s="34">
        <f>SUMIF(Allocation[Delivery ID],Allocation[[#This Row],[Delivery ID]],Allocation[Quantity Processed])</f>
        <v>2204</v>
      </c>
      <c r="R2660" s="61">
        <f>Allocation[[#This Row],[Total volume used]]/VLOOKUP(Allocation[[#This Row],[Delivery ID]],Delivery[[Delivery ID]:[Quantity delivered]],3,FALSE)</f>
        <v>0.19539007092198582</v>
      </c>
      <c r="S2660" s="34">
        <f>Allocation[[#This Row],[Quantity Processed]]/Allocation[[#This Row],[Dilution rate]]</f>
        <v>789.67391304347825</v>
      </c>
      <c r="T2660" s="59">
        <f>SUMIF(Allocation[Delivery ID],Allocation[[#This Row],[Delivery ID]],Allocation[Quantity allocated])/SUMIF(Allocation[Delivery ID],Allocation[[#This Row],[Delivery ID]],Allocation[Volume available (kg)])</f>
        <v>1.4718330308529946</v>
      </c>
      <c r="U2660" s="61">
        <f>Allocation[[#This Row],[Total volume used]]/VLOOKUP(Allocation[[#This Row],[Delivery ID]],Delivery[[Delivery ID]:[Quantity delivered]],3,FALSE)</f>
        <v>0.19539007092198582</v>
      </c>
      <c r="V2660" s="34" t="e">
        <f>VLOOKUP(Allocation[[#This Row],[SAP Contract number]],Shipments[[SAP Contract number]:[Contracted container weight]],2,FALSE)</f>
        <v>#N/A</v>
      </c>
      <c r="W2660" s="34" t="e">
        <f>VLOOKUP(Allocation[[#This Row],[SAP Contract number]],Shipments[[SAP Contract number]:[AAA Premium USD]],24,FALSE)</f>
        <v>#N/A</v>
      </c>
      <c r="X2660" s="34" t="e">
        <f>VLOOKUP(Allocation[[#This Row],[SAP Contract number]],Shipments[[SAP Contract number]:[RA Premium USD]],25,FALSE)</f>
        <v>#N/A</v>
      </c>
      <c r="Y2660" s="38">
        <f>Allocation[[#This Row],[Quantity Processed]]/Allocation[[#This Row],[Quantity allocated]]</f>
        <v>1.2504302925989672</v>
      </c>
      <c r="Z2660" s="34" t="b">
        <f>Allocation[[#This Row],[Quantity allocated]]&lt;=Allocation[[#This Row],[Quantity Processed]]</f>
        <v>1</v>
      </c>
    </row>
    <row r="2661" spans="1:26">
      <c r="A2661" s="247" t="s">
        <v>467</v>
      </c>
      <c r="B2661" s="210" t="s">
        <v>68</v>
      </c>
      <c r="C2661" s="254" t="s">
        <v>2176</v>
      </c>
      <c r="D2661" s="255">
        <v>751</v>
      </c>
      <c r="E2661" s="211" t="s">
        <v>2239</v>
      </c>
      <c r="F2661" s="212">
        <v>43712</v>
      </c>
      <c r="G2661" s="213">
        <v>1.84</v>
      </c>
      <c r="H2661" s="256">
        <v>601</v>
      </c>
      <c r="I2661" s="214">
        <v>1490120</v>
      </c>
      <c r="J2661" s="215">
        <v>21000</v>
      </c>
      <c r="K2661" s="212">
        <v>43721</v>
      </c>
      <c r="L2661" s="211" t="s">
        <v>2241</v>
      </c>
      <c r="M2661" s="216">
        <v>4615450207</v>
      </c>
      <c r="N2661" s="212"/>
      <c r="O2661" s="218"/>
      <c r="P2661" s="219"/>
      <c r="Q2661" s="34">
        <f>SUMIF(Allocation[Delivery ID],Allocation[[#This Row],[Delivery ID]],Allocation[Quantity Processed])</f>
        <v>2204</v>
      </c>
      <c r="R2661" s="61">
        <f>Allocation[[#This Row],[Total volume used]]/VLOOKUP(Allocation[[#This Row],[Delivery ID]],Delivery[[Delivery ID]:[Quantity delivered]],3,FALSE)</f>
        <v>0.19539007092198582</v>
      </c>
      <c r="S2661" s="34">
        <f>Allocation[[#This Row],[Quantity Processed]]/Allocation[[#This Row],[Dilution rate]]</f>
        <v>408.15217391304344</v>
      </c>
      <c r="T2661" s="59">
        <f>SUMIF(Allocation[Delivery ID],Allocation[[#This Row],[Delivery ID]],Allocation[Quantity allocated])/SUMIF(Allocation[Delivery ID],Allocation[[#This Row],[Delivery ID]],Allocation[Volume available (kg)])</f>
        <v>1.4718330308529946</v>
      </c>
      <c r="U2661" s="61">
        <f>Allocation[[#This Row],[Total volume used]]/VLOOKUP(Allocation[[#This Row],[Delivery ID]],Delivery[[Delivery ID]:[Quantity delivered]],3,FALSE)</f>
        <v>0.19539007092198582</v>
      </c>
      <c r="V2661" s="34" t="e">
        <f>VLOOKUP(Allocation[[#This Row],[SAP Contract number]],Shipments[[SAP Contract number]:[Contracted container weight]],2,FALSE)</f>
        <v>#N/A</v>
      </c>
      <c r="W2661" s="34" t="e">
        <f>VLOOKUP(Allocation[[#This Row],[SAP Contract number]],Shipments[[SAP Contract number]:[AAA Premium USD]],24,FALSE)</f>
        <v>#N/A</v>
      </c>
      <c r="X2661" s="34" t="e">
        <f>VLOOKUP(Allocation[[#This Row],[SAP Contract number]],Shipments[[SAP Contract number]:[RA Premium USD]],25,FALSE)</f>
        <v>#N/A</v>
      </c>
      <c r="Y2661" s="38">
        <f>Allocation[[#This Row],[Quantity Processed]]/Allocation[[#This Row],[Quantity allocated]]</f>
        <v>1.2495840266222962</v>
      </c>
      <c r="Z2661" s="34" t="b">
        <f>Allocation[[#This Row],[Quantity allocated]]&lt;=Allocation[[#This Row],[Quantity Processed]]</f>
        <v>1</v>
      </c>
    </row>
    <row r="2662" spans="1:26">
      <c r="A2662" s="247" t="s">
        <v>467</v>
      </c>
      <c r="B2662" s="210" t="s">
        <v>68</v>
      </c>
      <c r="C2662" s="254" t="s">
        <v>2030</v>
      </c>
      <c r="D2662" s="255">
        <v>2877</v>
      </c>
      <c r="E2662" s="211" t="s">
        <v>2239</v>
      </c>
      <c r="F2662" s="212">
        <v>43712</v>
      </c>
      <c r="G2662" s="213">
        <v>1.84</v>
      </c>
      <c r="H2662" s="256">
        <v>1726</v>
      </c>
      <c r="I2662" s="214">
        <v>1490120</v>
      </c>
      <c r="J2662" s="215">
        <v>21000</v>
      </c>
      <c r="K2662" s="212">
        <v>43721</v>
      </c>
      <c r="L2662" s="211" t="s">
        <v>2241</v>
      </c>
      <c r="M2662" s="216">
        <v>4615450207</v>
      </c>
      <c r="N2662" s="212"/>
      <c r="O2662" s="218"/>
      <c r="P2662" s="219"/>
      <c r="Q2662" s="34">
        <f>SUMIF(Allocation[Delivery ID],Allocation[[#This Row],[Delivery ID]],Allocation[Quantity Processed])</f>
        <v>4845</v>
      </c>
      <c r="R2662" s="61">
        <f>Allocation[[#This Row],[Total volume used]]/VLOOKUP(Allocation[[#This Row],[Delivery ID]],Delivery[[Delivery ID]:[Quantity delivered]],3,FALSE)</f>
        <v>0.58606507802104757</v>
      </c>
      <c r="S2662" s="34">
        <f>Allocation[[#This Row],[Quantity Processed]]/Allocation[[#This Row],[Dilution rate]]</f>
        <v>1563.586956521739</v>
      </c>
      <c r="T2662" s="59">
        <f>SUMIF(Allocation[Delivery ID],Allocation[[#This Row],[Delivery ID]],Allocation[Quantity allocated])/SUMIF(Allocation[Delivery ID],Allocation[[#This Row],[Delivery ID]],Allocation[Volume available (kg)])</f>
        <v>1.1454603049404941</v>
      </c>
      <c r="U2662" s="61">
        <f>Allocation[[#This Row],[Total volume used]]/VLOOKUP(Allocation[[#This Row],[Delivery ID]],Delivery[[Delivery ID]:[Quantity delivered]],3,FALSE)</f>
        <v>0.58606507802104757</v>
      </c>
      <c r="V2662" s="34" t="e">
        <f>VLOOKUP(Allocation[[#This Row],[SAP Contract number]],Shipments[[SAP Contract number]:[Contracted container weight]],2,FALSE)</f>
        <v>#N/A</v>
      </c>
      <c r="W2662" s="34" t="e">
        <f>VLOOKUP(Allocation[[#This Row],[SAP Contract number]],Shipments[[SAP Contract number]:[AAA Premium USD]],24,FALSE)</f>
        <v>#N/A</v>
      </c>
      <c r="X2662" s="34" t="e">
        <f>VLOOKUP(Allocation[[#This Row],[SAP Contract number]],Shipments[[SAP Contract number]:[RA Premium USD]],25,FALSE)</f>
        <v>#N/A</v>
      </c>
      <c r="Y2662" s="38">
        <f>Allocation[[#This Row],[Quantity Processed]]/Allocation[[#This Row],[Quantity allocated]]</f>
        <v>1.6668597914252608</v>
      </c>
      <c r="Z2662" s="34" t="b">
        <f>Allocation[[#This Row],[Quantity allocated]]&lt;=Allocation[[#This Row],[Quantity Processed]]</f>
        <v>1</v>
      </c>
    </row>
    <row r="2663" spans="1:26">
      <c r="A2663" s="247" t="s">
        <v>467</v>
      </c>
      <c r="B2663" s="210" t="s">
        <v>68</v>
      </c>
      <c r="C2663" s="254" t="s">
        <v>2031</v>
      </c>
      <c r="D2663" s="255">
        <v>2293</v>
      </c>
      <c r="E2663" s="211" t="s">
        <v>2239</v>
      </c>
      <c r="F2663" s="212">
        <v>43712</v>
      </c>
      <c r="G2663" s="213">
        <v>1.84</v>
      </c>
      <c r="H2663" s="256">
        <v>1376</v>
      </c>
      <c r="I2663" s="214">
        <v>1490120</v>
      </c>
      <c r="J2663" s="215">
        <v>21000</v>
      </c>
      <c r="K2663" s="212">
        <v>43721</v>
      </c>
      <c r="L2663" s="211" t="s">
        <v>2241</v>
      </c>
      <c r="M2663" s="216">
        <v>4615450207</v>
      </c>
      <c r="N2663" s="212"/>
      <c r="O2663" s="218"/>
      <c r="P2663" s="219"/>
      <c r="Q2663" s="34">
        <f>SUMIF(Allocation[Delivery ID],Allocation[[#This Row],[Delivery ID]],Allocation[Quantity Processed])</f>
        <v>3861</v>
      </c>
      <c r="R2663" s="61">
        <f>Allocation[[#This Row],[Total volume used]]/VLOOKUP(Allocation[[#This Row],[Delivery ID]],Delivery[[Delivery ID]:[Quantity delivered]],3,FALSE)</f>
        <v>0.58597662771285475</v>
      </c>
      <c r="S2663" s="34">
        <f>Allocation[[#This Row],[Quantity Processed]]/Allocation[[#This Row],[Dilution rate]]</f>
        <v>1246.195652173913</v>
      </c>
      <c r="T2663" s="59">
        <f>SUMIF(Allocation[Delivery ID],Allocation[[#This Row],[Delivery ID]],Allocation[Quantity allocated])/SUMIF(Allocation[Delivery ID],Allocation[[#This Row],[Delivery ID]],Allocation[Volume available (kg)])</f>
        <v>1.1456496624974393</v>
      </c>
      <c r="U2663" s="61">
        <f>Allocation[[#This Row],[Total volume used]]/VLOOKUP(Allocation[[#This Row],[Delivery ID]],Delivery[[Delivery ID]:[Quantity delivered]],3,FALSE)</f>
        <v>0.58597662771285475</v>
      </c>
      <c r="V2663" s="34" t="e">
        <f>VLOOKUP(Allocation[[#This Row],[SAP Contract number]],Shipments[[SAP Contract number]:[Contracted container weight]],2,FALSE)</f>
        <v>#N/A</v>
      </c>
      <c r="W2663" s="34" t="e">
        <f>VLOOKUP(Allocation[[#This Row],[SAP Contract number]],Shipments[[SAP Contract number]:[AAA Premium USD]],24,FALSE)</f>
        <v>#N/A</v>
      </c>
      <c r="X2663" s="34" t="e">
        <f>VLOOKUP(Allocation[[#This Row],[SAP Contract number]],Shipments[[SAP Contract number]:[RA Premium USD]],25,FALSE)</f>
        <v>#N/A</v>
      </c>
      <c r="Y2663" s="38">
        <f>Allocation[[#This Row],[Quantity Processed]]/Allocation[[#This Row],[Quantity allocated]]</f>
        <v>1.6664244186046511</v>
      </c>
      <c r="Z2663" s="34" t="b">
        <f>Allocation[[#This Row],[Quantity allocated]]&lt;=Allocation[[#This Row],[Quantity Processed]]</f>
        <v>1</v>
      </c>
    </row>
    <row r="2664" spans="1:26">
      <c r="A2664" s="247" t="s">
        <v>467</v>
      </c>
      <c r="B2664" s="210" t="s">
        <v>68</v>
      </c>
      <c r="C2664" s="254" t="s">
        <v>2032</v>
      </c>
      <c r="D2664" s="255">
        <v>5054</v>
      </c>
      <c r="E2664" s="211" t="s">
        <v>2239</v>
      </c>
      <c r="F2664" s="212">
        <v>43712</v>
      </c>
      <c r="G2664" s="213">
        <v>1.84</v>
      </c>
      <c r="H2664" s="256">
        <v>2527</v>
      </c>
      <c r="I2664" s="214">
        <v>1490120</v>
      </c>
      <c r="J2664" s="215">
        <v>21000</v>
      </c>
      <c r="K2664" s="212">
        <v>43721</v>
      </c>
      <c r="L2664" s="211" t="s">
        <v>2241</v>
      </c>
      <c r="M2664" s="216">
        <v>4615450207</v>
      </c>
      <c r="N2664" s="212"/>
      <c r="O2664" s="218"/>
      <c r="P2664" s="219"/>
      <c r="Q2664" s="34">
        <f>SUMIF(Allocation[Delivery ID],Allocation[[#This Row],[Delivery ID]],Allocation[Quantity Processed])</f>
        <v>8510</v>
      </c>
      <c r="R2664" s="61">
        <f>Allocation[[#This Row],[Total volume used]]/VLOOKUP(Allocation[[#This Row],[Delivery ID]],Delivery[[Delivery ID]:[Quantity delivered]],3,FALSE)</f>
        <v>0.70333484854746064</v>
      </c>
      <c r="S2664" s="34">
        <f>Allocation[[#This Row],[Quantity Processed]]/Allocation[[#This Row],[Dilution rate]]</f>
        <v>2746.7391304347825</v>
      </c>
      <c r="T2664" s="59">
        <f>SUMIF(Allocation[Delivery ID],Allocation[[#This Row],[Delivery ID]],Allocation[Quantity allocated])/SUMIF(Allocation[Delivery ID],Allocation[[#This Row],[Delivery ID]],Allocation[Volume available (kg)])</f>
        <v>0.95454306221828444</v>
      </c>
      <c r="U2664" s="61">
        <f>Allocation[[#This Row],[Total volume used]]/VLOOKUP(Allocation[[#This Row],[Delivery ID]],Delivery[[Delivery ID]:[Quantity delivered]],3,FALSE)</f>
        <v>0.70333484854746064</v>
      </c>
      <c r="V2664" s="34" t="e">
        <f>VLOOKUP(Allocation[[#This Row],[SAP Contract number]],Shipments[[SAP Contract number]:[Contracted container weight]],2,FALSE)</f>
        <v>#N/A</v>
      </c>
      <c r="W2664" s="34" t="e">
        <f>VLOOKUP(Allocation[[#This Row],[SAP Contract number]],Shipments[[SAP Contract number]:[AAA Premium USD]],24,FALSE)</f>
        <v>#N/A</v>
      </c>
      <c r="X2664" s="34" t="e">
        <f>VLOOKUP(Allocation[[#This Row],[SAP Contract number]],Shipments[[SAP Contract number]:[RA Premium USD]],25,FALSE)</f>
        <v>#N/A</v>
      </c>
      <c r="Y2664" s="38">
        <f>Allocation[[#This Row],[Quantity Processed]]/Allocation[[#This Row],[Quantity allocated]]</f>
        <v>2</v>
      </c>
      <c r="Z2664" s="34" t="b">
        <f>Allocation[[#This Row],[Quantity allocated]]&lt;=Allocation[[#This Row],[Quantity Processed]]</f>
        <v>1</v>
      </c>
    </row>
    <row r="2665" spans="1:26">
      <c r="A2665" s="247" t="s">
        <v>467</v>
      </c>
      <c r="B2665" s="210" t="s">
        <v>68</v>
      </c>
      <c r="C2665" s="254" t="s">
        <v>2033</v>
      </c>
      <c r="D2665" s="255">
        <v>15591</v>
      </c>
      <c r="E2665" s="211" t="s">
        <v>2239</v>
      </c>
      <c r="F2665" s="212">
        <v>43712</v>
      </c>
      <c r="G2665" s="213">
        <v>1.84</v>
      </c>
      <c r="H2665" s="256">
        <v>6392</v>
      </c>
      <c r="I2665" s="214">
        <v>1490120</v>
      </c>
      <c r="J2665" s="215">
        <v>21000</v>
      </c>
      <c r="K2665" s="212">
        <v>43721</v>
      </c>
      <c r="L2665" s="211" t="s">
        <v>2241</v>
      </c>
      <c r="M2665" s="216">
        <v>4615450207</v>
      </c>
      <c r="N2665" s="212"/>
      <c r="O2665" s="218"/>
      <c r="P2665" s="219"/>
      <c r="Q2665" s="34">
        <f>SUMIF(Allocation[Delivery ID],Allocation[[#This Row],[Delivery ID]],Allocation[Quantity Processed])</f>
        <v>26257</v>
      </c>
      <c r="R2665" s="61">
        <f>Allocation[[#This Row],[Total volume used]]/VLOOKUP(Allocation[[#This Row],[Delivery ID]],Delivery[[Delivery ID]:[Quantity delivered]],3,FALSE)</f>
        <v>0.85779157138190132</v>
      </c>
      <c r="S2665" s="34">
        <f>Allocation[[#This Row],[Quantity Processed]]/Allocation[[#This Row],[Dilution rate]]</f>
        <v>8473.3695652173901</v>
      </c>
      <c r="T2665" s="59">
        <f>SUMIF(Allocation[Delivery ID],Allocation[[#This Row],[Delivery ID]],Allocation[Quantity allocated])/SUMIF(Allocation[Delivery ID],Allocation[[#This Row],[Delivery ID]],Allocation[Volume available (kg)])</f>
        <v>0.78270600943753899</v>
      </c>
      <c r="U2665" s="61">
        <f>Allocation[[#This Row],[Total volume used]]/VLOOKUP(Allocation[[#This Row],[Delivery ID]],Delivery[[Delivery ID]:[Quantity delivered]],3,FALSE)</f>
        <v>0.85779157138190132</v>
      </c>
      <c r="V2665" s="34" t="e">
        <f>VLOOKUP(Allocation[[#This Row],[SAP Contract number]],Shipments[[SAP Contract number]:[Contracted container weight]],2,FALSE)</f>
        <v>#N/A</v>
      </c>
      <c r="W2665" s="34" t="e">
        <f>VLOOKUP(Allocation[[#This Row],[SAP Contract number]],Shipments[[SAP Contract number]:[AAA Premium USD]],24,FALSE)</f>
        <v>#N/A</v>
      </c>
      <c r="X2665" s="34" t="e">
        <f>VLOOKUP(Allocation[[#This Row],[SAP Contract number]],Shipments[[SAP Contract number]:[RA Premium USD]],25,FALSE)</f>
        <v>#N/A</v>
      </c>
      <c r="Y2665" s="38">
        <f>Allocation[[#This Row],[Quantity Processed]]/Allocation[[#This Row],[Quantity allocated]]</f>
        <v>2.4391426783479351</v>
      </c>
      <c r="Z2665" s="34" t="b">
        <f>Allocation[[#This Row],[Quantity allocated]]&lt;=Allocation[[#This Row],[Quantity Processed]]</f>
        <v>1</v>
      </c>
    </row>
    <row r="2666" spans="1:26">
      <c r="A2666" s="247" t="s">
        <v>467</v>
      </c>
      <c r="B2666" s="210" t="s">
        <v>68</v>
      </c>
      <c r="C2666" s="254" t="s">
        <v>2034</v>
      </c>
      <c r="D2666" s="255">
        <v>15596</v>
      </c>
      <c r="E2666" s="211" t="s">
        <v>2239</v>
      </c>
      <c r="F2666" s="212">
        <v>43712</v>
      </c>
      <c r="G2666" s="213">
        <v>1.84</v>
      </c>
      <c r="H2666" s="256">
        <v>6395</v>
      </c>
      <c r="I2666" s="214">
        <v>1490120</v>
      </c>
      <c r="J2666" s="215">
        <v>21000</v>
      </c>
      <c r="K2666" s="212">
        <v>43721</v>
      </c>
      <c r="L2666" s="211" t="s">
        <v>2241</v>
      </c>
      <c r="M2666" s="216">
        <v>4615450207</v>
      </c>
      <c r="N2666" s="212"/>
      <c r="O2666" s="218"/>
      <c r="P2666" s="219"/>
      <c r="Q2666" s="34">
        <f>SUMIF(Allocation[Delivery ID],Allocation[[#This Row],[Delivery ID]],Allocation[Quantity Processed])</f>
        <v>26264</v>
      </c>
      <c r="R2666" s="61">
        <f>Allocation[[#This Row],[Total volume used]]/VLOOKUP(Allocation[[#This Row],[Delivery ID]],Delivery[[Delivery ID]:[Quantity delivered]],3,FALSE)</f>
        <v>0.8577400391900718</v>
      </c>
      <c r="S2666" s="34">
        <f>Allocation[[#This Row],[Quantity Processed]]/Allocation[[#This Row],[Dilution rate]]</f>
        <v>8476.0869565217381</v>
      </c>
      <c r="T2666" s="59">
        <f>SUMIF(Allocation[Delivery ID],Allocation[[#This Row],[Delivery ID]],Allocation[Quantity allocated])/SUMIF(Allocation[Delivery ID],Allocation[[#This Row],[Delivery ID]],Allocation[Volume available (kg)])</f>
        <v>0.78278583084440134</v>
      </c>
      <c r="U2666" s="61">
        <f>Allocation[[#This Row],[Total volume used]]/VLOOKUP(Allocation[[#This Row],[Delivery ID]],Delivery[[Delivery ID]:[Quantity delivered]],3,FALSE)</f>
        <v>0.8577400391900718</v>
      </c>
      <c r="V2666" s="34" t="e">
        <f>VLOOKUP(Allocation[[#This Row],[SAP Contract number]],Shipments[[SAP Contract number]:[Contracted container weight]],2,FALSE)</f>
        <v>#N/A</v>
      </c>
      <c r="W2666" s="34" t="e">
        <f>VLOOKUP(Allocation[[#This Row],[SAP Contract number]],Shipments[[SAP Contract number]:[AAA Premium USD]],24,FALSE)</f>
        <v>#N/A</v>
      </c>
      <c r="X2666" s="34" t="e">
        <f>VLOOKUP(Allocation[[#This Row],[SAP Contract number]],Shipments[[SAP Contract number]:[RA Premium USD]],25,FALSE)</f>
        <v>#N/A</v>
      </c>
      <c r="Y2666" s="38">
        <f>Allocation[[#This Row],[Quantity Processed]]/Allocation[[#This Row],[Quantity allocated]]</f>
        <v>2.4387802971071149</v>
      </c>
      <c r="Z2666" s="34" t="b">
        <f>Allocation[[#This Row],[Quantity allocated]]&lt;=Allocation[[#This Row],[Quantity Processed]]</f>
        <v>1</v>
      </c>
    </row>
    <row r="2667" spans="1:26">
      <c r="A2667" s="247" t="s">
        <v>467</v>
      </c>
      <c r="B2667" s="210" t="s">
        <v>68</v>
      </c>
      <c r="C2667" s="254" t="s">
        <v>2035</v>
      </c>
      <c r="D2667" s="255">
        <v>2833</v>
      </c>
      <c r="E2667" s="211" t="s">
        <v>2239</v>
      </c>
      <c r="F2667" s="212">
        <v>43712</v>
      </c>
      <c r="G2667" s="213">
        <v>1.84</v>
      </c>
      <c r="H2667" s="256">
        <v>1983</v>
      </c>
      <c r="I2667" s="214">
        <v>1490120</v>
      </c>
      <c r="J2667" s="215">
        <v>21000</v>
      </c>
      <c r="K2667" s="212">
        <v>43721</v>
      </c>
      <c r="L2667" s="211" t="s">
        <v>2241</v>
      </c>
      <c r="M2667" s="216">
        <v>4615450207</v>
      </c>
      <c r="N2667" s="212"/>
      <c r="O2667" s="218"/>
      <c r="P2667" s="219"/>
      <c r="Q2667" s="34">
        <f>SUMIF(Allocation[Delivery ID],Allocation[[#This Row],[Delivery ID]],Allocation[Quantity Processed])</f>
        <v>11715</v>
      </c>
      <c r="R2667" s="61">
        <f>Allocation[[#This Row],[Total volume used]]/VLOOKUP(Allocation[[#This Row],[Delivery ID]],Delivery[[Delivery ID]:[Quantity delivered]],3,FALSE)</f>
        <v>0.50243389874123479</v>
      </c>
      <c r="S2667" s="34">
        <f>Allocation[[#This Row],[Quantity Processed]]/Allocation[[#This Row],[Dilution rate]]</f>
        <v>1539.6739130434783</v>
      </c>
      <c r="T2667" s="59">
        <f>SUMIF(Allocation[Delivery ID],Allocation[[#This Row],[Delivery ID]],Allocation[Quantity allocated])/SUMIF(Allocation[Delivery ID],Allocation[[#This Row],[Delivery ID]],Allocation[Volume available (kg)])</f>
        <v>1.3362937396526082</v>
      </c>
      <c r="U2667" s="61">
        <f>Allocation[[#This Row],[Total volume used]]/VLOOKUP(Allocation[[#This Row],[Delivery ID]],Delivery[[Delivery ID]:[Quantity delivered]],3,FALSE)</f>
        <v>0.50243389874123479</v>
      </c>
      <c r="V2667" s="34" t="e">
        <f>VLOOKUP(Allocation[[#This Row],[SAP Contract number]],Shipments[[SAP Contract number]:[Contracted container weight]],2,FALSE)</f>
        <v>#N/A</v>
      </c>
      <c r="W2667" s="34" t="e">
        <f>VLOOKUP(Allocation[[#This Row],[SAP Contract number]],Shipments[[SAP Contract number]:[AAA Premium USD]],24,FALSE)</f>
        <v>#N/A</v>
      </c>
      <c r="X2667" s="34" t="e">
        <f>VLOOKUP(Allocation[[#This Row],[SAP Contract number]],Shipments[[SAP Contract number]:[RA Premium USD]],25,FALSE)</f>
        <v>#N/A</v>
      </c>
      <c r="Y2667" s="38">
        <f>Allocation[[#This Row],[Quantity Processed]]/Allocation[[#This Row],[Quantity allocated]]</f>
        <v>1.4286434694906707</v>
      </c>
      <c r="Z2667" s="34" t="b">
        <f>Allocation[[#This Row],[Quantity allocated]]&lt;=Allocation[[#This Row],[Quantity Processed]]</f>
        <v>1</v>
      </c>
    </row>
    <row r="2668" spans="1:26">
      <c r="A2668" s="247" t="s">
        <v>467</v>
      </c>
      <c r="B2668" s="210" t="s">
        <v>68</v>
      </c>
      <c r="C2668" s="254" t="s">
        <v>2035</v>
      </c>
      <c r="D2668" s="255">
        <v>4123</v>
      </c>
      <c r="E2668" s="211" t="s">
        <v>2239</v>
      </c>
      <c r="F2668" s="212">
        <v>43712</v>
      </c>
      <c r="G2668" s="213">
        <v>1.84</v>
      </c>
      <c r="H2668" s="256">
        <v>2886</v>
      </c>
      <c r="I2668" s="214">
        <v>1490121</v>
      </c>
      <c r="J2668" s="215">
        <v>21000</v>
      </c>
      <c r="K2668" s="212">
        <v>43721</v>
      </c>
      <c r="L2668" s="211" t="s">
        <v>2242</v>
      </c>
      <c r="M2668" s="216">
        <v>4615450207</v>
      </c>
      <c r="N2668" s="212"/>
      <c r="O2668" s="218"/>
      <c r="P2668" s="219"/>
      <c r="Q2668" s="34">
        <f>SUMIF(Allocation[Delivery ID],Allocation[[#This Row],[Delivery ID]],Allocation[Quantity Processed])</f>
        <v>11715</v>
      </c>
      <c r="R2668" s="61">
        <f>Allocation[[#This Row],[Total volume used]]/VLOOKUP(Allocation[[#This Row],[Delivery ID]],Delivery[[Delivery ID]:[Quantity delivered]],3,FALSE)</f>
        <v>0.50243389874123479</v>
      </c>
      <c r="S2668" s="34">
        <f>Allocation[[#This Row],[Quantity Processed]]/Allocation[[#This Row],[Dilution rate]]</f>
        <v>2240.7608695652175</v>
      </c>
      <c r="T2668" s="59">
        <f>SUMIF(Allocation[Delivery ID],Allocation[[#This Row],[Delivery ID]],Allocation[Quantity allocated])/SUMIF(Allocation[Delivery ID],Allocation[[#This Row],[Delivery ID]],Allocation[Volume available (kg)])</f>
        <v>1.3362937396526082</v>
      </c>
      <c r="U2668" s="61">
        <f>Allocation[[#This Row],[Total volume used]]/VLOOKUP(Allocation[[#This Row],[Delivery ID]],Delivery[[Delivery ID]:[Quantity delivered]],3,FALSE)</f>
        <v>0.50243389874123479</v>
      </c>
      <c r="V2668" s="34" t="e">
        <f>VLOOKUP(Allocation[[#This Row],[SAP Contract number]],Shipments[[SAP Contract number]:[Contracted container weight]],2,FALSE)</f>
        <v>#N/A</v>
      </c>
      <c r="W2668" s="34" t="e">
        <f>VLOOKUP(Allocation[[#This Row],[SAP Contract number]],Shipments[[SAP Contract number]:[AAA Premium USD]],24,FALSE)</f>
        <v>#N/A</v>
      </c>
      <c r="X2668" s="34" t="e">
        <f>VLOOKUP(Allocation[[#This Row],[SAP Contract number]],Shipments[[SAP Contract number]:[RA Premium USD]],25,FALSE)</f>
        <v>#N/A</v>
      </c>
      <c r="Y2668" s="38">
        <f>Allocation[[#This Row],[Quantity Processed]]/Allocation[[#This Row],[Quantity allocated]]</f>
        <v>1.4286209286209286</v>
      </c>
      <c r="Z2668" s="34" t="b">
        <f>Allocation[[#This Row],[Quantity allocated]]&lt;=Allocation[[#This Row],[Quantity Processed]]</f>
        <v>1</v>
      </c>
    </row>
    <row r="2669" spans="1:26">
      <c r="A2669" s="247" t="s">
        <v>467</v>
      </c>
      <c r="B2669" s="210" t="s">
        <v>68</v>
      </c>
      <c r="C2669" s="254" t="s">
        <v>2036</v>
      </c>
      <c r="D2669" s="255">
        <v>15225</v>
      </c>
      <c r="E2669" s="211" t="s">
        <v>2239</v>
      </c>
      <c r="F2669" s="212">
        <v>43712</v>
      </c>
      <c r="G2669" s="213">
        <v>1.84</v>
      </c>
      <c r="H2669" s="256">
        <v>6395</v>
      </c>
      <c r="I2669" s="214">
        <v>1490121</v>
      </c>
      <c r="J2669" s="215">
        <v>21000</v>
      </c>
      <c r="K2669" s="212">
        <v>43721</v>
      </c>
      <c r="L2669" s="211" t="s">
        <v>2242</v>
      </c>
      <c r="M2669" s="216">
        <v>4615450207</v>
      </c>
      <c r="N2669" s="212"/>
      <c r="O2669" s="218"/>
      <c r="P2669" s="219"/>
      <c r="Q2669" s="34">
        <f>SUMIF(Allocation[Delivery ID],Allocation[[#This Row],[Delivery ID]],Allocation[Quantity Processed])</f>
        <v>25639</v>
      </c>
      <c r="R2669" s="61">
        <f>Allocation[[#This Row],[Total volume used]]/VLOOKUP(Allocation[[#This Row],[Delivery ID]],Delivery[[Delivery ID]:[Quantity delivered]],3,FALSE)</f>
        <v>0.83732854343566299</v>
      </c>
      <c r="S2669" s="34">
        <f>Allocation[[#This Row],[Quantity Processed]]/Allocation[[#This Row],[Dilution rate]]</f>
        <v>8274.45652173913</v>
      </c>
      <c r="T2669" s="59">
        <f>SUMIF(Allocation[Delivery ID],Allocation[[#This Row],[Delivery ID]],Allocation[Quantity allocated])/SUMIF(Allocation[Delivery ID],Allocation[[#This Row],[Delivery ID]],Allocation[Volume available (kg)])</f>
        <v>0.80186735144019206</v>
      </c>
      <c r="U2669" s="61">
        <f>Allocation[[#This Row],[Total volume used]]/VLOOKUP(Allocation[[#This Row],[Delivery ID]],Delivery[[Delivery ID]:[Quantity delivered]],3,FALSE)</f>
        <v>0.83732854343566299</v>
      </c>
      <c r="V2669" s="34" t="e">
        <f>VLOOKUP(Allocation[[#This Row],[SAP Contract number]],Shipments[[SAP Contract number]:[Contracted container weight]],2,FALSE)</f>
        <v>#N/A</v>
      </c>
      <c r="W2669" s="34" t="e">
        <f>VLOOKUP(Allocation[[#This Row],[SAP Contract number]],Shipments[[SAP Contract number]:[AAA Premium USD]],24,FALSE)</f>
        <v>#N/A</v>
      </c>
      <c r="X2669" s="34" t="e">
        <f>VLOOKUP(Allocation[[#This Row],[SAP Contract number]],Shipments[[SAP Contract number]:[RA Premium USD]],25,FALSE)</f>
        <v>#N/A</v>
      </c>
      <c r="Y2669" s="38">
        <f>Allocation[[#This Row],[Quantity Processed]]/Allocation[[#This Row],[Quantity allocated]]</f>
        <v>2.3807662236121971</v>
      </c>
      <c r="Z2669" s="34" t="b">
        <f>Allocation[[#This Row],[Quantity allocated]]&lt;=Allocation[[#This Row],[Quantity Processed]]</f>
        <v>1</v>
      </c>
    </row>
    <row r="2670" spans="1:26">
      <c r="A2670" s="247" t="s">
        <v>467</v>
      </c>
      <c r="B2670" s="210" t="s">
        <v>68</v>
      </c>
      <c r="C2670" s="254" t="s">
        <v>2037</v>
      </c>
      <c r="D2670" s="255">
        <v>15220</v>
      </c>
      <c r="E2670" s="211" t="s">
        <v>2239</v>
      </c>
      <c r="F2670" s="212">
        <v>43712</v>
      </c>
      <c r="G2670" s="213">
        <v>1.84</v>
      </c>
      <c r="H2670" s="256">
        <v>6392</v>
      </c>
      <c r="I2670" s="214">
        <v>1490121</v>
      </c>
      <c r="J2670" s="215">
        <v>21000</v>
      </c>
      <c r="K2670" s="212">
        <v>43721</v>
      </c>
      <c r="L2670" s="211" t="s">
        <v>2242</v>
      </c>
      <c r="M2670" s="216">
        <v>4615450207</v>
      </c>
      <c r="N2670" s="212"/>
      <c r="O2670" s="218"/>
      <c r="P2670" s="219"/>
      <c r="Q2670" s="34">
        <f>SUMIF(Allocation[Delivery ID],Allocation[[#This Row],[Delivery ID]],Allocation[Quantity Processed])</f>
        <v>25632</v>
      </c>
      <c r="R2670" s="61">
        <f>Allocation[[#This Row],[Total volume used]]/VLOOKUP(Allocation[[#This Row],[Delivery ID]],Delivery[[Delivery ID]:[Quantity delivered]],3,FALSE)</f>
        <v>0.83737340738320809</v>
      </c>
      <c r="S2670" s="34">
        <f>Allocation[[#This Row],[Quantity Processed]]/Allocation[[#This Row],[Dilution rate]]</f>
        <v>8271.7391304347821</v>
      </c>
      <c r="T2670" s="59">
        <f>SUMIF(Allocation[Delivery ID],Allocation[[#This Row],[Delivery ID]],Allocation[Quantity allocated])/SUMIF(Allocation[Delivery ID],Allocation[[#This Row],[Delivery ID]],Allocation[Volume available (kg)])</f>
        <v>0.80179085287945617</v>
      </c>
      <c r="U2670" s="61">
        <f>Allocation[[#This Row],[Total volume used]]/VLOOKUP(Allocation[[#This Row],[Delivery ID]],Delivery[[Delivery ID]:[Quantity delivered]],3,FALSE)</f>
        <v>0.83737340738320809</v>
      </c>
      <c r="V2670" s="34" t="e">
        <f>VLOOKUP(Allocation[[#This Row],[SAP Contract number]],Shipments[[SAP Contract number]:[Contracted container weight]],2,FALSE)</f>
        <v>#N/A</v>
      </c>
      <c r="W2670" s="34" t="e">
        <f>VLOOKUP(Allocation[[#This Row],[SAP Contract number]],Shipments[[SAP Contract number]:[AAA Premium USD]],24,FALSE)</f>
        <v>#N/A</v>
      </c>
      <c r="X2670" s="34" t="e">
        <f>VLOOKUP(Allocation[[#This Row],[SAP Contract number]],Shipments[[SAP Contract number]:[RA Premium USD]],25,FALSE)</f>
        <v>#N/A</v>
      </c>
      <c r="Y2670" s="38">
        <f>Allocation[[#This Row],[Quantity Processed]]/Allocation[[#This Row],[Quantity allocated]]</f>
        <v>2.3811013767209013</v>
      </c>
      <c r="Z2670" s="34" t="b">
        <f>Allocation[[#This Row],[Quantity allocated]]&lt;=Allocation[[#This Row],[Quantity Processed]]</f>
        <v>1</v>
      </c>
    </row>
    <row r="2671" spans="1:26">
      <c r="A2671" s="247" t="s">
        <v>467</v>
      </c>
      <c r="B2671" s="210" t="s">
        <v>68</v>
      </c>
      <c r="C2671" s="254" t="s">
        <v>1014</v>
      </c>
      <c r="D2671" s="255">
        <v>306</v>
      </c>
      <c r="E2671" s="211" t="s">
        <v>2239</v>
      </c>
      <c r="F2671" s="212">
        <v>43712</v>
      </c>
      <c r="G2671" s="213">
        <v>1.84</v>
      </c>
      <c r="H2671" s="256">
        <v>168</v>
      </c>
      <c r="I2671" s="214">
        <v>1490121</v>
      </c>
      <c r="J2671" s="215">
        <v>21000</v>
      </c>
      <c r="K2671" s="212">
        <v>43721</v>
      </c>
      <c r="L2671" s="211" t="s">
        <v>2242</v>
      </c>
      <c r="M2671" s="216">
        <v>4615450207</v>
      </c>
      <c r="N2671" s="212"/>
      <c r="O2671" s="218"/>
      <c r="P2671" s="219"/>
      <c r="Q2671" s="34">
        <f>SUMIF(Allocation[Delivery ID],Allocation[[#This Row],[Delivery ID]],Allocation[Quantity Processed])</f>
        <v>2591</v>
      </c>
      <c r="R2671" s="61">
        <f>Allocation[[#This Row],[Total volume used]]/VLOOKUP(Allocation[[#This Row],[Delivery ID]],Delivery[[Delivery ID]:[Quantity delivered]],3,FALSE)</f>
        <v>0.74411257897759908</v>
      </c>
      <c r="S2671" s="34">
        <f>Allocation[[#This Row],[Quantity Processed]]/Allocation[[#This Row],[Dilution rate]]</f>
        <v>166.30434782608694</v>
      </c>
      <c r="T2671" s="59">
        <f>SUMIF(Allocation[Delivery ID],Allocation[[#This Row],[Delivery ID]],Allocation[Quantity allocated])/SUMIF(Allocation[Delivery ID],Allocation[[#This Row],[Delivery ID]],Allocation[Volume available (kg)])</f>
        <v>1.1196930302978436</v>
      </c>
      <c r="U2671" s="61">
        <f>Allocation[[#This Row],[Total volume used]]/VLOOKUP(Allocation[[#This Row],[Delivery ID]],Delivery[[Delivery ID]:[Quantity delivered]],3,FALSE)</f>
        <v>0.74411257897759908</v>
      </c>
      <c r="V2671" s="34" t="e">
        <f>VLOOKUP(Allocation[[#This Row],[SAP Contract number]],Shipments[[SAP Contract number]:[Contracted container weight]],2,FALSE)</f>
        <v>#N/A</v>
      </c>
      <c r="W2671" s="34" t="e">
        <f>VLOOKUP(Allocation[[#This Row],[SAP Contract number]],Shipments[[SAP Contract number]:[AAA Premium USD]],24,FALSE)</f>
        <v>#N/A</v>
      </c>
      <c r="X2671" s="34" t="e">
        <f>VLOOKUP(Allocation[[#This Row],[SAP Contract number]],Shipments[[SAP Contract number]:[RA Premium USD]],25,FALSE)</f>
        <v>#N/A</v>
      </c>
      <c r="Y2671" s="38">
        <f>Allocation[[#This Row],[Quantity Processed]]/Allocation[[#This Row],[Quantity allocated]]</f>
        <v>1.8214285714285714</v>
      </c>
      <c r="Z2671" s="34" t="b">
        <f>Allocation[[#This Row],[Quantity allocated]]&lt;=Allocation[[#This Row],[Quantity Processed]]</f>
        <v>1</v>
      </c>
    </row>
    <row r="2672" spans="1:26">
      <c r="A2672" s="247" t="s">
        <v>467</v>
      </c>
      <c r="B2672" s="210" t="s">
        <v>68</v>
      </c>
      <c r="C2672" s="254" t="s">
        <v>1085</v>
      </c>
      <c r="D2672" s="255">
        <v>3145</v>
      </c>
      <c r="E2672" s="211" t="s">
        <v>2239</v>
      </c>
      <c r="F2672" s="212">
        <v>43712</v>
      </c>
      <c r="G2672" s="213">
        <v>1.84</v>
      </c>
      <c r="H2672" s="256">
        <v>1509</v>
      </c>
      <c r="I2672" s="214">
        <v>1490121</v>
      </c>
      <c r="J2672" s="215">
        <v>21000</v>
      </c>
      <c r="K2672" s="212">
        <v>43721</v>
      </c>
      <c r="L2672" s="211" t="s">
        <v>2242</v>
      </c>
      <c r="M2672" s="216">
        <v>4615450207</v>
      </c>
      <c r="N2672" s="212"/>
      <c r="O2672" s="218"/>
      <c r="P2672" s="219"/>
      <c r="Q2672" s="34">
        <f>SUMIF(Allocation[Delivery ID],Allocation[[#This Row],[Delivery ID]],Allocation[Quantity Processed])</f>
        <v>26624</v>
      </c>
      <c r="R2672" s="61">
        <f>Allocation[[#This Row],[Total volume used]]/VLOOKUP(Allocation[[#This Row],[Delivery ID]],Delivery[[Delivery ID]:[Quantity delivered]],3,FALSE)</f>
        <v>0.85224071702944937</v>
      </c>
      <c r="S2672" s="34">
        <f>Allocation[[#This Row],[Quantity Processed]]/Allocation[[#This Row],[Dilution rate]]</f>
        <v>1709.2391304347825</v>
      </c>
      <c r="T2672" s="59">
        <f>SUMIF(Allocation[Delivery ID],Allocation[[#This Row],[Delivery ID]],Allocation[Quantity allocated])/SUMIF(Allocation[Delivery ID],Allocation[[#This Row],[Delivery ID]],Allocation[Volume available (kg)])</f>
        <v>0.97718912475220943</v>
      </c>
      <c r="U2672" s="61">
        <f>Allocation[[#This Row],[Total volume used]]/VLOOKUP(Allocation[[#This Row],[Delivery ID]],Delivery[[Delivery ID]:[Quantity delivered]],3,FALSE)</f>
        <v>0.85224071702944937</v>
      </c>
      <c r="V2672" s="34" t="e">
        <f>VLOOKUP(Allocation[[#This Row],[SAP Contract number]],Shipments[[SAP Contract number]:[Contracted container weight]],2,FALSE)</f>
        <v>#N/A</v>
      </c>
      <c r="W2672" s="34" t="e">
        <f>VLOOKUP(Allocation[[#This Row],[SAP Contract number]],Shipments[[SAP Contract number]:[AAA Premium USD]],24,FALSE)</f>
        <v>#N/A</v>
      </c>
      <c r="X2672" s="34" t="e">
        <f>VLOOKUP(Allocation[[#This Row],[SAP Contract number]],Shipments[[SAP Contract number]:[RA Premium USD]],25,FALSE)</f>
        <v>#N/A</v>
      </c>
      <c r="Y2672" s="38">
        <f>Allocation[[#This Row],[Quantity Processed]]/Allocation[[#This Row],[Quantity allocated]]</f>
        <v>2.0841616964877403</v>
      </c>
      <c r="Z2672" s="34" t="b">
        <f>Allocation[[#This Row],[Quantity allocated]]&lt;=Allocation[[#This Row],[Quantity Processed]]</f>
        <v>1</v>
      </c>
    </row>
    <row r="2673" spans="1:26">
      <c r="A2673" s="247" t="s">
        <v>467</v>
      </c>
      <c r="B2673" s="210" t="s">
        <v>68</v>
      </c>
      <c r="C2673" s="254" t="s">
        <v>1088</v>
      </c>
      <c r="D2673" s="255">
        <v>3812</v>
      </c>
      <c r="E2673" s="211" t="s">
        <v>2239</v>
      </c>
      <c r="F2673" s="212">
        <v>43712</v>
      </c>
      <c r="G2673" s="213">
        <v>1.84</v>
      </c>
      <c r="H2673" s="256">
        <v>1830</v>
      </c>
      <c r="I2673" s="214">
        <v>1490121</v>
      </c>
      <c r="J2673" s="215">
        <v>21000</v>
      </c>
      <c r="K2673" s="212">
        <v>43721</v>
      </c>
      <c r="L2673" s="211" t="s">
        <v>2242</v>
      </c>
      <c r="M2673" s="216">
        <v>4615450207</v>
      </c>
      <c r="N2673" s="212"/>
      <c r="O2673" s="218"/>
      <c r="P2673" s="219"/>
      <c r="Q2673" s="34">
        <f>SUMIF(Allocation[Delivery ID],Allocation[[#This Row],[Delivery ID]],Allocation[Quantity Processed])</f>
        <v>32243</v>
      </c>
      <c r="R2673" s="61">
        <f>Allocation[[#This Row],[Total volume used]]/VLOOKUP(Allocation[[#This Row],[Delivery ID]],Delivery[[Delivery ID]:[Quantity delivered]],3,FALSE)</f>
        <v>0.85141272775283861</v>
      </c>
      <c r="S2673" s="34">
        <f>Allocation[[#This Row],[Quantity Processed]]/Allocation[[#This Row],[Dilution rate]]</f>
        <v>2071.7391304347825</v>
      </c>
      <c r="T2673" s="59">
        <f>SUMIF(Allocation[Delivery ID],Allocation[[#This Row],[Delivery ID]],Allocation[Quantity allocated])/SUMIF(Allocation[Delivery ID],Allocation[[#This Row],[Delivery ID]],Allocation[Volume available (kg)])</f>
        <v>0.97723555782784222</v>
      </c>
      <c r="U2673" s="61">
        <f>Allocation[[#This Row],[Total volume used]]/VLOOKUP(Allocation[[#This Row],[Delivery ID]],Delivery[[Delivery ID]:[Quantity delivered]],3,FALSE)</f>
        <v>0.85141272775283861</v>
      </c>
      <c r="V2673" s="34" t="e">
        <f>VLOOKUP(Allocation[[#This Row],[SAP Contract number]],Shipments[[SAP Contract number]:[Contracted container weight]],2,FALSE)</f>
        <v>#N/A</v>
      </c>
      <c r="W2673" s="34" t="e">
        <f>VLOOKUP(Allocation[[#This Row],[SAP Contract number]],Shipments[[SAP Contract number]:[AAA Premium USD]],24,FALSE)</f>
        <v>#N/A</v>
      </c>
      <c r="X2673" s="34" t="e">
        <f>VLOOKUP(Allocation[[#This Row],[SAP Contract number]],Shipments[[SAP Contract number]:[RA Premium USD]],25,FALSE)</f>
        <v>#N/A</v>
      </c>
      <c r="Y2673" s="38">
        <f>Allocation[[#This Row],[Quantity Processed]]/Allocation[[#This Row],[Quantity allocated]]</f>
        <v>2.0830601092896175</v>
      </c>
      <c r="Z2673" s="34" t="b">
        <f>Allocation[[#This Row],[Quantity allocated]]&lt;=Allocation[[#This Row],[Quantity Processed]]</f>
        <v>1</v>
      </c>
    </row>
    <row r="2674" spans="1:26">
      <c r="A2674" s="247" t="s">
        <v>467</v>
      </c>
      <c r="B2674" s="210" t="s">
        <v>68</v>
      </c>
      <c r="C2674" s="254" t="s">
        <v>1098</v>
      </c>
      <c r="D2674" s="255">
        <v>3017</v>
      </c>
      <c r="E2674" s="211" t="s">
        <v>2239</v>
      </c>
      <c r="F2674" s="212">
        <v>43712</v>
      </c>
      <c r="G2674" s="213">
        <v>1.84</v>
      </c>
      <c r="H2674" s="256">
        <v>1478</v>
      </c>
      <c r="I2674" s="214">
        <v>1490121</v>
      </c>
      <c r="J2674" s="215">
        <v>21000</v>
      </c>
      <c r="K2674" s="212">
        <v>43721</v>
      </c>
      <c r="L2674" s="211" t="s">
        <v>2242</v>
      </c>
      <c r="M2674" s="216">
        <v>4615450207</v>
      </c>
      <c r="N2674" s="212"/>
      <c r="O2674" s="218"/>
      <c r="P2674" s="219"/>
      <c r="Q2674" s="34">
        <f>SUMIF(Allocation[Delivery ID],Allocation[[#This Row],[Delivery ID]],Allocation[Quantity Processed])</f>
        <v>25564</v>
      </c>
      <c r="R2674" s="61">
        <f>Allocation[[#This Row],[Total volume used]]/VLOOKUP(Allocation[[#This Row],[Delivery ID]],Delivery[[Delivery ID]:[Quantity delivered]],3,FALSE)</f>
        <v>0.83556136623631316</v>
      </c>
      <c r="S2674" s="34">
        <f>Allocation[[#This Row],[Quantity Processed]]/Allocation[[#This Row],[Dilution rate]]</f>
        <v>1639.6739130434783</v>
      </c>
      <c r="T2674" s="59">
        <f>SUMIF(Allocation[Delivery ID],Allocation[[#This Row],[Delivery ID]],Allocation[Quantity allocated])/SUMIF(Allocation[Delivery ID],Allocation[[#This Row],[Delivery ID]],Allocation[Volume available (kg)])</f>
        <v>0.99759340323742973</v>
      </c>
      <c r="U2674" s="61">
        <f>Allocation[[#This Row],[Total volume used]]/VLOOKUP(Allocation[[#This Row],[Delivery ID]],Delivery[[Delivery ID]:[Quantity delivered]],3,FALSE)</f>
        <v>0.83556136623631316</v>
      </c>
      <c r="V2674" s="34" t="e">
        <f>VLOOKUP(Allocation[[#This Row],[SAP Contract number]],Shipments[[SAP Contract number]:[Contracted container weight]],2,FALSE)</f>
        <v>#N/A</v>
      </c>
      <c r="W2674" s="34" t="e">
        <f>VLOOKUP(Allocation[[#This Row],[SAP Contract number]],Shipments[[SAP Contract number]:[AAA Premium USD]],24,FALSE)</f>
        <v>#N/A</v>
      </c>
      <c r="X2674" s="34" t="e">
        <f>VLOOKUP(Allocation[[#This Row],[SAP Contract number]],Shipments[[SAP Contract number]:[RA Premium USD]],25,FALSE)</f>
        <v>#N/A</v>
      </c>
      <c r="Y2674" s="38">
        <f>Allocation[[#This Row],[Quantity Processed]]/Allocation[[#This Row],[Quantity allocated]]</f>
        <v>2.0412719891745601</v>
      </c>
      <c r="Z2674" s="34" t="b">
        <f>Allocation[[#This Row],[Quantity allocated]]&lt;=Allocation[[#This Row],[Quantity Processed]]</f>
        <v>1</v>
      </c>
    </row>
    <row r="2675" spans="1:26">
      <c r="A2675" s="247" t="s">
        <v>467</v>
      </c>
      <c r="B2675" s="210" t="s">
        <v>68</v>
      </c>
      <c r="C2675" s="254" t="s">
        <v>1101</v>
      </c>
      <c r="D2675" s="255">
        <v>698</v>
      </c>
      <c r="E2675" s="211" t="s">
        <v>2239</v>
      </c>
      <c r="F2675" s="212">
        <v>43712</v>
      </c>
      <c r="G2675" s="213">
        <v>1.84</v>
      </c>
      <c r="H2675" s="256">
        <v>342</v>
      </c>
      <c r="I2675" s="214">
        <v>1490121</v>
      </c>
      <c r="J2675" s="215">
        <v>21000</v>
      </c>
      <c r="K2675" s="212">
        <v>43721</v>
      </c>
      <c r="L2675" s="211" t="s">
        <v>2242</v>
      </c>
      <c r="M2675" s="216">
        <v>4615450207</v>
      </c>
      <c r="N2675" s="212"/>
      <c r="O2675" s="218"/>
      <c r="P2675" s="219"/>
      <c r="Q2675" s="34">
        <f>SUMIF(Allocation[Delivery ID],Allocation[[#This Row],[Delivery ID]],Allocation[Quantity Processed])</f>
        <v>11579</v>
      </c>
      <c r="R2675" s="61">
        <f>Allocation[[#This Row],[Total volume used]]/VLOOKUP(Allocation[[#This Row],[Delivery ID]],Delivery[[Delivery ID]:[Quantity delivered]],3,FALSE)</f>
        <v>0.83575733516186079</v>
      </c>
      <c r="S2675" s="34">
        <f>Allocation[[#This Row],[Quantity Processed]]/Allocation[[#This Row],[Dilution rate]]</f>
        <v>379.3478260869565</v>
      </c>
      <c r="T2675" s="59">
        <f>SUMIF(Allocation[Delivery ID],Allocation[[#This Row],[Delivery ID]],Allocation[Quantity allocated])/SUMIF(Allocation[Delivery ID],Allocation[[#This Row],[Delivery ID]],Allocation[Volume available (kg)])</f>
        <v>0.99752687119755723</v>
      </c>
      <c r="U2675" s="61">
        <f>Allocation[[#This Row],[Total volume used]]/VLOOKUP(Allocation[[#This Row],[Delivery ID]],Delivery[[Delivery ID]:[Quantity delivered]],3,FALSE)</f>
        <v>0.83575733516186079</v>
      </c>
      <c r="V2675" s="34" t="e">
        <f>VLOOKUP(Allocation[[#This Row],[SAP Contract number]],Shipments[[SAP Contract number]:[Contracted container weight]],2,FALSE)</f>
        <v>#N/A</v>
      </c>
      <c r="W2675" s="34" t="e">
        <f>VLOOKUP(Allocation[[#This Row],[SAP Contract number]],Shipments[[SAP Contract number]:[AAA Premium USD]],24,FALSE)</f>
        <v>#N/A</v>
      </c>
      <c r="X2675" s="34" t="e">
        <f>VLOOKUP(Allocation[[#This Row],[SAP Contract number]],Shipments[[SAP Contract number]:[RA Premium USD]],25,FALSE)</f>
        <v>#N/A</v>
      </c>
      <c r="Y2675" s="38">
        <f>Allocation[[#This Row],[Quantity Processed]]/Allocation[[#This Row],[Quantity allocated]]</f>
        <v>2.0409356725146197</v>
      </c>
      <c r="Z2675" s="34" t="b">
        <f>Allocation[[#This Row],[Quantity allocated]]&lt;=Allocation[[#This Row],[Quantity Processed]]</f>
        <v>1</v>
      </c>
    </row>
    <row r="2676" spans="1:26">
      <c r="A2676" s="247" t="s">
        <v>467</v>
      </c>
      <c r="B2676" s="210" t="s">
        <v>68</v>
      </c>
      <c r="C2676" s="254" t="s">
        <v>1101</v>
      </c>
      <c r="D2676" s="255">
        <v>668</v>
      </c>
      <c r="E2676" s="211" t="s">
        <v>2239</v>
      </c>
      <c r="F2676" s="212">
        <v>43712</v>
      </c>
      <c r="G2676" s="213">
        <v>1.84</v>
      </c>
      <c r="H2676" s="256">
        <v>327</v>
      </c>
      <c r="I2676" s="214">
        <v>1490122</v>
      </c>
      <c r="J2676" s="215">
        <v>21000</v>
      </c>
      <c r="K2676" s="212">
        <v>43721</v>
      </c>
      <c r="L2676" s="211" t="s">
        <v>2243</v>
      </c>
      <c r="M2676" s="216">
        <v>4615450207</v>
      </c>
      <c r="N2676" s="212"/>
      <c r="O2676" s="218"/>
      <c r="P2676" s="219"/>
      <c r="Q2676" s="34">
        <f>SUMIF(Allocation[Delivery ID],Allocation[[#This Row],[Delivery ID]],Allocation[Quantity Processed])</f>
        <v>11579</v>
      </c>
      <c r="R2676" s="61">
        <f>Allocation[[#This Row],[Total volume used]]/VLOOKUP(Allocation[[#This Row],[Delivery ID]],Delivery[[Delivery ID]:[Quantity delivered]],3,FALSE)</f>
        <v>0.83575733516186079</v>
      </c>
      <c r="S2676" s="34">
        <f>Allocation[[#This Row],[Quantity Processed]]/Allocation[[#This Row],[Dilution rate]]</f>
        <v>363.04347826086956</v>
      </c>
      <c r="T2676" s="59">
        <f>SUMIF(Allocation[Delivery ID],Allocation[[#This Row],[Delivery ID]],Allocation[Quantity allocated])/SUMIF(Allocation[Delivery ID],Allocation[[#This Row],[Delivery ID]],Allocation[Volume available (kg)])</f>
        <v>0.99752687119755723</v>
      </c>
      <c r="U2676" s="61">
        <f>Allocation[[#This Row],[Total volume used]]/VLOOKUP(Allocation[[#This Row],[Delivery ID]],Delivery[[Delivery ID]:[Quantity delivered]],3,FALSE)</f>
        <v>0.83575733516186079</v>
      </c>
      <c r="V2676" s="34" t="e">
        <f>VLOOKUP(Allocation[[#This Row],[SAP Contract number]],Shipments[[SAP Contract number]:[Contracted container weight]],2,FALSE)</f>
        <v>#N/A</v>
      </c>
      <c r="W2676" s="34" t="e">
        <f>VLOOKUP(Allocation[[#This Row],[SAP Contract number]],Shipments[[SAP Contract number]:[AAA Premium USD]],24,FALSE)</f>
        <v>#N/A</v>
      </c>
      <c r="X2676" s="34" t="e">
        <f>VLOOKUP(Allocation[[#This Row],[SAP Contract number]],Shipments[[SAP Contract number]:[RA Premium USD]],25,FALSE)</f>
        <v>#N/A</v>
      </c>
      <c r="Y2676" s="38">
        <f>Allocation[[#This Row],[Quantity Processed]]/Allocation[[#This Row],[Quantity allocated]]</f>
        <v>2.0428134556574924</v>
      </c>
      <c r="Z2676" s="34" t="b">
        <f>Allocation[[#This Row],[Quantity allocated]]&lt;=Allocation[[#This Row],[Quantity Processed]]</f>
        <v>1</v>
      </c>
    </row>
    <row r="2677" spans="1:26">
      <c r="A2677" s="247" t="s">
        <v>467</v>
      </c>
      <c r="B2677" s="210" t="s">
        <v>68</v>
      </c>
      <c r="C2677" s="254" t="s">
        <v>1102</v>
      </c>
      <c r="D2677" s="255">
        <v>3021</v>
      </c>
      <c r="E2677" s="211" t="s">
        <v>2239</v>
      </c>
      <c r="F2677" s="212">
        <v>43712</v>
      </c>
      <c r="G2677" s="213">
        <v>1.84</v>
      </c>
      <c r="H2677" s="256">
        <v>1480</v>
      </c>
      <c r="I2677" s="214">
        <v>1490122</v>
      </c>
      <c r="J2677" s="215">
        <v>21000</v>
      </c>
      <c r="K2677" s="212">
        <v>43721</v>
      </c>
      <c r="L2677" s="211" t="s">
        <v>2243</v>
      </c>
      <c r="M2677" s="216">
        <v>4615450207</v>
      </c>
      <c r="N2677" s="212"/>
      <c r="O2677" s="218"/>
      <c r="P2677" s="219"/>
      <c r="Q2677" s="34">
        <f>SUMIF(Allocation[Delivery ID],Allocation[[#This Row],[Delivery ID]],Allocation[Quantity Processed])</f>
        <v>25580</v>
      </c>
      <c r="R2677" s="61">
        <f>Allocation[[#This Row],[Total volume used]]/VLOOKUP(Allocation[[#This Row],[Delivery ID]],Delivery[[Delivery ID]:[Quantity delivered]],3,FALSE)</f>
        <v>0.83499265545944179</v>
      </c>
      <c r="S2677" s="34">
        <f>Allocation[[#This Row],[Quantity Processed]]/Allocation[[#This Row],[Dilution rate]]</f>
        <v>1641.8478260869565</v>
      </c>
      <c r="T2677" s="59">
        <f>SUMIF(Allocation[Delivery ID],Allocation[[#This Row],[Delivery ID]],Allocation[Quantity allocated])/SUMIF(Allocation[Delivery ID],Allocation[[#This Row],[Delivery ID]],Allocation[Volume available (kg)])</f>
        <v>0.9975858438419607</v>
      </c>
      <c r="U2677" s="61">
        <f>Allocation[[#This Row],[Total volume used]]/VLOOKUP(Allocation[[#This Row],[Delivery ID]],Delivery[[Delivery ID]:[Quantity delivered]],3,FALSE)</f>
        <v>0.83499265545944179</v>
      </c>
      <c r="V2677" s="34" t="e">
        <f>VLOOKUP(Allocation[[#This Row],[SAP Contract number]],Shipments[[SAP Contract number]:[Contracted container weight]],2,FALSE)</f>
        <v>#N/A</v>
      </c>
      <c r="W2677" s="34" t="e">
        <f>VLOOKUP(Allocation[[#This Row],[SAP Contract number]],Shipments[[SAP Contract number]:[AAA Premium USD]],24,FALSE)</f>
        <v>#N/A</v>
      </c>
      <c r="X2677" s="34" t="e">
        <f>VLOOKUP(Allocation[[#This Row],[SAP Contract number]],Shipments[[SAP Contract number]:[RA Premium USD]],25,FALSE)</f>
        <v>#N/A</v>
      </c>
      <c r="Y2677" s="38">
        <f>Allocation[[#This Row],[Quantity Processed]]/Allocation[[#This Row],[Quantity allocated]]</f>
        <v>2.0412162162162164</v>
      </c>
      <c r="Z2677" s="34" t="b">
        <f>Allocation[[#This Row],[Quantity allocated]]&lt;=Allocation[[#This Row],[Quantity Processed]]</f>
        <v>1</v>
      </c>
    </row>
    <row r="2678" spans="1:26">
      <c r="A2678" s="247" t="s">
        <v>467</v>
      </c>
      <c r="B2678" s="210" t="s">
        <v>68</v>
      </c>
      <c r="C2678" s="254" t="s">
        <v>1103</v>
      </c>
      <c r="D2678" s="255">
        <v>2544</v>
      </c>
      <c r="E2678" s="211" t="s">
        <v>2239</v>
      </c>
      <c r="F2678" s="212">
        <v>43712</v>
      </c>
      <c r="G2678" s="213">
        <v>1.84</v>
      </c>
      <c r="H2678" s="256">
        <v>1247</v>
      </c>
      <c r="I2678" s="214">
        <v>1490122</v>
      </c>
      <c r="J2678" s="215">
        <v>21000</v>
      </c>
      <c r="K2678" s="212">
        <v>43721</v>
      </c>
      <c r="L2678" s="211" t="s">
        <v>2243</v>
      </c>
      <c r="M2678" s="216">
        <v>4615450207</v>
      </c>
      <c r="N2678" s="212"/>
      <c r="O2678" s="218"/>
      <c r="P2678" s="219"/>
      <c r="Q2678" s="34">
        <f>SUMIF(Allocation[Delivery ID],Allocation[[#This Row],[Delivery ID]],Allocation[Quantity Processed])</f>
        <v>21556</v>
      </c>
      <c r="R2678" s="61">
        <f>Allocation[[#This Row],[Total volume used]]/VLOOKUP(Allocation[[#This Row],[Delivery ID]],Delivery[[Delivery ID]:[Quantity delivered]],3,FALSE)</f>
        <v>0.83534198798682424</v>
      </c>
      <c r="S2678" s="34">
        <f>Allocation[[#This Row],[Quantity Processed]]/Allocation[[#This Row],[Dilution rate]]</f>
        <v>1382.6086956521738</v>
      </c>
      <c r="T2678" s="59">
        <f>SUMIF(Allocation[Delivery ID],Allocation[[#This Row],[Delivery ID]],Allocation[Quantity allocated])/SUMIF(Allocation[Delivery ID],Allocation[[#This Row],[Delivery ID]],Allocation[Volume available (kg)])</f>
        <v>0.99766113176726967</v>
      </c>
      <c r="U2678" s="61">
        <f>Allocation[[#This Row],[Total volume used]]/VLOOKUP(Allocation[[#This Row],[Delivery ID]],Delivery[[Delivery ID]:[Quantity delivered]],3,FALSE)</f>
        <v>0.83534198798682424</v>
      </c>
      <c r="V2678" s="34" t="e">
        <f>VLOOKUP(Allocation[[#This Row],[SAP Contract number]],Shipments[[SAP Contract number]:[Contracted container weight]],2,FALSE)</f>
        <v>#N/A</v>
      </c>
      <c r="W2678" s="34" t="e">
        <f>VLOOKUP(Allocation[[#This Row],[SAP Contract number]],Shipments[[SAP Contract number]:[AAA Premium USD]],24,FALSE)</f>
        <v>#N/A</v>
      </c>
      <c r="X2678" s="34" t="e">
        <f>VLOOKUP(Allocation[[#This Row],[SAP Contract number]],Shipments[[SAP Contract number]:[RA Premium USD]],25,FALSE)</f>
        <v>#N/A</v>
      </c>
      <c r="Y2678" s="38">
        <f>Allocation[[#This Row],[Quantity Processed]]/Allocation[[#This Row],[Quantity allocated]]</f>
        <v>2.0400962309542905</v>
      </c>
      <c r="Z2678" s="34" t="b">
        <f>Allocation[[#This Row],[Quantity allocated]]&lt;=Allocation[[#This Row],[Quantity Processed]]</f>
        <v>1</v>
      </c>
    </row>
    <row r="2679" spans="1:26">
      <c r="A2679" s="247" t="s">
        <v>467</v>
      </c>
      <c r="B2679" s="210" t="s">
        <v>68</v>
      </c>
      <c r="C2679" s="254" t="s">
        <v>2177</v>
      </c>
      <c r="D2679" s="255">
        <v>8342</v>
      </c>
      <c r="E2679" s="211" t="s">
        <v>2239</v>
      </c>
      <c r="F2679" s="212">
        <v>43712</v>
      </c>
      <c r="G2679" s="213">
        <v>1.84</v>
      </c>
      <c r="H2679" s="256">
        <v>3837</v>
      </c>
      <c r="I2679" s="214">
        <v>1490122</v>
      </c>
      <c r="J2679" s="215">
        <v>21000</v>
      </c>
      <c r="K2679" s="212">
        <v>43721</v>
      </c>
      <c r="L2679" s="211" t="s">
        <v>2243</v>
      </c>
      <c r="M2679" s="216">
        <v>4615450207</v>
      </c>
      <c r="N2679" s="212"/>
      <c r="O2679" s="218"/>
      <c r="P2679" s="219"/>
      <c r="Q2679" s="34">
        <f>SUMIF(Allocation[Delivery ID],Allocation[[#This Row],[Delivery ID]],Allocation[Quantity Processed])</f>
        <v>8342</v>
      </c>
      <c r="R2679" s="61">
        <f>Allocation[[#This Row],[Total volume used]]/VLOOKUP(Allocation[[#This Row],[Delivery ID]],Delivery[[Delivery ID]:[Quantity delivered]],3,FALSE)</f>
        <v>0.7428317008014248</v>
      </c>
      <c r="S2679" s="34">
        <f>Allocation[[#This Row],[Quantity Processed]]/Allocation[[#This Row],[Dilution rate]]</f>
        <v>4533.695652173913</v>
      </c>
      <c r="T2679" s="59">
        <f>SUMIF(Allocation[Delivery ID],Allocation[[#This Row],[Delivery ID]],Allocation[Quantity allocated])/SUMIF(Allocation[Delivery ID],Allocation[[#This Row],[Delivery ID]],Allocation[Volume available (kg)])</f>
        <v>0.84632941740589784</v>
      </c>
      <c r="U2679" s="61">
        <f>Allocation[[#This Row],[Total volume used]]/VLOOKUP(Allocation[[#This Row],[Delivery ID]],Delivery[[Delivery ID]:[Quantity delivered]],3,FALSE)</f>
        <v>0.7428317008014248</v>
      </c>
      <c r="V2679" s="34" t="e">
        <f>VLOOKUP(Allocation[[#This Row],[SAP Contract number]],Shipments[[SAP Contract number]:[Contracted container weight]],2,FALSE)</f>
        <v>#N/A</v>
      </c>
      <c r="W2679" s="34" t="e">
        <f>VLOOKUP(Allocation[[#This Row],[SAP Contract number]],Shipments[[SAP Contract number]:[AAA Premium USD]],24,FALSE)</f>
        <v>#N/A</v>
      </c>
      <c r="X2679" s="34" t="e">
        <f>VLOOKUP(Allocation[[#This Row],[SAP Contract number]],Shipments[[SAP Contract number]:[RA Premium USD]],25,FALSE)</f>
        <v>#N/A</v>
      </c>
      <c r="Y2679" s="38">
        <f>Allocation[[#This Row],[Quantity Processed]]/Allocation[[#This Row],[Quantity allocated]]</f>
        <v>2.1740943445400052</v>
      </c>
      <c r="Z2679" s="34" t="b">
        <f>Allocation[[#This Row],[Quantity allocated]]&lt;=Allocation[[#This Row],[Quantity Processed]]</f>
        <v>1</v>
      </c>
    </row>
    <row r="2680" spans="1:26">
      <c r="A2680" s="247" t="s">
        <v>467</v>
      </c>
      <c r="B2680" s="210" t="s">
        <v>68</v>
      </c>
      <c r="C2680" s="254" t="s">
        <v>1683</v>
      </c>
      <c r="D2680" s="255">
        <v>8255</v>
      </c>
      <c r="E2680" s="211" t="s">
        <v>2239</v>
      </c>
      <c r="F2680" s="212">
        <v>43712</v>
      </c>
      <c r="G2680" s="213">
        <v>1.84</v>
      </c>
      <c r="H2680" s="256">
        <v>3000</v>
      </c>
      <c r="I2680" s="214">
        <v>1490122</v>
      </c>
      <c r="J2680" s="215">
        <v>21000</v>
      </c>
      <c r="K2680" s="212">
        <v>43721</v>
      </c>
      <c r="L2680" s="211" t="s">
        <v>2243</v>
      </c>
      <c r="M2680" s="216">
        <v>4615450207</v>
      </c>
      <c r="N2680" s="212"/>
      <c r="O2680" s="218"/>
      <c r="P2680" s="219"/>
      <c r="Q2680" s="34">
        <f>SUMIF(Allocation[Delivery ID],Allocation[[#This Row],[Delivery ID]],Allocation[Quantity Processed])</f>
        <v>30410</v>
      </c>
      <c r="R2680" s="61">
        <f>Allocation[[#This Row],[Total volume used]]/VLOOKUP(Allocation[[#This Row],[Delivery ID]],Delivery[[Delivery ID]:[Quantity delivered]],3,FALSE)</f>
        <v>1</v>
      </c>
      <c r="S2680" s="34">
        <f>Allocation[[#This Row],[Quantity Processed]]/Allocation[[#This Row],[Dilution rate]]</f>
        <v>4486.413043478261</v>
      </c>
      <c r="T2680" s="59">
        <f>SUMIF(Allocation[Delivery ID],Allocation[[#This Row],[Delivery ID]],Allocation[Quantity allocated])/SUMIF(Allocation[Delivery ID],Allocation[[#This Row],[Delivery ID]],Allocation[Volume available (kg)])</f>
        <v>0.83774601877963062</v>
      </c>
      <c r="U2680" s="61">
        <f>Allocation[[#This Row],[Total volume used]]/VLOOKUP(Allocation[[#This Row],[Delivery ID]],Delivery[[Delivery ID]:[Quantity delivered]],3,FALSE)</f>
        <v>1</v>
      </c>
      <c r="V2680" s="34" t="e">
        <f>VLOOKUP(Allocation[[#This Row],[SAP Contract number]],Shipments[[SAP Contract number]:[Contracted container weight]],2,FALSE)</f>
        <v>#N/A</v>
      </c>
      <c r="W2680" s="34" t="e">
        <f>VLOOKUP(Allocation[[#This Row],[SAP Contract number]],Shipments[[SAP Contract number]:[AAA Premium USD]],24,FALSE)</f>
        <v>#N/A</v>
      </c>
      <c r="X2680" s="34" t="e">
        <f>VLOOKUP(Allocation[[#This Row],[SAP Contract number]],Shipments[[SAP Contract number]:[RA Premium USD]],25,FALSE)</f>
        <v>#N/A</v>
      </c>
      <c r="Y2680" s="38">
        <f>Allocation[[#This Row],[Quantity Processed]]/Allocation[[#This Row],[Quantity allocated]]</f>
        <v>2.7516666666666665</v>
      </c>
      <c r="Z2680" s="34" t="b">
        <f>Allocation[[#This Row],[Quantity allocated]]&lt;=Allocation[[#This Row],[Quantity Processed]]</f>
        <v>1</v>
      </c>
    </row>
    <row r="2681" spans="1:26">
      <c r="A2681" s="247" t="s">
        <v>467</v>
      </c>
      <c r="B2681" s="210" t="s">
        <v>68</v>
      </c>
      <c r="C2681" s="254" t="s">
        <v>1684</v>
      </c>
      <c r="D2681" s="255">
        <v>8265</v>
      </c>
      <c r="E2681" s="211" t="s">
        <v>2239</v>
      </c>
      <c r="F2681" s="212">
        <v>43712</v>
      </c>
      <c r="G2681" s="213">
        <v>1.84</v>
      </c>
      <c r="H2681" s="256">
        <v>3000</v>
      </c>
      <c r="I2681" s="214">
        <v>1490122</v>
      </c>
      <c r="J2681" s="215">
        <v>21000</v>
      </c>
      <c r="K2681" s="212">
        <v>43721</v>
      </c>
      <c r="L2681" s="211" t="s">
        <v>2243</v>
      </c>
      <c r="M2681" s="216">
        <v>4615450207</v>
      </c>
      <c r="N2681" s="212"/>
      <c r="O2681" s="218"/>
      <c r="P2681" s="219"/>
      <c r="Q2681" s="34">
        <f>SUMIF(Allocation[Delivery ID],Allocation[[#This Row],[Delivery ID]],Allocation[Quantity Processed])</f>
        <v>30430</v>
      </c>
      <c r="R2681" s="61">
        <f>Allocation[[#This Row],[Total volume used]]/VLOOKUP(Allocation[[#This Row],[Delivery ID]],Delivery[[Delivery ID]:[Quantity delivered]],3,FALSE)</f>
        <v>1</v>
      </c>
      <c r="S2681" s="34">
        <f>Allocation[[#This Row],[Quantity Processed]]/Allocation[[#This Row],[Dilution rate]]</f>
        <v>4491.847826086956</v>
      </c>
      <c r="T2681" s="59">
        <f>SUMIF(Allocation[Delivery ID],Allocation[[#This Row],[Delivery ID]],Allocation[Quantity allocated])/SUMIF(Allocation[Delivery ID],Allocation[[#This Row],[Delivery ID]],Allocation[Volume available (kg)])</f>
        <v>0.83745679344302471</v>
      </c>
      <c r="U2681" s="61">
        <f>Allocation[[#This Row],[Total volume used]]/VLOOKUP(Allocation[[#This Row],[Delivery ID]],Delivery[[Delivery ID]:[Quantity delivered]],3,FALSE)</f>
        <v>1</v>
      </c>
      <c r="V2681" s="34" t="e">
        <f>VLOOKUP(Allocation[[#This Row],[SAP Contract number]],Shipments[[SAP Contract number]:[Contracted container weight]],2,FALSE)</f>
        <v>#N/A</v>
      </c>
      <c r="W2681" s="34" t="e">
        <f>VLOOKUP(Allocation[[#This Row],[SAP Contract number]],Shipments[[SAP Contract number]:[AAA Premium USD]],24,FALSE)</f>
        <v>#N/A</v>
      </c>
      <c r="X2681" s="34" t="e">
        <f>VLOOKUP(Allocation[[#This Row],[SAP Contract number]],Shipments[[SAP Contract number]:[RA Premium USD]],25,FALSE)</f>
        <v>#N/A</v>
      </c>
      <c r="Y2681" s="38">
        <f>Allocation[[#This Row],[Quantity Processed]]/Allocation[[#This Row],[Quantity allocated]]</f>
        <v>2.7549999999999999</v>
      </c>
      <c r="Z2681" s="34" t="b">
        <f>Allocation[[#This Row],[Quantity allocated]]&lt;=Allocation[[#This Row],[Quantity Processed]]</f>
        <v>1</v>
      </c>
    </row>
    <row r="2682" spans="1:26">
      <c r="A2682" s="247" t="s">
        <v>467</v>
      </c>
      <c r="B2682" s="210" t="s">
        <v>68</v>
      </c>
      <c r="C2682" s="254" t="s">
        <v>1685</v>
      </c>
      <c r="D2682" s="255">
        <v>4076</v>
      </c>
      <c r="E2682" s="211" t="s">
        <v>2239</v>
      </c>
      <c r="F2682" s="212">
        <v>43712</v>
      </c>
      <c r="G2682" s="213">
        <v>1.84</v>
      </c>
      <c r="H2682" s="256">
        <v>1500</v>
      </c>
      <c r="I2682" s="214">
        <v>1490122</v>
      </c>
      <c r="J2682" s="215">
        <v>21000</v>
      </c>
      <c r="K2682" s="212">
        <v>43721</v>
      </c>
      <c r="L2682" s="211" t="s">
        <v>2243</v>
      </c>
      <c r="M2682" s="216">
        <v>4615450207</v>
      </c>
      <c r="N2682" s="212"/>
      <c r="O2682" s="218"/>
      <c r="P2682" s="219"/>
      <c r="Q2682" s="34">
        <f>SUMIF(Allocation[Delivery ID],Allocation[[#This Row],[Delivery ID]],Allocation[Quantity Processed])</f>
        <v>15010</v>
      </c>
      <c r="R2682" s="61">
        <f>Allocation[[#This Row],[Total volume used]]/VLOOKUP(Allocation[[#This Row],[Delivery ID]],Delivery[[Delivery ID]:[Quantity delivered]],3,FALSE)</f>
        <v>1</v>
      </c>
      <c r="S2682" s="34">
        <f>Allocation[[#This Row],[Quantity Processed]]/Allocation[[#This Row],[Dilution rate]]</f>
        <v>2215.2173913043475</v>
      </c>
      <c r="T2682" s="59">
        <f>SUMIF(Allocation[Delivery ID],Allocation[[#This Row],[Delivery ID]],Allocation[Quantity allocated])/SUMIF(Allocation[Delivery ID],Allocation[[#This Row],[Delivery ID]],Allocation[Volume available (kg)])</f>
        <v>0.84070389442267879</v>
      </c>
      <c r="U2682" s="61">
        <f>Allocation[[#This Row],[Total volume used]]/VLOOKUP(Allocation[[#This Row],[Delivery ID]],Delivery[[Delivery ID]:[Quantity delivered]],3,FALSE)</f>
        <v>1</v>
      </c>
      <c r="V2682" s="34" t="e">
        <f>VLOOKUP(Allocation[[#This Row],[SAP Contract number]],Shipments[[SAP Contract number]:[Contracted container weight]],2,FALSE)</f>
        <v>#N/A</v>
      </c>
      <c r="W2682" s="34" t="e">
        <f>VLOOKUP(Allocation[[#This Row],[SAP Contract number]],Shipments[[SAP Contract number]:[AAA Premium USD]],24,FALSE)</f>
        <v>#N/A</v>
      </c>
      <c r="X2682" s="34" t="e">
        <f>VLOOKUP(Allocation[[#This Row],[SAP Contract number]],Shipments[[SAP Contract number]:[RA Premium USD]],25,FALSE)</f>
        <v>#N/A</v>
      </c>
      <c r="Y2682" s="38">
        <f>Allocation[[#This Row],[Quantity Processed]]/Allocation[[#This Row],[Quantity allocated]]</f>
        <v>2.7173333333333334</v>
      </c>
      <c r="Z2682" s="34" t="b">
        <f>Allocation[[#This Row],[Quantity allocated]]&lt;=Allocation[[#This Row],[Quantity Processed]]</f>
        <v>1</v>
      </c>
    </row>
    <row r="2683" spans="1:26">
      <c r="A2683" s="247" t="s">
        <v>467</v>
      </c>
      <c r="B2683" s="210" t="s">
        <v>68</v>
      </c>
      <c r="C2683" s="254" t="s">
        <v>1686</v>
      </c>
      <c r="D2683" s="255">
        <v>4190</v>
      </c>
      <c r="E2683" s="211" t="s">
        <v>2239</v>
      </c>
      <c r="F2683" s="212">
        <v>43712</v>
      </c>
      <c r="G2683" s="213">
        <v>1.84</v>
      </c>
      <c r="H2683" s="256">
        <v>1500</v>
      </c>
      <c r="I2683" s="214">
        <v>1490122</v>
      </c>
      <c r="J2683" s="215">
        <v>21000</v>
      </c>
      <c r="K2683" s="212">
        <v>43721</v>
      </c>
      <c r="L2683" s="211" t="s">
        <v>2243</v>
      </c>
      <c r="M2683" s="216">
        <v>4615450207</v>
      </c>
      <c r="N2683" s="212"/>
      <c r="O2683" s="218"/>
      <c r="P2683" s="219"/>
      <c r="Q2683" s="34">
        <f>SUMIF(Allocation[Delivery ID],Allocation[[#This Row],[Delivery ID]],Allocation[Quantity Processed])</f>
        <v>15430</v>
      </c>
      <c r="R2683" s="61">
        <f>Allocation[[#This Row],[Total volume used]]/VLOOKUP(Allocation[[#This Row],[Delivery ID]],Delivery[[Delivery ID]:[Quantity delivered]],3,FALSE)</f>
        <v>1</v>
      </c>
      <c r="S2683" s="34">
        <f>Allocation[[#This Row],[Quantity Processed]]/Allocation[[#This Row],[Dilution rate]]</f>
        <v>2277.173913043478</v>
      </c>
      <c r="T2683" s="59">
        <f>SUMIF(Allocation[Delivery ID],Allocation[[#This Row],[Delivery ID]],Allocation[Quantity allocated])/SUMIF(Allocation[Delivery ID],Allocation[[#This Row],[Delivery ID]],Allocation[Volume available (kg)])</f>
        <v>0.83424921257877194</v>
      </c>
      <c r="U2683" s="61">
        <f>Allocation[[#This Row],[Total volume used]]/VLOOKUP(Allocation[[#This Row],[Delivery ID]],Delivery[[Delivery ID]:[Quantity delivered]],3,FALSE)</f>
        <v>1</v>
      </c>
      <c r="V2683" s="34" t="e">
        <f>VLOOKUP(Allocation[[#This Row],[SAP Contract number]],Shipments[[SAP Contract number]:[Contracted container weight]],2,FALSE)</f>
        <v>#N/A</v>
      </c>
      <c r="W2683" s="34" t="e">
        <f>VLOOKUP(Allocation[[#This Row],[SAP Contract number]],Shipments[[SAP Contract number]:[AAA Premium USD]],24,FALSE)</f>
        <v>#N/A</v>
      </c>
      <c r="X2683" s="34" t="e">
        <f>VLOOKUP(Allocation[[#This Row],[SAP Contract number]],Shipments[[SAP Contract number]:[RA Premium USD]],25,FALSE)</f>
        <v>#N/A</v>
      </c>
      <c r="Y2683" s="38">
        <f>Allocation[[#This Row],[Quantity Processed]]/Allocation[[#This Row],[Quantity allocated]]</f>
        <v>2.7933333333333334</v>
      </c>
      <c r="Z2683" s="34" t="b">
        <f>Allocation[[#This Row],[Quantity allocated]]&lt;=Allocation[[#This Row],[Quantity Processed]]</f>
        <v>1</v>
      </c>
    </row>
    <row r="2684" spans="1:26">
      <c r="A2684" s="247" t="s">
        <v>467</v>
      </c>
      <c r="B2684" s="210" t="s">
        <v>68</v>
      </c>
      <c r="C2684" s="254" t="s">
        <v>1687</v>
      </c>
      <c r="D2684" s="255">
        <v>8254</v>
      </c>
      <c r="E2684" s="211" t="s">
        <v>2239</v>
      </c>
      <c r="F2684" s="212">
        <v>43712</v>
      </c>
      <c r="G2684" s="213">
        <v>1.84</v>
      </c>
      <c r="H2684" s="256">
        <v>3000</v>
      </c>
      <c r="I2684" s="214">
        <v>1490122</v>
      </c>
      <c r="J2684" s="215">
        <v>21000</v>
      </c>
      <c r="K2684" s="212">
        <v>43721</v>
      </c>
      <c r="L2684" s="211" t="s">
        <v>2243</v>
      </c>
      <c r="M2684" s="216">
        <v>4615450207</v>
      </c>
      <c r="N2684" s="212"/>
      <c r="O2684" s="218"/>
      <c r="P2684" s="219"/>
      <c r="Q2684" s="34">
        <f>SUMIF(Allocation[Delivery ID],Allocation[[#This Row],[Delivery ID]],Allocation[Quantity Processed])</f>
        <v>30400</v>
      </c>
      <c r="R2684" s="61">
        <f>Allocation[[#This Row],[Total volume used]]/VLOOKUP(Allocation[[#This Row],[Delivery ID]],Delivery[[Delivery ID]:[Quantity delivered]],3,FALSE)</f>
        <v>1</v>
      </c>
      <c r="S2684" s="34">
        <f>Allocation[[#This Row],[Quantity Processed]]/Allocation[[#This Row],[Dilution rate]]</f>
        <v>4485.869565217391</v>
      </c>
      <c r="T2684" s="59">
        <f>SUMIF(Allocation[Delivery ID],Allocation[[#This Row],[Delivery ID]],Allocation[Quantity allocated])/SUMIF(Allocation[Delivery ID],Allocation[[#This Row],[Delivery ID]],Allocation[Volume available (kg)])</f>
        <v>0.83776811701499576</v>
      </c>
      <c r="U2684" s="61">
        <f>Allocation[[#This Row],[Total volume used]]/VLOOKUP(Allocation[[#This Row],[Delivery ID]],Delivery[[Delivery ID]:[Quantity delivered]],3,FALSE)</f>
        <v>1</v>
      </c>
      <c r="V2684" s="34" t="e">
        <f>VLOOKUP(Allocation[[#This Row],[SAP Contract number]],Shipments[[SAP Contract number]:[Contracted container weight]],2,FALSE)</f>
        <v>#N/A</v>
      </c>
      <c r="W2684" s="34" t="e">
        <f>VLOOKUP(Allocation[[#This Row],[SAP Contract number]],Shipments[[SAP Contract number]:[AAA Premium USD]],24,FALSE)</f>
        <v>#N/A</v>
      </c>
      <c r="X2684" s="34" t="e">
        <f>VLOOKUP(Allocation[[#This Row],[SAP Contract number]],Shipments[[SAP Contract number]:[RA Premium USD]],25,FALSE)</f>
        <v>#N/A</v>
      </c>
      <c r="Y2684" s="38">
        <f>Allocation[[#This Row],[Quantity Processed]]/Allocation[[#This Row],[Quantity allocated]]</f>
        <v>2.7513333333333332</v>
      </c>
      <c r="Z2684" s="34" t="b">
        <f>Allocation[[#This Row],[Quantity allocated]]&lt;=Allocation[[#This Row],[Quantity Processed]]</f>
        <v>1</v>
      </c>
    </row>
    <row r="2685" spans="1:26">
      <c r="A2685" s="247" t="s">
        <v>467</v>
      </c>
      <c r="B2685" s="210" t="s">
        <v>68</v>
      </c>
      <c r="C2685" s="254" t="s">
        <v>2182</v>
      </c>
      <c r="D2685" s="255">
        <v>2250</v>
      </c>
      <c r="E2685" s="211" t="s">
        <v>2239</v>
      </c>
      <c r="F2685" s="212">
        <v>43712</v>
      </c>
      <c r="G2685" s="213">
        <v>1.84</v>
      </c>
      <c r="H2685" s="256">
        <v>1125</v>
      </c>
      <c r="I2685" s="214">
        <v>1490122</v>
      </c>
      <c r="J2685" s="215">
        <v>21000</v>
      </c>
      <c r="K2685" s="212">
        <v>43721</v>
      </c>
      <c r="L2685" s="211" t="s">
        <v>2243</v>
      </c>
      <c r="M2685" s="216">
        <v>4615450207</v>
      </c>
      <c r="N2685" s="212"/>
      <c r="O2685" s="218"/>
      <c r="P2685" s="219"/>
      <c r="Q2685" s="34">
        <f>SUMIF(Allocation[Delivery ID],Allocation[[#This Row],[Delivery ID]],Allocation[Quantity Processed])</f>
        <v>2250</v>
      </c>
      <c r="R2685" s="61">
        <f>Allocation[[#This Row],[Total volume used]]/VLOOKUP(Allocation[[#This Row],[Delivery ID]],Delivery[[Delivery ID]:[Quantity delivered]],3,FALSE)</f>
        <v>7.4577394763009619E-2</v>
      </c>
      <c r="S2685" s="34">
        <f>Allocation[[#This Row],[Quantity Processed]]/Allocation[[#This Row],[Dilution rate]]</f>
        <v>1222.8260869565217</v>
      </c>
      <c r="T2685" s="59">
        <f>SUMIF(Allocation[Delivery ID],Allocation[[#This Row],[Delivery ID]],Allocation[Quantity allocated])/SUMIF(Allocation[Delivery ID],Allocation[[#This Row],[Delivery ID]],Allocation[Volume available (kg)])</f>
        <v>0.92</v>
      </c>
      <c r="U2685" s="61">
        <f>Allocation[[#This Row],[Total volume used]]/VLOOKUP(Allocation[[#This Row],[Delivery ID]],Delivery[[Delivery ID]:[Quantity delivered]],3,FALSE)</f>
        <v>7.4577394763009619E-2</v>
      </c>
      <c r="V2685" s="34" t="e">
        <f>VLOOKUP(Allocation[[#This Row],[SAP Contract number]],Shipments[[SAP Contract number]:[Contracted container weight]],2,FALSE)</f>
        <v>#N/A</v>
      </c>
      <c r="W2685" s="34" t="e">
        <f>VLOOKUP(Allocation[[#This Row],[SAP Contract number]],Shipments[[SAP Contract number]:[AAA Premium USD]],24,FALSE)</f>
        <v>#N/A</v>
      </c>
      <c r="X2685" s="34" t="e">
        <f>VLOOKUP(Allocation[[#This Row],[SAP Contract number]],Shipments[[SAP Contract number]:[RA Premium USD]],25,FALSE)</f>
        <v>#N/A</v>
      </c>
      <c r="Y2685" s="38">
        <f>Allocation[[#This Row],[Quantity Processed]]/Allocation[[#This Row],[Quantity allocated]]</f>
        <v>2</v>
      </c>
      <c r="Z2685" s="34" t="b">
        <f>Allocation[[#This Row],[Quantity allocated]]&lt;=Allocation[[#This Row],[Quantity Processed]]</f>
        <v>1</v>
      </c>
    </row>
    <row r="2686" spans="1:26">
      <c r="A2686" s="247" t="s">
        <v>467</v>
      </c>
      <c r="B2686" s="210" t="s">
        <v>68</v>
      </c>
      <c r="C2686" s="254" t="s">
        <v>2183</v>
      </c>
      <c r="D2686" s="255">
        <v>1967</v>
      </c>
      <c r="E2686" s="211" t="s">
        <v>2239</v>
      </c>
      <c r="F2686" s="212">
        <v>43712</v>
      </c>
      <c r="G2686" s="213">
        <v>1.84</v>
      </c>
      <c r="H2686" s="256">
        <v>984</v>
      </c>
      <c r="I2686" s="214">
        <v>1490122</v>
      </c>
      <c r="J2686" s="215">
        <v>21000</v>
      </c>
      <c r="K2686" s="212">
        <v>43721</v>
      </c>
      <c r="L2686" s="211" t="s">
        <v>2243</v>
      </c>
      <c r="M2686" s="216">
        <v>4615450207</v>
      </c>
      <c r="N2686" s="212"/>
      <c r="O2686" s="218"/>
      <c r="P2686" s="219"/>
      <c r="Q2686" s="34">
        <f>SUMIF(Allocation[Delivery ID],Allocation[[#This Row],[Delivery ID]],Allocation[Quantity Processed])</f>
        <v>2257</v>
      </c>
      <c r="R2686" s="61">
        <f>Allocation[[#This Row],[Total volume used]]/VLOOKUP(Allocation[[#This Row],[Delivery ID]],Delivery[[Delivery ID]:[Quantity delivered]],3,FALSE)</f>
        <v>7.45622728774364E-2</v>
      </c>
      <c r="S2686" s="34">
        <f>Allocation[[#This Row],[Quantity Processed]]/Allocation[[#This Row],[Dilution rate]]</f>
        <v>1069.0217391304348</v>
      </c>
      <c r="T2686" s="59">
        <f>SUMIF(Allocation[Delivery ID],Allocation[[#This Row],[Delivery ID]],Allocation[Quantity allocated])/SUMIF(Allocation[Delivery ID],Allocation[[#This Row],[Delivery ID]],Allocation[Volume available (kg)])</f>
        <v>0.92040762073548954</v>
      </c>
      <c r="U2686" s="61">
        <f>Allocation[[#This Row],[Total volume used]]/VLOOKUP(Allocation[[#This Row],[Delivery ID]],Delivery[[Delivery ID]:[Quantity delivered]],3,FALSE)</f>
        <v>7.45622728774364E-2</v>
      </c>
      <c r="V2686" s="34" t="e">
        <f>VLOOKUP(Allocation[[#This Row],[SAP Contract number]],Shipments[[SAP Contract number]:[Contracted container weight]],2,FALSE)</f>
        <v>#N/A</v>
      </c>
      <c r="W2686" s="34" t="e">
        <f>VLOOKUP(Allocation[[#This Row],[SAP Contract number]],Shipments[[SAP Contract number]:[AAA Premium USD]],24,FALSE)</f>
        <v>#N/A</v>
      </c>
      <c r="X2686" s="34" t="e">
        <f>VLOOKUP(Allocation[[#This Row],[SAP Contract number]],Shipments[[SAP Contract number]:[RA Premium USD]],25,FALSE)</f>
        <v>#N/A</v>
      </c>
      <c r="Y2686" s="38">
        <f>Allocation[[#This Row],[Quantity Processed]]/Allocation[[#This Row],[Quantity allocated]]</f>
        <v>1.9989837398373984</v>
      </c>
      <c r="Z2686" s="34" t="b">
        <f>Allocation[[#This Row],[Quantity allocated]]&lt;=Allocation[[#This Row],[Quantity Processed]]</f>
        <v>1</v>
      </c>
    </row>
    <row r="2687" spans="1:26">
      <c r="A2687" s="247" t="s">
        <v>467</v>
      </c>
      <c r="B2687" s="210" t="s">
        <v>68</v>
      </c>
      <c r="C2687" s="254" t="s">
        <v>2183</v>
      </c>
      <c r="D2687" s="255">
        <v>290</v>
      </c>
      <c r="E2687" s="211" t="s">
        <v>2239</v>
      </c>
      <c r="F2687" s="212">
        <v>43712</v>
      </c>
      <c r="G2687" s="213">
        <v>1.84</v>
      </c>
      <c r="H2687" s="256">
        <v>145</v>
      </c>
      <c r="I2687" s="214">
        <v>1490123</v>
      </c>
      <c r="J2687" s="215">
        <v>21000</v>
      </c>
      <c r="K2687" s="212">
        <v>43721</v>
      </c>
      <c r="L2687" s="211" t="s">
        <v>2244</v>
      </c>
      <c r="M2687" s="216">
        <v>4615450207</v>
      </c>
      <c r="N2687" s="212"/>
      <c r="O2687" s="218"/>
      <c r="P2687" s="219"/>
      <c r="Q2687" s="34">
        <f>SUMIF(Allocation[Delivery ID],Allocation[[#This Row],[Delivery ID]],Allocation[Quantity Processed])</f>
        <v>2257</v>
      </c>
      <c r="R2687" s="61">
        <f>Allocation[[#This Row],[Total volume used]]/VLOOKUP(Allocation[[#This Row],[Delivery ID]],Delivery[[Delivery ID]:[Quantity delivered]],3,FALSE)</f>
        <v>7.45622728774364E-2</v>
      </c>
      <c r="S2687" s="34">
        <f>Allocation[[#This Row],[Quantity Processed]]/Allocation[[#This Row],[Dilution rate]]</f>
        <v>157.60869565217391</v>
      </c>
      <c r="T2687" s="59">
        <f>SUMIF(Allocation[Delivery ID],Allocation[[#This Row],[Delivery ID]],Allocation[Quantity allocated])/SUMIF(Allocation[Delivery ID],Allocation[[#This Row],[Delivery ID]],Allocation[Volume available (kg)])</f>
        <v>0.92040762073548954</v>
      </c>
      <c r="U2687" s="61">
        <f>Allocation[[#This Row],[Total volume used]]/VLOOKUP(Allocation[[#This Row],[Delivery ID]],Delivery[[Delivery ID]:[Quantity delivered]],3,FALSE)</f>
        <v>7.45622728774364E-2</v>
      </c>
      <c r="V2687" s="34" t="e">
        <f>VLOOKUP(Allocation[[#This Row],[SAP Contract number]],Shipments[[SAP Contract number]:[Contracted container weight]],2,FALSE)</f>
        <v>#N/A</v>
      </c>
      <c r="W2687" s="34" t="e">
        <f>VLOOKUP(Allocation[[#This Row],[SAP Contract number]],Shipments[[SAP Contract number]:[AAA Premium USD]],24,FALSE)</f>
        <v>#N/A</v>
      </c>
      <c r="X2687" s="34" t="e">
        <f>VLOOKUP(Allocation[[#This Row],[SAP Contract number]],Shipments[[SAP Contract number]:[RA Premium USD]],25,FALSE)</f>
        <v>#N/A</v>
      </c>
      <c r="Y2687" s="38">
        <f>Allocation[[#This Row],[Quantity Processed]]/Allocation[[#This Row],[Quantity allocated]]</f>
        <v>2</v>
      </c>
      <c r="Z2687" s="34" t="b">
        <f>Allocation[[#This Row],[Quantity allocated]]&lt;=Allocation[[#This Row],[Quantity Processed]]</f>
        <v>1</v>
      </c>
    </row>
    <row r="2688" spans="1:26">
      <c r="A2688" s="247" t="s">
        <v>467</v>
      </c>
      <c r="B2688" s="210" t="s">
        <v>68</v>
      </c>
      <c r="C2688" s="254" t="s">
        <v>2184</v>
      </c>
      <c r="D2688" s="255">
        <v>2329</v>
      </c>
      <c r="E2688" s="211" t="s">
        <v>2239</v>
      </c>
      <c r="F2688" s="212">
        <v>43712</v>
      </c>
      <c r="G2688" s="213">
        <v>1.84</v>
      </c>
      <c r="H2688" s="256">
        <v>1164</v>
      </c>
      <c r="I2688" s="214">
        <v>1490123</v>
      </c>
      <c r="J2688" s="215">
        <v>21000</v>
      </c>
      <c r="K2688" s="212">
        <v>43721</v>
      </c>
      <c r="L2688" s="211" t="s">
        <v>2244</v>
      </c>
      <c r="M2688" s="216">
        <v>4615450207</v>
      </c>
      <c r="N2688" s="212"/>
      <c r="O2688" s="218"/>
      <c r="P2688" s="219"/>
      <c r="Q2688" s="34">
        <f>SUMIF(Allocation[Delivery ID],Allocation[[#This Row],[Delivery ID]],Allocation[Quantity Processed])</f>
        <v>2329</v>
      </c>
      <c r="R2688" s="61">
        <f>Allocation[[#This Row],[Total volume used]]/VLOOKUP(Allocation[[#This Row],[Delivery ID]],Delivery[[Delivery ID]:[Quantity delivered]],3,FALSE)</f>
        <v>7.4575728466218377E-2</v>
      </c>
      <c r="S2688" s="34">
        <f>Allocation[[#This Row],[Quantity Processed]]/Allocation[[#This Row],[Dilution rate]]</f>
        <v>1265.7608695652173</v>
      </c>
      <c r="T2688" s="59">
        <f>SUMIF(Allocation[Delivery ID],Allocation[[#This Row],[Delivery ID]],Allocation[Quantity allocated])/SUMIF(Allocation[Delivery ID],Allocation[[#This Row],[Delivery ID]],Allocation[Volume available (kg)])</f>
        <v>0.91960498067840279</v>
      </c>
      <c r="U2688" s="61">
        <f>Allocation[[#This Row],[Total volume used]]/VLOOKUP(Allocation[[#This Row],[Delivery ID]],Delivery[[Delivery ID]:[Quantity delivered]],3,FALSE)</f>
        <v>7.4575728466218377E-2</v>
      </c>
      <c r="V2688" s="34" t="e">
        <f>VLOOKUP(Allocation[[#This Row],[SAP Contract number]],Shipments[[SAP Contract number]:[Contracted container weight]],2,FALSE)</f>
        <v>#N/A</v>
      </c>
      <c r="W2688" s="34" t="e">
        <f>VLOOKUP(Allocation[[#This Row],[SAP Contract number]],Shipments[[SAP Contract number]:[AAA Premium USD]],24,FALSE)</f>
        <v>#N/A</v>
      </c>
      <c r="X2688" s="34" t="e">
        <f>VLOOKUP(Allocation[[#This Row],[SAP Contract number]],Shipments[[SAP Contract number]:[RA Premium USD]],25,FALSE)</f>
        <v>#N/A</v>
      </c>
      <c r="Y2688" s="38">
        <f>Allocation[[#This Row],[Quantity Processed]]/Allocation[[#This Row],[Quantity allocated]]</f>
        <v>2.0008591065292096</v>
      </c>
      <c r="Z2688" s="34" t="b">
        <f>Allocation[[#This Row],[Quantity allocated]]&lt;=Allocation[[#This Row],[Quantity Processed]]</f>
        <v>1</v>
      </c>
    </row>
    <row r="2689" spans="1:26">
      <c r="A2689" s="247" t="s">
        <v>467</v>
      </c>
      <c r="B2689" s="210" t="s">
        <v>68</v>
      </c>
      <c r="C2689" s="254" t="s">
        <v>2185</v>
      </c>
      <c r="D2689" s="255">
        <v>1459</v>
      </c>
      <c r="E2689" s="211" t="s">
        <v>2239</v>
      </c>
      <c r="F2689" s="212">
        <v>43712</v>
      </c>
      <c r="G2689" s="213">
        <v>1.84</v>
      </c>
      <c r="H2689" s="256">
        <v>730</v>
      </c>
      <c r="I2689" s="214">
        <v>1490123</v>
      </c>
      <c r="J2689" s="215">
        <v>21000</v>
      </c>
      <c r="K2689" s="212">
        <v>43721</v>
      </c>
      <c r="L2689" s="211" t="s">
        <v>2244</v>
      </c>
      <c r="M2689" s="216">
        <v>4615450207</v>
      </c>
      <c r="N2689" s="212"/>
      <c r="O2689" s="218"/>
      <c r="P2689" s="219"/>
      <c r="Q2689" s="34">
        <f>SUMIF(Allocation[Delivery ID],Allocation[[#This Row],[Delivery ID]],Allocation[Quantity Processed])</f>
        <v>1459</v>
      </c>
      <c r="R2689" s="61">
        <f>Allocation[[#This Row],[Total volume used]]/VLOOKUP(Allocation[[#This Row],[Delivery ID]],Delivery[[Delivery ID]:[Quantity delivered]],3,FALSE)</f>
        <v>7.454526875127733E-2</v>
      </c>
      <c r="S2689" s="34">
        <f>Allocation[[#This Row],[Quantity Processed]]/Allocation[[#This Row],[Dilution rate]]</f>
        <v>792.93478260869563</v>
      </c>
      <c r="T2689" s="59">
        <f>SUMIF(Allocation[Delivery ID],Allocation[[#This Row],[Delivery ID]],Allocation[Quantity allocated])/SUMIF(Allocation[Delivery ID],Allocation[[#This Row],[Delivery ID]],Allocation[Volume available (kg)])</f>
        <v>0.92063056888279649</v>
      </c>
      <c r="U2689" s="61">
        <f>Allocation[[#This Row],[Total volume used]]/VLOOKUP(Allocation[[#This Row],[Delivery ID]],Delivery[[Delivery ID]:[Quantity delivered]],3,FALSE)</f>
        <v>7.454526875127733E-2</v>
      </c>
      <c r="V2689" s="34" t="e">
        <f>VLOOKUP(Allocation[[#This Row],[SAP Contract number]],Shipments[[SAP Contract number]:[Contracted container weight]],2,FALSE)</f>
        <v>#N/A</v>
      </c>
      <c r="W2689" s="34" t="e">
        <f>VLOOKUP(Allocation[[#This Row],[SAP Contract number]],Shipments[[SAP Contract number]:[AAA Premium USD]],24,FALSE)</f>
        <v>#N/A</v>
      </c>
      <c r="X2689" s="34" t="e">
        <f>VLOOKUP(Allocation[[#This Row],[SAP Contract number]],Shipments[[SAP Contract number]:[RA Premium USD]],25,FALSE)</f>
        <v>#N/A</v>
      </c>
      <c r="Y2689" s="38">
        <f>Allocation[[#This Row],[Quantity Processed]]/Allocation[[#This Row],[Quantity allocated]]</f>
        <v>1.9986301369863013</v>
      </c>
      <c r="Z2689" s="34" t="b">
        <f>Allocation[[#This Row],[Quantity allocated]]&lt;=Allocation[[#This Row],[Quantity Processed]]</f>
        <v>1</v>
      </c>
    </row>
    <row r="2690" spans="1:26">
      <c r="A2690" s="247" t="s">
        <v>467</v>
      </c>
      <c r="B2690" s="210" t="s">
        <v>68</v>
      </c>
      <c r="C2690" s="254" t="s">
        <v>2186</v>
      </c>
      <c r="D2690" s="255">
        <v>801</v>
      </c>
      <c r="E2690" s="211" t="s">
        <v>2239</v>
      </c>
      <c r="F2690" s="212">
        <v>43712</v>
      </c>
      <c r="G2690" s="213">
        <v>1.84</v>
      </c>
      <c r="H2690" s="256">
        <v>401</v>
      </c>
      <c r="I2690" s="214">
        <v>1490123</v>
      </c>
      <c r="J2690" s="215">
        <v>21000</v>
      </c>
      <c r="K2690" s="212">
        <v>43721</v>
      </c>
      <c r="L2690" s="211" t="s">
        <v>2244</v>
      </c>
      <c r="M2690" s="216">
        <v>4615450207</v>
      </c>
      <c r="N2690" s="212"/>
      <c r="O2690" s="218"/>
      <c r="P2690" s="219"/>
      <c r="Q2690" s="34">
        <f>SUMIF(Allocation[Delivery ID],Allocation[[#This Row],[Delivery ID]],Allocation[Quantity Processed])</f>
        <v>801</v>
      </c>
      <c r="R2690" s="61">
        <f>Allocation[[#This Row],[Total volume used]]/VLOOKUP(Allocation[[#This Row],[Delivery ID]],Delivery[[Delivery ID]:[Quantity delivered]],3,FALSE)</f>
        <v>7.4525493114998134E-2</v>
      </c>
      <c r="S2690" s="34">
        <f>Allocation[[#This Row],[Quantity Processed]]/Allocation[[#This Row],[Dilution rate]]</f>
        <v>435.32608695652169</v>
      </c>
      <c r="T2690" s="59">
        <f>SUMIF(Allocation[Delivery ID],Allocation[[#This Row],[Delivery ID]],Allocation[Quantity allocated])/SUMIF(Allocation[Delivery ID],Allocation[[#This Row],[Delivery ID]],Allocation[Volume available (kg)])</f>
        <v>0.92114856429463177</v>
      </c>
      <c r="U2690" s="61">
        <f>Allocation[[#This Row],[Total volume used]]/VLOOKUP(Allocation[[#This Row],[Delivery ID]],Delivery[[Delivery ID]:[Quantity delivered]],3,FALSE)</f>
        <v>7.4525493114998134E-2</v>
      </c>
      <c r="V2690" s="34" t="e">
        <f>VLOOKUP(Allocation[[#This Row],[SAP Contract number]],Shipments[[SAP Contract number]:[Contracted container weight]],2,FALSE)</f>
        <v>#N/A</v>
      </c>
      <c r="W2690" s="34" t="e">
        <f>VLOOKUP(Allocation[[#This Row],[SAP Contract number]],Shipments[[SAP Contract number]:[AAA Premium USD]],24,FALSE)</f>
        <v>#N/A</v>
      </c>
      <c r="X2690" s="34" t="e">
        <f>VLOOKUP(Allocation[[#This Row],[SAP Contract number]],Shipments[[SAP Contract number]:[RA Premium USD]],25,FALSE)</f>
        <v>#N/A</v>
      </c>
      <c r="Y2690" s="38">
        <f>Allocation[[#This Row],[Quantity Processed]]/Allocation[[#This Row],[Quantity allocated]]</f>
        <v>1.9975062344139651</v>
      </c>
      <c r="Z2690" s="34" t="b">
        <f>Allocation[[#This Row],[Quantity allocated]]&lt;=Allocation[[#This Row],[Quantity Processed]]</f>
        <v>1</v>
      </c>
    </row>
    <row r="2691" spans="1:26">
      <c r="A2691" s="247" t="s">
        <v>467</v>
      </c>
      <c r="B2691" s="210" t="s">
        <v>68</v>
      </c>
      <c r="C2691" s="254" t="s">
        <v>2187</v>
      </c>
      <c r="D2691" s="255">
        <v>3800</v>
      </c>
      <c r="E2691" s="211" t="s">
        <v>2239</v>
      </c>
      <c r="F2691" s="212">
        <v>43712</v>
      </c>
      <c r="G2691" s="213">
        <v>1.84</v>
      </c>
      <c r="H2691" s="256">
        <v>1976</v>
      </c>
      <c r="I2691" s="214">
        <v>1490123</v>
      </c>
      <c r="J2691" s="215">
        <v>21000</v>
      </c>
      <c r="K2691" s="212">
        <v>43721</v>
      </c>
      <c r="L2691" s="211" t="s">
        <v>2244</v>
      </c>
      <c r="M2691" s="216">
        <v>4615450207</v>
      </c>
      <c r="N2691" s="212"/>
      <c r="O2691" s="218"/>
      <c r="P2691" s="219"/>
      <c r="Q2691" s="34">
        <f>SUMIF(Allocation[Delivery ID],Allocation[[#This Row],[Delivery ID]],Allocation[Quantity Processed])</f>
        <v>3800</v>
      </c>
      <c r="R2691" s="61">
        <f>Allocation[[#This Row],[Total volume used]]/VLOOKUP(Allocation[[#This Row],[Delivery ID]],Delivery[[Delivery ID]:[Quantity delivered]],3,FALSE)</f>
        <v>0.11949685534591195</v>
      </c>
      <c r="S2691" s="34">
        <f>Allocation[[#This Row],[Quantity Processed]]/Allocation[[#This Row],[Dilution rate]]</f>
        <v>2065.2173913043475</v>
      </c>
      <c r="T2691" s="59">
        <f>SUMIF(Allocation[Delivery ID],Allocation[[#This Row],[Delivery ID]],Allocation[Quantity allocated])/SUMIF(Allocation[Delivery ID],Allocation[[#This Row],[Delivery ID]],Allocation[Volume available (kg)])</f>
        <v>0.95680000000000009</v>
      </c>
      <c r="U2691" s="61">
        <f>Allocation[[#This Row],[Total volume used]]/VLOOKUP(Allocation[[#This Row],[Delivery ID]],Delivery[[Delivery ID]:[Quantity delivered]],3,FALSE)</f>
        <v>0.11949685534591195</v>
      </c>
      <c r="V2691" s="34" t="e">
        <f>VLOOKUP(Allocation[[#This Row],[SAP Contract number]],Shipments[[SAP Contract number]:[Contracted container weight]],2,FALSE)</f>
        <v>#N/A</v>
      </c>
      <c r="W2691" s="34" t="e">
        <f>VLOOKUP(Allocation[[#This Row],[SAP Contract number]],Shipments[[SAP Contract number]:[AAA Premium USD]],24,FALSE)</f>
        <v>#N/A</v>
      </c>
      <c r="X2691" s="34" t="e">
        <f>VLOOKUP(Allocation[[#This Row],[SAP Contract number]],Shipments[[SAP Contract number]:[RA Premium USD]],25,FALSE)</f>
        <v>#N/A</v>
      </c>
      <c r="Y2691" s="38">
        <f>Allocation[[#This Row],[Quantity Processed]]/Allocation[[#This Row],[Quantity allocated]]</f>
        <v>1.9230769230769231</v>
      </c>
      <c r="Z2691" s="34" t="b">
        <f>Allocation[[#This Row],[Quantity allocated]]&lt;=Allocation[[#This Row],[Quantity Processed]]</f>
        <v>1</v>
      </c>
    </row>
    <row r="2692" spans="1:26">
      <c r="A2692" s="247" t="s">
        <v>467</v>
      </c>
      <c r="B2692" s="210" t="s">
        <v>68</v>
      </c>
      <c r="C2692" s="254" t="s">
        <v>2188</v>
      </c>
      <c r="D2692" s="255">
        <v>3798</v>
      </c>
      <c r="E2692" s="211" t="s">
        <v>2239</v>
      </c>
      <c r="F2692" s="212">
        <v>43712</v>
      </c>
      <c r="G2692" s="213">
        <v>1.84</v>
      </c>
      <c r="H2692" s="256">
        <v>1975</v>
      </c>
      <c r="I2692" s="214">
        <v>1490123</v>
      </c>
      <c r="J2692" s="215">
        <v>21000</v>
      </c>
      <c r="K2692" s="212">
        <v>43721</v>
      </c>
      <c r="L2692" s="211" t="s">
        <v>2244</v>
      </c>
      <c r="M2692" s="216">
        <v>4615450207</v>
      </c>
      <c r="N2692" s="212"/>
      <c r="O2692" s="218"/>
      <c r="P2692" s="219"/>
      <c r="Q2692" s="34">
        <f>SUMIF(Allocation[Delivery ID],Allocation[[#This Row],[Delivery ID]],Allocation[Quantity Processed])</f>
        <v>3798</v>
      </c>
      <c r="R2692" s="61">
        <f>Allocation[[#This Row],[Total volume used]]/VLOOKUP(Allocation[[#This Row],[Delivery ID]],Delivery[[Delivery ID]:[Quantity delivered]],3,FALSE)</f>
        <v>0.11947153192827933</v>
      </c>
      <c r="S2692" s="34">
        <f>Allocation[[#This Row],[Quantity Processed]]/Allocation[[#This Row],[Dilution rate]]</f>
        <v>2064.1304347826085</v>
      </c>
      <c r="T2692" s="59">
        <f>SUMIF(Allocation[Delivery ID],Allocation[[#This Row],[Delivery ID]],Allocation[Quantity allocated])/SUMIF(Allocation[Delivery ID],Allocation[[#This Row],[Delivery ID]],Allocation[Volume available (kg)])</f>
        <v>0.95681937862032662</v>
      </c>
      <c r="U2692" s="61">
        <f>Allocation[[#This Row],[Total volume used]]/VLOOKUP(Allocation[[#This Row],[Delivery ID]],Delivery[[Delivery ID]:[Quantity delivered]],3,FALSE)</f>
        <v>0.11947153192827933</v>
      </c>
      <c r="V2692" s="34" t="e">
        <f>VLOOKUP(Allocation[[#This Row],[SAP Contract number]],Shipments[[SAP Contract number]:[Contracted container weight]],2,FALSE)</f>
        <v>#N/A</v>
      </c>
      <c r="W2692" s="34" t="e">
        <f>VLOOKUP(Allocation[[#This Row],[SAP Contract number]],Shipments[[SAP Contract number]:[AAA Premium USD]],24,FALSE)</f>
        <v>#N/A</v>
      </c>
      <c r="X2692" s="34" t="e">
        <f>VLOOKUP(Allocation[[#This Row],[SAP Contract number]],Shipments[[SAP Contract number]:[RA Premium USD]],25,FALSE)</f>
        <v>#N/A</v>
      </c>
      <c r="Y2692" s="38">
        <f>Allocation[[#This Row],[Quantity Processed]]/Allocation[[#This Row],[Quantity allocated]]</f>
        <v>1.9230379746835442</v>
      </c>
      <c r="Z2692" s="34" t="b">
        <f>Allocation[[#This Row],[Quantity allocated]]&lt;=Allocation[[#This Row],[Quantity Processed]]</f>
        <v>1</v>
      </c>
    </row>
    <row r="2693" spans="1:26">
      <c r="A2693" s="247" t="s">
        <v>467</v>
      </c>
      <c r="B2693" s="210" t="s">
        <v>68</v>
      </c>
      <c r="C2693" s="254" t="s">
        <v>2189</v>
      </c>
      <c r="D2693" s="255">
        <v>3801</v>
      </c>
      <c r="E2693" s="211" t="s">
        <v>2239</v>
      </c>
      <c r="F2693" s="212">
        <v>43712</v>
      </c>
      <c r="G2693" s="213">
        <v>1.84</v>
      </c>
      <c r="H2693" s="256">
        <v>1976</v>
      </c>
      <c r="I2693" s="214">
        <v>1490123</v>
      </c>
      <c r="J2693" s="215">
        <v>21000</v>
      </c>
      <c r="K2693" s="212">
        <v>43721</v>
      </c>
      <c r="L2693" s="211" t="s">
        <v>2244</v>
      </c>
      <c r="M2693" s="216">
        <v>4615450207</v>
      </c>
      <c r="N2693" s="212"/>
      <c r="O2693" s="218"/>
      <c r="P2693" s="219"/>
      <c r="Q2693" s="34">
        <f>SUMIF(Allocation[Delivery ID],Allocation[[#This Row],[Delivery ID]],Allocation[Quantity Processed])</f>
        <v>3801</v>
      </c>
      <c r="R2693" s="61">
        <f>Allocation[[#This Row],[Total volume used]]/VLOOKUP(Allocation[[#This Row],[Delivery ID]],Delivery[[Delivery ID]:[Quantity delivered]],3,FALSE)</f>
        <v>0.11949072618673373</v>
      </c>
      <c r="S2693" s="34">
        <f>Allocation[[#This Row],[Quantity Processed]]/Allocation[[#This Row],[Dilution rate]]</f>
        <v>2065.7608695652175</v>
      </c>
      <c r="T2693" s="59">
        <f>SUMIF(Allocation[Delivery ID],Allocation[[#This Row],[Delivery ID]],Allocation[Quantity allocated])/SUMIF(Allocation[Delivery ID],Allocation[[#This Row],[Delivery ID]],Allocation[Volume available (kg)])</f>
        <v>0.95654827676927123</v>
      </c>
      <c r="U2693" s="61">
        <f>Allocation[[#This Row],[Total volume used]]/VLOOKUP(Allocation[[#This Row],[Delivery ID]],Delivery[[Delivery ID]:[Quantity delivered]],3,FALSE)</f>
        <v>0.11949072618673373</v>
      </c>
      <c r="V2693" s="34" t="e">
        <f>VLOOKUP(Allocation[[#This Row],[SAP Contract number]],Shipments[[SAP Contract number]:[Contracted container weight]],2,FALSE)</f>
        <v>#N/A</v>
      </c>
      <c r="W2693" s="34" t="e">
        <f>VLOOKUP(Allocation[[#This Row],[SAP Contract number]],Shipments[[SAP Contract number]:[AAA Premium USD]],24,FALSE)</f>
        <v>#N/A</v>
      </c>
      <c r="X2693" s="34" t="e">
        <f>VLOOKUP(Allocation[[#This Row],[SAP Contract number]],Shipments[[SAP Contract number]:[RA Premium USD]],25,FALSE)</f>
        <v>#N/A</v>
      </c>
      <c r="Y2693" s="38">
        <f>Allocation[[#This Row],[Quantity Processed]]/Allocation[[#This Row],[Quantity allocated]]</f>
        <v>1.923582995951417</v>
      </c>
      <c r="Z2693" s="34" t="b">
        <f>Allocation[[#This Row],[Quantity allocated]]&lt;=Allocation[[#This Row],[Quantity Processed]]</f>
        <v>1</v>
      </c>
    </row>
    <row r="2694" spans="1:26">
      <c r="A2694" s="247" t="s">
        <v>467</v>
      </c>
      <c r="B2694" s="210" t="s">
        <v>68</v>
      </c>
      <c r="C2694" s="254" t="s">
        <v>2190</v>
      </c>
      <c r="D2694" s="255">
        <v>4587</v>
      </c>
      <c r="E2694" s="211" t="s">
        <v>2239</v>
      </c>
      <c r="F2694" s="212">
        <v>43712</v>
      </c>
      <c r="G2694" s="213">
        <v>1.84</v>
      </c>
      <c r="H2694" s="256">
        <v>2385</v>
      </c>
      <c r="I2694" s="214">
        <v>1490123</v>
      </c>
      <c r="J2694" s="215">
        <v>21000</v>
      </c>
      <c r="K2694" s="212">
        <v>43721</v>
      </c>
      <c r="L2694" s="211" t="s">
        <v>2244</v>
      </c>
      <c r="M2694" s="216">
        <v>4615450207</v>
      </c>
      <c r="N2694" s="212"/>
      <c r="O2694" s="218"/>
      <c r="P2694" s="219"/>
      <c r="Q2694" s="34">
        <f>SUMIF(Allocation[Delivery ID],Allocation[[#This Row],[Delivery ID]],Allocation[Quantity Processed])</f>
        <v>4587</v>
      </c>
      <c r="R2694" s="61">
        <f>Allocation[[#This Row],[Total volume used]]/VLOOKUP(Allocation[[#This Row],[Delivery ID]],Delivery[[Delivery ID]:[Quantity delivered]],3,FALSE)</f>
        <v>0.11948424068767909</v>
      </c>
      <c r="S2694" s="34">
        <f>Allocation[[#This Row],[Quantity Processed]]/Allocation[[#This Row],[Dilution rate]]</f>
        <v>2492.9347826086955</v>
      </c>
      <c r="T2694" s="59">
        <f>SUMIF(Allocation[Delivery ID],Allocation[[#This Row],[Delivery ID]],Allocation[Quantity allocated])/SUMIF(Allocation[Delivery ID],Allocation[[#This Row],[Delivery ID]],Allocation[Volume available (kg)])</f>
        <v>0.95670372792674951</v>
      </c>
      <c r="U2694" s="61">
        <f>Allocation[[#This Row],[Total volume used]]/VLOOKUP(Allocation[[#This Row],[Delivery ID]],Delivery[[Delivery ID]:[Quantity delivered]],3,FALSE)</f>
        <v>0.11948424068767909</v>
      </c>
      <c r="V2694" s="34" t="e">
        <f>VLOOKUP(Allocation[[#This Row],[SAP Contract number]],Shipments[[SAP Contract number]:[Contracted container weight]],2,FALSE)</f>
        <v>#N/A</v>
      </c>
      <c r="W2694" s="34" t="e">
        <f>VLOOKUP(Allocation[[#This Row],[SAP Contract number]],Shipments[[SAP Contract number]:[AAA Premium USD]],24,FALSE)</f>
        <v>#N/A</v>
      </c>
      <c r="X2694" s="34" t="e">
        <f>VLOOKUP(Allocation[[#This Row],[SAP Contract number]],Shipments[[SAP Contract number]:[RA Premium USD]],25,FALSE)</f>
        <v>#N/A</v>
      </c>
      <c r="Y2694" s="38">
        <f>Allocation[[#This Row],[Quantity Processed]]/Allocation[[#This Row],[Quantity allocated]]</f>
        <v>1.9232704402515723</v>
      </c>
      <c r="Z2694" s="34" t="b">
        <f>Allocation[[#This Row],[Quantity allocated]]&lt;=Allocation[[#This Row],[Quantity Processed]]</f>
        <v>1</v>
      </c>
    </row>
    <row r="2695" spans="1:26">
      <c r="A2695" s="247" t="s">
        <v>467</v>
      </c>
      <c r="B2695" s="210" t="s">
        <v>68</v>
      </c>
      <c r="C2695" s="254" t="s">
        <v>2191</v>
      </c>
      <c r="D2695" s="255">
        <v>3798</v>
      </c>
      <c r="E2695" s="211" t="s">
        <v>2239</v>
      </c>
      <c r="F2695" s="212">
        <v>43712</v>
      </c>
      <c r="G2695" s="213">
        <v>1.84</v>
      </c>
      <c r="H2695" s="256">
        <v>1975</v>
      </c>
      <c r="I2695" s="214">
        <v>1490123</v>
      </c>
      <c r="J2695" s="215">
        <v>21000</v>
      </c>
      <c r="K2695" s="212">
        <v>43721</v>
      </c>
      <c r="L2695" s="211" t="s">
        <v>2244</v>
      </c>
      <c r="M2695" s="216">
        <v>4615450207</v>
      </c>
      <c r="N2695" s="212"/>
      <c r="O2695" s="218"/>
      <c r="P2695" s="219"/>
      <c r="Q2695" s="34">
        <f>SUMIF(Allocation[Delivery ID],Allocation[[#This Row],[Delivery ID]],Allocation[Quantity Processed])</f>
        <v>3798</v>
      </c>
      <c r="R2695" s="61">
        <f>Allocation[[#This Row],[Total volume used]]/VLOOKUP(Allocation[[#This Row],[Delivery ID]],Delivery[[Delivery ID]:[Quantity delivered]],3,FALSE)</f>
        <v>0.11947153192827933</v>
      </c>
      <c r="S2695" s="34">
        <f>Allocation[[#This Row],[Quantity Processed]]/Allocation[[#This Row],[Dilution rate]]</f>
        <v>2064.1304347826085</v>
      </c>
      <c r="T2695" s="59">
        <f>SUMIF(Allocation[Delivery ID],Allocation[[#This Row],[Delivery ID]],Allocation[Quantity allocated])/SUMIF(Allocation[Delivery ID],Allocation[[#This Row],[Delivery ID]],Allocation[Volume available (kg)])</f>
        <v>0.95681937862032662</v>
      </c>
      <c r="U2695" s="61">
        <f>Allocation[[#This Row],[Total volume used]]/VLOOKUP(Allocation[[#This Row],[Delivery ID]],Delivery[[Delivery ID]:[Quantity delivered]],3,FALSE)</f>
        <v>0.11947153192827933</v>
      </c>
      <c r="V2695" s="34" t="e">
        <f>VLOOKUP(Allocation[[#This Row],[SAP Contract number]],Shipments[[SAP Contract number]:[Contracted container weight]],2,FALSE)</f>
        <v>#N/A</v>
      </c>
      <c r="W2695" s="34" t="e">
        <f>VLOOKUP(Allocation[[#This Row],[SAP Contract number]],Shipments[[SAP Contract number]:[AAA Premium USD]],24,FALSE)</f>
        <v>#N/A</v>
      </c>
      <c r="X2695" s="34" t="e">
        <f>VLOOKUP(Allocation[[#This Row],[SAP Contract number]],Shipments[[SAP Contract number]:[RA Premium USD]],25,FALSE)</f>
        <v>#N/A</v>
      </c>
      <c r="Y2695" s="38">
        <f>Allocation[[#This Row],[Quantity Processed]]/Allocation[[#This Row],[Quantity allocated]]</f>
        <v>1.9230379746835442</v>
      </c>
      <c r="Z2695" s="34" t="b">
        <f>Allocation[[#This Row],[Quantity allocated]]&lt;=Allocation[[#This Row],[Quantity Processed]]</f>
        <v>1</v>
      </c>
    </row>
    <row r="2696" spans="1:26">
      <c r="A2696" s="247" t="s">
        <v>467</v>
      </c>
      <c r="B2696" s="210" t="s">
        <v>68</v>
      </c>
      <c r="C2696" s="254" t="s">
        <v>2192</v>
      </c>
      <c r="D2696" s="255">
        <v>3803</v>
      </c>
      <c r="E2696" s="211" t="s">
        <v>2239</v>
      </c>
      <c r="F2696" s="212">
        <v>43712</v>
      </c>
      <c r="G2696" s="213">
        <v>1.84</v>
      </c>
      <c r="H2696" s="256">
        <v>1978</v>
      </c>
      <c r="I2696" s="214">
        <v>1490123</v>
      </c>
      <c r="J2696" s="215">
        <v>21000</v>
      </c>
      <c r="K2696" s="212">
        <v>43721</v>
      </c>
      <c r="L2696" s="211" t="s">
        <v>2244</v>
      </c>
      <c r="M2696" s="216">
        <v>4615450207</v>
      </c>
      <c r="N2696" s="212"/>
      <c r="O2696" s="218"/>
      <c r="P2696" s="219"/>
      <c r="Q2696" s="34">
        <f>SUMIF(Allocation[Delivery ID],Allocation[[#This Row],[Delivery ID]],Allocation[Quantity Processed])</f>
        <v>3803</v>
      </c>
      <c r="R2696" s="61">
        <f>Allocation[[#This Row],[Total volume used]]/VLOOKUP(Allocation[[#This Row],[Delivery ID]],Delivery[[Delivery ID]:[Quantity delivered]],3,FALSE)</f>
        <v>0.119478479421929</v>
      </c>
      <c r="S2696" s="34">
        <f>Allocation[[#This Row],[Quantity Processed]]/Allocation[[#This Row],[Dilution rate]]</f>
        <v>2066.8478260869565</v>
      </c>
      <c r="T2696" s="59">
        <f>SUMIF(Allocation[Delivery ID],Allocation[[#This Row],[Delivery ID]],Allocation[Quantity allocated])/SUMIF(Allocation[Delivery ID],Allocation[[#This Row],[Delivery ID]],Allocation[Volume available (kg)])</f>
        <v>0.95701288456481726</v>
      </c>
      <c r="U2696" s="61">
        <f>Allocation[[#This Row],[Total volume used]]/VLOOKUP(Allocation[[#This Row],[Delivery ID]],Delivery[[Delivery ID]:[Quantity delivered]],3,FALSE)</f>
        <v>0.119478479421929</v>
      </c>
      <c r="V2696" s="34" t="e">
        <f>VLOOKUP(Allocation[[#This Row],[SAP Contract number]],Shipments[[SAP Contract number]:[Contracted container weight]],2,FALSE)</f>
        <v>#N/A</v>
      </c>
      <c r="W2696" s="34" t="e">
        <f>VLOOKUP(Allocation[[#This Row],[SAP Contract number]],Shipments[[SAP Contract number]:[AAA Premium USD]],24,FALSE)</f>
        <v>#N/A</v>
      </c>
      <c r="X2696" s="34" t="e">
        <f>VLOOKUP(Allocation[[#This Row],[SAP Contract number]],Shipments[[SAP Contract number]:[RA Premium USD]],25,FALSE)</f>
        <v>#N/A</v>
      </c>
      <c r="Y2696" s="38">
        <f>Allocation[[#This Row],[Quantity Processed]]/Allocation[[#This Row],[Quantity allocated]]</f>
        <v>1.922649140546006</v>
      </c>
      <c r="Z2696" s="34" t="b">
        <f>Allocation[[#This Row],[Quantity allocated]]&lt;=Allocation[[#This Row],[Quantity Processed]]</f>
        <v>1</v>
      </c>
    </row>
    <row r="2697" spans="1:26">
      <c r="A2697" s="247" t="s">
        <v>467</v>
      </c>
      <c r="B2697" s="210" t="s">
        <v>68</v>
      </c>
      <c r="C2697" s="254" t="s">
        <v>2069</v>
      </c>
      <c r="D2697" s="255">
        <v>880</v>
      </c>
      <c r="E2697" s="211" t="s">
        <v>2239</v>
      </c>
      <c r="F2697" s="212">
        <v>43712</v>
      </c>
      <c r="G2697" s="213">
        <v>1.84</v>
      </c>
      <c r="H2697" s="256">
        <v>291</v>
      </c>
      <c r="I2697" s="214">
        <v>1490123</v>
      </c>
      <c r="J2697" s="215">
        <v>21000</v>
      </c>
      <c r="K2697" s="212">
        <v>43721</v>
      </c>
      <c r="L2697" s="211" t="s">
        <v>2244</v>
      </c>
      <c r="M2697" s="216">
        <v>4615450207</v>
      </c>
      <c r="N2697" s="212"/>
      <c r="O2697" s="218"/>
      <c r="P2697" s="219"/>
      <c r="Q2697" s="34">
        <f>SUMIF(Allocation[Delivery ID],Allocation[[#This Row],[Delivery ID]],Allocation[Quantity Processed])</f>
        <v>3895</v>
      </c>
      <c r="R2697" s="61">
        <f>Allocation[[#This Row],[Total volume used]]/VLOOKUP(Allocation[[#This Row],[Delivery ID]],Delivery[[Delivery ID]:[Quantity delivered]],3,FALSE)</f>
        <v>0.18565300285986655</v>
      </c>
      <c r="S2697" s="34">
        <f>Allocation[[#This Row],[Quantity Processed]]/Allocation[[#This Row],[Dilution rate]]</f>
        <v>478.26086956521738</v>
      </c>
      <c r="T2697" s="59">
        <f>SUMIF(Allocation[Delivery ID],Allocation[[#This Row],[Delivery ID]],Allocation[Quantity allocated])/SUMIF(Allocation[Delivery ID],Allocation[[#This Row],[Delivery ID]],Allocation[Volume available (kg)])</f>
        <v>0.65251526238191448</v>
      </c>
      <c r="U2697" s="61">
        <f>Allocation[[#This Row],[Total volume used]]/VLOOKUP(Allocation[[#This Row],[Delivery ID]],Delivery[[Delivery ID]:[Quantity delivered]],3,FALSE)</f>
        <v>0.18565300285986655</v>
      </c>
      <c r="V2697" s="34" t="e">
        <f>VLOOKUP(Allocation[[#This Row],[SAP Contract number]],Shipments[[SAP Contract number]:[Contracted container weight]],2,FALSE)</f>
        <v>#N/A</v>
      </c>
      <c r="W2697" s="34" t="e">
        <f>VLOOKUP(Allocation[[#This Row],[SAP Contract number]],Shipments[[SAP Contract number]:[AAA Premium USD]],24,FALSE)</f>
        <v>#N/A</v>
      </c>
      <c r="X2697" s="34" t="e">
        <f>VLOOKUP(Allocation[[#This Row],[SAP Contract number]],Shipments[[SAP Contract number]:[RA Premium USD]],25,FALSE)</f>
        <v>#N/A</v>
      </c>
      <c r="Y2697" s="38">
        <f>Allocation[[#This Row],[Quantity Processed]]/Allocation[[#This Row],[Quantity allocated]]</f>
        <v>3.0240549828178693</v>
      </c>
      <c r="Z2697" s="34" t="b">
        <f>Allocation[[#This Row],[Quantity allocated]]&lt;=Allocation[[#This Row],[Quantity Processed]]</f>
        <v>1</v>
      </c>
    </row>
    <row r="2698" spans="1:26">
      <c r="A2698" s="247" t="s">
        <v>467</v>
      </c>
      <c r="B2698" s="210" t="s">
        <v>68</v>
      </c>
      <c r="C2698" s="254" t="s">
        <v>2193</v>
      </c>
      <c r="D2698" s="255">
        <v>4440</v>
      </c>
      <c r="E2698" s="211" t="s">
        <v>2239</v>
      </c>
      <c r="F2698" s="212">
        <v>43712</v>
      </c>
      <c r="G2698" s="213">
        <v>1.84</v>
      </c>
      <c r="H2698" s="256">
        <v>2309</v>
      </c>
      <c r="I2698" s="214">
        <v>1490123</v>
      </c>
      <c r="J2698" s="215">
        <v>21000</v>
      </c>
      <c r="K2698" s="212">
        <v>43721</v>
      </c>
      <c r="L2698" s="211" t="s">
        <v>2244</v>
      </c>
      <c r="M2698" s="216">
        <v>4615450207</v>
      </c>
      <c r="N2698" s="212"/>
      <c r="O2698" s="218"/>
      <c r="P2698" s="219"/>
      <c r="Q2698" s="34">
        <f>SUMIF(Allocation[Delivery ID],Allocation[[#This Row],[Delivery ID]],Allocation[Quantity Processed])</f>
        <v>4440</v>
      </c>
      <c r="R2698" s="61">
        <f>Allocation[[#This Row],[Total volume used]]/VLOOKUP(Allocation[[#This Row],[Delivery ID]],Delivery[[Delivery ID]:[Quantity delivered]],3,FALSE)</f>
        <v>0.11948331539289558</v>
      </c>
      <c r="S2698" s="34">
        <f>Allocation[[#This Row],[Quantity Processed]]/Allocation[[#This Row],[Dilution rate]]</f>
        <v>2413.0434782608695</v>
      </c>
      <c r="T2698" s="59">
        <f>SUMIF(Allocation[Delivery ID],Allocation[[#This Row],[Delivery ID]],Allocation[Quantity allocated])/SUMIF(Allocation[Delivery ID],Allocation[[#This Row],[Delivery ID]],Allocation[Volume available (kg)])</f>
        <v>0.95688288288288292</v>
      </c>
      <c r="U2698" s="61">
        <f>Allocation[[#This Row],[Total volume used]]/VLOOKUP(Allocation[[#This Row],[Delivery ID]],Delivery[[Delivery ID]:[Quantity delivered]],3,FALSE)</f>
        <v>0.11948331539289558</v>
      </c>
      <c r="V2698" s="34" t="e">
        <f>VLOOKUP(Allocation[[#This Row],[SAP Contract number]],Shipments[[SAP Contract number]:[Contracted container weight]],2,FALSE)</f>
        <v>#N/A</v>
      </c>
      <c r="W2698" s="34" t="e">
        <f>VLOOKUP(Allocation[[#This Row],[SAP Contract number]],Shipments[[SAP Contract number]:[AAA Premium USD]],24,FALSE)</f>
        <v>#N/A</v>
      </c>
      <c r="X2698" s="34" t="e">
        <f>VLOOKUP(Allocation[[#This Row],[SAP Contract number]],Shipments[[SAP Contract number]:[RA Premium USD]],25,FALSE)</f>
        <v>#N/A</v>
      </c>
      <c r="Y2698" s="38">
        <f>Allocation[[#This Row],[Quantity Processed]]/Allocation[[#This Row],[Quantity allocated]]</f>
        <v>1.9229103508012126</v>
      </c>
      <c r="Z2698" s="34" t="b">
        <f>Allocation[[#This Row],[Quantity allocated]]&lt;=Allocation[[#This Row],[Quantity Processed]]</f>
        <v>1</v>
      </c>
    </row>
    <row r="2699" spans="1:26">
      <c r="A2699" s="247" t="s">
        <v>467</v>
      </c>
      <c r="B2699" s="210" t="s">
        <v>68</v>
      </c>
      <c r="C2699" s="254" t="s">
        <v>2194</v>
      </c>
      <c r="D2699" s="255">
        <v>3800</v>
      </c>
      <c r="E2699" s="211" t="s">
        <v>2239</v>
      </c>
      <c r="F2699" s="212">
        <v>43712</v>
      </c>
      <c r="G2699" s="213">
        <v>1.84</v>
      </c>
      <c r="H2699" s="256">
        <v>1976</v>
      </c>
      <c r="I2699" s="214">
        <v>1490123</v>
      </c>
      <c r="J2699" s="215">
        <v>21000</v>
      </c>
      <c r="K2699" s="212">
        <v>43721</v>
      </c>
      <c r="L2699" s="211" t="s">
        <v>2244</v>
      </c>
      <c r="M2699" s="216">
        <v>4615450207</v>
      </c>
      <c r="N2699" s="212"/>
      <c r="O2699" s="218"/>
      <c r="P2699" s="219"/>
      <c r="Q2699" s="34">
        <f>SUMIF(Allocation[Delivery ID],Allocation[[#This Row],[Delivery ID]],Allocation[Quantity Processed])</f>
        <v>3800</v>
      </c>
      <c r="R2699" s="61">
        <f>Allocation[[#This Row],[Total volume used]]/VLOOKUP(Allocation[[#This Row],[Delivery ID]],Delivery[[Delivery ID]:[Quantity delivered]],3,FALSE)</f>
        <v>0.11949685534591195</v>
      </c>
      <c r="S2699" s="34">
        <f>Allocation[[#This Row],[Quantity Processed]]/Allocation[[#This Row],[Dilution rate]]</f>
        <v>2065.2173913043475</v>
      </c>
      <c r="T2699" s="59">
        <f>SUMIF(Allocation[Delivery ID],Allocation[[#This Row],[Delivery ID]],Allocation[Quantity allocated])/SUMIF(Allocation[Delivery ID],Allocation[[#This Row],[Delivery ID]],Allocation[Volume available (kg)])</f>
        <v>0.95680000000000009</v>
      </c>
      <c r="U2699" s="61">
        <f>Allocation[[#This Row],[Total volume used]]/VLOOKUP(Allocation[[#This Row],[Delivery ID]],Delivery[[Delivery ID]:[Quantity delivered]],3,FALSE)</f>
        <v>0.11949685534591195</v>
      </c>
      <c r="V2699" s="34" t="e">
        <f>VLOOKUP(Allocation[[#This Row],[SAP Contract number]],Shipments[[SAP Contract number]:[Contracted container weight]],2,FALSE)</f>
        <v>#N/A</v>
      </c>
      <c r="W2699" s="34" t="e">
        <f>VLOOKUP(Allocation[[#This Row],[SAP Contract number]],Shipments[[SAP Contract number]:[AAA Premium USD]],24,FALSE)</f>
        <v>#N/A</v>
      </c>
      <c r="X2699" s="34" t="e">
        <f>VLOOKUP(Allocation[[#This Row],[SAP Contract number]],Shipments[[SAP Contract number]:[RA Premium USD]],25,FALSE)</f>
        <v>#N/A</v>
      </c>
      <c r="Y2699" s="38">
        <f>Allocation[[#This Row],[Quantity Processed]]/Allocation[[#This Row],[Quantity allocated]]</f>
        <v>1.9230769230769231</v>
      </c>
      <c r="Z2699" s="34" t="b">
        <f>Allocation[[#This Row],[Quantity allocated]]&lt;=Allocation[[#This Row],[Quantity Processed]]</f>
        <v>1</v>
      </c>
    </row>
    <row r="2700" spans="1:26">
      <c r="A2700" s="247" t="s">
        <v>467</v>
      </c>
      <c r="B2700" s="210" t="s">
        <v>68</v>
      </c>
      <c r="C2700" s="254" t="s">
        <v>2195</v>
      </c>
      <c r="D2700" s="255">
        <v>3306</v>
      </c>
      <c r="E2700" s="211" t="s">
        <v>2239</v>
      </c>
      <c r="F2700" s="212">
        <v>43712</v>
      </c>
      <c r="G2700" s="213">
        <v>1.84</v>
      </c>
      <c r="H2700" s="256">
        <v>1719</v>
      </c>
      <c r="I2700" s="214">
        <v>1490123</v>
      </c>
      <c r="J2700" s="215">
        <v>21000</v>
      </c>
      <c r="K2700" s="212">
        <v>43721</v>
      </c>
      <c r="L2700" s="211" t="s">
        <v>2244</v>
      </c>
      <c r="M2700" s="216">
        <v>4615450207</v>
      </c>
      <c r="N2700" s="212"/>
      <c r="O2700" s="218"/>
      <c r="P2700" s="219"/>
      <c r="Q2700" s="34">
        <f>SUMIF(Allocation[Delivery ID],Allocation[[#This Row],[Delivery ID]],Allocation[Quantity Processed])</f>
        <v>3879</v>
      </c>
      <c r="R2700" s="61">
        <f>Allocation[[#This Row],[Total volume used]]/VLOOKUP(Allocation[[#This Row],[Delivery ID]],Delivery[[Delivery ID]:[Quantity delivered]],3,FALSE)</f>
        <v>0.12209631728045325</v>
      </c>
      <c r="S2700" s="34">
        <f>Allocation[[#This Row],[Quantity Processed]]/Allocation[[#This Row],[Dilution rate]]</f>
        <v>1796.7391304347825</v>
      </c>
      <c r="T2700" s="59">
        <f>SUMIF(Allocation[Delivery ID],Allocation[[#This Row],[Delivery ID]],Allocation[Quantity allocated])/SUMIF(Allocation[Delivery ID],Allocation[[#This Row],[Delivery ID]],Allocation[Volume available (kg)])</f>
        <v>1.0307605052848672</v>
      </c>
      <c r="U2700" s="61">
        <f>Allocation[[#This Row],[Total volume used]]/VLOOKUP(Allocation[[#This Row],[Delivery ID]],Delivery[[Delivery ID]:[Quantity delivered]],3,FALSE)</f>
        <v>0.12209631728045325</v>
      </c>
      <c r="V2700" s="34" t="e">
        <f>VLOOKUP(Allocation[[#This Row],[SAP Contract number]],Shipments[[SAP Contract number]:[Contracted container weight]],2,FALSE)</f>
        <v>#N/A</v>
      </c>
      <c r="W2700" s="34" t="e">
        <f>VLOOKUP(Allocation[[#This Row],[SAP Contract number]],Shipments[[SAP Contract number]:[AAA Premium USD]],24,FALSE)</f>
        <v>#N/A</v>
      </c>
      <c r="X2700" s="34" t="e">
        <f>VLOOKUP(Allocation[[#This Row],[SAP Contract number]],Shipments[[SAP Contract number]:[RA Premium USD]],25,FALSE)</f>
        <v>#N/A</v>
      </c>
      <c r="Y2700" s="38">
        <f>Allocation[[#This Row],[Quantity Processed]]/Allocation[[#This Row],[Quantity allocated]]</f>
        <v>1.9232111692844678</v>
      </c>
      <c r="Z2700" s="34" t="b">
        <f>Allocation[[#This Row],[Quantity allocated]]&lt;=Allocation[[#This Row],[Quantity Processed]]</f>
        <v>1</v>
      </c>
    </row>
    <row r="2701" spans="1:26">
      <c r="A2701" s="247" t="s">
        <v>467</v>
      </c>
      <c r="B2701" s="210" t="s">
        <v>68</v>
      </c>
      <c r="C2701" s="254" t="s">
        <v>2195</v>
      </c>
      <c r="D2701" s="255">
        <v>573</v>
      </c>
      <c r="E2701" s="211" t="s">
        <v>2239</v>
      </c>
      <c r="F2701" s="212">
        <v>43712</v>
      </c>
      <c r="G2701" s="213">
        <v>1.84</v>
      </c>
      <c r="H2701" s="256">
        <v>454</v>
      </c>
      <c r="I2701" s="214">
        <v>1490124</v>
      </c>
      <c r="J2701" s="215">
        <v>21000</v>
      </c>
      <c r="K2701" s="212">
        <v>43721</v>
      </c>
      <c r="L2701" s="211" t="s">
        <v>2245</v>
      </c>
      <c r="M2701" s="216">
        <v>4615450207</v>
      </c>
      <c r="N2701" s="212"/>
      <c r="O2701" s="218"/>
      <c r="P2701" s="219"/>
      <c r="Q2701" s="34">
        <f>SUMIF(Allocation[Delivery ID],Allocation[[#This Row],[Delivery ID]],Allocation[Quantity Processed])</f>
        <v>3879</v>
      </c>
      <c r="R2701" s="61">
        <f>Allocation[[#This Row],[Total volume used]]/VLOOKUP(Allocation[[#This Row],[Delivery ID]],Delivery[[Delivery ID]:[Quantity delivered]],3,FALSE)</f>
        <v>0.12209631728045325</v>
      </c>
      <c r="S2701" s="34">
        <f>Allocation[[#This Row],[Quantity Processed]]/Allocation[[#This Row],[Dilution rate]]</f>
        <v>311.41304347826087</v>
      </c>
      <c r="T2701" s="59">
        <f>SUMIF(Allocation[Delivery ID],Allocation[[#This Row],[Delivery ID]],Allocation[Quantity allocated])/SUMIF(Allocation[Delivery ID],Allocation[[#This Row],[Delivery ID]],Allocation[Volume available (kg)])</f>
        <v>1.0307605052848672</v>
      </c>
      <c r="U2701" s="61">
        <f>Allocation[[#This Row],[Total volume used]]/VLOOKUP(Allocation[[#This Row],[Delivery ID]],Delivery[[Delivery ID]:[Quantity delivered]],3,FALSE)</f>
        <v>0.12209631728045325</v>
      </c>
      <c r="V2701" s="34" t="e">
        <f>VLOOKUP(Allocation[[#This Row],[SAP Contract number]],Shipments[[SAP Contract number]:[Contracted container weight]],2,FALSE)</f>
        <v>#N/A</v>
      </c>
      <c r="W2701" s="34" t="e">
        <f>VLOOKUP(Allocation[[#This Row],[SAP Contract number]],Shipments[[SAP Contract number]:[AAA Premium USD]],24,FALSE)</f>
        <v>#N/A</v>
      </c>
      <c r="X2701" s="34" t="e">
        <f>VLOOKUP(Allocation[[#This Row],[SAP Contract number]],Shipments[[SAP Contract number]:[RA Premium USD]],25,FALSE)</f>
        <v>#N/A</v>
      </c>
      <c r="Y2701" s="38">
        <f>Allocation[[#This Row],[Quantity Processed]]/Allocation[[#This Row],[Quantity allocated]]</f>
        <v>1.2621145374449338</v>
      </c>
      <c r="Z2701" s="34" t="b">
        <f>Allocation[[#This Row],[Quantity allocated]]&lt;=Allocation[[#This Row],[Quantity Processed]]</f>
        <v>1</v>
      </c>
    </row>
    <row r="2702" spans="1:26">
      <c r="A2702" s="247" t="s">
        <v>467</v>
      </c>
      <c r="B2702" s="210" t="s">
        <v>68</v>
      </c>
      <c r="C2702" s="254" t="s">
        <v>2196</v>
      </c>
      <c r="D2702" s="255">
        <v>4327</v>
      </c>
      <c r="E2702" s="211" t="s">
        <v>2239</v>
      </c>
      <c r="F2702" s="212">
        <v>43712</v>
      </c>
      <c r="G2702" s="213">
        <v>1.84</v>
      </c>
      <c r="H2702" s="256">
        <v>2250</v>
      </c>
      <c r="I2702" s="214">
        <v>1490124</v>
      </c>
      <c r="J2702" s="215">
        <v>21000</v>
      </c>
      <c r="K2702" s="212">
        <v>43721</v>
      </c>
      <c r="L2702" s="211" t="s">
        <v>2245</v>
      </c>
      <c r="M2702" s="216">
        <v>4615450207</v>
      </c>
      <c r="N2702" s="212"/>
      <c r="O2702" s="218"/>
      <c r="P2702" s="219"/>
      <c r="Q2702" s="34">
        <f>SUMIF(Allocation[Delivery ID],Allocation[[#This Row],[Delivery ID]],Allocation[Quantity Processed])</f>
        <v>4327</v>
      </c>
      <c r="R2702" s="61">
        <f>Allocation[[#This Row],[Total volume used]]/VLOOKUP(Allocation[[#This Row],[Delivery ID]],Delivery[[Delivery ID]:[Quantity delivered]],3,FALSE)</f>
        <v>0.13611198490091223</v>
      </c>
      <c r="S2702" s="34">
        <f>Allocation[[#This Row],[Quantity Processed]]/Allocation[[#This Row],[Dilution rate]]</f>
        <v>2351.6304347826085</v>
      </c>
      <c r="T2702" s="59">
        <f>SUMIF(Allocation[Delivery ID],Allocation[[#This Row],[Delivery ID]],Allocation[Quantity allocated])/SUMIF(Allocation[Delivery ID],Allocation[[#This Row],[Delivery ID]],Allocation[Volume available (kg)])</f>
        <v>0.95678299052461302</v>
      </c>
      <c r="U2702" s="61">
        <f>Allocation[[#This Row],[Total volume used]]/VLOOKUP(Allocation[[#This Row],[Delivery ID]],Delivery[[Delivery ID]:[Quantity delivered]],3,FALSE)</f>
        <v>0.13611198490091223</v>
      </c>
      <c r="V2702" s="34" t="e">
        <f>VLOOKUP(Allocation[[#This Row],[SAP Contract number]],Shipments[[SAP Contract number]:[Contracted container weight]],2,FALSE)</f>
        <v>#N/A</v>
      </c>
      <c r="W2702" s="34" t="e">
        <f>VLOOKUP(Allocation[[#This Row],[SAP Contract number]],Shipments[[SAP Contract number]:[AAA Premium USD]],24,FALSE)</f>
        <v>#N/A</v>
      </c>
      <c r="X2702" s="34" t="e">
        <f>VLOOKUP(Allocation[[#This Row],[SAP Contract number]],Shipments[[SAP Contract number]:[RA Premium USD]],25,FALSE)</f>
        <v>#N/A</v>
      </c>
      <c r="Y2702" s="38">
        <f>Allocation[[#This Row],[Quantity Processed]]/Allocation[[#This Row],[Quantity allocated]]</f>
        <v>1.9231111111111112</v>
      </c>
      <c r="Z2702" s="34" t="b">
        <f>Allocation[[#This Row],[Quantity allocated]]&lt;=Allocation[[#This Row],[Quantity Processed]]</f>
        <v>1</v>
      </c>
    </row>
    <row r="2703" spans="1:26">
      <c r="A2703" s="247" t="s">
        <v>467</v>
      </c>
      <c r="B2703" s="210" t="s">
        <v>68</v>
      </c>
      <c r="C2703" s="254" t="s">
        <v>2197</v>
      </c>
      <c r="D2703" s="255">
        <v>3788</v>
      </c>
      <c r="E2703" s="211" t="s">
        <v>2239</v>
      </c>
      <c r="F2703" s="212">
        <v>43712</v>
      </c>
      <c r="G2703" s="213">
        <v>1.84</v>
      </c>
      <c r="H2703" s="256">
        <v>1250</v>
      </c>
      <c r="I2703" s="214">
        <v>1490124</v>
      </c>
      <c r="J2703" s="215">
        <v>21000</v>
      </c>
      <c r="K2703" s="212">
        <v>43721</v>
      </c>
      <c r="L2703" s="211" t="s">
        <v>2245</v>
      </c>
      <c r="M2703" s="216">
        <v>4615450207</v>
      </c>
      <c r="N2703" s="212"/>
      <c r="O2703" s="218"/>
      <c r="P2703" s="219"/>
      <c r="Q2703" s="34">
        <f>SUMIF(Allocation[Delivery ID],Allocation[[#This Row],[Delivery ID]],Allocation[Quantity Processed])</f>
        <v>3788</v>
      </c>
      <c r="R2703" s="61">
        <f>Allocation[[#This Row],[Total volume used]]/VLOOKUP(Allocation[[#This Row],[Delivery ID]],Delivery[[Delivery ID]:[Quantity delivered]],3,FALSE)</f>
        <v>0.90190476190476188</v>
      </c>
      <c r="S2703" s="34">
        <f>Allocation[[#This Row],[Quantity Processed]]/Allocation[[#This Row],[Dilution rate]]</f>
        <v>2058.695652173913</v>
      </c>
      <c r="T2703" s="59">
        <f>SUMIF(Allocation[Delivery ID],Allocation[[#This Row],[Delivery ID]],Allocation[Quantity allocated])/SUMIF(Allocation[Delivery ID],Allocation[[#This Row],[Delivery ID]],Allocation[Volume available (kg)])</f>
        <v>0.60718057022175287</v>
      </c>
      <c r="U2703" s="61">
        <f>Allocation[[#This Row],[Total volume used]]/VLOOKUP(Allocation[[#This Row],[Delivery ID]],Delivery[[Delivery ID]:[Quantity delivered]],3,FALSE)</f>
        <v>0.90190476190476188</v>
      </c>
      <c r="V2703" s="34" t="e">
        <f>VLOOKUP(Allocation[[#This Row],[SAP Contract number]],Shipments[[SAP Contract number]:[Contracted container weight]],2,FALSE)</f>
        <v>#N/A</v>
      </c>
      <c r="W2703" s="34" t="e">
        <f>VLOOKUP(Allocation[[#This Row],[SAP Contract number]],Shipments[[SAP Contract number]:[AAA Premium USD]],24,FALSE)</f>
        <v>#N/A</v>
      </c>
      <c r="X2703" s="34" t="e">
        <f>VLOOKUP(Allocation[[#This Row],[SAP Contract number]],Shipments[[SAP Contract number]:[RA Premium USD]],25,FALSE)</f>
        <v>#N/A</v>
      </c>
      <c r="Y2703" s="38">
        <f>Allocation[[#This Row],[Quantity Processed]]/Allocation[[#This Row],[Quantity allocated]]</f>
        <v>3.0304000000000002</v>
      </c>
      <c r="Z2703" s="34" t="b">
        <f>Allocation[[#This Row],[Quantity allocated]]&lt;=Allocation[[#This Row],[Quantity Processed]]</f>
        <v>1</v>
      </c>
    </row>
    <row r="2704" spans="1:26">
      <c r="A2704" s="247" t="s">
        <v>467</v>
      </c>
      <c r="B2704" s="210" t="s">
        <v>68</v>
      </c>
      <c r="C2704" s="254" t="s">
        <v>2198</v>
      </c>
      <c r="D2704" s="255">
        <v>3125</v>
      </c>
      <c r="E2704" s="211" t="s">
        <v>2239</v>
      </c>
      <c r="F2704" s="212">
        <v>43712</v>
      </c>
      <c r="G2704" s="213">
        <v>1.84</v>
      </c>
      <c r="H2704" s="256">
        <v>1250</v>
      </c>
      <c r="I2704" s="214">
        <v>1490124</v>
      </c>
      <c r="J2704" s="215">
        <v>21000</v>
      </c>
      <c r="K2704" s="212">
        <v>43721</v>
      </c>
      <c r="L2704" s="211" t="s">
        <v>2245</v>
      </c>
      <c r="M2704" s="216">
        <v>4615450207</v>
      </c>
      <c r="N2704" s="212"/>
      <c r="O2704" s="218"/>
      <c r="P2704" s="219"/>
      <c r="Q2704" s="34">
        <f>SUMIF(Allocation[Delivery ID],Allocation[[#This Row],[Delivery ID]],Allocation[Quantity Processed])</f>
        <v>3125</v>
      </c>
      <c r="R2704" s="61">
        <f>Allocation[[#This Row],[Total volume used]]/VLOOKUP(Allocation[[#This Row],[Delivery ID]],Delivery[[Delivery ID]:[Quantity delivered]],3,FALSE)</f>
        <v>0.26041666666666669</v>
      </c>
      <c r="S2704" s="34">
        <f>Allocation[[#This Row],[Quantity Processed]]/Allocation[[#This Row],[Dilution rate]]</f>
        <v>1698.3695652173913</v>
      </c>
      <c r="T2704" s="59">
        <f>SUMIF(Allocation[Delivery ID],Allocation[[#This Row],[Delivery ID]],Allocation[Quantity allocated])/SUMIF(Allocation[Delivery ID],Allocation[[#This Row],[Delivery ID]],Allocation[Volume available (kg)])</f>
        <v>0.73599999999999999</v>
      </c>
      <c r="U2704" s="61">
        <f>Allocation[[#This Row],[Total volume used]]/VLOOKUP(Allocation[[#This Row],[Delivery ID]],Delivery[[Delivery ID]:[Quantity delivered]],3,FALSE)</f>
        <v>0.26041666666666669</v>
      </c>
      <c r="V2704" s="34" t="e">
        <f>VLOOKUP(Allocation[[#This Row],[SAP Contract number]],Shipments[[SAP Contract number]:[Contracted container weight]],2,FALSE)</f>
        <v>#N/A</v>
      </c>
      <c r="W2704" s="34" t="e">
        <f>VLOOKUP(Allocation[[#This Row],[SAP Contract number]],Shipments[[SAP Contract number]:[AAA Premium USD]],24,FALSE)</f>
        <v>#N/A</v>
      </c>
      <c r="X2704" s="34" t="e">
        <f>VLOOKUP(Allocation[[#This Row],[SAP Contract number]],Shipments[[SAP Contract number]:[RA Premium USD]],25,FALSE)</f>
        <v>#N/A</v>
      </c>
      <c r="Y2704" s="38">
        <f>Allocation[[#This Row],[Quantity Processed]]/Allocation[[#This Row],[Quantity allocated]]</f>
        <v>2.5</v>
      </c>
      <c r="Z2704" s="34" t="b">
        <f>Allocation[[#This Row],[Quantity allocated]]&lt;=Allocation[[#This Row],[Quantity Processed]]</f>
        <v>1</v>
      </c>
    </row>
    <row r="2705" spans="1:26">
      <c r="A2705" s="247" t="s">
        <v>467</v>
      </c>
      <c r="B2705" s="210" t="s">
        <v>68</v>
      </c>
      <c r="C2705" s="254" t="s">
        <v>2200</v>
      </c>
      <c r="D2705" s="255">
        <v>8125</v>
      </c>
      <c r="E2705" s="211" t="s">
        <v>2239</v>
      </c>
      <c r="F2705" s="212">
        <v>43712</v>
      </c>
      <c r="G2705" s="213">
        <v>1.84</v>
      </c>
      <c r="H2705" s="256">
        <v>3250</v>
      </c>
      <c r="I2705" s="214">
        <v>1490124</v>
      </c>
      <c r="J2705" s="215">
        <v>21000</v>
      </c>
      <c r="K2705" s="212">
        <v>43721</v>
      </c>
      <c r="L2705" s="211" t="s">
        <v>2245</v>
      </c>
      <c r="M2705" s="216">
        <v>4615450207</v>
      </c>
      <c r="N2705" s="212"/>
      <c r="O2705" s="218"/>
      <c r="P2705" s="219"/>
      <c r="Q2705" s="34">
        <f>SUMIF(Allocation[Delivery ID],Allocation[[#This Row],[Delivery ID]],Allocation[Quantity Processed])</f>
        <v>8125</v>
      </c>
      <c r="R2705" s="61">
        <f>Allocation[[#This Row],[Total volume used]]/VLOOKUP(Allocation[[#This Row],[Delivery ID]],Delivery[[Delivery ID]:[Quantity delivered]],3,FALSE)</f>
        <v>0.26984390567917638</v>
      </c>
      <c r="S2705" s="34">
        <f>Allocation[[#This Row],[Quantity Processed]]/Allocation[[#This Row],[Dilution rate]]</f>
        <v>4415.760869565217</v>
      </c>
      <c r="T2705" s="59">
        <f>SUMIF(Allocation[Delivery ID],Allocation[[#This Row],[Delivery ID]],Allocation[Quantity allocated])/SUMIF(Allocation[Delivery ID],Allocation[[#This Row],[Delivery ID]],Allocation[Volume available (kg)])</f>
        <v>0.7360000000000001</v>
      </c>
      <c r="U2705" s="61">
        <f>Allocation[[#This Row],[Total volume used]]/VLOOKUP(Allocation[[#This Row],[Delivery ID]],Delivery[[Delivery ID]:[Quantity delivered]],3,FALSE)</f>
        <v>0.26984390567917638</v>
      </c>
      <c r="V2705" s="34" t="e">
        <f>VLOOKUP(Allocation[[#This Row],[SAP Contract number]],Shipments[[SAP Contract number]:[Contracted container weight]],2,FALSE)</f>
        <v>#N/A</v>
      </c>
      <c r="W2705" s="34" t="e">
        <f>VLOOKUP(Allocation[[#This Row],[SAP Contract number]],Shipments[[SAP Contract number]:[AAA Premium USD]],24,FALSE)</f>
        <v>#N/A</v>
      </c>
      <c r="X2705" s="34" t="e">
        <f>VLOOKUP(Allocation[[#This Row],[SAP Contract number]],Shipments[[SAP Contract number]:[RA Premium USD]],25,FALSE)</f>
        <v>#N/A</v>
      </c>
      <c r="Y2705" s="38">
        <f>Allocation[[#This Row],[Quantity Processed]]/Allocation[[#This Row],[Quantity allocated]]</f>
        <v>2.5</v>
      </c>
      <c r="Z2705" s="34" t="b">
        <f>Allocation[[#This Row],[Quantity allocated]]&lt;=Allocation[[#This Row],[Quantity Processed]]</f>
        <v>1</v>
      </c>
    </row>
    <row r="2706" spans="1:26">
      <c r="A2706" s="247" t="s">
        <v>467</v>
      </c>
      <c r="B2706" s="210" t="s">
        <v>68</v>
      </c>
      <c r="C2706" s="254" t="s">
        <v>2201</v>
      </c>
      <c r="D2706" s="255">
        <v>19914</v>
      </c>
      <c r="E2706" s="211" t="s">
        <v>2239</v>
      </c>
      <c r="F2706" s="212">
        <v>43712</v>
      </c>
      <c r="G2706" s="213">
        <v>1.84</v>
      </c>
      <c r="H2706" s="256">
        <v>12546</v>
      </c>
      <c r="I2706" s="214">
        <v>1490124</v>
      </c>
      <c r="J2706" s="215">
        <v>21000</v>
      </c>
      <c r="K2706" s="212">
        <v>43721</v>
      </c>
      <c r="L2706" s="211" t="s">
        <v>2245</v>
      </c>
      <c r="M2706" s="216">
        <v>4615450207</v>
      </c>
      <c r="N2706" s="212"/>
      <c r="O2706" s="218"/>
      <c r="P2706" s="219"/>
      <c r="Q2706" s="34">
        <f>SUMIF(Allocation[Delivery ID],Allocation[[#This Row],[Delivery ID]],Allocation[Quantity Processed])</f>
        <v>25744</v>
      </c>
      <c r="R2706" s="61">
        <f>Allocation[[#This Row],[Total volume used]]/VLOOKUP(Allocation[[#This Row],[Delivery ID]],Delivery[[Delivery ID]:[Quantity delivered]],3,FALSE)</f>
        <v>0.86042780748663106</v>
      </c>
      <c r="S2706" s="34">
        <f>Allocation[[#This Row],[Quantity Processed]]/Allocation[[#This Row],[Dilution rate]]</f>
        <v>10822.826086956522</v>
      </c>
      <c r="T2706" s="59">
        <f>SUMIF(Allocation[Delivery ID],Allocation[[#This Row],[Delivery ID]],Allocation[Quantity allocated])/SUMIF(Allocation[Delivery ID],Allocation[[#This Row],[Delivery ID]],Allocation[Volume available (kg)])</f>
        <v>1.1592200124300807</v>
      </c>
      <c r="U2706" s="61">
        <f>Allocation[[#This Row],[Total volume used]]/VLOOKUP(Allocation[[#This Row],[Delivery ID]],Delivery[[Delivery ID]:[Quantity delivered]],3,FALSE)</f>
        <v>0.86042780748663106</v>
      </c>
      <c r="V2706" s="34" t="e">
        <f>VLOOKUP(Allocation[[#This Row],[SAP Contract number]],Shipments[[SAP Contract number]:[Contracted container weight]],2,FALSE)</f>
        <v>#N/A</v>
      </c>
      <c r="W2706" s="34" t="e">
        <f>VLOOKUP(Allocation[[#This Row],[SAP Contract number]],Shipments[[SAP Contract number]:[AAA Premium USD]],24,FALSE)</f>
        <v>#N/A</v>
      </c>
      <c r="X2706" s="34" t="e">
        <f>VLOOKUP(Allocation[[#This Row],[SAP Contract number]],Shipments[[SAP Contract number]:[RA Premium USD]],25,FALSE)</f>
        <v>#N/A</v>
      </c>
      <c r="Y2706" s="38">
        <f>Allocation[[#This Row],[Quantity Processed]]/Allocation[[#This Row],[Quantity allocated]]</f>
        <v>1.5872788139646101</v>
      </c>
      <c r="Z2706" s="34" t="b">
        <f>Allocation[[#This Row],[Quantity allocated]]&lt;=Allocation[[#This Row],[Quantity Processed]]</f>
        <v>1</v>
      </c>
    </row>
    <row r="2707" spans="1:26">
      <c r="A2707" s="247" t="s">
        <v>467</v>
      </c>
      <c r="B2707" s="210" t="s">
        <v>68</v>
      </c>
      <c r="C2707" s="254" t="s">
        <v>2201</v>
      </c>
      <c r="D2707" s="255">
        <v>5830</v>
      </c>
      <c r="E2707" s="211" t="s">
        <v>2239</v>
      </c>
      <c r="F2707" s="212">
        <v>43712</v>
      </c>
      <c r="G2707" s="213">
        <v>1.84</v>
      </c>
      <c r="H2707" s="256">
        <v>3673</v>
      </c>
      <c r="I2707" s="214">
        <v>1490125</v>
      </c>
      <c r="J2707" s="215">
        <v>21000</v>
      </c>
      <c r="K2707" s="212">
        <v>43721</v>
      </c>
      <c r="L2707" s="211" t="s">
        <v>2246</v>
      </c>
      <c r="M2707" s="216">
        <v>4615450207</v>
      </c>
      <c r="N2707" s="212"/>
      <c r="O2707" s="218"/>
      <c r="P2707" s="219"/>
      <c r="Q2707" s="34">
        <f>SUMIF(Allocation[Delivery ID],Allocation[[#This Row],[Delivery ID]],Allocation[Quantity Processed])</f>
        <v>25744</v>
      </c>
      <c r="R2707" s="61">
        <f>Allocation[[#This Row],[Total volume used]]/VLOOKUP(Allocation[[#This Row],[Delivery ID]],Delivery[[Delivery ID]:[Quantity delivered]],3,FALSE)</f>
        <v>0.86042780748663106</v>
      </c>
      <c r="S2707" s="34">
        <f>Allocation[[#This Row],[Quantity Processed]]/Allocation[[#This Row],[Dilution rate]]</f>
        <v>3168.478260869565</v>
      </c>
      <c r="T2707" s="59">
        <f>SUMIF(Allocation[Delivery ID],Allocation[[#This Row],[Delivery ID]],Allocation[Quantity allocated])/SUMIF(Allocation[Delivery ID],Allocation[[#This Row],[Delivery ID]],Allocation[Volume available (kg)])</f>
        <v>1.1592200124300807</v>
      </c>
      <c r="U2707" s="61">
        <f>Allocation[[#This Row],[Total volume used]]/VLOOKUP(Allocation[[#This Row],[Delivery ID]],Delivery[[Delivery ID]:[Quantity delivered]],3,FALSE)</f>
        <v>0.86042780748663106</v>
      </c>
      <c r="V2707" s="34" t="e">
        <f>VLOOKUP(Allocation[[#This Row],[SAP Contract number]],Shipments[[SAP Contract number]:[Contracted container weight]],2,FALSE)</f>
        <v>#N/A</v>
      </c>
      <c r="W2707" s="34" t="e">
        <f>VLOOKUP(Allocation[[#This Row],[SAP Contract number]],Shipments[[SAP Contract number]:[AAA Premium USD]],24,FALSE)</f>
        <v>#N/A</v>
      </c>
      <c r="X2707" s="34" t="e">
        <f>VLOOKUP(Allocation[[#This Row],[SAP Contract number]],Shipments[[SAP Contract number]:[RA Premium USD]],25,FALSE)</f>
        <v>#N/A</v>
      </c>
      <c r="Y2707" s="38">
        <f>Allocation[[#This Row],[Quantity Processed]]/Allocation[[#This Row],[Quantity allocated]]</f>
        <v>1.5872583719030766</v>
      </c>
      <c r="Z2707" s="34" t="b">
        <f>Allocation[[#This Row],[Quantity allocated]]&lt;=Allocation[[#This Row],[Quantity Processed]]</f>
        <v>1</v>
      </c>
    </row>
    <row r="2708" spans="1:26">
      <c r="A2708" s="247" t="s">
        <v>467</v>
      </c>
      <c r="B2708" s="210" t="s">
        <v>68</v>
      </c>
      <c r="C2708" s="254" t="s">
        <v>2202</v>
      </c>
      <c r="D2708" s="255">
        <v>25760</v>
      </c>
      <c r="E2708" s="211" t="s">
        <v>2239</v>
      </c>
      <c r="F2708" s="212">
        <v>43712</v>
      </c>
      <c r="G2708" s="213">
        <v>1.84</v>
      </c>
      <c r="H2708" s="256">
        <v>16229</v>
      </c>
      <c r="I2708" s="214">
        <v>1490125</v>
      </c>
      <c r="J2708" s="215">
        <v>21000</v>
      </c>
      <c r="K2708" s="212">
        <v>43721</v>
      </c>
      <c r="L2708" s="211" t="s">
        <v>2246</v>
      </c>
      <c r="M2708" s="216">
        <v>4615450207</v>
      </c>
      <c r="N2708" s="212"/>
      <c r="O2708" s="218"/>
      <c r="P2708" s="219"/>
      <c r="Q2708" s="34">
        <f>SUMIF(Allocation[Delivery ID],Allocation[[#This Row],[Delivery ID]],Allocation[Quantity Processed])</f>
        <v>25760</v>
      </c>
      <c r="R2708" s="61">
        <f>Allocation[[#This Row],[Total volume used]]/VLOOKUP(Allocation[[#This Row],[Delivery ID]],Delivery[[Delivery ID]:[Quantity delivered]],3,FALSE)</f>
        <v>0.8606749081189442</v>
      </c>
      <c r="S2708" s="34">
        <f>Allocation[[#This Row],[Quantity Processed]]/Allocation[[#This Row],[Dilution rate]]</f>
        <v>14000</v>
      </c>
      <c r="T2708" s="59">
        <f>SUMIF(Allocation[Delivery ID],Allocation[[#This Row],[Delivery ID]],Allocation[Quantity allocated])/SUMIF(Allocation[Delivery ID],Allocation[[#This Row],[Delivery ID]],Allocation[Volume available (kg)])</f>
        <v>1.1592142857142858</v>
      </c>
      <c r="U2708" s="61">
        <f>Allocation[[#This Row],[Total volume used]]/VLOOKUP(Allocation[[#This Row],[Delivery ID]],Delivery[[Delivery ID]:[Quantity delivered]],3,FALSE)</f>
        <v>0.8606749081189442</v>
      </c>
      <c r="V2708" s="34" t="e">
        <f>VLOOKUP(Allocation[[#This Row],[SAP Contract number]],Shipments[[SAP Contract number]:[Contracted container weight]],2,FALSE)</f>
        <v>#N/A</v>
      </c>
      <c r="W2708" s="34" t="e">
        <f>VLOOKUP(Allocation[[#This Row],[SAP Contract number]],Shipments[[SAP Contract number]:[AAA Premium USD]],24,FALSE)</f>
        <v>#N/A</v>
      </c>
      <c r="X2708" s="34" t="e">
        <f>VLOOKUP(Allocation[[#This Row],[SAP Contract number]],Shipments[[SAP Contract number]:[RA Premium USD]],25,FALSE)</f>
        <v>#N/A</v>
      </c>
      <c r="Y2708" s="38">
        <f>Allocation[[#This Row],[Quantity Processed]]/Allocation[[#This Row],[Quantity allocated]]</f>
        <v>1.5872820260028344</v>
      </c>
      <c r="Z2708" s="34" t="b">
        <f>Allocation[[#This Row],[Quantity allocated]]&lt;=Allocation[[#This Row],[Quantity Processed]]</f>
        <v>1</v>
      </c>
    </row>
    <row r="2709" spans="1:26">
      <c r="A2709" s="247" t="s">
        <v>467</v>
      </c>
      <c r="B2709" s="210" t="s">
        <v>68</v>
      </c>
      <c r="C2709" s="254" t="s">
        <v>2203</v>
      </c>
      <c r="D2709" s="255">
        <v>1743</v>
      </c>
      <c r="E2709" s="211" t="s">
        <v>2239</v>
      </c>
      <c r="F2709" s="212">
        <v>43712</v>
      </c>
      <c r="G2709" s="213">
        <v>1.84</v>
      </c>
      <c r="H2709" s="256">
        <v>1098</v>
      </c>
      <c r="I2709" s="214">
        <v>1490125</v>
      </c>
      <c r="J2709" s="215">
        <v>21000</v>
      </c>
      <c r="K2709" s="212">
        <v>43721</v>
      </c>
      <c r="L2709" s="211" t="s">
        <v>2246</v>
      </c>
      <c r="M2709" s="216">
        <v>4615450207</v>
      </c>
      <c r="N2709" s="212"/>
      <c r="O2709" s="218"/>
      <c r="P2709" s="219"/>
      <c r="Q2709" s="34">
        <f>SUMIF(Allocation[Delivery ID],Allocation[[#This Row],[Delivery ID]],Allocation[Quantity Processed])</f>
        <v>26271</v>
      </c>
      <c r="R2709" s="61">
        <f>Allocation[[#This Row],[Total volume used]]/VLOOKUP(Allocation[[#This Row],[Delivery ID]],Delivery[[Delivery ID]:[Quantity delivered]],3,FALSE)</f>
        <v>0.86077981651376145</v>
      </c>
      <c r="S2709" s="34">
        <f>Allocation[[#This Row],[Quantity Processed]]/Allocation[[#This Row],[Dilution rate]]</f>
        <v>947.28260869565213</v>
      </c>
      <c r="T2709" s="59">
        <f>SUMIF(Allocation[Delivery ID],Allocation[[#This Row],[Delivery ID]],Allocation[Quantity allocated])/SUMIF(Allocation[Delivery ID],Allocation[[#This Row],[Delivery ID]],Allocation[Volume available (kg)])</f>
        <v>1.1592189105858171</v>
      </c>
      <c r="U2709" s="61">
        <f>Allocation[[#This Row],[Total volume used]]/VLOOKUP(Allocation[[#This Row],[Delivery ID]],Delivery[[Delivery ID]:[Quantity delivered]],3,FALSE)</f>
        <v>0.86077981651376145</v>
      </c>
      <c r="V2709" s="34" t="e">
        <f>VLOOKUP(Allocation[[#This Row],[SAP Contract number]],Shipments[[SAP Contract number]:[Contracted container weight]],2,FALSE)</f>
        <v>#N/A</v>
      </c>
      <c r="W2709" s="34" t="e">
        <f>VLOOKUP(Allocation[[#This Row],[SAP Contract number]],Shipments[[SAP Contract number]:[AAA Premium USD]],24,FALSE)</f>
        <v>#N/A</v>
      </c>
      <c r="X2709" s="34" t="e">
        <f>VLOOKUP(Allocation[[#This Row],[SAP Contract number]],Shipments[[SAP Contract number]:[RA Premium USD]],25,FALSE)</f>
        <v>#N/A</v>
      </c>
      <c r="Y2709" s="38">
        <f>Allocation[[#This Row],[Quantity Processed]]/Allocation[[#This Row],[Quantity allocated]]</f>
        <v>1.5874316939890711</v>
      </c>
      <c r="Z2709" s="34" t="b">
        <f>Allocation[[#This Row],[Quantity allocated]]&lt;=Allocation[[#This Row],[Quantity Processed]]</f>
        <v>1</v>
      </c>
    </row>
    <row r="2710" spans="1:26">
      <c r="A2710" s="247" t="s">
        <v>467</v>
      </c>
      <c r="B2710" s="210" t="s">
        <v>68</v>
      </c>
      <c r="C2710" s="254" t="s">
        <v>2203</v>
      </c>
      <c r="D2710" s="255">
        <v>24528</v>
      </c>
      <c r="E2710" s="211" t="s">
        <v>2239</v>
      </c>
      <c r="F2710" s="212">
        <v>43712</v>
      </c>
      <c r="G2710" s="213">
        <v>1.84</v>
      </c>
      <c r="H2710" s="256">
        <v>15453</v>
      </c>
      <c r="I2710" s="214">
        <v>1490126</v>
      </c>
      <c r="J2710" s="215">
        <v>21000</v>
      </c>
      <c r="K2710" s="212">
        <v>43721</v>
      </c>
      <c r="L2710" s="211" t="s">
        <v>2247</v>
      </c>
      <c r="M2710" s="216">
        <v>4615450207</v>
      </c>
      <c r="N2710" s="212"/>
      <c r="O2710" s="218"/>
      <c r="P2710" s="219"/>
      <c r="Q2710" s="34">
        <f>SUMIF(Allocation[Delivery ID],Allocation[[#This Row],[Delivery ID]],Allocation[Quantity Processed])</f>
        <v>26271</v>
      </c>
      <c r="R2710" s="61">
        <f>Allocation[[#This Row],[Total volume used]]/VLOOKUP(Allocation[[#This Row],[Delivery ID]],Delivery[[Delivery ID]:[Quantity delivered]],3,FALSE)</f>
        <v>0.86077981651376145</v>
      </c>
      <c r="S2710" s="34">
        <f>Allocation[[#This Row],[Quantity Processed]]/Allocation[[#This Row],[Dilution rate]]</f>
        <v>13330.434782608696</v>
      </c>
      <c r="T2710" s="59">
        <f>SUMIF(Allocation[Delivery ID],Allocation[[#This Row],[Delivery ID]],Allocation[Quantity allocated])/SUMIF(Allocation[Delivery ID],Allocation[[#This Row],[Delivery ID]],Allocation[Volume available (kg)])</f>
        <v>1.1592189105858171</v>
      </c>
      <c r="U2710" s="61">
        <f>Allocation[[#This Row],[Total volume used]]/VLOOKUP(Allocation[[#This Row],[Delivery ID]],Delivery[[Delivery ID]:[Quantity delivered]],3,FALSE)</f>
        <v>0.86077981651376145</v>
      </c>
      <c r="V2710" s="34" t="e">
        <f>VLOOKUP(Allocation[[#This Row],[SAP Contract number]],Shipments[[SAP Contract number]:[Contracted container weight]],2,FALSE)</f>
        <v>#N/A</v>
      </c>
      <c r="W2710" s="34" t="e">
        <f>VLOOKUP(Allocation[[#This Row],[SAP Contract number]],Shipments[[SAP Contract number]:[AAA Premium USD]],24,FALSE)</f>
        <v>#N/A</v>
      </c>
      <c r="X2710" s="34" t="e">
        <f>VLOOKUP(Allocation[[#This Row],[SAP Contract number]],Shipments[[SAP Contract number]:[RA Premium USD]],25,FALSE)</f>
        <v>#N/A</v>
      </c>
      <c r="Y2710" s="38">
        <f>Allocation[[#This Row],[Quantity Processed]]/Allocation[[#This Row],[Quantity allocated]]</f>
        <v>1.5872646088138225</v>
      </c>
      <c r="Z2710" s="34" t="b">
        <f>Allocation[[#This Row],[Quantity allocated]]&lt;=Allocation[[#This Row],[Quantity Processed]]</f>
        <v>1</v>
      </c>
    </row>
    <row r="2711" spans="1:26">
      <c r="A2711" s="247" t="s">
        <v>467</v>
      </c>
      <c r="B2711" s="210" t="s">
        <v>68</v>
      </c>
      <c r="C2711" s="254" t="s">
        <v>2204</v>
      </c>
      <c r="D2711" s="255">
        <v>8805</v>
      </c>
      <c r="E2711" s="211" t="s">
        <v>2239</v>
      </c>
      <c r="F2711" s="212">
        <v>43712</v>
      </c>
      <c r="G2711" s="213">
        <v>1.84</v>
      </c>
      <c r="H2711" s="256">
        <v>5547</v>
      </c>
      <c r="I2711" s="214">
        <v>1490126</v>
      </c>
      <c r="J2711" s="215">
        <v>21000</v>
      </c>
      <c r="K2711" s="212">
        <v>43721</v>
      </c>
      <c r="L2711" s="211" t="s">
        <v>2247</v>
      </c>
      <c r="M2711" s="216">
        <v>4615450207</v>
      </c>
      <c r="N2711" s="212"/>
      <c r="O2711" s="218"/>
      <c r="P2711" s="219"/>
      <c r="Q2711" s="34">
        <f>SUMIF(Allocation[Delivery ID],Allocation[[#This Row],[Delivery ID]],Allocation[Quantity Processed])</f>
        <v>26349</v>
      </c>
      <c r="R2711" s="61">
        <f>Allocation[[#This Row],[Total volume used]]/VLOOKUP(Allocation[[#This Row],[Delivery ID]],Delivery[[Delivery ID]:[Quantity delivered]],3,FALSE)</f>
        <v>0.86097995327331844</v>
      </c>
      <c r="S2711" s="34">
        <f>Allocation[[#This Row],[Quantity Processed]]/Allocation[[#This Row],[Dilution rate]]</f>
        <v>4785.326086956522</v>
      </c>
      <c r="T2711" s="59">
        <f>SUMIF(Allocation[Delivery ID],Allocation[[#This Row],[Delivery ID]],Allocation[Quantity allocated])/SUMIF(Allocation[Delivery ID],Allocation[[#This Row],[Delivery ID]],Allocation[Volume available (kg)])</f>
        <v>1.159209078143383</v>
      </c>
      <c r="U2711" s="61">
        <f>Allocation[[#This Row],[Total volume used]]/VLOOKUP(Allocation[[#This Row],[Delivery ID]],Delivery[[Delivery ID]:[Quantity delivered]],3,FALSE)</f>
        <v>0.86097995327331844</v>
      </c>
      <c r="V2711" s="34" t="e">
        <f>VLOOKUP(Allocation[[#This Row],[SAP Contract number]],Shipments[[SAP Contract number]:[Contracted container weight]],2,FALSE)</f>
        <v>#N/A</v>
      </c>
      <c r="W2711" s="34" t="e">
        <f>VLOOKUP(Allocation[[#This Row],[SAP Contract number]],Shipments[[SAP Contract number]:[AAA Premium USD]],24,FALSE)</f>
        <v>#N/A</v>
      </c>
      <c r="X2711" s="34" t="e">
        <f>VLOOKUP(Allocation[[#This Row],[SAP Contract number]],Shipments[[SAP Contract number]:[RA Premium USD]],25,FALSE)</f>
        <v>#N/A</v>
      </c>
      <c r="Y2711" s="38">
        <f>Allocation[[#This Row],[Quantity Processed]]/Allocation[[#This Row],[Quantity allocated]]</f>
        <v>1.5873445105462411</v>
      </c>
      <c r="Z2711" s="34" t="b">
        <f>Allocation[[#This Row],[Quantity allocated]]&lt;=Allocation[[#This Row],[Quantity Processed]]</f>
        <v>1</v>
      </c>
    </row>
    <row r="2712" spans="1:26">
      <c r="A2712" s="247" t="s">
        <v>467</v>
      </c>
      <c r="B2712" s="210" t="s">
        <v>68</v>
      </c>
      <c r="C2712" s="254" t="s">
        <v>2204</v>
      </c>
      <c r="D2712" s="255">
        <v>17544</v>
      </c>
      <c r="E2712" s="211" t="s">
        <v>2239</v>
      </c>
      <c r="F2712" s="212">
        <v>43712</v>
      </c>
      <c r="G2712" s="213">
        <v>1.84</v>
      </c>
      <c r="H2712" s="256">
        <v>11053</v>
      </c>
      <c r="I2712" s="214">
        <v>1490127</v>
      </c>
      <c r="J2712" s="215">
        <v>21000</v>
      </c>
      <c r="K2712" s="212">
        <v>43721</v>
      </c>
      <c r="L2712" s="211" t="s">
        <v>2248</v>
      </c>
      <c r="M2712" s="216">
        <v>4615450207</v>
      </c>
      <c r="N2712" s="212"/>
      <c r="O2712" s="218"/>
      <c r="P2712" s="219"/>
      <c r="Q2712" s="34">
        <f>SUMIF(Allocation[Delivery ID],Allocation[[#This Row],[Delivery ID]],Allocation[Quantity Processed])</f>
        <v>26349</v>
      </c>
      <c r="R2712" s="61">
        <f>Allocation[[#This Row],[Total volume used]]/VLOOKUP(Allocation[[#This Row],[Delivery ID]],Delivery[[Delivery ID]:[Quantity delivered]],3,FALSE)</f>
        <v>0.86097995327331844</v>
      </c>
      <c r="S2712" s="34">
        <f>Allocation[[#This Row],[Quantity Processed]]/Allocation[[#This Row],[Dilution rate]]</f>
        <v>9534.782608695652</v>
      </c>
      <c r="T2712" s="59">
        <f>SUMIF(Allocation[Delivery ID],Allocation[[#This Row],[Delivery ID]],Allocation[Quantity allocated])/SUMIF(Allocation[Delivery ID],Allocation[[#This Row],[Delivery ID]],Allocation[Volume available (kg)])</f>
        <v>1.159209078143383</v>
      </c>
      <c r="U2712" s="61">
        <f>Allocation[[#This Row],[Total volume used]]/VLOOKUP(Allocation[[#This Row],[Delivery ID]],Delivery[[Delivery ID]:[Quantity delivered]],3,FALSE)</f>
        <v>0.86097995327331844</v>
      </c>
      <c r="V2712" s="34" t="e">
        <f>VLOOKUP(Allocation[[#This Row],[SAP Contract number]],Shipments[[SAP Contract number]:[Contracted container weight]],2,FALSE)</f>
        <v>#N/A</v>
      </c>
      <c r="W2712" s="34" t="e">
        <f>VLOOKUP(Allocation[[#This Row],[SAP Contract number]],Shipments[[SAP Contract number]:[AAA Premium USD]],24,FALSE)</f>
        <v>#N/A</v>
      </c>
      <c r="X2712" s="34" t="e">
        <f>VLOOKUP(Allocation[[#This Row],[SAP Contract number]],Shipments[[SAP Contract number]:[RA Premium USD]],25,FALSE)</f>
        <v>#N/A</v>
      </c>
      <c r="Y2712" s="38">
        <f>Allocation[[#This Row],[Quantity Processed]]/Allocation[[#This Row],[Quantity allocated]]</f>
        <v>1.587261377001719</v>
      </c>
      <c r="Z2712" s="34" t="b">
        <f>Allocation[[#This Row],[Quantity allocated]]&lt;=Allocation[[#This Row],[Quantity Processed]]</f>
        <v>1</v>
      </c>
    </row>
    <row r="2713" spans="1:26">
      <c r="A2713" s="247" t="s">
        <v>467</v>
      </c>
      <c r="B2713" s="210" t="s">
        <v>68</v>
      </c>
      <c r="C2713" s="254" t="s">
        <v>2205</v>
      </c>
      <c r="D2713" s="255">
        <v>15789</v>
      </c>
      <c r="E2713" s="211" t="s">
        <v>2239</v>
      </c>
      <c r="F2713" s="212">
        <v>43712</v>
      </c>
      <c r="G2713" s="213">
        <v>1.84</v>
      </c>
      <c r="H2713" s="256">
        <v>9947</v>
      </c>
      <c r="I2713" s="214">
        <v>1490127</v>
      </c>
      <c r="J2713" s="215">
        <v>21000</v>
      </c>
      <c r="K2713" s="212">
        <v>43721</v>
      </c>
      <c r="L2713" s="211" t="s">
        <v>2248</v>
      </c>
      <c r="M2713" s="216">
        <v>4615450207</v>
      </c>
      <c r="N2713" s="212"/>
      <c r="O2713" s="218"/>
      <c r="P2713" s="219"/>
      <c r="Q2713" s="34">
        <f>SUMIF(Allocation[Delivery ID],Allocation[[#This Row],[Delivery ID]],Allocation[Quantity Processed])</f>
        <v>26271</v>
      </c>
      <c r="R2713" s="61">
        <f>Allocation[[#This Row],[Total volume used]]/VLOOKUP(Allocation[[#This Row],[Delivery ID]],Delivery[[Delivery ID]:[Quantity delivered]],3,FALSE)</f>
        <v>0.86077981651376145</v>
      </c>
      <c r="S2713" s="34">
        <f>Allocation[[#This Row],[Quantity Processed]]/Allocation[[#This Row],[Dilution rate]]</f>
        <v>8580.9782608695641</v>
      </c>
      <c r="T2713" s="59">
        <f>SUMIF(Allocation[Delivery ID],Allocation[[#This Row],[Delivery ID]],Allocation[Quantity allocated])/SUMIF(Allocation[Delivery ID],Allocation[[#This Row],[Delivery ID]],Allocation[Volume available (kg)])</f>
        <v>1.1592189105858173</v>
      </c>
      <c r="U2713" s="61">
        <f>Allocation[[#This Row],[Total volume used]]/VLOOKUP(Allocation[[#This Row],[Delivery ID]],Delivery[[Delivery ID]:[Quantity delivered]],3,FALSE)</f>
        <v>0.86077981651376145</v>
      </c>
      <c r="V2713" s="34" t="e">
        <f>VLOOKUP(Allocation[[#This Row],[SAP Contract number]],Shipments[[SAP Contract number]:[Contracted container weight]],2,FALSE)</f>
        <v>#N/A</v>
      </c>
      <c r="W2713" s="34" t="e">
        <f>VLOOKUP(Allocation[[#This Row],[SAP Contract number]],Shipments[[SAP Contract number]:[AAA Premium USD]],24,FALSE)</f>
        <v>#N/A</v>
      </c>
      <c r="X2713" s="34" t="e">
        <f>VLOOKUP(Allocation[[#This Row],[SAP Contract number]],Shipments[[SAP Contract number]:[RA Premium USD]],25,FALSE)</f>
        <v>#N/A</v>
      </c>
      <c r="Y2713" s="38">
        <f>Allocation[[#This Row],[Quantity Processed]]/Allocation[[#This Row],[Quantity allocated]]</f>
        <v>1.5873127576153614</v>
      </c>
      <c r="Z2713" s="34" t="b">
        <f>Allocation[[#This Row],[Quantity allocated]]&lt;=Allocation[[#This Row],[Quantity Processed]]</f>
        <v>1</v>
      </c>
    </row>
    <row r="2714" spans="1:26">
      <c r="A2714" s="247" t="s">
        <v>467</v>
      </c>
      <c r="B2714" s="210" t="s">
        <v>68</v>
      </c>
      <c r="C2714" s="254" t="s">
        <v>2205</v>
      </c>
      <c r="D2714" s="255">
        <v>10482</v>
      </c>
      <c r="E2714" s="211" t="s">
        <v>2239</v>
      </c>
      <c r="F2714" s="212">
        <v>43712</v>
      </c>
      <c r="G2714" s="213">
        <v>1.84</v>
      </c>
      <c r="H2714" s="256">
        <v>6604</v>
      </c>
      <c r="I2714" s="214">
        <v>1490128</v>
      </c>
      <c r="J2714" s="215">
        <v>21000</v>
      </c>
      <c r="K2714" s="212">
        <v>43721</v>
      </c>
      <c r="L2714" s="211" t="s">
        <v>2249</v>
      </c>
      <c r="M2714" s="216">
        <v>4615450207</v>
      </c>
      <c r="N2714" s="212"/>
      <c r="O2714" s="218"/>
      <c r="P2714" s="219"/>
      <c r="Q2714" s="34">
        <f>SUMIF(Allocation[Delivery ID],Allocation[[#This Row],[Delivery ID]],Allocation[Quantity Processed])</f>
        <v>26271</v>
      </c>
      <c r="R2714" s="61">
        <f>Allocation[[#This Row],[Total volume used]]/VLOOKUP(Allocation[[#This Row],[Delivery ID]],Delivery[[Delivery ID]:[Quantity delivered]],3,FALSE)</f>
        <v>0.86077981651376145</v>
      </c>
      <c r="S2714" s="34">
        <f>Allocation[[#This Row],[Quantity Processed]]/Allocation[[#This Row],[Dilution rate]]</f>
        <v>5696.7391304347821</v>
      </c>
      <c r="T2714" s="59">
        <f>SUMIF(Allocation[Delivery ID],Allocation[[#This Row],[Delivery ID]],Allocation[Quantity allocated])/SUMIF(Allocation[Delivery ID],Allocation[[#This Row],[Delivery ID]],Allocation[Volume available (kg)])</f>
        <v>1.1592189105858173</v>
      </c>
      <c r="U2714" s="61">
        <f>Allocation[[#This Row],[Total volume used]]/VLOOKUP(Allocation[[#This Row],[Delivery ID]],Delivery[[Delivery ID]:[Quantity delivered]],3,FALSE)</f>
        <v>0.86077981651376145</v>
      </c>
      <c r="V2714" s="34" t="e">
        <f>VLOOKUP(Allocation[[#This Row],[SAP Contract number]],Shipments[[SAP Contract number]:[Contracted container weight]],2,FALSE)</f>
        <v>#N/A</v>
      </c>
      <c r="W2714" s="34" t="e">
        <f>VLOOKUP(Allocation[[#This Row],[SAP Contract number]],Shipments[[SAP Contract number]:[AAA Premium USD]],24,FALSE)</f>
        <v>#N/A</v>
      </c>
      <c r="X2714" s="34" t="e">
        <f>VLOOKUP(Allocation[[#This Row],[SAP Contract number]],Shipments[[SAP Contract number]:[RA Premium USD]],25,FALSE)</f>
        <v>#N/A</v>
      </c>
      <c r="Y2714" s="38">
        <f>Allocation[[#This Row],[Quantity Processed]]/Allocation[[#This Row],[Quantity allocated]]</f>
        <v>1.5872198667474258</v>
      </c>
      <c r="Z2714" s="34" t="b">
        <f>Allocation[[#This Row],[Quantity allocated]]&lt;=Allocation[[#This Row],[Quantity Processed]]</f>
        <v>1</v>
      </c>
    </row>
    <row r="2715" spans="1:26">
      <c r="A2715" s="247" t="s">
        <v>467</v>
      </c>
      <c r="B2715" s="210" t="s">
        <v>68</v>
      </c>
      <c r="C2715" s="254" t="s">
        <v>2206</v>
      </c>
      <c r="D2715" s="255">
        <v>22851</v>
      </c>
      <c r="E2715" s="211" t="s">
        <v>2239</v>
      </c>
      <c r="F2715" s="212">
        <v>43712</v>
      </c>
      <c r="G2715" s="213">
        <v>1.84</v>
      </c>
      <c r="H2715" s="256">
        <v>14396</v>
      </c>
      <c r="I2715" s="214">
        <v>1490128</v>
      </c>
      <c r="J2715" s="215">
        <v>21000</v>
      </c>
      <c r="K2715" s="212">
        <v>43721</v>
      </c>
      <c r="L2715" s="211" t="s">
        <v>2249</v>
      </c>
      <c r="M2715" s="216">
        <v>4615450207</v>
      </c>
      <c r="N2715" s="212"/>
      <c r="O2715" s="218"/>
      <c r="P2715" s="219"/>
      <c r="Q2715" s="34">
        <f>SUMIF(Allocation[Delivery ID],Allocation[[#This Row],[Delivery ID]],Allocation[Quantity Processed])</f>
        <v>25938</v>
      </c>
      <c r="R2715" s="61">
        <f>Allocation[[#This Row],[Total volume used]]/VLOOKUP(Allocation[[#This Row],[Delivery ID]],Delivery[[Delivery ID]:[Quantity delivered]],3,FALSE)</f>
        <v>0.86086956521739133</v>
      </c>
      <c r="S2715" s="34">
        <f>Allocation[[#This Row],[Quantity Processed]]/Allocation[[#This Row],[Dilution rate]]</f>
        <v>12419.021739130434</v>
      </c>
      <c r="T2715" s="59">
        <f>SUMIF(Allocation[Delivery ID],Allocation[[#This Row],[Delivery ID]],Allocation[Quantity allocated])/SUMIF(Allocation[Delivery ID],Allocation[[#This Row],[Delivery ID]],Allocation[Volume available (kg)])</f>
        <v>1.159204256303493</v>
      </c>
      <c r="U2715" s="61">
        <f>Allocation[[#This Row],[Total volume used]]/VLOOKUP(Allocation[[#This Row],[Delivery ID]],Delivery[[Delivery ID]:[Quantity delivered]],3,FALSE)</f>
        <v>0.86086956521739133</v>
      </c>
      <c r="V2715" s="34" t="e">
        <f>VLOOKUP(Allocation[[#This Row],[SAP Contract number]],Shipments[[SAP Contract number]:[Contracted container weight]],2,FALSE)</f>
        <v>#N/A</v>
      </c>
      <c r="W2715" s="34" t="e">
        <f>VLOOKUP(Allocation[[#This Row],[SAP Contract number]],Shipments[[SAP Contract number]:[AAA Premium USD]],24,FALSE)</f>
        <v>#N/A</v>
      </c>
      <c r="X2715" s="34" t="e">
        <f>VLOOKUP(Allocation[[#This Row],[SAP Contract number]],Shipments[[SAP Contract number]:[RA Premium USD]],25,FALSE)</f>
        <v>#N/A</v>
      </c>
      <c r="Y2715" s="38">
        <f>Allocation[[#This Row],[Quantity Processed]]/Allocation[[#This Row],[Quantity allocated]]</f>
        <v>1.5873159210891914</v>
      </c>
      <c r="Z2715" s="34" t="b">
        <f>Allocation[[#This Row],[Quantity allocated]]&lt;=Allocation[[#This Row],[Quantity Processed]]</f>
        <v>1</v>
      </c>
    </row>
    <row r="2716" spans="1:26">
      <c r="A2716" s="247" t="s">
        <v>467</v>
      </c>
      <c r="B2716" s="210" t="s">
        <v>68</v>
      </c>
      <c r="C2716" s="254" t="s">
        <v>2206</v>
      </c>
      <c r="D2716" s="255">
        <v>3087</v>
      </c>
      <c r="E2716" s="211" t="s">
        <v>2239</v>
      </c>
      <c r="F2716" s="212">
        <v>43712</v>
      </c>
      <c r="G2716" s="213">
        <v>1.84</v>
      </c>
      <c r="H2716" s="256">
        <v>1945</v>
      </c>
      <c r="I2716" s="214">
        <v>1490129</v>
      </c>
      <c r="J2716" s="215">
        <v>21000</v>
      </c>
      <c r="K2716" s="212">
        <v>43721</v>
      </c>
      <c r="L2716" s="211" t="s">
        <v>2250</v>
      </c>
      <c r="M2716" s="216">
        <v>4615450207</v>
      </c>
      <c r="N2716" s="212"/>
      <c r="O2716" s="218"/>
      <c r="P2716" s="219"/>
      <c r="Q2716" s="34">
        <f>SUMIF(Allocation[Delivery ID],Allocation[[#This Row],[Delivery ID]],Allocation[Quantity Processed])</f>
        <v>25938</v>
      </c>
      <c r="R2716" s="61">
        <f>Allocation[[#This Row],[Total volume used]]/VLOOKUP(Allocation[[#This Row],[Delivery ID]],Delivery[[Delivery ID]:[Quantity delivered]],3,FALSE)</f>
        <v>0.86086956521739133</v>
      </c>
      <c r="S2716" s="34">
        <f>Allocation[[#This Row],[Quantity Processed]]/Allocation[[#This Row],[Dilution rate]]</f>
        <v>1677.7173913043478</v>
      </c>
      <c r="T2716" s="59">
        <f>SUMIF(Allocation[Delivery ID],Allocation[[#This Row],[Delivery ID]],Allocation[Quantity allocated])/SUMIF(Allocation[Delivery ID],Allocation[[#This Row],[Delivery ID]],Allocation[Volume available (kg)])</f>
        <v>1.159204256303493</v>
      </c>
      <c r="U2716" s="61">
        <f>Allocation[[#This Row],[Total volume used]]/VLOOKUP(Allocation[[#This Row],[Delivery ID]],Delivery[[Delivery ID]:[Quantity delivered]],3,FALSE)</f>
        <v>0.86086956521739133</v>
      </c>
      <c r="V2716" s="34" t="e">
        <f>VLOOKUP(Allocation[[#This Row],[SAP Contract number]],Shipments[[SAP Contract number]:[Contracted container weight]],2,FALSE)</f>
        <v>#N/A</v>
      </c>
      <c r="W2716" s="34" t="e">
        <f>VLOOKUP(Allocation[[#This Row],[SAP Contract number]],Shipments[[SAP Contract number]:[AAA Premium USD]],24,FALSE)</f>
        <v>#N/A</v>
      </c>
      <c r="X2716" s="34" t="e">
        <f>VLOOKUP(Allocation[[#This Row],[SAP Contract number]],Shipments[[SAP Contract number]:[RA Premium USD]],25,FALSE)</f>
        <v>#N/A</v>
      </c>
      <c r="Y2716" s="38">
        <f>Allocation[[#This Row],[Quantity Processed]]/Allocation[[#This Row],[Quantity allocated]]</f>
        <v>1.5871465295629821</v>
      </c>
      <c r="Z2716" s="34" t="b">
        <f>Allocation[[#This Row],[Quantity allocated]]&lt;=Allocation[[#This Row],[Quantity Processed]]</f>
        <v>1</v>
      </c>
    </row>
    <row r="2717" spans="1:26">
      <c r="A2717" s="247" t="s">
        <v>467</v>
      </c>
      <c r="B2717" s="210" t="s">
        <v>68</v>
      </c>
      <c r="C2717" s="254" t="s">
        <v>2207</v>
      </c>
      <c r="D2717" s="255">
        <v>25943</v>
      </c>
      <c r="E2717" s="211" t="s">
        <v>2239</v>
      </c>
      <c r="F2717" s="212">
        <v>43712</v>
      </c>
      <c r="G2717" s="213">
        <v>1.84</v>
      </c>
      <c r="H2717" s="256">
        <v>16344</v>
      </c>
      <c r="I2717" s="214">
        <v>1490129</v>
      </c>
      <c r="J2717" s="215">
        <v>21000</v>
      </c>
      <c r="K2717" s="212">
        <v>43721</v>
      </c>
      <c r="L2717" s="211" t="s">
        <v>2250</v>
      </c>
      <c r="M2717" s="216">
        <v>4615450207</v>
      </c>
      <c r="N2717" s="212"/>
      <c r="O2717" s="218"/>
      <c r="P2717" s="219"/>
      <c r="Q2717" s="34">
        <f>SUMIF(Allocation[Delivery ID],Allocation[[#This Row],[Delivery ID]],Allocation[Quantity Processed])</f>
        <v>25943</v>
      </c>
      <c r="R2717" s="61">
        <f>Allocation[[#This Row],[Total volume used]]/VLOOKUP(Allocation[[#This Row],[Delivery ID]],Delivery[[Delivery ID]:[Quantity delivered]],3,FALSE)</f>
        <v>0.86074983410749839</v>
      </c>
      <c r="S2717" s="34">
        <f>Allocation[[#This Row],[Quantity Processed]]/Allocation[[#This Row],[Dilution rate]]</f>
        <v>14099.45652173913</v>
      </c>
      <c r="T2717" s="59">
        <f>SUMIF(Allocation[Delivery ID],Allocation[[#This Row],[Delivery ID]],Allocation[Quantity allocated])/SUMIF(Allocation[Delivery ID],Allocation[[#This Row],[Delivery ID]],Allocation[Volume available (kg)])</f>
        <v>1.1591936167752381</v>
      </c>
      <c r="U2717" s="61">
        <f>Allocation[[#This Row],[Total volume used]]/VLOOKUP(Allocation[[#This Row],[Delivery ID]],Delivery[[Delivery ID]:[Quantity delivered]],3,FALSE)</f>
        <v>0.86074983410749839</v>
      </c>
      <c r="V2717" s="34" t="e">
        <f>VLOOKUP(Allocation[[#This Row],[SAP Contract number]],Shipments[[SAP Contract number]:[Contracted container weight]],2,FALSE)</f>
        <v>#N/A</v>
      </c>
      <c r="W2717" s="34" t="e">
        <f>VLOOKUP(Allocation[[#This Row],[SAP Contract number]],Shipments[[SAP Contract number]:[AAA Premium USD]],24,FALSE)</f>
        <v>#N/A</v>
      </c>
      <c r="X2717" s="34" t="e">
        <f>VLOOKUP(Allocation[[#This Row],[SAP Contract number]],Shipments[[SAP Contract number]:[RA Premium USD]],25,FALSE)</f>
        <v>#N/A</v>
      </c>
      <c r="Y2717" s="38">
        <f>Allocation[[#This Row],[Quantity Processed]]/Allocation[[#This Row],[Quantity allocated]]</f>
        <v>1.5873103279490945</v>
      </c>
      <c r="Z2717" s="34" t="b">
        <f>Allocation[[#This Row],[Quantity allocated]]&lt;=Allocation[[#This Row],[Quantity Processed]]</f>
        <v>1</v>
      </c>
    </row>
    <row r="2718" spans="1:26">
      <c r="A2718" s="247" t="s">
        <v>467</v>
      </c>
      <c r="B2718" s="210" t="s">
        <v>68</v>
      </c>
      <c r="C2718" s="254" t="s">
        <v>2208</v>
      </c>
      <c r="D2718" s="255">
        <v>4303</v>
      </c>
      <c r="E2718" s="211" t="s">
        <v>2239</v>
      </c>
      <c r="F2718" s="212">
        <v>43712</v>
      </c>
      <c r="G2718" s="213">
        <v>1.84</v>
      </c>
      <c r="H2718" s="256">
        <v>2711</v>
      </c>
      <c r="I2718" s="214">
        <v>1490129</v>
      </c>
      <c r="J2718" s="215">
        <v>21000</v>
      </c>
      <c r="K2718" s="212">
        <v>43721</v>
      </c>
      <c r="L2718" s="211" t="s">
        <v>2250</v>
      </c>
      <c r="M2718" s="216">
        <v>4615450207</v>
      </c>
      <c r="N2718" s="212"/>
      <c r="O2718" s="218"/>
      <c r="P2718" s="219"/>
      <c r="Q2718" s="34">
        <f>SUMIF(Allocation[Delivery ID],Allocation[[#This Row],[Delivery ID]],Allocation[Quantity Processed])</f>
        <v>25648</v>
      </c>
      <c r="R2718" s="61">
        <f>Allocation[[#This Row],[Total volume used]]/VLOOKUP(Allocation[[#This Row],[Delivery ID]],Delivery[[Delivery ID]:[Quantity delivered]],3,FALSE)</f>
        <v>0.86067114093959729</v>
      </c>
      <c r="S2718" s="34">
        <f>Allocation[[#This Row],[Quantity Processed]]/Allocation[[#This Row],[Dilution rate]]</f>
        <v>2338.586956521739</v>
      </c>
      <c r="T2718" s="59">
        <f>SUMIF(Allocation[Delivery ID],Allocation[[#This Row],[Delivery ID]],Allocation[Quantity allocated])/SUMIF(Allocation[Delivery ID],Allocation[[#This Row],[Delivery ID]],Allocation[Volume available (kg)])</f>
        <v>1.159182782283219</v>
      </c>
      <c r="U2718" s="61">
        <f>Allocation[[#This Row],[Total volume used]]/VLOOKUP(Allocation[[#This Row],[Delivery ID]],Delivery[[Delivery ID]:[Quantity delivered]],3,FALSE)</f>
        <v>0.86067114093959729</v>
      </c>
      <c r="V2718" s="34" t="e">
        <f>VLOOKUP(Allocation[[#This Row],[SAP Contract number]],Shipments[[SAP Contract number]:[Contracted container weight]],2,FALSE)</f>
        <v>#N/A</v>
      </c>
      <c r="W2718" s="34" t="e">
        <f>VLOOKUP(Allocation[[#This Row],[SAP Contract number]],Shipments[[SAP Contract number]:[AAA Premium USD]],24,FALSE)</f>
        <v>#N/A</v>
      </c>
      <c r="X2718" s="34" t="e">
        <f>VLOOKUP(Allocation[[#This Row],[SAP Contract number]],Shipments[[SAP Contract number]:[RA Premium USD]],25,FALSE)</f>
        <v>#N/A</v>
      </c>
      <c r="Y2718" s="38">
        <f>Allocation[[#This Row],[Quantity Processed]]/Allocation[[#This Row],[Quantity allocated]]</f>
        <v>1.5872371818517153</v>
      </c>
      <c r="Z2718" s="34" t="b">
        <f>Allocation[[#This Row],[Quantity allocated]]&lt;=Allocation[[#This Row],[Quantity Processed]]</f>
        <v>1</v>
      </c>
    </row>
    <row r="2719" spans="1:26">
      <c r="A2719" s="247" t="s">
        <v>467</v>
      </c>
      <c r="B2719" s="210" t="s">
        <v>68</v>
      </c>
      <c r="C2719" s="254" t="s">
        <v>2208</v>
      </c>
      <c r="D2719" s="255">
        <v>21345</v>
      </c>
      <c r="E2719" s="211" t="s">
        <v>2239</v>
      </c>
      <c r="F2719" s="212">
        <v>43712</v>
      </c>
      <c r="G2719" s="213">
        <v>1.84</v>
      </c>
      <c r="H2719" s="256">
        <v>13447</v>
      </c>
      <c r="I2719" s="214">
        <v>1490130</v>
      </c>
      <c r="J2719" s="215">
        <v>21000</v>
      </c>
      <c r="K2719" s="212">
        <v>43721</v>
      </c>
      <c r="L2719" s="211" t="s">
        <v>2251</v>
      </c>
      <c r="M2719" s="216">
        <v>4615450207</v>
      </c>
      <c r="N2719" s="212"/>
      <c r="O2719" s="218"/>
      <c r="P2719" s="219"/>
      <c r="Q2719" s="34">
        <f>SUMIF(Allocation[Delivery ID],Allocation[[#This Row],[Delivery ID]],Allocation[Quantity Processed])</f>
        <v>25648</v>
      </c>
      <c r="R2719" s="61">
        <f>Allocation[[#This Row],[Total volume used]]/VLOOKUP(Allocation[[#This Row],[Delivery ID]],Delivery[[Delivery ID]:[Quantity delivered]],3,FALSE)</f>
        <v>0.86067114093959729</v>
      </c>
      <c r="S2719" s="34">
        <f>Allocation[[#This Row],[Quantity Processed]]/Allocation[[#This Row],[Dilution rate]]</f>
        <v>11600.54347826087</v>
      </c>
      <c r="T2719" s="59">
        <f>SUMIF(Allocation[Delivery ID],Allocation[[#This Row],[Delivery ID]],Allocation[Quantity allocated])/SUMIF(Allocation[Delivery ID],Allocation[[#This Row],[Delivery ID]],Allocation[Volume available (kg)])</f>
        <v>1.159182782283219</v>
      </c>
      <c r="U2719" s="61">
        <f>Allocation[[#This Row],[Total volume used]]/VLOOKUP(Allocation[[#This Row],[Delivery ID]],Delivery[[Delivery ID]:[Quantity delivered]],3,FALSE)</f>
        <v>0.86067114093959729</v>
      </c>
      <c r="V2719" s="34" t="e">
        <f>VLOOKUP(Allocation[[#This Row],[SAP Contract number]],Shipments[[SAP Contract number]:[Contracted container weight]],2,FALSE)</f>
        <v>#N/A</v>
      </c>
      <c r="W2719" s="34" t="e">
        <f>VLOOKUP(Allocation[[#This Row],[SAP Contract number]],Shipments[[SAP Contract number]:[AAA Premium USD]],24,FALSE)</f>
        <v>#N/A</v>
      </c>
      <c r="X2719" s="34" t="e">
        <f>VLOOKUP(Allocation[[#This Row],[SAP Contract number]],Shipments[[SAP Contract number]:[RA Premium USD]],25,FALSE)</f>
        <v>#N/A</v>
      </c>
      <c r="Y2719" s="38">
        <f>Allocation[[#This Row],[Quantity Processed]]/Allocation[[#This Row],[Quantity allocated]]</f>
        <v>1.5873429017624749</v>
      </c>
      <c r="Z2719" s="34" t="b">
        <f>Allocation[[#This Row],[Quantity allocated]]&lt;=Allocation[[#This Row],[Quantity Processed]]</f>
        <v>1</v>
      </c>
    </row>
    <row r="2720" spans="1:26">
      <c r="A2720" s="247" t="s">
        <v>467</v>
      </c>
      <c r="B2720" s="210" t="s">
        <v>68</v>
      </c>
      <c r="C2720" s="254" t="s">
        <v>2209</v>
      </c>
      <c r="D2720" s="255">
        <v>11989</v>
      </c>
      <c r="E2720" s="211" t="s">
        <v>2239</v>
      </c>
      <c r="F2720" s="212">
        <v>43712</v>
      </c>
      <c r="G2720" s="213">
        <v>1.84</v>
      </c>
      <c r="H2720" s="256">
        <v>7553</v>
      </c>
      <c r="I2720" s="214">
        <v>1490130</v>
      </c>
      <c r="J2720" s="215">
        <v>21000</v>
      </c>
      <c r="K2720" s="212">
        <v>43721</v>
      </c>
      <c r="L2720" s="211" t="s">
        <v>2251</v>
      </c>
      <c r="M2720" s="216">
        <v>4615450207</v>
      </c>
      <c r="N2720" s="212"/>
      <c r="O2720" s="218"/>
      <c r="P2720" s="219"/>
      <c r="Q2720" s="34">
        <f>SUMIF(Allocation[Delivery ID],Allocation[[#This Row],[Delivery ID]],Allocation[Quantity Processed])</f>
        <v>26156</v>
      </c>
      <c r="R2720" s="61">
        <f>Allocation[[#This Row],[Total volume used]]/VLOOKUP(Allocation[[#This Row],[Delivery ID]],Delivery[[Delivery ID]:[Quantity delivered]],3,FALSE)</f>
        <v>0.86925888999667666</v>
      </c>
      <c r="S2720" s="34">
        <f>Allocation[[#This Row],[Quantity Processed]]/Allocation[[#This Row],[Dilution rate]]</f>
        <v>6515.760869565217</v>
      </c>
      <c r="T2720" s="59">
        <f>SUMIF(Allocation[Delivery ID],Allocation[[#This Row],[Delivery ID]],Allocation[Quantity allocated])/SUMIF(Allocation[Delivery ID],Allocation[[#This Row],[Delivery ID]],Allocation[Volume available (kg)])</f>
        <v>1.159180302798593</v>
      </c>
      <c r="U2720" s="61">
        <f>Allocation[[#This Row],[Total volume used]]/VLOOKUP(Allocation[[#This Row],[Delivery ID]],Delivery[[Delivery ID]:[Quantity delivered]],3,FALSE)</f>
        <v>0.86925888999667666</v>
      </c>
      <c r="V2720" s="34" t="e">
        <f>VLOOKUP(Allocation[[#This Row],[SAP Contract number]],Shipments[[SAP Contract number]:[Contracted container weight]],2,FALSE)</f>
        <v>#N/A</v>
      </c>
      <c r="W2720" s="34" t="e">
        <f>VLOOKUP(Allocation[[#This Row],[SAP Contract number]],Shipments[[SAP Contract number]:[AAA Premium USD]],24,FALSE)</f>
        <v>#N/A</v>
      </c>
      <c r="X2720" s="34" t="e">
        <f>VLOOKUP(Allocation[[#This Row],[SAP Contract number]],Shipments[[SAP Contract number]:[RA Premium USD]],25,FALSE)</f>
        <v>#N/A</v>
      </c>
      <c r="Y2720" s="38">
        <f>Allocation[[#This Row],[Quantity Processed]]/Allocation[[#This Row],[Quantity allocated]]</f>
        <v>1.5873162981596716</v>
      </c>
      <c r="Z2720" s="34" t="b">
        <f>Allocation[[#This Row],[Quantity allocated]]&lt;=Allocation[[#This Row],[Quantity Processed]]</f>
        <v>1</v>
      </c>
    </row>
    <row r="2721" spans="1:26">
      <c r="A2721" s="247" t="s">
        <v>467</v>
      </c>
      <c r="B2721" s="210" t="s">
        <v>68</v>
      </c>
      <c r="C2721" s="254" t="s">
        <v>2209</v>
      </c>
      <c r="D2721" s="255">
        <v>14167</v>
      </c>
      <c r="E2721" s="211" t="s">
        <v>2239</v>
      </c>
      <c r="F2721" s="212">
        <v>43712</v>
      </c>
      <c r="G2721" s="213">
        <v>1.84</v>
      </c>
      <c r="H2721" s="256">
        <v>8925</v>
      </c>
      <c r="I2721" s="214">
        <v>1490131</v>
      </c>
      <c r="J2721" s="215">
        <v>21000</v>
      </c>
      <c r="K2721" s="212">
        <v>43721</v>
      </c>
      <c r="L2721" s="211" t="s">
        <v>2252</v>
      </c>
      <c r="M2721" s="216">
        <v>4615450207</v>
      </c>
      <c r="N2721" s="212"/>
      <c r="O2721" s="218"/>
      <c r="P2721" s="219"/>
      <c r="Q2721" s="34">
        <f>SUMIF(Allocation[Delivery ID],Allocation[[#This Row],[Delivery ID]],Allocation[Quantity Processed])</f>
        <v>26156</v>
      </c>
      <c r="R2721" s="61">
        <f>Allocation[[#This Row],[Total volume used]]/VLOOKUP(Allocation[[#This Row],[Delivery ID]],Delivery[[Delivery ID]:[Quantity delivered]],3,FALSE)</f>
        <v>0.86925888999667666</v>
      </c>
      <c r="S2721" s="34">
        <f>Allocation[[#This Row],[Quantity Processed]]/Allocation[[#This Row],[Dilution rate]]</f>
        <v>7699.45652173913</v>
      </c>
      <c r="T2721" s="59">
        <f>SUMIF(Allocation[Delivery ID],Allocation[[#This Row],[Delivery ID]],Allocation[Quantity allocated])/SUMIF(Allocation[Delivery ID],Allocation[[#This Row],[Delivery ID]],Allocation[Volume available (kg)])</f>
        <v>1.159180302798593</v>
      </c>
      <c r="U2721" s="61">
        <f>Allocation[[#This Row],[Total volume used]]/VLOOKUP(Allocation[[#This Row],[Delivery ID]],Delivery[[Delivery ID]:[Quantity delivered]],3,FALSE)</f>
        <v>0.86925888999667666</v>
      </c>
      <c r="V2721" s="34" t="e">
        <f>VLOOKUP(Allocation[[#This Row],[SAP Contract number]],Shipments[[SAP Contract number]:[Contracted container weight]],2,FALSE)</f>
        <v>#N/A</v>
      </c>
      <c r="W2721" s="34" t="e">
        <f>VLOOKUP(Allocation[[#This Row],[SAP Contract number]],Shipments[[SAP Contract number]:[AAA Premium USD]],24,FALSE)</f>
        <v>#N/A</v>
      </c>
      <c r="X2721" s="34" t="e">
        <f>VLOOKUP(Allocation[[#This Row],[SAP Contract number]],Shipments[[SAP Contract number]:[RA Premium USD]],25,FALSE)</f>
        <v>#N/A</v>
      </c>
      <c r="Y2721" s="38">
        <f>Allocation[[#This Row],[Quantity Processed]]/Allocation[[#This Row],[Quantity allocated]]</f>
        <v>1.5873389355742298</v>
      </c>
      <c r="Z2721" s="34" t="b">
        <f>Allocation[[#This Row],[Quantity allocated]]&lt;=Allocation[[#This Row],[Quantity Processed]]</f>
        <v>1</v>
      </c>
    </row>
    <row r="2722" spans="1:26">
      <c r="A2722" s="247" t="s">
        <v>467</v>
      </c>
      <c r="B2722" s="210" t="s">
        <v>68</v>
      </c>
      <c r="C2722" s="254" t="s">
        <v>2210</v>
      </c>
      <c r="D2722" s="255">
        <v>19167</v>
      </c>
      <c r="E2722" s="211" t="s">
        <v>2239</v>
      </c>
      <c r="F2722" s="212">
        <v>43712</v>
      </c>
      <c r="G2722" s="213">
        <v>1.84</v>
      </c>
      <c r="H2722" s="256">
        <v>12075</v>
      </c>
      <c r="I2722" s="214">
        <v>1490131</v>
      </c>
      <c r="J2722" s="215">
        <v>21000</v>
      </c>
      <c r="K2722" s="212">
        <v>43721</v>
      </c>
      <c r="L2722" s="211" t="s">
        <v>2252</v>
      </c>
      <c r="M2722" s="216">
        <v>4615450207</v>
      </c>
      <c r="N2722" s="212"/>
      <c r="O2722" s="218"/>
      <c r="P2722" s="219"/>
      <c r="Q2722" s="34">
        <f>SUMIF(Allocation[Delivery ID],Allocation[[#This Row],[Delivery ID]],Allocation[Quantity Processed])</f>
        <v>21043</v>
      </c>
      <c r="R2722" s="61">
        <f>Allocation[[#This Row],[Total volume used]]/VLOOKUP(Allocation[[#This Row],[Delivery ID]],Delivery[[Delivery ID]:[Quantity delivered]],3,FALSE)</f>
        <v>0.85858256150801748</v>
      </c>
      <c r="S2722" s="34">
        <f>Allocation[[#This Row],[Quantity Processed]]/Allocation[[#This Row],[Dilution rate]]</f>
        <v>10416.847826086956</v>
      </c>
      <c r="T2722" s="59">
        <f>SUMIF(Allocation[Delivery ID],Allocation[[#This Row],[Delivery ID]],Allocation[Quantity allocated])/SUMIF(Allocation[Delivery ID],Allocation[[#This Row],[Delivery ID]],Allocation[Volume available (kg)])</f>
        <v>1.159192130399658</v>
      </c>
      <c r="U2722" s="61">
        <f>Allocation[[#This Row],[Total volume used]]/VLOOKUP(Allocation[[#This Row],[Delivery ID]],Delivery[[Delivery ID]:[Quantity delivered]],3,FALSE)</f>
        <v>0.85858256150801748</v>
      </c>
      <c r="V2722" s="34" t="e">
        <f>VLOOKUP(Allocation[[#This Row],[SAP Contract number]],Shipments[[SAP Contract number]:[Contracted container weight]],2,FALSE)</f>
        <v>#N/A</v>
      </c>
      <c r="W2722" s="34" t="e">
        <f>VLOOKUP(Allocation[[#This Row],[SAP Contract number]],Shipments[[SAP Contract number]:[AAA Premium USD]],24,FALSE)</f>
        <v>#N/A</v>
      </c>
      <c r="X2722" s="34" t="e">
        <f>VLOOKUP(Allocation[[#This Row],[SAP Contract number]],Shipments[[SAP Contract number]:[RA Premium USD]],25,FALSE)</f>
        <v>#N/A</v>
      </c>
      <c r="Y2722" s="38">
        <f>Allocation[[#This Row],[Quantity Processed]]/Allocation[[#This Row],[Quantity allocated]]</f>
        <v>1.5873291925465838</v>
      </c>
      <c r="Z2722" s="34" t="b">
        <f>Allocation[[#This Row],[Quantity allocated]]&lt;=Allocation[[#This Row],[Quantity Processed]]</f>
        <v>1</v>
      </c>
    </row>
    <row r="2723" spans="1:26">
      <c r="A2723" s="247" t="s">
        <v>467</v>
      </c>
      <c r="B2723" s="210" t="s">
        <v>68</v>
      </c>
      <c r="C2723" s="254" t="s">
        <v>2210</v>
      </c>
      <c r="D2723" s="255">
        <v>1876</v>
      </c>
      <c r="E2723" s="211" t="s">
        <v>2239</v>
      </c>
      <c r="F2723" s="212">
        <v>43712</v>
      </c>
      <c r="G2723" s="213">
        <v>1.84</v>
      </c>
      <c r="H2723" s="256">
        <v>1182</v>
      </c>
      <c r="I2723" s="214">
        <v>1490132</v>
      </c>
      <c r="J2723" s="215">
        <v>21000</v>
      </c>
      <c r="K2723" s="212">
        <v>43721</v>
      </c>
      <c r="L2723" s="211" t="s">
        <v>2253</v>
      </c>
      <c r="M2723" s="216">
        <v>4615450207</v>
      </c>
      <c r="N2723" s="212"/>
      <c r="O2723" s="218"/>
      <c r="P2723" s="219"/>
      <c r="Q2723" s="34">
        <f>SUMIF(Allocation[Delivery ID],Allocation[[#This Row],[Delivery ID]],Allocation[Quantity Processed])</f>
        <v>21043</v>
      </c>
      <c r="R2723" s="61">
        <f>Allocation[[#This Row],[Total volume used]]/VLOOKUP(Allocation[[#This Row],[Delivery ID]],Delivery[[Delivery ID]:[Quantity delivered]],3,FALSE)</f>
        <v>0.85858256150801748</v>
      </c>
      <c r="S2723" s="34">
        <f>Allocation[[#This Row],[Quantity Processed]]/Allocation[[#This Row],[Dilution rate]]</f>
        <v>1019.5652173913043</v>
      </c>
      <c r="T2723" s="59">
        <f>SUMIF(Allocation[Delivery ID],Allocation[[#This Row],[Delivery ID]],Allocation[Quantity allocated])/SUMIF(Allocation[Delivery ID],Allocation[[#This Row],[Delivery ID]],Allocation[Volume available (kg)])</f>
        <v>1.159192130399658</v>
      </c>
      <c r="U2723" s="61">
        <f>Allocation[[#This Row],[Total volume used]]/VLOOKUP(Allocation[[#This Row],[Delivery ID]],Delivery[[Delivery ID]:[Quantity delivered]],3,FALSE)</f>
        <v>0.85858256150801748</v>
      </c>
      <c r="V2723" s="34" t="e">
        <f>VLOOKUP(Allocation[[#This Row],[SAP Contract number]],Shipments[[SAP Contract number]:[Contracted container weight]],2,FALSE)</f>
        <v>#N/A</v>
      </c>
      <c r="W2723" s="34" t="e">
        <f>VLOOKUP(Allocation[[#This Row],[SAP Contract number]],Shipments[[SAP Contract number]:[AAA Premium USD]],24,FALSE)</f>
        <v>#N/A</v>
      </c>
      <c r="X2723" s="34" t="e">
        <f>VLOOKUP(Allocation[[#This Row],[SAP Contract number]],Shipments[[SAP Contract number]:[RA Premium USD]],25,FALSE)</f>
        <v>#N/A</v>
      </c>
      <c r="Y2723" s="38">
        <f>Allocation[[#This Row],[Quantity Processed]]/Allocation[[#This Row],[Quantity allocated]]</f>
        <v>1.5871404399323181</v>
      </c>
      <c r="Z2723" s="34" t="b">
        <f>Allocation[[#This Row],[Quantity allocated]]&lt;=Allocation[[#This Row],[Quantity Processed]]</f>
        <v>1</v>
      </c>
    </row>
    <row r="2724" spans="1:26">
      <c r="A2724" s="247" t="s">
        <v>467</v>
      </c>
      <c r="B2724" s="210" t="s">
        <v>68</v>
      </c>
      <c r="C2724" s="254" t="s">
        <v>2211</v>
      </c>
      <c r="D2724" s="255">
        <v>5264</v>
      </c>
      <c r="E2724" s="211" t="s">
        <v>2239</v>
      </c>
      <c r="F2724" s="212">
        <v>43712</v>
      </c>
      <c r="G2724" s="213">
        <v>1.84</v>
      </c>
      <c r="H2724" s="256">
        <v>3316</v>
      </c>
      <c r="I2724" s="214">
        <v>1490132</v>
      </c>
      <c r="J2724" s="215">
        <v>21000</v>
      </c>
      <c r="K2724" s="212">
        <v>43721</v>
      </c>
      <c r="L2724" s="211" t="s">
        <v>2253</v>
      </c>
      <c r="M2724" s="216">
        <v>4615450207</v>
      </c>
      <c r="N2724" s="212"/>
      <c r="O2724" s="218"/>
      <c r="P2724" s="219"/>
      <c r="Q2724" s="34">
        <f>SUMIF(Allocation[Delivery ID],Allocation[[#This Row],[Delivery ID]],Allocation[Quantity Processed])</f>
        <v>5264</v>
      </c>
      <c r="R2724" s="61">
        <f>Allocation[[#This Row],[Total volume used]]/VLOOKUP(Allocation[[#This Row],[Delivery ID]],Delivery[[Delivery ID]:[Quantity delivered]],3,FALSE)</f>
        <v>0.86993885308213514</v>
      </c>
      <c r="S2724" s="34">
        <f>Allocation[[#This Row],[Quantity Processed]]/Allocation[[#This Row],[Dilution rate]]</f>
        <v>2860.869565217391</v>
      </c>
      <c r="T2724" s="59">
        <f>SUMIF(Allocation[Delivery ID],Allocation[[#This Row],[Delivery ID]],Allocation[Quantity allocated])/SUMIF(Allocation[Delivery ID],Allocation[[#This Row],[Delivery ID]],Allocation[Volume available (kg)])</f>
        <v>1.1590881458966567</v>
      </c>
      <c r="U2724" s="61">
        <f>Allocation[[#This Row],[Total volume used]]/VLOOKUP(Allocation[[#This Row],[Delivery ID]],Delivery[[Delivery ID]:[Quantity delivered]],3,FALSE)</f>
        <v>0.86993885308213514</v>
      </c>
      <c r="V2724" s="34" t="e">
        <f>VLOOKUP(Allocation[[#This Row],[SAP Contract number]],Shipments[[SAP Contract number]:[Contracted container weight]],2,FALSE)</f>
        <v>#N/A</v>
      </c>
      <c r="W2724" s="34" t="e">
        <f>VLOOKUP(Allocation[[#This Row],[SAP Contract number]],Shipments[[SAP Contract number]:[AAA Premium USD]],24,FALSE)</f>
        <v>#N/A</v>
      </c>
      <c r="X2724" s="34" t="e">
        <f>VLOOKUP(Allocation[[#This Row],[SAP Contract number]],Shipments[[SAP Contract number]:[RA Premium USD]],25,FALSE)</f>
        <v>#N/A</v>
      </c>
      <c r="Y2724" s="38">
        <f>Allocation[[#This Row],[Quantity Processed]]/Allocation[[#This Row],[Quantity allocated]]</f>
        <v>1.5874547647768396</v>
      </c>
      <c r="Z2724" s="34" t="b">
        <f>Allocation[[#This Row],[Quantity allocated]]&lt;=Allocation[[#This Row],[Quantity Processed]]</f>
        <v>1</v>
      </c>
    </row>
    <row r="2725" spans="1:26">
      <c r="A2725" s="247" t="s">
        <v>467</v>
      </c>
      <c r="B2725" s="210" t="s">
        <v>68</v>
      </c>
      <c r="C2725" s="254" t="s">
        <v>2212</v>
      </c>
      <c r="D2725" s="255">
        <v>25552</v>
      </c>
      <c r="E2725" s="211" t="s">
        <v>2239</v>
      </c>
      <c r="F2725" s="212">
        <v>43712</v>
      </c>
      <c r="G2725" s="213">
        <v>1.84</v>
      </c>
      <c r="H2725" s="256">
        <v>16098</v>
      </c>
      <c r="I2725" s="214">
        <v>1490132</v>
      </c>
      <c r="J2725" s="215">
        <v>21000</v>
      </c>
      <c r="K2725" s="212">
        <v>43721</v>
      </c>
      <c r="L2725" s="211" t="s">
        <v>2253</v>
      </c>
      <c r="M2725" s="216">
        <v>4615450207</v>
      </c>
      <c r="N2725" s="212"/>
      <c r="O2725" s="218"/>
      <c r="P2725" s="219"/>
      <c r="Q2725" s="34">
        <f>SUMIF(Allocation[Delivery ID],Allocation[[#This Row],[Delivery ID]],Allocation[Quantity Processed])</f>
        <v>25552</v>
      </c>
      <c r="R2725" s="61">
        <f>Allocation[[#This Row],[Total volume used]]/VLOOKUP(Allocation[[#This Row],[Delivery ID]],Delivery[[Delivery ID]:[Quantity delivered]],3,FALSE)</f>
        <v>0.98599266833879995</v>
      </c>
      <c r="S2725" s="34">
        <f>Allocation[[#This Row],[Quantity Processed]]/Allocation[[#This Row],[Dilution rate]]</f>
        <v>13886.95652173913</v>
      </c>
      <c r="T2725" s="59">
        <f>SUMIF(Allocation[Delivery ID],Allocation[[#This Row],[Delivery ID]],Allocation[Quantity allocated])/SUMIF(Allocation[Delivery ID],Allocation[[#This Row],[Delivery ID]],Allocation[Volume available (kg)])</f>
        <v>1.1592172824045084</v>
      </c>
      <c r="U2725" s="61">
        <f>Allocation[[#This Row],[Total volume used]]/VLOOKUP(Allocation[[#This Row],[Delivery ID]],Delivery[[Delivery ID]:[Quantity delivered]],3,FALSE)</f>
        <v>0.98599266833879995</v>
      </c>
      <c r="V2725" s="34" t="e">
        <f>VLOOKUP(Allocation[[#This Row],[SAP Contract number]],Shipments[[SAP Contract number]:[Contracted container weight]],2,FALSE)</f>
        <v>#N/A</v>
      </c>
      <c r="W2725" s="34" t="e">
        <f>VLOOKUP(Allocation[[#This Row],[SAP Contract number]],Shipments[[SAP Contract number]:[AAA Premium USD]],24,FALSE)</f>
        <v>#N/A</v>
      </c>
      <c r="X2725" s="34" t="e">
        <f>VLOOKUP(Allocation[[#This Row],[SAP Contract number]],Shipments[[SAP Contract number]:[RA Premium USD]],25,FALSE)</f>
        <v>#N/A</v>
      </c>
      <c r="Y2725" s="38">
        <f>Allocation[[#This Row],[Quantity Processed]]/Allocation[[#This Row],[Quantity allocated]]</f>
        <v>1.5872779227233196</v>
      </c>
      <c r="Z2725" s="34" t="b">
        <f>Allocation[[#This Row],[Quantity allocated]]&lt;=Allocation[[#This Row],[Quantity Processed]]</f>
        <v>1</v>
      </c>
    </row>
    <row r="2726" spans="1:26">
      <c r="A2726" s="247" t="s">
        <v>467</v>
      </c>
      <c r="B2726" s="210" t="s">
        <v>68</v>
      </c>
      <c r="C2726" s="254" t="s">
        <v>2213</v>
      </c>
      <c r="D2726" s="255">
        <v>641</v>
      </c>
      <c r="E2726" s="211" t="s">
        <v>2239</v>
      </c>
      <c r="F2726" s="212">
        <v>43712</v>
      </c>
      <c r="G2726" s="213">
        <v>1.84</v>
      </c>
      <c r="H2726" s="256">
        <v>404</v>
      </c>
      <c r="I2726" s="214">
        <v>1490132</v>
      </c>
      <c r="J2726" s="215">
        <v>21000</v>
      </c>
      <c r="K2726" s="212">
        <v>43721</v>
      </c>
      <c r="L2726" s="211" t="s">
        <v>2253</v>
      </c>
      <c r="M2726" s="216">
        <v>4615450207</v>
      </c>
      <c r="N2726" s="212"/>
      <c r="O2726" s="218"/>
      <c r="P2726" s="219"/>
      <c r="Q2726" s="34">
        <f>SUMIF(Allocation[Delivery ID],Allocation[[#This Row],[Delivery ID]],Allocation[Quantity Processed])</f>
        <v>29397</v>
      </c>
      <c r="R2726" s="61">
        <f>Allocation[[#This Row],[Total volume used]]/VLOOKUP(Allocation[[#This Row],[Delivery ID]],Delivery[[Delivery ID]:[Quantity delivered]],3,FALSE)</f>
        <v>0.96494337764647953</v>
      </c>
      <c r="S2726" s="34">
        <f>Allocation[[#This Row],[Quantity Processed]]/Allocation[[#This Row],[Dilution rate]]</f>
        <v>348.36956521739131</v>
      </c>
      <c r="T2726" s="59">
        <f>SUMIF(Allocation[Delivery ID],Allocation[[#This Row],[Delivery ID]],Allocation[Quantity allocated])/SUMIF(Allocation[Delivery ID],Allocation[[#This Row],[Delivery ID]],Allocation[Volume available (kg)])</f>
        <v>1.1591931149437018</v>
      </c>
      <c r="U2726" s="61">
        <f>Allocation[[#This Row],[Total volume used]]/VLOOKUP(Allocation[[#This Row],[Delivery ID]],Delivery[[Delivery ID]:[Quantity delivered]],3,FALSE)</f>
        <v>0.96494337764647953</v>
      </c>
      <c r="V2726" s="34" t="e">
        <f>VLOOKUP(Allocation[[#This Row],[SAP Contract number]],Shipments[[SAP Contract number]:[Contracted container weight]],2,FALSE)</f>
        <v>#N/A</v>
      </c>
      <c r="W2726" s="34" t="e">
        <f>VLOOKUP(Allocation[[#This Row],[SAP Contract number]],Shipments[[SAP Contract number]:[AAA Premium USD]],24,FALSE)</f>
        <v>#N/A</v>
      </c>
      <c r="X2726" s="34" t="e">
        <f>VLOOKUP(Allocation[[#This Row],[SAP Contract number]],Shipments[[SAP Contract number]:[RA Premium USD]],25,FALSE)</f>
        <v>#N/A</v>
      </c>
      <c r="Y2726" s="38">
        <f>Allocation[[#This Row],[Quantity Processed]]/Allocation[[#This Row],[Quantity allocated]]</f>
        <v>1.5866336633663367</v>
      </c>
      <c r="Z2726" s="34" t="b">
        <f>Allocation[[#This Row],[Quantity allocated]]&lt;=Allocation[[#This Row],[Quantity Processed]]</f>
        <v>1</v>
      </c>
    </row>
    <row r="2727" spans="1:26">
      <c r="A2727" s="247" t="s">
        <v>467</v>
      </c>
      <c r="B2727" s="210" t="s">
        <v>68</v>
      </c>
      <c r="C2727" s="254" t="s">
        <v>2213</v>
      </c>
      <c r="D2727" s="255">
        <v>28756</v>
      </c>
      <c r="E2727" s="211" t="s">
        <v>2239</v>
      </c>
      <c r="F2727" s="212">
        <v>43712</v>
      </c>
      <c r="G2727" s="213">
        <v>1.84</v>
      </c>
      <c r="H2727" s="256">
        <v>18116</v>
      </c>
      <c r="I2727" s="214">
        <v>1490133</v>
      </c>
      <c r="J2727" s="215">
        <v>21000</v>
      </c>
      <c r="K2727" s="212">
        <v>43721</v>
      </c>
      <c r="L2727" s="211" t="s">
        <v>2254</v>
      </c>
      <c r="M2727" s="216">
        <v>4615450207</v>
      </c>
      <c r="N2727" s="212"/>
      <c r="O2727" s="218"/>
      <c r="P2727" s="219"/>
      <c r="Q2727" s="34">
        <f>SUMIF(Allocation[Delivery ID],Allocation[[#This Row],[Delivery ID]],Allocation[Quantity Processed])</f>
        <v>29397</v>
      </c>
      <c r="R2727" s="61">
        <f>Allocation[[#This Row],[Total volume used]]/VLOOKUP(Allocation[[#This Row],[Delivery ID]],Delivery[[Delivery ID]:[Quantity delivered]],3,FALSE)</f>
        <v>0.96494337764647953</v>
      </c>
      <c r="S2727" s="34">
        <f>Allocation[[#This Row],[Quantity Processed]]/Allocation[[#This Row],[Dilution rate]]</f>
        <v>15628.260869565216</v>
      </c>
      <c r="T2727" s="59">
        <f>SUMIF(Allocation[Delivery ID],Allocation[[#This Row],[Delivery ID]],Allocation[Quantity allocated])/SUMIF(Allocation[Delivery ID],Allocation[[#This Row],[Delivery ID]],Allocation[Volume available (kg)])</f>
        <v>1.1591931149437018</v>
      </c>
      <c r="U2727" s="61">
        <f>Allocation[[#This Row],[Total volume used]]/VLOOKUP(Allocation[[#This Row],[Delivery ID]],Delivery[[Delivery ID]:[Quantity delivered]],3,FALSE)</f>
        <v>0.96494337764647953</v>
      </c>
      <c r="V2727" s="34" t="e">
        <f>VLOOKUP(Allocation[[#This Row],[SAP Contract number]],Shipments[[SAP Contract number]:[Contracted container weight]],2,FALSE)</f>
        <v>#N/A</v>
      </c>
      <c r="W2727" s="34" t="e">
        <f>VLOOKUP(Allocation[[#This Row],[SAP Contract number]],Shipments[[SAP Contract number]:[AAA Premium USD]],24,FALSE)</f>
        <v>#N/A</v>
      </c>
      <c r="X2727" s="34" t="e">
        <f>VLOOKUP(Allocation[[#This Row],[SAP Contract number]],Shipments[[SAP Contract number]:[RA Premium USD]],25,FALSE)</f>
        <v>#N/A</v>
      </c>
      <c r="Y2727" s="38">
        <f>Allocation[[#This Row],[Quantity Processed]]/Allocation[[#This Row],[Quantity allocated]]</f>
        <v>1.5873261205564142</v>
      </c>
      <c r="Z2727" s="34" t="b">
        <f>Allocation[[#This Row],[Quantity allocated]]&lt;=Allocation[[#This Row],[Quantity Processed]]</f>
        <v>1</v>
      </c>
    </row>
    <row r="2728" spans="1:26">
      <c r="A2728" s="247" t="s">
        <v>467</v>
      </c>
      <c r="B2728" s="210" t="s">
        <v>68</v>
      </c>
      <c r="C2728" s="254" t="s">
        <v>2214</v>
      </c>
      <c r="D2728" s="255">
        <v>4578</v>
      </c>
      <c r="E2728" s="211" t="s">
        <v>2239</v>
      </c>
      <c r="F2728" s="212">
        <v>43712</v>
      </c>
      <c r="G2728" s="213">
        <v>1.84</v>
      </c>
      <c r="H2728" s="256">
        <v>2884</v>
      </c>
      <c r="I2728" s="214">
        <v>1490133</v>
      </c>
      <c r="J2728" s="215">
        <v>21000</v>
      </c>
      <c r="K2728" s="212">
        <v>43721</v>
      </c>
      <c r="L2728" s="211" t="s">
        <v>2254</v>
      </c>
      <c r="M2728" s="216">
        <v>4615450207</v>
      </c>
      <c r="N2728" s="212"/>
      <c r="O2728" s="218"/>
      <c r="P2728" s="219"/>
      <c r="Q2728" s="34">
        <f>SUMIF(Allocation[Delivery ID],Allocation[[#This Row],[Delivery ID]],Allocation[Quantity Processed])</f>
        <v>29717</v>
      </c>
      <c r="R2728" s="61">
        <f>Allocation[[#This Row],[Total volume used]]/VLOOKUP(Allocation[[#This Row],[Delivery ID]],Delivery[[Delivery ID]:[Quantity delivered]],3,FALSE)</f>
        <v>0.96405515004055153</v>
      </c>
      <c r="S2728" s="34">
        <f>Allocation[[#This Row],[Quantity Processed]]/Allocation[[#This Row],[Dilution rate]]</f>
        <v>2488.0434782608695</v>
      </c>
      <c r="T2728" s="59">
        <f>SUMIF(Allocation[Delivery ID],Allocation[[#This Row],[Delivery ID]],Allocation[Quantity allocated])/SUMIF(Allocation[Delivery ID],Allocation[[#This Row],[Delivery ID]],Allocation[Volume available (kg)])</f>
        <v>1.1592179560520914</v>
      </c>
      <c r="U2728" s="61">
        <f>Allocation[[#This Row],[Total volume used]]/VLOOKUP(Allocation[[#This Row],[Delivery ID]],Delivery[[Delivery ID]:[Quantity delivered]],3,FALSE)</f>
        <v>0.96405515004055153</v>
      </c>
      <c r="V2728" s="34" t="e">
        <f>VLOOKUP(Allocation[[#This Row],[SAP Contract number]],Shipments[[SAP Contract number]:[Contracted container weight]],2,FALSE)</f>
        <v>#N/A</v>
      </c>
      <c r="W2728" s="34" t="e">
        <f>VLOOKUP(Allocation[[#This Row],[SAP Contract number]],Shipments[[SAP Contract number]:[AAA Premium USD]],24,FALSE)</f>
        <v>#N/A</v>
      </c>
      <c r="X2728" s="34" t="e">
        <f>VLOOKUP(Allocation[[#This Row],[SAP Contract number]],Shipments[[SAP Contract number]:[RA Premium USD]],25,FALSE)</f>
        <v>#N/A</v>
      </c>
      <c r="Y2728" s="38">
        <f>Allocation[[#This Row],[Quantity Processed]]/Allocation[[#This Row],[Quantity allocated]]</f>
        <v>1.587378640776699</v>
      </c>
      <c r="Z2728" s="34" t="b">
        <f>Allocation[[#This Row],[Quantity allocated]]&lt;=Allocation[[#This Row],[Quantity Processed]]</f>
        <v>1</v>
      </c>
    </row>
    <row r="2729" spans="1:26">
      <c r="A2729" s="247" t="s">
        <v>467</v>
      </c>
      <c r="B2729" s="210" t="s">
        <v>68</v>
      </c>
      <c r="C2729" s="254" t="s">
        <v>2214</v>
      </c>
      <c r="D2729" s="255">
        <v>25139</v>
      </c>
      <c r="E2729" s="211" t="s">
        <v>2239</v>
      </c>
      <c r="F2729" s="212">
        <v>43712</v>
      </c>
      <c r="G2729" s="213">
        <v>1.84</v>
      </c>
      <c r="H2729" s="256">
        <v>15838</v>
      </c>
      <c r="I2729" s="214">
        <v>1490134</v>
      </c>
      <c r="J2729" s="215">
        <v>21000</v>
      </c>
      <c r="K2729" s="212">
        <v>43721</v>
      </c>
      <c r="L2729" s="211" t="s">
        <v>2255</v>
      </c>
      <c r="M2729" s="216">
        <v>4615450207</v>
      </c>
      <c r="N2729" s="212"/>
      <c r="O2729" s="218"/>
      <c r="P2729" s="219"/>
      <c r="Q2729" s="34">
        <f>SUMIF(Allocation[Delivery ID],Allocation[[#This Row],[Delivery ID]],Allocation[Quantity Processed])</f>
        <v>29717</v>
      </c>
      <c r="R2729" s="61">
        <f>Allocation[[#This Row],[Total volume used]]/VLOOKUP(Allocation[[#This Row],[Delivery ID]],Delivery[[Delivery ID]:[Quantity delivered]],3,FALSE)</f>
        <v>0.96405515004055153</v>
      </c>
      <c r="S2729" s="34">
        <f>Allocation[[#This Row],[Quantity Processed]]/Allocation[[#This Row],[Dilution rate]]</f>
        <v>13662.5</v>
      </c>
      <c r="T2729" s="59">
        <f>SUMIF(Allocation[Delivery ID],Allocation[[#This Row],[Delivery ID]],Allocation[Quantity allocated])/SUMIF(Allocation[Delivery ID],Allocation[[#This Row],[Delivery ID]],Allocation[Volume available (kg)])</f>
        <v>1.1592179560520914</v>
      </c>
      <c r="U2729" s="61">
        <f>Allocation[[#This Row],[Total volume used]]/VLOOKUP(Allocation[[#This Row],[Delivery ID]],Delivery[[Delivery ID]:[Quantity delivered]],3,FALSE)</f>
        <v>0.96405515004055153</v>
      </c>
      <c r="V2729" s="34" t="e">
        <f>VLOOKUP(Allocation[[#This Row],[SAP Contract number]],Shipments[[SAP Contract number]:[Contracted container weight]],2,FALSE)</f>
        <v>#N/A</v>
      </c>
      <c r="W2729" s="34" t="e">
        <f>VLOOKUP(Allocation[[#This Row],[SAP Contract number]],Shipments[[SAP Contract number]:[AAA Premium USD]],24,FALSE)</f>
        <v>#N/A</v>
      </c>
      <c r="X2729" s="34" t="e">
        <f>VLOOKUP(Allocation[[#This Row],[SAP Contract number]],Shipments[[SAP Contract number]:[RA Premium USD]],25,FALSE)</f>
        <v>#N/A</v>
      </c>
      <c r="Y2729" s="38">
        <f>Allocation[[#This Row],[Quantity Processed]]/Allocation[[#This Row],[Quantity allocated]]</f>
        <v>1.5872584922338679</v>
      </c>
      <c r="Z2729" s="34" t="b">
        <f>Allocation[[#This Row],[Quantity allocated]]&lt;=Allocation[[#This Row],[Quantity Processed]]</f>
        <v>1</v>
      </c>
    </row>
    <row r="2730" spans="1:26">
      <c r="A2730" s="247" t="s">
        <v>467</v>
      </c>
      <c r="B2730" s="210" t="s">
        <v>68</v>
      </c>
      <c r="C2730" s="254" t="s">
        <v>2215</v>
      </c>
      <c r="D2730" s="255">
        <v>4167</v>
      </c>
      <c r="E2730" s="211" t="s">
        <v>2239</v>
      </c>
      <c r="F2730" s="212">
        <v>43712</v>
      </c>
      <c r="G2730" s="213">
        <v>1.84</v>
      </c>
      <c r="H2730" s="256">
        <v>1500</v>
      </c>
      <c r="I2730" s="214">
        <v>1490134</v>
      </c>
      <c r="J2730" s="215">
        <v>21000</v>
      </c>
      <c r="K2730" s="212">
        <v>43721</v>
      </c>
      <c r="L2730" s="211" t="s">
        <v>2255</v>
      </c>
      <c r="M2730" s="216">
        <v>4615450207</v>
      </c>
      <c r="N2730" s="212"/>
      <c r="O2730" s="218"/>
      <c r="P2730" s="219"/>
      <c r="Q2730" s="34">
        <f>SUMIF(Allocation[Delivery ID],Allocation[[#This Row],[Delivery ID]],Allocation[Quantity Processed])</f>
        <v>4167</v>
      </c>
      <c r="R2730" s="61">
        <f>Allocation[[#This Row],[Total volume used]]/VLOOKUP(Allocation[[#This Row],[Delivery ID]],Delivery[[Delivery ID]:[Quantity delivered]],3,FALSE)</f>
        <v>0.34725</v>
      </c>
      <c r="S2730" s="34">
        <f>Allocation[[#This Row],[Quantity Processed]]/Allocation[[#This Row],[Dilution rate]]</f>
        <v>2264.673913043478</v>
      </c>
      <c r="T2730" s="59">
        <f>SUMIF(Allocation[Delivery ID],Allocation[[#This Row],[Delivery ID]],Allocation[Quantity allocated])/SUMIF(Allocation[Delivery ID],Allocation[[#This Row],[Delivery ID]],Allocation[Volume available (kg)])</f>
        <v>0.66234701223902093</v>
      </c>
      <c r="U2730" s="61">
        <f>Allocation[[#This Row],[Total volume used]]/VLOOKUP(Allocation[[#This Row],[Delivery ID]],Delivery[[Delivery ID]:[Quantity delivered]],3,FALSE)</f>
        <v>0.34725</v>
      </c>
      <c r="V2730" s="34" t="e">
        <f>VLOOKUP(Allocation[[#This Row],[SAP Contract number]],Shipments[[SAP Contract number]:[Contracted container weight]],2,FALSE)</f>
        <v>#N/A</v>
      </c>
      <c r="W2730" s="34" t="e">
        <f>VLOOKUP(Allocation[[#This Row],[SAP Contract number]],Shipments[[SAP Contract number]:[AAA Premium USD]],24,FALSE)</f>
        <v>#N/A</v>
      </c>
      <c r="X2730" s="34" t="e">
        <f>VLOOKUP(Allocation[[#This Row],[SAP Contract number]],Shipments[[SAP Contract number]:[RA Premium USD]],25,FALSE)</f>
        <v>#N/A</v>
      </c>
      <c r="Y2730" s="38">
        <f>Allocation[[#This Row],[Quantity Processed]]/Allocation[[#This Row],[Quantity allocated]]</f>
        <v>2.778</v>
      </c>
      <c r="Z2730" s="34" t="b">
        <f>Allocation[[#This Row],[Quantity allocated]]&lt;=Allocation[[#This Row],[Quantity Processed]]</f>
        <v>1</v>
      </c>
    </row>
    <row r="2731" spans="1:26">
      <c r="A2731" s="247" t="s">
        <v>467</v>
      </c>
      <c r="B2731" s="210" t="s">
        <v>68</v>
      </c>
      <c r="C2731" s="254" t="s">
        <v>2216</v>
      </c>
      <c r="D2731" s="255">
        <v>711</v>
      </c>
      <c r="E2731" s="211" t="s">
        <v>2239</v>
      </c>
      <c r="F2731" s="212">
        <v>43712</v>
      </c>
      <c r="G2731" s="213">
        <v>1.84</v>
      </c>
      <c r="H2731" s="256">
        <v>668</v>
      </c>
      <c r="I2731" s="214">
        <v>1490134</v>
      </c>
      <c r="J2731" s="215">
        <v>21000</v>
      </c>
      <c r="K2731" s="212">
        <v>43721</v>
      </c>
      <c r="L2731" s="211" t="s">
        <v>2255</v>
      </c>
      <c r="M2731" s="216">
        <v>4615450207</v>
      </c>
      <c r="N2731" s="212"/>
      <c r="O2731" s="218"/>
      <c r="P2731" s="219"/>
      <c r="Q2731" s="34">
        <f>SUMIF(Allocation[Delivery ID],Allocation[[#This Row],[Delivery ID]],Allocation[Quantity Processed])</f>
        <v>711</v>
      </c>
      <c r="R2731" s="61">
        <f>Allocation[[#This Row],[Total volume used]]/VLOOKUP(Allocation[[#This Row],[Delivery ID]],Delivery[[Delivery ID]:[Quantity delivered]],3,FALSE)</f>
        <v>4.7179827471798275E-2</v>
      </c>
      <c r="S2731" s="34">
        <f>Allocation[[#This Row],[Quantity Processed]]/Allocation[[#This Row],[Dilution rate]]</f>
        <v>386.41304347826087</v>
      </c>
      <c r="T2731" s="59">
        <f>SUMIF(Allocation[Delivery ID],Allocation[[#This Row],[Delivery ID]],Allocation[Quantity allocated])/SUMIF(Allocation[Delivery ID],Allocation[[#This Row],[Delivery ID]],Allocation[Volume available (kg)])</f>
        <v>1.7287201125175808</v>
      </c>
      <c r="U2731" s="61">
        <f>Allocation[[#This Row],[Total volume used]]/VLOOKUP(Allocation[[#This Row],[Delivery ID]],Delivery[[Delivery ID]:[Quantity delivered]],3,FALSE)</f>
        <v>4.7179827471798275E-2</v>
      </c>
      <c r="V2731" s="34" t="e">
        <f>VLOOKUP(Allocation[[#This Row],[SAP Contract number]],Shipments[[SAP Contract number]:[Contracted container weight]],2,FALSE)</f>
        <v>#N/A</v>
      </c>
      <c r="W2731" s="34" t="e">
        <f>VLOOKUP(Allocation[[#This Row],[SAP Contract number]],Shipments[[SAP Contract number]:[AAA Premium USD]],24,FALSE)</f>
        <v>#N/A</v>
      </c>
      <c r="X2731" s="34" t="e">
        <f>VLOOKUP(Allocation[[#This Row],[SAP Contract number]],Shipments[[SAP Contract number]:[RA Premium USD]],25,FALSE)</f>
        <v>#N/A</v>
      </c>
      <c r="Y2731" s="38">
        <f>Allocation[[#This Row],[Quantity Processed]]/Allocation[[#This Row],[Quantity allocated]]</f>
        <v>1.0643712574850299</v>
      </c>
      <c r="Z2731" s="34" t="b">
        <f>Allocation[[#This Row],[Quantity allocated]]&lt;=Allocation[[#This Row],[Quantity Processed]]</f>
        <v>1</v>
      </c>
    </row>
    <row r="2732" spans="1:26">
      <c r="A2732" s="247" t="s">
        <v>467</v>
      </c>
      <c r="B2732" s="210" t="s">
        <v>68</v>
      </c>
      <c r="C2732" s="254" t="s">
        <v>2217</v>
      </c>
      <c r="D2732" s="255">
        <v>1088</v>
      </c>
      <c r="E2732" s="211" t="s">
        <v>2239</v>
      </c>
      <c r="F2732" s="212">
        <v>43712</v>
      </c>
      <c r="G2732" s="213">
        <v>1.84</v>
      </c>
      <c r="H2732" s="256">
        <v>533</v>
      </c>
      <c r="I2732" s="214">
        <v>1490134</v>
      </c>
      <c r="J2732" s="215">
        <v>21000</v>
      </c>
      <c r="K2732" s="212">
        <v>43721</v>
      </c>
      <c r="L2732" s="211" t="s">
        <v>2255</v>
      </c>
      <c r="M2732" s="216">
        <v>4615450207</v>
      </c>
      <c r="N2732" s="212"/>
      <c r="O2732" s="218"/>
      <c r="P2732" s="219"/>
      <c r="Q2732" s="34">
        <f>SUMIF(Allocation[Delivery ID],Allocation[[#This Row],[Delivery ID]],Allocation[Quantity Processed])</f>
        <v>1088</v>
      </c>
      <c r="R2732" s="61">
        <f>Allocation[[#This Row],[Total volume used]]/VLOOKUP(Allocation[[#This Row],[Delivery ID]],Delivery[[Delivery ID]:[Quantity delivered]],3,FALSE)</f>
        <v>0.90666666666666662</v>
      </c>
      <c r="S2732" s="34">
        <f>Allocation[[#This Row],[Quantity Processed]]/Allocation[[#This Row],[Dilution rate]]</f>
        <v>591.30434782608688</v>
      </c>
      <c r="T2732" s="59">
        <f>SUMIF(Allocation[Delivery ID],Allocation[[#This Row],[Delivery ID]],Allocation[Quantity allocated])/SUMIF(Allocation[Delivery ID],Allocation[[#This Row],[Delivery ID]],Allocation[Volume available (kg)])</f>
        <v>0.9013970588235295</v>
      </c>
      <c r="U2732" s="61">
        <f>Allocation[[#This Row],[Total volume used]]/VLOOKUP(Allocation[[#This Row],[Delivery ID]],Delivery[[Delivery ID]:[Quantity delivered]],3,FALSE)</f>
        <v>0.90666666666666662</v>
      </c>
      <c r="V2732" s="34" t="e">
        <f>VLOOKUP(Allocation[[#This Row],[SAP Contract number]],Shipments[[SAP Contract number]:[Contracted container weight]],2,FALSE)</f>
        <v>#N/A</v>
      </c>
      <c r="W2732" s="34" t="e">
        <f>VLOOKUP(Allocation[[#This Row],[SAP Contract number]],Shipments[[SAP Contract number]:[AAA Premium USD]],24,FALSE)</f>
        <v>#N/A</v>
      </c>
      <c r="X2732" s="34" t="e">
        <f>VLOOKUP(Allocation[[#This Row],[SAP Contract number]],Shipments[[SAP Contract number]:[RA Premium USD]],25,FALSE)</f>
        <v>#N/A</v>
      </c>
      <c r="Y2732" s="38">
        <f>Allocation[[#This Row],[Quantity Processed]]/Allocation[[#This Row],[Quantity allocated]]</f>
        <v>2.0412757973733582</v>
      </c>
      <c r="Z2732" s="34" t="b">
        <f>Allocation[[#This Row],[Quantity allocated]]&lt;=Allocation[[#This Row],[Quantity Processed]]</f>
        <v>1</v>
      </c>
    </row>
    <row r="2733" spans="1:26">
      <c r="A2733" s="247" t="s">
        <v>467</v>
      </c>
      <c r="B2733" s="210" t="s">
        <v>68</v>
      </c>
      <c r="C2733" s="254" t="s">
        <v>2078</v>
      </c>
      <c r="D2733" s="255">
        <v>233</v>
      </c>
      <c r="E2733" s="211" t="s">
        <v>2239</v>
      </c>
      <c r="F2733" s="212">
        <v>43712</v>
      </c>
      <c r="G2733" s="213">
        <v>1.84</v>
      </c>
      <c r="H2733" s="256">
        <v>114</v>
      </c>
      <c r="I2733" s="214">
        <v>1490134</v>
      </c>
      <c r="J2733" s="215">
        <v>21000</v>
      </c>
      <c r="K2733" s="212">
        <v>43721</v>
      </c>
      <c r="L2733" s="211" t="s">
        <v>2255</v>
      </c>
      <c r="M2733" s="216">
        <v>4615450207</v>
      </c>
      <c r="N2733" s="212"/>
      <c r="O2733" s="218"/>
      <c r="P2733" s="219"/>
      <c r="Q2733" s="34">
        <f>SUMIF(Allocation[Delivery ID],Allocation[[#This Row],[Delivery ID]],Allocation[Quantity Processed])</f>
        <v>1031</v>
      </c>
      <c r="R2733" s="61">
        <f>Allocation[[#This Row],[Total volume used]]/VLOOKUP(Allocation[[#This Row],[Delivery ID]],Delivery[[Delivery ID]:[Quantity delivered]],3,FALSE)</f>
        <v>0.12509858642237456</v>
      </c>
      <c r="S2733" s="34">
        <f>Allocation[[#This Row],[Quantity Processed]]/Allocation[[#This Row],[Dilution rate]]</f>
        <v>126.63043478260869</v>
      </c>
      <c r="T2733" s="59">
        <f>SUMIF(Allocation[Delivery ID],Allocation[[#This Row],[Delivery ID]],Allocation[Quantity allocated])/SUMIF(Allocation[Delivery ID],Allocation[[#This Row],[Delivery ID]],Allocation[Volume available (kg)])</f>
        <v>0.96802648815356529</v>
      </c>
      <c r="U2733" s="61">
        <f>Allocation[[#This Row],[Total volume used]]/VLOOKUP(Allocation[[#This Row],[Delivery ID]],Delivery[[Delivery ID]:[Quantity delivered]],3,FALSE)</f>
        <v>0.12509858642237456</v>
      </c>
      <c r="V2733" s="34" t="e">
        <f>VLOOKUP(Allocation[[#This Row],[SAP Contract number]],Shipments[[SAP Contract number]:[Contracted container weight]],2,FALSE)</f>
        <v>#N/A</v>
      </c>
      <c r="W2733" s="34" t="e">
        <f>VLOOKUP(Allocation[[#This Row],[SAP Contract number]],Shipments[[SAP Contract number]:[AAA Premium USD]],24,FALSE)</f>
        <v>#N/A</v>
      </c>
      <c r="X2733" s="34" t="e">
        <f>VLOOKUP(Allocation[[#This Row],[SAP Contract number]],Shipments[[SAP Contract number]:[RA Premium USD]],25,FALSE)</f>
        <v>#N/A</v>
      </c>
      <c r="Y2733" s="38">
        <f>Allocation[[#This Row],[Quantity Processed]]/Allocation[[#This Row],[Quantity allocated]]</f>
        <v>2.0438596491228069</v>
      </c>
      <c r="Z2733" s="34" t="b">
        <f>Allocation[[#This Row],[Quantity allocated]]&lt;=Allocation[[#This Row],[Quantity Processed]]</f>
        <v>1</v>
      </c>
    </row>
    <row r="2734" spans="1:26">
      <c r="A2734" s="247" t="s">
        <v>467</v>
      </c>
      <c r="B2734" s="210" t="s">
        <v>68</v>
      </c>
      <c r="C2734" s="254" t="s">
        <v>2079</v>
      </c>
      <c r="D2734" s="255">
        <v>3121</v>
      </c>
      <c r="E2734" s="211" t="s">
        <v>2239</v>
      </c>
      <c r="F2734" s="212">
        <v>43712</v>
      </c>
      <c r="G2734" s="213">
        <v>1.84</v>
      </c>
      <c r="H2734" s="256">
        <v>1499</v>
      </c>
      <c r="I2734" s="214">
        <v>1490134</v>
      </c>
      <c r="J2734" s="215">
        <v>21000</v>
      </c>
      <c r="K2734" s="212">
        <v>43721</v>
      </c>
      <c r="L2734" s="211" t="s">
        <v>2255</v>
      </c>
      <c r="M2734" s="216">
        <v>4615450207</v>
      </c>
      <c r="N2734" s="212"/>
      <c r="O2734" s="218"/>
      <c r="P2734" s="219"/>
      <c r="Q2734" s="34">
        <f>SUMIF(Allocation[Delivery ID],Allocation[[#This Row],[Delivery ID]],Allocation[Quantity Processed])</f>
        <v>5484</v>
      </c>
      <c r="R2734" s="61">
        <f>Allocation[[#This Row],[Total volume used]]/VLOOKUP(Allocation[[#This Row],[Delivery ID]],Delivery[[Delivery ID]:[Quantity delivered]],3,FALSE)</f>
        <v>0.22947526989706252</v>
      </c>
      <c r="S2734" s="34">
        <f>Allocation[[#This Row],[Quantity Processed]]/Allocation[[#This Row],[Dilution rate]]</f>
        <v>1696.195652173913</v>
      </c>
      <c r="T2734" s="59">
        <f>SUMIF(Allocation[Delivery ID],Allocation[[#This Row],[Delivery ID]],Allocation[Quantity allocated])/SUMIF(Allocation[Delivery ID],Allocation[[#This Row],[Delivery ID]],Allocation[Volume available (kg)])</f>
        <v>0.91870278267498029</v>
      </c>
      <c r="U2734" s="61">
        <f>Allocation[[#This Row],[Total volume used]]/VLOOKUP(Allocation[[#This Row],[Delivery ID]],Delivery[[Delivery ID]:[Quantity delivered]],3,FALSE)</f>
        <v>0.22947526989706252</v>
      </c>
      <c r="V2734" s="34" t="e">
        <f>VLOOKUP(Allocation[[#This Row],[SAP Contract number]],Shipments[[SAP Contract number]:[Contracted container weight]],2,FALSE)</f>
        <v>#N/A</v>
      </c>
      <c r="W2734" s="34" t="e">
        <f>VLOOKUP(Allocation[[#This Row],[SAP Contract number]],Shipments[[SAP Contract number]:[AAA Premium USD]],24,FALSE)</f>
        <v>#N/A</v>
      </c>
      <c r="X2734" s="34" t="e">
        <f>VLOOKUP(Allocation[[#This Row],[SAP Contract number]],Shipments[[SAP Contract number]:[RA Premium USD]],25,FALSE)</f>
        <v>#N/A</v>
      </c>
      <c r="Y2734" s="38">
        <f>Allocation[[#This Row],[Quantity Processed]]/Allocation[[#This Row],[Quantity allocated]]</f>
        <v>2.0820547031354235</v>
      </c>
      <c r="Z2734" s="34" t="b">
        <f>Allocation[[#This Row],[Quantity allocated]]&lt;=Allocation[[#This Row],[Quantity Processed]]</f>
        <v>1</v>
      </c>
    </row>
    <row r="2735" spans="1:26">
      <c r="A2735" s="247" t="s">
        <v>467</v>
      </c>
      <c r="B2735" s="210" t="s">
        <v>68</v>
      </c>
      <c r="C2735" s="254" t="s">
        <v>2080</v>
      </c>
      <c r="D2735" s="255">
        <v>339</v>
      </c>
      <c r="E2735" s="211" t="s">
        <v>2239</v>
      </c>
      <c r="F2735" s="212">
        <v>43712</v>
      </c>
      <c r="G2735" s="213">
        <v>1.84</v>
      </c>
      <c r="H2735" s="256">
        <v>169</v>
      </c>
      <c r="I2735" s="214">
        <v>1490134</v>
      </c>
      <c r="J2735" s="215">
        <v>21000</v>
      </c>
      <c r="K2735" s="212">
        <v>43721</v>
      </c>
      <c r="L2735" s="211" t="s">
        <v>2255</v>
      </c>
      <c r="M2735" s="216">
        <v>4615450207</v>
      </c>
      <c r="N2735" s="212"/>
      <c r="O2735" s="218"/>
      <c r="P2735" s="219"/>
      <c r="Q2735" s="34">
        <f>SUMIF(Allocation[Delivery ID],Allocation[[#This Row],[Delivery ID]],Allocation[Quantity Processed])</f>
        <v>1503</v>
      </c>
      <c r="R2735" s="61">
        <f>Allocation[[#This Row],[Total volume used]]/VLOOKUP(Allocation[[#This Row],[Delivery ID]],Delivery[[Delivery ID]:[Quantity delivered]],3,FALSE)</f>
        <v>0.12255881273698373</v>
      </c>
      <c r="S2735" s="34">
        <f>Allocation[[#This Row],[Quantity Processed]]/Allocation[[#This Row],[Dilution rate]]</f>
        <v>184.2391304347826</v>
      </c>
      <c r="T2735" s="59">
        <f>SUMIF(Allocation[Delivery ID],Allocation[[#This Row],[Delivery ID]],Allocation[Quantity allocated])/SUMIF(Allocation[Delivery ID],Allocation[[#This Row],[Delivery ID]],Allocation[Volume available (kg)])</f>
        <v>0.9875384038435685</v>
      </c>
      <c r="U2735" s="61">
        <f>Allocation[[#This Row],[Total volume used]]/VLOOKUP(Allocation[[#This Row],[Delivery ID]],Delivery[[Delivery ID]:[Quantity delivered]],3,FALSE)</f>
        <v>0.12255881273698373</v>
      </c>
      <c r="V2735" s="34" t="e">
        <f>VLOOKUP(Allocation[[#This Row],[SAP Contract number]],Shipments[[SAP Contract number]:[Contracted container weight]],2,FALSE)</f>
        <v>#N/A</v>
      </c>
      <c r="W2735" s="34" t="e">
        <f>VLOOKUP(Allocation[[#This Row],[SAP Contract number]],Shipments[[SAP Contract number]:[AAA Premium USD]],24,FALSE)</f>
        <v>#N/A</v>
      </c>
      <c r="X2735" s="34" t="e">
        <f>VLOOKUP(Allocation[[#This Row],[SAP Contract number]],Shipments[[SAP Contract number]:[RA Premium USD]],25,FALSE)</f>
        <v>#N/A</v>
      </c>
      <c r="Y2735" s="38">
        <f>Allocation[[#This Row],[Quantity Processed]]/Allocation[[#This Row],[Quantity allocated]]</f>
        <v>2.0059171597633134</v>
      </c>
      <c r="Z2735" s="34" t="b">
        <f>Allocation[[#This Row],[Quantity allocated]]&lt;=Allocation[[#This Row],[Quantity Processed]]</f>
        <v>1</v>
      </c>
    </row>
    <row r="2736" spans="1:26">
      <c r="A2736" s="247" t="s">
        <v>467</v>
      </c>
      <c r="B2736" s="210" t="s">
        <v>68</v>
      </c>
      <c r="C2736" s="254" t="s">
        <v>2218</v>
      </c>
      <c r="D2736" s="255">
        <v>1380</v>
      </c>
      <c r="E2736" s="211" t="s">
        <v>2239</v>
      </c>
      <c r="F2736" s="212">
        <v>43712</v>
      </c>
      <c r="G2736" s="213">
        <v>1.84</v>
      </c>
      <c r="H2736" s="256">
        <v>455</v>
      </c>
      <c r="I2736" s="214">
        <v>1490134</v>
      </c>
      <c r="J2736" s="215">
        <v>21000</v>
      </c>
      <c r="K2736" s="212">
        <v>43721</v>
      </c>
      <c r="L2736" s="211" t="s">
        <v>2255</v>
      </c>
      <c r="M2736" s="216">
        <v>4615450207</v>
      </c>
      <c r="N2736" s="212"/>
      <c r="O2736" s="218"/>
      <c r="P2736" s="219"/>
      <c r="Q2736" s="34">
        <f>SUMIF(Allocation[Delivery ID],Allocation[[#This Row],[Delivery ID]],Allocation[Quantity Processed])</f>
        <v>1380</v>
      </c>
      <c r="R2736" s="61">
        <f>Allocation[[#This Row],[Total volume used]]/VLOOKUP(Allocation[[#This Row],[Delivery ID]],Delivery[[Delivery ID]:[Quantity delivered]],3,FALSE)</f>
        <v>0.13425430489347212</v>
      </c>
      <c r="S2736" s="34">
        <f>Allocation[[#This Row],[Quantity Processed]]/Allocation[[#This Row],[Dilution rate]]</f>
        <v>750</v>
      </c>
      <c r="T2736" s="59">
        <f>SUMIF(Allocation[Delivery ID],Allocation[[#This Row],[Delivery ID]],Allocation[Quantity allocated])/SUMIF(Allocation[Delivery ID],Allocation[[#This Row],[Delivery ID]],Allocation[Volume available (kg)])</f>
        <v>0.60666666666666669</v>
      </c>
      <c r="U2736" s="61">
        <f>Allocation[[#This Row],[Total volume used]]/VLOOKUP(Allocation[[#This Row],[Delivery ID]],Delivery[[Delivery ID]:[Quantity delivered]],3,FALSE)</f>
        <v>0.13425430489347212</v>
      </c>
      <c r="V2736" s="34" t="e">
        <f>VLOOKUP(Allocation[[#This Row],[SAP Contract number]],Shipments[[SAP Contract number]:[Contracted container weight]],2,FALSE)</f>
        <v>#N/A</v>
      </c>
      <c r="W2736" s="34" t="e">
        <f>VLOOKUP(Allocation[[#This Row],[SAP Contract number]],Shipments[[SAP Contract number]:[AAA Premium USD]],24,FALSE)</f>
        <v>#N/A</v>
      </c>
      <c r="X2736" s="34" t="e">
        <f>VLOOKUP(Allocation[[#This Row],[SAP Contract number]],Shipments[[SAP Contract number]:[RA Premium USD]],25,FALSE)</f>
        <v>#N/A</v>
      </c>
      <c r="Y2736" s="38">
        <f>Allocation[[#This Row],[Quantity Processed]]/Allocation[[#This Row],[Quantity allocated]]</f>
        <v>3.0329670329670328</v>
      </c>
      <c r="Z2736" s="34" t="b">
        <f>Allocation[[#This Row],[Quantity allocated]]&lt;=Allocation[[#This Row],[Quantity Processed]]</f>
        <v>1</v>
      </c>
    </row>
    <row r="2737" spans="1:26">
      <c r="A2737" s="247" t="s">
        <v>467</v>
      </c>
      <c r="B2737" s="210" t="s">
        <v>68</v>
      </c>
      <c r="C2737" s="254" t="s">
        <v>2219</v>
      </c>
      <c r="D2737" s="255">
        <v>640</v>
      </c>
      <c r="E2737" s="211" t="s">
        <v>2239</v>
      </c>
      <c r="F2737" s="212">
        <v>43712</v>
      </c>
      <c r="G2737" s="213">
        <v>1.84</v>
      </c>
      <c r="H2737" s="256">
        <v>224</v>
      </c>
      <c r="I2737" s="214">
        <v>1490134</v>
      </c>
      <c r="J2737" s="215">
        <v>21000</v>
      </c>
      <c r="K2737" s="212">
        <v>43721</v>
      </c>
      <c r="L2737" s="211" t="s">
        <v>2255</v>
      </c>
      <c r="M2737" s="216">
        <v>4615450207</v>
      </c>
      <c r="N2737" s="212"/>
      <c r="O2737" s="218"/>
      <c r="P2737" s="219"/>
      <c r="Q2737" s="34">
        <f>SUMIF(Allocation[Delivery ID],Allocation[[#This Row],[Delivery ID]],Allocation[Quantity Processed])</f>
        <v>640</v>
      </c>
      <c r="R2737" s="61">
        <f>Allocation[[#This Row],[Total volume used]]/VLOOKUP(Allocation[[#This Row],[Delivery ID]],Delivery[[Delivery ID]:[Quantity delivered]],3,FALSE)</f>
        <v>0.23703703703703705</v>
      </c>
      <c r="S2737" s="34">
        <f>Allocation[[#This Row],[Quantity Processed]]/Allocation[[#This Row],[Dilution rate]]</f>
        <v>347.82608695652175</v>
      </c>
      <c r="T2737" s="59">
        <f>SUMIF(Allocation[Delivery ID],Allocation[[#This Row],[Delivery ID]],Allocation[Quantity allocated])/SUMIF(Allocation[Delivery ID],Allocation[[#This Row],[Delivery ID]],Allocation[Volume available (kg)])</f>
        <v>0.64400000000000002</v>
      </c>
      <c r="U2737" s="61">
        <f>Allocation[[#This Row],[Total volume used]]/VLOOKUP(Allocation[[#This Row],[Delivery ID]],Delivery[[Delivery ID]:[Quantity delivered]],3,FALSE)</f>
        <v>0.23703703703703705</v>
      </c>
      <c r="V2737" s="34" t="e">
        <f>VLOOKUP(Allocation[[#This Row],[SAP Contract number]],Shipments[[SAP Contract number]:[Contracted container weight]],2,FALSE)</f>
        <v>#N/A</v>
      </c>
      <c r="W2737" s="34" t="e">
        <f>VLOOKUP(Allocation[[#This Row],[SAP Contract number]],Shipments[[SAP Contract number]:[AAA Premium USD]],24,FALSE)</f>
        <v>#N/A</v>
      </c>
      <c r="X2737" s="34" t="e">
        <f>VLOOKUP(Allocation[[#This Row],[SAP Contract number]],Shipments[[SAP Contract number]:[RA Premium USD]],25,FALSE)</f>
        <v>#N/A</v>
      </c>
      <c r="Y2737" s="38">
        <f>Allocation[[#This Row],[Quantity Processed]]/Allocation[[#This Row],[Quantity allocated]]</f>
        <v>2.8571428571428572</v>
      </c>
      <c r="Z2737" s="34" t="b">
        <f>Allocation[[#This Row],[Quantity allocated]]&lt;=Allocation[[#This Row],[Quantity Processed]]</f>
        <v>1</v>
      </c>
    </row>
    <row r="2738" spans="1:26">
      <c r="A2738" s="247" t="s">
        <v>467</v>
      </c>
      <c r="B2738" s="210" t="s">
        <v>68</v>
      </c>
      <c r="C2738" s="254" t="s">
        <v>1983</v>
      </c>
      <c r="D2738" s="255">
        <v>2000</v>
      </c>
      <c r="E2738" s="211" t="s">
        <v>2256</v>
      </c>
      <c r="F2738" s="212">
        <v>43710</v>
      </c>
      <c r="G2738" s="213">
        <v>2.4</v>
      </c>
      <c r="H2738" s="256">
        <v>1000</v>
      </c>
      <c r="I2738" s="214">
        <v>1490136</v>
      </c>
      <c r="J2738" s="215">
        <v>21600</v>
      </c>
      <c r="K2738" s="212">
        <v>43718</v>
      </c>
      <c r="L2738" s="211" t="s">
        <v>2257</v>
      </c>
      <c r="M2738" s="216">
        <v>4615445946</v>
      </c>
      <c r="N2738" s="212"/>
      <c r="O2738" s="218"/>
      <c r="P2738" s="219"/>
      <c r="Q2738" s="34">
        <f>SUMIF(Allocation[Delivery ID],Allocation[[#This Row],[Delivery ID]],Allocation[Quantity Processed])</f>
        <v>16606</v>
      </c>
      <c r="R2738" s="61">
        <f>Allocation[[#This Row],[Total volume used]]/VLOOKUP(Allocation[[#This Row],[Delivery ID]],Delivery[[Delivery ID]:[Quantity delivered]],3,FALSE)</f>
        <v>0.90701040500314056</v>
      </c>
      <c r="S2738" s="34">
        <f>Allocation[[#This Row],[Quantity Processed]]/Allocation[[#This Row],[Dilution rate]]</f>
        <v>833.33333333333337</v>
      </c>
      <c r="T2738" s="59">
        <f>SUMIF(Allocation[Delivery ID],Allocation[[#This Row],[Delivery ID]],Allocation[Quantity allocated])/SUMIF(Allocation[Delivery ID],Allocation[[#This Row],[Delivery ID]],Allocation[Volume available (kg)])</f>
        <v>1.4145081068379417</v>
      </c>
      <c r="U2738" s="61">
        <f>Allocation[[#This Row],[Total volume used]]/VLOOKUP(Allocation[[#This Row],[Delivery ID]],Delivery[[Delivery ID]:[Quantity delivered]],3,FALSE)</f>
        <v>0.90701040500314056</v>
      </c>
      <c r="V2738" s="34" t="e">
        <f>VLOOKUP(Allocation[[#This Row],[SAP Contract number]],Shipments[[SAP Contract number]:[Contracted container weight]],2,FALSE)</f>
        <v>#N/A</v>
      </c>
      <c r="W2738" s="34" t="e">
        <f>VLOOKUP(Allocation[[#This Row],[SAP Contract number]],Shipments[[SAP Contract number]:[AAA Premium USD]],24,FALSE)</f>
        <v>#N/A</v>
      </c>
      <c r="X2738" s="34" t="e">
        <f>VLOOKUP(Allocation[[#This Row],[SAP Contract number]],Shipments[[SAP Contract number]:[RA Premium USD]],25,FALSE)</f>
        <v>#N/A</v>
      </c>
      <c r="Y2738" s="38">
        <f>Allocation[[#This Row],[Quantity Processed]]/Allocation[[#This Row],[Quantity allocated]]</f>
        <v>2</v>
      </c>
      <c r="Z2738" s="34" t="b">
        <f>Allocation[[#This Row],[Quantity allocated]]&lt;=Allocation[[#This Row],[Quantity Processed]]</f>
        <v>1</v>
      </c>
    </row>
    <row r="2739" spans="1:26">
      <c r="A2739" s="247" t="s">
        <v>467</v>
      </c>
      <c r="B2739" s="210" t="s">
        <v>68</v>
      </c>
      <c r="C2739" s="254" t="s">
        <v>1984</v>
      </c>
      <c r="D2739" s="255">
        <v>2000</v>
      </c>
      <c r="E2739" s="211" t="s">
        <v>2256</v>
      </c>
      <c r="F2739" s="212">
        <v>43710</v>
      </c>
      <c r="G2739" s="213">
        <v>2.4</v>
      </c>
      <c r="H2739" s="256">
        <v>1000</v>
      </c>
      <c r="I2739" s="214">
        <v>1490136</v>
      </c>
      <c r="J2739" s="215">
        <v>21600</v>
      </c>
      <c r="K2739" s="212">
        <v>43718</v>
      </c>
      <c r="L2739" s="211" t="s">
        <v>2257</v>
      </c>
      <c r="M2739" s="216">
        <v>4615445946</v>
      </c>
      <c r="N2739" s="212"/>
      <c r="O2739" s="218"/>
      <c r="P2739" s="219"/>
      <c r="Q2739" s="34">
        <f>SUMIF(Allocation[Delivery ID],Allocation[[#This Row],[Delivery ID]],Allocation[Quantity Processed])</f>
        <v>16084</v>
      </c>
      <c r="R2739" s="61">
        <f>Allocation[[#This Row],[Total volume used]]/VLOOKUP(Allocation[[#This Row],[Delivery ID]],Delivery[[Delivery ID]:[Quantity delivered]],3,FALSE)</f>
        <v>0.91179138321995468</v>
      </c>
      <c r="S2739" s="34">
        <f>Allocation[[#This Row],[Quantity Processed]]/Allocation[[#This Row],[Dilution rate]]</f>
        <v>833.33333333333337</v>
      </c>
      <c r="T2739" s="59">
        <f>SUMIF(Allocation[Delivery ID],Allocation[[#This Row],[Delivery ID]],Allocation[Quantity allocated])/SUMIF(Allocation[Delivery ID],Allocation[[#This Row],[Delivery ID]],Allocation[Volume available (kg)])</f>
        <v>1.4133853177649389</v>
      </c>
      <c r="U2739" s="61">
        <f>Allocation[[#This Row],[Total volume used]]/VLOOKUP(Allocation[[#This Row],[Delivery ID]],Delivery[[Delivery ID]:[Quantity delivered]],3,FALSE)</f>
        <v>0.91179138321995468</v>
      </c>
      <c r="V2739" s="34" t="e">
        <f>VLOOKUP(Allocation[[#This Row],[SAP Contract number]],Shipments[[SAP Contract number]:[Contracted container weight]],2,FALSE)</f>
        <v>#N/A</v>
      </c>
      <c r="W2739" s="34" t="e">
        <f>VLOOKUP(Allocation[[#This Row],[SAP Contract number]],Shipments[[SAP Contract number]:[AAA Premium USD]],24,FALSE)</f>
        <v>#N/A</v>
      </c>
      <c r="X2739" s="34" t="e">
        <f>VLOOKUP(Allocation[[#This Row],[SAP Contract number]],Shipments[[SAP Contract number]:[RA Premium USD]],25,FALSE)</f>
        <v>#N/A</v>
      </c>
      <c r="Y2739" s="38">
        <f>Allocation[[#This Row],[Quantity Processed]]/Allocation[[#This Row],[Quantity allocated]]</f>
        <v>2</v>
      </c>
      <c r="Z2739" s="34" t="b">
        <f>Allocation[[#This Row],[Quantity allocated]]&lt;=Allocation[[#This Row],[Quantity Processed]]</f>
        <v>1</v>
      </c>
    </row>
    <row r="2740" spans="1:26">
      <c r="A2740" s="247" t="s">
        <v>467</v>
      </c>
      <c r="B2740" s="210" t="s">
        <v>68</v>
      </c>
      <c r="C2740" s="254" t="s">
        <v>1442</v>
      </c>
      <c r="D2740" s="255">
        <v>4000</v>
      </c>
      <c r="E2740" s="211" t="s">
        <v>2256</v>
      </c>
      <c r="F2740" s="212">
        <v>43710</v>
      </c>
      <c r="G2740" s="213">
        <v>2.4</v>
      </c>
      <c r="H2740" s="256">
        <v>2000</v>
      </c>
      <c r="I2740" s="214">
        <v>1490136</v>
      </c>
      <c r="J2740" s="215">
        <v>21600</v>
      </c>
      <c r="K2740" s="212">
        <v>43718</v>
      </c>
      <c r="L2740" s="211" t="s">
        <v>2257</v>
      </c>
      <c r="M2740" s="216">
        <v>4615445946</v>
      </c>
      <c r="N2740" s="212"/>
      <c r="O2740" s="218"/>
      <c r="P2740" s="219"/>
      <c r="Q2740" s="34">
        <f>SUMIF(Allocation[Delivery ID],Allocation[[#This Row],[Delivery ID]],Allocation[Quantity Processed])</f>
        <v>22028</v>
      </c>
      <c r="R2740" s="61">
        <f>Allocation[[#This Row],[Total volume used]]/VLOOKUP(Allocation[[#This Row],[Delivery ID]],Delivery[[Delivery ID]:[Quantity delivered]],3,FALSE)</f>
        <v>0.9151641046946406</v>
      </c>
      <c r="S2740" s="34">
        <f>Allocation[[#This Row],[Quantity Processed]]/Allocation[[#This Row],[Dilution rate]]</f>
        <v>1666.6666666666667</v>
      </c>
      <c r="T2740" s="59">
        <f>SUMIF(Allocation[Delivery ID],Allocation[[#This Row],[Delivery ID]],Allocation[Quantity allocated])/SUMIF(Allocation[Delivery ID],Allocation[[#This Row],[Delivery ID]],Allocation[Volume available (kg)])</f>
        <v>1.4275043426184424</v>
      </c>
      <c r="U2740" s="61">
        <f>Allocation[[#This Row],[Total volume used]]/VLOOKUP(Allocation[[#This Row],[Delivery ID]],Delivery[[Delivery ID]:[Quantity delivered]],3,FALSE)</f>
        <v>0.9151641046946406</v>
      </c>
      <c r="V2740" s="34" t="e">
        <f>VLOOKUP(Allocation[[#This Row],[SAP Contract number]],Shipments[[SAP Contract number]:[Contracted container weight]],2,FALSE)</f>
        <v>#N/A</v>
      </c>
      <c r="W2740" s="34" t="e">
        <f>VLOOKUP(Allocation[[#This Row],[SAP Contract number]],Shipments[[SAP Contract number]:[AAA Premium USD]],24,FALSE)</f>
        <v>#N/A</v>
      </c>
      <c r="X2740" s="34" t="e">
        <f>VLOOKUP(Allocation[[#This Row],[SAP Contract number]],Shipments[[SAP Contract number]:[RA Premium USD]],25,FALSE)</f>
        <v>#N/A</v>
      </c>
      <c r="Y2740" s="38">
        <f>Allocation[[#This Row],[Quantity Processed]]/Allocation[[#This Row],[Quantity allocated]]</f>
        <v>2</v>
      </c>
      <c r="Z2740" s="34" t="b">
        <f>Allocation[[#This Row],[Quantity allocated]]&lt;=Allocation[[#This Row],[Quantity Processed]]</f>
        <v>1</v>
      </c>
    </row>
    <row r="2741" spans="1:26">
      <c r="A2741" s="247" t="s">
        <v>467</v>
      </c>
      <c r="B2741" s="210" t="s">
        <v>68</v>
      </c>
      <c r="C2741" s="254" t="s">
        <v>1985</v>
      </c>
      <c r="D2741" s="255">
        <v>3615</v>
      </c>
      <c r="E2741" s="211" t="s">
        <v>2256</v>
      </c>
      <c r="F2741" s="212">
        <v>43710</v>
      </c>
      <c r="G2741" s="213">
        <v>2.4</v>
      </c>
      <c r="H2741" s="256">
        <v>1200</v>
      </c>
      <c r="I2741" s="214">
        <v>1490136</v>
      </c>
      <c r="J2741" s="215">
        <v>21600</v>
      </c>
      <c r="K2741" s="212">
        <v>43718</v>
      </c>
      <c r="L2741" s="211" t="s">
        <v>2257</v>
      </c>
      <c r="M2741" s="216">
        <v>4615445946</v>
      </c>
      <c r="N2741" s="212"/>
      <c r="O2741" s="218"/>
      <c r="P2741" s="219"/>
      <c r="Q2741" s="34">
        <f>SUMIF(Allocation[Delivery ID],Allocation[[#This Row],[Delivery ID]],Allocation[Quantity Processed])</f>
        <v>10770</v>
      </c>
      <c r="R2741" s="61">
        <f>Allocation[[#This Row],[Total volume used]]/VLOOKUP(Allocation[[#This Row],[Delivery ID]],Delivery[[Delivery ID]:[Quantity delivered]],3,FALSE)</f>
        <v>1</v>
      </c>
      <c r="S2741" s="34">
        <f>Allocation[[#This Row],[Quantity Processed]]/Allocation[[#This Row],[Dilution rate]]</f>
        <v>1506.25</v>
      </c>
      <c r="T2741" s="59">
        <f>SUMIF(Allocation[Delivery ID],Allocation[[#This Row],[Delivery ID]],Allocation[Quantity allocated])/SUMIF(Allocation[Delivery ID],Allocation[[#This Row],[Delivery ID]],Allocation[Volume available (kg)])</f>
        <v>0.89618918479145193</v>
      </c>
      <c r="U2741" s="61">
        <f>Allocation[[#This Row],[Total volume used]]/VLOOKUP(Allocation[[#This Row],[Delivery ID]],Delivery[[Delivery ID]:[Quantity delivered]],3,FALSE)</f>
        <v>1</v>
      </c>
      <c r="V2741" s="34" t="e">
        <f>VLOOKUP(Allocation[[#This Row],[SAP Contract number]],Shipments[[SAP Contract number]:[Contracted container weight]],2,FALSE)</f>
        <v>#N/A</v>
      </c>
      <c r="W2741" s="34" t="e">
        <f>VLOOKUP(Allocation[[#This Row],[SAP Contract number]],Shipments[[SAP Contract number]:[AAA Premium USD]],24,FALSE)</f>
        <v>#N/A</v>
      </c>
      <c r="X2741" s="34" t="e">
        <f>VLOOKUP(Allocation[[#This Row],[SAP Contract number]],Shipments[[SAP Contract number]:[RA Premium USD]],25,FALSE)</f>
        <v>#N/A</v>
      </c>
      <c r="Y2741" s="38">
        <f>Allocation[[#This Row],[Quantity Processed]]/Allocation[[#This Row],[Quantity allocated]]</f>
        <v>3.0125000000000002</v>
      </c>
      <c r="Z2741" s="34" t="b">
        <f>Allocation[[#This Row],[Quantity allocated]]&lt;=Allocation[[#This Row],[Quantity Processed]]</f>
        <v>1</v>
      </c>
    </row>
    <row r="2742" spans="1:26">
      <c r="A2742" s="247" t="s">
        <v>467</v>
      </c>
      <c r="B2742" s="210" t="s">
        <v>68</v>
      </c>
      <c r="C2742" s="254" t="s">
        <v>1986</v>
      </c>
      <c r="D2742" s="255">
        <v>4010</v>
      </c>
      <c r="E2742" s="211" t="s">
        <v>2256</v>
      </c>
      <c r="F2742" s="212">
        <v>43710</v>
      </c>
      <c r="G2742" s="213">
        <v>2.4</v>
      </c>
      <c r="H2742" s="256">
        <v>1350</v>
      </c>
      <c r="I2742" s="214">
        <v>1490136</v>
      </c>
      <c r="J2742" s="215">
        <v>21600</v>
      </c>
      <c r="K2742" s="212">
        <v>43718</v>
      </c>
      <c r="L2742" s="211" t="s">
        <v>2257</v>
      </c>
      <c r="M2742" s="216">
        <v>4615445946</v>
      </c>
      <c r="N2742" s="212"/>
      <c r="O2742" s="218"/>
      <c r="P2742" s="219"/>
      <c r="Q2742" s="34">
        <f>SUMIF(Allocation[Delivery ID],Allocation[[#This Row],[Delivery ID]],Allocation[Quantity Processed])</f>
        <v>11880</v>
      </c>
      <c r="R2742" s="61">
        <f>Allocation[[#This Row],[Total volume used]]/VLOOKUP(Allocation[[#This Row],[Delivery ID]],Delivery[[Delivery ID]:[Quantity delivered]],3,FALSE)</f>
        <v>1</v>
      </c>
      <c r="S2742" s="34">
        <f>Allocation[[#This Row],[Quantity Processed]]/Allocation[[#This Row],[Dilution rate]]</f>
        <v>1670.8333333333335</v>
      </c>
      <c r="T2742" s="59">
        <f>SUMIF(Allocation[Delivery ID],Allocation[[#This Row],[Delivery ID]],Allocation[Quantity allocated])/SUMIF(Allocation[Delivery ID],Allocation[[#This Row],[Delivery ID]],Allocation[Volume available (kg)])</f>
        <v>0.90019071337287415</v>
      </c>
      <c r="U2742" s="61">
        <f>Allocation[[#This Row],[Total volume used]]/VLOOKUP(Allocation[[#This Row],[Delivery ID]],Delivery[[Delivery ID]:[Quantity delivered]],3,FALSE)</f>
        <v>1</v>
      </c>
      <c r="V2742" s="34" t="e">
        <f>VLOOKUP(Allocation[[#This Row],[SAP Contract number]],Shipments[[SAP Contract number]:[Contracted container weight]],2,FALSE)</f>
        <v>#N/A</v>
      </c>
      <c r="W2742" s="34" t="e">
        <f>VLOOKUP(Allocation[[#This Row],[SAP Contract number]],Shipments[[SAP Contract number]:[AAA Premium USD]],24,FALSE)</f>
        <v>#N/A</v>
      </c>
      <c r="X2742" s="34" t="e">
        <f>VLOOKUP(Allocation[[#This Row],[SAP Contract number]],Shipments[[SAP Contract number]:[RA Premium USD]],25,FALSE)</f>
        <v>#N/A</v>
      </c>
      <c r="Y2742" s="38">
        <f>Allocation[[#This Row],[Quantity Processed]]/Allocation[[#This Row],[Quantity allocated]]</f>
        <v>2.9703703703703703</v>
      </c>
      <c r="Z2742" s="34" t="b">
        <f>Allocation[[#This Row],[Quantity allocated]]&lt;=Allocation[[#This Row],[Quantity Processed]]</f>
        <v>1</v>
      </c>
    </row>
    <row r="2743" spans="1:26">
      <c r="A2743" s="247" t="s">
        <v>467</v>
      </c>
      <c r="B2743" s="210" t="s">
        <v>68</v>
      </c>
      <c r="C2743" s="254" t="s">
        <v>1987</v>
      </c>
      <c r="D2743" s="255">
        <v>5308</v>
      </c>
      <c r="E2743" s="211" t="s">
        <v>2256</v>
      </c>
      <c r="F2743" s="212">
        <v>43710</v>
      </c>
      <c r="G2743" s="213">
        <v>2.4</v>
      </c>
      <c r="H2743" s="256">
        <v>1800</v>
      </c>
      <c r="I2743" s="214">
        <v>1490136</v>
      </c>
      <c r="J2743" s="215">
        <v>21600</v>
      </c>
      <c r="K2743" s="212">
        <v>43718</v>
      </c>
      <c r="L2743" s="211" t="s">
        <v>2257</v>
      </c>
      <c r="M2743" s="216">
        <v>4615445946</v>
      </c>
      <c r="N2743" s="212"/>
      <c r="O2743" s="218"/>
      <c r="P2743" s="219"/>
      <c r="Q2743" s="34">
        <f>SUMIF(Allocation[Delivery ID],Allocation[[#This Row],[Delivery ID]],Allocation[Quantity Processed])</f>
        <v>15720</v>
      </c>
      <c r="R2743" s="61">
        <f>Allocation[[#This Row],[Total volume used]]/VLOOKUP(Allocation[[#This Row],[Delivery ID]],Delivery[[Delivery ID]:[Quantity delivered]],3,FALSE)</f>
        <v>1</v>
      </c>
      <c r="S2743" s="34">
        <f>Allocation[[#This Row],[Quantity Processed]]/Allocation[[#This Row],[Dilution rate]]</f>
        <v>2211.666666666667</v>
      </c>
      <c r="T2743" s="59">
        <f>SUMIF(Allocation[Delivery ID],Allocation[[#This Row],[Delivery ID]],Allocation[Quantity allocated])/SUMIF(Allocation[Delivery ID],Allocation[[#This Row],[Delivery ID]],Allocation[Volume available (kg)])</f>
        <v>0.90244564409885597</v>
      </c>
      <c r="U2743" s="61">
        <f>Allocation[[#This Row],[Total volume used]]/VLOOKUP(Allocation[[#This Row],[Delivery ID]],Delivery[[Delivery ID]:[Quantity delivered]],3,FALSE)</f>
        <v>1</v>
      </c>
      <c r="V2743" s="34" t="e">
        <f>VLOOKUP(Allocation[[#This Row],[SAP Contract number]],Shipments[[SAP Contract number]:[Contracted container weight]],2,FALSE)</f>
        <v>#N/A</v>
      </c>
      <c r="W2743" s="34" t="e">
        <f>VLOOKUP(Allocation[[#This Row],[SAP Contract number]],Shipments[[SAP Contract number]:[AAA Premium USD]],24,FALSE)</f>
        <v>#N/A</v>
      </c>
      <c r="X2743" s="34" t="e">
        <f>VLOOKUP(Allocation[[#This Row],[SAP Contract number]],Shipments[[SAP Contract number]:[RA Premium USD]],25,FALSE)</f>
        <v>#N/A</v>
      </c>
      <c r="Y2743" s="38">
        <f>Allocation[[#This Row],[Quantity Processed]]/Allocation[[#This Row],[Quantity allocated]]</f>
        <v>2.9488888888888889</v>
      </c>
      <c r="Z2743" s="34" t="b">
        <f>Allocation[[#This Row],[Quantity allocated]]&lt;=Allocation[[#This Row],[Quantity Processed]]</f>
        <v>1</v>
      </c>
    </row>
    <row r="2744" spans="1:26">
      <c r="A2744" s="247" t="s">
        <v>467</v>
      </c>
      <c r="B2744" s="210" t="s">
        <v>68</v>
      </c>
      <c r="C2744" s="254" t="s">
        <v>1988</v>
      </c>
      <c r="D2744" s="255">
        <v>5116</v>
      </c>
      <c r="E2744" s="211" t="s">
        <v>2256</v>
      </c>
      <c r="F2744" s="212">
        <v>43710</v>
      </c>
      <c r="G2744" s="213">
        <v>2.4</v>
      </c>
      <c r="H2744" s="256">
        <v>1750</v>
      </c>
      <c r="I2744" s="214">
        <v>1490136</v>
      </c>
      <c r="J2744" s="215">
        <v>21600</v>
      </c>
      <c r="K2744" s="212">
        <v>43718</v>
      </c>
      <c r="L2744" s="211" t="s">
        <v>2257</v>
      </c>
      <c r="M2744" s="216">
        <v>4615445946</v>
      </c>
      <c r="N2744" s="212"/>
      <c r="O2744" s="218"/>
      <c r="P2744" s="219"/>
      <c r="Q2744" s="34">
        <f>SUMIF(Allocation[Delivery ID],Allocation[[#This Row],[Delivery ID]],Allocation[Quantity Processed])</f>
        <v>15210</v>
      </c>
      <c r="R2744" s="61">
        <f>Allocation[[#This Row],[Total volume used]]/VLOOKUP(Allocation[[#This Row],[Delivery ID]],Delivery[[Delivery ID]:[Quantity delivered]],3,FALSE)</f>
        <v>1</v>
      </c>
      <c r="S2744" s="34">
        <f>Allocation[[#This Row],[Quantity Processed]]/Allocation[[#This Row],[Dilution rate]]</f>
        <v>2131.666666666667</v>
      </c>
      <c r="T2744" s="59">
        <f>SUMIF(Allocation[Delivery ID],Allocation[[#This Row],[Delivery ID]],Allocation[Quantity allocated])/SUMIF(Allocation[Delivery ID],Allocation[[#This Row],[Delivery ID]],Allocation[Volume available (kg)])</f>
        <v>0.90532384414520495</v>
      </c>
      <c r="U2744" s="61">
        <f>Allocation[[#This Row],[Total volume used]]/VLOOKUP(Allocation[[#This Row],[Delivery ID]],Delivery[[Delivery ID]:[Quantity delivered]],3,FALSE)</f>
        <v>1</v>
      </c>
      <c r="V2744" s="34" t="e">
        <f>VLOOKUP(Allocation[[#This Row],[SAP Contract number]],Shipments[[SAP Contract number]:[Contracted container weight]],2,FALSE)</f>
        <v>#N/A</v>
      </c>
      <c r="W2744" s="34" t="e">
        <f>VLOOKUP(Allocation[[#This Row],[SAP Contract number]],Shipments[[SAP Contract number]:[AAA Premium USD]],24,FALSE)</f>
        <v>#N/A</v>
      </c>
      <c r="X2744" s="34" t="e">
        <f>VLOOKUP(Allocation[[#This Row],[SAP Contract number]],Shipments[[SAP Contract number]:[RA Premium USD]],25,FALSE)</f>
        <v>#N/A</v>
      </c>
      <c r="Y2744" s="38">
        <f>Allocation[[#This Row],[Quantity Processed]]/Allocation[[#This Row],[Quantity allocated]]</f>
        <v>2.9234285714285715</v>
      </c>
      <c r="Z2744" s="34" t="b">
        <f>Allocation[[#This Row],[Quantity allocated]]&lt;=Allocation[[#This Row],[Quantity Processed]]</f>
        <v>1</v>
      </c>
    </row>
    <row r="2745" spans="1:26">
      <c r="A2745" s="247" t="s">
        <v>467</v>
      </c>
      <c r="B2745" s="210" t="s">
        <v>68</v>
      </c>
      <c r="C2745" s="254" t="s">
        <v>1989</v>
      </c>
      <c r="D2745" s="255">
        <v>2805</v>
      </c>
      <c r="E2745" s="211" t="s">
        <v>2256</v>
      </c>
      <c r="F2745" s="212">
        <v>43710</v>
      </c>
      <c r="G2745" s="213">
        <v>2.4</v>
      </c>
      <c r="H2745" s="256">
        <v>930</v>
      </c>
      <c r="I2745" s="214">
        <v>1490136</v>
      </c>
      <c r="J2745" s="215">
        <v>21600</v>
      </c>
      <c r="K2745" s="212">
        <v>43718</v>
      </c>
      <c r="L2745" s="211" t="s">
        <v>2257</v>
      </c>
      <c r="M2745" s="216">
        <v>4615445946</v>
      </c>
      <c r="N2745" s="212"/>
      <c r="O2745" s="218"/>
      <c r="P2745" s="219"/>
      <c r="Q2745" s="34">
        <f>SUMIF(Allocation[Delivery ID],Allocation[[#This Row],[Delivery ID]],Allocation[Quantity Processed])</f>
        <v>8290</v>
      </c>
      <c r="R2745" s="61">
        <f>Allocation[[#This Row],[Total volume used]]/VLOOKUP(Allocation[[#This Row],[Delivery ID]],Delivery[[Delivery ID]:[Quantity delivered]],3,FALSE)</f>
        <v>1</v>
      </c>
      <c r="S2745" s="34">
        <f>Allocation[[#This Row],[Quantity Processed]]/Allocation[[#This Row],[Dilution rate]]</f>
        <v>1168.75</v>
      </c>
      <c r="T2745" s="59">
        <f>SUMIF(Allocation[Delivery ID],Allocation[[#This Row],[Delivery ID]],Allocation[Quantity allocated])/SUMIF(Allocation[Delivery ID],Allocation[[#This Row],[Delivery ID]],Allocation[Volume available (kg)])</f>
        <v>0.89538699908444253</v>
      </c>
      <c r="U2745" s="61">
        <f>Allocation[[#This Row],[Total volume used]]/VLOOKUP(Allocation[[#This Row],[Delivery ID]],Delivery[[Delivery ID]:[Quantity delivered]],3,FALSE)</f>
        <v>1</v>
      </c>
      <c r="V2745" s="34" t="e">
        <f>VLOOKUP(Allocation[[#This Row],[SAP Contract number]],Shipments[[SAP Contract number]:[Contracted container weight]],2,FALSE)</f>
        <v>#N/A</v>
      </c>
      <c r="W2745" s="34" t="e">
        <f>VLOOKUP(Allocation[[#This Row],[SAP Contract number]],Shipments[[SAP Contract number]:[AAA Premium USD]],24,FALSE)</f>
        <v>#N/A</v>
      </c>
      <c r="X2745" s="34" t="e">
        <f>VLOOKUP(Allocation[[#This Row],[SAP Contract number]],Shipments[[SAP Contract number]:[RA Premium USD]],25,FALSE)</f>
        <v>#N/A</v>
      </c>
      <c r="Y2745" s="38">
        <f>Allocation[[#This Row],[Quantity Processed]]/Allocation[[#This Row],[Quantity allocated]]</f>
        <v>3.0161290322580645</v>
      </c>
      <c r="Z2745" s="34" t="b">
        <f>Allocation[[#This Row],[Quantity allocated]]&lt;=Allocation[[#This Row],[Quantity Processed]]</f>
        <v>1</v>
      </c>
    </row>
    <row r="2746" spans="1:26">
      <c r="A2746" s="247" t="s">
        <v>467</v>
      </c>
      <c r="B2746" s="210" t="s">
        <v>68</v>
      </c>
      <c r="C2746" s="254" t="s">
        <v>1992</v>
      </c>
      <c r="D2746" s="255">
        <v>1734</v>
      </c>
      <c r="E2746" s="211" t="s">
        <v>2256</v>
      </c>
      <c r="F2746" s="212">
        <v>43710</v>
      </c>
      <c r="G2746" s="213">
        <v>2.4</v>
      </c>
      <c r="H2746" s="256">
        <v>500</v>
      </c>
      <c r="I2746" s="214">
        <v>1490136</v>
      </c>
      <c r="J2746" s="215">
        <v>21600</v>
      </c>
      <c r="K2746" s="212">
        <v>43718</v>
      </c>
      <c r="L2746" s="211" t="s">
        <v>2257</v>
      </c>
      <c r="M2746" s="216">
        <v>4615445946</v>
      </c>
      <c r="N2746" s="212"/>
      <c r="O2746" s="218"/>
      <c r="P2746" s="219"/>
      <c r="Q2746" s="34">
        <f>SUMIF(Allocation[Delivery ID],Allocation[[#This Row],[Delivery ID]],Allocation[Quantity Processed])</f>
        <v>8020</v>
      </c>
      <c r="R2746" s="61">
        <f>Allocation[[#This Row],[Total volume used]]/VLOOKUP(Allocation[[#This Row],[Delivery ID]],Delivery[[Delivery ID]:[Quantity delivered]],3,FALSE)</f>
        <v>1</v>
      </c>
      <c r="S2746" s="34">
        <f>Allocation[[#This Row],[Quantity Processed]]/Allocation[[#This Row],[Dilution rate]]</f>
        <v>722.5</v>
      </c>
      <c r="T2746" s="59">
        <f>SUMIF(Allocation[Delivery ID],Allocation[[#This Row],[Delivery ID]],Allocation[Quantity allocated])/SUMIF(Allocation[Delivery ID],Allocation[[#This Row],[Delivery ID]],Allocation[Volume available (kg)])</f>
        <v>0.78198359433258768</v>
      </c>
      <c r="U2746" s="61">
        <f>Allocation[[#This Row],[Total volume used]]/VLOOKUP(Allocation[[#This Row],[Delivery ID]],Delivery[[Delivery ID]:[Quantity delivered]],3,FALSE)</f>
        <v>1</v>
      </c>
      <c r="V2746" s="34" t="e">
        <f>VLOOKUP(Allocation[[#This Row],[SAP Contract number]],Shipments[[SAP Contract number]:[Contracted container weight]],2,FALSE)</f>
        <v>#N/A</v>
      </c>
      <c r="W2746" s="34" t="e">
        <f>VLOOKUP(Allocation[[#This Row],[SAP Contract number]],Shipments[[SAP Contract number]:[AAA Premium USD]],24,FALSE)</f>
        <v>#N/A</v>
      </c>
      <c r="X2746" s="34" t="e">
        <f>VLOOKUP(Allocation[[#This Row],[SAP Contract number]],Shipments[[SAP Contract number]:[RA Premium USD]],25,FALSE)</f>
        <v>#N/A</v>
      </c>
      <c r="Y2746" s="38">
        <f>Allocation[[#This Row],[Quantity Processed]]/Allocation[[#This Row],[Quantity allocated]]</f>
        <v>3.468</v>
      </c>
      <c r="Z2746" s="34" t="b">
        <f>Allocation[[#This Row],[Quantity allocated]]&lt;=Allocation[[#This Row],[Quantity Processed]]</f>
        <v>1</v>
      </c>
    </row>
    <row r="2747" spans="1:26">
      <c r="A2747" s="247" t="s">
        <v>467</v>
      </c>
      <c r="B2747" s="210" t="s">
        <v>68</v>
      </c>
      <c r="C2747" s="254" t="s">
        <v>1993</v>
      </c>
      <c r="D2747" s="255">
        <v>1079</v>
      </c>
      <c r="E2747" s="211" t="s">
        <v>2256</v>
      </c>
      <c r="F2747" s="212">
        <v>43710</v>
      </c>
      <c r="G2747" s="213">
        <v>2.4</v>
      </c>
      <c r="H2747" s="256">
        <v>370</v>
      </c>
      <c r="I2747" s="214">
        <v>1490136</v>
      </c>
      <c r="J2747" s="215">
        <v>21600</v>
      </c>
      <c r="K2747" s="212">
        <v>43718</v>
      </c>
      <c r="L2747" s="211" t="s">
        <v>2257</v>
      </c>
      <c r="M2747" s="216">
        <v>4615445946</v>
      </c>
      <c r="N2747" s="212"/>
      <c r="O2747" s="218"/>
      <c r="P2747" s="219"/>
      <c r="Q2747" s="34">
        <f>SUMIF(Allocation[Delivery ID],Allocation[[#This Row],[Delivery ID]],Allocation[Quantity Processed])</f>
        <v>3270</v>
      </c>
      <c r="R2747" s="61">
        <f>Allocation[[#This Row],[Total volume used]]/VLOOKUP(Allocation[[#This Row],[Delivery ID]],Delivery[[Delivery ID]:[Quantity delivered]],3,FALSE)</f>
        <v>1</v>
      </c>
      <c r="S2747" s="34">
        <f>Allocation[[#This Row],[Quantity Processed]]/Allocation[[#This Row],[Dilution rate]]</f>
        <v>449.58333333333337</v>
      </c>
      <c r="T2747" s="59">
        <f>SUMIF(Allocation[Delivery ID],Allocation[[#This Row],[Delivery ID]],Allocation[Quantity allocated])/SUMIF(Allocation[Delivery ID],Allocation[[#This Row],[Delivery ID]],Allocation[Volume available (kg)])</f>
        <v>0.90697824143070038</v>
      </c>
      <c r="U2747" s="61">
        <f>Allocation[[#This Row],[Total volume used]]/VLOOKUP(Allocation[[#This Row],[Delivery ID]],Delivery[[Delivery ID]:[Quantity delivered]],3,FALSE)</f>
        <v>1</v>
      </c>
      <c r="V2747" s="34" t="e">
        <f>VLOOKUP(Allocation[[#This Row],[SAP Contract number]],Shipments[[SAP Contract number]:[Contracted container weight]],2,FALSE)</f>
        <v>#N/A</v>
      </c>
      <c r="W2747" s="34" t="e">
        <f>VLOOKUP(Allocation[[#This Row],[SAP Contract number]],Shipments[[SAP Contract number]:[AAA Premium USD]],24,FALSE)</f>
        <v>#N/A</v>
      </c>
      <c r="X2747" s="34" t="e">
        <f>VLOOKUP(Allocation[[#This Row],[SAP Contract number]],Shipments[[SAP Contract number]:[RA Premium USD]],25,FALSE)</f>
        <v>#N/A</v>
      </c>
      <c r="Y2747" s="38">
        <f>Allocation[[#This Row],[Quantity Processed]]/Allocation[[#This Row],[Quantity allocated]]</f>
        <v>2.9162162162162164</v>
      </c>
      <c r="Z2747" s="34" t="b">
        <f>Allocation[[#This Row],[Quantity allocated]]&lt;=Allocation[[#This Row],[Quantity Processed]]</f>
        <v>1</v>
      </c>
    </row>
    <row r="2748" spans="1:26">
      <c r="A2748" s="247" t="s">
        <v>467</v>
      </c>
      <c r="B2748" s="210" t="s">
        <v>68</v>
      </c>
      <c r="C2748" s="254" t="s">
        <v>1995</v>
      </c>
      <c r="D2748" s="255">
        <v>2608</v>
      </c>
      <c r="E2748" s="211" t="s">
        <v>2256</v>
      </c>
      <c r="F2748" s="212">
        <v>43710</v>
      </c>
      <c r="G2748" s="213">
        <v>2.4</v>
      </c>
      <c r="H2748" s="256">
        <v>900</v>
      </c>
      <c r="I2748" s="214">
        <v>1490136</v>
      </c>
      <c r="J2748" s="215">
        <v>21600</v>
      </c>
      <c r="K2748" s="212">
        <v>43718</v>
      </c>
      <c r="L2748" s="211" t="s">
        <v>2257</v>
      </c>
      <c r="M2748" s="216">
        <v>4615445946</v>
      </c>
      <c r="N2748" s="212"/>
      <c r="O2748" s="218"/>
      <c r="P2748" s="219"/>
      <c r="Q2748" s="34">
        <f>SUMIF(Allocation[Delivery ID],Allocation[[#This Row],[Delivery ID]],Allocation[Quantity Processed])</f>
        <v>7750</v>
      </c>
      <c r="R2748" s="61">
        <f>Allocation[[#This Row],[Total volume used]]/VLOOKUP(Allocation[[#This Row],[Delivery ID]],Delivery[[Delivery ID]:[Quantity delivered]],3,FALSE)</f>
        <v>1</v>
      </c>
      <c r="S2748" s="34">
        <f>Allocation[[#This Row],[Quantity Processed]]/Allocation[[#This Row],[Dilution rate]]</f>
        <v>1086.6666666666667</v>
      </c>
      <c r="T2748" s="59">
        <f>SUMIF(Allocation[Delivery ID],Allocation[[#This Row],[Delivery ID]],Allocation[Quantity allocated])/SUMIF(Allocation[Delivery ID],Allocation[[#This Row],[Delivery ID]],Allocation[Volume available (kg)])</f>
        <v>0.90811495176848867</v>
      </c>
      <c r="U2748" s="61">
        <f>Allocation[[#This Row],[Total volume used]]/VLOOKUP(Allocation[[#This Row],[Delivery ID]],Delivery[[Delivery ID]:[Quantity delivered]],3,FALSE)</f>
        <v>1</v>
      </c>
      <c r="V2748" s="34" t="e">
        <f>VLOOKUP(Allocation[[#This Row],[SAP Contract number]],Shipments[[SAP Contract number]:[Contracted container weight]],2,FALSE)</f>
        <v>#N/A</v>
      </c>
      <c r="W2748" s="34" t="e">
        <f>VLOOKUP(Allocation[[#This Row],[SAP Contract number]],Shipments[[SAP Contract number]:[AAA Premium USD]],24,FALSE)</f>
        <v>#N/A</v>
      </c>
      <c r="X2748" s="34" t="e">
        <f>VLOOKUP(Allocation[[#This Row],[SAP Contract number]],Shipments[[SAP Contract number]:[RA Premium USD]],25,FALSE)</f>
        <v>#N/A</v>
      </c>
      <c r="Y2748" s="38">
        <f>Allocation[[#This Row],[Quantity Processed]]/Allocation[[#This Row],[Quantity allocated]]</f>
        <v>2.8977777777777778</v>
      </c>
      <c r="Z2748" s="34" t="b">
        <f>Allocation[[#This Row],[Quantity allocated]]&lt;=Allocation[[#This Row],[Quantity Processed]]</f>
        <v>1</v>
      </c>
    </row>
    <row r="2749" spans="1:26">
      <c r="A2749" s="247" t="s">
        <v>467</v>
      </c>
      <c r="B2749" s="210" t="s">
        <v>68</v>
      </c>
      <c r="C2749" s="254" t="s">
        <v>1996</v>
      </c>
      <c r="D2749" s="255">
        <v>4271</v>
      </c>
      <c r="E2749" s="211" t="s">
        <v>2256</v>
      </c>
      <c r="F2749" s="212">
        <v>43710</v>
      </c>
      <c r="G2749" s="213">
        <v>2.4</v>
      </c>
      <c r="H2749" s="256">
        <v>1450</v>
      </c>
      <c r="I2749" s="214">
        <v>1490136</v>
      </c>
      <c r="J2749" s="215">
        <v>21600</v>
      </c>
      <c r="K2749" s="212">
        <v>43718</v>
      </c>
      <c r="L2749" s="211" t="s">
        <v>2257</v>
      </c>
      <c r="M2749" s="216">
        <v>4615445946</v>
      </c>
      <c r="N2749" s="212"/>
      <c r="O2749" s="218"/>
      <c r="P2749" s="219"/>
      <c r="Q2749" s="34">
        <f>SUMIF(Allocation[Delivery ID],Allocation[[#This Row],[Delivery ID]],Allocation[Quantity Processed])</f>
        <v>12680</v>
      </c>
      <c r="R2749" s="61">
        <f>Allocation[[#This Row],[Total volume used]]/VLOOKUP(Allocation[[#This Row],[Delivery ID]],Delivery[[Delivery ID]:[Quantity delivered]],3,FALSE)</f>
        <v>1</v>
      </c>
      <c r="S2749" s="34">
        <f>Allocation[[#This Row],[Quantity Processed]]/Allocation[[#This Row],[Dilution rate]]</f>
        <v>1779.5833333333335</v>
      </c>
      <c r="T2749" s="59">
        <f>SUMIF(Allocation[Delivery ID],Allocation[[#This Row],[Delivery ID]],Allocation[Quantity allocated])/SUMIF(Allocation[Delivery ID],Allocation[[#This Row],[Delivery ID]],Allocation[Volume available (kg)])</f>
        <v>0.9029246948645121</v>
      </c>
      <c r="U2749" s="61">
        <f>Allocation[[#This Row],[Total volume used]]/VLOOKUP(Allocation[[#This Row],[Delivery ID]],Delivery[[Delivery ID]:[Quantity delivered]],3,FALSE)</f>
        <v>1</v>
      </c>
      <c r="V2749" s="34" t="e">
        <f>VLOOKUP(Allocation[[#This Row],[SAP Contract number]],Shipments[[SAP Contract number]:[Contracted container weight]],2,FALSE)</f>
        <v>#N/A</v>
      </c>
      <c r="W2749" s="34" t="e">
        <f>VLOOKUP(Allocation[[#This Row],[SAP Contract number]],Shipments[[SAP Contract number]:[AAA Premium USD]],24,FALSE)</f>
        <v>#N/A</v>
      </c>
      <c r="X2749" s="34" t="e">
        <f>VLOOKUP(Allocation[[#This Row],[SAP Contract number]],Shipments[[SAP Contract number]:[RA Premium USD]],25,FALSE)</f>
        <v>#N/A</v>
      </c>
      <c r="Y2749" s="38">
        <f>Allocation[[#This Row],[Quantity Processed]]/Allocation[[#This Row],[Quantity allocated]]</f>
        <v>2.9455172413793105</v>
      </c>
      <c r="Z2749" s="34" t="b">
        <f>Allocation[[#This Row],[Quantity allocated]]&lt;=Allocation[[#This Row],[Quantity Processed]]</f>
        <v>1</v>
      </c>
    </row>
    <row r="2750" spans="1:26">
      <c r="A2750" s="247" t="s">
        <v>467</v>
      </c>
      <c r="B2750" s="210" t="s">
        <v>68</v>
      </c>
      <c r="C2750" s="254" t="s">
        <v>1997</v>
      </c>
      <c r="D2750" s="255">
        <v>5880</v>
      </c>
      <c r="E2750" s="211" t="s">
        <v>2256</v>
      </c>
      <c r="F2750" s="212">
        <v>43710</v>
      </c>
      <c r="G2750" s="213">
        <v>2.4</v>
      </c>
      <c r="H2750" s="256">
        <v>2000</v>
      </c>
      <c r="I2750" s="214">
        <v>1490136</v>
      </c>
      <c r="J2750" s="215">
        <v>21600</v>
      </c>
      <c r="K2750" s="212">
        <v>43718</v>
      </c>
      <c r="L2750" s="211" t="s">
        <v>2257</v>
      </c>
      <c r="M2750" s="216">
        <v>4615445946</v>
      </c>
      <c r="N2750" s="212"/>
      <c r="O2750" s="218"/>
      <c r="P2750" s="219"/>
      <c r="Q2750" s="34">
        <f>SUMIF(Allocation[Delivery ID],Allocation[[#This Row],[Delivery ID]],Allocation[Quantity Processed])</f>
        <v>17510</v>
      </c>
      <c r="R2750" s="61">
        <f>Allocation[[#This Row],[Total volume used]]/VLOOKUP(Allocation[[#This Row],[Delivery ID]],Delivery[[Delivery ID]:[Quantity delivered]],3,FALSE)</f>
        <v>1</v>
      </c>
      <c r="S2750" s="34">
        <f>Allocation[[#This Row],[Quantity Processed]]/Allocation[[#This Row],[Dilution rate]]</f>
        <v>2450</v>
      </c>
      <c r="T2750" s="59">
        <f>SUMIF(Allocation[Delivery ID],Allocation[[#This Row],[Delivery ID]],Allocation[Quantity allocated])/SUMIF(Allocation[Delivery ID],Allocation[[#This Row],[Delivery ID]],Allocation[Volume available (kg)])</f>
        <v>0.90366693354683747</v>
      </c>
      <c r="U2750" s="61">
        <f>Allocation[[#This Row],[Total volume used]]/VLOOKUP(Allocation[[#This Row],[Delivery ID]],Delivery[[Delivery ID]:[Quantity delivered]],3,FALSE)</f>
        <v>1</v>
      </c>
      <c r="V2750" s="34" t="e">
        <f>VLOOKUP(Allocation[[#This Row],[SAP Contract number]],Shipments[[SAP Contract number]:[Contracted container weight]],2,FALSE)</f>
        <v>#N/A</v>
      </c>
      <c r="W2750" s="34" t="e">
        <f>VLOOKUP(Allocation[[#This Row],[SAP Contract number]],Shipments[[SAP Contract number]:[AAA Premium USD]],24,FALSE)</f>
        <v>#N/A</v>
      </c>
      <c r="X2750" s="34" t="e">
        <f>VLOOKUP(Allocation[[#This Row],[SAP Contract number]],Shipments[[SAP Contract number]:[RA Premium USD]],25,FALSE)</f>
        <v>#N/A</v>
      </c>
      <c r="Y2750" s="38">
        <f>Allocation[[#This Row],[Quantity Processed]]/Allocation[[#This Row],[Quantity allocated]]</f>
        <v>2.94</v>
      </c>
      <c r="Z2750" s="34" t="b">
        <f>Allocation[[#This Row],[Quantity allocated]]&lt;=Allocation[[#This Row],[Quantity Processed]]</f>
        <v>1</v>
      </c>
    </row>
    <row r="2751" spans="1:26">
      <c r="A2751" s="247" t="s">
        <v>467</v>
      </c>
      <c r="B2751" s="210" t="s">
        <v>68</v>
      </c>
      <c r="C2751" s="254" t="s">
        <v>1998</v>
      </c>
      <c r="D2751" s="255">
        <v>2201</v>
      </c>
      <c r="E2751" s="211" t="s">
        <v>2256</v>
      </c>
      <c r="F2751" s="212">
        <v>43710</v>
      </c>
      <c r="G2751" s="213">
        <v>2.4</v>
      </c>
      <c r="H2751" s="256">
        <v>750</v>
      </c>
      <c r="I2751" s="214">
        <v>1490136</v>
      </c>
      <c r="J2751" s="215">
        <v>21600</v>
      </c>
      <c r="K2751" s="212">
        <v>43718</v>
      </c>
      <c r="L2751" s="211" t="s">
        <v>2257</v>
      </c>
      <c r="M2751" s="216">
        <v>4615445946</v>
      </c>
      <c r="N2751" s="212"/>
      <c r="O2751" s="218"/>
      <c r="P2751" s="219"/>
      <c r="Q2751" s="34">
        <f>SUMIF(Allocation[Delivery ID],Allocation[[#This Row],[Delivery ID]],Allocation[Quantity Processed])</f>
        <v>6540</v>
      </c>
      <c r="R2751" s="61">
        <f>Allocation[[#This Row],[Total volume used]]/VLOOKUP(Allocation[[#This Row],[Delivery ID]],Delivery[[Delivery ID]:[Quantity delivered]],3,FALSE)</f>
        <v>1</v>
      </c>
      <c r="S2751" s="34">
        <f>Allocation[[#This Row],[Quantity Processed]]/Allocation[[#This Row],[Dilution rate]]</f>
        <v>917.08333333333337</v>
      </c>
      <c r="T2751" s="59">
        <f>SUMIF(Allocation[Delivery ID],Allocation[[#This Row],[Delivery ID]],Allocation[Quantity allocated])/SUMIF(Allocation[Delivery ID],Allocation[[#This Row],[Delivery ID]],Allocation[Volume available (kg)])</f>
        <v>0.90415979519542755</v>
      </c>
      <c r="U2751" s="61">
        <f>Allocation[[#This Row],[Total volume used]]/VLOOKUP(Allocation[[#This Row],[Delivery ID]],Delivery[[Delivery ID]:[Quantity delivered]],3,FALSE)</f>
        <v>1</v>
      </c>
      <c r="V2751" s="34" t="e">
        <f>VLOOKUP(Allocation[[#This Row],[SAP Contract number]],Shipments[[SAP Contract number]:[Contracted container weight]],2,FALSE)</f>
        <v>#N/A</v>
      </c>
      <c r="W2751" s="34" t="e">
        <f>VLOOKUP(Allocation[[#This Row],[SAP Contract number]],Shipments[[SAP Contract number]:[AAA Premium USD]],24,FALSE)</f>
        <v>#N/A</v>
      </c>
      <c r="X2751" s="34" t="e">
        <f>VLOOKUP(Allocation[[#This Row],[SAP Contract number]],Shipments[[SAP Contract number]:[RA Premium USD]],25,FALSE)</f>
        <v>#N/A</v>
      </c>
      <c r="Y2751" s="38">
        <f>Allocation[[#This Row],[Quantity Processed]]/Allocation[[#This Row],[Quantity allocated]]</f>
        <v>2.9346666666666668</v>
      </c>
      <c r="Z2751" s="34" t="b">
        <f>Allocation[[#This Row],[Quantity allocated]]&lt;=Allocation[[#This Row],[Quantity Processed]]</f>
        <v>1</v>
      </c>
    </row>
    <row r="2752" spans="1:26">
      <c r="A2752" s="247" t="s">
        <v>467</v>
      </c>
      <c r="B2752" s="210" t="s">
        <v>68</v>
      </c>
      <c r="C2752" s="254" t="s">
        <v>2001</v>
      </c>
      <c r="D2752" s="255">
        <v>2625</v>
      </c>
      <c r="E2752" s="211" t="s">
        <v>2256</v>
      </c>
      <c r="F2752" s="212">
        <v>43710</v>
      </c>
      <c r="G2752" s="213">
        <v>2.4</v>
      </c>
      <c r="H2752" s="256">
        <v>900</v>
      </c>
      <c r="I2752" s="214">
        <v>1490136</v>
      </c>
      <c r="J2752" s="215">
        <v>21600</v>
      </c>
      <c r="K2752" s="212">
        <v>43718</v>
      </c>
      <c r="L2752" s="211" t="s">
        <v>2257</v>
      </c>
      <c r="M2752" s="216">
        <v>4615445946</v>
      </c>
      <c r="N2752" s="212"/>
      <c r="O2752" s="218"/>
      <c r="P2752" s="219"/>
      <c r="Q2752" s="34">
        <f>SUMIF(Allocation[Delivery ID],Allocation[[#This Row],[Delivery ID]],Allocation[Quantity Processed])</f>
        <v>7840</v>
      </c>
      <c r="R2752" s="61">
        <f>Allocation[[#This Row],[Total volume used]]/VLOOKUP(Allocation[[#This Row],[Delivery ID]],Delivery[[Delivery ID]:[Quantity delivered]],3,FALSE)</f>
        <v>1</v>
      </c>
      <c r="S2752" s="34">
        <f>Allocation[[#This Row],[Quantity Processed]]/Allocation[[#This Row],[Dilution rate]]</f>
        <v>1093.75</v>
      </c>
      <c r="T2752" s="59">
        <f>SUMIF(Allocation[Delivery ID],Allocation[[#This Row],[Delivery ID]],Allocation[Quantity allocated])/SUMIF(Allocation[Delivery ID],Allocation[[#This Row],[Delivery ID]],Allocation[Volume available (kg)])</f>
        <v>0.90628511811610402</v>
      </c>
      <c r="U2752" s="61">
        <f>Allocation[[#This Row],[Total volume used]]/VLOOKUP(Allocation[[#This Row],[Delivery ID]],Delivery[[Delivery ID]:[Quantity delivered]],3,FALSE)</f>
        <v>1</v>
      </c>
      <c r="V2752" s="34" t="e">
        <f>VLOOKUP(Allocation[[#This Row],[SAP Contract number]],Shipments[[SAP Contract number]:[Contracted container weight]],2,FALSE)</f>
        <v>#N/A</v>
      </c>
      <c r="W2752" s="34" t="e">
        <f>VLOOKUP(Allocation[[#This Row],[SAP Contract number]],Shipments[[SAP Contract number]:[AAA Premium USD]],24,FALSE)</f>
        <v>#N/A</v>
      </c>
      <c r="X2752" s="34" t="e">
        <f>VLOOKUP(Allocation[[#This Row],[SAP Contract number]],Shipments[[SAP Contract number]:[RA Premium USD]],25,FALSE)</f>
        <v>#N/A</v>
      </c>
      <c r="Y2752" s="38">
        <f>Allocation[[#This Row],[Quantity Processed]]/Allocation[[#This Row],[Quantity allocated]]</f>
        <v>2.9166666666666665</v>
      </c>
      <c r="Z2752" s="34" t="b">
        <f>Allocation[[#This Row],[Quantity allocated]]&lt;=Allocation[[#This Row],[Quantity Processed]]</f>
        <v>1</v>
      </c>
    </row>
    <row r="2753" spans="1:26">
      <c r="A2753" s="247" t="s">
        <v>467</v>
      </c>
      <c r="B2753" s="210" t="s">
        <v>68</v>
      </c>
      <c r="C2753" s="254" t="s">
        <v>2003</v>
      </c>
      <c r="D2753" s="255">
        <v>1665</v>
      </c>
      <c r="E2753" s="211" t="s">
        <v>2256</v>
      </c>
      <c r="F2753" s="212">
        <v>43710</v>
      </c>
      <c r="G2753" s="213">
        <v>2.4</v>
      </c>
      <c r="H2753" s="256">
        <v>600</v>
      </c>
      <c r="I2753" s="214">
        <v>1490136</v>
      </c>
      <c r="J2753" s="215">
        <v>21600</v>
      </c>
      <c r="K2753" s="212">
        <v>43718</v>
      </c>
      <c r="L2753" s="211" t="s">
        <v>2257</v>
      </c>
      <c r="M2753" s="216">
        <v>4615445946</v>
      </c>
      <c r="N2753" s="212"/>
      <c r="O2753" s="218"/>
      <c r="P2753" s="219"/>
      <c r="Q2753" s="34">
        <f>SUMIF(Allocation[Delivery ID],Allocation[[#This Row],[Delivery ID]],Allocation[Quantity Processed])</f>
        <v>5010</v>
      </c>
      <c r="R2753" s="61">
        <f>Allocation[[#This Row],[Total volume used]]/VLOOKUP(Allocation[[#This Row],[Delivery ID]],Delivery[[Delivery ID]:[Quantity delivered]],3,FALSE)</f>
        <v>1</v>
      </c>
      <c r="S2753" s="34">
        <f>Allocation[[#This Row],[Quantity Processed]]/Allocation[[#This Row],[Dilution rate]]</f>
        <v>693.75</v>
      </c>
      <c r="T2753" s="59">
        <f>SUMIF(Allocation[Delivery ID],Allocation[[#This Row],[Delivery ID]],Allocation[Quantity allocated])/SUMIF(Allocation[Delivery ID],Allocation[[#This Row],[Delivery ID]],Allocation[Volume available (kg)])</f>
        <v>0.92247812390619521</v>
      </c>
      <c r="U2753" s="61">
        <f>Allocation[[#This Row],[Total volume used]]/VLOOKUP(Allocation[[#This Row],[Delivery ID]],Delivery[[Delivery ID]:[Quantity delivered]],3,FALSE)</f>
        <v>1</v>
      </c>
      <c r="V2753" s="34" t="e">
        <f>VLOOKUP(Allocation[[#This Row],[SAP Contract number]],Shipments[[SAP Contract number]:[Contracted container weight]],2,FALSE)</f>
        <v>#N/A</v>
      </c>
      <c r="W2753" s="34" t="e">
        <f>VLOOKUP(Allocation[[#This Row],[SAP Contract number]],Shipments[[SAP Contract number]:[AAA Premium USD]],24,FALSE)</f>
        <v>#N/A</v>
      </c>
      <c r="X2753" s="34" t="e">
        <f>VLOOKUP(Allocation[[#This Row],[SAP Contract number]],Shipments[[SAP Contract number]:[RA Premium USD]],25,FALSE)</f>
        <v>#N/A</v>
      </c>
      <c r="Y2753" s="38">
        <f>Allocation[[#This Row],[Quantity Processed]]/Allocation[[#This Row],[Quantity allocated]]</f>
        <v>2.7749999999999999</v>
      </c>
      <c r="Z2753" s="34" t="b">
        <f>Allocation[[#This Row],[Quantity allocated]]&lt;=Allocation[[#This Row],[Quantity Processed]]</f>
        <v>1</v>
      </c>
    </row>
    <row r="2754" spans="1:26">
      <c r="A2754" s="247" t="s">
        <v>467</v>
      </c>
      <c r="B2754" s="210" t="s">
        <v>68</v>
      </c>
      <c r="C2754" s="254" t="s">
        <v>2004</v>
      </c>
      <c r="D2754" s="255">
        <v>5693</v>
      </c>
      <c r="E2754" s="211" t="s">
        <v>2256</v>
      </c>
      <c r="F2754" s="212">
        <v>43710</v>
      </c>
      <c r="G2754" s="213">
        <v>2.4</v>
      </c>
      <c r="H2754" s="256">
        <v>1900</v>
      </c>
      <c r="I2754" s="214">
        <v>1490136</v>
      </c>
      <c r="J2754" s="215">
        <v>21600</v>
      </c>
      <c r="K2754" s="212">
        <v>43718</v>
      </c>
      <c r="L2754" s="211" t="s">
        <v>2257</v>
      </c>
      <c r="M2754" s="216">
        <v>4615445946</v>
      </c>
      <c r="N2754" s="212"/>
      <c r="O2754" s="218"/>
      <c r="P2754" s="219"/>
      <c r="Q2754" s="34">
        <f>SUMIF(Allocation[Delivery ID],Allocation[[#This Row],[Delivery ID]],Allocation[Quantity Processed])</f>
        <v>16960</v>
      </c>
      <c r="R2754" s="61">
        <f>Allocation[[#This Row],[Total volume used]]/VLOOKUP(Allocation[[#This Row],[Delivery ID]],Delivery[[Delivery ID]:[Quantity delivered]],3,FALSE)</f>
        <v>1</v>
      </c>
      <c r="S2754" s="34">
        <f>Allocation[[#This Row],[Quantity Processed]]/Allocation[[#This Row],[Dilution rate]]</f>
        <v>2372.0833333333335</v>
      </c>
      <c r="T2754" s="59">
        <f>SUMIF(Allocation[Delivery ID],Allocation[[#This Row],[Delivery ID]],Allocation[Quantity allocated])/SUMIF(Allocation[Delivery ID],Allocation[[#This Row],[Delivery ID]],Allocation[Volume available (kg)])</f>
        <v>0.89783768269021014</v>
      </c>
      <c r="U2754" s="61">
        <f>Allocation[[#This Row],[Total volume used]]/VLOOKUP(Allocation[[#This Row],[Delivery ID]],Delivery[[Delivery ID]:[Quantity delivered]],3,FALSE)</f>
        <v>1</v>
      </c>
      <c r="V2754" s="34" t="e">
        <f>VLOOKUP(Allocation[[#This Row],[SAP Contract number]],Shipments[[SAP Contract number]:[Contracted container weight]],2,FALSE)</f>
        <v>#N/A</v>
      </c>
      <c r="W2754" s="34" t="e">
        <f>VLOOKUP(Allocation[[#This Row],[SAP Contract number]],Shipments[[SAP Contract number]:[AAA Premium USD]],24,FALSE)</f>
        <v>#N/A</v>
      </c>
      <c r="X2754" s="34" t="e">
        <f>VLOOKUP(Allocation[[#This Row],[SAP Contract number]],Shipments[[SAP Contract number]:[RA Premium USD]],25,FALSE)</f>
        <v>#N/A</v>
      </c>
      <c r="Y2754" s="38">
        <f>Allocation[[#This Row],[Quantity Processed]]/Allocation[[#This Row],[Quantity allocated]]</f>
        <v>2.9963157894736843</v>
      </c>
      <c r="Z2754" s="34" t="b">
        <f>Allocation[[#This Row],[Quantity allocated]]&lt;=Allocation[[#This Row],[Quantity Processed]]</f>
        <v>1</v>
      </c>
    </row>
    <row r="2755" spans="1:26">
      <c r="A2755" s="247" t="s">
        <v>467</v>
      </c>
      <c r="B2755" s="210" t="s">
        <v>68</v>
      </c>
      <c r="C2755" s="254" t="s">
        <v>2005</v>
      </c>
      <c r="D2755" s="255">
        <v>3601</v>
      </c>
      <c r="E2755" s="211" t="s">
        <v>2256</v>
      </c>
      <c r="F2755" s="212">
        <v>43710</v>
      </c>
      <c r="G2755" s="213">
        <v>2.4</v>
      </c>
      <c r="H2755" s="256">
        <v>1200</v>
      </c>
      <c r="I2755" s="214">
        <v>1490136</v>
      </c>
      <c r="J2755" s="215">
        <v>21600</v>
      </c>
      <c r="K2755" s="212">
        <v>43718</v>
      </c>
      <c r="L2755" s="211" t="s">
        <v>2257</v>
      </c>
      <c r="M2755" s="216">
        <v>4615445946</v>
      </c>
      <c r="N2755" s="212"/>
      <c r="O2755" s="218"/>
      <c r="P2755" s="219"/>
      <c r="Q2755" s="34">
        <f>SUMIF(Allocation[Delivery ID],Allocation[[#This Row],[Delivery ID]],Allocation[Quantity Processed])</f>
        <v>17840</v>
      </c>
      <c r="R2755" s="61">
        <f>Allocation[[#This Row],[Total volume used]]/VLOOKUP(Allocation[[#This Row],[Delivery ID]],Delivery[[Delivery ID]:[Quantity delivered]],3,FALSE)</f>
        <v>1</v>
      </c>
      <c r="S2755" s="34">
        <f>Allocation[[#This Row],[Quantity Processed]]/Allocation[[#This Row],[Dilution rate]]</f>
        <v>1500.4166666666667</v>
      </c>
      <c r="T2755" s="59">
        <f>SUMIF(Allocation[Delivery ID],Allocation[[#This Row],[Delivery ID]],Allocation[Quantity allocated])/SUMIF(Allocation[Delivery ID],Allocation[[#This Row],[Delivery ID]],Allocation[Volume available (kg)])</f>
        <v>0.89733436644003794</v>
      </c>
      <c r="U2755" s="61">
        <f>Allocation[[#This Row],[Total volume used]]/VLOOKUP(Allocation[[#This Row],[Delivery ID]],Delivery[[Delivery ID]:[Quantity delivered]],3,FALSE)</f>
        <v>1</v>
      </c>
      <c r="V2755" s="34" t="e">
        <f>VLOOKUP(Allocation[[#This Row],[SAP Contract number]],Shipments[[SAP Contract number]:[Contracted container weight]],2,FALSE)</f>
        <v>#N/A</v>
      </c>
      <c r="W2755" s="34" t="e">
        <f>VLOOKUP(Allocation[[#This Row],[SAP Contract number]],Shipments[[SAP Contract number]:[AAA Premium USD]],24,FALSE)</f>
        <v>#N/A</v>
      </c>
      <c r="X2755" s="34" t="e">
        <f>VLOOKUP(Allocation[[#This Row],[SAP Contract number]],Shipments[[SAP Contract number]:[RA Premium USD]],25,FALSE)</f>
        <v>#N/A</v>
      </c>
      <c r="Y2755" s="38">
        <f>Allocation[[#This Row],[Quantity Processed]]/Allocation[[#This Row],[Quantity allocated]]</f>
        <v>3.0008333333333335</v>
      </c>
      <c r="Z2755" s="34" t="b">
        <f>Allocation[[#This Row],[Quantity allocated]]&lt;=Allocation[[#This Row],[Quantity Processed]]</f>
        <v>1</v>
      </c>
    </row>
    <row r="2756" spans="1:26">
      <c r="A2756" s="247" t="s">
        <v>467</v>
      </c>
      <c r="B2756" s="210" t="s">
        <v>68</v>
      </c>
      <c r="C2756" s="254" t="s">
        <v>2005</v>
      </c>
      <c r="D2756" s="255">
        <v>2400</v>
      </c>
      <c r="E2756" s="211" t="s">
        <v>2256</v>
      </c>
      <c r="F2756" s="212">
        <v>43710</v>
      </c>
      <c r="G2756" s="213">
        <v>2.4</v>
      </c>
      <c r="H2756" s="256">
        <v>800</v>
      </c>
      <c r="I2756" s="214">
        <v>1490137</v>
      </c>
      <c r="J2756" s="215">
        <v>21600</v>
      </c>
      <c r="K2756" s="212">
        <v>43718</v>
      </c>
      <c r="L2756" s="211" t="s">
        <v>2258</v>
      </c>
      <c r="M2756" s="216">
        <v>4615445946</v>
      </c>
      <c r="N2756" s="212"/>
      <c r="O2756" s="218"/>
      <c r="P2756" s="219"/>
      <c r="Q2756" s="34">
        <f>SUMIF(Allocation[Delivery ID],Allocation[[#This Row],[Delivery ID]],Allocation[Quantity Processed])</f>
        <v>17840</v>
      </c>
      <c r="R2756" s="61">
        <f>Allocation[[#This Row],[Total volume used]]/VLOOKUP(Allocation[[#This Row],[Delivery ID]],Delivery[[Delivery ID]:[Quantity delivered]],3,FALSE)</f>
        <v>1</v>
      </c>
      <c r="S2756" s="34">
        <f>Allocation[[#This Row],[Quantity Processed]]/Allocation[[#This Row],[Dilution rate]]</f>
        <v>1000</v>
      </c>
      <c r="T2756" s="59">
        <f>SUMIF(Allocation[Delivery ID],Allocation[[#This Row],[Delivery ID]],Allocation[Quantity allocated])/SUMIF(Allocation[Delivery ID],Allocation[[#This Row],[Delivery ID]],Allocation[Volume available (kg)])</f>
        <v>0.89733436644003794</v>
      </c>
      <c r="U2756" s="61">
        <f>Allocation[[#This Row],[Total volume used]]/VLOOKUP(Allocation[[#This Row],[Delivery ID]],Delivery[[Delivery ID]:[Quantity delivered]],3,FALSE)</f>
        <v>1</v>
      </c>
      <c r="V2756" s="34" t="e">
        <f>VLOOKUP(Allocation[[#This Row],[SAP Contract number]],Shipments[[SAP Contract number]:[Contracted container weight]],2,FALSE)</f>
        <v>#N/A</v>
      </c>
      <c r="W2756" s="34" t="e">
        <f>VLOOKUP(Allocation[[#This Row],[SAP Contract number]],Shipments[[SAP Contract number]:[AAA Premium USD]],24,FALSE)</f>
        <v>#N/A</v>
      </c>
      <c r="X2756" s="34" t="e">
        <f>VLOOKUP(Allocation[[#This Row],[SAP Contract number]],Shipments[[SAP Contract number]:[RA Premium USD]],25,FALSE)</f>
        <v>#N/A</v>
      </c>
      <c r="Y2756" s="38">
        <f>Allocation[[#This Row],[Quantity Processed]]/Allocation[[#This Row],[Quantity allocated]]</f>
        <v>3</v>
      </c>
      <c r="Z2756" s="34" t="b">
        <f>Allocation[[#This Row],[Quantity allocated]]&lt;=Allocation[[#This Row],[Quantity Processed]]</f>
        <v>1</v>
      </c>
    </row>
    <row r="2757" spans="1:26">
      <c r="A2757" s="247" t="s">
        <v>467</v>
      </c>
      <c r="B2757" s="210" t="s">
        <v>68</v>
      </c>
      <c r="C2757" s="254" t="s">
        <v>2006</v>
      </c>
      <c r="D2757" s="255">
        <v>5940</v>
      </c>
      <c r="E2757" s="211" t="s">
        <v>2256</v>
      </c>
      <c r="F2757" s="212">
        <v>43710</v>
      </c>
      <c r="G2757" s="213">
        <v>2.4</v>
      </c>
      <c r="H2757" s="256">
        <v>2000</v>
      </c>
      <c r="I2757" s="214">
        <v>1490137</v>
      </c>
      <c r="J2757" s="215">
        <v>21600</v>
      </c>
      <c r="K2757" s="212">
        <v>43718</v>
      </c>
      <c r="L2757" s="211" t="s">
        <v>2258</v>
      </c>
      <c r="M2757" s="216">
        <v>4615445946</v>
      </c>
      <c r="N2757" s="212"/>
      <c r="O2757" s="218"/>
      <c r="P2757" s="219"/>
      <c r="Q2757" s="34">
        <f>SUMIF(Allocation[Delivery ID],Allocation[[#This Row],[Delivery ID]],Allocation[Quantity Processed])</f>
        <v>17540</v>
      </c>
      <c r="R2757" s="61">
        <f>Allocation[[#This Row],[Total volume used]]/VLOOKUP(Allocation[[#This Row],[Delivery ID]],Delivery[[Delivery ID]:[Quantity delivered]],3,FALSE)</f>
        <v>1</v>
      </c>
      <c r="S2757" s="34">
        <f>Allocation[[#This Row],[Quantity Processed]]/Allocation[[#This Row],[Dilution rate]]</f>
        <v>2475</v>
      </c>
      <c r="T2757" s="59">
        <f>SUMIF(Allocation[Delivery ID],Allocation[[#This Row],[Delivery ID]],Allocation[Quantity allocated])/SUMIF(Allocation[Delivery ID],Allocation[[#This Row],[Delivery ID]],Allocation[Volume available (kg)])</f>
        <v>0.90007722007722013</v>
      </c>
      <c r="U2757" s="61">
        <f>Allocation[[#This Row],[Total volume used]]/VLOOKUP(Allocation[[#This Row],[Delivery ID]],Delivery[[Delivery ID]:[Quantity delivered]],3,FALSE)</f>
        <v>1</v>
      </c>
      <c r="V2757" s="34" t="e">
        <f>VLOOKUP(Allocation[[#This Row],[SAP Contract number]],Shipments[[SAP Contract number]:[Contracted container weight]],2,FALSE)</f>
        <v>#N/A</v>
      </c>
      <c r="W2757" s="34" t="e">
        <f>VLOOKUP(Allocation[[#This Row],[SAP Contract number]],Shipments[[SAP Contract number]:[AAA Premium USD]],24,FALSE)</f>
        <v>#N/A</v>
      </c>
      <c r="X2757" s="34" t="e">
        <f>VLOOKUP(Allocation[[#This Row],[SAP Contract number]],Shipments[[SAP Contract number]:[RA Premium USD]],25,FALSE)</f>
        <v>#N/A</v>
      </c>
      <c r="Y2757" s="38">
        <f>Allocation[[#This Row],[Quantity Processed]]/Allocation[[#This Row],[Quantity allocated]]</f>
        <v>2.97</v>
      </c>
      <c r="Z2757" s="34" t="b">
        <f>Allocation[[#This Row],[Quantity allocated]]&lt;=Allocation[[#This Row],[Quantity Processed]]</f>
        <v>1</v>
      </c>
    </row>
    <row r="2758" spans="1:26">
      <c r="A2758" s="247" t="s">
        <v>467</v>
      </c>
      <c r="B2758" s="210" t="s">
        <v>68</v>
      </c>
      <c r="C2758" s="254" t="s">
        <v>2007</v>
      </c>
      <c r="D2758" s="255">
        <v>2463</v>
      </c>
      <c r="E2758" s="211" t="s">
        <v>2256</v>
      </c>
      <c r="F2758" s="212">
        <v>43710</v>
      </c>
      <c r="G2758" s="213">
        <v>2.4</v>
      </c>
      <c r="H2758" s="256">
        <v>850</v>
      </c>
      <c r="I2758" s="214">
        <v>1490137</v>
      </c>
      <c r="J2758" s="215">
        <v>21600</v>
      </c>
      <c r="K2758" s="212">
        <v>43718</v>
      </c>
      <c r="L2758" s="211" t="s">
        <v>2258</v>
      </c>
      <c r="M2758" s="216">
        <v>4615445946</v>
      </c>
      <c r="N2758" s="212"/>
      <c r="O2758" s="218"/>
      <c r="P2758" s="219"/>
      <c r="Q2758" s="34">
        <f>SUMIF(Allocation[Delivery ID],Allocation[[#This Row],[Delivery ID]],Allocation[Quantity Processed])</f>
        <v>19130</v>
      </c>
      <c r="R2758" s="61">
        <f>Allocation[[#This Row],[Total volume used]]/VLOOKUP(Allocation[[#This Row],[Delivery ID]],Delivery[[Delivery ID]:[Quantity delivered]],3,FALSE)</f>
        <v>1</v>
      </c>
      <c r="S2758" s="34">
        <f>Allocation[[#This Row],[Quantity Processed]]/Allocation[[#This Row],[Dilution rate]]</f>
        <v>1026.25</v>
      </c>
      <c r="T2758" s="59">
        <f>SUMIF(Allocation[Delivery ID],Allocation[[#This Row],[Delivery ID]],Allocation[Quantity allocated])/SUMIF(Allocation[Delivery ID],Allocation[[#This Row],[Delivery ID]],Allocation[Volume available (kg)])</f>
        <v>0.93747812529829133</v>
      </c>
      <c r="U2758" s="61">
        <f>Allocation[[#This Row],[Total volume used]]/VLOOKUP(Allocation[[#This Row],[Delivery ID]],Delivery[[Delivery ID]:[Quantity delivered]],3,FALSE)</f>
        <v>1</v>
      </c>
      <c r="V2758" s="34" t="e">
        <f>VLOOKUP(Allocation[[#This Row],[SAP Contract number]],Shipments[[SAP Contract number]:[Contracted container weight]],2,FALSE)</f>
        <v>#N/A</v>
      </c>
      <c r="W2758" s="34" t="e">
        <f>VLOOKUP(Allocation[[#This Row],[SAP Contract number]],Shipments[[SAP Contract number]:[AAA Premium USD]],24,FALSE)</f>
        <v>#N/A</v>
      </c>
      <c r="X2758" s="34" t="e">
        <f>VLOOKUP(Allocation[[#This Row],[SAP Contract number]],Shipments[[SAP Contract number]:[RA Premium USD]],25,FALSE)</f>
        <v>#N/A</v>
      </c>
      <c r="Y2758" s="38">
        <f>Allocation[[#This Row],[Quantity Processed]]/Allocation[[#This Row],[Quantity allocated]]</f>
        <v>2.8976470588235292</v>
      </c>
      <c r="Z2758" s="34" t="b">
        <f>Allocation[[#This Row],[Quantity allocated]]&lt;=Allocation[[#This Row],[Quantity Processed]]</f>
        <v>1</v>
      </c>
    </row>
    <row r="2759" spans="1:26">
      <c r="A2759" s="247" t="s">
        <v>467</v>
      </c>
      <c r="B2759" s="210" t="s">
        <v>68</v>
      </c>
      <c r="C2759" s="254" t="s">
        <v>2012</v>
      </c>
      <c r="D2759" s="255">
        <v>6667</v>
      </c>
      <c r="E2759" s="211" t="s">
        <v>2256</v>
      </c>
      <c r="F2759" s="212">
        <v>43710</v>
      </c>
      <c r="G2759" s="213">
        <v>2.4</v>
      </c>
      <c r="H2759" s="256">
        <v>3000</v>
      </c>
      <c r="I2759" s="214">
        <v>1490137</v>
      </c>
      <c r="J2759" s="215">
        <v>21600</v>
      </c>
      <c r="K2759" s="212">
        <v>43718</v>
      </c>
      <c r="L2759" s="211" t="s">
        <v>2258</v>
      </c>
      <c r="M2759" s="216">
        <v>4615445946</v>
      </c>
      <c r="N2759" s="212"/>
      <c r="O2759" s="218"/>
      <c r="P2759" s="219"/>
      <c r="Q2759" s="34">
        <f>SUMIF(Allocation[Delivery ID],Allocation[[#This Row],[Delivery ID]],Allocation[Quantity Processed])</f>
        <v>11111</v>
      </c>
      <c r="R2759" s="61">
        <f>Allocation[[#This Row],[Total volume used]]/VLOOKUP(Allocation[[#This Row],[Delivery ID]],Delivery[[Delivery ID]:[Quantity delivered]],3,FALSE)</f>
        <v>0.51688686267212502</v>
      </c>
      <c r="S2759" s="34">
        <f>Allocation[[#This Row],[Quantity Processed]]/Allocation[[#This Row],[Dilution rate]]</f>
        <v>2777.916666666667</v>
      </c>
      <c r="T2759" s="59">
        <f>SUMIF(Allocation[Delivery ID],Allocation[[#This Row],[Delivery ID]],Allocation[Quantity allocated])/SUMIF(Allocation[Delivery ID],Allocation[[#This Row],[Delivery ID]],Allocation[Volume available (kg)])</f>
        <v>1.1600038666795556</v>
      </c>
      <c r="U2759" s="61">
        <f>Allocation[[#This Row],[Total volume used]]/VLOOKUP(Allocation[[#This Row],[Delivery ID]],Delivery[[Delivery ID]:[Quantity delivered]],3,FALSE)</f>
        <v>0.51688686267212502</v>
      </c>
      <c r="V2759" s="34" t="e">
        <f>VLOOKUP(Allocation[[#This Row],[SAP Contract number]],Shipments[[SAP Contract number]:[Contracted container weight]],2,FALSE)</f>
        <v>#N/A</v>
      </c>
      <c r="W2759" s="34" t="e">
        <f>VLOOKUP(Allocation[[#This Row],[SAP Contract number]],Shipments[[SAP Contract number]:[AAA Premium USD]],24,FALSE)</f>
        <v>#N/A</v>
      </c>
      <c r="X2759" s="34" t="e">
        <f>VLOOKUP(Allocation[[#This Row],[SAP Contract number]],Shipments[[SAP Contract number]:[RA Premium USD]],25,FALSE)</f>
        <v>#N/A</v>
      </c>
      <c r="Y2759" s="38">
        <f>Allocation[[#This Row],[Quantity Processed]]/Allocation[[#This Row],[Quantity allocated]]</f>
        <v>2.2223333333333333</v>
      </c>
      <c r="Z2759" s="34" t="b">
        <f>Allocation[[#This Row],[Quantity allocated]]&lt;=Allocation[[#This Row],[Quantity Processed]]</f>
        <v>1</v>
      </c>
    </row>
    <row r="2760" spans="1:26">
      <c r="A2760" s="247" t="s">
        <v>467</v>
      </c>
      <c r="B2760" s="210" t="s">
        <v>68</v>
      </c>
      <c r="C2760" s="254" t="s">
        <v>2013</v>
      </c>
      <c r="D2760" s="255">
        <v>9333</v>
      </c>
      <c r="E2760" s="211" t="s">
        <v>2256</v>
      </c>
      <c r="F2760" s="212">
        <v>43710</v>
      </c>
      <c r="G2760" s="213">
        <v>2.4</v>
      </c>
      <c r="H2760" s="256">
        <v>4200</v>
      </c>
      <c r="I2760" s="214">
        <v>1490137</v>
      </c>
      <c r="J2760" s="215">
        <v>21600</v>
      </c>
      <c r="K2760" s="212">
        <v>43718</v>
      </c>
      <c r="L2760" s="211" t="s">
        <v>2258</v>
      </c>
      <c r="M2760" s="216">
        <v>4615445946</v>
      </c>
      <c r="N2760" s="212"/>
      <c r="O2760" s="218"/>
      <c r="P2760" s="219"/>
      <c r="Q2760" s="34">
        <f>SUMIF(Allocation[Delivery ID],Allocation[[#This Row],[Delivery ID]],Allocation[Quantity Processed])</f>
        <v>13777</v>
      </c>
      <c r="R2760" s="61">
        <f>Allocation[[#This Row],[Total volume used]]/VLOOKUP(Allocation[[#This Row],[Delivery ID]],Delivery[[Delivery ID]:[Quantity delivered]],3,FALSE)</f>
        <v>0.67204878048780492</v>
      </c>
      <c r="S2760" s="34">
        <f>Allocation[[#This Row],[Quantity Processed]]/Allocation[[#This Row],[Dilution rate]]</f>
        <v>3888.75</v>
      </c>
      <c r="T2760" s="59">
        <f>SUMIF(Allocation[Delivery ID],Allocation[[#This Row],[Delivery ID]],Allocation[Quantity allocated])/SUMIF(Allocation[Delivery ID],Allocation[[#This Row],[Delivery ID]],Allocation[Volume available (kg)])</f>
        <v>1.1436658689204984</v>
      </c>
      <c r="U2760" s="61">
        <f>Allocation[[#This Row],[Total volume used]]/VLOOKUP(Allocation[[#This Row],[Delivery ID]],Delivery[[Delivery ID]:[Quantity delivered]],3,FALSE)</f>
        <v>0.67204878048780492</v>
      </c>
      <c r="V2760" s="34" t="e">
        <f>VLOOKUP(Allocation[[#This Row],[SAP Contract number]],Shipments[[SAP Contract number]:[Contracted container weight]],2,FALSE)</f>
        <v>#N/A</v>
      </c>
      <c r="W2760" s="34" t="e">
        <f>VLOOKUP(Allocation[[#This Row],[SAP Contract number]],Shipments[[SAP Contract number]:[AAA Premium USD]],24,FALSE)</f>
        <v>#N/A</v>
      </c>
      <c r="X2760" s="34" t="e">
        <f>VLOOKUP(Allocation[[#This Row],[SAP Contract number]],Shipments[[SAP Contract number]:[RA Premium USD]],25,FALSE)</f>
        <v>#N/A</v>
      </c>
      <c r="Y2760" s="38">
        <f>Allocation[[#This Row],[Quantity Processed]]/Allocation[[#This Row],[Quantity allocated]]</f>
        <v>2.222142857142857</v>
      </c>
      <c r="Z2760" s="34" t="b">
        <f>Allocation[[#This Row],[Quantity allocated]]&lt;=Allocation[[#This Row],[Quantity Processed]]</f>
        <v>1</v>
      </c>
    </row>
    <row r="2761" spans="1:26">
      <c r="A2761" s="247" t="s">
        <v>467</v>
      </c>
      <c r="B2761" s="210" t="s">
        <v>68</v>
      </c>
      <c r="C2761" s="254" t="s">
        <v>2014</v>
      </c>
      <c r="D2761" s="255">
        <v>3175</v>
      </c>
      <c r="E2761" s="211" t="s">
        <v>2256</v>
      </c>
      <c r="F2761" s="212">
        <v>43710</v>
      </c>
      <c r="G2761" s="213">
        <v>2.4</v>
      </c>
      <c r="H2761" s="256">
        <v>2000</v>
      </c>
      <c r="I2761" s="214">
        <v>1490137</v>
      </c>
      <c r="J2761" s="215">
        <v>21600</v>
      </c>
      <c r="K2761" s="212">
        <v>43718</v>
      </c>
      <c r="L2761" s="211" t="s">
        <v>2258</v>
      </c>
      <c r="M2761" s="216">
        <v>4615445946</v>
      </c>
      <c r="N2761" s="212"/>
      <c r="O2761" s="218"/>
      <c r="P2761" s="219"/>
      <c r="Q2761" s="34">
        <f>SUMIF(Allocation[Delivery ID],Allocation[[#This Row],[Delivery ID]],Allocation[Quantity Processed])</f>
        <v>3288</v>
      </c>
      <c r="R2761" s="61">
        <f>Allocation[[#This Row],[Total volume used]]/VLOOKUP(Allocation[[#This Row],[Delivery ID]],Delivery[[Delivery ID]:[Quantity delivered]],3,FALSE)</f>
        <v>0.53006609704981456</v>
      </c>
      <c r="S2761" s="34">
        <f>Allocation[[#This Row],[Quantity Processed]]/Allocation[[#This Row],[Dilution rate]]</f>
        <v>1322.9166666666667</v>
      </c>
      <c r="T2761" s="59">
        <f>SUMIF(Allocation[Delivery ID],Allocation[[#This Row],[Delivery ID]],Allocation[Quantity allocated])/SUMIF(Allocation[Delivery ID],Allocation[[#This Row],[Delivery ID]],Allocation[Volume available (kg)])</f>
        <v>1.5206895460347938</v>
      </c>
      <c r="U2761" s="61">
        <f>Allocation[[#This Row],[Total volume used]]/VLOOKUP(Allocation[[#This Row],[Delivery ID]],Delivery[[Delivery ID]:[Quantity delivered]],3,FALSE)</f>
        <v>0.53006609704981456</v>
      </c>
      <c r="V2761" s="34" t="e">
        <f>VLOOKUP(Allocation[[#This Row],[SAP Contract number]],Shipments[[SAP Contract number]:[Contracted container weight]],2,FALSE)</f>
        <v>#N/A</v>
      </c>
      <c r="W2761" s="34" t="e">
        <f>VLOOKUP(Allocation[[#This Row],[SAP Contract number]],Shipments[[SAP Contract number]:[AAA Premium USD]],24,FALSE)</f>
        <v>#N/A</v>
      </c>
      <c r="X2761" s="34" t="e">
        <f>VLOOKUP(Allocation[[#This Row],[SAP Contract number]],Shipments[[SAP Contract number]:[RA Premium USD]],25,FALSE)</f>
        <v>#N/A</v>
      </c>
      <c r="Y2761" s="38">
        <f>Allocation[[#This Row],[Quantity Processed]]/Allocation[[#This Row],[Quantity allocated]]</f>
        <v>1.5874999999999999</v>
      </c>
      <c r="Z2761" s="34" t="b">
        <f>Allocation[[#This Row],[Quantity allocated]]&lt;=Allocation[[#This Row],[Quantity Processed]]</f>
        <v>1</v>
      </c>
    </row>
    <row r="2762" spans="1:26">
      <c r="A2762" s="247" t="s">
        <v>467</v>
      </c>
      <c r="B2762" s="210" t="s">
        <v>68</v>
      </c>
      <c r="C2762" s="254" t="s">
        <v>2016</v>
      </c>
      <c r="D2762" s="255">
        <v>1809</v>
      </c>
      <c r="E2762" s="211" t="s">
        <v>2256</v>
      </c>
      <c r="F2762" s="212">
        <v>43710</v>
      </c>
      <c r="G2762" s="213">
        <v>2.4</v>
      </c>
      <c r="H2762" s="256">
        <v>1150</v>
      </c>
      <c r="I2762" s="214">
        <v>1490137</v>
      </c>
      <c r="J2762" s="215">
        <v>21600</v>
      </c>
      <c r="K2762" s="212">
        <v>43718</v>
      </c>
      <c r="L2762" s="211" t="s">
        <v>2258</v>
      </c>
      <c r="M2762" s="216">
        <v>4615445946</v>
      </c>
      <c r="N2762" s="212"/>
      <c r="O2762" s="218"/>
      <c r="P2762" s="219"/>
      <c r="Q2762" s="34">
        <f>SUMIF(Allocation[Delivery ID],Allocation[[#This Row],[Delivery ID]],Allocation[Quantity Processed])</f>
        <v>1844</v>
      </c>
      <c r="R2762" s="61">
        <f>Allocation[[#This Row],[Total volume used]]/VLOOKUP(Allocation[[#This Row],[Delivery ID]],Delivery[[Delivery ID]:[Quantity delivered]],3,FALSE)</f>
        <v>1</v>
      </c>
      <c r="S2762" s="34">
        <f>Allocation[[#This Row],[Quantity Processed]]/Allocation[[#This Row],[Dilution rate]]</f>
        <v>753.75</v>
      </c>
      <c r="T2762" s="59">
        <f>SUMIF(Allocation[Delivery ID],Allocation[[#This Row],[Delivery ID]],Allocation[Quantity allocated])/SUMIF(Allocation[Delivery ID],Allocation[[#This Row],[Delivery ID]],Allocation[Volume available (kg)])</f>
        <v>1.5303877976022964</v>
      </c>
      <c r="U2762" s="61">
        <f>Allocation[[#This Row],[Total volume used]]/VLOOKUP(Allocation[[#This Row],[Delivery ID]],Delivery[[Delivery ID]:[Quantity delivered]],3,FALSE)</f>
        <v>1</v>
      </c>
      <c r="V2762" s="34" t="e">
        <f>VLOOKUP(Allocation[[#This Row],[SAP Contract number]],Shipments[[SAP Contract number]:[Contracted container weight]],2,FALSE)</f>
        <v>#N/A</v>
      </c>
      <c r="W2762" s="34" t="e">
        <f>VLOOKUP(Allocation[[#This Row],[SAP Contract number]],Shipments[[SAP Contract number]:[AAA Premium USD]],24,FALSE)</f>
        <v>#N/A</v>
      </c>
      <c r="X2762" s="34" t="e">
        <f>VLOOKUP(Allocation[[#This Row],[SAP Contract number]],Shipments[[SAP Contract number]:[RA Premium USD]],25,FALSE)</f>
        <v>#N/A</v>
      </c>
      <c r="Y2762" s="38">
        <f>Allocation[[#This Row],[Quantity Processed]]/Allocation[[#This Row],[Quantity allocated]]</f>
        <v>1.5730434782608695</v>
      </c>
      <c r="Z2762" s="34" t="b">
        <f>Allocation[[#This Row],[Quantity allocated]]&lt;=Allocation[[#This Row],[Quantity Processed]]</f>
        <v>1</v>
      </c>
    </row>
    <row r="2763" spans="1:26">
      <c r="A2763" s="247" t="s">
        <v>467</v>
      </c>
      <c r="B2763" s="210" t="s">
        <v>68</v>
      </c>
      <c r="C2763" s="254" t="s">
        <v>2017</v>
      </c>
      <c r="D2763" s="255">
        <v>3175</v>
      </c>
      <c r="E2763" s="211" t="s">
        <v>2256</v>
      </c>
      <c r="F2763" s="212">
        <v>43710</v>
      </c>
      <c r="G2763" s="213">
        <v>2.4</v>
      </c>
      <c r="H2763" s="256">
        <v>2000</v>
      </c>
      <c r="I2763" s="214">
        <v>1490137</v>
      </c>
      <c r="J2763" s="215">
        <v>21600</v>
      </c>
      <c r="K2763" s="212">
        <v>43718</v>
      </c>
      <c r="L2763" s="211" t="s">
        <v>2258</v>
      </c>
      <c r="M2763" s="216">
        <v>4615445946</v>
      </c>
      <c r="N2763" s="212"/>
      <c r="O2763" s="218"/>
      <c r="P2763" s="219"/>
      <c r="Q2763" s="34">
        <f>SUMIF(Allocation[Delivery ID],Allocation[[#This Row],[Delivery ID]],Allocation[Quantity Processed])</f>
        <v>3275</v>
      </c>
      <c r="R2763" s="61">
        <f>Allocation[[#This Row],[Total volume used]]/VLOOKUP(Allocation[[#This Row],[Delivery ID]],Delivery[[Delivery ID]:[Quantity delivered]],3,FALSE)</f>
        <v>0.6009174311926605</v>
      </c>
      <c r="S2763" s="34">
        <f>Allocation[[#This Row],[Quantity Processed]]/Allocation[[#This Row],[Dilution rate]]</f>
        <v>1322.9166666666667</v>
      </c>
      <c r="T2763" s="59">
        <f>SUMIF(Allocation[Delivery ID],Allocation[[#This Row],[Delivery ID]],Allocation[Quantity allocated])/SUMIF(Allocation[Delivery ID],Allocation[[#This Row],[Delivery ID]],Allocation[Volume available (kg)])</f>
        <v>1.5198179412542998</v>
      </c>
      <c r="U2763" s="61">
        <f>Allocation[[#This Row],[Total volume used]]/VLOOKUP(Allocation[[#This Row],[Delivery ID]],Delivery[[Delivery ID]:[Quantity delivered]],3,FALSE)</f>
        <v>0.6009174311926605</v>
      </c>
      <c r="V2763" s="34" t="e">
        <f>VLOOKUP(Allocation[[#This Row],[SAP Contract number]],Shipments[[SAP Contract number]:[Contracted container weight]],2,FALSE)</f>
        <v>#N/A</v>
      </c>
      <c r="W2763" s="34" t="e">
        <f>VLOOKUP(Allocation[[#This Row],[SAP Contract number]],Shipments[[SAP Contract number]:[AAA Premium USD]],24,FALSE)</f>
        <v>#N/A</v>
      </c>
      <c r="X2763" s="34" t="e">
        <f>VLOOKUP(Allocation[[#This Row],[SAP Contract number]],Shipments[[SAP Contract number]:[RA Premium USD]],25,FALSE)</f>
        <v>#N/A</v>
      </c>
      <c r="Y2763" s="38">
        <f>Allocation[[#This Row],[Quantity Processed]]/Allocation[[#This Row],[Quantity allocated]]</f>
        <v>1.5874999999999999</v>
      </c>
      <c r="Z2763" s="34" t="b">
        <f>Allocation[[#This Row],[Quantity allocated]]&lt;=Allocation[[#This Row],[Quantity Processed]]</f>
        <v>1</v>
      </c>
    </row>
    <row r="2764" spans="1:26">
      <c r="A2764" s="247" t="s">
        <v>467</v>
      </c>
      <c r="B2764" s="210" t="s">
        <v>68</v>
      </c>
      <c r="C2764" s="254" t="s">
        <v>2150</v>
      </c>
      <c r="D2764" s="255">
        <v>11111</v>
      </c>
      <c r="E2764" s="211" t="s">
        <v>2256</v>
      </c>
      <c r="F2764" s="212">
        <v>43710</v>
      </c>
      <c r="G2764" s="213">
        <v>2.4</v>
      </c>
      <c r="H2764" s="256">
        <v>4000</v>
      </c>
      <c r="I2764" s="214">
        <v>1490137</v>
      </c>
      <c r="J2764" s="215">
        <v>21600</v>
      </c>
      <c r="K2764" s="212">
        <v>43718</v>
      </c>
      <c r="L2764" s="211" t="s">
        <v>2258</v>
      </c>
      <c r="M2764" s="216">
        <v>4615445946</v>
      </c>
      <c r="N2764" s="212"/>
      <c r="O2764" s="218"/>
      <c r="P2764" s="219"/>
      <c r="Q2764" s="34">
        <f>SUMIF(Allocation[Delivery ID],Allocation[[#This Row],[Delivery ID]],Allocation[Quantity Processed])</f>
        <v>11111</v>
      </c>
      <c r="R2764" s="61">
        <f>Allocation[[#This Row],[Total volume used]]/VLOOKUP(Allocation[[#This Row],[Delivery ID]],Delivery[[Delivery ID]:[Quantity delivered]],3,FALSE)</f>
        <v>0.53137254901960784</v>
      </c>
      <c r="S2764" s="34">
        <f>Allocation[[#This Row],[Quantity Processed]]/Allocation[[#This Row],[Dilution rate]]</f>
        <v>4629.5833333333339</v>
      </c>
      <c r="T2764" s="59">
        <f>SUMIF(Allocation[Delivery ID],Allocation[[#This Row],[Delivery ID]],Allocation[Quantity allocated])/SUMIF(Allocation[Delivery ID],Allocation[[#This Row],[Delivery ID]],Allocation[Volume available (kg)])</f>
        <v>0.86400864008640077</v>
      </c>
      <c r="U2764" s="61">
        <f>Allocation[[#This Row],[Total volume used]]/VLOOKUP(Allocation[[#This Row],[Delivery ID]],Delivery[[Delivery ID]:[Quantity delivered]],3,FALSE)</f>
        <v>0.53137254901960784</v>
      </c>
      <c r="V2764" s="34" t="e">
        <f>VLOOKUP(Allocation[[#This Row],[SAP Contract number]],Shipments[[SAP Contract number]:[Contracted container weight]],2,FALSE)</f>
        <v>#N/A</v>
      </c>
      <c r="W2764" s="34" t="e">
        <f>VLOOKUP(Allocation[[#This Row],[SAP Contract number]],Shipments[[SAP Contract number]:[AAA Premium USD]],24,FALSE)</f>
        <v>#N/A</v>
      </c>
      <c r="X2764" s="34" t="e">
        <f>VLOOKUP(Allocation[[#This Row],[SAP Contract number]],Shipments[[SAP Contract number]:[RA Premium USD]],25,FALSE)</f>
        <v>#N/A</v>
      </c>
      <c r="Y2764" s="38">
        <f>Allocation[[#This Row],[Quantity Processed]]/Allocation[[#This Row],[Quantity allocated]]</f>
        <v>2.7777500000000002</v>
      </c>
      <c r="Z2764" s="34" t="b">
        <f>Allocation[[#This Row],[Quantity allocated]]&lt;=Allocation[[#This Row],[Quantity Processed]]</f>
        <v>1</v>
      </c>
    </row>
    <row r="2765" spans="1:26">
      <c r="A2765" s="247" t="s">
        <v>467</v>
      </c>
      <c r="B2765" s="210" t="s">
        <v>68</v>
      </c>
      <c r="C2765" s="254" t="s">
        <v>2151</v>
      </c>
      <c r="D2765" s="255">
        <v>4444</v>
      </c>
      <c r="E2765" s="211" t="s">
        <v>2256</v>
      </c>
      <c r="F2765" s="212">
        <v>43710</v>
      </c>
      <c r="G2765" s="213">
        <v>2.4</v>
      </c>
      <c r="H2765" s="256">
        <v>1600</v>
      </c>
      <c r="I2765" s="214">
        <v>1490137</v>
      </c>
      <c r="J2765" s="215">
        <v>21600</v>
      </c>
      <c r="K2765" s="212">
        <v>43718</v>
      </c>
      <c r="L2765" s="211" t="s">
        <v>2258</v>
      </c>
      <c r="M2765" s="216">
        <v>4615445946</v>
      </c>
      <c r="N2765" s="212"/>
      <c r="O2765" s="218"/>
      <c r="P2765" s="219"/>
      <c r="Q2765" s="34">
        <f>SUMIF(Allocation[Delivery ID],Allocation[[#This Row],[Delivery ID]],Allocation[Quantity Processed])</f>
        <v>13889</v>
      </c>
      <c r="R2765" s="61">
        <f>Allocation[[#This Row],[Total volume used]]/VLOOKUP(Allocation[[#This Row],[Delivery ID]],Delivery[[Delivery ID]:[Quantity delivered]],3,FALSE)</f>
        <v>0.72038381742738589</v>
      </c>
      <c r="S2765" s="34">
        <f>Allocation[[#This Row],[Quantity Processed]]/Allocation[[#This Row],[Dilution rate]]</f>
        <v>1851.6666666666667</v>
      </c>
      <c r="T2765" s="59">
        <f>SUMIF(Allocation[Delivery ID],Allocation[[#This Row],[Delivery ID]],Allocation[Quantity allocated])/SUMIF(Allocation[Delivery ID],Allocation[[#This Row],[Delivery ID]],Allocation[Volume available (kg)])</f>
        <v>0.86399308805529551</v>
      </c>
      <c r="U2765" s="61">
        <f>Allocation[[#This Row],[Total volume used]]/VLOOKUP(Allocation[[#This Row],[Delivery ID]],Delivery[[Delivery ID]:[Quantity delivered]],3,FALSE)</f>
        <v>0.72038381742738589</v>
      </c>
      <c r="V2765" s="34" t="e">
        <f>VLOOKUP(Allocation[[#This Row],[SAP Contract number]],Shipments[[SAP Contract number]:[Contracted container weight]],2,FALSE)</f>
        <v>#N/A</v>
      </c>
      <c r="W2765" s="34" t="e">
        <f>VLOOKUP(Allocation[[#This Row],[SAP Contract number]],Shipments[[SAP Contract number]:[AAA Premium USD]],24,FALSE)</f>
        <v>#N/A</v>
      </c>
      <c r="X2765" s="34" t="e">
        <f>VLOOKUP(Allocation[[#This Row],[SAP Contract number]],Shipments[[SAP Contract number]:[RA Premium USD]],25,FALSE)</f>
        <v>#N/A</v>
      </c>
      <c r="Y2765" s="38">
        <f>Allocation[[#This Row],[Quantity Processed]]/Allocation[[#This Row],[Quantity allocated]]</f>
        <v>2.7774999999999999</v>
      </c>
      <c r="Z2765" s="34" t="b">
        <f>Allocation[[#This Row],[Quantity allocated]]&lt;=Allocation[[#This Row],[Quantity Processed]]</f>
        <v>1</v>
      </c>
    </row>
    <row r="2766" spans="1:26">
      <c r="A2766" s="247" t="s">
        <v>467</v>
      </c>
      <c r="B2766" s="210" t="s">
        <v>68</v>
      </c>
      <c r="C2766" s="254" t="s">
        <v>2151</v>
      </c>
      <c r="D2766" s="255">
        <v>9445</v>
      </c>
      <c r="E2766" s="211" t="s">
        <v>2256</v>
      </c>
      <c r="F2766" s="212">
        <v>43710</v>
      </c>
      <c r="G2766" s="213">
        <v>2.4</v>
      </c>
      <c r="H2766" s="256">
        <v>3400</v>
      </c>
      <c r="I2766" s="214">
        <v>1490138</v>
      </c>
      <c r="J2766" s="215">
        <v>21600</v>
      </c>
      <c r="K2766" s="212">
        <v>43718</v>
      </c>
      <c r="L2766" s="211" t="s">
        <v>2259</v>
      </c>
      <c r="M2766" s="216">
        <v>4615445946</v>
      </c>
      <c r="N2766" s="212"/>
      <c r="O2766" s="218"/>
      <c r="P2766" s="219"/>
      <c r="Q2766" s="34">
        <f>SUMIF(Allocation[Delivery ID],Allocation[[#This Row],[Delivery ID]],Allocation[Quantity Processed])</f>
        <v>13889</v>
      </c>
      <c r="R2766" s="61">
        <f>Allocation[[#This Row],[Total volume used]]/VLOOKUP(Allocation[[#This Row],[Delivery ID]],Delivery[[Delivery ID]:[Quantity delivered]],3,FALSE)</f>
        <v>0.72038381742738589</v>
      </c>
      <c r="S2766" s="34">
        <f>Allocation[[#This Row],[Quantity Processed]]/Allocation[[#This Row],[Dilution rate]]</f>
        <v>3935.416666666667</v>
      </c>
      <c r="T2766" s="59">
        <f>SUMIF(Allocation[Delivery ID],Allocation[[#This Row],[Delivery ID]],Allocation[Quantity allocated])/SUMIF(Allocation[Delivery ID],Allocation[[#This Row],[Delivery ID]],Allocation[Volume available (kg)])</f>
        <v>0.86399308805529551</v>
      </c>
      <c r="U2766" s="61">
        <f>Allocation[[#This Row],[Total volume used]]/VLOOKUP(Allocation[[#This Row],[Delivery ID]],Delivery[[Delivery ID]:[Quantity delivered]],3,FALSE)</f>
        <v>0.72038381742738589</v>
      </c>
      <c r="V2766" s="34" t="e">
        <f>VLOOKUP(Allocation[[#This Row],[SAP Contract number]],Shipments[[SAP Contract number]:[Contracted container weight]],2,FALSE)</f>
        <v>#N/A</v>
      </c>
      <c r="W2766" s="34" t="e">
        <f>VLOOKUP(Allocation[[#This Row],[SAP Contract number]],Shipments[[SAP Contract number]:[AAA Premium USD]],24,FALSE)</f>
        <v>#N/A</v>
      </c>
      <c r="X2766" s="34" t="e">
        <f>VLOOKUP(Allocation[[#This Row],[SAP Contract number]],Shipments[[SAP Contract number]:[RA Premium USD]],25,FALSE)</f>
        <v>#N/A</v>
      </c>
      <c r="Y2766" s="38">
        <f>Allocation[[#This Row],[Quantity Processed]]/Allocation[[#This Row],[Quantity allocated]]</f>
        <v>2.7779411764705881</v>
      </c>
      <c r="Z2766" s="34" t="b">
        <f>Allocation[[#This Row],[Quantity allocated]]&lt;=Allocation[[#This Row],[Quantity Processed]]</f>
        <v>1</v>
      </c>
    </row>
    <row r="2767" spans="1:26">
      <c r="A2767" s="247" t="s">
        <v>467</v>
      </c>
      <c r="B2767" s="210" t="s">
        <v>68</v>
      </c>
      <c r="C2767" s="254" t="s">
        <v>2152</v>
      </c>
      <c r="D2767" s="255">
        <v>13889</v>
      </c>
      <c r="E2767" s="211" t="s">
        <v>2256</v>
      </c>
      <c r="F2767" s="212">
        <v>43710</v>
      </c>
      <c r="G2767" s="213">
        <v>2.4</v>
      </c>
      <c r="H2767" s="256">
        <v>5000</v>
      </c>
      <c r="I2767" s="214">
        <v>1490138</v>
      </c>
      <c r="J2767" s="215">
        <v>21600</v>
      </c>
      <c r="K2767" s="212">
        <v>43718</v>
      </c>
      <c r="L2767" s="211" t="s">
        <v>2259</v>
      </c>
      <c r="M2767" s="216">
        <v>4615445946</v>
      </c>
      <c r="N2767" s="212"/>
      <c r="O2767" s="218"/>
      <c r="P2767" s="219"/>
      <c r="Q2767" s="34">
        <f>SUMIF(Allocation[Delivery ID],Allocation[[#This Row],[Delivery ID]],Allocation[Quantity Processed])</f>
        <v>13889</v>
      </c>
      <c r="R2767" s="61">
        <f>Allocation[[#This Row],[Total volume used]]/VLOOKUP(Allocation[[#This Row],[Delivery ID]],Delivery[[Delivery ID]:[Quantity delivered]],3,FALSE)</f>
        <v>0.68723404255319154</v>
      </c>
      <c r="S2767" s="34">
        <f>Allocation[[#This Row],[Quantity Processed]]/Allocation[[#This Row],[Dilution rate]]</f>
        <v>5787.0833333333339</v>
      </c>
      <c r="T2767" s="59">
        <f>SUMIF(Allocation[Delivery ID],Allocation[[#This Row],[Delivery ID]],Allocation[Quantity allocated])/SUMIF(Allocation[Delivery ID],Allocation[[#This Row],[Delivery ID]],Allocation[Volume available (kg)])</f>
        <v>0.86399308805529551</v>
      </c>
      <c r="U2767" s="61">
        <f>Allocation[[#This Row],[Total volume used]]/VLOOKUP(Allocation[[#This Row],[Delivery ID]],Delivery[[Delivery ID]:[Quantity delivered]],3,FALSE)</f>
        <v>0.68723404255319154</v>
      </c>
      <c r="V2767" s="34" t="e">
        <f>VLOOKUP(Allocation[[#This Row],[SAP Contract number]],Shipments[[SAP Contract number]:[Contracted container weight]],2,FALSE)</f>
        <v>#N/A</v>
      </c>
      <c r="W2767" s="34" t="e">
        <f>VLOOKUP(Allocation[[#This Row],[SAP Contract number]],Shipments[[SAP Contract number]:[AAA Premium USD]],24,FALSE)</f>
        <v>#N/A</v>
      </c>
      <c r="X2767" s="34" t="e">
        <f>VLOOKUP(Allocation[[#This Row],[SAP Contract number]],Shipments[[SAP Contract number]:[RA Premium USD]],25,FALSE)</f>
        <v>#N/A</v>
      </c>
      <c r="Y2767" s="38">
        <f>Allocation[[#This Row],[Quantity Processed]]/Allocation[[#This Row],[Quantity allocated]]</f>
        <v>2.7778</v>
      </c>
      <c r="Z2767" s="34" t="b">
        <f>Allocation[[#This Row],[Quantity allocated]]&lt;=Allocation[[#This Row],[Quantity Processed]]</f>
        <v>1</v>
      </c>
    </row>
    <row r="2768" spans="1:26">
      <c r="A2768" s="247" t="s">
        <v>467</v>
      </c>
      <c r="B2768" s="210" t="s">
        <v>68</v>
      </c>
      <c r="C2768" s="254" t="s">
        <v>2153</v>
      </c>
      <c r="D2768" s="255">
        <v>11111</v>
      </c>
      <c r="E2768" s="211" t="s">
        <v>2256</v>
      </c>
      <c r="F2768" s="212">
        <v>43710</v>
      </c>
      <c r="G2768" s="213">
        <v>2.4</v>
      </c>
      <c r="H2768" s="256">
        <v>4000</v>
      </c>
      <c r="I2768" s="214">
        <v>1490138</v>
      </c>
      <c r="J2768" s="215">
        <v>21600</v>
      </c>
      <c r="K2768" s="212">
        <v>43718</v>
      </c>
      <c r="L2768" s="211" t="s">
        <v>2259</v>
      </c>
      <c r="M2768" s="216">
        <v>4615445946</v>
      </c>
      <c r="N2768" s="212"/>
      <c r="O2768" s="218"/>
      <c r="P2768" s="219"/>
      <c r="Q2768" s="34">
        <f>SUMIF(Allocation[Delivery ID],Allocation[[#This Row],[Delivery ID]],Allocation[Quantity Processed])</f>
        <v>11111</v>
      </c>
      <c r="R2768" s="61">
        <f>Allocation[[#This Row],[Total volume used]]/VLOOKUP(Allocation[[#This Row],[Delivery ID]],Delivery[[Delivery ID]:[Quantity delivered]],3,FALSE)</f>
        <v>0.6914125700062228</v>
      </c>
      <c r="S2768" s="34">
        <f>Allocation[[#This Row],[Quantity Processed]]/Allocation[[#This Row],[Dilution rate]]</f>
        <v>4629.5833333333339</v>
      </c>
      <c r="T2768" s="59">
        <f>SUMIF(Allocation[Delivery ID],Allocation[[#This Row],[Delivery ID]],Allocation[Quantity allocated])/SUMIF(Allocation[Delivery ID],Allocation[[#This Row],[Delivery ID]],Allocation[Volume available (kg)])</f>
        <v>0.86400864008640077</v>
      </c>
      <c r="U2768" s="61">
        <f>Allocation[[#This Row],[Total volume used]]/VLOOKUP(Allocation[[#This Row],[Delivery ID]],Delivery[[Delivery ID]:[Quantity delivered]],3,FALSE)</f>
        <v>0.6914125700062228</v>
      </c>
      <c r="V2768" s="34" t="e">
        <f>VLOOKUP(Allocation[[#This Row],[SAP Contract number]],Shipments[[SAP Contract number]:[Contracted container weight]],2,FALSE)</f>
        <v>#N/A</v>
      </c>
      <c r="W2768" s="34" t="e">
        <f>VLOOKUP(Allocation[[#This Row],[SAP Contract number]],Shipments[[SAP Contract number]:[AAA Premium USD]],24,FALSE)</f>
        <v>#N/A</v>
      </c>
      <c r="X2768" s="34" t="e">
        <f>VLOOKUP(Allocation[[#This Row],[SAP Contract number]],Shipments[[SAP Contract number]:[RA Premium USD]],25,FALSE)</f>
        <v>#N/A</v>
      </c>
      <c r="Y2768" s="38">
        <f>Allocation[[#This Row],[Quantity Processed]]/Allocation[[#This Row],[Quantity allocated]]</f>
        <v>2.7777500000000002</v>
      </c>
      <c r="Z2768" s="34" t="b">
        <f>Allocation[[#This Row],[Quantity allocated]]&lt;=Allocation[[#This Row],[Quantity Processed]]</f>
        <v>1</v>
      </c>
    </row>
    <row r="2769" spans="1:26">
      <c r="A2769" s="247" t="s">
        <v>467</v>
      </c>
      <c r="B2769" s="210" t="s">
        <v>68</v>
      </c>
      <c r="C2769" s="254" t="s">
        <v>2154</v>
      </c>
      <c r="D2769" s="255">
        <v>11111</v>
      </c>
      <c r="E2769" s="211" t="s">
        <v>2256</v>
      </c>
      <c r="F2769" s="212">
        <v>43710</v>
      </c>
      <c r="G2769" s="213">
        <v>2.4</v>
      </c>
      <c r="H2769" s="256">
        <v>4000</v>
      </c>
      <c r="I2769" s="214">
        <v>1490138</v>
      </c>
      <c r="J2769" s="215">
        <v>21600</v>
      </c>
      <c r="K2769" s="212">
        <v>43718</v>
      </c>
      <c r="L2769" s="211" t="s">
        <v>2259</v>
      </c>
      <c r="M2769" s="216">
        <v>4615445946</v>
      </c>
      <c r="N2769" s="212"/>
      <c r="O2769" s="218"/>
      <c r="P2769" s="219"/>
      <c r="Q2769" s="34">
        <f>SUMIF(Allocation[Delivery ID],Allocation[[#This Row],[Delivery ID]],Allocation[Quantity Processed])</f>
        <v>11111</v>
      </c>
      <c r="R2769" s="61">
        <f>Allocation[[#This Row],[Total volume used]]/VLOOKUP(Allocation[[#This Row],[Delivery ID]],Delivery[[Delivery ID]:[Quantity delivered]],3,FALSE)</f>
        <v>0.56458333333333333</v>
      </c>
      <c r="S2769" s="34">
        <f>Allocation[[#This Row],[Quantity Processed]]/Allocation[[#This Row],[Dilution rate]]</f>
        <v>4629.5833333333339</v>
      </c>
      <c r="T2769" s="59">
        <f>SUMIF(Allocation[Delivery ID],Allocation[[#This Row],[Delivery ID]],Allocation[Quantity allocated])/SUMIF(Allocation[Delivery ID],Allocation[[#This Row],[Delivery ID]],Allocation[Volume available (kg)])</f>
        <v>0.86400864008640077</v>
      </c>
      <c r="U2769" s="61">
        <f>Allocation[[#This Row],[Total volume used]]/VLOOKUP(Allocation[[#This Row],[Delivery ID]],Delivery[[Delivery ID]:[Quantity delivered]],3,FALSE)</f>
        <v>0.56458333333333333</v>
      </c>
      <c r="V2769" s="34" t="e">
        <f>VLOOKUP(Allocation[[#This Row],[SAP Contract number]],Shipments[[SAP Contract number]:[Contracted container weight]],2,FALSE)</f>
        <v>#N/A</v>
      </c>
      <c r="W2769" s="34" t="e">
        <f>VLOOKUP(Allocation[[#This Row],[SAP Contract number]],Shipments[[SAP Contract number]:[AAA Premium USD]],24,FALSE)</f>
        <v>#N/A</v>
      </c>
      <c r="X2769" s="34" t="e">
        <f>VLOOKUP(Allocation[[#This Row],[SAP Contract number]],Shipments[[SAP Contract number]:[RA Premium USD]],25,FALSE)</f>
        <v>#N/A</v>
      </c>
      <c r="Y2769" s="38">
        <f>Allocation[[#This Row],[Quantity Processed]]/Allocation[[#This Row],[Quantity allocated]]</f>
        <v>2.7777500000000002</v>
      </c>
      <c r="Z2769" s="34" t="b">
        <f>Allocation[[#This Row],[Quantity allocated]]&lt;=Allocation[[#This Row],[Quantity Processed]]</f>
        <v>1</v>
      </c>
    </row>
    <row r="2770" spans="1:26">
      <c r="A2770" s="247" t="s">
        <v>467</v>
      </c>
      <c r="B2770" s="210" t="s">
        <v>68</v>
      </c>
      <c r="C2770" s="254" t="s">
        <v>2155</v>
      </c>
      <c r="D2770" s="255">
        <v>13889</v>
      </c>
      <c r="E2770" s="211" t="s">
        <v>2256</v>
      </c>
      <c r="F2770" s="212">
        <v>43710</v>
      </c>
      <c r="G2770" s="213">
        <v>2.4</v>
      </c>
      <c r="H2770" s="256">
        <v>5000</v>
      </c>
      <c r="I2770" s="214">
        <v>1490138</v>
      </c>
      <c r="J2770" s="215">
        <v>21600</v>
      </c>
      <c r="K2770" s="212">
        <v>43718</v>
      </c>
      <c r="L2770" s="211" t="s">
        <v>2259</v>
      </c>
      <c r="M2770" s="216">
        <v>4615445946</v>
      </c>
      <c r="N2770" s="212"/>
      <c r="O2770" s="218"/>
      <c r="P2770" s="219"/>
      <c r="Q2770" s="34">
        <f>SUMIF(Allocation[Delivery ID],Allocation[[#This Row],[Delivery ID]],Allocation[Quantity Processed])</f>
        <v>13889</v>
      </c>
      <c r="R2770" s="61">
        <f>Allocation[[#This Row],[Total volume used]]/VLOOKUP(Allocation[[#This Row],[Delivery ID]],Delivery[[Delivery ID]:[Quantity delivered]],3,FALSE)</f>
        <v>0.65669030732860523</v>
      </c>
      <c r="S2770" s="34">
        <f>Allocation[[#This Row],[Quantity Processed]]/Allocation[[#This Row],[Dilution rate]]</f>
        <v>5787.0833333333339</v>
      </c>
      <c r="T2770" s="59">
        <f>SUMIF(Allocation[Delivery ID],Allocation[[#This Row],[Delivery ID]],Allocation[Quantity allocated])/SUMIF(Allocation[Delivery ID],Allocation[[#This Row],[Delivery ID]],Allocation[Volume available (kg)])</f>
        <v>0.86399308805529551</v>
      </c>
      <c r="U2770" s="61">
        <f>Allocation[[#This Row],[Total volume used]]/VLOOKUP(Allocation[[#This Row],[Delivery ID]],Delivery[[Delivery ID]:[Quantity delivered]],3,FALSE)</f>
        <v>0.65669030732860523</v>
      </c>
      <c r="V2770" s="34" t="e">
        <f>VLOOKUP(Allocation[[#This Row],[SAP Contract number]],Shipments[[SAP Contract number]:[Contracted container weight]],2,FALSE)</f>
        <v>#N/A</v>
      </c>
      <c r="W2770" s="34" t="e">
        <f>VLOOKUP(Allocation[[#This Row],[SAP Contract number]],Shipments[[SAP Contract number]:[AAA Premium USD]],24,FALSE)</f>
        <v>#N/A</v>
      </c>
      <c r="X2770" s="34" t="e">
        <f>VLOOKUP(Allocation[[#This Row],[SAP Contract number]],Shipments[[SAP Contract number]:[RA Premium USD]],25,FALSE)</f>
        <v>#N/A</v>
      </c>
      <c r="Y2770" s="38">
        <f>Allocation[[#This Row],[Quantity Processed]]/Allocation[[#This Row],[Quantity allocated]]</f>
        <v>2.7778</v>
      </c>
      <c r="Z2770" s="34" t="b">
        <f>Allocation[[#This Row],[Quantity allocated]]&lt;=Allocation[[#This Row],[Quantity Processed]]</f>
        <v>1</v>
      </c>
    </row>
    <row r="2771" spans="1:26">
      <c r="A2771" s="247" t="s">
        <v>467</v>
      </c>
      <c r="B2771" s="210" t="s">
        <v>68</v>
      </c>
      <c r="C2771" s="254" t="s">
        <v>2156</v>
      </c>
      <c r="D2771" s="255">
        <v>556</v>
      </c>
      <c r="E2771" s="211" t="s">
        <v>2256</v>
      </c>
      <c r="F2771" s="212">
        <v>43710</v>
      </c>
      <c r="G2771" s="213">
        <v>2.4</v>
      </c>
      <c r="H2771" s="256">
        <v>200</v>
      </c>
      <c r="I2771" s="214">
        <v>1490138</v>
      </c>
      <c r="J2771" s="215">
        <v>21600</v>
      </c>
      <c r="K2771" s="212">
        <v>43718</v>
      </c>
      <c r="L2771" s="211" t="s">
        <v>2259</v>
      </c>
      <c r="M2771" s="216">
        <v>4615445946</v>
      </c>
      <c r="N2771" s="212"/>
      <c r="O2771" s="218"/>
      <c r="P2771" s="219"/>
      <c r="Q2771" s="34">
        <f>SUMIF(Allocation[Delivery ID],Allocation[[#This Row],[Delivery ID]],Allocation[Quantity Processed])</f>
        <v>13889</v>
      </c>
      <c r="R2771" s="61">
        <f>Allocation[[#This Row],[Total volume used]]/VLOOKUP(Allocation[[#This Row],[Delivery ID]],Delivery[[Delivery ID]:[Quantity delivered]],3,FALSE)</f>
        <v>0.6742233009708738</v>
      </c>
      <c r="S2771" s="34">
        <f>Allocation[[#This Row],[Quantity Processed]]/Allocation[[#This Row],[Dilution rate]]</f>
        <v>231.66666666666669</v>
      </c>
      <c r="T2771" s="59">
        <f>SUMIF(Allocation[Delivery ID],Allocation[[#This Row],[Delivery ID]],Allocation[Quantity allocated])/SUMIF(Allocation[Delivery ID],Allocation[[#This Row],[Delivery ID]],Allocation[Volume available (kg)])</f>
        <v>0.86399308805529551</v>
      </c>
      <c r="U2771" s="61">
        <f>Allocation[[#This Row],[Total volume used]]/VLOOKUP(Allocation[[#This Row],[Delivery ID]],Delivery[[Delivery ID]:[Quantity delivered]],3,FALSE)</f>
        <v>0.6742233009708738</v>
      </c>
      <c r="V2771" s="34" t="e">
        <f>VLOOKUP(Allocation[[#This Row],[SAP Contract number]],Shipments[[SAP Contract number]:[Contracted container weight]],2,FALSE)</f>
        <v>#N/A</v>
      </c>
      <c r="W2771" s="34" t="e">
        <f>VLOOKUP(Allocation[[#This Row],[SAP Contract number]],Shipments[[SAP Contract number]:[AAA Premium USD]],24,FALSE)</f>
        <v>#N/A</v>
      </c>
      <c r="X2771" s="34" t="e">
        <f>VLOOKUP(Allocation[[#This Row],[SAP Contract number]],Shipments[[SAP Contract number]:[RA Premium USD]],25,FALSE)</f>
        <v>#N/A</v>
      </c>
      <c r="Y2771" s="38">
        <f>Allocation[[#This Row],[Quantity Processed]]/Allocation[[#This Row],[Quantity allocated]]</f>
        <v>2.78</v>
      </c>
      <c r="Z2771" s="34" t="b">
        <f>Allocation[[#This Row],[Quantity allocated]]&lt;=Allocation[[#This Row],[Quantity Processed]]</f>
        <v>1</v>
      </c>
    </row>
    <row r="2772" spans="1:26">
      <c r="A2772" s="247" t="s">
        <v>467</v>
      </c>
      <c r="B2772" s="210" t="s">
        <v>68</v>
      </c>
      <c r="C2772" s="254" t="s">
        <v>2156</v>
      </c>
      <c r="D2772" s="255">
        <v>13333</v>
      </c>
      <c r="E2772" s="211" t="s">
        <v>2256</v>
      </c>
      <c r="F2772" s="212">
        <v>43710</v>
      </c>
      <c r="G2772" s="213">
        <v>2.4</v>
      </c>
      <c r="H2772" s="256">
        <v>4800</v>
      </c>
      <c r="I2772" s="214">
        <v>1490139</v>
      </c>
      <c r="J2772" s="215">
        <v>21600</v>
      </c>
      <c r="K2772" s="212">
        <v>43718</v>
      </c>
      <c r="L2772" s="211" t="s">
        <v>2260</v>
      </c>
      <c r="M2772" s="216">
        <v>4615445946</v>
      </c>
      <c r="N2772" s="212"/>
      <c r="O2772" s="218"/>
      <c r="P2772" s="219"/>
      <c r="Q2772" s="34">
        <f>SUMIF(Allocation[Delivery ID],Allocation[[#This Row],[Delivery ID]],Allocation[Quantity Processed])</f>
        <v>13889</v>
      </c>
      <c r="R2772" s="61">
        <f>Allocation[[#This Row],[Total volume used]]/VLOOKUP(Allocation[[#This Row],[Delivery ID]],Delivery[[Delivery ID]:[Quantity delivered]],3,FALSE)</f>
        <v>0.6742233009708738</v>
      </c>
      <c r="S2772" s="34">
        <f>Allocation[[#This Row],[Quantity Processed]]/Allocation[[#This Row],[Dilution rate]]</f>
        <v>5555.416666666667</v>
      </c>
      <c r="T2772" s="59">
        <f>SUMIF(Allocation[Delivery ID],Allocation[[#This Row],[Delivery ID]],Allocation[Quantity allocated])/SUMIF(Allocation[Delivery ID],Allocation[[#This Row],[Delivery ID]],Allocation[Volume available (kg)])</f>
        <v>0.86399308805529551</v>
      </c>
      <c r="U2772" s="61">
        <f>Allocation[[#This Row],[Total volume used]]/VLOOKUP(Allocation[[#This Row],[Delivery ID]],Delivery[[Delivery ID]:[Quantity delivered]],3,FALSE)</f>
        <v>0.6742233009708738</v>
      </c>
      <c r="V2772" s="34" t="e">
        <f>VLOOKUP(Allocation[[#This Row],[SAP Contract number]],Shipments[[SAP Contract number]:[Contracted container weight]],2,FALSE)</f>
        <v>#N/A</v>
      </c>
      <c r="W2772" s="34" t="e">
        <f>VLOOKUP(Allocation[[#This Row],[SAP Contract number]],Shipments[[SAP Contract number]:[AAA Premium USD]],24,FALSE)</f>
        <v>#N/A</v>
      </c>
      <c r="X2772" s="34" t="e">
        <f>VLOOKUP(Allocation[[#This Row],[SAP Contract number]],Shipments[[SAP Contract number]:[RA Premium USD]],25,FALSE)</f>
        <v>#N/A</v>
      </c>
      <c r="Y2772" s="38">
        <f>Allocation[[#This Row],[Quantity Processed]]/Allocation[[#This Row],[Quantity allocated]]</f>
        <v>2.7777083333333334</v>
      </c>
      <c r="Z2772" s="34" t="b">
        <f>Allocation[[#This Row],[Quantity allocated]]&lt;=Allocation[[#This Row],[Quantity Processed]]</f>
        <v>1</v>
      </c>
    </row>
    <row r="2773" spans="1:26">
      <c r="A2773" s="247" t="s">
        <v>467</v>
      </c>
      <c r="B2773" s="210" t="s">
        <v>68</v>
      </c>
      <c r="C2773" s="254" t="s">
        <v>2157</v>
      </c>
      <c r="D2773" s="255">
        <v>11111</v>
      </c>
      <c r="E2773" s="211" t="s">
        <v>2256</v>
      </c>
      <c r="F2773" s="212">
        <v>43710</v>
      </c>
      <c r="G2773" s="213">
        <v>2.4</v>
      </c>
      <c r="H2773" s="256">
        <v>4000</v>
      </c>
      <c r="I2773" s="214">
        <v>1490139</v>
      </c>
      <c r="J2773" s="215">
        <v>21600</v>
      </c>
      <c r="K2773" s="212">
        <v>43718</v>
      </c>
      <c r="L2773" s="211" t="s">
        <v>2260</v>
      </c>
      <c r="M2773" s="216">
        <v>4615445946</v>
      </c>
      <c r="N2773" s="212"/>
      <c r="O2773" s="218"/>
      <c r="P2773" s="219"/>
      <c r="Q2773" s="34">
        <f>SUMIF(Allocation[Delivery ID],Allocation[[#This Row],[Delivery ID]],Allocation[Quantity Processed])</f>
        <v>11111</v>
      </c>
      <c r="R2773" s="61">
        <f>Allocation[[#This Row],[Total volume used]]/VLOOKUP(Allocation[[#This Row],[Delivery ID]],Delivery[[Delivery ID]:[Quantity delivered]],3,FALSE)</f>
        <v>0.55918470055359837</v>
      </c>
      <c r="S2773" s="34">
        <f>Allocation[[#This Row],[Quantity Processed]]/Allocation[[#This Row],[Dilution rate]]</f>
        <v>4629.5833333333339</v>
      </c>
      <c r="T2773" s="59">
        <f>SUMIF(Allocation[Delivery ID],Allocation[[#This Row],[Delivery ID]],Allocation[Quantity allocated])/SUMIF(Allocation[Delivery ID],Allocation[[#This Row],[Delivery ID]],Allocation[Volume available (kg)])</f>
        <v>0.86400864008640077</v>
      </c>
      <c r="U2773" s="61">
        <f>Allocation[[#This Row],[Total volume used]]/VLOOKUP(Allocation[[#This Row],[Delivery ID]],Delivery[[Delivery ID]:[Quantity delivered]],3,FALSE)</f>
        <v>0.55918470055359837</v>
      </c>
      <c r="V2773" s="34" t="e">
        <f>VLOOKUP(Allocation[[#This Row],[SAP Contract number]],Shipments[[SAP Contract number]:[Contracted container weight]],2,FALSE)</f>
        <v>#N/A</v>
      </c>
      <c r="W2773" s="34" t="e">
        <f>VLOOKUP(Allocation[[#This Row],[SAP Contract number]],Shipments[[SAP Contract number]:[AAA Premium USD]],24,FALSE)</f>
        <v>#N/A</v>
      </c>
      <c r="X2773" s="34" t="e">
        <f>VLOOKUP(Allocation[[#This Row],[SAP Contract number]],Shipments[[SAP Contract number]:[RA Premium USD]],25,FALSE)</f>
        <v>#N/A</v>
      </c>
      <c r="Y2773" s="38">
        <f>Allocation[[#This Row],[Quantity Processed]]/Allocation[[#This Row],[Quantity allocated]]</f>
        <v>2.7777500000000002</v>
      </c>
      <c r="Z2773" s="34" t="b">
        <f>Allocation[[#This Row],[Quantity allocated]]&lt;=Allocation[[#This Row],[Quantity Processed]]</f>
        <v>1</v>
      </c>
    </row>
    <row r="2774" spans="1:26">
      <c r="A2774" s="247" t="s">
        <v>467</v>
      </c>
      <c r="B2774" s="210" t="s">
        <v>68</v>
      </c>
      <c r="C2774" s="254" t="s">
        <v>2158</v>
      </c>
      <c r="D2774" s="255">
        <v>13889</v>
      </c>
      <c r="E2774" s="211" t="s">
        <v>2256</v>
      </c>
      <c r="F2774" s="212">
        <v>43710</v>
      </c>
      <c r="G2774" s="213">
        <v>2.4</v>
      </c>
      <c r="H2774" s="256">
        <v>5000</v>
      </c>
      <c r="I2774" s="214">
        <v>1490139</v>
      </c>
      <c r="J2774" s="215">
        <v>21600</v>
      </c>
      <c r="K2774" s="212">
        <v>43718</v>
      </c>
      <c r="L2774" s="211" t="s">
        <v>2260</v>
      </c>
      <c r="M2774" s="216">
        <v>4615445946</v>
      </c>
      <c r="N2774" s="212"/>
      <c r="O2774" s="218"/>
      <c r="P2774" s="219"/>
      <c r="Q2774" s="34">
        <f>SUMIF(Allocation[Delivery ID],Allocation[[#This Row],[Delivery ID]],Allocation[Quantity Processed])</f>
        <v>13889</v>
      </c>
      <c r="R2774" s="61">
        <f>Allocation[[#This Row],[Total volume used]]/VLOOKUP(Allocation[[#This Row],[Delivery ID]],Delivery[[Delivery ID]:[Quantity delivered]],3,FALSE)</f>
        <v>0.64152424942263275</v>
      </c>
      <c r="S2774" s="34">
        <f>Allocation[[#This Row],[Quantity Processed]]/Allocation[[#This Row],[Dilution rate]]</f>
        <v>5787.0833333333339</v>
      </c>
      <c r="T2774" s="59">
        <f>SUMIF(Allocation[Delivery ID],Allocation[[#This Row],[Delivery ID]],Allocation[Quantity allocated])/SUMIF(Allocation[Delivery ID],Allocation[[#This Row],[Delivery ID]],Allocation[Volume available (kg)])</f>
        <v>0.86399308805529551</v>
      </c>
      <c r="U2774" s="61">
        <f>Allocation[[#This Row],[Total volume used]]/VLOOKUP(Allocation[[#This Row],[Delivery ID]],Delivery[[Delivery ID]:[Quantity delivered]],3,FALSE)</f>
        <v>0.64152424942263275</v>
      </c>
      <c r="V2774" s="34" t="e">
        <f>VLOOKUP(Allocation[[#This Row],[SAP Contract number]],Shipments[[SAP Contract number]:[Contracted container weight]],2,FALSE)</f>
        <v>#N/A</v>
      </c>
      <c r="W2774" s="34" t="e">
        <f>VLOOKUP(Allocation[[#This Row],[SAP Contract number]],Shipments[[SAP Contract number]:[AAA Premium USD]],24,FALSE)</f>
        <v>#N/A</v>
      </c>
      <c r="X2774" s="34" t="e">
        <f>VLOOKUP(Allocation[[#This Row],[SAP Contract number]],Shipments[[SAP Contract number]:[RA Premium USD]],25,FALSE)</f>
        <v>#N/A</v>
      </c>
      <c r="Y2774" s="38">
        <f>Allocation[[#This Row],[Quantity Processed]]/Allocation[[#This Row],[Quantity allocated]]</f>
        <v>2.7778</v>
      </c>
      <c r="Z2774" s="34" t="b">
        <f>Allocation[[#This Row],[Quantity allocated]]&lt;=Allocation[[#This Row],[Quantity Processed]]</f>
        <v>1</v>
      </c>
    </row>
    <row r="2775" spans="1:26">
      <c r="A2775" s="247" t="s">
        <v>467</v>
      </c>
      <c r="B2775" s="210" t="s">
        <v>68</v>
      </c>
      <c r="C2775" s="254" t="s">
        <v>2159</v>
      </c>
      <c r="D2775" s="255">
        <v>13889</v>
      </c>
      <c r="E2775" s="211" t="s">
        <v>2256</v>
      </c>
      <c r="F2775" s="212">
        <v>43710</v>
      </c>
      <c r="G2775" s="213">
        <v>2.4</v>
      </c>
      <c r="H2775" s="256">
        <v>5000</v>
      </c>
      <c r="I2775" s="214">
        <v>1490139</v>
      </c>
      <c r="J2775" s="215">
        <v>21600</v>
      </c>
      <c r="K2775" s="212">
        <v>43718</v>
      </c>
      <c r="L2775" s="211" t="s">
        <v>2260</v>
      </c>
      <c r="M2775" s="216">
        <v>4615445946</v>
      </c>
      <c r="N2775" s="212"/>
      <c r="O2775" s="218"/>
      <c r="P2775" s="219"/>
      <c r="Q2775" s="34">
        <f>SUMIF(Allocation[Delivery ID],Allocation[[#This Row],[Delivery ID]],Allocation[Quantity Processed])</f>
        <v>13889</v>
      </c>
      <c r="R2775" s="61">
        <f>Allocation[[#This Row],[Total volume used]]/VLOOKUP(Allocation[[#This Row],[Delivery ID]],Delivery[[Delivery ID]:[Quantity delivered]],3,FALSE)</f>
        <v>0.68116723884256991</v>
      </c>
      <c r="S2775" s="34">
        <f>Allocation[[#This Row],[Quantity Processed]]/Allocation[[#This Row],[Dilution rate]]</f>
        <v>5787.0833333333339</v>
      </c>
      <c r="T2775" s="59">
        <f>SUMIF(Allocation[Delivery ID],Allocation[[#This Row],[Delivery ID]],Allocation[Quantity allocated])/SUMIF(Allocation[Delivery ID],Allocation[[#This Row],[Delivery ID]],Allocation[Volume available (kg)])</f>
        <v>0.86399308805529551</v>
      </c>
      <c r="U2775" s="61">
        <f>Allocation[[#This Row],[Total volume used]]/VLOOKUP(Allocation[[#This Row],[Delivery ID]],Delivery[[Delivery ID]:[Quantity delivered]],3,FALSE)</f>
        <v>0.68116723884256991</v>
      </c>
      <c r="V2775" s="34" t="e">
        <f>VLOOKUP(Allocation[[#This Row],[SAP Contract number]],Shipments[[SAP Contract number]:[Contracted container weight]],2,FALSE)</f>
        <v>#N/A</v>
      </c>
      <c r="W2775" s="34" t="e">
        <f>VLOOKUP(Allocation[[#This Row],[SAP Contract number]],Shipments[[SAP Contract number]:[AAA Premium USD]],24,FALSE)</f>
        <v>#N/A</v>
      </c>
      <c r="X2775" s="34" t="e">
        <f>VLOOKUP(Allocation[[#This Row],[SAP Contract number]],Shipments[[SAP Contract number]:[RA Premium USD]],25,FALSE)</f>
        <v>#N/A</v>
      </c>
      <c r="Y2775" s="38">
        <f>Allocation[[#This Row],[Quantity Processed]]/Allocation[[#This Row],[Quantity allocated]]</f>
        <v>2.7778</v>
      </c>
      <c r="Z2775" s="34" t="b">
        <f>Allocation[[#This Row],[Quantity allocated]]&lt;=Allocation[[#This Row],[Quantity Processed]]</f>
        <v>1</v>
      </c>
    </row>
    <row r="2776" spans="1:26">
      <c r="A2776" s="247" t="s">
        <v>467</v>
      </c>
      <c r="B2776" s="210" t="s">
        <v>68</v>
      </c>
      <c r="C2776" s="254" t="s">
        <v>2160</v>
      </c>
      <c r="D2776" s="255">
        <v>4167</v>
      </c>
      <c r="E2776" s="211" t="s">
        <v>2256</v>
      </c>
      <c r="F2776" s="212">
        <v>43710</v>
      </c>
      <c r="G2776" s="213">
        <v>2.4</v>
      </c>
      <c r="H2776" s="256">
        <v>1500</v>
      </c>
      <c r="I2776" s="214">
        <v>1490139</v>
      </c>
      <c r="J2776" s="215">
        <v>21600</v>
      </c>
      <c r="K2776" s="212">
        <v>43718</v>
      </c>
      <c r="L2776" s="211" t="s">
        <v>2260</v>
      </c>
      <c r="M2776" s="216">
        <v>4615445946</v>
      </c>
      <c r="N2776" s="212"/>
      <c r="O2776" s="218"/>
      <c r="P2776" s="219"/>
      <c r="Q2776" s="34">
        <f>SUMIF(Allocation[Delivery ID],Allocation[[#This Row],[Delivery ID]],Allocation[Quantity Processed])</f>
        <v>4167</v>
      </c>
      <c r="R2776" s="61">
        <f>Allocation[[#This Row],[Total volume used]]/VLOOKUP(Allocation[[#This Row],[Delivery ID]],Delivery[[Delivery ID]:[Quantity delivered]],3,FALSE)</f>
        <v>0.30549853372434016</v>
      </c>
      <c r="S2776" s="34">
        <f>Allocation[[#This Row],[Quantity Processed]]/Allocation[[#This Row],[Dilution rate]]</f>
        <v>1736.25</v>
      </c>
      <c r="T2776" s="59">
        <f>SUMIF(Allocation[Delivery ID],Allocation[[#This Row],[Delivery ID]],Allocation[Quantity allocated])/SUMIF(Allocation[Delivery ID],Allocation[[#This Row],[Delivery ID]],Allocation[Volume available (kg)])</f>
        <v>0.86393088552915764</v>
      </c>
      <c r="U2776" s="61">
        <f>Allocation[[#This Row],[Total volume used]]/VLOOKUP(Allocation[[#This Row],[Delivery ID]],Delivery[[Delivery ID]:[Quantity delivered]],3,FALSE)</f>
        <v>0.30549853372434016</v>
      </c>
      <c r="V2776" s="34" t="e">
        <f>VLOOKUP(Allocation[[#This Row],[SAP Contract number]],Shipments[[SAP Contract number]:[Contracted container weight]],2,FALSE)</f>
        <v>#N/A</v>
      </c>
      <c r="W2776" s="34" t="e">
        <f>VLOOKUP(Allocation[[#This Row],[SAP Contract number]],Shipments[[SAP Contract number]:[AAA Premium USD]],24,FALSE)</f>
        <v>#N/A</v>
      </c>
      <c r="X2776" s="34" t="e">
        <f>VLOOKUP(Allocation[[#This Row],[SAP Contract number]],Shipments[[SAP Contract number]:[RA Premium USD]],25,FALSE)</f>
        <v>#N/A</v>
      </c>
      <c r="Y2776" s="38">
        <f>Allocation[[#This Row],[Quantity Processed]]/Allocation[[#This Row],[Quantity allocated]]</f>
        <v>2.778</v>
      </c>
      <c r="Z2776" s="34" t="b">
        <f>Allocation[[#This Row],[Quantity allocated]]&lt;=Allocation[[#This Row],[Quantity Processed]]</f>
        <v>1</v>
      </c>
    </row>
    <row r="2777" spans="1:26">
      <c r="A2777" s="247" t="s">
        <v>467</v>
      </c>
      <c r="B2777" s="210" t="s">
        <v>68</v>
      </c>
      <c r="C2777" s="254" t="s">
        <v>2161</v>
      </c>
      <c r="D2777" s="255">
        <v>3611</v>
      </c>
      <c r="E2777" s="211" t="s">
        <v>2256</v>
      </c>
      <c r="F2777" s="212">
        <v>43710</v>
      </c>
      <c r="G2777" s="213">
        <v>2.4</v>
      </c>
      <c r="H2777" s="256">
        <v>1300</v>
      </c>
      <c r="I2777" s="214">
        <v>1490139</v>
      </c>
      <c r="J2777" s="215">
        <v>21600</v>
      </c>
      <c r="K2777" s="212">
        <v>43718</v>
      </c>
      <c r="L2777" s="211" t="s">
        <v>2260</v>
      </c>
      <c r="M2777" s="216">
        <v>4615445946</v>
      </c>
      <c r="N2777" s="212"/>
      <c r="O2777" s="218"/>
      <c r="P2777" s="219"/>
      <c r="Q2777" s="34">
        <f>SUMIF(Allocation[Delivery ID],Allocation[[#This Row],[Delivery ID]],Allocation[Quantity Processed])</f>
        <v>13889</v>
      </c>
      <c r="R2777" s="61">
        <f>Allocation[[#This Row],[Total volume used]]/VLOOKUP(Allocation[[#This Row],[Delivery ID]],Delivery[[Delivery ID]:[Quantity delivered]],3,FALSE)</f>
        <v>0.68996522603079979</v>
      </c>
      <c r="S2777" s="34">
        <f>Allocation[[#This Row],[Quantity Processed]]/Allocation[[#This Row],[Dilution rate]]</f>
        <v>1504.5833333333335</v>
      </c>
      <c r="T2777" s="59">
        <f>SUMIF(Allocation[Delivery ID],Allocation[[#This Row],[Delivery ID]],Allocation[Quantity allocated])/SUMIF(Allocation[Delivery ID],Allocation[[#This Row],[Delivery ID]],Allocation[Volume available (kg)])</f>
        <v>0.86399308805529551</v>
      </c>
      <c r="U2777" s="61">
        <f>Allocation[[#This Row],[Total volume used]]/VLOOKUP(Allocation[[#This Row],[Delivery ID]],Delivery[[Delivery ID]:[Quantity delivered]],3,FALSE)</f>
        <v>0.68996522603079979</v>
      </c>
      <c r="V2777" s="34" t="e">
        <f>VLOOKUP(Allocation[[#This Row],[SAP Contract number]],Shipments[[SAP Contract number]:[Contracted container weight]],2,FALSE)</f>
        <v>#N/A</v>
      </c>
      <c r="W2777" s="34" t="e">
        <f>VLOOKUP(Allocation[[#This Row],[SAP Contract number]],Shipments[[SAP Contract number]:[AAA Premium USD]],24,FALSE)</f>
        <v>#N/A</v>
      </c>
      <c r="X2777" s="34" t="e">
        <f>VLOOKUP(Allocation[[#This Row],[SAP Contract number]],Shipments[[SAP Contract number]:[RA Premium USD]],25,FALSE)</f>
        <v>#N/A</v>
      </c>
      <c r="Y2777" s="38">
        <f>Allocation[[#This Row],[Quantity Processed]]/Allocation[[#This Row],[Quantity allocated]]</f>
        <v>2.7776923076923077</v>
      </c>
      <c r="Z2777" s="34" t="b">
        <f>Allocation[[#This Row],[Quantity allocated]]&lt;=Allocation[[#This Row],[Quantity Processed]]</f>
        <v>1</v>
      </c>
    </row>
    <row r="2778" spans="1:26">
      <c r="A2778" s="247" t="s">
        <v>467</v>
      </c>
      <c r="B2778" s="210" t="s">
        <v>68</v>
      </c>
      <c r="C2778" s="254" t="s">
        <v>2161</v>
      </c>
      <c r="D2778" s="255">
        <v>10278</v>
      </c>
      <c r="E2778" s="211" t="s">
        <v>2256</v>
      </c>
      <c r="F2778" s="212">
        <v>43710</v>
      </c>
      <c r="G2778" s="213">
        <v>2.4</v>
      </c>
      <c r="H2778" s="256">
        <v>3700</v>
      </c>
      <c r="I2778" s="214">
        <v>1490140</v>
      </c>
      <c r="J2778" s="215">
        <v>21600</v>
      </c>
      <c r="K2778" s="212">
        <v>43718</v>
      </c>
      <c r="L2778" s="211" t="s">
        <v>2261</v>
      </c>
      <c r="M2778" s="216">
        <v>4615445946</v>
      </c>
      <c r="N2778" s="212"/>
      <c r="O2778" s="218"/>
      <c r="P2778" s="219"/>
      <c r="Q2778" s="34">
        <f>SUMIF(Allocation[Delivery ID],Allocation[[#This Row],[Delivery ID]],Allocation[Quantity Processed])</f>
        <v>13889</v>
      </c>
      <c r="R2778" s="61">
        <f>Allocation[[#This Row],[Total volume used]]/VLOOKUP(Allocation[[#This Row],[Delivery ID]],Delivery[[Delivery ID]:[Quantity delivered]],3,FALSE)</f>
        <v>0.68996522603079979</v>
      </c>
      <c r="S2778" s="34">
        <f>Allocation[[#This Row],[Quantity Processed]]/Allocation[[#This Row],[Dilution rate]]</f>
        <v>4282.5</v>
      </c>
      <c r="T2778" s="59">
        <f>SUMIF(Allocation[Delivery ID],Allocation[[#This Row],[Delivery ID]],Allocation[Quantity allocated])/SUMIF(Allocation[Delivery ID],Allocation[[#This Row],[Delivery ID]],Allocation[Volume available (kg)])</f>
        <v>0.86399308805529551</v>
      </c>
      <c r="U2778" s="61">
        <f>Allocation[[#This Row],[Total volume used]]/VLOOKUP(Allocation[[#This Row],[Delivery ID]],Delivery[[Delivery ID]:[Quantity delivered]],3,FALSE)</f>
        <v>0.68996522603079979</v>
      </c>
      <c r="V2778" s="34" t="e">
        <f>VLOOKUP(Allocation[[#This Row],[SAP Contract number]],Shipments[[SAP Contract number]:[Contracted container weight]],2,FALSE)</f>
        <v>#N/A</v>
      </c>
      <c r="W2778" s="34" t="e">
        <f>VLOOKUP(Allocation[[#This Row],[SAP Contract number]],Shipments[[SAP Contract number]:[AAA Premium USD]],24,FALSE)</f>
        <v>#N/A</v>
      </c>
      <c r="X2778" s="34" t="e">
        <f>VLOOKUP(Allocation[[#This Row],[SAP Contract number]],Shipments[[SAP Contract number]:[RA Premium USD]],25,FALSE)</f>
        <v>#N/A</v>
      </c>
      <c r="Y2778" s="38">
        <f>Allocation[[#This Row],[Quantity Processed]]/Allocation[[#This Row],[Quantity allocated]]</f>
        <v>2.7778378378378377</v>
      </c>
      <c r="Z2778" s="34" t="b">
        <f>Allocation[[#This Row],[Quantity allocated]]&lt;=Allocation[[#This Row],[Quantity Processed]]</f>
        <v>1</v>
      </c>
    </row>
    <row r="2779" spans="1:26">
      <c r="A2779" s="247" t="s">
        <v>467</v>
      </c>
      <c r="B2779" s="210" t="s">
        <v>68</v>
      </c>
      <c r="C2779" s="254" t="s">
        <v>2162</v>
      </c>
      <c r="D2779" s="255">
        <v>13889</v>
      </c>
      <c r="E2779" s="211" t="s">
        <v>2256</v>
      </c>
      <c r="F2779" s="212">
        <v>43710</v>
      </c>
      <c r="G2779" s="213">
        <v>2.4</v>
      </c>
      <c r="H2779" s="256">
        <v>5000</v>
      </c>
      <c r="I2779" s="214">
        <v>1490140</v>
      </c>
      <c r="J2779" s="215">
        <v>21600</v>
      </c>
      <c r="K2779" s="212">
        <v>43718</v>
      </c>
      <c r="L2779" s="211" t="s">
        <v>2261</v>
      </c>
      <c r="M2779" s="216">
        <v>4615445946</v>
      </c>
      <c r="N2779" s="212"/>
      <c r="O2779" s="218"/>
      <c r="P2779" s="219"/>
      <c r="Q2779" s="34">
        <f>SUMIF(Allocation[Delivery ID],Allocation[[#This Row],[Delivery ID]],Allocation[Quantity Processed])</f>
        <v>13889</v>
      </c>
      <c r="R2779" s="61">
        <f>Allocation[[#This Row],[Total volume used]]/VLOOKUP(Allocation[[#This Row],[Delivery ID]],Delivery[[Delivery ID]:[Quantity delivered]],3,FALSE)</f>
        <v>0.72451747522170062</v>
      </c>
      <c r="S2779" s="34">
        <f>Allocation[[#This Row],[Quantity Processed]]/Allocation[[#This Row],[Dilution rate]]</f>
        <v>5787.0833333333339</v>
      </c>
      <c r="T2779" s="59">
        <f>SUMIF(Allocation[Delivery ID],Allocation[[#This Row],[Delivery ID]],Allocation[Quantity allocated])/SUMIF(Allocation[Delivery ID],Allocation[[#This Row],[Delivery ID]],Allocation[Volume available (kg)])</f>
        <v>0.86399308805529551</v>
      </c>
      <c r="U2779" s="61">
        <f>Allocation[[#This Row],[Total volume used]]/VLOOKUP(Allocation[[#This Row],[Delivery ID]],Delivery[[Delivery ID]:[Quantity delivered]],3,FALSE)</f>
        <v>0.72451747522170062</v>
      </c>
      <c r="V2779" s="34" t="e">
        <f>VLOOKUP(Allocation[[#This Row],[SAP Contract number]],Shipments[[SAP Contract number]:[Contracted container weight]],2,FALSE)</f>
        <v>#N/A</v>
      </c>
      <c r="W2779" s="34" t="e">
        <f>VLOOKUP(Allocation[[#This Row],[SAP Contract number]],Shipments[[SAP Contract number]:[AAA Premium USD]],24,FALSE)</f>
        <v>#N/A</v>
      </c>
      <c r="X2779" s="34" t="e">
        <f>VLOOKUP(Allocation[[#This Row],[SAP Contract number]],Shipments[[SAP Contract number]:[RA Premium USD]],25,FALSE)</f>
        <v>#N/A</v>
      </c>
      <c r="Y2779" s="38">
        <f>Allocation[[#This Row],[Quantity Processed]]/Allocation[[#This Row],[Quantity allocated]]</f>
        <v>2.7778</v>
      </c>
      <c r="Z2779" s="34" t="b">
        <f>Allocation[[#This Row],[Quantity allocated]]&lt;=Allocation[[#This Row],[Quantity Processed]]</f>
        <v>1</v>
      </c>
    </row>
    <row r="2780" spans="1:26">
      <c r="A2780" s="247" t="s">
        <v>467</v>
      </c>
      <c r="B2780" s="210" t="s">
        <v>68</v>
      </c>
      <c r="C2780" s="254" t="s">
        <v>2163</v>
      </c>
      <c r="D2780" s="255">
        <v>13889</v>
      </c>
      <c r="E2780" s="211" t="s">
        <v>2256</v>
      </c>
      <c r="F2780" s="212">
        <v>43710</v>
      </c>
      <c r="G2780" s="213">
        <v>2.4</v>
      </c>
      <c r="H2780" s="256">
        <v>5000</v>
      </c>
      <c r="I2780" s="214">
        <v>1490140</v>
      </c>
      <c r="J2780" s="215">
        <v>21600</v>
      </c>
      <c r="K2780" s="212">
        <v>43718</v>
      </c>
      <c r="L2780" s="211" t="s">
        <v>2261</v>
      </c>
      <c r="M2780" s="216">
        <v>4615445946</v>
      </c>
      <c r="N2780" s="212"/>
      <c r="O2780" s="218"/>
      <c r="P2780" s="219"/>
      <c r="Q2780" s="34">
        <f>SUMIF(Allocation[Delivery ID],Allocation[[#This Row],[Delivery ID]],Allocation[Quantity Processed])</f>
        <v>13889</v>
      </c>
      <c r="R2780" s="61">
        <f>Allocation[[#This Row],[Total volume used]]/VLOOKUP(Allocation[[#This Row],[Delivery ID]],Delivery[[Delivery ID]:[Quantity delivered]],3,FALSE)</f>
        <v>0.77462353597322919</v>
      </c>
      <c r="S2780" s="34">
        <f>Allocation[[#This Row],[Quantity Processed]]/Allocation[[#This Row],[Dilution rate]]</f>
        <v>5787.0833333333339</v>
      </c>
      <c r="T2780" s="59">
        <f>SUMIF(Allocation[Delivery ID],Allocation[[#This Row],[Delivery ID]],Allocation[Quantity allocated])/SUMIF(Allocation[Delivery ID],Allocation[[#This Row],[Delivery ID]],Allocation[Volume available (kg)])</f>
        <v>0.86399308805529551</v>
      </c>
      <c r="U2780" s="61">
        <f>Allocation[[#This Row],[Total volume used]]/VLOOKUP(Allocation[[#This Row],[Delivery ID]],Delivery[[Delivery ID]:[Quantity delivered]],3,FALSE)</f>
        <v>0.77462353597322919</v>
      </c>
      <c r="V2780" s="34" t="e">
        <f>VLOOKUP(Allocation[[#This Row],[SAP Contract number]],Shipments[[SAP Contract number]:[Contracted container weight]],2,FALSE)</f>
        <v>#N/A</v>
      </c>
      <c r="W2780" s="34" t="e">
        <f>VLOOKUP(Allocation[[#This Row],[SAP Contract number]],Shipments[[SAP Contract number]:[AAA Premium USD]],24,FALSE)</f>
        <v>#N/A</v>
      </c>
      <c r="X2780" s="34" t="e">
        <f>VLOOKUP(Allocation[[#This Row],[SAP Contract number]],Shipments[[SAP Contract number]:[RA Premium USD]],25,FALSE)</f>
        <v>#N/A</v>
      </c>
      <c r="Y2780" s="38">
        <f>Allocation[[#This Row],[Quantity Processed]]/Allocation[[#This Row],[Quantity allocated]]</f>
        <v>2.7778</v>
      </c>
      <c r="Z2780" s="34" t="b">
        <f>Allocation[[#This Row],[Quantity allocated]]&lt;=Allocation[[#This Row],[Quantity Processed]]</f>
        <v>1</v>
      </c>
    </row>
    <row r="2781" spans="1:26">
      <c r="A2781" s="247" t="s">
        <v>467</v>
      </c>
      <c r="B2781" s="210" t="s">
        <v>68</v>
      </c>
      <c r="C2781" s="254" t="s">
        <v>2164</v>
      </c>
      <c r="D2781" s="255">
        <v>3333</v>
      </c>
      <c r="E2781" s="211" t="s">
        <v>2256</v>
      </c>
      <c r="F2781" s="212">
        <v>43710</v>
      </c>
      <c r="G2781" s="213">
        <v>2.4</v>
      </c>
      <c r="H2781" s="256">
        <v>1200</v>
      </c>
      <c r="I2781" s="214">
        <v>1490140</v>
      </c>
      <c r="J2781" s="215">
        <v>21600</v>
      </c>
      <c r="K2781" s="212">
        <v>43718</v>
      </c>
      <c r="L2781" s="211" t="s">
        <v>2261</v>
      </c>
      <c r="M2781" s="216">
        <v>4615445946</v>
      </c>
      <c r="N2781" s="212"/>
      <c r="O2781" s="218"/>
      <c r="P2781" s="219"/>
      <c r="Q2781" s="34">
        <f>SUMIF(Allocation[Delivery ID],Allocation[[#This Row],[Delivery ID]],Allocation[Quantity Processed])</f>
        <v>3333</v>
      </c>
      <c r="R2781" s="61">
        <f>Allocation[[#This Row],[Total volume used]]/VLOOKUP(Allocation[[#This Row],[Delivery ID]],Delivery[[Delivery ID]:[Quantity delivered]],3,FALSE)</f>
        <v>0.61155963302752292</v>
      </c>
      <c r="S2781" s="34">
        <f>Allocation[[#This Row],[Quantity Processed]]/Allocation[[#This Row],[Dilution rate]]</f>
        <v>1388.75</v>
      </c>
      <c r="T2781" s="59">
        <f>SUMIF(Allocation[Delivery ID],Allocation[[#This Row],[Delivery ID]],Allocation[Quantity allocated])/SUMIF(Allocation[Delivery ID],Allocation[[#This Row],[Delivery ID]],Allocation[Volume available (kg)])</f>
        <v>0.86408640864086406</v>
      </c>
      <c r="U2781" s="61">
        <f>Allocation[[#This Row],[Total volume used]]/VLOOKUP(Allocation[[#This Row],[Delivery ID]],Delivery[[Delivery ID]:[Quantity delivered]],3,FALSE)</f>
        <v>0.61155963302752292</v>
      </c>
      <c r="V2781" s="34" t="e">
        <f>VLOOKUP(Allocation[[#This Row],[SAP Contract number]],Shipments[[SAP Contract number]:[Contracted container weight]],2,FALSE)</f>
        <v>#N/A</v>
      </c>
      <c r="W2781" s="34" t="e">
        <f>VLOOKUP(Allocation[[#This Row],[SAP Contract number]],Shipments[[SAP Contract number]:[AAA Premium USD]],24,FALSE)</f>
        <v>#N/A</v>
      </c>
      <c r="X2781" s="34" t="e">
        <f>VLOOKUP(Allocation[[#This Row],[SAP Contract number]],Shipments[[SAP Contract number]:[RA Premium USD]],25,FALSE)</f>
        <v>#N/A</v>
      </c>
      <c r="Y2781" s="38">
        <f>Allocation[[#This Row],[Quantity Processed]]/Allocation[[#This Row],[Quantity allocated]]</f>
        <v>2.7774999999999999</v>
      </c>
      <c r="Z2781" s="34" t="b">
        <f>Allocation[[#This Row],[Quantity allocated]]&lt;=Allocation[[#This Row],[Quantity Processed]]</f>
        <v>1</v>
      </c>
    </row>
    <row r="2782" spans="1:26">
      <c r="A2782" s="247" t="s">
        <v>467</v>
      </c>
      <c r="B2782" s="210" t="s">
        <v>68</v>
      </c>
      <c r="C2782" s="254" t="s">
        <v>2165</v>
      </c>
      <c r="D2782" s="255">
        <v>40</v>
      </c>
      <c r="E2782" s="211" t="s">
        <v>2256</v>
      </c>
      <c r="F2782" s="212">
        <v>43710</v>
      </c>
      <c r="G2782" s="213">
        <v>2.4</v>
      </c>
      <c r="H2782" s="256">
        <v>15</v>
      </c>
      <c r="I2782" s="214">
        <v>1490140</v>
      </c>
      <c r="J2782" s="215">
        <v>21600</v>
      </c>
      <c r="K2782" s="212">
        <v>43718</v>
      </c>
      <c r="L2782" s="211" t="s">
        <v>2261</v>
      </c>
      <c r="M2782" s="216">
        <v>4615445946</v>
      </c>
      <c r="N2782" s="212"/>
      <c r="O2782" s="218"/>
      <c r="P2782" s="219"/>
      <c r="Q2782" s="34">
        <f>SUMIF(Allocation[Delivery ID],Allocation[[#This Row],[Delivery ID]],Allocation[Quantity Processed])</f>
        <v>40</v>
      </c>
      <c r="R2782" s="61">
        <f>Allocation[[#This Row],[Total volume used]]/VLOOKUP(Allocation[[#This Row],[Delivery ID]],Delivery[[Delivery ID]:[Quantity delivered]],3,FALSE)</f>
        <v>1</v>
      </c>
      <c r="S2782" s="34">
        <f>Allocation[[#This Row],[Quantity Processed]]/Allocation[[#This Row],[Dilution rate]]</f>
        <v>16.666666666666668</v>
      </c>
      <c r="T2782" s="59">
        <f>SUMIF(Allocation[Delivery ID],Allocation[[#This Row],[Delivery ID]],Allocation[Quantity allocated])/SUMIF(Allocation[Delivery ID],Allocation[[#This Row],[Delivery ID]],Allocation[Volume available (kg)])</f>
        <v>0.89999999999999991</v>
      </c>
      <c r="U2782" s="61">
        <f>Allocation[[#This Row],[Total volume used]]/VLOOKUP(Allocation[[#This Row],[Delivery ID]],Delivery[[Delivery ID]:[Quantity delivered]],3,FALSE)</f>
        <v>1</v>
      </c>
      <c r="V2782" s="34" t="e">
        <f>VLOOKUP(Allocation[[#This Row],[SAP Contract number]],Shipments[[SAP Contract number]:[Contracted container weight]],2,FALSE)</f>
        <v>#N/A</v>
      </c>
      <c r="W2782" s="34" t="e">
        <f>VLOOKUP(Allocation[[#This Row],[SAP Contract number]],Shipments[[SAP Contract number]:[AAA Premium USD]],24,FALSE)</f>
        <v>#N/A</v>
      </c>
      <c r="X2782" s="34" t="e">
        <f>VLOOKUP(Allocation[[#This Row],[SAP Contract number]],Shipments[[SAP Contract number]:[RA Premium USD]],25,FALSE)</f>
        <v>#N/A</v>
      </c>
      <c r="Y2782" s="38">
        <f>Allocation[[#This Row],[Quantity Processed]]/Allocation[[#This Row],[Quantity allocated]]</f>
        <v>2.6666666666666665</v>
      </c>
      <c r="Z2782" s="34" t="b">
        <f>Allocation[[#This Row],[Quantity allocated]]&lt;=Allocation[[#This Row],[Quantity Processed]]</f>
        <v>1</v>
      </c>
    </row>
    <row r="2783" spans="1:26">
      <c r="A2783" s="247" t="s">
        <v>467</v>
      </c>
      <c r="B2783" s="210" t="s">
        <v>68</v>
      </c>
      <c r="C2783" s="254" t="s">
        <v>2166</v>
      </c>
      <c r="D2783" s="255">
        <v>10</v>
      </c>
      <c r="E2783" s="211" t="s">
        <v>2256</v>
      </c>
      <c r="F2783" s="212">
        <v>43710</v>
      </c>
      <c r="G2783" s="213">
        <v>2.4</v>
      </c>
      <c r="H2783" s="256">
        <v>4</v>
      </c>
      <c r="I2783" s="214">
        <v>1490140</v>
      </c>
      <c r="J2783" s="215">
        <v>21600</v>
      </c>
      <c r="K2783" s="212">
        <v>43718</v>
      </c>
      <c r="L2783" s="211" t="s">
        <v>2261</v>
      </c>
      <c r="M2783" s="216">
        <v>4615445946</v>
      </c>
      <c r="N2783" s="212"/>
      <c r="O2783" s="218"/>
      <c r="P2783" s="219"/>
      <c r="Q2783" s="34">
        <f>SUMIF(Allocation[Delivery ID],Allocation[[#This Row],[Delivery ID]],Allocation[Quantity Processed])</f>
        <v>10</v>
      </c>
      <c r="R2783" s="61">
        <f>Allocation[[#This Row],[Total volume used]]/VLOOKUP(Allocation[[#This Row],[Delivery ID]],Delivery[[Delivery ID]:[Quantity delivered]],3,FALSE)</f>
        <v>1</v>
      </c>
      <c r="S2783" s="34">
        <f>Allocation[[#This Row],[Quantity Processed]]/Allocation[[#This Row],[Dilution rate]]</f>
        <v>4.166666666666667</v>
      </c>
      <c r="T2783" s="59">
        <f>SUMIF(Allocation[Delivery ID],Allocation[[#This Row],[Delivery ID]],Allocation[Quantity allocated])/SUMIF(Allocation[Delivery ID],Allocation[[#This Row],[Delivery ID]],Allocation[Volume available (kg)])</f>
        <v>0.96</v>
      </c>
      <c r="U2783" s="61">
        <f>Allocation[[#This Row],[Total volume used]]/VLOOKUP(Allocation[[#This Row],[Delivery ID]],Delivery[[Delivery ID]:[Quantity delivered]],3,FALSE)</f>
        <v>1</v>
      </c>
      <c r="V2783" s="34" t="e">
        <f>VLOOKUP(Allocation[[#This Row],[SAP Contract number]],Shipments[[SAP Contract number]:[Contracted container weight]],2,FALSE)</f>
        <v>#N/A</v>
      </c>
      <c r="W2783" s="34" t="e">
        <f>VLOOKUP(Allocation[[#This Row],[SAP Contract number]],Shipments[[SAP Contract number]:[AAA Premium USD]],24,FALSE)</f>
        <v>#N/A</v>
      </c>
      <c r="X2783" s="34" t="e">
        <f>VLOOKUP(Allocation[[#This Row],[SAP Contract number]],Shipments[[SAP Contract number]:[RA Premium USD]],25,FALSE)</f>
        <v>#N/A</v>
      </c>
      <c r="Y2783" s="38">
        <f>Allocation[[#This Row],[Quantity Processed]]/Allocation[[#This Row],[Quantity allocated]]</f>
        <v>2.5</v>
      </c>
      <c r="Z2783" s="34" t="b">
        <f>Allocation[[#This Row],[Quantity allocated]]&lt;=Allocation[[#This Row],[Quantity Processed]]</f>
        <v>1</v>
      </c>
    </row>
    <row r="2784" spans="1:26">
      <c r="A2784" s="247" t="s">
        <v>467</v>
      </c>
      <c r="B2784" s="210" t="s">
        <v>68</v>
      </c>
      <c r="C2784" s="254" t="s">
        <v>2167</v>
      </c>
      <c r="D2784" s="255">
        <v>40</v>
      </c>
      <c r="E2784" s="211" t="s">
        <v>2256</v>
      </c>
      <c r="F2784" s="212">
        <v>43710</v>
      </c>
      <c r="G2784" s="213">
        <v>2.4</v>
      </c>
      <c r="H2784" s="256">
        <v>15</v>
      </c>
      <c r="I2784" s="214">
        <v>1490140</v>
      </c>
      <c r="J2784" s="215">
        <v>21600</v>
      </c>
      <c r="K2784" s="212">
        <v>43718</v>
      </c>
      <c r="L2784" s="211" t="s">
        <v>2261</v>
      </c>
      <c r="M2784" s="216">
        <v>4615445946</v>
      </c>
      <c r="N2784" s="212"/>
      <c r="O2784" s="218"/>
      <c r="P2784" s="219"/>
      <c r="Q2784" s="34">
        <f>SUMIF(Allocation[Delivery ID],Allocation[[#This Row],[Delivery ID]],Allocation[Quantity Processed])</f>
        <v>40</v>
      </c>
      <c r="R2784" s="61">
        <f>Allocation[[#This Row],[Total volume used]]/VLOOKUP(Allocation[[#This Row],[Delivery ID]],Delivery[[Delivery ID]:[Quantity delivered]],3,FALSE)</f>
        <v>1</v>
      </c>
      <c r="S2784" s="34">
        <f>Allocation[[#This Row],[Quantity Processed]]/Allocation[[#This Row],[Dilution rate]]</f>
        <v>16.666666666666668</v>
      </c>
      <c r="T2784" s="59">
        <f>SUMIF(Allocation[Delivery ID],Allocation[[#This Row],[Delivery ID]],Allocation[Quantity allocated])/SUMIF(Allocation[Delivery ID],Allocation[[#This Row],[Delivery ID]],Allocation[Volume available (kg)])</f>
        <v>0.89999999999999991</v>
      </c>
      <c r="U2784" s="61">
        <f>Allocation[[#This Row],[Total volume used]]/VLOOKUP(Allocation[[#This Row],[Delivery ID]],Delivery[[Delivery ID]:[Quantity delivered]],3,FALSE)</f>
        <v>1</v>
      </c>
      <c r="V2784" s="34" t="e">
        <f>VLOOKUP(Allocation[[#This Row],[SAP Contract number]],Shipments[[SAP Contract number]:[Contracted container weight]],2,FALSE)</f>
        <v>#N/A</v>
      </c>
      <c r="W2784" s="34" t="e">
        <f>VLOOKUP(Allocation[[#This Row],[SAP Contract number]],Shipments[[SAP Contract number]:[AAA Premium USD]],24,FALSE)</f>
        <v>#N/A</v>
      </c>
      <c r="X2784" s="34" t="e">
        <f>VLOOKUP(Allocation[[#This Row],[SAP Contract number]],Shipments[[SAP Contract number]:[RA Premium USD]],25,FALSE)</f>
        <v>#N/A</v>
      </c>
      <c r="Y2784" s="38">
        <f>Allocation[[#This Row],[Quantity Processed]]/Allocation[[#This Row],[Quantity allocated]]</f>
        <v>2.6666666666666665</v>
      </c>
      <c r="Z2784" s="34" t="b">
        <f>Allocation[[#This Row],[Quantity allocated]]&lt;=Allocation[[#This Row],[Quantity Processed]]</f>
        <v>1</v>
      </c>
    </row>
    <row r="2785" spans="1:26">
      <c r="A2785" s="247" t="s">
        <v>467</v>
      </c>
      <c r="B2785" s="210" t="s">
        <v>68</v>
      </c>
      <c r="C2785" s="254" t="s">
        <v>1549</v>
      </c>
      <c r="D2785" s="255">
        <v>20200</v>
      </c>
      <c r="E2785" s="211" t="s">
        <v>2256</v>
      </c>
      <c r="F2785" s="212">
        <v>43710</v>
      </c>
      <c r="G2785" s="213">
        <v>2.4</v>
      </c>
      <c r="H2785" s="256">
        <v>6666</v>
      </c>
      <c r="I2785" s="214">
        <v>1490140</v>
      </c>
      <c r="J2785" s="215">
        <v>21600</v>
      </c>
      <c r="K2785" s="212">
        <v>43718</v>
      </c>
      <c r="L2785" s="211" t="s">
        <v>2261</v>
      </c>
      <c r="M2785" s="216">
        <v>4615445946</v>
      </c>
      <c r="N2785" s="212"/>
      <c r="O2785" s="218"/>
      <c r="P2785" s="219"/>
      <c r="Q2785" s="34">
        <f>SUMIF(Allocation[Delivery ID],Allocation[[#This Row],[Delivery ID]],Allocation[Quantity Processed])</f>
        <v>701772</v>
      </c>
      <c r="R2785" s="61">
        <f>Allocation[[#This Row],[Total volume used]]/VLOOKUP(Allocation[[#This Row],[Delivery ID]],Delivery[[Delivery ID]:[Quantity delivered]],3,FALSE)</f>
        <v>0.98939090395137719</v>
      </c>
      <c r="S2785" s="34">
        <f>Allocation[[#This Row],[Quantity Processed]]/Allocation[[#This Row],[Dilution rate]]</f>
        <v>8416.6666666666679</v>
      </c>
      <c r="T2785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2785" s="61">
        <f>Allocation[[#This Row],[Total volume used]]/VLOOKUP(Allocation[[#This Row],[Delivery ID]],Delivery[[Delivery ID]:[Quantity delivered]],3,FALSE)</f>
        <v>0.98939090395137719</v>
      </c>
      <c r="V2785" s="34" t="e">
        <f>VLOOKUP(Allocation[[#This Row],[SAP Contract number]],Shipments[[SAP Contract number]:[Contracted container weight]],2,FALSE)</f>
        <v>#N/A</v>
      </c>
      <c r="W2785" s="34" t="e">
        <f>VLOOKUP(Allocation[[#This Row],[SAP Contract number]],Shipments[[SAP Contract number]:[AAA Premium USD]],24,FALSE)</f>
        <v>#N/A</v>
      </c>
      <c r="X2785" s="34" t="e">
        <f>VLOOKUP(Allocation[[#This Row],[SAP Contract number]],Shipments[[SAP Contract number]:[RA Premium USD]],25,FALSE)</f>
        <v>#N/A</v>
      </c>
      <c r="Y2785" s="38">
        <f>Allocation[[#This Row],[Quantity Processed]]/Allocation[[#This Row],[Quantity allocated]]</f>
        <v>3.0303030303030303</v>
      </c>
      <c r="Z2785" s="34" t="b">
        <f>Allocation[[#This Row],[Quantity allocated]]&lt;=Allocation[[#This Row],[Quantity Processed]]</f>
        <v>1</v>
      </c>
    </row>
    <row r="2786" spans="1:26">
      <c r="A2786" s="247" t="s">
        <v>467</v>
      </c>
      <c r="B2786" s="210" t="s">
        <v>68</v>
      </c>
      <c r="C2786" s="254" t="s">
        <v>1549</v>
      </c>
      <c r="D2786" s="255">
        <v>25255</v>
      </c>
      <c r="E2786" s="211" t="s">
        <v>2256</v>
      </c>
      <c r="F2786" s="212">
        <v>43710</v>
      </c>
      <c r="G2786" s="213">
        <v>2.4</v>
      </c>
      <c r="H2786" s="256">
        <v>8334</v>
      </c>
      <c r="I2786" s="214">
        <v>1490141</v>
      </c>
      <c r="J2786" s="215">
        <v>21600</v>
      </c>
      <c r="K2786" s="212">
        <v>43718</v>
      </c>
      <c r="L2786" s="211" t="s">
        <v>2262</v>
      </c>
      <c r="M2786" s="216">
        <v>4615445946</v>
      </c>
      <c r="N2786" s="212"/>
      <c r="O2786" s="218"/>
      <c r="P2786" s="219"/>
      <c r="Q2786" s="34">
        <f>SUMIF(Allocation[Delivery ID],Allocation[[#This Row],[Delivery ID]],Allocation[Quantity Processed])</f>
        <v>701772</v>
      </c>
      <c r="R2786" s="61">
        <f>Allocation[[#This Row],[Total volume used]]/VLOOKUP(Allocation[[#This Row],[Delivery ID]],Delivery[[Delivery ID]:[Quantity delivered]],3,FALSE)</f>
        <v>0.98939090395137719</v>
      </c>
      <c r="S2786" s="34">
        <f>Allocation[[#This Row],[Quantity Processed]]/Allocation[[#This Row],[Dilution rate]]</f>
        <v>10522.916666666668</v>
      </c>
      <c r="T2786" s="59">
        <f>SUMIF(Allocation[Delivery ID],Allocation[[#This Row],[Delivery ID]],Allocation[Quantity allocated])/SUMIF(Allocation[Delivery ID],Allocation[[#This Row],[Delivery ID]],Allocation[Volume available (kg)])</f>
        <v>0.95673802546940834</v>
      </c>
      <c r="U2786" s="61">
        <f>Allocation[[#This Row],[Total volume used]]/VLOOKUP(Allocation[[#This Row],[Delivery ID]],Delivery[[Delivery ID]:[Quantity delivered]],3,FALSE)</f>
        <v>0.98939090395137719</v>
      </c>
      <c r="V2786" s="34" t="e">
        <f>VLOOKUP(Allocation[[#This Row],[SAP Contract number]],Shipments[[SAP Contract number]:[Contracted container weight]],2,FALSE)</f>
        <v>#N/A</v>
      </c>
      <c r="W2786" s="34" t="e">
        <f>VLOOKUP(Allocation[[#This Row],[SAP Contract number]],Shipments[[SAP Contract number]:[AAA Premium USD]],24,FALSE)</f>
        <v>#N/A</v>
      </c>
      <c r="X2786" s="34" t="e">
        <f>VLOOKUP(Allocation[[#This Row],[SAP Contract number]],Shipments[[SAP Contract number]:[RA Premium USD]],25,FALSE)</f>
        <v>#N/A</v>
      </c>
      <c r="Y2786" s="38">
        <f>Allocation[[#This Row],[Quantity Processed]]/Allocation[[#This Row],[Quantity allocated]]</f>
        <v>3.0303575713942883</v>
      </c>
      <c r="Z2786" s="34" t="b">
        <f>Allocation[[#This Row],[Quantity allocated]]&lt;=Allocation[[#This Row],[Quantity Processed]]</f>
        <v>1</v>
      </c>
    </row>
    <row r="2787" spans="1:26">
      <c r="A2787" s="247" t="s">
        <v>467</v>
      </c>
      <c r="B2787" s="210" t="s">
        <v>68</v>
      </c>
      <c r="C2787" s="254" t="s">
        <v>1299</v>
      </c>
      <c r="D2787" s="255">
        <v>2353</v>
      </c>
      <c r="E2787" s="211" t="s">
        <v>2256</v>
      </c>
      <c r="F2787" s="212">
        <v>43710</v>
      </c>
      <c r="G2787" s="213">
        <v>2.4</v>
      </c>
      <c r="H2787" s="256">
        <v>800</v>
      </c>
      <c r="I2787" s="214">
        <v>1490141</v>
      </c>
      <c r="J2787" s="215">
        <v>21600</v>
      </c>
      <c r="K2787" s="212">
        <v>43718</v>
      </c>
      <c r="L2787" s="211" t="s">
        <v>2262</v>
      </c>
      <c r="M2787" s="216">
        <v>4615445946</v>
      </c>
      <c r="N2787" s="212"/>
      <c r="O2787" s="218"/>
      <c r="P2787" s="219"/>
      <c r="Q2787" s="34">
        <f>SUMIF(Allocation[Delivery ID],Allocation[[#This Row],[Delivery ID]],Allocation[Quantity Processed])</f>
        <v>29953</v>
      </c>
      <c r="R2787" s="61">
        <f>Allocation[[#This Row],[Total volume used]]/VLOOKUP(Allocation[[#This Row],[Delivery ID]],Delivery[[Delivery ID]:[Quantity delivered]],3,FALSE)</f>
        <v>1</v>
      </c>
      <c r="S2787" s="34">
        <f>Allocation[[#This Row],[Quantity Processed]]/Allocation[[#This Row],[Dilution rate]]</f>
        <v>980.41666666666674</v>
      </c>
      <c r="T2787" s="59">
        <f>SUMIF(Allocation[Delivery ID],Allocation[[#This Row],[Delivery ID]],Allocation[Quantity allocated])/SUMIF(Allocation[Delivery ID],Allocation[[#This Row],[Delivery ID]],Allocation[Volume available (kg)])</f>
        <v>0.94412108025696206</v>
      </c>
      <c r="U2787" s="61">
        <f>Allocation[[#This Row],[Total volume used]]/VLOOKUP(Allocation[[#This Row],[Delivery ID]],Delivery[[Delivery ID]:[Quantity delivered]],3,FALSE)</f>
        <v>1</v>
      </c>
      <c r="V2787" s="34" t="e">
        <f>VLOOKUP(Allocation[[#This Row],[SAP Contract number]],Shipments[[SAP Contract number]:[Contracted container weight]],2,FALSE)</f>
        <v>#N/A</v>
      </c>
      <c r="W2787" s="34" t="e">
        <f>VLOOKUP(Allocation[[#This Row],[SAP Contract number]],Shipments[[SAP Contract number]:[AAA Premium USD]],24,FALSE)</f>
        <v>#N/A</v>
      </c>
      <c r="X2787" s="34" t="e">
        <f>VLOOKUP(Allocation[[#This Row],[SAP Contract number]],Shipments[[SAP Contract number]:[RA Premium USD]],25,FALSE)</f>
        <v>#N/A</v>
      </c>
      <c r="Y2787" s="38">
        <f>Allocation[[#This Row],[Quantity Processed]]/Allocation[[#This Row],[Quantity allocated]]</f>
        <v>2.9412500000000001</v>
      </c>
      <c r="Z2787" s="34" t="b">
        <f>Allocation[[#This Row],[Quantity allocated]]&lt;=Allocation[[#This Row],[Quantity Processed]]</f>
        <v>1</v>
      </c>
    </row>
    <row r="2788" spans="1:26">
      <c r="A2788" s="247" t="s">
        <v>467</v>
      </c>
      <c r="B2788" s="210" t="s">
        <v>68</v>
      </c>
      <c r="C2788" s="254" t="s">
        <v>1300</v>
      </c>
      <c r="D2788" s="255">
        <v>1456</v>
      </c>
      <c r="E2788" s="211" t="s">
        <v>2256</v>
      </c>
      <c r="F2788" s="212">
        <v>43710</v>
      </c>
      <c r="G2788" s="213">
        <v>2.4</v>
      </c>
      <c r="H2788" s="256">
        <v>500</v>
      </c>
      <c r="I2788" s="214">
        <v>1490141</v>
      </c>
      <c r="J2788" s="215">
        <v>21600</v>
      </c>
      <c r="K2788" s="212">
        <v>43718</v>
      </c>
      <c r="L2788" s="211" t="s">
        <v>2262</v>
      </c>
      <c r="M2788" s="216">
        <v>4615445946</v>
      </c>
      <c r="N2788" s="212"/>
      <c r="O2788" s="218"/>
      <c r="P2788" s="219"/>
      <c r="Q2788" s="34">
        <f>SUMIF(Allocation[Delivery ID],Allocation[[#This Row],[Delivery ID]],Allocation[Quantity Processed])</f>
        <v>8387</v>
      </c>
      <c r="R2788" s="61">
        <f>Allocation[[#This Row],[Total volume used]]/VLOOKUP(Allocation[[#This Row],[Delivery ID]],Delivery[[Delivery ID]:[Quantity delivered]],3,FALSE)</f>
        <v>1</v>
      </c>
      <c r="S2788" s="34">
        <f>Allocation[[#This Row],[Quantity Processed]]/Allocation[[#This Row],[Dilution rate]]</f>
        <v>606.66666666666674</v>
      </c>
      <c r="T2788" s="59">
        <f>SUMIF(Allocation[Delivery ID],Allocation[[#This Row],[Delivery ID]],Allocation[Quantity allocated])/SUMIF(Allocation[Delivery ID],Allocation[[#This Row],[Delivery ID]],Allocation[Volume available (kg)])</f>
        <v>0.93031527331744857</v>
      </c>
      <c r="U2788" s="61">
        <f>Allocation[[#This Row],[Total volume used]]/VLOOKUP(Allocation[[#This Row],[Delivery ID]],Delivery[[Delivery ID]:[Quantity delivered]],3,FALSE)</f>
        <v>1</v>
      </c>
      <c r="V2788" s="34" t="e">
        <f>VLOOKUP(Allocation[[#This Row],[SAP Contract number]],Shipments[[SAP Contract number]:[Contracted container weight]],2,FALSE)</f>
        <v>#N/A</v>
      </c>
      <c r="W2788" s="34" t="e">
        <f>VLOOKUP(Allocation[[#This Row],[SAP Contract number]],Shipments[[SAP Contract number]:[AAA Premium USD]],24,FALSE)</f>
        <v>#N/A</v>
      </c>
      <c r="X2788" s="34" t="e">
        <f>VLOOKUP(Allocation[[#This Row],[SAP Contract number]],Shipments[[SAP Contract number]:[RA Premium USD]],25,FALSE)</f>
        <v>#N/A</v>
      </c>
      <c r="Y2788" s="38">
        <f>Allocation[[#This Row],[Quantity Processed]]/Allocation[[#This Row],[Quantity allocated]]</f>
        <v>2.9119999999999999</v>
      </c>
      <c r="Z2788" s="34" t="b">
        <f>Allocation[[#This Row],[Quantity allocated]]&lt;=Allocation[[#This Row],[Quantity Processed]]</f>
        <v>1</v>
      </c>
    </row>
    <row r="2789" spans="1:26">
      <c r="A2789" s="247" t="s">
        <v>467</v>
      </c>
      <c r="B2789" s="210" t="s">
        <v>68</v>
      </c>
      <c r="C2789" s="254" t="s">
        <v>2178</v>
      </c>
      <c r="D2789" s="255">
        <v>26404</v>
      </c>
      <c r="E2789" s="211" t="s">
        <v>2256</v>
      </c>
      <c r="F2789" s="212">
        <v>43710</v>
      </c>
      <c r="G2789" s="213">
        <v>2.4</v>
      </c>
      <c r="H2789" s="256">
        <v>11966</v>
      </c>
      <c r="I2789" s="214">
        <v>1490141</v>
      </c>
      <c r="J2789" s="215">
        <v>21600</v>
      </c>
      <c r="K2789" s="212">
        <v>43718</v>
      </c>
      <c r="L2789" s="211" t="s">
        <v>2262</v>
      </c>
      <c r="M2789" s="216">
        <v>4615445946</v>
      </c>
      <c r="N2789" s="212"/>
      <c r="O2789" s="218"/>
      <c r="P2789" s="219"/>
      <c r="Q2789" s="34">
        <f>SUMIF(Allocation[Delivery ID],Allocation[[#This Row],[Delivery ID]],Allocation[Quantity Processed])</f>
        <v>30010</v>
      </c>
      <c r="R2789" s="61">
        <f>Allocation[[#This Row],[Total volume used]]/VLOOKUP(Allocation[[#This Row],[Delivery ID]],Delivery[[Delivery ID]:[Quantity delivered]],3,FALSE)</f>
        <v>1</v>
      </c>
      <c r="S2789" s="34">
        <f>Allocation[[#This Row],[Quantity Processed]]/Allocation[[#This Row],[Dilution rate]]</f>
        <v>11001.666666666668</v>
      </c>
      <c r="T2789" s="59">
        <f>SUMIF(Allocation[Delivery ID],Allocation[[#This Row],[Delivery ID]],Allocation[Quantity allocated])/SUMIF(Allocation[Delivery ID],Allocation[[#This Row],[Delivery ID]],Allocation[Volume available (kg)])</f>
        <v>1.0876374541819394</v>
      </c>
      <c r="U2789" s="61">
        <f>Allocation[[#This Row],[Total volume used]]/VLOOKUP(Allocation[[#This Row],[Delivery ID]],Delivery[[Delivery ID]:[Quantity delivered]],3,FALSE)</f>
        <v>1</v>
      </c>
      <c r="V2789" s="34" t="e">
        <f>VLOOKUP(Allocation[[#This Row],[SAP Contract number]],Shipments[[SAP Contract number]:[Contracted container weight]],2,FALSE)</f>
        <v>#N/A</v>
      </c>
      <c r="W2789" s="34" t="e">
        <f>VLOOKUP(Allocation[[#This Row],[SAP Contract number]],Shipments[[SAP Contract number]:[AAA Premium USD]],24,FALSE)</f>
        <v>#N/A</v>
      </c>
      <c r="X2789" s="34" t="e">
        <f>VLOOKUP(Allocation[[#This Row],[SAP Contract number]],Shipments[[SAP Contract number]:[RA Premium USD]],25,FALSE)</f>
        <v>#N/A</v>
      </c>
      <c r="Y2789" s="38">
        <f>Allocation[[#This Row],[Quantity Processed]]/Allocation[[#This Row],[Quantity allocated]]</f>
        <v>2.2065853250877487</v>
      </c>
      <c r="Z2789" s="34" t="b">
        <f>Allocation[[#This Row],[Quantity allocated]]&lt;=Allocation[[#This Row],[Quantity Processed]]</f>
        <v>1</v>
      </c>
    </row>
    <row r="2790" spans="1:26">
      <c r="A2790" s="247" t="s">
        <v>467</v>
      </c>
      <c r="B2790" s="210" t="s">
        <v>68</v>
      </c>
      <c r="C2790" s="254" t="s">
        <v>2178</v>
      </c>
      <c r="D2790" s="255">
        <v>3606</v>
      </c>
      <c r="E2790" s="211" t="s">
        <v>2256</v>
      </c>
      <c r="F2790" s="212">
        <v>43710</v>
      </c>
      <c r="G2790" s="213">
        <v>2.4</v>
      </c>
      <c r="H2790" s="256">
        <v>1634</v>
      </c>
      <c r="I2790" s="214">
        <v>1490142</v>
      </c>
      <c r="J2790" s="215">
        <v>21600</v>
      </c>
      <c r="K2790" s="212">
        <v>43718</v>
      </c>
      <c r="L2790" s="211" t="s">
        <v>2263</v>
      </c>
      <c r="M2790" s="216">
        <v>4615445946</v>
      </c>
      <c r="N2790" s="212"/>
      <c r="O2790" s="218"/>
      <c r="P2790" s="219"/>
      <c r="Q2790" s="34">
        <f>SUMIF(Allocation[Delivery ID],Allocation[[#This Row],[Delivery ID]],Allocation[Quantity Processed])</f>
        <v>30010</v>
      </c>
      <c r="R2790" s="61">
        <f>Allocation[[#This Row],[Total volume used]]/VLOOKUP(Allocation[[#This Row],[Delivery ID]],Delivery[[Delivery ID]:[Quantity delivered]],3,FALSE)</f>
        <v>1</v>
      </c>
      <c r="S2790" s="34">
        <f>Allocation[[#This Row],[Quantity Processed]]/Allocation[[#This Row],[Dilution rate]]</f>
        <v>1502.5</v>
      </c>
      <c r="T2790" s="59">
        <f>SUMIF(Allocation[Delivery ID],Allocation[[#This Row],[Delivery ID]],Allocation[Quantity allocated])/SUMIF(Allocation[Delivery ID],Allocation[[#This Row],[Delivery ID]],Allocation[Volume available (kg)])</f>
        <v>1.0876374541819394</v>
      </c>
      <c r="U2790" s="61">
        <f>Allocation[[#This Row],[Total volume used]]/VLOOKUP(Allocation[[#This Row],[Delivery ID]],Delivery[[Delivery ID]:[Quantity delivered]],3,FALSE)</f>
        <v>1</v>
      </c>
      <c r="V2790" s="34" t="e">
        <f>VLOOKUP(Allocation[[#This Row],[SAP Contract number]],Shipments[[SAP Contract number]:[Contracted container weight]],2,FALSE)</f>
        <v>#N/A</v>
      </c>
      <c r="W2790" s="34" t="e">
        <f>VLOOKUP(Allocation[[#This Row],[SAP Contract number]],Shipments[[SAP Contract number]:[AAA Premium USD]],24,FALSE)</f>
        <v>#N/A</v>
      </c>
      <c r="X2790" s="34" t="e">
        <f>VLOOKUP(Allocation[[#This Row],[SAP Contract number]],Shipments[[SAP Contract number]:[RA Premium USD]],25,FALSE)</f>
        <v>#N/A</v>
      </c>
      <c r="Y2790" s="38">
        <f>Allocation[[#This Row],[Quantity Processed]]/Allocation[[#This Row],[Quantity allocated]]</f>
        <v>2.2068543451652385</v>
      </c>
      <c r="Z2790" s="34" t="b">
        <f>Allocation[[#This Row],[Quantity allocated]]&lt;=Allocation[[#This Row],[Quantity Processed]]</f>
        <v>1</v>
      </c>
    </row>
    <row r="2791" spans="1:26">
      <c r="A2791" s="247" t="s">
        <v>467</v>
      </c>
      <c r="B2791" s="210" t="s">
        <v>68</v>
      </c>
      <c r="C2791" s="254" t="s">
        <v>2179</v>
      </c>
      <c r="D2791" s="255">
        <v>30040</v>
      </c>
      <c r="E2791" s="211" t="s">
        <v>2256</v>
      </c>
      <c r="F2791" s="212">
        <v>43710</v>
      </c>
      <c r="G2791" s="213">
        <v>2.4</v>
      </c>
      <c r="H2791" s="256">
        <v>13700</v>
      </c>
      <c r="I2791" s="214">
        <v>1490142</v>
      </c>
      <c r="J2791" s="215">
        <v>21600</v>
      </c>
      <c r="K2791" s="212">
        <v>43718</v>
      </c>
      <c r="L2791" s="211" t="s">
        <v>2263</v>
      </c>
      <c r="M2791" s="216">
        <v>4615445946</v>
      </c>
      <c r="N2791" s="212"/>
      <c r="O2791" s="218"/>
      <c r="P2791" s="219"/>
      <c r="Q2791" s="34">
        <f>SUMIF(Allocation[Delivery ID],Allocation[[#This Row],[Delivery ID]],Allocation[Quantity Processed])</f>
        <v>30040</v>
      </c>
      <c r="R2791" s="61">
        <f>Allocation[[#This Row],[Total volume used]]/VLOOKUP(Allocation[[#This Row],[Delivery ID]],Delivery[[Delivery ID]:[Quantity delivered]],3,FALSE)</f>
        <v>1</v>
      </c>
      <c r="S2791" s="34">
        <f>Allocation[[#This Row],[Quantity Processed]]/Allocation[[#This Row],[Dilution rate]]</f>
        <v>12516.666666666668</v>
      </c>
      <c r="T2791" s="59">
        <f>SUMIF(Allocation[Delivery ID],Allocation[[#This Row],[Delivery ID]],Allocation[Quantity allocated])/SUMIF(Allocation[Delivery ID],Allocation[[#This Row],[Delivery ID]],Allocation[Volume available (kg)])</f>
        <v>1.0945406125166444</v>
      </c>
      <c r="U2791" s="61">
        <f>Allocation[[#This Row],[Total volume used]]/VLOOKUP(Allocation[[#This Row],[Delivery ID]],Delivery[[Delivery ID]:[Quantity delivered]],3,FALSE)</f>
        <v>1</v>
      </c>
      <c r="V2791" s="34" t="e">
        <f>VLOOKUP(Allocation[[#This Row],[SAP Contract number]],Shipments[[SAP Contract number]:[Contracted container weight]],2,FALSE)</f>
        <v>#N/A</v>
      </c>
      <c r="W2791" s="34" t="e">
        <f>VLOOKUP(Allocation[[#This Row],[SAP Contract number]],Shipments[[SAP Contract number]:[AAA Premium USD]],24,FALSE)</f>
        <v>#N/A</v>
      </c>
      <c r="X2791" s="34" t="e">
        <f>VLOOKUP(Allocation[[#This Row],[SAP Contract number]],Shipments[[SAP Contract number]:[RA Premium USD]],25,FALSE)</f>
        <v>#N/A</v>
      </c>
      <c r="Y2791" s="38">
        <f>Allocation[[#This Row],[Quantity Processed]]/Allocation[[#This Row],[Quantity allocated]]</f>
        <v>2.1927007299270072</v>
      </c>
      <c r="Z2791" s="34" t="b">
        <f>Allocation[[#This Row],[Quantity allocated]]&lt;=Allocation[[#This Row],[Quantity Processed]]</f>
        <v>1</v>
      </c>
    </row>
    <row r="2792" spans="1:26">
      <c r="A2792" s="247" t="s">
        <v>467</v>
      </c>
      <c r="B2792" s="210" t="s">
        <v>68</v>
      </c>
      <c r="C2792" s="254" t="s">
        <v>1720</v>
      </c>
      <c r="D2792" s="255">
        <v>15152</v>
      </c>
      <c r="E2792" s="211" t="s">
        <v>2256</v>
      </c>
      <c r="F2792" s="212">
        <v>43710</v>
      </c>
      <c r="G2792" s="213">
        <v>2.4</v>
      </c>
      <c r="H2792" s="256">
        <v>5000</v>
      </c>
      <c r="I2792" s="214">
        <v>1490142</v>
      </c>
      <c r="J2792" s="215">
        <v>21600</v>
      </c>
      <c r="K2792" s="212">
        <v>43718</v>
      </c>
      <c r="L2792" s="211" t="s">
        <v>2263</v>
      </c>
      <c r="M2792" s="216">
        <v>4615445946</v>
      </c>
      <c r="N2792" s="212"/>
      <c r="O2792" s="218"/>
      <c r="P2792" s="219"/>
      <c r="Q2792" s="34">
        <f>SUMIF(Allocation[Delivery ID],Allocation[[#This Row],[Delivery ID]],Allocation[Quantity Processed])</f>
        <v>20140</v>
      </c>
      <c r="R2792" s="61">
        <f>Allocation[[#This Row],[Total volume used]]/VLOOKUP(Allocation[[#This Row],[Delivery ID]],Delivery[[Delivery ID]:[Quantity delivered]],3,FALSE)</f>
        <v>0.66865869853917659</v>
      </c>
      <c r="S2792" s="34">
        <f>Allocation[[#This Row],[Quantity Processed]]/Allocation[[#This Row],[Dilution rate]]</f>
        <v>6313.3333333333339</v>
      </c>
      <c r="T2792" s="59">
        <f>SUMIF(Allocation[Delivery ID],Allocation[[#This Row],[Delivery ID]],Allocation[Quantity allocated])/SUMIF(Allocation[Delivery ID],Allocation[[#This Row],[Delivery ID]],Allocation[Volume available (kg)])</f>
        <v>0.83324974924774309</v>
      </c>
      <c r="U2792" s="61">
        <f>Allocation[[#This Row],[Total volume used]]/VLOOKUP(Allocation[[#This Row],[Delivery ID]],Delivery[[Delivery ID]:[Quantity delivered]],3,FALSE)</f>
        <v>0.66865869853917659</v>
      </c>
      <c r="V2792" s="34" t="e">
        <f>VLOOKUP(Allocation[[#This Row],[SAP Contract number]],Shipments[[SAP Contract number]:[Contracted container weight]],2,FALSE)</f>
        <v>#N/A</v>
      </c>
      <c r="W2792" s="34" t="e">
        <f>VLOOKUP(Allocation[[#This Row],[SAP Contract number]],Shipments[[SAP Contract number]:[AAA Premium USD]],24,FALSE)</f>
        <v>#N/A</v>
      </c>
      <c r="X2792" s="34" t="e">
        <f>VLOOKUP(Allocation[[#This Row],[SAP Contract number]],Shipments[[SAP Contract number]:[RA Premium USD]],25,FALSE)</f>
        <v>#N/A</v>
      </c>
      <c r="Y2792" s="38">
        <f>Allocation[[#This Row],[Quantity Processed]]/Allocation[[#This Row],[Quantity allocated]]</f>
        <v>3.0304000000000002</v>
      </c>
      <c r="Z2792" s="34" t="b">
        <f>Allocation[[#This Row],[Quantity allocated]]&lt;=Allocation[[#This Row],[Quantity Processed]]</f>
        <v>1</v>
      </c>
    </row>
    <row r="2793" spans="1:26">
      <c r="A2793" s="247" t="s">
        <v>467</v>
      </c>
      <c r="B2793" s="210" t="s">
        <v>68</v>
      </c>
      <c r="C2793" s="254" t="s">
        <v>1722</v>
      </c>
      <c r="D2793" s="255">
        <v>3836</v>
      </c>
      <c r="E2793" s="211" t="s">
        <v>2256</v>
      </c>
      <c r="F2793" s="212">
        <v>43710</v>
      </c>
      <c r="G2793" s="213">
        <v>2.4</v>
      </c>
      <c r="H2793" s="256">
        <v>1266</v>
      </c>
      <c r="I2793" s="214">
        <v>1490142</v>
      </c>
      <c r="J2793" s="215">
        <v>21600</v>
      </c>
      <c r="K2793" s="212">
        <v>43718</v>
      </c>
      <c r="L2793" s="211" t="s">
        <v>2263</v>
      </c>
      <c r="M2793" s="216">
        <v>4615445946</v>
      </c>
      <c r="N2793" s="212"/>
      <c r="O2793" s="218"/>
      <c r="P2793" s="219"/>
      <c r="Q2793" s="34">
        <f>SUMIF(Allocation[Delivery ID],Allocation[[#This Row],[Delivery ID]],Allocation[Quantity Processed])</f>
        <v>20131</v>
      </c>
      <c r="R2793" s="61">
        <f>Allocation[[#This Row],[Total volume used]]/VLOOKUP(Allocation[[#This Row],[Delivery ID]],Delivery[[Delivery ID]:[Quantity delivered]],3,FALSE)</f>
        <v>0.66969394544244842</v>
      </c>
      <c r="S2793" s="34">
        <f>Allocation[[#This Row],[Quantity Processed]]/Allocation[[#This Row],[Dilution rate]]</f>
        <v>1598.3333333333335</v>
      </c>
      <c r="T2793" s="59">
        <f>SUMIF(Allocation[Delivery ID],Allocation[[#This Row],[Delivery ID]],Allocation[Quantity allocated])/SUMIF(Allocation[Delivery ID],Allocation[[#This Row],[Delivery ID]],Allocation[Volume available (kg)])</f>
        <v>0.83318700614574193</v>
      </c>
      <c r="U2793" s="61">
        <f>Allocation[[#This Row],[Total volume used]]/VLOOKUP(Allocation[[#This Row],[Delivery ID]],Delivery[[Delivery ID]:[Quantity delivered]],3,FALSE)</f>
        <v>0.66969394544244842</v>
      </c>
      <c r="V2793" s="34" t="e">
        <f>VLOOKUP(Allocation[[#This Row],[SAP Contract number]],Shipments[[SAP Contract number]:[Contracted container weight]],2,FALSE)</f>
        <v>#N/A</v>
      </c>
      <c r="W2793" s="34" t="e">
        <f>VLOOKUP(Allocation[[#This Row],[SAP Contract number]],Shipments[[SAP Contract number]:[AAA Premium USD]],24,FALSE)</f>
        <v>#N/A</v>
      </c>
      <c r="X2793" s="34" t="e">
        <f>VLOOKUP(Allocation[[#This Row],[SAP Contract number]],Shipments[[SAP Contract number]:[RA Premium USD]],25,FALSE)</f>
        <v>#N/A</v>
      </c>
      <c r="Y2793" s="38">
        <f>Allocation[[#This Row],[Quantity Processed]]/Allocation[[#This Row],[Quantity allocated]]</f>
        <v>3.0300157977883098</v>
      </c>
      <c r="Z2793" s="34" t="b">
        <f>Allocation[[#This Row],[Quantity allocated]]&lt;=Allocation[[#This Row],[Quantity Processed]]</f>
        <v>1</v>
      </c>
    </row>
    <row r="2794" spans="1:26">
      <c r="A2794" s="247" t="s">
        <v>467</v>
      </c>
      <c r="B2794" s="210" t="s">
        <v>68</v>
      </c>
      <c r="C2794" s="254" t="s">
        <v>1722</v>
      </c>
      <c r="D2794" s="255">
        <v>11316</v>
      </c>
      <c r="E2794" s="211" t="s">
        <v>2256</v>
      </c>
      <c r="F2794" s="212">
        <v>43710</v>
      </c>
      <c r="G2794" s="213">
        <v>2.4</v>
      </c>
      <c r="H2794" s="256">
        <v>3734</v>
      </c>
      <c r="I2794" s="214">
        <v>1490143</v>
      </c>
      <c r="J2794" s="215">
        <v>21600</v>
      </c>
      <c r="K2794" s="212">
        <v>43718</v>
      </c>
      <c r="L2794" s="211" t="s">
        <v>2264</v>
      </c>
      <c r="M2794" s="216">
        <v>4615445946</v>
      </c>
      <c r="N2794" s="212"/>
      <c r="O2794" s="218"/>
      <c r="P2794" s="219"/>
      <c r="Q2794" s="34">
        <f>SUMIF(Allocation[Delivery ID],Allocation[[#This Row],[Delivery ID]],Allocation[Quantity Processed])</f>
        <v>20131</v>
      </c>
      <c r="R2794" s="61">
        <f>Allocation[[#This Row],[Total volume used]]/VLOOKUP(Allocation[[#This Row],[Delivery ID]],Delivery[[Delivery ID]:[Quantity delivered]],3,FALSE)</f>
        <v>0.66969394544244842</v>
      </c>
      <c r="S2794" s="34">
        <f>Allocation[[#This Row],[Quantity Processed]]/Allocation[[#This Row],[Dilution rate]]</f>
        <v>4715</v>
      </c>
      <c r="T2794" s="59">
        <f>SUMIF(Allocation[Delivery ID],Allocation[[#This Row],[Delivery ID]],Allocation[Quantity allocated])/SUMIF(Allocation[Delivery ID],Allocation[[#This Row],[Delivery ID]],Allocation[Volume available (kg)])</f>
        <v>0.83318700614574193</v>
      </c>
      <c r="U2794" s="61">
        <f>Allocation[[#This Row],[Total volume used]]/VLOOKUP(Allocation[[#This Row],[Delivery ID]],Delivery[[Delivery ID]:[Quantity delivered]],3,FALSE)</f>
        <v>0.66969394544244842</v>
      </c>
      <c r="V2794" s="34" t="e">
        <f>VLOOKUP(Allocation[[#This Row],[SAP Contract number]],Shipments[[SAP Contract number]:[Contracted container weight]],2,FALSE)</f>
        <v>#N/A</v>
      </c>
      <c r="W2794" s="34" t="e">
        <f>VLOOKUP(Allocation[[#This Row],[SAP Contract number]],Shipments[[SAP Contract number]:[AAA Premium USD]],24,FALSE)</f>
        <v>#N/A</v>
      </c>
      <c r="X2794" s="34" t="e">
        <f>VLOOKUP(Allocation[[#This Row],[SAP Contract number]],Shipments[[SAP Contract number]:[RA Premium USD]],25,FALSE)</f>
        <v>#N/A</v>
      </c>
      <c r="Y2794" s="38">
        <f>Allocation[[#This Row],[Quantity Processed]]/Allocation[[#This Row],[Quantity allocated]]</f>
        <v>3.0305302624531332</v>
      </c>
      <c r="Z2794" s="34" t="b">
        <f>Allocation[[#This Row],[Quantity allocated]]&lt;=Allocation[[#This Row],[Quantity Processed]]</f>
        <v>1</v>
      </c>
    </row>
    <row r="2795" spans="1:26">
      <c r="A2795" s="247" t="s">
        <v>467</v>
      </c>
      <c r="B2795" s="210" t="s">
        <v>68</v>
      </c>
      <c r="C2795" s="254" t="s">
        <v>1723</v>
      </c>
      <c r="D2795" s="255">
        <v>3030</v>
      </c>
      <c r="E2795" s="211" t="s">
        <v>2256</v>
      </c>
      <c r="F2795" s="212">
        <v>43710</v>
      </c>
      <c r="G2795" s="213">
        <v>2.4</v>
      </c>
      <c r="H2795" s="256">
        <v>1000</v>
      </c>
      <c r="I2795" s="214">
        <v>1490143</v>
      </c>
      <c r="J2795" s="215">
        <v>21600</v>
      </c>
      <c r="K2795" s="212">
        <v>43718</v>
      </c>
      <c r="L2795" s="211" t="s">
        <v>2264</v>
      </c>
      <c r="M2795" s="216">
        <v>4615445946</v>
      </c>
      <c r="N2795" s="212"/>
      <c r="O2795" s="218"/>
      <c r="P2795" s="219"/>
      <c r="Q2795" s="34">
        <f>SUMIF(Allocation[Delivery ID],Allocation[[#This Row],[Delivery ID]],Allocation[Quantity Processed])</f>
        <v>4027</v>
      </c>
      <c r="R2795" s="61">
        <f>Allocation[[#This Row],[Total volume used]]/VLOOKUP(Allocation[[#This Row],[Delivery ID]],Delivery[[Delivery ID]:[Quantity delivered]],3,FALSE)</f>
        <v>0.66938164893617025</v>
      </c>
      <c r="S2795" s="34">
        <f>Allocation[[#This Row],[Quantity Processed]]/Allocation[[#This Row],[Dilution rate]]</f>
        <v>1262.5</v>
      </c>
      <c r="T2795" s="59">
        <f>SUMIF(Allocation[Delivery ID],Allocation[[#This Row],[Delivery ID]],Allocation[Quantity allocated])/SUMIF(Allocation[Delivery ID],Allocation[[#This Row],[Delivery ID]],Allocation[Volume available (kg)])</f>
        <v>0.83331591597868115</v>
      </c>
      <c r="U2795" s="61">
        <f>Allocation[[#This Row],[Total volume used]]/VLOOKUP(Allocation[[#This Row],[Delivery ID]],Delivery[[Delivery ID]:[Quantity delivered]],3,FALSE)</f>
        <v>0.66938164893617025</v>
      </c>
      <c r="V2795" s="34" t="e">
        <f>VLOOKUP(Allocation[[#This Row],[SAP Contract number]],Shipments[[SAP Contract number]:[Contracted container weight]],2,FALSE)</f>
        <v>#N/A</v>
      </c>
      <c r="W2795" s="34" t="e">
        <f>VLOOKUP(Allocation[[#This Row],[SAP Contract number]],Shipments[[SAP Contract number]:[AAA Premium USD]],24,FALSE)</f>
        <v>#N/A</v>
      </c>
      <c r="X2795" s="34" t="e">
        <f>VLOOKUP(Allocation[[#This Row],[SAP Contract number]],Shipments[[SAP Contract number]:[RA Premium USD]],25,FALSE)</f>
        <v>#N/A</v>
      </c>
      <c r="Y2795" s="38">
        <f>Allocation[[#This Row],[Quantity Processed]]/Allocation[[#This Row],[Quantity allocated]]</f>
        <v>3.03</v>
      </c>
      <c r="Z2795" s="34" t="b">
        <f>Allocation[[#This Row],[Quantity allocated]]&lt;=Allocation[[#This Row],[Quantity Processed]]</f>
        <v>1</v>
      </c>
    </row>
    <row r="2796" spans="1:26">
      <c r="A2796" s="247" t="s">
        <v>467</v>
      </c>
      <c r="B2796" s="210" t="s">
        <v>68</v>
      </c>
      <c r="C2796" s="254" t="s">
        <v>1724</v>
      </c>
      <c r="D2796" s="255">
        <v>9091</v>
      </c>
      <c r="E2796" s="211" t="s">
        <v>2256</v>
      </c>
      <c r="F2796" s="212">
        <v>43710</v>
      </c>
      <c r="G2796" s="213">
        <v>2.4</v>
      </c>
      <c r="H2796" s="256">
        <v>3000</v>
      </c>
      <c r="I2796" s="214">
        <v>1490143</v>
      </c>
      <c r="J2796" s="215">
        <v>21600</v>
      </c>
      <c r="K2796" s="212">
        <v>43718</v>
      </c>
      <c r="L2796" s="211" t="s">
        <v>2264</v>
      </c>
      <c r="M2796" s="216">
        <v>4615445946</v>
      </c>
      <c r="N2796" s="212"/>
      <c r="O2796" s="218"/>
      <c r="P2796" s="219"/>
      <c r="Q2796" s="34">
        <f>SUMIF(Allocation[Delivery ID],Allocation[[#This Row],[Delivery ID]],Allocation[Quantity Processed])</f>
        <v>11582</v>
      </c>
      <c r="R2796" s="61">
        <f>Allocation[[#This Row],[Total volume used]]/VLOOKUP(Allocation[[#This Row],[Delivery ID]],Delivery[[Delivery ID]:[Quantity delivered]],3,FALSE)</f>
        <v>0.77007978723404258</v>
      </c>
      <c r="S2796" s="34">
        <f>Allocation[[#This Row],[Quantity Processed]]/Allocation[[#This Row],[Dilution rate]]</f>
        <v>3787.916666666667</v>
      </c>
      <c r="T2796" s="59">
        <f>SUMIF(Allocation[Delivery ID],Allocation[[#This Row],[Delivery ID]],Allocation[Quantity allocated])/SUMIF(Allocation[Delivery ID],Allocation[[#This Row],[Delivery ID]],Allocation[Volume available (kg)])</f>
        <v>0.82758620689655171</v>
      </c>
      <c r="U2796" s="61">
        <f>Allocation[[#This Row],[Total volume used]]/VLOOKUP(Allocation[[#This Row],[Delivery ID]],Delivery[[Delivery ID]:[Quantity delivered]],3,FALSE)</f>
        <v>0.77007978723404258</v>
      </c>
      <c r="V2796" s="34" t="e">
        <f>VLOOKUP(Allocation[[#This Row],[SAP Contract number]],Shipments[[SAP Contract number]:[Contracted container weight]],2,FALSE)</f>
        <v>#N/A</v>
      </c>
      <c r="W2796" s="34" t="e">
        <f>VLOOKUP(Allocation[[#This Row],[SAP Contract number]],Shipments[[SAP Contract number]:[AAA Premium USD]],24,FALSE)</f>
        <v>#N/A</v>
      </c>
      <c r="X2796" s="34" t="e">
        <f>VLOOKUP(Allocation[[#This Row],[SAP Contract number]],Shipments[[SAP Contract number]:[RA Premium USD]],25,FALSE)</f>
        <v>#N/A</v>
      </c>
      <c r="Y2796" s="38">
        <f>Allocation[[#This Row],[Quantity Processed]]/Allocation[[#This Row],[Quantity allocated]]</f>
        <v>3.0303333333333335</v>
      </c>
      <c r="Z2796" s="34" t="b">
        <f>Allocation[[#This Row],[Quantity allocated]]&lt;=Allocation[[#This Row],[Quantity Processed]]</f>
        <v>1</v>
      </c>
    </row>
    <row r="2797" spans="1:26">
      <c r="A2797" s="247" t="s">
        <v>467</v>
      </c>
      <c r="B2797" s="210" t="s">
        <v>68</v>
      </c>
      <c r="C2797" s="254" t="s">
        <v>1725</v>
      </c>
      <c r="D2797" s="255">
        <v>3636</v>
      </c>
      <c r="E2797" s="211" t="s">
        <v>2256</v>
      </c>
      <c r="F2797" s="212">
        <v>43710</v>
      </c>
      <c r="G2797" s="213">
        <v>2.4</v>
      </c>
      <c r="H2797" s="256">
        <v>1200</v>
      </c>
      <c r="I2797" s="214">
        <v>1490143</v>
      </c>
      <c r="J2797" s="215">
        <v>21600</v>
      </c>
      <c r="K2797" s="212">
        <v>43718</v>
      </c>
      <c r="L2797" s="211" t="s">
        <v>2264</v>
      </c>
      <c r="M2797" s="216">
        <v>4615445946</v>
      </c>
      <c r="N2797" s="212"/>
      <c r="O2797" s="218"/>
      <c r="P2797" s="219"/>
      <c r="Q2797" s="34">
        <f>SUMIF(Allocation[Delivery ID],Allocation[[#This Row],[Delivery ID]],Allocation[Quantity Processed])</f>
        <v>5130</v>
      </c>
      <c r="R2797" s="61">
        <f>Allocation[[#This Row],[Total volume used]]/VLOOKUP(Allocation[[#This Row],[Delivery ID]],Delivery[[Delivery ID]:[Quantity delivered]],3,FALSE)</f>
        <v>0.56848404255319152</v>
      </c>
      <c r="S2797" s="34">
        <f>Allocation[[#This Row],[Quantity Processed]]/Allocation[[#This Row],[Dilution rate]]</f>
        <v>1515</v>
      </c>
      <c r="T2797" s="59">
        <f>SUMIF(Allocation[Delivery ID],Allocation[[#This Row],[Delivery ID]],Allocation[Quantity allocated])/SUMIF(Allocation[Delivery ID],Allocation[[#This Row],[Delivery ID]],Allocation[Volume available (kg)])</f>
        <v>0.84103328365623442</v>
      </c>
      <c r="U2797" s="61">
        <f>Allocation[[#This Row],[Total volume used]]/VLOOKUP(Allocation[[#This Row],[Delivery ID]],Delivery[[Delivery ID]:[Quantity delivered]],3,FALSE)</f>
        <v>0.56848404255319152</v>
      </c>
      <c r="V2797" s="34" t="e">
        <f>VLOOKUP(Allocation[[#This Row],[SAP Contract number]],Shipments[[SAP Contract number]:[Contracted container weight]],2,FALSE)</f>
        <v>#N/A</v>
      </c>
      <c r="W2797" s="34" t="e">
        <f>VLOOKUP(Allocation[[#This Row],[SAP Contract number]],Shipments[[SAP Contract number]:[AAA Premium USD]],24,FALSE)</f>
        <v>#N/A</v>
      </c>
      <c r="X2797" s="34" t="e">
        <f>VLOOKUP(Allocation[[#This Row],[SAP Contract number]],Shipments[[SAP Contract number]:[RA Premium USD]],25,FALSE)</f>
        <v>#N/A</v>
      </c>
      <c r="Y2797" s="38">
        <f>Allocation[[#This Row],[Quantity Processed]]/Allocation[[#This Row],[Quantity allocated]]</f>
        <v>3.03</v>
      </c>
      <c r="Z2797" s="34" t="b">
        <f>Allocation[[#This Row],[Quantity allocated]]&lt;=Allocation[[#This Row],[Quantity Processed]]</f>
        <v>1</v>
      </c>
    </row>
    <row r="2798" spans="1:26">
      <c r="A2798" s="247" t="s">
        <v>467</v>
      </c>
      <c r="B2798" s="210" t="s">
        <v>68</v>
      </c>
      <c r="C2798" s="254" t="s">
        <v>1726</v>
      </c>
      <c r="D2798" s="255">
        <v>9091</v>
      </c>
      <c r="E2798" s="211" t="s">
        <v>2256</v>
      </c>
      <c r="F2798" s="212">
        <v>43710</v>
      </c>
      <c r="G2798" s="213">
        <v>2.4</v>
      </c>
      <c r="H2798" s="256">
        <v>3000</v>
      </c>
      <c r="I2798" s="214">
        <v>1490143</v>
      </c>
      <c r="J2798" s="215">
        <v>21600</v>
      </c>
      <c r="K2798" s="212">
        <v>43718</v>
      </c>
      <c r="L2798" s="211" t="s">
        <v>2264</v>
      </c>
      <c r="M2798" s="216">
        <v>4615445946</v>
      </c>
      <c r="N2798" s="212"/>
      <c r="O2798" s="218"/>
      <c r="P2798" s="219"/>
      <c r="Q2798" s="34">
        <f>SUMIF(Allocation[Delivery ID],Allocation[[#This Row],[Delivery ID]],Allocation[Quantity Processed])</f>
        <v>11782</v>
      </c>
      <c r="R2798" s="61">
        <f>Allocation[[#This Row],[Total volume used]]/VLOOKUP(Allocation[[#This Row],[Delivery ID]],Delivery[[Delivery ID]:[Quantity delivered]],3,FALSE)</f>
        <v>0.72513540128015752</v>
      </c>
      <c r="S2798" s="34">
        <f>Allocation[[#This Row],[Quantity Processed]]/Allocation[[#This Row],[Dilution rate]]</f>
        <v>3787.916666666667</v>
      </c>
      <c r="T2798" s="59">
        <f>SUMIF(Allocation[Delivery ID],Allocation[[#This Row],[Delivery ID]],Allocation[Quantity allocated])/SUMIF(Allocation[Delivery ID],Allocation[[#This Row],[Delivery ID]],Allocation[Volume available (kg)])</f>
        <v>0.82989736565929662</v>
      </c>
      <c r="U2798" s="61">
        <f>Allocation[[#This Row],[Total volume used]]/VLOOKUP(Allocation[[#This Row],[Delivery ID]],Delivery[[Delivery ID]:[Quantity delivered]],3,FALSE)</f>
        <v>0.72513540128015752</v>
      </c>
      <c r="V2798" s="34" t="e">
        <f>VLOOKUP(Allocation[[#This Row],[SAP Contract number]],Shipments[[SAP Contract number]:[Contracted container weight]],2,FALSE)</f>
        <v>#N/A</v>
      </c>
      <c r="W2798" s="34" t="e">
        <f>VLOOKUP(Allocation[[#This Row],[SAP Contract number]],Shipments[[SAP Contract number]:[AAA Premium USD]],24,FALSE)</f>
        <v>#N/A</v>
      </c>
      <c r="X2798" s="34" t="e">
        <f>VLOOKUP(Allocation[[#This Row],[SAP Contract number]],Shipments[[SAP Contract number]:[RA Premium USD]],25,FALSE)</f>
        <v>#N/A</v>
      </c>
      <c r="Y2798" s="38">
        <f>Allocation[[#This Row],[Quantity Processed]]/Allocation[[#This Row],[Quantity allocated]]</f>
        <v>3.0303333333333335</v>
      </c>
      <c r="Z2798" s="34" t="b">
        <f>Allocation[[#This Row],[Quantity allocated]]&lt;=Allocation[[#This Row],[Quantity Processed]]</f>
        <v>1</v>
      </c>
    </row>
    <row r="2799" spans="1:26">
      <c r="A2799" s="247" t="s">
        <v>467</v>
      </c>
      <c r="B2799" s="210" t="s">
        <v>68</v>
      </c>
      <c r="C2799" s="254" t="s">
        <v>1727</v>
      </c>
      <c r="D2799" s="255">
        <v>6061</v>
      </c>
      <c r="E2799" s="211" t="s">
        <v>2256</v>
      </c>
      <c r="F2799" s="212">
        <v>43710</v>
      </c>
      <c r="G2799" s="213">
        <v>2.4</v>
      </c>
      <c r="H2799" s="256">
        <v>2000</v>
      </c>
      <c r="I2799" s="214">
        <v>1490143</v>
      </c>
      <c r="J2799" s="215">
        <v>21600</v>
      </c>
      <c r="K2799" s="212">
        <v>43718</v>
      </c>
      <c r="L2799" s="211" t="s">
        <v>2264</v>
      </c>
      <c r="M2799" s="216">
        <v>4615445946</v>
      </c>
      <c r="N2799" s="212"/>
      <c r="O2799" s="218"/>
      <c r="P2799" s="219"/>
      <c r="Q2799" s="34">
        <f>SUMIF(Allocation[Delivery ID],Allocation[[#This Row],[Delivery ID]],Allocation[Quantity Processed])</f>
        <v>8352</v>
      </c>
      <c r="R2799" s="61">
        <f>Allocation[[#This Row],[Total volume used]]/VLOOKUP(Allocation[[#This Row],[Delivery ID]],Delivery[[Delivery ID]:[Quantity delivered]],3,FALSE)</f>
        <v>0.60338101430429125</v>
      </c>
      <c r="S2799" s="34">
        <f>Allocation[[#This Row],[Quantity Processed]]/Allocation[[#This Row],[Dilution rate]]</f>
        <v>2525.416666666667</v>
      </c>
      <c r="T2799" s="59">
        <f>SUMIF(Allocation[Delivery ID],Allocation[[#This Row],[Delivery ID]],Allocation[Quantity allocated])/SUMIF(Allocation[Delivery ID],Allocation[[#This Row],[Delivery ID]],Allocation[Volume available (kg)])</f>
        <v>0.83792343358078492</v>
      </c>
      <c r="U2799" s="61">
        <f>Allocation[[#This Row],[Total volume used]]/VLOOKUP(Allocation[[#This Row],[Delivery ID]],Delivery[[Delivery ID]:[Quantity delivered]],3,FALSE)</f>
        <v>0.60338101430429125</v>
      </c>
      <c r="V2799" s="34" t="e">
        <f>VLOOKUP(Allocation[[#This Row],[SAP Contract number]],Shipments[[SAP Contract number]:[Contracted container weight]],2,FALSE)</f>
        <v>#N/A</v>
      </c>
      <c r="W2799" s="34" t="e">
        <f>VLOOKUP(Allocation[[#This Row],[SAP Contract number]],Shipments[[SAP Contract number]:[AAA Premium USD]],24,FALSE)</f>
        <v>#N/A</v>
      </c>
      <c r="X2799" s="34" t="e">
        <f>VLOOKUP(Allocation[[#This Row],[SAP Contract number]],Shipments[[SAP Contract number]:[RA Premium USD]],25,FALSE)</f>
        <v>#N/A</v>
      </c>
      <c r="Y2799" s="38">
        <f>Allocation[[#This Row],[Quantity Processed]]/Allocation[[#This Row],[Quantity allocated]]</f>
        <v>3.0305</v>
      </c>
      <c r="Z2799" s="34" t="b">
        <f>Allocation[[#This Row],[Quantity allocated]]&lt;=Allocation[[#This Row],[Quantity Processed]]</f>
        <v>1</v>
      </c>
    </row>
    <row r="2800" spans="1:26">
      <c r="A2800" s="247" t="s">
        <v>467</v>
      </c>
      <c r="B2800" s="210" t="s">
        <v>68</v>
      </c>
      <c r="C2800" s="254" t="s">
        <v>1730</v>
      </c>
      <c r="D2800" s="255">
        <v>15152</v>
      </c>
      <c r="E2800" s="211" t="s">
        <v>2256</v>
      </c>
      <c r="F2800" s="212">
        <v>43710</v>
      </c>
      <c r="G2800" s="213">
        <v>2.4</v>
      </c>
      <c r="H2800" s="256">
        <v>5000</v>
      </c>
      <c r="I2800" s="214">
        <v>1490143</v>
      </c>
      <c r="J2800" s="215">
        <v>21600</v>
      </c>
      <c r="K2800" s="212">
        <v>43718</v>
      </c>
      <c r="L2800" s="211" t="s">
        <v>2264</v>
      </c>
      <c r="M2800" s="216">
        <v>4615445946</v>
      </c>
      <c r="N2800" s="212"/>
      <c r="O2800" s="218"/>
      <c r="P2800" s="219"/>
      <c r="Q2800" s="34">
        <f>SUMIF(Allocation[Delivery ID],Allocation[[#This Row],[Delivery ID]],Allocation[Quantity Processed])</f>
        <v>20146</v>
      </c>
      <c r="R2800" s="61">
        <f>Allocation[[#This Row],[Total volume used]]/VLOOKUP(Allocation[[#This Row],[Delivery ID]],Delivery[[Delivery ID]:[Quantity delivered]],3,FALSE)</f>
        <v>0.66797082228116711</v>
      </c>
      <c r="S2800" s="34">
        <f>Allocation[[#This Row],[Quantity Processed]]/Allocation[[#This Row],[Dilution rate]]</f>
        <v>6313.3333333333339</v>
      </c>
      <c r="T2800" s="59">
        <f>SUMIF(Allocation[Delivery ID],Allocation[[#This Row],[Delivery ID]],Allocation[Quantity allocated])/SUMIF(Allocation[Delivery ID],Allocation[[#This Row],[Delivery ID]],Allocation[Volume available (kg)])</f>
        <v>0.83329155176736014</v>
      </c>
      <c r="U2800" s="61">
        <f>Allocation[[#This Row],[Total volume used]]/VLOOKUP(Allocation[[#This Row],[Delivery ID]],Delivery[[Delivery ID]:[Quantity delivered]],3,FALSE)</f>
        <v>0.66797082228116711</v>
      </c>
      <c r="V2800" s="34" t="e">
        <f>VLOOKUP(Allocation[[#This Row],[SAP Contract number]],Shipments[[SAP Contract number]:[Contracted container weight]],2,FALSE)</f>
        <v>#N/A</v>
      </c>
      <c r="W2800" s="34" t="e">
        <f>VLOOKUP(Allocation[[#This Row],[SAP Contract number]],Shipments[[SAP Contract number]:[AAA Premium USD]],24,FALSE)</f>
        <v>#N/A</v>
      </c>
      <c r="X2800" s="34" t="e">
        <f>VLOOKUP(Allocation[[#This Row],[SAP Contract number]],Shipments[[SAP Contract number]:[RA Premium USD]],25,FALSE)</f>
        <v>#N/A</v>
      </c>
      <c r="Y2800" s="38">
        <f>Allocation[[#This Row],[Quantity Processed]]/Allocation[[#This Row],[Quantity allocated]]</f>
        <v>3.0304000000000002</v>
      </c>
      <c r="Z2800" s="34" t="b">
        <f>Allocation[[#This Row],[Quantity allocated]]&lt;=Allocation[[#This Row],[Quantity Processed]]</f>
        <v>1</v>
      </c>
    </row>
    <row r="2801" spans="1:26">
      <c r="A2801" s="247" t="s">
        <v>467</v>
      </c>
      <c r="B2801" s="210" t="s">
        <v>68</v>
      </c>
      <c r="C2801" s="254" t="s">
        <v>1731</v>
      </c>
      <c r="D2801" s="255">
        <v>8079</v>
      </c>
      <c r="E2801" s="211" t="s">
        <v>2256</v>
      </c>
      <c r="F2801" s="212">
        <v>43710</v>
      </c>
      <c r="G2801" s="213">
        <v>2.4</v>
      </c>
      <c r="H2801" s="256">
        <v>2666</v>
      </c>
      <c r="I2801" s="214">
        <v>1490143</v>
      </c>
      <c r="J2801" s="215">
        <v>21600</v>
      </c>
      <c r="K2801" s="212">
        <v>43718</v>
      </c>
      <c r="L2801" s="211" t="s">
        <v>2264</v>
      </c>
      <c r="M2801" s="216">
        <v>4615445946</v>
      </c>
      <c r="N2801" s="212"/>
      <c r="O2801" s="218"/>
      <c r="P2801" s="219"/>
      <c r="Q2801" s="34">
        <f>SUMIF(Allocation[Delivery ID],Allocation[[#This Row],[Delivery ID]],Allocation[Quantity Processed])</f>
        <v>20122</v>
      </c>
      <c r="R2801" s="61">
        <f>Allocation[[#This Row],[Total volume used]]/VLOOKUP(Allocation[[#This Row],[Delivery ID]],Delivery[[Delivery ID]:[Quantity delivered]],3,FALSE)</f>
        <v>0.67050983005664777</v>
      </c>
      <c r="S2801" s="34">
        <f>Allocation[[#This Row],[Quantity Processed]]/Allocation[[#This Row],[Dilution rate]]</f>
        <v>3366.25</v>
      </c>
      <c r="T2801" s="59">
        <f>SUMIF(Allocation[Delivery ID],Allocation[[#This Row],[Delivery ID]],Allocation[Quantity allocated])/SUMIF(Allocation[Delivery ID],Allocation[[#This Row],[Delivery ID]],Allocation[Volume available (kg)])</f>
        <v>0.83312421580928486</v>
      </c>
      <c r="U2801" s="61">
        <f>Allocation[[#This Row],[Total volume used]]/VLOOKUP(Allocation[[#This Row],[Delivery ID]],Delivery[[Delivery ID]:[Quantity delivered]],3,FALSE)</f>
        <v>0.67050983005664777</v>
      </c>
      <c r="V2801" s="34" t="e">
        <f>VLOOKUP(Allocation[[#This Row],[SAP Contract number]],Shipments[[SAP Contract number]:[Contracted container weight]],2,FALSE)</f>
        <v>#N/A</v>
      </c>
      <c r="W2801" s="34" t="e">
        <f>VLOOKUP(Allocation[[#This Row],[SAP Contract number]],Shipments[[SAP Contract number]:[AAA Premium USD]],24,FALSE)</f>
        <v>#N/A</v>
      </c>
      <c r="X2801" s="34" t="e">
        <f>VLOOKUP(Allocation[[#This Row],[SAP Contract number]],Shipments[[SAP Contract number]:[RA Premium USD]],25,FALSE)</f>
        <v>#N/A</v>
      </c>
      <c r="Y2801" s="38">
        <f>Allocation[[#This Row],[Quantity Processed]]/Allocation[[#This Row],[Quantity allocated]]</f>
        <v>3.0303825956489123</v>
      </c>
      <c r="Z2801" s="34" t="b">
        <f>Allocation[[#This Row],[Quantity allocated]]&lt;=Allocation[[#This Row],[Quantity Processed]]</f>
        <v>1</v>
      </c>
    </row>
    <row r="2802" spans="1:26">
      <c r="A2802" s="247" t="s">
        <v>467</v>
      </c>
      <c r="B2802" s="210" t="s">
        <v>68</v>
      </c>
      <c r="C2802" s="254" t="s">
        <v>1731</v>
      </c>
      <c r="D2802" s="255">
        <v>7073</v>
      </c>
      <c r="E2802" s="211" t="s">
        <v>2256</v>
      </c>
      <c r="F2802" s="212">
        <v>43710</v>
      </c>
      <c r="G2802" s="213">
        <v>2.4</v>
      </c>
      <c r="H2802" s="256">
        <v>2334</v>
      </c>
      <c r="I2802" s="214">
        <v>1490144</v>
      </c>
      <c r="J2802" s="215">
        <v>21600</v>
      </c>
      <c r="K2802" s="212">
        <v>43718</v>
      </c>
      <c r="L2802" s="211" t="s">
        <v>2265</v>
      </c>
      <c r="M2802" s="216">
        <v>4615445946</v>
      </c>
      <c r="N2802" s="212"/>
      <c r="O2802" s="218"/>
      <c r="P2802" s="219"/>
      <c r="Q2802" s="34">
        <f>SUMIF(Allocation[Delivery ID],Allocation[[#This Row],[Delivery ID]],Allocation[Quantity Processed])</f>
        <v>20122</v>
      </c>
      <c r="R2802" s="61">
        <f>Allocation[[#This Row],[Total volume used]]/VLOOKUP(Allocation[[#This Row],[Delivery ID]],Delivery[[Delivery ID]:[Quantity delivered]],3,FALSE)</f>
        <v>0.67050983005664777</v>
      </c>
      <c r="S2802" s="34">
        <f>Allocation[[#This Row],[Quantity Processed]]/Allocation[[#This Row],[Dilution rate]]</f>
        <v>2947.0833333333335</v>
      </c>
      <c r="T2802" s="59">
        <f>SUMIF(Allocation[Delivery ID],Allocation[[#This Row],[Delivery ID]],Allocation[Quantity allocated])/SUMIF(Allocation[Delivery ID],Allocation[[#This Row],[Delivery ID]],Allocation[Volume available (kg)])</f>
        <v>0.83312421580928486</v>
      </c>
      <c r="U2802" s="61">
        <f>Allocation[[#This Row],[Total volume used]]/VLOOKUP(Allocation[[#This Row],[Delivery ID]],Delivery[[Delivery ID]:[Quantity delivered]],3,FALSE)</f>
        <v>0.67050983005664777</v>
      </c>
      <c r="V2802" s="34" t="e">
        <f>VLOOKUP(Allocation[[#This Row],[SAP Contract number]],Shipments[[SAP Contract number]:[Contracted container weight]],2,FALSE)</f>
        <v>#N/A</v>
      </c>
      <c r="W2802" s="34" t="e">
        <f>VLOOKUP(Allocation[[#This Row],[SAP Contract number]],Shipments[[SAP Contract number]:[AAA Premium USD]],24,FALSE)</f>
        <v>#N/A</v>
      </c>
      <c r="X2802" s="34" t="e">
        <f>VLOOKUP(Allocation[[#This Row],[SAP Contract number]],Shipments[[SAP Contract number]:[RA Premium USD]],25,FALSE)</f>
        <v>#N/A</v>
      </c>
      <c r="Y2802" s="38">
        <f>Allocation[[#This Row],[Quantity Processed]]/Allocation[[#This Row],[Quantity allocated]]</f>
        <v>3.0304198800342759</v>
      </c>
      <c r="Z2802" s="34" t="b">
        <f>Allocation[[#This Row],[Quantity allocated]]&lt;=Allocation[[#This Row],[Quantity Processed]]</f>
        <v>1</v>
      </c>
    </row>
    <row r="2803" spans="1:26">
      <c r="A2803" s="247" t="s">
        <v>467</v>
      </c>
      <c r="B2803" s="210" t="s">
        <v>68</v>
      </c>
      <c r="C2803" s="254" t="s">
        <v>1732</v>
      </c>
      <c r="D2803" s="255">
        <v>15152</v>
      </c>
      <c r="E2803" s="211" t="s">
        <v>2256</v>
      </c>
      <c r="F2803" s="212">
        <v>43710</v>
      </c>
      <c r="G2803" s="213">
        <v>2.4</v>
      </c>
      <c r="H2803" s="256">
        <v>5000</v>
      </c>
      <c r="I2803" s="214">
        <v>1490144</v>
      </c>
      <c r="J2803" s="215">
        <v>21600</v>
      </c>
      <c r="K2803" s="212">
        <v>43718</v>
      </c>
      <c r="L2803" s="211" t="s">
        <v>2265</v>
      </c>
      <c r="M2803" s="216">
        <v>4615445946</v>
      </c>
      <c r="N2803" s="212"/>
      <c r="O2803" s="218"/>
      <c r="P2803" s="219"/>
      <c r="Q2803" s="34">
        <f>SUMIF(Allocation[Delivery ID],Allocation[[#This Row],[Delivery ID]],Allocation[Quantity Processed])</f>
        <v>20116</v>
      </c>
      <c r="R2803" s="61">
        <f>Allocation[[#This Row],[Total volume used]]/VLOOKUP(Allocation[[#This Row],[Delivery ID]],Delivery[[Delivery ID]:[Quantity delivered]],3,FALSE)</f>
        <v>0.67098065376917948</v>
      </c>
      <c r="S2803" s="34">
        <f>Allocation[[#This Row],[Quantity Processed]]/Allocation[[#This Row],[Dilution rate]]</f>
        <v>6313.3333333333339</v>
      </c>
      <c r="T2803" s="59">
        <f>SUMIF(Allocation[Delivery ID],Allocation[[#This Row],[Delivery ID]],Allocation[Quantity allocated])/SUMIF(Allocation[Delivery ID],Allocation[[#This Row],[Delivery ID]],Allocation[Volume available (kg)])</f>
        <v>0.83308232931726911</v>
      </c>
      <c r="U2803" s="61">
        <f>Allocation[[#This Row],[Total volume used]]/VLOOKUP(Allocation[[#This Row],[Delivery ID]],Delivery[[Delivery ID]:[Quantity delivered]],3,FALSE)</f>
        <v>0.67098065376917948</v>
      </c>
      <c r="V2803" s="34" t="e">
        <f>VLOOKUP(Allocation[[#This Row],[SAP Contract number]],Shipments[[SAP Contract number]:[Contracted container weight]],2,FALSE)</f>
        <v>#N/A</v>
      </c>
      <c r="W2803" s="34" t="e">
        <f>VLOOKUP(Allocation[[#This Row],[SAP Contract number]],Shipments[[SAP Contract number]:[AAA Premium USD]],24,FALSE)</f>
        <v>#N/A</v>
      </c>
      <c r="X2803" s="34" t="e">
        <f>VLOOKUP(Allocation[[#This Row],[SAP Contract number]],Shipments[[SAP Contract number]:[RA Premium USD]],25,FALSE)</f>
        <v>#N/A</v>
      </c>
      <c r="Y2803" s="38">
        <f>Allocation[[#This Row],[Quantity Processed]]/Allocation[[#This Row],[Quantity allocated]]</f>
        <v>3.0304000000000002</v>
      </c>
      <c r="Z2803" s="34" t="b">
        <f>Allocation[[#This Row],[Quantity allocated]]&lt;=Allocation[[#This Row],[Quantity Processed]]</f>
        <v>1</v>
      </c>
    </row>
    <row r="2804" spans="1:26">
      <c r="A2804" s="247" t="s">
        <v>467</v>
      </c>
      <c r="B2804" s="210" t="s">
        <v>68</v>
      </c>
      <c r="C2804" s="254" t="s">
        <v>1733</v>
      </c>
      <c r="D2804" s="255">
        <v>13636</v>
      </c>
      <c r="E2804" s="211" t="s">
        <v>2256</v>
      </c>
      <c r="F2804" s="212">
        <v>43710</v>
      </c>
      <c r="G2804" s="213">
        <v>2.4</v>
      </c>
      <c r="H2804" s="256">
        <v>4500</v>
      </c>
      <c r="I2804" s="214">
        <v>1490144</v>
      </c>
      <c r="J2804" s="215">
        <v>21600</v>
      </c>
      <c r="K2804" s="212">
        <v>43718</v>
      </c>
      <c r="L2804" s="211" t="s">
        <v>2265</v>
      </c>
      <c r="M2804" s="216">
        <v>4615445946</v>
      </c>
      <c r="N2804" s="212"/>
      <c r="O2804" s="218"/>
      <c r="P2804" s="219"/>
      <c r="Q2804" s="34">
        <f>SUMIF(Allocation[Delivery ID],Allocation[[#This Row],[Delivery ID]],Allocation[Quantity Processed])</f>
        <v>18597</v>
      </c>
      <c r="R2804" s="61">
        <f>Allocation[[#This Row],[Total volume used]]/VLOOKUP(Allocation[[#This Row],[Delivery ID]],Delivery[[Delivery ID]:[Quantity delivered]],3,FALSE)</f>
        <v>0.62072763684913213</v>
      </c>
      <c r="S2804" s="34">
        <f>Allocation[[#This Row],[Quantity Processed]]/Allocation[[#This Row],[Dilution rate]]</f>
        <v>5681.666666666667</v>
      </c>
      <c r="T2804" s="59">
        <f>SUMIF(Allocation[Delivery ID],Allocation[[#This Row],[Delivery ID]],Allocation[Quantity allocated])/SUMIF(Allocation[Delivery ID],Allocation[[#This Row],[Delivery ID]],Allocation[Volume available (kg)])</f>
        <v>0.83663546305553027</v>
      </c>
      <c r="U2804" s="61">
        <f>Allocation[[#This Row],[Total volume used]]/VLOOKUP(Allocation[[#This Row],[Delivery ID]],Delivery[[Delivery ID]:[Quantity delivered]],3,FALSE)</f>
        <v>0.62072763684913213</v>
      </c>
      <c r="V2804" s="34" t="e">
        <f>VLOOKUP(Allocation[[#This Row],[SAP Contract number]],Shipments[[SAP Contract number]:[Contracted container weight]],2,FALSE)</f>
        <v>#N/A</v>
      </c>
      <c r="W2804" s="34" t="e">
        <f>VLOOKUP(Allocation[[#This Row],[SAP Contract number]],Shipments[[SAP Contract number]:[AAA Premium USD]],24,FALSE)</f>
        <v>#N/A</v>
      </c>
      <c r="X2804" s="34" t="e">
        <f>VLOOKUP(Allocation[[#This Row],[SAP Contract number]],Shipments[[SAP Contract number]:[RA Premium USD]],25,FALSE)</f>
        <v>#N/A</v>
      </c>
      <c r="Y2804" s="38">
        <f>Allocation[[#This Row],[Quantity Processed]]/Allocation[[#This Row],[Quantity allocated]]</f>
        <v>3.0302222222222222</v>
      </c>
      <c r="Z2804" s="34" t="b">
        <f>Allocation[[#This Row],[Quantity allocated]]&lt;=Allocation[[#This Row],[Quantity Processed]]</f>
        <v>1</v>
      </c>
    </row>
    <row r="2805" spans="1:26">
      <c r="A2805" s="247" t="s">
        <v>467</v>
      </c>
      <c r="B2805" s="210" t="s">
        <v>68</v>
      </c>
      <c r="C2805" s="254" t="s">
        <v>2180</v>
      </c>
      <c r="D2805" s="255">
        <v>28480</v>
      </c>
      <c r="E2805" s="211" t="s">
        <v>2256</v>
      </c>
      <c r="F2805" s="212">
        <v>43710</v>
      </c>
      <c r="G2805" s="213">
        <v>2.4</v>
      </c>
      <c r="H2805" s="256">
        <v>9766</v>
      </c>
      <c r="I2805" s="214">
        <v>1490144</v>
      </c>
      <c r="J2805" s="215">
        <v>21600</v>
      </c>
      <c r="K2805" s="212">
        <v>43718</v>
      </c>
      <c r="L2805" s="211" t="s">
        <v>2265</v>
      </c>
      <c r="M2805" s="216">
        <v>4615445946</v>
      </c>
      <c r="N2805" s="212"/>
      <c r="O2805" s="218"/>
      <c r="P2805" s="219"/>
      <c r="Q2805" s="34">
        <f>SUMIF(Allocation[Delivery ID],Allocation[[#This Row],[Delivery ID]],Allocation[Quantity Processed])</f>
        <v>30620</v>
      </c>
      <c r="R2805" s="61">
        <f>Allocation[[#This Row],[Total volume used]]/VLOOKUP(Allocation[[#This Row],[Delivery ID]],Delivery[[Delivery ID]:[Quantity delivered]],3,FALSE)</f>
        <v>1</v>
      </c>
      <c r="S2805" s="34">
        <f>Allocation[[#This Row],[Quantity Processed]]/Allocation[[#This Row],[Dilution rate]]</f>
        <v>11866.666666666668</v>
      </c>
      <c r="T2805" s="59">
        <f>SUMIF(Allocation[Delivery ID],Allocation[[#This Row],[Delivery ID]],Allocation[Quantity allocated])/SUMIF(Allocation[Delivery ID],Allocation[[#This Row],[Delivery ID]],Allocation[Volume available (kg)])</f>
        <v>0.82299150881776617</v>
      </c>
      <c r="U2805" s="61">
        <f>Allocation[[#This Row],[Total volume used]]/VLOOKUP(Allocation[[#This Row],[Delivery ID]],Delivery[[Delivery ID]:[Quantity delivered]],3,FALSE)</f>
        <v>1</v>
      </c>
      <c r="V2805" s="34" t="e">
        <f>VLOOKUP(Allocation[[#This Row],[SAP Contract number]],Shipments[[SAP Contract number]:[Contracted container weight]],2,FALSE)</f>
        <v>#N/A</v>
      </c>
      <c r="W2805" s="34" t="e">
        <f>VLOOKUP(Allocation[[#This Row],[SAP Contract number]],Shipments[[SAP Contract number]:[AAA Premium USD]],24,FALSE)</f>
        <v>#N/A</v>
      </c>
      <c r="X2805" s="34" t="e">
        <f>VLOOKUP(Allocation[[#This Row],[SAP Contract number]],Shipments[[SAP Contract number]:[RA Premium USD]],25,FALSE)</f>
        <v>#N/A</v>
      </c>
      <c r="Y2805" s="38">
        <f>Allocation[[#This Row],[Quantity Processed]]/Allocation[[#This Row],[Quantity allocated]]</f>
        <v>2.9162400163833708</v>
      </c>
      <c r="Z2805" s="34" t="b">
        <f>Allocation[[#This Row],[Quantity allocated]]&lt;=Allocation[[#This Row],[Quantity Processed]]</f>
        <v>1</v>
      </c>
    </row>
    <row r="2806" spans="1:26">
      <c r="A2806" s="247" t="s">
        <v>467</v>
      </c>
      <c r="B2806" s="210" t="s">
        <v>68</v>
      </c>
      <c r="C2806" s="254" t="s">
        <v>2180</v>
      </c>
      <c r="D2806" s="255">
        <v>2140</v>
      </c>
      <c r="E2806" s="211" t="s">
        <v>2256</v>
      </c>
      <c r="F2806" s="212">
        <v>43710</v>
      </c>
      <c r="G2806" s="213">
        <v>2.4</v>
      </c>
      <c r="H2806" s="256">
        <v>734</v>
      </c>
      <c r="I2806" s="214">
        <v>1490145</v>
      </c>
      <c r="J2806" s="215">
        <v>21600</v>
      </c>
      <c r="K2806" s="212">
        <v>43718</v>
      </c>
      <c r="L2806" s="211" t="s">
        <v>2266</v>
      </c>
      <c r="M2806" s="216">
        <v>4615445946</v>
      </c>
      <c r="N2806" s="212"/>
      <c r="O2806" s="218"/>
      <c r="P2806" s="219"/>
      <c r="Q2806" s="34">
        <f>SUMIF(Allocation[Delivery ID],Allocation[[#This Row],[Delivery ID]],Allocation[Quantity Processed])</f>
        <v>30620</v>
      </c>
      <c r="R2806" s="61">
        <f>Allocation[[#This Row],[Total volume used]]/VLOOKUP(Allocation[[#This Row],[Delivery ID]],Delivery[[Delivery ID]:[Quantity delivered]],3,FALSE)</f>
        <v>1</v>
      </c>
      <c r="S2806" s="34">
        <f>Allocation[[#This Row],[Quantity Processed]]/Allocation[[#This Row],[Dilution rate]]</f>
        <v>891.66666666666674</v>
      </c>
      <c r="T2806" s="59">
        <f>SUMIF(Allocation[Delivery ID],Allocation[[#This Row],[Delivery ID]],Allocation[Quantity allocated])/SUMIF(Allocation[Delivery ID],Allocation[[#This Row],[Delivery ID]],Allocation[Volume available (kg)])</f>
        <v>0.82299150881776617</v>
      </c>
      <c r="U2806" s="61">
        <f>Allocation[[#This Row],[Total volume used]]/VLOOKUP(Allocation[[#This Row],[Delivery ID]],Delivery[[Delivery ID]:[Quantity delivered]],3,FALSE)</f>
        <v>1</v>
      </c>
      <c r="V2806" s="34" t="e">
        <f>VLOOKUP(Allocation[[#This Row],[SAP Contract number]],Shipments[[SAP Contract number]:[Contracted container weight]],2,FALSE)</f>
        <v>#N/A</v>
      </c>
      <c r="W2806" s="34" t="e">
        <f>VLOOKUP(Allocation[[#This Row],[SAP Contract number]],Shipments[[SAP Contract number]:[AAA Premium USD]],24,FALSE)</f>
        <v>#N/A</v>
      </c>
      <c r="X2806" s="34" t="e">
        <f>VLOOKUP(Allocation[[#This Row],[SAP Contract number]],Shipments[[SAP Contract number]:[RA Premium USD]],25,FALSE)</f>
        <v>#N/A</v>
      </c>
      <c r="Y2806" s="38">
        <f>Allocation[[#This Row],[Quantity Processed]]/Allocation[[#This Row],[Quantity allocated]]</f>
        <v>2.915531335149864</v>
      </c>
      <c r="Z2806" s="34" t="b">
        <f>Allocation[[#This Row],[Quantity allocated]]&lt;=Allocation[[#This Row],[Quantity Processed]]</f>
        <v>1</v>
      </c>
    </row>
    <row r="2807" spans="1:26">
      <c r="A2807" s="247" t="s">
        <v>467</v>
      </c>
      <c r="B2807" s="210" t="s">
        <v>68</v>
      </c>
      <c r="C2807" s="254" t="s">
        <v>2181</v>
      </c>
      <c r="D2807" s="255">
        <v>21917</v>
      </c>
      <c r="E2807" s="211" t="s">
        <v>2256</v>
      </c>
      <c r="F2807" s="212">
        <v>43710</v>
      </c>
      <c r="G2807" s="213">
        <v>2.4</v>
      </c>
      <c r="H2807" s="256">
        <v>20866</v>
      </c>
      <c r="I2807" s="214">
        <v>1490145</v>
      </c>
      <c r="J2807" s="215">
        <v>21600</v>
      </c>
      <c r="K2807" s="212">
        <v>43718</v>
      </c>
      <c r="L2807" s="211" t="s">
        <v>2266</v>
      </c>
      <c r="M2807" s="216">
        <v>4615445946</v>
      </c>
      <c r="N2807" s="212"/>
      <c r="O2807" s="218"/>
      <c r="P2807" s="219"/>
      <c r="Q2807" s="34">
        <f>SUMIF(Allocation[Delivery ID],Allocation[[#This Row],[Delivery ID]],Allocation[Quantity Processed])</f>
        <v>30040</v>
      </c>
      <c r="R2807" s="61">
        <f>Allocation[[#This Row],[Total volume used]]/VLOOKUP(Allocation[[#This Row],[Delivery ID]],Delivery[[Delivery ID]:[Quantity delivered]],3,FALSE)</f>
        <v>0.96934494998386578</v>
      </c>
      <c r="S2807" s="34">
        <f>Allocation[[#This Row],[Quantity Processed]]/Allocation[[#This Row],[Dilution rate]]</f>
        <v>9132.0833333333339</v>
      </c>
      <c r="T2807" s="59">
        <f>SUMIF(Allocation[Delivery ID],Allocation[[#This Row],[Delivery ID]],Allocation[Quantity allocated])/SUMIF(Allocation[Delivery ID],Allocation[[#This Row],[Delivery ID]],Allocation[Volume available (kg)])</f>
        <v>2.2849533954727028</v>
      </c>
      <c r="U2807" s="61">
        <f>Allocation[[#This Row],[Total volume used]]/VLOOKUP(Allocation[[#This Row],[Delivery ID]],Delivery[[Delivery ID]:[Quantity delivered]],3,FALSE)</f>
        <v>0.96934494998386578</v>
      </c>
      <c r="V2807" s="34" t="e">
        <f>VLOOKUP(Allocation[[#This Row],[SAP Contract number]],Shipments[[SAP Contract number]:[Contracted container weight]],2,FALSE)</f>
        <v>#N/A</v>
      </c>
      <c r="W2807" s="34" t="e">
        <f>VLOOKUP(Allocation[[#This Row],[SAP Contract number]],Shipments[[SAP Contract number]:[AAA Premium USD]],24,FALSE)</f>
        <v>#N/A</v>
      </c>
      <c r="X2807" s="34" t="e">
        <f>VLOOKUP(Allocation[[#This Row],[SAP Contract number]],Shipments[[SAP Contract number]:[RA Premium USD]],25,FALSE)</f>
        <v>#N/A</v>
      </c>
      <c r="Y2807" s="38">
        <f>Allocation[[#This Row],[Quantity Processed]]/Allocation[[#This Row],[Quantity allocated]]</f>
        <v>1.0503690213744847</v>
      </c>
      <c r="Z2807" s="34" t="b">
        <f>Allocation[[#This Row],[Quantity allocated]]&lt;=Allocation[[#This Row],[Quantity Processed]]</f>
        <v>1</v>
      </c>
    </row>
    <row r="2808" spans="1:26">
      <c r="A2808" s="247" t="s">
        <v>467</v>
      </c>
      <c r="B2808" s="210" t="s">
        <v>68</v>
      </c>
      <c r="C2808" s="254" t="s">
        <v>2181</v>
      </c>
      <c r="D2808" s="255">
        <v>8123</v>
      </c>
      <c r="E2808" s="211" t="s">
        <v>2256</v>
      </c>
      <c r="F2808" s="212">
        <v>43710</v>
      </c>
      <c r="G2808" s="213">
        <v>2.4</v>
      </c>
      <c r="H2808" s="256">
        <v>7734</v>
      </c>
      <c r="I2808" s="214">
        <v>1490146</v>
      </c>
      <c r="J2808" s="215">
        <v>21600</v>
      </c>
      <c r="K2808" s="212">
        <v>43718</v>
      </c>
      <c r="L2808" s="211" t="s">
        <v>2267</v>
      </c>
      <c r="M2808" s="216">
        <v>4615445946</v>
      </c>
      <c r="N2808" s="212"/>
      <c r="O2808" s="218"/>
      <c r="P2808" s="219"/>
      <c r="Q2808" s="34">
        <f>SUMIF(Allocation[Delivery ID],Allocation[[#This Row],[Delivery ID]],Allocation[Quantity Processed])</f>
        <v>30040</v>
      </c>
      <c r="R2808" s="61">
        <f>Allocation[[#This Row],[Total volume used]]/VLOOKUP(Allocation[[#This Row],[Delivery ID]],Delivery[[Delivery ID]:[Quantity delivered]],3,FALSE)</f>
        <v>0.96934494998386578</v>
      </c>
      <c r="S2808" s="34">
        <f>Allocation[[#This Row],[Quantity Processed]]/Allocation[[#This Row],[Dilution rate]]</f>
        <v>3384.5833333333335</v>
      </c>
      <c r="T2808" s="59">
        <f>SUMIF(Allocation[Delivery ID],Allocation[[#This Row],[Delivery ID]],Allocation[Quantity allocated])/SUMIF(Allocation[Delivery ID],Allocation[[#This Row],[Delivery ID]],Allocation[Volume available (kg)])</f>
        <v>2.2849533954727028</v>
      </c>
      <c r="U2808" s="61">
        <f>Allocation[[#This Row],[Total volume used]]/VLOOKUP(Allocation[[#This Row],[Delivery ID]],Delivery[[Delivery ID]:[Quantity delivered]],3,FALSE)</f>
        <v>0.96934494998386578</v>
      </c>
      <c r="V2808" s="34" t="e">
        <f>VLOOKUP(Allocation[[#This Row],[SAP Contract number]],Shipments[[SAP Contract number]:[Contracted container weight]],2,FALSE)</f>
        <v>#N/A</v>
      </c>
      <c r="W2808" s="34" t="e">
        <f>VLOOKUP(Allocation[[#This Row],[SAP Contract number]],Shipments[[SAP Contract number]:[AAA Premium USD]],24,FALSE)</f>
        <v>#N/A</v>
      </c>
      <c r="X2808" s="34" t="e">
        <f>VLOOKUP(Allocation[[#This Row],[SAP Contract number]],Shipments[[SAP Contract number]:[RA Premium USD]],25,FALSE)</f>
        <v>#N/A</v>
      </c>
      <c r="Y2808" s="38">
        <f>Allocation[[#This Row],[Quantity Processed]]/Allocation[[#This Row],[Quantity allocated]]</f>
        <v>1.0502973881561934</v>
      </c>
      <c r="Z2808" s="34" t="b">
        <f>Allocation[[#This Row],[Quantity allocated]]&lt;=Allocation[[#This Row],[Quantity Processed]]</f>
        <v>1</v>
      </c>
    </row>
    <row r="2809" spans="1:26">
      <c r="A2809" s="247" t="s">
        <v>467</v>
      </c>
      <c r="B2809" s="210" t="s">
        <v>68</v>
      </c>
      <c r="C2809" s="254" t="s">
        <v>1167</v>
      </c>
      <c r="D2809" s="255">
        <v>14038</v>
      </c>
      <c r="E2809" s="211" t="s">
        <v>2256</v>
      </c>
      <c r="F2809" s="212">
        <v>43710</v>
      </c>
      <c r="G2809" s="213">
        <v>2.4</v>
      </c>
      <c r="H2809" s="256">
        <v>12800</v>
      </c>
      <c r="I2809" s="214">
        <v>1490146</v>
      </c>
      <c r="J2809" s="215">
        <v>21600</v>
      </c>
      <c r="K2809" s="212">
        <v>43718</v>
      </c>
      <c r="L2809" s="211" t="s">
        <v>2267</v>
      </c>
      <c r="M2809" s="216">
        <v>4615445946</v>
      </c>
      <c r="N2809" s="212"/>
      <c r="O2809" s="218"/>
      <c r="P2809" s="219"/>
      <c r="Q2809" s="34">
        <f>SUMIF(Allocation[Delivery ID],Allocation[[#This Row],[Delivery ID]],Allocation[Quantity Processed])</f>
        <v>29950</v>
      </c>
      <c r="R2809" s="61">
        <f>Allocation[[#This Row],[Total volume used]]/VLOOKUP(Allocation[[#This Row],[Delivery ID]],Delivery[[Delivery ID]:[Quantity delivered]],3,FALSE)</f>
        <v>1</v>
      </c>
      <c r="S2809" s="34">
        <f>Allocation[[#This Row],[Quantity Processed]]/Allocation[[#This Row],[Dilution rate]]</f>
        <v>5849.166666666667</v>
      </c>
      <c r="T2809" s="59">
        <f>SUMIF(Allocation[Delivery ID],Allocation[[#This Row],[Delivery ID]],Allocation[Quantity allocated])/SUMIF(Allocation[Delivery ID],Allocation[[#This Row],[Delivery ID]],Allocation[Volume available (kg)])</f>
        <v>2.3907840155759827</v>
      </c>
      <c r="U2809" s="61">
        <f>Allocation[[#This Row],[Total volume used]]/VLOOKUP(Allocation[[#This Row],[Delivery ID]],Delivery[[Delivery ID]:[Quantity delivered]],3,FALSE)</f>
        <v>1</v>
      </c>
      <c r="V2809" s="34" t="e">
        <f>VLOOKUP(Allocation[[#This Row],[SAP Contract number]],Shipments[[SAP Contract number]:[Contracted container weight]],2,FALSE)</f>
        <v>#N/A</v>
      </c>
      <c r="W2809" s="34" t="e">
        <f>VLOOKUP(Allocation[[#This Row],[SAP Contract number]],Shipments[[SAP Contract number]:[AAA Premium USD]],24,FALSE)</f>
        <v>#N/A</v>
      </c>
      <c r="X2809" s="34" t="e">
        <f>VLOOKUP(Allocation[[#This Row],[SAP Contract number]],Shipments[[SAP Contract number]:[RA Premium USD]],25,FALSE)</f>
        <v>#N/A</v>
      </c>
      <c r="Y2809" s="38">
        <f>Allocation[[#This Row],[Quantity Processed]]/Allocation[[#This Row],[Quantity allocated]]</f>
        <v>1.09671875</v>
      </c>
      <c r="Z2809" s="34" t="b">
        <f>Allocation[[#This Row],[Quantity allocated]]&lt;=Allocation[[#This Row],[Quantity Processed]]</f>
        <v>1</v>
      </c>
    </row>
    <row r="2810" spans="1:26">
      <c r="A2810" s="247" t="s">
        <v>467</v>
      </c>
      <c r="B2810" s="210" t="s">
        <v>68</v>
      </c>
      <c r="C2810" s="254" t="s">
        <v>2082</v>
      </c>
      <c r="D2810" s="255">
        <v>2132</v>
      </c>
      <c r="E2810" s="211" t="s">
        <v>2256</v>
      </c>
      <c r="F2810" s="212">
        <v>43710</v>
      </c>
      <c r="G2810" s="213">
        <v>2.4</v>
      </c>
      <c r="H2810" s="256">
        <v>1066</v>
      </c>
      <c r="I2810" s="214">
        <v>1490146</v>
      </c>
      <c r="J2810" s="215">
        <v>21600</v>
      </c>
      <c r="K2810" s="212">
        <v>43718</v>
      </c>
      <c r="L2810" s="211" t="s">
        <v>2267</v>
      </c>
      <c r="M2810" s="216">
        <v>4615445946</v>
      </c>
      <c r="N2810" s="212"/>
      <c r="O2810" s="218"/>
      <c r="P2810" s="219"/>
      <c r="Q2810" s="34">
        <f>SUMIF(Allocation[Delivery ID],Allocation[[#This Row],[Delivery ID]],Allocation[Quantity Processed])</f>
        <v>20600</v>
      </c>
      <c r="R2810" s="61">
        <f>Allocation[[#This Row],[Total volume used]]/VLOOKUP(Allocation[[#This Row],[Delivery ID]],Delivery[[Delivery ID]:[Quantity delivered]],3,FALSE)</f>
        <v>0.64375000000000004</v>
      </c>
      <c r="S2810" s="34">
        <f>Allocation[[#This Row],[Quantity Processed]]/Allocation[[#This Row],[Dilution rate]]</f>
        <v>888.33333333333337</v>
      </c>
      <c r="T2810" s="59">
        <f>SUMIF(Allocation[Delivery ID],Allocation[[#This Row],[Delivery ID]],Allocation[Quantity allocated])/SUMIF(Allocation[Delivery ID],Allocation[[#This Row],[Delivery ID]],Allocation[Volume available (kg)])</f>
        <v>1.2590094836670178</v>
      </c>
      <c r="U2810" s="61">
        <f>Allocation[[#This Row],[Total volume used]]/VLOOKUP(Allocation[[#This Row],[Delivery ID]],Delivery[[Delivery ID]:[Quantity delivered]],3,FALSE)</f>
        <v>0.64375000000000004</v>
      </c>
      <c r="V2810" s="34" t="e">
        <f>VLOOKUP(Allocation[[#This Row],[SAP Contract number]],Shipments[[SAP Contract number]:[Contracted container weight]],2,FALSE)</f>
        <v>#N/A</v>
      </c>
      <c r="W2810" s="34" t="e">
        <f>VLOOKUP(Allocation[[#This Row],[SAP Contract number]],Shipments[[SAP Contract number]:[AAA Premium USD]],24,FALSE)</f>
        <v>#N/A</v>
      </c>
      <c r="X2810" s="34" t="e">
        <f>VLOOKUP(Allocation[[#This Row],[SAP Contract number]],Shipments[[SAP Contract number]:[RA Premium USD]],25,FALSE)</f>
        <v>#N/A</v>
      </c>
      <c r="Y2810" s="38">
        <f>Allocation[[#This Row],[Quantity Processed]]/Allocation[[#This Row],[Quantity allocated]]</f>
        <v>2</v>
      </c>
      <c r="Z2810" s="34" t="b">
        <f>Allocation[[#This Row],[Quantity allocated]]&lt;=Allocation[[#This Row],[Quantity Processed]]</f>
        <v>1</v>
      </c>
    </row>
    <row r="2811" spans="1:26">
      <c r="A2811" s="247" t="s">
        <v>467</v>
      </c>
      <c r="B2811" s="210" t="s">
        <v>68</v>
      </c>
      <c r="C2811" s="254" t="s">
        <v>2082</v>
      </c>
      <c r="D2811" s="255">
        <v>12868</v>
      </c>
      <c r="E2811" s="211" t="s">
        <v>2256</v>
      </c>
      <c r="F2811" s="212">
        <v>43710</v>
      </c>
      <c r="G2811" s="213">
        <v>2.4</v>
      </c>
      <c r="H2811" s="256">
        <v>6434</v>
      </c>
      <c r="I2811" s="214">
        <v>1490147</v>
      </c>
      <c r="J2811" s="215">
        <v>21600</v>
      </c>
      <c r="K2811" s="212">
        <v>43718</v>
      </c>
      <c r="L2811" s="211" t="s">
        <v>2268</v>
      </c>
      <c r="M2811" s="216">
        <v>4615445946</v>
      </c>
      <c r="N2811" s="212"/>
      <c r="O2811" s="218"/>
      <c r="P2811" s="219"/>
      <c r="Q2811" s="34">
        <f>SUMIF(Allocation[Delivery ID],Allocation[[#This Row],[Delivery ID]],Allocation[Quantity Processed])</f>
        <v>20600</v>
      </c>
      <c r="R2811" s="61">
        <f>Allocation[[#This Row],[Total volume used]]/VLOOKUP(Allocation[[#This Row],[Delivery ID]],Delivery[[Delivery ID]:[Quantity delivered]],3,FALSE)</f>
        <v>0.64375000000000004</v>
      </c>
      <c r="S2811" s="34">
        <f>Allocation[[#This Row],[Quantity Processed]]/Allocation[[#This Row],[Dilution rate]]</f>
        <v>5361.666666666667</v>
      </c>
      <c r="T2811" s="59">
        <f>SUMIF(Allocation[Delivery ID],Allocation[[#This Row],[Delivery ID]],Allocation[Quantity allocated])/SUMIF(Allocation[Delivery ID],Allocation[[#This Row],[Delivery ID]],Allocation[Volume available (kg)])</f>
        <v>1.2590094836670178</v>
      </c>
      <c r="U2811" s="61">
        <f>Allocation[[#This Row],[Total volume used]]/VLOOKUP(Allocation[[#This Row],[Delivery ID]],Delivery[[Delivery ID]:[Quantity delivered]],3,FALSE)</f>
        <v>0.64375000000000004</v>
      </c>
      <c r="V2811" s="34" t="e">
        <f>VLOOKUP(Allocation[[#This Row],[SAP Contract number]],Shipments[[SAP Contract number]:[Contracted container weight]],2,FALSE)</f>
        <v>#N/A</v>
      </c>
      <c r="W2811" s="34" t="e">
        <f>VLOOKUP(Allocation[[#This Row],[SAP Contract number]],Shipments[[SAP Contract number]:[AAA Premium USD]],24,FALSE)</f>
        <v>#N/A</v>
      </c>
      <c r="X2811" s="34" t="e">
        <f>VLOOKUP(Allocation[[#This Row],[SAP Contract number]],Shipments[[SAP Contract number]:[RA Premium USD]],25,FALSE)</f>
        <v>#N/A</v>
      </c>
      <c r="Y2811" s="38">
        <f>Allocation[[#This Row],[Quantity Processed]]/Allocation[[#This Row],[Quantity allocated]]</f>
        <v>2</v>
      </c>
      <c r="Z2811" s="34" t="b">
        <f>Allocation[[#This Row],[Quantity allocated]]&lt;=Allocation[[#This Row],[Quantity Processed]]</f>
        <v>1</v>
      </c>
    </row>
    <row r="2812" spans="1:26">
      <c r="A2812" s="247" t="s">
        <v>467</v>
      </c>
      <c r="B2812" s="210" t="s">
        <v>68</v>
      </c>
      <c r="C2812" s="254" t="s">
        <v>2083</v>
      </c>
      <c r="D2812" s="255">
        <v>15000</v>
      </c>
      <c r="E2812" s="211" t="s">
        <v>2256</v>
      </c>
      <c r="F2812" s="212">
        <v>43710</v>
      </c>
      <c r="G2812" s="213">
        <v>2.4</v>
      </c>
      <c r="H2812" s="256">
        <v>7500</v>
      </c>
      <c r="I2812" s="214">
        <v>1490147</v>
      </c>
      <c r="J2812" s="215">
        <v>21600</v>
      </c>
      <c r="K2812" s="212">
        <v>43718</v>
      </c>
      <c r="L2812" s="211" t="s">
        <v>2268</v>
      </c>
      <c r="M2812" s="216">
        <v>4615445946</v>
      </c>
      <c r="N2812" s="212"/>
      <c r="O2812" s="218"/>
      <c r="P2812" s="219"/>
      <c r="Q2812" s="34">
        <f>SUMIF(Allocation[Delivery ID],Allocation[[#This Row],[Delivery ID]],Allocation[Quantity Processed])</f>
        <v>19720</v>
      </c>
      <c r="R2812" s="61">
        <f>Allocation[[#This Row],[Total volume used]]/VLOOKUP(Allocation[[#This Row],[Delivery ID]],Delivery[[Delivery ID]:[Quantity delivered]],3,FALSE)</f>
        <v>0.61702127659574468</v>
      </c>
      <c r="S2812" s="34">
        <f>Allocation[[#This Row],[Quantity Processed]]/Allocation[[#This Row],[Dilution rate]]</f>
        <v>6250</v>
      </c>
      <c r="T2812" s="59">
        <f>SUMIF(Allocation[Delivery ID],Allocation[[#This Row],[Delivery ID]],Allocation[Quantity allocated])/SUMIF(Allocation[Delivery ID],Allocation[[#This Row],[Delivery ID]],Allocation[Volume available (kg)])</f>
        <v>1.2516524403589406</v>
      </c>
      <c r="U2812" s="61">
        <f>Allocation[[#This Row],[Total volume used]]/VLOOKUP(Allocation[[#This Row],[Delivery ID]],Delivery[[Delivery ID]:[Quantity delivered]],3,FALSE)</f>
        <v>0.61702127659574468</v>
      </c>
      <c r="V2812" s="34" t="e">
        <f>VLOOKUP(Allocation[[#This Row],[SAP Contract number]],Shipments[[SAP Contract number]:[Contracted container weight]],2,FALSE)</f>
        <v>#N/A</v>
      </c>
      <c r="W2812" s="34" t="e">
        <f>VLOOKUP(Allocation[[#This Row],[SAP Contract number]],Shipments[[SAP Contract number]:[AAA Premium USD]],24,FALSE)</f>
        <v>#N/A</v>
      </c>
      <c r="X2812" s="34" t="e">
        <f>VLOOKUP(Allocation[[#This Row],[SAP Contract number]],Shipments[[SAP Contract number]:[RA Premium USD]],25,FALSE)</f>
        <v>#N/A</v>
      </c>
      <c r="Y2812" s="38">
        <f>Allocation[[#This Row],[Quantity Processed]]/Allocation[[#This Row],[Quantity allocated]]</f>
        <v>2</v>
      </c>
      <c r="Z2812" s="34" t="b">
        <f>Allocation[[#This Row],[Quantity allocated]]&lt;=Allocation[[#This Row],[Quantity Processed]]</f>
        <v>1</v>
      </c>
    </row>
    <row r="2813" spans="1:26">
      <c r="A2813" s="247" t="s">
        <v>467</v>
      </c>
      <c r="B2813" s="210" t="s">
        <v>68</v>
      </c>
      <c r="C2813" s="254" t="s">
        <v>2084</v>
      </c>
      <c r="D2813" s="255">
        <v>15332</v>
      </c>
      <c r="E2813" s="211" t="s">
        <v>2256</v>
      </c>
      <c r="F2813" s="212">
        <v>43710</v>
      </c>
      <c r="G2813" s="213">
        <v>2.4</v>
      </c>
      <c r="H2813" s="256">
        <v>7666</v>
      </c>
      <c r="I2813" s="214">
        <v>1490147</v>
      </c>
      <c r="J2813" s="215">
        <v>21600</v>
      </c>
      <c r="K2813" s="212">
        <v>43718</v>
      </c>
      <c r="L2813" s="211" t="s">
        <v>2268</v>
      </c>
      <c r="M2813" s="216">
        <v>4615445946</v>
      </c>
      <c r="N2813" s="212"/>
      <c r="O2813" s="218"/>
      <c r="P2813" s="219"/>
      <c r="Q2813" s="34">
        <f>SUMIF(Allocation[Delivery ID],Allocation[[#This Row],[Delivery ID]],Allocation[Quantity Processed])</f>
        <v>20938</v>
      </c>
      <c r="R2813" s="61">
        <f>Allocation[[#This Row],[Total volume used]]/VLOOKUP(Allocation[[#This Row],[Delivery ID]],Delivery[[Delivery ID]:[Quantity delivered]],3,FALSE)</f>
        <v>0.65288431555971316</v>
      </c>
      <c r="S2813" s="34">
        <f>Allocation[[#This Row],[Quantity Processed]]/Allocation[[#This Row],[Dilution rate]]</f>
        <v>6388.3333333333339</v>
      </c>
      <c r="T2813" s="59">
        <f>SUMIF(Allocation[Delivery ID],Allocation[[#This Row],[Delivery ID]],Allocation[Quantity allocated])/SUMIF(Allocation[Delivery ID],Allocation[[#This Row],[Delivery ID]],Allocation[Volume available (kg)])</f>
        <v>1.2580760119619041</v>
      </c>
      <c r="U2813" s="61">
        <f>Allocation[[#This Row],[Total volume used]]/VLOOKUP(Allocation[[#This Row],[Delivery ID]],Delivery[[Delivery ID]:[Quantity delivered]],3,FALSE)</f>
        <v>0.65288431555971316</v>
      </c>
      <c r="V2813" s="34" t="e">
        <f>VLOOKUP(Allocation[[#This Row],[SAP Contract number]],Shipments[[SAP Contract number]:[Contracted container weight]],2,FALSE)</f>
        <v>#N/A</v>
      </c>
      <c r="W2813" s="34" t="e">
        <f>VLOOKUP(Allocation[[#This Row],[SAP Contract number]],Shipments[[SAP Contract number]:[AAA Premium USD]],24,FALSE)</f>
        <v>#N/A</v>
      </c>
      <c r="X2813" s="34" t="e">
        <f>VLOOKUP(Allocation[[#This Row],[SAP Contract number]],Shipments[[SAP Contract number]:[RA Premium USD]],25,FALSE)</f>
        <v>#N/A</v>
      </c>
      <c r="Y2813" s="38">
        <f>Allocation[[#This Row],[Quantity Processed]]/Allocation[[#This Row],[Quantity allocated]]</f>
        <v>2</v>
      </c>
      <c r="Z2813" s="34" t="b">
        <f>Allocation[[#This Row],[Quantity allocated]]&lt;=Allocation[[#This Row],[Quantity Processed]]</f>
        <v>1</v>
      </c>
    </row>
    <row r="2814" spans="1:26">
      <c r="A2814" s="247" t="s">
        <v>467</v>
      </c>
      <c r="B2814" s="210" t="s">
        <v>68</v>
      </c>
      <c r="C2814" s="254" t="s">
        <v>2227</v>
      </c>
      <c r="D2814" s="255">
        <v>15106</v>
      </c>
      <c r="E2814" s="211" t="s">
        <v>2269</v>
      </c>
      <c r="F2814" s="212">
        <v>43773</v>
      </c>
      <c r="G2814" s="213">
        <v>3</v>
      </c>
      <c r="H2814" s="256">
        <v>5136</v>
      </c>
      <c r="I2814" s="214">
        <v>1512006</v>
      </c>
      <c r="J2814" s="215">
        <v>19175</v>
      </c>
      <c r="K2814" s="212">
        <v>43783</v>
      </c>
      <c r="L2814" s="211" t="s">
        <v>2270</v>
      </c>
      <c r="M2814" s="216">
        <v>4615559741</v>
      </c>
      <c r="N2814" s="212"/>
      <c r="O2814" s="218"/>
      <c r="P2814" s="219"/>
      <c r="Q2814" s="34">
        <f>SUMIF(Allocation[Delivery ID],Allocation[[#This Row],[Delivery ID]],Allocation[Quantity Processed])</f>
        <v>15106</v>
      </c>
      <c r="R2814" s="61">
        <f>Allocation[[#This Row],[Total volume used]]/VLOOKUP(Allocation[[#This Row],[Delivery ID]],Delivery[[Delivery ID]:[Quantity delivered]],3,FALSE)</f>
        <v>0.49285481239804241</v>
      </c>
      <c r="S2814" s="34">
        <f>Allocation[[#This Row],[Quantity Processed]]/Allocation[[#This Row],[Dilution rate]]</f>
        <v>5035.333333333333</v>
      </c>
      <c r="T2814" s="59">
        <f>SUMIF(Allocation[Delivery ID],Allocation[[#This Row],[Delivery ID]],Allocation[Quantity allocated])/SUMIF(Allocation[Delivery ID],Allocation[[#This Row],[Delivery ID]],Allocation[Volume available (kg)])</f>
        <v>1.0199920561366345</v>
      </c>
      <c r="U2814" s="61">
        <f>Allocation[[#This Row],[Total volume used]]/VLOOKUP(Allocation[[#This Row],[Delivery ID]],Delivery[[Delivery ID]:[Quantity delivered]],3,FALSE)</f>
        <v>0.49285481239804241</v>
      </c>
      <c r="V2814" s="34" t="e">
        <f>VLOOKUP(Allocation[[#This Row],[SAP Contract number]],Shipments[[SAP Contract number]:[Contracted container weight]],2,FALSE)</f>
        <v>#N/A</v>
      </c>
      <c r="W2814" s="34" t="e">
        <f>VLOOKUP(Allocation[[#This Row],[SAP Contract number]],Shipments[[SAP Contract number]:[AAA Premium USD]],24,FALSE)</f>
        <v>#N/A</v>
      </c>
      <c r="X2814" s="34" t="e">
        <f>VLOOKUP(Allocation[[#This Row],[SAP Contract number]],Shipments[[SAP Contract number]:[RA Premium USD]],25,FALSE)</f>
        <v>#N/A</v>
      </c>
      <c r="Y2814" s="38">
        <f>Allocation[[#This Row],[Quantity Processed]]/Allocation[[#This Row],[Quantity allocated]]</f>
        <v>2.9411993769470404</v>
      </c>
      <c r="Z2814" s="34" t="b">
        <f>Allocation[[#This Row],[Quantity allocated]]&lt;=Allocation[[#This Row],[Quantity Processed]]</f>
        <v>1</v>
      </c>
    </row>
    <row r="2815" spans="1:26">
      <c r="A2815" s="247" t="s">
        <v>467</v>
      </c>
      <c r="B2815" s="210" t="s">
        <v>68</v>
      </c>
      <c r="C2815" s="254" t="s">
        <v>2228</v>
      </c>
      <c r="D2815" s="255">
        <v>14597</v>
      </c>
      <c r="E2815" s="211" t="s">
        <v>2269</v>
      </c>
      <c r="F2815" s="212">
        <v>43773</v>
      </c>
      <c r="G2815" s="213">
        <v>3</v>
      </c>
      <c r="H2815" s="256">
        <v>4963</v>
      </c>
      <c r="I2815" s="214">
        <v>1512006</v>
      </c>
      <c r="J2815" s="215">
        <v>19175</v>
      </c>
      <c r="K2815" s="212">
        <v>43783</v>
      </c>
      <c r="L2815" s="211" t="s">
        <v>2270</v>
      </c>
      <c r="M2815" s="216">
        <v>4615559741</v>
      </c>
      <c r="N2815" s="212"/>
      <c r="O2815" s="218"/>
      <c r="P2815" s="219"/>
      <c r="Q2815" s="34">
        <f>SUMIF(Allocation[Delivery ID],Allocation[[#This Row],[Delivery ID]],Allocation[Quantity Processed])</f>
        <v>14597</v>
      </c>
      <c r="R2815" s="61">
        <f>Allocation[[#This Row],[Total volume used]]/VLOOKUP(Allocation[[#This Row],[Delivery ID]],Delivery[[Delivery ID]:[Quantity delivered]],3,FALSE)</f>
        <v>0.49280891289669143</v>
      </c>
      <c r="S2815" s="34">
        <f>Allocation[[#This Row],[Quantity Processed]]/Allocation[[#This Row],[Dilution rate]]</f>
        <v>4865.666666666667</v>
      </c>
      <c r="T2815" s="59">
        <f>SUMIF(Allocation[Delivery ID],Allocation[[#This Row],[Delivery ID]],Allocation[Quantity allocated])/SUMIF(Allocation[Delivery ID],Allocation[[#This Row],[Delivery ID]],Allocation[Volume available (kg)])</f>
        <v>1.0200041104336506</v>
      </c>
      <c r="U2815" s="61">
        <f>Allocation[[#This Row],[Total volume used]]/VLOOKUP(Allocation[[#This Row],[Delivery ID]],Delivery[[Delivery ID]:[Quantity delivered]],3,FALSE)</f>
        <v>0.49280891289669143</v>
      </c>
      <c r="V2815" s="34" t="e">
        <f>VLOOKUP(Allocation[[#This Row],[SAP Contract number]],Shipments[[SAP Contract number]:[Contracted container weight]],2,FALSE)</f>
        <v>#N/A</v>
      </c>
      <c r="W2815" s="34" t="e">
        <f>VLOOKUP(Allocation[[#This Row],[SAP Contract number]],Shipments[[SAP Contract number]:[AAA Premium USD]],24,FALSE)</f>
        <v>#N/A</v>
      </c>
      <c r="X2815" s="34" t="e">
        <f>VLOOKUP(Allocation[[#This Row],[SAP Contract number]],Shipments[[SAP Contract number]:[RA Premium USD]],25,FALSE)</f>
        <v>#N/A</v>
      </c>
      <c r="Y2815" s="38">
        <f>Allocation[[#This Row],[Quantity Processed]]/Allocation[[#This Row],[Quantity allocated]]</f>
        <v>2.9411646181744913</v>
      </c>
      <c r="Z2815" s="34" t="b">
        <f>Allocation[[#This Row],[Quantity allocated]]&lt;=Allocation[[#This Row],[Quantity Processed]]</f>
        <v>1</v>
      </c>
    </row>
    <row r="2816" spans="1:26">
      <c r="A2816" s="247" t="s">
        <v>467</v>
      </c>
      <c r="B2816" s="210" t="s">
        <v>68</v>
      </c>
      <c r="C2816" s="254" t="s">
        <v>2229</v>
      </c>
      <c r="D2816" s="255">
        <v>21427</v>
      </c>
      <c r="E2816" s="211" t="s">
        <v>2269</v>
      </c>
      <c r="F2816" s="212">
        <v>43773</v>
      </c>
      <c r="G2816" s="213">
        <v>3</v>
      </c>
      <c r="H2816" s="256">
        <v>7071</v>
      </c>
      <c r="I2816" s="214">
        <v>1512006</v>
      </c>
      <c r="J2816" s="215">
        <v>19175</v>
      </c>
      <c r="K2816" s="212">
        <v>43783</v>
      </c>
      <c r="L2816" s="211" t="s">
        <v>2270</v>
      </c>
      <c r="M2816" s="216">
        <v>4615559741</v>
      </c>
      <c r="N2816" s="212"/>
      <c r="O2816" s="218"/>
      <c r="P2816" s="219"/>
      <c r="Q2816" s="34">
        <f>SUMIF(Allocation[Delivery ID],Allocation[[#This Row],[Delivery ID]],Allocation[Quantity Processed])</f>
        <v>21427</v>
      </c>
      <c r="R2816" s="61">
        <f>Allocation[[#This Row],[Total volume used]]/VLOOKUP(Allocation[[#This Row],[Delivery ID]],Delivery[[Delivery ID]:[Quantity delivered]],3,FALSE)</f>
        <v>0.71375749500333108</v>
      </c>
      <c r="S2816" s="34">
        <f>Allocation[[#This Row],[Quantity Processed]]/Allocation[[#This Row],[Dilution rate]]</f>
        <v>7142.333333333333</v>
      </c>
      <c r="T2816" s="59">
        <f>SUMIF(Allocation[Delivery ID],Allocation[[#This Row],[Delivery ID]],Allocation[Quantity allocated])/SUMIF(Allocation[Delivery ID],Allocation[[#This Row],[Delivery ID]],Allocation[Volume available (kg)])</f>
        <v>0.99001260092406784</v>
      </c>
      <c r="U2816" s="61">
        <f>Allocation[[#This Row],[Total volume used]]/VLOOKUP(Allocation[[#This Row],[Delivery ID]],Delivery[[Delivery ID]:[Quantity delivered]],3,FALSE)</f>
        <v>0.71375749500333108</v>
      </c>
      <c r="V2816" s="34" t="e">
        <f>VLOOKUP(Allocation[[#This Row],[SAP Contract number]],Shipments[[SAP Contract number]:[Contracted container weight]],2,FALSE)</f>
        <v>#N/A</v>
      </c>
      <c r="W2816" s="34" t="e">
        <f>VLOOKUP(Allocation[[#This Row],[SAP Contract number]],Shipments[[SAP Contract number]:[AAA Premium USD]],24,FALSE)</f>
        <v>#N/A</v>
      </c>
      <c r="X2816" s="34" t="e">
        <f>VLOOKUP(Allocation[[#This Row],[SAP Contract number]],Shipments[[SAP Contract number]:[RA Premium USD]],25,FALSE)</f>
        <v>#N/A</v>
      </c>
      <c r="Y2816" s="38">
        <f>Allocation[[#This Row],[Quantity Processed]]/Allocation[[#This Row],[Quantity allocated]]</f>
        <v>3.0302644604723517</v>
      </c>
      <c r="Z2816" s="34" t="b">
        <f>Allocation[[#This Row],[Quantity allocated]]&lt;=Allocation[[#This Row],[Quantity Processed]]</f>
        <v>1</v>
      </c>
    </row>
    <row r="2817" spans="1:26">
      <c r="A2817" s="247" t="s">
        <v>467</v>
      </c>
      <c r="B2817" s="210" t="s">
        <v>68</v>
      </c>
      <c r="C2817" s="254" t="s">
        <v>2230</v>
      </c>
      <c r="D2817" s="255">
        <v>6076</v>
      </c>
      <c r="E2817" s="211" t="s">
        <v>2269</v>
      </c>
      <c r="F2817" s="212">
        <v>43773</v>
      </c>
      <c r="G2817" s="213">
        <v>3</v>
      </c>
      <c r="H2817" s="256">
        <v>2005</v>
      </c>
      <c r="I2817" s="214">
        <v>1512006</v>
      </c>
      <c r="J2817" s="215">
        <v>19175</v>
      </c>
      <c r="K2817" s="212">
        <v>43783</v>
      </c>
      <c r="L2817" s="211" t="s">
        <v>2270</v>
      </c>
      <c r="M2817" s="216">
        <v>4615559741</v>
      </c>
      <c r="N2817" s="212"/>
      <c r="O2817" s="218"/>
      <c r="P2817" s="219"/>
      <c r="Q2817" s="34">
        <f>SUMIF(Allocation[Delivery ID],Allocation[[#This Row],[Delivery ID]],Allocation[Quantity Processed])</f>
        <v>21397</v>
      </c>
      <c r="R2817" s="61">
        <f>Allocation[[#This Row],[Total volume used]]/VLOOKUP(Allocation[[#This Row],[Delivery ID]],Delivery[[Delivery ID]:[Quantity delivered]],3,FALSE)</f>
        <v>0.71370913942628422</v>
      </c>
      <c r="S2817" s="34">
        <f>Allocation[[#This Row],[Quantity Processed]]/Allocation[[#This Row],[Dilution rate]]</f>
        <v>2025.3333333333333</v>
      </c>
      <c r="T2817" s="59">
        <f>SUMIF(Allocation[Delivery ID],Allocation[[#This Row],[Delivery ID]],Allocation[Quantity allocated])/SUMIF(Allocation[Delivery ID],Allocation[[#This Row],[Delivery ID]],Allocation[Volume available (kg)])</f>
        <v>0.9899985979342899</v>
      </c>
      <c r="U2817" s="61">
        <f>Allocation[[#This Row],[Total volume used]]/VLOOKUP(Allocation[[#This Row],[Delivery ID]],Delivery[[Delivery ID]:[Quantity delivered]],3,FALSE)</f>
        <v>0.71370913942628422</v>
      </c>
      <c r="V2817" s="34" t="e">
        <f>VLOOKUP(Allocation[[#This Row],[SAP Contract number]],Shipments[[SAP Contract number]:[Contracted container weight]],2,FALSE)</f>
        <v>#N/A</v>
      </c>
      <c r="W2817" s="34" t="e">
        <f>VLOOKUP(Allocation[[#This Row],[SAP Contract number]],Shipments[[SAP Contract number]:[AAA Premium USD]],24,FALSE)</f>
        <v>#N/A</v>
      </c>
      <c r="X2817" s="34" t="e">
        <f>VLOOKUP(Allocation[[#This Row],[SAP Contract number]],Shipments[[SAP Contract number]:[RA Premium USD]],25,FALSE)</f>
        <v>#N/A</v>
      </c>
      <c r="Y2817" s="38">
        <f>Allocation[[#This Row],[Quantity Processed]]/Allocation[[#This Row],[Quantity allocated]]</f>
        <v>3.030423940149626</v>
      </c>
      <c r="Z2817" s="34" t="b">
        <f>Allocation[[#This Row],[Quantity allocated]]&lt;=Allocation[[#This Row],[Quantity Processed]]</f>
        <v>1</v>
      </c>
    </row>
    <row r="2818" spans="1:26">
      <c r="A2818" s="247" t="s">
        <v>467</v>
      </c>
      <c r="B2818" s="210" t="s">
        <v>68</v>
      </c>
      <c r="C2818" s="254" t="s">
        <v>2230</v>
      </c>
      <c r="D2818" s="255">
        <v>15321</v>
      </c>
      <c r="E2818" s="211" t="s">
        <v>2269</v>
      </c>
      <c r="F2818" s="212">
        <v>43773</v>
      </c>
      <c r="G2818" s="213">
        <v>3</v>
      </c>
      <c r="H2818" s="256">
        <v>5056</v>
      </c>
      <c r="I2818" s="214">
        <v>1512007</v>
      </c>
      <c r="J2818" s="215">
        <v>19175</v>
      </c>
      <c r="K2818" s="212">
        <v>43783</v>
      </c>
      <c r="L2818" s="211" t="s">
        <v>2271</v>
      </c>
      <c r="M2818" s="216">
        <v>4615559741</v>
      </c>
      <c r="N2818" s="212"/>
      <c r="O2818" s="218"/>
      <c r="P2818" s="219"/>
      <c r="Q2818" s="34">
        <f>SUMIF(Allocation[Delivery ID],Allocation[[#This Row],[Delivery ID]],Allocation[Quantity Processed])</f>
        <v>21397</v>
      </c>
      <c r="R2818" s="61">
        <f>Allocation[[#This Row],[Total volume used]]/VLOOKUP(Allocation[[#This Row],[Delivery ID]],Delivery[[Delivery ID]:[Quantity delivered]],3,FALSE)</f>
        <v>0.71370913942628422</v>
      </c>
      <c r="S2818" s="34">
        <f>Allocation[[#This Row],[Quantity Processed]]/Allocation[[#This Row],[Dilution rate]]</f>
        <v>5107</v>
      </c>
      <c r="T2818" s="59">
        <f>SUMIF(Allocation[Delivery ID],Allocation[[#This Row],[Delivery ID]],Allocation[Quantity allocated])/SUMIF(Allocation[Delivery ID],Allocation[[#This Row],[Delivery ID]],Allocation[Volume available (kg)])</f>
        <v>0.9899985979342899</v>
      </c>
      <c r="U2818" s="61">
        <f>Allocation[[#This Row],[Total volume used]]/VLOOKUP(Allocation[[#This Row],[Delivery ID]],Delivery[[Delivery ID]:[Quantity delivered]],3,FALSE)</f>
        <v>0.71370913942628422</v>
      </c>
      <c r="V2818" s="34" t="e">
        <f>VLOOKUP(Allocation[[#This Row],[SAP Contract number]],Shipments[[SAP Contract number]:[Contracted container weight]],2,FALSE)</f>
        <v>#N/A</v>
      </c>
      <c r="W2818" s="34" t="e">
        <f>VLOOKUP(Allocation[[#This Row],[SAP Contract number]],Shipments[[SAP Contract number]:[AAA Premium USD]],24,FALSE)</f>
        <v>#N/A</v>
      </c>
      <c r="X2818" s="34" t="e">
        <f>VLOOKUP(Allocation[[#This Row],[SAP Contract number]],Shipments[[SAP Contract number]:[RA Premium USD]],25,FALSE)</f>
        <v>#N/A</v>
      </c>
      <c r="Y2818" s="38">
        <f>Allocation[[#This Row],[Quantity Processed]]/Allocation[[#This Row],[Quantity allocated]]</f>
        <v>3.0302610759493671</v>
      </c>
      <c r="Z2818" s="34" t="b">
        <f>Allocation[[#This Row],[Quantity allocated]]&lt;=Allocation[[#This Row],[Quantity Processed]]</f>
        <v>1</v>
      </c>
    </row>
    <row r="2819" spans="1:26">
      <c r="A2819" s="247" t="s">
        <v>467</v>
      </c>
      <c r="B2819" s="210" t="s">
        <v>68</v>
      </c>
      <c r="C2819" s="254" t="s">
        <v>2231</v>
      </c>
      <c r="D2819" s="255">
        <v>21382</v>
      </c>
      <c r="E2819" s="211" t="s">
        <v>2269</v>
      </c>
      <c r="F2819" s="212">
        <v>43773</v>
      </c>
      <c r="G2819" s="213">
        <v>3</v>
      </c>
      <c r="H2819" s="256">
        <v>7056</v>
      </c>
      <c r="I2819" s="214">
        <v>1512007</v>
      </c>
      <c r="J2819" s="215">
        <v>19175</v>
      </c>
      <c r="K2819" s="212">
        <v>43783</v>
      </c>
      <c r="L2819" s="211" t="s">
        <v>2271</v>
      </c>
      <c r="M2819" s="216">
        <v>4615559741</v>
      </c>
      <c r="N2819" s="212"/>
      <c r="O2819" s="218"/>
      <c r="P2819" s="219"/>
      <c r="Q2819" s="34">
        <f>SUMIF(Allocation[Delivery ID],Allocation[[#This Row],[Delivery ID]],Allocation[Quantity Processed])</f>
        <v>21382</v>
      </c>
      <c r="R2819" s="61">
        <f>Allocation[[#This Row],[Total volume used]]/VLOOKUP(Allocation[[#This Row],[Delivery ID]],Delivery[[Delivery ID]:[Quantity delivered]],3,FALSE)</f>
        <v>0.71368491321762351</v>
      </c>
      <c r="S2819" s="34">
        <f>Allocation[[#This Row],[Quantity Processed]]/Allocation[[#This Row],[Dilution rate]]</f>
        <v>7127.333333333333</v>
      </c>
      <c r="T2819" s="59">
        <f>SUMIF(Allocation[Delivery ID],Allocation[[#This Row],[Delivery ID]],Allocation[Quantity allocated])/SUMIF(Allocation[Delivery ID],Allocation[[#This Row],[Delivery ID]],Allocation[Volume available (kg)])</f>
        <v>0.98999158170423729</v>
      </c>
      <c r="U2819" s="61">
        <f>Allocation[[#This Row],[Total volume used]]/VLOOKUP(Allocation[[#This Row],[Delivery ID]],Delivery[[Delivery ID]:[Quantity delivered]],3,FALSE)</f>
        <v>0.71368491321762351</v>
      </c>
      <c r="V2819" s="34" t="e">
        <f>VLOOKUP(Allocation[[#This Row],[SAP Contract number]],Shipments[[SAP Contract number]:[Contracted container weight]],2,FALSE)</f>
        <v>#N/A</v>
      </c>
      <c r="W2819" s="34" t="e">
        <f>VLOOKUP(Allocation[[#This Row],[SAP Contract number]],Shipments[[SAP Contract number]:[AAA Premium USD]],24,FALSE)</f>
        <v>#N/A</v>
      </c>
      <c r="X2819" s="34" t="e">
        <f>VLOOKUP(Allocation[[#This Row],[SAP Contract number]],Shipments[[SAP Contract number]:[RA Premium USD]],25,FALSE)</f>
        <v>#N/A</v>
      </c>
      <c r="Y2819" s="38">
        <f>Allocation[[#This Row],[Quantity Processed]]/Allocation[[#This Row],[Quantity allocated]]</f>
        <v>3.0303287981859413</v>
      </c>
      <c r="Z2819" s="34" t="b">
        <f>Allocation[[#This Row],[Quantity allocated]]&lt;=Allocation[[#This Row],[Quantity Processed]]</f>
        <v>1</v>
      </c>
    </row>
    <row r="2820" spans="1:26">
      <c r="A2820" s="247" t="s">
        <v>467</v>
      </c>
      <c r="B2820" s="210" t="s">
        <v>68</v>
      </c>
      <c r="C2820" s="254" t="s">
        <v>2232</v>
      </c>
      <c r="D2820" s="255">
        <v>7064</v>
      </c>
      <c r="E2820" s="211" t="s">
        <v>2269</v>
      </c>
      <c r="F2820" s="212">
        <v>43773</v>
      </c>
      <c r="G2820" s="213">
        <v>3</v>
      </c>
      <c r="H2820" s="256">
        <v>2331</v>
      </c>
      <c r="I2820" s="214">
        <v>1512007</v>
      </c>
      <c r="J2820" s="215">
        <v>19175</v>
      </c>
      <c r="K2820" s="212">
        <v>43783</v>
      </c>
      <c r="L2820" s="211" t="s">
        <v>2271</v>
      </c>
      <c r="M2820" s="216">
        <v>4615559741</v>
      </c>
      <c r="N2820" s="212"/>
      <c r="O2820" s="218"/>
      <c r="P2820" s="219"/>
      <c r="Q2820" s="34">
        <f>SUMIF(Allocation[Delivery ID],Allocation[[#This Row],[Delivery ID]],Allocation[Quantity Processed])</f>
        <v>7064</v>
      </c>
      <c r="R2820" s="61">
        <f>Allocation[[#This Row],[Total volume used]]/VLOOKUP(Allocation[[#This Row],[Delivery ID]],Delivery[[Delivery ID]:[Quantity delivered]],3,FALSE)</f>
        <v>0.71382376717865803</v>
      </c>
      <c r="S2820" s="34">
        <f>Allocation[[#This Row],[Quantity Processed]]/Allocation[[#This Row],[Dilution rate]]</f>
        <v>2354.6666666666665</v>
      </c>
      <c r="T2820" s="59">
        <f>SUMIF(Allocation[Delivery ID],Allocation[[#This Row],[Delivery ID]],Allocation[Quantity allocated])/SUMIF(Allocation[Delivery ID],Allocation[[#This Row],[Delivery ID]],Allocation[Volume available (kg)])</f>
        <v>0.98994903737259354</v>
      </c>
      <c r="U2820" s="61">
        <f>Allocation[[#This Row],[Total volume used]]/VLOOKUP(Allocation[[#This Row],[Delivery ID]],Delivery[[Delivery ID]:[Quantity delivered]],3,FALSE)</f>
        <v>0.71382376717865803</v>
      </c>
      <c r="V2820" s="34" t="e">
        <f>VLOOKUP(Allocation[[#This Row],[SAP Contract number]],Shipments[[SAP Contract number]:[Contracted container weight]],2,FALSE)</f>
        <v>#N/A</v>
      </c>
      <c r="W2820" s="34" t="e">
        <f>VLOOKUP(Allocation[[#This Row],[SAP Contract number]],Shipments[[SAP Contract number]:[AAA Premium USD]],24,FALSE)</f>
        <v>#N/A</v>
      </c>
      <c r="X2820" s="34" t="e">
        <f>VLOOKUP(Allocation[[#This Row],[SAP Contract number]],Shipments[[SAP Contract number]:[RA Premium USD]],25,FALSE)</f>
        <v>#N/A</v>
      </c>
      <c r="Y2820" s="38">
        <f>Allocation[[#This Row],[Quantity Processed]]/Allocation[[#This Row],[Quantity allocated]]</f>
        <v>3.0304590304590304</v>
      </c>
      <c r="Z2820" s="34" t="b">
        <f>Allocation[[#This Row],[Quantity allocated]]&lt;=Allocation[[#This Row],[Quantity Processed]]</f>
        <v>1</v>
      </c>
    </row>
    <row r="2821" spans="1:26">
      <c r="A2821" s="247" t="s">
        <v>467</v>
      </c>
      <c r="B2821" s="210" t="s">
        <v>68</v>
      </c>
      <c r="C2821" s="254" t="s">
        <v>2233</v>
      </c>
      <c r="D2821" s="255">
        <v>14339</v>
      </c>
      <c r="E2821" s="211" t="s">
        <v>2269</v>
      </c>
      <c r="F2821" s="212">
        <v>43773</v>
      </c>
      <c r="G2821" s="213">
        <v>3</v>
      </c>
      <c r="H2821" s="256">
        <v>4732</v>
      </c>
      <c r="I2821" s="214">
        <v>1512007</v>
      </c>
      <c r="J2821" s="215">
        <v>19175</v>
      </c>
      <c r="K2821" s="212">
        <v>43783</v>
      </c>
      <c r="L2821" s="211" t="s">
        <v>2271</v>
      </c>
      <c r="M2821" s="216">
        <v>4615559741</v>
      </c>
      <c r="N2821" s="212"/>
      <c r="O2821" s="218"/>
      <c r="P2821" s="219"/>
      <c r="Q2821" s="34">
        <f>SUMIF(Allocation[Delivery ID],Allocation[[#This Row],[Delivery ID]],Allocation[Quantity Processed])</f>
        <v>14339</v>
      </c>
      <c r="R2821" s="61">
        <f>Allocation[[#This Row],[Total volume used]]/VLOOKUP(Allocation[[#This Row],[Delivery ID]],Delivery[[Delivery ID]:[Quantity delivered]],3,FALSE)</f>
        <v>0.71359609833781223</v>
      </c>
      <c r="S2821" s="34">
        <f>Allocation[[#This Row],[Quantity Processed]]/Allocation[[#This Row],[Dilution rate]]</f>
        <v>4779.666666666667</v>
      </c>
      <c r="T2821" s="59">
        <f>SUMIF(Allocation[Delivery ID],Allocation[[#This Row],[Delivery ID]],Allocation[Quantity allocated])/SUMIF(Allocation[Delivery ID],Allocation[[#This Row],[Delivery ID]],Allocation[Volume available (kg)])</f>
        <v>0.99002719854941068</v>
      </c>
      <c r="U2821" s="61">
        <f>Allocation[[#This Row],[Total volume used]]/VLOOKUP(Allocation[[#This Row],[Delivery ID]],Delivery[[Delivery ID]:[Quantity delivered]],3,FALSE)</f>
        <v>0.71359609833781223</v>
      </c>
      <c r="V2821" s="34" t="e">
        <f>VLOOKUP(Allocation[[#This Row],[SAP Contract number]],Shipments[[SAP Contract number]:[Contracted container weight]],2,FALSE)</f>
        <v>#N/A</v>
      </c>
      <c r="W2821" s="34" t="e">
        <f>VLOOKUP(Allocation[[#This Row],[SAP Contract number]],Shipments[[SAP Contract number]:[AAA Premium USD]],24,FALSE)</f>
        <v>#N/A</v>
      </c>
      <c r="X2821" s="34" t="e">
        <f>VLOOKUP(Allocation[[#This Row],[SAP Contract number]],Shipments[[SAP Contract number]:[RA Premium USD]],25,FALSE)</f>
        <v>#N/A</v>
      </c>
      <c r="Y2821" s="38">
        <f>Allocation[[#This Row],[Quantity Processed]]/Allocation[[#This Row],[Quantity allocated]]</f>
        <v>3.0302197802197801</v>
      </c>
      <c r="Z2821" s="34" t="b">
        <f>Allocation[[#This Row],[Quantity allocated]]&lt;=Allocation[[#This Row],[Quantity Processed]]</f>
        <v>1</v>
      </c>
    </row>
    <row r="2822" spans="1:26">
      <c r="A2822" s="247" t="s">
        <v>467</v>
      </c>
      <c r="B2822" s="210" t="s">
        <v>68</v>
      </c>
      <c r="C2822" s="254" t="s">
        <v>2124</v>
      </c>
      <c r="D2822" s="255">
        <v>12</v>
      </c>
      <c r="E2822" s="211" t="s">
        <v>2272</v>
      </c>
      <c r="F2822" s="212">
        <v>43797</v>
      </c>
      <c r="G2822" s="213">
        <v>2.8</v>
      </c>
      <c r="H2822" s="256">
        <v>4</v>
      </c>
      <c r="I2822" s="214">
        <v>1511304</v>
      </c>
      <c r="J2822" s="215">
        <v>19175</v>
      </c>
      <c r="K2822" s="212">
        <v>43801</v>
      </c>
      <c r="L2822" s="211" t="s">
        <v>2273</v>
      </c>
      <c r="M2822" s="216">
        <v>4615551656</v>
      </c>
      <c r="N2822" s="212"/>
      <c r="O2822" s="218"/>
      <c r="P2822" s="219"/>
      <c r="Q2822" s="34">
        <f>SUMIF(Allocation[Delivery ID],Allocation[[#This Row],[Delivery ID]],Allocation[Quantity Processed])</f>
        <v>12</v>
      </c>
      <c r="R2822" s="61">
        <f>Allocation[[#This Row],[Total volume used]]/VLOOKUP(Allocation[[#This Row],[Delivery ID]],Delivery[[Delivery ID]:[Quantity delivered]],3,FALSE)</f>
        <v>4.5373766400725978E-4</v>
      </c>
      <c r="S2822" s="34">
        <f>Allocation[[#This Row],[Quantity Processed]]/Allocation[[#This Row],[Dilution rate]]</f>
        <v>4.2857142857142856</v>
      </c>
      <c r="T2822" s="59">
        <f>SUMIF(Allocation[Delivery ID],Allocation[[#This Row],[Delivery ID]],Allocation[Quantity allocated])/SUMIF(Allocation[Delivery ID],Allocation[[#This Row],[Delivery ID]],Allocation[Volume available (kg)])</f>
        <v>0.93333333333333335</v>
      </c>
      <c r="U2822" s="61">
        <f>Allocation[[#This Row],[Total volume used]]/VLOOKUP(Allocation[[#This Row],[Delivery ID]],Delivery[[Delivery ID]:[Quantity delivered]],3,FALSE)</f>
        <v>4.5373766400725978E-4</v>
      </c>
      <c r="V2822" s="34" t="e">
        <f>VLOOKUP(Allocation[[#This Row],[SAP Contract number]],Shipments[[SAP Contract number]:[Contracted container weight]],2,FALSE)</f>
        <v>#N/A</v>
      </c>
      <c r="W2822" s="34" t="e">
        <f>VLOOKUP(Allocation[[#This Row],[SAP Contract number]],Shipments[[SAP Contract number]:[AAA Premium USD]],24,FALSE)</f>
        <v>#N/A</v>
      </c>
      <c r="X2822" s="34" t="e">
        <f>VLOOKUP(Allocation[[#This Row],[SAP Contract number]],Shipments[[SAP Contract number]:[RA Premium USD]],25,FALSE)</f>
        <v>#N/A</v>
      </c>
      <c r="Y2822" s="38">
        <f>Allocation[[#This Row],[Quantity Processed]]/Allocation[[#This Row],[Quantity allocated]]</f>
        <v>3</v>
      </c>
      <c r="Z2822" s="34" t="b">
        <f>Allocation[[#This Row],[Quantity allocated]]&lt;=Allocation[[#This Row],[Quantity Processed]]</f>
        <v>1</v>
      </c>
    </row>
    <row r="2823" spans="1:26">
      <c r="A2823" s="247" t="s">
        <v>467</v>
      </c>
      <c r="B2823" s="210" t="s">
        <v>68</v>
      </c>
      <c r="C2823" s="254" t="s">
        <v>2126</v>
      </c>
      <c r="D2823" s="255">
        <v>173</v>
      </c>
      <c r="E2823" s="211" t="s">
        <v>2272</v>
      </c>
      <c r="F2823" s="212">
        <v>43797</v>
      </c>
      <c r="G2823" s="213">
        <v>2.8</v>
      </c>
      <c r="H2823" s="256">
        <v>57</v>
      </c>
      <c r="I2823" s="214">
        <v>1511304</v>
      </c>
      <c r="J2823" s="215">
        <v>19175</v>
      </c>
      <c r="K2823" s="212">
        <v>43801</v>
      </c>
      <c r="L2823" s="211" t="s">
        <v>2273</v>
      </c>
      <c r="M2823" s="216">
        <v>4615551656</v>
      </c>
      <c r="N2823" s="212"/>
      <c r="O2823" s="218"/>
      <c r="P2823" s="219"/>
      <c r="Q2823" s="34">
        <f>SUMIF(Allocation[Delivery ID],Allocation[[#This Row],[Delivery ID]],Allocation[Quantity Processed])</f>
        <v>173</v>
      </c>
      <c r="R2823" s="61">
        <f>Allocation[[#This Row],[Total volume used]]/VLOOKUP(Allocation[[#This Row],[Delivery ID]],Delivery[[Delivery ID]:[Quantity delivered]],3,FALSE)</f>
        <v>4.9147657460713837E-4</v>
      </c>
      <c r="S2823" s="34">
        <f>Allocation[[#This Row],[Quantity Processed]]/Allocation[[#This Row],[Dilution rate]]</f>
        <v>61.785714285714292</v>
      </c>
      <c r="T2823" s="59">
        <f>SUMIF(Allocation[Delivery ID],Allocation[[#This Row],[Delivery ID]],Allocation[Quantity allocated])/SUMIF(Allocation[Delivery ID],Allocation[[#This Row],[Delivery ID]],Allocation[Volume available (kg)])</f>
        <v>0.92254335260115594</v>
      </c>
      <c r="U2823" s="61">
        <f>Allocation[[#This Row],[Total volume used]]/VLOOKUP(Allocation[[#This Row],[Delivery ID]],Delivery[[Delivery ID]:[Quantity delivered]],3,FALSE)</f>
        <v>4.9147657460713837E-4</v>
      </c>
      <c r="V2823" s="34" t="e">
        <f>VLOOKUP(Allocation[[#This Row],[SAP Contract number]],Shipments[[SAP Contract number]:[Contracted container weight]],2,FALSE)</f>
        <v>#N/A</v>
      </c>
      <c r="W2823" s="34" t="e">
        <f>VLOOKUP(Allocation[[#This Row],[SAP Contract number]],Shipments[[SAP Contract number]:[AAA Premium USD]],24,FALSE)</f>
        <v>#N/A</v>
      </c>
      <c r="X2823" s="34" t="e">
        <f>VLOOKUP(Allocation[[#This Row],[SAP Contract number]],Shipments[[SAP Contract number]:[RA Premium USD]],25,FALSE)</f>
        <v>#N/A</v>
      </c>
      <c r="Y2823" s="38">
        <f>Allocation[[#This Row],[Quantity Processed]]/Allocation[[#This Row],[Quantity allocated]]</f>
        <v>3.0350877192982457</v>
      </c>
      <c r="Z2823" s="34" t="b">
        <f>Allocation[[#This Row],[Quantity allocated]]&lt;=Allocation[[#This Row],[Quantity Processed]]</f>
        <v>1</v>
      </c>
    </row>
    <row r="2824" spans="1:26">
      <c r="A2824" s="247" t="s">
        <v>467</v>
      </c>
      <c r="B2824" s="210" t="s">
        <v>68</v>
      </c>
      <c r="C2824" s="254" t="s">
        <v>1434</v>
      </c>
      <c r="D2824" s="255">
        <v>3185</v>
      </c>
      <c r="E2824" s="211" t="s">
        <v>2272</v>
      </c>
      <c r="F2824" s="212">
        <v>43797</v>
      </c>
      <c r="G2824" s="213">
        <v>2.8</v>
      </c>
      <c r="H2824" s="256">
        <v>1051</v>
      </c>
      <c r="I2824" s="214">
        <v>1511304</v>
      </c>
      <c r="J2824" s="215">
        <v>19175</v>
      </c>
      <c r="K2824" s="212">
        <v>43801</v>
      </c>
      <c r="L2824" s="211" t="s">
        <v>2273</v>
      </c>
      <c r="M2824" s="216">
        <v>4615551656</v>
      </c>
      <c r="N2824" s="212"/>
      <c r="O2824" s="218"/>
      <c r="P2824" s="219"/>
      <c r="Q2824" s="34">
        <f>SUMIF(Allocation[Delivery ID],Allocation[[#This Row],[Delivery ID]],Allocation[Quantity Processed])</f>
        <v>7930</v>
      </c>
      <c r="R2824" s="61">
        <f>Allocation[[#This Row],[Total volume used]]/VLOOKUP(Allocation[[#This Row],[Delivery ID]],Delivery[[Delivery ID]:[Quantity delivered]],3,FALSE)</f>
        <v>0.39276869737493808</v>
      </c>
      <c r="S2824" s="34">
        <f>Allocation[[#This Row],[Quantity Processed]]/Allocation[[#This Row],[Dilution rate]]</f>
        <v>1137.5</v>
      </c>
      <c r="T2824" s="59">
        <f>SUMIF(Allocation[Delivery ID],Allocation[[#This Row],[Delivery ID]],Allocation[Quantity allocated])/SUMIF(Allocation[Delivery ID],Allocation[[#This Row],[Delivery ID]],Allocation[Volume available (kg)])</f>
        <v>0.92403530895334163</v>
      </c>
      <c r="U2824" s="61">
        <f>Allocation[[#This Row],[Total volume used]]/VLOOKUP(Allocation[[#This Row],[Delivery ID]],Delivery[[Delivery ID]:[Quantity delivered]],3,FALSE)</f>
        <v>0.39276869737493808</v>
      </c>
      <c r="V2824" s="34" t="e">
        <f>VLOOKUP(Allocation[[#This Row],[SAP Contract number]],Shipments[[SAP Contract number]:[Contracted container weight]],2,FALSE)</f>
        <v>#N/A</v>
      </c>
      <c r="W2824" s="34" t="e">
        <f>VLOOKUP(Allocation[[#This Row],[SAP Contract number]],Shipments[[SAP Contract number]:[AAA Premium USD]],24,FALSE)</f>
        <v>#N/A</v>
      </c>
      <c r="X2824" s="34" t="e">
        <f>VLOOKUP(Allocation[[#This Row],[SAP Contract number]],Shipments[[SAP Contract number]:[RA Premium USD]],25,FALSE)</f>
        <v>#N/A</v>
      </c>
      <c r="Y2824" s="38">
        <f>Allocation[[#This Row],[Quantity Processed]]/Allocation[[#This Row],[Quantity allocated]]</f>
        <v>3.0304471931493815</v>
      </c>
      <c r="Z2824" s="34" t="b">
        <f>Allocation[[#This Row],[Quantity allocated]]&lt;=Allocation[[#This Row],[Quantity Processed]]</f>
        <v>1</v>
      </c>
    </row>
    <row r="2825" spans="1:26">
      <c r="A2825" s="247" t="s">
        <v>467</v>
      </c>
      <c r="B2825" s="210" t="s">
        <v>68</v>
      </c>
      <c r="C2825" s="254" t="s">
        <v>1436</v>
      </c>
      <c r="D2825" s="255">
        <v>1539</v>
      </c>
      <c r="E2825" s="211" t="s">
        <v>2272</v>
      </c>
      <c r="F2825" s="212">
        <v>43797</v>
      </c>
      <c r="G2825" s="213">
        <v>2.8</v>
      </c>
      <c r="H2825" s="256">
        <v>508</v>
      </c>
      <c r="I2825" s="214">
        <v>1511304</v>
      </c>
      <c r="J2825" s="215">
        <v>19175</v>
      </c>
      <c r="K2825" s="212">
        <v>43801</v>
      </c>
      <c r="L2825" s="211" t="s">
        <v>2273</v>
      </c>
      <c r="M2825" s="216">
        <v>4615551656</v>
      </c>
      <c r="N2825" s="212"/>
      <c r="O2825" s="218"/>
      <c r="P2825" s="219"/>
      <c r="Q2825" s="34">
        <f>SUMIF(Allocation[Delivery ID],Allocation[[#This Row],[Delivery ID]],Allocation[Quantity Processed])</f>
        <v>3833</v>
      </c>
      <c r="R2825" s="61">
        <f>Allocation[[#This Row],[Total volume used]]/VLOOKUP(Allocation[[#This Row],[Delivery ID]],Delivery[[Delivery ID]:[Quantity delivered]],3,FALSE)</f>
        <v>0.24970684039087948</v>
      </c>
      <c r="S2825" s="34">
        <f>Allocation[[#This Row],[Quantity Processed]]/Allocation[[#This Row],[Dilution rate]]</f>
        <v>549.64285714285722</v>
      </c>
      <c r="T2825" s="59">
        <f>SUMIF(Allocation[Delivery ID],Allocation[[#This Row],[Delivery ID]],Allocation[Quantity allocated])/SUMIF(Allocation[Delivery ID],Allocation[[#This Row],[Delivery ID]],Allocation[Volume available (kg)])</f>
        <v>0.92408035481346196</v>
      </c>
      <c r="U2825" s="61">
        <f>Allocation[[#This Row],[Total volume used]]/VLOOKUP(Allocation[[#This Row],[Delivery ID]],Delivery[[Delivery ID]:[Quantity delivered]],3,FALSE)</f>
        <v>0.24970684039087948</v>
      </c>
      <c r="V2825" s="34" t="e">
        <f>VLOOKUP(Allocation[[#This Row],[SAP Contract number]],Shipments[[SAP Contract number]:[Contracted container weight]],2,FALSE)</f>
        <v>#N/A</v>
      </c>
      <c r="W2825" s="34" t="e">
        <f>VLOOKUP(Allocation[[#This Row],[SAP Contract number]],Shipments[[SAP Contract number]:[AAA Premium USD]],24,FALSE)</f>
        <v>#N/A</v>
      </c>
      <c r="X2825" s="34" t="e">
        <f>VLOOKUP(Allocation[[#This Row],[SAP Contract number]],Shipments[[SAP Contract number]:[RA Premium USD]],25,FALSE)</f>
        <v>#N/A</v>
      </c>
      <c r="Y2825" s="38">
        <f>Allocation[[#This Row],[Quantity Processed]]/Allocation[[#This Row],[Quantity allocated]]</f>
        <v>3.0295275590551181</v>
      </c>
      <c r="Z2825" s="34" t="b">
        <f>Allocation[[#This Row],[Quantity allocated]]&lt;=Allocation[[#This Row],[Quantity Processed]]</f>
        <v>1</v>
      </c>
    </row>
    <row r="2826" spans="1:26">
      <c r="A2826" s="247" t="s">
        <v>467</v>
      </c>
      <c r="B2826" s="210" t="s">
        <v>68</v>
      </c>
      <c r="C2826" s="254" t="s">
        <v>1524</v>
      </c>
      <c r="D2826" s="255">
        <v>2967</v>
      </c>
      <c r="E2826" s="211" t="s">
        <v>2272</v>
      </c>
      <c r="F2826" s="212">
        <v>43797</v>
      </c>
      <c r="G2826" s="213">
        <v>2.8</v>
      </c>
      <c r="H2826" s="256">
        <v>1068</v>
      </c>
      <c r="I2826" s="214">
        <v>1511304</v>
      </c>
      <c r="J2826" s="215">
        <v>19175</v>
      </c>
      <c r="K2826" s="212">
        <v>43801</v>
      </c>
      <c r="L2826" s="211" t="s">
        <v>2273</v>
      </c>
      <c r="M2826" s="216">
        <v>4615551656</v>
      </c>
      <c r="N2826" s="212"/>
      <c r="O2826" s="218"/>
      <c r="P2826" s="219"/>
      <c r="Q2826" s="34">
        <f>SUMIF(Allocation[Delivery ID],Allocation[[#This Row],[Delivery ID]],Allocation[Quantity Processed])</f>
        <v>7386</v>
      </c>
      <c r="R2826" s="61">
        <f>Allocation[[#This Row],[Total volume used]]/VLOOKUP(Allocation[[#This Row],[Delivery ID]],Delivery[[Delivery ID]:[Quantity delivered]],3,FALSE)</f>
        <v>0.3595910418695229</v>
      </c>
      <c r="S2826" s="34">
        <f>Allocation[[#This Row],[Quantity Processed]]/Allocation[[#This Row],[Dilution rate]]</f>
        <v>1059.6428571428571</v>
      </c>
      <c r="T2826" s="59">
        <f>SUMIF(Allocation[Delivery ID],Allocation[[#This Row],[Delivery ID]],Allocation[Quantity allocated])/SUMIF(Allocation[Delivery ID],Allocation[[#This Row],[Delivery ID]],Allocation[Volume available (kg)])</f>
        <v>1.0080151638234496</v>
      </c>
      <c r="U2826" s="61">
        <f>Allocation[[#This Row],[Total volume used]]/VLOOKUP(Allocation[[#This Row],[Delivery ID]],Delivery[[Delivery ID]:[Quantity delivered]],3,FALSE)</f>
        <v>0.3595910418695229</v>
      </c>
      <c r="V2826" s="34" t="e">
        <f>VLOOKUP(Allocation[[#This Row],[SAP Contract number]],Shipments[[SAP Contract number]:[Contracted container weight]],2,FALSE)</f>
        <v>#N/A</v>
      </c>
      <c r="W2826" s="34" t="e">
        <f>VLOOKUP(Allocation[[#This Row],[SAP Contract number]],Shipments[[SAP Contract number]:[AAA Premium USD]],24,FALSE)</f>
        <v>#N/A</v>
      </c>
      <c r="X2826" s="34" t="e">
        <f>VLOOKUP(Allocation[[#This Row],[SAP Contract number]],Shipments[[SAP Contract number]:[RA Premium USD]],25,FALSE)</f>
        <v>#N/A</v>
      </c>
      <c r="Y2826" s="38">
        <f>Allocation[[#This Row],[Quantity Processed]]/Allocation[[#This Row],[Quantity allocated]]</f>
        <v>2.7780898876404496</v>
      </c>
      <c r="Z2826" s="34" t="b">
        <f>Allocation[[#This Row],[Quantity allocated]]&lt;=Allocation[[#This Row],[Quantity Processed]]</f>
        <v>1</v>
      </c>
    </row>
    <row r="2827" spans="1:26">
      <c r="A2827" s="247" t="s">
        <v>467</v>
      </c>
      <c r="B2827" s="210" t="s">
        <v>68</v>
      </c>
      <c r="C2827" s="254" t="s">
        <v>1525</v>
      </c>
      <c r="D2827" s="255">
        <v>2508</v>
      </c>
      <c r="E2827" s="211" t="s">
        <v>2272</v>
      </c>
      <c r="F2827" s="212">
        <v>43797</v>
      </c>
      <c r="G2827" s="213">
        <v>2.8</v>
      </c>
      <c r="H2827" s="256">
        <v>903</v>
      </c>
      <c r="I2827" s="214">
        <v>1511304</v>
      </c>
      <c r="J2827" s="215">
        <v>19175</v>
      </c>
      <c r="K2827" s="212">
        <v>43801</v>
      </c>
      <c r="L2827" s="211" t="s">
        <v>2273</v>
      </c>
      <c r="M2827" s="216">
        <v>4615551656</v>
      </c>
      <c r="N2827" s="212"/>
      <c r="O2827" s="218"/>
      <c r="P2827" s="219"/>
      <c r="Q2827" s="34">
        <f>SUMIF(Allocation[Delivery ID],Allocation[[#This Row],[Delivery ID]],Allocation[Quantity Processed])</f>
        <v>6241</v>
      </c>
      <c r="R2827" s="61">
        <f>Allocation[[#This Row],[Total volume used]]/VLOOKUP(Allocation[[#This Row],[Delivery ID]],Delivery[[Delivery ID]:[Quantity delivered]],3,FALSE)</f>
        <v>0.35971181556195964</v>
      </c>
      <c r="S2827" s="34">
        <f>Allocation[[#This Row],[Quantity Processed]]/Allocation[[#This Row],[Dilution rate]]</f>
        <v>895.71428571428578</v>
      </c>
      <c r="T2827" s="59">
        <f>SUMIF(Allocation[Delivery ID],Allocation[[#This Row],[Delivery ID]],Allocation[Quantity allocated])/SUMIF(Allocation[Delivery ID],Allocation[[#This Row],[Delivery ID]],Allocation[Volume available (kg)])</f>
        <v>1.008107675052075</v>
      </c>
      <c r="U2827" s="61">
        <f>Allocation[[#This Row],[Total volume used]]/VLOOKUP(Allocation[[#This Row],[Delivery ID]],Delivery[[Delivery ID]:[Quantity delivered]],3,FALSE)</f>
        <v>0.35971181556195964</v>
      </c>
      <c r="V2827" s="34" t="e">
        <f>VLOOKUP(Allocation[[#This Row],[SAP Contract number]],Shipments[[SAP Contract number]:[Contracted container weight]],2,FALSE)</f>
        <v>#N/A</v>
      </c>
      <c r="W2827" s="34" t="e">
        <f>VLOOKUP(Allocation[[#This Row],[SAP Contract number]],Shipments[[SAP Contract number]:[AAA Premium USD]],24,FALSE)</f>
        <v>#N/A</v>
      </c>
      <c r="X2827" s="34" t="e">
        <f>VLOOKUP(Allocation[[#This Row],[SAP Contract number]],Shipments[[SAP Contract number]:[RA Premium USD]],25,FALSE)</f>
        <v>#N/A</v>
      </c>
      <c r="Y2827" s="38">
        <f>Allocation[[#This Row],[Quantity Processed]]/Allocation[[#This Row],[Quantity allocated]]</f>
        <v>2.7774086378737541</v>
      </c>
      <c r="Z2827" s="34" t="b">
        <f>Allocation[[#This Row],[Quantity allocated]]&lt;=Allocation[[#This Row],[Quantity Processed]]</f>
        <v>1</v>
      </c>
    </row>
    <row r="2828" spans="1:26">
      <c r="A2828" s="247" t="s">
        <v>467</v>
      </c>
      <c r="B2828" s="210" t="s">
        <v>68</v>
      </c>
      <c r="C2828" s="254" t="s">
        <v>2168</v>
      </c>
      <c r="D2828" s="255">
        <v>6</v>
      </c>
      <c r="E2828" s="211" t="s">
        <v>2272</v>
      </c>
      <c r="F2828" s="212">
        <v>43797</v>
      </c>
      <c r="G2828" s="213">
        <v>2.8</v>
      </c>
      <c r="H2828" s="256">
        <v>2</v>
      </c>
      <c r="I2828" s="214">
        <v>1511304</v>
      </c>
      <c r="J2828" s="215">
        <v>19175</v>
      </c>
      <c r="K2828" s="212">
        <v>43801</v>
      </c>
      <c r="L2828" s="211" t="s">
        <v>2273</v>
      </c>
      <c r="M2828" s="216">
        <v>4615551656</v>
      </c>
      <c r="N2828" s="212"/>
      <c r="O2828" s="218"/>
      <c r="P2828" s="219"/>
      <c r="Q2828" s="34">
        <f>SUMIF(Allocation[Delivery ID],Allocation[[#This Row],[Delivery ID]],Allocation[Quantity Processed])</f>
        <v>6</v>
      </c>
      <c r="R2828" s="61">
        <f>Allocation[[#This Row],[Total volume used]]/VLOOKUP(Allocation[[#This Row],[Delivery ID]],Delivery[[Delivery ID]:[Quantity delivered]],3,FALSE)</f>
        <v>5.7581573896353167E-4</v>
      </c>
      <c r="S2828" s="34">
        <f>Allocation[[#This Row],[Quantity Processed]]/Allocation[[#This Row],[Dilution rate]]</f>
        <v>2.1428571428571428</v>
      </c>
      <c r="T2828" s="59">
        <f>SUMIF(Allocation[Delivery ID],Allocation[[#This Row],[Delivery ID]],Allocation[Quantity allocated])/SUMIF(Allocation[Delivery ID],Allocation[[#This Row],[Delivery ID]],Allocation[Volume available (kg)])</f>
        <v>0.93333333333333335</v>
      </c>
      <c r="U2828" s="61">
        <f>Allocation[[#This Row],[Total volume used]]/VLOOKUP(Allocation[[#This Row],[Delivery ID]],Delivery[[Delivery ID]:[Quantity delivered]],3,FALSE)</f>
        <v>5.7581573896353167E-4</v>
      </c>
      <c r="V2828" s="34" t="e">
        <f>VLOOKUP(Allocation[[#This Row],[SAP Contract number]],Shipments[[SAP Contract number]:[Contracted container weight]],2,FALSE)</f>
        <v>#N/A</v>
      </c>
      <c r="W2828" s="34" t="e">
        <f>VLOOKUP(Allocation[[#This Row],[SAP Contract number]],Shipments[[SAP Contract number]:[AAA Premium USD]],24,FALSE)</f>
        <v>#N/A</v>
      </c>
      <c r="X2828" s="34" t="e">
        <f>VLOOKUP(Allocation[[#This Row],[SAP Contract number]],Shipments[[SAP Contract number]:[RA Premium USD]],25,FALSE)</f>
        <v>#N/A</v>
      </c>
      <c r="Y2828" s="38">
        <f>Allocation[[#This Row],[Quantity Processed]]/Allocation[[#This Row],[Quantity allocated]]</f>
        <v>3</v>
      </c>
      <c r="Z2828" s="34" t="b">
        <f>Allocation[[#This Row],[Quantity allocated]]&lt;=Allocation[[#This Row],[Quantity Processed]]</f>
        <v>1</v>
      </c>
    </row>
    <row r="2829" spans="1:26">
      <c r="A2829" s="247" t="s">
        <v>467</v>
      </c>
      <c r="B2829" s="210" t="s">
        <v>68</v>
      </c>
      <c r="C2829" s="254" t="s">
        <v>1526</v>
      </c>
      <c r="D2829" s="255">
        <v>2767</v>
      </c>
      <c r="E2829" s="211" t="s">
        <v>2272</v>
      </c>
      <c r="F2829" s="212">
        <v>43797</v>
      </c>
      <c r="G2829" s="213">
        <v>2.8</v>
      </c>
      <c r="H2829" s="256">
        <v>996</v>
      </c>
      <c r="I2829" s="214">
        <v>1511304</v>
      </c>
      <c r="J2829" s="215">
        <v>19175</v>
      </c>
      <c r="K2829" s="212">
        <v>43801</v>
      </c>
      <c r="L2829" s="211" t="s">
        <v>2273</v>
      </c>
      <c r="M2829" s="216">
        <v>4615551656</v>
      </c>
      <c r="N2829" s="212"/>
      <c r="O2829" s="218"/>
      <c r="P2829" s="219"/>
      <c r="Q2829" s="34">
        <f>SUMIF(Allocation[Delivery ID],Allocation[[#This Row],[Delivery ID]],Allocation[Quantity Processed])</f>
        <v>6889</v>
      </c>
      <c r="R2829" s="61">
        <f>Allocation[[#This Row],[Total volume used]]/VLOOKUP(Allocation[[#This Row],[Delivery ID]],Delivery[[Delivery ID]:[Quantity delivered]],3,FALSE)</f>
        <v>0.36049188906331764</v>
      </c>
      <c r="S2829" s="34">
        <f>Allocation[[#This Row],[Quantity Processed]]/Allocation[[#This Row],[Dilution rate]]</f>
        <v>988.21428571428578</v>
      </c>
      <c r="T2829" s="59">
        <f>SUMIF(Allocation[Delivery ID],Allocation[[#This Row],[Delivery ID]],Allocation[Quantity allocated])/SUMIF(Allocation[Delivery ID],Allocation[[#This Row],[Delivery ID]],Allocation[Volume available (kg)])</f>
        <v>1.0079837421977065</v>
      </c>
      <c r="U2829" s="61">
        <f>Allocation[[#This Row],[Total volume used]]/VLOOKUP(Allocation[[#This Row],[Delivery ID]],Delivery[[Delivery ID]:[Quantity delivered]],3,FALSE)</f>
        <v>0.36049188906331764</v>
      </c>
      <c r="V2829" s="34" t="e">
        <f>VLOOKUP(Allocation[[#This Row],[SAP Contract number]],Shipments[[SAP Contract number]:[Contracted container weight]],2,FALSE)</f>
        <v>#N/A</v>
      </c>
      <c r="W2829" s="34" t="e">
        <f>VLOOKUP(Allocation[[#This Row],[SAP Contract number]],Shipments[[SAP Contract number]:[AAA Premium USD]],24,FALSE)</f>
        <v>#N/A</v>
      </c>
      <c r="X2829" s="34" t="e">
        <f>VLOOKUP(Allocation[[#This Row],[SAP Contract number]],Shipments[[SAP Contract number]:[RA Premium USD]],25,FALSE)</f>
        <v>#N/A</v>
      </c>
      <c r="Y2829" s="38">
        <f>Allocation[[#This Row],[Quantity Processed]]/Allocation[[#This Row],[Quantity allocated]]</f>
        <v>2.7781124497991967</v>
      </c>
      <c r="Z2829" s="34" t="b">
        <f>Allocation[[#This Row],[Quantity allocated]]&lt;=Allocation[[#This Row],[Quantity Processed]]</f>
        <v>1</v>
      </c>
    </row>
    <row r="2830" spans="1:26">
      <c r="A2830" s="247" t="s">
        <v>467</v>
      </c>
      <c r="B2830" s="210" t="s">
        <v>68</v>
      </c>
      <c r="C2830" s="254" t="s">
        <v>1527</v>
      </c>
      <c r="D2830" s="255">
        <v>2761</v>
      </c>
      <c r="E2830" s="211" t="s">
        <v>2272</v>
      </c>
      <c r="F2830" s="212">
        <v>43797</v>
      </c>
      <c r="G2830" s="213">
        <v>2.8</v>
      </c>
      <c r="H2830" s="256">
        <v>994</v>
      </c>
      <c r="I2830" s="214">
        <v>1511304</v>
      </c>
      <c r="J2830" s="215">
        <v>19175</v>
      </c>
      <c r="K2830" s="212">
        <v>43801</v>
      </c>
      <c r="L2830" s="211" t="s">
        <v>2273</v>
      </c>
      <c r="M2830" s="216">
        <v>4615551656</v>
      </c>
      <c r="N2830" s="212"/>
      <c r="O2830" s="218"/>
      <c r="P2830" s="219"/>
      <c r="Q2830" s="34">
        <f>SUMIF(Allocation[Delivery ID],Allocation[[#This Row],[Delivery ID]],Allocation[Quantity Processed])</f>
        <v>6872</v>
      </c>
      <c r="R2830" s="61">
        <f>Allocation[[#This Row],[Total volume used]]/VLOOKUP(Allocation[[#This Row],[Delivery ID]],Delivery[[Delivery ID]:[Quantity delivered]],3,FALSE)</f>
        <v>0.36035658101730467</v>
      </c>
      <c r="S2830" s="34">
        <f>Allocation[[#This Row],[Quantity Processed]]/Allocation[[#This Row],[Dilution rate]]</f>
        <v>986.07142857142867</v>
      </c>
      <c r="T2830" s="59">
        <f>SUMIF(Allocation[Delivery ID],Allocation[[#This Row],[Delivery ID]],Allocation[Quantity allocated])/SUMIF(Allocation[Delivery ID],Allocation[[#This Row],[Delivery ID]],Allocation[Volume available (kg)])</f>
        <v>1.008032596041909</v>
      </c>
      <c r="U2830" s="61">
        <f>Allocation[[#This Row],[Total volume used]]/VLOOKUP(Allocation[[#This Row],[Delivery ID]],Delivery[[Delivery ID]:[Quantity delivered]],3,FALSE)</f>
        <v>0.36035658101730467</v>
      </c>
      <c r="V2830" s="34" t="e">
        <f>VLOOKUP(Allocation[[#This Row],[SAP Contract number]],Shipments[[SAP Contract number]:[Contracted container weight]],2,FALSE)</f>
        <v>#N/A</v>
      </c>
      <c r="W2830" s="34" t="e">
        <f>VLOOKUP(Allocation[[#This Row],[SAP Contract number]],Shipments[[SAP Contract number]:[AAA Premium USD]],24,FALSE)</f>
        <v>#N/A</v>
      </c>
      <c r="X2830" s="34" t="e">
        <f>VLOOKUP(Allocation[[#This Row],[SAP Contract number]],Shipments[[SAP Contract number]:[RA Premium USD]],25,FALSE)</f>
        <v>#N/A</v>
      </c>
      <c r="Y2830" s="38">
        <f>Allocation[[#This Row],[Quantity Processed]]/Allocation[[#This Row],[Quantity allocated]]</f>
        <v>2.777665995975855</v>
      </c>
      <c r="Z2830" s="34" t="b">
        <f>Allocation[[#This Row],[Quantity allocated]]&lt;=Allocation[[#This Row],[Quantity Processed]]</f>
        <v>1</v>
      </c>
    </row>
    <row r="2831" spans="1:26">
      <c r="A2831" s="247" t="s">
        <v>467</v>
      </c>
      <c r="B2831" s="210" t="s">
        <v>68</v>
      </c>
      <c r="C2831" s="254" t="s">
        <v>1528</v>
      </c>
      <c r="D2831" s="255">
        <v>2789</v>
      </c>
      <c r="E2831" s="211" t="s">
        <v>2272</v>
      </c>
      <c r="F2831" s="212">
        <v>43797</v>
      </c>
      <c r="G2831" s="213">
        <v>2.8</v>
      </c>
      <c r="H2831" s="256">
        <v>1004</v>
      </c>
      <c r="I2831" s="214">
        <v>1511304</v>
      </c>
      <c r="J2831" s="215">
        <v>19175</v>
      </c>
      <c r="K2831" s="212">
        <v>43801</v>
      </c>
      <c r="L2831" s="211" t="s">
        <v>2273</v>
      </c>
      <c r="M2831" s="216">
        <v>4615551656</v>
      </c>
      <c r="N2831" s="212"/>
      <c r="O2831" s="218"/>
      <c r="P2831" s="219"/>
      <c r="Q2831" s="34">
        <f>SUMIF(Allocation[Delivery ID],Allocation[[#This Row],[Delivery ID]],Allocation[Quantity Processed])</f>
        <v>6942</v>
      </c>
      <c r="R2831" s="61">
        <f>Allocation[[#This Row],[Total volume used]]/VLOOKUP(Allocation[[#This Row],[Delivery ID]],Delivery[[Delivery ID]:[Quantity delivered]],3,FALSE)</f>
        <v>0.36024909185262066</v>
      </c>
      <c r="S2831" s="34">
        <f>Allocation[[#This Row],[Quantity Processed]]/Allocation[[#This Row],[Dilution rate]]</f>
        <v>996.07142857142867</v>
      </c>
      <c r="T2831" s="59">
        <f>SUMIF(Allocation[Delivery ID],Allocation[[#This Row],[Delivery ID]],Allocation[Quantity allocated])/SUMIF(Allocation[Delivery ID],Allocation[[#This Row],[Delivery ID]],Allocation[Volume available (kg)])</f>
        <v>1.0079515989628347</v>
      </c>
      <c r="U2831" s="61">
        <f>Allocation[[#This Row],[Total volume used]]/VLOOKUP(Allocation[[#This Row],[Delivery ID]],Delivery[[Delivery ID]:[Quantity delivered]],3,FALSE)</f>
        <v>0.36024909185262066</v>
      </c>
      <c r="V2831" s="34" t="e">
        <f>VLOOKUP(Allocation[[#This Row],[SAP Contract number]],Shipments[[SAP Contract number]:[Contracted container weight]],2,FALSE)</f>
        <v>#N/A</v>
      </c>
      <c r="W2831" s="34" t="e">
        <f>VLOOKUP(Allocation[[#This Row],[SAP Contract number]],Shipments[[SAP Contract number]:[AAA Premium USD]],24,FALSE)</f>
        <v>#N/A</v>
      </c>
      <c r="X2831" s="34" t="e">
        <f>VLOOKUP(Allocation[[#This Row],[SAP Contract number]],Shipments[[SAP Contract number]:[RA Premium USD]],25,FALSE)</f>
        <v>#N/A</v>
      </c>
      <c r="Y2831" s="38">
        <f>Allocation[[#This Row],[Quantity Processed]]/Allocation[[#This Row],[Quantity allocated]]</f>
        <v>2.7778884462151394</v>
      </c>
      <c r="Z2831" s="34" t="b">
        <f>Allocation[[#This Row],[Quantity allocated]]&lt;=Allocation[[#This Row],[Quantity Processed]]</f>
        <v>1</v>
      </c>
    </row>
    <row r="2832" spans="1:26">
      <c r="A2832" s="247" t="s">
        <v>467</v>
      </c>
      <c r="B2832" s="210" t="s">
        <v>68</v>
      </c>
      <c r="C2832" s="254" t="s">
        <v>2169</v>
      </c>
      <c r="D2832" s="255">
        <v>8</v>
      </c>
      <c r="E2832" s="211" t="s">
        <v>2272</v>
      </c>
      <c r="F2832" s="212">
        <v>43797</v>
      </c>
      <c r="G2832" s="213">
        <v>2.8</v>
      </c>
      <c r="H2832" s="256">
        <v>3</v>
      </c>
      <c r="I2832" s="214">
        <v>1511304</v>
      </c>
      <c r="J2832" s="215">
        <v>19175</v>
      </c>
      <c r="K2832" s="212">
        <v>43801</v>
      </c>
      <c r="L2832" s="211" t="s">
        <v>2273</v>
      </c>
      <c r="M2832" s="216">
        <v>4615551656</v>
      </c>
      <c r="N2832" s="212"/>
      <c r="O2832" s="218"/>
      <c r="P2832" s="219"/>
      <c r="Q2832" s="34">
        <f>SUMIF(Allocation[Delivery ID],Allocation[[#This Row],[Delivery ID]],Allocation[Quantity Processed])</f>
        <v>8</v>
      </c>
      <c r="R2832" s="61">
        <f>Allocation[[#This Row],[Total volume used]]/VLOOKUP(Allocation[[#This Row],[Delivery ID]],Delivery[[Delivery ID]:[Quantity delivered]],3,FALSE)</f>
        <v>4.381161007667032E-4</v>
      </c>
      <c r="S2832" s="34">
        <f>Allocation[[#This Row],[Quantity Processed]]/Allocation[[#This Row],[Dilution rate]]</f>
        <v>2.8571428571428572</v>
      </c>
      <c r="T2832" s="59">
        <f>SUMIF(Allocation[Delivery ID],Allocation[[#This Row],[Delivery ID]],Allocation[Quantity allocated])/SUMIF(Allocation[Delivery ID],Allocation[[#This Row],[Delivery ID]],Allocation[Volume available (kg)])</f>
        <v>1.05</v>
      </c>
      <c r="U2832" s="61">
        <f>Allocation[[#This Row],[Total volume used]]/VLOOKUP(Allocation[[#This Row],[Delivery ID]],Delivery[[Delivery ID]:[Quantity delivered]],3,FALSE)</f>
        <v>4.381161007667032E-4</v>
      </c>
      <c r="V2832" s="34" t="e">
        <f>VLOOKUP(Allocation[[#This Row],[SAP Contract number]],Shipments[[SAP Contract number]:[Contracted container weight]],2,FALSE)</f>
        <v>#N/A</v>
      </c>
      <c r="W2832" s="34" t="e">
        <f>VLOOKUP(Allocation[[#This Row],[SAP Contract number]],Shipments[[SAP Contract number]:[AAA Premium USD]],24,FALSE)</f>
        <v>#N/A</v>
      </c>
      <c r="X2832" s="34" t="e">
        <f>VLOOKUP(Allocation[[#This Row],[SAP Contract number]],Shipments[[SAP Contract number]:[RA Premium USD]],25,FALSE)</f>
        <v>#N/A</v>
      </c>
      <c r="Y2832" s="38">
        <f>Allocation[[#This Row],[Quantity Processed]]/Allocation[[#This Row],[Quantity allocated]]</f>
        <v>2.6666666666666665</v>
      </c>
      <c r="Z2832" s="34" t="b">
        <f>Allocation[[#This Row],[Quantity allocated]]&lt;=Allocation[[#This Row],[Quantity Processed]]</f>
        <v>1</v>
      </c>
    </row>
    <row r="2833" spans="1:26">
      <c r="A2833" s="247" t="s">
        <v>467</v>
      </c>
      <c r="B2833" s="210" t="s">
        <v>68</v>
      </c>
      <c r="C2833" s="254" t="s">
        <v>2170</v>
      </c>
      <c r="D2833" s="255">
        <v>6</v>
      </c>
      <c r="E2833" s="211" t="s">
        <v>2272</v>
      </c>
      <c r="F2833" s="212">
        <v>43797</v>
      </c>
      <c r="G2833" s="213">
        <v>2.8</v>
      </c>
      <c r="H2833" s="256">
        <v>2</v>
      </c>
      <c r="I2833" s="214">
        <v>1511304</v>
      </c>
      <c r="J2833" s="215">
        <v>19175</v>
      </c>
      <c r="K2833" s="212">
        <v>43801</v>
      </c>
      <c r="L2833" s="211" t="s">
        <v>2273</v>
      </c>
      <c r="M2833" s="216">
        <v>4615551656</v>
      </c>
      <c r="N2833" s="212"/>
      <c r="O2833" s="218"/>
      <c r="P2833" s="219"/>
      <c r="Q2833" s="34">
        <f>SUMIF(Allocation[Delivery ID],Allocation[[#This Row],[Delivery ID]],Allocation[Quantity Processed])</f>
        <v>6</v>
      </c>
      <c r="R2833" s="61">
        <f>Allocation[[#This Row],[Total volume used]]/VLOOKUP(Allocation[[#This Row],[Delivery ID]],Delivery[[Delivery ID]:[Quantity delivered]],3,FALSE)</f>
        <v>4.5523520485584221E-4</v>
      </c>
      <c r="S2833" s="34">
        <f>Allocation[[#This Row],[Quantity Processed]]/Allocation[[#This Row],[Dilution rate]]</f>
        <v>2.1428571428571428</v>
      </c>
      <c r="T2833" s="59">
        <f>SUMIF(Allocation[Delivery ID],Allocation[[#This Row],[Delivery ID]],Allocation[Quantity allocated])/SUMIF(Allocation[Delivery ID],Allocation[[#This Row],[Delivery ID]],Allocation[Volume available (kg)])</f>
        <v>0.93333333333333335</v>
      </c>
      <c r="U2833" s="61">
        <f>Allocation[[#This Row],[Total volume used]]/VLOOKUP(Allocation[[#This Row],[Delivery ID]],Delivery[[Delivery ID]:[Quantity delivered]],3,FALSE)</f>
        <v>4.5523520485584221E-4</v>
      </c>
      <c r="V2833" s="34" t="e">
        <f>VLOOKUP(Allocation[[#This Row],[SAP Contract number]],Shipments[[SAP Contract number]:[Contracted container weight]],2,FALSE)</f>
        <v>#N/A</v>
      </c>
      <c r="W2833" s="34" t="e">
        <f>VLOOKUP(Allocation[[#This Row],[SAP Contract number]],Shipments[[SAP Contract number]:[AAA Premium USD]],24,FALSE)</f>
        <v>#N/A</v>
      </c>
      <c r="X2833" s="34" t="e">
        <f>VLOOKUP(Allocation[[#This Row],[SAP Contract number]],Shipments[[SAP Contract number]:[RA Premium USD]],25,FALSE)</f>
        <v>#N/A</v>
      </c>
      <c r="Y2833" s="38">
        <f>Allocation[[#This Row],[Quantity Processed]]/Allocation[[#This Row],[Quantity allocated]]</f>
        <v>3</v>
      </c>
      <c r="Z2833" s="34" t="b">
        <f>Allocation[[#This Row],[Quantity allocated]]&lt;=Allocation[[#This Row],[Quantity Processed]]</f>
        <v>1</v>
      </c>
    </row>
    <row r="2834" spans="1:26">
      <c r="A2834" s="247" t="s">
        <v>467</v>
      </c>
      <c r="B2834" s="210" t="s">
        <v>68</v>
      </c>
      <c r="C2834" s="254" t="s">
        <v>1530</v>
      </c>
      <c r="D2834" s="255">
        <v>1283</v>
      </c>
      <c r="E2834" s="211" t="s">
        <v>2272</v>
      </c>
      <c r="F2834" s="212">
        <v>43797</v>
      </c>
      <c r="G2834" s="213">
        <v>2.8</v>
      </c>
      <c r="H2834" s="256">
        <v>462</v>
      </c>
      <c r="I2834" s="214">
        <v>1511304</v>
      </c>
      <c r="J2834" s="215">
        <v>19175</v>
      </c>
      <c r="K2834" s="212">
        <v>43801</v>
      </c>
      <c r="L2834" s="211" t="s">
        <v>2273</v>
      </c>
      <c r="M2834" s="216">
        <v>4615551656</v>
      </c>
      <c r="N2834" s="212"/>
      <c r="O2834" s="218"/>
      <c r="P2834" s="219"/>
      <c r="Q2834" s="34">
        <f>SUMIF(Allocation[Delivery ID],Allocation[[#This Row],[Delivery ID]],Allocation[Quantity Processed])</f>
        <v>3194</v>
      </c>
      <c r="R2834" s="61">
        <f>Allocation[[#This Row],[Total volume used]]/VLOOKUP(Allocation[[#This Row],[Delivery ID]],Delivery[[Delivery ID]:[Quantity delivered]],3,FALSE)</f>
        <v>0.35968468468468467</v>
      </c>
      <c r="S2834" s="34">
        <f>Allocation[[#This Row],[Quantity Processed]]/Allocation[[#This Row],[Dilution rate]]</f>
        <v>458.21428571428572</v>
      </c>
      <c r="T2834" s="59">
        <f>SUMIF(Allocation[Delivery ID],Allocation[[#This Row],[Delivery ID]],Allocation[Quantity allocated])/SUMIF(Allocation[Delivery ID],Allocation[[#This Row],[Delivery ID]],Allocation[Volume available (kg)])</f>
        <v>1.008140262993112</v>
      </c>
      <c r="U2834" s="61">
        <f>Allocation[[#This Row],[Total volume used]]/VLOOKUP(Allocation[[#This Row],[Delivery ID]],Delivery[[Delivery ID]:[Quantity delivered]],3,FALSE)</f>
        <v>0.35968468468468467</v>
      </c>
      <c r="V2834" s="34" t="e">
        <f>VLOOKUP(Allocation[[#This Row],[SAP Contract number]],Shipments[[SAP Contract number]:[Contracted container weight]],2,FALSE)</f>
        <v>#N/A</v>
      </c>
      <c r="W2834" s="34" t="e">
        <f>VLOOKUP(Allocation[[#This Row],[SAP Contract number]],Shipments[[SAP Contract number]:[AAA Premium USD]],24,FALSE)</f>
        <v>#N/A</v>
      </c>
      <c r="X2834" s="34" t="e">
        <f>VLOOKUP(Allocation[[#This Row],[SAP Contract number]],Shipments[[SAP Contract number]:[RA Premium USD]],25,FALSE)</f>
        <v>#N/A</v>
      </c>
      <c r="Y2834" s="38">
        <f>Allocation[[#This Row],[Quantity Processed]]/Allocation[[#This Row],[Quantity allocated]]</f>
        <v>2.777056277056277</v>
      </c>
      <c r="Z2834" s="34" t="b">
        <f>Allocation[[#This Row],[Quantity allocated]]&lt;=Allocation[[#This Row],[Quantity Processed]]</f>
        <v>1</v>
      </c>
    </row>
    <row r="2835" spans="1:26">
      <c r="A2835" s="247" t="s">
        <v>467</v>
      </c>
      <c r="B2835" s="210" t="s">
        <v>68</v>
      </c>
      <c r="C2835" s="254" t="s">
        <v>1531</v>
      </c>
      <c r="D2835" s="255">
        <v>2206</v>
      </c>
      <c r="E2835" s="211" t="s">
        <v>2272</v>
      </c>
      <c r="F2835" s="212">
        <v>43797</v>
      </c>
      <c r="G2835" s="213">
        <v>2.8</v>
      </c>
      <c r="H2835" s="256">
        <v>794</v>
      </c>
      <c r="I2835" s="214">
        <v>1511304</v>
      </c>
      <c r="J2835" s="215">
        <v>19175</v>
      </c>
      <c r="K2835" s="212">
        <v>43801</v>
      </c>
      <c r="L2835" s="211" t="s">
        <v>2273</v>
      </c>
      <c r="M2835" s="216">
        <v>4615551656</v>
      </c>
      <c r="N2835" s="212"/>
      <c r="O2835" s="218"/>
      <c r="P2835" s="219"/>
      <c r="Q2835" s="34">
        <f>SUMIF(Allocation[Delivery ID],Allocation[[#This Row],[Delivery ID]],Allocation[Quantity Processed])</f>
        <v>5492</v>
      </c>
      <c r="R2835" s="61">
        <f>Allocation[[#This Row],[Total volume used]]/VLOOKUP(Allocation[[#This Row],[Delivery ID]],Delivery[[Delivery ID]:[Quantity delivered]],3,FALSE)</f>
        <v>0.36036745406824144</v>
      </c>
      <c r="S2835" s="34">
        <f>Allocation[[#This Row],[Quantity Processed]]/Allocation[[#This Row],[Dilution rate]]</f>
        <v>787.85714285714289</v>
      </c>
      <c r="T2835" s="59">
        <f>SUMIF(Allocation[Delivery ID],Allocation[[#This Row],[Delivery ID]],Allocation[Quantity allocated])/SUMIF(Allocation[Delivery ID],Allocation[[#This Row],[Delivery ID]],Allocation[Volume available (kg)])</f>
        <v>1.0079388201019663</v>
      </c>
      <c r="U2835" s="61">
        <f>Allocation[[#This Row],[Total volume used]]/VLOOKUP(Allocation[[#This Row],[Delivery ID]],Delivery[[Delivery ID]:[Quantity delivered]],3,FALSE)</f>
        <v>0.36036745406824144</v>
      </c>
      <c r="V2835" s="34" t="e">
        <f>VLOOKUP(Allocation[[#This Row],[SAP Contract number]],Shipments[[SAP Contract number]:[Contracted container weight]],2,FALSE)</f>
        <v>#N/A</v>
      </c>
      <c r="W2835" s="34" t="e">
        <f>VLOOKUP(Allocation[[#This Row],[SAP Contract number]],Shipments[[SAP Contract number]:[AAA Premium USD]],24,FALSE)</f>
        <v>#N/A</v>
      </c>
      <c r="X2835" s="34" t="e">
        <f>VLOOKUP(Allocation[[#This Row],[SAP Contract number]],Shipments[[SAP Contract number]:[RA Premium USD]],25,FALSE)</f>
        <v>#N/A</v>
      </c>
      <c r="Y2835" s="38">
        <f>Allocation[[#This Row],[Quantity Processed]]/Allocation[[#This Row],[Quantity allocated]]</f>
        <v>2.7783375314861463</v>
      </c>
      <c r="Z2835" s="34" t="b">
        <f>Allocation[[#This Row],[Quantity allocated]]&lt;=Allocation[[#This Row],[Quantity Processed]]</f>
        <v>1</v>
      </c>
    </row>
    <row r="2836" spans="1:26">
      <c r="A2836" s="247" t="s">
        <v>467</v>
      </c>
      <c r="B2836" s="210" t="s">
        <v>68</v>
      </c>
      <c r="C2836" s="254" t="s">
        <v>1532</v>
      </c>
      <c r="D2836" s="255">
        <v>1083</v>
      </c>
      <c r="E2836" s="211" t="s">
        <v>2272</v>
      </c>
      <c r="F2836" s="212">
        <v>43797</v>
      </c>
      <c r="G2836" s="213">
        <v>2.8</v>
      </c>
      <c r="H2836" s="256">
        <v>390</v>
      </c>
      <c r="I2836" s="214">
        <v>1511304</v>
      </c>
      <c r="J2836" s="215">
        <v>19175</v>
      </c>
      <c r="K2836" s="212">
        <v>43801</v>
      </c>
      <c r="L2836" s="211" t="s">
        <v>2273</v>
      </c>
      <c r="M2836" s="216">
        <v>4615551656</v>
      </c>
      <c r="N2836" s="212"/>
      <c r="O2836" s="218"/>
      <c r="P2836" s="219"/>
      <c r="Q2836" s="34">
        <f>SUMIF(Allocation[Delivery ID],Allocation[[#This Row],[Delivery ID]],Allocation[Quantity Processed])</f>
        <v>2697</v>
      </c>
      <c r="R2836" s="61">
        <f>Allocation[[#This Row],[Total volume used]]/VLOOKUP(Allocation[[#This Row],[Delivery ID]],Delivery[[Delivery ID]:[Quantity delivered]],3,FALSE)</f>
        <v>0.36104417670682731</v>
      </c>
      <c r="S2836" s="34">
        <f>Allocation[[#This Row],[Quantity Processed]]/Allocation[[#This Row],[Dilution rate]]</f>
        <v>386.78571428571433</v>
      </c>
      <c r="T2836" s="59">
        <f>SUMIF(Allocation[Delivery ID],Allocation[[#This Row],[Delivery ID]],Allocation[Quantity allocated])/SUMIF(Allocation[Delivery ID],Allocation[[#This Row],[Delivery ID]],Allocation[Volume available (kg)])</f>
        <v>1.0080830552465703</v>
      </c>
      <c r="U2836" s="61">
        <f>Allocation[[#This Row],[Total volume used]]/VLOOKUP(Allocation[[#This Row],[Delivery ID]],Delivery[[Delivery ID]:[Quantity delivered]],3,FALSE)</f>
        <v>0.36104417670682731</v>
      </c>
      <c r="V2836" s="34" t="e">
        <f>VLOOKUP(Allocation[[#This Row],[SAP Contract number]],Shipments[[SAP Contract number]:[Contracted container weight]],2,FALSE)</f>
        <v>#N/A</v>
      </c>
      <c r="W2836" s="34" t="e">
        <f>VLOOKUP(Allocation[[#This Row],[SAP Contract number]],Shipments[[SAP Contract number]:[AAA Premium USD]],24,FALSE)</f>
        <v>#N/A</v>
      </c>
      <c r="X2836" s="34" t="e">
        <f>VLOOKUP(Allocation[[#This Row],[SAP Contract number]],Shipments[[SAP Contract number]:[RA Premium USD]],25,FALSE)</f>
        <v>#N/A</v>
      </c>
      <c r="Y2836" s="38">
        <f>Allocation[[#This Row],[Quantity Processed]]/Allocation[[#This Row],[Quantity allocated]]</f>
        <v>2.7769230769230768</v>
      </c>
      <c r="Z2836" s="34" t="b">
        <f>Allocation[[#This Row],[Quantity allocated]]&lt;=Allocation[[#This Row],[Quantity Processed]]</f>
        <v>1</v>
      </c>
    </row>
    <row r="2837" spans="1:26">
      <c r="A2837" s="247" t="s">
        <v>467</v>
      </c>
      <c r="B2837" s="210" t="s">
        <v>68</v>
      </c>
      <c r="C2837" s="254" t="s">
        <v>1533</v>
      </c>
      <c r="D2837" s="255">
        <v>1606</v>
      </c>
      <c r="E2837" s="211" t="s">
        <v>2272</v>
      </c>
      <c r="F2837" s="212">
        <v>43797</v>
      </c>
      <c r="G2837" s="213">
        <v>2.8</v>
      </c>
      <c r="H2837" s="256">
        <v>578</v>
      </c>
      <c r="I2837" s="214">
        <v>1511304</v>
      </c>
      <c r="J2837" s="215">
        <v>19175</v>
      </c>
      <c r="K2837" s="212">
        <v>43801</v>
      </c>
      <c r="L2837" s="211" t="s">
        <v>2273</v>
      </c>
      <c r="M2837" s="216">
        <v>4615551656</v>
      </c>
      <c r="N2837" s="212"/>
      <c r="O2837" s="218"/>
      <c r="P2837" s="219"/>
      <c r="Q2837" s="34">
        <f>SUMIF(Allocation[Delivery ID],Allocation[[#This Row],[Delivery ID]],Allocation[Quantity Processed])</f>
        <v>3998</v>
      </c>
      <c r="R2837" s="61">
        <f>Allocation[[#This Row],[Total volume used]]/VLOOKUP(Allocation[[#This Row],[Delivery ID]],Delivery[[Delivery ID]:[Quantity delivered]],3,FALSE)</f>
        <v>0.3605049594229035</v>
      </c>
      <c r="S2837" s="34">
        <f>Allocation[[#This Row],[Quantity Processed]]/Allocation[[#This Row],[Dilution rate]]</f>
        <v>573.57142857142856</v>
      </c>
      <c r="T2837" s="59">
        <f>SUMIF(Allocation[Delivery ID],Allocation[[#This Row],[Delivery ID]],Allocation[Quantity allocated])/SUMIF(Allocation[Delivery ID],Allocation[[#This Row],[Delivery ID]],Allocation[Volume available (kg)])</f>
        <v>1.0078039019509755</v>
      </c>
      <c r="U2837" s="61">
        <f>Allocation[[#This Row],[Total volume used]]/VLOOKUP(Allocation[[#This Row],[Delivery ID]],Delivery[[Delivery ID]:[Quantity delivered]],3,FALSE)</f>
        <v>0.3605049594229035</v>
      </c>
      <c r="V2837" s="34" t="e">
        <f>VLOOKUP(Allocation[[#This Row],[SAP Contract number]],Shipments[[SAP Contract number]:[Contracted container weight]],2,FALSE)</f>
        <v>#N/A</v>
      </c>
      <c r="W2837" s="34" t="e">
        <f>VLOOKUP(Allocation[[#This Row],[SAP Contract number]],Shipments[[SAP Contract number]:[AAA Premium USD]],24,FALSE)</f>
        <v>#N/A</v>
      </c>
      <c r="X2837" s="34" t="e">
        <f>VLOOKUP(Allocation[[#This Row],[SAP Contract number]],Shipments[[SAP Contract number]:[RA Premium USD]],25,FALSE)</f>
        <v>#N/A</v>
      </c>
      <c r="Y2837" s="38">
        <f>Allocation[[#This Row],[Quantity Processed]]/Allocation[[#This Row],[Quantity allocated]]</f>
        <v>2.7785467128027683</v>
      </c>
      <c r="Z2837" s="34" t="b">
        <f>Allocation[[#This Row],[Quantity allocated]]&lt;=Allocation[[#This Row],[Quantity Processed]]</f>
        <v>1</v>
      </c>
    </row>
    <row r="2838" spans="1:26">
      <c r="A2838" s="247" t="s">
        <v>467</v>
      </c>
      <c r="B2838" s="210" t="s">
        <v>68</v>
      </c>
      <c r="C2838" s="254" t="s">
        <v>1534</v>
      </c>
      <c r="D2838" s="255">
        <v>3086</v>
      </c>
      <c r="E2838" s="211" t="s">
        <v>2272</v>
      </c>
      <c r="F2838" s="212">
        <v>43797</v>
      </c>
      <c r="G2838" s="213">
        <v>2.8</v>
      </c>
      <c r="H2838" s="256">
        <v>1111</v>
      </c>
      <c r="I2838" s="214">
        <v>1511304</v>
      </c>
      <c r="J2838" s="215">
        <v>19175</v>
      </c>
      <c r="K2838" s="212">
        <v>43801</v>
      </c>
      <c r="L2838" s="211" t="s">
        <v>2273</v>
      </c>
      <c r="M2838" s="216">
        <v>4615551656</v>
      </c>
      <c r="N2838" s="212"/>
      <c r="O2838" s="218"/>
      <c r="P2838" s="219"/>
      <c r="Q2838" s="34">
        <f>SUMIF(Allocation[Delivery ID],Allocation[[#This Row],[Delivery ID]],Allocation[Quantity Processed])</f>
        <v>7683</v>
      </c>
      <c r="R2838" s="61">
        <f>Allocation[[#This Row],[Total volume used]]/VLOOKUP(Allocation[[#This Row],[Delivery ID]],Delivery[[Delivery ID]:[Quantity delivered]],3,FALSE)</f>
        <v>0.35952269536733739</v>
      </c>
      <c r="S2838" s="34">
        <f>Allocation[[#This Row],[Quantity Processed]]/Allocation[[#This Row],[Dilution rate]]</f>
        <v>1102.1428571428571</v>
      </c>
      <c r="T2838" s="59">
        <f>SUMIF(Allocation[Delivery ID],Allocation[[#This Row],[Delivery ID]],Allocation[Quantity allocated])/SUMIF(Allocation[Delivery ID],Allocation[[#This Row],[Delivery ID]],Allocation[Volume available (kg)])</f>
        <v>1.0080437329168292</v>
      </c>
      <c r="U2838" s="61">
        <f>Allocation[[#This Row],[Total volume used]]/VLOOKUP(Allocation[[#This Row],[Delivery ID]],Delivery[[Delivery ID]:[Quantity delivered]],3,FALSE)</f>
        <v>0.35952269536733739</v>
      </c>
      <c r="V2838" s="34" t="e">
        <f>VLOOKUP(Allocation[[#This Row],[SAP Contract number]],Shipments[[SAP Contract number]:[Contracted container weight]],2,FALSE)</f>
        <v>#N/A</v>
      </c>
      <c r="W2838" s="34" t="e">
        <f>VLOOKUP(Allocation[[#This Row],[SAP Contract number]],Shipments[[SAP Contract number]:[AAA Premium USD]],24,FALSE)</f>
        <v>#N/A</v>
      </c>
      <c r="X2838" s="34" t="e">
        <f>VLOOKUP(Allocation[[#This Row],[SAP Contract number]],Shipments[[SAP Contract number]:[RA Premium USD]],25,FALSE)</f>
        <v>#N/A</v>
      </c>
      <c r="Y2838" s="38">
        <f>Allocation[[#This Row],[Quantity Processed]]/Allocation[[#This Row],[Quantity allocated]]</f>
        <v>2.7776777677767779</v>
      </c>
      <c r="Z2838" s="34" t="b">
        <f>Allocation[[#This Row],[Quantity allocated]]&lt;=Allocation[[#This Row],[Quantity Processed]]</f>
        <v>1</v>
      </c>
    </row>
    <row r="2839" spans="1:26">
      <c r="A2839" s="247" t="s">
        <v>467</v>
      </c>
      <c r="B2839" s="210" t="s">
        <v>68</v>
      </c>
      <c r="C2839" s="254" t="s">
        <v>1535</v>
      </c>
      <c r="D2839" s="255">
        <v>2811</v>
      </c>
      <c r="E2839" s="211" t="s">
        <v>2272</v>
      </c>
      <c r="F2839" s="212">
        <v>43797</v>
      </c>
      <c r="G2839" s="213">
        <v>2.8</v>
      </c>
      <c r="H2839" s="256">
        <v>1012</v>
      </c>
      <c r="I2839" s="214">
        <v>1511304</v>
      </c>
      <c r="J2839" s="215">
        <v>19175</v>
      </c>
      <c r="K2839" s="212">
        <v>43801</v>
      </c>
      <c r="L2839" s="211" t="s">
        <v>2273</v>
      </c>
      <c r="M2839" s="216">
        <v>4615551656</v>
      </c>
      <c r="N2839" s="212"/>
      <c r="O2839" s="218"/>
      <c r="P2839" s="219"/>
      <c r="Q2839" s="34">
        <f>SUMIF(Allocation[Delivery ID],Allocation[[#This Row],[Delivery ID]],Allocation[Quantity Processed])</f>
        <v>6997</v>
      </c>
      <c r="R2839" s="61">
        <f>Allocation[[#This Row],[Total volume used]]/VLOOKUP(Allocation[[#This Row],[Delivery ID]],Delivery[[Delivery ID]:[Quantity delivered]],3,FALSE)</f>
        <v>0.35974293059125961</v>
      </c>
      <c r="S2839" s="34">
        <f>Allocation[[#This Row],[Quantity Processed]]/Allocation[[#This Row],[Dilution rate]]</f>
        <v>1003.9285714285714</v>
      </c>
      <c r="T2839" s="59">
        <f>SUMIF(Allocation[Delivery ID],Allocation[[#This Row],[Delivery ID]],Allocation[Quantity allocated])/SUMIF(Allocation[Delivery ID],Allocation[[#This Row],[Delivery ID]],Allocation[Volume available (kg)])</f>
        <v>1.0080320137201657</v>
      </c>
      <c r="U2839" s="61">
        <f>Allocation[[#This Row],[Total volume used]]/VLOOKUP(Allocation[[#This Row],[Delivery ID]],Delivery[[Delivery ID]:[Quantity delivered]],3,FALSE)</f>
        <v>0.35974293059125961</v>
      </c>
      <c r="V2839" s="34" t="e">
        <f>VLOOKUP(Allocation[[#This Row],[SAP Contract number]],Shipments[[SAP Contract number]:[Contracted container weight]],2,FALSE)</f>
        <v>#N/A</v>
      </c>
      <c r="W2839" s="34" t="e">
        <f>VLOOKUP(Allocation[[#This Row],[SAP Contract number]],Shipments[[SAP Contract number]:[AAA Premium USD]],24,FALSE)</f>
        <v>#N/A</v>
      </c>
      <c r="X2839" s="34" t="e">
        <f>VLOOKUP(Allocation[[#This Row],[SAP Contract number]],Shipments[[SAP Contract number]:[RA Premium USD]],25,FALSE)</f>
        <v>#N/A</v>
      </c>
      <c r="Y2839" s="38">
        <f>Allocation[[#This Row],[Quantity Processed]]/Allocation[[#This Row],[Quantity allocated]]</f>
        <v>2.7776679841897232</v>
      </c>
      <c r="Z2839" s="34" t="b">
        <f>Allocation[[#This Row],[Quantity allocated]]&lt;=Allocation[[#This Row],[Quantity Processed]]</f>
        <v>1</v>
      </c>
    </row>
    <row r="2840" spans="1:26">
      <c r="A2840" s="247" t="s">
        <v>467</v>
      </c>
      <c r="B2840" s="210" t="s">
        <v>68</v>
      </c>
      <c r="C2840" s="254" t="s">
        <v>1536</v>
      </c>
      <c r="D2840" s="255">
        <v>3350</v>
      </c>
      <c r="E2840" s="211" t="s">
        <v>2272</v>
      </c>
      <c r="F2840" s="212">
        <v>43797</v>
      </c>
      <c r="G2840" s="213">
        <v>2.8</v>
      </c>
      <c r="H2840" s="256">
        <v>1206</v>
      </c>
      <c r="I2840" s="214">
        <v>1511304</v>
      </c>
      <c r="J2840" s="215">
        <v>19175</v>
      </c>
      <c r="K2840" s="212">
        <v>43801</v>
      </c>
      <c r="L2840" s="211" t="s">
        <v>2273</v>
      </c>
      <c r="M2840" s="216">
        <v>4615551656</v>
      </c>
      <c r="N2840" s="212"/>
      <c r="O2840" s="218"/>
      <c r="P2840" s="219"/>
      <c r="Q2840" s="34">
        <f>SUMIF(Allocation[Delivery ID],Allocation[[#This Row],[Delivery ID]],Allocation[Quantity Processed])</f>
        <v>8339</v>
      </c>
      <c r="R2840" s="61">
        <f>Allocation[[#This Row],[Total volume used]]/VLOOKUP(Allocation[[#This Row],[Delivery ID]],Delivery[[Delivery ID]:[Quantity delivered]],3,FALSE)</f>
        <v>0.35928479103834554</v>
      </c>
      <c r="S2840" s="34">
        <f>Allocation[[#This Row],[Quantity Processed]]/Allocation[[#This Row],[Dilution rate]]</f>
        <v>1196.4285714285716</v>
      </c>
      <c r="T2840" s="59">
        <f>SUMIF(Allocation[Delivery ID],Allocation[[#This Row],[Delivery ID]],Allocation[Quantity allocated])/SUMIF(Allocation[Delivery ID],Allocation[[#This Row],[Delivery ID]],Allocation[Volume available (kg)])</f>
        <v>1.0079865691329895</v>
      </c>
      <c r="U2840" s="61">
        <f>Allocation[[#This Row],[Total volume used]]/VLOOKUP(Allocation[[#This Row],[Delivery ID]],Delivery[[Delivery ID]:[Quantity delivered]],3,FALSE)</f>
        <v>0.35928479103834554</v>
      </c>
      <c r="V2840" s="34" t="e">
        <f>VLOOKUP(Allocation[[#This Row],[SAP Contract number]],Shipments[[SAP Contract number]:[Contracted container weight]],2,FALSE)</f>
        <v>#N/A</v>
      </c>
      <c r="W2840" s="34" t="e">
        <f>VLOOKUP(Allocation[[#This Row],[SAP Contract number]],Shipments[[SAP Contract number]:[AAA Premium USD]],24,FALSE)</f>
        <v>#N/A</v>
      </c>
      <c r="X2840" s="34" t="e">
        <f>VLOOKUP(Allocation[[#This Row],[SAP Contract number]],Shipments[[SAP Contract number]:[RA Premium USD]],25,FALSE)</f>
        <v>#N/A</v>
      </c>
      <c r="Y2840" s="38">
        <f>Allocation[[#This Row],[Quantity Processed]]/Allocation[[#This Row],[Quantity allocated]]</f>
        <v>2.7777777777777777</v>
      </c>
      <c r="Z2840" s="34" t="b">
        <f>Allocation[[#This Row],[Quantity allocated]]&lt;=Allocation[[#This Row],[Quantity Processed]]</f>
        <v>1</v>
      </c>
    </row>
    <row r="2841" spans="1:26">
      <c r="A2841" s="247" t="s">
        <v>467</v>
      </c>
      <c r="B2841" s="210" t="s">
        <v>68</v>
      </c>
      <c r="C2841" s="254" t="s">
        <v>1540</v>
      </c>
      <c r="D2841" s="255">
        <v>2689</v>
      </c>
      <c r="E2841" s="211" t="s">
        <v>2272</v>
      </c>
      <c r="F2841" s="212">
        <v>43797</v>
      </c>
      <c r="G2841" s="213">
        <v>2.8</v>
      </c>
      <c r="H2841" s="256">
        <v>968</v>
      </c>
      <c r="I2841" s="214">
        <v>1511304</v>
      </c>
      <c r="J2841" s="215">
        <v>19175</v>
      </c>
      <c r="K2841" s="212">
        <v>43801</v>
      </c>
      <c r="L2841" s="211" t="s">
        <v>2273</v>
      </c>
      <c r="M2841" s="216">
        <v>4615551656</v>
      </c>
      <c r="N2841" s="212"/>
      <c r="O2841" s="218"/>
      <c r="P2841" s="219"/>
      <c r="Q2841" s="34">
        <f>SUMIF(Allocation[Delivery ID],Allocation[[#This Row],[Delivery ID]],Allocation[Quantity Processed])</f>
        <v>6695</v>
      </c>
      <c r="R2841" s="61">
        <f>Allocation[[#This Row],[Total volume used]]/VLOOKUP(Allocation[[#This Row],[Delivery ID]],Delivery[[Delivery ID]:[Quantity delivered]],3,FALSE)</f>
        <v>0.35975282106394413</v>
      </c>
      <c r="S2841" s="34">
        <f>Allocation[[#This Row],[Quantity Processed]]/Allocation[[#This Row],[Dilution rate]]</f>
        <v>960.35714285714289</v>
      </c>
      <c r="T2841" s="59">
        <f>SUMIF(Allocation[Delivery ID],Allocation[[#This Row],[Delivery ID]],Allocation[Quantity allocated])/SUMIF(Allocation[Delivery ID],Allocation[[#This Row],[Delivery ID]],Allocation[Volume available (kg)])</f>
        <v>1.007916355489171</v>
      </c>
      <c r="U2841" s="61">
        <f>Allocation[[#This Row],[Total volume used]]/VLOOKUP(Allocation[[#This Row],[Delivery ID]],Delivery[[Delivery ID]:[Quantity delivered]],3,FALSE)</f>
        <v>0.35975282106394413</v>
      </c>
      <c r="V2841" s="34" t="e">
        <f>VLOOKUP(Allocation[[#This Row],[SAP Contract number]],Shipments[[SAP Contract number]:[Contracted container weight]],2,FALSE)</f>
        <v>#N/A</v>
      </c>
      <c r="W2841" s="34" t="e">
        <f>VLOOKUP(Allocation[[#This Row],[SAP Contract number]],Shipments[[SAP Contract number]:[AAA Premium USD]],24,FALSE)</f>
        <v>#N/A</v>
      </c>
      <c r="X2841" s="34" t="e">
        <f>VLOOKUP(Allocation[[#This Row],[SAP Contract number]],Shipments[[SAP Contract number]:[RA Premium USD]],25,FALSE)</f>
        <v>#N/A</v>
      </c>
      <c r="Y2841" s="38">
        <f>Allocation[[#This Row],[Quantity Processed]]/Allocation[[#This Row],[Quantity allocated]]</f>
        <v>2.7778925619834709</v>
      </c>
      <c r="Z2841" s="34" t="b">
        <f>Allocation[[#This Row],[Quantity allocated]]&lt;=Allocation[[#This Row],[Quantity Processed]]</f>
        <v>1</v>
      </c>
    </row>
    <row r="2842" spans="1:26">
      <c r="A2842" s="247" t="s">
        <v>467</v>
      </c>
      <c r="B2842" s="210" t="s">
        <v>68</v>
      </c>
      <c r="C2842" s="254" t="s">
        <v>1541</v>
      </c>
      <c r="D2842" s="255">
        <v>8</v>
      </c>
      <c r="E2842" s="211" t="s">
        <v>2272</v>
      </c>
      <c r="F2842" s="212">
        <v>43797</v>
      </c>
      <c r="G2842" s="213">
        <v>2.8</v>
      </c>
      <c r="H2842" s="256">
        <v>3</v>
      </c>
      <c r="I2842" s="214">
        <v>1511304</v>
      </c>
      <c r="J2842" s="215">
        <v>19175</v>
      </c>
      <c r="K2842" s="212">
        <v>43801</v>
      </c>
      <c r="L2842" s="211" t="s">
        <v>2273</v>
      </c>
      <c r="M2842" s="216">
        <v>4615551656</v>
      </c>
      <c r="N2842" s="212"/>
      <c r="O2842" s="218"/>
      <c r="P2842" s="219"/>
      <c r="Q2842" s="34">
        <f>SUMIF(Allocation[Delivery ID],Allocation[[#This Row],[Delivery ID]],Allocation[Quantity Processed])</f>
        <v>22</v>
      </c>
      <c r="R2842" s="61">
        <f>Allocation[[#This Row],[Total volume used]]/VLOOKUP(Allocation[[#This Row],[Delivery ID]],Delivery[[Delivery ID]:[Quantity delivered]],3,FALSE)</f>
        <v>0.44</v>
      </c>
      <c r="S2842" s="34">
        <f>Allocation[[#This Row],[Quantity Processed]]/Allocation[[#This Row],[Dilution rate]]</f>
        <v>2.8571428571428572</v>
      </c>
      <c r="T2842" s="59">
        <f>SUMIF(Allocation[Delivery ID],Allocation[[#This Row],[Delivery ID]],Allocation[Quantity allocated])/SUMIF(Allocation[Delivery ID],Allocation[[#This Row],[Delivery ID]],Allocation[Volume available (kg)])</f>
        <v>1.0181818181818181</v>
      </c>
      <c r="U2842" s="61">
        <f>Allocation[[#This Row],[Total volume used]]/VLOOKUP(Allocation[[#This Row],[Delivery ID]],Delivery[[Delivery ID]:[Quantity delivered]],3,FALSE)</f>
        <v>0.44</v>
      </c>
      <c r="V2842" s="34" t="e">
        <f>VLOOKUP(Allocation[[#This Row],[SAP Contract number]],Shipments[[SAP Contract number]:[Contracted container weight]],2,FALSE)</f>
        <v>#N/A</v>
      </c>
      <c r="W2842" s="34" t="e">
        <f>VLOOKUP(Allocation[[#This Row],[SAP Contract number]],Shipments[[SAP Contract number]:[AAA Premium USD]],24,FALSE)</f>
        <v>#N/A</v>
      </c>
      <c r="X2842" s="34" t="e">
        <f>VLOOKUP(Allocation[[#This Row],[SAP Contract number]],Shipments[[SAP Contract number]:[RA Premium USD]],25,FALSE)</f>
        <v>#N/A</v>
      </c>
      <c r="Y2842" s="38">
        <f>Allocation[[#This Row],[Quantity Processed]]/Allocation[[#This Row],[Quantity allocated]]</f>
        <v>2.6666666666666665</v>
      </c>
      <c r="Z2842" s="34" t="b">
        <f>Allocation[[#This Row],[Quantity allocated]]&lt;=Allocation[[#This Row],[Quantity Processed]]</f>
        <v>1</v>
      </c>
    </row>
    <row r="2843" spans="1:26">
      <c r="A2843" s="247" t="s">
        <v>467</v>
      </c>
      <c r="B2843" s="210" t="s">
        <v>68</v>
      </c>
      <c r="C2843" s="254" t="s">
        <v>2171</v>
      </c>
      <c r="D2843" s="255">
        <v>6</v>
      </c>
      <c r="E2843" s="211" t="s">
        <v>2272</v>
      </c>
      <c r="F2843" s="212">
        <v>43797</v>
      </c>
      <c r="G2843" s="213">
        <v>2.8</v>
      </c>
      <c r="H2843" s="256">
        <v>2</v>
      </c>
      <c r="I2843" s="214">
        <v>1511304</v>
      </c>
      <c r="J2843" s="215">
        <v>19175</v>
      </c>
      <c r="K2843" s="212">
        <v>43801</v>
      </c>
      <c r="L2843" s="211" t="s">
        <v>2273</v>
      </c>
      <c r="M2843" s="216">
        <v>4615551656</v>
      </c>
      <c r="N2843" s="212"/>
      <c r="O2843" s="218"/>
      <c r="P2843" s="219"/>
      <c r="Q2843" s="34">
        <f>SUMIF(Allocation[Delivery ID],Allocation[[#This Row],[Delivery ID]],Allocation[Quantity Processed])</f>
        <v>6</v>
      </c>
      <c r="R2843" s="61">
        <f>Allocation[[#This Row],[Total volume used]]/VLOOKUP(Allocation[[#This Row],[Delivery ID]],Delivery[[Delivery ID]:[Quantity delivered]],3,FALSE)</f>
        <v>4.0431266846361187E-4</v>
      </c>
      <c r="S2843" s="34">
        <f>Allocation[[#This Row],[Quantity Processed]]/Allocation[[#This Row],[Dilution rate]]</f>
        <v>2.1428571428571428</v>
      </c>
      <c r="T2843" s="59">
        <f>SUMIF(Allocation[Delivery ID],Allocation[[#This Row],[Delivery ID]],Allocation[Quantity allocated])/SUMIF(Allocation[Delivery ID],Allocation[[#This Row],[Delivery ID]],Allocation[Volume available (kg)])</f>
        <v>0.93333333333333335</v>
      </c>
      <c r="U2843" s="61">
        <f>Allocation[[#This Row],[Total volume used]]/VLOOKUP(Allocation[[#This Row],[Delivery ID]],Delivery[[Delivery ID]:[Quantity delivered]],3,FALSE)</f>
        <v>4.0431266846361187E-4</v>
      </c>
      <c r="V2843" s="34" t="e">
        <f>VLOOKUP(Allocation[[#This Row],[SAP Contract number]],Shipments[[SAP Contract number]:[Contracted container weight]],2,FALSE)</f>
        <v>#N/A</v>
      </c>
      <c r="W2843" s="34" t="e">
        <f>VLOOKUP(Allocation[[#This Row],[SAP Contract number]],Shipments[[SAP Contract number]:[AAA Premium USD]],24,FALSE)</f>
        <v>#N/A</v>
      </c>
      <c r="X2843" s="34" t="e">
        <f>VLOOKUP(Allocation[[#This Row],[SAP Contract number]],Shipments[[SAP Contract number]:[RA Premium USD]],25,FALSE)</f>
        <v>#N/A</v>
      </c>
      <c r="Y2843" s="38">
        <f>Allocation[[#This Row],[Quantity Processed]]/Allocation[[#This Row],[Quantity allocated]]</f>
        <v>3</v>
      </c>
      <c r="Z2843" s="34" t="b">
        <f>Allocation[[#This Row],[Quantity allocated]]&lt;=Allocation[[#This Row],[Quantity Processed]]</f>
        <v>1</v>
      </c>
    </row>
    <row r="2844" spans="1:26">
      <c r="A2844" s="247" t="s">
        <v>467</v>
      </c>
      <c r="B2844" s="210" t="s">
        <v>68</v>
      </c>
      <c r="C2844" s="254" t="s">
        <v>2172</v>
      </c>
      <c r="D2844" s="255">
        <v>6</v>
      </c>
      <c r="E2844" s="211" t="s">
        <v>2272</v>
      </c>
      <c r="F2844" s="212">
        <v>43797</v>
      </c>
      <c r="G2844" s="213">
        <v>2.8</v>
      </c>
      <c r="H2844" s="256">
        <v>2</v>
      </c>
      <c r="I2844" s="214">
        <v>1511304</v>
      </c>
      <c r="J2844" s="215">
        <v>19175</v>
      </c>
      <c r="K2844" s="212">
        <v>43801</v>
      </c>
      <c r="L2844" s="211" t="s">
        <v>2273</v>
      </c>
      <c r="M2844" s="216">
        <v>4615551656</v>
      </c>
      <c r="N2844" s="212"/>
      <c r="O2844" s="218"/>
      <c r="P2844" s="219"/>
      <c r="Q2844" s="34">
        <f>SUMIF(Allocation[Delivery ID],Allocation[[#This Row],[Delivery ID]],Allocation[Quantity Processed])</f>
        <v>6</v>
      </c>
      <c r="R2844" s="61">
        <f>Allocation[[#This Row],[Total volume used]]/VLOOKUP(Allocation[[#This Row],[Delivery ID]],Delivery[[Delivery ID]:[Quantity delivered]],3,FALSE)</f>
        <v>4.9833887043189363E-4</v>
      </c>
      <c r="S2844" s="34">
        <f>Allocation[[#This Row],[Quantity Processed]]/Allocation[[#This Row],[Dilution rate]]</f>
        <v>2.1428571428571428</v>
      </c>
      <c r="T2844" s="59">
        <f>SUMIF(Allocation[Delivery ID],Allocation[[#This Row],[Delivery ID]],Allocation[Quantity allocated])/SUMIF(Allocation[Delivery ID],Allocation[[#This Row],[Delivery ID]],Allocation[Volume available (kg)])</f>
        <v>0.93333333333333335</v>
      </c>
      <c r="U2844" s="61">
        <f>Allocation[[#This Row],[Total volume used]]/VLOOKUP(Allocation[[#This Row],[Delivery ID]],Delivery[[Delivery ID]:[Quantity delivered]],3,FALSE)</f>
        <v>4.9833887043189363E-4</v>
      </c>
      <c r="V2844" s="34" t="e">
        <f>VLOOKUP(Allocation[[#This Row],[SAP Contract number]],Shipments[[SAP Contract number]:[Contracted container weight]],2,FALSE)</f>
        <v>#N/A</v>
      </c>
      <c r="W2844" s="34" t="e">
        <f>VLOOKUP(Allocation[[#This Row],[SAP Contract number]],Shipments[[SAP Contract number]:[AAA Premium USD]],24,FALSE)</f>
        <v>#N/A</v>
      </c>
      <c r="X2844" s="34" t="e">
        <f>VLOOKUP(Allocation[[#This Row],[SAP Contract number]],Shipments[[SAP Contract number]:[RA Premium USD]],25,FALSE)</f>
        <v>#N/A</v>
      </c>
      <c r="Y2844" s="38">
        <f>Allocation[[#This Row],[Quantity Processed]]/Allocation[[#This Row],[Quantity allocated]]</f>
        <v>3</v>
      </c>
      <c r="Z2844" s="34" t="b">
        <f>Allocation[[#This Row],[Quantity allocated]]&lt;=Allocation[[#This Row],[Quantity Processed]]</f>
        <v>1</v>
      </c>
    </row>
    <row r="2845" spans="1:26">
      <c r="A2845" s="247" t="s">
        <v>467</v>
      </c>
      <c r="B2845" s="210" t="s">
        <v>68</v>
      </c>
      <c r="C2845" s="254" t="s">
        <v>2173</v>
      </c>
      <c r="D2845" s="255">
        <v>3</v>
      </c>
      <c r="E2845" s="211" t="s">
        <v>2272</v>
      </c>
      <c r="F2845" s="212">
        <v>43797</v>
      </c>
      <c r="G2845" s="213">
        <v>2.8</v>
      </c>
      <c r="H2845" s="256">
        <v>1</v>
      </c>
      <c r="I2845" s="214">
        <v>1511304</v>
      </c>
      <c r="J2845" s="215">
        <v>19175</v>
      </c>
      <c r="K2845" s="212">
        <v>43801</v>
      </c>
      <c r="L2845" s="211" t="s">
        <v>2273</v>
      </c>
      <c r="M2845" s="216">
        <v>4615551656</v>
      </c>
      <c r="N2845" s="212"/>
      <c r="O2845" s="218"/>
      <c r="P2845" s="219"/>
      <c r="Q2845" s="34">
        <f>SUMIF(Allocation[Delivery ID],Allocation[[#This Row],[Delivery ID]],Allocation[Quantity Processed])</f>
        <v>3</v>
      </c>
      <c r="R2845" s="61">
        <f>Allocation[[#This Row],[Total volume used]]/VLOOKUP(Allocation[[#This Row],[Delivery ID]],Delivery[[Delivery ID]:[Quantity delivered]],3,FALSE)</f>
        <v>5.2816901408450699E-4</v>
      </c>
      <c r="S2845" s="34">
        <f>Allocation[[#This Row],[Quantity Processed]]/Allocation[[#This Row],[Dilution rate]]</f>
        <v>1.0714285714285714</v>
      </c>
      <c r="T2845" s="59">
        <f>SUMIF(Allocation[Delivery ID],Allocation[[#This Row],[Delivery ID]],Allocation[Quantity allocated])/SUMIF(Allocation[Delivery ID],Allocation[[#This Row],[Delivery ID]],Allocation[Volume available (kg)])</f>
        <v>0.93333333333333335</v>
      </c>
      <c r="U2845" s="61">
        <f>Allocation[[#This Row],[Total volume used]]/VLOOKUP(Allocation[[#This Row],[Delivery ID]],Delivery[[Delivery ID]:[Quantity delivered]],3,FALSE)</f>
        <v>5.2816901408450699E-4</v>
      </c>
      <c r="V2845" s="34" t="e">
        <f>VLOOKUP(Allocation[[#This Row],[SAP Contract number]],Shipments[[SAP Contract number]:[Contracted container weight]],2,FALSE)</f>
        <v>#N/A</v>
      </c>
      <c r="W2845" s="34" t="e">
        <f>VLOOKUP(Allocation[[#This Row],[SAP Contract number]],Shipments[[SAP Contract number]:[AAA Premium USD]],24,FALSE)</f>
        <v>#N/A</v>
      </c>
      <c r="X2845" s="34" t="e">
        <f>VLOOKUP(Allocation[[#This Row],[SAP Contract number]],Shipments[[SAP Contract number]:[RA Premium USD]],25,FALSE)</f>
        <v>#N/A</v>
      </c>
      <c r="Y2845" s="38">
        <f>Allocation[[#This Row],[Quantity Processed]]/Allocation[[#This Row],[Quantity allocated]]</f>
        <v>3</v>
      </c>
      <c r="Z2845" s="34" t="b">
        <f>Allocation[[#This Row],[Quantity allocated]]&lt;=Allocation[[#This Row],[Quantity Processed]]</f>
        <v>1</v>
      </c>
    </row>
    <row r="2846" spans="1:26">
      <c r="A2846" s="247" t="s">
        <v>467</v>
      </c>
      <c r="B2846" s="210" t="s">
        <v>68</v>
      </c>
      <c r="C2846" s="254" t="s">
        <v>1546</v>
      </c>
      <c r="D2846" s="255">
        <v>772</v>
      </c>
      <c r="E2846" s="211" t="s">
        <v>2272</v>
      </c>
      <c r="F2846" s="212">
        <v>43797</v>
      </c>
      <c r="G2846" s="213">
        <v>2.8</v>
      </c>
      <c r="H2846" s="256">
        <v>278</v>
      </c>
      <c r="I2846" s="214">
        <v>1511304</v>
      </c>
      <c r="J2846" s="215">
        <v>19175</v>
      </c>
      <c r="K2846" s="212">
        <v>43801</v>
      </c>
      <c r="L2846" s="211" t="s">
        <v>2273</v>
      </c>
      <c r="M2846" s="216">
        <v>4615551656</v>
      </c>
      <c r="N2846" s="212"/>
      <c r="O2846" s="218"/>
      <c r="P2846" s="219"/>
      <c r="Q2846" s="34">
        <f>SUMIF(Allocation[Delivery ID],Allocation[[#This Row],[Delivery ID]],Allocation[Quantity Processed])</f>
        <v>1922</v>
      </c>
      <c r="R2846" s="61">
        <f>Allocation[[#This Row],[Total volume used]]/VLOOKUP(Allocation[[#This Row],[Delivery ID]],Delivery[[Delivery ID]:[Quantity delivered]],3,FALSE)</f>
        <v>0.35992509363295883</v>
      </c>
      <c r="S2846" s="34">
        <f>Allocation[[#This Row],[Quantity Processed]]/Allocation[[#This Row],[Dilution rate]]</f>
        <v>275.71428571428572</v>
      </c>
      <c r="T2846" s="59">
        <f>SUMIF(Allocation[Delivery ID],Allocation[[#This Row],[Delivery ID]],Allocation[Quantity allocated])/SUMIF(Allocation[Delivery ID],Allocation[[#This Row],[Delivery ID]],Allocation[Volume available (kg)])</f>
        <v>1.0081165452653487</v>
      </c>
      <c r="U2846" s="61">
        <f>Allocation[[#This Row],[Total volume used]]/VLOOKUP(Allocation[[#This Row],[Delivery ID]],Delivery[[Delivery ID]:[Quantity delivered]],3,FALSE)</f>
        <v>0.35992509363295883</v>
      </c>
      <c r="V2846" s="34" t="e">
        <f>VLOOKUP(Allocation[[#This Row],[SAP Contract number]],Shipments[[SAP Contract number]:[Contracted container weight]],2,FALSE)</f>
        <v>#N/A</v>
      </c>
      <c r="W2846" s="34" t="e">
        <f>VLOOKUP(Allocation[[#This Row],[SAP Contract number]],Shipments[[SAP Contract number]:[AAA Premium USD]],24,FALSE)</f>
        <v>#N/A</v>
      </c>
      <c r="X2846" s="34" t="e">
        <f>VLOOKUP(Allocation[[#This Row],[SAP Contract number]],Shipments[[SAP Contract number]:[RA Premium USD]],25,FALSE)</f>
        <v>#N/A</v>
      </c>
      <c r="Y2846" s="38">
        <f>Allocation[[#This Row],[Quantity Processed]]/Allocation[[#This Row],[Quantity allocated]]</f>
        <v>2.7769784172661871</v>
      </c>
      <c r="Z2846" s="34" t="b">
        <f>Allocation[[#This Row],[Quantity allocated]]&lt;=Allocation[[#This Row],[Quantity Processed]]</f>
        <v>1</v>
      </c>
    </row>
    <row r="2847" spans="1:26">
      <c r="A2847" s="247" t="s">
        <v>467</v>
      </c>
      <c r="B2847" s="210" t="s">
        <v>68</v>
      </c>
      <c r="C2847" s="254" t="s">
        <v>1547</v>
      </c>
      <c r="D2847" s="255">
        <v>2417</v>
      </c>
      <c r="E2847" s="211" t="s">
        <v>2272</v>
      </c>
      <c r="F2847" s="212">
        <v>43797</v>
      </c>
      <c r="G2847" s="213">
        <v>2.8</v>
      </c>
      <c r="H2847" s="256">
        <v>870</v>
      </c>
      <c r="I2847" s="214">
        <v>1511304</v>
      </c>
      <c r="J2847" s="215">
        <v>19175</v>
      </c>
      <c r="K2847" s="212">
        <v>43801</v>
      </c>
      <c r="L2847" s="211" t="s">
        <v>2273</v>
      </c>
      <c r="M2847" s="216">
        <v>4615551656</v>
      </c>
      <c r="N2847" s="212"/>
      <c r="O2847" s="218"/>
      <c r="P2847" s="219"/>
      <c r="Q2847" s="34">
        <f>SUMIF(Allocation[Delivery ID],Allocation[[#This Row],[Delivery ID]],Allocation[Quantity Processed])</f>
        <v>6006</v>
      </c>
      <c r="R2847" s="61">
        <f>Allocation[[#This Row],[Total volume used]]/VLOOKUP(Allocation[[#This Row],[Delivery ID]],Delivery[[Delivery ID]:[Quantity delivered]],3,FALSE)</f>
        <v>0.17174721189591077</v>
      </c>
      <c r="S2847" s="34">
        <f>Allocation[[#This Row],[Quantity Processed]]/Allocation[[#This Row],[Dilution rate]]</f>
        <v>863.21428571428578</v>
      </c>
      <c r="T2847" s="59">
        <f>SUMIF(Allocation[Delivery ID],Allocation[[#This Row],[Delivery ID]],Allocation[Quantity allocated])/SUMIF(Allocation[Delivery ID],Allocation[[#This Row],[Delivery ID]],Allocation[Volume available (kg)])</f>
        <v>1.0079254079254079</v>
      </c>
      <c r="U2847" s="61">
        <f>Allocation[[#This Row],[Total volume used]]/VLOOKUP(Allocation[[#This Row],[Delivery ID]],Delivery[[Delivery ID]:[Quantity delivered]],3,FALSE)</f>
        <v>0.17174721189591077</v>
      </c>
      <c r="V2847" s="34" t="e">
        <f>VLOOKUP(Allocation[[#This Row],[SAP Contract number]],Shipments[[SAP Contract number]:[Contracted container weight]],2,FALSE)</f>
        <v>#N/A</v>
      </c>
      <c r="W2847" s="34" t="e">
        <f>VLOOKUP(Allocation[[#This Row],[SAP Contract number]],Shipments[[SAP Contract number]:[AAA Premium USD]],24,FALSE)</f>
        <v>#N/A</v>
      </c>
      <c r="X2847" s="34" t="e">
        <f>VLOOKUP(Allocation[[#This Row],[SAP Contract number]],Shipments[[SAP Contract number]:[RA Premium USD]],25,FALSE)</f>
        <v>#N/A</v>
      </c>
      <c r="Y2847" s="38">
        <f>Allocation[[#This Row],[Quantity Processed]]/Allocation[[#This Row],[Quantity allocated]]</f>
        <v>2.7781609195402299</v>
      </c>
      <c r="Z2847" s="34" t="b">
        <f>Allocation[[#This Row],[Quantity allocated]]&lt;=Allocation[[#This Row],[Quantity Processed]]</f>
        <v>1</v>
      </c>
    </row>
    <row r="2848" spans="1:26">
      <c r="A2848" s="247" t="s">
        <v>467</v>
      </c>
      <c r="B2848" s="210" t="s">
        <v>68</v>
      </c>
      <c r="C2848" s="254" t="s">
        <v>1548</v>
      </c>
      <c r="D2848" s="255">
        <v>858</v>
      </c>
      <c r="E2848" s="211" t="s">
        <v>2272</v>
      </c>
      <c r="F2848" s="212">
        <v>43797</v>
      </c>
      <c r="G2848" s="213">
        <v>2.8</v>
      </c>
      <c r="H2848" s="256">
        <v>309</v>
      </c>
      <c r="I2848" s="214">
        <v>1511304</v>
      </c>
      <c r="J2848" s="215">
        <v>19175</v>
      </c>
      <c r="K2848" s="212">
        <v>43801</v>
      </c>
      <c r="L2848" s="211" t="s">
        <v>2273</v>
      </c>
      <c r="M2848" s="216">
        <v>4615551656</v>
      </c>
      <c r="N2848" s="212"/>
      <c r="O2848" s="218"/>
      <c r="P2848" s="219"/>
      <c r="Q2848" s="34">
        <f>SUMIF(Allocation[Delivery ID],Allocation[[#This Row],[Delivery ID]],Allocation[Quantity Processed])</f>
        <v>2136</v>
      </c>
      <c r="R2848" s="61">
        <f>Allocation[[#This Row],[Total volume used]]/VLOOKUP(Allocation[[#This Row],[Delivery ID]],Delivery[[Delivery ID]:[Quantity delivered]],3,FALSE)</f>
        <v>0.35959595959595958</v>
      </c>
      <c r="S2848" s="34">
        <f>Allocation[[#This Row],[Quantity Processed]]/Allocation[[#This Row],[Dilution rate]]</f>
        <v>306.42857142857144</v>
      </c>
      <c r="T2848" s="59">
        <f>SUMIF(Allocation[Delivery ID],Allocation[[#This Row],[Delivery ID]],Allocation[Quantity allocated])/SUMIF(Allocation[Delivery ID],Allocation[[#This Row],[Delivery ID]],Allocation[Volume available (kg)])</f>
        <v>1.0080524344569288</v>
      </c>
      <c r="U2848" s="61">
        <f>Allocation[[#This Row],[Total volume used]]/VLOOKUP(Allocation[[#This Row],[Delivery ID]],Delivery[[Delivery ID]:[Quantity delivered]],3,FALSE)</f>
        <v>0.35959595959595958</v>
      </c>
      <c r="V2848" s="34" t="e">
        <f>VLOOKUP(Allocation[[#This Row],[SAP Contract number]],Shipments[[SAP Contract number]:[Contracted container weight]],2,FALSE)</f>
        <v>#N/A</v>
      </c>
      <c r="W2848" s="34" t="e">
        <f>VLOOKUP(Allocation[[#This Row],[SAP Contract number]],Shipments[[SAP Contract number]:[AAA Premium USD]],24,FALSE)</f>
        <v>#N/A</v>
      </c>
      <c r="X2848" s="34" t="e">
        <f>VLOOKUP(Allocation[[#This Row],[SAP Contract number]],Shipments[[SAP Contract number]:[RA Premium USD]],25,FALSE)</f>
        <v>#N/A</v>
      </c>
      <c r="Y2848" s="38">
        <f>Allocation[[#This Row],[Quantity Processed]]/Allocation[[#This Row],[Quantity allocated]]</f>
        <v>2.7766990291262137</v>
      </c>
      <c r="Z2848" s="34" t="b">
        <f>Allocation[[#This Row],[Quantity allocated]]&lt;=Allocation[[#This Row],[Quantity Processed]]</f>
        <v>1</v>
      </c>
    </row>
    <row r="2849" spans="1:26">
      <c r="A2849" s="247" t="s">
        <v>467</v>
      </c>
      <c r="B2849" s="210" t="s">
        <v>68</v>
      </c>
      <c r="C2849" s="254" t="s">
        <v>2221</v>
      </c>
      <c r="D2849" s="255">
        <v>4711</v>
      </c>
      <c r="E2849" s="211" t="s">
        <v>2272</v>
      </c>
      <c r="F2849" s="212">
        <v>43797</v>
      </c>
      <c r="G2849" s="213">
        <v>2.8</v>
      </c>
      <c r="H2849" s="256">
        <v>2073</v>
      </c>
      <c r="I2849" s="214">
        <v>1511304</v>
      </c>
      <c r="J2849" s="215">
        <v>19175</v>
      </c>
      <c r="K2849" s="212">
        <v>43801</v>
      </c>
      <c r="L2849" s="211" t="s">
        <v>2273</v>
      </c>
      <c r="M2849" s="216">
        <v>4615551656</v>
      </c>
      <c r="N2849" s="212"/>
      <c r="O2849" s="218"/>
      <c r="P2849" s="219"/>
      <c r="Q2849" s="34">
        <f>SUMIF(Allocation[Delivery ID],Allocation[[#This Row],[Delivery ID]],Allocation[Quantity Processed])</f>
        <v>4711</v>
      </c>
      <c r="R2849" s="61">
        <f>Allocation[[#This Row],[Total volume used]]/VLOOKUP(Allocation[[#This Row],[Delivery ID]],Delivery[[Delivery ID]:[Quantity delivered]],3,FALSE)</f>
        <v>0.15713809206137425</v>
      </c>
      <c r="S2849" s="34">
        <f>Allocation[[#This Row],[Quantity Processed]]/Allocation[[#This Row],[Dilution rate]]</f>
        <v>1682.5</v>
      </c>
      <c r="T2849" s="59">
        <f>SUMIF(Allocation[Delivery ID],Allocation[[#This Row],[Delivery ID]],Allocation[Quantity allocated])/SUMIF(Allocation[Delivery ID],Allocation[[#This Row],[Delivery ID]],Allocation[Volume available (kg)])</f>
        <v>1.2320950965824666</v>
      </c>
      <c r="U2849" s="61">
        <f>Allocation[[#This Row],[Total volume used]]/VLOOKUP(Allocation[[#This Row],[Delivery ID]],Delivery[[Delivery ID]:[Quantity delivered]],3,FALSE)</f>
        <v>0.15713809206137425</v>
      </c>
      <c r="V2849" s="34" t="e">
        <f>VLOOKUP(Allocation[[#This Row],[SAP Contract number]],Shipments[[SAP Contract number]:[Contracted container weight]],2,FALSE)</f>
        <v>#N/A</v>
      </c>
      <c r="W2849" s="34" t="e">
        <f>VLOOKUP(Allocation[[#This Row],[SAP Contract number]],Shipments[[SAP Contract number]:[AAA Premium USD]],24,FALSE)</f>
        <v>#N/A</v>
      </c>
      <c r="X2849" s="34" t="e">
        <f>VLOOKUP(Allocation[[#This Row],[SAP Contract number]],Shipments[[SAP Contract number]:[RA Premium USD]],25,FALSE)</f>
        <v>#N/A</v>
      </c>
      <c r="Y2849" s="38">
        <f>Allocation[[#This Row],[Quantity Processed]]/Allocation[[#This Row],[Quantity allocated]]</f>
        <v>2.2725518572117704</v>
      </c>
      <c r="Z2849" s="34" t="b">
        <f>Allocation[[#This Row],[Quantity allocated]]&lt;=Allocation[[#This Row],[Quantity Processed]]</f>
        <v>1</v>
      </c>
    </row>
    <row r="2850" spans="1:26">
      <c r="A2850" s="247" t="s">
        <v>467</v>
      </c>
      <c r="B2850" s="210" t="s">
        <v>68</v>
      </c>
      <c r="C2850" s="254" t="s">
        <v>2222</v>
      </c>
      <c r="D2850" s="255">
        <v>4714</v>
      </c>
      <c r="E2850" s="211" t="s">
        <v>2272</v>
      </c>
      <c r="F2850" s="212">
        <v>43797</v>
      </c>
      <c r="G2850" s="213">
        <v>2.8</v>
      </c>
      <c r="H2850" s="256">
        <v>2074</v>
      </c>
      <c r="I2850" s="214">
        <v>1511304</v>
      </c>
      <c r="J2850" s="215">
        <v>19175</v>
      </c>
      <c r="K2850" s="212">
        <v>43801</v>
      </c>
      <c r="L2850" s="211" t="s">
        <v>2273</v>
      </c>
      <c r="M2850" s="216">
        <v>4615551656</v>
      </c>
      <c r="N2850" s="212"/>
      <c r="O2850" s="218"/>
      <c r="P2850" s="219"/>
      <c r="Q2850" s="34">
        <f>SUMIF(Allocation[Delivery ID],Allocation[[#This Row],[Delivery ID]],Allocation[Quantity Processed])</f>
        <v>4714</v>
      </c>
      <c r="R2850" s="61">
        <f>Allocation[[#This Row],[Total volume used]]/VLOOKUP(Allocation[[#This Row],[Delivery ID]],Delivery[[Delivery ID]:[Quantity delivered]],3,FALSE)</f>
        <v>0.15713333333333335</v>
      </c>
      <c r="S2850" s="34">
        <f>Allocation[[#This Row],[Quantity Processed]]/Allocation[[#This Row],[Dilution rate]]</f>
        <v>1683.5714285714287</v>
      </c>
      <c r="T2850" s="59">
        <f>SUMIF(Allocation[Delivery ID],Allocation[[#This Row],[Delivery ID]],Allocation[Quantity allocated])/SUMIF(Allocation[Delivery ID],Allocation[[#This Row],[Delivery ID]],Allocation[Volume available (kg)])</f>
        <v>1.2319049639372082</v>
      </c>
      <c r="U2850" s="61">
        <f>Allocation[[#This Row],[Total volume used]]/VLOOKUP(Allocation[[#This Row],[Delivery ID]],Delivery[[Delivery ID]:[Quantity delivered]],3,FALSE)</f>
        <v>0.15713333333333335</v>
      </c>
      <c r="V2850" s="34" t="e">
        <f>VLOOKUP(Allocation[[#This Row],[SAP Contract number]],Shipments[[SAP Contract number]:[Contracted container weight]],2,FALSE)</f>
        <v>#N/A</v>
      </c>
      <c r="W2850" s="34" t="e">
        <f>VLOOKUP(Allocation[[#This Row],[SAP Contract number]],Shipments[[SAP Contract number]:[AAA Premium USD]],24,FALSE)</f>
        <v>#N/A</v>
      </c>
      <c r="X2850" s="34" t="e">
        <f>VLOOKUP(Allocation[[#This Row],[SAP Contract number]],Shipments[[SAP Contract number]:[RA Premium USD]],25,FALSE)</f>
        <v>#N/A</v>
      </c>
      <c r="Y2850" s="38">
        <f>Allocation[[#This Row],[Quantity Processed]]/Allocation[[#This Row],[Quantity allocated]]</f>
        <v>2.2729026036644164</v>
      </c>
      <c r="Z2850" s="34" t="b">
        <f>Allocation[[#This Row],[Quantity allocated]]&lt;=Allocation[[#This Row],[Quantity Processed]]</f>
        <v>1</v>
      </c>
    </row>
    <row r="2851" spans="1:26">
      <c r="A2851" s="247" t="s">
        <v>467</v>
      </c>
      <c r="B2851" s="210" t="s">
        <v>68</v>
      </c>
      <c r="C2851" s="254" t="s">
        <v>2223</v>
      </c>
      <c r="D2851" s="255">
        <v>1250</v>
      </c>
      <c r="E2851" s="211" t="s">
        <v>2272</v>
      </c>
      <c r="F2851" s="212">
        <v>43797</v>
      </c>
      <c r="G2851" s="213">
        <v>2.8</v>
      </c>
      <c r="H2851" s="256">
        <v>450</v>
      </c>
      <c r="I2851" s="214">
        <v>1511304</v>
      </c>
      <c r="J2851" s="215">
        <v>19175</v>
      </c>
      <c r="K2851" s="212">
        <v>43801</v>
      </c>
      <c r="L2851" s="211" t="s">
        <v>2273</v>
      </c>
      <c r="M2851" s="216">
        <v>4615551656</v>
      </c>
      <c r="N2851" s="212"/>
      <c r="O2851" s="218"/>
      <c r="P2851" s="219"/>
      <c r="Q2851" s="34">
        <f>SUMIF(Allocation[Delivery ID],Allocation[[#This Row],[Delivery ID]],Allocation[Quantity Processed])</f>
        <v>7411</v>
      </c>
      <c r="R2851" s="61">
        <f>Allocation[[#This Row],[Total volume used]]/VLOOKUP(Allocation[[#This Row],[Delivery ID]],Delivery[[Delivery ID]:[Quantity delivered]],3,FALSE)</f>
        <v>0.19204457113241771</v>
      </c>
      <c r="S2851" s="34">
        <f>Allocation[[#This Row],[Quantity Processed]]/Allocation[[#This Row],[Dilution rate]]</f>
        <v>446.42857142857144</v>
      </c>
      <c r="T2851" s="59">
        <f>SUMIF(Allocation[Delivery ID],Allocation[[#This Row],[Delivery ID]],Allocation[Quantity allocated])/SUMIF(Allocation[Delivery ID],Allocation[[#This Row],[Delivery ID]],Allocation[Volume available (kg)])</f>
        <v>1.0080151126703547</v>
      </c>
      <c r="U2851" s="61">
        <f>Allocation[[#This Row],[Total volume used]]/VLOOKUP(Allocation[[#This Row],[Delivery ID]],Delivery[[Delivery ID]:[Quantity delivered]],3,FALSE)</f>
        <v>0.19204457113241771</v>
      </c>
      <c r="V2851" s="34" t="e">
        <f>VLOOKUP(Allocation[[#This Row],[SAP Contract number]],Shipments[[SAP Contract number]:[Contracted container weight]],2,FALSE)</f>
        <v>#N/A</v>
      </c>
      <c r="W2851" s="34" t="e">
        <f>VLOOKUP(Allocation[[#This Row],[SAP Contract number]],Shipments[[SAP Contract number]:[AAA Premium USD]],24,FALSE)</f>
        <v>#N/A</v>
      </c>
      <c r="X2851" s="34" t="e">
        <f>VLOOKUP(Allocation[[#This Row],[SAP Contract number]],Shipments[[SAP Contract number]:[RA Premium USD]],25,FALSE)</f>
        <v>#N/A</v>
      </c>
      <c r="Y2851" s="38">
        <f>Allocation[[#This Row],[Quantity Processed]]/Allocation[[#This Row],[Quantity allocated]]</f>
        <v>2.7777777777777777</v>
      </c>
      <c r="Z2851" s="34" t="b">
        <f>Allocation[[#This Row],[Quantity allocated]]&lt;=Allocation[[#This Row],[Quantity Processed]]</f>
        <v>1</v>
      </c>
    </row>
    <row r="2852" spans="1:26">
      <c r="A2852" s="247" t="s">
        <v>467</v>
      </c>
      <c r="B2852" s="210" t="s">
        <v>68</v>
      </c>
      <c r="C2852" s="254" t="s">
        <v>2223</v>
      </c>
      <c r="D2852" s="255">
        <v>6161</v>
      </c>
      <c r="E2852" s="211" t="s">
        <v>2272</v>
      </c>
      <c r="F2852" s="212">
        <v>43797</v>
      </c>
      <c r="G2852" s="213">
        <v>2.8</v>
      </c>
      <c r="H2852" s="256">
        <v>2218</v>
      </c>
      <c r="I2852" s="214">
        <v>1511305</v>
      </c>
      <c r="J2852" s="215">
        <v>19175</v>
      </c>
      <c r="K2852" s="212">
        <v>43801</v>
      </c>
      <c r="L2852" s="211" t="s">
        <v>2274</v>
      </c>
      <c r="M2852" s="216">
        <v>4615551656</v>
      </c>
      <c r="N2852" s="212"/>
      <c r="O2852" s="218"/>
      <c r="P2852" s="219"/>
      <c r="Q2852" s="34">
        <f>SUMIF(Allocation[Delivery ID],Allocation[[#This Row],[Delivery ID]],Allocation[Quantity Processed])</f>
        <v>7411</v>
      </c>
      <c r="R2852" s="61">
        <f>Allocation[[#This Row],[Total volume used]]/VLOOKUP(Allocation[[#This Row],[Delivery ID]],Delivery[[Delivery ID]:[Quantity delivered]],3,FALSE)</f>
        <v>0.19204457113241771</v>
      </c>
      <c r="S2852" s="34">
        <f>Allocation[[#This Row],[Quantity Processed]]/Allocation[[#This Row],[Dilution rate]]</f>
        <v>2200.3571428571431</v>
      </c>
      <c r="T2852" s="59">
        <f>SUMIF(Allocation[Delivery ID],Allocation[[#This Row],[Delivery ID]],Allocation[Quantity allocated])/SUMIF(Allocation[Delivery ID],Allocation[[#This Row],[Delivery ID]],Allocation[Volume available (kg)])</f>
        <v>1.0080151126703547</v>
      </c>
      <c r="U2852" s="61">
        <f>Allocation[[#This Row],[Total volume used]]/VLOOKUP(Allocation[[#This Row],[Delivery ID]],Delivery[[Delivery ID]:[Quantity delivered]],3,FALSE)</f>
        <v>0.19204457113241771</v>
      </c>
      <c r="V2852" s="34" t="e">
        <f>VLOOKUP(Allocation[[#This Row],[SAP Contract number]],Shipments[[SAP Contract number]:[Contracted container weight]],2,FALSE)</f>
        <v>#N/A</v>
      </c>
      <c r="W2852" s="34" t="e">
        <f>VLOOKUP(Allocation[[#This Row],[SAP Contract number]],Shipments[[SAP Contract number]:[AAA Premium USD]],24,FALSE)</f>
        <v>#N/A</v>
      </c>
      <c r="X2852" s="34" t="e">
        <f>VLOOKUP(Allocation[[#This Row],[SAP Contract number]],Shipments[[SAP Contract number]:[RA Premium USD]],25,FALSE)</f>
        <v>#N/A</v>
      </c>
      <c r="Y2852" s="38">
        <f>Allocation[[#This Row],[Quantity Processed]]/Allocation[[#This Row],[Quantity allocated]]</f>
        <v>2.7777276825969341</v>
      </c>
      <c r="Z2852" s="34" t="b">
        <f>Allocation[[#This Row],[Quantity allocated]]&lt;=Allocation[[#This Row],[Quantity Processed]]</f>
        <v>1</v>
      </c>
    </row>
    <row r="2853" spans="1:26">
      <c r="A2853" s="247" t="s">
        <v>467</v>
      </c>
      <c r="B2853" s="210" t="s">
        <v>68</v>
      </c>
      <c r="C2853" s="254" t="s">
        <v>2224</v>
      </c>
      <c r="D2853" s="255">
        <v>7397</v>
      </c>
      <c r="E2853" s="211" t="s">
        <v>2272</v>
      </c>
      <c r="F2853" s="212">
        <v>43797</v>
      </c>
      <c r="G2853" s="213">
        <v>2.8</v>
      </c>
      <c r="H2853" s="256">
        <v>2663</v>
      </c>
      <c r="I2853" s="214">
        <v>1511305</v>
      </c>
      <c r="J2853" s="215">
        <v>19175</v>
      </c>
      <c r="K2853" s="212">
        <v>43801</v>
      </c>
      <c r="L2853" s="211" t="s">
        <v>2274</v>
      </c>
      <c r="M2853" s="216">
        <v>4615551656</v>
      </c>
      <c r="N2853" s="212"/>
      <c r="O2853" s="218"/>
      <c r="P2853" s="219"/>
      <c r="Q2853" s="34">
        <f>SUMIF(Allocation[Delivery ID],Allocation[[#This Row],[Delivery ID]],Allocation[Quantity Processed])</f>
        <v>7397</v>
      </c>
      <c r="R2853" s="61">
        <f>Allocation[[#This Row],[Total volume used]]/VLOOKUP(Allocation[[#This Row],[Delivery ID]],Delivery[[Delivery ID]:[Quantity delivered]],3,FALSE)</f>
        <v>0.19203011422637592</v>
      </c>
      <c r="S2853" s="34">
        <f>Allocation[[#This Row],[Quantity Processed]]/Allocation[[#This Row],[Dilution rate]]</f>
        <v>2641.7857142857147</v>
      </c>
      <c r="T2853" s="59">
        <f>SUMIF(Allocation[Delivery ID],Allocation[[#This Row],[Delivery ID]],Allocation[Quantity allocated])/SUMIF(Allocation[Delivery ID],Allocation[[#This Row],[Delivery ID]],Allocation[Volume available (kg)])</f>
        <v>1.0080302825469785</v>
      </c>
      <c r="U2853" s="61">
        <f>Allocation[[#This Row],[Total volume used]]/VLOOKUP(Allocation[[#This Row],[Delivery ID]],Delivery[[Delivery ID]:[Quantity delivered]],3,FALSE)</f>
        <v>0.19203011422637592</v>
      </c>
      <c r="V2853" s="34" t="e">
        <f>VLOOKUP(Allocation[[#This Row],[SAP Contract number]],Shipments[[SAP Contract number]:[Contracted container weight]],2,FALSE)</f>
        <v>#N/A</v>
      </c>
      <c r="W2853" s="34" t="e">
        <f>VLOOKUP(Allocation[[#This Row],[SAP Contract number]],Shipments[[SAP Contract number]:[AAA Premium USD]],24,FALSE)</f>
        <v>#N/A</v>
      </c>
      <c r="X2853" s="34" t="e">
        <f>VLOOKUP(Allocation[[#This Row],[SAP Contract number]],Shipments[[SAP Contract number]:[RA Premium USD]],25,FALSE)</f>
        <v>#N/A</v>
      </c>
      <c r="Y2853" s="38">
        <f>Allocation[[#This Row],[Quantity Processed]]/Allocation[[#This Row],[Quantity allocated]]</f>
        <v>2.7776943297033423</v>
      </c>
      <c r="Z2853" s="34" t="b">
        <f>Allocation[[#This Row],[Quantity allocated]]&lt;=Allocation[[#This Row],[Quantity Processed]]</f>
        <v>1</v>
      </c>
    </row>
    <row r="2854" spans="1:26">
      <c r="A2854" s="247" t="s">
        <v>467</v>
      </c>
      <c r="B2854" s="210" t="s">
        <v>68</v>
      </c>
      <c r="C2854" s="254" t="s">
        <v>2225</v>
      </c>
      <c r="D2854" s="255">
        <v>4496</v>
      </c>
      <c r="E2854" s="211" t="s">
        <v>2272</v>
      </c>
      <c r="F2854" s="212">
        <v>43797</v>
      </c>
      <c r="G2854" s="213">
        <v>2.8</v>
      </c>
      <c r="H2854" s="256">
        <v>2158</v>
      </c>
      <c r="I2854" s="214">
        <v>1511305</v>
      </c>
      <c r="J2854" s="215">
        <v>19175</v>
      </c>
      <c r="K2854" s="212">
        <v>43801</v>
      </c>
      <c r="L2854" s="211" t="s">
        <v>2274</v>
      </c>
      <c r="M2854" s="216">
        <v>4615551656</v>
      </c>
      <c r="N2854" s="212"/>
      <c r="O2854" s="218"/>
      <c r="P2854" s="219"/>
      <c r="Q2854" s="34">
        <f>SUMIF(Allocation[Delivery ID],Allocation[[#This Row],[Delivery ID]],Allocation[Quantity Processed])</f>
        <v>4496</v>
      </c>
      <c r="R2854" s="61">
        <f>Allocation[[#This Row],[Total volume used]]/VLOOKUP(Allocation[[#This Row],[Delivery ID]],Delivery[[Delivery ID]:[Quantity delivered]],3,FALSE)</f>
        <v>0.14165091367359797</v>
      </c>
      <c r="S2854" s="34">
        <f>Allocation[[#This Row],[Quantity Processed]]/Allocation[[#This Row],[Dilution rate]]</f>
        <v>1605.7142857142858</v>
      </c>
      <c r="T2854" s="59">
        <f>SUMIF(Allocation[Delivery ID],Allocation[[#This Row],[Delivery ID]],Allocation[Quantity allocated])/SUMIF(Allocation[Delivery ID],Allocation[[#This Row],[Delivery ID]],Allocation[Volume available (kg)])</f>
        <v>1.3439501779359431</v>
      </c>
      <c r="U2854" s="61">
        <f>Allocation[[#This Row],[Total volume used]]/VLOOKUP(Allocation[[#This Row],[Delivery ID]],Delivery[[Delivery ID]:[Quantity delivered]],3,FALSE)</f>
        <v>0.14165091367359797</v>
      </c>
      <c r="V2854" s="34" t="e">
        <f>VLOOKUP(Allocation[[#This Row],[SAP Contract number]],Shipments[[SAP Contract number]:[Contracted container weight]],2,FALSE)</f>
        <v>#N/A</v>
      </c>
      <c r="W2854" s="34" t="e">
        <f>VLOOKUP(Allocation[[#This Row],[SAP Contract number]],Shipments[[SAP Contract number]:[AAA Premium USD]],24,FALSE)</f>
        <v>#N/A</v>
      </c>
      <c r="X2854" s="34" t="e">
        <f>VLOOKUP(Allocation[[#This Row],[SAP Contract number]],Shipments[[SAP Contract number]:[RA Premium USD]],25,FALSE)</f>
        <v>#N/A</v>
      </c>
      <c r="Y2854" s="38">
        <f>Allocation[[#This Row],[Quantity Processed]]/Allocation[[#This Row],[Quantity allocated]]</f>
        <v>2.0834105653382764</v>
      </c>
      <c r="Z2854" s="34" t="b">
        <f>Allocation[[#This Row],[Quantity allocated]]&lt;=Allocation[[#This Row],[Quantity Processed]]</f>
        <v>1</v>
      </c>
    </row>
    <row r="2855" spans="1:26">
      <c r="A2855" s="247" t="s">
        <v>467</v>
      </c>
      <c r="B2855" s="210" t="s">
        <v>68</v>
      </c>
      <c r="C2855" s="254" t="s">
        <v>2226</v>
      </c>
      <c r="D2855" s="255">
        <v>5481</v>
      </c>
      <c r="E2855" s="211" t="s">
        <v>2272</v>
      </c>
      <c r="F2855" s="212">
        <v>43797</v>
      </c>
      <c r="G2855" s="213">
        <v>2.8</v>
      </c>
      <c r="H2855" s="256">
        <v>2631</v>
      </c>
      <c r="I2855" s="214">
        <v>1511305</v>
      </c>
      <c r="J2855" s="215">
        <v>19175</v>
      </c>
      <c r="K2855" s="212">
        <v>43801</v>
      </c>
      <c r="L2855" s="211" t="s">
        <v>2274</v>
      </c>
      <c r="M2855" s="216">
        <v>4615551656</v>
      </c>
      <c r="N2855" s="212"/>
      <c r="O2855" s="218"/>
      <c r="P2855" s="219"/>
      <c r="Q2855" s="34">
        <f>SUMIF(Allocation[Delivery ID],Allocation[[#This Row],[Delivery ID]],Allocation[Quantity Processed])</f>
        <v>5481</v>
      </c>
      <c r="R2855" s="61">
        <f>Allocation[[#This Row],[Total volume used]]/VLOOKUP(Allocation[[#This Row],[Delivery ID]],Delivery[[Delivery ID]:[Quantity delivered]],3,FALSE)</f>
        <v>0.14404730617608411</v>
      </c>
      <c r="S2855" s="34">
        <f>Allocation[[#This Row],[Quantity Processed]]/Allocation[[#This Row],[Dilution rate]]</f>
        <v>1957.5000000000002</v>
      </c>
      <c r="T2855" s="59">
        <f>SUMIF(Allocation[Delivery ID],Allocation[[#This Row],[Delivery ID]],Allocation[Quantity allocated])/SUMIF(Allocation[Delivery ID],Allocation[[#This Row],[Delivery ID]],Allocation[Volume available (kg)])</f>
        <v>1.3440613026819921</v>
      </c>
      <c r="U2855" s="61">
        <f>Allocation[[#This Row],[Total volume used]]/VLOOKUP(Allocation[[#This Row],[Delivery ID]],Delivery[[Delivery ID]:[Quantity delivered]],3,FALSE)</f>
        <v>0.14404730617608411</v>
      </c>
      <c r="V2855" s="34" t="e">
        <f>VLOOKUP(Allocation[[#This Row],[SAP Contract number]],Shipments[[SAP Contract number]:[Contracted container weight]],2,FALSE)</f>
        <v>#N/A</v>
      </c>
      <c r="W2855" s="34" t="e">
        <f>VLOOKUP(Allocation[[#This Row],[SAP Contract number]],Shipments[[SAP Contract number]:[AAA Premium USD]],24,FALSE)</f>
        <v>#N/A</v>
      </c>
      <c r="X2855" s="34" t="e">
        <f>VLOOKUP(Allocation[[#This Row],[SAP Contract number]],Shipments[[SAP Contract number]:[RA Premium USD]],25,FALSE)</f>
        <v>#N/A</v>
      </c>
      <c r="Y2855" s="38">
        <f>Allocation[[#This Row],[Quantity Processed]]/Allocation[[#This Row],[Quantity allocated]]</f>
        <v>2.0832383124287341</v>
      </c>
      <c r="Z2855" s="34" t="b">
        <f>Allocation[[#This Row],[Quantity allocated]]&lt;=Allocation[[#This Row],[Quantity Processed]]</f>
        <v>1</v>
      </c>
    </row>
    <row r="2856" spans="1:26">
      <c r="A2856" s="247" t="s">
        <v>467</v>
      </c>
      <c r="B2856" s="210" t="s">
        <v>68</v>
      </c>
      <c r="C2856" s="254" t="s">
        <v>2234</v>
      </c>
      <c r="D2856" s="255">
        <v>7240</v>
      </c>
      <c r="E2856" s="211" t="s">
        <v>2272</v>
      </c>
      <c r="F2856" s="212">
        <v>43797</v>
      </c>
      <c r="G2856" s="213">
        <v>2.8</v>
      </c>
      <c r="H2856" s="256">
        <v>2172</v>
      </c>
      <c r="I2856" s="214">
        <v>1511305</v>
      </c>
      <c r="J2856" s="215">
        <v>19175</v>
      </c>
      <c r="K2856" s="212">
        <v>43801</v>
      </c>
      <c r="L2856" s="211" t="s">
        <v>2274</v>
      </c>
      <c r="M2856" s="216">
        <v>4615551656</v>
      </c>
      <c r="N2856" s="212"/>
      <c r="O2856" s="218"/>
      <c r="P2856" s="219"/>
      <c r="Q2856" s="34">
        <f>SUMIF(Allocation[Delivery ID],Allocation[[#This Row],[Delivery ID]],Allocation[Quantity Processed])</f>
        <v>7240</v>
      </c>
      <c r="R2856" s="61">
        <f>Allocation[[#This Row],[Total volume used]]/VLOOKUP(Allocation[[#This Row],[Delivery ID]],Delivery[[Delivery ID]:[Quantity delivered]],3,FALSE)</f>
        <v>0.22667501565435191</v>
      </c>
      <c r="S2856" s="34">
        <f>Allocation[[#This Row],[Quantity Processed]]/Allocation[[#This Row],[Dilution rate]]</f>
        <v>2585.7142857142858</v>
      </c>
      <c r="T2856" s="59">
        <f>SUMIF(Allocation[Delivery ID],Allocation[[#This Row],[Delivery ID]],Allocation[Quantity allocated])/SUMIF(Allocation[Delivery ID],Allocation[[#This Row],[Delivery ID]],Allocation[Volume available (kg)])</f>
        <v>0.84</v>
      </c>
      <c r="U2856" s="61">
        <f>Allocation[[#This Row],[Total volume used]]/VLOOKUP(Allocation[[#This Row],[Delivery ID]],Delivery[[Delivery ID]:[Quantity delivered]],3,FALSE)</f>
        <v>0.22667501565435191</v>
      </c>
      <c r="V2856" s="34" t="e">
        <f>VLOOKUP(Allocation[[#This Row],[SAP Contract number]],Shipments[[SAP Contract number]:[Contracted container weight]],2,FALSE)</f>
        <v>#N/A</v>
      </c>
      <c r="W2856" s="34" t="e">
        <f>VLOOKUP(Allocation[[#This Row],[SAP Contract number]],Shipments[[SAP Contract number]:[AAA Premium USD]],24,FALSE)</f>
        <v>#N/A</v>
      </c>
      <c r="X2856" s="34" t="e">
        <f>VLOOKUP(Allocation[[#This Row],[SAP Contract number]],Shipments[[SAP Contract number]:[RA Premium USD]],25,FALSE)</f>
        <v>#N/A</v>
      </c>
      <c r="Y2856" s="38">
        <f>Allocation[[#This Row],[Quantity Processed]]/Allocation[[#This Row],[Quantity allocated]]</f>
        <v>3.3333333333333335</v>
      </c>
      <c r="Z2856" s="34" t="b">
        <f>Allocation[[#This Row],[Quantity allocated]]&lt;=Allocation[[#This Row],[Quantity Processed]]</f>
        <v>1</v>
      </c>
    </row>
    <row r="2857" spans="1:26">
      <c r="A2857" s="247" t="s">
        <v>467</v>
      </c>
      <c r="B2857" s="210" t="s">
        <v>68</v>
      </c>
      <c r="C2857" s="254" t="s">
        <v>2235</v>
      </c>
      <c r="D2857" s="255">
        <v>7240</v>
      </c>
      <c r="E2857" s="211" t="s">
        <v>2272</v>
      </c>
      <c r="F2857" s="212">
        <v>43797</v>
      </c>
      <c r="G2857" s="213">
        <v>2.8</v>
      </c>
      <c r="H2857" s="256">
        <v>2172</v>
      </c>
      <c r="I2857" s="214">
        <v>1511305</v>
      </c>
      <c r="J2857" s="215">
        <v>19175</v>
      </c>
      <c r="K2857" s="212">
        <v>43801</v>
      </c>
      <c r="L2857" s="211" t="s">
        <v>2274</v>
      </c>
      <c r="M2857" s="216">
        <v>4615551656</v>
      </c>
      <c r="N2857" s="212"/>
      <c r="O2857" s="218"/>
      <c r="P2857" s="219"/>
      <c r="Q2857" s="34">
        <f>SUMIF(Allocation[Delivery ID],Allocation[[#This Row],[Delivery ID]],Allocation[Quantity Processed])</f>
        <v>7240</v>
      </c>
      <c r="R2857" s="61">
        <f>Allocation[[#This Row],[Total volume used]]/VLOOKUP(Allocation[[#This Row],[Delivery ID]],Delivery[[Delivery ID]:[Quantity delivered]],3,FALSE)</f>
        <v>0.22667501565435191</v>
      </c>
      <c r="S2857" s="34">
        <f>Allocation[[#This Row],[Quantity Processed]]/Allocation[[#This Row],[Dilution rate]]</f>
        <v>2585.7142857142858</v>
      </c>
      <c r="T2857" s="59">
        <f>SUMIF(Allocation[Delivery ID],Allocation[[#This Row],[Delivery ID]],Allocation[Quantity allocated])/SUMIF(Allocation[Delivery ID],Allocation[[#This Row],[Delivery ID]],Allocation[Volume available (kg)])</f>
        <v>0.84</v>
      </c>
      <c r="U2857" s="61">
        <f>Allocation[[#This Row],[Total volume used]]/VLOOKUP(Allocation[[#This Row],[Delivery ID]],Delivery[[Delivery ID]:[Quantity delivered]],3,FALSE)</f>
        <v>0.22667501565435191</v>
      </c>
      <c r="V2857" s="34" t="e">
        <f>VLOOKUP(Allocation[[#This Row],[SAP Contract number]],Shipments[[SAP Contract number]:[Contracted container weight]],2,FALSE)</f>
        <v>#N/A</v>
      </c>
      <c r="W2857" s="34" t="e">
        <f>VLOOKUP(Allocation[[#This Row],[SAP Contract number]],Shipments[[SAP Contract number]:[AAA Premium USD]],24,FALSE)</f>
        <v>#N/A</v>
      </c>
      <c r="X2857" s="34" t="e">
        <f>VLOOKUP(Allocation[[#This Row],[SAP Contract number]],Shipments[[SAP Contract number]:[RA Premium USD]],25,FALSE)</f>
        <v>#N/A</v>
      </c>
      <c r="Y2857" s="38">
        <f>Allocation[[#This Row],[Quantity Processed]]/Allocation[[#This Row],[Quantity allocated]]</f>
        <v>3.3333333333333335</v>
      </c>
      <c r="Z2857" s="34" t="b">
        <f>Allocation[[#This Row],[Quantity allocated]]&lt;=Allocation[[#This Row],[Quantity Processed]]</f>
        <v>1</v>
      </c>
    </row>
    <row r="2858" spans="1:26">
      <c r="A2858" s="247" t="s">
        <v>467</v>
      </c>
      <c r="B2858" s="210" t="s">
        <v>68</v>
      </c>
      <c r="C2858" s="254" t="s">
        <v>2236</v>
      </c>
      <c r="D2858" s="255">
        <v>7220</v>
      </c>
      <c r="E2858" s="211" t="s">
        <v>2272</v>
      </c>
      <c r="F2858" s="212">
        <v>43797</v>
      </c>
      <c r="G2858" s="213">
        <v>2.8</v>
      </c>
      <c r="H2858" s="256">
        <v>2166</v>
      </c>
      <c r="I2858" s="214">
        <v>1511305</v>
      </c>
      <c r="J2858" s="215">
        <v>19175</v>
      </c>
      <c r="K2858" s="212">
        <v>43801</v>
      </c>
      <c r="L2858" s="211" t="s">
        <v>2274</v>
      </c>
      <c r="M2858" s="216">
        <v>4615551656</v>
      </c>
      <c r="N2858" s="212"/>
      <c r="O2858" s="218"/>
      <c r="P2858" s="219"/>
      <c r="Q2858" s="34">
        <f>SUMIF(Allocation[Delivery ID],Allocation[[#This Row],[Delivery ID]],Allocation[Quantity Processed])</f>
        <v>7220</v>
      </c>
      <c r="R2858" s="61">
        <f>Allocation[[#This Row],[Total volume used]]/VLOOKUP(Allocation[[#This Row],[Delivery ID]],Delivery[[Delivery ID]:[Quantity delivered]],3,FALSE)</f>
        <v>0.22661644695543001</v>
      </c>
      <c r="S2858" s="34">
        <f>Allocation[[#This Row],[Quantity Processed]]/Allocation[[#This Row],[Dilution rate]]</f>
        <v>2578.5714285714289</v>
      </c>
      <c r="T2858" s="59">
        <f>SUMIF(Allocation[Delivery ID],Allocation[[#This Row],[Delivery ID]],Allocation[Quantity allocated])/SUMIF(Allocation[Delivery ID],Allocation[[#This Row],[Delivery ID]],Allocation[Volume available (kg)])</f>
        <v>0.83999999999999986</v>
      </c>
      <c r="U2858" s="61">
        <f>Allocation[[#This Row],[Total volume used]]/VLOOKUP(Allocation[[#This Row],[Delivery ID]],Delivery[[Delivery ID]:[Quantity delivered]],3,FALSE)</f>
        <v>0.22661644695543001</v>
      </c>
      <c r="V2858" s="34" t="e">
        <f>VLOOKUP(Allocation[[#This Row],[SAP Contract number]],Shipments[[SAP Contract number]:[Contracted container weight]],2,FALSE)</f>
        <v>#N/A</v>
      </c>
      <c r="W2858" s="34" t="e">
        <f>VLOOKUP(Allocation[[#This Row],[SAP Contract number]],Shipments[[SAP Contract number]:[AAA Premium USD]],24,FALSE)</f>
        <v>#N/A</v>
      </c>
      <c r="X2858" s="34" t="e">
        <f>VLOOKUP(Allocation[[#This Row],[SAP Contract number]],Shipments[[SAP Contract number]:[RA Premium USD]],25,FALSE)</f>
        <v>#N/A</v>
      </c>
      <c r="Y2858" s="38">
        <f>Allocation[[#This Row],[Quantity Processed]]/Allocation[[#This Row],[Quantity allocated]]</f>
        <v>3.3333333333333335</v>
      </c>
      <c r="Z2858" s="34" t="b">
        <f>Allocation[[#This Row],[Quantity allocated]]&lt;=Allocation[[#This Row],[Quantity Processed]]</f>
        <v>1</v>
      </c>
    </row>
    <row r="2859" spans="1:26">
      <c r="A2859" s="247" t="s">
        <v>467</v>
      </c>
      <c r="B2859" s="210" t="s">
        <v>68</v>
      </c>
      <c r="C2859" s="254" t="s">
        <v>2237</v>
      </c>
      <c r="D2859" s="255">
        <v>3187</v>
      </c>
      <c r="E2859" s="211" t="s">
        <v>2272</v>
      </c>
      <c r="F2859" s="212">
        <v>43797</v>
      </c>
      <c r="G2859" s="213">
        <v>2.8</v>
      </c>
      <c r="H2859" s="256">
        <v>956</v>
      </c>
      <c r="I2859" s="214">
        <v>1511305</v>
      </c>
      <c r="J2859" s="215">
        <v>19175</v>
      </c>
      <c r="K2859" s="212">
        <v>43801</v>
      </c>
      <c r="L2859" s="211" t="s">
        <v>2274</v>
      </c>
      <c r="M2859" s="216">
        <v>4615551656</v>
      </c>
      <c r="N2859" s="212"/>
      <c r="O2859" s="218"/>
      <c r="P2859" s="219"/>
      <c r="Q2859" s="34">
        <f>SUMIF(Allocation[Delivery ID],Allocation[[#This Row],[Delivery ID]],Allocation[Quantity Processed])</f>
        <v>3187</v>
      </c>
      <c r="R2859" s="61">
        <f>Allocation[[#This Row],[Total volume used]]/VLOOKUP(Allocation[[#This Row],[Delivery ID]],Delivery[[Delivery ID]:[Quantity delivered]],3,FALSE)</f>
        <v>0.22667140825035562</v>
      </c>
      <c r="S2859" s="34">
        <f>Allocation[[#This Row],[Quantity Processed]]/Allocation[[#This Row],[Dilution rate]]</f>
        <v>1138.2142857142858</v>
      </c>
      <c r="T2859" s="59">
        <f>SUMIF(Allocation[Delivery ID],Allocation[[#This Row],[Delivery ID]],Allocation[Quantity allocated])/SUMIF(Allocation[Delivery ID],Allocation[[#This Row],[Delivery ID]],Allocation[Volume available (kg)])</f>
        <v>0.8399121430812676</v>
      </c>
      <c r="U2859" s="61">
        <f>Allocation[[#This Row],[Total volume used]]/VLOOKUP(Allocation[[#This Row],[Delivery ID]],Delivery[[Delivery ID]:[Quantity delivered]],3,FALSE)</f>
        <v>0.22667140825035562</v>
      </c>
      <c r="V2859" s="34" t="e">
        <f>VLOOKUP(Allocation[[#This Row],[SAP Contract number]],Shipments[[SAP Contract number]:[Contracted container weight]],2,FALSE)</f>
        <v>#N/A</v>
      </c>
      <c r="W2859" s="34" t="e">
        <f>VLOOKUP(Allocation[[#This Row],[SAP Contract number]],Shipments[[SAP Contract number]:[AAA Premium USD]],24,FALSE)</f>
        <v>#N/A</v>
      </c>
      <c r="X2859" s="34" t="e">
        <f>VLOOKUP(Allocation[[#This Row],[SAP Contract number]],Shipments[[SAP Contract number]:[RA Premium USD]],25,FALSE)</f>
        <v>#N/A</v>
      </c>
      <c r="Y2859" s="38">
        <f>Allocation[[#This Row],[Quantity Processed]]/Allocation[[#This Row],[Quantity allocated]]</f>
        <v>3.3336820083682008</v>
      </c>
      <c r="Z2859" s="34" t="b">
        <f>Allocation[[#This Row],[Quantity allocated]]&lt;=Allocation[[#This Row],[Quantity Processed]]</f>
        <v>1</v>
      </c>
    </row>
    <row r="2860" spans="1:26">
      <c r="A2860" s="247" t="s">
        <v>467</v>
      </c>
      <c r="B2860" s="224" t="s">
        <v>68</v>
      </c>
      <c r="C2860" s="257" t="s">
        <v>2238</v>
      </c>
      <c r="D2860" s="258">
        <v>5997</v>
      </c>
      <c r="E2860" s="225" t="s">
        <v>2272</v>
      </c>
      <c r="F2860" s="226">
        <v>43797</v>
      </c>
      <c r="G2860" s="227">
        <v>2.8</v>
      </c>
      <c r="H2860" s="259">
        <v>2039</v>
      </c>
      <c r="I2860" s="228">
        <v>1511305</v>
      </c>
      <c r="J2860" s="229">
        <v>19175</v>
      </c>
      <c r="K2860" s="226">
        <v>43801</v>
      </c>
      <c r="L2860" s="225" t="s">
        <v>2274</v>
      </c>
      <c r="M2860" s="230">
        <v>4615551656</v>
      </c>
      <c r="N2860" s="226"/>
      <c r="O2860" s="231"/>
      <c r="P2860" s="219"/>
      <c r="Q2860" s="34">
        <f>SUMIF(Allocation[Delivery ID],Allocation[[#This Row],[Delivery ID]],Allocation[Quantity Processed])</f>
        <v>5997</v>
      </c>
      <c r="R2860" s="61">
        <f>Allocation[[#This Row],[Total volume used]]/VLOOKUP(Allocation[[#This Row],[Delivery ID]],Delivery[[Delivery ID]:[Quantity delivered]],3,FALSE)</f>
        <v>0.19996665555185061</v>
      </c>
      <c r="S2860" s="34">
        <f>Allocation[[#This Row],[Quantity Processed]]/Allocation[[#This Row],[Dilution rate]]</f>
        <v>2141.7857142857142</v>
      </c>
      <c r="T2860" s="59">
        <f>SUMIF(Allocation[Delivery ID],Allocation[[#This Row],[Delivery ID]],Allocation[Quantity allocated])/SUMIF(Allocation[Delivery ID],Allocation[[#This Row],[Delivery ID]],Allocation[Volume available (kg)])</f>
        <v>0.95200933800233456</v>
      </c>
      <c r="U2860" s="61">
        <f>Allocation[[#This Row],[Total volume used]]/VLOOKUP(Allocation[[#This Row],[Delivery ID]],Delivery[[Delivery ID]:[Quantity delivered]],3,FALSE)</f>
        <v>0.19996665555185061</v>
      </c>
      <c r="V2860" s="34" t="e">
        <f>VLOOKUP(Allocation[[#This Row],[SAP Contract number]],Shipments[[SAP Contract number]:[Contracted container weight]],2,FALSE)</f>
        <v>#N/A</v>
      </c>
      <c r="W2860" s="34" t="e">
        <f>VLOOKUP(Allocation[[#This Row],[SAP Contract number]],Shipments[[SAP Contract number]:[AAA Premium USD]],24,FALSE)</f>
        <v>#N/A</v>
      </c>
      <c r="X2860" s="34" t="e">
        <f>VLOOKUP(Allocation[[#This Row],[SAP Contract number]],Shipments[[SAP Contract number]:[RA Premium USD]],25,FALSE)</f>
        <v>#N/A</v>
      </c>
      <c r="Y2860" s="38">
        <f>Allocation[[#This Row],[Quantity Processed]]/Allocation[[#This Row],[Quantity allocated]]</f>
        <v>2.9411476213830308</v>
      </c>
      <c r="Z2860" s="34" t="b">
        <f>Allocation[[#This Row],[Quantity allocated]]&lt;=Allocation[[#This Row],[Quantity Processed]]</f>
        <v>1</v>
      </c>
    </row>
  </sheetData>
  <conditionalFormatting sqref="R2:R2860 U650:U2860">
    <cfRule type="cellIs" dxfId="77" priority="17" operator="lessThan">
      <formula>1</formula>
    </cfRule>
  </conditionalFormatting>
  <conditionalFormatting sqref="U2:U2860">
    <cfRule type="cellIs" dxfId="76" priority="16" operator="lessThan">
      <formula>1</formula>
    </cfRule>
  </conditionalFormatting>
  <conditionalFormatting sqref="C2818">
    <cfRule type="duplicateValues" dxfId="75" priority="5"/>
    <cfRule type="duplicateValues" dxfId="74" priority="6"/>
  </conditionalFormatting>
  <conditionalFormatting sqref="C2822:C2828">
    <cfRule type="duplicateValues" dxfId="73" priority="3"/>
    <cfRule type="duplicateValues" dxfId="72" priority="4"/>
  </conditionalFormatting>
  <conditionalFormatting sqref="C2819:C2821 C2814:C2817">
    <cfRule type="duplicateValues" dxfId="71" priority="1"/>
    <cfRule type="duplicateValues" dxfId="70" priority="2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B3944"/>
  <sheetViews>
    <sheetView workbookViewId="0"/>
  </sheetViews>
  <sheetFormatPr defaultRowHeight="15"/>
  <cols>
    <col min="1" max="1" width="28.85546875" bestFit="1" customWidth="1"/>
    <col min="2" max="2" width="19.140625" customWidth="1"/>
    <col min="3" max="3" width="22.7109375" customWidth="1"/>
    <col min="4" max="4" width="28.85546875" customWidth="1"/>
    <col min="5" max="5" width="24.7109375" customWidth="1"/>
    <col min="6" max="6" width="15.85546875" customWidth="1"/>
    <col min="7" max="7" width="14.5703125" customWidth="1"/>
    <col min="8" max="8" width="15.7109375" customWidth="1"/>
    <col min="9" max="9" width="14.28515625" customWidth="1"/>
    <col min="10" max="10" width="18.42578125" customWidth="1"/>
    <col min="11" max="11" width="25.28515625" customWidth="1"/>
    <col min="12" max="12" width="13.42578125" customWidth="1"/>
    <col min="13" max="13" width="17.28515625" customWidth="1"/>
    <col min="14" max="14" width="16.85546875" customWidth="1"/>
    <col min="15" max="15" width="21.42578125" customWidth="1"/>
    <col min="17" max="17" width="13.42578125" customWidth="1"/>
    <col min="18" max="18" width="12" customWidth="1"/>
    <col min="19" max="19" width="23.85546875" bestFit="1" customWidth="1"/>
    <col min="20" max="20" width="22.140625" customWidth="1"/>
    <col min="21" max="21" width="11.140625" customWidth="1"/>
    <col min="22" max="22" width="13" customWidth="1"/>
    <col min="23" max="23" width="11.42578125" customWidth="1"/>
    <col min="24" max="24" width="13.85546875" customWidth="1"/>
    <col min="26" max="26" width="20.28515625" customWidth="1"/>
    <col min="27" max="27" width="19" customWidth="1"/>
    <col min="28" max="28" width="10.5703125" customWidth="1"/>
  </cols>
  <sheetData>
    <row r="1" spans="1:28" ht="26.25">
      <c r="A1" s="109" t="s">
        <v>81</v>
      </c>
      <c r="B1" s="109" t="s">
        <v>82</v>
      </c>
      <c r="C1" s="109" t="s">
        <v>29</v>
      </c>
      <c r="D1" s="110" t="s">
        <v>83</v>
      </c>
      <c r="E1" s="109" t="s">
        <v>84</v>
      </c>
      <c r="F1" s="109" t="s">
        <v>85</v>
      </c>
      <c r="G1" s="109" t="s">
        <v>86</v>
      </c>
      <c r="H1" s="109" t="s">
        <v>87</v>
      </c>
      <c r="I1" s="109" t="s">
        <v>88</v>
      </c>
      <c r="J1" s="111" t="s">
        <v>89</v>
      </c>
      <c r="K1" s="111" t="s">
        <v>90</v>
      </c>
      <c r="L1" s="109" t="s">
        <v>91</v>
      </c>
      <c r="M1" s="109" t="s">
        <v>92</v>
      </c>
      <c r="N1" s="109" t="s">
        <v>93</v>
      </c>
      <c r="O1" s="109" t="s">
        <v>94</v>
      </c>
      <c r="P1" s="112" t="s">
        <v>95</v>
      </c>
      <c r="Q1" s="112" t="s">
        <v>424</v>
      </c>
      <c r="R1" s="112" t="s">
        <v>96</v>
      </c>
      <c r="S1" s="112" t="s">
        <v>97</v>
      </c>
      <c r="T1" s="112" t="s">
        <v>98</v>
      </c>
      <c r="U1" s="112" t="s">
        <v>99</v>
      </c>
      <c r="V1" s="113" t="s">
        <v>100</v>
      </c>
      <c r="W1" s="112" t="s">
        <v>101</v>
      </c>
      <c r="X1" s="112" t="s">
        <v>102</v>
      </c>
      <c r="Y1" s="125" t="s">
        <v>103</v>
      </c>
      <c r="Z1" s="114" t="s">
        <v>104</v>
      </c>
      <c r="AA1" s="114" t="s">
        <v>105</v>
      </c>
      <c r="AB1" s="114" t="s">
        <v>106</v>
      </c>
    </row>
    <row r="2" spans="1:28">
      <c r="A2" s="67" t="s">
        <v>107</v>
      </c>
      <c r="B2" s="68">
        <v>1290733</v>
      </c>
      <c r="C2" s="69">
        <v>4615451171</v>
      </c>
      <c r="D2" s="70">
        <v>19200</v>
      </c>
      <c r="E2" s="67"/>
      <c r="F2" s="68">
        <v>154.32</v>
      </c>
      <c r="G2" s="68">
        <v>0</v>
      </c>
      <c r="H2" s="68">
        <v>0</v>
      </c>
      <c r="I2" s="68">
        <v>0</v>
      </c>
      <c r="J2" s="71">
        <v>43032</v>
      </c>
      <c r="K2" s="71">
        <v>43060</v>
      </c>
      <c r="L2" s="69" t="s">
        <v>108</v>
      </c>
      <c r="M2" s="69" t="s">
        <v>109</v>
      </c>
      <c r="N2" s="72">
        <v>43090</v>
      </c>
      <c r="O2" s="67"/>
      <c r="P2" s="67" t="s">
        <v>95</v>
      </c>
      <c r="Q2" s="67" t="s">
        <v>110</v>
      </c>
      <c r="R2" s="69" t="s">
        <v>69</v>
      </c>
      <c r="S2" s="69" t="s">
        <v>111</v>
      </c>
      <c r="T2" s="67"/>
      <c r="U2" s="67"/>
      <c r="V2" s="72">
        <v>43069</v>
      </c>
      <c r="W2" s="69" t="s">
        <v>112</v>
      </c>
      <c r="X2" s="69"/>
      <c r="Y2" s="126"/>
      <c r="Z2" s="30">
        <f>CONVERT(D2,"kg","lbm")*F2/100</f>
        <v>65321.73369671098</v>
      </c>
      <c r="AA2" s="30">
        <f>CONVERT(D2,"kg","lbm")*G2/100</f>
        <v>0</v>
      </c>
      <c r="AB2" t="s">
        <v>456</v>
      </c>
    </row>
    <row r="3" spans="1:28">
      <c r="A3" s="67" t="s">
        <v>113</v>
      </c>
      <c r="B3" s="68">
        <v>1294675</v>
      </c>
      <c r="C3" s="69">
        <v>4615403114</v>
      </c>
      <c r="D3" s="70">
        <v>20700</v>
      </c>
      <c r="E3" s="67"/>
      <c r="F3" s="68">
        <v>16</v>
      </c>
      <c r="G3" s="68" t="s">
        <v>114</v>
      </c>
      <c r="H3" s="68">
        <v>0</v>
      </c>
      <c r="I3" s="68">
        <v>0</v>
      </c>
      <c r="J3" s="71">
        <v>43039</v>
      </c>
      <c r="K3" s="71">
        <v>43060</v>
      </c>
      <c r="L3" s="69" t="s">
        <v>108</v>
      </c>
      <c r="M3" s="69" t="s">
        <v>109</v>
      </c>
      <c r="N3" s="72">
        <v>43090</v>
      </c>
      <c r="O3" s="67"/>
      <c r="P3" s="67" t="s">
        <v>95</v>
      </c>
      <c r="Q3" s="67" t="s">
        <v>110</v>
      </c>
      <c r="R3" s="69" t="s">
        <v>69</v>
      </c>
      <c r="S3" s="69" t="s">
        <v>115</v>
      </c>
      <c r="T3" s="67"/>
      <c r="U3" s="67"/>
      <c r="V3" s="72">
        <v>43039</v>
      </c>
      <c r="W3" s="69" t="s">
        <v>116</v>
      </c>
      <c r="X3" s="69" t="s">
        <v>117</v>
      </c>
      <c r="Y3" s="126"/>
      <c r="Z3" s="30">
        <f t="shared" ref="Z3:Z66" si="0">CONVERT(D3,"kg","lbm")*F3/100</f>
        <v>7301.7101235631453</v>
      </c>
      <c r="AA3" s="30">
        <f t="shared" ref="AA3:AA66" si="1">CONVERT(D3,"kg","lbm")*G3/100</f>
        <v>0</v>
      </c>
      <c r="AB3" t="s">
        <v>456</v>
      </c>
    </row>
    <row r="4" spans="1:28">
      <c r="A4" s="67" t="s">
        <v>118</v>
      </c>
      <c r="B4" s="68">
        <v>1280166</v>
      </c>
      <c r="C4" s="69">
        <v>4615442051</v>
      </c>
      <c r="D4" s="70">
        <v>19175</v>
      </c>
      <c r="E4" s="67"/>
      <c r="F4" s="68">
        <v>10</v>
      </c>
      <c r="G4" s="68">
        <v>0</v>
      </c>
      <c r="H4" s="68">
        <v>0</v>
      </c>
      <c r="I4" s="68">
        <v>0</v>
      </c>
      <c r="J4" s="71">
        <v>43009</v>
      </c>
      <c r="K4" s="71">
        <v>42988</v>
      </c>
      <c r="L4" s="69" t="s">
        <v>119</v>
      </c>
      <c r="M4" s="69" t="s">
        <v>109</v>
      </c>
      <c r="N4" s="72">
        <v>43090</v>
      </c>
      <c r="O4" s="67"/>
      <c r="P4" s="67" t="s">
        <v>95</v>
      </c>
      <c r="Q4" s="67" t="s">
        <v>120</v>
      </c>
      <c r="R4" s="69" t="s">
        <v>69</v>
      </c>
      <c r="S4" s="69" t="s">
        <v>121</v>
      </c>
      <c r="T4" s="67"/>
      <c r="U4" s="67"/>
      <c r="V4" s="72">
        <v>43008</v>
      </c>
      <c r="W4" s="69">
        <v>2028203</v>
      </c>
      <c r="X4" s="69"/>
      <c r="Y4" s="126"/>
      <c r="Z4" s="30">
        <f t="shared" si="0"/>
        <v>4227.3638773950279</v>
      </c>
      <c r="AA4" s="30">
        <f t="shared" si="1"/>
        <v>0</v>
      </c>
      <c r="AB4" t="s">
        <v>456</v>
      </c>
    </row>
    <row r="5" spans="1:28">
      <c r="A5" s="67" t="s">
        <v>113</v>
      </c>
      <c r="B5" s="68">
        <v>1294677</v>
      </c>
      <c r="C5" s="69">
        <v>4615403114</v>
      </c>
      <c r="D5" s="70">
        <v>20700</v>
      </c>
      <c r="E5" s="67"/>
      <c r="F5" s="68">
        <v>16</v>
      </c>
      <c r="G5" s="68" t="s">
        <v>114</v>
      </c>
      <c r="H5" s="68">
        <v>0</v>
      </c>
      <c r="I5" s="68">
        <v>0</v>
      </c>
      <c r="J5" s="71">
        <v>43039</v>
      </c>
      <c r="K5" s="71">
        <v>43058</v>
      </c>
      <c r="L5" s="69" t="s">
        <v>108</v>
      </c>
      <c r="M5" s="69" t="s">
        <v>109</v>
      </c>
      <c r="N5" s="72">
        <v>43088</v>
      </c>
      <c r="O5" s="67"/>
      <c r="P5" s="67" t="s">
        <v>95</v>
      </c>
      <c r="Q5" s="67" t="s">
        <v>110</v>
      </c>
      <c r="R5" s="69" t="s">
        <v>69</v>
      </c>
      <c r="S5" s="69" t="s">
        <v>115</v>
      </c>
      <c r="T5" s="67"/>
      <c r="U5" s="67"/>
      <c r="V5" s="72">
        <v>43039</v>
      </c>
      <c r="W5" s="69" t="s">
        <v>116</v>
      </c>
      <c r="X5" s="69" t="s">
        <v>117</v>
      </c>
      <c r="Y5" s="126"/>
      <c r="Z5" s="30">
        <f t="shared" si="0"/>
        <v>7301.7101235631453</v>
      </c>
      <c r="AA5" s="30">
        <f t="shared" si="1"/>
        <v>0</v>
      </c>
      <c r="AB5" t="s">
        <v>456</v>
      </c>
    </row>
    <row r="6" spans="1:28">
      <c r="A6" s="67" t="s">
        <v>113</v>
      </c>
      <c r="B6" s="68">
        <v>1294405</v>
      </c>
      <c r="C6" s="69">
        <v>4615403114</v>
      </c>
      <c r="D6" s="70">
        <v>20700</v>
      </c>
      <c r="E6" s="67"/>
      <c r="F6" s="68">
        <v>16</v>
      </c>
      <c r="G6" s="68" t="s">
        <v>114</v>
      </c>
      <c r="H6" s="68">
        <v>0</v>
      </c>
      <c r="I6" s="68">
        <v>0</v>
      </c>
      <c r="J6" s="71">
        <v>43032</v>
      </c>
      <c r="K6" s="71">
        <v>43032</v>
      </c>
      <c r="L6" s="69" t="s">
        <v>108</v>
      </c>
      <c r="M6" s="69" t="s">
        <v>109</v>
      </c>
      <c r="N6" s="72">
        <v>43088</v>
      </c>
      <c r="O6" s="67"/>
      <c r="P6" s="67" t="s">
        <v>95</v>
      </c>
      <c r="Q6" s="67" t="s">
        <v>110</v>
      </c>
      <c r="R6" s="69" t="s">
        <v>69</v>
      </c>
      <c r="S6" s="69" t="s">
        <v>115</v>
      </c>
      <c r="T6" s="67"/>
      <c r="U6" s="67"/>
      <c r="V6" s="72">
        <v>43039</v>
      </c>
      <c r="W6" s="69" t="s">
        <v>116</v>
      </c>
      <c r="X6" s="69" t="s">
        <v>117</v>
      </c>
      <c r="Y6" s="126"/>
      <c r="Z6" s="30">
        <f t="shared" si="0"/>
        <v>7301.7101235631453</v>
      </c>
      <c r="AA6" s="30">
        <f t="shared" si="1"/>
        <v>0</v>
      </c>
      <c r="AB6" t="s">
        <v>456</v>
      </c>
    </row>
    <row r="7" spans="1:28">
      <c r="A7" s="67" t="s">
        <v>122</v>
      </c>
      <c r="B7" s="68">
        <v>1290297</v>
      </c>
      <c r="C7" s="69">
        <v>4615399927</v>
      </c>
      <c r="D7" s="70">
        <v>19200</v>
      </c>
      <c r="E7" s="67"/>
      <c r="F7" s="68">
        <v>16</v>
      </c>
      <c r="G7" s="68">
        <v>5</v>
      </c>
      <c r="H7" s="68">
        <v>0</v>
      </c>
      <c r="I7" s="68">
        <v>0</v>
      </c>
      <c r="J7" s="71">
        <v>43009</v>
      </c>
      <c r="K7" s="71">
        <v>42968</v>
      </c>
      <c r="L7" s="69" t="s">
        <v>119</v>
      </c>
      <c r="M7" s="69" t="s">
        <v>109</v>
      </c>
      <c r="N7" s="72">
        <v>43088</v>
      </c>
      <c r="O7" s="67"/>
      <c r="P7" s="67" t="s">
        <v>95</v>
      </c>
      <c r="Q7" s="67" t="s">
        <v>120</v>
      </c>
      <c r="R7" s="69" t="s">
        <v>69</v>
      </c>
      <c r="S7" s="69" t="s">
        <v>123</v>
      </c>
      <c r="T7" s="67"/>
      <c r="U7" s="67"/>
      <c r="V7" s="72">
        <v>43039</v>
      </c>
      <c r="W7" s="69">
        <v>2025787</v>
      </c>
      <c r="X7" s="69"/>
      <c r="Y7" s="126"/>
      <c r="Z7" s="30">
        <f t="shared" si="0"/>
        <v>6772.6006943194379</v>
      </c>
      <c r="AA7" s="30">
        <f t="shared" si="1"/>
        <v>2116.4377169748245</v>
      </c>
      <c r="AB7" t="s">
        <v>456</v>
      </c>
    </row>
    <row r="8" spans="1:28">
      <c r="A8" s="67" t="s">
        <v>122</v>
      </c>
      <c r="B8" s="68">
        <v>1295668</v>
      </c>
      <c r="C8" s="69">
        <v>4615472459</v>
      </c>
      <c r="D8" s="70">
        <v>21102</v>
      </c>
      <c r="E8" s="67"/>
      <c r="F8" s="68">
        <v>16</v>
      </c>
      <c r="G8" s="68">
        <v>5</v>
      </c>
      <c r="H8" s="73">
        <v>0</v>
      </c>
      <c r="I8" s="68">
        <v>0</v>
      </c>
      <c r="J8" s="71">
        <v>43024</v>
      </c>
      <c r="K8" s="71">
        <v>43004</v>
      </c>
      <c r="L8" s="69" t="s">
        <v>108</v>
      </c>
      <c r="M8" s="69" t="s">
        <v>109</v>
      </c>
      <c r="N8" s="72">
        <v>43087</v>
      </c>
      <c r="O8" s="67"/>
      <c r="P8" s="67" t="s">
        <v>95</v>
      </c>
      <c r="Q8" s="67" t="s">
        <v>120</v>
      </c>
      <c r="R8" s="69" t="s">
        <v>69</v>
      </c>
      <c r="S8" s="69" t="s">
        <v>123</v>
      </c>
      <c r="T8" s="67"/>
      <c r="U8" s="67"/>
      <c r="V8" s="72">
        <v>43069</v>
      </c>
      <c r="W8" s="69">
        <v>2030497</v>
      </c>
      <c r="X8" s="69" t="s">
        <v>124</v>
      </c>
      <c r="Y8" s="126"/>
      <c r="Z8" s="30">
        <f t="shared" si="0"/>
        <v>7443.5114506004584</v>
      </c>
      <c r="AA8" s="30">
        <f t="shared" si="1"/>
        <v>2326.0973283126432</v>
      </c>
      <c r="AB8" t="s">
        <v>456</v>
      </c>
    </row>
    <row r="9" spans="1:28">
      <c r="A9" s="67" t="s">
        <v>113</v>
      </c>
      <c r="B9" s="68">
        <v>1294402</v>
      </c>
      <c r="C9" s="69">
        <v>4615403114</v>
      </c>
      <c r="D9" s="70">
        <v>20700</v>
      </c>
      <c r="E9" s="67"/>
      <c r="F9" s="68">
        <v>16</v>
      </c>
      <c r="G9" s="68" t="s">
        <v>114</v>
      </c>
      <c r="H9" s="68">
        <v>0</v>
      </c>
      <c r="I9" s="68">
        <v>0</v>
      </c>
      <c r="J9" s="71">
        <v>43032</v>
      </c>
      <c r="K9" s="71">
        <v>43025</v>
      </c>
      <c r="L9" s="69" t="s">
        <v>108</v>
      </c>
      <c r="M9" s="69" t="s">
        <v>109</v>
      </c>
      <c r="N9" s="72">
        <v>43087</v>
      </c>
      <c r="O9" s="67"/>
      <c r="P9" s="67" t="s">
        <v>95</v>
      </c>
      <c r="Q9" s="67" t="s">
        <v>110</v>
      </c>
      <c r="R9" s="69" t="s">
        <v>69</v>
      </c>
      <c r="S9" s="69" t="s">
        <v>115</v>
      </c>
      <c r="T9" s="67"/>
      <c r="U9" s="67"/>
      <c r="V9" s="72">
        <v>43039</v>
      </c>
      <c r="W9" s="74" t="s">
        <v>116</v>
      </c>
      <c r="X9" s="69" t="s">
        <v>117</v>
      </c>
      <c r="Y9" s="126"/>
      <c r="Z9" s="30">
        <f t="shared" si="0"/>
        <v>7301.7101235631453</v>
      </c>
      <c r="AA9" s="30">
        <f t="shared" si="1"/>
        <v>0</v>
      </c>
      <c r="AB9" t="s">
        <v>456</v>
      </c>
    </row>
    <row r="10" spans="1:28">
      <c r="A10" s="67" t="s">
        <v>118</v>
      </c>
      <c r="B10" s="68">
        <v>1290692</v>
      </c>
      <c r="C10" s="69">
        <v>4615432807</v>
      </c>
      <c r="D10" s="70">
        <v>19175</v>
      </c>
      <c r="E10" s="67"/>
      <c r="F10" s="68">
        <v>10</v>
      </c>
      <c r="G10" s="68">
        <v>5</v>
      </c>
      <c r="H10" s="73">
        <v>0</v>
      </c>
      <c r="I10" s="68">
        <v>0</v>
      </c>
      <c r="J10" s="71">
        <v>43016</v>
      </c>
      <c r="K10" s="71">
        <v>43046</v>
      </c>
      <c r="L10" s="69" t="s">
        <v>119</v>
      </c>
      <c r="M10" s="69" t="s">
        <v>109</v>
      </c>
      <c r="N10" s="72">
        <v>43087</v>
      </c>
      <c r="O10" s="67"/>
      <c r="P10" s="67" t="s">
        <v>95</v>
      </c>
      <c r="Q10" s="67" t="s">
        <v>120</v>
      </c>
      <c r="R10" s="69" t="s">
        <v>69</v>
      </c>
      <c r="S10" s="69" t="s">
        <v>121</v>
      </c>
      <c r="T10" s="67"/>
      <c r="U10" s="67"/>
      <c r="V10" s="72">
        <v>43039</v>
      </c>
      <c r="W10" s="69">
        <v>2028207</v>
      </c>
      <c r="X10" s="69"/>
      <c r="Y10" s="126"/>
      <c r="Z10" s="30">
        <f t="shared" si="0"/>
        <v>4227.3638773950279</v>
      </c>
      <c r="AA10" s="30">
        <f t="shared" si="1"/>
        <v>2113.6819386975139</v>
      </c>
      <c r="AB10" t="s">
        <v>456</v>
      </c>
    </row>
    <row r="11" spans="1:28">
      <c r="A11" s="67" t="s">
        <v>68</v>
      </c>
      <c r="B11" s="68">
        <v>1293816</v>
      </c>
      <c r="C11" s="69">
        <v>4615399715</v>
      </c>
      <c r="D11" s="70">
        <v>19175</v>
      </c>
      <c r="E11" s="67"/>
      <c r="F11" s="73">
        <v>16</v>
      </c>
      <c r="G11" s="73">
        <v>5</v>
      </c>
      <c r="H11" s="68">
        <v>0</v>
      </c>
      <c r="I11" s="68">
        <v>0</v>
      </c>
      <c r="J11" s="71">
        <v>43003</v>
      </c>
      <c r="K11" s="71">
        <v>43046</v>
      </c>
      <c r="L11" s="69" t="s">
        <v>119</v>
      </c>
      <c r="M11" s="69" t="s">
        <v>109</v>
      </c>
      <c r="N11" s="72">
        <v>43087</v>
      </c>
      <c r="O11" s="67"/>
      <c r="P11" s="67" t="s">
        <v>95</v>
      </c>
      <c r="Q11" s="67" t="s">
        <v>125</v>
      </c>
      <c r="R11" s="69" t="s">
        <v>69</v>
      </c>
      <c r="S11" s="69" t="s">
        <v>68</v>
      </c>
      <c r="T11" s="67"/>
      <c r="U11" s="67"/>
      <c r="V11" s="72">
        <v>43039</v>
      </c>
      <c r="W11" s="69">
        <v>5114739</v>
      </c>
      <c r="X11" s="69"/>
      <c r="Y11" s="126"/>
      <c r="Z11" s="30">
        <f t="shared" si="0"/>
        <v>6763.7822038320437</v>
      </c>
      <c r="AA11" s="30">
        <f t="shared" si="1"/>
        <v>2113.6819386975139</v>
      </c>
      <c r="AB11" t="s">
        <v>456</v>
      </c>
    </row>
    <row r="12" spans="1:28">
      <c r="A12" s="67" t="s">
        <v>118</v>
      </c>
      <c r="B12" s="68">
        <v>1281572</v>
      </c>
      <c r="C12" s="69">
        <v>4615432806</v>
      </c>
      <c r="D12" s="70">
        <v>19175</v>
      </c>
      <c r="E12" s="67"/>
      <c r="F12" s="68">
        <v>10</v>
      </c>
      <c r="G12" s="68">
        <v>5</v>
      </c>
      <c r="H12" s="73">
        <v>0</v>
      </c>
      <c r="I12" s="68">
        <v>0</v>
      </c>
      <c r="J12" s="71">
        <v>43009</v>
      </c>
      <c r="K12" s="71">
        <v>43023</v>
      </c>
      <c r="L12" s="69" t="s">
        <v>119</v>
      </c>
      <c r="M12" s="69" t="s">
        <v>109</v>
      </c>
      <c r="N12" s="72">
        <v>43084</v>
      </c>
      <c r="O12" s="67"/>
      <c r="P12" s="67" t="s">
        <v>95</v>
      </c>
      <c r="Q12" s="67" t="s">
        <v>120</v>
      </c>
      <c r="R12" s="69" t="s">
        <v>69</v>
      </c>
      <c r="S12" s="69" t="s">
        <v>121</v>
      </c>
      <c r="T12" s="67"/>
      <c r="U12" s="67"/>
      <c r="V12" s="72">
        <v>43008</v>
      </c>
      <c r="W12" s="69">
        <v>2028206</v>
      </c>
      <c r="X12" s="69"/>
      <c r="Y12" s="126"/>
      <c r="Z12" s="30">
        <f t="shared" si="0"/>
        <v>4227.3638773950279</v>
      </c>
      <c r="AA12" s="30">
        <f t="shared" si="1"/>
        <v>2113.6819386975139</v>
      </c>
      <c r="AB12" t="s">
        <v>456</v>
      </c>
    </row>
    <row r="13" spans="1:28">
      <c r="A13" s="67" t="s">
        <v>118</v>
      </c>
      <c r="B13" s="68">
        <v>1281573</v>
      </c>
      <c r="C13" s="69">
        <v>4615432806</v>
      </c>
      <c r="D13" s="70">
        <v>19175</v>
      </c>
      <c r="E13" s="67"/>
      <c r="F13" s="68">
        <v>10</v>
      </c>
      <c r="G13" s="68">
        <v>5</v>
      </c>
      <c r="H13" s="73">
        <v>0</v>
      </c>
      <c r="I13" s="68">
        <v>0</v>
      </c>
      <c r="J13" s="71">
        <v>43009</v>
      </c>
      <c r="K13" s="71">
        <v>43060</v>
      </c>
      <c r="L13" s="69" t="s">
        <v>119</v>
      </c>
      <c r="M13" s="69" t="s">
        <v>109</v>
      </c>
      <c r="N13" s="72">
        <v>43084</v>
      </c>
      <c r="O13" s="67"/>
      <c r="P13" s="67" t="s">
        <v>95</v>
      </c>
      <c r="Q13" s="67" t="s">
        <v>120</v>
      </c>
      <c r="R13" s="69" t="s">
        <v>69</v>
      </c>
      <c r="S13" s="69" t="s">
        <v>121</v>
      </c>
      <c r="T13" s="67"/>
      <c r="U13" s="67"/>
      <c r="V13" s="72">
        <v>43008</v>
      </c>
      <c r="W13" s="69">
        <v>2028206</v>
      </c>
      <c r="X13" s="69"/>
      <c r="Y13" s="126"/>
      <c r="Z13" s="30">
        <f t="shared" si="0"/>
        <v>4227.3638773950279</v>
      </c>
      <c r="AA13" s="30">
        <f t="shared" si="1"/>
        <v>2113.6819386975139</v>
      </c>
      <c r="AB13" t="s">
        <v>456</v>
      </c>
    </row>
    <row r="14" spans="1:28">
      <c r="A14" s="67" t="s">
        <v>113</v>
      </c>
      <c r="B14" s="68">
        <v>1282091</v>
      </c>
      <c r="C14" s="69">
        <v>4615409969</v>
      </c>
      <c r="D14" s="70">
        <v>20700</v>
      </c>
      <c r="E14" s="67"/>
      <c r="F14" s="68">
        <v>16</v>
      </c>
      <c r="G14" s="68" t="s">
        <v>114</v>
      </c>
      <c r="H14" s="68">
        <v>0</v>
      </c>
      <c r="I14" s="68">
        <v>0</v>
      </c>
      <c r="J14" s="71">
        <v>43025</v>
      </c>
      <c r="K14" s="71">
        <v>43004</v>
      </c>
      <c r="L14" s="69" t="s">
        <v>108</v>
      </c>
      <c r="M14" s="69" t="s">
        <v>109</v>
      </c>
      <c r="N14" s="72">
        <v>43084</v>
      </c>
      <c r="O14" s="67"/>
      <c r="P14" s="67" t="s">
        <v>95</v>
      </c>
      <c r="Q14" s="67" t="s">
        <v>110</v>
      </c>
      <c r="R14" s="69" t="s">
        <v>69</v>
      </c>
      <c r="S14" s="69" t="s">
        <v>115</v>
      </c>
      <c r="T14" s="67"/>
      <c r="U14" s="67"/>
      <c r="V14" s="72">
        <v>43008</v>
      </c>
      <c r="W14" s="69" t="s">
        <v>126</v>
      </c>
      <c r="X14" s="69" t="s">
        <v>117</v>
      </c>
      <c r="Y14" s="126"/>
      <c r="Z14" s="30">
        <f t="shared" si="0"/>
        <v>7301.7101235631453</v>
      </c>
      <c r="AA14" s="30">
        <f t="shared" si="1"/>
        <v>0</v>
      </c>
      <c r="AB14" t="s">
        <v>456</v>
      </c>
    </row>
    <row r="15" spans="1:28">
      <c r="A15" s="67" t="s">
        <v>113</v>
      </c>
      <c r="B15" s="68">
        <v>1282084</v>
      </c>
      <c r="C15" s="69">
        <v>4615409969</v>
      </c>
      <c r="D15" s="70">
        <v>20700</v>
      </c>
      <c r="E15" s="67"/>
      <c r="F15" s="68">
        <v>16</v>
      </c>
      <c r="G15" s="68" t="s">
        <v>114</v>
      </c>
      <c r="H15" s="68">
        <v>0</v>
      </c>
      <c r="I15" s="68">
        <v>0</v>
      </c>
      <c r="J15" s="71">
        <v>43025</v>
      </c>
      <c r="K15" s="71">
        <v>43032</v>
      </c>
      <c r="L15" s="69" t="s">
        <v>108</v>
      </c>
      <c r="M15" s="69" t="s">
        <v>109</v>
      </c>
      <c r="N15" s="72">
        <v>43084</v>
      </c>
      <c r="O15" s="67"/>
      <c r="P15" s="67" t="s">
        <v>95</v>
      </c>
      <c r="Q15" s="67" t="s">
        <v>110</v>
      </c>
      <c r="R15" s="69" t="s">
        <v>69</v>
      </c>
      <c r="S15" s="69" t="s">
        <v>115</v>
      </c>
      <c r="T15" s="67"/>
      <c r="U15" s="67"/>
      <c r="V15" s="72">
        <v>43008</v>
      </c>
      <c r="W15" s="69" t="s">
        <v>126</v>
      </c>
      <c r="X15" s="69" t="s">
        <v>117</v>
      </c>
      <c r="Y15" s="126"/>
      <c r="Z15" s="30">
        <f t="shared" si="0"/>
        <v>7301.7101235631453</v>
      </c>
      <c r="AA15" s="30">
        <f t="shared" si="1"/>
        <v>0</v>
      </c>
      <c r="AB15" t="s">
        <v>456</v>
      </c>
    </row>
    <row r="16" spans="1:28">
      <c r="A16" s="67" t="s">
        <v>122</v>
      </c>
      <c r="B16" s="68">
        <v>1278495</v>
      </c>
      <c r="C16" s="69">
        <v>4615400793</v>
      </c>
      <c r="D16" s="70">
        <v>19200</v>
      </c>
      <c r="E16" s="67"/>
      <c r="F16" s="68">
        <v>16</v>
      </c>
      <c r="G16" s="68">
        <v>5</v>
      </c>
      <c r="H16" s="73">
        <v>0</v>
      </c>
      <c r="I16" s="68">
        <v>0</v>
      </c>
      <c r="J16" s="71">
        <v>42982</v>
      </c>
      <c r="K16" s="71">
        <v>43047</v>
      </c>
      <c r="L16" s="69" t="s">
        <v>119</v>
      </c>
      <c r="M16" s="69" t="s">
        <v>109</v>
      </c>
      <c r="N16" s="72">
        <v>43084</v>
      </c>
      <c r="O16" s="67"/>
      <c r="P16" s="67" t="s">
        <v>95</v>
      </c>
      <c r="Q16" s="67" t="s">
        <v>120</v>
      </c>
      <c r="R16" s="69" t="s">
        <v>69</v>
      </c>
      <c r="S16" s="69" t="s">
        <v>123</v>
      </c>
      <c r="T16" s="67"/>
      <c r="U16" s="67"/>
      <c r="V16" s="72">
        <v>43008</v>
      </c>
      <c r="W16" s="69">
        <v>2025786</v>
      </c>
      <c r="X16" s="69" t="s">
        <v>127</v>
      </c>
      <c r="Y16" s="126"/>
      <c r="Z16" s="30">
        <f t="shared" si="0"/>
        <v>6772.6006943194379</v>
      </c>
      <c r="AA16" s="30">
        <f t="shared" si="1"/>
        <v>2116.4377169748245</v>
      </c>
      <c r="AB16" t="s">
        <v>456</v>
      </c>
    </row>
    <row r="17" spans="1:28">
      <c r="A17" s="67" t="s">
        <v>122</v>
      </c>
      <c r="B17" s="68">
        <v>1278496</v>
      </c>
      <c r="C17" s="69">
        <v>4615400793</v>
      </c>
      <c r="D17" s="70">
        <v>19200</v>
      </c>
      <c r="E17" s="67"/>
      <c r="F17" s="68">
        <v>16</v>
      </c>
      <c r="G17" s="68">
        <v>5</v>
      </c>
      <c r="H17" s="73">
        <v>0</v>
      </c>
      <c r="I17" s="68">
        <v>0</v>
      </c>
      <c r="J17" s="71">
        <v>42982</v>
      </c>
      <c r="K17" s="71">
        <v>43047</v>
      </c>
      <c r="L17" s="69" t="s">
        <v>119</v>
      </c>
      <c r="M17" s="69" t="s">
        <v>109</v>
      </c>
      <c r="N17" s="72">
        <v>43084</v>
      </c>
      <c r="O17" s="67"/>
      <c r="P17" s="67" t="s">
        <v>95</v>
      </c>
      <c r="Q17" s="67" t="s">
        <v>120</v>
      </c>
      <c r="R17" s="69" t="s">
        <v>69</v>
      </c>
      <c r="S17" s="69" t="s">
        <v>123</v>
      </c>
      <c r="T17" s="67"/>
      <c r="U17" s="67"/>
      <c r="V17" s="72">
        <v>43008</v>
      </c>
      <c r="W17" s="69">
        <v>2025786</v>
      </c>
      <c r="X17" s="69" t="s">
        <v>127</v>
      </c>
      <c r="Y17" s="126"/>
      <c r="Z17" s="30">
        <f t="shared" si="0"/>
        <v>6772.6006943194379</v>
      </c>
      <c r="AA17" s="30">
        <f t="shared" si="1"/>
        <v>2116.4377169748245</v>
      </c>
      <c r="AB17" t="s">
        <v>456</v>
      </c>
    </row>
    <row r="18" spans="1:28">
      <c r="A18" s="67" t="s">
        <v>128</v>
      </c>
      <c r="B18" s="68">
        <v>1284760</v>
      </c>
      <c r="C18" s="69">
        <v>4615469665</v>
      </c>
      <c r="D18" s="70">
        <v>19175</v>
      </c>
      <c r="E18" s="67"/>
      <c r="F18" s="73">
        <v>154.32</v>
      </c>
      <c r="G18" s="73">
        <v>0</v>
      </c>
      <c r="H18" s="68">
        <v>0</v>
      </c>
      <c r="I18" s="68">
        <v>0</v>
      </c>
      <c r="J18" s="71">
        <v>42997</v>
      </c>
      <c r="K18" s="71">
        <v>43058</v>
      </c>
      <c r="L18" s="69" t="s">
        <v>119</v>
      </c>
      <c r="M18" s="69" t="s">
        <v>109</v>
      </c>
      <c r="N18" s="72">
        <v>43084</v>
      </c>
      <c r="O18" s="67"/>
      <c r="P18" s="67" t="s">
        <v>95</v>
      </c>
      <c r="Q18" s="67" t="s">
        <v>129</v>
      </c>
      <c r="R18" s="69" t="s">
        <v>69</v>
      </c>
      <c r="S18" s="69" t="s">
        <v>130</v>
      </c>
      <c r="T18" s="67"/>
      <c r="U18" s="67"/>
      <c r="V18" s="72">
        <v>43008</v>
      </c>
      <c r="W18" s="69">
        <v>425570018</v>
      </c>
      <c r="X18" s="69"/>
      <c r="Y18" s="126"/>
      <c r="Z18" s="30">
        <f t="shared" si="0"/>
        <v>65236.679355960063</v>
      </c>
      <c r="AA18" s="30">
        <f t="shared" si="1"/>
        <v>0</v>
      </c>
      <c r="AB18" t="s">
        <v>456</v>
      </c>
    </row>
    <row r="19" spans="1:28">
      <c r="A19" s="67" t="s">
        <v>113</v>
      </c>
      <c r="B19" s="68">
        <v>1294669</v>
      </c>
      <c r="C19" s="69">
        <v>4615403114</v>
      </c>
      <c r="D19" s="70">
        <v>20700</v>
      </c>
      <c r="E19" s="67"/>
      <c r="F19" s="68">
        <v>16</v>
      </c>
      <c r="G19" s="68" t="s">
        <v>114</v>
      </c>
      <c r="H19" s="68">
        <v>0</v>
      </c>
      <c r="I19" s="68">
        <v>0</v>
      </c>
      <c r="J19" s="71">
        <v>43039</v>
      </c>
      <c r="K19" s="71">
        <v>43025</v>
      </c>
      <c r="L19" s="69" t="s">
        <v>108</v>
      </c>
      <c r="M19" s="69" t="s">
        <v>109</v>
      </c>
      <c r="N19" s="72">
        <v>43084</v>
      </c>
      <c r="O19" s="67"/>
      <c r="P19" s="67" t="s">
        <v>95</v>
      </c>
      <c r="Q19" s="67" t="s">
        <v>110</v>
      </c>
      <c r="R19" s="69" t="s">
        <v>69</v>
      </c>
      <c r="S19" s="69" t="s">
        <v>115</v>
      </c>
      <c r="T19" s="67"/>
      <c r="U19" s="67"/>
      <c r="V19" s="72">
        <v>43039</v>
      </c>
      <c r="W19" s="69" t="s">
        <v>116</v>
      </c>
      <c r="X19" s="69" t="s">
        <v>117</v>
      </c>
      <c r="Y19" s="126"/>
      <c r="Z19" s="30">
        <f t="shared" si="0"/>
        <v>7301.7101235631453</v>
      </c>
      <c r="AA19" s="30">
        <f t="shared" si="1"/>
        <v>0</v>
      </c>
      <c r="AB19" t="s">
        <v>456</v>
      </c>
    </row>
    <row r="20" spans="1:28">
      <c r="A20" s="67" t="s">
        <v>122</v>
      </c>
      <c r="B20" s="68">
        <v>1290293</v>
      </c>
      <c r="C20" s="69">
        <v>4615399927</v>
      </c>
      <c r="D20" s="70">
        <v>19200</v>
      </c>
      <c r="E20" s="67"/>
      <c r="F20" s="68">
        <v>16</v>
      </c>
      <c r="G20" s="68">
        <v>5</v>
      </c>
      <c r="H20" s="68">
        <v>0</v>
      </c>
      <c r="I20" s="68">
        <v>0</v>
      </c>
      <c r="J20" s="71">
        <v>43009</v>
      </c>
      <c r="K20" s="71">
        <v>43047</v>
      </c>
      <c r="L20" s="69" t="s">
        <v>119</v>
      </c>
      <c r="M20" s="69" t="s">
        <v>109</v>
      </c>
      <c r="N20" s="72">
        <v>43084</v>
      </c>
      <c r="O20" s="67"/>
      <c r="P20" s="67" t="s">
        <v>95</v>
      </c>
      <c r="Q20" s="67" t="s">
        <v>120</v>
      </c>
      <c r="R20" s="69" t="s">
        <v>69</v>
      </c>
      <c r="S20" s="69" t="s">
        <v>123</v>
      </c>
      <c r="T20" s="67"/>
      <c r="U20" s="67"/>
      <c r="V20" s="72">
        <v>43039</v>
      </c>
      <c r="W20" s="69">
        <v>2025787</v>
      </c>
      <c r="X20" s="69"/>
      <c r="Y20" s="126"/>
      <c r="Z20" s="30">
        <f t="shared" si="0"/>
        <v>6772.6006943194379</v>
      </c>
      <c r="AA20" s="30">
        <f t="shared" si="1"/>
        <v>2116.4377169748245</v>
      </c>
      <c r="AB20" t="s">
        <v>456</v>
      </c>
    </row>
    <row r="21" spans="1:28">
      <c r="A21" s="67" t="s">
        <v>128</v>
      </c>
      <c r="B21" s="68">
        <v>1287100</v>
      </c>
      <c r="C21" s="69">
        <v>4615445771</v>
      </c>
      <c r="D21" s="70">
        <v>19175</v>
      </c>
      <c r="E21" s="67"/>
      <c r="F21" s="73">
        <v>154.32</v>
      </c>
      <c r="G21" s="73">
        <v>0</v>
      </c>
      <c r="H21" s="68">
        <v>0</v>
      </c>
      <c r="I21" s="68">
        <v>0</v>
      </c>
      <c r="J21" s="71">
        <v>42997</v>
      </c>
      <c r="K21" s="71">
        <v>43004</v>
      </c>
      <c r="L21" s="69" t="s">
        <v>119</v>
      </c>
      <c r="M21" s="69" t="s">
        <v>109</v>
      </c>
      <c r="N21" s="72">
        <v>43084</v>
      </c>
      <c r="O21" s="67"/>
      <c r="P21" s="67" t="s">
        <v>95</v>
      </c>
      <c r="Q21" s="67" t="s">
        <v>129</v>
      </c>
      <c r="R21" s="69" t="s">
        <v>69</v>
      </c>
      <c r="S21" s="69" t="s">
        <v>130</v>
      </c>
      <c r="T21" s="67"/>
      <c r="U21" s="67"/>
      <c r="V21" s="72">
        <v>43039</v>
      </c>
      <c r="W21" s="69">
        <v>425570019</v>
      </c>
      <c r="X21" s="69"/>
      <c r="Y21" s="126"/>
      <c r="Z21" s="30">
        <f t="shared" si="0"/>
        <v>65236.679355960063</v>
      </c>
      <c r="AA21" s="30">
        <f t="shared" si="1"/>
        <v>0</v>
      </c>
      <c r="AB21" t="s">
        <v>456</v>
      </c>
    </row>
    <row r="22" spans="1:28">
      <c r="A22" s="67" t="s">
        <v>122</v>
      </c>
      <c r="B22" s="68">
        <v>1295675</v>
      </c>
      <c r="C22" s="69">
        <v>4615472459</v>
      </c>
      <c r="D22" s="70">
        <v>21102</v>
      </c>
      <c r="E22" s="67"/>
      <c r="F22" s="68">
        <v>16</v>
      </c>
      <c r="G22" s="68">
        <v>5</v>
      </c>
      <c r="H22" s="73">
        <v>0</v>
      </c>
      <c r="I22" s="68">
        <v>0</v>
      </c>
      <c r="J22" s="71">
        <v>43024</v>
      </c>
      <c r="K22" s="71">
        <v>43053</v>
      </c>
      <c r="L22" s="69" t="s">
        <v>108</v>
      </c>
      <c r="M22" s="69" t="s">
        <v>109</v>
      </c>
      <c r="N22" s="72">
        <v>43084</v>
      </c>
      <c r="O22" s="67"/>
      <c r="P22" s="67" t="s">
        <v>95</v>
      </c>
      <c r="Q22" s="67" t="s">
        <v>120</v>
      </c>
      <c r="R22" s="69" t="s">
        <v>69</v>
      </c>
      <c r="S22" s="69" t="s">
        <v>123</v>
      </c>
      <c r="T22" s="67"/>
      <c r="U22" s="67"/>
      <c r="V22" s="72">
        <v>43069</v>
      </c>
      <c r="W22" s="69">
        <v>2030497</v>
      </c>
      <c r="X22" s="69" t="s">
        <v>124</v>
      </c>
      <c r="Y22" s="126"/>
      <c r="Z22" s="30">
        <f t="shared" si="0"/>
        <v>7443.5114506004584</v>
      </c>
      <c r="AA22" s="30">
        <f t="shared" si="1"/>
        <v>2326.0973283126432</v>
      </c>
      <c r="AB22" t="s">
        <v>456</v>
      </c>
    </row>
    <row r="23" spans="1:28">
      <c r="A23" s="67" t="s">
        <v>122</v>
      </c>
      <c r="B23" s="68">
        <v>1295674</v>
      </c>
      <c r="C23" s="69">
        <v>4615472459</v>
      </c>
      <c r="D23" s="70">
        <v>21102</v>
      </c>
      <c r="E23" s="67"/>
      <c r="F23" s="68">
        <v>16</v>
      </c>
      <c r="G23" s="68">
        <v>5</v>
      </c>
      <c r="H23" s="73">
        <v>0</v>
      </c>
      <c r="I23" s="68">
        <v>0</v>
      </c>
      <c r="J23" s="71">
        <v>43025</v>
      </c>
      <c r="K23" s="71">
        <v>43025</v>
      </c>
      <c r="L23" s="69" t="s">
        <v>108</v>
      </c>
      <c r="M23" s="69" t="s">
        <v>109</v>
      </c>
      <c r="N23" s="72">
        <v>43084</v>
      </c>
      <c r="O23" s="67"/>
      <c r="P23" s="67" t="s">
        <v>95</v>
      </c>
      <c r="Q23" s="67" t="s">
        <v>120</v>
      </c>
      <c r="R23" s="69" t="s">
        <v>69</v>
      </c>
      <c r="S23" s="69" t="s">
        <v>123</v>
      </c>
      <c r="T23" s="67"/>
      <c r="U23" s="67"/>
      <c r="V23" s="72">
        <v>43069</v>
      </c>
      <c r="W23" s="69">
        <v>2030497</v>
      </c>
      <c r="X23" s="69" t="s">
        <v>124</v>
      </c>
      <c r="Y23" s="126"/>
      <c r="Z23" s="30">
        <f t="shared" si="0"/>
        <v>7443.5114506004584</v>
      </c>
      <c r="AA23" s="30">
        <f t="shared" si="1"/>
        <v>2326.0973283126432</v>
      </c>
      <c r="AB23" t="s">
        <v>456</v>
      </c>
    </row>
    <row r="24" spans="1:28">
      <c r="A24" s="67" t="s">
        <v>122</v>
      </c>
      <c r="B24" s="68">
        <v>1274435</v>
      </c>
      <c r="C24" s="69">
        <v>4615411816</v>
      </c>
      <c r="D24" s="70">
        <v>19200</v>
      </c>
      <c r="E24" s="67"/>
      <c r="F24" s="68">
        <v>16</v>
      </c>
      <c r="G24" s="68">
        <v>5</v>
      </c>
      <c r="H24" s="68">
        <v>0</v>
      </c>
      <c r="I24" s="68">
        <v>0</v>
      </c>
      <c r="J24" s="71"/>
      <c r="K24" s="71">
        <v>43046</v>
      </c>
      <c r="L24" s="69" t="s">
        <v>80</v>
      </c>
      <c r="M24" s="69" t="s">
        <v>109</v>
      </c>
      <c r="N24" s="72">
        <v>43083</v>
      </c>
      <c r="O24" s="67"/>
      <c r="P24" s="67" t="s">
        <v>95</v>
      </c>
      <c r="Q24" s="67" t="s">
        <v>120</v>
      </c>
      <c r="R24" s="69" t="s">
        <v>69</v>
      </c>
      <c r="S24" s="69" t="s">
        <v>123</v>
      </c>
      <c r="T24" s="67"/>
      <c r="U24" s="67"/>
      <c r="V24" s="72">
        <v>42978</v>
      </c>
      <c r="W24" s="69">
        <v>2025768</v>
      </c>
      <c r="X24" s="69"/>
      <c r="Y24" s="126"/>
      <c r="Z24" s="30">
        <f t="shared" si="0"/>
        <v>6772.6006943194379</v>
      </c>
      <c r="AA24" s="30">
        <f t="shared" si="1"/>
        <v>2116.4377169748245</v>
      </c>
      <c r="AB24" t="s">
        <v>456</v>
      </c>
    </row>
    <row r="25" spans="1:28">
      <c r="A25" s="67" t="s">
        <v>118</v>
      </c>
      <c r="B25" s="68">
        <v>1281574</v>
      </c>
      <c r="C25" s="69">
        <v>4615432806</v>
      </c>
      <c r="D25" s="70">
        <v>19175</v>
      </c>
      <c r="E25" s="67"/>
      <c r="F25" s="68">
        <v>10</v>
      </c>
      <c r="G25" s="68">
        <v>5</v>
      </c>
      <c r="H25" s="73">
        <v>0</v>
      </c>
      <c r="I25" s="68">
        <v>0</v>
      </c>
      <c r="J25" s="71">
        <v>43009</v>
      </c>
      <c r="K25" s="71">
        <v>43046</v>
      </c>
      <c r="L25" s="69" t="s">
        <v>119</v>
      </c>
      <c r="M25" s="69" t="s">
        <v>109</v>
      </c>
      <c r="N25" s="72">
        <v>43083</v>
      </c>
      <c r="O25" s="67"/>
      <c r="P25" s="67" t="s">
        <v>95</v>
      </c>
      <c r="Q25" s="67" t="s">
        <v>120</v>
      </c>
      <c r="R25" s="69" t="s">
        <v>69</v>
      </c>
      <c r="S25" s="69" t="s">
        <v>121</v>
      </c>
      <c r="T25" s="67"/>
      <c r="U25" s="67"/>
      <c r="V25" s="72">
        <v>43008</v>
      </c>
      <c r="W25" s="69">
        <v>2028206</v>
      </c>
      <c r="X25" s="69"/>
      <c r="Y25" s="126"/>
      <c r="Z25" s="30">
        <f t="shared" si="0"/>
        <v>4227.3638773950279</v>
      </c>
      <c r="AA25" s="30">
        <f t="shared" si="1"/>
        <v>2113.6819386975139</v>
      </c>
      <c r="AB25" t="s">
        <v>456</v>
      </c>
    </row>
    <row r="26" spans="1:28">
      <c r="A26" s="67" t="s">
        <v>113</v>
      </c>
      <c r="B26" s="68">
        <v>1282088</v>
      </c>
      <c r="C26" s="69">
        <v>4615409969</v>
      </c>
      <c r="D26" s="70">
        <v>20700</v>
      </c>
      <c r="E26" s="67"/>
      <c r="F26" s="68">
        <v>16</v>
      </c>
      <c r="G26" s="68" t="s">
        <v>114</v>
      </c>
      <c r="H26" s="68">
        <v>0</v>
      </c>
      <c r="I26" s="68">
        <v>0</v>
      </c>
      <c r="J26" s="71">
        <v>43025</v>
      </c>
      <c r="K26" s="71">
        <v>43053</v>
      </c>
      <c r="L26" s="69" t="s">
        <v>108</v>
      </c>
      <c r="M26" s="69" t="s">
        <v>109</v>
      </c>
      <c r="N26" s="72">
        <v>43083</v>
      </c>
      <c r="O26" s="67"/>
      <c r="P26" s="67" t="s">
        <v>95</v>
      </c>
      <c r="Q26" s="67" t="s">
        <v>110</v>
      </c>
      <c r="R26" s="69" t="s">
        <v>69</v>
      </c>
      <c r="S26" s="69" t="s">
        <v>115</v>
      </c>
      <c r="T26" s="67"/>
      <c r="U26" s="67"/>
      <c r="V26" s="72">
        <v>43008</v>
      </c>
      <c r="W26" s="69" t="s">
        <v>126</v>
      </c>
      <c r="X26" s="69" t="s">
        <v>117</v>
      </c>
      <c r="Y26" s="126"/>
      <c r="Z26" s="30">
        <f t="shared" si="0"/>
        <v>7301.7101235631453</v>
      </c>
      <c r="AA26" s="30">
        <f t="shared" si="1"/>
        <v>0</v>
      </c>
      <c r="AB26" t="s">
        <v>456</v>
      </c>
    </row>
    <row r="27" spans="1:28">
      <c r="A27" s="67" t="s">
        <v>68</v>
      </c>
      <c r="B27" s="68">
        <v>1293814</v>
      </c>
      <c r="C27" s="69">
        <v>4615399715</v>
      </c>
      <c r="D27" s="70">
        <v>19175</v>
      </c>
      <c r="E27" s="67"/>
      <c r="F27" s="73">
        <v>16</v>
      </c>
      <c r="G27" s="73">
        <v>5</v>
      </c>
      <c r="H27" s="68">
        <v>0</v>
      </c>
      <c r="I27" s="68">
        <v>0</v>
      </c>
      <c r="J27" s="71">
        <v>43003</v>
      </c>
      <c r="K27" s="71">
        <v>43047</v>
      </c>
      <c r="L27" s="69" t="s">
        <v>119</v>
      </c>
      <c r="M27" s="69" t="s">
        <v>109</v>
      </c>
      <c r="N27" s="72">
        <v>43083</v>
      </c>
      <c r="O27" s="67"/>
      <c r="P27" s="67" t="s">
        <v>95</v>
      </c>
      <c r="Q27" s="67" t="s">
        <v>125</v>
      </c>
      <c r="R27" s="69" t="s">
        <v>69</v>
      </c>
      <c r="S27" s="69" t="s">
        <v>68</v>
      </c>
      <c r="T27" s="67"/>
      <c r="U27" s="67"/>
      <c r="V27" s="72">
        <v>43039</v>
      </c>
      <c r="W27" s="69">
        <v>5114739</v>
      </c>
      <c r="X27" s="69"/>
      <c r="Y27" s="126"/>
      <c r="Z27" s="30">
        <f t="shared" si="0"/>
        <v>6763.7822038320437</v>
      </c>
      <c r="AA27" s="30">
        <f t="shared" si="1"/>
        <v>2113.6819386975139</v>
      </c>
      <c r="AB27" t="s">
        <v>456</v>
      </c>
    </row>
    <row r="28" spans="1:28">
      <c r="A28" s="67" t="s">
        <v>122</v>
      </c>
      <c r="B28" s="68">
        <v>1274440</v>
      </c>
      <c r="C28" s="69">
        <v>4615411816</v>
      </c>
      <c r="D28" s="70">
        <v>19200</v>
      </c>
      <c r="E28" s="67"/>
      <c r="F28" s="68">
        <v>16</v>
      </c>
      <c r="G28" s="68">
        <v>5</v>
      </c>
      <c r="H28" s="68">
        <v>0</v>
      </c>
      <c r="I28" s="68">
        <v>0</v>
      </c>
      <c r="J28" s="71"/>
      <c r="K28" s="71">
        <v>43044</v>
      </c>
      <c r="L28" s="69" t="s">
        <v>80</v>
      </c>
      <c r="M28" s="69" t="s">
        <v>109</v>
      </c>
      <c r="N28" s="72">
        <v>43082</v>
      </c>
      <c r="O28" s="67"/>
      <c r="P28" s="67" t="s">
        <v>95</v>
      </c>
      <c r="Q28" s="67" t="s">
        <v>120</v>
      </c>
      <c r="R28" s="69" t="s">
        <v>69</v>
      </c>
      <c r="S28" s="69" t="s">
        <v>123</v>
      </c>
      <c r="T28" s="67"/>
      <c r="U28" s="67"/>
      <c r="V28" s="72">
        <v>42978</v>
      </c>
      <c r="W28" s="69">
        <v>2025768</v>
      </c>
      <c r="X28" s="69"/>
      <c r="Y28" s="126"/>
      <c r="Z28" s="30">
        <f t="shared" si="0"/>
        <v>6772.6006943194379</v>
      </c>
      <c r="AA28" s="30">
        <f t="shared" si="1"/>
        <v>2116.4377169748245</v>
      </c>
      <c r="AB28" t="s">
        <v>456</v>
      </c>
    </row>
    <row r="29" spans="1:28">
      <c r="A29" s="67" t="s">
        <v>118</v>
      </c>
      <c r="B29" s="68">
        <v>1281575</v>
      </c>
      <c r="C29" s="69">
        <v>4615432806</v>
      </c>
      <c r="D29" s="70">
        <v>19175</v>
      </c>
      <c r="E29" s="67"/>
      <c r="F29" s="68">
        <v>10</v>
      </c>
      <c r="G29" s="68">
        <v>5</v>
      </c>
      <c r="H29" s="73">
        <v>0</v>
      </c>
      <c r="I29" s="68">
        <v>0</v>
      </c>
      <c r="J29" s="71">
        <v>43009</v>
      </c>
      <c r="K29" s="71">
        <v>43044</v>
      </c>
      <c r="L29" s="69" t="s">
        <v>119</v>
      </c>
      <c r="M29" s="69" t="s">
        <v>109</v>
      </c>
      <c r="N29" s="72">
        <v>43082</v>
      </c>
      <c r="O29" s="67"/>
      <c r="P29" s="67" t="s">
        <v>95</v>
      </c>
      <c r="Q29" s="67" t="s">
        <v>120</v>
      </c>
      <c r="R29" s="69" t="s">
        <v>69</v>
      </c>
      <c r="S29" s="69" t="s">
        <v>121</v>
      </c>
      <c r="T29" s="67"/>
      <c r="U29" s="67"/>
      <c r="V29" s="72">
        <v>43008</v>
      </c>
      <c r="W29" s="69">
        <v>2028206</v>
      </c>
      <c r="X29" s="69"/>
      <c r="Y29" s="126"/>
      <c r="Z29" s="30">
        <f t="shared" si="0"/>
        <v>4227.3638773950279</v>
      </c>
      <c r="AA29" s="30">
        <f t="shared" si="1"/>
        <v>2113.6819386975139</v>
      </c>
      <c r="AB29" t="s">
        <v>456</v>
      </c>
    </row>
    <row r="30" spans="1:28">
      <c r="A30" s="67" t="s">
        <v>122</v>
      </c>
      <c r="B30" s="68">
        <v>1278490</v>
      </c>
      <c r="C30" s="69">
        <v>4615400793</v>
      </c>
      <c r="D30" s="70">
        <v>19200</v>
      </c>
      <c r="E30" s="67"/>
      <c r="F30" s="68">
        <v>16</v>
      </c>
      <c r="G30" s="68">
        <v>5</v>
      </c>
      <c r="H30" s="73">
        <v>0</v>
      </c>
      <c r="I30" s="68">
        <v>0</v>
      </c>
      <c r="J30" s="71">
        <v>42982</v>
      </c>
      <c r="K30" s="71">
        <v>42799</v>
      </c>
      <c r="L30" s="69" t="s">
        <v>119</v>
      </c>
      <c r="M30" s="69" t="s">
        <v>109</v>
      </c>
      <c r="N30" s="72">
        <v>43082</v>
      </c>
      <c r="O30" s="67"/>
      <c r="P30" s="67" t="s">
        <v>95</v>
      </c>
      <c r="Q30" s="67" t="s">
        <v>120</v>
      </c>
      <c r="R30" s="69" t="s">
        <v>69</v>
      </c>
      <c r="S30" s="69" t="s">
        <v>123</v>
      </c>
      <c r="T30" s="67"/>
      <c r="U30" s="67"/>
      <c r="V30" s="72">
        <v>43008</v>
      </c>
      <c r="W30" s="69">
        <v>2025786</v>
      </c>
      <c r="X30" s="69"/>
      <c r="Y30" s="126"/>
      <c r="Z30" s="30">
        <f t="shared" si="0"/>
        <v>6772.6006943194379</v>
      </c>
      <c r="AA30" s="30">
        <f t="shared" si="1"/>
        <v>2116.4377169748245</v>
      </c>
      <c r="AB30" t="s">
        <v>456</v>
      </c>
    </row>
    <row r="31" spans="1:28">
      <c r="A31" s="67" t="s">
        <v>113</v>
      </c>
      <c r="B31" s="68">
        <v>1294403</v>
      </c>
      <c r="C31" s="69">
        <v>4615403114</v>
      </c>
      <c r="D31" s="70">
        <v>20700</v>
      </c>
      <c r="E31" s="67"/>
      <c r="F31" s="68">
        <v>16</v>
      </c>
      <c r="G31" s="68" t="s">
        <v>114</v>
      </c>
      <c r="H31" s="68">
        <v>0</v>
      </c>
      <c r="I31" s="68">
        <v>0</v>
      </c>
      <c r="J31" s="71">
        <v>43032</v>
      </c>
      <c r="K31" s="71">
        <v>42984</v>
      </c>
      <c r="L31" s="69" t="s">
        <v>108</v>
      </c>
      <c r="M31" s="69" t="s">
        <v>109</v>
      </c>
      <c r="N31" s="72">
        <v>43082</v>
      </c>
      <c r="O31" s="67"/>
      <c r="P31" s="67" t="s">
        <v>95</v>
      </c>
      <c r="Q31" s="67" t="s">
        <v>110</v>
      </c>
      <c r="R31" s="69" t="s">
        <v>69</v>
      </c>
      <c r="S31" s="69" t="s">
        <v>115</v>
      </c>
      <c r="T31" s="67"/>
      <c r="U31" s="67"/>
      <c r="V31" s="72">
        <v>43039</v>
      </c>
      <c r="W31" s="69" t="s">
        <v>116</v>
      </c>
      <c r="X31" s="69" t="s">
        <v>117</v>
      </c>
      <c r="Y31" s="126"/>
      <c r="Z31" s="30">
        <f t="shared" si="0"/>
        <v>7301.7101235631453</v>
      </c>
      <c r="AA31" s="30">
        <f t="shared" si="1"/>
        <v>0</v>
      </c>
      <c r="AB31" t="s">
        <v>456</v>
      </c>
    </row>
    <row r="32" spans="1:28">
      <c r="A32" s="67" t="s">
        <v>107</v>
      </c>
      <c r="B32" s="68">
        <v>1290731</v>
      </c>
      <c r="C32" s="69">
        <v>4615451171</v>
      </c>
      <c r="D32" s="70">
        <v>19200</v>
      </c>
      <c r="E32" s="67"/>
      <c r="F32" s="68">
        <v>154.32</v>
      </c>
      <c r="G32" s="68">
        <v>0</v>
      </c>
      <c r="H32" s="68">
        <v>0</v>
      </c>
      <c r="I32" s="68">
        <v>0</v>
      </c>
      <c r="J32" s="71">
        <v>43032</v>
      </c>
      <c r="K32" s="71">
        <v>43047</v>
      </c>
      <c r="L32" s="69" t="s">
        <v>108</v>
      </c>
      <c r="M32" s="69" t="s">
        <v>109</v>
      </c>
      <c r="N32" s="72">
        <v>43081</v>
      </c>
      <c r="O32" s="67"/>
      <c r="P32" s="67" t="s">
        <v>95</v>
      </c>
      <c r="Q32" s="67" t="s">
        <v>110</v>
      </c>
      <c r="R32" s="69" t="s">
        <v>69</v>
      </c>
      <c r="S32" s="69" t="s">
        <v>111</v>
      </c>
      <c r="T32" s="67"/>
      <c r="U32" s="67"/>
      <c r="V32" s="72">
        <v>43069</v>
      </c>
      <c r="W32" s="69" t="s">
        <v>112</v>
      </c>
      <c r="X32" s="69"/>
      <c r="Y32" s="126"/>
      <c r="Z32" s="30">
        <f t="shared" si="0"/>
        <v>65321.73369671098</v>
      </c>
      <c r="AA32" s="30">
        <f t="shared" si="1"/>
        <v>0</v>
      </c>
      <c r="AB32" t="s">
        <v>456</v>
      </c>
    </row>
    <row r="33" spans="1:28">
      <c r="A33" s="67" t="s">
        <v>122</v>
      </c>
      <c r="B33" s="68">
        <v>1278487</v>
      </c>
      <c r="C33" s="69">
        <v>4615400793</v>
      </c>
      <c r="D33" s="70">
        <v>19200</v>
      </c>
      <c r="E33" s="67"/>
      <c r="F33" s="68">
        <v>16</v>
      </c>
      <c r="G33" s="68">
        <v>5</v>
      </c>
      <c r="H33" s="73">
        <v>0</v>
      </c>
      <c r="I33" s="68">
        <v>0</v>
      </c>
      <c r="J33" s="71">
        <v>42982</v>
      </c>
      <c r="K33" s="71">
        <v>43047</v>
      </c>
      <c r="L33" s="69" t="s">
        <v>119</v>
      </c>
      <c r="M33" s="69" t="s">
        <v>109</v>
      </c>
      <c r="N33" s="72">
        <v>43081</v>
      </c>
      <c r="O33" s="67"/>
      <c r="P33" s="67" t="s">
        <v>95</v>
      </c>
      <c r="Q33" s="67" t="s">
        <v>120</v>
      </c>
      <c r="R33" s="69" t="s">
        <v>69</v>
      </c>
      <c r="S33" s="69" t="s">
        <v>123</v>
      </c>
      <c r="T33" s="67"/>
      <c r="U33" s="67"/>
      <c r="V33" s="72">
        <v>43008</v>
      </c>
      <c r="W33" s="69">
        <v>2025786</v>
      </c>
      <c r="X33" s="69"/>
      <c r="Y33" s="126"/>
      <c r="Z33" s="30">
        <f t="shared" si="0"/>
        <v>6772.6006943194379</v>
      </c>
      <c r="AA33" s="30">
        <f t="shared" si="1"/>
        <v>2116.4377169748245</v>
      </c>
      <c r="AB33" t="s">
        <v>456</v>
      </c>
    </row>
    <row r="34" spans="1:28">
      <c r="A34" s="67" t="s">
        <v>122</v>
      </c>
      <c r="B34" s="68">
        <v>1290292</v>
      </c>
      <c r="C34" s="69">
        <v>4615399927</v>
      </c>
      <c r="D34" s="70">
        <v>19200</v>
      </c>
      <c r="E34" s="67"/>
      <c r="F34" s="68">
        <v>16</v>
      </c>
      <c r="G34" s="68">
        <v>5</v>
      </c>
      <c r="H34" s="68">
        <v>0</v>
      </c>
      <c r="I34" s="68">
        <v>0</v>
      </c>
      <c r="J34" s="71">
        <v>43009</v>
      </c>
      <c r="K34" s="71">
        <v>43013</v>
      </c>
      <c r="L34" s="69" t="s">
        <v>119</v>
      </c>
      <c r="M34" s="69" t="s">
        <v>109</v>
      </c>
      <c r="N34" s="72">
        <v>43081</v>
      </c>
      <c r="O34" s="67"/>
      <c r="P34" s="67" t="s">
        <v>95</v>
      </c>
      <c r="Q34" s="67" t="s">
        <v>120</v>
      </c>
      <c r="R34" s="69" t="s">
        <v>69</v>
      </c>
      <c r="S34" s="69" t="s">
        <v>123</v>
      </c>
      <c r="T34" s="67"/>
      <c r="U34" s="67"/>
      <c r="V34" s="72">
        <v>43039</v>
      </c>
      <c r="W34" s="69">
        <v>2025787</v>
      </c>
      <c r="X34" s="69"/>
      <c r="Y34" s="126"/>
      <c r="Z34" s="30">
        <f t="shared" si="0"/>
        <v>6772.6006943194379</v>
      </c>
      <c r="AA34" s="30">
        <f t="shared" si="1"/>
        <v>2116.4377169748245</v>
      </c>
      <c r="AB34" t="s">
        <v>456</v>
      </c>
    </row>
    <row r="35" spans="1:28">
      <c r="A35" s="67" t="s">
        <v>68</v>
      </c>
      <c r="B35" s="68">
        <v>1275021</v>
      </c>
      <c r="C35" s="69">
        <v>4615416879</v>
      </c>
      <c r="D35" s="70">
        <v>19175</v>
      </c>
      <c r="E35" s="67"/>
      <c r="F35" s="68">
        <v>16</v>
      </c>
      <c r="G35" s="68">
        <v>5</v>
      </c>
      <c r="H35" s="68">
        <v>0</v>
      </c>
      <c r="I35" s="68">
        <v>0</v>
      </c>
      <c r="J35" s="71"/>
      <c r="K35" s="71">
        <v>43037</v>
      </c>
      <c r="L35" s="69" t="s">
        <v>80</v>
      </c>
      <c r="M35" s="69" t="s">
        <v>109</v>
      </c>
      <c r="N35" s="72">
        <v>43081</v>
      </c>
      <c r="O35" s="67"/>
      <c r="P35" s="67" t="s">
        <v>95</v>
      </c>
      <c r="Q35" s="67" t="s">
        <v>125</v>
      </c>
      <c r="R35" s="69" t="s">
        <v>69</v>
      </c>
      <c r="S35" s="69" t="s">
        <v>68</v>
      </c>
      <c r="T35" s="67"/>
      <c r="U35" s="67"/>
      <c r="V35" s="72">
        <v>42947</v>
      </c>
      <c r="W35" s="69">
        <v>5114736</v>
      </c>
      <c r="X35" s="69"/>
      <c r="Y35" s="126"/>
      <c r="Z35" s="30">
        <f t="shared" si="0"/>
        <v>6763.7822038320437</v>
      </c>
      <c r="AA35" s="30">
        <f t="shared" si="1"/>
        <v>2113.6819386975139</v>
      </c>
      <c r="AB35" t="s">
        <v>456</v>
      </c>
    </row>
    <row r="36" spans="1:28">
      <c r="A36" s="67" t="s">
        <v>68</v>
      </c>
      <c r="B36" s="68">
        <v>1275022</v>
      </c>
      <c r="C36" s="69">
        <v>4615416879</v>
      </c>
      <c r="D36" s="70">
        <v>19175</v>
      </c>
      <c r="E36" s="67"/>
      <c r="F36" s="68">
        <v>16</v>
      </c>
      <c r="G36" s="68">
        <v>5</v>
      </c>
      <c r="H36" s="68">
        <v>0</v>
      </c>
      <c r="I36" s="68">
        <v>0</v>
      </c>
      <c r="J36" s="71"/>
      <c r="K36" s="71">
        <v>43044</v>
      </c>
      <c r="L36" s="69" t="s">
        <v>80</v>
      </c>
      <c r="M36" s="69" t="s">
        <v>109</v>
      </c>
      <c r="N36" s="72">
        <v>43081</v>
      </c>
      <c r="O36" s="67"/>
      <c r="P36" s="67" t="s">
        <v>95</v>
      </c>
      <c r="Q36" s="67" t="s">
        <v>125</v>
      </c>
      <c r="R36" s="69" t="s">
        <v>69</v>
      </c>
      <c r="S36" s="69" t="s">
        <v>68</v>
      </c>
      <c r="T36" s="67"/>
      <c r="U36" s="67"/>
      <c r="V36" s="72">
        <v>42947</v>
      </c>
      <c r="W36" s="69">
        <v>5114736</v>
      </c>
      <c r="X36" s="69"/>
      <c r="Y36" s="126"/>
      <c r="Z36" s="30">
        <f t="shared" si="0"/>
        <v>6763.7822038320437</v>
      </c>
      <c r="AA36" s="30">
        <f t="shared" si="1"/>
        <v>2113.6819386975139</v>
      </c>
      <c r="AB36" t="s">
        <v>456</v>
      </c>
    </row>
    <row r="37" spans="1:28">
      <c r="A37" s="67" t="s">
        <v>68</v>
      </c>
      <c r="B37" s="68">
        <v>1275020</v>
      </c>
      <c r="C37" s="69">
        <v>4615416879</v>
      </c>
      <c r="D37" s="70">
        <v>19175</v>
      </c>
      <c r="E37" s="67"/>
      <c r="F37" s="68">
        <v>16</v>
      </c>
      <c r="G37" s="68">
        <v>5</v>
      </c>
      <c r="H37" s="68">
        <v>0</v>
      </c>
      <c r="I37" s="68">
        <v>0</v>
      </c>
      <c r="J37" s="71"/>
      <c r="K37" s="71">
        <v>43044</v>
      </c>
      <c r="L37" s="69" t="s">
        <v>80</v>
      </c>
      <c r="M37" s="69" t="s">
        <v>109</v>
      </c>
      <c r="N37" s="72">
        <v>43081</v>
      </c>
      <c r="O37" s="67"/>
      <c r="P37" s="67" t="s">
        <v>95</v>
      </c>
      <c r="Q37" s="67" t="s">
        <v>125</v>
      </c>
      <c r="R37" s="69" t="s">
        <v>69</v>
      </c>
      <c r="S37" s="69" t="s">
        <v>68</v>
      </c>
      <c r="T37" s="67"/>
      <c r="U37" s="67"/>
      <c r="V37" s="72">
        <v>42947</v>
      </c>
      <c r="W37" s="69">
        <v>5114736</v>
      </c>
      <c r="X37" s="69"/>
      <c r="Y37" s="126"/>
      <c r="Z37" s="30">
        <f t="shared" si="0"/>
        <v>6763.7822038320437</v>
      </c>
      <c r="AA37" s="30">
        <f t="shared" si="1"/>
        <v>2113.6819386975139</v>
      </c>
      <c r="AB37" t="s">
        <v>456</v>
      </c>
    </row>
    <row r="38" spans="1:28">
      <c r="A38" s="67" t="s">
        <v>113</v>
      </c>
      <c r="B38" s="68">
        <v>1282085</v>
      </c>
      <c r="C38" s="69">
        <v>4615409969</v>
      </c>
      <c r="D38" s="70">
        <v>20700</v>
      </c>
      <c r="E38" s="67"/>
      <c r="F38" s="68">
        <v>16</v>
      </c>
      <c r="G38" s="68" t="s">
        <v>114</v>
      </c>
      <c r="H38" s="68">
        <v>0</v>
      </c>
      <c r="I38" s="68">
        <v>0</v>
      </c>
      <c r="J38" s="71">
        <v>43025</v>
      </c>
      <c r="K38" s="71">
        <v>42961</v>
      </c>
      <c r="L38" s="69" t="s">
        <v>108</v>
      </c>
      <c r="M38" s="69" t="s">
        <v>109</v>
      </c>
      <c r="N38" s="72">
        <v>43081</v>
      </c>
      <c r="O38" s="67"/>
      <c r="P38" s="67" t="s">
        <v>95</v>
      </c>
      <c r="Q38" s="67" t="s">
        <v>110</v>
      </c>
      <c r="R38" s="69" t="s">
        <v>69</v>
      </c>
      <c r="S38" s="69" t="s">
        <v>115</v>
      </c>
      <c r="T38" s="67"/>
      <c r="U38" s="67"/>
      <c r="V38" s="72">
        <v>43008</v>
      </c>
      <c r="W38" s="69" t="s">
        <v>126</v>
      </c>
      <c r="X38" s="69" t="s">
        <v>117</v>
      </c>
      <c r="Y38" s="126"/>
      <c r="Z38" s="30">
        <f t="shared" si="0"/>
        <v>7301.7101235631453</v>
      </c>
      <c r="AA38" s="30">
        <f t="shared" si="1"/>
        <v>0</v>
      </c>
      <c r="AB38" t="s">
        <v>456</v>
      </c>
    </row>
    <row r="39" spans="1:28">
      <c r="A39" s="67" t="s">
        <v>113</v>
      </c>
      <c r="B39" s="68">
        <v>1282081</v>
      </c>
      <c r="C39" s="69">
        <v>4615409969</v>
      </c>
      <c r="D39" s="70">
        <v>20700</v>
      </c>
      <c r="E39" s="67"/>
      <c r="F39" s="68">
        <v>16</v>
      </c>
      <c r="G39" s="68" t="s">
        <v>114</v>
      </c>
      <c r="H39" s="68">
        <v>0</v>
      </c>
      <c r="I39" s="68">
        <v>0</v>
      </c>
      <c r="J39" s="71">
        <v>43025</v>
      </c>
      <c r="K39" s="71">
        <v>43011</v>
      </c>
      <c r="L39" s="69" t="s">
        <v>108</v>
      </c>
      <c r="M39" s="69" t="s">
        <v>109</v>
      </c>
      <c r="N39" s="72">
        <v>43081</v>
      </c>
      <c r="O39" s="67"/>
      <c r="P39" s="67" t="s">
        <v>95</v>
      </c>
      <c r="Q39" s="67" t="s">
        <v>110</v>
      </c>
      <c r="R39" s="69" t="s">
        <v>69</v>
      </c>
      <c r="S39" s="69" t="s">
        <v>115</v>
      </c>
      <c r="T39" s="67"/>
      <c r="U39" s="67"/>
      <c r="V39" s="72">
        <v>43008</v>
      </c>
      <c r="W39" s="69" t="s">
        <v>126</v>
      </c>
      <c r="X39" s="69" t="s">
        <v>117</v>
      </c>
      <c r="Y39" s="126"/>
      <c r="Z39" s="30">
        <f t="shared" si="0"/>
        <v>7301.7101235631453</v>
      </c>
      <c r="AA39" s="30">
        <f t="shared" si="1"/>
        <v>0</v>
      </c>
      <c r="AB39" t="s">
        <v>456</v>
      </c>
    </row>
    <row r="40" spans="1:28">
      <c r="A40" s="67" t="s">
        <v>118</v>
      </c>
      <c r="B40" s="68">
        <v>1280164</v>
      </c>
      <c r="C40" s="69">
        <v>4615432805</v>
      </c>
      <c r="D40" s="70">
        <v>19175</v>
      </c>
      <c r="E40" s="67"/>
      <c r="F40" s="68">
        <v>10</v>
      </c>
      <c r="G40" s="68">
        <v>0</v>
      </c>
      <c r="H40" s="68">
        <v>0</v>
      </c>
      <c r="I40" s="68">
        <v>0</v>
      </c>
      <c r="J40" s="71">
        <v>42989</v>
      </c>
      <c r="K40" s="71">
        <v>43004</v>
      </c>
      <c r="L40" s="69" t="s">
        <v>119</v>
      </c>
      <c r="M40" s="69" t="s">
        <v>109</v>
      </c>
      <c r="N40" s="72">
        <v>43080</v>
      </c>
      <c r="O40" s="67"/>
      <c r="P40" s="67" t="s">
        <v>95</v>
      </c>
      <c r="Q40" s="67" t="s">
        <v>120</v>
      </c>
      <c r="R40" s="69" t="s">
        <v>69</v>
      </c>
      <c r="S40" s="69" t="s">
        <v>121</v>
      </c>
      <c r="T40" s="67"/>
      <c r="U40" s="67"/>
      <c r="V40" s="72">
        <v>43008</v>
      </c>
      <c r="W40" s="69">
        <v>2028204</v>
      </c>
      <c r="X40" s="69"/>
      <c r="Y40" s="126"/>
      <c r="Z40" s="30">
        <f t="shared" si="0"/>
        <v>4227.3638773950279</v>
      </c>
      <c r="AA40" s="30">
        <f t="shared" si="1"/>
        <v>0</v>
      </c>
      <c r="AB40" t="s">
        <v>456</v>
      </c>
    </row>
    <row r="41" spans="1:28">
      <c r="A41" s="67" t="s">
        <v>68</v>
      </c>
      <c r="B41" s="68">
        <v>1293815</v>
      </c>
      <c r="C41" s="69">
        <v>4615399715</v>
      </c>
      <c r="D41" s="70">
        <v>19175</v>
      </c>
      <c r="E41" s="67"/>
      <c r="F41" s="73">
        <v>16</v>
      </c>
      <c r="G41" s="73">
        <v>5</v>
      </c>
      <c r="H41" s="68">
        <v>0</v>
      </c>
      <c r="I41" s="68">
        <v>0</v>
      </c>
      <c r="J41" s="71">
        <v>43003</v>
      </c>
      <c r="K41" s="71">
        <v>43004</v>
      </c>
      <c r="L41" s="69" t="s">
        <v>119</v>
      </c>
      <c r="M41" s="69" t="s">
        <v>109</v>
      </c>
      <c r="N41" s="72">
        <v>43080</v>
      </c>
      <c r="O41" s="67"/>
      <c r="P41" s="67" t="s">
        <v>95</v>
      </c>
      <c r="Q41" s="67" t="s">
        <v>125</v>
      </c>
      <c r="R41" s="69" t="s">
        <v>69</v>
      </c>
      <c r="S41" s="69" t="s">
        <v>68</v>
      </c>
      <c r="T41" s="67"/>
      <c r="U41" s="67"/>
      <c r="V41" s="72">
        <v>43039</v>
      </c>
      <c r="W41" s="69">
        <v>5114739</v>
      </c>
      <c r="X41" s="69"/>
      <c r="Y41" s="126"/>
      <c r="Z41" s="30">
        <f t="shared" si="0"/>
        <v>6763.7822038320437</v>
      </c>
      <c r="AA41" s="30">
        <f t="shared" si="1"/>
        <v>2113.6819386975139</v>
      </c>
      <c r="AB41" t="s">
        <v>456</v>
      </c>
    </row>
    <row r="42" spans="1:28">
      <c r="A42" s="67" t="s">
        <v>113</v>
      </c>
      <c r="B42" s="68">
        <v>1282078</v>
      </c>
      <c r="C42" s="69">
        <v>4615409969</v>
      </c>
      <c r="D42" s="70">
        <v>20700</v>
      </c>
      <c r="E42" s="67"/>
      <c r="F42" s="68">
        <v>16</v>
      </c>
      <c r="G42" s="68" t="s">
        <v>114</v>
      </c>
      <c r="H42" s="68">
        <v>0</v>
      </c>
      <c r="I42" s="68">
        <v>0</v>
      </c>
      <c r="J42" s="71">
        <v>43025</v>
      </c>
      <c r="K42" s="71">
        <v>43039</v>
      </c>
      <c r="L42" s="69" t="s">
        <v>108</v>
      </c>
      <c r="M42" s="69" t="s">
        <v>109</v>
      </c>
      <c r="N42" s="72">
        <v>43080</v>
      </c>
      <c r="O42" s="67"/>
      <c r="P42" s="67" t="s">
        <v>95</v>
      </c>
      <c r="Q42" s="67" t="s">
        <v>110</v>
      </c>
      <c r="R42" s="69" t="s">
        <v>69</v>
      </c>
      <c r="S42" s="69" t="s">
        <v>115</v>
      </c>
      <c r="T42" s="67"/>
      <c r="U42" s="67"/>
      <c r="V42" s="72">
        <v>43008</v>
      </c>
      <c r="W42" s="69" t="s">
        <v>126</v>
      </c>
      <c r="X42" s="69" t="s">
        <v>117</v>
      </c>
      <c r="Y42" s="126"/>
      <c r="Z42" s="30">
        <f t="shared" si="0"/>
        <v>7301.7101235631453</v>
      </c>
      <c r="AA42" s="30">
        <f t="shared" si="1"/>
        <v>0</v>
      </c>
      <c r="AB42" t="s">
        <v>456</v>
      </c>
    </row>
    <row r="43" spans="1:28">
      <c r="A43" s="67" t="s">
        <v>122</v>
      </c>
      <c r="B43" s="68">
        <v>1278491</v>
      </c>
      <c r="C43" s="69">
        <v>4615400793</v>
      </c>
      <c r="D43" s="70">
        <v>19200</v>
      </c>
      <c r="E43" s="67"/>
      <c r="F43" s="68">
        <v>16</v>
      </c>
      <c r="G43" s="68">
        <v>5</v>
      </c>
      <c r="H43" s="73">
        <v>0</v>
      </c>
      <c r="I43" s="68">
        <v>0</v>
      </c>
      <c r="J43" s="71">
        <v>42982</v>
      </c>
      <c r="K43" s="71">
        <v>43025</v>
      </c>
      <c r="L43" s="69" t="s">
        <v>119</v>
      </c>
      <c r="M43" s="69" t="s">
        <v>109</v>
      </c>
      <c r="N43" s="72">
        <v>43080</v>
      </c>
      <c r="O43" s="67"/>
      <c r="P43" s="67" t="s">
        <v>95</v>
      </c>
      <c r="Q43" s="67" t="s">
        <v>120</v>
      </c>
      <c r="R43" s="69" t="s">
        <v>69</v>
      </c>
      <c r="S43" s="69" t="s">
        <v>123</v>
      </c>
      <c r="T43" s="67"/>
      <c r="U43" s="67"/>
      <c r="V43" s="72">
        <v>43008</v>
      </c>
      <c r="W43" s="69">
        <v>2025786</v>
      </c>
      <c r="X43" s="69"/>
      <c r="Y43" s="126"/>
      <c r="Z43" s="30">
        <f t="shared" si="0"/>
        <v>6772.6006943194379</v>
      </c>
      <c r="AA43" s="30">
        <f t="shared" si="1"/>
        <v>2116.4377169748245</v>
      </c>
      <c r="AB43" t="s">
        <v>456</v>
      </c>
    </row>
    <row r="44" spans="1:28">
      <c r="A44" s="67" t="s">
        <v>131</v>
      </c>
      <c r="B44" s="68">
        <v>1297463</v>
      </c>
      <c r="C44" s="69">
        <v>4615474603</v>
      </c>
      <c r="D44" s="70">
        <v>19175</v>
      </c>
      <c r="E44" s="67"/>
      <c r="F44" s="68">
        <v>154.4</v>
      </c>
      <c r="G44" s="75">
        <v>0</v>
      </c>
      <c r="H44" s="68">
        <v>0</v>
      </c>
      <c r="I44" s="68">
        <v>0</v>
      </c>
      <c r="J44" s="71">
        <v>43017</v>
      </c>
      <c r="K44" s="71">
        <v>43037</v>
      </c>
      <c r="L44" s="69" t="s">
        <v>132</v>
      </c>
      <c r="M44" s="69" t="s">
        <v>109</v>
      </c>
      <c r="N44" s="72">
        <v>43079</v>
      </c>
      <c r="O44" s="67"/>
      <c r="P44" s="67" t="s">
        <v>95</v>
      </c>
      <c r="Q44" s="67" t="s">
        <v>133</v>
      </c>
      <c r="R44" s="69" t="s">
        <v>69</v>
      </c>
      <c r="S44" s="69" t="s">
        <v>134</v>
      </c>
      <c r="T44" s="67"/>
      <c r="U44" s="67"/>
      <c r="V44" s="72">
        <v>43069</v>
      </c>
      <c r="W44" s="69" t="s">
        <v>135</v>
      </c>
      <c r="X44" s="69"/>
      <c r="Y44" s="126"/>
      <c r="Z44" s="30">
        <f t="shared" si="0"/>
        <v>65270.498266979223</v>
      </c>
      <c r="AA44" s="30">
        <f t="shared" si="1"/>
        <v>0</v>
      </c>
      <c r="AB44" t="s">
        <v>456</v>
      </c>
    </row>
    <row r="45" spans="1:28">
      <c r="A45" s="67" t="s">
        <v>131</v>
      </c>
      <c r="B45" s="68">
        <v>1297461</v>
      </c>
      <c r="C45" s="69">
        <v>4615474603</v>
      </c>
      <c r="D45" s="70">
        <v>19175</v>
      </c>
      <c r="E45" s="67"/>
      <c r="F45" s="68">
        <v>154.4</v>
      </c>
      <c r="G45" s="75">
        <v>0</v>
      </c>
      <c r="H45" s="68">
        <v>0</v>
      </c>
      <c r="I45" s="68">
        <v>0</v>
      </c>
      <c r="J45" s="71">
        <v>43017</v>
      </c>
      <c r="K45" s="71">
        <v>43030</v>
      </c>
      <c r="L45" s="69" t="s">
        <v>132</v>
      </c>
      <c r="M45" s="69" t="s">
        <v>109</v>
      </c>
      <c r="N45" s="72">
        <v>43079</v>
      </c>
      <c r="O45" s="67"/>
      <c r="P45" s="67" t="s">
        <v>95</v>
      </c>
      <c r="Q45" s="67" t="s">
        <v>133</v>
      </c>
      <c r="R45" s="69" t="s">
        <v>69</v>
      </c>
      <c r="S45" s="69" t="s">
        <v>134</v>
      </c>
      <c r="T45" s="67"/>
      <c r="U45" s="67"/>
      <c r="V45" s="72">
        <v>43069</v>
      </c>
      <c r="W45" s="69" t="s">
        <v>135</v>
      </c>
      <c r="X45" s="69"/>
      <c r="Y45" s="126"/>
      <c r="Z45" s="30">
        <f t="shared" si="0"/>
        <v>65270.498266979223</v>
      </c>
      <c r="AA45" s="30">
        <f t="shared" si="1"/>
        <v>0</v>
      </c>
      <c r="AB45" t="s">
        <v>456</v>
      </c>
    </row>
    <row r="46" spans="1:28">
      <c r="A46" s="67" t="s">
        <v>128</v>
      </c>
      <c r="B46" s="68">
        <v>1287101</v>
      </c>
      <c r="C46" s="69">
        <v>4615445771</v>
      </c>
      <c r="D46" s="70">
        <v>19175</v>
      </c>
      <c r="E46" s="67"/>
      <c r="F46" s="73">
        <v>154.32</v>
      </c>
      <c r="G46" s="73">
        <v>0</v>
      </c>
      <c r="H46" s="68">
        <v>0</v>
      </c>
      <c r="I46" s="68">
        <v>0</v>
      </c>
      <c r="J46" s="71">
        <v>42997</v>
      </c>
      <c r="K46" s="71">
        <v>43024</v>
      </c>
      <c r="L46" s="69" t="s">
        <v>119</v>
      </c>
      <c r="M46" s="69" t="s">
        <v>109</v>
      </c>
      <c r="N46" s="72">
        <v>43079</v>
      </c>
      <c r="O46" s="67"/>
      <c r="P46" s="67" t="s">
        <v>95</v>
      </c>
      <c r="Q46" s="67" t="s">
        <v>129</v>
      </c>
      <c r="R46" s="69" t="s">
        <v>69</v>
      </c>
      <c r="S46" s="69" t="s">
        <v>130</v>
      </c>
      <c r="T46" s="67"/>
      <c r="U46" s="67"/>
      <c r="V46" s="72">
        <v>43039</v>
      </c>
      <c r="W46" s="69">
        <v>425570019</v>
      </c>
      <c r="X46" s="69"/>
      <c r="Y46" s="126"/>
      <c r="Z46" s="30">
        <f t="shared" si="0"/>
        <v>65236.679355960063</v>
      </c>
      <c r="AA46" s="30">
        <f t="shared" si="1"/>
        <v>0</v>
      </c>
      <c r="AB46" t="s">
        <v>456</v>
      </c>
    </row>
    <row r="47" spans="1:28">
      <c r="A47" s="67" t="s">
        <v>128</v>
      </c>
      <c r="B47" s="68">
        <v>1286108</v>
      </c>
      <c r="C47" s="69">
        <v>4615469665</v>
      </c>
      <c r="D47" s="70">
        <v>19175</v>
      </c>
      <c r="E47" s="67"/>
      <c r="F47" s="73">
        <v>154.32</v>
      </c>
      <c r="G47" s="73">
        <v>0</v>
      </c>
      <c r="H47" s="68">
        <v>0</v>
      </c>
      <c r="I47" s="68">
        <v>0</v>
      </c>
      <c r="J47" s="71">
        <v>42997</v>
      </c>
      <c r="K47" s="71">
        <v>42799</v>
      </c>
      <c r="L47" s="69" t="s">
        <v>119</v>
      </c>
      <c r="M47" s="69" t="s">
        <v>109</v>
      </c>
      <c r="N47" s="72">
        <v>43079</v>
      </c>
      <c r="O47" s="67"/>
      <c r="P47" s="67" t="s">
        <v>95</v>
      </c>
      <c r="Q47" s="67" t="s">
        <v>129</v>
      </c>
      <c r="R47" s="69" t="s">
        <v>69</v>
      </c>
      <c r="S47" s="69" t="s">
        <v>130</v>
      </c>
      <c r="T47" s="67"/>
      <c r="U47" s="67"/>
      <c r="V47" s="72">
        <v>43008</v>
      </c>
      <c r="W47" s="69">
        <v>425570018</v>
      </c>
      <c r="X47" s="69"/>
      <c r="Y47" s="126"/>
      <c r="Z47" s="30">
        <f t="shared" si="0"/>
        <v>65236.679355960063</v>
      </c>
      <c r="AA47" s="30">
        <f t="shared" si="1"/>
        <v>0</v>
      </c>
      <c r="AB47" t="s">
        <v>456</v>
      </c>
    </row>
    <row r="48" spans="1:28">
      <c r="A48" s="67" t="s">
        <v>118</v>
      </c>
      <c r="B48" s="68">
        <v>1280163</v>
      </c>
      <c r="C48" s="69">
        <v>4615432805</v>
      </c>
      <c r="D48" s="70">
        <v>19175</v>
      </c>
      <c r="E48" s="67"/>
      <c r="F48" s="68">
        <v>10</v>
      </c>
      <c r="G48" s="68">
        <v>0</v>
      </c>
      <c r="H48" s="68">
        <v>0</v>
      </c>
      <c r="I48" s="68">
        <v>0</v>
      </c>
      <c r="J48" s="71">
        <v>42989</v>
      </c>
      <c r="K48" s="71">
        <v>42974</v>
      </c>
      <c r="L48" s="69" t="s">
        <v>119</v>
      </c>
      <c r="M48" s="69" t="s">
        <v>109</v>
      </c>
      <c r="N48" s="72">
        <v>43079</v>
      </c>
      <c r="O48" s="67"/>
      <c r="P48" s="67" t="s">
        <v>95</v>
      </c>
      <c r="Q48" s="67" t="s">
        <v>120</v>
      </c>
      <c r="R48" s="69" t="s">
        <v>69</v>
      </c>
      <c r="S48" s="69" t="s">
        <v>121</v>
      </c>
      <c r="T48" s="67"/>
      <c r="U48" s="67"/>
      <c r="V48" s="72">
        <v>43008</v>
      </c>
      <c r="W48" s="69">
        <v>2028204</v>
      </c>
      <c r="X48" s="69"/>
      <c r="Y48" s="126"/>
      <c r="Z48" s="30">
        <f t="shared" si="0"/>
        <v>4227.3638773950279</v>
      </c>
      <c r="AA48" s="30">
        <f t="shared" si="1"/>
        <v>0</v>
      </c>
      <c r="AB48" t="s">
        <v>456</v>
      </c>
    </row>
    <row r="49" spans="1:28">
      <c r="A49" s="67" t="s">
        <v>118</v>
      </c>
      <c r="B49" s="68">
        <v>1280161</v>
      </c>
      <c r="C49" s="69">
        <v>4615432805</v>
      </c>
      <c r="D49" s="70">
        <v>19175</v>
      </c>
      <c r="E49" s="67"/>
      <c r="F49" s="68">
        <v>10</v>
      </c>
      <c r="G49" s="68">
        <v>0</v>
      </c>
      <c r="H49" s="68">
        <v>0</v>
      </c>
      <c r="I49" s="68">
        <v>0</v>
      </c>
      <c r="J49" s="71">
        <v>42989</v>
      </c>
      <c r="K49" s="71">
        <v>43009</v>
      </c>
      <c r="L49" s="69" t="s">
        <v>119</v>
      </c>
      <c r="M49" s="69" t="s">
        <v>109</v>
      </c>
      <c r="N49" s="72">
        <v>43079</v>
      </c>
      <c r="O49" s="67"/>
      <c r="P49" s="67" t="s">
        <v>95</v>
      </c>
      <c r="Q49" s="67" t="s">
        <v>120</v>
      </c>
      <c r="R49" s="69" t="s">
        <v>69</v>
      </c>
      <c r="S49" s="69" t="s">
        <v>121</v>
      </c>
      <c r="T49" s="67"/>
      <c r="U49" s="67"/>
      <c r="V49" s="72">
        <v>43008</v>
      </c>
      <c r="W49" s="69">
        <v>2028204</v>
      </c>
      <c r="X49" s="69"/>
      <c r="Y49" s="126"/>
      <c r="Z49" s="30">
        <f t="shared" si="0"/>
        <v>4227.3638773950279</v>
      </c>
      <c r="AA49" s="30">
        <f t="shared" si="1"/>
        <v>0</v>
      </c>
      <c r="AB49" t="s">
        <v>456</v>
      </c>
    </row>
    <row r="50" spans="1:28">
      <c r="A50" s="67" t="s">
        <v>136</v>
      </c>
      <c r="B50" s="68">
        <v>1279192</v>
      </c>
      <c r="C50" s="69">
        <v>4615390150</v>
      </c>
      <c r="D50" s="70">
        <v>19200</v>
      </c>
      <c r="E50" s="67"/>
      <c r="F50" s="73">
        <v>10</v>
      </c>
      <c r="G50" s="73" t="s">
        <v>114</v>
      </c>
      <c r="H50" s="73">
        <v>0</v>
      </c>
      <c r="I50" s="68">
        <v>0</v>
      </c>
      <c r="J50" s="71">
        <v>42982</v>
      </c>
      <c r="K50" s="71">
        <v>43037</v>
      </c>
      <c r="L50" s="69" t="s">
        <v>137</v>
      </c>
      <c r="M50" s="69" t="s">
        <v>109</v>
      </c>
      <c r="N50" s="72">
        <v>43078</v>
      </c>
      <c r="O50" s="67"/>
      <c r="P50" s="67" t="s">
        <v>95</v>
      </c>
      <c r="Q50" s="67" t="s">
        <v>129</v>
      </c>
      <c r="R50" s="69" t="s">
        <v>69</v>
      </c>
      <c r="S50" s="69" t="s">
        <v>138</v>
      </c>
      <c r="T50" s="67"/>
      <c r="U50" s="67"/>
      <c r="V50" s="72">
        <v>43039</v>
      </c>
      <c r="W50" s="69">
        <v>415570035</v>
      </c>
      <c r="X50" s="69"/>
      <c r="Y50" s="126"/>
      <c r="Z50" s="30">
        <f t="shared" si="0"/>
        <v>4232.8754339496491</v>
      </c>
      <c r="AA50" s="30">
        <f t="shared" si="1"/>
        <v>0</v>
      </c>
      <c r="AB50" t="s">
        <v>456</v>
      </c>
    </row>
    <row r="51" spans="1:28">
      <c r="A51" s="67" t="s">
        <v>68</v>
      </c>
      <c r="B51" s="68">
        <v>1293810</v>
      </c>
      <c r="C51" s="69">
        <v>4615399715</v>
      </c>
      <c r="D51" s="70">
        <v>19175</v>
      </c>
      <c r="E51" s="67"/>
      <c r="F51" s="73">
        <v>16</v>
      </c>
      <c r="G51" s="73">
        <v>5</v>
      </c>
      <c r="H51" s="68">
        <v>0</v>
      </c>
      <c r="I51" s="68">
        <v>0</v>
      </c>
      <c r="J51" s="71">
        <v>43003</v>
      </c>
      <c r="K51" s="71">
        <v>42961</v>
      </c>
      <c r="L51" s="69" t="s">
        <v>119</v>
      </c>
      <c r="M51" s="69" t="s">
        <v>109</v>
      </c>
      <c r="N51" s="72">
        <v>43078</v>
      </c>
      <c r="O51" s="67"/>
      <c r="P51" s="67" t="s">
        <v>95</v>
      </c>
      <c r="Q51" s="67" t="s">
        <v>125</v>
      </c>
      <c r="R51" s="69" t="s">
        <v>69</v>
      </c>
      <c r="S51" s="69" t="s">
        <v>68</v>
      </c>
      <c r="T51" s="67"/>
      <c r="U51" s="67"/>
      <c r="V51" s="72">
        <v>43039</v>
      </c>
      <c r="W51" s="69">
        <v>5114739</v>
      </c>
      <c r="X51" s="69"/>
      <c r="Y51" s="126"/>
      <c r="Z51" s="30">
        <f t="shared" si="0"/>
        <v>6763.7822038320437</v>
      </c>
      <c r="AA51" s="30">
        <f t="shared" si="1"/>
        <v>2113.6819386975139</v>
      </c>
      <c r="AB51" t="s">
        <v>456</v>
      </c>
    </row>
    <row r="52" spans="1:28">
      <c r="A52" s="67" t="s">
        <v>122</v>
      </c>
      <c r="B52" s="68">
        <v>1290289</v>
      </c>
      <c r="C52" s="69">
        <v>4615399927</v>
      </c>
      <c r="D52" s="70">
        <v>19200</v>
      </c>
      <c r="E52" s="67"/>
      <c r="F52" s="68">
        <v>16</v>
      </c>
      <c r="G52" s="68">
        <v>5</v>
      </c>
      <c r="H52" s="68">
        <v>0</v>
      </c>
      <c r="I52" s="68">
        <v>0</v>
      </c>
      <c r="J52" s="71">
        <v>43009</v>
      </c>
      <c r="K52" s="71">
        <v>42997</v>
      </c>
      <c r="L52" s="69" t="s">
        <v>119</v>
      </c>
      <c r="M52" s="69" t="s">
        <v>109</v>
      </c>
      <c r="N52" s="72">
        <v>43078</v>
      </c>
      <c r="O52" s="67"/>
      <c r="P52" s="67" t="s">
        <v>95</v>
      </c>
      <c r="Q52" s="67" t="s">
        <v>120</v>
      </c>
      <c r="R52" s="69" t="s">
        <v>69</v>
      </c>
      <c r="S52" s="69" t="s">
        <v>123</v>
      </c>
      <c r="T52" s="67"/>
      <c r="U52" s="67"/>
      <c r="V52" s="72">
        <v>43039</v>
      </c>
      <c r="W52" s="69">
        <v>2025787</v>
      </c>
      <c r="X52" s="69"/>
      <c r="Y52" s="126"/>
      <c r="Z52" s="30">
        <f t="shared" si="0"/>
        <v>6772.6006943194379</v>
      </c>
      <c r="AA52" s="30">
        <f t="shared" si="1"/>
        <v>2116.4377169748245</v>
      </c>
      <c r="AB52" t="s">
        <v>456</v>
      </c>
    </row>
    <row r="53" spans="1:28">
      <c r="A53" s="67" t="s">
        <v>122</v>
      </c>
      <c r="B53" s="68">
        <v>1290295</v>
      </c>
      <c r="C53" s="69">
        <v>4615399927</v>
      </c>
      <c r="D53" s="70">
        <v>19200</v>
      </c>
      <c r="E53" s="67"/>
      <c r="F53" s="68">
        <v>16</v>
      </c>
      <c r="G53" s="68">
        <v>5</v>
      </c>
      <c r="H53" s="68">
        <v>0</v>
      </c>
      <c r="I53" s="68">
        <v>0</v>
      </c>
      <c r="J53" s="71">
        <v>43009</v>
      </c>
      <c r="K53" s="71">
        <v>43025</v>
      </c>
      <c r="L53" s="69" t="s">
        <v>119</v>
      </c>
      <c r="M53" s="69" t="s">
        <v>109</v>
      </c>
      <c r="N53" s="72">
        <v>43078</v>
      </c>
      <c r="O53" s="67"/>
      <c r="P53" s="67" t="s">
        <v>95</v>
      </c>
      <c r="Q53" s="67" t="s">
        <v>120</v>
      </c>
      <c r="R53" s="69" t="s">
        <v>69</v>
      </c>
      <c r="S53" s="69" t="s">
        <v>123</v>
      </c>
      <c r="T53" s="67"/>
      <c r="U53" s="67"/>
      <c r="V53" s="72">
        <v>43039</v>
      </c>
      <c r="W53" s="69">
        <v>2025787</v>
      </c>
      <c r="X53" s="69"/>
      <c r="Y53" s="126"/>
      <c r="Z53" s="30">
        <f t="shared" si="0"/>
        <v>6772.6006943194379</v>
      </c>
      <c r="AA53" s="30">
        <f t="shared" si="1"/>
        <v>2116.4377169748245</v>
      </c>
      <c r="AB53" t="s">
        <v>456</v>
      </c>
    </row>
    <row r="54" spans="1:28">
      <c r="A54" s="67" t="s">
        <v>122</v>
      </c>
      <c r="B54" s="68">
        <v>1280870</v>
      </c>
      <c r="C54" s="69">
        <v>4615412369</v>
      </c>
      <c r="D54" s="70">
        <v>19200</v>
      </c>
      <c r="E54" s="67"/>
      <c r="F54" s="68">
        <v>16</v>
      </c>
      <c r="G54" s="68">
        <v>5</v>
      </c>
      <c r="H54" s="73">
        <v>0</v>
      </c>
      <c r="I54" s="68">
        <v>0</v>
      </c>
      <c r="J54" s="71">
        <v>42982</v>
      </c>
      <c r="K54" s="71">
        <v>42984</v>
      </c>
      <c r="L54" s="69" t="s">
        <v>119</v>
      </c>
      <c r="M54" s="69" t="s">
        <v>109</v>
      </c>
      <c r="N54" s="72">
        <v>43078</v>
      </c>
      <c r="O54" s="67"/>
      <c r="P54" s="67" t="s">
        <v>95</v>
      </c>
      <c r="Q54" s="67" t="s">
        <v>120</v>
      </c>
      <c r="R54" s="69" t="s">
        <v>69</v>
      </c>
      <c r="S54" s="69" t="s">
        <v>123</v>
      </c>
      <c r="T54" s="67"/>
      <c r="U54" s="67"/>
      <c r="V54" s="72">
        <v>43008</v>
      </c>
      <c r="W54" s="69">
        <v>2025769</v>
      </c>
      <c r="X54" s="69" t="s">
        <v>139</v>
      </c>
      <c r="Y54" s="126"/>
      <c r="Z54" s="30">
        <f t="shared" si="0"/>
        <v>6772.6006943194379</v>
      </c>
      <c r="AA54" s="30">
        <f t="shared" si="1"/>
        <v>2116.4377169748245</v>
      </c>
      <c r="AB54" t="s">
        <v>456</v>
      </c>
    </row>
    <row r="55" spans="1:28">
      <c r="A55" s="67" t="s">
        <v>122</v>
      </c>
      <c r="B55" s="68">
        <v>1274441</v>
      </c>
      <c r="C55" s="69">
        <v>4615411816</v>
      </c>
      <c r="D55" s="70">
        <v>19200</v>
      </c>
      <c r="E55" s="67"/>
      <c r="F55" s="68">
        <v>16</v>
      </c>
      <c r="G55" s="68">
        <v>5</v>
      </c>
      <c r="H55" s="73">
        <v>0</v>
      </c>
      <c r="I55" s="68">
        <v>0</v>
      </c>
      <c r="J55" s="71"/>
      <c r="K55" s="71">
        <v>42996</v>
      </c>
      <c r="L55" s="69" t="s">
        <v>80</v>
      </c>
      <c r="M55" s="69" t="s">
        <v>109</v>
      </c>
      <c r="N55" s="72">
        <v>43078</v>
      </c>
      <c r="O55" s="67"/>
      <c r="P55" s="67" t="s">
        <v>95</v>
      </c>
      <c r="Q55" s="67" t="s">
        <v>120</v>
      </c>
      <c r="R55" s="69" t="s">
        <v>69</v>
      </c>
      <c r="S55" s="69" t="s">
        <v>123</v>
      </c>
      <c r="T55" s="67"/>
      <c r="U55" s="67"/>
      <c r="V55" s="72">
        <v>42978</v>
      </c>
      <c r="W55" s="69">
        <v>2025768</v>
      </c>
      <c r="X55" s="69"/>
      <c r="Y55" s="126"/>
      <c r="Z55" s="30">
        <f t="shared" si="0"/>
        <v>6772.6006943194379</v>
      </c>
      <c r="AA55" s="30">
        <f t="shared" si="1"/>
        <v>2116.4377169748245</v>
      </c>
      <c r="AB55" t="s">
        <v>456</v>
      </c>
    </row>
    <row r="56" spans="1:28">
      <c r="A56" s="67" t="s">
        <v>122</v>
      </c>
      <c r="B56" s="68">
        <v>1274439</v>
      </c>
      <c r="C56" s="69">
        <v>4615411816</v>
      </c>
      <c r="D56" s="70">
        <v>19200</v>
      </c>
      <c r="E56" s="67"/>
      <c r="F56" s="68">
        <v>16</v>
      </c>
      <c r="G56" s="68">
        <v>5</v>
      </c>
      <c r="H56" s="68">
        <v>0</v>
      </c>
      <c r="I56" s="68">
        <v>0</v>
      </c>
      <c r="J56" s="71"/>
      <c r="K56" s="71">
        <v>43046</v>
      </c>
      <c r="L56" s="69" t="s">
        <v>80</v>
      </c>
      <c r="M56" s="69" t="s">
        <v>109</v>
      </c>
      <c r="N56" s="72">
        <v>43078</v>
      </c>
      <c r="O56" s="67"/>
      <c r="P56" s="67" t="s">
        <v>95</v>
      </c>
      <c r="Q56" s="67" t="s">
        <v>120</v>
      </c>
      <c r="R56" s="69" t="s">
        <v>69</v>
      </c>
      <c r="S56" s="69" t="s">
        <v>123</v>
      </c>
      <c r="T56" s="67"/>
      <c r="U56" s="67"/>
      <c r="V56" s="72">
        <v>42978</v>
      </c>
      <c r="W56" s="69">
        <v>2025768</v>
      </c>
      <c r="X56" s="69"/>
      <c r="Y56" s="126"/>
      <c r="Z56" s="30">
        <f t="shared" si="0"/>
        <v>6772.6006943194379</v>
      </c>
      <c r="AA56" s="30">
        <f t="shared" si="1"/>
        <v>2116.4377169748245</v>
      </c>
      <c r="AB56" t="s">
        <v>456</v>
      </c>
    </row>
    <row r="57" spans="1:28">
      <c r="A57" s="67" t="s">
        <v>122</v>
      </c>
      <c r="B57" s="68">
        <v>1295676</v>
      </c>
      <c r="C57" s="69">
        <v>4615472459</v>
      </c>
      <c r="D57" s="70">
        <v>21102</v>
      </c>
      <c r="E57" s="67"/>
      <c r="F57" s="68">
        <v>16</v>
      </c>
      <c r="G57" s="68">
        <v>5</v>
      </c>
      <c r="H57" s="73">
        <v>0</v>
      </c>
      <c r="I57" s="68">
        <v>0</v>
      </c>
      <c r="J57" s="71">
        <v>43024</v>
      </c>
      <c r="K57" s="71">
        <v>42799</v>
      </c>
      <c r="L57" s="69" t="s">
        <v>108</v>
      </c>
      <c r="M57" s="69" t="s">
        <v>109</v>
      </c>
      <c r="N57" s="72">
        <v>43078</v>
      </c>
      <c r="O57" s="67"/>
      <c r="P57" s="67" t="s">
        <v>95</v>
      </c>
      <c r="Q57" s="67" t="s">
        <v>120</v>
      </c>
      <c r="R57" s="69" t="s">
        <v>69</v>
      </c>
      <c r="S57" s="69" t="s">
        <v>123</v>
      </c>
      <c r="T57" s="67"/>
      <c r="U57" s="67"/>
      <c r="V57" s="72">
        <v>43069</v>
      </c>
      <c r="W57" s="69">
        <v>2030497</v>
      </c>
      <c r="X57" s="69" t="s">
        <v>124</v>
      </c>
      <c r="Y57" s="126"/>
      <c r="Z57" s="30">
        <f t="shared" si="0"/>
        <v>7443.5114506004584</v>
      </c>
      <c r="AA57" s="30">
        <f t="shared" si="1"/>
        <v>2326.0973283126432</v>
      </c>
      <c r="AB57" t="s">
        <v>456</v>
      </c>
    </row>
    <row r="58" spans="1:28">
      <c r="A58" s="67" t="s">
        <v>122</v>
      </c>
      <c r="B58" s="68">
        <v>1295671</v>
      </c>
      <c r="C58" s="69">
        <v>4615472459</v>
      </c>
      <c r="D58" s="70">
        <v>21102</v>
      </c>
      <c r="E58" s="67"/>
      <c r="F58" s="68">
        <v>16</v>
      </c>
      <c r="G58" s="68">
        <v>5</v>
      </c>
      <c r="H58" s="73">
        <v>0</v>
      </c>
      <c r="I58" s="68">
        <v>0</v>
      </c>
      <c r="J58" s="71">
        <v>43024</v>
      </c>
      <c r="K58" s="71">
        <v>42980</v>
      </c>
      <c r="L58" s="69" t="s">
        <v>108</v>
      </c>
      <c r="M58" s="69" t="s">
        <v>109</v>
      </c>
      <c r="N58" s="72">
        <v>43078</v>
      </c>
      <c r="O58" s="67"/>
      <c r="P58" s="67" t="s">
        <v>95</v>
      </c>
      <c r="Q58" s="67" t="s">
        <v>120</v>
      </c>
      <c r="R58" s="69" t="s">
        <v>69</v>
      </c>
      <c r="S58" s="69" t="s">
        <v>123</v>
      </c>
      <c r="T58" s="67"/>
      <c r="U58" s="67"/>
      <c r="V58" s="72">
        <v>43069</v>
      </c>
      <c r="W58" s="69">
        <v>2030497</v>
      </c>
      <c r="X58" s="69" t="s">
        <v>124</v>
      </c>
      <c r="Y58" s="126"/>
      <c r="Z58" s="30">
        <f t="shared" si="0"/>
        <v>7443.5114506004584</v>
      </c>
      <c r="AA58" s="30">
        <f t="shared" si="1"/>
        <v>2326.0973283126432</v>
      </c>
      <c r="AB58" t="s">
        <v>456</v>
      </c>
    </row>
    <row r="59" spans="1:28">
      <c r="A59" s="67" t="s">
        <v>113</v>
      </c>
      <c r="B59" s="68">
        <v>1294401</v>
      </c>
      <c r="C59" s="69">
        <v>4615403114</v>
      </c>
      <c r="D59" s="70">
        <v>20700</v>
      </c>
      <c r="E59" s="67"/>
      <c r="F59" s="68">
        <v>16</v>
      </c>
      <c r="G59" s="68" t="s">
        <v>114</v>
      </c>
      <c r="H59" s="68">
        <v>0</v>
      </c>
      <c r="I59" s="68">
        <v>0</v>
      </c>
      <c r="J59" s="71">
        <v>43032</v>
      </c>
      <c r="K59" s="71">
        <v>43004</v>
      </c>
      <c r="L59" s="69" t="s">
        <v>108</v>
      </c>
      <c r="M59" s="69" t="s">
        <v>109</v>
      </c>
      <c r="N59" s="72">
        <v>43078</v>
      </c>
      <c r="O59" s="67"/>
      <c r="P59" s="67" t="s">
        <v>95</v>
      </c>
      <c r="Q59" s="67" t="s">
        <v>110</v>
      </c>
      <c r="R59" s="69" t="s">
        <v>69</v>
      </c>
      <c r="S59" s="69" t="s">
        <v>115</v>
      </c>
      <c r="T59" s="67"/>
      <c r="U59" s="67"/>
      <c r="V59" s="72">
        <v>43039</v>
      </c>
      <c r="W59" s="69" t="s">
        <v>116</v>
      </c>
      <c r="X59" s="69" t="s">
        <v>117</v>
      </c>
      <c r="Y59" s="126"/>
      <c r="Z59" s="30">
        <f t="shared" si="0"/>
        <v>7301.7101235631453</v>
      </c>
      <c r="AA59" s="30">
        <f t="shared" si="1"/>
        <v>0</v>
      </c>
      <c r="AB59" t="s">
        <v>456</v>
      </c>
    </row>
    <row r="60" spans="1:28">
      <c r="A60" s="67" t="s">
        <v>113</v>
      </c>
      <c r="B60" s="68">
        <v>1282090</v>
      </c>
      <c r="C60" s="69">
        <v>4615409969</v>
      </c>
      <c r="D60" s="70">
        <v>20700</v>
      </c>
      <c r="E60" s="67"/>
      <c r="F60" s="68">
        <v>16</v>
      </c>
      <c r="G60" s="68" t="s">
        <v>114</v>
      </c>
      <c r="H60" s="68">
        <v>0</v>
      </c>
      <c r="I60" s="68">
        <v>0</v>
      </c>
      <c r="J60" s="71">
        <v>43025</v>
      </c>
      <c r="K60" s="71">
        <v>43019</v>
      </c>
      <c r="L60" s="69" t="s">
        <v>108</v>
      </c>
      <c r="M60" s="69" t="s">
        <v>109</v>
      </c>
      <c r="N60" s="72">
        <v>43078</v>
      </c>
      <c r="O60" s="67"/>
      <c r="P60" s="67" t="s">
        <v>95</v>
      </c>
      <c r="Q60" s="67" t="s">
        <v>110</v>
      </c>
      <c r="R60" s="69" t="s">
        <v>69</v>
      </c>
      <c r="S60" s="69" t="s">
        <v>115</v>
      </c>
      <c r="T60" s="67"/>
      <c r="U60" s="67"/>
      <c r="V60" s="72">
        <v>43008</v>
      </c>
      <c r="W60" s="69" t="s">
        <v>126</v>
      </c>
      <c r="X60" s="69" t="s">
        <v>117</v>
      </c>
      <c r="Y60" s="126"/>
      <c r="Z60" s="30">
        <f t="shared" si="0"/>
        <v>7301.7101235631453</v>
      </c>
      <c r="AA60" s="30">
        <f t="shared" si="1"/>
        <v>0</v>
      </c>
      <c r="AB60" t="s">
        <v>456</v>
      </c>
    </row>
    <row r="61" spans="1:28">
      <c r="A61" s="67" t="s">
        <v>113</v>
      </c>
      <c r="B61" s="68">
        <v>1282087</v>
      </c>
      <c r="C61" s="69">
        <v>4615409969</v>
      </c>
      <c r="D61" s="70">
        <v>20700</v>
      </c>
      <c r="E61" s="67"/>
      <c r="F61" s="68">
        <v>16</v>
      </c>
      <c r="G61" s="68" t="s">
        <v>114</v>
      </c>
      <c r="H61" s="68">
        <v>0</v>
      </c>
      <c r="I61" s="68">
        <v>0</v>
      </c>
      <c r="J61" s="71">
        <v>43025</v>
      </c>
      <c r="K61" s="71">
        <v>43025</v>
      </c>
      <c r="L61" s="69" t="s">
        <v>108</v>
      </c>
      <c r="M61" s="69" t="s">
        <v>109</v>
      </c>
      <c r="N61" s="72">
        <v>43077</v>
      </c>
      <c r="O61" s="67"/>
      <c r="P61" s="67" t="s">
        <v>95</v>
      </c>
      <c r="Q61" s="67" t="s">
        <v>110</v>
      </c>
      <c r="R61" s="69" t="s">
        <v>69</v>
      </c>
      <c r="S61" s="69" t="s">
        <v>115</v>
      </c>
      <c r="T61" s="67"/>
      <c r="U61" s="67"/>
      <c r="V61" s="72">
        <v>43008</v>
      </c>
      <c r="W61" s="69" t="s">
        <v>126</v>
      </c>
      <c r="X61" s="69" t="s">
        <v>117</v>
      </c>
      <c r="Y61" s="126"/>
      <c r="Z61" s="30">
        <f t="shared" si="0"/>
        <v>7301.7101235631453</v>
      </c>
      <c r="AA61" s="30">
        <f t="shared" si="1"/>
        <v>0</v>
      </c>
      <c r="AB61" t="s">
        <v>456</v>
      </c>
    </row>
    <row r="62" spans="1:28">
      <c r="A62" s="67" t="s">
        <v>113</v>
      </c>
      <c r="B62" s="68">
        <v>1282082</v>
      </c>
      <c r="C62" s="69">
        <v>4615409969</v>
      </c>
      <c r="D62" s="70">
        <v>20700</v>
      </c>
      <c r="E62" s="67"/>
      <c r="F62" s="68">
        <v>16</v>
      </c>
      <c r="G62" s="68" t="s">
        <v>114</v>
      </c>
      <c r="H62" s="68">
        <v>0</v>
      </c>
      <c r="I62" s="68">
        <v>0</v>
      </c>
      <c r="J62" s="71">
        <v>43025</v>
      </c>
      <c r="K62" s="71">
        <v>43025</v>
      </c>
      <c r="L62" s="69" t="s">
        <v>108</v>
      </c>
      <c r="M62" s="69" t="s">
        <v>109</v>
      </c>
      <c r="N62" s="72">
        <v>43077</v>
      </c>
      <c r="O62" s="67"/>
      <c r="P62" s="67" t="s">
        <v>95</v>
      </c>
      <c r="Q62" s="67" t="s">
        <v>110</v>
      </c>
      <c r="R62" s="69" t="s">
        <v>69</v>
      </c>
      <c r="S62" s="69" t="s">
        <v>115</v>
      </c>
      <c r="T62" s="67"/>
      <c r="U62" s="67"/>
      <c r="V62" s="72">
        <v>43008</v>
      </c>
      <c r="W62" s="69" t="s">
        <v>126</v>
      </c>
      <c r="X62" s="69" t="s">
        <v>117</v>
      </c>
      <c r="Y62" s="126"/>
      <c r="Z62" s="30">
        <f t="shared" si="0"/>
        <v>7301.7101235631453</v>
      </c>
      <c r="AA62" s="30">
        <f t="shared" si="1"/>
        <v>0</v>
      </c>
      <c r="AB62" t="s">
        <v>456</v>
      </c>
    </row>
    <row r="63" spans="1:28">
      <c r="A63" s="67" t="s">
        <v>113</v>
      </c>
      <c r="B63" s="68">
        <v>1282079</v>
      </c>
      <c r="C63" s="69">
        <v>4615409969</v>
      </c>
      <c r="D63" s="70">
        <v>20700</v>
      </c>
      <c r="E63" s="67"/>
      <c r="F63" s="68">
        <v>16</v>
      </c>
      <c r="G63" s="68" t="s">
        <v>114</v>
      </c>
      <c r="H63" s="68">
        <v>0</v>
      </c>
      <c r="I63" s="68">
        <v>0</v>
      </c>
      <c r="J63" s="71">
        <v>43025</v>
      </c>
      <c r="K63" s="71">
        <v>43004</v>
      </c>
      <c r="L63" s="69" t="s">
        <v>108</v>
      </c>
      <c r="M63" s="69" t="s">
        <v>109</v>
      </c>
      <c r="N63" s="72">
        <v>43077</v>
      </c>
      <c r="O63" s="67"/>
      <c r="P63" s="67" t="s">
        <v>95</v>
      </c>
      <c r="Q63" s="67" t="s">
        <v>110</v>
      </c>
      <c r="R63" s="69" t="s">
        <v>69</v>
      </c>
      <c r="S63" s="69" t="s">
        <v>115</v>
      </c>
      <c r="T63" s="67"/>
      <c r="U63" s="67"/>
      <c r="V63" s="72">
        <v>43008</v>
      </c>
      <c r="W63" s="69" t="s">
        <v>126</v>
      </c>
      <c r="X63" s="69" t="s">
        <v>117</v>
      </c>
      <c r="Y63" s="126"/>
      <c r="Z63" s="30">
        <f t="shared" si="0"/>
        <v>7301.7101235631453</v>
      </c>
      <c r="AA63" s="30">
        <f t="shared" si="1"/>
        <v>0</v>
      </c>
      <c r="AB63" t="s">
        <v>456</v>
      </c>
    </row>
    <row r="64" spans="1:28">
      <c r="A64" s="67" t="s">
        <v>113</v>
      </c>
      <c r="B64" s="68">
        <v>1282074</v>
      </c>
      <c r="C64" s="69">
        <v>4615409969</v>
      </c>
      <c r="D64" s="70">
        <v>20700</v>
      </c>
      <c r="E64" s="67"/>
      <c r="F64" s="68">
        <v>16</v>
      </c>
      <c r="G64" s="68" t="s">
        <v>114</v>
      </c>
      <c r="H64" s="73">
        <v>0</v>
      </c>
      <c r="I64" s="68">
        <v>0</v>
      </c>
      <c r="J64" s="71">
        <v>43025</v>
      </c>
      <c r="K64" s="71">
        <v>43004</v>
      </c>
      <c r="L64" s="69" t="s">
        <v>108</v>
      </c>
      <c r="M64" s="69" t="s">
        <v>109</v>
      </c>
      <c r="N64" s="72">
        <v>43077</v>
      </c>
      <c r="O64" s="67"/>
      <c r="P64" s="67" t="s">
        <v>95</v>
      </c>
      <c r="Q64" s="67" t="s">
        <v>110</v>
      </c>
      <c r="R64" s="69" t="s">
        <v>69</v>
      </c>
      <c r="S64" s="69" t="s">
        <v>115</v>
      </c>
      <c r="T64" s="67"/>
      <c r="U64" s="67"/>
      <c r="V64" s="72">
        <v>43008</v>
      </c>
      <c r="W64" s="69" t="s">
        <v>126</v>
      </c>
      <c r="X64" s="69" t="s">
        <v>117</v>
      </c>
      <c r="Y64" s="126"/>
      <c r="Z64" s="30">
        <f t="shared" si="0"/>
        <v>7301.7101235631453</v>
      </c>
      <c r="AA64" s="30">
        <f t="shared" si="1"/>
        <v>0</v>
      </c>
      <c r="AB64" t="s">
        <v>456</v>
      </c>
    </row>
    <row r="65" spans="1:28">
      <c r="A65" s="67" t="s">
        <v>136</v>
      </c>
      <c r="B65" s="68">
        <v>1279194</v>
      </c>
      <c r="C65" s="69">
        <v>4615390150</v>
      </c>
      <c r="D65" s="70">
        <v>19200</v>
      </c>
      <c r="E65" s="67"/>
      <c r="F65" s="73">
        <v>10</v>
      </c>
      <c r="G65" s="73" t="s">
        <v>114</v>
      </c>
      <c r="H65" s="73">
        <v>0</v>
      </c>
      <c r="I65" s="68">
        <v>0</v>
      </c>
      <c r="J65" s="71">
        <v>42982</v>
      </c>
      <c r="K65" s="71">
        <v>43039</v>
      </c>
      <c r="L65" s="69" t="s">
        <v>137</v>
      </c>
      <c r="M65" s="69" t="s">
        <v>109</v>
      </c>
      <c r="N65" s="72">
        <v>43074</v>
      </c>
      <c r="O65" s="67"/>
      <c r="P65" s="67" t="s">
        <v>95</v>
      </c>
      <c r="Q65" s="67" t="s">
        <v>129</v>
      </c>
      <c r="R65" s="69" t="s">
        <v>69</v>
      </c>
      <c r="S65" s="69" t="s">
        <v>138</v>
      </c>
      <c r="T65" s="67"/>
      <c r="U65" s="67"/>
      <c r="V65" s="72">
        <v>43039</v>
      </c>
      <c r="W65" s="69">
        <v>415570035</v>
      </c>
      <c r="X65" s="69"/>
      <c r="Y65" s="126"/>
      <c r="Z65" s="30">
        <f t="shared" si="0"/>
        <v>4232.8754339496491</v>
      </c>
      <c r="AA65" s="30">
        <f t="shared" si="1"/>
        <v>0</v>
      </c>
      <c r="AB65" t="s">
        <v>456</v>
      </c>
    </row>
    <row r="66" spans="1:28">
      <c r="A66" s="67" t="s">
        <v>122</v>
      </c>
      <c r="B66" s="68">
        <v>1290298</v>
      </c>
      <c r="C66" s="69">
        <v>4615399927</v>
      </c>
      <c r="D66" s="70">
        <v>19200</v>
      </c>
      <c r="E66" s="67"/>
      <c r="F66" s="68">
        <v>16</v>
      </c>
      <c r="G66" s="68">
        <v>5</v>
      </c>
      <c r="H66" s="68">
        <v>0</v>
      </c>
      <c r="I66" s="68">
        <v>0</v>
      </c>
      <c r="J66" s="71">
        <v>43009</v>
      </c>
      <c r="K66" s="71">
        <v>43004</v>
      </c>
      <c r="L66" s="69" t="s">
        <v>119</v>
      </c>
      <c r="M66" s="69" t="s">
        <v>109</v>
      </c>
      <c r="N66" s="72">
        <v>43074</v>
      </c>
      <c r="O66" s="67"/>
      <c r="P66" s="67" t="s">
        <v>95</v>
      </c>
      <c r="Q66" s="67" t="s">
        <v>120</v>
      </c>
      <c r="R66" s="69" t="s">
        <v>69</v>
      </c>
      <c r="S66" s="69" t="s">
        <v>123</v>
      </c>
      <c r="T66" s="67"/>
      <c r="U66" s="67"/>
      <c r="V66" s="72">
        <v>43039</v>
      </c>
      <c r="W66" s="69">
        <v>2025787</v>
      </c>
      <c r="X66" s="69"/>
      <c r="Y66" s="126"/>
      <c r="Z66" s="30">
        <f t="shared" si="0"/>
        <v>6772.6006943194379</v>
      </c>
      <c r="AA66" s="30">
        <f t="shared" si="1"/>
        <v>2116.4377169748245</v>
      </c>
      <c r="AB66" t="s">
        <v>456</v>
      </c>
    </row>
    <row r="67" spans="1:28">
      <c r="A67" s="67" t="s">
        <v>122</v>
      </c>
      <c r="B67" s="68">
        <v>1295670</v>
      </c>
      <c r="C67" s="69">
        <v>4615472459</v>
      </c>
      <c r="D67" s="70">
        <v>21102</v>
      </c>
      <c r="E67" s="67"/>
      <c r="F67" s="68">
        <v>16</v>
      </c>
      <c r="G67" s="68">
        <v>5</v>
      </c>
      <c r="H67" s="73">
        <v>0</v>
      </c>
      <c r="I67" s="68">
        <v>0</v>
      </c>
      <c r="J67" s="71">
        <v>43024</v>
      </c>
      <c r="K67" s="71">
        <v>43004</v>
      </c>
      <c r="L67" s="69" t="s">
        <v>108</v>
      </c>
      <c r="M67" s="69" t="s">
        <v>109</v>
      </c>
      <c r="N67" s="72">
        <v>43074</v>
      </c>
      <c r="O67" s="67"/>
      <c r="P67" s="67" t="s">
        <v>95</v>
      </c>
      <c r="Q67" s="67" t="s">
        <v>120</v>
      </c>
      <c r="R67" s="69" t="s">
        <v>69</v>
      </c>
      <c r="S67" s="69" t="s">
        <v>123</v>
      </c>
      <c r="T67" s="67"/>
      <c r="U67" s="67"/>
      <c r="V67" s="72">
        <v>43069</v>
      </c>
      <c r="W67" s="69">
        <v>2030497</v>
      </c>
      <c r="X67" s="69" t="s">
        <v>124</v>
      </c>
      <c r="Y67" s="126"/>
      <c r="Z67" s="30">
        <f t="shared" ref="Z67:Z130" si="2">CONVERT(D67,"kg","lbm")*F67/100</f>
        <v>7443.5114506004584</v>
      </c>
      <c r="AA67" s="30">
        <f t="shared" ref="AA67:AA130" si="3">CONVERT(D67,"kg","lbm")*G67/100</f>
        <v>2326.0973283126432</v>
      </c>
      <c r="AB67" t="s">
        <v>456</v>
      </c>
    </row>
    <row r="68" spans="1:28">
      <c r="A68" s="67" t="s">
        <v>113</v>
      </c>
      <c r="B68" s="68">
        <v>1282086</v>
      </c>
      <c r="C68" s="69">
        <v>4615409969</v>
      </c>
      <c r="D68" s="70">
        <v>20700</v>
      </c>
      <c r="E68" s="67"/>
      <c r="F68" s="68">
        <v>16</v>
      </c>
      <c r="G68" s="68" t="s">
        <v>114</v>
      </c>
      <c r="H68" s="73">
        <v>0</v>
      </c>
      <c r="I68" s="68">
        <v>0</v>
      </c>
      <c r="J68" s="71">
        <v>43025</v>
      </c>
      <c r="K68" s="71">
        <v>43039</v>
      </c>
      <c r="L68" s="69" t="s">
        <v>108</v>
      </c>
      <c r="M68" s="69" t="s">
        <v>109</v>
      </c>
      <c r="N68" s="72">
        <v>43074</v>
      </c>
      <c r="O68" s="67"/>
      <c r="P68" s="67" t="s">
        <v>95</v>
      </c>
      <c r="Q68" s="67" t="s">
        <v>110</v>
      </c>
      <c r="R68" s="69" t="s">
        <v>69</v>
      </c>
      <c r="S68" s="69" t="s">
        <v>115</v>
      </c>
      <c r="T68" s="67"/>
      <c r="U68" s="67"/>
      <c r="V68" s="72">
        <v>43008</v>
      </c>
      <c r="W68" s="69" t="s">
        <v>126</v>
      </c>
      <c r="X68" s="69" t="s">
        <v>117</v>
      </c>
      <c r="Y68" s="126"/>
      <c r="Z68" s="30">
        <f t="shared" si="2"/>
        <v>7301.7101235631453</v>
      </c>
      <c r="AA68" s="30">
        <f t="shared" si="3"/>
        <v>0</v>
      </c>
      <c r="AB68" t="s">
        <v>456</v>
      </c>
    </row>
    <row r="69" spans="1:28">
      <c r="A69" s="67" t="s">
        <v>113</v>
      </c>
      <c r="B69" s="68">
        <v>1282089</v>
      </c>
      <c r="C69" s="69">
        <v>4615409969</v>
      </c>
      <c r="D69" s="70">
        <v>20700</v>
      </c>
      <c r="E69" s="67"/>
      <c r="F69" s="68">
        <v>16</v>
      </c>
      <c r="G69" s="68" t="s">
        <v>114</v>
      </c>
      <c r="H69" s="73">
        <v>0</v>
      </c>
      <c r="I69" s="68">
        <v>0</v>
      </c>
      <c r="J69" s="71">
        <v>43025</v>
      </c>
      <c r="K69" s="71">
        <v>43039</v>
      </c>
      <c r="L69" s="69" t="s">
        <v>108</v>
      </c>
      <c r="M69" s="69" t="s">
        <v>109</v>
      </c>
      <c r="N69" s="72">
        <v>43074</v>
      </c>
      <c r="O69" s="67"/>
      <c r="P69" s="67" t="s">
        <v>95</v>
      </c>
      <c r="Q69" s="67" t="s">
        <v>110</v>
      </c>
      <c r="R69" s="69" t="s">
        <v>69</v>
      </c>
      <c r="S69" s="69" t="s">
        <v>115</v>
      </c>
      <c r="T69" s="67"/>
      <c r="U69" s="67"/>
      <c r="V69" s="72">
        <v>43008</v>
      </c>
      <c r="W69" s="69" t="s">
        <v>126</v>
      </c>
      <c r="X69" s="69" t="s">
        <v>117</v>
      </c>
      <c r="Y69" s="126"/>
      <c r="Z69" s="30">
        <f t="shared" si="2"/>
        <v>7301.7101235631453</v>
      </c>
      <c r="AA69" s="30">
        <f t="shared" si="3"/>
        <v>0</v>
      </c>
      <c r="AB69" t="s">
        <v>456</v>
      </c>
    </row>
    <row r="70" spans="1:28">
      <c r="A70" s="67" t="s">
        <v>118</v>
      </c>
      <c r="B70" s="68">
        <v>1280162</v>
      </c>
      <c r="C70" s="69">
        <v>4615432805</v>
      </c>
      <c r="D70" s="70">
        <v>19175</v>
      </c>
      <c r="E70" s="67"/>
      <c r="F70" s="68">
        <v>10</v>
      </c>
      <c r="G70" s="68">
        <v>0</v>
      </c>
      <c r="H70" s="68">
        <v>0</v>
      </c>
      <c r="I70" s="68">
        <v>0</v>
      </c>
      <c r="J70" s="71">
        <v>42989</v>
      </c>
      <c r="K70" s="71">
        <v>43025</v>
      </c>
      <c r="L70" s="69" t="s">
        <v>119</v>
      </c>
      <c r="M70" s="69" t="s">
        <v>109</v>
      </c>
      <c r="N70" s="72">
        <v>43073</v>
      </c>
      <c r="O70" s="67"/>
      <c r="P70" s="67" t="s">
        <v>95</v>
      </c>
      <c r="Q70" s="67" t="s">
        <v>120</v>
      </c>
      <c r="R70" s="69" t="s">
        <v>69</v>
      </c>
      <c r="S70" s="69" t="s">
        <v>121</v>
      </c>
      <c r="T70" s="67"/>
      <c r="U70" s="67"/>
      <c r="V70" s="72">
        <v>43008</v>
      </c>
      <c r="W70" s="69">
        <v>2028204</v>
      </c>
      <c r="X70" s="69"/>
      <c r="Y70" s="126"/>
      <c r="Z70" s="30">
        <f t="shared" si="2"/>
        <v>4227.3638773950279</v>
      </c>
      <c r="AA70" s="30">
        <f t="shared" si="3"/>
        <v>0</v>
      </c>
      <c r="AB70" t="s">
        <v>456</v>
      </c>
    </row>
    <row r="71" spans="1:28">
      <c r="A71" s="67" t="s">
        <v>122</v>
      </c>
      <c r="B71" s="68">
        <v>1280873</v>
      </c>
      <c r="C71" s="69">
        <v>4615412369</v>
      </c>
      <c r="D71" s="70">
        <v>19200</v>
      </c>
      <c r="E71" s="67"/>
      <c r="F71" s="68">
        <v>16</v>
      </c>
      <c r="G71" s="68">
        <v>5</v>
      </c>
      <c r="H71" s="73">
        <v>0</v>
      </c>
      <c r="I71" s="68">
        <v>0</v>
      </c>
      <c r="J71" s="71">
        <v>42982</v>
      </c>
      <c r="K71" s="71">
        <v>42998</v>
      </c>
      <c r="L71" s="69" t="s">
        <v>119</v>
      </c>
      <c r="M71" s="69" t="s">
        <v>109</v>
      </c>
      <c r="N71" s="72">
        <v>43073</v>
      </c>
      <c r="O71" s="67"/>
      <c r="P71" s="67" t="s">
        <v>95</v>
      </c>
      <c r="Q71" s="67" t="s">
        <v>120</v>
      </c>
      <c r="R71" s="69" t="s">
        <v>69</v>
      </c>
      <c r="S71" s="69" t="s">
        <v>123</v>
      </c>
      <c r="T71" s="67"/>
      <c r="U71" s="67"/>
      <c r="V71" s="72">
        <v>43008</v>
      </c>
      <c r="W71" s="69">
        <v>2025769</v>
      </c>
      <c r="X71" s="69"/>
      <c r="Y71" s="126"/>
      <c r="Z71" s="30">
        <f t="shared" si="2"/>
        <v>6772.6006943194379</v>
      </c>
      <c r="AA71" s="30">
        <f t="shared" si="3"/>
        <v>2116.4377169748245</v>
      </c>
      <c r="AB71" t="s">
        <v>456</v>
      </c>
    </row>
    <row r="72" spans="1:28">
      <c r="A72" s="67" t="s">
        <v>113</v>
      </c>
      <c r="B72" s="68">
        <v>1290684</v>
      </c>
      <c r="C72" s="69">
        <v>4615397248</v>
      </c>
      <c r="D72" s="70">
        <v>20700</v>
      </c>
      <c r="E72" s="67"/>
      <c r="F72" s="73">
        <v>16</v>
      </c>
      <c r="G72" s="73" t="s">
        <v>114</v>
      </c>
      <c r="H72" s="68">
        <v>0</v>
      </c>
      <c r="I72" s="68">
        <v>0</v>
      </c>
      <c r="J72" s="71">
        <v>43016</v>
      </c>
      <c r="K72" s="71">
        <v>42998</v>
      </c>
      <c r="L72" s="69" t="s">
        <v>108</v>
      </c>
      <c r="M72" s="69" t="s">
        <v>109</v>
      </c>
      <c r="N72" s="72">
        <v>43073</v>
      </c>
      <c r="O72" s="67"/>
      <c r="P72" s="67" t="s">
        <v>95</v>
      </c>
      <c r="Q72" s="67" t="s">
        <v>110</v>
      </c>
      <c r="R72" s="69" t="s">
        <v>69</v>
      </c>
      <c r="S72" s="69" t="s">
        <v>115</v>
      </c>
      <c r="T72" s="67"/>
      <c r="U72" s="67"/>
      <c r="V72" s="72">
        <v>42978</v>
      </c>
      <c r="W72" s="69" t="s">
        <v>140</v>
      </c>
      <c r="X72" s="69" t="s">
        <v>117</v>
      </c>
      <c r="Y72" s="126"/>
      <c r="Z72" s="30">
        <f t="shared" si="2"/>
        <v>7301.7101235631453</v>
      </c>
      <c r="AA72" s="30">
        <f t="shared" si="3"/>
        <v>0</v>
      </c>
      <c r="AB72" t="s">
        <v>456</v>
      </c>
    </row>
    <row r="73" spans="1:28">
      <c r="A73" s="67" t="s">
        <v>113</v>
      </c>
      <c r="B73" s="68">
        <v>1282077</v>
      </c>
      <c r="C73" s="69">
        <v>4615409969</v>
      </c>
      <c r="D73" s="70">
        <v>20700</v>
      </c>
      <c r="E73" s="67"/>
      <c r="F73" s="68">
        <v>16</v>
      </c>
      <c r="G73" s="68" t="s">
        <v>114</v>
      </c>
      <c r="H73" s="73">
        <v>0</v>
      </c>
      <c r="I73" s="68">
        <v>0</v>
      </c>
      <c r="J73" s="71">
        <v>43025</v>
      </c>
      <c r="K73" s="71">
        <v>43024</v>
      </c>
      <c r="L73" s="69" t="s">
        <v>108</v>
      </c>
      <c r="M73" s="69" t="s">
        <v>109</v>
      </c>
      <c r="N73" s="72">
        <v>43073</v>
      </c>
      <c r="O73" s="67"/>
      <c r="P73" s="67" t="s">
        <v>95</v>
      </c>
      <c r="Q73" s="67" t="s">
        <v>110</v>
      </c>
      <c r="R73" s="69" t="s">
        <v>69</v>
      </c>
      <c r="S73" s="69" t="s">
        <v>115</v>
      </c>
      <c r="T73" s="67"/>
      <c r="U73" s="67"/>
      <c r="V73" s="72">
        <v>43008</v>
      </c>
      <c r="W73" s="69" t="s">
        <v>126</v>
      </c>
      <c r="X73" s="69" t="s">
        <v>117</v>
      </c>
      <c r="Y73" s="126"/>
      <c r="Z73" s="30">
        <f t="shared" si="2"/>
        <v>7301.7101235631453</v>
      </c>
      <c r="AA73" s="30">
        <f t="shared" si="3"/>
        <v>0</v>
      </c>
      <c r="AB73" t="s">
        <v>456</v>
      </c>
    </row>
    <row r="74" spans="1:28">
      <c r="A74" s="67" t="s">
        <v>113</v>
      </c>
      <c r="B74" s="68">
        <v>1282073</v>
      </c>
      <c r="C74" s="69">
        <v>4615409969</v>
      </c>
      <c r="D74" s="70">
        <v>20700</v>
      </c>
      <c r="E74" s="67"/>
      <c r="F74" s="68">
        <v>16</v>
      </c>
      <c r="G74" s="68" t="s">
        <v>114</v>
      </c>
      <c r="H74" s="73">
        <v>0</v>
      </c>
      <c r="I74" s="68">
        <v>0</v>
      </c>
      <c r="J74" s="71">
        <v>43025</v>
      </c>
      <c r="K74" s="71">
        <v>43024</v>
      </c>
      <c r="L74" s="69" t="s">
        <v>108</v>
      </c>
      <c r="M74" s="69" t="s">
        <v>109</v>
      </c>
      <c r="N74" s="72">
        <v>43073</v>
      </c>
      <c r="O74" s="67"/>
      <c r="P74" s="67" t="s">
        <v>95</v>
      </c>
      <c r="Q74" s="67" t="s">
        <v>110</v>
      </c>
      <c r="R74" s="69" t="s">
        <v>69</v>
      </c>
      <c r="S74" s="69" t="s">
        <v>115</v>
      </c>
      <c r="T74" s="67"/>
      <c r="U74" s="67"/>
      <c r="V74" s="72">
        <v>43008</v>
      </c>
      <c r="W74" s="69" t="s">
        <v>126</v>
      </c>
      <c r="X74" s="69" t="s">
        <v>117</v>
      </c>
      <c r="Y74" s="126"/>
      <c r="Z74" s="30">
        <f t="shared" si="2"/>
        <v>7301.7101235631453</v>
      </c>
      <c r="AA74" s="30">
        <f t="shared" si="3"/>
        <v>0</v>
      </c>
      <c r="AB74" t="s">
        <v>456</v>
      </c>
    </row>
    <row r="75" spans="1:28">
      <c r="A75" s="67" t="s">
        <v>128</v>
      </c>
      <c r="B75" s="68">
        <v>1287098</v>
      </c>
      <c r="C75" s="69">
        <v>4615445771</v>
      </c>
      <c r="D75" s="70">
        <v>19175</v>
      </c>
      <c r="E75" s="67"/>
      <c r="F75" s="73">
        <v>154.32</v>
      </c>
      <c r="G75" s="73">
        <v>0</v>
      </c>
      <c r="H75" s="68">
        <v>0</v>
      </c>
      <c r="I75" s="68">
        <v>0</v>
      </c>
      <c r="J75" s="71">
        <v>42997</v>
      </c>
      <c r="K75" s="71">
        <v>43011</v>
      </c>
      <c r="L75" s="69" t="s">
        <v>119</v>
      </c>
      <c r="M75" s="69" t="s">
        <v>109</v>
      </c>
      <c r="N75" s="72">
        <v>43072</v>
      </c>
      <c r="O75" s="67"/>
      <c r="P75" s="67" t="s">
        <v>95</v>
      </c>
      <c r="Q75" s="67" t="s">
        <v>129</v>
      </c>
      <c r="R75" s="69" t="s">
        <v>69</v>
      </c>
      <c r="S75" s="69" t="s">
        <v>130</v>
      </c>
      <c r="T75" s="67"/>
      <c r="U75" s="67"/>
      <c r="V75" s="72">
        <v>43039</v>
      </c>
      <c r="W75" s="69">
        <v>425570019</v>
      </c>
      <c r="X75" s="69"/>
      <c r="Y75" s="126"/>
      <c r="Z75" s="30">
        <f t="shared" si="2"/>
        <v>65236.679355960063</v>
      </c>
      <c r="AA75" s="30">
        <f t="shared" si="3"/>
        <v>0</v>
      </c>
      <c r="AB75" t="s">
        <v>456</v>
      </c>
    </row>
    <row r="76" spans="1:28">
      <c r="A76" s="67" t="s">
        <v>128</v>
      </c>
      <c r="B76" s="68">
        <v>1284759</v>
      </c>
      <c r="C76" s="69">
        <v>4615469665</v>
      </c>
      <c r="D76" s="70">
        <v>19175</v>
      </c>
      <c r="E76" s="67"/>
      <c r="F76" s="73">
        <v>154.32</v>
      </c>
      <c r="G76" s="73">
        <v>0</v>
      </c>
      <c r="H76" s="68">
        <v>0</v>
      </c>
      <c r="I76" s="68">
        <v>0</v>
      </c>
      <c r="J76" s="71">
        <v>42997</v>
      </c>
      <c r="K76" s="71">
        <v>43024</v>
      </c>
      <c r="L76" s="69" t="s">
        <v>119</v>
      </c>
      <c r="M76" s="69" t="s">
        <v>109</v>
      </c>
      <c r="N76" s="72">
        <v>43072</v>
      </c>
      <c r="O76" s="67"/>
      <c r="P76" s="67" t="s">
        <v>95</v>
      </c>
      <c r="Q76" s="67" t="s">
        <v>129</v>
      </c>
      <c r="R76" s="69" t="s">
        <v>69</v>
      </c>
      <c r="S76" s="69" t="s">
        <v>130</v>
      </c>
      <c r="T76" s="67"/>
      <c r="U76" s="67"/>
      <c r="V76" s="72">
        <v>43008</v>
      </c>
      <c r="W76" s="69">
        <v>425570018</v>
      </c>
      <c r="X76" s="69"/>
      <c r="Y76" s="126"/>
      <c r="Z76" s="30">
        <f t="shared" si="2"/>
        <v>65236.679355960063</v>
      </c>
      <c r="AA76" s="30">
        <f t="shared" si="3"/>
        <v>0</v>
      </c>
      <c r="AB76" t="s">
        <v>456</v>
      </c>
    </row>
    <row r="77" spans="1:28">
      <c r="A77" s="67" t="s">
        <v>118</v>
      </c>
      <c r="B77" s="68">
        <v>1272713</v>
      </c>
      <c r="C77" s="69">
        <v>4615429860</v>
      </c>
      <c r="D77" s="70">
        <v>19175</v>
      </c>
      <c r="E77" s="67"/>
      <c r="F77" s="68">
        <v>10</v>
      </c>
      <c r="G77" s="68">
        <v>0</v>
      </c>
      <c r="H77" s="75">
        <v>0</v>
      </c>
      <c r="I77" s="68">
        <v>0</v>
      </c>
      <c r="J77" s="71"/>
      <c r="K77" s="71">
        <v>42799</v>
      </c>
      <c r="L77" s="69" t="s">
        <v>80</v>
      </c>
      <c r="M77" s="69" t="s">
        <v>109</v>
      </c>
      <c r="N77" s="72">
        <v>43072</v>
      </c>
      <c r="O77" s="67"/>
      <c r="P77" s="67" t="s">
        <v>95</v>
      </c>
      <c r="Q77" s="67" t="s">
        <v>120</v>
      </c>
      <c r="R77" s="69" t="s">
        <v>69</v>
      </c>
      <c r="S77" s="69" t="s">
        <v>121</v>
      </c>
      <c r="T77" s="67"/>
      <c r="U77" s="67"/>
      <c r="V77" s="72">
        <v>42978</v>
      </c>
      <c r="W77" s="69">
        <v>2028202</v>
      </c>
      <c r="X77" s="69"/>
      <c r="Y77" s="126"/>
      <c r="Z77" s="30">
        <f t="shared" si="2"/>
        <v>4227.3638773950279</v>
      </c>
      <c r="AA77" s="30">
        <f t="shared" si="3"/>
        <v>0</v>
      </c>
      <c r="AB77" t="s">
        <v>456</v>
      </c>
    </row>
    <row r="78" spans="1:28">
      <c r="A78" s="67" t="s">
        <v>122</v>
      </c>
      <c r="B78" s="68">
        <v>1280880</v>
      </c>
      <c r="C78" s="69">
        <v>4615412369</v>
      </c>
      <c r="D78" s="70">
        <v>19200</v>
      </c>
      <c r="E78" s="67"/>
      <c r="F78" s="68">
        <v>16</v>
      </c>
      <c r="G78" s="68">
        <v>5</v>
      </c>
      <c r="H78" s="73">
        <v>0</v>
      </c>
      <c r="I78" s="68">
        <v>0</v>
      </c>
      <c r="J78" s="71">
        <v>42982</v>
      </c>
      <c r="K78" s="71">
        <v>43011</v>
      </c>
      <c r="L78" s="69" t="s">
        <v>119</v>
      </c>
      <c r="M78" s="69" t="s">
        <v>109</v>
      </c>
      <c r="N78" s="72">
        <v>43072</v>
      </c>
      <c r="O78" s="67"/>
      <c r="P78" s="67" t="s">
        <v>95</v>
      </c>
      <c r="Q78" s="67" t="s">
        <v>120</v>
      </c>
      <c r="R78" s="69" t="s">
        <v>69</v>
      </c>
      <c r="S78" s="69" t="s">
        <v>123</v>
      </c>
      <c r="T78" s="67"/>
      <c r="U78" s="67"/>
      <c r="V78" s="72">
        <v>43008</v>
      </c>
      <c r="W78" s="69">
        <v>2025769</v>
      </c>
      <c r="X78" s="69"/>
      <c r="Y78" s="126"/>
      <c r="Z78" s="30">
        <f t="shared" si="2"/>
        <v>6772.6006943194379</v>
      </c>
      <c r="AA78" s="30">
        <f t="shared" si="3"/>
        <v>2116.4377169748245</v>
      </c>
      <c r="AB78" t="s">
        <v>456</v>
      </c>
    </row>
    <row r="79" spans="1:28">
      <c r="A79" s="67" t="s">
        <v>122</v>
      </c>
      <c r="B79" s="68">
        <v>1280876</v>
      </c>
      <c r="C79" s="69">
        <v>4615412369</v>
      </c>
      <c r="D79" s="70">
        <v>19200</v>
      </c>
      <c r="E79" s="67"/>
      <c r="F79" s="68">
        <v>16</v>
      </c>
      <c r="G79" s="68">
        <v>5</v>
      </c>
      <c r="H79" s="73">
        <v>0</v>
      </c>
      <c r="I79" s="68">
        <v>0</v>
      </c>
      <c r="J79" s="71">
        <v>42982</v>
      </c>
      <c r="K79" s="71">
        <v>43004</v>
      </c>
      <c r="L79" s="69" t="s">
        <v>119</v>
      </c>
      <c r="M79" s="69" t="s">
        <v>109</v>
      </c>
      <c r="N79" s="72">
        <v>43072</v>
      </c>
      <c r="O79" s="67"/>
      <c r="P79" s="67" t="s">
        <v>95</v>
      </c>
      <c r="Q79" s="67" t="s">
        <v>120</v>
      </c>
      <c r="R79" s="69" t="s">
        <v>69</v>
      </c>
      <c r="S79" s="69" t="s">
        <v>123</v>
      </c>
      <c r="T79" s="67"/>
      <c r="U79" s="67"/>
      <c r="V79" s="72">
        <v>43008</v>
      </c>
      <c r="W79" s="69">
        <v>2025769</v>
      </c>
      <c r="X79" s="69"/>
      <c r="Y79" s="126"/>
      <c r="Z79" s="30">
        <f t="shared" si="2"/>
        <v>6772.6006943194379</v>
      </c>
      <c r="AA79" s="30">
        <f t="shared" si="3"/>
        <v>2116.4377169748245</v>
      </c>
      <c r="AB79" t="s">
        <v>456</v>
      </c>
    </row>
    <row r="80" spans="1:28">
      <c r="A80" s="67" t="s">
        <v>113</v>
      </c>
      <c r="B80" s="68">
        <v>1290688</v>
      </c>
      <c r="C80" s="69">
        <v>4615397248</v>
      </c>
      <c r="D80" s="70">
        <v>20700</v>
      </c>
      <c r="E80" s="67"/>
      <c r="F80" s="73">
        <v>16</v>
      </c>
      <c r="G80" s="73" t="s">
        <v>114</v>
      </c>
      <c r="H80" s="68">
        <v>0</v>
      </c>
      <c r="I80" s="68">
        <v>0</v>
      </c>
      <c r="J80" s="71">
        <v>43016</v>
      </c>
      <c r="K80" s="71">
        <v>43004</v>
      </c>
      <c r="L80" s="69" t="s">
        <v>108</v>
      </c>
      <c r="M80" s="69" t="s">
        <v>109</v>
      </c>
      <c r="N80" s="72">
        <v>43072</v>
      </c>
      <c r="O80" s="67"/>
      <c r="P80" s="67" t="s">
        <v>95</v>
      </c>
      <c r="Q80" s="67" t="s">
        <v>110</v>
      </c>
      <c r="R80" s="69" t="s">
        <v>69</v>
      </c>
      <c r="S80" s="69" t="s">
        <v>115</v>
      </c>
      <c r="T80" s="67"/>
      <c r="U80" s="67"/>
      <c r="V80" s="72">
        <v>42978</v>
      </c>
      <c r="W80" s="69" t="s">
        <v>140</v>
      </c>
      <c r="X80" s="69" t="s">
        <v>117</v>
      </c>
      <c r="Y80" s="126"/>
      <c r="Z80" s="30">
        <f t="shared" si="2"/>
        <v>7301.7101235631453</v>
      </c>
      <c r="AA80" s="30">
        <f t="shared" si="3"/>
        <v>0</v>
      </c>
      <c r="AB80" t="s">
        <v>456</v>
      </c>
    </row>
    <row r="81" spans="1:28">
      <c r="A81" s="67" t="s">
        <v>113</v>
      </c>
      <c r="B81" s="68">
        <v>1282951</v>
      </c>
      <c r="C81" s="69">
        <v>4615478123</v>
      </c>
      <c r="D81" s="70">
        <v>20709</v>
      </c>
      <c r="E81" s="67"/>
      <c r="F81" s="68">
        <v>16</v>
      </c>
      <c r="G81" s="68">
        <v>0</v>
      </c>
      <c r="H81" s="73">
        <v>0</v>
      </c>
      <c r="I81" s="68">
        <v>0</v>
      </c>
      <c r="J81" s="71">
        <v>43002</v>
      </c>
      <c r="K81" s="71">
        <v>43039</v>
      </c>
      <c r="L81" s="69" t="s">
        <v>108</v>
      </c>
      <c r="M81" s="69" t="s">
        <v>109</v>
      </c>
      <c r="N81" s="72">
        <v>43072</v>
      </c>
      <c r="O81" s="67"/>
      <c r="P81" s="67" t="s">
        <v>95</v>
      </c>
      <c r="Q81" s="67" t="s">
        <v>110</v>
      </c>
      <c r="R81" s="69" t="s">
        <v>69</v>
      </c>
      <c r="S81" s="69" t="s">
        <v>115</v>
      </c>
      <c r="T81" s="67"/>
      <c r="U81" s="67"/>
      <c r="V81" s="72">
        <v>43008</v>
      </c>
      <c r="W81" s="69" t="s">
        <v>141</v>
      </c>
      <c r="X81" s="69" t="s">
        <v>117</v>
      </c>
      <c r="Y81" s="126"/>
      <c r="Z81" s="30">
        <f t="shared" si="2"/>
        <v>7304.8847801386073</v>
      </c>
      <c r="AA81" s="30">
        <f t="shared" si="3"/>
        <v>0</v>
      </c>
      <c r="AB81" t="s">
        <v>456</v>
      </c>
    </row>
    <row r="82" spans="1:28">
      <c r="A82" s="67" t="s">
        <v>113</v>
      </c>
      <c r="B82" s="68">
        <v>1282947</v>
      </c>
      <c r="C82" s="69">
        <v>4615478123</v>
      </c>
      <c r="D82" s="70">
        <v>20709</v>
      </c>
      <c r="E82" s="67"/>
      <c r="F82" s="68">
        <v>16</v>
      </c>
      <c r="G82" s="68">
        <v>0</v>
      </c>
      <c r="H82" s="73">
        <v>0</v>
      </c>
      <c r="I82" s="68">
        <v>0</v>
      </c>
      <c r="J82" s="71">
        <v>43002</v>
      </c>
      <c r="K82" s="71">
        <v>43019</v>
      </c>
      <c r="L82" s="69" t="s">
        <v>108</v>
      </c>
      <c r="M82" s="69" t="s">
        <v>109</v>
      </c>
      <c r="N82" s="72">
        <v>43072</v>
      </c>
      <c r="O82" s="67"/>
      <c r="P82" s="67" t="s">
        <v>95</v>
      </c>
      <c r="Q82" s="67" t="s">
        <v>110</v>
      </c>
      <c r="R82" s="69" t="s">
        <v>69</v>
      </c>
      <c r="S82" s="69" t="s">
        <v>115</v>
      </c>
      <c r="T82" s="67"/>
      <c r="U82" s="67"/>
      <c r="V82" s="72">
        <v>43008</v>
      </c>
      <c r="W82" s="69" t="s">
        <v>141</v>
      </c>
      <c r="X82" s="69" t="s">
        <v>117</v>
      </c>
      <c r="Y82" s="126"/>
      <c r="Z82" s="30">
        <f t="shared" si="2"/>
        <v>7304.8847801386073</v>
      </c>
      <c r="AA82" s="30">
        <f t="shared" si="3"/>
        <v>0</v>
      </c>
      <c r="AB82" t="s">
        <v>456</v>
      </c>
    </row>
    <row r="83" spans="1:28">
      <c r="A83" s="67" t="s">
        <v>113</v>
      </c>
      <c r="B83" s="68">
        <v>1282092</v>
      </c>
      <c r="C83" s="69">
        <v>4615409969</v>
      </c>
      <c r="D83" s="70">
        <v>20700</v>
      </c>
      <c r="E83" s="67"/>
      <c r="F83" s="68">
        <v>16</v>
      </c>
      <c r="G83" s="68" t="s">
        <v>114</v>
      </c>
      <c r="H83" s="73">
        <v>0</v>
      </c>
      <c r="I83" s="68">
        <v>0</v>
      </c>
      <c r="J83" s="71">
        <v>43025</v>
      </c>
      <c r="K83" s="71">
        <v>43019</v>
      </c>
      <c r="L83" s="69" t="s">
        <v>108</v>
      </c>
      <c r="M83" s="69" t="s">
        <v>109</v>
      </c>
      <c r="N83" s="72">
        <v>43072</v>
      </c>
      <c r="O83" s="67"/>
      <c r="P83" s="67" t="s">
        <v>95</v>
      </c>
      <c r="Q83" s="67" t="s">
        <v>110</v>
      </c>
      <c r="R83" s="69" t="s">
        <v>69</v>
      </c>
      <c r="S83" s="69" t="s">
        <v>115</v>
      </c>
      <c r="T83" s="67"/>
      <c r="U83" s="67"/>
      <c r="V83" s="72">
        <v>43008</v>
      </c>
      <c r="W83" s="69" t="s">
        <v>126</v>
      </c>
      <c r="X83" s="69" t="s">
        <v>117</v>
      </c>
      <c r="Y83" s="126"/>
      <c r="Z83" s="30">
        <f t="shared" si="2"/>
        <v>7301.7101235631453</v>
      </c>
      <c r="AA83" s="30">
        <f t="shared" si="3"/>
        <v>0</v>
      </c>
      <c r="AB83" t="s">
        <v>456</v>
      </c>
    </row>
    <row r="84" spans="1:28">
      <c r="A84" s="67" t="s">
        <v>113</v>
      </c>
      <c r="B84" s="68">
        <v>1282076</v>
      </c>
      <c r="C84" s="69">
        <v>4615409969</v>
      </c>
      <c r="D84" s="70">
        <v>20700</v>
      </c>
      <c r="E84" s="67"/>
      <c r="F84" s="68">
        <v>16</v>
      </c>
      <c r="G84" s="68" t="s">
        <v>114</v>
      </c>
      <c r="H84" s="73">
        <v>0</v>
      </c>
      <c r="I84" s="68">
        <v>0</v>
      </c>
      <c r="J84" s="71">
        <v>43025</v>
      </c>
      <c r="K84" s="71">
        <v>43019</v>
      </c>
      <c r="L84" s="69" t="s">
        <v>108</v>
      </c>
      <c r="M84" s="69" t="s">
        <v>109</v>
      </c>
      <c r="N84" s="72">
        <v>43072</v>
      </c>
      <c r="O84" s="67"/>
      <c r="P84" s="67" t="s">
        <v>95</v>
      </c>
      <c r="Q84" s="67" t="s">
        <v>110</v>
      </c>
      <c r="R84" s="69" t="s">
        <v>69</v>
      </c>
      <c r="S84" s="69" t="s">
        <v>115</v>
      </c>
      <c r="T84" s="67"/>
      <c r="U84" s="67"/>
      <c r="V84" s="72">
        <v>43008</v>
      </c>
      <c r="W84" s="69" t="s">
        <v>126</v>
      </c>
      <c r="X84" s="69" t="s">
        <v>117</v>
      </c>
      <c r="Y84" s="126"/>
      <c r="Z84" s="30">
        <f t="shared" si="2"/>
        <v>7301.7101235631453</v>
      </c>
      <c r="AA84" s="30">
        <f t="shared" si="3"/>
        <v>0</v>
      </c>
      <c r="AB84" t="s">
        <v>456</v>
      </c>
    </row>
    <row r="85" spans="1:28">
      <c r="A85" s="67" t="s">
        <v>113</v>
      </c>
      <c r="B85" s="68">
        <v>1282075</v>
      </c>
      <c r="C85" s="69">
        <v>4615409969</v>
      </c>
      <c r="D85" s="70">
        <v>20700</v>
      </c>
      <c r="E85" s="67"/>
      <c r="F85" s="68">
        <v>16</v>
      </c>
      <c r="G85" s="68" t="s">
        <v>114</v>
      </c>
      <c r="H85" s="73">
        <v>0</v>
      </c>
      <c r="I85" s="68">
        <v>0</v>
      </c>
      <c r="J85" s="71">
        <v>43025</v>
      </c>
      <c r="K85" s="71">
        <v>43011</v>
      </c>
      <c r="L85" s="69" t="s">
        <v>108</v>
      </c>
      <c r="M85" s="69" t="s">
        <v>109</v>
      </c>
      <c r="N85" s="72">
        <v>43072</v>
      </c>
      <c r="O85" s="67"/>
      <c r="P85" s="67" t="s">
        <v>95</v>
      </c>
      <c r="Q85" s="67" t="s">
        <v>110</v>
      </c>
      <c r="R85" s="69" t="s">
        <v>69</v>
      </c>
      <c r="S85" s="69" t="s">
        <v>115</v>
      </c>
      <c r="T85" s="67"/>
      <c r="U85" s="67"/>
      <c r="V85" s="72">
        <v>43008</v>
      </c>
      <c r="W85" s="69" t="s">
        <v>126</v>
      </c>
      <c r="X85" s="69" t="s">
        <v>117</v>
      </c>
      <c r="Y85" s="126"/>
      <c r="Z85" s="30">
        <f t="shared" si="2"/>
        <v>7301.7101235631453</v>
      </c>
      <c r="AA85" s="30">
        <f t="shared" si="3"/>
        <v>0</v>
      </c>
      <c r="AB85" t="s">
        <v>456</v>
      </c>
    </row>
    <row r="86" spans="1:28">
      <c r="A86" s="67" t="s">
        <v>122</v>
      </c>
      <c r="B86" s="68">
        <v>1250828</v>
      </c>
      <c r="C86" s="69">
        <v>4615416504</v>
      </c>
      <c r="D86" s="70">
        <v>19200</v>
      </c>
      <c r="E86" s="67"/>
      <c r="F86" s="68">
        <v>16</v>
      </c>
      <c r="G86" s="68">
        <v>5</v>
      </c>
      <c r="H86" s="68">
        <v>0</v>
      </c>
      <c r="I86" s="68">
        <v>0</v>
      </c>
      <c r="J86" s="71"/>
      <c r="K86" s="71">
        <v>43013</v>
      </c>
      <c r="L86" s="69" t="s">
        <v>80</v>
      </c>
      <c r="M86" s="69" t="s">
        <v>109</v>
      </c>
      <c r="N86" s="72">
        <v>43071</v>
      </c>
      <c r="O86" s="67"/>
      <c r="P86" s="67" t="s">
        <v>95</v>
      </c>
      <c r="Q86" s="67" t="s">
        <v>120</v>
      </c>
      <c r="R86" s="69" t="s">
        <v>69</v>
      </c>
      <c r="S86" s="69" t="s">
        <v>123</v>
      </c>
      <c r="T86" s="67"/>
      <c r="U86" s="67"/>
      <c r="V86" s="72">
        <v>42886</v>
      </c>
      <c r="W86" s="69">
        <v>2025782</v>
      </c>
      <c r="X86" s="69"/>
      <c r="Y86" s="126"/>
      <c r="Z86" s="30">
        <f t="shared" si="2"/>
        <v>6772.6006943194379</v>
      </c>
      <c r="AA86" s="30">
        <f t="shared" si="3"/>
        <v>2116.4377169748245</v>
      </c>
      <c r="AB86" t="s">
        <v>456</v>
      </c>
    </row>
    <row r="87" spans="1:28">
      <c r="A87" s="67" t="s">
        <v>113</v>
      </c>
      <c r="B87" s="68">
        <v>1274506</v>
      </c>
      <c r="C87" s="69">
        <v>4615484189</v>
      </c>
      <c r="D87" s="70">
        <v>19175</v>
      </c>
      <c r="E87" s="67"/>
      <c r="F87" s="73">
        <v>16</v>
      </c>
      <c r="G87" s="73">
        <v>5</v>
      </c>
      <c r="H87" s="68">
        <v>0</v>
      </c>
      <c r="I87" s="68">
        <v>0</v>
      </c>
      <c r="J87" s="71">
        <v>42979</v>
      </c>
      <c r="K87" s="71">
        <v>43013</v>
      </c>
      <c r="L87" s="69" t="s">
        <v>119</v>
      </c>
      <c r="M87" s="69" t="s">
        <v>109</v>
      </c>
      <c r="N87" s="72">
        <v>43069</v>
      </c>
      <c r="O87" s="67"/>
      <c r="P87" s="67" t="s">
        <v>95</v>
      </c>
      <c r="Q87" s="67" t="s">
        <v>110</v>
      </c>
      <c r="R87" s="69" t="s">
        <v>69</v>
      </c>
      <c r="S87" s="69" t="s">
        <v>115</v>
      </c>
      <c r="T87" s="67"/>
      <c r="U87" s="67"/>
      <c r="V87" s="72">
        <v>43008</v>
      </c>
      <c r="W87" s="69" t="s">
        <v>142</v>
      </c>
      <c r="X87" s="69" t="s">
        <v>143</v>
      </c>
      <c r="Y87" s="126"/>
      <c r="Z87" s="30">
        <f t="shared" si="2"/>
        <v>6763.7822038320437</v>
      </c>
      <c r="AA87" s="30">
        <f t="shared" si="3"/>
        <v>2113.6819386975139</v>
      </c>
      <c r="AB87" t="s">
        <v>456</v>
      </c>
    </row>
    <row r="88" spans="1:28">
      <c r="A88" s="67" t="s">
        <v>128</v>
      </c>
      <c r="B88" s="68">
        <v>1286106</v>
      </c>
      <c r="C88" s="69">
        <v>4615469665</v>
      </c>
      <c r="D88" s="70">
        <v>19175</v>
      </c>
      <c r="E88" s="67"/>
      <c r="F88" s="73">
        <v>154.32</v>
      </c>
      <c r="G88" s="73">
        <v>0</v>
      </c>
      <c r="H88" s="68">
        <v>0</v>
      </c>
      <c r="I88" s="68">
        <v>0</v>
      </c>
      <c r="J88" s="71">
        <v>42997</v>
      </c>
      <c r="K88" s="71">
        <v>43001</v>
      </c>
      <c r="L88" s="69" t="s">
        <v>119</v>
      </c>
      <c r="M88" s="69" t="s">
        <v>109</v>
      </c>
      <c r="N88" s="72">
        <v>43069</v>
      </c>
      <c r="O88" s="67"/>
      <c r="P88" s="67" t="s">
        <v>95</v>
      </c>
      <c r="Q88" s="67" t="s">
        <v>129</v>
      </c>
      <c r="R88" s="69" t="s">
        <v>69</v>
      </c>
      <c r="S88" s="69" t="s">
        <v>130</v>
      </c>
      <c r="T88" s="67"/>
      <c r="U88" s="67"/>
      <c r="V88" s="72">
        <v>43008</v>
      </c>
      <c r="W88" s="69">
        <v>425570018</v>
      </c>
      <c r="X88" s="69"/>
      <c r="Y88" s="126"/>
      <c r="Z88" s="30">
        <f t="shared" si="2"/>
        <v>65236.679355960063</v>
      </c>
      <c r="AA88" s="30">
        <f t="shared" si="3"/>
        <v>0</v>
      </c>
      <c r="AB88" t="s">
        <v>456</v>
      </c>
    </row>
    <row r="89" spans="1:28">
      <c r="A89" s="67" t="s">
        <v>122</v>
      </c>
      <c r="B89" s="68">
        <v>1295669</v>
      </c>
      <c r="C89" s="69">
        <v>4615472459</v>
      </c>
      <c r="D89" s="70">
        <v>21102</v>
      </c>
      <c r="E89" s="67"/>
      <c r="F89" s="68">
        <v>16</v>
      </c>
      <c r="G89" s="68">
        <v>5</v>
      </c>
      <c r="H89" s="73">
        <v>0</v>
      </c>
      <c r="I89" s="68">
        <v>0</v>
      </c>
      <c r="J89" s="71">
        <v>43024</v>
      </c>
      <c r="K89" s="71">
        <v>43011</v>
      </c>
      <c r="L89" s="69" t="s">
        <v>108</v>
      </c>
      <c r="M89" s="69" t="s">
        <v>109</v>
      </c>
      <c r="N89" s="72">
        <v>43069</v>
      </c>
      <c r="O89" s="67"/>
      <c r="P89" s="67" t="s">
        <v>95</v>
      </c>
      <c r="Q89" s="67" t="s">
        <v>120</v>
      </c>
      <c r="R89" s="69" t="s">
        <v>69</v>
      </c>
      <c r="S89" s="69" t="s">
        <v>123</v>
      </c>
      <c r="T89" s="67"/>
      <c r="U89" s="67"/>
      <c r="V89" s="72">
        <v>43069</v>
      </c>
      <c r="W89" s="69">
        <v>2030497</v>
      </c>
      <c r="X89" s="69" t="s">
        <v>124</v>
      </c>
      <c r="Y89" s="126"/>
      <c r="Z89" s="30">
        <f t="shared" si="2"/>
        <v>7443.5114506004584</v>
      </c>
      <c r="AA89" s="30">
        <f t="shared" si="3"/>
        <v>2326.0973283126432</v>
      </c>
      <c r="AB89" t="s">
        <v>456</v>
      </c>
    </row>
    <row r="90" spans="1:28">
      <c r="A90" s="67" t="s">
        <v>113</v>
      </c>
      <c r="B90" s="68">
        <v>1282098</v>
      </c>
      <c r="C90" s="69">
        <v>4615478123</v>
      </c>
      <c r="D90" s="70">
        <v>20709</v>
      </c>
      <c r="E90" s="67"/>
      <c r="F90" s="68">
        <v>16</v>
      </c>
      <c r="G90" s="68">
        <v>0</v>
      </c>
      <c r="H90" s="73">
        <v>0</v>
      </c>
      <c r="I90" s="68">
        <v>0</v>
      </c>
      <c r="J90" s="71">
        <v>42995</v>
      </c>
      <c r="K90" s="71">
        <v>43011</v>
      </c>
      <c r="L90" s="69" t="s">
        <v>108</v>
      </c>
      <c r="M90" s="69" t="s">
        <v>109</v>
      </c>
      <c r="N90" s="72">
        <v>43068</v>
      </c>
      <c r="O90" s="67"/>
      <c r="P90" s="67" t="s">
        <v>95</v>
      </c>
      <c r="Q90" s="67" t="s">
        <v>110</v>
      </c>
      <c r="R90" s="69" t="s">
        <v>69</v>
      </c>
      <c r="S90" s="69" t="s">
        <v>115</v>
      </c>
      <c r="T90" s="67"/>
      <c r="U90" s="67"/>
      <c r="V90" s="72">
        <v>43008</v>
      </c>
      <c r="W90" s="69" t="s">
        <v>141</v>
      </c>
      <c r="X90" s="69" t="s">
        <v>117</v>
      </c>
      <c r="Y90" s="126"/>
      <c r="Z90" s="30">
        <f t="shared" si="2"/>
        <v>7304.8847801386073</v>
      </c>
      <c r="AA90" s="30">
        <f t="shared" si="3"/>
        <v>0</v>
      </c>
      <c r="AB90" t="s">
        <v>456</v>
      </c>
    </row>
    <row r="91" spans="1:28">
      <c r="A91" s="67" t="s">
        <v>113</v>
      </c>
      <c r="B91" s="68">
        <v>1282952</v>
      </c>
      <c r="C91" s="69">
        <v>4615478123</v>
      </c>
      <c r="D91" s="70">
        <v>20709</v>
      </c>
      <c r="E91" s="67"/>
      <c r="F91" s="68">
        <v>16</v>
      </c>
      <c r="G91" s="68">
        <v>0</v>
      </c>
      <c r="H91" s="73">
        <v>0</v>
      </c>
      <c r="I91" s="68">
        <v>0</v>
      </c>
      <c r="J91" s="71">
        <v>43002</v>
      </c>
      <c r="K91" s="71">
        <v>43011</v>
      </c>
      <c r="L91" s="69" t="s">
        <v>108</v>
      </c>
      <c r="M91" s="69" t="s">
        <v>109</v>
      </c>
      <c r="N91" s="72">
        <v>43068</v>
      </c>
      <c r="O91" s="67"/>
      <c r="P91" s="67" t="s">
        <v>95</v>
      </c>
      <c r="Q91" s="67" t="s">
        <v>110</v>
      </c>
      <c r="R91" s="69" t="s">
        <v>69</v>
      </c>
      <c r="S91" s="69" t="s">
        <v>115</v>
      </c>
      <c r="T91" s="67"/>
      <c r="U91" s="67"/>
      <c r="V91" s="72">
        <v>43008</v>
      </c>
      <c r="W91" s="69" t="s">
        <v>141</v>
      </c>
      <c r="X91" s="69" t="s">
        <v>117</v>
      </c>
      <c r="Y91" s="126"/>
      <c r="Z91" s="30">
        <f t="shared" si="2"/>
        <v>7304.8847801386073</v>
      </c>
      <c r="AA91" s="30">
        <f t="shared" si="3"/>
        <v>0</v>
      </c>
      <c r="AB91" t="s">
        <v>456</v>
      </c>
    </row>
    <row r="92" spans="1:28">
      <c r="A92" s="67" t="s">
        <v>113</v>
      </c>
      <c r="B92" s="68">
        <v>1282956</v>
      </c>
      <c r="C92" s="69">
        <v>4615478123</v>
      </c>
      <c r="D92" s="70">
        <v>20709</v>
      </c>
      <c r="E92" s="67"/>
      <c r="F92" s="68">
        <v>16</v>
      </c>
      <c r="G92" s="68">
        <v>0</v>
      </c>
      <c r="H92" s="73">
        <v>0</v>
      </c>
      <c r="I92" s="68">
        <v>0</v>
      </c>
      <c r="J92" s="71">
        <v>43002</v>
      </c>
      <c r="K92" s="71">
        <v>42968</v>
      </c>
      <c r="L92" s="69" t="s">
        <v>108</v>
      </c>
      <c r="M92" s="69" t="s">
        <v>109</v>
      </c>
      <c r="N92" s="72">
        <v>43068</v>
      </c>
      <c r="O92" s="67"/>
      <c r="P92" s="67" t="s">
        <v>95</v>
      </c>
      <c r="Q92" s="67" t="s">
        <v>110</v>
      </c>
      <c r="R92" s="69" t="s">
        <v>69</v>
      </c>
      <c r="S92" s="69" t="s">
        <v>115</v>
      </c>
      <c r="T92" s="67"/>
      <c r="U92" s="67"/>
      <c r="V92" s="72">
        <v>43008</v>
      </c>
      <c r="W92" s="69" t="s">
        <v>141</v>
      </c>
      <c r="X92" s="69" t="s">
        <v>117</v>
      </c>
      <c r="Y92" s="126"/>
      <c r="Z92" s="30">
        <f t="shared" si="2"/>
        <v>7304.8847801386073</v>
      </c>
      <c r="AA92" s="30">
        <f t="shared" si="3"/>
        <v>0</v>
      </c>
      <c r="AB92" t="s">
        <v>456</v>
      </c>
    </row>
    <row r="93" spans="1:28">
      <c r="A93" s="67" t="s">
        <v>122</v>
      </c>
      <c r="B93" s="68">
        <v>1280877</v>
      </c>
      <c r="C93" s="69">
        <v>4615412369</v>
      </c>
      <c r="D93" s="70">
        <v>19200</v>
      </c>
      <c r="E93" s="67"/>
      <c r="F93" s="68">
        <v>16</v>
      </c>
      <c r="G93" s="68">
        <v>5</v>
      </c>
      <c r="H93" s="73">
        <v>0</v>
      </c>
      <c r="I93" s="68">
        <v>0</v>
      </c>
      <c r="J93" s="71">
        <v>42982</v>
      </c>
      <c r="K93" s="71">
        <v>42988</v>
      </c>
      <c r="L93" s="69" t="s">
        <v>119</v>
      </c>
      <c r="M93" s="69" t="s">
        <v>109</v>
      </c>
      <c r="N93" s="72">
        <v>43068</v>
      </c>
      <c r="O93" s="67"/>
      <c r="P93" s="67" t="s">
        <v>95</v>
      </c>
      <c r="Q93" s="67" t="s">
        <v>120</v>
      </c>
      <c r="R93" s="69" t="s">
        <v>69</v>
      </c>
      <c r="S93" s="69" t="s">
        <v>123</v>
      </c>
      <c r="T93" s="67"/>
      <c r="U93" s="67"/>
      <c r="V93" s="72">
        <v>43008</v>
      </c>
      <c r="W93" s="69">
        <v>2025769</v>
      </c>
      <c r="X93" s="69"/>
      <c r="Y93" s="126"/>
      <c r="Z93" s="30">
        <f t="shared" si="2"/>
        <v>6772.6006943194379</v>
      </c>
      <c r="AA93" s="30">
        <f t="shared" si="3"/>
        <v>2116.4377169748245</v>
      </c>
      <c r="AB93" t="s">
        <v>456</v>
      </c>
    </row>
    <row r="94" spans="1:28">
      <c r="A94" s="67" t="s">
        <v>122</v>
      </c>
      <c r="B94" s="68">
        <v>1280879</v>
      </c>
      <c r="C94" s="69">
        <v>4615412369</v>
      </c>
      <c r="D94" s="70">
        <v>19200</v>
      </c>
      <c r="E94" s="67"/>
      <c r="F94" s="68">
        <v>16</v>
      </c>
      <c r="G94" s="68">
        <v>5</v>
      </c>
      <c r="H94" s="73">
        <v>0</v>
      </c>
      <c r="I94" s="68">
        <v>0</v>
      </c>
      <c r="J94" s="71">
        <v>42982</v>
      </c>
      <c r="K94" s="71">
        <v>43019</v>
      </c>
      <c r="L94" s="69" t="s">
        <v>119</v>
      </c>
      <c r="M94" s="69" t="s">
        <v>109</v>
      </c>
      <c r="N94" s="72">
        <v>43068</v>
      </c>
      <c r="O94" s="67"/>
      <c r="P94" s="67" t="s">
        <v>95</v>
      </c>
      <c r="Q94" s="67" t="s">
        <v>120</v>
      </c>
      <c r="R94" s="69" t="s">
        <v>69</v>
      </c>
      <c r="S94" s="69" t="s">
        <v>123</v>
      </c>
      <c r="T94" s="67"/>
      <c r="U94" s="67"/>
      <c r="V94" s="72">
        <v>43008</v>
      </c>
      <c r="W94" s="69">
        <v>2025769</v>
      </c>
      <c r="X94" s="69"/>
      <c r="Y94" s="126"/>
      <c r="Z94" s="30">
        <f t="shared" si="2"/>
        <v>6772.6006943194379</v>
      </c>
      <c r="AA94" s="30">
        <f t="shared" si="3"/>
        <v>2116.4377169748245</v>
      </c>
      <c r="AB94" t="s">
        <v>456</v>
      </c>
    </row>
    <row r="95" spans="1:28">
      <c r="A95" s="67" t="s">
        <v>128</v>
      </c>
      <c r="B95" s="68">
        <v>1286107</v>
      </c>
      <c r="C95" s="69">
        <v>4615469665</v>
      </c>
      <c r="D95" s="70">
        <v>19175</v>
      </c>
      <c r="E95" s="67"/>
      <c r="F95" s="73">
        <v>154.32</v>
      </c>
      <c r="G95" s="73">
        <v>0</v>
      </c>
      <c r="H95" s="68">
        <v>0</v>
      </c>
      <c r="I95" s="68">
        <v>0</v>
      </c>
      <c r="J95" s="71">
        <v>42997</v>
      </c>
      <c r="K95" s="71">
        <v>42776</v>
      </c>
      <c r="L95" s="69" t="s">
        <v>119</v>
      </c>
      <c r="M95" s="69" t="s">
        <v>109</v>
      </c>
      <c r="N95" s="72">
        <v>43067</v>
      </c>
      <c r="O95" s="67"/>
      <c r="P95" s="67" t="s">
        <v>95</v>
      </c>
      <c r="Q95" s="67" t="s">
        <v>129</v>
      </c>
      <c r="R95" s="69" t="s">
        <v>69</v>
      </c>
      <c r="S95" s="69" t="s">
        <v>130</v>
      </c>
      <c r="T95" s="67"/>
      <c r="U95" s="67"/>
      <c r="V95" s="72">
        <v>43008</v>
      </c>
      <c r="W95" s="69">
        <v>425570018</v>
      </c>
      <c r="X95" s="69"/>
      <c r="Y95" s="126"/>
      <c r="Z95" s="30">
        <f t="shared" si="2"/>
        <v>65236.679355960063</v>
      </c>
      <c r="AA95" s="30">
        <f t="shared" si="3"/>
        <v>0</v>
      </c>
      <c r="AB95" t="s">
        <v>456</v>
      </c>
    </row>
    <row r="96" spans="1:28">
      <c r="A96" s="67" t="s">
        <v>113</v>
      </c>
      <c r="B96" s="68">
        <v>1290689</v>
      </c>
      <c r="C96" s="69">
        <v>4615397248</v>
      </c>
      <c r="D96" s="70">
        <v>20700</v>
      </c>
      <c r="E96" s="67"/>
      <c r="F96" s="73">
        <v>16</v>
      </c>
      <c r="G96" s="73" t="s">
        <v>114</v>
      </c>
      <c r="H96" s="68">
        <v>0</v>
      </c>
      <c r="I96" s="68">
        <v>0</v>
      </c>
      <c r="J96" s="71">
        <v>43016</v>
      </c>
      <c r="K96" s="71">
        <v>42997</v>
      </c>
      <c r="L96" s="69" t="s">
        <v>108</v>
      </c>
      <c r="M96" s="69" t="s">
        <v>109</v>
      </c>
      <c r="N96" s="72">
        <v>43067</v>
      </c>
      <c r="O96" s="67"/>
      <c r="P96" s="67" t="s">
        <v>95</v>
      </c>
      <c r="Q96" s="67" t="s">
        <v>110</v>
      </c>
      <c r="R96" s="69" t="s">
        <v>69</v>
      </c>
      <c r="S96" s="69" t="s">
        <v>115</v>
      </c>
      <c r="T96" s="67"/>
      <c r="U96" s="67"/>
      <c r="V96" s="72">
        <v>42978</v>
      </c>
      <c r="W96" s="69" t="s">
        <v>140</v>
      </c>
      <c r="X96" s="69" t="s">
        <v>117</v>
      </c>
      <c r="Y96" s="126"/>
      <c r="Z96" s="30">
        <f t="shared" si="2"/>
        <v>7301.7101235631453</v>
      </c>
      <c r="AA96" s="30">
        <f t="shared" si="3"/>
        <v>0</v>
      </c>
      <c r="AB96" t="s">
        <v>456</v>
      </c>
    </row>
    <row r="97" spans="1:28">
      <c r="A97" s="67" t="s">
        <v>113</v>
      </c>
      <c r="B97" s="68">
        <v>1282950</v>
      </c>
      <c r="C97" s="69">
        <v>4615478123</v>
      </c>
      <c r="D97" s="70">
        <v>20709</v>
      </c>
      <c r="E97" s="67"/>
      <c r="F97" s="68">
        <v>16</v>
      </c>
      <c r="G97" s="68">
        <v>0</v>
      </c>
      <c r="H97" s="73">
        <v>0</v>
      </c>
      <c r="I97" s="68">
        <v>0</v>
      </c>
      <c r="J97" s="71">
        <v>43002</v>
      </c>
      <c r="K97" s="71">
        <v>42995</v>
      </c>
      <c r="L97" s="69" t="s">
        <v>108</v>
      </c>
      <c r="M97" s="69" t="s">
        <v>109</v>
      </c>
      <c r="N97" s="72">
        <v>43067</v>
      </c>
      <c r="O97" s="67"/>
      <c r="P97" s="67" t="s">
        <v>95</v>
      </c>
      <c r="Q97" s="67" t="s">
        <v>110</v>
      </c>
      <c r="R97" s="69" t="s">
        <v>69</v>
      </c>
      <c r="S97" s="69" t="s">
        <v>115</v>
      </c>
      <c r="T97" s="67"/>
      <c r="U97" s="67"/>
      <c r="V97" s="72">
        <v>43008</v>
      </c>
      <c r="W97" s="69" t="s">
        <v>141</v>
      </c>
      <c r="X97" s="69" t="s">
        <v>117</v>
      </c>
      <c r="Y97" s="126"/>
      <c r="Z97" s="30">
        <f t="shared" si="2"/>
        <v>7304.8847801386073</v>
      </c>
      <c r="AA97" s="30">
        <f t="shared" si="3"/>
        <v>0</v>
      </c>
      <c r="AB97" t="s">
        <v>456</v>
      </c>
    </row>
    <row r="98" spans="1:28">
      <c r="A98" s="67" t="s">
        <v>122</v>
      </c>
      <c r="B98" s="68">
        <v>1280872</v>
      </c>
      <c r="C98" s="69">
        <v>4615412369</v>
      </c>
      <c r="D98" s="70">
        <v>19200</v>
      </c>
      <c r="E98" s="67"/>
      <c r="F98" s="68">
        <v>16</v>
      </c>
      <c r="G98" s="68">
        <v>5</v>
      </c>
      <c r="H98" s="73">
        <v>0</v>
      </c>
      <c r="I98" s="68">
        <v>0</v>
      </c>
      <c r="J98" s="71">
        <v>42982</v>
      </c>
      <c r="K98" s="71">
        <v>42988</v>
      </c>
      <c r="L98" s="69" t="s">
        <v>119</v>
      </c>
      <c r="M98" s="69" t="s">
        <v>109</v>
      </c>
      <c r="N98" s="72">
        <v>43067</v>
      </c>
      <c r="O98" s="67"/>
      <c r="P98" s="67" t="s">
        <v>95</v>
      </c>
      <c r="Q98" s="67" t="s">
        <v>120</v>
      </c>
      <c r="R98" s="69" t="s">
        <v>69</v>
      </c>
      <c r="S98" s="69" t="s">
        <v>123</v>
      </c>
      <c r="T98" s="67"/>
      <c r="U98" s="67"/>
      <c r="V98" s="72">
        <v>43008</v>
      </c>
      <c r="W98" s="69">
        <v>2025769</v>
      </c>
      <c r="X98" s="69"/>
      <c r="Y98" s="126"/>
      <c r="Z98" s="30">
        <f t="shared" si="2"/>
        <v>6772.6006943194379</v>
      </c>
      <c r="AA98" s="30">
        <f t="shared" si="3"/>
        <v>2116.4377169748245</v>
      </c>
      <c r="AB98" t="s">
        <v>456</v>
      </c>
    </row>
    <row r="99" spans="1:28">
      <c r="A99" s="67" t="s">
        <v>113</v>
      </c>
      <c r="B99" s="68">
        <v>1290683</v>
      </c>
      <c r="C99" s="69">
        <v>4615397248</v>
      </c>
      <c r="D99" s="70">
        <v>20700</v>
      </c>
      <c r="E99" s="67"/>
      <c r="F99" s="73">
        <v>16</v>
      </c>
      <c r="G99" s="73" t="s">
        <v>114</v>
      </c>
      <c r="H99" s="68">
        <v>0</v>
      </c>
      <c r="I99" s="68">
        <v>0</v>
      </c>
      <c r="J99" s="71">
        <v>43016</v>
      </c>
      <c r="K99" s="71">
        <v>42997</v>
      </c>
      <c r="L99" s="69" t="s">
        <v>108</v>
      </c>
      <c r="M99" s="69" t="s">
        <v>109</v>
      </c>
      <c r="N99" s="72">
        <v>43066</v>
      </c>
      <c r="O99" s="67"/>
      <c r="P99" s="67" t="s">
        <v>95</v>
      </c>
      <c r="Q99" s="67" t="s">
        <v>110</v>
      </c>
      <c r="R99" s="69" t="s">
        <v>69</v>
      </c>
      <c r="S99" s="69" t="s">
        <v>115</v>
      </c>
      <c r="T99" s="67"/>
      <c r="U99" s="67"/>
      <c r="V99" s="72">
        <v>42978</v>
      </c>
      <c r="W99" s="69" t="s">
        <v>140</v>
      </c>
      <c r="X99" s="69" t="s">
        <v>117</v>
      </c>
      <c r="Y99" s="126"/>
      <c r="Z99" s="30">
        <f t="shared" si="2"/>
        <v>7301.7101235631453</v>
      </c>
      <c r="AA99" s="30">
        <f t="shared" si="3"/>
        <v>0</v>
      </c>
      <c r="AB99" t="s">
        <v>456</v>
      </c>
    </row>
    <row r="100" spans="1:28">
      <c r="A100" s="67" t="s">
        <v>113</v>
      </c>
      <c r="B100" s="68">
        <v>1282948</v>
      </c>
      <c r="C100" s="69">
        <v>4615478123</v>
      </c>
      <c r="D100" s="70">
        <v>20709</v>
      </c>
      <c r="E100" s="67"/>
      <c r="F100" s="68">
        <v>16</v>
      </c>
      <c r="G100" s="68">
        <v>0</v>
      </c>
      <c r="H100" s="73">
        <v>0</v>
      </c>
      <c r="I100" s="68">
        <v>0</v>
      </c>
      <c r="J100" s="71">
        <v>43002</v>
      </c>
      <c r="K100" s="71">
        <v>42988</v>
      </c>
      <c r="L100" s="69" t="s">
        <v>108</v>
      </c>
      <c r="M100" s="69" t="s">
        <v>109</v>
      </c>
      <c r="N100" s="72">
        <v>43066</v>
      </c>
      <c r="O100" s="67"/>
      <c r="P100" s="67" t="s">
        <v>95</v>
      </c>
      <c r="Q100" s="67" t="s">
        <v>110</v>
      </c>
      <c r="R100" s="69" t="s">
        <v>69</v>
      </c>
      <c r="S100" s="69" t="s">
        <v>115</v>
      </c>
      <c r="T100" s="67"/>
      <c r="U100" s="67"/>
      <c r="V100" s="72">
        <v>43008</v>
      </c>
      <c r="W100" s="69" t="s">
        <v>141</v>
      </c>
      <c r="X100" s="69" t="s">
        <v>117</v>
      </c>
      <c r="Y100" s="126"/>
      <c r="Z100" s="30">
        <f t="shared" si="2"/>
        <v>7304.8847801386073</v>
      </c>
      <c r="AA100" s="30">
        <f t="shared" si="3"/>
        <v>0</v>
      </c>
      <c r="AB100" t="s">
        <v>456</v>
      </c>
    </row>
    <row r="101" spans="1:28">
      <c r="A101" s="67" t="s">
        <v>128</v>
      </c>
      <c r="B101" s="68">
        <v>1281629</v>
      </c>
      <c r="C101" s="69">
        <v>4615450154</v>
      </c>
      <c r="D101" s="70">
        <v>19175</v>
      </c>
      <c r="E101" s="67"/>
      <c r="F101" s="73">
        <v>154.32</v>
      </c>
      <c r="G101" s="73">
        <v>0</v>
      </c>
      <c r="H101" s="68">
        <v>0</v>
      </c>
      <c r="I101" s="68">
        <v>0</v>
      </c>
      <c r="J101" s="71">
        <v>42983</v>
      </c>
      <c r="K101" s="71">
        <v>42988</v>
      </c>
      <c r="L101" s="69" t="s">
        <v>119</v>
      </c>
      <c r="M101" s="69" t="s">
        <v>109</v>
      </c>
      <c r="N101" s="72">
        <v>43065</v>
      </c>
      <c r="O101" s="67"/>
      <c r="P101" s="67" t="s">
        <v>95</v>
      </c>
      <c r="Q101" s="67" t="s">
        <v>129</v>
      </c>
      <c r="R101" s="69" t="s">
        <v>69</v>
      </c>
      <c r="S101" s="69" t="s">
        <v>130</v>
      </c>
      <c r="T101" s="67"/>
      <c r="U101" s="67"/>
      <c r="V101" s="72">
        <v>42978</v>
      </c>
      <c r="W101" s="69">
        <v>425570017</v>
      </c>
      <c r="X101" s="69"/>
      <c r="Y101" s="126"/>
      <c r="Z101" s="30">
        <f t="shared" si="2"/>
        <v>65236.679355960063</v>
      </c>
      <c r="AA101" s="30">
        <f t="shared" si="3"/>
        <v>0</v>
      </c>
      <c r="AB101" t="s">
        <v>456</v>
      </c>
    </row>
    <row r="102" spans="1:28">
      <c r="A102" s="67" t="s">
        <v>113</v>
      </c>
      <c r="B102" s="68">
        <v>1290691</v>
      </c>
      <c r="C102" s="69">
        <v>4615397248</v>
      </c>
      <c r="D102" s="70">
        <v>20700</v>
      </c>
      <c r="E102" s="67"/>
      <c r="F102" s="73">
        <v>16</v>
      </c>
      <c r="G102" s="73" t="s">
        <v>114</v>
      </c>
      <c r="H102" s="68">
        <v>0</v>
      </c>
      <c r="I102" s="68">
        <v>0</v>
      </c>
      <c r="J102" s="71">
        <v>43016</v>
      </c>
      <c r="K102" s="71">
        <v>42988</v>
      </c>
      <c r="L102" s="69" t="s">
        <v>108</v>
      </c>
      <c r="M102" s="69" t="s">
        <v>109</v>
      </c>
      <c r="N102" s="72">
        <v>43065</v>
      </c>
      <c r="O102" s="67"/>
      <c r="P102" s="67" t="s">
        <v>95</v>
      </c>
      <c r="Q102" s="67" t="s">
        <v>110</v>
      </c>
      <c r="R102" s="69" t="s">
        <v>69</v>
      </c>
      <c r="S102" s="69" t="s">
        <v>115</v>
      </c>
      <c r="T102" s="67"/>
      <c r="U102" s="67"/>
      <c r="V102" s="72">
        <v>42978</v>
      </c>
      <c r="W102" s="69" t="s">
        <v>140</v>
      </c>
      <c r="X102" s="69" t="s">
        <v>117</v>
      </c>
      <c r="Y102" s="126"/>
      <c r="Z102" s="30">
        <f t="shared" si="2"/>
        <v>7301.7101235631453</v>
      </c>
      <c r="AA102" s="30">
        <f t="shared" si="3"/>
        <v>0</v>
      </c>
      <c r="AB102" t="s">
        <v>456</v>
      </c>
    </row>
    <row r="103" spans="1:28">
      <c r="A103" s="67" t="s">
        <v>113</v>
      </c>
      <c r="B103" s="68">
        <v>1290690</v>
      </c>
      <c r="C103" s="69">
        <v>4615397248</v>
      </c>
      <c r="D103" s="70">
        <v>20700</v>
      </c>
      <c r="E103" s="67"/>
      <c r="F103" s="73">
        <v>16</v>
      </c>
      <c r="G103" s="73" t="s">
        <v>114</v>
      </c>
      <c r="H103" s="68">
        <v>0</v>
      </c>
      <c r="I103" s="68">
        <v>0</v>
      </c>
      <c r="J103" s="71">
        <v>43016</v>
      </c>
      <c r="K103" s="71">
        <v>43009</v>
      </c>
      <c r="L103" s="69" t="s">
        <v>108</v>
      </c>
      <c r="M103" s="69" t="s">
        <v>109</v>
      </c>
      <c r="N103" s="72">
        <v>43065</v>
      </c>
      <c r="O103" s="67"/>
      <c r="P103" s="67" t="s">
        <v>95</v>
      </c>
      <c r="Q103" s="67" t="s">
        <v>110</v>
      </c>
      <c r="R103" s="69" t="s">
        <v>69</v>
      </c>
      <c r="S103" s="69" t="s">
        <v>115</v>
      </c>
      <c r="T103" s="67"/>
      <c r="U103" s="67"/>
      <c r="V103" s="72">
        <v>42978</v>
      </c>
      <c r="W103" s="69" t="s">
        <v>140</v>
      </c>
      <c r="X103" s="69" t="s">
        <v>117</v>
      </c>
      <c r="Y103" s="126"/>
      <c r="Z103" s="30">
        <f t="shared" si="2"/>
        <v>7301.7101235631453</v>
      </c>
      <c r="AA103" s="30">
        <f t="shared" si="3"/>
        <v>0</v>
      </c>
      <c r="AB103" t="s">
        <v>456</v>
      </c>
    </row>
    <row r="104" spans="1:28">
      <c r="A104" s="67" t="s">
        <v>113</v>
      </c>
      <c r="B104" s="68">
        <v>1290686</v>
      </c>
      <c r="C104" s="69">
        <v>4615397248</v>
      </c>
      <c r="D104" s="70">
        <v>20700</v>
      </c>
      <c r="E104" s="67"/>
      <c r="F104" s="73">
        <v>16</v>
      </c>
      <c r="G104" s="73" t="s">
        <v>114</v>
      </c>
      <c r="H104" s="68">
        <v>0</v>
      </c>
      <c r="I104" s="68">
        <v>0</v>
      </c>
      <c r="J104" s="71">
        <v>43016</v>
      </c>
      <c r="K104" s="71">
        <v>43011</v>
      </c>
      <c r="L104" s="69" t="s">
        <v>108</v>
      </c>
      <c r="M104" s="69" t="s">
        <v>109</v>
      </c>
      <c r="N104" s="72">
        <v>43065</v>
      </c>
      <c r="O104" s="67"/>
      <c r="P104" s="67" t="s">
        <v>95</v>
      </c>
      <c r="Q104" s="67" t="s">
        <v>110</v>
      </c>
      <c r="R104" s="69" t="s">
        <v>69</v>
      </c>
      <c r="S104" s="69" t="s">
        <v>115</v>
      </c>
      <c r="T104" s="67"/>
      <c r="U104" s="67"/>
      <c r="V104" s="72">
        <v>42978</v>
      </c>
      <c r="W104" s="69" t="s">
        <v>140</v>
      </c>
      <c r="X104" s="69" t="s">
        <v>117</v>
      </c>
      <c r="Y104" s="126"/>
      <c r="Z104" s="30">
        <f t="shared" si="2"/>
        <v>7301.7101235631453</v>
      </c>
      <c r="AA104" s="30">
        <f t="shared" si="3"/>
        <v>0</v>
      </c>
      <c r="AB104" t="s">
        <v>456</v>
      </c>
    </row>
    <row r="105" spans="1:28">
      <c r="A105" s="67" t="s">
        <v>113</v>
      </c>
      <c r="B105" s="68">
        <v>1282954</v>
      </c>
      <c r="C105" s="69">
        <v>4615478123</v>
      </c>
      <c r="D105" s="70">
        <v>20709</v>
      </c>
      <c r="E105" s="67"/>
      <c r="F105" s="68">
        <v>16</v>
      </c>
      <c r="G105" s="68">
        <v>0</v>
      </c>
      <c r="H105" s="73">
        <v>0</v>
      </c>
      <c r="I105" s="68">
        <v>0</v>
      </c>
      <c r="J105" s="71">
        <v>43002</v>
      </c>
      <c r="K105" s="71">
        <v>43025</v>
      </c>
      <c r="L105" s="69" t="s">
        <v>108</v>
      </c>
      <c r="M105" s="69" t="s">
        <v>109</v>
      </c>
      <c r="N105" s="72">
        <v>43065</v>
      </c>
      <c r="O105" s="67"/>
      <c r="P105" s="67" t="s">
        <v>95</v>
      </c>
      <c r="Q105" s="67" t="s">
        <v>110</v>
      </c>
      <c r="R105" s="69" t="s">
        <v>69</v>
      </c>
      <c r="S105" s="69" t="s">
        <v>115</v>
      </c>
      <c r="T105" s="67"/>
      <c r="U105" s="67"/>
      <c r="V105" s="72">
        <v>43008</v>
      </c>
      <c r="W105" s="69" t="s">
        <v>141</v>
      </c>
      <c r="X105" s="69" t="s">
        <v>117</v>
      </c>
      <c r="Y105" s="126"/>
      <c r="Z105" s="30">
        <f t="shared" si="2"/>
        <v>7304.8847801386073</v>
      </c>
      <c r="AA105" s="30">
        <f t="shared" si="3"/>
        <v>0</v>
      </c>
      <c r="AB105" t="s">
        <v>456</v>
      </c>
    </row>
    <row r="106" spans="1:28">
      <c r="A106" s="67" t="s">
        <v>122</v>
      </c>
      <c r="B106" s="68">
        <v>1252756</v>
      </c>
      <c r="C106" s="69">
        <v>4615407381</v>
      </c>
      <c r="D106" s="70">
        <v>19200</v>
      </c>
      <c r="E106" s="67"/>
      <c r="F106" s="68">
        <v>16</v>
      </c>
      <c r="G106" s="68">
        <v>5</v>
      </c>
      <c r="H106" s="68">
        <v>0</v>
      </c>
      <c r="I106" s="68">
        <v>0</v>
      </c>
      <c r="J106" s="71"/>
      <c r="K106" s="71">
        <v>43025</v>
      </c>
      <c r="L106" s="69" t="s">
        <v>80</v>
      </c>
      <c r="M106" s="69" t="s">
        <v>109</v>
      </c>
      <c r="N106" s="72">
        <v>43065</v>
      </c>
      <c r="O106" s="67"/>
      <c r="P106" s="67" t="s">
        <v>95</v>
      </c>
      <c r="Q106" s="67" t="s">
        <v>120</v>
      </c>
      <c r="R106" s="69" t="s">
        <v>69</v>
      </c>
      <c r="S106" s="69" t="s">
        <v>123</v>
      </c>
      <c r="T106" s="67"/>
      <c r="U106" s="67"/>
      <c r="V106" s="72">
        <v>42947</v>
      </c>
      <c r="W106" s="69">
        <v>2025666</v>
      </c>
      <c r="X106" s="69"/>
      <c r="Y106" s="126"/>
      <c r="Z106" s="30">
        <f t="shared" si="2"/>
        <v>6772.6006943194379</v>
      </c>
      <c r="AA106" s="30">
        <f t="shared" si="3"/>
        <v>2116.4377169748245</v>
      </c>
      <c r="AB106" t="s">
        <v>456</v>
      </c>
    </row>
    <row r="107" spans="1:28">
      <c r="A107" s="67" t="s">
        <v>122</v>
      </c>
      <c r="B107" s="68">
        <v>1252755</v>
      </c>
      <c r="C107" s="69">
        <v>4615407381</v>
      </c>
      <c r="D107" s="70">
        <v>19200</v>
      </c>
      <c r="E107" s="67"/>
      <c r="F107" s="68">
        <v>16</v>
      </c>
      <c r="G107" s="68">
        <v>5</v>
      </c>
      <c r="H107" s="73">
        <v>0</v>
      </c>
      <c r="I107" s="68">
        <v>0</v>
      </c>
      <c r="J107" s="71"/>
      <c r="K107" s="71">
        <v>43025</v>
      </c>
      <c r="L107" s="69" t="s">
        <v>80</v>
      </c>
      <c r="M107" s="69" t="s">
        <v>109</v>
      </c>
      <c r="N107" s="72">
        <v>43065</v>
      </c>
      <c r="O107" s="67"/>
      <c r="P107" s="67" t="s">
        <v>95</v>
      </c>
      <c r="Q107" s="67" t="s">
        <v>120</v>
      </c>
      <c r="R107" s="69" t="s">
        <v>69</v>
      </c>
      <c r="S107" s="69" t="s">
        <v>123</v>
      </c>
      <c r="T107" s="67"/>
      <c r="U107" s="67"/>
      <c r="V107" s="72">
        <v>42947</v>
      </c>
      <c r="W107" s="69">
        <v>2025666</v>
      </c>
      <c r="X107" s="69"/>
      <c r="Y107" s="126"/>
      <c r="Z107" s="30">
        <f t="shared" si="2"/>
        <v>6772.6006943194379</v>
      </c>
      <c r="AA107" s="30">
        <f t="shared" si="3"/>
        <v>2116.4377169748245</v>
      </c>
      <c r="AB107" t="s">
        <v>456</v>
      </c>
    </row>
    <row r="108" spans="1:28">
      <c r="A108" s="67" t="s">
        <v>122</v>
      </c>
      <c r="B108" s="68">
        <v>1280871</v>
      </c>
      <c r="C108" s="69">
        <v>4615412369</v>
      </c>
      <c r="D108" s="70">
        <v>19200</v>
      </c>
      <c r="E108" s="67"/>
      <c r="F108" s="68">
        <v>16</v>
      </c>
      <c r="G108" s="68">
        <v>5</v>
      </c>
      <c r="H108" s="73">
        <v>0</v>
      </c>
      <c r="I108" s="68">
        <v>0</v>
      </c>
      <c r="J108" s="71">
        <v>42982</v>
      </c>
      <c r="K108" s="71">
        <v>43025</v>
      </c>
      <c r="L108" s="69" t="s">
        <v>119</v>
      </c>
      <c r="M108" s="69" t="s">
        <v>109</v>
      </c>
      <c r="N108" s="72">
        <v>43065</v>
      </c>
      <c r="O108" s="67"/>
      <c r="P108" s="67" t="s">
        <v>95</v>
      </c>
      <c r="Q108" s="67" t="s">
        <v>120</v>
      </c>
      <c r="R108" s="69" t="s">
        <v>69</v>
      </c>
      <c r="S108" s="69" t="s">
        <v>123</v>
      </c>
      <c r="T108" s="67"/>
      <c r="U108" s="67"/>
      <c r="V108" s="72">
        <v>43008</v>
      </c>
      <c r="W108" s="69">
        <v>2025769</v>
      </c>
      <c r="X108" s="69" t="s">
        <v>144</v>
      </c>
      <c r="Y108" s="126"/>
      <c r="Z108" s="30">
        <f t="shared" si="2"/>
        <v>6772.6006943194379</v>
      </c>
      <c r="AA108" s="30">
        <f t="shared" si="3"/>
        <v>2116.4377169748245</v>
      </c>
      <c r="AB108" t="s">
        <v>456</v>
      </c>
    </row>
    <row r="109" spans="1:28">
      <c r="A109" s="67" t="s">
        <v>122</v>
      </c>
      <c r="B109" s="68">
        <v>1253520</v>
      </c>
      <c r="C109" s="69">
        <v>4615415544</v>
      </c>
      <c r="D109" s="70">
        <v>19200</v>
      </c>
      <c r="E109" s="67"/>
      <c r="F109" s="68">
        <v>16</v>
      </c>
      <c r="G109" s="68">
        <v>5</v>
      </c>
      <c r="H109" s="68">
        <v>0</v>
      </c>
      <c r="I109" s="68">
        <v>0</v>
      </c>
      <c r="J109" s="71"/>
      <c r="K109" s="71">
        <v>42997</v>
      </c>
      <c r="L109" s="69" t="s">
        <v>80</v>
      </c>
      <c r="M109" s="69" t="s">
        <v>109</v>
      </c>
      <c r="N109" s="72">
        <v>43065</v>
      </c>
      <c r="O109" s="67"/>
      <c r="P109" s="67" t="s">
        <v>95</v>
      </c>
      <c r="Q109" s="67" t="s">
        <v>120</v>
      </c>
      <c r="R109" s="69" t="s">
        <v>69</v>
      </c>
      <c r="S109" s="69" t="s">
        <v>123</v>
      </c>
      <c r="T109" s="67"/>
      <c r="U109" s="67"/>
      <c r="V109" s="72">
        <v>42916</v>
      </c>
      <c r="W109" s="69">
        <v>2025783</v>
      </c>
      <c r="X109" s="69"/>
      <c r="Y109" s="126"/>
      <c r="Z109" s="30">
        <f t="shared" si="2"/>
        <v>6772.6006943194379</v>
      </c>
      <c r="AA109" s="30">
        <f t="shared" si="3"/>
        <v>2116.4377169748245</v>
      </c>
      <c r="AB109" t="s">
        <v>456</v>
      </c>
    </row>
    <row r="110" spans="1:28">
      <c r="A110" s="67" t="s">
        <v>122</v>
      </c>
      <c r="B110" s="68">
        <v>1229040</v>
      </c>
      <c r="C110" s="69">
        <v>4615393673</v>
      </c>
      <c r="D110" s="70">
        <v>19200</v>
      </c>
      <c r="E110" s="67"/>
      <c r="F110" s="68">
        <v>16</v>
      </c>
      <c r="G110" s="68">
        <v>5</v>
      </c>
      <c r="H110" s="73">
        <v>0</v>
      </c>
      <c r="I110" s="68">
        <v>0</v>
      </c>
      <c r="J110" s="71">
        <v>42800</v>
      </c>
      <c r="K110" s="71">
        <v>42997</v>
      </c>
      <c r="L110" s="69" t="s">
        <v>119</v>
      </c>
      <c r="M110" s="69" t="s">
        <v>109</v>
      </c>
      <c r="N110" s="72">
        <v>43065</v>
      </c>
      <c r="O110" s="67"/>
      <c r="P110" s="67" t="s">
        <v>95</v>
      </c>
      <c r="Q110" s="67" t="s">
        <v>120</v>
      </c>
      <c r="R110" s="69" t="s">
        <v>69</v>
      </c>
      <c r="S110" s="69" t="s">
        <v>123</v>
      </c>
      <c r="T110" s="67"/>
      <c r="U110" s="67"/>
      <c r="V110" s="72">
        <v>42794</v>
      </c>
      <c r="W110" s="69">
        <v>2023107</v>
      </c>
      <c r="X110" s="69" t="s">
        <v>145</v>
      </c>
      <c r="Y110" s="126"/>
      <c r="Z110" s="30">
        <f t="shared" si="2"/>
        <v>6772.6006943194379</v>
      </c>
      <c r="AA110" s="30">
        <f t="shared" si="3"/>
        <v>2116.4377169748245</v>
      </c>
      <c r="AB110" t="s">
        <v>456</v>
      </c>
    </row>
    <row r="111" spans="1:28">
      <c r="A111" s="67" t="s">
        <v>113</v>
      </c>
      <c r="B111" s="68">
        <v>1290685</v>
      </c>
      <c r="C111" s="69">
        <v>4615397248</v>
      </c>
      <c r="D111" s="70">
        <v>20700</v>
      </c>
      <c r="E111" s="67"/>
      <c r="F111" s="73">
        <v>16</v>
      </c>
      <c r="G111" s="73" t="s">
        <v>114</v>
      </c>
      <c r="H111" s="68">
        <v>0</v>
      </c>
      <c r="I111" s="68">
        <v>0</v>
      </c>
      <c r="J111" s="71">
        <v>43016</v>
      </c>
      <c r="K111" s="71">
        <v>43003</v>
      </c>
      <c r="L111" s="69" t="s">
        <v>108</v>
      </c>
      <c r="M111" s="69" t="s">
        <v>109</v>
      </c>
      <c r="N111" s="72">
        <v>43063</v>
      </c>
      <c r="O111" s="67"/>
      <c r="P111" s="67" t="s">
        <v>95</v>
      </c>
      <c r="Q111" s="67" t="s">
        <v>110</v>
      </c>
      <c r="R111" s="69" t="s">
        <v>69</v>
      </c>
      <c r="S111" s="69" t="s">
        <v>115</v>
      </c>
      <c r="T111" s="67"/>
      <c r="U111" s="67"/>
      <c r="V111" s="72">
        <v>42978</v>
      </c>
      <c r="W111" s="69" t="s">
        <v>140</v>
      </c>
      <c r="X111" s="69" t="s">
        <v>117</v>
      </c>
      <c r="Y111" s="126"/>
      <c r="Z111" s="30">
        <f t="shared" si="2"/>
        <v>7301.7101235631453</v>
      </c>
      <c r="AA111" s="30">
        <f t="shared" si="3"/>
        <v>0</v>
      </c>
      <c r="AB111" t="s">
        <v>456</v>
      </c>
    </row>
    <row r="112" spans="1:28">
      <c r="A112" s="67" t="s">
        <v>113</v>
      </c>
      <c r="B112" s="68">
        <v>1290687</v>
      </c>
      <c r="C112" s="69">
        <v>4615397248</v>
      </c>
      <c r="D112" s="70">
        <v>20700</v>
      </c>
      <c r="E112" s="67"/>
      <c r="F112" s="73">
        <v>16</v>
      </c>
      <c r="G112" s="73" t="s">
        <v>114</v>
      </c>
      <c r="H112" s="68">
        <v>0</v>
      </c>
      <c r="I112" s="68">
        <v>0</v>
      </c>
      <c r="J112" s="71">
        <v>43016</v>
      </c>
      <c r="K112" s="71">
        <v>42969</v>
      </c>
      <c r="L112" s="69" t="s">
        <v>108</v>
      </c>
      <c r="M112" s="69" t="s">
        <v>109</v>
      </c>
      <c r="N112" s="72">
        <v>43063</v>
      </c>
      <c r="O112" s="67"/>
      <c r="P112" s="67" t="s">
        <v>95</v>
      </c>
      <c r="Q112" s="67" t="s">
        <v>110</v>
      </c>
      <c r="R112" s="69" t="s">
        <v>69</v>
      </c>
      <c r="S112" s="69" t="s">
        <v>115</v>
      </c>
      <c r="T112" s="67"/>
      <c r="U112" s="67"/>
      <c r="V112" s="72">
        <v>42978</v>
      </c>
      <c r="W112" s="69" t="s">
        <v>140</v>
      </c>
      <c r="X112" s="69" t="s">
        <v>117</v>
      </c>
      <c r="Y112" s="126"/>
      <c r="Z112" s="30">
        <f t="shared" si="2"/>
        <v>7301.7101235631453</v>
      </c>
      <c r="AA112" s="30">
        <f t="shared" si="3"/>
        <v>0</v>
      </c>
      <c r="AB112" t="s">
        <v>456</v>
      </c>
    </row>
    <row r="113" spans="1:28">
      <c r="A113" s="67" t="s">
        <v>122</v>
      </c>
      <c r="B113" s="68">
        <v>1284789</v>
      </c>
      <c r="C113" s="69">
        <v>4615412369</v>
      </c>
      <c r="D113" s="70">
        <v>19200</v>
      </c>
      <c r="E113" s="67"/>
      <c r="F113" s="68">
        <v>16</v>
      </c>
      <c r="G113" s="68">
        <v>5</v>
      </c>
      <c r="H113" s="73">
        <v>0</v>
      </c>
      <c r="I113" s="68">
        <v>0</v>
      </c>
      <c r="J113" s="71">
        <v>42982</v>
      </c>
      <c r="K113" s="71">
        <v>42841</v>
      </c>
      <c r="L113" s="69" t="s">
        <v>119</v>
      </c>
      <c r="M113" s="69" t="s">
        <v>109</v>
      </c>
      <c r="N113" s="72">
        <v>43063</v>
      </c>
      <c r="O113" s="67"/>
      <c r="P113" s="67" t="s">
        <v>95</v>
      </c>
      <c r="Q113" s="67" t="s">
        <v>120</v>
      </c>
      <c r="R113" s="69" t="s">
        <v>69</v>
      </c>
      <c r="S113" s="69" t="s">
        <v>123</v>
      </c>
      <c r="T113" s="67"/>
      <c r="U113" s="67"/>
      <c r="V113" s="72">
        <v>43008</v>
      </c>
      <c r="W113" s="69">
        <v>2025769</v>
      </c>
      <c r="X113" s="69"/>
      <c r="Y113" s="126"/>
      <c r="Z113" s="30">
        <f t="shared" si="2"/>
        <v>6772.6006943194379</v>
      </c>
      <c r="AA113" s="30">
        <f t="shared" si="3"/>
        <v>2116.4377169748245</v>
      </c>
      <c r="AB113" t="s">
        <v>456</v>
      </c>
    </row>
    <row r="114" spans="1:28">
      <c r="A114" s="67" t="s">
        <v>131</v>
      </c>
      <c r="B114" s="68">
        <v>1289252</v>
      </c>
      <c r="C114" s="69">
        <v>4615486304</v>
      </c>
      <c r="D114" s="70">
        <v>19175</v>
      </c>
      <c r="E114" s="67"/>
      <c r="F114" s="68">
        <v>154.4</v>
      </c>
      <c r="G114" s="75">
        <v>0</v>
      </c>
      <c r="H114" s="68">
        <v>0</v>
      </c>
      <c r="I114" s="68">
        <v>0</v>
      </c>
      <c r="J114" s="71">
        <v>42991</v>
      </c>
      <c r="K114" s="71">
        <v>43008</v>
      </c>
      <c r="L114" s="69" t="s">
        <v>132</v>
      </c>
      <c r="M114" s="69" t="s">
        <v>109</v>
      </c>
      <c r="N114" s="72">
        <v>43063</v>
      </c>
      <c r="O114" s="67"/>
      <c r="P114" s="67" t="s">
        <v>95</v>
      </c>
      <c r="Q114" s="67" t="s">
        <v>133</v>
      </c>
      <c r="R114" s="69" t="s">
        <v>69</v>
      </c>
      <c r="S114" s="69" t="s">
        <v>134</v>
      </c>
      <c r="T114" s="67"/>
      <c r="U114" s="67"/>
      <c r="V114" s="72">
        <v>43039</v>
      </c>
      <c r="W114" s="69" t="s">
        <v>146</v>
      </c>
      <c r="X114" s="69"/>
      <c r="Y114" s="126"/>
      <c r="Z114" s="30">
        <f t="shared" si="2"/>
        <v>65270.498266979223</v>
      </c>
      <c r="AA114" s="30">
        <f t="shared" si="3"/>
        <v>0</v>
      </c>
      <c r="AB114" t="s">
        <v>456</v>
      </c>
    </row>
    <row r="115" spans="1:28">
      <c r="A115" s="67" t="s">
        <v>122</v>
      </c>
      <c r="B115" s="68">
        <v>1295673</v>
      </c>
      <c r="C115" s="69">
        <v>4615472459</v>
      </c>
      <c r="D115" s="70">
        <v>21102</v>
      </c>
      <c r="E115" s="67"/>
      <c r="F115" s="68">
        <v>16</v>
      </c>
      <c r="G115" s="68">
        <v>5</v>
      </c>
      <c r="H115" s="73">
        <v>0</v>
      </c>
      <c r="I115" s="68">
        <v>0</v>
      </c>
      <c r="J115" s="71">
        <v>43024</v>
      </c>
      <c r="K115" s="71">
        <v>42881</v>
      </c>
      <c r="L115" s="69" t="s">
        <v>108</v>
      </c>
      <c r="M115" s="69" t="s">
        <v>109</v>
      </c>
      <c r="N115" s="72">
        <v>43061</v>
      </c>
      <c r="O115" s="76"/>
      <c r="P115" s="67" t="s">
        <v>95</v>
      </c>
      <c r="Q115" s="67" t="s">
        <v>120</v>
      </c>
      <c r="R115" s="69" t="s">
        <v>69</v>
      </c>
      <c r="S115" s="69" t="s">
        <v>123</v>
      </c>
      <c r="T115" s="67"/>
      <c r="U115" s="67"/>
      <c r="V115" s="72">
        <v>43069</v>
      </c>
      <c r="W115" s="69">
        <v>2030497</v>
      </c>
      <c r="X115" s="69" t="s">
        <v>124</v>
      </c>
      <c r="Y115" s="126"/>
      <c r="Z115" s="30">
        <f t="shared" si="2"/>
        <v>7443.5114506004584</v>
      </c>
      <c r="AA115" s="30">
        <f t="shared" si="3"/>
        <v>2326.0973283126432</v>
      </c>
      <c r="AB115" t="s">
        <v>456</v>
      </c>
    </row>
    <row r="116" spans="1:28">
      <c r="A116" s="67" t="s">
        <v>113</v>
      </c>
      <c r="B116" s="68">
        <v>1282093</v>
      </c>
      <c r="C116" s="69">
        <v>4615409969</v>
      </c>
      <c r="D116" s="70">
        <v>20700</v>
      </c>
      <c r="E116" s="67"/>
      <c r="F116" s="68">
        <v>16</v>
      </c>
      <c r="G116" s="68" t="s">
        <v>114</v>
      </c>
      <c r="H116" s="68">
        <v>0</v>
      </c>
      <c r="I116" s="68">
        <v>0</v>
      </c>
      <c r="J116" s="71">
        <v>43025</v>
      </c>
      <c r="K116" s="71">
        <v>42990</v>
      </c>
      <c r="L116" s="69" t="s">
        <v>108</v>
      </c>
      <c r="M116" s="69" t="s">
        <v>109</v>
      </c>
      <c r="N116" s="72">
        <v>43061</v>
      </c>
      <c r="O116" s="67"/>
      <c r="P116" s="67" t="s">
        <v>95</v>
      </c>
      <c r="Q116" s="67" t="s">
        <v>110</v>
      </c>
      <c r="R116" s="69" t="s">
        <v>69</v>
      </c>
      <c r="S116" s="69" t="s">
        <v>115</v>
      </c>
      <c r="T116" s="67"/>
      <c r="U116" s="67"/>
      <c r="V116" s="72">
        <v>43008</v>
      </c>
      <c r="W116" s="69" t="s">
        <v>126</v>
      </c>
      <c r="X116" s="69" t="s">
        <v>117</v>
      </c>
      <c r="Y116" s="126"/>
      <c r="Z116" s="30">
        <f t="shared" si="2"/>
        <v>7301.7101235631453</v>
      </c>
      <c r="AA116" s="30">
        <f t="shared" si="3"/>
        <v>0</v>
      </c>
      <c r="AB116" t="s">
        <v>456</v>
      </c>
    </row>
    <row r="117" spans="1:28">
      <c r="A117" s="67" t="s">
        <v>113</v>
      </c>
      <c r="B117" s="68">
        <v>1277258</v>
      </c>
      <c r="C117" s="69">
        <v>4615400272</v>
      </c>
      <c r="D117" s="70">
        <v>20700</v>
      </c>
      <c r="E117" s="67"/>
      <c r="F117" s="68">
        <v>16</v>
      </c>
      <c r="G117" s="68" t="s">
        <v>114</v>
      </c>
      <c r="H117" s="68">
        <v>0</v>
      </c>
      <c r="I117" s="68">
        <v>0</v>
      </c>
      <c r="J117" s="71">
        <v>42995</v>
      </c>
      <c r="K117" s="71">
        <v>43002</v>
      </c>
      <c r="L117" s="69" t="s">
        <v>108</v>
      </c>
      <c r="M117" s="69" t="s">
        <v>109</v>
      </c>
      <c r="N117" s="72">
        <v>43061</v>
      </c>
      <c r="O117" s="67"/>
      <c r="P117" s="67" t="s">
        <v>95</v>
      </c>
      <c r="Q117" s="67" t="s">
        <v>110</v>
      </c>
      <c r="R117" s="69" t="s">
        <v>69</v>
      </c>
      <c r="S117" s="69" t="s">
        <v>115</v>
      </c>
      <c r="T117" s="67"/>
      <c r="U117" s="67"/>
      <c r="V117" s="72">
        <v>42978</v>
      </c>
      <c r="W117" s="69" t="s">
        <v>147</v>
      </c>
      <c r="X117" s="69" t="s">
        <v>117</v>
      </c>
      <c r="Y117" s="126"/>
      <c r="Z117" s="30">
        <f t="shared" si="2"/>
        <v>7301.7101235631453</v>
      </c>
      <c r="AA117" s="30">
        <f t="shared" si="3"/>
        <v>0</v>
      </c>
      <c r="AB117" t="s">
        <v>456</v>
      </c>
    </row>
    <row r="118" spans="1:28">
      <c r="A118" s="67" t="s">
        <v>122</v>
      </c>
      <c r="B118" s="68">
        <v>1272687</v>
      </c>
      <c r="C118" s="69">
        <v>4615409822</v>
      </c>
      <c r="D118" s="70">
        <v>19175</v>
      </c>
      <c r="E118" s="67"/>
      <c r="F118" s="68">
        <v>16</v>
      </c>
      <c r="G118" s="68">
        <v>5</v>
      </c>
      <c r="H118" s="73">
        <v>0</v>
      </c>
      <c r="I118" s="68">
        <v>0</v>
      </c>
      <c r="J118" s="71"/>
      <c r="K118" s="71">
        <v>42984</v>
      </c>
      <c r="L118" s="69" t="s">
        <v>80</v>
      </c>
      <c r="M118" s="69" t="s">
        <v>109</v>
      </c>
      <c r="N118" s="72">
        <v>43061</v>
      </c>
      <c r="O118" s="67"/>
      <c r="P118" s="67" t="s">
        <v>95</v>
      </c>
      <c r="Q118" s="67" t="s">
        <v>120</v>
      </c>
      <c r="R118" s="69" t="s">
        <v>69</v>
      </c>
      <c r="S118" s="69" t="s">
        <v>123</v>
      </c>
      <c r="T118" s="67"/>
      <c r="U118" s="67"/>
      <c r="V118" s="72">
        <v>42978</v>
      </c>
      <c r="W118" s="69">
        <v>2025753</v>
      </c>
      <c r="X118" s="69" t="s">
        <v>148</v>
      </c>
      <c r="Y118" s="126"/>
      <c r="Z118" s="30">
        <f t="shared" si="2"/>
        <v>6763.7822038320437</v>
      </c>
      <c r="AA118" s="30">
        <f t="shared" si="3"/>
        <v>2113.6819386975139</v>
      </c>
      <c r="AB118" t="s">
        <v>456</v>
      </c>
    </row>
    <row r="119" spans="1:28">
      <c r="A119" s="67" t="s">
        <v>113</v>
      </c>
      <c r="B119" s="68">
        <v>1282095</v>
      </c>
      <c r="C119" s="69">
        <v>4615478123</v>
      </c>
      <c r="D119" s="70">
        <v>20709</v>
      </c>
      <c r="E119" s="67"/>
      <c r="F119" s="68">
        <v>16</v>
      </c>
      <c r="G119" s="68">
        <v>0</v>
      </c>
      <c r="H119" s="73">
        <v>0</v>
      </c>
      <c r="I119" s="68">
        <v>0</v>
      </c>
      <c r="J119" s="71">
        <v>42995</v>
      </c>
      <c r="K119" s="71">
        <v>42995</v>
      </c>
      <c r="L119" s="69" t="s">
        <v>108</v>
      </c>
      <c r="M119" s="69" t="s">
        <v>109</v>
      </c>
      <c r="N119" s="72">
        <v>43061</v>
      </c>
      <c r="O119" s="67"/>
      <c r="P119" s="67" t="s">
        <v>95</v>
      </c>
      <c r="Q119" s="67" t="s">
        <v>110</v>
      </c>
      <c r="R119" s="69" t="s">
        <v>69</v>
      </c>
      <c r="S119" s="69" t="s">
        <v>115</v>
      </c>
      <c r="T119" s="67"/>
      <c r="U119" s="67"/>
      <c r="V119" s="72">
        <v>43008</v>
      </c>
      <c r="W119" s="69" t="s">
        <v>141</v>
      </c>
      <c r="X119" s="69" t="s">
        <v>117</v>
      </c>
      <c r="Y119" s="126"/>
      <c r="Z119" s="30">
        <f t="shared" si="2"/>
        <v>7304.8847801386073</v>
      </c>
      <c r="AA119" s="30">
        <f t="shared" si="3"/>
        <v>0</v>
      </c>
      <c r="AB119" t="s">
        <v>456</v>
      </c>
    </row>
    <row r="120" spans="1:28">
      <c r="A120" s="67" t="s">
        <v>113</v>
      </c>
      <c r="B120" s="68">
        <v>1282949</v>
      </c>
      <c r="C120" s="69">
        <v>4615478123</v>
      </c>
      <c r="D120" s="70">
        <v>20709</v>
      </c>
      <c r="E120" s="67"/>
      <c r="F120" s="68">
        <v>16</v>
      </c>
      <c r="G120" s="68">
        <v>0</v>
      </c>
      <c r="H120" s="73">
        <v>0</v>
      </c>
      <c r="I120" s="68">
        <v>0</v>
      </c>
      <c r="J120" s="71">
        <v>43002</v>
      </c>
      <c r="K120" s="71">
        <v>42881</v>
      </c>
      <c r="L120" s="69" t="s">
        <v>108</v>
      </c>
      <c r="M120" s="69" t="s">
        <v>109</v>
      </c>
      <c r="N120" s="72">
        <v>43061</v>
      </c>
      <c r="O120" s="67"/>
      <c r="P120" s="67" t="s">
        <v>95</v>
      </c>
      <c r="Q120" s="67" t="s">
        <v>110</v>
      </c>
      <c r="R120" s="69" t="s">
        <v>69</v>
      </c>
      <c r="S120" s="69" t="s">
        <v>115</v>
      </c>
      <c r="T120" s="67"/>
      <c r="U120" s="67"/>
      <c r="V120" s="72">
        <v>43008</v>
      </c>
      <c r="W120" s="69" t="s">
        <v>141</v>
      </c>
      <c r="X120" s="69" t="s">
        <v>117</v>
      </c>
      <c r="Y120" s="126"/>
      <c r="Z120" s="30">
        <f t="shared" si="2"/>
        <v>7304.8847801386073</v>
      </c>
      <c r="AA120" s="30">
        <f t="shared" si="3"/>
        <v>0</v>
      </c>
      <c r="AB120" t="s">
        <v>456</v>
      </c>
    </row>
    <row r="121" spans="1:28">
      <c r="A121" s="67" t="s">
        <v>131</v>
      </c>
      <c r="B121" s="68">
        <v>1289253</v>
      </c>
      <c r="C121" s="69">
        <v>4615486304</v>
      </c>
      <c r="D121" s="70">
        <v>19175</v>
      </c>
      <c r="E121" s="67"/>
      <c r="F121" s="68">
        <v>154.4</v>
      </c>
      <c r="G121" s="75">
        <v>0</v>
      </c>
      <c r="H121" s="68">
        <v>0</v>
      </c>
      <c r="I121" s="68">
        <v>0</v>
      </c>
      <c r="J121" s="71"/>
      <c r="K121" s="71">
        <v>42861</v>
      </c>
      <c r="L121" s="69" t="s">
        <v>80</v>
      </c>
      <c r="M121" s="69" t="s">
        <v>109</v>
      </c>
      <c r="N121" s="72">
        <v>43060</v>
      </c>
      <c r="O121" s="67"/>
      <c r="P121" s="67" t="s">
        <v>95</v>
      </c>
      <c r="Q121" s="67" t="s">
        <v>133</v>
      </c>
      <c r="R121" s="69" t="s">
        <v>69</v>
      </c>
      <c r="S121" s="69" t="s">
        <v>134</v>
      </c>
      <c r="T121" s="67"/>
      <c r="U121" s="67"/>
      <c r="V121" s="72">
        <v>43039</v>
      </c>
      <c r="W121" s="69" t="s">
        <v>146</v>
      </c>
      <c r="X121" s="69"/>
      <c r="Y121" s="126"/>
      <c r="Z121" s="30">
        <f t="shared" si="2"/>
        <v>65270.498266979223</v>
      </c>
      <c r="AA121" s="30">
        <f t="shared" si="3"/>
        <v>0</v>
      </c>
      <c r="AB121" t="s">
        <v>456</v>
      </c>
    </row>
    <row r="122" spans="1:28">
      <c r="A122" s="67" t="s">
        <v>136</v>
      </c>
      <c r="B122" s="68">
        <v>1279193</v>
      </c>
      <c r="C122" s="69">
        <v>4615390150</v>
      </c>
      <c r="D122" s="70">
        <v>19200</v>
      </c>
      <c r="E122" s="67"/>
      <c r="F122" s="73">
        <v>10</v>
      </c>
      <c r="G122" s="73" t="s">
        <v>114</v>
      </c>
      <c r="H122" s="73">
        <v>0</v>
      </c>
      <c r="I122" s="68">
        <v>0</v>
      </c>
      <c r="J122" s="71">
        <v>42982</v>
      </c>
      <c r="K122" s="71">
        <v>42831</v>
      </c>
      <c r="L122" s="69" t="s">
        <v>137</v>
      </c>
      <c r="M122" s="69" t="s">
        <v>109</v>
      </c>
      <c r="N122" s="72">
        <v>43060</v>
      </c>
      <c r="O122" s="67"/>
      <c r="P122" s="67" t="s">
        <v>95</v>
      </c>
      <c r="Q122" s="67" t="s">
        <v>129</v>
      </c>
      <c r="R122" s="69" t="s">
        <v>69</v>
      </c>
      <c r="S122" s="69" t="s">
        <v>138</v>
      </c>
      <c r="T122" s="67"/>
      <c r="U122" s="67"/>
      <c r="V122" s="72">
        <v>43039</v>
      </c>
      <c r="W122" s="69">
        <v>415570035</v>
      </c>
      <c r="X122" s="69"/>
      <c r="Y122" s="126"/>
      <c r="Z122" s="30">
        <f t="shared" si="2"/>
        <v>4232.8754339496491</v>
      </c>
      <c r="AA122" s="30">
        <f t="shared" si="3"/>
        <v>0</v>
      </c>
      <c r="AB122" t="s">
        <v>456</v>
      </c>
    </row>
    <row r="123" spans="1:28">
      <c r="A123" s="67" t="s">
        <v>113</v>
      </c>
      <c r="B123" s="68">
        <v>1282097</v>
      </c>
      <c r="C123" s="69">
        <v>4615478123</v>
      </c>
      <c r="D123" s="70">
        <v>20709</v>
      </c>
      <c r="E123" s="67"/>
      <c r="F123" s="68">
        <v>16</v>
      </c>
      <c r="G123" s="68">
        <v>0</v>
      </c>
      <c r="H123" s="73">
        <v>0</v>
      </c>
      <c r="I123" s="68">
        <v>0</v>
      </c>
      <c r="J123" s="71">
        <v>42995</v>
      </c>
      <c r="K123" s="71">
        <v>42851</v>
      </c>
      <c r="L123" s="69" t="s">
        <v>108</v>
      </c>
      <c r="M123" s="69" t="s">
        <v>109</v>
      </c>
      <c r="N123" s="72">
        <v>43060</v>
      </c>
      <c r="O123" s="67"/>
      <c r="P123" s="67" t="s">
        <v>95</v>
      </c>
      <c r="Q123" s="67" t="s">
        <v>110</v>
      </c>
      <c r="R123" s="69" t="s">
        <v>69</v>
      </c>
      <c r="S123" s="69" t="s">
        <v>115</v>
      </c>
      <c r="T123" s="67"/>
      <c r="U123" s="67"/>
      <c r="V123" s="72">
        <v>43008</v>
      </c>
      <c r="W123" s="69" t="s">
        <v>141</v>
      </c>
      <c r="X123" s="69" t="s">
        <v>117</v>
      </c>
      <c r="Y123" s="126"/>
      <c r="Z123" s="30">
        <f t="shared" si="2"/>
        <v>7304.8847801386073</v>
      </c>
      <c r="AA123" s="30">
        <f t="shared" si="3"/>
        <v>0</v>
      </c>
      <c r="AB123" t="s">
        <v>456</v>
      </c>
    </row>
    <row r="124" spans="1:28">
      <c r="A124" s="67" t="s">
        <v>113</v>
      </c>
      <c r="B124" s="68">
        <v>1282096</v>
      </c>
      <c r="C124" s="69">
        <v>4615478123</v>
      </c>
      <c r="D124" s="70">
        <v>20709</v>
      </c>
      <c r="E124" s="67"/>
      <c r="F124" s="68">
        <v>16</v>
      </c>
      <c r="G124" s="68">
        <v>0</v>
      </c>
      <c r="H124" s="73">
        <v>0</v>
      </c>
      <c r="I124" s="68">
        <v>0</v>
      </c>
      <c r="J124" s="71">
        <v>42995</v>
      </c>
      <c r="K124" s="71">
        <v>42861</v>
      </c>
      <c r="L124" s="69" t="s">
        <v>108</v>
      </c>
      <c r="M124" s="69" t="s">
        <v>109</v>
      </c>
      <c r="N124" s="72">
        <v>43060</v>
      </c>
      <c r="O124" s="67"/>
      <c r="P124" s="67" t="s">
        <v>95</v>
      </c>
      <c r="Q124" s="67" t="s">
        <v>110</v>
      </c>
      <c r="R124" s="69" t="s">
        <v>69</v>
      </c>
      <c r="S124" s="69" t="s">
        <v>115</v>
      </c>
      <c r="T124" s="67"/>
      <c r="U124" s="67"/>
      <c r="V124" s="72">
        <v>43008</v>
      </c>
      <c r="W124" s="69" t="s">
        <v>141</v>
      </c>
      <c r="X124" s="69" t="s">
        <v>117</v>
      </c>
      <c r="Y124" s="126"/>
      <c r="Z124" s="30">
        <f t="shared" si="2"/>
        <v>7304.8847801386073</v>
      </c>
      <c r="AA124" s="30">
        <f t="shared" si="3"/>
        <v>0</v>
      </c>
      <c r="AB124" t="s">
        <v>456</v>
      </c>
    </row>
    <row r="125" spans="1:28">
      <c r="A125" s="67" t="s">
        <v>122</v>
      </c>
      <c r="B125" s="68">
        <v>1280874</v>
      </c>
      <c r="C125" s="69">
        <v>4615412369</v>
      </c>
      <c r="D125" s="70">
        <v>19200</v>
      </c>
      <c r="E125" s="67"/>
      <c r="F125" s="68">
        <v>16</v>
      </c>
      <c r="G125" s="68">
        <v>5</v>
      </c>
      <c r="H125" s="73">
        <v>0</v>
      </c>
      <c r="I125" s="68">
        <v>0</v>
      </c>
      <c r="J125" s="71">
        <v>42982</v>
      </c>
      <c r="K125" s="71">
        <v>43024</v>
      </c>
      <c r="L125" s="69" t="s">
        <v>119</v>
      </c>
      <c r="M125" s="69" t="s">
        <v>109</v>
      </c>
      <c r="N125" s="72">
        <v>43060</v>
      </c>
      <c r="O125" s="67"/>
      <c r="P125" s="67" t="s">
        <v>95</v>
      </c>
      <c r="Q125" s="67" t="s">
        <v>120</v>
      </c>
      <c r="R125" s="69" t="s">
        <v>69</v>
      </c>
      <c r="S125" s="69" t="s">
        <v>123</v>
      </c>
      <c r="T125" s="67"/>
      <c r="U125" s="67"/>
      <c r="V125" s="72">
        <v>43008</v>
      </c>
      <c r="W125" s="69">
        <v>2025769</v>
      </c>
      <c r="X125" s="69"/>
      <c r="Y125" s="126"/>
      <c r="Z125" s="30">
        <f t="shared" si="2"/>
        <v>6772.6006943194379</v>
      </c>
      <c r="AA125" s="30">
        <f t="shared" si="3"/>
        <v>2116.4377169748245</v>
      </c>
      <c r="AB125" t="s">
        <v>456</v>
      </c>
    </row>
    <row r="126" spans="1:28">
      <c r="A126" s="67" t="s">
        <v>113</v>
      </c>
      <c r="B126" s="68">
        <v>1282953</v>
      </c>
      <c r="C126" s="69">
        <v>4615478123</v>
      </c>
      <c r="D126" s="70">
        <v>20709</v>
      </c>
      <c r="E126" s="67"/>
      <c r="F126" s="68">
        <v>16</v>
      </c>
      <c r="G126" s="68">
        <v>0</v>
      </c>
      <c r="H126" s="73">
        <v>0</v>
      </c>
      <c r="I126" s="68">
        <v>0</v>
      </c>
      <c r="J126" s="71">
        <v>43002</v>
      </c>
      <c r="K126" s="71">
        <v>42990</v>
      </c>
      <c r="L126" s="69" t="s">
        <v>108</v>
      </c>
      <c r="M126" s="69" t="s">
        <v>109</v>
      </c>
      <c r="N126" s="72">
        <v>43059</v>
      </c>
      <c r="O126" s="67"/>
      <c r="P126" s="67" t="s">
        <v>95</v>
      </c>
      <c r="Q126" s="67" t="s">
        <v>110</v>
      </c>
      <c r="R126" s="69" t="s">
        <v>69</v>
      </c>
      <c r="S126" s="69" t="s">
        <v>115</v>
      </c>
      <c r="T126" s="67"/>
      <c r="U126" s="67"/>
      <c r="V126" s="72">
        <v>43008</v>
      </c>
      <c r="W126" s="69" t="s">
        <v>141</v>
      </c>
      <c r="X126" s="69" t="s">
        <v>117</v>
      </c>
      <c r="Y126" s="126"/>
      <c r="Z126" s="30">
        <f t="shared" si="2"/>
        <v>7304.8847801386073</v>
      </c>
      <c r="AA126" s="30">
        <f t="shared" si="3"/>
        <v>0</v>
      </c>
      <c r="AB126" t="s">
        <v>456</v>
      </c>
    </row>
    <row r="127" spans="1:28">
      <c r="A127" s="67" t="s">
        <v>113</v>
      </c>
      <c r="B127" s="68">
        <v>1277253</v>
      </c>
      <c r="C127" s="69">
        <v>4615400272</v>
      </c>
      <c r="D127" s="70">
        <v>20700</v>
      </c>
      <c r="E127" s="67"/>
      <c r="F127" s="68">
        <v>16</v>
      </c>
      <c r="G127" s="68" t="s">
        <v>114</v>
      </c>
      <c r="H127" s="68">
        <v>0</v>
      </c>
      <c r="I127" s="68">
        <v>0</v>
      </c>
      <c r="J127" s="71">
        <v>42995</v>
      </c>
      <c r="K127" s="71">
        <v>43024</v>
      </c>
      <c r="L127" s="69" t="s">
        <v>108</v>
      </c>
      <c r="M127" s="69" t="s">
        <v>109</v>
      </c>
      <c r="N127" s="72">
        <v>43059</v>
      </c>
      <c r="O127" s="67"/>
      <c r="P127" s="67" t="s">
        <v>95</v>
      </c>
      <c r="Q127" s="67" t="s">
        <v>110</v>
      </c>
      <c r="R127" s="69" t="s">
        <v>69</v>
      </c>
      <c r="S127" s="69" t="s">
        <v>115</v>
      </c>
      <c r="T127" s="67"/>
      <c r="U127" s="67"/>
      <c r="V127" s="72">
        <v>42978</v>
      </c>
      <c r="W127" s="69" t="s">
        <v>147</v>
      </c>
      <c r="X127" s="69" t="s">
        <v>117</v>
      </c>
      <c r="Y127" s="126"/>
      <c r="Z127" s="30">
        <f t="shared" si="2"/>
        <v>7301.7101235631453</v>
      </c>
      <c r="AA127" s="30">
        <f t="shared" si="3"/>
        <v>0</v>
      </c>
      <c r="AB127" t="s">
        <v>456</v>
      </c>
    </row>
    <row r="128" spans="1:28">
      <c r="A128" s="67" t="s">
        <v>128</v>
      </c>
      <c r="B128" s="68">
        <v>1279579</v>
      </c>
      <c r="C128" s="69">
        <v>4615450154</v>
      </c>
      <c r="D128" s="70">
        <v>19175</v>
      </c>
      <c r="E128" s="67"/>
      <c r="F128" s="73">
        <v>154.32</v>
      </c>
      <c r="G128" s="73">
        <v>0</v>
      </c>
      <c r="H128" s="68">
        <v>0</v>
      </c>
      <c r="I128" s="68">
        <v>0</v>
      </c>
      <c r="J128" s="71">
        <v>42983</v>
      </c>
      <c r="K128" s="71">
        <v>43005</v>
      </c>
      <c r="L128" s="69" t="s">
        <v>119</v>
      </c>
      <c r="M128" s="69" t="s">
        <v>109</v>
      </c>
      <c r="N128" s="72">
        <v>43058</v>
      </c>
      <c r="O128" s="67"/>
      <c r="P128" s="67" t="s">
        <v>95</v>
      </c>
      <c r="Q128" s="67" t="s">
        <v>129</v>
      </c>
      <c r="R128" s="69" t="s">
        <v>69</v>
      </c>
      <c r="S128" s="69" t="s">
        <v>130</v>
      </c>
      <c r="T128" s="67"/>
      <c r="U128" s="67"/>
      <c r="V128" s="72">
        <v>42978</v>
      </c>
      <c r="W128" s="69">
        <v>425570017</v>
      </c>
      <c r="X128" s="69"/>
      <c r="Y128" s="126"/>
      <c r="Z128" s="30">
        <f t="shared" si="2"/>
        <v>65236.679355960063</v>
      </c>
      <c r="AA128" s="30">
        <f t="shared" si="3"/>
        <v>0</v>
      </c>
      <c r="AB128" t="s">
        <v>456</v>
      </c>
    </row>
    <row r="129" spans="1:28">
      <c r="A129" s="67" t="s">
        <v>136</v>
      </c>
      <c r="B129" s="68">
        <v>1279195</v>
      </c>
      <c r="C129" s="69">
        <v>4615390150</v>
      </c>
      <c r="D129" s="70">
        <v>19200</v>
      </c>
      <c r="E129" s="67"/>
      <c r="F129" s="73">
        <v>10</v>
      </c>
      <c r="G129" s="73" t="s">
        <v>114</v>
      </c>
      <c r="H129" s="73">
        <v>0</v>
      </c>
      <c r="I129" s="68">
        <v>0</v>
      </c>
      <c r="J129" s="71">
        <v>42982</v>
      </c>
      <c r="K129" s="71">
        <v>43001</v>
      </c>
      <c r="L129" s="69" t="s">
        <v>137</v>
      </c>
      <c r="M129" s="69" t="s">
        <v>109</v>
      </c>
      <c r="N129" s="72">
        <v>43058</v>
      </c>
      <c r="O129" s="67"/>
      <c r="P129" s="67" t="s">
        <v>95</v>
      </c>
      <c r="Q129" s="67" t="s">
        <v>129</v>
      </c>
      <c r="R129" s="69" t="s">
        <v>69</v>
      </c>
      <c r="S129" s="69" t="s">
        <v>138</v>
      </c>
      <c r="T129" s="67"/>
      <c r="U129" s="67"/>
      <c r="V129" s="72">
        <v>43039</v>
      </c>
      <c r="W129" s="69">
        <v>415570035</v>
      </c>
      <c r="X129" s="69"/>
      <c r="Y129" s="126"/>
      <c r="Z129" s="30">
        <f t="shared" si="2"/>
        <v>4232.8754339496491</v>
      </c>
      <c r="AA129" s="30">
        <f t="shared" si="3"/>
        <v>0</v>
      </c>
      <c r="AB129" t="s">
        <v>456</v>
      </c>
    </row>
    <row r="130" spans="1:28">
      <c r="A130" s="67" t="s">
        <v>136</v>
      </c>
      <c r="B130" s="68">
        <v>1279196</v>
      </c>
      <c r="C130" s="69">
        <v>4615390150</v>
      </c>
      <c r="D130" s="70">
        <v>19200</v>
      </c>
      <c r="E130" s="67"/>
      <c r="F130" s="73">
        <v>10</v>
      </c>
      <c r="G130" s="73" t="s">
        <v>114</v>
      </c>
      <c r="H130" s="73">
        <v>0</v>
      </c>
      <c r="I130" s="68">
        <v>0</v>
      </c>
      <c r="J130" s="71">
        <v>42982</v>
      </c>
      <c r="K130" s="71">
        <v>42881</v>
      </c>
      <c r="L130" s="69" t="s">
        <v>137</v>
      </c>
      <c r="M130" s="69" t="s">
        <v>109</v>
      </c>
      <c r="N130" s="72">
        <v>43058</v>
      </c>
      <c r="O130" s="67"/>
      <c r="P130" s="67" t="s">
        <v>95</v>
      </c>
      <c r="Q130" s="67" t="s">
        <v>129</v>
      </c>
      <c r="R130" s="69" t="s">
        <v>69</v>
      </c>
      <c r="S130" s="69" t="s">
        <v>138</v>
      </c>
      <c r="T130" s="67"/>
      <c r="U130" s="67"/>
      <c r="V130" s="72">
        <v>43039</v>
      </c>
      <c r="W130" s="69">
        <v>415570035</v>
      </c>
      <c r="X130" s="69"/>
      <c r="Y130" s="126"/>
      <c r="Z130" s="30">
        <f t="shared" si="2"/>
        <v>4232.8754339496491</v>
      </c>
      <c r="AA130" s="30">
        <f t="shared" si="3"/>
        <v>0</v>
      </c>
      <c r="AB130" t="s">
        <v>456</v>
      </c>
    </row>
    <row r="131" spans="1:28">
      <c r="A131" s="67" t="s">
        <v>118</v>
      </c>
      <c r="B131" s="68">
        <v>1274477</v>
      </c>
      <c r="C131" s="69">
        <v>4615443489</v>
      </c>
      <c r="D131" s="70">
        <v>19175</v>
      </c>
      <c r="E131" s="67"/>
      <c r="F131" s="68">
        <v>10</v>
      </c>
      <c r="G131" s="68">
        <v>5</v>
      </c>
      <c r="H131" s="68">
        <v>0</v>
      </c>
      <c r="I131" s="68">
        <v>0</v>
      </c>
      <c r="J131" s="71"/>
      <c r="K131" s="71">
        <v>42969</v>
      </c>
      <c r="L131" s="69" t="s">
        <v>80</v>
      </c>
      <c r="M131" s="69" t="s">
        <v>109</v>
      </c>
      <c r="N131" s="72">
        <v>43058</v>
      </c>
      <c r="O131" s="67"/>
      <c r="P131" s="67" t="s">
        <v>95</v>
      </c>
      <c r="Q131" s="67" t="s">
        <v>120</v>
      </c>
      <c r="R131" s="69" t="s">
        <v>69</v>
      </c>
      <c r="S131" s="69" t="s">
        <v>121</v>
      </c>
      <c r="T131" s="67"/>
      <c r="U131" s="67"/>
      <c r="V131" s="72">
        <v>42978</v>
      </c>
      <c r="W131" s="69">
        <v>2028205</v>
      </c>
      <c r="X131" s="69"/>
      <c r="Y131" s="126"/>
      <c r="Z131" s="30">
        <f t="shared" ref="Z131:Z194" si="4">CONVERT(D131,"kg","lbm")*F131/100</f>
        <v>4227.3638773950279</v>
      </c>
      <c r="AA131" s="30">
        <f t="shared" ref="AA131:AA194" si="5">CONVERT(D131,"kg","lbm")*G131/100</f>
        <v>2113.6819386975139</v>
      </c>
      <c r="AB131" t="s">
        <v>456</v>
      </c>
    </row>
    <row r="132" spans="1:28">
      <c r="A132" s="67" t="s">
        <v>113</v>
      </c>
      <c r="B132" s="68">
        <v>1290682</v>
      </c>
      <c r="C132" s="69">
        <v>4615397248</v>
      </c>
      <c r="D132" s="70">
        <v>20700</v>
      </c>
      <c r="E132" s="67"/>
      <c r="F132" s="73">
        <v>16</v>
      </c>
      <c r="G132" s="73" t="s">
        <v>114</v>
      </c>
      <c r="H132" s="68">
        <v>0</v>
      </c>
      <c r="I132" s="68">
        <v>0</v>
      </c>
      <c r="J132" s="71">
        <v>43016</v>
      </c>
      <c r="K132" s="71">
        <v>42833</v>
      </c>
      <c r="L132" s="69" t="s">
        <v>108</v>
      </c>
      <c r="M132" s="69" t="s">
        <v>109</v>
      </c>
      <c r="N132" s="72">
        <v>43058</v>
      </c>
      <c r="O132" s="67"/>
      <c r="P132" s="67" t="s">
        <v>95</v>
      </c>
      <c r="Q132" s="67" t="s">
        <v>110</v>
      </c>
      <c r="R132" s="69" t="s">
        <v>69</v>
      </c>
      <c r="S132" s="69" t="s">
        <v>115</v>
      </c>
      <c r="T132" s="67"/>
      <c r="U132" s="67"/>
      <c r="V132" s="72">
        <v>42978</v>
      </c>
      <c r="W132" s="69" t="s">
        <v>140</v>
      </c>
      <c r="X132" s="69" t="s">
        <v>117</v>
      </c>
      <c r="Y132" s="126"/>
      <c r="Z132" s="30">
        <f t="shared" si="4"/>
        <v>7301.7101235631453</v>
      </c>
      <c r="AA132" s="30">
        <f t="shared" si="5"/>
        <v>0</v>
      </c>
      <c r="AB132" t="s">
        <v>456</v>
      </c>
    </row>
    <row r="133" spans="1:28">
      <c r="A133" s="67" t="s">
        <v>113</v>
      </c>
      <c r="B133" s="68">
        <v>1282100</v>
      </c>
      <c r="C133" s="69">
        <v>4615478123</v>
      </c>
      <c r="D133" s="70">
        <v>20709</v>
      </c>
      <c r="E133" s="67"/>
      <c r="F133" s="68">
        <v>16</v>
      </c>
      <c r="G133" s="68">
        <v>0</v>
      </c>
      <c r="H133" s="73">
        <v>0</v>
      </c>
      <c r="I133" s="68">
        <v>0</v>
      </c>
      <c r="J133" s="71">
        <v>42995</v>
      </c>
      <c r="K133" s="71">
        <v>42861</v>
      </c>
      <c r="L133" s="69" t="s">
        <v>108</v>
      </c>
      <c r="M133" s="69" t="s">
        <v>109</v>
      </c>
      <c r="N133" s="72">
        <v>43058</v>
      </c>
      <c r="O133" s="67"/>
      <c r="P133" s="67" t="s">
        <v>95</v>
      </c>
      <c r="Q133" s="67" t="s">
        <v>110</v>
      </c>
      <c r="R133" s="69" t="s">
        <v>69</v>
      </c>
      <c r="S133" s="69" t="s">
        <v>115</v>
      </c>
      <c r="T133" s="67"/>
      <c r="U133" s="67"/>
      <c r="V133" s="72">
        <v>43008</v>
      </c>
      <c r="W133" s="69" t="s">
        <v>141</v>
      </c>
      <c r="X133" s="69" t="s">
        <v>117</v>
      </c>
      <c r="Y133" s="126"/>
      <c r="Z133" s="30">
        <f t="shared" si="4"/>
        <v>7304.8847801386073</v>
      </c>
      <c r="AA133" s="30">
        <f t="shared" si="5"/>
        <v>0</v>
      </c>
      <c r="AB133" t="s">
        <v>456</v>
      </c>
    </row>
    <row r="134" spans="1:28">
      <c r="A134" s="67" t="s">
        <v>113</v>
      </c>
      <c r="B134" s="68">
        <v>1282101</v>
      </c>
      <c r="C134" s="69">
        <v>4615478123</v>
      </c>
      <c r="D134" s="70">
        <v>20709</v>
      </c>
      <c r="E134" s="67"/>
      <c r="F134" s="68">
        <v>16</v>
      </c>
      <c r="G134" s="68">
        <v>0</v>
      </c>
      <c r="H134" s="73">
        <v>0</v>
      </c>
      <c r="I134" s="68">
        <v>0</v>
      </c>
      <c r="J134" s="71">
        <v>42995</v>
      </c>
      <c r="K134" s="71">
        <v>42989</v>
      </c>
      <c r="L134" s="69" t="s">
        <v>108</v>
      </c>
      <c r="M134" s="69" t="s">
        <v>109</v>
      </c>
      <c r="N134" s="72">
        <v>43058</v>
      </c>
      <c r="O134" s="67"/>
      <c r="P134" s="67" t="s">
        <v>95</v>
      </c>
      <c r="Q134" s="67" t="s">
        <v>110</v>
      </c>
      <c r="R134" s="69" t="s">
        <v>69</v>
      </c>
      <c r="S134" s="69" t="s">
        <v>115</v>
      </c>
      <c r="T134" s="67"/>
      <c r="U134" s="67"/>
      <c r="V134" s="72">
        <v>43008</v>
      </c>
      <c r="W134" s="69" t="s">
        <v>141</v>
      </c>
      <c r="X134" s="69" t="s">
        <v>117</v>
      </c>
      <c r="Y134" s="126"/>
      <c r="Z134" s="30">
        <f t="shared" si="4"/>
        <v>7304.8847801386073</v>
      </c>
      <c r="AA134" s="30">
        <f t="shared" si="5"/>
        <v>0</v>
      </c>
      <c r="AB134" t="s">
        <v>456</v>
      </c>
    </row>
    <row r="135" spans="1:28">
      <c r="A135" s="67" t="s">
        <v>113</v>
      </c>
      <c r="B135" s="68">
        <v>1282099</v>
      </c>
      <c r="C135" s="69">
        <v>4615478123</v>
      </c>
      <c r="D135" s="70">
        <v>20709</v>
      </c>
      <c r="E135" s="67"/>
      <c r="F135" s="68">
        <v>16</v>
      </c>
      <c r="G135" s="68">
        <v>0</v>
      </c>
      <c r="H135" s="73">
        <v>0</v>
      </c>
      <c r="I135" s="68">
        <v>0</v>
      </c>
      <c r="J135" s="71">
        <v>42995</v>
      </c>
      <c r="K135" s="71">
        <v>42974</v>
      </c>
      <c r="L135" s="69" t="s">
        <v>108</v>
      </c>
      <c r="M135" s="69" t="s">
        <v>109</v>
      </c>
      <c r="N135" s="72">
        <v>43058</v>
      </c>
      <c r="O135" s="67"/>
      <c r="P135" s="67" t="s">
        <v>95</v>
      </c>
      <c r="Q135" s="67" t="s">
        <v>110</v>
      </c>
      <c r="R135" s="69" t="s">
        <v>69</v>
      </c>
      <c r="S135" s="69" t="s">
        <v>115</v>
      </c>
      <c r="T135" s="67"/>
      <c r="U135" s="67"/>
      <c r="V135" s="72">
        <v>43008</v>
      </c>
      <c r="W135" s="69" t="s">
        <v>141</v>
      </c>
      <c r="X135" s="69" t="s">
        <v>117</v>
      </c>
      <c r="Y135" s="126"/>
      <c r="Z135" s="30">
        <f t="shared" si="4"/>
        <v>7304.8847801386073</v>
      </c>
      <c r="AA135" s="30">
        <f t="shared" si="5"/>
        <v>0</v>
      </c>
      <c r="AB135" t="s">
        <v>456</v>
      </c>
    </row>
    <row r="136" spans="1:28">
      <c r="A136" s="67" t="s">
        <v>113</v>
      </c>
      <c r="B136" s="68">
        <v>1277260</v>
      </c>
      <c r="C136" s="69">
        <v>4615400272</v>
      </c>
      <c r="D136" s="70">
        <v>20700</v>
      </c>
      <c r="E136" s="67"/>
      <c r="F136" s="68">
        <v>16</v>
      </c>
      <c r="G136" s="68" t="s">
        <v>114</v>
      </c>
      <c r="H136" s="68">
        <v>0</v>
      </c>
      <c r="I136" s="68">
        <v>0</v>
      </c>
      <c r="J136" s="71">
        <v>42995</v>
      </c>
      <c r="K136" s="71">
        <v>42839</v>
      </c>
      <c r="L136" s="69" t="s">
        <v>108</v>
      </c>
      <c r="M136" s="69" t="s">
        <v>109</v>
      </c>
      <c r="N136" s="72">
        <v>43058</v>
      </c>
      <c r="O136" s="67"/>
      <c r="P136" s="67" t="s">
        <v>95</v>
      </c>
      <c r="Q136" s="67" t="s">
        <v>110</v>
      </c>
      <c r="R136" s="69" t="s">
        <v>69</v>
      </c>
      <c r="S136" s="69" t="s">
        <v>115</v>
      </c>
      <c r="T136" s="67"/>
      <c r="U136" s="67"/>
      <c r="V136" s="72">
        <v>42978</v>
      </c>
      <c r="W136" s="69" t="s">
        <v>147</v>
      </c>
      <c r="X136" s="69" t="s">
        <v>117</v>
      </c>
      <c r="Y136" s="126"/>
      <c r="Z136" s="30">
        <f t="shared" si="4"/>
        <v>7301.7101235631453</v>
      </c>
      <c r="AA136" s="30">
        <f t="shared" si="5"/>
        <v>0</v>
      </c>
      <c r="AB136" t="s">
        <v>456</v>
      </c>
    </row>
    <row r="137" spans="1:28">
      <c r="A137" s="67" t="s">
        <v>122</v>
      </c>
      <c r="B137" s="68">
        <v>1252757</v>
      </c>
      <c r="C137" s="69">
        <v>4615407381</v>
      </c>
      <c r="D137" s="70">
        <v>19200</v>
      </c>
      <c r="E137" s="67"/>
      <c r="F137" s="68">
        <v>16</v>
      </c>
      <c r="G137" s="68">
        <v>5</v>
      </c>
      <c r="H137" s="73">
        <v>0</v>
      </c>
      <c r="I137" s="68">
        <v>0</v>
      </c>
      <c r="J137" s="71"/>
      <c r="K137" s="71">
        <v>42995</v>
      </c>
      <c r="L137" s="69" t="s">
        <v>80</v>
      </c>
      <c r="M137" s="69" t="s">
        <v>109</v>
      </c>
      <c r="N137" s="72">
        <v>43058</v>
      </c>
      <c r="O137" s="67"/>
      <c r="P137" s="67" t="s">
        <v>95</v>
      </c>
      <c r="Q137" s="67" t="s">
        <v>120</v>
      </c>
      <c r="R137" s="69" t="s">
        <v>69</v>
      </c>
      <c r="S137" s="69" t="s">
        <v>123</v>
      </c>
      <c r="T137" s="67"/>
      <c r="U137" s="67"/>
      <c r="V137" s="72">
        <v>42947</v>
      </c>
      <c r="W137" s="69">
        <v>2025666</v>
      </c>
      <c r="X137" s="69"/>
      <c r="Y137" s="126"/>
      <c r="Z137" s="30">
        <f t="shared" si="4"/>
        <v>6772.6006943194379</v>
      </c>
      <c r="AA137" s="30">
        <f t="shared" si="5"/>
        <v>2116.4377169748245</v>
      </c>
      <c r="AB137" t="s">
        <v>456</v>
      </c>
    </row>
    <row r="138" spans="1:28">
      <c r="A138" s="67" t="s">
        <v>122</v>
      </c>
      <c r="B138" s="68">
        <v>1274445</v>
      </c>
      <c r="C138" s="69">
        <v>4615411816</v>
      </c>
      <c r="D138" s="70">
        <v>19200</v>
      </c>
      <c r="E138" s="67"/>
      <c r="F138" s="68">
        <v>16</v>
      </c>
      <c r="G138" s="68">
        <v>5</v>
      </c>
      <c r="H138" s="73">
        <v>0</v>
      </c>
      <c r="I138" s="68">
        <v>0</v>
      </c>
      <c r="J138" s="71"/>
      <c r="K138" s="71">
        <v>42988</v>
      </c>
      <c r="L138" s="69" t="s">
        <v>80</v>
      </c>
      <c r="M138" s="69" t="s">
        <v>109</v>
      </c>
      <c r="N138" s="72">
        <v>43058</v>
      </c>
      <c r="O138" s="67"/>
      <c r="P138" s="67" t="s">
        <v>95</v>
      </c>
      <c r="Q138" s="67" t="s">
        <v>120</v>
      </c>
      <c r="R138" s="69" t="s">
        <v>69</v>
      </c>
      <c r="S138" s="69" t="s">
        <v>123</v>
      </c>
      <c r="T138" s="67"/>
      <c r="U138" s="67"/>
      <c r="V138" s="72">
        <v>42978</v>
      </c>
      <c r="W138" s="69">
        <v>2025768</v>
      </c>
      <c r="X138" s="69" t="s">
        <v>149</v>
      </c>
      <c r="Y138" s="126"/>
      <c r="Z138" s="30">
        <f t="shared" si="4"/>
        <v>6772.6006943194379</v>
      </c>
      <c r="AA138" s="30">
        <f t="shared" si="5"/>
        <v>2116.4377169748245</v>
      </c>
      <c r="AB138" t="s">
        <v>456</v>
      </c>
    </row>
    <row r="139" spans="1:28">
      <c r="A139" s="67" t="s">
        <v>122</v>
      </c>
      <c r="B139" s="68">
        <v>1274436</v>
      </c>
      <c r="C139" s="69">
        <v>4615411816</v>
      </c>
      <c r="D139" s="70">
        <v>19200</v>
      </c>
      <c r="E139" s="67"/>
      <c r="F139" s="68">
        <v>16</v>
      </c>
      <c r="G139" s="68">
        <v>5</v>
      </c>
      <c r="H139" s="73">
        <v>0</v>
      </c>
      <c r="I139" s="68">
        <v>0</v>
      </c>
      <c r="J139" s="71"/>
      <c r="K139" s="71">
        <v>42988</v>
      </c>
      <c r="L139" s="69" t="s">
        <v>80</v>
      </c>
      <c r="M139" s="69" t="s">
        <v>109</v>
      </c>
      <c r="N139" s="72">
        <v>43058</v>
      </c>
      <c r="O139" s="67"/>
      <c r="P139" s="67" t="s">
        <v>95</v>
      </c>
      <c r="Q139" s="67" t="s">
        <v>120</v>
      </c>
      <c r="R139" s="69" t="s">
        <v>69</v>
      </c>
      <c r="S139" s="69" t="s">
        <v>123</v>
      </c>
      <c r="T139" s="67"/>
      <c r="U139" s="67"/>
      <c r="V139" s="72">
        <v>42978</v>
      </c>
      <c r="W139" s="69">
        <v>2025768</v>
      </c>
      <c r="X139" s="69"/>
      <c r="Y139" s="126"/>
      <c r="Z139" s="30">
        <f t="shared" si="4"/>
        <v>6772.6006943194379</v>
      </c>
      <c r="AA139" s="30">
        <f t="shared" si="5"/>
        <v>2116.4377169748245</v>
      </c>
      <c r="AB139" t="s">
        <v>456</v>
      </c>
    </row>
    <row r="140" spans="1:28">
      <c r="A140" s="67" t="s">
        <v>122</v>
      </c>
      <c r="B140" s="68">
        <v>1257946</v>
      </c>
      <c r="C140" s="69">
        <v>4615379747</v>
      </c>
      <c r="D140" s="70">
        <v>19200</v>
      </c>
      <c r="E140" s="67"/>
      <c r="F140" s="68">
        <v>16</v>
      </c>
      <c r="G140" s="68">
        <v>5</v>
      </c>
      <c r="H140" s="68">
        <v>0</v>
      </c>
      <c r="I140" s="68">
        <v>0</v>
      </c>
      <c r="J140" s="71"/>
      <c r="K140" s="71">
        <v>42988</v>
      </c>
      <c r="L140" s="69" t="s">
        <v>80</v>
      </c>
      <c r="M140" s="69" t="s">
        <v>109</v>
      </c>
      <c r="N140" s="72">
        <v>43058</v>
      </c>
      <c r="O140" s="67"/>
      <c r="P140" s="67" t="s">
        <v>95</v>
      </c>
      <c r="Q140" s="67" t="s">
        <v>120</v>
      </c>
      <c r="R140" s="69" t="s">
        <v>69</v>
      </c>
      <c r="S140" s="69" t="s">
        <v>123</v>
      </c>
      <c r="T140" s="67"/>
      <c r="U140" s="67"/>
      <c r="V140" s="72">
        <v>42916</v>
      </c>
      <c r="W140" s="69">
        <v>2023111</v>
      </c>
      <c r="X140" s="69"/>
      <c r="Y140" s="126"/>
      <c r="Z140" s="30">
        <f t="shared" si="4"/>
        <v>6772.6006943194379</v>
      </c>
      <c r="AA140" s="30">
        <f t="shared" si="5"/>
        <v>2116.4377169748245</v>
      </c>
      <c r="AB140" t="s">
        <v>456</v>
      </c>
    </row>
    <row r="141" spans="1:28">
      <c r="A141" s="67" t="s">
        <v>122</v>
      </c>
      <c r="B141" s="68">
        <v>1257950</v>
      </c>
      <c r="C141" s="69">
        <v>4615379747</v>
      </c>
      <c r="D141" s="70">
        <v>19200</v>
      </c>
      <c r="E141" s="67"/>
      <c r="F141" s="68">
        <v>16</v>
      </c>
      <c r="G141" s="68">
        <v>5</v>
      </c>
      <c r="H141" s="68">
        <v>0</v>
      </c>
      <c r="I141" s="68">
        <v>0</v>
      </c>
      <c r="J141" s="71"/>
      <c r="K141" s="71">
        <v>42911</v>
      </c>
      <c r="L141" s="69" t="s">
        <v>80</v>
      </c>
      <c r="M141" s="69" t="s">
        <v>109</v>
      </c>
      <c r="N141" s="72">
        <v>43055</v>
      </c>
      <c r="O141" s="67"/>
      <c r="P141" s="67" t="s">
        <v>95</v>
      </c>
      <c r="Q141" s="67" t="s">
        <v>120</v>
      </c>
      <c r="R141" s="69" t="s">
        <v>69</v>
      </c>
      <c r="S141" s="69" t="s">
        <v>123</v>
      </c>
      <c r="T141" s="67"/>
      <c r="U141" s="67"/>
      <c r="V141" s="72">
        <v>42916</v>
      </c>
      <c r="W141" s="69">
        <v>2023111</v>
      </c>
      <c r="X141" s="69"/>
      <c r="Y141" s="126"/>
      <c r="Z141" s="30">
        <f t="shared" si="4"/>
        <v>6772.6006943194379</v>
      </c>
      <c r="AA141" s="30">
        <f t="shared" si="5"/>
        <v>2116.4377169748245</v>
      </c>
      <c r="AB141" t="s">
        <v>456</v>
      </c>
    </row>
    <row r="142" spans="1:28">
      <c r="A142" s="67" t="s">
        <v>68</v>
      </c>
      <c r="B142" s="68">
        <v>1257653</v>
      </c>
      <c r="C142" s="69">
        <v>4615413507</v>
      </c>
      <c r="D142" s="70">
        <v>19175</v>
      </c>
      <c r="E142" s="67"/>
      <c r="F142" s="68">
        <v>16</v>
      </c>
      <c r="G142" s="68">
        <v>5</v>
      </c>
      <c r="H142" s="75">
        <v>0</v>
      </c>
      <c r="I142" s="68">
        <v>0</v>
      </c>
      <c r="J142" s="71"/>
      <c r="K142" s="71">
        <v>42953</v>
      </c>
      <c r="L142" s="69" t="s">
        <v>80</v>
      </c>
      <c r="M142" s="69" t="s">
        <v>109</v>
      </c>
      <c r="N142" s="72">
        <v>43055</v>
      </c>
      <c r="O142" s="67"/>
      <c r="P142" s="67" t="s">
        <v>95</v>
      </c>
      <c r="Q142" s="67" t="s">
        <v>125</v>
      </c>
      <c r="R142" s="69" t="s">
        <v>69</v>
      </c>
      <c r="S142" s="69" t="s">
        <v>68</v>
      </c>
      <c r="T142" s="67"/>
      <c r="U142" s="67"/>
      <c r="V142" s="72">
        <v>42916</v>
      </c>
      <c r="W142" s="69">
        <v>5114735</v>
      </c>
      <c r="X142" s="69"/>
      <c r="Y142" s="126"/>
      <c r="Z142" s="30">
        <f t="shared" si="4"/>
        <v>6763.7822038320437</v>
      </c>
      <c r="AA142" s="30">
        <f t="shared" si="5"/>
        <v>2113.6819386975139</v>
      </c>
      <c r="AB142" t="s">
        <v>456</v>
      </c>
    </row>
    <row r="143" spans="1:28">
      <c r="A143" s="67" t="s">
        <v>113</v>
      </c>
      <c r="B143" s="68">
        <v>1277255</v>
      </c>
      <c r="C143" s="69">
        <v>4615400272</v>
      </c>
      <c r="D143" s="70">
        <v>20700</v>
      </c>
      <c r="E143" s="67"/>
      <c r="F143" s="68">
        <v>16</v>
      </c>
      <c r="G143" s="68" t="s">
        <v>114</v>
      </c>
      <c r="H143" s="68">
        <v>0</v>
      </c>
      <c r="I143" s="68">
        <v>0</v>
      </c>
      <c r="J143" s="71">
        <v>42995</v>
      </c>
      <c r="K143" s="71">
        <v>42806</v>
      </c>
      <c r="L143" s="69" t="s">
        <v>108</v>
      </c>
      <c r="M143" s="69" t="s">
        <v>109</v>
      </c>
      <c r="N143" s="72">
        <v>43055</v>
      </c>
      <c r="O143" s="67"/>
      <c r="P143" s="67" t="s">
        <v>95</v>
      </c>
      <c r="Q143" s="67" t="s">
        <v>110</v>
      </c>
      <c r="R143" s="69" t="s">
        <v>69</v>
      </c>
      <c r="S143" s="69" t="s">
        <v>115</v>
      </c>
      <c r="T143" s="67"/>
      <c r="U143" s="67"/>
      <c r="V143" s="72">
        <v>42978</v>
      </c>
      <c r="W143" s="69" t="s">
        <v>147</v>
      </c>
      <c r="X143" s="69" t="s">
        <v>117</v>
      </c>
      <c r="Y143" s="126"/>
      <c r="Z143" s="30">
        <f t="shared" si="4"/>
        <v>7301.7101235631453</v>
      </c>
      <c r="AA143" s="30">
        <f t="shared" si="5"/>
        <v>0</v>
      </c>
      <c r="AB143" t="s">
        <v>456</v>
      </c>
    </row>
    <row r="144" spans="1:28">
      <c r="A144" s="67" t="s">
        <v>113</v>
      </c>
      <c r="B144" s="68">
        <v>1282955</v>
      </c>
      <c r="C144" s="69">
        <v>4615478123</v>
      </c>
      <c r="D144" s="70">
        <v>20709</v>
      </c>
      <c r="E144" s="67"/>
      <c r="F144" s="68">
        <v>16</v>
      </c>
      <c r="G144" s="68">
        <v>0</v>
      </c>
      <c r="H144" s="73">
        <v>0</v>
      </c>
      <c r="I144" s="68">
        <v>0</v>
      </c>
      <c r="J144" s="71">
        <v>43002</v>
      </c>
      <c r="K144" s="71">
        <v>42878</v>
      </c>
      <c r="L144" s="69" t="s">
        <v>108</v>
      </c>
      <c r="M144" s="69" t="s">
        <v>109</v>
      </c>
      <c r="N144" s="72">
        <v>43055</v>
      </c>
      <c r="O144" s="67"/>
      <c r="P144" s="67" t="s">
        <v>95</v>
      </c>
      <c r="Q144" s="67" t="s">
        <v>110</v>
      </c>
      <c r="R144" s="69" t="s">
        <v>69</v>
      </c>
      <c r="S144" s="69" t="s">
        <v>115</v>
      </c>
      <c r="T144" s="67"/>
      <c r="U144" s="67"/>
      <c r="V144" s="72">
        <v>43008</v>
      </c>
      <c r="W144" s="69" t="s">
        <v>141</v>
      </c>
      <c r="X144" s="69" t="s">
        <v>117</v>
      </c>
      <c r="Y144" s="126"/>
      <c r="Z144" s="30">
        <f t="shared" si="4"/>
        <v>7304.8847801386073</v>
      </c>
      <c r="AA144" s="30">
        <f t="shared" si="5"/>
        <v>0</v>
      </c>
      <c r="AB144" t="s">
        <v>456</v>
      </c>
    </row>
    <row r="145" spans="1:28">
      <c r="A145" s="67" t="s">
        <v>136</v>
      </c>
      <c r="B145" s="68">
        <v>1278435</v>
      </c>
      <c r="C145" s="69">
        <v>4615384878</v>
      </c>
      <c r="D145" s="70">
        <v>19200</v>
      </c>
      <c r="E145" s="67"/>
      <c r="F145" s="73">
        <v>10</v>
      </c>
      <c r="G145" s="73" t="s">
        <v>114</v>
      </c>
      <c r="H145" s="73">
        <v>0</v>
      </c>
      <c r="I145" s="68">
        <v>0</v>
      </c>
      <c r="J145" s="71">
        <v>42976</v>
      </c>
      <c r="K145" s="71">
        <v>42841</v>
      </c>
      <c r="L145" s="69" t="s">
        <v>137</v>
      </c>
      <c r="M145" s="69" t="s">
        <v>109</v>
      </c>
      <c r="N145" s="72">
        <v>43055</v>
      </c>
      <c r="O145" s="67"/>
      <c r="P145" s="67" t="s">
        <v>95</v>
      </c>
      <c r="Q145" s="67" t="s">
        <v>129</v>
      </c>
      <c r="R145" s="69" t="s">
        <v>69</v>
      </c>
      <c r="S145" s="69" t="s">
        <v>138</v>
      </c>
      <c r="T145" s="67"/>
      <c r="U145" s="67"/>
      <c r="V145" s="72">
        <v>43008</v>
      </c>
      <c r="W145" s="69">
        <v>415570034</v>
      </c>
      <c r="X145" s="69"/>
      <c r="Y145" s="126"/>
      <c r="Z145" s="30">
        <f t="shared" si="4"/>
        <v>4232.8754339496491</v>
      </c>
      <c r="AA145" s="30">
        <f t="shared" si="5"/>
        <v>0</v>
      </c>
      <c r="AB145" t="s">
        <v>456</v>
      </c>
    </row>
    <row r="146" spans="1:28">
      <c r="A146" s="67" t="s">
        <v>113</v>
      </c>
      <c r="B146" s="68">
        <v>1282103</v>
      </c>
      <c r="C146" s="69">
        <v>4615478123</v>
      </c>
      <c r="D146" s="70">
        <v>20709</v>
      </c>
      <c r="E146" s="67"/>
      <c r="F146" s="68">
        <v>16</v>
      </c>
      <c r="G146" s="68">
        <v>0</v>
      </c>
      <c r="H146" s="73">
        <v>0</v>
      </c>
      <c r="I146" s="68">
        <v>0</v>
      </c>
      <c r="J146" s="71">
        <v>42995</v>
      </c>
      <c r="K146" s="71">
        <v>42968</v>
      </c>
      <c r="L146" s="69" t="s">
        <v>108</v>
      </c>
      <c r="M146" s="69" t="s">
        <v>109</v>
      </c>
      <c r="N146" s="72">
        <v>43054</v>
      </c>
      <c r="O146" s="67"/>
      <c r="P146" s="67" t="s">
        <v>95</v>
      </c>
      <c r="Q146" s="67" t="s">
        <v>110</v>
      </c>
      <c r="R146" s="69" t="s">
        <v>69</v>
      </c>
      <c r="S146" s="69" t="s">
        <v>115</v>
      </c>
      <c r="T146" s="67"/>
      <c r="U146" s="67"/>
      <c r="V146" s="72">
        <v>43008</v>
      </c>
      <c r="W146" s="69" t="s">
        <v>141</v>
      </c>
      <c r="X146" s="69" t="s">
        <v>117</v>
      </c>
      <c r="Y146" s="126"/>
      <c r="Z146" s="30">
        <f t="shared" si="4"/>
        <v>7304.8847801386073</v>
      </c>
      <c r="AA146" s="30">
        <f t="shared" si="5"/>
        <v>0</v>
      </c>
      <c r="AB146" t="s">
        <v>456</v>
      </c>
    </row>
    <row r="147" spans="1:28">
      <c r="A147" s="67" t="s">
        <v>113</v>
      </c>
      <c r="B147" s="68">
        <v>1277257</v>
      </c>
      <c r="C147" s="69">
        <v>4615400272</v>
      </c>
      <c r="D147" s="70">
        <v>20700</v>
      </c>
      <c r="E147" s="67"/>
      <c r="F147" s="68">
        <v>16</v>
      </c>
      <c r="G147" s="68" t="s">
        <v>114</v>
      </c>
      <c r="H147" s="68">
        <v>0</v>
      </c>
      <c r="I147" s="68">
        <v>0</v>
      </c>
      <c r="J147" s="71">
        <v>42995</v>
      </c>
      <c r="K147" s="71">
        <v>42998</v>
      </c>
      <c r="L147" s="69" t="s">
        <v>108</v>
      </c>
      <c r="M147" s="69" t="s">
        <v>109</v>
      </c>
      <c r="N147" s="72">
        <v>43054</v>
      </c>
      <c r="O147" s="67"/>
      <c r="P147" s="67" t="s">
        <v>95</v>
      </c>
      <c r="Q147" s="67" t="s">
        <v>110</v>
      </c>
      <c r="R147" s="69" t="s">
        <v>69</v>
      </c>
      <c r="S147" s="69" t="s">
        <v>115</v>
      </c>
      <c r="T147" s="67"/>
      <c r="U147" s="67"/>
      <c r="V147" s="72">
        <v>42978</v>
      </c>
      <c r="W147" s="69" t="s">
        <v>147</v>
      </c>
      <c r="X147" s="69" t="s">
        <v>117</v>
      </c>
      <c r="Y147" s="126"/>
      <c r="Z147" s="30">
        <f t="shared" si="4"/>
        <v>7301.7101235631453</v>
      </c>
      <c r="AA147" s="30">
        <f t="shared" si="5"/>
        <v>0</v>
      </c>
      <c r="AB147" t="s">
        <v>456</v>
      </c>
    </row>
    <row r="148" spans="1:28">
      <c r="A148" s="67" t="s">
        <v>122</v>
      </c>
      <c r="B148" s="68">
        <v>1257945</v>
      </c>
      <c r="C148" s="69">
        <v>4615379747</v>
      </c>
      <c r="D148" s="70">
        <v>19200</v>
      </c>
      <c r="E148" s="67"/>
      <c r="F148" s="68">
        <v>16</v>
      </c>
      <c r="G148" s="68">
        <v>5</v>
      </c>
      <c r="H148" s="73">
        <v>0</v>
      </c>
      <c r="I148" s="68">
        <v>0</v>
      </c>
      <c r="J148" s="71"/>
      <c r="K148" s="71">
        <v>42990</v>
      </c>
      <c r="L148" s="69" t="s">
        <v>80</v>
      </c>
      <c r="M148" s="69" t="s">
        <v>109</v>
      </c>
      <c r="N148" s="72">
        <v>43054</v>
      </c>
      <c r="O148" s="67"/>
      <c r="P148" s="67" t="s">
        <v>95</v>
      </c>
      <c r="Q148" s="67" t="s">
        <v>120</v>
      </c>
      <c r="R148" s="69" t="s">
        <v>69</v>
      </c>
      <c r="S148" s="69" t="s">
        <v>123</v>
      </c>
      <c r="T148" s="67"/>
      <c r="U148" s="67"/>
      <c r="V148" s="72">
        <v>42916</v>
      </c>
      <c r="W148" s="69">
        <v>2023111</v>
      </c>
      <c r="X148" s="69"/>
      <c r="Y148" s="126"/>
      <c r="Z148" s="30">
        <f t="shared" si="4"/>
        <v>6772.6006943194379</v>
      </c>
      <c r="AA148" s="30">
        <f t="shared" si="5"/>
        <v>2116.4377169748245</v>
      </c>
      <c r="AB148" t="s">
        <v>456</v>
      </c>
    </row>
    <row r="149" spans="1:28">
      <c r="A149" s="67" t="s">
        <v>118</v>
      </c>
      <c r="B149" s="68">
        <v>1274476</v>
      </c>
      <c r="C149" s="69">
        <v>4615443489</v>
      </c>
      <c r="D149" s="70">
        <v>19175</v>
      </c>
      <c r="E149" s="67"/>
      <c r="F149" s="68">
        <v>10</v>
      </c>
      <c r="G149" s="68">
        <v>5</v>
      </c>
      <c r="H149" s="68">
        <v>0</v>
      </c>
      <c r="I149" s="68">
        <v>0</v>
      </c>
      <c r="J149" s="71"/>
      <c r="K149" s="71">
        <v>42995</v>
      </c>
      <c r="L149" s="69" t="s">
        <v>80</v>
      </c>
      <c r="M149" s="69" t="s">
        <v>109</v>
      </c>
      <c r="N149" s="72">
        <v>43053</v>
      </c>
      <c r="O149" s="67"/>
      <c r="P149" s="67" t="s">
        <v>95</v>
      </c>
      <c r="Q149" s="67" t="s">
        <v>120</v>
      </c>
      <c r="R149" s="69" t="s">
        <v>69</v>
      </c>
      <c r="S149" s="69" t="s">
        <v>121</v>
      </c>
      <c r="T149" s="67"/>
      <c r="U149" s="67"/>
      <c r="V149" s="72">
        <v>42978</v>
      </c>
      <c r="W149" s="69">
        <v>2028205</v>
      </c>
      <c r="X149" s="69"/>
      <c r="Y149" s="126"/>
      <c r="Z149" s="30">
        <f t="shared" si="4"/>
        <v>4227.3638773950279</v>
      </c>
      <c r="AA149" s="30">
        <f t="shared" si="5"/>
        <v>2113.6819386975139</v>
      </c>
      <c r="AB149" t="s">
        <v>456</v>
      </c>
    </row>
    <row r="150" spans="1:28">
      <c r="A150" s="67" t="s">
        <v>118</v>
      </c>
      <c r="B150" s="68">
        <v>1274474</v>
      </c>
      <c r="C150" s="69">
        <v>4615443489</v>
      </c>
      <c r="D150" s="70">
        <v>19175</v>
      </c>
      <c r="E150" s="67"/>
      <c r="F150" s="68">
        <v>10</v>
      </c>
      <c r="G150" s="68">
        <v>5</v>
      </c>
      <c r="H150" s="75">
        <v>0</v>
      </c>
      <c r="I150" s="68">
        <v>0</v>
      </c>
      <c r="J150" s="71"/>
      <c r="K150" s="71">
        <v>42977</v>
      </c>
      <c r="L150" s="69" t="s">
        <v>80</v>
      </c>
      <c r="M150" s="69" t="s">
        <v>109</v>
      </c>
      <c r="N150" s="72">
        <v>43053</v>
      </c>
      <c r="O150" s="67"/>
      <c r="P150" s="67" t="s">
        <v>95</v>
      </c>
      <c r="Q150" s="67" t="s">
        <v>120</v>
      </c>
      <c r="R150" s="69" t="s">
        <v>69</v>
      </c>
      <c r="S150" s="69" t="s">
        <v>121</v>
      </c>
      <c r="T150" s="67"/>
      <c r="U150" s="67"/>
      <c r="V150" s="72">
        <v>42978</v>
      </c>
      <c r="W150" s="69">
        <v>2028205</v>
      </c>
      <c r="X150" s="69"/>
      <c r="Y150" s="126"/>
      <c r="Z150" s="30">
        <f t="shared" si="4"/>
        <v>4227.3638773950279</v>
      </c>
      <c r="AA150" s="30">
        <f t="shared" si="5"/>
        <v>2113.6819386975139</v>
      </c>
      <c r="AB150" t="s">
        <v>456</v>
      </c>
    </row>
    <row r="151" spans="1:28">
      <c r="A151" s="67" t="s">
        <v>113</v>
      </c>
      <c r="B151" s="68">
        <v>1282989</v>
      </c>
      <c r="C151" s="69">
        <v>4615412749</v>
      </c>
      <c r="D151" s="70">
        <v>20700</v>
      </c>
      <c r="E151" s="67"/>
      <c r="F151" s="68">
        <v>16</v>
      </c>
      <c r="G151" s="68" t="s">
        <v>114</v>
      </c>
      <c r="H151" s="68">
        <v>0</v>
      </c>
      <c r="I151" s="68">
        <v>0</v>
      </c>
      <c r="J151" s="71">
        <v>43002</v>
      </c>
      <c r="K151" s="71">
        <v>42946</v>
      </c>
      <c r="L151" s="69" t="s">
        <v>132</v>
      </c>
      <c r="M151" s="69" t="s">
        <v>109</v>
      </c>
      <c r="N151" s="72">
        <v>43053</v>
      </c>
      <c r="O151" s="67"/>
      <c r="P151" s="67" t="s">
        <v>95</v>
      </c>
      <c r="Q151" s="67" t="s">
        <v>110</v>
      </c>
      <c r="R151" s="69" t="s">
        <v>69</v>
      </c>
      <c r="S151" s="69" t="s">
        <v>115</v>
      </c>
      <c r="T151" s="67"/>
      <c r="U151" s="67"/>
      <c r="V151" s="72">
        <v>43008</v>
      </c>
      <c r="W151" s="69" t="s">
        <v>150</v>
      </c>
      <c r="X151" s="69" t="s">
        <v>117</v>
      </c>
      <c r="Y151" s="126"/>
      <c r="Z151" s="30">
        <f t="shared" si="4"/>
        <v>7301.7101235631453</v>
      </c>
      <c r="AA151" s="30">
        <f t="shared" si="5"/>
        <v>0</v>
      </c>
      <c r="AB151" t="s">
        <v>456</v>
      </c>
    </row>
    <row r="152" spans="1:28">
      <c r="A152" s="67" t="s">
        <v>113</v>
      </c>
      <c r="B152" s="68">
        <v>1277252</v>
      </c>
      <c r="C152" s="69">
        <v>4615400272</v>
      </c>
      <c r="D152" s="70">
        <v>20700</v>
      </c>
      <c r="E152" s="67"/>
      <c r="F152" s="68">
        <v>16</v>
      </c>
      <c r="G152" s="68" t="s">
        <v>114</v>
      </c>
      <c r="H152" s="68">
        <v>0</v>
      </c>
      <c r="I152" s="68">
        <v>0</v>
      </c>
      <c r="J152" s="71">
        <v>42995</v>
      </c>
      <c r="K152" s="71">
        <v>42871</v>
      </c>
      <c r="L152" s="69" t="s">
        <v>108</v>
      </c>
      <c r="M152" s="69" t="s">
        <v>109</v>
      </c>
      <c r="N152" s="72">
        <v>43053</v>
      </c>
      <c r="O152" s="67"/>
      <c r="P152" s="67" t="s">
        <v>95</v>
      </c>
      <c r="Q152" s="67" t="s">
        <v>110</v>
      </c>
      <c r="R152" s="69" t="s">
        <v>69</v>
      </c>
      <c r="S152" s="69" t="s">
        <v>115</v>
      </c>
      <c r="T152" s="67"/>
      <c r="U152" s="67"/>
      <c r="V152" s="72">
        <v>42978</v>
      </c>
      <c r="W152" s="69" t="s">
        <v>147</v>
      </c>
      <c r="X152" s="69" t="s">
        <v>117</v>
      </c>
      <c r="Y152" s="126"/>
      <c r="Z152" s="30">
        <f t="shared" si="4"/>
        <v>7301.7101235631453</v>
      </c>
      <c r="AA152" s="30">
        <f t="shared" si="5"/>
        <v>0</v>
      </c>
      <c r="AB152" t="s">
        <v>456</v>
      </c>
    </row>
    <row r="153" spans="1:28">
      <c r="A153" s="67" t="s">
        <v>128</v>
      </c>
      <c r="B153" s="68">
        <v>1279578</v>
      </c>
      <c r="C153" s="69">
        <v>4615450154</v>
      </c>
      <c r="D153" s="70">
        <v>19175</v>
      </c>
      <c r="E153" s="67"/>
      <c r="F153" s="73">
        <v>154.32</v>
      </c>
      <c r="G153" s="73">
        <v>0</v>
      </c>
      <c r="H153" s="68">
        <v>0</v>
      </c>
      <c r="I153" s="68">
        <v>0</v>
      </c>
      <c r="J153" s="71">
        <v>42983</v>
      </c>
      <c r="K153" s="71">
        <v>42960</v>
      </c>
      <c r="L153" s="69" t="s">
        <v>119</v>
      </c>
      <c r="M153" s="69" t="s">
        <v>109</v>
      </c>
      <c r="N153" s="72">
        <v>43053</v>
      </c>
      <c r="O153" s="67"/>
      <c r="P153" s="67" t="s">
        <v>95</v>
      </c>
      <c r="Q153" s="67" t="s">
        <v>129</v>
      </c>
      <c r="R153" s="69" t="s">
        <v>69</v>
      </c>
      <c r="S153" s="69" t="s">
        <v>130</v>
      </c>
      <c r="T153" s="67"/>
      <c r="U153" s="67"/>
      <c r="V153" s="72">
        <v>42978</v>
      </c>
      <c r="W153" s="69">
        <v>425570017</v>
      </c>
      <c r="X153" s="69"/>
      <c r="Y153" s="126"/>
      <c r="Z153" s="30">
        <f t="shared" si="4"/>
        <v>65236.679355960063</v>
      </c>
      <c r="AA153" s="30">
        <f t="shared" si="5"/>
        <v>0</v>
      </c>
      <c r="AB153" t="s">
        <v>456</v>
      </c>
    </row>
    <row r="154" spans="1:28">
      <c r="A154" s="67" t="s">
        <v>113</v>
      </c>
      <c r="B154" s="68">
        <v>1282985</v>
      </c>
      <c r="C154" s="69">
        <v>4615412749</v>
      </c>
      <c r="D154" s="70">
        <v>20700</v>
      </c>
      <c r="E154" s="67"/>
      <c r="F154" s="68">
        <v>16</v>
      </c>
      <c r="G154" s="68" t="s">
        <v>114</v>
      </c>
      <c r="H154" s="68">
        <v>0</v>
      </c>
      <c r="I154" s="68">
        <v>0</v>
      </c>
      <c r="J154" s="71">
        <v>43002</v>
      </c>
      <c r="K154" s="71">
        <v>42871</v>
      </c>
      <c r="L154" s="69" t="s">
        <v>132</v>
      </c>
      <c r="M154" s="69" t="s">
        <v>109</v>
      </c>
      <c r="N154" s="72">
        <v>43052</v>
      </c>
      <c r="O154" s="67"/>
      <c r="P154" s="67" t="s">
        <v>95</v>
      </c>
      <c r="Q154" s="67" t="s">
        <v>110</v>
      </c>
      <c r="R154" s="69" t="s">
        <v>69</v>
      </c>
      <c r="S154" s="69" t="s">
        <v>115</v>
      </c>
      <c r="T154" s="67"/>
      <c r="U154" s="67"/>
      <c r="V154" s="72">
        <v>43008</v>
      </c>
      <c r="W154" s="69" t="s">
        <v>150</v>
      </c>
      <c r="X154" s="69" t="s">
        <v>117</v>
      </c>
      <c r="Y154" s="126"/>
      <c r="Z154" s="30">
        <f t="shared" si="4"/>
        <v>7301.7101235631453</v>
      </c>
      <c r="AA154" s="30">
        <f t="shared" si="5"/>
        <v>0</v>
      </c>
      <c r="AB154" t="s">
        <v>456</v>
      </c>
    </row>
    <row r="155" spans="1:28">
      <c r="A155" s="67" t="s">
        <v>113</v>
      </c>
      <c r="B155" s="68">
        <v>1282982</v>
      </c>
      <c r="C155" s="69">
        <v>4615412749</v>
      </c>
      <c r="D155" s="70">
        <v>20700</v>
      </c>
      <c r="E155" s="67"/>
      <c r="F155" s="68">
        <v>16</v>
      </c>
      <c r="G155" s="68" t="s">
        <v>114</v>
      </c>
      <c r="H155" s="68">
        <v>0</v>
      </c>
      <c r="I155" s="68">
        <v>0</v>
      </c>
      <c r="J155" s="71">
        <v>43002</v>
      </c>
      <c r="K155" s="71">
        <v>42833</v>
      </c>
      <c r="L155" s="69" t="s">
        <v>132</v>
      </c>
      <c r="M155" s="69" t="s">
        <v>109</v>
      </c>
      <c r="N155" s="72">
        <v>43052</v>
      </c>
      <c r="O155" s="67"/>
      <c r="P155" s="67" t="s">
        <v>95</v>
      </c>
      <c r="Q155" s="67" t="s">
        <v>110</v>
      </c>
      <c r="R155" s="69" t="s">
        <v>69</v>
      </c>
      <c r="S155" s="69" t="s">
        <v>115</v>
      </c>
      <c r="T155" s="67"/>
      <c r="U155" s="67"/>
      <c r="V155" s="72">
        <v>43008</v>
      </c>
      <c r="W155" s="69" t="s">
        <v>150</v>
      </c>
      <c r="X155" s="69" t="s">
        <v>117</v>
      </c>
      <c r="Y155" s="126"/>
      <c r="Z155" s="30">
        <f t="shared" si="4"/>
        <v>7301.7101235631453</v>
      </c>
      <c r="AA155" s="30">
        <f t="shared" si="5"/>
        <v>0</v>
      </c>
      <c r="AB155" t="s">
        <v>456</v>
      </c>
    </row>
    <row r="156" spans="1:28">
      <c r="A156" s="67" t="s">
        <v>113</v>
      </c>
      <c r="B156" s="68">
        <v>1277256</v>
      </c>
      <c r="C156" s="69">
        <v>4615400272</v>
      </c>
      <c r="D156" s="70">
        <v>20700</v>
      </c>
      <c r="E156" s="67"/>
      <c r="F156" s="68">
        <v>16</v>
      </c>
      <c r="G156" s="68" t="s">
        <v>114</v>
      </c>
      <c r="H156" s="68">
        <v>0</v>
      </c>
      <c r="I156" s="68">
        <v>0</v>
      </c>
      <c r="J156" s="71">
        <v>42995</v>
      </c>
      <c r="K156" s="71">
        <v>42833</v>
      </c>
      <c r="L156" s="69" t="s">
        <v>108</v>
      </c>
      <c r="M156" s="69" t="s">
        <v>109</v>
      </c>
      <c r="N156" s="72">
        <v>43052</v>
      </c>
      <c r="O156" s="67"/>
      <c r="P156" s="67" t="s">
        <v>95</v>
      </c>
      <c r="Q156" s="67" t="s">
        <v>110</v>
      </c>
      <c r="R156" s="69" t="s">
        <v>69</v>
      </c>
      <c r="S156" s="69" t="s">
        <v>115</v>
      </c>
      <c r="T156" s="67"/>
      <c r="U156" s="67"/>
      <c r="V156" s="72">
        <v>42978</v>
      </c>
      <c r="W156" s="69" t="s">
        <v>147</v>
      </c>
      <c r="X156" s="69" t="s">
        <v>117</v>
      </c>
      <c r="Y156" s="126"/>
      <c r="Z156" s="30">
        <f t="shared" si="4"/>
        <v>7301.7101235631453</v>
      </c>
      <c r="AA156" s="30">
        <f t="shared" si="5"/>
        <v>0</v>
      </c>
      <c r="AB156" t="s">
        <v>456</v>
      </c>
    </row>
    <row r="157" spans="1:28">
      <c r="A157" s="67" t="s">
        <v>122</v>
      </c>
      <c r="B157" s="68">
        <v>1256785</v>
      </c>
      <c r="C157" s="69">
        <v>4615414794</v>
      </c>
      <c r="D157" s="70">
        <v>19200</v>
      </c>
      <c r="E157" s="67"/>
      <c r="F157" s="68">
        <v>16</v>
      </c>
      <c r="G157" s="68">
        <v>5</v>
      </c>
      <c r="H157" s="73">
        <v>0</v>
      </c>
      <c r="I157" s="68">
        <v>0</v>
      </c>
      <c r="J157" s="71"/>
      <c r="K157" s="71">
        <v>42881</v>
      </c>
      <c r="L157" s="69" t="s">
        <v>80</v>
      </c>
      <c r="M157" s="69" t="s">
        <v>109</v>
      </c>
      <c r="N157" s="72">
        <v>43052</v>
      </c>
      <c r="O157" s="67"/>
      <c r="P157" s="67" t="s">
        <v>95</v>
      </c>
      <c r="Q157" s="67" t="s">
        <v>120</v>
      </c>
      <c r="R157" s="69" t="s">
        <v>69</v>
      </c>
      <c r="S157" s="69" t="s">
        <v>123</v>
      </c>
      <c r="T157" s="67"/>
      <c r="U157" s="67"/>
      <c r="V157" s="72">
        <v>42947</v>
      </c>
      <c r="W157" s="69">
        <v>2025784</v>
      </c>
      <c r="X157" s="69"/>
      <c r="Y157" s="126"/>
      <c r="Z157" s="30">
        <f t="shared" si="4"/>
        <v>6772.6006943194379</v>
      </c>
      <c r="AA157" s="30">
        <f t="shared" si="5"/>
        <v>2116.4377169748245</v>
      </c>
      <c r="AB157" t="s">
        <v>456</v>
      </c>
    </row>
    <row r="158" spans="1:28">
      <c r="A158" s="67" t="s">
        <v>131</v>
      </c>
      <c r="B158" s="68">
        <v>1289254</v>
      </c>
      <c r="C158" s="69">
        <v>4615486304</v>
      </c>
      <c r="D158" s="70">
        <v>19175</v>
      </c>
      <c r="E158" s="67"/>
      <c r="F158" s="68">
        <v>154.4</v>
      </c>
      <c r="G158" s="75">
        <v>0</v>
      </c>
      <c r="H158" s="68">
        <v>0</v>
      </c>
      <c r="I158" s="68">
        <v>0</v>
      </c>
      <c r="J158" s="71"/>
      <c r="K158" s="71">
        <v>42831</v>
      </c>
      <c r="L158" s="69" t="s">
        <v>80</v>
      </c>
      <c r="M158" s="69" t="s">
        <v>109</v>
      </c>
      <c r="N158" s="72">
        <v>43051</v>
      </c>
      <c r="O158" s="67"/>
      <c r="P158" s="67" t="s">
        <v>95</v>
      </c>
      <c r="Q158" s="67" t="s">
        <v>133</v>
      </c>
      <c r="R158" s="69" t="s">
        <v>69</v>
      </c>
      <c r="S158" s="69" t="s">
        <v>134</v>
      </c>
      <c r="T158" s="67"/>
      <c r="U158" s="67"/>
      <c r="V158" s="72">
        <v>43039</v>
      </c>
      <c r="W158" s="69" t="s">
        <v>146</v>
      </c>
      <c r="X158" s="69"/>
      <c r="Y158" s="126"/>
      <c r="Z158" s="30">
        <f t="shared" si="4"/>
        <v>65270.498266979223</v>
      </c>
      <c r="AA158" s="30">
        <f t="shared" si="5"/>
        <v>0</v>
      </c>
      <c r="AB158" t="s">
        <v>456</v>
      </c>
    </row>
    <row r="159" spans="1:28">
      <c r="A159" s="67" t="s">
        <v>128</v>
      </c>
      <c r="B159" s="68">
        <v>1281630</v>
      </c>
      <c r="C159" s="69">
        <v>4615450154</v>
      </c>
      <c r="D159" s="70">
        <v>19175</v>
      </c>
      <c r="E159" s="67"/>
      <c r="F159" s="73">
        <v>154.32</v>
      </c>
      <c r="G159" s="73">
        <v>0</v>
      </c>
      <c r="H159" s="68">
        <v>0</v>
      </c>
      <c r="I159" s="68">
        <v>0</v>
      </c>
      <c r="J159" s="71">
        <v>42983</v>
      </c>
      <c r="K159" s="71">
        <v>42878</v>
      </c>
      <c r="L159" s="69" t="s">
        <v>119</v>
      </c>
      <c r="M159" s="69" t="s">
        <v>109</v>
      </c>
      <c r="N159" s="72">
        <v>43051</v>
      </c>
      <c r="O159" s="67"/>
      <c r="P159" s="67" t="s">
        <v>95</v>
      </c>
      <c r="Q159" s="67" t="s">
        <v>129</v>
      </c>
      <c r="R159" s="69" t="s">
        <v>69</v>
      </c>
      <c r="S159" s="69" t="s">
        <v>130</v>
      </c>
      <c r="T159" s="67"/>
      <c r="U159" s="67"/>
      <c r="V159" s="72">
        <v>42978</v>
      </c>
      <c r="W159" s="69">
        <v>425570017</v>
      </c>
      <c r="X159" s="69"/>
      <c r="Y159" s="126"/>
      <c r="Z159" s="30">
        <f t="shared" si="4"/>
        <v>65236.679355960063</v>
      </c>
      <c r="AA159" s="30">
        <f t="shared" si="5"/>
        <v>0</v>
      </c>
      <c r="AB159" t="s">
        <v>456</v>
      </c>
    </row>
    <row r="160" spans="1:28">
      <c r="A160" s="67" t="s">
        <v>118</v>
      </c>
      <c r="B160" s="68">
        <v>1274475</v>
      </c>
      <c r="C160" s="69">
        <v>4615443489</v>
      </c>
      <c r="D160" s="70">
        <v>19175</v>
      </c>
      <c r="E160" s="67"/>
      <c r="F160" s="68">
        <v>10</v>
      </c>
      <c r="G160" s="68">
        <v>5</v>
      </c>
      <c r="H160" s="75">
        <v>0</v>
      </c>
      <c r="I160" s="68">
        <v>0</v>
      </c>
      <c r="J160" s="71"/>
      <c r="K160" s="71">
        <v>42871</v>
      </c>
      <c r="L160" s="69" t="s">
        <v>80</v>
      </c>
      <c r="M160" s="69" t="s">
        <v>109</v>
      </c>
      <c r="N160" s="72">
        <v>43051</v>
      </c>
      <c r="O160" s="67"/>
      <c r="P160" s="67" t="s">
        <v>95</v>
      </c>
      <c r="Q160" s="67" t="s">
        <v>120</v>
      </c>
      <c r="R160" s="69" t="s">
        <v>69</v>
      </c>
      <c r="S160" s="69" t="s">
        <v>121</v>
      </c>
      <c r="T160" s="67"/>
      <c r="U160" s="67"/>
      <c r="V160" s="72">
        <v>42978</v>
      </c>
      <c r="W160" s="69">
        <v>2028205</v>
      </c>
      <c r="X160" s="69"/>
      <c r="Y160" s="126"/>
      <c r="Z160" s="30">
        <f t="shared" si="4"/>
        <v>4227.3638773950279</v>
      </c>
      <c r="AA160" s="30">
        <f t="shared" si="5"/>
        <v>2113.6819386975139</v>
      </c>
      <c r="AB160" t="s">
        <v>456</v>
      </c>
    </row>
    <row r="161" spans="1:28">
      <c r="A161" s="67" t="s">
        <v>118</v>
      </c>
      <c r="B161" s="68">
        <v>1272704</v>
      </c>
      <c r="C161" s="69">
        <v>4615369612</v>
      </c>
      <c r="D161" s="70">
        <v>19175</v>
      </c>
      <c r="E161" s="67"/>
      <c r="F161" s="68">
        <v>10</v>
      </c>
      <c r="G161" s="68">
        <v>5</v>
      </c>
      <c r="H161" s="68">
        <v>0</v>
      </c>
      <c r="I161" s="68">
        <v>0</v>
      </c>
      <c r="J161" s="71"/>
      <c r="K161" s="71">
        <v>42877</v>
      </c>
      <c r="L161" s="69" t="s">
        <v>80</v>
      </c>
      <c r="M161" s="69" t="s">
        <v>109</v>
      </c>
      <c r="N161" s="72">
        <v>43051</v>
      </c>
      <c r="O161" s="67"/>
      <c r="P161" s="67" t="s">
        <v>95</v>
      </c>
      <c r="Q161" s="67" t="s">
        <v>120</v>
      </c>
      <c r="R161" s="69" t="s">
        <v>69</v>
      </c>
      <c r="S161" s="69" t="s">
        <v>121</v>
      </c>
      <c r="T161" s="67"/>
      <c r="U161" s="67"/>
      <c r="V161" s="72">
        <v>42978</v>
      </c>
      <c r="W161" s="69">
        <v>2021270</v>
      </c>
      <c r="X161" s="69"/>
      <c r="Y161" s="126"/>
      <c r="Z161" s="30">
        <f t="shared" si="4"/>
        <v>4227.3638773950279</v>
      </c>
      <c r="AA161" s="30">
        <f t="shared" si="5"/>
        <v>2113.6819386975139</v>
      </c>
      <c r="AB161" t="s">
        <v>456</v>
      </c>
    </row>
    <row r="162" spans="1:28">
      <c r="A162" s="67" t="s">
        <v>113</v>
      </c>
      <c r="B162" s="68">
        <v>1282988</v>
      </c>
      <c r="C162" s="69">
        <v>4615412749</v>
      </c>
      <c r="D162" s="70">
        <v>20700</v>
      </c>
      <c r="E162" s="67"/>
      <c r="F162" s="68">
        <v>16</v>
      </c>
      <c r="G162" s="68" t="s">
        <v>114</v>
      </c>
      <c r="H162" s="68">
        <v>0</v>
      </c>
      <c r="I162" s="68">
        <v>0</v>
      </c>
      <c r="J162" s="71">
        <v>43002</v>
      </c>
      <c r="K162" s="71">
        <v>42925</v>
      </c>
      <c r="L162" s="69" t="s">
        <v>132</v>
      </c>
      <c r="M162" s="69" t="s">
        <v>109</v>
      </c>
      <c r="N162" s="72">
        <v>43051</v>
      </c>
      <c r="O162" s="67"/>
      <c r="P162" s="67" t="s">
        <v>95</v>
      </c>
      <c r="Q162" s="67" t="s">
        <v>110</v>
      </c>
      <c r="R162" s="69" t="s">
        <v>69</v>
      </c>
      <c r="S162" s="69" t="s">
        <v>115</v>
      </c>
      <c r="T162" s="67"/>
      <c r="U162" s="67"/>
      <c r="V162" s="72">
        <v>43008</v>
      </c>
      <c r="W162" s="69" t="s">
        <v>150</v>
      </c>
      <c r="X162" s="69" t="s">
        <v>117</v>
      </c>
      <c r="Y162" s="126"/>
      <c r="Z162" s="30">
        <f t="shared" si="4"/>
        <v>7301.7101235631453</v>
      </c>
      <c r="AA162" s="30">
        <f t="shared" si="5"/>
        <v>0</v>
      </c>
      <c r="AB162" t="s">
        <v>456</v>
      </c>
    </row>
    <row r="163" spans="1:28">
      <c r="A163" s="67" t="s">
        <v>113</v>
      </c>
      <c r="B163" s="68">
        <v>1282102</v>
      </c>
      <c r="C163" s="69">
        <v>4615478123</v>
      </c>
      <c r="D163" s="70">
        <v>20709</v>
      </c>
      <c r="E163" s="67"/>
      <c r="F163" s="68">
        <v>16</v>
      </c>
      <c r="G163" s="68">
        <v>0</v>
      </c>
      <c r="H163" s="73">
        <v>0</v>
      </c>
      <c r="I163" s="68">
        <v>0</v>
      </c>
      <c r="J163" s="71">
        <v>42995</v>
      </c>
      <c r="K163" s="71">
        <v>42972</v>
      </c>
      <c r="L163" s="69" t="s">
        <v>108</v>
      </c>
      <c r="M163" s="69" t="s">
        <v>109</v>
      </c>
      <c r="N163" s="72">
        <v>43051</v>
      </c>
      <c r="O163" s="67"/>
      <c r="P163" s="67" t="s">
        <v>95</v>
      </c>
      <c r="Q163" s="67" t="s">
        <v>110</v>
      </c>
      <c r="R163" s="69" t="s">
        <v>69</v>
      </c>
      <c r="S163" s="69" t="s">
        <v>115</v>
      </c>
      <c r="T163" s="67"/>
      <c r="U163" s="67"/>
      <c r="V163" s="72">
        <v>43008</v>
      </c>
      <c r="W163" s="69" t="s">
        <v>141</v>
      </c>
      <c r="X163" s="69" t="s">
        <v>117</v>
      </c>
      <c r="Y163" s="126"/>
      <c r="Z163" s="30">
        <f t="shared" si="4"/>
        <v>7304.8847801386073</v>
      </c>
      <c r="AA163" s="30">
        <f t="shared" si="5"/>
        <v>0</v>
      </c>
      <c r="AB163" t="s">
        <v>456</v>
      </c>
    </row>
    <row r="164" spans="1:28">
      <c r="A164" s="67" t="s">
        <v>113</v>
      </c>
      <c r="B164" s="68">
        <v>1282094</v>
      </c>
      <c r="C164" s="69">
        <v>4615478123</v>
      </c>
      <c r="D164" s="70">
        <v>20709</v>
      </c>
      <c r="E164" s="67"/>
      <c r="F164" s="68">
        <v>16</v>
      </c>
      <c r="G164" s="68">
        <v>0</v>
      </c>
      <c r="H164" s="73">
        <v>0</v>
      </c>
      <c r="I164" s="68">
        <v>0</v>
      </c>
      <c r="J164" s="71">
        <v>42995</v>
      </c>
      <c r="K164" s="71">
        <v>42960</v>
      </c>
      <c r="L164" s="69" t="s">
        <v>108</v>
      </c>
      <c r="M164" s="69" t="s">
        <v>109</v>
      </c>
      <c r="N164" s="72">
        <v>43051</v>
      </c>
      <c r="O164" s="67"/>
      <c r="P164" s="67" t="s">
        <v>95</v>
      </c>
      <c r="Q164" s="67" t="s">
        <v>110</v>
      </c>
      <c r="R164" s="69" t="s">
        <v>69</v>
      </c>
      <c r="S164" s="69" t="s">
        <v>115</v>
      </c>
      <c r="T164" s="67"/>
      <c r="U164" s="67"/>
      <c r="V164" s="72">
        <v>43008</v>
      </c>
      <c r="W164" s="69" t="s">
        <v>141</v>
      </c>
      <c r="X164" s="69" t="s">
        <v>117</v>
      </c>
      <c r="Y164" s="126"/>
      <c r="Z164" s="30">
        <f t="shared" si="4"/>
        <v>7304.8847801386073</v>
      </c>
      <c r="AA164" s="30">
        <f t="shared" si="5"/>
        <v>0</v>
      </c>
      <c r="AB164" t="s">
        <v>456</v>
      </c>
    </row>
    <row r="165" spans="1:28">
      <c r="A165" s="67" t="s">
        <v>113</v>
      </c>
      <c r="B165" s="68">
        <v>1277254</v>
      </c>
      <c r="C165" s="69">
        <v>4615400272</v>
      </c>
      <c r="D165" s="70">
        <v>20700</v>
      </c>
      <c r="E165" s="67"/>
      <c r="F165" s="68">
        <v>16</v>
      </c>
      <c r="G165" s="68" t="s">
        <v>114</v>
      </c>
      <c r="H165" s="68">
        <v>0</v>
      </c>
      <c r="I165" s="68">
        <v>0</v>
      </c>
      <c r="J165" s="71">
        <v>42995</v>
      </c>
      <c r="K165" s="71">
        <v>42981</v>
      </c>
      <c r="L165" s="69" t="s">
        <v>108</v>
      </c>
      <c r="M165" s="69" t="s">
        <v>109</v>
      </c>
      <c r="N165" s="72">
        <v>43051</v>
      </c>
      <c r="O165" s="67"/>
      <c r="P165" s="67" t="s">
        <v>95</v>
      </c>
      <c r="Q165" s="67" t="s">
        <v>110</v>
      </c>
      <c r="R165" s="69" t="s">
        <v>69</v>
      </c>
      <c r="S165" s="69" t="s">
        <v>115</v>
      </c>
      <c r="T165" s="67"/>
      <c r="U165" s="67"/>
      <c r="V165" s="72">
        <v>42978</v>
      </c>
      <c r="W165" s="69" t="s">
        <v>147</v>
      </c>
      <c r="X165" s="69" t="s">
        <v>117</v>
      </c>
      <c r="Y165" s="126"/>
      <c r="Z165" s="30">
        <f t="shared" si="4"/>
        <v>7301.7101235631453</v>
      </c>
      <c r="AA165" s="30">
        <f t="shared" si="5"/>
        <v>0</v>
      </c>
      <c r="AB165" t="s">
        <v>456</v>
      </c>
    </row>
    <row r="166" spans="1:28">
      <c r="A166" s="67" t="s">
        <v>113</v>
      </c>
      <c r="B166" s="68">
        <v>1277251</v>
      </c>
      <c r="C166" s="69">
        <v>4615400272</v>
      </c>
      <c r="D166" s="70">
        <v>20700</v>
      </c>
      <c r="E166" s="67"/>
      <c r="F166" s="68">
        <v>16</v>
      </c>
      <c r="G166" s="68" t="s">
        <v>114</v>
      </c>
      <c r="H166" s="68">
        <v>0</v>
      </c>
      <c r="I166" s="68">
        <v>0</v>
      </c>
      <c r="J166" s="71">
        <v>42995</v>
      </c>
      <c r="K166" s="71">
        <v>42953</v>
      </c>
      <c r="L166" s="69" t="s">
        <v>108</v>
      </c>
      <c r="M166" s="69" t="s">
        <v>109</v>
      </c>
      <c r="N166" s="72">
        <v>43051</v>
      </c>
      <c r="O166" s="67"/>
      <c r="P166" s="67" t="s">
        <v>95</v>
      </c>
      <c r="Q166" s="67" t="s">
        <v>110</v>
      </c>
      <c r="R166" s="69" t="s">
        <v>69</v>
      </c>
      <c r="S166" s="69" t="s">
        <v>115</v>
      </c>
      <c r="T166" s="67"/>
      <c r="U166" s="67"/>
      <c r="V166" s="72">
        <v>42978</v>
      </c>
      <c r="W166" s="69" t="s">
        <v>147</v>
      </c>
      <c r="X166" s="69" t="s">
        <v>117</v>
      </c>
      <c r="Y166" s="126"/>
      <c r="Z166" s="30">
        <f t="shared" si="4"/>
        <v>7301.7101235631453</v>
      </c>
      <c r="AA166" s="30">
        <f t="shared" si="5"/>
        <v>0</v>
      </c>
      <c r="AB166" t="s">
        <v>456</v>
      </c>
    </row>
    <row r="167" spans="1:28">
      <c r="A167" s="67" t="s">
        <v>122</v>
      </c>
      <c r="B167" s="68">
        <v>1230982</v>
      </c>
      <c r="C167" s="69">
        <v>4615389582</v>
      </c>
      <c r="D167" s="70">
        <v>19200</v>
      </c>
      <c r="E167" s="67"/>
      <c r="F167" s="68">
        <v>16</v>
      </c>
      <c r="G167" s="68">
        <v>5</v>
      </c>
      <c r="H167" s="73">
        <v>0</v>
      </c>
      <c r="I167" s="68">
        <v>0</v>
      </c>
      <c r="J167" s="71">
        <v>42815</v>
      </c>
      <c r="K167" s="71">
        <v>42965</v>
      </c>
      <c r="L167" s="69" t="s">
        <v>119</v>
      </c>
      <c r="M167" s="69" t="s">
        <v>109</v>
      </c>
      <c r="N167" s="72">
        <v>43051</v>
      </c>
      <c r="O167" s="67"/>
      <c r="P167" s="67" t="s">
        <v>95</v>
      </c>
      <c r="Q167" s="67" t="s">
        <v>120</v>
      </c>
      <c r="R167" s="69" t="s">
        <v>69</v>
      </c>
      <c r="S167" s="69" t="s">
        <v>123</v>
      </c>
      <c r="T167" s="67"/>
      <c r="U167" s="67"/>
      <c r="V167" s="72">
        <v>42825</v>
      </c>
      <c r="W167" s="69">
        <v>2023108</v>
      </c>
      <c r="X167" s="69"/>
      <c r="Y167" s="126"/>
      <c r="Z167" s="30">
        <f t="shared" si="4"/>
        <v>6772.6006943194379</v>
      </c>
      <c r="AA167" s="30">
        <f t="shared" si="5"/>
        <v>2116.4377169748245</v>
      </c>
      <c r="AB167" t="s">
        <v>456</v>
      </c>
    </row>
    <row r="168" spans="1:28">
      <c r="A168" s="67" t="s">
        <v>68</v>
      </c>
      <c r="B168" s="68">
        <v>1257654</v>
      </c>
      <c r="C168" s="69">
        <v>4615413507</v>
      </c>
      <c r="D168" s="70">
        <v>19175</v>
      </c>
      <c r="E168" s="67"/>
      <c r="F168" s="68">
        <v>16</v>
      </c>
      <c r="G168" s="68">
        <v>5</v>
      </c>
      <c r="H168" s="75">
        <v>0</v>
      </c>
      <c r="I168" s="68">
        <v>0</v>
      </c>
      <c r="J168" s="71"/>
      <c r="K168" s="71">
        <v>42989</v>
      </c>
      <c r="L168" s="69" t="s">
        <v>80</v>
      </c>
      <c r="M168" s="69" t="s">
        <v>109</v>
      </c>
      <c r="N168" s="72">
        <v>43051</v>
      </c>
      <c r="O168" s="67"/>
      <c r="P168" s="67" t="s">
        <v>95</v>
      </c>
      <c r="Q168" s="67" t="s">
        <v>125</v>
      </c>
      <c r="R168" s="69" t="s">
        <v>69</v>
      </c>
      <c r="S168" s="69" t="s">
        <v>68</v>
      </c>
      <c r="T168" s="67"/>
      <c r="U168" s="67"/>
      <c r="V168" s="72">
        <v>42916</v>
      </c>
      <c r="W168" s="69">
        <v>5114735</v>
      </c>
      <c r="X168" s="69"/>
      <c r="Y168" s="126"/>
      <c r="Z168" s="30">
        <f t="shared" si="4"/>
        <v>6763.7822038320437</v>
      </c>
      <c r="AA168" s="30">
        <f t="shared" si="5"/>
        <v>2113.6819386975139</v>
      </c>
      <c r="AB168" t="s">
        <v>456</v>
      </c>
    </row>
    <row r="169" spans="1:28">
      <c r="A169" s="67" t="s">
        <v>122</v>
      </c>
      <c r="B169" s="68">
        <v>1252760</v>
      </c>
      <c r="C169" s="69">
        <v>4615407381</v>
      </c>
      <c r="D169" s="70">
        <v>19200</v>
      </c>
      <c r="E169" s="67"/>
      <c r="F169" s="68">
        <v>16</v>
      </c>
      <c r="G169" s="68">
        <v>5</v>
      </c>
      <c r="H169" s="75">
        <v>0</v>
      </c>
      <c r="I169" s="68">
        <v>0</v>
      </c>
      <c r="J169" s="71"/>
      <c r="K169" s="71">
        <v>42989</v>
      </c>
      <c r="L169" s="69" t="s">
        <v>80</v>
      </c>
      <c r="M169" s="69" t="s">
        <v>109</v>
      </c>
      <c r="N169" s="72">
        <v>43051</v>
      </c>
      <c r="O169" s="67"/>
      <c r="P169" s="67" t="s">
        <v>95</v>
      </c>
      <c r="Q169" s="67" t="s">
        <v>120</v>
      </c>
      <c r="R169" s="69" t="s">
        <v>69</v>
      </c>
      <c r="S169" s="69" t="s">
        <v>123</v>
      </c>
      <c r="T169" s="67"/>
      <c r="U169" s="67"/>
      <c r="V169" s="72">
        <v>42947</v>
      </c>
      <c r="W169" s="69">
        <v>2025666</v>
      </c>
      <c r="X169" s="69"/>
      <c r="Y169" s="126"/>
      <c r="Z169" s="30">
        <f t="shared" si="4"/>
        <v>6772.6006943194379</v>
      </c>
      <c r="AA169" s="30">
        <f t="shared" si="5"/>
        <v>2116.4377169748245</v>
      </c>
      <c r="AB169" t="s">
        <v>456</v>
      </c>
    </row>
    <row r="170" spans="1:28">
      <c r="A170" s="67" t="s">
        <v>68</v>
      </c>
      <c r="B170" s="68">
        <v>1257655</v>
      </c>
      <c r="C170" s="69">
        <v>4615413507</v>
      </c>
      <c r="D170" s="70">
        <v>19175</v>
      </c>
      <c r="E170" s="67"/>
      <c r="F170" s="68">
        <v>16</v>
      </c>
      <c r="G170" s="68">
        <v>5</v>
      </c>
      <c r="H170" s="75">
        <v>0</v>
      </c>
      <c r="I170" s="68">
        <v>0</v>
      </c>
      <c r="J170" s="71"/>
      <c r="K170" s="71">
        <v>42977</v>
      </c>
      <c r="L170" s="69" t="s">
        <v>80</v>
      </c>
      <c r="M170" s="69" t="s">
        <v>109</v>
      </c>
      <c r="N170" s="72">
        <v>43051</v>
      </c>
      <c r="O170" s="67"/>
      <c r="P170" s="67" t="s">
        <v>95</v>
      </c>
      <c r="Q170" s="67" t="s">
        <v>125</v>
      </c>
      <c r="R170" s="69" t="s">
        <v>69</v>
      </c>
      <c r="S170" s="69" t="s">
        <v>68</v>
      </c>
      <c r="T170" s="67"/>
      <c r="U170" s="67"/>
      <c r="V170" s="72">
        <v>42916</v>
      </c>
      <c r="W170" s="69">
        <v>5114735</v>
      </c>
      <c r="X170" s="69"/>
      <c r="Y170" s="126"/>
      <c r="Z170" s="30">
        <f t="shared" si="4"/>
        <v>6763.7822038320437</v>
      </c>
      <c r="AA170" s="30">
        <f t="shared" si="5"/>
        <v>2113.6819386975139</v>
      </c>
      <c r="AB170" t="s">
        <v>456</v>
      </c>
    </row>
    <row r="171" spans="1:28">
      <c r="A171" s="67" t="s">
        <v>122</v>
      </c>
      <c r="B171" s="68">
        <v>1256788</v>
      </c>
      <c r="C171" s="69">
        <v>4615414794</v>
      </c>
      <c r="D171" s="70">
        <v>19200</v>
      </c>
      <c r="E171" s="67"/>
      <c r="F171" s="68">
        <v>16</v>
      </c>
      <c r="G171" s="68">
        <v>5</v>
      </c>
      <c r="H171" s="73">
        <v>0</v>
      </c>
      <c r="I171" s="68">
        <v>0</v>
      </c>
      <c r="J171" s="71"/>
      <c r="K171" s="71">
        <v>42957</v>
      </c>
      <c r="L171" s="69" t="s">
        <v>80</v>
      </c>
      <c r="M171" s="69" t="s">
        <v>109</v>
      </c>
      <c r="N171" s="72">
        <v>43051</v>
      </c>
      <c r="O171" s="67"/>
      <c r="P171" s="67" t="s">
        <v>95</v>
      </c>
      <c r="Q171" s="67" t="s">
        <v>120</v>
      </c>
      <c r="R171" s="69" t="s">
        <v>69</v>
      </c>
      <c r="S171" s="69" t="s">
        <v>123</v>
      </c>
      <c r="T171" s="67"/>
      <c r="U171" s="67"/>
      <c r="V171" s="72">
        <v>42947</v>
      </c>
      <c r="W171" s="69">
        <v>2025784</v>
      </c>
      <c r="X171" s="69"/>
      <c r="Y171" s="126"/>
      <c r="Z171" s="30">
        <f t="shared" si="4"/>
        <v>6772.6006943194379</v>
      </c>
      <c r="AA171" s="30">
        <f t="shared" si="5"/>
        <v>2116.4377169748245</v>
      </c>
      <c r="AB171" t="s">
        <v>456</v>
      </c>
    </row>
    <row r="172" spans="1:28">
      <c r="A172" s="67" t="s">
        <v>128</v>
      </c>
      <c r="B172" s="68">
        <v>1281631</v>
      </c>
      <c r="C172" s="69">
        <v>4615450154</v>
      </c>
      <c r="D172" s="70">
        <v>19175</v>
      </c>
      <c r="E172" s="67"/>
      <c r="F172" s="73">
        <v>154.32</v>
      </c>
      <c r="G172" s="73">
        <v>0</v>
      </c>
      <c r="H172" s="68">
        <v>0</v>
      </c>
      <c r="I172" s="68">
        <v>0</v>
      </c>
      <c r="J172" s="71">
        <v>42983</v>
      </c>
      <c r="K172" s="71">
        <v>42953</v>
      </c>
      <c r="L172" s="69" t="s">
        <v>119</v>
      </c>
      <c r="M172" s="69" t="s">
        <v>109</v>
      </c>
      <c r="N172" s="72">
        <v>43048</v>
      </c>
      <c r="O172" s="67"/>
      <c r="P172" s="67" t="s">
        <v>95</v>
      </c>
      <c r="Q172" s="67" t="s">
        <v>129</v>
      </c>
      <c r="R172" s="69" t="s">
        <v>69</v>
      </c>
      <c r="S172" s="69" t="s">
        <v>130</v>
      </c>
      <c r="T172" s="67"/>
      <c r="U172" s="67"/>
      <c r="V172" s="72">
        <v>42978</v>
      </c>
      <c r="W172" s="69">
        <v>425570017</v>
      </c>
      <c r="X172" s="69"/>
      <c r="Y172" s="126"/>
      <c r="Z172" s="30">
        <f t="shared" si="4"/>
        <v>65236.679355960063</v>
      </c>
      <c r="AA172" s="30">
        <f t="shared" si="5"/>
        <v>0</v>
      </c>
      <c r="AB172" t="s">
        <v>456</v>
      </c>
    </row>
    <row r="173" spans="1:28">
      <c r="A173" s="67" t="s">
        <v>118</v>
      </c>
      <c r="B173" s="68">
        <v>1272708</v>
      </c>
      <c r="C173" s="69">
        <v>4615369612</v>
      </c>
      <c r="D173" s="70">
        <v>19175</v>
      </c>
      <c r="E173" s="67"/>
      <c r="F173" s="68">
        <v>10</v>
      </c>
      <c r="G173" s="68">
        <v>5</v>
      </c>
      <c r="H173" s="68">
        <v>0</v>
      </c>
      <c r="I173" s="68">
        <v>0</v>
      </c>
      <c r="J173" s="71"/>
      <c r="K173" s="71">
        <v>42989</v>
      </c>
      <c r="L173" s="69" t="s">
        <v>80</v>
      </c>
      <c r="M173" s="69" t="s">
        <v>109</v>
      </c>
      <c r="N173" s="72">
        <v>43048</v>
      </c>
      <c r="O173" s="67"/>
      <c r="P173" s="67" t="s">
        <v>95</v>
      </c>
      <c r="Q173" s="67" t="s">
        <v>120</v>
      </c>
      <c r="R173" s="69" t="s">
        <v>69</v>
      </c>
      <c r="S173" s="69" t="s">
        <v>121</v>
      </c>
      <c r="T173" s="67"/>
      <c r="U173" s="67"/>
      <c r="V173" s="72">
        <v>42978</v>
      </c>
      <c r="W173" s="69">
        <v>2021270</v>
      </c>
      <c r="X173" s="69"/>
      <c r="Y173" s="126"/>
      <c r="Z173" s="30">
        <f t="shared" si="4"/>
        <v>4227.3638773950279</v>
      </c>
      <c r="AA173" s="30">
        <f t="shared" si="5"/>
        <v>2113.6819386975139</v>
      </c>
      <c r="AB173" t="s">
        <v>456</v>
      </c>
    </row>
    <row r="174" spans="1:28">
      <c r="A174" s="67" t="s">
        <v>122</v>
      </c>
      <c r="B174" s="68">
        <v>1256789</v>
      </c>
      <c r="C174" s="69">
        <v>4615414794</v>
      </c>
      <c r="D174" s="70">
        <v>19200</v>
      </c>
      <c r="E174" s="67"/>
      <c r="F174" s="68">
        <v>16</v>
      </c>
      <c r="G174" s="68">
        <v>5</v>
      </c>
      <c r="H174" s="73">
        <v>0</v>
      </c>
      <c r="I174" s="68">
        <v>0</v>
      </c>
      <c r="J174" s="71"/>
      <c r="K174" s="71">
        <v>42989</v>
      </c>
      <c r="L174" s="69" t="s">
        <v>80</v>
      </c>
      <c r="M174" s="69" t="s">
        <v>109</v>
      </c>
      <c r="N174" s="72">
        <v>43048</v>
      </c>
      <c r="O174" s="67"/>
      <c r="P174" s="67" t="s">
        <v>95</v>
      </c>
      <c r="Q174" s="67" t="s">
        <v>120</v>
      </c>
      <c r="R174" s="69" t="s">
        <v>69</v>
      </c>
      <c r="S174" s="69" t="s">
        <v>123</v>
      </c>
      <c r="T174" s="67"/>
      <c r="U174" s="67"/>
      <c r="V174" s="72">
        <v>42947</v>
      </c>
      <c r="W174" s="69">
        <v>2025784</v>
      </c>
      <c r="X174" s="69"/>
      <c r="Y174" s="126"/>
      <c r="Z174" s="30">
        <f t="shared" si="4"/>
        <v>6772.6006943194379</v>
      </c>
      <c r="AA174" s="30">
        <f t="shared" si="5"/>
        <v>2116.4377169748245</v>
      </c>
      <c r="AB174" t="s">
        <v>456</v>
      </c>
    </row>
    <row r="175" spans="1:28">
      <c r="A175" s="67" t="s">
        <v>113</v>
      </c>
      <c r="B175" s="68">
        <v>1277259</v>
      </c>
      <c r="C175" s="69">
        <v>4615400272</v>
      </c>
      <c r="D175" s="70">
        <v>20700</v>
      </c>
      <c r="E175" s="67"/>
      <c r="F175" s="68">
        <v>16</v>
      </c>
      <c r="G175" s="68" t="s">
        <v>114</v>
      </c>
      <c r="H175" s="68">
        <v>0</v>
      </c>
      <c r="I175" s="68">
        <v>0</v>
      </c>
      <c r="J175" s="71">
        <v>42995</v>
      </c>
      <c r="K175" s="71">
        <v>42975</v>
      </c>
      <c r="L175" s="69" t="s">
        <v>108</v>
      </c>
      <c r="M175" s="69" t="s">
        <v>109</v>
      </c>
      <c r="N175" s="72">
        <v>43048</v>
      </c>
      <c r="O175" s="67"/>
      <c r="P175" s="67" t="s">
        <v>95</v>
      </c>
      <c r="Q175" s="67" t="s">
        <v>110</v>
      </c>
      <c r="R175" s="69" t="s">
        <v>69</v>
      </c>
      <c r="S175" s="69" t="s">
        <v>115</v>
      </c>
      <c r="T175" s="67"/>
      <c r="U175" s="67"/>
      <c r="V175" s="72">
        <v>42978</v>
      </c>
      <c r="W175" s="69" t="s">
        <v>147</v>
      </c>
      <c r="X175" s="69" t="s">
        <v>117</v>
      </c>
      <c r="Y175" s="126"/>
      <c r="Z175" s="30">
        <f t="shared" si="4"/>
        <v>7301.7101235631453</v>
      </c>
      <c r="AA175" s="30">
        <f t="shared" si="5"/>
        <v>0</v>
      </c>
      <c r="AB175" t="s">
        <v>456</v>
      </c>
    </row>
    <row r="176" spans="1:28">
      <c r="A176" s="67" t="s">
        <v>118</v>
      </c>
      <c r="B176" s="68">
        <v>1272705</v>
      </c>
      <c r="C176" s="69">
        <v>4615369612</v>
      </c>
      <c r="D176" s="70">
        <v>19175</v>
      </c>
      <c r="E176" s="67"/>
      <c r="F176" s="68">
        <v>10</v>
      </c>
      <c r="G176" s="68">
        <v>5</v>
      </c>
      <c r="H176" s="68">
        <v>0</v>
      </c>
      <c r="I176" s="68">
        <v>0</v>
      </c>
      <c r="J176" s="71"/>
      <c r="K176" s="71">
        <v>42876</v>
      </c>
      <c r="L176" s="69" t="s">
        <v>80</v>
      </c>
      <c r="M176" s="69" t="s">
        <v>109</v>
      </c>
      <c r="N176" s="72">
        <v>43047</v>
      </c>
      <c r="O176" s="67"/>
      <c r="P176" s="67" t="s">
        <v>95</v>
      </c>
      <c r="Q176" s="67" t="s">
        <v>120</v>
      </c>
      <c r="R176" s="69" t="s">
        <v>69</v>
      </c>
      <c r="S176" s="69" t="s">
        <v>121</v>
      </c>
      <c r="T176" s="67"/>
      <c r="U176" s="67"/>
      <c r="V176" s="72">
        <v>42978</v>
      </c>
      <c r="W176" s="69">
        <v>2021270</v>
      </c>
      <c r="X176" s="69"/>
      <c r="Y176" s="126"/>
      <c r="Z176" s="30">
        <f t="shared" si="4"/>
        <v>4227.3638773950279</v>
      </c>
      <c r="AA176" s="30">
        <f t="shared" si="5"/>
        <v>2113.6819386975139</v>
      </c>
      <c r="AB176" t="s">
        <v>456</v>
      </c>
    </row>
    <row r="177" spans="1:28">
      <c r="A177" s="67" t="s">
        <v>113</v>
      </c>
      <c r="B177" s="68">
        <v>1275485</v>
      </c>
      <c r="C177" s="69">
        <v>4615478108</v>
      </c>
      <c r="D177" s="70">
        <v>20700</v>
      </c>
      <c r="E177" s="67"/>
      <c r="F177" s="68">
        <v>16</v>
      </c>
      <c r="G177" s="68">
        <v>5</v>
      </c>
      <c r="H177" s="73">
        <v>0</v>
      </c>
      <c r="I177" s="68">
        <v>0</v>
      </c>
      <c r="J177" s="71">
        <v>42979</v>
      </c>
      <c r="K177" s="71">
        <v>42960</v>
      </c>
      <c r="L177" s="69" t="s">
        <v>108</v>
      </c>
      <c r="M177" s="69" t="s">
        <v>109</v>
      </c>
      <c r="N177" s="72">
        <v>43047</v>
      </c>
      <c r="O177" s="67"/>
      <c r="P177" s="67" t="s">
        <v>95</v>
      </c>
      <c r="Q177" s="67" t="s">
        <v>110</v>
      </c>
      <c r="R177" s="69" t="s">
        <v>69</v>
      </c>
      <c r="S177" s="69" t="s">
        <v>115</v>
      </c>
      <c r="T177" s="67"/>
      <c r="U177" s="67"/>
      <c r="V177" s="72">
        <v>42978</v>
      </c>
      <c r="W177" s="69" t="s">
        <v>151</v>
      </c>
      <c r="X177" s="69" t="s">
        <v>117</v>
      </c>
      <c r="Y177" s="126"/>
      <c r="Z177" s="30">
        <f t="shared" si="4"/>
        <v>7301.7101235631453</v>
      </c>
      <c r="AA177" s="30">
        <f t="shared" si="5"/>
        <v>2281.7844136134831</v>
      </c>
      <c r="AB177" t="s">
        <v>456</v>
      </c>
    </row>
    <row r="178" spans="1:28">
      <c r="A178" s="67" t="s">
        <v>68</v>
      </c>
      <c r="B178" s="68">
        <v>1257652</v>
      </c>
      <c r="C178" s="69">
        <v>4615413507</v>
      </c>
      <c r="D178" s="70">
        <v>19175</v>
      </c>
      <c r="E178" s="67"/>
      <c r="F178" s="68">
        <v>16</v>
      </c>
      <c r="G178" s="68">
        <v>5</v>
      </c>
      <c r="H178" s="75">
        <v>0</v>
      </c>
      <c r="I178" s="68">
        <v>0</v>
      </c>
      <c r="J178" s="71"/>
      <c r="K178" s="71">
        <v>42855</v>
      </c>
      <c r="L178" s="69" t="s">
        <v>80</v>
      </c>
      <c r="M178" s="69" t="s">
        <v>109</v>
      </c>
      <c r="N178" s="72">
        <v>43047</v>
      </c>
      <c r="O178" s="67"/>
      <c r="P178" s="67" t="s">
        <v>95</v>
      </c>
      <c r="Q178" s="67" t="s">
        <v>125</v>
      </c>
      <c r="R178" s="69" t="s">
        <v>69</v>
      </c>
      <c r="S178" s="69" t="s">
        <v>68</v>
      </c>
      <c r="T178" s="67"/>
      <c r="U178" s="67"/>
      <c r="V178" s="72">
        <v>42916</v>
      </c>
      <c r="W178" s="69">
        <v>5114735</v>
      </c>
      <c r="X178" s="69"/>
      <c r="Y178" s="126"/>
      <c r="Z178" s="30">
        <f t="shared" si="4"/>
        <v>6763.7822038320437</v>
      </c>
      <c r="AA178" s="30">
        <f t="shared" si="5"/>
        <v>2113.6819386975139</v>
      </c>
      <c r="AB178" t="s">
        <v>456</v>
      </c>
    </row>
    <row r="179" spans="1:28">
      <c r="A179" s="67" t="s">
        <v>68</v>
      </c>
      <c r="B179" s="68">
        <v>1248704</v>
      </c>
      <c r="C179" s="69">
        <v>4615416117</v>
      </c>
      <c r="D179" s="70">
        <v>19175</v>
      </c>
      <c r="E179" s="67"/>
      <c r="F179" s="68">
        <v>16</v>
      </c>
      <c r="G179" s="68">
        <v>5</v>
      </c>
      <c r="H179" s="73">
        <v>0</v>
      </c>
      <c r="I179" s="68">
        <v>0</v>
      </c>
      <c r="J179" s="71"/>
      <c r="K179" s="71">
        <v>42812</v>
      </c>
      <c r="L179" s="69" t="s">
        <v>80</v>
      </c>
      <c r="M179" s="69" t="s">
        <v>109</v>
      </c>
      <c r="N179" s="72">
        <v>43047</v>
      </c>
      <c r="O179" s="67"/>
      <c r="P179" s="67" t="s">
        <v>95</v>
      </c>
      <c r="Q179" s="67" t="s">
        <v>125</v>
      </c>
      <c r="R179" s="69" t="s">
        <v>69</v>
      </c>
      <c r="S179" s="69" t="s">
        <v>68</v>
      </c>
      <c r="T179" s="67"/>
      <c r="U179" s="67"/>
      <c r="V179" s="72">
        <v>42886</v>
      </c>
      <c r="W179" s="69">
        <v>5114734</v>
      </c>
      <c r="X179" s="69" t="s">
        <v>148</v>
      </c>
      <c r="Y179" s="126"/>
      <c r="Z179" s="30">
        <f t="shared" si="4"/>
        <v>6763.7822038320437</v>
      </c>
      <c r="AA179" s="30">
        <f t="shared" si="5"/>
        <v>2113.6819386975139</v>
      </c>
      <c r="AB179" t="s">
        <v>456</v>
      </c>
    </row>
    <row r="180" spans="1:28">
      <c r="A180" s="67" t="s">
        <v>107</v>
      </c>
      <c r="B180" s="68">
        <v>1274485</v>
      </c>
      <c r="C180" s="69">
        <v>4615445906</v>
      </c>
      <c r="D180" s="70">
        <v>19200</v>
      </c>
      <c r="E180" s="67"/>
      <c r="F180" s="68">
        <v>154.32</v>
      </c>
      <c r="G180" s="68">
        <v>0</v>
      </c>
      <c r="H180" s="68">
        <v>0</v>
      </c>
      <c r="I180" s="68">
        <v>0</v>
      </c>
      <c r="J180" s="71">
        <v>42982</v>
      </c>
      <c r="K180" s="71">
        <v>42977</v>
      </c>
      <c r="L180" s="69" t="s">
        <v>119</v>
      </c>
      <c r="M180" s="69" t="s">
        <v>109</v>
      </c>
      <c r="N180" s="72">
        <v>43046</v>
      </c>
      <c r="O180" s="67"/>
      <c r="P180" s="67" t="s">
        <v>95</v>
      </c>
      <c r="Q180" s="67" t="s">
        <v>110</v>
      </c>
      <c r="R180" s="69" t="s">
        <v>69</v>
      </c>
      <c r="S180" s="69" t="s">
        <v>111</v>
      </c>
      <c r="T180" s="67"/>
      <c r="U180" s="67"/>
      <c r="V180" s="72">
        <v>43008</v>
      </c>
      <c r="W180" s="69" t="s">
        <v>152</v>
      </c>
      <c r="X180" s="69"/>
      <c r="Y180" s="126"/>
      <c r="Z180" s="30">
        <f t="shared" si="4"/>
        <v>65321.73369671098</v>
      </c>
      <c r="AA180" s="30">
        <f t="shared" si="5"/>
        <v>0</v>
      </c>
      <c r="AB180" t="s">
        <v>456</v>
      </c>
    </row>
    <row r="181" spans="1:28">
      <c r="A181" s="67" t="s">
        <v>118</v>
      </c>
      <c r="B181" s="68">
        <v>1272706</v>
      </c>
      <c r="C181" s="69">
        <v>4615369612</v>
      </c>
      <c r="D181" s="70">
        <v>19175</v>
      </c>
      <c r="E181" s="67"/>
      <c r="F181" s="68">
        <v>10</v>
      </c>
      <c r="G181" s="68">
        <v>5</v>
      </c>
      <c r="H181" s="68">
        <v>0</v>
      </c>
      <c r="I181" s="68">
        <v>0</v>
      </c>
      <c r="J181" s="71"/>
      <c r="K181" s="71">
        <v>42962</v>
      </c>
      <c r="L181" s="69" t="s">
        <v>80</v>
      </c>
      <c r="M181" s="69" t="s">
        <v>109</v>
      </c>
      <c r="N181" s="72">
        <v>43046</v>
      </c>
      <c r="O181" s="67"/>
      <c r="P181" s="67" t="s">
        <v>95</v>
      </c>
      <c r="Q181" s="67" t="s">
        <v>120</v>
      </c>
      <c r="R181" s="69" t="s">
        <v>69</v>
      </c>
      <c r="S181" s="69" t="s">
        <v>121</v>
      </c>
      <c r="T181" s="67"/>
      <c r="U181" s="67"/>
      <c r="V181" s="72">
        <v>42978</v>
      </c>
      <c r="W181" s="69">
        <v>2021270</v>
      </c>
      <c r="X181" s="69"/>
      <c r="Y181" s="126"/>
      <c r="Z181" s="30">
        <f t="shared" si="4"/>
        <v>4227.3638773950279</v>
      </c>
      <c r="AA181" s="30">
        <f t="shared" si="5"/>
        <v>2113.6819386975139</v>
      </c>
      <c r="AB181" t="s">
        <v>456</v>
      </c>
    </row>
    <row r="182" spans="1:28">
      <c r="A182" s="67" t="s">
        <v>113</v>
      </c>
      <c r="B182" s="68">
        <v>1275490</v>
      </c>
      <c r="C182" s="69">
        <v>4615478108</v>
      </c>
      <c r="D182" s="70">
        <v>20700</v>
      </c>
      <c r="E182" s="67"/>
      <c r="F182" s="68">
        <v>16</v>
      </c>
      <c r="G182" s="68">
        <v>5</v>
      </c>
      <c r="H182" s="73">
        <v>0</v>
      </c>
      <c r="I182" s="68">
        <v>0</v>
      </c>
      <c r="J182" s="71">
        <v>42979</v>
      </c>
      <c r="K182" s="71">
        <v>42965</v>
      </c>
      <c r="L182" s="69" t="s">
        <v>108</v>
      </c>
      <c r="M182" s="69" t="s">
        <v>109</v>
      </c>
      <c r="N182" s="72">
        <v>43046</v>
      </c>
      <c r="O182" s="67"/>
      <c r="P182" s="67" t="s">
        <v>95</v>
      </c>
      <c r="Q182" s="67" t="s">
        <v>110</v>
      </c>
      <c r="R182" s="69" t="s">
        <v>69</v>
      </c>
      <c r="S182" s="69" t="s">
        <v>115</v>
      </c>
      <c r="T182" s="67"/>
      <c r="U182" s="67"/>
      <c r="V182" s="72">
        <v>42978</v>
      </c>
      <c r="W182" s="69" t="s">
        <v>151</v>
      </c>
      <c r="X182" s="69" t="s">
        <v>117</v>
      </c>
      <c r="Y182" s="126"/>
      <c r="Z182" s="30">
        <f t="shared" si="4"/>
        <v>7301.7101235631453</v>
      </c>
      <c r="AA182" s="30">
        <f t="shared" si="5"/>
        <v>2281.7844136134831</v>
      </c>
      <c r="AB182" t="s">
        <v>456</v>
      </c>
    </row>
    <row r="183" spans="1:28">
      <c r="A183" s="67" t="s">
        <v>113</v>
      </c>
      <c r="B183" s="68">
        <v>1282987</v>
      </c>
      <c r="C183" s="69">
        <v>4615412749</v>
      </c>
      <c r="D183" s="70">
        <v>20700</v>
      </c>
      <c r="E183" s="67"/>
      <c r="F183" s="68">
        <v>16</v>
      </c>
      <c r="G183" s="68" t="s">
        <v>114</v>
      </c>
      <c r="H183" s="68">
        <v>0</v>
      </c>
      <c r="I183" s="68">
        <v>0</v>
      </c>
      <c r="J183" s="71">
        <v>43002</v>
      </c>
      <c r="K183" s="71">
        <v>42879</v>
      </c>
      <c r="L183" s="69" t="s">
        <v>132</v>
      </c>
      <c r="M183" s="69" t="s">
        <v>109</v>
      </c>
      <c r="N183" s="72">
        <v>43045</v>
      </c>
      <c r="O183" s="67"/>
      <c r="P183" s="67" t="s">
        <v>95</v>
      </c>
      <c r="Q183" s="67" t="s">
        <v>110</v>
      </c>
      <c r="R183" s="69" t="s">
        <v>69</v>
      </c>
      <c r="S183" s="69" t="s">
        <v>115</v>
      </c>
      <c r="T183" s="67"/>
      <c r="U183" s="67"/>
      <c r="V183" s="72">
        <v>43008</v>
      </c>
      <c r="W183" s="69" t="s">
        <v>150</v>
      </c>
      <c r="X183" s="69" t="s">
        <v>117</v>
      </c>
      <c r="Y183" s="126"/>
      <c r="Z183" s="30">
        <f t="shared" si="4"/>
        <v>7301.7101235631453</v>
      </c>
      <c r="AA183" s="30">
        <f t="shared" si="5"/>
        <v>0</v>
      </c>
      <c r="AB183" t="s">
        <v>456</v>
      </c>
    </row>
    <row r="184" spans="1:28">
      <c r="A184" s="67" t="s">
        <v>113</v>
      </c>
      <c r="B184" s="68">
        <v>1282983</v>
      </c>
      <c r="C184" s="69">
        <v>4615412749</v>
      </c>
      <c r="D184" s="70">
        <v>20700</v>
      </c>
      <c r="E184" s="67"/>
      <c r="F184" s="68">
        <v>16</v>
      </c>
      <c r="G184" s="68" t="s">
        <v>114</v>
      </c>
      <c r="H184" s="68">
        <v>0</v>
      </c>
      <c r="I184" s="68">
        <v>0</v>
      </c>
      <c r="J184" s="71">
        <v>43002</v>
      </c>
      <c r="K184" s="71">
        <v>42961</v>
      </c>
      <c r="L184" s="69" t="s">
        <v>132</v>
      </c>
      <c r="M184" s="69" t="s">
        <v>109</v>
      </c>
      <c r="N184" s="72">
        <v>43045</v>
      </c>
      <c r="O184" s="67"/>
      <c r="P184" s="67" t="s">
        <v>95</v>
      </c>
      <c r="Q184" s="67" t="s">
        <v>110</v>
      </c>
      <c r="R184" s="69" t="s">
        <v>69</v>
      </c>
      <c r="S184" s="69" t="s">
        <v>115</v>
      </c>
      <c r="T184" s="67"/>
      <c r="U184" s="67"/>
      <c r="V184" s="72">
        <v>43008</v>
      </c>
      <c r="W184" s="69" t="s">
        <v>150</v>
      </c>
      <c r="X184" s="69" t="s">
        <v>117</v>
      </c>
      <c r="Y184" s="126"/>
      <c r="Z184" s="30">
        <f t="shared" si="4"/>
        <v>7301.7101235631453</v>
      </c>
      <c r="AA184" s="30">
        <f t="shared" si="5"/>
        <v>0</v>
      </c>
      <c r="AB184" t="s">
        <v>456</v>
      </c>
    </row>
    <row r="185" spans="1:28">
      <c r="A185" s="67" t="s">
        <v>113</v>
      </c>
      <c r="B185" s="68">
        <v>1275486</v>
      </c>
      <c r="C185" s="69">
        <v>4615478108</v>
      </c>
      <c r="D185" s="70">
        <v>20700</v>
      </c>
      <c r="E185" s="67"/>
      <c r="F185" s="68">
        <v>16</v>
      </c>
      <c r="G185" s="68">
        <v>5</v>
      </c>
      <c r="H185" s="73">
        <v>0</v>
      </c>
      <c r="I185" s="68">
        <v>0</v>
      </c>
      <c r="J185" s="71">
        <v>42979</v>
      </c>
      <c r="K185" s="71">
        <v>42976</v>
      </c>
      <c r="L185" s="69" t="s">
        <v>108</v>
      </c>
      <c r="M185" s="69" t="s">
        <v>109</v>
      </c>
      <c r="N185" s="72">
        <v>43045</v>
      </c>
      <c r="O185" s="67"/>
      <c r="P185" s="67" t="s">
        <v>95</v>
      </c>
      <c r="Q185" s="67" t="s">
        <v>110</v>
      </c>
      <c r="R185" s="69" t="s">
        <v>69</v>
      </c>
      <c r="S185" s="69" t="s">
        <v>115</v>
      </c>
      <c r="T185" s="67"/>
      <c r="U185" s="67"/>
      <c r="V185" s="72">
        <v>42978</v>
      </c>
      <c r="W185" s="69" t="s">
        <v>151</v>
      </c>
      <c r="X185" s="69" t="s">
        <v>117</v>
      </c>
      <c r="Y185" s="126"/>
      <c r="Z185" s="30">
        <f t="shared" si="4"/>
        <v>7301.7101235631453</v>
      </c>
      <c r="AA185" s="30">
        <f t="shared" si="5"/>
        <v>2281.7844136134831</v>
      </c>
      <c r="AB185" t="s">
        <v>456</v>
      </c>
    </row>
    <row r="186" spans="1:28">
      <c r="A186" s="67" t="s">
        <v>118</v>
      </c>
      <c r="B186" s="68">
        <v>1268054</v>
      </c>
      <c r="C186" s="69">
        <v>4615416358</v>
      </c>
      <c r="D186" s="70">
        <v>19175</v>
      </c>
      <c r="E186" s="67"/>
      <c r="F186" s="73">
        <v>10</v>
      </c>
      <c r="G186" s="73" t="s">
        <v>114</v>
      </c>
      <c r="H186" s="75">
        <v>0</v>
      </c>
      <c r="I186" s="68">
        <v>0</v>
      </c>
      <c r="J186" s="71"/>
      <c r="K186" s="71">
        <v>42968</v>
      </c>
      <c r="L186" s="69" t="s">
        <v>80</v>
      </c>
      <c r="M186" s="69" t="s">
        <v>109</v>
      </c>
      <c r="N186" s="72">
        <v>43045</v>
      </c>
      <c r="O186" s="67"/>
      <c r="P186" s="67" t="s">
        <v>95</v>
      </c>
      <c r="Q186" s="67" t="s">
        <v>120</v>
      </c>
      <c r="R186" s="69" t="s">
        <v>69</v>
      </c>
      <c r="S186" s="69" t="s">
        <v>121</v>
      </c>
      <c r="T186" s="67"/>
      <c r="U186" s="67"/>
      <c r="V186" s="72">
        <v>42978</v>
      </c>
      <c r="W186" s="69">
        <v>2026349</v>
      </c>
      <c r="X186" s="69"/>
      <c r="Y186" s="126"/>
      <c r="Z186" s="30">
        <f t="shared" si="4"/>
        <v>4227.3638773950279</v>
      </c>
      <c r="AA186" s="30">
        <f t="shared" si="5"/>
        <v>0</v>
      </c>
      <c r="AB186" t="s">
        <v>456</v>
      </c>
    </row>
    <row r="187" spans="1:28">
      <c r="A187" s="67" t="s">
        <v>122</v>
      </c>
      <c r="B187" s="68">
        <v>1274444</v>
      </c>
      <c r="C187" s="69">
        <v>4615411816</v>
      </c>
      <c r="D187" s="70">
        <v>19200</v>
      </c>
      <c r="E187" s="67"/>
      <c r="F187" s="68">
        <v>16</v>
      </c>
      <c r="G187" s="68">
        <v>5</v>
      </c>
      <c r="H187" s="73">
        <v>0</v>
      </c>
      <c r="I187" s="68">
        <v>0</v>
      </c>
      <c r="J187" s="71"/>
      <c r="K187" s="71">
        <v>42968</v>
      </c>
      <c r="L187" s="69" t="s">
        <v>80</v>
      </c>
      <c r="M187" s="69" t="s">
        <v>109</v>
      </c>
      <c r="N187" s="72">
        <v>43045</v>
      </c>
      <c r="O187" s="67"/>
      <c r="P187" s="67" t="s">
        <v>95</v>
      </c>
      <c r="Q187" s="67" t="s">
        <v>120</v>
      </c>
      <c r="R187" s="69" t="s">
        <v>69</v>
      </c>
      <c r="S187" s="69" t="s">
        <v>123</v>
      </c>
      <c r="T187" s="67"/>
      <c r="U187" s="67"/>
      <c r="V187" s="72">
        <v>42978</v>
      </c>
      <c r="W187" s="69">
        <v>2025768</v>
      </c>
      <c r="X187" s="69"/>
      <c r="Y187" s="126"/>
      <c r="Z187" s="30">
        <f t="shared" si="4"/>
        <v>6772.6006943194379</v>
      </c>
      <c r="AA187" s="30">
        <f t="shared" si="5"/>
        <v>2116.4377169748245</v>
      </c>
      <c r="AB187" t="s">
        <v>456</v>
      </c>
    </row>
    <row r="188" spans="1:28">
      <c r="A188" s="67" t="s">
        <v>122</v>
      </c>
      <c r="B188" s="68">
        <v>1274442</v>
      </c>
      <c r="C188" s="69">
        <v>4615411816</v>
      </c>
      <c r="D188" s="70">
        <v>19200</v>
      </c>
      <c r="E188" s="67"/>
      <c r="F188" s="68">
        <v>16</v>
      </c>
      <c r="G188" s="68">
        <v>5</v>
      </c>
      <c r="H188" s="73">
        <v>0</v>
      </c>
      <c r="I188" s="68">
        <v>0</v>
      </c>
      <c r="J188" s="71"/>
      <c r="K188" s="71">
        <v>42960</v>
      </c>
      <c r="L188" s="69" t="s">
        <v>80</v>
      </c>
      <c r="M188" s="69" t="s">
        <v>109</v>
      </c>
      <c r="N188" s="72">
        <v>43045</v>
      </c>
      <c r="O188" s="67"/>
      <c r="P188" s="67" t="s">
        <v>95</v>
      </c>
      <c r="Q188" s="67" t="s">
        <v>120</v>
      </c>
      <c r="R188" s="69" t="s">
        <v>69</v>
      </c>
      <c r="S188" s="69" t="s">
        <v>123</v>
      </c>
      <c r="T188" s="67"/>
      <c r="U188" s="67"/>
      <c r="V188" s="72">
        <v>42978</v>
      </c>
      <c r="W188" s="69">
        <v>2025768</v>
      </c>
      <c r="X188" s="69"/>
      <c r="Y188" s="126"/>
      <c r="Z188" s="30">
        <f t="shared" si="4"/>
        <v>6772.6006943194379</v>
      </c>
      <c r="AA188" s="30">
        <f t="shared" si="5"/>
        <v>2116.4377169748245</v>
      </c>
      <c r="AB188" t="s">
        <v>456</v>
      </c>
    </row>
    <row r="189" spans="1:28">
      <c r="A189" s="67" t="s">
        <v>113</v>
      </c>
      <c r="B189" s="68">
        <v>1282945</v>
      </c>
      <c r="C189" s="69">
        <v>4615497665</v>
      </c>
      <c r="D189" s="70">
        <v>20700</v>
      </c>
      <c r="E189" s="67"/>
      <c r="F189" s="73">
        <v>16</v>
      </c>
      <c r="G189" s="73">
        <v>5</v>
      </c>
      <c r="H189" s="75">
        <v>0</v>
      </c>
      <c r="I189" s="68">
        <v>0</v>
      </c>
      <c r="J189" s="71">
        <v>42982</v>
      </c>
      <c r="K189" s="71">
        <v>42822</v>
      </c>
      <c r="L189" s="69" t="s">
        <v>108</v>
      </c>
      <c r="M189" s="69" t="s">
        <v>109</v>
      </c>
      <c r="N189" s="72">
        <v>43044</v>
      </c>
      <c r="O189" s="67"/>
      <c r="P189" s="67" t="s">
        <v>95</v>
      </c>
      <c r="Q189" s="67" t="s">
        <v>110</v>
      </c>
      <c r="R189" s="69" t="s">
        <v>69</v>
      </c>
      <c r="S189" s="69" t="s">
        <v>115</v>
      </c>
      <c r="T189" s="67"/>
      <c r="U189" s="67"/>
      <c r="V189" s="72">
        <v>43008</v>
      </c>
      <c r="W189" s="69" t="s">
        <v>153</v>
      </c>
      <c r="X189" s="69" t="s">
        <v>154</v>
      </c>
      <c r="Y189" s="126"/>
      <c r="Z189" s="30">
        <f t="shared" si="4"/>
        <v>7301.7101235631453</v>
      </c>
      <c r="AA189" s="30">
        <f t="shared" si="5"/>
        <v>2281.7844136134831</v>
      </c>
      <c r="AB189" t="s">
        <v>456</v>
      </c>
    </row>
    <row r="190" spans="1:28">
      <c r="A190" s="67" t="s">
        <v>107</v>
      </c>
      <c r="B190" s="68">
        <v>1274487</v>
      </c>
      <c r="C190" s="69">
        <v>4615445906</v>
      </c>
      <c r="D190" s="70">
        <v>19200</v>
      </c>
      <c r="E190" s="67"/>
      <c r="F190" s="73">
        <v>154.32</v>
      </c>
      <c r="G190" s="73">
        <v>0</v>
      </c>
      <c r="H190" s="75">
        <v>0</v>
      </c>
      <c r="I190" s="68">
        <v>0</v>
      </c>
      <c r="J190" s="71">
        <v>42982</v>
      </c>
      <c r="K190" s="71">
        <v>42976</v>
      </c>
      <c r="L190" s="69" t="s">
        <v>119</v>
      </c>
      <c r="M190" s="69" t="s">
        <v>109</v>
      </c>
      <c r="N190" s="72">
        <v>43044</v>
      </c>
      <c r="O190" s="67"/>
      <c r="P190" s="67" t="s">
        <v>95</v>
      </c>
      <c r="Q190" s="67" t="s">
        <v>110</v>
      </c>
      <c r="R190" s="69" t="s">
        <v>69</v>
      </c>
      <c r="S190" s="69" t="s">
        <v>111</v>
      </c>
      <c r="T190" s="67"/>
      <c r="U190" s="67"/>
      <c r="V190" s="72">
        <v>43008</v>
      </c>
      <c r="W190" s="69" t="s">
        <v>152</v>
      </c>
      <c r="X190" s="69"/>
      <c r="Y190" s="126"/>
      <c r="Z190" s="30">
        <f t="shared" si="4"/>
        <v>65321.73369671098</v>
      </c>
      <c r="AA190" s="30">
        <f t="shared" si="5"/>
        <v>0</v>
      </c>
      <c r="AB190" t="s">
        <v>456</v>
      </c>
    </row>
    <row r="191" spans="1:28">
      <c r="A191" s="67" t="s">
        <v>113</v>
      </c>
      <c r="B191" s="68">
        <v>1282981</v>
      </c>
      <c r="C191" s="69">
        <v>4615412749</v>
      </c>
      <c r="D191" s="70">
        <v>20700</v>
      </c>
      <c r="E191" s="67"/>
      <c r="F191" s="73">
        <v>16</v>
      </c>
      <c r="G191" s="73" t="s">
        <v>114</v>
      </c>
      <c r="H191" s="75">
        <v>0</v>
      </c>
      <c r="I191" s="68">
        <v>0</v>
      </c>
      <c r="J191" s="71">
        <v>43002</v>
      </c>
      <c r="K191" s="71">
        <v>42976</v>
      </c>
      <c r="L191" s="69" t="s">
        <v>132</v>
      </c>
      <c r="M191" s="69" t="s">
        <v>109</v>
      </c>
      <c r="N191" s="72">
        <v>43044</v>
      </c>
      <c r="O191" s="67"/>
      <c r="P191" s="67" t="s">
        <v>95</v>
      </c>
      <c r="Q191" s="67" t="s">
        <v>110</v>
      </c>
      <c r="R191" s="69" t="s">
        <v>69</v>
      </c>
      <c r="S191" s="69" t="s">
        <v>115</v>
      </c>
      <c r="T191" s="67"/>
      <c r="U191" s="67"/>
      <c r="V191" s="72">
        <v>43008</v>
      </c>
      <c r="W191" s="69" t="s">
        <v>150</v>
      </c>
      <c r="X191" s="69" t="s">
        <v>117</v>
      </c>
      <c r="Y191" s="126"/>
      <c r="Z191" s="30">
        <f t="shared" si="4"/>
        <v>7301.7101235631453</v>
      </c>
      <c r="AA191" s="30">
        <f t="shared" si="5"/>
        <v>0</v>
      </c>
      <c r="AB191" t="s">
        <v>456</v>
      </c>
    </row>
    <row r="192" spans="1:28">
      <c r="A192" s="67" t="s">
        <v>113</v>
      </c>
      <c r="B192" s="68">
        <v>1282984</v>
      </c>
      <c r="C192" s="69">
        <v>4615412749</v>
      </c>
      <c r="D192" s="70">
        <v>20700</v>
      </c>
      <c r="E192" s="67"/>
      <c r="F192" s="73">
        <v>16</v>
      </c>
      <c r="G192" s="73" t="s">
        <v>114</v>
      </c>
      <c r="H192" s="75">
        <v>0</v>
      </c>
      <c r="I192" s="68">
        <v>0</v>
      </c>
      <c r="J192" s="71">
        <v>43002</v>
      </c>
      <c r="K192" s="71">
        <v>42959</v>
      </c>
      <c r="L192" s="69" t="s">
        <v>132</v>
      </c>
      <c r="M192" s="69" t="s">
        <v>109</v>
      </c>
      <c r="N192" s="72">
        <v>43044</v>
      </c>
      <c r="O192" s="67"/>
      <c r="P192" s="67" t="s">
        <v>95</v>
      </c>
      <c r="Q192" s="67" t="s">
        <v>110</v>
      </c>
      <c r="R192" s="69" t="s">
        <v>69</v>
      </c>
      <c r="S192" s="69" t="s">
        <v>115</v>
      </c>
      <c r="T192" s="67"/>
      <c r="U192" s="67"/>
      <c r="V192" s="72">
        <v>43008</v>
      </c>
      <c r="W192" s="69" t="s">
        <v>150</v>
      </c>
      <c r="X192" s="69" t="s">
        <v>117</v>
      </c>
      <c r="Y192" s="126"/>
      <c r="Z192" s="30">
        <f t="shared" si="4"/>
        <v>7301.7101235631453</v>
      </c>
      <c r="AA192" s="30">
        <f t="shared" si="5"/>
        <v>0</v>
      </c>
      <c r="AB192" t="s">
        <v>456</v>
      </c>
    </row>
    <row r="193" spans="1:28">
      <c r="A193" s="67" t="s">
        <v>113</v>
      </c>
      <c r="B193" s="68">
        <v>1282986</v>
      </c>
      <c r="C193" s="69">
        <v>4615412749</v>
      </c>
      <c r="D193" s="70">
        <v>20700</v>
      </c>
      <c r="E193" s="67"/>
      <c r="F193" s="73">
        <v>16</v>
      </c>
      <c r="G193" s="73" t="s">
        <v>114</v>
      </c>
      <c r="H193" s="75">
        <v>0</v>
      </c>
      <c r="I193" s="68">
        <v>0</v>
      </c>
      <c r="J193" s="71">
        <v>43002</v>
      </c>
      <c r="K193" s="71">
        <v>42831</v>
      </c>
      <c r="L193" s="69" t="s">
        <v>132</v>
      </c>
      <c r="M193" s="69" t="s">
        <v>109</v>
      </c>
      <c r="N193" s="72">
        <v>43044</v>
      </c>
      <c r="O193" s="67"/>
      <c r="P193" s="67" t="s">
        <v>95</v>
      </c>
      <c r="Q193" s="67" t="s">
        <v>110</v>
      </c>
      <c r="R193" s="69" t="s">
        <v>69</v>
      </c>
      <c r="S193" s="69" t="s">
        <v>115</v>
      </c>
      <c r="T193" s="67"/>
      <c r="U193" s="67"/>
      <c r="V193" s="72">
        <v>43008</v>
      </c>
      <c r="W193" s="69" t="s">
        <v>150</v>
      </c>
      <c r="X193" s="69" t="s">
        <v>117</v>
      </c>
      <c r="Y193" s="126"/>
      <c r="Z193" s="30">
        <f t="shared" si="4"/>
        <v>7301.7101235631453</v>
      </c>
      <c r="AA193" s="30">
        <f t="shared" si="5"/>
        <v>0</v>
      </c>
      <c r="AB193" t="s">
        <v>456</v>
      </c>
    </row>
    <row r="194" spans="1:28">
      <c r="A194" s="67" t="s">
        <v>113</v>
      </c>
      <c r="B194" s="68">
        <v>1282990</v>
      </c>
      <c r="C194" s="69">
        <v>4615412749</v>
      </c>
      <c r="D194" s="70">
        <v>20700</v>
      </c>
      <c r="E194" s="67"/>
      <c r="F194" s="73">
        <v>16</v>
      </c>
      <c r="G194" s="73" t="s">
        <v>114</v>
      </c>
      <c r="H194" s="75">
        <v>0</v>
      </c>
      <c r="I194" s="68">
        <v>0</v>
      </c>
      <c r="J194" s="71">
        <v>43002</v>
      </c>
      <c r="K194" s="71">
        <v>42976</v>
      </c>
      <c r="L194" s="69" t="s">
        <v>132</v>
      </c>
      <c r="M194" s="69" t="s">
        <v>109</v>
      </c>
      <c r="N194" s="72">
        <v>43044</v>
      </c>
      <c r="O194" s="67"/>
      <c r="P194" s="67" t="s">
        <v>95</v>
      </c>
      <c r="Q194" s="67" t="s">
        <v>110</v>
      </c>
      <c r="R194" s="69" t="s">
        <v>69</v>
      </c>
      <c r="S194" s="69" t="s">
        <v>115</v>
      </c>
      <c r="T194" s="67"/>
      <c r="U194" s="67"/>
      <c r="V194" s="72">
        <v>43008</v>
      </c>
      <c r="W194" s="69" t="s">
        <v>150</v>
      </c>
      <c r="X194" s="69" t="s">
        <v>117</v>
      </c>
      <c r="Y194" s="126"/>
      <c r="Z194" s="30">
        <f t="shared" si="4"/>
        <v>7301.7101235631453</v>
      </c>
      <c r="AA194" s="30">
        <f t="shared" si="5"/>
        <v>0</v>
      </c>
      <c r="AB194" t="s">
        <v>456</v>
      </c>
    </row>
    <row r="195" spans="1:28">
      <c r="A195" s="67" t="s">
        <v>122</v>
      </c>
      <c r="B195" s="68">
        <v>1274443</v>
      </c>
      <c r="C195" s="69">
        <v>4615411816</v>
      </c>
      <c r="D195" s="70">
        <v>19200</v>
      </c>
      <c r="E195" s="67"/>
      <c r="F195" s="73">
        <v>16</v>
      </c>
      <c r="G195" s="73">
        <v>5</v>
      </c>
      <c r="H195" s="75">
        <v>0</v>
      </c>
      <c r="I195" s="68">
        <v>0</v>
      </c>
      <c r="J195" s="71"/>
      <c r="K195" s="71">
        <v>42968</v>
      </c>
      <c r="L195" s="69" t="s">
        <v>80</v>
      </c>
      <c r="M195" s="69" t="s">
        <v>109</v>
      </c>
      <c r="N195" s="72">
        <v>43044</v>
      </c>
      <c r="O195" s="67"/>
      <c r="P195" s="67" t="s">
        <v>95</v>
      </c>
      <c r="Q195" s="67" t="s">
        <v>120</v>
      </c>
      <c r="R195" s="69" t="s">
        <v>69</v>
      </c>
      <c r="S195" s="69" t="s">
        <v>123</v>
      </c>
      <c r="T195" s="67"/>
      <c r="U195" s="67"/>
      <c r="V195" s="72">
        <v>42978</v>
      </c>
      <c r="W195" s="69">
        <v>2025768</v>
      </c>
      <c r="X195" s="69"/>
      <c r="Y195" s="126"/>
      <c r="Z195" s="30">
        <f t="shared" ref="Z195:Z258" si="6">CONVERT(D195,"kg","lbm")*F195/100</f>
        <v>6772.6006943194379</v>
      </c>
      <c r="AA195" s="30">
        <f t="shared" ref="AA195:AA258" si="7">CONVERT(D195,"kg","lbm")*G195/100</f>
        <v>2116.4377169748245</v>
      </c>
      <c r="AB195" t="s">
        <v>456</v>
      </c>
    </row>
    <row r="196" spans="1:28">
      <c r="A196" s="67" t="s">
        <v>122</v>
      </c>
      <c r="B196" s="68">
        <v>1274437</v>
      </c>
      <c r="C196" s="69">
        <v>4615411816</v>
      </c>
      <c r="D196" s="70">
        <v>19200</v>
      </c>
      <c r="E196" s="67"/>
      <c r="F196" s="73">
        <v>16</v>
      </c>
      <c r="G196" s="73">
        <v>5</v>
      </c>
      <c r="H196" s="75">
        <v>0</v>
      </c>
      <c r="I196" s="68">
        <v>0</v>
      </c>
      <c r="J196" s="71"/>
      <c r="K196" s="71">
        <v>42961</v>
      </c>
      <c r="L196" s="69" t="s">
        <v>80</v>
      </c>
      <c r="M196" s="69" t="s">
        <v>109</v>
      </c>
      <c r="N196" s="72">
        <v>43044</v>
      </c>
      <c r="O196" s="67"/>
      <c r="P196" s="67" t="s">
        <v>95</v>
      </c>
      <c r="Q196" s="67" t="s">
        <v>120</v>
      </c>
      <c r="R196" s="69" t="s">
        <v>69</v>
      </c>
      <c r="S196" s="69" t="s">
        <v>123</v>
      </c>
      <c r="T196" s="67"/>
      <c r="U196" s="67"/>
      <c r="V196" s="72">
        <v>42978</v>
      </c>
      <c r="W196" s="69">
        <v>2025768</v>
      </c>
      <c r="X196" s="69"/>
      <c r="Y196" s="126"/>
      <c r="Z196" s="30">
        <f t="shared" si="6"/>
        <v>6772.6006943194379</v>
      </c>
      <c r="AA196" s="30">
        <f t="shared" si="7"/>
        <v>2116.4377169748245</v>
      </c>
      <c r="AB196" t="s">
        <v>456</v>
      </c>
    </row>
    <row r="197" spans="1:28">
      <c r="A197" s="67" t="s">
        <v>122</v>
      </c>
      <c r="B197" s="68">
        <v>1272686</v>
      </c>
      <c r="C197" s="69">
        <v>4615409822</v>
      </c>
      <c r="D197" s="70">
        <v>19175</v>
      </c>
      <c r="E197" s="67"/>
      <c r="F197" s="73">
        <v>16</v>
      </c>
      <c r="G197" s="73">
        <v>5</v>
      </c>
      <c r="H197" s="75">
        <v>0</v>
      </c>
      <c r="I197" s="68">
        <v>0</v>
      </c>
      <c r="J197" s="71"/>
      <c r="K197" s="71">
        <v>42961</v>
      </c>
      <c r="L197" s="69" t="s">
        <v>80</v>
      </c>
      <c r="M197" s="69" t="s">
        <v>109</v>
      </c>
      <c r="N197" s="72">
        <v>43044</v>
      </c>
      <c r="O197" s="67"/>
      <c r="P197" s="67" t="s">
        <v>95</v>
      </c>
      <c r="Q197" s="67" t="s">
        <v>120</v>
      </c>
      <c r="R197" s="69" t="s">
        <v>69</v>
      </c>
      <c r="S197" s="69" t="s">
        <v>123</v>
      </c>
      <c r="T197" s="67"/>
      <c r="U197" s="67"/>
      <c r="V197" s="72">
        <v>42978</v>
      </c>
      <c r="W197" s="69">
        <v>2025753</v>
      </c>
      <c r="X197" s="69" t="s">
        <v>155</v>
      </c>
      <c r="Y197" s="126"/>
      <c r="Z197" s="30">
        <f t="shared" si="6"/>
        <v>6763.7822038320437</v>
      </c>
      <c r="AA197" s="30">
        <f t="shared" si="7"/>
        <v>2113.6819386975139</v>
      </c>
      <c r="AB197" t="s">
        <v>456</v>
      </c>
    </row>
    <row r="198" spans="1:28">
      <c r="A198" s="67" t="s">
        <v>113</v>
      </c>
      <c r="B198" s="68">
        <v>1275481</v>
      </c>
      <c r="C198" s="69">
        <v>4615478108</v>
      </c>
      <c r="D198" s="70">
        <v>20700</v>
      </c>
      <c r="E198" s="67"/>
      <c r="F198" s="73">
        <v>16</v>
      </c>
      <c r="G198" s="73">
        <v>5</v>
      </c>
      <c r="H198" s="75">
        <v>0</v>
      </c>
      <c r="I198" s="68">
        <v>0</v>
      </c>
      <c r="J198" s="71">
        <v>42979</v>
      </c>
      <c r="K198" s="71">
        <v>42831</v>
      </c>
      <c r="L198" s="69" t="s">
        <v>108</v>
      </c>
      <c r="M198" s="69" t="s">
        <v>109</v>
      </c>
      <c r="N198" s="72">
        <v>43044</v>
      </c>
      <c r="O198" s="67"/>
      <c r="P198" s="67" t="s">
        <v>95</v>
      </c>
      <c r="Q198" s="67" t="s">
        <v>110</v>
      </c>
      <c r="R198" s="69" t="s">
        <v>69</v>
      </c>
      <c r="S198" s="69" t="s">
        <v>115</v>
      </c>
      <c r="T198" s="67"/>
      <c r="U198" s="67"/>
      <c r="V198" s="72">
        <v>42978</v>
      </c>
      <c r="W198" s="69" t="s">
        <v>151</v>
      </c>
      <c r="X198" s="69" t="s">
        <v>117</v>
      </c>
      <c r="Y198" s="126"/>
      <c r="Z198" s="30">
        <f t="shared" si="6"/>
        <v>7301.7101235631453</v>
      </c>
      <c r="AA198" s="30">
        <f t="shared" si="7"/>
        <v>2281.7844136134831</v>
      </c>
      <c r="AB198" t="s">
        <v>456</v>
      </c>
    </row>
    <row r="199" spans="1:28">
      <c r="A199" s="67" t="s">
        <v>113</v>
      </c>
      <c r="B199" s="68">
        <v>1275489</v>
      </c>
      <c r="C199" s="69">
        <v>4615478108</v>
      </c>
      <c r="D199" s="70">
        <v>20700</v>
      </c>
      <c r="E199" s="67"/>
      <c r="F199" s="73">
        <v>16</v>
      </c>
      <c r="G199" s="73">
        <v>5</v>
      </c>
      <c r="H199" s="75">
        <v>0</v>
      </c>
      <c r="I199" s="68">
        <v>0</v>
      </c>
      <c r="J199" s="71">
        <v>42979</v>
      </c>
      <c r="K199" s="71">
        <v>42855</v>
      </c>
      <c r="L199" s="69" t="s">
        <v>108</v>
      </c>
      <c r="M199" s="69" t="s">
        <v>109</v>
      </c>
      <c r="N199" s="72">
        <v>43044</v>
      </c>
      <c r="O199" s="67"/>
      <c r="P199" s="67" t="s">
        <v>95</v>
      </c>
      <c r="Q199" s="67" t="s">
        <v>110</v>
      </c>
      <c r="R199" s="69" t="s">
        <v>69</v>
      </c>
      <c r="S199" s="69" t="s">
        <v>115</v>
      </c>
      <c r="T199" s="67"/>
      <c r="U199" s="67"/>
      <c r="V199" s="72">
        <v>42978</v>
      </c>
      <c r="W199" s="69" t="s">
        <v>151</v>
      </c>
      <c r="X199" s="69" t="s">
        <v>117</v>
      </c>
      <c r="Y199" s="126"/>
      <c r="Z199" s="30">
        <f t="shared" si="6"/>
        <v>7301.7101235631453</v>
      </c>
      <c r="AA199" s="30">
        <f t="shared" si="7"/>
        <v>2281.7844136134831</v>
      </c>
      <c r="AB199" t="s">
        <v>456</v>
      </c>
    </row>
    <row r="200" spans="1:28">
      <c r="A200" s="67" t="s">
        <v>113</v>
      </c>
      <c r="B200" s="68">
        <v>1275484</v>
      </c>
      <c r="C200" s="69">
        <v>4615478108</v>
      </c>
      <c r="D200" s="70">
        <v>20700</v>
      </c>
      <c r="E200" s="67"/>
      <c r="F200" s="73">
        <v>16</v>
      </c>
      <c r="G200" s="73">
        <v>5</v>
      </c>
      <c r="H200" s="75">
        <v>0</v>
      </c>
      <c r="I200" s="68">
        <v>0</v>
      </c>
      <c r="J200" s="71">
        <v>42979</v>
      </c>
      <c r="K200" s="71">
        <v>42834</v>
      </c>
      <c r="L200" s="69" t="s">
        <v>108</v>
      </c>
      <c r="M200" s="69" t="s">
        <v>109</v>
      </c>
      <c r="N200" s="72">
        <v>43044</v>
      </c>
      <c r="O200" s="67"/>
      <c r="P200" s="67" t="s">
        <v>95</v>
      </c>
      <c r="Q200" s="67" t="s">
        <v>110</v>
      </c>
      <c r="R200" s="69" t="s">
        <v>69</v>
      </c>
      <c r="S200" s="69" t="s">
        <v>115</v>
      </c>
      <c r="T200" s="67"/>
      <c r="U200" s="67"/>
      <c r="V200" s="72">
        <v>42978</v>
      </c>
      <c r="W200" s="69" t="s">
        <v>151</v>
      </c>
      <c r="X200" s="69" t="s">
        <v>117</v>
      </c>
      <c r="Y200" s="126"/>
      <c r="Z200" s="30">
        <f t="shared" si="6"/>
        <v>7301.7101235631453</v>
      </c>
      <c r="AA200" s="30">
        <f t="shared" si="7"/>
        <v>2281.7844136134831</v>
      </c>
      <c r="AB200" t="s">
        <v>456</v>
      </c>
    </row>
    <row r="201" spans="1:28">
      <c r="A201" s="67" t="s">
        <v>113</v>
      </c>
      <c r="B201" s="68">
        <v>1275482</v>
      </c>
      <c r="C201" s="69">
        <v>4615478108</v>
      </c>
      <c r="D201" s="70">
        <v>20700</v>
      </c>
      <c r="E201" s="67"/>
      <c r="F201" s="73">
        <v>16</v>
      </c>
      <c r="G201" s="73">
        <v>5</v>
      </c>
      <c r="H201" s="75">
        <v>0</v>
      </c>
      <c r="I201" s="68">
        <v>0</v>
      </c>
      <c r="J201" s="71">
        <v>42979</v>
      </c>
      <c r="K201" s="71">
        <v>42956</v>
      </c>
      <c r="L201" s="69" t="s">
        <v>108</v>
      </c>
      <c r="M201" s="69" t="s">
        <v>109</v>
      </c>
      <c r="N201" s="72">
        <v>43044</v>
      </c>
      <c r="O201" s="67"/>
      <c r="P201" s="67" t="s">
        <v>95</v>
      </c>
      <c r="Q201" s="67" t="s">
        <v>110</v>
      </c>
      <c r="R201" s="69" t="s">
        <v>69</v>
      </c>
      <c r="S201" s="69" t="s">
        <v>115</v>
      </c>
      <c r="T201" s="67"/>
      <c r="U201" s="67"/>
      <c r="V201" s="72">
        <v>42978</v>
      </c>
      <c r="W201" s="69" t="s">
        <v>151</v>
      </c>
      <c r="X201" s="69" t="s">
        <v>117</v>
      </c>
      <c r="Y201" s="126"/>
      <c r="Z201" s="30">
        <f t="shared" si="6"/>
        <v>7301.7101235631453</v>
      </c>
      <c r="AA201" s="30">
        <f t="shared" si="7"/>
        <v>2281.7844136134831</v>
      </c>
      <c r="AB201" t="s">
        <v>456</v>
      </c>
    </row>
    <row r="202" spans="1:28">
      <c r="A202" s="67" t="s">
        <v>113</v>
      </c>
      <c r="B202" s="68">
        <v>1273081</v>
      </c>
      <c r="C202" s="69">
        <v>4615400272</v>
      </c>
      <c r="D202" s="70">
        <v>20700</v>
      </c>
      <c r="E202" s="67"/>
      <c r="F202" s="73">
        <v>16</v>
      </c>
      <c r="G202" s="73" t="s">
        <v>114</v>
      </c>
      <c r="H202" s="75">
        <v>0</v>
      </c>
      <c r="I202" s="68">
        <v>0</v>
      </c>
      <c r="J202" s="71">
        <v>42976</v>
      </c>
      <c r="K202" s="71">
        <v>42766</v>
      </c>
      <c r="L202" s="69" t="s">
        <v>108</v>
      </c>
      <c r="M202" s="69" t="s">
        <v>109</v>
      </c>
      <c r="N202" s="72">
        <v>43044</v>
      </c>
      <c r="O202" s="67"/>
      <c r="P202" s="67" t="s">
        <v>95</v>
      </c>
      <c r="Q202" s="67" t="s">
        <v>110</v>
      </c>
      <c r="R202" s="69" t="s">
        <v>69</v>
      </c>
      <c r="S202" s="69" t="s">
        <v>115</v>
      </c>
      <c r="T202" s="67"/>
      <c r="U202" s="67"/>
      <c r="V202" s="72">
        <v>42978</v>
      </c>
      <c r="W202" s="69" t="s">
        <v>147</v>
      </c>
      <c r="X202" s="69" t="s">
        <v>117</v>
      </c>
      <c r="Y202" s="126"/>
      <c r="Z202" s="30">
        <f t="shared" si="6"/>
        <v>7301.7101235631453</v>
      </c>
      <c r="AA202" s="30">
        <f t="shared" si="7"/>
        <v>0</v>
      </c>
      <c r="AB202" t="s">
        <v>456</v>
      </c>
    </row>
    <row r="203" spans="1:28">
      <c r="A203" s="67" t="s">
        <v>113</v>
      </c>
      <c r="B203" s="68">
        <v>1273083</v>
      </c>
      <c r="C203" s="69">
        <v>4615400272</v>
      </c>
      <c r="D203" s="70">
        <v>20700</v>
      </c>
      <c r="E203" s="67"/>
      <c r="F203" s="73">
        <v>16</v>
      </c>
      <c r="G203" s="73" t="s">
        <v>114</v>
      </c>
      <c r="H203" s="75">
        <v>0</v>
      </c>
      <c r="I203" s="68">
        <v>0</v>
      </c>
      <c r="J203" s="71">
        <v>42976</v>
      </c>
      <c r="K203" s="71">
        <v>42829</v>
      </c>
      <c r="L203" s="69" t="s">
        <v>108</v>
      </c>
      <c r="M203" s="69" t="s">
        <v>109</v>
      </c>
      <c r="N203" s="72">
        <v>43044</v>
      </c>
      <c r="O203" s="67"/>
      <c r="P203" s="67" t="s">
        <v>95</v>
      </c>
      <c r="Q203" s="67" t="s">
        <v>110</v>
      </c>
      <c r="R203" s="69" t="s">
        <v>69</v>
      </c>
      <c r="S203" s="69" t="s">
        <v>115</v>
      </c>
      <c r="T203" s="67"/>
      <c r="U203" s="67"/>
      <c r="V203" s="72">
        <v>42978</v>
      </c>
      <c r="W203" s="69" t="s">
        <v>147</v>
      </c>
      <c r="X203" s="69" t="s">
        <v>117</v>
      </c>
      <c r="Y203" s="126"/>
      <c r="Z203" s="30">
        <f t="shared" si="6"/>
        <v>7301.7101235631453</v>
      </c>
      <c r="AA203" s="30">
        <f t="shared" si="7"/>
        <v>0</v>
      </c>
      <c r="AB203" t="s">
        <v>456</v>
      </c>
    </row>
    <row r="204" spans="1:28">
      <c r="A204" s="67" t="s">
        <v>118</v>
      </c>
      <c r="B204" s="68">
        <v>1272716</v>
      </c>
      <c r="C204" s="69">
        <v>4615416358</v>
      </c>
      <c r="D204" s="70">
        <v>19175</v>
      </c>
      <c r="E204" s="67"/>
      <c r="F204" s="73">
        <v>10</v>
      </c>
      <c r="G204" s="73" t="s">
        <v>114</v>
      </c>
      <c r="H204" s="75">
        <v>0</v>
      </c>
      <c r="I204" s="68">
        <v>0</v>
      </c>
      <c r="J204" s="71"/>
      <c r="K204" s="71">
        <v>42970</v>
      </c>
      <c r="L204" s="69" t="s">
        <v>80</v>
      </c>
      <c r="M204" s="69" t="s">
        <v>109</v>
      </c>
      <c r="N204" s="72">
        <v>43044</v>
      </c>
      <c r="O204" s="67"/>
      <c r="P204" s="67" t="s">
        <v>95</v>
      </c>
      <c r="Q204" s="67" t="s">
        <v>120</v>
      </c>
      <c r="R204" s="69" t="s">
        <v>69</v>
      </c>
      <c r="S204" s="69" t="s">
        <v>121</v>
      </c>
      <c r="T204" s="67"/>
      <c r="U204" s="67"/>
      <c r="V204" s="72">
        <v>42978</v>
      </c>
      <c r="W204" s="69">
        <v>2026349</v>
      </c>
      <c r="X204" s="69"/>
      <c r="Y204" s="126"/>
      <c r="Z204" s="30">
        <f t="shared" si="6"/>
        <v>4227.3638773950279</v>
      </c>
      <c r="AA204" s="30">
        <f t="shared" si="7"/>
        <v>0</v>
      </c>
      <c r="AB204" t="s">
        <v>456</v>
      </c>
    </row>
    <row r="205" spans="1:28">
      <c r="A205" s="67" t="s">
        <v>118</v>
      </c>
      <c r="B205" s="68">
        <v>1272717</v>
      </c>
      <c r="C205" s="69">
        <v>4615416358</v>
      </c>
      <c r="D205" s="70">
        <v>19175</v>
      </c>
      <c r="E205" s="67"/>
      <c r="F205" s="73">
        <v>10</v>
      </c>
      <c r="G205" s="73" t="s">
        <v>114</v>
      </c>
      <c r="H205" s="75">
        <v>0</v>
      </c>
      <c r="I205" s="68">
        <v>0</v>
      </c>
      <c r="J205" s="71"/>
      <c r="K205" s="71">
        <v>42955</v>
      </c>
      <c r="L205" s="69" t="s">
        <v>80</v>
      </c>
      <c r="M205" s="69" t="s">
        <v>109</v>
      </c>
      <c r="N205" s="72">
        <v>43044</v>
      </c>
      <c r="O205" s="67"/>
      <c r="P205" s="67" t="s">
        <v>95</v>
      </c>
      <c r="Q205" s="67" t="s">
        <v>120</v>
      </c>
      <c r="R205" s="69" t="s">
        <v>69</v>
      </c>
      <c r="S205" s="69" t="s">
        <v>121</v>
      </c>
      <c r="T205" s="67"/>
      <c r="U205" s="67"/>
      <c r="V205" s="72">
        <v>42978</v>
      </c>
      <c r="W205" s="69">
        <v>2026349</v>
      </c>
      <c r="X205" s="69"/>
      <c r="Y205" s="126"/>
      <c r="Z205" s="30">
        <f t="shared" si="6"/>
        <v>4227.3638773950279</v>
      </c>
      <c r="AA205" s="30">
        <f t="shared" si="7"/>
        <v>0</v>
      </c>
      <c r="AB205" t="s">
        <v>456</v>
      </c>
    </row>
    <row r="206" spans="1:28">
      <c r="A206" s="67" t="s">
        <v>128</v>
      </c>
      <c r="B206" s="68">
        <v>1274490</v>
      </c>
      <c r="C206" s="69">
        <v>4615499305</v>
      </c>
      <c r="D206" s="70">
        <v>19175</v>
      </c>
      <c r="E206" s="67"/>
      <c r="F206" s="73">
        <v>154.4</v>
      </c>
      <c r="G206" s="73">
        <v>0</v>
      </c>
      <c r="H206" s="75">
        <v>0</v>
      </c>
      <c r="I206" s="68">
        <v>0</v>
      </c>
      <c r="J206" s="71"/>
      <c r="K206" s="71">
        <v>42956</v>
      </c>
      <c r="L206" s="69" t="s">
        <v>80</v>
      </c>
      <c r="M206" s="69" t="s">
        <v>109</v>
      </c>
      <c r="N206" s="72">
        <v>43044</v>
      </c>
      <c r="O206" s="67"/>
      <c r="P206" s="67" t="s">
        <v>95</v>
      </c>
      <c r="Q206" s="67" t="s">
        <v>129</v>
      </c>
      <c r="R206" s="69" t="s">
        <v>69</v>
      </c>
      <c r="S206" s="69" t="s">
        <v>130</v>
      </c>
      <c r="T206" s="67"/>
      <c r="U206" s="67"/>
      <c r="V206" s="72">
        <v>42947</v>
      </c>
      <c r="W206" s="69">
        <v>425570015</v>
      </c>
      <c r="X206" s="69"/>
      <c r="Y206" s="126"/>
      <c r="Z206" s="30">
        <f t="shared" si="6"/>
        <v>65270.498266979223</v>
      </c>
      <c r="AA206" s="30">
        <f t="shared" si="7"/>
        <v>0</v>
      </c>
      <c r="AB206" t="s">
        <v>456</v>
      </c>
    </row>
    <row r="207" spans="1:28">
      <c r="A207" s="67" t="s">
        <v>122</v>
      </c>
      <c r="B207" s="68">
        <v>1233654</v>
      </c>
      <c r="C207" s="69">
        <v>4615381340</v>
      </c>
      <c r="D207" s="70">
        <v>19200</v>
      </c>
      <c r="E207" s="67"/>
      <c r="F207" s="73">
        <v>16</v>
      </c>
      <c r="G207" s="73">
        <v>5</v>
      </c>
      <c r="H207" s="75">
        <v>0</v>
      </c>
      <c r="I207" s="68">
        <v>0</v>
      </c>
      <c r="J207" s="71"/>
      <c r="K207" s="71">
        <v>42799</v>
      </c>
      <c r="L207" s="69" t="s">
        <v>80</v>
      </c>
      <c r="M207" s="69" t="s">
        <v>109</v>
      </c>
      <c r="N207" s="72">
        <v>43044</v>
      </c>
      <c r="O207" s="67"/>
      <c r="P207" s="67" t="s">
        <v>95</v>
      </c>
      <c r="Q207" s="67" t="s">
        <v>120</v>
      </c>
      <c r="R207" s="69" t="s">
        <v>69</v>
      </c>
      <c r="S207" s="69" t="s">
        <v>123</v>
      </c>
      <c r="T207" s="67"/>
      <c r="U207" s="67"/>
      <c r="V207" s="72">
        <v>42855</v>
      </c>
      <c r="W207" s="69">
        <v>2023109</v>
      </c>
      <c r="X207" s="69" t="s">
        <v>155</v>
      </c>
      <c r="Y207" s="126"/>
      <c r="Z207" s="30">
        <f t="shared" si="6"/>
        <v>6772.6006943194379</v>
      </c>
      <c r="AA207" s="30">
        <f t="shared" si="7"/>
        <v>2116.4377169748245</v>
      </c>
      <c r="AB207" t="s">
        <v>456</v>
      </c>
    </row>
    <row r="208" spans="1:28">
      <c r="A208" s="67" t="s">
        <v>118</v>
      </c>
      <c r="B208" s="68">
        <v>1268052</v>
      </c>
      <c r="C208" s="69">
        <v>4615416358</v>
      </c>
      <c r="D208" s="70">
        <v>19175</v>
      </c>
      <c r="E208" s="67"/>
      <c r="F208" s="73">
        <v>10</v>
      </c>
      <c r="G208" s="73" t="s">
        <v>114</v>
      </c>
      <c r="H208" s="75">
        <v>0</v>
      </c>
      <c r="I208" s="68">
        <v>0</v>
      </c>
      <c r="J208" s="71"/>
      <c r="K208" s="71">
        <v>42955</v>
      </c>
      <c r="L208" s="69" t="s">
        <v>80</v>
      </c>
      <c r="M208" s="69" t="s">
        <v>109</v>
      </c>
      <c r="N208" s="72">
        <v>43041</v>
      </c>
      <c r="O208" s="67"/>
      <c r="P208" s="67" t="s">
        <v>95</v>
      </c>
      <c r="Q208" s="67" t="s">
        <v>120</v>
      </c>
      <c r="R208" s="69" t="s">
        <v>69</v>
      </c>
      <c r="S208" s="69" t="s">
        <v>121</v>
      </c>
      <c r="T208" s="67"/>
      <c r="U208" s="67"/>
      <c r="V208" s="72">
        <v>42978</v>
      </c>
      <c r="W208" s="69">
        <v>2026349</v>
      </c>
      <c r="X208" s="69"/>
      <c r="Y208" s="126"/>
      <c r="Z208" s="30">
        <f t="shared" si="6"/>
        <v>4227.3638773950279</v>
      </c>
      <c r="AA208" s="30">
        <f t="shared" si="7"/>
        <v>0</v>
      </c>
      <c r="AB208" t="s">
        <v>456</v>
      </c>
    </row>
    <row r="209" spans="1:28">
      <c r="A209" s="67" t="s">
        <v>113</v>
      </c>
      <c r="B209" s="68">
        <v>1273079</v>
      </c>
      <c r="C209" s="69">
        <v>4615400272</v>
      </c>
      <c r="D209" s="70">
        <v>20700</v>
      </c>
      <c r="E209" s="67"/>
      <c r="F209" s="68">
        <v>16</v>
      </c>
      <c r="G209" s="68" t="s">
        <v>114</v>
      </c>
      <c r="H209" s="68">
        <v>0</v>
      </c>
      <c r="I209" s="68">
        <v>0</v>
      </c>
      <c r="J209" s="71">
        <v>42976</v>
      </c>
      <c r="K209" s="71">
        <v>42967</v>
      </c>
      <c r="L209" s="69" t="s">
        <v>108</v>
      </c>
      <c r="M209" s="69" t="s">
        <v>109</v>
      </c>
      <c r="N209" s="72">
        <v>43041</v>
      </c>
      <c r="O209" s="67"/>
      <c r="P209" s="67" t="s">
        <v>95</v>
      </c>
      <c r="Q209" s="67" t="s">
        <v>110</v>
      </c>
      <c r="R209" s="69" t="s">
        <v>69</v>
      </c>
      <c r="S209" s="69" t="s">
        <v>115</v>
      </c>
      <c r="T209" s="67"/>
      <c r="U209" s="67"/>
      <c r="V209" s="72">
        <v>42978</v>
      </c>
      <c r="W209" s="69" t="s">
        <v>147</v>
      </c>
      <c r="X209" s="69" t="s">
        <v>117</v>
      </c>
      <c r="Y209" s="126"/>
      <c r="Z209" s="30">
        <f t="shared" si="6"/>
        <v>7301.7101235631453</v>
      </c>
      <c r="AA209" s="30">
        <f t="shared" si="7"/>
        <v>0</v>
      </c>
      <c r="AB209" t="s">
        <v>456</v>
      </c>
    </row>
    <row r="210" spans="1:28">
      <c r="A210" s="67" t="s">
        <v>113</v>
      </c>
      <c r="B210" s="68">
        <v>1277573</v>
      </c>
      <c r="C210" s="69">
        <v>4615400272</v>
      </c>
      <c r="D210" s="70">
        <v>20700</v>
      </c>
      <c r="E210" s="67"/>
      <c r="F210" s="68">
        <v>16</v>
      </c>
      <c r="G210" s="68" t="s">
        <v>114</v>
      </c>
      <c r="H210" s="68">
        <v>0</v>
      </c>
      <c r="I210" s="68">
        <v>0</v>
      </c>
      <c r="J210" s="71">
        <v>42976</v>
      </c>
      <c r="K210" s="71">
        <v>42961</v>
      </c>
      <c r="L210" s="69" t="s">
        <v>108</v>
      </c>
      <c r="M210" s="69" t="s">
        <v>109</v>
      </c>
      <c r="N210" s="72">
        <v>43040</v>
      </c>
      <c r="O210" s="67"/>
      <c r="P210" s="67" t="s">
        <v>95</v>
      </c>
      <c r="Q210" s="67" t="s">
        <v>110</v>
      </c>
      <c r="R210" s="69" t="s">
        <v>69</v>
      </c>
      <c r="S210" s="69" t="s">
        <v>115</v>
      </c>
      <c r="T210" s="67"/>
      <c r="U210" s="67"/>
      <c r="V210" s="72">
        <v>42978</v>
      </c>
      <c r="W210" s="69" t="s">
        <v>147</v>
      </c>
      <c r="X210" s="69" t="s">
        <v>117</v>
      </c>
      <c r="Y210" s="126"/>
      <c r="Z210" s="30">
        <f t="shared" si="6"/>
        <v>7301.7101235631453</v>
      </c>
      <c r="AA210" s="30">
        <f t="shared" si="7"/>
        <v>0</v>
      </c>
      <c r="AB210" t="s">
        <v>456</v>
      </c>
    </row>
    <row r="211" spans="1:28">
      <c r="A211" s="67" t="s">
        <v>136</v>
      </c>
      <c r="B211" s="68">
        <v>1262365</v>
      </c>
      <c r="C211" s="69">
        <v>4615389010</v>
      </c>
      <c r="D211" s="70">
        <v>19200</v>
      </c>
      <c r="E211" s="67"/>
      <c r="F211" s="73">
        <v>10</v>
      </c>
      <c r="G211" s="73" t="s">
        <v>114</v>
      </c>
      <c r="H211" s="73">
        <v>0</v>
      </c>
      <c r="I211" s="68">
        <v>0</v>
      </c>
      <c r="J211" s="71"/>
      <c r="K211" s="71">
        <v>42812</v>
      </c>
      <c r="L211" s="69" t="s">
        <v>80</v>
      </c>
      <c r="M211" s="69" t="s">
        <v>109</v>
      </c>
      <c r="N211" s="72">
        <v>43040</v>
      </c>
      <c r="O211" s="67"/>
      <c r="P211" s="67" t="s">
        <v>95</v>
      </c>
      <c r="Q211" s="67" t="s">
        <v>129</v>
      </c>
      <c r="R211" s="69" t="s">
        <v>69</v>
      </c>
      <c r="S211" s="69" t="s">
        <v>138</v>
      </c>
      <c r="T211" s="67"/>
      <c r="U211" s="67"/>
      <c r="V211" s="72">
        <v>42947</v>
      </c>
      <c r="W211" s="69">
        <v>415570032</v>
      </c>
      <c r="X211" s="69"/>
      <c r="Y211" s="126"/>
      <c r="Z211" s="30">
        <f t="shared" si="6"/>
        <v>4232.8754339496491</v>
      </c>
      <c r="AA211" s="30">
        <f t="shared" si="7"/>
        <v>0</v>
      </c>
      <c r="AB211" t="s">
        <v>456</v>
      </c>
    </row>
    <row r="212" spans="1:28">
      <c r="A212" s="67" t="s">
        <v>122</v>
      </c>
      <c r="B212" s="68">
        <v>1252759</v>
      </c>
      <c r="C212" s="69">
        <v>4615407381</v>
      </c>
      <c r="D212" s="70">
        <v>19200</v>
      </c>
      <c r="E212" s="67"/>
      <c r="F212" s="68">
        <v>16</v>
      </c>
      <c r="G212" s="68">
        <v>5</v>
      </c>
      <c r="H212" s="75">
        <v>0</v>
      </c>
      <c r="I212" s="68">
        <v>0</v>
      </c>
      <c r="J212" s="71"/>
      <c r="K212" s="71">
        <v>42876</v>
      </c>
      <c r="L212" s="69" t="s">
        <v>80</v>
      </c>
      <c r="M212" s="69" t="s">
        <v>109</v>
      </c>
      <c r="N212" s="72">
        <v>43040</v>
      </c>
      <c r="O212" s="67"/>
      <c r="P212" s="67" t="s">
        <v>95</v>
      </c>
      <c r="Q212" s="67" t="s">
        <v>120</v>
      </c>
      <c r="R212" s="69" t="s">
        <v>69</v>
      </c>
      <c r="S212" s="69" t="s">
        <v>123</v>
      </c>
      <c r="T212" s="67"/>
      <c r="U212" s="67"/>
      <c r="V212" s="72">
        <v>42947</v>
      </c>
      <c r="W212" s="69">
        <v>2025666</v>
      </c>
      <c r="X212" s="69"/>
      <c r="Y212" s="126"/>
      <c r="Z212" s="30">
        <f t="shared" si="6"/>
        <v>6772.6006943194379</v>
      </c>
      <c r="AA212" s="30">
        <f t="shared" si="7"/>
        <v>2116.4377169748245</v>
      </c>
      <c r="AB212" t="s">
        <v>456</v>
      </c>
    </row>
    <row r="213" spans="1:28">
      <c r="A213" s="67" t="s">
        <v>113</v>
      </c>
      <c r="B213" s="68">
        <v>1277572</v>
      </c>
      <c r="C213" s="69">
        <v>4615400272</v>
      </c>
      <c r="D213" s="70">
        <v>20700</v>
      </c>
      <c r="E213" s="67"/>
      <c r="F213" s="68">
        <v>16</v>
      </c>
      <c r="G213" s="68" t="s">
        <v>114</v>
      </c>
      <c r="H213" s="73">
        <v>0</v>
      </c>
      <c r="I213" s="68">
        <v>0</v>
      </c>
      <c r="J213" s="71">
        <v>42976</v>
      </c>
      <c r="K213" s="71">
        <v>42842</v>
      </c>
      <c r="L213" s="69" t="s">
        <v>108</v>
      </c>
      <c r="M213" s="69" t="s">
        <v>109</v>
      </c>
      <c r="N213" s="72">
        <v>43039</v>
      </c>
      <c r="O213" s="67"/>
      <c r="P213" s="67" t="s">
        <v>95</v>
      </c>
      <c r="Q213" s="67" t="s">
        <v>110</v>
      </c>
      <c r="R213" s="69" t="s">
        <v>69</v>
      </c>
      <c r="S213" s="69" t="s">
        <v>115</v>
      </c>
      <c r="T213" s="67"/>
      <c r="U213" s="67"/>
      <c r="V213" s="72">
        <v>42978</v>
      </c>
      <c r="W213" s="69" t="s">
        <v>147</v>
      </c>
      <c r="X213" s="69" t="s">
        <v>117</v>
      </c>
      <c r="Y213" s="126"/>
      <c r="Z213" s="30">
        <f t="shared" si="6"/>
        <v>7301.7101235631453</v>
      </c>
      <c r="AA213" s="30">
        <f t="shared" si="7"/>
        <v>0</v>
      </c>
      <c r="AB213" t="s">
        <v>456</v>
      </c>
    </row>
    <row r="214" spans="1:28">
      <c r="A214" s="67" t="s">
        <v>113</v>
      </c>
      <c r="B214" s="68">
        <v>1275483</v>
      </c>
      <c r="C214" s="69">
        <v>4615478108</v>
      </c>
      <c r="D214" s="70">
        <v>20700</v>
      </c>
      <c r="E214" s="67"/>
      <c r="F214" s="68">
        <v>16</v>
      </c>
      <c r="G214" s="68">
        <v>5</v>
      </c>
      <c r="H214" s="73">
        <v>0</v>
      </c>
      <c r="I214" s="68">
        <v>0</v>
      </c>
      <c r="J214" s="71">
        <v>42979</v>
      </c>
      <c r="K214" s="71">
        <v>42965</v>
      </c>
      <c r="L214" s="69" t="s">
        <v>108</v>
      </c>
      <c r="M214" s="69" t="s">
        <v>109</v>
      </c>
      <c r="N214" s="72">
        <v>43039</v>
      </c>
      <c r="O214" s="67"/>
      <c r="P214" s="67" t="s">
        <v>95</v>
      </c>
      <c r="Q214" s="67" t="s">
        <v>110</v>
      </c>
      <c r="R214" s="69" t="s">
        <v>69</v>
      </c>
      <c r="S214" s="69" t="s">
        <v>115</v>
      </c>
      <c r="T214" s="67"/>
      <c r="U214" s="67"/>
      <c r="V214" s="72">
        <v>42978</v>
      </c>
      <c r="W214" s="69" t="s">
        <v>151</v>
      </c>
      <c r="X214" s="69" t="s">
        <v>117</v>
      </c>
      <c r="Y214" s="126"/>
      <c r="Z214" s="30">
        <f t="shared" si="6"/>
        <v>7301.7101235631453</v>
      </c>
      <c r="AA214" s="30">
        <f t="shared" si="7"/>
        <v>2281.7844136134831</v>
      </c>
      <c r="AB214" t="s">
        <v>456</v>
      </c>
    </row>
    <row r="215" spans="1:28">
      <c r="A215" s="67" t="s">
        <v>113</v>
      </c>
      <c r="B215" s="68">
        <v>1275487</v>
      </c>
      <c r="C215" s="69">
        <v>4615478108</v>
      </c>
      <c r="D215" s="70">
        <v>20700</v>
      </c>
      <c r="E215" s="67"/>
      <c r="F215" s="68">
        <v>16</v>
      </c>
      <c r="G215" s="68">
        <v>5</v>
      </c>
      <c r="H215" s="73">
        <v>0</v>
      </c>
      <c r="I215" s="68">
        <v>0</v>
      </c>
      <c r="J215" s="71">
        <v>42979</v>
      </c>
      <c r="K215" s="71">
        <v>42939</v>
      </c>
      <c r="L215" s="69" t="s">
        <v>108</v>
      </c>
      <c r="M215" s="69" t="s">
        <v>109</v>
      </c>
      <c r="N215" s="72">
        <v>43039</v>
      </c>
      <c r="O215" s="67"/>
      <c r="P215" s="67" t="s">
        <v>95</v>
      </c>
      <c r="Q215" s="67" t="s">
        <v>110</v>
      </c>
      <c r="R215" s="69" t="s">
        <v>69</v>
      </c>
      <c r="S215" s="69" t="s">
        <v>115</v>
      </c>
      <c r="T215" s="67"/>
      <c r="U215" s="67"/>
      <c r="V215" s="72">
        <v>42978</v>
      </c>
      <c r="W215" s="69" t="s">
        <v>151</v>
      </c>
      <c r="X215" s="69" t="s">
        <v>117</v>
      </c>
      <c r="Y215" s="126"/>
      <c r="Z215" s="30">
        <f t="shared" si="6"/>
        <v>7301.7101235631453</v>
      </c>
      <c r="AA215" s="30">
        <f t="shared" si="7"/>
        <v>2281.7844136134831</v>
      </c>
      <c r="AB215" t="s">
        <v>456</v>
      </c>
    </row>
    <row r="216" spans="1:28">
      <c r="A216" s="67" t="s">
        <v>107</v>
      </c>
      <c r="B216" s="68">
        <v>1274486</v>
      </c>
      <c r="C216" s="69">
        <v>4615445906</v>
      </c>
      <c r="D216" s="70">
        <v>19200</v>
      </c>
      <c r="E216" s="67"/>
      <c r="F216" s="68">
        <v>154.32</v>
      </c>
      <c r="G216" s="68">
        <v>0</v>
      </c>
      <c r="H216" s="73">
        <v>0</v>
      </c>
      <c r="I216" s="68">
        <v>0</v>
      </c>
      <c r="J216" s="71">
        <v>42982</v>
      </c>
      <c r="K216" s="71">
        <v>42957</v>
      </c>
      <c r="L216" s="69" t="s">
        <v>119</v>
      </c>
      <c r="M216" s="69" t="s">
        <v>109</v>
      </c>
      <c r="N216" s="72">
        <v>43039</v>
      </c>
      <c r="O216" s="67"/>
      <c r="P216" s="67" t="s">
        <v>95</v>
      </c>
      <c r="Q216" s="67" t="s">
        <v>110</v>
      </c>
      <c r="R216" s="69" t="s">
        <v>69</v>
      </c>
      <c r="S216" s="69" t="s">
        <v>111</v>
      </c>
      <c r="T216" s="67"/>
      <c r="U216" s="67"/>
      <c r="V216" s="72">
        <v>43008</v>
      </c>
      <c r="W216" s="69" t="s">
        <v>152</v>
      </c>
      <c r="X216" s="69"/>
      <c r="Y216" s="126"/>
      <c r="Z216" s="30">
        <f t="shared" si="6"/>
        <v>65321.73369671098</v>
      </c>
      <c r="AA216" s="30">
        <f t="shared" si="7"/>
        <v>0</v>
      </c>
      <c r="AB216" t="s">
        <v>456</v>
      </c>
    </row>
    <row r="217" spans="1:28">
      <c r="A217" s="67" t="s">
        <v>136</v>
      </c>
      <c r="B217" s="68">
        <v>1267195</v>
      </c>
      <c r="C217" s="69">
        <v>4615384878</v>
      </c>
      <c r="D217" s="70">
        <v>19200</v>
      </c>
      <c r="E217" s="67"/>
      <c r="F217" s="68">
        <v>10</v>
      </c>
      <c r="G217" s="68" t="s">
        <v>114</v>
      </c>
      <c r="H217" s="73">
        <v>0</v>
      </c>
      <c r="I217" s="68">
        <v>0</v>
      </c>
      <c r="J217" s="71">
        <v>42947</v>
      </c>
      <c r="K217" s="71">
        <v>42840</v>
      </c>
      <c r="L217" s="69" t="s">
        <v>137</v>
      </c>
      <c r="M217" s="69" t="s">
        <v>109</v>
      </c>
      <c r="N217" s="72">
        <v>43039</v>
      </c>
      <c r="O217" s="67"/>
      <c r="P217" s="67" t="s">
        <v>95</v>
      </c>
      <c r="Q217" s="67" t="s">
        <v>129</v>
      </c>
      <c r="R217" s="69" t="s">
        <v>69</v>
      </c>
      <c r="S217" s="69" t="s">
        <v>138</v>
      </c>
      <c r="T217" s="67"/>
      <c r="U217" s="67"/>
      <c r="V217" s="72">
        <v>43008</v>
      </c>
      <c r="W217" s="69">
        <v>415570034</v>
      </c>
      <c r="X217" s="69"/>
      <c r="Y217" s="126"/>
      <c r="Z217" s="30">
        <f t="shared" si="6"/>
        <v>4232.8754339496491</v>
      </c>
      <c r="AA217" s="30">
        <f t="shared" si="7"/>
        <v>0</v>
      </c>
      <c r="AB217" t="s">
        <v>456</v>
      </c>
    </row>
    <row r="218" spans="1:28">
      <c r="A218" s="67" t="s">
        <v>136</v>
      </c>
      <c r="B218" s="68">
        <v>1267194</v>
      </c>
      <c r="C218" s="69">
        <v>4615384878</v>
      </c>
      <c r="D218" s="70">
        <v>19200</v>
      </c>
      <c r="E218" s="67"/>
      <c r="F218" s="68">
        <v>10</v>
      </c>
      <c r="G218" s="68" t="s">
        <v>114</v>
      </c>
      <c r="H218" s="73">
        <v>0</v>
      </c>
      <c r="I218" s="68">
        <v>0</v>
      </c>
      <c r="J218" s="71">
        <v>42947</v>
      </c>
      <c r="K218" s="71">
        <v>42812</v>
      </c>
      <c r="L218" s="69" t="s">
        <v>137</v>
      </c>
      <c r="M218" s="69" t="s">
        <v>109</v>
      </c>
      <c r="N218" s="72">
        <v>43039</v>
      </c>
      <c r="O218" s="67"/>
      <c r="P218" s="67" t="s">
        <v>95</v>
      </c>
      <c r="Q218" s="67" t="s">
        <v>129</v>
      </c>
      <c r="R218" s="69" t="s">
        <v>69</v>
      </c>
      <c r="S218" s="69" t="s">
        <v>138</v>
      </c>
      <c r="T218" s="67"/>
      <c r="U218" s="67"/>
      <c r="V218" s="72">
        <v>43008</v>
      </c>
      <c r="W218" s="69">
        <v>415570034</v>
      </c>
      <c r="X218" s="69"/>
      <c r="Y218" s="126"/>
      <c r="Z218" s="30">
        <f t="shared" si="6"/>
        <v>4232.8754339496491</v>
      </c>
      <c r="AA218" s="30">
        <f t="shared" si="7"/>
        <v>0</v>
      </c>
      <c r="AB218" t="s">
        <v>456</v>
      </c>
    </row>
    <row r="219" spans="1:28">
      <c r="A219" s="67" t="s">
        <v>122</v>
      </c>
      <c r="B219" s="68">
        <v>1252754</v>
      </c>
      <c r="C219" s="69">
        <v>4615407381</v>
      </c>
      <c r="D219" s="70">
        <v>19200</v>
      </c>
      <c r="E219" s="67"/>
      <c r="F219" s="68">
        <v>16</v>
      </c>
      <c r="G219" s="68">
        <v>5</v>
      </c>
      <c r="H219" s="73">
        <v>0</v>
      </c>
      <c r="I219" s="68">
        <v>0</v>
      </c>
      <c r="J219" s="71"/>
      <c r="K219" s="71">
        <v>42876</v>
      </c>
      <c r="L219" s="69" t="s">
        <v>80</v>
      </c>
      <c r="M219" s="69" t="s">
        <v>109</v>
      </c>
      <c r="N219" s="72">
        <v>43039</v>
      </c>
      <c r="O219" s="67"/>
      <c r="P219" s="67" t="s">
        <v>95</v>
      </c>
      <c r="Q219" s="67" t="s">
        <v>120</v>
      </c>
      <c r="R219" s="69" t="s">
        <v>69</v>
      </c>
      <c r="S219" s="69" t="s">
        <v>123</v>
      </c>
      <c r="T219" s="67"/>
      <c r="U219" s="67"/>
      <c r="V219" s="72">
        <v>42947</v>
      </c>
      <c r="W219" s="69">
        <v>2025666</v>
      </c>
      <c r="X219" s="69"/>
      <c r="Y219" s="126"/>
      <c r="Z219" s="30">
        <f t="shared" si="6"/>
        <v>6772.6006943194379</v>
      </c>
      <c r="AA219" s="30">
        <f t="shared" si="7"/>
        <v>2116.4377169748245</v>
      </c>
      <c r="AB219" t="s">
        <v>456</v>
      </c>
    </row>
    <row r="220" spans="1:28">
      <c r="A220" s="67" t="s">
        <v>136</v>
      </c>
      <c r="B220" s="68">
        <v>1262368</v>
      </c>
      <c r="C220" s="69">
        <v>4615422533</v>
      </c>
      <c r="D220" s="70">
        <v>19175</v>
      </c>
      <c r="E220" s="67"/>
      <c r="F220" s="73">
        <v>10</v>
      </c>
      <c r="G220" s="73">
        <v>5</v>
      </c>
      <c r="H220" s="73">
        <v>0</v>
      </c>
      <c r="I220" s="68">
        <v>0</v>
      </c>
      <c r="J220" s="71"/>
      <c r="K220" s="71">
        <v>42855</v>
      </c>
      <c r="L220" s="69" t="s">
        <v>80</v>
      </c>
      <c r="M220" s="69" t="s">
        <v>109</v>
      </c>
      <c r="N220" s="72">
        <v>43038</v>
      </c>
      <c r="O220" s="67"/>
      <c r="P220" s="67" t="s">
        <v>95</v>
      </c>
      <c r="Q220" s="67" t="s">
        <v>129</v>
      </c>
      <c r="R220" s="69" t="s">
        <v>69</v>
      </c>
      <c r="S220" s="69" t="s">
        <v>138</v>
      </c>
      <c r="T220" s="67"/>
      <c r="U220" s="67"/>
      <c r="V220" s="72">
        <v>42947</v>
      </c>
      <c r="W220" s="69">
        <v>415570137</v>
      </c>
      <c r="X220" s="69"/>
      <c r="Y220" s="126"/>
      <c r="Z220" s="30">
        <f t="shared" si="6"/>
        <v>4227.3638773950279</v>
      </c>
      <c r="AA220" s="30">
        <f t="shared" si="7"/>
        <v>2113.6819386975139</v>
      </c>
      <c r="AB220" t="s">
        <v>456</v>
      </c>
    </row>
    <row r="221" spans="1:28">
      <c r="A221" s="67" t="s">
        <v>122</v>
      </c>
      <c r="B221" s="68">
        <v>1250829</v>
      </c>
      <c r="C221" s="69">
        <v>4615416504</v>
      </c>
      <c r="D221" s="70">
        <v>19200</v>
      </c>
      <c r="E221" s="67"/>
      <c r="F221" s="68">
        <v>16</v>
      </c>
      <c r="G221" s="68">
        <v>5</v>
      </c>
      <c r="H221" s="68">
        <v>0</v>
      </c>
      <c r="I221" s="68">
        <v>0</v>
      </c>
      <c r="J221" s="71"/>
      <c r="K221" s="71">
        <v>42939</v>
      </c>
      <c r="L221" s="69" t="s">
        <v>80</v>
      </c>
      <c r="M221" s="69" t="s">
        <v>109</v>
      </c>
      <c r="N221" s="72">
        <v>43038</v>
      </c>
      <c r="O221" s="67"/>
      <c r="P221" s="67" t="s">
        <v>95</v>
      </c>
      <c r="Q221" s="67" t="s">
        <v>120</v>
      </c>
      <c r="R221" s="69" t="s">
        <v>69</v>
      </c>
      <c r="S221" s="69" t="s">
        <v>123</v>
      </c>
      <c r="T221" s="67"/>
      <c r="U221" s="67"/>
      <c r="V221" s="72">
        <v>42886</v>
      </c>
      <c r="W221" s="69">
        <v>2025782</v>
      </c>
      <c r="X221" s="69"/>
      <c r="Y221" s="126"/>
      <c r="Z221" s="30">
        <f t="shared" si="6"/>
        <v>6772.6006943194379</v>
      </c>
      <c r="AA221" s="30">
        <f t="shared" si="7"/>
        <v>2116.4377169748245</v>
      </c>
      <c r="AB221" t="s">
        <v>456</v>
      </c>
    </row>
    <row r="222" spans="1:28">
      <c r="A222" s="67" t="s">
        <v>113</v>
      </c>
      <c r="B222" s="68">
        <v>1269279</v>
      </c>
      <c r="C222" s="69">
        <v>4615453966</v>
      </c>
      <c r="D222" s="70">
        <v>19175</v>
      </c>
      <c r="E222" s="67"/>
      <c r="F222" s="73">
        <v>16</v>
      </c>
      <c r="G222" s="73" t="s">
        <v>114</v>
      </c>
      <c r="H222" s="75">
        <v>0</v>
      </c>
      <c r="I222" s="68">
        <v>0</v>
      </c>
      <c r="J222" s="71">
        <v>42932</v>
      </c>
      <c r="K222" s="71">
        <v>42932</v>
      </c>
      <c r="L222" s="69" t="s">
        <v>119</v>
      </c>
      <c r="M222" s="69" t="s">
        <v>109</v>
      </c>
      <c r="N222" s="72">
        <v>43038</v>
      </c>
      <c r="O222" s="67"/>
      <c r="P222" s="67" t="s">
        <v>95</v>
      </c>
      <c r="Q222" s="67" t="s">
        <v>110</v>
      </c>
      <c r="R222" s="69" t="s">
        <v>69</v>
      </c>
      <c r="S222" s="69" t="s">
        <v>115</v>
      </c>
      <c r="T222" s="67"/>
      <c r="U222" s="67"/>
      <c r="V222" s="72">
        <v>42917</v>
      </c>
      <c r="W222" s="69" t="s">
        <v>156</v>
      </c>
      <c r="X222" s="69" t="s">
        <v>157</v>
      </c>
      <c r="Y222" s="126"/>
      <c r="Z222" s="30">
        <f t="shared" si="6"/>
        <v>6763.7822038320437</v>
      </c>
      <c r="AA222" s="30">
        <f t="shared" si="7"/>
        <v>0</v>
      </c>
      <c r="AB222" t="s">
        <v>456</v>
      </c>
    </row>
    <row r="223" spans="1:28">
      <c r="A223" s="67" t="s">
        <v>131</v>
      </c>
      <c r="B223" s="68">
        <v>1277197</v>
      </c>
      <c r="C223" s="69">
        <v>4615447093</v>
      </c>
      <c r="D223" s="70">
        <v>19175</v>
      </c>
      <c r="E223" s="67"/>
      <c r="F223" s="68">
        <v>154.4</v>
      </c>
      <c r="G223" s="75">
        <v>0</v>
      </c>
      <c r="H223" s="68">
        <v>0</v>
      </c>
      <c r="I223" s="68">
        <v>0</v>
      </c>
      <c r="J223" s="71">
        <v>42961</v>
      </c>
      <c r="K223" s="71">
        <v>42877</v>
      </c>
      <c r="L223" s="69" t="s">
        <v>119</v>
      </c>
      <c r="M223" s="69" t="s">
        <v>109</v>
      </c>
      <c r="N223" s="72">
        <v>43037</v>
      </c>
      <c r="O223" s="67"/>
      <c r="P223" s="67" t="s">
        <v>95</v>
      </c>
      <c r="Q223" s="67" t="s">
        <v>133</v>
      </c>
      <c r="R223" s="69" t="s">
        <v>69</v>
      </c>
      <c r="S223" s="69" t="s">
        <v>134</v>
      </c>
      <c r="T223" s="67"/>
      <c r="U223" s="67"/>
      <c r="V223" s="72">
        <v>43008</v>
      </c>
      <c r="W223" s="69" t="s">
        <v>158</v>
      </c>
      <c r="X223" s="69"/>
      <c r="Y223" s="126"/>
      <c r="Z223" s="30">
        <f t="shared" si="6"/>
        <v>65270.498266979223</v>
      </c>
      <c r="AA223" s="30">
        <f t="shared" si="7"/>
        <v>0</v>
      </c>
      <c r="AB223" t="s">
        <v>456</v>
      </c>
    </row>
    <row r="224" spans="1:28">
      <c r="A224" s="67" t="s">
        <v>113</v>
      </c>
      <c r="B224" s="68">
        <v>1275488</v>
      </c>
      <c r="C224" s="69">
        <v>4615478108</v>
      </c>
      <c r="D224" s="70">
        <v>20700</v>
      </c>
      <c r="E224" s="67"/>
      <c r="F224" s="68">
        <v>16</v>
      </c>
      <c r="G224" s="68">
        <v>5</v>
      </c>
      <c r="H224" s="73">
        <v>0</v>
      </c>
      <c r="I224" s="68">
        <v>0</v>
      </c>
      <c r="J224" s="71">
        <v>42979</v>
      </c>
      <c r="K224" s="71">
        <v>42812</v>
      </c>
      <c r="L224" s="69" t="s">
        <v>108</v>
      </c>
      <c r="M224" s="69" t="s">
        <v>109</v>
      </c>
      <c r="N224" s="72">
        <v>43037</v>
      </c>
      <c r="O224" s="67"/>
      <c r="P224" s="67" t="s">
        <v>95</v>
      </c>
      <c r="Q224" s="67" t="s">
        <v>110</v>
      </c>
      <c r="R224" s="69" t="s">
        <v>69</v>
      </c>
      <c r="S224" s="69" t="s">
        <v>115</v>
      </c>
      <c r="T224" s="67"/>
      <c r="U224" s="67"/>
      <c r="V224" s="72">
        <v>42978</v>
      </c>
      <c r="W224" s="69" t="s">
        <v>151</v>
      </c>
      <c r="X224" s="69" t="s">
        <v>117</v>
      </c>
      <c r="Y224" s="126"/>
      <c r="Z224" s="30">
        <f t="shared" si="6"/>
        <v>7301.7101235631453</v>
      </c>
      <c r="AA224" s="30">
        <f t="shared" si="7"/>
        <v>2281.7844136134831</v>
      </c>
      <c r="AB224" t="s">
        <v>456</v>
      </c>
    </row>
    <row r="225" spans="1:28">
      <c r="A225" s="67" t="s">
        <v>113</v>
      </c>
      <c r="B225" s="68">
        <v>1273084</v>
      </c>
      <c r="C225" s="69">
        <v>4615400272</v>
      </c>
      <c r="D225" s="70">
        <v>20700</v>
      </c>
      <c r="E225" s="67"/>
      <c r="F225" s="68">
        <v>16</v>
      </c>
      <c r="G225" s="68" t="s">
        <v>114</v>
      </c>
      <c r="H225" s="68">
        <v>0</v>
      </c>
      <c r="I225" s="68">
        <v>0</v>
      </c>
      <c r="J225" s="71">
        <v>42976</v>
      </c>
      <c r="K225" s="71">
        <v>42946</v>
      </c>
      <c r="L225" s="69" t="s">
        <v>108</v>
      </c>
      <c r="M225" s="69" t="s">
        <v>109</v>
      </c>
      <c r="N225" s="72">
        <v>43037</v>
      </c>
      <c r="O225" s="67"/>
      <c r="P225" s="67" t="s">
        <v>95</v>
      </c>
      <c r="Q225" s="67" t="s">
        <v>110</v>
      </c>
      <c r="R225" s="69" t="s">
        <v>69</v>
      </c>
      <c r="S225" s="69" t="s">
        <v>115</v>
      </c>
      <c r="T225" s="67"/>
      <c r="U225" s="67"/>
      <c r="V225" s="72">
        <v>42978</v>
      </c>
      <c r="W225" s="69" t="s">
        <v>147</v>
      </c>
      <c r="X225" s="69" t="s">
        <v>117</v>
      </c>
      <c r="Y225" s="126"/>
      <c r="Z225" s="30">
        <f t="shared" si="6"/>
        <v>7301.7101235631453</v>
      </c>
      <c r="AA225" s="30">
        <f t="shared" si="7"/>
        <v>0</v>
      </c>
      <c r="AB225" t="s">
        <v>456</v>
      </c>
    </row>
    <row r="226" spans="1:28">
      <c r="A226" s="67" t="s">
        <v>113</v>
      </c>
      <c r="B226" s="68">
        <v>1273082</v>
      </c>
      <c r="C226" s="69">
        <v>4615400272</v>
      </c>
      <c r="D226" s="70">
        <v>20700</v>
      </c>
      <c r="E226" s="67"/>
      <c r="F226" s="68">
        <v>16</v>
      </c>
      <c r="G226" s="68" t="s">
        <v>114</v>
      </c>
      <c r="H226" s="68">
        <v>0</v>
      </c>
      <c r="I226" s="68">
        <v>0</v>
      </c>
      <c r="J226" s="71">
        <v>42976</v>
      </c>
      <c r="K226" s="71">
        <v>42939</v>
      </c>
      <c r="L226" s="69" t="s">
        <v>108</v>
      </c>
      <c r="M226" s="69" t="s">
        <v>109</v>
      </c>
      <c r="N226" s="72">
        <v>43037</v>
      </c>
      <c r="O226" s="67"/>
      <c r="P226" s="67" t="s">
        <v>95</v>
      </c>
      <c r="Q226" s="67" t="s">
        <v>110</v>
      </c>
      <c r="R226" s="69" t="s">
        <v>69</v>
      </c>
      <c r="S226" s="69" t="s">
        <v>115</v>
      </c>
      <c r="T226" s="67"/>
      <c r="U226" s="67"/>
      <c r="V226" s="72">
        <v>42978</v>
      </c>
      <c r="W226" s="69" t="s">
        <v>147</v>
      </c>
      <c r="X226" s="69" t="s">
        <v>117</v>
      </c>
      <c r="Y226" s="126"/>
      <c r="Z226" s="30">
        <f t="shared" si="6"/>
        <v>7301.7101235631453</v>
      </c>
      <c r="AA226" s="30">
        <f t="shared" si="7"/>
        <v>0</v>
      </c>
      <c r="AB226" t="s">
        <v>456</v>
      </c>
    </row>
    <row r="227" spans="1:28">
      <c r="A227" s="67" t="s">
        <v>136</v>
      </c>
      <c r="B227" s="68">
        <v>1267198</v>
      </c>
      <c r="C227" s="69">
        <v>4615384878</v>
      </c>
      <c r="D227" s="70">
        <v>19200</v>
      </c>
      <c r="E227" s="67"/>
      <c r="F227" s="73">
        <v>10</v>
      </c>
      <c r="G227" s="73" t="s">
        <v>114</v>
      </c>
      <c r="H227" s="73">
        <v>0</v>
      </c>
      <c r="I227" s="68">
        <v>0</v>
      </c>
      <c r="J227" s="71">
        <v>42947</v>
      </c>
      <c r="K227" s="71">
        <v>42954</v>
      </c>
      <c r="L227" s="69" t="s">
        <v>137</v>
      </c>
      <c r="M227" s="69" t="s">
        <v>109</v>
      </c>
      <c r="N227" s="72">
        <v>43037</v>
      </c>
      <c r="O227" s="67"/>
      <c r="P227" s="67" t="s">
        <v>95</v>
      </c>
      <c r="Q227" s="67" t="s">
        <v>129</v>
      </c>
      <c r="R227" s="69" t="s">
        <v>69</v>
      </c>
      <c r="S227" s="69" t="s">
        <v>138</v>
      </c>
      <c r="T227" s="67"/>
      <c r="U227" s="67"/>
      <c r="V227" s="72">
        <v>43008</v>
      </c>
      <c r="W227" s="69">
        <v>415570034</v>
      </c>
      <c r="X227" s="69"/>
      <c r="Y227" s="126"/>
      <c r="Z227" s="30">
        <f t="shared" si="6"/>
        <v>4232.8754339496491</v>
      </c>
      <c r="AA227" s="30">
        <f t="shared" si="7"/>
        <v>0</v>
      </c>
      <c r="AB227" t="s">
        <v>456</v>
      </c>
    </row>
    <row r="228" spans="1:28">
      <c r="A228" s="67" t="s">
        <v>136</v>
      </c>
      <c r="B228" s="68">
        <v>1262363</v>
      </c>
      <c r="C228" s="69">
        <v>4615389010</v>
      </c>
      <c r="D228" s="70">
        <v>19200</v>
      </c>
      <c r="E228" s="67"/>
      <c r="F228" s="73">
        <v>10</v>
      </c>
      <c r="G228" s="73" t="s">
        <v>114</v>
      </c>
      <c r="H228" s="73">
        <v>0</v>
      </c>
      <c r="I228" s="68">
        <v>0</v>
      </c>
      <c r="J228" s="71"/>
      <c r="K228" s="71">
        <v>42955</v>
      </c>
      <c r="L228" s="69" t="s">
        <v>80</v>
      </c>
      <c r="M228" s="69" t="s">
        <v>109</v>
      </c>
      <c r="N228" s="72">
        <v>43037</v>
      </c>
      <c r="O228" s="67"/>
      <c r="P228" s="67" t="s">
        <v>95</v>
      </c>
      <c r="Q228" s="67" t="s">
        <v>129</v>
      </c>
      <c r="R228" s="69" t="s">
        <v>69</v>
      </c>
      <c r="S228" s="69" t="s">
        <v>138</v>
      </c>
      <c r="T228" s="67"/>
      <c r="U228" s="67"/>
      <c r="V228" s="72">
        <v>42947</v>
      </c>
      <c r="W228" s="69">
        <v>415570032</v>
      </c>
      <c r="X228" s="69"/>
      <c r="Y228" s="126"/>
      <c r="Z228" s="30">
        <f t="shared" si="6"/>
        <v>4232.8754339496491</v>
      </c>
      <c r="AA228" s="30">
        <f t="shared" si="7"/>
        <v>0</v>
      </c>
      <c r="AB228" t="s">
        <v>456</v>
      </c>
    </row>
    <row r="229" spans="1:28">
      <c r="A229" s="67" t="s">
        <v>122</v>
      </c>
      <c r="B229" s="68">
        <v>1252758</v>
      </c>
      <c r="C229" s="69">
        <v>4615407381</v>
      </c>
      <c r="D229" s="70">
        <v>19200</v>
      </c>
      <c r="E229" s="67"/>
      <c r="F229" s="68">
        <v>16</v>
      </c>
      <c r="G229" s="68">
        <v>5</v>
      </c>
      <c r="H229" s="75">
        <v>0</v>
      </c>
      <c r="I229" s="68">
        <v>0</v>
      </c>
      <c r="J229" s="71"/>
      <c r="K229" s="71">
        <v>42813</v>
      </c>
      <c r="L229" s="69" t="s">
        <v>80</v>
      </c>
      <c r="M229" s="69" t="s">
        <v>109</v>
      </c>
      <c r="N229" s="72">
        <v>43037</v>
      </c>
      <c r="O229" s="67"/>
      <c r="P229" s="67" t="s">
        <v>95</v>
      </c>
      <c r="Q229" s="67" t="s">
        <v>120</v>
      </c>
      <c r="R229" s="69" t="s">
        <v>69</v>
      </c>
      <c r="S229" s="69" t="s">
        <v>123</v>
      </c>
      <c r="T229" s="67"/>
      <c r="U229" s="67"/>
      <c r="V229" s="72">
        <v>42947</v>
      </c>
      <c r="W229" s="69">
        <v>2025666</v>
      </c>
      <c r="X229" s="69"/>
      <c r="Y229" s="126"/>
      <c r="Z229" s="30">
        <f t="shared" si="6"/>
        <v>6772.6006943194379</v>
      </c>
      <c r="AA229" s="30">
        <f t="shared" si="7"/>
        <v>2116.4377169748245</v>
      </c>
      <c r="AB229" t="s">
        <v>456</v>
      </c>
    </row>
    <row r="230" spans="1:28">
      <c r="A230" s="67" t="s">
        <v>122</v>
      </c>
      <c r="B230" s="68">
        <v>1250830</v>
      </c>
      <c r="C230" s="69">
        <v>4615416504</v>
      </c>
      <c r="D230" s="70">
        <v>19200</v>
      </c>
      <c r="E230" s="67"/>
      <c r="F230" s="68">
        <v>16</v>
      </c>
      <c r="G230" s="68">
        <v>5</v>
      </c>
      <c r="H230" s="68">
        <v>0</v>
      </c>
      <c r="I230" s="68">
        <v>0</v>
      </c>
      <c r="J230" s="71"/>
      <c r="K230" s="71">
        <v>42855</v>
      </c>
      <c r="L230" s="69" t="s">
        <v>80</v>
      </c>
      <c r="M230" s="69" t="s">
        <v>109</v>
      </c>
      <c r="N230" s="72">
        <v>43037</v>
      </c>
      <c r="O230" s="67"/>
      <c r="P230" s="67" t="s">
        <v>95</v>
      </c>
      <c r="Q230" s="67" t="s">
        <v>120</v>
      </c>
      <c r="R230" s="69" t="s">
        <v>69</v>
      </c>
      <c r="S230" s="69" t="s">
        <v>123</v>
      </c>
      <c r="T230" s="67"/>
      <c r="U230" s="67"/>
      <c r="V230" s="72">
        <v>42886</v>
      </c>
      <c r="W230" s="69">
        <v>2025782</v>
      </c>
      <c r="X230" s="69"/>
      <c r="Y230" s="126"/>
      <c r="Z230" s="30">
        <f t="shared" si="6"/>
        <v>6772.6006943194379</v>
      </c>
      <c r="AA230" s="30">
        <f t="shared" si="7"/>
        <v>2116.4377169748245</v>
      </c>
      <c r="AB230" t="s">
        <v>456</v>
      </c>
    </row>
    <row r="231" spans="1:28">
      <c r="A231" s="67" t="s">
        <v>122</v>
      </c>
      <c r="B231" s="68">
        <v>1250826</v>
      </c>
      <c r="C231" s="69">
        <v>4615416504</v>
      </c>
      <c r="D231" s="70">
        <v>19200</v>
      </c>
      <c r="E231" s="67"/>
      <c r="F231" s="68">
        <v>16</v>
      </c>
      <c r="G231" s="68">
        <v>5</v>
      </c>
      <c r="H231" s="68">
        <v>0</v>
      </c>
      <c r="I231" s="68">
        <v>0</v>
      </c>
      <c r="J231" s="71"/>
      <c r="K231" s="71">
        <v>42868</v>
      </c>
      <c r="L231" s="69" t="s">
        <v>80</v>
      </c>
      <c r="M231" s="69" t="s">
        <v>109</v>
      </c>
      <c r="N231" s="72">
        <v>43037</v>
      </c>
      <c r="O231" s="67"/>
      <c r="P231" s="67" t="s">
        <v>95</v>
      </c>
      <c r="Q231" s="67" t="s">
        <v>120</v>
      </c>
      <c r="R231" s="69" t="s">
        <v>69</v>
      </c>
      <c r="S231" s="69" t="s">
        <v>123</v>
      </c>
      <c r="T231" s="67"/>
      <c r="U231" s="67"/>
      <c r="V231" s="72">
        <v>42886</v>
      </c>
      <c r="W231" s="69">
        <v>2025782</v>
      </c>
      <c r="X231" s="69"/>
      <c r="Y231" s="126"/>
      <c r="Z231" s="30">
        <f t="shared" si="6"/>
        <v>6772.6006943194379</v>
      </c>
      <c r="AA231" s="30">
        <f t="shared" si="7"/>
        <v>2116.4377169748245</v>
      </c>
      <c r="AB231" t="s">
        <v>456</v>
      </c>
    </row>
    <row r="232" spans="1:28">
      <c r="A232" s="67" t="s">
        <v>122</v>
      </c>
      <c r="B232" s="68">
        <v>1250824</v>
      </c>
      <c r="C232" s="69">
        <v>4615416504</v>
      </c>
      <c r="D232" s="70">
        <v>19200</v>
      </c>
      <c r="E232" s="67"/>
      <c r="F232" s="68">
        <v>16</v>
      </c>
      <c r="G232" s="68">
        <v>5</v>
      </c>
      <c r="H232" s="68">
        <v>0</v>
      </c>
      <c r="I232" s="68">
        <v>0</v>
      </c>
      <c r="J232" s="71"/>
      <c r="K232" s="71">
        <v>42855</v>
      </c>
      <c r="L232" s="69" t="s">
        <v>80</v>
      </c>
      <c r="M232" s="69" t="s">
        <v>109</v>
      </c>
      <c r="N232" s="72">
        <v>43037</v>
      </c>
      <c r="O232" s="67"/>
      <c r="P232" s="67" t="s">
        <v>95</v>
      </c>
      <c r="Q232" s="67" t="s">
        <v>120</v>
      </c>
      <c r="R232" s="69" t="s">
        <v>69</v>
      </c>
      <c r="S232" s="69" t="s">
        <v>123</v>
      </c>
      <c r="T232" s="67"/>
      <c r="U232" s="67"/>
      <c r="V232" s="72">
        <v>42886</v>
      </c>
      <c r="W232" s="69">
        <v>2025782</v>
      </c>
      <c r="X232" s="77" t="s">
        <v>155</v>
      </c>
      <c r="Y232" s="126"/>
      <c r="Z232" s="30">
        <f t="shared" si="6"/>
        <v>6772.6006943194379</v>
      </c>
      <c r="AA232" s="30">
        <f t="shared" si="7"/>
        <v>2116.4377169748245</v>
      </c>
      <c r="AB232" t="s">
        <v>456</v>
      </c>
    </row>
    <row r="233" spans="1:28">
      <c r="A233" s="67" t="s">
        <v>122</v>
      </c>
      <c r="B233" s="68">
        <v>1272684</v>
      </c>
      <c r="C233" s="69">
        <v>4615409822</v>
      </c>
      <c r="D233" s="70">
        <v>19175</v>
      </c>
      <c r="E233" s="67"/>
      <c r="F233" s="68">
        <v>16</v>
      </c>
      <c r="G233" s="68">
        <v>5</v>
      </c>
      <c r="H233" s="73">
        <v>0</v>
      </c>
      <c r="I233" s="68">
        <v>0</v>
      </c>
      <c r="J233" s="71"/>
      <c r="K233" s="71">
        <v>42778</v>
      </c>
      <c r="L233" s="69" t="s">
        <v>80</v>
      </c>
      <c r="M233" s="69" t="s">
        <v>109</v>
      </c>
      <c r="N233" s="72">
        <v>43037</v>
      </c>
      <c r="O233" s="67"/>
      <c r="P233" s="67" t="s">
        <v>95</v>
      </c>
      <c r="Q233" s="67" t="s">
        <v>120</v>
      </c>
      <c r="R233" s="69" t="s">
        <v>69</v>
      </c>
      <c r="S233" s="69" t="s">
        <v>123</v>
      </c>
      <c r="T233" s="67"/>
      <c r="U233" s="67"/>
      <c r="V233" s="72">
        <v>42978</v>
      </c>
      <c r="W233" s="69">
        <v>2025753</v>
      </c>
      <c r="X233" s="69"/>
      <c r="Y233" s="126"/>
      <c r="Z233" s="30">
        <f t="shared" si="6"/>
        <v>6763.7822038320437</v>
      </c>
      <c r="AA233" s="30">
        <f t="shared" si="7"/>
        <v>2113.6819386975139</v>
      </c>
      <c r="AB233" t="s">
        <v>456</v>
      </c>
    </row>
    <row r="234" spans="1:28">
      <c r="A234" s="67" t="s">
        <v>122</v>
      </c>
      <c r="B234" s="68">
        <v>1270648</v>
      </c>
      <c r="C234" s="69">
        <v>4615400122</v>
      </c>
      <c r="D234" s="70">
        <v>19200</v>
      </c>
      <c r="E234" s="67"/>
      <c r="F234" s="68">
        <v>16</v>
      </c>
      <c r="G234" s="68">
        <v>5</v>
      </c>
      <c r="H234" s="73">
        <v>0</v>
      </c>
      <c r="I234" s="68">
        <v>0</v>
      </c>
      <c r="J234" s="71">
        <v>42933</v>
      </c>
      <c r="K234" s="71">
        <v>42743</v>
      </c>
      <c r="L234" s="69" t="s">
        <v>119</v>
      </c>
      <c r="M234" s="69" t="s">
        <v>109</v>
      </c>
      <c r="N234" s="72">
        <v>43037</v>
      </c>
      <c r="O234" s="67"/>
      <c r="P234" s="67" t="s">
        <v>95</v>
      </c>
      <c r="Q234" s="67" t="s">
        <v>120</v>
      </c>
      <c r="R234" s="69" t="s">
        <v>69</v>
      </c>
      <c r="S234" s="69" t="s">
        <v>123</v>
      </c>
      <c r="T234" s="67"/>
      <c r="U234" s="67"/>
      <c r="V234" s="72">
        <v>42978</v>
      </c>
      <c r="W234" s="69">
        <v>2025785</v>
      </c>
      <c r="X234" s="69"/>
      <c r="Y234" s="126"/>
      <c r="Z234" s="30">
        <f t="shared" si="6"/>
        <v>6772.6006943194379</v>
      </c>
      <c r="AA234" s="30">
        <f t="shared" si="7"/>
        <v>2116.4377169748245</v>
      </c>
      <c r="AB234" t="s">
        <v>456</v>
      </c>
    </row>
    <row r="235" spans="1:28">
      <c r="A235" s="67" t="s">
        <v>122</v>
      </c>
      <c r="B235" s="68">
        <v>1270640</v>
      </c>
      <c r="C235" s="69">
        <v>4615400122</v>
      </c>
      <c r="D235" s="70">
        <v>19200</v>
      </c>
      <c r="E235" s="67"/>
      <c r="F235" s="68">
        <v>16</v>
      </c>
      <c r="G235" s="68">
        <v>5</v>
      </c>
      <c r="H235" s="73">
        <v>0</v>
      </c>
      <c r="I235" s="68">
        <v>0</v>
      </c>
      <c r="J235" s="71"/>
      <c r="K235" s="71">
        <v>42855</v>
      </c>
      <c r="L235" s="69" t="s">
        <v>80</v>
      </c>
      <c r="M235" s="69" t="s">
        <v>109</v>
      </c>
      <c r="N235" s="72">
        <v>43037</v>
      </c>
      <c r="O235" s="67"/>
      <c r="P235" s="67" t="s">
        <v>95</v>
      </c>
      <c r="Q235" s="67" t="s">
        <v>120</v>
      </c>
      <c r="R235" s="69" t="s">
        <v>69</v>
      </c>
      <c r="S235" s="69" t="s">
        <v>123</v>
      </c>
      <c r="T235" s="67"/>
      <c r="U235" s="67"/>
      <c r="V235" s="72">
        <v>42978</v>
      </c>
      <c r="W235" s="69">
        <v>2025785</v>
      </c>
      <c r="X235" s="69"/>
      <c r="Y235" s="126"/>
      <c r="Z235" s="30">
        <f t="shared" si="6"/>
        <v>6772.6006943194379</v>
      </c>
      <c r="AA235" s="30">
        <f t="shared" si="7"/>
        <v>2116.4377169748245</v>
      </c>
      <c r="AB235" t="s">
        <v>456</v>
      </c>
    </row>
    <row r="236" spans="1:28">
      <c r="A236" s="67" t="s">
        <v>122</v>
      </c>
      <c r="B236" s="68">
        <v>1250823</v>
      </c>
      <c r="C236" s="69">
        <v>4615416504</v>
      </c>
      <c r="D236" s="70">
        <v>19200</v>
      </c>
      <c r="E236" s="67"/>
      <c r="F236" s="68">
        <v>16</v>
      </c>
      <c r="G236" s="68">
        <v>5</v>
      </c>
      <c r="H236" s="68">
        <v>0</v>
      </c>
      <c r="I236" s="68">
        <v>0</v>
      </c>
      <c r="J236" s="71"/>
      <c r="K236" s="71">
        <v>42812</v>
      </c>
      <c r="L236" s="69" t="s">
        <v>80</v>
      </c>
      <c r="M236" s="69" t="s">
        <v>109</v>
      </c>
      <c r="N236" s="72">
        <v>43037</v>
      </c>
      <c r="O236" s="67"/>
      <c r="P236" s="67" t="s">
        <v>95</v>
      </c>
      <c r="Q236" s="67" t="s">
        <v>120</v>
      </c>
      <c r="R236" s="69" t="s">
        <v>69</v>
      </c>
      <c r="S236" s="69" t="s">
        <v>123</v>
      </c>
      <c r="T236" s="67"/>
      <c r="U236" s="67"/>
      <c r="V236" s="72">
        <v>42886</v>
      </c>
      <c r="W236" s="69">
        <v>2025782</v>
      </c>
      <c r="X236" s="69"/>
      <c r="Y236" s="126"/>
      <c r="Z236" s="30">
        <f t="shared" si="6"/>
        <v>6772.6006943194379</v>
      </c>
      <c r="AA236" s="30">
        <f t="shared" si="7"/>
        <v>2116.4377169748245</v>
      </c>
      <c r="AB236" t="s">
        <v>456</v>
      </c>
    </row>
    <row r="237" spans="1:28">
      <c r="A237" s="67" t="s">
        <v>122</v>
      </c>
      <c r="B237" s="68">
        <v>1270646</v>
      </c>
      <c r="C237" s="69">
        <v>4615400122</v>
      </c>
      <c r="D237" s="70">
        <v>19200</v>
      </c>
      <c r="E237" s="67"/>
      <c r="F237" s="68">
        <v>16</v>
      </c>
      <c r="G237" s="68">
        <v>5</v>
      </c>
      <c r="H237" s="73">
        <v>0</v>
      </c>
      <c r="I237" s="68">
        <v>0</v>
      </c>
      <c r="J237" s="71"/>
      <c r="K237" s="71">
        <v>42954</v>
      </c>
      <c r="L237" s="69" t="s">
        <v>80</v>
      </c>
      <c r="M237" s="69" t="s">
        <v>109</v>
      </c>
      <c r="N237" s="72">
        <v>43037</v>
      </c>
      <c r="O237" s="67"/>
      <c r="P237" s="67" t="s">
        <v>95</v>
      </c>
      <c r="Q237" s="67" t="s">
        <v>120</v>
      </c>
      <c r="R237" s="69" t="s">
        <v>69</v>
      </c>
      <c r="S237" s="69" t="s">
        <v>123</v>
      </c>
      <c r="T237" s="67"/>
      <c r="U237" s="67"/>
      <c r="V237" s="72">
        <v>42978</v>
      </c>
      <c r="W237" s="69">
        <v>2025785</v>
      </c>
      <c r="X237" s="69"/>
      <c r="Y237" s="126"/>
      <c r="Z237" s="30">
        <f t="shared" si="6"/>
        <v>6772.6006943194379</v>
      </c>
      <c r="AA237" s="30">
        <f t="shared" si="7"/>
        <v>2116.4377169748245</v>
      </c>
      <c r="AB237" t="s">
        <v>456</v>
      </c>
    </row>
    <row r="238" spans="1:28">
      <c r="A238" s="67" t="s">
        <v>122</v>
      </c>
      <c r="B238" s="68">
        <v>1270639</v>
      </c>
      <c r="C238" s="68">
        <v>4615400122</v>
      </c>
      <c r="D238" s="70">
        <v>19200</v>
      </c>
      <c r="E238" s="67"/>
      <c r="F238" s="68">
        <v>16</v>
      </c>
      <c r="G238" s="68">
        <v>5</v>
      </c>
      <c r="H238" s="73">
        <v>0</v>
      </c>
      <c r="I238" s="68">
        <v>0</v>
      </c>
      <c r="J238" s="71"/>
      <c r="K238" s="71">
        <v>42954</v>
      </c>
      <c r="L238" s="69" t="s">
        <v>80</v>
      </c>
      <c r="M238" s="69" t="s">
        <v>109</v>
      </c>
      <c r="N238" s="72">
        <v>43037</v>
      </c>
      <c r="O238" s="67"/>
      <c r="P238" s="67" t="s">
        <v>95</v>
      </c>
      <c r="Q238" s="67" t="s">
        <v>120</v>
      </c>
      <c r="R238" s="69" t="s">
        <v>69</v>
      </c>
      <c r="S238" s="69" t="s">
        <v>123</v>
      </c>
      <c r="T238" s="67"/>
      <c r="U238" s="67"/>
      <c r="V238" s="72">
        <v>42978</v>
      </c>
      <c r="W238" s="69">
        <v>2025785</v>
      </c>
      <c r="X238" s="69"/>
      <c r="Y238" s="126"/>
      <c r="Z238" s="30">
        <f t="shared" si="6"/>
        <v>6772.6006943194379</v>
      </c>
      <c r="AA238" s="30">
        <f t="shared" si="7"/>
        <v>2116.4377169748245</v>
      </c>
      <c r="AB238" t="s">
        <v>456</v>
      </c>
    </row>
    <row r="239" spans="1:28">
      <c r="A239" s="67" t="s">
        <v>113</v>
      </c>
      <c r="B239" s="68">
        <v>1269280</v>
      </c>
      <c r="C239" s="69">
        <v>4615453966</v>
      </c>
      <c r="D239" s="70">
        <v>19175</v>
      </c>
      <c r="E239" s="67"/>
      <c r="F239" s="73">
        <v>16</v>
      </c>
      <c r="G239" s="73" t="s">
        <v>114</v>
      </c>
      <c r="H239" s="75">
        <v>0</v>
      </c>
      <c r="I239" s="68">
        <v>0</v>
      </c>
      <c r="J239" s="71">
        <v>42932</v>
      </c>
      <c r="K239" s="71">
        <v>42954</v>
      </c>
      <c r="L239" s="69" t="s">
        <v>119</v>
      </c>
      <c r="M239" s="69" t="s">
        <v>109</v>
      </c>
      <c r="N239" s="72">
        <v>43037</v>
      </c>
      <c r="O239" s="67"/>
      <c r="P239" s="67" t="s">
        <v>95</v>
      </c>
      <c r="Q239" s="67" t="s">
        <v>110</v>
      </c>
      <c r="R239" s="69" t="s">
        <v>69</v>
      </c>
      <c r="S239" s="69" t="s">
        <v>115</v>
      </c>
      <c r="T239" s="67"/>
      <c r="U239" s="67"/>
      <c r="V239" s="72">
        <v>42917</v>
      </c>
      <c r="W239" s="69" t="s">
        <v>156</v>
      </c>
      <c r="X239" s="69" t="s">
        <v>157</v>
      </c>
      <c r="Y239" s="126"/>
      <c r="Z239" s="30">
        <f t="shared" si="6"/>
        <v>6763.7822038320437</v>
      </c>
      <c r="AA239" s="30">
        <f t="shared" si="7"/>
        <v>0</v>
      </c>
      <c r="AB239" t="s">
        <v>456</v>
      </c>
    </row>
    <row r="240" spans="1:28">
      <c r="A240" s="67" t="s">
        <v>122</v>
      </c>
      <c r="B240" s="68">
        <v>1250831</v>
      </c>
      <c r="C240" s="69">
        <v>4615416504</v>
      </c>
      <c r="D240" s="70">
        <v>19200</v>
      </c>
      <c r="E240" s="67"/>
      <c r="F240" s="68">
        <v>16</v>
      </c>
      <c r="G240" s="68">
        <v>5</v>
      </c>
      <c r="H240" s="68">
        <v>0</v>
      </c>
      <c r="I240" s="68">
        <v>0</v>
      </c>
      <c r="J240" s="71"/>
      <c r="K240" s="71">
        <v>42846</v>
      </c>
      <c r="L240" s="69" t="s">
        <v>80</v>
      </c>
      <c r="M240" s="69" t="s">
        <v>109</v>
      </c>
      <c r="N240" s="72">
        <v>43035</v>
      </c>
      <c r="O240" s="67"/>
      <c r="P240" s="67" t="s">
        <v>95</v>
      </c>
      <c r="Q240" s="67" t="s">
        <v>120</v>
      </c>
      <c r="R240" s="69" t="s">
        <v>69</v>
      </c>
      <c r="S240" s="69" t="s">
        <v>123</v>
      </c>
      <c r="T240" s="67"/>
      <c r="U240" s="67"/>
      <c r="V240" s="72">
        <v>42886</v>
      </c>
      <c r="W240" s="69">
        <v>2025782</v>
      </c>
      <c r="X240" s="69"/>
      <c r="Y240" s="126"/>
      <c r="Z240" s="30">
        <f t="shared" si="6"/>
        <v>6772.6006943194379</v>
      </c>
      <c r="AA240" s="30">
        <f t="shared" si="7"/>
        <v>2116.4377169748245</v>
      </c>
      <c r="AB240" t="s">
        <v>456</v>
      </c>
    </row>
    <row r="241" spans="1:28">
      <c r="A241" s="67" t="s">
        <v>113</v>
      </c>
      <c r="B241" s="68">
        <v>1277570</v>
      </c>
      <c r="C241" s="69">
        <v>4615400272</v>
      </c>
      <c r="D241" s="70">
        <v>20700</v>
      </c>
      <c r="E241" s="67"/>
      <c r="F241" s="68">
        <v>16</v>
      </c>
      <c r="G241" s="68" t="s">
        <v>114</v>
      </c>
      <c r="H241" s="68">
        <v>0</v>
      </c>
      <c r="I241" s="68">
        <v>0</v>
      </c>
      <c r="J241" s="71">
        <v>42976</v>
      </c>
      <c r="K241" s="71">
        <v>42851</v>
      </c>
      <c r="L241" s="69" t="s">
        <v>108</v>
      </c>
      <c r="M241" s="69" t="s">
        <v>109</v>
      </c>
      <c r="N241" s="72">
        <v>43035</v>
      </c>
      <c r="O241" s="67"/>
      <c r="P241" s="67" t="s">
        <v>95</v>
      </c>
      <c r="Q241" s="67" t="s">
        <v>110</v>
      </c>
      <c r="R241" s="69" t="s">
        <v>69</v>
      </c>
      <c r="S241" s="69" t="s">
        <v>115</v>
      </c>
      <c r="T241" s="67"/>
      <c r="U241" s="67"/>
      <c r="V241" s="72">
        <v>42978</v>
      </c>
      <c r="W241" s="69" t="s">
        <v>147</v>
      </c>
      <c r="X241" s="69" t="s">
        <v>117</v>
      </c>
      <c r="Y241" s="126"/>
      <c r="Z241" s="30">
        <f t="shared" si="6"/>
        <v>7301.7101235631453</v>
      </c>
      <c r="AA241" s="30">
        <f t="shared" si="7"/>
        <v>0</v>
      </c>
      <c r="AB241" t="s">
        <v>456</v>
      </c>
    </row>
    <row r="242" spans="1:28">
      <c r="A242" s="67" t="s">
        <v>122</v>
      </c>
      <c r="B242" s="68">
        <v>1270643</v>
      </c>
      <c r="C242" s="69">
        <v>4615400122</v>
      </c>
      <c r="D242" s="70">
        <v>19200</v>
      </c>
      <c r="E242" s="67"/>
      <c r="F242" s="68">
        <v>16</v>
      </c>
      <c r="G242" s="68">
        <v>5</v>
      </c>
      <c r="H242" s="73">
        <v>0</v>
      </c>
      <c r="I242" s="68">
        <v>0</v>
      </c>
      <c r="J242" s="71"/>
      <c r="K242" s="71">
        <v>42846</v>
      </c>
      <c r="L242" s="69" t="s">
        <v>80</v>
      </c>
      <c r="M242" s="69" t="s">
        <v>109</v>
      </c>
      <c r="N242" s="72">
        <v>43035</v>
      </c>
      <c r="O242" s="67"/>
      <c r="P242" s="67" t="s">
        <v>95</v>
      </c>
      <c r="Q242" s="67" t="s">
        <v>120</v>
      </c>
      <c r="R242" s="69" t="s">
        <v>69</v>
      </c>
      <c r="S242" s="69" t="s">
        <v>123</v>
      </c>
      <c r="T242" s="67"/>
      <c r="U242" s="67"/>
      <c r="V242" s="72">
        <v>42978</v>
      </c>
      <c r="W242" s="69">
        <v>2025785</v>
      </c>
      <c r="X242" s="69"/>
      <c r="Y242" s="126"/>
      <c r="Z242" s="30">
        <f t="shared" si="6"/>
        <v>6772.6006943194379</v>
      </c>
      <c r="AA242" s="30">
        <f t="shared" si="7"/>
        <v>2116.4377169748245</v>
      </c>
      <c r="AB242" t="s">
        <v>456</v>
      </c>
    </row>
    <row r="243" spans="1:28">
      <c r="A243" s="67" t="s">
        <v>68</v>
      </c>
      <c r="B243" s="68">
        <v>1278448</v>
      </c>
      <c r="C243" s="69">
        <v>4615415532</v>
      </c>
      <c r="D243" s="70">
        <v>20499.600000000002</v>
      </c>
      <c r="E243" s="67"/>
      <c r="F243" s="68">
        <v>16</v>
      </c>
      <c r="G243" s="68" t="s">
        <v>114</v>
      </c>
      <c r="H243" s="68">
        <v>0</v>
      </c>
      <c r="I243" s="68">
        <v>0</v>
      </c>
      <c r="J243" s="71">
        <v>42967</v>
      </c>
      <c r="K243" s="71">
        <v>42812</v>
      </c>
      <c r="L243" s="69" t="s">
        <v>119</v>
      </c>
      <c r="M243" s="69" t="s">
        <v>109</v>
      </c>
      <c r="N243" s="72">
        <v>43033</v>
      </c>
      <c r="O243" s="67"/>
      <c r="P243" s="67" t="s">
        <v>95</v>
      </c>
      <c r="Q243" s="67" t="s">
        <v>125</v>
      </c>
      <c r="R243" s="69" t="s">
        <v>69</v>
      </c>
      <c r="S243" s="69" t="s">
        <v>68</v>
      </c>
      <c r="T243" s="67"/>
      <c r="U243" s="67"/>
      <c r="V243" s="72">
        <v>43008</v>
      </c>
      <c r="W243" s="69">
        <v>5114738</v>
      </c>
      <c r="X243" s="69" t="s">
        <v>159</v>
      </c>
      <c r="Y243" s="126"/>
      <c r="Z243" s="30">
        <f t="shared" si="6"/>
        <v>7231.021103816187</v>
      </c>
      <c r="AA243" s="30">
        <f t="shared" si="7"/>
        <v>0</v>
      </c>
      <c r="AB243" t="s">
        <v>456</v>
      </c>
    </row>
    <row r="244" spans="1:28">
      <c r="A244" s="67" t="s">
        <v>68</v>
      </c>
      <c r="B244" s="68">
        <v>1278442</v>
      </c>
      <c r="C244" s="69">
        <v>4615415532</v>
      </c>
      <c r="D244" s="70">
        <v>20499.600000000002</v>
      </c>
      <c r="E244" s="67"/>
      <c r="F244" s="68">
        <v>16</v>
      </c>
      <c r="G244" s="68" t="s">
        <v>114</v>
      </c>
      <c r="H244" s="68">
        <v>0</v>
      </c>
      <c r="I244" s="68">
        <v>0</v>
      </c>
      <c r="J244" s="71">
        <v>42967</v>
      </c>
      <c r="K244" s="71">
        <v>42946</v>
      </c>
      <c r="L244" s="69" t="s">
        <v>119</v>
      </c>
      <c r="M244" s="69" t="s">
        <v>109</v>
      </c>
      <c r="N244" s="72">
        <v>43033</v>
      </c>
      <c r="O244" s="67"/>
      <c r="P244" s="67" t="s">
        <v>95</v>
      </c>
      <c r="Q244" s="67" t="s">
        <v>125</v>
      </c>
      <c r="R244" s="69" t="s">
        <v>69</v>
      </c>
      <c r="S244" s="69" t="s">
        <v>68</v>
      </c>
      <c r="T244" s="67"/>
      <c r="U244" s="67"/>
      <c r="V244" s="72">
        <v>43008</v>
      </c>
      <c r="W244" s="69">
        <v>5114738</v>
      </c>
      <c r="X244" s="69" t="s">
        <v>159</v>
      </c>
      <c r="Y244" s="126"/>
      <c r="Z244" s="30">
        <f t="shared" si="6"/>
        <v>7231.021103816187</v>
      </c>
      <c r="AA244" s="30">
        <f t="shared" si="7"/>
        <v>0</v>
      </c>
      <c r="AB244" t="s">
        <v>456</v>
      </c>
    </row>
    <row r="245" spans="1:28">
      <c r="A245" s="67" t="s">
        <v>118</v>
      </c>
      <c r="B245" s="68">
        <v>1272714</v>
      </c>
      <c r="C245" s="69">
        <v>4615429860</v>
      </c>
      <c r="D245" s="70">
        <v>19175</v>
      </c>
      <c r="E245" s="67"/>
      <c r="F245" s="68">
        <v>10</v>
      </c>
      <c r="G245" s="68">
        <v>0</v>
      </c>
      <c r="H245" s="75">
        <v>0</v>
      </c>
      <c r="I245" s="68">
        <v>0</v>
      </c>
      <c r="J245" s="71"/>
      <c r="K245" s="71">
        <v>42766</v>
      </c>
      <c r="L245" s="69" t="s">
        <v>80</v>
      </c>
      <c r="M245" s="69" t="s">
        <v>109</v>
      </c>
      <c r="N245" s="72">
        <v>43033</v>
      </c>
      <c r="O245" s="67"/>
      <c r="P245" s="67" t="s">
        <v>95</v>
      </c>
      <c r="Q245" s="67" t="s">
        <v>120</v>
      </c>
      <c r="R245" s="69" t="s">
        <v>69</v>
      </c>
      <c r="S245" s="69" t="s">
        <v>121</v>
      </c>
      <c r="T245" s="67"/>
      <c r="U245" s="67"/>
      <c r="V245" s="72">
        <v>42978</v>
      </c>
      <c r="W245" s="69">
        <v>2028202</v>
      </c>
      <c r="X245" s="69"/>
      <c r="Y245" s="126"/>
      <c r="Z245" s="30">
        <f t="shared" si="6"/>
        <v>4227.3638773950279</v>
      </c>
      <c r="AA245" s="30">
        <f t="shared" si="7"/>
        <v>0</v>
      </c>
      <c r="AB245" t="s">
        <v>456</v>
      </c>
    </row>
    <row r="246" spans="1:28">
      <c r="A246" s="67" t="s">
        <v>118</v>
      </c>
      <c r="B246" s="68">
        <v>1268053</v>
      </c>
      <c r="C246" s="69">
        <v>4615416358</v>
      </c>
      <c r="D246" s="70">
        <v>19175</v>
      </c>
      <c r="E246" s="67"/>
      <c r="F246" s="73">
        <v>10</v>
      </c>
      <c r="G246" s="73" t="s">
        <v>114</v>
      </c>
      <c r="H246" s="75">
        <v>0</v>
      </c>
      <c r="I246" s="68">
        <v>0</v>
      </c>
      <c r="J246" s="71"/>
      <c r="K246" s="71">
        <v>42845</v>
      </c>
      <c r="L246" s="69" t="s">
        <v>80</v>
      </c>
      <c r="M246" s="69" t="s">
        <v>109</v>
      </c>
      <c r="N246" s="72">
        <v>43033</v>
      </c>
      <c r="O246" s="67"/>
      <c r="P246" s="67" t="s">
        <v>95</v>
      </c>
      <c r="Q246" s="67" t="s">
        <v>120</v>
      </c>
      <c r="R246" s="69" t="s">
        <v>69</v>
      </c>
      <c r="S246" s="69" t="s">
        <v>121</v>
      </c>
      <c r="T246" s="67"/>
      <c r="U246" s="67"/>
      <c r="V246" s="72">
        <v>42978</v>
      </c>
      <c r="W246" s="69">
        <v>2026349</v>
      </c>
      <c r="X246" s="69"/>
      <c r="Y246" s="126"/>
      <c r="Z246" s="30">
        <f t="shared" si="6"/>
        <v>4227.3638773950279</v>
      </c>
      <c r="AA246" s="30">
        <f t="shared" si="7"/>
        <v>0</v>
      </c>
      <c r="AB246" t="s">
        <v>456</v>
      </c>
    </row>
    <row r="247" spans="1:28">
      <c r="A247" s="67" t="s">
        <v>136</v>
      </c>
      <c r="B247" s="68">
        <v>1267196</v>
      </c>
      <c r="C247" s="69">
        <v>4615384878</v>
      </c>
      <c r="D247" s="70">
        <v>19200</v>
      </c>
      <c r="E247" s="67"/>
      <c r="F247" s="73">
        <v>10</v>
      </c>
      <c r="G247" s="73" t="s">
        <v>114</v>
      </c>
      <c r="H247" s="73">
        <v>0</v>
      </c>
      <c r="I247" s="68">
        <v>0</v>
      </c>
      <c r="J247" s="71">
        <v>42947</v>
      </c>
      <c r="K247" s="71">
        <v>42822</v>
      </c>
      <c r="L247" s="69" t="s">
        <v>137</v>
      </c>
      <c r="M247" s="69" t="s">
        <v>109</v>
      </c>
      <c r="N247" s="72">
        <v>43033</v>
      </c>
      <c r="O247" s="67"/>
      <c r="P247" s="67" t="s">
        <v>95</v>
      </c>
      <c r="Q247" s="67" t="s">
        <v>129</v>
      </c>
      <c r="R247" s="69" t="s">
        <v>69</v>
      </c>
      <c r="S247" s="69" t="s">
        <v>138</v>
      </c>
      <c r="T247" s="67"/>
      <c r="U247" s="67"/>
      <c r="V247" s="72">
        <v>43008</v>
      </c>
      <c r="W247" s="69">
        <v>415570034</v>
      </c>
      <c r="X247" s="69"/>
      <c r="Y247" s="126"/>
      <c r="Z247" s="30">
        <f t="shared" si="6"/>
        <v>4232.8754339496491</v>
      </c>
      <c r="AA247" s="30">
        <f t="shared" si="7"/>
        <v>0</v>
      </c>
      <c r="AB247" t="s">
        <v>456</v>
      </c>
    </row>
    <row r="248" spans="1:28">
      <c r="A248" s="67" t="s">
        <v>136</v>
      </c>
      <c r="B248" s="68">
        <v>1262364</v>
      </c>
      <c r="C248" s="69">
        <v>4615389010</v>
      </c>
      <c r="D248" s="70">
        <v>19200</v>
      </c>
      <c r="E248" s="67"/>
      <c r="F248" s="73">
        <v>10</v>
      </c>
      <c r="G248" s="73" t="s">
        <v>114</v>
      </c>
      <c r="H248" s="73">
        <v>0</v>
      </c>
      <c r="I248" s="68">
        <v>0</v>
      </c>
      <c r="J248" s="71"/>
      <c r="K248" s="71">
        <v>42857</v>
      </c>
      <c r="L248" s="69" t="s">
        <v>80</v>
      </c>
      <c r="M248" s="69" t="s">
        <v>109</v>
      </c>
      <c r="N248" s="72">
        <v>43033</v>
      </c>
      <c r="O248" s="67"/>
      <c r="P248" s="67" t="s">
        <v>95</v>
      </c>
      <c r="Q248" s="67" t="s">
        <v>129</v>
      </c>
      <c r="R248" s="69" t="s">
        <v>69</v>
      </c>
      <c r="S248" s="69" t="s">
        <v>138</v>
      </c>
      <c r="T248" s="67"/>
      <c r="U248" s="67"/>
      <c r="V248" s="72">
        <v>42947</v>
      </c>
      <c r="W248" s="69">
        <v>415570032</v>
      </c>
      <c r="X248" s="69"/>
      <c r="Y248" s="126"/>
      <c r="Z248" s="30">
        <f t="shared" si="6"/>
        <v>4232.8754339496491</v>
      </c>
      <c r="AA248" s="30">
        <f t="shared" si="7"/>
        <v>0</v>
      </c>
      <c r="AB248" t="s">
        <v>456</v>
      </c>
    </row>
    <row r="249" spans="1:28">
      <c r="A249" s="67" t="s">
        <v>136</v>
      </c>
      <c r="B249" s="68">
        <v>1262366</v>
      </c>
      <c r="C249" s="69">
        <v>4615389010</v>
      </c>
      <c r="D249" s="70">
        <v>19200</v>
      </c>
      <c r="E249" s="67"/>
      <c r="F249" s="73">
        <v>10</v>
      </c>
      <c r="G249" s="73" t="s">
        <v>114</v>
      </c>
      <c r="H249" s="73">
        <v>0</v>
      </c>
      <c r="I249" s="68">
        <v>0</v>
      </c>
      <c r="J249" s="71"/>
      <c r="K249" s="71">
        <v>42851</v>
      </c>
      <c r="L249" s="69" t="s">
        <v>80</v>
      </c>
      <c r="M249" s="69" t="s">
        <v>109</v>
      </c>
      <c r="N249" s="72">
        <v>43033</v>
      </c>
      <c r="O249" s="67"/>
      <c r="P249" s="67" t="s">
        <v>95</v>
      </c>
      <c r="Q249" s="67" t="s">
        <v>129</v>
      </c>
      <c r="R249" s="69" t="s">
        <v>69</v>
      </c>
      <c r="S249" s="69" t="s">
        <v>138</v>
      </c>
      <c r="T249" s="67"/>
      <c r="U249" s="67"/>
      <c r="V249" s="72">
        <v>42947</v>
      </c>
      <c r="W249" s="69">
        <v>415570032</v>
      </c>
      <c r="X249" s="69"/>
      <c r="Y249" s="126"/>
      <c r="Z249" s="30">
        <f t="shared" si="6"/>
        <v>4232.8754339496491</v>
      </c>
      <c r="AA249" s="30">
        <f t="shared" si="7"/>
        <v>0</v>
      </c>
      <c r="AB249" t="s">
        <v>456</v>
      </c>
    </row>
    <row r="250" spans="1:28">
      <c r="A250" s="67" t="s">
        <v>122</v>
      </c>
      <c r="B250" s="68">
        <v>1270642</v>
      </c>
      <c r="C250" s="69">
        <v>4615400122</v>
      </c>
      <c r="D250" s="70">
        <v>19200</v>
      </c>
      <c r="E250" s="67"/>
      <c r="F250" s="68">
        <v>16</v>
      </c>
      <c r="G250" s="68">
        <v>5</v>
      </c>
      <c r="H250" s="73">
        <v>0</v>
      </c>
      <c r="I250" s="68">
        <v>0</v>
      </c>
      <c r="J250" s="71"/>
      <c r="K250" s="71">
        <v>42851</v>
      </c>
      <c r="L250" s="69" t="s">
        <v>80</v>
      </c>
      <c r="M250" s="69" t="s">
        <v>109</v>
      </c>
      <c r="N250" s="72">
        <v>43033</v>
      </c>
      <c r="O250" s="67"/>
      <c r="P250" s="67" t="s">
        <v>95</v>
      </c>
      <c r="Q250" s="67" t="s">
        <v>120</v>
      </c>
      <c r="R250" s="69" t="s">
        <v>69</v>
      </c>
      <c r="S250" s="69" t="s">
        <v>123</v>
      </c>
      <c r="T250" s="67"/>
      <c r="U250" s="67"/>
      <c r="V250" s="72">
        <v>42978</v>
      </c>
      <c r="W250" s="69">
        <v>2025785</v>
      </c>
      <c r="X250" s="69"/>
      <c r="Y250" s="126"/>
      <c r="Z250" s="30">
        <f t="shared" si="6"/>
        <v>6772.6006943194379</v>
      </c>
      <c r="AA250" s="30">
        <f t="shared" si="7"/>
        <v>2116.4377169748245</v>
      </c>
      <c r="AB250" t="s">
        <v>456</v>
      </c>
    </row>
    <row r="251" spans="1:28">
      <c r="A251" s="67" t="s">
        <v>122</v>
      </c>
      <c r="B251" s="68">
        <v>1270641</v>
      </c>
      <c r="C251" s="69">
        <v>4615400122</v>
      </c>
      <c r="D251" s="70">
        <v>19200</v>
      </c>
      <c r="E251" s="67"/>
      <c r="F251" s="68">
        <v>16</v>
      </c>
      <c r="G251" s="68">
        <v>5</v>
      </c>
      <c r="H251" s="73">
        <v>0</v>
      </c>
      <c r="I251" s="68">
        <v>0</v>
      </c>
      <c r="J251" s="71"/>
      <c r="K251" s="71">
        <v>42851</v>
      </c>
      <c r="L251" s="69" t="s">
        <v>80</v>
      </c>
      <c r="M251" s="69" t="s">
        <v>109</v>
      </c>
      <c r="N251" s="72">
        <v>43033</v>
      </c>
      <c r="O251" s="67"/>
      <c r="P251" s="67" t="s">
        <v>95</v>
      </c>
      <c r="Q251" s="67" t="s">
        <v>120</v>
      </c>
      <c r="R251" s="69" t="s">
        <v>69</v>
      </c>
      <c r="S251" s="69" t="s">
        <v>123</v>
      </c>
      <c r="T251" s="67"/>
      <c r="U251" s="67"/>
      <c r="V251" s="72">
        <v>42978</v>
      </c>
      <c r="W251" s="69">
        <v>2025785</v>
      </c>
      <c r="X251" s="69"/>
      <c r="Y251" s="126"/>
      <c r="Z251" s="30">
        <f t="shared" si="6"/>
        <v>6772.6006943194379</v>
      </c>
      <c r="AA251" s="30">
        <f t="shared" si="7"/>
        <v>2116.4377169748245</v>
      </c>
      <c r="AB251" t="s">
        <v>456</v>
      </c>
    </row>
    <row r="252" spans="1:28">
      <c r="A252" s="67" t="s">
        <v>122</v>
      </c>
      <c r="B252" s="68">
        <v>1270638</v>
      </c>
      <c r="C252" s="69">
        <v>4615400122</v>
      </c>
      <c r="D252" s="70">
        <v>19200</v>
      </c>
      <c r="E252" s="67"/>
      <c r="F252" s="68">
        <v>16</v>
      </c>
      <c r="G252" s="68">
        <v>5</v>
      </c>
      <c r="H252" s="73">
        <v>0</v>
      </c>
      <c r="I252" s="68">
        <v>0</v>
      </c>
      <c r="J252" s="71"/>
      <c r="K252" s="71">
        <v>42856</v>
      </c>
      <c r="L252" s="69" t="s">
        <v>80</v>
      </c>
      <c r="M252" s="69" t="s">
        <v>109</v>
      </c>
      <c r="N252" s="72">
        <v>43033</v>
      </c>
      <c r="O252" s="67"/>
      <c r="P252" s="67" t="s">
        <v>95</v>
      </c>
      <c r="Q252" s="67" t="s">
        <v>120</v>
      </c>
      <c r="R252" s="69" t="s">
        <v>69</v>
      </c>
      <c r="S252" s="69" t="s">
        <v>123</v>
      </c>
      <c r="T252" s="67"/>
      <c r="U252" s="67"/>
      <c r="V252" s="72">
        <v>42978</v>
      </c>
      <c r="W252" s="69">
        <v>2025785</v>
      </c>
      <c r="X252" s="69"/>
      <c r="Y252" s="126"/>
      <c r="Z252" s="30">
        <f t="shared" si="6"/>
        <v>6772.6006943194379</v>
      </c>
      <c r="AA252" s="30">
        <f t="shared" si="7"/>
        <v>2116.4377169748245</v>
      </c>
      <c r="AB252" t="s">
        <v>456</v>
      </c>
    </row>
    <row r="253" spans="1:28">
      <c r="A253" s="67" t="s">
        <v>68</v>
      </c>
      <c r="B253" s="68" t="s">
        <v>160</v>
      </c>
      <c r="C253" s="69" t="s">
        <v>161</v>
      </c>
      <c r="D253" s="70">
        <v>20544.980000000003</v>
      </c>
      <c r="E253" s="67"/>
      <c r="F253" s="73">
        <v>16</v>
      </c>
      <c r="G253" s="73" t="s">
        <v>114</v>
      </c>
      <c r="H253" s="68">
        <v>0</v>
      </c>
      <c r="I253" s="68">
        <v>0</v>
      </c>
      <c r="J253" s="71"/>
      <c r="K253" s="71">
        <v>42845</v>
      </c>
      <c r="L253" s="69" t="s">
        <v>80</v>
      </c>
      <c r="M253" s="69" t="s">
        <v>109</v>
      </c>
      <c r="N253" s="72">
        <v>43032</v>
      </c>
      <c r="O253" s="67"/>
      <c r="P253" s="67" t="s">
        <v>95</v>
      </c>
      <c r="Q253" s="67" t="s">
        <v>125</v>
      </c>
      <c r="R253" s="69" t="s">
        <v>69</v>
      </c>
      <c r="S253" s="69" t="s">
        <v>68</v>
      </c>
      <c r="T253" s="67"/>
      <c r="U253" s="67"/>
      <c r="V253" s="72">
        <v>43039</v>
      </c>
      <c r="W253" s="69">
        <v>5114726</v>
      </c>
      <c r="X253" s="69" t="s">
        <v>162</v>
      </c>
      <c r="Y253" s="126"/>
      <c r="Z253" s="30">
        <f t="shared" si="6"/>
        <v>7247.0284277489072</v>
      </c>
      <c r="AA253" s="30">
        <f t="shared" si="7"/>
        <v>0</v>
      </c>
      <c r="AB253" t="s">
        <v>456</v>
      </c>
    </row>
    <row r="254" spans="1:28">
      <c r="A254" s="67" t="s">
        <v>68</v>
      </c>
      <c r="B254" s="68" t="s">
        <v>160</v>
      </c>
      <c r="C254" s="69" t="s">
        <v>161</v>
      </c>
      <c r="D254" s="70">
        <v>20544.980000000003</v>
      </c>
      <c r="E254" s="67"/>
      <c r="F254" s="73">
        <v>16</v>
      </c>
      <c r="G254" s="73" t="s">
        <v>114</v>
      </c>
      <c r="H254" s="68">
        <v>0</v>
      </c>
      <c r="I254" s="68">
        <v>0</v>
      </c>
      <c r="J254" s="71"/>
      <c r="K254" s="71">
        <v>42855</v>
      </c>
      <c r="L254" s="69" t="s">
        <v>80</v>
      </c>
      <c r="M254" s="69" t="s">
        <v>109</v>
      </c>
      <c r="N254" s="72">
        <v>43032</v>
      </c>
      <c r="O254" s="67"/>
      <c r="P254" s="67" t="s">
        <v>95</v>
      </c>
      <c r="Q254" s="67" t="s">
        <v>125</v>
      </c>
      <c r="R254" s="69" t="s">
        <v>69</v>
      </c>
      <c r="S254" s="69" t="s">
        <v>68</v>
      </c>
      <c r="T254" s="67"/>
      <c r="U254" s="67"/>
      <c r="V254" s="72">
        <v>43039</v>
      </c>
      <c r="W254" s="69">
        <v>5114726</v>
      </c>
      <c r="X254" s="69" t="s">
        <v>162</v>
      </c>
      <c r="Y254" s="126"/>
      <c r="Z254" s="30">
        <f t="shared" si="6"/>
        <v>7247.0284277489072</v>
      </c>
      <c r="AA254" s="30">
        <f t="shared" si="7"/>
        <v>0</v>
      </c>
      <c r="AB254" t="s">
        <v>456</v>
      </c>
    </row>
    <row r="255" spans="1:28">
      <c r="A255" s="67" t="s">
        <v>68</v>
      </c>
      <c r="B255" s="68" t="s">
        <v>160</v>
      </c>
      <c r="C255" s="69" t="s">
        <v>161</v>
      </c>
      <c r="D255" s="70">
        <v>20544.980000000003</v>
      </c>
      <c r="E255" s="67"/>
      <c r="F255" s="73">
        <v>16</v>
      </c>
      <c r="G255" s="73" t="s">
        <v>114</v>
      </c>
      <c r="H255" s="68">
        <v>0</v>
      </c>
      <c r="I255" s="68">
        <v>0</v>
      </c>
      <c r="J255" s="71"/>
      <c r="K255" s="71">
        <v>42851</v>
      </c>
      <c r="L255" s="69" t="s">
        <v>80</v>
      </c>
      <c r="M255" s="69" t="s">
        <v>109</v>
      </c>
      <c r="N255" s="72">
        <v>43032</v>
      </c>
      <c r="O255" s="67"/>
      <c r="P255" s="67" t="s">
        <v>95</v>
      </c>
      <c r="Q255" s="67" t="s">
        <v>125</v>
      </c>
      <c r="R255" s="69" t="s">
        <v>69</v>
      </c>
      <c r="S255" s="69" t="s">
        <v>68</v>
      </c>
      <c r="T255" s="67"/>
      <c r="U255" s="67"/>
      <c r="V255" s="72">
        <v>43039</v>
      </c>
      <c r="W255" s="69">
        <v>5114726</v>
      </c>
      <c r="X255" s="69" t="s">
        <v>162</v>
      </c>
      <c r="Y255" s="126"/>
      <c r="Z255" s="30">
        <f t="shared" si="6"/>
        <v>7247.0284277489072</v>
      </c>
      <c r="AA255" s="30">
        <f t="shared" si="7"/>
        <v>0</v>
      </c>
      <c r="AB255" t="s">
        <v>456</v>
      </c>
    </row>
    <row r="256" spans="1:28">
      <c r="A256" s="67" t="s">
        <v>68</v>
      </c>
      <c r="B256" s="68" t="s">
        <v>160</v>
      </c>
      <c r="C256" s="69" t="s">
        <v>161</v>
      </c>
      <c r="D256" s="70">
        <v>20544.980000000003</v>
      </c>
      <c r="E256" s="67"/>
      <c r="F256" s="73">
        <v>16</v>
      </c>
      <c r="G256" s="73" t="s">
        <v>114</v>
      </c>
      <c r="H256" s="68">
        <v>0</v>
      </c>
      <c r="I256" s="68">
        <v>0</v>
      </c>
      <c r="J256" s="71"/>
      <c r="K256" s="71">
        <v>42846</v>
      </c>
      <c r="L256" s="69" t="s">
        <v>80</v>
      </c>
      <c r="M256" s="69" t="s">
        <v>109</v>
      </c>
      <c r="N256" s="72">
        <v>43032</v>
      </c>
      <c r="O256" s="67"/>
      <c r="P256" s="67" t="s">
        <v>95</v>
      </c>
      <c r="Q256" s="67" t="s">
        <v>125</v>
      </c>
      <c r="R256" s="69" t="s">
        <v>69</v>
      </c>
      <c r="S256" s="69" t="s">
        <v>68</v>
      </c>
      <c r="T256" s="67"/>
      <c r="U256" s="67"/>
      <c r="V256" s="72">
        <v>43039</v>
      </c>
      <c r="W256" s="69">
        <v>5114726</v>
      </c>
      <c r="X256" s="69" t="s">
        <v>162</v>
      </c>
      <c r="Y256" s="126"/>
      <c r="Z256" s="30">
        <f t="shared" si="6"/>
        <v>7247.0284277489072</v>
      </c>
      <c r="AA256" s="30">
        <f t="shared" si="7"/>
        <v>0</v>
      </c>
      <c r="AB256" t="s">
        <v>456</v>
      </c>
    </row>
    <row r="257" spans="1:28">
      <c r="A257" s="67" t="s">
        <v>68</v>
      </c>
      <c r="B257" s="68" t="s">
        <v>160</v>
      </c>
      <c r="C257" s="69" t="s">
        <v>161</v>
      </c>
      <c r="D257" s="70">
        <v>20544.980000000003</v>
      </c>
      <c r="E257" s="67"/>
      <c r="F257" s="73">
        <v>16</v>
      </c>
      <c r="G257" s="73" t="s">
        <v>114</v>
      </c>
      <c r="H257" s="68">
        <v>0</v>
      </c>
      <c r="I257" s="68">
        <v>0</v>
      </c>
      <c r="J257" s="71"/>
      <c r="K257" s="71">
        <v>42846</v>
      </c>
      <c r="L257" s="69" t="s">
        <v>80</v>
      </c>
      <c r="M257" s="69" t="s">
        <v>109</v>
      </c>
      <c r="N257" s="72">
        <v>43032</v>
      </c>
      <c r="O257" s="67"/>
      <c r="P257" s="67" t="s">
        <v>95</v>
      </c>
      <c r="Q257" s="67" t="s">
        <v>125</v>
      </c>
      <c r="R257" s="69" t="s">
        <v>69</v>
      </c>
      <c r="S257" s="69" t="s">
        <v>68</v>
      </c>
      <c r="T257" s="67"/>
      <c r="U257" s="67"/>
      <c r="V257" s="72">
        <v>43039</v>
      </c>
      <c r="W257" s="69">
        <v>5114726</v>
      </c>
      <c r="X257" s="69" t="s">
        <v>162</v>
      </c>
      <c r="Y257" s="126"/>
      <c r="Z257" s="30">
        <f t="shared" si="6"/>
        <v>7247.0284277489072</v>
      </c>
      <c r="AA257" s="30">
        <f t="shared" si="7"/>
        <v>0</v>
      </c>
      <c r="AB257" t="s">
        <v>456</v>
      </c>
    </row>
    <row r="258" spans="1:28">
      <c r="A258" s="67" t="s">
        <v>68</v>
      </c>
      <c r="B258" s="68" t="s">
        <v>160</v>
      </c>
      <c r="C258" s="69" t="s">
        <v>161</v>
      </c>
      <c r="D258" s="70">
        <v>20544.980000000003</v>
      </c>
      <c r="E258" s="67"/>
      <c r="F258" s="73">
        <v>16</v>
      </c>
      <c r="G258" s="73" t="s">
        <v>114</v>
      </c>
      <c r="H258" s="68">
        <v>0</v>
      </c>
      <c r="I258" s="68">
        <v>0</v>
      </c>
      <c r="J258" s="71"/>
      <c r="K258" s="71">
        <v>42864</v>
      </c>
      <c r="L258" s="69" t="s">
        <v>80</v>
      </c>
      <c r="M258" s="69" t="s">
        <v>109</v>
      </c>
      <c r="N258" s="72">
        <v>43032</v>
      </c>
      <c r="O258" s="67"/>
      <c r="P258" s="67" t="s">
        <v>95</v>
      </c>
      <c r="Q258" s="67" t="s">
        <v>125</v>
      </c>
      <c r="R258" s="69" t="s">
        <v>69</v>
      </c>
      <c r="S258" s="69" t="s">
        <v>68</v>
      </c>
      <c r="T258" s="67"/>
      <c r="U258" s="67"/>
      <c r="V258" s="72">
        <v>43039</v>
      </c>
      <c r="W258" s="69">
        <v>5114726</v>
      </c>
      <c r="X258" s="69" t="s">
        <v>162</v>
      </c>
      <c r="Y258" s="126"/>
      <c r="Z258" s="30">
        <f t="shared" si="6"/>
        <v>7247.0284277489072</v>
      </c>
      <c r="AA258" s="30">
        <f t="shared" si="7"/>
        <v>0</v>
      </c>
      <c r="AB258" t="s">
        <v>456</v>
      </c>
    </row>
    <row r="259" spans="1:28">
      <c r="A259" s="67" t="s">
        <v>68</v>
      </c>
      <c r="B259" s="68" t="s">
        <v>160</v>
      </c>
      <c r="C259" s="69" t="s">
        <v>161</v>
      </c>
      <c r="D259" s="70">
        <v>20544.980000000003</v>
      </c>
      <c r="E259" s="67"/>
      <c r="F259" s="73">
        <v>16</v>
      </c>
      <c r="G259" s="73" t="s">
        <v>114</v>
      </c>
      <c r="H259" s="68">
        <v>0</v>
      </c>
      <c r="I259" s="68">
        <v>0</v>
      </c>
      <c r="J259" s="71"/>
      <c r="K259" s="71">
        <v>42857</v>
      </c>
      <c r="L259" s="69" t="s">
        <v>80</v>
      </c>
      <c r="M259" s="69" t="s">
        <v>109</v>
      </c>
      <c r="N259" s="72">
        <v>43032</v>
      </c>
      <c r="O259" s="67"/>
      <c r="P259" s="67" t="s">
        <v>95</v>
      </c>
      <c r="Q259" s="67" t="s">
        <v>125</v>
      </c>
      <c r="R259" s="69" t="s">
        <v>69</v>
      </c>
      <c r="S259" s="69" t="s">
        <v>68</v>
      </c>
      <c r="T259" s="67"/>
      <c r="U259" s="67"/>
      <c r="V259" s="72">
        <v>43039</v>
      </c>
      <c r="W259" s="69">
        <v>5114726</v>
      </c>
      <c r="X259" s="69" t="s">
        <v>162</v>
      </c>
      <c r="Y259" s="126"/>
      <c r="Z259" s="30">
        <f t="shared" ref="Z259:Z322" si="8">CONVERT(D259,"kg","lbm")*F259/100</f>
        <v>7247.0284277489072</v>
      </c>
      <c r="AA259" s="30">
        <f t="shared" ref="AA259:AA322" si="9">CONVERT(D259,"kg","lbm")*G259/100</f>
        <v>0</v>
      </c>
      <c r="AB259" t="s">
        <v>456</v>
      </c>
    </row>
    <row r="260" spans="1:28">
      <c r="A260" s="67" t="s">
        <v>68</v>
      </c>
      <c r="B260" s="68" t="s">
        <v>160</v>
      </c>
      <c r="C260" s="69" t="s">
        <v>161</v>
      </c>
      <c r="D260" s="70">
        <v>20544.980000000003</v>
      </c>
      <c r="E260" s="67"/>
      <c r="F260" s="73">
        <v>16</v>
      </c>
      <c r="G260" s="73" t="s">
        <v>114</v>
      </c>
      <c r="H260" s="68">
        <v>0</v>
      </c>
      <c r="I260" s="68">
        <v>0</v>
      </c>
      <c r="J260" s="71"/>
      <c r="K260" s="71">
        <v>42857</v>
      </c>
      <c r="L260" s="69" t="s">
        <v>80</v>
      </c>
      <c r="M260" s="69" t="s">
        <v>109</v>
      </c>
      <c r="N260" s="72">
        <v>43032</v>
      </c>
      <c r="O260" s="67"/>
      <c r="P260" s="67" t="s">
        <v>95</v>
      </c>
      <c r="Q260" s="67" t="s">
        <v>125</v>
      </c>
      <c r="R260" s="69" t="s">
        <v>69</v>
      </c>
      <c r="S260" s="69" t="s">
        <v>68</v>
      </c>
      <c r="T260" s="67"/>
      <c r="U260" s="67"/>
      <c r="V260" s="72">
        <v>43039</v>
      </c>
      <c r="W260" s="69">
        <v>5114726</v>
      </c>
      <c r="X260" s="69" t="s">
        <v>162</v>
      </c>
      <c r="Y260" s="126"/>
      <c r="Z260" s="30">
        <f t="shared" si="8"/>
        <v>7247.0284277489072</v>
      </c>
      <c r="AA260" s="30">
        <f t="shared" si="9"/>
        <v>0</v>
      </c>
      <c r="AB260" t="s">
        <v>456</v>
      </c>
    </row>
    <row r="261" spans="1:28">
      <c r="A261" s="67" t="s">
        <v>68</v>
      </c>
      <c r="B261" s="68" t="s">
        <v>160</v>
      </c>
      <c r="C261" s="69" t="s">
        <v>161</v>
      </c>
      <c r="D261" s="70">
        <v>20544.980000000003</v>
      </c>
      <c r="E261" s="67"/>
      <c r="F261" s="73">
        <v>16</v>
      </c>
      <c r="G261" s="73" t="s">
        <v>114</v>
      </c>
      <c r="H261" s="68">
        <v>0</v>
      </c>
      <c r="I261" s="68">
        <v>0</v>
      </c>
      <c r="J261" s="71"/>
      <c r="K261" s="71">
        <v>42855</v>
      </c>
      <c r="L261" s="69" t="s">
        <v>80</v>
      </c>
      <c r="M261" s="69" t="s">
        <v>109</v>
      </c>
      <c r="N261" s="72">
        <v>43032</v>
      </c>
      <c r="O261" s="67"/>
      <c r="P261" s="67" t="s">
        <v>95</v>
      </c>
      <c r="Q261" s="67" t="s">
        <v>125</v>
      </c>
      <c r="R261" s="69" t="s">
        <v>69</v>
      </c>
      <c r="S261" s="69" t="s">
        <v>68</v>
      </c>
      <c r="T261" s="67"/>
      <c r="U261" s="67"/>
      <c r="V261" s="72">
        <v>43039</v>
      </c>
      <c r="W261" s="69">
        <v>5114726</v>
      </c>
      <c r="X261" s="69" t="s">
        <v>162</v>
      </c>
      <c r="Y261" s="126"/>
      <c r="Z261" s="30">
        <f t="shared" si="8"/>
        <v>7247.0284277489072</v>
      </c>
      <c r="AA261" s="30">
        <f t="shared" si="9"/>
        <v>0</v>
      </c>
      <c r="AB261" t="s">
        <v>456</v>
      </c>
    </row>
    <row r="262" spans="1:28">
      <c r="A262" s="67" t="s">
        <v>68</v>
      </c>
      <c r="B262" s="68" t="s">
        <v>160</v>
      </c>
      <c r="C262" s="69" t="s">
        <v>161</v>
      </c>
      <c r="D262" s="70">
        <v>20544.980000000003</v>
      </c>
      <c r="E262" s="67"/>
      <c r="F262" s="73">
        <v>16</v>
      </c>
      <c r="G262" s="73" t="s">
        <v>114</v>
      </c>
      <c r="H262" s="68">
        <v>0</v>
      </c>
      <c r="I262" s="68">
        <v>0</v>
      </c>
      <c r="J262" s="71"/>
      <c r="K262" s="71">
        <v>42855</v>
      </c>
      <c r="L262" s="69" t="s">
        <v>80</v>
      </c>
      <c r="M262" s="69" t="s">
        <v>109</v>
      </c>
      <c r="N262" s="72">
        <v>43032</v>
      </c>
      <c r="O262" s="67"/>
      <c r="P262" s="67" t="s">
        <v>95</v>
      </c>
      <c r="Q262" s="67" t="s">
        <v>125</v>
      </c>
      <c r="R262" s="69" t="s">
        <v>69</v>
      </c>
      <c r="S262" s="69" t="s">
        <v>68</v>
      </c>
      <c r="T262" s="67"/>
      <c r="U262" s="67"/>
      <c r="V262" s="72">
        <v>43039</v>
      </c>
      <c r="W262" s="69">
        <v>5114726</v>
      </c>
      <c r="X262" s="69" t="s">
        <v>162</v>
      </c>
      <c r="Y262" s="126"/>
      <c r="Z262" s="30">
        <f t="shared" si="8"/>
        <v>7247.0284277489072</v>
      </c>
      <c r="AA262" s="30">
        <f t="shared" si="9"/>
        <v>0</v>
      </c>
      <c r="AB262" t="s">
        <v>456</v>
      </c>
    </row>
    <row r="263" spans="1:28">
      <c r="A263" s="67" t="s">
        <v>68</v>
      </c>
      <c r="B263" s="68" t="s">
        <v>160</v>
      </c>
      <c r="C263" s="69" t="s">
        <v>161</v>
      </c>
      <c r="D263" s="70">
        <v>20544.980000000003</v>
      </c>
      <c r="E263" s="67"/>
      <c r="F263" s="73">
        <v>16</v>
      </c>
      <c r="G263" s="73" t="s">
        <v>114</v>
      </c>
      <c r="H263" s="68">
        <v>0</v>
      </c>
      <c r="I263" s="68">
        <v>0</v>
      </c>
      <c r="J263" s="71"/>
      <c r="K263" s="71">
        <v>42857</v>
      </c>
      <c r="L263" s="69" t="s">
        <v>80</v>
      </c>
      <c r="M263" s="69" t="s">
        <v>109</v>
      </c>
      <c r="N263" s="72">
        <v>43032</v>
      </c>
      <c r="O263" s="67"/>
      <c r="P263" s="67" t="s">
        <v>95</v>
      </c>
      <c r="Q263" s="67" t="s">
        <v>125</v>
      </c>
      <c r="R263" s="69" t="s">
        <v>69</v>
      </c>
      <c r="S263" s="69" t="s">
        <v>68</v>
      </c>
      <c r="T263" s="67"/>
      <c r="U263" s="67"/>
      <c r="V263" s="72">
        <v>43039</v>
      </c>
      <c r="W263" s="69">
        <v>5114726</v>
      </c>
      <c r="X263" s="69" t="s">
        <v>162</v>
      </c>
      <c r="Y263" s="126"/>
      <c r="Z263" s="30">
        <f t="shared" si="8"/>
        <v>7247.0284277489072</v>
      </c>
      <c r="AA263" s="30">
        <f t="shared" si="9"/>
        <v>0</v>
      </c>
      <c r="AB263" t="s">
        <v>456</v>
      </c>
    </row>
    <row r="264" spans="1:28">
      <c r="A264" s="67" t="s">
        <v>68</v>
      </c>
      <c r="B264" s="68" t="s">
        <v>160</v>
      </c>
      <c r="C264" s="69" t="s">
        <v>161</v>
      </c>
      <c r="D264" s="70">
        <v>20544.980000000003</v>
      </c>
      <c r="E264" s="67"/>
      <c r="F264" s="73">
        <v>16</v>
      </c>
      <c r="G264" s="73" t="s">
        <v>114</v>
      </c>
      <c r="H264" s="68">
        <v>0</v>
      </c>
      <c r="I264" s="68">
        <v>0</v>
      </c>
      <c r="J264" s="71"/>
      <c r="K264" s="71">
        <v>42857</v>
      </c>
      <c r="L264" s="69" t="s">
        <v>80</v>
      </c>
      <c r="M264" s="69" t="s">
        <v>109</v>
      </c>
      <c r="N264" s="72">
        <v>43032</v>
      </c>
      <c r="O264" s="67"/>
      <c r="P264" s="67" t="s">
        <v>95</v>
      </c>
      <c r="Q264" s="67" t="s">
        <v>125</v>
      </c>
      <c r="R264" s="69" t="s">
        <v>69</v>
      </c>
      <c r="S264" s="69" t="s">
        <v>68</v>
      </c>
      <c r="T264" s="67"/>
      <c r="U264" s="67"/>
      <c r="V264" s="72">
        <v>43039</v>
      </c>
      <c r="W264" s="69">
        <v>5114726</v>
      </c>
      <c r="X264" s="69" t="s">
        <v>162</v>
      </c>
      <c r="Y264" s="126"/>
      <c r="Z264" s="30">
        <f t="shared" si="8"/>
        <v>7247.0284277489072</v>
      </c>
      <c r="AA264" s="30">
        <f t="shared" si="9"/>
        <v>0</v>
      </c>
      <c r="AB264" t="s">
        <v>456</v>
      </c>
    </row>
    <row r="265" spans="1:28">
      <c r="A265" s="67" t="s">
        <v>68</v>
      </c>
      <c r="B265" s="68" t="s">
        <v>160</v>
      </c>
      <c r="C265" s="69" t="s">
        <v>161</v>
      </c>
      <c r="D265" s="70">
        <v>20544.980000000003</v>
      </c>
      <c r="E265" s="67"/>
      <c r="F265" s="73">
        <v>16</v>
      </c>
      <c r="G265" s="73" t="s">
        <v>114</v>
      </c>
      <c r="H265" s="68">
        <v>0</v>
      </c>
      <c r="I265" s="68">
        <v>0</v>
      </c>
      <c r="J265" s="71"/>
      <c r="K265" s="71">
        <v>42855</v>
      </c>
      <c r="L265" s="69" t="s">
        <v>80</v>
      </c>
      <c r="M265" s="69" t="s">
        <v>109</v>
      </c>
      <c r="N265" s="72">
        <v>43032</v>
      </c>
      <c r="O265" s="67"/>
      <c r="P265" s="67" t="s">
        <v>95</v>
      </c>
      <c r="Q265" s="67" t="s">
        <v>125</v>
      </c>
      <c r="R265" s="69" t="s">
        <v>69</v>
      </c>
      <c r="S265" s="69" t="s">
        <v>68</v>
      </c>
      <c r="T265" s="67"/>
      <c r="U265" s="67"/>
      <c r="V265" s="72">
        <v>43039</v>
      </c>
      <c r="W265" s="69">
        <v>5114726</v>
      </c>
      <c r="X265" s="69" t="s">
        <v>162</v>
      </c>
      <c r="Y265" s="126"/>
      <c r="Z265" s="30">
        <f t="shared" si="8"/>
        <v>7247.0284277489072</v>
      </c>
      <c r="AA265" s="30">
        <f t="shared" si="9"/>
        <v>0</v>
      </c>
      <c r="AB265" t="s">
        <v>456</v>
      </c>
    </row>
    <row r="266" spans="1:28">
      <c r="A266" s="67" t="s">
        <v>68</v>
      </c>
      <c r="B266" s="68" t="s">
        <v>160</v>
      </c>
      <c r="C266" s="69" t="s">
        <v>161</v>
      </c>
      <c r="D266" s="70">
        <v>20544.980000000003</v>
      </c>
      <c r="E266" s="67"/>
      <c r="F266" s="73">
        <v>16</v>
      </c>
      <c r="G266" s="73" t="s">
        <v>114</v>
      </c>
      <c r="H266" s="68">
        <v>0</v>
      </c>
      <c r="I266" s="68">
        <v>0</v>
      </c>
      <c r="J266" s="71"/>
      <c r="K266" s="71">
        <v>42846</v>
      </c>
      <c r="L266" s="69" t="s">
        <v>80</v>
      </c>
      <c r="M266" s="69" t="s">
        <v>109</v>
      </c>
      <c r="N266" s="72">
        <v>43032</v>
      </c>
      <c r="O266" s="67"/>
      <c r="P266" s="67" t="s">
        <v>95</v>
      </c>
      <c r="Q266" s="67" t="s">
        <v>125</v>
      </c>
      <c r="R266" s="69" t="s">
        <v>69</v>
      </c>
      <c r="S266" s="69" t="s">
        <v>68</v>
      </c>
      <c r="T266" s="67"/>
      <c r="U266" s="67"/>
      <c r="V266" s="72">
        <v>43039</v>
      </c>
      <c r="W266" s="69">
        <v>5114726</v>
      </c>
      <c r="X266" s="69" t="s">
        <v>162</v>
      </c>
      <c r="Y266" s="126"/>
      <c r="Z266" s="30">
        <f t="shared" si="8"/>
        <v>7247.0284277489072</v>
      </c>
      <c r="AA266" s="30">
        <f t="shared" si="9"/>
        <v>0</v>
      </c>
      <c r="AB266" t="s">
        <v>456</v>
      </c>
    </row>
    <row r="267" spans="1:28">
      <c r="A267" s="67" t="s">
        <v>122</v>
      </c>
      <c r="B267" s="68">
        <v>1256787</v>
      </c>
      <c r="C267" s="69">
        <v>4615414794</v>
      </c>
      <c r="D267" s="70">
        <v>19200</v>
      </c>
      <c r="E267" s="67"/>
      <c r="F267" s="68">
        <v>16</v>
      </c>
      <c r="G267" s="68">
        <v>5</v>
      </c>
      <c r="H267" s="73">
        <v>0</v>
      </c>
      <c r="I267" s="68">
        <v>0</v>
      </c>
      <c r="J267" s="71"/>
      <c r="K267" s="71">
        <v>42857</v>
      </c>
      <c r="L267" s="69" t="s">
        <v>80</v>
      </c>
      <c r="M267" s="69" t="s">
        <v>109</v>
      </c>
      <c r="N267" s="72">
        <v>43032</v>
      </c>
      <c r="O267" s="67"/>
      <c r="P267" s="67" t="s">
        <v>95</v>
      </c>
      <c r="Q267" s="67" t="s">
        <v>120</v>
      </c>
      <c r="R267" s="69" t="s">
        <v>69</v>
      </c>
      <c r="S267" s="69" t="s">
        <v>123</v>
      </c>
      <c r="T267" s="67"/>
      <c r="U267" s="67"/>
      <c r="V267" s="72">
        <v>42947</v>
      </c>
      <c r="W267" s="69">
        <v>2025784</v>
      </c>
      <c r="X267" s="69"/>
      <c r="Y267" s="126"/>
      <c r="Z267" s="30">
        <f t="shared" si="8"/>
        <v>6772.6006943194379</v>
      </c>
      <c r="AA267" s="30">
        <f t="shared" si="9"/>
        <v>2116.4377169748245</v>
      </c>
      <c r="AB267" t="s">
        <v>456</v>
      </c>
    </row>
    <row r="268" spans="1:28">
      <c r="A268" s="67" t="s">
        <v>131</v>
      </c>
      <c r="B268" s="68">
        <v>1277198</v>
      </c>
      <c r="C268" s="69">
        <v>4615447093</v>
      </c>
      <c r="D268" s="70">
        <v>19175</v>
      </c>
      <c r="E268" s="67"/>
      <c r="F268" s="68">
        <v>154.4</v>
      </c>
      <c r="G268" s="75">
        <v>0</v>
      </c>
      <c r="H268" s="68">
        <v>0</v>
      </c>
      <c r="I268" s="68">
        <v>0</v>
      </c>
      <c r="J268" s="71">
        <v>42961</v>
      </c>
      <c r="K268" s="71">
        <v>42856</v>
      </c>
      <c r="L268" s="69" t="s">
        <v>119</v>
      </c>
      <c r="M268" s="69" t="s">
        <v>109</v>
      </c>
      <c r="N268" s="72">
        <v>43031</v>
      </c>
      <c r="O268" s="67"/>
      <c r="P268" s="67" t="s">
        <v>95</v>
      </c>
      <c r="Q268" s="67" t="s">
        <v>133</v>
      </c>
      <c r="R268" s="69" t="s">
        <v>69</v>
      </c>
      <c r="S268" s="69" t="s">
        <v>134</v>
      </c>
      <c r="T268" s="67"/>
      <c r="U268" s="67"/>
      <c r="V268" s="72">
        <v>43008</v>
      </c>
      <c r="W268" s="69" t="s">
        <v>158</v>
      </c>
      <c r="X268" s="69"/>
      <c r="Y268" s="126"/>
      <c r="Z268" s="30">
        <f t="shared" si="8"/>
        <v>65270.498266979223</v>
      </c>
      <c r="AA268" s="30">
        <f t="shared" si="9"/>
        <v>0</v>
      </c>
      <c r="AB268" t="s">
        <v>456</v>
      </c>
    </row>
    <row r="269" spans="1:28">
      <c r="A269" s="67" t="s">
        <v>68</v>
      </c>
      <c r="B269" s="68">
        <v>1278441</v>
      </c>
      <c r="C269" s="69">
        <v>4615415532</v>
      </c>
      <c r="D269" s="70">
        <v>20499.600000000002</v>
      </c>
      <c r="E269" s="67"/>
      <c r="F269" s="68">
        <v>16</v>
      </c>
      <c r="G269" s="68" t="s">
        <v>114</v>
      </c>
      <c r="H269" s="68">
        <v>0</v>
      </c>
      <c r="I269" s="68">
        <v>0</v>
      </c>
      <c r="J269" s="71">
        <v>42967</v>
      </c>
      <c r="K269" s="71">
        <v>42856</v>
      </c>
      <c r="L269" s="69" t="s">
        <v>119</v>
      </c>
      <c r="M269" s="69" t="s">
        <v>109</v>
      </c>
      <c r="N269" s="72">
        <v>43031</v>
      </c>
      <c r="O269" s="67"/>
      <c r="P269" s="67" t="s">
        <v>95</v>
      </c>
      <c r="Q269" s="67" t="s">
        <v>125</v>
      </c>
      <c r="R269" s="69" t="s">
        <v>69</v>
      </c>
      <c r="S269" s="69" t="s">
        <v>68</v>
      </c>
      <c r="T269" s="67"/>
      <c r="U269" s="67"/>
      <c r="V269" s="72">
        <v>43008</v>
      </c>
      <c r="W269" s="69">
        <v>5114738</v>
      </c>
      <c r="X269" s="69" t="s">
        <v>159</v>
      </c>
      <c r="Y269" s="126"/>
      <c r="Z269" s="30">
        <f t="shared" si="8"/>
        <v>7231.021103816187</v>
      </c>
      <c r="AA269" s="30">
        <f t="shared" si="9"/>
        <v>0</v>
      </c>
      <c r="AB269" t="s">
        <v>456</v>
      </c>
    </row>
    <row r="270" spans="1:28">
      <c r="A270" s="67" t="s">
        <v>68</v>
      </c>
      <c r="B270" s="68">
        <v>1278437</v>
      </c>
      <c r="C270" s="69">
        <v>4615415532</v>
      </c>
      <c r="D270" s="70">
        <v>20499.600000000002</v>
      </c>
      <c r="E270" s="67"/>
      <c r="F270" s="68">
        <v>16</v>
      </c>
      <c r="G270" s="68" t="s">
        <v>114</v>
      </c>
      <c r="H270" s="68">
        <v>0</v>
      </c>
      <c r="I270" s="68">
        <v>0</v>
      </c>
      <c r="J270" s="71">
        <v>42967</v>
      </c>
      <c r="K270" s="71">
        <v>42786</v>
      </c>
      <c r="L270" s="69" t="s">
        <v>119</v>
      </c>
      <c r="M270" s="69" t="s">
        <v>109</v>
      </c>
      <c r="N270" s="72">
        <v>43031</v>
      </c>
      <c r="O270" s="67"/>
      <c r="P270" s="67" t="s">
        <v>95</v>
      </c>
      <c r="Q270" s="67" t="s">
        <v>125</v>
      </c>
      <c r="R270" s="69" t="s">
        <v>69</v>
      </c>
      <c r="S270" s="69" t="s">
        <v>68</v>
      </c>
      <c r="T270" s="67"/>
      <c r="U270" s="67"/>
      <c r="V270" s="72">
        <v>43008</v>
      </c>
      <c r="W270" s="69">
        <v>5114738</v>
      </c>
      <c r="X270" s="69" t="s">
        <v>159</v>
      </c>
      <c r="Y270" s="126"/>
      <c r="Z270" s="30">
        <f t="shared" si="8"/>
        <v>7231.021103816187</v>
      </c>
      <c r="AA270" s="30">
        <f t="shared" si="9"/>
        <v>0</v>
      </c>
      <c r="AB270" t="s">
        <v>456</v>
      </c>
    </row>
    <row r="271" spans="1:28">
      <c r="A271" s="67" t="s">
        <v>136</v>
      </c>
      <c r="B271" s="68">
        <v>1262367</v>
      </c>
      <c r="C271" s="69">
        <v>4615422533</v>
      </c>
      <c r="D271" s="70">
        <v>19175</v>
      </c>
      <c r="E271" s="67"/>
      <c r="F271" s="73">
        <v>10</v>
      </c>
      <c r="G271" s="73">
        <v>5</v>
      </c>
      <c r="H271" s="73">
        <v>0</v>
      </c>
      <c r="I271" s="68">
        <v>0</v>
      </c>
      <c r="J271" s="71"/>
      <c r="K271" s="71">
        <v>42846</v>
      </c>
      <c r="L271" s="69" t="s">
        <v>80</v>
      </c>
      <c r="M271" s="69" t="s">
        <v>109</v>
      </c>
      <c r="N271" s="72">
        <v>43031</v>
      </c>
      <c r="O271" s="67"/>
      <c r="P271" s="67" t="s">
        <v>95</v>
      </c>
      <c r="Q271" s="67" t="s">
        <v>129</v>
      </c>
      <c r="R271" s="69" t="s">
        <v>69</v>
      </c>
      <c r="S271" s="69" t="s">
        <v>138</v>
      </c>
      <c r="T271" s="67"/>
      <c r="U271" s="67"/>
      <c r="V271" s="72">
        <v>42947</v>
      </c>
      <c r="W271" s="69">
        <v>415570137</v>
      </c>
      <c r="X271" s="69"/>
      <c r="Y271" s="126"/>
      <c r="Z271" s="30">
        <f t="shared" si="8"/>
        <v>4227.3638773950279</v>
      </c>
      <c r="AA271" s="30">
        <f t="shared" si="9"/>
        <v>2113.6819386975139</v>
      </c>
      <c r="AB271" t="s">
        <v>456</v>
      </c>
    </row>
    <row r="272" spans="1:28">
      <c r="A272" s="67" t="s">
        <v>122</v>
      </c>
      <c r="B272" s="68">
        <v>1270644</v>
      </c>
      <c r="C272" s="69">
        <v>4615400122</v>
      </c>
      <c r="D272" s="70">
        <v>19200</v>
      </c>
      <c r="E272" s="67"/>
      <c r="F272" s="68">
        <v>16</v>
      </c>
      <c r="G272" s="68">
        <v>5</v>
      </c>
      <c r="H272" s="73">
        <v>0</v>
      </c>
      <c r="I272" s="68">
        <v>0</v>
      </c>
      <c r="J272" s="71"/>
      <c r="K272" s="71">
        <v>42846</v>
      </c>
      <c r="L272" s="69" t="s">
        <v>80</v>
      </c>
      <c r="M272" s="69" t="s">
        <v>109</v>
      </c>
      <c r="N272" s="72">
        <v>43031</v>
      </c>
      <c r="O272" s="67"/>
      <c r="P272" s="67" t="s">
        <v>95</v>
      </c>
      <c r="Q272" s="67" t="s">
        <v>120</v>
      </c>
      <c r="R272" s="69" t="s">
        <v>69</v>
      </c>
      <c r="S272" s="69" t="s">
        <v>123</v>
      </c>
      <c r="T272" s="67"/>
      <c r="U272" s="67"/>
      <c r="V272" s="72">
        <v>42978</v>
      </c>
      <c r="W272" s="69">
        <v>2025785</v>
      </c>
      <c r="X272" s="69"/>
      <c r="Y272" s="126"/>
      <c r="Z272" s="30">
        <f t="shared" si="8"/>
        <v>6772.6006943194379</v>
      </c>
      <c r="AA272" s="30">
        <f t="shared" si="9"/>
        <v>2116.4377169748245</v>
      </c>
      <c r="AB272" t="s">
        <v>456</v>
      </c>
    </row>
    <row r="273" spans="1:28">
      <c r="A273" s="67" t="s">
        <v>131</v>
      </c>
      <c r="B273" s="68">
        <v>1277199</v>
      </c>
      <c r="C273" s="69">
        <v>4615447093</v>
      </c>
      <c r="D273" s="70">
        <v>19175</v>
      </c>
      <c r="E273" s="67"/>
      <c r="F273" s="68">
        <v>154.4</v>
      </c>
      <c r="G273" s="75">
        <v>0</v>
      </c>
      <c r="H273" s="68">
        <v>0</v>
      </c>
      <c r="I273" s="68">
        <v>0</v>
      </c>
      <c r="J273" s="71">
        <v>42961</v>
      </c>
      <c r="K273" s="71">
        <v>42857</v>
      </c>
      <c r="L273" s="69" t="s">
        <v>119</v>
      </c>
      <c r="M273" s="69" t="s">
        <v>109</v>
      </c>
      <c r="N273" s="72">
        <v>43030</v>
      </c>
      <c r="O273" s="67"/>
      <c r="P273" s="67" t="s">
        <v>95</v>
      </c>
      <c r="Q273" s="67" t="s">
        <v>133</v>
      </c>
      <c r="R273" s="69" t="s">
        <v>69</v>
      </c>
      <c r="S273" s="69" t="s">
        <v>134</v>
      </c>
      <c r="T273" s="67"/>
      <c r="U273" s="67"/>
      <c r="V273" s="72">
        <v>43008</v>
      </c>
      <c r="W273" s="69" t="s">
        <v>158</v>
      </c>
      <c r="X273" s="69"/>
      <c r="Y273" s="126"/>
      <c r="Z273" s="30">
        <f t="shared" si="8"/>
        <v>65270.498266979223</v>
      </c>
      <c r="AA273" s="30">
        <f t="shared" si="9"/>
        <v>0</v>
      </c>
      <c r="AB273" t="s">
        <v>456</v>
      </c>
    </row>
    <row r="274" spans="1:28">
      <c r="A274" s="67" t="s">
        <v>68</v>
      </c>
      <c r="B274" s="68">
        <v>1278446</v>
      </c>
      <c r="C274" s="69">
        <v>4615415532</v>
      </c>
      <c r="D274" s="70">
        <v>20499.600000000002</v>
      </c>
      <c r="E274" s="67"/>
      <c r="F274" s="68">
        <v>16</v>
      </c>
      <c r="G274" s="68" t="s">
        <v>114</v>
      </c>
      <c r="H274" s="68">
        <v>0</v>
      </c>
      <c r="I274" s="68">
        <v>0</v>
      </c>
      <c r="J274" s="71">
        <v>42967</v>
      </c>
      <c r="K274" s="71">
        <v>42827</v>
      </c>
      <c r="L274" s="69" t="s">
        <v>119</v>
      </c>
      <c r="M274" s="69" t="s">
        <v>109</v>
      </c>
      <c r="N274" s="72">
        <v>43030</v>
      </c>
      <c r="O274" s="67"/>
      <c r="P274" s="67" t="s">
        <v>95</v>
      </c>
      <c r="Q274" s="67" t="s">
        <v>125</v>
      </c>
      <c r="R274" s="69" t="s">
        <v>69</v>
      </c>
      <c r="S274" s="69" t="s">
        <v>68</v>
      </c>
      <c r="T274" s="67"/>
      <c r="U274" s="67"/>
      <c r="V274" s="72">
        <v>43008</v>
      </c>
      <c r="W274" s="69">
        <v>5114738</v>
      </c>
      <c r="X274" s="69" t="s">
        <v>159</v>
      </c>
      <c r="Y274" s="126"/>
      <c r="Z274" s="30">
        <f t="shared" si="8"/>
        <v>7231.021103816187</v>
      </c>
      <c r="AA274" s="30">
        <f t="shared" si="9"/>
        <v>0</v>
      </c>
      <c r="AB274" t="s">
        <v>456</v>
      </c>
    </row>
    <row r="275" spans="1:28">
      <c r="A275" s="67" t="s">
        <v>113</v>
      </c>
      <c r="B275" s="68">
        <v>1277571</v>
      </c>
      <c r="C275" s="69">
        <v>4615400272</v>
      </c>
      <c r="D275" s="70">
        <v>20700</v>
      </c>
      <c r="E275" s="67"/>
      <c r="F275" s="68">
        <v>16</v>
      </c>
      <c r="G275" s="68" t="s">
        <v>114</v>
      </c>
      <c r="H275" s="68">
        <v>0</v>
      </c>
      <c r="I275" s="68">
        <v>0</v>
      </c>
      <c r="J275" s="71">
        <v>42976</v>
      </c>
      <c r="K275" s="71">
        <v>42845</v>
      </c>
      <c r="L275" s="69" t="s">
        <v>108</v>
      </c>
      <c r="M275" s="69" t="s">
        <v>109</v>
      </c>
      <c r="N275" s="72">
        <v>43030</v>
      </c>
      <c r="O275" s="67"/>
      <c r="P275" s="67" t="s">
        <v>95</v>
      </c>
      <c r="Q275" s="67" t="s">
        <v>110</v>
      </c>
      <c r="R275" s="69" t="s">
        <v>69</v>
      </c>
      <c r="S275" s="69" t="s">
        <v>115</v>
      </c>
      <c r="T275" s="67"/>
      <c r="U275" s="67"/>
      <c r="V275" s="72">
        <v>42978</v>
      </c>
      <c r="W275" s="69" t="s">
        <v>147</v>
      </c>
      <c r="X275" s="69" t="s">
        <v>117</v>
      </c>
      <c r="Y275" s="126"/>
      <c r="Z275" s="30">
        <f t="shared" si="8"/>
        <v>7301.7101235631453</v>
      </c>
      <c r="AA275" s="30">
        <f t="shared" si="9"/>
        <v>0</v>
      </c>
      <c r="AB275" t="s">
        <v>456</v>
      </c>
    </row>
    <row r="276" spans="1:28">
      <c r="A276" s="67" t="s">
        <v>122</v>
      </c>
      <c r="B276" s="68">
        <v>1268813</v>
      </c>
      <c r="C276" s="69">
        <v>4615413855</v>
      </c>
      <c r="D276" s="70">
        <v>19200</v>
      </c>
      <c r="E276" s="67"/>
      <c r="F276" s="68">
        <v>16</v>
      </c>
      <c r="G276" s="68">
        <v>5</v>
      </c>
      <c r="H276" s="73">
        <v>0</v>
      </c>
      <c r="I276" s="68">
        <v>0</v>
      </c>
      <c r="J276" s="71"/>
      <c r="K276" s="71">
        <v>42854</v>
      </c>
      <c r="L276" s="69" t="s">
        <v>80</v>
      </c>
      <c r="M276" s="69" t="s">
        <v>109</v>
      </c>
      <c r="N276" s="72">
        <v>43030</v>
      </c>
      <c r="O276" s="67"/>
      <c r="P276" s="67" t="s">
        <v>95</v>
      </c>
      <c r="Q276" s="67" t="s">
        <v>120</v>
      </c>
      <c r="R276" s="69" t="s">
        <v>69</v>
      </c>
      <c r="S276" s="69" t="s">
        <v>123</v>
      </c>
      <c r="T276" s="67"/>
      <c r="U276" s="67"/>
      <c r="V276" s="72">
        <v>42947</v>
      </c>
      <c r="W276" s="69">
        <v>2025767</v>
      </c>
      <c r="X276" s="69"/>
      <c r="Y276" s="126"/>
      <c r="Z276" s="30">
        <f t="shared" si="8"/>
        <v>6772.6006943194379</v>
      </c>
      <c r="AA276" s="30">
        <f t="shared" si="9"/>
        <v>2116.4377169748245</v>
      </c>
      <c r="AB276" t="s">
        <v>456</v>
      </c>
    </row>
    <row r="277" spans="1:28">
      <c r="A277" s="67" t="s">
        <v>122</v>
      </c>
      <c r="B277" s="68">
        <v>1268812</v>
      </c>
      <c r="C277" s="69">
        <v>4615413855</v>
      </c>
      <c r="D277" s="70">
        <v>19200</v>
      </c>
      <c r="E277" s="67"/>
      <c r="F277" s="68">
        <v>16</v>
      </c>
      <c r="G277" s="68">
        <v>5</v>
      </c>
      <c r="H277" s="73">
        <v>0</v>
      </c>
      <c r="I277" s="68">
        <v>0</v>
      </c>
      <c r="J277" s="71"/>
      <c r="K277" s="71">
        <v>42755</v>
      </c>
      <c r="L277" s="69" t="s">
        <v>80</v>
      </c>
      <c r="M277" s="69" t="s">
        <v>109</v>
      </c>
      <c r="N277" s="72">
        <v>43030</v>
      </c>
      <c r="O277" s="67"/>
      <c r="P277" s="67" t="s">
        <v>95</v>
      </c>
      <c r="Q277" s="67" t="s">
        <v>120</v>
      </c>
      <c r="R277" s="69" t="s">
        <v>69</v>
      </c>
      <c r="S277" s="69" t="s">
        <v>123</v>
      </c>
      <c r="T277" s="67"/>
      <c r="U277" s="67"/>
      <c r="V277" s="72">
        <v>42947</v>
      </c>
      <c r="W277" s="69">
        <v>2025767</v>
      </c>
      <c r="X277" s="69"/>
      <c r="Y277" s="126"/>
      <c r="Z277" s="30">
        <f t="shared" si="8"/>
        <v>6772.6006943194379</v>
      </c>
      <c r="AA277" s="30">
        <f t="shared" si="9"/>
        <v>2116.4377169748245</v>
      </c>
      <c r="AB277" t="s">
        <v>456</v>
      </c>
    </row>
    <row r="278" spans="1:28">
      <c r="A278" s="67" t="s">
        <v>136</v>
      </c>
      <c r="B278" s="68">
        <v>1262370</v>
      </c>
      <c r="C278" s="69">
        <v>4615416936</v>
      </c>
      <c r="D278" s="70">
        <v>19175</v>
      </c>
      <c r="E278" s="67"/>
      <c r="F278" s="73">
        <v>10</v>
      </c>
      <c r="G278" s="73" t="s">
        <v>114</v>
      </c>
      <c r="H278" s="73">
        <v>0</v>
      </c>
      <c r="I278" s="68">
        <v>0</v>
      </c>
      <c r="J278" s="71"/>
      <c r="K278" s="71">
        <v>42855</v>
      </c>
      <c r="L278" s="69" t="s">
        <v>80</v>
      </c>
      <c r="M278" s="69" t="s">
        <v>109</v>
      </c>
      <c r="N278" s="72">
        <v>43030</v>
      </c>
      <c r="O278" s="67"/>
      <c r="P278" s="67" t="s">
        <v>95</v>
      </c>
      <c r="Q278" s="67" t="s">
        <v>129</v>
      </c>
      <c r="R278" s="69" t="s">
        <v>69</v>
      </c>
      <c r="S278" s="69" t="s">
        <v>138</v>
      </c>
      <c r="T278" s="67"/>
      <c r="U278" s="67"/>
      <c r="V278" s="72">
        <v>42947</v>
      </c>
      <c r="W278" s="69">
        <v>415570144</v>
      </c>
      <c r="X278" s="69"/>
      <c r="Y278" s="126"/>
      <c r="Z278" s="30">
        <f t="shared" si="8"/>
        <v>4227.3638773950279</v>
      </c>
      <c r="AA278" s="30">
        <f t="shared" si="9"/>
        <v>0</v>
      </c>
      <c r="AB278" t="s">
        <v>456</v>
      </c>
    </row>
    <row r="279" spans="1:28">
      <c r="A279" s="67" t="s">
        <v>122</v>
      </c>
      <c r="B279" s="68">
        <v>1270647</v>
      </c>
      <c r="C279" s="69">
        <v>4615400122</v>
      </c>
      <c r="D279" s="70">
        <v>19200</v>
      </c>
      <c r="E279" s="67"/>
      <c r="F279" s="68">
        <v>16</v>
      </c>
      <c r="G279" s="68">
        <v>5</v>
      </c>
      <c r="H279" s="73">
        <v>0</v>
      </c>
      <c r="I279" s="68">
        <v>0</v>
      </c>
      <c r="J279" s="71"/>
      <c r="K279" s="71">
        <v>42813</v>
      </c>
      <c r="L279" s="69" t="s">
        <v>80</v>
      </c>
      <c r="M279" s="69" t="s">
        <v>109</v>
      </c>
      <c r="N279" s="72">
        <v>43030</v>
      </c>
      <c r="O279" s="67"/>
      <c r="P279" s="67" t="s">
        <v>95</v>
      </c>
      <c r="Q279" s="67" t="s">
        <v>120</v>
      </c>
      <c r="R279" s="69" t="s">
        <v>69</v>
      </c>
      <c r="S279" s="69" t="s">
        <v>123</v>
      </c>
      <c r="T279" s="67"/>
      <c r="U279" s="67"/>
      <c r="V279" s="72">
        <v>42978</v>
      </c>
      <c r="W279" s="69">
        <v>2025785</v>
      </c>
      <c r="X279" s="69"/>
      <c r="Y279" s="126"/>
      <c r="Z279" s="30">
        <f t="shared" si="8"/>
        <v>6772.6006943194379</v>
      </c>
      <c r="AA279" s="30">
        <f t="shared" si="9"/>
        <v>2116.4377169748245</v>
      </c>
      <c r="AB279" t="s">
        <v>456</v>
      </c>
    </row>
    <row r="280" spans="1:28">
      <c r="A280" s="67" t="s">
        <v>122</v>
      </c>
      <c r="B280" s="68">
        <v>1270645</v>
      </c>
      <c r="C280" s="69">
        <v>4615400122</v>
      </c>
      <c r="D280" s="70">
        <v>19200</v>
      </c>
      <c r="E280" s="67"/>
      <c r="F280" s="68">
        <v>16</v>
      </c>
      <c r="G280" s="68">
        <v>5</v>
      </c>
      <c r="H280" s="73">
        <v>0</v>
      </c>
      <c r="I280" s="68">
        <v>0</v>
      </c>
      <c r="J280" s="71"/>
      <c r="K280" s="71">
        <v>42845</v>
      </c>
      <c r="L280" s="69" t="s">
        <v>80</v>
      </c>
      <c r="M280" s="69" t="s">
        <v>109</v>
      </c>
      <c r="N280" s="72">
        <v>43030</v>
      </c>
      <c r="O280" s="67"/>
      <c r="P280" s="67" t="s">
        <v>95</v>
      </c>
      <c r="Q280" s="67" t="s">
        <v>120</v>
      </c>
      <c r="R280" s="69" t="s">
        <v>69</v>
      </c>
      <c r="S280" s="69" t="s">
        <v>123</v>
      </c>
      <c r="T280" s="67"/>
      <c r="U280" s="67"/>
      <c r="V280" s="72">
        <v>42978</v>
      </c>
      <c r="W280" s="69">
        <v>2025785</v>
      </c>
      <c r="X280" s="69"/>
      <c r="Y280" s="126"/>
      <c r="Z280" s="30">
        <f t="shared" si="8"/>
        <v>6772.6006943194379</v>
      </c>
      <c r="AA280" s="30">
        <f t="shared" si="9"/>
        <v>2116.4377169748245</v>
      </c>
      <c r="AB280" t="s">
        <v>456</v>
      </c>
    </row>
    <row r="281" spans="1:28">
      <c r="A281" s="67" t="s">
        <v>113</v>
      </c>
      <c r="B281" s="68">
        <v>1252693</v>
      </c>
      <c r="C281" s="69">
        <v>4615493440</v>
      </c>
      <c r="D281" s="70">
        <v>19175</v>
      </c>
      <c r="E281" s="67"/>
      <c r="F281" s="68">
        <v>16</v>
      </c>
      <c r="G281" s="68" t="s">
        <v>114</v>
      </c>
      <c r="H281" s="68">
        <v>0</v>
      </c>
      <c r="I281" s="68">
        <v>0</v>
      </c>
      <c r="J281" s="71">
        <v>42895</v>
      </c>
      <c r="K281" s="71">
        <v>42846</v>
      </c>
      <c r="L281" s="69" t="s">
        <v>119</v>
      </c>
      <c r="M281" s="69" t="s">
        <v>109</v>
      </c>
      <c r="N281" s="72">
        <v>43030</v>
      </c>
      <c r="O281" s="67"/>
      <c r="P281" s="67" t="s">
        <v>95</v>
      </c>
      <c r="Q281" s="67" t="s">
        <v>110</v>
      </c>
      <c r="R281" s="69" t="s">
        <v>69</v>
      </c>
      <c r="S281" s="69" t="s">
        <v>115</v>
      </c>
      <c r="T281" s="67"/>
      <c r="U281" s="67"/>
      <c r="V281" s="72">
        <v>43039</v>
      </c>
      <c r="W281" s="69" t="s">
        <v>163</v>
      </c>
      <c r="X281" s="69" t="s">
        <v>164</v>
      </c>
      <c r="Y281" s="126"/>
      <c r="Z281" s="30">
        <f t="shared" si="8"/>
        <v>6763.7822038320437</v>
      </c>
      <c r="AA281" s="30">
        <f t="shared" si="9"/>
        <v>0</v>
      </c>
      <c r="AB281" t="s">
        <v>456</v>
      </c>
    </row>
    <row r="282" spans="1:28">
      <c r="A282" s="67" t="s">
        <v>122</v>
      </c>
      <c r="B282" s="68">
        <v>1268811</v>
      </c>
      <c r="C282" s="69">
        <v>4615413855</v>
      </c>
      <c r="D282" s="70">
        <v>19200</v>
      </c>
      <c r="E282" s="67"/>
      <c r="F282" s="68">
        <v>16</v>
      </c>
      <c r="G282" s="68">
        <v>5</v>
      </c>
      <c r="H282" s="73">
        <v>0</v>
      </c>
      <c r="I282" s="68">
        <v>0</v>
      </c>
      <c r="J282" s="71"/>
      <c r="K282" s="71">
        <v>42834</v>
      </c>
      <c r="L282" s="69" t="s">
        <v>80</v>
      </c>
      <c r="M282" s="69" t="s">
        <v>109</v>
      </c>
      <c r="N282" s="72">
        <v>43030</v>
      </c>
      <c r="O282" s="67"/>
      <c r="P282" s="67" t="s">
        <v>95</v>
      </c>
      <c r="Q282" s="67" t="s">
        <v>120</v>
      </c>
      <c r="R282" s="69" t="s">
        <v>69</v>
      </c>
      <c r="S282" s="69" t="s">
        <v>123</v>
      </c>
      <c r="T282" s="67"/>
      <c r="U282" s="67"/>
      <c r="V282" s="72">
        <v>42947</v>
      </c>
      <c r="W282" s="69">
        <v>2025767</v>
      </c>
      <c r="X282" s="69"/>
      <c r="Y282" s="126"/>
      <c r="Z282" s="30">
        <f t="shared" si="8"/>
        <v>6772.6006943194379</v>
      </c>
      <c r="AA282" s="30">
        <f t="shared" si="9"/>
        <v>2116.4377169748245</v>
      </c>
      <c r="AB282" t="s">
        <v>456</v>
      </c>
    </row>
    <row r="283" spans="1:28">
      <c r="A283" s="67" t="s">
        <v>122</v>
      </c>
      <c r="B283" s="68">
        <v>1268809</v>
      </c>
      <c r="C283" s="69">
        <v>4615413855</v>
      </c>
      <c r="D283" s="70">
        <v>19200</v>
      </c>
      <c r="E283" s="67"/>
      <c r="F283" s="68">
        <v>16</v>
      </c>
      <c r="G283" s="68">
        <v>5</v>
      </c>
      <c r="H283" s="73">
        <v>0</v>
      </c>
      <c r="I283" s="68">
        <v>0</v>
      </c>
      <c r="J283" s="71"/>
      <c r="K283" s="71">
        <v>42846</v>
      </c>
      <c r="L283" s="69" t="s">
        <v>80</v>
      </c>
      <c r="M283" s="69" t="s">
        <v>109</v>
      </c>
      <c r="N283" s="72">
        <v>43030</v>
      </c>
      <c r="O283" s="67"/>
      <c r="P283" s="67" t="s">
        <v>95</v>
      </c>
      <c r="Q283" s="67" t="s">
        <v>120</v>
      </c>
      <c r="R283" s="69" t="s">
        <v>69</v>
      </c>
      <c r="S283" s="69" t="s">
        <v>123</v>
      </c>
      <c r="T283" s="67"/>
      <c r="U283" s="67"/>
      <c r="V283" s="72">
        <v>42947</v>
      </c>
      <c r="W283" s="69">
        <v>2025767</v>
      </c>
      <c r="X283" s="69"/>
      <c r="Y283" s="126"/>
      <c r="Z283" s="30">
        <f t="shared" si="8"/>
        <v>6772.6006943194379</v>
      </c>
      <c r="AA283" s="30">
        <f t="shared" si="9"/>
        <v>2116.4377169748245</v>
      </c>
      <c r="AB283" t="s">
        <v>456</v>
      </c>
    </row>
    <row r="284" spans="1:28">
      <c r="A284" s="67" t="s">
        <v>122</v>
      </c>
      <c r="B284" s="68">
        <v>1250827</v>
      </c>
      <c r="C284" s="69">
        <v>4615416504</v>
      </c>
      <c r="D284" s="70">
        <v>19200</v>
      </c>
      <c r="E284" s="67"/>
      <c r="F284" s="68">
        <v>16</v>
      </c>
      <c r="G284" s="68">
        <v>5</v>
      </c>
      <c r="H284" s="68">
        <v>0</v>
      </c>
      <c r="I284" s="68">
        <v>0</v>
      </c>
      <c r="J284" s="71"/>
      <c r="K284" s="71">
        <v>42766</v>
      </c>
      <c r="L284" s="69" t="s">
        <v>80</v>
      </c>
      <c r="M284" s="69" t="s">
        <v>109</v>
      </c>
      <c r="N284" s="72">
        <v>43030</v>
      </c>
      <c r="O284" s="67"/>
      <c r="P284" s="67" t="s">
        <v>95</v>
      </c>
      <c r="Q284" s="67" t="s">
        <v>120</v>
      </c>
      <c r="R284" s="69" t="s">
        <v>69</v>
      </c>
      <c r="S284" s="69" t="s">
        <v>123</v>
      </c>
      <c r="T284" s="67"/>
      <c r="U284" s="67"/>
      <c r="V284" s="72">
        <v>42886</v>
      </c>
      <c r="W284" s="69">
        <v>2025782</v>
      </c>
      <c r="X284" s="69"/>
      <c r="Y284" s="126"/>
      <c r="Z284" s="30">
        <f t="shared" si="8"/>
        <v>6772.6006943194379</v>
      </c>
      <c r="AA284" s="30">
        <f t="shared" si="9"/>
        <v>2116.4377169748245</v>
      </c>
      <c r="AB284" t="s">
        <v>456</v>
      </c>
    </row>
    <row r="285" spans="1:28">
      <c r="A285" s="67" t="s">
        <v>122</v>
      </c>
      <c r="B285" s="68">
        <v>1230981</v>
      </c>
      <c r="C285" s="69">
        <v>4615389582</v>
      </c>
      <c r="D285" s="70">
        <v>19200</v>
      </c>
      <c r="E285" s="67"/>
      <c r="F285" s="68">
        <v>16</v>
      </c>
      <c r="G285" s="68">
        <v>5</v>
      </c>
      <c r="H285" s="73">
        <v>0</v>
      </c>
      <c r="I285" s="68">
        <v>0</v>
      </c>
      <c r="J285" s="71">
        <v>42815</v>
      </c>
      <c r="K285" s="71">
        <v>42849</v>
      </c>
      <c r="L285" s="69" t="s">
        <v>119</v>
      </c>
      <c r="M285" s="69" t="s">
        <v>109</v>
      </c>
      <c r="N285" s="72">
        <v>43027</v>
      </c>
      <c r="O285" s="67"/>
      <c r="P285" s="67" t="s">
        <v>95</v>
      </c>
      <c r="Q285" s="67" t="s">
        <v>120</v>
      </c>
      <c r="R285" s="69" t="s">
        <v>69</v>
      </c>
      <c r="S285" s="69" t="s">
        <v>123</v>
      </c>
      <c r="T285" s="67"/>
      <c r="U285" s="67"/>
      <c r="V285" s="72">
        <v>42825</v>
      </c>
      <c r="W285" s="69">
        <v>2023108</v>
      </c>
      <c r="X285" s="69"/>
      <c r="Y285" s="126"/>
      <c r="Z285" s="30">
        <f t="shared" si="8"/>
        <v>6772.6006943194379</v>
      </c>
      <c r="AA285" s="30">
        <f t="shared" si="9"/>
        <v>2116.4377169748245</v>
      </c>
      <c r="AB285" t="s">
        <v>456</v>
      </c>
    </row>
    <row r="286" spans="1:28">
      <c r="A286" s="67" t="s">
        <v>122</v>
      </c>
      <c r="B286" s="68">
        <v>1253510</v>
      </c>
      <c r="C286" s="69">
        <v>4615415544</v>
      </c>
      <c r="D286" s="70">
        <v>19200</v>
      </c>
      <c r="E286" s="67"/>
      <c r="F286" s="68">
        <v>16</v>
      </c>
      <c r="G286" s="68">
        <v>5</v>
      </c>
      <c r="H286" s="68">
        <v>0</v>
      </c>
      <c r="I286" s="68">
        <v>0</v>
      </c>
      <c r="J286" s="71"/>
      <c r="K286" s="71">
        <v>42826</v>
      </c>
      <c r="L286" s="69" t="s">
        <v>80</v>
      </c>
      <c r="M286" s="69" t="s">
        <v>109</v>
      </c>
      <c r="N286" s="72">
        <v>43027</v>
      </c>
      <c r="O286" s="67"/>
      <c r="P286" s="67" t="s">
        <v>95</v>
      </c>
      <c r="Q286" s="67" t="s">
        <v>120</v>
      </c>
      <c r="R286" s="69" t="s">
        <v>69</v>
      </c>
      <c r="S286" s="69" t="s">
        <v>123</v>
      </c>
      <c r="T286" s="67"/>
      <c r="U286" s="67"/>
      <c r="V286" s="72">
        <v>42916</v>
      </c>
      <c r="W286" s="69">
        <v>2025783</v>
      </c>
      <c r="X286" s="69"/>
      <c r="Y286" s="126"/>
      <c r="Z286" s="30">
        <f t="shared" si="8"/>
        <v>6772.6006943194379</v>
      </c>
      <c r="AA286" s="30">
        <f t="shared" si="9"/>
        <v>2116.4377169748245</v>
      </c>
      <c r="AB286" t="s">
        <v>456</v>
      </c>
    </row>
    <row r="287" spans="1:28">
      <c r="A287" s="67" t="s">
        <v>113</v>
      </c>
      <c r="B287" s="68">
        <v>1269276</v>
      </c>
      <c r="C287" s="69">
        <v>4615491275</v>
      </c>
      <c r="D287" s="70">
        <v>19175</v>
      </c>
      <c r="E287" s="67"/>
      <c r="F287" s="73">
        <v>16</v>
      </c>
      <c r="G287" s="73">
        <v>0</v>
      </c>
      <c r="H287" s="68">
        <v>0</v>
      </c>
      <c r="I287" s="68">
        <v>0</v>
      </c>
      <c r="J287" s="71">
        <v>42932</v>
      </c>
      <c r="K287" s="71">
        <v>42836</v>
      </c>
      <c r="L287" s="69" t="s">
        <v>119</v>
      </c>
      <c r="M287" s="69" t="s">
        <v>109</v>
      </c>
      <c r="N287" s="72">
        <v>43027</v>
      </c>
      <c r="O287" s="67"/>
      <c r="P287" s="67" t="s">
        <v>95</v>
      </c>
      <c r="Q287" s="67" t="s">
        <v>110</v>
      </c>
      <c r="R287" s="69" t="s">
        <v>69</v>
      </c>
      <c r="S287" s="69" t="s">
        <v>115</v>
      </c>
      <c r="T287" s="67"/>
      <c r="U287" s="67"/>
      <c r="V287" s="72">
        <v>42917</v>
      </c>
      <c r="W287" s="69" t="s">
        <v>165</v>
      </c>
      <c r="X287" s="69" t="s">
        <v>166</v>
      </c>
      <c r="Y287" s="126"/>
      <c r="Z287" s="30">
        <f t="shared" si="8"/>
        <v>6763.7822038320437</v>
      </c>
      <c r="AA287" s="30">
        <f t="shared" si="9"/>
        <v>0</v>
      </c>
      <c r="AB287" t="s">
        <v>456</v>
      </c>
    </row>
    <row r="288" spans="1:28">
      <c r="A288" s="67" t="s">
        <v>118</v>
      </c>
      <c r="B288" s="68">
        <v>1262948</v>
      </c>
      <c r="C288" s="69">
        <v>4615418622</v>
      </c>
      <c r="D288" s="70">
        <v>19175</v>
      </c>
      <c r="E288" s="67"/>
      <c r="F288" s="73">
        <v>10</v>
      </c>
      <c r="G288" s="73" t="s">
        <v>114</v>
      </c>
      <c r="H288" s="73">
        <v>0</v>
      </c>
      <c r="I288" s="68">
        <v>0</v>
      </c>
      <c r="J288" s="71"/>
      <c r="K288" s="71">
        <v>42836</v>
      </c>
      <c r="L288" s="69" t="s">
        <v>80</v>
      </c>
      <c r="M288" s="69" t="s">
        <v>109</v>
      </c>
      <c r="N288" s="72">
        <v>43027</v>
      </c>
      <c r="O288" s="67"/>
      <c r="P288" s="67" t="s">
        <v>95</v>
      </c>
      <c r="Q288" s="67" t="s">
        <v>120</v>
      </c>
      <c r="R288" s="69" t="s">
        <v>69</v>
      </c>
      <c r="S288" s="69" t="s">
        <v>121</v>
      </c>
      <c r="T288" s="67"/>
      <c r="U288" s="67"/>
      <c r="V288" s="72">
        <v>42947</v>
      </c>
      <c r="W288" s="69">
        <v>2026348</v>
      </c>
      <c r="X288" s="69"/>
      <c r="Y288" s="126"/>
      <c r="Z288" s="30">
        <f t="shared" si="8"/>
        <v>4227.3638773950279</v>
      </c>
      <c r="AA288" s="30">
        <f t="shared" si="9"/>
        <v>0</v>
      </c>
      <c r="AB288" t="s">
        <v>456</v>
      </c>
    </row>
    <row r="289" spans="1:28">
      <c r="A289" s="67" t="s">
        <v>113</v>
      </c>
      <c r="B289" s="68">
        <v>1277569</v>
      </c>
      <c r="C289" s="69">
        <v>4615400272</v>
      </c>
      <c r="D289" s="70">
        <v>20700</v>
      </c>
      <c r="E289" s="67"/>
      <c r="F289" s="68">
        <v>16</v>
      </c>
      <c r="G289" s="68" t="s">
        <v>114</v>
      </c>
      <c r="H289" s="68">
        <v>0</v>
      </c>
      <c r="I289" s="68">
        <v>0</v>
      </c>
      <c r="J289" s="71">
        <v>42976</v>
      </c>
      <c r="K289" s="71">
        <v>42831</v>
      </c>
      <c r="L289" s="69" t="s">
        <v>108</v>
      </c>
      <c r="M289" s="69" t="s">
        <v>109</v>
      </c>
      <c r="N289" s="72">
        <v>43027</v>
      </c>
      <c r="O289" s="67"/>
      <c r="P289" s="67" t="s">
        <v>95</v>
      </c>
      <c r="Q289" s="67" t="s">
        <v>110</v>
      </c>
      <c r="R289" s="69" t="s">
        <v>69</v>
      </c>
      <c r="S289" s="69" t="s">
        <v>115</v>
      </c>
      <c r="T289" s="67"/>
      <c r="U289" s="67"/>
      <c r="V289" s="72">
        <v>42978</v>
      </c>
      <c r="W289" s="69" t="s">
        <v>147</v>
      </c>
      <c r="X289" s="69" t="s">
        <v>117</v>
      </c>
      <c r="Y289" s="126"/>
      <c r="Z289" s="30">
        <f t="shared" si="8"/>
        <v>7301.7101235631453</v>
      </c>
      <c r="AA289" s="30">
        <f t="shared" si="9"/>
        <v>0</v>
      </c>
      <c r="AB289" t="s">
        <v>456</v>
      </c>
    </row>
    <row r="290" spans="1:28">
      <c r="A290" s="67" t="s">
        <v>122</v>
      </c>
      <c r="B290" s="68">
        <v>1272683</v>
      </c>
      <c r="C290" s="69">
        <v>4615409822</v>
      </c>
      <c r="D290" s="70">
        <v>19175</v>
      </c>
      <c r="E290" s="67"/>
      <c r="F290" s="68">
        <v>16</v>
      </c>
      <c r="G290" s="68">
        <v>5</v>
      </c>
      <c r="H290" s="73">
        <v>0</v>
      </c>
      <c r="I290" s="68">
        <v>0</v>
      </c>
      <c r="J290" s="71"/>
      <c r="K290" s="71">
        <v>42831</v>
      </c>
      <c r="L290" s="69" t="s">
        <v>80</v>
      </c>
      <c r="M290" s="69" t="s">
        <v>109</v>
      </c>
      <c r="N290" s="72">
        <v>43027</v>
      </c>
      <c r="O290" s="67"/>
      <c r="P290" s="67" t="s">
        <v>95</v>
      </c>
      <c r="Q290" s="67" t="s">
        <v>120</v>
      </c>
      <c r="R290" s="69" t="s">
        <v>69</v>
      </c>
      <c r="S290" s="69" t="s">
        <v>123</v>
      </c>
      <c r="T290" s="67"/>
      <c r="U290" s="67"/>
      <c r="V290" s="72">
        <v>42978</v>
      </c>
      <c r="W290" s="69">
        <v>2025753</v>
      </c>
      <c r="X290" s="69"/>
      <c r="Y290" s="126"/>
      <c r="Z290" s="30">
        <f t="shared" si="8"/>
        <v>6763.7822038320437</v>
      </c>
      <c r="AA290" s="30">
        <f t="shared" si="9"/>
        <v>2113.6819386975139</v>
      </c>
      <c r="AB290" t="s">
        <v>456</v>
      </c>
    </row>
    <row r="291" spans="1:28">
      <c r="A291" s="67" t="s">
        <v>113</v>
      </c>
      <c r="B291" s="68">
        <v>1269275</v>
      </c>
      <c r="C291" s="69">
        <v>4615491275</v>
      </c>
      <c r="D291" s="70">
        <v>19175</v>
      </c>
      <c r="E291" s="67"/>
      <c r="F291" s="73">
        <v>16</v>
      </c>
      <c r="G291" s="73">
        <v>0</v>
      </c>
      <c r="H291" s="68">
        <v>0</v>
      </c>
      <c r="I291" s="68">
        <v>0</v>
      </c>
      <c r="J291" s="71">
        <v>42932</v>
      </c>
      <c r="K291" s="71">
        <v>42745</v>
      </c>
      <c r="L291" s="69" t="s">
        <v>119</v>
      </c>
      <c r="M291" s="69" t="s">
        <v>109</v>
      </c>
      <c r="N291" s="72">
        <v>43026</v>
      </c>
      <c r="O291" s="67"/>
      <c r="P291" s="67" t="s">
        <v>95</v>
      </c>
      <c r="Q291" s="67" t="s">
        <v>110</v>
      </c>
      <c r="R291" s="69" t="s">
        <v>69</v>
      </c>
      <c r="S291" s="69" t="s">
        <v>115</v>
      </c>
      <c r="T291" s="67"/>
      <c r="U291" s="67"/>
      <c r="V291" s="72">
        <v>42917</v>
      </c>
      <c r="W291" s="69" t="s">
        <v>165</v>
      </c>
      <c r="X291" s="69" t="s">
        <v>166</v>
      </c>
      <c r="Y291" s="126"/>
      <c r="Z291" s="30">
        <f t="shared" si="8"/>
        <v>6763.7822038320437</v>
      </c>
      <c r="AA291" s="30">
        <f t="shared" si="9"/>
        <v>0</v>
      </c>
      <c r="AB291" t="s">
        <v>456</v>
      </c>
    </row>
    <row r="292" spans="1:28">
      <c r="A292" s="67" t="s">
        <v>122</v>
      </c>
      <c r="B292" s="68">
        <v>1268810</v>
      </c>
      <c r="C292" s="69">
        <v>4615413855</v>
      </c>
      <c r="D292" s="70">
        <v>19200</v>
      </c>
      <c r="E292" s="67"/>
      <c r="F292" s="68">
        <v>16</v>
      </c>
      <c r="G292" s="68">
        <v>5</v>
      </c>
      <c r="H292" s="73">
        <v>0</v>
      </c>
      <c r="I292" s="68">
        <v>0</v>
      </c>
      <c r="J292" s="71"/>
      <c r="K292" s="71">
        <v>42849</v>
      </c>
      <c r="L292" s="69" t="s">
        <v>80</v>
      </c>
      <c r="M292" s="69" t="s">
        <v>109</v>
      </c>
      <c r="N292" s="72">
        <v>43026</v>
      </c>
      <c r="O292" s="67"/>
      <c r="P292" s="67" t="s">
        <v>95</v>
      </c>
      <c r="Q292" s="67" t="s">
        <v>120</v>
      </c>
      <c r="R292" s="69" t="s">
        <v>69</v>
      </c>
      <c r="S292" s="69" t="s">
        <v>123</v>
      </c>
      <c r="T292" s="67"/>
      <c r="U292" s="67"/>
      <c r="V292" s="72">
        <v>42947</v>
      </c>
      <c r="W292" s="69">
        <v>2025767</v>
      </c>
      <c r="X292" s="69"/>
      <c r="Y292" s="126"/>
      <c r="Z292" s="30">
        <f t="shared" si="8"/>
        <v>6772.6006943194379</v>
      </c>
      <c r="AA292" s="30">
        <f t="shared" si="9"/>
        <v>2116.4377169748245</v>
      </c>
      <c r="AB292" t="s">
        <v>456</v>
      </c>
    </row>
    <row r="293" spans="1:28">
      <c r="A293" s="67" t="s">
        <v>68</v>
      </c>
      <c r="B293" s="68">
        <v>1257629</v>
      </c>
      <c r="C293" s="69">
        <v>4615405332</v>
      </c>
      <c r="D293" s="70">
        <v>19175</v>
      </c>
      <c r="E293" s="67"/>
      <c r="F293" s="68">
        <v>16</v>
      </c>
      <c r="G293" s="68" t="s">
        <v>114</v>
      </c>
      <c r="H293" s="73">
        <v>0</v>
      </c>
      <c r="I293" s="68">
        <v>0</v>
      </c>
      <c r="J293" s="71"/>
      <c r="K293" s="71">
        <v>42849</v>
      </c>
      <c r="L293" s="69" t="s">
        <v>80</v>
      </c>
      <c r="M293" s="69" t="s">
        <v>109</v>
      </c>
      <c r="N293" s="72">
        <v>43026</v>
      </c>
      <c r="O293" s="67"/>
      <c r="P293" s="67" t="s">
        <v>95</v>
      </c>
      <c r="Q293" s="67" t="s">
        <v>125</v>
      </c>
      <c r="R293" s="69" t="s">
        <v>69</v>
      </c>
      <c r="S293" s="69" t="s">
        <v>68</v>
      </c>
      <c r="T293" s="67"/>
      <c r="U293" s="67"/>
      <c r="V293" s="72">
        <v>42916</v>
      </c>
      <c r="W293" s="69">
        <v>5114722</v>
      </c>
      <c r="X293" s="69" t="s">
        <v>167</v>
      </c>
      <c r="Y293" s="126"/>
      <c r="Z293" s="30">
        <f t="shared" si="8"/>
        <v>6763.7822038320437</v>
      </c>
      <c r="AA293" s="30">
        <f t="shared" si="9"/>
        <v>0</v>
      </c>
      <c r="AB293" t="s">
        <v>456</v>
      </c>
    </row>
    <row r="294" spans="1:28">
      <c r="A294" s="67" t="s">
        <v>113</v>
      </c>
      <c r="B294" s="68">
        <v>1254454</v>
      </c>
      <c r="C294" s="69">
        <v>4615416492</v>
      </c>
      <c r="D294" s="70">
        <v>19175</v>
      </c>
      <c r="E294" s="67"/>
      <c r="F294" s="73">
        <v>16</v>
      </c>
      <c r="G294" s="73">
        <v>5</v>
      </c>
      <c r="H294" s="75">
        <v>0</v>
      </c>
      <c r="I294" s="68">
        <v>0</v>
      </c>
      <c r="J294" s="71"/>
      <c r="K294" s="71">
        <v>42841</v>
      </c>
      <c r="L294" s="69" t="s">
        <v>80</v>
      </c>
      <c r="M294" s="69" t="s">
        <v>109</v>
      </c>
      <c r="N294" s="72">
        <v>43026</v>
      </c>
      <c r="O294" s="67"/>
      <c r="P294" s="67" t="s">
        <v>95</v>
      </c>
      <c r="Q294" s="67" t="s">
        <v>110</v>
      </c>
      <c r="R294" s="69" t="s">
        <v>69</v>
      </c>
      <c r="S294" s="69" t="s">
        <v>115</v>
      </c>
      <c r="T294" s="67"/>
      <c r="U294" s="67"/>
      <c r="V294" s="72">
        <v>42947</v>
      </c>
      <c r="W294" s="69" t="s">
        <v>168</v>
      </c>
      <c r="X294" s="69" t="s">
        <v>169</v>
      </c>
      <c r="Y294" s="126"/>
      <c r="Z294" s="30">
        <f t="shared" si="8"/>
        <v>6763.7822038320437</v>
      </c>
      <c r="AA294" s="30">
        <f t="shared" si="9"/>
        <v>2113.6819386975139</v>
      </c>
      <c r="AB294" t="s">
        <v>456</v>
      </c>
    </row>
    <row r="295" spans="1:28">
      <c r="A295" s="67" t="s">
        <v>128</v>
      </c>
      <c r="B295" s="68">
        <v>1274489</v>
      </c>
      <c r="C295" s="69">
        <v>4615499305</v>
      </c>
      <c r="D295" s="70">
        <v>19175</v>
      </c>
      <c r="E295" s="67"/>
      <c r="F295" s="68">
        <v>154.4</v>
      </c>
      <c r="G295" s="68">
        <v>0</v>
      </c>
      <c r="H295" s="68">
        <v>0</v>
      </c>
      <c r="I295" s="68">
        <v>0</v>
      </c>
      <c r="J295" s="71"/>
      <c r="K295" s="71">
        <v>42842</v>
      </c>
      <c r="L295" s="69" t="s">
        <v>80</v>
      </c>
      <c r="M295" s="69" t="s">
        <v>109</v>
      </c>
      <c r="N295" s="72">
        <v>43025</v>
      </c>
      <c r="O295" s="67"/>
      <c r="P295" s="67" t="s">
        <v>95</v>
      </c>
      <c r="Q295" s="67" t="s">
        <v>129</v>
      </c>
      <c r="R295" s="69" t="s">
        <v>69</v>
      </c>
      <c r="S295" s="69" t="s">
        <v>130</v>
      </c>
      <c r="T295" s="67"/>
      <c r="U295" s="67"/>
      <c r="V295" s="72">
        <v>42947</v>
      </c>
      <c r="W295" s="69">
        <v>425570015</v>
      </c>
      <c r="X295" s="69"/>
      <c r="Y295" s="126"/>
      <c r="Z295" s="30">
        <f t="shared" si="8"/>
        <v>65270.498266979223</v>
      </c>
      <c r="AA295" s="30">
        <f t="shared" si="9"/>
        <v>0</v>
      </c>
      <c r="AB295" t="s">
        <v>456</v>
      </c>
    </row>
    <row r="296" spans="1:28">
      <c r="A296" s="67" t="s">
        <v>118</v>
      </c>
      <c r="B296" s="68">
        <v>1272707</v>
      </c>
      <c r="C296" s="69">
        <v>4615369612</v>
      </c>
      <c r="D296" s="70">
        <v>19175</v>
      </c>
      <c r="E296" s="67"/>
      <c r="F296" s="68">
        <v>10</v>
      </c>
      <c r="G296" s="68">
        <v>5</v>
      </c>
      <c r="H296" s="68">
        <v>0</v>
      </c>
      <c r="I296" s="68">
        <v>0</v>
      </c>
      <c r="J296" s="71"/>
      <c r="K296" s="71">
        <v>42841</v>
      </c>
      <c r="L296" s="69" t="s">
        <v>80</v>
      </c>
      <c r="M296" s="69" t="s">
        <v>109</v>
      </c>
      <c r="N296" s="72">
        <v>43025</v>
      </c>
      <c r="O296" s="67"/>
      <c r="P296" s="67" t="s">
        <v>95</v>
      </c>
      <c r="Q296" s="67" t="s">
        <v>120</v>
      </c>
      <c r="R296" s="69" t="s">
        <v>69</v>
      </c>
      <c r="S296" s="69" t="s">
        <v>121</v>
      </c>
      <c r="T296" s="67"/>
      <c r="U296" s="67"/>
      <c r="V296" s="72">
        <v>42978</v>
      </c>
      <c r="W296" s="69">
        <v>2021270</v>
      </c>
      <c r="X296" s="69"/>
      <c r="Y296" s="126"/>
      <c r="Z296" s="30">
        <f t="shared" si="8"/>
        <v>4227.3638773950279</v>
      </c>
      <c r="AA296" s="30">
        <f t="shared" si="9"/>
        <v>2113.6819386975139</v>
      </c>
      <c r="AB296" t="s">
        <v>456</v>
      </c>
    </row>
    <row r="297" spans="1:28">
      <c r="A297" s="67" t="s">
        <v>68</v>
      </c>
      <c r="B297" s="68">
        <v>1278439</v>
      </c>
      <c r="C297" s="69">
        <v>4615415532</v>
      </c>
      <c r="D297" s="70">
        <v>20499.600000000002</v>
      </c>
      <c r="E297" s="67"/>
      <c r="F297" s="68">
        <v>16</v>
      </c>
      <c r="G297" s="68" t="s">
        <v>114</v>
      </c>
      <c r="H297" s="68">
        <v>0</v>
      </c>
      <c r="I297" s="68">
        <v>0</v>
      </c>
      <c r="J297" s="71">
        <v>42967</v>
      </c>
      <c r="K297" s="71">
        <v>42841</v>
      </c>
      <c r="L297" s="69" t="s">
        <v>119</v>
      </c>
      <c r="M297" s="69" t="s">
        <v>109</v>
      </c>
      <c r="N297" s="72">
        <v>43025</v>
      </c>
      <c r="O297" s="67"/>
      <c r="P297" s="67" t="s">
        <v>95</v>
      </c>
      <c r="Q297" s="67" t="s">
        <v>125</v>
      </c>
      <c r="R297" s="69" t="s">
        <v>69</v>
      </c>
      <c r="S297" s="69" t="s">
        <v>68</v>
      </c>
      <c r="T297" s="67"/>
      <c r="U297" s="67"/>
      <c r="V297" s="72">
        <v>43008</v>
      </c>
      <c r="W297" s="69">
        <v>5114738</v>
      </c>
      <c r="X297" s="69" t="s">
        <v>159</v>
      </c>
      <c r="Y297" s="126"/>
      <c r="Z297" s="30">
        <f t="shared" si="8"/>
        <v>7231.021103816187</v>
      </c>
      <c r="AA297" s="30">
        <f t="shared" si="9"/>
        <v>0</v>
      </c>
      <c r="AB297" t="s">
        <v>456</v>
      </c>
    </row>
    <row r="298" spans="1:28">
      <c r="A298" s="67" t="s">
        <v>122</v>
      </c>
      <c r="B298" s="68">
        <v>1268814</v>
      </c>
      <c r="C298" s="69">
        <v>4615413855</v>
      </c>
      <c r="D298" s="70">
        <v>19200</v>
      </c>
      <c r="E298" s="67"/>
      <c r="F298" s="68">
        <v>16</v>
      </c>
      <c r="G298" s="68">
        <v>5</v>
      </c>
      <c r="H298" s="73">
        <v>0</v>
      </c>
      <c r="I298" s="68">
        <v>0</v>
      </c>
      <c r="J298" s="71"/>
      <c r="K298" s="71">
        <v>42750</v>
      </c>
      <c r="L298" s="69" t="s">
        <v>80</v>
      </c>
      <c r="M298" s="69" t="s">
        <v>109</v>
      </c>
      <c r="N298" s="72">
        <v>43025</v>
      </c>
      <c r="O298" s="67"/>
      <c r="P298" s="67" t="s">
        <v>95</v>
      </c>
      <c r="Q298" s="67" t="s">
        <v>120</v>
      </c>
      <c r="R298" s="69" t="s">
        <v>69</v>
      </c>
      <c r="S298" s="69" t="s">
        <v>123</v>
      </c>
      <c r="T298" s="67"/>
      <c r="U298" s="67"/>
      <c r="V298" s="72">
        <v>42947</v>
      </c>
      <c r="W298" s="69">
        <v>2025767</v>
      </c>
      <c r="X298" s="69"/>
      <c r="Y298" s="126"/>
      <c r="Z298" s="30">
        <f t="shared" si="8"/>
        <v>6772.6006943194379</v>
      </c>
      <c r="AA298" s="30">
        <f t="shared" si="9"/>
        <v>2116.4377169748245</v>
      </c>
      <c r="AB298" t="s">
        <v>456</v>
      </c>
    </row>
    <row r="299" spans="1:28">
      <c r="A299" s="67" t="s">
        <v>68</v>
      </c>
      <c r="B299" s="68">
        <v>1240991</v>
      </c>
      <c r="C299" s="69">
        <v>4615408111</v>
      </c>
      <c r="D299" s="70">
        <v>19175</v>
      </c>
      <c r="E299" s="67"/>
      <c r="F299" s="73">
        <v>16</v>
      </c>
      <c r="G299" s="73">
        <v>5</v>
      </c>
      <c r="H299" s="73">
        <v>0</v>
      </c>
      <c r="I299" s="68">
        <v>0</v>
      </c>
      <c r="J299" s="71">
        <v>42839</v>
      </c>
      <c r="K299" s="71">
        <v>42766</v>
      </c>
      <c r="L299" s="69" t="s">
        <v>119</v>
      </c>
      <c r="M299" s="69" t="s">
        <v>109</v>
      </c>
      <c r="N299" s="72">
        <v>43025</v>
      </c>
      <c r="O299" s="67"/>
      <c r="P299" s="67" t="s">
        <v>95</v>
      </c>
      <c r="Q299" s="67" t="s">
        <v>125</v>
      </c>
      <c r="R299" s="69" t="s">
        <v>69</v>
      </c>
      <c r="S299" s="69" t="s">
        <v>68</v>
      </c>
      <c r="T299" s="67"/>
      <c r="U299" s="67"/>
      <c r="V299" s="72">
        <v>42855</v>
      </c>
      <c r="W299" s="69">
        <v>5114733</v>
      </c>
      <c r="X299" s="69"/>
      <c r="Y299" s="126"/>
      <c r="Z299" s="30">
        <f t="shared" si="8"/>
        <v>6763.7822038320437</v>
      </c>
      <c r="AA299" s="30">
        <f t="shared" si="9"/>
        <v>2113.6819386975139</v>
      </c>
      <c r="AB299" t="s">
        <v>456</v>
      </c>
    </row>
    <row r="300" spans="1:28">
      <c r="A300" s="67" t="s">
        <v>122</v>
      </c>
      <c r="B300" s="68">
        <v>1268808</v>
      </c>
      <c r="C300" s="69">
        <v>4615413855</v>
      </c>
      <c r="D300" s="70">
        <v>19200</v>
      </c>
      <c r="E300" s="67"/>
      <c r="F300" s="68">
        <v>16</v>
      </c>
      <c r="G300" s="68">
        <v>5</v>
      </c>
      <c r="H300" s="73">
        <v>0</v>
      </c>
      <c r="I300" s="68">
        <v>0</v>
      </c>
      <c r="J300" s="71"/>
      <c r="K300" s="71">
        <v>42850</v>
      </c>
      <c r="L300" s="69" t="s">
        <v>80</v>
      </c>
      <c r="M300" s="69" t="s">
        <v>109</v>
      </c>
      <c r="N300" s="72">
        <v>43024</v>
      </c>
      <c r="O300" s="67"/>
      <c r="P300" s="67" t="s">
        <v>95</v>
      </c>
      <c r="Q300" s="67" t="s">
        <v>120</v>
      </c>
      <c r="R300" s="69" t="s">
        <v>69</v>
      </c>
      <c r="S300" s="69" t="s">
        <v>123</v>
      </c>
      <c r="T300" s="67"/>
      <c r="U300" s="67"/>
      <c r="V300" s="72">
        <v>42947</v>
      </c>
      <c r="W300" s="69">
        <v>2025767</v>
      </c>
      <c r="X300" s="69"/>
      <c r="Y300" s="126"/>
      <c r="Z300" s="30">
        <f t="shared" si="8"/>
        <v>6772.6006943194379</v>
      </c>
      <c r="AA300" s="30">
        <f t="shared" si="9"/>
        <v>2116.4377169748245</v>
      </c>
      <c r="AB300" t="s">
        <v>456</v>
      </c>
    </row>
    <row r="301" spans="1:28">
      <c r="A301" s="67" t="s">
        <v>122</v>
      </c>
      <c r="B301" s="68">
        <v>1268805</v>
      </c>
      <c r="C301" s="69">
        <v>4615413855</v>
      </c>
      <c r="D301" s="70">
        <v>19200</v>
      </c>
      <c r="E301" s="67"/>
      <c r="F301" s="68">
        <v>16</v>
      </c>
      <c r="G301" s="68">
        <v>5</v>
      </c>
      <c r="H301" s="73">
        <v>0</v>
      </c>
      <c r="I301" s="68">
        <v>0</v>
      </c>
      <c r="J301" s="71"/>
      <c r="K301" s="71">
        <v>42845</v>
      </c>
      <c r="L301" s="69" t="s">
        <v>80</v>
      </c>
      <c r="M301" s="69" t="s">
        <v>109</v>
      </c>
      <c r="N301" s="72">
        <v>43024</v>
      </c>
      <c r="O301" s="67"/>
      <c r="P301" s="67" t="s">
        <v>95</v>
      </c>
      <c r="Q301" s="67" t="s">
        <v>120</v>
      </c>
      <c r="R301" s="69" t="s">
        <v>69</v>
      </c>
      <c r="S301" s="69" t="s">
        <v>123</v>
      </c>
      <c r="T301" s="67"/>
      <c r="U301" s="67"/>
      <c r="V301" s="72">
        <v>42947</v>
      </c>
      <c r="W301" s="69">
        <v>2025767</v>
      </c>
      <c r="X301" s="69"/>
      <c r="Y301" s="126"/>
      <c r="Z301" s="30">
        <f t="shared" si="8"/>
        <v>6772.6006943194379</v>
      </c>
      <c r="AA301" s="30">
        <f t="shared" si="9"/>
        <v>2116.4377169748245</v>
      </c>
      <c r="AB301" t="s">
        <v>456</v>
      </c>
    </row>
    <row r="302" spans="1:28">
      <c r="A302" s="67" t="s">
        <v>113</v>
      </c>
      <c r="B302" s="68">
        <v>1254450</v>
      </c>
      <c r="C302" s="69">
        <v>4615416492</v>
      </c>
      <c r="D302" s="70">
        <v>19175</v>
      </c>
      <c r="E302" s="67"/>
      <c r="F302" s="73">
        <v>16</v>
      </c>
      <c r="G302" s="73">
        <v>5</v>
      </c>
      <c r="H302" s="75">
        <v>0</v>
      </c>
      <c r="I302" s="68">
        <v>0</v>
      </c>
      <c r="J302" s="71"/>
      <c r="K302" s="71">
        <v>42849</v>
      </c>
      <c r="L302" s="69" t="s">
        <v>80</v>
      </c>
      <c r="M302" s="69" t="s">
        <v>109</v>
      </c>
      <c r="N302" s="72">
        <v>43024</v>
      </c>
      <c r="O302" s="67"/>
      <c r="P302" s="67" t="s">
        <v>95</v>
      </c>
      <c r="Q302" s="67" t="s">
        <v>110</v>
      </c>
      <c r="R302" s="69" t="s">
        <v>69</v>
      </c>
      <c r="S302" s="69" t="s">
        <v>115</v>
      </c>
      <c r="T302" s="67"/>
      <c r="U302" s="67"/>
      <c r="V302" s="72">
        <v>42947</v>
      </c>
      <c r="W302" s="69" t="s">
        <v>168</v>
      </c>
      <c r="X302" s="69" t="s">
        <v>169</v>
      </c>
      <c r="Y302" s="126"/>
      <c r="Z302" s="30">
        <f t="shared" si="8"/>
        <v>6763.7822038320437</v>
      </c>
      <c r="AA302" s="30">
        <f t="shared" si="9"/>
        <v>2113.6819386975139</v>
      </c>
      <c r="AB302" t="s">
        <v>456</v>
      </c>
    </row>
    <row r="303" spans="1:28">
      <c r="A303" s="67" t="s">
        <v>113</v>
      </c>
      <c r="B303" s="68">
        <v>1254446</v>
      </c>
      <c r="C303" s="69">
        <v>4615416492</v>
      </c>
      <c r="D303" s="70">
        <v>19175</v>
      </c>
      <c r="E303" s="67"/>
      <c r="F303" s="73">
        <v>16</v>
      </c>
      <c r="G303" s="73">
        <v>5</v>
      </c>
      <c r="H303" s="75">
        <v>0</v>
      </c>
      <c r="I303" s="68">
        <v>0</v>
      </c>
      <c r="J303" s="71"/>
      <c r="K303" s="71">
        <v>42846</v>
      </c>
      <c r="L303" s="69" t="s">
        <v>80</v>
      </c>
      <c r="M303" s="69" t="s">
        <v>109</v>
      </c>
      <c r="N303" s="72">
        <v>43024</v>
      </c>
      <c r="O303" s="67"/>
      <c r="P303" s="67" t="s">
        <v>95</v>
      </c>
      <c r="Q303" s="67" t="s">
        <v>110</v>
      </c>
      <c r="R303" s="69" t="s">
        <v>69</v>
      </c>
      <c r="S303" s="69" t="s">
        <v>115</v>
      </c>
      <c r="T303" s="67"/>
      <c r="U303" s="67"/>
      <c r="V303" s="72">
        <v>42947</v>
      </c>
      <c r="W303" s="69" t="s">
        <v>168</v>
      </c>
      <c r="X303" s="69" t="s">
        <v>169</v>
      </c>
      <c r="Y303" s="126"/>
      <c r="Z303" s="30">
        <f t="shared" si="8"/>
        <v>6763.7822038320437</v>
      </c>
      <c r="AA303" s="30">
        <f t="shared" si="9"/>
        <v>2113.6819386975139</v>
      </c>
      <c r="AB303" t="s">
        <v>456</v>
      </c>
    </row>
    <row r="304" spans="1:28">
      <c r="A304" s="67" t="s">
        <v>118</v>
      </c>
      <c r="B304" s="68">
        <v>1268047</v>
      </c>
      <c r="C304" s="69">
        <v>4615429860</v>
      </c>
      <c r="D304" s="70">
        <v>19175</v>
      </c>
      <c r="E304" s="67"/>
      <c r="F304" s="68">
        <v>10</v>
      </c>
      <c r="G304" s="68">
        <v>0</v>
      </c>
      <c r="H304" s="75">
        <v>0</v>
      </c>
      <c r="I304" s="68">
        <v>0</v>
      </c>
      <c r="J304" s="71"/>
      <c r="K304" s="71">
        <v>42840</v>
      </c>
      <c r="L304" s="69" t="s">
        <v>80</v>
      </c>
      <c r="M304" s="69" t="s">
        <v>109</v>
      </c>
      <c r="N304" s="72">
        <v>43023</v>
      </c>
      <c r="O304" s="67"/>
      <c r="P304" s="67" t="s">
        <v>95</v>
      </c>
      <c r="Q304" s="67" t="s">
        <v>120</v>
      </c>
      <c r="R304" s="69" t="s">
        <v>69</v>
      </c>
      <c r="S304" s="69" t="s">
        <v>121</v>
      </c>
      <c r="T304" s="67"/>
      <c r="U304" s="67"/>
      <c r="V304" s="72">
        <v>42978</v>
      </c>
      <c r="W304" s="69">
        <v>2028202</v>
      </c>
      <c r="X304" s="69"/>
      <c r="Y304" s="126"/>
      <c r="Z304" s="30">
        <f t="shared" si="8"/>
        <v>4227.3638773950279</v>
      </c>
      <c r="AA304" s="30">
        <f t="shared" si="9"/>
        <v>0</v>
      </c>
      <c r="AB304" t="s">
        <v>456</v>
      </c>
    </row>
    <row r="305" spans="1:28">
      <c r="A305" s="67" t="s">
        <v>118</v>
      </c>
      <c r="B305" s="68">
        <v>1268046</v>
      </c>
      <c r="C305" s="69">
        <v>4615429860</v>
      </c>
      <c r="D305" s="70">
        <v>19175</v>
      </c>
      <c r="E305" s="67"/>
      <c r="F305" s="68">
        <v>10</v>
      </c>
      <c r="G305" s="68">
        <v>0</v>
      </c>
      <c r="H305" s="75">
        <v>0</v>
      </c>
      <c r="I305" s="68">
        <v>0</v>
      </c>
      <c r="J305" s="71"/>
      <c r="K305" s="71">
        <v>42745</v>
      </c>
      <c r="L305" s="69" t="s">
        <v>80</v>
      </c>
      <c r="M305" s="69" t="s">
        <v>109</v>
      </c>
      <c r="N305" s="72">
        <v>43023</v>
      </c>
      <c r="O305" s="67"/>
      <c r="P305" s="67" t="s">
        <v>95</v>
      </c>
      <c r="Q305" s="67" t="s">
        <v>120</v>
      </c>
      <c r="R305" s="69" t="s">
        <v>69</v>
      </c>
      <c r="S305" s="69" t="s">
        <v>121</v>
      </c>
      <c r="T305" s="67"/>
      <c r="U305" s="67"/>
      <c r="V305" s="72">
        <v>42978</v>
      </c>
      <c r="W305" s="69">
        <v>2028202</v>
      </c>
      <c r="X305" s="69"/>
      <c r="Y305" s="126"/>
      <c r="Z305" s="30">
        <f t="shared" si="8"/>
        <v>4227.3638773950279</v>
      </c>
      <c r="AA305" s="30">
        <f t="shared" si="9"/>
        <v>0</v>
      </c>
      <c r="AB305" t="s">
        <v>456</v>
      </c>
    </row>
    <row r="306" spans="1:28">
      <c r="A306" s="67" t="s">
        <v>136</v>
      </c>
      <c r="B306" s="68">
        <v>1260001</v>
      </c>
      <c r="C306" s="69">
        <v>4615409512</v>
      </c>
      <c r="D306" s="70">
        <v>19175</v>
      </c>
      <c r="E306" s="67"/>
      <c r="F306" s="73">
        <v>10</v>
      </c>
      <c r="G306" s="73">
        <v>5</v>
      </c>
      <c r="H306" s="73">
        <v>0</v>
      </c>
      <c r="I306" s="68">
        <v>0</v>
      </c>
      <c r="J306" s="71"/>
      <c r="K306" s="71">
        <v>42801</v>
      </c>
      <c r="L306" s="69" t="s">
        <v>80</v>
      </c>
      <c r="M306" s="69" t="s">
        <v>109</v>
      </c>
      <c r="N306" s="72">
        <v>43023</v>
      </c>
      <c r="O306" s="67"/>
      <c r="P306" s="67" t="s">
        <v>95</v>
      </c>
      <c r="Q306" s="67" t="s">
        <v>129</v>
      </c>
      <c r="R306" s="69" t="s">
        <v>69</v>
      </c>
      <c r="S306" s="69" t="s">
        <v>138</v>
      </c>
      <c r="T306" s="67"/>
      <c r="U306" s="67"/>
      <c r="V306" s="72">
        <v>42978</v>
      </c>
      <c r="W306" s="69">
        <v>415570138</v>
      </c>
      <c r="X306" s="69"/>
      <c r="Y306" s="126"/>
      <c r="Z306" s="30">
        <f t="shared" si="8"/>
        <v>4227.3638773950279</v>
      </c>
      <c r="AA306" s="30">
        <f t="shared" si="9"/>
        <v>2113.6819386975139</v>
      </c>
      <c r="AB306" t="s">
        <v>456</v>
      </c>
    </row>
    <row r="307" spans="1:28">
      <c r="A307" s="67" t="s">
        <v>136</v>
      </c>
      <c r="B307" s="68">
        <v>1260000</v>
      </c>
      <c r="C307" s="69">
        <v>4615409512</v>
      </c>
      <c r="D307" s="70">
        <v>19175</v>
      </c>
      <c r="E307" s="67"/>
      <c r="F307" s="73">
        <v>10</v>
      </c>
      <c r="G307" s="73">
        <v>5</v>
      </c>
      <c r="H307" s="73">
        <v>0</v>
      </c>
      <c r="I307" s="68">
        <v>0</v>
      </c>
      <c r="J307" s="71"/>
      <c r="K307" s="71">
        <v>42799</v>
      </c>
      <c r="L307" s="69" t="s">
        <v>80</v>
      </c>
      <c r="M307" s="69" t="s">
        <v>109</v>
      </c>
      <c r="N307" s="72">
        <v>43023</v>
      </c>
      <c r="O307" s="67"/>
      <c r="P307" s="67" t="s">
        <v>95</v>
      </c>
      <c r="Q307" s="67" t="s">
        <v>129</v>
      </c>
      <c r="R307" s="69" t="s">
        <v>69</v>
      </c>
      <c r="S307" s="69" t="s">
        <v>138</v>
      </c>
      <c r="T307" s="67"/>
      <c r="U307" s="67"/>
      <c r="V307" s="72">
        <v>42978</v>
      </c>
      <c r="W307" s="69">
        <v>415570138</v>
      </c>
      <c r="X307" s="69"/>
      <c r="Y307" s="126"/>
      <c r="Z307" s="30">
        <f t="shared" si="8"/>
        <v>4227.3638773950279</v>
      </c>
      <c r="AA307" s="30">
        <f t="shared" si="9"/>
        <v>2113.6819386975139</v>
      </c>
      <c r="AB307" t="s">
        <v>456</v>
      </c>
    </row>
    <row r="308" spans="1:28">
      <c r="A308" s="67" t="s">
        <v>68</v>
      </c>
      <c r="B308" s="68">
        <v>1278436</v>
      </c>
      <c r="C308" s="69">
        <v>4615415532</v>
      </c>
      <c r="D308" s="70">
        <v>20499.600000000002</v>
      </c>
      <c r="E308" s="67"/>
      <c r="F308" s="68">
        <v>16</v>
      </c>
      <c r="G308" s="68" t="s">
        <v>114</v>
      </c>
      <c r="H308" s="68">
        <v>0</v>
      </c>
      <c r="I308" s="68">
        <v>0</v>
      </c>
      <c r="J308" s="71">
        <v>42967</v>
      </c>
      <c r="K308" s="71">
        <v>42836</v>
      </c>
      <c r="L308" s="69" t="s">
        <v>119</v>
      </c>
      <c r="M308" s="69" t="s">
        <v>109</v>
      </c>
      <c r="N308" s="72">
        <v>43023</v>
      </c>
      <c r="O308" s="67"/>
      <c r="P308" s="67" t="s">
        <v>95</v>
      </c>
      <c r="Q308" s="67" t="s">
        <v>125</v>
      </c>
      <c r="R308" s="69" t="s">
        <v>69</v>
      </c>
      <c r="S308" s="69" t="s">
        <v>68</v>
      </c>
      <c r="T308" s="67"/>
      <c r="U308" s="67"/>
      <c r="V308" s="72">
        <v>43008</v>
      </c>
      <c r="W308" s="69">
        <v>5114738</v>
      </c>
      <c r="X308" s="69" t="s">
        <v>159</v>
      </c>
      <c r="Y308" s="126"/>
      <c r="Z308" s="30">
        <f t="shared" si="8"/>
        <v>7231.021103816187</v>
      </c>
      <c r="AA308" s="30">
        <f t="shared" si="9"/>
        <v>0</v>
      </c>
      <c r="AB308" t="s">
        <v>456</v>
      </c>
    </row>
    <row r="309" spans="1:28">
      <c r="A309" s="67" t="s">
        <v>68</v>
      </c>
      <c r="B309" s="68">
        <v>1276301</v>
      </c>
      <c r="C309" s="69">
        <v>4615416369</v>
      </c>
      <c r="D309" s="70">
        <v>19175</v>
      </c>
      <c r="E309" s="67"/>
      <c r="F309" s="68">
        <v>16</v>
      </c>
      <c r="G309" s="68">
        <v>5</v>
      </c>
      <c r="H309" s="68">
        <v>0</v>
      </c>
      <c r="I309" s="68">
        <v>0</v>
      </c>
      <c r="J309" s="71"/>
      <c r="K309" s="71">
        <v>42881</v>
      </c>
      <c r="L309" s="69" t="s">
        <v>80</v>
      </c>
      <c r="M309" s="69" t="s">
        <v>109</v>
      </c>
      <c r="N309" s="72">
        <v>43023</v>
      </c>
      <c r="O309" s="67"/>
      <c r="P309" s="67" t="s">
        <v>95</v>
      </c>
      <c r="Q309" s="67" t="s">
        <v>125</v>
      </c>
      <c r="R309" s="69" t="s">
        <v>69</v>
      </c>
      <c r="S309" s="69" t="s">
        <v>68</v>
      </c>
      <c r="T309" s="67"/>
      <c r="U309" s="67"/>
      <c r="V309" s="72">
        <v>42978</v>
      </c>
      <c r="W309" s="69">
        <v>5114737</v>
      </c>
      <c r="X309" s="69"/>
      <c r="Y309" s="126"/>
      <c r="Z309" s="30">
        <f t="shared" si="8"/>
        <v>6763.7822038320437</v>
      </c>
      <c r="AA309" s="30">
        <f t="shared" si="9"/>
        <v>2113.6819386975139</v>
      </c>
      <c r="AB309" t="s">
        <v>456</v>
      </c>
    </row>
    <row r="310" spans="1:28">
      <c r="A310" s="67" t="s">
        <v>131</v>
      </c>
      <c r="B310" s="68">
        <v>1271492</v>
      </c>
      <c r="C310" s="69">
        <v>4615467226</v>
      </c>
      <c r="D310" s="70">
        <v>19175</v>
      </c>
      <c r="E310" s="67"/>
      <c r="F310" s="68">
        <v>154.4</v>
      </c>
      <c r="G310" s="75">
        <v>0</v>
      </c>
      <c r="H310" s="68">
        <v>0</v>
      </c>
      <c r="I310" s="68">
        <v>0</v>
      </c>
      <c r="J310" s="71"/>
      <c r="K310" s="71">
        <v>42871</v>
      </c>
      <c r="L310" s="69" t="s">
        <v>80</v>
      </c>
      <c r="M310" s="69" t="s">
        <v>109</v>
      </c>
      <c r="N310" s="72">
        <v>43023</v>
      </c>
      <c r="O310" s="67"/>
      <c r="P310" s="67" t="s">
        <v>95</v>
      </c>
      <c r="Q310" s="67" t="s">
        <v>133</v>
      </c>
      <c r="R310" s="69" t="s">
        <v>69</v>
      </c>
      <c r="S310" s="69" t="s">
        <v>134</v>
      </c>
      <c r="T310" s="67"/>
      <c r="U310" s="67"/>
      <c r="V310" s="72">
        <v>42978</v>
      </c>
      <c r="W310" s="69" t="s">
        <v>170</v>
      </c>
      <c r="X310" s="69"/>
      <c r="Y310" s="126"/>
      <c r="Z310" s="30">
        <f t="shared" si="8"/>
        <v>65270.498266979223</v>
      </c>
      <c r="AA310" s="30">
        <f t="shared" si="9"/>
        <v>0</v>
      </c>
      <c r="AB310" t="s">
        <v>456</v>
      </c>
    </row>
    <row r="311" spans="1:28">
      <c r="A311" s="67" t="s">
        <v>118</v>
      </c>
      <c r="B311" s="68">
        <v>1262953</v>
      </c>
      <c r="C311" s="69">
        <v>4615366879</v>
      </c>
      <c r="D311" s="70">
        <v>19175</v>
      </c>
      <c r="E311" s="67"/>
      <c r="F311" s="68">
        <v>10</v>
      </c>
      <c r="G311" s="68">
        <v>5</v>
      </c>
      <c r="H311" s="73">
        <v>0</v>
      </c>
      <c r="I311" s="68">
        <v>0</v>
      </c>
      <c r="J311" s="71"/>
      <c r="K311" s="71">
        <v>42863</v>
      </c>
      <c r="L311" s="69" t="s">
        <v>80</v>
      </c>
      <c r="M311" s="69" t="s">
        <v>109</v>
      </c>
      <c r="N311" s="72">
        <v>43023</v>
      </c>
      <c r="O311" s="67"/>
      <c r="P311" s="67" t="s">
        <v>95</v>
      </c>
      <c r="Q311" s="67" t="s">
        <v>120</v>
      </c>
      <c r="R311" s="69" t="s">
        <v>69</v>
      </c>
      <c r="S311" s="69" t="s">
        <v>121</v>
      </c>
      <c r="T311" s="67"/>
      <c r="U311" s="67"/>
      <c r="V311" s="72">
        <v>42947</v>
      </c>
      <c r="W311" s="69">
        <v>2021269</v>
      </c>
      <c r="X311" s="69"/>
      <c r="Y311" s="126"/>
      <c r="Z311" s="30">
        <f t="shared" si="8"/>
        <v>4227.3638773950279</v>
      </c>
      <c r="AA311" s="30">
        <f t="shared" si="9"/>
        <v>2113.6819386975139</v>
      </c>
      <c r="AB311" t="s">
        <v>456</v>
      </c>
    </row>
    <row r="312" spans="1:28">
      <c r="A312" s="67" t="s">
        <v>122</v>
      </c>
      <c r="B312" s="68">
        <v>1268807</v>
      </c>
      <c r="C312" s="69">
        <v>4615413855</v>
      </c>
      <c r="D312" s="70">
        <v>19200</v>
      </c>
      <c r="E312" s="67"/>
      <c r="F312" s="68">
        <v>16</v>
      </c>
      <c r="G312" s="68">
        <v>5</v>
      </c>
      <c r="H312" s="73">
        <v>0</v>
      </c>
      <c r="I312" s="68">
        <v>0</v>
      </c>
      <c r="J312" s="71"/>
      <c r="K312" s="71">
        <v>42841</v>
      </c>
      <c r="L312" s="69" t="s">
        <v>80</v>
      </c>
      <c r="M312" s="69" t="s">
        <v>109</v>
      </c>
      <c r="N312" s="72">
        <v>43023</v>
      </c>
      <c r="O312" s="67"/>
      <c r="P312" s="67" t="s">
        <v>95</v>
      </c>
      <c r="Q312" s="67" t="s">
        <v>120</v>
      </c>
      <c r="R312" s="69" t="s">
        <v>69</v>
      </c>
      <c r="S312" s="69" t="s">
        <v>123</v>
      </c>
      <c r="T312" s="67"/>
      <c r="U312" s="67"/>
      <c r="V312" s="72">
        <v>42947</v>
      </c>
      <c r="W312" s="69">
        <v>2025767</v>
      </c>
      <c r="X312" s="69"/>
      <c r="Y312" s="126"/>
      <c r="Z312" s="30">
        <f t="shared" si="8"/>
        <v>6772.6006943194379</v>
      </c>
      <c r="AA312" s="30">
        <f t="shared" si="9"/>
        <v>2116.4377169748245</v>
      </c>
      <c r="AB312" t="s">
        <v>456</v>
      </c>
    </row>
    <row r="313" spans="1:28">
      <c r="A313" s="67" t="s">
        <v>122</v>
      </c>
      <c r="B313" s="68">
        <v>1268804</v>
      </c>
      <c r="C313" s="69">
        <v>4615413855</v>
      </c>
      <c r="D313" s="70">
        <v>19200</v>
      </c>
      <c r="E313" s="67"/>
      <c r="F313" s="68">
        <v>16</v>
      </c>
      <c r="G313" s="68">
        <v>5</v>
      </c>
      <c r="H313" s="73">
        <v>0</v>
      </c>
      <c r="I313" s="68">
        <v>0</v>
      </c>
      <c r="J313" s="71"/>
      <c r="K313" s="71">
        <v>42841</v>
      </c>
      <c r="L313" s="69" t="s">
        <v>80</v>
      </c>
      <c r="M313" s="69" t="s">
        <v>109</v>
      </c>
      <c r="N313" s="72">
        <v>43023</v>
      </c>
      <c r="O313" s="67"/>
      <c r="P313" s="67" t="s">
        <v>95</v>
      </c>
      <c r="Q313" s="67" t="s">
        <v>120</v>
      </c>
      <c r="R313" s="69" t="s">
        <v>69</v>
      </c>
      <c r="S313" s="69" t="s">
        <v>123</v>
      </c>
      <c r="T313" s="67"/>
      <c r="U313" s="67"/>
      <c r="V313" s="72">
        <v>42947</v>
      </c>
      <c r="W313" s="69">
        <v>2025767</v>
      </c>
      <c r="X313" s="69"/>
      <c r="Y313" s="126"/>
      <c r="Z313" s="30">
        <f t="shared" si="8"/>
        <v>6772.6006943194379</v>
      </c>
      <c r="AA313" s="30">
        <f t="shared" si="9"/>
        <v>2116.4377169748245</v>
      </c>
      <c r="AB313" t="s">
        <v>456</v>
      </c>
    </row>
    <row r="314" spans="1:28">
      <c r="A314" s="67" t="s">
        <v>113</v>
      </c>
      <c r="B314" s="68">
        <v>1254448</v>
      </c>
      <c r="C314" s="69">
        <v>4615416492</v>
      </c>
      <c r="D314" s="70">
        <v>19175</v>
      </c>
      <c r="E314" s="67"/>
      <c r="F314" s="73">
        <v>16</v>
      </c>
      <c r="G314" s="73">
        <v>5</v>
      </c>
      <c r="H314" s="73">
        <v>0</v>
      </c>
      <c r="I314" s="68">
        <v>0</v>
      </c>
      <c r="J314" s="71"/>
      <c r="K314" s="71">
        <v>42863</v>
      </c>
      <c r="L314" s="69" t="s">
        <v>80</v>
      </c>
      <c r="M314" s="69" t="s">
        <v>109</v>
      </c>
      <c r="N314" s="72">
        <v>43023</v>
      </c>
      <c r="O314" s="67"/>
      <c r="P314" s="67" t="s">
        <v>95</v>
      </c>
      <c r="Q314" s="67" t="s">
        <v>110</v>
      </c>
      <c r="R314" s="69" t="s">
        <v>69</v>
      </c>
      <c r="S314" s="69" t="s">
        <v>115</v>
      </c>
      <c r="T314" s="67"/>
      <c r="U314" s="67"/>
      <c r="V314" s="72">
        <v>42947</v>
      </c>
      <c r="W314" s="69" t="s">
        <v>168</v>
      </c>
      <c r="X314" s="69" t="s">
        <v>169</v>
      </c>
      <c r="Y314" s="126"/>
      <c r="Z314" s="30">
        <f t="shared" si="8"/>
        <v>6763.7822038320437</v>
      </c>
      <c r="AA314" s="30">
        <f t="shared" si="9"/>
        <v>2113.6819386975139</v>
      </c>
      <c r="AB314" t="s">
        <v>456</v>
      </c>
    </row>
    <row r="315" spans="1:28">
      <c r="A315" s="67" t="s">
        <v>113</v>
      </c>
      <c r="B315" s="68">
        <v>1254445</v>
      </c>
      <c r="C315" s="69">
        <v>4615416492</v>
      </c>
      <c r="D315" s="70">
        <v>19175</v>
      </c>
      <c r="E315" s="67"/>
      <c r="F315" s="73">
        <v>16</v>
      </c>
      <c r="G315" s="73">
        <v>5</v>
      </c>
      <c r="H315" s="75">
        <v>0</v>
      </c>
      <c r="I315" s="68">
        <v>0</v>
      </c>
      <c r="J315" s="71"/>
      <c r="K315" s="71">
        <v>42845</v>
      </c>
      <c r="L315" s="69" t="s">
        <v>80</v>
      </c>
      <c r="M315" s="69" t="s">
        <v>109</v>
      </c>
      <c r="N315" s="72">
        <v>43023</v>
      </c>
      <c r="O315" s="67"/>
      <c r="P315" s="67" t="s">
        <v>95</v>
      </c>
      <c r="Q315" s="67" t="s">
        <v>110</v>
      </c>
      <c r="R315" s="69" t="s">
        <v>69</v>
      </c>
      <c r="S315" s="69" t="s">
        <v>115</v>
      </c>
      <c r="T315" s="67"/>
      <c r="U315" s="67"/>
      <c r="V315" s="72">
        <v>42947</v>
      </c>
      <c r="W315" s="69" t="s">
        <v>168</v>
      </c>
      <c r="X315" s="69" t="s">
        <v>169</v>
      </c>
      <c r="Y315" s="126"/>
      <c r="Z315" s="30">
        <f t="shared" si="8"/>
        <v>6763.7822038320437</v>
      </c>
      <c r="AA315" s="30">
        <f t="shared" si="9"/>
        <v>2113.6819386975139</v>
      </c>
      <c r="AB315" t="s">
        <v>456</v>
      </c>
    </row>
    <row r="316" spans="1:28">
      <c r="A316" s="67" t="s">
        <v>122</v>
      </c>
      <c r="B316" s="68">
        <v>1245002</v>
      </c>
      <c r="C316" s="69">
        <v>4615458926</v>
      </c>
      <c r="D316" s="70">
        <v>19175</v>
      </c>
      <c r="E316" s="67"/>
      <c r="F316" s="68">
        <v>16</v>
      </c>
      <c r="G316" s="68">
        <v>5</v>
      </c>
      <c r="H316" s="73">
        <v>0</v>
      </c>
      <c r="I316" s="68">
        <v>0</v>
      </c>
      <c r="J316" s="71">
        <v>42848</v>
      </c>
      <c r="K316" s="71">
        <v>42874</v>
      </c>
      <c r="L316" s="69" t="s">
        <v>119</v>
      </c>
      <c r="M316" s="69" t="s">
        <v>109</v>
      </c>
      <c r="N316" s="72">
        <v>43023</v>
      </c>
      <c r="O316" s="67"/>
      <c r="P316" s="67" t="s">
        <v>95</v>
      </c>
      <c r="Q316" s="67" t="s">
        <v>120</v>
      </c>
      <c r="R316" s="69" t="s">
        <v>69</v>
      </c>
      <c r="S316" s="69" t="s">
        <v>123</v>
      </c>
      <c r="T316" s="67"/>
      <c r="U316" s="67"/>
      <c r="V316" s="72">
        <v>42886</v>
      </c>
      <c r="W316" s="69">
        <v>2028850</v>
      </c>
      <c r="X316" s="69" t="s">
        <v>171</v>
      </c>
      <c r="Y316" s="126"/>
      <c r="Z316" s="30">
        <f t="shared" si="8"/>
        <v>6763.7822038320437</v>
      </c>
      <c r="AA316" s="30">
        <f t="shared" si="9"/>
        <v>2113.6819386975139</v>
      </c>
      <c r="AB316" t="s">
        <v>456</v>
      </c>
    </row>
    <row r="317" spans="1:28">
      <c r="A317" s="67" t="s">
        <v>122</v>
      </c>
      <c r="B317" s="68">
        <v>1268806</v>
      </c>
      <c r="C317" s="69">
        <v>4615413855</v>
      </c>
      <c r="D317" s="70">
        <v>19200</v>
      </c>
      <c r="E317" s="67"/>
      <c r="F317" s="68">
        <v>16</v>
      </c>
      <c r="G317" s="68">
        <v>5</v>
      </c>
      <c r="H317" s="73">
        <v>0</v>
      </c>
      <c r="I317" s="68">
        <v>0</v>
      </c>
      <c r="J317" s="71"/>
      <c r="K317" s="71">
        <v>42881</v>
      </c>
      <c r="L317" s="69" t="s">
        <v>80</v>
      </c>
      <c r="M317" s="69" t="s">
        <v>109</v>
      </c>
      <c r="N317" s="72">
        <v>43020</v>
      </c>
      <c r="O317" s="67"/>
      <c r="P317" s="67" t="s">
        <v>95</v>
      </c>
      <c r="Q317" s="67" t="s">
        <v>120</v>
      </c>
      <c r="R317" s="69" t="s">
        <v>69</v>
      </c>
      <c r="S317" s="69" t="s">
        <v>123</v>
      </c>
      <c r="T317" s="67"/>
      <c r="U317" s="67"/>
      <c r="V317" s="72">
        <v>42947</v>
      </c>
      <c r="W317" s="69">
        <v>2025767</v>
      </c>
      <c r="X317" s="69"/>
      <c r="Y317" s="126"/>
      <c r="Z317" s="30">
        <f t="shared" si="8"/>
        <v>6772.6006943194379</v>
      </c>
      <c r="AA317" s="30">
        <f t="shared" si="9"/>
        <v>2116.4377169748245</v>
      </c>
      <c r="AB317" t="s">
        <v>456</v>
      </c>
    </row>
    <row r="318" spans="1:28">
      <c r="A318" s="67" t="s">
        <v>118</v>
      </c>
      <c r="B318" s="68">
        <v>1262952</v>
      </c>
      <c r="C318" s="69">
        <v>4615418622</v>
      </c>
      <c r="D318" s="70">
        <v>19175</v>
      </c>
      <c r="E318" s="67"/>
      <c r="F318" s="73">
        <v>10</v>
      </c>
      <c r="G318" s="73" t="s">
        <v>114</v>
      </c>
      <c r="H318" s="73">
        <v>0</v>
      </c>
      <c r="I318" s="68">
        <v>0</v>
      </c>
      <c r="J318" s="71"/>
      <c r="K318" s="71">
        <v>42799</v>
      </c>
      <c r="L318" s="69" t="s">
        <v>80</v>
      </c>
      <c r="M318" s="69" t="s">
        <v>109</v>
      </c>
      <c r="N318" s="72">
        <v>43019</v>
      </c>
      <c r="O318" s="67"/>
      <c r="P318" s="67" t="s">
        <v>95</v>
      </c>
      <c r="Q318" s="67" t="s">
        <v>120</v>
      </c>
      <c r="R318" s="69" t="s">
        <v>69</v>
      </c>
      <c r="S318" s="69" t="s">
        <v>121</v>
      </c>
      <c r="T318" s="67"/>
      <c r="U318" s="67"/>
      <c r="V318" s="72">
        <v>42947</v>
      </c>
      <c r="W318" s="69">
        <v>2026348</v>
      </c>
      <c r="X318" s="69"/>
      <c r="Y318" s="126"/>
      <c r="Z318" s="30">
        <f t="shared" si="8"/>
        <v>4227.3638773950279</v>
      </c>
      <c r="AA318" s="30">
        <f t="shared" si="9"/>
        <v>0</v>
      </c>
      <c r="AB318" t="s">
        <v>456</v>
      </c>
    </row>
    <row r="319" spans="1:28">
      <c r="A319" s="67" t="s">
        <v>68</v>
      </c>
      <c r="B319" s="68">
        <v>1276294</v>
      </c>
      <c r="C319" s="69">
        <v>4615416369</v>
      </c>
      <c r="D319" s="70">
        <v>19175</v>
      </c>
      <c r="E319" s="67"/>
      <c r="F319" s="68">
        <v>16</v>
      </c>
      <c r="G319" s="68">
        <v>5</v>
      </c>
      <c r="H319" s="68">
        <v>0</v>
      </c>
      <c r="I319" s="68">
        <v>0</v>
      </c>
      <c r="J319" s="71"/>
      <c r="K319" s="71">
        <v>42839</v>
      </c>
      <c r="L319" s="69" t="s">
        <v>80</v>
      </c>
      <c r="M319" s="69" t="s">
        <v>109</v>
      </c>
      <c r="N319" s="72">
        <v>43019</v>
      </c>
      <c r="O319" s="67"/>
      <c r="P319" s="67" t="s">
        <v>95</v>
      </c>
      <c r="Q319" s="67" t="s">
        <v>125</v>
      </c>
      <c r="R319" s="69" t="s">
        <v>69</v>
      </c>
      <c r="S319" s="69" t="s">
        <v>68</v>
      </c>
      <c r="T319" s="67"/>
      <c r="U319" s="67"/>
      <c r="V319" s="72">
        <v>42978</v>
      </c>
      <c r="W319" s="69">
        <v>5114737</v>
      </c>
      <c r="X319" s="69"/>
      <c r="Y319" s="126"/>
      <c r="Z319" s="30">
        <f t="shared" si="8"/>
        <v>6763.7822038320437</v>
      </c>
      <c r="AA319" s="30">
        <f t="shared" si="9"/>
        <v>2113.6819386975139</v>
      </c>
      <c r="AB319" t="s">
        <v>456</v>
      </c>
    </row>
    <row r="320" spans="1:28">
      <c r="A320" s="67" t="s">
        <v>131</v>
      </c>
      <c r="B320" s="68">
        <v>1271493</v>
      </c>
      <c r="C320" s="69">
        <v>4615467226</v>
      </c>
      <c r="D320" s="70">
        <v>19175</v>
      </c>
      <c r="E320" s="67"/>
      <c r="F320" s="68">
        <v>154.4</v>
      </c>
      <c r="G320" s="75">
        <v>0</v>
      </c>
      <c r="H320" s="68">
        <v>0</v>
      </c>
      <c r="I320" s="68">
        <v>0</v>
      </c>
      <c r="J320" s="71"/>
      <c r="K320" s="71">
        <v>42839</v>
      </c>
      <c r="L320" s="69" t="s">
        <v>80</v>
      </c>
      <c r="M320" s="69" t="s">
        <v>109</v>
      </c>
      <c r="N320" s="72">
        <v>43019</v>
      </c>
      <c r="O320" s="67"/>
      <c r="P320" s="67" t="s">
        <v>95</v>
      </c>
      <c r="Q320" s="67" t="s">
        <v>133</v>
      </c>
      <c r="R320" s="69" t="s">
        <v>69</v>
      </c>
      <c r="S320" s="69" t="s">
        <v>134</v>
      </c>
      <c r="T320" s="67"/>
      <c r="U320" s="67"/>
      <c r="V320" s="72">
        <v>42978</v>
      </c>
      <c r="W320" s="69" t="s">
        <v>170</v>
      </c>
      <c r="X320" s="69"/>
      <c r="Y320" s="126"/>
      <c r="Z320" s="30">
        <f t="shared" si="8"/>
        <v>65270.498266979223</v>
      </c>
      <c r="AA320" s="30">
        <f t="shared" si="9"/>
        <v>0</v>
      </c>
      <c r="AB320" t="s">
        <v>456</v>
      </c>
    </row>
    <row r="321" spans="1:28">
      <c r="A321" s="67" t="s">
        <v>113</v>
      </c>
      <c r="B321" s="68">
        <v>1254452</v>
      </c>
      <c r="C321" s="69">
        <v>4615416492</v>
      </c>
      <c r="D321" s="70">
        <v>19175</v>
      </c>
      <c r="E321" s="67"/>
      <c r="F321" s="73">
        <v>16</v>
      </c>
      <c r="G321" s="73">
        <v>5</v>
      </c>
      <c r="H321" s="75">
        <v>0</v>
      </c>
      <c r="I321" s="68">
        <v>0</v>
      </c>
      <c r="J321" s="71"/>
      <c r="K321" s="71">
        <v>42839</v>
      </c>
      <c r="L321" s="69" t="s">
        <v>80</v>
      </c>
      <c r="M321" s="69" t="s">
        <v>109</v>
      </c>
      <c r="N321" s="72">
        <v>43019</v>
      </c>
      <c r="O321" s="67"/>
      <c r="P321" s="67" t="s">
        <v>95</v>
      </c>
      <c r="Q321" s="67" t="s">
        <v>110</v>
      </c>
      <c r="R321" s="69" t="s">
        <v>69</v>
      </c>
      <c r="S321" s="69" t="s">
        <v>115</v>
      </c>
      <c r="T321" s="67"/>
      <c r="U321" s="67"/>
      <c r="V321" s="72">
        <v>42947</v>
      </c>
      <c r="W321" s="69" t="s">
        <v>168</v>
      </c>
      <c r="X321" s="69" t="s">
        <v>169</v>
      </c>
      <c r="Y321" s="126"/>
      <c r="Z321" s="30">
        <f t="shared" si="8"/>
        <v>6763.7822038320437</v>
      </c>
      <c r="AA321" s="30">
        <f t="shared" si="9"/>
        <v>2113.6819386975139</v>
      </c>
      <c r="AB321" t="s">
        <v>456</v>
      </c>
    </row>
    <row r="322" spans="1:28">
      <c r="A322" s="67" t="s">
        <v>113</v>
      </c>
      <c r="B322" s="68">
        <v>1254447</v>
      </c>
      <c r="C322" s="69">
        <v>4615416492</v>
      </c>
      <c r="D322" s="70">
        <v>19175</v>
      </c>
      <c r="E322" s="67"/>
      <c r="F322" s="73">
        <v>16</v>
      </c>
      <c r="G322" s="73">
        <v>5</v>
      </c>
      <c r="H322" s="75">
        <v>0</v>
      </c>
      <c r="I322" s="68">
        <v>0</v>
      </c>
      <c r="J322" s="71"/>
      <c r="K322" s="71">
        <v>42836</v>
      </c>
      <c r="L322" s="69" t="s">
        <v>80</v>
      </c>
      <c r="M322" s="69" t="s">
        <v>109</v>
      </c>
      <c r="N322" s="72">
        <v>43019</v>
      </c>
      <c r="O322" s="67"/>
      <c r="P322" s="67" t="s">
        <v>95</v>
      </c>
      <c r="Q322" s="67" t="s">
        <v>110</v>
      </c>
      <c r="R322" s="69" t="s">
        <v>69</v>
      </c>
      <c r="S322" s="69" t="s">
        <v>115</v>
      </c>
      <c r="T322" s="67"/>
      <c r="U322" s="67"/>
      <c r="V322" s="72">
        <v>42947</v>
      </c>
      <c r="W322" s="69" t="s">
        <v>168</v>
      </c>
      <c r="X322" s="69" t="s">
        <v>169</v>
      </c>
      <c r="Y322" s="126"/>
      <c r="Z322" s="30">
        <f t="shared" si="8"/>
        <v>6763.7822038320437</v>
      </c>
      <c r="AA322" s="30">
        <f t="shared" si="9"/>
        <v>2113.6819386975139</v>
      </c>
      <c r="AB322" t="s">
        <v>456</v>
      </c>
    </row>
    <row r="323" spans="1:28">
      <c r="A323" s="67" t="s">
        <v>68</v>
      </c>
      <c r="B323" s="68">
        <v>1278440</v>
      </c>
      <c r="C323" s="69">
        <v>4615415532</v>
      </c>
      <c r="D323" s="70">
        <v>20499.600000000002</v>
      </c>
      <c r="E323" s="67"/>
      <c r="F323" s="68">
        <v>16</v>
      </c>
      <c r="G323" s="68" t="s">
        <v>114</v>
      </c>
      <c r="H323" s="68">
        <v>0</v>
      </c>
      <c r="I323" s="68">
        <v>0</v>
      </c>
      <c r="J323" s="71">
        <v>42967</v>
      </c>
      <c r="K323" s="71">
        <v>42841</v>
      </c>
      <c r="L323" s="69" t="s">
        <v>119</v>
      </c>
      <c r="M323" s="69" t="s">
        <v>109</v>
      </c>
      <c r="N323" s="72">
        <v>43018</v>
      </c>
      <c r="O323" s="67"/>
      <c r="P323" s="67" t="s">
        <v>95</v>
      </c>
      <c r="Q323" s="67" t="s">
        <v>125</v>
      </c>
      <c r="R323" s="69" t="s">
        <v>69</v>
      </c>
      <c r="S323" s="69" t="s">
        <v>68</v>
      </c>
      <c r="T323" s="67"/>
      <c r="U323" s="67"/>
      <c r="V323" s="72">
        <v>43008</v>
      </c>
      <c r="W323" s="69">
        <v>5114738</v>
      </c>
      <c r="X323" s="69" t="s">
        <v>159</v>
      </c>
      <c r="Y323" s="126"/>
      <c r="Z323" s="30">
        <f t="shared" ref="Z323:Z386" si="10">CONVERT(D323,"kg","lbm")*F323/100</f>
        <v>7231.021103816187</v>
      </c>
      <c r="AA323" s="30">
        <f t="shared" ref="AA323:AA386" si="11">CONVERT(D323,"kg","lbm")*G323/100</f>
        <v>0</v>
      </c>
      <c r="AB323" t="s">
        <v>456</v>
      </c>
    </row>
    <row r="324" spans="1:28">
      <c r="A324" s="67" t="s">
        <v>68</v>
      </c>
      <c r="B324" s="68">
        <v>1276298</v>
      </c>
      <c r="C324" s="69">
        <v>4615416369</v>
      </c>
      <c r="D324" s="70">
        <v>19175</v>
      </c>
      <c r="E324" s="67"/>
      <c r="F324" s="68">
        <v>16</v>
      </c>
      <c r="G324" s="68">
        <v>5</v>
      </c>
      <c r="H324" s="68">
        <v>0</v>
      </c>
      <c r="I324" s="68">
        <v>0</v>
      </c>
      <c r="J324" s="71"/>
      <c r="K324" s="71">
        <v>42841</v>
      </c>
      <c r="L324" s="69" t="s">
        <v>80</v>
      </c>
      <c r="M324" s="69" t="s">
        <v>109</v>
      </c>
      <c r="N324" s="72">
        <v>43018</v>
      </c>
      <c r="O324" s="67"/>
      <c r="P324" s="67" t="s">
        <v>95</v>
      </c>
      <c r="Q324" s="67" t="s">
        <v>125</v>
      </c>
      <c r="R324" s="69" t="s">
        <v>69</v>
      </c>
      <c r="S324" s="69" t="s">
        <v>68</v>
      </c>
      <c r="T324" s="67"/>
      <c r="U324" s="67"/>
      <c r="V324" s="72">
        <v>42978</v>
      </c>
      <c r="W324" s="69">
        <v>5114737</v>
      </c>
      <c r="X324" s="69"/>
      <c r="Y324" s="126"/>
      <c r="Z324" s="30">
        <f t="shared" si="10"/>
        <v>6763.7822038320437</v>
      </c>
      <c r="AA324" s="30">
        <f t="shared" si="11"/>
        <v>2113.6819386975139</v>
      </c>
      <c r="AB324" t="s">
        <v>456</v>
      </c>
    </row>
    <row r="325" spans="1:28">
      <c r="A325" s="67" t="s">
        <v>68</v>
      </c>
      <c r="B325" s="68">
        <v>1276297</v>
      </c>
      <c r="C325" s="69">
        <v>4615416369</v>
      </c>
      <c r="D325" s="70">
        <v>19175</v>
      </c>
      <c r="E325" s="67"/>
      <c r="F325" s="68">
        <v>16</v>
      </c>
      <c r="G325" s="68">
        <v>5</v>
      </c>
      <c r="H325" s="68">
        <v>0</v>
      </c>
      <c r="I325" s="68">
        <v>0</v>
      </c>
      <c r="J325" s="71"/>
      <c r="K325" s="71">
        <v>42841</v>
      </c>
      <c r="L325" s="69" t="s">
        <v>80</v>
      </c>
      <c r="M325" s="69" t="s">
        <v>109</v>
      </c>
      <c r="N325" s="72">
        <v>43018</v>
      </c>
      <c r="O325" s="67"/>
      <c r="P325" s="67" t="s">
        <v>95</v>
      </c>
      <c r="Q325" s="67" t="s">
        <v>125</v>
      </c>
      <c r="R325" s="69" t="s">
        <v>69</v>
      </c>
      <c r="S325" s="69" t="s">
        <v>68</v>
      </c>
      <c r="T325" s="67"/>
      <c r="U325" s="67"/>
      <c r="V325" s="72">
        <v>42978</v>
      </c>
      <c r="W325" s="69">
        <v>5114737</v>
      </c>
      <c r="X325" s="69"/>
      <c r="Y325" s="126"/>
      <c r="Z325" s="30">
        <f t="shared" si="10"/>
        <v>6763.7822038320437</v>
      </c>
      <c r="AA325" s="30">
        <f t="shared" si="11"/>
        <v>2113.6819386975139</v>
      </c>
      <c r="AB325" t="s">
        <v>456</v>
      </c>
    </row>
    <row r="326" spans="1:28">
      <c r="A326" s="67" t="s">
        <v>122</v>
      </c>
      <c r="B326" s="68">
        <v>1257948</v>
      </c>
      <c r="C326" s="69">
        <v>4615379747</v>
      </c>
      <c r="D326" s="70">
        <v>19200</v>
      </c>
      <c r="E326" s="67"/>
      <c r="F326" s="68">
        <v>16</v>
      </c>
      <c r="G326" s="68">
        <v>5</v>
      </c>
      <c r="H326" s="68">
        <v>0</v>
      </c>
      <c r="I326" s="68">
        <v>0</v>
      </c>
      <c r="J326" s="71"/>
      <c r="K326" s="71">
        <v>42869</v>
      </c>
      <c r="L326" s="69" t="s">
        <v>80</v>
      </c>
      <c r="M326" s="69" t="s">
        <v>109</v>
      </c>
      <c r="N326" s="72">
        <v>43018</v>
      </c>
      <c r="O326" s="67"/>
      <c r="P326" s="67" t="s">
        <v>95</v>
      </c>
      <c r="Q326" s="67" t="s">
        <v>120</v>
      </c>
      <c r="R326" s="69" t="s">
        <v>69</v>
      </c>
      <c r="S326" s="69" t="s">
        <v>123</v>
      </c>
      <c r="T326" s="67"/>
      <c r="U326" s="67"/>
      <c r="V326" s="72">
        <v>42916</v>
      </c>
      <c r="W326" s="69">
        <v>2023111</v>
      </c>
      <c r="X326" s="69" t="s">
        <v>155</v>
      </c>
      <c r="Y326" s="126"/>
      <c r="Z326" s="30">
        <f t="shared" si="10"/>
        <v>6772.6006943194379</v>
      </c>
      <c r="AA326" s="30">
        <f t="shared" si="11"/>
        <v>2116.4377169748245</v>
      </c>
      <c r="AB326" t="s">
        <v>456</v>
      </c>
    </row>
    <row r="327" spans="1:28">
      <c r="A327" s="67" t="s">
        <v>68</v>
      </c>
      <c r="B327" s="68">
        <v>1276303</v>
      </c>
      <c r="C327" s="69">
        <v>4615416369</v>
      </c>
      <c r="D327" s="70">
        <v>19175</v>
      </c>
      <c r="E327" s="67"/>
      <c r="F327" s="68">
        <v>16</v>
      </c>
      <c r="G327" s="68">
        <v>5</v>
      </c>
      <c r="H327" s="68">
        <v>0</v>
      </c>
      <c r="I327" s="68">
        <v>0</v>
      </c>
      <c r="J327" s="71"/>
      <c r="K327" s="71">
        <v>42839</v>
      </c>
      <c r="L327" s="69" t="s">
        <v>80</v>
      </c>
      <c r="M327" s="69" t="s">
        <v>109</v>
      </c>
      <c r="N327" s="72">
        <v>43017</v>
      </c>
      <c r="O327" s="67"/>
      <c r="P327" s="67" t="s">
        <v>95</v>
      </c>
      <c r="Q327" s="67" t="s">
        <v>125</v>
      </c>
      <c r="R327" s="69" t="s">
        <v>69</v>
      </c>
      <c r="S327" s="69" t="s">
        <v>68</v>
      </c>
      <c r="T327" s="67"/>
      <c r="U327" s="67"/>
      <c r="V327" s="72">
        <v>42978</v>
      </c>
      <c r="W327" s="69">
        <v>5114737</v>
      </c>
      <c r="X327" s="69"/>
      <c r="Y327" s="126"/>
      <c r="Z327" s="30">
        <f t="shared" si="10"/>
        <v>6763.7822038320437</v>
      </c>
      <c r="AA327" s="30">
        <f t="shared" si="11"/>
        <v>2113.6819386975139</v>
      </c>
      <c r="AB327" t="s">
        <v>456</v>
      </c>
    </row>
    <row r="328" spans="1:28">
      <c r="A328" s="67" t="s">
        <v>131</v>
      </c>
      <c r="B328" s="68">
        <v>1271494</v>
      </c>
      <c r="C328" s="69">
        <v>4615467226</v>
      </c>
      <c r="D328" s="70">
        <v>19175</v>
      </c>
      <c r="E328" s="67"/>
      <c r="F328" s="68">
        <v>154.4</v>
      </c>
      <c r="G328" s="75">
        <v>0</v>
      </c>
      <c r="H328" s="68">
        <v>0</v>
      </c>
      <c r="I328" s="68">
        <v>0</v>
      </c>
      <c r="J328" s="71"/>
      <c r="K328" s="71">
        <v>42802</v>
      </c>
      <c r="L328" s="69" t="s">
        <v>80</v>
      </c>
      <c r="M328" s="69" t="s">
        <v>109</v>
      </c>
      <c r="N328" s="72">
        <v>43017</v>
      </c>
      <c r="O328" s="67"/>
      <c r="P328" s="67" t="s">
        <v>95</v>
      </c>
      <c r="Q328" s="67" t="s">
        <v>133</v>
      </c>
      <c r="R328" s="69" t="s">
        <v>69</v>
      </c>
      <c r="S328" s="69" t="s">
        <v>134</v>
      </c>
      <c r="T328" s="67"/>
      <c r="U328" s="67"/>
      <c r="V328" s="72">
        <v>42978</v>
      </c>
      <c r="W328" s="69" t="s">
        <v>170</v>
      </c>
      <c r="X328" s="69"/>
      <c r="Y328" s="126"/>
      <c r="Z328" s="30">
        <f t="shared" si="10"/>
        <v>65270.498266979223</v>
      </c>
      <c r="AA328" s="30">
        <f t="shared" si="11"/>
        <v>0</v>
      </c>
      <c r="AB328" t="s">
        <v>456</v>
      </c>
    </row>
    <row r="329" spans="1:28">
      <c r="A329" s="67" t="s">
        <v>122</v>
      </c>
      <c r="B329" s="68">
        <v>1272685</v>
      </c>
      <c r="C329" s="69">
        <v>4615409822</v>
      </c>
      <c r="D329" s="70">
        <v>19175</v>
      </c>
      <c r="E329" s="67"/>
      <c r="F329" s="68">
        <v>16</v>
      </c>
      <c r="G329" s="68">
        <v>5</v>
      </c>
      <c r="H329" s="73">
        <v>0</v>
      </c>
      <c r="I329" s="68">
        <v>0</v>
      </c>
      <c r="J329" s="71"/>
      <c r="K329" s="71">
        <v>42879</v>
      </c>
      <c r="L329" s="69" t="s">
        <v>80</v>
      </c>
      <c r="M329" s="69" t="s">
        <v>109</v>
      </c>
      <c r="N329" s="72">
        <v>43017</v>
      </c>
      <c r="O329" s="67"/>
      <c r="P329" s="67" t="s">
        <v>95</v>
      </c>
      <c r="Q329" s="67" t="s">
        <v>120</v>
      </c>
      <c r="R329" s="69" t="s">
        <v>69</v>
      </c>
      <c r="S329" s="69" t="s">
        <v>123</v>
      </c>
      <c r="T329" s="67"/>
      <c r="U329" s="67"/>
      <c r="V329" s="72">
        <v>42978</v>
      </c>
      <c r="W329" s="69">
        <v>2025753</v>
      </c>
      <c r="X329" s="69"/>
      <c r="Y329" s="126"/>
      <c r="Z329" s="30">
        <f t="shared" si="10"/>
        <v>6763.7822038320437</v>
      </c>
      <c r="AA329" s="30">
        <f t="shared" si="11"/>
        <v>2113.6819386975139</v>
      </c>
      <c r="AB329" t="s">
        <v>456</v>
      </c>
    </row>
    <row r="330" spans="1:28">
      <c r="A330" s="67" t="s">
        <v>128</v>
      </c>
      <c r="B330" s="68">
        <v>1271104</v>
      </c>
      <c r="C330" s="69">
        <v>4615499305</v>
      </c>
      <c r="D330" s="70">
        <v>19175</v>
      </c>
      <c r="E330" s="67"/>
      <c r="F330" s="68">
        <v>154.4</v>
      </c>
      <c r="G330" s="68">
        <v>0</v>
      </c>
      <c r="H330" s="68">
        <v>0</v>
      </c>
      <c r="I330" s="68">
        <v>0</v>
      </c>
      <c r="J330" s="71"/>
      <c r="K330" s="71">
        <v>42855</v>
      </c>
      <c r="L330" s="69" t="s">
        <v>80</v>
      </c>
      <c r="M330" s="69" t="s">
        <v>109</v>
      </c>
      <c r="N330" s="72">
        <v>43016</v>
      </c>
      <c r="O330" s="67"/>
      <c r="P330" s="67" t="s">
        <v>95</v>
      </c>
      <c r="Q330" s="67" t="s">
        <v>129</v>
      </c>
      <c r="R330" s="69" t="s">
        <v>69</v>
      </c>
      <c r="S330" s="69" t="s">
        <v>130</v>
      </c>
      <c r="T330" s="67"/>
      <c r="U330" s="67"/>
      <c r="V330" s="72">
        <v>42947</v>
      </c>
      <c r="W330" s="69">
        <v>425570015</v>
      </c>
      <c r="X330" s="69"/>
      <c r="Y330" s="126"/>
      <c r="Z330" s="30">
        <f t="shared" si="10"/>
        <v>65270.498266979223</v>
      </c>
      <c r="AA330" s="30">
        <f t="shared" si="11"/>
        <v>0</v>
      </c>
      <c r="AB330" t="s">
        <v>456</v>
      </c>
    </row>
    <row r="331" spans="1:28">
      <c r="A331" s="67" t="s">
        <v>128</v>
      </c>
      <c r="B331" s="68">
        <v>1271103</v>
      </c>
      <c r="C331" s="69">
        <v>4615499305</v>
      </c>
      <c r="D331" s="70">
        <v>19175</v>
      </c>
      <c r="E331" s="67"/>
      <c r="F331" s="68">
        <v>154.4</v>
      </c>
      <c r="G331" s="68">
        <v>0</v>
      </c>
      <c r="H331" s="68">
        <v>0</v>
      </c>
      <c r="I331" s="68">
        <v>0</v>
      </c>
      <c r="J331" s="71"/>
      <c r="K331" s="71">
        <v>42840</v>
      </c>
      <c r="L331" s="69" t="s">
        <v>80</v>
      </c>
      <c r="M331" s="69" t="s">
        <v>109</v>
      </c>
      <c r="N331" s="72">
        <v>43016</v>
      </c>
      <c r="O331" s="67"/>
      <c r="P331" s="67" t="s">
        <v>95</v>
      </c>
      <c r="Q331" s="67" t="s">
        <v>129</v>
      </c>
      <c r="R331" s="69" t="s">
        <v>69</v>
      </c>
      <c r="S331" s="69" t="s">
        <v>130</v>
      </c>
      <c r="T331" s="67"/>
      <c r="U331" s="67"/>
      <c r="V331" s="72">
        <v>42947</v>
      </c>
      <c r="W331" s="69">
        <v>425570015</v>
      </c>
      <c r="X331" s="69"/>
      <c r="Y331" s="126"/>
      <c r="Z331" s="30">
        <f t="shared" si="10"/>
        <v>65270.498266979223</v>
      </c>
      <c r="AA331" s="30">
        <f t="shared" si="11"/>
        <v>0</v>
      </c>
      <c r="AB331" t="s">
        <v>456</v>
      </c>
    </row>
    <row r="332" spans="1:28">
      <c r="A332" s="67" t="s">
        <v>118</v>
      </c>
      <c r="B332" s="68">
        <v>1262950</v>
      </c>
      <c r="C332" s="69">
        <v>4615418622</v>
      </c>
      <c r="D332" s="70">
        <v>19175</v>
      </c>
      <c r="E332" s="67"/>
      <c r="F332" s="73">
        <v>10</v>
      </c>
      <c r="G332" s="73" t="s">
        <v>114</v>
      </c>
      <c r="H332" s="73">
        <v>0</v>
      </c>
      <c r="I332" s="68">
        <v>0</v>
      </c>
      <c r="J332" s="71"/>
      <c r="K332" s="71">
        <v>42787</v>
      </c>
      <c r="L332" s="69" t="s">
        <v>80</v>
      </c>
      <c r="M332" s="69" t="s">
        <v>109</v>
      </c>
      <c r="N332" s="72">
        <v>43016</v>
      </c>
      <c r="O332" s="67"/>
      <c r="P332" s="67" t="s">
        <v>95</v>
      </c>
      <c r="Q332" s="67" t="s">
        <v>120</v>
      </c>
      <c r="R332" s="69" t="s">
        <v>69</v>
      </c>
      <c r="S332" s="69" t="s">
        <v>121</v>
      </c>
      <c r="T332" s="67"/>
      <c r="U332" s="67"/>
      <c r="V332" s="72">
        <v>42947</v>
      </c>
      <c r="W332" s="69">
        <v>2026348</v>
      </c>
      <c r="X332" s="69"/>
      <c r="Y332" s="126"/>
      <c r="Z332" s="30">
        <f t="shared" si="10"/>
        <v>4227.3638773950279</v>
      </c>
      <c r="AA332" s="30">
        <f t="shared" si="11"/>
        <v>0</v>
      </c>
      <c r="AB332" t="s">
        <v>456</v>
      </c>
    </row>
    <row r="333" spans="1:28">
      <c r="A333" s="67" t="s">
        <v>68</v>
      </c>
      <c r="B333" s="68">
        <v>1276296</v>
      </c>
      <c r="C333" s="69">
        <v>4615416369</v>
      </c>
      <c r="D333" s="70">
        <v>19175</v>
      </c>
      <c r="E333" s="67"/>
      <c r="F333" s="68">
        <v>16</v>
      </c>
      <c r="G333" s="68">
        <v>5</v>
      </c>
      <c r="H333" s="68">
        <v>0</v>
      </c>
      <c r="I333" s="68">
        <v>0</v>
      </c>
      <c r="J333" s="71"/>
      <c r="K333" s="71">
        <v>42835</v>
      </c>
      <c r="L333" s="69" t="s">
        <v>80</v>
      </c>
      <c r="M333" s="69" t="s">
        <v>109</v>
      </c>
      <c r="N333" s="72">
        <v>43016</v>
      </c>
      <c r="O333" s="67"/>
      <c r="P333" s="67" t="s">
        <v>95</v>
      </c>
      <c r="Q333" s="67" t="s">
        <v>125</v>
      </c>
      <c r="R333" s="69" t="s">
        <v>69</v>
      </c>
      <c r="S333" s="69" t="s">
        <v>68</v>
      </c>
      <c r="T333" s="67"/>
      <c r="U333" s="67"/>
      <c r="V333" s="72">
        <v>42978</v>
      </c>
      <c r="W333" s="69">
        <v>5114737</v>
      </c>
      <c r="X333" s="69"/>
      <c r="Y333" s="126"/>
      <c r="Z333" s="30">
        <f t="shared" si="10"/>
        <v>6763.7822038320437</v>
      </c>
      <c r="AA333" s="30">
        <f t="shared" si="11"/>
        <v>2113.6819386975139</v>
      </c>
      <c r="AB333" t="s">
        <v>456</v>
      </c>
    </row>
    <row r="334" spans="1:28">
      <c r="A334" s="67" t="s">
        <v>68</v>
      </c>
      <c r="B334" s="68">
        <v>1276291</v>
      </c>
      <c r="C334" s="69">
        <v>4615416369</v>
      </c>
      <c r="D334" s="70">
        <v>19175</v>
      </c>
      <c r="E334" s="67"/>
      <c r="F334" s="68">
        <v>16</v>
      </c>
      <c r="G334" s="68">
        <v>5</v>
      </c>
      <c r="H334" s="68">
        <v>0</v>
      </c>
      <c r="I334" s="68">
        <v>0</v>
      </c>
      <c r="J334" s="71"/>
      <c r="K334" s="71">
        <v>42799</v>
      </c>
      <c r="L334" s="69" t="s">
        <v>80</v>
      </c>
      <c r="M334" s="69" t="s">
        <v>109</v>
      </c>
      <c r="N334" s="72">
        <v>43016</v>
      </c>
      <c r="O334" s="67"/>
      <c r="P334" s="67" t="s">
        <v>95</v>
      </c>
      <c r="Q334" s="67" t="s">
        <v>125</v>
      </c>
      <c r="R334" s="69" t="s">
        <v>69</v>
      </c>
      <c r="S334" s="69" t="s">
        <v>68</v>
      </c>
      <c r="T334" s="67"/>
      <c r="U334" s="67"/>
      <c r="V334" s="72">
        <v>42978</v>
      </c>
      <c r="W334" s="69">
        <v>5114737</v>
      </c>
      <c r="X334" s="69"/>
      <c r="Y334" s="126"/>
      <c r="Z334" s="30">
        <f t="shared" si="10"/>
        <v>6763.7822038320437</v>
      </c>
      <c r="AA334" s="30">
        <f t="shared" si="11"/>
        <v>2113.6819386975139</v>
      </c>
      <c r="AB334" t="s">
        <v>456</v>
      </c>
    </row>
    <row r="335" spans="1:28">
      <c r="A335" s="67" t="s">
        <v>113</v>
      </c>
      <c r="B335" s="68">
        <v>1269267</v>
      </c>
      <c r="C335" s="69">
        <v>4615400271</v>
      </c>
      <c r="D335" s="70">
        <v>20700</v>
      </c>
      <c r="E335" s="67"/>
      <c r="F335" s="68">
        <v>16</v>
      </c>
      <c r="G335" s="68" t="s">
        <v>114</v>
      </c>
      <c r="H335" s="73">
        <v>0</v>
      </c>
      <c r="I335" s="68">
        <v>0</v>
      </c>
      <c r="J335" s="71"/>
      <c r="K335" s="71">
        <v>42799</v>
      </c>
      <c r="L335" s="69" t="s">
        <v>80</v>
      </c>
      <c r="M335" s="69" t="s">
        <v>109</v>
      </c>
      <c r="N335" s="72">
        <v>43016</v>
      </c>
      <c r="O335" s="67"/>
      <c r="P335" s="67" t="s">
        <v>95</v>
      </c>
      <c r="Q335" s="67" t="s">
        <v>110</v>
      </c>
      <c r="R335" s="69" t="s">
        <v>69</v>
      </c>
      <c r="S335" s="69" t="s">
        <v>115</v>
      </c>
      <c r="T335" s="67"/>
      <c r="U335" s="67"/>
      <c r="V335" s="72">
        <v>42947</v>
      </c>
      <c r="W335" s="69" t="s">
        <v>172</v>
      </c>
      <c r="X335" s="69" t="s">
        <v>173</v>
      </c>
      <c r="Y335" s="126"/>
      <c r="Z335" s="30">
        <f t="shared" si="10"/>
        <v>7301.7101235631453</v>
      </c>
      <c r="AA335" s="30">
        <f t="shared" si="11"/>
        <v>0</v>
      </c>
      <c r="AB335" t="s">
        <v>456</v>
      </c>
    </row>
    <row r="336" spans="1:28">
      <c r="A336" s="67" t="s">
        <v>118</v>
      </c>
      <c r="B336" s="68">
        <v>1262956</v>
      </c>
      <c r="C336" s="69">
        <v>4615366879</v>
      </c>
      <c r="D336" s="70">
        <v>19175</v>
      </c>
      <c r="E336" s="67"/>
      <c r="F336" s="68">
        <v>10</v>
      </c>
      <c r="G336" s="68">
        <v>5</v>
      </c>
      <c r="H336" s="73">
        <v>0</v>
      </c>
      <c r="I336" s="68">
        <v>0</v>
      </c>
      <c r="J336" s="71"/>
      <c r="K336" s="71">
        <v>42843</v>
      </c>
      <c r="L336" s="69" t="s">
        <v>80</v>
      </c>
      <c r="M336" s="69" t="s">
        <v>109</v>
      </c>
      <c r="N336" s="72">
        <v>43016</v>
      </c>
      <c r="O336" s="67"/>
      <c r="P336" s="67" t="s">
        <v>95</v>
      </c>
      <c r="Q336" s="67" t="s">
        <v>120</v>
      </c>
      <c r="R336" s="69" t="s">
        <v>69</v>
      </c>
      <c r="S336" s="69" t="s">
        <v>121</v>
      </c>
      <c r="T336" s="67"/>
      <c r="U336" s="67"/>
      <c r="V336" s="72">
        <v>42947</v>
      </c>
      <c r="W336" s="69">
        <v>2021269</v>
      </c>
      <c r="X336" s="69"/>
      <c r="Y336" s="126"/>
      <c r="Z336" s="30">
        <f t="shared" si="10"/>
        <v>4227.3638773950279</v>
      </c>
      <c r="AA336" s="30">
        <f t="shared" si="11"/>
        <v>2113.6819386975139</v>
      </c>
      <c r="AB336" t="s">
        <v>456</v>
      </c>
    </row>
    <row r="337" spans="1:28">
      <c r="A337" s="67" t="s">
        <v>113</v>
      </c>
      <c r="B337" s="68">
        <v>1254451</v>
      </c>
      <c r="C337" s="69">
        <v>4615416492</v>
      </c>
      <c r="D337" s="70">
        <v>19175</v>
      </c>
      <c r="E337" s="67"/>
      <c r="F337" s="73">
        <v>16</v>
      </c>
      <c r="G337" s="73">
        <v>5</v>
      </c>
      <c r="H337" s="75">
        <v>0</v>
      </c>
      <c r="I337" s="68">
        <v>0</v>
      </c>
      <c r="J337" s="71"/>
      <c r="K337" s="71">
        <v>42835</v>
      </c>
      <c r="L337" s="69" t="s">
        <v>80</v>
      </c>
      <c r="M337" s="69" t="s">
        <v>109</v>
      </c>
      <c r="N337" s="72">
        <v>43016</v>
      </c>
      <c r="O337" s="67"/>
      <c r="P337" s="67" t="s">
        <v>95</v>
      </c>
      <c r="Q337" s="67" t="s">
        <v>110</v>
      </c>
      <c r="R337" s="69" t="s">
        <v>69</v>
      </c>
      <c r="S337" s="69" t="s">
        <v>115</v>
      </c>
      <c r="T337" s="67"/>
      <c r="U337" s="67"/>
      <c r="V337" s="72">
        <v>42947</v>
      </c>
      <c r="W337" s="69" t="s">
        <v>168</v>
      </c>
      <c r="X337" s="69" t="s">
        <v>169</v>
      </c>
      <c r="Y337" s="126"/>
      <c r="Z337" s="30">
        <f t="shared" si="10"/>
        <v>6763.7822038320437</v>
      </c>
      <c r="AA337" s="30">
        <f t="shared" si="11"/>
        <v>2113.6819386975139</v>
      </c>
      <c r="AB337" t="s">
        <v>456</v>
      </c>
    </row>
    <row r="338" spans="1:28">
      <c r="A338" s="67" t="s">
        <v>113</v>
      </c>
      <c r="B338" s="68">
        <v>1254449</v>
      </c>
      <c r="C338" s="69">
        <v>4615416492</v>
      </c>
      <c r="D338" s="70">
        <v>19175</v>
      </c>
      <c r="E338" s="67"/>
      <c r="F338" s="73">
        <v>16</v>
      </c>
      <c r="G338" s="73">
        <v>5</v>
      </c>
      <c r="H338" s="75">
        <v>0</v>
      </c>
      <c r="I338" s="68">
        <v>0</v>
      </c>
      <c r="J338" s="71"/>
      <c r="K338" s="71">
        <v>42778</v>
      </c>
      <c r="L338" s="69" t="s">
        <v>80</v>
      </c>
      <c r="M338" s="69" t="s">
        <v>109</v>
      </c>
      <c r="N338" s="72">
        <v>43016</v>
      </c>
      <c r="O338" s="67"/>
      <c r="P338" s="67" t="s">
        <v>95</v>
      </c>
      <c r="Q338" s="67" t="s">
        <v>110</v>
      </c>
      <c r="R338" s="69" t="s">
        <v>69</v>
      </c>
      <c r="S338" s="69" t="s">
        <v>115</v>
      </c>
      <c r="T338" s="67"/>
      <c r="U338" s="67"/>
      <c r="V338" s="72">
        <v>42947</v>
      </c>
      <c r="W338" s="69" t="s">
        <v>168</v>
      </c>
      <c r="X338" s="69" t="s">
        <v>169</v>
      </c>
      <c r="Y338" s="126"/>
      <c r="Z338" s="30">
        <f t="shared" si="10"/>
        <v>6763.7822038320437</v>
      </c>
      <c r="AA338" s="30">
        <f t="shared" si="11"/>
        <v>2113.6819386975139</v>
      </c>
      <c r="AB338" t="s">
        <v>456</v>
      </c>
    </row>
    <row r="339" spans="1:28" ht="38.25">
      <c r="A339" s="67" t="s">
        <v>113</v>
      </c>
      <c r="B339" s="68">
        <v>1252695</v>
      </c>
      <c r="C339" s="69">
        <v>4615464325</v>
      </c>
      <c r="D339" s="70">
        <v>19175</v>
      </c>
      <c r="E339" s="67"/>
      <c r="F339" s="68">
        <v>16</v>
      </c>
      <c r="G339" s="68" t="s">
        <v>114</v>
      </c>
      <c r="H339" s="68">
        <v>0</v>
      </c>
      <c r="I339" s="68">
        <v>0</v>
      </c>
      <c r="J339" s="71">
        <v>42895</v>
      </c>
      <c r="K339" s="71">
        <v>42799</v>
      </c>
      <c r="L339" s="69" t="s">
        <v>119</v>
      </c>
      <c r="M339" s="69" t="s">
        <v>109</v>
      </c>
      <c r="N339" s="72">
        <v>43016</v>
      </c>
      <c r="O339" s="67"/>
      <c r="P339" s="67" t="s">
        <v>95</v>
      </c>
      <c r="Q339" s="67" t="s">
        <v>110</v>
      </c>
      <c r="R339" s="69" t="s">
        <v>69</v>
      </c>
      <c r="S339" s="69" t="s">
        <v>115</v>
      </c>
      <c r="T339" s="67"/>
      <c r="U339" s="67"/>
      <c r="V339" s="72">
        <v>42916</v>
      </c>
      <c r="W339" s="69" t="s">
        <v>174</v>
      </c>
      <c r="X339" s="78" t="s">
        <v>175</v>
      </c>
      <c r="Y339" s="126"/>
      <c r="Z339" s="30">
        <f t="shared" si="10"/>
        <v>6763.7822038320437</v>
      </c>
      <c r="AA339" s="30">
        <f t="shared" si="11"/>
        <v>0</v>
      </c>
      <c r="AB339" t="s">
        <v>456</v>
      </c>
    </row>
    <row r="340" spans="1:28">
      <c r="A340" s="67" t="s">
        <v>122</v>
      </c>
      <c r="B340" s="68">
        <v>1230921</v>
      </c>
      <c r="C340" s="69">
        <v>4615416293</v>
      </c>
      <c r="D340" s="70">
        <v>19200</v>
      </c>
      <c r="E340" s="67"/>
      <c r="F340" s="68">
        <v>16</v>
      </c>
      <c r="G340" s="68">
        <v>5</v>
      </c>
      <c r="H340" s="68">
        <v>0</v>
      </c>
      <c r="I340" s="68">
        <v>0</v>
      </c>
      <c r="J340" s="71">
        <v>42805</v>
      </c>
      <c r="K340" s="71">
        <v>42855</v>
      </c>
      <c r="L340" s="69" t="s">
        <v>119</v>
      </c>
      <c r="M340" s="69" t="s">
        <v>109</v>
      </c>
      <c r="N340" s="72">
        <v>43013</v>
      </c>
      <c r="O340" s="67"/>
      <c r="P340" s="67" t="s">
        <v>95</v>
      </c>
      <c r="Q340" s="67" t="s">
        <v>120</v>
      </c>
      <c r="R340" s="69" t="s">
        <v>69</v>
      </c>
      <c r="S340" s="69" t="s">
        <v>123</v>
      </c>
      <c r="T340" s="67"/>
      <c r="U340" s="67"/>
      <c r="V340" s="72">
        <v>42886</v>
      </c>
      <c r="W340" s="69">
        <v>2025664</v>
      </c>
      <c r="X340" s="69"/>
      <c r="Y340" s="126"/>
      <c r="Z340" s="30">
        <f t="shared" si="10"/>
        <v>6772.6006943194379</v>
      </c>
      <c r="AA340" s="30">
        <f t="shared" si="11"/>
        <v>2116.4377169748245</v>
      </c>
      <c r="AB340" t="s">
        <v>456</v>
      </c>
    </row>
    <row r="341" spans="1:28">
      <c r="A341" s="67" t="s">
        <v>118</v>
      </c>
      <c r="B341" s="68">
        <v>1262949</v>
      </c>
      <c r="C341" s="69">
        <v>4615418622</v>
      </c>
      <c r="D341" s="70">
        <v>19175</v>
      </c>
      <c r="E341" s="67"/>
      <c r="F341" s="73">
        <v>10</v>
      </c>
      <c r="G341" s="73" t="s">
        <v>114</v>
      </c>
      <c r="H341" s="73">
        <v>0</v>
      </c>
      <c r="I341" s="68">
        <v>0</v>
      </c>
      <c r="J341" s="71"/>
      <c r="K341" s="71">
        <v>42841</v>
      </c>
      <c r="L341" s="69" t="s">
        <v>80</v>
      </c>
      <c r="M341" s="69" t="s">
        <v>109</v>
      </c>
      <c r="N341" s="72">
        <v>43013</v>
      </c>
      <c r="O341" s="67"/>
      <c r="P341" s="67" t="s">
        <v>95</v>
      </c>
      <c r="Q341" s="67" t="s">
        <v>120</v>
      </c>
      <c r="R341" s="69" t="s">
        <v>69</v>
      </c>
      <c r="S341" s="69" t="s">
        <v>121</v>
      </c>
      <c r="T341" s="67"/>
      <c r="U341" s="67"/>
      <c r="V341" s="72">
        <v>42947</v>
      </c>
      <c r="W341" s="69">
        <v>2026348</v>
      </c>
      <c r="X341" s="69"/>
      <c r="Y341" s="126"/>
      <c r="Z341" s="30">
        <f t="shared" si="10"/>
        <v>4227.3638773950279</v>
      </c>
      <c r="AA341" s="30">
        <f t="shared" si="11"/>
        <v>0</v>
      </c>
      <c r="AB341" t="s">
        <v>456</v>
      </c>
    </row>
    <row r="342" spans="1:28">
      <c r="A342" s="67" t="s">
        <v>122</v>
      </c>
      <c r="B342" s="68">
        <v>1256790</v>
      </c>
      <c r="C342" s="69">
        <v>4615414794</v>
      </c>
      <c r="D342" s="70">
        <v>19200</v>
      </c>
      <c r="E342" s="67"/>
      <c r="F342" s="68">
        <v>16</v>
      </c>
      <c r="G342" s="68">
        <v>5</v>
      </c>
      <c r="H342" s="73">
        <v>0</v>
      </c>
      <c r="I342" s="68">
        <v>0</v>
      </c>
      <c r="J342" s="71"/>
      <c r="K342" s="71">
        <v>42841</v>
      </c>
      <c r="L342" s="69" t="s">
        <v>80</v>
      </c>
      <c r="M342" s="69" t="s">
        <v>109</v>
      </c>
      <c r="N342" s="72">
        <v>43013</v>
      </c>
      <c r="O342" s="67"/>
      <c r="P342" s="67" t="s">
        <v>95</v>
      </c>
      <c r="Q342" s="67" t="s">
        <v>120</v>
      </c>
      <c r="R342" s="69" t="s">
        <v>69</v>
      </c>
      <c r="S342" s="69" t="s">
        <v>123</v>
      </c>
      <c r="T342" s="67"/>
      <c r="U342" s="67"/>
      <c r="V342" s="72">
        <v>42947</v>
      </c>
      <c r="W342" s="69">
        <v>2025784</v>
      </c>
      <c r="X342" s="69"/>
      <c r="Y342" s="126"/>
      <c r="Z342" s="30">
        <f t="shared" si="10"/>
        <v>6772.6006943194379</v>
      </c>
      <c r="AA342" s="30">
        <f t="shared" si="11"/>
        <v>2116.4377169748245</v>
      </c>
      <c r="AB342" t="s">
        <v>456</v>
      </c>
    </row>
    <row r="343" spans="1:28">
      <c r="A343" s="67" t="s">
        <v>113</v>
      </c>
      <c r="B343" s="68">
        <v>1254453</v>
      </c>
      <c r="C343" s="69">
        <v>4615416492</v>
      </c>
      <c r="D343" s="70">
        <v>19175</v>
      </c>
      <c r="E343" s="67"/>
      <c r="F343" s="73">
        <v>16</v>
      </c>
      <c r="G343" s="73">
        <v>5</v>
      </c>
      <c r="H343" s="75">
        <v>0</v>
      </c>
      <c r="I343" s="68">
        <v>0</v>
      </c>
      <c r="J343" s="71"/>
      <c r="K343" s="71">
        <v>42841</v>
      </c>
      <c r="L343" s="69" t="s">
        <v>80</v>
      </c>
      <c r="M343" s="69" t="s">
        <v>109</v>
      </c>
      <c r="N343" s="72">
        <v>43013</v>
      </c>
      <c r="O343" s="67"/>
      <c r="P343" s="67" t="s">
        <v>95</v>
      </c>
      <c r="Q343" s="67" t="s">
        <v>110</v>
      </c>
      <c r="R343" s="69" t="s">
        <v>69</v>
      </c>
      <c r="S343" s="69" t="s">
        <v>115</v>
      </c>
      <c r="T343" s="67"/>
      <c r="U343" s="67"/>
      <c r="V343" s="72">
        <v>42947</v>
      </c>
      <c r="W343" s="69" t="s">
        <v>168</v>
      </c>
      <c r="X343" s="69" t="s">
        <v>169</v>
      </c>
      <c r="Y343" s="126"/>
      <c r="Z343" s="30">
        <f t="shared" si="10"/>
        <v>6763.7822038320437</v>
      </c>
      <c r="AA343" s="30">
        <f t="shared" si="11"/>
        <v>2113.6819386975139</v>
      </c>
      <c r="AB343" t="s">
        <v>456</v>
      </c>
    </row>
    <row r="344" spans="1:28">
      <c r="A344" s="67" t="s">
        <v>68</v>
      </c>
      <c r="B344" s="68">
        <v>1278444</v>
      </c>
      <c r="C344" s="69">
        <v>4615415532</v>
      </c>
      <c r="D344" s="70">
        <v>20499.600000000002</v>
      </c>
      <c r="E344" s="67"/>
      <c r="F344" s="68">
        <v>16</v>
      </c>
      <c r="G344" s="68" t="s">
        <v>114</v>
      </c>
      <c r="H344" s="68">
        <v>0</v>
      </c>
      <c r="I344" s="68">
        <v>0</v>
      </c>
      <c r="J344" s="71">
        <v>42967</v>
      </c>
      <c r="K344" s="71">
        <v>42805</v>
      </c>
      <c r="L344" s="69" t="s">
        <v>119</v>
      </c>
      <c r="M344" s="69" t="s">
        <v>109</v>
      </c>
      <c r="N344" s="72">
        <v>43013</v>
      </c>
      <c r="O344" s="67"/>
      <c r="P344" s="67" t="s">
        <v>95</v>
      </c>
      <c r="Q344" s="67" t="s">
        <v>125</v>
      </c>
      <c r="R344" s="69" t="s">
        <v>69</v>
      </c>
      <c r="S344" s="69" t="s">
        <v>68</v>
      </c>
      <c r="T344" s="67"/>
      <c r="U344" s="67"/>
      <c r="V344" s="72">
        <v>43008</v>
      </c>
      <c r="W344" s="69">
        <v>5114738</v>
      </c>
      <c r="X344" s="69" t="s">
        <v>159</v>
      </c>
      <c r="Y344" s="126"/>
      <c r="Z344" s="30">
        <f t="shared" si="10"/>
        <v>7231.021103816187</v>
      </c>
      <c r="AA344" s="30">
        <f t="shared" si="11"/>
        <v>0</v>
      </c>
      <c r="AB344" t="s">
        <v>456</v>
      </c>
    </row>
    <row r="345" spans="1:28">
      <c r="A345" s="67" t="s">
        <v>68</v>
      </c>
      <c r="B345" s="68">
        <v>1278443</v>
      </c>
      <c r="C345" s="69">
        <v>4615415532</v>
      </c>
      <c r="D345" s="70">
        <v>20499.600000000002</v>
      </c>
      <c r="E345" s="67"/>
      <c r="F345" s="68">
        <v>16</v>
      </c>
      <c r="G345" s="68" t="s">
        <v>114</v>
      </c>
      <c r="H345" s="68">
        <v>0</v>
      </c>
      <c r="I345" s="68">
        <v>0</v>
      </c>
      <c r="J345" s="71">
        <v>42967</v>
      </c>
      <c r="K345" s="71">
        <v>42799</v>
      </c>
      <c r="L345" s="69" t="s">
        <v>119</v>
      </c>
      <c r="M345" s="69" t="s">
        <v>109</v>
      </c>
      <c r="N345" s="72">
        <v>43013</v>
      </c>
      <c r="O345" s="67"/>
      <c r="P345" s="67" t="s">
        <v>95</v>
      </c>
      <c r="Q345" s="67" t="s">
        <v>125</v>
      </c>
      <c r="R345" s="69" t="s">
        <v>69</v>
      </c>
      <c r="S345" s="69" t="s">
        <v>68</v>
      </c>
      <c r="T345" s="67"/>
      <c r="U345" s="67"/>
      <c r="V345" s="72">
        <v>43008</v>
      </c>
      <c r="W345" s="69">
        <v>5114738</v>
      </c>
      <c r="X345" s="69" t="s">
        <v>159</v>
      </c>
      <c r="Y345" s="126"/>
      <c r="Z345" s="30">
        <f t="shared" si="10"/>
        <v>7231.021103816187</v>
      </c>
      <c r="AA345" s="30">
        <f t="shared" si="11"/>
        <v>0</v>
      </c>
      <c r="AB345" t="s">
        <v>456</v>
      </c>
    </row>
    <row r="346" spans="1:28">
      <c r="A346" s="67" t="s">
        <v>68</v>
      </c>
      <c r="B346" s="68">
        <v>1278445</v>
      </c>
      <c r="C346" s="69">
        <v>4615415532</v>
      </c>
      <c r="D346" s="70">
        <v>20499.600000000002</v>
      </c>
      <c r="E346" s="67"/>
      <c r="F346" s="68">
        <v>16</v>
      </c>
      <c r="G346" s="68" t="s">
        <v>114</v>
      </c>
      <c r="H346" s="68">
        <v>0</v>
      </c>
      <c r="I346" s="68">
        <v>0</v>
      </c>
      <c r="J346" s="71">
        <v>42967</v>
      </c>
      <c r="K346" s="71">
        <v>42839</v>
      </c>
      <c r="L346" s="69" t="s">
        <v>119</v>
      </c>
      <c r="M346" s="69" t="s">
        <v>109</v>
      </c>
      <c r="N346" s="72">
        <v>43012</v>
      </c>
      <c r="O346" s="67"/>
      <c r="P346" s="67" t="s">
        <v>95</v>
      </c>
      <c r="Q346" s="67" t="s">
        <v>125</v>
      </c>
      <c r="R346" s="69" t="s">
        <v>69</v>
      </c>
      <c r="S346" s="69" t="s">
        <v>68</v>
      </c>
      <c r="T346" s="67"/>
      <c r="U346" s="67"/>
      <c r="V346" s="72">
        <v>43008</v>
      </c>
      <c r="W346" s="69">
        <v>5114738</v>
      </c>
      <c r="X346" s="69" t="s">
        <v>159</v>
      </c>
      <c r="Y346" s="126"/>
      <c r="Z346" s="30">
        <f t="shared" si="10"/>
        <v>7231.021103816187</v>
      </c>
      <c r="AA346" s="30">
        <f t="shared" si="11"/>
        <v>0</v>
      </c>
      <c r="AB346" t="s">
        <v>456</v>
      </c>
    </row>
    <row r="347" spans="1:28">
      <c r="A347" s="67" t="s">
        <v>68</v>
      </c>
      <c r="B347" s="68">
        <v>1276292</v>
      </c>
      <c r="C347" s="69">
        <v>4615416369</v>
      </c>
      <c r="D347" s="70">
        <v>19175</v>
      </c>
      <c r="E347" s="67"/>
      <c r="F347" s="68">
        <v>16</v>
      </c>
      <c r="G347" s="68">
        <v>5</v>
      </c>
      <c r="H347" s="68">
        <v>0</v>
      </c>
      <c r="I347" s="68">
        <v>0</v>
      </c>
      <c r="J347" s="71"/>
      <c r="K347" s="71">
        <v>42839</v>
      </c>
      <c r="L347" s="69" t="s">
        <v>80</v>
      </c>
      <c r="M347" s="69" t="s">
        <v>109</v>
      </c>
      <c r="N347" s="72">
        <v>43012</v>
      </c>
      <c r="O347" s="67"/>
      <c r="P347" s="67" t="s">
        <v>95</v>
      </c>
      <c r="Q347" s="67" t="s">
        <v>125</v>
      </c>
      <c r="R347" s="69" t="s">
        <v>69</v>
      </c>
      <c r="S347" s="69" t="s">
        <v>68</v>
      </c>
      <c r="T347" s="67"/>
      <c r="U347" s="67"/>
      <c r="V347" s="72">
        <v>42978</v>
      </c>
      <c r="W347" s="69">
        <v>5114737</v>
      </c>
      <c r="X347" s="69"/>
      <c r="Y347" s="126"/>
      <c r="Z347" s="30">
        <f t="shared" si="10"/>
        <v>6763.7822038320437</v>
      </c>
      <c r="AA347" s="30">
        <f t="shared" si="11"/>
        <v>2113.6819386975139</v>
      </c>
      <c r="AB347" t="s">
        <v>456</v>
      </c>
    </row>
    <row r="348" spans="1:28">
      <c r="A348" s="67" t="s">
        <v>113</v>
      </c>
      <c r="B348" s="68">
        <v>1274499</v>
      </c>
      <c r="C348" s="69">
        <v>4615478093</v>
      </c>
      <c r="D348" s="70">
        <v>20700</v>
      </c>
      <c r="E348" s="67"/>
      <c r="F348" s="68">
        <v>16</v>
      </c>
      <c r="G348" s="68">
        <v>0</v>
      </c>
      <c r="H348" s="73">
        <v>0</v>
      </c>
      <c r="I348" s="68">
        <v>0</v>
      </c>
      <c r="J348" s="71">
        <v>42954</v>
      </c>
      <c r="K348" s="71">
        <v>42839</v>
      </c>
      <c r="L348" s="69" t="s">
        <v>132</v>
      </c>
      <c r="M348" s="69" t="s">
        <v>109</v>
      </c>
      <c r="N348" s="72">
        <v>43012</v>
      </c>
      <c r="O348" s="67"/>
      <c r="P348" s="67" t="s">
        <v>95</v>
      </c>
      <c r="Q348" s="67" t="s">
        <v>110</v>
      </c>
      <c r="R348" s="69" t="s">
        <v>69</v>
      </c>
      <c r="S348" s="69" t="s">
        <v>115</v>
      </c>
      <c r="T348" s="67"/>
      <c r="U348" s="67"/>
      <c r="V348" s="72">
        <v>42978</v>
      </c>
      <c r="W348" s="69" t="s">
        <v>176</v>
      </c>
      <c r="X348" s="69" t="s">
        <v>117</v>
      </c>
      <c r="Y348" s="126"/>
      <c r="Z348" s="30">
        <f t="shared" si="10"/>
        <v>7301.7101235631453</v>
      </c>
      <c r="AA348" s="30">
        <f t="shared" si="11"/>
        <v>0</v>
      </c>
      <c r="AB348" t="s">
        <v>456</v>
      </c>
    </row>
    <row r="349" spans="1:28">
      <c r="A349" s="67" t="s">
        <v>113</v>
      </c>
      <c r="B349" s="68">
        <v>1269271</v>
      </c>
      <c r="C349" s="69">
        <v>4615400271</v>
      </c>
      <c r="D349" s="70">
        <v>20700</v>
      </c>
      <c r="E349" s="67"/>
      <c r="F349" s="68">
        <v>16</v>
      </c>
      <c r="G349" s="68" t="s">
        <v>114</v>
      </c>
      <c r="H349" s="73">
        <v>0</v>
      </c>
      <c r="I349" s="68">
        <v>0</v>
      </c>
      <c r="J349" s="71"/>
      <c r="K349" s="71">
        <v>42870</v>
      </c>
      <c r="L349" s="69" t="s">
        <v>80</v>
      </c>
      <c r="M349" s="69" t="s">
        <v>109</v>
      </c>
      <c r="N349" s="72">
        <v>43011</v>
      </c>
      <c r="O349" s="67"/>
      <c r="P349" s="67" t="s">
        <v>95</v>
      </c>
      <c r="Q349" s="67" t="s">
        <v>110</v>
      </c>
      <c r="R349" s="69" t="s">
        <v>69</v>
      </c>
      <c r="S349" s="69" t="s">
        <v>115</v>
      </c>
      <c r="T349" s="67"/>
      <c r="U349" s="67"/>
      <c r="V349" s="72">
        <v>42947</v>
      </c>
      <c r="W349" s="69" t="s">
        <v>172</v>
      </c>
      <c r="X349" s="69" t="s">
        <v>173</v>
      </c>
      <c r="Y349" s="126"/>
      <c r="Z349" s="30">
        <f t="shared" si="10"/>
        <v>7301.7101235631453</v>
      </c>
      <c r="AA349" s="30">
        <f t="shared" si="11"/>
        <v>0</v>
      </c>
      <c r="AB349" t="s">
        <v>456</v>
      </c>
    </row>
    <row r="350" spans="1:28">
      <c r="A350" s="67" t="s">
        <v>107</v>
      </c>
      <c r="B350" s="68">
        <v>1261950</v>
      </c>
      <c r="C350" s="69">
        <v>4615449193</v>
      </c>
      <c r="D350" s="70">
        <v>19200</v>
      </c>
      <c r="E350" s="67"/>
      <c r="F350" s="68">
        <v>154.32</v>
      </c>
      <c r="G350" s="68">
        <v>0</v>
      </c>
      <c r="H350" s="68">
        <v>0</v>
      </c>
      <c r="I350" s="68">
        <v>0</v>
      </c>
      <c r="J350" s="71">
        <v>42925</v>
      </c>
      <c r="K350" s="71">
        <v>42870</v>
      </c>
      <c r="L350" s="69" t="s">
        <v>119</v>
      </c>
      <c r="M350" s="69" t="s">
        <v>109</v>
      </c>
      <c r="N350" s="72">
        <v>43011</v>
      </c>
      <c r="O350" s="67"/>
      <c r="P350" s="67" t="s">
        <v>95</v>
      </c>
      <c r="Q350" s="67" t="s">
        <v>110</v>
      </c>
      <c r="R350" s="69" t="s">
        <v>69</v>
      </c>
      <c r="S350" s="69" t="s">
        <v>111</v>
      </c>
      <c r="T350" s="67"/>
      <c r="U350" s="67"/>
      <c r="V350" s="72">
        <v>42978</v>
      </c>
      <c r="W350" s="69" t="s">
        <v>177</v>
      </c>
      <c r="X350" s="69"/>
      <c r="Y350" s="126"/>
      <c r="Z350" s="30">
        <f t="shared" si="10"/>
        <v>65321.73369671098</v>
      </c>
      <c r="AA350" s="30">
        <f t="shared" si="11"/>
        <v>0</v>
      </c>
      <c r="AB350" t="s">
        <v>456</v>
      </c>
    </row>
    <row r="351" spans="1:28">
      <c r="A351" s="67" t="s">
        <v>118</v>
      </c>
      <c r="B351" s="68">
        <v>1262955</v>
      </c>
      <c r="C351" s="69">
        <v>4615366879</v>
      </c>
      <c r="D351" s="70">
        <v>19175</v>
      </c>
      <c r="E351" s="67"/>
      <c r="F351" s="68">
        <v>10</v>
      </c>
      <c r="G351" s="68">
        <v>5</v>
      </c>
      <c r="H351" s="73">
        <v>0</v>
      </c>
      <c r="I351" s="68">
        <v>0</v>
      </c>
      <c r="J351" s="71"/>
      <c r="K351" s="71">
        <v>42822</v>
      </c>
      <c r="L351" s="69" t="s">
        <v>80</v>
      </c>
      <c r="M351" s="69" t="s">
        <v>109</v>
      </c>
      <c r="N351" s="72">
        <v>43011</v>
      </c>
      <c r="O351" s="67"/>
      <c r="P351" s="67" t="s">
        <v>95</v>
      </c>
      <c r="Q351" s="67" t="s">
        <v>120</v>
      </c>
      <c r="R351" s="69" t="s">
        <v>69</v>
      </c>
      <c r="S351" s="69" t="s">
        <v>121</v>
      </c>
      <c r="T351" s="67"/>
      <c r="U351" s="67"/>
      <c r="V351" s="72">
        <v>42947</v>
      </c>
      <c r="W351" s="69">
        <v>2021269</v>
      </c>
      <c r="X351" s="69"/>
      <c r="Y351" s="126"/>
      <c r="Z351" s="30">
        <f t="shared" si="10"/>
        <v>4227.3638773950279</v>
      </c>
      <c r="AA351" s="30">
        <f t="shared" si="11"/>
        <v>2113.6819386975139</v>
      </c>
      <c r="AB351" t="s">
        <v>456</v>
      </c>
    </row>
    <row r="352" spans="1:28">
      <c r="A352" s="67" t="s">
        <v>136</v>
      </c>
      <c r="B352" s="68">
        <v>1260003</v>
      </c>
      <c r="C352" s="69">
        <v>4615408461</v>
      </c>
      <c r="D352" s="70">
        <v>19175</v>
      </c>
      <c r="E352" s="67"/>
      <c r="F352" s="73">
        <v>10</v>
      </c>
      <c r="G352" s="73" t="s">
        <v>114</v>
      </c>
      <c r="H352" s="73">
        <v>0</v>
      </c>
      <c r="I352" s="68">
        <v>0</v>
      </c>
      <c r="J352" s="71"/>
      <c r="K352" s="71">
        <v>42878</v>
      </c>
      <c r="L352" s="69" t="s">
        <v>80</v>
      </c>
      <c r="M352" s="69" t="s">
        <v>109</v>
      </c>
      <c r="N352" s="72">
        <v>43010</v>
      </c>
      <c r="O352" s="67"/>
      <c r="P352" s="67" t="s">
        <v>95</v>
      </c>
      <c r="Q352" s="67" t="s">
        <v>129</v>
      </c>
      <c r="R352" s="69" t="s">
        <v>69</v>
      </c>
      <c r="S352" s="69" t="s">
        <v>138</v>
      </c>
      <c r="T352" s="67"/>
      <c r="U352" s="67"/>
      <c r="V352" s="72">
        <v>42978</v>
      </c>
      <c r="W352" s="69">
        <v>415570145</v>
      </c>
      <c r="X352" s="69"/>
      <c r="Y352" s="126"/>
      <c r="Z352" s="30">
        <f t="shared" si="10"/>
        <v>4227.3638773950279</v>
      </c>
      <c r="AA352" s="30">
        <f t="shared" si="11"/>
        <v>0</v>
      </c>
      <c r="AB352" t="s">
        <v>456</v>
      </c>
    </row>
    <row r="353" spans="1:28">
      <c r="A353" s="67" t="s">
        <v>68</v>
      </c>
      <c r="B353" s="68">
        <v>1275023</v>
      </c>
      <c r="C353" s="69">
        <v>4615416879</v>
      </c>
      <c r="D353" s="70">
        <v>19175</v>
      </c>
      <c r="E353" s="67"/>
      <c r="F353" s="68">
        <v>16</v>
      </c>
      <c r="G353" s="68">
        <v>5</v>
      </c>
      <c r="H353" s="68">
        <v>0</v>
      </c>
      <c r="I353" s="68">
        <v>0</v>
      </c>
      <c r="J353" s="71"/>
      <c r="K353" s="71">
        <v>42872</v>
      </c>
      <c r="L353" s="69" t="s">
        <v>80</v>
      </c>
      <c r="M353" s="69" t="s">
        <v>109</v>
      </c>
      <c r="N353" s="72">
        <v>43010</v>
      </c>
      <c r="O353" s="67"/>
      <c r="P353" s="67" t="s">
        <v>95</v>
      </c>
      <c r="Q353" s="67" t="s">
        <v>125</v>
      </c>
      <c r="R353" s="69" t="s">
        <v>69</v>
      </c>
      <c r="S353" s="69" t="s">
        <v>68</v>
      </c>
      <c r="T353" s="67"/>
      <c r="U353" s="67"/>
      <c r="V353" s="72">
        <v>42947</v>
      </c>
      <c r="W353" s="69">
        <v>5114736</v>
      </c>
      <c r="X353" s="69"/>
      <c r="Y353" s="126"/>
      <c r="Z353" s="30">
        <f t="shared" si="10"/>
        <v>6763.7822038320437</v>
      </c>
      <c r="AA353" s="30">
        <f t="shared" si="11"/>
        <v>2113.6819386975139</v>
      </c>
      <c r="AB353" t="s">
        <v>456</v>
      </c>
    </row>
    <row r="354" spans="1:28">
      <c r="A354" s="67" t="s">
        <v>113</v>
      </c>
      <c r="B354" s="68">
        <v>1274502</v>
      </c>
      <c r="C354" s="69">
        <v>4615478093</v>
      </c>
      <c r="D354" s="70">
        <v>20700</v>
      </c>
      <c r="E354" s="67"/>
      <c r="F354" s="68">
        <v>16</v>
      </c>
      <c r="G354" s="68">
        <v>0</v>
      </c>
      <c r="H354" s="73">
        <v>0</v>
      </c>
      <c r="I354" s="68">
        <v>0</v>
      </c>
      <c r="J354" s="71">
        <v>42954</v>
      </c>
      <c r="K354" s="71">
        <v>42778</v>
      </c>
      <c r="L354" s="69" t="s">
        <v>132</v>
      </c>
      <c r="M354" s="69" t="s">
        <v>109</v>
      </c>
      <c r="N354" s="72">
        <v>43010</v>
      </c>
      <c r="O354" s="67"/>
      <c r="P354" s="67" t="s">
        <v>95</v>
      </c>
      <c r="Q354" s="67" t="s">
        <v>110</v>
      </c>
      <c r="R354" s="69" t="s">
        <v>69</v>
      </c>
      <c r="S354" s="69" t="s">
        <v>115</v>
      </c>
      <c r="T354" s="67"/>
      <c r="U354" s="67"/>
      <c r="V354" s="72">
        <v>42978</v>
      </c>
      <c r="W354" s="69" t="s">
        <v>176</v>
      </c>
      <c r="X354" s="69" t="s">
        <v>117</v>
      </c>
      <c r="Y354" s="126"/>
      <c r="Z354" s="30">
        <f t="shared" si="10"/>
        <v>7301.7101235631453</v>
      </c>
      <c r="AA354" s="30">
        <f t="shared" si="11"/>
        <v>0</v>
      </c>
      <c r="AB354" t="s">
        <v>456</v>
      </c>
    </row>
    <row r="355" spans="1:28">
      <c r="A355" s="67" t="s">
        <v>113</v>
      </c>
      <c r="B355" s="68">
        <v>1274500</v>
      </c>
      <c r="C355" s="69">
        <v>4615478093</v>
      </c>
      <c r="D355" s="70">
        <v>20700</v>
      </c>
      <c r="E355" s="67"/>
      <c r="F355" s="68">
        <v>16</v>
      </c>
      <c r="G355" s="68">
        <v>0</v>
      </c>
      <c r="H355" s="73">
        <v>0</v>
      </c>
      <c r="I355" s="68">
        <v>0</v>
      </c>
      <c r="J355" s="71">
        <v>42954</v>
      </c>
      <c r="K355" s="71">
        <v>42869</v>
      </c>
      <c r="L355" s="69" t="s">
        <v>132</v>
      </c>
      <c r="M355" s="69" t="s">
        <v>109</v>
      </c>
      <c r="N355" s="72">
        <v>43010</v>
      </c>
      <c r="O355" s="67"/>
      <c r="P355" s="67" t="s">
        <v>95</v>
      </c>
      <c r="Q355" s="67" t="s">
        <v>110</v>
      </c>
      <c r="R355" s="69" t="s">
        <v>69</v>
      </c>
      <c r="S355" s="69" t="s">
        <v>115</v>
      </c>
      <c r="T355" s="67"/>
      <c r="U355" s="67"/>
      <c r="V355" s="72">
        <v>42978</v>
      </c>
      <c r="W355" s="69" t="s">
        <v>176</v>
      </c>
      <c r="X355" s="69" t="s">
        <v>117</v>
      </c>
      <c r="Y355" s="126"/>
      <c r="Z355" s="30">
        <f t="shared" si="10"/>
        <v>7301.7101235631453</v>
      </c>
      <c r="AA355" s="30">
        <f t="shared" si="11"/>
        <v>0</v>
      </c>
      <c r="AB355" t="s">
        <v>456</v>
      </c>
    </row>
    <row r="356" spans="1:28">
      <c r="A356" s="67" t="s">
        <v>68</v>
      </c>
      <c r="B356" s="68">
        <v>1278438</v>
      </c>
      <c r="C356" s="69">
        <v>4615415532</v>
      </c>
      <c r="D356" s="70">
        <v>20499.600000000002</v>
      </c>
      <c r="E356" s="67"/>
      <c r="F356" s="68">
        <v>16</v>
      </c>
      <c r="G356" s="68" t="s">
        <v>114</v>
      </c>
      <c r="H356" s="68">
        <v>0</v>
      </c>
      <c r="I356" s="68">
        <v>0</v>
      </c>
      <c r="J356" s="71">
        <v>42967</v>
      </c>
      <c r="K356" s="71">
        <v>42799</v>
      </c>
      <c r="L356" s="69" t="s">
        <v>119</v>
      </c>
      <c r="M356" s="69" t="s">
        <v>109</v>
      </c>
      <c r="N356" s="72">
        <v>43010</v>
      </c>
      <c r="O356" s="67"/>
      <c r="P356" s="67" t="s">
        <v>95</v>
      </c>
      <c r="Q356" s="67" t="s">
        <v>125</v>
      </c>
      <c r="R356" s="69" t="s">
        <v>69</v>
      </c>
      <c r="S356" s="69" t="s">
        <v>68</v>
      </c>
      <c r="T356" s="67"/>
      <c r="U356" s="67"/>
      <c r="V356" s="72">
        <v>43008</v>
      </c>
      <c r="W356" s="69">
        <v>5114738</v>
      </c>
      <c r="X356" s="69" t="s">
        <v>159</v>
      </c>
      <c r="Y356" s="126"/>
      <c r="Z356" s="30">
        <f t="shared" si="10"/>
        <v>7231.021103816187</v>
      </c>
      <c r="AA356" s="30">
        <f t="shared" si="11"/>
        <v>0</v>
      </c>
      <c r="AB356" t="s">
        <v>456</v>
      </c>
    </row>
    <row r="357" spans="1:28">
      <c r="A357" s="67" t="s">
        <v>118</v>
      </c>
      <c r="B357" s="68">
        <v>1262951</v>
      </c>
      <c r="C357" s="69">
        <v>4615418622</v>
      </c>
      <c r="D357" s="70">
        <v>19175</v>
      </c>
      <c r="E357" s="67"/>
      <c r="F357" s="73">
        <v>10</v>
      </c>
      <c r="G357" s="73" t="s">
        <v>114</v>
      </c>
      <c r="H357" s="73">
        <v>0</v>
      </c>
      <c r="I357" s="68">
        <v>0</v>
      </c>
      <c r="J357" s="71"/>
      <c r="K357" s="71">
        <v>42871</v>
      </c>
      <c r="L357" s="69" t="s">
        <v>80</v>
      </c>
      <c r="M357" s="69" t="s">
        <v>109</v>
      </c>
      <c r="N357" s="72">
        <v>43009</v>
      </c>
      <c r="O357" s="67"/>
      <c r="P357" s="67" t="s">
        <v>95</v>
      </c>
      <c r="Q357" s="67" t="s">
        <v>120</v>
      </c>
      <c r="R357" s="69" t="s">
        <v>69</v>
      </c>
      <c r="S357" s="69" t="s">
        <v>121</v>
      </c>
      <c r="T357" s="67"/>
      <c r="U357" s="67"/>
      <c r="V357" s="72">
        <v>42947</v>
      </c>
      <c r="W357" s="69">
        <v>2026348</v>
      </c>
      <c r="X357" s="69"/>
      <c r="Y357" s="126"/>
      <c r="Z357" s="30">
        <f t="shared" si="10"/>
        <v>4227.3638773950279</v>
      </c>
      <c r="AA357" s="30">
        <f t="shared" si="11"/>
        <v>0</v>
      </c>
      <c r="AB357" t="s">
        <v>456</v>
      </c>
    </row>
    <row r="358" spans="1:28">
      <c r="A358" s="67" t="s">
        <v>136</v>
      </c>
      <c r="B358" s="68">
        <v>1259981</v>
      </c>
      <c r="C358" s="69">
        <v>4615380561</v>
      </c>
      <c r="D358" s="70">
        <v>19200</v>
      </c>
      <c r="E358" s="67"/>
      <c r="F358" s="73">
        <v>10</v>
      </c>
      <c r="G358" s="73" t="s">
        <v>114</v>
      </c>
      <c r="H358" s="73">
        <v>0</v>
      </c>
      <c r="I358" s="68">
        <v>0</v>
      </c>
      <c r="J358" s="71"/>
      <c r="K358" s="71">
        <v>42871</v>
      </c>
      <c r="L358" s="69" t="s">
        <v>80</v>
      </c>
      <c r="M358" s="69" t="s">
        <v>109</v>
      </c>
      <c r="N358" s="72">
        <v>43009</v>
      </c>
      <c r="O358" s="67"/>
      <c r="P358" s="67" t="s">
        <v>95</v>
      </c>
      <c r="Q358" s="67" t="s">
        <v>129</v>
      </c>
      <c r="R358" s="69" t="s">
        <v>69</v>
      </c>
      <c r="S358" s="69" t="s">
        <v>138</v>
      </c>
      <c r="T358" s="67"/>
      <c r="U358" s="67"/>
      <c r="V358" s="72">
        <v>42978</v>
      </c>
      <c r="W358" s="69">
        <v>415570033</v>
      </c>
      <c r="X358" s="69"/>
      <c r="Y358" s="126"/>
      <c r="Z358" s="30">
        <f t="shared" si="10"/>
        <v>4232.8754339496491</v>
      </c>
      <c r="AA358" s="30">
        <f t="shared" si="11"/>
        <v>0</v>
      </c>
      <c r="AB358" t="s">
        <v>456</v>
      </c>
    </row>
    <row r="359" spans="1:28">
      <c r="A359" s="67" t="s">
        <v>113</v>
      </c>
      <c r="B359" s="68">
        <v>1274498</v>
      </c>
      <c r="C359" s="69">
        <v>4615478093</v>
      </c>
      <c r="D359" s="70">
        <v>20700</v>
      </c>
      <c r="E359" s="67"/>
      <c r="F359" s="68">
        <v>16</v>
      </c>
      <c r="G359" s="68">
        <v>0</v>
      </c>
      <c r="H359" s="73">
        <v>0</v>
      </c>
      <c r="I359" s="68">
        <v>0</v>
      </c>
      <c r="J359" s="71">
        <v>42954</v>
      </c>
      <c r="K359" s="71">
        <v>42878</v>
      </c>
      <c r="L359" s="69" t="s">
        <v>132</v>
      </c>
      <c r="M359" s="69" t="s">
        <v>109</v>
      </c>
      <c r="N359" s="72">
        <v>43009</v>
      </c>
      <c r="O359" s="67"/>
      <c r="P359" s="67" t="s">
        <v>95</v>
      </c>
      <c r="Q359" s="67" t="s">
        <v>110</v>
      </c>
      <c r="R359" s="69" t="s">
        <v>69</v>
      </c>
      <c r="S359" s="69" t="s">
        <v>115</v>
      </c>
      <c r="T359" s="67"/>
      <c r="U359" s="67"/>
      <c r="V359" s="72">
        <v>42978</v>
      </c>
      <c r="W359" s="69" t="s">
        <v>176</v>
      </c>
      <c r="X359" s="69" t="s">
        <v>117</v>
      </c>
      <c r="Y359" s="126"/>
      <c r="Z359" s="30">
        <f t="shared" si="10"/>
        <v>7301.7101235631453</v>
      </c>
      <c r="AA359" s="30">
        <f t="shared" si="11"/>
        <v>0</v>
      </c>
      <c r="AB359" t="s">
        <v>456</v>
      </c>
    </row>
    <row r="360" spans="1:28">
      <c r="A360" s="67" t="s">
        <v>113</v>
      </c>
      <c r="B360" s="68">
        <v>1274501</v>
      </c>
      <c r="C360" s="69">
        <v>4615478093</v>
      </c>
      <c r="D360" s="70">
        <v>20700</v>
      </c>
      <c r="E360" s="67"/>
      <c r="F360" s="68">
        <v>16</v>
      </c>
      <c r="G360" s="68">
        <v>0</v>
      </c>
      <c r="H360" s="73">
        <v>0</v>
      </c>
      <c r="I360" s="68">
        <v>0</v>
      </c>
      <c r="J360" s="71">
        <v>42954</v>
      </c>
      <c r="K360" s="71">
        <v>42870</v>
      </c>
      <c r="L360" s="69" t="s">
        <v>132</v>
      </c>
      <c r="M360" s="69" t="s">
        <v>109</v>
      </c>
      <c r="N360" s="72">
        <v>43009</v>
      </c>
      <c r="O360" s="67"/>
      <c r="P360" s="67" t="s">
        <v>95</v>
      </c>
      <c r="Q360" s="67" t="s">
        <v>110</v>
      </c>
      <c r="R360" s="69" t="s">
        <v>69</v>
      </c>
      <c r="S360" s="69" t="s">
        <v>115</v>
      </c>
      <c r="T360" s="67"/>
      <c r="U360" s="67"/>
      <c r="V360" s="72">
        <v>42978</v>
      </c>
      <c r="W360" s="69" t="s">
        <v>176</v>
      </c>
      <c r="X360" s="69" t="s">
        <v>117</v>
      </c>
      <c r="Y360" s="126"/>
      <c r="Z360" s="30">
        <f t="shared" si="10"/>
        <v>7301.7101235631453</v>
      </c>
      <c r="AA360" s="30">
        <f t="shared" si="11"/>
        <v>0</v>
      </c>
      <c r="AB360" t="s">
        <v>456</v>
      </c>
    </row>
    <row r="361" spans="1:28">
      <c r="A361" s="67" t="s">
        <v>113</v>
      </c>
      <c r="B361" s="68">
        <v>1274503</v>
      </c>
      <c r="C361" s="69">
        <v>4615478093</v>
      </c>
      <c r="D361" s="70">
        <v>20700</v>
      </c>
      <c r="E361" s="67"/>
      <c r="F361" s="68">
        <v>16</v>
      </c>
      <c r="G361" s="68">
        <v>0</v>
      </c>
      <c r="H361" s="73">
        <v>0</v>
      </c>
      <c r="I361" s="68">
        <v>0</v>
      </c>
      <c r="J361" s="71">
        <v>42954</v>
      </c>
      <c r="K361" s="71">
        <v>42872</v>
      </c>
      <c r="L361" s="69" t="s">
        <v>132</v>
      </c>
      <c r="M361" s="69" t="s">
        <v>109</v>
      </c>
      <c r="N361" s="72">
        <v>43009</v>
      </c>
      <c r="O361" s="67"/>
      <c r="P361" s="67" t="s">
        <v>95</v>
      </c>
      <c r="Q361" s="67" t="s">
        <v>110</v>
      </c>
      <c r="R361" s="69" t="s">
        <v>69</v>
      </c>
      <c r="S361" s="69" t="s">
        <v>115</v>
      </c>
      <c r="T361" s="67"/>
      <c r="U361" s="67"/>
      <c r="V361" s="72">
        <v>42978</v>
      </c>
      <c r="W361" s="69" t="s">
        <v>176</v>
      </c>
      <c r="X361" s="69" t="s">
        <v>117</v>
      </c>
      <c r="Y361" s="126"/>
      <c r="Z361" s="30">
        <f t="shared" si="10"/>
        <v>7301.7101235631453</v>
      </c>
      <c r="AA361" s="30">
        <f t="shared" si="11"/>
        <v>0</v>
      </c>
      <c r="AB361" t="s">
        <v>456</v>
      </c>
    </row>
    <row r="362" spans="1:28">
      <c r="A362" s="67" t="s">
        <v>68</v>
      </c>
      <c r="B362" s="68">
        <v>1278447</v>
      </c>
      <c r="C362" s="69">
        <v>4615415532</v>
      </c>
      <c r="D362" s="70">
        <v>20499.600000000002</v>
      </c>
      <c r="E362" s="67"/>
      <c r="F362" s="68">
        <v>16</v>
      </c>
      <c r="G362" s="68" t="s">
        <v>114</v>
      </c>
      <c r="H362" s="68">
        <v>0</v>
      </c>
      <c r="I362" s="68">
        <v>0</v>
      </c>
      <c r="J362" s="71">
        <v>42967</v>
      </c>
      <c r="K362" s="71">
        <v>42869</v>
      </c>
      <c r="L362" s="69" t="s">
        <v>119</v>
      </c>
      <c r="M362" s="69" t="s">
        <v>109</v>
      </c>
      <c r="N362" s="72">
        <v>43009</v>
      </c>
      <c r="O362" s="67"/>
      <c r="P362" s="67" t="s">
        <v>95</v>
      </c>
      <c r="Q362" s="67" t="s">
        <v>125</v>
      </c>
      <c r="R362" s="69" t="s">
        <v>69</v>
      </c>
      <c r="S362" s="69" t="s">
        <v>68</v>
      </c>
      <c r="T362" s="67"/>
      <c r="U362" s="67"/>
      <c r="V362" s="72">
        <v>43008</v>
      </c>
      <c r="W362" s="69">
        <v>5114738</v>
      </c>
      <c r="X362" s="69" t="s">
        <v>159</v>
      </c>
      <c r="Y362" s="126"/>
      <c r="Z362" s="30">
        <f t="shared" si="10"/>
        <v>7231.021103816187</v>
      </c>
      <c r="AA362" s="30">
        <f t="shared" si="11"/>
        <v>0</v>
      </c>
      <c r="AB362" t="s">
        <v>456</v>
      </c>
    </row>
    <row r="363" spans="1:28">
      <c r="A363" s="67" t="s">
        <v>68</v>
      </c>
      <c r="B363" s="68">
        <v>1278449</v>
      </c>
      <c r="C363" s="69">
        <v>4615415532</v>
      </c>
      <c r="D363" s="70">
        <v>20499.600000000002</v>
      </c>
      <c r="E363" s="67"/>
      <c r="F363" s="68">
        <v>16</v>
      </c>
      <c r="G363" s="68" t="s">
        <v>114</v>
      </c>
      <c r="H363" s="68">
        <v>0</v>
      </c>
      <c r="I363" s="68">
        <v>0</v>
      </c>
      <c r="J363" s="71">
        <v>42967</v>
      </c>
      <c r="K363" s="71">
        <v>42870</v>
      </c>
      <c r="L363" s="69" t="s">
        <v>119</v>
      </c>
      <c r="M363" s="69" t="s">
        <v>109</v>
      </c>
      <c r="N363" s="72">
        <v>43009</v>
      </c>
      <c r="O363" s="67"/>
      <c r="P363" s="67" t="s">
        <v>95</v>
      </c>
      <c r="Q363" s="67" t="s">
        <v>125</v>
      </c>
      <c r="R363" s="69" t="s">
        <v>69</v>
      </c>
      <c r="S363" s="69" t="s">
        <v>68</v>
      </c>
      <c r="T363" s="67"/>
      <c r="U363" s="67"/>
      <c r="V363" s="72">
        <v>43008</v>
      </c>
      <c r="W363" s="69">
        <v>5114738</v>
      </c>
      <c r="X363" s="69" t="s">
        <v>159</v>
      </c>
      <c r="Y363" s="126"/>
      <c r="Z363" s="30">
        <f t="shared" si="10"/>
        <v>7231.021103816187</v>
      </c>
      <c r="AA363" s="30">
        <f t="shared" si="11"/>
        <v>0</v>
      </c>
      <c r="AB363" t="s">
        <v>456</v>
      </c>
    </row>
    <row r="364" spans="1:28">
      <c r="A364" s="67" t="s">
        <v>68</v>
      </c>
      <c r="B364" s="68">
        <v>1276293</v>
      </c>
      <c r="C364" s="69">
        <v>4615416369</v>
      </c>
      <c r="D364" s="70">
        <v>19175</v>
      </c>
      <c r="E364" s="67"/>
      <c r="F364" s="68">
        <v>16</v>
      </c>
      <c r="G364" s="68">
        <v>5</v>
      </c>
      <c r="H364" s="68">
        <v>0</v>
      </c>
      <c r="I364" s="68">
        <v>0</v>
      </c>
      <c r="J364" s="71"/>
      <c r="K364" s="71">
        <v>42855</v>
      </c>
      <c r="L364" s="69" t="s">
        <v>80</v>
      </c>
      <c r="M364" s="69" t="s">
        <v>109</v>
      </c>
      <c r="N364" s="72">
        <v>43009</v>
      </c>
      <c r="O364" s="67"/>
      <c r="P364" s="67" t="s">
        <v>95</v>
      </c>
      <c r="Q364" s="67" t="s">
        <v>125</v>
      </c>
      <c r="R364" s="69" t="s">
        <v>69</v>
      </c>
      <c r="S364" s="69" t="s">
        <v>68</v>
      </c>
      <c r="T364" s="67"/>
      <c r="U364" s="67"/>
      <c r="V364" s="72">
        <v>42978</v>
      </c>
      <c r="W364" s="69">
        <v>5114737</v>
      </c>
      <c r="X364" s="69"/>
      <c r="Y364" s="126"/>
      <c r="Z364" s="30">
        <f t="shared" si="10"/>
        <v>6763.7822038320437</v>
      </c>
      <c r="AA364" s="30">
        <f t="shared" si="11"/>
        <v>2113.6819386975139</v>
      </c>
      <c r="AB364" t="s">
        <v>456</v>
      </c>
    </row>
    <row r="365" spans="1:28">
      <c r="A365" s="67" t="s">
        <v>113</v>
      </c>
      <c r="B365" s="68">
        <v>1269266</v>
      </c>
      <c r="C365" s="69">
        <v>4615400271</v>
      </c>
      <c r="D365" s="70">
        <v>20700</v>
      </c>
      <c r="E365" s="67"/>
      <c r="F365" s="68">
        <v>16</v>
      </c>
      <c r="G365" s="68" t="s">
        <v>114</v>
      </c>
      <c r="H365" s="73">
        <v>0</v>
      </c>
      <c r="I365" s="68">
        <v>0</v>
      </c>
      <c r="J365" s="71"/>
      <c r="K365" s="71">
        <v>42848</v>
      </c>
      <c r="L365" s="69" t="s">
        <v>80</v>
      </c>
      <c r="M365" s="69" t="s">
        <v>109</v>
      </c>
      <c r="N365" s="72">
        <v>43009</v>
      </c>
      <c r="O365" s="67"/>
      <c r="P365" s="67" t="s">
        <v>95</v>
      </c>
      <c r="Q365" s="67" t="s">
        <v>110</v>
      </c>
      <c r="R365" s="69" t="s">
        <v>69</v>
      </c>
      <c r="S365" s="69" t="s">
        <v>115</v>
      </c>
      <c r="T365" s="67"/>
      <c r="U365" s="67"/>
      <c r="V365" s="72">
        <v>42947</v>
      </c>
      <c r="W365" s="69" t="s">
        <v>172</v>
      </c>
      <c r="X365" s="69" t="s">
        <v>173</v>
      </c>
      <c r="Y365" s="126"/>
      <c r="Z365" s="30">
        <f t="shared" si="10"/>
        <v>7301.7101235631453</v>
      </c>
      <c r="AA365" s="30">
        <f t="shared" si="11"/>
        <v>0</v>
      </c>
      <c r="AB365" t="s">
        <v>456</v>
      </c>
    </row>
    <row r="366" spans="1:28">
      <c r="A366" s="67" t="s">
        <v>113</v>
      </c>
      <c r="B366" s="68">
        <v>1269269</v>
      </c>
      <c r="C366" s="69">
        <v>4615400271</v>
      </c>
      <c r="D366" s="70">
        <v>20700</v>
      </c>
      <c r="E366" s="67"/>
      <c r="F366" s="68">
        <v>16</v>
      </c>
      <c r="G366" s="68" t="s">
        <v>114</v>
      </c>
      <c r="H366" s="73">
        <v>0</v>
      </c>
      <c r="I366" s="68">
        <v>0</v>
      </c>
      <c r="J366" s="71"/>
      <c r="K366" s="71">
        <v>42799</v>
      </c>
      <c r="L366" s="69" t="s">
        <v>80</v>
      </c>
      <c r="M366" s="69" t="s">
        <v>109</v>
      </c>
      <c r="N366" s="72">
        <v>43009</v>
      </c>
      <c r="O366" s="67"/>
      <c r="P366" s="67" t="s">
        <v>95</v>
      </c>
      <c r="Q366" s="67" t="s">
        <v>110</v>
      </c>
      <c r="R366" s="69" t="s">
        <v>69</v>
      </c>
      <c r="S366" s="69" t="s">
        <v>115</v>
      </c>
      <c r="T366" s="67"/>
      <c r="U366" s="67"/>
      <c r="V366" s="72">
        <v>42947</v>
      </c>
      <c r="W366" s="69" t="s">
        <v>172</v>
      </c>
      <c r="X366" s="69" t="s">
        <v>173</v>
      </c>
      <c r="Y366" s="126"/>
      <c r="Z366" s="30">
        <f t="shared" si="10"/>
        <v>7301.7101235631453</v>
      </c>
      <c r="AA366" s="30">
        <f t="shared" si="11"/>
        <v>0</v>
      </c>
      <c r="AB366" t="s">
        <v>456</v>
      </c>
    </row>
    <row r="367" spans="1:28">
      <c r="A367" s="67" t="s">
        <v>107</v>
      </c>
      <c r="B367" s="68">
        <v>1261948</v>
      </c>
      <c r="C367" s="69">
        <v>4615449193</v>
      </c>
      <c r="D367" s="70">
        <v>19200</v>
      </c>
      <c r="E367" s="67"/>
      <c r="F367" s="68">
        <v>154.32</v>
      </c>
      <c r="G367" s="68">
        <v>0</v>
      </c>
      <c r="H367" s="68">
        <v>0</v>
      </c>
      <c r="I367" s="68">
        <v>0</v>
      </c>
      <c r="J367" s="71">
        <v>42925</v>
      </c>
      <c r="K367" s="71">
        <v>42840</v>
      </c>
      <c r="L367" s="69" t="s">
        <v>119</v>
      </c>
      <c r="M367" s="69" t="s">
        <v>109</v>
      </c>
      <c r="N367" s="72">
        <v>43009</v>
      </c>
      <c r="O367" s="67"/>
      <c r="P367" s="67" t="s">
        <v>95</v>
      </c>
      <c r="Q367" s="67" t="s">
        <v>110</v>
      </c>
      <c r="R367" s="69" t="s">
        <v>69</v>
      </c>
      <c r="S367" s="69" t="s">
        <v>111</v>
      </c>
      <c r="T367" s="67"/>
      <c r="U367" s="67"/>
      <c r="V367" s="72">
        <v>42978</v>
      </c>
      <c r="W367" s="69" t="s">
        <v>177</v>
      </c>
      <c r="X367" s="69"/>
      <c r="Y367" s="126"/>
      <c r="Z367" s="30">
        <f t="shared" si="10"/>
        <v>65321.73369671098</v>
      </c>
      <c r="AA367" s="30">
        <f t="shared" si="11"/>
        <v>0</v>
      </c>
      <c r="AB367" t="s">
        <v>456</v>
      </c>
    </row>
    <row r="368" spans="1:28">
      <c r="A368" s="67" t="s">
        <v>107</v>
      </c>
      <c r="B368" s="68">
        <v>1261949</v>
      </c>
      <c r="C368" s="69">
        <v>4615449193</v>
      </c>
      <c r="D368" s="70">
        <v>19200</v>
      </c>
      <c r="E368" s="67"/>
      <c r="F368" s="68">
        <v>154.32</v>
      </c>
      <c r="G368" s="68">
        <v>0</v>
      </c>
      <c r="H368" s="68">
        <v>0</v>
      </c>
      <c r="I368" s="68">
        <v>0</v>
      </c>
      <c r="J368" s="71">
        <v>42925</v>
      </c>
      <c r="K368" s="71">
        <v>42785</v>
      </c>
      <c r="L368" s="69" t="s">
        <v>119</v>
      </c>
      <c r="M368" s="69" t="s">
        <v>109</v>
      </c>
      <c r="N368" s="72">
        <v>43009</v>
      </c>
      <c r="O368" s="67"/>
      <c r="P368" s="67" t="s">
        <v>95</v>
      </c>
      <c r="Q368" s="67" t="s">
        <v>110</v>
      </c>
      <c r="R368" s="69" t="s">
        <v>69</v>
      </c>
      <c r="S368" s="69" t="s">
        <v>111</v>
      </c>
      <c r="T368" s="67"/>
      <c r="U368" s="67"/>
      <c r="V368" s="72">
        <v>42978</v>
      </c>
      <c r="W368" s="69" t="s">
        <v>177</v>
      </c>
      <c r="X368" s="69"/>
      <c r="Y368" s="126"/>
      <c r="Z368" s="30">
        <f t="shared" si="10"/>
        <v>65321.73369671098</v>
      </c>
      <c r="AA368" s="30">
        <f t="shared" si="11"/>
        <v>0</v>
      </c>
      <c r="AB368" t="s">
        <v>456</v>
      </c>
    </row>
    <row r="369" spans="1:28">
      <c r="A369" s="67" t="s">
        <v>118</v>
      </c>
      <c r="B369" s="68">
        <v>1262957</v>
      </c>
      <c r="C369" s="69">
        <v>4615366879</v>
      </c>
      <c r="D369" s="70">
        <v>19175</v>
      </c>
      <c r="E369" s="67"/>
      <c r="F369" s="68">
        <v>10</v>
      </c>
      <c r="G369" s="68">
        <v>5</v>
      </c>
      <c r="H369" s="73">
        <v>0</v>
      </c>
      <c r="I369" s="68">
        <v>0</v>
      </c>
      <c r="J369" s="71"/>
      <c r="K369" s="71">
        <v>42785</v>
      </c>
      <c r="L369" s="69" t="s">
        <v>80</v>
      </c>
      <c r="M369" s="69" t="s">
        <v>109</v>
      </c>
      <c r="N369" s="72">
        <v>43009</v>
      </c>
      <c r="O369" s="67"/>
      <c r="P369" s="67" t="s">
        <v>95</v>
      </c>
      <c r="Q369" s="67" t="s">
        <v>120</v>
      </c>
      <c r="R369" s="69" t="s">
        <v>69</v>
      </c>
      <c r="S369" s="69" t="s">
        <v>121</v>
      </c>
      <c r="T369" s="67"/>
      <c r="U369" s="67"/>
      <c r="V369" s="72">
        <v>42947</v>
      </c>
      <c r="W369" s="69">
        <v>2021269</v>
      </c>
      <c r="X369" s="69"/>
      <c r="Y369" s="126"/>
      <c r="Z369" s="30">
        <f t="shared" si="10"/>
        <v>4227.3638773950279</v>
      </c>
      <c r="AA369" s="30">
        <f t="shared" si="11"/>
        <v>2113.6819386975139</v>
      </c>
      <c r="AB369" t="s">
        <v>456</v>
      </c>
    </row>
    <row r="370" spans="1:28">
      <c r="A370" s="67" t="s">
        <v>68</v>
      </c>
      <c r="B370" s="68">
        <v>1257651</v>
      </c>
      <c r="C370" s="69">
        <v>4615413507</v>
      </c>
      <c r="D370" s="70">
        <v>19175</v>
      </c>
      <c r="E370" s="67"/>
      <c r="F370" s="68">
        <v>16</v>
      </c>
      <c r="G370" s="68">
        <v>5</v>
      </c>
      <c r="H370" s="75">
        <v>0</v>
      </c>
      <c r="I370" s="68">
        <v>0</v>
      </c>
      <c r="J370" s="71"/>
      <c r="K370" s="71">
        <v>42839</v>
      </c>
      <c r="L370" s="69" t="s">
        <v>80</v>
      </c>
      <c r="M370" s="69" t="s">
        <v>109</v>
      </c>
      <c r="N370" s="72">
        <v>43009</v>
      </c>
      <c r="O370" s="67"/>
      <c r="P370" s="67" t="s">
        <v>95</v>
      </c>
      <c r="Q370" s="67" t="s">
        <v>125</v>
      </c>
      <c r="R370" s="69" t="s">
        <v>69</v>
      </c>
      <c r="S370" s="69" t="s">
        <v>68</v>
      </c>
      <c r="T370" s="67"/>
      <c r="U370" s="67"/>
      <c r="V370" s="72">
        <v>42916</v>
      </c>
      <c r="W370" s="69">
        <v>5114735</v>
      </c>
      <c r="X370" s="69"/>
      <c r="Y370" s="126"/>
      <c r="Z370" s="30">
        <f t="shared" si="10"/>
        <v>6763.7822038320437</v>
      </c>
      <c r="AA370" s="30">
        <f t="shared" si="11"/>
        <v>2113.6819386975139</v>
      </c>
      <c r="AB370" t="s">
        <v>456</v>
      </c>
    </row>
    <row r="371" spans="1:28">
      <c r="A371" s="67" t="s">
        <v>122</v>
      </c>
      <c r="B371" s="68">
        <v>1256786</v>
      </c>
      <c r="C371" s="69">
        <v>4615414794</v>
      </c>
      <c r="D371" s="70">
        <v>19200</v>
      </c>
      <c r="E371" s="67"/>
      <c r="F371" s="68">
        <v>16</v>
      </c>
      <c r="G371" s="68">
        <v>5</v>
      </c>
      <c r="H371" s="73">
        <v>0</v>
      </c>
      <c r="I371" s="68">
        <v>0</v>
      </c>
      <c r="J371" s="71"/>
      <c r="K371" s="71">
        <v>42836</v>
      </c>
      <c r="L371" s="69" t="s">
        <v>80</v>
      </c>
      <c r="M371" s="69" t="s">
        <v>109</v>
      </c>
      <c r="N371" s="72">
        <v>43009</v>
      </c>
      <c r="O371" s="67"/>
      <c r="P371" s="67" t="s">
        <v>95</v>
      </c>
      <c r="Q371" s="67" t="s">
        <v>120</v>
      </c>
      <c r="R371" s="69" t="s">
        <v>69</v>
      </c>
      <c r="S371" s="69" t="s">
        <v>123</v>
      </c>
      <c r="T371" s="67"/>
      <c r="U371" s="67"/>
      <c r="V371" s="72">
        <v>42947</v>
      </c>
      <c r="W371" s="69">
        <v>2025784</v>
      </c>
      <c r="X371" s="69"/>
      <c r="Y371" s="126"/>
      <c r="Z371" s="30">
        <f t="shared" si="10"/>
        <v>6772.6006943194379</v>
      </c>
      <c r="AA371" s="30">
        <f t="shared" si="11"/>
        <v>2116.4377169748245</v>
      </c>
      <c r="AB371" t="s">
        <v>456</v>
      </c>
    </row>
    <row r="372" spans="1:28">
      <c r="A372" s="67" t="s">
        <v>122</v>
      </c>
      <c r="B372" s="68">
        <v>1256780</v>
      </c>
      <c r="C372" s="69">
        <v>4615414794</v>
      </c>
      <c r="D372" s="70">
        <v>19200</v>
      </c>
      <c r="E372" s="67"/>
      <c r="F372" s="68">
        <v>16</v>
      </c>
      <c r="G372" s="68">
        <v>5</v>
      </c>
      <c r="H372" s="73">
        <v>0</v>
      </c>
      <c r="I372" s="68">
        <v>0</v>
      </c>
      <c r="J372" s="71"/>
      <c r="K372" s="71">
        <v>42806</v>
      </c>
      <c r="L372" s="69" t="s">
        <v>80</v>
      </c>
      <c r="M372" s="69" t="s">
        <v>109</v>
      </c>
      <c r="N372" s="72">
        <v>43009</v>
      </c>
      <c r="O372" s="67"/>
      <c r="P372" s="67" t="s">
        <v>95</v>
      </c>
      <c r="Q372" s="67" t="s">
        <v>120</v>
      </c>
      <c r="R372" s="69" t="s">
        <v>69</v>
      </c>
      <c r="S372" s="69" t="s">
        <v>123</v>
      </c>
      <c r="T372" s="67"/>
      <c r="U372" s="67"/>
      <c r="V372" s="72">
        <v>42947</v>
      </c>
      <c r="W372" s="69">
        <v>2025784</v>
      </c>
      <c r="X372" s="69"/>
      <c r="Y372" s="126"/>
      <c r="Z372" s="30">
        <f t="shared" si="10"/>
        <v>6772.6006943194379</v>
      </c>
      <c r="AA372" s="30">
        <f t="shared" si="11"/>
        <v>2116.4377169748245</v>
      </c>
      <c r="AB372" t="s">
        <v>456</v>
      </c>
    </row>
    <row r="373" spans="1:28">
      <c r="A373" s="67" t="s">
        <v>68</v>
      </c>
      <c r="B373" s="68">
        <v>1248713</v>
      </c>
      <c r="C373" s="69">
        <v>4615416117</v>
      </c>
      <c r="D373" s="70">
        <v>19175</v>
      </c>
      <c r="E373" s="67"/>
      <c r="F373" s="68">
        <v>16</v>
      </c>
      <c r="G373" s="68">
        <v>5</v>
      </c>
      <c r="H373" s="73">
        <v>0</v>
      </c>
      <c r="I373" s="68">
        <v>0</v>
      </c>
      <c r="J373" s="71"/>
      <c r="K373" s="71">
        <v>42836</v>
      </c>
      <c r="L373" s="69" t="s">
        <v>80</v>
      </c>
      <c r="M373" s="69" t="s">
        <v>109</v>
      </c>
      <c r="N373" s="72">
        <v>43009</v>
      </c>
      <c r="O373" s="67"/>
      <c r="P373" s="67" t="s">
        <v>95</v>
      </c>
      <c r="Q373" s="67" t="s">
        <v>125</v>
      </c>
      <c r="R373" s="69" t="s">
        <v>69</v>
      </c>
      <c r="S373" s="69" t="s">
        <v>68</v>
      </c>
      <c r="T373" s="67"/>
      <c r="U373" s="67"/>
      <c r="V373" s="72">
        <v>42886</v>
      </c>
      <c r="W373" s="69">
        <v>5114734</v>
      </c>
      <c r="X373" s="69" t="s">
        <v>155</v>
      </c>
      <c r="Y373" s="126"/>
      <c r="Z373" s="30">
        <f t="shared" si="10"/>
        <v>6763.7822038320437</v>
      </c>
      <c r="AA373" s="30">
        <f t="shared" si="11"/>
        <v>2113.6819386975139</v>
      </c>
      <c r="AB373" t="s">
        <v>456</v>
      </c>
    </row>
    <row r="374" spans="1:28">
      <c r="A374" s="67" t="s">
        <v>122</v>
      </c>
      <c r="B374" s="68">
        <v>1230920</v>
      </c>
      <c r="C374" s="69">
        <v>4615416293</v>
      </c>
      <c r="D374" s="70">
        <v>19200</v>
      </c>
      <c r="E374" s="67"/>
      <c r="F374" s="68">
        <v>16</v>
      </c>
      <c r="G374" s="68">
        <v>5</v>
      </c>
      <c r="H374" s="68">
        <v>0</v>
      </c>
      <c r="I374" s="68">
        <v>0</v>
      </c>
      <c r="J374" s="71">
        <v>42805</v>
      </c>
      <c r="K374" s="71">
        <v>42836</v>
      </c>
      <c r="L374" s="69" t="s">
        <v>119</v>
      </c>
      <c r="M374" s="69" t="s">
        <v>109</v>
      </c>
      <c r="N374" s="72">
        <v>43009</v>
      </c>
      <c r="O374" s="67"/>
      <c r="P374" s="67" t="s">
        <v>95</v>
      </c>
      <c r="Q374" s="67" t="s">
        <v>120</v>
      </c>
      <c r="R374" s="69" t="s">
        <v>69</v>
      </c>
      <c r="S374" s="69" t="s">
        <v>123</v>
      </c>
      <c r="T374" s="67"/>
      <c r="U374" s="67"/>
      <c r="V374" s="72">
        <v>42886</v>
      </c>
      <c r="W374" s="69">
        <v>2025664</v>
      </c>
      <c r="X374" s="69"/>
      <c r="Y374" s="126"/>
      <c r="Z374" s="30">
        <f t="shared" si="10"/>
        <v>6772.6006943194379</v>
      </c>
      <c r="AA374" s="30">
        <f t="shared" si="11"/>
        <v>2116.4377169748245</v>
      </c>
      <c r="AB374" t="s">
        <v>456</v>
      </c>
    </row>
    <row r="375" spans="1:28">
      <c r="A375" s="67" t="s">
        <v>122</v>
      </c>
      <c r="B375" s="68">
        <v>1218620</v>
      </c>
      <c r="C375" s="69">
        <v>4615411035</v>
      </c>
      <c r="D375" s="70">
        <v>19175</v>
      </c>
      <c r="E375" s="67"/>
      <c r="F375" s="68">
        <v>16</v>
      </c>
      <c r="G375" s="68">
        <v>5</v>
      </c>
      <c r="H375" s="73">
        <v>0</v>
      </c>
      <c r="I375" s="68">
        <v>0</v>
      </c>
      <c r="J375" s="71">
        <v>42758</v>
      </c>
      <c r="K375" s="71">
        <v>42823</v>
      </c>
      <c r="L375" s="69" t="s">
        <v>119</v>
      </c>
      <c r="M375" s="69" t="s">
        <v>109</v>
      </c>
      <c r="N375" s="72">
        <v>43009</v>
      </c>
      <c r="O375" s="67"/>
      <c r="P375" s="67" t="s">
        <v>95</v>
      </c>
      <c r="Q375" s="67" t="s">
        <v>120</v>
      </c>
      <c r="R375" s="69" t="s">
        <v>69</v>
      </c>
      <c r="S375" s="69" t="s">
        <v>123</v>
      </c>
      <c r="T375" s="67"/>
      <c r="U375" s="67"/>
      <c r="V375" s="72">
        <v>42794</v>
      </c>
      <c r="W375" s="69">
        <v>2025747</v>
      </c>
      <c r="X375" s="69"/>
      <c r="Y375" s="126"/>
      <c r="Z375" s="30">
        <f t="shared" si="10"/>
        <v>6763.7822038320437</v>
      </c>
      <c r="AA375" s="30">
        <f t="shared" si="11"/>
        <v>2113.6819386975139</v>
      </c>
      <c r="AB375" t="s">
        <v>456</v>
      </c>
    </row>
    <row r="376" spans="1:28">
      <c r="A376" s="67" t="s">
        <v>68</v>
      </c>
      <c r="B376" s="68">
        <v>1276295</v>
      </c>
      <c r="C376" s="69">
        <v>4615416369</v>
      </c>
      <c r="D376" s="70">
        <v>19175</v>
      </c>
      <c r="E376" s="67"/>
      <c r="F376" s="68">
        <v>16</v>
      </c>
      <c r="G376" s="68">
        <v>5</v>
      </c>
      <c r="H376" s="68">
        <v>0</v>
      </c>
      <c r="I376" s="68">
        <v>0</v>
      </c>
      <c r="J376" s="71"/>
      <c r="K376" s="71">
        <v>42785</v>
      </c>
      <c r="L376" s="69" t="s">
        <v>80</v>
      </c>
      <c r="M376" s="69" t="s">
        <v>109</v>
      </c>
      <c r="N376" s="72">
        <v>43006</v>
      </c>
      <c r="O376" s="67"/>
      <c r="P376" s="67" t="s">
        <v>95</v>
      </c>
      <c r="Q376" s="67" t="s">
        <v>125</v>
      </c>
      <c r="R376" s="69" t="s">
        <v>69</v>
      </c>
      <c r="S376" s="69" t="s">
        <v>68</v>
      </c>
      <c r="T376" s="67"/>
      <c r="U376" s="67"/>
      <c r="V376" s="72">
        <v>42978</v>
      </c>
      <c r="W376" s="69">
        <v>5114737</v>
      </c>
      <c r="X376" s="69"/>
      <c r="Y376" s="126"/>
      <c r="Z376" s="30">
        <f t="shared" si="10"/>
        <v>6763.7822038320437</v>
      </c>
      <c r="AA376" s="30">
        <f t="shared" si="11"/>
        <v>2113.6819386975139</v>
      </c>
      <c r="AB376" t="s">
        <v>456</v>
      </c>
    </row>
    <row r="377" spans="1:28">
      <c r="A377" s="67" t="s">
        <v>68</v>
      </c>
      <c r="B377" s="68">
        <v>1276302</v>
      </c>
      <c r="C377" s="69">
        <v>4615416369</v>
      </c>
      <c r="D377" s="70">
        <v>19175</v>
      </c>
      <c r="E377" s="67"/>
      <c r="F377" s="68">
        <v>16</v>
      </c>
      <c r="G377" s="68">
        <v>5</v>
      </c>
      <c r="H377" s="68">
        <v>0</v>
      </c>
      <c r="I377" s="68">
        <v>0</v>
      </c>
      <c r="J377" s="71"/>
      <c r="K377" s="71">
        <v>42854</v>
      </c>
      <c r="L377" s="69" t="s">
        <v>80</v>
      </c>
      <c r="M377" s="69" t="s">
        <v>109</v>
      </c>
      <c r="N377" s="72">
        <v>43006</v>
      </c>
      <c r="O377" s="67"/>
      <c r="P377" s="67" t="s">
        <v>95</v>
      </c>
      <c r="Q377" s="67" t="s">
        <v>125</v>
      </c>
      <c r="R377" s="69" t="s">
        <v>69</v>
      </c>
      <c r="S377" s="69" t="s">
        <v>68</v>
      </c>
      <c r="T377" s="67"/>
      <c r="U377" s="67"/>
      <c r="V377" s="72">
        <v>42978</v>
      </c>
      <c r="W377" s="69">
        <v>5114737</v>
      </c>
      <c r="X377" s="69"/>
      <c r="Y377" s="126"/>
      <c r="Z377" s="30">
        <f t="shared" si="10"/>
        <v>6763.7822038320437</v>
      </c>
      <c r="AA377" s="30">
        <f t="shared" si="11"/>
        <v>2113.6819386975139</v>
      </c>
      <c r="AB377" t="s">
        <v>456</v>
      </c>
    </row>
    <row r="378" spans="1:28">
      <c r="A378" s="67" t="s">
        <v>113</v>
      </c>
      <c r="B378" s="68">
        <v>1274497</v>
      </c>
      <c r="C378" s="69">
        <v>4615478093</v>
      </c>
      <c r="D378" s="70">
        <v>20700</v>
      </c>
      <c r="E378" s="67"/>
      <c r="F378" s="68">
        <v>16</v>
      </c>
      <c r="G378" s="68">
        <v>0</v>
      </c>
      <c r="H378" s="73">
        <v>0</v>
      </c>
      <c r="I378" s="68">
        <v>0</v>
      </c>
      <c r="J378" s="71">
        <v>42954</v>
      </c>
      <c r="K378" s="71">
        <v>42884</v>
      </c>
      <c r="L378" s="69" t="s">
        <v>132</v>
      </c>
      <c r="M378" s="69" t="s">
        <v>109</v>
      </c>
      <c r="N378" s="72">
        <v>43005</v>
      </c>
      <c r="O378" s="67"/>
      <c r="P378" s="67" t="s">
        <v>95</v>
      </c>
      <c r="Q378" s="67" t="s">
        <v>110</v>
      </c>
      <c r="R378" s="69" t="s">
        <v>69</v>
      </c>
      <c r="S378" s="69" t="s">
        <v>115</v>
      </c>
      <c r="T378" s="67"/>
      <c r="U378" s="67"/>
      <c r="V378" s="72">
        <v>42978</v>
      </c>
      <c r="W378" s="69" t="s">
        <v>176</v>
      </c>
      <c r="X378" s="69" t="s">
        <v>117</v>
      </c>
      <c r="Y378" s="126"/>
      <c r="Z378" s="30">
        <f t="shared" si="10"/>
        <v>7301.7101235631453</v>
      </c>
      <c r="AA378" s="30">
        <f t="shared" si="11"/>
        <v>0</v>
      </c>
      <c r="AB378" t="s">
        <v>456</v>
      </c>
    </row>
    <row r="379" spans="1:28">
      <c r="A379" s="67" t="s">
        <v>113</v>
      </c>
      <c r="B379" s="68">
        <v>1274494</v>
      </c>
      <c r="C379" s="69">
        <v>4615478093</v>
      </c>
      <c r="D379" s="70">
        <v>20700</v>
      </c>
      <c r="E379" s="67"/>
      <c r="F379" s="68">
        <v>16</v>
      </c>
      <c r="G379" s="68">
        <v>0</v>
      </c>
      <c r="H379" s="73">
        <v>0</v>
      </c>
      <c r="I379" s="68">
        <v>0</v>
      </c>
      <c r="J379" s="71">
        <v>42954</v>
      </c>
      <c r="K379" s="71">
        <v>42778</v>
      </c>
      <c r="L379" s="69" t="s">
        <v>132</v>
      </c>
      <c r="M379" s="69" t="s">
        <v>109</v>
      </c>
      <c r="N379" s="72">
        <v>43005</v>
      </c>
      <c r="O379" s="67"/>
      <c r="P379" s="67" t="s">
        <v>95</v>
      </c>
      <c r="Q379" s="67" t="s">
        <v>110</v>
      </c>
      <c r="R379" s="69" t="s">
        <v>69</v>
      </c>
      <c r="S379" s="69" t="s">
        <v>115</v>
      </c>
      <c r="T379" s="67"/>
      <c r="U379" s="67"/>
      <c r="V379" s="72">
        <v>42978</v>
      </c>
      <c r="W379" s="69" t="s">
        <v>176</v>
      </c>
      <c r="X379" s="69" t="s">
        <v>117</v>
      </c>
      <c r="Y379" s="126"/>
      <c r="Z379" s="30">
        <f t="shared" si="10"/>
        <v>7301.7101235631453</v>
      </c>
      <c r="AA379" s="30">
        <f t="shared" si="11"/>
        <v>0</v>
      </c>
      <c r="AB379" t="s">
        <v>456</v>
      </c>
    </row>
    <row r="380" spans="1:28">
      <c r="A380" s="67" t="s">
        <v>113</v>
      </c>
      <c r="B380" s="68">
        <v>1269268</v>
      </c>
      <c r="C380" s="69">
        <v>4615400271</v>
      </c>
      <c r="D380" s="70">
        <v>20700</v>
      </c>
      <c r="E380" s="67"/>
      <c r="F380" s="68">
        <v>16</v>
      </c>
      <c r="G380" s="68" t="s">
        <v>114</v>
      </c>
      <c r="H380" s="73">
        <v>0</v>
      </c>
      <c r="I380" s="68">
        <v>0</v>
      </c>
      <c r="J380" s="71"/>
      <c r="K380" s="71">
        <v>42836</v>
      </c>
      <c r="L380" s="69" t="s">
        <v>80</v>
      </c>
      <c r="M380" s="69" t="s">
        <v>109</v>
      </c>
      <c r="N380" s="72">
        <v>43005</v>
      </c>
      <c r="O380" s="67"/>
      <c r="P380" s="67" t="s">
        <v>95</v>
      </c>
      <c r="Q380" s="67" t="s">
        <v>110</v>
      </c>
      <c r="R380" s="69" t="s">
        <v>69</v>
      </c>
      <c r="S380" s="69" t="s">
        <v>115</v>
      </c>
      <c r="T380" s="67"/>
      <c r="U380" s="67"/>
      <c r="V380" s="72">
        <v>42947</v>
      </c>
      <c r="W380" s="69" t="s">
        <v>172</v>
      </c>
      <c r="X380" s="69" t="s">
        <v>173</v>
      </c>
      <c r="Y380" s="126"/>
      <c r="Z380" s="30">
        <f t="shared" si="10"/>
        <v>7301.7101235631453</v>
      </c>
      <c r="AA380" s="30">
        <f t="shared" si="11"/>
        <v>0</v>
      </c>
      <c r="AB380" t="s">
        <v>456</v>
      </c>
    </row>
    <row r="381" spans="1:28">
      <c r="A381" s="67" t="s">
        <v>68</v>
      </c>
      <c r="B381" s="68">
        <v>1257657</v>
      </c>
      <c r="C381" s="69">
        <v>4615413507</v>
      </c>
      <c r="D381" s="70">
        <v>19175</v>
      </c>
      <c r="E381" s="67"/>
      <c r="F381" s="68">
        <v>16</v>
      </c>
      <c r="G381" s="68">
        <v>5</v>
      </c>
      <c r="H381" s="75">
        <v>0</v>
      </c>
      <c r="I381" s="68">
        <v>0</v>
      </c>
      <c r="J381" s="71"/>
      <c r="K381" s="71">
        <v>42837</v>
      </c>
      <c r="L381" s="69" t="s">
        <v>80</v>
      </c>
      <c r="M381" s="69" t="s">
        <v>109</v>
      </c>
      <c r="N381" s="72">
        <v>43005</v>
      </c>
      <c r="O381" s="67"/>
      <c r="P381" s="67" t="s">
        <v>95</v>
      </c>
      <c r="Q381" s="67" t="s">
        <v>125</v>
      </c>
      <c r="R381" s="69" t="s">
        <v>69</v>
      </c>
      <c r="S381" s="69" t="s">
        <v>68</v>
      </c>
      <c r="T381" s="67"/>
      <c r="U381" s="67"/>
      <c r="V381" s="72">
        <v>42916</v>
      </c>
      <c r="W381" s="69">
        <v>5114735</v>
      </c>
      <c r="X381" s="69"/>
      <c r="Y381" s="126"/>
      <c r="Z381" s="30">
        <f t="shared" si="10"/>
        <v>6763.7822038320437</v>
      </c>
      <c r="AA381" s="30">
        <f t="shared" si="11"/>
        <v>2113.6819386975139</v>
      </c>
      <c r="AB381" t="s">
        <v>456</v>
      </c>
    </row>
    <row r="382" spans="1:28">
      <c r="A382" s="67" t="s">
        <v>68</v>
      </c>
      <c r="B382" s="68" t="s">
        <v>161</v>
      </c>
      <c r="C382" s="69" t="s">
        <v>161</v>
      </c>
      <c r="D382" s="70">
        <v>20544.980000000003</v>
      </c>
      <c r="E382" s="67"/>
      <c r="F382" s="68">
        <v>16</v>
      </c>
      <c r="G382" s="68" t="s">
        <v>114</v>
      </c>
      <c r="H382" s="68">
        <v>0</v>
      </c>
      <c r="I382" s="68">
        <v>0</v>
      </c>
      <c r="J382" s="71"/>
      <c r="K382" s="71">
        <v>42806</v>
      </c>
      <c r="L382" s="69" t="s">
        <v>80</v>
      </c>
      <c r="M382" s="69" t="s">
        <v>109</v>
      </c>
      <c r="N382" s="72">
        <v>43005</v>
      </c>
      <c r="O382" s="67"/>
      <c r="P382" s="67" t="s">
        <v>95</v>
      </c>
      <c r="Q382" s="67" t="s">
        <v>125</v>
      </c>
      <c r="R382" s="69" t="s">
        <v>69</v>
      </c>
      <c r="S382" s="69" t="s">
        <v>68</v>
      </c>
      <c r="T382" s="67"/>
      <c r="U382" s="67"/>
      <c r="V382" s="72">
        <v>42978</v>
      </c>
      <c r="W382" s="69">
        <v>5114724</v>
      </c>
      <c r="X382" s="69" t="s">
        <v>178</v>
      </c>
      <c r="Y382" s="126"/>
      <c r="Z382" s="30">
        <f t="shared" si="10"/>
        <v>7247.0284277489072</v>
      </c>
      <c r="AA382" s="30">
        <f t="shared" si="11"/>
        <v>0</v>
      </c>
      <c r="AB382" t="s">
        <v>456</v>
      </c>
    </row>
    <row r="383" spans="1:28">
      <c r="A383" s="67" t="s">
        <v>68</v>
      </c>
      <c r="B383" s="68" t="s">
        <v>161</v>
      </c>
      <c r="C383" s="69" t="s">
        <v>161</v>
      </c>
      <c r="D383" s="70">
        <v>20544.980000000003</v>
      </c>
      <c r="E383" s="67"/>
      <c r="F383" s="68">
        <v>16</v>
      </c>
      <c r="G383" s="68" t="s">
        <v>114</v>
      </c>
      <c r="H383" s="68">
        <v>0</v>
      </c>
      <c r="I383" s="68">
        <v>0</v>
      </c>
      <c r="J383" s="71"/>
      <c r="K383" s="71">
        <v>42853</v>
      </c>
      <c r="L383" s="69" t="s">
        <v>80</v>
      </c>
      <c r="M383" s="69" t="s">
        <v>109</v>
      </c>
      <c r="N383" s="72">
        <v>43004</v>
      </c>
      <c r="O383" s="67"/>
      <c r="P383" s="67" t="s">
        <v>95</v>
      </c>
      <c r="Q383" s="67" t="s">
        <v>125</v>
      </c>
      <c r="R383" s="69" t="s">
        <v>69</v>
      </c>
      <c r="S383" s="69" t="s">
        <v>68</v>
      </c>
      <c r="T383" s="67"/>
      <c r="U383" s="67"/>
      <c r="V383" s="72">
        <v>43008</v>
      </c>
      <c r="W383" s="69">
        <v>5114725</v>
      </c>
      <c r="X383" s="69" t="s">
        <v>179</v>
      </c>
      <c r="Y383" s="126"/>
      <c r="Z383" s="30">
        <f t="shared" si="10"/>
        <v>7247.0284277489072</v>
      </c>
      <c r="AA383" s="30">
        <f t="shared" si="11"/>
        <v>0</v>
      </c>
      <c r="AB383" t="s">
        <v>456</v>
      </c>
    </row>
    <row r="384" spans="1:28">
      <c r="A384" s="67" t="s">
        <v>68</v>
      </c>
      <c r="B384" s="68" t="s">
        <v>161</v>
      </c>
      <c r="C384" s="69" t="s">
        <v>161</v>
      </c>
      <c r="D384" s="70">
        <v>20544.980000000003</v>
      </c>
      <c r="E384" s="67"/>
      <c r="F384" s="68">
        <v>16</v>
      </c>
      <c r="G384" s="68" t="s">
        <v>114</v>
      </c>
      <c r="H384" s="68">
        <v>0</v>
      </c>
      <c r="I384" s="68">
        <v>0</v>
      </c>
      <c r="J384" s="71"/>
      <c r="K384" s="71">
        <v>42854</v>
      </c>
      <c r="L384" s="69" t="s">
        <v>80</v>
      </c>
      <c r="M384" s="69" t="s">
        <v>109</v>
      </c>
      <c r="N384" s="72">
        <v>43004</v>
      </c>
      <c r="O384" s="67"/>
      <c r="P384" s="67" t="s">
        <v>95</v>
      </c>
      <c r="Q384" s="67" t="s">
        <v>125</v>
      </c>
      <c r="R384" s="69" t="s">
        <v>69</v>
      </c>
      <c r="S384" s="69" t="s">
        <v>68</v>
      </c>
      <c r="T384" s="67"/>
      <c r="U384" s="67"/>
      <c r="V384" s="72">
        <v>43008</v>
      </c>
      <c r="W384" s="69">
        <v>5114725</v>
      </c>
      <c r="X384" s="69" t="s">
        <v>179</v>
      </c>
      <c r="Y384" s="126"/>
      <c r="Z384" s="30">
        <f t="shared" si="10"/>
        <v>7247.0284277489072</v>
      </c>
      <c r="AA384" s="30">
        <f t="shared" si="11"/>
        <v>0</v>
      </c>
      <c r="AB384" t="s">
        <v>456</v>
      </c>
    </row>
    <row r="385" spans="1:28">
      <c r="A385" s="67" t="s">
        <v>68</v>
      </c>
      <c r="B385" s="68" t="s">
        <v>161</v>
      </c>
      <c r="C385" s="69" t="s">
        <v>161</v>
      </c>
      <c r="D385" s="70">
        <v>20544.980000000003</v>
      </c>
      <c r="E385" s="67"/>
      <c r="F385" s="68">
        <v>16</v>
      </c>
      <c r="G385" s="68" t="s">
        <v>114</v>
      </c>
      <c r="H385" s="68">
        <v>0</v>
      </c>
      <c r="I385" s="68">
        <v>0</v>
      </c>
      <c r="J385" s="71"/>
      <c r="K385" s="71">
        <v>42865</v>
      </c>
      <c r="L385" s="69" t="s">
        <v>80</v>
      </c>
      <c r="M385" s="69" t="s">
        <v>109</v>
      </c>
      <c r="N385" s="72">
        <v>43004</v>
      </c>
      <c r="O385" s="67"/>
      <c r="P385" s="67" t="s">
        <v>95</v>
      </c>
      <c r="Q385" s="67" t="s">
        <v>125</v>
      </c>
      <c r="R385" s="69" t="s">
        <v>69</v>
      </c>
      <c r="S385" s="69" t="s">
        <v>68</v>
      </c>
      <c r="T385" s="67"/>
      <c r="U385" s="67"/>
      <c r="V385" s="72">
        <v>43008</v>
      </c>
      <c r="W385" s="69">
        <v>5114725</v>
      </c>
      <c r="X385" s="69" t="s">
        <v>179</v>
      </c>
      <c r="Y385" s="126"/>
      <c r="Z385" s="30">
        <f t="shared" si="10"/>
        <v>7247.0284277489072</v>
      </c>
      <c r="AA385" s="30">
        <f t="shared" si="11"/>
        <v>0</v>
      </c>
      <c r="AB385" t="s">
        <v>456</v>
      </c>
    </row>
    <row r="386" spans="1:28">
      <c r="A386" s="67" t="s">
        <v>68</v>
      </c>
      <c r="B386" s="68" t="s">
        <v>161</v>
      </c>
      <c r="C386" s="69" t="s">
        <v>161</v>
      </c>
      <c r="D386" s="70">
        <v>20544.980000000003</v>
      </c>
      <c r="E386" s="67"/>
      <c r="F386" s="68">
        <v>16</v>
      </c>
      <c r="G386" s="68" t="s">
        <v>114</v>
      </c>
      <c r="H386" s="68">
        <v>0</v>
      </c>
      <c r="I386" s="68">
        <v>0</v>
      </c>
      <c r="J386" s="71"/>
      <c r="K386" s="71">
        <v>42822</v>
      </c>
      <c r="L386" s="69" t="s">
        <v>80</v>
      </c>
      <c r="M386" s="69" t="s">
        <v>109</v>
      </c>
      <c r="N386" s="72">
        <v>43004</v>
      </c>
      <c r="O386" s="67"/>
      <c r="P386" s="67" t="s">
        <v>95</v>
      </c>
      <c r="Q386" s="67" t="s">
        <v>125</v>
      </c>
      <c r="R386" s="69" t="s">
        <v>69</v>
      </c>
      <c r="S386" s="69" t="s">
        <v>68</v>
      </c>
      <c r="T386" s="67"/>
      <c r="U386" s="67"/>
      <c r="V386" s="72">
        <v>43008</v>
      </c>
      <c r="W386" s="69">
        <v>5114725</v>
      </c>
      <c r="X386" s="69" t="s">
        <v>179</v>
      </c>
      <c r="Y386" s="126"/>
      <c r="Z386" s="30">
        <f t="shared" si="10"/>
        <v>7247.0284277489072</v>
      </c>
      <c r="AA386" s="30">
        <f t="shared" si="11"/>
        <v>0</v>
      </c>
      <c r="AB386" t="s">
        <v>456</v>
      </c>
    </row>
    <row r="387" spans="1:28">
      <c r="A387" s="67" t="s">
        <v>68</v>
      </c>
      <c r="B387" s="68" t="s">
        <v>161</v>
      </c>
      <c r="C387" s="69" t="s">
        <v>161</v>
      </c>
      <c r="D387" s="70">
        <v>20544.980000000003</v>
      </c>
      <c r="E387" s="67"/>
      <c r="F387" s="68">
        <v>16</v>
      </c>
      <c r="G387" s="68" t="s">
        <v>114</v>
      </c>
      <c r="H387" s="68">
        <v>0</v>
      </c>
      <c r="I387" s="68">
        <v>0</v>
      </c>
      <c r="J387" s="71"/>
      <c r="K387" s="71">
        <v>42841</v>
      </c>
      <c r="L387" s="69" t="s">
        <v>80</v>
      </c>
      <c r="M387" s="69" t="s">
        <v>109</v>
      </c>
      <c r="N387" s="72">
        <v>43004</v>
      </c>
      <c r="O387" s="67"/>
      <c r="P387" s="67" t="s">
        <v>95</v>
      </c>
      <c r="Q387" s="67" t="s">
        <v>125</v>
      </c>
      <c r="R387" s="69" t="s">
        <v>69</v>
      </c>
      <c r="S387" s="69" t="s">
        <v>68</v>
      </c>
      <c r="T387" s="67"/>
      <c r="U387" s="67"/>
      <c r="V387" s="72">
        <v>43008</v>
      </c>
      <c r="W387" s="69">
        <v>5114725</v>
      </c>
      <c r="X387" s="69" t="s">
        <v>179</v>
      </c>
      <c r="Y387" s="126"/>
      <c r="Z387" s="30">
        <f t="shared" ref="Z387:Z450" si="12">CONVERT(D387,"kg","lbm")*F387/100</f>
        <v>7247.0284277489072</v>
      </c>
      <c r="AA387" s="30">
        <f t="shared" ref="AA387:AA450" si="13">CONVERT(D387,"kg","lbm")*G387/100</f>
        <v>0</v>
      </c>
      <c r="AB387" t="s">
        <v>456</v>
      </c>
    </row>
    <row r="388" spans="1:28">
      <c r="A388" s="67" t="s">
        <v>68</v>
      </c>
      <c r="B388" s="68" t="s">
        <v>161</v>
      </c>
      <c r="C388" s="69" t="s">
        <v>161</v>
      </c>
      <c r="D388" s="70">
        <v>20544.980000000003</v>
      </c>
      <c r="E388" s="67"/>
      <c r="F388" s="68">
        <v>16</v>
      </c>
      <c r="G388" s="68" t="s">
        <v>114</v>
      </c>
      <c r="H388" s="68">
        <v>0</v>
      </c>
      <c r="I388" s="68">
        <v>0</v>
      </c>
      <c r="J388" s="71"/>
      <c r="K388" s="71">
        <v>42857</v>
      </c>
      <c r="L388" s="69" t="s">
        <v>80</v>
      </c>
      <c r="M388" s="69" t="s">
        <v>109</v>
      </c>
      <c r="N388" s="72">
        <v>43004</v>
      </c>
      <c r="O388" s="67"/>
      <c r="P388" s="67" t="s">
        <v>95</v>
      </c>
      <c r="Q388" s="67" t="s">
        <v>125</v>
      </c>
      <c r="R388" s="69" t="s">
        <v>69</v>
      </c>
      <c r="S388" s="69" t="s">
        <v>68</v>
      </c>
      <c r="T388" s="67"/>
      <c r="U388" s="67"/>
      <c r="V388" s="72">
        <v>43008</v>
      </c>
      <c r="W388" s="69">
        <v>5114725</v>
      </c>
      <c r="X388" s="69" t="s">
        <v>179</v>
      </c>
      <c r="Y388" s="126"/>
      <c r="Z388" s="30">
        <f t="shared" si="12"/>
        <v>7247.0284277489072</v>
      </c>
      <c r="AA388" s="30">
        <f t="shared" si="13"/>
        <v>0</v>
      </c>
      <c r="AB388" t="s">
        <v>456</v>
      </c>
    </row>
    <row r="389" spans="1:28">
      <c r="A389" s="67" t="s">
        <v>68</v>
      </c>
      <c r="B389" s="68" t="s">
        <v>161</v>
      </c>
      <c r="C389" s="69" t="s">
        <v>161</v>
      </c>
      <c r="D389" s="70">
        <v>20544.980000000003</v>
      </c>
      <c r="E389" s="67"/>
      <c r="F389" s="68">
        <v>16</v>
      </c>
      <c r="G389" s="68" t="s">
        <v>114</v>
      </c>
      <c r="H389" s="68">
        <v>0</v>
      </c>
      <c r="I389" s="68">
        <v>0</v>
      </c>
      <c r="J389" s="71"/>
      <c r="K389" s="71">
        <v>42857</v>
      </c>
      <c r="L389" s="69" t="s">
        <v>80</v>
      </c>
      <c r="M389" s="69" t="s">
        <v>109</v>
      </c>
      <c r="N389" s="72">
        <v>43004</v>
      </c>
      <c r="O389" s="67"/>
      <c r="P389" s="67" t="s">
        <v>95</v>
      </c>
      <c r="Q389" s="67" t="s">
        <v>125</v>
      </c>
      <c r="R389" s="69" t="s">
        <v>69</v>
      </c>
      <c r="S389" s="69" t="s">
        <v>68</v>
      </c>
      <c r="T389" s="67"/>
      <c r="U389" s="67"/>
      <c r="V389" s="72">
        <v>43008</v>
      </c>
      <c r="W389" s="69">
        <v>5114725</v>
      </c>
      <c r="X389" s="69" t="s">
        <v>179</v>
      </c>
      <c r="Y389" s="126"/>
      <c r="Z389" s="30">
        <f t="shared" si="12"/>
        <v>7247.0284277489072</v>
      </c>
      <c r="AA389" s="30">
        <f t="shared" si="13"/>
        <v>0</v>
      </c>
      <c r="AB389" t="s">
        <v>456</v>
      </c>
    </row>
    <row r="390" spans="1:28">
      <c r="A390" s="67" t="s">
        <v>68</v>
      </c>
      <c r="B390" s="68" t="s">
        <v>161</v>
      </c>
      <c r="C390" s="69" t="s">
        <v>161</v>
      </c>
      <c r="D390" s="70">
        <v>20544.980000000003</v>
      </c>
      <c r="E390" s="67"/>
      <c r="F390" s="68">
        <v>16</v>
      </c>
      <c r="G390" s="68" t="s">
        <v>114</v>
      </c>
      <c r="H390" s="68">
        <v>0</v>
      </c>
      <c r="I390" s="68">
        <v>0</v>
      </c>
      <c r="J390" s="71"/>
      <c r="K390" s="71">
        <v>42870</v>
      </c>
      <c r="L390" s="69" t="s">
        <v>80</v>
      </c>
      <c r="M390" s="69" t="s">
        <v>109</v>
      </c>
      <c r="N390" s="72">
        <v>43004</v>
      </c>
      <c r="O390" s="67"/>
      <c r="P390" s="67" t="s">
        <v>95</v>
      </c>
      <c r="Q390" s="67" t="s">
        <v>125</v>
      </c>
      <c r="R390" s="69" t="s">
        <v>69</v>
      </c>
      <c r="S390" s="69" t="s">
        <v>68</v>
      </c>
      <c r="T390" s="67"/>
      <c r="U390" s="67"/>
      <c r="V390" s="72">
        <v>43008</v>
      </c>
      <c r="W390" s="69">
        <v>5114725</v>
      </c>
      <c r="X390" s="69" t="s">
        <v>179</v>
      </c>
      <c r="Y390" s="126"/>
      <c r="Z390" s="30">
        <f t="shared" si="12"/>
        <v>7247.0284277489072</v>
      </c>
      <c r="AA390" s="30">
        <f t="shared" si="13"/>
        <v>0</v>
      </c>
      <c r="AB390" t="s">
        <v>456</v>
      </c>
    </row>
    <row r="391" spans="1:28">
      <c r="A391" s="67" t="s">
        <v>68</v>
      </c>
      <c r="B391" s="68" t="s">
        <v>161</v>
      </c>
      <c r="C391" s="69" t="s">
        <v>161</v>
      </c>
      <c r="D391" s="70">
        <v>20544.980000000003</v>
      </c>
      <c r="E391" s="67"/>
      <c r="F391" s="68">
        <v>16</v>
      </c>
      <c r="G391" s="68" t="s">
        <v>114</v>
      </c>
      <c r="H391" s="68">
        <v>0</v>
      </c>
      <c r="I391" s="68">
        <v>0</v>
      </c>
      <c r="J391" s="71"/>
      <c r="K391" s="71">
        <v>42864</v>
      </c>
      <c r="L391" s="69" t="s">
        <v>80</v>
      </c>
      <c r="M391" s="69" t="s">
        <v>109</v>
      </c>
      <c r="N391" s="72">
        <v>43004</v>
      </c>
      <c r="O391" s="67"/>
      <c r="P391" s="67" t="s">
        <v>95</v>
      </c>
      <c r="Q391" s="67" t="s">
        <v>125</v>
      </c>
      <c r="R391" s="69" t="s">
        <v>69</v>
      </c>
      <c r="S391" s="69" t="s">
        <v>68</v>
      </c>
      <c r="T391" s="67"/>
      <c r="U391" s="67"/>
      <c r="V391" s="72">
        <v>43008</v>
      </c>
      <c r="W391" s="69">
        <v>5114725</v>
      </c>
      <c r="X391" s="69" t="s">
        <v>179</v>
      </c>
      <c r="Y391" s="126"/>
      <c r="Z391" s="30">
        <f t="shared" si="12"/>
        <v>7247.0284277489072</v>
      </c>
      <c r="AA391" s="30">
        <f t="shared" si="13"/>
        <v>0</v>
      </c>
      <c r="AB391" t="s">
        <v>456</v>
      </c>
    </row>
    <row r="392" spans="1:28">
      <c r="A392" s="67" t="s">
        <v>68</v>
      </c>
      <c r="B392" s="68" t="s">
        <v>161</v>
      </c>
      <c r="C392" s="69" t="s">
        <v>161</v>
      </c>
      <c r="D392" s="70">
        <v>20544.980000000003</v>
      </c>
      <c r="E392" s="67"/>
      <c r="F392" s="68">
        <v>16</v>
      </c>
      <c r="G392" s="68" t="s">
        <v>114</v>
      </c>
      <c r="H392" s="68">
        <v>0</v>
      </c>
      <c r="I392" s="68">
        <v>0</v>
      </c>
      <c r="J392" s="71"/>
      <c r="K392" s="71">
        <v>42864</v>
      </c>
      <c r="L392" s="69" t="s">
        <v>80</v>
      </c>
      <c r="M392" s="69" t="s">
        <v>109</v>
      </c>
      <c r="N392" s="72">
        <v>43004</v>
      </c>
      <c r="O392" s="67"/>
      <c r="P392" s="67" t="s">
        <v>95</v>
      </c>
      <c r="Q392" s="67" t="s">
        <v>125</v>
      </c>
      <c r="R392" s="69" t="s">
        <v>69</v>
      </c>
      <c r="S392" s="69" t="s">
        <v>68</v>
      </c>
      <c r="T392" s="67"/>
      <c r="U392" s="67"/>
      <c r="V392" s="72">
        <v>43008</v>
      </c>
      <c r="W392" s="69">
        <v>5114725</v>
      </c>
      <c r="X392" s="69" t="s">
        <v>179</v>
      </c>
      <c r="Y392" s="126"/>
      <c r="Z392" s="30">
        <f t="shared" si="12"/>
        <v>7247.0284277489072</v>
      </c>
      <c r="AA392" s="30">
        <f t="shared" si="13"/>
        <v>0</v>
      </c>
      <c r="AB392" t="s">
        <v>456</v>
      </c>
    </row>
    <row r="393" spans="1:28">
      <c r="A393" s="67" t="s">
        <v>68</v>
      </c>
      <c r="B393" s="68" t="s">
        <v>161</v>
      </c>
      <c r="C393" s="69" t="s">
        <v>161</v>
      </c>
      <c r="D393" s="70">
        <v>20544.980000000003</v>
      </c>
      <c r="E393" s="67"/>
      <c r="F393" s="68">
        <v>16</v>
      </c>
      <c r="G393" s="68" t="s">
        <v>114</v>
      </c>
      <c r="H393" s="68">
        <v>0</v>
      </c>
      <c r="I393" s="68">
        <v>0</v>
      </c>
      <c r="J393" s="71"/>
      <c r="K393" s="71">
        <v>42878</v>
      </c>
      <c r="L393" s="69" t="s">
        <v>80</v>
      </c>
      <c r="M393" s="69" t="s">
        <v>109</v>
      </c>
      <c r="N393" s="72">
        <v>43004</v>
      </c>
      <c r="O393" s="67"/>
      <c r="P393" s="67" t="s">
        <v>95</v>
      </c>
      <c r="Q393" s="67" t="s">
        <v>125</v>
      </c>
      <c r="R393" s="69" t="s">
        <v>69</v>
      </c>
      <c r="S393" s="69" t="s">
        <v>68</v>
      </c>
      <c r="T393" s="67"/>
      <c r="U393" s="67"/>
      <c r="V393" s="72">
        <v>43008</v>
      </c>
      <c r="W393" s="69">
        <v>5114725</v>
      </c>
      <c r="X393" s="69" t="s">
        <v>179</v>
      </c>
      <c r="Y393" s="126"/>
      <c r="Z393" s="30">
        <f t="shared" si="12"/>
        <v>7247.0284277489072</v>
      </c>
      <c r="AA393" s="30">
        <f t="shared" si="13"/>
        <v>0</v>
      </c>
      <c r="AB393" t="s">
        <v>456</v>
      </c>
    </row>
    <row r="394" spans="1:28">
      <c r="A394" s="67" t="s">
        <v>68</v>
      </c>
      <c r="B394" s="68" t="s">
        <v>161</v>
      </c>
      <c r="C394" s="69" t="s">
        <v>161</v>
      </c>
      <c r="D394" s="70">
        <v>20544.980000000003</v>
      </c>
      <c r="E394" s="67"/>
      <c r="F394" s="68">
        <v>16</v>
      </c>
      <c r="G394" s="68" t="s">
        <v>114</v>
      </c>
      <c r="H394" s="68">
        <v>0</v>
      </c>
      <c r="I394" s="68">
        <v>0</v>
      </c>
      <c r="J394" s="71"/>
      <c r="K394" s="71">
        <v>42815</v>
      </c>
      <c r="L394" s="69" t="s">
        <v>80</v>
      </c>
      <c r="M394" s="69" t="s">
        <v>109</v>
      </c>
      <c r="N394" s="72">
        <v>43004</v>
      </c>
      <c r="O394" s="67"/>
      <c r="P394" s="67" t="s">
        <v>95</v>
      </c>
      <c r="Q394" s="67" t="s">
        <v>125</v>
      </c>
      <c r="R394" s="69" t="s">
        <v>69</v>
      </c>
      <c r="S394" s="69" t="s">
        <v>68</v>
      </c>
      <c r="T394" s="67"/>
      <c r="U394" s="67"/>
      <c r="V394" s="72">
        <v>43008</v>
      </c>
      <c r="W394" s="69">
        <v>5114725</v>
      </c>
      <c r="X394" s="69" t="s">
        <v>179</v>
      </c>
      <c r="Y394" s="126"/>
      <c r="Z394" s="30">
        <f t="shared" si="12"/>
        <v>7247.0284277489072</v>
      </c>
      <c r="AA394" s="30">
        <f t="shared" si="13"/>
        <v>0</v>
      </c>
      <c r="AB394" t="s">
        <v>456</v>
      </c>
    </row>
    <row r="395" spans="1:28">
      <c r="A395" s="67" t="s">
        <v>68</v>
      </c>
      <c r="B395" s="68" t="s">
        <v>161</v>
      </c>
      <c r="C395" s="69" t="s">
        <v>161</v>
      </c>
      <c r="D395" s="70">
        <v>20544.980000000003</v>
      </c>
      <c r="E395" s="67"/>
      <c r="F395" s="68">
        <v>16</v>
      </c>
      <c r="G395" s="68" t="s">
        <v>114</v>
      </c>
      <c r="H395" s="68">
        <v>0</v>
      </c>
      <c r="I395" s="68">
        <v>0</v>
      </c>
      <c r="J395" s="71"/>
      <c r="K395" s="71">
        <v>42815</v>
      </c>
      <c r="L395" s="69" t="s">
        <v>80</v>
      </c>
      <c r="M395" s="69" t="s">
        <v>109</v>
      </c>
      <c r="N395" s="72">
        <v>43004</v>
      </c>
      <c r="O395" s="67"/>
      <c r="P395" s="67" t="s">
        <v>95</v>
      </c>
      <c r="Q395" s="67" t="s">
        <v>125</v>
      </c>
      <c r="R395" s="69" t="s">
        <v>69</v>
      </c>
      <c r="S395" s="69" t="s">
        <v>68</v>
      </c>
      <c r="T395" s="67"/>
      <c r="U395" s="67"/>
      <c r="V395" s="72">
        <v>43008</v>
      </c>
      <c r="W395" s="69">
        <v>5114725</v>
      </c>
      <c r="X395" s="69" t="s">
        <v>179</v>
      </c>
      <c r="Y395" s="126"/>
      <c r="Z395" s="30">
        <f t="shared" si="12"/>
        <v>7247.0284277489072</v>
      </c>
      <c r="AA395" s="30">
        <f t="shared" si="13"/>
        <v>0</v>
      </c>
      <c r="AB395" t="s">
        <v>456</v>
      </c>
    </row>
    <row r="396" spans="1:28">
      <c r="A396" s="67" t="s">
        <v>68</v>
      </c>
      <c r="B396" s="68" t="s">
        <v>161</v>
      </c>
      <c r="C396" s="69" t="s">
        <v>161</v>
      </c>
      <c r="D396" s="70">
        <v>20544.980000000003</v>
      </c>
      <c r="E396" s="67"/>
      <c r="F396" s="68">
        <v>16</v>
      </c>
      <c r="G396" s="68" t="s">
        <v>114</v>
      </c>
      <c r="H396" s="68">
        <v>0</v>
      </c>
      <c r="I396" s="68">
        <v>0</v>
      </c>
      <c r="J396" s="71"/>
      <c r="K396" s="71">
        <v>42836</v>
      </c>
      <c r="L396" s="69" t="s">
        <v>80</v>
      </c>
      <c r="M396" s="69" t="s">
        <v>109</v>
      </c>
      <c r="N396" s="72">
        <v>43004</v>
      </c>
      <c r="O396" s="67"/>
      <c r="P396" s="67" t="s">
        <v>95</v>
      </c>
      <c r="Q396" s="67" t="s">
        <v>125</v>
      </c>
      <c r="R396" s="69" t="s">
        <v>69</v>
      </c>
      <c r="S396" s="69" t="s">
        <v>68</v>
      </c>
      <c r="T396" s="67"/>
      <c r="U396" s="67"/>
      <c r="V396" s="72">
        <v>43008</v>
      </c>
      <c r="W396" s="69">
        <v>5114725</v>
      </c>
      <c r="X396" s="69" t="s">
        <v>179</v>
      </c>
      <c r="Y396" s="126"/>
      <c r="Z396" s="30">
        <f t="shared" si="12"/>
        <v>7247.0284277489072</v>
      </c>
      <c r="AA396" s="30">
        <f t="shared" si="13"/>
        <v>0</v>
      </c>
      <c r="AB396" t="s">
        <v>456</v>
      </c>
    </row>
    <row r="397" spans="1:28">
      <c r="A397" s="67" t="s">
        <v>131</v>
      </c>
      <c r="B397" s="68">
        <v>1259278</v>
      </c>
      <c r="C397" s="69">
        <v>4615424427</v>
      </c>
      <c r="D397" s="70">
        <v>19200</v>
      </c>
      <c r="E397" s="67"/>
      <c r="F397" s="68">
        <v>154.32</v>
      </c>
      <c r="G397" s="68" t="s">
        <v>114</v>
      </c>
      <c r="H397" s="73">
        <v>0</v>
      </c>
      <c r="I397" s="68">
        <v>0</v>
      </c>
      <c r="J397" s="71"/>
      <c r="K397" s="71">
        <v>42815</v>
      </c>
      <c r="L397" s="69" t="s">
        <v>80</v>
      </c>
      <c r="M397" s="69" t="s">
        <v>109</v>
      </c>
      <c r="N397" s="72">
        <v>43004</v>
      </c>
      <c r="O397" s="67"/>
      <c r="P397" s="67" t="s">
        <v>95</v>
      </c>
      <c r="Q397" s="67" t="s">
        <v>125</v>
      </c>
      <c r="R397" s="69" t="s">
        <v>69</v>
      </c>
      <c r="S397" s="69" t="s">
        <v>134</v>
      </c>
      <c r="T397" s="67"/>
      <c r="U397" s="67"/>
      <c r="V397" s="72">
        <v>42947</v>
      </c>
      <c r="W397" s="69" t="s">
        <v>180</v>
      </c>
      <c r="X397" s="69"/>
      <c r="Y397" s="126"/>
      <c r="Z397" s="30">
        <f t="shared" si="12"/>
        <v>65321.73369671098</v>
      </c>
      <c r="AA397" s="30">
        <f t="shared" si="13"/>
        <v>0</v>
      </c>
      <c r="AB397" t="s">
        <v>456</v>
      </c>
    </row>
    <row r="398" spans="1:28">
      <c r="A398" s="67" t="s">
        <v>136</v>
      </c>
      <c r="B398" s="68">
        <v>1259977</v>
      </c>
      <c r="C398" s="69">
        <v>4615380561</v>
      </c>
      <c r="D398" s="70">
        <v>19200</v>
      </c>
      <c r="E398" s="67"/>
      <c r="F398" s="73">
        <v>10</v>
      </c>
      <c r="G398" s="73" t="s">
        <v>114</v>
      </c>
      <c r="H398" s="73">
        <v>0</v>
      </c>
      <c r="I398" s="68">
        <v>0</v>
      </c>
      <c r="J398" s="71"/>
      <c r="K398" s="71">
        <v>42822</v>
      </c>
      <c r="L398" s="69" t="s">
        <v>80</v>
      </c>
      <c r="M398" s="69" t="s">
        <v>109</v>
      </c>
      <c r="N398" s="72">
        <v>43004</v>
      </c>
      <c r="O398" s="67"/>
      <c r="P398" s="67" t="s">
        <v>95</v>
      </c>
      <c r="Q398" s="67" t="s">
        <v>129</v>
      </c>
      <c r="R398" s="69" t="s">
        <v>69</v>
      </c>
      <c r="S398" s="69" t="s">
        <v>138</v>
      </c>
      <c r="T398" s="67"/>
      <c r="U398" s="67"/>
      <c r="V398" s="72">
        <v>42978</v>
      </c>
      <c r="W398" s="69">
        <v>415570033</v>
      </c>
      <c r="X398" s="69"/>
      <c r="Y398" s="126"/>
      <c r="Z398" s="30">
        <f t="shared" si="12"/>
        <v>4232.8754339496491</v>
      </c>
      <c r="AA398" s="30">
        <f t="shared" si="13"/>
        <v>0</v>
      </c>
      <c r="AB398" t="s">
        <v>456</v>
      </c>
    </row>
    <row r="399" spans="1:28">
      <c r="A399" s="67" t="s">
        <v>113</v>
      </c>
      <c r="B399" s="68">
        <v>1274495</v>
      </c>
      <c r="C399" s="69">
        <v>4615478093</v>
      </c>
      <c r="D399" s="70">
        <v>20700</v>
      </c>
      <c r="E399" s="67"/>
      <c r="F399" s="68">
        <v>16</v>
      </c>
      <c r="G399" s="68">
        <v>0</v>
      </c>
      <c r="H399" s="73">
        <v>0</v>
      </c>
      <c r="I399" s="68">
        <v>0</v>
      </c>
      <c r="J399" s="71">
        <v>42954</v>
      </c>
      <c r="K399" s="71">
        <v>42822</v>
      </c>
      <c r="L399" s="69" t="s">
        <v>132</v>
      </c>
      <c r="M399" s="69" t="s">
        <v>109</v>
      </c>
      <c r="N399" s="72">
        <v>43004</v>
      </c>
      <c r="O399" s="67"/>
      <c r="P399" s="67" t="s">
        <v>95</v>
      </c>
      <c r="Q399" s="67" t="s">
        <v>110</v>
      </c>
      <c r="R399" s="69" t="s">
        <v>69</v>
      </c>
      <c r="S399" s="69" t="s">
        <v>115</v>
      </c>
      <c r="T399" s="67"/>
      <c r="U399" s="67"/>
      <c r="V399" s="72">
        <v>42978</v>
      </c>
      <c r="W399" s="69" t="s">
        <v>176</v>
      </c>
      <c r="X399" s="69" t="s">
        <v>117</v>
      </c>
      <c r="Y399" s="126"/>
      <c r="Z399" s="30">
        <f t="shared" si="12"/>
        <v>7301.7101235631453</v>
      </c>
      <c r="AA399" s="30">
        <f t="shared" si="13"/>
        <v>0</v>
      </c>
      <c r="AB399" t="s">
        <v>456</v>
      </c>
    </row>
    <row r="400" spans="1:28">
      <c r="A400" s="67" t="s">
        <v>113</v>
      </c>
      <c r="B400" s="68">
        <v>1269272</v>
      </c>
      <c r="C400" s="69">
        <v>4615400271</v>
      </c>
      <c r="D400" s="70">
        <v>20700</v>
      </c>
      <c r="E400" s="67"/>
      <c r="F400" s="68">
        <v>16</v>
      </c>
      <c r="G400" s="68" t="s">
        <v>114</v>
      </c>
      <c r="H400" s="73">
        <v>0</v>
      </c>
      <c r="I400" s="68">
        <v>0</v>
      </c>
      <c r="J400" s="71"/>
      <c r="K400" s="71">
        <v>42801</v>
      </c>
      <c r="L400" s="69" t="s">
        <v>80</v>
      </c>
      <c r="M400" s="69" t="s">
        <v>109</v>
      </c>
      <c r="N400" s="72">
        <v>43004</v>
      </c>
      <c r="O400" s="67"/>
      <c r="P400" s="67" t="s">
        <v>95</v>
      </c>
      <c r="Q400" s="67" t="s">
        <v>110</v>
      </c>
      <c r="R400" s="69" t="s">
        <v>69</v>
      </c>
      <c r="S400" s="69" t="s">
        <v>115</v>
      </c>
      <c r="T400" s="67"/>
      <c r="U400" s="67"/>
      <c r="V400" s="72">
        <v>42947</v>
      </c>
      <c r="W400" s="69" t="s">
        <v>172</v>
      </c>
      <c r="X400" s="69" t="s">
        <v>173</v>
      </c>
      <c r="Y400" s="126"/>
      <c r="Z400" s="30">
        <f t="shared" si="12"/>
        <v>7301.7101235631453</v>
      </c>
      <c r="AA400" s="30">
        <f t="shared" si="13"/>
        <v>0</v>
      </c>
      <c r="AB400" t="s">
        <v>456</v>
      </c>
    </row>
    <row r="401" spans="1:28">
      <c r="A401" s="67" t="s">
        <v>68</v>
      </c>
      <c r="B401" s="68">
        <v>1257658</v>
      </c>
      <c r="C401" s="69">
        <v>4615413507</v>
      </c>
      <c r="D401" s="70">
        <v>19175</v>
      </c>
      <c r="E401" s="67"/>
      <c r="F401" s="68">
        <v>16</v>
      </c>
      <c r="G401" s="68">
        <v>5</v>
      </c>
      <c r="H401" s="75">
        <v>0</v>
      </c>
      <c r="I401" s="68">
        <v>0</v>
      </c>
      <c r="J401" s="71"/>
      <c r="K401" s="71">
        <v>42857</v>
      </c>
      <c r="L401" s="69" t="s">
        <v>80</v>
      </c>
      <c r="M401" s="69" t="s">
        <v>109</v>
      </c>
      <c r="N401" s="72">
        <v>43004</v>
      </c>
      <c r="O401" s="67"/>
      <c r="P401" s="67" t="s">
        <v>95</v>
      </c>
      <c r="Q401" s="67" t="s">
        <v>125</v>
      </c>
      <c r="R401" s="69" t="s">
        <v>69</v>
      </c>
      <c r="S401" s="69" t="s">
        <v>68</v>
      </c>
      <c r="T401" s="67"/>
      <c r="U401" s="67"/>
      <c r="V401" s="72">
        <v>42916</v>
      </c>
      <c r="W401" s="69">
        <v>5114735</v>
      </c>
      <c r="X401" s="69"/>
      <c r="Y401" s="126"/>
      <c r="Z401" s="30">
        <f t="shared" si="12"/>
        <v>6763.7822038320437</v>
      </c>
      <c r="AA401" s="30">
        <f t="shared" si="13"/>
        <v>2113.6819386975139</v>
      </c>
      <c r="AB401" t="s">
        <v>456</v>
      </c>
    </row>
    <row r="402" spans="1:28">
      <c r="A402" s="67" t="s">
        <v>122</v>
      </c>
      <c r="B402" s="68">
        <v>1256781</v>
      </c>
      <c r="C402" s="69">
        <v>4615414794</v>
      </c>
      <c r="D402" s="70">
        <v>19200</v>
      </c>
      <c r="E402" s="67"/>
      <c r="F402" s="68">
        <v>16</v>
      </c>
      <c r="G402" s="68">
        <v>5</v>
      </c>
      <c r="H402" s="73">
        <v>0</v>
      </c>
      <c r="I402" s="68">
        <v>0</v>
      </c>
      <c r="J402" s="71"/>
      <c r="K402" s="71">
        <v>42870</v>
      </c>
      <c r="L402" s="69" t="s">
        <v>80</v>
      </c>
      <c r="M402" s="69" t="s">
        <v>109</v>
      </c>
      <c r="N402" s="72">
        <v>43004</v>
      </c>
      <c r="O402" s="67"/>
      <c r="P402" s="67" t="s">
        <v>95</v>
      </c>
      <c r="Q402" s="67" t="s">
        <v>120</v>
      </c>
      <c r="R402" s="69" t="s">
        <v>69</v>
      </c>
      <c r="S402" s="69" t="s">
        <v>123</v>
      </c>
      <c r="T402" s="67"/>
      <c r="U402" s="67"/>
      <c r="V402" s="72">
        <v>42947</v>
      </c>
      <c r="W402" s="69">
        <v>2025784</v>
      </c>
      <c r="X402" s="69"/>
      <c r="Y402" s="126"/>
      <c r="Z402" s="30">
        <f t="shared" si="12"/>
        <v>6772.6006943194379</v>
      </c>
      <c r="AA402" s="30">
        <f t="shared" si="13"/>
        <v>2116.4377169748245</v>
      </c>
      <c r="AB402" t="s">
        <v>456</v>
      </c>
    </row>
    <row r="403" spans="1:28">
      <c r="A403" s="67" t="s">
        <v>113</v>
      </c>
      <c r="B403" s="68">
        <v>1269263</v>
      </c>
      <c r="C403" s="69">
        <v>4615400271</v>
      </c>
      <c r="D403" s="70">
        <v>20700</v>
      </c>
      <c r="E403" s="67"/>
      <c r="F403" s="68">
        <v>16</v>
      </c>
      <c r="G403" s="68" t="s">
        <v>114</v>
      </c>
      <c r="H403" s="73">
        <v>0</v>
      </c>
      <c r="I403" s="68">
        <v>0</v>
      </c>
      <c r="J403" s="71"/>
      <c r="K403" s="71">
        <v>42841</v>
      </c>
      <c r="L403" s="69" t="s">
        <v>80</v>
      </c>
      <c r="M403" s="69" t="s">
        <v>109</v>
      </c>
      <c r="N403" s="72">
        <v>43003</v>
      </c>
      <c r="O403" s="67"/>
      <c r="P403" s="67" t="s">
        <v>95</v>
      </c>
      <c r="Q403" s="67" t="s">
        <v>110</v>
      </c>
      <c r="R403" s="69" t="s">
        <v>69</v>
      </c>
      <c r="S403" s="69" t="s">
        <v>115</v>
      </c>
      <c r="T403" s="67"/>
      <c r="U403" s="67"/>
      <c r="V403" s="72">
        <v>42947</v>
      </c>
      <c r="W403" s="69" t="s">
        <v>172</v>
      </c>
      <c r="X403" s="69" t="s">
        <v>173</v>
      </c>
      <c r="Y403" s="126"/>
      <c r="Z403" s="30">
        <f t="shared" si="12"/>
        <v>7301.7101235631453</v>
      </c>
      <c r="AA403" s="30">
        <f t="shared" si="13"/>
        <v>0</v>
      </c>
      <c r="AB403" t="s">
        <v>456</v>
      </c>
    </row>
    <row r="404" spans="1:28">
      <c r="A404" s="67" t="s">
        <v>122</v>
      </c>
      <c r="B404" s="68">
        <v>1256783</v>
      </c>
      <c r="C404" s="69">
        <v>4615414794</v>
      </c>
      <c r="D404" s="70">
        <v>19200</v>
      </c>
      <c r="E404" s="67"/>
      <c r="F404" s="68">
        <v>16</v>
      </c>
      <c r="G404" s="68">
        <v>5</v>
      </c>
      <c r="H404" s="73">
        <v>0</v>
      </c>
      <c r="I404" s="68">
        <v>0</v>
      </c>
      <c r="J404" s="71"/>
      <c r="K404" s="71">
        <v>42839</v>
      </c>
      <c r="L404" s="69" t="s">
        <v>80</v>
      </c>
      <c r="M404" s="69" t="s">
        <v>109</v>
      </c>
      <c r="N404" s="72">
        <v>43003</v>
      </c>
      <c r="O404" s="67"/>
      <c r="P404" s="67" t="s">
        <v>95</v>
      </c>
      <c r="Q404" s="67" t="s">
        <v>120</v>
      </c>
      <c r="R404" s="69" t="s">
        <v>69</v>
      </c>
      <c r="S404" s="69" t="s">
        <v>123</v>
      </c>
      <c r="T404" s="67"/>
      <c r="U404" s="67"/>
      <c r="V404" s="72">
        <v>42947</v>
      </c>
      <c r="W404" s="69">
        <v>2025784</v>
      </c>
      <c r="X404" s="69"/>
      <c r="Y404" s="126"/>
      <c r="Z404" s="30">
        <f t="shared" si="12"/>
        <v>6772.6006943194379</v>
      </c>
      <c r="AA404" s="30">
        <f t="shared" si="13"/>
        <v>2116.4377169748245</v>
      </c>
      <c r="AB404" t="s">
        <v>456</v>
      </c>
    </row>
    <row r="405" spans="1:28">
      <c r="A405" s="67" t="s">
        <v>131</v>
      </c>
      <c r="B405" s="68">
        <v>1259279</v>
      </c>
      <c r="C405" s="69">
        <v>4615424427</v>
      </c>
      <c r="D405" s="70">
        <v>19200</v>
      </c>
      <c r="E405" s="67"/>
      <c r="F405" s="68">
        <v>154.32</v>
      </c>
      <c r="G405" s="68" t="s">
        <v>114</v>
      </c>
      <c r="H405" s="73">
        <v>0</v>
      </c>
      <c r="I405" s="68">
        <v>0</v>
      </c>
      <c r="J405" s="71"/>
      <c r="K405" s="71">
        <v>42868</v>
      </c>
      <c r="L405" s="69" t="s">
        <v>80</v>
      </c>
      <c r="M405" s="69" t="s">
        <v>109</v>
      </c>
      <c r="N405" s="72">
        <v>43002</v>
      </c>
      <c r="O405" s="67"/>
      <c r="P405" s="67" t="s">
        <v>95</v>
      </c>
      <c r="Q405" s="67" t="s">
        <v>125</v>
      </c>
      <c r="R405" s="69" t="s">
        <v>69</v>
      </c>
      <c r="S405" s="69" t="s">
        <v>134</v>
      </c>
      <c r="T405" s="67"/>
      <c r="U405" s="67"/>
      <c r="V405" s="72">
        <v>42947</v>
      </c>
      <c r="W405" s="69" t="s">
        <v>180</v>
      </c>
      <c r="X405" s="69"/>
      <c r="Y405" s="126"/>
      <c r="Z405" s="30">
        <f t="shared" si="12"/>
        <v>65321.73369671098</v>
      </c>
      <c r="AA405" s="30">
        <f t="shared" si="13"/>
        <v>0</v>
      </c>
      <c r="AB405" t="s">
        <v>456</v>
      </c>
    </row>
    <row r="406" spans="1:28">
      <c r="A406" s="67" t="s">
        <v>136</v>
      </c>
      <c r="B406" s="68">
        <v>1260002</v>
      </c>
      <c r="C406" s="69">
        <v>4615408461</v>
      </c>
      <c r="D406" s="70">
        <v>19175</v>
      </c>
      <c r="E406" s="67"/>
      <c r="F406" s="73">
        <v>10</v>
      </c>
      <c r="G406" s="73" t="s">
        <v>114</v>
      </c>
      <c r="H406" s="73">
        <v>0</v>
      </c>
      <c r="I406" s="68">
        <v>0</v>
      </c>
      <c r="J406" s="71"/>
      <c r="K406" s="71">
        <v>42786</v>
      </c>
      <c r="L406" s="69" t="s">
        <v>80</v>
      </c>
      <c r="M406" s="69" t="s">
        <v>109</v>
      </c>
      <c r="N406" s="72">
        <v>43002</v>
      </c>
      <c r="O406" s="67"/>
      <c r="P406" s="67" t="s">
        <v>95</v>
      </c>
      <c r="Q406" s="67" t="s">
        <v>129</v>
      </c>
      <c r="R406" s="69" t="s">
        <v>69</v>
      </c>
      <c r="S406" s="69" t="s">
        <v>138</v>
      </c>
      <c r="T406" s="67"/>
      <c r="U406" s="67"/>
      <c r="V406" s="72">
        <v>42978</v>
      </c>
      <c r="W406" s="69">
        <v>415570145</v>
      </c>
      <c r="X406" s="69"/>
      <c r="Y406" s="126"/>
      <c r="Z406" s="30">
        <f t="shared" si="12"/>
        <v>4227.3638773950279</v>
      </c>
      <c r="AA406" s="30">
        <f t="shared" si="13"/>
        <v>0</v>
      </c>
      <c r="AB406" t="s">
        <v>456</v>
      </c>
    </row>
    <row r="407" spans="1:28">
      <c r="A407" s="67" t="s">
        <v>136</v>
      </c>
      <c r="B407" s="68">
        <v>1259978</v>
      </c>
      <c r="C407" s="69">
        <v>4615380561</v>
      </c>
      <c r="D407" s="70">
        <v>19200</v>
      </c>
      <c r="E407" s="67"/>
      <c r="F407" s="73">
        <v>10</v>
      </c>
      <c r="G407" s="73" t="s">
        <v>114</v>
      </c>
      <c r="H407" s="73">
        <v>0</v>
      </c>
      <c r="I407" s="68">
        <v>0</v>
      </c>
      <c r="J407" s="71"/>
      <c r="K407" s="71">
        <v>42823</v>
      </c>
      <c r="L407" s="69" t="s">
        <v>80</v>
      </c>
      <c r="M407" s="69" t="s">
        <v>109</v>
      </c>
      <c r="N407" s="72">
        <v>43002</v>
      </c>
      <c r="O407" s="67"/>
      <c r="P407" s="67" t="s">
        <v>95</v>
      </c>
      <c r="Q407" s="67" t="s">
        <v>129</v>
      </c>
      <c r="R407" s="69" t="s">
        <v>69</v>
      </c>
      <c r="S407" s="69" t="s">
        <v>138</v>
      </c>
      <c r="T407" s="67"/>
      <c r="U407" s="67"/>
      <c r="V407" s="72">
        <v>42978</v>
      </c>
      <c r="W407" s="69">
        <v>415570033</v>
      </c>
      <c r="X407" s="69"/>
      <c r="Y407" s="126"/>
      <c r="Z407" s="30">
        <f t="shared" si="12"/>
        <v>4232.8754339496491</v>
      </c>
      <c r="AA407" s="30">
        <f t="shared" si="13"/>
        <v>0</v>
      </c>
      <c r="AB407" t="s">
        <v>456</v>
      </c>
    </row>
    <row r="408" spans="1:28">
      <c r="A408" s="67" t="s">
        <v>68</v>
      </c>
      <c r="B408" s="68">
        <v>1276290</v>
      </c>
      <c r="C408" s="69">
        <v>4615416369</v>
      </c>
      <c r="D408" s="70">
        <v>19175</v>
      </c>
      <c r="E408" s="67"/>
      <c r="F408" s="68">
        <v>16</v>
      </c>
      <c r="G408" s="68">
        <v>5</v>
      </c>
      <c r="H408" s="68">
        <v>0</v>
      </c>
      <c r="I408" s="68">
        <v>0</v>
      </c>
      <c r="J408" s="71"/>
      <c r="K408" s="71">
        <v>42738</v>
      </c>
      <c r="L408" s="69" t="s">
        <v>80</v>
      </c>
      <c r="M408" s="69" t="s">
        <v>109</v>
      </c>
      <c r="N408" s="72">
        <v>43002</v>
      </c>
      <c r="O408" s="67"/>
      <c r="P408" s="67" t="s">
        <v>95</v>
      </c>
      <c r="Q408" s="67" t="s">
        <v>125</v>
      </c>
      <c r="R408" s="69" t="s">
        <v>69</v>
      </c>
      <c r="S408" s="69" t="s">
        <v>68</v>
      </c>
      <c r="T408" s="67"/>
      <c r="U408" s="67"/>
      <c r="V408" s="72">
        <v>42978</v>
      </c>
      <c r="W408" s="69">
        <v>5114737</v>
      </c>
      <c r="X408" s="69"/>
      <c r="Y408" s="126"/>
      <c r="Z408" s="30">
        <f t="shared" si="12"/>
        <v>6763.7822038320437</v>
      </c>
      <c r="AA408" s="30">
        <f t="shared" si="13"/>
        <v>2113.6819386975139</v>
      </c>
      <c r="AB408" t="s">
        <v>456</v>
      </c>
    </row>
    <row r="409" spans="1:28">
      <c r="A409" s="67" t="s">
        <v>113</v>
      </c>
      <c r="B409" s="68">
        <v>1269270</v>
      </c>
      <c r="C409" s="69">
        <v>4615400271</v>
      </c>
      <c r="D409" s="70">
        <v>20700</v>
      </c>
      <c r="E409" s="79"/>
      <c r="F409" s="68">
        <v>16</v>
      </c>
      <c r="G409" s="68" t="s">
        <v>114</v>
      </c>
      <c r="H409" s="73">
        <v>0</v>
      </c>
      <c r="I409" s="68">
        <v>0</v>
      </c>
      <c r="J409" s="71"/>
      <c r="K409" s="71">
        <v>42853</v>
      </c>
      <c r="L409" s="69" t="s">
        <v>80</v>
      </c>
      <c r="M409" s="69" t="s">
        <v>109</v>
      </c>
      <c r="N409" s="72">
        <v>43002</v>
      </c>
      <c r="O409" s="67"/>
      <c r="P409" s="67" t="s">
        <v>95</v>
      </c>
      <c r="Q409" s="67" t="s">
        <v>110</v>
      </c>
      <c r="R409" s="69" t="s">
        <v>69</v>
      </c>
      <c r="S409" s="69" t="s">
        <v>115</v>
      </c>
      <c r="T409" s="67"/>
      <c r="U409" s="67"/>
      <c r="V409" s="72">
        <v>42947</v>
      </c>
      <c r="W409" s="69" t="s">
        <v>172</v>
      </c>
      <c r="X409" s="69" t="s">
        <v>173</v>
      </c>
      <c r="Y409" s="123"/>
      <c r="Z409" s="30">
        <f t="shared" si="12"/>
        <v>7301.7101235631453</v>
      </c>
      <c r="AA409" s="30">
        <f t="shared" si="13"/>
        <v>0</v>
      </c>
      <c r="AB409" t="s">
        <v>456</v>
      </c>
    </row>
    <row r="410" spans="1:28">
      <c r="A410" s="67" t="s">
        <v>113</v>
      </c>
      <c r="B410" s="68">
        <v>1269265</v>
      </c>
      <c r="C410" s="69">
        <v>4615400271</v>
      </c>
      <c r="D410" s="70">
        <v>20700</v>
      </c>
      <c r="E410" s="79"/>
      <c r="F410" s="68">
        <v>16</v>
      </c>
      <c r="G410" s="68" t="s">
        <v>114</v>
      </c>
      <c r="H410" s="73">
        <v>0</v>
      </c>
      <c r="I410" s="68">
        <v>0</v>
      </c>
      <c r="J410" s="71"/>
      <c r="K410" s="71">
        <v>42766</v>
      </c>
      <c r="L410" s="69" t="s">
        <v>80</v>
      </c>
      <c r="M410" s="69" t="s">
        <v>109</v>
      </c>
      <c r="N410" s="72">
        <v>43002</v>
      </c>
      <c r="O410" s="67"/>
      <c r="P410" s="67" t="s">
        <v>95</v>
      </c>
      <c r="Q410" s="67" t="s">
        <v>110</v>
      </c>
      <c r="R410" s="69" t="s">
        <v>69</v>
      </c>
      <c r="S410" s="69" t="s">
        <v>115</v>
      </c>
      <c r="T410" s="67"/>
      <c r="U410" s="67"/>
      <c r="V410" s="72">
        <v>42947</v>
      </c>
      <c r="W410" s="69" t="s">
        <v>172</v>
      </c>
      <c r="X410" s="69" t="s">
        <v>173</v>
      </c>
      <c r="Y410" s="123"/>
      <c r="Z410" s="30">
        <f t="shared" si="12"/>
        <v>7301.7101235631453</v>
      </c>
      <c r="AA410" s="30">
        <f t="shared" si="13"/>
        <v>0</v>
      </c>
      <c r="AB410" t="s">
        <v>456</v>
      </c>
    </row>
    <row r="411" spans="1:28">
      <c r="A411" s="67" t="s">
        <v>68</v>
      </c>
      <c r="B411" s="68">
        <v>1268459</v>
      </c>
      <c r="C411" s="69">
        <v>4615416879</v>
      </c>
      <c r="D411" s="70">
        <v>19175</v>
      </c>
      <c r="E411" s="79"/>
      <c r="F411" s="68">
        <v>16</v>
      </c>
      <c r="G411" s="68">
        <v>5</v>
      </c>
      <c r="H411" s="68">
        <v>0</v>
      </c>
      <c r="I411" s="68">
        <v>0</v>
      </c>
      <c r="J411" s="71"/>
      <c r="K411" s="71">
        <v>42778</v>
      </c>
      <c r="L411" s="69" t="s">
        <v>80</v>
      </c>
      <c r="M411" s="69" t="s">
        <v>109</v>
      </c>
      <c r="N411" s="72">
        <v>43002</v>
      </c>
      <c r="O411" s="67"/>
      <c r="P411" s="67" t="s">
        <v>95</v>
      </c>
      <c r="Q411" s="67" t="s">
        <v>125</v>
      </c>
      <c r="R411" s="69" t="s">
        <v>69</v>
      </c>
      <c r="S411" s="69" t="s">
        <v>68</v>
      </c>
      <c r="T411" s="67"/>
      <c r="U411" s="67"/>
      <c r="V411" s="72">
        <v>42947</v>
      </c>
      <c r="W411" s="69">
        <v>5114736</v>
      </c>
      <c r="X411" s="69"/>
      <c r="Y411" s="123"/>
      <c r="Z411" s="30">
        <f t="shared" si="12"/>
        <v>6763.7822038320437</v>
      </c>
      <c r="AA411" s="30">
        <f t="shared" si="13"/>
        <v>2113.6819386975139</v>
      </c>
      <c r="AB411" t="s">
        <v>456</v>
      </c>
    </row>
    <row r="412" spans="1:28">
      <c r="A412" s="67" t="s">
        <v>113</v>
      </c>
      <c r="B412" s="68">
        <v>1258310</v>
      </c>
      <c r="C412" s="69">
        <v>4615400271</v>
      </c>
      <c r="D412" s="70">
        <v>20700</v>
      </c>
      <c r="E412" s="79"/>
      <c r="F412" s="68">
        <v>16</v>
      </c>
      <c r="G412" s="68" t="s">
        <v>114</v>
      </c>
      <c r="H412" s="73">
        <v>0</v>
      </c>
      <c r="I412" s="68">
        <v>0</v>
      </c>
      <c r="J412" s="71"/>
      <c r="K412" s="71">
        <v>42778</v>
      </c>
      <c r="L412" s="69" t="s">
        <v>80</v>
      </c>
      <c r="M412" s="69" t="s">
        <v>109</v>
      </c>
      <c r="N412" s="72">
        <v>43002</v>
      </c>
      <c r="O412" s="67"/>
      <c r="P412" s="67" t="s">
        <v>95</v>
      </c>
      <c r="Q412" s="67" t="s">
        <v>110</v>
      </c>
      <c r="R412" s="69" t="s">
        <v>69</v>
      </c>
      <c r="S412" s="69" t="s">
        <v>115</v>
      </c>
      <c r="T412" s="67"/>
      <c r="U412" s="67"/>
      <c r="V412" s="72">
        <v>42947</v>
      </c>
      <c r="W412" s="69" t="s">
        <v>172</v>
      </c>
      <c r="X412" s="69" t="s">
        <v>173</v>
      </c>
      <c r="Y412" s="123"/>
      <c r="Z412" s="30">
        <f t="shared" si="12"/>
        <v>7301.7101235631453</v>
      </c>
      <c r="AA412" s="30">
        <f t="shared" si="13"/>
        <v>0</v>
      </c>
      <c r="AB412" t="s">
        <v>456</v>
      </c>
    </row>
    <row r="413" spans="1:28">
      <c r="A413" s="67" t="s">
        <v>68</v>
      </c>
      <c r="B413" s="68">
        <v>1257656</v>
      </c>
      <c r="C413" s="69">
        <v>4615413507</v>
      </c>
      <c r="D413" s="70">
        <v>19175</v>
      </c>
      <c r="E413" s="79"/>
      <c r="F413" s="68">
        <v>16</v>
      </c>
      <c r="G413" s="68">
        <v>5</v>
      </c>
      <c r="H413" s="75">
        <v>0</v>
      </c>
      <c r="I413" s="68">
        <v>0</v>
      </c>
      <c r="J413" s="71"/>
      <c r="K413" s="71">
        <v>42855</v>
      </c>
      <c r="L413" s="69" t="s">
        <v>80</v>
      </c>
      <c r="M413" s="69" t="s">
        <v>109</v>
      </c>
      <c r="N413" s="72">
        <v>43002</v>
      </c>
      <c r="O413" s="67"/>
      <c r="P413" s="67" t="s">
        <v>95</v>
      </c>
      <c r="Q413" s="67" t="s">
        <v>125</v>
      </c>
      <c r="R413" s="69" t="s">
        <v>69</v>
      </c>
      <c r="S413" s="69" t="s">
        <v>68</v>
      </c>
      <c r="T413" s="67"/>
      <c r="U413" s="67"/>
      <c r="V413" s="72">
        <v>42916</v>
      </c>
      <c r="W413" s="69">
        <v>5114735</v>
      </c>
      <c r="X413" s="69"/>
      <c r="Y413" s="123"/>
      <c r="Z413" s="30">
        <f t="shared" si="12"/>
        <v>6763.7822038320437</v>
      </c>
      <c r="AA413" s="30">
        <f t="shared" si="13"/>
        <v>2113.6819386975139</v>
      </c>
      <c r="AB413" t="s">
        <v>456</v>
      </c>
    </row>
    <row r="414" spans="1:28">
      <c r="A414" s="67" t="s">
        <v>68</v>
      </c>
      <c r="B414" s="68">
        <v>1257625</v>
      </c>
      <c r="C414" s="69">
        <v>4615405332</v>
      </c>
      <c r="D414" s="70">
        <v>19175</v>
      </c>
      <c r="E414" s="79"/>
      <c r="F414" s="68">
        <v>16</v>
      </c>
      <c r="G414" s="68" t="s">
        <v>114</v>
      </c>
      <c r="H414" s="73">
        <v>0</v>
      </c>
      <c r="I414" s="68">
        <v>0</v>
      </c>
      <c r="J414" s="71"/>
      <c r="K414" s="71">
        <v>42863</v>
      </c>
      <c r="L414" s="69" t="s">
        <v>80</v>
      </c>
      <c r="M414" s="69" t="s">
        <v>109</v>
      </c>
      <c r="N414" s="72">
        <v>43002</v>
      </c>
      <c r="O414" s="67"/>
      <c r="P414" s="67" t="s">
        <v>95</v>
      </c>
      <c r="Q414" s="67" t="s">
        <v>125</v>
      </c>
      <c r="R414" s="69" t="s">
        <v>69</v>
      </c>
      <c r="S414" s="69" t="s">
        <v>68</v>
      </c>
      <c r="T414" s="67"/>
      <c r="U414" s="67"/>
      <c r="V414" s="72">
        <v>42916</v>
      </c>
      <c r="W414" s="69">
        <v>5114722</v>
      </c>
      <c r="X414" s="69"/>
      <c r="Y414" s="123"/>
      <c r="Z414" s="30">
        <f t="shared" si="12"/>
        <v>6763.7822038320437</v>
      </c>
      <c r="AA414" s="30">
        <f t="shared" si="13"/>
        <v>0</v>
      </c>
      <c r="AB414" t="s">
        <v>456</v>
      </c>
    </row>
    <row r="415" spans="1:28">
      <c r="A415" s="67" t="s">
        <v>122</v>
      </c>
      <c r="B415" s="68">
        <v>1256784</v>
      </c>
      <c r="C415" s="69">
        <v>4615414794</v>
      </c>
      <c r="D415" s="70">
        <v>19200</v>
      </c>
      <c r="E415" s="79"/>
      <c r="F415" s="68">
        <v>16</v>
      </c>
      <c r="G415" s="68">
        <v>5</v>
      </c>
      <c r="H415" s="73">
        <v>0</v>
      </c>
      <c r="I415" s="68">
        <v>0</v>
      </c>
      <c r="J415" s="71"/>
      <c r="K415" s="71">
        <v>42829</v>
      </c>
      <c r="L415" s="69" t="s">
        <v>80</v>
      </c>
      <c r="M415" s="69" t="s">
        <v>109</v>
      </c>
      <c r="N415" s="72">
        <v>43002</v>
      </c>
      <c r="O415" s="67"/>
      <c r="P415" s="67" t="s">
        <v>95</v>
      </c>
      <c r="Q415" s="67" t="s">
        <v>120</v>
      </c>
      <c r="R415" s="69" t="s">
        <v>69</v>
      </c>
      <c r="S415" s="69" t="s">
        <v>123</v>
      </c>
      <c r="T415" s="67"/>
      <c r="U415" s="67"/>
      <c r="V415" s="72">
        <v>42947</v>
      </c>
      <c r="W415" s="69">
        <v>2025784</v>
      </c>
      <c r="X415" s="69"/>
      <c r="Y415" s="123"/>
      <c r="Z415" s="30">
        <f t="shared" si="12"/>
        <v>6772.6006943194379</v>
      </c>
      <c r="AA415" s="30">
        <f t="shared" si="13"/>
        <v>2116.4377169748245</v>
      </c>
      <c r="AB415" t="s">
        <v>456</v>
      </c>
    </row>
    <row r="416" spans="1:28">
      <c r="A416" s="67" t="s">
        <v>113</v>
      </c>
      <c r="B416" s="68">
        <v>1251867</v>
      </c>
      <c r="C416" s="69">
        <v>4615414482</v>
      </c>
      <c r="D416" s="70">
        <v>20700</v>
      </c>
      <c r="E416" s="79"/>
      <c r="F416" s="73">
        <v>16</v>
      </c>
      <c r="G416" s="73">
        <v>5</v>
      </c>
      <c r="H416" s="73">
        <v>0</v>
      </c>
      <c r="I416" s="68">
        <v>0</v>
      </c>
      <c r="J416" s="71"/>
      <c r="K416" s="71">
        <v>42841</v>
      </c>
      <c r="L416" s="69" t="s">
        <v>80</v>
      </c>
      <c r="M416" s="69" t="s">
        <v>109</v>
      </c>
      <c r="N416" s="72">
        <v>42999</v>
      </c>
      <c r="O416" s="67"/>
      <c r="P416" s="67" t="s">
        <v>95</v>
      </c>
      <c r="Q416" s="67" t="s">
        <v>110</v>
      </c>
      <c r="R416" s="69" t="s">
        <v>69</v>
      </c>
      <c r="S416" s="69" t="s">
        <v>115</v>
      </c>
      <c r="T416" s="67"/>
      <c r="U416" s="67"/>
      <c r="V416" s="72">
        <v>42916</v>
      </c>
      <c r="W416" s="69" t="s">
        <v>181</v>
      </c>
      <c r="X416" s="69" t="s">
        <v>182</v>
      </c>
      <c r="Y416" s="123"/>
      <c r="Z416" s="30">
        <f t="shared" si="12"/>
        <v>7301.7101235631453</v>
      </c>
      <c r="AA416" s="30">
        <f t="shared" si="13"/>
        <v>2281.7844136134831</v>
      </c>
      <c r="AB416" t="s">
        <v>456</v>
      </c>
    </row>
    <row r="417" spans="1:28">
      <c r="A417" s="67" t="s">
        <v>68</v>
      </c>
      <c r="B417" s="68">
        <v>1257646</v>
      </c>
      <c r="C417" s="69">
        <v>4615413507</v>
      </c>
      <c r="D417" s="70">
        <v>19175</v>
      </c>
      <c r="E417" s="79"/>
      <c r="F417" s="68">
        <v>16</v>
      </c>
      <c r="G417" s="68">
        <v>5</v>
      </c>
      <c r="H417" s="73">
        <v>0</v>
      </c>
      <c r="I417" s="68">
        <v>0</v>
      </c>
      <c r="J417" s="71"/>
      <c r="K417" s="71">
        <v>42841</v>
      </c>
      <c r="L417" s="69" t="s">
        <v>80</v>
      </c>
      <c r="M417" s="69" t="s">
        <v>109</v>
      </c>
      <c r="N417" s="72">
        <v>42999</v>
      </c>
      <c r="O417" s="67"/>
      <c r="P417" s="67" t="s">
        <v>95</v>
      </c>
      <c r="Q417" s="67" t="s">
        <v>125</v>
      </c>
      <c r="R417" s="69" t="s">
        <v>69</v>
      </c>
      <c r="S417" s="69" t="s">
        <v>68</v>
      </c>
      <c r="T417" s="67"/>
      <c r="U417" s="67"/>
      <c r="V417" s="72">
        <v>42916</v>
      </c>
      <c r="W417" s="69">
        <v>5114735</v>
      </c>
      <c r="X417" s="69"/>
      <c r="Y417" s="123"/>
      <c r="Z417" s="30">
        <f t="shared" si="12"/>
        <v>6763.7822038320437</v>
      </c>
      <c r="AA417" s="30">
        <f t="shared" si="13"/>
        <v>2113.6819386975139</v>
      </c>
      <c r="AB417" t="s">
        <v>456</v>
      </c>
    </row>
    <row r="418" spans="1:28">
      <c r="A418" s="67" t="s">
        <v>68</v>
      </c>
      <c r="B418" s="68">
        <v>1257650</v>
      </c>
      <c r="C418" s="69">
        <v>4615413507</v>
      </c>
      <c r="D418" s="70">
        <v>19175</v>
      </c>
      <c r="E418" s="79"/>
      <c r="F418" s="68">
        <v>16</v>
      </c>
      <c r="G418" s="68">
        <v>5</v>
      </c>
      <c r="H418" s="75">
        <v>0</v>
      </c>
      <c r="I418" s="68">
        <v>0</v>
      </c>
      <c r="J418" s="71"/>
      <c r="K418" s="71">
        <v>42827</v>
      </c>
      <c r="L418" s="69" t="s">
        <v>80</v>
      </c>
      <c r="M418" s="69" t="s">
        <v>109</v>
      </c>
      <c r="N418" s="72">
        <v>42999</v>
      </c>
      <c r="O418" s="67"/>
      <c r="P418" s="67" t="s">
        <v>95</v>
      </c>
      <c r="Q418" s="67" t="s">
        <v>125</v>
      </c>
      <c r="R418" s="69" t="s">
        <v>69</v>
      </c>
      <c r="S418" s="69" t="s">
        <v>68</v>
      </c>
      <c r="T418" s="67"/>
      <c r="U418" s="67"/>
      <c r="V418" s="72">
        <v>42916</v>
      </c>
      <c r="W418" s="69">
        <v>5114735</v>
      </c>
      <c r="X418" s="69"/>
      <c r="Y418" s="123"/>
      <c r="Z418" s="30">
        <f t="shared" si="12"/>
        <v>6763.7822038320437</v>
      </c>
      <c r="AA418" s="30">
        <f t="shared" si="13"/>
        <v>2113.6819386975139</v>
      </c>
      <c r="AB418" t="s">
        <v>456</v>
      </c>
    </row>
    <row r="419" spans="1:28">
      <c r="A419" s="67" t="s">
        <v>128</v>
      </c>
      <c r="B419" s="68">
        <v>1271102</v>
      </c>
      <c r="C419" s="69">
        <v>4615499305</v>
      </c>
      <c r="D419" s="70">
        <v>19175</v>
      </c>
      <c r="E419" s="79"/>
      <c r="F419" s="68">
        <v>154.4</v>
      </c>
      <c r="G419" s="68">
        <v>0</v>
      </c>
      <c r="H419" s="68">
        <v>0</v>
      </c>
      <c r="I419" s="68">
        <v>0</v>
      </c>
      <c r="J419" s="71"/>
      <c r="K419" s="71">
        <v>42812</v>
      </c>
      <c r="L419" s="69" t="s">
        <v>80</v>
      </c>
      <c r="M419" s="69" t="s">
        <v>109</v>
      </c>
      <c r="N419" s="72">
        <v>42999</v>
      </c>
      <c r="O419" s="67"/>
      <c r="P419" s="67" t="s">
        <v>95</v>
      </c>
      <c r="Q419" s="67" t="s">
        <v>129</v>
      </c>
      <c r="R419" s="69" t="s">
        <v>69</v>
      </c>
      <c r="S419" s="69" t="s">
        <v>130</v>
      </c>
      <c r="T419" s="67"/>
      <c r="U419" s="67"/>
      <c r="V419" s="72">
        <v>42947</v>
      </c>
      <c r="W419" s="69">
        <v>425570015</v>
      </c>
      <c r="X419" s="69"/>
      <c r="Y419" s="123"/>
      <c r="Z419" s="30">
        <f t="shared" si="12"/>
        <v>65270.498266979223</v>
      </c>
      <c r="AA419" s="30">
        <f t="shared" si="13"/>
        <v>0</v>
      </c>
      <c r="AB419" t="s">
        <v>456</v>
      </c>
    </row>
    <row r="420" spans="1:28">
      <c r="A420" s="67" t="s">
        <v>68</v>
      </c>
      <c r="B420" s="68">
        <v>1268456</v>
      </c>
      <c r="C420" s="69">
        <v>4615416879</v>
      </c>
      <c r="D420" s="70">
        <v>19175</v>
      </c>
      <c r="E420" s="79"/>
      <c r="F420" s="68">
        <v>16</v>
      </c>
      <c r="G420" s="68">
        <v>5</v>
      </c>
      <c r="H420" s="68">
        <v>0</v>
      </c>
      <c r="I420" s="68">
        <v>0</v>
      </c>
      <c r="J420" s="71"/>
      <c r="K420" s="71">
        <v>42840</v>
      </c>
      <c r="L420" s="69" t="s">
        <v>80</v>
      </c>
      <c r="M420" s="69" t="s">
        <v>109</v>
      </c>
      <c r="N420" s="72">
        <v>42999</v>
      </c>
      <c r="O420" s="67"/>
      <c r="P420" s="67" t="s">
        <v>95</v>
      </c>
      <c r="Q420" s="67" t="s">
        <v>125</v>
      </c>
      <c r="R420" s="69" t="s">
        <v>69</v>
      </c>
      <c r="S420" s="69" t="s">
        <v>68</v>
      </c>
      <c r="T420" s="67"/>
      <c r="U420" s="67"/>
      <c r="V420" s="72">
        <v>42947</v>
      </c>
      <c r="W420" s="69">
        <v>5114736</v>
      </c>
      <c r="X420" s="69"/>
      <c r="Y420" s="123"/>
      <c r="Z420" s="30">
        <f t="shared" si="12"/>
        <v>6763.7822038320437</v>
      </c>
      <c r="AA420" s="30">
        <f t="shared" si="13"/>
        <v>2113.6819386975139</v>
      </c>
      <c r="AB420" t="s">
        <v>456</v>
      </c>
    </row>
    <row r="421" spans="1:28">
      <c r="A421" s="67" t="s">
        <v>113</v>
      </c>
      <c r="B421" s="68">
        <v>1274496</v>
      </c>
      <c r="C421" s="69">
        <v>4615478093</v>
      </c>
      <c r="D421" s="70">
        <v>20700</v>
      </c>
      <c r="E421" s="79"/>
      <c r="F421" s="73">
        <v>16</v>
      </c>
      <c r="G421" s="73">
        <v>0</v>
      </c>
      <c r="H421" s="73">
        <v>0</v>
      </c>
      <c r="I421" s="68">
        <v>0</v>
      </c>
      <c r="J421" s="71">
        <v>42954</v>
      </c>
      <c r="K421" s="71">
        <v>42846</v>
      </c>
      <c r="L421" s="69" t="s">
        <v>132</v>
      </c>
      <c r="M421" s="69" t="s">
        <v>109</v>
      </c>
      <c r="N421" s="72">
        <v>42998</v>
      </c>
      <c r="O421" s="67"/>
      <c r="P421" s="67" t="s">
        <v>95</v>
      </c>
      <c r="Q421" s="67" t="s">
        <v>110</v>
      </c>
      <c r="R421" s="69" t="s">
        <v>69</v>
      </c>
      <c r="S421" s="69" t="s">
        <v>115</v>
      </c>
      <c r="T421" s="67"/>
      <c r="U421" s="67"/>
      <c r="V421" s="72">
        <v>42978</v>
      </c>
      <c r="W421" s="69" t="s">
        <v>176</v>
      </c>
      <c r="X421" s="69" t="s">
        <v>117</v>
      </c>
      <c r="Y421" s="123"/>
      <c r="Z421" s="30">
        <f t="shared" si="12"/>
        <v>7301.7101235631453</v>
      </c>
      <c r="AA421" s="30">
        <f t="shared" si="13"/>
        <v>0</v>
      </c>
      <c r="AB421" t="s">
        <v>456</v>
      </c>
    </row>
    <row r="422" spans="1:28">
      <c r="A422" s="67" t="s">
        <v>113</v>
      </c>
      <c r="B422" s="68">
        <v>1258305</v>
      </c>
      <c r="C422" s="69">
        <v>4615400271</v>
      </c>
      <c r="D422" s="70">
        <v>20700</v>
      </c>
      <c r="E422" s="79"/>
      <c r="F422" s="73">
        <v>16</v>
      </c>
      <c r="G422" s="73" t="s">
        <v>114</v>
      </c>
      <c r="H422" s="73">
        <v>0</v>
      </c>
      <c r="I422" s="68">
        <v>0</v>
      </c>
      <c r="J422" s="71"/>
      <c r="K422" s="71">
        <v>42865</v>
      </c>
      <c r="L422" s="69" t="s">
        <v>80</v>
      </c>
      <c r="M422" s="69" t="s">
        <v>109</v>
      </c>
      <c r="N422" s="72">
        <v>42998</v>
      </c>
      <c r="O422" s="67"/>
      <c r="P422" s="67" t="s">
        <v>95</v>
      </c>
      <c r="Q422" s="67" t="s">
        <v>110</v>
      </c>
      <c r="R422" s="69" t="s">
        <v>69</v>
      </c>
      <c r="S422" s="69" t="s">
        <v>115</v>
      </c>
      <c r="T422" s="67"/>
      <c r="U422" s="67"/>
      <c r="V422" s="72">
        <v>42947</v>
      </c>
      <c r="W422" s="69" t="s">
        <v>172</v>
      </c>
      <c r="X422" s="69" t="s">
        <v>173</v>
      </c>
      <c r="Y422" s="123"/>
      <c r="Z422" s="30">
        <f t="shared" si="12"/>
        <v>7301.7101235631453</v>
      </c>
      <c r="AA422" s="30">
        <f t="shared" si="13"/>
        <v>0</v>
      </c>
      <c r="AB422" t="s">
        <v>456</v>
      </c>
    </row>
    <row r="423" spans="1:28">
      <c r="A423" s="67" t="s">
        <v>68</v>
      </c>
      <c r="B423" s="68">
        <v>1257648</v>
      </c>
      <c r="C423" s="69">
        <v>4615413507</v>
      </c>
      <c r="D423" s="70">
        <v>19175</v>
      </c>
      <c r="E423" s="79"/>
      <c r="F423" s="73">
        <v>16</v>
      </c>
      <c r="G423" s="73">
        <v>5</v>
      </c>
      <c r="H423" s="73">
        <v>0</v>
      </c>
      <c r="I423" s="68">
        <v>0</v>
      </c>
      <c r="J423" s="71"/>
      <c r="K423" s="71">
        <v>42833</v>
      </c>
      <c r="L423" s="69" t="s">
        <v>80</v>
      </c>
      <c r="M423" s="69" t="s">
        <v>109</v>
      </c>
      <c r="N423" s="72">
        <v>42998</v>
      </c>
      <c r="O423" s="67"/>
      <c r="P423" s="67" t="s">
        <v>95</v>
      </c>
      <c r="Q423" s="67" t="s">
        <v>125</v>
      </c>
      <c r="R423" s="69" t="s">
        <v>69</v>
      </c>
      <c r="S423" s="69" t="s">
        <v>68</v>
      </c>
      <c r="T423" s="67"/>
      <c r="U423" s="67"/>
      <c r="V423" s="72">
        <v>42916</v>
      </c>
      <c r="W423" s="69">
        <v>5114735</v>
      </c>
      <c r="X423" s="69"/>
      <c r="Y423" s="123"/>
      <c r="Z423" s="30">
        <f t="shared" si="12"/>
        <v>6763.7822038320437</v>
      </c>
      <c r="AA423" s="30">
        <f t="shared" si="13"/>
        <v>2113.6819386975139</v>
      </c>
      <c r="AB423" t="s">
        <v>456</v>
      </c>
    </row>
    <row r="424" spans="1:28">
      <c r="A424" s="67" t="s">
        <v>68</v>
      </c>
      <c r="B424" s="68" t="s">
        <v>161</v>
      </c>
      <c r="C424" s="69" t="s">
        <v>161</v>
      </c>
      <c r="D424" s="70">
        <v>20544.980000000003</v>
      </c>
      <c r="E424" s="79"/>
      <c r="F424" s="68">
        <v>16</v>
      </c>
      <c r="G424" s="68" t="s">
        <v>114</v>
      </c>
      <c r="H424" s="68">
        <v>0</v>
      </c>
      <c r="I424" s="68">
        <v>0</v>
      </c>
      <c r="J424" s="71"/>
      <c r="K424" s="71">
        <v>42801</v>
      </c>
      <c r="L424" s="69" t="s">
        <v>80</v>
      </c>
      <c r="M424" s="69" t="s">
        <v>109</v>
      </c>
      <c r="N424" s="72">
        <v>42998</v>
      </c>
      <c r="O424" s="67"/>
      <c r="P424" s="67" t="s">
        <v>95</v>
      </c>
      <c r="Q424" s="67" t="s">
        <v>125</v>
      </c>
      <c r="R424" s="69" t="s">
        <v>69</v>
      </c>
      <c r="S424" s="69" t="s">
        <v>68</v>
      </c>
      <c r="T424" s="67"/>
      <c r="U424" s="67"/>
      <c r="V424" s="72">
        <v>42978</v>
      </c>
      <c r="W424" s="69">
        <v>5114724</v>
      </c>
      <c r="X424" s="69" t="s">
        <v>183</v>
      </c>
      <c r="Y424" s="123"/>
      <c r="Z424" s="30">
        <f t="shared" si="12"/>
        <v>7247.0284277489072</v>
      </c>
      <c r="AA424" s="30">
        <f t="shared" si="13"/>
        <v>0</v>
      </c>
      <c r="AB424" t="s">
        <v>456</v>
      </c>
    </row>
    <row r="425" spans="1:28">
      <c r="A425" s="67" t="s">
        <v>68</v>
      </c>
      <c r="B425" s="68" t="s">
        <v>161</v>
      </c>
      <c r="C425" s="69" t="s">
        <v>161</v>
      </c>
      <c r="D425" s="70">
        <v>20544.980000000003</v>
      </c>
      <c r="E425" s="79"/>
      <c r="F425" s="68">
        <v>16</v>
      </c>
      <c r="G425" s="68" t="s">
        <v>114</v>
      </c>
      <c r="H425" s="68">
        <v>0</v>
      </c>
      <c r="I425" s="68">
        <v>0</v>
      </c>
      <c r="J425" s="71"/>
      <c r="K425" s="71">
        <v>42801</v>
      </c>
      <c r="L425" s="69" t="s">
        <v>80</v>
      </c>
      <c r="M425" s="69" t="s">
        <v>109</v>
      </c>
      <c r="N425" s="72">
        <v>42998</v>
      </c>
      <c r="O425" s="67"/>
      <c r="P425" s="67" t="s">
        <v>95</v>
      </c>
      <c r="Q425" s="67" t="s">
        <v>125</v>
      </c>
      <c r="R425" s="69" t="s">
        <v>69</v>
      </c>
      <c r="S425" s="69" t="s">
        <v>68</v>
      </c>
      <c r="T425" s="67"/>
      <c r="U425" s="67"/>
      <c r="V425" s="72">
        <v>42978</v>
      </c>
      <c r="W425" s="69">
        <v>5114724</v>
      </c>
      <c r="X425" s="69" t="s">
        <v>183</v>
      </c>
      <c r="Y425" s="123"/>
      <c r="Z425" s="30">
        <f t="shared" si="12"/>
        <v>7247.0284277489072</v>
      </c>
      <c r="AA425" s="30">
        <f t="shared" si="13"/>
        <v>0</v>
      </c>
      <c r="AB425" t="s">
        <v>456</v>
      </c>
    </row>
    <row r="426" spans="1:28">
      <c r="A426" s="67" t="s">
        <v>68</v>
      </c>
      <c r="B426" s="68" t="s">
        <v>161</v>
      </c>
      <c r="C426" s="69" t="s">
        <v>161</v>
      </c>
      <c r="D426" s="70">
        <v>20544.980000000003</v>
      </c>
      <c r="E426" s="79"/>
      <c r="F426" s="68">
        <v>16</v>
      </c>
      <c r="G426" s="68" t="s">
        <v>114</v>
      </c>
      <c r="H426" s="68">
        <v>0</v>
      </c>
      <c r="I426" s="68">
        <v>0</v>
      </c>
      <c r="J426" s="71"/>
      <c r="K426" s="71">
        <v>42801</v>
      </c>
      <c r="L426" s="69" t="s">
        <v>80</v>
      </c>
      <c r="M426" s="69" t="s">
        <v>109</v>
      </c>
      <c r="N426" s="72">
        <v>42998</v>
      </c>
      <c r="O426" s="67"/>
      <c r="P426" s="67" t="s">
        <v>95</v>
      </c>
      <c r="Q426" s="67" t="s">
        <v>125</v>
      </c>
      <c r="R426" s="69" t="s">
        <v>69</v>
      </c>
      <c r="S426" s="69" t="s">
        <v>68</v>
      </c>
      <c r="T426" s="67"/>
      <c r="U426" s="67"/>
      <c r="V426" s="72">
        <v>42978</v>
      </c>
      <c r="W426" s="69">
        <v>5114724</v>
      </c>
      <c r="X426" s="69" t="s">
        <v>183</v>
      </c>
      <c r="Y426" s="123"/>
      <c r="Z426" s="30">
        <f t="shared" si="12"/>
        <v>7247.0284277489072</v>
      </c>
      <c r="AA426" s="30">
        <f t="shared" si="13"/>
        <v>0</v>
      </c>
      <c r="AB426" t="s">
        <v>456</v>
      </c>
    </row>
    <row r="427" spans="1:28">
      <c r="A427" s="67" t="s">
        <v>68</v>
      </c>
      <c r="B427" s="68" t="s">
        <v>161</v>
      </c>
      <c r="C427" s="69" t="s">
        <v>161</v>
      </c>
      <c r="D427" s="70">
        <v>20544.980000000003</v>
      </c>
      <c r="E427" s="79"/>
      <c r="F427" s="68">
        <v>16</v>
      </c>
      <c r="G427" s="68" t="s">
        <v>114</v>
      </c>
      <c r="H427" s="68">
        <v>0</v>
      </c>
      <c r="I427" s="68">
        <v>0</v>
      </c>
      <c r="J427" s="71"/>
      <c r="K427" s="71">
        <v>42785</v>
      </c>
      <c r="L427" s="69" t="s">
        <v>80</v>
      </c>
      <c r="M427" s="69" t="s">
        <v>109</v>
      </c>
      <c r="N427" s="72">
        <v>42998</v>
      </c>
      <c r="O427" s="67"/>
      <c r="P427" s="67" t="s">
        <v>95</v>
      </c>
      <c r="Q427" s="67" t="s">
        <v>125</v>
      </c>
      <c r="R427" s="69" t="s">
        <v>69</v>
      </c>
      <c r="S427" s="69" t="s">
        <v>68</v>
      </c>
      <c r="T427" s="67"/>
      <c r="U427" s="67"/>
      <c r="V427" s="72">
        <v>42978</v>
      </c>
      <c r="W427" s="69">
        <v>5114724</v>
      </c>
      <c r="X427" s="69" t="s">
        <v>178</v>
      </c>
      <c r="Y427" s="123"/>
      <c r="Z427" s="30">
        <f t="shared" si="12"/>
        <v>7247.0284277489072</v>
      </c>
      <c r="AA427" s="30">
        <f t="shared" si="13"/>
        <v>0</v>
      </c>
      <c r="AB427" t="s">
        <v>456</v>
      </c>
    </row>
    <row r="428" spans="1:28">
      <c r="A428" s="67" t="s">
        <v>68</v>
      </c>
      <c r="B428" s="68" t="s">
        <v>161</v>
      </c>
      <c r="C428" s="69" t="s">
        <v>161</v>
      </c>
      <c r="D428" s="70">
        <v>20544.980000000003</v>
      </c>
      <c r="E428" s="79"/>
      <c r="F428" s="68">
        <v>16</v>
      </c>
      <c r="G428" s="68" t="s">
        <v>114</v>
      </c>
      <c r="H428" s="68">
        <v>0</v>
      </c>
      <c r="I428" s="68">
        <v>0</v>
      </c>
      <c r="J428" s="71"/>
      <c r="K428" s="71">
        <v>42771</v>
      </c>
      <c r="L428" s="69" t="s">
        <v>80</v>
      </c>
      <c r="M428" s="69" t="s">
        <v>109</v>
      </c>
      <c r="N428" s="72">
        <v>42998</v>
      </c>
      <c r="O428" s="67"/>
      <c r="P428" s="67" t="s">
        <v>95</v>
      </c>
      <c r="Q428" s="67" t="s">
        <v>125</v>
      </c>
      <c r="R428" s="69" t="s">
        <v>69</v>
      </c>
      <c r="S428" s="69" t="s">
        <v>68</v>
      </c>
      <c r="T428" s="67"/>
      <c r="U428" s="67"/>
      <c r="V428" s="72">
        <v>42978</v>
      </c>
      <c r="W428" s="69">
        <v>5114724</v>
      </c>
      <c r="X428" s="69" t="s">
        <v>178</v>
      </c>
      <c r="Y428" s="123"/>
      <c r="Z428" s="30">
        <f t="shared" si="12"/>
        <v>7247.0284277489072</v>
      </c>
      <c r="AA428" s="30">
        <f t="shared" si="13"/>
        <v>0</v>
      </c>
      <c r="AB428" t="s">
        <v>456</v>
      </c>
    </row>
    <row r="429" spans="1:28">
      <c r="A429" s="67" t="s">
        <v>68</v>
      </c>
      <c r="B429" s="68" t="s">
        <v>161</v>
      </c>
      <c r="C429" s="69" t="s">
        <v>161</v>
      </c>
      <c r="D429" s="70">
        <v>20544.980000000003</v>
      </c>
      <c r="E429" s="79"/>
      <c r="F429" s="68">
        <v>16</v>
      </c>
      <c r="G429" s="68" t="s">
        <v>114</v>
      </c>
      <c r="H429" s="68">
        <v>0</v>
      </c>
      <c r="I429" s="68">
        <v>0</v>
      </c>
      <c r="J429" s="71"/>
      <c r="K429" s="71">
        <v>42771</v>
      </c>
      <c r="L429" s="69" t="s">
        <v>80</v>
      </c>
      <c r="M429" s="69" t="s">
        <v>109</v>
      </c>
      <c r="N429" s="72">
        <v>42998</v>
      </c>
      <c r="O429" s="67"/>
      <c r="P429" s="67" t="s">
        <v>95</v>
      </c>
      <c r="Q429" s="67" t="s">
        <v>125</v>
      </c>
      <c r="R429" s="69" t="s">
        <v>69</v>
      </c>
      <c r="S429" s="69" t="s">
        <v>68</v>
      </c>
      <c r="T429" s="67"/>
      <c r="U429" s="67"/>
      <c r="V429" s="72">
        <v>42978</v>
      </c>
      <c r="W429" s="69">
        <v>5114724</v>
      </c>
      <c r="X429" s="69" t="s">
        <v>178</v>
      </c>
      <c r="Y429" s="123"/>
      <c r="Z429" s="30">
        <f t="shared" si="12"/>
        <v>7247.0284277489072</v>
      </c>
      <c r="AA429" s="30">
        <f t="shared" si="13"/>
        <v>0</v>
      </c>
      <c r="AB429" t="s">
        <v>456</v>
      </c>
    </row>
    <row r="430" spans="1:28">
      <c r="A430" s="67" t="s">
        <v>68</v>
      </c>
      <c r="B430" s="68" t="s">
        <v>161</v>
      </c>
      <c r="C430" s="69" t="s">
        <v>161</v>
      </c>
      <c r="D430" s="70">
        <v>20544.980000000003</v>
      </c>
      <c r="E430" s="79"/>
      <c r="F430" s="68">
        <v>16</v>
      </c>
      <c r="G430" s="68" t="s">
        <v>114</v>
      </c>
      <c r="H430" s="68">
        <v>0</v>
      </c>
      <c r="I430" s="68">
        <v>0</v>
      </c>
      <c r="J430" s="71"/>
      <c r="K430" s="71">
        <v>42838</v>
      </c>
      <c r="L430" s="69" t="s">
        <v>80</v>
      </c>
      <c r="M430" s="69" t="s">
        <v>109</v>
      </c>
      <c r="N430" s="72">
        <v>42998</v>
      </c>
      <c r="O430" s="67"/>
      <c r="P430" s="67" t="s">
        <v>95</v>
      </c>
      <c r="Q430" s="67" t="s">
        <v>125</v>
      </c>
      <c r="R430" s="69" t="s">
        <v>69</v>
      </c>
      <c r="S430" s="69" t="s">
        <v>68</v>
      </c>
      <c r="T430" s="67"/>
      <c r="U430" s="67"/>
      <c r="V430" s="72">
        <v>42978</v>
      </c>
      <c r="W430" s="69">
        <v>5114724</v>
      </c>
      <c r="X430" s="69" t="s">
        <v>178</v>
      </c>
      <c r="Y430" s="123"/>
      <c r="Z430" s="30">
        <f t="shared" si="12"/>
        <v>7247.0284277489072</v>
      </c>
      <c r="AA430" s="30">
        <f t="shared" si="13"/>
        <v>0</v>
      </c>
      <c r="AB430" t="s">
        <v>456</v>
      </c>
    </row>
    <row r="431" spans="1:28">
      <c r="A431" s="67" t="s">
        <v>68</v>
      </c>
      <c r="B431" s="68" t="s">
        <v>161</v>
      </c>
      <c r="C431" s="69" t="s">
        <v>161</v>
      </c>
      <c r="D431" s="70">
        <v>20544.980000000003</v>
      </c>
      <c r="E431" s="79"/>
      <c r="F431" s="68">
        <v>16</v>
      </c>
      <c r="G431" s="68" t="s">
        <v>114</v>
      </c>
      <c r="H431" s="68">
        <v>0</v>
      </c>
      <c r="I431" s="68">
        <v>0</v>
      </c>
      <c r="J431" s="71"/>
      <c r="K431" s="71">
        <v>42799</v>
      </c>
      <c r="L431" s="69" t="s">
        <v>80</v>
      </c>
      <c r="M431" s="69" t="s">
        <v>109</v>
      </c>
      <c r="N431" s="72">
        <v>42998</v>
      </c>
      <c r="O431" s="67"/>
      <c r="P431" s="67" t="s">
        <v>95</v>
      </c>
      <c r="Q431" s="67" t="s">
        <v>125</v>
      </c>
      <c r="R431" s="69" t="s">
        <v>69</v>
      </c>
      <c r="S431" s="69" t="s">
        <v>68</v>
      </c>
      <c r="T431" s="67"/>
      <c r="U431" s="67"/>
      <c r="V431" s="72">
        <v>42978</v>
      </c>
      <c r="W431" s="69">
        <v>5114724</v>
      </c>
      <c r="X431" s="69" t="s">
        <v>178</v>
      </c>
      <c r="Y431" s="123"/>
      <c r="Z431" s="30">
        <f t="shared" si="12"/>
        <v>7247.0284277489072</v>
      </c>
      <c r="AA431" s="30">
        <f t="shared" si="13"/>
        <v>0</v>
      </c>
      <c r="AB431" t="s">
        <v>456</v>
      </c>
    </row>
    <row r="432" spans="1:28">
      <c r="A432" s="67" t="s">
        <v>136</v>
      </c>
      <c r="B432" s="68">
        <v>1259979</v>
      </c>
      <c r="C432" s="69">
        <v>4615380561</v>
      </c>
      <c r="D432" s="70">
        <v>19200</v>
      </c>
      <c r="E432" s="79"/>
      <c r="F432" s="73">
        <v>10</v>
      </c>
      <c r="G432" s="73" t="s">
        <v>114</v>
      </c>
      <c r="H432" s="73">
        <v>0</v>
      </c>
      <c r="I432" s="68">
        <v>0</v>
      </c>
      <c r="J432" s="71"/>
      <c r="K432" s="71">
        <v>42799</v>
      </c>
      <c r="L432" s="69" t="s">
        <v>80</v>
      </c>
      <c r="M432" s="69" t="s">
        <v>109</v>
      </c>
      <c r="N432" s="72">
        <v>42997</v>
      </c>
      <c r="O432" s="67"/>
      <c r="P432" s="67" t="s">
        <v>95</v>
      </c>
      <c r="Q432" s="67" t="s">
        <v>129</v>
      </c>
      <c r="R432" s="69" t="s">
        <v>69</v>
      </c>
      <c r="S432" s="69" t="s">
        <v>138</v>
      </c>
      <c r="T432" s="67"/>
      <c r="U432" s="67"/>
      <c r="V432" s="72">
        <v>42978</v>
      </c>
      <c r="W432" s="69">
        <v>415570033</v>
      </c>
      <c r="X432" s="69"/>
      <c r="Y432" s="123"/>
      <c r="Z432" s="30">
        <f t="shared" si="12"/>
        <v>4232.8754339496491</v>
      </c>
      <c r="AA432" s="30">
        <f t="shared" si="13"/>
        <v>0</v>
      </c>
      <c r="AB432" t="s">
        <v>456</v>
      </c>
    </row>
    <row r="433" spans="1:28">
      <c r="A433" s="67" t="s">
        <v>68</v>
      </c>
      <c r="B433" s="68">
        <v>1268463</v>
      </c>
      <c r="C433" s="69">
        <v>4615416879</v>
      </c>
      <c r="D433" s="70">
        <v>19175</v>
      </c>
      <c r="E433" s="79"/>
      <c r="F433" s="68">
        <v>16</v>
      </c>
      <c r="G433" s="68">
        <v>5</v>
      </c>
      <c r="H433" s="68">
        <v>0</v>
      </c>
      <c r="I433" s="68">
        <v>0</v>
      </c>
      <c r="J433" s="71"/>
      <c r="K433" s="71">
        <v>42745</v>
      </c>
      <c r="L433" s="69" t="s">
        <v>80</v>
      </c>
      <c r="M433" s="69" t="s">
        <v>109</v>
      </c>
      <c r="N433" s="72">
        <v>42997</v>
      </c>
      <c r="O433" s="67"/>
      <c r="P433" s="67" t="s">
        <v>95</v>
      </c>
      <c r="Q433" s="67" t="s">
        <v>125</v>
      </c>
      <c r="R433" s="69" t="s">
        <v>69</v>
      </c>
      <c r="S433" s="69" t="s">
        <v>68</v>
      </c>
      <c r="T433" s="67"/>
      <c r="U433" s="67"/>
      <c r="V433" s="72">
        <v>42947</v>
      </c>
      <c r="W433" s="69">
        <v>5114736</v>
      </c>
      <c r="X433" s="69"/>
      <c r="Y433" s="123"/>
      <c r="Z433" s="30">
        <f t="shared" si="12"/>
        <v>6763.7822038320437</v>
      </c>
      <c r="AA433" s="30">
        <f t="shared" si="13"/>
        <v>2113.6819386975139</v>
      </c>
      <c r="AB433" t="s">
        <v>456</v>
      </c>
    </row>
    <row r="434" spans="1:28">
      <c r="A434" s="67" t="s">
        <v>68</v>
      </c>
      <c r="B434" s="68">
        <v>1268468</v>
      </c>
      <c r="C434" s="69">
        <v>4615416879</v>
      </c>
      <c r="D434" s="70">
        <v>19175</v>
      </c>
      <c r="E434" s="79"/>
      <c r="F434" s="68">
        <v>16</v>
      </c>
      <c r="G434" s="68">
        <v>5</v>
      </c>
      <c r="H434" s="68">
        <v>0</v>
      </c>
      <c r="I434" s="68">
        <v>0</v>
      </c>
      <c r="J434" s="71"/>
      <c r="K434" s="71">
        <v>42759</v>
      </c>
      <c r="L434" s="69" t="s">
        <v>80</v>
      </c>
      <c r="M434" s="69" t="s">
        <v>109</v>
      </c>
      <c r="N434" s="72">
        <v>42997</v>
      </c>
      <c r="O434" s="67"/>
      <c r="P434" s="67" t="s">
        <v>95</v>
      </c>
      <c r="Q434" s="67" t="s">
        <v>125</v>
      </c>
      <c r="R434" s="69" t="s">
        <v>69</v>
      </c>
      <c r="S434" s="69" t="s">
        <v>68</v>
      </c>
      <c r="T434" s="67"/>
      <c r="U434" s="67"/>
      <c r="V434" s="72">
        <v>42947</v>
      </c>
      <c r="W434" s="69">
        <v>5114736</v>
      </c>
      <c r="X434" s="69"/>
      <c r="Y434" s="123"/>
      <c r="Z434" s="30">
        <f t="shared" si="12"/>
        <v>6763.7822038320437</v>
      </c>
      <c r="AA434" s="30">
        <f t="shared" si="13"/>
        <v>2113.6819386975139</v>
      </c>
      <c r="AB434" t="s">
        <v>456</v>
      </c>
    </row>
    <row r="435" spans="1:28">
      <c r="A435" s="67" t="s">
        <v>118</v>
      </c>
      <c r="B435" s="68">
        <v>1262954</v>
      </c>
      <c r="C435" s="69">
        <v>4615366879</v>
      </c>
      <c r="D435" s="70">
        <v>19175</v>
      </c>
      <c r="E435" s="79"/>
      <c r="F435" s="68">
        <v>10</v>
      </c>
      <c r="G435" s="68">
        <v>5</v>
      </c>
      <c r="H435" s="73">
        <v>0</v>
      </c>
      <c r="I435" s="68">
        <v>0</v>
      </c>
      <c r="J435" s="71"/>
      <c r="K435" s="71">
        <v>42808</v>
      </c>
      <c r="L435" s="69" t="s">
        <v>80</v>
      </c>
      <c r="M435" s="69" t="s">
        <v>109</v>
      </c>
      <c r="N435" s="72">
        <v>42997</v>
      </c>
      <c r="O435" s="67"/>
      <c r="P435" s="67" t="s">
        <v>95</v>
      </c>
      <c r="Q435" s="67" t="s">
        <v>120</v>
      </c>
      <c r="R435" s="69" t="s">
        <v>69</v>
      </c>
      <c r="S435" s="69" t="s">
        <v>121</v>
      </c>
      <c r="T435" s="67"/>
      <c r="U435" s="67"/>
      <c r="V435" s="72">
        <v>42947</v>
      </c>
      <c r="W435" s="69">
        <v>2021269</v>
      </c>
      <c r="X435" s="69"/>
      <c r="Y435" s="123"/>
      <c r="Z435" s="30">
        <f t="shared" si="12"/>
        <v>4227.3638773950279</v>
      </c>
      <c r="AA435" s="30">
        <f t="shared" si="13"/>
        <v>2113.6819386975139</v>
      </c>
      <c r="AB435" t="s">
        <v>456</v>
      </c>
    </row>
    <row r="436" spans="1:28">
      <c r="A436" s="67" t="s">
        <v>68</v>
      </c>
      <c r="B436" s="68">
        <v>1257647</v>
      </c>
      <c r="C436" s="69">
        <v>4615413507</v>
      </c>
      <c r="D436" s="70">
        <v>19175</v>
      </c>
      <c r="E436" s="79"/>
      <c r="F436" s="68">
        <v>16</v>
      </c>
      <c r="G436" s="68">
        <v>5</v>
      </c>
      <c r="H436" s="73">
        <v>0</v>
      </c>
      <c r="I436" s="68">
        <v>0</v>
      </c>
      <c r="J436" s="71"/>
      <c r="K436" s="71">
        <v>42801</v>
      </c>
      <c r="L436" s="69" t="s">
        <v>80</v>
      </c>
      <c r="M436" s="69" t="s">
        <v>109</v>
      </c>
      <c r="N436" s="72">
        <v>42997</v>
      </c>
      <c r="O436" s="67"/>
      <c r="P436" s="67" t="s">
        <v>95</v>
      </c>
      <c r="Q436" s="67" t="s">
        <v>125</v>
      </c>
      <c r="R436" s="69" t="s">
        <v>69</v>
      </c>
      <c r="S436" s="69" t="s">
        <v>68</v>
      </c>
      <c r="T436" s="67"/>
      <c r="U436" s="67"/>
      <c r="V436" s="72">
        <v>42916</v>
      </c>
      <c r="W436" s="69">
        <v>5114735</v>
      </c>
      <c r="X436" s="69"/>
      <c r="Y436" s="123"/>
      <c r="Z436" s="30">
        <f t="shared" si="12"/>
        <v>6763.7822038320437</v>
      </c>
      <c r="AA436" s="30">
        <f t="shared" si="13"/>
        <v>2113.6819386975139</v>
      </c>
      <c r="AB436" t="s">
        <v>456</v>
      </c>
    </row>
    <row r="437" spans="1:28">
      <c r="A437" s="67" t="s">
        <v>128</v>
      </c>
      <c r="B437" s="68">
        <v>1271105</v>
      </c>
      <c r="C437" s="69">
        <v>4615499305</v>
      </c>
      <c r="D437" s="70">
        <v>19175</v>
      </c>
      <c r="E437" s="79"/>
      <c r="F437" s="68">
        <v>154.4</v>
      </c>
      <c r="G437" s="68">
        <v>0</v>
      </c>
      <c r="H437" s="68">
        <v>0</v>
      </c>
      <c r="I437" s="68">
        <v>0</v>
      </c>
      <c r="J437" s="71"/>
      <c r="K437" s="71">
        <v>42846</v>
      </c>
      <c r="L437" s="69" t="s">
        <v>80</v>
      </c>
      <c r="M437" s="69" t="s">
        <v>109</v>
      </c>
      <c r="N437" s="72">
        <v>42996</v>
      </c>
      <c r="O437" s="67"/>
      <c r="P437" s="67" t="s">
        <v>95</v>
      </c>
      <c r="Q437" s="67" t="s">
        <v>129</v>
      </c>
      <c r="R437" s="69" t="s">
        <v>69</v>
      </c>
      <c r="S437" s="69" t="s">
        <v>130</v>
      </c>
      <c r="T437" s="67"/>
      <c r="U437" s="67"/>
      <c r="V437" s="72">
        <v>42947</v>
      </c>
      <c r="W437" s="69">
        <v>425570015</v>
      </c>
      <c r="X437" s="69"/>
      <c r="Y437" s="123"/>
      <c r="Z437" s="30">
        <f t="shared" si="12"/>
        <v>65270.498266979223</v>
      </c>
      <c r="AA437" s="30">
        <f t="shared" si="13"/>
        <v>0</v>
      </c>
      <c r="AB437" t="s">
        <v>456</v>
      </c>
    </row>
    <row r="438" spans="1:28">
      <c r="A438" s="67" t="s">
        <v>131</v>
      </c>
      <c r="B438" s="68">
        <v>1260503</v>
      </c>
      <c r="C438" s="69">
        <v>4615470944</v>
      </c>
      <c r="D438" s="70">
        <v>19200</v>
      </c>
      <c r="E438" s="79"/>
      <c r="F438" s="68">
        <v>154.4</v>
      </c>
      <c r="G438" s="75">
        <v>0</v>
      </c>
      <c r="H438" s="68">
        <v>0</v>
      </c>
      <c r="I438" s="68">
        <v>0</v>
      </c>
      <c r="J438" s="71"/>
      <c r="K438" s="71">
        <v>42854</v>
      </c>
      <c r="L438" s="69" t="s">
        <v>80</v>
      </c>
      <c r="M438" s="69" t="s">
        <v>109</v>
      </c>
      <c r="N438" s="72">
        <v>42996</v>
      </c>
      <c r="O438" s="67"/>
      <c r="P438" s="67" t="s">
        <v>95</v>
      </c>
      <c r="Q438" s="67" t="s">
        <v>125</v>
      </c>
      <c r="R438" s="69" t="s">
        <v>69</v>
      </c>
      <c r="S438" s="69" t="s">
        <v>134</v>
      </c>
      <c r="T438" s="67"/>
      <c r="U438" s="67"/>
      <c r="V438" s="72">
        <v>42947</v>
      </c>
      <c r="W438" s="69" t="s">
        <v>184</v>
      </c>
      <c r="X438" s="69"/>
      <c r="Y438" s="123"/>
      <c r="Z438" s="30">
        <f t="shared" si="12"/>
        <v>65355.596700182585</v>
      </c>
      <c r="AA438" s="30">
        <f t="shared" si="13"/>
        <v>0</v>
      </c>
      <c r="AB438" t="s">
        <v>456</v>
      </c>
    </row>
    <row r="439" spans="1:28">
      <c r="A439" s="67" t="s">
        <v>131</v>
      </c>
      <c r="B439" s="68">
        <v>1260502</v>
      </c>
      <c r="C439" s="69">
        <v>4615470944</v>
      </c>
      <c r="D439" s="70">
        <v>19200</v>
      </c>
      <c r="E439" s="79"/>
      <c r="F439" s="68">
        <v>154.4</v>
      </c>
      <c r="G439" s="75">
        <v>0</v>
      </c>
      <c r="H439" s="68">
        <v>0</v>
      </c>
      <c r="I439" s="68">
        <v>0</v>
      </c>
      <c r="J439" s="71"/>
      <c r="K439" s="71">
        <v>42839</v>
      </c>
      <c r="L439" s="69" t="s">
        <v>80</v>
      </c>
      <c r="M439" s="69" t="s">
        <v>109</v>
      </c>
      <c r="N439" s="72">
        <v>42996</v>
      </c>
      <c r="O439" s="67"/>
      <c r="P439" s="67" t="s">
        <v>95</v>
      </c>
      <c r="Q439" s="67" t="s">
        <v>125</v>
      </c>
      <c r="R439" s="69" t="s">
        <v>69</v>
      </c>
      <c r="S439" s="69" t="s">
        <v>134</v>
      </c>
      <c r="T439" s="67"/>
      <c r="U439" s="67"/>
      <c r="V439" s="72">
        <v>42947</v>
      </c>
      <c r="W439" s="69" t="s">
        <v>184</v>
      </c>
      <c r="X439" s="69"/>
      <c r="Y439" s="123"/>
      <c r="Z439" s="30">
        <f t="shared" si="12"/>
        <v>65355.596700182585</v>
      </c>
      <c r="AA439" s="30">
        <f t="shared" si="13"/>
        <v>0</v>
      </c>
      <c r="AB439" t="s">
        <v>456</v>
      </c>
    </row>
    <row r="440" spans="1:28">
      <c r="A440" s="67" t="s">
        <v>136</v>
      </c>
      <c r="B440" s="68">
        <v>1259980</v>
      </c>
      <c r="C440" s="69">
        <v>4615380561</v>
      </c>
      <c r="D440" s="70">
        <v>19200</v>
      </c>
      <c r="E440" s="79"/>
      <c r="F440" s="73">
        <v>10</v>
      </c>
      <c r="G440" s="73" t="s">
        <v>114</v>
      </c>
      <c r="H440" s="73">
        <v>0</v>
      </c>
      <c r="I440" s="68">
        <v>0</v>
      </c>
      <c r="J440" s="71"/>
      <c r="K440" s="71">
        <v>42837</v>
      </c>
      <c r="L440" s="69" t="s">
        <v>80</v>
      </c>
      <c r="M440" s="69" t="s">
        <v>109</v>
      </c>
      <c r="N440" s="72">
        <v>42996</v>
      </c>
      <c r="O440" s="67"/>
      <c r="P440" s="67" t="s">
        <v>95</v>
      </c>
      <c r="Q440" s="67" t="s">
        <v>129</v>
      </c>
      <c r="R440" s="69" t="s">
        <v>69</v>
      </c>
      <c r="S440" s="69" t="s">
        <v>138</v>
      </c>
      <c r="T440" s="67"/>
      <c r="U440" s="67"/>
      <c r="V440" s="72">
        <v>42978</v>
      </c>
      <c r="W440" s="69">
        <v>415570033</v>
      </c>
      <c r="X440" s="69"/>
      <c r="Y440" s="123"/>
      <c r="Z440" s="30">
        <f t="shared" si="12"/>
        <v>4232.8754339496491</v>
      </c>
      <c r="AA440" s="30">
        <f t="shared" si="13"/>
        <v>0</v>
      </c>
      <c r="AB440" t="s">
        <v>456</v>
      </c>
    </row>
    <row r="441" spans="1:28">
      <c r="A441" s="67" t="s">
        <v>136</v>
      </c>
      <c r="B441" s="68">
        <v>1254401</v>
      </c>
      <c r="C441" s="69">
        <v>4615416936</v>
      </c>
      <c r="D441" s="70">
        <v>19175</v>
      </c>
      <c r="E441" s="79"/>
      <c r="F441" s="73">
        <v>10</v>
      </c>
      <c r="G441" s="73" t="s">
        <v>114</v>
      </c>
      <c r="H441" s="73">
        <v>0</v>
      </c>
      <c r="I441" s="68">
        <v>0</v>
      </c>
      <c r="J441" s="71"/>
      <c r="K441" s="71">
        <v>42745</v>
      </c>
      <c r="L441" s="69" t="s">
        <v>80</v>
      </c>
      <c r="M441" s="69" t="s">
        <v>109</v>
      </c>
      <c r="N441" s="72">
        <v>42996</v>
      </c>
      <c r="O441" s="67"/>
      <c r="P441" s="67" t="s">
        <v>95</v>
      </c>
      <c r="Q441" s="67" t="s">
        <v>129</v>
      </c>
      <c r="R441" s="69" t="s">
        <v>69</v>
      </c>
      <c r="S441" s="69" t="s">
        <v>138</v>
      </c>
      <c r="T441" s="67"/>
      <c r="U441" s="67"/>
      <c r="V441" s="72">
        <v>42947</v>
      </c>
      <c r="W441" s="69">
        <v>415570144</v>
      </c>
      <c r="X441" s="69"/>
      <c r="Y441" s="123"/>
      <c r="Z441" s="30">
        <f t="shared" si="12"/>
        <v>4227.3638773950279</v>
      </c>
      <c r="AA441" s="30">
        <f t="shared" si="13"/>
        <v>0</v>
      </c>
      <c r="AB441" t="s">
        <v>456</v>
      </c>
    </row>
    <row r="442" spans="1:28">
      <c r="A442" s="67" t="s">
        <v>136</v>
      </c>
      <c r="B442" s="68">
        <v>1254394</v>
      </c>
      <c r="C442" s="69">
        <v>4615389010</v>
      </c>
      <c r="D442" s="70">
        <v>19200</v>
      </c>
      <c r="E442" s="79"/>
      <c r="F442" s="73">
        <v>10</v>
      </c>
      <c r="G442" s="73" t="s">
        <v>114</v>
      </c>
      <c r="H442" s="73">
        <v>0</v>
      </c>
      <c r="I442" s="68">
        <v>0</v>
      </c>
      <c r="J442" s="71"/>
      <c r="K442" s="71">
        <v>42799</v>
      </c>
      <c r="L442" s="69" t="s">
        <v>80</v>
      </c>
      <c r="M442" s="69" t="s">
        <v>109</v>
      </c>
      <c r="N442" s="72">
        <v>42996</v>
      </c>
      <c r="O442" s="67"/>
      <c r="P442" s="67" t="s">
        <v>95</v>
      </c>
      <c r="Q442" s="67" t="s">
        <v>129</v>
      </c>
      <c r="R442" s="69" t="s">
        <v>69</v>
      </c>
      <c r="S442" s="69" t="s">
        <v>138</v>
      </c>
      <c r="T442" s="67"/>
      <c r="U442" s="67"/>
      <c r="V442" s="72">
        <v>42947</v>
      </c>
      <c r="W442" s="69">
        <v>415570032</v>
      </c>
      <c r="X442" s="69"/>
      <c r="Y442" s="123"/>
      <c r="Z442" s="30">
        <f t="shared" si="12"/>
        <v>4232.8754339496491</v>
      </c>
      <c r="AA442" s="30">
        <f t="shared" si="13"/>
        <v>0</v>
      </c>
      <c r="AB442" t="s">
        <v>456</v>
      </c>
    </row>
    <row r="443" spans="1:28">
      <c r="A443" s="67" t="s">
        <v>68</v>
      </c>
      <c r="B443" s="68">
        <v>1268466</v>
      </c>
      <c r="C443" s="69">
        <v>4615416879</v>
      </c>
      <c r="D443" s="70">
        <v>19175</v>
      </c>
      <c r="E443" s="79"/>
      <c r="F443" s="68">
        <v>16</v>
      </c>
      <c r="G443" s="68">
        <v>5</v>
      </c>
      <c r="H443" s="68">
        <v>0</v>
      </c>
      <c r="I443" s="68">
        <v>0</v>
      </c>
      <c r="J443" s="71"/>
      <c r="K443" s="71">
        <v>42801</v>
      </c>
      <c r="L443" s="69" t="s">
        <v>80</v>
      </c>
      <c r="M443" s="69" t="s">
        <v>109</v>
      </c>
      <c r="N443" s="72">
        <v>42996</v>
      </c>
      <c r="O443" s="67"/>
      <c r="P443" s="67" t="s">
        <v>95</v>
      </c>
      <c r="Q443" s="67" t="s">
        <v>125</v>
      </c>
      <c r="R443" s="69" t="s">
        <v>69</v>
      </c>
      <c r="S443" s="69" t="s">
        <v>68</v>
      </c>
      <c r="T443" s="67"/>
      <c r="U443" s="67"/>
      <c r="V443" s="72">
        <v>42947</v>
      </c>
      <c r="W443" s="69">
        <v>5114736</v>
      </c>
      <c r="X443" s="69"/>
      <c r="Y443" s="123"/>
      <c r="Z443" s="30">
        <f t="shared" si="12"/>
        <v>6763.7822038320437</v>
      </c>
      <c r="AA443" s="30">
        <f t="shared" si="13"/>
        <v>2113.6819386975139</v>
      </c>
      <c r="AB443" t="s">
        <v>456</v>
      </c>
    </row>
    <row r="444" spans="1:28">
      <c r="A444" s="67" t="s">
        <v>113</v>
      </c>
      <c r="B444" s="68">
        <v>1258311</v>
      </c>
      <c r="C444" s="69">
        <v>4615400271</v>
      </c>
      <c r="D444" s="70">
        <v>20700</v>
      </c>
      <c r="E444" s="79"/>
      <c r="F444" s="68">
        <v>16</v>
      </c>
      <c r="G444" s="68" t="s">
        <v>114</v>
      </c>
      <c r="H444" s="73">
        <v>0</v>
      </c>
      <c r="I444" s="68">
        <v>0</v>
      </c>
      <c r="J444" s="71"/>
      <c r="K444" s="71">
        <v>42840</v>
      </c>
      <c r="L444" s="69" t="s">
        <v>80</v>
      </c>
      <c r="M444" s="69" t="s">
        <v>109</v>
      </c>
      <c r="N444" s="72">
        <v>42996</v>
      </c>
      <c r="O444" s="67"/>
      <c r="P444" s="67" t="s">
        <v>95</v>
      </c>
      <c r="Q444" s="67" t="s">
        <v>110</v>
      </c>
      <c r="R444" s="69" t="s">
        <v>69</v>
      </c>
      <c r="S444" s="69" t="s">
        <v>115</v>
      </c>
      <c r="T444" s="67"/>
      <c r="U444" s="67"/>
      <c r="V444" s="72">
        <v>42947</v>
      </c>
      <c r="W444" s="69" t="s">
        <v>172</v>
      </c>
      <c r="X444" s="69" t="s">
        <v>173</v>
      </c>
      <c r="Y444" s="123"/>
      <c r="Z444" s="30">
        <f t="shared" si="12"/>
        <v>7301.7101235631453</v>
      </c>
      <c r="AA444" s="30">
        <f t="shared" si="13"/>
        <v>0</v>
      </c>
      <c r="AB444" t="s">
        <v>456</v>
      </c>
    </row>
    <row r="445" spans="1:28">
      <c r="A445" s="67" t="s">
        <v>113</v>
      </c>
      <c r="B445" s="68">
        <v>1258308</v>
      </c>
      <c r="C445" s="69">
        <v>4615400271</v>
      </c>
      <c r="D445" s="70">
        <v>20700</v>
      </c>
      <c r="E445" s="79"/>
      <c r="F445" s="68">
        <v>16</v>
      </c>
      <c r="G445" s="68" t="s">
        <v>114</v>
      </c>
      <c r="H445" s="73">
        <v>0</v>
      </c>
      <c r="I445" s="68">
        <v>0</v>
      </c>
      <c r="J445" s="71"/>
      <c r="K445" s="71">
        <v>42840</v>
      </c>
      <c r="L445" s="69" t="s">
        <v>80</v>
      </c>
      <c r="M445" s="69" t="s">
        <v>109</v>
      </c>
      <c r="N445" s="72">
        <v>42996</v>
      </c>
      <c r="O445" s="67"/>
      <c r="P445" s="67" t="s">
        <v>95</v>
      </c>
      <c r="Q445" s="67" t="s">
        <v>110</v>
      </c>
      <c r="R445" s="69" t="s">
        <v>69</v>
      </c>
      <c r="S445" s="69" t="s">
        <v>115</v>
      </c>
      <c r="T445" s="67"/>
      <c r="U445" s="67"/>
      <c r="V445" s="72">
        <v>42947</v>
      </c>
      <c r="W445" s="69" t="s">
        <v>172</v>
      </c>
      <c r="X445" s="69" t="s">
        <v>173</v>
      </c>
      <c r="Y445" s="123"/>
      <c r="Z445" s="30">
        <f t="shared" si="12"/>
        <v>7301.7101235631453</v>
      </c>
      <c r="AA445" s="30">
        <f t="shared" si="13"/>
        <v>0</v>
      </c>
      <c r="AB445" t="s">
        <v>456</v>
      </c>
    </row>
    <row r="446" spans="1:28">
      <c r="A446" s="67" t="s">
        <v>113</v>
      </c>
      <c r="B446" s="68">
        <v>1258302</v>
      </c>
      <c r="C446" s="69">
        <v>4615400271</v>
      </c>
      <c r="D446" s="70">
        <v>20700</v>
      </c>
      <c r="E446" s="79"/>
      <c r="F446" s="68">
        <v>16</v>
      </c>
      <c r="G446" s="68" t="s">
        <v>114</v>
      </c>
      <c r="H446" s="73">
        <v>0</v>
      </c>
      <c r="I446" s="68">
        <v>0</v>
      </c>
      <c r="J446" s="71"/>
      <c r="K446" s="71">
        <v>42807</v>
      </c>
      <c r="L446" s="69" t="s">
        <v>80</v>
      </c>
      <c r="M446" s="69" t="s">
        <v>109</v>
      </c>
      <c r="N446" s="72">
        <v>42996</v>
      </c>
      <c r="O446" s="67"/>
      <c r="P446" s="67" t="s">
        <v>95</v>
      </c>
      <c r="Q446" s="67" t="s">
        <v>110</v>
      </c>
      <c r="R446" s="69" t="s">
        <v>69</v>
      </c>
      <c r="S446" s="69" t="s">
        <v>115</v>
      </c>
      <c r="T446" s="67"/>
      <c r="U446" s="67"/>
      <c r="V446" s="72">
        <v>42947</v>
      </c>
      <c r="W446" s="69" t="s">
        <v>172</v>
      </c>
      <c r="X446" s="69" t="s">
        <v>173</v>
      </c>
      <c r="Y446" s="123"/>
      <c r="Z446" s="30">
        <f t="shared" si="12"/>
        <v>7301.7101235631453</v>
      </c>
      <c r="AA446" s="30">
        <f t="shared" si="13"/>
        <v>0</v>
      </c>
      <c r="AB446" t="s">
        <v>456</v>
      </c>
    </row>
    <row r="447" spans="1:28">
      <c r="A447" s="67" t="s">
        <v>113</v>
      </c>
      <c r="B447" s="68">
        <v>1255870</v>
      </c>
      <c r="C447" s="69">
        <v>4615406661</v>
      </c>
      <c r="D447" s="70">
        <v>20700</v>
      </c>
      <c r="E447" s="79"/>
      <c r="F447" s="73">
        <v>16</v>
      </c>
      <c r="G447" s="73" t="s">
        <v>114</v>
      </c>
      <c r="H447" s="68">
        <v>0</v>
      </c>
      <c r="I447" s="68">
        <v>0</v>
      </c>
      <c r="J447" s="71"/>
      <c r="K447" s="71">
        <v>42807</v>
      </c>
      <c r="L447" s="69" t="s">
        <v>80</v>
      </c>
      <c r="M447" s="69" t="s">
        <v>109</v>
      </c>
      <c r="N447" s="72">
        <v>42996</v>
      </c>
      <c r="O447" s="67"/>
      <c r="P447" s="67" t="s">
        <v>95</v>
      </c>
      <c r="Q447" s="67" t="s">
        <v>110</v>
      </c>
      <c r="R447" s="69" t="s">
        <v>69</v>
      </c>
      <c r="S447" s="69" t="s">
        <v>115</v>
      </c>
      <c r="T447" s="67"/>
      <c r="U447" s="67"/>
      <c r="V447" s="72">
        <v>42947</v>
      </c>
      <c r="W447" s="69" t="s">
        <v>185</v>
      </c>
      <c r="X447" s="69" t="s">
        <v>117</v>
      </c>
      <c r="Y447" s="123"/>
      <c r="Z447" s="30">
        <f t="shared" si="12"/>
        <v>7301.7101235631453</v>
      </c>
      <c r="AA447" s="30">
        <f t="shared" si="13"/>
        <v>0</v>
      </c>
      <c r="AB447" t="s">
        <v>456</v>
      </c>
    </row>
    <row r="448" spans="1:28">
      <c r="A448" s="67" t="s">
        <v>113</v>
      </c>
      <c r="B448" s="68">
        <v>1255869</v>
      </c>
      <c r="C448" s="69">
        <v>4615406661</v>
      </c>
      <c r="D448" s="70">
        <v>20700</v>
      </c>
      <c r="E448" s="79"/>
      <c r="F448" s="73">
        <v>16</v>
      </c>
      <c r="G448" s="73" t="s">
        <v>114</v>
      </c>
      <c r="H448" s="68">
        <v>0</v>
      </c>
      <c r="I448" s="68">
        <v>0</v>
      </c>
      <c r="J448" s="71"/>
      <c r="K448" s="71">
        <v>42843</v>
      </c>
      <c r="L448" s="69" t="s">
        <v>80</v>
      </c>
      <c r="M448" s="69" t="s">
        <v>109</v>
      </c>
      <c r="N448" s="72">
        <v>42996</v>
      </c>
      <c r="O448" s="67"/>
      <c r="P448" s="67" t="s">
        <v>95</v>
      </c>
      <c r="Q448" s="67" t="s">
        <v>110</v>
      </c>
      <c r="R448" s="69" t="s">
        <v>69</v>
      </c>
      <c r="S448" s="69" t="s">
        <v>115</v>
      </c>
      <c r="T448" s="67"/>
      <c r="U448" s="67"/>
      <c r="V448" s="72">
        <v>42947</v>
      </c>
      <c r="W448" s="69" t="s">
        <v>185</v>
      </c>
      <c r="X448" s="69" t="s">
        <v>117</v>
      </c>
      <c r="Y448" s="123"/>
      <c r="Z448" s="30">
        <f t="shared" si="12"/>
        <v>7301.7101235631453</v>
      </c>
      <c r="AA448" s="30">
        <f t="shared" si="13"/>
        <v>0</v>
      </c>
      <c r="AB448" t="s">
        <v>456</v>
      </c>
    </row>
    <row r="449" spans="1:28">
      <c r="A449" s="67" t="s">
        <v>68</v>
      </c>
      <c r="B449" s="68">
        <v>1257649</v>
      </c>
      <c r="C449" s="69">
        <v>4615413507</v>
      </c>
      <c r="D449" s="70">
        <v>19175</v>
      </c>
      <c r="E449" s="79"/>
      <c r="F449" s="68">
        <v>16</v>
      </c>
      <c r="G449" s="68">
        <v>5</v>
      </c>
      <c r="H449" s="75">
        <v>0</v>
      </c>
      <c r="I449" s="68">
        <v>0</v>
      </c>
      <c r="J449" s="71"/>
      <c r="K449" s="71">
        <v>42857</v>
      </c>
      <c r="L449" s="69" t="s">
        <v>80</v>
      </c>
      <c r="M449" s="69" t="s">
        <v>109</v>
      </c>
      <c r="N449" s="72">
        <v>42996</v>
      </c>
      <c r="O449" s="67"/>
      <c r="P449" s="67" t="s">
        <v>95</v>
      </c>
      <c r="Q449" s="67" t="s">
        <v>125</v>
      </c>
      <c r="R449" s="69" t="s">
        <v>69</v>
      </c>
      <c r="S449" s="69" t="s">
        <v>68</v>
      </c>
      <c r="T449" s="67"/>
      <c r="U449" s="67"/>
      <c r="V449" s="72">
        <v>42916</v>
      </c>
      <c r="W449" s="69">
        <v>5114735</v>
      </c>
      <c r="X449" s="69"/>
      <c r="Y449" s="123"/>
      <c r="Z449" s="30">
        <f t="shared" si="12"/>
        <v>6763.7822038320437</v>
      </c>
      <c r="AA449" s="30">
        <f t="shared" si="13"/>
        <v>2113.6819386975139</v>
      </c>
      <c r="AB449" t="s">
        <v>456</v>
      </c>
    </row>
    <row r="450" spans="1:28">
      <c r="A450" s="67" t="s">
        <v>68</v>
      </c>
      <c r="B450" s="68">
        <v>1257645</v>
      </c>
      <c r="C450" s="69">
        <v>4615413507</v>
      </c>
      <c r="D450" s="70">
        <v>19175</v>
      </c>
      <c r="E450" s="79"/>
      <c r="F450" s="68">
        <v>16</v>
      </c>
      <c r="G450" s="68">
        <v>5</v>
      </c>
      <c r="H450" s="75">
        <v>0</v>
      </c>
      <c r="I450" s="68">
        <v>0</v>
      </c>
      <c r="J450" s="71"/>
      <c r="K450" s="71">
        <v>42850</v>
      </c>
      <c r="L450" s="69" t="s">
        <v>80</v>
      </c>
      <c r="M450" s="69" t="s">
        <v>109</v>
      </c>
      <c r="N450" s="72">
        <v>42996</v>
      </c>
      <c r="O450" s="67"/>
      <c r="P450" s="67" t="s">
        <v>95</v>
      </c>
      <c r="Q450" s="67" t="s">
        <v>125</v>
      </c>
      <c r="R450" s="69" t="s">
        <v>69</v>
      </c>
      <c r="S450" s="69" t="s">
        <v>68</v>
      </c>
      <c r="T450" s="67"/>
      <c r="U450" s="67"/>
      <c r="V450" s="72">
        <v>42916</v>
      </c>
      <c r="W450" s="69">
        <v>5114735</v>
      </c>
      <c r="X450" s="69"/>
      <c r="Y450" s="123"/>
      <c r="Z450" s="30">
        <f t="shared" si="12"/>
        <v>6763.7822038320437</v>
      </c>
      <c r="AA450" s="30">
        <f t="shared" si="13"/>
        <v>2113.6819386975139</v>
      </c>
      <c r="AB450" t="s">
        <v>456</v>
      </c>
    </row>
    <row r="451" spans="1:28">
      <c r="A451" s="67" t="s">
        <v>68</v>
      </c>
      <c r="B451" s="68">
        <v>1257644</v>
      </c>
      <c r="C451" s="69">
        <v>4615413507</v>
      </c>
      <c r="D451" s="70">
        <v>19175</v>
      </c>
      <c r="E451" s="79"/>
      <c r="F451" s="68">
        <v>16</v>
      </c>
      <c r="G451" s="68">
        <v>5</v>
      </c>
      <c r="H451" s="75">
        <v>0</v>
      </c>
      <c r="I451" s="68">
        <v>0</v>
      </c>
      <c r="J451" s="71"/>
      <c r="K451" s="71">
        <v>42836</v>
      </c>
      <c r="L451" s="69" t="s">
        <v>80</v>
      </c>
      <c r="M451" s="69" t="s">
        <v>109</v>
      </c>
      <c r="N451" s="72">
        <v>42996</v>
      </c>
      <c r="O451" s="67"/>
      <c r="P451" s="67" t="s">
        <v>95</v>
      </c>
      <c r="Q451" s="67" t="s">
        <v>125</v>
      </c>
      <c r="R451" s="69" t="s">
        <v>69</v>
      </c>
      <c r="S451" s="69" t="s">
        <v>68</v>
      </c>
      <c r="T451" s="67"/>
      <c r="U451" s="67"/>
      <c r="V451" s="72">
        <v>42916</v>
      </c>
      <c r="W451" s="69">
        <v>5114735</v>
      </c>
      <c r="X451" s="69"/>
      <c r="Y451" s="123"/>
      <c r="Z451" s="30">
        <f t="shared" ref="Z451:Z514" si="14">CONVERT(D451,"kg","lbm")*F451/100</f>
        <v>6763.7822038320437</v>
      </c>
      <c r="AA451" s="30">
        <f t="shared" ref="AA451:AA514" si="15">CONVERT(D451,"kg","lbm")*G451/100</f>
        <v>2113.6819386975139</v>
      </c>
      <c r="AB451" t="s">
        <v>456</v>
      </c>
    </row>
    <row r="452" spans="1:28">
      <c r="A452" s="67" t="s">
        <v>68</v>
      </c>
      <c r="B452" s="68">
        <v>1257637</v>
      </c>
      <c r="C452" s="69">
        <v>4615405332</v>
      </c>
      <c r="D452" s="70">
        <v>19175</v>
      </c>
      <c r="E452" s="79"/>
      <c r="F452" s="68">
        <v>16</v>
      </c>
      <c r="G452" s="68" t="s">
        <v>114</v>
      </c>
      <c r="H452" s="73">
        <v>0</v>
      </c>
      <c r="I452" s="68">
        <v>0</v>
      </c>
      <c r="J452" s="71"/>
      <c r="K452" s="71">
        <v>42836</v>
      </c>
      <c r="L452" s="69" t="s">
        <v>80</v>
      </c>
      <c r="M452" s="69" t="s">
        <v>109</v>
      </c>
      <c r="N452" s="72">
        <v>42996</v>
      </c>
      <c r="O452" s="67"/>
      <c r="P452" s="67" t="s">
        <v>95</v>
      </c>
      <c r="Q452" s="67" t="s">
        <v>125</v>
      </c>
      <c r="R452" s="69" t="s">
        <v>69</v>
      </c>
      <c r="S452" s="69" t="s">
        <v>68</v>
      </c>
      <c r="T452" s="67"/>
      <c r="U452" s="67"/>
      <c r="V452" s="72">
        <v>42916</v>
      </c>
      <c r="W452" s="69">
        <v>5114722</v>
      </c>
      <c r="X452" s="69"/>
      <c r="Y452" s="123"/>
      <c r="Z452" s="30">
        <f t="shared" si="14"/>
        <v>6763.7822038320437</v>
      </c>
      <c r="AA452" s="30">
        <f t="shared" si="15"/>
        <v>0</v>
      </c>
      <c r="AB452" t="s">
        <v>456</v>
      </c>
    </row>
    <row r="453" spans="1:28">
      <c r="A453" s="67" t="s">
        <v>113</v>
      </c>
      <c r="B453" s="68">
        <v>1255868</v>
      </c>
      <c r="C453" s="69">
        <v>4615406661</v>
      </c>
      <c r="D453" s="70">
        <v>19200</v>
      </c>
      <c r="E453" s="79"/>
      <c r="F453" s="73">
        <v>16</v>
      </c>
      <c r="G453" s="73" t="s">
        <v>114</v>
      </c>
      <c r="H453" s="68">
        <v>0</v>
      </c>
      <c r="I453" s="68">
        <v>0</v>
      </c>
      <c r="J453" s="71"/>
      <c r="K453" s="71">
        <v>42840</v>
      </c>
      <c r="L453" s="69" t="s">
        <v>80</v>
      </c>
      <c r="M453" s="69" t="s">
        <v>109</v>
      </c>
      <c r="N453" s="72">
        <v>42992</v>
      </c>
      <c r="O453" s="67"/>
      <c r="P453" s="67" t="s">
        <v>95</v>
      </c>
      <c r="Q453" s="67" t="s">
        <v>110</v>
      </c>
      <c r="R453" s="69" t="s">
        <v>69</v>
      </c>
      <c r="S453" s="69" t="s">
        <v>115</v>
      </c>
      <c r="T453" s="67"/>
      <c r="U453" s="67"/>
      <c r="V453" s="72">
        <v>42947</v>
      </c>
      <c r="W453" s="69" t="s">
        <v>185</v>
      </c>
      <c r="X453" s="69" t="s">
        <v>117</v>
      </c>
      <c r="Y453" s="123"/>
      <c r="Z453" s="30">
        <f t="shared" si="14"/>
        <v>6772.6006943194379</v>
      </c>
      <c r="AA453" s="30">
        <f t="shared" si="15"/>
        <v>0</v>
      </c>
      <c r="AB453" t="s">
        <v>456</v>
      </c>
    </row>
    <row r="454" spans="1:28">
      <c r="A454" s="67" t="s">
        <v>68</v>
      </c>
      <c r="B454" s="68">
        <v>1257631</v>
      </c>
      <c r="C454" s="69">
        <v>4615405332</v>
      </c>
      <c r="D454" s="70">
        <v>19175</v>
      </c>
      <c r="E454" s="79"/>
      <c r="F454" s="68">
        <v>16</v>
      </c>
      <c r="G454" s="68" t="s">
        <v>114</v>
      </c>
      <c r="H454" s="73">
        <v>0</v>
      </c>
      <c r="I454" s="68">
        <v>0</v>
      </c>
      <c r="J454" s="71"/>
      <c r="K454" s="71">
        <v>42806</v>
      </c>
      <c r="L454" s="69" t="s">
        <v>80</v>
      </c>
      <c r="M454" s="69" t="s">
        <v>109</v>
      </c>
      <c r="N454" s="72">
        <v>42992</v>
      </c>
      <c r="O454" s="67"/>
      <c r="P454" s="67" t="s">
        <v>95</v>
      </c>
      <c r="Q454" s="67" t="s">
        <v>125</v>
      </c>
      <c r="R454" s="69" t="s">
        <v>69</v>
      </c>
      <c r="S454" s="69" t="s">
        <v>68</v>
      </c>
      <c r="T454" s="67"/>
      <c r="U454" s="67"/>
      <c r="V454" s="72">
        <v>42916</v>
      </c>
      <c r="W454" s="69">
        <v>5114722</v>
      </c>
      <c r="X454" s="69"/>
      <c r="Y454" s="123"/>
      <c r="Z454" s="30">
        <f t="shared" si="14"/>
        <v>6763.7822038320437</v>
      </c>
      <c r="AA454" s="30">
        <f t="shared" si="15"/>
        <v>0</v>
      </c>
      <c r="AB454" t="s">
        <v>456</v>
      </c>
    </row>
    <row r="455" spans="1:28">
      <c r="A455" s="67" t="s">
        <v>68</v>
      </c>
      <c r="B455" s="68">
        <v>1257633</v>
      </c>
      <c r="C455" s="69">
        <v>4615405332</v>
      </c>
      <c r="D455" s="70">
        <v>19175</v>
      </c>
      <c r="E455" s="79"/>
      <c r="F455" s="68">
        <v>16</v>
      </c>
      <c r="G455" s="68" t="s">
        <v>114</v>
      </c>
      <c r="H455" s="73">
        <v>0</v>
      </c>
      <c r="I455" s="68">
        <v>0</v>
      </c>
      <c r="J455" s="71"/>
      <c r="K455" s="71">
        <v>42799</v>
      </c>
      <c r="L455" s="69" t="s">
        <v>80</v>
      </c>
      <c r="M455" s="69" t="s">
        <v>109</v>
      </c>
      <c r="N455" s="72">
        <v>42992</v>
      </c>
      <c r="O455" s="67"/>
      <c r="P455" s="67" t="s">
        <v>95</v>
      </c>
      <c r="Q455" s="67" t="s">
        <v>125</v>
      </c>
      <c r="R455" s="69" t="s">
        <v>69</v>
      </c>
      <c r="S455" s="69" t="s">
        <v>68</v>
      </c>
      <c r="T455" s="67"/>
      <c r="U455" s="67"/>
      <c r="V455" s="72">
        <v>42916</v>
      </c>
      <c r="W455" s="69">
        <v>5114722</v>
      </c>
      <c r="X455" s="69"/>
      <c r="Y455" s="123"/>
      <c r="Z455" s="30">
        <f t="shared" si="14"/>
        <v>6763.7822038320437</v>
      </c>
      <c r="AA455" s="30">
        <f t="shared" si="15"/>
        <v>0</v>
      </c>
      <c r="AB455" t="s">
        <v>456</v>
      </c>
    </row>
    <row r="456" spans="1:28">
      <c r="A456" s="67" t="s">
        <v>68</v>
      </c>
      <c r="B456" s="68">
        <v>1276300</v>
      </c>
      <c r="C456" s="69">
        <v>4615416369</v>
      </c>
      <c r="D456" s="70">
        <v>19175</v>
      </c>
      <c r="E456" s="79"/>
      <c r="F456" s="68">
        <v>16</v>
      </c>
      <c r="G456" s="68">
        <v>5</v>
      </c>
      <c r="H456" s="68">
        <v>0</v>
      </c>
      <c r="I456" s="68">
        <v>0</v>
      </c>
      <c r="J456" s="71"/>
      <c r="K456" s="71">
        <v>42766</v>
      </c>
      <c r="L456" s="69" t="s">
        <v>80</v>
      </c>
      <c r="M456" s="69" t="s">
        <v>109</v>
      </c>
      <c r="N456" s="72">
        <v>42992</v>
      </c>
      <c r="O456" s="67"/>
      <c r="P456" s="67" t="s">
        <v>95</v>
      </c>
      <c r="Q456" s="67" t="s">
        <v>125</v>
      </c>
      <c r="R456" s="69" t="s">
        <v>69</v>
      </c>
      <c r="S456" s="69" t="s">
        <v>68</v>
      </c>
      <c r="T456" s="67"/>
      <c r="U456" s="67"/>
      <c r="V456" s="72">
        <v>42978</v>
      </c>
      <c r="W456" s="69">
        <v>5114737</v>
      </c>
      <c r="X456" s="69"/>
      <c r="Y456" s="123"/>
      <c r="Z456" s="30">
        <f t="shared" si="14"/>
        <v>6763.7822038320437</v>
      </c>
      <c r="AA456" s="30">
        <f t="shared" si="15"/>
        <v>2113.6819386975139</v>
      </c>
      <c r="AB456" t="s">
        <v>456</v>
      </c>
    </row>
    <row r="457" spans="1:28">
      <c r="A457" s="67" t="s">
        <v>118</v>
      </c>
      <c r="B457" s="68">
        <v>1252708</v>
      </c>
      <c r="C457" s="69">
        <v>4615373433</v>
      </c>
      <c r="D457" s="70">
        <v>19175</v>
      </c>
      <c r="E457" s="79"/>
      <c r="F457" s="68">
        <v>10</v>
      </c>
      <c r="G457" s="68">
        <v>5</v>
      </c>
      <c r="H457" s="73">
        <v>0</v>
      </c>
      <c r="I457" s="68">
        <v>0</v>
      </c>
      <c r="J457" s="71"/>
      <c r="K457" s="71">
        <v>42836</v>
      </c>
      <c r="L457" s="69" t="s">
        <v>80</v>
      </c>
      <c r="M457" s="69" t="s">
        <v>109</v>
      </c>
      <c r="N457" s="72">
        <v>42991</v>
      </c>
      <c r="O457" s="67"/>
      <c r="P457" s="67" t="s">
        <v>95</v>
      </c>
      <c r="Q457" s="67" t="s">
        <v>120</v>
      </c>
      <c r="R457" s="69" t="s">
        <v>69</v>
      </c>
      <c r="S457" s="69" t="s">
        <v>121</v>
      </c>
      <c r="T457" s="67"/>
      <c r="U457" s="67"/>
      <c r="V457" s="72">
        <v>42916</v>
      </c>
      <c r="W457" s="69">
        <v>2021268</v>
      </c>
      <c r="X457" s="69"/>
      <c r="Y457" s="123"/>
      <c r="Z457" s="30">
        <f t="shared" si="14"/>
        <v>4227.3638773950279</v>
      </c>
      <c r="AA457" s="30">
        <f t="shared" si="15"/>
        <v>2113.6819386975139</v>
      </c>
      <c r="AB457" t="s">
        <v>456</v>
      </c>
    </row>
    <row r="458" spans="1:28">
      <c r="A458" s="67" t="s">
        <v>68</v>
      </c>
      <c r="B458" s="68">
        <v>1257636</v>
      </c>
      <c r="C458" s="69">
        <v>4615405332</v>
      </c>
      <c r="D458" s="70">
        <v>19175</v>
      </c>
      <c r="E458" s="79"/>
      <c r="F458" s="68">
        <v>16</v>
      </c>
      <c r="G458" s="68" t="s">
        <v>114</v>
      </c>
      <c r="H458" s="73">
        <v>0</v>
      </c>
      <c r="I458" s="68">
        <v>0</v>
      </c>
      <c r="J458" s="71"/>
      <c r="K458" s="71">
        <v>42827</v>
      </c>
      <c r="L458" s="69" t="s">
        <v>80</v>
      </c>
      <c r="M458" s="69" t="s">
        <v>109</v>
      </c>
      <c r="N458" s="72">
        <v>42991</v>
      </c>
      <c r="O458" s="67"/>
      <c r="P458" s="67" t="s">
        <v>95</v>
      </c>
      <c r="Q458" s="67" t="s">
        <v>125</v>
      </c>
      <c r="R458" s="69" t="s">
        <v>69</v>
      </c>
      <c r="S458" s="69" t="s">
        <v>68</v>
      </c>
      <c r="T458" s="67"/>
      <c r="U458" s="67"/>
      <c r="V458" s="72">
        <v>42916</v>
      </c>
      <c r="W458" s="69">
        <v>5114722</v>
      </c>
      <c r="X458" s="69"/>
      <c r="Y458" s="123"/>
      <c r="Z458" s="30">
        <f t="shared" si="14"/>
        <v>6763.7822038320437</v>
      </c>
      <c r="AA458" s="30">
        <f t="shared" si="15"/>
        <v>0</v>
      </c>
      <c r="AB458" t="s">
        <v>456</v>
      </c>
    </row>
    <row r="459" spans="1:28">
      <c r="A459" s="67" t="s">
        <v>68</v>
      </c>
      <c r="B459" s="68">
        <v>1257635</v>
      </c>
      <c r="C459" s="69">
        <v>4615405332</v>
      </c>
      <c r="D459" s="70">
        <v>19175</v>
      </c>
      <c r="E459" s="79"/>
      <c r="F459" s="68">
        <v>16</v>
      </c>
      <c r="G459" s="68" t="s">
        <v>114</v>
      </c>
      <c r="H459" s="73">
        <v>0</v>
      </c>
      <c r="I459" s="68">
        <v>0</v>
      </c>
      <c r="J459" s="71"/>
      <c r="K459" s="71">
        <v>42839</v>
      </c>
      <c r="L459" s="69" t="s">
        <v>80</v>
      </c>
      <c r="M459" s="69" t="s">
        <v>109</v>
      </c>
      <c r="N459" s="72">
        <v>42991</v>
      </c>
      <c r="O459" s="67"/>
      <c r="P459" s="67" t="s">
        <v>95</v>
      </c>
      <c r="Q459" s="67" t="s">
        <v>125</v>
      </c>
      <c r="R459" s="69" t="s">
        <v>69</v>
      </c>
      <c r="S459" s="69" t="s">
        <v>68</v>
      </c>
      <c r="T459" s="67"/>
      <c r="U459" s="67"/>
      <c r="V459" s="72">
        <v>42916</v>
      </c>
      <c r="W459" s="69">
        <v>5114722</v>
      </c>
      <c r="X459" s="69"/>
      <c r="Y459" s="123"/>
      <c r="Z459" s="30">
        <f t="shared" si="14"/>
        <v>6763.7822038320437</v>
      </c>
      <c r="AA459" s="30">
        <f t="shared" si="15"/>
        <v>0</v>
      </c>
      <c r="AB459" t="s">
        <v>456</v>
      </c>
    </row>
    <row r="460" spans="1:28">
      <c r="A460" s="67" t="s">
        <v>113</v>
      </c>
      <c r="B460" s="68">
        <v>1258304</v>
      </c>
      <c r="C460" s="69">
        <v>4615400271</v>
      </c>
      <c r="D460" s="70">
        <v>19200</v>
      </c>
      <c r="E460" s="79"/>
      <c r="F460" s="68">
        <v>16</v>
      </c>
      <c r="G460" s="68" t="s">
        <v>114</v>
      </c>
      <c r="H460" s="73">
        <v>0</v>
      </c>
      <c r="I460" s="68">
        <v>0</v>
      </c>
      <c r="J460" s="71"/>
      <c r="K460" s="71">
        <v>42841</v>
      </c>
      <c r="L460" s="69" t="s">
        <v>80</v>
      </c>
      <c r="M460" s="69" t="s">
        <v>109</v>
      </c>
      <c r="N460" s="72">
        <v>42991</v>
      </c>
      <c r="O460" s="67"/>
      <c r="P460" s="67" t="s">
        <v>95</v>
      </c>
      <c r="Q460" s="67" t="s">
        <v>110</v>
      </c>
      <c r="R460" s="69" t="s">
        <v>69</v>
      </c>
      <c r="S460" s="69" t="s">
        <v>115</v>
      </c>
      <c r="T460" s="67"/>
      <c r="U460" s="67"/>
      <c r="V460" s="72">
        <v>42947</v>
      </c>
      <c r="W460" s="69" t="s">
        <v>172</v>
      </c>
      <c r="X460" s="69" t="s">
        <v>173</v>
      </c>
      <c r="Y460" s="123"/>
      <c r="Z460" s="30">
        <f t="shared" si="14"/>
        <v>6772.6006943194379</v>
      </c>
      <c r="AA460" s="30">
        <f t="shared" si="15"/>
        <v>0</v>
      </c>
      <c r="AB460" t="s">
        <v>456</v>
      </c>
    </row>
    <row r="461" spans="1:28">
      <c r="A461" s="67" t="s">
        <v>131</v>
      </c>
      <c r="B461" s="68">
        <v>1259277</v>
      </c>
      <c r="C461" s="69">
        <v>4615424427</v>
      </c>
      <c r="D461" s="70">
        <v>19200</v>
      </c>
      <c r="E461" s="79"/>
      <c r="F461" s="68">
        <v>154.32</v>
      </c>
      <c r="G461" s="68" t="s">
        <v>114</v>
      </c>
      <c r="H461" s="73">
        <v>0</v>
      </c>
      <c r="I461" s="68">
        <v>0</v>
      </c>
      <c r="J461" s="71"/>
      <c r="K461" s="71">
        <v>42840</v>
      </c>
      <c r="L461" s="69" t="s">
        <v>80</v>
      </c>
      <c r="M461" s="69" t="s">
        <v>109</v>
      </c>
      <c r="N461" s="72">
        <v>42990</v>
      </c>
      <c r="O461" s="67"/>
      <c r="P461" s="67" t="s">
        <v>95</v>
      </c>
      <c r="Q461" s="67" t="s">
        <v>125</v>
      </c>
      <c r="R461" s="69" t="s">
        <v>69</v>
      </c>
      <c r="S461" s="69" t="s">
        <v>134</v>
      </c>
      <c r="T461" s="67"/>
      <c r="U461" s="67"/>
      <c r="V461" s="72">
        <v>42947</v>
      </c>
      <c r="W461" s="69" t="s">
        <v>180</v>
      </c>
      <c r="X461" s="69"/>
      <c r="Y461" s="123"/>
      <c r="Z461" s="30">
        <f t="shared" si="14"/>
        <v>65321.73369671098</v>
      </c>
      <c r="AA461" s="30">
        <f t="shared" si="15"/>
        <v>0</v>
      </c>
      <c r="AB461" t="s">
        <v>456</v>
      </c>
    </row>
    <row r="462" spans="1:28">
      <c r="A462" s="67" t="s">
        <v>68</v>
      </c>
      <c r="B462" s="68">
        <v>1257634</v>
      </c>
      <c r="C462" s="69">
        <v>4615405332</v>
      </c>
      <c r="D462" s="70">
        <v>19175</v>
      </c>
      <c r="E462" s="79"/>
      <c r="F462" s="68">
        <v>16</v>
      </c>
      <c r="G462" s="68" t="s">
        <v>114</v>
      </c>
      <c r="H462" s="73">
        <v>0</v>
      </c>
      <c r="I462" s="68">
        <v>0</v>
      </c>
      <c r="J462" s="71"/>
      <c r="K462" s="71">
        <v>42838</v>
      </c>
      <c r="L462" s="69" t="s">
        <v>80</v>
      </c>
      <c r="M462" s="69" t="s">
        <v>109</v>
      </c>
      <c r="N462" s="72">
        <v>42990</v>
      </c>
      <c r="O462" s="67"/>
      <c r="P462" s="67" t="s">
        <v>95</v>
      </c>
      <c r="Q462" s="67" t="s">
        <v>125</v>
      </c>
      <c r="R462" s="69" t="s">
        <v>69</v>
      </c>
      <c r="S462" s="69" t="s">
        <v>68</v>
      </c>
      <c r="T462" s="67"/>
      <c r="U462" s="67"/>
      <c r="V462" s="72">
        <v>42916</v>
      </c>
      <c r="W462" s="69">
        <v>5114722</v>
      </c>
      <c r="X462" s="69"/>
      <c r="Y462" s="123"/>
      <c r="Z462" s="30">
        <f t="shared" si="14"/>
        <v>6763.7822038320437</v>
      </c>
      <c r="AA462" s="30">
        <f t="shared" si="15"/>
        <v>0</v>
      </c>
      <c r="AB462" t="s">
        <v>456</v>
      </c>
    </row>
    <row r="463" spans="1:28">
      <c r="A463" s="67" t="s">
        <v>68</v>
      </c>
      <c r="B463" s="68">
        <v>1257628</v>
      </c>
      <c r="C463" s="69">
        <v>4615405332</v>
      </c>
      <c r="D463" s="70">
        <v>19175</v>
      </c>
      <c r="E463" s="79"/>
      <c r="F463" s="68">
        <v>16</v>
      </c>
      <c r="G463" s="68" t="s">
        <v>114</v>
      </c>
      <c r="H463" s="73">
        <v>0</v>
      </c>
      <c r="I463" s="68">
        <v>0</v>
      </c>
      <c r="J463" s="71"/>
      <c r="K463" s="71">
        <v>42837</v>
      </c>
      <c r="L463" s="69" t="s">
        <v>80</v>
      </c>
      <c r="M463" s="69" t="s">
        <v>109</v>
      </c>
      <c r="N463" s="72">
        <v>42990</v>
      </c>
      <c r="O463" s="67"/>
      <c r="P463" s="67" t="s">
        <v>95</v>
      </c>
      <c r="Q463" s="67" t="s">
        <v>125</v>
      </c>
      <c r="R463" s="69" t="s">
        <v>69</v>
      </c>
      <c r="S463" s="69" t="s">
        <v>68</v>
      </c>
      <c r="T463" s="67"/>
      <c r="U463" s="67"/>
      <c r="V463" s="72">
        <v>42916</v>
      </c>
      <c r="W463" s="69">
        <v>5114722</v>
      </c>
      <c r="X463" s="69"/>
      <c r="Y463" s="123"/>
      <c r="Z463" s="30">
        <f t="shared" si="14"/>
        <v>6763.7822038320437</v>
      </c>
      <c r="AA463" s="30">
        <f t="shared" si="15"/>
        <v>0</v>
      </c>
      <c r="AB463" t="s">
        <v>456</v>
      </c>
    </row>
    <row r="464" spans="1:28">
      <c r="A464" s="67" t="s">
        <v>113</v>
      </c>
      <c r="B464" s="68">
        <v>1255867</v>
      </c>
      <c r="C464" s="69">
        <v>4615406661</v>
      </c>
      <c r="D464" s="70">
        <v>19200</v>
      </c>
      <c r="E464" s="79"/>
      <c r="F464" s="73">
        <v>16</v>
      </c>
      <c r="G464" s="73" t="s">
        <v>114</v>
      </c>
      <c r="H464" s="68">
        <v>0</v>
      </c>
      <c r="I464" s="68">
        <v>0</v>
      </c>
      <c r="J464" s="71"/>
      <c r="K464" s="71">
        <v>42827</v>
      </c>
      <c r="L464" s="69" t="s">
        <v>80</v>
      </c>
      <c r="M464" s="69" t="s">
        <v>109</v>
      </c>
      <c r="N464" s="72">
        <v>42990</v>
      </c>
      <c r="O464" s="67"/>
      <c r="P464" s="67" t="s">
        <v>95</v>
      </c>
      <c r="Q464" s="67" t="s">
        <v>110</v>
      </c>
      <c r="R464" s="69" t="s">
        <v>69</v>
      </c>
      <c r="S464" s="69" t="s">
        <v>115</v>
      </c>
      <c r="T464" s="67"/>
      <c r="U464" s="67"/>
      <c r="V464" s="72">
        <v>42947</v>
      </c>
      <c r="W464" s="69" t="s">
        <v>185</v>
      </c>
      <c r="X464" s="69" t="s">
        <v>117</v>
      </c>
      <c r="Y464" s="123"/>
      <c r="Z464" s="30">
        <f t="shared" si="14"/>
        <v>6772.6006943194379</v>
      </c>
      <c r="AA464" s="30">
        <f t="shared" si="15"/>
        <v>0</v>
      </c>
      <c r="AB464" t="s">
        <v>456</v>
      </c>
    </row>
    <row r="465" spans="1:28">
      <c r="A465" s="67" t="s">
        <v>113</v>
      </c>
      <c r="B465" s="68">
        <v>1251861</v>
      </c>
      <c r="C465" s="69">
        <v>4615404823</v>
      </c>
      <c r="D465" s="70">
        <v>19200</v>
      </c>
      <c r="E465" s="79"/>
      <c r="F465" s="68">
        <v>16</v>
      </c>
      <c r="G465" s="68" t="s">
        <v>114</v>
      </c>
      <c r="H465" s="73">
        <v>0</v>
      </c>
      <c r="I465" s="68">
        <v>0</v>
      </c>
      <c r="J465" s="71"/>
      <c r="K465" s="71">
        <v>42843</v>
      </c>
      <c r="L465" s="69" t="s">
        <v>80</v>
      </c>
      <c r="M465" s="69" t="s">
        <v>109</v>
      </c>
      <c r="N465" s="72">
        <v>42989</v>
      </c>
      <c r="O465" s="67"/>
      <c r="P465" s="67" t="s">
        <v>95</v>
      </c>
      <c r="Q465" s="67" t="s">
        <v>110</v>
      </c>
      <c r="R465" s="69" t="s">
        <v>69</v>
      </c>
      <c r="S465" s="69" t="s">
        <v>115</v>
      </c>
      <c r="T465" s="67"/>
      <c r="U465" s="67"/>
      <c r="V465" s="72">
        <v>42916</v>
      </c>
      <c r="W465" s="69" t="s">
        <v>186</v>
      </c>
      <c r="X465" s="69" t="s">
        <v>117</v>
      </c>
      <c r="Y465" s="123"/>
      <c r="Z465" s="30">
        <f t="shared" si="14"/>
        <v>6772.6006943194379</v>
      </c>
      <c r="AA465" s="30">
        <f t="shared" si="15"/>
        <v>0</v>
      </c>
      <c r="AB465" t="s">
        <v>456</v>
      </c>
    </row>
    <row r="466" spans="1:28">
      <c r="A466" s="67" t="s">
        <v>113</v>
      </c>
      <c r="B466" s="68">
        <v>1251859</v>
      </c>
      <c r="C466" s="69">
        <v>4615404823</v>
      </c>
      <c r="D466" s="70">
        <v>19200</v>
      </c>
      <c r="E466" s="79"/>
      <c r="F466" s="68">
        <v>16</v>
      </c>
      <c r="G466" s="68" t="s">
        <v>114</v>
      </c>
      <c r="H466" s="73">
        <v>0</v>
      </c>
      <c r="I466" s="68">
        <v>0</v>
      </c>
      <c r="J466" s="71"/>
      <c r="K466" s="71">
        <v>42827</v>
      </c>
      <c r="L466" s="69" t="s">
        <v>80</v>
      </c>
      <c r="M466" s="69" t="s">
        <v>109</v>
      </c>
      <c r="N466" s="72">
        <v>42989</v>
      </c>
      <c r="O466" s="67"/>
      <c r="P466" s="67" t="s">
        <v>95</v>
      </c>
      <c r="Q466" s="67" t="s">
        <v>110</v>
      </c>
      <c r="R466" s="69" t="s">
        <v>69</v>
      </c>
      <c r="S466" s="69" t="s">
        <v>115</v>
      </c>
      <c r="T466" s="67"/>
      <c r="U466" s="67"/>
      <c r="V466" s="72">
        <v>42916</v>
      </c>
      <c r="W466" s="69" t="s">
        <v>186</v>
      </c>
      <c r="X466" s="69" t="s">
        <v>117</v>
      </c>
      <c r="Y466" s="123"/>
      <c r="Z466" s="30">
        <f t="shared" si="14"/>
        <v>6772.6006943194379</v>
      </c>
      <c r="AA466" s="30">
        <f t="shared" si="15"/>
        <v>0</v>
      </c>
      <c r="AB466" t="s">
        <v>456</v>
      </c>
    </row>
    <row r="467" spans="1:28">
      <c r="A467" s="67" t="s">
        <v>118</v>
      </c>
      <c r="B467" s="68">
        <v>1252706</v>
      </c>
      <c r="C467" s="69">
        <v>4615373433</v>
      </c>
      <c r="D467" s="70">
        <v>19175</v>
      </c>
      <c r="E467" s="79"/>
      <c r="F467" s="68">
        <v>10</v>
      </c>
      <c r="G467" s="68">
        <v>5</v>
      </c>
      <c r="H467" s="73">
        <v>0</v>
      </c>
      <c r="I467" s="68">
        <v>0</v>
      </c>
      <c r="J467" s="71"/>
      <c r="K467" s="71">
        <v>42839</v>
      </c>
      <c r="L467" s="69" t="s">
        <v>80</v>
      </c>
      <c r="M467" s="69" t="s">
        <v>109</v>
      </c>
      <c r="N467" s="72">
        <v>42989</v>
      </c>
      <c r="O467" s="67"/>
      <c r="P467" s="67" t="s">
        <v>95</v>
      </c>
      <c r="Q467" s="67" t="s">
        <v>120</v>
      </c>
      <c r="R467" s="69" t="s">
        <v>69</v>
      </c>
      <c r="S467" s="69" t="s">
        <v>121</v>
      </c>
      <c r="T467" s="67"/>
      <c r="U467" s="67"/>
      <c r="V467" s="72">
        <v>42916</v>
      </c>
      <c r="W467" s="69">
        <v>2021268</v>
      </c>
      <c r="X467" s="69"/>
      <c r="Y467" s="123"/>
      <c r="Z467" s="30">
        <f t="shared" si="14"/>
        <v>4227.3638773950279</v>
      </c>
      <c r="AA467" s="30">
        <f t="shared" si="15"/>
        <v>2113.6819386975139</v>
      </c>
      <c r="AB467" t="s">
        <v>456</v>
      </c>
    </row>
    <row r="468" spans="1:28">
      <c r="A468" s="67" t="s">
        <v>68</v>
      </c>
      <c r="B468" s="68">
        <v>1257630</v>
      </c>
      <c r="C468" s="69">
        <v>4615405332</v>
      </c>
      <c r="D468" s="70">
        <v>19175</v>
      </c>
      <c r="E468" s="79"/>
      <c r="F468" s="68">
        <v>16</v>
      </c>
      <c r="G468" s="68" t="s">
        <v>114</v>
      </c>
      <c r="H468" s="73">
        <v>0</v>
      </c>
      <c r="I468" s="68">
        <v>0</v>
      </c>
      <c r="J468" s="71"/>
      <c r="K468" s="71">
        <v>42801</v>
      </c>
      <c r="L468" s="69" t="s">
        <v>80</v>
      </c>
      <c r="M468" s="69" t="s">
        <v>109</v>
      </c>
      <c r="N468" s="72">
        <v>42989</v>
      </c>
      <c r="O468" s="67"/>
      <c r="P468" s="67" t="s">
        <v>95</v>
      </c>
      <c r="Q468" s="67" t="s">
        <v>125</v>
      </c>
      <c r="R468" s="69" t="s">
        <v>69</v>
      </c>
      <c r="S468" s="69" t="s">
        <v>68</v>
      </c>
      <c r="T468" s="67"/>
      <c r="U468" s="67"/>
      <c r="V468" s="72">
        <v>42916</v>
      </c>
      <c r="W468" s="69">
        <v>5114722</v>
      </c>
      <c r="X468" s="69"/>
      <c r="Y468" s="123"/>
      <c r="Z468" s="30">
        <f t="shared" si="14"/>
        <v>6763.7822038320437</v>
      </c>
      <c r="AA468" s="30">
        <f t="shared" si="15"/>
        <v>0</v>
      </c>
      <c r="AB468" t="s">
        <v>456</v>
      </c>
    </row>
    <row r="469" spans="1:28">
      <c r="A469" s="67" t="s">
        <v>131</v>
      </c>
      <c r="B469" s="68">
        <v>1260500</v>
      </c>
      <c r="C469" s="69">
        <v>4615470944</v>
      </c>
      <c r="D469" s="70">
        <v>19200</v>
      </c>
      <c r="E469" s="79"/>
      <c r="F469" s="68">
        <v>154.4</v>
      </c>
      <c r="G469" s="75">
        <v>0</v>
      </c>
      <c r="H469" s="68">
        <v>0</v>
      </c>
      <c r="I469" s="68">
        <v>0</v>
      </c>
      <c r="J469" s="71"/>
      <c r="K469" s="71">
        <v>42843</v>
      </c>
      <c r="L469" s="69" t="s">
        <v>80</v>
      </c>
      <c r="M469" s="69" t="s">
        <v>109</v>
      </c>
      <c r="N469" s="72">
        <v>42988</v>
      </c>
      <c r="O469" s="67"/>
      <c r="P469" s="67" t="s">
        <v>95</v>
      </c>
      <c r="Q469" s="67" t="s">
        <v>125</v>
      </c>
      <c r="R469" s="69" t="s">
        <v>69</v>
      </c>
      <c r="S469" s="69" t="s">
        <v>134</v>
      </c>
      <c r="T469" s="67"/>
      <c r="U469" s="67"/>
      <c r="V469" s="72">
        <v>42947</v>
      </c>
      <c r="W469" s="69" t="s">
        <v>184</v>
      </c>
      <c r="X469" s="69"/>
      <c r="Y469" s="123"/>
      <c r="Z469" s="30">
        <f t="shared" si="14"/>
        <v>65355.596700182585</v>
      </c>
      <c r="AA469" s="30">
        <f t="shared" si="15"/>
        <v>0</v>
      </c>
      <c r="AB469" t="s">
        <v>456</v>
      </c>
    </row>
    <row r="470" spans="1:28">
      <c r="A470" s="67" t="s">
        <v>122</v>
      </c>
      <c r="B470" s="68">
        <v>1269259</v>
      </c>
      <c r="C470" s="69">
        <v>4615415575</v>
      </c>
      <c r="D470" s="70">
        <v>19175</v>
      </c>
      <c r="E470" s="79"/>
      <c r="F470" s="68">
        <v>16</v>
      </c>
      <c r="G470" s="68">
        <v>5</v>
      </c>
      <c r="H470" s="75">
        <v>0</v>
      </c>
      <c r="I470" s="68">
        <v>0</v>
      </c>
      <c r="J470" s="71"/>
      <c r="K470" s="71">
        <v>42786</v>
      </c>
      <c r="L470" s="69" t="s">
        <v>80</v>
      </c>
      <c r="M470" s="69" t="s">
        <v>109</v>
      </c>
      <c r="N470" s="72">
        <v>42988</v>
      </c>
      <c r="O470" s="67"/>
      <c r="P470" s="67" t="s">
        <v>95</v>
      </c>
      <c r="Q470" s="67" t="s">
        <v>120</v>
      </c>
      <c r="R470" s="69" t="s">
        <v>69</v>
      </c>
      <c r="S470" s="69" t="s">
        <v>123</v>
      </c>
      <c r="T470" s="67"/>
      <c r="U470" s="67"/>
      <c r="V470" s="72">
        <v>42947</v>
      </c>
      <c r="W470" s="69">
        <v>2025752</v>
      </c>
      <c r="X470" s="69" t="s">
        <v>187</v>
      </c>
      <c r="Y470" s="123"/>
      <c r="Z470" s="30">
        <f t="shared" si="14"/>
        <v>6763.7822038320437</v>
      </c>
      <c r="AA470" s="30">
        <f t="shared" si="15"/>
        <v>2113.6819386975139</v>
      </c>
      <c r="AB470" t="s">
        <v>456</v>
      </c>
    </row>
    <row r="471" spans="1:28">
      <c r="A471" s="67" t="s">
        <v>122</v>
      </c>
      <c r="B471" s="68">
        <v>1269258</v>
      </c>
      <c r="C471" s="69">
        <v>4615415575</v>
      </c>
      <c r="D471" s="70">
        <v>19175</v>
      </c>
      <c r="E471" s="79"/>
      <c r="F471" s="68">
        <v>16</v>
      </c>
      <c r="G471" s="68">
        <v>5</v>
      </c>
      <c r="H471" s="75">
        <v>0</v>
      </c>
      <c r="I471" s="68">
        <v>0</v>
      </c>
      <c r="J471" s="71"/>
      <c r="K471" s="71">
        <v>42786</v>
      </c>
      <c r="L471" s="69" t="s">
        <v>80</v>
      </c>
      <c r="M471" s="69" t="s">
        <v>109</v>
      </c>
      <c r="N471" s="72">
        <v>42988</v>
      </c>
      <c r="O471" s="67"/>
      <c r="P471" s="67" t="s">
        <v>95</v>
      </c>
      <c r="Q471" s="67" t="s">
        <v>120</v>
      </c>
      <c r="R471" s="69" t="s">
        <v>69</v>
      </c>
      <c r="S471" s="69" t="s">
        <v>123</v>
      </c>
      <c r="T471" s="67"/>
      <c r="U471" s="67"/>
      <c r="V471" s="72">
        <v>42947</v>
      </c>
      <c r="W471" s="69">
        <v>2025752</v>
      </c>
      <c r="X471" s="69" t="s">
        <v>187</v>
      </c>
      <c r="Y471" s="123"/>
      <c r="Z471" s="30">
        <f t="shared" si="14"/>
        <v>6763.7822038320437</v>
      </c>
      <c r="AA471" s="30">
        <f t="shared" si="15"/>
        <v>2113.6819386975139</v>
      </c>
      <c r="AB471" t="s">
        <v>456</v>
      </c>
    </row>
    <row r="472" spans="1:28">
      <c r="A472" s="67" t="s">
        <v>68</v>
      </c>
      <c r="B472" s="68">
        <v>1268457</v>
      </c>
      <c r="C472" s="69">
        <v>4615416879</v>
      </c>
      <c r="D472" s="70">
        <v>19175</v>
      </c>
      <c r="E472" s="79"/>
      <c r="F472" s="68">
        <v>16</v>
      </c>
      <c r="G472" s="68">
        <v>5</v>
      </c>
      <c r="H472" s="68">
        <v>0</v>
      </c>
      <c r="I472" s="68">
        <v>0</v>
      </c>
      <c r="J472" s="71"/>
      <c r="K472" s="71">
        <v>42841</v>
      </c>
      <c r="L472" s="69" t="s">
        <v>80</v>
      </c>
      <c r="M472" s="69" t="s">
        <v>109</v>
      </c>
      <c r="N472" s="72">
        <v>42988</v>
      </c>
      <c r="O472" s="67"/>
      <c r="P472" s="67" t="s">
        <v>95</v>
      </c>
      <c r="Q472" s="67" t="s">
        <v>125</v>
      </c>
      <c r="R472" s="69" t="s">
        <v>69</v>
      </c>
      <c r="S472" s="69" t="s">
        <v>68</v>
      </c>
      <c r="T472" s="67"/>
      <c r="U472" s="67"/>
      <c r="V472" s="72">
        <v>42947</v>
      </c>
      <c r="W472" s="69">
        <v>5114736</v>
      </c>
      <c r="X472" s="69"/>
      <c r="Y472" s="123"/>
      <c r="Z472" s="30">
        <f t="shared" si="14"/>
        <v>6763.7822038320437</v>
      </c>
      <c r="AA472" s="30">
        <f t="shared" si="15"/>
        <v>2113.6819386975139</v>
      </c>
      <c r="AB472" t="s">
        <v>456</v>
      </c>
    </row>
    <row r="473" spans="1:28">
      <c r="A473" s="67" t="s">
        <v>113</v>
      </c>
      <c r="B473" s="68">
        <v>1250777</v>
      </c>
      <c r="C473" s="69">
        <v>4615406599</v>
      </c>
      <c r="D473" s="70">
        <v>19200</v>
      </c>
      <c r="E473" s="79"/>
      <c r="F473" s="73">
        <v>16</v>
      </c>
      <c r="G473" s="73" t="s">
        <v>114</v>
      </c>
      <c r="H473" s="73">
        <v>0</v>
      </c>
      <c r="I473" s="68">
        <v>0</v>
      </c>
      <c r="J473" s="71"/>
      <c r="K473" s="71">
        <v>42764</v>
      </c>
      <c r="L473" s="69" t="s">
        <v>80</v>
      </c>
      <c r="M473" s="69" t="s">
        <v>109</v>
      </c>
      <c r="N473" s="72">
        <v>42988</v>
      </c>
      <c r="O473" s="67"/>
      <c r="P473" s="67" t="s">
        <v>95</v>
      </c>
      <c r="Q473" s="67" t="s">
        <v>110</v>
      </c>
      <c r="R473" s="69" t="s">
        <v>69</v>
      </c>
      <c r="S473" s="69" t="s">
        <v>115</v>
      </c>
      <c r="T473" s="67"/>
      <c r="U473" s="67"/>
      <c r="V473" s="72">
        <v>42916</v>
      </c>
      <c r="W473" s="69" t="s">
        <v>188</v>
      </c>
      <c r="X473" s="69" t="s">
        <v>117</v>
      </c>
      <c r="Y473" s="123"/>
      <c r="Z473" s="30">
        <f t="shared" si="14"/>
        <v>6772.6006943194379</v>
      </c>
      <c r="AA473" s="30">
        <f t="shared" si="15"/>
        <v>0</v>
      </c>
      <c r="AB473" t="s">
        <v>456</v>
      </c>
    </row>
    <row r="474" spans="1:28">
      <c r="A474" s="67" t="s">
        <v>118</v>
      </c>
      <c r="B474" s="68">
        <v>1252704</v>
      </c>
      <c r="C474" s="69">
        <v>4615373433</v>
      </c>
      <c r="D474" s="70">
        <v>19175</v>
      </c>
      <c r="E474" s="80"/>
      <c r="F474" s="68">
        <v>10</v>
      </c>
      <c r="G474" s="68">
        <v>5</v>
      </c>
      <c r="H474" s="73">
        <v>0</v>
      </c>
      <c r="I474" s="68">
        <v>0</v>
      </c>
      <c r="J474" s="71"/>
      <c r="K474" s="71">
        <v>42839</v>
      </c>
      <c r="L474" s="69" t="s">
        <v>80</v>
      </c>
      <c r="M474" s="69" t="s">
        <v>109</v>
      </c>
      <c r="N474" s="72">
        <v>42988</v>
      </c>
      <c r="O474" s="67"/>
      <c r="P474" s="67" t="s">
        <v>95</v>
      </c>
      <c r="Q474" s="67" t="s">
        <v>120</v>
      </c>
      <c r="R474" s="69" t="s">
        <v>69</v>
      </c>
      <c r="S474" s="69" t="s">
        <v>121</v>
      </c>
      <c r="T474" s="67"/>
      <c r="U474" s="67"/>
      <c r="V474" s="72">
        <v>42916</v>
      </c>
      <c r="W474" s="69">
        <v>2021268</v>
      </c>
      <c r="X474" s="69"/>
      <c r="Y474" s="123"/>
      <c r="Z474" s="30">
        <f t="shared" si="14"/>
        <v>4227.3638773950279</v>
      </c>
      <c r="AA474" s="30">
        <f t="shared" si="15"/>
        <v>2113.6819386975139</v>
      </c>
      <c r="AB474" t="s">
        <v>456</v>
      </c>
    </row>
    <row r="475" spans="1:28">
      <c r="A475" s="67" t="s">
        <v>68</v>
      </c>
      <c r="B475" s="68">
        <v>1257623</v>
      </c>
      <c r="C475" s="69">
        <v>4615405332</v>
      </c>
      <c r="D475" s="70">
        <v>19175</v>
      </c>
      <c r="E475" s="80"/>
      <c r="F475" s="68">
        <v>16</v>
      </c>
      <c r="G475" s="68" t="s">
        <v>114</v>
      </c>
      <c r="H475" s="73">
        <v>0</v>
      </c>
      <c r="I475" s="68">
        <v>0</v>
      </c>
      <c r="J475" s="71"/>
      <c r="K475" s="71">
        <v>42802</v>
      </c>
      <c r="L475" s="69" t="s">
        <v>80</v>
      </c>
      <c r="M475" s="69" t="s">
        <v>109</v>
      </c>
      <c r="N475" s="72">
        <v>42988</v>
      </c>
      <c r="O475" s="67"/>
      <c r="P475" s="67" t="s">
        <v>95</v>
      </c>
      <c r="Q475" s="67" t="s">
        <v>125</v>
      </c>
      <c r="R475" s="69" t="s">
        <v>69</v>
      </c>
      <c r="S475" s="69" t="s">
        <v>68</v>
      </c>
      <c r="T475" s="67"/>
      <c r="U475" s="67"/>
      <c r="V475" s="72">
        <v>42916</v>
      </c>
      <c r="W475" s="69">
        <v>5114722</v>
      </c>
      <c r="X475" s="69"/>
      <c r="Y475" s="123"/>
      <c r="Z475" s="30">
        <f t="shared" si="14"/>
        <v>6763.7822038320437</v>
      </c>
      <c r="AA475" s="30">
        <f t="shared" si="15"/>
        <v>0</v>
      </c>
      <c r="AB475" t="s">
        <v>456</v>
      </c>
    </row>
    <row r="476" spans="1:28">
      <c r="A476" s="67" t="s">
        <v>68</v>
      </c>
      <c r="B476" s="68">
        <v>1257626</v>
      </c>
      <c r="C476" s="69">
        <v>4615405332</v>
      </c>
      <c r="D476" s="70">
        <v>19175</v>
      </c>
      <c r="E476" s="80"/>
      <c r="F476" s="68">
        <v>16</v>
      </c>
      <c r="G476" s="68" t="s">
        <v>114</v>
      </c>
      <c r="H476" s="73">
        <v>0</v>
      </c>
      <c r="I476" s="68">
        <v>0</v>
      </c>
      <c r="J476" s="71"/>
      <c r="K476" s="71">
        <v>42823</v>
      </c>
      <c r="L476" s="69" t="s">
        <v>80</v>
      </c>
      <c r="M476" s="69" t="s">
        <v>109</v>
      </c>
      <c r="N476" s="72">
        <v>42988</v>
      </c>
      <c r="O476" s="67"/>
      <c r="P476" s="67" t="s">
        <v>95</v>
      </c>
      <c r="Q476" s="67" t="s">
        <v>125</v>
      </c>
      <c r="R476" s="69" t="s">
        <v>69</v>
      </c>
      <c r="S476" s="69" t="s">
        <v>68</v>
      </c>
      <c r="T476" s="67"/>
      <c r="U476" s="67"/>
      <c r="V476" s="72">
        <v>42916</v>
      </c>
      <c r="W476" s="69">
        <v>5114722</v>
      </c>
      <c r="X476" s="69"/>
      <c r="Y476" s="123"/>
      <c r="Z476" s="30">
        <f t="shared" si="14"/>
        <v>6763.7822038320437</v>
      </c>
      <c r="AA476" s="30">
        <f t="shared" si="15"/>
        <v>0</v>
      </c>
      <c r="AB476" t="s">
        <v>456</v>
      </c>
    </row>
    <row r="477" spans="1:28">
      <c r="A477" s="67" t="s">
        <v>68</v>
      </c>
      <c r="B477" s="68">
        <v>1257632</v>
      </c>
      <c r="C477" s="69">
        <v>4615405332</v>
      </c>
      <c r="D477" s="70">
        <v>19175</v>
      </c>
      <c r="E477" s="80"/>
      <c r="F477" s="68">
        <v>16</v>
      </c>
      <c r="G477" s="68" t="s">
        <v>114</v>
      </c>
      <c r="H477" s="73">
        <v>0</v>
      </c>
      <c r="I477" s="68">
        <v>0</v>
      </c>
      <c r="J477" s="71"/>
      <c r="K477" s="71">
        <v>42768</v>
      </c>
      <c r="L477" s="69" t="s">
        <v>80</v>
      </c>
      <c r="M477" s="69" t="s">
        <v>109</v>
      </c>
      <c r="N477" s="72">
        <v>42988</v>
      </c>
      <c r="O477" s="67"/>
      <c r="P477" s="67" t="s">
        <v>95</v>
      </c>
      <c r="Q477" s="67" t="s">
        <v>125</v>
      </c>
      <c r="R477" s="69" t="s">
        <v>69</v>
      </c>
      <c r="S477" s="69" t="s">
        <v>68</v>
      </c>
      <c r="T477" s="67"/>
      <c r="U477" s="67"/>
      <c r="V477" s="72">
        <v>42916</v>
      </c>
      <c r="W477" s="69">
        <v>5114722</v>
      </c>
      <c r="X477" s="69"/>
      <c r="Y477" s="123"/>
      <c r="Z477" s="30">
        <f t="shared" si="14"/>
        <v>6763.7822038320437</v>
      </c>
      <c r="AA477" s="30">
        <f t="shared" si="15"/>
        <v>0</v>
      </c>
      <c r="AB477" t="s">
        <v>456</v>
      </c>
    </row>
    <row r="478" spans="1:28">
      <c r="A478" s="67" t="s">
        <v>122</v>
      </c>
      <c r="B478" s="68">
        <v>1255520</v>
      </c>
      <c r="C478" s="69">
        <v>4615408445</v>
      </c>
      <c r="D478" s="70">
        <v>19200</v>
      </c>
      <c r="E478" s="80"/>
      <c r="F478" s="68">
        <v>16</v>
      </c>
      <c r="G478" s="68">
        <v>5</v>
      </c>
      <c r="H478" s="68">
        <v>0</v>
      </c>
      <c r="I478" s="68">
        <v>0</v>
      </c>
      <c r="J478" s="71"/>
      <c r="K478" s="71">
        <v>42779</v>
      </c>
      <c r="L478" s="69" t="s">
        <v>80</v>
      </c>
      <c r="M478" s="69" t="s">
        <v>109</v>
      </c>
      <c r="N478" s="72">
        <v>42988</v>
      </c>
      <c r="O478" s="67"/>
      <c r="P478" s="67" t="s">
        <v>95</v>
      </c>
      <c r="Q478" s="67" t="s">
        <v>120</v>
      </c>
      <c r="R478" s="69" t="s">
        <v>69</v>
      </c>
      <c r="S478" s="69" t="s">
        <v>123</v>
      </c>
      <c r="T478" s="67"/>
      <c r="U478" s="67"/>
      <c r="V478" s="72">
        <v>42916</v>
      </c>
      <c r="W478" s="69">
        <v>2025766</v>
      </c>
      <c r="X478" s="69"/>
      <c r="Y478" s="123"/>
      <c r="Z478" s="30">
        <f t="shared" si="14"/>
        <v>6772.6006943194379</v>
      </c>
      <c r="AA478" s="30">
        <f t="shared" si="15"/>
        <v>2116.4377169748245</v>
      </c>
      <c r="AB478" t="s">
        <v>456</v>
      </c>
    </row>
    <row r="479" spans="1:28">
      <c r="A479" s="67" t="s">
        <v>122</v>
      </c>
      <c r="B479" s="68">
        <v>1253516</v>
      </c>
      <c r="C479" s="69">
        <v>4615415544</v>
      </c>
      <c r="D479" s="70">
        <v>19200</v>
      </c>
      <c r="E479" s="80"/>
      <c r="F479" s="68">
        <v>16</v>
      </c>
      <c r="G479" s="68">
        <v>5</v>
      </c>
      <c r="H479" s="68">
        <v>0</v>
      </c>
      <c r="I479" s="68">
        <v>0</v>
      </c>
      <c r="J479" s="71"/>
      <c r="K479" s="71">
        <v>42765</v>
      </c>
      <c r="L479" s="69" t="s">
        <v>80</v>
      </c>
      <c r="M479" s="69" t="s">
        <v>109</v>
      </c>
      <c r="N479" s="72">
        <v>42988</v>
      </c>
      <c r="O479" s="67"/>
      <c r="P479" s="67" t="s">
        <v>95</v>
      </c>
      <c r="Q479" s="67" t="s">
        <v>120</v>
      </c>
      <c r="R479" s="69" t="s">
        <v>69</v>
      </c>
      <c r="S479" s="69" t="s">
        <v>123</v>
      </c>
      <c r="T479" s="67"/>
      <c r="U479" s="67"/>
      <c r="V479" s="72">
        <v>42916</v>
      </c>
      <c r="W479" s="69">
        <v>2025783</v>
      </c>
      <c r="X479" s="69"/>
      <c r="Y479" s="123"/>
      <c r="Z479" s="30">
        <f t="shared" si="14"/>
        <v>6772.6006943194379</v>
      </c>
      <c r="AA479" s="30">
        <f t="shared" si="15"/>
        <v>2116.4377169748245</v>
      </c>
      <c r="AB479" t="s">
        <v>456</v>
      </c>
    </row>
    <row r="480" spans="1:28">
      <c r="A480" s="67" t="s">
        <v>68</v>
      </c>
      <c r="B480" s="68">
        <v>1257627</v>
      </c>
      <c r="C480" s="69">
        <v>4615405332</v>
      </c>
      <c r="D480" s="70">
        <v>19175</v>
      </c>
      <c r="E480" s="80"/>
      <c r="F480" s="68">
        <v>16</v>
      </c>
      <c r="G480" s="68" t="s">
        <v>114</v>
      </c>
      <c r="H480" s="73">
        <v>0</v>
      </c>
      <c r="I480" s="68">
        <v>0</v>
      </c>
      <c r="J480" s="71"/>
      <c r="K480" s="71">
        <v>42808</v>
      </c>
      <c r="L480" s="69" t="s">
        <v>80</v>
      </c>
      <c r="M480" s="69" t="s">
        <v>109</v>
      </c>
      <c r="N480" s="72">
        <v>42988</v>
      </c>
      <c r="O480" s="67"/>
      <c r="P480" s="67" t="s">
        <v>95</v>
      </c>
      <c r="Q480" s="67" t="s">
        <v>125</v>
      </c>
      <c r="R480" s="69" t="s">
        <v>69</v>
      </c>
      <c r="S480" s="69" t="s">
        <v>68</v>
      </c>
      <c r="T480" s="67"/>
      <c r="U480" s="67"/>
      <c r="V480" s="72">
        <v>42916</v>
      </c>
      <c r="W480" s="69">
        <v>5114722</v>
      </c>
      <c r="X480" s="69"/>
      <c r="Y480" s="123"/>
      <c r="Z480" s="30">
        <f t="shared" si="14"/>
        <v>6763.7822038320437</v>
      </c>
      <c r="AA480" s="30">
        <f t="shared" si="15"/>
        <v>0</v>
      </c>
      <c r="AB480" t="s">
        <v>456</v>
      </c>
    </row>
    <row r="481" spans="1:28">
      <c r="A481" s="67" t="s">
        <v>68</v>
      </c>
      <c r="B481" s="68">
        <v>1257624</v>
      </c>
      <c r="C481" s="69">
        <v>4615405332</v>
      </c>
      <c r="D481" s="70">
        <v>19175</v>
      </c>
      <c r="E481" s="80"/>
      <c r="F481" s="68">
        <v>16</v>
      </c>
      <c r="G481" s="68" t="s">
        <v>114</v>
      </c>
      <c r="H481" s="73">
        <v>0</v>
      </c>
      <c r="I481" s="68">
        <v>0</v>
      </c>
      <c r="J481" s="71"/>
      <c r="K481" s="71">
        <v>42808</v>
      </c>
      <c r="L481" s="69" t="s">
        <v>80</v>
      </c>
      <c r="M481" s="69" t="s">
        <v>109</v>
      </c>
      <c r="N481" s="72">
        <v>42988</v>
      </c>
      <c r="O481" s="67"/>
      <c r="P481" s="67" t="s">
        <v>95</v>
      </c>
      <c r="Q481" s="67" t="s">
        <v>125</v>
      </c>
      <c r="R481" s="69" t="s">
        <v>69</v>
      </c>
      <c r="S481" s="69" t="s">
        <v>68</v>
      </c>
      <c r="T481" s="67"/>
      <c r="U481" s="67"/>
      <c r="V481" s="72">
        <v>42916</v>
      </c>
      <c r="W481" s="69">
        <v>5114722</v>
      </c>
      <c r="X481" s="69"/>
      <c r="Y481" s="123"/>
      <c r="Z481" s="30">
        <f t="shared" si="14"/>
        <v>6763.7822038320437</v>
      </c>
      <c r="AA481" s="30">
        <f t="shared" si="15"/>
        <v>0</v>
      </c>
      <c r="AB481" t="s">
        <v>456</v>
      </c>
    </row>
    <row r="482" spans="1:28">
      <c r="A482" s="67" t="s">
        <v>122</v>
      </c>
      <c r="B482" s="68">
        <v>1256782</v>
      </c>
      <c r="C482" s="69">
        <v>4615414794</v>
      </c>
      <c r="D482" s="70">
        <v>19200</v>
      </c>
      <c r="E482" s="80"/>
      <c r="F482" s="68">
        <v>16</v>
      </c>
      <c r="G482" s="68">
        <v>5</v>
      </c>
      <c r="H482" s="73">
        <v>0</v>
      </c>
      <c r="I482" s="68">
        <v>0</v>
      </c>
      <c r="J482" s="71"/>
      <c r="K482" s="71">
        <v>42801</v>
      </c>
      <c r="L482" s="69" t="s">
        <v>80</v>
      </c>
      <c r="M482" s="69" t="s">
        <v>109</v>
      </c>
      <c r="N482" s="72">
        <v>42988</v>
      </c>
      <c r="O482" s="67"/>
      <c r="P482" s="67" t="s">
        <v>95</v>
      </c>
      <c r="Q482" s="67" t="s">
        <v>120</v>
      </c>
      <c r="R482" s="69" t="s">
        <v>69</v>
      </c>
      <c r="S482" s="69" t="s">
        <v>123</v>
      </c>
      <c r="T482" s="67"/>
      <c r="U482" s="67"/>
      <c r="V482" s="72">
        <v>42947</v>
      </c>
      <c r="W482" s="69">
        <v>2025784</v>
      </c>
      <c r="X482" s="69"/>
      <c r="Y482" s="123"/>
      <c r="Z482" s="30">
        <f t="shared" si="14"/>
        <v>6772.6006943194379</v>
      </c>
      <c r="AA482" s="30">
        <f t="shared" si="15"/>
        <v>2116.4377169748245</v>
      </c>
      <c r="AB482" t="s">
        <v>456</v>
      </c>
    </row>
    <row r="483" spans="1:28">
      <c r="A483" s="67" t="s">
        <v>122</v>
      </c>
      <c r="B483" s="68">
        <v>1255522</v>
      </c>
      <c r="C483" s="69">
        <v>4615408445</v>
      </c>
      <c r="D483" s="70">
        <v>19200</v>
      </c>
      <c r="E483" s="80"/>
      <c r="F483" s="68">
        <v>16</v>
      </c>
      <c r="G483" s="68">
        <v>5</v>
      </c>
      <c r="H483" s="68">
        <v>0</v>
      </c>
      <c r="I483" s="68">
        <v>0</v>
      </c>
      <c r="J483" s="71"/>
      <c r="K483" s="71">
        <v>42801</v>
      </c>
      <c r="L483" s="69" t="s">
        <v>80</v>
      </c>
      <c r="M483" s="69" t="s">
        <v>109</v>
      </c>
      <c r="N483" s="72">
        <v>42988</v>
      </c>
      <c r="O483" s="67"/>
      <c r="P483" s="67" t="s">
        <v>95</v>
      </c>
      <c r="Q483" s="67" t="s">
        <v>120</v>
      </c>
      <c r="R483" s="69" t="s">
        <v>69</v>
      </c>
      <c r="S483" s="69" t="s">
        <v>123</v>
      </c>
      <c r="T483" s="67"/>
      <c r="U483" s="67"/>
      <c r="V483" s="72">
        <v>42916</v>
      </c>
      <c r="W483" s="69">
        <v>2025766</v>
      </c>
      <c r="X483" s="69"/>
      <c r="Y483" s="123"/>
      <c r="Z483" s="30">
        <f t="shared" si="14"/>
        <v>6772.6006943194379</v>
      </c>
      <c r="AA483" s="30">
        <f t="shared" si="15"/>
        <v>2116.4377169748245</v>
      </c>
      <c r="AB483" t="s">
        <v>456</v>
      </c>
    </row>
    <row r="484" spans="1:28">
      <c r="A484" s="67" t="s">
        <v>118</v>
      </c>
      <c r="B484" s="68">
        <v>1252707</v>
      </c>
      <c r="C484" s="69">
        <v>4615373433</v>
      </c>
      <c r="D484" s="70">
        <v>19175</v>
      </c>
      <c r="E484" s="79"/>
      <c r="F484" s="68">
        <v>10</v>
      </c>
      <c r="G484" s="68">
        <v>5</v>
      </c>
      <c r="H484" s="68">
        <v>0</v>
      </c>
      <c r="I484" s="68">
        <v>0</v>
      </c>
      <c r="J484" s="71"/>
      <c r="K484" s="71">
        <v>42750</v>
      </c>
      <c r="L484" s="69" t="s">
        <v>80</v>
      </c>
      <c r="M484" s="69" t="s">
        <v>109</v>
      </c>
      <c r="N484" s="72">
        <v>42985</v>
      </c>
      <c r="O484" s="67"/>
      <c r="P484" s="67" t="s">
        <v>95</v>
      </c>
      <c r="Q484" s="67" t="s">
        <v>120</v>
      </c>
      <c r="R484" s="69" t="s">
        <v>69</v>
      </c>
      <c r="S484" s="69" t="s">
        <v>121</v>
      </c>
      <c r="T484" s="67"/>
      <c r="U484" s="67"/>
      <c r="V484" s="72">
        <v>42916</v>
      </c>
      <c r="W484" s="69">
        <v>2021268</v>
      </c>
      <c r="X484" s="69"/>
      <c r="Y484" s="123"/>
      <c r="Z484" s="30">
        <f t="shared" si="14"/>
        <v>4227.3638773950279</v>
      </c>
      <c r="AA484" s="30">
        <f t="shared" si="15"/>
        <v>2113.6819386975139</v>
      </c>
      <c r="AB484" t="s">
        <v>456</v>
      </c>
    </row>
    <row r="485" spans="1:28">
      <c r="A485" s="67" t="s">
        <v>118</v>
      </c>
      <c r="B485" s="68">
        <v>1252705</v>
      </c>
      <c r="C485" s="69">
        <v>4615373433</v>
      </c>
      <c r="D485" s="70">
        <v>19175</v>
      </c>
      <c r="E485" s="79"/>
      <c r="F485" s="68">
        <v>10</v>
      </c>
      <c r="G485" s="68">
        <v>5</v>
      </c>
      <c r="H485" s="68">
        <v>0</v>
      </c>
      <c r="I485" s="68">
        <v>0</v>
      </c>
      <c r="J485" s="71"/>
      <c r="K485" s="71">
        <v>42750</v>
      </c>
      <c r="L485" s="69" t="s">
        <v>80</v>
      </c>
      <c r="M485" s="69" t="s">
        <v>109</v>
      </c>
      <c r="N485" s="72">
        <v>42985</v>
      </c>
      <c r="O485" s="67"/>
      <c r="P485" s="67" t="s">
        <v>95</v>
      </c>
      <c r="Q485" s="67" t="s">
        <v>120</v>
      </c>
      <c r="R485" s="69" t="s">
        <v>69</v>
      </c>
      <c r="S485" s="69" t="s">
        <v>121</v>
      </c>
      <c r="T485" s="67"/>
      <c r="U485" s="67"/>
      <c r="V485" s="72">
        <v>42916</v>
      </c>
      <c r="W485" s="69">
        <v>2021268</v>
      </c>
      <c r="X485" s="69"/>
      <c r="Y485" s="123"/>
      <c r="Z485" s="30">
        <f t="shared" si="14"/>
        <v>4227.3638773950279</v>
      </c>
      <c r="AA485" s="30">
        <f t="shared" si="15"/>
        <v>2113.6819386975139</v>
      </c>
      <c r="AB485" t="s">
        <v>456</v>
      </c>
    </row>
    <row r="486" spans="1:28">
      <c r="A486" s="67" t="s">
        <v>122</v>
      </c>
      <c r="B486" s="68">
        <v>1253517</v>
      </c>
      <c r="C486" s="69">
        <v>4615415544</v>
      </c>
      <c r="D486" s="70">
        <v>19200</v>
      </c>
      <c r="E486" s="79"/>
      <c r="F486" s="68">
        <v>16</v>
      </c>
      <c r="G486" s="68">
        <v>5</v>
      </c>
      <c r="H486" s="68">
        <v>0</v>
      </c>
      <c r="I486" s="68">
        <v>0</v>
      </c>
      <c r="J486" s="71"/>
      <c r="K486" s="71">
        <v>42750</v>
      </c>
      <c r="L486" s="69" t="s">
        <v>80</v>
      </c>
      <c r="M486" s="69" t="s">
        <v>109</v>
      </c>
      <c r="N486" s="72">
        <v>42985</v>
      </c>
      <c r="O486" s="67"/>
      <c r="P486" s="67" t="s">
        <v>95</v>
      </c>
      <c r="Q486" s="67" t="s">
        <v>120</v>
      </c>
      <c r="R486" s="69" t="s">
        <v>69</v>
      </c>
      <c r="S486" s="69" t="s">
        <v>123</v>
      </c>
      <c r="T486" s="67"/>
      <c r="U486" s="67"/>
      <c r="V486" s="72">
        <v>42916</v>
      </c>
      <c r="W486" s="69">
        <v>2025783</v>
      </c>
      <c r="X486" s="69"/>
      <c r="Y486" s="123"/>
      <c r="Z486" s="30">
        <f t="shared" si="14"/>
        <v>6772.6006943194379</v>
      </c>
      <c r="AA486" s="30">
        <f t="shared" si="15"/>
        <v>2116.4377169748245</v>
      </c>
      <c r="AB486" t="s">
        <v>456</v>
      </c>
    </row>
    <row r="487" spans="1:28">
      <c r="A487" s="67" t="s">
        <v>68</v>
      </c>
      <c r="B487" s="68">
        <v>1268461</v>
      </c>
      <c r="C487" s="69">
        <v>4615416879</v>
      </c>
      <c r="D487" s="70">
        <v>19175</v>
      </c>
      <c r="E487" s="79"/>
      <c r="F487" s="68">
        <v>16</v>
      </c>
      <c r="G487" s="68">
        <v>5</v>
      </c>
      <c r="H487" s="68">
        <v>0</v>
      </c>
      <c r="I487" s="68">
        <v>0</v>
      </c>
      <c r="J487" s="71"/>
      <c r="K487" s="71">
        <v>42750</v>
      </c>
      <c r="L487" s="69" t="s">
        <v>80</v>
      </c>
      <c r="M487" s="69" t="s">
        <v>109</v>
      </c>
      <c r="N487" s="72">
        <v>42985</v>
      </c>
      <c r="O487" s="67"/>
      <c r="P487" s="67" t="s">
        <v>95</v>
      </c>
      <c r="Q487" s="67" t="s">
        <v>125</v>
      </c>
      <c r="R487" s="69" t="s">
        <v>69</v>
      </c>
      <c r="S487" s="69" t="s">
        <v>68</v>
      </c>
      <c r="T487" s="67"/>
      <c r="U487" s="67"/>
      <c r="V487" s="72">
        <v>42947</v>
      </c>
      <c r="W487" s="69">
        <v>5114736</v>
      </c>
      <c r="X487" s="69"/>
      <c r="Y487" s="123"/>
      <c r="Z487" s="30">
        <f t="shared" si="14"/>
        <v>6763.7822038320437</v>
      </c>
      <c r="AA487" s="30">
        <f t="shared" si="15"/>
        <v>2113.6819386975139</v>
      </c>
      <c r="AB487" t="s">
        <v>456</v>
      </c>
    </row>
    <row r="488" spans="1:28">
      <c r="A488" s="67" t="s">
        <v>122</v>
      </c>
      <c r="B488" s="68">
        <v>1255523</v>
      </c>
      <c r="C488" s="69">
        <v>4615408445</v>
      </c>
      <c r="D488" s="70">
        <v>19200</v>
      </c>
      <c r="E488" s="79"/>
      <c r="F488" s="68">
        <v>16</v>
      </c>
      <c r="G488" s="68">
        <v>5</v>
      </c>
      <c r="H488" s="68">
        <v>0</v>
      </c>
      <c r="I488" s="68">
        <v>0</v>
      </c>
      <c r="J488" s="71"/>
      <c r="K488" s="71">
        <v>42750</v>
      </c>
      <c r="L488" s="69" t="s">
        <v>80</v>
      </c>
      <c r="M488" s="69" t="s">
        <v>109</v>
      </c>
      <c r="N488" s="72">
        <v>42985</v>
      </c>
      <c r="O488" s="67"/>
      <c r="P488" s="67" t="s">
        <v>95</v>
      </c>
      <c r="Q488" s="67" t="s">
        <v>120</v>
      </c>
      <c r="R488" s="69" t="s">
        <v>69</v>
      </c>
      <c r="S488" s="69" t="s">
        <v>123</v>
      </c>
      <c r="T488" s="67"/>
      <c r="U488" s="67"/>
      <c r="V488" s="72">
        <v>42916</v>
      </c>
      <c r="W488" s="69">
        <v>2025766</v>
      </c>
      <c r="X488" s="69"/>
      <c r="Y488" s="123"/>
      <c r="Z488" s="30">
        <f t="shared" si="14"/>
        <v>6772.6006943194379</v>
      </c>
      <c r="AA488" s="30">
        <f t="shared" si="15"/>
        <v>2116.4377169748245</v>
      </c>
      <c r="AB488" t="s">
        <v>456</v>
      </c>
    </row>
    <row r="489" spans="1:28">
      <c r="A489" s="67" t="s">
        <v>122</v>
      </c>
      <c r="B489" s="68">
        <v>1255516</v>
      </c>
      <c r="C489" s="69">
        <v>4615408445</v>
      </c>
      <c r="D489" s="70">
        <v>19200</v>
      </c>
      <c r="E489" s="79"/>
      <c r="F489" s="68">
        <v>16</v>
      </c>
      <c r="G489" s="68">
        <v>5</v>
      </c>
      <c r="H489" s="68">
        <v>0</v>
      </c>
      <c r="I489" s="68">
        <v>0</v>
      </c>
      <c r="J489" s="71"/>
      <c r="K489" s="71">
        <v>42750</v>
      </c>
      <c r="L489" s="69" t="s">
        <v>80</v>
      </c>
      <c r="M489" s="69" t="s">
        <v>109</v>
      </c>
      <c r="N489" s="72">
        <v>42985</v>
      </c>
      <c r="O489" s="67"/>
      <c r="P489" s="67" t="s">
        <v>95</v>
      </c>
      <c r="Q489" s="67" t="s">
        <v>120</v>
      </c>
      <c r="R489" s="69" t="s">
        <v>69</v>
      </c>
      <c r="S489" s="69" t="s">
        <v>123</v>
      </c>
      <c r="T489" s="67"/>
      <c r="U489" s="67"/>
      <c r="V489" s="72">
        <v>42916</v>
      </c>
      <c r="W489" s="69">
        <v>2025766</v>
      </c>
      <c r="X489" s="69"/>
      <c r="Y489" s="123"/>
      <c r="Z489" s="30">
        <f t="shared" si="14"/>
        <v>6772.6006943194379</v>
      </c>
      <c r="AA489" s="30">
        <f t="shared" si="15"/>
        <v>2116.4377169748245</v>
      </c>
      <c r="AB489" t="s">
        <v>456</v>
      </c>
    </row>
    <row r="490" spans="1:28">
      <c r="A490" s="67" t="s">
        <v>122</v>
      </c>
      <c r="B490" s="68">
        <v>1255515</v>
      </c>
      <c r="C490" s="69">
        <v>4615408445</v>
      </c>
      <c r="D490" s="70">
        <v>19200</v>
      </c>
      <c r="E490" s="79"/>
      <c r="F490" s="68">
        <v>16</v>
      </c>
      <c r="G490" s="68">
        <v>5</v>
      </c>
      <c r="H490" s="68">
        <v>0</v>
      </c>
      <c r="I490" s="68">
        <v>0</v>
      </c>
      <c r="J490" s="71"/>
      <c r="K490" s="71">
        <v>42764</v>
      </c>
      <c r="L490" s="69" t="s">
        <v>80</v>
      </c>
      <c r="M490" s="69" t="s">
        <v>109</v>
      </c>
      <c r="N490" s="72">
        <v>42985</v>
      </c>
      <c r="O490" s="67"/>
      <c r="P490" s="67" t="s">
        <v>95</v>
      </c>
      <c r="Q490" s="67" t="s">
        <v>120</v>
      </c>
      <c r="R490" s="69" t="s">
        <v>69</v>
      </c>
      <c r="S490" s="69" t="s">
        <v>123</v>
      </c>
      <c r="T490" s="67"/>
      <c r="U490" s="67"/>
      <c r="V490" s="72">
        <v>42916</v>
      </c>
      <c r="W490" s="69">
        <v>2025766</v>
      </c>
      <c r="X490" s="69"/>
      <c r="Y490" s="123"/>
      <c r="Z490" s="30">
        <f t="shared" si="14"/>
        <v>6772.6006943194379</v>
      </c>
      <c r="AA490" s="30">
        <f t="shared" si="15"/>
        <v>2116.4377169748245</v>
      </c>
      <c r="AB490" t="s">
        <v>456</v>
      </c>
    </row>
    <row r="491" spans="1:28">
      <c r="A491" s="67" t="s">
        <v>122</v>
      </c>
      <c r="B491" s="68">
        <v>1255513</v>
      </c>
      <c r="C491" s="69">
        <v>4615408445</v>
      </c>
      <c r="D491" s="70">
        <v>19200</v>
      </c>
      <c r="E491" s="79"/>
      <c r="F491" s="68">
        <v>16</v>
      </c>
      <c r="G491" s="68">
        <v>5</v>
      </c>
      <c r="H491" s="68">
        <v>0</v>
      </c>
      <c r="I491" s="68">
        <v>0</v>
      </c>
      <c r="J491" s="71"/>
      <c r="K491" s="71">
        <v>42764</v>
      </c>
      <c r="L491" s="69" t="s">
        <v>80</v>
      </c>
      <c r="M491" s="69" t="s">
        <v>109</v>
      </c>
      <c r="N491" s="72">
        <v>42985</v>
      </c>
      <c r="O491" s="67"/>
      <c r="P491" s="67" t="s">
        <v>95</v>
      </c>
      <c r="Q491" s="67" t="s">
        <v>120</v>
      </c>
      <c r="R491" s="69" t="s">
        <v>69</v>
      </c>
      <c r="S491" s="69" t="s">
        <v>123</v>
      </c>
      <c r="T491" s="67"/>
      <c r="U491" s="67"/>
      <c r="V491" s="72">
        <v>42916</v>
      </c>
      <c r="W491" s="69">
        <v>2025766</v>
      </c>
      <c r="X491" s="69"/>
      <c r="Y491" s="123"/>
      <c r="Z491" s="30">
        <f t="shared" si="14"/>
        <v>6772.6006943194379</v>
      </c>
      <c r="AA491" s="30">
        <f t="shared" si="15"/>
        <v>2116.4377169748245</v>
      </c>
      <c r="AB491" t="s">
        <v>456</v>
      </c>
    </row>
    <row r="492" spans="1:28">
      <c r="A492" s="67" t="s">
        <v>68</v>
      </c>
      <c r="B492" s="68" t="s">
        <v>161</v>
      </c>
      <c r="C492" s="69" t="s">
        <v>161</v>
      </c>
      <c r="D492" s="70">
        <v>20544.980000000003</v>
      </c>
      <c r="E492" s="79"/>
      <c r="F492" s="73">
        <v>16</v>
      </c>
      <c r="G492" s="73" t="s">
        <v>114</v>
      </c>
      <c r="H492" s="68">
        <v>0</v>
      </c>
      <c r="I492" s="68">
        <v>0</v>
      </c>
      <c r="J492" s="71"/>
      <c r="K492" s="71">
        <v>42836</v>
      </c>
      <c r="L492" s="69" t="s">
        <v>80</v>
      </c>
      <c r="M492" s="69" t="s">
        <v>109</v>
      </c>
      <c r="N492" s="72">
        <v>42985</v>
      </c>
      <c r="O492" s="67"/>
      <c r="P492" s="67" t="s">
        <v>95</v>
      </c>
      <c r="Q492" s="67" t="s">
        <v>125</v>
      </c>
      <c r="R492" s="69" t="s">
        <v>69</v>
      </c>
      <c r="S492" s="69" t="s">
        <v>68</v>
      </c>
      <c r="T492" s="67"/>
      <c r="U492" s="67"/>
      <c r="V492" s="72">
        <v>42947</v>
      </c>
      <c r="W492" s="69">
        <v>5114723</v>
      </c>
      <c r="X492" s="69" t="s">
        <v>189</v>
      </c>
      <c r="Y492" s="123"/>
      <c r="Z492" s="30">
        <f t="shared" si="14"/>
        <v>7247.0284277489072</v>
      </c>
      <c r="AA492" s="30">
        <f t="shared" si="15"/>
        <v>0</v>
      </c>
      <c r="AB492" t="s">
        <v>456</v>
      </c>
    </row>
    <row r="493" spans="1:28">
      <c r="A493" s="67" t="s">
        <v>68</v>
      </c>
      <c r="B493" s="68" t="s">
        <v>161</v>
      </c>
      <c r="C493" s="69" t="s">
        <v>161</v>
      </c>
      <c r="D493" s="70">
        <v>20544.980000000003</v>
      </c>
      <c r="E493" s="79"/>
      <c r="F493" s="73">
        <v>16</v>
      </c>
      <c r="G493" s="73" t="s">
        <v>114</v>
      </c>
      <c r="H493" s="68">
        <v>0</v>
      </c>
      <c r="I493" s="68">
        <v>0</v>
      </c>
      <c r="J493" s="71"/>
      <c r="K493" s="71">
        <v>42809</v>
      </c>
      <c r="L493" s="69" t="s">
        <v>80</v>
      </c>
      <c r="M493" s="69" t="s">
        <v>109</v>
      </c>
      <c r="N493" s="72">
        <v>42985</v>
      </c>
      <c r="O493" s="67"/>
      <c r="P493" s="67" t="s">
        <v>95</v>
      </c>
      <c r="Q493" s="67" t="s">
        <v>125</v>
      </c>
      <c r="R493" s="69" t="s">
        <v>69</v>
      </c>
      <c r="S493" s="69" t="s">
        <v>68</v>
      </c>
      <c r="T493" s="67"/>
      <c r="U493" s="67"/>
      <c r="V493" s="72">
        <v>42947</v>
      </c>
      <c r="W493" s="69">
        <v>5114723</v>
      </c>
      <c r="X493" s="69" t="s">
        <v>189</v>
      </c>
      <c r="Y493" s="123"/>
      <c r="Z493" s="30">
        <f t="shared" si="14"/>
        <v>7247.0284277489072</v>
      </c>
      <c r="AA493" s="30">
        <f t="shared" si="15"/>
        <v>0</v>
      </c>
      <c r="AB493" t="s">
        <v>456</v>
      </c>
    </row>
    <row r="494" spans="1:28">
      <c r="A494" s="67" t="s">
        <v>68</v>
      </c>
      <c r="B494" s="68" t="s">
        <v>161</v>
      </c>
      <c r="C494" s="69" t="s">
        <v>161</v>
      </c>
      <c r="D494" s="70">
        <v>20544.980000000003</v>
      </c>
      <c r="E494" s="79"/>
      <c r="F494" s="73">
        <v>16</v>
      </c>
      <c r="G494" s="73" t="s">
        <v>114</v>
      </c>
      <c r="H494" s="68">
        <v>0</v>
      </c>
      <c r="I494" s="68">
        <v>0</v>
      </c>
      <c r="J494" s="71"/>
      <c r="K494" s="71">
        <v>42809</v>
      </c>
      <c r="L494" s="69" t="s">
        <v>80</v>
      </c>
      <c r="M494" s="69" t="s">
        <v>109</v>
      </c>
      <c r="N494" s="72">
        <v>42985</v>
      </c>
      <c r="O494" s="67"/>
      <c r="P494" s="67" t="s">
        <v>95</v>
      </c>
      <c r="Q494" s="67" t="s">
        <v>125</v>
      </c>
      <c r="R494" s="69" t="s">
        <v>69</v>
      </c>
      <c r="S494" s="69" t="s">
        <v>68</v>
      </c>
      <c r="T494" s="67"/>
      <c r="U494" s="67"/>
      <c r="V494" s="72">
        <v>42947</v>
      </c>
      <c r="W494" s="69">
        <v>5114723</v>
      </c>
      <c r="X494" s="69" t="s">
        <v>189</v>
      </c>
      <c r="Y494" s="123"/>
      <c r="Z494" s="30">
        <f t="shared" si="14"/>
        <v>7247.0284277489072</v>
      </c>
      <c r="AA494" s="30">
        <f t="shared" si="15"/>
        <v>0</v>
      </c>
      <c r="AB494" t="s">
        <v>456</v>
      </c>
    </row>
    <row r="495" spans="1:28">
      <c r="A495" s="67" t="s">
        <v>68</v>
      </c>
      <c r="B495" s="68" t="s">
        <v>161</v>
      </c>
      <c r="C495" s="69" t="s">
        <v>161</v>
      </c>
      <c r="D495" s="70">
        <v>20544.980000000003</v>
      </c>
      <c r="E495" s="79"/>
      <c r="F495" s="73">
        <v>16</v>
      </c>
      <c r="G495" s="73" t="s">
        <v>114</v>
      </c>
      <c r="H495" s="68">
        <v>0</v>
      </c>
      <c r="I495" s="68">
        <v>0</v>
      </c>
      <c r="J495" s="71"/>
      <c r="K495" s="71">
        <v>42838</v>
      </c>
      <c r="L495" s="69" t="s">
        <v>80</v>
      </c>
      <c r="M495" s="69" t="s">
        <v>109</v>
      </c>
      <c r="N495" s="72">
        <v>42985</v>
      </c>
      <c r="O495" s="67"/>
      <c r="P495" s="67" t="s">
        <v>95</v>
      </c>
      <c r="Q495" s="67" t="s">
        <v>125</v>
      </c>
      <c r="R495" s="69" t="s">
        <v>69</v>
      </c>
      <c r="S495" s="69" t="s">
        <v>68</v>
      </c>
      <c r="T495" s="67"/>
      <c r="U495" s="67"/>
      <c r="V495" s="72">
        <v>42947</v>
      </c>
      <c r="W495" s="69">
        <v>5114723</v>
      </c>
      <c r="X495" s="69" t="s">
        <v>189</v>
      </c>
      <c r="Y495" s="123"/>
      <c r="Z495" s="30">
        <f t="shared" si="14"/>
        <v>7247.0284277489072</v>
      </c>
      <c r="AA495" s="30">
        <f t="shared" si="15"/>
        <v>0</v>
      </c>
      <c r="AB495" t="s">
        <v>456</v>
      </c>
    </row>
    <row r="496" spans="1:28">
      <c r="A496" s="67" t="s">
        <v>131</v>
      </c>
      <c r="B496" s="68">
        <v>1260501</v>
      </c>
      <c r="C496" s="69">
        <v>4615470944</v>
      </c>
      <c r="D496" s="70">
        <v>19200</v>
      </c>
      <c r="E496" s="79"/>
      <c r="F496" s="68">
        <v>154.4</v>
      </c>
      <c r="G496" s="75">
        <v>0</v>
      </c>
      <c r="H496" s="68">
        <v>0</v>
      </c>
      <c r="I496" s="68">
        <v>0</v>
      </c>
      <c r="J496" s="71"/>
      <c r="K496" s="71">
        <v>42815</v>
      </c>
      <c r="L496" s="69" t="s">
        <v>80</v>
      </c>
      <c r="M496" s="69" t="s">
        <v>109</v>
      </c>
      <c r="N496" s="72">
        <v>42984</v>
      </c>
      <c r="O496" s="67"/>
      <c r="P496" s="67" t="s">
        <v>95</v>
      </c>
      <c r="Q496" s="67" t="s">
        <v>125</v>
      </c>
      <c r="R496" s="69" t="s">
        <v>69</v>
      </c>
      <c r="S496" s="69" t="s">
        <v>134</v>
      </c>
      <c r="T496" s="67"/>
      <c r="U496" s="67"/>
      <c r="V496" s="72">
        <v>42947</v>
      </c>
      <c r="W496" s="69" t="s">
        <v>184</v>
      </c>
      <c r="X496" s="69"/>
      <c r="Y496" s="123"/>
      <c r="Z496" s="30">
        <f t="shared" si="14"/>
        <v>65355.596700182585</v>
      </c>
      <c r="AA496" s="30">
        <f t="shared" si="15"/>
        <v>0</v>
      </c>
      <c r="AB496" t="s">
        <v>456</v>
      </c>
    </row>
    <row r="497" spans="1:28">
      <c r="A497" s="67" t="s">
        <v>122</v>
      </c>
      <c r="B497" s="68">
        <v>1233651</v>
      </c>
      <c r="C497" s="69">
        <v>4615381340</v>
      </c>
      <c r="D497" s="70">
        <v>19200</v>
      </c>
      <c r="E497" s="79"/>
      <c r="F497" s="68">
        <v>16</v>
      </c>
      <c r="G497" s="68">
        <v>5</v>
      </c>
      <c r="H497" s="68">
        <v>0</v>
      </c>
      <c r="I497" s="68">
        <v>0</v>
      </c>
      <c r="J497" s="71"/>
      <c r="K497" s="71">
        <v>42815</v>
      </c>
      <c r="L497" s="69" t="s">
        <v>80</v>
      </c>
      <c r="M497" s="69" t="s">
        <v>109</v>
      </c>
      <c r="N497" s="72">
        <v>42984</v>
      </c>
      <c r="O497" s="67"/>
      <c r="P497" s="67" t="s">
        <v>95</v>
      </c>
      <c r="Q497" s="67" t="s">
        <v>120</v>
      </c>
      <c r="R497" s="69" t="s">
        <v>69</v>
      </c>
      <c r="S497" s="69" t="s">
        <v>123</v>
      </c>
      <c r="T497" s="67"/>
      <c r="U497" s="67"/>
      <c r="V497" s="72">
        <v>42855</v>
      </c>
      <c r="W497" s="69">
        <v>2023109</v>
      </c>
      <c r="X497" s="69"/>
      <c r="Y497" s="123"/>
      <c r="Z497" s="30">
        <f t="shared" si="14"/>
        <v>6772.6006943194379</v>
      </c>
      <c r="AA497" s="30">
        <f t="shared" si="15"/>
        <v>2116.4377169748245</v>
      </c>
      <c r="AB497" t="s">
        <v>456</v>
      </c>
    </row>
    <row r="498" spans="1:28">
      <c r="A498" s="67" t="s">
        <v>122</v>
      </c>
      <c r="B498" s="68">
        <v>1253518</v>
      </c>
      <c r="C498" s="69">
        <v>4615415544</v>
      </c>
      <c r="D498" s="70">
        <v>19200</v>
      </c>
      <c r="E498" s="79"/>
      <c r="F498" s="68">
        <v>16</v>
      </c>
      <c r="G498" s="68">
        <v>5</v>
      </c>
      <c r="H498" s="68">
        <v>0</v>
      </c>
      <c r="I498" s="68">
        <v>0</v>
      </c>
      <c r="J498" s="71"/>
      <c r="K498" s="71">
        <v>42819</v>
      </c>
      <c r="L498" s="69" t="s">
        <v>80</v>
      </c>
      <c r="M498" s="69" t="s">
        <v>109</v>
      </c>
      <c r="N498" s="72">
        <v>42983</v>
      </c>
      <c r="O498" s="67"/>
      <c r="P498" s="67" t="s">
        <v>95</v>
      </c>
      <c r="Q498" s="67" t="s">
        <v>120</v>
      </c>
      <c r="R498" s="69" t="s">
        <v>69</v>
      </c>
      <c r="S498" s="69" t="s">
        <v>123</v>
      </c>
      <c r="T498" s="67"/>
      <c r="U498" s="67"/>
      <c r="V498" s="72">
        <v>42916</v>
      </c>
      <c r="W498" s="69">
        <v>2025783</v>
      </c>
      <c r="X498" s="69"/>
      <c r="Y498" s="123"/>
      <c r="Z498" s="30">
        <f t="shared" si="14"/>
        <v>6772.6006943194379</v>
      </c>
      <c r="AA498" s="30">
        <f t="shared" si="15"/>
        <v>2116.4377169748245</v>
      </c>
      <c r="AB498" t="s">
        <v>456</v>
      </c>
    </row>
    <row r="499" spans="1:28">
      <c r="A499" s="67" t="s">
        <v>122</v>
      </c>
      <c r="B499" s="68">
        <v>1233652</v>
      </c>
      <c r="C499" s="69">
        <v>4615381340</v>
      </c>
      <c r="D499" s="70">
        <v>19200</v>
      </c>
      <c r="E499" s="79"/>
      <c r="F499" s="68">
        <v>16</v>
      </c>
      <c r="G499" s="68">
        <v>5</v>
      </c>
      <c r="H499" s="68">
        <v>0</v>
      </c>
      <c r="I499" s="68">
        <v>0</v>
      </c>
      <c r="J499" s="71"/>
      <c r="K499" s="71">
        <v>42843</v>
      </c>
      <c r="L499" s="69" t="s">
        <v>80</v>
      </c>
      <c r="M499" s="69" t="s">
        <v>109</v>
      </c>
      <c r="N499" s="72">
        <v>42983</v>
      </c>
      <c r="O499" s="67"/>
      <c r="P499" s="67" t="s">
        <v>95</v>
      </c>
      <c r="Q499" s="67" t="s">
        <v>120</v>
      </c>
      <c r="R499" s="69" t="s">
        <v>69</v>
      </c>
      <c r="S499" s="69" t="s">
        <v>123</v>
      </c>
      <c r="T499" s="67"/>
      <c r="U499" s="67"/>
      <c r="V499" s="72">
        <v>42855</v>
      </c>
      <c r="W499" s="69">
        <v>2023109</v>
      </c>
      <c r="X499" s="69"/>
      <c r="Y499" s="123"/>
      <c r="Z499" s="30">
        <f t="shared" si="14"/>
        <v>6772.6006943194379</v>
      </c>
      <c r="AA499" s="30">
        <f t="shared" si="15"/>
        <v>2116.4377169748245</v>
      </c>
      <c r="AB499" t="s">
        <v>456</v>
      </c>
    </row>
    <row r="500" spans="1:28">
      <c r="A500" s="67" t="s">
        <v>68</v>
      </c>
      <c r="B500" s="68">
        <v>1268467</v>
      </c>
      <c r="C500" s="69">
        <v>4615416879</v>
      </c>
      <c r="D500" s="70">
        <v>19175</v>
      </c>
      <c r="E500" s="79"/>
      <c r="F500" s="68">
        <v>16</v>
      </c>
      <c r="G500" s="68">
        <v>5</v>
      </c>
      <c r="H500" s="68">
        <v>0</v>
      </c>
      <c r="I500" s="68">
        <v>0</v>
      </c>
      <c r="J500" s="71"/>
      <c r="K500" s="71">
        <v>42850</v>
      </c>
      <c r="L500" s="69" t="s">
        <v>80</v>
      </c>
      <c r="M500" s="69" t="s">
        <v>109</v>
      </c>
      <c r="N500" s="72">
        <v>42983</v>
      </c>
      <c r="O500" s="67"/>
      <c r="P500" s="67" t="s">
        <v>95</v>
      </c>
      <c r="Q500" s="67" t="s">
        <v>125</v>
      </c>
      <c r="R500" s="69" t="s">
        <v>69</v>
      </c>
      <c r="S500" s="69" t="s">
        <v>68</v>
      </c>
      <c r="T500" s="67"/>
      <c r="U500" s="67"/>
      <c r="V500" s="72">
        <v>42947</v>
      </c>
      <c r="W500" s="69">
        <v>5114736</v>
      </c>
      <c r="X500" s="69"/>
      <c r="Y500" s="123"/>
      <c r="Z500" s="30">
        <f t="shared" si="14"/>
        <v>6763.7822038320437</v>
      </c>
      <c r="AA500" s="30">
        <f t="shared" si="15"/>
        <v>2113.6819386975139</v>
      </c>
      <c r="AB500" t="s">
        <v>456</v>
      </c>
    </row>
    <row r="501" spans="1:28">
      <c r="A501" s="67" t="s">
        <v>122</v>
      </c>
      <c r="B501" s="68">
        <v>1255518</v>
      </c>
      <c r="C501" s="69">
        <v>4615408445</v>
      </c>
      <c r="D501" s="70">
        <v>19200</v>
      </c>
      <c r="E501" s="79"/>
      <c r="F501" s="68">
        <v>16</v>
      </c>
      <c r="G501" s="68">
        <v>5</v>
      </c>
      <c r="H501" s="68">
        <v>0</v>
      </c>
      <c r="I501" s="68">
        <v>0</v>
      </c>
      <c r="J501" s="71"/>
      <c r="K501" s="71">
        <v>42836</v>
      </c>
      <c r="L501" s="69" t="s">
        <v>80</v>
      </c>
      <c r="M501" s="69" t="s">
        <v>109</v>
      </c>
      <c r="N501" s="72">
        <v>42983</v>
      </c>
      <c r="O501" s="67"/>
      <c r="P501" s="67" t="s">
        <v>95</v>
      </c>
      <c r="Q501" s="67" t="s">
        <v>120</v>
      </c>
      <c r="R501" s="69" t="s">
        <v>69</v>
      </c>
      <c r="S501" s="69" t="s">
        <v>123</v>
      </c>
      <c r="T501" s="67"/>
      <c r="U501" s="67"/>
      <c r="V501" s="72">
        <v>42916</v>
      </c>
      <c r="W501" s="69">
        <v>2025766</v>
      </c>
      <c r="X501" s="69"/>
      <c r="Y501" s="123"/>
      <c r="Z501" s="30">
        <f t="shared" si="14"/>
        <v>6772.6006943194379</v>
      </c>
      <c r="AA501" s="30">
        <f t="shared" si="15"/>
        <v>2116.4377169748245</v>
      </c>
      <c r="AB501" t="s">
        <v>456</v>
      </c>
    </row>
    <row r="502" spans="1:28">
      <c r="A502" s="67" t="s">
        <v>122</v>
      </c>
      <c r="B502" s="68">
        <v>1253519</v>
      </c>
      <c r="C502" s="69">
        <v>4615415544</v>
      </c>
      <c r="D502" s="70">
        <v>19200</v>
      </c>
      <c r="E502" s="79"/>
      <c r="F502" s="68">
        <v>16</v>
      </c>
      <c r="G502" s="68">
        <v>5</v>
      </c>
      <c r="H502" s="68">
        <v>0</v>
      </c>
      <c r="I502" s="68">
        <v>0</v>
      </c>
      <c r="J502" s="71"/>
      <c r="K502" s="71">
        <v>42823</v>
      </c>
      <c r="L502" s="69" t="s">
        <v>80</v>
      </c>
      <c r="M502" s="69" t="s">
        <v>109</v>
      </c>
      <c r="N502" s="72">
        <v>42982</v>
      </c>
      <c r="O502" s="67"/>
      <c r="P502" s="67" t="s">
        <v>95</v>
      </c>
      <c r="Q502" s="67" t="s">
        <v>120</v>
      </c>
      <c r="R502" s="69" t="s">
        <v>69</v>
      </c>
      <c r="S502" s="69" t="s">
        <v>123</v>
      </c>
      <c r="T502" s="67"/>
      <c r="U502" s="67"/>
      <c r="V502" s="72">
        <v>42916</v>
      </c>
      <c r="W502" s="69">
        <v>2025783</v>
      </c>
      <c r="X502" s="69"/>
      <c r="Y502" s="123"/>
      <c r="Z502" s="30">
        <f t="shared" si="14"/>
        <v>6772.6006943194379</v>
      </c>
      <c r="AA502" s="30">
        <f t="shared" si="15"/>
        <v>2116.4377169748245</v>
      </c>
      <c r="AB502" t="s">
        <v>456</v>
      </c>
    </row>
    <row r="503" spans="1:28">
      <c r="A503" s="67" t="s">
        <v>122</v>
      </c>
      <c r="B503" s="68">
        <v>1253513</v>
      </c>
      <c r="C503" s="69">
        <v>4615415544</v>
      </c>
      <c r="D503" s="70">
        <v>19200</v>
      </c>
      <c r="E503" s="79"/>
      <c r="F503" s="68">
        <v>16</v>
      </c>
      <c r="G503" s="68">
        <v>5</v>
      </c>
      <c r="H503" s="68">
        <v>0</v>
      </c>
      <c r="I503" s="68">
        <v>0</v>
      </c>
      <c r="J503" s="71"/>
      <c r="K503" s="71">
        <v>42808</v>
      </c>
      <c r="L503" s="69" t="s">
        <v>80</v>
      </c>
      <c r="M503" s="69" t="s">
        <v>109</v>
      </c>
      <c r="N503" s="72">
        <v>42982</v>
      </c>
      <c r="O503" s="67"/>
      <c r="P503" s="67" t="s">
        <v>95</v>
      </c>
      <c r="Q503" s="67" t="s">
        <v>120</v>
      </c>
      <c r="R503" s="69" t="s">
        <v>69</v>
      </c>
      <c r="S503" s="69" t="s">
        <v>123</v>
      </c>
      <c r="T503" s="67"/>
      <c r="U503" s="67"/>
      <c r="V503" s="72">
        <v>42916</v>
      </c>
      <c r="W503" s="69">
        <v>2025783</v>
      </c>
      <c r="X503" s="69"/>
      <c r="Y503" s="123"/>
      <c r="Z503" s="30">
        <f t="shared" si="14"/>
        <v>6772.6006943194379</v>
      </c>
      <c r="AA503" s="30">
        <f t="shared" si="15"/>
        <v>2116.4377169748245</v>
      </c>
      <c r="AB503" t="s">
        <v>456</v>
      </c>
    </row>
    <row r="504" spans="1:28">
      <c r="A504" s="67" t="s">
        <v>122</v>
      </c>
      <c r="B504" s="68">
        <v>1255519</v>
      </c>
      <c r="C504" s="69">
        <v>4615408445</v>
      </c>
      <c r="D504" s="70">
        <v>19200</v>
      </c>
      <c r="E504" s="79"/>
      <c r="F504" s="68">
        <v>16</v>
      </c>
      <c r="G504" s="68">
        <v>5</v>
      </c>
      <c r="H504" s="68">
        <v>0</v>
      </c>
      <c r="I504" s="68">
        <v>0</v>
      </c>
      <c r="J504" s="71"/>
      <c r="K504" s="71">
        <v>42808</v>
      </c>
      <c r="L504" s="69" t="s">
        <v>80</v>
      </c>
      <c r="M504" s="69" t="s">
        <v>109</v>
      </c>
      <c r="N504" s="72">
        <v>42982</v>
      </c>
      <c r="O504" s="67"/>
      <c r="P504" s="67" t="s">
        <v>95</v>
      </c>
      <c r="Q504" s="67" t="s">
        <v>120</v>
      </c>
      <c r="R504" s="69" t="s">
        <v>69</v>
      </c>
      <c r="S504" s="69" t="s">
        <v>123</v>
      </c>
      <c r="T504" s="67"/>
      <c r="U504" s="67"/>
      <c r="V504" s="72">
        <v>42916</v>
      </c>
      <c r="W504" s="69">
        <v>2025766</v>
      </c>
      <c r="X504" s="69"/>
      <c r="Y504" s="123"/>
      <c r="Z504" s="30">
        <f t="shared" si="14"/>
        <v>6772.6006943194379</v>
      </c>
      <c r="AA504" s="30">
        <f t="shared" si="15"/>
        <v>2116.4377169748245</v>
      </c>
      <c r="AB504" t="s">
        <v>456</v>
      </c>
    </row>
    <row r="505" spans="1:28">
      <c r="A505" s="67" t="s">
        <v>122</v>
      </c>
      <c r="B505" s="68">
        <v>1255517</v>
      </c>
      <c r="C505" s="69">
        <v>4615408445</v>
      </c>
      <c r="D505" s="70">
        <v>19200</v>
      </c>
      <c r="E505" s="79"/>
      <c r="F505" s="68">
        <v>16</v>
      </c>
      <c r="G505" s="68">
        <v>5</v>
      </c>
      <c r="H505" s="68">
        <v>0</v>
      </c>
      <c r="I505" s="68">
        <v>0</v>
      </c>
      <c r="J505" s="71"/>
      <c r="K505" s="71">
        <v>42808</v>
      </c>
      <c r="L505" s="69" t="s">
        <v>80</v>
      </c>
      <c r="M505" s="69" t="s">
        <v>109</v>
      </c>
      <c r="N505" s="72">
        <v>42982</v>
      </c>
      <c r="O505" s="67"/>
      <c r="P505" s="67" t="s">
        <v>95</v>
      </c>
      <c r="Q505" s="67" t="s">
        <v>120</v>
      </c>
      <c r="R505" s="69" t="s">
        <v>69</v>
      </c>
      <c r="S505" s="69" t="s">
        <v>123</v>
      </c>
      <c r="T505" s="67"/>
      <c r="U505" s="67"/>
      <c r="V505" s="72">
        <v>42916</v>
      </c>
      <c r="W505" s="69">
        <v>2025766</v>
      </c>
      <c r="X505" s="69"/>
      <c r="Y505" s="123"/>
      <c r="Z505" s="30">
        <f t="shared" si="14"/>
        <v>6772.6006943194379</v>
      </c>
      <c r="AA505" s="30">
        <f t="shared" si="15"/>
        <v>2116.4377169748245</v>
      </c>
      <c r="AB505" t="s">
        <v>456</v>
      </c>
    </row>
    <row r="506" spans="1:28">
      <c r="A506" s="67" t="s">
        <v>118</v>
      </c>
      <c r="B506" s="68">
        <v>1251879</v>
      </c>
      <c r="C506" s="69">
        <v>4615405266</v>
      </c>
      <c r="D506" s="70">
        <v>19175</v>
      </c>
      <c r="E506" s="79"/>
      <c r="F506" s="73">
        <v>10</v>
      </c>
      <c r="G506" s="73">
        <v>5</v>
      </c>
      <c r="H506" s="68">
        <v>0</v>
      </c>
      <c r="I506" s="68">
        <v>0</v>
      </c>
      <c r="J506" s="71"/>
      <c r="K506" s="71">
        <v>42750</v>
      </c>
      <c r="L506" s="69" t="s">
        <v>80</v>
      </c>
      <c r="M506" s="69" t="s">
        <v>109</v>
      </c>
      <c r="N506" s="72">
        <v>42979</v>
      </c>
      <c r="O506" s="67"/>
      <c r="P506" s="67" t="s">
        <v>95</v>
      </c>
      <c r="Q506" s="67" t="s">
        <v>120</v>
      </c>
      <c r="R506" s="69" t="s">
        <v>69</v>
      </c>
      <c r="S506" s="69" t="s">
        <v>121</v>
      </c>
      <c r="T506" s="67"/>
      <c r="U506" s="67"/>
      <c r="V506" s="72">
        <v>42916</v>
      </c>
      <c r="W506" s="69">
        <v>2026353</v>
      </c>
      <c r="X506" s="69"/>
      <c r="Y506" s="123"/>
      <c r="Z506" s="30">
        <f t="shared" si="14"/>
        <v>4227.3638773950279</v>
      </c>
      <c r="AA506" s="30">
        <f t="shared" si="15"/>
        <v>2113.6819386975139</v>
      </c>
      <c r="AB506" t="s">
        <v>456</v>
      </c>
    </row>
    <row r="507" spans="1:28">
      <c r="A507" s="67" t="s">
        <v>118</v>
      </c>
      <c r="B507" s="68">
        <v>1251878</v>
      </c>
      <c r="C507" s="69">
        <v>4615405266</v>
      </c>
      <c r="D507" s="70">
        <v>19175</v>
      </c>
      <c r="E507" s="79"/>
      <c r="F507" s="73">
        <v>10</v>
      </c>
      <c r="G507" s="73">
        <v>5</v>
      </c>
      <c r="H507" s="68">
        <v>0</v>
      </c>
      <c r="I507" s="68">
        <v>0</v>
      </c>
      <c r="J507" s="71"/>
      <c r="K507" s="71">
        <v>42764</v>
      </c>
      <c r="L507" s="69" t="s">
        <v>80</v>
      </c>
      <c r="M507" s="69" t="s">
        <v>109</v>
      </c>
      <c r="N507" s="72">
        <v>42979</v>
      </c>
      <c r="O507" s="67"/>
      <c r="P507" s="67" t="s">
        <v>95</v>
      </c>
      <c r="Q507" s="67" t="s">
        <v>120</v>
      </c>
      <c r="R507" s="69" t="s">
        <v>69</v>
      </c>
      <c r="S507" s="69" t="s">
        <v>121</v>
      </c>
      <c r="T507" s="67"/>
      <c r="U507" s="67"/>
      <c r="V507" s="72">
        <v>42916</v>
      </c>
      <c r="W507" s="69">
        <v>2026353</v>
      </c>
      <c r="X507" s="69"/>
      <c r="Y507" s="123"/>
      <c r="Z507" s="30">
        <f t="shared" si="14"/>
        <v>4227.3638773950279</v>
      </c>
      <c r="AA507" s="30">
        <f t="shared" si="15"/>
        <v>2113.6819386975139</v>
      </c>
      <c r="AB507" t="s">
        <v>456</v>
      </c>
    </row>
    <row r="508" spans="1:28">
      <c r="A508" s="67" t="s">
        <v>122</v>
      </c>
      <c r="B508" s="68">
        <v>1255521</v>
      </c>
      <c r="C508" s="69">
        <v>4615408445</v>
      </c>
      <c r="D508" s="70">
        <v>19200</v>
      </c>
      <c r="E508" s="79"/>
      <c r="F508" s="68">
        <v>16</v>
      </c>
      <c r="G508" s="68">
        <v>5</v>
      </c>
      <c r="H508" s="68">
        <v>0</v>
      </c>
      <c r="I508" s="68">
        <v>0</v>
      </c>
      <c r="J508" s="71"/>
      <c r="K508" s="71">
        <v>42764</v>
      </c>
      <c r="L508" s="69" t="s">
        <v>80</v>
      </c>
      <c r="M508" s="69" t="s">
        <v>109</v>
      </c>
      <c r="N508" s="72">
        <v>42979</v>
      </c>
      <c r="O508" s="67"/>
      <c r="P508" s="67" t="s">
        <v>95</v>
      </c>
      <c r="Q508" s="67" t="s">
        <v>120</v>
      </c>
      <c r="R508" s="69" t="s">
        <v>69</v>
      </c>
      <c r="S508" s="69" t="s">
        <v>123</v>
      </c>
      <c r="T508" s="67"/>
      <c r="U508" s="67"/>
      <c r="V508" s="72">
        <v>42916</v>
      </c>
      <c r="W508" s="69">
        <v>2025766</v>
      </c>
      <c r="X508" s="69"/>
      <c r="Y508" s="123"/>
      <c r="Z508" s="30">
        <f t="shared" si="14"/>
        <v>6772.6006943194379</v>
      </c>
      <c r="AA508" s="30">
        <f t="shared" si="15"/>
        <v>2116.4377169748245</v>
      </c>
      <c r="AB508" t="s">
        <v>456</v>
      </c>
    </row>
    <row r="509" spans="1:28">
      <c r="A509" s="67" t="s">
        <v>122</v>
      </c>
      <c r="B509" s="68">
        <v>1253514</v>
      </c>
      <c r="C509" s="69">
        <v>4615415544</v>
      </c>
      <c r="D509" s="70">
        <v>19200</v>
      </c>
      <c r="E509" s="79"/>
      <c r="F509" s="68">
        <v>16</v>
      </c>
      <c r="G509" s="68">
        <v>5</v>
      </c>
      <c r="H509" s="68">
        <v>0</v>
      </c>
      <c r="I509" s="68">
        <v>0</v>
      </c>
      <c r="J509" s="71"/>
      <c r="K509" s="71">
        <v>42818</v>
      </c>
      <c r="L509" s="69" t="s">
        <v>80</v>
      </c>
      <c r="M509" s="69" t="s">
        <v>109</v>
      </c>
      <c r="N509" s="72">
        <v>42979</v>
      </c>
      <c r="O509" s="67"/>
      <c r="P509" s="67" t="s">
        <v>95</v>
      </c>
      <c r="Q509" s="67" t="s">
        <v>120</v>
      </c>
      <c r="R509" s="69" t="s">
        <v>69</v>
      </c>
      <c r="S509" s="69" t="s">
        <v>123</v>
      </c>
      <c r="T509" s="67"/>
      <c r="U509" s="67"/>
      <c r="V509" s="72">
        <v>42916</v>
      </c>
      <c r="W509" s="69">
        <v>2025783</v>
      </c>
      <c r="X509" s="69"/>
      <c r="Y509" s="123"/>
      <c r="Z509" s="30">
        <f t="shared" si="14"/>
        <v>6772.6006943194379</v>
      </c>
      <c r="AA509" s="30">
        <f t="shared" si="15"/>
        <v>2116.4377169748245</v>
      </c>
      <c r="AB509" t="s">
        <v>456</v>
      </c>
    </row>
    <row r="510" spans="1:28">
      <c r="A510" s="67" t="s">
        <v>122</v>
      </c>
      <c r="B510" s="68">
        <v>1253512</v>
      </c>
      <c r="C510" s="69">
        <v>4615415544</v>
      </c>
      <c r="D510" s="70">
        <v>19200</v>
      </c>
      <c r="E510" s="80"/>
      <c r="F510" s="68">
        <v>16</v>
      </c>
      <c r="G510" s="68">
        <v>5</v>
      </c>
      <c r="H510" s="68">
        <v>0</v>
      </c>
      <c r="I510" s="68">
        <v>0</v>
      </c>
      <c r="J510" s="71"/>
      <c r="K510" s="71">
        <v>42826</v>
      </c>
      <c r="L510" s="69" t="s">
        <v>80</v>
      </c>
      <c r="M510" s="69" t="s">
        <v>109</v>
      </c>
      <c r="N510" s="72">
        <v>42979</v>
      </c>
      <c r="O510" s="67"/>
      <c r="P510" s="67" t="s">
        <v>95</v>
      </c>
      <c r="Q510" s="67" t="s">
        <v>120</v>
      </c>
      <c r="R510" s="69" t="s">
        <v>69</v>
      </c>
      <c r="S510" s="69" t="s">
        <v>123</v>
      </c>
      <c r="T510" s="67"/>
      <c r="U510" s="67"/>
      <c r="V510" s="72">
        <v>42916</v>
      </c>
      <c r="W510" s="69">
        <v>2025783</v>
      </c>
      <c r="X510" s="69"/>
      <c r="Y510" s="123"/>
      <c r="Z510" s="30">
        <f t="shared" si="14"/>
        <v>6772.6006943194379</v>
      </c>
      <c r="AA510" s="30">
        <f t="shared" si="15"/>
        <v>2116.4377169748245</v>
      </c>
      <c r="AB510" t="s">
        <v>456</v>
      </c>
    </row>
    <row r="511" spans="1:28">
      <c r="A511" s="67" t="s">
        <v>122</v>
      </c>
      <c r="B511" s="68">
        <v>1253511</v>
      </c>
      <c r="C511" s="69">
        <v>4615415544</v>
      </c>
      <c r="D511" s="70">
        <v>19200</v>
      </c>
      <c r="E511" s="80"/>
      <c r="F511" s="68">
        <v>16</v>
      </c>
      <c r="G511" s="68">
        <v>5</v>
      </c>
      <c r="H511" s="68">
        <v>0</v>
      </c>
      <c r="I511" s="68">
        <v>0</v>
      </c>
      <c r="J511" s="71"/>
      <c r="K511" s="71">
        <v>42787</v>
      </c>
      <c r="L511" s="69" t="s">
        <v>80</v>
      </c>
      <c r="M511" s="69" t="s">
        <v>109</v>
      </c>
      <c r="N511" s="72">
        <v>42979</v>
      </c>
      <c r="O511" s="67"/>
      <c r="P511" s="67" t="s">
        <v>95</v>
      </c>
      <c r="Q511" s="67" t="s">
        <v>120</v>
      </c>
      <c r="R511" s="69" t="s">
        <v>69</v>
      </c>
      <c r="S511" s="69" t="s">
        <v>123</v>
      </c>
      <c r="T511" s="67"/>
      <c r="U511" s="67"/>
      <c r="V511" s="72">
        <v>42916</v>
      </c>
      <c r="W511" s="69">
        <v>2025783</v>
      </c>
      <c r="X511" s="69"/>
      <c r="Y511" s="123"/>
      <c r="Z511" s="30">
        <f t="shared" si="14"/>
        <v>6772.6006943194379</v>
      </c>
      <c r="AA511" s="30">
        <f t="shared" si="15"/>
        <v>2116.4377169748245</v>
      </c>
      <c r="AB511" t="s">
        <v>456</v>
      </c>
    </row>
    <row r="512" spans="1:28">
      <c r="A512" s="67" t="s">
        <v>68</v>
      </c>
      <c r="B512" s="68">
        <v>1268458</v>
      </c>
      <c r="C512" s="69">
        <v>4615416879</v>
      </c>
      <c r="D512" s="70">
        <v>19175</v>
      </c>
      <c r="E512" s="80"/>
      <c r="F512" s="68">
        <v>16</v>
      </c>
      <c r="G512" s="68">
        <v>5</v>
      </c>
      <c r="H512" s="68">
        <v>0</v>
      </c>
      <c r="I512" s="68">
        <v>0</v>
      </c>
      <c r="J512" s="71"/>
      <c r="K512" s="71">
        <v>42787</v>
      </c>
      <c r="L512" s="69" t="s">
        <v>80</v>
      </c>
      <c r="M512" s="69" t="s">
        <v>109</v>
      </c>
      <c r="N512" s="72">
        <v>42979</v>
      </c>
      <c r="O512" s="67"/>
      <c r="P512" s="67" t="s">
        <v>95</v>
      </c>
      <c r="Q512" s="67" t="s">
        <v>125</v>
      </c>
      <c r="R512" s="69" t="s">
        <v>69</v>
      </c>
      <c r="S512" s="69" t="s">
        <v>68</v>
      </c>
      <c r="T512" s="67"/>
      <c r="U512" s="67"/>
      <c r="V512" s="72">
        <v>42947</v>
      </c>
      <c r="W512" s="69">
        <v>5114736</v>
      </c>
      <c r="X512" s="69"/>
      <c r="Y512" s="123"/>
      <c r="Z512" s="30">
        <f t="shared" si="14"/>
        <v>6763.7822038320437</v>
      </c>
      <c r="AA512" s="30">
        <f t="shared" si="15"/>
        <v>2113.6819386975139</v>
      </c>
      <c r="AB512" t="s">
        <v>456</v>
      </c>
    </row>
    <row r="513" spans="1:28">
      <c r="A513" s="67" t="s">
        <v>68</v>
      </c>
      <c r="B513" s="68">
        <v>1268460</v>
      </c>
      <c r="C513" s="69">
        <v>4615416879</v>
      </c>
      <c r="D513" s="70">
        <v>19175</v>
      </c>
      <c r="E513" s="80"/>
      <c r="F513" s="68">
        <v>16</v>
      </c>
      <c r="G513" s="68">
        <v>5</v>
      </c>
      <c r="H513" s="68">
        <v>0</v>
      </c>
      <c r="I513" s="68">
        <v>0</v>
      </c>
      <c r="J513" s="71"/>
      <c r="K513" s="71">
        <v>42819</v>
      </c>
      <c r="L513" s="69" t="s">
        <v>80</v>
      </c>
      <c r="M513" s="69" t="s">
        <v>109</v>
      </c>
      <c r="N513" s="72">
        <v>42979</v>
      </c>
      <c r="O513" s="67"/>
      <c r="P513" s="67" t="s">
        <v>95</v>
      </c>
      <c r="Q513" s="67" t="s">
        <v>125</v>
      </c>
      <c r="R513" s="69" t="s">
        <v>69</v>
      </c>
      <c r="S513" s="69" t="s">
        <v>68</v>
      </c>
      <c r="T513" s="67"/>
      <c r="U513" s="67"/>
      <c r="V513" s="72">
        <v>42947</v>
      </c>
      <c r="W513" s="69">
        <v>5114736</v>
      </c>
      <c r="X513" s="69"/>
      <c r="Y513" s="123"/>
      <c r="Z513" s="30">
        <f t="shared" si="14"/>
        <v>6763.7822038320437</v>
      </c>
      <c r="AA513" s="30">
        <f t="shared" si="15"/>
        <v>2113.6819386975139</v>
      </c>
      <c r="AB513" t="s">
        <v>456</v>
      </c>
    </row>
    <row r="514" spans="1:28">
      <c r="A514" s="67" t="s">
        <v>122</v>
      </c>
      <c r="B514" s="68">
        <v>1255514</v>
      </c>
      <c r="C514" s="69">
        <v>4615408445</v>
      </c>
      <c r="D514" s="70">
        <v>19200</v>
      </c>
      <c r="E514" s="80"/>
      <c r="F514" s="68">
        <v>16</v>
      </c>
      <c r="G514" s="68">
        <v>5</v>
      </c>
      <c r="H514" s="68">
        <v>0</v>
      </c>
      <c r="I514" s="68">
        <v>0</v>
      </c>
      <c r="J514" s="71"/>
      <c r="K514" s="71">
        <v>42841</v>
      </c>
      <c r="L514" s="69" t="s">
        <v>80</v>
      </c>
      <c r="M514" s="69" t="s">
        <v>109</v>
      </c>
      <c r="N514" s="72">
        <v>42979</v>
      </c>
      <c r="O514" s="67"/>
      <c r="P514" s="67" t="s">
        <v>95</v>
      </c>
      <c r="Q514" s="67" t="s">
        <v>120</v>
      </c>
      <c r="R514" s="69" t="s">
        <v>69</v>
      </c>
      <c r="S514" s="69" t="s">
        <v>123</v>
      </c>
      <c r="T514" s="67"/>
      <c r="U514" s="67"/>
      <c r="V514" s="72">
        <v>42916</v>
      </c>
      <c r="W514" s="69">
        <v>2025766</v>
      </c>
      <c r="X514" s="69"/>
      <c r="Y514" s="123"/>
      <c r="Z514" s="30">
        <f t="shared" si="14"/>
        <v>6772.6006943194379</v>
      </c>
      <c r="AA514" s="30">
        <f t="shared" si="15"/>
        <v>2116.4377169748245</v>
      </c>
      <c r="AB514" t="s">
        <v>456</v>
      </c>
    </row>
    <row r="515" spans="1:28">
      <c r="A515" s="67" t="s">
        <v>113</v>
      </c>
      <c r="B515" s="68">
        <v>1251858</v>
      </c>
      <c r="C515" s="69">
        <v>4615404823</v>
      </c>
      <c r="D515" s="70">
        <v>19200</v>
      </c>
      <c r="E515" s="80"/>
      <c r="F515" s="68">
        <v>16</v>
      </c>
      <c r="G515" s="68" t="s">
        <v>114</v>
      </c>
      <c r="H515" s="73">
        <v>0</v>
      </c>
      <c r="I515" s="68">
        <v>0</v>
      </c>
      <c r="J515" s="71"/>
      <c r="K515" s="71">
        <v>42841</v>
      </c>
      <c r="L515" s="69" t="s">
        <v>80</v>
      </c>
      <c r="M515" s="69" t="s">
        <v>109</v>
      </c>
      <c r="N515" s="72">
        <v>42979</v>
      </c>
      <c r="O515" s="67"/>
      <c r="P515" s="67" t="s">
        <v>95</v>
      </c>
      <c r="Q515" s="67" t="s">
        <v>110</v>
      </c>
      <c r="R515" s="69" t="s">
        <v>69</v>
      </c>
      <c r="S515" s="69" t="s">
        <v>115</v>
      </c>
      <c r="T515" s="67"/>
      <c r="U515" s="67"/>
      <c r="V515" s="72">
        <v>42916</v>
      </c>
      <c r="W515" s="69" t="s">
        <v>186</v>
      </c>
      <c r="X515" s="69" t="s">
        <v>117</v>
      </c>
      <c r="Y515" s="123"/>
      <c r="Z515" s="30">
        <f t="shared" ref="Z515:Z578" si="16">CONVERT(D515,"kg","lbm")*F515/100</f>
        <v>6772.6006943194379</v>
      </c>
      <c r="AA515" s="30">
        <f t="shared" ref="AA515:AA578" si="17">CONVERT(D515,"kg","lbm")*G515/100</f>
        <v>0</v>
      </c>
      <c r="AB515" t="s">
        <v>456</v>
      </c>
    </row>
    <row r="516" spans="1:28">
      <c r="A516" s="67" t="s">
        <v>113</v>
      </c>
      <c r="B516" s="68">
        <v>1251860</v>
      </c>
      <c r="C516" s="69">
        <v>4615404823</v>
      </c>
      <c r="D516" s="70">
        <v>19200</v>
      </c>
      <c r="E516" s="80"/>
      <c r="F516" s="68">
        <v>16</v>
      </c>
      <c r="G516" s="68" t="s">
        <v>114</v>
      </c>
      <c r="H516" s="73">
        <v>0</v>
      </c>
      <c r="I516" s="68">
        <v>0</v>
      </c>
      <c r="J516" s="71"/>
      <c r="K516" s="71">
        <v>42815</v>
      </c>
      <c r="L516" s="69" t="s">
        <v>80</v>
      </c>
      <c r="M516" s="69" t="s">
        <v>109</v>
      </c>
      <c r="N516" s="72">
        <v>42979</v>
      </c>
      <c r="O516" s="67"/>
      <c r="P516" s="67" t="s">
        <v>95</v>
      </c>
      <c r="Q516" s="67" t="s">
        <v>110</v>
      </c>
      <c r="R516" s="69" t="s">
        <v>69</v>
      </c>
      <c r="S516" s="69" t="s">
        <v>115</v>
      </c>
      <c r="T516" s="67"/>
      <c r="U516" s="67"/>
      <c r="V516" s="72">
        <v>42916</v>
      </c>
      <c r="W516" s="69" t="s">
        <v>186</v>
      </c>
      <c r="X516" s="69" t="s">
        <v>117</v>
      </c>
      <c r="Y516" s="123"/>
      <c r="Z516" s="30">
        <f t="shared" si="16"/>
        <v>6772.6006943194379</v>
      </c>
      <c r="AA516" s="30">
        <f t="shared" si="17"/>
        <v>0</v>
      </c>
      <c r="AB516" t="s">
        <v>456</v>
      </c>
    </row>
    <row r="517" spans="1:28">
      <c r="A517" s="67" t="s">
        <v>113</v>
      </c>
      <c r="B517" s="68">
        <v>1251855</v>
      </c>
      <c r="C517" s="69">
        <v>4615404823</v>
      </c>
      <c r="D517" s="70">
        <v>19200</v>
      </c>
      <c r="E517" s="80"/>
      <c r="F517" s="68">
        <v>16</v>
      </c>
      <c r="G517" s="68" t="s">
        <v>114</v>
      </c>
      <c r="H517" s="73">
        <v>0</v>
      </c>
      <c r="I517" s="68">
        <v>0</v>
      </c>
      <c r="J517" s="71"/>
      <c r="K517" s="71">
        <v>42839</v>
      </c>
      <c r="L517" s="69" t="s">
        <v>80</v>
      </c>
      <c r="M517" s="69" t="s">
        <v>109</v>
      </c>
      <c r="N517" s="72">
        <v>42979</v>
      </c>
      <c r="O517" s="67"/>
      <c r="P517" s="67" t="s">
        <v>95</v>
      </c>
      <c r="Q517" s="67" t="s">
        <v>110</v>
      </c>
      <c r="R517" s="69" t="s">
        <v>69</v>
      </c>
      <c r="S517" s="69" t="s">
        <v>115</v>
      </c>
      <c r="T517" s="67"/>
      <c r="U517" s="67"/>
      <c r="V517" s="72">
        <v>42916</v>
      </c>
      <c r="W517" s="69" t="s">
        <v>186</v>
      </c>
      <c r="X517" s="69" t="s">
        <v>117</v>
      </c>
      <c r="Y517" s="123"/>
      <c r="Z517" s="30">
        <f t="shared" si="16"/>
        <v>6772.6006943194379</v>
      </c>
      <c r="AA517" s="30">
        <f t="shared" si="17"/>
        <v>0</v>
      </c>
      <c r="AB517" t="s">
        <v>456</v>
      </c>
    </row>
    <row r="518" spans="1:28">
      <c r="A518" s="67" t="s">
        <v>68</v>
      </c>
      <c r="B518" s="68">
        <v>1248709</v>
      </c>
      <c r="C518" s="69">
        <v>4615416117</v>
      </c>
      <c r="D518" s="70">
        <v>19175</v>
      </c>
      <c r="E518" s="80"/>
      <c r="F518" s="68">
        <v>16</v>
      </c>
      <c r="G518" s="68">
        <v>5</v>
      </c>
      <c r="H518" s="73">
        <v>0</v>
      </c>
      <c r="I518" s="68">
        <v>0</v>
      </c>
      <c r="J518" s="71"/>
      <c r="K518" s="71">
        <v>42801</v>
      </c>
      <c r="L518" s="69" t="s">
        <v>80</v>
      </c>
      <c r="M518" s="69" t="s">
        <v>109</v>
      </c>
      <c r="N518" s="72">
        <v>42979</v>
      </c>
      <c r="O518" s="67"/>
      <c r="P518" s="67" t="s">
        <v>95</v>
      </c>
      <c r="Q518" s="67" t="s">
        <v>125</v>
      </c>
      <c r="R518" s="69" t="s">
        <v>69</v>
      </c>
      <c r="S518" s="69" t="s">
        <v>68</v>
      </c>
      <c r="T518" s="67"/>
      <c r="U518" s="67"/>
      <c r="V518" s="72">
        <v>42886</v>
      </c>
      <c r="W518" s="69">
        <v>5114734</v>
      </c>
      <c r="X518" s="69"/>
      <c r="Y518" s="123"/>
      <c r="Z518" s="30">
        <f t="shared" si="16"/>
        <v>6763.7822038320437</v>
      </c>
      <c r="AA518" s="30">
        <f t="shared" si="17"/>
        <v>2113.6819386975139</v>
      </c>
      <c r="AB518" t="s">
        <v>456</v>
      </c>
    </row>
    <row r="519" spans="1:28">
      <c r="A519" s="67" t="s">
        <v>122</v>
      </c>
      <c r="B519" s="68">
        <v>1250825</v>
      </c>
      <c r="C519" s="69">
        <v>4615416504</v>
      </c>
      <c r="D519" s="70">
        <v>19200</v>
      </c>
      <c r="E519" s="80"/>
      <c r="F519" s="68">
        <v>16</v>
      </c>
      <c r="G519" s="68">
        <v>5</v>
      </c>
      <c r="H519" s="68">
        <v>0</v>
      </c>
      <c r="I519" s="68">
        <v>0</v>
      </c>
      <c r="J519" s="71"/>
      <c r="K519" s="71">
        <v>42827</v>
      </c>
      <c r="L519" s="69" t="s">
        <v>80</v>
      </c>
      <c r="M519" s="69" t="s">
        <v>109</v>
      </c>
      <c r="N519" s="72">
        <v>42978</v>
      </c>
      <c r="O519" s="67"/>
      <c r="P519" s="67" t="s">
        <v>95</v>
      </c>
      <c r="Q519" s="67" t="s">
        <v>120</v>
      </c>
      <c r="R519" s="69" t="s">
        <v>69</v>
      </c>
      <c r="S519" s="69" t="s">
        <v>123</v>
      </c>
      <c r="T519" s="67"/>
      <c r="U519" s="67"/>
      <c r="V519" s="72">
        <v>42886</v>
      </c>
      <c r="W519" s="69">
        <v>2025782</v>
      </c>
      <c r="X519" s="69"/>
      <c r="Y519" s="123"/>
      <c r="Z519" s="30">
        <f t="shared" si="16"/>
        <v>6772.6006943194379</v>
      </c>
      <c r="AA519" s="30">
        <f t="shared" si="17"/>
        <v>2116.4377169748245</v>
      </c>
      <c r="AB519" t="s">
        <v>456</v>
      </c>
    </row>
    <row r="520" spans="1:28">
      <c r="A520" s="67" t="s">
        <v>68</v>
      </c>
      <c r="B520" s="68">
        <v>1248705</v>
      </c>
      <c r="C520" s="69">
        <v>4615416117</v>
      </c>
      <c r="D520" s="70">
        <v>19175</v>
      </c>
      <c r="E520" s="79"/>
      <c r="F520" s="68">
        <v>16</v>
      </c>
      <c r="G520" s="68">
        <v>5</v>
      </c>
      <c r="H520" s="73">
        <v>0</v>
      </c>
      <c r="I520" s="68">
        <v>0</v>
      </c>
      <c r="J520" s="71"/>
      <c r="K520" s="71">
        <v>42801</v>
      </c>
      <c r="L520" s="69" t="s">
        <v>80</v>
      </c>
      <c r="M520" s="69" t="s">
        <v>109</v>
      </c>
      <c r="N520" s="72">
        <v>42978</v>
      </c>
      <c r="O520" s="67"/>
      <c r="P520" s="67" t="s">
        <v>95</v>
      </c>
      <c r="Q520" s="67" t="s">
        <v>125</v>
      </c>
      <c r="R520" s="69" t="s">
        <v>69</v>
      </c>
      <c r="S520" s="69" t="s">
        <v>68</v>
      </c>
      <c r="T520" s="67"/>
      <c r="U520" s="67"/>
      <c r="V520" s="72">
        <v>42886</v>
      </c>
      <c r="W520" s="69">
        <v>5114734</v>
      </c>
      <c r="X520" s="69"/>
      <c r="Y520" s="123"/>
      <c r="Z520" s="30">
        <f t="shared" si="16"/>
        <v>6763.7822038320437</v>
      </c>
      <c r="AA520" s="30">
        <f t="shared" si="17"/>
        <v>2113.6819386975139</v>
      </c>
      <c r="AB520" t="s">
        <v>456</v>
      </c>
    </row>
    <row r="521" spans="1:28">
      <c r="A521" s="67" t="s">
        <v>68</v>
      </c>
      <c r="B521" s="68">
        <v>1248708</v>
      </c>
      <c r="C521" s="69">
        <v>4615416117</v>
      </c>
      <c r="D521" s="70">
        <v>19175</v>
      </c>
      <c r="E521" s="79"/>
      <c r="F521" s="68">
        <v>16</v>
      </c>
      <c r="G521" s="68">
        <v>5</v>
      </c>
      <c r="H521" s="73">
        <v>0</v>
      </c>
      <c r="I521" s="68">
        <v>0</v>
      </c>
      <c r="J521" s="71"/>
      <c r="K521" s="71">
        <v>42750</v>
      </c>
      <c r="L521" s="69" t="s">
        <v>80</v>
      </c>
      <c r="M521" s="69" t="s">
        <v>109</v>
      </c>
      <c r="N521" s="72">
        <v>42978</v>
      </c>
      <c r="O521" s="67"/>
      <c r="P521" s="67" t="s">
        <v>95</v>
      </c>
      <c r="Q521" s="67" t="s">
        <v>125</v>
      </c>
      <c r="R521" s="69" t="s">
        <v>69</v>
      </c>
      <c r="S521" s="69" t="s">
        <v>68</v>
      </c>
      <c r="T521" s="67"/>
      <c r="U521" s="67"/>
      <c r="V521" s="72">
        <v>42886</v>
      </c>
      <c r="W521" s="69">
        <v>5114734</v>
      </c>
      <c r="X521" s="69"/>
      <c r="Y521" s="123"/>
      <c r="Z521" s="30">
        <f t="shared" si="16"/>
        <v>6763.7822038320437</v>
      </c>
      <c r="AA521" s="30">
        <f t="shared" si="17"/>
        <v>2113.6819386975139</v>
      </c>
      <c r="AB521" t="s">
        <v>456</v>
      </c>
    </row>
    <row r="522" spans="1:28">
      <c r="A522" s="67" t="s">
        <v>68</v>
      </c>
      <c r="B522" s="68">
        <v>1248710</v>
      </c>
      <c r="C522" s="69">
        <v>4615416117</v>
      </c>
      <c r="D522" s="70">
        <v>19175</v>
      </c>
      <c r="E522" s="79"/>
      <c r="F522" s="68">
        <v>16</v>
      </c>
      <c r="G522" s="68">
        <v>5</v>
      </c>
      <c r="H522" s="73">
        <v>0</v>
      </c>
      <c r="I522" s="68">
        <v>0</v>
      </c>
      <c r="J522" s="71"/>
      <c r="K522" s="71">
        <v>42816</v>
      </c>
      <c r="L522" s="69" t="s">
        <v>80</v>
      </c>
      <c r="M522" s="69" t="s">
        <v>109</v>
      </c>
      <c r="N522" s="72">
        <v>42978</v>
      </c>
      <c r="O522" s="67"/>
      <c r="P522" s="67" t="s">
        <v>95</v>
      </c>
      <c r="Q522" s="67" t="s">
        <v>125</v>
      </c>
      <c r="R522" s="69" t="s">
        <v>69</v>
      </c>
      <c r="S522" s="69" t="s">
        <v>68</v>
      </c>
      <c r="T522" s="67"/>
      <c r="U522" s="67"/>
      <c r="V522" s="72">
        <v>42886</v>
      </c>
      <c r="W522" s="69">
        <v>5114734</v>
      </c>
      <c r="X522" s="69"/>
      <c r="Y522" s="123"/>
      <c r="Z522" s="30">
        <f t="shared" si="16"/>
        <v>6763.7822038320437</v>
      </c>
      <c r="AA522" s="30">
        <f t="shared" si="17"/>
        <v>2113.6819386975139</v>
      </c>
      <c r="AB522" t="s">
        <v>456</v>
      </c>
    </row>
    <row r="523" spans="1:28">
      <c r="A523" s="67" t="s">
        <v>68</v>
      </c>
      <c r="B523" s="68">
        <v>1248715</v>
      </c>
      <c r="C523" s="69">
        <v>4615416117</v>
      </c>
      <c r="D523" s="70">
        <v>19175</v>
      </c>
      <c r="E523" s="79"/>
      <c r="F523" s="68">
        <v>16</v>
      </c>
      <c r="G523" s="68">
        <v>5</v>
      </c>
      <c r="H523" s="73">
        <v>0</v>
      </c>
      <c r="I523" s="68">
        <v>0</v>
      </c>
      <c r="J523" s="71"/>
      <c r="K523" s="71">
        <v>42836</v>
      </c>
      <c r="L523" s="69" t="s">
        <v>80</v>
      </c>
      <c r="M523" s="69" t="s">
        <v>109</v>
      </c>
      <c r="N523" s="72">
        <v>42978</v>
      </c>
      <c r="O523" s="67"/>
      <c r="P523" s="67" t="s">
        <v>95</v>
      </c>
      <c r="Q523" s="67" t="s">
        <v>125</v>
      </c>
      <c r="R523" s="69" t="s">
        <v>69</v>
      </c>
      <c r="S523" s="69" t="s">
        <v>68</v>
      </c>
      <c r="T523" s="67"/>
      <c r="U523" s="67"/>
      <c r="V523" s="72">
        <v>42886</v>
      </c>
      <c r="W523" s="69">
        <v>5114734</v>
      </c>
      <c r="X523" s="69"/>
      <c r="Y523" s="123"/>
      <c r="Z523" s="30">
        <f t="shared" si="16"/>
        <v>6763.7822038320437</v>
      </c>
      <c r="AA523" s="30">
        <f t="shared" si="17"/>
        <v>2113.6819386975139</v>
      </c>
      <c r="AB523" t="s">
        <v>456</v>
      </c>
    </row>
    <row r="524" spans="1:28">
      <c r="A524" s="67" t="s">
        <v>118</v>
      </c>
      <c r="B524" s="68">
        <v>1251875</v>
      </c>
      <c r="C524" s="69">
        <v>4615405266</v>
      </c>
      <c r="D524" s="70">
        <v>19175</v>
      </c>
      <c r="E524" s="79"/>
      <c r="F524" s="73">
        <v>10</v>
      </c>
      <c r="G524" s="73">
        <v>5</v>
      </c>
      <c r="H524" s="68">
        <v>0</v>
      </c>
      <c r="I524" s="68">
        <v>0</v>
      </c>
      <c r="J524" s="71"/>
      <c r="K524" s="71">
        <v>42831</v>
      </c>
      <c r="L524" s="69" t="s">
        <v>80</v>
      </c>
      <c r="M524" s="69" t="s">
        <v>109</v>
      </c>
      <c r="N524" s="72">
        <v>42978</v>
      </c>
      <c r="O524" s="67"/>
      <c r="P524" s="67" t="s">
        <v>95</v>
      </c>
      <c r="Q524" s="67" t="s">
        <v>120</v>
      </c>
      <c r="R524" s="69" t="s">
        <v>69</v>
      </c>
      <c r="S524" s="69" t="s">
        <v>121</v>
      </c>
      <c r="T524" s="67"/>
      <c r="U524" s="67"/>
      <c r="V524" s="72">
        <v>42916</v>
      </c>
      <c r="W524" s="69">
        <v>2026353</v>
      </c>
      <c r="X524" s="69"/>
      <c r="Y524" s="123"/>
      <c r="Z524" s="30">
        <f t="shared" si="16"/>
        <v>4227.3638773950279</v>
      </c>
      <c r="AA524" s="30">
        <f t="shared" si="17"/>
        <v>2113.6819386975139</v>
      </c>
      <c r="AB524" t="s">
        <v>456</v>
      </c>
    </row>
    <row r="525" spans="1:28">
      <c r="A525" s="67" t="s">
        <v>122</v>
      </c>
      <c r="B525" s="68">
        <v>1253515</v>
      </c>
      <c r="C525" s="69">
        <v>4615415544</v>
      </c>
      <c r="D525" s="70">
        <v>19200</v>
      </c>
      <c r="E525" s="79"/>
      <c r="F525" s="68">
        <v>16</v>
      </c>
      <c r="G525" s="68">
        <v>5</v>
      </c>
      <c r="H525" s="68">
        <v>0</v>
      </c>
      <c r="I525" s="68">
        <v>0</v>
      </c>
      <c r="J525" s="71"/>
      <c r="K525" s="71">
        <v>42831</v>
      </c>
      <c r="L525" s="69" t="s">
        <v>80</v>
      </c>
      <c r="M525" s="69" t="s">
        <v>109</v>
      </c>
      <c r="N525" s="72">
        <v>42978</v>
      </c>
      <c r="O525" s="67"/>
      <c r="P525" s="67" t="s">
        <v>95</v>
      </c>
      <c r="Q525" s="67" t="s">
        <v>120</v>
      </c>
      <c r="R525" s="69" t="s">
        <v>69</v>
      </c>
      <c r="S525" s="69" t="s">
        <v>123</v>
      </c>
      <c r="T525" s="67"/>
      <c r="U525" s="67"/>
      <c r="V525" s="72">
        <v>42916</v>
      </c>
      <c r="W525" s="69">
        <v>2025783</v>
      </c>
      <c r="X525" s="69"/>
      <c r="Y525" s="123"/>
      <c r="Z525" s="30">
        <f t="shared" si="16"/>
        <v>6772.6006943194379</v>
      </c>
      <c r="AA525" s="30">
        <f t="shared" si="17"/>
        <v>2116.4377169748245</v>
      </c>
      <c r="AB525" t="s">
        <v>456</v>
      </c>
    </row>
    <row r="526" spans="1:28">
      <c r="A526" s="67" t="s">
        <v>113</v>
      </c>
      <c r="B526" s="68">
        <v>1258307</v>
      </c>
      <c r="C526" s="69">
        <v>4615400271</v>
      </c>
      <c r="D526" s="70">
        <v>19200</v>
      </c>
      <c r="E526" s="79"/>
      <c r="F526" s="68">
        <v>16</v>
      </c>
      <c r="G526" s="68" t="s">
        <v>114</v>
      </c>
      <c r="H526" s="73">
        <v>0</v>
      </c>
      <c r="I526" s="68">
        <v>0</v>
      </c>
      <c r="J526" s="71"/>
      <c r="K526" s="71">
        <v>42818</v>
      </c>
      <c r="L526" s="69" t="s">
        <v>80</v>
      </c>
      <c r="M526" s="69" t="s">
        <v>109</v>
      </c>
      <c r="N526" s="72">
        <v>42976</v>
      </c>
      <c r="O526" s="67"/>
      <c r="P526" s="67" t="s">
        <v>95</v>
      </c>
      <c r="Q526" s="67" t="s">
        <v>110</v>
      </c>
      <c r="R526" s="69" t="s">
        <v>69</v>
      </c>
      <c r="S526" s="69" t="s">
        <v>115</v>
      </c>
      <c r="T526" s="67"/>
      <c r="U526" s="67"/>
      <c r="V526" s="72">
        <v>42947</v>
      </c>
      <c r="W526" s="69" t="s">
        <v>172</v>
      </c>
      <c r="X526" s="69" t="s">
        <v>173</v>
      </c>
      <c r="Y526" s="123"/>
      <c r="Z526" s="30">
        <f t="shared" si="16"/>
        <v>6772.6006943194379</v>
      </c>
      <c r="AA526" s="30">
        <f t="shared" si="17"/>
        <v>0</v>
      </c>
      <c r="AB526" t="s">
        <v>456</v>
      </c>
    </row>
    <row r="527" spans="1:28">
      <c r="A527" s="67" t="s">
        <v>68</v>
      </c>
      <c r="B527" s="68">
        <v>1248717</v>
      </c>
      <c r="C527" s="69">
        <v>4615416117</v>
      </c>
      <c r="D527" s="70">
        <v>19175</v>
      </c>
      <c r="E527" s="79"/>
      <c r="F527" s="68">
        <v>16</v>
      </c>
      <c r="G527" s="68">
        <v>5</v>
      </c>
      <c r="H527" s="73">
        <v>0</v>
      </c>
      <c r="I527" s="68">
        <v>0</v>
      </c>
      <c r="J527" s="71"/>
      <c r="K527" s="71">
        <v>42822</v>
      </c>
      <c r="L527" s="69" t="s">
        <v>80</v>
      </c>
      <c r="M527" s="69" t="s">
        <v>109</v>
      </c>
      <c r="N527" s="72">
        <v>42976</v>
      </c>
      <c r="O527" s="67"/>
      <c r="P527" s="67" t="s">
        <v>95</v>
      </c>
      <c r="Q527" s="67" t="s">
        <v>125</v>
      </c>
      <c r="R527" s="69" t="s">
        <v>69</v>
      </c>
      <c r="S527" s="69" t="s">
        <v>68</v>
      </c>
      <c r="T527" s="67"/>
      <c r="U527" s="67"/>
      <c r="V527" s="72">
        <v>42886</v>
      </c>
      <c r="W527" s="69">
        <v>5114734</v>
      </c>
      <c r="X527" s="69"/>
      <c r="Y527" s="123"/>
      <c r="Z527" s="30">
        <f t="shared" si="16"/>
        <v>6763.7822038320437</v>
      </c>
      <c r="AA527" s="30">
        <f t="shared" si="17"/>
        <v>2113.6819386975139</v>
      </c>
      <c r="AB527" t="s">
        <v>456</v>
      </c>
    </row>
    <row r="528" spans="1:28">
      <c r="A528" s="67" t="s">
        <v>122</v>
      </c>
      <c r="B528" s="68">
        <v>1250822</v>
      </c>
      <c r="C528" s="69">
        <v>4615416504</v>
      </c>
      <c r="D528" s="70">
        <v>19200</v>
      </c>
      <c r="E528" s="79"/>
      <c r="F528" s="68">
        <v>16</v>
      </c>
      <c r="G528" s="68">
        <v>5</v>
      </c>
      <c r="H528" s="68">
        <v>0</v>
      </c>
      <c r="I528" s="68">
        <v>0</v>
      </c>
      <c r="J528" s="71"/>
      <c r="K528" s="71">
        <v>42822</v>
      </c>
      <c r="L528" s="69" t="s">
        <v>80</v>
      </c>
      <c r="M528" s="69" t="s">
        <v>109</v>
      </c>
      <c r="N528" s="72">
        <v>42976</v>
      </c>
      <c r="O528" s="67"/>
      <c r="P528" s="67" t="s">
        <v>95</v>
      </c>
      <c r="Q528" s="67" t="s">
        <v>120</v>
      </c>
      <c r="R528" s="69" t="s">
        <v>69</v>
      </c>
      <c r="S528" s="69" t="s">
        <v>123</v>
      </c>
      <c r="T528" s="67"/>
      <c r="U528" s="67"/>
      <c r="V528" s="72">
        <v>42886</v>
      </c>
      <c r="W528" s="69">
        <v>2025782</v>
      </c>
      <c r="X528" s="69" t="s">
        <v>190</v>
      </c>
      <c r="Y528" s="123"/>
      <c r="Z528" s="30">
        <f t="shared" si="16"/>
        <v>6772.6006943194379</v>
      </c>
      <c r="AA528" s="30">
        <f t="shared" si="17"/>
        <v>2116.4377169748245</v>
      </c>
      <c r="AB528" t="s">
        <v>456</v>
      </c>
    </row>
    <row r="529" spans="1:28">
      <c r="A529" s="67" t="s">
        <v>122</v>
      </c>
      <c r="B529" s="68">
        <v>1250821</v>
      </c>
      <c r="C529" s="69">
        <v>4615416504</v>
      </c>
      <c r="D529" s="70">
        <v>19200</v>
      </c>
      <c r="E529" s="79"/>
      <c r="F529" s="68">
        <v>16</v>
      </c>
      <c r="G529" s="68">
        <v>5</v>
      </c>
      <c r="H529" s="68">
        <v>0</v>
      </c>
      <c r="I529" s="68">
        <v>0</v>
      </c>
      <c r="J529" s="71"/>
      <c r="K529" s="71">
        <v>42829</v>
      </c>
      <c r="L529" s="69" t="s">
        <v>80</v>
      </c>
      <c r="M529" s="69" t="s">
        <v>109</v>
      </c>
      <c r="N529" s="72">
        <v>42976</v>
      </c>
      <c r="O529" s="67"/>
      <c r="P529" s="67" t="s">
        <v>95</v>
      </c>
      <c r="Q529" s="67" t="s">
        <v>120</v>
      </c>
      <c r="R529" s="69" t="s">
        <v>69</v>
      </c>
      <c r="S529" s="69" t="s">
        <v>123</v>
      </c>
      <c r="T529" s="67"/>
      <c r="U529" s="67"/>
      <c r="V529" s="72">
        <v>42886</v>
      </c>
      <c r="W529" s="69">
        <v>2025782</v>
      </c>
      <c r="X529" s="69"/>
      <c r="Y529" s="123"/>
      <c r="Z529" s="30">
        <f t="shared" si="16"/>
        <v>6772.6006943194379</v>
      </c>
      <c r="AA529" s="30">
        <f t="shared" si="17"/>
        <v>2116.4377169748245</v>
      </c>
      <c r="AB529" t="s">
        <v>456</v>
      </c>
    </row>
    <row r="530" spans="1:28">
      <c r="A530" s="67" t="s">
        <v>113</v>
      </c>
      <c r="B530" s="68">
        <v>1255875</v>
      </c>
      <c r="C530" s="69">
        <v>4615406661</v>
      </c>
      <c r="D530" s="70">
        <v>19200</v>
      </c>
      <c r="E530" s="79"/>
      <c r="F530" s="73">
        <v>16</v>
      </c>
      <c r="G530" s="73" t="s">
        <v>114</v>
      </c>
      <c r="H530" s="75">
        <v>0</v>
      </c>
      <c r="I530" s="68">
        <v>0</v>
      </c>
      <c r="J530" s="71"/>
      <c r="K530" s="71">
        <v>42750</v>
      </c>
      <c r="L530" s="69" t="s">
        <v>80</v>
      </c>
      <c r="M530" s="69" t="s">
        <v>109</v>
      </c>
      <c r="N530" s="72">
        <v>42975</v>
      </c>
      <c r="O530" s="67"/>
      <c r="P530" s="67" t="s">
        <v>95</v>
      </c>
      <c r="Q530" s="67" t="s">
        <v>110</v>
      </c>
      <c r="R530" s="69" t="s">
        <v>69</v>
      </c>
      <c r="S530" s="69" t="s">
        <v>115</v>
      </c>
      <c r="T530" s="67"/>
      <c r="U530" s="67"/>
      <c r="V530" s="72">
        <v>42947</v>
      </c>
      <c r="W530" s="69" t="s">
        <v>185</v>
      </c>
      <c r="X530" s="69" t="s">
        <v>117</v>
      </c>
      <c r="Y530" s="123"/>
      <c r="Z530" s="30">
        <f t="shared" si="16"/>
        <v>6772.6006943194379</v>
      </c>
      <c r="AA530" s="30">
        <f t="shared" si="17"/>
        <v>0</v>
      </c>
      <c r="AB530" t="s">
        <v>456</v>
      </c>
    </row>
    <row r="531" spans="1:28">
      <c r="A531" s="67" t="s">
        <v>128</v>
      </c>
      <c r="B531" s="68">
        <v>1260006</v>
      </c>
      <c r="C531" s="69">
        <v>4615423773</v>
      </c>
      <c r="D531" s="70">
        <v>19175</v>
      </c>
      <c r="E531" s="79"/>
      <c r="F531" s="68">
        <v>154.32</v>
      </c>
      <c r="G531" s="68" t="s">
        <v>114</v>
      </c>
      <c r="H531" s="75">
        <v>0</v>
      </c>
      <c r="I531" s="68">
        <v>0</v>
      </c>
      <c r="J531" s="71"/>
      <c r="K531" s="71">
        <v>42831</v>
      </c>
      <c r="L531" s="69" t="s">
        <v>80</v>
      </c>
      <c r="M531" s="69" t="s">
        <v>109</v>
      </c>
      <c r="N531" s="72">
        <v>42971</v>
      </c>
      <c r="O531" s="67"/>
      <c r="P531" s="67" t="s">
        <v>95</v>
      </c>
      <c r="Q531" s="67" t="s">
        <v>129</v>
      </c>
      <c r="R531" s="69" t="s">
        <v>69</v>
      </c>
      <c r="S531" s="69" t="s">
        <v>130</v>
      </c>
      <c r="T531" s="67"/>
      <c r="U531" s="67"/>
      <c r="V531" s="72">
        <v>42947</v>
      </c>
      <c r="W531" s="69">
        <v>425570006</v>
      </c>
      <c r="X531" s="69"/>
      <c r="Y531" s="123"/>
      <c r="Z531" s="30">
        <f t="shared" si="16"/>
        <v>65236.679355960063</v>
      </c>
      <c r="AA531" s="30">
        <f t="shared" si="17"/>
        <v>0</v>
      </c>
      <c r="AB531" t="s">
        <v>456</v>
      </c>
    </row>
    <row r="532" spans="1:28">
      <c r="A532" s="67" t="s">
        <v>107</v>
      </c>
      <c r="B532" s="68">
        <v>1257087</v>
      </c>
      <c r="C532" s="69">
        <v>4615419059</v>
      </c>
      <c r="D532" s="70">
        <v>19200</v>
      </c>
      <c r="E532" s="79"/>
      <c r="F532" s="81">
        <v>154.32</v>
      </c>
      <c r="G532" s="68" t="s">
        <v>114</v>
      </c>
      <c r="H532" s="68">
        <v>0</v>
      </c>
      <c r="I532" s="68">
        <v>0</v>
      </c>
      <c r="J532" s="71"/>
      <c r="K532" s="71">
        <v>42820</v>
      </c>
      <c r="L532" s="69" t="s">
        <v>80</v>
      </c>
      <c r="M532" s="69" t="s">
        <v>109</v>
      </c>
      <c r="N532" s="72">
        <v>42971</v>
      </c>
      <c r="O532" s="67"/>
      <c r="P532" s="67" t="s">
        <v>95</v>
      </c>
      <c r="Q532" s="67" t="s">
        <v>110</v>
      </c>
      <c r="R532" s="69" t="s">
        <v>69</v>
      </c>
      <c r="S532" s="69" t="s">
        <v>111</v>
      </c>
      <c r="T532" s="67"/>
      <c r="U532" s="67"/>
      <c r="V532" s="72">
        <v>42916</v>
      </c>
      <c r="W532" s="69" t="s">
        <v>191</v>
      </c>
      <c r="X532" s="69"/>
      <c r="Y532" s="123"/>
      <c r="Z532" s="30">
        <f t="shared" si="16"/>
        <v>65321.73369671098</v>
      </c>
      <c r="AA532" s="30">
        <f t="shared" si="17"/>
        <v>0</v>
      </c>
      <c r="AB532" t="s">
        <v>456</v>
      </c>
    </row>
    <row r="533" spans="1:28">
      <c r="A533" s="67" t="s">
        <v>113</v>
      </c>
      <c r="B533" s="68">
        <v>1258303</v>
      </c>
      <c r="C533" s="69">
        <v>4615400271</v>
      </c>
      <c r="D533" s="70">
        <v>19200</v>
      </c>
      <c r="E533" s="79"/>
      <c r="F533" s="68">
        <v>16</v>
      </c>
      <c r="G533" s="68" t="s">
        <v>114</v>
      </c>
      <c r="H533" s="73">
        <v>0</v>
      </c>
      <c r="I533" s="68">
        <v>0</v>
      </c>
      <c r="J533" s="71"/>
      <c r="K533" s="71">
        <v>42839</v>
      </c>
      <c r="L533" s="69" t="s">
        <v>80</v>
      </c>
      <c r="M533" s="69" t="s">
        <v>109</v>
      </c>
      <c r="N533" s="72">
        <v>42971</v>
      </c>
      <c r="O533" s="67"/>
      <c r="P533" s="67" t="s">
        <v>95</v>
      </c>
      <c r="Q533" s="67" t="s">
        <v>110</v>
      </c>
      <c r="R533" s="69" t="s">
        <v>69</v>
      </c>
      <c r="S533" s="69" t="s">
        <v>115</v>
      </c>
      <c r="T533" s="67"/>
      <c r="U533" s="67"/>
      <c r="V533" s="72">
        <v>42947</v>
      </c>
      <c r="W533" s="69" t="s">
        <v>172</v>
      </c>
      <c r="X533" s="69" t="s">
        <v>173</v>
      </c>
      <c r="Y533" s="123"/>
      <c r="Z533" s="30">
        <f t="shared" si="16"/>
        <v>6772.6006943194379</v>
      </c>
      <c r="AA533" s="30">
        <f t="shared" si="17"/>
        <v>0</v>
      </c>
      <c r="AB533" t="s">
        <v>456</v>
      </c>
    </row>
    <row r="534" spans="1:28">
      <c r="A534" s="67" t="s">
        <v>113</v>
      </c>
      <c r="B534" s="68">
        <v>1255876</v>
      </c>
      <c r="C534" s="69">
        <v>4615406661</v>
      </c>
      <c r="D534" s="70">
        <v>19200</v>
      </c>
      <c r="E534" s="79"/>
      <c r="F534" s="73">
        <v>16</v>
      </c>
      <c r="G534" s="73" t="s">
        <v>114</v>
      </c>
      <c r="H534" s="75">
        <v>0</v>
      </c>
      <c r="I534" s="68">
        <v>0</v>
      </c>
      <c r="J534" s="71"/>
      <c r="K534" s="71">
        <v>42802</v>
      </c>
      <c r="L534" s="69" t="s">
        <v>80</v>
      </c>
      <c r="M534" s="69" t="s">
        <v>109</v>
      </c>
      <c r="N534" s="72">
        <v>42971</v>
      </c>
      <c r="O534" s="67"/>
      <c r="P534" s="67" t="s">
        <v>95</v>
      </c>
      <c r="Q534" s="67" t="s">
        <v>110</v>
      </c>
      <c r="R534" s="69" t="s">
        <v>69</v>
      </c>
      <c r="S534" s="69" t="s">
        <v>115</v>
      </c>
      <c r="T534" s="67"/>
      <c r="U534" s="67"/>
      <c r="V534" s="72">
        <v>42947</v>
      </c>
      <c r="W534" s="69" t="s">
        <v>185</v>
      </c>
      <c r="X534" s="69" t="s">
        <v>117</v>
      </c>
      <c r="Y534" s="123"/>
      <c r="Z534" s="30">
        <f t="shared" si="16"/>
        <v>6772.6006943194379</v>
      </c>
      <c r="AA534" s="30">
        <f t="shared" si="17"/>
        <v>0</v>
      </c>
      <c r="AB534" t="s">
        <v>456</v>
      </c>
    </row>
    <row r="535" spans="1:28">
      <c r="A535" s="67" t="s">
        <v>68</v>
      </c>
      <c r="B535" s="68">
        <v>1248714</v>
      </c>
      <c r="C535" s="69">
        <v>4615416117</v>
      </c>
      <c r="D535" s="70">
        <v>19175</v>
      </c>
      <c r="E535" s="79"/>
      <c r="F535" s="68">
        <v>16</v>
      </c>
      <c r="G535" s="68">
        <v>5</v>
      </c>
      <c r="H535" s="73">
        <v>0</v>
      </c>
      <c r="I535" s="68">
        <v>0</v>
      </c>
      <c r="J535" s="71"/>
      <c r="K535" s="71">
        <v>42772</v>
      </c>
      <c r="L535" s="69" t="s">
        <v>80</v>
      </c>
      <c r="M535" s="69" t="s">
        <v>109</v>
      </c>
      <c r="N535" s="72">
        <v>42971</v>
      </c>
      <c r="O535" s="67"/>
      <c r="P535" s="67" t="s">
        <v>95</v>
      </c>
      <c r="Q535" s="67" t="s">
        <v>125</v>
      </c>
      <c r="R535" s="69" t="s">
        <v>69</v>
      </c>
      <c r="S535" s="69" t="s">
        <v>68</v>
      </c>
      <c r="T535" s="67"/>
      <c r="U535" s="67"/>
      <c r="V535" s="72">
        <v>42886</v>
      </c>
      <c r="W535" s="69">
        <v>5114734</v>
      </c>
      <c r="X535" s="69"/>
      <c r="Y535" s="123"/>
      <c r="Z535" s="30">
        <f t="shared" si="16"/>
        <v>6763.7822038320437</v>
      </c>
      <c r="AA535" s="30">
        <f t="shared" si="17"/>
        <v>2113.6819386975139</v>
      </c>
      <c r="AB535" t="s">
        <v>456</v>
      </c>
    </row>
    <row r="536" spans="1:28">
      <c r="A536" s="67" t="s">
        <v>68</v>
      </c>
      <c r="B536" s="68">
        <v>1248716</v>
      </c>
      <c r="C536" s="69">
        <v>4615416117</v>
      </c>
      <c r="D536" s="70">
        <v>19175</v>
      </c>
      <c r="E536" s="79"/>
      <c r="F536" s="68">
        <v>16</v>
      </c>
      <c r="G536" s="68">
        <v>5</v>
      </c>
      <c r="H536" s="73">
        <v>0</v>
      </c>
      <c r="I536" s="68">
        <v>0</v>
      </c>
      <c r="J536" s="71"/>
      <c r="K536" s="71">
        <v>42787</v>
      </c>
      <c r="L536" s="69" t="s">
        <v>80</v>
      </c>
      <c r="M536" s="69" t="s">
        <v>109</v>
      </c>
      <c r="N536" s="72">
        <v>42971</v>
      </c>
      <c r="O536" s="67"/>
      <c r="P536" s="67" t="s">
        <v>95</v>
      </c>
      <c r="Q536" s="67" t="s">
        <v>125</v>
      </c>
      <c r="R536" s="69" t="s">
        <v>69</v>
      </c>
      <c r="S536" s="69" t="s">
        <v>68</v>
      </c>
      <c r="T536" s="67"/>
      <c r="U536" s="67"/>
      <c r="V536" s="72">
        <v>42886</v>
      </c>
      <c r="W536" s="69">
        <v>5114734</v>
      </c>
      <c r="X536" s="69"/>
      <c r="Y536" s="123"/>
      <c r="Z536" s="30">
        <f t="shared" si="16"/>
        <v>6763.7822038320437</v>
      </c>
      <c r="AA536" s="30">
        <f t="shared" si="17"/>
        <v>2113.6819386975139</v>
      </c>
      <c r="AB536" t="s">
        <v>456</v>
      </c>
    </row>
    <row r="537" spans="1:28">
      <c r="A537" s="67" t="s">
        <v>118</v>
      </c>
      <c r="B537" s="68">
        <v>1251876</v>
      </c>
      <c r="C537" s="69">
        <v>4615405266</v>
      </c>
      <c r="D537" s="70">
        <v>19175</v>
      </c>
      <c r="E537" s="79"/>
      <c r="F537" s="73">
        <v>10</v>
      </c>
      <c r="G537" s="73">
        <v>5</v>
      </c>
      <c r="H537" s="68">
        <v>0</v>
      </c>
      <c r="I537" s="68">
        <v>0</v>
      </c>
      <c r="J537" s="71"/>
      <c r="K537" s="71">
        <v>42787</v>
      </c>
      <c r="L537" s="69" t="s">
        <v>80</v>
      </c>
      <c r="M537" s="69" t="s">
        <v>109</v>
      </c>
      <c r="N537" s="72">
        <v>42971</v>
      </c>
      <c r="O537" s="67"/>
      <c r="P537" s="67" t="s">
        <v>95</v>
      </c>
      <c r="Q537" s="67" t="s">
        <v>120</v>
      </c>
      <c r="R537" s="69" t="s">
        <v>69</v>
      </c>
      <c r="S537" s="69" t="s">
        <v>121</v>
      </c>
      <c r="T537" s="67"/>
      <c r="U537" s="67"/>
      <c r="V537" s="72">
        <v>42916</v>
      </c>
      <c r="W537" s="69">
        <v>2026353</v>
      </c>
      <c r="X537" s="69"/>
      <c r="Y537" s="123"/>
      <c r="Z537" s="30">
        <f t="shared" si="16"/>
        <v>4227.3638773950279</v>
      </c>
      <c r="AA537" s="30">
        <f t="shared" si="17"/>
        <v>2113.6819386975139</v>
      </c>
      <c r="AB537" t="s">
        <v>456</v>
      </c>
    </row>
    <row r="538" spans="1:28">
      <c r="A538" s="67" t="s">
        <v>68</v>
      </c>
      <c r="B538" s="68">
        <v>1241002</v>
      </c>
      <c r="C538" s="69">
        <v>4615408111</v>
      </c>
      <c r="D538" s="70">
        <v>19175</v>
      </c>
      <c r="E538" s="79"/>
      <c r="F538" s="73">
        <v>16</v>
      </c>
      <c r="G538" s="73">
        <v>5</v>
      </c>
      <c r="H538" s="73">
        <v>0</v>
      </c>
      <c r="I538" s="68">
        <v>0</v>
      </c>
      <c r="J538" s="71">
        <v>42839</v>
      </c>
      <c r="K538" s="71">
        <v>42748</v>
      </c>
      <c r="L538" s="69" t="s">
        <v>119</v>
      </c>
      <c r="M538" s="69" t="s">
        <v>109</v>
      </c>
      <c r="N538" s="72">
        <v>42971</v>
      </c>
      <c r="O538" s="67"/>
      <c r="P538" s="67" t="s">
        <v>95</v>
      </c>
      <c r="Q538" s="67" t="s">
        <v>125</v>
      </c>
      <c r="R538" s="69" t="s">
        <v>69</v>
      </c>
      <c r="S538" s="69" t="s">
        <v>68</v>
      </c>
      <c r="T538" s="67"/>
      <c r="U538" s="67"/>
      <c r="V538" s="72">
        <v>42855</v>
      </c>
      <c r="W538" s="69">
        <v>5114733</v>
      </c>
      <c r="X538" s="69"/>
      <c r="Y538" s="123"/>
      <c r="Z538" s="30">
        <f t="shared" si="16"/>
        <v>6763.7822038320437</v>
      </c>
      <c r="AA538" s="30">
        <f t="shared" si="17"/>
        <v>2113.6819386975139</v>
      </c>
      <c r="AB538" t="s">
        <v>456</v>
      </c>
    </row>
    <row r="539" spans="1:28">
      <c r="A539" s="67" t="s">
        <v>122</v>
      </c>
      <c r="B539" s="68">
        <v>1233650</v>
      </c>
      <c r="C539" s="69">
        <v>4615381340</v>
      </c>
      <c r="D539" s="70">
        <v>19200</v>
      </c>
      <c r="E539" s="79"/>
      <c r="F539" s="68">
        <v>16</v>
      </c>
      <c r="G539" s="68">
        <v>5</v>
      </c>
      <c r="H539" s="73">
        <v>0</v>
      </c>
      <c r="I539" s="68">
        <v>0</v>
      </c>
      <c r="J539" s="71"/>
      <c r="K539" s="71">
        <v>42785</v>
      </c>
      <c r="L539" s="69" t="s">
        <v>80</v>
      </c>
      <c r="M539" s="69" t="s">
        <v>109</v>
      </c>
      <c r="N539" s="72">
        <v>42971</v>
      </c>
      <c r="O539" s="67"/>
      <c r="P539" s="67" t="s">
        <v>95</v>
      </c>
      <c r="Q539" s="67" t="s">
        <v>120</v>
      </c>
      <c r="R539" s="69" t="s">
        <v>69</v>
      </c>
      <c r="S539" s="69" t="s">
        <v>123</v>
      </c>
      <c r="T539" s="67"/>
      <c r="U539" s="67"/>
      <c r="V539" s="72">
        <v>42855</v>
      </c>
      <c r="W539" s="69">
        <v>2023109</v>
      </c>
      <c r="X539" s="69"/>
      <c r="Y539" s="123"/>
      <c r="Z539" s="30">
        <f t="shared" si="16"/>
        <v>6772.6006943194379</v>
      </c>
      <c r="AA539" s="30">
        <f t="shared" si="17"/>
        <v>2116.4377169748245</v>
      </c>
      <c r="AB539" t="s">
        <v>456</v>
      </c>
    </row>
    <row r="540" spans="1:28">
      <c r="A540" s="67" t="s">
        <v>122</v>
      </c>
      <c r="B540" s="68">
        <v>1233649</v>
      </c>
      <c r="C540" s="69">
        <v>4615381340</v>
      </c>
      <c r="D540" s="70">
        <v>19200</v>
      </c>
      <c r="E540" s="79"/>
      <c r="F540" s="68">
        <v>16</v>
      </c>
      <c r="G540" s="68">
        <v>5</v>
      </c>
      <c r="H540" s="73">
        <v>0</v>
      </c>
      <c r="I540" s="68">
        <v>0</v>
      </c>
      <c r="J540" s="71"/>
      <c r="K540" s="71">
        <v>42766</v>
      </c>
      <c r="L540" s="69" t="s">
        <v>80</v>
      </c>
      <c r="M540" s="69" t="s">
        <v>109</v>
      </c>
      <c r="N540" s="72">
        <v>42971</v>
      </c>
      <c r="O540" s="67"/>
      <c r="P540" s="67" t="s">
        <v>95</v>
      </c>
      <c r="Q540" s="67" t="s">
        <v>120</v>
      </c>
      <c r="R540" s="69" t="s">
        <v>69</v>
      </c>
      <c r="S540" s="69" t="s">
        <v>123</v>
      </c>
      <c r="T540" s="67"/>
      <c r="U540" s="67"/>
      <c r="V540" s="72">
        <v>42855</v>
      </c>
      <c r="W540" s="69">
        <v>2023109</v>
      </c>
      <c r="X540" s="69"/>
      <c r="Y540" s="123"/>
      <c r="Z540" s="30">
        <f t="shared" si="16"/>
        <v>6772.6006943194379</v>
      </c>
      <c r="AA540" s="30">
        <f t="shared" si="17"/>
        <v>2116.4377169748245</v>
      </c>
      <c r="AB540" t="s">
        <v>456</v>
      </c>
    </row>
    <row r="541" spans="1:28">
      <c r="A541" s="67" t="s">
        <v>122</v>
      </c>
      <c r="B541" s="68">
        <v>1233648</v>
      </c>
      <c r="C541" s="69">
        <v>4615381340</v>
      </c>
      <c r="D541" s="70">
        <v>19200</v>
      </c>
      <c r="E541" s="79"/>
      <c r="F541" s="68">
        <v>16</v>
      </c>
      <c r="G541" s="68">
        <v>5</v>
      </c>
      <c r="H541" s="73">
        <v>0</v>
      </c>
      <c r="I541" s="68">
        <v>0</v>
      </c>
      <c r="J541" s="71"/>
      <c r="K541" s="71">
        <v>42724</v>
      </c>
      <c r="L541" s="69" t="s">
        <v>80</v>
      </c>
      <c r="M541" s="69" t="s">
        <v>109</v>
      </c>
      <c r="N541" s="72">
        <v>42971</v>
      </c>
      <c r="O541" s="67"/>
      <c r="P541" s="67" t="s">
        <v>95</v>
      </c>
      <c r="Q541" s="67" t="s">
        <v>120</v>
      </c>
      <c r="R541" s="69" t="s">
        <v>69</v>
      </c>
      <c r="S541" s="69" t="s">
        <v>123</v>
      </c>
      <c r="T541" s="67"/>
      <c r="U541" s="67"/>
      <c r="V541" s="72">
        <v>42855</v>
      </c>
      <c r="W541" s="69">
        <v>2023109</v>
      </c>
      <c r="X541" s="69"/>
      <c r="Y541" s="123"/>
      <c r="Z541" s="30">
        <f t="shared" si="16"/>
        <v>6772.6006943194379</v>
      </c>
      <c r="AA541" s="30">
        <f t="shared" si="17"/>
        <v>2116.4377169748245</v>
      </c>
      <c r="AB541" t="s">
        <v>456</v>
      </c>
    </row>
    <row r="542" spans="1:28">
      <c r="A542" s="67" t="s">
        <v>68</v>
      </c>
      <c r="B542" s="68">
        <v>1241001</v>
      </c>
      <c r="C542" s="69">
        <v>4615408111</v>
      </c>
      <c r="D542" s="70">
        <v>19175</v>
      </c>
      <c r="E542" s="79"/>
      <c r="F542" s="73">
        <v>16</v>
      </c>
      <c r="G542" s="73">
        <v>5</v>
      </c>
      <c r="H542" s="73">
        <v>0</v>
      </c>
      <c r="I542" s="68">
        <v>0</v>
      </c>
      <c r="J542" s="71">
        <v>42839</v>
      </c>
      <c r="K542" s="71">
        <v>42748</v>
      </c>
      <c r="L542" s="69" t="s">
        <v>119</v>
      </c>
      <c r="M542" s="69" t="s">
        <v>109</v>
      </c>
      <c r="N542" s="72">
        <v>42971</v>
      </c>
      <c r="O542" s="67"/>
      <c r="P542" s="67" t="s">
        <v>95</v>
      </c>
      <c r="Q542" s="67" t="s">
        <v>125</v>
      </c>
      <c r="R542" s="69" t="s">
        <v>69</v>
      </c>
      <c r="S542" s="69" t="s">
        <v>68</v>
      </c>
      <c r="T542" s="67"/>
      <c r="U542" s="67"/>
      <c r="V542" s="72">
        <v>42855</v>
      </c>
      <c r="W542" s="69">
        <v>5114733</v>
      </c>
      <c r="X542" s="69"/>
      <c r="Y542" s="123"/>
      <c r="Z542" s="30">
        <f t="shared" si="16"/>
        <v>6763.7822038320437</v>
      </c>
      <c r="AA542" s="30">
        <f t="shared" si="17"/>
        <v>2113.6819386975139</v>
      </c>
      <c r="AB542" t="s">
        <v>456</v>
      </c>
    </row>
    <row r="543" spans="1:28">
      <c r="A543" s="67" t="s">
        <v>68</v>
      </c>
      <c r="B543" s="68">
        <v>1248707</v>
      </c>
      <c r="C543" s="69">
        <v>4615416117</v>
      </c>
      <c r="D543" s="70">
        <v>19175</v>
      </c>
      <c r="E543" s="79"/>
      <c r="F543" s="68">
        <v>16</v>
      </c>
      <c r="G543" s="68">
        <v>5</v>
      </c>
      <c r="H543" s="73">
        <v>0</v>
      </c>
      <c r="I543" s="68">
        <v>0</v>
      </c>
      <c r="J543" s="71"/>
      <c r="K543" s="71">
        <v>42806</v>
      </c>
      <c r="L543" s="69" t="s">
        <v>80</v>
      </c>
      <c r="M543" s="69" t="s">
        <v>109</v>
      </c>
      <c r="N543" s="72">
        <v>42971</v>
      </c>
      <c r="O543" s="67"/>
      <c r="P543" s="67" t="s">
        <v>95</v>
      </c>
      <c r="Q543" s="67" t="s">
        <v>125</v>
      </c>
      <c r="R543" s="69" t="s">
        <v>69</v>
      </c>
      <c r="S543" s="69" t="s">
        <v>68</v>
      </c>
      <c r="T543" s="67"/>
      <c r="U543" s="67"/>
      <c r="V543" s="72">
        <v>42886</v>
      </c>
      <c r="W543" s="69">
        <v>5114734</v>
      </c>
      <c r="X543" s="69"/>
      <c r="Y543" s="123"/>
      <c r="Z543" s="30">
        <f t="shared" si="16"/>
        <v>6763.7822038320437</v>
      </c>
      <c r="AA543" s="30">
        <f t="shared" si="17"/>
        <v>2113.6819386975139</v>
      </c>
      <c r="AB543" t="s">
        <v>456</v>
      </c>
    </row>
    <row r="544" spans="1:28">
      <c r="A544" s="67" t="s">
        <v>118</v>
      </c>
      <c r="B544" s="68">
        <v>1251877</v>
      </c>
      <c r="C544" s="69">
        <v>4615405266</v>
      </c>
      <c r="D544" s="70">
        <v>19175</v>
      </c>
      <c r="E544" s="79"/>
      <c r="F544" s="73">
        <v>10</v>
      </c>
      <c r="G544" s="73">
        <v>5</v>
      </c>
      <c r="H544" s="68">
        <v>0</v>
      </c>
      <c r="I544" s="68">
        <v>0</v>
      </c>
      <c r="J544" s="71"/>
      <c r="K544" s="71">
        <v>42787</v>
      </c>
      <c r="L544" s="69" t="s">
        <v>80</v>
      </c>
      <c r="M544" s="69" t="s">
        <v>109</v>
      </c>
      <c r="N544" s="72">
        <v>42971</v>
      </c>
      <c r="O544" s="67"/>
      <c r="P544" s="67" t="s">
        <v>95</v>
      </c>
      <c r="Q544" s="67" t="s">
        <v>120</v>
      </c>
      <c r="R544" s="69" t="s">
        <v>69</v>
      </c>
      <c r="S544" s="69" t="s">
        <v>121</v>
      </c>
      <c r="T544" s="67"/>
      <c r="U544" s="67"/>
      <c r="V544" s="72">
        <v>42916</v>
      </c>
      <c r="W544" s="69">
        <v>2026353</v>
      </c>
      <c r="X544" s="69"/>
      <c r="Y544" s="123"/>
      <c r="Z544" s="30">
        <f t="shared" si="16"/>
        <v>4227.3638773950279</v>
      </c>
      <c r="AA544" s="30">
        <f t="shared" si="17"/>
        <v>2113.6819386975139</v>
      </c>
      <c r="AB544" t="s">
        <v>456</v>
      </c>
    </row>
    <row r="545" spans="1:28">
      <c r="A545" s="67" t="s">
        <v>107</v>
      </c>
      <c r="B545" s="68">
        <v>1257088</v>
      </c>
      <c r="C545" s="69">
        <v>4615419059</v>
      </c>
      <c r="D545" s="70">
        <v>19200</v>
      </c>
      <c r="E545" s="79"/>
      <c r="F545" s="81">
        <v>154.32</v>
      </c>
      <c r="G545" s="68" t="s">
        <v>114</v>
      </c>
      <c r="H545" s="68">
        <v>0</v>
      </c>
      <c r="I545" s="68">
        <v>0</v>
      </c>
      <c r="J545" s="71"/>
      <c r="K545" s="71">
        <v>42787</v>
      </c>
      <c r="L545" s="69" t="s">
        <v>80</v>
      </c>
      <c r="M545" s="69" t="s">
        <v>109</v>
      </c>
      <c r="N545" s="72">
        <v>42971</v>
      </c>
      <c r="O545" s="67"/>
      <c r="P545" s="67" t="s">
        <v>95</v>
      </c>
      <c r="Q545" s="67" t="s">
        <v>110</v>
      </c>
      <c r="R545" s="69" t="s">
        <v>69</v>
      </c>
      <c r="S545" s="69" t="s">
        <v>111</v>
      </c>
      <c r="T545" s="67"/>
      <c r="U545" s="67"/>
      <c r="V545" s="72">
        <v>42916</v>
      </c>
      <c r="W545" s="69" t="s">
        <v>191</v>
      </c>
      <c r="X545" s="69"/>
      <c r="Y545" s="123"/>
      <c r="Z545" s="30">
        <f t="shared" si="16"/>
        <v>65321.73369671098</v>
      </c>
      <c r="AA545" s="30">
        <f t="shared" si="17"/>
        <v>0</v>
      </c>
      <c r="AB545" t="s">
        <v>456</v>
      </c>
    </row>
    <row r="546" spans="1:28">
      <c r="A546" s="67" t="s">
        <v>113</v>
      </c>
      <c r="B546" s="68">
        <v>1251857</v>
      </c>
      <c r="C546" s="69">
        <v>4615404823</v>
      </c>
      <c r="D546" s="70">
        <v>19200</v>
      </c>
      <c r="E546" s="79"/>
      <c r="F546" s="68">
        <v>16</v>
      </c>
      <c r="G546" s="68" t="s">
        <v>114</v>
      </c>
      <c r="H546" s="73">
        <v>0</v>
      </c>
      <c r="I546" s="68">
        <v>0</v>
      </c>
      <c r="J546" s="71"/>
      <c r="K546" s="71">
        <v>42750</v>
      </c>
      <c r="L546" s="69" t="s">
        <v>80</v>
      </c>
      <c r="M546" s="69" t="s">
        <v>109</v>
      </c>
      <c r="N546" s="72">
        <v>42971</v>
      </c>
      <c r="O546" s="67"/>
      <c r="P546" s="67" t="s">
        <v>95</v>
      </c>
      <c r="Q546" s="67" t="s">
        <v>110</v>
      </c>
      <c r="R546" s="69" t="s">
        <v>69</v>
      </c>
      <c r="S546" s="69" t="s">
        <v>115</v>
      </c>
      <c r="T546" s="67"/>
      <c r="U546" s="67"/>
      <c r="V546" s="72">
        <v>42916</v>
      </c>
      <c r="W546" s="69" t="s">
        <v>186</v>
      </c>
      <c r="X546" s="69" t="s">
        <v>117</v>
      </c>
      <c r="Y546" s="123"/>
      <c r="Z546" s="30">
        <f t="shared" si="16"/>
        <v>6772.6006943194379</v>
      </c>
      <c r="AA546" s="30">
        <f t="shared" si="17"/>
        <v>0</v>
      </c>
      <c r="AB546" t="s">
        <v>456</v>
      </c>
    </row>
    <row r="547" spans="1:28">
      <c r="A547" s="67" t="s">
        <v>122</v>
      </c>
      <c r="B547" s="68">
        <v>1267353</v>
      </c>
      <c r="C547" s="69">
        <v>4615415575</v>
      </c>
      <c r="D547" s="70">
        <v>19175</v>
      </c>
      <c r="E547" s="79"/>
      <c r="F547" s="68">
        <v>16</v>
      </c>
      <c r="G547" s="68">
        <v>5</v>
      </c>
      <c r="H547" s="75">
        <v>0</v>
      </c>
      <c r="I547" s="68">
        <v>0</v>
      </c>
      <c r="J547" s="71"/>
      <c r="K547" s="71">
        <v>42818</v>
      </c>
      <c r="L547" s="69" t="s">
        <v>80</v>
      </c>
      <c r="M547" s="69" t="s">
        <v>109</v>
      </c>
      <c r="N547" s="72">
        <v>42971</v>
      </c>
      <c r="O547" s="67"/>
      <c r="P547" s="67" t="s">
        <v>95</v>
      </c>
      <c r="Q547" s="67" t="s">
        <v>120</v>
      </c>
      <c r="R547" s="69" t="s">
        <v>69</v>
      </c>
      <c r="S547" s="69" t="s">
        <v>123</v>
      </c>
      <c r="T547" s="67"/>
      <c r="U547" s="67"/>
      <c r="V547" s="72">
        <v>42947</v>
      </c>
      <c r="W547" s="69">
        <v>2025752</v>
      </c>
      <c r="X547" s="69" t="s">
        <v>187</v>
      </c>
      <c r="Y547" s="123"/>
      <c r="Z547" s="30">
        <f t="shared" si="16"/>
        <v>6763.7822038320437</v>
      </c>
      <c r="AA547" s="30">
        <f t="shared" si="17"/>
        <v>2113.6819386975139</v>
      </c>
      <c r="AB547" t="s">
        <v>456</v>
      </c>
    </row>
    <row r="548" spans="1:28">
      <c r="A548" s="67" t="s">
        <v>122</v>
      </c>
      <c r="B548" s="68">
        <v>1267354</v>
      </c>
      <c r="C548" s="69">
        <v>4615415575</v>
      </c>
      <c r="D548" s="70">
        <v>19175</v>
      </c>
      <c r="E548" s="79"/>
      <c r="F548" s="68">
        <v>16</v>
      </c>
      <c r="G548" s="68">
        <v>5</v>
      </c>
      <c r="H548" s="75">
        <v>0</v>
      </c>
      <c r="I548" s="68">
        <v>0</v>
      </c>
      <c r="J548" s="71"/>
      <c r="K548" s="71">
        <v>42787</v>
      </c>
      <c r="L548" s="69" t="s">
        <v>80</v>
      </c>
      <c r="M548" s="69" t="s">
        <v>109</v>
      </c>
      <c r="N548" s="72">
        <v>42971</v>
      </c>
      <c r="O548" s="67"/>
      <c r="P548" s="67" t="s">
        <v>95</v>
      </c>
      <c r="Q548" s="67" t="s">
        <v>120</v>
      </c>
      <c r="R548" s="69" t="s">
        <v>69</v>
      </c>
      <c r="S548" s="69" t="s">
        <v>123</v>
      </c>
      <c r="T548" s="67"/>
      <c r="U548" s="67"/>
      <c r="V548" s="72">
        <v>42947</v>
      </c>
      <c r="W548" s="69">
        <v>2025752</v>
      </c>
      <c r="X548" s="69" t="s">
        <v>187</v>
      </c>
      <c r="Y548" s="123"/>
      <c r="Z548" s="30">
        <f t="shared" si="16"/>
        <v>6763.7822038320437</v>
      </c>
      <c r="AA548" s="30">
        <f t="shared" si="17"/>
        <v>2113.6819386975139</v>
      </c>
      <c r="AB548" t="s">
        <v>456</v>
      </c>
    </row>
    <row r="549" spans="1:28">
      <c r="A549" s="67" t="s">
        <v>68</v>
      </c>
      <c r="B549" s="68" t="s">
        <v>161</v>
      </c>
      <c r="C549" s="69" t="s">
        <v>161</v>
      </c>
      <c r="D549" s="70">
        <v>20544.980000000003</v>
      </c>
      <c r="E549" s="79"/>
      <c r="F549" s="68">
        <v>16</v>
      </c>
      <c r="G549" s="68" t="s">
        <v>114</v>
      </c>
      <c r="H549" s="68">
        <v>0</v>
      </c>
      <c r="I549" s="68">
        <v>0</v>
      </c>
      <c r="J549" s="71"/>
      <c r="K549" s="71">
        <v>42819</v>
      </c>
      <c r="L549" s="69" t="s">
        <v>80</v>
      </c>
      <c r="M549" s="69" t="s">
        <v>109</v>
      </c>
      <c r="N549" s="72">
        <v>42970</v>
      </c>
      <c r="O549" s="67"/>
      <c r="P549" s="67" t="s">
        <v>95</v>
      </c>
      <c r="Q549" s="67" t="s">
        <v>125</v>
      </c>
      <c r="R549" s="69" t="s">
        <v>69</v>
      </c>
      <c r="S549" s="69" t="s">
        <v>68</v>
      </c>
      <c r="T549" s="67"/>
      <c r="U549" s="67"/>
      <c r="V549" s="72">
        <v>42978</v>
      </c>
      <c r="W549" s="69">
        <v>5114724</v>
      </c>
      <c r="X549" s="69" t="s">
        <v>183</v>
      </c>
      <c r="Y549" s="123"/>
      <c r="Z549" s="30">
        <f t="shared" si="16"/>
        <v>7247.0284277489072</v>
      </c>
      <c r="AA549" s="30">
        <f t="shared" si="17"/>
        <v>0</v>
      </c>
      <c r="AB549" t="s">
        <v>456</v>
      </c>
    </row>
    <row r="550" spans="1:28">
      <c r="A550" s="67" t="s">
        <v>68</v>
      </c>
      <c r="B550" s="68" t="s">
        <v>161</v>
      </c>
      <c r="C550" s="69" t="s">
        <v>161</v>
      </c>
      <c r="D550" s="70">
        <v>20544.980000000003</v>
      </c>
      <c r="E550" s="79"/>
      <c r="F550" s="68">
        <v>16</v>
      </c>
      <c r="G550" s="68" t="s">
        <v>114</v>
      </c>
      <c r="H550" s="68">
        <v>0</v>
      </c>
      <c r="I550" s="68">
        <v>0</v>
      </c>
      <c r="J550" s="71"/>
      <c r="K550" s="71">
        <v>42778</v>
      </c>
      <c r="L550" s="69" t="s">
        <v>80</v>
      </c>
      <c r="M550" s="69" t="s">
        <v>109</v>
      </c>
      <c r="N550" s="72">
        <v>42970</v>
      </c>
      <c r="O550" s="67"/>
      <c r="P550" s="67" t="s">
        <v>95</v>
      </c>
      <c r="Q550" s="67" t="s">
        <v>125</v>
      </c>
      <c r="R550" s="69" t="s">
        <v>69</v>
      </c>
      <c r="S550" s="69" t="s">
        <v>68</v>
      </c>
      <c r="T550" s="67"/>
      <c r="U550" s="67"/>
      <c r="V550" s="72">
        <v>42978</v>
      </c>
      <c r="W550" s="69">
        <v>5114724</v>
      </c>
      <c r="X550" s="69" t="s">
        <v>183</v>
      </c>
      <c r="Y550" s="123"/>
      <c r="Z550" s="30">
        <f t="shared" si="16"/>
        <v>7247.0284277489072</v>
      </c>
      <c r="AA550" s="30">
        <f t="shared" si="17"/>
        <v>0</v>
      </c>
      <c r="AB550" t="s">
        <v>456</v>
      </c>
    </row>
    <row r="551" spans="1:28">
      <c r="A551" s="67" t="s">
        <v>68</v>
      </c>
      <c r="B551" s="68" t="s">
        <v>161</v>
      </c>
      <c r="C551" s="69" t="s">
        <v>161</v>
      </c>
      <c r="D551" s="70">
        <v>20544.980000000003</v>
      </c>
      <c r="E551" s="79"/>
      <c r="F551" s="68">
        <v>16</v>
      </c>
      <c r="G551" s="68" t="s">
        <v>114</v>
      </c>
      <c r="H551" s="68">
        <v>0</v>
      </c>
      <c r="I551" s="68">
        <v>0</v>
      </c>
      <c r="J551" s="71"/>
      <c r="K551" s="71">
        <v>42785</v>
      </c>
      <c r="L551" s="69" t="s">
        <v>80</v>
      </c>
      <c r="M551" s="69" t="s">
        <v>109</v>
      </c>
      <c r="N551" s="72">
        <v>42970</v>
      </c>
      <c r="O551" s="67"/>
      <c r="P551" s="67" t="s">
        <v>95</v>
      </c>
      <c r="Q551" s="67" t="s">
        <v>125</v>
      </c>
      <c r="R551" s="69" t="s">
        <v>69</v>
      </c>
      <c r="S551" s="69" t="s">
        <v>68</v>
      </c>
      <c r="T551" s="67"/>
      <c r="U551" s="67"/>
      <c r="V551" s="72">
        <v>42978</v>
      </c>
      <c r="W551" s="69">
        <v>5114724</v>
      </c>
      <c r="X551" s="69" t="s">
        <v>183</v>
      </c>
      <c r="Y551" s="123"/>
      <c r="Z551" s="30">
        <f t="shared" si="16"/>
        <v>7247.0284277489072</v>
      </c>
      <c r="AA551" s="30">
        <f t="shared" si="17"/>
        <v>0</v>
      </c>
      <c r="AB551" t="s">
        <v>456</v>
      </c>
    </row>
    <row r="552" spans="1:28">
      <c r="A552" s="67" t="s">
        <v>68</v>
      </c>
      <c r="B552" s="68" t="s">
        <v>161</v>
      </c>
      <c r="C552" s="69" t="s">
        <v>161</v>
      </c>
      <c r="D552" s="70">
        <v>20544.980000000003</v>
      </c>
      <c r="E552" s="79"/>
      <c r="F552" s="68">
        <v>16</v>
      </c>
      <c r="G552" s="68" t="s">
        <v>114</v>
      </c>
      <c r="H552" s="68">
        <v>0</v>
      </c>
      <c r="I552" s="68">
        <v>0</v>
      </c>
      <c r="J552" s="71"/>
      <c r="K552" s="71">
        <v>42849</v>
      </c>
      <c r="L552" s="69" t="s">
        <v>80</v>
      </c>
      <c r="M552" s="69" t="s">
        <v>109</v>
      </c>
      <c r="N552" s="72">
        <v>42970</v>
      </c>
      <c r="O552" s="67"/>
      <c r="P552" s="67" t="s">
        <v>95</v>
      </c>
      <c r="Q552" s="67" t="s">
        <v>125</v>
      </c>
      <c r="R552" s="69" t="s">
        <v>69</v>
      </c>
      <c r="S552" s="69" t="s">
        <v>68</v>
      </c>
      <c r="T552" s="67"/>
      <c r="U552" s="67"/>
      <c r="V552" s="72">
        <v>42978</v>
      </c>
      <c r="W552" s="69">
        <v>5114724</v>
      </c>
      <c r="X552" s="69" t="s">
        <v>183</v>
      </c>
      <c r="Y552" s="123"/>
      <c r="Z552" s="30">
        <f t="shared" si="16"/>
        <v>7247.0284277489072</v>
      </c>
      <c r="AA552" s="30">
        <f t="shared" si="17"/>
        <v>0</v>
      </c>
      <c r="AB552" t="s">
        <v>456</v>
      </c>
    </row>
    <row r="553" spans="1:28">
      <c r="A553" s="67" t="s">
        <v>68</v>
      </c>
      <c r="B553" s="68" t="s">
        <v>161</v>
      </c>
      <c r="C553" s="69" t="s">
        <v>161</v>
      </c>
      <c r="D553" s="70">
        <v>20544.980000000003</v>
      </c>
      <c r="E553" s="79"/>
      <c r="F553" s="68">
        <v>16</v>
      </c>
      <c r="G553" s="68" t="s">
        <v>114</v>
      </c>
      <c r="H553" s="68">
        <v>0</v>
      </c>
      <c r="I553" s="68">
        <v>0</v>
      </c>
      <c r="J553" s="71"/>
      <c r="K553" s="71">
        <v>42818</v>
      </c>
      <c r="L553" s="69" t="s">
        <v>80</v>
      </c>
      <c r="M553" s="69" t="s">
        <v>109</v>
      </c>
      <c r="N553" s="72">
        <v>42970</v>
      </c>
      <c r="O553" s="67"/>
      <c r="P553" s="67" t="s">
        <v>95</v>
      </c>
      <c r="Q553" s="67" t="s">
        <v>125</v>
      </c>
      <c r="R553" s="69" t="s">
        <v>69</v>
      </c>
      <c r="S553" s="69" t="s">
        <v>68</v>
      </c>
      <c r="T553" s="67"/>
      <c r="U553" s="67"/>
      <c r="V553" s="72">
        <v>42978</v>
      </c>
      <c r="W553" s="69">
        <v>5114724</v>
      </c>
      <c r="X553" s="69" t="s">
        <v>183</v>
      </c>
      <c r="Y553" s="123"/>
      <c r="Z553" s="30">
        <f t="shared" si="16"/>
        <v>7247.0284277489072</v>
      </c>
      <c r="AA553" s="30">
        <f t="shared" si="17"/>
        <v>0</v>
      </c>
      <c r="AB553" t="s">
        <v>456</v>
      </c>
    </row>
    <row r="554" spans="1:28">
      <c r="A554" s="67" t="s">
        <v>113</v>
      </c>
      <c r="B554" s="68">
        <v>1258306</v>
      </c>
      <c r="C554" s="69">
        <v>4615400271</v>
      </c>
      <c r="D554" s="70">
        <v>19200</v>
      </c>
      <c r="E554" s="79"/>
      <c r="F554" s="68">
        <v>16</v>
      </c>
      <c r="G554" s="68" t="s">
        <v>114</v>
      </c>
      <c r="H554" s="73">
        <v>0</v>
      </c>
      <c r="I554" s="68">
        <v>0</v>
      </c>
      <c r="J554" s="71"/>
      <c r="K554" s="71">
        <v>42823</v>
      </c>
      <c r="L554" s="69" t="s">
        <v>80</v>
      </c>
      <c r="M554" s="69" t="s">
        <v>109</v>
      </c>
      <c r="N554" s="72">
        <v>42970</v>
      </c>
      <c r="O554" s="67"/>
      <c r="P554" s="67" t="s">
        <v>95</v>
      </c>
      <c r="Q554" s="67" t="s">
        <v>110</v>
      </c>
      <c r="R554" s="69" t="s">
        <v>69</v>
      </c>
      <c r="S554" s="69" t="s">
        <v>115</v>
      </c>
      <c r="T554" s="67"/>
      <c r="U554" s="67"/>
      <c r="V554" s="72">
        <v>42947</v>
      </c>
      <c r="W554" s="69" t="s">
        <v>172</v>
      </c>
      <c r="X554" s="69" t="s">
        <v>173</v>
      </c>
      <c r="Y554" s="123"/>
      <c r="Z554" s="30">
        <f t="shared" si="16"/>
        <v>6772.6006943194379</v>
      </c>
      <c r="AA554" s="30">
        <f t="shared" si="17"/>
        <v>0</v>
      </c>
      <c r="AB554" t="s">
        <v>456</v>
      </c>
    </row>
    <row r="555" spans="1:28">
      <c r="A555" s="67" t="s">
        <v>136</v>
      </c>
      <c r="B555" s="68">
        <v>1240395</v>
      </c>
      <c r="C555" s="69">
        <v>4615382556</v>
      </c>
      <c r="D555" s="70">
        <v>19200</v>
      </c>
      <c r="E555" s="79"/>
      <c r="F555" s="73">
        <v>10</v>
      </c>
      <c r="G555" s="73" t="s">
        <v>114</v>
      </c>
      <c r="H555" s="68">
        <v>0</v>
      </c>
      <c r="I555" s="68">
        <v>0</v>
      </c>
      <c r="J555" s="71"/>
      <c r="K555" s="71">
        <v>42780</v>
      </c>
      <c r="L555" s="69" t="s">
        <v>80</v>
      </c>
      <c r="M555" s="69" t="s">
        <v>109</v>
      </c>
      <c r="N555" s="72">
        <v>42969</v>
      </c>
      <c r="O555" s="67"/>
      <c r="P555" s="67" t="s">
        <v>95</v>
      </c>
      <c r="Q555" s="67" t="s">
        <v>129</v>
      </c>
      <c r="R555" s="69" t="s">
        <v>69</v>
      </c>
      <c r="S555" s="69" t="s">
        <v>138</v>
      </c>
      <c r="T555" s="67"/>
      <c r="U555" s="67"/>
      <c r="V555" s="72">
        <v>42886</v>
      </c>
      <c r="W555" s="69">
        <v>415570030</v>
      </c>
      <c r="X555" s="69"/>
      <c r="Y555" s="123"/>
      <c r="Z555" s="30">
        <f t="shared" si="16"/>
        <v>4232.8754339496491</v>
      </c>
      <c r="AA555" s="30">
        <f t="shared" si="17"/>
        <v>0</v>
      </c>
      <c r="AB555" t="s">
        <v>456</v>
      </c>
    </row>
    <row r="556" spans="1:28">
      <c r="A556" s="67" t="s">
        <v>136</v>
      </c>
      <c r="B556" s="68">
        <v>1240393</v>
      </c>
      <c r="C556" s="69">
        <v>4615382556</v>
      </c>
      <c r="D556" s="70">
        <v>19200</v>
      </c>
      <c r="E556" s="79"/>
      <c r="F556" s="73">
        <v>10</v>
      </c>
      <c r="G556" s="73" t="s">
        <v>114</v>
      </c>
      <c r="H556" s="68">
        <v>0</v>
      </c>
      <c r="I556" s="68">
        <v>0</v>
      </c>
      <c r="J556" s="71"/>
      <c r="K556" s="71">
        <v>42743</v>
      </c>
      <c r="L556" s="69" t="s">
        <v>80</v>
      </c>
      <c r="M556" s="69" t="s">
        <v>109</v>
      </c>
      <c r="N556" s="72">
        <v>42969</v>
      </c>
      <c r="O556" s="67"/>
      <c r="P556" s="67" t="s">
        <v>95</v>
      </c>
      <c r="Q556" s="67" t="s">
        <v>129</v>
      </c>
      <c r="R556" s="69" t="s">
        <v>69</v>
      </c>
      <c r="S556" s="69" t="s">
        <v>138</v>
      </c>
      <c r="T556" s="67"/>
      <c r="U556" s="67"/>
      <c r="V556" s="72">
        <v>42886</v>
      </c>
      <c r="W556" s="69">
        <v>415570030</v>
      </c>
      <c r="X556" s="69"/>
      <c r="Y556" s="123"/>
      <c r="Z556" s="30">
        <f t="shared" si="16"/>
        <v>4232.8754339496491</v>
      </c>
      <c r="AA556" s="30">
        <f t="shared" si="17"/>
        <v>0</v>
      </c>
      <c r="AB556" t="s">
        <v>456</v>
      </c>
    </row>
    <row r="557" spans="1:28">
      <c r="A557" s="67" t="s">
        <v>68</v>
      </c>
      <c r="B557" s="68">
        <v>1248706</v>
      </c>
      <c r="C557" s="69">
        <v>4615416117</v>
      </c>
      <c r="D557" s="70">
        <v>19175</v>
      </c>
      <c r="E557" s="79"/>
      <c r="F557" s="68">
        <v>16</v>
      </c>
      <c r="G557" s="68">
        <v>5</v>
      </c>
      <c r="H557" s="73">
        <v>0</v>
      </c>
      <c r="I557" s="68">
        <v>0</v>
      </c>
      <c r="J557" s="71"/>
      <c r="K557" s="71">
        <v>42836</v>
      </c>
      <c r="L557" s="69" t="s">
        <v>80</v>
      </c>
      <c r="M557" s="69" t="s">
        <v>109</v>
      </c>
      <c r="N557" s="72">
        <v>42969</v>
      </c>
      <c r="O557" s="67"/>
      <c r="P557" s="67" t="s">
        <v>95</v>
      </c>
      <c r="Q557" s="67" t="s">
        <v>125</v>
      </c>
      <c r="R557" s="69" t="s">
        <v>69</v>
      </c>
      <c r="S557" s="69" t="s">
        <v>68</v>
      </c>
      <c r="T557" s="67"/>
      <c r="U557" s="67"/>
      <c r="V557" s="72">
        <v>42886</v>
      </c>
      <c r="W557" s="69">
        <v>5114734</v>
      </c>
      <c r="X557" s="69"/>
      <c r="Y557" s="123"/>
      <c r="Z557" s="30">
        <f t="shared" si="16"/>
        <v>6763.7822038320437</v>
      </c>
      <c r="AA557" s="30">
        <f t="shared" si="17"/>
        <v>2113.6819386975139</v>
      </c>
      <c r="AB557" t="s">
        <v>456</v>
      </c>
    </row>
    <row r="558" spans="1:28">
      <c r="A558" s="67" t="s">
        <v>68</v>
      </c>
      <c r="B558" s="68">
        <v>1241003</v>
      </c>
      <c r="C558" s="69">
        <v>4615408111</v>
      </c>
      <c r="D558" s="70">
        <v>19175</v>
      </c>
      <c r="E558" s="79"/>
      <c r="F558" s="73">
        <v>16</v>
      </c>
      <c r="G558" s="73">
        <v>5</v>
      </c>
      <c r="H558" s="73">
        <v>0</v>
      </c>
      <c r="I558" s="68">
        <v>0</v>
      </c>
      <c r="J558" s="71">
        <v>42839</v>
      </c>
      <c r="K558" s="71">
        <v>42819</v>
      </c>
      <c r="L558" s="69" t="s">
        <v>119</v>
      </c>
      <c r="M558" s="69" t="s">
        <v>109</v>
      </c>
      <c r="N558" s="72">
        <v>42969</v>
      </c>
      <c r="O558" s="67"/>
      <c r="P558" s="67" t="s">
        <v>95</v>
      </c>
      <c r="Q558" s="67" t="s">
        <v>125</v>
      </c>
      <c r="R558" s="69" t="s">
        <v>69</v>
      </c>
      <c r="S558" s="69" t="s">
        <v>68</v>
      </c>
      <c r="T558" s="67"/>
      <c r="U558" s="67"/>
      <c r="V558" s="72">
        <v>42855</v>
      </c>
      <c r="W558" s="69">
        <v>5114733</v>
      </c>
      <c r="X558" s="69"/>
      <c r="Y558" s="123"/>
      <c r="Z558" s="30">
        <f t="shared" si="16"/>
        <v>6763.7822038320437</v>
      </c>
      <c r="AA558" s="30">
        <f t="shared" si="17"/>
        <v>2113.6819386975139</v>
      </c>
      <c r="AB558" t="s">
        <v>456</v>
      </c>
    </row>
    <row r="559" spans="1:28">
      <c r="A559" s="67" t="s">
        <v>68</v>
      </c>
      <c r="B559" s="68">
        <v>1240999</v>
      </c>
      <c r="C559" s="69">
        <v>4615408111</v>
      </c>
      <c r="D559" s="70">
        <v>19175</v>
      </c>
      <c r="E559" s="79"/>
      <c r="F559" s="73">
        <v>16</v>
      </c>
      <c r="G559" s="73">
        <v>5</v>
      </c>
      <c r="H559" s="73">
        <v>0</v>
      </c>
      <c r="I559" s="68">
        <v>0</v>
      </c>
      <c r="J559" s="71">
        <v>42839</v>
      </c>
      <c r="K559" s="71">
        <v>42778</v>
      </c>
      <c r="L559" s="69" t="s">
        <v>119</v>
      </c>
      <c r="M559" s="69" t="s">
        <v>109</v>
      </c>
      <c r="N559" s="72">
        <v>42969</v>
      </c>
      <c r="O559" s="67"/>
      <c r="P559" s="67" t="s">
        <v>95</v>
      </c>
      <c r="Q559" s="67" t="s">
        <v>125</v>
      </c>
      <c r="R559" s="69" t="s">
        <v>69</v>
      </c>
      <c r="S559" s="69" t="s">
        <v>68</v>
      </c>
      <c r="T559" s="67"/>
      <c r="U559" s="67"/>
      <c r="V559" s="72">
        <v>42855</v>
      </c>
      <c r="W559" s="69">
        <v>5114733</v>
      </c>
      <c r="X559" s="69"/>
      <c r="Y559" s="123"/>
      <c r="Z559" s="30">
        <f t="shared" si="16"/>
        <v>6763.7822038320437</v>
      </c>
      <c r="AA559" s="30">
        <f t="shared" si="17"/>
        <v>2113.6819386975139</v>
      </c>
      <c r="AB559" t="s">
        <v>456</v>
      </c>
    </row>
    <row r="560" spans="1:28">
      <c r="A560" s="67" t="s">
        <v>122</v>
      </c>
      <c r="B560" s="68">
        <v>1267351</v>
      </c>
      <c r="C560" s="69">
        <v>4615415575</v>
      </c>
      <c r="D560" s="70">
        <v>19175</v>
      </c>
      <c r="E560" s="79"/>
      <c r="F560" s="68">
        <v>16</v>
      </c>
      <c r="G560" s="68">
        <v>5</v>
      </c>
      <c r="H560" s="75">
        <v>0</v>
      </c>
      <c r="I560" s="68">
        <v>0</v>
      </c>
      <c r="J560" s="71"/>
      <c r="K560" s="71">
        <v>42836</v>
      </c>
      <c r="L560" s="69" t="s">
        <v>80</v>
      </c>
      <c r="M560" s="69" t="s">
        <v>109</v>
      </c>
      <c r="N560" s="72">
        <v>42968</v>
      </c>
      <c r="O560" s="67"/>
      <c r="P560" s="67" t="s">
        <v>95</v>
      </c>
      <c r="Q560" s="67" t="s">
        <v>120</v>
      </c>
      <c r="R560" s="69" t="s">
        <v>69</v>
      </c>
      <c r="S560" s="69" t="s">
        <v>123</v>
      </c>
      <c r="T560" s="67"/>
      <c r="U560" s="67"/>
      <c r="V560" s="72">
        <v>42947</v>
      </c>
      <c r="W560" s="69">
        <v>2025752</v>
      </c>
      <c r="X560" s="69" t="s">
        <v>187</v>
      </c>
      <c r="Y560" s="123"/>
      <c r="Z560" s="30">
        <f t="shared" si="16"/>
        <v>6763.7822038320437</v>
      </c>
      <c r="AA560" s="30">
        <f t="shared" si="17"/>
        <v>2113.6819386975139</v>
      </c>
      <c r="AB560" t="s">
        <v>456</v>
      </c>
    </row>
    <row r="561" spans="1:28">
      <c r="A561" s="67" t="s">
        <v>113</v>
      </c>
      <c r="B561" s="68">
        <v>1255872</v>
      </c>
      <c r="C561" s="69">
        <v>4615406661</v>
      </c>
      <c r="D561" s="70">
        <v>19200</v>
      </c>
      <c r="E561" s="79"/>
      <c r="F561" s="73">
        <v>16</v>
      </c>
      <c r="G561" s="73" t="s">
        <v>114</v>
      </c>
      <c r="H561" s="75">
        <v>0</v>
      </c>
      <c r="I561" s="68">
        <v>0</v>
      </c>
      <c r="J561" s="71"/>
      <c r="K561" s="71">
        <v>42819</v>
      </c>
      <c r="L561" s="69" t="s">
        <v>80</v>
      </c>
      <c r="M561" s="69" t="s">
        <v>109</v>
      </c>
      <c r="N561" s="72">
        <v>42968</v>
      </c>
      <c r="O561" s="67"/>
      <c r="P561" s="67" t="s">
        <v>95</v>
      </c>
      <c r="Q561" s="67" t="s">
        <v>110</v>
      </c>
      <c r="R561" s="69" t="s">
        <v>69</v>
      </c>
      <c r="S561" s="69" t="s">
        <v>115</v>
      </c>
      <c r="T561" s="67"/>
      <c r="U561" s="67"/>
      <c r="V561" s="72">
        <v>42947</v>
      </c>
      <c r="W561" s="69" t="s">
        <v>185</v>
      </c>
      <c r="X561" s="69" t="s">
        <v>117</v>
      </c>
      <c r="Y561" s="123"/>
      <c r="Z561" s="30">
        <f t="shared" si="16"/>
        <v>6772.6006943194379</v>
      </c>
      <c r="AA561" s="30">
        <f t="shared" si="17"/>
        <v>0</v>
      </c>
      <c r="AB561" t="s">
        <v>456</v>
      </c>
    </row>
    <row r="562" spans="1:28">
      <c r="A562" s="67" t="s">
        <v>68</v>
      </c>
      <c r="B562" s="68">
        <v>1241004</v>
      </c>
      <c r="C562" s="69">
        <v>4615408111</v>
      </c>
      <c r="D562" s="70">
        <v>19175</v>
      </c>
      <c r="E562" s="79"/>
      <c r="F562" s="73">
        <v>16</v>
      </c>
      <c r="G562" s="73">
        <v>5</v>
      </c>
      <c r="H562" s="73">
        <v>0</v>
      </c>
      <c r="I562" s="68">
        <v>0</v>
      </c>
      <c r="J562" s="71">
        <v>42839</v>
      </c>
      <c r="K562" s="71">
        <v>42819</v>
      </c>
      <c r="L562" s="69" t="s">
        <v>119</v>
      </c>
      <c r="M562" s="69" t="s">
        <v>109</v>
      </c>
      <c r="N562" s="72">
        <v>42968</v>
      </c>
      <c r="O562" s="67"/>
      <c r="P562" s="67" t="s">
        <v>95</v>
      </c>
      <c r="Q562" s="67" t="s">
        <v>125</v>
      </c>
      <c r="R562" s="69" t="s">
        <v>69</v>
      </c>
      <c r="S562" s="69" t="s">
        <v>68</v>
      </c>
      <c r="T562" s="67"/>
      <c r="U562" s="67"/>
      <c r="V562" s="72">
        <v>42855</v>
      </c>
      <c r="W562" s="69">
        <v>5114733</v>
      </c>
      <c r="X562" s="69"/>
      <c r="Y562" s="123"/>
      <c r="Z562" s="30">
        <f t="shared" si="16"/>
        <v>6763.7822038320437</v>
      </c>
      <c r="AA562" s="30">
        <f t="shared" si="17"/>
        <v>2113.6819386975139</v>
      </c>
      <c r="AB562" t="s">
        <v>456</v>
      </c>
    </row>
    <row r="563" spans="1:28">
      <c r="A563" s="67" t="s">
        <v>68</v>
      </c>
      <c r="B563" s="68">
        <v>1240997</v>
      </c>
      <c r="C563" s="69">
        <v>4615408111</v>
      </c>
      <c r="D563" s="70">
        <v>19175</v>
      </c>
      <c r="E563" s="79"/>
      <c r="F563" s="73">
        <v>16</v>
      </c>
      <c r="G563" s="73">
        <v>5</v>
      </c>
      <c r="H563" s="73">
        <v>0</v>
      </c>
      <c r="I563" s="68">
        <v>0</v>
      </c>
      <c r="J563" s="71">
        <v>42839</v>
      </c>
      <c r="K563" s="71">
        <v>42819</v>
      </c>
      <c r="L563" s="69" t="s">
        <v>119</v>
      </c>
      <c r="M563" s="69" t="s">
        <v>109</v>
      </c>
      <c r="N563" s="72">
        <v>42968</v>
      </c>
      <c r="O563" s="67"/>
      <c r="P563" s="67" t="s">
        <v>95</v>
      </c>
      <c r="Q563" s="67" t="s">
        <v>125</v>
      </c>
      <c r="R563" s="69" t="s">
        <v>69</v>
      </c>
      <c r="S563" s="69" t="s">
        <v>68</v>
      </c>
      <c r="T563" s="67"/>
      <c r="U563" s="67"/>
      <c r="V563" s="72">
        <v>42855</v>
      </c>
      <c r="W563" s="69">
        <v>5114733</v>
      </c>
      <c r="X563" s="69"/>
      <c r="Y563" s="123"/>
      <c r="Z563" s="30">
        <f t="shared" si="16"/>
        <v>6763.7822038320437</v>
      </c>
      <c r="AA563" s="30">
        <f t="shared" si="17"/>
        <v>2113.6819386975139</v>
      </c>
      <c r="AB563" t="s">
        <v>456</v>
      </c>
    </row>
    <row r="564" spans="1:28">
      <c r="A564" s="67" t="s">
        <v>136</v>
      </c>
      <c r="B564" s="68">
        <v>1240400</v>
      </c>
      <c r="C564" s="69">
        <v>4615410829</v>
      </c>
      <c r="D564" s="70">
        <v>19175</v>
      </c>
      <c r="E564" s="79"/>
      <c r="F564" s="73">
        <v>10</v>
      </c>
      <c r="G564" s="73" t="s">
        <v>114</v>
      </c>
      <c r="H564" s="68">
        <v>0</v>
      </c>
      <c r="I564" s="68">
        <v>0</v>
      </c>
      <c r="J564" s="71"/>
      <c r="K564" s="71">
        <v>42807</v>
      </c>
      <c r="L564" s="69" t="s">
        <v>80</v>
      </c>
      <c r="M564" s="69" t="s">
        <v>109</v>
      </c>
      <c r="N564" s="72">
        <v>42967</v>
      </c>
      <c r="O564" s="67"/>
      <c r="P564" s="67" t="s">
        <v>95</v>
      </c>
      <c r="Q564" s="67" t="s">
        <v>129</v>
      </c>
      <c r="R564" s="69" t="s">
        <v>69</v>
      </c>
      <c r="S564" s="69" t="s">
        <v>138</v>
      </c>
      <c r="T564" s="67"/>
      <c r="U564" s="67"/>
      <c r="V564" s="72">
        <v>42886</v>
      </c>
      <c r="W564" s="69">
        <v>415570142</v>
      </c>
      <c r="X564" s="69"/>
      <c r="Y564" s="123"/>
      <c r="Z564" s="30">
        <f t="shared" si="16"/>
        <v>4227.3638773950279</v>
      </c>
      <c r="AA564" s="30">
        <f t="shared" si="17"/>
        <v>0</v>
      </c>
      <c r="AB564" t="s">
        <v>456</v>
      </c>
    </row>
    <row r="565" spans="1:28">
      <c r="A565" s="67" t="s">
        <v>128</v>
      </c>
      <c r="B565" s="68">
        <v>1260008</v>
      </c>
      <c r="C565" s="69">
        <v>4615423773</v>
      </c>
      <c r="D565" s="70">
        <v>19175</v>
      </c>
      <c r="E565" s="79"/>
      <c r="F565" s="68">
        <v>154.32</v>
      </c>
      <c r="G565" s="68" t="s">
        <v>114</v>
      </c>
      <c r="H565" s="75">
        <v>0</v>
      </c>
      <c r="I565" s="68">
        <v>0</v>
      </c>
      <c r="J565" s="71"/>
      <c r="K565" s="71">
        <v>42795</v>
      </c>
      <c r="L565" s="69" t="s">
        <v>80</v>
      </c>
      <c r="M565" s="69" t="s">
        <v>109</v>
      </c>
      <c r="N565" s="72">
        <v>42967</v>
      </c>
      <c r="O565" s="67"/>
      <c r="P565" s="67" t="s">
        <v>95</v>
      </c>
      <c r="Q565" s="67" t="s">
        <v>129</v>
      </c>
      <c r="R565" s="69" t="s">
        <v>69</v>
      </c>
      <c r="S565" s="69" t="s">
        <v>130</v>
      </c>
      <c r="T565" s="67"/>
      <c r="U565" s="67"/>
      <c r="V565" s="72">
        <v>42947</v>
      </c>
      <c r="W565" s="69">
        <v>425570006</v>
      </c>
      <c r="X565" s="69"/>
      <c r="Y565" s="123"/>
      <c r="Z565" s="30">
        <f t="shared" si="16"/>
        <v>65236.679355960063</v>
      </c>
      <c r="AA565" s="30">
        <f t="shared" si="17"/>
        <v>0</v>
      </c>
      <c r="AB565" t="s">
        <v>456</v>
      </c>
    </row>
    <row r="566" spans="1:28">
      <c r="A566" s="67" t="s">
        <v>136</v>
      </c>
      <c r="B566" s="68">
        <v>1240401</v>
      </c>
      <c r="C566" s="69">
        <v>4615410829</v>
      </c>
      <c r="D566" s="70">
        <v>19175</v>
      </c>
      <c r="E566" s="79"/>
      <c r="F566" s="73">
        <v>10</v>
      </c>
      <c r="G566" s="73" t="s">
        <v>114</v>
      </c>
      <c r="H566" s="68">
        <v>0</v>
      </c>
      <c r="I566" s="68">
        <v>0</v>
      </c>
      <c r="J566" s="71"/>
      <c r="K566" s="71">
        <v>42795</v>
      </c>
      <c r="L566" s="69" t="s">
        <v>80</v>
      </c>
      <c r="M566" s="69" t="s">
        <v>109</v>
      </c>
      <c r="N566" s="72">
        <v>42967</v>
      </c>
      <c r="O566" s="67"/>
      <c r="P566" s="67" t="s">
        <v>95</v>
      </c>
      <c r="Q566" s="67" t="s">
        <v>129</v>
      </c>
      <c r="R566" s="69" t="s">
        <v>69</v>
      </c>
      <c r="S566" s="69" t="s">
        <v>138</v>
      </c>
      <c r="T566" s="67"/>
      <c r="U566" s="67"/>
      <c r="V566" s="72">
        <v>42886</v>
      </c>
      <c r="W566" s="69">
        <v>415570142</v>
      </c>
      <c r="X566" s="69"/>
      <c r="Y566" s="123"/>
      <c r="Z566" s="30">
        <f t="shared" si="16"/>
        <v>4227.3638773950279</v>
      </c>
      <c r="AA566" s="30">
        <f t="shared" si="17"/>
        <v>0</v>
      </c>
      <c r="AB566" t="s">
        <v>456</v>
      </c>
    </row>
    <row r="567" spans="1:28">
      <c r="A567" s="67" t="s">
        <v>136</v>
      </c>
      <c r="B567" s="68">
        <v>1240394</v>
      </c>
      <c r="C567" s="69">
        <v>4615382556</v>
      </c>
      <c r="D567" s="70">
        <v>19200</v>
      </c>
      <c r="E567" s="79"/>
      <c r="F567" s="73">
        <v>10</v>
      </c>
      <c r="G567" s="73" t="s">
        <v>114</v>
      </c>
      <c r="H567" s="68">
        <v>0</v>
      </c>
      <c r="I567" s="68">
        <v>0</v>
      </c>
      <c r="J567" s="71"/>
      <c r="K567" s="71">
        <v>42780</v>
      </c>
      <c r="L567" s="69" t="s">
        <v>80</v>
      </c>
      <c r="M567" s="69" t="s">
        <v>109</v>
      </c>
      <c r="N567" s="72">
        <v>42967</v>
      </c>
      <c r="O567" s="67"/>
      <c r="P567" s="67" t="s">
        <v>95</v>
      </c>
      <c r="Q567" s="67" t="s">
        <v>129</v>
      </c>
      <c r="R567" s="69" t="s">
        <v>69</v>
      </c>
      <c r="S567" s="69" t="s">
        <v>138</v>
      </c>
      <c r="T567" s="67"/>
      <c r="U567" s="67"/>
      <c r="V567" s="72">
        <v>42886</v>
      </c>
      <c r="W567" s="69">
        <v>415570030</v>
      </c>
      <c r="X567" s="69"/>
      <c r="Y567" s="123"/>
      <c r="Z567" s="30">
        <f t="shared" si="16"/>
        <v>4232.8754339496491</v>
      </c>
      <c r="AA567" s="30">
        <f t="shared" si="17"/>
        <v>0</v>
      </c>
      <c r="AB567" t="s">
        <v>456</v>
      </c>
    </row>
    <row r="568" spans="1:28">
      <c r="A568" s="67" t="s">
        <v>113</v>
      </c>
      <c r="B568" s="68">
        <v>1250776</v>
      </c>
      <c r="C568" s="69">
        <v>4615406599</v>
      </c>
      <c r="D568" s="70">
        <v>19200</v>
      </c>
      <c r="E568" s="79"/>
      <c r="F568" s="73">
        <v>16</v>
      </c>
      <c r="G568" s="73" t="s">
        <v>114</v>
      </c>
      <c r="H568" s="73">
        <v>0</v>
      </c>
      <c r="I568" s="68">
        <v>0</v>
      </c>
      <c r="J568" s="71"/>
      <c r="K568" s="71">
        <v>42787</v>
      </c>
      <c r="L568" s="69" t="s">
        <v>80</v>
      </c>
      <c r="M568" s="69" t="s">
        <v>109</v>
      </c>
      <c r="N568" s="72">
        <v>42967</v>
      </c>
      <c r="O568" s="67"/>
      <c r="P568" s="67" t="s">
        <v>95</v>
      </c>
      <c r="Q568" s="67" t="s">
        <v>110</v>
      </c>
      <c r="R568" s="69" t="s">
        <v>69</v>
      </c>
      <c r="S568" s="69" t="s">
        <v>115</v>
      </c>
      <c r="T568" s="67"/>
      <c r="U568" s="67"/>
      <c r="V568" s="72">
        <v>42916</v>
      </c>
      <c r="W568" s="69" t="s">
        <v>188</v>
      </c>
      <c r="X568" s="69" t="s">
        <v>117</v>
      </c>
      <c r="Y568" s="123"/>
      <c r="Z568" s="30">
        <f t="shared" si="16"/>
        <v>6772.6006943194379</v>
      </c>
      <c r="AA568" s="30">
        <f t="shared" si="17"/>
        <v>0</v>
      </c>
      <c r="AB568" t="s">
        <v>456</v>
      </c>
    </row>
    <row r="569" spans="1:28">
      <c r="A569" s="67" t="s">
        <v>68</v>
      </c>
      <c r="B569" s="68">
        <v>1248711</v>
      </c>
      <c r="C569" s="69">
        <v>4615416117</v>
      </c>
      <c r="D569" s="70">
        <v>19175</v>
      </c>
      <c r="E569" s="79"/>
      <c r="F569" s="68">
        <v>16</v>
      </c>
      <c r="G569" s="68">
        <v>5</v>
      </c>
      <c r="H569" s="73">
        <v>0</v>
      </c>
      <c r="I569" s="68">
        <v>0</v>
      </c>
      <c r="J569" s="71"/>
      <c r="K569" s="71">
        <v>42787</v>
      </c>
      <c r="L569" s="69" t="s">
        <v>80</v>
      </c>
      <c r="M569" s="69" t="s">
        <v>109</v>
      </c>
      <c r="N569" s="72">
        <v>42967</v>
      </c>
      <c r="O569" s="67"/>
      <c r="P569" s="67" t="s">
        <v>95</v>
      </c>
      <c r="Q569" s="67" t="s">
        <v>125</v>
      </c>
      <c r="R569" s="69" t="s">
        <v>69</v>
      </c>
      <c r="S569" s="69" t="s">
        <v>68</v>
      </c>
      <c r="T569" s="67"/>
      <c r="U569" s="67"/>
      <c r="V569" s="72">
        <v>42886</v>
      </c>
      <c r="W569" s="69">
        <v>5114734</v>
      </c>
      <c r="X569" s="69"/>
      <c r="Y569" s="123"/>
      <c r="Z569" s="30">
        <f t="shared" si="16"/>
        <v>6763.7822038320437</v>
      </c>
      <c r="AA569" s="30">
        <f t="shared" si="17"/>
        <v>2113.6819386975139</v>
      </c>
      <c r="AB569" t="s">
        <v>456</v>
      </c>
    </row>
    <row r="570" spans="1:28">
      <c r="A570" s="67" t="s">
        <v>68</v>
      </c>
      <c r="B570" s="68">
        <v>1248712</v>
      </c>
      <c r="C570" s="69">
        <v>4615416117</v>
      </c>
      <c r="D570" s="70">
        <v>19175</v>
      </c>
      <c r="E570" s="79"/>
      <c r="F570" s="68">
        <v>16</v>
      </c>
      <c r="G570" s="68">
        <v>5</v>
      </c>
      <c r="H570" s="73">
        <v>0</v>
      </c>
      <c r="I570" s="68">
        <v>0</v>
      </c>
      <c r="J570" s="71"/>
      <c r="K570" s="71">
        <v>42743</v>
      </c>
      <c r="L570" s="69" t="s">
        <v>80</v>
      </c>
      <c r="M570" s="69" t="s">
        <v>109</v>
      </c>
      <c r="N570" s="72">
        <v>42967</v>
      </c>
      <c r="O570" s="67"/>
      <c r="P570" s="67" t="s">
        <v>95</v>
      </c>
      <c r="Q570" s="67" t="s">
        <v>125</v>
      </c>
      <c r="R570" s="69" t="s">
        <v>69</v>
      </c>
      <c r="S570" s="69" t="s">
        <v>68</v>
      </c>
      <c r="T570" s="67"/>
      <c r="U570" s="67"/>
      <c r="V570" s="72">
        <v>42886</v>
      </c>
      <c r="W570" s="69">
        <v>5114734</v>
      </c>
      <c r="X570" s="69"/>
      <c r="Y570" s="123"/>
      <c r="Z570" s="30">
        <f t="shared" si="16"/>
        <v>6763.7822038320437</v>
      </c>
      <c r="AA570" s="30">
        <f t="shared" si="17"/>
        <v>2113.6819386975139</v>
      </c>
      <c r="AB570" t="s">
        <v>456</v>
      </c>
    </row>
    <row r="571" spans="1:28">
      <c r="A571" s="67" t="s">
        <v>68</v>
      </c>
      <c r="B571" s="68">
        <v>1241000</v>
      </c>
      <c r="C571" s="69">
        <v>4615408111</v>
      </c>
      <c r="D571" s="70">
        <v>19175</v>
      </c>
      <c r="E571" s="79"/>
      <c r="F571" s="73">
        <v>16</v>
      </c>
      <c r="G571" s="73">
        <v>5</v>
      </c>
      <c r="H571" s="73">
        <v>0</v>
      </c>
      <c r="I571" s="68">
        <v>0</v>
      </c>
      <c r="J571" s="71">
        <v>42839</v>
      </c>
      <c r="K571" s="71">
        <v>42812</v>
      </c>
      <c r="L571" s="69" t="s">
        <v>119</v>
      </c>
      <c r="M571" s="69" t="s">
        <v>109</v>
      </c>
      <c r="N571" s="72">
        <v>42967</v>
      </c>
      <c r="O571" s="67"/>
      <c r="P571" s="67" t="s">
        <v>95</v>
      </c>
      <c r="Q571" s="67" t="s">
        <v>125</v>
      </c>
      <c r="R571" s="69" t="s">
        <v>69</v>
      </c>
      <c r="S571" s="69" t="s">
        <v>68</v>
      </c>
      <c r="T571" s="67"/>
      <c r="U571" s="67"/>
      <c r="V571" s="72">
        <v>42855</v>
      </c>
      <c r="W571" s="69">
        <v>5114733</v>
      </c>
      <c r="X571" s="69"/>
      <c r="Y571" s="123"/>
      <c r="Z571" s="30">
        <f t="shared" si="16"/>
        <v>6763.7822038320437</v>
      </c>
      <c r="AA571" s="30">
        <f t="shared" si="17"/>
        <v>2113.6819386975139</v>
      </c>
      <c r="AB571" t="s">
        <v>456</v>
      </c>
    </row>
    <row r="572" spans="1:28">
      <c r="A572" s="67" t="s">
        <v>68</v>
      </c>
      <c r="B572" s="68">
        <v>1240996</v>
      </c>
      <c r="C572" s="69">
        <v>4615408111</v>
      </c>
      <c r="D572" s="70">
        <v>19175</v>
      </c>
      <c r="E572" s="80"/>
      <c r="F572" s="73">
        <v>16</v>
      </c>
      <c r="G572" s="73">
        <v>5</v>
      </c>
      <c r="H572" s="73">
        <v>0</v>
      </c>
      <c r="I572" s="68">
        <v>0</v>
      </c>
      <c r="J572" s="71">
        <v>42839</v>
      </c>
      <c r="K572" s="71">
        <v>42806</v>
      </c>
      <c r="L572" s="69" t="s">
        <v>119</v>
      </c>
      <c r="M572" s="69" t="s">
        <v>109</v>
      </c>
      <c r="N572" s="72">
        <v>42967</v>
      </c>
      <c r="O572" s="67"/>
      <c r="P572" s="67" t="s">
        <v>95</v>
      </c>
      <c r="Q572" s="67" t="s">
        <v>125</v>
      </c>
      <c r="R572" s="69" t="s">
        <v>69</v>
      </c>
      <c r="S572" s="69" t="s">
        <v>68</v>
      </c>
      <c r="T572" s="67"/>
      <c r="U572" s="67"/>
      <c r="V572" s="72">
        <v>42855</v>
      </c>
      <c r="W572" s="69">
        <v>5114733</v>
      </c>
      <c r="X572" s="69"/>
      <c r="Y572" s="123"/>
      <c r="Z572" s="30">
        <f t="shared" si="16"/>
        <v>6763.7822038320437</v>
      </c>
      <c r="AA572" s="30">
        <f t="shared" si="17"/>
        <v>2113.6819386975139</v>
      </c>
      <c r="AB572" t="s">
        <v>456</v>
      </c>
    </row>
    <row r="573" spans="1:28">
      <c r="A573" s="67" t="s">
        <v>68</v>
      </c>
      <c r="B573" s="68">
        <v>1240994</v>
      </c>
      <c r="C573" s="69">
        <v>4615408111</v>
      </c>
      <c r="D573" s="70">
        <v>19175</v>
      </c>
      <c r="E573" s="80"/>
      <c r="F573" s="73">
        <v>16</v>
      </c>
      <c r="G573" s="73">
        <v>5</v>
      </c>
      <c r="H573" s="73">
        <v>0</v>
      </c>
      <c r="I573" s="68">
        <v>0</v>
      </c>
      <c r="J573" s="71">
        <v>42839</v>
      </c>
      <c r="K573" s="71">
        <v>42820</v>
      </c>
      <c r="L573" s="69" t="s">
        <v>119</v>
      </c>
      <c r="M573" s="69" t="s">
        <v>109</v>
      </c>
      <c r="N573" s="72">
        <v>42967</v>
      </c>
      <c r="O573" s="67"/>
      <c r="P573" s="67" t="s">
        <v>95</v>
      </c>
      <c r="Q573" s="67" t="s">
        <v>125</v>
      </c>
      <c r="R573" s="69" t="s">
        <v>69</v>
      </c>
      <c r="S573" s="69" t="s">
        <v>68</v>
      </c>
      <c r="T573" s="67"/>
      <c r="U573" s="67"/>
      <c r="V573" s="72">
        <v>42855</v>
      </c>
      <c r="W573" s="69">
        <v>5114733</v>
      </c>
      <c r="X573" s="69"/>
      <c r="Y573" s="123"/>
      <c r="Z573" s="30">
        <f t="shared" si="16"/>
        <v>6763.7822038320437</v>
      </c>
      <c r="AA573" s="30">
        <f t="shared" si="17"/>
        <v>2113.6819386975139</v>
      </c>
      <c r="AB573" t="s">
        <v>456</v>
      </c>
    </row>
    <row r="574" spans="1:28">
      <c r="A574" s="67" t="s">
        <v>136</v>
      </c>
      <c r="B574" s="68">
        <v>1240398</v>
      </c>
      <c r="C574" s="69">
        <v>4615415443</v>
      </c>
      <c r="D574" s="70">
        <v>19175</v>
      </c>
      <c r="E574" s="80"/>
      <c r="F574" s="73">
        <v>10</v>
      </c>
      <c r="G574" s="73">
        <v>5</v>
      </c>
      <c r="H574" s="68">
        <v>0</v>
      </c>
      <c r="I574" s="68">
        <v>0</v>
      </c>
      <c r="J574" s="71"/>
      <c r="K574" s="71">
        <v>42781</v>
      </c>
      <c r="L574" s="69" t="s">
        <v>80</v>
      </c>
      <c r="M574" s="69" t="s">
        <v>109</v>
      </c>
      <c r="N574" s="72">
        <v>42964</v>
      </c>
      <c r="O574" s="67"/>
      <c r="P574" s="67" t="s">
        <v>95</v>
      </c>
      <c r="Q574" s="67" t="s">
        <v>129</v>
      </c>
      <c r="R574" s="69" t="s">
        <v>69</v>
      </c>
      <c r="S574" s="69" t="s">
        <v>138</v>
      </c>
      <c r="T574" s="67"/>
      <c r="U574" s="67"/>
      <c r="V574" s="72">
        <v>42886</v>
      </c>
      <c r="W574" s="69">
        <v>415570135</v>
      </c>
      <c r="X574" s="78"/>
      <c r="Y574" s="123"/>
      <c r="Z574" s="30">
        <f t="shared" si="16"/>
        <v>4227.3638773950279</v>
      </c>
      <c r="AA574" s="30">
        <f t="shared" si="17"/>
        <v>2113.6819386975139</v>
      </c>
      <c r="AB574" t="s">
        <v>456</v>
      </c>
    </row>
    <row r="575" spans="1:28">
      <c r="A575" s="67" t="s">
        <v>68</v>
      </c>
      <c r="B575" s="68">
        <v>1241005</v>
      </c>
      <c r="C575" s="69">
        <v>4615408111</v>
      </c>
      <c r="D575" s="70">
        <v>19175</v>
      </c>
      <c r="E575" s="80"/>
      <c r="F575" s="73">
        <v>16</v>
      </c>
      <c r="G575" s="73">
        <v>5</v>
      </c>
      <c r="H575" s="73">
        <v>0</v>
      </c>
      <c r="I575" s="68">
        <v>0</v>
      </c>
      <c r="J575" s="71">
        <v>42839</v>
      </c>
      <c r="K575" s="71">
        <v>42812</v>
      </c>
      <c r="L575" s="69" t="s">
        <v>119</v>
      </c>
      <c r="M575" s="69" t="s">
        <v>109</v>
      </c>
      <c r="N575" s="72">
        <v>42964</v>
      </c>
      <c r="O575" s="67"/>
      <c r="P575" s="67" t="s">
        <v>95</v>
      </c>
      <c r="Q575" s="67" t="s">
        <v>125</v>
      </c>
      <c r="R575" s="69" t="s">
        <v>69</v>
      </c>
      <c r="S575" s="69" t="s">
        <v>68</v>
      </c>
      <c r="T575" s="67"/>
      <c r="U575" s="67"/>
      <c r="V575" s="72">
        <v>42855</v>
      </c>
      <c r="W575" s="69">
        <v>5114733</v>
      </c>
      <c r="X575" s="69"/>
      <c r="Y575" s="123"/>
      <c r="Z575" s="30">
        <f t="shared" si="16"/>
        <v>6763.7822038320437</v>
      </c>
      <c r="AA575" s="30">
        <f t="shared" si="17"/>
        <v>2113.6819386975139</v>
      </c>
      <c r="AB575" t="s">
        <v>456</v>
      </c>
    </row>
    <row r="576" spans="1:28">
      <c r="A576" s="67" t="s">
        <v>113</v>
      </c>
      <c r="B576" s="68">
        <v>1255871</v>
      </c>
      <c r="C576" s="69">
        <v>4615406661</v>
      </c>
      <c r="D576" s="70">
        <v>19200</v>
      </c>
      <c r="E576" s="80"/>
      <c r="F576" s="73">
        <v>16</v>
      </c>
      <c r="G576" s="73" t="s">
        <v>114</v>
      </c>
      <c r="H576" s="75">
        <v>0</v>
      </c>
      <c r="I576" s="68">
        <v>0</v>
      </c>
      <c r="J576" s="71"/>
      <c r="K576" s="71">
        <v>42780</v>
      </c>
      <c r="L576" s="69" t="s">
        <v>80</v>
      </c>
      <c r="M576" s="69" t="s">
        <v>109</v>
      </c>
      <c r="N576" s="72">
        <v>42964</v>
      </c>
      <c r="O576" s="67"/>
      <c r="P576" s="67" t="s">
        <v>95</v>
      </c>
      <c r="Q576" s="67" t="s">
        <v>110</v>
      </c>
      <c r="R576" s="69" t="s">
        <v>69</v>
      </c>
      <c r="S576" s="69" t="s">
        <v>115</v>
      </c>
      <c r="T576" s="67"/>
      <c r="U576" s="67"/>
      <c r="V576" s="72">
        <v>42947</v>
      </c>
      <c r="W576" s="69" t="s">
        <v>185</v>
      </c>
      <c r="X576" s="69" t="s">
        <v>117</v>
      </c>
      <c r="Y576" s="123"/>
      <c r="Z576" s="30">
        <f t="shared" si="16"/>
        <v>6772.6006943194379</v>
      </c>
      <c r="AA576" s="30">
        <f t="shared" si="17"/>
        <v>0</v>
      </c>
      <c r="AB576" t="s">
        <v>456</v>
      </c>
    </row>
    <row r="577" spans="1:28">
      <c r="A577" s="67" t="s">
        <v>68</v>
      </c>
      <c r="B577" s="68">
        <v>1248718</v>
      </c>
      <c r="C577" s="69">
        <v>4615416117</v>
      </c>
      <c r="D577" s="70">
        <v>19175</v>
      </c>
      <c r="E577" s="80"/>
      <c r="F577" s="68">
        <v>16</v>
      </c>
      <c r="G577" s="68">
        <v>5</v>
      </c>
      <c r="H577" s="73">
        <v>0</v>
      </c>
      <c r="I577" s="68">
        <v>0</v>
      </c>
      <c r="J577" s="71"/>
      <c r="K577" s="71">
        <v>42780</v>
      </c>
      <c r="L577" s="69" t="s">
        <v>80</v>
      </c>
      <c r="M577" s="69" t="s">
        <v>109</v>
      </c>
      <c r="N577" s="72">
        <v>42964</v>
      </c>
      <c r="O577" s="67"/>
      <c r="P577" s="67" t="s">
        <v>95</v>
      </c>
      <c r="Q577" s="67" t="s">
        <v>125</v>
      </c>
      <c r="R577" s="69" t="s">
        <v>69</v>
      </c>
      <c r="S577" s="69" t="s">
        <v>68</v>
      </c>
      <c r="T577" s="67"/>
      <c r="U577" s="67"/>
      <c r="V577" s="72">
        <v>42886</v>
      </c>
      <c r="W577" s="69">
        <v>5114734</v>
      </c>
      <c r="X577" s="69"/>
      <c r="Y577" s="123"/>
      <c r="Z577" s="30">
        <f t="shared" si="16"/>
        <v>6763.7822038320437</v>
      </c>
      <c r="AA577" s="30">
        <f t="shared" si="17"/>
        <v>2113.6819386975139</v>
      </c>
      <c r="AB577" t="s">
        <v>456</v>
      </c>
    </row>
    <row r="578" spans="1:28">
      <c r="A578" s="67" t="s">
        <v>128</v>
      </c>
      <c r="B578" s="68">
        <v>1260007</v>
      </c>
      <c r="C578" s="69">
        <v>4615423773</v>
      </c>
      <c r="D578" s="70">
        <v>19175</v>
      </c>
      <c r="E578" s="80"/>
      <c r="F578" s="68">
        <v>154.32</v>
      </c>
      <c r="G578" s="68" t="s">
        <v>114</v>
      </c>
      <c r="H578" s="73">
        <v>0</v>
      </c>
      <c r="I578" s="68">
        <v>0</v>
      </c>
      <c r="J578" s="71"/>
      <c r="K578" s="71">
        <v>42757</v>
      </c>
      <c r="L578" s="69" t="s">
        <v>80</v>
      </c>
      <c r="M578" s="69" t="s">
        <v>109</v>
      </c>
      <c r="N578" s="72">
        <v>42963</v>
      </c>
      <c r="O578" s="67"/>
      <c r="P578" s="67" t="s">
        <v>95</v>
      </c>
      <c r="Q578" s="67" t="s">
        <v>129</v>
      </c>
      <c r="R578" s="69" t="s">
        <v>69</v>
      </c>
      <c r="S578" s="69" t="s">
        <v>130</v>
      </c>
      <c r="T578" s="67"/>
      <c r="U578" s="67"/>
      <c r="V578" s="72">
        <v>42947</v>
      </c>
      <c r="W578" s="69">
        <v>425570006</v>
      </c>
      <c r="X578" s="69"/>
      <c r="Y578" s="123"/>
      <c r="Z578" s="30">
        <f t="shared" si="16"/>
        <v>65236.679355960063</v>
      </c>
      <c r="AA578" s="30">
        <f t="shared" si="17"/>
        <v>0</v>
      </c>
      <c r="AB578" t="s">
        <v>456</v>
      </c>
    </row>
    <row r="579" spans="1:28">
      <c r="A579" s="67" t="s">
        <v>136</v>
      </c>
      <c r="B579" s="68">
        <v>1240417</v>
      </c>
      <c r="C579" s="69">
        <v>4615421055</v>
      </c>
      <c r="D579" s="70">
        <v>19175</v>
      </c>
      <c r="E579" s="80"/>
      <c r="F579" s="73">
        <v>10</v>
      </c>
      <c r="G579" s="73">
        <v>5</v>
      </c>
      <c r="H579" s="68">
        <v>0</v>
      </c>
      <c r="I579" s="68">
        <v>0</v>
      </c>
      <c r="J579" s="71"/>
      <c r="K579" s="71">
        <v>42766</v>
      </c>
      <c r="L579" s="69" t="s">
        <v>80</v>
      </c>
      <c r="M579" s="69" t="s">
        <v>109</v>
      </c>
      <c r="N579" s="72">
        <v>42963</v>
      </c>
      <c r="O579" s="67"/>
      <c r="P579" s="67" t="s">
        <v>95</v>
      </c>
      <c r="Q579" s="67" t="s">
        <v>129</v>
      </c>
      <c r="R579" s="69" t="s">
        <v>69</v>
      </c>
      <c r="S579" s="69" t="s">
        <v>138</v>
      </c>
      <c r="T579" s="67"/>
      <c r="U579" s="67"/>
      <c r="V579" s="72">
        <v>42916</v>
      </c>
      <c r="W579" s="69">
        <v>415570136</v>
      </c>
      <c r="X579" s="78"/>
      <c r="Y579" s="123"/>
      <c r="Z579" s="30">
        <f t="shared" ref="Z579:Z642" si="18">CONVERT(D579,"kg","lbm")*F579/100</f>
        <v>4227.3638773950279</v>
      </c>
      <c r="AA579" s="30">
        <f t="shared" ref="AA579:AA642" si="19">CONVERT(D579,"kg","lbm")*G579/100</f>
        <v>2113.6819386975139</v>
      </c>
      <c r="AB579" t="s">
        <v>456</v>
      </c>
    </row>
    <row r="580" spans="1:28">
      <c r="A580" s="67" t="s">
        <v>122</v>
      </c>
      <c r="B580" s="68">
        <v>1233653</v>
      </c>
      <c r="C580" s="69">
        <v>4615381340</v>
      </c>
      <c r="D580" s="70">
        <v>19200</v>
      </c>
      <c r="E580" s="80"/>
      <c r="F580" s="68">
        <v>16</v>
      </c>
      <c r="G580" s="68">
        <v>5</v>
      </c>
      <c r="H580" s="68">
        <v>0</v>
      </c>
      <c r="I580" s="68">
        <v>0</v>
      </c>
      <c r="J580" s="71"/>
      <c r="K580" s="71">
        <v>42780</v>
      </c>
      <c r="L580" s="69" t="s">
        <v>80</v>
      </c>
      <c r="M580" s="69" t="s">
        <v>109</v>
      </c>
      <c r="N580" s="72">
        <v>42963</v>
      </c>
      <c r="O580" s="67"/>
      <c r="P580" s="67" t="s">
        <v>95</v>
      </c>
      <c r="Q580" s="67" t="s">
        <v>120</v>
      </c>
      <c r="R580" s="69" t="s">
        <v>69</v>
      </c>
      <c r="S580" s="69" t="s">
        <v>123</v>
      </c>
      <c r="T580" s="67"/>
      <c r="U580" s="67"/>
      <c r="V580" s="72">
        <v>42855</v>
      </c>
      <c r="W580" s="69">
        <v>2023109</v>
      </c>
      <c r="X580" s="69"/>
      <c r="Y580" s="123"/>
      <c r="Z580" s="30">
        <f t="shared" si="18"/>
        <v>6772.6006943194379</v>
      </c>
      <c r="AA580" s="30">
        <f t="shared" si="19"/>
        <v>2116.4377169748245</v>
      </c>
      <c r="AB580" t="s">
        <v>456</v>
      </c>
    </row>
    <row r="581" spans="1:28">
      <c r="A581" s="67" t="s">
        <v>68</v>
      </c>
      <c r="B581" s="68">
        <v>1240993</v>
      </c>
      <c r="C581" s="69">
        <v>4615408111</v>
      </c>
      <c r="D581" s="70">
        <v>19175</v>
      </c>
      <c r="E581" s="80"/>
      <c r="F581" s="73">
        <v>16</v>
      </c>
      <c r="G581" s="73">
        <v>5</v>
      </c>
      <c r="H581" s="73">
        <v>0</v>
      </c>
      <c r="I581" s="68">
        <v>0</v>
      </c>
      <c r="J581" s="71">
        <v>42839</v>
      </c>
      <c r="K581" s="71">
        <v>42791</v>
      </c>
      <c r="L581" s="69" t="s">
        <v>119</v>
      </c>
      <c r="M581" s="69" t="s">
        <v>109</v>
      </c>
      <c r="N581" s="72">
        <v>42963</v>
      </c>
      <c r="O581" s="67"/>
      <c r="P581" s="67" t="s">
        <v>95</v>
      </c>
      <c r="Q581" s="67" t="s">
        <v>125</v>
      </c>
      <c r="R581" s="69" t="s">
        <v>69</v>
      </c>
      <c r="S581" s="69" t="s">
        <v>68</v>
      </c>
      <c r="T581" s="67"/>
      <c r="U581" s="67"/>
      <c r="V581" s="72">
        <v>42855</v>
      </c>
      <c r="W581" s="69">
        <v>5114733</v>
      </c>
      <c r="X581" s="69"/>
      <c r="Y581" s="123"/>
      <c r="Z581" s="30">
        <f t="shared" si="18"/>
        <v>6763.7822038320437</v>
      </c>
      <c r="AA581" s="30">
        <f t="shared" si="19"/>
        <v>2113.6819386975139</v>
      </c>
      <c r="AB581" t="s">
        <v>456</v>
      </c>
    </row>
    <row r="582" spans="1:28">
      <c r="A582" s="67" t="s">
        <v>136</v>
      </c>
      <c r="B582" s="68">
        <v>1240409</v>
      </c>
      <c r="C582" s="69">
        <v>4615385954</v>
      </c>
      <c r="D582" s="70">
        <v>19200</v>
      </c>
      <c r="E582" s="80"/>
      <c r="F582" s="73">
        <v>10</v>
      </c>
      <c r="G582" s="73" t="s">
        <v>114</v>
      </c>
      <c r="H582" s="68">
        <v>0</v>
      </c>
      <c r="I582" s="68">
        <v>0</v>
      </c>
      <c r="J582" s="71"/>
      <c r="K582" s="71">
        <v>42745</v>
      </c>
      <c r="L582" s="69" t="s">
        <v>80</v>
      </c>
      <c r="M582" s="69" t="s">
        <v>109</v>
      </c>
      <c r="N582" s="72">
        <v>42962</v>
      </c>
      <c r="O582" s="67"/>
      <c r="P582" s="67" t="s">
        <v>95</v>
      </c>
      <c r="Q582" s="67" t="s">
        <v>129</v>
      </c>
      <c r="R582" s="69" t="s">
        <v>69</v>
      </c>
      <c r="S582" s="69" t="s">
        <v>138</v>
      </c>
      <c r="T582" s="67"/>
      <c r="U582" s="67"/>
      <c r="V582" s="72">
        <v>42916</v>
      </c>
      <c r="W582" s="69">
        <v>415570031</v>
      </c>
      <c r="X582" s="69"/>
      <c r="Y582" s="123"/>
      <c r="Z582" s="30">
        <f t="shared" si="18"/>
        <v>4232.8754339496491</v>
      </c>
      <c r="AA582" s="30">
        <f t="shared" si="19"/>
        <v>0</v>
      </c>
      <c r="AB582" t="s">
        <v>456</v>
      </c>
    </row>
    <row r="583" spans="1:28">
      <c r="A583" s="67" t="s">
        <v>118</v>
      </c>
      <c r="B583" s="68">
        <v>1237838</v>
      </c>
      <c r="C583" s="69">
        <v>4615417695</v>
      </c>
      <c r="D583" s="70">
        <v>19175</v>
      </c>
      <c r="E583" s="80"/>
      <c r="F583" s="73">
        <v>10</v>
      </c>
      <c r="G583" s="73" t="s">
        <v>114</v>
      </c>
      <c r="H583" s="68">
        <v>0</v>
      </c>
      <c r="I583" s="68">
        <v>0</v>
      </c>
      <c r="J583" s="71">
        <v>42858</v>
      </c>
      <c r="K583" s="71">
        <v>42745</v>
      </c>
      <c r="L583" s="69" t="s">
        <v>137</v>
      </c>
      <c r="M583" s="69" t="s">
        <v>109</v>
      </c>
      <c r="N583" s="72">
        <v>42962</v>
      </c>
      <c r="O583" s="67"/>
      <c r="P583" s="67" t="s">
        <v>95</v>
      </c>
      <c r="Q583" s="67" t="s">
        <v>120</v>
      </c>
      <c r="R583" s="69" t="s">
        <v>69</v>
      </c>
      <c r="S583" s="69" t="s">
        <v>121</v>
      </c>
      <c r="T583" s="67"/>
      <c r="U583" s="67"/>
      <c r="V583" s="72">
        <v>42886</v>
      </c>
      <c r="W583" s="69">
        <v>2026347</v>
      </c>
      <c r="X583" s="69"/>
      <c r="Y583" s="123"/>
      <c r="Z583" s="30">
        <f t="shared" si="18"/>
        <v>4227.3638773950279</v>
      </c>
      <c r="AA583" s="30">
        <f t="shared" si="19"/>
        <v>0</v>
      </c>
      <c r="AB583" t="s">
        <v>456</v>
      </c>
    </row>
    <row r="584" spans="1:28">
      <c r="A584" s="67" t="s">
        <v>113</v>
      </c>
      <c r="B584" s="68">
        <v>1250774</v>
      </c>
      <c r="C584" s="69">
        <v>4615406599</v>
      </c>
      <c r="D584" s="70">
        <v>19200</v>
      </c>
      <c r="E584" s="80"/>
      <c r="F584" s="73">
        <v>16</v>
      </c>
      <c r="G584" s="73" t="s">
        <v>114</v>
      </c>
      <c r="H584" s="73">
        <v>0</v>
      </c>
      <c r="I584" s="68">
        <v>0</v>
      </c>
      <c r="J584" s="71"/>
      <c r="K584" s="71">
        <v>42805</v>
      </c>
      <c r="L584" s="69" t="s">
        <v>80</v>
      </c>
      <c r="M584" s="69" t="s">
        <v>109</v>
      </c>
      <c r="N584" s="72">
        <v>42961</v>
      </c>
      <c r="O584" s="67"/>
      <c r="P584" s="67" t="s">
        <v>95</v>
      </c>
      <c r="Q584" s="67" t="s">
        <v>110</v>
      </c>
      <c r="R584" s="69" t="s">
        <v>69</v>
      </c>
      <c r="S584" s="69" t="s">
        <v>115</v>
      </c>
      <c r="T584" s="67"/>
      <c r="U584" s="67"/>
      <c r="V584" s="72">
        <v>42916</v>
      </c>
      <c r="W584" s="69" t="s">
        <v>188</v>
      </c>
      <c r="X584" s="69" t="s">
        <v>117</v>
      </c>
      <c r="Y584" s="123"/>
      <c r="Z584" s="30">
        <f t="shared" si="18"/>
        <v>6772.6006943194379</v>
      </c>
      <c r="AA584" s="30">
        <f t="shared" si="19"/>
        <v>0</v>
      </c>
      <c r="AB584" t="s">
        <v>456</v>
      </c>
    </row>
    <row r="585" spans="1:28">
      <c r="A585" s="67" t="s">
        <v>68</v>
      </c>
      <c r="B585" s="68">
        <v>1240995</v>
      </c>
      <c r="C585" s="69">
        <v>4615408111</v>
      </c>
      <c r="D585" s="70">
        <v>19175</v>
      </c>
      <c r="E585" s="80"/>
      <c r="F585" s="73">
        <v>16</v>
      </c>
      <c r="G585" s="73">
        <v>5</v>
      </c>
      <c r="H585" s="73">
        <v>0</v>
      </c>
      <c r="I585" s="68">
        <v>0</v>
      </c>
      <c r="J585" s="71">
        <v>42839</v>
      </c>
      <c r="K585" s="71">
        <v>42801</v>
      </c>
      <c r="L585" s="69" t="s">
        <v>119</v>
      </c>
      <c r="M585" s="69" t="s">
        <v>109</v>
      </c>
      <c r="N585" s="72">
        <v>42961</v>
      </c>
      <c r="O585" s="67"/>
      <c r="P585" s="67" t="s">
        <v>95</v>
      </c>
      <c r="Q585" s="67" t="s">
        <v>125</v>
      </c>
      <c r="R585" s="69" t="s">
        <v>69</v>
      </c>
      <c r="S585" s="69" t="s">
        <v>68</v>
      </c>
      <c r="T585" s="67"/>
      <c r="U585" s="67"/>
      <c r="V585" s="72">
        <v>42855</v>
      </c>
      <c r="W585" s="69">
        <v>5114733</v>
      </c>
      <c r="X585" s="69"/>
      <c r="Y585" s="123"/>
      <c r="Z585" s="30">
        <f t="shared" si="18"/>
        <v>6763.7822038320437</v>
      </c>
      <c r="AA585" s="30">
        <f t="shared" si="19"/>
        <v>2113.6819386975139</v>
      </c>
      <c r="AB585" t="s">
        <v>456</v>
      </c>
    </row>
    <row r="586" spans="1:28">
      <c r="A586" s="67" t="s">
        <v>118</v>
      </c>
      <c r="B586" s="68">
        <v>1237829</v>
      </c>
      <c r="C586" s="69">
        <v>4615369807</v>
      </c>
      <c r="D586" s="70">
        <v>19200</v>
      </c>
      <c r="E586" s="80"/>
      <c r="F586" s="68">
        <v>10</v>
      </c>
      <c r="G586" s="68" t="s">
        <v>114</v>
      </c>
      <c r="H586" s="68">
        <v>0</v>
      </c>
      <c r="I586" s="68">
        <v>0</v>
      </c>
      <c r="J586" s="71">
        <v>42853</v>
      </c>
      <c r="K586" s="71">
        <v>42785</v>
      </c>
      <c r="L586" s="69" t="s">
        <v>137</v>
      </c>
      <c r="M586" s="69" t="s">
        <v>109</v>
      </c>
      <c r="N586" s="72">
        <v>42961</v>
      </c>
      <c r="O586" s="67"/>
      <c r="P586" s="67" t="s">
        <v>95</v>
      </c>
      <c r="Q586" s="67" t="s">
        <v>120</v>
      </c>
      <c r="R586" s="69" t="s">
        <v>69</v>
      </c>
      <c r="S586" s="69" t="s">
        <v>121</v>
      </c>
      <c r="T586" s="67"/>
      <c r="U586" s="67"/>
      <c r="V586" s="72">
        <v>42886</v>
      </c>
      <c r="W586" s="69">
        <v>2021267</v>
      </c>
      <c r="X586" s="69"/>
      <c r="Y586" s="123"/>
      <c r="Z586" s="30">
        <f t="shared" si="18"/>
        <v>4232.8754339496491</v>
      </c>
      <c r="AA586" s="30">
        <f t="shared" si="19"/>
        <v>0</v>
      </c>
      <c r="AB586" t="s">
        <v>456</v>
      </c>
    </row>
    <row r="587" spans="1:28">
      <c r="A587" s="67" t="s">
        <v>128</v>
      </c>
      <c r="B587" s="68">
        <v>1260005</v>
      </c>
      <c r="C587" s="69">
        <v>4615423773</v>
      </c>
      <c r="D587" s="70">
        <v>19175</v>
      </c>
      <c r="E587" s="80"/>
      <c r="F587" s="68">
        <v>154.32</v>
      </c>
      <c r="G587" s="68" t="s">
        <v>114</v>
      </c>
      <c r="H587" s="73">
        <v>0</v>
      </c>
      <c r="I587" s="68">
        <v>0</v>
      </c>
      <c r="J587" s="71"/>
      <c r="K587" s="71">
        <v>42780</v>
      </c>
      <c r="L587" s="69" t="s">
        <v>80</v>
      </c>
      <c r="M587" s="69" t="s">
        <v>109</v>
      </c>
      <c r="N587" s="72">
        <v>42960</v>
      </c>
      <c r="O587" s="67"/>
      <c r="P587" s="67" t="s">
        <v>95</v>
      </c>
      <c r="Q587" s="67" t="s">
        <v>129</v>
      </c>
      <c r="R587" s="69" t="s">
        <v>69</v>
      </c>
      <c r="S587" s="69" t="s">
        <v>130</v>
      </c>
      <c r="T587" s="67"/>
      <c r="U587" s="67"/>
      <c r="V587" s="72">
        <v>42947</v>
      </c>
      <c r="W587" s="69">
        <v>425570006</v>
      </c>
      <c r="X587" s="69"/>
      <c r="Y587" s="123"/>
      <c r="Z587" s="30">
        <f t="shared" si="18"/>
        <v>65236.679355960063</v>
      </c>
      <c r="AA587" s="30">
        <f t="shared" si="19"/>
        <v>0</v>
      </c>
      <c r="AB587" t="s">
        <v>456</v>
      </c>
    </row>
    <row r="588" spans="1:28">
      <c r="A588" s="67" t="s">
        <v>113</v>
      </c>
      <c r="B588" s="68">
        <v>1251853</v>
      </c>
      <c r="C588" s="69">
        <v>4615404823</v>
      </c>
      <c r="D588" s="70">
        <v>19200</v>
      </c>
      <c r="E588" s="80"/>
      <c r="F588" s="68">
        <v>16</v>
      </c>
      <c r="G588" s="68" t="s">
        <v>114</v>
      </c>
      <c r="H588" s="73">
        <v>0</v>
      </c>
      <c r="I588" s="68">
        <v>0</v>
      </c>
      <c r="J588" s="71"/>
      <c r="K588" s="71">
        <v>42785</v>
      </c>
      <c r="L588" s="69" t="s">
        <v>80</v>
      </c>
      <c r="M588" s="69" t="s">
        <v>109</v>
      </c>
      <c r="N588" s="72">
        <v>42960</v>
      </c>
      <c r="O588" s="67"/>
      <c r="P588" s="67" t="s">
        <v>95</v>
      </c>
      <c r="Q588" s="67" t="s">
        <v>110</v>
      </c>
      <c r="R588" s="69" t="s">
        <v>69</v>
      </c>
      <c r="S588" s="69" t="s">
        <v>115</v>
      </c>
      <c r="T588" s="67"/>
      <c r="U588" s="67"/>
      <c r="V588" s="72">
        <v>42916</v>
      </c>
      <c r="W588" s="69" t="s">
        <v>186</v>
      </c>
      <c r="X588" s="69" t="s">
        <v>117</v>
      </c>
      <c r="Y588" s="123"/>
      <c r="Z588" s="30">
        <f t="shared" si="18"/>
        <v>6772.6006943194379</v>
      </c>
      <c r="AA588" s="30">
        <f t="shared" si="19"/>
        <v>0</v>
      </c>
      <c r="AB588" t="s">
        <v>456</v>
      </c>
    </row>
    <row r="589" spans="1:28">
      <c r="A589" s="67" t="s">
        <v>113</v>
      </c>
      <c r="B589" s="68">
        <v>1251854</v>
      </c>
      <c r="C589" s="69">
        <v>4615404823</v>
      </c>
      <c r="D589" s="70">
        <v>19200</v>
      </c>
      <c r="E589" s="80"/>
      <c r="F589" s="68">
        <v>16</v>
      </c>
      <c r="G589" s="68" t="s">
        <v>114</v>
      </c>
      <c r="H589" s="73">
        <v>0</v>
      </c>
      <c r="I589" s="68">
        <v>0</v>
      </c>
      <c r="J589" s="71"/>
      <c r="K589" s="71">
        <v>42764</v>
      </c>
      <c r="L589" s="69" t="s">
        <v>80</v>
      </c>
      <c r="M589" s="69" t="s">
        <v>109</v>
      </c>
      <c r="N589" s="72">
        <v>42960</v>
      </c>
      <c r="O589" s="67"/>
      <c r="P589" s="67" t="s">
        <v>95</v>
      </c>
      <c r="Q589" s="67" t="s">
        <v>110</v>
      </c>
      <c r="R589" s="69" t="s">
        <v>69</v>
      </c>
      <c r="S589" s="69" t="s">
        <v>115</v>
      </c>
      <c r="T589" s="67"/>
      <c r="U589" s="67"/>
      <c r="V589" s="72">
        <v>42916</v>
      </c>
      <c r="W589" s="69" t="s">
        <v>186</v>
      </c>
      <c r="X589" s="69" t="s">
        <v>117</v>
      </c>
      <c r="Y589" s="123"/>
      <c r="Z589" s="30">
        <f t="shared" si="18"/>
        <v>6772.6006943194379</v>
      </c>
      <c r="AA589" s="30">
        <f t="shared" si="19"/>
        <v>0</v>
      </c>
      <c r="AB589" t="s">
        <v>456</v>
      </c>
    </row>
    <row r="590" spans="1:28">
      <c r="A590" s="67" t="s">
        <v>113</v>
      </c>
      <c r="B590" s="68">
        <v>1250773</v>
      </c>
      <c r="C590" s="69">
        <v>4615406599</v>
      </c>
      <c r="D590" s="70">
        <v>19200</v>
      </c>
      <c r="E590" s="80"/>
      <c r="F590" s="73">
        <v>16</v>
      </c>
      <c r="G590" s="73" t="s">
        <v>114</v>
      </c>
      <c r="H590" s="73">
        <v>0</v>
      </c>
      <c r="I590" s="68">
        <v>0</v>
      </c>
      <c r="J590" s="71"/>
      <c r="K590" s="71">
        <v>42778</v>
      </c>
      <c r="L590" s="69" t="s">
        <v>80</v>
      </c>
      <c r="M590" s="69" t="s">
        <v>109</v>
      </c>
      <c r="N590" s="72">
        <v>42960</v>
      </c>
      <c r="O590" s="67"/>
      <c r="P590" s="67" t="s">
        <v>95</v>
      </c>
      <c r="Q590" s="67" t="s">
        <v>110</v>
      </c>
      <c r="R590" s="69" t="s">
        <v>69</v>
      </c>
      <c r="S590" s="69" t="s">
        <v>115</v>
      </c>
      <c r="T590" s="67"/>
      <c r="U590" s="67"/>
      <c r="V590" s="72">
        <v>42916</v>
      </c>
      <c r="W590" s="69" t="s">
        <v>188</v>
      </c>
      <c r="X590" s="69" t="s">
        <v>117</v>
      </c>
      <c r="Y590" s="123"/>
      <c r="Z590" s="30">
        <f t="shared" si="18"/>
        <v>6772.6006943194379</v>
      </c>
      <c r="AA590" s="30">
        <f t="shared" si="19"/>
        <v>0</v>
      </c>
      <c r="AB590" t="s">
        <v>456</v>
      </c>
    </row>
    <row r="591" spans="1:28">
      <c r="A591" s="67" t="s">
        <v>113</v>
      </c>
      <c r="B591" s="68">
        <v>1250775</v>
      </c>
      <c r="C591" s="69">
        <v>4615406599</v>
      </c>
      <c r="D591" s="70">
        <v>19200</v>
      </c>
      <c r="E591" s="80"/>
      <c r="F591" s="73">
        <v>16</v>
      </c>
      <c r="G591" s="73" t="s">
        <v>114</v>
      </c>
      <c r="H591" s="73">
        <v>0</v>
      </c>
      <c r="I591" s="68">
        <v>0</v>
      </c>
      <c r="J591" s="71"/>
      <c r="K591" s="71">
        <v>42745</v>
      </c>
      <c r="L591" s="69" t="s">
        <v>80</v>
      </c>
      <c r="M591" s="69" t="s">
        <v>109</v>
      </c>
      <c r="N591" s="72">
        <v>42960</v>
      </c>
      <c r="O591" s="67"/>
      <c r="P591" s="67" t="s">
        <v>95</v>
      </c>
      <c r="Q591" s="67" t="s">
        <v>110</v>
      </c>
      <c r="R591" s="69" t="s">
        <v>69</v>
      </c>
      <c r="S591" s="69" t="s">
        <v>115</v>
      </c>
      <c r="T591" s="67"/>
      <c r="U591" s="67"/>
      <c r="V591" s="72">
        <v>42916</v>
      </c>
      <c r="W591" s="69" t="s">
        <v>188</v>
      </c>
      <c r="X591" s="69" t="s">
        <v>117</v>
      </c>
      <c r="Y591" s="123"/>
      <c r="Z591" s="30">
        <f t="shared" si="18"/>
        <v>6772.6006943194379</v>
      </c>
      <c r="AA591" s="30">
        <f t="shared" si="19"/>
        <v>0</v>
      </c>
      <c r="AB591" t="s">
        <v>456</v>
      </c>
    </row>
    <row r="592" spans="1:28">
      <c r="A592" s="67" t="s">
        <v>113</v>
      </c>
      <c r="B592" s="68">
        <v>1250781</v>
      </c>
      <c r="C592" s="69">
        <v>4615406599</v>
      </c>
      <c r="D592" s="70">
        <v>19200</v>
      </c>
      <c r="E592" s="79"/>
      <c r="F592" s="73">
        <v>16</v>
      </c>
      <c r="G592" s="73" t="s">
        <v>114</v>
      </c>
      <c r="H592" s="73">
        <v>0</v>
      </c>
      <c r="I592" s="68">
        <v>0</v>
      </c>
      <c r="J592" s="71"/>
      <c r="K592" s="71">
        <v>42743</v>
      </c>
      <c r="L592" s="69" t="s">
        <v>80</v>
      </c>
      <c r="M592" s="69" t="s">
        <v>109</v>
      </c>
      <c r="N592" s="72">
        <v>42960</v>
      </c>
      <c r="O592" s="67"/>
      <c r="P592" s="67" t="s">
        <v>95</v>
      </c>
      <c r="Q592" s="67" t="s">
        <v>110</v>
      </c>
      <c r="R592" s="69" t="s">
        <v>69</v>
      </c>
      <c r="S592" s="69" t="s">
        <v>115</v>
      </c>
      <c r="T592" s="67"/>
      <c r="U592" s="67"/>
      <c r="V592" s="72">
        <v>42916</v>
      </c>
      <c r="W592" s="69" t="s">
        <v>188</v>
      </c>
      <c r="X592" s="69" t="s">
        <v>117</v>
      </c>
      <c r="Y592" s="123"/>
      <c r="Z592" s="30">
        <f t="shared" si="18"/>
        <v>6772.6006943194379</v>
      </c>
      <c r="AA592" s="30">
        <f t="shared" si="19"/>
        <v>0</v>
      </c>
      <c r="AB592" t="s">
        <v>456</v>
      </c>
    </row>
    <row r="593" spans="1:28">
      <c r="A593" s="67" t="s">
        <v>136</v>
      </c>
      <c r="B593" s="68">
        <v>1240412</v>
      </c>
      <c r="C593" s="69">
        <v>4615385954</v>
      </c>
      <c r="D593" s="70">
        <v>19200</v>
      </c>
      <c r="E593" s="79"/>
      <c r="F593" s="73">
        <v>10</v>
      </c>
      <c r="G593" s="73" t="s">
        <v>114</v>
      </c>
      <c r="H593" s="68">
        <v>0</v>
      </c>
      <c r="I593" s="68">
        <v>0</v>
      </c>
      <c r="J593" s="71"/>
      <c r="K593" s="71">
        <v>42801</v>
      </c>
      <c r="L593" s="69" t="s">
        <v>80</v>
      </c>
      <c r="M593" s="69" t="s">
        <v>109</v>
      </c>
      <c r="N593" s="72">
        <v>42960</v>
      </c>
      <c r="O593" s="67"/>
      <c r="P593" s="67" t="s">
        <v>95</v>
      </c>
      <c r="Q593" s="67" t="s">
        <v>129</v>
      </c>
      <c r="R593" s="69" t="s">
        <v>69</v>
      </c>
      <c r="S593" s="69" t="s">
        <v>138</v>
      </c>
      <c r="T593" s="67"/>
      <c r="U593" s="67"/>
      <c r="V593" s="72">
        <v>42916</v>
      </c>
      <c r="W593" s="69">
        <v>415570031</v>
      </c>
      <c r="X593" s="69"/>
      <c r="Y593" s="123"/>
      <c r="Z593" s="30">
        <f t="shared" si="18"/>
        <v>4232.8754339496491</v>
      </c>
      <c r="AA593" s="30">
        <f t="shared" si="19"/>
        <v>0</v>
      </c>
      <c r="AB593" t="s">
        <v>456</v>
      </c>
    </row>
    <row r="594" spans="1:28">
      <c r="A594" s="67" t="s">
        <v>136</v>
      </c>
      <c r="B594" s="68">
        <v>1240411</v>
      </c>
      <c r="C594" s="69">
        <v>4615385954</v>
      </c>
      <c r="D594" s="70">
        <v>19200</v>
      </c>
      <c r="E594" s="79"/>
      <c r="F594" s="73">
        <v>10</v>
      </c>
      <c r="G594" s="73" t="s">
        <v>114</v>
      </c>
      <c r="H594" s="68">
        <v>0</v>
      </c>
      <c r="I594" s="68">
        <v>0</v>
      </c>
      <c r="J594" s="71"/>
      <c r="K594" s="71">
        <v>42805</v>
      </c>
      <c r="L594" s="69" t="s">
        <v>80</v>
      </c>
      <c r="M594" s="69" t="s">
        <v>109</v>
      </c>
      <c r="N594" s="72">
        <v>42960</v>
      </c>
      <c r="O594" s="67"/>
      <c r="P594" s="67" t="s">
        <v>95</v>
      </c>
      <c r="Q594" s="67" t="s">
        <v>129</v>
      </c>
      <c r="R594" s="69" t="s">
        <v>69</v>
      </c>
      <c r="S594" s="69" t="s">
        <v>138</v>
      </c>
      <c r="T594" s="67"/>
      <c r="U594" s="67"/>
      <c r="V594" s="72">
        <v>42916</v>
      </c>
      <c r="W594" s="69">
        <v>415570031</v>
      </c>
      <c r="X594" s="69"/>
      <c r="Y594" s="123"/>
      <c r="Z594" s="30">
        <f t="shared" si="18"/>
        <v>4232.8754339496491</v>
      </c>
      <c r="AA594" s="30">
        <f t="shared" si="19"/>
        <v>0</v>
      </c>
      <c r="AB594" t="s">
        <v>456</v>
      </c>
    </row>
    <row r="595" spans="1:28">
      <c r="A595" s="67" t="s">
        <v>68</v>
      </c>
      <c r="B595" s="68">
        <v>1240998</v>
      </c>
      <c r="C595" s="69">
        <v>4615408111</v>
      </c>
      <c r="D595" s="70">
        <v>19175</v>
      </c>
      <c r="E595" s="79"/>
      <c r="F595" s="73">
        <v>16</v>
      </c>
      <c r="G595" s="73">
        <v>5</v>
      </c>
      <c r="H595" s="73">
        <v>0</v>
      </c>
      <c r="I595" s="68">
        <v>0</v>
      </c>
      <c r="J595" s="71">
        <v>42839</v>
      </c>
      <c r="K595" s="71">
        <v>42805</v>
      </c>
      <c r="L595" s="69" t="s">
        <v>119</v>
      </c>
      <c r="M595" s="69" t="s">
        <v>109</v>
      </c>
      <c r="N595" s="72">
        <v>42960</v>
      </c>
      <c r="O595" s="67"/>
      <c r="P595" s="67" t="s">
        <v>95</v>
      </c>
      <c r="Q595" s="67" t="s">
        <v>125</v>
      </c>
      <c r="R595" s="69" t="s">
        <v>69</v>
      </c>
      <c r="S595" s="69" t="s">
        <v>68</v>
      </c>
      <c r="T595" s="67"/>
      <c r="U595" s="67"/>
      <c r="V595" s="72">
        <v>42855</v>
      </c>
      <c r="W595" s="69">
        <v>5114733</v>
      </c>
      <c r="X595" s="69"/>
      <c r="Y595" s="123"/>
      <c r="Z595" s="30">
        <f t="shared" si="18"/>
        <v>6763.7822038320437</v>
      </c>
      <c r="AA595" s="30">
        <f t="shared" si="19"/>
        <v>2113.6819386975139</v>
      </c>
      <c r="AB595" t="s">
        <v>456</v>
      </c>
    </row>
    <row r="596" spans="1:28">
      <c r="A596" s="67" t="s">
        <v>68</v>
      </c>
      <c r="B596" s="68">
        <v>1240992</v>
      </c>
      <c r="C596" s="69">
        <v>4615408111</v>
      </c>
      <c r="D596" s="70">
        <v>19175</v>
      </c>
      <c r="E596" s="79"/>
      <c r="F596" s="73">
        <v>16</v>
      </c>
      <c r="G596" s="73">
        <v>5</v>
      </c>
      <c r="H596" s="73">
        <v>0</v>
      </c>
      <c r="I596" s="68">
        <v>0</v>
      </c>
      <c r="J596" s="71">
        <v>42839</v>
      </c>
      <c r="K596" s="71">
        <v>42805</v>
      </c>
      <c r="L596" s="69" t="s">
        <v>119</v>
      </c>
      <c r="M596" s="69" t="s">
        <v>109</v>
      </c>
      <c r="N596" s="72">
        <v>42960</v>
      </c>
      <c r="O596" s="67"/>
      <c r="P596" s="67" t="s">
        <v>95</v>
      </c>
      <c r="Q596" s="67" t="s">
        <v>125</v>
      </c>
      <c r="R596" s="69" t="s">
        <v>69</v>
      </c>
      <c r="S596" s="69" t="s">
        <v>68</v>
      </c>
      <c r="T596" s="67"/>
      <c r="U596" s="67"/>
      <c r="V596" s="72">
        <v>42855</v>
      </c>
      <c r="W596" s="69">
        <v>5114733</v>
      </c>
      <c r="X596" s="69"/>
      <c r="Y596" s="123"/>
      <c r="Z596" s="30">
        <f t="shared" si="18"/>
        <v>6763.7822038320437</v>
      </c>
      <c r="AA596" s="30">
        <f t="shared" si="19"/>
        <v>2113.6819386975139</v>
      </c>
      <c r="AB596" t="s">
        <v>456</v>
      </c>
    </row>
    <row r="597" spans="1:28">
      <c r="A597" s="67" t="s">
        <v>113</v>
      </c>
      <c r="B597" s="68">
        <v>1237540</v>
      </c>
      <c r="C597" s="69">
        <v>4615498178</v>
      </c>
      <c r="D597" s="70">
        <v>19175</v>
      </c>
      <c r="E597" s="79"/>
      <c r="F597" s="68">
        <v>16</v>
      </c>
      <c r="G597" s="68" t="s">
        <v>114</v>
      </c>
      <c r="H597" s="73">
        <v>0</v>
      </c>
      <c r="I597" s="68">
        <v>0</v>
      </c>
      <c r="J597" s="71">
        <v>42832</v>
      </c>
      <c r="K597" s="71">
        <v>42801</v>
      </c>
      <c r="L597" s="69" t="s">
        <v>119</v>
      </c>
      <c r="M597" s="69" t="s">
        <v>109</v>
      </c>
      <c r="N597" s="72">
        <v>42958</v>
      </c>
      <c r="O597" s="67"/>
      <c r="P597" s="67" t="s">
        <v>95</v>
      </c>
      <c r="Q597" s="67" t="s">
        <v>110</v>
      </c>
      <c r="R597" s="69" t="s">
        <v>69</v>
      </c>
      <c r="S597" s="69" t="s">
        <v>115</v>
      </c>
      <c r="T597" s="67"/>
      <c r="U597" s="67"/>
      <c r="V597" s="72">
        <v>42886</v>
      </c>
      <c r="W597" s="69" t="s">
        <v>192</v>
      </c>
      <c r="X597" s="69" t="s">
        <v>193</v>
      </c>
      <c r="Y597" s="123"/>
      <c r="Z597" s="30">
        <f t="shared" si="18"/>
        <v>6763.7822038320437</v>
      </c>
      <c r="AA597" s="30">
        <f t="shared" si="19"/>
        <v>0</v>
      </c>
      <c r="AB597" t="s">
        <v>456</v>
      </c>
    </row>
    <row r="598" spans="1:28">
      <c r="A598" s="67" t="s">
        <v>68</v>
      </c>
      <c r="B598" s="68">
        <v>1241006</v>
      </c>
      <c r="C598" s="69">
        <v>4615468301</v>
      </c>
      <c r="D598" s="70">
        <v>19175</v>
      </c>
      <c r="E598" s="79"/>
      <c r="F598" s="73">
        <v>16</v>
      </c>
      <c r="G598" s="73">
        <v>5</v>
      </c>
      <c r="H598" s="68">
        <v>0</v>
      </c>
      <c r="I598" s="68">
        <v>0</v>
      </c>
      <c r="J598" s="71">
        <v>42834</v>
      </c>
      <c r="K598" s="71">
        <v>42805</v>
      </c>
      <c r="L598" s="69" t="s">
        <v>119</v>
      </c>
      <c r="M598" s="69" t="s">
        <v>109</v>
      </c>
      <c r="N598" s="72">
        <v>42957</v>
      </c>
      <c r="O598" s="67"/>
      <c r="P598" s="67" t="s">
        <v>95</v>
      </c>
      <c r="Q598" s="67" t="s">
        <v>125</v>
      </c>
      <c r="R598" s="69" t="s">
        <v>69</v>
      </c>
      <c r="S598" s="69" t="s">
        <v>68</v>
      </c>
      <c r="T598" s="67"/>
      <c r="U598" s="67"/>
      <c r="V598" s="72">
        <v>42855</v>
      </c>
      <c r="W598" s="69">
        <v>5114728</v>
      </c>
      <c r="X598" s="69" t="s">
        <v>194</v>
      </c>
      <c r="Y598" s="123"/>
      <c r="Z598" s="30">
        <f t="shared" si="18"/>
        <v>6763.7822038320437</v>
      </c>
      <c r="AA598" s="30">
        <f t="shared" si="19"/>
        <v>2113.6819386975139</v>
      </c>
      <c r="AB598" t="s">
        <v>456</v>
      </c>
    </row>
    <row r="599" spans="1:28">
      <c r="A599" s="67" t="s">
        <v>113</v>
      </c>
      <c r="B599" s="68">
        <v>1255873</v>
      </c>
      <c r="C599" s="69">
        <v>4615406661</v>
      </c>
      <c r="D599" s="70">
        <v>19200</v>
      </c>
      <c r="E599" s="79"/>
      <c r="F599" s="73">
        <v>16</v>
      </c>
      <c r="G599" s="73" t="s">
        <v>114</v>
      </c>
      <c r="H599" s="75">
        <v>0</v>
      </c>
      <c r="I599" s="68">
        <v>0</v>
      </c>
      <c r="J599" s="71"/>
      <c r="K599" s="71">
        <v>42805</v>
      </c>
      <c r="L599" s="69" t="s">
        <v>80</v>
      </c>
      <c r="M599" s="69" t="s">
        <v>109</v>
      </c>
      <c r="N599" s="72">
        <v>42957</v>
      </c>
      <c r="O599" s="67"/>
      <c r="P599" s="67" t="s">
        <v>95</v>
      </c>
      <c r="Q599" s="67" t="s">
        <v>110</v>
      </c>
      <c r="R599" s="69" t="s">
        <v>69</v>
      </c>
      <c r="S599" s="69" t="s">
        <v>115</v>
      </c>
      <c r="T599" s="67"/>
      <c r="U599" s="67"/>
      <c r="V599" s="72">
        <v>42947</v>
      </c>
      <c r="W599" s="69" t="s">
        <v>185</v>
      </c>
      <c r="X599" s="69" t="s">
        <v>117</v>
      </c>
      <c r="Y599" s="123"/>
      <c r="Z599" s="30">
        <f t="shared" si="18"/>
        <v>6772.6006943194379</v>
      </c>
      <c r="AA599" s="30">
        <f t="shared" si="19"/>
        <v>0</v>
      </c>
      <c r="AB599" t="s">
        <v>456</v>
      </c>
    </row>
    <row r="600" spans="1:28">
      <c r="A600" s="67" t="s">
        <v>113</v>
      </c>
      <c r="B600" s="68">
        <v>1251869</v>
      </c>
      <c r="C600" s="69">
        <v>4615414482</v>
      </c>
      <c r="D600" s="70">
        <v>20700</v>
      </c>
      <c r="E600" s="79"/>
      <c r="F600" s="73">
        <v>16</v>
      </c>
      <c r="G600" s="73">
        <v>5</v>
      </c>
      <c r="H600" s="73">
        <v>0</v>
      </c>
      <c r="I600" s="68">
        <v>0</v>
      </c>
      <c r="J600" s="71"/>
      <c r="K600" s="71">
        <v>42805</v>
      </c>
      <c r="L600" s="69" t="s">
        <v>80</v>
      </c>
      <c r="M600" s="69" t="s">
        <v>109</v>
      </c>
      <c r="N600" s="72">
        <v>42957</v>
      </c>
      <c r="O600" s="67"/>
      <c r="P600" s="67" t="s">
        <v>95</v>
      </c>
      <c r="Q600" s="67" t="s">
        <v>110</v>
      </c>
      <c r="R600" s="69" t="s">
        <v>69</v>
      </c>
      <c r="S600" s="69" t="s">
        <v>115</v>
      </c>
      <c r="T600" s="67"/>
      <c r="U600" s="67"/>
      <c r="V600" s="72">
        <v>42916</v>
      </c>
      <c r="W600" s="69" t="s">
        <v>181</v>
      </c>
      <c r="X600" s="69" t="s">
        <v>182</v>
      </c>
      <c r="Y600" s="123"/>
      <c r="Z600" s="30">
        <f t="shared" si="18"/>
        <v>7301.7101235631453</v>
      </c>
      <c r="AA600" s="30">
        <f t="shared" si="19"/>
        <v>2281.7844136134831</v>
      </c>
      <c r="AB600" t="s">
        <v>456</v>
      </c>
    </row>
    <row r="601" spans="1:28">
      <c r="A601" s="67" t="s">
        <v>113</v>
      </c>
      <c r="B601" s="68">
        <v>1251866</v>
      </c>
      <c r="C601" s="69">
        <v>4615414482</v>
      </c>
      <c r="D601" s="70">
        <v>20700</v>
      </c>
      <c r="E601" s="79"/>
      <c r="F601" s="73">
        <v>16</v>
      </c>
      <c r="G601" s="73">
        <v>5</v>
      </c>
      <c r="H601" s="73">
        <v>0</v>
      </c>
      <c r="I601" s="68">
        <v>0</v>
      </c>
      <c r="J601" s="71"/>
      <c r="K601" s="71">
        <v>42820</v>
      </c>
      <c r="L601" s="69" t="s">
        <v>80</v>
      </c>
      <c r="M601" s="69" t="s">
        <v>109</v>
      </c>
      <c r="N601" s="72">
        <v>42956</v>
      </c>
      <c r="O601" s="67"/>
      <c r="P601" s="67" t="s">
        <v>95</v>
      </c>
      <c r="Q601" s="67" t="s">
        <v>110</v>
      </c>
      <c r="R601" s="69" t="s">
        <v>69</v>
      </c>
      <c r="S601" s="69" t="s">
        <v>115</v>
      </c>
      <c r="T601" s="67"/>
      <c r="U601" s="67"/>
      <c r="V601" s="72">
        <v>42916</v>
      </c>
      <c r="W601" s="69" t="s">
        <v>181</v>
      </c>
      <c r="X601" s="69" t="s">
        <v>182</v>
      </c>
      <c r="Y601" s="123"/>
      <c r="Z601" s="30">
        <f t="shared" si="18"/>
        <v>7301.7101235631453</v>
      </c>
      <c r="AA601" s="30">
        <f t="shared" si="19"/>
        <v>2281.7844136134831</v>
      </c>
      <c r="AB601" t="s">
        <v>456</v>
      </c>
    </row>
    <row r="602" spans="1:28">
      <c r="A602" s="67" t="s">
        <v>113</v>
      </c>
      <c r="B602" s="68">
        <v>1250780</v>
      </c>
      <c r="C602" s="69">
        <v>4615406599</v>
      </c>
      <c r="D602" s="70">
        <v>19200</v>
      </c>
      <c r="E602" s="79"/>
      <c r="F602" s="73">
        <v>16</v>
      </c>
      <c r="G602" s="73" t="s">
        <v>114</v>
      </c>
      <c r="H602" s="73">
        <v>0</v>
      </c>
      <c r="I602" s="68">
        <v>0</v>
      </c>
      <c r="J602" s="71"/>
      <c r="K602" s="71">
        <v>42820</v>
      </c>
      <c r="L602" s="69" t="s">
        <v>80</v>
      </c>
      <c r="M602" s="69" t="s">
        <v>109</v>
      </c>
      <c r="N602" s="72">
        <v>42956</v>
      </c>
      <c r="O602" s="67"/>
      <c r="P602" s="67" t="s">
        <v>95</v>
      </c>
      <c r="Q602" s="67" t="s">
        <v>110</v>
      </c>
      <c r="R602" s="69" t="s">
        <v>69</v>
      </c>
      <c r="S602" s="69" t="s">
        <v>115</v>
      </c>
      <c r="T602" s="67"/>
      <c r="U602" s="67"/>
      <c r="V602" s="72">
        <v>42916</v>
      </c>
      <c r="W602" s="69" t="s">
        <v>188</v>
      </c>
      <c r="X602" s="69" t="s">
        <v>117</v>
      </c>
      <c r="Y602" s="123"/>
      <c r="Z602" s="30">
        <f t="shared" si="18"/>
        <v>6772.6006943194379</v>
      </c>
      <c r="AA602" s="30">
        <f t="shared" si="19"/>
        <v>0</v>
      </c>
      <c r="AB602" t="s">
        <v>456</v>
      </c>
    </row>
    <row r="603" spans="1:28">
      <c r="A603" s="67" t="s">
        <v>131</v>
      </c>
      <c r="B603" s="68">
        <v>1245053</v>
      </c>
      <c r="C603" s="69">
        <v>4615426793</v>
      </c>
      <c r="D603" s="70">
        <v>19200</v>
      </c>
      <c r="E603" s="79"/>
      <c r="F603" s="81">
        <v>154.32</v>
      </c>
      <c r="G603" s="68" t="s">
        <v>114</v>
      </c>
      <c r="H603" s="68">
        <v>0</v>
      </c>
      <c r="I603" s="68">
        <v>0</v>
      </c>
      <c r="J603" s="71"/>
      <c r="K603" s="71">
        <v>42780</v>
      </c>
      <c r="L603" s="69" t="s">
        <v>80</v>
      </c>
      <c r="M603" s="69" t="s">
        <v>109</v>
      </c>
      <c r="N603" s="72">
        <v>42955</v>
      </c>
      <c r="O603" s="67"/>
      <c r="P603" s="67" t="s">
        <v>95</v>
      </c>
      <c r="Q603" s="67" t="s">
        <v>125</v>
      </c>
      <c r="R603" s="69" t="s">
        <v>69</v>
      </c>
      <c r="S603" s="69" t="s">
        <v>134</v>
      </c>
      <c r="T603" s="67"/>
      <c r="U603" s="67"/>
      <c r="V603" s="72">
        <v>42916</v>
      </c>
      <c r="W603" s="69" t="s">
        <v>195</v>
      </c>
      <c r="X603" s="69"/>
      <c r="Y603" s="123"/>
      <c r="Z603" s="30">
        <f t="shared" si="18"/>
        <v>65321.73369671098</v>
      </c>
      <c r="AA603" s="30">
        <f t="shared" si="19"/>
        <v>0</v>
      </c>
      <c r="AB603" t="s">
        <v>456</v>
      </c>
    </row>
    <row r="604" spans="1:28">
      <c r="A604" s="67" t="s">
        <v>113</v>
      </c>
      <c r="B604" s="68">
        <v>1255874</v>
      </c>
      <c r="C604" s="69">
        <v>4615406661</v>
      </c>
      <c r="D604" s="70">
        <v>19200</v>
      </c>
      <c r="E604" s="79"/>
      <c r="F604" s="73">
        <v>16</v>
      </c>
      <c r="G604" s="73" t="s">
        <v>114</v>
      </c>
      <c r="H604" s="75">
        <v>0</v>
      </c>
      <c r="I604" s="68">
        <v>0</v>
      </c>
      <c r="J604" s="71"/>
      <c r="K604" s="71">
        <v>42780</v>
      </c>
      <c r="L604" s="69" t="s">
        <v>80</v>
      </c>
      <c r="M604" s="69" t="s">
        <v>109</v>
      </c>
      <c r="N604" s="72">
        <v>42955</v>
      </c>
      <c r="O604" s="67"/>
      <c r="P604" s="67" t="s">
        <v>95</v>
      </c>
      <c r="Q604" s="67" t="s">
        <v>110</v>
      </c>
      <c r="R604" s="69" t="s">
        <v>69</v>
      </c>
      <c r="S604" s="69" t="s">
        <v>115</v>
      </c>
      <c r="T604" s="67"/>
      <c r="U604" s="67"/>
      <c r="V604" s="72">
        <v>42947</v>
      </c>
      <c r="W604" s="69" t="s">
        <v>185</v>
      </c>
      <c r="X604" s="69" t="s">
        <v>117</v>
      </c>
      <c r="Y604" s="123"/>
      <c r="Z604" s="30">
        <f t="shared" si="18"/>
        <v>6772.6006943194379</v>
      </c>
      <c r="AA604" s="30">
        <f t="shared" si="19"/>
        <v>0</v>
      </c>
      <c r="AB604" t="s">
        <v>456</v>
      </c>
    </row>
    <row r="605" spans="1:28">
      <c r="A605" s="67" t="s">
        <v>136</v>
      </c>
      <c r="B605" s="68">
        <v>1240416</v>
      </c>
      <c r="C605" s="69">
        <v>4615421055</v>
      </c>
      <c r="D605" s="70">
        <v>19175</v>
      </c>
      <c r="E605" s="79"/>
      <c r="F605" s="73">
        <v>10</v>
      </c>
      <c r="G605" s="73">
        <v>5</v>
      </c>
      <c r="H605" s="68">
        <v>0</v>
      </c>
      <c r="I605" s="68">
        <v>0</v>
      </c>
      <c r="J605" s="71"/>
      <c r="K605" s="71">
        <v>42765</v>
      </c>
      <c r="L605" s="69" t="s">
        <v>80</v>
      </c>
      <c r="M605" s="69" t="s">
        <v>109</v>
      </c>
      <c r="N605" s="72">
        <v>42955</v>
      </c>
      <c r="O605" s="67"/>
      <c r="P605" s="67" t="s">
        <v>95</v>
      </c>
      <c r="Q605" s="67" t="s">
        <v>129</v>
      </c>
      <c r="R605" s="69" t="s">
        <v>69</v>
      </c>
      <c r="S605" s="69" t="s">
        <v>138</v>
      </c>
      <c r="T605" s="67"/>
      <c r="U605" s="67"/>
      <c r="V605" s="72">
        <v>42916</v>
      </c>
      <c r="W605" s="69">
        <v>415570136</v>
      </c>
      <c r="X605" s="78" t="s">
        <v>148</v>
      </c>
      <c r="Y605" s="123"/>
      <c r="Z605" s="30">
        <f t="shared" si="18"/>
        <v>4227.3638773950279</v>
      </c>
      <c r="AA605" s="30">
        <f t="shared" si="19"/>
        <v>2113.6819386975139</v>
      </c>
      <c r="AB605" t="s">
        <v>456</v>
      </c>
    </row>
    <row r="606" spans="1:28">
      <c r="A606" s="67" t="s">
        <v>122</v>
      </c>
      <c r="B606" s="68">
        <v>1237195</v>
      </c>
      <c r="C606" s="69">
        <v>4615416293</v>
      </c>
      <c r="D606" s="70">
        <v>19200</v>
      </c>
      <c r="E606" s="79"/>
      <c r="F606" s="68">
        <v>16</v>
      </c>
      <c r="G606" s="68">
        <v>5</v>
      </c>
      <c r="H606" s="73">
        <v>0</v>
      </c>
      <c r="I606" s="68">
        <v>0</v>
      </c>
      <c r="J606" s="71">
        <v>42833</v>
      </c>
      <c r="K606" s="71">
        <v>42765</v>
      </c>
      <c r="L606" s="69" t="s">
        <v>119</v>
      </c>
      <c r="M606" s="69" t="s">
        <v>109</v>
      </c>
      <c r="N606" s="72">
        <v>42955</v>
      </c>
      <c r="O606" s="67"/>
      <c r="P606" s="67" t="s">
        <v>95</v>
      </c>
      <c r="Q606" s="67" t="s">
        <v>120</v>
      </c>
      <c r="R606" s="69" t="s">
        <v>69</v>
      </c>
      <c r="S606" s="69" t="s">
        <v>123</v>
      </c>
      <c r="T606" s="67"/>
      <c r="U606" s="67"/>
      <c r="V606" s="72">
        <v>42886</v>
      </c>
      <c r="W606" s="69">
        <v>2025664</v>
      </c>
      <c r="X606" s="69"/>
      <c r="Y606" s="123"/>
      <c r="Z606" s="30">
        <f t="shared" si="18"/>
        <v>6772.6006943194379</v>
      </c>
      <c r="AA606" s="30">
        <f t="shared" si="19"/>
        <v>2116.4377169748245</v>
      </c>
      <c r="AB606" t="s">
        <v>456</v>
      </c>
    </row>
    <row r="607" spans="1:28">
      <c r="A607" s="67" t="s">
        <v>113</v>
      </c>
      <c r="B607" s="68">
        <v>1251862</v>
      </c>
      <c r="C607" s="69">
        <v>4615404823</v>
      </c>
      <c r="D607" s="70">
        <v>19200</v>
      </c>
      <c r="E607" s="79"/>
      <c r="F607" s="68">
        <v>16</v>
      </c>
      <c r="G607" s="68" t="s">
        <v>114</v>
      </c>
      <c r="H607" s="73">
        <v>0</v>
      </c>
      <c r="I607" s="68">
        <v>0</v>
      </c>
      <c r="J607" s="71"/>
      <c r="K607" s="71">
        <v>42794</v>
      </c>
      <c r="L607" s="69" t="s">
        <v>80</v>
      </c>
      <c r="M607" s="69" t="s">
        <v>109</v>
      </c>
      <c r="N607" s="72">
        <v>42954</v>
      </c>
      <c r="O607" s="67"/>
      <c r="P607" s="67" t="s">
        <v>95</v>
      </c>
      <c r="Q607" s="67" t="s">
        <v>110</v>
      </c>
      <c r="R607" s="69" t="s">
        <v>69</v>
      </c>
      <c r="S607" s="69" t="s">
        <v>115</v>
      </c>
      <c r="T607" s="67"/>
      <c r="U607" s="67"/>
      <c r="V607" s="72">
        <v>42916</v>
      </c>
      <c r="W607" s="69" t="s">
        <v>186</v>
      </c>
      <c r="X607" s="69" t="s">
        <v>117</v>
      </c>
      <c r="Y607" s="123"/>
      <c r="Z607" s="30">
        <f t="shared" si="18"/>
        <v>6772.6006943194379</v>
      </c>
      <c r="AA607" s="30">
        <f t="shared" si="19"/>
        <v>0</v>
      </c>
      <c r="AB607" t="s">
        <v>456</v>
      </c>
    </row>
    <row r="608" spans="1:28">
      <c r="A608" s="67" t="s">
        <v>122</v>
      </c>
      <c r="B608" s="68">
        <v>1250467</v>
      </c>
      <c r="C608" s="69">
        <v>4615416264</v>
      </c>
      <c r="D608" s="70">
        <v>19200</v>
      </c>
      <c r="E608" s="79"/>
      <c r="F608" s="68">
        <v>16</v>
      </c>
      <c r="G608" s="68">
        <v>5</v>
      </c>
      <c r="H608" s="73">
        <v>0</v>
      </c>
      <c r="I608" s="68">
        <v>0</v>
      </c>
      <c r="J608" s="71"/>
      <c r="K608" s="71">
        <v>42801</v>
      </c>
      <c r="L608" s="69" t="s">
        <v>80</v>
      </c>
      <c r="M608" s="69" t="s">
        <v>109</v>
      </c>
      <c r="N608" s="72">
        <v>42954</v>
      </c>
      <c r="O608" s="67"/>
      <c r="P608" s="67" t="s">
        <v>95</v>
      </c>
      <c r="Q608" s="67" t="s">
        <v>120</v>
      </c>
      <c r="R608" s="69" t="s">
        <v>69</v>
      </c>
      <c r="S608" s="69" t="s">
        <v>123</v>
      </c>
      <c r="T608" s="67"/>
      <c r="U608" s="67"/>
      <c r="V608" s="72">
        <v>42886</v>
      </c>
      <c r="W608" s="69">
        <v>20225765</v>
      </c>
      <c r="X608" s="69" t="s">
        <v>196</v>
      </c>
      <c r="Y608" s="123"/>
      <c r="Z608" s="30">
        <f t="shared" si="18"/>
        <v>6772.6006943194379</v>
      </c>
      <c r="AA608" s="30">
        <f t="shared" si="19"/>
        <v>2116.4377169748245</v>
      </c>
      <c r="AB608" t="s">
        <v>456</v>
      </c>
    </row>
    <row r="609" spans="1:28">
      <c r="A609" s="67" t="s">
        <v>122</v>
      </c>
      <c r="B609" s="68">
        <v>1237196</v>
      </c>
      <c r="C609" s="69">
        <v>4615416293</v>
      </c>
      <c r="D609" s="70">
        <v>19200</v>
      </c>
      <c r="E609" s="79"/>
      <c r="F609" s="68">
        <v>16</v>
      </c>
      <c r="G609" s="68">
        <v>5</v>
      </c>
      <c r="H609" s="68">
        <v>0</v>
      </c>
      <c r="I609" s="68">
        <v>0</v>
      </c>
      <c r="J609" s="71">
        <v>42833</v>
      </c>
      <c r="K609" s="71">
        <v>42785</v>
      </c>
      <c r="L609" s="69" t="s">
        <v>119</v>
      </c>
      <c r="M609" s="69" t="s">
        <v>109</v>
      </c>
      <c r="N609" s="72">
        <v>42954</v>
      </c>
      <c r="O609" s="67"/>
      <c r="P609" s="67" t="s">
        <v>95</v>
      </c>
      <c r="Q609" s="67" t="s">
        <v>120</v>
      </c>
      <c r="R609" s="69" t="s">
        <v>69</v>
      </c>
      <c r="S609" s="69" t="s">
        <v>123</v>
      </c>
      <c r="T609" s="67"/>
      <c r="U609" s="67"/>
      <c r="V609" s="72">
        <v>42886</v>
      </c>
      <c r="W609" s="69">
        <v>2025664</v>
      </c>
      <c r="X609" s="69"/>
      <c r="Y609" s="123"/>
      <c r="Z609" s="30">
        <f t="shared" si="18"/>
        <v>6772.6006943194379</v>
      </c>
      <c r="AA609" s="30">
        <f t="shared" si="19"/>
        <v>2116.4377169748245</v>
      </c>
      <c r="AB609" t="s">
        <v>456</v>
      </c>
    </row>
    <row r="610" spans="1:28">
      <c r="A610" s="67" t="s">
        <v>128</v>
      </c>
      <c r="B610" s="68">
        <v>1242698</v>
      </c>
      <c r="C610" s="69">
        <v>4615420218</v>
      </c>
      <c r="D610" s="70">
        <v>19175</v>
      </c>
      <c r="E610" s="79"/>
      <c r="F610" s="81">
        <v>154.32</v>
      </c>
      <c r="G610" s="68" t="s">
        <v>114</v>
      </c>
      <c r="H610" s="68">
        <v>0</v>
      </c>
      <c r="I610" s="68">
        <v>0</v>
      </c>
      <c r="J610" s="71"/>
      <c r="K610" s="71">
        <v>42791</v>
      </c>
      <c r="L610" s="69" t="s">
        <v>80</v>
      </c>
      <c r="M610" s="69" t="s">
        <v>109</v>
      </c>
      <c r="N610" s="72">
        <v>42953</v>
      </c>
      <c r="O610" s="67"/>
      <c r="P610" s="67" t="s">
        <v>95</v>
      </c>
      <c r="Q610" s="67" t="s">
        <v>129</v>
      </c>
      <c r="R610" s="69" t="s">
        <v>69</v>
      </c>
      <c r="S610" s="69" t="s">
        <v>130</v>
      </c>
      <c r="T610" s="67"/>
      <c r="U610" s="67"/>
      <c r="V610" s="72">
        <v>42916</v>
      </c>
      <c r="W610" s="69">
        <v>425570005</v>
      </c>
      <c r="X610" s="69"/>
      <c r="Y610" s="123"/>
      <c r="Z610" s="30">
        <f t="shared" si="18"/>
        <v>65236.679355960063</v>
      </c>
      <c r="AA610" s="30">
        <f t="shared" si="19"/>
        <v>0</v>
      </c>
      <c r="AB610" t="s">
        <v>456</v>
      </c>
    </row>
    <row r="611" spans="1:28">
      <c r="A611" s="67" t="s">
        <v>113</v>
      </c>
      <c r="B611" s="68">
        <v>1251865</v>
      </c>
      <c r="C611" s="69">
        <v>4615414482</v>
      </c>
      <c r="D611" s="70">
        <v>20700</v>
      </c>
      <c r="E611" s="79"/>
      <c r="F611" s="73">
        <v>16</v>
      </c>
      <c r="G611" s="73">
        <v>5</v>
      </c>
      <c r="H611" s="73">
        <v>0</v>
      </c>
      <c r="I611" s="68">
        <v>0</v>
      </c>
      <c r="J611" s="71"/>
      <c r="K611" s="71">
        <v>42822</v>
      </c>
      <c r="L611" s="69" t="s">
        <v>80</v>
      </c>
      <c r="M611" s="69" t="s">
        <v>109</v>
      </c>
      <c r="N611" s="72">
        <v>42953</v>
      </c>
      <c r="O611" s="67"/>
      <c r="P611" s="67" t="s">
        <v>95</v>
      </c>
      <c r="Q611" s="67" t="s">
        <v>110</v>
      </c>
      <c r="R611" s="69" t="s">
        <v>69</v>
      </c>
      <c r="S611" s="69" t="s">
        <v>115</v>
      </c>
      <c r="T611" s="67"/>
      <c r="U611" s="67"/>
      <c r="V611" s="72">
        <v>42916</v>
      </c>
      <c r="W611" s="69" t="s">
        <v>181</v>
      </c>
      <c r="X611" s="69" t="s">
        <v>182</v>
      </c>
      <c r="Y611" s="123"/>
      <c r="Z611" s="30">
        <f t="shared" si="18"/>
        <v>7301.7101235631453</v>
      </c>
      <c r="AA611" s="30">
        <f t="shared" si="19"/>
        <v>2281.7844136134831</v>
      </c>
      <c r="AB611" t="s">
        <v>456</v>
      </c>
    </row>
    <row r="612" spans="1:28">
      <c r="A612" s="67" t="s">
        <v>113</v>
      </c>
      <c r="B612" s="68">
        <v>1251868</v>
      </c>
      <c r="C612" s="69">
        <v>4615414482</v>
      </c>
      <c r="D612" s="70">
        <v>20700</v>
      </c>
      <c r="E612" s="79"/>
      <c r="F612" s="73">
        <v>16</v>
      </c>
      <c r="G612" s="73">
        <v>5</v>
      </c>
      <c r="H612" s="73">
        <v>0</v>
      </c>
      <c r="I612" s="68">
        <v>0</v>
      </c>
      <c r="J612" s="71"/>
      <c r="K612" s="71">
        <v>42822</v>
      </c>
      <c r="L612" s="69" t="s">
        <v>80</v>
      </c>
      <c r="M612" s="69" t="s">
        <v>109</v>
      </c>
      <c r="N612" s="72">
        <v>42953</v>
      </c>
      <c r="O612" s="67"/>
      <c r="P612" s="67" t="s">
        <v>95</v>
      </c>
      <c r="Q612" s="67" t="s">
        <v>110</v>
      </c>
      <c r="R612" s="69" t="s">
        <v>69</v>
      </c>
      <c r="S612" s="69" t="s">
        <v>115</v>
      </c>
      <c r="T612" s="67"/>
      <c r="U612" s="67"/>
      <c r="V612" s="72">
        <v>42916</v>
      </c>
      <c r="W612" s="69" t="s">
        <v>181</v>
      </c>
      <c r="X612" s="69" t="s">
        <v>182</v>
      </c>
      <c r="Y612" s="123"/>
      <c r="Z612" s="30">
        <f t="shared" si="18"/>
        <v>7301.7101235631453</v>
      </c>
      <c r="AA612" s="30">
        <f t="shared" si="19"/>
        <v>2281.7844136134831</v>
      </c>
      <c r="AB612" t="s">
        <v>456</v>
      </c>
    </row>
    <row r="613" spans="1:28">
      <c r="A613" s="67" t="s">
        <v>113</v>
      </c>
      <c r="B613" s="68">
        <v>1251870</v>
      </c>
      <c r="C613" s="69">
        <v>4615414482</v>
      </c>
      <c r="D613" s="70">
        <v>20700</v>
      </c>
      <c r="E613" s="79"/>
      <c r="F613" s="73">
        <v>16</v>
      </c>
      <c r="G613" s="73">
        <v>5</v>
      </c>
      <c r="H613" s="73">
        <v>0</v>
      </c>
      <c r="I613" s="68">
        <v>0</v>
      </c>
      <c r="J613" s="71"/>
      <c r="K613" s="71">
        <v>42822</v>
      </c>
      <c r="L613" s="69" t="s">
        <v>80</v>
      </c>
      <c r="M613" s="69" t="s">
        <v>109</v>
      </c>
      <c r="N613" s="72">
        <v>42953</v>
      </c>
      <c r="O613" s="67"/>
      <c r="P613" s="67" t="s">
        <v>95</v>
      </c>
      <c r="Q613" s="67" t="s">
        <v>110</v>
      </c>
      <c r="R613" s="69" t="s">
        <v>69</v>
      </c>
      <c r="S613" s="69" t="s">
        <v>115</v>
      </c>
      <c r="T613" s="67"/>
      <c r="U613" s="67"/>
      <c r="V613" s="72">
        <v>42916</v>
      </c>
      <c r="W613" s="69" t="s">
        <v>181</v>
      </c>
      <c r="X613" s="69" t="s">
        <v>182</v>
      </c>
      <c r="Y613" s="123"/>
      <c r="Z613" s="30">
        <f t="shared" si="18"/>
        <v>7301.7101235631453</v>
      </c>
      <c r="AA613" s="30">
        <f t="shared" si="19"/>
        <v>2281.7844136134831</v>
      </c>
      <c r="AB613" t="s">
        <v>456</v>
      </c>
    </row>
    <row r="614" spans="1:28">
      <c r="A614" s="67" t="s">
        <v>113</v>
      </c>
      <c r="B614" s="68">
        <v>1250779</v>
      </c>
      <c r="C614" s="69">
        <v>4615406599</v>
      </c>
      <c r="D614" s="70">
        <v>19200</v>
      </c>
      <c r="E614" s="79"/>
      <c r="F614" s="73">
        <v>16</v>
      </c>
      <c r="G614" s="73" t="s">
        <v>114</v>
      </c>
      <c r="H614" s="73">
        <v>0</v>
      </c>
      <c r="I614" s="68">
        <v>0</v>
      </c>
      <c r="J614" s="71"/>
      <c r="K614" s="71">
        <v>42822</v>
      </c>
      <c r="L614" s="69" t="s">
        <v>80</v>
      </c>
      <c r="M614" s="69" t="s">
        <v>109</v>
      </c>
      <c r="N614" s="72">
        <v>42953</v>
      </c>
      <c r="O614" s="67"/>
      <c r="P614" s="67" t="s">
        <v>95</v>
      </c>
      <c r="Q614" s="67" t="s">
        <v>110</v>
      </c>
      <c r="R614" s="69" t="s">
        <v>69</v>
      </c>
      <c r="S614" s="69" t="s">
        <v>115</v>
      </c>
      <c r="T614" s="67"/>
      <c r="U614" s="67"/>
      <c r="V614" s="72">
        <v>42916</v>
      </c>
      <c r="W614" s="69" t="s">
        <v>188</v>
      </c>
      <c r="X614" s="69" t="s">
        <v>117</v>
      </c>
      <c r="Y614" s="123"/>
      <c r="Z614" s="30">
        <f t="shared" si="18"/>
        <v>6772.6006943194379</v>
      </c>
      <c r="AA614" s="30">
        <f t="shared" si="19"/>
        <v>0</v>
      </c>
      <c r="AB614" t="s">
        <v>456</v>
      </c>
    </row>
    <row r="615" spans="1:28">
      <c r="A615" s="67" t="s">
        <v>122</v>
      </c>
      <c r="B615" s="68">
        <v>1250471</v>
      </c>
      <c r="C615" s="69">
        <v>4615416264</v>
      </c>
      <c r="D615" s="70">
        <v>19200</v>
      </c>
      <c r="E615" s="79"/>
      <c r="F615" s="68">
        <v>16</v>
      </c>
      <c r="G615" s="68">
        <v>5</v>
      </c>
      <c r="H615" s="73">
        <v>0</v>
      </c>
      <c r="I615" s="68">
        <v>0</v>
      </c>
      <c r="J615" s="71"/>
      <c r="K615" s="71">
        <v>42822</v>
      </c>
      <c r="L615" s="69" t="s">
        <v>80</v>
      </c>
      <c r="M615" s="69" t="s">
        <v>109</v>
      </c>
      <c r="N615" s="72">
        <v>42953</v>
      </c>
      <c r="O615" s="67"/>
      <c r="P615" s="67" t="s">
        <v>95</v>
      </c>
      <c r="Q615" s="67" t="s">
        <v>120</v>
      </c>
      <c r="R615" s="69" t="s">
        <v>69</v>
      </c>
      <c r="S615" s="69" t="s">
        <v>123</v>
      </c>
      <c r="T615" s="67"/>
      <c r="U615" s="67"/>
      <c r="V615" s="72">
        <v>42886</v>
      </c>
      <c r="W615" s="69">
        <v>20225765</v>
      </c>
      <c r="X615" s="69" t="s">
        <v>196</v>
      </c>
      <c r="Y615" s="123"/>
      <c r="Z615" s="30">
        <f t="shared" si="18"/>
        <v>6772.6006943194379</v>
      </c>
      <c r="AA615" s="30">
        <f t="shared" si="19"/>
        <v>2116.4377169748245</v>
      </c>
      <c r="AB615" t="s">
        <v>456</v>
      </c>
    </row>
    <row r="616" spans="1:28">
      <c r="A616" s="67" t="s">
        <v>113</v>
      </c>
      <c r="B616" s="68">
        <v>1245676</v>
      </c>
      <c r="C616" s="69">
        <v>4615404823</v>
      </c>
      <c r="D616" s="70">
        <v>19200</v>
      </c>
      <c r="E616" s="79"/>
      <c r="F616" s="68">
        <v>16</v>
      </c>
      <c r="G616" s="68" t="s">
        <v>114</v>
      </c>
      <c r="H616" s="73">
        <v>0</v>
      </c>
      <c r="I616" s="68">
        <v>0</v>
      </c>
      <c r="J616" s="71"/>
      <c r="K616" s="71">
        <v>42799</v>
      </c>
      <c r="L616" s="69" t="s">
        <v>80</v>
      </c>
      <c r="M616" s="69" t="s">
        <v>109</v>
      </c>
      <c r="N616" s="72">
        <v>42953</v>
      </c>
      <c r="O616" s="67"/>
      <c r="P616" s="67" t="s">
        <v>95</v>
      </c>
      <c r="Q616" s="67" t="s">
        <v>110</v>
      </c>
      <c r="R616" s="69" t="s">
        <v>69</v>
      </c>
      <c r="S616" s="69" t="s">
        <v>115</v>
      </c>
      <c r="T616" s="67"/>
      <c r="U616" s="67"/>
      <c r="V616" s="72">
        <v>42916</v>
      </c>
      <c r="W616" s="69" t="s">
        <v>186</v>
      </c>
      <c r="X616" s="69" t="s">
        <v>117</v>
      </c>
      <c r="Y616" s="123"/>
      <c r="Z616" s="30">
        <f t="shared" si="18"/>
        <v>6772.6006943194379</v>
      </c>
      <c r="AA616" s="30">
        <f t="shared" si="19"/>
        <v>0</v>
      </c>
      <c r="AB616" t="s">
        <v>456</v>
      </c>
    </row>
    <row r="617" spans="1:28">
      <c r="A617" s="67" t="s">
        <v>122</v>
      </c>
      <c r="B617" s="68">
        <v>1235802</v>
      </c>
      <c r="C617" s="69">
        <v>4615413854</v>
      </c>
      <c r="D617" s="70">
        <v>19200</v>
      </c>
      <c r="E617" s="79"/>
      <c r="F617" s="73">
        <v>16</v>
      </c>
      <c r="G617" s="73">
        <v>5</v>
      </c>
      <c r="H617" s="73">
        <v>0</v>
      </c>
      <c r="I617" s="68">
        <v>0</v>
      </c>
      <c r="J617" s="71">
        <v>42818</v>
      </c>
      <c r="K617" s="71">
        <v>42779</v>
      </c>
      <c r="L617" s="69" t="s">
        <v>119</v>
      </c>
      <c r="M617" s="69" t="s">
        <v>109</v>
      </c>
      <c r="N617" s="72">
        <v>42953</v>
      </c>
      <c r="O617" s="67"/>
      <c r="P617" s="67" t="s">
        <v>95</v>
      </c>
      <c r="Q617" s="67" t="s">
        <v>120</v>
      </c>
      <c r="R617" s="69" t="s">
        <v>69</v>
      </c>
      <c r="S617" s="69" t="s">
        <v>123</v>
      </c>
      <c r="T617" s="67"/>
      <c r="U617" s="67"/>
      <c r="V617" s="72">
        <v>42855</v>
      </c>
      <c r="W617" s="69">
        <v>2025764</v>
      </c>
      <c r="X617" s="69"/>
      <c r="Y617" s="123"/>
      <c r="Z617" s="30">
        <f t="shared" si="18"/>
        <v>6772.6006943194379</v>
      </c>
      <c r="AA617" s="30">
        <f t="shared" si="19"/>
        <v>2116.4377169748245</v>
      </c>
      <c r="AB617" t="s">
        <v>456</v>
      </c>
    </row>
    <row r="618" spans="1:28">
      <c r="A618" s="67" t="s">
        <v>122</v>
      </c>
      <c r="B618" s="68">
        <v>1235800</v>
      </c>
      <c r="C618" s="69">
        <v>4615413854</v>
      </c>
      <c r="D618" s="70">
        <v>19200</v>
      </c>
      <c r="E618" s="79"/>
      <c r="F618" s="73">
        <v>16</v>
      </c>
      <c r="G618" s="73">
        <v>5</v>
      </c>
      <c r="H618" s="73">
        <v>0</v>
      </c>
      <c r="I618" s="68">
        <v>0</v>
      </c>
      <c r="J618" s="71">
        <v>42818</v>
      </c>
      <c r="K618" s="71">
        <v>42809</v>
      </c>
      <c r="L618" s="69" t="s">
        <v>119</v>
      </c>
      <c r="M618" s="69" t="s">
        <v>109</v>
      </c>
      <c r="N618" s="72">
        <v>42953</v>
      </c>
      <c r="O618" s="67"/>
      <c r="P618" s="67" t="s">
        <v>95</v>
      </c>
      <c r="Q618" s="67" t="s">
        <v>120</v>
      </c>
      <c r="R618" s="69" t="s">
        <v>69</v>
      </c>
      <c r="S618" s="69" t="s">
        <v>123</v>
      </c>
      <c r="T618" s="67"/>
      <c r="U618" s="67"/>
      <c r="V618" s="72">
        <v>42855</v>
      </c>
      <c r="W618" s="69">
        <v>2025764</v>
      </c>
      <c r="X618" s="69"/>
      <c r="Y618" s="123"/>
      <c r="Z618" s="30">
        <f t="shared" si="18"/>
        <v>6772.6006943194379</v>
      </c>
      <c r="AA618" s="30">
        <f t="shared" si="19"/>
        <v>2116.4377169748245</v>
      </c>
      <c r="AB618" t="s">
        <v>456</v>
      </c>
    </row>
    <row r="619" spans="1:28">
      <c r="A619" s="67" t="s">
        <v>131</v>
      </c>
      <c r="B619" s="68">
        <v>1245051</v>
      </c>
      <c r="C619" s="69">
        <v>4615426793</v>
      </c>
      <c r="D619" s="70">
        <v>19200</v>
      </c>
      <c r="E619" s="79"/>
      <c r="F619" s="81">
        <v>154.32</v>
      </c>
      <c r="G619" s="75" t="s">
        <v>114</v>
      </c>
      <c r="H619" s="68">
        <v>0</v>
      </c>
      <c r="I619" s="68">
        <v>0</v>
      </c>
      <c r="J619" s="71"/>
      <c r="K619" s="71">
        <v>42805</v>
      </c>
      <c r="L619" s="69" t="s">
        <v>80</v>
      </c>
      <c r="M619" s="69" t="s">
        <v>109</v>
      </c>
      <c r="N619" s="72">
        <v>42950</v>
      </c>
      <c r="O619" s="67"/>
      <c r="P619" s="67" t="s">
        <v>95</v>
      </c>
      <c r="Q619" s="67" t="s">
        <v>125</v>
      </c>
      <c r="R619" s="69" t="s">
        <v>69</v>
      </c>
      <c r="S619" s="69" t="s">
        <v>134</v>
      </c>
      <c r="T619" s="67"/>
      <c r="U619" s="67"/>
      <c r="V619" s="72">
        <v>42916</v>
      </c>
      <c r="W619" s="69" t="s">
        <v>195</v>
      </c>
      <c r="X619" s="69"/>
      <c r="Y619" s="123"/>
      <c r="Z619" s="30">
        <f t="shared" si="18"/>
        <v>65321.73369671098</v>
      </c>
      <c r="AA619" s="30">
        <f t="shared" si="19"/>
        <v>0</v>
      </c>
      <c r="AB619" t="s">
        <v>456</v>
      </c>
    </row>
    <row r="620" spans="1:28">
      <c r="A620" s="67" t="s">
        <v>68</v>
      </c>
      <c r="B620" s="68">
        <v>1233258</v>
      </c>
      <c r="C620" s="69">
        <v>4615417014</v>
      </c>
      <c r="D620" s="70">
        <v>19175</v>
      </c>
      <c r="E620" s="79"/>
      <c r="F620" s="73">
        <v>16</v>
      </c>
      <c r="G620" s="73">
        <v>5</v>
      </c>
      <c r="H620" s="68">
        <v>0</v>
      </c>
      <c r="I620" s="68">
        <v>0</v>
      </c>
      <c r="J620" s="71">
        <v>42812</v>
      </c>
      <c r="K620" s="71">
        <v>42778</v>
      </c>
      <c r="L620" s="69" t="s">
        <v>119</v>
      </c>
      <c r="M620" s="69" t="s">
        <v>109</v>
      </c>
      <c r="N620" s="72">
        <v>42950</v>
      </c>
      <c r="O620" s="67"/>
      <c r="P620" s="67" t="s">
        <v>95</v>
      </c>
      <c r="Q620" s="67" t="s">
        <v>125</v>
      </c>
      <c r="R620" s="69" t="s">
        <v>69</v>
      </c>
      <c r="S620" s="69" t="s">
        <v>68</v>
      </c>
      <c r="T620" s="67"/>
      <c r="U620" s="67"/>
      <c r="V620" s="72">
        <v>42825</v>
      </c>
      <c r="W620" s="69">
        <v>5114732</v>
      </c>
      <c r="X620" s="69"/>
      <c r="Y620" s="123"/>
      <c r="Z620" s="30">
        <f t="shared" si="18"/>
        <v>6763.7822038320437</v>
      </c>
      <c r="AA620" s="30">
        <f t="shared" si="19"/>
        <v>2113.6819386975139</v>
      </c>
      <c r="AB620" t="s">
        <v>456</v>
      </c>
    </row>
    <row r="621" spans="1:28">
      <c r="A621" s="67" t="s">
        <v>122</v>
      </c>
      <c r="B621" s="68">
        <v>1250473</v>
      </c>
      <c r="C621" s="69">
        <v>4615416264</v>
      </c>
      <c r="D621" s="70">
        <v>19200</v>
      </c>
      <c r="E621" s="79"/>
      <c r="F621" s="68">
        <v>16</v>
      </c>
      <c r="G621" s="68">
        <v>5</v>
      </c>
      <c r="H621" s="73">
        <v>0</v>
      </c>
      <c r="I621" s="68">
        <v>0</v>
      </c>
      <c r="J621" s="71"/>
      <c r="K621" s="71">
        <v>42794</v>
      </c>
      <c r="L621" s="69" t="s">
        <v>80</v>
      </c>
      <c r="M621" s="69" t="s">
        <v>109</v>
      </c>
      <c r="N621" s="72">
        <v>42950</v>
      </c>
      <c r="O621" s="67"/>
      <c r="P621" s="67" t="s">
        <v>95</v>
      </c>
      <c r="Q621" s="67" t="s">
        <v>120</v>
      </c>
      <c r="R621" s="69" t="s">
        <v>69</v>
      </c>
      <c r="S621" s="69" t="s">
        <v>123</v>
      </c>
      <c r="T621" s="67"/>
      <c r="U621" s="67"/>
      <c r="V621" s="72">
        <v>42886</v>
      </c>
      <c r="W621" s="69">
        <v>20225765</v>
      </c>
      <c r="X621" s="69" t="s">
        <v>196</v>
      </c>
      <c r="Y621" s="123"/>
      <c r="Z621" s="30">
        <f t="shared" si="18"/>
        <v>6772.6006943194379</v>
      </c>
      <c r="AA621" s="30">
        <f t="shared" si="19"/>
        <v>2116.4377169748245</v>
      </c>
      <c r="AB621" t="s">
        <v>456</v>
      </c>
    </row>
    <row r="622" spans="1:28">
      <c r="A622" s="67" t="s">
        <v>113</v>
      </c>
      <c r="B622" s="68">
        <v>1245682</v>
      </c>
      <c r="C622" s="69">
        <v>4615404823</v>
      </c>
      <c r="D622" s="70">
        <v>19200</v>
      </c>
      <c r="E622" s="79"/>
      <c r="F622" s="68">
        <v>16</v>
      </c>
      <c r="G622" s="68" t="s">
        <v>114</v>
      </c>
      <c r="H622" s="73">
        <v>0</v>
      </c>
      <c r="I622" s="68">
        <v>0</v>
      </c>
      <c r="J622" s="71"/>
      <c r="K622" s="71">
        <v>42794</v>
      </c>
      <c r="L622" s="69" t="s">
        <v>80</v>
      </c>
      <c r="M622" s="69" t="s">
        <v>109</v>
      </c>
      <c r="N622" s="72">
        <v>42950</v>
      </c>
      <c r="O622" s="67"/>
      <c r="P622" s="67" t="s">
        <v>95</v>
      </c>
      <c r="Q622" s="67" t="s">
        <v>110</v>
      </c>
      <c r="R622" s="69" t="s">
        <v>69</v>
      </c>
      <c r="S622" s="69" t="s">
        <v>115</v>
      </c>
      <c r="T622" s="67"/>
      <c r="U622" s="67"/>
      <c r="V622" s="72">
        <v>42916</v>
      </c>
      <c r="W622" s="69" t="s">
        <v>186</v>
      </c>
      <c r="X622" s="69" t="s">
        <v>117</v>
      </c>
      <c r="Y622" s="123"/>
      <c r="Z622" s="30">
        <f t="shared" si="18"/>
        <v>6772.6006943194379</v>
      </c>
      <c r="AA622" s="30">
        <f t="shared" si="19"/>
        <v>0</v>
      </c>
      <c r="AB622" t="s">
        <v>456</v>
      </c>
    </row>
    <row r="623" spans="1:28">
      <c r="A623" s="67" t="s">
        <v>113</v>
      </c>
      <c r="B623" s="68">
        <v>1245679</v>
      </c>
      <c r="C623" s="69">
        <v>4615404823</v>
      </c>
      <c r="D623" s="70">
        <v>19200</v>
      </c>
      <c r="E623" s="79"/>
      <c r="F623" s="68">
        <v>16</v>
      </c>
      <c r="G623" s="68" t="s">
        <v>114</v>
      </c>
      <c r="H623" s="73">
        <v>0</v>
      </c>
      <c r="I623" s="68">
        <v>0</v>
      </c>
      <c r="J623" s="71"/>
      <c r="K623" s="71">
        <v>42794</v>
      </c>
      <c r="L623" s="69" t="s">
        <v>80</v>
      </c>
      <c r="M623" s="69" t="s">
        <v>109</v>
      </c>
      <c r="N623" s="72">
        <v>42950</v>
      </c>
      <c r="O623" s="67"/>
      <c r="P623" s="67" t="s">
        <v>95</v>
      </c>
      <c r="Q623" s="67" t="s">
        <v>110</v>
      </c>
      <c r="R623" s="69" t="s">
        <v>69</v>
      </c>
      <c r="S623" s="69" t="s">
        <v>115</v>
      </c>
      <c r="T623" s="67"/>
      <c r="U623" s="67"/>
      <c r="V623" s="72">
        <v>42916</v>
      </c>
      <c r="W623" s="69" t="s">
        <v>186</v>
      </c>
      <c r="X623" s="69" t="s">
        <v>117</v>
      </c>
      <c r="Y623" s="123"/>
      <c r="Z623" s="30">
        <f t="shared" si="18"/>
        <v>6772.6006943194379</v>
      </c>
      <c r="AA623" s="30">
        <f t="shared" si="19"/>
        <v>0</v>
      </c>
      <c r="AB623" t="s">
        <v>456</v>
      </c>
    </row>
    <row r="624" spans="1:28">
      <c r="A624" s="67" t="s">
        <v>113</v>
      </c>
      <c r="B624" s="68">
        <v>1245684</v>
      </c>
      <c r="C624" s="69">
        <v>4615404823</v>
      </c>
      <c r="D624" s="70">
        <v>19200</v>
      </c>
      <c r="E624" s="79"/>
      <c r="F624" s="68">
        <v>16</v>
      </c>
      <c r="G624" s="68" t="s">
        <v>114</v>
      </c>
      <c r="H624" s="73">
        <v>0</v>
      </c>
      <c r="I624" s="68">
        <v>0</v>
      </c>
      <c r="J624" s="71"/>
      <c r="K624" s="71">
        <v>42752</v>
      </c>
      <c r="L624" s="69" t="s">
        <v>80</v>
      </c>
      <c r="M624" s="69" t="s">
        <v>109</v>
      </c>
      <c r="N624" s="72">
        <v>42949</v>
      </c>
      <c r="O624" s="67"/>
      <c r="P624" s="67" t="s">
        <v>95</v>
      </c>
      <c r="Q624" s="67" t="s">
        <v>110</v>
      </c>
      <c r="R624" s="69" t="s">
        <v>69</v>
      </c>
      <c r="S624" s="69" t="s">
        <v>115</v>
      </c>
      <c r="T624" s="67"/>
      <c r="U624" s="67"/>
      <c r="V624" s="72">
        <v>42916</v>
      </c>
      <c r="W624" s="69" t="s">
        <v>186</v>
      </c>
      <c r="X624" s="69" t="s">
        <v>117</v>
      </c>
      <c r="Y624" s="123"/>
      <c r="Z624" s="30">
        <f t="shared" si="18"/>
        <v>6772.6006943194379</v>
      </c>
      <c r="AA624" s="30">
        <f t="shared" si="19"/>
        <v>0</v>
      </c>
      <c r="AB624" t="s">
        <v>456</v>
      </c>
    </row>
    <row r="625" spans="1:28">
      <c r="A625" s="67" t="s">
        <v>136</v>
      </c>
      <c r="B625" s="68">
        <v>1240410</v>
      </c>
      <c r="C625" s="69">
        <v>4615385954</v>
      </c>
      <c r="D625" s="70">
        <v>19200</v>
      </c>
      <c r="E625" s="79"/>
      <c r="F625" s="73">
        <v>10</v>
      </c>
      <c r="G625" s="73" t="s">
        <v>114</v>
      </c>
      <c r="H625" s="68">
        <v>0</v>
      </c>
      <c r="I625" s="68">
        <v>0</v>
      </c>
      <c r="J625" s="71"/>
      <c r="K625" s="71">
        <v>42765</v>
      </c>
      <c r="L625" s="69" t="s">
        <v>80</v>
      </c>
      <c r="M625" s="69" t="s">
        <v>109</v>
      </c>
      <c r="N625" s="72">
        <v>42949</v>
      </c>
      <c r="O625" s="67"/>
      <c r="P625" s="67" t="s">
        <v>95</v>
      </c>
      <c r="Q625" s="67" t="s">
        <v>129</v>
      </c>
      <c r="R625" s="69" t="s">
        <v>69</v>
      </c>
      <c r="S625" s="69" t="s">
        <v>138</v>
      </c>
      <c r="T625" s="67"/>
      <c r="U625" s="67"/>
      <c r="V625" s="72">
        <v>42916</v>
      </c>
      <c r="W625" s="69">
        <v>415570031</v>
      </c>
      <c r="X625" s="69"/>
      <c r="Y625" s="123"/>
      <c r="Z625" s="30">
        <f t="shared" si="18"/>
        <v>4232.8754339496491</v>
      </c>
      <c r="AA625" s="30">
        <f t="shared" si="19"/>
        <v>0</v>
      </c>
      <c r="AB625" t="s">
        <v>456</v>
      </c>
    </row>
    <row r="626" spans="1:28">
      <c r="A626" s="67" t="s">
        <v>107</v>
      </c>
      <c r="B626" s="68">
        <v>1238338</v>
      </c>
      <c r="C626" s="69">
        <v>4615461056</v>
      </c>
      <c r="D626" s="70">
        <v>19200</v>
      </c>
      <c r="E626" s="79"/>
      <c r="F626" s="82">
        <v>154.4</v>
      </c>
      <c r="G626" s="82" t="s">
        <v>114</v>
      </c>
      <c r="H626" s="73">
        <v>0</v>
      </c>
      <c r="I626" s="68">
        <v>0</v>
      </c>
      <c r="J626" s="71">
        <v>42828</v>
      </c>
      <c r="K626" s="71">
        <v>42805</v>
      </c>
      <c r="L626" s="69" t="s">
        <v>119</v>
      </c>
      <c r="M626" s="69" t="s">
        <v>109</v>
      </c>
      <c r="N626" s="72">
        <v>42948</v>
      </c>
      <c r="O626" s="67"/>
      <c r="P626" s="67" t="s">
        <v>95</v>
      </c>
      <c r="Q626" s="67" t="s">
        <v>110</v>
      </c>
      <c r="R626" s="69" t="s">
        <v>69</v>
      </c>
      <c r="S626" s="69" t="s">
        <v>111</v>
      </c>
      <c r="T626" s="67"/>
      <c r="U626" s="67"/>
      <c r="V626" s="72">
        <v>42825</v>
      </c>
      <c r="W626" s="69" t="s">
        <v>197</v>
      </c>
      <c r="X626" s="69"/>
      <c r="Y626" s="123"/>
      <c r="Z626" s="30">
        <f t="shared" si="18"/>
        <v>65355.596700182585</v>
      </c>
      <c r="AA626" s="30">
        <f t="shared" si="19"/>
        <v>0</v>
      </c>
      <c r="AB626" t="s">
        <v>456</v>
      </c>
    </row>
    <row r="627" spans="1:28">
      <c r="A627" s="67" t="s">
        <v>122</v>
      </c>
      <c r="B627" s="68">
        <v>1250466</v>
      </c>
      <c r="C627" s="69">
        <v>4615416264</v>
      </c>
      <c r="D627" s="70">
        <v>19200</v>
      </c>
      <c r="E627" s="79"/>
      <c r="F627" s="68">
        <v>16</v>
      </c>
      <c r="G627" s="68">
        <v>5</v>
      </c>
      <c r="H627" s="73">
        <v>0</v>
      </c>
      <c r="I627" s="68">
        <v>0</v>
      </c>
      <c r="J627" s="71"/>
      <c r="K627" s="71">
        <v>42773</v>
      </c>
      <c r="L627" s="69" t="s">
        <v>80</v>
      </c>
      <c r="M627" s="69" t="s">
        <v>109</v>
      </c>
      <c r="N627" s="72">
        <v>42948</v>
      </c>
      <c r="O627" s="67"/>
      <c r="P627" s="67" t="s">
        <v>95</v>
      </c>
      <c r="Q627" s="67" t="s">
        <v>120</v>
      </c>
      <c r="R627" s="69" t="s">
        <v>69</v>
      </c>
      <c r="S627" s="69" t="s">
        <v>123</v>
      </c>
      <c r="T627" s="67"/>
      <c r="U627" s="67"/>
      <c r="V627" s="72">
        <v>42886</v>
      </c>
      <c r="W627" s="69">
        <v>20225765</v>
      </c>
      <c r="X627" s="69" t="s">
        <v>196</v>
      </c>
      <c r="Y627" s="123"/>
      <c r="Z627" s="30">
        <f t="shared" si="18"/>
        <v>6772.6006943194379</v>
      </c>
      <c r="AA627" s="30">
        <f t="shared" si="19"/>
        <v>2116.4377169748245</v>
      </c>
      <c r="AB627" t="s">
        <v>456</v>
      </c>
    </row>
    <row r="628" spans="1:28">
      <c r="A628" s="67" t="s">
        <v>122</v>
      </c>
      <c r="B628" s="68">
        <v>1235804</v>
      </c>
      <c r="C628" s="69">
        <v>4615413854</v>
      </c>
      <c r="D628" s="70">
        <v>19200</v>
      </c>
      <c r="E628" s="79"/>
      <c r="F628" s="73">
        <v>16</v>
      </c>
      <c r="G628" s="73">
        <v>5</v>
      </c>
      <c r="H628" s="73">
        <v>0</v>
      </c>
      <c r="I628" s="68">
        <v>0</v>
      </c>
      <c r="J628" s="71">
        <v>42818</v>
      </c>
      <c r="K628" s="71">
        <v>42813</v>
      </c>
      <c r="L628" s="69" t="s">
        <v>119</v>
      </c>
      <c r="M628" s="69" t="s">
        <v>109</v>
      </c>
      <c r="N628" s="72">
        <v>42948</v>
      </c>
      <c r="O628" s="67"/>
      <c r="P628" s="67" t="s">
        <v>95</v>
      </c>
      <c r="Q628" s="67" t="s">
        <v>120</v>
      </c>
      <c r="R628" s="69" t="s">
        <v>69</v>
      </c>
      <c r="S628" s="69" t="s">
        <v>123</v>
      </c>
      <c r="T628" s="67"/>
      <c r="U628" s="67"/>
      <c r="V628" s="72">
        <v>42855</v>
      </c>
      <c r="W628" s="69">
        <v>2025764</v>
      </c>
      <c r="X628" s="69"/>
      <c r="Y628" s="123"/>
      <c r="Z628" s="30">
        <f t="shared" si="18"/>
        <v>6772.6006943194379</v>
      </c>
      <c r="AA628" s="30">
        <f t="shared" si="19"/>
        <v>2116.4377169748245</v>
      </c>
      <c r="AB628" t="s">
        <v>456</v>
      </c>
    </row>
    <row r="629" spans="1:28">
      <c r="A629" s="67" t="s">
        <v>122</v>
      </c>
      <c r="B629" s="68">
        <v>1235798</v>
      </c>
      <c r="C629" s="69">
        <v>4615413854</v>
      </c>
      <c r="D629" s="70">
        <v>19200</v>
      </c>
      <c r="E629" s="79"/>
      <c r="F629" s="73">
        <v>16</v>
      </c>
      <c r="G629" s="73">
        <v>5</v>
      </c>
      <c r="H629" s="73">
        <v>0</v>
      </c>
      <c r="I629" s="68">
        <v>0</v>
      </c>
      <c r="J629" s="71">
        <v>42818</v>
      </c>
      <c r="K629" s="71">
        <v>42813</v>
      </c>
      <c r="L629" s="69" t="s">
        <v>119</v>
      </c>
      <c r="M629" s="69" t="s">
        <v>109</v>
      </c>
      <c r="N629" s="72">
        <v>42948</v>
      </c>
      <c r="O629" s="67"/>
      <c r="P629" s="67" t="s">
        <v>95</v>
      </c>
      <c r="Q629" s="67" t="s">
        <v>120</v>
      </c>
      <c r="R629" s="69" t="s">
        <v>69</v>
      </c>
      <c r="S629" s="69" t="s">
        <v>123</v>
      </c>
      <c r="T629" s="67"/>
      <c r="U629" s="67"/>
      <c r="V629" s="72">
        <v>42855</v>
      </c>
      <c r="W629" s="69">
        <v>2025764</v>
      </c>
      <c r="X629" s="69"/>
      <c r="Y629" s="123"/>
      <c r="Z629" s="30">
        <f t="shared" si="18"/>
        <v>6772.6006943194379</v>
      </c>
      <c r="AA629" s="30">
        <f t="shared" si="19"/>
        <v>2116.4377169748245</v>
      </c>
      <c r="AB629" t="s">
        <v>456</v>
      </c>
    </row>
    <row r="630" spans="1:28">
      <c r="A630" s="67" t="s">
        <v>68</v>
      </c>
      <c r="B630" s="68">
        <v>1233257</v>
      </c>
      <c r="C630" s="69">
        <v>4615417014</v>
      </c>
      <c r="D630" s="70">
        <v>19175</v>
      </c>
      <c r="E630" s="79"/>
      <c r="F630" s="73">
        <v>16</v>
      </c>
      <c r="G630" s="73">
        <v>5</v>
      </c>
      <c r="H630" s="68">
        <v>0</v>
      </c>
      <c r="I630" s="68">
        <v>0</v>
      </c>
      <c r="J630" s="71">
        <v>42812</v>
      </c>
      <c r="K630" s="71">
        <v>42766</v>
      </c>
      <c r="L630" s="69" t="s">
        <v>119</v>
      </c>
      <c r="M630" s="69" t="s">
        <v>109</v>
      </c>
      <c r="N630" s="72">
        <v>42948</v>
      </c>
      <c r="O630" s="67"/>
      <c r="P630" s="67" t="s">
        <v>95</v>
      </c>
      <c r="Q630" s="67" t="s">
        <v>125</v>
      </c>
      <c r="R630" s="69" t="s">
        <v>69</v>
      </c>
      <c r="S630" s="69" t="s">
        <v>68</v>
      </c>
      <c r="T630" s="67"/>
      <c r="U630" s="67"/>
      <c r="V630" s="72">
        <v>42825</v>
      </c>
      <c r="W630" s="69">
        <v>5114732</v>
      </c>
      <c r="X630" s="69"/>
      <c r="Y630" s="123"/>
      <c r="Z630" s="30">
        <f t="shared" si="18"/>
        <v>6763.7822038320437</v>
      </c>
      <c r="AA630" s="30">
        <f t="shared" si="19"/>
        <v>2113.6819386975139</v>
      </c>
      <c r="AB630" t="s">
        <v>456</v>
      </c>
    </row>
    <row r="631" spans="1:28">
      <c r="A631" s="67" t="s">
        <v>128</v>
      </c>
      <c r="B631" s="68">
        <v>1242697</v>
      </c>
      <c r="C631" s="69">
        <v>4615420218</v>
      </c>
      <c r="D631" s="70">
        <v>19175</v>
      </c>
      <c r="E631" s="79"/>
      <c r="F631" s="81">
        <v>154.32</v>
      </c>
      <c r="G631" s="68" t="s">
        <v>114</v>
      </c>
      <c r="H631" s="68">
        <v>0</v>
      </c>
      <c r="I631" s="68">
        <v>0</v>
      </c>
      <c r="J631" s="71"/>
      <c r="K631" s="71">
        <v>42385</v>
      </c>
      <c r="L631" s="69" t="s">
        <v>80</v>
      </c>
      <c r="M631" s="69" t="s">
        <v>109</v>
      </c>
      <c r="N631" s="72">
        <v>42946</v>
      </c>
      <c r="O631" s="67"/>
      <c r="P631" s="67" t="s">
        <v>95</v>
      </c>
      <c r="Q631" s="67" t="s">
        <v>129</v>
      </c>
      <c r="R631" s="69" t="s">
        <v>69</v>
      </c>
      <c r="S631" s="69" t="s">
        <v>130</v>
      </c>
      <c r="T631" s="67"/>
      <c r="U631" s="67"/>
      <c r="V631" s="72">
        <v>42916</v>
      </c>
      <c r="W631" s="69">
        <v>425570005</v>
      </c>
      <c r="X631" s="69"/>
      <c r="Y631" s="123"/>
      <c r="Z631" s="30">
        <f t="shared" si="18"/>
        <v>65236.679355960063</v>
      </c>
      <c r="AA631" s="30">
        <f t="shared" si="19"/>
        <v>0</v>
      </c>
      <c r="AB631" t="s">
        <v>456</v>
      </c>
    </row>
    <row r="632" spans="1:28">
      <c r="A632" s="67" t="s">
        <v>136</v>
      </c>
      <c r="B632" s="68">
        <v>1240399</v>
      </c>
      <c r="C632" s="69">
        <v>4615415443</v>
      </c>
      <c r="D632" s="70">
        <v>19175</v>
      </c>
      <c r="E632" s="79"/>
      <c r="F632" s="73">
        <v>10</v>
      </c>
      <c r="G632" s="73">
        <v>5</v>
      </c>
      <c r="H632" s="68">
        <v>0</v>
      </c>
      <c r="I632" s="68">
        <v>0</v>
      </c>
      <c r="J632" s="71"/>
      <c r="K632" s="71">
        <v>42766</v>
      </c>
      <c r="L632" s="69" t="s">
        <v>80</v>
      </c>
      <c r="M632" s="69" t="s">
        <v>109</v>
      </c>
      <c r="N632" s="72">
        <v>42946</v>
      </c>
      <c r="O632" s="67"/>
      <c r="P632" s="67" t="s">
        <v>95</v>
      </c>
      <c r="Q632" s="67" t="s">
        <v>129</v>
      </c>
      <c r="R632" s="69" t="s">
        <v>69</v>
      </c>
      <c r="S632" s="69" t="s">
        <v>138</v>
      </c>
      <c r="T632" s="67"/>
      <c r="U632" s="67"/>
      <c r="V632" s="72">
        <v>42886</v>
      </c>
      <c r="W632" s="69">
        <v>415570135</v>
      </c>
      <c r="X632" s="78"/>
      <c r="Y632" s="123"/>
      <c r="Z632" s="30">
        <f t="shared" si="18"/>
        <v>4227.3638773950279</v>
      </c>
      <c r="AA632" s="30">
        <f t="shared" si="19"/>
        <v>2113.6819386975139</v>
      </c>
      <c r="AB632" t="s">
        <v>456</v>
      </c>
    </row>
    <row r="633" spans="1:28">
      <c r="A633" s="67" t="s">
        <v>122</v>
      </c>
      <c r="B633" s="68">
        <v>1250468</v>
      </c>
      <c r="C633" s="69">
        <v>4615416264</v>
      </c>
      <c r="D633" s="70">
        <v>19200</v>
      </c>
      <c r="E633" s="79"/>
      <c r="F633" s="68">
        <v>16</v>
      </c>
      <c r="G633" s="68">
        <v>5</v>
      </c>
      <c r="H633" s="68">
        <v>0</v>
      </c>
      <c r="I633" s="68">
        <v>0</v>
      </c>
      <c r="J633" s="71"/>
      <c r="K633" s="71">
        <v>42780</v>
      </c>
      <c r="L633" s="69" t="s">
        <v>80</v>
      </c>
      <c r="M633" s="69" t="s">
        <v>109</v>
      </c>
      <c r="N633" s="72">
        <v>42946</v>
      </c>
      <c r="O633" s="67"/>
      <c r="P633" s="67" t="s">
        <v>95</v>
      </c>
      <c r="Q633" s="67" t="s">
        <v>120</v>
      </c>
      <c r="R633" s="69" t="s">
        <v>69</v>
      </c>
      <c r="S633" s="69" t="s">
        <v>123</v>
      </c>
      <c r="T633" s="67"/>
      <c r="U633" s="67"/>
      <c r="V633" s="72">
        <v>42886</v>
      </c>
      <c r="W633" s="69">
        <v>20225765</v>
      </c>
      <c r="X633" s="69" t="s">
        <v>196</v>
      </c>
      <c r="Y633" s="123"/>
      <c r="Z633" s="30">
        <f t="shared" si="18"/>
        <v>6772.6006943194379</v>
      </c>
      <c r="AA633" s="30">
        <f t="shared" si="19"/>
        <v>2116.4377169748245</v>
      </c>
      <c r="AB633" t="s">
        <v>456</v>
      </c>
    </row>
    <row r="634" spans="1:28">
      <c r="A634" s="67" t="s">
        <v>122</v>
      </c>
      <c r="B634" s="68">
        <v>1250464</v>
      </c>
      <c r="C634" s="69">
        <v>4615416264</v>
      </c>
      <c r="D634" s="70">
        <v>19200</v>
      </c>
      <c r="E634" s="79"/>
      <c r="F634" s="68">
        <v>16</v>
      </c>
      <c r="G634" s="68">
        <v>5</v>
      </c>
      <c r="H634" s="68">
        <v>0</v>
      </c>
      <c r="I634" s="68">
        <v>0</v>
      </c>
      <c r="J634" s="71"/>
      <c r="K634" s="71">
        <v>42803</v>
      </c>
      <c r="L634" s="69" t="s">
        <v>80</v>
      </c>
      <c r="M634" s="69" t="s">
        <v>109</v>
      </c>
      <c r="N634" s="72">
        <v>42946</v>
      </c>
      <c r="O634" s="67"/>
      <c r="P634" s="67" t="s">
        <v>95</v>
      </c>
      <c r="Q634" s="67" t="s">
        <v>120</v>
      </c>
      <c r="R634" s="69" t="s">
        <v>69</v>
      </c>
      <c r="S634" s="69" t="s">
        <v>123</v>
      </c>
      <c r="T634" s="67"/>
      <c r="U634" s="67"/>
      <c r="V634" s="72">
        <v>42886</v>
      </c>
      <c r="W634" s="69">
        <v>20225765</v>
      </c>
      <c r="X634" s="69" t="s">
        <v>196</v>
      </c>
      <c r="Y634" s="123"/>
      <c r="Z634" s="30">
        <f t="shared" si="18"/>
        <v>6772.6006943194379</v>
      </c>
      <c r="AA634" s="30">
        <f t="shared" si="19"/>
        <v>2116.4377169748245</v>
      </c>
      <c r="AB634" t="s">
        <v>456</v>
      </c>
    </row>
    <row r="635" spans="1:28">
      <c r="A635" s="67" t="s">
        <v>113</v>
      </c>
      <c r="B635" s="68">
        <v>1245683</v>
      </c>
      <c r="C635" s="69">
        <v>4615404823</v>
      </c>
      <c r="D635" s="70">
        <v>19200</v>
      </c>
      <c r="E635" s="79"/>
      <c r="F635" s="68">
        <v>16</v>
      </c>
      <c r="G635" s="68" t="s">
        <v>114</v>
      </c>
      <c r="H635" s="73">
        <v>0</v>
      </c>
      <c r="I635" s="68">
        <v>0</v>
      </c>
      <c r="J635" s="71"/>
      <c r="K635" s="71">
        <v>42752</v>
      </c>
      <c r="L635" s="69" t="s">
        <v>80</v>
      </c>
      <c r="M635" s="69" t="s">
        <v>109</v>
      </c>
      <c r="N635" s="72">
        <v>42946</v>
      </c>
      <c r="O635" s="67"/>
      <c r="P635" s="67" t="s">
        <v>95</v>
      </c>
      <c r="Q635" s="67" t="s">
        <v>110</v>
      </c>
      <c r="R635" s="69" t="s">
        <v>69</v>
      </c>
      <c r="S635" s="69" t="s">
        <v>115</v>
      </c>
      <c r="T635" s="67"/>
      <c r="U635" s="67"/>
      <c r="V635" s="72">
        <v>42916</v>
      </c>
      <c r="W635" s="69" t="s">
        <v>186</v>
      </c>
      <c r="X635" s="69" t="s">
        <v>117</v>
      </c>
      <c r="Y635" s="123"/>
      <c r="Z635" s="30">
        <f t="shared" si="18"/>
        <v>6772.6006943194379</v>
      </c>
      <c r="AA635" s="30">
        <f t="shared" si="19"/>
        <v>0</v>
      </c>
      <c r="AB635" t="s">
        <v>456</v>
      </c>
    </row>
    <row r="636" spans="1:28">
      <c r="A636" s="67" t="s">
        <v>113</v>
      </c>
      <c r="B636" s="68">
        <v>1245680</v>
      </c>
      <c r="C636" s="69">
        <v>4615404823</v>
      </c>
      <c r="D636" s="70">
        <v>19200</v>
      </c>
      <c r="E636" s="79"/>
      <c r="F636" s="68">
        <v>16</v>
      </c>
      <c r="G636" s="68" t="s">
        <v>114</v>
      </c>
      <c r="H636" s="73">
        <v>0</v>
      </c>
      <c r="I636" s="68">
        <v>0</v>
      </c>
      <c r="J636" s="71"/>
      <c r="K636" s="71">
        <v>42773</v>
      </c>
      <c r="L636" s="69" t="s">
        <v>80</v>
      </c>
      <c r="M636" s="69" t="s">
        <v>109</v>
      </c>
      <c r="N636" s="72">
        <v>42946</v>
      </c>
      <c r="O636" s="67"/>
      <c r="P636" s="67" t="s">
        <v>95</v>
      </c>
      <c r="Q636" s="67" t="s">
        <v>110</v>
      </c>
      <c r="R636" s="69" t="s">
        <v>69</v>
      </c>
      <c r="S636" s="69" t="s">
        <v>115</v>
      </c>
      <c r="T636" s="67"/>
      <c r="U636" s="67"/>
      <c r="V636" s="72">
        <v>42916</v>
      </c>
      <c r="W636" s="69" t="s">
        <v>186</v>
      </c>
      <c r="X636" s="69" t="s">
        <v>117</v>
      </c>
      <c r="Y636" s="123"/>
      <c r="Z636" s="30">
        <f t="shared" si="18"/>
        <v>6772.6006943194379</v>
      </c>
      <c r="AA636" s="30">
        <f t="shared" si="19"/>
        <v>0</v>
      </c>
      <c r="AB636" t="s">
        <v>456</v>
      </c>
    </row>
    <row r="637" spans="1:28">
      <c r="A637" s="67" t="s">
        <v>136</v>
      </c>
      <c r="B637" s="68">
        <v>1240415</v>
      </c>
      <c r="C637" s="69">
        <v>4615418921</v>
      </c>
      <c r="D637" s="70">
        <v>19175</v>
      </c>
      <c r="E637" s="79"/>
      <c r="F637" s="73">
        <v>10</v>
      </c>
      <c r="G637" s="73" t="s">
        <v>114</v>
      </c>
      <c r="H637" s="68">
        <v>0</v>
      </c>
      <c r="I637" s="68">
        <v>0</v>
      </c>
      <c r="J637" s="71"/>
      <c r="K637" s="71">
        <v>42806</v>
      </c>
      <c r="L637" s="69" t="s">
        <v>80</v>
      </c>
      <c r="M637" s="69" t="s">
        <v>109</v>
      </c>
      <c r="N637" s="72">
        <v>42946</v>
      </c>
      <c r="O637" s="67"/>
      <c r="P637" s="67" t="s">
        <v>95</v>
      </c>
      <c r="Q637" s="67" t="s">
        <v>129</v>
      </c>
      <c r="R637" s="69" t="s">
        <v>69</v>
      </c>
      <c r="S637" s="69" t="s">
        <v>138</v>
      </c>
      <c r="T637" s="67"/>
      <c r="U637" s="67"/>
      <c r="V637" s="72">
        <v>42916</v>
      </c>
      <c r="W637" s="69">
        <v>415570142</v>
      </c>
      <c r="X637" s="69"/>
      <c r="Y637" s="123"/>
      <c r="Z637" s="30">
        <f t="shared" si="18"/>
        <v>4227.3638773950279</v>
      </c>
      <c r="AA637" s="30">
        <f t="shared" si="19"/>
        <v>0</v>
      </c>
      <c r="AB637" t="s">
        <v>456</v>
      </c>
    </row>
    <row r="638" spans="1:28">
      <c r="A638" s="67" t="s">
        <v>122</v>
      </c>
      <c r="B638" s="68">
        <v>1235797</v>
      </c>
      <c r="C638" s="69">
        <v>4615413854</v>
      </c>
      <c r="D638" s="70">
        <v>19200</v>
      </c>
      <c r="E638" s="79"/>
      <c r="F638" s="73">
        <v>16</v>
      </c>
      <c r="G638" s="73">
        <v>5</v>
      </c>
      <c r="H638" s="73">
        <v>0</v>
      </c>
      <c r="I638" s="68">
        <v>0</v>
      </c>
      <c r="J638" s="71">
        <v>42818</v>
      </c>
      <c r="K638" s="71">
        <v>42806</v>
      </c>
      <c r="L638" s="69" t="s">
        <v>119</v>
      </c>
      <c r="M638" s="69" t="s">
        <v>109</v>
      </c>
      <c r="N638" s="72">
        <v>42946</v>
      </c>
      <c r="O638" s="67"/>
      <c r="P638" s="67" t="s">
        <v>95</v>
      </c>
      <c r="Q638" s="67" t="s">
        <v>120</v>
      </c>
      <c r="R638" s="69" t="s">
        <v>69</v>
      </c>
      <c r="S638" s="69" t="s">
        <v>123</v>
      </c>
      <c r="T638" s="67"/>
      <c r="U638" s="67"/>
      <c r="V638" s="72">
        <v>42855</v>
      </c>
      <c r="W638" s="69">
        <v>2025764</v>
      </c>
      <c r="X638" s="69"/>
      <c r="Y638" s="123"/>
      <c r="Z638" s="30">
        <f t="shared" si="18"/>
        <v>6772.6006943194379</v>
      </c>
      <c r="AA638" s="30">
        <f t="shared" si="19"/>
        <v>2116.4377169748245</v>
      </c>
      <c r="AB638" t="s">
        <v>456</v>
      </c>
    </row>
    <row r="639" spans="1:28">
      <c r="A639" s="67" t="s">
        <v>68</v>
      </c>
      <c r="B639" s="68">
        <v>1233243</v>
      </c>
      <c r="C639" s="69">
        <v>4615409790</v>
      </c>
      <c r="D639" s="70">
        <v>19175</v>
      </c>
      <c r="E639" s="79"/>
      <c r="F639" s="68">
        <v>16</v>
      </c>
      <c r="G639" s="68" t="s">
        <v>114</v>
      </c>
      <c r="H639" s="68">
        <v>0</v>
      </c>
      <c r="I639" s="68">
        <v>0</v>
      </c>
      <c r="J639" s="71">
        <v>42812</v>
      </c>
      <c r="K639" s="71">
        <v>42803</v>
      </c>
      <c r="L639" s="69" t="s">
        <v>119</v>
      </c>
      <c r="M639" s="69" t="s">
        <v>109</v>
      </c>
      <c r="N639" s="72">
        <v>42946</v>
      </c>
      <c r="O639" s="67"/>
      <c r="P639" s="67" t="s">
        <v>95</v>
      </c>
      <c r="Q639" s="67" t="s">
        <v>125</v>
      </c>
      <c r="R639" s="69" t="s">
        <v>69</v>
      </c>
      <c r="S639" s="69" t="s">
        <v>68</v>
      </c>
      <c r="T639" s="67"/>
      <c r="U639" s="67"/>
      <c r="V639" s="72">
        <v>42825</v>
      </c>
      <c r="W639" s="69">
        <v>5114719</v>
      </c>
      <c r="X639" s="69"/>
      <c r="Y639" s="123"/>
      <c r="Z639" s="30">
        <f t="shared" si="18"/>
        <v>6763.7822038320437</v>
      </c>
      <c r="AA639" s="30">
        <f t="shared" si="19"/>
        <v>0</v>
      </c>
      <c r="AB639" t="s">
        <v>456</v>
      </c>
    </row>
    <row r="640" spans="1:28">
      <c r="A640" s="67" t="s">
        <v>68</v>
      </c>
      <c r="B640" s="68">
        <v>1233236</v>
      </c>
      <c r="C640" s="69">
        <v>4615409790</v>
      </c>
      <c r="D640" s="70">
        <v>19175</v>
      </c>
      <c r="E640" s="79"/>
      <c r="F640" s="68">
        <v>16</v>
      </c>
      <c r="G640" s="68" t="s">
        <v>114</v>
      </c>
      <c r="H640" s="68">
        <v>0</v>
      </c>
      <c r="I640" s="68">
        <v>0</v>
      </c>
      <c r="J640" s="71">
        <v>42812</v>
      </c>
      <c r="K640" s="71">
        <v>42778</v>
      </c>
      <c r="L640" s="69" t="s">
        <v>119</v>
      </c>
      <c r="M640" s="69" t="s">
        <v>109</v>
      </c>
      <c r="N640" s="72">
        <v>42946</v>
      </c>
      <c r="O640" s="67"/>
      <c r="P640" s="67" t="s">
        <v>95</v>
      </c>
      <c r="Q640" s="67" t="s">
        <v>125</v>
      </c>
      <c r="R640" s="69" t="s">
        <v>69</v>
      </c>
      <c r="S640" s="69" t="s">
        <v>68</v>
      </c>
      <c r="T640" s="67"/>
      <c r="U640" s="67"/>
      <c r="V640" s="72">
        <v>42825</v>
      </c>
      <c r="W640" s="69">
        <v>5114719</v>
      </c>
      <c r="X640" s="69"/>
      <c r="Y640" s="123"/>
      <c r="Z640" s="30">
        <f t="shared" si="18"/>
        <v>6763.7822038320437</v>
      </c>
      <c r="AA640" s="30">
        <f t="shared" si="19"/>
        <v>0</v>
      </c>
      <c r="AB640" t="s">
        <v>456</v>
      </c>
    </row>
    <row r="641" spans="1:28">
      <c r="A641" s="67" t="s">
        <v>68</v>
      </c>
      <c r="B641" s="68">
        <v>1233242</v>
      </c>
      <c r="C641" s="69">
        <v>4615409790</v>
      </c>
      <c r="D641" s="70">
        <v>19175</v>
      </c>
      <c r="E641" s="79"/>
      <c r="F641" s="68">
        <v>16</v>
      </c>
      <c r="G641" s="68" t="s">
        <v>114</v>
      </c>
      <c r="H641" s="68">
        <v>0</v>
      </c>
      <c r="I641" s="68">
        <v>0</v>
      </c>
      <c r="J641" s="71">
        <v>42812</v>
      </c>
      <c r="K641" s="71">
        <v>42778</v>
      </c>
      <c r="L641" s="69" t="s">
        <v>119</v>
      </c>
      <c r="M641" s="69" t="s">
        <v>109</v>
      </c>
      <c r="N641" s="72">
        <v>42943</v>
      </c>
      <c r="O641" s="67"/>
      <c r="P641" s="67" t="s">
        <v>95</v>
      </c>
      <c r="Q641" s="67" t="s">
        <v>125</v>
      </c>
      <c r="R641" s="69" t="s">
        <v>69</v>
      </c>
      <c r="S641" s="69" t="s">
        <v>68</v>
      </c>
      <c r="T641" s="67"/>
      <c r="U641" s="67"/>
      <c r="V641" s="72">
        <v>42825</v>
      </c>
      <c r="W641" s="69">
        <v>5114719</v>
      </c>
      <c r="X641" s="69"/>
      <c r="Y641" s="123"/>
      <c r="Z641" s="30">
        <f t="shared" si="18"/>
        <v>6763.7822038320437</v>
      </c>
      <c r="AA641" s="30">
        <f t="shared" si="19"/>
        <v>0</v>
      </c>
      <c r="AB641" t="s">
        <v>456</v>
      </c>
    </row>
    <row r="642" spans="1:28">
      <c r="A642" s="67" t="s">
        <v>122</v>
      </c>
      <c r="B642" s="68">
        <v>1235799</v>
      </c>
      <c r="C642" s="69">
        <v>4615413854</v>
      </c>
      <c r="D642" s="70">
        <v>19200</v>
      </c>
      <c r="E642" s="79"/>
      <c r="F642" s="73">
        <v>16</v>
      </c>
      <c r="G642" s="73">
        <v>5</v>
      </c>
      <c r="H642" s="73">
        <v>0</v>
      </c>
      <c r="I642" s="68">
        <v>0</v>
      </c>
      <c r="J642" s="71">
        <v>42818</v>
      </c>
      <c r="K642" s="71">
        <v>42752</v>
      </c>
      <c r="L642" s="69" t="s">
        <v>119</v>
      </c>
      <c r="M642" s="69" t="s">
        <v>109</v>
      </c>
      <c r="N642" s="72">
        <v>42943</v>
      </c>
      <c r="O642" s="67"/>
      <c r="P642" s="67" t="s">
        <v>95</v>
      </c>
      <c r="Q642" s="67" t="s">
        <v>120</v>
      </c>
      <c r="R642" s="69" t="s">
        <v>69</v>
      </c>
      <c r="S642" s="69" t="s">
        <v>123</v>
      </c>
      <c r="T642" s="67"/>
      <c r="U642" s="67"/>
      <c r="V642" s="72">
        <v>42855</v>
      </c>
      <c r="W642" s="69">
        <v>2025764</v>
      </c>
      <c r="X642" s="69"/>
      <c r="Y642" s="123"/>
      <c r="Z642" s="30">
        <f t="shared" si="18"/>
        <v>6772.6006943194379</v>
      </c>
      <c r="AA642" s="30">
        <f t="shared" si="19"/>
        <v>2116.4377169748245</v>
      </c>
      <c r="AB642" t="s">
        <v>456</v>
      </c>
    </row>
    <row r="643" spans="1:28">
      <c r="A643" s="67" t="s">
        <v>118</v>
      </c>
      <c r="B643" s="68">
        <v>1237834</v>
      </c>
      <c r="C643" s="69">
        <v>4615417695</v>
      </c>
      <c r="D643" s="70">
        <v>19175</v>
      </c>
      <c r="E643" s="79"/>
      <c r="F643" s="73">
        <v>10</v>
      </c>
      <c r="G643" s="73" t="s">
        <v>114</v>
      </c>
      <c r="H643" s="68">
        <v>0</v>
      </c>
      <c r="I643" s="68">
        <v>0</v>
      </c>
      <c r="J643" s="71">
        <v>42858</v>
      </c>
      <c r="K643" s="71">
        <v>42688</v>
      </c>
      <c r="L643" s="69" t="s">
        <v>137</v>
      </c>
      <c r="M643" s="69" t="s">
        <v>109</v>
      </c>
      <c r="N643" s="72">
        <v>42943</v>
      </c>
      <c r="O643" s="67"/>
      <c r="P643" s="67" t="s">
        <v>95</v>
      </c>
      <c r="Q643" s="67" t="s">
        <v>120</v>
      </c>
      <c r="R643" s="69" t="s">
        <v>69</v>
      </c>
      <c r="S643" s="69" t="s">
        <v>121</v>
      </c>
      <c r="T643" s="67"/>
      <c r="U643" s="67"/>
      <c r="V643" s="72">
        <v>42886</v>
      </c>
      <c r="W643" s="69">
        <v>2026347</v>
      </c>
      <c r="X643" s="69"/>
      <c r="Y643" s="123"/>
      <c r="Z643" s="30">
        <f t="shared" ref="Z643:Z706" si="20">CONVERT(D643,"kg","lbm")*F643/100</f>
        <v>4227.3638773950279</v>
      </c>
      <c r="AA643" s="30">
        <f t="shared" ref="AA643:AA706" si="21">CONVERT(D643,"kg","lbm")*G643/100</f>
        <v>0</v>
      </c>
      <c r="AB643" t="s">
        <v>456</v>
      </c>
    </row>
    <row r="644" spans="1:28">
      <c r="A644" s="67" t="s">
        <v>122</v>
      </c>
      <c r="B644" s="68">
        <v>1256219</v>
      </c>
      <c r="C644" s="69">
        <v>4615411518</v>
      </c>
      <c r="D644" s="70">
        <v>19175</v>
      </c>
      <c r="E644" s="80"/>
      <c r="F644" s="68">
        <v>16</v>
      </c>
      <c r="G644" s="68">
        <v>5</v>
      </c>
      <c r="H644" s="73">
        <v>0</v>
      </c>
      <c r="I644" s="68">
        <v>0</v>
      </c>
      <c r="J644" s="71"/>
      <c r="K644" s="71">
        <v>42729</v>
      </c>
      <c r="L644" s="69" t="s">
        <v>80</v>
      </c>
      <c r="M644" s="69" t="s">
        <v>109</v>
      </c>
      <c r="N644" s="72">
        <v>42943</v>
      </c>
      <c r="O644" s="67"/>
      <c r="P644" s="67" t="s">
        <v>95</v>
      </c>
      <c r="Q644" s="67" t="s">
        <v>120</v>
      </c>
      <c r="R644" s="69" t="s">
        <v>69</v>
      </c>
      <c r="S644" s="69" t="s">
        <v>123</v>
      </c>
      <c r="T644" s="67"/>
      <c r="U644" s="67"/>
      <c r="V644" s="72">
        <v>42916</v>
      </c>
      <c r="W644" s="69">
        <v>2025751</v>
      </c>
      <c r="X644" s="69"/>
      <c r="Y644" s="123"/>
      <c r="Z644" s="30">
        <f t="shared" si="20"/>
        <v>6763.7822038320437</v>
      </c>
      <c r="AA644" s="30">
        <f t="shared" si="21"/>
        <v>2113.6819386975139</v>
      </c>
      <c r="AB644" t="s">
        <v>456</v>
      </c>
    </row>
    <row r="645" spans="1:28">
      <c r="A645" s="67" t="s">
        <v>113</v>
      </c>
      <c r="B645" s="68">
        <v>1250778</v>
      </c>
      <c r="C645" s="69">
        <v>4615406599</v>
      </c>
      <c r="D645" s="70">
        <v>19200</v>
      </c>
      <c r="E645" s="80"/>
      <c r="F645" s="73">
        <v>16</v>
      </c>
      <c r="G645" s="73" t="s">
        <v>114</v>
      </c>
      <c r="H645" s="73">
        <v>0</v>
      </c>
      <c r="I645" s="68">
        <v>0</v>
      </c>
      <c r="J645" s="71"/>
      <c r="K645" s="71">
        <v>42727</v>
      </c>
      <c r="L645" s="69" t="s">
        <v>80</v>
      </c>
      <c r="M645" s="69" t="s">
        <v>109</v>
      </c>
      <c r="N645" s="72">
        <v>42943</v>
      </c>
      <c r="O645" s="67"/>
      <c r="P645" s="67" t="s">
        <v>95</v>
      </c>
      <c r="Q645" s="67" t="s">
        <v>110</v>
      </c>
      <c r="R645" s="69" t="s">
        <v>69</v>
      </c>
      <c r="S645" s="69" t="s">
        <v>115</v>
      </c>
      <c r="T645" s="67"/>
      <c r="U645" s="67"/>
      <c r="V645" s="72">
        <v>42916</v>
      </c>
      <c r="W645" s="69" t="s">
        <v>188</v>
      </c>
      <c r="X645" s="69" t="s">
        <v>117</v>
      </c>
      <c r="Y645" s="123"/>
      <c r="Z645" s="30">
        <f t="shared" si="20"/>
        <v>6772.6006943194379</v>
      </c>
      <c r="AA645" s="30">
        <f t="shared" si="21"/>
        <v>0</v>
      </c>
      <c r="AB645" t="s">
        <v>456</v>
      </c>
    </row>
    <row r="646" spans="1:28">
      <c r="A646" s="67" t="s">
        <v>122</v>
      </c>
      <c r="B646" s="68">
        <v>1235805</v>
      </c>
      <c r="C646" s="69">
        <v>4615413854</v>
      </c>
      <c r="D646" s="70">
        <v>19200</v>
      </c>
      <c r="E646" s="80"/>
      <c r="F646" s="73">
        <v>16</v>
      </c>
      <c r="G646" s="73">
        <v>5</v>
      </c>
      <c r="H646" s="73">
        <v>0</v>
      </c>
      <c r="I646" s="68">
        <v>0</v>
      </c>
      <c r="J646" s="71">
        <v>42818</v>
      </c>
      <c r="K646" s="71">
        <v>42773</v>
      </c>
      <c r="L646" s="69" t="s">
        <v>119</v>
      </c>
      <c r="M646" s="69" t="s">
        <v>109</v>
      </c>
      <c r="N646" s="72">
        <v>42942</v>
      </c>
      <c r="O646" s="67"/>
      <c r="P646" s="67" t="s">
        <v>95</v>
      </c>
      <c r="Q646" s="67" t="s">
        <v>120</v>
      </c>
      <c r="R646" s="69" t="s">
        <v>69</v>
      </c>
      <c r="S646" s="69" t="s">
        <v>123</v>
      </c>
      <c r="T646" s="67"/>
      <c r="U646" s="67"/>
      <c r="V646" s="72">
        <v>42855</v>
      </c>
      <c r="W646" s="69">
        <v>2025764</v>
      </c>
      <c r="X646" s="69"/>
      <c r="Y646" s="123"/>
      <c r="Z646" s="30">
        <f t="shared" si="20"/>
        <v>6772.6006943194379</v>
      </c>
      <c r="AA646" s="30">
        <f t="shared" si="21"/>
        <v>2116.4377169748245</v>
      </c>
      <c r="AB646" t="s">
        <v>456</v>
      </c>
    </row>
    <row r="647" spans="1:28">
      <c r="A647" s="67" t="s">
        <v>122</v>
      </c>
      <c r="B647" s="68">
        <v>1256218</v>
      </c>
      <c r="C647" s="69">
        <v>4615411518</v>
      </c>
      <c r="D647" s="70">
        <v>19175</v>
      </c>
      <c r="E647" s="80"/>
      <c r="F647" s="68">
        <v>16</v>
      </c>
      <c r="G647" s="68">
        <v>5</v>
      </c>
      <c r="H647" s="73">
        <v>0</v>
      </c>
      <c r="I647" s="68">
        <v>0</v>
      </c>
      <c r="J647" s="71"/>
      <c r="K647" s="71">
        <v>42778</v>
      </c>
      <c r="L647" s="69" t="s">
        <v>80</v>
      </c>
      <c r="M647" s="69" t="s">
        <v>109</v>
      </c>
      <c r="N647" s="72">
        <v>42942</v>
      </c>
      <c r="O647" s="67"/>
      <c r="P647" s="67" t="s">
        <v>95</v>
      </c>
      <c r="Q647" s="67" t="s">
        <v>120</v>
      </c>
      <c r="R647" s="69" t="s">
        <v>69</v>
      </c>
      <c r="S647" s="69" t="s">
        <v>123</v>
      </c>
      <c r="T647" s="67"/>
      <c r="U647" s="67"/>
      <c r="V647" s="72">
        <v>42916</v>
      </c>
      <c r="W647" s="69">
        <v>2025751</v>
      </c>
      <c r="X647" s="69"/>
      <c r="Y647" s="123"/>
      <c r="Z647" s="30">
        <f t="shared" si="20"/>
        <v>6763.7822038320437</v>
      </c>
      <c r="AA647" s="30">
        <f t="shared" si="21"/>
        <v>2113.6819386975139</v>
      </c>
      <c r="AB647" t="s">
        <v>456</v>
      </c>
    </row>
    <row r="648" spans="1:28">
      <c r="A648" s="67" t="s">
        <v>113</v>
      </c>
      <c r="B648" s="68">
        <v>1251874</v>
      </c>
      <c r="C648" s="69">
        <v>4615414482</v>
      </c>
      <c r="D648" s="70">
        <v>20700</v>
      </c>
      <c r="E648" s="80"/>
      <c r="F648" s="73">
        <v>16</v>
      </c>
      <c r="G648" s="73">
        <v>5</v>
      </c>
      <c r="H648" s="73">
        <v>0</v>
      </c>
      <c r="I648" s="68">
        <v>0</v>
      </c>
      <c r="J648" s="71"/>
      <c r="K648" s="71">
        <v>42794</v>
      </c>
      <c r="L648" s="69" t="s">
        <v>80</v>
      </c>
      <c r="M648" s="69" t="s">
        <v>109</v>
      </c>
      <c r="N648" s="72">
        <v>42942</v>
      </c>
      <c r="O648" s="67"/>
      <c r="P648" s="67" t="s">
        <v>95</v>
      </c>
      <c r="Q648" s="67" t="s">
        <v>110</v>
      </c>
      <c r="R648" s="69" t="s">
        <v>69</v>
      </c>
      <c r="S648" s="69" t="s">
        <v>115</v>
      </c>
      <c r="T648" s="67"/>
      <c r="U648" s="67"/>
      <c r="V648" s="72">
        <v>42916</v>
      </c>
      <c r="W648" s="69" t="s">
        <v>181</v>
      </c>
      <c r="X648" s="69" t="s">
        <v>182</v>
      </c>
      <c r="Y648" s="123"/>
      <c r="Z648" s="30">
        <f t="shared" si="20"/>
        <v>7301.7101235631453</v>
      </c>
      <c r="AA648" s="30">
        <f t="shared" si="21"/>
        <v>2281.7844136134831</v>
      </c>
      <c r="AB648" t="s">
        <v>456</v>
      </c>
    </row>
    <row r="649" spans="1:28">
      <c r="A649" s="67" t="s">
        <v>128</v>
      </c>
      <c r="B649" s="68">
        <v>1242696</v>
      </c>
      <c r="C649" s="69">
        <v>4615420218</v>
      </c>
      <c r="D649" s="70">
        <v>19175</v>
      </c>
      <c r="E649" s="80"/>
      <c r="F649" s="81">
        <v>154.32</v>
      </c>
      <c r="G649" s="68" t="s">
        <v>114</v>
      </c>
      <c r="H649" s="68">
        <v>0</v>
      </c>
      <c r="I649" s="68">
        <v>0</v>
      </c>
      <c r="J649" s="71"/>
      <c r="K649" s="71">
        <v>42729</v>
      </c>
      <c r="L649" s="69" t="s">
        <v>80</v>
      </c>
      <c r="M649" s="69" t="s">
        <v>109</v>
      </c>
      <c r="N649" s="72">
        <v>42941</v>
      </c>
      <c r="O649" s="67"/>
      <c r="P649" s="67" t="s">
        <v>95</v>
      </c>
      <c r="Q649" s="67" t="s">
        <v>129</v>
      </c>
      <c r="R649" s="69" t="s">
        <v>69</v>
      </c>
      <c r="S649" s="69" t="s">
        <v>130</v>
      </c>
      <c r="T649" s="67"/>
      <c r="U649" s="67"/>
      <c r="V649" s="72">
        <v>42916</v>
      </c>
      <c r="W649" s="69">
        <v>425570005</v>
      </c>
      <c r="X649" s="69"/>
      <c r="Y649" s="123"/>
      <c r="Z649" s="30">
        <f t="shared" si="20"/>
        <v>65236.679355960063</v>
      </c>
      <c r="AA649" s="30">
        <f t="shared" si="21"/>
        <v>0</v>
      </c>
      <c r="AB649" t="s">
        <v>456</v>
      </c>
    </row>
    <row r="650" spans="1:28">
      <c r="A650" s="67" t="s">
        <v>68</v>
      </c>
      <c r="B650" s="68">
        <v>1233249</v>
      </c>
      <c r="C650" s="69">
        <v>4615409790</v>
      </c>
      <c r="D650" s="70">
        <v>19175</v>
      </c>
      <c r="E650" s="80"/>
      <c r="F650" s="68">
        <v>16</v>
      </c>
      <c r="G650" s="68" t="s">
        <v>114</v>
      </c>
      <c r="H650" s="68">
        <v>0</v>
      </c>
      <c r="I650" s="68">
        <v>0</v>
      </c>
      <c r="J650" s="71">
        <v>42812</v>
      </c>
      <c r="K650" s="71">
        <v>42778</v>
      </c>
      <c r="L650" s="69" t="s">
        <v>119</v>
      </c>
      <c r="M650" s="69" t="s">
        <v>109</v>
      </c>
      <c r="N650" s="72">
        <v>42941</v>
      </c>
      <c r="O650" s="67"/>
      <c r="P650" s="67" t="s">
        <v>95</v>
      </c>
      <c r="Q650" s="67" t="s">
        <v>125</v>
      </c>
      <c r="R650" s="69" t="s">
        <v>69</v>
      </c>
      <c r="S650" s="69" t="s">
        <v>68</v>
      </c>
      <c r="T650" s="67"/>
      <c r="U650" s="67"/>
      <c r="V650" s="72">
        <v>42825</v>
      </c>
      <c r="W650" s="69">
        <v>5114719</v>
      </c>
      <c r="X650" s="69"/>
      <c r="Y650" s="123"/>
      <c r="Z650" s="30">
        <f t="shared" si="20"/>
        <v>6763.7822038320437</v>
      </c>
      <c r="AA650" s="30">
        <f t="shared" si="21"/>
        <v>0</v>
      </c>
      <c r="AB650" t="s">
        <v>456</v>
      </c>
    </row>
    <row r="651" spans="1:28">
      <c r="A651" s="67" t="s">
        <v>68</v>
      </c>
      <c r="B651" s="68">
        <v>1233239</v>
      </c>
      <c r="C651" s="69">
        <v>4615409790</v>
      </c>
      <c r="D651" s="70">
        <v>19175</v>
      </c>
      <c r="E651" s="80"/>
      <c r="F651" s="68">
        <v>16</v>
      </c>
      <c r="G651" s="68" t="s">
        <v>114</v>
      </c>
      <c r="H651" s="68">
        <v>0</v>
      </c>
      <c r="I651" s="68">
        <v>0</v>
      </c>
      <c r="J651" s="71">
        <v>42812</v>
      </c>
      <c r="K651" s="71">
        <v>42781</v>
      </c>
      <c r="L651" s="69" t="s">
        <v>119</v>
      </c>
      <c r="M651" s="69" t="s">
        <v>109</v>
      </c>
      <c r="N651" s="72">
        <v>42941</v>
      </c>
      <c r="O651" s="67"/>
      <c r="P651" s="67" t="s">
        <v>95</v>
      </c>
      <c r="Q651" s="67" t="s">
        <v>125</v>
      </c>
      <c r="R651" s="69" t="s">
        <v>69</v>
      </c>
      <c r="S651" s="69" t="s">
        <v>68</v>
      </c>
      <c r="T651" s="67"/>
      <c r="U651" s="67"/>
      <c r="V651" s="72">
        <v>42825</v>
      </c>
      <c r="W651" s="69">
        <v>5114719</v>
      </c>
      <c r="X651" s="69"/>
      <c r="Y651" s="123"/>
      <c r="Z651" s="30">
        <f t="shared" si="20"/>
        <v>6763.7822038320437</v>
      </c>
      <c r="AA651" s="30">
        <f t="shared" si="21"/>
        <v>0</v>
      </c>
      <c r="AB651" t="s">
        <v>456</v>
      </c>
    </row>
    <row r="652" spans="1:28">
      <c r="A652" s="67" t="s">
        <v>113</v>
      </c>
      <c r="B652" s="68">
        <v>1250772</v>
      </c>
      <c r="C652" s="69">
        <v>4615406599</v>
      </c>
      <c r="D652" s="70">
        <v>19200</v>
      </c>
      <c r="E652" s="80"/>
      <c r="F652" s="73">
        <v>16</v>
      </c>
      <c r="G652" s="73" t="s">
        <v>114</v>
      </c>
      <c r="H652" s="73">
        <v>0</v>
      </c>
      <c r="I652" s="68">
        <v>0</v>
      </c>
      <c r="J652" s="71"/>
      <c r="K652" s="71">
        <v>42737</v>
      </c>
      <c r="L652" s="69" t="s">
        <v>80</v>
      </c>
      <c r="M652" s="69" t="s">
        <v>109</v>
      </c>
      <c r="N652" s="72">
        <v>42941</v>
      </c>
      <c r="O652" s="67"/>
      <c r="P652" s="67" t="s">
        <v>95</v>
      </c>
      <c r="Q652" s="67" t="s">
        <v>110</v>
      </c>
      <c r="R652" s="69" t="s">
        <v>69</v>
      </c>
      <c r="S652" s="69" t="s">
        <v>115</v>
      </c>
      <c r="T652" s="67"/>
      <c r="U652" s="67"/>
      <c r="V652" s="72">
        <v>42916</v>
      </c>
      <c r="W652" s="69" t="s">
        <v>188</v>
      </c>
      <c r="X652" s="69" t="s">
        <v>117</v>
      </c>
      <c r="Y652" s="123"/>
      <c r="Z652" s="30">
        <f t="shared" si="20"/>
        <v>6772.6006943194379</v>
      </c>
      <c r="AA652" s="30">
        <f t="shared" si="21"/>
        <v>0</v>
      </c>
      <c r="AB652" t="s">
        <v>456</v>
      </c>
    </row>
    <row r="653" spans="1:28">
      <c r="A653" s="67" t="s">
        <v>122</v>
      </c>
      <c r="B653" s="68">
        <v>1250472</v>
      </c>
      <c r="C653" s="69">
        <v>4615416264</v>
      </c>
      <c r="D653" s="70">
        <v>19200</v>
      </c>
      <c r="E653" s="80"/>
      <c r="F653" s="68">
        <v>16</v>
      </c>
      <c r="G653" s="68">
        <v>5</v>
      </c>
      <c r="H653" s="68">
        <v>0</v>
      </c>
      <c r="I653" s="68">
        <v>0</v>
      </c>
      <c r="J653" s="71"/>
      <c r="K653" s="71">
        <v>42742</v>
      </c>
      <c r="L653" s="69" t="s">
        <v>80</v>
      </c>
      <c r="M653" s="69" t="s">
        <v>109</v>
      </c>
      <c r="N653" s="72">
        <v>42941</v>
      </c>
      <c r="O653" s="67"/>
      <c r="P653" s="67" t="s">
        <v>95</v>
      </c>
      <c r="Q653" s="67" t="s">
        <v>120</v>
      </c>
      <c r="R653" s="69" t="s">
        <v>69</v>
      </c>
      <c r="S653" s="69" t="s">
        <v>123</v>
      </c>
      <c r="T653" s="67"/>
      <c r="U653" s="67"/>
      <c r="V653" s="72">
        <v>42886</v>
      </c>
      <c r="W653" s="69">
        <v>20225765</v>
      </c>
      <c r="X653" s="69" t="s">
        <v>196</v>
      </c>
      <c r="Y653" s="123"/>
      <c r="Z653" s="30">
        <f t="shared" si="20"/>
        <v>6772.6006943194379</v>
      </c>
      <c r="AA653" s="30">
        <f t="shared" si="21"/>
        <v>2116.4377169748245</v>
      </c>
      <c r="AB653" t="s">
        <v>456</v>
      </c>
    </row>
    <row r="654" spans="1:28">
      <c r="A654" s="67" t="s">
        <v>68</v>
      </c>
      <c r="B654" s="68" t="s">
        <v>161</v>
      </c>
      <c r="C654" s="69" t="s">
        <v>161</v>
      </c>
      <c r="D654" s="70">
        <v>20544.980000000003</v>
      </c>
      <c r="E654" s="80"/>
      <c r="F654" s="73">
        <v>16</v>
      </c>
      <c r="G654" s="73" t="s">
        <v>114</v>
      </c>
      <c r="H654" s="68">
        <v>0</v>
      </c>
      <c r="I654" s="68">
        <v>0</v>
      </c>
      <c r="J654" s="71"/>
      <c r="K654" s="71">
        <v>42773</v>
      </c>
      <c r="L654" s="69" t="s">
        <v>80</v>
      </c>
      <c r="M654" s="69" t="s">
        <v>109</v>
      </c>
      <c r="N654" s="72">
        <v>42940</v>
      </c>
      <c r="O654" s="67"/>
      <c r="P654" s="67" t="s">
        <v>95</v>
      </c>
      <c r="Q654" s="67" t="s">
        <v>125</v>
      </c>
      <c r="R654" s="69" t="s">
        <v>69</v>
      </c>
      <c r="S654" s="69" t="s">
        <v>68</v>
      </c>
      <c r="T654" s="67"/>
      <c r="U654" s="67"/>
      <c r="V654" s="72">
        <v>42947</v>
      </c>
      <c r="W654" s="69">
        <v>5114723</v>
      </c>
      <c r="X654" s="69" t="s">
        <v>189</v>
      </c>
      <c r="Y654" s="123"/>
      <c r="Z654" s="30">
        <f t="shared" si="20"/>
        <v>7247.0284277489072</v>
      </c>
      <c r="AA654" s="30">
        <f t="shared" si="21"/>
        <v>0</v>
      </c>
      <c r="AB654" t="s">
        <v>456</v>
      </c>
    </row>
    <row r="655" spans="1:28">
      <c r="A655" s="67" t="s">
        <v>68</v>
      </c>
      <c r="B655" s="68" t="s">
        <v>161</v>
      </c>
      <c r="C655" s="69" t="s">
        <v>161</v>
      </c>
      <c r="D655" s="70">
        <v>20544.980000000003</v>
      </c>
      <c r="E655" s="80"/>
      <c r="F655" s="73">
        <v>16</v>
      </c>
      <c r="G655" s="73" t="s">
        <v>114</v>
      </c>
      <c r="H655" s="68">
        <v>0</v>
      </c>
      <c r="I655" s="68">
        <v>0</v>
      </c>
      <c r="J655" s="71"/>
      <c r="K655" s="71">
        <v>42756</v>
      </c>
      <c r="L655" s="69" t="s">
        <v>80</v>
      </c>
      <c r="M655" s="69" t="s">
        <v>109</v>
      </c>
      <c r="N655" s="72">
        <v>42940</v>
      </c>
      <c r="O655" s="67"/>
      <c r="P655" s="67" t="s">
        <v>95</v>
      </c>
      <c r="Q655" s="67" t="s">
        <v>125</v>
      </c>
      <c r="R655" s="69" t="s">
        <v>69</v>
      </c>
      <c r="S655" s="69" t="s">
        <v>68</v>
      </c>
      <c r="T655" s="67"/>
      <c r="U655" s="67"/>
      <c r="V655" s="72">
        <v>42947</v>
      </c>
      <c r="W655" s="69">
        <v>5114723</v>
      </c>
      <c r="X655" s="69" t="s">
        <v>189</v>
      </c>
      <c r="Y655" s="123"/>
      <c r="Z655" s="30">
        <f t="shared" si="20"/>
        <v>7247.0284277489072</v>
      </c>
      <c r="AA655" s="30">
        <f t="shared" si="21"/>
        <v>0</v>
      </c>
      <c r="AB655" t="s">
        <v>456</v>
      </c>
    </row>
    <row r="656" spans="1:28">
      <c r="A656" s="67" t="s">
        <v>68</v>
      </c>
      <c r="B656" s="68" t="s">
        <v>161</v>
      </c>
      <c r="C656" s="69" t="s">
        <v>161</v>
      </c>
      <c r="D656" s="70">
        <v>20544.980000000003</v>
      </c>
      <c r="E656" s="80"/>
      <c r="F656" s="73">
        <v>16</v>
      </c>
      <c r="G656" s="73" t="s">
        <v>114</v>
      </c>
      <c r="H656" s="68">
        <v>0</v>
      </c>
      <c r="I656" s="68">
        <v>0</v>
      </c>
      <c r="J656" s="71"/>
      <c r="K656" s="71">
        <v>42724</v>
      </c>
      <c r="L656" s="69" t="s">
        <v>80</v>
      </c>
      <c r="M656" s="69" t="s">
        <v>109</v>
      </c>
      <c r="N656" s="72">
        <v>42940</v>
      </c>
      <c r="O656" s="67"/>
      <c r="P656" s="67" t="s">
        <v>95</v>
      </c>
      <c r="Q656" s="67" t="s">
        <v>125</v>
      </c>
      <c r="R656" s="69" t="s">
        <v>69</v>
      </c>
      <c r="S656" s="69" t="s">
        <v>68</v>
      </c>
      <c r="T656" s="67"/>
      <c r="U656" s="67"/>
      <c r="V656" s="72">
        <v>42947</v>
      </c>
      <c r="W656" s="69">
        <v>5114723</v>
      </c>
      <c r="X656" s="69" t="s">
        <v>189</v>
      </c>
      <c r="Y656" s="123"/>
      <c r="Z656" s="30">
        <f t="shared" si="20"/>
        <v>7247.0284277489072</v>
      </c>
      <c r="AA656" s="30">
        <f t="shared" si="21"/>
        <v>0</v>
      </c>
      <c r="AB656" t="s">
        <v>456</v>
      </c>
    </row>
    <row r="657" spans="1:28">
      <c r="A657" s="67" t="s">
        <v>68</v>
      </c>
      <c r="B657" s="68" t="s">
        <v>161</v>
      </c>
      <c r="C657" s="69" t="s">
        <v>161</v>
      </c>
      <c r="D657" s="70">
        <v>20544.980000000003</v>
      </c>
      <c r="E657" s="80"/>
      <c r="F657" s="73">
        <v>16</v>
      </c>
      <c r="G657" s="73" t="s">
        <v>114</v>
      </c>
      <c r="H657" s="68">
        <v>0</v>
      </c>
      <c r="I657" s="68">
        <v>0</v>
      </c>
      <c r="J657" s="71"/>
      <c r="K657" s="71">
        <v>42674</v>
      </c>
      <c r="L657" s="69" t="s">
        <v>80</v>
      </c>
      <c r="M657" s="69" t="s">
        <v>109</v>
      </c>
      <c r="N657" s="72">
        <v>42940</v>
      </c>
      <c r="O657" s="67"/>
      <c r="P657" s="67" t="s">
        <v>95</v>
      </c>
      <c r="Q657" s="67" t="s">
        <v>125</v>
      </c>
      <c r="R657" s="69" t="s">
        <v>69</v>
      </c>
      <c r="S657" s="69" t="s">
        <v>68</v>
      </c>
      <c r="T657" s="67"/>
      <c r="U657" s="67"/>
      <c r="V657" s="72">
        <v>42947</v>
      </c>
      <c r="W657" s="69">
        <v>5114723</v>
      </c>
      <c r="X657" s="69" t="s">
        <v>189</v>
      </c>
      <c r="Y657" s="123"/>
      <c r="Z657" s="30">
        <f t="shared" si="20"/>
        <v>7247.0284277489072</v>
      </c>
      <c r="AA657" s="30">
        <f t="shared" si="21"/>
        <v>0</v>
      </c>
      <c r="AB657" t="s">
        <v>456</v>
      </c>
    </row>
    <row r="658" spans="1:28">
      <c r="A658" s="67" t="s">
        <v>68</v>
      </c>
      <c r="B658" s="68" t="s">
        <v>161</v>
      </c>
      <c r="C658" s="69" t="s">
        <v>161</v>
      </c>
      <c r="D658" s="70">
        <v>20544.980000000003</v>
      </c>
      <c r="E658" s="80"/>
      <c r="F658" s="73">
        <v>16</v>
      </c>
      <c r="G658" s="73" t="s">
        <v>114</v>
      </c>
      <c r="H658" s="68">
        <v>0</v>
      </c>
      <c r="I658" s="68">
        <v>0</v>
      </c>
      <c r="J658" s="71"/>
      <c r="K658" s="71">
        <v>42727</v>
      </c>
      <c r="L658" s="69" t="s">
        <v>80</v>
      </c>
      <c r="M658" s="69" t="s">
        <v>109</v>
      </c>
      <c r="N658" s="72">
        <v>42940</v>
      </c>
      <c r="O658" s="67"/>
      <c r="P658" s="67" t="s">
        <v>95</v>
      </c>
      <c r="Q658" s="67" t="s">
        <v>125</v>
      </c>
      <c r="R658" s="69" t="s">
        <v>69</v>
      </c>
      <c r="S658" s="69" t="s">
        <v>68</v>
      </c>
      <c r="T658" s="67"/>
      <c r="U658" s="67"/>
      <c r="V658" s="72">
        <v>42947</v>
      </c>
      <c r="W658" s="69">
        <v>5114723</v>
      </c>
      <c r="X658" s="69" t="s">
        <v>189</v>
      </c>
      <c r="Y658" s="123"/>
      <c r="Z658" s="30">
        <f t="shared" si="20"/>
        <v>7247.0284277489072</v>
      </c>
      <c r="AA658" s="30">
        <f t="shared" si="21"/>
        <v>0</v>
      </c>
      <c r="AB658" t="s">
        <v>456</v>
      </c>
    </row>
    <row r="659" spans="1:28">
      <c r="A659" s="67" t="s">
        <v>68</v>
      </c>
      <c r="B659" s="68" t="s">
        <v>161</v>
      </c>
      <c r="C659" s="69" t="s">
        <v>161</v>
      </c>
      <c r="D659" s="70">
        <v>20544.980000000003</v>
      </c>
      <c r="E659" s="80"/>
      <c r="F659" s="73">
        <v>16</v>
      </c>
      <c r="G659" s="73" t="s">
        <v>114</v>
      </c>
      <c r="H659" s="68">
        <v>0</v>
      </c>
      <c r="I659" s="68">
        <v>0</v>
      </c>
      <c r="J659" s="71"/>
      <c r="K659" s="71">
        <v>42722</v>
      </c>
      <c r="L659" s="69" t="s">
        <v>80</v>
      </c>
      <c r="M659" s="69" t="s">
        <v>109</v>
      </c>
      <c r="N659" s="72">
        <v>42940</v>
      </c>
      <c r="O659" s="67"/>
      <c r="P659" s="67" t="s">
        <v>95</v>
      </c>
      <c r="Q659" s="67" t="s">
        <v>125</v>
      </c>
      <c r="R659" s="69" t="s">
        <v>69</v>
      </c>
      <c r="S659" s="69" t="s">
        <v>68</v>
      </c>
      <c r="T659" s="67"/>
      <c r="U659" s="67"/>
      <c r="V659" s="72">
        <v>42947</v>
      </c>
      <c r="W659" s="69">
        <v>5114723</v>
      </c>
      <c r="X659" s="69" t="s">
        <v>189</v>
      </c>
      <c r="Y659" s="123"/>
      <c r="Z659" s="30">
        <f t="shared" si="20"/>
        <v>7247.0284277489072</v>
      </c>
      <c r="AA659" s="30">
        <f t="shared" si="21"/>
        <v>0</v>
      </c>
      <c r="AB659" t="s">
        <v>456</v>
      </c>
    </row>
    <row r="660" spans="1:28">
      <c r="A660" s="67" t="s">
        <v>68</v>
      </c>
      <c r="B660" s="68" t="s">
        <v>161</v>
      </c>
      <c r="C660" s="69" t="s">
        <v>161</v>
      </c>
      <c r="D660" s="70">
        <v>20544.980000000003</v>
      </c>
      <c r="E660" s="80"/>
      <c r="F660" s="73">
        <v>16</v>
      </c>
      <c r="G660" s="73" t="s">
        <v>114</v>
      </c>
      <c r="H660" s="68">
        <v>0</v>
      </c>
      <c r="I660" s="68">
        <v>0</v>
      </c>
      <c r="J660" s="71"/>
      <c r="K660" s="71">
        <v>42770</v>
      </c>
      <c r="L660" s="69" t="s">
        <v>80</v>
      </c>
      <c r="M660" s="69" t="s">
        <v>109</v>
      </c>
      <c r="N660" s="72">
        <v>42940</v>
      </c>
      <c r="O660" s="67"/>
      <c r="P660" s="67" t="s">
        <v>95</v>
      </c>
      <c r="Q660" s="67" t="s">
        <v>125</v>
      </c>
      <c r="R660" s="69" t="s">
        <v>69</v>
      </c>
      <c r="S660" s="69" t="s">
        <v>68</v>
      </c>
      <c r="T660" s="67"/>
      <c r="U660" s="67"/>
      <c r="V660" s="72">
        <v>42947</v>
      </c>
      <c r="W660" s="69">
        <v>5114723</v>
      </c>
      <c r="X660" s="69" t="s">
        <v>189</v>
      </c>
      <c r="Y660" s="123"/>
      <c r="Z660" s="30">
        <f t="shared" si="20"/>
        <v>7247.0284277489072</v>
      </c>
      <c r="AA660" s="30">
        <f t="shared" si="21"/>
        <v>0</v>
      </c>
      <c r="AB660" t="s">
        <v>456</v>
      </c>
    </row>
    <row r="661" spans="1:28">
      <c r="A661" s="67" t="s">
        <v>68</v>
      </c>
      <c r="B661" s="68" t="s">
        <v>161</v>
      </c>
      <c r="C661" s="69" t="s">
        <v>161</v>
      </c>
      <c r="D661" s="70">
        <v>20544.980000000003</v>
      </c>
      <c r="E661" s="80"/>
      <c r="F661" s="73">
        <v>16</v>
      </c>
      <c r="G661" s="73" t="s">
        <v>114</v>
      </c>
      <c r="H661" s="68">
        <v>0</v>
      </c>
      <c r="I661" s="68">
        <v>0</v>
      </c>
      <c r="J661" s="71"/>
      <c r="K661" s="71">
        <v>42765</v>
      </c>
      <c r="L661" s="69" t="s">
        <v>80</v>
      </c>
      <c r="M661" s="69" t="s">
        <v>109</v>
      </c>
      <c r="N661" s="72">
        <v>42940</v>
      </c>
      <c r="O661" s="67"/>
      <c r="P661" s="67" t="s">
        <v>95</v>
      </c>
      <c r="Q661" s="67" t="s">
        <v>125</v>
      </c>
      <c r="R661" s="69" t="s">
        <v>69</v>
      </c>
      <c r="S661" s="69" t="s">
        <v>68</v>
      </c>
      <c r="T661" s="67"/>
      <c r="U661" s="67"/>
      <c r="V661" s="72">
        <v>42947</v>
      </c>
      <c r="W661" s="69">
        <v>5114723</v>
      </c>
      <c r="X661" s="69" t="s">
        <v>189</v>
      </c>
      <c r="Y661" s="123"/>
      <c r="Z661" s="30">
        <f t="shared" si="20"/>
        <v>7247.0284277489072</v>
      </c>
      <c r="AA661" s="30">
        <f t="shared" si="21"/>
        <v>0</v>
      </c>
      <c r="AB661" t="s">
        <v>456</v>
      </c>
    </row>
    <row r="662" spans="1:28">
      <c r="A662" s="67" t="s">
        <v>68</v>
      </c>
      <c r="B662" s="68" t="s">
        <v>161</v>
      </c>
      <c r="C662" s="69" t="s">
        <v>161</v>
      </c>
      <c r="D662" s="70">
        <v>20544.980000000003</v>
      </c>
      <c r="E662" s="80"/>
      <c r="F662" s="73">
        <v>16</v>
      </c>
      <c r="G662" s="73" t="s">
        <v>114</v>
      </c>
      <c r="H662" s="68">
        <v>0</v>
      </c>
      <c r="I662" s="68">
        <v>0</v>
      </c>
      <c r="J662" s="71"/>
      <c r="K662" s="71">
        <v>42773</v>
      </c>
      <c r="L662" s="69" t="s">
        <v>80</v>
      </c>
      <c r="M662" s="69" t="s">
        <v>109</v>
      </c>
      <c r="N662" s="72">
        <v>42940</v>
      </c>
      <c r="O662" s="67"/>
      <c r="P662" s="67" t="s">
        <v>95</v>
      </c>
      <c r="Q662" s="67" t="s">
        <v>125</v>
      </c>
      <c r="R662" s="69" t="s">
        <v>69</v>
      </c>
      <c r="S662" s="69" t="s">
        <v>68</v>
      </c>
      <c r="T662" s="67"/>
      <c r="U662" s="67"/>
      <c r="V662" s="72">
        <v>42947</v>
      </c>
      <c r="W662" s="69">
        <v>5114723</v>
      </c>
      <c r="X662" s="69" t="s">
        <v>189</v>
      </c>
      <c r="Y662" s="123"/>
      <c r="Z662" s="30">
        <f t="shared" si="20"/>
        <v>7247.0284277489072</v>
      </c>
      <c r="AA662" s="30">
        <f t="shared" si="21"/>
        <v>0</v>
      </c>
      <c r="AB662" t="s">
        <v>456</v>
      </c>
    </row>
    <row r="663" spans="1:28">
      <c r="A663" s="67" t="s">
        <v>68</v>
      </c>
      <c r="B663" s="68" t="s">
        <v>161</v>
      </c>
      <c r="C663" s="69" t="s">
        <v>161</v>
      </c>
      <c r="D663" s="70">
        <v>20544.980000000003</v>
      </c>
      <c r="E663" s="79"/>
      <c r="F663" s="73">
        <v>16</v>
      </c>
      <c r="G663" s="73" t="s">
        <v>114</v>
      </c>
      <c r="H663" s="68">
        <v>0</v>
      </c>
      <c r="I663" s="68">
        <v>0</v>
      </c>
      <c r="J663" s="71"/>
      <c r="K663" s="71">
        <v>42773</v>
      </c>
      <c r="L663" s="69" t="s">
        <v>80</v>
      </c>
      <c r="M663" s="69" t="s">
        <v>109</v>
      </c>
      <c r="N663" s="72">
        <v>42940</v>
      </c>
      <c r="O663" s="67"/>
      <c r="P663" s="67" t="s">
        <v>95</v>
      </c>
      <c r="Q663" s="67" t="s">
        <v>125</v>
      </c>
      <c r="R663" s="69" t="s">
        <v>69</v>
      </c>
      <c r="S663" s="69" t="s">
        <v>68</v>
      </c>
      <c r="T663" s="67"/>
      <c r="U663" s="67"/>
      <c r="V663" s="72">
        <v>42947</v>
      </c>
      <c r="W663" s="69">
        <v>5114723</v>
      </c>
      <c r="X663" s="69" t="s">
        <v>189</v>
      </c>
      <c r="Y663" s="123"/>
      <c r="Z663" s="30">
        <f t="shared" si="20"/>
        <v>7247.0284277489072</v>
      </c>
      <c r="AA663" s="30">
        <f t="shared" si="21"/>
        <v>0</v>
      </c>
      <c r="AB663" t="s">
        <v>456</v>
      </c>
    </row>
    <row r="664" spans="1:28">
      <c r="A664" s="67" t="s">
        <v>131</v>
      </c>
      <c r="B664" s="68">
        <v>1245054</v>
      </c>
      <c r="C664" s="69">
        <v>4615426793</v>
      </c>
      <c r="D664" s="70">
        <v>19200</v>
      </c>
      <c r="E664" s="79"/>
      <c r="F664" s="81">
        <v>154.32</v>
      </c>
      <c r="G664" s="75" t="s">
        <v>114</v>
      </c>
      <c r="H664" s="68">
        <v>0</v>
      </c>
      <c r="I664" s="68">
        <v>0</v>
      </c>
      <c r="J664" s="71"/>
      <c r="K664" s="71">
        <v>42727</v>
      </c>
      <c r="L664" s="69" t="s">
        <v>80</v>
      </c>
      <c r="M664" s="69" t="s">
        <v>109</v>
      </c>
      <c r="N664" s="72">
        <v>42940</v>
      </c>
      <c r="O664" s="67"/>
      <c r="P664" s="67" t="s">
        <v>95</v>
      </c>
      <c r="Q664" s="67" t="s">
        <v>125</v>
      </c>
      <c r="R664" s="69" t="s">
        <v>69</v>
      </c>
      <c r="S664" s="69" t="s">
        <v>134</v>
      </c>
      <c r="T664" s="67"/>
      <c r="U664" s="67"/>
      <c r="V664" s="72">
        <v>42916</v>
      </c>
      <c r="W664" s="69" t="s">
        <v>195</v>
      </c>
      <c r="X664" s="69"/>
      <c r="Y664" s="123"/>
      <c r="Z664" s="30">
        <f t="shared" si="20"/>
        <v>65321.73369671098</v>
      </c>
      <c r="AA664" s="30">
        <f t="shared" si="21"/>
        <v>0</v>
      </c>
      <c r="AB664" t="s">
        <v>456</v>
      </c>
    </row>
    <row r="665" spans="1:28">
      <c r="A665" s="67" t="s">
        <v>118</v>
      </c>
      <c r="B665" s="68">
        <v>1237830</v>
      </c>
      <c r="C665" s="69">
        <v>4615369807</v>
      </c>
      <c r="D665" s="70">
        <v>19175</v>
      </c>
      <c r="E665" s="79"/>
      <c r="F665" s="68">
        <v>10</v>
      </c>
      <c r="G665" s="68" t="s">
        <v>114</v>
      </c>
      <c r="H665" s="68">
        <v>0</v>
      </c>
      <c r="I665" s="68">
        <v>0</v>
      </c>
      <c r="J665" s="71">
        <v>42853</v>
      </c>
      <c r="K665" s="71">
        <v>42742</v>
      </c>
      <c r="L665" s="69" t="s">
        <v>137</v>
      </c>
      <c r="M665" s="69" t="s">
        <v>109</v>
      </c>
      <c r="N665" s="72">
        <v>42940</v>
      </c>
      <c r="O665" s="67"/>
      <c r="P665" s="67" t="s">
        <v>95</v>
      </c>
      <c r="Q665" s="67" t="s">
        <v>120</v>
      </c>
      <c r="R665" s="69" t="s">
        <v>69</v>
      </c>
      <c r="S665" s="69" t="s">
        <v>121</v>
      </c>
      <c r="T665" s="67"/>
      <c r="U665" s="67"/>
      <c r="V665" s="72">
        <v>42886</v>
      </c>
      <c r="W665" s="69">
        <v>2021267</v>
      </c>
      <c r="X665" s="69"/>
      <c r="Y665" s="123"/>
      <c r="Z665" s="30">
        <f t="shared" si="20"/>
        <v>4227.3638773950279</v>
      </c>
      <c r="AA665" s="30">
        <f t="shared" si="21"/>
        <v>0</v>
      </c>
      <c r="AB665" t="s">
        <v>456</v>
      </c>
    </row>
    <row r="666" spans="1:28">
      <c r="A666" s="67" t="s">
        <v>68</v>
      </c>
      <c r="B666" s="68">
        <v>1233259</v>
      </c>
      <c r="C666" s="69">
        <v>4615417014</v>
      </c>
      <c r="D666" s="70">
        <v>19175</v>
      </c>
      <c r="E666" s="79"/>
      <c r="F666" s="73">
        <v>16</v>
      </c>
      <c r="G666" s="73">
        <v>5</v>
      </c>
      <c r="H666" s="68">
        <v>0</v>
      </c>
      <c r="I666" s="68">
        <v>0</v>
      </c>
      <c r="J666" s="71">
        <v>42812</v>
      </c>
      <c r="K666" s="71">
        <v>42773</v>
      </c>
      <c r="L666" s="69" t="s">
        <v>119</v>
      </c>
      <c r="M666" s="69" t="s">
        <v>109</v>
      </c>
      <c r="N666" s="72">
        <v>42940</v>
      </c>
      <c r="O666" s="67"/>
      <c r="P666" s="67" t="s">
        <v>95</v>
      </c>
      <c r="Q666" s="67" t="s">
        <v>125</v>
      </c>
      <c r="R666" s="69" t="s">
        <v>69</v>
      </c>
      <c r="S666" s="69" t="s">
        <v>68</v>
      </c>
      <c r="T666" s="67"/>
      <c r="U666" s="67"/>
      <c r="V666" s="72">
        <v>42825</v>
      </c>
      <c r="W666" s="69">
        <v>5114732</v>
      </c>
      <c r="X666" s="69"/>
      <c r="Y666" s="123"/>
      <c r="Z666" s="30">
        <f t="shared" si="20"/>
        <v>6763.7822038320437</v>
      </c>
      <c r="AA666" s="30">
        <f t="shared" si="21"/>
        <v>2113.6819386975139</v>
      </c>
      <c r="AB666" t="s">
        <v>456</v>
      </c>
    </row>
    <row r="667" spans="1:28">
      <c r="A667" s="67" t="s">
        <v>122</v>
      </c>
      <c r="B667" s="68">
        <v>1256220</v>
      </c>
      <c r="C667" s="69">
        <v>4615411518</v>
      </c>
      <c r="D667" s="70">
        <v>19175</v>
      </c>
      <c r="E667" s="79"/>
      <c r="F667" s="68">
        <v>16</v>
      </c>
      <c r="G667" s="68">
        <v>5</v>
      </c>
      <c r="H667" s="73">
        <v>0</v>
      </c>
      <c r="I667" s="68">
        <v>0</v>
      </c>
      <c r="J667" s="71"/>
      <c r="K667" s="71">
        <v>42756</v>
      </c>
      <c r="L667" s="69" t="s">
        <v>80</v>
      </c>
      <c r="M667" s="69" t="s">
        <v>109</v>
      </c>
      <c r="N667" s="72">
        <v>42940</v>
      </c>
      <c r="O667" s="67"/>
      <c r="P667" s="67" t="s">
        <v>95</v>
      </c>
      <c r="Q667" s="67" t="s">
        <v>120</v>
      </c>
      <c r="R667" s="69" t="s">
        <v>69</v>
      </c>
      <c r="S667" s="69" t="s">
        <v>123</v>
      </c>
      <c r="T667" s="67"/>
      <c r="U667" s="67"/>
      <c r="V667" s="72">
        <v>42916</v>
      </c>
      <c r="W667" s="69">
        <v>2025751</v>
      </c>
      <c r="X667" s="69"/>
      <c r="Y667" s="123"/>
      <c r="Z667" s="30">
        <f t="shared" si="20"/>
        <v>6763.7822038320437</v>
      </c>
      <c r="AA667" s="30">
        <f t="shared" si="21"/>
        <v>2113.6819386975139</v>
      </c>
      <c r="AB667" t="s">
        <v>456</v>
      </c>
    </row>
    <row r="668" spans="1:28">
      <c r="A668" s="67" t="s">
        <v>122</v>
      </c>
      <c r="B668" s="68">
        <v>1250469</v>
      </c>
      <c r="C668" s="69">
        <v>4615416264</v>
      </c>
      <c r="D668" s="70">
        <v>19200</v>
      </c>
      <c r="E668" s="79"/>
      <c r="F668" s="68">
        <v>16</v>
      </c>
      <c r="G668" s="68">
        <v>5</v>
      </c>
      <c r="H668" s="68">
        <v>0</v>
      </c>
      <c r="I668" s="68">
        <v>0</v>
      </c>
      <c r="J668" s="71"/>
      <c r="K668" s="71">
        <v>42734</v>
      </c>
      <c r="L668" s="69" t="s">
        <v>80</v>
      </c>
      <c r="M668" s="69" t="s">
        <v>109</v>
      </c>
      <c r="N668" s="72">
        <v>42940</v>
      </c>
      <c r="O668" s="67"/>
      <c r="P668" s="67" t="s">
        <v>95</v>
      </c>
      <c r="Q668" s="67" t="s">
        <v>120</v>
      </c>
      <c r="R668" s="69" t="s">
        <v>69</v>
      </c>
      <c r="S668" s="69" t="s">
        <v>123</v>
      </c>
      <c r="T668" s="67"/>
      <c r="U668" s="67"/>
      <c r="V668" s="72">
        <v>42886</v>
      </c>
      <c r="W668" s="69">
        <v>20225765</v>
      </c>
      <c r="X668" s="69" t="s">
        <v>196</v>
      </c>
      <c r="Y668" s="123"/>
      <c r="Z668" s="30">
        <f t="shared" si="20"/>
        <v>6772.6006943194379</v>
      </c>
      <c r="AA668" s="30">
        <f t="shared" si="21"/>
        <v>2116.4377169748245</v>
      </c>
      <c r="AB668" t="s">
        <v>456</v>
      </c>
    </row>
    <row r="669" spans="1:28">
      <c r="A669" s="67" t="s">
        <v>122</v>
      </c>
      <c r="B669" s="68">
        <v>1249927</v>
      </c>
      <c r="C669" s="69">
        <v>4615412056</v>
      </c>
      <c r="D669" s="70">
        <v>19200</v>
      </c>
      <c r="E669" s="79"/>
      <c r="F669" s="68">
        <v>16</v>
      </c>
      <c r="G669" s="68">
        <v>5</v>
      </c>
      <c r="H669" s="73">
        <v>0</v>
      </c>
      <c r="I669" s="68">
        <v>0</v>
      </c>
      <c r="J669" s="71"/>
      <c r="K669" s="71">
        <v>42780</v>
      </c>
      <c r="L669" s="69" t="s">
        <v>80</v>
      </c>
      <c r="M669" s="69" t="s">
        <v>109</v>
      </c>
      <c r="N669" s="72">
        <v>42940</v>
      </c>
      <c r="O669" s="67"/>
      <c r="P669" s="67" t="s">
        <v>95</v>
      </c>
      <c r="Q669" s="67" t="s">
        <v>120</v>
      </c>
      <c r="R669" s="69" t="s">
        <v>69</v>
      </c>
      <c r="S669" s="69" t="s">
        <v>123</v>
      </c>
      <c r="T669" s="67"/>
      <c r="U669" s="67"/>
      <c r="V669" s="72">
        <v>42886</v>
      </c>
      <c r="W669" s="69">
        <v>2025750</v>
      </c>
      <c r="X669" s="69" t="s">
        <v>196</v>
      </c>
      <c r="Y669" s="123"/>
      <c r="Z669" s="30">
        <f t="shared" si="20"/>
        <v>6772.6006943194379</v>
      </c>
      <c r="AA669" s="30">
        <f t="shared" si="21"/>
        <v>2116.4377169748245</v>
      </c>
      <c r="AB669" t="s">
        <v>456</v>
      </c>
    </row>
    <row r="670" spans="1:28">
      <c r="A670" s="67" t="s">
        <v>122</v>
      </c>
      <c r="B670" s="68">
        <v>1237194</v>
      </c>
      <c r="C670" s="69">
        <v>4615416293</v>
      </c>
      <c r="D670" s="70">
        <v>19200</v>
      </c>
      <c r="E670" s="79"/>
      <c r="F670" s="68">
        <v>16</v>
      </c>
      <c r="G670" s="68">
        <v>5</v>
      </c>
      <c r="H670" s="68">
        <v>0</v>
      </c>
      <c r="I670" s="68">
        <v>0</v>
      </c>
      <c r="J670" s="71">
        <v>42833</v>
      </c>
      <c r="K670" s="71">
        <v>42780</v>
      </c>
      <c r="L670" s="69" t="s">
        <v>119</v>
      </c>
      <c r="M670" s="69" t="s">
        <v>109</v>
      </c>
      <c r="N670" s="72">
        <v>42940</v>
      </c>
      <c r="O670" s="67"/>
      <c r="P670" s="67" t="s">
        <v>95</v>
      </c>
      <c r="Q670" s="67" t="s">
        <v>120</v>
      </c>
      <c r="R670" s="69" t="s">
        <v>69</v>
      </c>
      <c r="S670" s="69" t="s">
        <v>123</v>
      </c>
      <c r="T670" s="67"/>
      <c r="U670" s="67"/>
      <c r="V670" s="72">
        <v>42886</v>
      </c>
      <c r="W670" s="69">
        <v>2025664</v>
      </c>
      <c r="X670" s="69"/>
      <c r="Y670" s="123"/>
      <c r="Z670" s="30">
        <f t="shared" si="20"/>
        <v>6772.6006943194379</v>
      </c>
      <c r="AA670" s="30">
        <f t="shared" si="21"/>
        <v>2116.4377169748245</v>
      </c>
      <c r="AB670" t="s">
        <v>456</v>
      </c>
    </row>
    <row r="671" spans="1:28">
      <c r="A671" s="67" t="s">
        <v>113</v>
      </c>
      <c r="B671" s="68">
        <v>1245678</v>
      </c>
      <c r="C671" s="69">
        <v>4615404823</v>
      </c>
      <c r="D671" s="70">
        <v>20700</v>
      </c>
      <c r="E671" s="79"/>
      <c r="F671" s="68">
        <v>16</v>
      </c>
      <c r="G671" s="68" t="s">
        <v>114</v>
      </c>
      <c r="H671" s="73">
        <v>0</v>
      </c>
      <c r="I671" s="68">
        <v>0</v>
      </c>
      <c r="J671" s="71"/>
      <c r="K671" s="71">
        <v>42752</v>
      </c>
      <c r="L671" s="69" t="s">
        <v>80</v>
      </c>
      <c r="M671" s="69" t="s">
        <v>109</v>
      </c>
      <c r="N671" s="72">
        <v>42938</v>
      </c>
      <c r="O671" s="67"/>
      <c r="P671" s="67" t="s">
        <v>95</v>
      </c>
      <c r="Q671" s="67" t="s">
        <v>110</v>
      </c>
      <c r="R671" s="69" t="s">
        <v>69</v>
      </c>
      <c r="S671" s="69" t="s">
        <v>115</v>
      </c>
      <c r="T671" s="67"/>
      <c r="U671" s="67"/>
      <c r="V671" s="72">
        <v>42916</v>
      </c>
      <c r="W671" s="69" t="s">
        <v>186</v>
      </c>
      <c r="X671" s="69" t="s">
        <v>117</v>
      </c>
      <c r="Y671" s="123"/>
      <c r="Z671" s="30">
        <f t="shared" si="20"/>
        <v>7301.7101235631453</v>
      </c>
      <c r="AA671" s="30">
        <f t="shared" si="21"/>
        <v>0</v>
      </c>
      <c r="AB671" t="s">
        <v>456</v>
      </c>
    </row>
    <row r="672" spans="1:28">
      <c r="A672" s="67" t="s">
        <v>118</v>
      </c>
      <c r="B672" s="68">
        <v>1237835</v>
      </c>
      <c r="C672" s="69">
        <v>4615417695</v>
      </c>
      <c r="D672" s="70">
        <v>19175</v>
      </c>
      <c r="E672" s="79"/>
      <c r="F672" s="73">
        <v>10</v>
      </c>
      <c r="G672" s="73" t="s">
        <v>114</v>
      </c>
      <c r="H672" s="68">
        <v>0</v>
      </c>
      <c r="I672" s="68">
        <v>0</v>
      </c>
      <c r="J672" s="71">
        <v>42858</v>
      </c>
      <c r="K672" s="71">
        <v>42752</v>
      </c>
      <c r="L672" s="69" t="s">
        <v>137</v>
      </c>
      <c r="M672" s="69" t="s">
        <v>109</v>
      </c>
      <c r="N672" s="72">
        <v>42938</v>
      </c>
      <c r="O672" s="67"/>
      <c r="P672" s="67" t="s">
        <v>95</v>
      </c>
      <c r="Q672" s="67" t="s">
        <v>120</v>
      </c>
      <c r="R672" s="69" t="s">
        <v>69</v>
      </c>
      <c r="S672" s="69" t="s">
        <v>121</v>
      </c>
      <c r="T672" s="67"/>
      <c r="U672" s="67"/>
      <c r="V672" s="72">
        <v>42886</v>
      </c>
      <c r="W672" s="69">
        <v>2026347</v>
      </c>
      <c r="X672" s="69"/>
      <c r="Y672" s="123"/>
      <c r="Z672" s="30">
        <f t="shared" si="20"/>
        <v>4227.3638773950279</v>
      </c>
      <c r="AA672" s="30">
        <f t="shared" si="21"/>
        <v>0</v>
      </c>
      <c r="AB672" t="s">
        <v>456</v>
      </c>
    </row>
    <row r="673" spans="1:28">
      <c r="A673" s="67" t="s">
        <v>118</v>
      </c>
      <c r="B673" s="68">
        <v>1237831</v>
      </c>
      <c r="C673" s="69">
        <v>4615369807</v>
      </c>
      <c r="D673" s="70">
        <v>19175</v>
      </c>
      <c r="E673" s="79"/>
      <c r="F673" s="68">
        <v>10</v>
      </c>
      <c r="G673" s="68" t="s">
        <v>114</v>
      </c>
      <c r="H673" s="68">
        <v>0</v>
      </c>
      <c r="I673" s="68">
        <v>0</v>
      </c>
      <c r="J673" s="71">
        <v>42853</v>
      </c>
      <c r="K673" s="71">
        <v>42794</v>
      </c>
      <c r="L673" s="69" t="s">
        <v>137</v>
      </c>
      <c r="M673" s="69" t="s">
        <v>109</v>
      </c>
      <c r="N673" s="72">
        <v>42938</v>
      </c>
      <c r="O673" s="67"/>
      <c r="P673" s="67" t="s">
        <v>95</v>
      </c>
      <c r="Q673" s="67" t="s">
        <v>120</v>
      </c>
      <c r="R673" s="69" t="s">
        <v>69</v>
      </c>
      <c r="S673" s="69" t="s">
        <v>121</v>
      </c>
      <c r="T673" s="67"/>
      <c r="U673" s="67"/>
      <c r="V673" s="72">
        <v>42886</v>
      </c>
      <c r="W673" s="69">
        <v>2021267</v>
      </c>
      <c r="X673" s="69"/>
      <c r="Y673" s="123"/>
      <c r="Z673" s="30">
        <f t="shared" si="20"/>
        <v>4227.3638773950279</v>
      </c>
      <c r="AA673" s="30">
        <f t="shared" si="21"/>
        <v>0</v>
      </c>
      <c r="AB673" t="s">
        <v>456</v>
      </c>
    </row>
    <row r="674" spans="1:28">
      <c r="A674" s="67" t="s">
        <v>113</v>
      </c>
      <c r="B674" s="68">
        <v>1245677</v>
      </c>
      <c r="C674" s="69">
        <v>4615404823</v>
      </c>
      <c r="D674" s="70">
        <v>19200</v>
      </c>
      <c r="E674" s="79"/>
      <c r="F674" s="68">
        <v>16</v>
      </c>
      <c r="G674" s="68" t="s">
        <v>114</v>
      </c>
      <c r="H674" s="68">
        <v>0</v>
      </c>
      <c r="I674" s="68">
        <v>0</v>
      </c>
      <c r="J674" s="71"/>
      <c r="K674" s="71">
        <v>42759</v>
      </c>
      <c r="L674" s="69" t="s">
        <v>80</v>
      </c>
      <c r="M674" s="69" t="s">
        <v>109</v>
      </c>
      <c r="N674" s="72">
        <v>42938</v>
      </c>
      <c r="O674" s="67"/>
      <c r="P674" s="67" t="s">
        <v>95</v>
      </c>
      <c r="Q674" s="67" t="s">
        <v>110</v>
      </c>
      <c r="R674" s="69" t="s">
        <v>69</v>
      </c>
      <c r="S674" s="69" t="s">
        <v>115</v>
      </c>
      <c r="T674" s="67"/>
      <c r="U674" s="67"/>
      <c r="V674" s="72">
        <v>42916</v>
      </c>
      <c r="W674" s="69" t="s">
        <v>186</v>
      </c>
      <c r="X674" s="69" t="s">
        <v>117</v>
      </c>
      <c r="Y674" s="123"/>
      <c r="Z674" s="30">
        <f t="shared" si="20"/>
        <v>6772.6006943194379</v>
      </c>
      <c r="AA674" s="30">
        <f t="shared" si="21"/>
        <v>0</v>
      </c>
      <c r="AB674" t="s">
        <v>456</v>
      </c>
    </row>
    <row r="675" spans="1:28">
      <c r="A675" s="67" t="s">
        <v>113</v>
      </c>
      <c r="B675" s="68">
        <v>1224454</v>
      </c>
      <c r="C675" s="69">
        <v>4615400270</v>
      </c>
      <c r="D675" s="70">
        <v>19200</v>
      </c>
      <c r="E675" s="79"/>
      <c r="F675" s="73">
        <v>16</v>
      </c>
      <c r="G675" s="73" t="s">
        <v>114</v>
      </c>
      <c r="H675" s="73">
        <v>0</v>
      </c>
      <c r="I675" s="68">
        <v>0</v>
      </c>
      <c r="J675" s="71">
        <v>42785</v>
      </c>
      <c r="K675" s="71">
        <v>42727</v>
      </c>
      <c r="L675" s="69" t="s">
        <v>119</v>
      </c>
      <c r="M675" s="69" t="s">
        <v>109</v>
      </c>
      <c r="N675" s="72">
        <v>42936</v>
      </c>
      <c r="O675" s="67"/>
      <c r="P675" s="67" t="s">
        <v>95</v>
      </c>
      <c r="Q675" s="67" t="s">
        <v>110</v>
      </c>
      <c r="R675" s="69" t="s">
        <v>69</v>
      </c>
      <c r="S675" s="69" t="s">
        <v>115</v>
      </c>
      <c r="T675" s="67"/>
      <c r="U675" s="67"/>
      <c r="V675" s="72">
        <v>42825</v>
      </c>
      <c r="W675" s="69" t="s">
        <v>198</v>
      </c>
      <c r="X675" s="69" t="s">
        <v>199</v>
      </c>
      <c r="Y675" s="123"/>
      <c r="Z675" s="30">
        <f t="shared" si="20"/>
        <v>6772.6006943194379</v>
      </c>
      <c r="AA675" s="30">
        <f t="shared" si="21"/>
        <v>0</v>
      </c>
      <c r="AB675" t="s">
        <v>456</v>
      </c>
    </row>
    <row r="676" spans="1:28">
      <c r="A676" s="67" t="s">
        <v>122</v>
      </c>
      <c r="B676" s="68">
        <v>1235807</v>
      </c>
      <c r="C676" s="69">
        <v>4615413854</v>
      </c>
      <c r="D676" s="70">
        <v>19200</v>
      </c>
      <c r="E676" s="79"/>
      <c r="F676" s="73">
        <v>16</v>
      </c>
      <c r="G676" s="73">
        <v>5</v>
      </c>
      <c r="H676" s="73">
        <v>0</v>
      </c>
      <c r="I676" s="68">
        <v>0</v>
      </c>
      <c r="J676" s="71">
        <v>42818</v>
      </c>
      <c r="K676" s="71">
        <v>42729</v>
      </c>
      <c r="L676" s="69" t="s">
        <v>119</v>
      </c>
      <c r="M676" s="69" t="s">
        <v>109</v>
      </c>
      <c r="N676" s="72">
        <v>42936</v>
      </c>
      <c r="O676" s="67"/>
      <c r="P676" s="67" t="s">
        <v>95</v>
      </c>
      <c r="Q676" s="67" t="s">
        <v>120</v>
      </c>
      <c r="R676" s="69" t="s">
        <v>69</v>
      </c>
      <c r="S676" s="69" t="s">
        <v>123</v>
      </c>
      <c r="T676" s="67"/>
      <c r="U676" s="67"/>
      <c r="V676" s="72">
        <v>42855</v>
      </c>
      <c r="W676" s="69">
        <v>2025764</v>
      </c>
      <c r="X676" s="69"/>
      <c r="Y676" s="123"/>
      <c r="Z676" s="30">
        <f t="shared" si="20"/>
        <v>6772.6006943194379</v>
      </c>
      <c r="AA676" s="30">
        <f t="shared" si="21"/>
        <v>2116.4377169748245</v>
      </c>
      <c r="AB676" t="s">
        <v>456</v>
      </c>
    </row>
    <row r="677" spans="1:28">
      <c r="A677" s="67" t="s">
        <v>122</v>
      </c>
      <c r="B677" s="68">
        <v>1235806</v>
      </c>
      <c r="C677" s="69">
        <v>4615413854</v>
      </c>
      <c r="D677" s="70">
        <v>19200</v>
      </c>
      <c r="E677" s="79"/>
      <c r="F677" s="73">
        <v>16</v>
      </c>
      <c r="G677" s="73">
        <v>5</v>
      </c>
      <c r="H677" s="73">
        <v>0</v>
      </c>
      <c r="I677" s="68">
        <v>0</v>
      </c>
      <c r="J677" s="71">
        <v>42818</v>
      </c>
      <c r="K677" s="71">
        <v>42763</v>
      </c>
      <c r="L677" s="69" t="s">
        <v>119</v>
      </c>
      <c r="M677" s="69" t="s">
        <v>109</v>
      </c>
      <c r="N677" s="72">
        <v>42935</v>
      </c>
      <c r="O677" s="67"/>
      <c r="P677" s="67" t="s">
        <v>95</v>
      </c>
      <c r="Q677" s="67" t="s">
        <v>120</v>
      </c>
      <c r="R677" s="69" t="s">
        <v>69</v>
      </c>
      <c r="S677" s="69" t="s">
        <v>123</v>
      </c>
      <c r="T677" s="67"/>
      <c r="U677" s="67"/>
      <c r="V677" s="72">
        <v>42855</v>
      </c>
      <c r="W677" s="69">
        <v>2025764</v>
      </c>
      <c r="X677" s="69"/>
      <c r="Y677" s="123"/>
      <c r="Z677" s="30">
        <f t="shared" si="20"/>
        <v>6772.6006943194379</v>
      </c>
      <c r="AA677" s="30">
        <f t="shared" si="21"/>
        <v>2116.4377169748245</v>
      </c>
      <c r="AB677" t="s">
        <v>456</v>
      </c>
    </row>
    <row r="678" spans="1:28">
      <c r="A678" s="67" t="s">
        <v>122</v>
      </c>
      <c r="B678" s="68">
        <v>1235801</v>
      </c>
      <c r="C678" s="69">
        <v>4615413854</v>
      </c>
      <c r="D678" s="70">
        <v>19200</v>
      </c>
      <c r="E678" s="79"/>
      <c r="F678" s="73">
        <v>16</v>
      </c>
      <c r="G678" s="73">
        <v>5</v>
      </c>
      <c r="H678" s="73">
        <v>0</v>
      </c>
      <c r="I678" s="68">
        <v>0</v>
      </c>
      <c r="J678" s="71">
        <v>42818</v>
      </c>
      <c r="K678" s="71">
        <v>42763</v>
      </c>
      <c r="L678" s="69" t="s">
        <v>119</v>
      </c>
      <c r="M678" s="69" t="s">
        <v>109</v>
      </c>
      <c r="N678" s="72">
        <v>42935</v>
      </c>
      <c r="O678" s="67"/>
      <c r="P678" s="67" t="s">
        <v>95</v>
      </c>
      <c r="Q678" s="67" t="s">
        <v>120</v>
      </c>
      <c r="R678" s="69" t="s">
        <v>69</v>
      </c>
      <c r="S678" s="69" t="s">
        <v>123</v>
      </c>
      <c r="T678" s="67"/>
      <c r="U678" s="67"/>
      <c r="V678" s="72">
        <v>42855</v>
      </c>
      <c r="W678" s="69">
        <v>2025764</v>
      </c>
      <c r="X678" s="69"/>
      <c r="Y678" s="123"/>
      <c r="Z678" s="30">
        <f t="shared" si="20"/>
        <v>6772.6006943194379</v>
      </c>
      <c r="AA678" s="30">
        <f t="shared" si="21"/>
        <v>2116.4377169748245</v>
      </c>
      <c r="AB678" t="s">
        <v>456</v>
      </c>
    </row>
    <row r="679" spans="1:28">
      <c r="A679" s="67" t="s">
        <v>122</v>
      </c>
      <c r="B679" s="68">
        <v>1235803</v>
      </c>
      <c r="C679" s="69">
        <v>4615413854</v>
      </c>
      <c r="D679" s="70">
        <v>19200</v>
      </c>
      <c r="E679" s="79"/>
      <c r="F679" s="73">
        <v>16</v>
      </c>
      <c r="G679" s="73">
        <v>5</v>
      </c>
      <c r="H679" s="73">
        <v>0</v>
      </c>
      <c r="I679" s="68">
        <v>0</v>
      </c>
      <c r="J679" s="71">
        <v>42818</v>
      </c>
      <c r="K679" s="71">
        <v>42766</v>
      </c>
      <c r="L679" s="69" t="s">
        <v>119</v>
      </c>
      <c r="M679" s="69" t="s">
        <v>109</v>
      </c>
      <c r="N679" s="72">
        <v>42935</v>
      </c>
      <c r="O679" s="67"/>
      <c r="P679" s="67" t="s">
        <v>95</v>
      </c>
      <c r="Q679" s="67" t="s">
        <v>120</v>
      </c>
      <c r="R679" s="69" t="s">
        <v>69</v>
      </c>
      <c r="S679" s="69" t="s">
        <v>123</v>
      </c>
      <c r="T679" s="67"/>
      <c r="U679" s="67"/>
      <c r="V679" s="72">
        <v>42855</v>
      </c>
      <c r="W679" s="69">
        <v>2025764</v>
      </c>
      <c r="X679" s="69"/>
      <c r="Y679" s="123"/>
      <c r="Z679" s="30">
        <f t="shared" si="20"/>
        <v>6772.6006943194379</v>
      </c>
      <c r="AA679" s="30">
        <f t="shared" si="21"/>
        <v>2116.4377169748245</v>
      </c>
      <c r="AB679" t="s">
        <v>456</v>
      </c>
    </row>
    <row r="680" spans="1:28">
      <c r="A680" s="67" t="s">
        <v>118</v>
      </c>
      <c r="B680" s="68">
        <v>1237832</v>
      </c>
      <c r="C680" s="69">
        <v>4615369807</v>
      </c>
      <c r="D680" s="70">
        <v>19175</v>
      </c>
      <c r="E680" s="79"/>
      <c r="F680" s="68">
        <v>10</v>
      </c>
      <c r="G680" s="68" t="s">
        <v>114</v>
      </c>
      <c r="H680" s="68">
        <v>0</v>
      </c>
      <c r="I680" s="68">
        <v>0</v>
      </c>
      <c r="J680" s="71">
        <v>42853</v>
      </c>
      <c r="K680" s="71">
        <v>42745</v>
      </c>
      <c r="L680" s="69" t="s">
        <v>137</v>
      </c>
      <c r="M680" s="69" t="s">
        <v>109</v>
      </c>
      <c r="N680" s="72">
        <v>42935</v>
      </c>
      <c r="O680" s="67"/>
      <c r="P680" s="67" t="s">
        <v>95</v>
      </c>
      <c r="Q680" s="67" t="s">
        <v>120</v>
      </c>
      <c r="R680" s="69" t="s">
        <v>69</v>
      </c>
      <c r="S680" s="69" t="s">
        <v>121</v>
      </c>
      <c r="T680" s="67"/>
      <c r="U680" s="67"/>
      <c r="V680" s="72">
        <v>42886</v>
      </c>
      <c r="W680" s="69">
        <v>2021267</v>
      </c>
      <c r="X680" s="69"/>
      <c r="Y680" s="123"/>
      <c r="Z680" s="30">
        <f t="shared" si="20"/>
        <v>4227.3638773950279</v>
      </c>
      <c r="AA680" s="30">
        <f t="shared" si="21"/>
        <v>0</v>
      </c>
      <c r="AB680" t="s">
        <v>456</v>
      </c>
    </row>
    <row r="681" spans="1:28">
      <c r="A681" s="67" t="s">
        <v>118</v>
      </c>
      <c r="B681" s="68">
        <v>1237836</v>
      </c>
      <c r="C681" s="69">
        <v>4615417695</v>
      </c>
      <c r="D681" s="70">
        <v>19175</v>
      </c>
      <c r="E681" s="79"/>
      <c r="F681" s="73">
        <v>10</v>
      </c>
      <c r="G681" s="73" t="s">
        <v>114</v>
      </c>
      <c r="H681" s="68">
        <v>0</v>
      </c>
      <c r="I681" s="68">
        <v>0</v>
      </c>
      <c r="J681" s="71">
        <v>42858</v>
      </c>
      <c r="K681" s="71">
        <v>42720</v>
      </c>
      <c r="L681" s="69" t="s">
        <v>137</v>
      </c>
      <c r="M681" s="69" t="s">
        <v>109</v>
      </c>
      <c r="N681" s="72">
        <v>42935</v>
      </c>
      <c r="O681" s="67"/>
      <c r="P681" s="67" t="s">
        <v>95</v>
      </c>
      <c r="Q681" s="67" t="s">
        <v>120</v>
      </c>
      <c r="R681" s="69" t="s">
        <v>69</v>
      </c>
      <c r="S681" s="69" t="s">
        <v>121</v>
      </c>
      <c r="T681" s="67"/>
      <c r="U681" s="67"/>
      <c r="V681" s="72">
        <v>42886</v>
      </c>
      <c r="W681" s="69">
        <v>2026347</v>
      </c>
      <c r="X681" s="69"/>
      <c r="Y681" s="123"/>
      <c r="Z681" s="30">
        <f t="shared" si="20"/>
        <v>4227.3638773950279</v>
      </c>
      <c r="AA681" s="30">
        <f t="shared" si="21"/>
        <v>0</v>
      </c>
      <c r="AB681" t="s">
        <v>456</v>
      </c>
    </row>
    <row r="682" spans="1:28">
      <c r="A682" s="67" t="s">
        <v>122</v>
      </c>
      <c r="B682" s="68">
        <v>1249926</v>
      </c>
      <c r="C682" s="69">
        <v>4615412056</v>
      </c>
      <c r="D682" s="70">
        <v>19200</v>
      </c>
      <c r="E682" s="79"/>
      <c r="F682" s="68">
        <v>16</v>
      </c>
      <c r="G682" s="68">
        <v>5</v>
      </c>
      <c r="H682" s="73">
        <v>0</v>
      </c>
      <c r="I682" s="68">
        <v>0</v>
      </c>
      <c r="J682" s="71"/>
      <c r="K682" s="71">
        <v>42727</v>
      </c>
      <c r="L682" s="69" t="s">
        <v>80</v>
      </c>
      <c r="M682" s="69" t="s">
        <v>109</v>
      </c>
      <c r="N682" s="72">
        <v>42935</v>
      </c>
      <c r="O682" s="67"/>
      <c r="P682" s="67" t="s">
        <v>95</v>
      </c>
      <c r="Q682" s="67" t="s">
        <v>120</v>
      </c>
      <c r="R682" s="69" t="s">
        <v>69</v>
      </c>
      <c r="S682" s="69" t="s">
        <v>123</v>
      </c>
      <c r="T682" s="67"/>
      <c r="U682" s="67"/>
      <c r="V682" s="72">
        <v>42886</v>
      </c>
      <c r="W682" s="69">
        <v>2025750</v>
      </c>
      <c r="X682" s="69" t="s">
        <v>196</v>
      </c>
      <c r="Y682" s="123"/>
      <c r="Z682" s="30">
        <f t="shared" si="20"/>
        <v>6772.6006943194379</v>
      </c>
      <c r="AA682" s="30">
        <f t="shared" si="21"/>
        <v>2116.4377169748245</v>
      </c>
      <c r="AB682" t="s">
        <v>456</v>
      </c>
    </row>
    <row r="683" spans="1:28">
      <c r="A683" s="67" t="s">
        <v>131</v>
      </c>
      <c r="B683" s="68">
        <v>1245052</v>
      </c>
      <c r="C683" s="69">
        <v>4615426793</v>
      </c>
      <c r="D683" s="70">
        <v>19200</v>
      </c>
      <c r="E683" s="79"/>
      <c r="F683" s="81">
        <v>154.32</v>
      </c>
      <c r="G683" s="75" t="s">
        <v>114</v>
      </c>
      <c r="H683" s="68">
        <v>0</v>
      </c>
      <c r="I683" s="68">
        <v>0</v>
      </c>
      <c r="J683" s="71"/>
      <c r="K683" s="71">
        <v>42785</v>
      </c>
      <c r="L683" s="69" t="s">
        <v>80</v>
      </c>
      <c r="M683" s="69" t="s">
        <v>109</v>
      </c>
      <c r="N683" s="72">
        <v>42935</v>
      </c>
      <c r="O683" s="67"/>
      <c r="P683" s="67" t="s">
        <v>95</v>
      </c>
      <c r="Q683" s="67" t="s">
        <v>125</v>
      </c>
      <c r="R683" s="69" t="s">
        <v>69</v>
      </c>
      <c r="S683" s="69" t="s">
        <v>134</v>
      </c>
      <c r="T683" s="67"/>
      <c r="U683" s="67"/>
      <c r="V683" s="72">
        <v>42916</v>
      </c>
      <c r="W683" s="69" t="s">
        <v>195</v>
      </c>
      <c r="X683" s="69"/>
      <c r="Y683" s="123"/>
      <c r="Z683" s="30">
        <f t="shared" si="20"/>
        <v>65321.73369671098</v>
      </c>
      <c r="AA683" s="30">
        <f t="shared" si="21"/>
        <v>0</v>
      </c>
      <c r="AB683" t="s">
        <v>456</v>
      </c>
    </row>
    <row r="684" spans="1:28">
      <c r="A684" s="67" t="s">
        <v>113</v>
      </c>
      <c r="B684" s="68">
        <v>1251872</v>
      </c>
      <c r="C684" s="69">
        <v>4615414482</v>
      </c>
      <c r="D684" s="70">
        <v>20700</v>
      </c>
      <c r="E684" s="79"/>
      <c r="F684" s="73">
        <v>16</v>
      </c>
      <c r="G684" s="73">
        <v>5</v>
      </c>
      <c r="H684" s="73">
        <v>0</v>
      </c>
      <c r="I684" s="68">
        <v>0</v>
      </c>
      <c r="J684" s="71"/>
      <c r="K684" s="71">
        <v>42934</v>
      </c>
      <c r="L684" s="69" t="s">
        <v>80</v>
      </c>
      <c r="M684" s="69" t="s">
        <v>109</v>
      </c>
      <c r="N684" s="72">
        <v>42934</v>
      </c>
      <c r="O684" s="67"/>
      <c r="P684" s="67" t="s">
        <v>95</v>
      </c>
      <c r="Q684" s="67" t="s">
        <v>110</v>
      </c>
      <c r="R684" s="69" t="s">
        <v>69</v>
      </c>
      <c r="S684" s="69" t="s">
        <v>115</v>
      </c>
      <c r="T684" s="67"/>
      <c r="U684" s="67"/>
      <c r="V684" s="72">
        <v>42916</v>
      </c>
      <c r="W684" s="69" t="s">
        <v>181</v>
      </c>
      <c r="X684" s="69" t="s">
        <v>182</v>
      </c>
      <c r="Y684" s="123"/>
      <c r="Z684" s="30">
        <f t="shared" si="20"/>
        <v>7301.7101235631453</v>
      </c>
      <c r="AA684" s="30">
        <f t="shared" si="21"/>
        <v>2281.7844136134831</v>
      </c>
      <c r="AB684" t="s">
        <v>456</v>
      </c>
    </row>
    <row r="685" spans="1:28">
      <c r="A685" s="67" t="s">
        <v>113</v>
      </c>
      <c r="B685" s="68">
        <v>1251873</v>
      </c>
      <c r="C685" s="69">
        <v>4615414482</v>
      </c>
      <c r="D685" s="70">
        <v>20700</v>
      </c>
      <c r="E685" s="79"/>
      <c r="F685" s="73">
        <v>16</v>
      </c>
      <c r="G685" s="73">
        <v>5</v>
      </c>
      <c r="H685" s="73">
        <v>0</v>
      </c>
      <c r="I685" s="68">
        <v>0</v>
      </c>
      <c r="J685" s="71"/>
      <c r="K685" s="71">
        <v>42932</v>
      </c>
      <c r="L685" s="69" t="s">
        <v>80</v>
      </c>
      <c r="M685" s="69" t="s">
        <v>109</v>
      </c>
      <c r="N685" s="72">
        <v>42934</v>
      </c>
      <c r="O685" s="67"/>
      <c r="P685" s="67" t="s">
        <v>95</v>
      </c>
      <c r="Q685" s="67" t="s">
        <v>110</v>
      </c>
      <c r="R685" s="69" t="s">
        <v>69</v>
      </c>
      <c r="S685" s="69" t="s">
        <v>115</v>
      </c>
      <c r="T685" s="67"/>
      <c r="U685" s="67"/>
      <c r="V685" s="72">
        <v>42916</v>
      </c>
      <c r="W685" s="69" t="s">
        <v>181</v>
      </c>
      <c r="X685" s="69" t="s">
        <v>182</v>
      </c>
      <c r="Y685" s="123"/>
      <c r="Z685" s="30">
        <f t="shared" si="20"/>
        <v>7301.7101235631453</v>
      </c>
      <c r="AA685" s="30">
        <f t="shared" si="21"/>
        <v>2281.7844136134831</v>
      </c>
      <c r="AB685" t="s">
        <v>456</v>
      </c>
    </row>
    <row r="686" spans="1:28">
      <c r="A686" s="67" t="s">
        <v>136</v>
      </c>
      <c r="B686" s="68">
        <v>1240414</v>
      </c>
      <c r="C686" s="69">
        <v>4615418921</v>
      </c>
      <c r="D686" s="70">
        <v>19175</v>
      </c>
      <c r="E686" s="79"/>
      <c r="F686" s="73">
        <v>10</v>
      </c>
      <c r="G686" s="73" t="s">
        <v>114</v>
      </c>
      <c r="H686" s="68">
        <v>0</v>
      </c>
      <c r="I686" s="68">
        <v>0</v>
      </c>
      <c r="J686" s="71"/>
      <c r="K686" s="71">
        <v>42842</v>
      </c>
      <c r="L686" s="69" t="s">
        <v>80</v>
      </c>
      <c r="M686" s="69" t="s">
        <v>109</v>
      </c>
      <c r="N686" s="72">
        <v>42934</v>
      </c>
      <c r="O686" s="67"/>
      <c r="P686" s="67" t="s">
        <v>95</v>
      </c>
      <c r="Q686" s="67" t="s">
        <v>129</v>
      </c>
      <c r="R686" s="69" t="s">
        <v>69</v>
      </c>
      <c r="S686" s="69" t="s">
        <v>138</v>
      </c>
      <c r="T686" s="67"/>
      <c r="U686" s="67"/>
      <c r="V686" s="72">
        <v>42916</v>
      </c>
      <c r="W686" s="69">
        <v>415570142</v>
      </c>
      <c r="X686" s="69"/>
      <c r="Y686" s="123"/>
      <c r="Z686" s="30">
        <f t="shared" si="20"/>
        <v>4227.3638773950279</v>
      </c>
      <c r="AA686" s="30">
        <f t="shared" si="21"/>
        <v>0</v>
      </c>
      <c r="AB686" t="s">
        <v>456</v>
      </c>
    </row>
    <row r="687" spans="1:28">
      <c r="A687" s="67" t="s">
        <v>68</v>
      </c>
      <c r="B687" s="68">
        <v>1233245</v>
      </c>
      <c r="C687" s="69">
        <v>4615409790</v>
      </c>
      <c r="D687" s="70">
        <v>19175</v>
      </c>
      <c r="E687" s="79"/>
      <c r="F687" s="68">
        <v>16</v>
      </c>
      <c r="G687" s="68" t="s">
        <v>114</v>
      </c>
      <c r="H687" s="68">
        <v>0</v>
      </c>
      <c r="I687" s="68">
        <v>0</v>
      </c>
      <c r="J687" s="71">
        <v>42812</v>
      </c>
      <c r="K687" s="71">
        <v>42823</v>
      </c>
      <c r="L687" s="69" t="s">
        <v>119</v>
      </c>
      <c r="M687" s="69" t="s">
        <v>109</v>
      </c>
      <c r="N687" s="72">
        <v>42934</v>
      </c>
      <c r="O687" s="67"/>
      <c r="P687" s="67" t="s">
        <v>95</v>
      </c>
      <c r="Q687" s="67" t="s">
        <v>125</v>
      </c>
      <c r="R687" s="69" t="s">
        <v>69</v>
      </c>
      <c r="S687" s="69" t="s">
        <v>68</v>
      </c>
      <c r="T687" s="67"/>
      <c r="U687" s="67"/>
      <c r="V687" s="72">
        <v>42825</v>
      </c>
      <c r="W687" s="69">
        <v>5114719</v>
      </c>
      <c r="X687" s="69" t="s">
        <v>155</v>
      </c>
      <c r="Y687" s="123"/>
      <c r="Z687" s="30">
        <f t="shared" si="20"/>
        <v>6763.7822038320437</v>
      </c>
      <c r="AA687" s="30">
        <f t="shared" si="21"/>
        <v>0</v>
      </c>
      <c r="AB687" t="s">
        <v>456</v>
      </c>
    </row>
    <row r="688" spans="1:28">
      <c r="A688" s="67" t="s">
        <v>118</v>
      </c>
      <c r="B688" s="68">
        <v>1237837</v>
      </c>
      <c r="C688" s="69">
        <v>4615417695</v>
      </c>
      <c r="D688" s="70">
        <v>19175</v>
      </c>
      <c r="E688" s="79"/>
      <c r="F688" s="73">
        <v>10</v>
      </c>
      <c r="G688" s="73" t="s">
        <v>114</v>
      </c>
      <c r="H688" s="68">
        <v>0</v>
      </c>
      <c r="I688" s="68">
        <v>0</v>
      </c>
      <c r="J688" s="71">
        <v>42858</v>
      </c>
      <c r="K688" s="71">
        <v>42799</v>
      </c>
      <c r="L688" s="69" t="s">
        <v>137</v>
      </c>
      <c r="M688" s="69" t="s">
        <v>109</v>
      </c>
      <c r="N688" s="72">
        <v>42933</v>
      </c>
      <c r="O688" s="67"/>
      <c r="P688" s="67" t="s">
        <v>95</v>
      </c>
      <c r="Q688" s="67" t="s">
        <v>120</v>
      </c>
      <c r="R688" s="69" t="s">
        <v>69</v>
      </c>
      <c r="S688" s="69" t="s">
        <v>121</v>
      </c>
      <c r="T688" s="67"/>
      <c r="U688" s="67"/>
      <c r="V688" s="72">
        <v>42886</v>
      </c>
      <c r="W688" s="69">
        <v>2026347</v>
      </c>
      <c r="X688" s="69"/>
      <c r="Y688" s="123"/>
      <c r="Z688" s="30">
        <f t="shared" si="20"/>
        <v>4227.3638773950279</v>
      </c>
      <c r="AA688" s="30">
        <f t="shared" si="21"/>
        <v>0</v>
      </c>
      <c r="AB688" t="s">
        <v>456</v>
      </c>
    </row>
    <row r="689" spans="1:28">
      <c r="A689" s="67" t="s">
        <v>122</v>
      </c>
      <c r="B689" s="68">
        <v>1256221</v>
      </c>
      <c r="C689" s="69">
        <v>4615411518</v>
      </c>
      <c r="D689" s="70">
        <v>19175</v>
      </c>
      <c r="E689" s="79"/>
      <c r="F689" s="68">
        <v>16</v>
      </c>
      <c r="G689" s="68">
        <v>5</v>
      </c>
      <c r="H689" s="73">
        <v>0</v>
      </c>
      <c r="I689" s="68">
        <v>0</v>
      </c>
      <c r="J689" s="71"/>
      <c r="K689" s="71">
        <v>42799</v>
      </c>
      <c r="L689" s="69" t="s">
        <v>80</v>
      </c>
      <c r="M689" s="69" t="s">
        <v>109</v>
      </c>
      <c r="N689" s="72">
        <v>42933</v>
      </c>
      <c r="O689" s="67"/>
      <c r="P689" s="67" t="s">
        <v>95</v>
      </c>
      <c r="Q689" s="67" t="s">
        <v>120</v>
      </c>
      <c r="R689" s="69" t="s">
        <v>69</v>
      </c>
      <c r="S689" s="69" t="s">
        <v>123</v>
      </c>
      <c r="T689" s="67"/>
      <c r="U689" s="67"/>
      <c r="V689" s="72">
        <v>42916</v>
      </c>
      <c r="W689" s="69">
        <v>2025751</v>
      </c>
      <c r="X689" s="69"/>
      <c r="Y689" s="123"/>
      <c r="Z689" s="30">
        <f t="shared" si="20"/>
        <v>6763.7822038320437</v>
      </c>
      <c r="AA689" s="30">
        <f t="shared" si="21"/>
        <v>2113.6819386975139</v>
      </c>
      <c r="AB689" t="s">
        <v>456</v>
      </c>
    </row>
    <row r="690" spans="1:28">
      <c r="A690" s="67" t="s">
        <v>122</v>
      </c>
      <c r="B690" s="68">
        <v>1256217</v>
      </c>
      <c r="C690" s="69">
        <v>4615411518</v>
      </c>
      <c r="D690" s="70">
        <v>19175</v>
      </c>
      <c r="E690" s="79"/>
      <c r="F690" s="68">
        <v>16</v>
      </c>
      <c r="G690" s="68">
        <v>5</v>
      </c>
      <c r="H690" s="73">
        <v>0</v>
      </c>
      <c r="I690" s="68">
        <v>0</v>
      </c>
      <c r="J690" s="71"/>
      <c r="K690" s="71">
        <v>42799</v>
      </c>
      <c r="L690" s="69" t="s">
        <v>80</v>
      </c>
      <c r="M690" s="69" t="s">
        <v>109</v>
      </c>
      <c r="N690" s="72">
        <v>42933</v>
      </c>
      <c r="O690" s="67"/>
      <c r="P690" s="67" t="s">
        <v>95</v>
      </c>
      <c r="Q690" s="67" t="s">
        <v>120</v>
      </c>
      <c r="R690" s="69" t="s">
        <v>69</v>
      </c>
      <c r="S690" s="69" t="s">
        <v>123</v>
      </c>
      <c r="T690" s="67"/>
      <c r="U690" s="67"/>
      <c r="V690" s="72">
        <v>42916</v>
      </c>
      <c r="W690" s="69">
        <v>2025751</v>
      </c>
      <c r="X690" s="69"/>
      <c r="Y690" s="123"/>
      <c r="Z690" s="30">
        <f t="shared" si="20"/>
        <v>6763.7822038320437</v>
      </c>
      <c r="AA690" s="30">
        <f t="shared" si="21"/>
        <v>2113.6819386975139</v>
      </c>
      <c r="AB690" t="s">
        <v>456</v>
      </c>
    </row>
    <row r="691" spans="1:28">
      <c r="A691" s="67" t="s">
        <v>113</v>
      </c>
      <c r="B691" s="68">
        <v>1251871</v>
      </c>
      <c r="C691" s="69">
        <v>4615414482</v>
      </c>
      <c r="D691" s="70">
        <v>20700</v>
      </c>
      <c r="E691" s="79"/>
      <c r="F691" s="73">
        <v>16</v>
      </c>
      <c r="G691" s="73">
        <v>5</v>
      </c>
      <c r="H691" s="73">
        <v>0</v>
      </c>
      <c r="I691" s="68">
        <v>0</v>
      </c>
      <c r="J691" s="71"/>
      <c r="K691" s="71">
        <v>42720</v>
      </c>
      <c r="L691" s="69" t="s">
        <v>80</v>
      </c>
      <c r="M691" s="69" t="s">
        <v>109</v>
      </c>
      <c r="N691" s="72">
        <v>42933</v>
      </c>
      <c r="O691" s="67"/>
      <c r="P691" s="67" t="s">
        <v>95</v>
      </c>
      <c r="Q691" s="67" t="s">
        <v>110</v>
      </c>
      <c r="R691" s="69" t="s">
        <v>69</v>
      </c>
      <c r="S691" s="69" t="s">
        <v>115</v>
      </c>
      <c r="T691" s="67"/>
      <c r="U691" s="67"/>
      <c r="V691" s="72">
        <v>42916</v>
      </c>
      <c r="W691" s="69" t="s">
        <v>181</v>
      </c>
      <c r="X691" s="69" t="s">
        <v>182</v>
      </c>
      <c r="Y691" s="123"/>
      <c r="Z691" s="30">
        <f t="shared" si="20"/>
        <v>7301.7101235631453</v>
      </c>
      <c r="AA691" s="30">
        <f t="shared" si="21"/>
        <v>2281.7844136134831</v>
      </c>
      <c r="AB691" t="s">
        <v>456</v>
      </c>
    </row>
    <row r="692" spans="1:28">
      <c r="A692" s="67" t="s">
        <v>122</v>
      </c>
      <c r="B692" s="68">
        <v>1249924</v>
      </c>
      <c r="C692" s="69">
        <v>4615412056</v>
      </c>
      <c r="D692" s="70">
        <v>19200</v>
      </c>
      <c r="E692" s="79"/>
      <c r="F692" s="68">
        <v>16</v>
      </c>
      <c r="G692" s="68">
        <v>5</v>
      </c>
      <c r="H692" s="73">
        <v>0</v>
      </c>
      <c r="I692" s="68">
        <v>0</v>
      </c>
      <c r="J692" s="71"/>
      <c r="K692" s="71">
        <v>42674</v>
      </c>
      <c r="L692" s="69" t="s">
        <v>80</v>
      </c>
      <c r="M692" s="69" t="s">
        <v>109</v>
      </c>
      <c r="N692" s="72">
        <v>42933</v>
      </c>
      <c r="O692" s="67"/>
      <c r="P692" s="67" t="s">
        <v>95</v>
      </c>
      <c r="Q692" s="67" t="s">
        <v>120</v>
      </c>
      <c r="R692" s="69" t="s">
        <v>69</v>
      </c>
      <c r="S692" s="69" t="s">
        <v>123</v>
      </c>
      <c r="T692" s="67"/>
      <c r="U692" s="67"/>
      <c r="V692" s="72">
        <v>42886</v>
      </c>
      <c r="W692" s="69">
        <v>2025750</v>
      </c>
      <c r="X692" s="69" t="s">
        <v>196</v>
      </c>
      <c r="Y692" s="123"/>
      <c r="Z692" s="30">
        <f t="shared" si="20"/>
        <v>6772.6006943194379</v>
      </c>
      <c r="AA692" s="30">
        <f t="shared" si="21"/>
        <v>2116.4377169748245</v>
      </c>
      <c r="AB692" t="s">
        <v>456</v>
      </c>
    </row>
    <row r="693" spans="1:28">
      <c r="A693" s="67" t="s">
        <v>68</v>
      </c>
      <c r="B693" s="68">
        <v>1233261</v>
      </c>
      <c r="C693" s="69">
        <v>4615417014</v>
      </c>
      <c r="D693" s="70">
        <v>19175</v>
      </c>
      <c r="E693" s="79"/>
      <c r="F693" s="73">
        <v>16</v>
      </c>
      <c r="G693" s="73">
        <v>5</v>
      </c>
      <c r="H693" s="68">
        <v>0</v>
      </c>
      <c r="I693" s="68">
        <v>0</v>
      </c>
      <c r="J693" s="71">
        <v>42812</v>
      </c>
      <c r="K693" s="71">
        <v>42773</v>
      </c>
      <c r="L693" s="69" t="s">
        <v>119</v>
      </c>
      <c r="M693" s="69" t="s">
        <v>109</v>
      </c>
      <c r="N693" s="72">
        <v>42933</v>
      </c>
      <c r="O693" s="67"/>
      <c r="P693" s="67" t="s">
        <v>95</v>
      </c>
      <c r="Q693" s="67" t="s">
        <v>125</v>
      </c>
      <c r="R693" s="69" t="s">
        <v>69</v>
      </c>
      <c r="S693" s="69" t="s">
        <v>68</v>
      </c>
      <c r="T693" s="67"/>
      <c r="U693" s="67"/>
      <c r="V693" s="72">
        <v>42825</v>
      </c>
      <c r="W693" s="69">
        <v>5114732</v>
      </c>
      <c r="X693" s="69"/>
      <c r="Y693" s="123"/>
      <c r="Z693" s="30">
        <f t="shared" si="20"/>
        <v>6763.7822038320437</v>
      </c>
      <c r="AA693" s="30">
        <f t="shared" si="21"/>
        <v>2113.6819386975139</v>
      </c>
      <c r="AB693" t="s">
        <v>456</v>
      </c>
    </row>
    <row r="694" spans="1:28">
      <c r="A694" s="67" t="s">
        <v>68</v>
      </c>
      <c r="B694" s="68">
        <v>1233241</v>
      </c>
      <c r="C694" s="69">
        <v>4615409790</v>
      </c>
      <c r="D694" s="70">
        <v>19175</v>
      </c>
      <c r="E694" s="79"/>
      <c r="F694" s="68">
        <v>16</v>
      </c>
      <c r="G694" s="68" t="s">
        <v>114</v>
      </c>
      <c r="H694" s="68">
        <v>0</v>
      </c>
      <c r="I694" s="68">
        <v>0</v>
      </c>
      <c r="J694" s="71">
        <v>42812</v>
      </c>
      <c r="K694" s="71">
        <v>42780</v>
      </c>
      <c r="L694" s="69" t="s">
        <v>119</v>
      </c>
      <c r="M694" s="69" t="s">
        <v>109</v>
      </c>
      <c r="N694" s="72">
        <v>42933</v>
      </c>
      <c r="O694" s="67"/>
      <c r="P694" s="67" t="s">
        <v>95</v>
      </c>
      <c r="Q694" s="67" t="s">
        <v>125</v>
      </c>
      <c r="R694" s="69" t="s">
        <v>69</v>
      </c>
      <c r="S694" s="69" t="s">
        <v>68</v>
      </c>
      <c r="T694" s="67"/>
      <c r="U694" s="67"/>
      <c r="V694" s="72">
        <v>42825</v>
      </c>
      <c r="W694" s="69">
        <v>5114719</v>
      </c>
      <c r="X694" s="69"/>
      <c r="Y694" s="123"/>
      <c r="Z694" s="30">
        <f t="shared" si="20"/>
        <v>6763.7822038320437</v>
      </c>
      <c r="AA694" s="30">
        <f t="shared" si="21"/>
        <v>0</v>
      </c>
      <c r="AB694" t="s">
        <v>456</v>
      </c>
    </row>
    <row r="695" spans="1:28">
      <c r="A695" s="67" t="s">
        <v>122</v>
      </c>
      <c r="B695" s="68">
        <v>1250470</v>
      </c>
      <c r="C695" s="69">
        <v>4615416264</v>
      </c>
      <c r="D695" s="70">
        <v>19200</v>
      </c>
      <c r="E695" s="79"/>
      <c r="F695" s="68">
        <v>16</v>
      </c>
      <c r="G695" s="68">
        <v>5</v>
      </c>
      <c r="H695" s="68">
        <v>0</v>
      </c>
      <c r="I695" s="68">
        <v>0</v>
      </c>
      <c r="J695" s="71"/>
      <c r="K695" s="71">
        <v>42752</v>
      </c>
      <c r="L695" s="69" t="s">
        <v>80</v>
      </c>
      <c r="M695" s="69" t="s">
        <v>109</v>
      </c>
      <c r="N695" s="72">
        <v>42932</v>
      </c>
      <c r="O695" s="67"/>
      <c r="P695" s="67" t="s">
        <v>95</v>
      </c>
      <c r="Q695" s="67" t="s">
        <v>120</v>
      </c>
      <c r="R695" s="69" t="s">
        <v>69</v>
      </c>
      <c r="S695" s="69" t="s">
        <v>123</v>
      </c>
      <c r="T695" s="67"/>
      <c r="U695" s="67"/>
      <c r="V695" s="72">
        <v>42886</v>
      </c>
      <c r="W695" s="69">
        <v>20225765</v>
      </c>
      <c r="X695" s="69" t="s">
        <v>196</v>
      </c>
      <c r="Y695" s="123"/>
      <c r="Z695" s="30">
        <f t="shared" si="20"/>
        <v>6772.6006943194379</v>
      </c>
      <c r="AA695" s="30">
        <f t="shared" si="21"/>
        <v>2116.4377169748245</v>
      </c>
      <c r="AB695" t="s">
        <v>456</v>
      </c>
    </row>
    <row r="696" spans="1:28">
      <c r="A696" s="67" t="s">
        <v>128</v>
      </c>
      <c r="B696" s="68">
        <v>1242695</v>
      </c>
      <c r="C696" s="69">
        <v>4615420218</v>
      </c>
      <c r="D696" s="70">
        <v>19175</v>
      </c>
      <c r="E696" s="79"/>
      <c r="F696" s="81">
        <v>154.32</v>
      </c>
      <c r="G696" s="68" t="s">
        <v>114</v>
      </c>
      <c r="H696" s="68">
        <v>0</v>
      </c>
      <c r="I696" s="68">
        <v>0</v>
      </c>
      <c r="J696" s="71"/>
      <c r="K696" s="71">
        <v>42752</v>
      </c>
      <c r="L696" s="69" t="s">
        <v>80</v>
      </c>
      <c r="M696" s="69" t="s">
        <v>109</v>
      </c>
      <c r="N696" s="72">
        <v>42932</v>
      </c>
      <c r="O696" s="67"/>
      <c r="P696" s="67" t="s">
        <v>95</v>
      </c>
      <c r="Q696" s="67" t="s">
        <v>129</v>
      </c>
      <c r="R696" s="69" t="s">
        <v>69</v>
      </c>
      <c r="S696" s="69" t="s">
        <v>130</v>
      </c>
      <c r="T696" s="67"/>
      <c r="U696" s="67"/>
      <c r="V696" s="72">
        <v>42916</v>
      </c>
      <c r="W696" s="69">
        <v>425570005</v>
      </c>
      <c r="X696" s="69"/>
      <c r="Y696" s="123"/>
      <c r="Z696" s="30">
        <f t="shared" si="20"/>
        <v>65236.679355960063</v>
      </c>
      <c r="AA696" s="30">
        <f t="shared" si="21"/>
        <v>0</v>
      </c>
      <c r="AB696" t="s">
        <v>456</v>
      </c>
    </row>
    <row r="697" spans="1:28">
      <c r="A697" s="67" t="s">
        <v>122</v>
      </c>
      <c r="B697" s="68">
        <v>1250465</v>
      </c>
      <c r="C697" s="69">
        <v>4615416264</v>
      </c>
      <c r="D697" s="70">
        <v>19200</v>
      </c>
      <c r="E697" s="79"/>
      <c r="F697" s="68">
        <v>16</v>
      </c>
      <c r="G697" s="68">
        <v>5</v>
      </c>
      <c r="H697" s="68">
        <v>0</v>
      </c>
      <c r="I697" s="68">
        <v>0</v>
      </c>
      <c r="J697" s="71"/>
      <c r="K697" s="71">
        <v>42752</v>
      </c>
      <c r="L697" s="69" t="s">
        <v>80</v>
      </c>
      <c r="M697" s="69" t="s">
        <v>109</v>
      </c>
      <c r="N697" s="72">
        <v>42932</v>
      </c>
      <c r="O697" s="67"/>
      <c r="P697" s="67" t="s">
        <v>95</v>
      </c>
      <c r="Q697" s="67" t="s">
        <v>120</v>
      </c>
      <c r="R697" s="69" t="s">
        <v>69</v>
      </c>
      <c r="S697" s="69" t="s">
        <v>123</v>
      </c>
      <c r="T697" s="67"/>
      <c r="U697" s="67"/>
      <c r="V697" s="72">
        <v>42886</v>
      </c>
      <c r="W697" s="69">
        <v>20225765</v>
      </c>
      <c r="X697" s="69" t="s">
        <v>196</v>
      </c>
      <c r="Y697" s="123"/>
      <c r="Z697" s="30">
        <f t="shared" si="20"/>
        <v>6772.6006943194379</v>
      </c>
      <c r="AA697" s="30">
        <f t="shared" si="21"/>
        <v>2116.4377169748245</v>
      </c>
      <c r="AB697" t="s">
        <v>456</v>
      </c>
    </row>
    <row r="698" spans="1:28">
      <c r="A698" s="67" t="s">
        <v>122</v>
      </c>
      <c r="B698" s="68">
        <v>1249928</v>
      </c>
      <c r="C698" s="69">
        <v>4615412056</v>
      </c>
      <c r="D698" s="70">
        <v>19200</v>
      </c>
      <c r="E698" s="79"/>
      <c r="F698" s="68">
        <v>16</v>
      </c>
      <c r="G698" s="68">
        <v>5</v>
      </c>
      <c r="H698" s="73">
        <v>0</v>
      </c>
      <c r="I698" s="68">
        <v>0</v>
      </c>
      <c r="J698" s="71"/>
      <c r="K698" s="71">
        <v>42732</v>
      </c>
      <c r="L698" s="69" t="s">
        <v>80</v>
      </c>
      <c r="M698" s="69" t="s">
        <v>109</v>
      </c>
      <c r="N698" s="72">
        <v>42932</v>
      </c>
      <c r="O698" s="67"/>
      <c r="P698" s="67" t="s">
        <v>95</v>
      </c>
      <c r="Q698" s="67" t="s">
        <v>120</v>
      </c>
      <c r="R698" s="69" t="s">
        <v>69</v>
      </c>
      <c r="S698" s="69" t="s">
        <v>123</v>
      </c>
      <c r="T698" s="67"/>
      <c r="U698" s="67"/>
      <c r="V698" s="72">
        <v>42886</v>
      </c>
      <c r="W698" s="69">
        <v>2025750</v>
      </c>
      <c r="X698" s="69" t="s">
        <v>196</v>
      </c>
      <c r="Y698" s="123"/>
      <c r="Z698" s="30">
        <f t="shared" si="20"/>
        <v>6772.6006943194379</v>
      </c>
      <c r="AA698" s="30">
        <f t="shared" si="21"/>
        <v>2116.4377169748245</v>
      </c>
      <c r="AB698" t="s">
        <v>456</v>
      </c>
    </row>
    <row r="699" spans="1:28">
      <c r="A699" s="67" t="s">
        <v>113</v>
      </c>
      <c r="B699" s="68">
        <v>1245685</v>
      </c>
      <c r="C699" s="69">
        <v>4615404823</v>
      </c>
      <c r="D699" s="70">
        <v>19200</v>
      </c>
      <c r="E699" s="79"/>
      <c r="F699" s="68">
        <v>16</v>
      </c>
      <c r="G699" s="68" t="s">
        <v>114</v>
      </c>
      <c r="H699" s="68">
        <v>0</v>
      </c>
      <c r="I699" s="68">
        <v>0</v>
      </c>
      <c r="J699" s="71"/>
      <c r="K699" s="71">
        <v>42737</v>
      </c>
      <c r="L699" s="69" t="s">
        <v>80</v>
      </c>
      <c r="M699" s="69" t="s">
        <v>109</v>
      </c>
      <c r="N699" s="72">
        <v>42932</v>
      </c>
      <c r="O699" s="67"/>
      <c r="P699" s="67" t="s">
        <v>95</v>
      </c>
      <c r="Q699" s="67" t="s">
        <v>110</v>
      </c>
      <c r="R699" s="69" t="s">
        <v>69</v>
      </c>
      <c r="S699" s="69" t="s">
        <v>115</v>
      </c>
      <c r="T699" s="67"/>
      <c r="U699" s="67"/>
      <c r="V699" s="72">
        <v>42916</v>
      </c>
      <c r="W699" s="69" t="s">
        <v>186</v>
      </c>
      <c r="X699" s="69" t="s">
        <v>117</v>
      </c>
      <c r="Y699" s="123"/>
      <c r="Z699" s="30">
        <f t="shared" si="20"/>
        <v>6772.6006943194379</v>
      </c>
      <c r="AA699" s="30">
        <f t="shared" si="21"/>
        <v>0</v>
      </c>
      <c r="AB699" t="s">
        <v>456</v>
      </c>
    </row>
    <row r="700" spans="1:28">
      <c r="A700" s="67" t="s">
        <v>122</v>
      </c>
      <c r="B700" s="68">
        <v>1242762</v>
      </c>
      <c r="C700" s="69">
        <v>4615344620</v>
      </c>
      <c r="D700" s="70">
        <v>19200</v>
      </c>
      <c r="E700" s="79"/>
      <c r="F700" s="68">
        <v>16</v>
      </c>
      <c r="G700" s="68">
        <v>5</v>
      </c>
      <c r="H700" s="73">
        <v>0</v>
      </c>
      <c r="I700" s="68">
        <v>0</v>
      </c>
      <c r="J700" s="71"/>
      <c r="K700" s="71">
        <v>42803</v>
      </c>
      <c r="L700" s="69" t="s">
        <v>80</v>
      </c>
      <c r="M700" s="69" t="s">
        <v>109</v>
      </c>
      <c r="N700" s="72">
        <v>42932</v>
      </c>
      <c r="O700" s="67"/>
      <c r="P700" s="67" t="s">
        <v>95</v>
      </c>
      <c r="Q700" s="67" t="s">
        <v>120</v>
      </c>
      <c r="R700" s="69" t="s">
        <v>69</v>
      </c>
      <c r="S700" s="69" t="s">
        <v>123</v>
      </c>
      <c r="T700" s="67"/>
      <c r="U700" s="67"/>
      <c r="V700" s="72">
        <v>42886</v>
      </c>
      <c r="W700" s="69">
        <v>2023110</v>
      </c>
      <c r="X700" s="69" t="s">
        <v>196</v>
      </c>
      <c r="Y700" s="123"/>
      <c r="Z700" s="30">
        <f t="shared" si="20"/>
        <v>6772.6006943194379</v>
      </c>
      <c r="AA700" s="30">
        <f t="shared" si="21"/>
        <v>2116.4377169748245</v>
      </c>
      <c r="AB700" t="s">
        <v>456</v>
      </c>
    </row>
    <row r="701" spans="1:28">
      <c r="A701" s="67" t="s">
        <v>122</v>
      </c>
      <c r="B701" s="68">
        <v>1242765</v>
      </c>
      <c r="C701" s="69">
        <v>4615344620</v>
      </c>
      <c r="D701" s="70">
        <v>19200</v>
      </c>
      <c r="E701" s="79"/>
      <c r="F701" s="68">
        <v>16</v>
      </c>
      <c r="G701" s="68">
        <v>5</v>
      </c>
      <c r="H701" s="73">
        <v>0</v>
      </c>
      <c r="I701" s="68">
        <v>0</v>
      </c>
      <c r="J701" s="71"/>
      <c r="K701" s="71">
        <v>42780</v>
      </c>
      <c r="L701" s="69" t="s">
        <v>80</v>
      </c>
      <c r="M701" s="69" t="s">
        <v>109</v>
      </c>
      <c r="N701" s="72">
        <v>42932</v>
      </c>
      <c r="O701" s="67"/>
      <c r="P701" s="67" t="s">
        <v>95</v>
      </c>
      <c r="Q701" s="67" t="s">
        <v>120</v>
      </c>
      <c r="R701" s="69" t="s">
        <v>69</v>
      </c>
      <c r="S701" s="69" t="s">
        <v>123</v>
      </c>
      <c r="T701" s="67"/>
      <c r="U701" s="67"/>
      <c r="V701" s="72">
        <v>42886</v>
      </c>
      <c r="W701" s="69">
        <v>2023110</v>
      </c>
      <c r="X701" s="69" t="s">
        <v>196</v>
      </c>
      <c r="Y701" s="123"/>
      <c r="Z701" s="30">
        <f t="shared" si="20"/>
        <v>6772.6006943194379</v>
      </c>
      <c r="AA701" s="30">
        <f t="shared" si="21"/>
        <v>2116.4377169748245</v>
      </c>
      <c r="AB701" t="s">
        <v>456</v>
      </c>
    </row>
    <row r="702" spans="1:28">
      <c r="A702" s="67" t="s">
        <v>122</v>
      </c>
      <c r="B702" s="68">
        <v>1242767</v>
      </c>
      <c r="C702" s="69">
        <v>4615344620</v>
      </c>
      <c r="D702" s="70">
        <v>19200</v>
      </c>
      <c r="E702" s="79"/>
      <c r="F702" s="68">
        <v>16</v>
      </c>
      <c r="G702" s="68">
        <v>5</v>
      </c>
      <c r="H702" s="73">
        <v>0</v>
      </c>
      <c r="I702" s="68">
        <v>0</v>
      </c>
      <c r="J702" s="71"/>
      <c r="K702" s="71">
        <v>42780</v>
      </c>
      <c r="L702" s="69" t="s">
        <v>80</v>
      </c>
      <c r="M702" s="69" t="s">
        <v>109</v>
      </c>
      <c r="N702" s="72">
        <v>42932</v>
      </c>
      <c r="O702" s="67"/>
      <c r="P702" s="67" t="s">
        <v>95</v>
      </c>
      <c r="Q702" s="67" t="s">
        <v>120</v>
      </c>
      <c r="R702" s="69" t="s">
        <v>69</v>
      </c>
      <c r="S702" s="69" t="s">
        <v>123</v>
      </c>
      <c r="T702" s="67"/>
      <c r="U702" s="67"/>
      <c r="V702" s="72">
        <v>42886</v>
      </c>
      <c r="W702" s="69">
        <v>2023110</v>
      </c>
      <c r="X702" s="69" t="s">
        <v>196</v>
      </c>
      <c r="Y702" s="123"/>
      <c r="Z702" s="30">
        <f t="shared" si="20"/>
        <v>6772.6006943194379</v>
      </c>
      <c r="AA702" s="30">
        <f t="shared" si="21"/>
        <v>2116.4377169748245</v>
      </c>
      <c r="AB702" t="s">
        <v>456</v>
      </c>
    </row>
    <row r="703" spans="1:28">
      <c r="A703" s="67" t="s">
        <v>118</v>
      </c>
      <c r="B703" s="68">
        <v>1227194</v>
      </c>
      <c r="C703" s="69">
        <v>4615373462</v>
      </c>
      <c r="D703" s="70">
        <v>19175</v>
      </c>
      <c r="E703" s="79"/>
      <c r="F703" s="68">
        <v>10</v>
      </c>
      <c r="G703" s="68" t="s">
        <v>114</v>
      </c>
      <c r="H703" s="73">
        <v>0</v>
      </c>
      <c r="I703" s="68">
        <v>0</v>
      </c>
      <c r="J703" s="71">
        <v>42814</v>
      </c>
      <c r="K703" s="71">
        <v>42720</v>
      </c>
      <c r="L703" s="69" t="s">
        <v>137</v>
      </c>
      <c r="M703" s="69" t="s">
        <v>109</v>
      </c>
      <c r="N703" s="72">
        <v>42932</v>
      </c>
      <c r="O703" s="67"/>
      <c r="P703" s="67" t="s">
        <v>95</v>
      </c>
      <c r="Q703" s="67" t="s">
        <v>120</v>
      </c>
      <c r="R703" s="69" t="s">
        <v>69</v>
      </c>
      <c r="S703" s="69" t="s">
        <v>121</v>
      </c>
      <c r="T703" s="67"/>
      <c r="U703" s="67"/>
      <c r="V703" s="72">
        <v>42855</v>
      </c>
      <c r="W703" s="69">
        <v>2021266</v>
      </c>
      <c r="X703" s="69"/>
      <c r="Y703" s="123"/>
      <c r="Z703" s="30">
        <f t="shared" si="20"/>
        <v>4227.3638773950279</v>
      </c>
      <c r="AA703" s="30">
        <f t="shared" si="21"/>
        <v>0</v>
      </c>
      <c r="AB703" t="s">
        <v>456</v>
      </c>
    </row>
    <row r="704" spans="1:28">
      <c r="A704" s="67" t="s">
        <v>68</v>
      </c>
      <c r="B704" s="68">
        <v>1233244</v>
      </c>
      <c r="C704" s="69">
        <v>4615409790</v>
      </c>
      <c r="D704" s="70">
        <v>19175</v>
      </c>
      <c r="E704" s="79"/>
      <c r="F704" s="68">
        <v>16</v>
      </c>
      <c r="G704" s="68" t="s">
        <v>114</v>
      </c>
      <c r="H704" s="68">
        <v>0</v>
      </c>
      <c r="I704" s="68">
        <v>0</v>
      </c>
      <c r="J704" s="71">
        <v>42812</v>
      </c>
      <c r="K704" s="71">
        <v>42727</v>
      </c>
      <c r="L704" s="69" t="s">
        <v>119</v>
      </c>
      <c r="M704" s="69" t="s">
        <v>109</v>
      </c>
      <c r="N704" s="72">
        <v>42932</v>
      </c>
      <c r="O704" s="67"/>
      <c r="P704" s="67" t="s">
        <v>95</v>
      </c>
      <c r="Q704" s="67" t="s">
        <v>125</v>
      </c>
      <c r="R704" s="69" t="s">
        <v>69</v>
      </c>
      <c r="S704" s="69" t="s">
        <v>68</v>
      </c>
      <c r="T704" s="67"/>
      <c r="U704" s="67"/>
      <c r="V704" s="72">
        <v>42825</v>
      </c>
      <c r="W704" s="69">
        <v>5114719</v>
      </c>
      <c r="X704" s="69"/>
      <c r="Y704" s="123"/>
      <c r="Z704" s="30">
        <f t="shared" si="20"/>
        <v>6763.7822038320437</v>
      </c>
      <c r="AA704" s="30">
        <f t="shared" si="21"/>
        <v>0</v>
      </c>
      <c r="AB704" t="s">
        <v>456</v>
      </c>
    </row>
    <row r="705" spans="1:28">
      <c r="A705" s="67" t="s">
        <v>68</v>
      </c>
      <c r="B705" s="68">
        <v>1233237</v>
      </c>
      <c r="C705" s="69">
        <v>4615409790</v>
      </c>
      <c r="D705" s="70">
        <v>19175</v>
      </c>
      <c r="E705" s="79"/>
      <c r="F705" s="68">
        <v>16</v>
      </c>
      <c r="G705" s="68" t="s">
        <v>114</v>
      </c>
      <c r="H705" s="68">
        <v>0</v>
      </c>
      <c r="I705" s="68">
        <v>0</v>
      </c>
      <c r="J705" s="71">
        <v>42812</v>
      </c>
      <c r="K705" s="71">
        <v>42727</v>
      </c>
      <c r="L705" s="69" t="s">
        <v>119</v>
      </c>
      <c r="M705" s="69" t="s">
        <v>109</v>
      </c>
      <c r="N705" s="72">
        <v>42932</v>
      </c>
      <c r="O705" s="67"/>
      <c r="P705" s="67" t="s">
        <v>95</v>
      </c>
      <c r="Q705" s="67" t="s">
        <v>125</v>
      </c>
      <c r="R705" s="69" t="s">
        <v>69</v>
      </c>
      <c r="S705" s="69" t="s">
        <v>68</v>
      </c>
      <c r="T705" s="67"/>
      <c r="U705" s="67"/>
      <c r="V705" s="72">
        <v>42825</v>
      </c>
      <c r="W705" s="69">
        <v>5114719</v>
      </c>
      <c r="X705" s="69"/>
      <c r="Y705" s="123"/>
      <c r="Z705" s="30">
        <f t="shared" si="20"/>
        <v>6763.7822038320437</v>
      </c>
      <c r="AA705" s="30">
        <f t="shared" si="21"/>
        <v>0</v>
      </c>
      <c r="AB705" t="s">
        <v>456</v>
      </c>
    </row>
    <row r="706" spans="1:28">
      <c r="A706" s="67" t="s">
        <v>68</v>
      </c>
      <c r="B706" s="68">
        <v>1233238</v>
      </c>
      <c r="C706" s="69">
        <v>4615409790</v>
      </c>
      <c r="D706" s="70">
        <v>19175</v>
      </c>
      <c r="E706" s="79"/>
      <c r="F706" s="68">
        <v>16</v>
      </c>
      <c r="G706" s="68" t="s">
        <v>114</v>
      </c>
      <c r="H706" s="68">
        <v>0</v>
      </c>
      <c r="I706" s="68">
        <v>0</v>
      </c>
      <c r="J706" s="71">
        <v>42812</v>
      </c>
      <c r="K706" s="71">
        <v>42732</v>
      </c>
      <c r="L706" s="69" t="s">
        <v>119</v>
      </c>
      <c r="M706" s="69" t="s">
        <v>109</v>
      </c>
      <c r="N706" s="72">
        <v>42929</v>
      </c>
      <c r="O706" s="67"/>
      <c r="P706" s="67" t="s">
        <v>95</v>
      </c>
      <c r="Q706" s="67" t="s">
        <v>125</v>
      </c>
      <c r="R706" s="69" t="s">
        <v>69</v>
      </c>
      <c r="S706" s="69" t="s">
        <v>68</v>
      </c>
      <c r="T706" s="67"/>
      <c r="U706" s="67"/>
      <c r="V706" s="72">
        <v>42825</v>
      </c>
      <c r="W706" s="69">
        <v>5114719</v>
      </c>
      <c r="X706" s="69"/>
      <c r="Y706" s="123"/>
      <c r="Z706" s="30">
        <f t="shared" si="20"/>
        <v>6763.7822038320437</v>
      </c>
      <c r="AA706" s="30">
        <f t="shared" si="21"/>
        <v>0</v>
      </c>
      <c r="AB706" t="s">
        <v>456</v>
      </c>
    </row>
    <row r="707" spans="1:28">
      <c r="A707" s="67" t="s">
        <v>118</v>
      </c>
      <c r="B707" s="68">
        <v>1227197</v>
      </c>
      <c r="C707" s="69">
        <v>4615401680</v>
      </c>
      <c r="D707" s="70">
        <v>19175</v>
      </c>
      <c r="E707" s="79"/>
      <c r="F707" s="73">
        <v>10</v>
      </c>
      <c r="G707" s="73" t="s">
        <v>114</v>
      </c>
      <c r="H707" s="73">
        <v>0</v>
      </c>
      <c r="I707" s="68">
        <v>0</v>
      </c>
      <c r="J707" s="71">
        <v>42814</v>
      </c>
      <c r="K707" s="71">
        <v>42720</v>
      </c>
      <c r="L707" s="69" t="s">
        <v>137</v>
      </c>
      <c r="M707" s="69" t="s">
        <v>109</v>
      </c>
      <c r="N707" s="72">
        <v>42929</v>
      </c>
      <c r="O707" s="67"/>
      <c r="P707" s="67" t="s">
        <v>95</v>
      </c>
      <c r="Q707" s="67" t="s">
        <v>120</v>
      </c>
      <c r="R707" s="69" t="s">
        <v>69</v>
      </c>
      <c r="S707" s="69" t="s">
        <v>121</v>
      </c>
      <c r="T707" s="67"/>
      <c r="U707" s="67"/>
      <c r="V707" s="72">
        <v>42855</v>
      </c>
      <c r="W707" s="69">
        <v>2026352</v>
      </c>
      <c r="X707" s="69"/>
      <c r="Y707" s="123"/>
      <c r="Z707" s="30">
        <f t="shared" ref="Z707:Z770" si="22">CONVERT(D707,"kg","lbm")*F707/100</f>
        <v>4227.3638773950279</v>
      </c>
      <c r="AA707" s="30">
        <f t="shared" ref="AA707:AA770" si="23">CONVERT(D707,"kg","lbm")*G707/100</f>
        <v>0</v>
      </c>
      <c r="AB707" t="s">
        <v>456</v>
      </c>
    </row>
    <row r="708" spans="1:28">
      <c r="A708" s="67" t="s">
        <v>118</v>
      </c>
      <c r="B708" s="68">
        <v>1227199</v>
      </c>
      <c r="C708" s="69">
        <v>4615401680</v>
      </c>
      <c r="D708" s="70">
        <v>19175</v>
      </c>
      <c r="E708" s="79"/>
      <c r="F708" s="73">
        <v>10</v>
      </c>
      <c r="G708" s="73" t="s">
        <v>114</v>
      </c>
      <c r="H708" s="73">
        <v>0</v>
      </c>
      <c r="I708" s="68">
        <v>0</v>
      </c>
      <c r="J708" s="71">
        <v>42814</v>
      </c>
      <c r="K708" s="71">
        <v>42780</v>
      </c>
      <c r="L708" s="69" t="s">
        <v>137</v>
      </c>
      <c r="M708" s="69" t="s">
        <v>109</v>
      </c>
      <c r="N708" s="72">
        <v>42929</v>
      </c>
      <c r="O708" s="67"/>
      <c r="P708" s="67" t="s">
        <v>95</v>
      </c>
      <c r="Q708" s="67" t="s">
        <v>120</v>
      </c>
      <c r="R708" s="69" t="s">
        <v>69</v>
      </c>
      <c r="S708" s="69" t="s">
        <v>121</v>
      </c>
      <c r="T708" s="67"/>
      <c r="U708" s="67"/>
      <c r="V708" s="72">
        <v>42855</v>
      </c>
      <c r="W708" s="69">
        <v>2026352</v>
      </c>
      <c r="X708" s="69"/>
      <c r="Y708" s="123"/>
      <c r="Z708" s="30">
        <f t="shared" si="22"/>
        <v>4227.3638773950279</v>
      </c>
      <c r="AA708" s="30">
        <f t="shared" si="23"/>
        <v>0</v>
      </c>
      <c r="AB708" t="s">
        <v>456</v>
      </c>
    </row>
    <row r="709" spans="1:28">
      <c r="A709" s="67" t="s">
        <v>122</v>
      </c>
      <c r="B709" s="68">
        <v>1242761</v>
      </c>
      <c r="C709" s="69">
        <v>4615344620</v>
      </c>
      <c r="D709" s="70">
        <v>19200</v>
      </c>
      <c r="E709" s="79"/>
      <c r="F709" s="68">
        <v>16</v>
      </c>
      <c r="G709" s="68">
        <v>5</v>
      </c>
      <c r="H709" s="73">
        <v>0</v>
      </c>
      <c r="I709" s="68">
        <v>0</v>
      </c>
      <c r="J709" s="71"/>
      <c r="K709" s="71">
        <v>42752</v>
      </c>
      <c r="L709" s="69" t="s">
        <v>80</v>
      </c>
      <c r="M709" s="69" t="s">
        <v>109</v>
      </c>
      <c r="N709" s="72">
        <v>42929</v>
      </c>
      <c r="O709" s="67"/>
      <c r="P709" s="67" t="s">
        <v>95</v>
      </c>
      <c r="Q709" s="67" t="s">
        <v>120</v>
      </c>
      <c r="R709" s="69" t="s">
        <v>69</v>
      </c>
      <c r="S709" s="69" t="s">
        <v>123</v>
      </c>
      <c r="T709" s="67"/>
      <c r="U709" s="67"/>
      <c r="V709" s="72">
        <v>42886</v>
      </c>
      <c r="W709" s="69">
        <v>2023110</v>
      </c>
      <c r="X709" s="69" t="s">
        <v>196</v>
      </c>
      <c r="Y709" s="123"/>
      <c r="Z709" s="30">
        <f t="shared" si="22"/>
        <v>6772.6006943194379</v>
      </c>
      <c r="AA709" s="30">
        <f t="shared" si="23"/>
        <v>2116.4377169748245</v>
      </c>
      <c r="AB709" t="s">
        <v>456</v>
      </c>
    </row>
    <row r="710" spans="1:28">
      <c r="A710" s="67" t="s">
        <v>122</v>
      </c>
      <c r="B710" s="68">
        <v>1249925</v>
      </c>
      <c r="C710" s="69">
        <v>4615412056</v>
      </c>
      <c r="D710" s="70">
        <v>19200</v>
      </c>
      <c r="E710" s="79"/>
      <c r="F710" s="68">
        <v>16</v>
      </c>
      <c r="G710" s="68">
        <v>5</v>
      </c>
      <c r="H710" s="73">
        <v>0</v>
      </c>
      <c r="I710" s="68">
        <v>0</v>
      </c>
      <c r="J710" s="71"/>
      <c r="K710" s="71">
        <v>42738</v>
      </c>
      <c r="L710" s="69" t="s">
        <v>80</v>
      </c>
      <c r="M710" s="69" t="s">
        <v>109</v>
      </c>
      <c r="N710" s="72">
        <v>42929</v>
      </c>
      <c r="O710" s="67"/>
      <c r="P710" s="67" t="s">
        <v>95</v>
      </c>
      <c r="Q710" s="67" t="s">
        <v>120</v>
      </c>
      <c r="R710" s="69" t="s">
        <v>69</v>
      </c>
      <c r="S710" s="69" t="s">
        <v>123</v>
      </c>
      <c r="T710" s="67"/>
      <c r="U710" s="67"/>
      <c r="V710" s="72">
        <v>42886</v>
      </c>
      <c r="W710" s="69">
        <v>2025750</v>
      </c>
      <c r="X710" s="69" t="s">
        <v>196</v>
      </c>
      <c r="Y710" s="123"/>
      <c r="Z710" s="30">
        <f t="shared" si="22"/>
        <v>6772.6006943194379</v>
      </c>
      <c r="AA710" s="30">
        <f t="shared" si="23"/>
        <v>2116.4377169748245</v>
      </c>
      <c r="AB710" t="s">
        <v>456</v>
      </c>
    </row>
    <row r="711" spans="1:28">
      <c r="A711" s="67" t="s">
        <v>136</v>
      </c>
      <c r="B711" s="68">
        <v>1240413</v>
      </c>
      <c r="C711" s="69">
        <v>4615385954</v>
      </c>
      <c r="D711" s="70">
        <v>19200</v>
      </c>
      <c r="E711" s="79"/>
      <c r="F711" s="73">
        <v>10</v>
      </c>
      <c r="G711" s="73" t="s">
        <v>114</v>
      </c>
      <c r="H711" s="68">
        <v>0</v>
      </c>
      <c r="I711" s="68">
        <v>0</v>
      </c>
      <c r="J711" s="71"/>
      <c r="K711" s="71">
        <v>42778</v>
      </c>
      <c r="L711" s="69" t="s">
        <v>80</v>
      </c>
      <c r="M711" s="69" t="s">
        <v>109</v>
      </c>
      <c r="N711" s="72">
        <v>42929</v>
      </c>
      <c r="O711" s="67"/>
      <c r="P711" s="67" t="s">
        <v>95</v>
      </c>
      <c r="Q711" s="67" t="s">
        <v>129</v>
      </c>
      <c r="R711" s="69" t="s">
        <v>69</v>
      </c>
      <c r="S711" s="69" t="s">
        <v>138</v>
      </c>
      <c r="T711" s="67"/>
      <c r="U711" s="67"/>
      <c r="V711" s="72">
        <v>42916</v>
      </c>
      <c r="W711" s="69">
        <v>415570031</v>
      </c>
      <c r="X711" s="69"/>
      <c r="Y711" s="123"/>
      <c r="Z711" s="30">
        <f t="shared" si="22"/>
        <v>4232.8754339496491</v>
      </c>
      <c r="AA711" s="30">
        <f t="shared" si="23"/>
        <v>0</v>
      </c>
      <c r="AB711" t="s">
        <v>456</v>
      </c>
    </row>
    <row r="712" spans="1:28">
      <c r="A712" s="67" t="s">
        <v>107</v>
      </c>
      <c r="B712" s="68">
        <v>1238337</v>
      </c>
      <c r="C712" s="69">
        <v>4615461056</v>
      </c>
      <c r="D712" s="70">
        <v>19200</v>
      </c>
      <c r="E712" s="79"/>
      <c r="F712" s="82">
        <v>154.4</v>
      </c>
      <c r="G712" s="82" t="s">
        <v>114</v>
      </c>
      <c r="H712" s="73">
        <v>0</v>
      </c>
      <c r="I712" s="68">
        <v>0</v>
      </c>
      <c r="J712" s="71">
        <v>42828</v>
      </c>
      <c r="K712" s="71">
        <v>42752</v>
      </c>
      <c r="L712" s="69" t="s">
        <v>119</v>
      </c>
      <c r="M712" s="69" t="s">
        <v>109</v>
      </c>
      <c r="N712" s="72">
        <v>42928</v>
      </c>
      <c r="O712" s="67"/>
      <c r="P712" s="67" t="s">
        <v>95</v>
      </c>
      <c r="Q712" s="67" t="s">
        <v>110</v>
      </c>
      <c r="R712" s="69" t="s">
        <v>69</v>
      </c>
      <c r="S712" s="69" t="s">
        <v>111</v>
      </c>
      <c r="T712" s="67"/>
      <c r="U712" s="67"/>
      <c r="V712" s="72">
        <v>42825</v>
      </c>
      <c r="W712" s="69" t="s">
        <v>197</v>
      </c>
      <c r="X712" s="69"/>
      <c r="Y712" s="123"/>
      <c r="Z712" s="30">
        <f t="shared" si="22"/>
        <v>65355.596700182585</v>
      </c>
      <c r="AA712" s="30">
        <f t="shared" si="23"/>
        <v>0</v>
      </c>
      <c r="AB712" t="s">
        <v>456</v>
      </c>
    </row>
    <row r="713" spans="1:28">
      <c r="A713" s="67" t="s">
        <v>68</v>
      </c>
      <c r="B713" s="68">
        <v>1233246</v>
      </c>
      <c r="C713" s="69">
        <v>4615409790</v>
      </c>
      <c r="D713" s="70">
        <v>19175</v>
      </c>
      <c r="E713" s="79"/>
      <c r="F713" s="68">
        <v>16</v>
      </c>
      <c r="G713" s="68" t="s">
        <v>114</v>
      </c>
      <c r="H713" s="68">
        <v>0</v>
      </c>
      <c r="I713" s="68">
        <v>0</v>
      </c>
      <c r="J713" s="71">
        <v>42812</v>
      </c>
      <c r="K713" s="71">
        <v>42759</v>
      </c>
      <c r="L713" s="69" t="s">
        <v>119</v>
      </c>
      <c r="M713" s="69" t="s">
        <v>109</v>
      </c>
      <c r="N713" s="72">
        <v>42928</v>
      </c>
      <c r="O713" s="67"/>
      <c r="P713" s="67" t="s">
        <v>95</v>
      </c>
      <c r="Q713" s="67" t="s">
        <v>125</v>
      </c>
      <c r="R713" s="69" t="s">
        <v>69</v>
      </c>
      <c r="S713" s="69" t="s">
        <v>68</v>
      </c>
      <c r="T713" s="67"/>
      <c r="U713" s="67"/>
      <c r="V713" s="72">
        <v>42825</v>
      </c>
      <c r="W713" s="69">
        <v>5114719</v>
      </c>
      <c r="X713" s="69"/>
      <c r="Y713" s="123"/>
      <c r="Z713" s="30">
        <f t="shared" si="22"/>
        <v>6763.7822038320437</v>
      </c>
      <c r="AA713" s="30">
        <f t="shared" si="23"/>
        <v>0</v>
      </c>
      <c r="AB713" t="s">
        <v>456</v>
      </c>
    </row>
    <row r="714" spans="1:28">
      <c r="A714" s="67" t="s">
        <v>122</v>
      </c>
      <c r="B714" s="68">
        <v>1242766</v>
      </c>
      <c r="C714" s="69">
        <v>4615344620</v>
      </c>
      <c r="D714" s="70">
        <v>19200</v>
      </c>
      <c r="E714" s="79"/>
      <c r="F714" s="68">
        <v>16</v>
      </c>
      <c r="G714" s="68">
        <v>5</v>
      </c>
      <c r="H714" s="73">
        <v>0</v>
      </c>
      <c r="I714" s="68">
        <v>0</v>
      </c>
      <c r="J714" s="71"/>
      <c r="K714" s="71">
        <v>42752</v>
      </c>
      <c r="L714" s="69" t="s">
        <v>80</v>
      </c>
      <c r="M714" s="69" t="s">
        <v>109</v>
      </c>
      <c r="N714" s="72">
        <v>42927</v>
      </c>
      <c r="O714" s="67"/>
      <c r="P714" s="67" t="s">
        <v>95</v>
      </c>
      <c r="Q714" s="67" t="s">
        <v>120</v>
      </c>
      <c r="R714" s="69" t="s">
        <v>69</v>
      </c>
      <c r="S714" s="69" t="s">
        <v>123</v>
      </c>
      <c r="T714" s="67"/>
      <c r="U714" s="67"/>
      <c r="V714" s="72">
        <v>42886</v>
      </c>
      <c r="W714" s="69">
        <v>2023110</v>
      </c>
      <c r="X714" s="69" t="s">
        <v>196</v>
      </c>
      <c r="Y714" s="123"/>
      <c r="Z714" s="30">
        <f t="shared" si="22"/>
        <v>6772.6006943194379</v>
      </c>
      <c r="AA714" s="30">
        <f t="shared" si="23"/>
        <v>2116.4377169748245</v>
      </c>
      <c r="AB714" t="s">
        <v>456</v>
      </c>
    </row>
    <row r="715" spans="1:28">
      <c r="A715" s="67" t="s">
        <v>118</v>
      </c>
      <c r="B715" s="68">
        <v>1236274</v>
      </c>
      <c r="C715" s="69">
        <v>4615423539</v>
      </c>
      <c r="D715" s="70">
        <v>19200</v>
      </c>
      <c r="E715" s="80"/>
      <c r="F715" s="75">
        <v>10</v>
      </c>
      <c r="G715" s="75">
        <v>5</v>
      </c>
      <c r="H715" s="73">
        <v>0</v>
      </c>
      <c r="I715" s="68">
        <v>0</v>
      </c>
      <c r="J715" s="71">
        <v>42814</v>
      </c>
      <c r="K715" s="71">
        <v>42674</v>
      </c>
      <c r="L715" s="69" t="s">
        <v>137</v>
      </c>
      <c r="M715" s="69" t="s">
        <v>109</v>
      </c>
      <c r="N715" s="72">
        <v>42927</v>
      </c>
      <c r="O715" s="67"/>
      <c r="P715" s="67" t="s">
        <v>95</v>
      </c>
      <c r="Q715" s="67" t="s">
        <v>120</v>
      </c>
      <c r="R715" s="69" t="s">
        <v>69</v>
      </c>
      <c r="S715" s="69" t="s">
        <v>121</v>
      </c>
      <c r="T715" s="67"/>
      <c r="U715" s="67"/>
      <c r="V715" s="72">
        <v>42766</v>
      </c>
      <c r="W715" s="69">
        <v>2026496</v>
      </c>
      <c r="X715" s="69" t="s">
        <v>200</v>
      </c>
      <c r="Y715" s="123"/>
      <c r="Z715" s="30">
        <f t="shared" si="22"/>
        <v>4232.8754339496491</v>
      </c>
      <c r="AA715" s="30">
        <f t="shared" si="23"/>
        <v>2116.4377169748245</v>
      </c>
      <c r="AB715" t="s">
        <v>456</v>
      </c>
    </row>
    <row r="716" spans="1:28">
      <c r="A716" s="67" t="s">
        <v>68</v>
      </c>
      <c r="B716" s="68">
        <v>1233270</v>
      </c>
      <c r="C716" s="69">
        <v>4615417014</v>
      </c>
      <c r="D716" s="70">
        <v>19175</v>
      </c>
      <c r="E716" s="80"/>
      <c r="F716" s="73">
        <v>16</v>
      </c>
      <c r="G716" s="73">
        <v>5</v>
      </c>
      <c r="H716" s="68">
        <v>0</v>
      </c>
      <c r="I716" s="68">
        <v>0</v>
      </c>
      <c r="J716" s="71">
        <v>42812</v>
      </c>
      <c r="K716" s="71">
        <v>42699</v>
      </c>
      <c r="L716" s="69" t="s">
        <v>119</v>
      </c>
      <c r="M716" s="69" t="s">
        <v>109</v>
      </c>
      <c r="N716" s="72">
        <v>42927</v>
      </c>
      <c r="O716" s="67"/>
      <c r="P716" s="67" t="s">
        <v>95</v>
      </c>
      <c r="Q716" s="67" t="s">
        <v>125</v>
      </c>
      <c r="R716" s="69" t="s">
        <v>69</v>
      </c>
      <c r="S716" s="69" t="s">
        <v>68</v>
      </c>
      <c r="T716" s="67"/>
      <c r="U716" s="67"/>
      <c r="V716" s="72">
        <v>42825</v>
      </c>
      <c r="W716" s="69">
        <v>5114732</v>
      </c>
      <c r="X716" s="69"/>
      <c r="Y716" s="123"/>
      <c r="Z716" s="30">
        <f t="shared" si="22"/>
        <v>6763.7822038320437</v>
      </c>
      <c r="AA716" s="30">
        <f t="shared" si="23"/>
        <v>2113.6819386975139</v>
      </c>
      <c r="AB716" t="s">
        <v>456</v>
      </c>
    </row>
    <row r="717" spans="1:28">
      <c r="A717" s="67" t="s">
        <v>68</v>
      </c>
      <c r="B717" s="68">
        <v>1233250</v>
      </c>
      <c r="C717" s="69">
        <v>4615409790</v>
      </c>
      <c r="D717" s="70">
        <v>19175</v>
      </c>
      <c r="E717" s="80"/>
      <c r="F717" s="68">
        <v>16</v>
      </c>
      <c r="G717" s="68" t="s">
        <v>114</v>
      </c>
      <c r="H717" s="68">
        <v>0</v>
      </c>
      <c r="I717" s="68">
        <v>0</v>
      </c>
      <c r="J717" s="71">
        <v>42812</v>
      </c>
      <c r="K717" s="71">
        <v>42727</v>
      </c>
      <c r="L717" s="69" t="s">
        <v>119</v>
      </c>
      <c r="M717" s="69" t="s">
        <v>109</v>
      </c>
      <c r="N717" s="72">
        <v>42927</v>
      </c>
      <c r="O717" s="67"/>
      <c r="P717" s="67" t="s">
        <v>95</v>
      </c>
      <c r="Q717" s="67" t="s">
        <v>125</v>
      </c>
      <c r="R717" s="69" t="s">
        <v>69</v>
      </c>
      <c r="S717" s="69" t="s">
        <v>68</v>
      </c>
      <c r="T717" s="67"/>
      <c r="U717" s="67"/>
      <c r="V717" s="72">
        <v>42825</v>
      </c>
      <c r="W717" s="69">
        <v>5114719</v>
      </c>
      <c r="X717" s="69"/>
      <c r="Y717" s="123"/>
      <c r="Z717" s="30">
        <f t="shared" si="22"/>
        <v>6763.7822038320437</v>
      </c>
      <c r="AA717" s="30">
        <f t="shared" si="23"/>
        <v>0</v>
      </c>
      <c r="AB717" t="s">
        <v>456</v>
      </c>
    </row>
    <row r="718" spans="1:28">
      <c r="A718" s="67" t="s">
        <v>68</v>
      </c>
      <c r="B718" s="68">
        <v>1233247</v>
      </c>
      <c r="C718" s="69">
        <v>4615409790</v>
      </c>
      <c r="D718" s="70">
        <v>19175</v>
      </c>
      <c r="E718" s="80"/>
      <c r="F718" s="68">
        <v>16</v>
      </c>
      <c r="G718" s="68" t="s">
        <v>114</v>
      </c>
      <c r="H718" s="68">
        <v>0</v>
      </c>
      <c r="I718" s="68">
        <v>0</v>
      </c>
      <c r="J718" s="71">
        <v>42812</v>
      </c>
      <c r="K718" s="71">
        <v>42708</v>
      </c>
      <c r="L718" s="69" t="s">
        <v>119</v>
      </c>
      <c r="M718" s="69" t="s">
        <v>109</v>
      </c>
      <c r="N718" s="72">
        <v>42927</v>
      </c>
      <c r="O718" s="67"/>
      <c r="P718" s="67" t="s">
        <v>95</v>
      </c>
      <c r="Q718" s="67" t="s">
        <v>125</v>
      </c>
      <c r="R718" s="69" t="s">
        <v>69</v>
      </c>
      <c r="S718" s="69" t="s">
        <v>68</v>
      </c>
      <c r="T718" s="67"/>
      <c r="U718" s="67"/>
      <c r="V718" s="72">
        <v>42825</v>
      </c>
      <c r="W718" s="69">
        <v>5114719</v>
      </c>
      <c r="X718" s="69"/>
      <c r="Y718" s="123"/>
      <c r="Z718" s="30">
        <f t="shared" si="22"/>
        <v>6763.7822038320437</v>
      </c>
      <c r="AA718" s="30">
        <f t="shared" si="23"/>
        <v>0</v>
      </c>
      <c r="AB718" t="s">
        <v>456</v>
      </c>
    </row>
    <row r="719" spans="1:28">
      <c r="A719" s="67" t="s">
        <v>136</v>
      </c>
      <c r="B719" s="68">
        <v>1240396</v>
      </c>
      <c r="C719" s="69">
        <v>4615382556</v>
      </c>
      <c r="D719" s="70">
        <v>19200</v>
      </c>
      <c r="E719" s="80"/>
      <c r="F719" s="73">
        <v>10</v>
      </c>
      <c r="G719" s="73" t="s">
        <v>114</v>
      </c>
      <c r="H719" s="68">
        <v>0</v>
      </c>
      <c r="I719" s="68">
        <v>0</v>
      </c>
      <c r="J719" s="71"/>
      <c r="K719" s="71">
        <v>42675</v>
      </c>
      <c r="L719" s="69" t="s">
        <v>80</v>
      </c>
      <c r="M719" s="69" t="s">
        <v>109</v>
      </c>
      <c r="N719" s="72">
        <v>42927</v>
      </c>
      <c r="O719" s="67"/>
      <c r="P719" s="67" t="s">
        <v>95</v>
      </c>
      <c r="Q719" s="67" t="s">
        <v>129</v>
      </c>
      <c r="R719" s="69" t="s">
        <v>69</v>
      </c>
      <c r="S719" s="69" t="s">
        <v>138</v>
      </c>
      <c r="T719" s="67"/>
      <c r="U719" s="67"/>
      <c r="V719" s="72">
        <v>42886</v>
      </c>
      <c r="W719" s="69">
        <v>415570030</v>
      </c>
      <c r="X719" s="69"/>
      <c r="Y719" s="123"/>
      <c r="Z719" s="30">
        <f t="shared" si="22"/>
        <v>4232.8754339496491</v>
      </c>
      <c r="AA719" s="30">
        <f t="shared" si="23"/>
        <v>0</v>
      </c>
      <c r="AB719" t="s">
        <v>456</v>
      </c>
    </row>
    <row r="720" spans="1:28">
      <c r="A720" s="67" t="s">
        <v>136</v>
      </c>
      <c r="B720" s="68">
        <v>1240392</v>
      </c>
      <c r="C720" s="69">
        <v>4615382556</v>
      </c>
      <c r="D720" s="70">
        <v>19200</v>
      </c>
      <c r="E720" s="80"/>
      <c r="F720" s="73">
        <v>10</v>
      </c>
      <c r="G720" s="73" t="s">
        <v>114</v>
      </c>
      <c r="H720" s="68">
        <v>0</v>
      </c>
      <c r="I720" s="68">
        <v>0</v>
      </c>
      <c r="J720" s="71"/>
      <c r="K720" s="71">
        <v>42675</v>
      </c>
      <c r="L720" s="69" t="s">
        <v>80</v>
      </c>
      <c r="M720" s="69" t="s">
        <v>109</v>
      </c>
      <c r="N720" s="72">
        <v>42927</v>
      </c>
      <c r="O720" s="67"/>
      <c r="P720" s="67" t="s">
        <v>95</v>
      </c>
      <c r="Q720" s="67" t="s">
        <v>129</v>
      </c>
      <c r="R720" s="69" t="s">
        <v>69</v>
      </c>
      <c r="S720" s="69" t="s">
        <v>138</v>
      </c>
      <c r="T720" s="67"/>
      <c r="U720" s="67"/>
      <c r="V720" s="72">
        <v>42886</v>
      </c>
      <c r="W720" s="69">
        <v>415570030</v>
      </c>
      <c r="X720" s="69"/>
      <c r="Y720" s="123"/>
      <c r="Z720" s="30">
        <f t="shared" si="22"/>
        <v>4232.8754339496491</v>
      </c>
      <c r="AA720" s="30">
        <f t="shared" si="23"/>
        <v>0</v>
      </c>
      <c r="AB720" t="s">
        <v>456</v>
      </c>
    </row>
    <row r="721" spans="1:28">
      <c r="A721" s="67" t="s">
        <v>122</v>
      </c>
      <c r="B721" s="68">
        <v>1245689</v>
      </c>
      <c r="C721" s="69">
        <v>4615409374</v>
      </c>
      <c r="D721" s="70">
        <v>19200</v>
      </c>
      <c r="E721" s="80"/>
      <c r="F721" s="68">
        <v>16</v>
      </c>
      <c r="G721" s="68">
        <v>5</v>
      </c>
      <c r="H721" s="68">
        <v>0</v>
      </c>
      <c r="I721" s="68">
        <v>0</v>
      </c>
      <c r="J721" s="71"/>
      <c r="K721" s="71">
        <v>42763</v>
      </c>
      <c r="L721" s="69" t="s">
        <v>80</v>
      </c>
      <c r="M721" s="69" t="s">
        <v>109</v>
      </c>
      <c r="N721" s="72">
        <v>42926</v>
      </c>
      <c r="O721" s="67"/>
      <c r="P721" s="67" t="s">
        <v>95</v>
      </c>
      <c r="Q721" s="67" t="s">
        <v>120</v>
      </c>
      <c r="R721" s="69" t="s">
        <v>69</v>
      </c>
      <c r="S721" s="69" t="s">
        <v>123</v>
      </c>
      <c r="T721" s="67"/>
      <c r="U721" s="67"/>
      <c r="V721" s="72">
        <v>42916</v>
      </c>
      <c r="W721" s="69">
        <v>2025665</v>
      </c>
      <c r="X721" s="69"/>
      <c r="Y721" s="123"/>
      <c r="Z721" s="30">
        <f t="shared" si="22"/>
        <v>6772.6006943194379</v>
      </c>
      <c r="AA721" s="30">
        <f t="shared" si="23"/>
        <v>2116.4377169748245</v>
      </c>
      <c r="AB721" t="s">
        <v>456</v>
      </c>
    </row>
    <row r="722" spans="1:28">
      <c r="A722" s="67" t="s">
        <v>118</v>
      </c>
      <c r="B722" s="68">
        <v>1227193</v>
      </c>
      <c r="C722" s="69">
        <v>4615373462</v>
      </c>
      <c r="D722" s="70">
        <v>19175</v>
      </c>
      <c r="E722" s="80"/>
      <c r="F722" s="68">
        <v>10</v>
      </c>
      <c r="G722" s="68" t="s">
        <v>114</v>
      </c>
      <c r="H722" s="73">
        <v>0</v>
      </c>
      <c r="I722" s="68">
        <v>0</v>
      </c>
      <c r="J722" s="71">
        <v>42814</v>
      </c>
      <c r="K722" s="71">
        <v>42720</v>
      </c>
      <c r="L722" s="69" t="s">
        <v>137</v>
      </c>
      <c r="M722" s="69" t="s">
        <v>109</v>
      </c>
      <c r="N722" s="72">
        <v>42925</v>
      </c>
      <c r="O722" s="67"/>
      <c r="P722" s="67" t="s">
        <v>95</v>
      </c>
      <c r="Q722" s="67" t="s">
        <v>120</v>
      </c>
      <c r="R722" s="69" t="s">
        <v>69</v>
      </c>
      <c r="S722" s="69" t="s">
        <v>121</v>
      </c>
      <c r="T722" s="67"/>
      <c r="U722" s="67"/>
      <c r="V722" s="72">
        <v>42855</v>
      </c>
      <c r="W722" s="69">
        <v>2021266</v>
      </c>
      <c r="X722" s="69"/>
      <c r="Y722" s="123"/>
      <c r="Z722" s="30">
        <f t="shared" si="22"/>
        <v>4227.3638773950279</v>
      </c>
      <c r="AA722" s="30">
        <f t="shared" si="23"/>
        <v>0</v>
      </c>
      <c r="AB722" t="s">
        <v>456</v>
      </c>
    </row>
    <row r="723" spans="1:28">
      <c r="A723" s="67" t="s">
        <v>122</v>
      </c>
      <c r="B723" s="68">
        <v>1250463</v>
      </c>
      <c r="C723" s="69">
        <v>4615416264</v>
      </c>
      <c r="D723" s="70">
        <v>19200</v>
      </c>
      <c r="E723" s="80"/>
      <c r="F723" s="68">
        <v>16</v>
      </c>
      <c r="G723" s="68">
        <v>5</v>
      </c>
      <c r="H723" s="68">
        <v>0</v>
      </c>
      <c r="I723" s="68">
        <v>0</v>
      </c>
      <c r="J723" s="71"/>
      <c r="K723" s="71">
        <v>42756</v>
      </c>
      <c r="L723" s="69" t="s">
        <v>80</v>
      </c>
      <c r="M723" s="69" t="s">
        <v>109</v>
      </c>
      <c r="N723" s="72">
        <v>42925</v>
      </c>
      <c r="O723" s="67"/>
      <c r="P723" s="67" t="s">
        <v>95</v>
      </c>
      <c r="Q723" s="67" t="s">
        <v>120</v>
      </c>
      <c r="R723" s="69" t="s">
        <v>69</v>
      </c>
      <c r="S723" s="69" t="s">
        <v>123</v>
      </c>
      <c r="T723" s="67"/>
      <c r="U723" s="67"/>
      <c r="V723" s="72">
        <v>42886</v>
      </c>
      <c r="W723" s="69">
        <v>20225765</v>
      </c>
      <c r="X723" s="69" t="s">
        <v>196</v>
      </c>
      <c r="Y723" s="123"/>
      <c r="Z723" s="30">
        <f t="shared" si="22"/>
        <v>6772.6006943194379</v>
      </c>
      <c r="AA723" s="30">
        <f t="shared" si="23"/>
        <v>2116.4377169748245</v>
      </c>
      <c r="AB723" t="s">
        <v>456</v>
      </c>
    </row>
    <row r="724" spans="1:28">
      <c r="A724" s="67" t="s">
        <v>118</v>
      </c>
      <c r="B724" s="68">
        <v>1237833</v>
      </c>
      <c r="C724" s="69">
        <v>4615369807</v>
      </c>
      <c r="D724" s="70">
        <v>19175</v>
      </c>
      <c r="E724" s="80"/>
      <c r="F724" s="68">
        <v>10</v>
      </c>
      <c r="G724" s="68" t="s">
        <v>114</v>
      </c>
      <c r="H724" s="68">
        <v>0</v>
      </c>
      <c r="I724" s="68">
        <v>0</v>
      </c>
      <c r="J724" s="71">
        <v>42853</v>
      </c>
      <c r="K724" s="71">
        <v>42729</v>
      </c>
      <c r="L724" s="69" t="s">
        <v>137</v>
      </c>
      <c r="M724" s="69" t="s">
        <v>109</v>
      </c>
      <c r="N724" s="72">
        <v>42925</v>
      </c>
      <c r="O724" s="67"/>
      <c r="P724" s="67" t="s">
        <v>95</v>
      </c>
      <c r="Q724" s="67" t="s">
        <v>120</v>
      </c>
      <c r="R724" s="69" t="s">
        <v>69</v>
      </c>
      <c r="S724" s="69" t="s">
        <v>121</v>
      </c>
      <c r="T724" s="67"/>
      <c r="U724" s="67"/>
      <c r="V724" s="72">
        <v>42886</v>
      </c>
      <c r="W724" s="69">
        <v>2021267</v>
      </c>
      <c r="X724" s="69"/>
      <c r="Y724" s="123"/>
      <c r="Z724" s="30">
        <f t="shared" si="22"/>
        <v>4227.3638773950279</v>
      </c>
      <c r="AA724" s="30">
        <f t="shared" si="23"/>
        <v>0</v>
      </c>
      <c r="AB724" t="s">
        <v>456</v>
      </c>
    </row>
    <row r="725" spans="1:28">
      <c r="A725" s="67" t="s">
        <v>68</v>
      </c>
      <c r="B725" s="68">
        <v>1233260</v>
      </c>
      <c r="C725" s="69">
        <v>4615417014</v>
      </c>
      <c r="D725" s="70">
        <v>19175</v>
      </c>
      <c r="E725" s="80"/>
      <c r="F725" s="73">
        <v>16</v>
      </c>
      <c r="G725" s="73">
        <v>5</v>
      </c>
      <c r="H725" s="68">
        <v>0</v>
      </c>
      <c r="I725" s="68">
        <v>0</v>
      </c>
      <c r="J725" s="71">
        <v>42812</v>
      </c>
      <c r="K725" s="71">
        <v>42729</v>
      </c>
      <c r="L725" s="69" t="s">
        <v>119</v>
      </c>
      <c r="M725" s="69" t="s">
        <v>109</v>
      </c>
      <c r="N725" s="72">
        <v>42925</v>
      </c>
      <c r="O725" s="67"/>
      <c r="P725" s="67" t="s">
        <v>95</v>
      </c>
      <c r="Q725" s="67" t="s">
        <v>125</v>
      </c>
      <c r="R725" s="69" t="s">
        <v>69</v>
      </c>
      <c r="S725" s="69" t="s">
        <v>68</v>
      </c>
      <c r="T725" s="67"/>
      <c r="U725" s="67"/>
      <c r="V725" s="72">
        <v>42825</v>
      </c>
      <c r="W725" s="69">
        <v>5114732</v>
      </c>
      <c r="X725" s="69"/>
      <c r="Y725" s="123"/>
      <c r="Z725" s="30">
        <f t="shared" si="22"/>
        <v>6763.7822038320437</v>
      </c>
      <c r="AA725" s="30">
        <f t="shared" si="23"/>
        <v>2113.6819386975139</v>
      </c>
      <c r="AB725" t="s">
        <v>456</v>
      </c>
    </row>
    <row r="726" spans="1:28">
      <c r="A726" s="67" t="s">
        <v>68</v>
      </c>
      <c r="B726" s="68">
        <v>1233271</v>
      </c>
      <c r="C726" s="69">
        <v>4615417014</v>
      </c>
      <c r="D726" s="70">
        <v>19175</v>
      </c>
      <c r="E726" s="80"/>
      <c r="F726" s="73">
        <v>16</v>
      </c>
      <c r="G726" s="73">
        <v>5</v>
      </c>
      <c r="H726" s="68">
        <v>0</v>
      </c>
      <c r="I726" s="68">
        <v>0</v>
      </c>
      <c r="J726" s="71">
        <v>42812</v>
      </c>
      <c r="K726" s="71">
        <v>42694</v>
      </c>
      <c r="L726" s="69" t="s">
        <v>119</v>
      </c>
      <c r="M726" s="69" t="s">
        <v>109</v>
      </c>
      <c r="N726" s="72">
        <v>42925</v>
      </c>
      <c r="O726" s="67"/>
      <c r="P726" s="67" t="s">
        <v>95</v>
      </c>
      <c r="Q726" s="67" t="s">
        <v>125</v>
      </c>
      <c r="R726" s="69" t="s">
        <v>69</v>
      </c>
      <c r="S726" s="69" t="s">
        <v>68</v>
      </c>
      <c r="T726" s="67"/>
      <c r="U726" s="67"/>
      <c r="V726" s="72">
        <v>42825</v>
      </c>
      <c r="W726" s="69">
        <v>5114732</v>
      </c>
      <c r="X726" s="69"/>
      <c r="Y726" s="123"/>
      <c r="Z726" s="30">
        <f t="shared" si="22"/>
        <v>6763.7822038320437</v>
      </c>
      <c r="AA726" s="30">
        <f t="shared" si="23"/>
        <v>2113.6819386975139</v>
      </c>
      <c r="AB726" t="s">
        <v>456</v>
      </c>
    </row>
    <row r="727" spans="1:28">
      <c r="A727" s="67" t="s">
        <v>68</v>
      </c>
      <c r="B727" s="68">
        <v>1233248</v>
      </c>
      <c r="C727" s="69">
        <v>4615409790</v>
      </c>
      <c r="D727" s="70">
        <v>19175</v>
      </c>
      <c r="E727" s="80"/>
      <c r="F727" s="68">
        <v>16</v>
      </c>
      <c r="G727" s="68" t="s">
        <v>114</v>
      </c>
      <c r="H727" s="68">
        <v>0</v>
      </c>
      <c r="I727" s="68">
        <v>0</v>
      </c>
      <c r="J727" s="71">
        <v>42812</v>
      </c>
      <c r="K727" s="71">
        <v>42737</v>
      </c>
      <c r="L727" s="69" t="s">
        <v>119</v>
      </c>
      <c r="M727" s="69" t="s">
        <v>109</v>
      </c>
      <c r="N727" s="72">
        <v>42925</v>
      </c>
      <c r="O727" s="67"/>
      <c r="P727" s="67" t="s">
        <v>95</v>
      </c>
      <c r="Q727" s="67" t="s">
        <v>125</v>
      </c>
      <c r="R727" s="69" t="s">
        <v>69</v>
      </c>
      <c r="S727" s="69" t="s">
        <v>68</v>
      </c>
      <c r="T727" s="67"/>
      <c r="U727" s="67"/>
      <c r="V727" s="72">
        <v>42825</v>
      </c>
      <c r="W727" s="69">
        <v>5114719</v>
      </c>
      <c r="X727" s="69"/>
      <c r="Y727" s="123"/>
      <c r="Z727" s="30">
        <f t="shared" si="22"/>
        <v>6763.7822038320437</v>
      </c>
      <c r="AA727" s="30">
        <f t="shared" si="23"/>
        <v>0</v>
      </c>
      <c r="AB727" t="s">
        <v>456</v>
      </c>
    </row>
    <row r="728" spans="1:28">
      <c r="A728" s="67" t="s">
        <v>68</v>
      </c>
      <c r="B728" s="68">
        <v>1233263</v>
      </c>
      <c r="C728" s="69">
        <v>4615417014</v>
      </c>
      <c r="D728" s="70">
        <v>19175</v>
      </c>
      <c r="E728" s="80"/>
      <c r="F728" s="73">
        <v>16</v>
      </c>
      <c r="G728" s="73">
        <v>5</v>
      </c>
      <c r="H728" s="68">
        <v>0</v>
      </c>
      <c r="I728" s="68">
        <v>0</v>
      </c>
      <c r="J728" s="71">
        <v>42812</v>
      </c>
      <c r="K728" s="71">
        <v>42727</v>
      </c>
      <c r="L728" s="69" t="s">
        <v>119</v>
      </c>
      <c r="M728" s="69" t="s">
        <v>109</v>
      </c>
      <c r="N728" s="72">
        <v>42925</v>
      </c>
      <c r="O728" s="67"/>
      <c r="P728" s="67" t="s">
        <v>95</v>
      </c>
      <c r="Q728" s="67" t="s">
        <v>125</v>
      </c>
      <c r="R728" s="69" t="s">
        <v>69</v>
      </c>
      <c r="S728" s="69" t="s">
        <v>68</v>
      </c>
      <c r="T728" s="67"/>
      <c r="U728" s="67"/>
      <c r="V728" s="72">
        <v>42825</v>
      </c>
      <c r="W728" s="69">
        <v>5114732</v>
      </c>
      <c r="X728" s="69"/>
      <c r="Y728" s="123"/>
      <c r="Z728" s="30">
        <f t="shared" si="22"/>
        <v>6763.7822038320437</v>
      </c>
      <c r="AA728" s="30">
        <f t="shared" si="23"/>
        <v>2113.6819386975139</v>
      </c>
      <c r="AB728" t="s">
        <v>456</v>
      </c>
    </row>
    <row r="729" spans="1:28">
      <c r="A729" s="67" t="s">
        <v>68</v>
      </c>
      <c r="B729" s="68">
        <v>1233264</v>
      </c>
      <c r="C729" s="69">
        <v>4615417014</v>
      </c>
      <c r="D729" s="70">
        <v>19175</v>
      </c>
      <c r="E729" s="80"/>
      <c r="F729" s="73">
        <v>16</v>
      </c>
      <c r="G729" s="73">
        <v>5</v>
      </c>
      <c r="H729" s="68">
        <v>0</v>
      </c>
      <c r="I729" s="68">
        <v>0</v>
      </c>
      <c r="J729" s="71">
        <v>42812</v>
      </c>
      <c r="K729" s="71">
        <v>42701</v>
      </c>
      <c r="L729" s="69" t="s">
        <v>119</v>
      </c>
      <c r="M729" s="69" t="s">
        <v>109</v>
      </c>
      <c r="N729" s="72">
        <v>42925</v>
      </c>
      <c r="O729" s="67"/>
      <c r="P729" s="67" t="s">
        <v>95</v>
      </c>
      <c r="Q729" s="67" t="s">
        <v>125</v>
      </c>
      <c r="R729" s="69" t="s">
        <v>69</v>
      </c>
      <c r="S729" s="69" t="s">
        <v>68</v>
      </c>
      <c r="T729" s="67"/>
      <c r="U729" s="67"/>
      <c r="V729" s="72">
        <v>42825</v>
      </c>
      <c r="W729" s="69">
        <v>5114732</v>
      </c>
      <c r="X729" s="69"/>
      <c r="Y729" s="123"/>
      <c r="Z729" s="30">
        <f t="shared" si="22"/>
        <v>6763.7822038320437</v>
      </c>
      <c r="AA729" s="30">
        <f t="shared" si="23"/>
        <v>2113.6819386975139</v>
      </c>
      <c r="AB729" t="s">
        <v>456</v>
      </c>
    </row>
    <row r="730" spans="1:28">
      <c r="A730" s="67" t="s">
        <v>68</v>
      </c>
      <c r="B730" s="68">
        <v>1233265</v>
      </c>
      <c r="C730" s="69">
        <v>4615417014</v>
      </c>
      <c r="D730" s="70">
        <v>19175</v>
      </c>
      <c r="E730" s="80"/>
      <c r="F730" s="73">
        <v>16</v>
      </c>
      <c r="G730" s="73">
        <v>5</v>
      </c>
      <c r="H730" s="68">
        <v>0</v>
      </c>
      <c r="I730" s="68">
        <v>0</v>
      </c>
      <c r="J730" s="71">
        <v>42812</v>
      </c>
      <c r="K730" s="71">
        <v>42713</v>
      </c>
      <c r="L730" s="69" t="s">
        <v>119</v>
      </c>
      <c r="M730" s="69" t="s">
        <v>109</v>
      </c>
      <c r="N730" s="72">
        <v>42925</v>
      </c>
      <c r="O730" s="67"/>
      <c r="P730" s="67" t="s">
        <v>95</v>
      </c>
      <c r="Q730" s="67" t="s">
        <v>125</v>
      </c>
      <c r="R730" s="69" t="s">
        <v>69</v>
      </c>
      <c r="S730" s="69" t="s">
        <v>68</v>
      </c>
      <c r="T730" s="67"/>
      <c r="U730" s="67"/>
      <c r="V730" s="72">
        <v>42825</v>
      </c>
      <c r="W730" s="69">
        <v>5114732</v>
      </c>
      <c r="X730" s="69"/>
      <c r="Y730" s="123"/>
      <c r="Z730" s="30">
        <f t="shared" si="22"/>
        <v>6763.7822038320437</v>
      </c>
      <c r="AA730" s="30">
        <f t="shared" si="23"/>
        <v>2113.6819386975139</v>
      </c>
      <c r="AB730" t="s">
        <v>456</v>
      </c>
    </row>
    <row r="731" spans="1:28">
      <c r="A731" s="67" t="s">
        <v>68</v>
      </c>
      <c r="B731" s="68">
        <v>1233240</v>
      </c>
      <c r="C731" s="69">
        <v>4615409790</v>
      </c>
      <c r="D731" s="70">
        <v>19175</v>
      </c>
      <c r="E731" s="80"/>
      <c r="F731" s="68">
        <v>16</v>
      </c>
      <c r="G731" s="68" t="s">
        <v>114</v>
      </c>
      <c r="H731" s="68">
        <v>0</v>
      </c>
      <c r="I731" s="68">
        <v>0</v>
      </c>
      <c r="J731" s="71">
        <v>42812</v>
      </c>
      <c r="K731" s="71">
        <v>42727</v>
      </c>
      <c r="L731" s="69" t="s">
        <v>119</v>
      </c>
      <c r="M731" s="69" t="s">
        <v>109</v>
      </c>
      <c r="N731" s="72">
        <v>42922</v>
      </c>
      <c r="O731" s="67"/>
      <c r="P731" s="67" t="s">
        <v>95</v>
      </c>
      <c r="Q731" s="67" t="s">
        <v>125</v>
      </c>
      <c r="R731" s="69" t="s">
        <v>69</v>
      </c>
      <c r="S731" s="69" t="s">
        <v>68</v>
      </c>
      <c r="T731" s="67"/>
      <c r="U731" s="67"/>
      <c r="V731" s="72">
        <v>42825</v>
      </c>
      <c r="W731" s="69">
        <v>5114719</v>
      </c>
      <c r="X731" s="69"/>
      <c r="Y731" s="123"/>
      <c r="Z731" s="30">
        <f t="shared" si="22"/>
        <v>6763.7822038320437</v>
      </c>
      <c r="AA731" s="30">
        <f t="shared" si="23"/>
        <v>0</v>
      </c>
      <c r="AB731" t="s">
        <v>456</v>
      </c>
    </row>
    <row r="732" spans="1:28">
      <c r="A732" s="67" t="s">
        <v>118</v>
      </c>
      <c r="B732" s="68">
        <v>1227200</v>
      </c>
      <c r="C732" s="69">
        <v>4615401680</v>
      </c>
      <c r="D732" s="70">
        <v>19175</v>
      </c>
      <c r="E732" s="80"/>
      <c r="F732" s="73">
        <v>10</v>
      </c>
      <c r="G732" s="73" t="s">
        <v>114</v>
      </c>
      <c r="H732" s="73">
        <v>0</v>
      </c>
      <c r="I732" s="68">
        <v>0</v>
      </c>
      <c r="J732" s="71">
        <v>42814</v>
      </c>
      <c r="K732" s="71">
        <v>42727</v>
      </c>
      <c r="L732" s="69" t="s">
        <v>137</v>
      </c>
      <c r="M732" s="69" t="s">
        <v>109</v>
      </c>
      <c r="N732" s="72">
        <v>42922</v>
      </c>
      <c r="O732" s="67"/>
      <c r="P732" s="67" t="s">
        <v>95</v>
      </c>
      <c r="Q732" s="67" t="s">
        <v>120</v>
      </c>
      <c r="R732" s="69" t="s">
        <v>69</v>
      </c>
      <c r="S732" s="69" t="s">
        <v>121</v>
      </c>
      <c r="T732" s="67"/>
      <c r="U732" s="67"/>
      <c r="V732" s="72">
        <v>42855</v>
      </c>
      <c r="W732" s="69">
        <v>2026352</v>
      </c>
      <c r="X732" s="69"/>
      <c r="Y732" s="123"/>
      <c r="Z732" s="30">
        <f t="shared" si="22"/>
        <v>4227.3638773950279</v>
      </c>
      <c r="AA732" s="30">
        <f t="shared" si="23"/>
        <v>0</v>
      </c>
      <c r="AB732" t="s">
        <v>456</v>
      </c>
    </row>
    <row r="733" spans="1:28">
      <c r="A733" s="67" t="s">
        <v>122</v>
      </c>
      <c r="B733" s="68">
        <v>1245690</v>
      </c>
      <c r="C733" s="69">
        <v>4615409374</v>
      </c>
      <c r="D733" s="70">
        <v>19200</v>
      </c>
      <c r="E733" s="80"/>
      <c r="F733" s="68">
        <v>16</v>
      </c>
      <c r="G733" s="68">
        <v>5</v>
      </c>
      <c r="H733" s="73">
        <v>0</v>
      </c>
      <c r="I733" s="68">
        <v>0</v>
      </c>
      <c r="J733" s="71"/>
      <c r="K733" s="71">
        <v>42724</v>
      </c>
      <c r="L733" s="69" t="s">
        <v>80</v>
      </c>
      <c r="M733" s="69" t="s">
        <v>109</v>
      </c>
      <c r="N733" s="72">
        <v>42922</v>
      </c>
      <c r="O733" s="67"/>
      <c r="P733" s="67" t="s">
        <v>95</v>
      </c>
      <c r="Q733" s="67" t="s">
        <v>120</v>
      </c>
      <c r="R733" s="69" t="s">
        <v>69</v>
      </c>
      <c r="S733" s="69" t="s">
        <v>123</v>
      </c>
      <c r="T733" s="67"/>
      <c r="U733" s="67"/>
      <c r="V733" s="72">
        <v>42916</v>
      </c>
      <c r="W733" s="69">
        <v>2025665</v>
      </c>
      <c r="X733" s="69"/>
      <c r="Y733" s="123"/>
      <c r="Z733" s="30">
        <f t="shared" si="22"/>
        <v>6772.6006943194379</v>
      </c>
      <c r="AA733" s="30">
        <f t="shared" si="23"/>
        <v>2116.4377169748245</v>
      </c>
      <c r="AB733" t="s">
        <v>456</v>
      </c>
    </row>
    <row r="734" spans="1:28">
      <c r="A734" s="67" t="s">
        <v>113</v>
      </c>
      <c r="B734" s="68">
        <v>1245681</v>
      </c>
      <c r="C734" s="69">
        <v>4615404823</v>
      </c>
      <c r="D734" s="70">
        <v>19200</v>
      </c>
      <c r="E734" s="80"/>
      <c r="F734" s="68">
        <v>16</v>
      </c>
      <c r="G734" s="68" t="s">
        <v>114</v>
      </c>
      <c r="H734" s="68">
        <v>0</v>
      </c>
      <c r="I734" s="68">
        <v>0</v>
      </c>
      <c r="J734" s="71"/>
      <c r="K734" s="71">
        <v>42724</v>
      </c>
      <c r="L734" s="69" t="s">
        <v>80</v>
      </c>
      <c r="M734" s="69" t="s">
        <v>109</v>
      </c>
      <c r="N734" s="72">
        <v>42922</v>
      </c>
      <c r="O734" s="67"/>
      <c r="P734" s="67" t="s">
        <v>95</v>
      </c>
      <c r="Q734" s="67" t="s">
        <v>110</v>
      </c>
      <c r="R734" s="69" t="s">
        <v>69</v>
      </c>
      <c r="S734" s="69" t="s">
        <v>115</v>
      </c>
      <c r="T734" s="67"/>
      <c r="U734" s="67"/>
      <c r="V734" s="72">
        <v>42916</v>
      </c>
      <c r="W734" s="69" t="s">
        <v>186</v>
      </c>
      <c r="X734" s="69" t="s">
        <v>117</v>
      </c>
      <c r="Y734" s="123"/>
      <c r="Z734" s="30">
        <f t="shared" si="22"/>
        <v>6772.6006943194379</v>
      </c>
      <c r="AA734" s="30">
        <f t="shared" si="23"/>
        <v>0</v>
      </c>
      <c r="AB734" t="s">
        <v>456</v>
      </c>
    </row>
    <row r="735" spans="1:28">
      <c r="A735" s="67" t="s">
        <v>118</v>
      </c>
      <c r="B735" s="68">
        <v>1236273</v>
      </c>
      <c r="C735" s="69">
        <v>4615423539</v>
      </c>
      <c r="D735" s="70">
        <v>19200</v>
      </c>
      <c r="E735" s="79"/>
      <c r="F735" s="75">
        <v>10</v>
      </c>
      <c r="G735" s="75">
        <v>5</v>
      </c>
      <c r="H735" s="73">
        <v>0</v>
      </c>
      <c r="I735" s="68">
        <v>0</v>
      </c>
      <c r="J735" s="71">
        <v>42814</v>
      </c>
      <c r="K735" s="71">
        <v>42713</v>
      </c>
      <c r="L735" s="69" t="s">
        <v>137</v>
      </c>
      <c r="M735" s="69" t="s">
        <v>109</v>
      </c>
      <c r="N735" s="72">
        <v>42921</v>
      </c>
      <c r="O735" s="67"/>
      <c r="P735" s="67" t="s">
        <v>95</v>
      </c>
      <c r="Q735" s="67" t="s">
        <v>120</v>
      </c>
      <c r="R735" s="69" t="s">
        <v>69</v>
      </c>
      <c r="S735" s="69" t="s">
        <v>121</v>
      </c>
      <c r="T735" s="67"/>
      <c r="U735" s="67"/>
      <c r="V735" s="72">
        <v>42766</v>
      </c>
      <c r="W735" s="69">
        <v>2026496</v>
      </c>
      <c r="X735" s="69" t="s">
        <v>200</v>
      </c>
      <c r="Y735" s="123"/>
      <c r="Z735" s="30">
        <f t="shared" si="22"/>
        <v>4232.8754339496491</v>
      </c>
      <c r="AA735" s="30">
        <f t="shared" si="23"/>
        <v>2116.4377169748245</v>
      </c>
      <c r="AB735" t="s">
        <v>456</v>
      </c>
    </row>
    <row r="736" spans="1:28">
      <c r="A736" s="67" t="s">
        <v>68</v>
      </c>
      <c r="B736" s="68">
        <v>1222593</v>
      </c>
      <c r="C736" s="69">
        <v>4615412605</v>
      </c>
      <c r="D736" s="70">
        <v>19175</v>
      </c>
      <c r="E736" s="79"/>
      <c r="F736" s="73">
        <v>16</v>
      </c>
      <c r="G736" s="73">
        <v>5</v>
      </c>
      <c r="H736" s="75">
        <v>0</v>
      </c>
      <c r="I736" s="68">
        <v>0</v>
      </c>
      <c r="J736" s="71">
        <v>42769</v>
      </c>
      <c r="K736" s="71">
        <v>42679</v>
      </c>
      <c r="L736" s="69" t="s">
        <v>119</v>
      </c>
      <c r="M736" s="69" t="s">
        <v>109</v>
      </c>
      <c r="N736" s="72">
        <v>42921</v>
      </c>
      <c r="O736" s="67"/>
      <c r="P736" s="67" t="s">
        <v>95</v>
      </c>
      <c r="Q736" s="67" t="s">
        <v>125</v>
      </c>
      <c r="R736" s="69" t="s">
        <v>69</v>
      </c>
      <c r="S736" s="69" t="s">
        <v>68</v>
      </c>
      <c r="T736" s="67"/>
      <c r="U736" s="67"/>
      <c r="V736" s="72">
        <v>42794</v>
      </c>
      <c r="W736" s="69">
        <v>5114731</v>
      </c>
      <c r="X736" s="69"/>
      <c r="Y736" s="123"/>
      <c r="Z736" s="30">
        <f t="shared" si="22"/>
        <v>6763.7822038320437</v>
      </c>
      <c r="AA736" s="30">
        <f t="shared" si="23"/>
        <v>2113.6819386975139</v>
      </c>
      <c r="AB736" t="s">
        <v>456</v>
      </c>
    </row>
    <row r="737" spans="1:28">
      <c r="A737" s="67" t="s">
        <v>122</v>
      </c>
      <c r="B737" s="68">
        <v>1230980</v>
      </c>
      <c r="C737" s="69">
        <v>4615389582</v>
      </c>
      <c r="D737" s="70">
        <v>19200</v>
      </c>
      <c r="E737" s="79"/>
      <c r="F737" s="68">
        <v>16</v>
      </c>
      <c r="G737" s="68">
        <v>5</v>
      </c>
      <c r="H737" s="73">
        <v>0</v>
      </c>
      <c r="I737" s="68">
        <v>0</v>
      </c>
      <c r="J737" s="71">
        <v>42815</v>
      </c>
      <c r="K737" s="71">
        <v>42763</v>
      </c>
      <c r="L737" s="69" t="s">
        <v>119</v>
      </c>
      <c r="M737" s="69" t="s">
        <v>109</v>
      </c>
      <c r="N737" s="72">
        <v>42921</v>
      </c>
      <c r="O737" s="67"/>
      <c r="P737" s="67" t="s">
        <v>95</v>
      </c>
      <c r="Q737" s="67" t="s">
        <v>120</v>
      </c>
      <c r="R737" s="69" t="s">
        <v>69</v>
      </c>
      <c r="S737" s="69" t="s">
        <v>123</v>
      </c>
      <c r="T737" s="67"/>
      <c r="U737" s="67"/>
      <c r="V737" s="72">
        <v>42825</v>
      </c>
      <c r="W737" s="69">
        <v>2023108</v>
      </c>
      <c r="X737" s="69" t="s">
        <v>155</v>
      </c>
      <c r="Y737" s="123"/>
      <c r="Z737" s="30">
        <f t="shared" si="22"/>
        <v>6772.6006943194379</v>
      </c>
      <c r="AA737" s="30">
        <f t="shared" si="23"/>
        <v>2116.4377169748245</v>
      </c>
      <c r="AB737" t="s">
        <v>456</v>
      </c>
    </row>
    <row r="738" spans="1:28">
      <c r="A738" s="67" t="s">
        <v>122</v>
      </c>
      <c r="B738" s="68">
        <v>1245692</v>
      </c>
      <c r="C738" s="69">
        <v>4615409374</v>
      </c>
      <c r="D738" s="70">
        <v>19200</v>
      </c>
      <c r="E738" s="79"/>
      <c r="F738" s="68">
        <v>16</v>
      </c>
      <c r="G738" s="68">
        <v>5</v>
      </c>
      <c r="H738" s="73">
        <v>0</v>
      </c>
      <c r="I738" s="68">
        <v>0</v>
      </c>
      <c r="J738" s="71"/>
      <c r="K738" s="71">
        <v>42711</v>
      </c>
      <c r="L738" s="69" t="s">
        <v>80</v>
      </c>
      <c r="M738" s="69" t="s">
        <v>109</v>
      </c>
      <c r="N738" s="72">
        <v>42920</v>
      </c>
      <c r="O738" s="67"/>
      <c r="P738" s="67" t="s">
        <v>95</v>
      </c>
      <c r="Q738" s="67" t="s">
        <v>120</v>
      </c>
      <c r="R738" s="69" t="s">
        <v>69</v>
      </c>
      <c r="S738" s="69" t="s">
        <v>123</v>
      </c>
      <c r="T738" s="67"/>
      <c r="U738" s="67"/>
      <c r="V738" s="72">
        <v>42916</v>
      </c>
      <c r="W738" s="69">
        <v>2025665</v>
      </c>
      <c r="X738" s="69"/>
      <c r="Y738" s="123"/>
      <c r="Z738" s="30">
        <f t="shared" si="22"/>
        <v>6772.6006943194379</v>
      </c>
      <c r="AA738" s="30">
        <f t="shared" si="23"/>
        <v>2116.4377169748245</v>
      </c>
      <c r="AB738" t="s">
        <v>456</v>
      </c>
    </row>
    <row r="739" spans="1:28">
      <c r="A739" s="67" t="s">
        <v>113</v>
      </c>
      <c r="B739" s="68">
        <v>1236666</v>
      </c>
      <c r="C739" s="69">
        <v>4615400781</v>
      </c>
      <c r="D739" s="70">
        <v>20700</v>
      </c>
      <c r="E739" s="79"/>
      <c r="F739" s="68">
        <v>16</v>
      </c>
      <c r="G739" s="68" t="s">
        <v>114</v>
      </c>
      <c r="H739" s="73">
        <v>0</v>
      </c>
      <c r="I739" s="68">
        <v>0</v>
      </c>
      <c r="J739" s="71">
        <v>42856</v>
      </c>
      <c r="K739" s="71">
        <v>42713</v>
      </c>
      <c r="L739" s="69" t="s">
        <v>108</v>
      </c>
      <c r="M739" s="69" t="s">
        <v>109</v>
      </c>
      <c r="N739" s="72">
        <v>42920</v>
      </c>
      <c r="O739" s="67"/>
      <c r="P739" s="67" t="s">
        <v>95</v>
      </c>
      <c r="Q739" s="67" t="s">
        <v>110</v>
      </c>
      <c r="R739" s="69" t="s">
        <v>69</v>
      </c>
      <c r="S739" s="69" t="s">
        <v>115</v>
      </c>
      <c r="T739" s="67"/>
      <c r="U739" s="67"/>
      <c r="V739" s="72">
        <v>42855</v>
      </c>
      <c r="W739" s="69" t="s">
        <v>201</v>
      </c>
      <c r="X739" s="69" t="s">
        <v>117</v>
      </c>
      <c r="Y739" s="123"/>
      <c r="Z739" s="30">
        <f t="shared" si="22"/>
        <v>7301.7101235631453</v>
      </c>
      <c r="AA739" s="30">
        <f t="shared" si="23"/>
        <v>0</v>
      </c>
      <c r="AB739" t="s">
        <v>456</v>
      </c>
    </row>
    <row r="740" spans="1:28">
      <c r="A740" s="67" t="s">
        <v>113</v>
      </c>
      <c r="B740" s="68">
        <v>1236659</v>
      </c>
      <c r="C740" s="69">
        <v>4615400781</v>
      </c>
      <c r="D740" s="70">
        <v>20700</v>
      </c>
      <c r="E740" s="79"/>
      <c r="F740" s="68">
        <v>16</v>
      </c>
      <c r="G740" s="68" t="s">
        <v>114</v>
      </c>
      <c r="H740" s="73">
        <v>0</v>
      </c>
      <c r="I740" s="68">
        <v>0</v>
      </c>
      <c r="J740" s="71">
        <v>42856</v>
      </c>
      <c r="K740" s="71">
        <v>42763</v>
      </c>
      <c r="L740" s="69" t="s">
        <v>108</v>
      </c>
      <c r="M740" s="69" t="s">
        <v>109</v>
      </c>
      <c r="N740" s="72">
        <v>42920</v>
      </c>
      <c r="O740" s="67"/>
      <c r="P740" s="67" t="s">
        <v>95</v>
      </c>
      <c r="Q740" s="67" t="s">
        <v>110</v>
      </c>
      <c r="R740" s="69" t="s">
        <v>69</v>
      </c>
      <c r="S740" s="69" t="s">
        <v>115</v>
      </c>
      <c r="T740" s="67"/>
      <c r="U740" s="67"/>
      <c r="V740" s="72">
        <v>42855</v>
      </c>
      <c r="W740" s="69" t="s">
        <v>201</v>
      </c>
      <c r="X740" s="69" t="s">
        <v>117</v>
      </c>
      <c r="Y740" s="123"/>
      <c r="Z740" s="30">
        <f t="shared" si="22"/>
        <v>7301.7101235631453</v>
      </c>
      <c r="AA740" s="30">
        <f t="shared" si="23"/>
        <v>0</v>
      </c>
      <c r="AB740" t="s">
        <v>456</v>
      </c>
    </row>
    <row r="741" spans="1:28">
      <c r="A741" s="67" t="s">
        <v>122</v>
      </c>
      <c r="B741" s="68">
        <v>1230977</v>
      </c>
      <c r="C741" s="69">
        <v>4615389582</v>
      </c>
      <c r="D741" s="70">
        <v>19200</v>
      </c>
      <c r="E741" s="79"/>
      <c r="F741" s="68">
        <v>16</v>
      </c>
      <c r="G741" s="68">
        <v>5</v>
      </c>
      <c r="H741" s="73">
        <v>0</v>
      </c>
      <c r="I741" s="68">
        <v>0</v>
      </c>
      <c r="J741" s="71">
        <v>42815</v>
      </c>
      <c r="K741" s="71">
        <v>42683</v>
      </c>
      <c r="L741" s="69" t="s">
        <v>119</v>
      </c>
      <c r="M741" s="69" t="s">
        <v>109</v>
      </c>
      <c r="N741" s="72">
        <v>42920</v>
      </c>
      <c r="O741" s="67"/>
      <c r="P741" s="67" t="s">
        <v>95</v>
      </c>
      <c r="Q741" s="67" t="s">
        <v>120</v>
      </c>
      <c r="R741" s="69" t="s">
        <v>69</v>
      </c>
      <c r="S741" s="69" t="s">
        <v>123</v>
      </c>
      <c r="T741" s="67"/>
      <c r="U741" s="67"/>
      <c r="V741" s="72">
        <v>42825</v>
      </c>
      <c r="W741" s="69">
        <v>2023108</v>
      </c>
      <c r="X741" s="69"/>
      <c r="Y741" s="123"/>
      <c r="Z741" s="30">
        <f t="shared" si="22"/>
        <v>6772.6006943194379</v>
      </c>
      <c r="AA741" s="30">
        <f t="shared" si="23"/>
        <v>2116.4377169748245</v>
      </c>
      <c r="AB741" t="s">
        <v>456</v>
      </c>
    </row>
    <row r="742" spans="1:28">
      <c r="A742" s="67" t="s">
        <v>113</v>
      </c>
      <c r="B742" s="68">
        <v>1236657</v>
      </c>
      <c r="C742" s="69">
        <v>4615400781</v>
      </c>
      <c r="D742" s="70">
        <v>20700</v>
      </c>
      <c r="E742" s="79"/>
      <c r="F742" s="68">
        <v>16</v>
      </c>
      <c r="G742" s="68" t="s">
        <v>114</v>
      </c>
      <c r="H742" s="73">
        <v>0</v>
      </c>
      <c r="I742" s="68">
        <v>0</v>
      </c>
      <c r="J742" s="71">
        <v>42856</v>
      </c>
      <c r="K742" s="71">
        <v>42393</v>
      </c>
      <c r="L742" s="69" t="s">
        <v>108</v>
      </c>
      <c r="M742" s="69" t="s">
        <v>109</v>
      </c>
      <c r="N742" s="72">
        <v>42919</v>
      </c>
      <c r="O742" s="67"/>
      <c r="P742" s="67" t="s">
        <v>95</v>
      </c>
      <c r="Q742" s="67" t="s">
        <v>110</v>
      </c>
      <c r="R742" s="69" t="s">
        <v>69</v>
      </c>
      <c r="S742" s="69" t="s">
        <v>115</v>
      </c>
      <c r="T742" s="67"/>
      <c r="U742" s="67"/>
      <c r="V742" s="72">
        <v>42855</v>
      </c>
      <c r="W742" s="69" t="s">
        <v>201</v>
      </c>
      <c r="X742" s="69" t="s">
        <v>117</v>
      </c>
      <c r="Y742" s="123"/>
      <c r="Z742" s="30">
        <f t="shared" si="22"/>
        <v>7301.7101235631453</v>
      </c>
      <c r="AA742" s="30">
        <f t="shared" si="23"/>
        <v>0</v>
      </c>
      <c r="AB742" t="s">
        <v>456</v>
      </c>
    </row>
    <row r="743" spans="1:28">
      <c r="A743" s="67" t="s">
        <v>128</v>
      </c>
      <c r="B743" s="68">
        <v>1230160</v>
      </c>
      <c r="C743" s="69">
        <v>4615479999</v>
      </c>
      <c r="D743" s="70">
        <v>19175</v>
      </c>
      <c r="E743" s="79"/>
      <c r="F743" s="68">
        <v>154.4</v>
      </c>
      <c r="G743" s="68">
        <v>0</v>
      </c>
      <c r="H743" s="73">
        <v>0</v>
      </c>
      <c r="I743" s="68">
        <v>0</v>
      </c>
      <c r="J743" s="71">
        <v>42806</v>
      </c>
      <c r="K743" s="71">
        <v>42729</v>
      </c>
      <c r="L743" s="69" t="s">
        <v>119</v>
      </c>
      <c r="M743" s="69" t="s">
        <v>109</v>
      </c>
      <c r="N743" s="72">
        <v>42919</v>
      </c>
      <c r="O743" s="67"/>
      <c r="P743" s="67" t="s">
        <v>95</v>
      </c>
      <c r="Q743" s="67" t="s">
        <v>129</v>
      </c>
      <c r="R743" s="69" t="s">
        <v>69</v>
      </c>
      <c r="S743" s="69" t="s">
        <v>130</v>
      </c>
      <c r="T743" s="67"/>
      <c r="U743" s="67"/>
      <c r="V743" s="72">
        <v>42825</v>
      </c>
      <c r="W743" s="69">
        <v>425570007</v>
      </c>
      <c r="X743" s="69"/>
      <c r="Y743" s="123"/>
      <c r="Z743" s="30">
        <f t="shared" si="22"/>
        <v>65270.498266979223</v>
      </c>
      <c r="AA743" s="30">
        <f t="shared" si="23"/>
        <v>0</v>
      </c>
      <c r="AB743" t="s">
        <v>456</v>
      </c>
    </row>
    <row r="744" spans="1:28">
      <c r="A744" s="67" t="s">
        <v>122</v>
      </c>
      <c r="B744" s="68">
        <v>1230979</v>
      </c>
      <c r="C744" s="69">
        <v>4615389582</v>
      </c>
      <c r="D744" s="70">
        <v>19200</v>
      </c>
      <c r="E744" s="79"/>
      <c r="F744" s="68">
        <v>16</v>
      </c>
      <c r="G744" s="68">
        <v>5</v>
      </c>
      <c r="H744" s="73">
        <v>0</v>
      </c>
      <c r="I744" s="68">
        <v>0</v>
      </c>
      <c r="J744" s="71">
        <v>42815</v>
      </c>
      <c r="K744" s="71">
        <v>42727</v>
      </c>
      <c r="L744" s="69" t="s">
        <v>119</v>
      </c>
      <c r="M744" s="69" t="s">
        <v>109</v>
      </c>
      <c r="N744" s="72">
        <v>42919</v>
      </c>
      <c r="O744" s="67"/>
      <c r="P744" s="67" t="s">
        <v>95</v>
      </c>
      <c r="Q744" s="67" t="s">
        <v>120</v>
      </c>
      <c r="R744" s="69" t="s">
        <v>69</v>
      </c>
      <c r="S744" s="69" t="s">
        <v>123</v>
      </c>
      <c r="T744" s="67"/>
      <c r="U744" s="67"/>
      <c r="V744" s="72">
        <v>42825</v>
      </c>
      <c r="W744" s="69">
        <v>2023108</v>
      </c>
      <c r="X744" s="69"/>
      <c r="Y744" s="123"/>
      <c r="Z744" s="30">
        <f t="shared" si="22"/>
        <v>6772.6006943194379</v>
      </c>
      <c r="AA744" s="30">
        <f t="shared" si="23"/>
        <v>2116.4377169748245</v>
      </c>
      <c r="AB744" t="s">
        <v>456</v>
      </c>
    </row>
    <row r="745" spans="1:28">
      <c r="A745" s="67" t="s">
        <v>128</v>
      </c>
      <c r="B745" s="68">
        <v>1242693</v>
      </c>
      <c r="C745" s="69">
        <v>4615425745</v>
      </c>
      <c r="D745" s="70">
        <v>19175</v>
      </c>
      <c r="E745" s="79"/>
      <c r="F745" s="68">
        <v>154.4</v>
      </c>
      <c r="G745" s="68" t="s">
        <v>114</v>
      </c>
      <c r="H745" s="68">
        <v>0</v>
      </c>
      <c r="I745" s="68">
        <v>0</v>
      </c>
      <c r="J745" s="71">
        <v>42845</v>
      </c>
      <c r="K745" s="71">
        <v>42732</v>
      </c>
      <c r="L745" s="69" t="s">
        <v>108</v>
      </c>
      <c r="M745" s="69" t="s">
        <v>109</v>
      </c>
      <c r="N745" s="72">
        <v>42918</v>
      </c>
      <c r="O745" s="67"/>
      <c r="P745" s="67" t="s">
        <v>95</v>
      </c>
      <c r="Q745" s="67" t="s">
        <v>129</v>
      </c>
      <c r="R745" s="69" t="s">
        <v>69</v>
      </c>
      <c r="S745" s="69" t="s">
        <v>130</v>
      </c>
      <c r="T745" s="67"/>
      <c r="U745" s="67"/>
      <c r="V745" s="72">
        <v>42886</v>
      </c>
      <c r="W745" s="69">
        <v>425570004</v>
      </c>
      <c r="X745" s="69"/>
      <c r="Y745" s="123"/>
      <c r="Z745" s="30">
        <f t="shared" si="22"/>
        <v>65270.498266979223</v>
      </c>
      <c r="AA745" s="30">
        <f t="shared" si="23"/>
        <v>0</v>
      </c>
      <c r="AB745" t="s">
        <v>456</v>
      </c>
    </row>
    <row r="746" spans="1:28">
      <c r="A746" s="67" t="s">
        <v>118</v>
      </c>
      <c r="B746" s="68">
        <v>1227196</v>
      </c>
      <c r="C746" s="69">
        <v>4615401680</v>
      </c>
      <c r="D746" s="70">
        <v>19175</v>
      </c>
      <c r="E746" s="79"/>
      <c r="F746" s="73">
        <v>10</v>
      </c>
      <c r="G746" s="73" t="s">
        <v>114</v>
      </c>
      <c r="H746" s="73">
        <v>0</v>
      </c>
      <c r="I746" s="68">
        <v>0</v>
      </c>
      <c r="J746" s="71">
        <v>42814</v>
      </c>
      <c r="K746" s="71">
        <v>42723</v>
      </c>
      <c r="L746" s="69" t="s">
        <v>137</v>
      </c>
      <c r="M746" s="69" t="s">
        <v>109</v>
      </c>
      <c r="N746" s="72">
        <v>42918</v>
      </c>
      <c r="O746" s="67"/>
      <c r="P746" s="67" t="s">
        <v>95</v>
      </c>
      <c r="Q746" s="67" t="s">
        <v>120</v>
      </c>
      <c r="R746" s="69" t="s">
        <v>69</v>
      </c>
      <c r="S746" s="69" t="s">
        <v>121</v>
      </c>
      <c r="T746" s="67"/>
      <c r="U746" s="67"/>
      <c r="V746" s="72">
        <v>42855</v>
      </c>
      <c r="W746" s="69">
        <v>2026352</v>
      </c>
      <c r="X746" s="69"/>
      <c r="Y746" s="123"/>
      <c r="Z746" s="30">
        <f t="shared" si="22"/>
        <v>4227.3638773950279</v>
      </c>
      <c r="AA746" s="30">
        <f t="shared" si="23"/>
        <v>0</v>
      </c>
      <c r="AB746" t="s">
        <v>456</v>
      </c>
    </row>
    <row r="747" spans="1:28">
      <c r="A747" s="67" t="s">
        <v>122</v>
      </c>
      <c r="B747" s="68">
        <v>1245686</v>
      </c>
      <c r="C747" s="69">
        <v>4615409374</v>
      </c>
      <c r="D747" s="70">
        <v>19200</v>
      </c>
      <c r="E747" s="79"/>
      <c r="F747" s="68">
        <v>16</v>
      </c>
      <c r="G747" s="68">
        <v>5</v>
      </c>
      <c r="H747" s="73">
        <v>0</v>
      </c>
      <c r="I747" s="68">
        <v>0</v>
      </c>
      <c r="J747" s="71"/>
      <c r="K747" s="71">
        <v>42732</v>
      </c>
      <c r="L747" s="69" t="s">
        <v>80</v>
      </c>
      <c r="M747" s="69" t="s">
        <v>109</v>
      </c>
      <c r="N747" s="72">
        <v>42918</v>
      </c>
      <c r="O747" s="67"/>
      <c r="P747" s="67" t="s">
        <v>95</v>
      </c>
      <c r="Q747" s="67" t="s">
        <v>120</v>
      </c>
      <c r="R747" s="69" t="s">
        <v>69</v>
      </c>
      <c r="S747" s="69" t="s">
        <v>123</v>
      </c>
      <c r="T747" s="67"/>
      <c r="U747" s="67"/>
      <c r="V747" s="72">
        <v>42916</v>
      </c>
      <c r="W747" s="69">
        <v>2025665</v>
      </c>
      <c r="X747" s="69"/>
      <c r="Y747" s="123"/>
      <c r="Z747" s="30">
        <f t="shared" si="22"/>
        <v>6772.6006943194379</v>
      </c>
      <c r="AA747" s="30">
        <f t="shared" si="23"/>
        <v>2116.4377169748245</v>
      </c>
      <c r="AB747" t="s">
        <v>456</v>
      </c>
    </row>
    <row r="748" spans="1:28">
      <c r="A748" s="67" t="s">
        <v>122</v>
      </c>
      <c r="B748" s="68">
        <v>1245688</v>
      </c>
      <c r="C748" s="69">
        <v>4615409374</v>
      </c>
      <c r="D748" s="70">
        <v>19200</v>
      </c>
      <c r="E748" s="79"/>
      <c r="F748" s="68">
        <v>16</v>
      </c>
      <c r="G748" s="68">
        <v>5</v>
      </c>
      <c r="H748" s="73">
        <v>0</v>
      </c>
      <c r="I748" s="68">
        <v>0</v>
      </c>
      <c r="J748" s="71"/>
      <c r="K748" s="71">
        <v>42732</v>
      </c>
      <c r="L748" s="69" t="s">
        <v>80</v>
      </c>
      <c r="M748" s="69" t="s">
        <v>109</v>
      </c>
      <c r="N748" s="72">
        <v>42918</v>
      </c>
      <c r="O748" s="67"/>
      <c r="P748" s="67" t="s">
        <v>95</v>
      </c>
      <c r="Q748" s="67" t="s">
        <v>120</v>
      </c>
      <c r="R748" s="69" t="s">
        <v>69</v>
      </c>
      <c r="S748" s="69" t="s">
        <v>123</v>
      </c>
      <c r="T748" s="67"/>
      <c r="U748" s="67"/>
      <c r="V748" s="72">
        <v>42916</v>
      </c>
      <c r="W748" s="69">
        <v>2025665</v>
      </c>
      <c r="X748" s="69"/>
      <c r="Y748" s="123"/>
      <c r="Z748" s="30">
        <f t="shared" si="22"/>
        <v>6772.6006943194379</v>
      </c>
      <c r="AA748" s="30">
        <f t="shared" si="23"/>
        <v>2116.4377169748245</v>
      </c>
      <c r="AB748" t="s">
        <v>456</v>
      </c>
    </row>
    <row r="749" spans="1:28">
      <c r="A749" s="67" t="s">
        <v>122</v>
      </c>
      <c r="B749" s="68">
        <v>1245691</v>
      </c>
      <c r="C749" s="69">
        <v>4615409374</v>
      </c>
      <c r="D749" s="70">
        <v>19200</v>
      </c>
      <c r="E749" s="79"/>
      <c r="F749" s="68">
        <v>16</v>
      </c>
      <c r="G749" s="68">
        <v>5</v>
      </c>
      <c r="H749" s="73">
        <v>0</v>
      </c>
      <c r="I749" s="68">
        <v>0</v>
      </c>
      <c r="J749" s="71"/>
      <c r="K749" s="71">
        <v>42694</v>
      </c>
      <c r="L749" s="69" t="s">
        <v>80</v>
      </c>
      <c r="M749" s="69" t="s">
        <v>109</v>
      </c>
      <c r="N749" s="72">
        <v>42918</v>
      </c>
      <c r="O749" s="67"/>
      <c r="P749" s="67" t="s">
        <v>95</v>
      </c>
      <c r="Q749" s="67" t="s">
        <v>120</v>
      </c>
      <c r="R749" s="69" t="s">
        <v>69</v>
      </c>
      <c r="S749" s="69" t="s">
        <v>123</v>
      </c>
      <c r="T749" s="67"/>
      <c r="U749" s="67"/>
      <c r="V749" s="72">
        <v>42916</v>
      </c>
      <c r="W749" s="69">
        <v>2025665</v>
      </c>
      <c r="X749" s="69"/>
      <c r="Y749" s="123"/>
      <c r="Z749" s="30">
        <f t="shared" si="22"/>
        <v>6772.6006943194379</v>
      </c>
      <c r="AA749" s="30">
        <f t="shared" si="23"/>
        <v>2116.4377169748245</v>
      </c>
      <c r="AB749" t="s">
        <v>456</v>
      </c>
    </row>
    <row r="750" spans="1:28">
      <c r="A750" s="67" t="s">
        <v>122</v>
      </c>
      <c r="B750" s="68">
        <v>1242763</v>
      </c>
      <c r="C750" s="69">
        <v>4615344620</v>
      </c>
      <c r="D750" s="70">
        <v>19200</v>
      </c>
      <c r="E750" s="79"/>
      <c r="F750" s="68">
        <v>16</v>
      </c>
      <c r="G750" s="68">
        <v>5</v>
      </c>
      <c r="H750" s="68">
        <v>0</v>
      </c>
      <c r="I750" s="68">
        <v>0</v>
      </c>
      <c r="J750" s="71"/>
      <c r="K750" s="71">
        <v>42708</v>
      </c>
      <c r="L750" s="69" t="s">
        <v>80</v>
      </c>
      <c r="M750" s="69" t="s">
        <v>109</v>
      </c>
      <c r="N750" s="72">
        <v>42918</v>
      </c>
      <c r="O750" s="67"/>
      <c r="P750" s="67" t="s">
        <v>95</v>
      </c>
      <c r="Q750" s="67" t="s">
        <v>120</v>
      </c>
      <c r="R750" s="69" t="s">
        <v>69</v>
      </c>
      <c r="S750" s="69" t="s">
        <v>123</v>
      </c>
      <c r="T750" s="67"/>
      <c r="U750" s="67"/>
      <c r="V750" s="72">
        <v>42886</v>
      </c>
      <c r="W750" s="69">
        <v>2023110</v>
      </c>
      <c r="X750" s="69" t="s">
        <v>196</v>
      </c>
      <c r="Y750" s="123"/>
      <c r="Z750" s="30">
        <f t="shared" si="22"/>
        <v>6772.6006943194379</v>
      </c>
      <c r="AA750" s="30">
        <f t="shared" si="23"/>
        <v>2116.4377169748245</v>
      </c>
      <c r="AB750" t="s">
        <v>456</v>
      </c>
    </row>
    <row r="751" spans="1:28">
      <c r="A751" s="67" t="s">
        <v>113</v>
      </c>
      <c r="B751" s="68">
        <v>1236660</v>
      </c>
      <c r="C751" s="69">
        <v>4615400781</v>
      </c>
      <c r="D751" s="70">
        <v>20700</v>
      </c>
      <c r="E751" s="79"/>
      <c r="F751" s="68">
        <v>16</v>
      </c>
      <c r="G751" s="68" t="s">
        <v>114</v>
      </c>
      <c r="H751" s="68">
        <v>0</v>
      </c>
      <c r="I751" s="68">
        <v>0</v>
      </c>
      <c r="J751" s="71">
        <v>42856</v>
      </c>
      <c r="K751" s="71">
        <v>42738</v>
      </c>
      <c r="L751" s="69" t="s">
        <v>108</v>
      </c>
      <c r="M751" s="69" t="s">
        <v>109</v>
      </c>
      <c r="N751" s="72">
        <v>42918</v>
      </c>
      <c r="O751" s="67"/>
      <c r="P751" s="67" t="s">
        <v>95</v>
      </c>
      <c r="Q751" s="67" t="s">
        <v>110</v>
      </c>
      <c r="R751" s="69" t="s">
        <v>69</v>
      </c>
      <c r="S751" s="69" t="s">
        <v>115</v>
      </c>
      <c r="T751" s="67"/>
      <c r="U751" s="67"/>
      <c r="V751" s="72">
        <v>42855</v>
      </c>
      <c r="W751" s="69" t="s">
        <v>201</v>
      </c>
      <c r="X751" s="69" t="s">
        <v>117</v>
      </c>
      <c r="Y751" s="123"/>
      <c r="Z751" s="30">
        <f t="shared" si="22"/>
        <v>7301.7101235631453</v>
      </c>
      <c r="AA751" s="30">
        <f t="shared" si="23"/>
        <v>0</v>
      </c>
      <c r="AB751" t="s">
        <v>456</v>
      </c>
    </row>
    <row r="752" spans="1:28">
      <c r="A752" s="67" t="s">
        <v>113</v>
      </c>
      <c r="B752" s="68">
        <v>1236663</v>
      </c>
      <c r="C752" s="69">
        <v>4615400781</v>
      </c>
      <c r="D752" s="70">
        <v>20700</v>
      </c>
      <c r="E752" s="79"/>
      <c r="F752" s="68">
        <v>16</v>
      </c>
      <c r="G752" s="68" t="s">
        <v>114</v>
      </c>
      <c r="H752" s="73">
        <v>0</v>
      </c>
      <c r="I752" s="68">
        <v>0</v>
      </c>
      <c r="J752" s="71">
        <v>42856</v>
      </c>
      <c r="K752" s="71">
        <v>42723</v>
      </c>
      <c r="L752" s="69" t="s">
        <v>108</v>
      </c>
      <c r="M752" s="69" t="s">
        <v>109</v>
      </c>
      <c r="N752" s="72">
        <v>42918</v>
      </c>
      <c r="O752" s="67"/>
      <c r="P752" s="67" t="s">
        <v>95</v>
      </c>
      <c r="Q752" s="67" t="s">
        <v>110</v>
      </c>
      <c r="R752" s="69" t="s">
        <v>69</v>
      </c>
      <c r="S752" s="69" t="s">
        <v>115</v>
      </c>
      <c r="T752" s="67"/>
      <c r="U752" s="67"/>
      <c r="V752" s="72">
        <v>42855</v>
      </c>
      <c r="W752" s="69" t="s">
        <v>201</v>
      </c>
      <c r="X752" s="69" t="s">
        <v>117</v>
      </c>
      <c r="Y752" s="123"/>
      <c r="Z752" s="30">
        <f t="shared" si="22"/>
        <v>7301.7101235631453</v>
      </c>
      <c r="AA752" s="30">
        <f t="shared" si="23"/>
        <v>0</v>
      </c>
      <c r="AB752" t="s">
        <v>456</v>
      </c>
    </row>
    <row r="753" spans="1:28">
      <c r="A753" s="67" t="s">
        <v>128</v>
      </c>
      <c r="B753" s="68">
        <v>1230161</v>
      </c>
      <c r="C753" s="69">
        <v>4615479999</v>
      </c>
      <c r="D753" s="70">
        <v>19175</v>
      </c>
      <c r="E753" s="79"/>
      <c r="F753" s="68">
        <v>154.4</v>
      </c>
      <c r="G753" s="68">
        <v>0</v>
      </c>
      <c r="H753" s="73">
        <v>0</v>
      </c>
      <c r="I753" s="68">
        <v>0</v>
      </c>
      <c r="J753" s="71">
        <v>42806</v>
      </c>
      <c r="K753" s="71">
        <v>42738</v>
      </c>
      <c r="L753" s="69" t="s">
        <v>119</v>
      </c>
      <c r="M753" s="69" t="s">
        <v>109</v>
      </c>
      <c r="N753" s="72">
        <v>42918</v>
      </c>
      <c r="O753" s="67"/>
      <c r="P753" s="67" t="s">
        <v>95</v>
      </c>
      <c r="Q753" s="67" t="s">
        <v>129</v>
      </c>
      <c r="R753" s="69" t="s">
        <v>69</v>
      </c>
      <c r="S753" s="69" t="s">
        <v>130</v>
      </c>
      <c r="T753" s="67"/>
      <c r="U753" s="67"/>
      <c r="V753" s="72">
        <v>42825</v>
      </c>
      <c r="W753" s="69">
        <v>425570007</v>
      </c>
      <c r="X753" s="69"/>
      <c r="Y753" s="123"/>
      <c r="Z753" s="30">
        <f t="shared" si="22"/>
        <v>65270.498266979223</v>
      </c>
      <c r="AA753" s="30">
        <f t="shared" si="23"/>
        <v>0</v>
      </c>
      <c r="AB753" t="s">
        <v>456</v>
      </c>
    </row>
    <row r="754" spans="1:28">
      <c r="A754" s="67" t="s">
        <v>118</v>
      </c>
      <c r="B754" s="68">
        <v>1227195</v>
      </c>
      <c r="C754" s="69">
        <v>4615373462</v>
      </c>
      <c r="D754" s="70">
        <v>19175</v>
      </c>
      <c r="E754" s="79"/>
      <c r="F754" s="68">
        <v>10</v>
      </c>
      <c r="G754" s="68" t="s">
        <v>114</v>
      </c>
      <c r="H754" s="73">
        <v>0</v>
      </c>
      <c r="I754" s="68">
        <v>0</v>
      </c>
      <c r="J754" s="71">
        <v>42814</v>
      </c>
      <c r="K754" s="71">
        <v>42738</v>
      </c>
      <c r="L754" s="69" t="s">
        <v>137</v>
      </c>
      <c r="M754" s="69" t="s">
        <v>109</v>
      </c>
      <c r="N754" s="72">
        <v>42918</v>
      </c>
      <c r="O754" s="67"/>
      <c r="P754" s="67" t="s">
        <v>95</v>
      </c>
      <c r="Q754" s="67" t="s">
        <v>120</v>
      </c>
      <c r="R754" s="69" t="s">
        <v>69</v>
      </c>
      <c r="S754" s="69" t="s">
        <v>121</v>
      </c>
      <c r="T754" s="67"/>
      <c r="U754" s="67"/>
      <c r="V754" s="72">
        <v>42855</v>
      </c>
      <c r="W754" s="69">
        <v>2021266</v>
      </c>
      <c r="X754" s="69"/>
      <c r="Y754" s="123"/>
      <c r="Z754" s="30">
        <f t="shared" si="22"/>
        <v>4227.3638773950279</v>
      </c>
      <c r="AA754" s="30">
        <f t="shared" si="23"/>
        <v>0</v>
      </c>
      <c r="AB754" t="s">
        <v>456</v>
      </c>
    </row>
    <row r="755" spans="1:28">
      <c r="A755" s="67" t="s">
        <v>68</v>
      </c>
      <c r="B755" s="68">
        <v>1233266</v>
      </c>
      <c r="C755" s="69">
        <v>4615417014</v>
      </c>
      <c r="D755" s="70">
        <v>19175</v>
      </c>
      <c r="E755" s="79"/>
      <c r="F755" s="73">
        <v>16</v>
      </c>
      <c r="G755" s="73">
        <v>5</v>
      </c>
      <c r="H755" s="68">
        <v>0</v>
      </c>
      <c r="I755" s="68">
        <v>0</v>
      </c>
      <c r="J755" s="71">
        <v>42812</v>
      </c>
      <c r="K755" s="71">
        <v>42659</v>
      </c>
      <c r="L755" s="69" t="s">
        <v>119</v>
      </c>
      <c r="M755" s="69" t="s">
        <v>109</v>
      </c>
      <c r="N755" s="72">
        <v>42918</v>
      </c>
      <c r="O755" s="67"/>
      <c r="P755" s="67" t="s">
        <v>95</v>
      </c>
      <c r="Q755" s="67" t="s">
        <v>125</v>
      </c>
      <c r="R755" s="69" t="s">
        <v>69</v>
      </c>
      <c r="S755" s="69" t="s">
        <v>68</v>
      </c>
      <c r="T755" s="67"/>
      <c r="U755" s="67"/>
      <c r="V755" s="72">
        <v>42825</v>
      </c>
      <c r="W755" s="69">
        <v>5114732</v>
      </c>
      <c r="X755" s="69"/>
      <c r="Y755" s="123"/>
      <c r="Z755" s="30">
        <f t="shared" si="22"/>
        <v>6763.7822038320437</v>
      </c>
      <c r="AA755" s="30">
        <f t="shared" si="23"/>
        <v>2113.6819386975139</v>
      </c>
      <c r="AB755" t="s">
        <v>456</v>
      </c>
    </row>
    <row r="756" spans="1:28">
      <c r="A756" s="67" t="s">
        <v>68</v>
      </c>
      <c r="B756" s="68">
        <v>1233269</v>
      </c>
      <c r="C756" s="69">
        <v>4615417014</v>
      </c>
      <c r="D756" s="70">
        <v>19175</v>
      </c>
      <c r="E756" s="79"/>
      <c r="F756" s="73">
        <v>16</v>
      </c>
      <c r="G756" s="73">
        <v>5</v>
      </c>
      <c r="H756" s="68">
        <v>0</v>
      </c>
      <c r="I756" s="68">
        <v>0</v>
      </c>
      <c r="J756" s="71">
        <v>42812</v>
      </c>
      <c r="K756" s="71">
        <v>42732</v>
      </c>
      <c r="L756" s="69" t="s">
        <v>119</v>
      </c>
      <c r="M756" s="69" t="s">
        <v>109</v>
      </c>
      <c r="N756" s="72">
        <v>42918</v>
      </c>
      <c r="O756" s="67"/>
      <c r="P756" s="67" t="s">
        <v>95</v>
      </c>
      <c r="Q756" s="67" t="s">
        <v>125</v>
      </c>
      <c r="R756" s="69" t="s">
        <v>69</v>
      </c>
      <c r="S756" s="69" t="s">
        <v>68</v>
      </c>
      <c r="T756" s="67"/>
      <c r="U756" s="67"/>
      <c r="V756" s="72">
        <v>42825</v>
      </c>
      <c r="W756" s="69">
        <v>5114732</v>
      </c>
      <c r="X756" s="69"/>
      <c r="Y756" s="123"/>
      <c r="Z756" s="30">
        <f t="shared" si="22"/>
        <v>6763.7822038320437</v>
      </c>
      <c r="AA756" s="30">
        <f t="shared" si="23"/>
        <v>2113.6819386975139</v>
      </c>
      <c r="AB756" t="s">
        <v>456</v>
      </c>
    </row>
    <row r="757" spans="1:28">
      <c r="A757" s="67" t="s">
        <v>68</v>
      </c>
      <c r="B757" s="68">
        <v>1233267</v>
      </c>
      <c r="C757" s="69">
        <v>4615417014</v>
      </c>
      <c r="D757" s="70">
        <v>19175</v>
      </c>
      <c r="E757" s="79"/>
      <c r="F757" s="73">
        <v>16</v>
      </c>
      <c r="G757" s="73">
        <v>5</v>
      </c>
      <c r="H757" s="68">
        <v>0</v>
      </c>
      <c r="I757" s="68">
        <v>0</v>
      </c>
      <c r="J757" s="71">
        <v>42812</v>
      </c>
      <c r="K757" s="71">
        <v>42755</v>
      </c>
      <c r="L757" s="69" t="s">
        <v>119</v>
      </c>
      <c r="M757" s="69" t="s">
        <v>109</v>
      </c>
      <c r="N757" s="72">
        <v>42918</v>
      </c>
      <c r="O757" s="67"/>
      <c r="P757" s="67" t="s">
        <v>95</v>
      </c>
      <c r="Q757" s="67" t="s">
        <v>125</v>
      </c>
      <c r="R757" s="69" t="s">
        <v>69</v>
      </c>
      <c r="S757" s="69" t="s">
        <v>68</v>
      </c>
      <c r="T757" s="67"/>
      <c r="U757" s="67"/>
      <c r="V757" s="72">
        <v>42825</v>
      </c>
      <c r="W757" s="69">
        <v>5114732</v>
      </c>
      <c r="X757" s="69"/>
      <c r="Y757" s="123"/>
      <c r="Z757" s="30">
        <f t="shared" si="22"/>
        <v>6763.7822038320437</v>
      </c>
      <c r="AA757" s="30">
        <f t="shared" si="23"/>
        <v>2113.6819386975139</v>
      </c>
      <c r="AB757" t="s">
        <v>456</v>
      </c>
    </row>
    <row r="758" spans="1:28">
      <c r="A758" s="67" t="s">
        <v>68</v>
      </c>
      <c r="B758" s="68">
        <v>1233268</v>
      </c>
      <c r="C758" s="69">
        <v>4615417014</v>
      </c>
      <c r="D758" s="70">
        <v>19175</v>
      </c>
      <c r="E758" s="79"/>
      <c r="F758" s="73">
        <v>16</v>
      </c>
      <c r="G758" s="73">
        <v>5</v>
      </c>
      <c r="H758" s="68">
        <v>0</v>
      </c>
      <c r="I758" s="68">
        <v>0</v>
      </c>
      <c r="J758" s="71">
        <v>42812</v>
      </c>
      <c r="K758" s="71">
        <v>42722</v>
      </c>
      <c r="L758" s="69" t="s">
        <v>119</v>
      </c>
      <c r="M758" s="69" t="s">
        <v>109</v>
      </c>
      <c r="N758" s="72">
        <v>42918</v>
      </c>
      <c r="O758" s="67"/>
      <c r="P758" s="67" t="s">
        <v>95</v>
      </c>
      <c r="Q758" s="67" t="s">
        <v>125</v>
      </c>
      <c r="R758" s="69" t="s">
        <v>69</v>
      </c>
      <c r="S758" s="69" t="s">
        <v>68</v>
      </c>
      <c r="T758" s="67"/>
      <c r="U758" s="67"/>
      <c r="V758" s="72">
        <v>42825</v>
      </c>
      <c r="W758" s="69">
        <v>5114732</v>
      </c>
      <c r="X758" s="69"/>
      <c r="Y758" s="123"/>
      <c r="Z758" s="30">
        <f t="shared" si="22"/>
        <v>6763.7822038320437</v>
      </c>
      <c r="AA758" s="30">
        <f t="shared" si="23"/>
        <v>2113.6819386975139</v>
      </c>
      <c r="AB758" t="s">
        <v>456</v>
      </c>
    </row>
    <row r="759" spans="1:28">
      <c r="A759" s="67" t="s">
        <v>122</v>
      </c>
      <c r="B759" s="68">
        <v>1230978</v>
      </c>
      <c r="C759" s="69">
        <v>4615389582</v>
      </c>
      <c r="D759" s="70">
        <v>19200</v>
      </c>
      <c r="E759" s="79"/>
      <c r="F759" s="68">
        <v>16</v>
      </c>
      <c r="G759" s="68">
        <v>5</v>
      </c>
      <c r="H759" s="73">
        <v>0</v>
      </c>
      <c r="I759" s="68">
        <v>0</v>
      </c>
      <c r="J759" s="71">
        <v>42815</v>
      </c>
      <c r="K759" s="71">
        <v>42699</v>
      </c>
      <c r="L759" s="69" t="s">
        <v>119</v>
      </c>
      <c r="M759" s="69" t="s">
        <v>109</v>
      </c>
      <c r="N759" s="72">
        <v>42918</v>
      </c>
      <c r="O759" s="67"/>
      <c r="P759" s="67" t="s">
        <v>95</v>
      </c>
      <c r="Q759" s="67" t="s">
        <v>120</v>
      </c>
      <c r="R759" s="69" t="s">
        <v>69</v>
      </c>
      <c r="S759" s="69" t="s">
        <v>123</v>
      </c>
      <c r="T759" s="67"/>
      <c r="U759" s="67"/>
      <c r="V759" s="72">
        <v>42825</v>
      </c>
      <c r="W759" s="69">
        <v>2023108</v>
      </c>
      <c r="X759" s="69"/>
      <c r="Y759" s="123"/>
      <c r="Z759" s="30">
        <f t="shared" si="22"/>
        <v>6772.6006943194379</v>
      </c>
      <c r="AA759" s="30">
        <f t="shared" si="23"/>
        <v>2116.4377169748245</v>
      </c>
      <c r="AB759" t="s">
        <v>456</v>
      </c>
    </row>
    <row r="760" spans="1:28">
      <c r="A760" s="67" t="s">
        <v>122</v>
      </c>
      <c r="B760" s="68">
        <v>1230976</v>
      </c>
      <c r="C760" s="69">
        <v>4615389582</v>
      </c>
      <c r="D760" s="70">
        <v>19200</v>
      </c>
      <c r="E760" s="79"/>
      <c r="F760" s="68">
        <v>16</v>
      </c>
      <c r="G760" s="68">
        <v>5</v>
      </c>
      <c r="H760" s="73">
        <v>0</v>
      </c>
      <c r="I760" s="68">
        <v>0</v>
      </c>
      <c r="J760" s="71">
        <v>42815</v>
      </c>
      <c r="K760" s="71">
        <v>42730</v>
      </c>
      <c r="L760" s="69" t="s">
        <v>119</v>
      </c>
      <c r="M760" s="69" t="s">
        <v>109</v>
      </c>
      <c r="N760" s="72">
        <v>42918</v>
      </c>
      <c r="O760" s="67"/>
      <c r="P760" s="67" t="s">
        <v>95</v>
      </c>
      <c r="Q760" s="67" t="s">
        <v>120</v>
      </c>
      <c r="R760" s="69" t="s">
        <v>69</v>
      </c>
      <c r="S760" s="69" t="s">
        <v>123</v>
      </c>
      <c r="T760" s="67"/>
      <c r="U760" s="67"/>
      <c r="V760" s="72">
        <v>42825</v>
      </c>
      <c r="W760" s="69">
        <v>2023108</v>
      </c>
      <c r="X760" s="69"/>
      <c r="Y760" s="123"/>
      <c r="Z760" s="30">
        <f t="shared" si="22"/>
        <v>6772.6006943194379</v>
      </c>
      <c r="AA760" s="30">
        <f t="shared" si="23"/>
        <v>2116.4377169748245</v>
      </c>
      <c r="AB760" t="s">
        <v>456</v>
      </c>
    </row>
    <row r="761" spans="1:28">
      <c r="A761" s="67" t="s">
        <v>113</v>
      </c>
      <c r="B761" s="68">
        <v>1236664</v>
      </c>
      <c r="C761" s="69">
        <v>4615400781</v>
      </c>
      <c r="D761" s="70">
        <v>20700</v>
      </c>
      <c r="E761" s="79"/>
      <c r="F761" s="68">
        <v>16</v>
      </c>
      <c r="G761" s="68" t="s">
        <v>114</v>
      </c>
      <c r="H761" s="68">
        <v>0</v>
      </c>
      <c r="I761" s="68">
        <v>0</v>
      </c>
      <c r="J761" s="71">
        <v>42856</v>
      </c>
      <c r="K761" s="71">
        <v>42757</v>
      </c>
      <c r="L761" s="69" t="s">
        <v>108</v>
      </c>
      <c r="M761" s="69" t="s">
        <v>109</v>
      </c>
      <c r="N761" s="72">
        <v>42914</v>
      </c>
      <c r="O761" s="67"/>
      <c r="P761" s="67" t="s">
        <v>95</v>
      </c>
      <c r="Q761" s="67" t="s">
        <v>110</v>
      </c>
      <c r="R761" s="69" t="s">
        <v>69</v>
      </c>
      <c r="S761" s="69" t="s">
        <v>115</v>
      </c>
      <c r="T761" s="67"/>
      <c r="U761" s="67"/>
      <c r="V761" s="72">
        <v>42855</v>
      </c>
      <c r="W761" s="69" t="s">
        <v>201</v>
      </c>
      <c r="X761" s="69" t="s">
        <v>117</v>
      </c>
      <c r="Y761" s="123"/>
      <c r="Z761" s="30">
        <f t="shared" si="22"/>
        <v>7301.7101235631453</v>
      </c>
      <c r="AA761" s="30">
        <f t="shared" si="23"/>
        <v>0</v>
      </c>
      <c r="AB761" t="s">
        <v>456</v>
      </c>
    </row>
    <row r="762" spans="1:28">
      <c r="A762" s="67" t="s">
        <v>113</v>
      </c>
      <c r="B762" s="68">
        <v>1236658</v>
      </c>
      <c r="C762" s="69">
        <v>4615400781</v>
      </c>
      <c r="D762" s="70">
        <v>20700</v>
      </c>
      <c r="E762" s="79"/>
      <c r="F762" s="68">
        <v>16</v>
      </c>
      <c r="G762" s="68" t="s">
        <v>114</v>
      </c>
      <c r="H762" s="68">
        <v>0</v>
      </c>
      <c r="I762" s="68">
        <v>0</v>
      </c>
      <c r="J762" s="71">
        <v>42856</v>
      </c>
      <c r="K762" s="71">
        <v>42730</v>
      </c>
      <c r="L762" s="69" t="s">
        <v>108</v>
      </c>
      <c r="M762" s="69" t="s">
        <v>109</v>
      </c>
      <c r="N762" s="72">
        <v>42914</v>
      </c>
      <c r="O762" s="67"/>
      <c r="P762" s="67" t="s">
        <v>95</v>
      </c>
      <c r="Q762" s="67" t="s">
        <v>110</v>
      </c>
      <c r="R762" s="69" t="s">
        <v>69</v>
      </c>
      <c r="S762" s="69" t="s">
        <v>115</v>
      </c>
      <c r="T762" s="67"/>
      <c r="U762" s="67"/>
      <c r="V762" s="72">
        <v>42855</v>
      </c>
      <c r="W762" s="69" t="s">
        <v>201</v>
      </c>
      <c r="X762" s="69" t="s">
        <v>117</v>
      </c>
      <c r="Y762" s="123"/>
      <c r="Z762" s="30">
        <f t="shared" si="22"/>
        <v>7301.7101235631453</v>
      </c>
      <c r="AA762" s="30">
        <f t="shared" si="23"/>
        <v>0</v>
      </c>
      <c r="AB762" t="s">
        <v>456</v>
      </c>
    </row>
    <row r="763" spans="1:28">
      <c r="A763" s="67" t="s">
        <v>122</v>
      </c>
      <c r="B763" s="68">
        <v>1230922</v>
      </c>
      <c r="C763" s="69">
        <v>4615416293</v>
      </c>
      <c r="D763" s="70">
        <v>19200</v>
      </c>
      <c r="E763" s="79"/>
      <c r="F763" s="68">
        <v>16</v>
      </c>
      <c r="G763" s="68">
        <v>5</v>
      </c>
      <c r="H763" s="73">
        <v>0</v>
      </c>
      <c r="I763" s="68">
        <v>0</v>
      </c>
      <c r="J763" s="71">
        <v>42805</v>
      </c>
      <c r="K763" s="71">
        <v>42720</v>
      </c>
      <c r="L763" s="69" t="s">
        <v>119</v>
      </c>
      <c r="M763" s="69" t="s">
        <v>109</v>
      </c>
      <c r="N763" s="72">
        <v>42914</v>
      </c>
      <c r="O763" s="67"/>
      <c r="P763" s="67" t="s">
        <v>95</v>
      </c>
      <c r="Q763" s="67" t="s">
        <v>120</v>
      </c>
      <c r="R763" s="69" t="s">
        <v>69</v>
      </c>
      <c r="S763" s="69" t="s">
        <v>123</v>
      </c>
      <c r="T763" s="67"/>
      <c r="U763" s="67"/>
      <c r="V763" s="72">
        <v>42886</v>
      </c>
      <c r="W763" s="69">
        <v>2025664</v>
      </c>
      <c r="X763" s="69"/>
      <c r="Y763" s="123"/>
      <c r="Z763" s="30">
        <f t="shared" si="22"/>
        <v>6772.6006943194379</v>
      </c>
      <c r="AA763" s="30">
        <f t="shared" si="23"/>
        <v>2116.4377169748245</v>
      </c>
      <c r="AB763" t="s">
        <v>456</v>
      </c>
    </row>
    <row r="764" spans="1:28">
      <c r="A764" s="67" t="s">
        <v>122</v>
      </c>
      <c r="B764" s="68">
        <v>1230919</v>
      </c>
      <c r="C764" s="69">
        <v>4615416293</v>
      </c>
      <c r="D764" s="70">
        <v>19200</v>
      </c>
      <c r="E764" s="79"/>
      <c r="F764" s="68">
        <v>16</v>
      </c>
      <c r="G764" s="68">
        <v>5</v>
      </c>
      <c r="H764" s="73">
        <v>0</v>
      </c>
      <c r="I764" s="68">
        <v>0</v>
      </c>
      <c r="J764" s="71">
        <v>42805</v>
      </c>
      <c r="K764" s="71">
        <v>42746</v>
      </c>
      <c r="L764" s="69" t="s">
        <v>119</v>
      </c>
      <c r="M764" s="69" t="s">
        <v>109</v>
      </c>
      <c r="N764" s="72">
        <v>42914</v>
      </c>
      <c r="O764" s="67"/>
      <c r="P764" s="67" t="s">
        <v>95</v>
      </c>
      <c r="Q764" s="67" t="s">
        <v>120</v>
      </c>
      <c r="R764" s="69" t="s">
        <v>69</v>
      </c>
      <c r="S764" s="69" t="s">
        <v>123</v>
      </c>
      <c r="T764" s="67"/>
      <c r="U764" s="67"/>
      <c r="V764" s="72">
        <v>42886</v>
      </c>
      <c r="W764" s="69">
        <v>2025664</v>
      </c>
      <c r="X764" s="69"/>
      <c r="Y764" s="123"/>
      <c r="Z764" s="30">
        <f t="shared" si="22"/>
        <v>6772.6006943194379</v>
      </c>
      <c r="AA764" s="30">
        <f t="shared" si="23"/>
        <v>2116.4377169748245</v>
      </c>
      <c r="AB764" t="s">
        <v>456</v>
      </c>
    </row>
    <row r="765" spans="1:28">
      <c r="A765" s="67" t="s">
        <v>68</v>
      </c>
      <c r="B765" s="68" t="s">
        <v>161</v>
      </c>
      <c r="C765" s="69">
        <v>4615471900</v>
      </c>
      <c r="D765" s="70">
        <v>20544.980000000003</v>
      </c>
      <c r="E765" s="79"/>
      <c r="F765" s="68">
        <v>16</v>
      </c>
      <c r="G765" s="68" t="s">
        <v>114</v>
      </c>
      <c r="H765" s="75">
        <v>0</v>
      </c>
      <c r="I765" s="68">
        <v>0</v>
      </c>
      <c r="J765" s="71"/>
      <c r="K765" s="71">
        <v>42723</v>
      </c>
      <c r="L765" s="69" t="s">
        <v>80</v>
      </c>
      <c r="M765" s="69" t="s">
        <v>109</v>
      </c>
      <c r="N765" s="72">
        <v>42913</v>
      </c>
      <c r="O765" s="67"/>
      <c r="P765" s="67" t="s">
        <v>95</v>
      </c>
      <c r="Q765" s="67" t="s">
        <v>125</v>
      </c>
      <c r="R765" s="69" t="s">
        <v>69</v>
      </c>
      <c r="S765" s="69" t="s">
        <v>68</v>
      </c>
      <c r="T765" s="67"/>
      <c r="U765" s="67"/>
      <c r="V765" s="72">
        <v>42886</v>
      </c>
      <c r="W765" s="69">
        <v>5114721</v>
      </c>
      <c r="X765" s="69" t="s">
        <v>202</v>
      </c>
      <c r="Y765" s="123"/>
      <c r="Z765" s="30">
        <f t="shared" si="22"/>
        <v>7247.0284277489072</v>
      </c>
      <c r="AA765" s="30">
        <f t="shared" si="23"/>
        <v>0</v>
      </c>
      <c r="AB765" t="s">
        <v>456</v>
      </c>
    </row>
    <row r="766" spans="1:28">
      <c r="A766" s="67" t="s">
        <v>68</v>
      </c>
      <c r="B766" s="68" t="s">
        <v>161</v>
      </c>
      <c r="C766" s="69">
        <v>4615471900</v>
      </c>
      <c r="D766" s="70">
        <v>20544.980000000003</v>
      </c>
      <c r="E766" s="79"/>
      <c r="F766" s="68">
        <v>16</v>
      </c>
      <c r="G766" s="68" t="s">
        <v>114</v>
      </c>
      <c r="H766" s="73">
        <v>0</v>
      </c>
      <c r="I766" s="68">
        <v>0</v>
      </c>
      <c r="J766" s="71"/>
      <c r="K766" s="71">
        <v>42730</v>
      </c>
      <c r="L766" s="69" t="s">
        <v>80</v>
      </c>
      <c r="M766" s="69" t="s">
        <v>109</v>
      </c>
      <c r="N766" s="72">
        <v>42913</v>
      </c>
      <c r="O766" s="67"/>
      <c r="P766" s="67" t="s">
        <v>95</v>
      </c>
      <c r="Q766" s="67" t="s">
        <v>125</v>
      </c>
      <c r="R766" s="69" t="s">
        <v>69</v>
      </c>
      <c r="S766" s="69" t="s">
        <v>68</v>
      </c>
      <c r="T766" s="67"/>
      <c r="U766" s="67"/>
      <c r="V766" s="72">
        <v>42886</v>
      </c>
      <c r="W766" s="69">
        <v>5114721</v>
      </c>
      <c r="X766" s="69" t="s">
        <v>202</v>
      </c>
      <c r="Y766" s="123"/>
      <c r="Z766" s="30">
        <f t="shared" si="22"/>
        <v>7247.0284277489072</v>
      </c>
      <c r="AA766" s="30">
        <f t="shared" si="23"/>
        <v>0</v>
      </c>
      <c r="AB766" t="s">
        <v>456</v>
      </c>
    </row>
    <row r="767" spans="1:28">
      <c r="A767" s="67" t="s">
        <v>68</v>
      </c>
      <c r="B767" s="68" t="s">
        <v>161</v>
      </c>
      <c r="C767" s="69">
        <v>4615471900</v>
      </c>
      <c r="D767" s="70">
        <v>20544.980000000003</v>
      </c>
      <c r="E767" s="79"/>
      <c r="F767" s="68">
        <v>16</v>
      </c>
      <c r="G767" s="68" t="s">
        <v>114</v>
      </c>
      <c r="H767" s="75">
        <v>0</v>
      </c>
      <c r="I767" s="68">
        <v>0</v>
      </c>
      <c r="J767" s="71"/>
      <c r="K767" s="71">
        <v>42722</v>
      </c>
      <c r="L767" s="69" t="s">
        <v>80</v>
      </c>
      <c r="M767" s="69" t="s">
        <v>109</v>
      </c>
      <c r="N767" s="72">
        <v>42913</v>
      </c>
      <c r="O767" s="67"/>
      <c r="P767" s="67" t="s">
        <v>95</v>
      </c>
      <c r="Q767" s="67" t="s">
        <v>125</v>
      </c>
      <c r="R767" s="69" t="s">
        <v>69</v>
      </c>
      <c r="S767" s="69" t="s">
        <v>68</v>
      </c>
      <c r="T767" s="67"/>
      <c r="U767" s="67"/>
      <c r="V767" s="72">
        <v>42886</v>
      </c>
      <c r="W767" s="69">
        <v>5114721</v>
      </c>
      <c r="X767" s="69" t="s">
        <v>202</v>
      </c>
      <c r="Y767" s="123"/>
      <c r="Z767" s="30">
        <f t="shared" si="22"/>
        <v>7247.0284277489072</v>
      </c>
      <c r="AA767" s="30">
        <f t="shared" si="23"/>
        <v>0</v>
      </c>
      <c r="AB767" t="s">
        <v>456</v>
      </c>
    </row>
    <row r="768" spans="1:28">
      <c r="A768" s="67" t="s">
        <v>68</v>
      </c>
      <c r="B768" s="68" t="s">
        <v>161</v>
      </c>
      <c r="C768" s="69">
        <v>4615471900</v>
      </c>
      <c r="D768" s="70">
        <v>20544.980000000003</v>
      </c>
      <c r="E768" s="79"/>
      <c r="F768" s="68">
        <v>16</v>
      </c>
      <c r="G768" s="68" t="s">
        <v>114</v>
      </c>
      <c r="H768" s="75">
        <v>0</v>
      </c>
      <c r="I768" s="68">
        <v>0</v>
      </c>
      <c r="J768" s="71"/>
      <c r="K768" s="71">
        <v>42709</v>
      </c>
      <c r="L768" s="69" t="s">
        <v>80</v>
      </c>
      <c r="M768" s="69" t="s">
        <v>109</v>
      </c>
      <c r="N768" s="72">
        <v>42913</v>
      </c>
      <c r="O768" s="67"/>
      <c r="P768" s="67" t="s">
        <v>95</v>
      </c>
      <c r="Q768" s="67" t="s">
        <v>125</v>
      </c>
      <c r="R768" s="69" t="s">
        <v>69</v>
      </c>
      <c r="S768" s="69" t="s">
        <v>68</v>
      </c>
      <c r="T768" s="67"/>
      <c r="U768" s="67"/>
      <c r="V768" s="72">
        <v>42886</v>
      </c>
      <c r="W768" s="69">
        <v>5114721</v>
      </c>
      <c r="X768" s="69" t="s">
        <v>202</v>
      </c>
      <c r="Y768" s="123"/>
      <c r="Z768" s="30">
        <f t="shared" si="22"/>
        <v>7247.0284277489072</v>
      </c>
      <c r="AA768" s="30">
        <f t="shared" si="23"/>
        <v>0</v>
      </c>
      <c r="AB768" t="s">
        <v>456</v>
      </c>
    </row>
    <row r="769" spans="1:28">
      <c r="A769" s="67" t="s">
        <v>68</v>
      </c>
      <c r="B769" s="68" t="s">
        <v>161</v>
      </c>
      <c r="C769" s="69">
        <v>4615471900</v>
      </c>
      <c r="D769" s="70">
        <v>20544.980000000003</v>
      </c>
      <c r="E769" s="79"/>
      <c r="F769" s="68">
        <v>16</v>
      </c>
      <c r="G769" s="68" t="s">
        <v>114</v>
      </c>
      <c r="H769" s="75">
        <v>0</v>
      </c>
      <c r="I769" s="68">
        <v>0</v>
      </c>
      <c r="J769" s="71"/>
      <c r="K769" s="71">
        <v>42711</v>
      </c>
      <c r="L769" s="69" t="s">
        <v>80</v>
      </c>
      <c r="M769" s="69" t="s">
        <v>109</v>
      </c>
      <c r="N769" s="72">
        <v>42913</v>
      </c>
      <c r="O769" s="67"/>
      <c r="P769" s="67" t="s">
        <v>95</v>
      </c>
      <c r="Q769" s="67" t="s">
        <v>125</v>
      </c>
      <c r="R769" s="69" t="s">
        <v>69</v>
      </c>
      <c r="S769" s="69" t="s">
        <v>68</v>
      </c>
      <c r="T769" s="67"/>
      <c r="U769" s="67"/>
      <c r="V769" s="72">
        <v>42886</v>
      </c>
      <c r="W769" s="69">
        <v>5114721</v>
      </c>
      <c r="X769" s="69" t="s">
        <v>202</v>
      </c>
      <c r="Y769" s="123"/>
      <c r="Z769" s="30">
        <f t="shared" si="22"/>
        <v>7247.0284277489072</v>
      </c>
      <c r="AA769" s="30">
        <f t="shared" si="23"/>
        <v>0</v>
      </c>
      <c r="AB769" t="s">
        <v>456</v>
      </c>
    </row>
    <row r="770" spans="1:28">
      <c r="A770" s="67" t="s">
        <v>68</v>
      </c>
      <c r="B770" s="68" t="s">
        <v>161</v>
      </c>
      <c r="C770" s="69">
        <v>4615471900</v>
      </c>
      <c r="D770" s="70">
        <v>20544.980000000003</v>
      </c>
      <c r="E770" s="79"/>
      <c r="F770" s="68">
        <v>16</v>
      </c>
      <c r="G770" s="68" t="s">
        <v>114</v>
      </c>
      <c r="H770" s="75">
        <v>0</v>
      </c>
      <c r="I770" s="68">
        <v>0</v>
      </c>
      <c r="J770" s="71"/>
      <c r="K770" s="71">
        <v>42659</v>
      </c>
      <c r="L770" s="69" t="s">
        <v>80</v>
      </c>
      <c r="M770" s="69" t="s">
        <v>109</v>
      </c>
      <c r="N770" s="72">
        <v>42913</v>
      </c>
      <c r="O770" s="67"/>
      <c r="P770" s="67" t="s">
        <v>95</v>
      </c>
      <c r="Q770" s="67" t="s">
        <v>125</v>
      </c>
      <c r="R770" s="69" t="s">
        <v>69</v>
      </c>
      <c r="S770" s="69" t="s">
        <v>68</v>
      </c>
      <c r="T770" s="67"/>
      <c r="U770" s="67"/>
      <c r="V770" s="72">
        <v>42886</v>
      </c>
      <c r="W770" s="69">
        <v>5114721</v>
      </c>
      <c r="X770" s="69" t="s">
        <v>202</v>
      </c>
      <c r="Y770" s="123"/>
      <c r="Z770" s="30">
        <f t="shared" si="22"/>
        <v>7247.0284277489072</v>
      </c>
      <c r="AA770" s="30">
        <f t="shared" si="23"/>
        <v>0</v>
      </c>
      <c r="AB770" t="s">
        <v>456</v>
      </c>
    </row>
    <row r="771" spans="1:28">
      <c r="A771" s="67" t="s">
        <v>68</v>
      </c>
      <c r="B771" s="68" t="s">
        <v>161</v>
      </c>
      <c r="C771" s="69">
        <v>4615471900</v>
      </c>
      <c r="D771" s="70">
        <v>20544.980000000003</v>
      </c>
      <c r="E771" s="79"/>
      <c r="F771" s="68">
        <v>16</v>
      </c>
      <c r="G771" s="68" t="s">
        <v>114</v>
      </c>
      <c r="H771" s="75">
        <v>0</v>
      </c>
      <c r="I771" s="68">
        <v>0</v>
      </c>
      <c r="J771" s="71"/>
      <c r="K771" s="71">
        <v>42651</v>
      </c>
      <c r="L771" s="69" t="s">
        <v>80</v>
      </c>
      <c r="M771" s="69" t="s">
        <v>109</v>
      </c>
      <c r="N771" s="72">
        <v>42913</v>
      </c>
      <c r="O771" s="67"/>
      <c r="P771" s="67" t="s">
        <v>95</v>
      </c>
      <c r="Q771" s="67" t="s">
        <v>125</v>
      </c>
      <c r="R771" s="69" t="s">
        <v>69</v>
      </c>
      <c r="S771" s="69" t="s">
        <v>68</v>
      </c>
      <c r="T771" s="67"/>
      <c r="U771" s="67"/>
      <c r="V771" s="72">
        <v>42886</v>
      </c>
      <c r="W771" s="69">
        <v>5114721</v>
      </c>
      <c r="X771" s="69" t="s">
        <v>202</v>
      </c>
      <c r="Y771" s="123"/>
      <c r="Z771" s="30">
        <f t="shared" ref="Z771:Z834" si="24">CONVERT(D771,"kg","lbm")*F771/100</f>
        <v>7247.0284277489072</v>
      </c>
      <c r="AA771" s="30">
        <f t="shared" ref="AA771:AA834" si="25">CONVERT(D771,"kg","lbm")*G771/100</f>
        <v>0</v>
      </c>
      <c r="AB771" t="s">
        <v>456</v>
      </c>
    </row>
    <row r="772" spans="1:28">
      <c r="A772" s="67" t="s">
        <v>68</v>
      </c>
      <c r="B772" s="68" t="s">
        <v>161</v>
      </c>
      <c r="C772" s="69">
        <v>4615471900</v>
      </c>
      <c r="D772" s="70">
        <v>20544.980000000003</v>
      </c>
      <c r="E772" s="79"/>
      <c r="F772" s="68">
        <v>16</v>
      </c>
      <c r="G772" s="68" t="s">
        <v>114</v>
      </c>
      <c r="H772" s="75">
        <v>0</v>
      </c>
      <c r="I772" s="68">
        <v>0</v>
      </c>
      <c r="J772" s="71"/>
      <c r="K772" s="71">
        <v>42723</v>
      </c>
      <c r="L772" s="69" t="s">
        <v>80</v>
      </c>
      <c r="M772" s="69" t="s">
        <v>109</v>
      </c>
      <c r="N772" s="72">
        <v>42913</v>
      </c>
      <c r="O772" s="67"/>
      <c r="P772" s="67" t="s">
        <v>95</v>
      </c>
      <c r="Q772" s="67" t="s">
        <v>125</v>
      </c>
      <c r="R772" s="69" t="s">
        <v>69</v>
      </c>
      <c r="S772" s="69" t="s">
        <v>68</v>
      </c>
      <c r="T772" s="67"/>
      <c r="U772" s="67"/>
      <c r="V772" s="72">
        <v>42886</v>
      </c>
      <c r="W772" s="69">
        <v>5114721</v>
      </c>
      <c r="X772" s="69" t="s">
        <v>202</v>
      </c>
      <c r="Y772" s="123"/>
      <c r="Z772" s="30">
        <f t="shared" si="24"/>
        <v>7247.0284277489072</v>
      </c>
      <c r="AA772" s="30">
        <f t="shared" si="25"/>
        <v>0</v>
      </c>
      <c r="AB772" t="s">
        <v>456</v>
      </c>
    </row>
    <row r="773" spans="1:28">
      <c r="A773" s="67" t="s">
        <v>68</v>
      </c>
      <c r="B773" s="68" t="s">
        <v>161</v>
      </c>
      <c r="C773" s="69">
        <v>4615471900</v>
      </c>
      <c r="D773" s="70">
        <v>20544.980000000003</v>
      </c>
      <c r="E773" s="79"/>
      <c r="F773" s="68">
        <v>16</v>
      </c>
      <c r="G773" s="68" t="s">
        <v>114</v>
      </c>
      <c r="H773" s="75">
        <v>0</v>
      </c>
      <c r="I773" s="68">
        <v>0</v>
      </c>
      <c r="J773" s="71"/>
      <c r="K773" s="71">
        <v>42732</v>
      </c>
      <c r="L773" s="69" t="s">
        <v>80</v>
      </c>
      <c r="M773" s="69" t="s">
        <v>109</v>
      </c>
      <c r="N773" s="72">
        <v>42913</v>
      </c>
      <c r="O773" s="67"/>
      <c r="P773" s="67" t="s">
        <v>95</v>
      </c>
      <c r="Q773" s="67" t="s">
        <v>125</v>
      </c>
      <c r="R773" s="69" t="s">
        <v>69</v>
      </c>
      <c r="S773" s="69" t="s">
        <v>68</v>
      </c>
      <c r="T773" s="67"/>
      <c r="U773" s="67"/>
      <c r="V773" s="72">
        <v>42886</v>
      </c>
      <c r="W773" s="69">
        <v>5114721</v>
      </c>
      <c r="X773" s="69" t="s">
        <v>202</v>
      </c>
      <c r="Y773" s="123"/>
      <c r="Z773" s="30">
        <f t="shared" si="24"/>
        <v>7247.0284277489072</v>
      </c>
      <c r="AA773" s="30">
        <f t="shared" si="25"/>
        <v>0</v>
      </c>
      <c r="AB773" t="s">
        <v>456</v>
      </c>
    </row>
    <row r="774" spans="1:28">
      <c r="A774" s="67" t="s">
        <v>128</v>
      </c>
      <c r="B774" s="68">
        <v>1242692</v>
      </c>
      <c r="C774" s="69">
        <v>4615425745</v>
      </c>
      <c r="D774" s="70">
        <v>19175</v>
      </c>
      <c r="E774" s="79"/>
      <c r="F774" s="68">
        <v>154.4</v>
      </c>
      <c r="G774" s="68" t="s">
        <v>114</v>
      </c>
      <c r="H774" s="68">
        <v>0</v>
      </c>
      <c r="I774" s="68">
        <v>0</v>
      </c>
      <c r="J774" s="71">
        <v>42845</v>
      </c>
      <c r="K774" s="71">
        <v>42720</v>
      </c>
      <c r="L774" s="69" t="s">
        <v>108</v>
      </c>
      <c r="M774" s="69" t="s">
        <v>109</v>
      </c>
      <c r="N774" s="72">
        <v>42913</v>
      </c>
      <c r="O774" s="67"/>
      <c r="P774" s="67" t="s">
        <v>95</v>
      </c>
      <c r="Q774" s="67" t="s">
        <v>129</v>
      </c>
      <c r="R774" s="69" t="s">
        <v>69</v>
      </c>
      <c r="S774" s="69" t="s">
        <v>130</v>
      </c>
      <c r="T774" s="67"/>
      <c r="U774" s="67"/>
      <c r="V774" s="72">
        <v>42886</v>
      </c>
      <c r="W774" s="69">
        <v>425570004</v>
      </c>
      <c r="X774" s="69"/>
      <c r="Y774" s="123"/>
      <c r="Z774" s="30">
        <f t="shared" si="24"/>
        <v>65270.498266979223</v>
      </c>
      <c r="AA774" s="30">
        <f t="shared" si="25"/>
        <v>0</v>
      </c>
      <c r="AB774" t="s">
        <v>456</v>
      </c>
    </row>
    <row r="775" spans="1:28">
      <c r="A775" s="67" t="s">
        <v>122</v>
      </c>
      <c r="B775" s="68">
        <v>1229044</v>
      </c>
      <c r="C775" s="69">
        <v>4615393673</v>
      </c>
      <c r="D775" s="70">
        <v>19200</v>
      </c>
      <c r="E775" s="79"/>
      <c r="F775" s="68">
        <v>16</v>
      </c>
      <c r="G775" s="68">
        <v>5</v>
      </c>
      <c r="H775" s="73">
        <v>0</v>
      </c>
      <c r="I775" s="68">
        <v>0</v>
      </c>
      <c r="J775" s="71">
        <v>42800</v>
      </c>
      <c r="K775" s="71">
        <v>42651</v>
      </c>
      <c r="L775" s="69" t="s">
        <v>119</v>
      </c>
      <c r="M775" s="69" t="s">
        <v>109</v>
      </c>
      <c r="N775" s="72">
        <v>42913</v>
      </c>
      <c r="O775" s="67"/>
      <c r="P775" s="67" t="s">
        <v>95</v>
      </c>
      <c r="Q775" s="67" t="s">
        <v>120</v>
      </c>
      <c r="R775" s="69" t="s">
        <v>69</v>
      </c>
      <c r="S775" s="69" t="s">
        <v>123</v>
      </c>
      <c r="T775" s="67"/>
      <c r="U775" s="67"/>
      <c r="V775" s="72">
        <v>42794</v>
      </c>
      <c r="W775" s="69">
        <v>2023107</v>
      </c>
      <c r="X775" s="69"/>
      <c r="Y775" s="123"/>
      <c r="Z775" s="30">
        <f t="shared" si="24"/>
        <v>6772.6006943194379</v>
      </c>
      <c r="AA775" s="30">
        <f t="shared" si="25"/>
        <v>2116.4377169748245</v>
      </c>
      <c r="AB775" t="s">
        <v>456</v>
      </c>
    </row>
    <row r="776" spans="1:28">
      <c r="A776" s="67" t="s">
        <v>113</v>
      </c>
      <c r="B776" s="68">
        <v>1237873</v>
      </c>
      <c r="C776" s="69">
        <v>4615400781</v>
      </c>
      <c r="D776" s="70">
        <v>20700</v>
      </c>
      <c r="E776" s="79"/>
      <c r="F776" s="68">
        <v>16</v>
      </c>
      <c r="G776" s="68" t="s">
        <v>114</v>
      </c>
      <c r="H776" s="68">
        <v>0</v>
      </c>
      <c r="I776" s="68">
        <v>0</v>
      </c>
      <c r="J776" s="71">
        <v>42848</v>
      </c>
      <c r="K776" s="71">
        <v>42730</v>
      </c>
      <c r="L776" s="69" t="s">
        <v>108</v>
      </c>
      <c r="M776" s="69" t="s">
        <v>109</v>
      </c>
      <c r="N776" s="72">
        <v>42913</v>
      </c>
      <c r="O776" s="67"/>
      <c r="P776" s="67" t="s">
        <v>95</v>
      </c>
      <c r="Q776" s="67" t="s">
        <v>110</v>
      </c>
      <c r="R776" s="69" t="s">
        <v>69</v>
      </c>
      <c r="S776" s="69" t="s">
        <v>115</v>
      </c>
      <c r="T776" s="67"/>
      <c r="U776" s="67"/>
      <c r="V776" s="72">
        <v>42855</v>
      </c>
      <c r="W776" s="69" t="s">
        <v>201</v>
      </c>
      <c r="X776" s="69" t="s">
        <v>117</v>
      </c>
      <c r="Y776" s="123"/>
      <c r="Z776" s="30">
        <f t="shared" si="24"/>
        <v>7301.7101235631453</v>
      </c>
      <c r="AA776" s="30">
        <f t="shared" si="25"/>
        <v>0</v>
      </c>
      <c r="AB776" t="s">
        <v>456</v>
      </c>
    </row>
    <row r="777" spans="1:28">
      <c r="A777" s="67" t="s">
        <v>113</v>
      </c>
      <c r="B777" s="68">
        <v>1236662</v>
      </c>
      <c r="C777" s="69">
        <v>4615400781</v>
      </c>
      <c r="D777" s="70">
        <v>20700</v>
      </c>
      <c r="E777" s="79"/>
      <c r="F777" s="68">
        <v>16</v>
      </c>
      <c r="G777" s="68" t="s">
        <v>114</v>
      </c>
      <c r="H777" s="68">
        <v>0</v>
      </c>
      <c r="I777" s="68">
        <v>0</v>
      </c>
      <c r="J777" s="71">
        <v>42856</v>
      </c>
      <c r="K777" s="71">
        <v>42730</v>
      </c>
      <c r="L777" s="69" t="s">
        <v>108</v>
      </c>
      <c r="M777" s="69" t="s">
        <v>109</v>
      </c>
      <c r="N777" s="72">
        <v>42913</v>
      </c>
      <c r="O777" s="67"/>
      <c r="P777" s="67" t="s">
        <v>95</v>
      </c>
      <c r="Q777" s="67" t="s">
        <v>110</v>
      </c>
      <c r="R777" s="69" t="s">
        <v>69</v>
      </c>
      <c r="S777" s="69" t="s">
        <v>115</v>
      </c>
      <c r="T777" s="67"/>
      <c r="U777" s="67"/>
      <c r="V777" s="72">
        <v>42855</v>
      </c>
      <c r="W777" s="69" t="s">
        <v>201</v>
      </c>
      <c r="X777" s="69" t="s">
        <v>117</v>
      </c>
      <c r="Y777" s="123"/>
      <c r="Z777" s="30">
        <f t="shared" si="24"/>
        <v>7301.7101235631453</v>
      </c>
      <c r="AA777" s="30">
        <f t="shared" si="25"/>
        <v>0</v>
      </c>
      <c r="AB777" t="s">
        <v>456</v>
      </c>
    </row>
    <row r="778" spans="1:28">
      <c r="A778" s="67" t="s">
        <v>122</v>
      </c>
      <c r="B778" s="68">
        <v>1245687</v>
      </c>
      <c r="C778" s="69">
        <v>4615409374</v>
      </c>
      <c r="D778" s="70">
        <v>19200</v>
      </c>
      <c r="E778" s="79"/>
      <c r="F778" s="68">
        <v>16</v>
      </c>
      <c r="G778" s="68">
        <v>5</v>
      </c>
      <c r="H778" s="73">
        <v>0</v>
      </c>
      <c r="I778" s="68">
        <v>0</v>
      </c>
      <c r="J778" s="71"/>
      <c r="K778" s="71">
        <v>42737</v>
      </c>
      <c r="L778" s="69" t="s">
        <v>80</v>
      </c>
      <c r="M778" s="69" t="s">
        <v>109</v>
      </c>
      <c r="N778" s="72">
        <v>42912</v>
      </c>
      <c r="O778" s="67"/>
      <c r="P778" s="67" t="s">
        <v>95</v>
      </c>
      <c r="Q778" s="67" t="s">
        <v>120</v>
      </c>
      <c r="R778" s="69" t="s">
        <v>69</v>
      </c>
      <c r="S778" s="69" t="s">
        <v>123</v>
      </c>
      <c r="T778" s="67"/>
      <c r="U778" s="67"/>
      <c r="V778" s="72">
        <v>42916</v>
      </c>
      <c r="W778" s="69">
        <v>2025665</v>
      </c>
      <c r="X778" s="69"/>
      <c r="Y778" s="123"/>
      <c r="Z778" s="30">
        <f t="shared" si="24"/>
        <v>6772.6006943194379</v>
      </c>
      <c r="AA778" s="30">
        <f t="shared" si="25"/>
        <v>2116.4377169748245</v>
      </c>
      <c r="AB778" t="s">
        <v>456</v>
      </c>
    </row>
    <row r="779" spans="1:28">
      <c r="A779" s="67" t="s">
        <v>113</v>
      </c>
      <c r="B779" s="68">
        <v>1236661</v>
      </c>
      <c r="C779" s="69">
        <v>4615400781</v>
      </c>
      <c r="D779" s="70">
        <v>20700</v>
      </c>
      <c r="E779" s="79"/>
      <c r="F779" s="68">
        <v>16</v>
      </c>
      <c r="G779" s="68" t="s">
        <v>114</v>
      </c>
      <c r="H779" s="68">
        <v>0</v>
      </c>
      <c r="I779" s="68">
        <v>0</v>
      </c>
      <c r="J779" s="71">
        <v>42856</v>
      </c>
      <c r="K779" s="71">
        <v>42720</v>
      </c>
      <c r="L779" s="69" t="s">
        <v>108</v>
      </c>
      <c r="M779" s="69" t="s">
        <v>109</v>
      </c>
      <c r="N779" s="72">
        <v>42912</v>
      </c>
      <c r="O779" s="67"/>
      <c r="P779" s="67" t="s">
        <v>95</v>
      </c>
      <c r="Q779" s="67" t="s">
        <v>110</v>
      </c>
      <c r="R779" s="69" t="s">
        <v>69</v>
      </c>
      <c r="S779" s="69" t="s">
        <v>115</v>
      </c>
      <c r="T779" s="67"/>
      <c r="U779" s="67"/>
      <c r="V779" s="72">
        <v>42855</v>
      </c>
      <c r="W779" s="69" t="s">
        <v>201</v>
      </c>
      <c r="X779" s="69" t="s">
        <v>117</v>
      </c>
      <c r="Y779" s="123"/>
      <c r="Z779" s="30">
        <f t="shared" si="24"/>
        <v>7301.7101235631453</v>
      </c>
      <c r="AA779" s="30">
        <f t="shared" si="25"/>
        <v>0</v>
      </c>
      <c r="AB779" t="s">
        <v>456</v>
      </c>
    </row>
    <row r="780" spans="1:28">
      <c r="A780" s="67" t="s">
        <v>118</v>
      </c>
      <c r="B780" s="68">
        <v>1236275</v>
      </c>
      <c r="C780" s="69">
        <v>4615423539</v>
      </c>
      <c r="D780" s="70">
        <v>19200</v>
      </c>
      <c r="E780" s="79"/>
      <c r="F780" s="75">
        <v>10</v>
      </c>
      <c r="G780" s="75">
        <v>5</v>
      </c>
      <c r="H780" s="73">
        <v>0</v>
      </c>
      <c r="I780" s="68">
        <v>0</v>
      </c>
      <c r="J780" s="71">
        <v>42814</v>
      </c>
      <c r="K780" s="71">
        <v>42711</v>
      </c>
      <c r="L780" s="69" t="s">
        <v>137</v>
      </c>
      <c r="M780" s="69" t="s">
        <v>109</v>
      </c>
      <c r="N780" s="72">
        <v>42912</v>
      </c>
      <c r="O780" s="67"/>
      <c r="P780" s="67" t="s">
        <v>95</v>
      </c>
      <c r="Q780" s="67" t="s">
        <v>120</v>
      </c>
      <c r="R780" s="69" t="s">
        <v>69</v>
      </c>
      <c r="S780" s="69" t="s">
        <v>121</v>
      </c>
      <c r="T780" s="67"/>
      <c r="U780" s="67"/>
      <c r="V780" s="72">
        <v>42766</v>
      </c>
      <c r="W780" s="69">
        <v>2026496</v>
      </c>
      <c r="X780" s="69"/>
      <c r="Y780" s="123"/>
      <c r="Z780" s="30">
        <f t="shared" si="24"/>
        <v>4232.8754339496491</v>
      </c>
      <c r="AA780" s="30">
        <f t="shared" si="25"/>
        <v>2116.4377169748245</v>
      </c>
      <c r="AB780" t="s">
        <v>456</v>
      </c>
    </row>
    <row r="781" spans="1:28">
      <c r="A781" s="67" t="s">
        <v>118</v>
      </c>
      <c r="B781" s="68">
        <v>1214190</v>
      </c>
      <c r="C781" s="69">
        <v>4615410588</v>
      </c>
      <c r="D781" s="70">
        <v>19175</v>
      </c>
      <c r="E781" s="79"/>
      <c r="F781" s="73">
        <v>10</v>
      </c>
      <c r="G781" s="73" t="s">
        <v>114</v>
      </c>
      <c r="H781" s="73">
        <v>0</v>
      </c>
      <c r="I781" s="68">
        <v>0</v>
      </c>
      <c r="J781" s="71">
        <v>42775</v>
      </c>
      <c r="K781" s="71">
        <v>42737</v>
      </c>
      <c r="L781" s="69" t="s">
        <v>137</v>
      </c>
      <c r="M781" s="69" t="s">
        <v>109</v>
      </c>
      <c r="N781" s="72">
        <v>42912</v>
      </c>
      <c r="O781" s="67"/>
      <c r="P781" s="67" t="s">
        <v>95</v>
      </c>
      <c r="Q781" s="67" t="s">
        <v>120</v>
      </c>
      <c r="R781" s="69" t="s">
        <v>69</v>
      </c>
      <c r="S781" s="69" t="s">
        <v>121</v>
      </c>
      <c r="T781" s="67"/>
      <c r="U781" s="67"/>
      <c r="V781" s="72">
        <v>42794</v>
      </c>
      <c r="W781" s="69">
        <v>2026351</v>
      </c>
      <c r="X781" s="69"/>
      <c r="Y781" s="123"/>
      <c r="Z781" s="30">
        <f t="shared" si="24"/>
        <v>4227.3638773950279</v>
      </c>
      <c r="AA781" s="30">
        <f t="shared" si="25"/>
        <v>0</v>
      </c>
      <c r="AB781" t="s">
        <v>456</v>
      </c>
    </row>
    <row r="782" spans="1:28">
      <c r="A782" s="67" t="s">
        <v>122</v>
      </c>
      <c r="B782" s="68">
        <v>1229042</v>
      </c>
      <c r="C782" s="69">
        <v>4615393673</v>
      </c>
      <c r="D782" s="70">
        <v>19200</v>
      </c>
      <c r="E782" s="79"/>
      <c r="F782" s="68">
        <v>16</v>
      </c>
      <c r="G782" s="68">
        <v>5</v>
      </c>
      <c r="H782" s="73">
        <v>0</v>
      </c>
      <c r="I782" s="68">
        <v>0</v>
      </c>
      <c r="J782" s="71">
        <v>42800</v>
      </c>
      <c r="K782" s="71">
        <v>42705</v>
      </c>
      <c r="L782" s="69" t="s">
        <v>119</v>
      </c>
      <c r="M782" s="69" t="s">
        <v>109</v>
      </c>
      <c r="N782" s="72">
        <v>42912</v>
      </c>
      <c r="O782" s="67"/>
      <c r="P782" s="67" t="s">
        <v>95</v>
      </c>
      <c r="Q782" s="67" t="s">
        <v>120</v>
      </c>
      <c r="R782" s="69" t="s">
        <v>69</v>
      </c>
      <c r="S782" s="69" t="s">
        <v>123</v>
      </c>
      <c r="T782" s="67"/>
      <c r="U782" s="67"/>
      <c r="V782" s="72">
        <v>42794</v>
      </c>
      <c r="W782" s="69">
        <v>2023107</v>
      </c>
      <c r="X782" s="69"/>
      <c r="Y782" s="123"/>
      <c r="Z782" s="30">
        <f t="shared" si="24"/>
        <v>6772.6006943194379</v>
      </c>
      <c r="AA782" s="30">
        <f t="shared" si="25"/>
        <v>2116.4377169748245</v>
      </c>
      <c r="AB782" t="s">
        <v>456</v>
      </c>
    </row>
    <row r="783" spans="1:28">
      <c r="A783" s="67" t="s">
        <v>128</v>
      </c>
      <c r="B783" s="68">
        <v>1242694</v>
      </c>
      <c r="C783" s="69">
        <v>4615425745</v>
      </c>
      <c r="D783" s="70">
        <v>19175</v>
      </c>
      <c r="E783" s="79"/>
      <c r="F783" s="68">
        <v>154.4</v>
      </c>
      <c r="G783" s="68" t="s">
        <v>114</v>
      </c>
      <c r="H783" s="68">
        <v>0</v>
      </c>
      <c r="I783" s="68">
        <v>0</v>
      </c>
      <c r="J783" s="71"/>
      <c r="K783" s="71">
        <v>42685</v>
      </c>
      <c r="L783" s="69" t="s">
        <v>80</v>
      </c>
      <c r="M783" s="69" t="s">
        <v>109</v>
      </c>
      <c r="N783" s="72">
        <v>42911</v>
      </c>
      <c r="O783" s="67"/>
      <c r="P783" s="67" t="s">
        <v>95</v>
      </c>
      <c r="Q783" s="67" t="s">
        <v>129</v>
      </c>
      <c r="R783" s="69" t="s">
        <v>69</v>
      </c>
      <c r="S783" s="69" t="s">
        <v>130</v>
      </c>
      <c r="T783" s="67"/>
      <c r="U783" s="67"/>
      <c r="V783" s="72">
        <v>42886</v>
      </c>
      <c r="W783" s="69">
        <v>425570004</v>
      </c>
      <c r="X783" s="69"/>
      <c r="Y783" s="123"/>
      <c r="Z783" s="30">
        <f t="shared" si="24"/>
        <v>65270.498266979223</v>
      </c>
      <c r="AA783" s="30">
        <f t="shared" si="25"/>
        <v>0</v>
      </c>
      <c r="AB783" t="s">
        <v>456</v>
      </c>
    </row>
    <row r="784" spans="1:28">
      <c r="A784" s="67" t="s">
        <v>107</v>
      </c>
      <c r="B784" s="68">
        <v>1238343</v>
      </c>
      <c r="C784" s="69">
        <v>4615423738</v>
      </c>
      <c r="D784" s="70">
        <v>19200</v>
      </c>
      <c r="E784" s="79"/>
      <c r="F784" s="68">
        <v>154.4</v>
      </c>
      <c r="G784" s="68" t="s">
        <v>114</v>
      </c>
      <c r="H784" s="68">
        <v>0</v>
      </c>
      <c r="I784" s="68">
        <v>0</v>
      </c>
      <c r="J784" s="71">
        <v>42828</v>
      </c>
      <c r="K784" s="71">
        <v>42715</v>
      </c>
      <c r="L784" s="69" t="s">
        <v>119</v>
      </c>
      <c r="M784" s="69" t="s">
        <v>109</v>
      </c>
      <c r="N784" s="72">
        <v>42911</v>
      </c>
      <c r="O784" s="67"/>
      <c r="P784" s="67" t="s">
        <v>95</v>
      </c>
      <c r="Q784" s="67" t="s">
        <v>110</v>
      </c>
      <c r="R784" s="69" t="s">
        <v>69</v>
      </c>
      <c r="S784" s="69" t="s">
        <v>111</v>
      </c>
      <c r="T784" s="67"/>
      <c r="U784" s="67"/>
      <c r="V784" s="72">
        <v>42855</v>
      </c>
      <c r="W784" s="69" t="s">
        <v>203</v>
      </c>
      <c r="X784" s="69"/>
      <c r="Y784" s="123"/>
      <c r="Z784" s="30">
        <f t="shared" si="24"/>
        <v>65355.596700182585</v>
      </c>
      <c r="AA784" s="30">
        <f t="shared" si="25"/>
        <v>0</v>
      </c>
      <c r="AB784" t="s">
        <v>456</v>
      </c>
    </row>
    <row r="785" spans="1:28">
      <c r="A785" s="67" t="s">
        <v>113</v>
      </c>
      <c r="B785" s="68">
        <v>1237869</v>
      </c>
      <c r="C785" s="69">
        <v>4615400781</v>
      </c>
      <c r="D785" s="70">
        <v>20700</v>
      </c>
      <c r="E785" s="79"/>
      <c r="F785" s="68">
        <v>16</v>
      </c>
      <c r="G785" s="68" t="s">
        <v>114</v>
      </c>
      <c r="H785" s="68">
        <v>0</v>
      </c>
      <c r="I785" s="68">
        <v>0</v>
      </c>
      <c r="J785" s="71">
        <v>42848</v>
      </c>
      <c r="K785" s="71">
        <v>42701</v>
      </c>
      <c r="L785" s="69" t="s">
        <v>108</v>
      </c>
      <c r="M785" s="69" t="s">
        <v>109</v>
      </c>
      <c r="N785" s="72">
        <v>42911</v>
      </c>
      <c r="O785" s="67"/>
      <c r="P785" s="67" t="s">
        <v>95</v>
      </c>
      <c r="Q785" s="67" t="s">
        <v>110</v>
      </c>
      <c r="R785" s="69" t="s">
        <v>69</v>
      </c>
      <c r="S785" s="69" t="s">
        <v>115</v>
      </c>
      <c r="T785" s="67"/>
      <c r="U785" s="67"/>
      <c r="V785" s="72">
        <v>42855</v>
      </c>
      <c r="W785" s="69" t="s">
        <v>201</v>
      </c>
      <c r="X785" s="69" t="s">
        <v>117</v>
      </c>
      <c r="Y785" s="123"/>
      <c r="Z785" s="30">
        <f t="shared" si="24"/>
        <v>7301.7101235631453</v>
      </c>
      <c r="AA785" s="30">
        <f t="shared" si="25"/>
        <v>0</v>
      </c>
      <c r="AB785" t="s">
        <v>456</v>
      </c>
    </row>
    <row r="786" spans="1:28">
      <c r="A786" s="67" t="s">
        <v>113</v>
      </c>
      <c r="B786" s="68">
        <v>1237871</v>
      </c>
      <c r="C786" s="69">
        <v>4615400781</v>
      </c>
      <c r="D786" s="70">
        <v>20700</v>
      </c>
      <c r="E786" s="79"/>
      <c r="F786" s="68">
        <v>16</v>
      </c>
      <c r="G786" s="68" t="s">
        <v>114</v>
      </c>
      <c r="H786" s="68">
        <v>0</v>
      </c>
      <c r="I786" s="68">
        <v>0</v>
      </c>
      <c r="J786" s="71">
        <v>42848</v>
      </c>
      <c r="K786" s="71">
        <v>42720</v>
      </c>
      <c r="L786" s="69" t="s">
        <v>108</v>
      </c>
      <c r="M786" s="69" t="s">
        <v>109</v>
      </c>
      <c r="N786" s="72">
        <v>42911</v>
      </c>
      <c r="O786" s="67"/>
      <c r="P786" s="67" t="s">
        <v>95</v>
      </c>
      <c r="Q786" s="67" t="s">
        <v>110</v>
      </c>
      <c r="R786" s="69" t="s">
        <v>69</v>
      </c>
      <c r="S786" s="69" t="s">
        <v>115</v>
      </c>
      <c r="T786" s="67"/>
      <c r="U786" s="67"/>
      <c r="V786" s="72">
        <v>42855</v>
      </c>
      <c r="W786" s="69" t="s">
        <v>201</v>
      </c>
      <c r="X786" s="69" t="s">
        <v>117</v>
      </c>
      <c r="Y786" s="123"/>
      <c r="Z786" s="30">
        <f t="shared" si="24"/>
        <v>7301.7101235631453</v>
      </c>
      <c r="AA786" s="30">
        <f t="shared" si="25"/>
        <v>0</v>
      </c>
      <c r="AB786" t="s">
        <v>456</v>
      </c>
    </row>
    <row r="787" spans="1:28">
      <c r="A787" s="67" t="s">
        <v>113</v>
      </c>
      <c r="B787" s="68">
        <v>1236665</v>
      </c>
      <c r="C787" s="69">
        <v>4615400781</v>
      </c>
      <c r="D787" s="70">
        <v>20700</v>
      </c>
      <c r="E787" s="79"/>
      <c r="F787" s="68">
        <v>16</v>
      </c>
      <c r="G787" s="68" t="s">
        <v>114</v>
      </c>
      <c r="H787" s="68">
        <v>0</v>
      </c>
      <c r="I787" s="68">
        <v>0</v>
      </c>
      <c r="J787" s="71">
        <v>42856</v>
      </c>
      <c r="K787" s="71">
        <v>42716</v>
      </c>
      <c r="L787" s="69" t="s">
        <v>108</v>
      </c>
      <c r="M787" s="69" t="s">
        <v>109</v>
      </c>
      <c r="N787" s="72">
        <v>42911</v>
      </c>
      <c r="O787" s="67"/>
      <c r="P787" s="67" t="s">
        <v>95</v>
      </c>
      <c r="Q787" s="67" t="s">
        <v>110</v>
      </c>
      <c r="R787" s="69" t="s">
        <v>69</v>
      </c>
      <c r="S787" s="69" t="s">
        <v>115</v>
      </c>
      <c r="T787" s="67"/>
      <c r="U787" s="67"/>
      <c r="V787" s="72">
        <v>42855</v>
      </c>
      <c r="W787" s="69" t="s">
        <v>201</v>
      </c>
      <c r="X787" s="69" t="s">
        <v>117</v>
      </c>
      <c r="Y787" s="123"/>
      <c r="Z787" s="30">
        <f t="shared" si="24"/>
        <v>7301.7101235631453</v>
      </c>
      <c r="AA787" s="30">
        <f t="shared" si="25"/>
        <v>0</v>
      </c>
      <c r="AB787" t="s">
        <v>456</v>
      </c>
    </row>
    <row r="788" spans="1:28">
      <c r="A788" s="67" t="s">
        <v>136</v>
      </c>
      <c r="B788" s="68">
        <v>1227984</v>
      </c>
      <c r="C788" s="69">
        <v>4615385238</v>
      </c>
      <c r="D788" s="70">
        <v>19175</v>
      </c>
      <c r="E788" s="79"/>
      <c r="F788" s="73">
        <v>10</v>
      </c>
      <c r="G788" s="73" t="s">
        <v>114</v>
      </c>
      <c r="H788" s="73">
        <v>0</v>
      </c>
      <c r="I788" s="68">
        <v>0</v>
      </c>
      <c r="J788" s="71">
        <v>42793</v>
      </c>
      <c r="K788" s="71">
        <v>42715</v>
      </c>
      <c r="L788" s="69" t="s">
        <v>137</v>
      </c>
      <c r="M788" s="69" t="s">
        <v>109</v>
      </c>
      <c r="N788" s="72">
        <v>42911</v>
      </c>
      <c r="O788" s="67"/>
      <c r="P788" s="67" t="s">
        <v>95</v>
      </c>
      <c r="Q788" s="67" t="s">
        <v>129</v>
      </c>
      <c r="R788" s="69" t="s">
        <v>69</v>
      </c>
      <c r="S788" s="69" t="s">
        <v>138</v>
      </c>
      <c r="T788" s="67"/>
      <c r="U788" s="67"/>
      <c r="V788" s="72">
        <v>42855</v>
      </c>
      <c r="W788" s="69">
        <v>415570029</v>
      </c>
      <c r="X788" s="69" t="s">
        <v>155</v>
      </c>
      <c r="Y788" s="123"/>
      <c r="Z788" s="30">
        <f t="shared" si="24"/>
        <v>4227.3638773950279</v>
      </c>
      <c r="AA788" s="30">
        <f t="shared" si="25"/>
        <v>0</v>
      </c>
      <c r="AB788" t="s">
        <v>456</v>
      </c>
    </row>
    <row r="789" spans="1:28">
      <c r="A789" s="67" t="s">
        <v>122</v>
      </c>
      <c r="B789" s="68">
        <v>1229045</v>
      </c>
      <c r="C789" s="69">
        <v>4615393673</v>
      </c>
      <c r="D789" s="70">
        <v>19200</v>
      </c>
      <c r="E789" s="80"/>
      <c r="F789" s="68">
        <v>16</v>
      </c>
      <c r="G789" s="68">
        <v>5</v>
      </c>
      <c r="H789" s="73">
        <v>0</v>
      </c>
      <c r="I789" s="68">
        <v>0</v>
      </c>
      <c r="J789" s="71">
        <v>42800</v>
      </c>
      <c r="K789" s="71">
        <v>42716</v>
      </c>
      <c r="L789" s="69" t="s">
        <v>119</v>
      </c>
      <c r="M789" s="69" t="s">
        <v>109</v>
      </c>
      <c r="N789" s="72">
        <v>42911</v>
      </c>
      <c r="O789" s="67"/>
      <c r="P789" s="67" t="s">
        <v>95</v>
      </c>
      <c r="Q789" s="67" t="s">
        <v>120</v>
      </c>
      <c r="R789" s="69" t="s">
        <v>69</v>
      </c>
      <c r="S789" s="69" t="s">
        <v>123</v>
      </c>
      <c r="T789" s="67"/>
      <c r="U789" s="67"/>
      <c r="V789" s="72">
        <v>42794</v>
      </c>
      <c r="W789" s="69">
        <v>2023107</v>
      </c>
      <c r="X789" s="69"/>
      <c r="Y789" s="123"/>
      <c r="Z789" s="30">
        <f t="shared" si="24"/>
        <v>6772.6006943194379</v>
      </c>
      <c r="AA789" s="30">
        <f t="shared" si="25"/>
        <v>2116.4377169748245</v>
      </c>
      <c r="AB789" t="s">
        <v>456</v>
      </c>
    </row>
    <row r="790" spans="1:28">
      <c r="A790" s="67" t="s">
        <v>122</v>
      </c>
      <c r="B790" s="68">
        <v>1229143</v>
      </c>
      <c r="C790" s="69">
        <v>4615412732</v>
      </c>
      <c r="D790" s="70">
        <v>19200</v>
      </c>
      <c r="E790" s="80"/>
      <c r="F790" s="73">
        <v>16</v>
      </c>
      <c r="G790" s="73">
        <v>5</v>
      </c>
      <c r="H790" s="73">
        <v>0</v>
      </c>
      <c r="I790" s="68">
        <v>0</v>
      </c>
      <c r="J790" s="71">
        <v>42797</v>
      </c>
      <c r="K790" s="71">
        <v>42734</v>
      </c>
      <c r="L790" s="69" t="s">
        <v>119</v>
      </c>
      <c r="M790" s="69" t="s">
        <v>109</v>
      </c>
      <c r="N790" s="72">
        <v>42911</v>
      </c>
      <c r="O790" s="67"/>
      <c r="P790" s="67" t="s">
        <v>95</v>
      </c>
      <c r="Q790" s="67" t="s">
        <v>120</v>
      </c>
      <c r="R790" s="69" t="s">
        <v>69</v>
      </c>
      <c r="S790" s="69" t="s">
        <v>123</v>
      </c>
      <c r="T790" s="67"/>
      <c r="U790" s="67"/>
      <c r="V790" s="72">
        <v>42825</v>
      </c>
      <c r="W790" s="69">
        <v>2025763</v>
      </c>
      <c r="X790" s="69"/>
      <c r="Y790" s="123"/>
      <c r="Z790" s="30">
        <f t="shared" si="24"/>
        <v>6772.6006943194379</v>
      </c>
      <c r="AA790" s="30">
        <f t="shared" si="25"/>
        <v>2116.4377169748245</v>
      </c>
      <c r="AB790" t="s">
        <v>456</v>
      </c>
    </row>
    <row r="791" spans="1:28">
      <c r="A791" s="67" t="s">
        <v>122</v>
      </c>
      <c r="B791" s="68">
        <v>1229142</v>
      </c>
      <c r="C791" s="69">
        <v>4615412732</v>
      </c>
      <c r="D791" s="70">
        <v>19200</v>
      </c>
      <c r="E791" s="80"/>
      <c r="F791" s="73">
        <v>16</v>
      </c>
      <c r="G791" s="73">
        <v>5</v>
      </c>
      <c r="H791" s="73">
        <v>0</v>
      </c>
      <c r="I791" s="68">
        <v>0</v>
      </c>
      <c r="J791" s="71">
        <v>42797</v>
      </c>
      <c r="K791" s="71">
        <v>42711</v>
      </c>
      <c r="L791" s="69" t="s">
        <v>119</v>
      </c>
      <c r="M791" s="69" t="s">
        <v>109</v>
      </c>
      <c r="N791" s="72">
        <v>42911</v>
      </c>
      <c r="O791" s="67"/>
      <c r="P791" s="67" t="s">
        <v>95</v>
      </c>
      <c r="Q791" s="67" t="s">
        <v>120</v>
      </c>
      <c r="R791" s="69" t="s">
        <v>69</v>
      </c>
      <c r="S791" s="69" t="s">
        <v>123</v>
      </c>
      <c r="T791" s="67"/>
      <c r="U791" s="67"/>
      <c r="V791" s="72">
        <v>42825</v>
      </c>
      <c r="W791" s="69">
        <v>2025763</v>
      </c>
      <c r="X791" s="69"/>
      <c r="Y791" s="123"/>
      <c r="Z791" s="30">
        <f t="shared" si="24"/>
        <v>6772.6006943194379</v>
      </c>
      <c r="AA791" s="30">
        <f t="shared" si="25"/>
        <v>2116.4377169748245</v>
      </c>
      <c r="AB791" t="s">
        <v>456</v>
      </c>
    </row>
    <row r="792" spans="1:28">
      <c r="A792" s="67" t="s">
        <v>122</v>
      </c>
      <c r="B792" s="68">
        <v>1229141</v>
      </c>
      <c r="C792" s="69">
        <v>4615412732</v>
      </c>
      <c r="D792" s="70">
        <v>19200</v>
      </c>
      <c r="E792" s="80"/>
      <c r="F792" s="73">
        <v>16</v>
      </c>
      <c r="G792" s="73">
        <v>5</v>
      </c>
      <c r="H792" s="73">
        <v>0</v>
      </c>
      <c r="I792" s="68">
        <v>0</v>
      </c>
      <c r="J792" s="71">
        <v>42797</v>
      </c>
      <c r="K792" s="71">
        <v>42673</v>
      </c>
      <c r="L792" s="69" t="s">
        <v>119</v>
      </c>
      <c r="M792" s="69" t="s">
        <v>109</v>
      </c>
      <c r="N792" s="72">
        <v>42911</v>
      </c>
      <c r="O792" s="67"/>
      <c r="P792" s="67" t="s">
        <v>95</v>
      </c>
      <c r="Q792" s="67" t="s">
        <v>120</v>
      </c>
      <c r="R792" s="69" t="s">
        <v>69</v>
      </c>
      <c r="S792" s="69" t="s">
        <v>123</v>
      </c>
      <c r="T792" s="67"/>
      <c r="U792" s="67"/>
      <c r="V792" s="72">
        <v>42825</v>
      </c>
      <c r="W792" s="69">
        <v>2025763</v>
      </c>
      <c r="X792" s="69"/>
      <c r="Y792" s="123"/>
      <c r="Z792" s="30">
        <f t="shared" si="24"/>
        <v>6772.6006943194379</v>
      </c>
      <c r="AA792" s="30">
        <f t="shared" si="25"/>
        <v>2116.4377169748245</v>
      </c>
      <c r="AB792" t="s">
        <v>456</v>
      </c>
    </row>
    <row r="793" spans="1:28">
      <c r="A793" s="67" t="s">
        <v>122</v>
      </c>
      <c r="B793" s="68">
        <v>1229138</v>
      </c>
      <c r="C793" s="69">
        <v>4615412732</v>
      </c>
      <c r="D793" s="70">
        <v>19200</v>
      </c>
      <c r="E793" s="80"/>
      <c r="F793" s="73">
        <v>16</v>
      </c>
      <c r="G793" s="73">
        <v>5</v>
      </c>
      <c r="H793" s="73">
        <v>0</v>
      </c>
      <c r="I793" s="68">
        <v>0</v>
      </c>
      <c r="J793" s="71">
        <v>42797</v>
      </c>
      <c r="K793" s="71">
        <v>42699</v>
      </c>
      <c r="L793" s="69" t="s">
        <v>119</v>
      </c>
      <c r="M793" s="69" t="s">
        <v>109</v>
      </c>
      <c r="N793" s="72">
        <v>42908</v>
      </c>
      <c r="O793" s="67"/>
      <c r="P793" s="67" t="s">
        <v>95</v>
      </c>
      <c r="Q793" s="67" t="s">
        <v>120</v>
      </c>
      <c r="R793" s="69" t="s">
        <v>69</v>
      </c>
      <c r="S793" s="69" t="s">
        <v>123</v>
      </c>
      <c r="T793" s="67"/>
      <c r="U793" s="67"/>
      <c r="V793" s="72">
        <v>42825</v>
      </c>
      <c r="W793" s="69">
        <v>2025763</v>
      </c>
      <c r="X793" s="69"/>
      <c r="Y793" s="123"/>
      <c r="Z793" s="30">
        <f t="shared" si="24"/>
        <v>6772.6006943194379</v>
      </c>
      <c r="AA793" s="30">
        <f t="shared" si="25"/>
        <v>2116.4377169748245</v>
      </c>
      <c r="AB793" t="s">
        <v>456</v>
      </c>
    </row>
    <row r="794" spans="1:28">
      <c r="A794" s="67" t="s">
        <v>113</v>
      </c>
      <c r="B794" s="68">
        <v>1237868</v>
      </c>
      <c r="C794" s="69">
        <v>4615400781</v>
      </c>
      <c r="D794" s="70">
        <v>20700</v>
      </c>
      <c r="E794" s="80"/>
      <c r="F794" s="68">
        <v>16</v>
      </c>
      <c r="G794" s="68" t="s">
        <v>114</v>
      </c>
      <c r="H794" s="68">
        <v>0</v>
      </c>
      <c r="I794" s="68">
        <v>0</v>
      </c>
      <c r="J794" s="71">
        <v>42848</v>
      </c>
      <c r="K794" s="71">
        <v>42699</v>
      </c>
      <c r="L794" s="69" t="s">
        <v>108</v>
      </c>
      <c r="M794" s="69" t="s">
        <v>109</v>
      </c>
      <c r="N794" s="72">
        <v>42908</v>
      </c>
      <c r="O794" s="67"/>
      <c r="P794" s="67" t="s">
        <v>95</v>
      </c>
      <c r="Q794" s="67" t="s">
        <v>110</v>
      </c>
      <c r="R794" s="69" t="s">
        <v>69</v>
      </c>
      <c r="S794" s="69" t="s">
        <v>115</v>
      </c>
      <c r="T794" s="67"/>
      <c r="U794" s="67"/>
      <c r="V794" s="72">
        <v>42855</v>
      </c>
      <c r="W794" s="69" t="s">
        <v>201</v>
      </c>
      <c r="X794" s="69" t="s">
        <v>117</v>
      </c>
      <c r="Y794" s="123"/>
      <c r="Z794" s="30">
        <f t="shared" si="24"/>
        <v>7301.7101235631453</v>
      </c>
      <c r="AA794" s="30">
        <f t="shared" si="25"/>
        <v>0</v>
      </c>
      <c r="AB794" t="s">
        <v>456</v>
      </c>
    </row>
    <row r="795" spans="1:28">
      <c r="A795" s="67" t="s">
        <v>113</v>
      </c>
      <c r="B795" s="68">
        <v>1237874</v>
      </c>
      <c r="C795" s="69">
        <v>4615400781</v>
      </c>
      <c r="D795" s="70">
        <v>20700</v>
      </c>
      <c r="E795" s="80"/>
      <c r="F795" s="68">
        <v>16</v>
      </c>
      <c r="G795" s="68" t="s">
        <v>114</v>
      </c>
      <c r="H795" s="68">
        <v>0</v>
      </c>
      <c r="I795" s="68">
        <v>0</v>
      </c>
      <c r="J795" s="71">
        <v>42848</v>
      </c>
      <c r="K795" s="71">
        <v>42757</v>
      </c>
      <c r="L795" s="69" t="s">
        <v>108</v>
      </c>
      <c r="M795" s="69" t="s">
        <v>109</v>
      </c>
      <c r="N795" s="72">
        <v>42908</v>
      </c>
      <c r="O795" s="67"/>
      <c r="P795" s="67" t="s">
        <v>95</v>
      </c>
      <c r="Q795" s="67" t="s">
        <v>110</v>
      </c>
      <c r="R795" s="69" t="s">
        <v>69</v>
      </c>
      <c r="S795" s="69" t="s">
        <v>115</v>
      </c>
      <c r="T795" s="67"/>
      <c r="U795" s="67"/>
      <c r="V795" s="72">
        <v>42855</v>
      </c>
      <c r="W795" s="69" t="s">
        <v>201</v>
      </c>
      <c r="X795" s="69" t="s">
        <v>117</v>
      </c>
      <c r="Y795" s="123"/>
      <c r="Z795" s="30">
        <f t="shared" si="24"/>
        <v>7301.7101235631453</v>
      </c>
      <c r="AA795" s="30">
        <f t="shared" si="25"/>
        <v>0</v>
      </c>
      <c r="AB795" t="s">
        <v>456</v>
      </c>
    </row>
    <row r="796" spans="1:28">
      <c r="A796" s="67" t="s">
        <v>122</v>
      </c>
      <c r="B796" s="68">
        <v>1229144</v>
      </c>
      <c r="C796" s="69">
        <v>4615412732</v>
      </c>
      <c r="D796" s="70">
        <v>19200</v>
      </c>
      <c r="E796" s="80"/>
      <c r="F796" s="73">
        <v>16</v>
      </c>
      <c r="G796" s="73">
        <v>5</v>
      </c>
      <c r="H796" s="73">
        <v>0</v>
      </c>
      <c r="I796" s="68">
        <v>0</v>
      </c>
      <c r="J796" s="71">
        <v>42797</v>
      </c>
      <c r="K796" s="71">
        <v>42723</v>
      </c>
      <c r="L796" s="69" t="s">
        <v>119</v>
      </c>
      <c r="M796" s="69" t="s">
        <v>109</v>
      </c>
      <c r="N796" s="72">
        <v>42907</v>
      </c>
      <c r="O796" s="67"/>
      <c r="P796" s="67" t="s">
        <v>95</v>
      </c>
      <c r="Q796" s="67" t="s">
        <v>120</v>
      </c>
      <c r="R796" s="69" t="s">
        <v>69</v>
      </c>
      <c r="S796" s="69" t="s">
        <v>123</v>
      </c>
      <c r="T796" s="67"/>
      <c r="U796" s="67"/>
      <c r="V796" s="72">
        <v>42825</v>
      </c>
      <c r="W796" s="69">
        <v>2025763</v>
      </c>
      <c r="X796" s="69"/>
      <c r="Y796" s="123"/>
      <c r="Z796" s="30">
        <f t="shared" si="24"/>
        <v>6772.6006943194379</v>
      </c>
      <c r="AA796" s="30">
        <f t="shared" si="25"/>
        <v>2116.4377169748245</v>
      </c>
      <c r="AB796" t="s">
        <v>456</v>
      </c>
    </row>
    <row r="797" spans="1:28">
      <c r="A797" s="67" t="s">
        <v>118</v>
      </c>
      <c r="B797" s="68">
        <v>1227192</v>
      </c>
      <c r="C797" s="69">
        <v>4615373462</v>
      </c>
      <c r="D797" s="70">
        <v>19175</v>
      </c>
      <c r="E797" s="80"/>
      <c r="F797" s="68">
        <v>10</v>
      </c>
      <c r="G797" s="68" t="s">
        <v>114</v>
      </c>
      <c r="H797" s="73">
        <v>0</v>
      </c>
      <c r="I797" s="68">
        <v>0</v>
      </c>
      <c r="J797" s="71">
        <v>42814</v>
      </c>
      <c r="K797" s="71">
        <v>42702</v>
      </c>
      <c r="L797" s="69" t="s">
        <v>137</v>
      </c>
      <c r="M797" s="69" t="s">
        <v>109</v>
      </c>
      <c r="N797" s="72">
        <v>42907</v>
      </c>
      <c r="O797" s="67"/>
      <c r="P797" s="67" t="s">
        <v>95</v>
      </c>
      <c r="Q797" s="67" t="s">
        <v>120</v>
      </c>
      <c r="R797" s="69" t="s">
        <v>69</v>
      </c>
      <c r="S797" s="69" t="s">
        <v>121</v>
      </c>
      <c r="T797" s="67"/>
      <c r="U797" s="67"/>
      <c r="V797" s="72">
        <v>42855</v>
      </c>
      <c r="W797" s="69">
        <v>2021266</v>
      </c>
      <c r="X797" s="69"/>
      <c r="Y797" s="123"/>
      <c r="Z797" s="30">
        <f t="shared" si="24"/>
        <v>4227.3638773950279</v>
      </c>
      <c r="AA797" s="30">
        <f t="shared" si="25"/>
        <v>0</v>
      </c>
      <c r="AB797" t="s">
        <v>456</v>
      </c>
    </row>
    <row r="798" spans="1:28">
      <c r="A798" s="67" t="s">
        <v>113</v>
      </c>
      <c r="B798" s="68">
        <v>1237870</v>
      </c>
      <c r="C798" s="69">
        <v>4615400781</v>
      </c>
      <c r="D798" s="70">
        <v>20700</v>
      </c>
      <c r="E798" s="80"/>
      <c r="F798" s="68">
        <v>16</v>
      </c>
      <c r="G798" s="68" t="s">
        <v>114</v>
      </c>
      <c r="H798" s="68">
        <v>0</v>
      </c>
      <c r="I798" s="68">
        <v>0</v>
      </c>
      <c r="J798" s="71">
        <v>42848</v>
      </c>
      <c r="K798" s="71">
        <v>42711</v>
      </c>
      <c r="L798" s="69" t="s">
        <v>108</v>
      </c>
      <c r="M798" s="69" t="s">
        <v>109</v>
      </c>
      <c r="N798" s="72">
        <v>42907</v>
      </c>
      <c r="O798" s="67"/>
      <c r="P798" s="67" t="s">
        <v>95</v>
      </c>
      <c r="Q798" s="67" t="s">
        <v>110</v>
      </c>
      <c r="R798" s="69" t="s">
        <v>69</v>
      </c>
      <c r="S798" s="69" t="s">
        <v>115</v>
      </c>
      <c r="T798" s="67"/>
      <c r="U798" s="67"/>
      <c r="V798" s="72">
        <v>42855</v>
      </c>
      <c r="W798" s="69" t="s">
        <v>201</v>
      </c>
      <c r="X798" s="69" t="s">
        <v>117</v>
      </c>
      <c r="Y798" s="123"/>
      <c r="Z798" s="30">
        <f t="shared" si="24"/>
        <v>7301.7101235631453</v>
      </c>
      <c r="AA798" s="30">
        <f t="shared" si="25"/>
        <v>0</v>
      </c>
      <c r="AB798" t="s">
        <v>456</v>
      </c>
    </row>
    <row r="799" spans="1:28">
      <c r="A799" s="67" t="s">
        <v>113</v>
      </c>
      <c r="B799" s="68">
        <v>1237875</v>
      </c>
      <c r="C799" s="69">
        <v>4615400781</v>
      </c>
      <c r="D799" s="70">
        <v>20700</v>
      </c>
      <c r="E799" s="79"/>
      <c r="F799" s="68">
        <v>16</v>
      </c>
      <c r="G799" s="68" t="s">
        <v>114</v>
      </c>
      <c r="H799" s="68">
        <v>0</v>
      </c>
      <c r="I799" s="68">
        <v>0</v>
      </c>
      <c r="J799" s="71">
        <v>42848</v>
      </c>
      <c r="K799" s="71">
        <v>42696</v>
      </c>
      <c r="L799" s="69" t="s">
        <v>108</v>
      </c>
      <c r="M799" s="69" t="s">
        <v>109</v>
      </c>
      <c r="N799" s="72">
        <v>42907</v>
      </c>
      <c r="O799" s="67"/>
      <c r="P799" s="67" t="s">
        <v>95</v>
      </c>
      <c r="Q799" s="67" t="s">
        <v>110</v>
      </c>
      <c r="R799" s="69" t="s">
        <v>69</v>
      </c>
      <c r="S799" s="69" t="s">
        <v>115</v>
      </c>
      <c r="T799" s="76"/>
      <c r="U799" s="67"/>
      <c r="V799" s="72">
        <v>42855</v>
      </c>
      <c r="W799" s="69" t="s">
        <v>201</v>
      </c>
      <c r="X799" s="69" t="s">
        <v>117</v>
      </c>
      <c r="Y799" s="123"/>
      <c r="Z799" s="30">
        <f t="shared" si="24"/>
        <v>7301.7101235631453</v>
      </c>
      <c r="AA799" s="30">
        <f t="shared" si="25"/>
        <v>0</v>
      </c>
      <c r="AB799" t="s">
        <v>456</v>
      </c>
    </row>
    <row r="800" spans="1:28">
      <c r="A800" s="67" t="s">
        <v>128</v>
      </c>
      <c r="B800" s="68">
        <v>1242691</v>
      </c>
      <c r="C800" s="69">
        <v>4615425745</v>
      </c>
      <c r="D800" s="70">
        <v>19175</v>
      </c>
      <c r="E800" s="79"/>
      <c r="F800" s="68">
        <v>154.4</v>
      </c>
      <c r="G800" s="68" t="s">
        <v>114</v>
      </c>
      <c r="H800" s="68">
        <v>0</v>
      </c>
      <c r="I800" s="68">
        <v>0</v>
      </c>
      <c r="J800" s="71">
        <v>42845</v>
      </c>
      <c r="K800" s="71">
        <v>42694</v>
      </c>
      <c r="L800" s="69" t="s">
        <v>108</v>
      </c>
      <c r="M800" s="69" t="s">
        <v>109</v>
      </c>
      <c r="N800" s="72">
        <v>42907</v>
      </c>
      <c r="O800" s="67"/>
      <c r="P800" s="67" t="s">
        <v>95</v>
      </c>
      <c r="Q800" s="67" t="s">
        <v>129</v>
      </c>
      <c r="R800" s="69" t="s">
        <v>69</v>
      </c>
      <c r="S800" s="69" t="s">
        <v>130</v>
      </c>
      <c r="T800" s="76"/>
      <c r="U800" s="67"/>
      <c r="V800" s="72">
        <v>42886</v>
      </c>
      <c r="W800" s="69">
        <v>425570004</v>
      </c>
      <c r="X800" s="69"/>
      <c r="Y800" s="123"/>
      <c r="Z800" s="30">
        <f t="shared" si="24"/>
        <v>65270.498266979223</v>
      </c>
      <c r="AA800" s="30">
        <f t="shared" si="25"/>
        <v>0</v>
      </c>
      <c r="AB800" t="s">
        <v>456</v>
      </c>
    </row>
    <row r="801" spans="1:28">
      <c r="A801" s="67" t="s">
        <v>118</v>
      </c>
      <c r="B801" s="68">
        <v>1227191</v>
      </c>
      <c r="C801" s="69">
        <v>4615373462</v>
      </c>
      <c r="D801" s="70">
        <v>19175</v>
      </c>
      <c r="E801" s="79"/>
      <c r="F801" s="68">
        <v>10</v>
      </c>
      <c r="G801" s="68" t="s">
        <v>114</v>
      </c>
      <c r="H801" s="73">
        <v>0</v>
      </c>
      <c r="I801" s="68">
        <v>0</v>
      </c>
      <c r="J801" s="71">
        <v>42814</v>
      </c>
      <c r="K801" s="71">
        <v>42706</v>
      </c>
      <c r="L801" s="69" t="s">
        <v>137</v>
      </c>
      <c r="M801" s="69" t="s">
        <v>109</v>
      </c>
      <c r="N801" s="72">
        <v>42906</v>
      </c>
      <c r="O801" s="67"/>
      <c r="P801" s="67" t="s">
        <v>95</v>
      </c>
      <c r="Q801" s="67" t="s">
        <v>120</v>
      </c>
      <c r="R801" s="69" t="s">
        <v>69</v>
      </c>
      <c r="S801" s="69" t="s">
        <v>121</v>
      </c>
      <c r="T801" s="76"/>
      <c r="U801" s="67"/>
      <c r="V801" s="72">
        <v>42855</v>
      </c>
      <c r="W801" s="69">
        <v>2021266</v>
      </c>
      <c r="X801" s="69"/>
      <c r="Y801" s="123"/>
      <c r="Z801" s="30">
        <f t="shared" si="24"/>
        <v>4227.3638773950279</v>
      </c>
      <c r="AA801" s="30">
        <f t="shared" si="25"/>
        <v>0</v>
      </c>
      <c r="AB801" t="s">
        <v>456</v>
      </c>
    </row>
    <row r="802" spans="1:28">
      <c r="A802" s="67" t="s">
        <v>122</v>
      </c>
      <c r="B802" s="68">
        <v>1229139</v>
      </c>
      <c r="C802" s="69">
        <v>4615412732</v>
      </c>
      <c r="D802" s="70">
        <v>19200</v>
      </c>
      <c r="E802" s="79"/>
      <c r="F802" s="73">
        <v>16</v>
      </c>
      <c r="G802" s="73">
        <v>5</v>
      </c>
      <c r="H802" s="73">
        <v>0</v>
      </c>
      <c r="I802" s="68">
        <v>0</v>
      </c>
      <c r="J802" s="71">
        <v>42797</v>
      </c>
      <c r="K802" s="71">
        <v>42708</v>
      </c>
      <c r="L802" s="69" t="s">
        <v>119</v>
      </c>
      <c r="M802" s="69" t="s">
        <v>109</v>
      </c>
      <c r="N802" s="72">
        <v>42906</v>
      </c>
      <c r="O802" s="67"/>
      <c r="P802" s="67" t="s">
        <v>95</v>
      </c>
      <c r="Q802" s="67" t="s">
        <v>120</v>
      </c>
      <c r="R802" s="69" t="s">
        <v>69</v>
      </c>
      <c r="S802" s="69" t="s">
        <v>123</v>
      </c>
      <c r="T802" s="76"/>
      <c r="U802" s="67"/>
      <c r="V802" s="72">
        <v>42825</v>
      </c>
      <c r="W802" s="69">
        <v>2025763</v>
      </c>
      <c r="X802" s="69"/>
      <c r="Y802" s="123"/>
      <c r="Z802" s="30">
        <f t="shared" si="24"/>
        <v>6772.6006943194379</v>
      </c>
      <c r="AA802" s="30">
        <f t="shared" si="25"/>
        <v>2116.4377169748245</v>
      </c>
      <c r="AB802" t="s">
        <v>456</v>
      </c>
    </row>
    <row r="803" spans="1:28">
      <c r="A803" s="67" t="s">
        <v>122</v>
      </c>
      <c r="B803" s="68">
        <v>1213513</v>
      </c>
      <c r="C803" s="69">
        <v>4615408446</v>
      </c>
      <c r="D803" s="70">
        <v>19175</v>
      </c>
      <c r="E803" s="79"/>
      <c r="F803" s="68">
        <v>16</v>
      </c>
      <c r="G803" s="68">
        <v>5</v>
      </c>
      <c r="H803" s="73">
        <v>0</v>
      </c>
      <c r="I803" s="68">
        <v>0</v>
      </c>
      <c r="J803" s="71">
        <v>42754</v>
      </c>
      <c r="K803" s="71">
        <v>42708</v>
      </c>
      <c r="L803" s="69" t="s">
        <v>119</v>
      </c>
      <c r="M803" s="69" t="s">
        <v>109</v>
      </c>
      <c r="N803" s="72">
        <v>42906</v>
      </c>
      <c r="O803" s="67"/>
      <c r="P803" s="67" t="s">
        <v>95</v>
      </c>
      <c r="Q803" s="67" t="s">
        <v>120</v>
      </c>
      <c r="R803" s="69" t="s">
        <v>69</v>
      </c>
      <c r="S803" s="69" t="s">
        <v>123</v>
      </c>
      <c r="T803" s="76"/>
      <c r="U803" s="67"/>
      <c r="V803" s="72">
        <v>42794</v>
      </c>
      <c r="W803" s="69">
        <v>2025758</v>
      </c>
      <c r="X803" s="69"/>
      <c r="Y803" s="123"/>
      <c r="Z803" s="30">
        <f t="shared" si="24"/>
        <v>6763.7822038320437</v>
      </c>
      <c r="AA803" s="30">
        <f t="shared" si="25"/>
        <v>2113.6819386975139</v>
      </c>
      <c r="AB803" t="s">
        <v>456</v>
      </c>
    </row>
    <row r="804" spans="1:28">
      <c r="A804" s="67" t="s">
        <v>113</v>
      </c>
      <c r="B804" s="68">
        <v>1237872</v>
      </c>
      <c r="C804" s="69">
        <v>4615400781</v>
      </c>
      <c r="D804" s="70">
        <v>20700</v>
      </c>
      <c r="E804" s="79"/>
      <c r="F804" s="68">
        <v>16</v>
      </c>
      <c r="G804" s="68" t="s">
        <v>114</v>
      </c>
      <c r="H804" s="68">
        <v>0</v>
      </c>
      <c r="I804" s="68">
        <v>0</v>
      </c>
      <c r="J804" s="71">
        <v>42848</v>
      </c>
      <c r="K804" s="71">
        <v>42631</v>
      </c>
      <c r="L804" s="69" t="s">
        <v>108</v>
      </c>
      <c r="M804" s="69" t="s">
        <v>109</v>
      </c>
      <c r="N804" s="72">
        <v>42906</v>
      </c>
      <c r="O804" s="67"/>
      <c r="P804" s="67" t="s">
        <v>95</v>
      </c>
      <c r="Q804" s="67" t="s">
        <v>110</v>
      </c>
      <c r="R804" s="69" t="s">
        <v>69</v>
      </c>
      <c r="S804" s="69" t="s">
        <v>115</v>
      </c>
      <c r="T804" s="76"/>
      <c r="U804" s="67"/>
      <c r="V804" s="72">
        <v>42855</v>
      </c>
      <c r="W804" s="69" t="s">
        <v>201</v>
      </c>
      <c r="X804" s="69" t="s">
        <v>117</v>
      </c>
      <c r="Y804" s="123"/>
      <c r="Z804" s="30">
        <f t="shared" si="24"/>
        <v>7301.7101235631453</v>
      </c>
      <c r="AA804" s="30">
        <f t="shared" si="25"/>
        <v>0</v>
      </c>
      <c r="AB804" t="s">
        <v>456</v>
      </c>
    </row>
    <row r="805" spans="1:28">
      <c r="A805" s="67" t="s">
        <v>131</v>
      </c>
      <c r="B805" s="68">
        <v>1238738</v>
      </c>
      <c r="C805" s="69">
        <v>4615420837</v>
      </c>
      <c r="D805" s="70">
        <v>19200</v>
      </c>
      <c r="E805" s="79"/>
      <c r="F805" s="75">
        <v>154.4</v>
      </c>
      <c r="G805" s="75" t="s">
        <v>114</v>
      </c>
      <c r="H805" s="68">
        <v>0</v>
      </c>
      <c r="I805" s="68">
        <v>0</v>
      </c>
      <c r="J805" s="71">
        <v>42835</v>
      </c>
      <c r="K805" s="71">
        <v>42730</v>
      </c>
      <c r="L805" s="69" t="s">
        <v>108</v>
      </c>
      <c r="M805" s="69" t="s">
        <v>109</v>
      </c>
      <c r="N805" s="72">
        <v>42905</v>
      </c>
      <c r="O805" s="67"/>
      <c r="P805" s="67" t="s">
        <v>95</v>
      </c>
      <c r="Q805" s="67" t="s">
        <v>125</v>
      </c>
      <c r="R805" s="69" t="s">
        <v>69</v>
      </c>
      <c r="S805" s="69" t="s">
        <v>134</v>
      </c>
      <c r="T805" s="76"/>
      <c r="U805" s="67"/>
      <c r="V805" s="72">
        <v>42886</v>
      </c>
      <c r="W805" s="69" t="s">
        <v>204</v>
      </c>
      <c r="X805" s="69"/>
      <c r="Y805" s="123"/>
      <c r="Z805" s="30">
        <f t="shared" si="24"/>
        <v>65355.596700182585</v>
      </c>
      <c r="AA805" s="30">
        <f t="shared" si="25"/>
        <v>0</v>
      </c>
      <c r="AB805" t="s">
        <v>456</v>
      </c>
    </row>
    <row r="806" spans="1:28">
      <c r="A806" s="67" t="s">
        <v>122</v>
      </c>
      <c r="B806" s="68">
        <v>1229041</v>
      </c>
      <c r="C806" s="69">
        <v>4615393673</v>
      </c>
      <c r="D806" s="70">
        <v>19200</v>
      </c>
      <c r="E806" s="79"/>
      <c r="F806" s="68">
        <v>16</v>
      </c>
      <c r="G806" s="68">
        <v>5</v>
      </c>
      <c r="H806" s="73">
        <v>0</v>
      </c>
      <c r="I806" s="68">
        <v>0</v>
      </c>
      <c r="J806" s="71">
        <v>42800</v>
      </c>
      <c r="K806" s="71">
        <v>42711</v>
      </c>
      <c r="L806" s="69" t="s">
        <v>119</v>
      </c>
      <c r="M806" s="69" t="s">
        <v>109</v>
      </c>
      <c r="N806" s="72">
        <v>42905</v>
      </c>
      <c r="O806" s="67"/>
      <c r="P806" s="67" t="s">
        <v>95</v>
      </c>
      <c r="Q806" s="67" t="s">
        <v>120</v>
      </c>
      <c r="R806" s="69" t="s">
        <v>69</v>
      </c>
      <c r="S806" s="69" t="s">
        <v>123</v>
      </c>
      <c r="T806" s="76"/>
      <c r="U806" s="67"/>
      <c r="V806" s="72">
        <v>42794</v>
      </c>
      <c r="W806" s="69">
        <v>2023107</v>
      </c>
      <c r="X806" s="69"/>
      <c r="Y806" s="123"/>
      <c r="Z806" s="30">
        <f t="shared" si="24"/>
        <v>6772.6006943194379</v>
      </c>
      <c r="AA806" s="30">
        <f t="shared" si="25"/>
        <v>2116.4377169748245</v>
      </c>
      <c r="AB806" t="s">
        <v>456</v>
      </c>
    </row>
    <row r="807" spans="1:28">
      <c r="A807" s="67" t="s">
        <v>68</v>
      </c>
      <c r="B807" s="68">
        <v>1233262</v>
      </c>
      <c r="C807" s="69">
        <v>4615417014</v>
      </c>
      <c r="D807" s="70">
        <v>19175</v>
      </c>
      <c r="E807" s="79"/>
      <c r="F807" s="73">
        <v>16</v>
      </c>
      <c r="G807" s="73">
        <v>5</v>
      </c>
      <c r="H807" s="68">
        <v>0</v>
      </c>
      <c r="I807" s="68">
        <v>0</v>
      </c>
      <c r="J807" s="71">
        <v>42812</v>
      </c>
      <c r="K807" s="71">
        <v>42905</v>
      </c>
      <c r="L807" s="69" t="s">
        <v>119</v>
      </c>
      <c r="M807" s="69" t="s">
        <v>109</v>
      </c>
      <c r="N807" s="72">
        <v>42905</v>
      </c>
      <c r="O807" s="67"/>
      <c r="P807" s="67" t="s">
        <v>95</v>
      </c>
      <c r="Q807" s="67" t="s">
        <v>125</v>
      </c>
      <c r="R807" s="69" t="s">
        <v>69</v>
      </c>
      <c r="S807" s="69" t="s">
        <v>68</v>
      </c>
      <c r="T807" s="76"/>
      <c r="U807" s="67"/>
      <c r="V807" s="72">
        <v>42825</v>
      </c>
      <c r="W807" s="69">
        <v>5114732</v>
      </c>
      <c r="X807" s="69"/>
      <c r="Y807" s="123"/>
      <c r="Z807" s="30">
        <f t="shared" si="24"/>
        <v>6763.7822038320437</v>
      </c>
      <c r="AA807" s="30">
        <f t="shared" si="25"/>
        <v>2113.6819386975139</v>
      </c>
      <c r="AB807" t="s">
        <v>456</v>
      </c>
    </row>
    <row r="808" spans="1:28">
      <c r="A808" s="67" t="s">
        <v>113</v>
      </c>
      <c r="B808" s="68">
        <v>1234087</v>
      </c>
      <c r="C808" s="69">
        <v>4615407710</v>
      </c>
      <c r="D808" s="70">
        <v>20700</v>
      </c>
      <c r="E808" s="79"/>
      <c r="F808" s="68">
        <v>16</v>
      </c>
      <c r="G808" s="68" t="s">
        <v>114</v>
      </c>
      <c r="H808" s="73">
        <v>0</v>
      </c>
      <c r="I808" s="68">
        <v>0</v>
      </c>
      <c r="J808" s="71">
        <v>42834</v>
      </c>
      <c r="K808" s="71">
        <v>42685</v>
      </c>
      <c r="L808" s="69" t="s">
        <v>108</v>
      </c>
      <c r="M808" s="69" t="s">
        <v>109</v>
      </c>
      <c r="N808" s="72">
        <v>42905</v>
      </c>
      <c r="O808" s="67"/>
      <c r="P808" s="67" t="s">
        <v>95</v>
      </c>
      <c r="Q808" s="67" t="s">
        <v>110</v>
      </c>
      <c r="R808" s="69" t="s">
        <v>69</v>
      </c>
      <c r="S808" s="69" t="s">
        <v>115</v>
      </c>
      <c r="T808" s="76"/>
      <c r="U808" s="67"/>
      <c r="V808" s="72">
        <v>42886</v>
      </c>
      <c r="W808" s="69" t="s">
        <v>205</v>
      </c>
      <c r="X808" s="69" t="s">
        <v>206</v>
      </c>
      <c r="Y808" s="123"/>
      <c r="Z808" s="30">
        <f t="shared" si="24"/>
        <v>7301.7101235631453</v>
      </c>
      <c r="AA808" s="30">
        <f t="shared" si="25"/>
        <v>0</v>
      </c>
      <c r="AB808" t="s">
        <v>456</v>
      </c>
    </row>
    <row r="809" spans="1:28">
      <c r="A809" s="67" t="s">
        <v>113</v>
      </c>
      <c r="B809" s="68">
        <v>1234080</v>
      </c>
      <c r="C809" s="69">
        <v>4615407710</v>
      </c>
      <c r="D809" s="70">
        <v>20700</v>
      </c>
      <c r="E809" s="80"/>
      <c r="F809" s="68">
        <v>16</v>
      </c>
      <c r="G809" s="68" t="s">
        <v>114</v>
      </c>
      <c r="H809" s="73">
        <v>0</v>
      </c>
      <c r="I809" s="68">
        <v>0</v>
      </c>
      <c r="J809" s="71">
        <v>42834</v>
      </c>
      <c r="K809" s="71">
        <v>42706</v>
      </c>
      <c r="L809" s="69" t="s">
        <v>108</v>
      </c>
      <c r="M809" s="69" t="s">
        <v>109</v>
      </c>
      <c r="N809" s="72">
        <v>42905</v>
      </c>
      <c r="O809" s="67"/>
      <c r="P809" s="67" t="s">
        <v>95</v>
      </c>
      <c r="Q809" s="67" t="s">
        <v>110</v>
      </c>
      <c r="R809" s="69" t="s">
        <v>69</v>
      </c>
      <c r="S809" s="69" t="s">
        <v>115</v>
      </c>
      <c r="T809" s="67"/>
      <c r="U809" s="67"/>
      <c r="V809" s="72">
        <v>42886</v>
      </c>
      <c r="W809" s="69" t="s">
        <v>205</v>
      </c>
      <c r="X809" s="69" t="s">
        <v>206</v>
      </c>
      <c r="Y809" s="123"/>
      <c r="Z809" s="30">
        <f t="shared" si="24"/>
        <v>7301.7101235631453</v>
      </c>
      <c r="AA809" s="30">
        <f t="shared" si="25"/>
        <v>0</v>
      </c>
      <c r="AB809" t="s">
        <v>456</v>
      </c>
    </row>
    <row r="810" spans="1:28">
      <c r="A810" s="67" t="s">
        <v>107</v>
      </c>
      <c r="B810" s="68">
        <v>1242704</v>
      </c>
      <c r="C810" s="69">
        <v>4615420532</v>
      </c>
      <c r="D810" s="70">
        <v>19200</v>
      </c>
      <c r="E810" s="80"/>
      <c r="F810" s="68">
        <v>154.4</v>
      </c>
      <c r="G810" s="68" t="s">
        <v>114</v>
      </c>
      <c r="H810" s="68">
        <v>0</v>
      </c>
      <c r="I810" s="68">
        <v>0</v>
      </c>
      <c r="J810" s="71">
        <v>42848</v>
      </c>
      <c r="K810" s="71">
        <v>42699</v>
      </c>
      <c r="L810" s="69" t="s">
        <v>132</v>
      </c>
      <c r="M810" s="69" t="s">
        <v>109</v>
      </c>
      <c r="N810" s="72">
        <v>42904</v>
      </c>
      <c r="O810" s="67"/>
      <c r="P810" s="67" t="s">
        <v>95</v>
      </c>
      <c r="Q810" s="67" t="s">
        <v>110</v>
      </c>
      <c r="R810" s="69" t="s">
        <v>69</v>
      </c>
      <c r="S810" s="69" t="s">
        <v>111</v>
      </c>
      <c r="T810" s="67"/>
      <c r="U810" s="67"/>
      <c r="V810" s="72">
        <v>42886</v>
      </c>
      <c r="W810" s="69" t="s">
        <v>207</v>
      </c>
      <c r="X810" s="69"/>
      <c r="Y810" s="123"/>
      <c r="Z810" s="30">
        <f t="shared" si="24"/>
        <v>65355.596700182585</v>
      </c>
      <c r="AA810" s="30">
        <f t="shared" si="25"/>
        <v>0</v>
      </c>
      <c r="AB810" t="s">
        <v>456</v>
      </c>
    </row>
    <row r="811" spans="1:28">
      <c r="A811" s="67" t="s">
        <v>136</v>
      </c>
      <c r="B811" s="68">
        <v>1227981</v>
      </c>
      <c r="C811" s="69">
        <v>4615385238</v>
      </c>
      <c r="D811" s="70">
        <v>19175</v>
      </c>
      <c r="E811" s="80"/>
      <c r="F811" s="73">
        <v>10</v>
      </c>
      <c r="G811" s="73" t="s">
        <v>114</v>
      </c>
      <c r="H811" s="68">
        <v>0</v>
      </c>
      <c r="I811" s="68">
        <v>0</v>
      </c>
      <c r="J811" s="71">
        <v>42793</v>
      </c>
      <c r="K811" s="71">
        <v>42696</v>
      </c>
      <c r="L811" s="69" t="s">
        <v>137</v>
      </c>
      <c r="M811" s="69" t="s">
        <v>109</v>
      </c>
      <c r="N811" s="72">
        <v>42904</v>
      </c>
      <c r="O811" s="67"/>
      <c r="P811" s="67" t="s">
        <v>95</v>
      </c>
      <c r="Q811" s="67" t="s">
        <v>129</v>
      </c>
      <c r="R811" s="69" t="s">
        <v>69</v>
      </c>
      <c r="S811" s="69" t="s">
        <v>138</v>
      </c>
      <c r="T811" s="67"/>
      <c r="U811" s="67"/>
      <c r="V811" s="72">
        <v>42855</v>
      </c>
      <c r="W811" s="69">
        <v>415570029</v>
      </c>
      <c r="X811" s="69"/>
      <c r="Y811" s="123"/>
      <c r="Z811" s="30">
        <f t="shared" si="24"/>
        <v>4227.3638773950279</v>
      </c>
      <c r="AA811" s="30">
        <f t="shared" si="25"/>
        <v>0</v>
      </c>
      <c r="AB811" t="s">
        <v>456</v>
      </c>
    </row>
    <row r="812" spans="1:28">
      <c r="A812" s="67" t="s">
        <v>136</v>
      </c>
      <c r="B812" s="68">
        <v>1227980</v>
      </c>
      <c r="C812" s="69">
        <v>4615385238</v>
      </c>
      <c r="D812" s="70">
        <v>19175</v>
      </c>
      <c r="E812" s="80"/>
      <c r="F812" s="73">
        <v>10</v>
      </c>
      <c r="G812" s="73" t="s">
        <v>114</v>
      </c>
      <c r="H812" s="68">
        <v>0</v>
      </c>
      <c r="I812" s="68">
        <v>0</v>
      </c>
      <c r="J812" s="71">
        <v>42793</v>
      </c>
      <c r="K812" s="71">
        <v>42702</v>
      </c>
      <c r="L812" s="69" t="s">
        <v>137</v>
      </c>
      <c r="M812" s="69" t="s">
        <v>109</v>
      </c>
      <c r="N812" s="72">
        <v>42904</v>
      </c>
      <c r="O812" s="67"/>
      <c r="P812" s="67" t="s">
        <v>95</v>
      </c>
      <c r="Q812" s="67" t="s">
        <v>129</v>
      </c>
      <c r="R812" s="69" t="s">
        <v>69</v>
      </c>
      <c r="S812" s="69" t="s">
        <v>138</v>
      </c>
      <c r="T812" s="67"/>
      <c r="U812" s="67"/>
      <c r="V812" s="72">
        <v>42855</v>
      </c>
      <c r="W812" s="69">
        <v>415570029</v>
      </c>
      <c r="X812" s="69"/>
      <c r="Y812" s="123"/>
      <c r="Z812" s="30">
        <f t="shared" si="24"/>
        <v>4227.3638773950279</v>
      </c>
      <c r="AA812" s="30">
        <f t="shared" si="25"/>
        <v>0</v>
      </c>
      <c r="AB812" t="s">
        <v>456</v>
      </c>
    </row>
    <row r="813" spans="1:28">
      <c r="A813" s="67" t="s">
        <v>118</v>
      </c>
      <c r="B813" s="68">
        <v>1227198</v>
      </c>
      <c r="C813" s="69">
        <v>4615401680</v>
      </c>
      <c r="D813" s="70">
        <v>19175</v>
      </c>
      <c r="E813" s="80"/>
      <c r="F813" s="73">
        <v>10</v>
      </c>
      <c r="G813" s="73" t="s">
        <v>114</v>
      </c>
      <c r="H813" s="73">
        <v>0</v>
      </c>
      <c r="I813" s="68">
        <v>0</v>
      </c>
      <c r="J813" s="71">
        <v>42814</v>
      </c>
      <c r="K813" s="71">
        <v>42702</v>
      </c>
      <c r="L813" s="69" t="s">
        <v>137</v>
      </c>
      <c r="M813" s="69" t="s">
        <v>109</v>
      </c>
      <c r="N813" s="72">
        <v>42904</v>
      </c>
      <c r="O813" s="67"/>
      <c r="P813" s="67" t="s">
        <v>95</v>
      </c>
      <c r="Q813" s="67" t="s">
        <v>120</v>
      </c>
      <c r="R813" s="69" t="s">
        <v>69</v>
      </c>
      <c r="S813" s="69" t="s">
        <v>121</v>
      </c>
      <c r="T813" s="67"/>
      <c r="U813" s="67"/>
      <c r="V813" s="72">
        <v>42855</v>
      </c>
      <c r="W813" s="69">
        <v>2026352</v>
      </c>
      <c r="X813" s="69"/>
      <c r="Y813" s="123"/>
      <c r="Z813" s="30">
        <f t="shared" si="24"/>
        <v>4227.3638773950279</v>
      </c>
      <c r="AA813" s="30">
        <f t="shared" si="25"/>
        <v>0</v>
      </c>
      <c r="AB813" t="s">
        <v>456</v>
      </c>
    </row>
    <row r="814" spans="1:28">
      <c r="A814" s="67" t="s">
        <v>122</v>
      </c>
      <c r="B814" s="68">
        <v>1229148</v>
      </c>
      <c r="C814" s="69">
        <v>4615412732</v>
      </c>
      <c r="D814" s="70">
        <v>19200</v>
      </c>
      <c r="E814" s="80"/>
      <c r="F814" s="73">
        <v>16</v>
      </c>
      <c r="G814" s="73">
        <v>5</v>
      </c>
      <c r="H814" s="73">
        <v>0</v>
      </c>
      <c r="I814" s="68">
        <v>0</v>
      </c>
      <c r="J814" s="71">
        <v>42797</v>
      </c>
      <c r="K814" s="71">
        <v>42689</v>
      </c>
      <c r="L814" s="69" t="s">
        <v>119</v>
      </c>
      <c r="M814" s="69" t="s">
        <v>109</v>
      </c>
      <c r="N814" s="72">
        <v>42904</v>
      </c>
      <c r="O814" s="67"/>
      <c r="P814" s="67" t="s">
        <v>95</v>
      </c>
      <c r="Q814" s="67" t="s">
        <v>120</v>
      </c>
      <c r="R814" s="69" t="s">
        <v>69</v>
      </c>
      <c r="S814" s="69" t="s">
        <v>123</v>
      </c>
      <c r="T814" s="67"/>
      <c r="U814" s="67"/>
      <c r="V814" s="72">
        <v>42825</v>
      </c>
      <c r="W814" s="69">
        <v>2025763</v>
      </c>
      <c r="X814" s="69"/>
      <c r="Y814" s="123"/>
      <c r="Z814" s="30">
        <f t="shared" si="24"/>
        <v>6772.6006943194379</v>
      </c>
      <c r="AA814" s="30">
        <f t="shared" si="25"/>
        <v>2116.4377169748245</v>
      </c>
      <c r="AB814" t="s">
        <v>456</v>
      </c>
    </row>
    <row r="815" spans="1:28">
      <c r="A815" s="67" t="s">
        <v>122</v>
      </c>
      <c r="B815" s="68">
        <v>1229046</v>
      </c>
      <c r="C815" s="69">
        <v>4615393673</v>
      </c>
      <c r="D815" s="70">
        <v>19200</v>
      </c>
      <c r="E815" s="80"/>
      <c r="F815" s="68">
        <v>16</v>
      </c>
      <c r="G815" s="68">
        <v>5</v>
      </c>
      <c r="H815" s="73">
        <v>0</v>
      </c>
      <c r="I815" s="68">
        <v>0</v>
      </c>
      <c r="J815" s="71">
        <v>42800</v>
      </c>
      <c r="K815" s="71">
        <v>42746</v>
      </c>
      <c r="L815" s="69" t="s">
        <v>119</v>
      </c>
      <c r="M815" s="69" t="s">
        <v>109</v>
      </c>
      <c r="N815" s="72">
        <v>42904</v>
      </c>
      <c r="O815" s="67"/>
      <c r="P815" s="67" t="s">
        <v>95</v>
      </c>
      <c r="Q815" s="67" t="s">
        <v>120</v>
      </c>
      <c r="R815" s="69" t="s">
        <v>69</v>
      </c>
      <c r="S815" s="69" t="s">
        <v>123</v>
      </c>
      <c r="T815" s="67"/>
      <c r="U815" s="67"/>
      <c r="V815" s="72">
        <v>42794</v>
      </c>
      <c r="W815" s="69">
        <v>2023107</v>
      </c>
      <c r="X815" s="69"/>
      <c r="Y815" s="123"/>
      <c r="Z815" s="30">
        <f t="shared" si="24"/>
        <v>6772.6006943194379</v>
      </c>
      <c r="AA815" s="30">
        <f t="shared" si="25"/>
        <v>2116.4377169748245</v>
      </c>
      <c r="AB815" t="s">
        <v>456</v>
      </c>
    </row>
    <row r="816" spans="1:28">
      <c r="A816" s="67" t="s">
        <v>122</v>
      </c>
      <c r="B816" s="68">
        <v>1229043</v>
      </c>
      <c r="C816" s="69">
        <v>4615393673</v>
      </c>
      <c r="D816" s="70">
        <v>19200</v>
      </c>
      <c r="E816" s="80"/>
      <c r="F816" s="68">
        <v>16</v>
      </c>
      <c r="G816" s="68">
        <v>5</v>
      </c>
      <c r="H816" s="73">
        <v>0</v>
      </c>
      <c r="I816" s="68">
        <v>0</v>
      </c>
      <c r="J816" s="71">
        <v>42800</v>
      </c>
      <c r="K816" s="71">
        <v>42694</v>
      </c>
      <c r="L816" s="69" t="s">
        <v>119</v>
      </c>
      <c r="M816" s="69" t="s">
        <v>109</v>
      </c>
      <c r="N816" s="72">
        <v>42904</v>
      </c>
      <c r="O816" s="67"/>
      <c r="P816" s="67" t="s">
        <v>95</v>
      </c>
      <c r="Q816" s="67" t="s">
        <v>120</v>
      </c>
      <c r="R816" s="69" t="s">
        <v>69</v>
      </c>
      <c r="S816" s="69" t="s">
        <v>123</v>
      </c>
      <c r="T816" s="67"/>
      <c r="U816" s="67"/>
      <c r="V816" s="72">
        <v>42794</v>
      </c>
      <c r="W816" s="69">
        <v>2023107</v>
      </c>
      <c r="X816" s="69"/>
      <c r="Y816" s="123"/>
      <c r="Z816" s="30">
        <f t="shared" si="24"/>
        <v>6772.6006943194379</v>
      </c>
      <c r="AA816" s="30">
        <f t="shared" si="25"/>
        <v>2116.4377169748245</v>
      </c>
      <c r="AB816" t="s">
        <v>456</v>
      </c>
    </row>
    <row r="817" spans="1:28">
      <c r="A817" s="67" t="s">
        <v>122</v>
      </c>
      <c r="B817" s="68">
        <v>1221609</v>
      </c>
      <c r="C817" s="69">
        <v>4615428076</v>
      </c>
      <c r="D817" s="70">
        <v>19200</v>
      </c>
      <c r="E817" s="80"/>
      <c r="F817" s="68">
        <v>16</v>
      </c>
      <c r="G817" s="68">
        <v>5</v>
      </c>
      <c r="H817" s="73">
        <v>0</v>
      </c>
      <c r="I817" s="68">
        <v>0</v>
      </c>
      <c r="J817" s="71">
        <v>42779</v>
      </c>
      <c r="K817" s="71">
        <v>42702</v>
      </c>
      <c r="L817" s="69" t="s">
        <v>119</v>
      </c>
      <c r="M817" s="69" t="s">
        <v>109</v>
      </c>
      <c r="N817" s="72">
        <v>42904</v>
      </c>
      <c r="O817" s="67"/>
      <c r="P817" s="67" t="s">
        <v>95</v>
      </c>
      <c r="Q817" s="67" t="s">
        <v>120</v>
      </c>
      <c r="R817" s="69" t="s">
        <v>69</v>
      </c>
      <c r="S817" s="69" t="s">
        <v>123</v>
      </c>
      <c r="T817" s="67"/>
      <c r="U817" s="67"/>
      <c r="V817" s="72">
        <v>42794</v>
      </c>
      <c r="W817" s="69">
        <v>2027385</v>
      </c>
      <c r="X817" s="69"/>
      <c r="Y817" s="123"/>
      <c r="Z817" s="30">
        <f t="shared" si="24"/>
        <v>6772.6006943194379</v>
      </c>
      <c r="AA817" s="30">
        <f t="shared" si="25"/>
        <v>2116.4377169748245</v>
      </c>
      <c r="AB817" t="s">
        <v>456</v>
      </c>
    </row>
    <row r="818" spans="1:28">
      <c r="A818" s="67" t="s">
        <v>113</v>
      </c>
      <c r="B818" s="68">
        <v>1237877</v>
      </c>
      <c r="C818" s="69">
        <v>4615400781</v>
      </c>
      <c r="D818" s="70">
        <v>20700</v>
      </c>
      <c r="E818" s="80"/>
      <c r="F818" s="68">
        <v>16</v>
      </c>
      <c r="G818" s="68" t="s">
        <v>114</v>
      </c>
      <c r="H818" s="68">
        <v>0</v>
      </c>
      <c r="I818" s="68">
        <v>0</v>
      </c>
      <c r="J818" s="71">
        <v>42848</v>
      </c>
      <c r="K818" s="71">
        <v>42685</v>
      </c>
      <c r="L818" s="69" t="s">
        <v>108</v>
      </c>
      <c r="M818" s="69" t="s">
        <v>109</v>
      </c>
      <c r="N818" s="72">
        <v>42904</v>
      </c>
      <c r="O818" s="67"/>
      <c r="P818" s="67" t="s">
        <v>95</v>
      </c>
      <c r="Q818" s="67" t="s">
        <v>110</v>
      </c>
      <c r="R818" s="69" t="s">
        <v>69</v>
      </c>
      <c r="S818" s="69" t="s">
        <v>115</v>
      </c>
      <c r="T818" s="67"/>
      <c r="U818" s="67"/>
      <c r="V818" s="72">
        <v>42855</v>
      </c>
      <c r="W818" s="69" t="s">
        <v>201</v>
      </c>
      <c r="X818" s="69" t="s">
        <v>117</v>
      </c>
      <c r="Y818" s="123"/>
      <c r="Z818" s="30">
        <f t="shared" si="24"/>
        <v>7301.7101235631453</v>
      </c>
      <c r="AA818" s="30">
        <f t="shared" si="25"/>
        <v>0</v>
      </c>
      <c r="AB818" t="s">
        <v>456</v>
      </c>
    </row>
    <row r="819" spans="1:28">
      <c r="A819" s="67" t="s">
        <v>113</v>
      </c>
      <c r="B819" s="68">
        <v>1234078</v>
      </c>
      <c r="C819" s="69">
        <v>4615407710</v>
      </c>
      <c r="D819" s="70">
        <v>20700</v>
      </c>
      <c r="E819" s="79"/>
      <c r="F819" s="68">
        <v>16</v>
      </c>
      <c r="G819" s="68" t="s">
        <v>114</v>
      </c>
      <c r="H819" s="73">
        <v>0</v>
      </c>
      <c r="I819" s="68">
        <v>0</v>
      </c>
      <c r="J819" s="71">
        <v>42834</v>
      </c>
      <c r="K819" s="71">
        <v>42706</v>
      </c>
      <c r="L819" s="69" t="s">
        <v>108</v>
      </c>
      <c r="M819" s="69" t="s">
        <v>109</v>
      </c>
      <c r="N819" s="72">
        <v>42904</v>
      </c>
      <c r="O819" s="67"/>
      <c r="P819" s="67" t="s">
        <v>95</v>
      </c>
      <c r="Q819" s="67" t="s">
        <v>110</v>
      </c>
      <c r="R819" s="69" t="s">
        <v>69</v>
      </c>
      <c r="S819" s="69" t="s">
        <v>115</v>
      </c>
      <c r="T819" s="67"/>
      <c r="U819" s="67"/>
      <c r="V819" s="72">
        <v>42886</v>
      </c>
      <c r="W819" s="69" t="s">
        <v>205</v>
      </c>
      <c r="X819" s="69" t="s">
        <v>206</v>
      </c>
      <c r="Y819" s="123"/>
      <c r="Z819" s="30">
        <f t="shared" si="24"/>
        <v>7301.7101235631453</v>
      </c>
      <c r="AA819" s="30">
        <f t="shared" si="25"/>
        <v>0</v>
      </c>
      <c r="AB819" t="s">
        <v>456</v>
      </c>
    </row>
    <row r="820" spans="1:28">
      <c r="A820" s="67" t="s">
        <v>113</v>
      </c>
      <c r="B820" s="68">
        <v>1234079</v>
      </c>
      <c r="C820" s="69">
        <v>4615407710</v>
      </c>
      <c r="D820" s="70">
        <v>20700</v>
      </c>
      <c r="E820" s="79"/>
      <c r="F820" s="68">
        <v>16</v>
      </c>
      <c r="G820" s="68" t="s">
        <v>114</v>
      </c>
      <c r="H820" s="73">
        <v>0</v>
      </c>
      <c r="I820" s="68">
        <v>0</v>
      </c>
      <c r="J820" s="71">
        <v>42834</v>
      </c>
      <c r="K820" s="71">
        <v>42701</v>
      </c>
      <c r="L820" s="69" t="s">
        <v>108</v>
      </c>
      <c r="M820" s="69" t="s">
        <v>109</v>
      </c>
      <c r="N820" s="72">
        <v>42903</v>
      </c>
      <c r="O820" s="67"/>
      <c r="P820" s="67" t="s">
        <v>95</v>
      </c>
      <c r="Q820" s="67" t="s">
        <v>110</v>
      </c>
      <c r="R820" s="69" t="s">
        <v>69</v>
      </c>
      <c r="S820" s="69" t="s">
        <v>115</v>
      </c>
      <c r="T820" s="67"/>
      <c r="U820" s="67"/>
      <c r="V820" s="72">
        <v>42886</v>
      </c>
      <c r="W820" s="69" t="s">
        <v>205</v>
      </c>
      <c r="X820" s="69" t="s">
        <v>206</v>
      </c>
      <c r="Y820" s="123"/>
      <c r="Z820" s="30">
        <f t="shared" si="24"/>
        <v>7301.7101235631453</v>
      </c>
      <c r="AA820" s="30">
        <f t="shared" si="25"/>
        <v>0</v>
      </c>
      <c r="AB820" t="s">
        <v>456</v>
      </c>
    </row>
    <row r="821" spans="1:28">
      <c r="A821" s="67" t="s">
        <v>113</v>
      </c>
      <c r="B821" s="68">
        <v>1234082</v>
      </c>
      <c r="C821" s="69">
        <v>4615407710</v>
      </c>
      <c r="D821" s="70">
        <v>20700</v>
      </c>
      <c r="E821" s="79"/>
      <c r="F821" s="68">
        <v>16</v>
      </c>
      <c r="G821" s="68" t="s">
        <v>114</v>
      </c>
      <c r="H821" s="73">
        <v>0</v>
      </c>
      <c r="I821" s="68">
        <v>0</v>
      </c>
      <c r="J821" s="71">
        <v>42834</v>
      </c>
      <c r="K821" s="71">
        <v>42631</v>
      </c>
      <c r="L821" s="69" t="s">
        <v>108</v>
      </c>
      <c r="M821" s="69" t="s">
        <v>109</v>
      </c>
      <c r="N821" s="72">
        <v>42903</v>
      </c>
      <c r="O821" s="67"/>
      <c r="P821" s="67" t="s">
        <v>95</v>
      </c>
      <c r="Q821" s="67" t="s">
        <v>110</v>
      </c>
      <c r="R821" s="69" t="s">
        <v>69</v>
      </c>
      <c r="S821" s="69" t="s">
        <v>115</v>
      </c>
      <c r="T821" s="67"/>
      <c r="U821" s="67"/>
      <c r="V821" s="72">
        <v>42886</v>
      </c>
      <c r="W821" s="69" t="s">
        <v>205</v>
      </c>
      <c r="X821" s="69" t="s">
        <v>206</v>
      </c>
      <c r="Y821" s="123"/>
      <c r="Z821" s="30">
        <f t="shared" si="24"/>
        <v>7301.7101235631453</v>
      </c>
      <c r="AA821" s="30">
        <f t="shared" si="25"/>
        <v>0</v>
      </c>
      <c r="AB821" t="s">
        <v>456</v>
      </c>
    </row>
    <row r="822" spans="1:28">
      <c r="A822" s="67" t="s">
        <v>113</v>
      </c>
      <c r="B822" s="68">
        <v>1234083</v>
      </c>
      <c r="C822" s="69">
        <v>4615407710</v>
      </c>
      <c r="D822" s="70">
        <v>20700</v>
      </c>
      <c r="E822" s="79"/>
      <c r="F822" s="68">
        <v>16</v>
      </c>
      <c r="G822" s="68" t="s">
        <v>114</v>
      </c>
      <c r="H822" s="73">
        <v>0</v>
      </c>
      <c r="I822" s="68">
        <v>0</v>
      </c>
      <c r="J822" s="71">
        <v>42834</v>
      </c>
      <c r="K822" s="71">
        <v>42677</v>
      </c>
      <c r="L822" s="69" t="s">
        <v>108</v>
      </c>
      <c r="M822" s="69" t="s">
        <v>109</v>
      </c>
      <c r="N822" s="72">
        <v>42903</v>
      </c>
      <c r="O822" s="67"/>
      <c r="P822" s="67" t="s">
        <v>95</v>
      </c>
      <c r="Q822" s="67" t="s">
        <v>110</v>
      </c>
      <c r="R822" s="69" t="s">
        <v>69</v>
      </c>
      <c r="S822" s="69" t="s">
        <v>115</v>
      </c>
      <c r="T822" s="67"/>
      <c r="U822" s="67"/>
      <c r="V822" s="72">
        <v>42886</v>
      </c>
      <c r="W822" s="69" t="s">
        <v>205</v>
      </c>
      <c r="X822" s="69" t="s">
        <v>206</v>
      </c>
      <c r="Y822" s="123"/>
      <c r="Z822" s="30">
        <f t="shared" si="24"/>
        <v>7301.7101235631453</v>
      </c>
      <c r="AA822" s="30">
        <f t="shared" si="25"/>
        <v>0</v>
      </c>
      <c r="AB822" t="s">
        <v>456</v>
      </c>
    </row>
    <row r="823" spans="1:28">
      <c r="A823" s="67" t="s">
        <v>113</v>
      </c>
      <c r="B823" s="68">
        <v>1234086</v>
      </c>
      <c r="C823" s="69">
        <v>4615407710</v>
      </c>
      <c r="D823" s="70">
        <v>20700</v>
      </c>
      <c r="E823" s="79"/>
      <c r="F823" s="68">
        <v>16</v>
      </c>
      <c r="G823" s="68" t="s">
        <v>114</v>
      </c>
      <c r="H823" s="73">
        <v>0</v>
      </c>
      <c r="I823" s="68">
        <v>0</v>
      </c>
      <c r="J823" s="71">
        <v>42834</v>
      </c>
      <c r="K823" s="71">
        <v>42683</v>
      </c>
      <c r="L823" s="69" t="s">
        <v>108</v>
      </c>
      <c r="M823" s="69" t="s">
        <v>109</v>
      </c>
      <c r="N823" s="72">
        <v>42903</v>
      </c>
      <c r="O823" s="67"/>
      <c r="P823" s="67" t="s">
        <v>95</v>
      </c>
      <c r="Q823" s="67" t="s">
        <v>110</v>
      </c>
      <c r="R823" s="69" t="s">
        <v>69</v>
      </c>
      <c r="S823" s="69" t="s">
        <v>115</v>
      </c>
      <c r="T823" s="67"/>
      <c r="U823" s="67"/>
      <c r="V823" s="72">
        <v>42886</v>
      </c>
      <c r="W823" s="69" t="s">
        <v>205</v>
      </c>
      <c r="X823" s="69" t="s">
        <v>206</v>
      </c>
      <c r="Y823" s="123"/>
      <c r="Z823" s="30">
        <f t="shared" si="24"/>
        <v>7301.7101235631453</v>
      </c>
      <c r="AA823" s="30">
        <f t="shared" si="25"/>
        <v>0</v>
      </c>
      <c r="AB823" t="s">
        <v>456</v>
      </c>
    </row>
    <row r="824" spans="1:28">
      <c r="A824" s="67" t="s">
        <v>122</v>
      </c>
      <c r="B824" s="68">
        <v>1229146</v>
      </c>
      <c r="C824" s="69">
        <v>4615412732</v>
      </c>
      <c r="D824" s="70">
        <v>19200</v>
      </c>
      <c r="E824" s="79"/>
      <c r="F824" s="73">
        <v>16</v>
      </c>
      <c r="G824" s="73">
        <v>5</v>
      </c>
      <c r="H824" s="73">
        <v>0</v>
      </c>
      <c r="I824" s="68">
        <v>0</v>
      </c>
      <c r="J824" s="71">
        <v>42797</v>
      </c>
      <c r="K824" s="71">
        <v>42723</v>
      </c>
      <c r="L824" s="69" t="s">
        <v>119</v>
      </c>
      <c r="M824" s="69" t="s">
        <v>109</v>
      </c>
      <c r="N824" s="72">
        <v>42901</v>
      </c>
      <c r="O824" s="67"/>
      <c r="P824" s="67" t="s">
        <v>95</v>
      </c>
      <c r="Q824" s="67" t="s">
        <v>120</v>
      </c>
      <c r="R824" s="69" t="s">
        <v>69</v>
      </c>
      <c r="S824" s="69" t="s">
        <v>123</v>
      </c>
      <c r="T824" s="67"/>
      <c r="U824" s="67"/>
      <c r="V824" s="72">
        <v>42825</v>
      </c>
      <c r="W824" s="69">
        <v>2025763</v>
      </c>
      <c r="X824" s="69"/>
      <c r="Y824" s="123"/>
      <c r="Z824" s="30">
        <f t="shared" si="24"/>
        <v>6772.6006943194379</v>
      </c>
      <c r="AA824" s="30">
        <f t="shared" si="25"/>
        <v>2116.4377169748245</v>
      </c>
      <c r="AB824" t="s">
        <v>456</v>
      </c>
    </row>
    <row r="825" spans="1:28">
      <c r="A825" s="67" t="s">
        <v>136</v>
      </c>
      <c r="B825" s="68">
        <v>1227983</v>
      </c>
      <c r="C825" s="69">
        <v>4615385238</v>
      </c>
      <c r="D825" s="70">
        <v>19175</v>
      </c>
      <c r="E825" s="79"/>
      <c r="F825" s="73">
        <v>10</v>
      </c>
      <c r="G825" s="73" t="s">
        <v>114</v>
      </c>
      <c r="H825" s="73">
        <v>0</v>
      </c>
      <c r="I825" s="68">
        <v>0</v>
      </c>
      <c r="J825" s="71">
        <v>42793</v>
      </c>
      <c r="K825" s="71">
        <v>42635</v>
      </c>
      <c r="L825" s="69" t="s">
        <v>137</v>
      </c>
      <c r="M825" s="69" t="s">
        <v>109</v>
      </c>
      <c r="N825" s="72">
        <v>42901</v>
      </c>
      <c r="O825" s="67"/>
      <c r="P825" s="67" t="s">
        <v>95</v>
      </c>
      <c r="Q825" s="67" t="s">
        <v>129</v>
      </c>
      <c r="R825" s="69" t="s">
        <v>69</v>
      </c>
      <c r="S825" s="69" t="s">
        <v>138</v>
      </c>
      <c r="T825" s="67"/>
      <c r="U825" s="67"/>
      <c r="V825" s="72">
        <v>42855</v>
      </c>
      <c r="W825" s="69">
        <v>415570029</v>
      </c>
      <c r="X825" s="69"/>
      <c r="Y825" s="123"/>
      <c r="Z825" s="30">
        <f t="shared" si="24"/>
        <v>4227.3638773950279</v>
      </c>
      <c r="AA825" s="30">
        <f t="shared" si="25"/>
        <v>0</v>
      </c>
      <c r="AB825" t="s">
        <v>456</v>
      </c>
    </row>
    <row r="826" spans="1:28">
      <c r="A826" s="67" t="s">
        <v>113</v>
      </c>
      <c r="B826" s="68">
        <v>1234048</v>
      </c>
      <c r="C826" s="69">
        <v>4615417120</v>
      </c>
      <c r="D826" s="70">
        <v>20700</v>
      </c>
      <c r="E826" s="79"/>
      <c r="F826" s="68">
        <v>16</v>
      </c>
      <c r="G826" s="68">
        <v>5</v>
      </c>
      <c r="H826" s="73">
        <v>0</v>
      </c>
      <c r="I826" s="68">
        <v>0</v>
      </c>
      <c r="J826" s="71">
        <v>42828</v>
      </c>
      <c r="K826" s="71">
        <v>42696</v>
      </c>
      <c r="L826" s="69" t="s">
        <v>108</v>
      </c>
      <c r="M826" s="69" t="s">
        <v>109</v>
      </c>
      <c r="N826" s="72">
        <v>42900</v>
      </c>
      <c r="O826" s="67"/>
      <c r="P826" s="67" t="s">
        <v>95</v>
      </c>
      <c r="Q826" s="67" t="s">
        <v>110</v>
      </c>
      <c r="R826" s="69" t="s">
        <v>69</v>
      </c>
      <c r="S826" s="69" t="s">
        <v>115</v>
      </c>
      <c r="T826" s="67"/>
      <c r="U826" s="67"/>
      <c r="V826" s="72">
        <v>42886</v>
      </c>
      <c r="W826" s="69" t="s">
        <v>153</v>
      </c>
      <c r="X826" s="69" t="s">
        <v>117</v>
      </c>
      <c r="Y826" s="123"/>
      <c r="Z826" s="30">
        <f t="shared" si="24"/>
        <v>7301.7101235631453</v>
      </c>
      <c r="AA826" s="30">
        <f t="shared" si="25"/>
        <v>2281.7844136134831</v>
      </c>
      <c r="AB826" t="s">
        <v>456</v>
      </c>
    </row>
    <row r="827" spans="1:28">
      <c r="A827" s="67" t="s">
        <v>113</v>
      </c>
      <c r="B827" s="68">
        <v>1234042</v>
      </c>
      <c r="C827" s="69">
        <v>4615417120</v>
      </c>
      <c r="D827" s="70">
        <v>20700</v>
      </c>
      <c r="E827" s="79"/>
      <c r="F827" s="68">
        <v>16</v>
      </c>
      <c r="G827" s="68">
        <v>5</v>
      </c>
      <c r="H827" s="73">
        <v>0</v>
      </c>
      <c r="I827" s="68">
        <v>0</v>
      </c>
      <c r="J827" s="71">
        <v>42828</v>
      </c>
      <c r="K827" s="71">
        <v>42699</v>
      </c>
      <c r="L827" s="69" t="s">
        <v>108</v>
      </c>
      <c r="M827" s="69" t="s">
        <v>109</v>
      </c>
      <c r="N827" s="72">
        <v>42900</v>
      </c>
      <c r="O827" s="67"/>
      <c r="P827" s="67" t="s">
        <v>95</v>
      </c>
      <c r="Q827" s="67" t="s">
        <v>110</v>
      </c>
      <c r="R827" s="69" t="s">
        <v>69</v>
      </c>
      <c r="S827" s="69" t="s">
        <v>115</v>
      </c>
      <c r="T827" s="67"/>
      <c r="U827" s="67"/>
      <c r="V827" s="72">
        <v>42886</v>
      </c>
      <c r="W827" s="69" t="s">
        <v>153</v>
      </c>
      <c r="X827" s="69" t="s">
        <v>117</v>
      </c>
      <c r="Y827" s="123"/>
      <c r="Z827" s="30">
        <f t="shared" si="24"/>
        <v>7301.7101235631453</v>
      </c>
      <c r="AA827" s="30">
        <f t="shared" si="25"/>
        <v>2281.7844136134831</v>
      </c>
      <c r="AB827" t="s">
        <v>456</v>
      </c>
    </row>
    <row r="828" spans="1:28">
      <c r="A828" s="67" t="s">
        <v>136</v>
      </c>
      <c r="B828" s="68">
        <v>1227982</v>
      </c>
      <c r="C828" s="69">
        <v>4615385238</v>
      </c>
      <c r="D828" s="70">
        <v>19175</v>
      </c>
      <c r="E828" s="79"/>
      <c r="F828" s="73">
        <v>10</v>
      </c>
      <c r="G828" s="73" t="s">
        <v>114</v>
      </c>
      <c r="H828" s="68">
        <v>0</v>
      </c>
      <c r="I828" s="68">
        <v>0</v>
      </c>
      <c r="J828" s="71">
        <v>42793</v>
      </c>
      <c r="K828" s="71">
        <v>42723</v>
      </c>
      <c r="L828" s="69" t="s">
        <v>137</v>
      </c>
      <c r="M828" s="69" t="s">
        <v>109</v>
      </c>
      <c r="N828" s="72">
        <v>42900</v>
      </c>
      <c r="O828" s="67"/>
      <c r="P828" s="67" t="s">
        <v>95</v>
      </c>
      <c r="Q828" s="67" t="s">
        <v>129</v>
      </c>
      <c r="R828" s="69" t="s">
        <v>69</v>
      </c>
      <c r="S828" s="69" t="s">
        <v>138</v>
      </c>
      <c r="T828" s="67"/>
      <c r="U828" s="67"/>
      <c r="V828" s="72">
        <v>42855</v>
      </c>
      <c r="W828" s="69">
        <v>415570029</v>
      </c>
      <c r="X828" s="69"/>
      <c r="Y828" s="123"/>
      <c r="Z828" s="30">
        <f t="shared" si="24"/>
        <v>4227.3638773950279</v>
      </c>
      <c r="AA828" s="30">
        <f t="shared" si="25"/>
        <v>0</v>
      </c>
      <c r="AB828" t="s">
        <v>456</v>
      </c>
    </row>
    <row r="829" spans="1:28">
      <c r="A829" s="67" t="s">
        <v>122</v>
      </c>
      <c r="B829" s="68">
        <v>1229147</v>
      </c>
      <c r="C829" s="69">
        <v>4615412732</v>
      </c>
      <c r="D829" s="70">
        <v>19200</v>
      </c>
      <c r="E829" s="79"/>
      <c r="F829" s="73">
        <v>16</v>
      </c>
      <c r="G829" s="73">
        <v>5</v>
      </c>
      <c r="H829" s="73">
        <v>0</v>
      </c>
      <c r="I829" s="68">
        <v>0</v>
      </c>
      <c r="J829" s="71">
        <v>42797</v>
      </c>
      <c r="K829" s="71">
        <v>42689</v>
      </c>
      <c r="L829" s="69" t="s">
        <v>119</v>
      </c>
      <c r="M829" s="69" t="s">
        <v>109</v>
      </c>
      <c r="N829" s="72">
        <v>42900</v>
      </c>
      <c r="O829" s="67"/>
      <c r="P829" s="67" t="s">
        <v>95</v>
      </c>
      <c r="Q829" s="67" t="s">
        <v>120</v>
      </c>
      <c r="R829" s="69" t="s">
        <v>69</v>
      </c>
      <c r="S829" s="69" t="s">
        <v>123</v>
      </c>
      <c r="T829" s="67"/>
      <c r="U829" s="67"/>
      <c r="V829" s="72">
        <v>42825</v>
      </c>
      <c r="W829" s="69">
        <v>2025763</v>
      </c>
      <c r="X829" s="69"/>
      <c r="Y829" s="123"/>
      <c r="Z829" s="30">
        <f t="shared" si="24"/>
        <v>6772.6006943194379</v>
      </c>
      <c r="AA829" s="30">
        <f t="shared" si="25"/>
        <v>2116.4377169748245</v>
      </c>
      <c r="AB829" t="s">
        <v>456</v>
      </c>
    </row>
    <row r="830" spans="1:28">
      <c r="A830" s="67" t="s">
        <v>122</v>
      </c>
      <c r="B830" s="68">
        <v>1229145</v>
      </c>
      <c r="C830" s="69">
        <v>4615412732</v>
      </c>
      <c r="D830" s="70">
        <v>19200</v>
      </c>
      <c r="E830" s="79"/>
      <c r="F830" s="73">
        <v>16</v>
      </c>
      <c r="G830" s="73">
        <v>5</v>
      </c>
      <c r="H830" s="73">
        <v>0</v>
      </c>
      <c r="I830" s="68">
        <v>0</v>
      </c>
      <c r="J830" s="71">
        <v>42797</v>
      </c>
      <c r="K830" s="71">
        <v>42699</v>
      </c>
      <c r="L830" s="69" t="s">
        <v>119</v>
      </c>
      <c r="M830" s="69" t="s">
        <v>109</v>
      </c>
      <c r="N830" s="72">
        <v>42900</v>
      </c>
      <c r="O830" s="67"/>
      <c r="P830" s="67" t="s">
        <v>95</v>
      </c>
      <c r="Q830" s="67" t="s">
        <v>120</v>
      </c>
      <c r="R830" s="69" t="s">
        <v>69</v>
      </c>
      <c r="S830" s="69" t="s">
        <v>123</v>
      </c>
      <c r="T830" s="67"/>
      <c r="U830" s="67"/>
      <c r="V830" s="72">
        <v>42825</v>
      </c>
      <c r="W830" s="69">
        <v>2025763</v>
      </c>
      <c r="X830" s="69"/>
      <c r="Y830" s="123"/>
      <c r="Z830" s="30">
        <f t="shared" si="24"/>
        <v>6772.6006943194379</v>
      </c>
      <c r="AA830" s="30">
        <f t="shared" si="25"/>
        <v>2116.4377169748245</v>
      </c>
      <c r="AB830" t="s">
        <v>456</v>
      </c>
    </row>
    <row r="831" spans="1:28">
      <c r="A831" s="67" t="s">
        <v>113</v>
      </c>
      <c r="B831" s="68">
        <v>1234081</v>
      </c>
      <c r="C831" s="69">
        <v>4615407710</v>
      </c>
      <c r="D831" s="70">
        <v>20700</v>
      </c>
      <c r="E831" s="79"/>
      <c r="F831" s="68">
        <v>16</v>
      </c>
      <c r="G831" s="68" t="s">
        <v>114</v>
      </c>
      <c r="H831" s="73">
        <v>0</v>
      </c>
      <c r="I831" s="68">
        <v>0</v>
      </c>
      <c r="J831" s="71">
        <v>42834</v>
      </c>
      <c r="K831" s="71">
        <v>42720</v>
      </c>
      <c r="L831" s="69" t="s">
        <v>108</v>
      </c>
      <c r="M831" s="69" t="s">
        <v>109</v>
      </c>
      <c r="N831" s="72">
        <v>42899</v>
      </c>
      <c r="O831" s="67"/>
      <c r="P831" s="67" t="s">
        <v>95</v>
      </c>
      <c r="Q831" s="67" t="s">
        <v>110</v>
      </c>
      <c r="R831" s="69" t="s">
        <v>69</v>
      </c>
      <c r="S831" s="69" t="s">
        <v>115</v>
      </c>
      <c r="T831" s="67"/>
      <c r="U831" s="67"/>
      <c r="V831" s="72">
        <v>42886</v>
      </c>
      <c r="W831" s="69" t="s">
        <v>205</v>
      </c>
      <c r="X831" s="69" t="s">
        <v>206</v>
      </c>
      <c r="Y831" s="123"/>
      <c r="Z831" s="30">
        <f t="shared" si="24"/>
        <v>7301.7101235631453</v>
      </c>
      <c r="AA831" s="30">
        <f t="shared" si="25"/>
        <v>0</v>
      </c>
      <c r="AB831" t="s">
        <v>456</v>
      </c>
    </row>
    <row r="832" spans="1:28">
      <c r="A832" s="67" t="s">
        <v>118</v>
      </c>
      <c r="B832" s="68">
        <v>1218102</v>
      </c>
      <c r="C832" s="69">
        <v>4615358692</v>
      </c>
      <c r="D832" s="70">
        <v>19175</v>
      </c>
      <c r="E832" s="79"/>
      <c r="F832" s="68">
        <v>10</v>
      </c>
      <c r="G832" s="68">
        <v>5</v>
      </c>
      <c r="H832" s="73">
        <v>0</v>
      </c>
      <c r="I832" s="68">
        <v>0</v>
      </c>
      <c r="J832" s="71">
        <v>42785</v>
      </c>
      <c r="K832" s="71">
        <v>42689</v>
      </c>
      <c r="L832" s="69" t="s">
        <v>137</v>
      </c>
      <c r="M832" s="69" t="s">
        <v>109</v>
      </c>
      <c r="N832" s="72">
        <v>42899</v>
      </c>
      <c r="O832" s="67"/>
      <c r="P832" s="67" t="s">
        <v>95</v>
      </c>
      <c r="Q832" s="67" t="s">
        <v>120</v>
      </c>
      <c r="R832" s="69" t="s">
        <v>69</v>
      </c>
      <c r="S832" s="69" t="s">
        <v>121</v>
      </c>
      <c r="T832" s="67"/>
      <c r="U832" s="67"/>
      <c r="V832" s="72">
        <v>42825</v>
      </c>
      <c r="W832" s="69">
        <v>2021265</v>
      </c>
      <c r="X832" s="69"/>
      <c r="Y832" s="123"/>
      <c r="Z832" s="30">
        <f t="shared" si="24"/>
        <v>4227.3638773950279</v>
      </c>
      <c r="AA832" s="30">
        <f t="shared" si="25"/>
        <v>2113.6819386975139</v>
      </c>
      <c r="AB832" t="s">
        <v>456</v>
      </c>
    </row>
    <row r="833" spans="1:28">
      <c r="A833" s="67" t="s">
        <v>122</v>
      </c>
      <c r="B833" s="68">
        <v>1213512</v>
      </c>
      <c r="C833" s="69">
        <v>4615408446</v>
      </c>
      <c r="D833" s="70">
        <v>19175</v>
      </c>
      <c r="E833" s="79"/>
      <c r="F833" s="68">
        <v>16</v>
      </c>
      <c r="G833" s="68">
        <v>5</v>
      </c>
      <c r="H833" s="73">
        <v>0</v>
      </c>
      <c r="I833" s="68">
        <v>0</v>
      </c>
      <c r="J833" s="71">
        <v>42754</v>
      </c>
      <c r="K833" s="71">
        <v>42688</v>
      </c>
      <c r="L833" s="69" t="s">
        <v>119</v>
      </c>
      <c r="M833" s="69" t="s">
        <v>109</v>
      </c>
      <c r="N833" s="72">
        <v>42899</v>
      </c>
      <c r="O833" s="67"/>
      <c r="P833" s="67" t="s">
        <v>95</v>
      </c>
      <c r="Q833" s="67" t="s">
        <v>120</v>
      </c>
      <c r="R833" s="69" t="s">
        <v>69</v>
      </c>
      <c r="S833" s="69" t="s">
        <v>123</v>
      </c>
      <c r="T833" s="67"/>
      <c r="U833" s="67"/>
      <c r="V833" s="72">
        <v>42794</v>
      </c>
      <c r="W833" s="69">
        <v>2025758</v>
      </c>
      <c r="X833" s="69"/>
      <c r="Y833" s="123"/>
      <c r="Z833" s="30">
        <f t="shared" si="24"/>
        <v>6763.7822038320437</v>
      </c>
      <c r="AA833" s="30">
        <f t="shared" si="25"/>
        <v>2113.6819386975139</v>
      </c>
      <c r="AB833" t="s">
        <v>456</v>
      </c>
    </row>
    <row r="834" spans="1:28">
      <c r="A834" s="67" t="s">
        <v>113</v>
      </c>
      <c r="B834" s="68">
        <v>1234045</v>
      </c>
      <c r="C834" s="69">
        <v>4615417120</v>
      </c>
      <c r="D834" s="70">
        <v>20700</v>
      </c>
      <c r="E834" s="79"/>
      <c r="F834" s="68">
        <v>16</v>
      </c>
      <c r="G834" s="68">
        <v>5</v>
      </c>
      <c r="H834" s="73">
        <v>0</v>
      </c>
      <c r="I834" s="68">
        <v>0</v>
      </c>
      <c r="J834" s="71">
        <v>42828</v>
      </c>
      <c r="K834" s="71">
        <v>42710</v>
      </c>
      <c r="L834" s="69" t="s">
        <v>108</v>
      </c>
      <c r="M834" s="69" t="s">
        <v>109</v>
      </c>
      <c r="N834" s="72">
        <v>42898</v>
      </c>
      <c r="O834" s="67"/>
      <c r="P834" s="67" t="s">
        <v>95</v>
      </c>
      <c r="Q834" s="67" t="s">
        <v>110</v>
      </c>
      <c r="R834" s="69" t="s">
        <v>69</v>
      </c>
      <c r="S834" s="69" t="s">
        <v>115</v>
      </c>
      <c r="T834" s="67"/>
      <c r="U834" s="67"/>
      <c r="V834" s="72">
        <v>42886</v>
      </c>
      <c r="W834" s="69" t="s">
        <v>153</v>
      </c>
      <c r="X834" s="69" t="s">
        <v>117</v>
      </c>
      <c r="Y834" s="123"/>
      <c r="Z834" s="30">
        <f t="shared" si="24"/>
        <v>7301.7101235631453</v>
      </c>
      <c r="AA834" s="30">
        <f t="shared" si="25"/>
        <v>2281.7844136134831</v>
      </c>
      <c r="AB834" t="s">
        <v>456</v>
      </c>
    </row>
    <row r="835" spans="1:28">
      <c r="A835" s="67" t="s">
        <v>113</v>
      </c>
      <c r="B835" s="68">
        <v>1234049</v>
      </c>
      <c r="C835" s="69">
        <v>4615417120</v>
      </c>
      <c r="D835" s="70">
        <v>20700</v>
      </c>
      <c r="E835" s="79"/>
      <c r="F835" s="68">
        <v>16</v>
      </c>
      <c r="G835" s="68">
        <v>5</v>
      </c>
      <c r="H835" s="73">
        <v>0</v>
      </c>
      <c r="I835" s="68">
        <v>0</v>
      </c>
      <c r="J835" s="71">
        <v>42828</v>
      </c>
      <c r="K835" s="71">
        <v>42723</v>
      </c>
      <c r="L835" s="69" t="s">
        <v>108</v>
      </c>
      <c r="M835" s="69" t="s">
        <v>109</v>
      </c>
      <c r="N835" s="72">
        <v>42898</v>
      </c>
      <c r="O835" s="67"/>
      <c r="P835" s="67" t="s">
        <v>95</v>
      </c>
      <c r="Q835" s="67" t="s">
        <v>110</v>
      </c>
      <c r="R835" s="69" t="s">
        <v>69</v>
      </c>
      <c r="S835" s="69" t="s">
        <v>115</v>
      </c>
      <c r="T835" s="67"/>
      <c r="U835" s="67"/>
      <c r="V835" s="72">
        <v>42886</v>
      </c>
      <c r="W835" s="69" t="s">
        <v>153</v>
      </c>
      <c r="X835" s="69" t="s">
        <v>117</v>
      </c>
      <c r="Y835" s="123"/>
      <c r="Z835" s="30">
        <f t="shared" ref="Z835:Z898" si="26">CONVERT(D835,"kg","lbm")*F835/100</f>
        <v>7301.7101235631453</v>
      </c>
      <c r="AA835" s="30">
        <f t="shared" ref="AA835:AA898" si="27">CONVERT(D835,"kg","lbm")*G835/100</f>
        <v>2281.7844136134831</v>
      </c>
      <c r="AB835" t="s">
        <v>456</v>
      </c>
    </row>
    <row r="836" spans="1:28">
      <c r="A836" s="67" t="s">
        <v>118</v>
      </c>
      <c r="B836" s="68">
        <v>1218096</v>
      </c>
      <c r="C836" s="69">
        <v>4615418683</v>
      </c>
      <c r="D836" s="70">
        <v>19175</v>
      </c>
      <c r="E836" s="79"/>
      <c r="F836" s="73">
        <v>10</v>
      </c>
      <c r="G836" s="73" t="s">
        <v>114</v>
      </c>
      <c r="H836" s="73">
        <v>0</v>
      </c>
      <c r="I836" s="68">
        <v>0</v>
      </c>
      <c r="J836" s="71">
        <v>42785</v>
      </c>
      <c r="K836" s="71">
        <v>42711</v>
      </c>
      <c r="L836" s="69" t="s">
        <v>137</v>
      </c>
      <c r="M836" s="69" t="s">
        <v>109</v>
      </c>
      <c r="N836" s="72">
        <v>42898</v>
      </c>
      <c r="O836" s="67"/>
      <c r="P836" s="67" t="s">
        <v>95</v>
      </c>
      <c r="Q836" s="67" t="s">
        <v>120</v>
      </c>
      <c r="R836" s="69" t="s">
        <v>69</v>
      </c>
      <c r="S836" s="69" t="s">
        <v>121</v>
      </c>
      <c r="T836" s="67"/>
      <c r="U836" s="67"/>
      <c r="V836" s="72">
        <v>42825</v>
      </c>
      <c r="W836" s="69">
        <v>2026346</v>
      </c>
      <c r="X836" s="69"/>
      <c r="Y836" s="123"/>
      <c r="Z836" s="30">
        <f t="shared" si="26"/>
        <v>4227.3638773950279</v>
      </c>
      <c r="AA836" s="30">
        <f t="shared" si="27"/>
        <v>0</v>
      </c>
      <c r="AB836" t="s">
        <v>456</v>
      </c>
    </row>
    <row r="837" spans="1:28">
      <c r="A837" s="67" t="s">
        <v>122</v>
      </c>
      <c r="B837" s="68">
        <v>1229140</v>
      </c>
      <c r="C837" s="69">
        <v>4615412732</v>
      </c>
      <c r="D837" s="70">
        <v>19200</v>
      </c>
      <c r="E837" s="79"/>
      <c r="F837" s="73">
        <v>16</v>
      </c>
      <c r="G837" s="73">
        <v>5</v>
      </c>
      <c r="H837" s="73">
        <v>0</v>
      </c>
      <c r="I837" s="68">
        <v>0</v>
      </c>
      <c r="J837" s="71">
        <v>42797</v>
      </c>
      <c r="K837" s="71">
        <v>42711</v>
      </c>
      <c r="L837" s="69" t="s">
        <v>119</v>
      </c>
      <c r="M837" s="69" t="s">
        <v>109</v>
      </c>
      <c r="N837" s="72">
        <v>42898</v>
      </c>
      <c r="O837" s="67"/>
      <c r="P837" s="67" t="s">
        <v>95</v>
      </c>
      <c r="Q837" s="67" t="s">
        <v>120</v>
      </c>
      <c r="R837" s="69" t="s">
        <v>69</v>
      </c>
      <c r="S837" s="69" t="s">
        <v>123</v>
      </c>
      <c r="T837" s="67"/>
      <c r="U837" s="67"/>
      <c r="V837" s="72">
        <v>42825</v>
      </c>
      <c r="W837" s="69">
        <v>2025763</v>
      </c>
      <c r="X837" s="69"/>
      <c r="Y837" s="123"/>
      <c r="Z837" s="30">
        <f t="shared" si="26"/>
        <v>6772.6006943194379</v>
      </c>
      <c r="AA837" s="30">
        <f t="shared" si="27"/>
        <v>2116.4377169748245</v>
      </c>
      <c r="AB837" t="s">
        <v>456</v>
      </c>
    </row>
    <row r="838" spans="1:28">
      <c r="A838" s="67" t="s">
        <v>131</v>
      </c>
      <c r="B838" s="68">
        <v>1238736</v>
      </c>
      <c r="C838" s="69">
        <v>4615420837</v>
      </c>
      <c r="D838" s="70">
        <v>19200</v>
      </c>
      <c r="E838" s="79"/>
      <c r="F838" s="75">
        <v>154.4</v>
      </c>
      <c r="G838" s="75" t="s">
        <v>114</v>
      </c>
      <c r="H838" s="68">
        <v>0</v>
      </c>
      <c r="I838" s="68">
        <v>0</v>
      </c>
      <c r="J838" s="71">
        <v>42835</v>
      </c>
      <c r="K838" s="71">
        <v>42675</v>
      </c>
      <c r="L838" s="69" t="s">
        <v>108</v>
      </c>
      <c r="M838" s="69" t="s">
        <v>109</v>
      </c>
      <c r="N838" s="72">
        <v>42897</v>
      </c>
      <c r="O838" s="67"/>
      <c r="P838" s="67" t="s">
        <v>95</v>
      </c>
      <c r="Q838" s="67" t="s">
        <v>125</v>
      </c>
      <c r="R838" s="69" t="s">
        <v>69</v>
      </c>
      <c r="S838" s="69" t="s">
        <v>134</v>
      </c>
      <c r="T838" s="67"/>
      <c r="U838" s="67"/>
      <c r="V838" s="72">
        <v>42886</v>
      </c>
      <c r="W838" s="69" t="s">
        <v>204</v>
      </c>
      <c r="X838" s="69"/>
      <c r="Y838" s="123"/>
      <c r="Z838" s="30">
        <f t="shared" si="26"/>
        <v>65355.596700182585</v>
      </c>
      <c r="AA838" s="30">
        <f t="shared" si="27"/>
        <v>0</v>
      </c>
      <c r="AB838" t="s">
        <v>456</v>
      </c>
    </row>
    <row r="839" spans="1:28">
      <c r="A839" s="67" t="s">
        <v>113</v>
      </c>
      <c r="B839" s="68">
        <v>1237876</v>
      </c>
      <c r="C839" s="69">
        <v>4615400781</v>
      </c>
      <c r="D839" s="70">
        <v>20700</v>
      </c>
      <c r="E839" s="79"/>
      <c r="F839" s="68">
        <v>16</v>
      </c>
      <c r="G839" s="68" t="s">
        <v>114</v>
      </c>
      <c r="H839" s="68">
        <v>0</v>
      </c>
      <c r="I839" s="68">
        <v>0</v>
      </c>
      <c r="J839" s="71">
        <v>42848</v>
      </c>
      <c r="K839" s="71">
        <v>42651</v>
      </c>
      <c r="L839" s="69" t="s">
        <v>108</v>
      </c>
      <c r="M839" s="69" t="s">
        <v>109</v>
      </c>
      <c r="N839" s="72">
        <v>42897</v>
      </c>
      <c r="O839" s="67"/>
      <c r="P839" s="67" t="s">
        <v>95</v>
      </c>
      <c r="Q839" s="67" t="s">
        <v>110</v>
      </c>
      <c r="R839" s="69" t="s">
        <v>69</v>
      </c>
      <c r="S839" s="69" t="s">
        <v>115</v>
      </c>
      <c r="T839" s="67"/>
      <c r="U839" s="67"/>
      <c r="V839" s="72">
        <v>42855</v>
      </c>
      <c r="W839" s="69" t="s">
        <v>201</v>
      </c>
      <c r="X839" s="69" t="s">
        <v>117</v>
      </c>
      <c r="Y839" s="123"/>
      <c r="Z839" s="30">
        <f t="shared" si="26"/>
        <v>7301.7101235631453</v>
      </c>
      <c r="AA839" s="30">
        <f t="shared" si="27"/>
        <v>0</v>
      </c>
      <c r="AB839" t="s">
        <v>456</v>
      </c>
    </row>
    <row r="840" spans="1:28">
      <c r="A840" s="67" t="s">
        <v>113</v>
      </c>
      <c r="B840" s="68">
        <v>1234051</v>
      </c>
      <c r="C840" s="69">
        <v>4615417120</v>
      </c>
      <c r="D840" s="70">
        <v>20700</v>
      </c>
      <c r="E840" s="79"/>
      <c r="F840" s="68">
        <v>16</v>
      </c>
      <c r="G840" s="68">
        <v>5</v>
      </c>
      <c r="H840" s="73">
        <v>0</v>
      </c>
      <c r="I840" s="68">
        <v>0</v>
      </c>
      <c r="J840" s="71">
        <v>42828</v>
      </c>
      <c r="K840" s="71">
        <v>42724</v>
      </c>
      <c r="L840" s="69" t="s">
        <v>108</v>
      </c>
      <c r="M840" s="69" t="s">
        <v>109</v>
      </c>
      <c r="N840" s="72">
        <v>42897</v>
      </c>
      <c r="O840" s="67"/>
      <c r="P840" s="67" t="s">
        <v>95</v>
      </c>
      <c r="Q840" s="67" t="s">
        <v>110</v>
      </c>
      <c r="R840" s="69" t="s">
        <v>69</v>
      </c>
      <c r="S840" s="69" t="s">
        <v>115</v>
      </c>
      <c r="T840" s="67"/>
      <c r="U840" s="67"/>
      <c r="V840" s="72">
        <v>42886</v>
      </c>
      <c r="W840" s="69" t="s">
        <v>153</v>
      </c>
      <c r="X840" s="69" t="s">
        <v>117</v>
      </c>
      <c r="Y840" s="123"/>
      <c r="Z840" s="30">
        <f t="shared" si="26"/>
        <v>7301.7101235631453</v>
      </c>
      <c r="AA840" s="30">
        <f t="shared" si="27"/>
        <v>2281.7844136134831</v>
      </c>
      <c r="AB840" t="s">
        <v>456</v>
      </c>
    </row>
    <row r="841" spans="1:28">
      <c r="A841" s="67" t="s">
        <v>113</v>
      </c>
      <c r="B841" s="68">
        <v>1234050</v>
      </c>
      <c r="C841" s="69">
        <v>4615417120</v>
      </c>
      <c r="D841" s="70">
        <v>20700</v>
      </c>
      <c r="E841" s="79"/>
      <c r="F841" s="68">
        <v>16</v>
      </c>
      <c r="G841" s="68">
        <v>5</v>
      </c>
      <c r="H841" s="73">
        <v>0</v>
      </c>
      <c r="I841" s="68">
        <v>0</v>
      </c>
      <c r="J841" s="71">
        <v>42828</v>
      </c>
      <c r="K841" s="71">
        <v>42715</v>
      </c>
      <c r="L841" s="69" t="s">
        <v>108</v>
      </c>
      <c r="M841" s="69" t="s">
        <v>109</v>
      </c>
      <c r="N841" s="72">
        <v>42897</v>
      </c>
      <c r="O841" s="67"/>
      <c r="P841" s="67" t="s">
        <v>95</v>
      </c>
      <c r="Q841" s="67" t="s">
        <v>110</v>
      </c>
      <c r="R841" s="69" t="s">
        <v>69</v>
      </c>
      <c r="S841" s="69" t="s">
        <v>115</v>
      </c>
      <c r="T841" s="67"/>
      <c r="U841" s="67"/>
      <c r="V841" s="72">
        <v>42886</v>
      </c>
      <c r="W841" s="69" t="s">
        <v>153</v>
      </c>
      <c r="X841" s="69" t="s">
        <v>117</v>
      </c>
      <c r="Y841" s="123"/>
      <c r="Z841" s="30">
        <f t="shared" si="26"/>
        <v>7301.7101235631453</v>
      </c>
      <c r="AA841" s="30">
        <f t="shared" si="27"/>
        <v>2281.7844136134831</v>
      </c>
      <c r="AB841" t="s">
        <v>456</v>
      </c>
    </row>
    <row r="842" spans="1:28">
      <c r="A842" s="67" t="s">
        <v>122</v>
      </c>
      <c r="B842" s="68">
        <v>1230911</v>
      </c>
      <c r="C842" s="69">
        <v>4615409226</v>
      </c>
      <c r="D842" s="70">
        <v>19175</v>
      </c>
      <c r="E842" s="79"/>
      <c r="F842" s="68">
        <v>16</v>
      </c>
      <c r="G842" s="68">
        <v>5</v>
      </c>
      <c r="H842" s="73">
        <v>0</v>
      </c>
      <c r="I842" s="68">
        <v>0</v>
      </c>
      <c r="J842" s="71">
        <v>42820</v>
      </c>
      <c r="K842" s="71">
        <v>42699</v>
      </c>
      <c r="L842" s="69" t="s">
        <v>108</v>
      </c>
      <c r="M842" s="69" t="s">
        <v>109</v>
      </c>
      <c r="N842" s="72">
        <v>42897</v>
      </c>
      <c r="O842" s="67"/>
      <c r="P842" s="67" t="s">
        <v>95</v>
      </c>
      <c r="Q842" s="67" t="s">
        <v>120</v>
      </c>
      <c r="R842" s="69" t="s">
        <v>69</v>
      </c>
      <c r="S842" s="69" t="s">
        <v>123</v>
      </c>
      <c r="T842" s="67"/>
      <c r="U842" s="67"/>
      <c r="V842" s="72">
        <v>42855</v>
      </c>
      <c r="W842" s="69">
        <v>2025749</v>
      </c>
      <c r="X842" s="69"/>
      <c r="Y842" s="123"/>
      <c r="Z842" s="30">
        <f t="shared" si="26"/>
        <v>6763.7822038320437</v>
      </c>
      <c r="AA842" s="30">
        <f t="shared" si="27"/>
        <v>2113.6819386975139</v>
      </c>
      <c r="AB842" t="s">
        <v>456</v>
      </c>
    </row>
    <row r="843" spans="1:28">
      <c r="A843" s="67" t="s">
        <v>136</v>
      </c>
      <c r="B843" s="68">
        <v>1223755</v>
      </c>
      <c r="C843" s="69">
        <v>4615336818</v>
      </c>
      <c r="D843" s="70">
        <v>19175</v>
      </c>
      <c r="E843" s="79"/>
      <c r="F843" s="73">
        <v>10</v>
      </c>
      <c r="G843" s="73" t="s">
        <v>114</v>
      </c>
      <c r="H843" s="68">
        <v>0</v>
      </c>
      <c r="I843" s="68">
        <v>0</v>
      </c>
      <c r="J843" s="71">
        <v>42785</v>
      </c>
      <c r="K843" s="71">
        <v>42635</v>
      </c>
      <c r="L843" s="69" t="s">
        <v>137</v>
      </c>
      <c r="M843" s="69" t="s">
        <v>109</v>
      </c>
      <c r="N843" s="72">
        <v>42897</v>
      </c>
      <c r="O843" s="67"/>
      <c r="P843" s="67" t="s">
        <v>95</v>
      </c>
      <c r="Q843" s="67" t="s">
        <v>129</v>
      </c>
      <c r="R843" s="69" t="s">
        <v>69</v>
      </c>
      <c r="S843" s="69" t="s">
        <v>138</v>
      </c>
      <c r="T843" s="67"/>
      <c r="U843" s="67"/>
      <c r="V843" s="72">
        <v>42855</v>
      </c>
      <c r="W843" s="69">
        <v>415570141</v>
      </c>
      <c r="X843" s="69"/>
      <c r="Y843" s="123"/>
      <c r="Z843" s="30">
        <f t="shared" si="26"/>
        <v>4227.3638773950279</v>
      </c>
      <c r="AA843" s="30">
        <f t="shared" si="27"/>
        <v>0</v>
      </c>
      <c r="AB843" t="s">
        <v>456</v>
      </c>
    </row>
    <row r="844" spans="1:28">
      <c r="A844" s="67" t="s">
        <v>118</v>
      </c>
      <c r="B844" s="68">
        <v>1218103</v>
      </c>
      <c r="C844" s="69">
        <v>4615358692</v>
      </c>
      <c r="D844" s="70">
        <v>19175</v>
      </c>
      <c r="E844" s="79"/>
      <c r="F844" s="68">
        <v>10</v>
      </c>
      <c r="G844" s="68">
        <v>5</v>
      </c>
      <c r="H844" s="68">
        <v>0</v>
      </c>
      <c r="I844" s="68">
        <v>0</v>
      </c>
      <c r="J844" s="71">
        <v>42785</v>
      </c>
      <c r="K844" s="71">
        <v>42716</v>
      </c>
      <c r="L844" s="69" t="s">
        <v>137</v>
      </c>
      <c r="M844" s="69" t="s">
        <v>109</v>
      </c>
      <c r="N844" s="72">
        <v>42897</v>
      </c>
      <c r="O844" s="67"/>
      <c r="P844" s="67" t="s">
        <v>95</v>
      </c>
      <c r="Q844" s="67" t="s">
        <v>120</v>
      </c>
      <c r="R844" s="69" t="s">
        <v>69</v>
      </c>
      <c r="S844" s="69" t="s">
        <v>121</v>
      </c>
      <c r="T844" s="67"/>
      <c r="U844" s="67"/>
      <c r="V844" s="72">
        <v>42825</v>
      </c>
      <c r="W844" s="69">
        <v>2021265</v>
      </c>
      <c r="X844" s="69"/>
      <c r="Y844" s="123"/>
      <c r="Z844" s="30">
        <f t="shared" si="26"/>
        <v>4227.3638773950279</v>
      </c>
      <c r="AA844" s="30">
        <f t="shared" si="27"/>
        <v>2113.6819386975139</v>
      </c>
      <c r="AB844" t="s">
        <v>456</v>
      </c>
    </row>
    <row r="845" spans="1:28">
      <c r="A845" s="67" t="s">
        <v>113</v>
      </c>
      <c r="B845" s="68">
        <v>1234044</v>
      </c>
      <c r="C845" s="69">
        <v>4615417120</v>
      </c>
      <c r="D845" s="70">
        <v>20700</v>
      </c>
      <c r="E845" s="79"/>
      <c r="F845" s="68">
        <v>16</v>
      </c>
      <c r="G845" s="68">
        <v>5</v>
      </c>
      <c r="H845" s="73">
        <v>0</v>
      </c>
      <c r="I845" s="68">
        <v>0</v>
      </c>
      <c r="J845" s="71">
        <v>42828</v>
      </c>
      <c r="K845" s="71">
        <v>42676</v>
      </c>
      <c r="L845" s="69" t="s">
        <v>108</v>
      </c>
      <c r="M845" s="69" t="s">
        <v>109</v>
      </c>
      <c r="N845" s="72">
        <v>42897</v>
      </c>
      <c r="O845" s="67"/>
      <c r="P845" s="67" t="s">
        <v>95</v>
      </c>
      <c r="Q845" s="67" t="s">
        <v>110</v>
      </c>
      <c r="R845" s="69" t="s">
        <v>69</v>
      </c>
      <c r="S845" s="69" t="s">
        <v>115</v>
      </c>
      <c r="T845" s="67"/>
      <c r="U845" s="67"/>
      <c r="V845" s="72">
        <v>42886</v>
      </c>
      <c r="W845" s="69" t="s">
        <v>153</v>
      </c>
      <c r="X845" s="69" t="s">
        <v>117</v>
      </c>
      <c r="Y845" s="123"/>
      <c r="Z845" s="30">
        <f t="shared" si="26"/>
        <v>7301.7101235631453</v>
      </c>
      <c r="AA845" s="30">
        <f t="shared" si="27"/>
        <v>2281.7844136134831</v>
      </c>
      <c r="AB845" t="s">
        <v>456</v>
      </c>
    </row>
    <row r="846" spans="1:28">
      <c r="A846" s="67" t="s">
        <v>113</v>
      </c>
      <c r="B846" s="68">
        <v>1224453</v>
      </c>
      <c r="C846" s="69">
        <v>4615400270</v>
      </c>
      <c r="D846" s="70">
        <v>19200</v>
      </c>
      <c r="E846" s="79"/>
      <c r="F846" s="73">
        <v>16</v>
      </c>
      <c r="G846" s="73" t="s">
        <v>114</v>
      </c>
      <c r="H846" s="75">
        <v>0</v>
      </c>
      <c r="I846" s="68">
        <v>0</v>
      </c>
      <c r="J846" s="71">
        <v>42785</v>
      </c>
      <c r="K846" s="71">
        <v>42699</v>
      </c>
      <c r="L846" s="69" t="s">
        <v>119</v>
      </c>
      <c r="M846" s="69" t="s">
        <v>109</v>
      </c>
      <c r="N846" s="72">
        <v>42897</v>
      </c>
      <c r="O846" s="67"/>
      <c r="P846" s="67" t="s">
        <v>95</v>
      </c>
      <c r="Q846" s="67" t="s">
        <v>110</v>
      </c>
      <c r="R846" s="69" t="s">
        <v>69</v>
      </c>
      <c r="S846" s="69" t="s">
        <v>115</v>
      </c>
      <c r="T846" s="67"/>
      <c r="U846" s="67"/>
      <c r="V846" s="72">
        <v>42825</v>
      </c>
      <c r="W846" s="69" t="s">
        <v>198</v>
      </c>
      <c r="X846" s="69" t="s">
        <v>208</v>
      </c>
      <c r="Y846" s="123"/>
      <c r="Z846" s="30">
        <f t="shared" si="26"/>
        <v>6772.6006943194379</v>
      </c>
      <c r="AA846" s="30">
        <f t="shared" si="27"/>
        <v>0</v>
      </c>
      <c r="AB846" t="s">
        <v>456</v>
      </c>
    </row>
    <row r="847" spans="1:28">
      <c r="A847" s="67" t="s">
        <v>113</v>
      </c>
      <c r="B847" s="68">
        <v>1224451</v>
      </c>
      <c r="C847" s="69">
        <v>4615400270</v>
      </c>
      <c r="D847" s="70">
        <v>19200</v>
      </c>
      <c r="E847" s="79"/>
      <c r="F847" s="73">
        <v>16</v>
      </c>
      <c r="G847" s="73" t="s">
        <v>114</v>
      </c>
      <c r="H847" s="75">
        <v>0</v>
      </c>
      <c r="I847" s="68">
        <v>0</v>
      </c>
      <c r="J847" s="71">
        <v>42785</v>
      </c>
      <c r="K847" s="71">
        <v>42677</v>
      </c>
      <c r="L847" s="69" t="s">
        <v>119</v>
      </c>
      <c r="M847" s="69" t="s">
        <v>109</v>
      </c>
      <c r="N847" s="72">
        <v>42897</v>
      </c>
      <c r="O847" s="67"/>
      <c r="P847" s="67" t="s">
        <v>95</v>
      </c>
      <c r="Q847" s="67" t="s">
        <v>110</v>
      </c>
      <c r="R847" s="69" t="s">
        <v>69</v>
      </c>
      <c r="S847" s="69" t="s">
        <v>115</v>
      </c>
      <c r="T847" s="67"/>
      <c r="U847" s="67"/>
      <c r="V847" s="72">
        <v>42825</v>
      </c>
      <c r="W847" s="69" t="s">
        <v>198</v>
      </c>
      <c r="X847" s="69" t="s">
        <v>208</v>
      </c>
      <c r="Y847" s="123"/>
      <c r="Z847" s="30">
        <f t="shared" si="26"/>
        <v>6772.6006943194379</v>
      </c>
      <c r="AA847" s="30">
        <f t="shared" si="27"/>
        <v>0</v>
      </c>
      <c r="AB847" t="s">
        <v>456</v>
      </c>
    </row>
    <row r="848" spans="1:28">
      <c r="A848" s="67" t="s">
        <v>113</v>
      </c>
      <c r="B848" s="68">
        <v>1224449</v>
      </c>
      <c r="C848" s="69">
        <v>4615400270</v>
      </c>
      <c r="D848" s="70">
        <v>19200</v>
      </c>
      <c r="E848" s="79"/>
      <c r="F848" s="73">
        <v>16</v>
      </c>
      <c r="G848" s="73" t="s">
        <v>114</v>
      </c>
      <c r="H848" s="75">
        <v>0</v>
      </c>
      <c r="I848" s="68">
        <v>0</v>
      </c>
      <c r="J848" s="71">
        <v>42785</v>
      </c>
      <c r="K848" s="71">
        <v>42696</v>
      </c>
      <c r="L848" s="69" t="s">
        <v>119</v>
      </c>
      <c r="M848" s="69" t="s">
        <v>109</v>
      </c>
      <c r="N848" s="72">
        <v>42897</v>
      </c>
      <c r="O848" s="67"/>
      <c r="P848" s="67" t="s">
        <v>95</v>
      </c>
      <c r="Q848" s="67" t="s">
        <v>110</v>
      </c>
      <c r="R848" s="69" t="s">
        <v>69</v>
      </c>
      <c r="S848" s="69" t="s">
        <v>115</v>
      </c>
      <c r="T848" s="67"/>
      <c r="U848" s="67"/>
      <c r="V848" s="72">
        <v>42825</v>
      </c>
      <c r="W848" s="69" t="s">
        <v>198</v>
      </c>
      <c r="X848" s="69" t="s">
        <v>208</v>
      </c>
      <c r="Y848" s="123"/>
      <c r="Z848" s="30">
        <f t="shared" si="26"/>
        <v>6772.6006943194379</v>
      </c>
      <c r="AA848" s="30">
        <f t="shared" si="27"/>
        <v>0</v>
      </c>
      <c r="AB848" t="s">
        <v>456</v>
      </c>
    </row>
    <row r="849" spans="1:28">
      <c r="A849" s="67" t="s">
        <v>118</v>
      </c>
      <c r="B849" s="68">
        <v>1218098</v>
      </c>
      <c r="C849" s="69">
        <v>4615418683</v>
      </c>
      <c r="D849" s="70">
        <v>19175</v>
      </c>
      <c r="E849" s="79"/>
      <c r="F849" s="73">
        <v>10</v>
      </c>
      <c r="G849" s="73" t="s">
        <v>114</v>
      </c>
      <c r="H849" s="73">
        <v>0</v>
      </c>
      <c r="I849" s="68">
        <v>0</v>
      </c>
      <c r="J849" s="71">
        <v>42785</v>
      </c>
      <c r="K849" s="71">
        <v>42702</v>
      </c>
      <c r="L849" s="69" t="s">
        <v>137</v>
      </c>
      <c r="M849" s="69" t="s">
        <v>109</v>
      </c>
      <c r="N849" s="72">
        <v>42894</v>
      </c>
      <c r="O849" s="67"/>
      <c r="P849" s="67" t="s">
        <v>95</v>
      </c>
      <c r="Q849" s="67" t="s">
        <v>120</v>
      </c>
      <c r="R849" s="69" t="s">
        <v>69</v>
      </c>
      <c r="S849" s="69" t="s">
        <v>121</v>
      </c>
      <c r="T849" s="67"/>
      <c r="U849" s="67"/>
      <c r="V849" s="72">
        <v>42825</v>
      </c>
      <c r="W849" s="69">
        <v>2026346</v>
      </c>
      <c r="X849" s="69"/>
      <c r="Y849" s="123"/>
      <c r="Z849" s="30">
        <f t="shared" si="26"/>
        <v>4227.3638773950279</v>
      </c>
      <c r="AA849" s="30">
        <f t="shared" si="27"/>
        <v>0</v>
      </c>
      <c r="AB849" t="s">
        <v>456</v>
      </c>
    </row>
    <row r="850" spans="1:28">
      <c r="A850" s="67" t="s">
        <v>113</v>
      </c>
      <c r="B850" s="68">
        <v>1224448</v>
      </c>
      <c r="C850" s="69">
        <v>4615400270</v>
      </c>
      <c r="D850" s="70">
        <v>19200</v>
      </c>
      <c r="E850" s="79"/>
      <c r="F850" s="73">
        <v>16</v>
      </c>
      <c r="G850" s="73" t="s">
        <v>114</v>
      </c>
      <c r="H850" s="73">
        <v>0</v>
      </c>
      <c r="I850" s="68">
        <v>0</v>
      </c>
      <c r="J850" s="71">
        <v>42785</v>
      </c>
      <c r="K850" s="71">
        <v>42702</v>
      </c>
      <c r="L850" s="69" t="s">
        <v>119</v>
      </c>
      <c r="M850" s="69" t="s">
        <v>109</v>
      </c>
      <c r="N850" s="72">
        <v>42894</v>
      </c>
      <c r="O850" s="67"/>
      <c r="P850" s="67" t="s">
        <v>95</v>
      </c>
      <c r="Q850" s="67" t="s">
        <v>110</v>
      </c>
      <c r="R850" s="69" t="s">
        <v>69</v>
      </c>
      <c r="S850" s="69" t="s">
        <v>115</v>
      </c>
      <c r="T850" s="67"/>
      <c r="U850" s="67"/>
      <c r="V850" s="72">
        <v>42825</v>
      </c>
      <c r="W850" s="69" t="s">
        <v>198</v>
      </c>
      <c r="X850" s="69" t="s">
        <v>208</v>
      </c>
      <c r="Y850" s="123"/>
      <c r="Z850" s="30">
        <f t="shared" si="26"/>
        <v>6772.6006943194379</v>
      </c>
      <c r="AA850" s="30">
        <f t="shared" si="27"/>
        <v>0</v>
      </c>
      <c r="AB850" t="s">
        <v>456</v>
      </c>
    </row>
    <row r="851" spans="1:28">
      <c r="A851" s="67" t="s">
        <v>113</v>
      </c>
      <c r="B851" s="68">
        <v>1224452</v>
      </c>
      <c r="C851" s="69">
        <v>4615400270</v>
      </c>
      <c r="D851" s="70">
        <v>19200</v>
      </c>
      <c r="E851" s="79"/>
      <c r="F851" s="73">
        <v>16</v>
      </c>
      <c r="G851" s="73" t="s">
        <v>114</v>
      </c>
      <c r="H851" s="73">
        <v>0</v>
      </c>
      <c r="I851" s="68">
        <v>0</v>
      </c>
      <c r="J851" s="71">
        <v>42785</v>
      </c>
      <c r="K851" s="71">
        <v>42702</v>
      </c>
      <c r="L851" s="69" t="s">
        <v>119</v>
      </c>
      <c r="M851" s="69" t="s">
        <v>109</v>
      </c>
      <c r="N851" s="72">
        <v>42894</v>
      </c>
      <c r="O851" s="67"/>
      <c r="P851" s="67" t="s">
        <v>95</v>
      </c>
      <c r="Q851" s="67" t="s">
        <v>110</v>
      </c>
      <c r="R851" s="69" t="s">
        <v>69</v>
      </c>
      <c r="S851" s="69" t="s">
        <v>115</v>
      </c>
      <c r="T851" s="67"/>
      <c r="U851" s="67"/>
      <c r="V851" s="72">
        <v>42825</v>
      </c>
      <c r="W851" s="69" t="s">
        <v>198</v>
      </c>
      <c r="X851" s="69" t="s">
        <v>208</v>
      </c>
      <c r="Y851" s="123"/>
      <c r="Z851" s="30">
        <f t="shared" si="26"/>
        <v>6772.6006943194379</v>
      </c>
      <c r="AA851" s="30">
        <f t="shared" si="27"/>
        <v>0</v>
      </c>
      <c r="AB851" t="s">
        <v>456</v>
      </c>
    </row>
    <row r="852" spans="1:28">
      <c r="A852" s="67" t="s">
        <v>113</v>
      </c>
      <c r="B852" s="68">
        <v>1224450</v>
      </c>
      <c r="C852" s="69">
        <v>4615400270</v>
      </c>
      <c r="D852" s="70">
        <v>19200</v>
      </c>
      <c r="E852" s="79"/>
      <c r="F852" s="73">
        <v>16</v>
      </c>
      <c r="G852" s="73" t="s">
        <v>114</v>
      </c>
      <c r="H852" s="73">
        <v>0</v>
      </c>
      <c r="I852" s="68">
        <v>0</v>
      </c>
      <c r="J852" s="71">
        <v>42785</v>
      </c>
      <c r="K852" s="71">
        <v>42689</v>
      </c>
      <c r="L852" s="69" t="s">
        <v>119</v>
      </c>
      <c r="M852" s="69" t="s">
        <v>109</v>
      </c>
      <c r="N852" s="72">
        <v>42894</v>
      </c>
      <c r="O852" s="67"/>
      <c r="P852" s="67" t="s">
        <v>95</v>
      </c>
      <c r="Q852" s="67" t="s">
        <v>110</v>
      </c>
      <c r="R852" s="69" t="s">
        <v>69</v>
      </c>
      <c r="S852" s="69" t="s">
        <v>115</v>
      </c>
      <c r="T852" s="67"/>
      <c r="U852" s="67"/>
      <c r="V852" s="72">
        <v>42825</v>
      </c>
      <c r="W852" s="69" t="s">
        <v>198</v>
      </c>
      <c r="X852" s="69" t="s">
        <v>208</v>
      </c>
      <c r="Y852" s="123"/>
      <c r="Z852" s="30">
        <f t="shared" si="26"/>
        <v>6772.6006943194379</v>
      </c>
      <c r="AA852" s="30">
        <f t="shared" si="27"/>
        <v>0</v>
      </c>
      <c r="AB852" t="s">
        <v>456</v>
      </c>
    </row>
    <row r="853" spans="1:28">
      <c r="A853" s="67" t="s">
        <v>107</v>
      </c>
      <c r="B853" s="68">
        <v>1238342</v>
      </c>
      <c r="C853" s="69">
        <v>4615423738</v>
      </c>
      <c r="D853" s="70">
        <v>19200</v>
      </c>
      <c r="E853" s="79"/>
      <c r="F853" s="68">
        <v>154.4</v>
      </c>
      <c r="G853" s="68" t="s">
        <v>114</v>
      </c>
      <c r="H853" s="68">
        <v>0</v>
      </c>
      <c r="I853" s="68">
        <v>0</v>
      </c>
      <c r="J853" s="71">
        <v>42828</v>
      </c>
      <c r="K853" s="71">
        <v>42682</v>
      </c>
      <c r="L853" s="69" t="s">
        <v>119</v>
      </c>
      <c r="M853" s="69" t="s">
        <v>109</v>
      </c>
      <c r="N853" s="72">
        <v>42894</v>
      </c>
      <c r="O853" s="67"/>
      <c r="P853" s="67" t="s">
        <v>95</v>
      </c>
      <c r="Q853" s="67" t="s">
        <v>110</v>
      </c>
      <c r="R853" s="69" t="s">
        <v>69</v>
      </c>
      <c r="S853" s="69" t="s">
        <v>111</v>
      </c>
      <c r="T853" s="67"/>
      <c r="U853" s="67"/>
      <c r="V853" s="72">
        <v>42855</v>
      </c>
      <c r="W853" s="69" t="s">
        <v>203</v>
      </c>
      <c r="X853" s="69"/>
      <c r="Y853" s="123"/>
      <c r="Z853" s="30">
        <f t="shared" si="26"/>
        <v>65355.596700182585</v>
      </c>
      <c r="AA853" s="30">
        <f t="shared" si="27"/>
        <v>0</v>
      </c>
      <c r="AB853" t="s">
        <v>456</v>
      </c>
    </row>
    <row r="854" spans="1:28">
      <c r="A854" s="67" t="s">
        <v>122</v>
      </c>
      <c r="B854" s="68">
        <v>1230909</v>
      </c>
      <c r="C854" s="69">
        <v>4615409226</v>
      </c>
      <c r="D854" s="70">
        <v>19175</v>
      </c>
      <c r="E854" s="79"/>
      <c r="F854" s="68">
        <v>16</v>
      </c>
      <c r="G854" s="68">
        <v>5</v>
      </c>
      <c r="H854" s="73">
        <v>0</v>
      </c>
      <c r="I854" s="68">
        <v>0</v>
      </c>
      <c r="J854" s="71">
        <v>42820</v>
      </c>
      <c r="K854" s="71">
        <v>42676</v>
      </c>
      <c r="L854" s="69" t="s">
        <v>108</v>
      </c>
      <c r="M854" s="69" t="s">
        <v>109</v>
      </c>
      <c r="N854" s="72">
        <v>42894</v>
      </c>
      <c r="O854" s="67"/>
      <c r="P854" s="67" t="s">
        <v>95</v>
      </c>
      <c r="Q854" s="67" t="s">
        <v>120</v>
      </c>
      <c r="R854" s="69" t="s">
        <v>69</v>
      </c>
      <c r="S854" s="69" t="s">
        <v>123</v>
      </c>
      <c r="T854" s="67"/>
      <c r="U854" s="67"/>
      <c r="V854" s="72">
        <v>42855</v>
      </c>
      <c r="W854" s="69">
        <v>2025749</v>
      </c>
      <c r="X854" s="69"/>
      <c r="Y854" s="123"/>
      <c r="Z854" s="30">
        <f t="shared" si="26"/>
        <v>6763.7822038320437</v>
      </c>
      <c r="AA854" s="30">
        <f t="shared" si="27"/>
        <v>2113.6819386975139</v>
      </c>
      <c r="AB854" t="s">
        <v>456</v>
      </c>
    </row>
    <row r="855" spans="1:28">
      <c r="A855" s="67" t="s">
        <v>107</v>
      </c>
      <c r="B855" s="68">
        <v>1242703</v>
      </c>
      <c r="C855" s="69">
        <v>4615420532</v>
      </c>
      <c r="D855" s="70">
        <v>19200</v>
      </c>
      <c r="E855" s="79"/>
      <c r="F855" s="68">
        <v>154.4</v>
      </c>
      <c r="G855" s="68" t="s">
        <v>114</v>
      </c>
      <c r="H855" s="68">
        <v>0</v>
      </c>
      <c r="I855" s="68">
        <v>0</v>
      </c>
      <c r="J855" s="71">
        <v>42848</v>
      </c>
      <c r="K855" s="71">
        <v>42674</v>
      </c>
      <c r="L855" s="69" t="s">
        <v>132</v>
      </c>
      <c r="M855" s="69" t="s">
        <v>109</v>
      </c>
      <c r="N855" s="72">
        <v>42894</v>
      </c>
      <c r="O855" s="67"/>
      <c r="P855" s="67" t="s">
        <v>95</v>
      </c>
      <c r="Q855" s="67" t="s">
        <v>110</v>
      </c>
      <c r="R855" s="69" t="s">
        <v>69</v>
      </c>
      <c r="S855" s="69" t="s">
        <v>111</v>
      </c>
      <c r="T855" s="67"/>
      <c r="U855" s="67"/>
      <c r="V855" s="72">
        <v>42886</v>
      </c>
      <c r="W855" s="69" t="s">
        <v>207</v>
      </c>
      <c r="X855" s="69"/>
      <c r="Y855" s="123"/>
      <c r="Z855" s="30">
        <f t="shared" si="26"/>
        <v>65355.596700182585</v>
      </c>
      <c r="AA855" s="30">
        <f t="shared" si="27"/>
        <v>0</v>
      </c>
      <c r="AB855" t="s">
        <v>456</v>
      </c>
    </row>
    <row r="856" spans="1:28">
      <c r="A856" s="67" t="s">
        <v>113</v>
      </c>
      <c r="B856" s="68">
        <v>1224446</v>
      </c>
      <c r="C856" s="69">
        <v>4615400270</v>
      </c>
      <c r="D856" s="70">
        <v>19200</v>
      </c>
      <c r="E856" s="79"/>
      <c r="F856" s="73">
        <v>16</v>
      </c>
      <c r="G856" s="73" t="s">
        <v>114</v>
      </c>
      <c r="H856" s="73">
        <v>0</v>
      </c>
      <c r="I856" s="68">
        <v>0</v>
      </c>
      <c r="J856" s="71">
        <v>42785</v>
      </c>
      <c r="K856" s="71">
        <v>42674</v>
      </c>
      <c r="L856" s="69" t="s">
        <v>119</v>
      </c>
      <c r="M856" s="69" t="s">
        <v>109</v>
      </c>
      <c r="N856" s="72">
        <v>42893</v>
      </c>
      <c r="O856" s="67"/>
      <c r="P856" s="67" t="s">
        <v>95</v>
      </c>
      <c r="Q856" s="67" t="s">
        <v>110</v>
      </c>
      <c r="R856" s="69" t="s">
        <v>69</v>
      </c>
      <c r="S856" s="69" t="s">
        <v>115</v>
      </c>
      <c r="T856" s="67"/>
      <c r="U856" s="67"/>
      <c r="V856" s="72">
        <v>42825</v>
      </c>
      <c r="W856" s="69" t="s">
        <v>198</v>
      </c>
      <c r="X856" s="69" t="s">
        <v>208</v>
      </c>
      <c r="Y856" s="123"/>
      <c r="Z856" s="30">
        <f t="shared" si="26"/>
        <v>6772.6006943194379</v>
      </c>
      <c r="AA856" s="30">
        <f t="shared" si="27"/>
        <v>0</v>
      </c>
      <c r="AB856" t="s">
        <v>456</v>
      </c>
    </row>
    <row r="857" spans="1:28">
      <c r="A857" s="67" t="s">
        <v>122</v>
      </c>
      <c r="B857" s="68">
        <v>1230907</v>
      </c>
      <c r="C857" s="69">
        <v>4615409226</v>
      </c>
      <c r="D857" s="70">
        <v>19175</v>
      </c>
      <c r="E857" s="79"/>
      <c r="F857" s="68">
        <v>16</v>
      </c>
      <c r="G857" s="68">
        <v>5</v>
      </c>
      <c r="H857" s="73">
        <v>0</v>
      </c>
      <c r="I857" s="68">
        <v>0</v>
      </c>
      <c r="J857" s="71">
        <v>42820</v>
      </c>
      <c r="K857" s="71">
        <v>42668</v>
      </c>
      <c r="L857" s="69" t="s">
        <v>108</v>
      </c>
      <c r="M857" s="69" t="s">
        <v>109</v>
      </c>
      <c r="N857" s="72">
        <v>42893</v>
      </c>
      <c r="O857" s="67"/>
      <c r="P857" s="67" t="s">
        <v>95</v>
      </c>
      <c r="Q857" s="67" t="s">
        <v>120</v>
      </c>
      <c r="R857" s="69" t="s">
        <v>69</v>
      </c>
      <c r="S857" s="69" t="s">
        <v>123</v>
      </c>
      <c r="T857" s="67"/>
      <c r="U857" s="67"/>
      <c r="V857" s="72">
        <v>42855</v>
      </c>
      <c r="W857" s="69">
        <v>2025749</v>
      </c>
      <c r="X857" s="69"/>
      <c r="Y857" s="123"/>
      <c r="Z857" s="30">
        <f t="shared" si="26"/>
        <v>6763.7822038320437</v>
      </c>
      <c r="AA857" s="30">
        <f t="shared" si="27"/>
        <v>2113.6819386975139</v>
      </c>
      <c r="AB857" t="s">
        <v>456</v>
      </c>
    </row>
    <row r="858" spans="1:28">
      <c r="A858" s="67" t="s">
        <v>122</v>
      </c>
      <c r="B858" s="68">
        <v>1230910</v>
      </c>
      <c r="C858" s="69">
        <v>4615409226</v>
      </c>
      <c r="D858" s="70">
        <v>19175</v>
      </c>
      <c r="E858" s="79"/>
      <c r="F858" s="68">
        <v>16</v>
      </c>
      <c r="G858" s="68">
        <v>5</v>
      </c>
      <c r="H858" s="73">
        <v>0</v>
      </c>
      <c r="I858" s="68">
        <v>0</v>
      </c>
      <c r="J858" s="71">
        <v>42820</v>
      </c>
      <c r="K858" s="71">
        <v>42668</v>
      </c>
      <c r="L858" s="69" t="s">
        <v>108</v>
      </c>
      <c r="M858" s="69" t="s">
        <v>109</v>
      </c>
      <c r="N858" s="72">
        <v>42893</v>
      </c>
      <c r="O858" s="67"/>
      <c r="P858" s="67" t="s">
        <v>95</v>
      </c>
      <c r="Q858" s="67" t="s">
        <v>120</v>
      </c>
      <c r="R858" s="69" t="s">
        <v>69</v>
      </c>
      <c r="S858" s="69" t="s">
        <v>123</v>
      </c>
      <c r="T858" s="67"/>
      <c r="U858" s="67"/>
      <c r="V858" s="72">
        <v>42855</v>
      </c>
      <c r="W858" s="69">
        <v>2025749</v>
      </c>
      <c r="X858" s="69"/>
      <c r="Y858" s="123"/>
      <c r="Z858" s="30">
        <f t="shared" si="26"/>
        <v>6763.7822038320437</v>
      </c>
      <c r="AA858" s="30">
        <f t="shared" si="27"/>
        <v>2113.6819386975139</v>
      </c>
      <c r="AB858" t="s">
        <v>456</v>
      </c>
    </row>
    <row r="859" spans="1:28">
      <c r="A859" s="67" t="s">
        <v>131</v>
      </c>
      <c r="B859" s="68">
        <v>1238737</v>
      </c>
      <c r="C859" s="69">
        <v>4615420837</v>
      </c>
      <c r="D859" s="70">
        <v>19200</v>
      </c>
      <c r="E859" s="79"/>
      <c r="F859" s="75">
        <v>154.4</v>
      </c>
      <c r="G859" s="75" t="s">
        <v>114</v>
      </c>
      <c r="H859" s="68">
        <v>0</v>
      </c>
      <c r="I859" s="68">
        <v>0</v>
      </c>
      <c r="J859" s="71">
        <v>42835</v>
      </c>
      <c r="K859" s="71">
        <v>42699</v>
      </c>
      <c r="L859" s="69" t="s">
        <v>108</v>
      </c>
      <c r="M859" s="69" t="s">
        <v>109</v>
      </c>
      <c r="N859" s="72">
        <v>42892</v>
      </c>
      <c r="O859" s="67"/>
      <c r="P859" s="67" t="s">
        <v>95</v>
      </c>
      <c r="Q859" s="67" t="s">
        <v>125</v>
      </c>
      <c r="R859" s="69" t="s">
        <v>69</v>
      </c>
      <c r="S859" s="69" t="s">
        <v>134</v>
      </c>
      <c r="T859" s="67"/>
      <c r="U859" s="67"/>
      <c r="V859" s="72">
        <v>42886</v>
      </c>
      <c r="W859" s="69" t="s">
        <v>204</v>
      </c>
      <c r="X859" s="69"/>
      <c r="Y859" s="123"/>
      <c r="Z859" s="30">
        <f t="shared" si="26"/>
        <v>65355.596700182585</v>
      </c>
      <c r="AA859" s="30">
        <f t="shared" si="27"/>
        <v>0</v>
      </c>
      <c r="AB859" t="s">
        <v>456</v>
      </c>
    </row>
    <row r="860" spans="1:28">
      <c r="A860" s="67" t="s">
        <v>113</v>
      </c>
      <c r="B860" s="68">
        <v>1210294</v>
      </c>
      <c r="C860" s="69">
        <v>4615411752</v>
      </c>
      <c r="D860" s="70">
        <v>19175</v>
      </c>
      <c r="E860" s="79"/>
      <c r="F860" s="68">
        <v>16</v>
      </c>
      <c r="G860" s="68" t="s">
        <v>114</v>
      </c>
      <c r="H860" s="73">
        <v>0</v>
      </c>
      <c r="I860" s="68">
        <v>0</v>
      </c>
      <c r="J860" s="71">
        <v>42732</v>
      </c>
      <c r="K860" s="71">
        <v>42699</v>
      </c>
      <c r="L860" s="69" t="s">
        <v>119</v>
      </c>
      <c r="M860" s="69" t="s">
        <v>109</v>
      </c>
      <c r="N860" s="72">
        <v>42892</v>
      </c>
      <c r="O860" s="67"/>
      <c r="P860" s="67" t="s">
        <v>95</v>
      </c>
      <c r="Q860" s="67" t="s">
        <v>110</v>
      </c>
      <c r="R860" s="69" t="s">
        <v>69</v>
      </c>
      <c r="S860" s="69" t="s">
        <v>115</v>
      </c>
      <c r="T860" s="67"/>
      <c r="U860" s="67"/>
      <c r="V860" s="72">
        <v>42766</v>
      </c>
      <c r="W860" s="69" t="s">
        <v>209</v>
      </c>
      <c r="X860" s="69"/>
      <c r="Y860" s="123"/>
      <c r="Z860" s="30">
        <f t="shared" si="26"/>
        <v>6763.7822038320437</v>
      </c>
      <c r="AA860" s="30">
        <f t="shared" si="27"/>
        <v>0</v>
      </c>
      <c r="AB860" t="s">
        <v>456</v>
      </c>
    </row>
    <row r="861" spans="1:28">
      <c r="A861" s="67" t="s">
        <v>113</v>
      </c>
      <c r="B861" s="68">
        <v>1229388</v>
      </c>
      <c r="C861" s="69">
        <v>4615416536</v>
      </c>
      <c r="D861" s="70">
        <v>19200</v>
      </c>
      <c r="E861" s="79"/>
      <c r="F861" s="73">
        <v>16</v>
      </c>
      <c r="G861" s="73" t="s">
        <v>114</v>
      </c>
      <c r="H861" s="68">
        <v>0</v>
      </c>
      <c r="I861" s="68">
        <v>0</v>
      </c>
      <c r="J861" s="71">
        <v>42820</v>
      </c>
      <c r="K861" s="71">
        <v>42701</v>
      </c>
      <c r="L861" s="69" t="s">
        <v>108</v>
      </c>
      <c r="M861" s="69" t="s">
        <v>109</v>
      </c>
      <c r="N861" s="72">
        <v>42892</v>
      </c>
      <c r="O861" s="67"/>
      <c r="P861" s="67" t="s">
        <v>95</v>
      </c>
      <c r="Q861" s="67" t="s">
        <v>110</v>
      </c>
      <c r="R861" s="69" t="s">
        <v>69</v>
      </c>
      <c r="S861" s="69" t="s">
        <v>115</v>
      </c>
      <c r="T861" s="67"/>
      <c r="U861" s="67"/>
      <c r="V861" s="72">
        <v>42855</v>
      </c>
      <c r="W861" s="69" t="s">
        <v>210</v>
      </c>
      <c r="X861" s="69" t="s">
        <v>211</v>
      </c>
      <c r="Y861" s="123"/>
      <c r="Z861" s="30">
        <f t="shared" si="26"/>
        <v>6772.6006943194379</v>
      </c>
      <c r="AA861" s="30">
        <f t="shared" si="27"/>
        <v>0</v>
      </c>
      <c r="AB861" t="s">
        <v>456</v>
      </c>
    </row>
    <row r="862" spans="1:28">
      <c r="A862" s="67" t="s">
        <v>113</v>
      </c>
      <c r="B862" s="68">
        <v>1229386</v>
      </c>
      <c r="C862" s="69">
        <v>4615416536</v>
      </c>
      <c r="D862" s="70">
        <v>19200</v>
      </c>
      <c r="E862" s="79"/>
      <c r="F862" s="73">
        <v>16</v>
      </c>
      <c r="G862" s="73" t="s">
        <v>114</v>
      </c>
      <c r="H862" s="68">
        <v>0</v>
      </c>
      <c r="I862" s="68">
        <v>0</v>
      </c>
      <c r="J862" s="71">
        <v>42820</v>
      </c>
      <c r="K862" s="71">
        <v>42834</v>
      </c>
      <c r="L862" s="69" t="s">
        <v>108</v>
      </c>
      <c r="M862" s="69" t="s">
        <v>109</v>
      </c>
      <c r="N862" s="72">
        <v>42892</v>
      </c>
      <c r="O862" s="67"/>
      <c r="P862" s="67" t="s">
        <v>95</v>
      </c>
      <c r="Q862" s="67" t="s">
        <v>110</v>
      </c>
      <c r="R862" s="69" t="s">
        <v>69</v>
      </c>
      <c r="S862" s="69" t="s">
        <v>115</v>
      </c>
      <c r="T862" s="67"/>
      <c r="U862" s="67"/>
      <c r="V862" s="72">
        <v>42855</v>
      </c>
      <c r="W862" s="69" t="s">
        <v>210</v>
      </c>
      <c r="X862" s="69" t="s">
        <v>211</v>
      </c>
      <c r="Y862" s="123"/>
      <c r="Z862" s="30">
        <f t="shared" si="26"/>
        <v>6772.6006943194379</v>
      </c>
      <c r="AA862" s="30">
        <f t="shared" si="27"/>
        <v>0</v>
      </c>
      <c r="AB862" t="s">
        <v>456</v>
      </c>
    </row>
    <row r="863" spans="1:28">
      <c r="A863" s="67" t="s">
        <v>107</v>
      </c>
      <c r="B863" s="68">
        <v>1225776</v>
      </c>
      <c r="C863" s="69">
        <v>4615461056</v>
      </c>
      <c r="D863" s="70">
        <v>19200</v>
      </c>
      <c r="E863" s="79"/>
      <c r="F863" s="82">
        <v>154.4</v>
      </c>
      <c r="G863" s="82" t="s">
        <v>114</v>
      </c>
      <c r="H863" s="73">
        <v>0</v>
      </c>
      <c r="I863" s="68">
        <v>0</v>
      </c>
      <c r="J863" s="71">
        <v>42806</v>
      </c>
      <c r="K863" s="71">
        <v>42828</v>
      </c>
      <c r="L863" s="69" t="s">
        <v>119</v>
      </c>
      <c r="M863" s="69" t="s">
        <v>109</v>
      </c>
      <c r="N863" s="72">
        <v>42891</v>
      </c>
      <c r="O863" s="67"/>
      <c r="P863" s="67" t="s">
        <v>95</v>
      </c>
      <c r="Q863" s="67" t="s">
        <v>110</v>
      </c>
      <c r="R863" s="69" t="s">
        <v>69</v>
      </c>
      <c r="S863" s="69" t="s">
        <v>111</v>
      </c>
      <c r="T863" s="67"/>
      <c r="U863" s="67"/>
      <c r="V863" s="72">
        <v>42825</v>
      </c>
      <c r="W863" s="69" t="s">
        <v>197</v>
      </c>
      <c r="X863" s="69"/>
      <c r="Y863" s="123"/>
      <c r="Z863" s="30">
        <f t="shared" si="26"/>
        <v>65355.596700182585</v>
      </c>
      <c r="AA863" s="30">
        <f t="shared" si="27"/>
        <v>0</v>
      </c>
      <c r="AB863" t="s">
        <v>456</v>
      </c>
    </row>
    <row r="864" spans="1:28">
      <c r="A864" s="67" t="s">
        <v>113</v>
      </c>
      <c r="B864" s="68">
        <v>1224447</v>
      </c>
      <c r="C864" s="69">
        <v>4615400270</v>
      </c>
      <c r="D864" s="70">
        <v>19200</v>
      </c>
      <c r="E864" s="79"/>
      <c r="F864" s="73">
        <v>16</v>
      </c>
      <c r="G864" s="73" t="s">
        <v>114</v>
      </c>
      <c r="H864" s="73">
        <v>0</v>
      </c>
      <c r="I864" s="68">
        <v>0</v>
      </c>
      <c r="J864" s="71">
        <v>42785</v>
      </c>
      <c r="K864" s="71">
        <v>42848</v>
      </c>
      <c r="L864" s="69" t="s">
        <v>119</v>
      </c>
      <c r="M864" s="69" t="s">
        <v>109</v>
      </c>
      <c r="N864" s="72">
        <v>42891</v>
      </c>
      <c r="O864" s="67"/>
      <c r="P864" s="67" t="s">
        <v>95</v>
      </c>
      <c r="Q864" s="67" t="s">
        <v>110</v>
      </c>
      <c r="R864" s="69" t="s">
        <v>69</v>
      </c>
      <c r="S864" s="69" t="s">
        <v>115</v>
      </c>
      <c r="T864" s="67"/>
      <c r="U864" s="67"/>
      <c r="V864" s="72">
        <v>42825</v>
      </c>
      <c r="W864" s="69" t="s">
        <v>198</v>
      </c>
      <c r="X864" s="69" t="s">
        <v>208</v>
      </c>
      <c r="Y864" s="123"/>
      <c r="Z864" s="30">
        <f t="shared" si="26"/>
        <v>6772.6006943194379</v>
      </c>
      <c r="AA864" s="30">
        <f t="shared" si="27"/>
        <v>0</v>
      </c>
      <c r="AB864" t="s">
        <v>456</v>
      </c>
    </row>
    <row r="865" spans="1:28">
      <c r="A865" s="67" t="s">
        <v>113</v>
      </c>
      <c r="B865" s="68">
        <v>1224445</v>
      </c>
      <c r="C865" s="69">
        <v>4615400270</v>
      </c>
      <c r="D865" s="70">
        <v>19200</v>
      </c>
      <c r="E865" s="79"/>
      <c r="F865" s="73">
        <v>16</v>
      </c>
      <c r="G865" s="73" t="s">
        <v>114</v>
      </c>
      <c r="H865" s="73">
        <v>0</v>
      </c>
      <c r="I865" s="68">
        <v>0</v>
      </c>
      <c r="J865" s="71">
        <v>42785</v>
      </c>
      <c r="K865" s="71">
        <v>42848</v>
      </c>
      <c r="L865" s="69" t="s">
        <v>119</v>
      </c>
      <c r="M865" s="69" t="s">
        <v>109</v>
      </c>
      <c r="N865" s="72">
        <v>42891</v>
      </c>
      <c r="O865" s="67"/>
      <c r="P865" s="67" t="s">
        <v>95</v>
      </c>
      <c r="Q865" s="67" t="s">
        <v>110</v>
      </c>
      <c r="R865" s="69" t="s">
        <v>69</v>
      </c>
      <c r="S865" s="69" t="s">
        <v>115</v>
      </c>
      <c r="T865" s="67"/>
      <c r="U865" s="67"/>
      <c r="V865" s="72">
        <v>42825</v>
      </c>
      <c r="W865" s="69" t="s">
        <v>198</v>
      </c>
      <c r="X865" s="69" t="s">
        <v>208</v>
      </c>
      <c r="Y865" s="123"/>
      <c r="Z865" s="30">
        <f t="shared" si="26"/>
        <v>6772.6006943194379</v>
      </c>
      <c r="AA865" s="30">
        <f t="shared" si="27"/>
        <v>0</v>
      </c>
      <c r="AB865" t="s">
        <v>456</v>
      </c>
    </row>
    <row r="866" spans="1:28">
      <c r="A866" s="67" t="s">
        <v>113</v>
      </c>
      <c r="B866" s="68">
        <v>1234084</v>
      </c>
      <c r="C866" s="69">
        <v>4615407710</v>
      </c>
      <c r="D866" s="70">
        <v>20700</v>
      </c>
      <c r="E866" s="79"/>
      <c r="F866" s="68">
        <v>16</v>
      </c>
      <c r="G866" s="68" t="s">
        <v>114</v>
      </c>
      <c r="H866" s="73">
        <v>0</v>
      </c>
      <c r="I866" s="68">
        <v>0</v>
      </c>
      <c r="J866" s="71">
        <v>42834</v>
      </c>
      <c r="K866" s="71">
        <v>42831</v>
      </c>
      <c r="L866" s="69" t="s">
        <v>108</v>
      </c>
      <c r="M866" s="69" t="s">
        <v>109</v>
      </c>
      <c r="N866" s="72">
        <v>42891</v>
      </c>
      <c r="O866" s="67"/>
      <c r="P866" s="67" t="s">
        <v>95</v>
      </c>
      <c r="Q866" s="67" t="s">
        <v>110</v>
      </c>
      <c r="R866" s="69" t="s">
        <v>69</v>
      </c>
      <c r="S866" s="69" t="s">
        <v>115</v>
      </c>
      <c r="T866" s="67"/>
      <c r="U866" s="67"/>
      <c r="V866" s="72">
        <v>42886</v>
      </c>
      <c r="W866" s="69" t="s">
        <v>205</v>
      </c>
      <c r="X866" s="69" t="s">
        <v>206</v>
      </c>
      <c r="Y866" s="123"/>
      <c r="Z866" s="30">
        <f t="shared" si="26"/>
        <v>7301.7101235631453</v>
      </c>
      <c r="AA866" s="30">
        <f t="shared" si="27"/>
        <v>0</v>
      </c>
      <c r="AB866" t="s">
        <v>456</v>
      </c>
    </row>
    <row r="867" spans="1:28">
      <c r="A867" s="67" t="s">
        <v>113</v>
      </c>
      <c r="B867" s="68">
        <v>1234047</v>
      </c>
      <c r="C867" s="69">
        <v>4615417120</v>
      </c>
      <c r="D867" s="70">
        <v>20700</v>
      </c>
      <c r="E867" s="79"/>
      <c r="F867" s="68">
        <v>16</v>
      </c>
      <c r="G867" s="68">
        <v>5</v>
      </c>
      <c r="H867" s="73">
        <v>0</v>
      </c>
      <c r="I867" s="68">
        <v>0</v>
      </c>
      <c r="J867" s="71">
        <v>42828</v>
      </c>
      <c r="K867" s="71">
        <v>42831</v>
      </c>
      <c r="L867" s="69" t="s">
        <v>108</v>
      </c>
      <c r="M867" s="69" t="s">
        <v>109</v>
      </c>
      <c r="N867" s="72">
        <v>42891</v>
      </c>
      <c r="O867" s="67"/>
      <c r="P867" s="67" t="s">
        <v>95</v>
      </c>
      <c r="Q867" s="67" t="s">
        <v>110</v>
      </c>
      <c r="R867" s="69" t="s">
        <v>69</v>
      </c>
      <c r="S867" s="69" t="s">
        <v>115</v>
      </c>
      <c r="T867" s="67"/>
      <c r="U867" s="67"/>
      <c r="V867" s="72">
        <v>42886</v>
      </c>
      <c r="W867" s="69" t="s">
        <v>153</v>
      </c>
      <c r="X867" s="69" t="s">
        <v>117</v>
      </c>
      <c r="Y867" s="123"/>
      <c r="Z867" s="30">
        <f t="shared" si="26"/>
        <v>7301.7101235631453</v>
      </c>
      <c r="AA867" s="30">
        <f t="shared" si="27"/>
        <v>2281.7844136134831</v>
      </c>
      <c r="AB867" t="s">
        <v>456</v>
      </c>
    </row>
    <row r="868" spans="1:28">
      <c r="A868" s="67" t="s">
        <v>122</v>
      </c>
      <c r="B868" s="68">
        <v>1230568</v>
      </c>
      <c r="C868" s="69">
        <v>4615410392</v>
      </c>
      <c r="D868" s="70">
        <v>19200</v>
      </c>
      <c r="E868" s="79"/>
      <c r="F868" s="68">
        <v>16</v>
      </c>
      <c r="G868" s="68">
        <v>5</v>
      </c>
      <c r="H868" s="73">
        <v>0</v>
      </c>
      <c r="I868" s="68">
        <v>0</v>
      </c>
      <c r="J868" s="71">
        <v>42814</v>
      </c>
      <c r="K868" s="71">
        <v>42831</v>
      </c>
      <c r="L868" s="69" t="s">
        <v>108</v>
      </c>
      <c r="M868" s="69" t="s">
        <v>109</v>
      </c>
      <c r="N868" s="72">
        <v>42891</v>
      </c>
      <c r="O868" s="67"/>
      <c r="P868" s="67" t="s">
        <v>95</v>
      </c>
      <c r="Q868" s="67" t="s">
        <v>120</v>
      </c>
      <c r="R868" s="69" t="s">
        <v>69</v>
      </c>
      <c r="S868" s="69" t="s">
        <v>123</v>
      </c>
      <c r="T868" s="67"/>
      <c r="U868" s="67"/>
      <c r="V868" s="72">
        <v>42855</v>
      </c>
      <c r="W868" s="69">
        <v>2025781</v>
      </c>
      <c r="X868" s="69" t="s">
        <v>196</v>
      </c>
      <c r="Y868" s="123"/>
      <c r="Z868" s="30">
        <f t="shared" si="26"/>
        <v>6772.6006943194379</v>
      </c>
      <c r="AA868" s="30">
        <f t="shared" si="27"/>
        <v>2116.4377169748245</v>
      </c>
      <c r="AB868" t="s">
        <v>456</v>
      </c>
    </row>
    <row r="869" spans="1:28">
      <c r="A869" s="67" t="s">
        <v>122</v>
      </c>
      <c r="B869" s="68">
        <v>1230567</v>
      </c>
      <c r="C869" s="69">
        <v>4615410392</v>
      </c>
      <c r="D869" s="70">
        <v>19200</v>
      </c>
      <c r="E869" s="79"/>
      <c r="F869" s="68">
        <v>16</v>
      </c>
      <c r="G869" s="68">
        <v>5</v>
      </c>
      <c r="H869" s="73">
        <v>0</v>
      </c>
      <c r="I869" s="68">
        <v>0</v>
      </c>
      <c r="J869" s="71">
        <v>42814</v>
      </c>
      <c r="K869" s="71">
        <v>42831</v>
      </c>
      <c r="L869" s="69" t="s">
        <v>108</v>
      </c>
      <c r="M869" s="69" t="s">
        <v>109</v>
      </c>
      <c r="N869" s="72">
        <v>42891</v>
      </c>
      <c r="O869" s="67"/>
      <c r="P869" s="67" t="s">
        <v>95</v>
      </c>
      <c r="Q869" s="67" t="s">
        <v>120</v>
      </c>
      <c r="R869" s="69" t="s">
        <v>69</v>
      </c>
      <c r="S869" s="69" t="s">
        <v>123</v>
      </c>
      <c r="T869" s="67"/>
      <c r="U869" s="67"/>
      <c r="V869" s="72">
        <v>42855</v>
      </c>
      <c r="W869" s="69">
        <v>2025781</v>
      </c>
      <c r="X869" s="69" t="s">
        <v>196</v>
      </c>
      <c r="Y869" s="123"/>
      <c r="Z869" s="30">
        <f t="shared" si="26"/>
        <v>6772.6006943194379</v>
      </c>
      <c r="AA869" s="30">
        <f t="shared" si="27"/>
        <v>2116.4377169748245</v>
      </c>
      <c r="AB869" t="s">
        <v>456</v>
      </c>
    </row>
    <row r="870" spans="1:28">
      <c r="A870" s="67" t="s">
        <v>122</v>
      </c>
      <c r="B870" s="68">
        <v>1230562</v>
      </c>
      <c r="C870" s="69">
        <v>4615410392</v>
      </c>
      <c r="D870" s="70">
        <v>19200</v>
      </c>
      <c r="E870" s="80"/>
      <c r="F870" s="68">
        <v>16</v>
      </c>
      <c r="G870" s="68">
        <v>5</v>
      </c>
      <c r="H870" s="73">
        <v>0</v>
      </c>
      <c r="I870" s="68">
        <v>0</v>
      </c>
      <c r="J870" s="71">
        <v>42814</v>
      </c>
      <c r="K870" s="71">
        <v>42831</v>
      </c>
      <c r="L870" s="69" t="s">
        <v>108</v>
      </c>
      <c r="M870" s="69" t="s">
        <v>109</v>
      </c>
      <c r="N870" s="72">
        <v>42891</v>
      </c>
      <c r="O870" s="67"/>
      <c r="P870" s="67" t="s">
        <v>95</v>
      </c>
      <c r="Q870" s="67" t="s">
        <v>120</v>
      </c>
      <c r="R870" s="69" t="s">
        <v>69</v>
      </c>
      <c r="S870" s="69" t="s">
        <v>123</v>
      </c>
      <c r="T870" s="67"/>
      <c r="U870" s="67"/>
      <c r="V870" s="72">
        <v>42855</v>
      </c>
      <c r="W870" s="69">
        <v>2025781</v>
      </c>
      <c r="X870" s="69" t="s">
        <v>196</v>
      </c>
      <c r="Y870" s="123"/>
      <c r="Z870" s="30">
        <f t="shared" si="26"/>
        <v>6772.6006943194379</v>
      </c>
      <c r="AA870" s="30">
        <f t="shared" si="27"/>
        <v>2116.4377169748245</v>
      </c>
      <c r="AB870" t="s">
        <v>456</v>
      </c>
    </row>
    <row r="871" spans="1:28">
      <c r="A871" s="67" t="s">
        <v>122</v>
      </c>
      <c r="B871" s="68">
        <v>1230563</v>
      </c>
      <c r="C871" s="69">
        <v>4615410392</v>
      </c>
      <c r="D871" s="70">
        <v>19200</v>
      </c>
      <c r="E871" s="80"/>
      <c r="F871" s="68">
        <v>16</v>
      </c>
      <c r="G871" s="68">
        <v>5</v>
      </c>
      <c r="H871" s="73">
        <v>0</v>
      </c>
      <c r="I871" s="68">
        <v>0</v>
      </c>
      <c r="J871" s="71">
        <v>42814</v>
      </c>
      <c r="K871" s="71">
        <v>42831</v>
      </c>
      <c r="L871" s="69" t="s">
        <v>108</v>
      </c>
      <c r="M871" s="69" t="s">
        <v>109</v>
      </c>
      <c r="N871" s="72">
        <v>42891</v>
      </c>
      <c r="O871" s="67"/>
      <c r="P871" s="67" t="s">
        <v>95</v>
      </c>
      <c r="Q871" s="67" t="s">
        <v>120</v>
      </c>
      <c r="R871" s="69" t="s">
        <v>69</v>
      </c>
      <c r="S871" s="69" t="s">
        <v>123</v>
      </c>
      <c r="T871" s="67"/>
      <c r="U871" s="67"/>
      <c r="V871" s="72">
        <v>42855</v>
      </c>
      <c r="W871" s="69">
        <v>2025781</v>
      </c>
      <c r="X871" s="69" t="s">
        <v>196</v>
      </c>
      <c r="Y871" s="123"/>
      <c r="Z871" s="30">
        <f t="shared" si="26"/>
        <v>6772.6006943194379</v>
      </c>
      <c r="AA871" s="30">
        <f t="shared" si="27"/>
        <v>2116.4377169748245</v>
      </c>
      <c r="AB871" t="s">
        <v>456</v>
      </c>
    </row>
    <row r="872" spans="1:28">
      <c r="A872" s="67" t="s">
        <v>122</v>
      </c>
      <c r="B872" s="68">
        <v>1230561</v>
      </c>
      <c r="C872" s="69">
        <v>4615410392</v>
      </c>
      <c r="D872" s="70">
        <v>19200</v>
      </c>
      <c r="E872" s="80"/>
      <c r="F872" s="68">
        <v>16</v>
      </c>
      <c r="G872" s="68">
        <v>5</v>
      </c>
      <c r="H872" s="73">
        <v>0</v>
      </c>
      <c r="I872" s="68">
        <v>0</v>
      </c>
      <c r="J872" s="71">
        <v>42814</v>
      </c>
      <c r="K872" s="71">
        <v>42831</v>
      </c>
      <c r="L872" s="69" t="s">
        <v>108</v>
      </c>
      <c r="M872" s="69" t="s">
        <v>109</v>
      </c>
      <c r="N872" s="72">
        <v>42890</v>
      </c>
      <c r="O872" s="67"/>
      <c r="P872" s="67" t="s">
        <v>95</v>
      </c>
      <c r="Q872" s="67" t="s">
        <v>120</v>
      </c>
      <c r="R872" s="69" t="s">
        <v>69</v>
      </c>
      <c r="S872" s="69" t="s">
        <v>123</v>
      </c>
      <c r="T872" s="67"/>
      <c r="U872" s="67"/>
      <c r="V872" s="72">
        <v>42855</v>
      </c>
      <c r="W872" s="69">
        <v>2025781</v>
      </c>
      <c r="X872" s="69" t="s">
        <v>196</v>
      </c>
      <c r="Y872" s="123"/>
      <c r="Z872" s="30">
        <f t="shared" si="26"/>
        <v>6772.6006943194379</v>
      </c>
      <c r="AA872" s="30">
        <f t="shared" si="27"/>
        <v>2116.4377169748245</v>
      </c>
      <c r="AB872" t="s">
        <v>456</v>
      </c>
    </row>
    <row r="873" spans="1:28">
      <c r="A873" s="67" t="s">
        <v>113</v>
      </c>
      <c r="B873" s="68">
        <v>1229391</v>
      </c>
      <c r="C873" s="69">
        <v>4615416536</v>
      </c>
      <c r="D873" s="70">
        <v>19200</v>
      </c>
      <c r="E873" s="80"/>
      <c r="F873" s="73">
        <v>16</v>
      </c>
      <c r="G873" s="73" t="s">
        <v>114</v>
      </c>
      <c r="H873" s="68">
        <v>0</v>
      </c>
      <c r="I873" s="68">
        <v>0</v>
      </c>
      <c r="J873" s="71">
        <v>42820</v>
      </c>
      <c r="K873" s="71">
        <v>42831</v>
      </c>
      <c r="L873" s="69" t="s">
        <v>108</v>
      </c>
      <c r="M873" s="69" t="s">
        <v>109</v>
      </c>
      <c r="N873" s="72">
        <v>42890</v>
      </c>
      <c r="O873" s="67"/>
      <c r="P873" s="67" t="s">
        <v>95</v>
      </c>
      <c r="Q873" s="67" t="s">
        <v>110</v>
      </c>
      <c r="R873" s="69" t="s">
        <v>69</v>
      </c>
      <c r="S873" s="69" t="s">
        <v>115</v>
      </c>
      <c r="T873" s="67"/>
      <c r="U873" s="67"/>
      <c r="V873" s="72">
        <v>42855</v>
      </c>
      <c r="W873" s="69" t="s">
        <v>210</v>
      </c>
      <c r="X873" s="69" t="s">
        <v>211</v>
      </c>
      <c r="Y873" s="123"/>
      <c r="Z873" s="30">
        <f t="shared" si="26"/>
        <v>6772.6006943194379</v>
      </c>
      <c r="AA873" s="30">
        <f t="shared" si="27"/>
        <v>0</v>
      </c>
      <c r="AB873" t="s">
        <v>456</v>
      </c>
    </row>
    <row r="874" spans="1:28">
      <c r="A874" s="67" t="s">
        <v>113</v>
      </c>
      <c r="B874" s="68">
        <v>1223725</v>
      </c>
      <c r="C874" s="69">
        <v>4615400270</v>
      </c>
      <c r="D874" s="70">
        <v>19200</v>
      </c>
      <c r="E874" s="80"/>
      <c r="F874" s="73">
        <v>16</v>
      </c>
      <c r="G874" s="73" t="s">
        <v>114</v>
      </c>
      <c r="H874" s="73">
        <v>0</v>
      </c>
      <c r="I874" s="68">
        <v>0</v>
      </c>
      <c r="J874" s="71">
        <v>42785</v>
      </c>
      <c r="K874" s="71">
        <v>42831</v>
      </c>
      <c r="L874" s="69" t="s">
        <v>119</v>
      </c>
      <c r="M874" s="69" t="s">
        <v>109</v>
      </c>
      <c r="N874" s="72">
        <v>42890</v>
      </c>
      <c r="O874" s="67"/>
      <c r="P874" s="67" t="s">
        <v>95</v>
      </c>
      <c r="Q874" s="67" t="s">
        <v>110</v>
      </c>
      <c r="R874" s="69" t="s">
        <v>69</v>
      </c>
      <c r="S874" s="69" t="s">
        <v>115</v>
      </c>
      <c r="T874" s="67"/>
      <c r="U874" s="67"/>
      <c r="V874" s="72">
        <v>42825</v>
      </c>
      <c r="W874" s="69" t="s">
        <v>198</v>
      </c>
      <c r="X874" s="69" t="s">
        <v>208</v>
      </c>
      <c r="Y874" s="123"/>
      <c r="Z874" s="30">
        <f t="shared" si="26"/>
        <v>6772.6006943194379</v>
      </c>
      <c r="AA874" s="30">
        <f t="shared" si="27"/>
        <v>0</v>
      </c>
      <c r="AB874" t="s">
        <v>456</v>
      </c>
    </row>
    <row r="875" spans="1:28">
      <c r="A875" s="67" t="s">
        <v>113</v>
      </c>
      <c r="B875" s="68">
        <v>1223722</v>
      </c>
      <c r="C875" s="69">
        <v>4615400270</v>
      </c>
      <c r="D875" s="70">
        <v>19200</v>
      </c>
      <c r="E875" s="80"/>
      <c r="F875" s="73">
        <v>16</v>
      </c>
      <c r="G875" s="73" t="s">
        <v>114</v>
      </c>
      <c r="H875" s="75">
        <v>0</v>
      </c>
      <c r="I875" s="68">
        <v>0</v>
      </c>
      <c r="J875" s="71">
        <v>42785</v>
      </c>
      <c r="K875" s="71">
        <v>43093</v>
      </c>
      <c r="L875" s="69" t="s">
        <v>119</v>
      </c>
      <c r="M875" s="69" t="s">
        <v>109</v>
      </c>
      <c r="N875" s="72">
        <v>42887</v>
      </c>
      <c r="O875" s="67"/>
      <c r="P875" s="67" t="s">
        <v>95</v>
      </c>
      <c r="Q875" s="67" t="s">
        <v>110</v>
      </c>
      <c r="R875" s="69" t="s">
        <v>69</v>
      </c>
      <c r="S875" s="69" t="s">
        <v>115</v>
      </c>
      <c r="T875" s="67"/>
      <c r="U875" s="67"/>
      <c r="V875" s="72">
        <v>42825</v>
      </c>
      <c r="W875" s="69" t="s">
        <v>198</v>
      </c>
      <c r="X875" s="69" t="s">
        <v>208</v>
      </c>
      <c r="Y875" s="123"/>
      <c r="Z875" s="30">
        <f t="shared" si="26"/>
        <v>6772.6006943194379</v>
      </c>
      <c r="AA875" s="30">
        <f t="shared" si="27"/>
        <v>0</v>
      </c>
      <c r="AB875" t="s">
        <v>456</v>
      </c>
    </row>
    <row r="876" spans="1:28">
      <c r="A876" s="67" t="s">
        <v>113</v>
      </c>
      <c r="B876" s="68">
        <v>1223723</v>
      </c>
      <c r="C876" s="69">
        <v>4615400270</v>
      </c>
      <c r="D876" s="70">
        <v>19200</v>
      </c>
      <c r="E876" s="80"/>
      <c r="F876" s="73">
        <v>16</v>
      </c>
      <c r="G876" s="73" t="s">
        <v>114</v>
      </c>
      <c r="H876" s="75">
        <v>0</v>
      </c>
      <c r="I876" s="68">
        <v>0</v>
      </c>
      <c r="J876" s="71">
        <v>42785</v>
      </c>
      <c r="K876" s="71">
        <v>43093</v>
      </c>
      <c r="L876" s="69" t="s">
        <v>119</v>
      </c>
      <c r="M876" s="69" t="s">
        <v>109</v>
      </c>
      <c r="N876" s="72">
        <v>42887</v>
      </c>
      <c r="O876" s="67"/>
      <c r="P876" s="67" t="s">
        <v>95</v>
      </c>
      <c r="Q876" s="67" t="s">
        <v>110</v>
      </c>
      <c r="R876" s="69" t="s">
        <v>69</v>
      </c>
      <c r="S876" s="69" t="s">
        <v>115</v>
      </c>
      <c r="T876" s="67"/>
      <c r="U876" s="67"/>
      <c r="V876" s="72">
        <v>42825</v>
      </c>
      <c r="W876" s="69" t="s">
        <v>198</v>
      </c>
      <c r="X876" s="69" t="s">
        <v>208</v>
      </c>
      <c r="Y876" s="123"/>
      <c r="Z876" s="30">
        <f t="shared" si="26"/>
        <v>6772.6006943194379</v>
      </c>
      <c r="AA876" s="30">
        <f t="shared" si="27"/>
        <v>0</v>
      </c>
      <c r="AB876" t="s">
        <v>456</v>
      </c>
    </row>
    <row r="877" spans="1:28">
      <c r="A877" s="67" t="s">
        <v>122</v>
      </c>
      <c r="B877" s="68">
        <v>1230908</v>
      </c>
      <c r="C877" s="69">
        <v>4615409226</v>
      </c>
      <c r="D877" s="70">
        <v>19175</v>
      </c>
      <c r="E877" s="80"/>
      <c r="F877" s="68">
        <v>16</v>
      </c>
      <c r="G877" s="68">
        <v>5</v>
      </c>
      <c r="H877" s="73">
        <v>0</v>
      </c>
      <c r="I877" s="68">
        <v>0</v>
      </c>
      <c r="J877" s="71">
        <v>42820</v>
      </c>
      <c r="K877" s="71">
        <v>43100</v>
      </c>
      <c r="L877" s="69" t="s">
        <v>108</v>
      </c>
      <c r="M877" s="69" t="s">
        <v>109</v>
      </c>
      <c r="N877" s="72">
        <v>42887</v>
      </c>
      <c r="O877" s="67"/>
      <c r="P877" s="67" t="s">
        <v>95</v>
      </c>
      <c r="Q877" s="67" t="s">
        <v>120</v>
      </c>
      <c r="R877" s="69" t="s">
        <v>69</v>
      </c>
      <c r="S877" s="69" t="s">
        <v>123</v>
      </c>
      <c r="T877" s="67"/>
      <c r="U877" s="67"/>
      <c r="V877" s="72">
        <v>42855</v>
      </c>
      <c r="W877" s="69">
        <v>2025749</v>
      </c>
      <c r="X877" s="69"/>
      <c r="Y877" s="123"/>
      <c r="Z877" s="30">
        <f t="shared" si="26"/>
        <v>6763.7822038320437</v>
      </c>
      <c r="AA877" s="30">
        <f t="shared" si="27"/>
        <v>2113.6819386975139</v>
      </c>
      <c r="AB877" t="s">
        <v>456</v>
      </c>
    </row>
    <row r="878" spans="1:28">
      <c r="A878" s="67" t="s">
        <v>122</v>
      </c>
      <c r="B878" s="68">
        <v>1230560</v>
      </c>
      <c r="C878" s="69">
        <v>4615410392</v>
      </c>
      <c r="D878" s="70">
        <v>19200</v>
      </c>
      <c r="E878" s="80"/>
      <c r="F878" s="68">
        <v>16</v>
      </c>
      <c r="G878" s="68">
        <v>5</v>
      </c>
      <c r="H878" s="73">
        <v>0</v>
      </c>
      <c r="I878" s="68">
        <v>0</v>
      </c>
      <c r="J878" s="71">
        <v>42814</v>
      </c>
      <c r="K878" s="71">
        <v>43100</v>
      </c>
      <c r="L878" s="69" t="s">
        <v>108</v>
      </c>
      <c r="M878" s="69" t="s">
        <v>109</v>
      </c>
      <c r="N878" s="72">
        <v>42887</v>
      </c>
      <c r="O878" s="67"/>
      <c r="P878" s="67" t="s">
        <v>95</v>
      </c>
      <c r="Q878" s="67" t="s">
        <v>120</v>
      </c>
      <c r="R878" s="69" t="s">
        <v>69</v>
      </c>
      <c r="S878" s="69" t="s">
        <v>123</v>
      </c>
      <c r="T878" s="67"/>
      <c r="U878" s="67"/>
      <c r="V878" s="72">
        <v>42855</v>
      </c>
      <c r="W878" s="69">
        <v>2025781</v>
      </c>
      <c r="X878" s="69" t="s">
        <v>196</v>
      </c>
      <c r="Y878" s="123"/>
      <c r="Z878" s="30">
        <f t="shared" si="26"/>
        <v>6772.6006943194379</v>
      </c>
      <c r="AA878" s="30">
        <f t="shared" si="27"/>
        <v>2116.4377169748245</v>
      </c>
      <c r="AB878" t="s">
        <v>456</v>
      </c>
    </row>
    <row r="879" spans="1:28">
      <c r="A879" s="67" t="s">
        <v>122</v>
      </c>
      <c r="B879" s="68">
        <v>1219251</v>
      </c>
      <c r="C879" s="69">
        <v>4615410391</v>
      </c>
      <c r="D879" s="70">
        <v>19200</v>
      </c>
      <c r="E879" s="80"/>
      <c r="F879" s="73">
        <v>16</v>
      </c>
      <c r="G879" s="73">
        <v>5</v>
      </c>
      <c r="H879" s="68">
        <v>0</v>
      </c>
      <c r="I879" s="68">
        <v>0</v>
      </c>
      <c r="J879" s="71">
        <v>42765</v>
      </c>
      <c r="K879" s="71">
        <v>43004</v>
      </c>
      <c r="L879" s="69" t="s">
        <v>119</v>
      </c>
      <c r="M879" s="69" t="s">
        <v>109</v>
      </c>
      <c r="N879" s="72">
        <v>42886</v>
      </c>
      <c r="O879" s="67"/>
      <c r="P879" s="67" t="s">
        <v>95</v>
      </c>
      <c r="Q879" s="67" t="s">
        <v>120</v>
      </c>
      <c r="R879" s="69" t="s">
        <v>69</v>
      </c>
      <c r="S879" s="69" t="s">
        <v>123</v>
      </c>
      <c r="T879" s="67"/>
      <c r="U879" s="67"/>
      <c r="V879" s="72">
        <v>42766</v>
      </c>
      <c r="W879" s="69">
        <v>2025778</v>
      </c>
      <c r="X879" s="69"/>
      <c r="Y879" s="123"/>
      <c r="Z879" s="30">
        <f t="shared" si="26"/>
        <v>6772.6006943194379</v>
      </c>
      <c r="AA879" s="30">
        <f t="shared" si="27"/>
        <v>2116.4377169748245</v>
      </c>
      <c r="AB879" t="s">
        <v>456</v>
      </c>
    </row>
    <row r="880" spans="1:28">
      <c r="A880" s="67" t="s">
        <v>122</v>
      </c>
      <c r="B880" s="68">
        <v>1230564</v>
      </c>
      <c r="C880" s="69">
        <v>4615410392</v>
      </c>
      <c r="D880" s="70">
        <v>19200</v>
      </c>
      <c r="E880" s="79"/>
      <c r="F880" s="68">
        <v>16</v>
      </c>
      <c r="G880" s="68">
        <v>5</v>
      </c>
      <c r="H880" s="73">
        <v>0</v>
      </c>
      <c r="I880" s="68">
        <v>0</v>
      </c>
      <c r="J880" s="71">
        <v>42814</v>
      </c>
      <c r="K880" s="71">
        <v>42974</v>
      </c>
      <c r="L880" s="69" t="s">
        <v>108</v>
      </c>
      <c r="M880" s="69" t="s">
        <v>109</v>
      </c>
      <c r="N880" s="72">
        <v>42885</v>
      </c>
      <c r="O880" s="67"/>
      <c r="P880" s="67" t="s">
        <v>95</v>
      </c>
      <c r="Q880" s="67" t="s">
        <v>120</v>
      </c>
      <c r="R880" s="69" t="s">
        <v>69</v>
      </c>
      <c r="S880" s="69" t="s">
        <v>123</v>
      </c>
      <c r="T880" s="76"/>
      <c r="U880" s="67"/>
      <c r="V880" s="72">
        <v>42855</v>
      </c>
      <c r="W880" s="69">
        <v>2025781</v>
      </c>
      <c r="X880" s="69" t="s">
        <v>196</v>
      </c>
      <c r="Y880" s="123"/>
      <c r="Z880" s="30">
        <f t="shared" si="26"/>
        <v>6772.6006943194379</v>
      </c>
      <c r="AA880" s="30">
        <f t="shared" si="27"/>
        <v>2116.4377169748245</v>
      </c>
      <c r="AB880" t="s">
        <v>456</v>
      </c>
    </row>
    <row r="881" spans="1:28">
      <c r="A881" s="67" t="s">
        <v>113</v>
      </c>
      <c r="B881" s="68">
        <v>1229387</v>
      </c>
      <c r="C881" s="69">
        <v>4615416536</v>
      </c>
      <c r="D881" s="70">
        <v>19200</v>
      </c>
      <c r="E881" s="79"/>
      <c r="F881" s="73">
        <v>16</v>
      </c>
      <c r="G881" s="73" t="s">
        <v>114</v>
      </c>
      <c r="H881" s="68">
        <v>0</v>
      </c>
      <c r="I881" s="68">
        <v>0</v>
      </c>
      <c r="J881" s="71">
        <v>42820</v>
      </c>
      <c r="K881" s="71">
        <v>42981</v>
      </c>
      <c r="L881" s="69" t="s">
        <v>108</v>
      </c>
      <c r="M881" s="69" t="s">
        <v>109</v>
      </c>
      <c r="N881" s="72">
        <v>42885</v>
      </c>
      <c r="O881" s="67"/>
      <c r="P881" s="67" t="s">
        <v>95</v>
      </c>
      <c r="Q881" s="67" t="s">
        <v>110</v>
      </c>
      <c r="R881" s="69" t="s">
        <v>69</v>
      </c>
      <c r="S881" s="69" t="s">
        <v>115</v>
      </c>
      <c r="T881" s="76"/>
      <c r="U881" s="67"/>
      <c r="V881" s="72">
        <v>42855</v>
      </c>
      <c r="W881" s="69" t="s">
        <v>210</v>
      </c>
      <c r="X881" s="69" t="s">
        <v>211</v>
      </c>
      <c r="Y881" s="123"/>
      <c r="Z881" s="30">
        <f t="shared" si="26"/>
        <v>6772.6006943194379</v>
      </c>
      <c r="AA881" s="30">
        <f t="shared" si="27"/>
        <v>0</v>
      </c>
      <c r="AB881" t="s">
        <v>456</v>
      </c>
    </row>
    <row r="882" spans="1:28">
      <c r="A882" s="67" t="s">
        <v>113</v>
      </c>
      <c r="B882" s="68">
        <v>1223724</v>
      </c>
      <c r="C882" s="69">
        <v>4615400270</v>
      </c>
      <c r="D882" s="70">
        <v>19200</v>
      </c>
      <c r="E882" s="79"/>
      <c r="F882" s="73">
        <v>16</v>
      </c>
      <c r="G882" s="73" t="s">
        <v>114</v>
      </c>
      <c r="H882" s="75">
        <v>0</v>
      </c>
      <c r="I882" s="68">
        <v>0</v>
      </c>
      <c r="J882" s="71">
        <v>42785</v>
      </c>
      <c r="K882" s="71">
        <v>43107</v>
      </c>
      <c r="L882" s="69" t="s">
        <v>119</v>
      </c>
      <c r="M882" s="69" t="s">
        <v>109</v>
      </c>
      <c r="N882" s="72">
        <v>42885</v>
      </c>
      <c r="O882" s="67"/>
      <c r="P882" s="67" t="s">
        <v>95</v>
      </c>
      <c r="Q882" s="67" t="s">
        <v>110</v>
      </c>
      <c r="R882" s="69" t="s">
        <v>69</v>
      </c>
      <c r="S882" s="69" t="s">
        <v>115</v>
      </c>
      <c r="T882" s="76"/>
      <c r="U882" s="67"/>
      <c r="V882" s="72">
        <v>42825</v>
      </c>
      <c r="W882" s="69" t="s">
        <v>198</v>
      </c>
      <c r="X882" s="69" t="s">
        <v>208</v>
      </c>
      <c r="Y882" s="123"/>
      <c r="Z882" s="30">
        <f t="shared" si="26"/>
        <v>6772.6006943194379</v>
      </c>
      <c r="AA882" s="30">
        <f t="shared" si="27"/>
        <v>0</v>
      </c>
      <c r="AB882" t="s">
        <v>456</v>
      </c>
    </row>
    <row r="883" spans="1:28">
      <c r="A883" s="67" t="s">
        <v>122</v>
      </c>
      <c r="B883" s="68">
        <v>1230569</v>
      </c>
      <c r="C883" s="69">
        <v>4615410392</v>
      </c>
      <c r="D883" s="70">
        <v>19200</v>
      </c>
      <c r="E883" s="79"/>
      <c r="F883" s="68">
        <v>16</v>
      </c>
      <c r="G883" s="68">
        <v>5</v>
      </c>
      <c r="H883" s="73">
        <v>0</v>
      </c>
      <c r="I883" s="68">
        <v>0</v>
      </c>
      <c r="J883" s="71">
        <v>42814</v>
      </c>
      <c r="K883" s="71">
        <v>43002</v>
      </c>
      <c r="L883" s="69" t="s">
        <v>108</v>
      </c>
      <c r="M883" s="69" t="s">
        <v>109</v>
      </c>
      <c r="N883" s="72">
        <v>42884</v>
      </c>
      <c r="O883" s="67"/>
      <c r="P883" s="67" t="s">
        <v>95</v>
      </c>
      <c r="Q883" s="67" t="s">
        <v>120</v>
      </c>
      <c r="R883" s="69" t="s">
        <v>69</v>
      </c>
      <c r="S883" s="69" t="s">
        <v>123</v>
      </c>
      <c r="T883" s="76"/>
      <c r="U883" s="67"/>
      <c r="V883" s="72">
        <v>42855</v>
      </c>
      <c r="W883" s="69">
        <v>2025781</v>
      </c>
      <c r="X883" s="69" t="s">
        <v>196</v>
      </c>
      <c r="Y883" s="123"/>
      <c r="Z883" s="30">
        <f t="shared" si="26"/>
        <v>6772.6006943194379</v>
      </c>
      <c r="AA883" s="30">
        <f t="shared" si="27"/>
        <v>2116.4377169748245</v>
      </c>
      <c r="AB883" t="s">
        <v>456</v>
      </c>
    </row>
    <row r="884" spans="1:28">
      <c r="A884" s="67" t="s">
        <v>113</v>
      </c>
      <c r="B884" s="68">
        <v>1229390</v>
      </c>
      <c r="C884" s="69">
        <v>4615416536</v>
      </c>
      <c r="D884" s="70">
        <v>19200</v>
      </c>
      <c r="E884" s="79"/>
      <c r="F884" s="73">
        <v>16</v>
      </c>
      <c r="G884" s="73" t="s">
        <v>114</v>
      </c>
      <c r="H884" s="68">
        <v>0</v>
      </c>
      <c r="I884" s="68">
        <v>0</v>
      </c>
      <c r="J884" s="71">
        <v>42820</v>
      </c>
      <c r="K884" s="71">
        <v>43002</v>
      </c>
      <c r="L884" s="69" t="s">
        <v>108</v>
      </c>
      <c r="M884" s="69" t="s">
        <v>109</v>
      </c>
      <c r="N884" s="72">
        <v>42884</v>
      </c>
      <c r="O884" s="67"/>
      <c r="P884" s="67" t="s">
        <v>95</v>
      </c>
      <c r="Q884" s="67" t="s">
        <v>110</v>
      </c>
      <c r="R884" s="69" t="s">
        <v>69</v>
      </c>
      <c r="S884" s="69" t="s">
        <v>115</v>
      </c>
      <c r="T884" s="76"/>
      <c r="U884" s="67"/>
      <c r="V884" s="72">
        <v>42855</v>
      </c>
      <c r="W884" s="69" t="s">
        <v>210</v>
      </c>
      <c r="X884" s="69" t="s">
        <v>211</v>
      </c>
      <c r="Y884" s="123"/>
      <c r="Z884" s="30">
        <f t="shared" si="26"/>
        <v>6772.6006943194379</v>
      </c>
      <c r="AA884" s="30">
        <f t="shared" si="27"/>
        <v>0</v>
      </c>
      <c r="AB884" t="s">
        <v>456</v>
      </c>
    </row>
    <row r="885" spans="1:28">
      <c r="A885" s="67" t="s">
        <v>113</v>
      </c>
      <c r="B885" s="68">
        <v>1229385</v>
      </c>
      <c r="C885" s="69">
        <v>4615416536</v>
      </c>
      <c r="D885" s="70">
        <v>19200</v>
      </c>
      <c r="E885" s="79"/>
      <c r="F885" s="73">
        <v>16</v>
      </c>
      <c r="G885" s="73" t="s">
        <v>114</v>
      </c>
      <c r="H885" s="68">
        <v>0</v>
      </c>
      <c r="I885" s="68">
        <v>0</v>
      </c>
      <c r="J885" s="71">
        <v>42820</v>
      </c>
      <c r="K885" s="71">
        <v>43002</v>
      </c>
      <c r="L885" s="69" t="s">
        <v>108</v>
      </c>
      <c r="M885" s="69" t="s">
        <v>109</v>
      </c>
      <c r="N885" s="72">
        <v>42883</v>
      </c>
      <c r="O885" s="67"/>
      <c r="P885" s="67" t="s">
        <v>95</v>
      </c>
      <c r="Q885" s="67" t="s">
        <v>110</v>
      </c>
      <c r="R885" s="69" t="s">
        <v>69</v>
      </c>
      <c r="S885" s="69" t="s">
        <v>115</v>
      </c>
      <c r="T885" s="76"/>
      <c r="U885" s="67"/>
      <c r="V885" s="72">
        <v>42855</v>
      </c>
      <c r="W885" s="69" t="s">
        <v>210</v>
      </c>
      <c r="X885" s="69" t="s">
        <v>211</v>
      </c>
      <c r="Y885" s="123"/>
      <c r="Z885" s="30">
        <f t="shared" si="26"/>
        <v>6772.6006943194379</v>
      </c>
      <c r="AA885" s="30">
        <f t="shared" si="27"/>
        <v>0</v>
      </c>
      <c r="AB885" t="s">
        <v>456</v>
      </c>
    </row>
    <row r="886" spans="1:28">
      <c r="A886" s="67" t="s">
        <v>113</v>
      </c>
      <c r="B886" s="68">
        <v>1229392</v>
      </c>
      <c r="C886" s="69">
        <v>4615416536</v>
      </c>
      <c r="D886" s="70">
        <v>19200</v>
      </c>
      <c r="E886" s="79"/>
      <c r="F886" s="73">
        <v>16</v>
      </c>
      <c r="G886" s="73" t="s">
        <v>114</v>
      </c>
      <c r="H886" s="68">
        <v>0</v>
      </c>
      <c r="I886" s="68">
        <v>0</v>
      </c>
      <c r="J886" s="71">
        <v>42820</v>
      </c>
      <c r="K886" s="71">
        <v>43002</v>
      </c>
      <c r="L886" s="69" t="s">
        <v>108</v>
      </c>
      <c r="M886" s="69" t="s">
        <v>109</v>
      </c>
      <c r="N886" s="72">
        <v>42883</v>
      </c>
      <c r="O886" s="67"/>
      <c r="P886" s="67" t="s">
        <v>95</v>
      </c>
      <c r="Q886" s="67" t="s">
        <v>110</v>
      </c>
      <c r="R886" s="69" t="s">
        <v>69</v>
      </c>
      <c r="S886" s="69" t="s">
        <v>115</v>
      </c>
      <c r="T886" s="76"/>
      <c r="U886" s="67"/>
      <c r="V886" s="72">
        <v>42855</v>
      </c>
      <c r="W886" s="69" t="s">
        <v>210</v>
      </c>
      <c r="X886" s="69" t="s">
        <v>211</v>
      </c>
      <c r="Y886" s="123"/>
      <c r="Z886" s="30">
        <f t="shared" si="26"/>
        <v>6772.6006943194379</v>
      </c>
      <c r="AA886" s="30">
        <f t="shared" si="27"/>
        <v>0</v>
      </c>
      <c r="AB886" t="s">
        <v>456</v>
      </c>
    </row>
    <row r="887" spans="1:28">
      <c r="A887" s="67" t="s">
        <v>113</v>
      </c>
      <c r="B887" s="68">
        <v>1229384</v>
      </c>
      <c r="C887" s="69">
        <v>4615416536</v>
      </c>
      <c r="D887" s="70">
        <v>19200</v>
      </c>
      <c r="E887" s="79"/>
      <c r="F887" s="73">
        <v>16</v>
      </c>
      <c r="G887" s="73" t="s">
        <v>114</v>
      </c>
      <c r="H887" s="68">
        <v>0</v>
      </c>
      <c r="I887" s="68">
        <v>0</v>
      </c>
      <c r="J887" s="71">
        <v>42820</v>
      </c>
      <c r="K887" s="71">
        <v>43002</v>
      </c>
      <c r="L887" s="69" t="s">
        <v>108</v>
      </c>
      <c r="M887" s="69" t="s">
        <v>109</v>
      </c>
      <c r="N887" s="72">
        <v>42883</v>
      </c>
      <c r="O887" s="67"/>
      <c r="P887" s="67" t="s">
        <v>95</v>
      </c>
      <c r="Q887" s="67" t="s">
        <v>110</v>
      </c>
      <c r="R887" s="69" t="s">
        <v>69</v>
      </c>
      <c r="S887" s="69" t="s">
        <v>115</v>
      </c>
      <c r="T887" s="76"/>
      <c r="U887" s="67"/>
      <c r="V887" s="72">
        <v>42855</v>
      </c>
      <c r="W887" s="69" t="s">
        <v>210</v>
      </c>
      <c r="X887" s="69" t="s">
        <v>211</v>
      </c>
      <c r="Y887" s="123"/>
      <c r="Z887" s="30">
        <f t="shared" si="26"/>
        <v>6772.6006943194379</v>
      </c>
      <c r="AA887" s="30">
        <f t="shared" si="27"/>
        <v>0</v>
      </c>
      <c r="AB887" t="s">
        <v>456</v>
      </c>
    </row>
    <row r="888" spans="1:28">
      <c r="A888" s="67" t="s">
        <v>113</v>
      </c>
      <c r="B888" s="68">
        <v>1228743</v>
      </c>
      <c r="C888" s="69">
        <v>4615416536</v>
      </c>
      <c r="D888" s="70">
        <v>19200</v>
      </c>
      <c r="E888" s="79"/>
      <c r="F888" s="73">
        <v>16</v>
      </c>
      <c r="G888" s="73" t="s">
        <v>114</v>
      </c>
      <c r="H888" s="73">
        <v>0</v>
      </c>
      <c r="I888" s="68">
        <v>0</v>
      </c>
      <c r="J888" s="71"/>
      <c r="K888" s="71">
        <v>43002</v>
      </c>
      <c r="L888" s="69" t="s">
        <v>80</v>
      </c>
      <c r="M888" s="69" t="s">
        <v>109</v>
      </c>
      <c r="N888" s="72">
        <v>42883</v>
      </c>
      <c r="O888" s="67"/>
      <c r="P888" s="67" t="s">
        <v>95</v>
      </c>
      <c r="Q888" s="67" t="s">
        <v>110</v>
      </c>
      <c r="R888" s="69" t="s">
        <v>69</v>
      </c>
      <c r="S888" s="69" t="s">
        <v>115</v>
      </c>
      <c r="T888" s="76"/>
      <c r="U888" s="67"/>
      <c r="V888" s="72">
        <v>42855</v>
      </c>
      <c r="W888" s="69" t="s">
        <v>210</v>
      </c>
      <c r="X888" s="69" t="s">
        <v>211</v>
      </c>
      <c r="Y888" s="123"/>
      <c r="Z888" s="30">
        <f t="shared" si="26"/>
        <v>6772.6006943194379</v>
      </c>
      <c r="AA888" s="30">
        <f t="shared" si="27"/>
        <v>0</v>
      </c>
      <c r="AB888" t="s">
        <v>456</v>
      </c>
    </row>
    <row r="889" spans="1:28">
      <c r="A889" s="67" t="s">
        <v>136</v>
      </c>
      <c r="B889" s="68">
        <v>1223749</v>
      </c>
      <c r="C889" s="69">
        <v>4615412497</v>
      </c>
      <c r="D889" s="70">
        <v>19175</v>
      </c>
      <c r="E889" s="80"/>
      <c r="F889" s="73">
        <v>10</v>
      </c>
      <c r="G889" s="73">
        <v>5</v>
      </c>
      <c r="H889" s="68">
        <v>0</v>
      </c>
      <c r="I889" s="68">
        <v>0</v>
      </c>
      <c r="J889" s="71">
        <v>42785</v>
      </c>
      <c r="K889" s="71">
        <v>42965</v>
      </c>
      <c r="L889" s="69" t="s">
        <v>137</v>
      </c>
      <c r="M889" s="69" t="s">
        <v>109</v>
      </c>
      <c r="N889" s="72">
        <v>42883</v>
      </c>
      <c r="O889" s="67"/>
      <c r="P889" s="67" t="s">
        <v>95</v>
      </c>
      <c r="Q889" s="67" t="s">
        <v>129</v>
      </c>
      <c r="R889" s="69" t="s">
        <v>69</v>
      </c>
      <c r="S889" s="69" t="s">
        <v>138</v>
      </c>
      <c r="T889" s="67"/>
      <c r="U889" s="67"/>
      <c r="V889" s="72">
        <v>42855</v>
      </c>
      <c r="W889" s="69">
        <v>415570134</v>
      </c>
      <c r="X889" s="78"/>
      <c r="Y889" s="123"/>
      <c r="Z889" s="30">
        <f t="shared" si="26"/>
        <v>4227.3638773950279</v>
      </c>
      <c r="AA889" s="30">
        <f t="shared" si="27"/>
        <v>2113.6819386975139</v>
      </c>
      <c r="AB889" t="s">
        <v>456</v>
      </c>
    </row>
    <row r="890" spans="1:28">
      <c r="A890" s="67" t="s">
        <v>118</v>
      </c>
      <c r="B890" s="68">
        <v>1218105</v>
      </c>
      <c r="C890" s="69">
        <v>4615358692</v>
      </c>
      <c r="D890" s="70">
        <v>19175</v>
      </c>
      <c r="E890" s="80"/>
      <c r="F890" s="68">
        <v>10</v>
      </c>
      <c r="G890" s="68">
        <v>5</v>
      </c>
      <c r="H890" s="73">
        <v>0</v>
      </c>
      <c r="I890" s="68">
        <v>0</v>
      </c>
      <c r="J890" s="71">
        <v>42785</v>
      </c>
      <c r="K890" s="71">
        <v>42970</v>
      </c>
      <c r="L890" s="69" t="s">
        <v>137</v>
      </c>
      <c r="M890" s="69" t="s">
        <v>109</v>
      </c>
      <c r="N890" s="72">
        <v>42883</v>
      </c>
      <c r="O890" s="67"/>
      <c r="P890" s="67" t="s">
        <v>95</v>
      </c>
      <c r="Q890" s="67" t="s">
        <v>120</v>
      </c>
      <c r="R890" s="69" t="s">
        <v>69</v>
      </c>
      <c r="S890" s="69" t="s">
        <v>121</v>
      </c>
      <c r="T890" s="67"/>
      <c r="U890" s="67"/>
      <c r="V890" s="72">
        <v>42825</v>
      </c>
      <c r="W890" s="69">
        <v>2021265</v>
      </c>
      <c r="X890" s="69"/>
      <c r="Y890" s="123"/>
      <c r="Z890" s="30">
        <f t="shared" si="26"/>
        <v>4227.3638773950279</v>
      </c>
      <c r="AA890" s="30">
        <f t="shared" si="27"/>
        <v>2113.6819386975139</v>
      </c>
      <c r="AB890" t="s">
        <v>456</v>
      </c>
    </row>
    <row r="891" spans="1:28">
      <c r="A891" s="67" t="s">
        <v>113</v>
      </c>
      <c r="B891" s="68">
        <v>1223719</v>
      </c>
      <c r="C891" s="69">
        <v>4615400270</v>
      </c>
      <c r="D891" s="70">
        <v>19200</v>
      </c>
      <c r="E891" s="80"/>
      <c r="F891" s="73">
        <v>16</v>
      </c>
      <c r="G891" s="73" t="s">
        <v>114</v>
      </c>
      <c r="H891" s="75">
        <v>0</v>
      </c>
      <c r="I891" s="68">
        <v>0</v>
      </c>
      <c r="J891" s="71">
        <v>42785</v>
      </c>
      <c r="K891" s="71">
        <v>43001</v>
      </c>
      <c r="L891" s="69" t="s">
        <v>119</v>
      </c>
      <c r="M891" s="69" t="s">
        <v>109</v>
      </c>
      <c r="N891" s="72">
        <v>42883</v>
      </c>
      <c r="O891" s="67"/>
      <c r="P891" s="67" t="s">
        <v>95</v>
      </c>
      <c r="Q891" s="67" t="s">
        <v>110</v>
      </c>
      <c r="R891" s="69" t="s">
        <v>69</v>
      </c>
      <c r="S891" s="69" t="s">
        <v>115</v>
      </c>
      <c r="T891" s="67"/>
      <c r="U891" s="67"/>
      <c r="V891" s="72">
        <v>42825</v>
      </c>
      <c r="W891" s="69" t="s">
        <v>198</v>
      </c>
      <c r="X891" s="69" t="s">
        <v>208</v>
      </c>
      <c r="Y891" s="123"/>
      <c r="Z891" s="30">
        <f t="shared" si="26"/>
        <v>6772.6006943194379</v>
      </c>
      <c r="AA891" s="30">
        <f t="shared" si="27"/>
        <v>0</v>
      </c>
      <c r="AB891" t="s">
        <v>456</v>
      </c>
    </row>
    <row r="892" spans="1:28">
      <c r="A892" s="67" t="s">
        <v>113</v>
      </c>
      <c r="B892" s="68">
        <v>1223718</v>
      </c>
      <c r="C892" s="69">
        <v>4615400270</v>
      </c>
      <c r="D892" s="70">
        <v>19200</v>
      </c>
      <c r="E892" s="80"/>
      <c r="F892" s="73">
        <v>16</v>
      </c>
      <c r="G892" s="73" t="s">
        <v>114</v>
      </c>
      <c r="H892" s="75">
        <v>0</v>
      </c>
      <c r="I892" s="68">
        <v>0</v>
      </c>
      <c r="J892" s="71">
        <v>42785</v>
      </c>
      <c r="K892" s="71">
        <v>42977</v>
      </c>
      <c r="L892" s="69" t="s">
        <v>119</v>
      </c>
      <c r="M892" s="69" t="s">
        <v>109</v>
      </c>
      <c r="N892" s="72">
        <v>42883</v>
      </c>
      <c r="O892" s="67"/>
      <c r="P892" s="67" t="s">
        <v>95</v>
      </c>
      <c r="Q892" s="67" t="s">
        <v>110</v>
      </c>
      <c r="R892" s="69" t="s">
        <v>69</v>
      </c>
      <c r="S892" s="69" t="s">
        <v>115</v>
      </c>
      <c r="T892" s="67"/>
      <c r="U892" s="67"/>
      <c r="V892" s="72">
        <v>42825</v>
      </c>
      <c r="W892" s="69" t="s">
        <v>198</v>
      </c>
      <c r="X892" s="69" t="s">
        <v>208</v>
      </c>
      <c r="Y892" s="123"/>
      <c r="Z892" s="30">
        <f t="shared" si="26"/>
        <v>6772.6006943194379</v>
      </c>
      <c r="AA892" s="30">
        <f t="shared" si="27"/>
        <v>0</v>
      </c>
      <c r="AB892" t="s">
        <v>456</v>
      </c>
    </row>
    <row r="893" spans="1:28">
      <c r="A893" s="67" t="s">
        <v>113</v>
      </c>
      <c r="B893" s="68">
        <v>1223717</v>
      </c>
      <c r="C893" s="69">
        <v>4615400270</v>
      </c>
      <c r="D893" s="70">
        <v>19200</v>
      </c>
      <c r="E893" s="80"/>
      <c r="F893" s="73">
        <v>16</v>
      </c>
      <c r="G893" s="73" t="s">
        <v>114</v>
      </c>
      <c r="H893" s="73">
        <v>0</v>
      </c>
      <c r="I893" s="68">
        <v>0</v>
      </c>
      <c r="J893" s="71">
        <v>42785</v>
      </c>
      <c r="K893" s="71">
        <v>42977</v>
      </c>
      <c r="L893" s="69" t="s">
        <v>119</v>
      </c>
      <c r="M893" s="69" t="s">
        <v>109</v>
      </c>
      <c r="N893" s="72">
        <v>42883</v>
      </c>
      <c r="O893" s="67"/>
      <c r="P893" s="67" t="s">
        <v>95</v>
      </c>
      <c r="Q893" s="67" t="s">
        <v>110</v>
      </c>
      <c r="R893" s="69" t="s">
        <v>69</v>
      </c>
      <c r="S893" s="69" t="s">
        <v>115</v>
      </c>
      <c r="T893" s="67"/>
      <c r="U893" s="67"/>
      <c r="V893" s="72">
        <v>42825</v>
      </c>
      <c r="W893" s="69" t="s">
        <v>198</v>
      </c>
      <c r="X893" s="69" t="s">
        <v>208</v>
      </c>
      <c r="Y893" s="123"/>
      <c r="Z893" s="30">
        <f t="shared" si="26"/>
        <v>6772.6006943194379</v>
      </c>
      <c r="AA893" s="30">
        <f t="shared" si="27"/>
        <v>0</v>
      </c>
      <c r="AB893" t="s">
        <v>456</v>
      </c>
    </row>
    <row r="894" spans="1:28">
      <c r="A894" s="67" t="s">
        <v>113</v>
      </c>
      <c r="B894" s="68">
        <v>1223721</v>
      </c>
      <c r="C894" s="69">
        <v>4615400270</v>
      </c>
      <c r="D894" s="70">
        <v>19200</v>
      </c>
      <c r="E894" s="80"/>
      <c r="F894" s="73">
        <v>16</v>
      </c>
      <c r="G894" s="73" t="s">
        <v>114</v>
      </c>
      <c r="H894" s="75">
        <v>0</v>
      </c>
      <c r="I894" s="68">
        <v>0</v>
      </c>
      <c r="J894" s="71">
        <v>42785</v>
      </c>
      <c r="K894" s="71">
        <v>42977</v>
      </c>
      <c r="L894" s="69" t="s">
        <v>119</v>
      </c>
      <c r="M894" s="69" t="s">
        <v>109</v>
      </c>
      <c r="N894" s="72">
        <v>42883</v>
      </c>
      <c r="O894" s="67"/>
      <c r="P894" s="67" t="s">
        <v>95</v>
      </c>
      <c r="Q894" s="67" t="s">
        <v>110</v>
      </c>
      <c r="R894" s="69" t="s">
        <v>69</v>
      </c>
      <c r="S894" s="69" t="s">
        <v>115</v>
      </c>
      <c r="T894" s="67"/>
      <c r="U894" s="67"/>
      <c r="V894" s="72">
        <v>42825</v>
      </c>
      <c r="W894" s="69" t="s">
        <v>198</v>
      </c>
      <c r="X894" s="69" t="s">
        <v>208</v>
      </c>
      <c r="Y894" s="123"/>
      <c r="Z894" s="30">
        <f t="shared" si="26"/>
        <v>6772.6006943194379</v>
      </c>
      <c r="AA894" s="30">
        <f t="shared" si="27"/>
        <v>0</v>
      </c>
      <c r="AB894" t="s">
        <v>456</v>
      </c>
    </row>
    <row r="895" spans="1:28">
      <c r="A895" s="67" t="s">
        <v>113</v>
      </c>
      <c r="B895" s="68">
        <v>1223720</v>
      </c>
      <c r="C895" s="69">
        <v>4615400270</v>
      </c>
      <c r="D895" s="70">
        <v>19200</v>
      </c>
      <c r="E895" s="80"/>
      <c r="F895" s="73">
        <v>16</v>
      </c>
      <c r="G895" s="73" t="s">
        <v>114</v>
      </c>
      <c r="H895" s="75">
        <v>0</v>
      </c>
      <c r="I895" s="68">
        <v>0</v>
      </c>
      <c r="J895" s="71">
        <v>42785</v>
      </c>
      <c r="K895" s="71">
        <v>42977</v>
      </c>
      <c r="L895" s="69" t="s">
        <v>119</v>
      </c>
      <c r="M895" s="69" t="s">
        <v>109</v>
      </c>
      <c r="N895" s="72">
        <v>42883</v>
      </c>
      <c r="O895" s="67"/>
      <c r="P895" s="67" t="s">
        <v>95</v>
      </c>
      <c r="Q895" s="67" t="s">
        <v>110</v>
      </c>
      <c r="R895" s="69" t="s">
        <v>69</v>
      </c>
      <c r="S895" s="69" t="s">
        <v>115</v>
      </c>
      <c r="T895" s="67"/>
      <c r="U895" s="67"/>
      <c r="V895" s="72">
        <v>42825</v>
      </c>
      <c r="W895" s="69" t="s">
        <v>198</v>
      </c>
      <c r="X895" s="69" t="s">
        <v>208</v>
      </c>
      <c r="Y895" s="123"/>
      <c r="Z895" s="30">
        <f t="shared" si="26"/>
        <v>6772.6006943194379</v>
      </c>
      <c r="AA895" s="30">
        <f t="shared" si="27"/>
        <v>0</v>
      </c>
      <c r="AB895" t="s">
        <v>456</v>
      </c>
    </row>
    <row r="896" spans="1:28">
      <c r="A896" s="67" t="s">
        <v>122</v>
      </c>
      <c r="B896" s="68">
        <v>1201969</v>
      </c>
      <c r="C896" s="69">
        <v>4615419473</v>
      </c>
      <c r="D896" s="70">
        <v>19175</v>
      </c>
      <c r="E896" s="80"/>
      <c r="F896" s="68">
        <v>16</v>
      </c>
      <c r="G896" s="68">
        <v>5</v>
      </c>
      <c r="H896" s="68">
        <v>0</v>
      </c>
      <c r="I896" s="68">
        <v>0</v>
      </c>
      <c r="J896" s="71">
        <v>42699</v>
      </c>
      <c r="K896" s="71">
        <v>42977</v>
      </c>
      <c r="L896" s="69" t="s">
        <v>119</v>
      </c>
      <c r="M896" s="69" t="s">
        <v>109</v>
      </c>
      <c r="N896" s="72">
        <v>42883</v>
      </c>
      <c r="O896" s="67"/>
      <c r="P896" s="67" t="s">
        <v>95</v>
      </c>
      <c r="Q896" s="67" t="s">
        <v>120</v>
      </c>
      <c r="R896" s="69" t="s">
        <v>69</v>
      </c>
      <c r="S896" s="69" t="s">
        <v>123</v>
      </c>
      <c r="T896" s="67"/>
      <c r="U896" s="67"/>
      <c r="V896" s="72">
        <v>42766</v>
      </c>
      <c r="W896" s="69">
        <v>2025756</v>
      </c>
      <c r="X896" s="69"/>
      <c r="Y896" s="123"/>
      <c r="Z896" s="30">
        <f t="shared" si="26"/>
        <v>6763.7822038320437</v>
      </c>
      <c r="AA896" s="30">
        <f t="shared" si="27"/>
        <v>2113.6819386975139</v>
      </c>
      <c r="AB896" t="s">
        <v>456</v>
      </c>
    </row>
    <row r="897" spans="1:28">
      <c r="A897" s="67" t="s">
        <v>68</v>
      </c>
      <c r="B897" s="68">
        <v>1222590</v>
      </c>
      <c r="C897" s="69">
        <v>4615412605</v>
      </c>
      <c r="D897" s="70">
        <v>19175</v>
      </c>
      <c r="E897" s="80"/>
      <c r="F897" s="73">
        <v>16</v>
      </c>
      <c r="G897" s="73">
        <v>5</v>
      </c>
      <c r="H897" s="75">
        <v>0</v>
      </c>
      <c r="I897" s="68">
        <v>0</v>
      </c>
      <c r="J897" s="71">
        <v>42769</v>
      </c>
      <c r="K897" s="71">
        <v>42994</v>
      </c>
      <c r="L897" s="69" t="s">
        <v>119</v>
      </c>
      <c r="M897" s="69" t="s">
        <v>109</v>
      </c>
      <c r="N897" s="72">
        <v>42883</v>
      </c>
      <c r="O897" s="67"/>
      <c r="P897" s="67" t="s">
        <v>95</v>
      </c>
      <c r="Q897" s="67" t="s">
        <v>125</v>
      </c>
      <c r="R897" s="69" t="s">
        <v>69</v>
      </c>
      <c r="S897" s="69" t="s">
        <v>68</v>
      </c>
      <c r="T897" s="67"/>
      <c r="U897" s="67"/>
      <c r="V897" s="72">
        <v>42794</v>
      </c>
      <c r="W897" s="69">
        <v>5114731</v>
      </c>
      <c r="X897" s="69"/>
      <c r="Y897" s="123"/>
      <c r="Z897" s="30">
        <f t="shared" si="26"/>
        <v>6763.7822038320437</v>
      </c>
      <c r="AA897" s="30">
        <f t="shared" si="27"/>
        <v>2113.6819386975139</v>
      </c>
      <c r="AB897" t="s">
        <v>456</v>
      </c>
    </row>
    <row r="898" spans="1:28">
      <c r="A898" s="67" t="s">
        <v>68</v>
      </c>
      <c r="B898" s="68">
        <v>1222595</v>
      </c>
      <c r="C898" s="69">
        <v>4615412605</v>
      </c>
      <c r="D898" s="70">
        <v>19175</v>
      </c>
      <c r="E898" s="80"/>
      <c r="F898" s="73">
        <v>16</v>
      </c>
      <c r="G898" s="73">
        <v>5</v>
      </c>
      <c r="H898" s="75">
        <v>0</v>
      </c>
      <c r="I898" s="68">
        <v>0</v>
      </c>
      <c r="J898" s="71">
        <v>42769</v>
      </c>
      <c r="K898" s="71">
        <v>42994</v>
      </c>
      <c r="L898" s="69" t="s">
        <v>119</v>
      </c>
      <c r="M898" s="69" t="s">
        <v>109</v>
      </c>
      <c r="N898" s="72">
        <v>42883</v>
      </c>
      <c r="O898" s="67"/>
      <c r="P898" s="67" t="s">
        <v>95</v>
      </c>
      <c r="Q898" s="67" t="s">
        <v>125</v>
      </c>
      <c r="R898" s="69" t="s">
        <v>69</v>
      </c>
      <c r="S898" s="69" t="s">
        <v>68</v>
      </c>
      <c r="T898" s="67"/>
      <c r="U898" s="67"/>
      <c r="V898" s="72">
        <v>42794</v>
      </c>
      <c r="W898" s="69">
        <v>5114731</v>
      </c>
      <c r="X898" s="69"/>
      <c r="Y898" s="123"/>
      <c r="Z898" s="30">
        <f t="shared" si="26"/>
        <v>6763.7822038320437</v>
      </c>
      <c r="AA898" s="30">
        <f t="shared" si="27"/>
        <v>2113.6819386975139</v>
      </c>
      <c r="AB898" t="s">
        <v>456</v>
      </c>
    </row>
    <row r="899" spans="1:28">
      <c r="A899" s="67" t="s">
        <v>68</v>
      </c>
      <c r="B899" s="68">
        <v>1222586</v>
      </c>
      <c r="C899" s="69">
        <v>4615412605</v>
      </c>
      <c r="D899" s="70">
        <v>19175</v>
      </c>
      <c r="E899" s="79"/>
      <c r="F899" s="73">
        <v>16</v>
      </c>
      <c r="G899" s="73">
        <v>5</v>
      </c>
      <c r="H899" s="75">
        <v>0</v>
      </c>
      <c r="I899" s="68">
        <v>0</v>
      </c>
      <c r="J899" s="71">
        <v>42769</v>
      </c>
      <c r="K899" s="71">
        <v>42998</v>
      </c>
      <c r="L899" s="69" t="s">
        <v>119</v>
      </c>
      <c r="M899" s="69" t="s">
        <v>109</v>
      </c>
      <c r="N899" s="72">
        <v>42883</v>
      </c>
      <c r="O899" s="67"/>
      <c r="P899" s="67" t="s">
        <v>95</v>
      </c>
      <c r="Q899" s="67" t="s">
        <v>125</v>
      </c>
      <c r="R899" s="69" t="s">
        <v>69</v>
      </c>
      <c r="S899" s="69" t="s">
        <v>68</v>
      </c>
      <c r="T899" s="67"/>
      <c r="U899" s="67"/>
      <c r="V899" s="72">
        <v>42794</v>
      </c>
      <c r="W899" s="69">
        <v>5114731</v>
      </c>
      <c r="X899" s="69"/>
      <c r="Y899" s="123"/>
      <c r="Z899" s="30">
        <f t="shared" ref="Z899:Z962" si="28">CONVERT(D899,"kg","lbm")*F899/100</f>
        <v>6763.7822038320437</v>
      </c>
      <c r="AA899" s="30">
        <f t="shared" ref="AA899:AA962" si="29">CONVERT(D899,"kg","lbm")*G899/100</f>
        <v>2113.6819386975139</v>
      </c>
      <c r="AB899" t="s">
        <v>456</v>
      </c>
    </row>
    <row r="900" spans="1:28">
      <c r="A900" s="67" t="s">
        <v>68</v>
      </c>
      <c r="B900" s="68" t="s">
        <v>161</v>
      </c>
      <c r="C900" s="69">
        <v>4615471900</v>
      </c>
      <c r="D900" s="70">
        <v>20544.980000000003</v>
      </c>
      <c r="E900" s="79"/>
      <c r="F900" s="68">
        <v>16</v>
      </c>
      <c r="G900" s="68" t="s">
        <v>114</v>
      </c>
      <c r="H900" s="73">
        <v>0</v>
      </c>
      <c r="I900" s="68">
        <v>0</v>
      </c>
      <c r="J900" s="71"/>
      <c r="K900" s="71">
        <v>42998</v>
      </c>
      <c r="L900" s="69" t="s">
        <v>80</v>
      </c>
      <c r="M900" s="69" t="s">
        <v>109</v>
      </c>
      <c r="N900" s="72">
        <v>42881</v>
      </c>
      <c r="O900" s="67"/>
      <c r="P900" s="67" t="s">
        <v>95</v>
      </c>
      <c r="Q900" s="67" t="s">
        <v>125</v>
      </c>
      <c r="R900" s="69" t="s">
        <v>69</v>
      </c>
      <c r="S900" s="69" t="s">
        <v>68</v>
      </c>
      <c r="T900" s="67"/>
      <c r="U900" s="67"/>
      <c r="V900" s="72">
        <v>42886</v>
      </c>
      <c r="W900" s="69">
        <v>5114721</v>
      </c>
      <c r="X900" s="69" t="s">
        <v>202</v>
      </c>
      <c r="Y900" s="123"/>
      <c r="Z900" s="30">
        <f t="shared" si="28"/>
        <v>7247.0284277489072</v>
      </c>
      <c r="AA900" s="30">
        <f t="shared" si="29"/>
        <v>0</v>
      </c>
      <c r="AB900" t="s">
        <v>456</v>
      </c>
    </row>
    <row r="901" spans="1:28">
      <c r="A901" s="67" t="s">
        <v>68</v>
      </c>
      <c r="B901" s="68" t="s">
        <v>161</v>
      </c>
      <c r="C901" s="69">
        <v>4615471900</v>
      </c>
      <c r="D901" s="70">
        <v>20544.980000000003</v>
      </c>
      <c r="E901" s="79"/>
      <c r="F901" s="68">
        <v>16</v>
      </c>
      <c r="G901" s="68" t="s">
        <v>114</v>
      </c>
      <c r="H901" s="75">
        <v>0</v>
      </c>
      <c r="I901" s="68">
        <v>0</v>
      </c>
      <c r="J901" s="71"/>
      <c r="K901" s="71">
        <v>42998</v>
      </c>
      <c r="L901" s="69" t="s">
        <v>80</v>
      </c>
      <c r="M901" s="69" t="s">
        <v>109</v>
      </c>
      <c r="N901" s="72">
        <v>42881</v>
      </c>
      <c r="O901" s="67"/>
      <c r="P901" s="67" t="s">
        <v>95</v>
      </c>
      <c r="Q901" s="67" t="s">
        <v>125</v>
      </c>
      <c r="R901" s="69" t="s">
        <v>69</v>
      </c>
      <c r="S901" s="69" t="s">
        <v>68</v>
      </c>
      <c r="T901" s="67"/>
      <c r="U901" s="67"/>
      <c r="V901" s="72">
        <v>42886</v>
      </c>
      <c r="W901" s="69">
        <v>5114721</v>
      </c>
      <c r="X901" s="69" t="s">
        <v>202</v>
      </c>
      <c r="Y901" s="123"/>
      <c r="Z901" s="30">
        <f t="shared" si="28"/>
        <v>7247.0284277489072</v>
      </c>
      <c r="AA901" s="30">
        <f t="shared" si="29"/>
        <v>0</v>
      </c>
      <c r="AB901" t="s">
        <v>456</v>
      </c>
    </row>
    <row r="902" spans="1:28">
      <c r="A902" s="67" t="s">
        <v>68</v>
      </c>
      <c r="B902" s="68" t="s">
        <v>161</v>
      </c>
      <c r="C902" s="69">
        <v>4615471900</v>
      </c>
      <c r="D902" s="70">
        <v>20544.980000000003</v>
      </c>
      <c r="E902" s="79"/>
      <c r="F902" s="68">
        <v>16</v>
      </c>
      <c r="G902" s="68" t="s">
        <v>114</v>
      </c>
      <c r="H902" s="75">
        <v>0</v>
      </c>
      <c r="I902" s="68">
        <v>0</v>
      </c>
      <c r="J902" s="71"/>
      <c r="K902" s="71">
        <v>42998</v>
      </c>
      <c r="L902" s="69" t="s">
        <v>80</v>
      </c>
      <c r="M902" s="69" t="s">
        <v>109</v>
      </c>
      <c r="N902" s="72">
        <v>42881</v>
      </c>
      <c r="O902" s="67"/>
      <c r="P902" s="67" t="s">
        <v>95</v>
      </c>
      <c r="Q902" s="67" t="s">
        <v>125</v>
      </c>
      <c r="R902" s="69" t="s">
        <v>69</v>
      </c>
      <c r="S902" s="69" t="s">
        <v>68</v>
      </c>
      <c r="T902" s="67"/>
      <c r="U902" s="67"/>
      <c r="V902" s="72">
        <v>42886</v>
      </c>
      <c r="W902" s="69">
        <v>5114721</v>
      </c>
      <c r="X902" s="69" t="s">
        <v>202</v>
      </c>
      <c r="Y902" s="123"/>
      <c r="Z902" s="30">
        <f t="shared" si="28"/>
        <v>7247.0284277489072</v>
      </c>
      <c r="AA902" s="30">
        <f t="shared" si="29"/>
        <v>0</v>
      </c>
      <c r="AB902" t="s">
        <v>456</v>
      </c>
    </row>
    <row r="903" spans="1:28">
      <c r="A903" s="67" t="s">
        <v>68</v>
      </c>
      <c r="B903" s="68" t="s">
        <v>161</v>
      </c>
      <c r="C903" s="69">
        <v>4615471900</v>
      </c>
      <c r="D903" s="70">
        <v>20544.980000000003</v>
      </c>
      <c r="E903" s="79"/>
      <c r="F903" s="68">
        <v>16</v>
      </c>
      <c r="G903" s="68" t="s">
        <v>114</v>
      </c>
      <c r="H903" s="75">
        <v>0</v>
      </c>
      <c r="I903" s="68">
        <v>0</v>
      </c>
      <c r="J903" s="71"/>
      <c r="K903" s="71">
        <v>42998</v>
      </c>
      <c r="L903" s="69" t="s">
        <v>80</v>
      </c>
      <c r="M903" s="69" t="s">
        <v>109</v>
      </c>
      <c r="N903" s="72">
        <v>42881</v>
      </c>
      <c r="O903" s="67"/>
      <c r="P903" s="67" t="s">
        <v>95</v>
      </c>
      <c r="Q903" s="67" t="s">
        <v>125</v>
      </c>
      <c r="R903" s="69" t="s">
        <v>69</v>
      </c>
      <c r="S903" s="69" t="s">
        <v>68</v>
      </c>
      <c r="T903" s="67"/>
      <c r="U903" s="67"/>
      <c r="V903" s="72">
        <v>42886</v>
      </c>
      <c r="W903" s="69">
        <v>5114721</v>
      </c>
      <c r="X903" s="69" t="s">
        <v>202</v>
      </c>
      <c r="Y903" s="123"/>
      <c r="Z903" s="30">
        <f t="shared" si="28"/>
        <v>7247.0284277489072</v>
      </c>
      <c r="AA903" s="30">
        <f t="shared" si="29"/>
        <v>0</v>
      </c>
      <c r="AB903" t="s">
        <v>456</v>
      </c>
    </row>
    <row r="904" spans="1:28">
      <c r="A904" s="67" t="s">
        <v>68</v>
      </c>
      <c r="B904" s="68" t="s">
        <v>161</v>
      </c>
      <c r="C904" s="69">
        <v>4615471900</v>
      </c>
      <c r="D904" s="70">
        <v>20544.980000000003</v>
      </c>
      <c r="E904" s="79"/>
      <c r="F904" s="68">
        <v>16</v>
      </c>
      <c r="G904" s="68" t="s">
        <v>114</v>
      </c>
      <c r="H904" s="75">
        <v>0</v>
      </c>
      <c r="I904" s="68">
        <v>0</v>
      </c>
      <c r="J904" s="71"/>
      <c r="K904" s="71">
        <v>42998</v>
      </c>
      <c r="L904" s="69" t="s">
        <v>80</v>
      </c>
      <c r="M904" s="69" t="s">
        <v>109</v>
      </c>
      <c r="N904" s="72">
        <v>42881</v>
      </c>
      <c r="O904" s="67"/>
      <c r="P904" s="67" t="s">
        <v>95</v>
      </c>
      <c r="Q904" s="67" t="s">
        <v>125</v>
      </c>
      <c r="R904" s="69" t="s">
        <v>69</v>
      </c>
      <c r="S904" s="69" t="s">
        <v>68</v>
      </c>
      <c r="T904" s="67"/>
      <c r="U904" s="67"/>
      <c r="V904" s="72">
        <v>42886</v>
      </c>
      <c r="W904" s="69">
        <v>5114721</v>
      </c>
      <c r="X904" s="69" t="s">
        <v>202</v>
      </c>
      <c r="Y904" s="123"/>
      <c r="Z904" s="30">
        <f t="shared" si="28"/>
        <v>7247.0284277489072</v>
      </c>
      <c r="AA904" s="30">
        <f t="shared" si="29"/>
        <v>0</v>
      </c>
      <c r="AB904" t="s">
        <v>456</v>
      </c>
    </row>
    <row r="905" spans="1:28">
      <c r="A905" s="67" t="s">
        <v>122</v>
      </c>
      <c r="B905" s="68">
        <v>1230566</v>
      </c>
      <c r="C905" s="69">
        <v>4615410392</v>
      </c>
      <c r="D905" s="70">
        <v>19200</v>
      </c>
      <c r="E905" s="79"/>
      <c r="F905" s="68">
        <v>16</v>
      </c>
      <c r="G905" s="68">
        <v>5</v>
      </c>
      <c r="H905" s="73">
        <v>0</v>
      </c>
      <c r="I905" s="68">
        <v>0</v>
      </c>
      <c r="J905" s="71">
        <v>42814</v>
      </c>
      <c r="K905" s="71">
        <v>42998</v>
      </c>
      <c r="L905" s="69" t="s">
        <v>108</v>
      </c>
      <c r="M905" s="69" t="s">
        <v>109</v>
      </c>
      <c r="N905" s="72">
        <v>42879</v>
      </c>
      <c r="O905" s="67"/>
      <c r="P905" s="67" t="s">
        <v>95</v>
      </c>
      <c r="Q905" s="67" t="s">
        <v>120</v>
      </c>
      <c r="R905" s="69" t="s">
        <v>69</v>
      </c>
      <c r="S905" s="69" t="s">
        <v>123</v>
      </c>
      <c r="T905" s="67"/>
      <c r="U905" s="67"/>
      <c r="V905" s="72">
        <v>42855</v>
      </c>
      <c r="W905" s="69">
        <v>2025781</v>
      </c>
      <c r="X905" s="69" t="s">
        <v>196</v>
      </c>
      <c r="Y905" s="123"/>
      <c r="Z905" s="30">
        <f t="shared" si="28"/>
        <v>6772.6006943194379</v>
      </c>
      <c r="AA905" s="30">
        <f t="shared" si="29"/>
        <v>2116.4377169748245</v>
      </c>
      <c r="AB905" t="s">
        <v>456</v>
      </c>
    </row>
    <row r="906" spans="1:28">
      <c r="A906" s="67" t="s">
        <v>136</v>
      </c>
      <c r="B906" s="68">
        <v>1223748</v>
      </c>
      <c r="C906" s="69">
        <v>4615412497</v>
      </c>
      <c r="D906" s="70">
        <v>19175</v>
      </c>
      <c r="E906" s="79"/>
      <c r="F906" s="73">
        <v>10</v>
      </c>
      <c r="G906" s="73">
        <v>5</v>
      </c>
      <c r="H906" s="68">
        <v>0</v>
      </c>
      <c r="I906" s="68">
        <v>0</v>
      </c>
      <c r="J906" s="71">
        <v>42785</v>
      </c>
      <c r="K906" s="71">
        <v>43001</v>
      </c>
      <c r="L906" s="69" t="s">
        <v>137</v>
      </c>
      <c r="M906" s="69" t="s">
        <v>109</v>
      </c>
      <c r="N906" s="72">
        <v>42878</v>
      </c>
      <c r="O906" s="67"/>
      <c r="P906" s="67" t="s">
        <v>95</v>
      </c>
      <c r="Q906" s="67" t="s">
        <v>129</v>
      </c>
      <c r="R906" s="69" t="s">
        <v>69</v>
      </c>
      <c r="S906" s="69" t="s">
        <v>138</v>
      </c>
      <c r="T906" s="67"/>
      <c r="U906" s="67"/>
      <c r="V906" s="72">
        <v>42855</v>
      </c>
      <c r="W906" s="69">
        <v>415570134</v>
      </c>
      <c r="X906" s="78"/>
      <c r="Y906" s="123"/>
      <c r="Z906" s="30">
        <f t="shared" si="28"/>
        <v>4227.3638773950279</v>
      </c>
      <c r="AA906" s="30">
        <f t="shared" si="29"/>
        <v>2113.6819386975139</v>
      </c>
      <c r="AB906" t="s">
        <v>456</v>
      </c>
    </row>
    <row r="907" spans="1:28">
      <c r="A907" s="67" t="s">
        <v>68</v>
      </c>
      <c r="B907" s="68">
        <v>1222594</v>
      </c>
      <c r="C907" s="69">
        <v>4615412605</v>
      </c>
      <c r="D907" s="70">
        <v>19175</v>
      </c>
      <c r="E907" s="79"/>
      <c r="F907" s="73">
        <v>16</v>
      </c>
      <c r="G907" s="73">
        <v>5</v>
      </c>
      <c r="H907" s="68">
        <v>0</v>
      </c>
      <c r="I907" s="68">
        <v>0</v>
      </c>
      <c r="J907" s="71">
        <v>42769</v>
      </c>
      <c r="K907" s="71">
        <v>43001</v>
      </c>
      <c r="L907" s="69" t="s">
        <v>119</v>
      </c>
      <c r="M907" s="69" t="s">
        <v>109</v>
      </c>
      <c r="N907" s="72">
        <v>42878</v>
      </c>
      <c r="O907" s="67"/>
      <c r="P907" s="67" t="s">
        <v>95</v>
      </c>
      <c r="Q907" s="67" t="s">
        <v>125</v>
      </c>
      <c r="R907" s="69" t="s">
        <v>69</v>
      </c>
      <c r="S907" s="69" t="s">
        <v>68</v>
      </c>
      <c r="T907" s="67"/>
      <c r="U907" s="67"/>
      <c r="V907" s="72">
        <v>42794</v>
      </c>
      <c r="W907" s="69">
        <v>5114731</v>
      </c>
      <c r="X907" s="69"/>
      <c r="Y907" s="123"/>
      <c r="Z907" s="30">
        <f t="shared" si="28"/>
        <v>6763.7822038320437</v>
      </c>
      <c r="AA907" s="30">
        <f t="shared" si="29"/>
        <v>2113.6819386975139</v>
      </c>
      <c r="AB907" t="s">
        <v>456</v>
      </c>
    </row>
    <row r="908" spans="1:28">
      <c r="A908" s="67" t="s">
        <v>113</v>
      </c>
      <c r="B908" s="68">
        <v>1229393</v>
      </c>
      <c r="C908" s="69">
        <v>4615416536</v>
      </c>
      <c r="D908" s="70">
        <v>19200</v>
      </c>
      <c r="E908" s="79"/>
      <c r="F908" s="73">
        <v>16</v>
      </c>
      <c r="G908" s="73" t="s">
        <v>114</v>
      </c>
      <c r="H908" s="73">
        <v>0</v>
      </c>
      <c r="I908" s="68">
        <v>0</v>
      </c>
      <c r="J908" s="71">
        <v>42820</v>
      </c>
      <c r="K908" s="71">
        <v>42984</v>
      </c>
      <c r="L908" s="69" t="s">
        <v>108</v>
      </c>
      <c r="M908" s="69" t="s">
        <v>109</v>
      </c>
      <c r="N908" s="72">
        <v>42877</v>
      </c>
      <c r="O908" s="67"/>
      <c r="P908" s="67" t="s">
        <v>95</v>
      </c>
      <c r="Q908" s="67" t="s">
        <v>110</v>
      </c>
      <c r="R908" s="69" t="s">
        <v>69</v>
      </c>
      <c r="S908" s="69" t="s">
        <v>115</v>
      </c>
      <c r="T908" s="67"/>
      <c r="U908" s="67"/>
      <c r="V908" s="72">
        <v>42855</v>
      </c>
      <c r="W908" s="69" t="s">
        <v>210</v>
      </c>
      <c r="X908" s="69" t="s">
        <v>211</v>
      </c>
      <c r="Y908" s="123"/>
      <c r="Z908" s="30">
        <f t="shared" si="28"/>
        <v>6772.6006943194379</v>
      </c>
      <c r="AA908" s="30">
        <f t="shared" si="29"/>
        <v>0</v>
      </c>
      <c r="AB908" t="s">
        <v>456</v>
      </c>
    </row>
    <row r="909" spans="1:28">
      <c r="A909" s="67" t="s">
        <v>113</v>
      </c>
      <c r="B909" s="68">
        <v>1228738</v>
      </c>
      <c r="C909" s="69">
        <v>4615416536</v>
      </c>
      <c r="D909" s="70">
        <v>19200</v>
      </c>
      <c r="E909" s="79"/>
      <c r="F909" s="73">
        <v>16</v>
      </c>
      <c r="G909" s="73" t="s">
        <v>114</v>
      </c>
      <c r="H909" s="73">
        <v>0</v>
      </c>
      <c r="I909" s="68">
        <v>0</v>
      </c>
      <c r="J909" s="71">
        <v>42806</v>
      </c>
      <c r="K909" s="71">
        <v>42984</v>
      </c>
      <c r="L909" s="69" t="s">
        <v>108</v>
      </c>
      <c r="M909" s="69" t="s">
        <v>109</v>
      </c>
      <c r="N909" s="72">
        <v>42877</v>
      </c>
      <c r="O909" s="67"/>
      <c r="P909" s="67" t="s">
        <v>95</v>
      </c>
      <c r="Q909" s="67" t="s">
        <v>110</v>
      </c>
      <c r="R909" s="69" t="s">
        <v>69</v>
      </c>
      <c r="S909" s="69" t="s">
        <v>115</v>
      </c>
      <c r="T909" s="67"/>
      <c r="U909" s="67"/>
      <c r="V909" s="72">
        <v>42855</v>
      </c>
      <c r="W909" s="69" t="s">
        <v>210</v>
      </c>
      <c r="X909" s="69" t="s">
        <v>211</v>
      </c>
      <c r="Y909" s="123"/>
      <c r="Z909" s="30">
        <f t="shared" si="28"/>
        <v>6772.6006943194379</v>
      </c>
      <c r="AA909" s="30">
        <f t="shared" si="29"/>
        <v>0</v>
      </c>
      <c r="AB909" t="s">
        <v>456</v>
      </c>
    </row>
    <row r="910" spans="1:28">
      <c r="A910" s="67" t="s">
        <v>128</v>
      </c>
      <c r="B910" s="68">
        <v>1230159</v>
      </c>
      <c r="C910" s="69">
        <v>4615479999</v>
      </c>
      <c r="D910" s="70">
        <v>19175</v>
      </c>
      <c r="E910" s="79"/>
      <c r="F910" s="68">
        <v>154.4</v>
      </c>
      <c r="G910" s="68">
        <v>0</v>
      </c>
      <c r="H910" s="73">
        <v>0</v>
      </c>
      <c r="I910" s="68">
        <v>0</v>
      </c>
      <c r="J910" s="71">
        <v>42806</v>
      </c>
      <c r="K910" s="71">
        <v>42991</v>
      </c>
      <c r="L910" s="69" t="s">
        <v>119</v>
      </c>
      <c r="M910" s="69" t="s">
        <v>109</v>
      </c>
      <c r="N910" s="72">
        <v>42877</v>
      </c>
      <c r="O910" s="67"/>
      <c r="P910" s="67" t="s">
        <v>95</v>
      </c>
      <c r="Q910" s="67" t="s">
        <v>129</v>
      </c>
      <c r="R910" s="69" t="s">
        <v>69</v>
      </c>
      <c r="S910" s="69" t="s">
        <v>130</v>
      </c>
      <c r="T910" s="67"/>
      <c r="U910" s="67"/>
      <c r="V910" s="72">
        <v>42825</v>
      </c>
      <c r="W910" s="69">
        <v>425570007</v>
      </c>
      <c r="X910" s="69"/>
      <c r="Y910" s="123"/>
      <c r="Z910" s="30">
        <f t="shared" si="28"/>
        <v>65270.498266979223</v>
      </c>
      <c r="AA910" s="30">
        <f t="shared" si="29"/>
        <v>0</v>
      </c>
      <c r="AB910" t="s">
        <v>456</v>
      </c>
    </row>
    <row r="911" spans="1:28">
      <c r="A911" s="67" t="s">
        <v>68</v>
      </c>
      <c r="B911" s="68">
        <v>1222589</v>
      </c>
      <c r="C911" s="69">
        <v>4615412605</v>
      </c>
      <c r="D911" s="70">
        <v>19175</v>
      </c>
      <c r="E911" s="79"/>
      <c r="F911" s="73">
        <v>16</v>
      </c>
      <c r="G911" s="73">
        <v>5</v>
      </c>
      <c r="H911" s="68">
        <v>0</v>
      </c>
      <c r="I911" s="68">
        <v>0</v>
      </c>
      <c r="J911" s="71">
        <v>42769</v>
      </c>
      <c r="K911" s="71">
        <v>42972</v>
      </c>
      <c r="L911" s="69" t="s">
        <v>119</v>
      </c>
      <c r="M911" s="69" t="s">
        <v>109</v>
      </c>
      <c r="N911" s="72">
        <v>42877</v>
      </c>
      <c r="O911" s="67"/>
      <c r="P911" s="67" t="s">
        <v>95</v>
      </c>
      <c r="Q911" s="67" t="s">
        <v>125</v>
      </c>
      <c r="R911" s="69" t="s">
        <v>69</v>
      </c>
      <c r="S911" s="69" t="s">
        <v>68</v>
      </c>
      <c r="T911" s="67"/>
      <c r="U911" s="67"/>
      <c r="V911" s="72">
        <v>42794</v>
      </c>
      <c r="W911" s="69">
        <v>5114731</v>
      </c>
      <c r="X911" s="69"/>
      <c r="Y911" s="123"/>
      <c r="Z911" s="30">
        <f t="shared" si="28"/>
        <v>6763.7822038320437</v>
      </c>
      <c r="AA911" s="30">
        <f t="shared" si="29"/>
        <v>2113.6819386975139</v>
      </c>
      <c r="AB911" t="s">
        <v>456</v>
      </c>
    </row>
    <row r="912" spans="1:28">
      <c r="A912" s="67" t="s">
        <v>128</v>
      </c>
      <c r="B912" s="68">
        <v>1230162</v>
      </c>
      <c r="C912" s="69">
        <v>4615479999</v>
      </c>
      <c r="D912" s="70">
        <v>19175</v>
      </c>
      <c r="E912" s="79"/>
      <c r="F912" s="68">
        <v>154.4</v>
      </c>
      <c r="G912" s="68">
        <v>0</v>
      </c>
      <c r="H912" s="73">
        <v>0</v>
      </c>
      <c r="I912" s="68">
        <v>0</v>
      </c>
      <c r="J912" s="71">
        <v>42806</v>
      </c>
      <c r="K912" s="71">
        <v>42981</v>
      </c>
      <c r="L912" s="69" t="s">
        <v>119</v>
      </c>
      <c r="M912" s="69" t="s">
        <v>109</v>
      </c>
      <c r="N912" s="72">
        <v>42876</v>
      </c>
      <c r="O912" s="67"/>
      <c r="P912" s="67" t="s">
        <v>95</v>
      </c>
      <c r="Q912" s="67" t="s">
        <v>129</v>
      </c>
      <c r="R912" s="69" t="s">
        <v>69</v>
      </c>
      <c r="S912" s="69" t="s">
        <v>130</v>
      </c>
      <c r="T912" s="67"/>
      <c r="U912" s="67"/>
      <c r="V912" s="72">
        <v>42825</v>
      </c>
      <c r="W912" s="69">
        <v>425570007</v>
      </c>
      <c r="X912" s="69"/>
      <c r="Y912" s="123"/>
      <c r="Z912" s="30">
        <f t="shared" si="28"/>
        <v>65270.498266979223</v>
      </c>
      <c r="AA912" s="30">
        <f t="shared" si="29"/>
        <v>0</v>
      </c>
      <c r="AB912" t="s">
        <v>456</v>
      </c>
    </row>
    <row r="913" spans="1:28">
      <c r="A913" s="67" t="s">
        <v>113</v>
      </c>
      <c r="B913" s="68">
        <v>1234046</v>
      </c>
      <c r="C913" s="69">
        <v>4615417120</v>
      </c>
      <c r="D913" s="70">
        <v>20700</v>
      </c>
      <c r="E913" s="79"/>
      <c r="F913" s="68">
        <v>16</v>
      </c>
      <c r="G913" s="68">
        <v>5</v>
      </c>
      <c r="H913" s="73">
        <v>0</v>
      </c>
      <c r="I913" s="68">
        <v>0</v>
      </c>
      <c r="J913" s="71">
        <v>42828</v>
      </c>
      <c r="K913" s="71">
        <v>42981</v>
      </c>
      <c r="L913" s="69" t="s">
        <v>108</v>
      </c>
      <c r="M913" s="69" t="s">
        <v>109</v>
      </c>
      <c r="N913" s="72">
        <v>42876</v>
      </c>
      <c r="O913" s="67"/>
      <c r="P913" s="67" t="s">
        <v>95</v>
      </c>
      <c r="Q913" s="67" t="s">
        <v>110</v>
      </c>
      <c r="R913" s="69" t="s">
        <v>69</v>
      </c>
      <c r="S913" s="69" t="s">
        <v>115</v>
      </c>
      <c r="T913" s="67"/>
      <c r="U913" s="67"/>
      <c r="V913" s="72">
        <v>42886</v>
      </c>
      <c r="W913" s="69" t="s">
        <v>153</v>
      </c>
      <c r="X913" s="69" t="s">
        <v>117</v>
      </c>
      <c r="Y913" s="123"/>
      <c r="Z913" s="30">
        <f t="shared" si="28"/>
        <v>7301.7101235631453</v>
      </c>
      <c r="AA913" s="30">
        <f t="shared" si="29"/>
        <v>2281.7844136134831</v>
      </c>
      <c r="AB913" t="s">
        <v>456</v>
      </c>
    </row>
    <row r="914" spans="1:28">
      <c r="A914" s="67" t="s">
        <v>122</v>
      </c>
      <c r="B914" s="68">
        <v>1230559</v>
      </c>
      <c r="C914" s="69">
        <v>4615410392</v>
      </c>
      <c r="D914" s="70">
        <v>19200</v>
      </c>
      <c r="E914" s="79"/>
      <c r="F914" s="68">
        <v>16</v>
      </c>
      <c r="G914" s="68">
        <v>5</v>
      </c>
      <c r="H914" s="73">
        <v>0</v>
      </c>
      <c r="I914" s="68">
        <v>0</v>
      </c>
      <c r="J914" s="71">
        <v>42814</v>
      </c>
      <c r="K914" s="71">
        <v>43018</v>
      </c>
      <c r="L914" s="69" t="s">
        <v>108</v>
      </c>
      <c r="M914" s="69" t="s">
        <v>109</v>
      </c>
      <c r="N914" s="72">
        <v>42876</v>
      </c>
      <c r="O914" s="67"/>
      <c r="P914" s="67" t="s">
        <v>95</v>
      </c>
      <c r="Q914" s="67" t="s">
        <v>120</v>
      </c>
      <c r="R914" s="69" t="s">
        <v>69</v>
      </c>
      <c r="S914" s="69" t="s">
        <v>123</v>
      </c>
      <c r="T914" s="67"/>
      <c r="U914" s="67"/>
      <c r="V914" s="72">
        <v>42855</v>
      </c>
      <c r="W914" s="69">
        <v>2025781</v>
      </c>
      <c r="X914" s="69" t="s">
        <v>196</v>
      </c>
      <c r="Y914" s="123"/>
      <c r="Z914" s="30">
        <f t="shared" si="28"/>
        <v>6772.6006943194379</v>
      </c>
      <c r="AA914" s="30">
        <f t="shared" si="29"/>
        <v>2116.4377169748245</v>
      </c>
      <c r="AB914" t="s">
        <v>456</v>
      </c>
    </row>
    <row r="915" spans="1:28">
      <c r="A915" s="67" t="s">
        <v>113</v>
      </c>
      <c r="B915" s="68">
        <v>1229389</v>
      </c>
      <c r="C915" s="69">
        <v>4615416536</v>
      </c>
      <c r="D915" s="70">
        <v>19200</v>
      </c>
      <c r="E915" s="79"/>
      <c r="F915" s="73">
        <v>16</v>
      </c>
      <c r="G915" s="73" t="s">
        <v>114</v>
      </c>
      <c r="H915" s="73">
        <v>0</v>
      </c>
      <c r="I915" s="68">
        <v>0</v>
      </c>
      <c r="J915" s="71">
        <v>42820</v>
      </c>
      <c r="K915" s="71">
        <v>43018</v>
      </c>
      <c r="L915" s="69" t="s">
        <v>108</v>
      </c>
      <c r="M915" s="69" t="s">
        <v>109</v>
      </c>
      <c r="N915" s="72">
        <v>42876</v>
      </c>
      <c r="O915" s="67"/>
      <c r="P915" s="67" t="s">
        <v>95</v>
      </c>
      <c r="Q915" s="67" t="s">
        <v>110</v>
      </c>
      <c r="R915" s="69" t="s">
        <v>69</v>
      </c>
      <c r="S915" s="69" t="s">
        <v>115</v>
      </c>
      <c r="T915" s="67"/>
      <c r="U915" s="67"/>
      <c r="V915" s="72">
        <v>42855</v>
      </c>
      <c r="W915" s="69" t="s">
        <v>210</v>
      </c>
      <c r="X915" s="69" t="s">
        <v>211</v>
      </c>
      <c r="Y915" s="123"/>
      <c r="Z915" s="30">
        <f t="shared" si="28"/>
        <v>6772.6006943194379</v>
      </c>
      <c r="AA915" s="30">
        <f t="shared" si="29"/>
        <v>0</v>
      </c>
      <c r="AB915" t="s">
        <v>456</v>
      </c>
    </row>
    <row r="916" spans="1:28">
      <c r="A916" s="67" t="s">
        <v>113</v>
      </c>
      <c r="B916" s="68">
        <v>1228744</v>
      </c>
      <c r="C916" s="69">
        <v>4615416536</v>
      </c>
      <c r="D916" s="70">
        <v>19200</v>
      </c>
      <c r="E916" s="79"/>
      <c r="F916" s="73">
        <v>16</v>
      </c>
      <c r="G916" s="73" t="s">
        <v>114</v>
      </c>
      <c r="H916" s="73">
        <v>0</v>
      </c>
      <c r="I916" s="68">
        <v>0</v>
      </c>
      <c r="J916" s="71"/>
      <c r="K916" s="71">
        <v>43024</v>
      </c>
      <c r="L916" s="69" t="s">
        <v>80</v>
      </c>
      <c r="M916" s="69" t="s">
        <v>109</v>
      </c>
      <c r="N916" s="72">
        <v>42876</v>
      </c>
      <c r="O916" s="67"/>
      <c r="P916" s="67" t="s">
        <v>95</v>
      </c>
      <c r="Q916" s="67" t="s">
        <v>110</v>
      </c>
      <c r="R916" s="69" t="s">
        <v>69</v>
      </c>
      <c r="S916" s="69" t="s">
        <v>115</v>
      </c>
      <c r="T916" s="67"/>
      <c r="U916" s="67"/>
      <c r="V916" s="72">
        <v>42855</v>
      </c>
      <c r="W916" s="69" t="s">
        <v>210</v>
      </c>
      <c r="X916" s="69" t="s">
        <v>211</v>
      </c>
      <c r="Y916" s="123"/>
      <c r="Z916" s="30">
        <f t="shared" si="28"/>
        <v>6772.6006943194379</v>
      </c>
      <c r="AA916" s="30">
        <f t="shared" si="29"/>
        <v>0</v>
      </c>
      <c r="AB916" t="s">
        <v>456</v>
      </c>
    </row>
    <row r="917" spans="1:28">
      <c r="A917" s="67" t="s">
        <v>118</v>
      </c>
      <c r="B917" s="68">
        <v>1218095</v>
      </c>
      <c r="C917" s="69">
        <v>4615418683</v>
      </c>
      <c r="D917" s="70">
        <v>19175</v>
      </c>
      <c r="E917" s="79"/>
      <c r="F917" s="73">
        <v>10</v>
      </c>
      <c r="G917" s="73" t="s">
        <v>114</v>
      </c>
      <c r="H917" s="73">
        <v>0</v>
      </c>
      <c r="I917" s="68">
        <v>0</v>
      </c>
      <c r="J917" s="71">
        <v>42785</v>
      </c>
      <c r="K917" s="71">
        <v>42974</v>
      </c>
      <c r="L917" s="69" t="s">
        <v>137</v>
      </c>
      <c r="M917" s="69" t="s">
        <v>109</v>
      </c>
      <c r="N917" s="72">
        <v>42876</v>
      </c>
      <c r="O917" s="67"/>
      <c r="P917" s="67" t="s">
        <v>95</v>
      </c>
      <c r="Q917" s="67" t="s">
        <v>120</v>
      </c>
      <c r="R917" s="69" t="s">
        <v>69</v>
      </c>
      <c r="S917" s="69" t="s">
        <v>121</v>
      </c>
      <c r="T917" s="67"/>
      <c r="U917" s="67"/>
      <c r="V917" s="72">
        <v>42825</v>
      </c>
      <c r="W917" s="69">
        <v>2026346</v>
      </c>
      <c r="X917" s="69"/>
      <c r="Y917" s="123"/>
      <c r="Z917" s="30">
        <f t="shared" si="28"/>
        <v>4227.3638773950279</v>
      </c>
      <c r="AA917" s="30">
        <f t="shared" si="29"/>
        <v>0</v>
      </c>
      <c r="AB917" t="s">
        <v>456</v>
      </c>
    </row>
    <row r="918" spans="1:28">
      <c r="A918" s="67" t="s">
        <v>136</v>
      </c>
      <c r="B918" s="68">
        <v>1223754</v>
      </c>
      <c r="C918" s="69">
        <v>4615336818</v>
      </c>
      <c r="D918" s="70">
        <v>19175</v>
      </c>
      <c r="E918" s="79"/>
      <c r="F918" s="73">
        <v>10</v>
      </c>
      <c r="G918" s="73" t="s">
        <v>114</v>
      </c>
      <c r="H918" s="68">
        <v>0</v>
      </c>
      <c r="I918" s="68">
        <v>0</v>
      </c>
      <c r="J918" s="71">
        <v>42785</v>
      </c>
      <c r="K918" s="71">
        <v>42981</v>
      </c>
      <c r="L918" s="69" t="s">
        <v>137</v>
      </c>
      <c r="M918" s="69" t="s">
        <v>109</v>
      </c>
      <c r="N918" s="72">
        <v>42876</v>
      </c>
      <c r="O918" s="67"/>
      <c r="P918" s="67" t="s">
        <v>95</v>
      </c>
      <c r="Q918" s="67" t="s">
        <v>129</v>
      </c>
      <c r="R918" s="69" t="s">
        <v>69</v>
      </c>
      <c r="S918" s="69" t="s">
        <v>138</v>
      </c>
      <c r="T918" s="67"/>
      <c r="U918" s="67"/>
      <c r="V918" s="72">
        <v>42855</v>
      </c>
      <c r="W918" s="69">
        <v>415570141</v>
      </c>
      <c r="X918" s="69"/>
      <c r="Y918" s="123"/>
      <c r="Z918" s="30">
        <f t="shared" si="28"/>
        <v>4227.3638773950279</v>
      </c>
      <c r="AA918" s="30">
        <f t="shared" si="29"/>
        <v>0</v>
      </c>
      <c r="AB918" t="s">
        <v>456</v>
      </c>
    </row>
    <row r="919" spans="1:28">
      <c r="A919" s="67" t="s">
        <v>118</v>
      </c>
      <c r="B919" s="68">
        <v>1218101</v>
      </c>
      <c r="C919" s="69">
        <v>4615358692</v>
      </c>
      <c r="D919" s="70">
        <v>19175</v>
      </c>
      <c r="E919" s="79"/>
      <c r="F919" s="68">
        <v>10</v>
      </c>
      <c r="G919" s="68">
        <v>5</v>
      </c>
      <c r="H919" s="73">
        <v>0</v>
      </c>
      <c r="I919" s="68">
        <v>0</v>
      </c>
      <c r="J919" s="71">
        <v>42785</v>
      </c>
      <c r="K919" s="71">
        <v>42974</v>
      </c>
      <c r="L919" s="69" t="s">
        <v>137</v>
      </c>
      <c r="M919" s="69" t="s">
        <v>109</v>
      </c>
      <c r="N919" s="72">
        <v>42876</v>
      </c>
      <c r="O919" s="67"/>
      <c r="P919" s="67" t="s">
        <v>95</v>
      </c>
      <c r="Q919" s="67" t="s">
        <v>120</v>
      </c>
      <c r="R919" s="69" t="s">
        <v>69</v>
      </c>
      <c r="S919" s="69" t="s">
        <v>121</v>
      </c>
      <c r="T919" s="67"/>
      <c r="U919" s="67"/>
      <c r="V919" s="72">
        <v>42825</v>
      </c>
      <c r="W919" s="69">
        <v>2021265</v>
      </c>
      <c r="X919" s="69"/>
      <c r="Y919" s="123"/>
      <c r="Z919" s="30">
        <f t="shared" si="28"/>
        <v>4227.3638773950279</v>
      </c>
      <c r="AA919" s="30">
        <f t="shared" si="29"/>
        <v>2113.6819386975139</v>
      </c>
      <c r="AB919" t="s">
        <v>456</v>
      </c>
    </row>
    <row r="920" spans="1:28">
      <c r="A920" s="67" t="s">
        <v>118</v>
      </c>
      <c r="B920" s="68">
        <v>1214194</v>
      </c>
      <c r="C920" s="69">
        <v>4615372335</v>
      </c>
      <c r="D920" s="70">
        <v>19175</v>
      </c>
      <c r="E920" s="79"/>
      <c r="F920" s="68">
        <v>10</v>
      </c>
      <c r="G920" s="68" t="s">
        <v>114</v>
      </c>
      <c r="H920" s="73">
        <v>0</v>
      </c>
      <c r="I920" s="68">
        <v>0</v>
      </c>
      <c r="J920" s="71">
        <v>42783</v>
      </c>
      <c r="K920" s="71">
        <v>43050</v>
      </c>
      <c r="L920" s="69" t="s">
        <v>137</v>
      </c>
      <c r="M920" s="69" t="s">
        <v>109</v>
      </c>
      <c r="N920" s="72">
        <v>42876</v>
      </c>
      <c r="O920" s="67"/>
      <c r="P920" s="67" t="s">
        <v>95</v>
      </c>
      <c r="Q920" s="67" t="s">
        <v>120</v>
      </c>
      <c r="R920" s="69" t="s">
        <v>69</v>
      </c>
      <c r="S920" s="69" t="s">
        <v>121</v>
      </c>
      <c r="T920" s="67"/>
      <c r="U920" s="67"/>
      <c r="V920" s="72">
        <v>42794</v>
      </c>
      <c r="W920" s="69">
        <v>2021264</v>
      </c>
      <c r="X920" s="69"/>
      <c r="Y920" s="123"/>
      <c r="Z920" s="30">
        <f t="shared" si="28"/>
        <v>4227.3638773950279</v>
      </c>
      <c r="AA920" s="30">
        <f t="shared" si="29"/>
        <v>0</v>
      </c>
      <c r="AB920" t="s">
        <v>456</v>
      </c>
    </row>
    <row r="921" spans="1:28">
      <c r="A921" s="67" t="s">
        <v>122</v>
      </c>
      <c r="B921" s="68">
        <v>1219253</v>
      </c>
      <c r="C921" s="69">
        <v>4615410391</v>
      </c>
      <c r="D921" s="70">
        <v>19200</v>
      </c>
      <c r="E921" s="79"/>
      <c r="F921" s="73">
        <v>16</v>
      </c>
      <c r="G921" s="73">
        <v>5</v>
      </c>
      <c r="H921" s="68">
        <v>0</v>
      </c>
      <c r="I921" s="68">
        <v>0</v>
      </c>
      <c r="J921" s="71">
        <v>42765</v>
      </c>
      <c r="K921" s="71">
        <v>43099</v>
      </c>
      <c r="L921" s="69" t="s">
        <v>119</v>
      </c>
      <c r="M921" s="69" t="s">
        <v>109</v>
      </c>
      <c r="N921" s="72">
        <v>42876</v>
      </c>
      <c r="O921" s="67"/>
      <c r="P921" s="67" t="s">
        <v>95</v>
      </c>
      <c r="Q921" s="67" t="s">
        <v>120</v>
      </c>
      <c r="R921" s="69" t="s">
        <v>69</v>
      </c>
      <c r="S921" s="69" t="s">
        <v>123</v>
      </c>
      <c r="T921" s="67"/>
      <c r="U921" s="67"/>
      <c r="V921" s="72">
        <v>42766</v>
      </c>
      <c r="W921" s="69">
        <v>2025778</v>
      </c>
      <c r="X921" s="69"/>
      <c r="Y921" s="123"/>
      <c r="Z921" s="30">
        <f t="shared" si="28"/>
        <v>6772.6006943194379</v>
      </c>
      <c r="AA921" s="30">
        <f t="shared" si="29"/>
        <v>2116.4377169748245</v>
      </c>
      <c r="AB921" t="s">
        <v>456</v>
      </c>
    </row>
    <row r="922" spans="1:28">
      <c r="A922" s="67" t="s">
        <v>113</v>
      </c>
      <c r="B922" s="68">
        <v>1218636</v>
      </c>
      <c r="C922" s="69">
        <v>4615401202</v>
      </c>
      <c r="D922" s="70">
        <v>19175</v>
      </c>
      <c r="E922" s="79"/>
      <c r="F922" s="73">
        <v>16</v>
      </c>
      <c r="G922" s="73">
        <v>5</v>
      </c>
      <c r="H922" s="68">
        <v>0</v>
      </c>
      <c r="I922" s="68">
        <v>0</v>
      </c>
      <c r="J922" s="71">
        <v>42764</v>
      </c>
      <c r="K922" s="71">
        <v>43059</v>
      </c>
      <c r="L922" s="69" t="s">
        <v>119</v>
      </c>
      <c r="M922" s="69" t="s">
        <v>109</v>
      </c>
      <c r="N922" s="72">
        <v>42876</v>
      </c>
      <c r="O922" s="67"/>
      <c r="P922" s="67" t="s">
        <v>95</v>
      </c>
      <c r="Q922" s="67" t="s">
        <v>110</v>
      </c>
      <c r="R922" s="69" t="s">
        <v>69</v>
      </c>
      <c r="S922" s="69" t="s">
        <v>115</v>
      </c>
      <c r="T922" s="67"/>
      <c r="U922" s="67"/>
      <c r="V922" s="72">
        <v>42794</v>
      </c>
      <c r="W922" s="69" t="s">
        <v>142</v>
      </c>
      <c r="X922" s="69"/>
      <c r="Y922" s="123"/>
      <c r="Z922" s="30">
        <f t="shared" si="28"/>
        <v>6763.7822038320437</v>
      </c>
      <c r="AA922" s="30">
        <f t="shared" si="29"/>
        <v>2113.6819386975139</v>
      </c>
      <c r="AB922" t="s">
        <v>456</v>
      </c>
    </row>
    <row r="923" spans="1:28">
      <c r="A923" s="67" t="s">
        <v>113</v>
      </c>
      <c r="B923" s="68">
        <v>1218633</v>
      </c>
      <c r="C923" s="69">
        <v>4615401202</v>
      </c>
      <c r="D923" s="70">
        <v>19175</v>
      </c>
      <c r="E923" s="79"/>
      <c r="F923" s="73">
        <v>16</v>
      </c>
      <c r="G923" s="73">
        <v>5</v>
      </c>
      <c r="H923" s="68">
        <v>0</v>
      </c>
      <c r="I923" s="68">
        <v>0</v>
      </c>
      <c r="J923" s="71">
        <v>42764</v>
      </c>
      <c r="K923" s="71">
        <v>43019</v>
      </c>
      <c r="L923" s="69" t="s">
        <v>119</v>
      </c>
      <c r="M923" s="69" t="s">
        <v>109</v>
      </c>
      <c r="N923" s="72">
        <v>42876</v>
      </c>
      <c r="O923" s="67"/>
      <c r="P923" s="67" t="s">
        <v>95</v>
      </c>
      <c r="Q923" s="67" t="s">
        <v>110</v>
      </c>
      <c r="R923" s="69" t="s">
        <v>69</v>
      </c>
      <c r="S923" s="69" t="s">
        <v>115</v>
      </c>
      <c r="T923" s="67"/>
      <c r="U923" s="67"/>
      <c r="V923" s="72">
        <v>42794</v>
      </c>
      <c r="W923" s="69" t="s">
        <v>142</v>
      </c>
      <c r="X923" s="69"/>
      <c r="Y923" s="123"/>
      <c r="Z923" s="30">
        <f t="shared" si="28"/>
        <v>6763.7822038320437</v>
      </c>
      <c r="AA923" s="30">
        <f t="shared" si="29"/>
        <v>2113.6819386975139</v>
      </c>
      <c r="AB923" t="s">
        <v>456</v>
      </c>
    </row>
    <row r="924" spans="1:28">
      <c r="A924" s="67" t="s">
        <v>68</v>
      </c>
      <c r="B924" s="68">
        <v>1222591</v>
      </c>
      <c r="C924" s="69">
        <v>4615412605</v>
      </c>
      <c r="D924" s="70">
        <v>19175</v>
      </c>
      <c r="E924" s="79"/>
      <c r="F924" s="73">
        <v>16</v>
      </c>
      <c r="G924" s="73">
        <v>5</v>
      </c>
      <c r="H924" s="75">
        <v>0</v>
      </c>
      <c r="I924" s="68">
        <v>0</v>
      </c>
      <c r="J924" s="71">
        <v>42769</v>
      </c>
      <c r="K924" s="71">
        <v>43032</v>
      </c>
      <c r="L924" s="69" t="s">
        <v>119</v>
      </c>
      <c r="M924" s="69" t="s">
        <v>109</v>
      </c>
      <c r="N924" s="72">
        <v>42876</v>
      </c>
      <c r="O924" s="67"/>
      <c r="P924" s="67" t="s">
        <v>95</v>
      </c>
      <c r="Q924" s="67" t="s">
        <v>125</v>
      </c>
      <c r="R924" s="69" t="s">
        <v>69</v>
      </c>
      <c r="S924" s="69" t="s">
        <v>68</v>
      </c>
      <c r="T924" s="67"/>
      <c r="U924" s="67"/>
      <c r="V924" s="72">
        <v>42794</v>
      </c>
      <c r="W924" s="69">
        <v>5114731</v>
      </c>
      <c r="X924" s="69"/>
      <c r="Y924" s="123"/>
      <c r="Z924" s="30">
        <f t="shared" si="28"/>
        <v>6763.7822038320437</v>
      </c>
      <c r="AA924" s="30">
        <f t="shared" si="29"/>
        <v>2113.6819386975139</v>
      </c>
      <c r="AB924" t="s">
        <v>456</v>
      </c>
    </row>
    <row r="925" spans="1:28">
      <c r="A925" s="67" t="s">
        <v>68</v>
      </c>
      <c r="B925" s="68">
        <v>1222585</v>
      </c>
      <c r="C925" s="69">
        <v>4615412605</v>
      </c>
      <c r="D925" s="70">
        <v>19175</v>
      </c>
      <c r="E925" s="79"/>
      <c r="F925" s="73">
        <v>16</v>
      </c>
      <c r="G925" s="73">
        <v>5</v>
      </c>
      <c r="H925" s="68">
        <v>0</v>
      </c>
      <c r="I925" s="68">
        <v>0</v>
      </c>
      <c r="J925" s="71">
        <v>42769</v>
      </c>
      <c r="K925" s="71">
        <v>43032</v>
      </c>
      <c r="L925" s="69" t="s">
        <v>119</v>
      </c>
      <c r="M925" s="69" t="s">
        <v>109</v>
      </c>
      <c r="N925" s="72">
        <v>42876</v>
      </c>
      <c r="O925" s="67"/>
      <c r="P925" s="67" t="s">
        <v>95</v>
      </c>
      <c r="Q925" s="67" t="s">
        <v>125</v>
      </c>
      <c r="R925" s="69" t="s">
        <v>69</v>
      </c>
      <c r="S925" s="69" t="s">
        <v>68</v>
      </c>
      <c r="T925" s="67"/>
      <c r="U925" s="67"/>
      <c r="V925" s="72">
        <v>42794</v>
      </c>
      <c r="W925" s="69">
        <v>5114731</v>
      </c>
      <c r="X925" s="69" t="s">
        <v>148</v>
      </c>
      <c r="Y925" s="123"/>
      <c r="Z925" s="30">
        <f t="shared" si="28"/>
        <v>6763.7822038320437</v>
      </c>
      <c r="AA925" s="30">
        <f t="shared" si="29"/>
        <v>2113.6819386975139</v>
      </c>
      <c r="AB925" t="s">
        <v>456</v>
      </c>
    </row>
    <row r="926" spans="1:28">
      <c r="A926" s="67" t="s">
        <v>128</v>
      </c>
      <c r="B926" s="68">
        <v>1219756</v>
      </c>
      <c r="C926" s="69">
        <v>4615422972</v>
      </c>
      <c r="D926" s="70">
        <v>19175</v>
      </c>
      <c r="E926" s="79"/>
      <c r="F926" s="68">
        <v>154.4</v>
      </c>
      <c r="G926" s="68" t="s">
        <v>114</v>
      </c>
      <c r="H926" s="73">
        <v>0</v>
      </c>
      <c r="I926" s="68">
        <v>0</v>
      </c>
      <c r="J926" s="71">
        <v>42771</v>
      </c>
      <c r="K926" s="71">
        <v>43039</v>
      </c>
      <c r="L926" s="69" t="s">
        <v>108</v>
      </c>
      <c r="M926" s="69" t="s">
        <v>109</v>
      </c>
      <c r="N926" s="72">
        <v>42873</v>
      </c>
      <c r="O926" s="67"/>
      <c r="P926" s="67" t="s">
        <v>95</v>
      </c>
      <c r="Q926" s="67" t="s">
        <v>129</v>
      </c>
      <c r="R926" s="69" t="s">
        <v>69</v>
      </c>
      <c r="S926" s="69" t="s">
        <v>130</v>
      </c>
      <c r="T926" s="67"/>
      <c r="U926" s="67"/>
      <c r="V926" s="72">
        <v>42825</v>
      </c>
      <c r="W926" s="69">
        <v>425570002</v>
      </c>
      <c r="X926" s="69"/>
      <c r="Y926" s="123"/>
      <c r="Z926" s="30">
        <f t="shared" si="28"/>
        <v>65270.498266979223</v>
      </c>
      <c r="AA926" s="30">
        <f t="shared" si="29"/>
        <v>0</v>
      </c>
      <c r="AB926" t="s">
        <v>456</v>
      </c>
    </row>
    <row r="927" spans="1:28">
      <c r="A927" s="67" t="s">
        <v>118</v>
      </c>
      <c r="B927" s="68">
        <v>1218097</v>
      </c>
      <c r="C927" s="69">
        <v>4615418683</v>
      </c>
      <c r="D927" s="70">
        <v>19175</v>
      </c>
      <c r="E927" s="79"/>
      <c r="F927" s="73">
        <v>10</v>
      </c>
      <c r="G927" s="73" t="s">
        <v>114</v>
      </c>
      <c r="H927" s="73">
        <v>0</v>
      </c>
      <c r="I927" s="68">
        <v>0</v>
      </c>
      <c r="J927" s="71">
        <v>42785</v>
      </c>
      <c r="K927" s="71">
        <v>43039</v>
      </c>
      <c r="L927" s="69" t="s">
        <v>137</v>
      </c>
      <c r="M927" s="69" t="s">
        <v>109</v>
      </c>
      <c r="N927" s="72">
        <v>42873</v>
      </c>
      <c r="O927" s="67"/>
      <c r="P927" s="67" t="s">
        <v>95</v>
      </c>
      <c r="Q927" s="67" t="s">
        <v>120</v>
      </c>
      <c r="R927" s="69" t="s">
        <v>69</v>
      </c>
      <c r="S927" s="69" t="s">
        <v>121</v>
      </c>
      <c r="T927" s="67"/>
      <c r="U927" s="67"/>
      <c r="V927" s="72">
        <v>42825</v>
      </c>
      <c r="W927" s="69">
        <v>2026346</v>
      </c>
      <c r="X927" s="69"/>
      <c r="Y927" s="123"/>
      <c r="Z927" s="30">
        <f t="shared" si="28"/>
        <v>4227.3638773950279</v>
      </c>
      <c r="AA927" s="30">
        <f t="shared" si="29"/>
        <v>0</v>
      </c>
      <c r="AB927" t="s">
        <v>456</v>
      </c>
    </row>
    <row r="928" spans="1:28">
      <c r="A928" s="67" t="s">
        <v>113</v>
      </c>
      <c r="B928" s="68">
        <v>1218630</v>
      </c>
      <c r="C928" s="69">
        <v>4615401202</v>
      </c>
      <c r="D928" s="70">
        <v>19175</v>
      </c>
      <c r="E928" s="79"/>
      <c r="F928" s="73">
        <v>16</v>
      </c>
      <c r="G928" s="73">
        <v>5</v>
      </c>
      <c r="H928" s="68">
        <v>0</v>
      </c>
      <c r="I928" s="68">
        <v>0</v>
      </c>
      <c r="J928" s="71">
        <v>42764</v>
      </c>
      <c r="K928" s="71">
        <v>43039</v>
      </c>
      <c r="L928" s="69" t="s">
        <v>119</v>
      </c>
      <c r="M928" s="69" t="s">
        <v>109</v>
      </c>
      <c r="N928" s="72">
        <v>42873</v>
      </c>
      <c r="O928" s="67"/>
      <c r="P928" s="67" t="s">
        <v>95</v>
      </c>
      <c r="Q928" s="67" t="s">
        <v>110</v>
      </c>
      <c r="R928" s="69" t="s">
        <v>69</v>
      </c>
      <c r="S928" s="69" t="s">
        <v>115</v>
      </c>
      <c r="T928" s="67"/>
      <c r="U928" s="67"/>
      <c r="V928" s="72">
        <v>42794</v>
      </c>
      <c r="W928" s="69" t="s">
        <v>142</v>
      </c>
      <c r="X928" s="69"/>
      <c r="Y928" s="123"/>
      <c r="Z928" s="30">
        <f t="shared" si="28"/>
        <v>6763.7822038320437</v>
      </c>
      <c r="AA928" s="30">
        <f t="shared" si="29"/>
        <v>2113.6819386975139</v>
      </c>
      <c r="AB928" t="s">
        <v>456</v>
      </c>
    </row>
    <row r="929" spans="1:28">
      <c r="A929" s="67" t="s">
        <v>68</v>
      </c>
      <c r="B929" s="68">
        <v>1222587</v>
      </c>
      <c r="C929" s="69">
        <v>4615412605</v>
      </c>
      <c r="D929" s="70">
        <v>19175</v>
      </c>
      <c r="E929" s="79"/>
      <c r="F929" s="73">
        <v>16</v>
      </c>
      <c r="G929" s="73">
        <v>5</v>
      </c>
      <c r="H929" s="75">
        <v>0</v>
      </c>
      <c r="I929" s="68">
        <v>0</v>
      </c>
      <c r="J929" s="71">
        <v>42769</v>
      </c>
      <c r="K929" s="71">
        <v>43060</v>
      </c>
      <c r="L929" s="69" t="s">
        <v>119</v>
      </c>
      <c r="M929" s="69" t="s">
        <v>109</v>
      </c>
      <c r="N929" s="72">
        <v>42873</v>
      </c>
      <c r="O929" s="67"/>
      <c r="P929" s="67" t="s">
        <v>95</v>
      </c>
      <c r="Q929" s="67" t="s">
        <v>125</v>
      </c>
      <c r="R929" s="69" t="s">
        <v>69</v>
      </c>
      <c r="S929" s="69" t="s">
        <v>68</v>
      </c>
      <c r="T929" s="67"/>
      <c r="U929" s="67"/>
      <c r="V929" s="72">
        <v>42794</v>
      </c>
      <c r="W929" s="69">
        <v>5114731</v>
      </c>
      <c r="X929" s="69"/>
      <c r="Y929" s="123"/>
      <c r="Z929" s="30">
        <f t="shared" si="28"/>
        <v>6763.7822038320437</v>
      </c>
      <c r="AA929" s="30">
        <f t="shared" si="29"/>
        <v>2113.6819386975139</v>
      </c>
      <c r="AB929" t="s">
        <v>456</v>
      </c>
    </row>
    <row r="930" spans="1:28">
      <c r="A930" s="67" t="s">
        <v>113</v>
      </c>
      <c r="B930" s="68">
        <v>1227500</v>
      </c>
      <c r="C930" s="69">
        <v>4615412686</v>
      </c>
      <c r="D930" s="70">
        <v>19200</v>
      </c>
      <c r="E930" s="79"/>
      <c r="F930" s="73">
        <v>16</v>
      </c>
      <c r="G930" s="73">
        <v>5</v>
      </c>
      <c r="H930" s="73">
        <v>0</v>
      </c>
      <c r="I930" s="68">
        <v>0</v>
      </c>
      <c r="J930" s="71">
        <v>42799</v>
      </c>
      <c r="K930" s="71">
        <v>43060</v>
      </c>
      <c r="L930" s="69" t="s">
        <v>108</v>
      </c>
      <c r="M930" s="69" t="s">
        <v>109</v>
      </c>
      <c r="N930" s="72">
        <v>42872</v>
      </c>
      <c r="O930" s="67"/>
      <c r="P930" s="67" t="s">
        <v>95</v>
      </c>
      <c r="Q930" s="67" t="s">
        <v>110</v>
      </c>
      <c r="R930" s="69" t="s">
        <v>69</v>
      </c>
      <c r="S930" s="69" t="s">
        <v>115</v>
      </c>
      <c r="T930" s="67"/>
      <c r="U930" s="67"/>
      <c r="V930" s="72">
        <v>42855</v>
      </c>
      <c r="W930" s="69" t="s">
        <v>212</v>
      </c>
      <c r="X930" s="69" t="s">
        <v>211</v>
      </c>
      <c r="Y930" s="123"/>
      <c r="Z930" s="30">
        <f t="shared" si="28"/>
        <v>6772.6006943194379</v>
      </c>
      <c r="AA930" s="30">
        <f t="shared" si="29"/>
        <v>2116.4377169748245</v>
      </c>
      <c r="AB930" t="s">
        <v>456</v>
      </c>
    </row>
    <row r="931" spans="1:28">
      <c r="A931" s="67" t="s">
        <v>118</v>
      </c>
      <c r="B931" s="68">
        <v>1218104</v>
      </c>
      <c r="C931" s="69">
        <v>4615358692</v>
      </c>
      <c r="D931" s="70">
        <v>19175</v>
      </c>
      <c r="E931" s="79"/>
      <c r="F931" s="68">
        <v>10</v>
      </c>
      <c r="G931" s="68">
        <v>5</v>
      </c>
      <c r="H931" s="73">
        <v>0</v>
      </c>
      <c r="I931" s="68">
        <v>0</v>
      </c>
      <c r="J931" s="71">
        <v>42785</v>
      </c>
      <c r="K931" s="71">
        <v>43060</v>
      </c>
      <c r="L931" s="69" t="s">
        <v>137</v>
      </c>
      <c r="M931" s="69" t="s">
        <v>109</v>
      </c>
      <c r="N931" s="72">
        <v>42872</v>
      </c>
      <c r="O931" s="67"/>
      <c r="P931" s="67" t="s">
        <v>95</v>
      </c>
      <c r="Q931" s="67" t="s">
        <v>120</v>
      </c>
      <c r="R931" s="69" t="s">
        <v>69</v>
      </c>
      <c r="S931" s="69" t="s">
        <v>121</v>
      </c>
      <c r="T931" s="67"/>
      <c r="U931" s="67"/>
      <c r="V931" s="72">
        <v>42825</v>
      </c>
      <c r="W931" s="69">
        <v>2021265</v>
      </c>
      <c r="X931" s="69"/>
      <c r="Y931" s="123"/>
      <c r="Z931" s="30">
        <f t="shared" si="28"/>
        <v>4227.3638773950279</v>
      </c>
      <c r="AA931" s="30">
        <f t="shared" si="29"/>
        <v>2113.6819386975139</v>
      </c>
      <c r="AB931" t="s">
        <v>456</v>
      </c>
    </row>
    <row r="932" spans="1:28">
      <c r="A932" s="67" t="s">
        <v>113</v>
      </c>
      <c r="B932" s="68">
        <v>1223716</v>
      </c>
      <c r="C932" s="69">
        <v>4615400270</v>
      </c>
      <c r="D932" s="70">
        <v>19200</v>
      </c>
      <c r="E932" s="79"/>
      <c r="F932" s="73">
        <v>16</v>
      </c>
      <c r="G932" s="73" t="s">
        <v>114</v>
      </c>
      <c r="H932" s="73">
        <v>0</v>
      </c>
      <c r="I932" s="68">
        <v>0</v>
      </c>
      <c r="J932" s="71">
        <v>42785</v>
      </c>
      <c r="K932" s="71">
        <v>43088</v>
      </c>
      <c r="L932" s="69" t="s">
        <v>119</v>
      </c>
      <c r="M932" s="69" t="s">
        <v>109</v>
      </c>
      <c r="N932" s="72">
        <v>42872</v>
      </c>
      <c r="O932" s="67"/>
      <c r="P932" s="67" t="s">
        <v>95</v>
      </c>
      <c r="Q932" s="67" t="s">
        <v>110</v>
      </c>
      <c r="R932" s="69" t="s">
        <v>69</v>
      </c>
      <c r="S932" s="69" t="s">
        <v>115</v>
      </c>
      <c r="T932" s="67"/>
      <c r="U932" s="67"/>
      <c r="V932" s="72">
        <v>42825</v>
      </c>
      <c r="W932" s="69" t="s">
        <v>198</v>
      </c>
      <c r="X932" s="69" t="s">
        <v>208</v>
      </c>
      <c r="Y932" s="123"/>
      <c r="Z932" s="30">
        <f t="shared" si="28"/>
        <v>6772.6006943194379</v>
      </c>
      <c r="AA932" s="30">
        <f t="shared" si="29"/>
        <v>0</v>
      </c>
      <c r="AB932" t="s">
        <v>456</v>
      </c>
    </row>
    <row r="933" spans="1:28">
      <c r="A933" s="67" t="s">
        <v>122</v>
      </c>
      <c r="B933" s="68">
        <v>1215891</v>
      </c>
      <c r="C933" s="69">
        <v>4615410391</v>
      </c>
      <c r="D933" s="70">
        <v>19200</v>
      </c>
      <c r="E933" s="79"/>
      <c r="F933" s="73">
        <v>16</v>
      </c>
      <c r="G933" s="73">
        <v>5</v>
      </c>
      <c r="H933" s="68">
        <v>0</v>
      </c>
      <c r="I933" s="68">
        <v>0</v>
      </c>
      <c r="J933" s="71">
        <v>42765</v>
      </c>
      <c r="K933" s="71">
        <v>43088</v>
      </c>
      <c r="L933" s="69" t="s">
        <v>119</v>
      </c>
      <c r="M933" s="69" t="s">
        <v>109</v>
      </c>
      <c r="N933" s="72">
        <v>42872</v>
      </c>
      <c r="O933" s="67"/>
      <c r="P933" s="67" t="s">
        <v>95</v>
      </c>
      <c r="Q933" s="67" t="s">
        <v>120</v>
      </c>
      <c r="R933" s="69" t="s">
        <v>69</v>
      </c>
      <c r="S933" s="69" t="s">
        <v>123</v>
      </c>
      <c r="T933" s="67"/>
      <c r="U933" s="67"/>
      <c r="V933" s="72">
        <v>42766</v>
      </c>
      <c r="W933" s="69">
        <v>2025778</v>
      </c>
      <c r="X933" s="69"/>
      <c r="Y933" s="123"/>
      <c r="Z933" s="30">
        <f t="shared" si="28"/>
        <v>6772.6006943194379</v>
      </c>
      <c r="AA933" s="30">
        <f t="shared" si="29"/>
        <v>2116.4377169748245</v>
      </c>
      <c r="AB933" t="s">
        <v>456</v>
      </c>
    </row>
    <row r="934" spans="1:28">
      <c r="A934" s="67" t="s">
        <v>68</v>
      </c>
      <c r="B934" s="68">
        <v>1222588</v>
      </c>
      <c r="C934" s="69">
        <v>4615412605</v>
      </c>
      <c r="D934" s="70">
        <v>19175</v>
      </c>
      <c r="E934" s="79"/>
      <c r="F934" s="73">
        <v>16</v>
      </c>
      <c r="G934" s="73">
        <v>5</v>
      </c>
      <c r="H934" s="75">
        <v>0</v>
      </c>
      <c r="I934" s="68">
        <v>0</v>
      </c>
      <c r="J934" s="71">
        <v>42769</v>
      </c>
      <c r="K934" s="71">
        <v>43088</v>
      </c>
      <c r="L934" s="69" t="s">
        <v>119</v>
      </c>
      <c r="M934" s="69" t="s">
        <v>109</v>
      </c>
      <c r="N934" s="72">
        <v>42872</v>
      </c>
      <c r="O934" s="67"/>
      <c r="P934" s="67" t="s">
        <v>95</v>
      </c>
      <c r="Q934" s="67" t="s">
        <v>125</v>
      </c>
      <c r="R934" s="69" t="s">
        <v>69</v>
      </c>
      <c r="S934" s="69" t="s">
        <v>68</v>
      </c>
      <c r="T934" s="67"/>
      <c r="U934" s="67"/>
      <c r="V934" s="72">
        <v>42794</v>
      </c>
      <c r="W934" s="69">
        <v>5114731</v>
      </c>
      <c r="X934" s="69"/>
      <c r="Y934" s="123"/>
      <c r="Z934" s="30">
        <f t="shared" si="28"/>
        <v>6763.7822038320437</v>
      </c>
      <c r="AA934" s="30">
        <f t="shared" si="29"/>
        <v>2113.6819386975139</v>
      </c>
      <c r="AB934" t="s">
        <v>456</v>
      </c>
    </row>
    <row r="935" spans="1:28">
      <c r="A935" s="67" t="s">
        <v>128</v>
      </c>
      <c r="B935" s="68">
        <v>1219757</v>
      </c>
      <c r="C935" s="69">
        <v>4615422972</v>
      </c>
      <c r="D935" s="70">
        <v>19175</v>
      </c>
      <c r="E935" s="79"/>
      <c r="F935" s="68">
        <v>154.4</v>
      </c>
      <c r="G935" s="68" t="s">
        <v>114</v>
      </c>
      <c r="H935" s="73">
        <v>0</v>
      </c>
      <c r="I935" s="68">
        <v>0</v>
      </c>
      <c r="J935" s="71">
        <v>42771</v>
      </c>
      <c r="K935" s="71">
        <v>43088</v>
      </c>
      <c r="L935" s="69" t="s">
        <v>108</v>
      </c>
      <c r="M935" s="69" t="s">
        <v>109</v>
      </c>
      <c r="N935" s="72">
        <v>42871</v>
      </c>
      <c r="O935" s="67"/>
      <c r="P935" s="67" t="s">
        <v>95</v>
      </c>
      <c r="Q935" s="67" t="s">
        <v>129</v>
      </c>
      <c r="R935" s="69" t="s">
        <v>69</v>
      </c>
      <c r="S935" s="69" t="s">
        <v>130</v>
      </c>
      <c r="T935" s="67"/>
      <c r="U935" s="67"/>
      <c r="V935" s="72">
        <v>42825</v>
      </c>
      <c r="W935" s="69">
        <v>425570002</v>
      </c>
      <c r="X935" s="69"/>
      <c r="Y935" s="123"/>
      <c r="Z935" s="30">
        <f t="shared" si="28"/>
        <v>65270.498266979223</v>
      </c>
      <c r="AA935" s="30">
        <f t="shared" si="29"/>
        <v>0</v>
      </c>
      <c r="AB935" t="s">
        <v>456</v>
      </c>
    </row>
    <row r="936" spans="1:28">
      <c r="A936" s="67" t="s">
        <v>107</v>
      </c>
      <c r="B936" s="68">
        <v>1225775</v>
      </c>
      <c r="C936" s="69">
        <v>4615461056</v>
      </c>
      <c r="D936" s="70">
        <v>19200</v>
      </c>
      <c r="E936" s="79"/>
      <c r="F936" s="82">
        <v>154.4</v>
      </c>
      <c r="G936" s="82" t="s">
        <v>114</v>
      </c>
      <c r="H936" s="73">
        <v>0</v>
      </c>
      <c r="I936" s="68">
        <v>0</v>
      </c>
      <c r="J936" s="71">
        <v>42806</v>
      </c>
      <c r="K936" s="71">
        <v>43078</v>
      </c>
      <c r="L936" s="69" t="s">
        <v>119</v>
      </c>
      <c r="M936" s="69" t="s">
        <v>109</v>
      </c>
      <c r="N936" s="72">
        <v>42871</v>
      </c>
      <c r="O936" s="67"/>
      <c r="P936" s="67" t="s">
        <v>95</v>
      </c>
      <c r="Q936" s="67" t="s">
        <v>110</v>
      </c>
      <c r="R936" s="69" t="s">
        <v>69</v>
      </c>
      <c r="S936" s="69" t="s">
        <v>111</v>
      </c>
      <c r="T936" s="67"/>
      <c r="U936" s="67"/>
      <c r="V936" s="72">
        <v>42825</v>
      </c>
      <c r="W936" s="69" t="s">
        <v>197</v>
      </c>
      <c r="X936" s="69"/>
      <c r="Y936" s="123"/>
      <c r="Z936" s="30">
        <f t="shared" si="28"/>
        <v>65355.596700182585</v>
      </c>
      <c r="AA936" s="30">
        <f t="shared" si="29"/>
        <v>0</v>
      </c>
      <c r="AB936" t="s">
        <v>456</v>
      </c>
    </row>
    <row r="937" spans="1:28">
      <c r="A937" s="67" t="s">
        <v>118</v>
      </c>
      <c r="B937" s="68">
        <v>1218099</v>
      </c>
      <c r="C937" s="69">
        <v>4615418683</v>
      </c>
      <c r="D937" s="70">
        <v>19175</v>
      </c>
      <c r="E937" s="79"/>
      <c r="F937" s="73">
        <v>10</v>
      </c>
      <c r="G937" s="73" t="s">
        <v>114</v>
      </c>
      <c r="H937" s="73">
        <v>0</v>
      </c>
      <c r="I937" s="68">
        <v>0</v>
      </c>
      <c r="J937" s="71">
        <v>42785</v>
      </c>
      <c r="K937" s="71">
        <v>43078</v>
      </c>
      <c r="L937" s="69" t="s">
        <v>137</v>
      </c>
      <c r="M937" s="69" t="s">
        <v>109</v>
      </c>
      <c r="N937" s="72">
        <v>42871</v>
      </c>
      <c r="O937" s="67"/>
      <c r="P937" s="67" t="s">
        <v>95</v>
      </c>
      <c r="Q937" s="67" t="s">
        <v>120</v>
      </c>
      <c r="R937" s="69" t="s">
        <v>69</v>
      </c>
      <c r="S937" s="69" t="s">
        <v>121</v>
      </c>
      <c r="T937" s="67"/>
      <c r="U937" s="67"/>
      <c r="V937" s="72">
        <v>42825</v>
      </c>
      <c r="W937" s="69">
        <v>2026346</v>
      </c>
      <c r="X937" s="69"/>
      <c r="Y937" s="123"/>
      <c r="Z937" s="30">
        <f t="shared" si="28"/>
        <v>4227.3638773950279</v>
      </c>
      <c r="AA937" s="30">
        <f t="shared" si="29"/>
        <v>0</v>
      </c>
      <c r="AB937" t="s">
        <v>456</v>
      </c>
    </row>
    <row r="938" spans="1:28">
      <c r="A938" s="67" t="s">
        <v>122</v>
      </c>
      <c r="B938" s="68">
        <v>1219250</v>
      </c>
      <c r="C938" s="69">
        <v>4615410391</v>
      </c>
      <c r="D938" s="70">
        <v>19200</v>
      </c>
      <c r="E938" s="79"/>
      <c r="F938" s="73">
        <v>16</v>
      </c>
      <c r="G938" s="73">
        <v>5</v>
      </c>
      <c r="H938" s="68">
        <v>0</v>
      </c>
      <c r="I938" s="68">
        <v>0</v>
      </c>
      <c r="J938" s="71">
        <v>42765</v>
      </c>
      <c r="K938" s="71">
        <v>43078</v>
      </c>
      <c r="L938" s="69" t="s">
        <v>119</v>
      </c>
      <c r="M938" s="69" t="s">
        <v>109</v>
      </c>
      <c r="N938" s="72">
        <v>42871</v>
      </c>
      <c r="O938" s="67"/>
      <c r="P938" s="67" t="s">
        <v>95</v>
      </c>
      <c r="Q938" s="67" t="s">
        <v>120</v>
      </c>
      <c r="R938" s="69" t="s">
        <v>69</v>
      </c>
      <c r="S938" s="69" t="s">
        <v>123</v>
      </c>
      <c r="T938" s="67"/>
      <c r="U938" s="67"/>
      <c r="V938" s="72">
        <v>42766</v>
      </c>
      <c r="W938" s="69">
        <v>2025778</v>
      </c>
      <c r="X938" s="69"/>
      <c r="Y938" s="123"/>
      <c r="Z938" s="30">
        <f t="shared" si="28"/>
        <v>6772.6006943194379</v>
      </c>
      <c r="AA938" s="30">
        <f t="shared" si="29"/>
        <v>2116.4377169748245</v>
      </c>
      <c r="AB938" t="s">
        <v>456</v>
      </c>
    </row>
    <row r="939" spans="1:28">
      <c r="A939" s="67" t="s">
        <v>68</v>
      </c>
      <c r="B939" s="68">
        <v>1222592</v>
      </c>
      <c r="C939" s="69">
        <v>4615412605</v>
      </c>
      <c r="D939" s="70">
        <v>19175</v>
      </c>
      <c r="E939" s="79"/>
      <c r="F939" s="73">
        <v>16</v>
      </c>
      <c r="G939" s="73">
        <v>5</v>
      </c>
      <c r="H939" s="75">
        <v>0</v>
      </c>
      <c r="I939" s="68">
        <v>0</v>
      </c>
      <c r="J939" s="71">
        <v>42769</v>
      </c>
      <c r="K939" s="71">
        <v>43078</v>
      </c>
      <c r="L939" s="69" t="s">
        <v>119</v>
      </c>
      <c r="M939" s="69" t="s">
        <v>109</v>
      </c>
      <c r="N939" s="72">
        <v>42871</v>
      </c>
      <c r="O939" s="67"/>
      <c r="P939" s="67" t="s">
        <v>95</v>
      </c>
      <c r="Q939" s="67" t="s">
        <v>125</v>
      </c>
      <c r="R939" s="69" t="s">
        <v>69</v>
      </c>
      <c r="S939" s="69" t="s">
        <v>68</v>
      </c>
      <c r="T939" s="67"/>
      <c r="U939" s="67"/>
      <c r="V939" s="72">
        <v>42794</v>
      </c>
      <c r="W939" s="69">
        <v>5114731</v>
      </c>
      <c r="X939" s="69"/>
      <c r="Y939" s="123"/>
      <c r="Z939" s="30">
        <f t="shared" si="28"/>
        <v>6763.7822038320437</v>
      </c>
      <c r="AA939" s="30">
        <f t="shared" si="29"/>
        <v>2113.6819386975139</v>
      </c>
      <c r="AB939" t="s">
        <v>456</v>
      </c>
    </row>
    <row r="940" spans="1:28">
      <c r="A940" s="67" t="s">
        <v>68</v>
      </c>
      <c r="B940" s="68" t="s">
        <v>161</v>
      </c>
      <c r="C940" s="69">
        <v>4615471900</v>
      </c>
      <c r="D940" s="70">
        <v>19175</v>
      </c>
      <c r="E940" s="79"/>
      <c r="F940" s="73">
        <v>16</v>
      </c>
      <c r="G940" s="73" t="s">
        <v>114</v>
      </c>
      <c r="H940" s="68">
        <v>0</v>
      </c>
      <c r="I940" s="68">
        <v>0</v>
      </c>
      <c r="J940" s="71"/>
      <c r="K940" s="71">
        <v>43078</v>
      </c>
      <c r="L940" s="69" t="s">
        <v>80</v>
      </c>
      <c r="M940" s="69" t="s">
        <v>109</v>
      </c>
      <c r="N940" s="72">
        <v>42870</v>
      </c>
      <c r="O940" s="67"/>
      <c r="P940" s="67" t="s">
        <v>95</v>
      </c>
      <c r="Q940" s="67" t="s">
        <v>125</v>
      </c>
      <c r="R940" s="69" t="s">
        <v>69</v>
      </c>
      <c r="S940" s="69" t="s">
        <v>68</v>
      </c>
      <c r="T940" s="67"/>
      <c r="U940" s="67"/>
      <c r="V940" s="72">
        <v>42794</v>
      </c>
      <c r="W940" s="69">
        <v>5114718</v>
      </c>
      <c r="X940" s="69" t="s">
        <v>213</v>
      </c>
      <c r="Y940" s="123"/>
      <c r="Z940" s="30">
        <f t="shared" si="28"/>
        <v>6763.7822038320437</v>
      </c>
      <c r="AA940" s="30">
        <f t="shared" si="29"/>
        <v>0</v>
      </c>
      <c r="AB940" t="s">
        <v>456</v>
      </c>
    </row>
    <row r="941" spans="1:28">
      <c r="A941" s="67" t="s">
        <v>68</v>
      </c>
      <c r="B941" s="68" t="s">
        <v>161</v>
      </c>
      <c r="C941" s="69">
        <v>4615471900</v>
      </c>
      <c r="D941" s="70">
        <v>19175</v>
      </c>
      <c r="E941" s="79"/>
      <c r="F941" s="73">
        <v>16</v>
      </c>
      <c r="G941" s="73" t="s">
        <v>114</v>
      </c>
      <c r="H941" s="68">
        <v>0</v>
      </c>
      <c r="I941" s="68">
        <v>0</v>
      </c>
      <c r="J941" s="71"/>
      <c r="K941" s="71">
        <v>43078</v>
      </c>
      <c r="L941" s="69" t="s">
        <v>80</v>
      </c>
      <c r="M941" s="69" t="s">
        <v>109</v>
      </c>
      <c r="N941" s="72">
        <v>42870</v>
      </c>
      <c r="O941" s="67"/>
      <c r="P941" s="67" t="s">
        <v>95</v>
      </c>
      <c r="Q941" s="67" t="s">
        <v>125</v>
      </c>
      <c r="R941" s="69" t="s">
        <v>69</v>
      </c>
      <c r="S941" s="69" t="s">
        <v>68</v>
      </c>
      <c r="T941" s="67"/>
      <c r="U941" s="67"/>
      <c r="V941" s="72">
        <v>42794</v>
      </c>
      <c r="W941" s="69">
        <v>5114718</v>
      </c>
      <c r="X941" s="69" t="s">
        <v>213</v>
      </c>
      <c r="Y941" s="123"/>
      <c r="Z941" s="30">
        <f t="shared" si="28"/>
        <v>6763.7822038320437</v>
      </c>
      <c r="AA941" s="30">
        <f t="shared" si="29"/>
        <v>0</v>
      </c>
      <c r="AB941" t="s">
        <v>456</v>
      </c>
    </row>
    <row r="942" spans="1:28">
      <c r="A942" s="67" t="s">
        <v>68</v>
      </c>
      <c r="B942" s="68" t="s">
        <v>161</v>
      </c>
      <c r="C942" s="69">
        <v>4615471900</v>
      </c>
      <c r="D942" s="70">
        <v>19175</v>
      </c>
      <c r="E942" s="79"/>
      <c r="F942" s="73">
        <v>16</v>
      </c>
      <c r="G942" s="73" t="s">
        <v>114</v>
      </c>
      <c r="H942" s="68">
        <v>0</v>
      </c>
      <c r="I942" s="68">
        <v>0</v>
      </c>
      <c r="J942" s="71"/>
      <c r="K942" s="71">
        <v>43078</v>
      </c>
      <c r="L942" s="69" t="s">
        <v>80</v>
      </c>
      <c r="M942" s="69" t="s">
        <v>109</v>
      </c>
      <c r="N942" s="72">
        <v>42870</v>
      </c>
      <c r="O942" s="67"/>
      <c r="P942" s="67" t="s">
        <v>95</v>
      </c>
      <c r="Q942" s="67" t="s">
        <v>125</v>
      </c>
      <c r="R942" s="69" t="s">
        <v>69</v>
      </c>
      <c r="S942" s="69" t="s">
        <v>68</v>
      </c>
      <c r="T942" s="67"/>
      <c r="U942" s="67"/>
      <c r="V942" s="72">
        <v>42794</v>
      </c>
      <c r="W942" s="69">
        <v>5114718</v>
      </c>
      <c r="X942" s="69" t="s">
        <v>213</v>
      </c>
      <c r="Y942" s="123"/>
      <c r="Z942" s="30">
        <f t="shared" si="28"/>
        <v>6763.7822038320437</v>
      </c>
      <c r="AA942" s="30">
        <f t="shared" si="29"/>
        <v>0</v>
      </c>
      <c r="AB942" t="s">
        <v>456</v>
      </c>
    </row>
    <row r="943" spans="1:28">
      <c r="A943" s="67" t="s">
        <v>68</v>
      </c>
      <c r="B943" s="68" t="s">
        <v>161</v>
      </c>
      <c r="C943" s="69">
        <v>4615471900</v>
      </c>
      <c r="D943" s="70">
        <v>19175</v>
      </c>
      <c r="E943" s="79"/>
      <c r="F943" s="73">
        <v>16</v>
      </c>
      <c r="G943" s="73" t="s">
        <v>114</v>
      </c>
      <c r="H943" s="68">
        <v>0</v>
      </c>
      <c r="I943" s="68">
        <v>0</v>
      </c>
      <c r="J943" s="71"/>
      <c r="K943" s="71">
        <v>43078</v>
      </c>
      <c r="L943" s="69" t="s">
        <v>80</v>
      </c>
      <c r="M943" s="69" t="s">
        <v>109</v>
      </c>
      <c r="N943" s="72">
        <v>42870</v>
      </c>
      <c r="O943" s="67"/>
      <c r="P943" s="67" t="s">
        <v>95</v>
      </c>
      <c r="Q943" s="67" t="s">
        <v>125</v>
      </c>
      <c r="R943" s="69" t="s">
        <v>69</v>
      </c>
      <c r="S943" s="69" t="s">
        <v>68</v>
      </c>
      <c r="T943" s="67"/>
      <c r="U943" s="67"/>
      <c r="V943" s="72">
        <v>42794</v>
      </c>
      <c r="W943" s="69">
        <v>5114718</v>
      </c>
      <c r="X943" s="69" t="s">
        <v>213</v>
      </c>
      <c r="Y943" s="123"/>
      <c r="Z943" s="30">
        <f t="shared" si="28"/>
        <v>6763.7822038320437</v>
      </c>
      <c r="AA943" s="30">
        <f t="shared" si="29"/>
        <v>0</v>
      </c>
      <c r="AB943" t="s">
        <v>456</v>
      </c>
    </row>
    <row r="944" spans="1:28">
      <c r="A944" s="67" t="s">
        <v>68</v>
      </c>
      <c r="B944" s="68" t="s">
        <v>161</v>
      </c>
      <c r="C944" s="69">
        <v>4615471900</v>
      </c>
      <c r="D944" s="70">
        <v>19175</v>
      </c>
      <c r="E944" s="79"/>
      <c r="F944" s="73">
        <v>16</v>
      </c>
      <c r="G944" s="73" t="s">
        <v>114</v>
      </c>
      <c r="H944" s="68">
        <v>0</v>
      </c>
      <c r="I944" s="68">
        <v>0</v>
      </c>
      <c r="J944" s="71"/>
      <c r="K944" s="71">
        <v>43078</v>
      </c>
      <c r="L944" s="69" t="s">
        <v>80</v>
      </c>
      <c r="M944" s="69" t="s">
        <v>109</v>
      </c>
      <c r="N944" s="72">
        <v>42870</v>
      </c>
      <c r="O944" s="67"/>
      <c r="P944" s="67" t="s">
        <v>95</v>
      </c>
      <c r="Q944" s="67" t="s">
        <v>125</v>
      </c>
      <c r="R944" s="69" t="s">
        <v>69</v>
      </c>
      <c r="S944" s="69" t="s">
        <v>68</v>
      </c>
      <c r="T944" s="67"/>
      <c r="U944" s="67"/>
      <c r="V944" s="72">
        <v>42794</v>
      </c>
      <c r="W944" s="69">
        <v>5114718</v>
      </c>
      <c r="X944" s="69" t="s">
        <v>213</v>
      </c>
      <c r="Y944" s="123"/>
      <c r="Z944" s="30">
        <f t="shared" si="28"/>
        <v>6763.7822038320437</v>
      </c>
      <c r="AA944" s="30">
        <f t="shared" si="29"/>
        <v>0</v>
      </c>
      <c r="AB944" t="s">
        <v>456</v>
      </c>
    </row>
    <row r="945" spans="1:28">
      <c r="A945" s="67" t="s">
        <v>68</v>
      </c>
      <c r="B945" s="68" t="s">
        <v>161</v>
      </c>
      <c r="C945" s="69">
        <v>4615471900</v>
      </c>
      <c r="D945" s="70">
        <v>19175</v>
      </c>
      <c r="E945" s="79"/>
      <c r="F945" s="73">
        <v>16</v>
      </c>
      <c r="G945" s="73" t="s">
        <v>114</v>
      </c>
      <c r="H945" s="68">
        <v>0</v>
      </c>
      <c r="I945" s="68">
        <v>0</v>
      </c>
      <c r="J945" s="71"/>
      <c r="K945" s="71">
        <v>43078</v>
      </c>
      <c r="L945" s="69" t="s">
        <v>80</v>
      </c>
      <c r="M945" s="69" t="s">
        <v>109</v>
      </c>
      <c r="N945" s="72">
        <v>42870</v>
      </c>
      <c r="O945" s="67"/>
      <c r="P945" s="67" t="s">
        <v>95</v>
      </c>
      <c r="Q945" s="67" t="s">
        <v>125</v>
      </c>
      <c r="R945" s="69" t="s">
        <v>69</v>
      </c>
      <c r="S945" s="69" t="s">
        <v>68</v>
      </c>
      <c r="T945" s="67"/>
      <c r="U945" s="67"/>
      <c r="V945" s="72">
        <v>42794</v>
      </c>
      <c r="W945" s="69">
        <v>5114718</v>
      </c>
      <c r="X945" s="69" t="s">
        <v>213</v>
      </c>
      <c r="Y945" s="123"/>
      <c r="Z945" s="30">
        <f t="shared" si="28"/>
        <v>6763.7822038320437</v>
      </c>
      <c r="AA945" s="30">
        <f t="shared" si="29"/>
        <v>0</v>
      </c>
      <c r="AB945" t="s">
        <v>456</v>
      </c>
    </row>
    <row r="946" spans="1:28">
      <c r="A946" s="67" t="s">
        <v>68</v>
      </c>
      <c r="B946" s="68" t="s">
        <v>161</v>
      </c>
      <c r="C946" s="69">
        <v>4615471900</v>
      </c>
      <c r="D946" s="70">
        <v>19175</v>
      </c>
      <c r="E946" s="79"/>
      <c r="F946" s="73">
        <v>16</v>
      </c>
      <c r="G946" s="73" t="s">
        <v>114</v>
      </c>
      <c r="H946" s="68">
        <v>0</v>
      </c>
      <c r="I946" s="68">
        <v>0</v>
      </c>
      <c r="J946" s="71"/>
      <c r="K946" s="71">
        <v>43078</v>
      </c>
      <c r="L946" s="69" t="s">
        <v>80</v>
      </c>
      <c r="M946" s="69" t="s">
        <v>109</v>
      </c>
      <c r="N946" s="72">
        <v>42870</v>
      </c>
      <c r="O946" s="67"/>
      <c r="P946" s="67" t="s">
        <v>95</v>
      </c>
      <c r="Q946" s="67" t="s">
        <v>125</v>
      </c>
      <c r="R946" s="69" t="s">
        <v>69</v>
      </c>
      <c r="S946" s="69" t="s">
        <v>68</v>
      </c>
      <c r="T946" s="67"/>
      <c r="U946" s="67"/>
      <c r="V946" s="72">
        <v>42794</v>
      </c>
      <c r="W946" s="69">
        <v>5114718</v>
      </c>
      <c r="X946" s="69" t="s">
        <v>213</v>
      </c>
      <c r="Y946" s="123"/>
      <c r="Z946" s="30">
        <f t="shared" si="28"/>
        <v>6763.7822038320437</v>
      </c>
      <c r="AA946" s="30">
        <f t="shared" si="29"/>
        <v>0</v>
      </c>
      <c r="AB946" t="s">
        <v>456</v>
      </c>
    </row>
    <row r="947" spans="1:28">
      <c r="A947" s="67" t="s">
        <v>68</v>
      </c>
      <c r="B947" s="68" t="s">
        <v>161</v>
      </c>
      <c r="C947" s="69">
        <v>4615471900</v>
      </c>
      <c r="D947" s="70">
        <v>19175</v>
      </c>
      <c r="E947" s="79"/>
      <c r="F947" s="73">
        <v>16</v>
      </c>
      <c r="G947" s="73" t="s">
        <v>114</v>
      </c>
      <c r="H947" s="68">
        <v>0</v>
      </c>
      <c r="I947" s="68">
        <v>0</v>
      </c>
      <c r="J947" s="71"/>
      <c r="K947" s="71">
        <v>43078</v>
      </c>
      <c r="L947" s="69" t="s">
        <v>80</v>
      </c>
      <c r="M947" s="69" t="s">
        <v>109</v>
      </c>
      <c r="N947" s="72">
        <v>42870</v>
      </c>
      <c r="O947" s="67"/>
      <c r="P947" s="67" t="s">
        <v>95</v>
      </c>
      <c r="Q947" s="67" t="s">
        <v>125</v>
      </c>
      <c r="R947" s="69" t="s">
        <v>69</v>
      </c>
      <c r="S947" s="69" t="s">
        <v>68</v>
      </c>
      <c r="T947" s="67"/>
      <c r="U947" s="67"/>
      <c r="V947" s="72">
        <v>42794</v>
      </c>
      <c r="W947" s="69">
        <v>5114718</v>
      </c>
      <c r="X947" s="69" t="s">
        <v>213</v>
      </c>
      <c r="Y947" s="123"/>
      <c r="Z947" s="30">
        <f t="shared" si="28"/>
        <v>6763.7822038320437</v>
      </c>
      <c r="AA947" s="30">
        <f t="shared" si="29"/>
        <v>0</v>
      </c>
      <c r="AB947" t="s">
        <v>456</v>
      </c>
    </row>
    <row r="948" spans="1:28">
      <c r="A948" s="67" t="s">
        <v>68</v>
      </c>
      <c r="B948" s="68" t="s">
        <v>161</v>
      </c>
      <c r="C948" s="69">
        <v>4615471900</v>
      </c>
      <c r="D948" s="70">
        <v>19175</v>
      </c>
      <c r="E948" s="79"/>
      <c r="F948" s="73">
        <v>16</v>
      </c>
      <c r="G948" s="73" t="s">
        <v>114</v>
      </c>
      <c r="H948" s="68">
        <v>0</v>
      </c>
      <c r="I948" s="68">
        <v>0</v>
      </c>
      <c r="J948" s="71"/>
      <c r="K948" s="71">
        <v>43078</v>
      </c>
      <c r="L948" s="69" t="s">
        <v>80</v>
      </c>
      <c r="M948" s="69" t="s">
        <v>109</v>
      </c>
      <c r="N948" s="72">
        <v>42870</v>
      </c>
      <c r="O948" s="67"/>
      <c r="P948" s="67" t="s">
        <v>95</v>
      </c>
      <c r="Q948" s="67" t="s">
        <v>125</v>
      </c>
      <c r="R948" s="69" t="s">
        <v>69</v>
      </c>
      <c r="S948" s="69" t="s">
        <v>68</v>
      </c>
      <c r="T948" s="67"/>
      <c r="U948" s="67"/>
      <c r="V948" s="72">
        <v>42794</v>
      </c>
      <c r="W948" s="69">
        <v>5114718</v>
      </c>
      <c r="X948" s="69" t="s">
        <v>213</v>
      </c>
      <c r="Y948" s="123"/>
      <c r="Z948" s="30">
        <f t="shared" si="28"/>
        <v>6763.7822038320437</v>
      </c>
      <c r="AA948" s="30">
        <f t="shared" si="29"/>
        <v>0</v>
      </c>
      <c r="AB948" t="s">
        <v>456</v>
      </c>
    </row>
    <row r="949" spans="1:28">
      <c r="A949" s="67" t="s">
        <v>68</v>
      </c>
      <c r="B949" s="68" t="s">
        <v>161</v>
      </c>
      <c r="C949" s="69">
        <v>4615471900</v>
      </c>
      <c r="D949" s="70">
        <v>19175</v>
      </c>
      <c r="E949" s="79"/>
      <c r="F949" s="73">
        <v>16</v>
      </c>
      <c r="G949" s="73" t="s">
        <v>114</v>
      </c>
      <c r="H949" s="68">
        <v>0</v>
      </c>
      <c r="I949" s="68">
        <v>0</v>
      </c>
      <c r="J949" s="71"/>
      <c r="K949" s="71">
        <v>43078</v>
      </c>
      <c r="L949" s="69" t="s">
        <v>80</v>
      </c>
      <c r="M949" s="69" t="s">
        <v>109</v>
      </c>
      <c r="N949" s="72">
        <v>42870</v>
      </c>
      <c r="O949" s="67"/>
      <c r="P949" s="67" t="s">
        <v>95</v>
      </c>
      <c r="Q949" s="67" t="s">
        <v>125</v>
      </c>
      <c r="R949" s="69" t="s">
        <v>69</v>
      </c>
      <c r="S949" s="69" t="s">
        <v>68</v>
      </c>
      <c r="T949" s="67"/>
      <c r="U949" s="67"/>
      <c r="V949" s="72">
        <v>42794</v>
      </c>
      <c r="W949" s="69">
        <v>5114718</v>
      </c>
      <c r="X949" s="69" t="s">
        <v>213</v>
      </c>
      <c r="Y949" s="123"/>
      <c r="Z949" s="30">
        <f t="shared" si="28"/>
        <v>6763.7822038320437</v>
      </c>
      <c r="AA949" s="30">
        <f t="shared" si="29"/>
        <v>0</v>
      </c>
      <c r="AB949" t="s">
        <v>456</v>
      </c>
    </row>
    <row r="950" spans="1:28">
      <c r="A950" s="67" t="s">
        <v>68</v>
      </c>
      <c r="B950" s="68" t="s">
        <v>161</v>
      </c>
      <c r="C950" s="69">
        <v>4615471900</v>
      </c>
      <c r="D950" s="70">
        <v>19175</v>
      </c>
      <c r="E950" s="79"/>
      <c r="F950" s="73">
        <v>16</v>
      </c>
      <c r="G950" s="73" t="s">
        <v>114</v>
      </c>
      <c r="H950" s="68">
        <v>0</v>
      </c>
      <c r="I950" s="68">
        <v>0</v>
      </c>
      <c r="J950" s="71"/>
      <c r="K950" s="71">
        <v>43025</v>
      </c>
      <c r="L950" s="69" t="s">
        <v>80</v>
      </c>
      <c r="M950" s="69" t="s">
        <v>109</v>
      </c>
      <c r="N950" s="72">
        <v>42870</v>
      </c>
      <c r="O950" s="67"/>
      <c r="P950" s="67" t="s">
        <v>95</v>
      </c>
      <c r="Q950" s="67" t="s">
        <v>125</v>
      </c>
      <c r="R950" s="69" t="s">
        <v>69</v>
      </c>
      <c r="S950" s="69" t="s">
        <v>68</v>
      </c>
      <c r="T950" s="67"/>
      <c r="U950" s="67"/>
      <c r="V950" s="72">
        <v>42794</v>
      </c>
      <c r="W950" s="69">
        <v>5114718</v>
      </c>
      <c r="X950" s="69" t="s">
        <v>213</v>
      </c>
      <c r="Y950" s="123"/>
      <c r="Z950" s="30">
        <f t="shared" si="28"/>
        <v>6763.7822038320437</v>
      </c>
      <c r="AA950" s="30">
        <f t="shared" si="29"/>
        <v>0</v>
      </c>
      <c r="AB950" t="s">
        <v>456</v>
      </c>
    </row>
    <row r="951" spans="1:28">
      <c r="A951" s="67" t="s">
        <v>68</v>
      </c>
      <c r="B951" s="68" t="s">
        <v>161</v>
      </c>
      <c r="C951" s="69">
        <v>4615471900</v>
      </c>
      <c r="D951" s="70">
        <v>19175</v>
      </c>
      <c r="E951" s="80"/>
      <c r="F951" s="73">
        <v>16</v>
      </c>
      <c r="G951" s="73" t="s">
        <v>114</v>
      </c>
      <c r="H951" s="68">
        <v>0</v>
      </c>
      <c r="I951" s="68">
        <v>0</v>
      </c>
      <c r="J951" s="71"/>
      <c r="K951" s="71">
        <v>43025</v>
      </c>
      <c r="L951" s="69" t="s">
        <v>80</v>
      </c>
      <c r="M951" s="69" t="s">
        <v>109</v>
      </c>
      <c r="N951" s="72">
        <v>42870</v>
      </c>
      <c r="O951" s="67"/>
      <c r="P951" s="67" t="s">
        <v>95</v>
      </c>
      <c r="Q951" s="67" t="s">
        <v>125</v>
      </c>
      <c r="R951" s="69" t="s">
        <v>69</v>
      </c>
      <c r="S951" s="69" t="s">
        <v>68</v>
      </c>
      <c r="T951" s="67"/>
      <c r="U951" s="67"/>
      <c r="V951" s="72">
        <v>42794</v>
      </c>
      <c r="W951" s="69">
        <v>5114718</v>
      </c>
      <c r="X951" s="69" t="s">
        <v>213</v>
      </c>
      <c r="Y951" s="123"/>
      <c r="Z951" s="30">
        <f t="shared" si="28"/>
        <v>6763.7822038320437</v>
      </c>
      <c r="AA951" s="30">
        <f t="shared" si="29"/>
        <v>0</v>
      </c>
      <c r="AB951" t="s">
        <v>456</v>
      </c>
    </row>
    <row r="952" spans="1:28">
      <c r="A952" s="67" t="s">
        <v>68</v>
      </c>
      <c r="B952" s="68" t="s">
        <v>161</v>
      </c>
      <c r="C952" s="69">
        <v>4615471900</v>
      </c>
      <c r="D952" s="70">
        <v>19175</v>
      </c>
      <c r="E952" s="80"/>
      <c r="F952" s="73">
        <v>16</v>
      </c>
      <c r="G952" s="73" t="s">
        <v>114</v>
      </c>
      <c r="H952" s="68">
        <v>0</v>
      </c>
      <c r="I952" s="68">
        <v>0</v>
      </c>
      <c r="J952" s="71"/>
      <c r="K952" s="71">
        <v>43025</v>
      </c>
      <c r="L952" s="69" t="s">
        <v>80</v>
      </c>
      <c r="M952" s="69" t="s">
        <v>109</v>
      </c>
      <c r="N952" s="72">
        <v>42870</v>
      </c>
      <c r="O952" s="67"/>
      <c r="P952" s="67" t="s">
        <v>95</v>
      </c>
      <c r="Q952" s="67" t="s">
        <v>125</v>
      </c>
      <c r="R952" s="69" t="s">
        <v>69</v>
      </c>
      <c r="S952" s="69" t="s">
        <v>68</v>
      </c>
      <c r="T952" s="67"/>
      <c r="U952" s="67"/>
      <c r="V952" s="72">
        <v>42794</v>
      </c>
      <c r="W952" s="69">
        <v>5114718</v>
      </c>
      <c r="X952" s="69" t="s">
        <v>213</v>
      </c>
      <c r="Y952" s="123"/>
      <c r="Z952" s="30">
        <f t="shared" si="28"/>
        <v>6763.7822038320437</v>
      </c>
      <c r="AA952" s="30">
        <f t="shared" si="29"/>
        <v>0</v>
      </c>
      <c r="AB952" t="s">
        <v>456</v>
      </c>
    </row>
    <row r="953" spans="1:28">
      <c r="A953" s="67" t="s">
        <v>68</v>
      </c>
      <c r="B953" s="68" t="s">
        <v>161</v>
      </c>
      <c r="C953" s="69">
        <v>4615471900</v>
      </c>
      <c r="D953" s="70">
        <v>19175</v>
      </c>
      <c r="E953" s="80"/>
      <c r="F953" s="73">
        <v>16</v>
      </c>
      <c r="G953" s="73" t="s">
        <v>114</v>
      </c>
      <c r="H953" s="68">
        <v>0</v>
      </c>
      <c r="I953" s="68">
        <v>0</v>
      </c>
      <c r="J953" s="71"/>
      <c r="K953" s="71">
        <v>43025</v>
      </c>
      <c r="L953" s="69" t="s">
        <v>80</v>
      </c>
      <c r="M953" s="69" t="s">
        <v>109</v>
      </c>
      <c r="N953" s="72">
        <v>42870</v>
      </c>
      <c r="O953" s="67"/>
      <c r="P953" s="67" t="s">
        <v>95</v>
      </c>
      <c r="Q953" s="67" t="s">
        <v>125</v>
      </c>
      <c r="R953" s="69" t="s">
        <v>69</v>
      </c>
      <c r="S953" s="69" t="s">
        <v>68</v>
      </c>
      <c r="T953" s="67"/>
      <c r="U953" s="67"/>
      <c r="V953" s="72">
        <v>42794</v>
      </c>
      <c r="W953" s="69">
        <v>5114718</v>
      </c>
      <c r="X953" s="69" t="s">
        <v>213</v>
      </c>
      <c r="Y953" s="123"/>
      <c r="Z953" s="30">
        <f t="shared" si="28"/>
        <v>6763.7822038320437</v>
      </c>
      <c r="AA953" s="30">
        <f t="shared" si="29"/>
        <v>0</v>
      </c>
      <c r="AB953" t="s">
        <v>456</v>
      </c>
    </row>
    <row r="954" spans="1:28">
      <c r="A954" s="67" t="s">
        <v>68</v>
      </c>
      <c r="B954" s="68" t="s">
        <v>161</v>
      </c>
      <c r="C954" s="69">
        <v>4615471900</v>
      </c>
      <c r="D954" s="70">
        <v>19175</v>
      </c>
      <c r="E954" s="80"/>
      <c r="F954" s="73">
        <v>16</v>
      </c>
      <c r="G954" s="73" t="s">
        <v>114</v>
      </c>
      <c r="H954" s="68">
        <v>0</v>
      </c>
      <c r="I954" s="68">
        <v>0</v>
      </c>
      <c r="J954" s="71"/>
      <c r="K954" s="71">
        <v>43025</v>
      </c>
      <c r="L954" s="69" t="s">
        <v>80</v>
      </c>
      <c r="M954" s="69" t="s">
        <v>109</v>
      </c>
      <c r="N954" s="72">
        <v>42870</v>
      </c>
      <c r="O954" s="67"/>
      <c r="P954" s="67" t="s">
        <v>95</v>
      </c>
      <c r="Q954" s="67" t="s">
        <v>125</v>
      </c>
      <c r="R954" s="69" t="s">
        <v>69</v>
      </c>
      <c r="S954" s="69" t="s">
        <v>68</v>
      </c>
      <c r="T954" s="67"/>
      <c r="U954" s="67"/>
      <c r="V954" s="72">
        <v>42794</v>
      </c>
      <c r="W954" s="69">
        <v>5114718</v>
      </c>
      <c r="X954" s="69" t="s">
        <v>213</v>
      </c>
      <c r="Y954" s="123"/>
      <c r="Z954" s="30">
        <f t="shared" si="28"/>
        <v>6763.7822038320437</v>
      </c>
      <c r="AA954" s="30">
        <f t="shared" si="29"/>
        <v>0</v>
      </c>
      <c r="AB954" t="s">
        <v>456</v>
      </c>
    </row>
    <row r="955" spans="1:28">
      <c r="A955" s="67" t="s">
        <v>128</v>
      </c>
      <c r="B955" s="68">
        <v>1233234</v>
      </c>
      <c r="C955" s="69">
        <v>4615424651</v>
      </c>
      <c r="D955" s="70">
        <v>19175</v>
      </c>
      <c r="E955" s="80"/>
      <c r="F955" s="68">
        <v>154.4</v>
      </c>
      <c r="G955" s="68" t="s">
        <v>114</v>
      </c>
      <c r="H955" s="68">
        <v>0</v>
      </c>
      <c r="I955" s="68">
        <v>0</v>
      </c>
      <c r="J955" s="71">
        <v>42810</v>
      </c>
      <c r="K955" s="71">
        <v>43025</v>
      </c>
      <c r="L955" s="69" t="s">
        <v>108</v>
      </c>
      <c r="M955" s="69" t="s">
        <v>109</v>
      </c>
      <c r="N955" s="72">
        <v>42870</v>
      </c>
      <c r="O955" s="67"/>
      <c r="P955" s="67" t="s">
        <v>95</v>
      </c>
      <c r="Q955" s="67" t="s">
        <v>129</v>
      </c>
      <c r="R955" s="69" t="s">
        <v>69</v>
      </c>
      <c r="S955" s="69" t="s">
        <v>130</v>
      </c>
      <c r="T955" s="67"/>
      <c r="U955" s="67"/>
      <c r="V955" s="72">
        <v>42855</v>
      </c>
      <c r="W955" s="69">
        <v>425570003</v>
      </c>
      <c r="X955" s="69"/>
      <c r="Y955" s="123"/>
      <c r="Z955" s="30">
        <f t="shared" si="28"/>
        <v>65270.498266979223</v>
      </c>
      <c r="AA955" s="30">
        <f t="shared" si="29"/>
        <v>0</v>
      </c>
      <c r="AB955" t="s">
        <v>456</v>
      </c>
    </row>
    <row r="956" spans="1:28">
      <c r="A956" s="67" t="s">
        <v>113</v>
      </c>
      <c r="B956" s="68">
        <v>1228741</v>
      </c>
      <c r="C956" s="69">
        <v>4615416536</v>
      </c>
      <c r="D956" s="70">
        <v>19200</v>
      </c>
      <c r="E956" s="80"/>
      <c r="F956" s="73">
        <v>16</v>
      </c>
      <c r="G956" s="73" t="s">
        <v>114</v>
      </c>
      <c r="H956" s="75">
        <v>0</v>
      </c>
      <c r="I956" s="68">
        <v>0</v>
      </c>
      <c r="J956" s="71">
        <v>42806</v>
      </c>
      <c r="K956" s="71">
        <v>43025</v>
      </c>
      <c r="L956" s="69" t="s">
        <v>108</v>
      </c>
      <c r="M956" s="69" t="s">
        <v>109</v>
      </c>
      <c r="N956" s="72">
        <v>42870</v>
      </c>
      <c r="O956" s="67"/>
      <c r="P956" s="67" t="s">
        <v>95</v>
      </c>
      <c r="Q956" s="67" t="s">
        <v>110</v>
      </c>
      <c r="R956" s="69" t="s">
        <v>69</v>
      </c>
      <c r="S956" s="69" t="s">
        <v>115</v>
      </c>
      <c r="T956" s="67"/>
      <c r="U956" s="67"/>
      <c r="V956" s="72">
        <v>42855</v>
      </c>
      <c r="W956" s="69" t="s">
        <v>210</v>
      </c>
      <c r="X956" s="69" t="s">
        <v>211</v>
      </c>
      <c r="Y956" s="123"/>
      <c r="Z956" s="30">
        <f t="shared" si="28"/>
        <v>6772.6006943194379</v>
      </c>
      <c r="AA956" s="30">
        <f t="shared" si="29"/>
        <v>0</v>
      </c>
      <c r="AB956" t="s">
        <v>456</v>
      </c>
    </row>
    <row r="957" spans="1:28">
      <c r="A957" s="67" t="s">
        <v>118</v>
      </c>
      <c r="B957" s="68">
        <v>1214191</v>
      </c>
      <c r="C957" s="69">
        <v>4615372335</v>
      </c>
      <c r="D957" s="70">
        <v>19175</v>
      </c>
      <c r="E957" s="80"/>
      <c r="F957" s="68">
        <v>10</v>
      </c>
      <c r="G957" s="68" t="s">
        <v>114</v>
      </c>
      <c r="H957" s="73">
        <v>0</v>
      </c>
      <c r="I957" s="68">
        <v>0</v>
      </c>
      <c r="J957" s="71">
        <v>42783</v>
      </c>
      <c r="K957" s="71">
        <v>43025</v>
      </c>
      <c r="L957" s="69" t="s">
        <v>137</v>
      </c>
      <c r="M957" s="69" t="s">
        <v>109</v>
      </c>
      <c r="N957" s="72">
        <v>42870</v>
      </c>
      <c r="O957" s="67"/>
      <c r="P957" s="67" t="s">
        <v>95</v>
      </c>
      <c r="Q957" s="67" t="s">
        <v>120</v>
      </c>
      <c r="R957" s="69" t="s">
        <v>69</v>
      </c>
      <c r="S957" s="69" t="s">
        <v>121</v>
      </c>
      <c r="T957" s="67"/>
      <c r="U957" s="67"/>
      <c r="V957" s="72">
        <v>42794</v>
      </c>
      <c r="W957" s="69">
        <v>2021264</v>
      </c>
      <c r="X957" s="69"/>
      <c r="Y957" s="123"/>
      <c r="Z957" s="30">
        <f t="shared" si="28"/>
        <v>4227.3638773950279</v>
      </c>
      <c r="AA957" s="30">
        <f t="shared" si="29"/>
        <v>0</v>
      </c>
      <c r="AB957" t="s">
        <v>456</v>
      </c>
    </row>
    <row r="958" spans="1:28">
      <c r="A958" s="67" t="s">
        <v>128</v>
      </c>
      <c r="B958" s="68">
        <v>1233233</v>
      </c>
      <c r="C958" s="69">
        <v>4615424651</v>
      </c>
      <c r="D958" s="70">
        <v>19175</v>
      </c>
      <c r="E958" s="80"/>
      <c r="F958" s="68">
        <v>154.4</v>
      </c>
      <c r="G958" s="68" t="s">
        <v>114</v>
      </c>
      <c r="H958" s="68">
        <v>0</v>
      </c>
      <c r="I958" s="68">
        <v>0</v>
      </c>
      <c r="J958" s="71">
        <v>42810</v>
      </c>
      <c r="K958" s="71">
        <v>43032</v>
      </c>
      <c r="L958" s="69" t="s">
        <v>108</v>
      </c>
      <c r="M958" s="69" t="s">
        <v>109</v>
      </c>
      <c r="N958" s="72">
        <v>42869</v>
      </c>
      <c r="O958" s="67"/>
      <c r="P958" s="67" t="s">
        <v>95</v>
      </c>
      <c r="Q958" s="67" t="s">
        <v>129</v>
      </c>
      <c r="R958" s="69" t="s">
        <v>69</v>
      </c>
      <c r="S958" s="69" t="s">
        <v>130</v>
      </c>
      <c r="T958" s="67"/>
      <c r="U958" s="67"/>
      <c r="V958" s="72">
        <v>42855</v>
      </c>
      <c r="W958" s="69">
        <v>425570003</v>
      </c>
      <c r="X958" s="69"/>
      <c r="Y958" s="123"/>
      <c r="Z958" s="30">
        <f t="shared" si="28"/>
        <v>65270.498266979223</v>
      </c>
      <c r="AA958" s="30">
        <f t="shared" si="29"/>
        <v>0</v>
      </c>
      <c r="AB958" t="s">
        <v>456</v>
      </c>
    </row>
    <row r="959" spans="1:28">
      <c r="A959" s="67" t="s">
        <v>128</v>
      </c>
      <c r="B959" s="68">
        <v>1233232</v>
      </c>
      <c r="C959" s="69">
        <v>4615424651</v>
      </c>
      <c r="D959" s="70">
        <v>19175</v>
      </c>
      <c r="E959" s="80"/>
      <c r="F959" s="68">
        <v>154.4</v>
      </c>
      <c r="G959" s="68" t="s">
        <v>114</v>
      </c>
      <c r="H959" s="68">
        <v>0</v>
      </c>
      <c r="I959" s="68">
        <v>0</v>
      </c>
      <c r="J959" s="71">
        <v>42810</v>
      </c>
      <c r="K959" s="71">
        <v>43032</v>
      </c>
      <c r="L959" s="69" t="s">
        <v>108</v>
      </c>
      <c r="M959" s="69" t="s">
        <v>109</v>
      </c>
      <c r="N959" s="72">
        <v>42869</v>
      </c>
      <c r="O959" s="67"/>
      <c r="P959" s="67" t="s">
        <v>95</v>
      </c>
      <c r="Q959" s="67" t="s">
        <v>129</v>
      </c>
      <c r="R959" s="69" t="s">
        <v>69</v>
      </c>
      <c r="S959" s="69" t="s">
        <v>130</v>
      </c>
      <c r="T959" s="67"/>
      <c r="U959" s="67"/>
      <c r="V959" s="72">
        <v>42855</v>
      </c>
      <c r="W959" s="69">
        <v>425570003</v>
      </c>
      <c r="X959" s="69"/>
      <c r="Y959" s="123"/>
      <c r="Z959" s="30">
        <f t="shared" si="28"/>
        <v>65270.498266979223</v>
      </c>
      <c r="AA959" s="30">
        <f t="shared" si="29"/>
        <v>0</v>
      </c>
      <c r="AB959" t="s">
        <v>456</v>
      </c>
    </row>
    <row r="960" spans="1:28">
      <c r="A960" s="67" t="s">
        <v>113</v>
      </c>
      <c r="B960" s="68">
        <v>1228742</v>
      </c>
      <c r="C960" s="69">
        <v>4615416536</v>
      </c>
      <c r="D960" s="70">
        <v>19200</v>
      </c>
      <c r="E960" s="79"/>
      <c r="F960" s="73">
        <v>16</v>
      </c>
      <c r="G960" s="73" t="s">
        <v>114</v>
      </c>
      <c r="H960" s="75">
        <v>0</v>
      </c>
      <c r="I960" s="68">
        <v>0</v>
      </c>
      <c r="J960" s="71">
        <v>42806</v>
      </c>
      <c r="K960" s="71">
        <v>43032</v>
      </c>
      <c r="L960" s="69" t="s">
        <v>108</v>
      </c>
      <c r="M960" s="69" t="s">
        <v>109</v>
      </c>
      <c r="N960" s="72">
        <v>42869</v>
      </c>
      <c r="O960" s="67"/>
      <c r="P960" s="67" t="s">
        <v>95</v>
      </c>
      <c r="Q960" s="67" t="s">
        <v>110</v>
      </c>
      <c r="R960" s="69" t="s">
        <v>69</v>
      </c>
      <c r="S960" s="69" t="s">
        <v>115</v>
      </c>
      <c r="T960" s="76"/>
      <c r="U960" s="67"/>
      <c r="V960" s="72">
        <v>42855</v>
      </c>
      <c r="W960" s="69" t="s">
        <v>210</v>
      </c>
      <c r="X960" s="69" t="s">
        <v>211</v>
      </c>
      <c r="Y960" s="123"/>
      <c r="Z960" s="30">
        <f t="shared" si="28"/>
        <v>6772.6006943194379</v>
      </c>
      <c r="AA960" s="30">
        <f t="shared" si="29"/>
        <v>0</v>
      </c>
      <c r="AB960" t="s">
        <v>456</v>
      </c>
    </row>
    <row r="961" spans="1:28">
      <c r="A961" s="67" t="s">
        <v>113</v>
      </c>
      <c r="B961" s="68">
        <v>1228739</v>
      </c>
      <c r="C961" s="69">
        <v>4615416536</v>
      </c>
      <c r="D961" s="70">
        <v>19200</v>
      </c>
      <c r="E961" s="79"/>
      <c r="F961" s="73">
        <v>16</v>
      </c>
      <c r="G961" s="73" t="s">
        <v>114</v>
      </c>
      <c r="H961" s="75">
        <v>0</v>
      </c>
      <c r="I961" s="68">
        <v>0</v>
      </c>
      <c r="J961" s="71">
        <v>42806</v>
      </c>
      <c r="K961" s="71">
        <v>43003</v>
      </c>
      <c r="L961" s="69" t="s">
        <v>108</v>
      </c>
      <c r="M961" s="69" t="s">
        <v>109</v>
      </c>
      <c r="N961" s="72">
        <v>42869</v>
      </c>
      <c r="O961" s="67"/>
      <c r="P961" s="67" t="s">
        <v>95</v>
      </c>
      <c r="Q961" s="67" t="s">
        <v>110</v>
      </c>
      <c r="R961" s="69" t="s">
        <v>69</v>
      </c>
      <c r="S961" s="69" t="s">
        <v>115</v>
      </c>
      <c r="T961" s="76"/>
      <c r="U961" s="67"/>
      <c r="V961" s="72">
        <v>42855</v>
      </c>
      <c r="W961" s="69" t="s">
        <v>210</v>
      </c>
      <c r="X961" s="69" t="s">
        <v>211</v>
      </c>
      <c r="Y961" s="123"/>
      <c r="Z961" s="30">
        <f t="shared" si="28"/>
        <v>6772.6006943194379</v>
      </c>
      <c r="AA961" s="30">
        <f t="shared" si="29"/>
        <v>0</v>
      </c>
      <c r="AB961" t="s">
        <v>456</v>
      </c>
    </row>
    <row r="962" spans="1:28">
      <c r="A962" s="67" t="s">
        <v>113</v>
      </c>
      <c r="B962" s="68">
        <v>1227501</v>
      </c>
      <c r="C962" s="69">
        <v>4615412686</v>
      </c>
      <c r="D962" s="70">
        <v>19200</v>
      </c>
      <c r="E962" s="79"/>
      <c r="F962" s="73">
        <v>16</v>
      </c>
      <c r="G962" s="73">
        <v>5</v>
      </c>
      <c r="H962" s="73">
        <v>0</v>
      </c>
      <c r="I962" s="68">
        <v>0</v>
      </c>
      <c r="J962" s="71">
        <v>42799</v>
      </c>
      <c r="K962" s="71">
        <v>43003</v>
      </c>
      <c r="L962" s="69" t="s">
        <v>108</v>
      </c>
      <c r="M962" s="69" t="s">
        <v>109</v>
      </c>
      <c r="N962" s="72">
        <v>42869</v>
      </c>
      <c r="O962" s="67"/>
      <c r="P962" s="67" t="s">
        <v>95</v>
      </c>
      <c r="Q962" s="67" t="s">
        <v>110</v>
      </c>
      <c r="R962" s="69" t="s">
        <v>69</v>
      </c>
      <c r="S962" s="69" t="s">
        <v>115</v>
      </c>
      <c r="T962" s="76"/>
      <c r="U962" s="67"/>
      <c r="V962" s="72">
        <v>42855</v>
      </c>
      <c r="W962" s="69" t="s">
        <v>212</v>
      </c>
      <c r="X962" s="69" t="s">
        <v>211</v>
      </c>
      <c r="Y962" s="123"/>
      <c r="Z962" s="30">
        <f t="shared" si="28"/>
        <v>6772.6006943194379</v>
      </c>
      <c r="AA962" s="30">
        <f t="shared" si="29"/>
        <v>2116.4377169748245</v>
      </c>
      <c r="AB962" t="s">
        <v>456</v>
      </c>
    </row>
    <row r="963" spans="1:28">
      <c r="A963" s="67" t="s">
        <v>113</v>
      </c>
      <c r="B963" s="68">
        <v>1227498</v>
      </c>
      <c r="C963" s="69">
        <v>4615412686</v>
      </c>
      <c r="D963" s="70">
        <v>19200</v>
      </c>
      <c r="E963" s="79"/>
      <c r="F963" s="73">
        <v>16</v>
      </c>
      <c r="G963" s="73">
        <v>5</v>
      </c>
      <c r="H963" s="73">
        <v>0</v>
      </c>
      <c r="I963" s="68">
        <v>0</v>
      </c>
      <c r="J963" s="71">
        <v>42799</v>
      </c>
      <c r="K963" s="71">
        <v>43003</v>
      </c>
      <c r="L963" s="69" t="s">
        <v>108</v>
      </c>
      <c r="M963" s="69" t="s">
        <v>109</v>
      </c>
      <c r="N963" s="72">
        <v>42869</v>
      </c>
      <c r="O963" s="67"/>
      <c r="P963" s="67" t="s">
        <v>95</v>
      </c>
      <c r="Q963" s="67" t="s">
        <v>110</v>
      </c>
      <c r="R963" s="69" t="s">
        <v>69</v>
      </c>
      <c r="S963" s="69" t="s">
        <v>115</v>
      </c>
      <c r="T963" s="76"/>
      <c r="U963" s="67"/>
      <c r="V963" s="72">
        <v>42855</v>
      </c>
      <c r="W963" s="69" t="s">
        <v>212</v>
      </c>
      <c r="X963" s="69" t="s">
        <v>211</v>
      </c>
      <c r="Y963" s="123"/>
      <c r="Z963" s="30">
        <f t="shared" ref="Z963:Z1026" si="30">CONVERT(D963,"kg","lbm")*F963/100</f>
        <v>6772.6006943194379</v>
      </c>
      <c r="AA963" s="30">
        <f t="shared" ref="AA963:AA1026" si="31">CONVERT(D963,"kg","lbm")*G963/100</f>
        <v>2116.4377169748245</v>
      </c>
      <c r="AB963" t="s">
        <v>456</v>
      </c>
    </row>
    <row r="964" spans="1:28">
      <c r="A964" s="67" t="s">
        <v>122</v>
      </c>
      <c r="B964" s="68">
        <v>1225788</v>
      </c>
      <c r="C964" s="69">
        <v>4615410567</v>
      </c>
      <c r="D964" s="70">
        <v>19200</v>
      </c>
      <c r="E964" s="79"/>
      <c r="F964" s="68">
        <v>16</v>
      </c>
      <c r="G964" s="68">
        <v>5</v>
      </c>
      <c r="H964" s="73">
        <v>0</v>
      </c>
      <c r="I964" s="68">
        <v>0</v>
      </c>
      <c r="J964" s="71">
        <v>42786</v>
      </c>
      <c r="K964" s="71">
        <v>43009</v>
      </c>
      <c r="L964" s="69" t="s">
        <v>108</v>
      </c>
      <c r="M964" s="69" t="s">
        <v>109</v>
      </c>
      <c r="N964" s="72">
        <v>42869</v>
      </c>
      <c r="O964" s="67"/>
      <c r="P964" s="67" t="s">
        <v>95</v>
      </c>
      <c r="Q964" s="67" t="s">
        <v>120</v>
      </c>
      <c r="R964" s="69" t="s">
        <v>69</v>
      </c>
      <c r="S964" s="69" t="s">
        <v>123</v>
      </c>
      <c r="T964" s="76"/>
      <c r="U964" s="67"/>
      <c r="V964" s="72">
        <v>42825</v>
      </c>
      <c r="W964" s="69">
        <v>2025780</v>
      </c>
      <c r="X964" s="69" t="s">
        <v>214</v>
      </c>
      <c r="Y964" s="123"/>
      <c r="Z964" s="30">
        <f t="shared" si="30"/>
        <v>6772.6006943194379</v>
      </c>
      <c r="AA964" s="30">
        <f t="shared" si="31"/>
        <v>2116.4377169748245</v>
      </c>
      <c r="AB964" t="s">
        <v>456</v>
      </c>
    </row>
    <row r="965" spans="1:28">
      <c r="A965" s="67" t="s">
        <v>118</v>
      </c>
      <c r="B965" s="68">
        <v>1214193</v>
      </c>
      <c r="C965" s="69">
        <v>4615372335</v>
      </c>
      <c r="D965" s="70">
        <v>19175</v>
      </c>
      <c r="E965" s="79"/>
      <c r="F965" s="68">
        <v>10</v>
      </c>
      <c r="G965" s="68" t="s">
        <v>114</v>
      </c>
      <c r="H965" s="73">
        <v>0</v>
      </c>
      <c r="I965" s="68">
        <v>0</v>
      </c>
      <c r="J965" s="71">
        <v>42783</v>
      </c>
      <c r="K965" s="71">
        <v>43043</v>
      </c>
      <c r="L965" s="69" t="s">
        <v>137</v>
      </c>
      <c r="M965" s="69" t="s">
        <v>109</v>
      </c>
      <c r="N965" s="72">
        <v>42869</v>
      </c>
      <c r="O965" s="67"/>
      <c r="P965" s="67" t="s">
        <v>95</v>
      </c>
      <c r="Q965" s="67" t="s">
        <v>120</v>
      </c>
      <c r="R965" s="69" t="s">
        <v>69</v>
      </c>
      <c r="S965" s="69" t="s">
        <v>121</v>
      </c>
      <c r="T965" s="76"/>
      <c r="U965" s="67"/>
      <c r="V965" s="72">
        <v>42794</v>
      </c>
      <c r="W965" s="69">
        <v>2021264</v>
      </c>
      <c r="X965" s="69"/>
      <c r="Y965" s="123"/>
      <c r="Z965" s="30">
        <f t="shared" si="30"/>
        <v>4227.3638773950279</v>
      </c>
      <c r="AA965" s="30">
        <f t="shared" si="31"/>
        <v>0</v>
      </c>
      <c r="AB965" t="s">
        <v>456</v>
      </c>
    </row>
    <row r="966" spans="1:28">
      <c r="A966" s="67" t="s">
        <v>118</v>
      </c>
      <c r="B966" s="68">
        <v>1214192</v>
      </c>
      <c r="C966" s="69">
        <v>4615372335</v>
      </c>
      <c r="D966" s="70">
        <v>19175</v>
      </c>
      <c r="E966" s="79"/>
      <c r="F966" s="68">
        <v>10</v>
      </c>
      <c r="G966" s="68" t="s">
        <v>114</v>
      </c>
      <c r="H966" s="73">
        <v>0</v>
      </c>
      <c r="I966" s="68">
        <v>0</v>
      </c>
      <c r="J966" s="71">
        <v>42783</v>
      </c>
      <c r="K966" s="71">
        <v>43059</v>
      </c>
      <c r="L966" s="69" t="s">
        <v>137</v>
      </c>
      <c r="M966" s="69" t="s">
        <v>109</v>
      </c>
      <c r="N966" s="72">
        <v>42869</v>
      </c>
      <c r="O966" s="67"/>
      <c r="P966" s="67" t="s">
        <v>95</v>
      </c>
      <c r="Q966" s="67" t="s">
        <v>120</v>
      </c>
      <c r="R966" s="69" t="s">
        <v>69</v>
      </c>
      <c r="S966" s="69" t="s">
        <v>121</v>
      </c>
      <c r="T966" s="76"/>
      <c r="U966" s="67"/>
      <c r="V966" s="72">
        <v>42794</v>
      </c>
      <c r="W966" s="69">
        <v>2021264</v>
      </c>
      <c r="X966" s="69"/>
      <c r="Y966" s="123"/>
      <c r="Z966" s="30">
        <f t="shared" si="30"/>
        <v>4227.3638773950279</v>
      </c>
      <c r="AA966" s="30">
        <f t="shared" si="31"/>
        <v>0</v>
      </c>
      <c r="AB966" t="s">
        <v>456</v>
      </c>
    </row>
    <row r="967" spans="1:28">
      <c r="A967" s="67" t="s">
        <v>122</v>
      </c>
      <c r="B967" s="68">
        <v>1219254</v>
      </c>
      <c r="C967" s="69">
        <v>4615410391</v>
      </c>
      <c r="D967" s="70">
        <v>19200</v>
      </c>
      <c r="E967" s="79"/>
      <c r="F967" s="73">
        <v>16</v>
      </c>
      <c r="G967" s="73">
        <v>5</v>
      </c>
      <c r="H967" s="68">
        <v>0</v>
      </c>
      <c r="I967" s="68">
        <v>0</v>
      </c>
      <c r="J967" s="71">
        <v>42765</v>
      </c>
      <c r="K967" s="71">
        <v>43059</v>
      </c>
      <c r="L967" s="69" t="s">
        <v>119</v>
      </c>
      <c r="M967" s="69" t="s">
        <v>109</v>
      </c>
      <c r="N967" s="72">
        <v>42869</v>
      </c>
      <c r="O967" s="67"/>
      <c r="P967" s="67" t="s">
        <v>95</v>
      </c>
      <c r="Q967" s="67" t="s">
        <v>120</v>
      </c>
      <c r="R967" s="69" t="s">
        <v>69</v>
      </c>
      <c r="S967" s="69" t="s">
        <v>123</v>
      </c>
      <c r="T967" s="76"/>
      <c r="U967" s="67"/>
      <c r="V967" s="72">
        <v>42766</v>
      </c>
      <c r="W967" s="69">
        <v>2025778</v>
      </c>
      <c r="X967" s="69"/>
      <c r="Y967" s="123"/>
      <c r="Z967" s="30">
        <f t="shared" si="30"/>
        <v>6772.6006943194379</v>
      </c>
      <c r="AA967" s="30">
        <f t="shared" si="31"/>
        <v>2116.4377169748245</v>
      </c>
      <c r="AB967" t="s">
        <v>456</v>
      </c>
    </row>
    <row r="968" spans="1:28">
      <c r="A968" s="67" t="s">
        <v>122</v>
      </c>
      <c r="B968" s="68">
        <v>1215889</v>
      </c>
      <c r="C968" s="69">
        <v>4615410391</v>
      </c>
      <c r="D968" s="70">
        <v>19200</v>
      </c>
      <c r="E968" s="79"/>
      <c r="F968" s="73">
        <v>16</v>
      </c>
      <c r="G968" s="73">
        <v>5</v>
      </c>
      <c r="H968" s="68">
        <v>0</v>
      </c>
      <c r="I968" s="68">
        <v>0</v>
      </c>
      <c r="J968" s="71">
        <v>42765</v>
      </c>
      <c r="K968" s="71">
        <v>43065</v>
      </c>
      <c r="L968" s="69" t="s">
        <v>119</v>
      </c>
      <c r="M968" s="69" t="s">
        <v>109</v>
      </c>
      <c r="N968" s="72">
        <v>42869</v>
      </c>
      <c r="O968" s="67"/>
      <c r="P968" s="67" t="s">
        <v>95</v>
      </c>
      <c r="Q968" s="67" t="s">
        <v>120</v>
      </c>
      <c r="R968" s="69" t="s">
        <v>69</v>
      </c>
      <c r="S968" s="69" t="s">
        <v>123</v>
      </c>
      <c r="T968" s="76"/>
      <c r="U968" s="67"/>
      <c r="V968" s="72">
        <v>42766</v>
      </c>
      <c r="W968" s="69">
        <v>2025778</v>
      </c>
      <c r="X968" s="69"/>
      <c r="Y968" s="123"/>
      <c r="Z968" s="30">
        <f t="shared" si="30"/>
        <v>6772.6006943194379</v>
      </c>
      <c r="AA968" s="30">
        <f t="shared" si="31"/>
        <v>2116.4377169748245</v>
      </c>
      <c r="AB968" t="s">
        <v>456</v>
      </c>
    </row>
    <row r="969" spans="1:28">
      <c r="A969" s="67" t="s">
        <v>122</v>
      </c>
      <c r="B969" s="68">
        <v>1215885</v>
      </c>
      <c r="C969" s="69">
        <v>4615410391</v>
      </c>
      <c r="D969" s="70">
        <v>19200</v>
      </c>
      <c r="E969" s="80"/>
      <c r="F969" s="73">
        <v>16</v>
      </c>
      <c r="G969" s="73">
        <v>5</v>
      </c>
      <c r="H969" s="68">
        <v>0</v>
      </c>
      <c r="I969" s="68">
        <v>0</v>
      </c>
      <c r="J969" s="71">
        <v>42765</v>
      </c>
      <c r="K969" s="71">
        <v>43065</v>
      </c>
      <c r="L969" s="69" t="s">
        <v>119</v>
      </c>
      <c r="M969" s="69" t="s">
        <v>109</v>
      </c>
      <c r="N969" s="72">
        <v>42869</v>
      </c>
      <c r="O969" s="67"/>
      <c r="P969" s="67" t="s">
        <v>95</v>
      </c>
      <c r="Q969" s="67" t="s">
        <v>120</v>
      </c>
      <c r="R969" s="69" t="s">
        <v>69</v>
      </c>
      <c r="S969" s="69" t="s">
        <v>123</v>
      </c>
      <c r="T969" s="67"/>
      <c r="U969" s="67"/>
      <c r="V969" s="72">
        <v>42766</v>
      </c>
      <c r="W969" s="69">
        <v>2025778</v>
      </c>
      <c r="X969" s="69"/>
      <c r="Y969" s="123"/>
      <c r="Z969" s="30">
        <f t="shared" si="30"/>
        <v>6772.6006943194379</v>
      </c>
      <c r="AA969" s="30">
        <f t="shared" si="31"/>
        <v>2116.4377169748245</v>
      </c>
      <c r="AB969" t="s">
        <v>456</v>
      </c>
    </row>
    <row r="970" spans="1:28">
      <c r="A970" s="67" t="s">
        <v>68</v>
      </c>
      <c r="B970" s="68" t="s">
        <v>161</v>
      </c>
      <c r="C970" s="69">
        <v>4615471900</v>
      </c>
      <c r="D970" s="70">
        <v>20544.980000000003</v>
      </c>
      <c r="E970" s="80"/>
      <c r="F970" s="73">
        <v>16</v>
      </c>
      <c r="G970" s="73" t="s">
        <v>114</v>
      </c>
      <c r="H970" s="73">
        <v>0</v>
      </c>
      <c r="I970" s="68">
        <v>0</v>
      </c>
      <c r="J970" s="71"/>
      <c r="K970" s="71">
        <v>43008</v>
      </c>
      <c r="L970" s="69" t="s">
        <v>80</v>
      </c>
      <c r="M970" s="69" t="s">
        <v>109</v>
      </c>
      <c r="N970" s="72">
        <v>42867</v>
      </c>
      <c r="O970" s="67"/>
      <c r="P970" s="67" t="s">
        <v>95</v>
      </c>
      <c r="Q970" s="67" t="s">
        <v>125</v>
      </c>
      <c r="R970" s="69" t="s">
        <v>69</v>
      </c>
      <c r="S970" s="69" t="s">
        <v>68</v>
      </c>
      <c r="T970" s="67"/>
      <c r="U970" s="67"/>
      <c r="V970" s="72">
        <v>42855</v>
      </c>
      <c r="W970" s="69">
        <v>5114720</v>
      </c>
      <c r="X970" s="69" t="s">
        <v>215</v>
      </c>
      <c r="Y970" s="123"/>
      <c r="Z970" s="30">
        <f t="shared" si="30"/>
        <v>7247.0284277489072</v>
      </c>
      <c r="AA970" s="30">
        <f t="shared" si="31"/>
        <v>0</v>
      </c>
      <c r="AB970" t="s">
        <v>456</v>
      </c>
    </row>
    <row r="971" spans="1:28">
      <c r="A971" s="67" t="s">
        <v>68</v>
      </c>
      <c r="B971" s="68" t="s">
        <v>161</v>
      </c>
      <c r="C971" s="69">
        <v>4615471900</v>
      </c>
      <c r="D971" s="70">
        <v>20544.980000000003</v>
      </c>
      <c r="E971" s="80"/>
      <c r="F971" s="73">
        <v>16</v>
      </c>
      <c r="G971" s="73" t="s">
        <v>114</v>
      </c>
      <c r="H971" s="68">
        <v>0</v>
      </c>
      <c r="I971" s="68">
        <v>0</v>
      </c>
      <c r="J971" s="71"/>
      <c r="K971" s="71">
        <v>43008</v>
      </c>
      <c r="L971" s="69" t="s">
        <v>80</v>
      </c>
      <c r="M971" s="69" t="s">
        <v>109</v>
      </c>
      <c r="N971" s="72">
        <v>42867</v>
      </c>
      <c r="O971" s="67"/>
      <c r="P971" s="67" t="s">
        <v>95</v>
      </c>
      <c r="Q971" s="67" t="s">
        <v>125</v>
      </c>
      <c r="R971" s="69" t="s">
        <v>69</v>
      </c>
      <c r="S971" s="69" t="s">
        <v>68</v>
      </c>
      <c r="T971" s="67"/>
      <c r="U971" s="67"/>
      <c r="V971" s="72">
        <v>42855</v>
      </c>
      <c r="W971" s="69">
        <v>5114720</v>
      </c>
      <c r="X971" s="69" t="s">
        <v>215</v>
      </c>
      <c r="Y971" s="123"/>
      <c r="Z971" s="30">
        <f t="shared" si="30"/>
        <v>7247.0284277489072</v>
      </c>
      <c r="AA971" s="30">
        <f t="shared" si="31"/>
        <v>0</v>
      </c>
      <c r="AB971" t="s">
        <v>456</v>
      </c>
    </row>
    <row r="972" spans="1:28">
      <c r="A972" s="67" t="s">
        <v>68</v>
      </c>
      <c r="B972" s="68" t="s">
        <v>161</v>
      </c>
      <c r="C972" s="69">
        <v>4615471900</v>
      </c>
      <c r="D972" s="70">
        <v>20544.980000000003</v>
      </c>
      <c r="E972" s="80"/>
      <c r="F972" s="73">
        <v>16</v>
      </c>
      <c r="G972" s="73" t="s">
        <v>114</v>
      </c>
      <c r="H972" s="68">
        <v>0</v>
      </c>
      <c r="I972" s="68">
        <v>0</v>
      </c>
      <c r="J972" s="71"/>
      <c r="K972" s="71">
        <v>43026</v>
      </c>
      <c r="L972" s="69" t="s">
        <v>80</v>
      </c>
      <c r="M972" s="69" t="s">
        <v>109</v>
      </c>
      <c r="N972" s="72">
        <v>42867</v>
      </c>
      <c r="O972" s="67"/>
      <c r="P972" s="67" t="s">
        <v>95</v>
      </c>
      <c r="Q972" s="67" t="s">
        <v>125</v>
      </c>
      <c r="R972" s="69" t="s">
        <v>69</v>
      </c>
      <c r="S972" s="69" t="s">
        <v>68</v>
      </c>
      <c r="T972" s="67"/>
      <c r="U972" s="67"/>
      <c r="V972" s="72">
        <v>42855</v>
      </c>
      <c r="W972" s="69">
        <v>5114720</v>
      </c>
      <c r="X972" s="69" t="s">
        <v>215</v>
      </c>
      <c r="Y972" s="123"/>
      <c r="Z972" s="30">
        <f t="shared" si="30"/>
        <v>7247.0284277489072</v>
      </c>
      <c r="AA972" s="30">
        <f t="shared" si="31"/>
        <v>0</v>
      </c>
      <c r="AB972" t="s">
        <v>456</v>
      </c>
    </row>
    <row r="973" spans="1:28">
      <c r="A973" s="67" t="s">
        <v>68</v>
      </c>
      <c r="B973" s="68" t="s">
        <v>161</v>
      </c>
      <c r="C973" s="69">
        <v>4615471900</v>
      </c>
      <c r="D973" s="70">
        <v>20544.980000000003</v>
      </c>
      <c r="E973" s="80"/>
      <c r="F973" s="73">
        <v>16</v>
      </c>
      <c r="G973" s="73" t="s">
        <v>114</v>
      </c>
      <c r="H973" s="68">
        <v>0</v>
      </c>
      <c r="I973" s="68">
        <v>0</v>
      </c>
      <c r="J973" s="71"/>
      <c r="K973" s="71">
        <v>43026</v>
      </c>
      <c r="L973" s="69" t="s">
        <v>80</v>
      </c>
      <c r="M973" s="69" t="s">
        <v>109</v>
      </c>
      <c r="N973" s="72">
        <v>42867</v>
      </c>
      <c r="O973" s="67"/>
      <c r="P973" s="67" t="s">
        <v>95</v>
      </c>
      <c r="Q973" s="67" t="s">
        <v>125</v>
      </c>
      <c r="R973" s="69" t="s">
        <v>69</v>
      </c>
      <c r="S973" s="69" t="s">
        <v>68</v>
      </c>
      <c r="T973" s="67"/>
      <c r="U973" s="67"/>
      <c r="V973" s="72">
        <v>42855</v>
      </c>
      <c r="W973" s="69">
        <v>5114720</v>
      </c>
      <c r="X973" s="69" t="s">
        <v>215</v>
      </c>
      <c r="Y973" s="123"/>
      <c r="Z973" s="30">
        <f t="shared" si="30"/>
        <v>7247.0284277489072</v>
      </c>
      <c r="AA973" s="30">
        <f t="shared" si="31"/>
        <v>0</v>
      </c>
      <c r="AB973" t="s">
        <v>456</v>
      </c>
    </row>
    <row r="974" spans="1:28">
      <c r="A974" s="67" t="s">
        <v>68</v>
      </c>
      <c r="B974" s="68" t="s">
        <v>161</v>
      </c>
      <c r="C974" s="69">
        <v>4615471900</v>
      </c>
      <c r="D974" s="70">
        <v>20544.980000000003</v>
      </c>
      <c r="E974" s="80"/>
      <c r="F974" s="73">
        <v>16</v>
      </c>
      <c r="G974" s="73" t="s">
        <v>114</v>
      </c>
      <c r="H974" s="68">
        <v>0</v>
      </c>
      <c r="I974" s="68">
        <v>0</v>
      </c>
      <c r="J974" s="71"/>
      <c r="K974" s="71">
        <v>43026</v>
      </c>
      <c r="L974" s="69" t="s">
        <v>80</v>
      </c>
      <c r="M974" s="69" t="s">
        <v>109</v>
      </c>
      <c r="N974" s="72">
        <v>42867</v>
      </c>
      <c r="O974" s="67"/>
      <c r="P974" s="67" t="s">
        <v>95</v>
      </c>
      <c r="Q974" s="67" t="s">
        <v>125</v>
      </c>
      <c r="R974" s="69" t="s">
        <v>69</v>
      </c>
      <c r="S974" s="69" t="s">
        <v>68</v>
      </c>
      <c r="T974" s="67"/>
      <c r="U974" s="67"/>
      <c r="V974" s="72">
        <v>42855</v>
      </c>
      <c r="W974" s="69">
        <v>5114720</v>
      </c>
      <c r="X974" s="69" t="s">
        <v>215</v>
      </c>
      <c r="Y974" s="123"/>
      <c r="Z974" s="30">
        <f t="shared" si="30"/>
        <v>7247.0284277489072</v>
      </c>
      <c r="AA974" s="30">
        <f t="shared" si="31"/>
        <v>0</v>
      </c>
      <c r="AB974" t="s">
        <v>456</v>
      </c>
    </row>
    <row r="975" spans="1:28">
      <c r="A975" s="67" t="s">
        <v>68</v>
      </c>
      <c r="B975" s="68" t="s">
        <v>161</v>
      </c>
      <c r="C975" s="69">
        <v>4615471900</v>
      </c>
      <c r="D975" s="70">
        <v>20544.980000000003</v>
      </c>
      <c r="E975" s="80"/>
      <c r="F975" s="73">
        <v>16</v>
      </c>
      <c r="G975" s="73" t="s">
        <v>114</v>
      </c>
      <c r="H975" s="75">
        <v>0</v>
      </c>
      <c r="I975" s="68">
        <v>0</v>
      </c>
      <c r="J975" s="71"/>
      <c r="K975" s="71">
        <v>43026</v>
      </c>
      <c r="L975" s="69" t="s">
        <v>80</v>
      </c>
      <c r="M975" s="69" t="s">
        <v>109</v>
      </c>
      <c r="N975" s="72">
        <v>42867</v>
      </c>
      <c r="O975" s="67"/>
      <c r="P975" s="67" t="s">
        <v>95</v>
      </c>
      <c r="Q975" s="67" t="s">
        <v>125</v>
      </c>
      <c r="R975" s="69" t="s">
        <v>69</v>
      </c>
      <c r="S975" s="69" t="s">
        <v>68</v>
      </c>
      <c r="T975" s="67"/>
      <c r="U975" s="67"/>
      <c r="V975" s="72">
        <v>42855</v>
      </c>
      <c r="W975" s="69">
        <v>5114720</v>
      </c>
      <c r="X975" s="69" t="s">
        <v>215</v>
      </c>
      <c r="Y975" s="123"/>
      <c r="Z975" s="30">
        <f t="shared" si="30"/>
        <v>7247.0284277489072</v>
      </c>
      <c r="AA975" s="30">
        <f t="shared" si="31"/>
        <v>0</v>
      </c>
      <c r="AB975" t="s">
        <v>456</v>
      </c>
    </row>
    <row r="976" spans="1:28">
      <c r="A976" s="67" t="s">
        <v>68</v>
      </c>
      <c r="B976" s="68" t="s">
        <v>161</v>
      </c>
      <c r="C976" s="69">
        <v>4615471900</v>
      </c>
      <c r="D976" s="70">
        <v>20544.980000000003</v>
      </c>
      <c r="E976" s="80"/>
      <c r="F976" s="73">
        <v>16</v>
      </c>
      <c r="G976" s="73" t="s">
        <v>114</v>
      </c>
      <c r="H976" s="73">
        <v>0</v>
      </c>
      <c r="I976" s="68">
        <v>0</v>
      </c>
      <c r="J976" s="71"/>
      <c r="K976" s="71">
        <v>43026</v>
      </c>
      <c r="L976" s="69" t="s">
        <v>80</v>
      </c>
      <c r="M976" s="69" t="s">
        <v>109</v>
      </c>
      <c r="N976" s="72">
        <v>42867</v>
      </c>
      <c r="O976" s="67"/>
      <c r="P976" s="67" t="s">
        <v>95</v>
      </c>
      <c r="Q976" s="67" t="s">
        <v>125</v>
      </c>
      <c r="R976" s="69" t="s">
        <v>69</v>
      </c>
      <c r="S976" s="69" t="s">
        <v>68</v>
      </c>
      <c r="T976" s="67"/>
      <c r="U976" s="67"/>
      <c r="V976" s="72">
        <v>42855</v>
      </c>
      <c r="W976" s="69">
        <v>5114720</v>
      </c>
      <c r="X976" s="69" t="s">
        <v>215</v>
      </c>
      <c r="Y976" s="123"/>
      <c r="Z976" s="30">
        <f t="shared" si="30"/>
        <v>7247.0284277489072</v>
      </c>
      <c r="AA976" s="30">
        <f t="shared" si="31"/>
        <v>0</v>
      </c>
      <c r="AB976" t="s">
        <v>456</v>
      </c>
    </row>
    <row r="977" spans="1:28">
      <c r="A977" s="67" t="s">
        <v>68</v>
      </c>
      <c r="B977" s="68" t="s">
        <v>161</v>
      </c>
      <c r="C977" s="69">
        <v>4615471900</v>
      </c>
      <c r="D977" s="70">
        <v>20544.980000000003</v>
      </c>
      <c r="E977" s="80"/>
      <c r="F977" s="73">
        <v>16</v>
      </c>
      <c r="G977" s="73" t="s">
        <v>114</v>
      </c>
      <c r="H977" s="73">
        <v>0</v>
      </c>
      <c r="I977" s="68">
        <v>0</v>
      </c>
      <c r="J977" s="71"/>
      <c r="K977" s="71">
        <v>43026</v>
      </c>
      <c r="L977" s="69" t="s">
        <v>80</v>
      </c>
      <c r="M977" s="69" t="s">
        <v>109</v>
      </c>
      <c r="N977" s="72">
        <v>42867</v>
      </c>
      <c r="O977" s="67"/>
      <c r="P977" s="67" t="s">
        <v>95</v>
      </c>
      <c r="Q977" s="67" t="s">
        <v>125</v>
      </c>
      <c r="R977" s="69" t="s">
        <v>69</v>
      </c>
      <c r="S977" s="69" t="s">
        <v>68</v>
      </c>
      <c r="T977" s="67"/>
      <c r="U977" s="67"/>
      <c r="V977" s="72">
        <v>42855</v>
      </c>
      <c r="W977" s="69">
        <v>5114720</v>
      </c>
      <c r="X977" s="69" t="s">
        <v>215</v>
      </c>
      <c r="Y977" s="123"/>
      <c r="Z977" s="30">
        <f t="shared" si="30"/>
        <v>7247.0284277489072</v>
      </c>
      <c r="AA977" s="30">
        <f t="shared" si="31"/>
        <v>0</v>
      </c>
      <c r="AB977" t="s">
        <v>456</v>
      </c>
    </row>
    <row r="978" spans="1:28">
      <c r="A978" s="67" t="s">
        <v>68</v>
      </c>
      <c r="B978" s="68" t="s">
        <v>161</v>
      </c>
      <c r="C978" s="69">
        <v>4615471900</v>
      </c>
      <c r="D978" s="70">
        <v>20544.980000000003</v>
      </c>
      <c r="E978" s="80"/>
      <c r="F978" s="73">
        <v>16</v>
      </c>
      <c r="G978" s="73" t="s">
        <v>114</v>
      </c>
      <c r="H978" s="73">
        <v>0</v>
      </c>
      <c r="I978" s="68">
        <v>0</v>
      </c>
      <c r="J978" s="71"/>
      <c r="K978" s="71">
        <v>43026</v>
      </c>
      <c r="L978" s="69" t="s">
        <v>80</v>
      </c>
      <c r="M978" s="69" t="s">
        <v>109</v>
      </c>
      <c r="N978" s="72">
        <v>42867</v>
      </c>
      <c r="O978" s="67"/>
      <c r="P978" s="67" t="s">
        <v>95</v>
      </c>
      <c r="Q978" s="67" t="s">
        <v>125</v>
      </c>
      <c r="R978" s="69" t="s">
        <v>69</v>
      </c>
      <c r="S978" s="69" t="s">
        <v>68</v>
      </c>
      <c r="T978" s="67"/>
      <c r="U978" s="67"/>
      <c r="V978" s="72">
        <v>42855</v>
      </c>
      <c r="W978" s="69">
        <v>5114720</v>
      </c>
      <c r="X978" s="69" t="s">
        <v>215</v>
      </c>
      <c r="Y978" s="123"/>
      <c r="Z978" s="30">
        <f t="shared" si="30"/>
        <v>7247.0284277489072</v>
      </c>
      <c r="AA978" s="30">
        <f t="shared" si="31"/>
        <v>0</v>
      </c>
      <c r="AB978" t="s">
        <v>456</v>
      </c>
    </row>
    <row r="979" spans="1:28">
      <c r="A979" s="67" t="s">
        <v>68</v>
      </c>
      <c r="B979" s="68" t="s">
        <v>161</v>
      </c>
      <c r="C979" s="69">
        <v>4615471900</v>
      </c>
      <c r="D979" s="70">
        <v>20544.980000000003</v>
      </c>
      <c r="E979" s="79"/>
      <c r="F979" s="73">
        <v>16</v>
      </c>
      <c r="G979" s="73" t="s">
        <v>114</v>
      </c>
      <c r="H979" s="68">
        <v>0</v>
      </c>
      <c r="I979" s="68">
        <v>0</v>
      </c>
      <c r="J979" s="71"/>
      <c r="K979" s="71">
        <v>43026</v>
      </c>
      <c r="L979" s="69" t="s">
        <v>80</v>
      </c>
      <c r="M979" s="69" t="s">
        <v>109</v>
      </c>
      <c r="N979" s="72">
        <v>42867</v>
      </c>
      <c r="O979" s="67"/>
      <c r="P979" s="67" t="s">
        <v>95</v>
      </c>
      <c r="Q979" s="67" t="s">
        <v>125</v>
      </c>
      <c r="R979" s="69" t="s">
        <v>69</v>
      </c>
      <c r="S979" s="69" t="s">
        <v>68</v>
      </c>
      <c r="T979" s="67"/>
      <c r="U979" s="67"/>
      <c r="V979" s="72">
        <v>42855</v>
      </c>
      <c r="W979" s="69">
        <v>5114720</v>
      </c>
      <c r="X979" s="69" t="s">
        <v>215</v>
      </c>
      <c r="Y979" s="123"/>
      <c r="Z979" s="30">
        <f t="shared" si="30"/>
        <v>7247.0284277489072</v>
      </c>
      <c r="AA979" s="30">
        <f t="shared" si="31"/>
        <v>0</v>
      </c>
      <c r="AB979" t="s">
        <v>456</v>
      </c>
    </row>
    <row r="980" spans="1:28">
      <c r="A980" s="67" t="s">
        <v>68</v>
      </c>
      <c r="B980" s="68" t="s">
        <v>161</v>
      </c>
      <c r="C980" s="69">
        <v>4615471900</v>
      </c>
      <c r="D980" s="70">
        <v>20544.980000000003</v>
      </c>
      <c r="E980" s="79"/>
      <c r="F980" s="73">
        <v>16</v>
      </c>
      <c r="G980" s="73" t="s">
        <v>114</v>
      </c>
      <c r="H980" s="68">
        <v>0</v>
      </c>
      <c r="I980" s="68">
        <v>0</v>
      </c>
      <c r="J980" s="71"/>
      <c r="K980" s="71">
        <v>43026</v>
      </c>
      <c r="L980" s="69" t="s">
        <v>80</v>
      </c>
      <c r="M980" s="69" t="s">
        <v>109</v>
      </c>
      <c r="N980" s="72">
        <v>42867</v>
      </c>
      <c r="O980" s="67"/>
      <c r="P980" s="67" t="s">
        <v>95</v>
      </c>
      <c r="Q980" s="67" t="s">
        <v>125</v>
      </c>
      <c r="R980" s="69" t="s">
        <v>69</v>
      </c>
      <c r="S980" s="69" t="s">
        <v>68</v>
      </c>
      <c r="T980" s="67"/>
      <c r="U980" s="67"/>
      <c r="V980" s="72">
        <v>42855</v>
      </c>
      <c r="W980" s="69">
        <v>5114720</v>
      </c>
      <c r="X980" s="69" t="s">
        <v>215</v>
      </c>
      <c r="Y980" s="123"/>
      <c r="Z980" s="30">
        <f t="shared" si="30"/>
        <v>7247.0284277489072</v>
      </c>
      <c r="AA980" s="30">
        <f t="shared" si="31"/>
        <v>0</v>
      </c>
      <c r="AB980" t="s">
        <v>456</v>
      </c>
    </row>
    <row r="981" spans="1:28">
      <c r="A981" s="67" t="s">
        <v>68</v>
      </c>
      <c r="B981" s="68" t="s">
        <v>161</v>
      </c>
      <c r="C981" s="69">
        <v>4615471900</v>
      </c>
      <c r="D981" s="70">
        <v>20544.980000000003</v>
      </c>
      <c r="E981" s="79"/>
      <c r="F981" s="73">
        <v>16</v>
      </c>
      <c r="G981" s="73" t="s">
        <v>114</v>
      </c>
      <c r="H981" s="68">
        <v>0</v>
      </c>
      <c r="I981" s="68">
        <v>0</v>
      </c>
      <c r="J981" s="71"/>
      <c r="K981" s="71">
        <v>43035</v>
      </c>
      <c r="L981" s="69" t="s">
        <v>80</v>
      </c>
      <c r="M981" s="69" t="s">
        <v>109</v>
      </c>
      <c r="N981" s="72">
        <v>42867</v>
      </c>
      <c r="O981" s="67"/>
      <c r="P981" s="67" t="s">
        <v>95</v>
      </c>
      <c r="Q981" s="67" t="s">
        <v>125</v>
      </c>
      <c r="R981" s="69" t="s">
        <v>69</v>
      </c>
      <c r="S981" s="69" t="s">
        <v>68</v>
      </c>
      <c r="T981" s="67"/>
      <c r="U981" s="67"/>
      <c r="V981" s="72">
        <v>42855</v>
      </c>
      <c r="W981" s="69">
        <v>5114720</v>
      </c>
      <c r="X981" s="69" t="s">
        <v>215</v>
      </c>
      <c r="Y981" s="123"/>
      <c r="Z981" s="30">
        <f t="shared" si="30"/>
        <v>7247.0284277489072</v>
      </c>
      <c r="AA981" s="30">
        <f t="shared" si="31"/>
        <v>0</v>
      </c>
      <c r="AB981" t="s">
        <v>456</v>
      </c>
    </row>
    <row r="982" spans="1:28">
      <c r="A982" s="67" t="s">
        <v>68</v>
      </c>
      <c r="B982" s="68" t="s">
        <v>161</v>
      </c>
      <c r="C982" s="69">
        <v>4615471900</v>
      </c>
      <c r="D982" s="70">
        <v>20544.980000000003</v>
      </c>
      <c r="E982" s="79"/>
      <c r="F982" s="73">
        <v>16</v>
      </c>
      <c r="G982" s="73" t="s">
        <v>114</v>
      </c>
      <c r="H982" s="68">
        <v>0</v>
      </c>
      <c r="I982" s="68">
        <v>0</v>
      </c>
      <c r="J982" s="71"/>
      <c r="K982" s="71">
        <v>43033</v>
      </c>
      <c r="L982" s="69" t="s">
        <v>80</v>
      </c>
      <c r="M982" s="69" t="s">
        <v>109</v>
      </c>
      <c r="N982" s="72">
        <v>42867</v>
      </c>
      <c r="O982" s="67"/>
      <c r="P982" s="67" t="s">
        <v>95</v>
      </c>
      <c r="Q982" s="67" t="s">
        <v>125</v>
      </c>
      <c r="R982" s="69" t="s">
        <v>69</v>
      </c>
      <c r="S982" s="69" t="s">
        <v>68</v>
      </c>
      <c r="T982" s="67"/>
      <c r="U982" s="67"/>
      <c r="V982" s="72">
        <v>42855</v>
      </c>
      <c r="W982" s="69">
        <v>5114720</v>
      </c>
      <c r="X982" s="69" t="s">
        <v>215</v>
      </c>
      <c r="Y982" s="123"/>
      <c r="Z982" s="30">
        <f t="shared" si="30"/>
        <v>7247.0284277489072</v>
      </c>
      <c r="AA982" s="30">
        <f t="shared" si="31"/>
        <v>0</v>
      </c>
      <c r="AB982" t="s">
        <v>456</v>
      </c>
    </row>
    <row r="983" spans="1:28">
      <c r="A983" s="67" t="s">
        <v>68</v>
      </c>
      <c r="B983" s="68" t="s">
        <v>161</v>
      </c>
      <c r="C983" s="69">
        <v>4615471900</v>
      </c>
      <c r="D983" s="70">
        <v>20544.980000000003</v>
      </c>
      <c r="E983" s="79"/>
      <c r="F983" s="73">
        <v>16</v>
      </c>
      <c r="G983" s="73" t="s">
        <v>114</v>
      </c>
      <c r="H983" s="68">
        <v>0</v>
      </c>
      <c r="I983" s="68">
        <v>0</v>
      </c>
      <c r="J983" s="71"/>
      <c r="K983" s="71">
        <v>43033</v>
      </c>
      <c r="L983" s="69" t="s">
        <v>80</v>
      </c>
      <c r="M983" s="69" t="s">
        <v>109</v>
      </c>
      <c r="N983" s="72">
        <v>42867</v>
      </c>
      <c r="O983" s="67"/>
      <c r="P983" s="67" t="s">
        <v>95</v>
      </c>
      <c r="Q983" s="67" t="s">
        <v>125</v>
      </c>
      <c r="R983" s="69" t="s">
        <v>69</v>
      </c>
      <c r="S983" s="69" t="s">
        <v>68</v>
      </c>
      <c r="T983" s="67"/>
      <c r="U983" s="67"/>
      <c r="V983" s="72">
        <v>42855</v>
      </c>
      <c r="W983" s="69">
        <v>5114720</v>
      </c>
      <c r="X983" s="69" t="s">
        <v>215</v>
      </c>
      <c r="Y983" s="123"/>
      <c r="Z983" s="30">
        <f t="shared" si="30"/>
        <v>7247.0284277489072</v>
      </c>
      <c r="AA983" s="30">
        <f t="shared" si="31"/>
        <v>0</v>
      </c>
      <c r="AB983" t="s">
        <v>456</v>
      </c>
    </row>
    <row r="984" spans="1:28">
      <c r="A984" s="67" t="s">
        <v>113</v>
      </c>
      <c r="B984" s="68">
        <v>1227499</v>
      </c>
      <c r="C984" s="69">
        <v>4615412686</v>
      </c>
      <c r="D984" s="70">
        <v>19200</v>
      </c>
      <c r="E984" s="79"/>
      <c r="F984" s="73">
        <v>16</v>
      </c>
      <c r="G984" s="73">
        <v>5</v>
      </c>
      <c r="H984" s="73">
        <v>0</v>
      </c>
      <c r="I984" s="68">
        <v>0</v>
      </c>
      <c r="J984" s="71">
        <v>42799</v>
      </c>
      <c r="K984" s="71">
        <v>43033</v>
      </c>
      <c r="L984" s="69" t="s">
        <v>108</v>
      </c>
      <c r="M984" s="69" t="s">
        <v>109</v>
      </c>
      <c r="N984" s="72">
        <v>42866</v>
      </c>
      <c r="O984" s="67"/>
      <c r="P984" s="67" t="s">
        <v>95</v>
      </c>
      <c r="Q984" s="67" t="s">
        <v>110</v>
      </c>
      <c r="R984" s="69" t="s">
        <v>69</v>
      </c>
      <c r="S984" s="69" t="s">
        <v>115</v>
      </c>
      <c r="T984" s="67"/>
      <c r="U984" s="67"/>
      <c r="V984" s="72">
        <v>42855</v>
      </c>
      <c r="W984" s="69" t="s">
        <v>212</v>
      </c>
      <c r="X984" s="69" t="s">
        <v>211</v>
      </c>
      <c r="Y984" s="123"/>
      <c r="Z984" s="30">
        <f t="shared" si="30"/>
        <v>6772.6006943194379</v>
      </c>
      <c r="AA984" s="30">
        <f t="shared" si="31"/>
        <v>2116.4377169748245</v>
      </c>
      <c r="AB984" t="s">
        <v>456</v>
      </c>
    </row>
    <row r="985" spans="1:28">
      <c r="A985" s="67" t="s">
        <v>113</v>
      </c>
      <c r="B985" s="68">
        <v>1227505</v>
      </c>
      <c r="C985" s="69">
        <v>4615412686</v>
      </c>
      <c r="D985" s="70">
        <v>19200</v>
      </c>
      <c r="E985" s="79"/>
      <c r="F985" s="73">
        <v>16</v>
      </c>
      <c r="G985" s="73">
        <v>5</v>
      </c>
      <c r="H985" s="73">
        <v>0</v>
      </c>
      <c r="I985" s="68">
        <v>0</v>
      </c>
      <c r="J985" s="71">
        <v>42799</v>
      </c>
      <c r="K985" s="71">
        <v>43033</v>
      </c>
      <c r="L985" s="69" t="s">
        <v>108</v>
      </c>
      <c r="M985" s="69" t="s">
        <v>109</v>
      </c>
      <c r="N985" s="72">
        <v>42866</v>
      </c>
      <c r="O985" s="67"/>
      <c r="P985" s="67" t="s">
        <v>95</v>
      </c>
      <c r="Q985" s="67" t="s">
        <v>110</v>
      </c>
      <c r="R985" s="69" t="s">
        <v>69</v>
      </c>
      <c r="S985" s="69" t="s">
        <v>115</v>
      </c>
      <c r="T985" s="67"/>
      <c r="U985" s="67"/>
      <c r="V985" s="72">
        <v>42855</v>
      </c>
      <c r="W985" s="69" t="s">
        <v>212</v>
      </c>
      <c r="X985" s="69" t="s">
        <v>211</v>
      </c>
      <c r="Y985" s="123"/>
      <c r="Z985" s="30">
        <f t="shared" si="30"/>
        <v>6772.6006943194379</v>
      </c>
      <c r="AA985" s="30">
        <f t="shared" si="31"/>
        <v>2116.4377169748245</v>
      </c>
      <c r="AB985" t="s">
        <v>456</v>
      </c>
    </row>
    <row r="986" spans="1:28">
      <c r="A986" s="67" t="s">
        <v>113</v>
      </c>
      <c r="B986" s="68">
        <v>1228737</v>
      </c>
      <c r="C986" s="69">
        <v>4615416536</v>
      </c>
      <c r="D986" s="70">
        <v>19200</v>
      </c>
      <c r="E986" s="79"/>
      <c r="F986" s="73">
        <v>16</v>
      </c>
      <c r="G986" s="73" t="s">
        <v>114</v>
      </c>
      <c r="H986" s="73">
        <v>0</v>
      </c>
      <c r="I986" s="68">
        <v>0</v>
      </c>
      <c r="J986" s="71">
        <v>42806</v>
      </c>
      <c r="K986" s="71">
        <v>43033</v>
      </c>
      <c r="L986" s="69" t="s">
        <v>108</v>
      </c>
      <c r="M986" s="69" t="s">
        <v>109</v>
      </c>
      <c r="N986" s="72">
        <v>42866</v>
      </c>
      <c r="O986" s="67"/>
      <c r="P986" s="67" t="s">
        <v>95</v>
      </c>
      <c r="Q986" s="67" t="s">
        <v>110</v>
      </c>
      <c r="R986" s="69" t="s">
        <v>69</v>
      </c>
      <c r="S986" s="69" t="s">
        <v>115</v>
      </c>
      <c r="T986" s="67"/>
      <c r="U986" s="67"/>
      <c r="V986" s="72">
        <v>42855</v>
      </c>
      <c r="W986" s="69" t="s">
        <v>210</v>
      </c>
      <c r="X986" s="69" t="s">
        <v>211</v>
      </c>
      <c r="Y986" s="123"/>
      <c r="Z986" s="30">
        <f t="shared" si="30"/>
        <v>6772.6006943194379</v>
      </c>
      <c r="AA986" s="30">
        <f t="shared" si="31"/>
        <v>0</v>
      </c>
      <c r="AB986" t="s">
        <v>456</v>
      </c>
    </row>
    <row r="987" spans="1:28">
      <c r="A987" s="67" t="s">
        <v>128</v>
      </c>
      <c r="B987" s="68">
        <v>1233235</v>
      </c>
      <c r="C987" s="69">
        <v>4615424651</v>
      </c>
      <c r="D987" s="70">
        <v>19175</v>
      </c>
      <c r="E987" s="79"/>
      <c r="F987" s="68">
        <v>154.4</v>
      </c>
      <c r="G987" s="68" t="s">
        <v>114</v>
      </c>
      <c r="H987" s="68">
        <v>0</v>
      </c>
      <c r="I987" s="68">
        <v>0</v>
      </c>
      <c r="J987" s="71">
        <v>42810</v>
      </c>
      <c r="K987" s="71">
        <v>43033</v>
      </c>
      <c r="L987" s="69" t="s">
        <v>108</v>
      </c>
      <c r="M987" s="69" t="s">
        <v>109</v>
      </c>
      <c r="N987" s="72">
        <v>42866</v>
      </c>
      <c r="O987" s="67"/>
      <c r="P987" s="67" t="s">
        <v>95</v>
      </c>
      <c r="Q987" s="67" t="s">
        <v>129</v>
      </c>
      <c r="R987" s="69" t="s">
        <v>69</v>
      </c>
      <c r="S987" s="69" t="s">
        <v>130</v>
      </c>
      <c r="T987" s="67"/>
      <c r="U987" s="67"/>
      <c r="V987" s="72">
        <v>42855</v>
      </c>
      <c r="W987" s="69">
        <v>425570003</v>
      </c>
      <c r="X987" s="69"/>
      <c r="Y987" s="123"/>
      <c r="Z987" s="30">
        <f t="shared" si="30"/>
        <v>65270.498266979223</v>
      </c>
      <c r="AA987" s="30">
        <f t="shared" si="31"/>
        <v>0</v>
      </c>
      <c r="AB987" t="s">
        <v>456</v>
      </c>
    </row>
    <row r="988" spans="1:28">
      <c r="A988" s="67" t="s">
        <v>118</v>
      </c>
      <c r="B988" s="68">
        <v>1214186</v>
      </c>
      <c r="C988" s="69">
        <v>4615410588</v>
      </c>
      <c r="D988" s="70">
        <v>19175</v>
      </c>
      <c r="E988" s="79"/>
      <c r="F988" s="73">
        <v>10</v>
      </c>
      <c r="G988" s="73" t="s">
        <v>114</v>
      </c>
      <c r="H988" s="73">
        <v>0</v>
      </c>
      <c r="I988" s="68">
        <v>0</v>
      </c>
      <c r="J988" s="71">
        <v>42775</v>
      </c>
      <c r="K988" s="71">
        <v>43035</v>
      </c>
      <c r="L988" s="69" t="s">
        <v>137</v>
      </c>
      <c r="M988" s="69" t="s">
        <v>109</v>
      </c>
      <c r="N988" s="72">
        <v>42866</v>
      </c>
      <c r="O988" s="67"/>
      <c r="P988" s="67" t="s">
        <v>95</v>
      </c>
      <c r="Q988" s="67" t="s">
        <v>120</v>
      </c>
      <c r="R988" s="69" t="s">
        <v>69</v>
      </c>
      <c r="S988" s="69" t="s">
        <v>121</v>
      </c>
      <c r="T988" s="67"/>
      <c r="U988" s="67"/>
      <c r="V988" s="72">
        <v>42794</v>
      </c>
      <c r="W988" s="69">
        <v>2026351</v>
      </c>
      <c r="X988" s="69"/>
      <c r="Y988" s="123"/>
      <c r="Z988" s="30">
        <f t="shared" si="30"/>
        <v>4227.3638773950279</v>
      </c>
      <c r="AA988" s="30">
        <f t="shared" si="31"/>
        <v>0</v>
      </c>
      <c r="AB988" t="s">
        <v>456</v>
      </c>
    </row>
    <row r="989" spans="1:28">
      <c r="A989" s="67" t="s">
        <v>118</v>
      </c>
      <c r="B989" s="68">
        <v>1214195</v>
      </c>
      <c r="C989" s="69">
        <v>4615372335</v>
      </c>
      <c r="D989" s="70">
        <v>19175</v>
      </c>
      <c r="E989" s="79"/>
      <c r="F989" s="68">
        <v>10</v>
      </c>
      <c r="G989" s="68" t="s">
        <v>114</v>
      </c>
      <c r="H989" s="73">
        <v>0</v>
      </c>
      <c r="I989" s="68">
        <v>0</v>
      </c>
      <c r="J989" s="71">
        <v>42783</v>
      </c>
      <c r="K989" s="71">
        <v>43016</v>
      </c>
      <c r="L989" s="69" t="s">
        <v>137</v>
      </c>
      <c r="M989" s="69" t="s">
        <v>109</v>
      </c>
      <c r="N989" s="72">
        <v>42866</v>
      </c>
      <c r="O989" s="67"/>
      <c r="P989" s="67" t="s">
        <v>95</v>
      </c>
      <c r="Q989" s="67" t="s">
        <v>120</v>
      </c>
      <c r="R989" s="69" t="s">
        <v>69</v>
      </c>
      <c r="S989" s="69" t="s">
        <v>121</v>
      </c>
      <c r="T989" s="67"/>
      <c r="U989" s="67"/>
      <c r="V989" s="72">
        <v>42794</v>
      </c>
      <c r="W989" s="69">
        <v>2021264</v>
      </c>
      <c r="X989" s="69"/>
      <c r="Y989" s="123"/>
      <c r="Z989" s="30">
        <f t="shared" si="30"/>
        <v>4227.3638773950279</v>
      </c>
      <c r="AA989" s="30">
        <f t="shared" si="31"/>
        <v>0</v>
      </c>
      <c r="AB989" t="s">
        <v>456</v>
      </c>
    </row>
    <row r="990" spans="1:28">
      <c r="A990" s="67" t="s">
        <v>122</v>
      </c>
      <c r="B990" s="68">
        <v>1215890</v>
      </c>
      <c r="C990" s="69">
        <v>4615410391</v>
      </c>
      <c r="D990" s="70">
        <v>19200</v>
      </c>
      <c r="E990" s="79"/>
      <c r="F990" s="73">
        <v>16</v>
      </c>
      <c r="G990" s="73">
        <v>5</v>
      </c>
      <c r="H990" s="68">
        <v>0</v>
      </c>
      <c r="I990" s="68">
        <v>0</v>
      </c>
      <c r="J990" s="71">
        <v>42765</v>
      </c>
      <c r="K990" s="71">
        <v>43044</v>
      </c>
      <c r="L990" s="69" t="s">
        <v>119</v>
      </c>
      <c r="M990" s="69" t="s">
        <v>109</v>
      </c>
      <c r="N990" s="72">
        <v>42866</v>
      </c>
      <c r="O990" s="67"/>
      <c r="P990" s="67" t="s">
        <v>95</v>
      </c>
      <c r="Q990" s="67" t="s">
        <v>120</v>
      </c>
      <c r="R990" s="69" t="s">
        <v>69</v>
      </c>
      <c r="S990" s="69" t="s">
        <v>123</v>
      </c>
      <c r="T990" s="67"/>
      <c r="U990" s="67"/>
      <c r="V990" s="72">
        <v>42766</v>
      </c>
      <c r="W990" s="69">
        <v>2025778</v>
      </c>
      <c r="X990" s="69"/>
      <c r="Y990" s="123"/>
      <c r="Z990" s="30">
        <f t="shared" si="30"/>
        <v>6772.6006943194379</v>
      </c>
      <c r="AA990" s="30">
        <f t="shared" si="31"/>
        <v>2116.4377169748245</v>
      </c>
      <c r="AB990" t="s">
        <v>456</v>
      </c>
    </row>
    <row r="991" spans="1:28">
      <c r="A991" s="67" t="s">
        <v>131</v>
      </c>
      <c r="B991" s="68">
        <v>1225341</v>
      </c>
      <c r="C991" s="69">
        <v>4615418629</v>
      </c>
      <c r="D991" s="70">
        <v>19200</v>
      </c>
      <c r="E991" s="79"/>
      <c r="F991" s="75">
        <v>154.4</v>
      </c>
      <c r="G991" s="75" t="s">
        <v>114</v>
      </c>
      <c r="H991" s="68">
        <v>0</v>
      </c>
      <c r="I991" s="68">
        <v>0</v>
      </c>
      <c r="J991" s="71">
        <v>42799</v>
      </c>
      <c r="K991" s="71">
        <v>43018</v>
      </c>
      <c r="L991" s="69" t="s">
        <v>108</v>
      </c>
      <c r="M991" s="69" t="s">
        <v>109</v>
      </c>
      <c r="N991" s="72">
        <v>42865</v>
      </c>
      <c r="O991" s="67"/>
      <c r="P991" s="67" t="s">
        <v>95</v>
      </c>
      <c r="Q991" s="67" t="s">
        <v>125</v>
      </c>
      <c r="R991" s="69" t="s">
        <v>69</v>
      </c>
      <c r="S991" s="69" t="s">
        <v>134</v>
      </c>
      <c r="T991" s="67"/>
      <c r="U991" s="67"/>
      <c r="V991" s="72">
        <v>42855</v>
      </c>
      <c r="W991" s="69" t="s">
        <v>216</v>
      </c>
      <c r="X991" s="69"/>
      <c r="Y991" s="123"/>
      <c r="Z991" s="30">
        <f t="shared" si="30"/>
        <v>65355.596700182585</v>
      </c>
      <c r="AA991" s="30">
        <f t="shared" si="31"/>
        <v>0</v>
      </c>
      <c r="AB991" t="s">
        <v>456</v>
      </c>
    </row>
    <row r="992" spans="1:28">
      <c r="A992" s="67" t="s">
        <v>122</v>
      </c>
      <c r="B992" s="68">
        <v>1228031</v>
      </c>
      <c r="C992" s="69">
        <v>4615411175</v>
      </c>
      <c r="D992" s="70">
        <v>19175</v>
      </c>
      <c r="E992" s="79"/>
      <c r="F992" s="68">
        <v>16</v>
      </c>
      <c r="G992" s="68">
        <v>5</v>
      </c>
      <c r="H992" s="68">
        <v>0</v>
      </c>
      <c r="I992" s="68">
        <v>0</v>
      </c>
      <c r="J992" s="71">
        <v>42794</v>
      </c>
      <c r="K992" s="71">
        <v>43018</v>
      </c>
      <c r="L992" s="69" t="s">
        <v>108</v>
      </c>
      <c r="M992" s="69" t="s">
        <v>109</v>
      </c>
      <c r="N992" s="72">
        <v>42865</v>
      </c>
      <c r="O992" s="67"/>
      <c r="P992" s="67" t="s">
        <v>95</v>
      </c>
      <c r="Q992" s="67" t="s">
        <v>120</v>
      </c>
      <c r="R992" s="69" t="s">
        <v>69</v>
      </c>
      <c r="S992" s="69" t="s">
        <v>123</v>
      </c>
      <c r="T992" s="67"/>
      <c r="U992" s="67"/>
      <c r="V992" s="72">
        <v>42825</v>
      </c>
      <c r="W992" s="69">
        <v>2025748</v>
      </c>
      <c r="X992" s="69" t="s">
        <v>217</v>
      </c>
      <c r="Y992" s="123"/>
      <c r="Z992" s="30">
        <f t="shared" si="30"/>
        <v>6763.7822038320437</v>
      </c>
      <c r="AA992" s="30">
        <f t="shared" si="31"/>
        <v>2113.6819386975139</v>
      </c>
      <c r="AB992" t="s">
        <v>456</v>
      </c>
    </row>
    <row r="993" spans="1:28">
      <c r="A993" s="67" t="s">
        <v>122</v>
      </c>
      <c r="B993" s="68">
        <v>1215892</v>
      </c>
      <c r="C993" s="69">
        <v>4615410391</v>
      </c>
      <c r="D993" s="70">
        <v>19200</v>
      </c>
      <c r="E993" s="79"/>
      <c r="F993" s="73">
        <v>16</v>
      </c>
      <c r="G993" s="73">
        <v>5</v>
      </c>
      <c r="H993" s="68">
        <v>0</v>
      </c>
      <c r="I993" s="68">
        <v>0</v>
      </c>
      <c r="J993" s="71">
        <v>42765</v>
      </c>
      <c r="K993" s="71">
        <v>43024</v>
      </c>
      <c r="L993" s="69" t="s">
        <v>119</v>
      </c>
      <c r="M993" s="69" t="s">
        <v>109</v>
      </c>
      <c r="N993" s="72">
        <v>42865</v>
      </c>
      <c r="O993" s="67"/>
      <c r="P993" s="67" t="s">
        <v>95</v>
      </c>
      <c r="Q993" s="67" t="s">
        <v>120</v>
      </c>
      <c r="R993" s="69" t="s">
        <v>69</v>
      </c>
      <c r="S993" s="69" t="s">
        <v>123</v>
      </c>
      <c r="T993" s="67"/>
      <c r="U993" s="67"/>
      <c r="V993" s="72">
        <v>42766</v>
      </c>
      <c r="W993" s="69">
        <v>2025778</v>
      </c>
      <c r="X993" s="69"/>
      <c r="Y993" s="123"/>
      <c r="Z993" s="30">
        <f t="shared" si="30"/>
        <v>6772.6006943194379</v>
      </c>
      <c r="AA993" s="30">
        <f t="shared" si="31"/>
        <v>2116.4377169748245</v>
      </c>
      <c r="AB993" t="s">
        <v>456</v>
      </c>
    </row>
    <row r="994" spans="1:28">
      <c r="A994" s="67" t="s">
        <v>113</v>
      </c>
      <c r="B994" s="68">
        <v>1228735</v>
      </c>
      <c r="C994" s="69">
        <v>4615416536</v>
      </c>
      <c r="D994" s="70">
        <v>19200</v>
      </c>
      <c r="E994" s="79"/>
      <c r="F994" s="73">
        <v>16</v>
      </c>
      <c r="G994" s="73" t="s">
        <v>114</v>
      </c>
      <c r="H994" s="73">
        <v>0</v>
      </c>
      <c r="I994" s="68">
        <v>0</v>
      </c>
      <c r="J994" s="71">
        <v>42806</v>
      </c>
      <c r="K994" s="71">
        <v>43036</v>
      </c>
      <c r="L994" s="69" t="s">
        <v>108</v>
      </c>
      <c r="M994" s="69" t="s">
        <v>109</v>
      </c>
      <c r="N994" s="72">
        <v>42864</v>
      </c>
      <c r="O994" s="67"/>
      <c r="P994" s="67" t="s">
        <v>95</v>
      </c>
      <c r="Q994" s="67" t="s">
        <v>110</v>
      </c>
      <c r="R994" s="69" t="s">
        <v>69</v>
      </c>
      <c r="S994" s="69" t="s">
        <v>115</v>
      </c>
      <c r="T994" s="67"/>
      <c r="U994" s="67"/>
      <c r="V994" s="72">
        <v>42855</v>
      </c>
      <c r="W994" s="69" t="s">
        <v>210</v>
      </c>
      <c r="X994" s="69" t="s">
        <v>211</v>
      </c>
      <c r="Y994" s="123"/>
      <c r="Z994" s="30">
        <f t="shared" si="30"/>
        <v>6772.6006943194379</v>
      </c>
      <c r="AA994" s="30">
        <f t="shared" si="31"/>
        <v>0</v>
      </c>
      <c r="AB994" t="s">
        <v>456</v>
      </c>
    </row>
    <row r="995" spans="1:28">
      <c r="A995" s="67" t="s">
        <v>113</v>
      </c>
      <c r="B995" s="68">
        <v>1227504</v>
      </c>
      <c r="C995" s="69">
        <v>4615412686</v>
      </c>
      <c r="D995" s="70">
        <v>19200</v>
      </c>
      <c r="E995" s="79"/>
      <c r="F995" s="73">
        <v>16</v>
      </c>
      <c r="G995" s="73">
        <v>5</v>
      </c>
      <c r="H995" s="73">
        <v>0</v>
      </c>
      <c r="I995" s="68">
        <v>0</v>
      </c>
      <c r="J995" s="71">
        <v>42799</v>
      </c>
      <c r="K995" s="71">
        <v>43043</v>
      </c>
      <c r="L995" s="69" t="s">
        <v>108</v>
      </c>
      <c r="M995" s="69" t="s">
        <v>109</v>
      </c>
      <c r="N995" s="72">
        <v>42864</v>
      </c>
      <c r="O995" s="67"/>
      <c r="P995" s="67" t="s">
        <v>95</v>
      </c>
      <c r="Q995" s="67" t="s">
        <v>110</v>
      </c>
      <c r="R995" s="69" t="s">
        <v>69</v>
      </c>
      <c r="S995" s="69" t="s">
        <v>115</v>
      </c>
      <c r="T995" s="67"/>
      <c r="U995" s="67"/>
      <c r="V995" s="72">
        <v>42855</v>
      </c>
      <c r="W995" s="69" t="s">
        <v>212</v>
      </c>
      <c r="X995" s="69" t="s">
        <v>211</v>
      </c>
      <c r="Y995" s="123"/>
      <c r="Z995" s="30">
        <f t="shared" si="30"/>
        <v>6772.6006943194379</v>
      </c>
      <c r="AA995" s="30">
        <f t="shared" si="31"/>
        <v>2116.4377169748245</v>
      </c>
      <c r="AB995" t="s">
        <v>456</v>
      </c>
    </row>
    <row r="996" spans="1:28">
      <c r="A996" s="67" t="s">
        <v>113</v>
      </c>
      <c r="B996" s="68">
        <v>1227496</v>
      </c>
      <c r="C996" s="69">
        <v>4615412686</v>
      </c>
      <c r="D996" s="70">
        <v>19200</v>
      </c>
      <c r="E996" s="79"/>
      <c r="F996" s="73">
        <v>16</v>
      </c>
      <c r="G996" s="73">
        <v>5</v>
      </c>
      <c r="H996" s="73">
        <v>0</v>
      </c>
      <c r="I996" s="68">
        <v>0</v>
      </c>
      <c r="J996" s="71">
        <v>42799</v>
      </c>
      <c r="K996" s="71">
        <v>43043</v>
      </c>
      <c r="L996" s="69" t="s">
        <v>108</v>
      </c>
      <c r="M996" s="69" t="s">
        <v>109</v>
      </c>
      <c r="N996" s="72">
        <v>42864</v>
      </c>
      <c r="O996" s="67"/>
      <c r="P996" s="67" t="s">
        <v>95</v>
      </c>
      <c r="Q996" s="67" t="s">
        <v>110</v>
      </c>
      <c r="R996" s="69" t="s">
        <v>69</v>
      </c>
      <c r="S996" s="69" t="s">
        <v>115</v>
      </c>
      <c r="T996" s="67"/>
      <c r="U996" s="67"/>
      <c r="V996" s="72">
        <v>42855</v>
      </c>
      <c r="W996" s="69" t="s">
        <v>212</v>
      </c>
      <c r="X996" s="69" t="s">
        <v>211</v>
      </c>
      <c r="Y996" s="123"/>
      <c r="Z996" s="30">
        <f t="shared" si="30"/>
        <v>6772.6006943194379</v>
      </c>
      <c r="AA996" s="30">
        <f t="shared" si="31"/>
        <v>2116.4377169748245</v>
      </c>
      <c r="AB996" t="s">
        <v>456</v>
      </c>
    </row>
    <row r="997" spans="1:28">
      <c r="A997" s="67" t="s">
        <v>113</v>
      </c>
      <c r="B997" s="68">
        <v>1218635</v>
      </c>
      <c r="C997" s="69">
        <v>4615401202</v>
      </c>
      <c r="D997" s="70">
        <v>19175</v>
      </c>
      <c r="E997" s="79"/>
      <c r="F997" s="73">
        <v>16</v>
      </c>
      <c r="G997" s="73">
        <v>5</v>
      </c>
      <c r="H997" s="68">
        <v>0</v>
      </c>
      <c r="I997" s="68">
        <v>0</v>
      </c>
      <c r="J997" s="71">
        <v>42764</v>
      </c>
      <c r="K997" s="71">
        <v>43036</v>
      </c>
      <c r="L997" s="69" t="s">
        <v>119</v>
      </c>
      <c r="M997" s="69" t="s">
        <v>109</v>
      </c>
      <c r="N997" s="72">
        <v>42864</v>
      </c>
      <c r="O997" s="67"/>
      <c r="P997" s="67" t="s">
        <v>95</v>
      </c>
      <c r="Q997" s="67" t="s">
        <v>110</v>
      </c>
      <c r="R997" s="69" t="s">
        <v>69</v>
      </c>
      <c r="S997" s="69" t="s">
        <v>115</v>
      </c>
      <c r="T997" s="67"/>
      <c r="U997" s="67"/>
      <c r="V997" s="72">
        <v>42794</v>
      </c>
      <c r="W997" s="69" t="s">
        <v>142</v>
      </c>
      <c r="X997" s="69"/>
      <c r="Y997" s="123"/>
      <c r="Z997" s="30">
        <f t="shared" si="30"/>
        <v>6763.7822038320437</v>
      </c>
      <c r="AA997" s="30">
        <f t="shared" si="31"/>
        <v>2113.6819386975139</v>
      </c>
      <c r="AB997" t="s">
        <v>456</v>
      </c>
    </row>
    <row r="998" spans="1:28">
      <c r="A998" s="67" t="s">
        <v>136</v>
      </c>
      <c r="B998" s="68">
        <v>1217620</v>
      </c>
      <c r="C998" s="69">
        <v>4615388845</v>
      </c>
      <c r="D998" s="70">
        <v>19175</v>
      </c>
      <c r="E998" s="79"/>
      <c r="F998" s="73">
        <v>10</v>
      </c>
      <c r="G998" s="73" t="s">
        <v>114</v>
      </c>
      <c r="H998" s="73">
        <v>0</v>
      </c>
      <c r="I998" s="68">
        <v>0</v>
      </c>
      <c r="J998" s="71">
        <v>42761</v>
      </c>
      <c r="K998" s="71">
        <v>43104</v>
      </c>
      <c r="L998" s="69" t="s">
        <v>137</v>
      </c>
      <c r="M998" s="69" t="s">
        <v>109</v>
      </c>
      <c r="N998" s="72">
        <v>42863</v>
      </c>
      <c r="O998" s="67"/>
      <c r="P998" s="67" t="s">
        <v>95</v>
      </c>
      <c r="Q998" s="67" t="s">
        <v>129</v>
      </c>
      <c r="R998" s="69" t="s">
        <v>69</v>
      </c>
      <c r="S998" s="69" t="s">
        <v>138</v>
      </c>
      <c r="T998" s="67"/>
      <c r="U998" s="67"/>
      <c r="V998" s="72">
        <v>42825</v>
      </c>
      <c r="W998" s="69">
        <v>415570028</v>
      </c>
      <c r="X998" s="69"/>
      <c r="Y998" s="123"/>
      <c r="Z998" s="30">
        <f t="shared" si="30"/>
        <v>4227.3638773950279</v>
      </c>
      <c r="AA998" s="30">
        <f t="shared" si="31"/>
        <v>0</v>
      </c>
      <c r="AB998" t="s">
        <v>456</v>
      </c>
    </row>
    <row r="999" spans="1:28">
      <c r="A999" s="67" t="s">
        <v>113</v>
      </c>
      <c r="B999" s="68">
        <v>1227503</v>
      </c>
      <c r="C999" s="69">
        <v>4615412686</v>
      </c>
      <c r="D999" s="70">
        <v>19200</v>
      </c>
      <c r="E999" s="79"/>
      <c r="F999" s="73">
        <v>16</v>
      </c>
      <c r="G999" s="73">
        <v>5</v>
      </c>
      <c r="H999" s="73">
        <v>0</v>
      </c>
      <c r="I999" s="68">
        <v>0</v>
      </c>
      <c r="J999" s="71">
        <v>42799</v>
      </c>
      <c r="K999" s="71">
        <v>43067</v>
      </c>
      <c r="L999" s="69" t="s">
        <v>108</v>
      </c>
      <c r="M999" s="69" t="s">
        <v>109</v>
      </c>
      <c r="N999" s="72">
        <v>42863</v>
      </c>
      <c r="O999" s="67"/>
      <c r="P999" s="67" t="s">
        <v>95</v>
      </c>
      <c r="Q999" s="67" t="s">
        <v>110</v>
      </c>
      <c r="R999" s="69" t="s">
        <v>69</v>
      </c>
      <c r="S999" s="69" t="s">
        <v>115</v>
      </c>
      <c r="T999" s="67"/>
      <c r="U999" s="67"/>
      <c r="V999" s="72">
        <v>42855</v>
      </c>
      <c r="W999" s="69" t="s">
        <v>212</v>
      </c>
      <c r="X999" s="69" t="s">
        <v>211</v>
      </c>
      <c r="Y999" s="123"/>
      <c r="Z999" s="30">
        <f t="shared" si="30"/>
        <v>6772.6006943194379</v>
      </c>
      <c r="AA999" s="30">
        <f t="shared" si="31"/>
        <v>2116.4377169748245</v>
      </c>
      <c r="AB999" t="s">
        <v>456</v>
      </c>
    </row>
    <row r="1000" spans="1:28">
      <c r="A1000" s="67" t="s">
        <v>118</v>
      </c>
      <c r="B1000" s="68">
        <v>1214188</v>
      </c>
      <c r="C1000" s="69">
        <v>4615410588</v>
      </c>
      <c r="D1000" s="70">
        <v>19175</v>
      </c>
      <c r="E1000" s="79"/>
      <c r="F1000" s="73">
        <v>10</v>
      </c>
      <c r="G1000" s="73" t="s">
        <v>114</v>
      </c>
      <c r="H1000" s="73">
        <v>0</v>
      </c>
      <c r="I1000" s="68">
        <v>0</v>
      </c>
      <c r="J1000" s="71">
        <v>42775</v>
      </c>
      <c r="K1000" s="71">
        <v>43081</v>
      </c>
      <c r="L1000" s="69" t="s">
        <v>137</v>
      </c>
      <c r="M1000" s="69" t="s">
        <v>109</v>
      </c>
      <c r="N1000" s="72">
        <v>42863</v>
      </c>
      <c r="O1000" s="67"/>
      <c r="P1000" s="67" t="s">
        <v>95</v>
      </c>
      <c r="Q1000" s="67" t="s">
        <v>120</v>
      </c>
      <c r="R1000" s="69" t="s">
        <v>69</v>
      </c>
      <c r="S1000" s="69" t="s">
        <v>121</v>
      </c>
      <c r="T1000" s="67"/>
      <c r="U1000" s="67"/>
      <c r="V1000" s="72">
        <v>42794</v>
      </c>
      <c r="W1000" s="69">
        <v>2026351</v>
      </c>
      <c r="X1000" s="69"/>
      <c r="Y1000" s="123"/>
      <c r="Z1000" s="30">
        <f t="shared" si="30"/>
        <v>4227.3638773950279</v>
      </c>
      <c r="AA1000" s="30">
        <f t="shared" si="31"/>
        <v>0</v>
      </c>
      <c r="AB1000" t="s">
        <v>456</v>
      </c>
    </row>
    <row r="1001" spans="1:28">
      <c r="A1001" s="67" t="s">
        <v>131</v>
      </c>
      <c r="B1001" s="68">
        <v>1225340</v>
      </c>
      <c r="C1001" s="69">
        <v>4615418629</v>
      </c>
      <c r="D1001" s="70">
        <v>19200</v>
      </c>
      <c r="E1001" s="79"/>
      <c r="F1001" s="75">
        <v>154.4</v>
      </c>
      <c r="G1001" s="75" t="s">
        <v>114</v>
      </c>
      <c r="H1001" s="68">
        <v>0</v>
      </c>
      <c r="I1001" s="68">
        <v>0</v>
      </c>
      <c r="J1001" s="71">
        <v>42799</v>
      </c>
      <c r="K1001" s="71">
        <v>43044</v>
      </c>
      <c r="L1001" s="69" t="s">
        <v>108</v>
      </c>
      <c r="M1001" s="69" t="s">
        <v>109</v>
      </c>
      <c r="N1001" s="72">
        <v>42862</v>
      </c>
      <c r="O1001" s="67"/>
      <c r="P1001" s="67" t="s">
        <v>95</v>
      </c>
      <c r="Q1001" s="67" t="s">
        <v>125</v>
      </c>
      <c r="R1001" s="69" t="s">
        <v>69</v>
      </c>
      <c r="S1001" s="69" t="s">
        <v>134</v>
      </c>
      <c r="T1001" s="67"/>
      <c r="U1001" s="67"/>
      <c r="V1001" s="72">
        <v>42855</v>
      </c>
      <c r="W1001" s="69" t="s">
        <v>216</v>
      </c>
      <c r="X1001" s="69"/>
      <c r="Y1001" s="123"/>
      <c r="Z1001" s="30">
        <f t="shared" si="30"/>
        <v>65355.596700182585</v>
      </c>
      <c r="AA1001" s="30">
        <f t="shared" si="31"/>
        <v>0</v>
      </c>
      <c r="AB1001" t="s">
        <v>456</v>
      </c>
    </row>
    <row r="1002" spans="1:28">
      <c r="A1002" s="67" t="s">
        <v>122</v>
      </c>
      <c r="B1002" s="68">
        <v>1228032</v>
      </c>
      <c r="C1002" s="69">
        <v>4615411175</v>
      </c>
      <c r="D1002" s="70">
        <v>19175</v>
      </c>
      <c r="E1002" s="79"/>
      <c r="F1002" s="68">
        <v>16</v>
      </c>
      <c r="G1002" s="68">
        <v>5</v>
      </c>
      <c r="H1002" s="68">
        <v>0</v>
      </c>
      <c r="I1002" s="68">
        <v>0</v>
      </c>
      <c r="J1002" s="71">
        <v>42794</v>
      </c>
      <c r="K1002" s="71">
        <v>43044</v>
      </c>
      <c r="L1002" s="69" t="s">
        <v>108</v>
      </c>
      <c r="M1002" s="69" t="s">
        <v>109</v>
      </c>
      <c r="N1002" s="72">
        <v>42862</v>
      </c>
      <c r="O1002" s="67"/>
      <c r="P1002" s="67" t="s">
        <v>95</v>
      </c>
      <c r="Q1002" s="67" t="s">
        <v>120</v>
      </c>
      <c r="R1002" s="69" t="s">
        <v>69</v>
      </c>
      <c r="S1002" s="69" t="s">
        <v>123</v>
      </c>
      <c r="T1002" s="67"/>
      <c r="U1002" s="67"/>
      <c r="V1002" s="72">
        <v>42825</v>
      </c>
      <c r="W1002" s="69">
        <v>2025748</v>
      </c>
      <c r="X1002" s="69" t="s">
        <v>217</v>
      </c>
      <c r="Y1002" s="123"/>
      <c r="Z1002" s="30">
        <f t="shared" si="30"/>
        <v>6763.7822038320437</v>
      </c>
      <c r="AA1002" s="30">
        <f t="shared" si="31"/>
        <v>2113.6819386975139</v>
      </c>
      <c r="AB1002" t="s">
        <v>456</v>
      </c>
    </row>
    <row r="1003" spans="1:28">
      <c r="A1003" s="67" t="s">
        <v>122</v>
      </c>
      <c r="B1003" s="68">
        <v>1227506</v>
      </c>
      <c r="C1003" s="69">
        <v>4615410363</v>
      </c>
      <c r="D1003" s="70">
        <v>19200</v>
      </c>
      <c r="E1003" s="79"/>
      <c r="F1003" s="68">
        <v>16</v>
      </c>
      <c r="G1003" s="68">
        <v>5</v>
      </c>
      <c r="H1003" s="68">
        <v>0</v>
      </c>
      <c r="I1003" s="68">
        <v>0</v>
      </c>
      <c r="J1003" s="71">
        <v>42794</v>
      </c>
      <c r="K1003" s="71">
        <v>43044</v>
      </c>
      <c r="L1003" s="69" t="s">
        <v>108</v>
      </c>
      <c r="M1003" s="69" t="s">
        <v>109</v>
      </c>
      <c r="N1003" s="72">
        <v>42862</v>
      </c>
      <c r="O1003" s="67"/>
      <c r="P1003" s="67" t="s">
        <v>95</v>
      </c>
      <c r="Q1003" s="67" t="s">
        <v>120</v>
      </c>
      <c r="R1003" s="69" t="s">
        <v>69</v>
      </c>
      <c r="S1003" s="69" t="s">
        <v>123</v>
      </c>
      <c r="T1003" s="67"/>
      <c r="U1003" s="67"/>
      <c r="V1003" s="72">
        <v>42825</v>
      </c>
      <c r="W1003" s="69">
        <v>2025662</v>
      </c>
      <c r="X1003" s="69" t="s">
        <v>214</v>
      </c>
      <c r="Y1003" s="123"/>
      <c r="Z1003" s="30">
        <f t="shared" si="30"/>
        <v>6772.6006943194379</v>
      </c>
      <c r="AA1003" s="30">
        <f t="shared" si="31"/>
        <v>2116.4377169748245</v>
      </c>
      <c r="AB1003" t="s">
        <v>456</v>
      </c>
    </row>
    <row r="1004" spans="1:28">
      <c r="A1004" s="67" t="s">
        <v>113</v>
      </c>
      <c r="B1004" s="68">
        <v>1227497</v>
      </c>
      <c r="C1004" s="69">
        <v>4615412686</v>
      </c>
      <c r="D1004" s="70">
        <v>19200</v>
      </c>
      <c r="E1004" s="79"/>
      <c r="F1004" s="73">
        <v>16</v>
      </c>
      <c r="G1004" s="73">
        <v>5</v>
      </c>
      <c r="H1004" s="73">
        <v>0</v>
      </c>
      <c r="I1004" s="68">
        <v>0</v>
      </c>
      <c r="J1004" s="71">
        <v>42799</v>
      </c>
      <c r="K1004" s="71">
        <v>43031</v>
      </c>
      <c r="L1004" s="69" t="s">
        <v>108</v>
      </c>
      <c r="M1004" s="69" t="s">
        <v>109</v>
      </c>
      <c r="N1004" s="72">
        <v>42862</v>
      </c>
      <c r="O1004" s="67"/>
      <c r="P1004" s="67" t="s">
        <v>95</v>
      </c>
      <c r="Q1004" s="67" t="s">
        <v>110</v>
      </c>
      <c r="R1004" s="69" t="s">
        <v>69</v>
      </c>
      <c r="S1004" s="69" t="s">
        <v>115</v>
      </c>
      <c r="T1004" s="67"/>
      <c r="U1004" s="67"/>
      <c r="V1004" s="72">
        <v>42855</v>
      </c>
      <c r="W1004" s="69" t="s">
        <v>212</v>
      </c>
      <c r="X1004" s="69" t="s">
        <v>211</v>
      </c>
      <c r="Y1004" s="123"/>
      <c r="Z1004" s="30">
        <f t="shared" si="30"/>
        <v>6772.6006943194379</v>
      </c>
      <c r="AA1004" s="30">
        <f t="shared" si="31"/>
        <v>2116.4377169748245</v>
      </c>
      <c r="AB1004" t="s">
        <v>456</v>
      </c>
    </row>
    <row r="1005" spans="1:28">
      <c r="A1005" s="67" t="s">
        <v>122</v>
      </c>
      <c r="B1005" s="68">
        <v>1225055</v>
      </c>
      <c r="C1005" s="69">
        <v>4615410363</v>
      </c>
      <c r="D1005" s="70">
        <v>19200</v>
      </c>
      <c r="E1005" s="79"/>
      <c r="F1005" s="68">
        <v>16</v>
      </c>
      <c r="G1005" s="68">
        <v>5</v>
      </c>
      <c r="H1005" s="68">
        <v>0</v>
      </c>
      <c r="I1005" s="68">
        <v>0</v>
      </c>
      <c r="J1005" s="71">
        <v>42794</v>
      </c>
      <c r="K1005" s="71">
        <v>43031</v>
      </c>
      <c r="L1005" s="69" t="s">
        <v>108</v>
      </c>
      <c r="M1005" s="69" t="s">
        <v>109</v>
      </c>
      <c r="N1005" s="72">
        <v>42862</v>
      </c>
      <c r="O1005" s="67"/>
      <c r="P1005" s="67" t="s">
        <v>95</v>
      </c>
      <c r="Q1005" s="67" t="s">
        <v>120</v>
      </c>
      <c r="R1005" s="69" t="s">
        <v>69</v>
      </c>
      <c r="S1005" s="69" t="s">
        <v>123</v>
      </c>
      <c r="T1005" s="67"/>
      <c r="U1005" s="67"/>
      <c r="V1005" s="72">
        <v>42825</v>
      </c>
      <c r="W1005" s="69">
        <v>2025662</v>
      </c>
      <c r="X1005" s="69" t="s">
        <v>214</v>
      </c>
      <c r="Y1005" s="123"/>
      <c r="Z1005" s="30">
        <f t="shared" si="30"/>
        <v>6772.6006943194379</v>
      </c>
      <c r="AA1005" s="30">
        <f t="shared" si="31"/>
        <v>2116.4377169748245</v>
      </c>
      <c r="AB1005" t="s">
        <v>456</v>
      </c>
    </row>
    <row r="1006" spans="1:28">
      <c r="A1006" s="67" t="s">
        <v>118</v>
      </c>
      <c r="B1006" s="68">
        <v>1214189</v>
      </c>
      <c r="C1006" s="69">
        <v>4615410588</v>
      </c>
      <c r="D1006" s="70">
        <v>19175</v>
      </c>
      <c r="E1006" s="79"/>
      <c r="F1006" s="73">
        <v>10</v>
      </c>
      <c r="G1006" s="73" t="s">
        <v>114</v>
      </c>
      <c r="H1006" s="73">
        <v>0</v>
      </c>
      <c r="I1006" s="68">
        <v>0</v>
      </c>
      <c r="J1006" s="71">
        <v>42775</v>
      </c>
      <c r="K1006" s="71">
        <v>43044</v>
      </c>
      <c r="L1006" s="69" t="s">
        <v>137</v>
      </c>
      <c r="M1006" s="69" t="s">
        <v>109</v>
      </c>
      <c r="N1006" s="72">
        <v>42862</v>
      </c>
      <c r="O1006" s="67"/>
      <c r="P1006" s="67" t="s">
        <v>95</v>
      </c>
      <c r="Q1006" s="67" t="s">
        <v>120</v>
      </c>
      <c r="R1006" s="69" t="s">
        <v>69</v>
      </c>
      <c r="S1006" s="69" t="s">
        <v>121</v>
      </c>
      <c r="T1006" s="67"/>
      <c r="U1006" s="67"/>
      <c r="V1006" s="72">
        <v>42794</v>
      </c>
      <c r="W1006" s="69">
        <v>2026351</v>
      </c>
      <c r="X1006" s="69"/>
      <c r="Y1006" s="123"/>
      <c r="Z1006" s="30">
        <f t="shared" si="30"/>
        <v>4227.3638773950279</v>
      </c>
      <c r="AA1006" s="30">
        <f t="shared" si="31"/>
        <v>0</v>
      </c>
      <c r="AB1006" t="s">
        <v>456</v>
      </c>
    </row>
    <row r="1007" spans="1:28">
      <c r="A1007" s="67" t="s">
        <v>122</v>
      </c>
      <c r="B1007" s="68">
        <v>1218623</v>
      </c>
      <c r="C1007" s="69">
        <v>4615411035</v>
      </c>
      <c r="D1007" s="70">
        <v>19175</v>
      </c>
      <c r="E1007" s="79"/>
      <c r="F1007" s="68">
        <v>16</v>
      </c>
      <c r="G1007" s="68">
        <v>5</v>
      </c>
      <c r="H1007" s="73">
        <v>0</v>
      </c>
      <c r="I1007" s="68">
        <v>0</v>
      </c>
      <c r="J1007" s="71">
        <v>42758</v>
      </c>
      <c r="K1007" s="71">
        <v>43072</v>
      </c>
      <c r="L1007" s="69" t="s">
        <v>119</v>
      </c>
      <c r="M1007" s="69" t="s">
        <v>109</v>
      </c>
      <c r="N1007" s="72">
        <v>42862</v>
      </c>
      <c r="O1007" s="67"/>
      <c r="P1007" s="67" t="s">
        <v>95</v>
      </c>
      <c r="Q1007" s="67" t="s">
        <v>120</v>
      </c>
      <c r="R1007" s="69" t="s">
        <v>69</v>
      </c>
      <c r="S1007" s="69" t="s">
        <v>123</v>
      </c>
      <c r="T1007" s="67"/>
      <c r="U1007" s="67"/>
      <c r="V1007" s="72">
        <v>42794</v>
      </c>
      <c r="W1007" s="69">
        <v>2025747</v>
      </c>
      <c r="X1007" s="69"/>
      <c r="Y1007" s="123"/>
      <c r="Z1007" s="30">
        <f t="shared" si="30"/>
        <v>6763.7822038320437</v>
      </c>
      <c r="AA1007" s="30">
        <f t="shared" si="31"/>
        <v>2113.6819386975139</v>
      </c>
      <c r="AB1007" t="s">
        <v>456</v>
      </c>
    </row>
    <row r="1008" spans="1:28">
      <c r="A1008" s="67" t="s">
        <v>113</v>
      </c>
      <c r="B1008" s="68">
        <v>1218638</v>
      </c>
      <c r="C1008" s="69">
        <v>4615401202</v>
      </c>
      <c r="D1008" s="70">
        <v>19175</v>
      </c>
      <c r="E1008" s="79"/>
      <c r="F1008" s="73">
        <v>16</v>
      </c>
      <c r="G1008" s="73">
        <v>5</v>
      </c>
      <c r="H1008" s="68">
        <v>0</v>
      </c>
      <c r="I1008" s="68">
        <v>0</v>
      </c>
      <c r="J1008" s="71">
        <v>42764</v>
      </c>
      <c r="K1008" s="71">
        <v>43051</v>
      </c>
      <c r="L1008" s="69" t="s">
        <v>119</v>
      </c>
      <c r="M1008" s="69" t="s">
        <v>109</v>
      </c>
      <c r="N1008" s="72">
        <v>42862</v>
      </c>
      <c r="O1008" s="67"/>
      <c r="P1008" s="67" t="s">
        <v>95</v>
      </c>
      <c r="Q1008" s="67" t="s">
        <v>110</v>
      </c>
      <c r="R1008" s="69" t="s">
        <v>69</v>
      </c>
      <c r="S1008" s="69" t="s">
        <v>115</v>
      </c>
      <c r="T1008" s="67"/>
      <c r="U1008" s="67"/>
      <c r="V1008" s="72">
        <v>42794</v>
      </c>
      <c r="W1008" s="69" t="s">
        <v>142</v>
      </c>
      <c r="X1008" s="69"/>
      <c r="Y1008" s="123"/>
      <c r="Z1008" s="30">
        <f t="shared" si="30"/>
        <v>6763.7822038320437</v>
      </c>
      <c r="AA1008" s="30">
        <f t="shared" si="31"/>
        <v>2113.6819386975139</v>
      </c>
      <c r="AB1008" t="s">
        <v>456</v>
      </c>
    </row>
    <row r="1009" spans="1:28">
      <c r="A1009" s="67" t="s">
        <v>113</v>
      </c>
      <c r="B1009" s="68">
        <v>1218632</v>
      </c>
      <c r="C1009" s="69">
        <v>4615401202</v>
      </c>
      <c r="D1009" s="70">
        <v>19175</v>
      </c>
      <c r="E1009" s="79"/>
      <c r="F1009" s="73">
        <v>16</v>
      </c>
      <c r="G1009" s="73">
        <v>5</v>
      </c>
      <c r="H1009" s="68">
        <v>0</v>
      </c>
      <c r="I1009" s="68">
        <v>0</v>
      </c>
      <c r="J1009" s="71">
        <v>42764</v>
      </c>
      <c r="K1009" s="71">
        <v>43051</v>
      </c>
      <c r="L1009" s="69" t="s">
        <v>119</v>
      </c>
      <c r="M1009" s="69" t="s">
        <v>109</v>
      </c>
      <c r="N1009" s="72">
        <v>42862</v>
      </c>
      <c r="O1009" s="67"/>
      <c r="P1009" s="67" t="s">
        <v>95</v>
      </c>
      <c r="Q1009" s="67" t="s">
        <v>110</v>
      </c>
      <c r="R1009" s="69" t="s">
        <v>69</v>
      </c>
      <c r="S1009" s="69" t="s">
        <v>115</v>
      </c>
      <c r="T1009" s="67"/>
      <c r="U1009" s="67"/>
      <c r="V1009" s="72">
        <v>42794</v>
      </c>
      <c r="W1009" s="69" t="s">
        <v>142</v>
      </c>
      <c r="X1009" s="69"/>
      <c r="Y1009" s="123"/>
      <c r="Z1009" s="30">
        <f t="shared" si="30"/>
        <v>6763.7822038320437</v>
      </c>
      <c r="AA1009" s="30">
        <f t="shared" si="31"/>
        <v>2113.6819386975139</v>
      </c>
      <c r="AB1009" t="s">
        <v>456</v>
      </c>
    </row>
    <row r="1010" spans="1:28">
      <c r="A1010" s="67" t="s">
        <v>122</v>
      </c>
      <c r="B1010" s="68">
        <v>1180491</v>
      </c>
      <c r="C1010" s="69">
        <v>4615432018</v>
      </c>
      <c r="D1010" s="70">
        <v>19200</v>
      </c>
      <c r="E1010" s="79"/>
      <c r="F1010" s="68">
        <v>16</v>
      </c>
      <c r="G1010" s="68">
        <v>5</v>
      </c>
      <c r="H1010" s="68">
        <v>0</v>
      </c>
      <c r="I1010" s="68">
        <v>0</v>
      </c>
      <c r="J1010" s="71"/>
      <c r="K1010" s="71">
        <v>43114</v>
      </c>
      <c r="L1010" s="69" t="s">
        <v>80</v>
      </c>
      <c r="M1010" s="69" t="s">
        <v>109</v>
      </c>
      <c r="N1010" s="72">
        <v>42862</v>
      </c>
      <c r="O1010" s="67"/>
      <c r="P1010" s="67" t="s">
        <v>95</v>
      </c>
      <c r="Q1010" s="67" t="s">
        <v>120</v>
      </c>
      <c r="R1010" s="69" t="s">
        <v>69</v>
      </c>
      <c r="S1010" s="69" t="s">
        <v>123</v>
      </c>
      <c r="T1010" s="67"/>
      <c r="U1010" s="67"/>
      <c r="V1010" s="72">
        <v>42704</v>
      </c>
      <c r="W1010" s="69">
        <v>2027768</v>
      </c>
      <c r="X1010" s="69" t="s">
        <v>218</v>
      </c>
      <c r="Y1010" s="123"/>
      <c r="Z1010" s="30">
        <f t="shared" si="30"/>
        <v>6772.6006943194379</v>
      </c>
      <c r="AA1010" s="30">
        <f t="shared" si="31"/>
        <v>2116.4377169748245</v>
      </c>
      <c r="AB1010" t="s">
        <v>456</v>
      </c>
    </row>
    <row r="1011" spans="1:28">
      <c r="A1011" s="67" t="s">
        <v>113</v>
      </c>
      <c r="B1011" s="68">
        <v>1218637</v>
      </c>
      <c r="C1011" s="69">
        <v>4615401202</v>
      </c>
      <c r="D1011" s="70">
        <v>19175</v>
      </c>
      <c r="E1011" s="79"/>
      <c r="F1011" s="73">
        <v>16</v>
      </c>
      <c r="G1011" s="73">
        <v>5</v>
      </c>
      <c r="H1011" s="68">
        <v>0</v>
      </c>
      <c r="I1011" s="68">
        <v>0</v>
      </c>
      <c r="J1011" s="71">
        <v>42764</v>
      </c>
      <c r="K1011" s="71">
        <v>43090</v>
      </c>
      <c r="L1011" s="69" t="s">
        <v>119</v>
      </c>
      <c r="M1011" s="69" t="s">
        <v>109</v>
      </c>
      <c r="N1011" s="72">
        <v>42859</v>
      </c>
      <c r="O1011" s="67"/>
      <c r="P1011" s="67" t="s">
        <v>95</v>
      </c>
      <c r="Q1011" s="67" t="s">
        <v>110</v>
      </c>
      <c r="R1011" s="69" t="s">
        <v>69</v>
      </c>
      <c r="S1011" s="69" t="s">
        <v>115</v>
      </c>
      <c r="T1011" s="67"/>
      <c r="U1011" s="67"/>
      <c r="V1011" s="72">
        <v>42794</v>
      </c>
      <c r="W1011" s="69" t="s">
        <v>142</v>
      </c>
      <c r="X1011" s="69"/>
      <c r="Y1011" s="123"/>
      <c r="Z1011" s="30">
        <f t="shared" si="30"/>
        <v>6763.7822038320437</v>
      </c>
      <c r="AA1011" s="30">
        <f t="shared" si="31"/>
        <v>2113.6819386975139</v>
      </c>
      <c r="AB1011" t="s">
        <v>456</v>
      </c>
    </row>
    <row r="1012" spans="1:28">
      <c r="A1012" s="67" t="s">
        <v>113</v>
      </c>
      <c r="B1012" s="68">
        <v>1227502</v>
      </c>
      <c r="C1012" s="69">
        <v>4615412686</v>
      </c>
      <c r="D1012" s="70">
        <v>19200</v>
      </c>
      <c r="E1012" s="79"/>
      <c r="F1012" s="73">
        <v>16</v>
      </c>
      <c r="G1012" s="73">
        <v>5</v>
      </c>
      <c r="H1012" s="73">
        <v>0</v>
      </c>
      <c r="I1012" s="68">
        <v>0</v>
      </c>
      <c r="J1012" s="71">
        <v>42799</v>
      </c>
      <c r="K1012" s="71">
        <v>43090</v>
      </c>
      <c r="L1012" s="69" t="s">
        <v>108</v>
      </c>
      <c r="M1012" s="69" t="s">
        <v>109</v>
      </c>
      <c r="N1012" s="72">
        <v>42859</v>
      </c>
      <c r="O1012" s="67"/>
      <c r="P1012" s="67" t="s">
        <v>95</v>
      </c>
      <c r="Q1012" s="67" t="s">
        <v>110</v>
      </c>
      <c r="R1012" s="69" t="s">
        <v>69</v>
      </c>
      <c r="S1012" s="69" t="s">
        <v>115</v>
      </c>
      <c r="T1012" s="67"/>
      <c r="U1012" s="67"/>
      <c r="V1012" s="72">
        <v>42855</v>
      </c>
      <c r="W1012" s="69" t="s">
        <v>212</v>
      </c>
      <c r="X1012" s="69" t="s">
        <v>211</v>
      </c>
      <c r="Y1012" s="123"/>
      <c r="Z1012" s="30">
        <f t="shared" si="30"/>
        <v>6772.6006943194379</v>
      </c>
      <c r="AA1012" s="30">
        <f t="shared" si="31"/>
        <v>2116.4377169748245</v>
      </c>
      <c r="AB1012" t="s">
        <v>456</v>
      </c>
    </row>
    <row r="1013" spans="1:28">
      <c r="A1013" s="67" t="s">
        <v>122</v>
      </c>
      <c r="B1013" s="68">
        <v>1225785</v>
      </c>
      <c r="C1013" s="69">
        <v>4615410567</v>
      </c>
      <c r="D1013" s="70">
        <v>19200</v>
      </c>
      <c r="E1013" s="79"/>
      <c r="F1013" s="68">
        <v>16</v>
      </c>
      <c r="G1013" s="68">
        <v>5</v>
      </c>
      <c r="H1013" s="73">
        <v>0</v>
      </c>
      <c r="I1013" s="68">
        <v>0</v>
      </c>
      <c r="J1013" s="71">
        <v>42786</v>
      </c>
      <c r="K1013" s="71">
        <v>43080</v>
      </c>
      <c r="L1013" s="69" t="s">
        <v>108</v>
      </c>
      <c r="M1013" s="69" t="s">
        <v>109</v>
      </c>
      <c r="N1013" s="72">
        <v>42859</v>
      </c>
      <c r="O1013" s="67"/>
      <c r="P1013" s="67" t="s">
        <v>95</v>
      </c>
      <c r="Q1013" s="67" t="s">
        <v>120</v>
      </c>
      <c r="R1013" s="69" t="s">
        <v>69</v>
      </c>
      <c r="S1013" s="69" t="s">
        <v>123</v>
      </c>
      <c r="T1013" s="67"/>
      <c r="U1013" s="67"/>
      <c r="V1013" s="72">
        <v>42825</v>
      </c>
      <c r="W1013" s="69">
        <v>2025780</v>
      </c>
      <c r="X1013" s="69" t="s">
        <v>214</v>
      </c>
      <c r="Y1013" s="123"/>
      <c r="Z1013" s="30">
        <f t="shared" si="30"/>
        <v>6772.6006943194379</v>
      </c>
      <c r="AA1013" s="30">
        <f t="shared" si="31"/>
        <v>2116.4377169748245</v>
      </c>
      <c r="AB1013" t="s">
        <v>456</v>
      </c>
    </row>
    <row r="1014" spans="1:28">
      <c r="A1014" s="67" t="s">
        <v>122</v>
      </c>
      <c r="B1014" s="68">
        <v>1228035</v>
      </c>
      <c r="C1014" s="69">
        <v>4615411175</v>
      </c>
      <c r="D1014" s="70">
        <v>19175</v>
      </c>
      <c r="E1014" s="79"/>
      <c r="F1014" s="68">
        <v>16</v>
      </c>
      <c r="G1014" s="68">
        <v>5</v>
      </c>
      <c r="H1014" s="68">
        <v>0</v>
      </c>
      <c r="I1014" s="68">
        <v>0</v>
      </c>
      <c r="J1014" s="71">
        <v>42794</v>
      </c>
      <c r="K1014" s="71">
        <v>43080</v>
      </c>
      <c r="L1014" s="69" t="s">
        <v>108</v>
      </c>
      <c r="M1014" s="69" t="s">
        <v>109</v>
      </c>
      <c r="N1014" s="72">
        <v>42859</v>
      </c>
      <c r="O1014" s="67"/>
      <c r="P1014" s="67" t="s">
        <v>95</v>
      </c>
      <c r="Q1014" s="67" t="s">
        <v>120</v>
      </c>
      <c r="R1014" s="69" t="s">
        <v>69</v>
      </c>
      <c r="S1014" s="69" t="s">
        <v>123</v>
      </c>
      <c r="T1014" s="67"/>
      <c r="U1014" s="67"/>
      <c r="V1014" s="72">
        <v>42825</v>
      </c>
      <c r="W1014" s="69">
        <v>2025748</v>
      </c>
      <c r="X1014" s="69" t="s">
        <v>217</v>
      </c>
      <c r="Y1014" s="123"/>
      <c r="Z1014" s="30">
        <f t="shared" si="30"/>
        <v>6763.7822038320437</v>
      </c>
      <c r="AA1014" s="30">
        <f t="shared" si="31"/>
        <v>2113.6819386975139</v>
      </c>
      <c r="AB1014" t="s">
        <v>456</v>
      </c>
    </row>
    <row r="1015" spans="1:28">
      <c r="A1015" s="67" t="s">
        <v>122</v>
      </c>
      <c r="B1015" s="68">
        <v>1225054</v>
      </c>
      <c r="C1015" s="69">
        <v>4615410363</v>
      </c>
      <c r="D1015" s="70">
        <v>19200</v>
      </c>
      <c r="E1015" s="79"/>
      <c r="F1015" s="68">
        <v>16</v>
      </c>
      <c r="G1015" s="68">
        <v>5</v>
      </c>
      <c r="H1015" s="68">
        <v>0</v>
      </c>
      <c r="I1015" s="68">
        <v>0</v>
      </c>
      <c r="J1015" s="71">
        <v>42794</v>
      </c>
      <c r="K1015" s="71">
        <v>43069</v>
      </c>
      <c r="L1015" s="69" t="s">
        <v>108</v>
      </c>
      <c r="M1015" s="69" t="s">
        <v>109</v>
      </c>
      <c r="N1015" s="72">
        <v>42858</v>
      </c>
      <c r="O1015" s="67"/>
      <c r="P1015" s="67" t="s">
        <v>95</v>
      </c>
      <c r="Q1015" s="67" t="s">
        <v>120</v>
      </c>
      <c r="R1015" s="69" t="s">
        <v>69</v>
      </c>
      <c r="S1015" s="69" t="s">
        <v>123</v>
      </c>
      <c r="T1015" s="67"/>
      <c r="U1015" s="67"/>
      <c r="V1015" s="72">
        <v>42825</v>
      </c>
      <c r="W1015" s="69">
        <v>2025662</v>
      </c>
      <c r="X1015" s="69" t="s">
        <v>214</v>
      </c>
      <c r="Y1015" s="123"/>
      <c r="Z1015" s="30">
        <f t="shared" si="30"/>
        <v>6772.6006943194379</v>
      </c>
      <c r="AA1015" s="30">
        <f t="shared" si="31"/>
        <v>2116.4377169748245</v>
      </c>
      <c r="AB1015" t="s">
        <v>456</v>
      </c>
    </row>
    <row r="1016" spans="1:28">
      <c r="A1016" s="67" t="s">
        <v>122</v>
      </c>
      <c r="B1016" s="68">
        <v>1225056</v>
      </c>
      <c r="C1016" s="69">
        <v>4615410363</v>
      </c>
      <c r="D1016" s="70">
        <v>19200</v>
      </c>
      <c r="E1016" s="79"/>
      <c r="F1016" s="68">
        <v>16</v>
      </c>
      <c r="G1016" s="68">
        <v>5</v>
      </c>
      <c r="H1016" s="68">
        <v>0</v>
      </c>
      <c r="I1016" s="68">
        <v>0</v>
      </c>
      <c r="J1016" s="71">
        <v>42794</v>
      </c>
      <c r="K1016" s="71">
        <v>43110</v>
      </c>
      <c r="L1016" s="69" t="s">
        <v>108</v>
      </c>
      <c r="M1016" s="69" t="s">
        <v>109</v>
      </c>
      <c r="N1016" s="72">
        <v>42858</v>
      </c>
      <c r="O1016" s="67"/>
      <c r="P1016" s="67" t="s">
        <v>95</v>
      </c>
      <c r="Q1016" s="67" t="s">
        <v>120</v>
      </c>
      <c r="R1016" s="69" t="s">
        <v>69</v>
      </c>
      <c r="S1016" s="69" t="s">
        <v>123</v>
      </c>
      <c r="T1016" s="67"/>
      <c r="U1016" s="67"/>
      <c r="V1016" s="72">
        <v>42825</v>
      </c>
      <c r="W1016" s="69">
        <v>2025662</v>
      </c>
      <c r="X1016" s="69" t="s">
        <v>214</v>
      </c>
      <c r="Y1016" s="123"/>
      <c r="Z1016" s="30">
        <f t="shared" si="30"/>
        <v>6772.6006943194379</v>
      </c>
      <c r="AA1016" s="30">
        <f t="shared" si="31"/>
        <v>2116.4377169748245</v>
      </c>
      <c r="AB1016" t="s">
        <v>456</v>
      </c>
    </row>
    <row r="1017" spans="1:28">
      <c r="A1017" s="67" t="s">
        <v>122</v>
      </c>
      <c r="B1017" s="68">
        <v>1228034</v>
      </c>
      <c r="C1017" s="69">
        <v>4615411175</v>
      </c>
      <c r="D1017" s="70">
        <v>19175</v>
      </c>
      <c r="E1017" s="79"/>
      <c r="F1017" s="68">
        <v>16</v>
      </c>
      <c r="G1017" s="68">
        <v>5</v>
      </c>
      <c r="H1017" s="68">
        <v>0</v>
      </c>
      <c r="I1017" s="68">
        <v>0</v>
      </c>
      <c r="J1017" s="71">
        <v>42794</v>
      </c>
      <c r="K1017" s="71">
        <v>43071</v>
      </c>
      <c r="L1017" s="69" t="s">
        <v>108</v>
      </c>
      <c r="M1017" s="69" t="s">
        <v>109</v>
      </c>
      <c r="N1017" s="72">
        <v>42858</v>
      </c>
      <c r="O1017" s="67"/>
      <c r="P1017" s="67" t="s">
        <v>95</v>
      </c>
      <c r="Q1017" s="67" t="s">
        <v>120</v>
      </c>
      <c r="R1017" s="69" t="s">
        <v>69</v>
      </c>
      <c r="S1017" s="69" t="s">
        <v>123</v>
      </c>
      <c r="T1017" s="67"/>
      <c r="U1017" s="67"/>
      <c r="V1017" s="72">
        <v>42825</v>
      </c>
      <c r="W1017" s="69">
        <v>2025748</v>
      </c>
      <c r="X1017" s="69" t="s">
        <v>217</v>
      </c>
      <c r="Y1017" s="123"/>
      <c r="Z1017" s="30">
        <f t="shared" si="30"/>
        <v>6763.7822038320437</v>
      </c>
      <c r="AA1017" s="30">
        <f t="shared" si="31"/>
        <v>2113.6819386975139</v>
      </c>
      <c r="AB1017" t="s">
        <v>456</v>
      </c>
    </row>
    <row r="1018" spans="1:28">
      <c r="A1018" s="67" t="s">
        <v>136</v>
      </c>
      <c r="B1018" s="68">
        <v>1217621</v>
      </c>
      <c r="C1018" s="69">
        <v>4615388845</v>
      </c>
      <c r="D1018" s="70">
        <v>19175</v>
      </c>
      <c r="E1018" s="79"/>
      <c r="F1018" s="73">
        <v>10</v>
      </c>
      <c r="G1018" s="73" t="s">
        <v>114</v>
      </c>
      <c r="H1018" s="73">
        <v>0</v>
      </c>
      <c r="I1018" s="68">
        <v>0</v>
      </c>
      <c r="J1018" s="71">
        <v>42761</v>
      </c>
      <c r="K1018" s="71">
        <v>43071</v>
      </c>
      <c r="L1018" s="69" t="s">
        <v>137</v>
      </c>
      <c r="M1018" s="69" t="s">
        <v>109</v>
      </c>
      <c r="N1018" s="72">
        <v>42858</v>
      </c>
      <c r="O1018" s="67"/>
      <c r="P1018" s="67" t="s">
        <v>95</v>
      </c>
      <c r="Q1018" s="67" t="s">
        <v>129</v>
      </c>
      <c r="R1018" s="69" t="s">
        <v>69</v>
      </c>
      <c r="S1018" s="69" t="s">
        <v>138</v>
      </c>
      <c r="T1018" s="67"/>
      <c r="U1018" s="67"/>
      <c r="V1018" s="72">
        <v>42825</v>
      </c>
      <c r="W1018" s="69">
        <v>415570028</v>
      </c>
      <c r="X1018" s="69"/>
      <c r="Y1018" s="123"/>
      <c r="Z1018" s="30">
        <f t="shared" si="30"/>
        <v>4227.3638773950279</v>
      </c>
      <c r="AA1018" s="30">
        <f t="shared" si="31"/>
        <v>0</v>
      </c>
      <c r="AB1018" t="s">
        <v>456</v>
      </c>
    </row>
    <row r="1019" spans="1:28">
      <c r="A1019" s="67" t="s">
        <v>113</v>
      </c>
      <c r="B1019" s="68">
        <v>1218631</v>
      </c>
      <c r="C1019" s="69">
        <v>4615401202</v>
      </c>
      <c r="D1019" s="70">
        <v>19175</v>
      </c>
      <c r="E1019" s="79"/>
      <c r="F1019" s="73">
        <v>16</v>
      </c>
      <c r="G1019" s="73">
        <v>5</v>
      </c>
      <c r="H1019" s="68">
        <v>0</v>
      </c>
      <c r="I1019" s="68">
        <v>0</v>
      </c>
      <c r="J1019" s="71">
        <v>42764</v>
      </c>
      <c r="K1019" s="71">
        <v>43071</v>
      </c>
      <c r="L1019" s="69" t="s">
        <v>119</v>
      </c>
      <c r="M1019" s="69" t="s">
        <v>109</v>
      </c>
      <c r="N1019" s="72">
        <v>42858</v>
      </c>
      <c r="O1019" s="67"/>
      <c r="P1019" s="67" t="s">
        <v>95</v>
      </c>
      <c r="Q1019" s="67" t="s">
        <v>110</v>
      </c>
      <c r="R1019" s="69" t="s">
        <v>69</v>
      </c>
      <c r="S1019" s="69" t="s">
        <v>115</v>
      </c>
      <c r="T1019" s="67"/>
      <c r="U1019" s="67"/>
      <c r="V1019" s="72">
        <v>42794</v>
      </c>
      <c r="W1019" s="69" t="s">
        <v>142</v>
      </c>
      <c r="X1019" s="69"/>
      <c r="Y1019" s="123"/>
      <c r="Z1019" s="30">
        <f t="shared" si="30"/>
        <v>6763.7822038320437</v>
      </c>
      <c r="AA1019" s="30">
        <f t="shared" si="31"/>
        <v>2113.6819386975139</v>
      </c>
      <c r="AB1019" t="s">
        <v>456</v>
      </c>
    </row>
    <row r="1020" spans="1:28">
      <c r="A1020" s="67" t="s">
        <v>122</v>
      </c>
      <c r="B1020" s="68">
        <v>1225783</v>
      </c>
      <c r="C1020" s="69">
        <v>4615410567</v>
      </c>
      <c r="D1020" s="70">
        <v>19200</v>
      </c>
      <c r="E1020" s="79"/>
      <c r="F1020" s="68">
        <v>16</v>
      </c>
      <c r="G1020" s="68">
        <v>5</v>
      </c>
      <c r="H1020" s="73">
        <v>0</v>
      </c>
      <c r="I1020" s="68">
        <v>0</v>
      </c>
      <c r="J1020" s="71">
        <v>42786</v>
      </c>
      <c r="K1020" s="71">
        <v>43148</v>
      </c>
      <c r="L1020" s="69" t="s">
        <v>108</v>
      </c>
      <c r="M1020" s="69" t="s">
        <v>109</v>
      </c>
      <c r="N1020" s="72">
        <v>42857</v>
      </c>
      <c r="O1020" s="67"/>
      <c r="P1020" s="67" t="s">
        <v>95</v>
      </c>
      <c r="Q1020" s="67" t="s">
        <v>120</v>
      </c>
      <c r="R1020" s="69" t="s">
        <v>69</v>
      </c>
      <c r="S1020" s="69" t="s">
        <v>123</v>
      </c>
      <c r="T1020" s="67"/>
      <c r="U1020" s="67"/>
      <c r="V1020" s="72">
        <v>42825</v>
      </c>
      <c r="W1020" s="69">
        <v>2025780</v>
      </c>
      <c r="X1020" s="69" t="s">
        <v>214</v>
      </c>
      <c r="Y1020" s="123"/>
      <c r="Z1020" s="30">
        <f t="shared" si="30"/>
        <v>6772.6006943194379</v>
      </c>
      <c r="AA1020" s="30">
        <f t="shared" si="31"/>
        <v>2116.4377169748245</v>
      </c>
      <c r="AB1020" t="s">
        <v>456</v>
      </c>
    </row>
    <row r="1021" spans="1:28">
      <c r="A1021" s="67" t="s">
        <v>122</v>
      </c>
      <c r="B1021" s="68">
        <v>1219252</v>
      </c>
      <c r="C1021" s="69">
        <v>4615410391</v>
      </c>
      <c r="D1021" s="70">
        <v>19200</v>
      </c>
      <c r="E1021" s="79"/>
      <c r="F1021" s="73">
        <v>16</v>
      </c>
      <c r="G1021" s="73">
        <v>5</v>
      </c>
      <c r="H1021" s="68">
        <v>0</v>
      </c>
      <c r="I1021" s="68">
        <v>0</v>
      </c>
      <c r="J1021" s="71">
        <v>42765</v>
      </c>
      <c r="K1021" s="71">
        <v>43148</v>
      </c>
      <c r="L1021" s="69" t="s">
        <v>119</v>
      </c>
      <c r="M1021" s="69" t="s">
        <v>109</v>
      </c>
      <c r="N1021" s="72">
        <v>42857</v>
      </c>
      <c r="O1021" s="67"/>
      <c r="P1021" s="67" t="s">
        <v>95</v>
      </c>
      <c r="Q1021" s="67" t="s">
        <v>120</v>
      </c>
      <c r="R1021" s="69" t="s">
        <v>69</v>
      </c>
      <c r="S1021" s="69" t="s">
        <v>123</v>
      </c>
      <c r="T1021" s="67"/>
      <c r="U1021" s="67"/>
      <c r="V1021" s="72">
        <v>42766</v>
      </c>
      <c r="W1021" s="69">
        <v>2025778</v>
      </c>
      <c r="X1021" s="69"/>
      <c r="Y1021" s="123"/>
      <c r="Z1021" s="30">
        <f t="shared" si="30"/>
        <v>6772.6006943194379</v>
      </c>
      <c r="AA1021" s="30">
        <f t="shared" si="31"/>
        <v>2116.4377169748245</v>
      </c>
      <c r="AB1021" t="s">
        <v>456</v>
      </c>
    </row>
    <row r="1022" spans="1:28">
      <c r="A1022" s="67" t="s">
        <v>122</v>
      </c>
      <c r="B1022" s="68">
        <v>1208792</v>
      </c>
      <c r="C1022" s="69">
        <v>4615414570</v>
      </c>
      <c r="D1022" s="70">
        <v>19175</v>
      </c>
      <c r="E1022" s="79"/>
      <c r="F1022" s="73">
        <v>16</v>
      </c>
      <c r="G1022" s="73">
        <v>5</v>
      </c>
      <c r="H1022" s="68">
        <v>0</v>
      </c>
      <c r="I1022" s="68">
        <v>0</v>
      </c>
      <c r="J1022" s="71">
        <v>42760</v>
      </c>
      <c r="K1022" s="71">
        <v>43148</v>
      </c>
      <c r="L1022" s="69" t="s">
        <v>119</v>
      </c>
      <c r="M1022" s="69" t="s">
        <v>109</v>
      </c>
      <c r="N1022" s="72">
        <v>42857</v>
      </c>
      <c r="O1022" s="67"/>
      <c r="P1022" s="67" t="s">
        <v>95</v>
      </c>
      <c r="Q1022" s="67" t="s">
        <v>120</v>
      </c>
      <c r="R1022" s="69" t="s">
        <v>69</v>
      </c>
      <c r="S1022" s="69" t="s">
        <v>123</v>
      </c>
      <c r="T1022" s="67"/>
      <c r="U1022" s="67"/>
      <c r="V1022" s="72">
        <v>42735</v>
      </c>
      <c r="W1022" s="69">
        <v>2025745</v>
      </c>
      <c r="X1022" s="69"/>
      <c r="Y1022" s="123"/>
      <c r="Z1022" s="30">
        <f t="shared" si="30"/>
        <v>6763.7822038320437</v>
      </c>
      <c r="AA1022" s="30">
        <f t="shared" si="31"/>
        <v>2113.6819386975139</v>
      </c>
      <c r="AB1022" t="s">
        <v>456</v>
      </c>
    </row>
    <row r="1023" spans="1:28">
      <c r="A1023" s="67" t="s">
        <v>131</v>
      </c>
      <c r="B1023" s="68">
        <v>1225342</v>
      </c>
      <c r="C1023" s="69">
        <v>4615418629</v>
      </c>
      <c r="D1023" s="70">
        <v>19200</v>
      </c>
      <c r="E1023" s="79"/>
      <c r="F1023" s="75">
        <v>154.4</v>
      </c>
      <c r="G1023" s="75" t="s">
        <v>114</v>
      </c>
      <c r="H1023" s="68">
        <v>0</v>
      </c>
      <c r="I1023" s="68">
        <v>0</v>
      </c>
      <c r="J1023" s="71">
        <v>42799</v>
      </c>
      <c r="K1023" s="71">
        <v>43109</v>
      </c>
      <c r="L1023" s="69" t="s">
        <v>108</v>
      </c>
      <c r="M1023" s="69" t="s">
        <v>109</v>
      </c>
      <c r="N1023" s="72">
        <v>42856</v>
      </c>
      <c r="O1023" s="67"/>
      <c r="P1023" s="67" t="s">
        <v>95</v>
      </c>
      <c r="Q1023" s="67" t="s">
        <v>125</v>
      </c>
      <c r="R1023" s="69" t="s">
        <v>69</v>
      </c>
      <c r="S1023" s="69" t="s">
        <v>134</v>
      </c>
      <c r="T1023" s="67"/>
      <c r="U1023" s="67"/>
      <c r="V1023" s="72">
        <v>42855</v>
      </c>
      <c r="W1023" s="69" t="s">
        <v>216</v>
      </c>
      <c r="X1023" s="69"/>
      <c r="Y1023" s="123"/>
      <c r="Z1023" s="30">
        <f t="shared" si="30"/>
        <v>65355.596700182585</v>
      </c>
      <c r="AA1023" s="30">
        <f t="shared" si="31"/>
        <v>0</v>
      </c>
      <c r="AB1023" t="s">
        <v>456</v>
      </c>
    </row>
    <row r="1024" spans="1:28">
      <c r="A1024" s="67" t="s">
        <v>122</v>
      </c>
      <c r="B1024" s="68">
        <v>1225052</v>
      </c>
      <c r="C1024" s="69">
        <v>4615410363</v>
      </c>
      <c r="D1024" s="70">
        <v>19200</v>
      </c>
      <c r="E1024" s="79"/>
      <c r="F1024" s="68">
        <v>16</v>
      </c>
      <c r="G1024" s="68">
        <v>5</v>
      </c>
      <c r="H1024" s="68">
        <v>0</v>
      </c>
      <c r="I1024" s="68">
        <v>0</v>
      </c>
      <c r="J1024" s="71">
        <v>42794</v>
      </c>
      <c r="K1024" s="71">
        <v>43144</v>
      </c>
      <c r="L1024" s="69" t="s">
        <v>108</v>
      </c>
      <c r="M1024" s="69" t="s">
        <v>109</v>
      </c>
      <c r="N1024" s="72">
        <v>42856</v>
      </c>
      <c r="O1024" s="67"/>
      <c r="P1024" s="67" t="s">
        <v>95</v>
      </c>
      <c r="Q1024" s="67" t="s">
        <v>120</v>
      </c>
      <c r="R1024" s="69" t="s">
        <v>69</v>
      </c>
      <c r="S1024" s="69" t="s">
        <v>123</v>
      </c>
      <c r="T1024" s="67"/>
      <c r="U1024" s="67"/>
      <c r="V1024" s="72">
        <v>42825</v>
      </c>
      <c r="W1024" s="69">
        <v>2025662</v>
      </c>
      <c r="X1024" s="69" t="s">
        <v>214</v>
      </c>
      <c r="Y1024" s="123"/>
      <c r="Z1024" s="30">
        <f t="shared" si="30"/>
        <v>6772.6006943194379</v>
      </c>
      <c r="AA1024" s="30">
        <f t="shared" si="31"/>
        <v>2116.4377169748245</v>
      </c>
      <c r="AB1024" t="s">
        <v>456</v>
      </c>
    </row>
    <row r="1025" spans="1:28">
      <c r="A1025" s="67" t="s">
        <v>131</v>
      </c>
      <c r="B1025" s="68">
        <v>1225339</v>
      </c>
      <c r="C1025" s="69">
        <v>4615418629</v>
      </c>
      <c r="D1025" s="70">
        <v>19200</v>
      </c>
      <c r="E1025" s="79"/>
      <c r="F1025" s="75">
        <v>154.4</v>
      </c>
      <c r="G1025" s="75" t="s">
        <v>114</v>
      </c>
      <c r="H1025" s="68">
        <v>0</v>
      </c>
      <c r="I1025" s="68">
        <v>0</v>
      </c>
      <c r="J1025" s="71">
        <v>42799</v>
      </c>
      <c r="K1025" s="71">
        <v>43123</v>
      </c>
      <c r="L1025" s="69" t="s">
        <v>108</v>
      </c>
      <c r="M1025" s="69" t="s">
        <v>109</v>
      </c>
      <c r="N1025" s="72">
        <v>42855</v>
      </c>
      <c r="O1025" s="67"/>
      <c r="P1025" s="67" t="s">
        <v>95</v>
      </c>
      <c r="Q1025" s="67" t="s">
        <v>125</v>
      </c>
      <c r="R1025" s="69" t="s">
        <v>69</v>
      </c>
      <c r="S1025" s="69" t="s">
        <v>134</v>
      </c>
      <c r="T1025" s="67"/>
      <c r="U1025" s="67"/>
      <c r="V1025" s="72">
        <v>42855</v>
      </c>
      <c r="W1025" s="69" t="s">
        <v>216</v>
      </c>
      <c r="X1025" s="69"/>
      <c r="Y1025" s="123"/>
      <c r="Z1025" s="30">
        <f t="shared" si="30"/>
        <v>65355.596700182585</v>
      </c>
      <c r="AA1025" s="30">
        <f t="shared" si="31"/>
        <v>0</v>
      </c>
      <c r="AB1025" t="s">
        <v>456</v>
      </c>
    </row>
    <row r="1026" spans="1:28">
      <c r="A1026" s="67" t="s">
        <v>122</v>
      </c>
      <c r="B1026" s="68">
        <v>1228033</v>
      </c>
      <c r="C1026" s="69">
        <v>4615411175</v>
      </c>
      <c r="D1026" s="70">
        <v>19175</v>
      </c>
      <c r="E1026" s="79"/>
      <c r="F1026" s="68">
        <v>16</v>
      </c>
      <c r="G1026" s="68">
        <v>5</v>
      </c>
      <c r="H1026" s="73">
        <v>0</v>
      </c>
      <c r="I1026" s="68">
        <v>0</v>
      </c>
      <c r="J1026" s="71">
        <v>42794</v>
      </c>
      <c r="K1026" s="71">
        <v>43097</v>
      </c>
      <c r="L1026" s="69" t="s">
        <v>108</v>
      </c>
      <c r="M1026" s="69" t="s">
        <v>109</v>
      </c>
      <c r="N1026" s="72">
        <v>42855</v>
      </c>
      <c r="O1026" s="67"/>
      <c r="P1026" s="67" t="s">
        <v>95</v>
      </c>
      <c r="Q1026" s="67" t="s">
        <v>120</v>
      </c>
      <c r="R1026" s="69" t="s">
        <v>69</v>
      </c>
      <c r="S1026" s="69" t="s">
        <v>123</v>
      </c>
      <c r="T1026" s="67"/>
      <c r="U1026" s="67"/>
      <c r="V1026" s="72">
        <v>42825</v>
      </c>
      <c r="W1026" s="69">
        <v>2025748</v>
      </c>
      <c r="X1026" s="69" t="s">
        <v>217</v>
      </c>
      <c r="Y1026" s="123"/>
      <c r="Z1026" s="30">
        <f t="shared" si="30"/>
        <v>6763.7822038320437</v>
      </c>
      <c r="AA1026" s="30">
        <f t="shared" si="31"/>
        <v>2113.6819386975139</v>
      </c>
      <c r="AB1026" t="s">
        <v>456</v>
      </c>
    </row>
    <row r="1027" spans="1:28">
      <c r="A1027" s="67" t="s">
        <v>122</v>
      </c>
      <c r="B1027" s="68">
        <v>1225779</v>
      </c>
      <c r="C1027" s="69">
        <v>4615410567</v>
      </c>
      <c r="D1027" s="70">
        <v>19200</v>
      </c>
      <c r="E1027" s="79"/>
      <c r="F1027" s="68">
        <v>16</v>
      </c>
      <c r="G1027" s="68">
        <v>5</v>
      </c>
      <c r="H1027" s="73">
        <v>0</v>
      </c>
      <c r="I1027" s="68">
        <v>0</v>
      </c>
      <c r="J1027" s="71">
        <v>42786</v>
      </c>
      <c r="K1027" s="71">
        <v>43097</v>
      </c>
      <c r="L1027" s="69" t="s">
        <v>108</v>
      </c>
      <c r="M1027" s="69" t="s">
        <v>109</v>
      </c>
      <c r="N1027" s="72">
        <v>42855</v>
      </c>
      <c r="O1027" s="67"/>
      <c r="P1027" s="67" t="s">
        <v>95</v>
      </c>
      <c r="Q1027" s="67" t="s">
        <v>120</v>
      </c>
      <c r="R1027" s="69" t="s">
        <v>69</v>
      </c>
      <c r="S1027" s="69" t="s">
        <v>123</v>
      </c>
      <c r="T1027" s="67"/>
      <c r="U1027" s="67"/>
      <c r="V1027" s="72">
        <v>42825</v>
      </c>
      <c r="W1027" s="69">
        <v>2025780</v>
      </c>
      <c r="X1027" s="69" t="s">
        <v>214</v>
      </c>
      <c r="Y1027" s="123"/>
      <c r="Z1027" s="30">
        <f t="shared" ref="Z1027:Z1090" si="32">CONVERT(D1027,"kg","lbm")*F1027/100</f>
        <v>6772.6006943194379</v>
      </c>
      <c r="AA1027" s="30">
        <f t="shared" ref="AA1027:AA1090" si="33">CONVERT(D1027,"kg","lbm")*G1027/100</f>
        <v>2116.4377169748245</v>
      </c>
      <c r="AB1027" t="s">
        <v>456</v>
      </c>
    </row>
    <row r="1028" spans="1:28">
      <c r="A1028" s="67" t="s">
        <v>122</v>
      </c>
      <c r="B1028" s="68">
        <v>1225780</v>
      </c>
      <c r="C1028" s="69">
        <v>4615410567</v>
      </c>
      <c r="D1028" s="70">
        <v>19200</v>
      </c>
      <c r="E1028" s="79"/>
      <c r="F1028" s="68">
        <v>16</v>
      </c>
      <c r="G1028" s="68">
        <v>5</v>
      </c>
      <c r="H1028" s="73">
        <v>0</v>
      </c>
      <c r="I1028" s="68">
        <v>0</v>
      </c>
      <c r="J1028" s="71">
        <v>42786</v>
      </c>
      <c r="K1028" s="71">
        <v>43097</v>
      </c>
      <c r="L1028" s="69" t="s">
        <v>108</v>
      </c>
      <c r="M1028" s="69" t="s">
        <v>109</v>
      </c>
      <c r="N1028" s="72">
        <v>42855</v>
      </c>
      <c r="O1028" s="67"/>
      <c r="P1028" s="67" t="s">
        <v>95</v>
      </c>
      <c r="Q1028" s="67" t="s">
        <v>120</v>
      </c>
      <c r="R1028" s="69" t="s">
        <v>69</v>
      </c>
      <c r="S1028" s="69" t="s">
        <v>123</v>
      </c>
      <c r="T1028" s="67"/>
      <c r="U1028" s="67"/>
      <c r="V1028" s="72">
        <v>42825</v>
      </c>
      <c r="W1028" s="69">
        <v>2025780</v>
      </c>
      <c r="X1028" s="69" t="s">
        <v>214</v>
      </c>
      <c r="Y1028" s="123"/>
      <c r="Z1028" s="30">
        <f t="shared" si="32"/>
        <v>6772.6006943194379</v>
      </c>
      <c r="AA1028" s="30">
        <f t="shared" si="33"/>
        <v>2116.4377169748245</v>
      </c>
      <c r="AB1028" t="s">
        <v>456</v>
      </c>
    </row>
    <row r="1029" spans="1:28">
      <c r="A1029" s="67" t="s">
        <v>122</v>
      </c>
      <c r="B1029" s="68">
        <v>1225787</v>
      </c>
      <c r="C1029" s="69">
        <v>4615410567</v>
      </c>
      <c r="D1029" s="70">
        <v>19200</v>
      </c>
      <c r="E1029" s="79"/>
      <c r="F1029" s="68">
        <v>16</v>
      </c>
      <c r="G1029" s="68">
        <v>5</v>
      </c>
      <c r="H1029" s="73">
        <v>0</v>
      </c>
      <c r="I1029" s="68">
        <v>0</v>
      </c>
      <c r="J1029" s="71">
        <v>42786</v>
      </c>
      <c r="K1029" s="71">
        <v>43097</v>
      </c>
      <c r="L1029" s="69" t="s">
        <v>108</v>
      </c>
      <c r="M1029" s="69" t="s">
        <v>109</v>
      </c>
      <c r="N1029" s="72">
        <v>42855</v>
      </c>
      <c r="O1029" s="67"/>
      <c r="P1029" s="67" t="s">
        <v>95</v>
      </c>
      <c r="Q1029" s="67" t="s">
        <v>120</v>
      </c>
      <c r="R1029" s="69" t="s">
        <v>69</v>
      </c>
      <c r="S1029" s="69" t="s">
        <v>123</v>
      </c>
      <c r="T1029" s="67"/>
      <c r="U1029" s="67"/>
      <c r="V1029" s="72">
        <v>42825</v>
      </c>
      <c r="W1029" s="69">
        <v>2025780</v>
      </c>
      <c r="X1029" s="69" t="s">
        <v>214</v>
      </c>
      <c r="Y1029" s="123"/>
      <c r="Z1029" s="30">
        <f t="shared" si="32"/>
        <v>6772.6006943194379</v>
      </c>
      <c r="AA1029" s="30">
        <f t="shared" si="33"/>
        <v>2116.4377169748245</v>
      </c>
      <c r="AB1029" t="s">
        <v>456</v>
      </c>
    </row>
    <row r="1030" spans="1:28">
      <c r="A1030" s="67" t="s">
        <v>122</v>
      </c>
      <c r="B1030" s="68">
        <v>1225057</v>
      </c>
      <c r="C1030" s="69">
        <v>4615410363</v>
      </c>
      <c r="D1030" s="70">
        <v>19200</v>
      </c>
      <c r="E1030" s="79"/>
      <c r="F1030" s="68">
        <v>16</v>
      </c>
      <c r="G1030" s="68">
        <v>5</v>
      </c>
      <c r="H1030" s="68">
        <v>0</v>
      </c>
      <c r="I1030" s="68">
        <v>0</v>
      </c>
      <c r="J1030" s="71">
        <v>42794</v>
      </c>
      <c r="K1030" s="71">
        <v>43097</v>
      </c>
      <c r="L1030" s="69" t="s">
        <v>108</v>
      </c>
      <c r="M1030" s="69" t="s">
        <v>109</v>
      </c>
      <c r="N1030" s="72">
        <v>42855</v>
      </c>
      <c r="O1030" s="67"/>
      <c r="P1030" s="67" t="s">
        <v>95</v>
      </c>
      <c r="Q1030" s="67" t="s">
        <v>120</v>
      </c>
      <c r="R1030" s="69" t="s">
        <v>69</v>
      </c>
      <c r="S1030" s="69" t="s">
        <v>123</v>
      </c>
      <c r="T1030" s="67"/>
      <c r="U1030" s="67"/>
      <c r="V1030" s="72">
        <v>42825</v>
      </c>
      <c r="W1030" s="69">
        <v>2025662</v>
      </c>
      <c r="X1030" s="69" t="s">
        <v>214</v>
      </c>
      <c r="Y1030" s="123"/>
      <c r="Z1030" s="30">
        <f t="shared" si="32"/>
        <v>6772.6006943194379</v>
      </c>
      <c r="AA1030" s="30">
        <f t="shared" si="33"/>
        <v>2116.4377169748245</v>
      </c>
      <c r="AB1030" t="s">
        <v>456</v>
      </c>
    </row>
    <row r="1031" spans="1:28">
      <c r="A1031" s="67" t="s">
        <v>122</v>
      </c>
      <c r="B1031" s="68">
        <v>1225058</v>
      </c>
      <c r="C1031" s="69">
        <v>4615410363</v>
      </c>
      <c r="D1031" s="70">
        <v>19200</v>
      </c>
      <c r="E1031" s="80"/>
      <c r="F1031" s="68">
        <v>16</v>
      </c>
      <c r="G1031" s="68">
        <v>5</v>
      </c>
      <c r="H1031" s="68">
        <v>0</v>
      </c>
      <c r="I1031" s="68">
        <v>0</v>
      </c>
      <c r="J1031" s="71">
        <v>42794</v>
      </c>
      <c r="K1031" s="71">
        <v>43097</v>
      </c>
      <c r="L1031" s="69" t="s">
        <v>108</v>
      </c>
      <c r="M1031" s="69" t="s">
        <v>109</v>
      </c>
      <c r="N1031" s="72">
        <v>42855</v>
      </c>
      <c r="O1031" s="67"/>
      <c r="P1031" s="67" t="s">
        <v>95</v>
      </c>
      <c r="Q1031" s="67" t="s">
        <v>120</v>
      </c>
      <c r="R1031" s="69" t="s">
        <v>69</v>
      </c>
      <c r="S1031" s="69" t="s">
        <v>123</v>
      </c>
      <c r="T1031" s="67"/>
      <c r="U1031" s="67"/>
      <c r="V1031" s="72">
        <v>42825</v>
      </c>
      <c r="W1031" s="69">
        <v>2025662</v>
      </c>
      <c r="X1031" s="69" t="s">
        <v>214</v>
      </c>
      <c r="Y1031" s="123"/>
      <c r="Z1031" s="30">
        <f t="shared" si="32"/>
        <v>6772.6006943194379</v>
      </c>
      <c r="AA1031" s="30">
        <f t="shared" si="33"/>
        <v>2116.4377169748245</v>
      </c>
      <c r="AB1031" t="s">
        <v>456</v>
      </c>
    </row>
    <row r="1032" spans="1:28">
      <c r="A1032" s="67" t="s">
        <v>122</v>
      </c>
      <c r="B1032" s="68">
        <v>1225060</v>
      </c>
      <c r="C1032" s="69">
        <v>4615410363</v>
      </c>
      <c r="D1032" s="70">
        <v>19200</v>
      </c>
      <c r="E1032" s="80"/>
      <c r="F1032" s="68">
        <v>16</v>
      </c>
      <c r="G1032" s="68">
        <v>5</v>
      </c>
      <c r="H1032" s="68">
        <v>0</v>
      </c>
      <c r="I1032" s="68">
        <v>0</v>
      </c>
      <c r="J1032" s="71">
        <v>42794</v>
      </c>
      <c r="K1032" s="71">
        <v>43097</v>
      </c>
      <c r="L1032" s="69" t="s">
        <v>108</v>
      </c>
      <c r="M1032" s="69" t="s">
        <v>109</v>
      </c>
      <c r="N1032" s="72">
        <v>42855</v>
      </c>
      <c r="O1032" s="67"/>
      <c r="P1032" s="67" t="s">
        <v>95</v>
      </c>
      <c r="Q1032" s="67" t="s">
        <v>120</v>
      </c>
      <c r="R1032" s="69" t="s">
        <v>69</v>
      </c>
      <c r="S1032" s="69" t="s">
        <v>123</v>
      </c>
      <c r="T1032" s="67"/>
      <c r="U1032" s="67"/>
      <c r="V1032" s="72">
        <v>42825</v>
      </c>
      <c r="W1032" s="69">
        <v>2025662</v>
      </c>
      <c r="X1032" s="69" t="s">
        <v>214</v>
      </c>
      <c r="Y1032" s="123"/>
      <c r="Z1032" s="30">
        <f t="shared" si="32"/>
        <v>6772.6006943194379</v>
      </c>
      <c r="AA1032" s="30">
        <f t="shared" si="33"/>
        <v>2116.4377169748245</v>
      </c>
      <c r="AB1032" t="s">
        <v>456</v>
      </c>
    </row>
    <row r="1033" spans="1:28">
      <c r="A1033" s="67" t="s">
        <v>113</v>
      </c>
      <c r="B1033" s="68">
        <v>1221149</v>
      </c>
      <c r="C1033" s="69">
        <v>4615416491</v>
      </c>
      <c r="D1033" s="70">
        <v>19200</v>
      </c>
      <c r="E1033" s="80"/>
      <c r="F1033" s="73">
        <v>16</v>
      </c>
      <c r="G1033" s="73">
        <v>5</v>
      </c>
      <c r="H1033" s="73">
        <v>0</v>
      </c>
      <c r="I1033" s="68">
        <v>0</v>
      </c>
      <c r="J1033" s="71">
        <v>42779</v>
      </c>
      <c r="K1033" s="71">
        <v>43097</v>
      </c>
      <c r="L1033" s="69" t="s">
        <v>108</v>
      </c>
      <c r="M1033" s="69" t="s">
        <v>109</v>
      </c>
      <c r="N1033" s="72">
        <v>42855</v>
      </c>
      <c r="O1033" s="67"/>
      <c r="P1033" s="67" t="s">
        <v>95</v>
      </c>
      <c r="Q1033" s="67" t="s">
        <v>110</v>
      </c>
      <c r="R1033" s="69" t="s">
        <v>69</v>
      </c>
      <c r="S1033" s="69" t="s">
        <v>115</v>
      </c>
      <c r="T1033" s="67"/>
      <c r="U1033" s="67"/>
      <c r="V1033" s="72">
        <v>42825</v>
      </c>
      <c r="W1033" s="69" t="s">
        <v>219</v>
      </c>
      <c r="X1033" s="69"/>
      <c r="Y1033" s="123"/>
      <c r="Z1033" s="30">
        <f t="shared" si="32"/>
        <v>6772.6006943194379</v>
      </c>
      <c r="AA1033" s="30">
        <f t="shared" si="33"/>
        <v>2116.4377169748245</v>
      </c>
      <c r="AB1033" t="s">
        <v>456</v>
      </c>
    </row>
    <row r="1034" spans="1:28">
      <c r="A1034" s="67" t="s">
        <v>136</v>
      </c>
      <c r="B1034" s="68">
        <v>1217619</v>
      </c>
      <c r="C1034" s="69">
        <v>4615388845</v>
      </c>
      <c r="D1034" s="70">
        <v>19175</v>
      </c>
      <c r="E1034" s="80"/>
      <c r="F1034" s="73">
        <v>10</v>
      </c>
      <c r="G1034" s="73" t="s">
        <v>114</v>
      </c>
      <c r="H1034" s="73">
        <v>0</v>
      </c>
      <c r="I1034" s="68">
        <v>0</v>
      </c>
      <c r="J1034" s="71">
        <v>42761</v>
      </c>
      <c r="K1034" s="71">
        <v>43118</v>
      </c>
      <c r="L1034" s="69" t="s">
        <v>137</v>
      </c>
      <c r="M1034" s="69" t="s">
        <v>109</v>
      </c>
      <c r="N1034" s="72">
        <v>42855</v>
      </c>
      <c r="O1034" s="67"/>
      <c r="P1034" s="67" t="s">
        <v>95</v>
      </c>
      <c r="Q1034" s="67" t="s">
        <v>129</v>
      </c>
      <c r="R1034" s="69" t="s">
        <v>69</v>
      </c>
      <c r="S1034" s="69" t="s">
        <v>138</v>
      </c>
      <c r="T1034" s="67"/>
      <c r="U1034" s="67"/>
      <c r="V1034" s="72">
        <v>42825</v>
      </c>
      <c r="W1034" s="69">
        <v>415570028</v>
      </c>
      <c r="X1034" s="69"/>
      <c r="Y1034" s="123"/>
      <c r="Z1034" s="30">
        <f t="shared" si="32"/>
        <v>4227.3638773950279</v>
      </c>
      <c r="AA1034" s="30">
        <f t="shared" si="33"/>
        <v>0</v>
      </c>
      <c r="AB1034" t="s">
        <v>456</v>
      </c>
    </row>
    <row r="1035" spans="1:28">
      <c r="A1035" s="67" t="s">
        <v>113</v>
      </c>
      <c r="B1035" s="68">
        <v>1218629</v>
      </c>
      <c r="C1035" s="69">
        <v>4615401202</v>
      </c>
      <c r="D1035" s="70">
        <v>19175</v>
      </c>
      <c r="E1035" s="80"/>
      <c r="F1035" s="73">
        <v>16</v>
      </c>
      <c r="G1035" s="73">
        <v>5</v>
      </c>
      <c r="H1035" s="68">
        <v>0</v>
      </c>
      <c r="I1035" s="68">
        <v>0</v>
      </c>
      <c r="J1035" s="71">
        <v>42764</v>
      </c>
      <c r="K1035" s="71">
        <v>43118</v>
      </c>
      <c r="L1035" s="69" t="s">
        <v>119</v>
      </c>
      <c r="M1035" s="69" t="s">
        <v>109</v>
      </c>
      <c r="N1035" s="72">
        <v>42855</v>
      </c>
      <c r="O1035" s="67"/>
      <c r="P1035" s="67" t="s">
        <v>95</v>
      </c>
      <c r="Q1035" s="67" t="s">
        <v>110</v>
      </c>
      <c r="R1035" s="69" t="s">
        <v>69</v>
      </c>
      <c r="S1035" s="69" t="s">
        <v>115</v>
      </c>
      <c r="T1035" s="67"/>
      <c r="U1035" s="67"/>
      <c r="V1035" s="72">
        <v>42794</v>
      </c>
      <c r="W1035" s="69" t="s">
        <v>142</v>
      </c>
      <c r="X1035" s="69"/>
      <c r="Y1035" s="123"/>
      <c r="Z1035" s="30">
        <f t="shared" si="32"/>
        <v>6763.7822038320437</v>
      </c>
      <c r="AA1035" s="30">
        <f t="shared" si="33"/>
        <v>2113.6819386975139</v>
      </c>
      <c r="AB1035" t="s">
        <v>456</v>
      </c>
    </row>
    <row r="1036" spans="1:28">
      <c r="A1036" s="67" t="s">
        <v>122</v>
      </c>
      <c r="B1036" s="68">
        <v>1215886</v>
      </c>
      <c r="C1036" s="69">
        <v>4615410391</v>
      </c>
      <c r="D1036" s="70">
        <v>19200</v>
      </c>
      <c r="E1036" s="80"/>
      <c r="F1036" s="73">
        <v>16</v>
      </c>
      <c r="G1036" s="73">
        <v>5</v>
      </c>
      <c r="H1036" s="68">
        <v>0</v>
      </c>
      <c r="I1036" s="68">
        <v>0</v>
      </c>
      <c r="J1036" s="71">
        <v>42765</v>
      </c>
      <c r="K1036" s="71">
        <v>43118</v>
      </c>
      <c r="L1036" s="69" t="s">
        <v>119</v>
      </c>
      <c r="M1036" s="69" t="s">
        <v>109</v>
      </c>
      <c r="N1036" s="72">
        <v>42855</v>
      </c>
      <c r="O1036" s="67"/>
      <c r="P1036" s="67" t="s">
        <v>95</v>
      </c>
      <c r="Q1036" s="67" t="s">
        <v>120</v>
      </c>
      <c r="R1036" s="69" t="s">
        <v>69</v>
      </c>
      <c r="S1036" s="69" t="s">
        <v>123</v>
      </c>
      <c r="T1036" s="67"/>
      <c r="U1036" s="67"/>
      <c r="V1036" s="72">
        <v>42766</v>
      </c>
      <c r="W1036" s="69">
        <v>2025778</v>
      </c>
      <c r="X1036" s="69"/>
      <c r="Y1036" s="123"/>
      <c r="Z1036" s="30">
        <f t="shared" si="32"/>
        <v>6772.6006943194379</v>
      </c>
      <c r="AA1036" s="30">
        <f t="shared" si="33"/>
        <v>2116.4377169748245</v>
      </c>
      <c r="AB1036" t="s">
        <v>456</v>
      </c>
    </row>
    <row r="1037" spans="1:28">
      <c r="A1037" s="67" t="s">
        <v>122</v>
      </c>
      <c r="B1037" s="68">
        <v>1225789</v>
      </c>
      <c r="C1037" s="69">
        <v>4615410567</v>
      </c>
      <c r="D1037" s="70">
        <v>19200</v>
      </c>
      <c r="E1037" s="80"/>
      <c r="F1037" s="68">
        <v>16</v>
      </c>
      <c r="G1037" s="68">
        <v>5</v>
      </c>
      <c r="H1037" s="73">
        <v>0</v>
      </c>
      <c r="I1037" s="68">
        <v>0</v>
      </c>
      <c r="J1037" s="71">
        <v>42786</v>
      </c>
      <c r="K1037" s="71">
        <v>43088</v>
      </c>
      <c r="L1037" s="69" t="s">
        <v>108</v>
      </c>
      <c r="M1037" s="69" t="s">
        <v>109</v>
      </c>
      <c r="N1037" s="83">
        <v>42852</v>
      </c>
      <c r="O1037" s="67"/>
      <c r="P1037" s="67" t="s">
        <v>95</v>
      </c>
      <c r="Q1037" s="67" t="s">
        <v>120</v>
      </c>
      <c r="R1037" s="69" t="s">
        <v>69</v>
      </c>
      <c r="S1037" s="69" t="s">
        <v>123</v>
      </c>
      <c r="T1037" s="67"/>
      <c r="U1037" s="67"/>
      <c r="V1037" s="72">
        <v>42825</v>
      </c>
      <c r="W1037" s="69">
        <v>2025780</v>
      </c>
      <c r="X1037" s="69" t="s">
        <v>214</v>
      </c>
      <c r="Y1037" s="123"/>
      <c r="Z1037" s="30">
        <f t="shared" si="32"/>
        <v>6772.6006943194379</v>
      </c>
      <c r="AA1037" s="30">
        <f t="shared" si="33"/>
        <v>2116.4377169748245</v>
      </c>
      <c r="AB1037" t="s">
        <v>456</v>
      </c>
    </row>
    <row r="1038" spans="1:28">
      <c r="A1038" s="67" t="s">
        <v>122</v>
      </c>
      <c r="B1038" s="68">
        <v>1225053</v>
      </c>
      <c r="C1038" s="69">
        <v>4615410363</v>
      </c>
      <c r="D1038" s="70">
        <v>19200</v>
      </c>
      <c r="E1038" s="80"/>
      <c r="F1038" s="68">
        <v>16</v>
      </c>
      <c r="G1038" s="68">
        <v>5</v>
      </c>
      <c r="H1038" s="68">
        <v>0</v>
      </c>
      <c r="I1038" s="68">
        <v>0</v>
      </c>
      <c r="J1038" s="71">
        <v>42794</v>
      </c>
      <c r="K1038" s="71">
        <v>43081</v>
      </c>
      <c r="L1038" s="69" t="s">
        <v>108</v>
      </c>
      <c r="M1038" s="69" t="s">
        <v>109</v>
      </c>
      <c r="N1038" s="83">
        <v>42852</v>
      </c>
      <c r="O1038" s="67"/>
      <c r="P1038" s="67" t="s">
        <v>95</v>
      </c>
      <c r="Q1038" s="67" t="s">
        <v>120</v>
      </c>
      <c r="R1038" s="69" t="s">
        <v>69</v>
      </c>
      <c r="S1038" s="69" t="s">
        <v>123</v>
      </c>
      <c r="T1038" s="67"/>
      <c r="U1038" s="67"/>
      <c r="V1038" s="72">
        <v>42825</v>
      </c>
      <c r="W1038" s="69">
        <v>2025662</v>
      </c>
      <c r="X1038" s="69" t="s">
        <v>214</v>
      </c>
      <c r="Y1038" s="123"/>
      <c r="Z1038" s="30">
        <f t="shared" si="32"/>
        <v>6772.6006943194379</v>
      </c>
      <c r="AA1038" s="30">
        <f t="shared" si="33"/>
        <v>2116.4377169748245</v>
      </c>
      <c r="AB1038" t="s">
        <v>456</v>
      </c>
    </row>
    <row r="1039" spans="1:28">
      <c r="A1039" s="67" t="s">
        <v>122</v>
      </c>
      <c r="B1039" s="68">
        <v>1221645</v>
      </c>
      <c r="C1039" s="69">
        <v>4615394135</v>
      </c>
      <c r="D1039" s="70">
        <v>19200</v>
      </c>
      <c r="E1039" s="80"/>
      <c r="F1039" s="73">
        <v>16</v>
      </c>
      <c r="G1039" s="73">
        <v>5</v>
      </c>
      <c r="H1039" s="68">
        <v>0</v>
      </c>
      <c r="I1039" s="68">
        <v>0</v>
      </c>
      <c r="J1039" s="71">
        <v>42772</v>
      </c>
      <c r="K1039" s="71">
        <v>43088</v>
      </c>
      <c r="L1039" s="69" t="s">
        <v>108</v>
      </c>
      <c r="M1039" s="69" t="s">
        <v>109</v>
      </c>
      <c r="N1039" s="83">
        <v>42852</v>
      </c>
      <c r="O1039" s="67"/>
      <c r="P1039" s="67" t="s">
        <v>95</v>
      </c>
      <c r="Q1039" s="67" t="s">
        <v>120</v>
      </c>
      <c r="R1039" s="69" t="s">
        <v>69</v>
      </c>
      <c r="S1039" s="69" t="s">
        <v>123</v>
      </c>
      <c r="T1039" s="67"/>
      <c r="U1039" s="67"/>
      <c r="V1039" s="72">
        <v>42794</v>
      </c>
      <c r="W1039" s="69">
        <v>2025762</v>
      </c>
      <c r="X1039" s="69"/>
      <c r="Y1039" s="123"/>
      <c r="Z1039" s="30">
        <f t="shared" si="32"/>
        <v>6772.6006943194379</v>
      </c>
      <c r="AA1039" s="30">
        <f t="shared" si="33"/>
        <v>2116.4377169748245</v>
      </c>
      <c r="AB1039" t="s">
        <v>456</v>
      </c>
    </row>
    <row r="1040" spans="1:28">
      <c r="A1040" s="67" t="s">
        <v>136</v>
      </c>
      <c r="B1040" s="68">
        <v>1217631</v>
      </c>
      <c r="C1040" s="69">
        <v>4615465883</v>
      </c>
      <c r="D1040" s="70">
        <v>19200</v>
      </c>
      <c r="E1040" s="79"/>
      <c r="F1040" s="68">
        <v>10</v>
      </c>
      <c r="G1040" s="68">
        <v>0</v>
      </c>
      <c r="H1040" s="73">
        <v>0</v>
      </c>
      <c r="I1040" s="68">
        <v>0</v>
      </c>
      <c r="J1040" s="71">
        <v>42761</v>
      </c>
      <c r="K1040" s="71">
        <v>43081</v>
      </c>
      <c r="L1040" s="69" t="s">
        <v>137</v>
      </c>
      <c r="M1040" s="69" t="s">
        <v>109</v>
      </c>
      <c r="N1040" s="83">
        <v>42852</v>
      </c>
      <c r="O1040" s="67"/>
      <c r="P1040" s="67" t="s">
        <v>95</v>
      </c>
      <c r="Q1040" s="67" t="s">
        <v>129</v>
      </c>
      <c r="R1040" s="69" t="s">
        <v>69</v>
      </c>
      <c r="S1040" s="69" t="s">
        <v>138</v>
      </c>
      <c r="T1040" s="76"/>
      <c r="U1040" s="67"/>
      <c r="V1040" s="72">
        <v>42794</v>
      </c>
      <c r="W1040" s="69">
        <v>415570768</v>
      </c>
      <c r="X1040" s="69"/>
      <c r="Y1040" s="123"/>
      <c r="Z1040" s="30">
        <f t="shared" si="32"/>
        <v>4232.8754339496491</v>
      </c>
      <c r="AA1040" s="30">
        <f t="shared" si="33"/>
        <v>0</v>
      </c>
      <c r="AB1040" t="s">
        <v>456</v>
      </c>
    </row>
    <row r="1041" spans="1:28">
      <c r="A1041" s="67" t="s">
        <v>122</v>
      </c>
      <c r="B1041" s="68">
        <v>1213517</v>
      </c>
      <c r="C1041" s="69">
        <v>4615414809</v>
      </c>
      <c r="D1041" s="70">
        <v>19175</v>
      </c>
      <c r="E1041" s="79"/>
      <c r="F1041" s="73">
        <v>16</v>
      </c>
      <c r="G1041" s="73">
        <v>5</v>
      </c>
      <c r="H1041" s="68">
        <v>0</v>
      </c>
      <c r="I1041" s="68">
        <v>0</v>
      </c>
      <c r="J1041" s="71">
        <v>42755</v>
      </c>
      <c r="K1041" s="71">
        <v>43081</v>
      </c>
      <c r="L1041" s="69" t="s">
        <v>119</v>
      </c>
      <c r="M1041" s="69" t="s">
        <v>109</v>
      </c>
      <c r="N1041" s="83">
        <v>42852</v>
      </c>
      <c r="O1041" s="67"/>
      <c r="P1041" s="67" t="s">
        <v>95</v>
      </c>
      <c r="Q1041" s="67" t="s">
        <v>120</v>
      </c>
      <c r="R1041" s="69" t="s">
        <v>69</v>
      </c>
      <c r="S1041" s="69" t="s">
        <v>123</v>
      </c>
      <c r="T1041" s="76"/>
      <c r="U1041" s="67"/>
      <c r="V1041" s="72">
        <v>42766</v>
      </c>
      <c r="W1041" s="69">
        <v>2025746</v>
      </c>
      <c r="X1041" s="69"/>
      <c r="Y1041" s="123"/>
      <c r="Z1041" s="30">
        <f t="shared" si="32"/>
        <v>6763.7822038320437</v>
      </c>
      <c r="AA1041" s="30">
        <f t="shared" si="33"/>
        <v>2113.6819386975139</v>
      </c>
      <c r="AB1041" t="s">
        <v>456</v>
      </c>
    </row>
    <row r="1042" spans="1:28">
      <c r="A1042" s="67" t="s">
        <v>122</v>
      </c>
      <c r="B1042" s="68">
        <v>1221600</v>
      </c>
      <c r="C1042" s="69">
        <v>4615412116</v>
      </c>
      <c r="D1042" s="70">
        <v>19200</v>
      </c>
      <c r="E1042" s="79"/>
      <c r="F1042" s="68">
        <v>16</v>
      </c>
      <c r="G1042" s="68">
        <v>5</v>
      </c>
      <c r="H1042" s="75">
        <v>0</v>
      </c>
      <c r="I1042" s="68">
        <v>0</v>
      </c>
      <c r="J1042" s="71">
        <v>42779</v>
      </c>
      <c r="K1042" s="71">
        <v>43094</v>
      </c>
      <c r="L1042" s="69" t="s">
        <v>108</v>
      </c>
      <c r="M1042" s="69" t="s">
        <v>109</v>
      </c>
      <c r="N1042" s="72">
        <v>42851</v>
      </c>
      <c r="O1042" s="67"/>
      <c r="P1042" s="67" t="s">
        <v>95</v>
      </c>
      <c r="Q1042" s="67" t="s">
        <v>120</v>
      </c>
      <c r="R1042" s="69" t="s">
        <v>69</v>
      </c>
      <c r="S1042" s="69" t="s">
        <v>123</v>
      </c>
      <c r="T1042" s="76"/>
      <c r="U1042" s="67"/>
      <c r="V1042" s="72">
        <v>42794</v>
      </c>
      <c r="W1042" s="69">
        <v>2025779</v>
      </c>
      <c r="X1042" s="69"/>
      <c r="Y1042" s="123"/>
      <c r="Z1042" s="30">
        <f t="shared" si="32"/>
        <v>6772.6006943194379</v>
      </c>
      <c r="AA1042" s="30">
        <f t="shared" si="33"/>
        <v>2116.4377169748245</v>
      </c>
      <c r="AB1042" t="s">
        <v>456</v>
      </c>
    </row>
    <row r="1043" spans="1:28">
      <c r="A1043" s="67" t="s">
        <v>113</v>
      </c>
      <c r="B1043" s="68">
        <v>1221147</v>
      </c>
      <c r="C1043" s="69">
        <v>4615416491</v>
      </c>
      <c r="D1043" s="70">
        <v>19200</v>
      </c>
      <c r="E1043" s="79"/>
      <c r="F1043" s="73">
        <v>16</v>
      </c>
      <c r="G1043" s="73">
        <v>5</v>
      </c>
      <c r="H1043" s="73">
        <v>0</v>
      </c>
      <c r="I1043" s="68">
        <v>0</v>
      </c>
      <c r="J1043" s="71">
        <v>42779</v>
      </c>
      <c r="K1043" s="71">
        <v>43094</v>
      </c>
      <c r="L1043" s="69" t="s">
        <v>108</v>
      </c>
      <c r="M1043" s="69" t="s">
        <v>109</v>
      </c>
      <c r="N1043" s="72">
        <v>42851</v>
      </c>
      <c r="O1043" s="67"/>
      <c r="P1043" s="67" t="s">
        <v>95</v>
      </c>
      <c r="Q1043" s="67" t="s">
        <v>110</v>
      </c>
      <c r="R1043" s="69" t="s">
        <v>69</v>
      </c>
      <c r="S1043" s="69" t="s">
        <v>115</v>
      </c>
      <c r="T1043" s="76"/>
      <c r="U1043" s="67"/>
      <c r="V1043" s="72">
        <v>42825</v>
      </c>
      <c r="W1043" s="69" t="s">
        <v>219</v>
      </c>
      <c r="X1043" s="69"/>
      <c r="Y1043" s="123"/>
      <c r="Z1043" s="30">
        <f t="shared" si="32"/>
        <v>6772.6006943194379</v>
      </c>
      <c r="AA1043" s="30">
        <f t="shared" si="33"/>
        <v>2116.4377169748245</v>
      </c>
      <c r="AB1043" t="s">
        <v>456</v>
      </c>
    </row>
    <row r="1044" spans="1:28">
      <c r="A1044" s="67" t="s">
        <v>128</v>
      </c>
      <c r="B1044" s="68">
        <v>1213495</v>
      </c>
      <c r="C1044" s="69">
        <v>4615420955</v>
      </c>
      <c r="D1044" s="70">
        <v>19175</v>
      </c>
      <c r="E1044" s="79"/>
      <c r="F1044" s="82">
        <v>154.32</v>
      </c>
      <c r="G1044" s="82" t="s">
        <v>114</v>
      </c>
      <c r="H1044" s="73">
        <v>0</v>
      </c>
      <c r="I1044" s="68">
        <v>0</v>
      </c>
      <c r="J1044" s="71">
        <v>42750</v>
      </c>
      <c r="K1044" s="71">
        <v>43094</v>
      </c>
      <c r="L1044" s="69" t="s">
        <v>108</v>
      </c>
      <c r="M1044" s="69" t="s">
        <v>109</v>
      </c>
      <c r="N1044" s="72">
        <v>42851</v>
      </c>
      <c r="O1044" s="67"/>
      <c r="P1044" s="67" t="s">
        <v>95</v>
      </c>
      <c r="Q1044" s="67" t="s">
        <v>129</v>
      </c>
      <c r="R1044" s="69" t="s">
        <v>69</v>
      </c>
      <c r="S1044" s="69" t="s">
        <v>130</v>
      </c>
      <c r="T1044" s="76"/>
      <c r="U1044" s="67"/>
      <c r="V1044" s="72">
        <v>42766</v>
      </c>
      <c r="W1044" s="69">
        <v>425560030</v>
      </c>
      <c r="X1044" s="69" t="s">
        <v>220</v>
      </c>
      <c r="Y1044" s="123"/>
      <c r="Z1044" s="30">
        <f t="shared" si="32"/>
        <v>65236.679355960063</v>
      </c>
      <c r="AA1044" s="30">
        <f t="shared" si="33"/>
        <v>0</v>
      </c>
      <c r="AB1044" t="s">
        <v>456</v>
      </c>
    </row>
    <row r="1045" spans="1:28">
      <c r="A1045" s="67" t="s">
        <v>122</v>
      </c>
      <c r="B1045" s="68">
        <v>1208789</v>
      </c>
      <c r="C1045" s="69">
        <v>4615414570</v>
      </c>
      <c r="D1045" s="70">
        <v>19175</v>
      </c>
      <c r="E1045" s="79"/>
      <c r="F1045" s="73">
        <v>16</v>
      </c>
      <c r="G1045" s="73">
        <v>5</v>
      </c>
      <c r="H1045" s="68">
        <v>0</v>
      </c>
      <c r="I1045" s="68">
        <v>0</v>
      </c>
      <c r="J1045" s="71">
        <v>42760</v>
      </c>
      <c r="K1045" s="71">
        <v>43101</v>
      </c>
      <c r="L1045" s="69" t="s">
        <v>119</v>
      </c>
      <c r="M1045" s="69" t="s">
        <v>109</v>
      </c>
      <c r="N1045" s="72">
        <v>42851</v>
      </c>
      <c r="O1045" s="67"/>
      <c r="P1045" s="67" t="s">
        <v>95</v>
      </c>
      <c r="Q1045" s="67" t="s">
        <v>120</v>
      </c>
      <c r="R1045" s="69" t="s">
        <v>69</v>
      </c>
      <c r="S1045" s="69" t="s">
        <v>123</v>
      </c>
      <c r="T1045" s="76"/>
      <c r="U1045" s="67"/>
      <c r="V1045" s="72">
        <v>42735</v>
      </c>
      <c r="W1045" s="69">
        <v>2025745</v>
      </c>
      <c r="X1045" s="69"/>
      <c r="Y1045" s="123"/>
      <c r="Z1045" s="30">
        <f t="shared" si="32"/>
        <v>6763.7822038320437</v>
      </c>
      <c r="AA1045" s="30">
        <f t="shared" si="33"/>
        <v>2113.6819386975139</v>
      </c>
      <c r="AB1045" t="s">
        <v>456</v>
      </c>
    </row>
    <row r="1046" spans="1:28">
      <c r="A1046" s="67" t="s">
        <v>122</v>
      </c>
      <c r="B1046" s="68">
        <v>1213516</v>
      </c>
      <c r="C1046" s="69">
        <v>4615414809</v>
      </c>
      <c r="D1046" s="70">
        <v>19175</v>
      </c>
      <c r="E1046" s="79"/>
      <c r="F1046" s="73">
        <v>16</v>
      </c>
      <c r="G1046" s="73">
        <v>5</v>
      </c>
      <c r="H1046" s="68">
        <v>0</v>
      </c>
      <c r="I1046" s="68">
        <v>0</v>
      </c>
      <c r="J1046" s="71">
        <v>42755</v>
      </c>
      <c r="K1046" s="71">
        <v>43109</v>
      </c>
      <c r="L1046" s="69" t="s">
        <v>119</v>
      </c>
      <c r="M1046" s="69" t="s">
        <v>109</v>
      </c>
      <c r="N1046" s="72">
        <v>42850</v>
      </c>
      <c r="O1046" s="67"/>
      <c r="P1046" s="67" t="s">
        <v>95</v>
      </c>
      <c r="Q1046" s="67" t="s">
        <v>120</v>
      </c>
      <c r="R1046" s="69" t="s">
        <v>69</v>
      </c>
      <c r="S1046" s="69" t="s">
        <v>123</v>
      </c>
      <c r="T1046" s="76"/>
      <c r="U1046" s="67"/>
      <c r="V1046" s="72">
        <v>42766</v>
      </c>
      <c r="W1046" s="69">
        <v>2025746</v>
      </c>
      <c r="X1046" s="69"/>
      <c r="Y1046" s="123"/>
      <c r="Z1046" s="30">
        <f t="shared" si="32"/>
        <v>6763.7822038320437</v>
      </c>
      <c r="AA1046" s="30">
        <f t="shared" si="33"/>
        <v>2113.6819386975139</v>
      </c>
      <c r="AB1046" t="s">
        <v>456</v>
      </c>
    </row>
    <row r="1047" spans="1:28">
      <c r="A1047" s="67" t="s">
        <v>122</v>
      </c>
      <c r="B1047" s="68">
        <v>1225786</v>
      </c>
      <c r="C1047" s="69">
        <v>4615410567</v>
      </c>
      <c r="D1047" s="70">
        <v>19200</v>
      </c>
      <c r="E1047" s="79"/>
      <c r="F1047" s="68">
        <v>16</v>
      </c>
      <c r="G1047" s="68">
        <v>5</v>
      </c>
      <c r="H1047" s="73">
        <v>0</v>
      </c>
      <c r="I1047" s="68">
        <v>0</v>
      </c>
      <c r="J1047" s="71">
        <v>42786</v>
      </c>
      <c r="K1047" s="71">
        <v>43065</v>
      </c>
      <c r="L1047" s="69" t="s">
        <v>108</v>
      </c>
      <c r="M1047" s="69" t="s">
        <v>109</v>
      </c>
      <c r="N1047" s="72">
        <v>42850</v>
      </c>
      <c r="O1047" s="67"/>
      <c r="P1047" s="67" t="s">
        <v>95</v>
      </c>
      <c r="Q1047" s="67" t="s">
        <v>120</v>
      </c>
      <c r="R1047" s="69" t="s">
        <v>69</v>
      </c>
      <c r="S1047" s="69" t="s">
        <v>123</v>
      </c>
      <c r="T1047" s="76"/>
      <c r="U1047" s="67"/>
      <c r="V1047" s="72">
        <v>42825</v>
      </c>
      <c r="W1047" s="69">
        <v>2025780</v>
      </c>
      <c r="X1047" s="69" t="s">
        <v>214</v>
      </c>
      <c r="Y1047" s="123"/>
      <c r="Z1047" s="30">
        <f t="shared" si="32"/>
        <v>6772.6006943194379</v>
      </c>
      <c r="AA1047" s="30">
        <f t="shared" si="33"/>
        <v>2116.4377169748245</v>
      </c>
      <c r="AB1047" t="s">
        <v>456</v>
      </c>
    </row>
    <row r="1048" spans="1:28">
      <c r="A1048" s="67" t="s">
        <v>122</v>
      </c>
      <c r="B1048" s="68">
        <v>1225782</v>
      </c>
      <c r="C1048" s="69">
        <v>4615410567</v>
      </c>
      <c r="D1048" s="70">
        <v>19200</v>
      </c>
      <c r="E1048" s="79"/>
      <c r="F1048" s="68">
        <v>16</v>
      </c>
      <c r="G1048" s="68">
        <v>5</v>
      </c>
      <c r="H1048" s="73">
        <v>0</v>
      </c>
      <c r="I1048" s="68">
        <v>0</v>
      </c>
      <c r="J1048" s="71">
        <v>42786</v>
      </c>
      <c r="K1048" s="71">
        <v>43065</v>
      </c>
      <c r="L1048" s="69" t="s">
        <v>108</v>
      </c>
      <c r="M1048" s="69" t="s">
        <v>109</v>
      </c>
      <c r="N1048" s="72">
        <v>42850</v>
      </c>
      <c r="O1048" s="67"/>
      <c r="P1048" s="67" t="s">
        <v>95</v>
      </c>
      <c r="Q1048" s="67" t="s">
        <v>120</v>
      </c>
      <c r="R1048" s="69" t="s">
        <v>69</v>
      </c>
      <c r="S1048" s="69" t="s">
        <v>123</v>
      </c>
      <c r="T1048" s="76"/>
      <c r="U1048" s="67"/>
      <c r="V1048" s="72">
        <v>42825</v>
      </c>
      <c r="W1048" s="69">
        <v>2025780</v>
      </c>
      <c r="X1048" s="69" t="s">
        <v>214</v>
      </c>
      <c r="Y1048" s="123"/>
      <c r="Z1048" s="30">
        <f t="shared" si="32"/>
        <v>6772.6006943194379</v>
      </c>
      <c r="AA1048" s="30">
        <f t="shared" si="33"/>
        <v>2116.4377169748245</v>
      </c>
      <c r="AB1048" t="s">
        <v>456</v>
      </c>
    </row>
    <row r="1049" spans="1:28">
      <c r="A1049" s="67" t="s">
        <v>107</v>
      </c>
      <c r="B1049" s="68" t="s">
        <v>221</v>
      </c>
      <c r="C1049" s="69">
        <v>4615426748</v>
      </c>
      <c r="D1049" s="70">
        <v>19200</v>
      </c>
      <c r="E1049" s="79"/>
      <c r="F1049" s="68">
        <v>154.4</v>
      </c>
      <c r="G1049" s="68" t="s">
        <v>114</v>
      </c>
      <c r="H1049" s="73">
        <v>0</v>
      </c>
      <c r="I1049" s="68">
        <v>0</v>
      </c>
      <c r="J1049" s="71"/>
      <c r="K1049" s="71">
        <v>43065</v>
      </c>
      <c r="L1049" s="69" t="s">
        <v>80</v>
      </c>
      <c r="M1049" s="69" t="s">
        <v>109</v>
      </c>
      <c r="N1049" s="72">
        <v>42850</v>
      </c>
      <c r="O1049" s="67"/>
      <c r="P1049" s="67" t="s">
        <v>95</v>
      </c>
      <c r="Q1049" s="67" t="s">
        <v>110</v>
      </c>
      <c r="R1049" s="69" t="s">
        <v>69</v>
      </c>
      <c r="S1049" s="69" t="s">
        <v>111</v>
      </c>
      <c r="T1049" s="67"/>
      <c r="U1049" s="67"/>
      <c r="V1049" s="72">
        <v>42766</v>
      </c>
      <c r="W1049" s="69" t="s">
        <v>222</v>
      </c>
      <c r="X1049" s="69" t="s">
        <v>223</v>
      </c>
      <c r="Y1049" s="123"/>
      <c r="Z1049" s="30">
        <f t="shared" si="32"/>
        <v>65355.596700182585</v>
      </c>
      <c r="AA1049" s="30">
        <f t="shared" si="33"/>
        <v>0</v>
      </c>
      <c r="AB1049" t="s">
        <v>456</v>
      </c>
    </row>
    <row r="1050" spans="1:28">
      <c r="A1050" s="67" t="s">
        <v>122</v>
      </c>
      <c r="B1050" s="68">
        <v>1213514</v>
      </c>
      <c r="C1050" s="69">
        <v>4615414809</v>
      </c>
      <c r="D1050" s="70">
        <v>19175</v>
      </c>
      <c r="E1050" s="79"/>
      <c r="F1050" s="73">
        <v>16</v>
      </c>
      <c r="G1050" s="73">
        <v>5</v>
      </c>
      <c r="H1050" s="68">
        <v>0</v>
      </c>
      <c r="I1050" s="68">
        <v>0</v>
      </c>
      <c r="J1050" s="71">
        <v>42755</v>
      </c>
      <c r="K1050" s="71">
        <v>43044</v>
      </c>
      <c r="L1050" s="69" t="s">
        <v>119</v>
      </c>
      <c r="M1050" s="69" t="s">
        <v>109</v>
      </c>
      <c r="N1050" s="72">
        <v>42850</v>
      </c>
      <c r="O1050" s="67"/>
      <c r="P1050" s="67" t="s">
        <v>95</v>
      </c>
      <c r="Q1050" s="67" t="s">
        <v>120</v>
      </c>
      <c r="R1050" s="69" t="s">
        <v>69</v>
      </c>
      <c r="S1050" s="69" t="s">
        <v>123</v>
      </c>
      <c r="T1050" s="67"/>
      <c r="U1050" s="67"/>
      <c r="V1050" s="72">
        <v>42766</v>
      </c>
      <c r="W1050" s="69">
        <v>2025746</v>
      </c>
      <c r="X1050" s="69"/>
      <c r="Y1050" s="123"/>
      <c r="Z1050" s="30">
        <f t="shared" si="32"/>
        <v>6763.7822038320437</v>
      </c>
      <c r="AA1050" s="30">
        <f t="shared" si="33"/>
        <v>2113.6819386975139</v>
      </c>
      <c r="AB1050" t="s">
        <v>456</v>
      </c>
    </row>
    <row r="1051" spans="1:28">
      <c r="A1051" s="67" t="s">
        <v>136</v>
      </c>
      <c r="B1051" s="68">
        <v>1217623</v>
      </c>
      <c r="C1051" s="69">
        <v>4615362905</v>
      </c>
      <c r="D1051" s="70">
        <v>19175</v>
      </c>
      <c r="E1051" s="79"/>
      <c r="F1051" s="73">
        <v>10</v>
      </c>
      <c r="G1051" s="73">
        <v>5</v>
      </c>
      <c r="H1051" s="73">
        <v>0</v>
      </c>
      <c r="I1051" s="68">
        <v>0</v>
      </c>
      <c r="J1051" s="71">
        <v>42762</v>
      </c>
      <c r="K1051" s="71">
        <v>43058</v>
      </c>
      <c r="L1051" s="69" t="s">
        <v>137</v>
      </c>
      <c r="M1051" s="69" t="s">
        <v>109</v>
      </c>
      <c r="N1051" s="72">
        <v>42849</v>
      </c>
      <c r="O1051" s="67"/>
      <c r="P1051" s="67" t="s">
        <v>95</v>
      </c>
      <c r="Q1051" s="67" t="s">
        <v>129</v>
      </c>
      <c r="R1051" s="69" t="s">
        <v>69</v>
      </c>
      <c r="S1051" s="69" t="s">
        <v>138</v>
      </c>
      <c r="T1051" s="67"/>
      <c r="U1051" s="67"/>
      <c r="V1051" s="72">
        <v>42825</v>
      </c>
      <c r="W1051" s="69">
        <v>415570133</v>
      </c>
      <c r="X1051" s="78"/>
      <c r="Y1051" s="123"/>
      <c r="Z1051" s="30">
        <f t="shared" si="32"/>
        <v>4227.3638773950279</v>
      </c>
      <c r="AA1051" s="30">
        <f t="shared" si="33"/>
        <v>2113.6819386975139</v>
      </c>
      <c r="AB1051" t="s">
        <v>456</v>
      </c>
    </row>
    <row r="1052" spans="1:28">
      <c r="A1052" s="67" t="s">
        <v>122</v>
      </c>
      <c r="B1052" s="68">
        <v>1218622</v>
      </c>
      <c r="C1052" s="69">
        <v>4615411035</v>
      </c>
      <c r="D1052" s="70">
        <v>19175</v>
      </c>
      <c r="E1052" s="79"/>
      <c r="F1052" s="68">
        <v>16</v>
      </c>
      <c r="G1052" s="68">
        <v>5</v>
      </c>
      <c r="H1052" s="73">
        <v>0</v>
      </c>
      <c r="I1052" s="68">
        <v>0</v>
      </c>
      <c r="J1052" s="71">
        <v>42758</v>
      </c>
      <c r="K1052" s="71">
        <v>43058</v>
      </c>
      <c r="L1052" s="69" t="s">
        <v>119</v>
      </c>
      <c r="M1052" s="69" t="s">
        <v>109</v>
      </c>
      <c r="N1052" s="72">
        <v>42849</v>
      </c>
      <c r="O1052" s="67"/>
      <c r="P1052" s="67" t="s">
        <v>95</v>
      </c>
      <c r="Q1052" s="67" t="s">
        <v>120</v>
      </c>
      <c r="R1052" s="69" t="s">
        <v>69</v>
      </c>
      <c r="S1052" s="69" t="s">
        <v>123</v>
      </c>
      <c r="T1052" s="67"/>
      <c r="U1052" s="67"/>
      <c r="V1052" s="72">
        <v>42794</v>
      </c>
      <c r="W1052" s="69">
        <v>2025747</v>
      </c>
      <c r="X1052" s="69"/>
      <c r="Y1052" s="123"/>
      <c r="Z1052" s="30">
        <f t="shared" si="32"/>
        <v>6763.7822038320437</v>
      </c>
      <c r="AA1052" s="30">
        <f t="shared" si="33"/>
        <v>2113.6819386975139</v>
      </c>
      <c r="AB1052" t="s">
        <v>456</v>
      </c>
    </row>
    <row r="1053" spans="1:28">
      <c r="A1053" s="67" t="s">
        <v>136</v>
      </c>
      <c r="B1053" s="68">
        <v>1217627</v>
      </c>
      <c r="C1053" s="69">
        <v>4615465883</v>
      </c>
      <c r="D1053" s="70">
        <v>19200</v>
      </c>
      <c r="E1053" s="79"/>
      <c r="F1053" s="68">
        <v>10</v>
      </c>
      <c r="G1053" s="68">
        <v>0</v>
      </c>
      <c r="H1053" s="73">
        <v>0</v>
      </c>
      <c r="I1053" s="68">
        <v>0</v>
      </c>
      <c r="J1053" s="71">
        <v>42761</v>
      </c>
      <c r="K1053" s="71">
        <v>43072</v>
      </c>
      <c r="L1053" s="69" t="s">
        <v>137</v>
      </c>
      <c r="M1053" s="69" t="s">
        <v>109</v>
      </c>
      <c r="N1053" s="72">
        <v>42848</v>
      </c>
      <c r="O1053" s="67"/>
      <c r="P1053" s="67" t="s">
        <v>95</v>
      </c>
      <c r="Q1053" s="67" t="s">
        <v>129</v>
      </c>
      <c r="R1053" s="69" t="s">
        <v>69</v>
      </c>
      <c r="S1053" s="69" t="s">
        <v>138</v>
      </c>
      <c r="T1053" s="67"/>
      <c r="U1053" s="67"/>
      <c r="V1053" s="72">
        <v>42794</v>
      </c>
      <c r="W1053" s="69">
        <v>415570768</v>
      </c>
      <c r="X1053" s="69"/>
      <c r="Y1053" s="123"/>
      <c r="Z1053" s="30">
        <f t="shared" si="32"/>
        <v>4232.8754339496491</v>
      </c>
      <c r="AA1053" s="30">
        <f t="shared" si="33"/>
        <v>0</v>
      </c>
      <c r="AB1053" t="s">
        <v>456</v>
      </c>
    </row>
    <row r="1054" spans="1:28">
      <c r="A1054" s="67" t="s">
        <v>136</v>
      </c>
      <c r="B1054" s="68">
        <v>1217626</v>
      </c>
      <c r="C1054" s="69">
        <v>4615422265</v>
      </c>
      <c r="D1054" s="70">
        <v>19175</v>
      </c>
      <c r="E1054" s="79"/>
      <c r="F1054" s="73">
        <v>10</v>
      </c>
      <c r="G1054" s="73" t="s">
        <v>114</v>
      </c>
      <c r="H1054" s="73">
        <v>0</v>
      </c>
      <c r="I1054" s="68">
        <v>0</v>
      </c>
      <c r="J1054" s="71">
        <v>42762</v>
      </c>
      <c r="K1054" s="71">
        <v>43058</v>
      </c>
      <c r="L1054" s="69" t="s">
        <v>137</v>
      </c>
      <c r="M1054" s="69" t="s">
        <v>109</v>
      </c>
      <c r="N1054" s="72">
        <v>42848</v>
      </c>
      <c r="O1054" s="67"/>
      <c r="P1054" s="67" t="s">
        <v>95</v>
      </c>
      <c r="Q1054" s="67" t="s">
        <v>129</v>
      </c>
      <c r="R1054" s="69" t="s">
        <v>69</v>
      </c>
      <c r="S1054" s="69" t="s">
        <v>138</v>
      </c>
      <c r="T1054" s="67"/>
      <c r="U1054" s="67"/>
      <c r="V1054" s="72">
        <v>42825</v>
      </c>
      <c r="W1054" s="69">
        <v>415570140</v>
      </c>
      <c r="X1054" s="69"/>
      <c r="Y1054" s="123"/>
      <c r="Z1054" s="30">
        <f t="shared" si="32"/>
        <v>4227.3638773950279</v>
      </c>
      <c r="AA1054" s="30">
        <f t="shared" si="33"/>
        <v>0</v>
      </c>
      <c r="AB1054" t="s">
        <v>456</v>
      </c>
    </row>
    <row r="1055" spans="1:28">
      <c r="A1055" s="67" t="s">
        <v>122</v>
      </c>
      <c r="B1055" s="68">
        <v>1225059</v>
      </c>
      <c r="C1055" s="69">
        <v>4615410363</v>
      </c>
      <c r="D1055" s="70">
        <v>19200</v>
      </c>
      <c r="E1055" s="79"/>
      <c r="F1055" s="68">
        <v>16</v>
      </c>
      <c r="G1055" s="68">
        <v>5</v>
      </c>
      <c r="H1055" s="68">
        <v>0</v>
      </c>
      <c r="I1055" s="68">
        <v>0</v>
      </c>
      <c r="J1055" s="71">
        <v>42794</v>
      </c>
      <c r="K1055" s="71">
        <v>43058</v>
      </c>
      <c r="L1055" s="69" t="s">
        <v>108</v>
      </c>
      <c r="M1055" s="69" t="s">
        <v>109</v>
      </c>
      <c r="N1055" s="72">
        <v>42848</v>
      </c>
      <c r="O1055" s="67"/>
      <c r="P1055" s="67" t="s">
        <v>95</v>
      </c>
      <c r="Q1055" s="67" t="s">
        <v>120</v>
      </c>
      <c r="R1055" s="69" t="s">
        <v>69</v>
      </c>
      <c r="S1055" s="69" t="s">
        <v>123</v>
      </c>
      <c r="T1055" s="67"/>
      <c r="U1055" s="67"/>
      <c r="V1055" s="72">
        <v>42825</v>
      </c>
      <c r="W1055" s="69">
        <v>2025662</v>
      </c>
      <c r="X1055" s="69" t="s">
        <v>214</v>
      </c>
      <c r="Y1055" s="123"/>
      <c r="Z1055" s="30">
        <f t="shared" si="32"/>
        <v>6772.6006943194379</v>
      </c>
      <c r="AA1055" s="30">
        <f t="shared" si="33"/>
        <v>2116.4377169748245</v>
      </c>
      <c r="AB1055" t="s">
        <v>456</v>
      </c>
    </row>
    <row r="1056" spans="1:28">
      <c r="A1056" s="67" t="s">
        <v>122</v>
      </c>
      <c r="B1056" s="68">
        <v>1221639</v>
      </c>
      <c r="C1056" s="69">
        <v>4615394135</v>
      </c>
      <c r="D1056" s="70">
        <v>19200</v>
      </c>
      <c r="E1056" s="79"/>
      <c r="F1056" s="73">
        <v>16</v>
      </c>
      <c r="G1056" s="73">
        <v>5</v>
      </c>
      <c r="H1056" s="68">
        <v>0</v>
      </c>
      <c r="I1056" s="68">
        <v>0</v>
      </c>
      <c r="J1056" s="71">
        <v>42772</v>
      </c>
      <c r="K1056" s="71">
        <v>43065</v>
      </c>
      <c r="L1056" s="69" t="s">
        <v>108</v>
      </c>
      <c r="M1056" s="69" t="s">
        <v>109</v>
      </c>
      <c r="N1056" s="72">
        <v>42848</v>
      </c>
      <c r="O1056" s="67"/>
      <c r="P1056" s="67" t="s">
        <v>95</v>
      </c>
      <c r="Q1056" s="67" t="s">
        <v>120</v>
      </c>
      <c r="R1056" s="69" t="s">
        <v>69</v>
      </c>
      <c r="S1056" s="69" t="s">
        <v>123</v>
      </c>
      <c r="T1056" s="67"/>
      <c r="U1056" s="67"/>
      <c r="V1056" s="72">
        <v>42794</v>
      </c>
      <c r="W1056" s="69">
        <v>2025762</v>
      </c>
      <c r="X1056" s="69"/>
      <c r="Y1056" s="123"/>
      <c r="Z1056" s="30">
        <f t="shared" si="32"/>
        <v>6772.6006943194379</v>
      </c>
      <c r="AA1056" s="30">
        <f t="shared" si="33"/>
        <v>2116.4377169748245</v>
      </c>
      <c r="AB1056" t="s">
        <v>456</v>
      </c>
    </row>
    <row r="1057" spans="1:28">
      <c r="A1057" s="67" t="s">
        <v>122</v>
      </c>
      <c r="B1057" s="68">
        <v>1221605</v>
      </c>
      <c r="C1057" s="69">
        <v>4615412116</v>
      </c>
      <c r="D1057" s="70">
        <v>19200</v>
      </c>
      <c r="E1057" s="79"/>
      <c r="F1057" s="68">
        <v>16</v>
      </c>
      <c r="G1057" s="68">
        <v>5</v>
      </c>
      <c r="H1057" s="75">
        <v>0</v>
      </c>
      <c r="I1057" s="68">
        <v>0</v>
      </c>
      <c r="J1057" s="71">
        <v>42779</v>
      </c>
      <c r="K1057" s="71">
        <v>43072</v>
      </c>
      <c r="L1057" s="69" t="s">
        <v>108</v>
      </c>
      <c r="M1057" s="69" t="s">
        <v>109</v>
      </c>
      <c r="N1057" s="72">
        <v>42848</v>
      </c>
      <c r="O1057" s="67"/>
      <c r="P1057" s="67" t="s">
        <v>95</v>
      </c>
      <c r="Q1057" s="67" t="s">
        <v>120</v>
      </c>
      <c r="R1057" s="69" t="s">
        <v>69</v>
      </c>
      <c r="S1057" s="69" t="s">
        <v>123</v>
      </c>
      <c r="T1057" s="67"/>
      <c r="U1057" s="67"/>
      <c r="V1057" s="72">
        <v>42794</v>
      </c>
      <c r="W1057" s="69">
        <v>2025779</v>
      </c>
      <c r="X1057" s="69"/>
      <c r="Y1057" s="123"/>
      <c r="Z1057" s="30">
        <f t="shared" si="32"/>
        <v>6772.6006943194379</v>
      </c>
      <c r="AA1057" s="30">
        <f t="shared" si="33"/>
        <v>2116.4377169748245</v>
      </c>
      <c r="AB1057" t="s">
        <v>456</v>
      </c>
    </row>
    <row r="1058" spans="1:28">
      <c r="A1058" s="67" t="s">
        <v>113</v>
      </c>
      <c r="B1058" s="68">
        <v>1221145</v>
      </c>
      <c r="C1058" s="69">
        <v>4615416491</v>
      </c>
      <c r="D1058" s="70">
        <v>19200</v>
      </c>
      <c r="E1058" s="79"/>
      <c r="F1058" s="73">
        <v>16</v>
      </c>
      <c r="G1058" s="73">
        <v>5</v>
      </c>
      <c r="H1058" s="73">
        <v>0</v>
      </c>
      <c r="I1058" s="68">
        <v>0</v>
      </c>
      <c r="J1058" s="71">
        <v>42779</v>
      </c>
      <c r="K1058" s="71">
        <v>43072</v>
      </c>
      <c r="L1058" s="69" t="s">
        <v>108</v>
      </c>
      <c r="M1058" s="69" t="s">
        <v>109</v>
      </c>
      <c r="N1058" s="72">
        <v>42848</v>
      </c>
      <c r="O1058" s="67"/>
      <c r="P1058" s="67" t="s">
        <v>95</v>
      </c>
      <c r="Q1058" s="67" t="s">
        <v>110</v>
      </c>
      <c r="R1058" s="69" t="s">
        <v>69</v>
      </c>
      <c r="S1058" s="69" t="s">
        <v>115</v>
      </c>
      <c r="T1058" s="67"/>
      <c r="U1058" s="67"/>
      <c r="V1058" s="72">
        <v>42825</v>
      </c>
      <c r="W1058" s="69" t="s">
        <v>219</v>
      </c>
      <c r="X1058" s="69"/>
      <c r="Y1058" s="123"/>
      <c r="Z1058" s="30">
        <f t="shared" si="32"/>
        <v>6772.6006943194379</v>
      </c>
      <c r="AA1058" s="30">
        <f t="shared" si="33"/>
        <v>2116.4377169748245</v>
      </c>
      <c r="AB1058" t="s">
        <v>456</v>
      </c>
    </row>
    <row r="1059" spans="1:28">
      <c r="A1059" s="67" t="s">
        <v>113</v>
      </c>
      <c r="B1059" s="68">
        <v>1221143</v>
      </c>
      <c r="C1059" s="69">
        <v>4615416491</v>
      </c>
      <c r="D1059" s="70">
        <v>19200</v>
      </c>
      <c r="E1059" s="79"/>
      <c r="F1059" s="73">
        <v>16</v>
      </c>
      <c r="G1059" s="73">
        <v>5</v>
      </c>
      <c r="H1059" s="73">
        <v>0</v>
      </c>
      <c r="I1059" s="68">
        <v>0</v>
      </c>
      <c r="J1059" s="71">
        <v>42779</v>
      </c>
      <c r="K1059" s="71">
        <v>43072</v>
      </c>
      <c r="L1059" s="69" t="s">
        <v>108</v>
      </c>
      <c r="M1059" s="69" t="s">
        <v>109</v>
      </c>
      <c r="N1059" s="72">
        <v>42848</v>
      </c>
      <c r="O1059" s="67"/>
      <c r="P1059" s="67" t="s">
        <v>95</v>
      </c>
      <c r="Q1059" s="67" t="s">
        <v>110</v>
      </c>
      <c r="R1059" s="69" t="s">
        <v>69</v>
      </c>
      <c r="S1059" s="69" t="s">
        <v>115</v>
      </c>
      <c r="T1059" s="67"/>
      <c r="U1059" s="67"/>
      <c r="V1059" s="72">
        <v>42825</v>
      </c>
      <c r="W1059" s="69" t="s">
        <v>219</v>
      </c>
      <c r="X1059" s="69"/>
      <c r="Y1059" s="123"/>
      <c r="Z1059" s="30">
        <f t="shared" si="32"/>
        <v>6772.6006943194379</v>
      </c>
      <c r="AA1059" s="30">
        <f t="shared" si="33"/>
        <v>2116.4377169748245</v>
      </c>
      <c r="AB1059" t="s">
        <v>456</v>
      </c>
    </row>
    <row r="1060" spans="1:28">
      <c r="A1060" s="67" t="s">
        <v>107</v>
      </c>
      <c r="B1060" s="68" t="s">
        <v>224</v>
      </c>
      <c r="C1060" s="69">
        <v>4615426748</v>
      </c>
      <c r="D1060" s="70">
        <v>19200</v>
      </c>
      <c r="E1060" s="79"/>
      <c r="F1060" s="68">
        <v>154.4</v>
      </c>
      <c r="G1060" s="68" t="s">
        <v>114</v>
      </c>
      <c r="H1060" s="73">
        <v>0</v>
      </c>
      <c r="I1060" s="68">
        <v>0</v>
      </c>
      <c r="J1060" s="71"/>
      <c r="K1060" s="71">
        <v>43100</v>
      </c>
      <c r="L1060" s="69" t="s">
        <v>80</v>
      </c>
      <c r="M1060" s="69" t="s">
        <v>109</v>
      </c>
      <c r="N1060" s="72">
        <v>42848</v>
      </c>
      <c r="O1060" s="67"/>
      <c r="P1060" s="67" t="s">
        <v>95</v>
      </c>
      <c r="Q1060" s="67" t="s">
        <v>110</v>
      </c>
      <c r="R1060" s="69" t="s">
        <v>69</v>
      </c>
      <c r="S1060" s="69" t="s">
        <v>111</v>
      </c>
      <c r="T1060" s="67"/>
      <c r="U1060" s="67"/>
      <c r="V1060" s="72">
        <v>42766</v>
      </c>
      <c r="W1060" s="69" t="s">
        <v>222</v>
      </c>
      <c r="X1060" s="69" t="s">
        <v>225</v>
      </c>
      <c r="Y1060" s="123"/>
      <c r="Z1060" s="30">
        <f t="shared" si="32"/>
        <v>65355.596700182585</v>
      </c>
      <c r="AA1060" s="30">
        <f t="shared" si="33"/>
        <v>0</v>
      </c>
      <c r="AB1060" t="s">
        <v>456</v>
      </c>
    </row>
    <row r="1061" spans="1:28">
      <c r="A1061" s="67" t="s">
        <v>122</v>
      </c>
      <c r="B1061" s="68">
        <v>1218624</v>
      </c>
      <c r="C1061" s="69">
        <v>4615411035</v>
      </c>
      <c r="D1061" s="70">
        <v>19175</v>
      </c>
      <c r="E1061" s="79"/>
      <c r="F1061" s="68">
        <v>16</v>
      </c>
      <c r="G1061" s="68">
        <v>5</v>
      </c>
      <c r="H1061" s="73">
        <v>0</v>
      </c>
      <c r="I1061" s="68">
        <v>0</v>
      </c>
      <c r="J1061" s="71">
        <v>42758</v>
      </c>
      <c r="K1061" s="71">
        <v>43100</v>
      </c>
      <c r="L1061" s="69" t="s">
        <v>119</v>
      </c>
      <c r="M1061" s="69" t="s">
        <v>109</v>
      </c>
      <c r="N1061" s="72">
        <v>42848</v>
      </c>
      <c r="O1061" s="67"/>
      <c r="P1061" s="67" t="s">
        <v>95</v>
      </c>
      <c r="Q1061" s="67" t="s">
        <v>120</v>
      </c>
      <c r="R1061" s="69" t="s">
        <v>69</v>
      </c>
      <c r="S1061" s="69" t="s">
        <v>123</v>
      </c>
      <c r="T1061" s="67"/>
      <c r="U1061" s="67"/>
      <c r="V1061" s="72">
        <v>42794</v>
      </c>
      <c r="W1061" s="69">
        <v>2025747</v>
      </c>
      <c r="X1061" s="69"/>
      <c r="Y1061" s="123"/>
      <c r="Z1061" s="30">
        <f t="shared" si="32"/>
        <v>6763.7822038320437</v>
      </c>
      <c r="AA1061" s="30">
        <f t="shared" si="33"/>
        <v>2113.6819386975139</v>
      </c>
      <c r="AB1061" t="s">
        <v>456</v>
      </c>
    </row>
    <row r="1062" spans="1:28">
      <c r="A1062" s="67" t="s">
        <v>122</v>
      </c>
      <c r="B1062" s="68">
        <v>1218621</v>
      </c>
      <c r="C1062" s="69">
        <v>4615411035</v>
      </c>
      <c r="D1062" s="70">
        <v>19175</v>
      </c>
      <c r="E1062" s="79"/>
      <c r="F1062" s="68">
        <v>16</v>
      </c>
      <c r="G1062" s="68">
        <v>5</v>
      </c>
      <c r="H1062" s="73">
        <v>0</v>
      </c>
      <c r="I1062" s="68">
        <v>0</v>
      </c>
      <c r="J1062" s="71">
        <v>42758</v>
      </c>
      <c r="K1062" s="71">
        <v>43142</v>
      </c>
      <c r="L1062" s="69" t="s">
        <v>119</v>
      </c>
      <c r="M1062" s="69" t="s">
        <v>109</v>
      </c>
      <c r="N1062" s="72">
        <v>42848</v>
      </c>
      <c r="O1062" s="67"/>
      <c r="P1062" s="67" t="s">
        <v>95</v>
      </c>
      <c r="Q1062" s="67" t="s">
        <v>120</v>
      </c>
      <c r="R1062" s="69" t="s">
        <v>69</v>
      </c>
      <c r="S1062" s="69" t="s">
        <v>123</v>
      </c>
      <c r="T1062" s="67"/>
      <c r="U1062" s="67"/>
      <c r="V1062" s="72">
        <v>42794</v>
      </c>
      <c r="W1062" s="69">
        <v>2025747</v>
      </c>
      <c r="X1062" s="69"/>
      <c r="Y1062" s="123"/>
      <c r="Z1062" s="30">
        <f t="shared" si="32"/>
        <v>6763.7822038320437</v>
      </c>
      <c r="AA1062" s="30">
        <f t="shared" si="33"/>
        <v>2113.6819386975139</v>
      </c>
      <c r="AB1062" t="s">
        <v>456</v>
      </c>
    </row>
    <row r="1063" spans="1:28">
      <c r="A1063" s="67" t="s">
        <v>136</v>
      </c>
      <c r="B1063" s="68">
        <v>1217624</v>
      </c>
      <c r="C1063" s="69">
        <v>4615362905</v>
      </c>
      <c r="D1063" s="70">
        <v>19175</v>
      </c>
      <c r="E1063" s="79"/>
      <c r="F1063" s="73">
        <v>10</v>
      </c>
      <c r="G1063" s="73">
        <v>5</v>
      </c>
      <c r="H1063" s="73">
        <v>0</v>
      </c>
      <c r="I1063" s="68">
        <v>0</v>
      </c>
      <c r="J1063" s="71">
        <v>42762</v>
      </c>
      <c r="K1063" s="71">
        <v>43107</v>
      </c>
      <c r="L1063" s="69" t="s">
        <v>137</v>
      </c>
      <c r="M1063" s="69" t="s">
        <v>109</v>
      </c>
      <c r="N1063" s="72">
        <v>42845</v>
      </c>
      <c r="O1063" s="67"/>
      <c r="P1063" s="67" t="s">
        <v>95</v>
      </c>
      <c r="Q1063" s="67" t="s">
        <v>129</v>
      </c>
      <c r="R1063" s="69" t="s">
        <v>69</v>
      </c>
      <c r="S1063" s="69" t="s">
        <v>138</v>
      </c>
      <c r="T1063" s="67"/>
      <c r="U1063" s="67"/>
      <c r="V1063" s="72">
        <v>42825</v>
      </c>
      <c r="W1063" s="69">
        <v>415570133</v>
      </c>
      <c r="X1063" s="78"/>
      <c r="Y1063" s="123"/>
      <c r="Z1063" s="30">
        <f t="shared" si="32"/>
        <v>4227.3638773950279</v>
      </c>
      <c r="AA1063" s="30">
        <f t="shared" si="33"/>
        <v>2113.6819386975139</v>
      </c>
      <c r="AB1063" t="s">
        <v>456</v>
      </c>
    </row>
    <row r="1064" spans="1:28">
      <c r="A1064" s="67" t="s">
        <v>122</v>
      </c>
      <c r="B1064" s="68">
        <v>1221601</v>
      </c>
      <c r="C1064" s="69">
        <v>4615412116</v>
      </c>
      <c r="D1064" s="70">
        <v>19200</v>
      </c>
      <c r="E1064" s="79"/>
      <c r="F1064" s="68">
        <v>16</v>
      </c>
      <c r="G1064" s="68">
        <v>5</v>
      </c>
      <c r="H1064" s="75">
        <v>0</v>
      </c>
      <c r="I1064" s="68">
        <v>0</v>
      </c>
      <c r="J1064" s="71">
        <v>42779</v>
      </c>
      <c r="K1064" s="71">
        <v>43128</v>
      </c>
      <c r="L1064" s="69" t="s">
        <v>108</v>
      </c>
      <c r="M1064" s="69" t="s">
        <v>109</v>
      </c>
      <c r="N1064" s="72">
        <v>42845</v>
      </c>
      <c r="O1064" s="67"/>
      <c r="P1064" s="67" t="s">
        <v>95</v>
      </c>
      <c r="Q1064" s="67" t="s">
        <v>120</v>
      </c>
      <c r="R1064" s="69" t="s">
        <v>69</v>
      </c>
      <c r="S1064" s="69" t="s">
        <v>123</v>
      </c>
      <c r="T1064" s="67"/>
      <c r="U1064" s="67"/>
      <c r="V1064" s="72">
        <v>42794</v>
      </c>
      <c r="W1064" s="69">
        <v>2025779</v>
      </c>
      <c r="X1064" s="69"/>
      <c r="Y1064" s="123"/>
      <c r="Z1064" s="30">
        <f t="shared" si="32"/>
        <v>6772.6006943194379</v>
      </c>
      <c r="AA1064" s="30">
        <f t="shared" si="33"/>
        <v>2116.4377169748245</v>
      </c>
      <c r="AB1064" t="s">
        <v>456</v>
      </c>
    </row>
    <row r="1065" spans="1:28">
      <c r="A1065" s="67" t="s">
        <v>122</v>
      </c>
      <c r="B1065" s="68">
        <v>1215566</v>
      </c>
      <c r="C1065" s="69">
        <v>4615406082</v>
      </c>
      <c r="D1065" s="70">
        <v>19200</v>
      </c>
      <c r="E1065" s="79"/>
      <c r="F1065" s="73">
        <v>16</v>
      </c>
      <c r="G1065" s="73">
        <v>5</v>
      </c>
      <c r="H1065" s="68">
        <v>0</v>
      </c>
      <c r="I1065" s="68">
        <v>0</v>
      </c>
      <c r="J1065" s="71">
        <v>42743</v>
      </c>
      <c r="K1065" s="71">
        <v>43128</v>
      </c>
      <c r="L1065" s="69" t="s">
        <v>119</v>
      </c>
      <c r="M1065" s="69" t="s">
        <v>109</v>
      </c>
      <c r="N1065" s="72">
        <v>42845</v>
      </c>
      <c r="O1065" s="67"/>
      <c r="P1065" s="67" t="s">
        <v>95</v>
      </c>
      <c r="Q1065" s="67" t="s">
        <v>120</v>
      </c>
      <c r="R1065" s="69" t="s">
        <v>69</v>
      </c>
      <c r="S1065" s="69" t="s">
        <v>123</v>
      </c>
      <c r="T1065" s="67"/>
      <c r="U1065" s="67"/>
      <c r="V1065" s="72">
        <v>42766</v>
      </c>
      <c r="W1065" s="69">
        <v>2025761</v>
      </c>
      <c r="X1065" s="69"/>
      <c r="Y1065" s="123"/>
      <c r="Z1065" s="30">
        <f t="shared" si="32"/>
        <v>6772.6006943194379</v>
      </c>
      <c r="AA1065" s="30">
        <f t="shared" si="33"/>
        <v>2116.4377169748245</v>
      </c>
      <c r="AB1065" t="s">
        <v>456</v>
      </c>
    </row>
    <row r="1066" spans="1:28">
      <c r="A1066" s="67" t="s">
        <v>122</v>
      </c>
      <c r="B1066" s="68">
        <v>1182400</v>
      </c>
      <c r="C1066" s="69">
        <v>4615413497</v>
      </c>
      <c r="D1066" s="70">
        <v>19200</v>
      </c>
      <c r="E1066" s="79"/>
      <c r="F1066" s="68">
        <v>16</v>
      </c>
      <c r="G1066" s="68">
        <v>5</v>
      </c>
      <c r="H1066" s="73">
        <v>0</v>
      </c>
      <c r="I1066" s="68">
        <v>0</v>
      </c>
      <c r="J1066" s="71">
        <v>42647</v>
      </c>
      <c r="K1066" s="71">
        <v>43135</v>
      </c>
      <c r="L1066" s="69" t="s">
        <v>119</v>
      </c>
      <c r="M1066" s="69" t="s">
        <v>109</v>
      </c>
      <c r="N1066" s="72">
        <v>42845</v>
      </c>
      <c r="O1066" s="67"/>
      <c r="P1066" s="67" t="s">
        <v>95</v>
      </c>
      <c r="Q1066" s="67" t="s">
        <v>120</v>
      </c>
      <c r="R1066" s="69" t="s">
        <v>69</v>
      </c>
      <c r="S1066" s="69" t="s">
        <v>123</v>
      </c>
      <c r="T1066" s="67"/>
      <c r="U1066" s="67"/>
      <c r="V1066" s="72">
        <v>42704</v>
      </c>
      <c r="W1066" s="69">
        <v>2025658</v>
      </c>
      <c r="X1066" s="69"/>
      <c r="Y1066" s="123"/>
      <c r="Z1066" s="30">
        <f t="shared" si="32"/>
        <v>6772.6006943194379</v>
      </c>
      <c r="AA1066" s="30">
        <f t="shared" si="33"/>
        <v>2116.4377169748245</v>
      </c>
      <c r="AB1066" t="s">
        <v>456</v>
      </c>
    </row>
    <row r="1067" spans="1:28">
      <c r="A1067" s="67" t="s">
        <v>68</v>
      </c>
      <c r="B1067" s="68">
        <v>1216400</v>
      </c>
      <c r="C1067" s="69">
        <v>4615399341</v>
      </c>
      <c r="D1067" s="70">
        <v>19175</v>
      </c>
      <c r="E1067" s="79"/>
      <c r="F1067" s="68">
        <v>16</v>
      </c>
      <c r="G1067" s="68">
        <v>5</v>
      </c>
      <c r="H1067" s="68">
        <v>0</v>
      </c>
      <c r="I1067" s="68">
        <v>0</v>
      </c>
      <c r="J1067" s="71">
        <v>42747</v>
      </c>
      <c r="K1067" s="71">
        <v>43135</v>
      </c>
      <c r="L1067" s="69" t="s">
        <v>119</v>
      </c>
      <c r="M1067" s="69" t="s">
        <v>109</v>
      </c>
      <c r="N1067" s="72">
        <v>42845</v>
      </c>
      <c r="O1067" s="67"/>
      <c r="P1067" s="67" t="s">
        <v>95</v>
      </c>
      <c r="Q1067" s="67" t="s">
        <v>125</v>
      </c>
      <c r="R1067" s="69" t="s">
        <v>69</v>
      </c>
      <c r="S1067" s="69" t="s">
        <v>68</v>
      </c>
      <c r="T1067" s="67"/>
      <c r="U1067" s="67"/>
      <c r="V1067" s="72">
        <v>42766</v>
      </c>
      <c r="W1067" s="69">
        <v>5114730</v>
      </c>
      <c r="X1067" s="69"/>
      <c r="Y1067" s="123"/>
      <c r="Z1067" s="30">
        <f t="shared" si="32"/>
        <v>6763.7822038320437</v>
      </c>
      <c r="AA1067" s="30">
        <f t="shared" si="33"/>
        <v>2113.6819386975139</v>
      </c>
      <c r="AB1067" t="s">
        <v>456</v>
      </c>
    </row>
    <row r="1068" spans="1:28">
      <c r="A1068" s="67" t="s">
        <v>128</v>
      </c>
      <c r="B1068" s="68">
        <v>1219758</v>
      </c>
      <c r="C1068" s="69">
        <v>4615422972</v>
      </c>
      <c r="D1068" s="70">
        <v>19175</v>
      </c>
      <c r="E1068" s="79"/>
      <c r="F1068" s="68">
        <v>154.4</v>
      </c>
      <c r="G1068" s="68" t="s">
        <v>114</v>
      </c>
      <c r="H1068" s="73">
        <v>0</v>
      </c>
      <c r="I1068" s="68">
        <v>0</v>
      </c>
      <c r="J1068" s="71">
        <v>42771</v>
      </c>
      <c r="K1068" s="71">
        <v>43079</v>
      </c>
      <c r="L1068" s="69" t="s">
        <v>108</v>
      </c>
      <c r="M1068" s="69" t="s">
        <v>109</v>
      </c>
      <c r="N1068" s="72">
        <v>42844</v>
      </c>
      <c r="O1068" s="67"/>
      <c r="P1068" s="67" t="s">
        <v>95</v>
      </c>
      <c r="Q1068" s="67" t="s">
        <v>129</v>
      </c>
      <c r="R1068" s="69" t="s">
        <v>69</v>
      </c>
      <c r="S1068" s="69" t="s">
        <v>130</v>
      </c>
      <c r="T1068" s="67"/>
      <c r="U1068" s="67"/>
      <c r="V1068" s="72">
        <v>42825</v>
      </c>
      <c r="W1068" s="69">
        <v>425570002</v>
      </c>
      <c r="X1068" s="69"/>
      <c r="Y1068" s="123"/>
      <c r="Z1068" s="30">
        <f t="shared" si="32"/>
        <v>65270.498266979223</v>
      </c>
      <c r="AA1068" s="30">
        <f t="shared" si="33"/>
        <v>0</v>
      </c>
      <c r="AB1068" t="s">
        <v>456</v>
      </c>
    </row>
    <row r="1069" spans="1:28">
      <c r="A1069" s="67" t="s">
        <v>113</v>
      </c>
      <c r="B1069" s="68">
        <v>1221148</v>
      </c>
      <c r="C1069" s="69">
        <v>4615416491</v>
      </c>
      <c r="D1069" s="70">
        <v>19200</v>
      </c>
      <c r="E1069" s="79"/>
      <c r="F1069" s="73">
        <v>16</v>
      </c>
      <c r="G1069" s="73">
        <v>5</v>
      </c>
      <c r="H1069" s="73">
        <v>0</v>
      </c>
      <c r="I1069" s="68">
        <v>0</v>
      </c>
      <c r="J1069" s="71">
        <v>42779</v>
      </c>
      <c r="K1069" s="71">
        <v>43079</v>
      </c>
      <c r="L1069" s="69" t="s">
        <v>108</v>
      </c>
      <c r="M1069" s="69" t="s">
        <v>109</v>
      </c>
      <c r="N1069" s="72">
        <v>42844</v>
      </c>
      <c r="O1069" s="67"/>
      <c r="P1069" s="67" t="s">
        <v>95</v>
      </c>
      <c r="Q1069" s="67" t="s">
        <v>110</v>
      </c>
      <c r="R1069" s="69" t="s">
        <v>69</v>
      </c>
      <c r="S1069" s="69" t="s">
        <v>115</v>
      </c>
      <c r="T1069" s="67"/>
      <c r="U1069" s="67"/>
      <c r="V1069" s="72">
        <v>42825</v>
      </c>
      <c r="W1069" s="69" t="s">
        <v>219</v>
      </c>
      <c r="X1069" s="69"/>
      <c r="Y1069" s="123"/>
      <c r="Z1069" s="30">
        <f t="shared" si="32"/>
        <v>6772.6006943194379</v>
      </c>
      <c r="AA1069" s="30">
        <f t="shared" si="33"/>
        <v>2116.4377169748245</v>
      </c>
      <c r="AB1069" t="s">
        <v>456</v>
      </c>
    </row>
    <row r="1070" spans="1:28">
      <c r="A1070" s="67" t="s">
        <v>136</v>
      </c>
      <c r="B1070" s="68">
        <v>1217618</v>
      </c>
      <c r="C1070" s="69">
        <v>4615388845</v>
      </c>
      <c r="D1070" s="70">
        <v>19175</v>
      </c>
      <c r="E1070" s="79"/>
      <c r="F1070" s="73">
        <v>10</v>
      </c>
      <c r="G1070" s="73" t="s">
        <v>114</v>
      </c>
      <c r="H1070" s="73">
        <v>0</v>
      </c>
      <c r="I1070" s="68">
        <v>0</v>
      </c>
      <c r="J1070" s="71">
        <v>42761</v>
      </c>
      <c r="K1070" s="71">
        <v>43121</v>
      </c>
      <c r="L1070" s="69" t="s">
        <v>137</v>
      </c>
      <c r="M1070" s="69" t="s">
        <v>109</v>
      </c>
      <c r="N1070" s="72">
        <v>42844</v>
      </c>
      <c r="O1070" s="67"/>
      <c r="P1070" s="67" t="s">
        <v>95</v>
      </c>
      <c r="Q1070" s="67" t="s">
        <v>129</v>
      </c>
      <c r="R1070" s="69" t="s">
        <v>69</v>
      </c>
      <c r="S1070" s="69" t="s">
        <v>138</v>
      </c>
      <c r="T1070" s="67"/>
      <c r="U1070" s="67"/>
      <c r="V1070" s="72">
        <v>42825</v>
      </c>
      <c r="W1070" s="69">
        <v>415570028</v>
      </c>
      <c r="X1070" s="69"/>
      <c r="Y1070" s="123"/>
      <c r="Z1070" s="30">
        <f t="shared" si="32"/>
        <v>4227.3638773950279</v>
      </c>
      <c r="AA1070" s="30">
        <f t="shared" si="33"/>
        <v>0</v>
      </c>
      <c r="AB1070" t="s">
        <v>456</v>
      </c>
    </row>
    <row r="1071" spans="1:28">
      <c r="A1071" s="67" t="s">
        <v>122</v>
      </c>
      <c r="B1071" s="68">
        <v>1221603</v>
      </c>
      <c r="C1071" s="69">
        <v>4615412116</v>
      </c>
      <c r="D1071" s="70">
        <v>19200</v>
      </c>
      <c r="E1071" s="79"/>
      <c r="F1071" s="68">
        <v>16</v>
      </c>
      <c r="G1071" s="68">
        <v>5</v>
      </c>
      <c r="H1071" s="75">
        <v>0</v>
      </c>
      <c r="I1071" s="68">
        <v>0</v>
      </c>
      <c r="J1071" s="71">
        <v>42779</v>
      </c>
      <c r="K1071" s="71">
        <v>43151</v>
      </c>
      <c r="L1071" s="69" t="s">
        <v>108</v>
      </c>
      <c r="M1071" s="69" t="s">
        <v>109</v>
      </c>
      <c r="N1071" s="72">
        <v>42843</v>
      </c>
      <c r="O1071" s="67"/>
      <c r="P1071" s="67" t="s">
        <v>95</v>
      </c>
      <c r="Q1071" s="67" t="s">
        <v>120</v>
      </c>
      <c r="R1071" s="69" t="s">
        <v>69</v>
      </c>
      <c r="S1071" s="69" t="s">
        <v>123</v>
      </c>
      <c r="T1071" s="67"/>
      <c r="U1071" s="67"/>
      <c r="V1071" s="72">
        <v>42794</v>
      </c>
      <c r="W1071" s="69">
        <v>2025779</v>
      </c>
      <c r="X1071" s="69"/>
      <c r="Y1071" s="123"/>
      <c r="Z1071" s="30">
        <f t="shared" si="32"/>
        <v>6772.6006943194379</v>
      </c>
      <c r="AA1071" s="30">
        <f t="shared" si="33"/>
        <v>2116.4377169748245</v>
      </c>
      <c r="AB1071" t="s">
        <v>456</v>
      </c>
    </row>
    <row r="1072" spans="1:28">
      <c r="A1072" s="67" t="s">
        <v>113</v>
      </c>
      <c r="B1072" s="68">
        <v>1221151</v>
      </c>
      <c r="C1072" s="69">
        <v>4615416491</v>
      </c>
      <c r="D1072" s="70">
        <v>19200</v>
      </c>
      <c r="E1072" s="79"/>
      <c r="F1072" s="73">
        <v>16</v>
      </c>
      <c r="G1072" s="73">
        <v>5</v>
      </c>
      <c r="H1072" s="75">
        <v>0</v>
      </c>
      <c r="I1072" s="68">
        <v>0</v>
      </c>
      <c r="J1072" s="71">
        <v>42779</v>
      </c>
      <c r="K1072" s="71">
        <v>43078</v>
      </c>
      <c r="L1072" s="69" t="s">
        <v>108</v>
      </c>
      <c r="M1072" s="69" t="s">
        <v>109</v>
      </c>
      <c r="N1072" s="72">
        <v>42843</v>
      </c>
      <c r="O1072" s="67"/>
      <c r="P1072" s="67" t="s">
        <v>95</v>
      </c>
      <c r="Q1072" s="67" t="s">
        <v>110</v>
      </c>
      <c r="R1072" s="69" t="s">
        <v>69</v>
      </c>
      <c r="S1072" s="69" t="s">
        <v>115</v>
      </c>
      <c r="T1072" s="67"/>
      <c r="U1072" s="67"/>
      <c r="V1072" s="72">
        <v>42825</v>
      </c>
      <c r="W1072" s="69" t="s">
        <v>219</v>
      </c>
      <c r="X1072" s="69"/>
      <c r="Y1072" s="123"/>
      <c r="Z1072" s="30">
        <f t="shared" si="32"/>
        <v>6772.6006943194379</v>
      </c>
      <c r="AA1072" s="30">
        <f t="shared" si="33"/>
        <v>2116.4377169748245</v>
      </c>
      <c r="AB1072" t="s">
        <v>456</v>
      </c>
    </row>
    <row r="1073" spans="1:28">
      <c r="A1073" s="67" t="s">
        <v>68</v>
      </c>
      <c r="B1073" s="68">
        <v>1216407</v>
      </c>
      <c r="C1073" s="69">
        <v>4615399341</v>
      </c>
      <c r="D1073" s="70">
        <v>19175</v>
      </c>
      <c r="E1073" s="79"/>
      <c r="F1073" s="68">
        <v>16</v>
      </c>
      <c r="G1073" s="68">
        <v>5</v>
      </c>
      <c r="H1073" s="68">
        <v>0</v>
      </c>
      <c r="I1073" s="68">
        <v>0</v>
      </c>
      <c r="J1073" s="71">
        <v>42747</v>
      </c>
      <c r="K1073" s="71">
        <v>43079</v>
      </c>
      <c r="L1073" s="69" t="s">
        <v>119</v>
      </c>
      <c r="M1073" s="69" t="s">
        <v>109</v>
      </c>
      <c r="N1073" s="72">
        <v>42843</v>
      </c>
      <c r="O1073" s="67"/>
      <c r="P1073" s="67" t="s">
        <v>95</v>
      </c>
      <c r="Q1073" s="67" t="s">
        <v>125</v>
      </c>
      <c r="R1073" s="69" t="s">
        <v>69</v>
      </c>
      <c r="S1073" s="69" t="s">
        <v>68</v>
      </c>
      <c r="T1073" s="67"/>
      <c r="U1073" s="67"/>
      <c r="V1073" s="72">
        <v>42766</v>
      </c>
      <c r="W1073" s="69">
        <v>5114730</v>
      </c>
      <c r="X1073" s="69"/>
      <c r="Y1073" s="123"/>
      <c r="Z1073" s="30">
        <f t="shared" si="32"/>
        <v>6763.7822038320437</v>
      </c>
      <c r="AA1073" s="30">
        <f t="shared" si="33"/>
        <v>2113.6819386975139</v>
      </c>
      <c r="AB1073" t="s">
        <v>456</v>
      </c>
    </row>
    <row r="1074" spans="1:28">
      <c r="A1074" s="67" t="s">
        <v>68</v>
      </c>
      <c r="B1074" s="68">
        <v>1216401</v>
      </c>
      <c r="C1074" s="69">
        <v>4615399341</v>
      </c>
      <c r="D1074" s="70">
        <v>19175</v>
      </c>
      <c r="E1074" s="79"/>
      <c r="F1074" s="68">
        <v>16</v>
      </c>
      <c r="G1074" s="68">
        <v>5</v>
      </c>
      <c r="H1074" s="68">
        <v>0</v>
      </c>
      <c r="I1074" s="68">
        <v>0</v>
      </c>
      <c r="J1074" s="71">
        <v>42747</v>
      </c>
      <c r="K1074" s="71">
        <v>43079</v>
      </c>
      <c r="L1074" s="69" t="s">
        <v>119</v>
      </c>
      <c r="M1074" s="69" t="s">
        <v>109</v>
      </c>
      <c r="N1074" s="72">
        <v>42843</v>
      </c>
      <c r="O1074" s="67"/>
      <c r="P1074" s="67" t="s">
        <v>95</v>
      </c>
      <c r="Q1074" s="67" t="s">
        <v>125</v>
      </c>
      <c r="R1074" s="69" t="s">
        <v>69</v>
      </c>
      <c r="S1074" s="69" t="s">
        <v>68</v>
      </c>
      <c r="T1074" s="67"/>
      <c r="U1074" s="67"/>
      <c r="V1074" s="72">
        <v>42766</v>
      </c>
      <c r="W1074" s="69">
        <v>5114730</v>
      </c>
      <c r="X1074" s="69"/>
      <c r="Y1074" s="123"/>
      <c r="Z1074" s="30">
        <f t="shared" si="32"/>
        <v>6763.7822038320437</v>
      </c>
      <c r="AA1074" s="30">
        <f t="shared" si="33"/>
        <v>2113.6819386975139</v>
      </c>
      <c r="AB1074" t="s">
        <v>456</v>
      </c>
    </row>
    <row r="1075" spans="1:28">
      <c r="A1075" s="67" t="s">
        <v>131</v>
      </c>
      <c r="B1075" s="68">
        <v>1222645</v>
      </c>
      <c r="C1075" s="69">
        <v>4615426284</v>
      </c>
      <c r="D1075" s="70">
        <v>19200</v>
      </c>
      <c r="E1075" s="79"/>
      <c r="F1075" s="68">
        <v>154.4</v>
      </c>
      <c r="G1075" s="68" t="s">
        <v>114</v>
      </c>
      <c r="H1075" s="68">
        <v>0</v>
      </c>
      <c r="I1075" s="68">
        <v>0</v>
      </c>
      <c r="J1075" s="71">
        <v>42771</v>
      </c>
      <c r="K1075" s="71">
        <v>43079</v>
      </c>
      <c r="L1075" s="69" t="s">
        <v>108</v>
      </c>
      <c r="M1075" s="69" t="s">
        <v>109</v>
      </c>
      <c r="N1075" s="72">
        <v>42842</v>
      </c>
      <c r="O1075" s="67"/>
      <c r="P1075" s="67" t="s">
        <v>95</v>
      </c>
      <c r="Q1075" s="67" t="s">
        <v>125</v>
      </c>
      <c r="R1075" s="69" t="s">
        <v>69</v>
      </c>
      <c r="S1075" s="69" t="s">
        <v>134</v>
      </c>
      <c r="T1075" s="67"/>
      <c r="U1075" s="67"/>
      <c r="V1075" s="72">
        <v>42825</v>
      </c>
      <c r="W1075" s="69" t="s">
        <v>226</v>
      </c>
      <c r="X1075" s="69"/>
      <c r="Y1075" s="123"/>
      <c r="Z1075" s="30">
        <f t="shared" si="32"/>
        <v>65355.596700182585</v>
      </c>
      <c r="AA1075" s="30">
        <f t="shared" si="33"/>
        <v>0</v>
      </c>
      <c r="AB1075" t="s">
        <v>456</v>
      </c>
    </row>
    <row r="1076" spans="1:28">
      <c r="A1076" s="67" t="s">
        <v>128</v>
      </c>
      <c r="B1076" s="68">
        <v>1219759</v>
      </c>
      <c r="C1076" s="69">
        <v>4615422972</v>
      </c>
      <c r="D1076" s="70">
        <v>19175</v>
      </c>
      <c r="E1076" s="79"/>
      <c r="F1076" s="68">
        <v>154.4</v>
      </c>
      <c r="G1076" s="68" t="s">
        <v>114</v>
      </c>
      <c r="H1076" s="73">
        <v>0</v>
      </c>
      <c r="I1076" s="68">
        <v>0</v>
      </c>
      <c r="J1076" s="71">
        <v>42771</v>
      </c>
      <c r="K1076" s="71">
        <v>43080</v>
      </c>
      <c r="L1076" s="69" t="s">
        <v>108</v>
      </c>
      <c r="M1076" s="69" t="s">
        <v>109</v>
      </c>
      <c r="N1076" s="72">
        <v>42842</v>
      </c>
      <c r="O1076" s="67"/>
      <c r="P1076" s="67" t="s">
        <v>95</v>
      </c>
      <c r="Q1076" s="67" t="s">
        <v>129</v>
      </c>
      <c r="R1076" s="69" t="s">
        <v>69</v>
      </c>
      <c r="S1076" s="69" t="s">
        <v>130</v>
      </c>
      <c r="T1076" s="67"/>
      <c r="U1076" s="67"/>
      <c r="V1076" s="72">
        <v>42825</v>
      </c>
      <c r="W1076" s="69">
        <v>425570002</v>
      </c>
      <c r="X1076" s="69"/>
      <c r="Y1076" s="123"/>
      <c r="Z1076" s="30">
        <f t="shared" si="32"/>
        <v>65270.498266979223</v>
      </c>
      <c r="AA1076" s="30">
        <f t="shared" si="33"/>
        <v>0</v>
      </c>
      <c r="AB1076" t="s">
        <v>456</v>
      </c>
    </row>
    <row r="1077" spans="1:28">
      <c r="A1077" s="67" t="s">
        <v>136</v>
      </c>
      <c r="B1077" s="68">
        <v>1212477</v>
      </c>
      <c r="C1077" s="69">
        <v>4615413747</v>
      </c>
      <c r="D1077" s="70">
        <v>19175</v>
      </c>
      <c r="E1077" s="79"/>
      <c r="F1077" s="73">
        <v>10</v>
      </c>
      <c r="G1077" s="73" t="s">
        <v>114</v>
      </c>
      <c r="H1077" s="73">
        <v>0</v>
      </c>
      <c r="I1077" s="68">
        <v>0</v>
      </c>
      <c r="J1077" s="71">
        <v>42734</v>
      </c>
      <c r="K1077" s="71">
        <v>43080</v>
      </c>
      <c r="L1077" s="69" t="s">
        <v>137</v>
      </c>
      <c r="M1077" s="69" t="s">
        <v>109</v>
      </c>
      <c r="N1077" s="72">
        <v>42842</v>
      </c>
      <c r="O1077" s="67"/>
      <c r="P1077" s="67" t="s">
        <v>95</v>
      </c>
      <c r="Q1077" s="67" t="s">
        <v>129</v>
      </c>
      <c r="R1077" s="69" t="s">
        <v>69</v>
      </c>
      <c r="S1077" s="69" t="s">
        <v>138</v>
      </c>
      <c r="T1077" s="67"/>
      <c r="U1077" s="67"/>
      <c r="V1077" s="72">
        <v>42794</v>
      </c>
      <c r="W1077" s="69">
        <v>415570139</v>
      </c>
      <c r="X1077" s="69"/>
      <c r="Y1077" s="123"/>
      <c r="Z1077" s="30">
        <f t="shared" si="32"/>
        <v>4227.3638773950279</v>
      </c>
      <c r="AA1077" s="30">
        <f t="shared" si="33"/>
        <v>0</v>
      </c>
      <c r="AB1077" t="s">
        <v>456</v>
      </c>
    </row>
    <row r="1078" spans="1:28">
      <c r="A1078" s="67" t="s">
        <v>122</v>
      </c>
      <c r="B1078" s="68">
        <v>1229033</v>
      </c>
      <c r="C1078" s="69">
        <v>4615401934</v>
      </c>
      <c r="D1078" s="70">
        <v>19200</v>
      </c>
      <c r="E1078" s="79"/>
      <c r="F1078" s="68">
        <v>16</v>
      </c>
      <c r="G1078" s="68">
        <v>5</v>
      </c>
      <c r="H1078" s="73">
        <v>0</v>
      </c>
      <c r="I1078" s="68">
        <v>0</v>
      </c>
      <c r="J1078" s="71">
        <v>42805</v>
      </c>
      <c r="K1078" s="71">
        <v>43151</v>
      </c>
      <c r="L1078" s="69" t="s">
        <v>132</v>
      </c>
      <c r="M1078" s="69" t="s">
        <v>109</v>
      </c>
      <c r="N1078" s="72">
        <v>42842</v>
      </c>
      <c r="O1078" s="67"/>
      <c r="P1078" s="67" t="s">
        <v>95</v>
      </c>
      <c r="Q1078" s="67" t="s">
        <v>120</v>
      </c>
      <c r="R1078" s="69" t="s">
        <v>69</v>
      </c>
      <c r="S1078" s="69" t="s">
        <v>123</v>
      </c>
      <c r="T1078" s="67"/>
      <c r="U1078" s="67"/>
      <c r="V1078" s="72">
        <v>42855</v>
      </c>
      <c r="W1078" s="69">
        <v>2025663</v>
      </c>
      <c r="X1078" s="69"/>
      <c r="Y1078" s="123"/>
      <c r="Z1078" s="30">
        <f t="shared" si="32"/>
        <v>6772.6006943194379</v>
      </c>
      <c r="AA1078" s="30">
        <f t="shared" si="33"/>
        <v>2116.4377169748245</v>
      </c>
      <c r="AB1078" t="s">
        <v>456</v>
      </c>
    </row>
    <row r="1079" spans="1:28">
      <c r="A1079" s="67" t="s">
        <v>122</v>
      </c>
      <c r="B1079" s="68">
        <v>1225781</v>
      </c>
      <c r="C1079" s="69">
        <v>4615410567</v>
      </c>
      <c r="D1079" s="70">
        <v>19200</v>
      </c>
      <c r="E1079" s="79"/>
      <c r="F1079" s="68">
        <v>16</v>
      </c>
      <c r="G1079" s="68">
        <v>5</v>
      </c>
      <c r="H1079" s="68">
        <v>0</v>
      </c>
      <c r="I1079" s="68">
        <v>0</v>
      </c>
      <c r="J1079" s="71">
        <v>42786</v>
      </c>
      <c r="K1079" s="71">
        <v>43151</v>
      </c>
      <c r="L1079" s="69" t="s">
        <v>108</v>
      </c>
      <c r="M1079" s="69" t="s">
        <v>109</v>
      </c>
      <c r="N1079" s="72">
        <v>42842</v>
      </c>
      <c r="O1079" s="67"/>
      <c r="P1079" s="67" t="s">
        <v>95</v>
      </c>
      <c r="Q1079" s="67" t="s">
        <v>120</v>
      </c>
      <c r="R1079" s="69" t="s">
        <v>69</v>
      </c>
      <c r="S1079" s="69" t="s">
        <v>123</v>
      </c>
      <c r="T1079" s="67"/>
      <c r="U1079" s="67"/>
      <c r="V1079" s="72">
        <v>42825</v>
      </c>
      <c r="W1079" s="69">
        <v>2025780</v>
      </c>
      <c r="X1079" s="69" t="s">
        <v>214</v>
      </c>
      <c r="Y1079" s="123"/>
      <c r="Z1079" s="30">
        <f t="shared" si="32"/>
        <v>6772.6006943194379</v>
      </c>
      <c r="AA1079" s="30">
        <f t="shared" si="33"/>
        <v>2116.4377169748245</v>
      </c>
      <c r="AB1079" t="s">
        <v>456</v>
      </c>
    </row>
    <row r="1080" spans="1:28">
      <c r="A1080" s="67" t="s">
        <v>122</v>
      </c>
      <c r="B1080" s="68">
        <v>1221607</v>
      </c>
      <c r="C1080" s="69">
        <v>4615412116</v>
      </c>
      <c r="D1080" s="70">
        <v>19200</v>
      </c>
      <c r="E1080" s="79"/>
      <c r="F1080" s="68">
        <v>16</v>
      </c>
      <c r="G1080" s="68">
        <v>5</v>
      </c>
      <c r="H1080" s="75">
        <v>0</v>
      </c>
      <c r="I1080" s="68">
        <v>0</v>
      </c>
      <c r="J1080" s="71">
        <v>42779</v>
      </c>
      <c r="K1080" s="71">
        <v>43151</v>
      </c>
      <c r="L1080" s="69" t="s">
        <v>108</v>
      </c>
      <c r="M1080" s="69" t="s">
        <v>109</v>
      </c>
      <c r="N1080" s="72">
        <v>42842</v>
      </c>
      <c r="O1080" s="67"/>
      <c r="P1080" s="67" t="s">
        <v>95</v>
      </c>
      <c r="Q1080" s="67" t="s">
        <v>120</v>
      </c>
      <c r="R1080" s="69" t="s">
        <v>69</v>
      </c>
      <c r="S1080" s="69" t="s">
        <v>123</v>
      </c>
      <c r="T1080" s="67"/>
      <c r="U1080" s="67"/>
      <c r="V1080" s="72">
        <v>42794</v>
      </c>
      <c r="W1080" s="69">
        <v>2025779</v>
      </c>
      <c r="X1080" s="69"/>
      <c r="Y1080" s="123"/>
      <c r="Z1080" s="30">
        <f t="shared" si="32"/>
        <v>6772.6006943194379</v>
      </c>
      <c r="AA1080" s="30">
        <f t="shared" si="33"/>
        <v>2116.4377169748245</v>
      </c>
      <c r="AB1080" t="s">
        <v>456</v>
      </c>
    </row>
    <row r="1081" spans="1:28">
      <c r="A1081" s="67" t="s">
        <v>122</v>
      </c>
      <c r="B1081" s="68">
        <v>1221606</v>
      </c>
      <c r="C1081" s="69">
        <v>4615412116</v>
      </c>
      <c r="D1081" s="70">
        <v>19200</v>
      </c>
      <c r="E1081" s="80"/>
      <c r="F1081" s="68">
        <v>16</v>
      </c>
      <c r="G1081" s="68">
        <v>5</v>
      </c>
      <c r="H1081" s="75">
        <v>0</v>
      </c>
      <c r="I1081" s="68">
        <v>0</v>
      </c>
      <c r="J1081" s="71">
        <v>42779</v>
      </c>
      <c r="K1081" s="71">
        <v>43151</v>
      </c>
      <c r="L1081" s="69" t="s">
        <v>108</v>
      </c>
      <c r="M1081" s="69" t="s">
        <v>109</v>
      </c>
      <c r="N1081" s="72">
        <v>42842</v>
      </c>
      <c r="O1081" s="67"/>
      <c r="P1081" s="67" t="s">
        <v>95</v>
      </c>
      <c r="Q1081" s="67" t="s">
        <v>120</v>
      </c>
      <c r="R1081" s="69" t="s">
        <v>69</v>
      </c>
      <c r="S1081" s="69" t="s">
        <v>123</v>
      </c>
      <c r="T1081" s="67"/>
      <c r="U1081" s="67"/>
      <c r="V1081" s="72">
        <v>42794</v>
      </c>
      <c r="W1081" s="69">
        <v>2025779</v>
      </c>
      <c r="X1081" s="69"/>
      <c r="Y1081" s="123"/>
      <c r="Z1081" s="30">
        <f t="shared" si="32"/>
        <v>6772.6006943194379</v>
      </c>
      <c r="AA1081" s="30">
        <f t="shared" si="33"/>
        <v>2116.4377169748245</v>
      </c>
      <c r="AB1081" t="s">
        <v>456</v>
      </c>
    </row>
    <row r="1082" spans="1:28">
      <c r="A1082" s="67" t="s">
        <v>122</v>
      </c>
      <c r="B1082" s="68">
        <v>1221604</v>
      </c>
      <c r="C1082" s="69">
        <v>4615412116</v>
      </c>
      <c r="D1082" s="70">
        <v>19200</v>
      </c>
      <c r="E1082" s="80"/>
      <c r="F1082" s="68">
        <v>16</v>
      </c>
      <c r="G1082" s="68">
        <v>5</v>
      </c>
      <c r="H1082" s="75">
        <v>0</v>
      </c>
      <c r="I1082" s="68">
        <v>0</v>
      </c>
      <c r="J1082" s="71">
        <v>42779</v>
      </c>
      <c r="K1082" s="71">
        <v>43151</v>
      </c>
      <c r="L1082" s="69" t="s">
        <v>108</v>
      </c>
      <c r="M1082" s="69" t="s">
        <v>109</v>
      </c>
      <c r="N1082" s="72">
        <v>42842</v>
      </c>
      <c r="O1082" s="67"/>
      <c r="P1082" s="67" t="s">
        <v>95</v>
      </c>
      <c r="Q1082" s="67" t="s">
        <v>120</v>
      </c>
      <c r="R1082" s="69" t="s">
        <v>69</v>
      </c>
      <c r="S1082" s="69" t="s">
        <v>123</v>
      </c>
      <c r="T1082" s="67"/>
      <c r="U1082" s="67"/>
      <c r="V1082" s="72">
        <v>42794</v>
      </c>
      <c r="W1082" s="69">
        <v>2025779</v>
      </c>
      <c r="X1082" s="69"/>
      <c r="Y1082" s="123"/>
      <c r="Z1082" s="30">
        <f t="shared" si="32"/>
        <v>6772.6006943194379</v>
      </c>
      <c r="AA1082" s="30">
        <f t="shared" si="33"/>
        <v>2116.4377169748245</v>
      </c>
      <c r="AB1082" t="s">
        <v>456</v>
      </c>
    </row>
    <row r="1083" spans="1:28">
      <c r="A1083" s="67" t="s">
        <v>122</v>
      </c>
      <c r="B1083" s="68">
        <v>1221599</v>
      </c>
      <c r="C1083" s="69">
        <v>4615412116</v>
      </c>
      <c r="D1083" s="70">
        <v>19200</v>
      </c>
      <c r="E1083" s="80"/>
      <c r="F1083" s="68">
        <v>16</v>
      </c>
      <c r="G1083" s="68">
        <v>5</v>
      </c>
      <c r="H1083" s="75">
        <v>0</v>
      </c>
      <c r="I1083" s="68">
        <v>0</v>
      </c>
      <c r="J1083" s="71">
        <v>42779</v>
      </c>
      <c r="K1083" s="71">
        <v>43151</v>
      </c>
      <c r="L1083" s="69" t="s">
        <v>108</v>
      </c>
      <c r="M1083" s="69" t="s">
        <v>109</v>
      </c>
      <c r="N1083" s="72">
        <v>42842</v>
      </c>
      <c r="O1083" s="67"/>
      <c r="P1083" s="67" t="s">
        <v>95</v>
      </c>
      <c r="Q1083" s="67" t="s">
        <v>120</v>
      </c>
      <c r="R1083" s="69" t="s">
        <v>69</v>
      </c>
      <c r="S1083" s="69" t="s">
        <v>123</v>
      </c>
      <c r="T1083" s="67"/>
      <c r="U1083" s="67"/>
      <c r="V1083" s="72">
        <v>42794</v>
      </c>
      <c r="W1083" s="69">
        <v>2025779</v>
      </c>
      <c r="X1083" s="69"/>
      <c r="Y1083" s="123"/>
      <c r="Z1083" s="30">
        <f t="shared" si="32"/>
        <v>6772.6006943194379</v>
      </c>
      <c r="AA1083" s="30">
        <f t="shared" si="33"/>
        <v>2116.4377169748245</v>
      </c>
      <c r="AB1083" t="s">
        <v>456</v>
      </c>
    </row>
    <row r="1084" spans="1:28">
      <c r="A1084" s="67" t="s">
        <v>113</v>
      </c>
      <c r="B1084" s="68">
        <v>1221150</v>
      </c>
      <c r="C1084" s="69">
        <v>4615416491</v>
      </c>
      <c r="D1084" s="70">
        <v>19200</v>
      </c>
      <c r="E1084" s="80"/>
      <c r="F1084" s="73">
        <v>16</v>
      </c>
      <c r="G1084" s="73">
        <v>5</v>
      </c>
      <c r="H1084" s="75">
        <v>0</v>
      </c>
      <c r="I1084" s="68">
        <v>0</v>
      </c>
      <c r="J1084" s="71">
        <v>42779</v>
      </c>
      <c r="K1084" s="71">
        <v>43165</v>
      </c>
      <c r="L1084" s="69" t="s">
        <v>108</v>
      </c>
      <c r="M1084" s="69" t="s">
        <v>109</v>
      </c>
      <c r="N1084" s="72">
        <v>42842</v>
      </c>
      <c r="O1084" s="67"/>
      <c r="P1084" s="67" t="s">
        <v>95</v>
      </c>
      <c r="Q1084" s="67" t="s">
        <v>110</v>
      </c>
      <c r="R1084" s="69" t="s">
        <v>69</v>
      </c>
      <c r="S1084" s="69" t="s">
        <v>115</v>
      </c>
      <c r="T1084" s="67"/>
      <c r="U1084" s="67"/>
      <c r="V1084" s="72">
        <v>42825</v>
      </c>
      <c r="W1084" s="69" t="s">
        <v>219</v>
      </c>
      <c r="X1084" s="69"/>
      <c r="Y1084" s="123"/>
      <c r="Z1084" s="30">
        <f t="shared" si="32"/>
        <v>6772.6006943194379</v>
      </c>
      <c r="AA1084" s="30">
        <f t="shared" si="33"/>
        <v>2116.4377169748245</v>
      </c>
      <c r="AB1084" t="s">
        <v>456</v>
      </c>
    </row>
    <row r="1085" spans="1:28">
      <c r="A1085" s="67" t="s">
        <v>113</v>
      </c>
      <c r="B1085" s="68">
        <v>1221146</v>
      </c>
      <c r="C1085" s="69">
        <v>4615416491</v>
      </c>
      <c r="D1085" s="70">
        <v>19200</v>
      </c>
      <c r="E1085" s="80"/>
      <c r="F1085" s="73">
        <v>16</v>
      </c>
      <c r="G1085" s="73">
        <v>5</v>
      </c>
      <c r="H1085" s="75">
        <v>0</v>
      </c>
      <c r="I1085" s="68">
        <v>0</v>
      </c>
      <c r="J1085" s="71">
        <v>42779</v>
      </c>
      <c r="K1085" s="71">
        <v>43165</v>
      </c>
      <c r="L1085" s="69" t="s">
        <v>108</v>
      </c>
      <c r="M1085" s="69" t="s">
        <v>109</v>
      </c>
      <c r="N1085" s="72">
        <v>42842</v>
      </c>
      <c r="O1085" s="67"/>
      <c r="P1085" s="67" t="s">
        <v>95</v>
      </c>
      <c r="Q1085" s="67" t="s">
        <v>110</v>
      </c>
      <c r="R1085" s="69" t="s">
        <v>69</v>
      </c>
      <c r="S1085" s="69" t="s">
        <v>115</v>
      </c>
      <c r="T1085" s="67"/>
      <c r="U1085" s="67"/>
      <c r="V1085" s="72">
        <v>42825</v>
      </c>
      <c r="W1085" s="69" t="s">
        <v>219</v>
      </c>
      <c r="X1085" s="69"/>
      <c r="Y1085" s="123"/>
      <c r="Z1085" s="30">
        <f t="shared" si="32"/>
        <v>6772.6006943194379</v>
      </c>
      <c r="AA1085" s="30">
        <f t="shared" si="33"/>
        <v>2116.4377169748245</v>
      </c>
      <c r="AB1085" t="s">
        <v>456</v>
      </c>
    </row>
    <row r="1086" spans="1:28">
      <c r="A1086" s="67" t="s">
        <v>113</v>
      </c>
      <c r="B1086" s="68">
        <v>1221142</v>
      </c>
      <c r="C1086" s="69">
        <v>4615416491</v>
      </c>
      <c r="D1086" s="70">
        <v>19200</v>
      </c>
      <c r="E1086" s="80"/>
      <c r="F1086" s="73">
        <v>16</v>
      </c>
      <c r="G1086" s="73">
        <v>5</v>
      </c>
      <c r="H1086" s="75">
        <v>0</v>
      </c>
      <c r="I1086" s="68">
        <v>0</v>
      </c>
      <c r="J1086" s="71">
        <v>42779</v>
      </c>
      <c r="K1086" s="71">
        <v>43165</v>
      </c>
      <c r="L1086" s="69" t="s">
        <v>108</v>
      </c>
      <c r="M1086" s="69" t="s">
        <v>109</v>
      </c>
      <c r="N1086" s="72">
        <v>42842</v>
      </c>
      <c r="O1086" s="67"/>
      <c r="P1086" s="67" t="s">
        <v>95</v>
      </c>
      <c r="Q1086" s="67" t="s">
        <v>110</v>
      </c>
      <c r="R1086" s="69" t="s">
        <v>69</v>
      </c>
      <c r="S1086" s="69" t="s">
        <v>115</v>
      </c>
      <c r="T1086" s="67"/>
      <c r="U1086" s="67"/>
      <c r="V1086" s="72">
        <v>42825</v>
      </c>
      <c r="W1086" s="69" t="s">
        <v>219</v>
      </c>
      <c r="X1086" s="69"/>
      <c r="Y1086" s="123"/>
      <c r="Z1086" s="30">
        <f t="shared" si="32"/>
        <v>6772.6006943194379</v>
      </c>
      <c r="AA1086" s="30">
        <f t="shared" si="33"/>
        <v>2116.4377169748245</v>
      </c>
      <c r="AB1086" t="s">
        <v>456</v>
      </c>
    </row>
    <row r="1087" spans="1:28">
      <c r="A1087" s="67" t="s">
        <v>113</v>
      </c>
      <c r="B1087" s="68">
        <v>1217638</v>
      </c>
      <c r="C1087" s="69">
        <v>4615405994</v>
      </c>
      <c r="D1087" s="70">
        <v>19200</v>
      </c>
      <c r="E1087" s="80"/>
      <c r="F1087" s="73">
        <v>16</v>
      </c>
      <c r="G1087" s="73" t="s">
        <v>114</v>
      </c>
      <c r="H1087" s="68">
        <v>0</v>
      </c>
      <c r="I1087" s="68">
        <v>0</v>
      </c>
      <c r="J1087" s="71">
        <v>42757</v>
      </c>
      <c r="K1087" s="71">
        <v>43165</v>
      </c>
      <c r="L1087" s="69" t="s">
        <v>108</v>
      </c>
      <c r="M1087" s="69" t="s">
        <v>109</v>
      </c>
      <c r="N1087" s="72">
        <v>42842</v>
      </c>
      <c r="O1087" s="67"/>
      <c r="P1087" s="67" t="s">
        <v>95</v>
      </c>
      <c r="Q1087" s="67" t="s">
        <v>110</v>
      </c>
      <c r="R1087" s="69" t="s">
        <v>69</v>
      </c>
      <c r="S1087" s="69" t="s">
        <v>115</v>
      </c>
      <c r="T1087" s="67"/>
      <c r="U1087" s="67"/>
      <c r="V1087" s="72">
        <v>42794</v>
      </c>
      <c r="W1087" s="69" t="s">
        <v>227</v>
      </c>
      <c r="X1087" s="69" t="s">
        <v>228</v>
      </c>
      <c r="Y1087" s="123"/>
      <c r="Z1087" s="30">
        <f t="shared" si="32"/>
        <v>6772.6006943194379</v>
      </c>
      <c r="AA1087" s="30">
        <f t="shared" si="33"/>
        <v>0</v>
      </c>
      <c r="AB1087" t="s">
        <v>456</v>
      </c>
    </row>
    <row r="1088" spans="1:28">
      <c r="A1088" s="67" t="s">
        <v>136</v>
      </c>
      <c r="B1088" s="68">
        <v>1217629</v>
      </c>
      <c r="C1088" s="69">
        <v>4615465883</v>
      </c>
      <c r="D1088" s="70">
        <v>19200</v>
      </c>
      <c r="E1088" s="80"/>
      <c r="F1088" s="68">
        <v>10</v>
      </c>
      <c r="G1088" s="68">
        <v>0</v>
      </c>
      <c r="H1088" s="73">
        <v>0</v>
      </c>
      <c r="I1088" s="68">
        <v>0</v>
      </c>
      <c r="J1088" s="71">
        <v>42761</v>
      </c>
      <c r="K1088" s="71">
        <v>43131</v>
      </c>
      <c r="L1088" s="69" t="s">
        <v>137</v>
      </c>
      <c r="M1088" s="69" t="s">
        <v>109</v>
      </c>
      <c r="N1088" s="72">
        <v>42842</v>
      </c>
      <c r="O1088" s="67"/>
      <c r="P1088" s="67" t="s">
        <v>95</v>
      </c>
      <c r="Q1088" s="67" t="s">
        <v>129</v>
      </c>
      <c r="R1088" s="69" t="s">
        <v>69</v>
      </c>
      <c r="S1088" s="69" t="s">
        <v>138</v>
      </c>
      <c r="T1088" s="67"/>
      <c r="U1088" s="67"/>
      <c r="V1088" s="72">
        <v>42794</v>
      </c>
      <c r="W1088" s="69">
        <v>415570768</v>
      </c>
      <c r="X1088" s="69"/>
      <c r="Y1088" s="123"/>
      <c r="Z1088" s="30">
        <f t="shared" si="32"/>
        <v>4232.8754339496491</v>
      </c>
      <c r="AA1088" s="30">
        <f t="shared" si="33"/>
        <v>0</v>
      </c>
      <c r="AB1088" t="s">
        <v>456</v>
      </c>
    </row>
    <row r="1089" spans="1:28">
      <c r="A1089" s="67" t="s">
        <v>136</v>
      </c>
      <c r="B1089" s="68">
        <v>1217622</v>
      </c>
      <c r="C1089" s="69">
        <v>4615388845</v>
      </c>
      <c r="D1089" s="70">
        <v>19175</v>
      </c>
      <c r="E1089" s="80"/>
      <c r="F1089" s="73">
        <v>10</v>
      </c>
      <c r="G1089" s="73" t="s">
        <v>114</v>
      </c>
      <c r="H1089" s="73">
        <v>0</v>
      </c>
      <c r="I1089" s="68">
        <v>0</v>
      </c>
      <c r="J1089" s="71">
        <v>42761</v>
      </c>
      <c r="K1089" s="71">
        <v>43131</v>
      </c>
      <c r="L1089" s="69" t="s">
        <v>137</v>
      </c>
      <c r="M1089" s="69" t="s">
        <v>109</v>
      </c>
      <c r="N1089" s="72">
        <v>42842</v>
      </c>
      <c r="O1089" s="67"/>
      <c r="P1089" s="67" t="s">
        <v>95</v>
      </c>
      <c r="Q1089" s="67" t="s">
        <v>129</v>
      </c>
      <c r="R1089" s="69" t="s">
        <v>69</v>
      </c>
      <c r="S1089" s="69" t="s">
        <v>138</v>
      </c>
      <c r="T1089" s="67"/>
      <c r="U1089" s="67"/>
      <c r="V1089" s="72">
        <v>42825</v>
      </c>
      <c r="W1089" s="69">
        <v>415570028</v>
      </c>
      <c r="X1089" s="69"/>
      <c r="Y1089" s="123"/>
      <c r="Z1089" s="30">
        <f t="shared" si="32"/>
        <v>4227.3638773950279</v>
      </c>
      <c r="AA1089" s="30">
        <f t="shared" si="33"/>
        <v>0</v>
      </c>
      <c r="AB1089" t="s">
        <v>456</v>
      </c>
    </row>
    <row r="1090" spans="1:28">
      <c r="A1090" s="67" t="s">
        <v>118</v>
      </c>
      <c r="B1090" s="68">
        <v>1214187</v>
      </c>
      <c r="C1090" s="69">
        <v>4615410588</v>
      </c>
      <c r="D1090" s="70">
        <v>19175</v>
      </c>
      <c r="E1090" s="80"/>
      <c r="F1090" s="73">
        <v>10</v>
      </c>
      <c r="G1090" s="73" t="s">
        <v>114</v>
      </c>
      <c r="H1090" s="73">
        <v>0</v>
      </c>
      <c r="I1090" s="68">
        <v>0</v>
      </c>
      <c r="J1090" s="71">
        <v>42775</v>
      </c>
      <c r="K1090" s="71">
        <v>43131</v>
      </c>
      <c r="L1090" s="69" t="s">
        <v>137</v>
      </c>
      <c r="M1090" s="69" t="s">
        <v>109</v>
      </c>
      <c r="N1090" s="72">
        <v>42842</v>
      </c>
      <c r="O1090" s="67"/>
      <c r="P1090" s="67" t="s">
        <v>95</v>
      </c>
      <c r="Q1090" s="67" t="s">
        <v>120</v>
      </c>
      <c r="R1090" s="69" t="s">
        <v>69</v>
      </c>
      <c r="S1090" s="69" t="s">
        <v>121</v>
      </c>
      <c r="T1090" s="67"/>
      <c r="U1090" s="67"/>
      <c r="V1090" s="72">
        <v>42794</v>
      </c>
      <c r="W1090" s="69">
        <v>2026351</v>
      </c>
      <c r="X1090" s="69"/>
      <c r="Y1090" s="123"/>
      <c r="Z1090" s="30">
        <f t="shared" si="32"/>
        <v>4227.3638773950279</v>
      </c>
      <c r="AA1090" s="30">
        <f t="shared" si="33"/>
        <v>0</v>
      </c>
      <c r="AB1090" t="s">
        <v>456</v>
      </c>
    </row>
    <row r="1091" spans="1:28">
      <c r="A1091" s="67" t="s">
        <v>122</v>
      </c>
      <c r="B1091" s="68">
        <v>1215571</v>
      </c>
      <c r="C1091" s="69">
        <v>4615406082</v>
      </c>
      <c r="D1091" s="70">
        <v>19200</v>
      </c>
      <c r="E1091" s="80"/>
      <c r="F1091" s="73">
        <v>16</v>
      </c>
      <c r="G1091" s="73">
        <v>5</v>
      </c>
      <c r="H1091" s="68">
        <v>0</v>
      </c>
      <c r="I1091" s="68">
        <v>0</v>
      </c>
      <c r="J1091" s="71">
        <v>42743</v>
      </c>
      <c r="K1091" s="71">
        <v>43131</v>
      </c>
      <c r="L1091" s="69" t="s">
        <v>119</v>
      </c>
      <c r="M1091" s="69" t="s">
        <v>109</v>
      </c>
      <c r="N1091" s="72">
        <v>42842</v>
      </c>
      <c r="O1091" s="67"/>
      <c r="P1091" s="67" t="s">
        <v>95</v>
      </c>
      <c r="Q1091" s="67" t="s">
        <v>120</v>
      </c>
      <c r="R1091" s="69" t="s">
        <v>69</v>
      </c>
      <c r="S1091" s="69" t="s">
        <v>123</v>
      </c>
      <c r="T1091" s="67"/>
      <c r="U1091" s="67"/>
      <c r="V1091" s="72">
        <v>42766</v>
      </c>
      <c r="W1091" s="69">
        <v>2025761</v>
      </c>
      <c r="X1091" s="69"/>
      <c r="Y1091" s="123"/>
      <c r="Z1091" s="30">
        <f t="shared" ref="Z1091:Z1154" si="34">CONVERT(D1091,"kg","lbm")*F1091/100</f>
        <v>6772.6006943194379</v>
      </c>
      <c r="AA1091" s="30">
        <f t="shared" ref="AA1091:AA1154" si="35">CONVERT(D1091,"kg","lbm")*G1091/100</f>
        <v>2116.4377169748245</v>
      </c>
      <c r="AB1091" t="s">
        <v>456</v>
      </c>
    </row>
    <row r="1092" spans="1:28">
      <c r="A1092" s="67" t="s">
        <v>68</v>
      </c>
      <c r="B1092" s="68">
        <v>1216405</v>
      </c>
      <c r="C1092" s="69">
        <v>4615399341</v>
      </c>
      <c r="D1092" s="70">
        <v>19175</v>
      </c>
      <c r="E1092" s="80"/>
      <c r="F1092" s="68">
        <v>16</v>
      </c>
      <c r="G1092" s="68">
        <v>5</v>
      </c>
      <c r="H1092" s="68">
        <v>0</v>
      </c>
      <c r="I1092" s="68">
        <v>0</v>
      </c>
      <c r="J1092" s="71">
        <v>42747</v>
      </c>
      <c r="K1092" s="71">
        <v>43109</v>
      </c>
      <c r="L1092" s="69" t="s">
        <v>119</v>
      </c>
      <c r="M1092" s="69" t="s">
        <v>109</v>
      </c>
      <c r="N1092" s="72">
        <v>42842</v>
      </c>
      <c r="O1092" s="67"/>
      <c r="P1092" s="67" t="s">
        <v>95</v>
      </c>
      <c r="Q1092" s="67" t="s">
        <v>125</v>
      </c>
      <c r="R1092" s="69" t="s">
        <v>69</v>
      </c>
      <c r="S1092" s="69" t="s">
        <v>68</v>
      </c>
      <c r="T1092" s="67"/>
      <c r="U1092" s="67"/>
      <c r="V1092" s="72">
        <v>42766</v>
      </c>
      <c r="W1092" s="69">
        <v>5114730</v>
      </c>
      <c r="X1092" s="69"/>
      <c r="Y1092" s="123"/>
      <c r="Z1092" s="30">
        <f t="shared" si="34"/>
        <v>6763.7822038320437</v>
      </c>
      <c r="AA1092" s="30">
        <f t="shared" si="35"/>
        <v>2113.6819386975139</v>
      </c>
      <c r="AB1092" t="s">
        <v>456</v>
      </c>
    </row>
    <row r="1093" spans="1:28">
      <c r="A1093" s="67" t="s">
        <v>68</v>
      </c>
      <c r="B1093" s="68">
        <v>1216403</v>
      </c>
      <c r="C1093" s="69">
        <v>4615399341</v>
      </c>
      <c r="D1093" s="70">
        <v>19175</v>
      </c>
      <c r="E1093" s="80"/>
      <c r="F1093" s="68">
        <v>16</v>
      </c>
      <c r="G1093" s="68">
        <v>5</v>
      </c>
      <c r="H1093" s="68">
        <v>0</v>
      </c>
      <c r="I1093" s="68">
        <v>0</v>
      </c>
      <c r="J1093" s="71">
        <v>42747</v>
      </c>
      <c r="K1093" s="71">
        <v>43093</v>
      </c>
      <c r="L1093" s="69" t="s">
        <v>119</v>
      </c>
      <c r="M1093" s="69" t="s">
        <v>109</v>
      </c>
      <c r="N1093" s="72">
        <v>42842</v>
      </c>
      <c r="O1093" s="67"/>
      <c r="P1093" s="67" t="s">
        <v>95</v>
      </c>
      <c r="Q1093" s="67" t="s">
        <v>125</v>
      </c>
      <c r="R1093" s="69" t="s">
        <v>69</v>
      </c>
      <c r="S1093" s="69" t="s">
        <v>68</v>
      </c>
      <c r="T1093" s="67"/>
      <c r="U1093" s="67"/>
      <c r="V1093" s="72">
        <v>42766</v>
      </c>
      <c r="W1093" s="69">
        <v>5114730</v>
      </c>
      <c r="X1093" s="69"/>
      <c r="Y1093" s="123"/>
      <c r="Z1093" s="30">
        <f t="shared" si="34"/>
        <v>6763.7822038320437</v>
      </c>
      <c r="AA1093" s="30">
        <f t="shared" si="35"/>
        <v>2113.6819386975139</v>
      </c>
      <c r="AB1093" t="s">
        <v>456</v>
      </c>
    </row>
    <row r="1094" spans="1:28">
      <c r="A1094" s="67" t="s">
        <v>68</v>
      </c>
      <c r="B1094" s="68">
        <v>1216402</v>
      </c>
      <c r="C1094" s="69">
        <v>4615399341</v>
      </c>
      <c r="D1094" s="70">
        <v>19175</v>
      </c>
      <c r="E1094" s="80"/>
      <c r="F1094" s="68">
        <v>16</v>
      </c>
      <c r="G1094" s="68">
        <v>5</v>
      </c>
      <c r="H1094" s="68">
        <v>0</v>
      </c>
      <c r="I1094" s="68">
        <v>0</v>
      </c>
      <c r="J1094" s="71">
        <v>42747</v>
      </c>
      <c r="K1094" s="71">
        <v>43123</v>
      </c>
      <c r="L1094" s="69" t="s">
        <v>119</v>
      </c>
      <c r="M1094" s="69" t="s">
        <v>109</v>
      </c>
      <c r="N1094" s="72">
        <v>42842</v>
      </c>
      <c r="O1094" s="67"/>
      <c r="P1094" s="67" t="s">
        <v>95</v>
      </c>
      <c r="Q1094" s="67" t="s">
        <v>125</v>
      </c>
      <c r="R1094" s="69" t="s">
        <v>69</v>
      </c>
      <c r="S1094" s="69" t="s">
        <v>68</v>
      </c>
      <c r="T1094" s="67"/>
      <c r="U1094" s="67"/>
      <c r="V1094" s="72">
        <v>42766</v>
      </c>
      <c r="W1094" s="69">
        <v>5114730</v>
      </c>
      <c r="X1094" s="69"/>
      <c r="Y1094" s="123"/>
      <c r="Z1094" s="30">
        <f t="shared" si="34"/>
        <v>6763.7822038320437</v>
      </c>
      <c r="AA1094" s="30">
        <f t="shared" si="35"/>
        <v>2113.6819386975139</v>
      </c>
      <c r="AB1094" t="s">
        <v>456</v>
      </c>
    </row>
    <row r="1095" spans="1:28">
      <c r="A1095" s="67" t="s">
        <v>68</v>
      </c>
      <c r="B1095" s="68">
        <v>1216398</v>
      </c>
      <c r="C1095" s="69">
        <v>4615399341</v>
      </c>
      <c r="D1095" s="70">
        <v>19175</v>
      </c>
      <c r="E1095" s="80"/>
      <c r="F1095" s="68">
        <v>16</v>
      </c>
      <c r="G1095" s="68">
        <v>5</v>
      </c>
      <c r="H1095" s="73">
        <v>0</v>
      </c>
      <c r="I1095" s="68">
        <v>0</v>
      </c>
      <c r="J1095" s="71">
        <v>42747</v>
      </c>
      <c r="K1095" s="71">
        <v>43123</v>
      </c>
      <c r="L1095" s="69" t="s">
        <v>119</v>
      </c>
      <c r="M1095" s="69" t="s">
        <v>109</v>
      </c>
      <c r="N1095" s="72">
        <v>42842</v>
      </c>
      <c r="O1095" s="67"/>
      <c r="P1095" s="67" t="s">
        <v>95</v>
      </c>
      <c r="Q1095" s="67" t="s">
        <v>125</v>
      </c>
      <c r="R1095" s="69" t="s">
        <v>69</v>
      </c>
      <c r="S1095" s="69" t="s">
        <v>68</v>
      </c>
      <c r="T1095" s="67"/>
      <c r="U1095" s="67"/>
      <c r="V1095" s="72">
        <v>42766</v>
      </c>
      <c r="W1095" s="69">
        <v>5114730</v>
      </c>
      <c r="X1095" s="69"/>
      <c r="Y1095" s="123"/>
      <c r="Z1095" s="30">
        <f t="shared" si="34"/>
        <v>6763.7822038320437</v>
      </c>
      <c r="AA1095" s="30">
        <f t="shared" si="35"/>
        <v>2113.6819386975139</v>
      </c>
      <c r="AB1095" t="s">
        <v>456</v>
      </c>
    </row>
    <row r="1096" spans="1:28">
      <c r="A1096" s="67" t="s">
        <v>68</v>
      </c>
      <c r="B1096" s="68" t="s">
        <v>161</v>
      </c>
      <c r="C1096" s="69" t="s">
        <v>161</v>
      </c>
      <c r="D1096" s="70">
        <v>19175</v>
      </c>
      <c r="E1096" s="80"/>
      <c r="F1096" s="68">
        <v>16</v>
      </c>
      <c r="G1096" s="68" t="s">
        <v>114</v>
      </c>
      <c r="H1096" s="68">
        <v>0</v>
      </c>
      <c r="I1096" s="68">
        <v>0</v>
      </c>
      <c r="J1096" s="71"/>
      <c r="K1096" s="71">
        <v>43123</v>
      </c>
      <c r="L1096" s="69" t="s">
        <v>80</v>
      </c>
      <c r="M1096" s="69" t="s">
        <v>109</v>
      </c>
      <c r="N1096" s="72">
        <v>42840</v>
      </c>
      <c r="O1096" s="67"/>
      <c r="P1096" s="67" t="s">
        <v>95</v>
      </c>
      <c r="Q1096" s="67" t="s">
        <v>125</v>
      </c>
      <c r="R1096" s="69" t="s">
        <v>69</v>
      </c>
      <c r="S1096" s="69" t="s">
        <v>68</v>
      </c>
      <c r="T1096" s="67"/>
      <c r="U1096" s="67"/>
      <c r="V1096" s="72">
        <v>42766</v>
      </c>
      <c r="W1096" s="69">
        <v>5114717</v>
      </c>
      <c r="X1096" s="69" t="s">
        <v>229</v>
      </c>
      <c r="Y1096" s="123"/>
      <c r="Z1096" s="30">
        <f t="shared" si="34"/>
        <v>6763.7822038320437</v>
      </c>
      <c r="AA1096" s="30">
        <f t="shared" si="35"/>
        <v>0</v>
      </c>
      <c r="AB1096" t="s">
        <v>456</v>
      </c>
    </row>
    <row r="1097" spans="1:28">
      <c r="A1097" s="67" t="s">
        <v>131</v>
      </c>
      <c r="B1097" s="68">
        <v>1222646</v>
      </c>
      <c r="C1097" s="69">
        <v>4615426284</v>
      </c>
      <c r="D1097" s="70">
        <v>19200</v>
      </c>
      <c r="E1097" s="80"/>
      <c r="F1097" s="75">
        <v>154.4</v>
      </c>
      <c r="G1097" s="75" t="s">
        <v>114</v>
      </c>
      <c r="H1097" s="73">
        <v>0</v>
      </c>
      <c r="I1097" s="68">
        <v>0</v>
      </c>
      <c r="J1097" s="71">
        <v>42771</v>
      </c>
      <c r="K1097" s="71">
        <v>43123</v>
      </c>
      <c r="L1097" s="69" t="s">
        <v>108</v>
      </c>
      <c r="M1097" s="69" t="s">
        <v>109</v>
      </c>
      <c r="N1097" s="72">
        <v>42837</v>
      </c>
      <c r="O1097" s="67"/>
      <c r="P1097" s="67" t="s">
        <v>95</v>
      </c>
      <c r="Q1097" s="67" t="s">
        <v>125</v>
      </c>
      <c r="R1097" s="69" t="s">
        <v>69</v>
      </c>
      <c r="S1097" s="69" t="s">
        <v>134</v>
      </c>
      <c r="T1097" s="67"/>
      <c r="U1097" s="67"/>
      <c r="V1097" s="72">
        <v>42825</v>
      </c>
      <c r="W1097" s="69" t="s">
        <v>226</v>
      </c>
      <c r="X1097" s="69"/>
      <c r="Y1097" s="123"/>
      <c r="Z1097" s="30">
        <f t="shared" si="34"/>
        <v>65355.596700182585</v>
      </c>
      <c r="AA1097" s="30">
        <f t="shared" si="35"/>
        <v>0</v>
      </c>
      <c r="AB1097" t="s">
        <v>456</v>
      </c>
    </row>
    <row r="1098" spans="1:28">
      <c r="A1098" s="67" t="s">
        <v>122</v>
      </c>
      <c r="B1098" s="68">
        <v>1221640</v>
      </c>
      <c r="C1098" s="69">
        <v>4615394135</v>
      </c>
      <c r="D1098" s="70">
        <v>19200</v>
      </c>
      <c r="E1098" s="80"/>
      <c r="F1098" s="73">
        <v>16</v>
      </c>
      <c r="G1098" s="73">
        <v>5</v>
      </c>
      <c r="H1098" s="68">
        <v>0</v>
      </c>
      <c r="I1098" s="68">
        <v>0</v>
      </c>
      <c r="J1098" s="71">
        <v>42772</v>
      </c>
      <c r="K1098" s="71">
        <v>43123</v>
      </c>
      <c r="L1098" s="69" t="s">
        <v>108</v>
      </c>
      <c r="M1098" s="69" t="s">
        <v>109</v>
      </c>
      <c r="N1098" s="72">
        <v>42837</v>
      </c>
      <c r="O1098" s="67"/>
      <c r="P1098" s="67" t="s">
        <v>95</v>
      </c>
      <c r="Q1098" s="67" t="s">
        <v>120</v>
      </c>
      <c r="R1098" s="69" t="s">
        <v>69</v>
      </c>
      <c r="S1098" s="69" t="s">
        <v>123</v>
      </c>
      <c r="T1098" s="67"/>
      <c r="U1098" s="67"/>
      <c r="V1098" s="72">
        <v>42794</v>
      </c>
      <c r="W1098" s="69">
        <v>2025762</v>
      </c>
      <c r="X1098" s="69"/>
      <c r="Y1098" s="123"/>
      <c r="Z1098" s="30">
        <f t="shared" si="34"/>
        <v>6772.6006943194379</v>
      </c>
      <c r="AA1098" s="30">
        <f t="shared" si="35"/>
        <v>2116.4377169748245</v>
      </c>
      <c r="AB1098" t="s">
        <v>456</v>
      </c>
    </row>
    <row r="1099" spans="1:28">
      <c r="A1099" s="67" t="s">
        <v>122</v>
      </c>
      <c r="B1099" s="68">
        <v>1221597</v>
      </c>
      <c r="C1099" s="69">
        <v>4615412116</v>
      </c>
      <c r="D1099" s="70">
        <v>19200</v>
      </c>
      <c r="E1099" s="80"/>
      <c r="F1099" s="68">
        <v>16</v>
      </c>
      <c r="G1099" s="68">
        <v>5</v>
      </c>
      <c r="H1099" s="75">
        <v>0</v>
      </c>
      <c r="I1099" s="68">
        <v>0</v>
      </c>
      <c r="J1099" s="71">
        <v>42779</v>
      </c>
      <c r="K1099" s="71">
        <v>43123</v>
      </c>
      <c r="L1099" s="69" t="s">
        <v>108</v>
      </c>
      <c r="M1099" s="69" t="s">
        <v>109</v>
      </c>
      <c r="N1099" s="72">
        <v>42837</v>
      </c>
      <c r="O1099" s="67"/>
      <c r="P1099" s="67" t="s">
        <v>95</v>
      </c>
      <c r="Q1099" s="67" t="s">
        <v>120</v>
      </c>
      <c r="R1099" s="69" t="s">
        <v>69</v>
      </c>
      <c r="S1099" s="69" t="s">
        <v>123</v>
      </c>
      <c r="T1099" s="67"/>
      <c r="U1099" s="67"/>
      <c r="V1099" s="72">
        <v>42794</v>
      </c>
      <c r="W1099" s="69">
        <v>2025779</v>
      </c>
      <c r="X1099" s="69"/>
      <c r="Y1099" s="123"/>
      <c r="Z1099" s="30">
        <f t="shared" si="34"/>
        <v>6772.6006943194379</v>
      </c>
      <c r="AA1099" s="30">
        <f t="shared" si="35"/>
        <v>2116.4377169748245</v>
      </c>
      <c r="AB1099" t="s">
        <v>456</v>
      </c>
    </row>
    <row r="1100" spans="1:28">
      <c r="A1100" s="67" t="s">
        <v>122</v>
      </c>
      <c r="B1100" s="68">
        <v>1197350</v>
      </c>
      <c r="C1100" s="69">
        <v>4615415407</v>
      </c>
      <c r="D1100" s="70">
        <v>19200</v>
      </c>
      <c r="E1100" s="79"/>
      <c r="F1100" s="68">
        <v>16</v>
      </c>
      <c r="G1100" s="68">
        <v>5</v>
      </c>
      <c r="H1100" s="68">
        <v>0</v>
      </c>
      <c r="I1100" s="68">
        <v>0</v>
      </c>
      <c r="J1100" s="71">
        <v>42681</v>
      </c>
      <c r="K1100" s="71">
        <v>43109</v>
      </c>
      <c r="L1100" s="69" t="s">
        <v>119</v>
      </c>
      <c r="M1100" s="69" t="s">
        <v>109</v>
      </c>
      <c r="N1100" s="72">
        <v>42837</v>
      </c>
      <c r="O1100" s="67"/>
      <c r="P1100" s="67" t="s">
        <v>95</v>
      </c>
      <c r="Q1100" s="67" t="s">
        <v>120</v>
      </c>
      <c r="R1100" s="69" t="s">
        <v>69</v>
      </c>
      <c r="S1100" s="69" t="s">
        <v>123</v>
      </c>
      <c r="T1100" s="76"/>
      <c r="U1100" s="67"/>
      <c r="V1100" s="72">
        <v>42735</v>
      </c>
      <c r="W1100" s="69">
        <v>2018426</v>
      </c>
      <c r="X1100" s="69"/>
      <c r="Y1100" s="123"/>
      <c r="Z1100" s="30">
        <f t="shared" si="34"/>
        <v>6772.6006943194379</v>
      </c>
      <c r="AA1100" s="30">
        <f t="shared" si="35"/>
        <v>2116.4377169748245</v>
      </c>
      <c r="AB1100" t="s">
        <v>456</v>
      </c>
    </row>
    <row r="1101" spans="1:28">
      <c r="A1101" s="67" t="s">
        <v>136</v>
      </c>
      <c r="B1101" s="68">
        <v>1217625</v>
      </c>
      <c r="C1101" s="69">
        <v>4615422265</v>
      </c>
      <c r="D1101" s="70">
        <v>19175</v>
      </c>
      <c r="E1101" s="79"/>
      <c r="F1101" s="73">
        <v>10</v>
      </c>
      <c r="G1101" s="73" t="s">
        <v>114</v>
      </c>
      <c r="H1101" s="73">
        <v>0</v>
      </c>
      <c r="I1101" s="68">
        <v>0</v>
      </c>
      <c r="J1101" s="71">
        <v>42762</v>
      </c>
      <c r="K1101" s="71">
        <v>43123</v>
      </c>
      <c r="L1101" s="69" t="s">
        <v>137</v>
      </c>
      <c r="M1101" s="69" t="s">
        <v>109</v>
      </c>
      <c r="N1101" s="72">
        <v>42836</v>
      </c>
      <c r="O1101" s="67"/>
      <c r="P1101" s="67" t="s">
        <v>95</v>
      </c>
      <c r="Q1101" s="67" t="s">
        <v>129</v>
      </c>
      <c r="R1101" s="69" t="s">
        <v>69</v>
      </c>
      <c r="S1101" s="69" t="s">
        <v>138</v>
      </c>
      <c r="T1101" s="76"/>
      <c r="U1101" s="67"/>
      <c r="V1101" s="72">
        <v>42825</v>
      </c>
      <c r="W1101" s="69">
        <v>415570140</v>
      </c>
      <c r="X1101" s="69"/>
      <c r="Y1101" s="123"/>
      <c r="Z1101" s="30">
        <f t="shared" si="34"/>
        <v>4227.3638773950279</v>
      </c>
      <c r="AA1101" s="30">
        <f t="shared" si="35"/>
        <v>0</v>
      </c>
      <c r="AB1101" t="s">
        <v>456</v>
      </c>
    </row>
    <row r="1102" spans="1:28">
      <c r="A1102" s="67" t="s">
        <v>122</v>
      </c>
      <c r="B1102" s="68">
        <v>1230913</v>
      </c>
      <c r="C1102" s="69">
        <v>4615401934</v>
      </c>
      <c r="D1102" s="70">
        <v>19200</v>
      </c>
      <c r="E1102" s="79"/>
      <c r="F1102" s="68">
        <v>16</v>
      </c>
      <c r="G1102" s="68">
        <v>5</v>
      </c>
      <c r="H1102" s="73">
        <v>0</v>
      </c>
      <c r="I1102" s="68">
        <v>0</v>
      </c>
      <c r="J1102" s="71">
        <v>42805</v>
      </c>
      <c r="K1102" s="71">
        <v>43123</v>
      </c>
      <c r="L1102" s="69" t="s">
        <v>132</v>
      </c>
      <c r="M1102" s="69" t="s">
        <v>109</v>
      </c>
      <c r="N1102" s="72">
        <v>42836</v>
      </c>
      <c r="O1102" s="67"/>
      <c r="P1102" s="67" t="s">
        <v>95</v>
      </c>
      <c r="Q1102" s="67" t="s">
        <v>120</v>
      </c>
      <c r="R1102" s="69" t="s">
        <v>69</v>
      </c>
      <c r="S1102" s="69" t="s">
        <v>123</v>
      </c>
      <c r="T1102" s="76"/>
      <c r="U1102" s="67"/>
      <c r="V1102" s="72">
        <v>42855</v>
      </c>
      <c r="W1102" s="69">
        <v>2025663</v>
      </c>
      <c r="X1102" s="69"/>
      <c r="Y1102" s="123"/>
      <c r="Z1102" s="30">
        <f t="shared" si="34"/>
        <v>6772.6006943194379</v>
      </c>
      <c r="AA1102" s="30">
        <f t="shared" si="35"/>
        <v>2116.4377169748245</v>
      </c>
      <c r="AB1102" t="s">
        <v>456</v>
      </c>
    </row>
    <row r="1103" spans="1:28">
      <c r="A1103" s="67" t="s">
        <v>122</v>
      </c>
      <c r="B1103" s="68">
        <v>1230914</v>
      </c>
      <c r="C1103" s="69">
        <v>4615401934</v>
      </c>
      <c r="D1103" s="70">
        <v>19200</v>
      </c>
      <c r="E1103" s="79"/>
      <c r="F1103" s="68">
        <v>16</v>
      </c>
      <c r="G1103" s="68">
        <v>5</v>
      </c>
      <c r="H1103" s="73">
        <v>0</v>
      </c>
      <c r="I1103" s="68">
        <v>0</v>
      </c>
      <c r="J1103" s="71">
        <v>42805</v>
      </c>
      <c r="K1103" s="71">
        <v>43123</v>
      </c>
      <c r="L1103" s="69" t="s">
        <v>132</v>
      </c>
      <c r="M1103" s="69" t="s">
        <v>109</v>
      </c>
      <c r="N1103" s="72">
        <v>42836</v>
      </c>
      <c r="O1103" s="67"/>
      <c r="P1103" s="67" t="s">
        <v>95</v>
      </c>
      <c r="Q1103" s="67" t="s">
        <v>120</v>
      </c>
      <c r="R1103" s="69" t="s">
        <v>69</v>
      </c>
      <c r="S1103" s="69" t="s">
        <v>123</v>
      </c>
      <c r="T1103" s="76"/>
      <c r="U1103" s="67"/>
      <c r="V1103" s="72">
        <v>42855</v>
      </c>
      <c r="W1103" s="69">
        <v>2025663</v>
      </c>
      <c r="X1103" s="69"/>
      <c r="Y1103" s="123"/>
      <c r="Z1103" s="30">
        <f t="shared" si="34"/>
        <v>6772.6006943194379</v>
      </c>
      <c r="AA1103" s="30">
        <f t="shared" si="35"/>
        <v>2116.4377169748245</v>
      </c>
      <c r="AB1103" t="s">
        <v>456</v>
      </c>
    </row>
    <row r="1104" spans="1:28">
      <c r="A1104" s="67" t="s">
        <v>122</v>
      </c>
      <c r="B1104" s="68">
        <v>1230915</v>
      </c>
      <c r="C1104" s="69">
        <v>4615401934</v>
      </c>
      <c r="D1104" s="70">
        <v>19200</v>
      </c>
      <c r="E1104" s="79"/>
      <c r="F1104" s="68">
        <v>16</v>
      </c>
      <c r="G1104" s="68">
        <v>5</v>
      </c>
      <c r="H1104" s="73">
        <v>0</v>
      </c>
      <c r="I1104" s="68">
        <v>0</v>
      </c>
      <c r="J1104" s="71">
        <v>42805</v>
      </c>
      <c r="K1104" s="71">
        <v>43123</v>
      </c>
      <c r="L1104" s="69" t="s">
        <v>132</v>
      </c>
      <c r="M1104" s="69" t="s">
        <v>109</v>
      </c>
      <c r="N1104" s="72">
        <v>42836</v>
      </c>
      <c r="O1104" s="67"/>
      <c r="P1104" s="67" t="s">
        <v>95</v>
      </c>
      <c r="Q1104" s="67" t="s">
        <v>120</v>
      </c>
      <c r="R1104" s="69" t="s">
        <v>69</v>
      </c>
      <c r="S1104" s="69" t="s">
        <v>123</v>
      </c>
      <c r="T1104" s="76"/>
      <c r="U1104" s="67"/>
      <c r="V1104" s="72">
        <v>42855</v>
      </c>
      <c r="W1104" s="69">
        <v>2025663</v>
      </c>
      <c r="X1104" s="69"/>
      <c r="Y1104" s="123"/>
      <c r="Z1104" s="30">
        <f t="shared" si="34"/>
        <v>6772.6006943194379</v>
      </c>
      <c r="AA1104" s="30">
        <f t="shared" si="35"/>
        <v>2116.4377169748245</v>
      </c>
      <c r="AB1104" t="s">
        <v>456</v>
      </c>
    </row>
    <row r="1105" spans="1:28">
      <c r="A1105" s="67" t="s">
        <v>122</v>
      </c>
      <c r="B1105" s="68">
        <v>1229034</v>
      </c>
      <c r="C1105" s="69">
        <v>4615401934</v>
      </c>
      <c r="D1105" s="70">
        <v>19200</v>
      </c>
      <c r="E1105" s="79"/>
      <c r="F1105" s="68">
        <v>16</v>
      </c>
      <c r="G1105" s="68">
        <v>5</v>
      </c>
      <c r="H1105" s="73">
        <v>0</v>
      </c>
      <c r="I1105" s="68">
        <v>0</v>
      </c>
      <c r="J1105" s="71">
        <v>42805</v>
      </c>
      <c r="K1105" s="71">
        <v>43123</v>
      </c>
      <c r="L1105" s="69" t="s">
        <v>132</v>
      </c>
      <c r="M1105" s="69" t="s">
        <v>109</v>
      </c>
      <c r="N1105" s="72">
        <v>42836</v>
      </c>
      <c r="O1105" s="67"/>
      <c r="P1105" s="67" t="s">
        <v>95</v>
      </c>
      <c r="Q1105" s="67" t="s">
        <v>120</v>
      </c>
      <c r="R1105" s="69" t="s">
        <v>69</v>
      </c>
      <c r="S1105" s="69" t="s">
        <v>123</v>
      </c>
      <c r="T1105" s="76"/>
      <c r="U1105" s="67"/>
      <c r="V1105" s="72">
        <v>42855</v>
      </c>
      <c r="W1105" s="69">
        <v>2025663</v>
      </c>
      <c r="X1105" s="69"/>
      <c r="Y1105" s="123"/>
      <c r="Z1105" s="30">
        <f t="shared" si="34"/>
        <v>6772.6006943194379</v>
      </c>
      <c r="AA1105" s="30">
        <f t="shared" si="35"/>
        <v>2116.4377169748245</v>
      </c>
      <c r="AB1105" t="s">
        <v>456</v>
      </c>
    </row>
    <row r="1106" spans="1:28">
      <c r="A1106" s="67" t="s">
        <v>122</v>
      </c>
      <c r="B1106" s="68">
        <v>1229038</v>
      </c>
      <c r="C1106" s="69">
        <v>4615401934</v>
      </c>
      <c r="D1106" s="70">
        <v>19200</v>
      </c>
      <c r="E1106" s="79"/>
      <c r="F1106" s="68">
        <v>16</v>
      </c>
      <c r="G1106" s="68">
        <v>5</v>
      </c>
      <c r="H1106" s="73">
        <v>0</v>
      </c>
      <c r="I1106" s="68">
        <v>0</v>
      </c>
      <c r="J1106" s="71">
        <v>42805</v>
      </c>
      <c r="K1106" s="71">
        <v>43123</v>
      </c>
      <c r="L1106" s="69" t="s">
        <v>132</v>
      </c>
      <c r="M1106" s="69" t="s">
        <v>109</v>
      </c>
      <c r="N1106" s="72">
        <v>42836</v>
      </c>
      <c r="O1106" s="67"/>
      <c r="P1106" s="67" t="s">
        <v>95</v>
      </c>
      <c r="Q1106" s="67" t="s">
        <v>120</v>
      </c>
      <c r="R1106" s="69" t="s">
        <v>69</v>
      </c>
      <c r="S1106" s="69" t="s">
        <v>123</v>
      </c>
      <c r="T1106" s="76"/>
      <c r="U1106" s="67"/>
      <c r="V1106" s="72">
        <v>42855</v>
      </c>
      <c r="W1106" s="69">
        <v>2025663</v>
      </c>
      <c r="X1106" s="69"/>
      <c r="Y1106" s="123"/>
      <c r="Z1106" s="30">
        <f t="shared" si="34"/>
        <v>6772.6006943194379</v>
      </c>
      <c r="AA1106" s="30">
        <f t="shared" si="35"/>
        <v>2116.4377169748245</v>
      </c>
      <c r="AB1106" t="s">
        <v>456</v>
      </c>
    </row>
    <row r="1107" spans="1:28">
      <c r="A1107" s="67" t="s">
        <v>136</v>
      </c>
      <c r="B1107" s="68">
        <v>1217628</v>
      </c>
      <c r="C1107" s="69">
        <v>4615465883</v>
      </c>
      <c r="D1107" s="70">
        <v>19200</v>
      </c>
      <c r="E1107" s="79"/>
      <c r="F1107" s="68">
        <v>10</v>
      </c>
      <c r="G1107" s="68">
        <v>0</v>
      </c>
      <c r="H1107" s="73">
        <v>0</v>
      </c>
      <c r="I1107" s="68">
        <v>0</v>
      </c>
      <c r="J1107" s="71">
        <v>42761</v>
      </c>
      <c r="K1107" s="71">
        <v>43123</v>
      </c>
      <c r="L1107" s="69" t="s">
        <v>137</v>
      </c>
      <c r="M1107" s="69" t="s">
        <v>109</v>
      </c>
      <c r="N1107" s="72">
        <v>42836</v>
      </c>
      <c r="O1107" s="67"/>
      <c r="P1107" s="67" t="s">
        <v>95</v>
      </c>
      <c r="Q1107" s="67" t="s">
        <v>129</v>
      </c>
      <c r="R1107" s="69" t="s">
        <v>69</v>
      </c>
      <c r="S1107" s="69" t="s">
        <v>138</v>
      </c>
      <c r="T1107" s="76"/>
      <c r="U1107" s="67"/>
      <c r="V1107" s="72">
        <v>42794</v>
      </c>
      <c r="W1107" s="69">
        <v>415570768</v>
      </c>
      <c r="X1107" s="69"/>
      <c r="Y1107" s="123"/>
      <c r="Z1107" s="30">
        <f t="shared" si="34"/>
        <v>4232.8754339496491</v>
      </c>
      <c r="AA1107" s="30">
        <f t="shared" si="35"/>
        <v>0</v>
      </c>
      <c r="AB1107" t="s">
        <v>456</v>
      </c>
    </row>
    <row r="1108" spans="1:28">
      <c r="A1108" s="67" t="s">
        <v>122</v>
      </c>
      <c r="B1108" s="68">
        <v>1213518</v>
      </c>
      <c r="C1108" s="69">
        <v>4615414809</v>
      </c>
      <c r="D1108" s="70">
        <v>19175</v>
      </c>
      <c r="E1108" s="79"/>
      <c r="F1108" s="73">
        <v>16</v>
      </c>
      <c r="G1108" s="73">
        <v>5</v>
      </c>
      <c r="H1108" s="68">
        <v>0</v>
      </c>
      <c r="I1108" s="68">
        <v>0</v>
      </c>
      <c r="J1108" s="71">
        <v>42755</v>
      </c>
      <c r="K1108" s="71">
        <v>43123</v>
      </c>
      <c r="L1108" s="69" t="s">
        <v>119</v>
      </c>
      <c r="M1108" s="69" t="s">
        <v>109</v>
      </c>
      <c r="N1108" s="72">
        <v>42836</v>
      </c>
      <c r="O1108" s="67"/>
      <c r="P1108" s="67" t="s">
        <v>95</v>
      </c>
      <c r="Q1108" s="67" t="s">
        <v>120</v>
      </c>
      <c r="R1108" s="69" t="s">
        <v>69</v>
      </c>
      <c r="S1108" s="69" t="s">
        <v>123</v>
      </c>
      <c r="T1108" s="76"/>
      <c r="U1108" s="67"/>
      <c r="V1108" s="72">
        <v>42766</v>
      </c>
      <c r="W1108" s="69">
        <v>2025746</v>
      </c>
      <c r="X1108" s="69"/>
      <c r="Y1108" s="123"/>
      <c r="Z1108" s="30">
        <f t="shared" si="34"/>
        <v>6763.7822038320437</v>
      </c>
      <c r="AA1108" s="30">
        <f t="shared" si="35"/>
        <v>2113.6819386975139</v>
      </c>
      <c r="AB1108" t="s">
        <v>456</v>
      </c>
    </row>
    <row r="1109" spans="1:28">
      <c r="A1109" s="67" t="s">
        <v>122</v>
      </c>
      <c r="B1109" s="68">
        <v>1180473</v>
      </c>
      <c r="C1109" s="69">
        <v>4615432018</v>
      </c>
      <c r="D1109" s="70">
        <v>19200</v>
      </c>
      <c r="E1109" s="79"/>
      <c r="F1109" s="68">
        <v>16</v>
      </c>
      <c r="G1109" s="68">
        <v>5</v>
      </c>
      <c r="H1109" s="68">
        <v>0</v>
      </c>
      <c r="I1109" s="68">
        <v>0</v>
      </c>
      <c r="J1109" s="71"/>
      <c r="K1109" s="71">
        <v>43123</v>
      </c>
      <c r="L1109" s="69" t="s">
        <v>80</v>
      </c>
      <c r="M1109" s="69" t="s">
        <v>109</v>
      </c>
      <c r="N1109" s="72">
        <v>42836</v>
      </c>
      <c r="O1109" s="67"/>
      <c r="P1109" s="67" t="s">
        <v>95</v>
      </c>
      <c r="Q1109" s="67" t="s">
        <v>120</v>
      </c>
      <c r="R1109" s="69" t="s">
        <v>69</v>
      </c>
      <c r="S1109" s="69" t="s">
        <v>123</v>
      </c>
      <c r="T1109" s="76"/>
      <c r="U1109" s="67"/>
      <c r="V1109" s="72">
        <v>42704</v>
      </c>
      <c r="W1109" s="69">
        <v>2027769</v>
      </c>
      <c r="X1109" s="69" t="s">
        <v>230</v>
      </c>
      <c r="Y1109" s="123"/>
      <c r="Z1109" s="30">
        <f t="shared" si="34"/>
        <v>6772.6006943194379</v>
      </c>
      <c r="AA1109" s="30">
        <f t="shared" si="35"/>
        <v>2116.4377169748245</v>
      </c>
      <c r="AB1109" t="s">
        <v>456</v>
      </c>
    </row>
    <row r="1110" spans="1:28">
      <c r="A1110" s="67" t="s">
        <v>131</v>
      </c>
      <c r="B1110" s="68">
        <v>1222647</v>
      </c>
      <c r="C1110" s="69">
        <v>4615426284</v>
      </c>
      <c r="D1110" s="70">
        <v>19200</v>
      </c>
      <c r="E1110" s="79"/>
      <c r="F1110" s="75">
        <v>154.4</v>
      </c>
      <c r="G1110" s="75" t="s">
        <v>114</v>
      </c>
      <c r="H1110" s="73">
        <v>0</v>
      </c>
      <c r="I1110" s="68">
        <v>0</v>
      </c>
      <c r="J1110" s="71">
        <v>42771</v>
      </c>
      <c r="K1110" s="71">
        <v>43086</v>
      </c>
      <c r="L1110" s="69" t="s">
        <v>108</v>
      </c>
      <c r="M1110" s="69" t="s">
        <v>109</v>
      </c>
      <c r="N1110" s="72">
        <v>42835</v>
      </c>
      <c r="O1110" s="67"/>
      <c r="P1110" s="67" t="s">
        <v>95</v>
      </c>
      <c r="Q1110" s="67" t="s">
        <v>125</v>
      </c>
      <c r="R1110" s="69" t="s">
        <v>69</v>
      </c>
      <c r="S1110" s="69" t="s">
        <v>134</v>
      </c>
      <c r="T1110" s="76"/>
      <c r="U1110" s="67"/>
      <c r="V1110" s="72">
        <v>42825</v>
      </c>
      <c r="W1110" s="69" t="s">
        <v>226</v>
      </c>
      <c r="X1110" s="69"/>
      <c r="Y1110" s="123"/>
      <c r="Z1110" s="30">
        <f t="shared" si="34"/>
        <v>65355.596700182585</v>
      </c>
      <c r="AA1110" s="30">
        <f t="shared" si="35"/>
        <v>0</v>
      </c>
      <c r="AB1110" t="s">
        <v>456</v>
      </c>
    </row>
    <row r="1111" spans="1:28">
      <c r="A1111" s="67" t="s">
        <v>122</v>
      </c>
      <c r="B1111" s="68">
        <v>1229039</v>
      </c>
      <c r="C1111" s="69">
        <v>4615401934</v>
      </c>
      <c r="D1111" s="70">
        <v>19200</v>
      </c>
      <c r="E1111" s="79"/>
      <c r="F1111" s="68">
        <v>16</v>
      </c>
      <c r="G1111" s="68">
        <v>5</v>
      </c>
      <c r="H1111" s="73">
        <v>0</v>
      </c>
      <c r="I1111" s="68">
        <v>0</v>
      </c>
      <c r="J1111" s="71">
        <v>42805</v>
      </c>
      <c r="K1111" s="71">
        <v>43086</v>
      </c>
      <c r="L1111" s="69" t="s">
        <v>132</v>
      </c>
      <c r="M1111" s="69" t="s">
        <v>109</v>
      </c>
      <c r="N1111" s="72">
        <v>42835</v>
      </c>
      <c r="O1111" s="67"/>
      <c r="P1111" s="67" t="s">
        <v>95</v>
      </c>
      <c r="Q1111" s="67" t="s">
        <v>120</v>
      </c>
      <c r="R1111" s="69" t="s">
        <v>69</v>
      </c>
      <c r="S1111" s="69" t="s">
        <v>123</v>
      </c>
      <c r="T1111" s="76"/>
      <c r="U1111" s="67"/>
      <c r="V1111" s="72">
        <v>42855</v>
      </c>
      <c r="W1111" s="69">
        <v>2025663</v>
      </c>
      <c r="X1111" s="69"/>
      <c r="Y1111" s="123"/>
      <c r="Z1111" s="30">
        <f t="shared" si="34"/>
        <v>6772.6006943194379</v>
      </c>
      <c r="AA1111" s="30">
        <f t="shared" si="35"/>
        <v>2116.4377169748245</v>
      </c>
      <c r="AB1111" t="s">
        <v>456</v>
      </c>
    </row>
    <row r="1112" spans="1:28">
      <c r="A1112" s="67" t="s">
        <v>122</v>
      </c>
      <c r="B1112" s="68">
        <v>1229035</v>
      </c>
      <c r="C1112" s="69">
        <v>4615401934</v>
      </c>
      <c r="D1112" s="70">
        <v>19200</v>
      </c>
      <c r="E1112" s="79"/>
      <c r="F1112" s="68">
        <v>16</v>
      </c>
      <c r="G1112" s="68">
        <v>5</v>
      </c>
      <c r="H1112" s="73">
        <v>0</v>
      </c>
      <c r="I1112" s="68">
        <v>0</v>
      </c>
      <c r="J1112" s="71">
        <v>42805</v>
      </c>
      <c r="K1112" s="71">
        <v>43086</v>
      </c>
      <c r="L1112" s="69" t="s">
        <v>132</v>
      </c>
      <c r="M1112" s="69" t="s">
        <v>109</v>
      </c>
      <c r="N1112" s="72">
        <v>42835</v>
      </c>
      <c r="O1112" s="67"/>
      <c r="P1112" s="67" t="s">
        <v>95</v>
      </c>
      <c r="Q1112" s="67" t="s">
        <v>120</v>
      </c>
      <c r="R1112" s="69" t="s">
        <v>69</v>
      </c>
      <c r="S1112" s="69" t="s">
        <v>123</v>
      </c>
      <c r="T1112" s="76"/>
      <c r="U1112" s="67"/>
      <c r="V1112" s="72">
        <v>42855</v>
      </c>
      <c r="W1112" s="69">
        <v>2025663</v>
      </c>
      <c r="X1112" s="69"/>
      <c r="Y1112" s="123"/>
      <c r="Z1112" s="30">
        <f t="shared" si="34"/>
        <v>6772.6006943194379</v>
      </c>
      <c r="AA1112" s="30">
        <f t="shared" si="35"/>
        <v>2116.4377169748245</v>
      </c>
      <c r="AB1112" t="s">
        <v>456</v>
      </c>
    </row>
    <row r="1113" spans="1:28">
      <c r="A1113" s="67" t="s">
        <v>122</v>
      </c>
      <c r="B1113" s="68">
        <v>1221598</v>
      </c>
      <c r="C1113" s="69">
        <v>4615412116</v>
      </c>
      <c r="D1113" s="70">
        <v>19200</v>
      </c>
      <c r="E1113" s="79"/>
      <c r="F1113" s="68">
        <v>16</v>
      </c>
      <c r="G1113" s="68">
        <v>5</v>
      </c>
      <c r="H1113" s="75">
        <v>0</v>
      </c>
      <c r="I1113" s="68">
        <v>0</v>
      </c>
      <c r="J1113" s="71">
        <v>42779</v>
      </c>
      <c r="K1113" s="71">
        <v>43086</v>
      </c>
      <c r="L1113" s="69" t="s">
        <v>108</v>
      </c>
      <c r="M1113" s="69" t="s">
        <v>109</v>
      </c>
      <c r="N1113" s="72">
        <v>42835</v>
      </c>
      <c r="O1113" s="67"/>
      <c r="P1113" s="67" t="s">
        <v>95</v>
      </c>
      <c r="Q1113" s="67" t="s">
        <v>120</v>
      </c>
      <c r="R1113" s="69" t="s">
        <v>69</v>
      </c>
      <c r="S1113" s="69" t="s">
        <v>123</v>
      </c>
      <c r="T1113" s="76"/>
      <c r="U1113" s="67"/>
      <c r="V1113" s="72">
        <v>42794</v>
      </c>
      <c r="W1113" s="69">
        <v>2025779</v>
      </c>
      <c r="X1113" s="69"/>
      <c r="Y1113" s="123"/>
      <c r="Z1113" s="30">
        <f t="shared" si="34"/>
        <v>6772.6006943194379</v>
      </c>
      <c r="AA1113" s="30">
        <f t="shared" si="35"/>
        <v>2116.4377169748245</v>
      </c>
      <c r="AB1113" t="s">
        <v>456</v>
      </c>
    </row>
    <row r="1114" spans="1:28">
      <c r="A1114" s="67" t="s">
        <v>113</v>
      </c>
      <c r="B1114" s="68">
        <v>1158214</v>
      </c>
      <c r="C1114" s="69">
        <v>4615411151</v>
      </c>
      <c r="D1114" s="70">
        <v>19175</v>
      </c>
      <c r="E1114" s="79"/>
      <c r="F1114" s="68">
        <v>16</v>
      </c>
      <c r="G1114" s="68" t="s">
        <v>114</v>
      </c>
      <c r="H1114" s="68">
        <v>0</v>
      </c>
      <c r="I1114" s="68">
        <v>0</v>
      </c>
      <c r="J1114" s="71"/>
      <c r="K1114" s="71">
        <v>43086</v>
      </c>
      <c r="L1114" s="69" t="s">
        <v>80</v>
      </c>
      <c r="M1114" s="69" t="s">
        <v>109</v>
      </c>
      <c r="N1114" s="72">
        <v>42835</v>
      </c>
      <c r="O1114" s="67"/>
      <c r="P1114" s="67" t="s">
        <v>95</v>
      </c>
      <c r="Q1114" s="67" t="s">
        <v>110</v>
      </c>
      <c r="R1114" s="69" t="s">
        <v>69</v>
      </c>
      <c r="S1114" s="69" t="s">
        <v>115</v>
      </c>
      <c r="T1114" s="76"/>
      <c r="U1114" s="67"/>
      <c r="V1114" s="72">
        <v>42613</v>
      </c>
      <c r="W1114" s="69" t="s">
        <v>231</v>
      </c>
      <c r="X1114" s="69" t="s">
        <v>232</v>
      </c>
      <c r="Y1114" s="123"/>
      <c r="Z1114" s="30">
        <f t="shared" si="34"/>
        <v>6763.7822038320437</v>
      </c>
      <c r="AA1114" s="30">
        <f t="shared" si="35"/>
        <v>0</v>
      </c>
      <c r="AB1114" t="s">
        <v>456</v>
      </c>
    </row>
    <row r="1115" spans="1:28">
      <c r="A1115" s="67" t="s">
        <v>122</v>
      </c>
      <c r="B1115" s="68">
        <v>1221638</v>
      </c>
      <c r="C1115" s="69">
        <v>4615394135</v>
      </c>
      <c r="D1115" s="70">
        <v>19200</v>
      </c>
      <c r="E1115" s="79"/>
      <c r="F1115" s="73">
        <v>16</v>
      </c>
      <c r="G1115" s="73">
        <v>5</v>
      </c>
      <c r="H1115" s="73">
        <v>0</v>
      </c>
      <c r="I1115" s="68">
        <v>0</v>
      </c>
      <c r="J1115" s="71">
        <v>42772</v>
      </c>
      <c r="K1115" s="71">
        <v>42750</v>
      </c>
      <c r="L1115" s="69" t="s">
        <v>108</v>
      </c>
      <c r="M1115" s="69" t="s">
        <v>109</v>
      </c>
      <c r="N1115" s="72">
        <v>42834</v>
      </c>
      <c r="O1115" s="67"/>
      <c r="P1115" s="67" t="s">
        <v>95</v>
      </c>
      <c r="Q1115" s="67" t="s">
        <v>120</v>
      </c>
      <c r="R1115" s="69" t="s">
        <v>69</v>
      </c>
      <c r="S1115" s="69" t="s">
        <v>123</v>
      </c>
      <c r="T1115" s="76"/>
      <c r="U1115" s="67"/>
      <c r="V1115" s="72">
        <v>42794</v>
      </c>
      <c r="W1115" s="69">
        <v>2025762</v>
      </c>
      <c r="X1115" s="69"/>
      <c r="Y1115" s="123"/>
      <c r="Z1115" s="30">
        <f t="shared" si="34"/>
        <v>6772.6006943194379</v>
      </c>
      <c r="AA1115" s="30">
        <f t="shared" si="35"/>
        <v>2116.4377169748245</v>
      </c>
      <c r="AB1115" t="s">
        <v>456</v>
      </c>
    </row>
    <row r="1116" spans="1:28">
      <c r="A1116" s="67" t="s">
        <v>122</v>
      </c>
      <c r="B1116" s="68">
        <v>1221641</v>
      </c>
      <c r="C1116" s="69">
        <v>4615394135</v>
      </c>
      <c r="D1116" s="70">
        <v>19200</v>
      </c>
      <c r="E1116" s="79"/>
      <c r="F1116" s="73">
        <v>16</v>
      </c>
      <c r="G1116" s="73">
        <v>5</v>
      </c>
      <c r="H1116" s="73">
        <v>0</v>
      </c>
      <c r="I1116" s="68">
        <v>0</v>
      </c>
      <c r="J1116" s="71">
        <v>42772</v>
      </c>
      <c r="K1116" s="71">
        <v>42750</v>
      </c>
      <c r="L1116" s="69" t="s">
        <v>108</v>
      </c>
      <c r="M1116" s="69" t="s">
        <v>109</v>
      </c>
      <c r="N1116" s="72">
        <v>42834</v>
      </c>
      <c r="O1116" s="67"/>
      <c r="P1116" s="67" t="s">
        <v>95</v>
      </c>
      <c r="Q1116" s="67" t="s">
        <v>120</v>
      </c>
      <c r="R1116" s="69" t="s">
        <v>69</v>
      </c>
      <c r="S1116" s="69" t="s">
        <v>123</v>
      </c>
      <c r="T1116" s="76"/>
      <c r="U1116" s="67"/>
      <c r="V1116" s="72">
        <v>42794</v>
      </c>
      <c r="W1116" s="69">
        <v>2025762</v>
      </c>
      <c r="X1116" s="69"/>
      <c r="Y1116" s="123"/>
      <c r="Z1116" s="30">
        <f t="shared" si="34"/>
        <v>6772.6006943194379</v>
      </c>
      <c r="AA1116" s="30">
        <f t="shared" si="35"/>
        <v>2116.4377169748245</v>
      </c>
      <c r="AB1116" t="s">
        <v>456</v>
      </c>
    </row>
    <row r="1117" spans="1:28">
      <c r="A1117" s="67" t="s">
        <v>122</v>
      </c>
      <c r="B1117" s="68">
        <v>1221642</v>
      </c>
      <c r="C1117" s="69">
        <v>4615394135</v>
      </c>
      <c r="D1117" s="70">
        <v>19200</v>
      </c>
      <c r="E1117" s="79"/>
      <c r="F1117" s="73">
        <v>16</v>
      </c>
      <c r="G1117" s="73">
        <v>5</v>
      </c>
      <c r="H1117" s="73">
        <v>0</v>
      </c>
      <c r="I1117" s="68">
        <v>0</v>
      </c>
      <c r="J1117" s="71">
        <v>42772</v>
      </c>
      <c r="K1117" s="71">
        <v>42750</v>
      </c>
      <c r="L1117" s="69" t="s">
        <v>108</v>
      </c>
      <c r="M1117" s="69" t="s">
        <v>109</v>
      </c>
      <c r="N1117" s="72">
        <v>42834</v>
      </c>
      <c r="O1117" s="67"/>
      <c r="P1117" s="67" t="s">
        <v>95</v>
      </c>
      <c r="Q1117" s="67" t="s">
        <v>120</v>
      </c>
      <c r="R1117" s="69" t="s">
        <v>69</v>
      </c>
      <c r="S1117" s="69" t="s">
        <v>123</v>
      </c>
      <c r="T1117" s="76"/>
      <c r="U1117" s="67"/>
      <c r="V1117" s="72">
        <v>42794</v>
      </c>
      <c r="W1117" s="69">
        <v>2025762</v>
      </c>
      <c r="X1117" s="69"/>
      <c r="Y1117" s="123"/>
      <c r="Z1117" s="30">
        <f t="shared" si="34"/>
        <v>6772.6006943194379</v>
      </c>
      <c r="AA1117" s="30">
        <f t="shared" si="35"/>
        <v>2116.4377169748245</v>
      </c>
      <c r="AB1117" t="s">
        <v>456</v>
      </c>
    </row>
    <row r="1118" spans="1:28">
      <c r="A1118" s="67" t="s">
        <v>122</v>
      </c>
      <c r="B1118" s="68">
        <v>1229037</v>
      </c>
      <c r="C1118" s="69">
        <v>4615401934</v>
      </c>
      <c r="D1118" s="70">
        <v>19200</v>
      </c>
      <c r="E1118" s="79"/>
      <c r="F1118" s="68">
        <v>16</v>
      </c>
      <c r="G1118" s="68">
        <v>5</v>
      </c>
      <c r="H1118" s="73">
        <v>0</v>
      </c>
      <c r="I1118" s="68">
        <v>0</v>
      </c>
      <c r="J1118" s="71">
        <v>42805</v>
      </c>
      <c r="K1118" s="71">
        <v>42757</v>
      </c>
      <c r="L1118" s="69" t="s">
        <v>132</v>
      </c>
      <c r="M1118" s="69" t="s">
        <v>109</v>
      </c>
      <c r="N1118" s="72">
        <v>42834</v>
      </c>
      <c r="O1118" s="67"/>
      <c r="P1118" s="67" t="s">
        <v>95</v>
      </c>
      <c r="Q1118" s="67" t="s">
        <v>120</v>
      </c>
      <c r="R1118" s="69" t="s">
        <v>69</v>
      </c>
      <c r="S1118" s="69" t="s">
        <v>123</v>
      </c>
      <c r="T1118" s="76"/>
      <c r="U1118" s="67"/>
      <c r="V1118" s="72">
        <v>42855</v>
      </c>
      <c r="W1118" s="69">
        <v>2025663</v>
      </c>
      <c r="X1118" s="69"/>
      <c r="Y1118" s="123"/>
      <c r="Z1118" s="30">
        <f t="shared" si="34"/>
        <v>6772.6006943194379</v>
      </c>
      <c r="AA1118" s="30">
        <f t="shared" si="35"/>
        <v>2116.4377169748245</v>
      </c>
      <c r="AB1118" t="s">
        <v>456</v>
      </c>
    </row>
    <row r="1119" spans="1:28">
      <c r="A1119" s="67" t="s">
        <v>122</v>
      </c>
      <c r="B1119" s="68">
        <v>1229036</v>
      </c>
      <c r="C1119" s="69">
        <v>4615401934</v>
      </c>
      <c r="D1119" s="70">
        <v>19200</v>
      </c>
      <c r="E1119" s="79"/>
      <c r="F1119" s="68">
        <v>16</v>
      </c>
      <c r="G1119" s="68">
        <v>5</v>
      </c>
      <c r="H1119" s="73">
        <v>0</v>
      </c>
      <c r="I1119" s="68">
        <v>0</v>
      </c>
      <c r="J1119" s="71">
        <v>42805</v>
      </c>
      <c r="K1119" s="71">
        <v>43080</v>
      </c>
      <c r="L1119" s="69" t="s">
        <v>132</v>
      </c>
      <c r="M1119" s="69" t="s">
        <v>109</v>
      </c>
      <c r="N1119" s="72">
        <v>42834</v>
      </c>
      <c r="O1119" s="67"/>
      <c r="P1119" s="67" t="s">
        <v>95</v>
      </c>
      <c r="Q1119" s="67" t="s">
        <v>120</v>
      </c>
      <c r="R1119" s="69" t="s">
        <v>69</v>
      </c>
      <c r="S1119" s="69" t="s">
        <v>123</v>
      </c>
      <c r="T1119" s="76"/>
      <c r="U1119" s="67"/>
      <c r="V1119" s="72">
        <v>42855</v>
      </c>
      <c r="W1119" s="69">
        <v>2025663</v>
      </c>
      <c r="X1119" s="69"/>
      <c r="Y1119" s="123"/>
      <c r="Z1119" s="30">
        <f t="shared" si="34"/>
        <v>6772.6006943194379</v>
      </c>
      <c r="AA1119" s="30">
        <f t="shared" si="35"/>
        <v>2116.4377169748245</v>
      </c>
      <c r="AB1119" t="s">
        <v>456</v>
      </c>
    </row>
    <row r="1120" spans="1:28">
      <c r="A1120" s="67" t="s">
        <v>113</v>
      </c>
      <c r="B1120" s="68">
        <v>1221144</v>
      </c>
      <c r="C1120" s="69">
        <v>4615416491</v>
      </c>
      <c r="D1120" s="70">
        <v>19200</v>
      </c>
      <c r="E1120" s="79"/>
      <c r="F1120" s="73">
        <v>16</v>
      </c>
      <c r="G1120" s="73">
        <v>5</v>
      </c>
      <c r="H1120" s="75">
        <v>0</v>
      </c>
      <c r="I1120" s="68">
        <v>0</v>
      </c>
      <c r="J1120" s="71">
        <v>42779</v>
      </c>
      <c r="K1120" s="71">
        <v>43080</v>
      </c>
      <c r="L1120" s="69" t="s">
        <v>108</v>
      </c>
      <c r="M1120" s="69" t="s">
        <v>109</v>
      </c>
      <c r="N1120" s="72">
        <v>42834</v>
      </c>
      <c r="O1120" s="67"/>
      <c r="P1120" s="67" t="s">
        <v>95</v>
      </c>
      <c r="Q1120" s="67" t="s">
        <v>110</v>
      </c>
      <c r="R1120" s="69" t="s">
        <v>69</v>
      </c>
      <c r="S1120" s="69" t="s">
        <v>115</v>
      </c>
      <c r="T1120" s="76"/>
      <c r="U1120" s="67"/>
      <c r="V1120" s="72">
        <v>42825</v>
      </c>
      <c r="W1120" s="69" t="s">
        <v>219</v>
      </c>
      <c r="X1120" s="69"/>
      <c r="Y1120" s="123"/>
      <c r="Z1120" s="30">
        <f t="shared" si="34"/>
        <v>6772.6006943194379</v>
      </c>
      <c r="AA1120" s="30">
        <f t="shared" si="35"/>
        <v>2116.4377169748245</v>
      </c>
      <c r="AB1120" t="s">
        <v>456</v>
      </c>
    </row>
    <row r="1121" spans="1:28">
      <c r="A1121" s="67" t="s">
        <v>122</v>
      </c>
      <c r="B1121" s="68">
        <v>1208790</v>
      </c>
      <c r="C1121" s="69">
        <v>4615414570</v>
      </c>
      <c r="D1121" s="70">
        <v>19175</v>
      </c>
      <c r="E1121" s="79"/>
      <c r="F1121" s="73">
        <v>16</v>
      </c>
      <c r="G1121" s="73">
        <v>5</v>
      </c>
      <c r="H1121" s="68">
        <v>0</v>
      </c>
      <c r="I1121" s="68">
        <v>0</v>
      </c>
      <c r="J1121" s="71">
        <v>42748</v>
      </c>
      <c r="K1121" s="71">
        <v>43080</v>
      </c>
      <c r="L1121" s="69" t="s">
        <v>119</v>
      </c>
      <c r="M1121" s="69" t="s">
        <v>109</v>
      </c>
      <c r="N1121" s="72">
        <v>42834</v>
      </c>
      <c r="O1121" s="67"/>
      <c r="P1121" s="67" t="s">
        <v>95</v>
      </c>
      <c r="Q1121" s="67" t="s">
        <v>120</v>
      </c>
      <c r="R1121" s="69" t="s">
        <v>69</v>
      </c>
      <c r="S1121" s="69" t="s">
        <v>123</v>
      </c>
      <c r="T1121" s="76"/>
      <c r="U1121" s="67"/>
      <c r="V1121" s="72">
        <v>42735</v>
      </c>
      <c r="W1121" s="69">
        <v>2025745</v>
      </c>
      <c r="X1121" s="69"/>
      <c r="Y1121" s="123"/>
      <c r="Z1121" s="30">
        <f t="shared" si="34"/>
        <v>6763.7822038320437</v>
      </c>
      <c r="AA1121" s="30">
        <f t="shared" si="35"/>
        <v>2113.6819386975139</v>
      </c>
      <c r="AB1121" t="s">
        <v>456</v>
      </c>
    </row>
    <row r="1122" spans="1:28">
      <c r="A1122" s="67" t="s">
        <v>136</v>
      </c>
      <c r="B1122" s="68">
        <v>1212469</v>
      </c>
      <c r="C1122" s="69">
        <v>4615465868</v>
      </c>
      <c r="D1122" s="70">
        <v>19200</v>
      </c>
      <c r="E1122" s="79"/>
      <c r="F1122" s="73">
        <v>10</v>
      </c>
      <c r="G1122" s="73">
        <v>0</v>
      </c>
      <c r="H1122" s="73">
        <v>0</v>
      </c>
      <c r="I1122" s="68">
        <v>0</v>
      </c>
      <c r="J1122" s="71">
        <v>42734</v>
      </c>
      <c r="K1122" s="71">
        <v>43117</v>
      </c>
      <c r="L1122" s="69" t="s">
        <v>137</v>
      </c>
      <c r="M1122" s="69" t="s">
        <v>109</v>
      </c>
      <c r="N1122" s="72">
        <v>42834</v>
      </c>
      <c r="O1122" s="67"/>
      <c r="P1122" s="67" t="s">
        <v>95</v>
      </c>
      <c r="Q1122" s="67" t="s">
        <v>129</v>
      </c>
      <c r="R1122" s="69" t="s">
        <v>69</v>
      </c>
      <c r="S1122" s="69" t="s">
        <v>138</v>
      </c>
      <c r="T1122" s="76"/>
      <c r="U1122" s="67"/>
      <c r="V1122" s="72">
        <v>42766</v>
      </c>
      <c r="W1122" s="69">
        <v>415561689</v>
      </c>
      <c r="X1122" s="69"/>
      <c r="Y1122" s="123"/>
      <c r="Z1122" s="30">
        <f t="shared" si="34"/>
        <v>4232.8754339496491</v>
      </c>
      <c r="AA1122" s="30">
        <f t="shared" si="35"/>
        <v>0</v>
      </c>
      <c r="AB1122" t="s">
        <v>456</v>
      </c>
    </row>
    <row r="1123" spans="1:28">
      <c r="A1123" s="67" t="s">
        <v>68</v>
      </c>
      <c r="B1123" s="68">
        <v>1216397</v>
      </c>
      <c r="C1123" s="69">
        <v>4615399341</v>
      </c>
      <c r="D1123" s="70">
        <v>19175</v>
      </c>
      <c r="E1123" s="79"/>
      <c r="F1123" s="68">
        <v>16</v>
      </c>
      <c r="G1123" s="68">
        <v>5</v>
      </c>
      <c r="H1123" s="68">
        <v>0</v>
      </c>
      <c r="I1123" s="68">
        <v>0</v>
      </c>
      <c r="J1123" s="71">
        <v>42747</v>
      </c>
      <c r="K1123" s="71">
        <v>43118</v>
      </c>
      <c r="L1123" s="69" t="s">
        <v>119</v>
      </c>
      <c r="M1123" s="69" t="s">
        <v>109</v>
      </c>
      <c r="N1123" s="72">
        <v>42834</v>
      </c>
      <c r="O1123" s="67"/>
      <c r="P1123" s="67" t="s">
        <v>95</v>
      </c>
      <c r="Q1123" s="67" t="s">
        <v>125</v>
      </c>
      <c r="R1123" s="69" t="s">
        <v>69</v>
      </c>
      <c r="S1123" s="69" t="s">
        <v>68</v>
      </c>
      <c r="T1123" s="76"/>
      <c r="U1123" s="67"/>
      <c r="V1123" s="72">
        <v>42766</v>
      </c>
      <c r="W1123" s="69">
        <v>5114730</v>
      </c>
      <c r="X1123" s="69"/>
      <c r="Y1123" s="123"/>
      <c r="Z1123" s="30">
        <f t="shared" si="34"/>
        <v>6763.7822038320437</v>
      </c>
      <c r="AA1123" s="30">
        <f t="shared" si="35"/>
        <v>2113.6819386975139</v>
      </c>
      <c r="AB1123" t="s">
        <v>456</v>
      </c>
    </row>
    <row r="1124" spans="1:28">
      <c r="A1124" s="67" t="s">
        <v>68</v>
      </c>
      <c r="B1124" s="68">
        <v>1216410</v>
      </c>
      <c r="C1124" s="69">
        <v>4615399341</v>
      </c>
      <c r="D1124" s="70">
        <v>19175</v>
      </c>
      <c r="E1124" s="79"/>
      <c r="F1124" s="68">
        <v>16</v>
      </c>
      <c r="G1124" s="68">
        <v>5</v>
      </c>
      <c r="H1124" s="68">
        <v>0</v>
      </c>
      <c r="I1124" s="68">
        <v>0</v>
      </c>
      <c r="J1124" s="71">
        <v>42747</v>
      </c>
      <c r="K1124" s="71">
        <v>43118</v>
      </c>
      <c r="L1124" s="69" t="s">
        <v>119</v>
      </c>
      <c r="M1124" s="69" t="s">
        <v>109</v>
      </c>
      <c r="N1124" s="72">
        <v>42834</v>
      </c>
      <c r="O1124" s="67"/>
      <c r="P1124" s="67" t="s">
        <v>95</v>
      </c>
      <c r="Q1124" s="67" t="s">
        <v>125</v>
      </c>
      <c r="R1124" s="69" t="s">
        <v>69</v>
      </c>
      <c r="S1124" s="69" t="s">
        <v>68</v>
      </c>
      <c r="T1124" s="76"/>
      <c r="U1124" s="67"/>
      <c r="V1124" s="72">
        <v>42766</v>
      </c>
      <c r="W1124" s="69">
        <v>5114730</v>
      </c>
      <c r="X1124" s="69"/>
      <c r="Y1124" s="123"/>
      <c r="Z1124" s="30">
        <f t="shared" si="34"/>
        <v>6763.7822038320437</v>
      </c>
      <c r="AA1124" s="30">
        <f t="shared" si="35"/>
        <v>2113.6819386975139</v>
      </c>
      <c r="AB1124" t="s">
        <v>456</v>
      </c>
    </row>
    <row r="1125" spans="1:28">
      <c r="A1125" s="67" t="s">
        <v>68</v>
      </c>
      <c r="B1125" s="68">
        <v>1216399</v>
      </c>
      <c r="C1125" s="69">
        <v>4615399341</v>
      </c>
      <c r="D1125" s="70">
        <v>19175</v>
      </c>
      <c r="E1125" s="79"/>
      <c r="F1125" s="68">
        <v>16</v>
      </c>
      <c r="G1125" s="68">
        <v>5</v>
      </c>
      <c r="H1125" s="68">
        <v>0</v>
      </c>
      <c r="I1125" s="68">
        <v>0</v>
      </c>
      <c r="J1125" s="71">
        <v>42747</v>
      </c>
      <c r="K1125" s="71">
        <v>43118</v>
      </c>
      <c r="L1125" s="69" t="s">
        <v>119</v>
      </c>
      <c r="M1125" s="69" t="s">
        <v>109</v>
      </c>
      <c r="N1125" s="72">
        <v>42834</v>
      </c>
      <c r="O1125" s="67"/>
      <c r="P1125" s="67" t="s">
        <v>95</v>
      </c>
      <c r="Q1125" s="67" t="s">
        <v>125</v>
      </c>
      <c r="R1125" s="69" t="s">
        <v>69</v>
      </c>
      <c r="S1125" s="69" t="s">
        <v>68</v>
      </c>
      <c r="T1125" s="76"/>
      <c r="U1125" s="67"/>
      <c r="V1125" s="72">
        <v>42766</v>
      </c>
      <c r="W1125" s="69">
        <v>5114730</v>
      </c>
      <c r="X1125" s="69"/>
      <c r="Y1125" s="123"/>
      <c r="Z1125" s="30">
        <f t="shared" si="34"/>
        <v>6763.7822038320437</v>
      </c>
      <c r="AA1125" s="30">
        <f t="shared" si="35"/>
        <v>2113.6819386975139</v>
      </c>
      <c r="AB1125" t="s">
        <v>456</v>
      </c>
    </row>
    <row r="1126" spans="1:28">
      <c r="A1126" s="67" t="s">
        <v>131</v>
      </c>
      <c r="B1126" s="68">
        <v>1213500</v>
      </c>
      <c r="C1126" s="69">
        <v>4615426778</v>
      </c>
      <c r="D1126" s="70">
        <v>19200</v>
      </c>
      <c r="E1126" s="79"/>
      <c r="F1126" s="75">
        <v>154.4</v>
      </c>
      <c r="G1126" s="75" t="s">
        <v>114</v>
      </c>
      <c r="H1126" s="73">
        <v>0</v>
      </c>
      <c r="I1126" s="68">
        <v>0</v>
      </c>
      <c r="J1126" s="71">
        <v>42751</v>
      </c>
      <c r="K1126" s="71">
        <v>43142</v>
      </c>
      <c r="L1126" s="69" t="s">
        <v>108</v>
      </c>
      <c r="M1126" s="69" t="s">
        <v>109</v>
      </c>
      <c r="N1126" s="72">
        <v>42831</v>
      </c>
      <c r="O1126" s="67"/>
      <c r="P1126" s="67" t="s">
        <v>95</v>
      </c>
      <c r="Q1126" s="67" t="s">
        <v>125</v>
      </c>
      <c r="R1126" s="69" t="s">
        <v>69</v>
      </c>
      <c r="S1126" s="69" t="s">
        <v>134</v>
      </c>
      <c r="T1126" s="76"/>
      <c r="U1126" s="67"/>
      <c r="V1126" s="72">
        <v>42794</v>
      </c>
      <c r="W1126" s="69" t="s">
        <v>233</v>
      </c>
      <c r="X1126" s="69"/>
      <c r="Y1126" s="123"/>
      <c r="Z1126" s="30">
        <f t="shared" si="34"/>
        <v>65355.596700182585</v>
      </c>
      <c r="AA1126" s="30">
        <f t="shared" si="35"/>
        <v>0</v>
      </c>
      <c r="AB1126" t="s">
        <v>456</v>
      </c>
    </row>
    <row r="1127" spans="1:28">
      <c r="A1127" s="67" t="s">
        <v>136</v>
      </c>
      <c r="B1127" s="68">
        <v>1212467</v>
      </c>
      <c r="C1127" s="69">
        <v>4615465868</v>
      </c>
      <c r="D1127" s="70">
        <v>19200</v>
      </c>
      <c r="E1127" s="79"/>
      <c r="F1127" s="73">
        <v>10</v>
      </c>
      <c r="G1127" s="73">
        <v>0</v>
      </c>
      <c r="H1127" s="68">
        <v>0</v>
      </c>
      <c r="I1127" s="68">
        <v>0</v>
      </c>
      <c r="J1127" s="71">
        <v>42734</v>
      </c>
      <c r="K1127" s="71">
        <v>43086</v>
      </c>
      <c r="L1127" s="69" t="s">
        <v>137</v>
      </c>
      <c r="M1127" s="69" t="s">
        <v>109</v>
      </c>
      <c r="N1127" s="72">
        <v>42831</v>
      </c>
      <c r="O1127" s="67"/>
      <c r="P1127" s="67" t="s">
        <v>95</v>
      </c>
      <c r="Q1127" s="67" t="s">
        <v>129</v>
      </c>
      <c r="R1127" s="69" t="s">
        <v>69</v>
      </c>
      <c r="S1127" s="69" t="s">
        <v>138</v>
      </c>
      <c r="T1127" s="76"/>
      <c r="U1127" s="67"/>
      <c r="V1127" s="72">
        <v>42766</v>
      </c>
      <c r="W1127" s="69">
        <v>415561689</v>
      </c>
      <c r="X1127" s="69"/>
      <c r="Y1127" s="123"/>
      <c r="Z1127" s="30">
        <f t="shared" si="34"/>
        <v>4232.8754339496491</v>
      </c>
      <c r="AA1127" s="30">
        <f t="shared" si="35"/>
        <v>0</v>
      </c>
      <c r="AB1127" t="s">
        <v>456</v>
      </c>
    </row>
    <row r="1128" spans="1:28">
      <c r="A1128" s="67" t="s">
        <v>122</v>
      </c>
      <c r="B1128" s="68">
        <v>1213868</v>
      </c>
      <c r="C1128" s="69">
        <v>4615412698</v>
      </c>
      <c r="D1128" s="70">
        <v>19200</v>
      </c>
      <c r="E1128" s="79"/>
      <c r="F1128" s="68">
        <v>16</v>
      </c>
      <c r="G1128" s="68">
        <v>5</v>
      </c>
      <c r="H1128" s="73">
        <v>0</v>
      </c>
      <c r="I1128" s="68">
        <v>0</v>
      </c>
      <c r="J1128" s="71">
        <v>42743</v>
      </c>
      <c r="K1128" s="71">
        <v>43086</v>
      </c>
      <c r="L1128" s="69" t="s">
        <v>119</v>
      </c>
      <c r="M1128" s="69" t="s">
        <v>109</v>
      </c>
      <c r="N1128" s="72">
        <v>42831</v>
      </c>
      <c r="O1128" s="67"/>
      <c r="P1128" s="67" t="s">
        <v>95</v>
      </c>
      <c r="Q1128" s="67" t="s">
        <v>120</v>
      </c>
      <c r="R1128" s="69" t="s">
        <v>69</v>
      </c>
      <c r="S1128" s="69" t="s">
        <v>123</v>
      </c>
      <c r="T1128" s="67"/>
      <c r="U1128" s="67"/>
      <c r="V1128" s="72">
        <v>42794</v>
      </c>
      <c r="W1128" s="69">
        <v>2025661</v>
      </c>
      <c r="X1128" s="69"/>
      <c r="Y1128" s="123"/>
      <c r="Z1128" s="30">
        <f t="shared" si="34"/>
        <v>6772.6006943194379</v>
      </c>
      <c r="AA1128" s="30">
        <f t="shared" si="35"/>
        <v>2116.4377169748245</v>
      </c>
      <c r="AB1128" t="s">
        <v>456</v>
      </c>
    </row>
    <row r="1129" spans="1:28">
      <c r="A1129" s="67" t="s">
        <v>113</v>
      </c>
      <c r="B1129" s="68">
        <v>1217637</v>
      </c>
      <c r="C1129" s="69">
        <v>4615405994</v>
      </c>
      <c r="D1129" s="70">
        <v>19200</v>
      </c>
      <c r="E1129" s="79"/>
      <c r="F1129" s="73">
        <v>16</v>
      </c>
      <c r="G1129" s="73" t="s">
        <v>114</v>
      </c>
      <c r="H1129" s="68">
        <v>0</v>
      </c>
      <c r="I1129" s="68">
        <v>0</v>
      </c>
      <c r="J1129" s="71">
        <v>42757</v>
      </c>
      <c r="K1129" s="71">
        <v>43086</v>
      </c>
      <c r="L1129" s="69" t="s">
        <v>108</v>
      </c>
      <c r="M1129" s="69" t="s">
        <v>109</v>
      </c>
      <c r="N1129" s="72">
        <v>42831</v>
      </c>
      <c r="O1129" s="67"/>
      <c r="P1129" s="67" t="s">
        <v>95</v>
      </c>
      <c r="Q1129" s="67" t="s">
        <v>110</v>
      </c>
      <c r="R1129" s="69" t="s">
        <v>69</v>
      </c>
      <c r="S1129" s="69" t="s">
        <v>115</v>
      </c>
      <c r="T1129" s="67"/>
      <c r="U1129" s="67"/>
      <c r="V1129" s="72">
        <v>42794</v>
      </c>
      <c r="W1129" s="69" t="s">
        <v>227</v>
      </c>
      <c r="X1129" s="69" t="s">
        <v>228</v>
      </c>
      <c r="Y1129" s="123"/>
      <c r="Z1129" s="30">
        <f t="shared" si="34"/>
        <v>6772.6006943194379</v>
      </c>
      <c r="AA1129" s="30">
        <f t="shared" si="35"/>
        <v>0</v>
      </c>
      <c r="AB1129" t="s">
        <v>456</v>
      </c>
    </row>
    <row r="1130" spans="1:28">
      <c r="A1130" s="67" t="s">
        <v>122</v>
      </c>
      <c r="B1130" s="68">
        <v>1215572</v>
      </c>
      <c r="C1130" s="69">
        <v>4615406082</v>
      </c>
      <c r="D1130" s="70">
        <v>19200</v>
      </c>
      <c r="E1130" s="79"/>
      <c r="F1130" s="73">
        <v>16</v>
      </c>
      <c r="G1130" s="73">
        <v>5</v>
      </c>
      <c r="H1130" s="68">
        <v>0</v>
      </c>
      <c r="I1130" s="68">
        <v>0</v>
      </c>
      <c r="J1130" s="71">
        <v>42743</v>
      </c>
      <c r="K1130" s="71">
        <v>43086</v>
      </c>
      <c r="L1130" s="69" t="s">
        <v>119</v>
      </c>
      <c r="M1130" s="69" t="s">
        <v>109</v>
      </c>
      <c r="N1130" s="72">
        <v>42831</v>
      </c>
      <c r="O1130" s="67"/>
      <c r="P1130" s="67" t="s">
        <v>95</v>
      </c>
      <c r="Q1130" s="67" t="s">
        <v>120</v>
      </c>
      <c r="R1130" s="69" t="s">
        <v>69</v>
      </c>
      <c r="S1130" s="69" t="s">
        <v>123</v>
      </c>
      <c r="T1130" s="67"/>
      <c r="U1130" s="67"/>
      <c r="V1130" s="72">
        <v>42766</v>
      </c>
      <c r="W1130" s="69">
        <v>2025761</v>
      </c>
      <c r="X1130" s="69"/>
      <c r="Y1130" s="123"/>
      <c r="Z1130" s="30">
        <f t="shared" si="34"/>
        <v>6772.6006943194379</v>
      </c>
      <c r="AA1130" s="30">
        <f t="shared" si="35"/>
        <v>2116.4377169748245</v>
      </c>
      <c r="AB1130" t="s">
        <v>456</v>
      </c>
    </row>
    <row r="1131" spans="1:28">
      <c r="A1131" s="67" t="s">
        <v>68</v>
      </c>
      <c r="B1131" s="68">
        <v>1214574</v>
      </c>
      <c r="C1131" s="69">
        <v>4615412605</v>
      </c>
      <c r="D1131" s="70">
        <v>19175</v>
      </c>
      <c r="E1131" s="79"/>
      <c r="F1131" s="73">
        <v>16</v>
      </c>
      <c r="G1131" s="73">
        <v>5</v>
      </c>
      <c r="H1131" s="68">
        <v>0</v>
      </c>
      <c r="I1131" s="68">
        <v>0</v>
      </c>
      <c r="J1131" s="71">
        <v>42749</v>
      </c>
      <c r="K1131" s="71">
        <v>43128</v>
      </c>
      <c r="L1131" s="69" t="s">
        <v>119</v>
      </c>
      <c r="M1131" s="69" t="s">
        <v>109</v>
      </c>
      <c r="N1131" s="72">
        <v>42830</v>
      </c>
      <c r="O1131" s="67"/>
      <c r="P1131" s="67" t="s">
        <v>95</v>
      </c>
      <c r="Q1131" s="67" t="s">
        <v>125</v>
      </c>
      <c r="R1131" s="69" t="s">
        <v>69</v>
      </c>
      <c r="S1131" s="69" t="s">
        <v>68</v>
      </c>
      <c r="T1131" s="67"/>
      <c r="U1131" s="67"/>
      <c r="V1131" s="72">
        <v>42794</v>
      </c>
      <c r="W1131" s="69">
        <v>5114731</v>
      </c>
      <c r="X1131" s="69"/>
      <c r="Y1131" s="123"/>
      <c r="Z1131" s="30">
        <f t="shared" si="34"/>
        <v>6763.7822038320437</v>
      </c>
      <c r="AA1131" s="30">
        <f t="shared" si="35"/>
        <v>2113.6819386975139</v>
      </c>
      <c r="AB1131" t="s">
        <v>456</v>
      </c>
    </row>
    <row r="1132" spans="1:28">
      <c r="A1132" s="67" t="s">
        <v>122</v>
      </c>
      <c r="B1132" s="68">
        <v>1221643</v>
      </c>
      <c r="C1132" s="69">
        <v>4615394135</v>
      </c>
      <c r="D1132" s="70">
        <v>19200</v>
      </c>
      <c r="E1132" s="79"/>
      <c r="F1132" s="73">
        <v>16</v>
      </c>
      <c r="G1132" s="73">
        <v>5</v>
      </c>
      <c r="H1132" s="73">
        <v>0</v>
      </c>
      <c r="I1132" s="68">
        <v>0</v>
      </c>
      <c r="J1132" s="71">
        <v>42772</v>
      </c>
      <c r="K1132" s="71">
        <v>43128</v>
      </c>
      <c r="L1132" s="69" t="s">
        <v>108</v>
      </c>
      <c r="M1132" s="69" t="s">
        <v>109</v>
      </c>
      <c r="N1132" s="72">
        <v>42830</v>
      </c>
      <c r="O1132" s="67"/>
      <c r="P1132" s="67" t="s">
        <v>95</v>
      </c>
      <c r="Q1132" s="67" t="s">
        <v>120</v>
      </c>
      <c r="R1132" s="69" t="s">
        <v>69</v>
      </c>
      <c r="S1132" s="69" t="s">
        <v>123</v>
      </c>
      <c r="T1132" s="67"/>
      <c r="U1132" s="67"/>
      <c r="V1132" s="72">
        <v>42794</v>
      </c>
      <c r="W1132" s="69">
        <v>2025762</v>
      </c>
      <c r="X1132" s="69"/>
      <c r="Y1132" s="123"/>
      <c r="Z1132" s="30">
        <f t="shared" si="34"/>
        <v>6772.6006943194379</v>
      </c>
      <c r="AA1132" s="30">
        <f t="shared" si="35"/>
        <v>2116.4377169748245</v>
      </c>
      <c r="AB1132" t="s">
        <v>456</v>
      </c>
    </row>
    <row r="1133" spans="1:28">
      <c r="A1133" s="67" t="s">
        <v>113</v>
      </c>
      <c r="B1133" s="68">
        <v>1217635</v>
      </c>
      <c r="C1133" s="69">
        <v>4615405994</v>
      </c>
      <c r="D1133" s="70">
        <v>19200</v>
      </c>
      <c r="E1133" s="79"/>
      <c r="F1133" s="73">
        <v>16</v>
      </c>
      <c r="G1133" s="73" t="s">
        <v>114</v>
      </c>
      <c r="H1133" s="68">
        <v>0</v>
      </c>
      <c r="I1133" s="68">
        <v>0</v>
      </c>
      <c r="J1133" s="71">
        <v>42757</v>
      </c>
      <c r="K1133" s="71">
        <v>43135</v>
      </c>
      <c r="L1133" s="69" t="s">
        <v>108</v>
      </c>
      <c r="M1133" s="69" t="s">
        <v>109</v>
      </c>
      <c r="N1133" s="72">
        <v>42830</v>
      </c>
      <c r="O1133" s="67"/>
      <c r="P1133" s="67" t="s">
        <v>95</v>
      </c>
      <c r="Q1133" s="67" t="s">
        <v>110</v>
      </c>
      <c r="R1133" s="69" t="s">
        <v>69</v>
      </c>
      <c r="S1133" s="69" t="s">
        <v>115</v>
      </c>
      <c r="T1133" s="67"/>
      <c r="U1133" s="67"/>
      <c r="V1133" s="72">
        <v>42794</v>
      </c>
      <c r="W1133" s="69" t="s">
        <v>227</v>
      </c>
      <c r="X1133" s="69" t="s">
        <v>228</v>
      </c>
      <c r="Y1133" s="123"/>
      <c r="Z1133" s="30">
        <f t="shared" si="34"/>
        <v>6772.6006943194379</v>
      </c>
      <c r="AA1133" s="30">
        <f t="shared" si="35"/>
        <v>0</v>
      </c>
      <c r="AB1133" t="s">
        <v>456</v>
      </c>
    </row>
    <row r="1134" spans="1:28">
      <c r="A1134" s="67" t="s">
        <v>128</v>
      </c>
      <c r="B1134" s="68">
        <v>1213494</v>
      </c>
      <c r="C1134" s="69">
        <v>4615420955</v>
      </c>
      <c r="D1134" s="70">
        <v>19175</v>
      </c>
      <c r="E1134" s="79"/>
      <c r="F1134" s="82">
        <v>154.32</v>
      </c>
      <c r="G1134" s="82" t="s">
        <v>114</v>
      </c>
      <c r="H1134" s="73">
        <v>0</v>
      </c>
      <c r="I1134" s="68">
        <v>0</v>
      </c>
      <c r="J1134" s="71">
        <v>42750</v>
      </c>
      <c r="K1134" s="71">
        <v>43128</v>
      </c>
      <c r="L1134" s="69" t="s">
        <v>108</v>
      </c>
      <c r="M1134" s="69" t="s">
        <v>109</v>
      </c>
      <c r="N1134" s="72">
        <v>42829</v>
      </c>
      <c r="O1134" s="67"/>
      <c r="P1134" s="67" t="s">
        <v>95</v>
      </c>
      <c r="Q1134" s="67" t="s">
        <v>129</v>
      </c>
      <c r="R1134" s="69" t="s">
        <v>69</v>
      </c>
      <c r="S1134" s="69" t="s">
        <v>130</v>
      </c>
      <c r="T1134" s="67"/>
      <c r="U1134" s="67"/>
      <c r="V1134" s="72">
        <v>42766</v>
      </c>
      <c r="W1134" s="69">
        <v>425560030</v>
      </c>
      <c r="X1134" s="69"/>
      <c r="Y1134" s="123"/>
      <c r="Z1134" s="30">
        <f t="shared" si="34"/>
        <v>65236.679355960063</v>
      </c>
      <c r="AA1134" s="30">
        <f t="shared" si="35"/>
        <v>0</v>
      </c>
      <c r="AB1134" t="s">
        <v>456</v>
      </c>
    </row>
    <row r="1135" spans="1:28">
      <c r="A1135" s="67" t="s">
        <v>113</v>
      </c>
      <c r="B1135" s="68">
        <v>1217640</v>
      </c>
      <c r="C1135" s="69">
        <v>4615405994</v>
      </c>
      <c r="D1135" s="70">
        <v>19200</v>
      </c>
      <c r="E1135" s="79"/>
      <c r="F1135" s="73">
        <v>16</v>
      </c>
      <c r="G1135" s="73" t="s">
        <v>114</v>
      </c>
      <c r="H1135" s="68">
        <v>0</v>
      </c>
      <c r="I1135" s="68">
        <v>0</v>
      </c>
      <c r="J1135" s="71">
        <v>42757</v>
      </c>
      <c r="K1135" s="71">
        <v>43135</v>
      </c>
      <c r="L1135" s="69" t="s">
        <v>108</v>
      </c>
      <c r="M1135" s="69" t="s">
        <v>109</v>
      </c>
      <c r="N1135" s="72">
        <v>42829</v>
      </c>
      <c r="O1135" s="67"/>
      <c r="P1135" s="67" t="s">
        <v>95</v>
      </c>
      <c r="Q1135" s="67" t="s">
        <v>110</v>
      </c>
      <c r="R1135" s="69" t="s">
        <v>69</v>
      </c>
      <c r="S1135" s="69" t="s">
        <v>115</v>
      </c>
      <c r="T1135" s="67"/>
      <c r="U1135" s="67"/>
      <c r="V1135" s="72">
        <v>42794</v>
      </c>
      <c r="W1135" s="69" t="s">
        <v>227</v>
      </c>
      <c r="X1135" s="69" t="s">
        <v>228</v>
      </c>
      <c r="Y1135" s="123"/>
      <c r="Z1135" s="30">
        <f t="shared" si="34"/>
        <v>6772.6006943194379</v>
      </c>
      <c r="AA1135" s="30">
        <f t="shared" si="35"/>
        <v>0</v>
      </c>
      <c r="AB1135" t="s">
        <v>456</v>
      </c>
    </row>
    <row r="1136" spans="1:28">
      <c r="A1136" s="67" t="s">
        <v>122</v>
      </c>
      <c r="B1136" s="68">
        <v>1213870</v>
      </c>
      <c r="C1136" s="69">
        <v>4615412698</v>
      </c>
      <c r="D1136" s="70">
        <v>19200</v>
      </c>
      <c r="E1136" s="79"/>
      <c r="F1136" s="68">
        <v>16</v>
      </c>
      <c r="G1136" s="68">
        <v>5</v>
      </c>
      <c r="H1136" s="73">
        <v>0</v>
      </c>
      <c r="I1136" s="68">
        <v>0</v>
      </c>
      <c r="J1136" s="71">
        <v>42743</v>
      </c>
      <c r="K1136" s="71">
        <v>43092</v>
      </c>
      <c r="L1136" s="69" t="s">
        <v>119</v>
      </c>
      <c r="M1136" s="69" t="s">
        <v>109</v>
      </c>
      <c r="N1136" s="72">
        <v>42829</v>
      </c>
      <c r="O1136" s="67"/>
      <c r="P1136" s="67" t="s">
        <v>95</v>
      </c>
      <c r="Q1136" s="67" t="s">
        <v>120</v>
      </c>
      <c r="R1136" s="69" t="s">
        <v>69</v>
      </c>
      <c r="S1136" s="69" t="s">
        <v>123</v>
      </c>
      <c r="T1136" s="67"/>
      <c r="U1136" s="67"/>
      <c r="V1136" s="72">
        <v>42794</v>
      </c>
      <c r="W1136" s="69">
        <v>2025661</v>
      </c>
      <c r="X1136" s="69"/>
      <c r="Y1136" s="123"/>
      <c r="Z1136" s="30">
        <f t="shared" si="34"/>
        <v>6772.6006943194379</v>
      </c>
      <c r="AA1136" s="30">
        <f t="shared" si="35"/>
        <v>2116.4377169748245</v>
      </c>
      <c r="AB1136" t="s">
        <v>456</v>
      </c>
    </row>
    <row r="1137" spans="1:28">
      <c r="A1137" s="67" t="s">
        <v>131</v>
      </c>
      <c r="B1137" s="68">
        <v>1213501</v>
      </c>
      <c r="C1137" s="69">
        <v>4615426778</v>
      </c>
      <c r="D1137" s="70">
        <v>19200</v>
      </c>
      <c r="E1137" s="79"/>
      <c r="F1137" s="75">
        <v>154.4</v>
      </c>
      <c r="G1137" s="75" t="s">
        <v>114</v>
      </c>
      <c r="H1137" s="73">
        <v>0</v>
      </c>
      <c r="I1137" s="68">
        <v>0</v>
      </c>
      <c r="J1137" s="71">
        <v>42751</v>
      </c>
      <c r="K1137" s="71">
        <v>43101</v>
      </c>
      <c r="L1137" s="69" t="s">
        <v>108</v>
      </c>
      <c r="M1137" s="69" t="s">
        <v>109</v>
      </c>
      <c r="N1137" s="72">
        <v>42828</v>
      </c>
      <c r="O1137" s="67"/>
      <c r="P1137" s="67" t="s">
        <v>95</v>
      </c>
      <c r="Q1137" s="67" t="s">
        <v>125</v>
      </c>
      <c r="R1137" s="69" t="s">
        <v>69</v>
      </c>
      <c r="S1137" s="69" t="s">
        <v>134</v>
      </c>
      <c r="T1137" s="67"/>
      <c r="U1137" s="67"/>
      <c r="V1137" s="72">
        <v>42794</v>
      </c>
      <c r="W1137" s="69" t="s">
        <v>233</v>
      </c>
      <c r="X1137" s="69"/>
      <c r="Y1137" s="123"/>
      <c r="Z1137" s="30">
        <f t="shared" si="34"/>
        <v>65355.596700182585</v>
      </c>
      <c r="AA1137" s="30">
        <f t="shared" si="35"/>
        <v>0</v>
      </c>
      <c r="AB1137" t="s">
        <v>456</v>
      </c>
    </row>
    <row r="1138" spans="1:28">
      <c r="A1138" s="67" t="s">
        <v>122</v>
      </c>
      <c r="B1138" s="68">
        <v>1190693</v>
      </c>
      <c r="C1138" s="69">
        <v>4615428107</v>
      </c>
      <c r="D1138" s="70">
        <v>19200</v>
      </c>
      <c r="E1138" s="79"/>
      <c r="F1138" s="68">
        <v>16</v>
      </c>
      <c r="G1138" s="68">
        <v>5</v>
      </c>
      <c r="H1138" s="68">
        <v>0</v>
      </c>
      <c r="I1138" s="68">
        <v>0</v>
      </c>
      <c r="J1138" s="71"/>
      <c r="K1138" s="71">
        <v>43093</v>
      </c>
      <c r="L1138" s="69" t="s">
        <v>80</v>
      </c>
      <c r="M1138" s="69" t="s">
        <v>109</v>
      </c>
      <c r="N1138" s="72">
        <v>42828</v>
      </c>
      <c r="O1138" s="67"/>
      <c r="P1138" s="67" t="s">
        <v>95</v>
      </c>
      <c r="Q1138" s="67" t="s">
        <v>120</v>
      </c>
      <c r="R1138" s="69" t="s">
        <v>69</v>
      </c>
      <c r="S1138" s="69" t="s">
        <v>123</v>
      </c>
      <c r="T1138" s="67"/>
      <c r="U1138" s="67"/>
      <c r="V1138" s="72">
        <v>42674</v>
      </c>
      <c r="W1138" s="69">
        <v>2018439</v>
      </c>
      <c r="X1138" s="69" t="s">
        <v>234</v>
      </c>
      <c r="Y1138" s="123"/>
      <c r="Z1138" s="30">
        <f t="shared" si="34"/>
        <v>6772.6006943194379</v>
      </c>
      <c r="AA1138" s="30">
        <f t="shared" si="35"/>
        <v>2116.4377169748245</v>
      </c>
      <c r="AB1138" t="s">
        <v>456</v>
      </c>
    </row>
    <row r="1139" spans="1:28">
      <c r="A1139" s="67" t="s">
        <v>136</v>
      </c>
      <c r="B1139" s="68">
        <v>1212463</v>
      </c>
      <c r="C1139" s="69">
        <v>4615465868</v>
      </c>
      <c r="D1139" s="70">
        <v>19200</v>
      </c>
      <c r="E1139" s="79"/>
      <c r="F1139" s="73">
        <v>10</v>
      </c>
      <c r="G1139" s="73">
        <v>0</v>
      </c>
      <c r="H1139" s="68">
        <v>0</v>
      </c>
      <c r="I1139" s="68">
        <v>0</v>
      </c>
      <c r="J1139" s="71">
        <v>42734</v>
      </c>
      <c r="K1139" s="71">
        <v>42742</v>
      </c>
      <c r="L1139" s="69" t="s">
        <v>137</v>
      </c>
      <c r="M1139" s="69" t="s">
        <v>109</v>
      </c>
      <c r="N1139" s="72">
        <v>42828</v>
      </c>
      <c r="O1139" s="67"/>
      <c r="P1139" s="67" t="s">
        <v>95</v>
      </c>
      <c r="Q1139" s="67" t="s">
        <v>129</v>
      </c>
      <c r="R1139" s="69" t="s">
        <v>69</v>
      </c>
      <c r="S1139" s="69" t="s">
        <v>138</v>
      </c>
      <c r="T1139" s="67"/>
      <c r="U1139" s="67"/>
      <c r="V1139" s="72">
        <v>42766</v>
      </c>
      <c r="W1139" s="69">
        <v>415561689</v>
      </c>
      <c r="X1139" s="69"/>
      <c r="Y1139" s="123"/>
      <c r="Z1139" s="30">
        <f t="shared" si="34"/>
        <v>4232.8754339496491</v>
      </c>
      <c r="AA1139" s="30">
        <f t="shared" si="35"/>
        <v>0</v>
      </c>
      <c r="AB1139" t="s">
        <v>456</v>
      </c>
    </row>
    <row r="1140" spans="1:28">
      <c r="A1140" s="67" t="s">
        <v>113</v>
      </c>
      <c r="B1140" s="68">
        <v>1217026</v>
      </c>
      <c r="C1140" s="69">
        <v>4615405994</v>
      </c>
      <c r="D1140" s="70">
        <v>19200</v>
      </c>
      <c r="E1140" s="79"/>
      <c r="F1140" s="73">
        <v>16</v>
      </c>
      <c r="G1140" s="73" t="s">
        <v>114</v>
      </c>
      <c r="H1140" s="68">
        <v>0</v>
      </c>
      <c r="I1140" s="68">
        <v>0</v>
      </c>
      <c r="J1140" s="71">
        <v>42755</v>
      </c>
      <c r="K1140" s="71">
        <v>42742</v>
      </c>
      <c r="L1140" s="69" t="s">
        <v>108</v>
      </c>
      <c r="M1140" s="69" t="s">
        <v>109</v>
      </c>
      <c r="N1140" s="72">
        <v>42828</v>
      </c>
      <c r="O1140" s="67"/>
      <c r="P1140" s="67" t="s">
        <v>95</v>
      </c>
      <c r="Q1140" s="67" t="s">
        <v>110</v>
      </c>
      <c r="R1140" s="69" t="s">
        <v>69</v>
      </c>
      <c r="S1140" s="69" t="s">
        <v>115</v>
      </c>
      <c r="T1140" s="67"/>
      <c r="U1140" s="67"/>
      <c r="V1140" s="72">
        <v>42794</v>
      </c>
      <c r="W1140" s="69" t="s">
        <v>227</v>
      </c>
      <c r="X1140" s="69" t="s">
        <v>228</v>
      </c>
      <c r="Y1140" s="123"/>
      <c r="Z1140" s="30">
        <f t="shared" si="34"/>
        <v>6772.6006943194379</v>
      </c>
      <c r="AA1140" s="30">
        <f t="shared" si="35"/>
        <v>0</v>
      </c>
      <c r="AB1140" t="s">
        <v>456</v>
      </c>
    </row>
    <row r="1141" spans="1:28">
      <c r="A1141" s="67" t="s">
        <v>113</v>
      </c>
      <c r="B1141" s="68">
        <v>1217025</v>
      </c>
      <c r="C1141" s="69">
        <v>4615405994</v>
      </c>
      <c r="D1141" s="70">
        <v>19200</v>
      </c>
      <c r="E1141" s="79"/>
      <c r="F1141" s="73">
        <v>16</v>
      </c>
      <c r="G1141" s="73" t="s">
        <v>114</v>
      </c>
      <c r="H1141" s="68">
        <v>0</v>
      </c>
      <c r="I1141" s="68">
        <v>0</v>
      </c>
      <c r="J1141" s="71">
        <v>42755</v>
      </c>
      <c r="K1141" s="71">
        <v>43126</v>
      </c>
      <c r="L1141" s="69" t="s">
        <v>108</v>
      </c>
      <c r="M1141" s="69" t="s">
        <v>109</v>
      </c>
      <c r="N1141" s="72">
        <v>42828</v>
      </c>
      <c r="O1141" s="67"/>
      <c r="P1141" s="67" t="s">
        <v>95</v>
      </c>
      <c r="Q1141" s="67" t="s">
        <v>110</v>
      </c>
      <c r="R1141" s="69" t="s">
        <v>69</v>
      </c>
      <c r="S1141" s="69" t="s">
        <v>115</v>
      </c>
      <c r="T1141" s="67"/>
      <c r="U1141" s="67"/>
      <c r="V1141" s="72">
        <v>42794</v>
      </c>
      <c r="W1141" s="69" t="s">
        <v>227</v>
      </c>
      <c r="X1141" s="69" t="s">
        <v>228</v>
      </c>
      <c r="Y1141" s="123"/>
      <c r="Z1141" s="30">
        <f t="shared" si="34"/>
        <v>6772.6006943194379</v>
      </c>
      <c r="AA1141" s="30">
        <f t="shared" si="35"/>
        <v>0</v>
      </c>
      <c r="AB1141" t="s">
        <v>456</v>
      </c>
    </row>
    <row r="1142" spans="1:28">
      <c r="A1142" s="67" t="s">
        <v>113</v>
      </c>
      <c r="B1142" s="68">
        <v>1217022</v>
      </c>
      <c r="C1142" s="69">
        <v>4615405994</v>
      </c>
      <c r="D1142" s="70">
        <v>19200</v>
      </c>
      <c r="E1142" s="79"/>
      <c r="F1142" s="73">
        <v>16</v>
      </c>
      <c r="G1142" s="73" t="s">
        <v>114</v>
      </c>
      <c r="H1142" s="68">
        <v>0</v>
      </c>
      <c r="I1142" s="68">
        <v>0</v>
      </c>
      <c r="J1142" s="71">
        <v>42755</v>
      </c>
      <c r="K1142" s="71">
        <v>43099</v>
      </c>
      <c r="L1142" s="69" t="s">
        <v>108</v>
      </c>
      <c r="M1142" s="69" t="s">
        <v>109</v>
      </c>
      <c r="N1142" s="72">
        <v>42828</v>
      </c>
      <c r="O1142" s="67"/>
      <c r="P1142" s="67" t="s">
        <v>95</v>
      </c>
      <c r="Q1142" s="67" t="s">
        <v>110</v>
      </c>
      <c r="R1142" s="69" t="s">
        <v>69</v>
      </c>
      <c r="S1142" s="69" t="s">
        <v>115</v>
      </c>
      <c r="T1142" s="67"/>
      <c r="U1142" s="67"/>
      <c r="V1142" s="72">
        <v>42794</v>
      </c>
      <c r="W1142" s="69" t="s">
        <v>227</v>
      </c>
      <c r="X1142" s="69" t="s">
        <v>228</v>
      </c>
      <c r="Y1142" s="123"/>
      <c r="Z1142" s="30">
        <f t="shared" si="34"/>
        <v>6772.6006943194379</v>
      </c>
      <c r="AA1142" s="30">
        <f t="shared" si="35"/>
        <v>0</v>
      </c>
      <c r="AB1142" t="s">
        <v>456</v>
      </c>
    </row>
    <row r="1143" spans="1:28">
      <c r="A1143" s="67" t="s">
        <v>122</v>
      </c>
      <c r="B1143" s="68">
        <v>1211004</v>
      </c>
      <c r="C1143" s="69">
        <v>4615393658</v>
      </c>
      <c r="D1143" s="70">
        <v>19200</v>
      </c>
      <c r="E1143" s="79"/>
      <c r="F1143" s="68">
        <v>16</v>
      </c>
      <c r="G1143" s="68">
        <v>5</v>
      </c>
      <c r="H1143" s="68">
        <v>0</v>
      </c>
      <c r="I1143" s="68">
        <v>0</v>
      </c>
      <c r="J1143" s="71">
        <v>42371</v>
      </c>
      <c r="K1143" s="71">
        <v>43106</v>
      </c>
      <c r="L1143" s="69" t="s">
        <v>108</v>
      </c>
      <c r="M1143" s="69" t="s">
        <v>109</v>
      </c>
      <c r="N1143" s="72">
        <v>42828</v>
      </c>
      <c r="O1143" s="67"/>
      <c r="P1143" s="67" t="s">
        <v>95</v>
      </c>
      <c r="Q1143" s="67" t="s">
        <v>120</v>
      </c>
      <c r="R1143" s="69" t="s">
        <v>69</v>
      </c>
      <c r="S1143" s="69" t="s">
        <v>123</v>
      </c>
      <c r="T1143" s="67"/>
      <c r="U1143" s="67"/>
      <c r="V1143" s="72">
        <v>42766</v>
      </c>
      <c r="W1143" s="69">
        <v>2023106</v>
      </c>
      <c r="X1143" s="69"/>
      <c r="Y1143" s="123"/>
      <c r="Z1143" s="30">
        <f t="shared" si="34"/>
        <v>6772.6006943194379</v>
      </c>
      <c r="AA1143" s="30">
        <f t="shared" si="35"/>
        <v>2116.4377169748245</v>
      </c>
      <c r="AB1143" t="s">
        <v>456</v>
      </c>
    </row>
    <row r="1144" spans="1:28">
      <c r="A1144" s="67" t="s">
        <v>136</v>
      </c>
      <c r="B1144" s="68">
        <v>1217630</v>
      </c>
      <c r="C1144" s="69">
        <v>4615465883</v>
      </c>
      <c r="D1144" s="70">
        <v>19200</v>
      </c>
      <c r="E1144" s="79"/>
      <c r="F1144" s="68">
        <v>10</v>
      </c>
      <c r="G1144" s="68">
        <v>0</v>
      </c>
      <c r="H1144" s="73">
        <v>0</v>
      </c>
      <c r="I1144" s="68">
        <v>0</v>
      </c>
      <c r="J1144" s="71">
        <v>42761</v>
      </c>
      <c r="K1144" s="71">
        <v>43106</v>
      </c>
      <c r="L1144" s="69" t="s">
        <v>137</v>
      </c>
      <c r="M1144" s="69" t="s">
        <v>109</v>
      </c>
      <c r="N1144" s="72">
        <v>42828</v>
      </c>
      <c r="O1144" s="67"/>
      <c r="P1144" s="67" t="s">
        <v>95</v>
      </c>
      <c r="Q1144" s="67" t="s">
        <v>129</v>
      </c>
      <c r="R1144" s="69" t="s">
        <v>69</v>
      </c>
      <c r="S1144" s="69" t="s">
        <v>138</v>
      </c>
      <c r="T1144" s="67"/>
      <c r="U1144" s="67"/>
      <c r="V1144" s="72">
        <v>42794</v>
      </c>
      <c r="W1144" s="69">
        <v>415570768</v>
      </c>
      <c r="X1144" s="69"/>
      <c r="Y1144" s="123"/>
      <c r="Z1144" s="30">
        <f t="shared" si="34"/>
        <v>4232.8754339496491</v>
      </c>
      <c r="AA1144" s="30">
        <f t="shared" si="35"/>
        <v>0</v>
      </c>
      <c r="AB1144" t="s">
        <v>456</v>
      </c>
    </row>
    <row r="1145" spans="1:28">
      <c r="A1145" s="67" t="s">
        <v>122</v>
      </c>
      <c r="B1145" s="68">
        <v>1215565</v>
      </c>
      <c r="C1145" s="69">
        <v>4615406082</v>
      </c>
      <c r="D1145" s="70">
        <v>19200</v>
      </c>
      <c r="E1145" s="79"/>
      <c r="F1145" s="73">
        <v>16</v>
      </c>
      <c r="G1145" s="73">
        <v>5</v>
      </c>
      <c r="H1145" s="68">
        <v>0</v>
      </c>
      <c r="I1145" s="68">
        <v>0</v>
      </c>
      <c r="J1145" s="71">
        <v>42743</v>
      </c>
      <c r="K1145" s="71">
        <v>43099</v>
      </c>
      <c r="L1145" s="69" t="s">
        <v>119</v>
      </c>
      <c r="M1145" s="69" t="s">
        <v>109</v>
      </c>
      <c r="N1145" s="72">
        <v>42827</v>
      </c>
      <c r="O1145" s="67"/>
      <c r="P1145" s="67" t="s">
        <v>95</v>
      </c>
      <c r="Q1145" s="67" t="s">
        <v>120</v>
      </c>
      <c r="R1145" s="69" t="s">
        <v>69</v>
      </c>
      <c r="S1145" s="69" t="s">
        <v>123</v>
      </c>
      <c r="T1145" s="67"/>
      <c r="U1145" s="67"/>
      <c r="V1145" s="72">
        <v>42766</v>
      </c>
      <c r="W1145" s="69">
        <v>2025761</v>
      </c>
      <c r="X1145" s="69" t="s">
        <v>235</v>
      </c>
      <c r="Y1145" s="123"/>
      <c r="Z1145" s="30">
        <f t="shared" si="34"/>
        <v>6772.6006943194379</v>
      </c>
      <c r="AA1145" s="30">
        <f t="shared" si="35"/>
        <v>2116.4377169748245</v>
      </c>
      <c r="AB1145" t="s">
        <v>456</v>
      </c>
    </row>
    <row r="1146" spans="1:28">
      <c r="A1146" s="67" t="s">
        <v>122</v>
      </c>
      <c r="B1146" s="68">
        <v>1215570</v>
      </c>
      <c r="C1146" s="69">
        <v>4615406082</v>
      </c>
      <c r="D1146" s="70">
        <v>19200</v>
      </c>
      <c r="E1146" s="79"/>
      <c r="F1146" s="73">
        <v>16</v>
      </c>
      <c r="G1146" s="73">
        <v>5</v>
      </c>
      <c r="H1146" s="68">
        <v>0</v>
      </c>
      <c r="I1146" s="68">
        <v>0</v>
      </c>
      <c r="J1146" s="71">
        <v>42743</v>
      </c>
      <c r="K1146" s="71">
        <v>43097</v>
      </c>
      <c r="L1146" s="69" t="s">
        <v>119</v>
      </c>
      <c r="M1146" s="69" t="s">
        <v>109</v>
      </c>
      <c r="N1146" s="72">
        <v>42827</v>
      </c>
      <c r="O1146" s="67"/>
      <c r="P1146" s="67" t="s">
        <v>95</v>
      </c>
      <c r="Q1146" s="67" t="s">
        <v>120</v>
      </c>
      <c r="R1146" s="69" t="s">
        <v>69</v>
      </c>
      <c r="S1146" s="69" t="s">
        <v>123</v>
      </c>
      <c r="T1146" s="67"/>
      <c r="U1146" s="67"/>
      <c r="V1146" s="72">
        <v>42766</v>
      </c>
      <c r="W1146" s="69">
        <v>2025761</v>
      </c>
      <c r="X1146" s="69"/>
      <c r="Y1146" s="123"/>
      <c r="Z1146" s="30">
        <f t="shared" si="34"/>
        <v>6772.6006943194379</v>
      </c>
      <c r="AA1146" s="30">
        <f t="shared" si="35"/>
        <v>2116.4377169748245</v>
      </c>
      <c r="AB1146" t="s">
        <v>456</v>
      </c>
    </row>
    <row r="1147" spans="1:28">
      <c r="A1147" s="67" t="s">
        <v>122</v>
      </c>
      <c r="B1147" s="68">
        <v>1213867</v>
      </c>
      <c r="C1147" s="69">
        <v>4615412698</v>
      </c>
      <c r="D1147" s="70">
        <v>19200</v>
      </c>
      <c r="E1147" s="79"/>
      <c r="F1147" s="68">
        <v>16</v>
      </c>
      <c r="G1147" s="68">
        <v>5</v>
      </c>
      <c r="H1147" s="73">
        <v>0</v>
      </c>
      <c r="I1147" s="68">
        <v>0</v>
      </c>
      <c r="J1147" s="71">
        <v>42743</v>
      </c>
      <c r="K1147" s="71">
        <v>42741</v>
      </c>
      <c r="L1147" s="69" t="s">
        <v>119</v>
      </c>
      <c r="M1147" s="69" t="s">
        <v>109</v>
      </c>
      <c r="N1147" s="72">
        <v>42827</v>
      </c>
      <c r="O1147" s="67"/>
      <c r="P1147" s="67" t="s">
        <v>95</v>
      </c>
      <c r="Q1147" s="67" t="s">
        <v>120</v>
      </c>
      <c r="R1147" s="69" t="s">
        <v>69</v>
      </c>
      <c r="S1147" s="69" t="s">
        <v>123</v>
      </c>
      <c r="T1147" s="67"/>
      <c r="U1147" s="67"/>
      <c r="V1147" s="72">
        <v>42794</v>
      </c>
      <c r="W1147" s="69">
        <v>2025661</v>
      </c>
      <c r="X1147" s="69"/>
      <c r="Y1147" s="123"/>
      <c r="Z1147" s="30">
        <f t="shared" si="34"/>
        <v>6772.6006943194379</v>
      </c>
      <c r="AA1147" s="30">
        <f t="shared" si="35"/>
        <v>2116.4377169748245</v>
      </c>
      <c r="AB1147" t="s">
        <v>456</v>
      </c>
    </row>
    <row r="1148" spans="1:28">
      <c r="A1148" s="67" t="s">
        <v>113</v>
      </c>
      <c r="B1148" s="68">
        <v>1194949</v>
      </c>
      <c r="C1148" s="69">
        <v>4615410298</v>
      </c>
      <c r="D1148" s="70">
        <v>19200</v>
      </c>
      <c r="E1148" s="79"/>
      <c r="F1148" s="68">
        <v>16</v>
      </c>
      <c r="G1148" s="68">
        <v>5</v>
      </c>
      <c r="H1148" s="68">
        <v>0</v>
      </c>
      <c r="I1148" s="68">
        <v>0</v>
      </c>
      <c r="J1148" s="71">
        <v>42681</v>
      </c>
      <c r="K1148" s="71">
        <v>42741</v>
      </c>
      <c r="L1148" s="69" t="s">
        <v>119</v>
      </c>
      <c r="M1148" s="69" t="s">
        <v>109</v>
      </c>
      <c r="N1148" s="72">
        <v>42827</v>
      </c>
      <c r="O1148" s="67"/>
      <c r="P1148" s="67" t="s">
        <v>95</v>
      </c>
      <c r="Q1148" s="67" t="s">
        <v>110</v>
      </c>
      <c r="R1148" s="69" t="s">
        <v>69</v>
      </c>
      <c r="S1148" s="69" t="s">
        <v>115</v>
      </c>
      <c r="T1148" s="67"/>
      <c r="U1148" s="67"/>
      <c r="V1148" s="72">
        <v>42704</v>
      </c>
      <c r="W1148" s="69" t="s">
        <v>236</v>
      </c>
      <c r="X1148" s="69"/>
      <c r="Y1148" s="123"/>
      <c r="Z1148" s="30">
        <f t="shared" si="34"/>
        <v>6772.6006943194379</v>
      </c>
      <c r="AA1148" s="30">
        <f t="shared" si="35"/>
        <v>2116.4377169748245</v>
      </c>
      <c r="AB1148" t="s">
        <v>456</v>
      </c>
    </row>
    <row r="1149" spans="1:28">
      <c r="A1149" s="67" t="s">
        <v>128</v>
      </c>
      <c r="B1149" s="68">
        <v>1209965</v>
      </c>
      <c r="C1149" s="69">
        <v>4615404156</v>
      </c>
      <c r="D1149" s="70">
        <v>19175</v>
      </c>
      <c r="E1149" s="79"/>
      <c r="F1149" s="68">
        <v>154.4</v>
      </c>
      <c r="G1149" s="68" t="s">
        <v>114</v>
      </c>
      <c r="H1149" s="73">
        <v>0</v>
      </c>
      <c r="I1149" s="68">
        <v>0</v>
      </c>
      <c r="J1149" s="71">
        <v>42750</v>
      </c>
      <c r="K1149" s="71">
        <v>43112</v>
      </c>
      <c r="L1149" s="69" t="s">
        <v>108</v>
      </c>
      <c r="M1149" s="69" t="s">
        <v>109</v>
      </c>
      <c r="N1149" s="72">
        <v>42825</v>
      </c>
      <c r="O1149" s="67"/>
      <c r="P1149" s="67" t="s">
        <v>95</v>
      </c>
      <c r="Q1149" s="67" t="s">
        <v>129</v>
      </c>
      <c r="R1149" s="69" t="s">
        <v>69</v>
      </c>
      <c r="S1149" s="69" t="s">
        <v>130</v>
      </c>
      <c r="T1149" s="67"/>
      <c r="U1149" s="67"/>
      <c r="V1149" s="72">
        <v>42766</v>
      </c>
      <c r="W1149" s="69">
        <v>425560028</v>
      </c>
      <c r="X1149" s="69"/>
      <c r="Y1149" s="123"/>
      <c r="Z1149" s="30">
        <f t="shared" si="34"/>
        <v>65270.498266979223</v>
      </c>
      <c r="AA1149" s="30">
        <f t="shared" si="35"/>
        <v>0</v>
      </c>
      <c r="AB1149" t="s">
        <v>456</v>
      </c>
    </row>
    <row r="1150" spans="1:28">
      <c r="A1150" s="67" t="s">
        <v>113</v>
      </c>
      <c r="B1150" s="68">
        <v>1217024</v>
      </c>
      <c r="C1150" s="69">
        <v>4615405994</v>
      </c>
      <c r="D1150" s="70">
        <v>19200</v>
      </c>
      <c r="E1150" s="79"/>
      <c r="F1150" s="73">
        <v>16</v>
      </c>
      <c r="G1150" s="73" t="s">
        <v>114</v>
      </c>
      <c r="H1150" s="68">
        <v>0</v>
      </c>
      <c r="I1150" s="68">
        <v>0</v>
      </c>
      <c r="J1150" s="71">
        <v>42755</v>
      </c>
      <c r="K1150" s="71">
        <v>43123</v>
      </c>
      <c r="L1150" s="69" t="s">
        <v>108</v>
      </c>
      <c r="M1150" s="69" t="s">
        <v>109</v>
      </c>
      <c r="N1150" s="72">
        <v>42825</v>
      </c>
      <c r="O1150" s="67"/>
      <c r="P1150" s="67" t="s">
        <v>95</v>
      </c>
      <c r="Q1150" s="67" t="s">
        <v>110</v>
      </c>
      <c r="R1150" s="69" t="s">
        <v>69</v>
      </c>
      <c r="S1150" s="69" t="s">
        <v>115</v>
      </c>
      <c r="T1150" s="67"/>
      <c r="U1150" s="67"/>
      <c r="V1150" s="72">
        <v>42794</v>
      </c>
      <c r="W1150" s="69" t="s">
        <v>227</v>
      </c>
      <c r="X1150" s="69" t="s">
        <v>237</v>
      </c>
      <c r="Y1150" s="123"/>
      <c r="Z1150" s="30">
        <f t="shared" si="34"/>
        <v>6772.6006943194379</v>
      </c>
      <c r="AA1150" s="30">
        <f t="shared" si="35"/>
        <v>0</v>
      </c>
      <c r="AB1150" t="s">
        <v>456</v>
      </c>
    </row>
    <row r="1151" spans="1:28">
      <c r="A1151" s="67" t="s">
        <v>113</v>
      </c>
      <c r="B1151" s="68">
        <v>1217020</v>
      </c>
      <c r="C1151" s="69">
        <v>4615405994</v>
      </c>
      <c r="D1151" s="70">
        <v>19200</v>
      </c>
      <c r="E1151" s="79"/>
      <c r="F1151" s="73">
        <v>16</v>
      </c>
      <c r="G1151" s="73" t="s">
        <v>114</v>
      </c>
      <c r="H1151" s="68">
        <v>0</v>
      </c>
      <c r="I1151" s="68">
        <v>0</v>
      </c>
      <c r="J1151" s="71">
        <v>42755</v>
      </c>
      <c r="K1151" s="71">
        <v>43123</v>
      </c>
      <c r="L1151" s="69" t="s">
        <v>108</v>
      </c>
      <c r="M1151" s="69" t="s">
        <v>109</v>
      </c>
      <c r="N1151" s="72">
        <v>42825</v>
      </c>
      <c r="O1151" s="67"/>
      <c r="P1151" s="67" t="s">
        <v>95</v>
      </c>
      <c r="Q1151" s="67" t="s">
        <v>110</v>
      </c>
      <c r="R1151" s="69" t="s">
        <v>69</v>
      </c>
      <c r="S1151" s="69" t="s">
        <v>115</v>
      </c>
      <c r="T1151" s="67"/>
      <c r="U1151" s="67"/>
      <c r="V1151" s="72">
        <v>42794</v>
      </c>
      <c r="W1151" s="69" t="s">
        <v>227</v>
      </c>
      <c r="X1151" s="69" t="s">
        <v>237</v>
      </c>
      <c r="Y1151" s="123"/>
      <c r="Z1151" s="30">
        <f t="shared" si="34"/>
        <v>6772.6006943194379</v>
      </c>
      <c r="AA1151" s="30">
        <f t="shared" si="35"/>
        <v>0</v>
      </c>
      <c r="AB1151" t="s">
        <v>456</v>
      </c>
    </row>
    <row r="1152" spans="1:28">
      <c r="A1152" s="67" t="s">
        <v>68</v>
      </c>
      <c r="B1152" s="68">
        <v>1216409</v>
      </c>
      <c r="C1152" s="69">
        <v>4615399341</v>
      </c>
      <c r="D1152" s="70">
        <v>19175</v>
      </c>
      <c r="E1152" s="79"/>
      <c r="F1152" s="68">
        <v>16</v>
      </c>
      <c r="G1152" s="68">
        <v>5</v>
      </c>
      <c r="H1152" s="68">
        <v>0</v>
      </c>
      <c r="I1152" s="68">
        <v>0</v>
      </c>
      <c r="J1152" s="71">
        <v>42747</v>
      </c>
      <c r="K1152" s="71">
        <v>43158</v>
      </c>
      <c r="L1152" s="69" t="s">
        <v>119</v>
      </c>
      <c r="M1152" s="69" t="s">
        <v>109</v>
      </c>
      <c r="N1152" s="72">
        <v>42824</v>
      </c>
      <c r="O1152" s="67"/>
      <c r="P1152" s="67" t="s">
        <v>95</v>
      </c>
      <c r="Q1152" s="67" t="s">
        <v>125</v>
      </c>
      <c r="R1152" s="69" t="s">
        <v>69</v>
      </c>
      <c r="S1152" s="69" t="s">
        <v>68</v>
      </c>
      <c r="T1152" s="67"/>
      <c r="U1152" s="67"/>
      <c r="V1152" s="72">
        <v>42766</v>
      </c>
      <c r="W1152" s="69">
        <v>5114730</v>
      </c>
      <c r="X1152" s="69"/>
      <c r="Y1152" s="123"/>
      <c r="Z1152" s="30">
        <f t="shared" si="34"/>
        <v>6763.7822038320437</v>
      </c>
      <c r="AA1152" s="30">
        <f t="shared" si="35"/>
        <v>2113.6819386975139</v>
      </c>
      <c r="AB1152" t="s">
        <v>456</v>
      </c>
    </row>
    <row r="1153" spans="1:28">
      <c r="A1153" s="67" t="s">
        <v>122</v>
      </c>
      <c r="B1153" s="68">
        <v>1221602</v>
      </c>
      <c r="C1153" s="69">
        <v>4615412116</v>
      </c>
      <c r="D1153" s="70">
        <v>19200</v>
      </c>
      <c r="E1153" s="79"/>
      <c r="F1153" s="68">
        <v>16</v>
      </c>
      <c r="G1153" s="68">
        <v>5</v>
      </c>
      <c r="H1153" s="75">
        <v>0</v>
      </c>
      <c r="I1153" s="68">
        <v>0</v>
      </c>
      <c r="J1153" s="71">
        <v>42779</v>
      </c>
      <c r="K1153" s="71">
        <v>43165</v>
      </c>
      <c r="L1153" s="69" t="s">
        <v>108</v>
      </c>
      <c r="M1153" s="69" t="s">
        <v>109</v>
      </c>
      <c r="N1153" s="72">
        <v>42823</v>
      </c>
      <c r="O1153" s="67"/>
      <c r="P1153" s="67" t="s">
        <v>95</v>
      </c>
      <c r="Q1153" s="67" t="s">
        <v>120</v>
      </c>
      <c r="R1153" s="69" t="s">
        <v>69</v>
      </c>
      <c r="S1153" s="69" t="s">
        <v>123</v>
      </c>
      <c r="T1153" s="67"/>
      <c r="U1153" s="67"/>
      <c r="V1153" s="72">
        <v>42794</v>
      </c>
      <c r="W1153" s="69">
        <v>2025779</v>
      </c>
      <c r="X1153" s="69"/>
      <c r="Y1153" s="123"/>
      <c r="Z1153" s="30">
        <f t="shared" si="34"/>
        <v>6772.6006943194379</v>
      </c>
      <c r="AA1153" s="30">
        <f t="shared" si="35"/>
        <v>2116.4377169748245</v>
      </c>
      <c r="AB1153" t="s">
        <v>456</v>
      </c>
    </row>
    <row r="1154" spans="1:28">
      <c r="A1154" s="67" t="s">
        <v>122</v>
      </c>
      <c r="B1154" s="68">
        <v>1215564</v>
      </c>
      <c r="C1154" s="69">
        <v>4615406082</v>
      </c>
      <c r="D1154" s="70">
        <v>19200</v>
      </c>
      <c r="E1154" s="79"/>
      <c r="F1154" s="73">
        <v>16</v>
      </c>
      <c r="G1154" s="73">
        <v>5</v>
      </c>
      <c r="H1154" s="68">
        <v>0</v>
      </c>
      <c r="I1154" s="68">
        <v>0</v>
      </c>
      <c r="J1154" s="71">
        <v>42743</v>
      </c>
      <c r="K1154" s="71">
        <v>43158</v>
      </c>
      <c r="L1154" s="69" t="s">
        <v>119</v>
      </c>
      <c r="M1154" s="69" t="s">
        <v>109</v>
      </c>
      <c r="N1154" s="72">
        <v>42823</v>
      </c>
      <c r="O1154" s="67"/>
      <c r="P1154" s="67" t="s">
        <v>95</v>
      </c>
      <c r="Q1154" s="67" t="s">
        <v>120</v>
      </c>
      <c r="R1154" s="69" t="s">
        <v>69</v>
      </c>
      <c r="S1154" s="69" t="s">
        <v>123</v>
      </c>
      <c r="T1154" s="67"/>
      <c r="U1154" s="67"/>
      <c r="V1154" s="72">
        <v>42766</v>
      </c>
      <c r="W1154" s="69">
        <v>2025761</v>
      </c>
      <c r="X1154" s="69"/>
      <c r="Y1154" s="123"/>
      <c r="Z1154" s="30">
        <f t="shared" si="34"/>
        <v>6772.6006943194379</v>
      </c>
      <c r="AA1154" s="30">
        <f t="shared" si="35"/>
        <v>2116.4377169748245</v>
      </c>
      <c r="AB1154" t="s">
        <v>456</v>
      </c>
    </row>
    <row r="1155" spans="1:28">
      <c r="A1155" s="67" t="s">
        <v>136</v>
      </c>
      <c r="B1155" s="68">
        <v>1212462</v>
      </c>
      <c r="C1155" s="69">
        <v>4615465868</v>
      </c>
      <c r="D1155" s="70">
        <v>19200</v>
      </c>
      <c r="E1155" s="79"/>
      <c r="F1155" s="73">
        <v>10</v>
      </c>
      <c r="G1155" s="73">
        <v>0</v>
      </c>
      <c r="H1155" s="68">
        <v>0</v>
      </c>
      <c r="I1155" s="68">
        <v>0</v>
      </c>
      <c r="J1155" s="71">
        <v>42734</v>
      </c>
      <c r="K1155" s="71">
        <v>43158</v>
      </c>
      <c r="L1155" s="69" t="s">
        <v>137</v>
      </c>
      <c r="M1155" s="69" t="s">
        <v>109</v>
      </c>
      <c r="N1155" s="72">
        <v>42823</v>
      </c>
      <c r="O1155" s="67"/>
      <c r="P1155" s="67" t="s">
        <v>95</v>
      </c>
      <c r="Q1155" s="67" t="s">
        <v>129</v>
      </c>
      <c r="R1155" s="69" t="s">
        <v>69</v>
      </c>
      <c r="S1155" s="69" t="s">
        <v>138</v>
      </c>
      <c r="T1155" s="67"/>
      <c r="U1155" s="67"/>
      <c r="V1155" s="72">
        <v>42766</v>
      </c>
      <c r="W1155" s="69">
        <v>415561689</v>
      </c>
      <c r="X1155" s="69"/>
      <c r="Y1155" s="123"/>
      <c r="Z1155" s="30">
        <f t="shared" ref="Z1155:Z1218" si="36">CONVERT(D1155,"kg","lbm")*F1155/100</f>
        <v>4232.8754339496491</v>
      </c>
      <c r="AA1155" s="30">
        <f t="shared" ref="AA1155:AA1218" si="37">CONVERT(D1155,"kg","lbm")*G1155/100</f>
        <v>0</v>
      </c>
      <c r="AB1155" t="s">
        <v>456</v>
      </c>
    </row>
    <row r="1156" spans="1:28">
      <c r="A1156" s="67" t="s">
        <v>68</v>
      </c>
      <c r="B1156" s="68">
        <v>1216408</v>
      </c>
      <c r="C1156" s="69">
        <v>4615399341</v>
      </c>
      <c r="D1156" s="70">
        <v>19175</v>
      </c>
      <c r="E1156" s="79"/>
      <c r="F1156" s="68">
        <v>16</v>
      </c>
      <c r="G1156" s="68">
        <v>5</v>
      </c>
      <c r="H1156" s="68">
        <v>0</v>
      </c>
      <c r="I1156" s="68">
        <v>0</v>
      </c>
      <c r="J1156" s="71">
        <v>42747</v>
      </c>
      <c r="K1156" s="71">
        <v>43151</v>
      </c>
      <c r="L1156" s="69" t="s">
        <v>119</v>
      </c>
      <c r="M1156" s="69" t="s">
        <v>109</v>
      </c>
      <c r="N1156" s="72">
        <v>42823</v>
      </c>
      <c r="O1156" s="67"/>
      <c r="P1156" s="67" t="s">
        <v>95</v>
      </c>
      <c r="Q1156" s="67" t="s">
        <v>125</v>
      </c>
      <c r="R1156" s="69" t="s">
        <v>69</v>
      </c>
      <c r="S1156" s="69" t="s">
        <v>68</v>
      </c>
      <c r="T1156" s="67"/>
      <c r="U1156" s="67"/>
      <c r="V1156" s="72">
        <v>42766</v>
      </c>
      <c r="W1156" s="69">
        <v>5114730</v>
      </c>
      <c r="X1156" s="69"/>
      <c r="Y1156" s="123"/>
      <c r="Z1156" s="30">
        <f t="shared" si="36"/>
        <v>6763.7822038320437</v>
      </c>
      <c r="AA1156" s="30">
        <f t="shared" si="37"/>
        <v>2113.6819386975139</v>
      </c>
      <c r="AB1156" t="s">
        <v>456</v>
      </c>
    </row>
    <row r="1157" spans="1:28">
      <c r="A1157" s="67" t="s">
        <v>68</v>
      </c>
      <c r="B1157" s="68">
        <v>1216396</v>
      </c>
      <c r="C1157" s="69">
        <v>4615399341</v>
      </c>
      <c r="D1157" s="70">
        <v>19175</v>
      </c>
      <c r="E1157" s="79"/>
      <c r="F1157" s="68">
        <v>16</v>
      </c>
      <c r="G1157" s="68">
        <v>5</v>
      </c>
      <c r="H1157" s="68">
        <v>0</v>
      </c>
      <c r="I1157" s="68">
        <v>0</v>
      </c>
      <c r="J1157" s="71">
        <v>42747</v>
      </c>
      <c r="K1157" s="71">
        <v>42823</v>
      </c>
      <c r="L1157" s="69" t="s">
        <v>119</v>
      </c>
      <c r="M1157" s="69" t="s">
        <v>109</v>
      </c>
      <c r="N1157" s="72">
        <v>42823</v>
      </c>
      <c r="O1157" s="67"/>
      <c r="P1157" s="67" t="s">
        <v>95</v>
      </c>
      <c r="Q1157" s="67" t="s">
        <v>125</v>
      </c>
      <c r="R1157" s="69" t="s">
        <v>69</v>
      </c>
      <c r="S1157" s="69" t="s">
        <v>68</v>
      </c>
      <c r="T1157" s="67"/>
      <c r="U1157" s="67"/>
      <c r="V1157" s="72">
        <v>42766</v>
      </c>
      <c r="W1157" s="69">
        <v>5114730</v>
      </c>
      <c r="X1157" s="69"/>
      <c r="Y1157" s="123"/>
      <c r="Z1157" s="30">
        <f t="shared" si="36"/>
        <v>6763.7822038320437</v>
      </c>
      <c r="AA1157" s="30">
        <f t="shared" si="37"/>
        <v>2113.6819386975139</v>
      </c>
      <c r="AB1157" t="s">
        <v>456</v>
      </c>
    </row>
    <row r="1158" spans="1:28">
      <c r="A1158" s="67" t="s">
        <v>128</v>
      </c>
      <c r="B1158" s="68">
        <v>1215122</v>
      </c>
      <c r="C1158" s="69">
        <v>4615418884</v>
      </c>
      <c r="D1158" s="70">
        <v>19175</v>
      </c>
      <c r="E1158" s="79"/>
      <c r="F1158" s="68">
        <v>154.4</v>
      </c>
      <c r="G1158" s="68" t="s">
        <v>114</v>
      </c>
      <c r="H1158" s="73">
        <v>0</v>
      </c>
      <c r="I1158" s="68">
        <v>0</v>
      </c>
      <c r="J1158" s="71">
        <v>42744</v>
      </c>
      <c r="K1158" s="71">
        <v>43144</v>
      </c>
      <c r="L1158" s="69" t="s">
        <v>108</v>
      </c>
      <c r="M1158" s="69" t="s">
        <v>109</v>
      </c>
      <c r="N1158" s="72">
        <v>42822</v>
      </c>
      <c r="O1158" s="67"/>
      <c r="P1158" s="67" t="s">
        <v>95</v>
      </c>
      <c r="Q1158" s="67" t="s">
        <v>129</v>
      </c>
      <c r="R1158" s="69" t="s">
        <v>69</v>
      </c>
      <c r="S1158" s="69" t="s">
        <v>130</v>
      </c>
      <c r="T1158" s="67"/>
      <c r="U1158" s="67"/>
      <c r="V1158" s="72">
        <v>42794</v>
      </c>
      <c r="W1158" s="69">
        <v>425560001</v>
      </c>
      <c r="X1158" s="69"/>
      <c r="Y1158" s="123"/>
      <c r="Z1158" s="30">
        <f t="shared" si="36"/>
        <v>65270.498266979223</v>
      </c>
      <c r="AA1158" s="30">
        <f t="shared" si="37"/>
        <v>0</v>
      </c>
      <c r="AB1158" t="s">
        <v>456</v>
      </c>
    </row>
    <row r="1159" spans="1:28">
      <c r="A1159" s="67" t="s">
        <v>122</v>
      </c>
      <c r="B1159" s="68">
        <v>1213515</v>
      </c>
      <c r="C1159" s="69">
        <v>4615414809</v>
      </c>
      <c r="D1159" s="70">
        <v>19175</v>
      </c>
      <c r="E1159" s="79"/>
      <c r="F1159" s="73">
        <v>16</v>
      </c>
      <c r="G1159" s="73">
        <v>5</v>
      </c>
      <c r="H1159" s="68">
        <v>0</v>
      </c>
      <c r="I1159" s="68">
        <v>0</v>
      </c>
      <c r="J1159" s="71">
        <v>42755</v>
      </c>
      <c r="K1159" s="71">
        <v>43144</v>
      </c>
      <c r="L1159" s="69" t="s">
        <v>119</v>
      </c>
      <c r="M1159" s="69" t="s">
        <v>109</v>
      </c>
      <c r="N1159" s="72">
        <v>42822</v>
      </c>
      <c r="O1159" s="67"/>
      <c r="P1159" s="67" t="s">
        <v>95</v>
      </c>
      <c r="Q1159" s="67" t="s">
        <v>120</v>
      </c>
      <c r="R1159" s="69" t="s">
        <v>69</v>
      </c>
      <c r="S1159" s="69" t="s">
        <v>123</v>
      </c>
      <c r="T1159" s="67"/>
      <c r="U1159" s="67"/>
      <c r="V1159" s="72">
        <v>42766</v>
      </c>
      <c r="W1159" s="69">
        <v>2025746</v>
      </c>
      <c r="X1159" s="69"/>
      <c r="Y1159" s="123"/>
      <c r="Z1159" s="30">
        <f t="shared" si="36"/>
        <v>6763.7822038320437</v>
      </c>
      <c r="AA1159" s="30">
        <f t="shared" si="37"/>
        <v>2113.6819386975139</v>
      </c>
      <c r="AB1159" t="s">
        <v>456</v>
      </c>
    </row>
    <row r="1160" spans="1:28">
      <c r="A1160" s="67" t="s">
        <v>122</v>
      </c>
      <c r="B1160" s="68">
        <v>1215569</v>
      </c>
      <c r="C1160" s="69">
        <v>4615406082</v>
      </c>
      <c r="D1160" s="70">
        <v>19200</v>
      </c>
      <c r="E1160" s="80"/>
      <c r="F1160" s="73">
        <v>16</v>
      </c>
      <c r="G1160" s="73">
        <v>5</v>
      </c>
      <c r="H1160" s="68">
        <v>0</v>
      </c>
      <c r="I1160" s="68">
        <v>0</v>
      </c>
      <c r="J1160" s="71">
        <v>42743</v>
      </c>
      <c r="K1160" s="71">
        <v>43144</v>
      </c>
      <c r="L1160" s="69" t="s">
        <v>119</v>
      </c>
      <c r="M1160" s="69" t="s">
        <v>109</v>
      </c>
      <c r="N1160" s="72">
        <v>42822</v>
      </c>
      <c r="O1160" s="67"/>
      <c r="P1160" s="67" t="s">
        <v>95</v>
      </c>
      <c r="Q1160" s="67" t="s">
        <v>120</v>
      </c>
      <c r="R1160" s="69" t="s">
        <v>69</v>
      </c>
      <c r="S1160" s="69" t="s">
        <v>123</v>
      </c>
      <c r="T1160" s="67"/>
      <c r="U1160" s="67"/>
      <c r="V1160" s="72">
        <v>42766</v>
      </c>
      <c r="W1160" s="69">
        <v>2025761</v>
      </c>
      <c r="X1160" s="69"/>
      <c r="Y1160" s="123"/>
      <c r="Z1160" s="30">
        <f t="shared" si="36"/>
        <v>6772.6006943194379</v>
      </c>
      <c r="AA1160" s="30">
        <f t="shared" si="37"/>
        <v>2116.4377169748245</v>
      </c>
      <c r="AB1160" t="s">
        <v>456</v>
      </c>
    </row>
    <row r="1161" spans="1:28">
      <c r="A1161" s="67" t="s">
        <v>122</v>
      </c>
      <c r="B1161" s="68">
        <v>1215562</v>
      </c>
      <c r="C1161" s="69">
        <v>4615406082</v>
      </c>
      <c r="D1161" s="70">
        <v>19200</v>
      </c>
      <c r="E1161" s="80"/>
      <c r="F1161" s="73">
        <v>16</v>
      </c>
      <c r="G1161" s="73">
        <v>5</v>
      </c>
      <c r="H1161" s="68">
        <v>0</v>
      </c>
      <c r="I1161" s="68">
        <v>0</v>
      </c>
      <c r="J1161" s="71">
        <v>42743</v>
      </c>
      <c r="K1161" s="71">
        <v>43144</v>
      </c>
      <c r="L1161" s="69" t="s">
        <v>119</v>
      </c>
      <c r="M1161" s="69" t="s">
        <v>109</v>
      </c>
      <c r="N1161" s="72">
        <v>42822</v>
      </c>
      <c r="O1161" s="67"/>
      <c r="P1161" s="67" t="s">
        <v>95</v>
      </c>
      <c r="Q1161" s="67" t="s">
        <v>120</v>
      </c>
      <c r="R1161" s="69" t="s">
        <v>69</v>
      </c>
      <c r="S1161" s="69" t="s">
        <v>123</v>
      </c>
      <c r="T1161" s="67"/>
      <c r="U1161" s="67"/>
      <c r="V1161" s="72">
        <v>42766</v>
      </c>
      <c r="W1161" s="69">
        <v>2025761</v>
      </c>
      <c r="X1161" s="69"/>
      <c r="Y1161" s="123"/>
      <c r="Z1161" s="30">
        <f t="shared" si="36"/>
        <v>6772.6006943194379</v>
      </c>
      <c r="AA1161" s="30">
        <f t="shared" si="37"/>
        <v>2116.4377169748245</v>
      </c>
      <c r="AB1161" t="s">
        <v>456</v>
      </c>
    </row>
    <row r="1162" spans="1:28">
      <c r="A1162" s="67" t="s">
        <v>68</v>
      </c>
      <c r="B1162" s="68">
        <v>1216406</v>
      </c>
      <c r="C1162" s="69">
        <v>4615399341</v>
      </c>
      <c r="D1162" s="70">
        <v>19175</v>
      </c>
      <c r="E1162" s="80"/>
      <c r="F1162" s="68">
        <v>16</v>
      </c>
      <c r="G1162" s="68">
        <v>5</v>
      </c>
      <c r="H1162" s="68">
        <v>0</v>
      </c>
      <c r="I1162" s="68">
        <v>0</v>
      </c>
      <c r="J1162" s="71">
        <v>42747</v>
      </c>
      <c r="K1162" s="71">
        <v>43123</v>
      </c>
      <c r="L1162" s="69" t="s">
        <v>119</v>
      </c>
      <c r="M1162" s="69" t="s">
        <v>109</v>
      </c>
      <c r="N1162" s="72">
        <v>42822</v>
      </c>
      <c r="O1162" s="67"/>
      <c r="P1162" s="67" t="s">
        <v>95</v>
      </c>
      <c r="Q1162" s="67" t="s">
        <v>125</v>
      </c>
      <c r="R1162" s="69" t="s">
        <v>69</v>
      </c>
      <c r="S1162" s="69" t="s">
        <v>68</v>
      </c>
      <c r="T1162" s="67"/>
      <c r="U1162" s="67"/>
      <c r="V1162" s="72">
        <v>42766</v>
      </c>
      <c r="W1162" s="69">
        <v>5114730</v>
      </c>
      <c r="X1162" s="69"/>
      <c r="Y1162" s="123"/>
      <c r="Z1162" s="30">
        <f t="shared" si="36"/>
        <v>6763.7822038320437</v>
      </c>
      <c r="AA1162" s="30">
        <f t="shared" si="37"/>
        <v>2113.6819386975139</v>
      </c>
      <c r="AB1162" t="s">
        <v>456</v>
      </c>
    </row>
    <row r="1163" spans="1:28">
      <c r="A1163" s="67" t="s">
        <v>113</v>
      </c>
      <c r="B1163" s="68">
        <v>1217023</v>
      </c>
      <c r="C1163" s="69">
        <v>4615405994</v>
      </c>
      <c r="D1163" s="70">
        <v>19200</v>
      </c>
      <c r="E1163" s="80"/>
      <c r="F1163" s="73">
        <v>16</v>
      </c>
      <c r="G1163" s="73" t="s">
        <v>114</v>
      </c>
      <c r="H1163" s="68">
        <v>0</v>
      </c>
      <c r="I1163" s="68">
        <v>0</v>
      </c>
      <c r="J1163" s="71">
        <v>42755</v>
      </c>
      <c r="K1163" s="71">
        <v>43123</v>
      </c>
      <c r="L1163" s="69" t="s">
        <v>108</v>
      </c>
      <c r="M1163" s="69" t="s">
        <v>109</v>
      </c>
      <c r="N1163" s="72">
        <v>42821</v>
      </c>
      <c r="O1163" s="67"/>
      <c r="P1163" s="67" t="s">
        <v>95</v>
      </c>
      <c r="Q1163" s="67" t="s">
        <v>110</v>
      </c>
      <c r="R1163" s="69" t="s">
        <v>69</v>
      </c>
      <c r="S1163" s="69" t="s">
        <v>115</v>
      </c>
      <c r="T1163" s="67"/>
      <c r="U1163" s="67"/>
      <c r="V1163" s="72">
        <v>42794</v>
      </c>
      <c r="W1163" s="69" t="s">
        <v>227</v>
      </c>
      <c r="X1163" s="69" t="s">
        <v>228</v>
      </c>
      <c r="Y1163" s="123"/>
      <c r="Z1163" s="30">
        <f t="shared" si="36"/>
        <v>6772.6006943194379</v>
      </c>
      <c r="AA1163" s="30">
        <f t="shared" si="37"/>
        <v>0</v>
      </c>
      <c r="AB1163" t="s">
        <v>456</v>
      </c>
    </row>
    <row r="1164" spans="1:28">
      <c r="A1164" s="67" t="s">
        <v>122</v>
      </c>
      <c r="B1164" s="68">
        <v>1212809</v>
      </c>
      <c r="C1164" s="69">
        <v>4615412698</v>
      </c>
      <c r="D1164" s="70">
        <v>19200</v>
      </c>
      <c r="E1164" s="80"/>
      <c r="F1164" s="68">
        <v>16</v>
      </c>
      <c r="G1164" s="68">
        <v>5</v>
      </c>
      <c r="H1164" s="73">
        <v>0</v>
      </c>
      <c r="I1164" s="68">
        <v>0</v>
      </c>
      <c r="J1164" s="71">
        <v>42737</v>
      </c>
      <c r="K1164" s="71">
        <v>43123</v>
      </c>
      <c r="L1164" s="69" t="s">
        <v>119</v>
      </c>
      <c r="M1164" s="69" t="s">
        <v>109</v>
      </c>
      <c r="N1164" s="72">
        <v>42821</v>
      </c>
      <c r="O1164" s="67"/>
      <c r="P1164" s="67" t="s">
        <v>95</v>
      </c>
      <c r="Q1164" s="67" t="s">
        <v>120</v>
      </c>
      <c r="R1164" s="69" t="s">
        <v>69</v>
      </c>
      <c r="S1164" s="69" t="s">
        <v>123</v>
      </c>
      <c r="T1164" s="67"/>
      <c r="U1164" s="67"/>
      <c r="V1164" s="72">
        <v>42794</v>
      </c>
      <c r="W1164" s="69">
        <v>2025661</v>
      </c>
      <c r="X1164" s="69"/>
      <c r="Y1164" s="123"/>
      <c r="Z1164" s="30">
        <f t="shared" si="36"/>
        <v>6772.6006943194379</v>
      </c>
      <c r="AA1164" s="30">
        <f t="shared" si="37"/>
        <v>2116.4377169748245</v>
      </c>
      <c r="AB1164" t="s">
        <v>456</v>
      </c>
    </row>
    <row r="1165" spans="1:28">
      <c r="A1165" s="67" t="s">
        <v>68</v>
      </c>
      <c r="B1165" s="68">
        <v>1214576</v>
      </c>
      <c r="C1165" s="69">
        <v>4615412605</v>
      </c>
      <c r="D1165" s="70">
        <v>19175</v>
      </c>
      <c r="E1165" s="80"/>
      <c r="F1165" s="73">
        <v>16</v>
      </c>
      <c r="G1165" s="73">
        <v>5</v>
      </c>
      <c r="H1165" s="75">
        <v>0</v>
      </c>
      <c r="I1165" s="68">
        <v>0</v>
      </c>
      <c r="J1165" s="71">
        <v>42749</v>
      </c>
      <c r="K1165" s="71">
        <v>43137</v>
      </c>
      <c r="L1165" s="69" t="s">
        <v>119</v>
      </c>
      <c r="M1165" s="69" t="s">
        <v>109</v>
      </c>
      <c r="N1165" s="72">
        <v>42820</v>
      </c>
      <c r="O1165" s="67"/>
      <c r="P1165" s="67" t="s">
        <v>95</v>
      </c>
      <c r="Q1165" s="67" t="s">
        <v>125</v>
      </c>
      <c r="R1165" s="69" t="s">
        <v>69</v>
      </c>
      <c r="S1165" s="69" t="s">
        <v>68</v>
      </c>
      <c r="T1165" s="67"/>
      <c r="U1165" s="67"/>
      <c r="V1165" s="72">
        <v>42794</v>
      </c>
      <c r="W1165" s="69">
        <v>5114731</v>
      </c>
      <c r="X1165" s="69"/>
      <c r="Y1165" s="123"/>
      <c r="Z1165" s="30">
        <f t="shared" si="36"/>
        <v>6763.7822038320437</v>
      </c>
      <c r="AA1165" s="30">
        <f t="shared" si="37"/>
        <v>2113.6819386975139</v>
      </c>
      <c r="AB1165" t="s">
        <v>456</v>
      </c>
    </row>
    <row r="1166" spans="1:28">
      <c r="A1166" s="67" t="s">
        <v>122</v>
      </c>
      <c r="B1166" s="68">
        <v>1221637</v>
      </c>
      <c r="C1166" s="69">
        <v>4615394135</v>
      </c>
      <c r="D1166" s="70">
        <v>19200</v>
      </c>
      <c r="E1166" s="80"/>
      <c r="F1166" s="73">
        <v>16</v>
      </c>
      <c r="G1166" s="73">
        <v>5</v>
      </c>
      <c r="H1166" s="75">
        <v>0</v>
      </c>
      <c r="I1166" s="68">
        <v>0</v>
      </c>
      <c r="J1166" s="71">
        <v>42772</v>
      </c>
      <c r="K1166" s="71">
        <v>43137</v>
      </c>
      <c r="L1166" s="69" t="s">
        <v>108</v>
      </c>
      <c r="M1166" s="69" t="s">
        <v>109</v>
      </c>
      <c r="N1166" s="72">
        <v>42820</v>
      </c>
      <c r="O1166" s="67"/>
      <c r="P1166" s="67" t="s">
        <v>95</v>
      </c>
      <c r="Q1166" s="67" t="s">
        <v>120</v>
      </c>
      <c r="R1166" s="69" t="s">
        <v>69</v>
      </c>
      <c r="S1166" s="69" t="s">
        <v>123</v>
      </c>
      <c r="T1166" s="67"/>
      <c r="U1166" s="67"/>
      <c r="V1166" s="72">
        <v>42794</v>
      </c>
      <c r="W1166" s="69">
        <v>2025762</v>
      </c>
      <c r="X1166" s="69"/>
      <c r="Y1166" s="123"/>
      <c r="Z1166" s="30">
        <f t="shared" si="36"/>
        <v>6772.6006943194379</v>
      </c>
      <c r="AA1166" s="30">
        <f t="shared" si="37"/>
        <v>2116.4377169748245</v>
      </c>
      <c r="AB1166" t="s">
        <v>456</v>
      </c>
    </row>
    <row r="1167" spans="1:28">
      <c r="A1167" s="67" t="s">
        <v>122</v>
      </c>
      <c r="B1167" s="68">
        <v>1221646</v>
      </c>
      <c r="C1167" s="69">
        <v>4615394135</v>
      </c>
      <c r="D1167" s="70">
        <v>19200</v>
      </c>
      <c r="E1167" s="80"/>
      <c r="F1167" s="73">
        <v>16</v>
      </c>
      <c r="G1167" s="73">
        <v>5</v>
      </c>
      <c r="H1167" s="75">
        <v>0</v>
      </c>
      <c r="I1167" s="68">
        <v>0</v>
      </c>
      <c r="J1167" s="71">
        <v>42772</v>
      </c>
      <c r="K1167" s="71">
        <v>43137</v>
      </c>
      <c r="L1167" s="69" t="s">
        <v>108</v>
      </c>
      <c r="M1167" s="69" t="s">
        <v>109</v>
      </c>
      <c r="N1167" s="72">
        <v>42820</v>
      </c>
      <c r="O1167" s="67"/>
      <c r="P1167" s="67" t="s">
        <v>95</v>
      </c>
      <c r="Q1167" s="67" t="s">
        <v>120</v>
      </c>
      <c r="R1167" s="69" t="s">
        <v>69</v>
      </c>
      <c r="S1167" s="69" t="s">
        <v>123</v>
      </c>
      <c r="T1167" s="67"/>
      <c r="U1167" s="67"/>
      <c r="V1167" s="72">
        <v>42794</v>
      </c>
      <c r="W1167" s="69">
        <v>2025762</v>
      </c>
      <c r="X1167" s="69"/>
      <c r="Y1167" s="123"/>
      <c r="Z1167" s="30">
        <f t="shared" si="36"/>
        <v>6772.6006943194379</v>
      </c>
      <c r="AA1167" s="30">
        <f t="shared" si="37"/>
        <v>2116.4377169748245</v>
      </c>
      <c r="AB1167" t="s">
        <v>456</v>
      </c>
    </row>
    <row r="1168" spans="1:28">
      <c r="A1168" s="67" t="s">
        <v>122</v>
      </c>
      <c r="B1168" s="68">
        <v>1221644</v>
      </c>
      <c r="C1168" s="69">
        <v>4615394135</v>
      </c>
      <c r="D1168" s="70">
        <v>19200</v>
      </c>
      <c r="E1168" s="80"/>
      <c r="F1168" s="73">
        <v>16</v>
      </c>
      <c r="G1168" s="73">
        <v>5</v>
      </c>
      <c r="H1168" s="75">
        <v>0</v>
      </c>
      <c r="I1168" s="68">
        <v>0</v>
      </c>
      <c r="J1168" s="71">
        <v>42772</v>
      </c>
      <c r="K1168" s="71">
        <v>43137</v>
      </c>
      <c r="L1168" s="69" t="s">
        <v>108</v>
      </c>
      <c r="M1168" s="69" t="s">
        <v>109</v>
      </c>
      <c r="N1168" s="72">
        <v>42820</v>
      </c>
      <c r="O1168" s="67"/>
      <c r="P1168" s="67" t="s">
        <v>95</v>
      </c>
      <c r="Q1168" s="67" t="s">
        <v>120</v>
      </c>
      <c r="R1168" s="69" t="s">
        <v>69</v>
      </c>
      <c r="S1168" s="69" t="s">
        <v>123</v>
      </c>
      <c r="T1168" s="67"/>
      <c r="U1168" s="67"/>
      <c r="V1168" s="72">
        <v>42794</v>
      </c>
      <c r="W1168" s="69">
        <v>2025762</v>
      </c>
      <c r="X1168" s="69"/>
      <c r="Y1168" s="123"/>
      <c r="Z1168" s="30">
        <f t="shared" si="36"/>
        <v>6772.6006943194379</v>
      </c>
      <c r="AA1168" s="30">
        <f t="shared" si="37"/>
        <v>2116.4377169748245</v>
      </c>
      <c r="AB1168" t="s">
        <v>456</v>
      </c>
    </row>
    <row r="1169" spans="1:28">
      <c r="A1169" s="67" t="s">
        <v>122</v>
      </c>
      <c r="B1169" s="68">
        <v>1215568</v>
      </c>
      <c r="C1169" s="69">
        <v>4615406082</v>
      </c>
      <c r="D1169" s="70">
        <v>19200</v>
      </c>
      <c r="E1169" s="79"/>
      <c r="F1169" s="73">
        <v>16</v>
      </c>
      <c r="G1169" s="73">
        <v>5</v>
      </c>
      <c r="H1169" s="68">
        <v>0</v>
      </c>
      <c r="I1169" s="68">
        <v>0</v>
      </c>
      <c r="J1169" s="71">
        <v>42743</v>
      </c>
      <c r="K1169" s="71">
        <v>43144</v>
      </c>
      <c r="L1169" s="69" t="s">
        <v>119</v>
      </c>
      <c r="M1169" s="69" t="s">
        <v>109</v>
      </c>
      <c r="N1169" s="72">
        <v>42820</v>
      </c>
      <c r="O1169" s="67"/>
      <c r="P1169" s="67" t="s">
        <v>95</v>
      </c>
      <c r="Q1169" s="67" t="s">
        <v>120</v>
      </c>
      <c r="R1169" s="69" t="s">
        <v>69</v>
      </c>
      <c r="S1169" s="69" t="s">
        <v>123</v>
      </c>
      <c r="T1169" s="76"/>
      <c r="U1169" s="67"/>
      <c r="V1169" s="72">
        <v>42766</v>
      </c>
      <c r="W1169" s="69">
        <v>2025761</v>
      </c>
      <c r="X1169" s="69"/>
      <c r="Y1169" s="123"/>
      <c r="Z1169" s="30">
        <f t="shared" si="36"/>
        <v>6772.6006943194379</v>
      </c>
      <c r="AA1169" s="30">
        <f t="shared" si="37"/>
        <v>2116.4377169748245</v>
      </c>
      <c r="AB1169" t="s">
        <v>456</v>
      </c>
    </row>
    <row r="1170" spans="1:28">
      <c r="A1170" s="67" t="s">
        <v>122</v>
      </c>
      <c r="B1170" s="68">
        <v>1215567</v>
      </c>
      <c r="C1170" s="69">
        <v>4615406082</v>
      </c>
      <c r="D1170" s="70">
        <v>19200</v>
      </c>
      <c r="E1170" s="79"/>
      <c r="F1170" s="73">
        <v>16</v>
      </c>
      <c r="G1170" s="73">
        <v>5</v>
      </c>
      <c r="H1170" s="68">
        <v>0</v>
      </c>
      <c r="I1170" s="68">
        <v>0</v>
      </c>
      <c r="J1170" s="71">
        <v>42743</v>
      </c>
      <c r="K1170" s="71">
        <v>43144</v>
      </c>
      <c r="L1170" s="69" t="s">
        <v>119</v>
      </c>
      <c r="M1170" s="69" t="s">
        <v>109</v>
      </c>
      <c r="N1170" s="72">
        <v>42820</v>
      </c>
      <c r="O1170" s="67"/>
      <c r="P1170" s="67" t="s">
        <v>95</v>
      </c>
      <c r="Q1170" s="67" t="s">
        <v>120</v>
      </c>
      <c r="R1170" s="69" t="s">
        <v>69</v>
      </c>
      <c r="S1170" s="69" t="s">
        <v>123</v>
      </c>
      <c r="T1170" s="76"/>
      <c r="U1170" s="67"/>
      <c r="V1170" s="72">
        <v>42766</v>
      </c>
      <c r="W1170" s="69">
        <v>2025761</v>
      </c>
      <c r="X1170" s="69" t="s">
        <v>235</v>
      </c>
      <c r="Y1170" s="123"/>
      <c r="Z1170" s="30">
        <f t="shared" si="36"/>
        <v>6772.6006943194379</v>
      </c>
      <c r="AA1170" s="30">
        <f t="shared" si="37"/>
        <v>2116.4377169748245</v>
      </c>
      <c r="AB1170" t="s">
        <v>456</v>
      </c>
    </row>
    <row r="1171" spans="1:28">
      <c r="A1171" s="67" t="s">
        <v>113</v>
      </c>
      <c r="B1171" s="68">
        <v>1158211</v>
      </c>
      <c r="C1171" s="69">
        <v>4615411151</v>
      </c>
      <c r="D1171" s="70">
        <v>19175</v>
      </c>
      <c r="E1171" s="79"/>
      <c r="F1171" s="68">
        <v>16</v>
      </c>
      <c r="G1171" s="68" t="s">
        <v>114</v>
      </c>
      <c r="H1171" s="68">
        <v>0</v>
      </c>
      <c r="I1171" s="68">
        <v>0</v>
      </c>
      <c r="J1171" s="71"/>
      <c r="K1171" s="71">
        <v>43144</v>
      </c>
      <c r="L1171" s="69" t="s">
        <v>80</v>
      </c>
      <c r="M1171" s="69" t="s">
        <v>109</v>
      </c>
      <c r="N1171" s="72">
        <v>42820</v>
      </c>
      <c r="O1171" s="67"/>
      <c r="P1171" s="67" t="s">
        <v>95</v>
      </c>
      <c r="Q1171" s="67" t="s">
        <v>110</v>
      </c>
      <c r="R1171" s="69" t="s">
        <v>69</v>
      </c>
      <c r="S1171" s="69" t="s">
        <v>115</v>
      </c>
      <c r="T1171" s="76"/>
      <c r="U1171" s="67"/>
      <c r="V1171" s="72">
        <v>42613</v>
      </c>
      <c r="W1171" s="69" t="s">
        <v>231</v>
      </c>
      <c r="X1171" s="69" t="s">
        <v>232</v>
      </c>
      <c r="Y1171" s="123"/>
      <c r="Z1171" s="30">
        <f t="shared" si="36"/>
        <v>6763.7822038320437</v>
      </c>
      <c r="AA1171" s="30">
        <f t="shared" si="37"/>
        <v>0</v>
      </c>
      <c r="AB1171" t="s">
        <v>456</v>
      </c>
    </row>
    <row r="1172" spans="1:28">
      <c r="A1172" s="67" t="s">
        <v>113</v>
      </c>
      <c r="B1172" s="68">
        <v>1210292</v>
      </c>
      <c r="C1172" s="69">
        <v>4615411752</v>
      </c>
      <c r="D1172" s="70">
        <v>19175</v>
      </c>
      <c r="E1172" s="79"/>
      <c r="F1172" s="68">
        <v>16</v>
      </c>
      <c r="G1172" s="68" t="s">
        <v>114</v>
      </c>
      <c r="H1172" s="68">
        <v>0</v>
      </c>
      <c r="I1172" s="68">
        <v>0</v>
      </c>
      <c r="J1172" s="71">
        <v>42732</v>
      </c>
      <c r="K1172" s="71">
        <v>43144</v>
      </c>
      <c r="L1172" s="69" t="s">
        <v>119</v>
      </c>
      <c r="M1172" s="69" t="s">
        <v>109</v>
      </c>
      <c r="N1172" s="72">
        <v>42820</v>
      </c>
      <c r="O1172" s="67"/>
      <c r="P1172" s="67" t="s">
        <v>95</v>
      </c>
      <c r="Q1172" s="67" t="s">
        <v>110</v>
      </c>
      <c r="R1172" s="69" t="s">
        <v>69</v>
      </c>
      <c r="S1172" s="69" t="s">
        <v>115</v>
      </c>
      <c r="T1172" s="76"/>
      <c r="U1172" s="67"/>
      <c r="V1172" s="72">
        <v>42766</v>
      </c>
      <c r="W1172" s="69" t="s">
        <v>209</v>
      </c>
      <c r="X1172" s="69" t="s">
        <v>238</v>
      </c>
      <c r="Y1172" s="123"/>
      <c r="Z1172" s="30">
        <f t="shared" si="36"/>
        <v>6763.7822038320437</v>
      </c>
      <c r="AA1172" s="30">
        <f t="shared" si="37"/>
        <v>0</v>
      </c>
      <c r="AB1172" t="s">
        <v>456</v>
      </c>
    </row>
    <row r="1173" spans="1:28">
      <c r="A1173" s="67" t="s">
        <v>122</v>
      </c>
      <c r="B1173" s="68">
        <v>1215563</v>
      </c>
      <c r="C1173" s="69">
        <v>4615406082</v>
      </c>
      <c r="D1173" s="70">
        <v>19200</v>
      </c>
      <c r="E1173" s="79"/>
      <c r="F1173" s="73">
        <v>16</v>
      </c>
      <c r="G1173" s="73">
        <v>5</v>
      </c>
      <c r="H1173" s="68">
        <v>0</v>
      </c>
      <c r="I1173" s="68">
        <v>0</v>
      </c>
      <c r="J1173" s="71">
        <v>42743</v>
      </c>
      <c r="K1173" s="71">
        <v>43158</v>
      </c>
      <c r="L1173" s="69" t="s">
        <v>119</v>
      </c>
      <c r="M1173" s="69" t="s">
        <v>109</v>
      </c>
      <c r="N1173" s="72">
        <v>42817</v>
      </c>
      <c r="O1173" s="67"/>
      <c r="P1173" s="67" t="s">
        <v>95</v>
      </c>
      <c r="Q1173" s="67" t="s">
        <v>120</v>
      </c>
      <c r="R1173" s="69" t="s">
        <v>69</v>
      </c>
      <c r="S1173" s="69" t="s">
        <v>123</v>
      </c>
      <c r="T1173" s="76"/>
      <c r="U1173" s="67"/>
      <c r="V1173" s="72">
        <v>42766</v>
      </c>
      <c r="W1173" s="69">
        <v>2025761</v>
      </c>
      <c r="X1173" s="69"/>
      <c r="Y1173" s="123"/>
      <c r="Z1173" s="30">
        <f t="shared" si="36"/>
        <v>6772.6006943194379</v>
      </c>
      <c r="AA1173" s="30">
        <f t="shared" si="37"/>
        <v>2116.4377169748245</v>
      </c>
      <c r="AB1173" t="s">
        <v>456</v>
      </c>
    </row>
    <row r="1174" spans="1:28">
      <c r="A1174" s="67" t="s">
        <v>113</v>
      </c>
      <c r="B1174" s="68">
        <v>1217028</v>
      </c>
      <c r="C1174" s="69">
        <v>4615405994</v>
      </c>
      <c r="D1174" s="70">
        <v>19200</v>
      </c>
      <c r="E1174" s="79"/>
      <c r="F1174" s="73">
        <v>16</v>
      </c>
      <c r="G1174" s="73" t="s">
        <v>114</v>
      </c>
      <c r="H1174" s="68">
        <v>0</v>
      </c>
      <c r="I1174" s="68">
        <v>0</v>
      </c>
      <c r="J1174" s="71">
        <v>42755</v>
      </c>
      <c r="K1174" s="71">
        <v>43158</v>
      </c>
      <c r="L1174" s="69" t="s">
        <v>108</v>
      </c>
      <c r="M1174" s="69" t="s">
        <v>109</v>
      </c>
      <c r="N1174" s="72">
        <v>42817</v>
      </c>
      <c r="O1174" s="67"/>
      <c r="P1174" s="67" t="s">
        <v>95</v>
      </c>
      <c r="Q1174" s="67" t="s">
        <v>110</v>
      </c>
      <c r="R1174" s="69" t="s">
        <v>69</v>
      </c>
      <c r="S1174" s="69" t="s">
        <v>115</v>
      </c>
      <c r="T1174" s="76"/>
      <c r="U1174" s="67"/>
      <c r="V1174" s="72">
        <v>42794</v>
      </c>
      <c r="W1174" s="69" t="s">
        <v>227</v>
      </c>
      <c r="X1174" s="69" t="s">
        <v>228</v>
      </c>
      <c r="Y1174" s="123"/>
      <c r="Z1174" s="30">
        <f t="shared" si="36"/>
        <v>6772.6006943194379</v>
      </c>
      <c r="AA1174" s="30">
        <f t="shared" si="37"/>
        <v>0</v>
      </c>
      <c r="AB1174" t="s">
        <v>456</v>
      </c>
    </row>
    <row r="1175" spans="1:28">
      <c r="A1175" s="67" t="s">
        <v>113</v>
      </c>
      <c r="B1175" s="68">
        <v>1217021</v>
      </c>
      <c r="C1175" s="69">
        <v>4615405994</v>
      </c>
      <c r="D1175" s="70">
        <v>19200</v>
      </c>
      <c r="E1175" s="79"/>
      <c r="F1175" s="73">
        <v>16</v>
      </c>
      <c r="G1175" s="73" t="s">
        <v>114</v>
      </c>
      <c r="H1175" s="68">
        <v>0</v>
      </c>
      <c r="I1175" s="68">
        <v>0</v>
      </c>
      <c r="J1175" s="71">
        <v>42755</v>
      </c>
      <c r="K1175" s="71">
        <v>43158</v>
      </c>
      <c r="L1175" s="69" t="s">
        <v>108</v>
      </c>
      <c r="M1175" s="69" t="s">
        <v>109</v>
      </c>
      <c r="N1175" s="72">
        <v>42817</v>
      </c>
      <c r="O1175" s="67"/>
      <c r="P1175" s="67" t="s">
        <v>95</v>
      </c>
      <c r="Q1175" s="67" t="s">
        <v>110</v>
      </c>
      <c r="R1175" s="69" t="s">
        <v>69</v>
      </c>
      <c r="S1175" s="69" t="s">
        <v>115</v>
      </c>
      <c r="T1175" s="76"/>
      <c r="U1175" s="67"/>
      <c r="V1175" s="72">
        <v>42794</v>
      </c>
      <c r="W1175" s="69" t="s">
        <v>227</v>
      </c>
      <c r="X1175" s="69" t="s">
        <v>228</v>
      </c>
      <c r="Y1175" s="123"/>
      <c r="Z1175" s="30">
        <f t="shared" si="36"/>
        <v>6772.6006943194379</v>
      </c>
      <c r="AA1175" s="30">
        <f t="shared" si="37"/>
        <v>0</v>
      </c>
      <c r="AB1175" t="s">
        <v>456</v>
      </c>
    </row>
    <row r="1176" spans="1:28">
      <c r="A1176" s="67" t="s">
        <v>113</v>
      </c>
      <c r="B1176" s="68">
        <v>1210287</v>
      </c>
      <c r="C1176" s="69">
        <v>4615411752</v>
      </c>
      <c r="D1176" s="70">
        <v>19175</v>
      </c>
      <c r="E1176" s="79"/>
      <c r="F1176" s="68">
        <v>16</v>
      </c>
      <c r="G1176" s="68" t="s">
        <v>114</v>
      </c>
      <c r="H1176" s="73">
        <v>0</v>
      </c>
      <c r="I1176" s="68">
        <v>0</v>
      </c>
      <c r="J1176" s="71">
        <v>42732</v>
      </c>
      <c r="K1176" s="71">
        <v>43158</v>
      </c>
      <c r="L1176" s="69" t="s">
        <v>119</v>
      </c>
      <c r="M1176" s="69" t="s">
        <v>109</v>
      </c>
      <c r="N1176" s="72">
        <v>42817</v>
      </c>
      <c r="O1176" s="67"/>
      <c r="P1176" s="67" t="s">
        <v>95</v>
      </c>
      <c r="Q1176" s="67" t="s">
        <v>110</v>
      </c>
      <c r="R1176" s="69" t="s">
        <v>69</v>
      </c>
      <c r="S1176" s="69" t="s">
        <v>115</v>
      </c>
      <c r="T1176" s="76"/>
      <c r="U1176" s="67"/>
      <c r="V1176" s="72">
        <v>42766</v>
      </c>
      <c r="W1176" s="69" t="s">
        <v>209</v>
      </c>
      <c r="X1176" s="69" t="s">
        <v>239</v>
      </c>
      <c r="Y1176" s="123"/>
      <c r="Z1176" s="30">
        <f t="shared" si="36"/>
        <v>6763.7822038320437</v>
      </c>
      <c r="AA1176" s="30">
        <f t="shared" si="37"/>
        <v>0</v>
      </c>
      <c r="AB1176" t="s">
        <v>456</v>
      </c>
    </row>
    <row r="1177" spans="1:28">
      <c r="A1177" s="67" t="s">
        <v>68</v>
      </c>
      <c r="B1177" s="68">
        <v>1216404</v>
      </c>
      <c r="C1177" s="69">
        <v>4615399341</v>
      </c>
      <c r="D1177" s="70">
        <v>19175</v>
      </c>
      <c r="E1177" s="79"/>
      <c r="F1177" s="68">
        <v>16</v>
      </c>
      <c r="G1177" s="68">
        <v>5</v>
      </c>
      <c r="H1177" s="68">
        <v>0</v>
      </c>
      <c r="I1177" s="68">
        <v>0</v>
      </c>
      <c r="J1177" s="71">
        <v>42747</v>
      </c>
      <c r="K1177" s="71">
        <v>43158</v>
      </c>
      <c r="L1177" s="69" t="s">
        <v>119</v>
      </c>
      <c r="M1177" s="69" t="s">
        <v>109</v>
      </c>
      <c r="N1177" s="72">
        <v>42817</v>
      </c>
      <c r="O1177" s="67"/>
      <c r="P1177" s="67" t="s">
        <v>95</v>
      </c>
      <c r="Q1177" s="67" t="s">
        <v>125</v>
      </c>
      <c r="R1177" s="69" t="s">
        <v>69</v>
      </c>
      <c r="S1177" s="69" t="s">
        <v>68</v>
      </c>
      <c r="T1177" s="76"/>
      <c r="U1177" s="67"/>
      <c r="V1177" s="72">
        <v>42766</v>
      </c>
      <c r="W1177" s="69">
        <v>5114730</v>
      </c>
      <c r="X1177" s="69"/>
      <c r="Y1177" s="123"/>
      <c r="Z1177" s="30">
        <f t="shared" si="36"/>
        <v>6763.7822038320437</v>
      </c>
      <c r="AA1177" s="30">
        <f t="shared" si="37"/>
        <v>2113.6819386975139</v>
      </c>
      <c r="AB1177" t="s">
        <v>456</v>
      </c>
    </row>
    <row r="1178" spans="1:28">
      <c r="A1178" s="67" t="s">
        <v>113</v>
      </c>
      <c r="B1178" s="68">
        <v>1217029</v>
      </c>
      <c r="C1178" s="69">
        <v>4615405994</v>
      </c>
      <c r="D1178" s="70">
        <v>19200</v>
      </c>
      <c r="E1178" s="79"/>
      <c r="F1178" s="73">
        <v>16</v>
      </c>
      <c r="G1178" s="73" t="s">
        <v>114</v>
      </c>
      <c r="H1178" s="68">
        <v>0</v>
      </c>
      <c r="I1178" s="68">
        <v>0</v>
      </c>
      <c r="J1178" s="71">
        <v>42755</v>
      </c>
      <c r="K1178" s="71">
        <v>43158</v>
      </c>
      <c r="L1178" s="69" t="s">
        <v>108</v>
      </c>
      <c r="M1178" s="69" t="s">
        <v>109</v>
      </c>
      <c r="N1178" s="72">
        <v>42816</v>
      </c>
      <c r="O1178" s="67"/>
      <c r="P1178" s="67" t="s">
        <v>95</v>
      </c>
      <c r="Q1178" s="67" t="s">
        <v>110</v>
      </c>
      <c r="R1178" s="69" t="s">
        <v>69</v>
      </c>
      <c r="S1178" s="69" t="s">
        <v>115</v>
      </c>
      <c r="T1178" s="76"/>
      <c r="U1178" s="67"/>
      <c r="V1178" s="72">
        <v>42794</v>
      </c>
      <c r="W1178" s="69" t="s">
        <v>227</v>
      </c>
      <c r="X1178" s="69" t="s">
        <v>228</v>
      </c>
      <c r="Y1178" s="123"/>
      <c r="Z1178" s="30">
        <f t="shared" si="36"/>
        <v>6772.6006943194379</v>
      </c>
      <c r="AA1178" s="30">
        <f t="shared" si="37"/>
        <v>0</v>
      </c>
      <c r="AB1178" t="s">
        <v>456</v>
      </c>
    </row>
    <row r="1179" spans="1:28">
      <c r="A1179" s="67" t="s">
        <v>113</v>
      </c>
      <c r="B1179" s="68">
        <v>1217027</v>
      </c>
      <c r="C1179" s="69">
        <v>4615405994</v>
      </c>
      <c r="D1179" s="70">
        <v>19200</v>
      </c>
      <c r="E1179" s="79"/>
      <c r="F1179" s="73">
        <v>16</v>
      </c>
      <c r="G1179" s="73" t="s">
        <v>114</v>
      </c>
      <c r="H1179" s="68">
        <v>0</v>
      </c>
      <c r="I1179" s="68">
        <v>0</v>
      </c>
      <c r="J1179" s="71">
        <v>42755</v>
      </c>
      <c r="K1179" s="71">
        <v>43158</v>
      </c>
      <c r="L1179" s="69" t="s">
        <v>108</v>
      </c>
      <c r="M1179" s="69" t="s">
        <v>109</v>
      </c>
      <c r="N1179" s="72">
        <v>42816</v>
      </c>
      <c r="O1179" s="67"/>
      <c r="P1179" s="67" t="s">
        <v>95</v>
      </c>
      <c r="Q1179" s="67" t="s">
        <v>110</v>
      </c>
      <c r="R1179" s="69" t="s">
        <v>69</v>
      </c>
      <c r="S1179" s="69" t="s">
        <v>115</v>
      </c>
      <c r="T1179" s="76"/>
      <c r="U1179" s="67"/>
      <c r="V1179" s="72">
        <v>42794</v>
      </c>
      <c r="W1179" s="69" t="s">
        <v>227</v>
      </c>
      <c r="X1179" s="69" t="s">
        <v>228</v>
      </c>
      <c r="Y1179" s="123"/>
      <c r="Z1179" s="30">
        <f t="shared" si="36"/>
        <v>6772.6006943194379</v>
      </c>
      <c r="AA1179" s="30">
        <f t="shared" si="37"/>
        <v>0</v>
      </c>
      <c r="AB1179" t="s">
        <v>456</v>
      </c>
    </row>
    <row r="1180" spans="1:28">
      <c r="A1180" s="67" t="s">
        <v>122</v>
      </c>
      <c r="B1180" s="68">
        <v>1212810</v>
      </c>
      <c r="C1180" s="69">
        <v>4615412698</v>
      </c>
      <c r="D1180" s="70">
        <v>19200</v>
      </c>
      <c r="E1180" s="79"/>
      <c r="F1180" s="68">
        <v>16</v>
      </c>
      <c r="G1180" s="68">
        <v>5</v>
      </c>
      <c r="H1180" s="73">
        <v>0</v>
      </c>
      <c r="I1180" s="68">
        <v>0</v>
      </c>
      <c r="J1180" s="71">
        <v>42737</v>
      </c>
      <c r="K1180" s="71">
        <v>43158</v>
      </c>
      <c r="L1180" s="69" t="s">
        <v>119</v>
      </c>
      <c r="M1180" s="69" t="s">
        <v>109</v>
      </c>
      <c r="N1180" s="72">
        <v>42816</v>
      </c>
      <c r="O1180" s="67"/>
      <c r="P1180" s="67" t="s">
        <v>95</v>
      </c>
      <c r="Q1180" s="67" t="s">
        <v>120</v>
      </c>
      <c r="R1180" s="69" t="s">
        <v>69</v>
      </c>
      <c r="S1180" s="69" t="s">
        <v>123</v>
      </c>
      <c r="T1180" s="76"/>
      <c r="U1180" s="67"/>
      <c r="V1180" s="72">
        <v>42794</v>
      </c>
      <c r="W1180" s="69">
        <v>2025661</v>
      </c>
      <c r="X1180" s="69"/>
      <c r="Y1180" s="123"/>
      <c r="Z1180" s="30">
        <f t="shared" si="36"/>
        <v>6772.6006943194379</v>
      </c>
      <c r="AA1180" s="30">
        <f t="shared" si="37"/>
        <v>2116.4377169748245</v>
      </c>
      <c r="AB1180" t="s">
        <v>456</v>
      </c>
    </row>
    <row r="1181" spans="1:28">
      <c r="A1181" s="67" t="s">
        <v>113</v>
      </c>
      <c r="B1181" s="68">
        <v>1210290</v>
      </c>
      <c r="C1181" s="69">
        <v>4615411752</v>
      </c>
      <c r="D1181" s="70">
        <v>19175</v>
      </c>
      <c r="E1181" s="79"/>
      <c r="F1181" s="68">
        <v>16</v>
      </c>
      <c r="G1181" s="68" t="s">
        <v>114</v>
      </c>
      <c r="H1181" s="73">
        <v>0</v>
      </c>
      <c r="I1181" s="68">
        <v>0</v>
      </c>
      <c r="J1181" s="71">
        <v>42732</v>
      </c>
      <c r="K1181" s="71">
        <v>43151</v>
      </c>
      <c r="L1181" s="69" t="s">
        <v>119</v>
      </c>
      <c r="M1181" s="69" t="s">
        <v>109</v>
      </c>
      <c r="N1181" s="72">
        <v>42816</v>
      </c>
      <c r="O1181" s="67"/>
      <c r="P1181" s="67" t="s">
        <v>95</v>
      </c>
      <c r="Q1181" s="67" t="s">
        <v>110</v>
      </c>
      <c r="R1181" s="69" t="s">
        <v>69</v>
      </c>
      <c r="S1181" s="69" t="s">
        <v>115</v>
      </c>
      <c r="T1181" s="76"/>
      <c r="U1181" s="67"/>
      <c r="V1181" s="72">
        <v>42766</v>
      </c>
      <c r="W1181" s="69" t="s">
        <v>209</v>
      </c>
      <c r="X1181" s="69" t="s">
        <v>239</v>
      </c>
      <c r="Y1181" s="123"/>
      <c r="Z1181" s="30">
        <f t="shared" si="36"/>
        <v>6763.7822038320437</v>
      </c>
      <c r="AA1181" s="30">
        <f t="shared" si="37"/>
        <v>0</v>
      </c>
      <c r="AB1181" t="s">
        <v>456</v>
      </c>
    </row>
    <row r="1182" spans="1:28">
      <c r="A1182" s="67" t="s">
        <v>113</v>
      </c>
      <c r="B1182" s="68">
        <v>1217644</v>
      </c>
      <c r="C1182" s="69">
        <v>4615405994</v>
      </c>
      <c r="D1182" s="70">
        <v>19200</v>
      </c>
      <c r="E1182" s="79"/>
      <c r="F1182" s="73">
        <v>16</v>
      </c>
      <c r="G1182" s="73" t="s">
        <v>114</v>
      </c>
      <c r="H1182" s="68">
        <v>0</v>
      </c>
      <c r="I1182" s="68">
        <v>0</v>
      </c>
      <c r="J1182" s="71">
        <v>42757</v>
      </c>
      <c r="K1182" s="71">
        <v>43086</v>
      </c>
      <c r="L1182" s="69" t="s">
        <v>108</v>
      </c>
      <c r="M1182" s="69" t="s">
        <v>109</v>
      </c>
      <c r="N1182" s="72">
        <v>42815</v>
      </c>
      <c r="O1182" s="67"/>
      <c r="P1182" s="67" t="s">
        <v>95</v>
      </c>
      <c r="Q1182" s="67" t="s">
        <v>110</v>
      </c>
      <c r="R1182" s="69" t="s">
        <v>69</v>
      </c>
      <c r="S1182" s="69" t="s">
        <v>115</v>
      </c>
      <c r="T1182" s="76"/>
      <c r="U1182" s="67"/>
      <c r="V1182" s="72">
        <v>42794</v>
      </c>
      <c r="W1182" s="69" t="s">
        <v>227</v>
      </c>
      <c r="X1182" s="69" t="s">
        <v>228</v>
      </c>
      <c r="Y1182" s="123"/>
      <c r="Z1182" s="30">
        <f t="shared" si="36"/>
        <v>6772.6006943194379</v>
      </c>
      <c r="AA1182" s="30">
        <f t="shared" si="37"/>
        <v>0</v>
      </c>
      <c r="AB1182" t="s">
        <v>456</v>
      </c>
    </row>
    <row r="1183" spans="1:28">
      <c r="A1183" s="67" t="s">
        <v>113</v>
      </c>
      <c r="B1183" s="68">
        <v>1217639</v>
      </c>
      <c r="C1183" s="69">
        <v>4615405994</v>
      </c>
      <c r="D1183" s="70">
        <v>19200</v>
      </c>
      <c r="E1183" s="79"/>
      <c r="F1183" s="73">
        <v>16</v>
      </c>
      <c r="G1183" s="73" t="s">
        <v>114</v>
      </c>
      <c r="H1183" s="68">
        <v>0</v>
      </c>
      <c r="I1183" s="68">
        <v>0</v>
      </c>
      <c r="J1183" s="71">
        <v>42757</v>
      </c>
      <c r="K1183" s="71">
        <v>43107</v>
      </c>
      <c r="L1183" s="69" t="s">
        <v>108</v>
      </c>
      <c r="M1183" s="69" t="s">
        <v>109</v>
      </c>
      <c r="N1183" s="72">
        <v>42815</v>
      </c>
      <c r="O1183" s="67"/>
      <c r="P1183" s="67" t="s">
        <v>95</v>
      </c>
      <c r="Q1183" s="67" t="s">
        <v>110</v>
      </c>
      <c r="R1183" s="69" t="s">
        <v>69</v>
      </c>
      <c r="S1183" s="69" t="s">
        <v>115</v>
      </c>
      <c r="T1183" s="76"/>
      <c r="U1183" s="67"/>
      <c r="V1183" s="72">
        <v>42794</v>
      </c>
      <c r="W1183" s="69" t="s">
        <v>227</v>
      </c>
      <c r="X1183" s="69" t="s">
        <v>228</v>
      </c>
      <c r="Y1183" s="123"/>
      <c r="Z1183" s="30">
        <f t="shared" si="36"/>
        <v>6772.6006943194379</v>
      </c>
      <c r="AA1183" s="30">
        <f t="shared" si="37"/>
        <v>0</v>
      </c>
      <c r="AB1183" t="s">
        <v>456</v>
      </c>
    </row>
    <row r="1184" spans="1:28">
      <c r="A1184" s="67" t="s">
        <v>113</v>
      </c>
      <c r="B1184" s="68">
        <v>1210289</v>
      </c>
      <c r="C1184" s="69">
        <v>4615411752</v>
      </c>
      <c r="D1184" s="70">
        <v>19175</v>
      </c>
      <c r="E1184" s="79"/>
      <c r="F1184" s="68">
        <v>16</v>
      </c>
      <c r="G1184" s="68" t="s">
        <v>114</v>
      </c>
      <c r="H1184" s="68">
        <v>0</v>
      </c>
      <c r="I1184" s="68">
        <v>0</v>
      </c>
      <c r="J1184" s="71">
        <v>42732</v>
      </c>
      <c r="K1184" s="71">
        <v>43107</v>
      </c>
      <c r="L1184" s="69" t="s">
        <v>119</v>
      </c>
      <c r="M1184" s="69" t="s">
        <v>109</v>
      </c>
      <c r="N1184" s="72">
        <v>42815</v>
      </c>
      <c r="O1184" s="67"/>
      <c r="P1184" s="67" t="s">
        <v>95</v>
      </c>
      <c r="Q1184" s="67" t="s">
        <v>110</v>
      </c>
      <c r="R1184" s="69" t="s">
        <v>69</v>
      </c>
      <c r="S1184" s="69" t="s">
        <v>115</v>
      </c>
      <c r="T1184" s="76"/>
      <c r="U1184" s="67"/>
      <c r="V1184" s="72">
        <v>42766</v>
      </c>
      <c r="W1184" s="69" t="s">
        <v>209</v>
      </c>
      <c r="X1184" s="69" t="s">
        <v>239</v>
      </c>
      <c r="Y1184" s="123"/>
      <c r="Z1184" s="30">
        <f t="shared" si="36"/>
        <v>6763.7822038320437</v>
      </c>
      <c r="AA1184" s="30">
        <f t="shared" si="37"/>
        <v>0</v>
      </c>
      <c r="AB1184" t="s">
        <v>456</v>
      </c>
    </row>
    <row r="1185" spans="1:28">
      <c r="A1185" s="67" t="s">
        <v>68</v>
      </c>
      <c r="B1185" s="68">
        <v>1214577</v>
      </c>
      <c r="C1185" s="69">
        <v>4615412605</v>
      </c>
      <c r="D1185" s="70">
        <v>19175</v>
      </c>
      <c r="E1185" s="79"/>
      <c r="F1185" s="73">
        <v>16</v>
      </c>
      <c r="G1185" s="73">
        <v>5</v>
      </c>
      <c r="H1185" s="75">
        <v>0</v>
      </c>
      <c r="I1185" s="68">
        <v>0</v>
      </c>
      <c r="J1185" s="71">
        <v>42749</v>
      </c>
      <c r="K1185" s="71">
        <v>43114</v>
      </c>
      <c r="L1185" s="69" t="s">
        <v>119</v>
      </c>
      <c r="M1185" s="69" t="s">
        <v>109</v>
      </c>
      <c r="N1185" s="72">
        <v>42814</v>
      </c>
      <c r="O1185" s="67"/>
      <c r="P1185" s="67" t="s">
        <v>95</v>
      </c>
      <c r="Q1185" s="67" t="s">
        <v>125</v>
      </c>
      <c r="R1185" s="69" t="s">
        <v>69</v>
      </c>
      <c r="S1185" s="69" t="s">
        <v>68</v>
      </c>
      <c r="T1185" s="76"/>
      <c r="U1185" s="67"/>
      <c r="V1185" s="72">
        <v>42794</v>
      </c>
      <c r="W1185" s="69">
        <v>5114731</v>
      </c>
      <c r="X1185" s="69"/>
      <c r="Y1185" s="123"/>
      <c r="Z1185" s="30">
        <f t="shared" si="36"/>
        <v>6763.7822038320437</v>
      </c>
      <c r="AA1185" s="30">
        <f t="shared" si="37"/>
        <v>2113.6819386975139</v>
      </c>
      <c r="AB1185" t="s">
        <v>456</v>
      </c>
    </row>
    <row r="1186" spans="1:28">
      <c r="A1186" s="67" t="s">
        <v>68</v>
      </c>
      <c r="B1186" s="68">
        <v>1214575</v>
      </c>
      <c r="C1186" s="69">
        <v>4615412605</v>
      </c>
      <c r="D1186" s="70">
        <v>19175</v>
      </c>
      <c r="E1186" s="79"/>
      <c r="F1186" s="73">
        <v>16</v>
      </c>
      <c r="G1186" s="73">
        <v>5</v>
      </c>
      <c r="H1186" s="68">
        <v>0</v>
      </c>
      <c r="I1186" s="68">
        <v>0</v>
      </c>
      <c r="J1186" s="71">
        <v>42749</v>
      </c>
      <c r="K1186" s="71">
        <v>43135</v>
      </c>
      <c r="L1186" s="69" t="s">
        <v>119</v>
      </c>
      <c r="M1186" s="69" t="s">
        <v>109</v>
      </c>
      <c r="N1186" s="72">
        <v>42814</v>
      </c>
      <c r="O1186" s="67"/>
      <c r="P1186" s="67" t="s">
        <v>95</v>
      </c>
      <c r="Q1186" s="67" t="s">
        <v>125</v>
      </c>
      <c r="R1186" s="69" t="s">
        <v>69</v>
      </c>
      <c r="S1186" s="69" t="s">
        <v>68</v>
      </c>
      <c r="T1186" s="76"/>
      <c r="U1186" s="67"/>
      <c r="V1186" s="72">
        <v>42794</v>
      </c>
      <c r="W1186" s="69">
        <v>5114731</v>
      </c>
      <c r="X1186" s="69"/>
      <c r="Y1186" s="123"/>
      <c r="Z1186" s="30">
        <f t="shared" si="36"/>
        <v>6763.7822038320437</v>
      </c>
      <c r="AA1186" s="30">
        <f t="shared" si="37"/>
        <v>2113.6819386975139</v>
      </c>
      <c r="AB1186" t="s">
        <v>456</v>
      </c>
    </row>
    <row r="1187" spans="1:28">
      <c r="A1187" s="67" t="s">
        <v>122</v>
      </c>
      <c r="B1187" s="68">
        <v>1212807</v>
      </c>
      <c r="C1187" s="69">
        <v>4615412698</v>
      </c>
      <c r="D1187" s="70">
        <v>19200</v>
      </c>
      <c r="E1187" s="79"/>
      <c r="F1187" s="68">
        <v>16</v>
      </c>
      <c r="G1187" s="68">
        <v>5</v>
      </c>
      <c r="H1187" s="73">
        <v>0</v>
      </c>
      <c r="I1187" s="68">
        <v>0</v>
      </c>
      <c r="J1187" s="71">
        <v>42737</v>
      </c>
      <c r="K1187" s="71">
        <v>43128</v>
      </c>
      <c r="L1187" s="69" t="s">
        <v>119</v>
      </c>
      <c r="M1187" s="69" t="s">
        <v>109</v>
      </c>
      <c r="N1187" s="72">
        <v>42814</v>
      </c>
      <c r="O1187" s="67"/>
      <c r="P1187" s="67" t="s">
        <v>95</v>
      </c>
      <c r="Q1187" s="67" t="s">
        <v>120</v>
      </c>
      <c r="R1187" s="69" t="s">
        <v>69</v>
      </c>
      <c r="S1187" s="69" t="s">
        <v>123</v>
      </c>
      <c r="T1187" s="76"/>
      <c r="U1187" s="67"/>
      <c r="V1187" s="72">
        <v>42794</v>
      </c>
      <c r="W1187" s="69">
        <v>2025661</v>
      </c>
      <c r="X1187" s="69"/>
      <c r="Y1187" s="123"/>
      <c r="Z1187" s="30">
        <f t="shared" si="36"/>
        <v>6772.6006943194379</v>
      </c>
      <c r="AA1187" s="30">
        <f t="shared" si="37"/>
        <v>2116.4377169748245</v>
      </c>
      <c r="AB1187" t="s">
        <v>456</v>
      </c>
    </row>
    <row r="1188" spans="1:28">
      <c r="A1188" s="67" t="s">
        <v>113</v>
      </c>
      <c r="B1188" s="68">
        <v>1210288</v>
      </c>
      <c r="C1188" s="69">
        <v>4615411752</v>
      </c>
      <c r="D1188" s="70">
        <v>19175</v>
      </c>
      <c r="E1188" s="79"/>
      <c r="F1188" s="68">
        <v>16</v>
      </c>
      <c r="G1188" s="68" t="s">
        <v>114</v>
      </c>
      <c r="H1188" s="73">
        <v>0</v>
      </c>
      <c r="I1188" s="68">
        <v>0</v>
      </c>
      <c r="J1188" s="71">
        <v>42732</v>
      </c>
      <c r="K1188" s="71">
        <v>43114</v>
      </c>
      <c r="L1188" s="69" t="s">
        <v>119</v>
      </c>
      <c r="M1188" s="69" t="s">
        <v>109</v>
      </c>
      <c r="N1188" s="72">
        <v>42814</v>
      </c>
      <c r="O1188" s="67"/>
      <c r="P1188" s="67" t="s">
        <v>95</v>
      </c>
      <c r="Q1188" s="67" t="s">
        <v>110</v>
      </c>
      <c r="R1188" s="69" t="s">
        <v>69</v>
      </c>
      <c r="S1188" s="69" t="s">
        <v>115</v>
      </c>
      <c r="T1188" s="76"/>
      <c r="U1188" s="67"/>
      <c r="V1188" s="72">
        <v>42766</v>
      </c>
      <c r="W1188" s="69" t="s">
        <v>209</v>
      </c>
      <c r="X1188" s="69" t="s">
        <v>239</v>
      </c>
      <c r="Y1188" s="123"/>
      <c r="Z1188" s="30">
        <f t="shared" si="36"/>
        <v>6763.7822038320437</v>
      </c>
      <c r="AA1188" s="30">
        <f t="shared" si="37"/>
        <v>0</v>
      </c>
      <c r="AB1188" t="s">
        <v>456</v>
      </c>
    </row>
    <row r="1189" spans="1:28">
      <c r="A1189" s="67" t="s">
        <v>131</v>
      </c>
      <c r="B1189" s="68">
        <v>1213502</v>
      </c>
      <c r="C1189" s="69">
        <v>4615426778</v>
      </c>
      <c r="D1189" s="70">
        <v>19200</v>
      </c>
      <c r="E1189" s="79"/>
      <c r="F1189" s="75">
        <v>154.4</v>
      </c>
      <c r="G1189" s="75" t="s">
        <v>114</v>
      </c>
      <c r="H1189" s="73">
        <v>0</v>
      </c>
      <c r="I1189" s="68">
        <v>0</v>
      </c>
      <c r="J1189" s="71">
        <v>42751</v>
      </c>
      <c r="K1189" s="71">
        <v>43128</v>
      </c>
      <c r="L1189" s="69" t="s">
        <v>108</v>
      </c>
      <c r="M1189" s="69" t="s">
        <v>109</v>
      </c>
      <c r="N1189" s="72">
        <v>42813</v>
      </c>
      <c r="O1189" s="67"/>
      <c r="P1189" s="67" t="s">
        <v>95</v>
      </c>
      <c r="Q1189" s="67" t="s">
        <v>125</v>
      </c>
      <c r="R1189" s="69" t="s">
        <v>69</v>
      </c>
      <c r="S1189" s="69" t="s">
        <v>134</v>
      </c>
      <c r="T1189" s="76"/>
      <c r="U1189" s="67"/>
      <c r="V1189" s="72">
        <v>42794</v>
      </c>
      <c r="W1189" s="69" t="s">
        <v>233</v>
      </c>
      <c r="X1189" s="69"/>
      <c r="Y1189" s="123"/>
      <c r="Z1189" s="30">
        <f t="shared" si="36"/>
        <v>65355.596700182585</v>
      </c>
      <c r="AA1189" s="30">
        <f t="shared" si="37"/>
        <v>0</v>
      </c>
      <c r="AB1189" t="s">
        <v>456</v>
      </c>
    </row>
    <row r="1190" spans="1:28">
      <c r="A1190" s="67" t="s">
        <v>136</v>
      </c>
      <c r="B1190" s="68">
        <v>1212468</v>
      </c>
      <c r="C1190" s="69">
        <v>4615465868</v>
      </c>
      <c r="D1190" s="70">
        <v>19200</v>
      </c>
      <c r="E1190" s="79"/>
      <c r="F1190" s="73">
        <v>10</v>
      </c>
      <c r="G1190" s="73">
        <v>0</v>
      </c>
      <c r="H1190" s="68">
        <v>0</v>
      </c>
      <c r="I1190" s="68">
        <v>0</v>
      </c>
      <c r="J1190" s="71">
        <v>42734</v>
      </c>
      <c r="K1190" s="71">
        <v>43142</v>
      </c>
      <c r="L1190" s="69" t="s">
        <v>137</v>
      </c>
      <c r="M1190" s="69" t="s">
        <v>109</v>
      </c>
      <c r="N1190" s="72">
        <v>42813</v>
      </c>
      <c r="O1190" s="67"/>
      <c r="P1190" s="67" t="s">
        <v>95</v>
      </c>
      <c r="Q1190" s="67" t="s">
        <v>129</v>
      </c>
      <c r="R1190" s="69" t="s">
        <v>69</v>
      </c>
      <c r="S1190" s="69" t="s">
        <v>138</v>
      </c>
      <c r="T1190" s="76"/>
      <c r="U1190" s="67"/>
      <c r="V1190" s="72">
        <v>42766</v>
      </c>
      <c r="W1190" s="69">
        <v>415561689</v>
      </c>
      <c r="X1190" s="69"/>
      <c r="Y1190" s="123"/>
      <c r="Z1190" s="30">
        <f t="shared" si="36"/>
        <v>4232.8754339496491</v>
      </c>
      <c r="AA1190" s="30">
        <f t="shared" si="37"/>
        <v>0</v>
      </c>
      <c r="AB1190" t="s">
        <v>456</v>
      </c>
    </row>
    <row r="1191" spans="1:28">
      <c r="A1191" s="67" t="s">
        <v>118</v>
      </c>
      <c r="B1191" s="68">
        <v>1207036</v>
      </c>
      <c r="C1191" s="69">
        <v>4615373461</v>
      </c>
      <c r="D1191" s="70">
        <v>19175</v>
      </c>
      <c r="E1191" s="79"/>
      <c r="F1191" s="68">
        <v>10</v>
      </c>
      <c r="G1191" s="68">
        <v>5</v>
      </c>
      <c r="H1191" s="73">
        <v>0</v>
      </c>
      <c r="I1191" s="68">
        <v>0</v>
      </c>
      <c r="J1191" s="71">
        <v>42734</v>
      </c>
      <c r="K1191" s="71">
        <v>43142</v>
      </c>
      <c r="L1191" s="69" t="s">
        <v>137</v>
      </c>
      <c r="M1191" s="69" t="s">
        <v>109</v>
      </c>
      <c r="N1191" s="72">
        <v>42813</v>
      </c>
      <c r="O1191" s="67"/>
      <c r="P1191" s="67" t="s">
        <v>95</v>
      </c>
      <c r="Q1191" s="67" t="s">
        <v>120</v>
      </c>
      <c r="R1191" s="69" t="s">
        <v>69</v>
      </c>
      <c r="S1191" s="69" t="s">
        <v>121</v>
      </c>
      <c r="T1191" s="76"/>
      <c r="U1191" s="67"/>
      <c r="V1191" s="72">
        <v>42766</v>
      </c>
      <c r="W1191" s="69">
        <v>2021263</v>
      </c>
      <c r="X1191" s="69"/>
      <c r="Y1191" s="123"/>
      <c r="Z1191" s="30">
        <f t="shared" si="36"/>
        <v>4227.3638773950279</v>
      </c>
      <c r="AA1191" s="30">
        <f t="shared" si="37"/>
        <v>2113.6819386975139</v>
      </c>
      <c r="AB1191" t="s">
        <v>456</v>
      </c>
    </row>
    <row r="1192" spans="1:28">
      <c r="A1192" s="67" t="s">
        <v>118</v>
      </c>
      <c r="B1192" s="68">
        <v>1207035</v>
      </c>
      <c r="C1192" s="69">
        <v>4615373461</v>
      </c>
      <c r="D1192" s="70">
        <v>19175</v>
      </c>
      <c r="E1192" s="79"/>
      <c r="F1192" s="68">
        <v>10</v>
      </c>
      <c r="G1192" s="68">
        <v>5</v>
      </c>
      <c r="H1192" s="73">
        <v>0</v>
      </c>
      <c r="I1192" s="68">
        <v>0</v>
      </c>
      <c r="J1192" s="71">
        <v>42734</v>
      </c>
      <c r="K1192" s="71">
        <v>43142</v>
      </c>
      <c r="L1192" s="69" t="s">
        <v>137</v>
      </c>
      <c r="M1192" s="69" t="s">
        <v>109</v>
      </c>
      <c r="N1192" s="72">
        <v>42813</v>
      </c>
      <c r="O1192" s="67"/>
      <c r="P1192" s="67" t="s">
        <v>95</v>
      </c>
      <c r="Q1192" s="67" t="s">
        <v>120</v>
      </c>
      <c r="R1192" s="69" t="s">
        <v>69</v>
      </c>
      <c r="S1192" s="69" t="s">
        <v>121</v>
      </c>
      <c r="T1192" s="76"/>
      <c r="U1192" s="67"/>
      <c r="V1192" s="72">
        <v>42766</v>
      </c>
      <c r="W1192" s="69">
        <v>2021263</v>
      </c>
      <c r="X1192" s="69"/>
      <c r="Y1192" s="123"/>
      <c r="Z1192" s="30">
        <f t="shared" si="36"/>
        <v>4227.3638773950279</v>
      </c>
      <c r="AA1192" s="30">
        <f t="shared" si="37"/>
        <v>2113.6819386975139</v>
      </c>
      <c r="AB1192" t="s">
        <v>456</v>
      </c>
    </row>
    <row r="1193" spans="1:28">
      <c r="A1193" s="67" t="s">
        <v>122</v>
      </c>
      <c r="B1193" s="68">
        <v>1221636</v>
      </c>
      <c r="C1193" s="69">
        <v>4615394135</v>
      </c>
      <c r="D1193" s="70">
        <v>19200</v>
      </c>
      <c r="E1193" s="79"/>
      <c r="F1193" s="73">
        <v>16</v>
      </c>
      <c r="G1193" s="73">
        <v>5</v>
      </c>
      <c r="H1193" s="75">
        <v>0</v>
      </c>
      <c r="I1193" s="68">
        <v>0</v>
      </c>
      <c r="J1193" s="71">
        <v>42772</v>
      </c>
      <c r="K1193" s="71">
        <v>43149</v>
      </c>
      <c r="L1193" s="69" t="s">
        <v>108</v>
      </c>
      <c r="M1193" s="69" t="s">
        <v>109</v>
      </c>
      <c r="N1193" s="72">
        <v>42813</v>
      </c>
      <c r="O1193" s="67"/>
      <c r="P1193" s="67" t="s">
        <v>95</v>
      </c>
      <c r="Q1193" s="67" t="s">
        <v>120</v>
      </c>
      <c r="R1193" s="69" t="s">
        <v>69</v>
      </c>
      <c r="S1193" s="69" t="s">
        <v>123</v>
      </c>
      <c r="T1193" s="76"/>
      <c r="U1193" s="67"/>
      <c r="V1193" s="72">
        <v>42794</v>
      </c>
      <c r="W1193" s="69">
        <v>2025762</v>
      </c>
      <c r="X1193" s="69"/>
      <c r="Y1193" s="123"/>
      <c r="Z1193" s="30">
        <f t="shared" si="36"/>
        <v>6772.6006943194379</v>
      </c>
      <c r="AA1193" s="30">
        <f t="shared" si="37"/>
        <v>2116.4377169748245</v>
      </c>
      <c r="AB1193" t="s">
        <v>456</v>
      </c>
    </row>
    <row r="1194" spans="1:28">
      <c r="A1194" s="67" t="s">
        <v>113</v>
      </c>
      <c r="B1194" s="68">
        <v>1207793</v>
      </c>
      <c r="C1194" s="69">
        <v>4615405798</v>
      </c>
      <c r="D1194" s="70">
        <v>19175</v>
      </c>
      <c r="E1194" s="79"/>
      <c r="F1194" s="68">
        <v>16</v>
      </c>
      <c r="G1194" s="68" t="s">
        <v>114</v>
      </c>
      <c r="H1194" s="68">
        <v>0</v>
      </c>
      <c r="I1194" s="68">
        <v>0</v>
      </c>
      <c r="J1194" s="71">
        <v>42737</v>
      </c>
      <c r="K1194" s="71">
        <v>43149</v>
      </c>
      <c r="L1194" s="69" t="s">
        <v>108</v>
      </c>
      <c r="M1194" s="69" t="s">
        <v>109</v>
      </c>
      <c r="N1194" s="72">
        <v>42813</v>
      </c>
      <c r="O1194" s="67"/>
      <c r="P1194" s="67" t="s">
        <v>95</v>
      </c>
      <c r="Q1194" s="67" t="s">
        <v>110</v>
      </c>
      <c r="R1194" s="69" t="s">
        <v>69</v>
      </c>
      <c r="S1194" s="69" t="s">
        <v>115</v>
      </c>
      <c r="T1194" s="76"/>
      <c r="U1194" s="67"/>
      <c r="V1194" s="72">
        <v>42735</v>
      </c>
      <c r="W1194" s="69" t="s">
        <v>240</v>
      </c>
      <c r="X1194" s="69" t="s">
        <v>241</v>
      </c>
      <c r="Y1194" s="123"/>
      <c r="Z1194" s="30">
        <f t="shared" si="36"/>
        <v>6763.7822038320437</v>
      </c>
      <c r="AA1194" s="30">
        <f t="shared" si="37"/>
        <v>0</v>
      </c>
      <c r="AB1194" t="s">
        <v>456</v>
      </c>
    </row>
    <row r="1195" spans="1:28">
      <c r="A1195" s="67" t="s">
        <v>113</v>
      </c>
      <c r="B1195" s="68">
        <v>1207786</v>
      </c>
      <c r="C1195" s="69">
        <v>4615405798</v>
      </c>
      <c r="D1195" s="70">
        <v>19175</v>
      </c>
      <c r="E1195" s="79"/>
      <c r="F1195" s="68">
        <v>16</v>
      </c>
      <c r="G1195" s="68" t="s">
        <v>114</v>
      </c>
      <c r="H1195" s="68">
        <v>0</v>
      </c>
      <c r="I1195" s="68">
        <v>0</v>
      </c>
      <c r="J1195" s="71">
        <v>42737</v>
      </c>
      <c r="K1195" s="71">
        <v>43135</v>
      </c>
      <c r="L1195" s="69" t="s">
        <v>108</v>
      </c>
      <c r="M1195" s="69" t="s">
        <v>109</v>
      </c>
      <c r="N1195" s="72">
        <v>42813</v>
      </c>
      <c r="O1195" s="67"/>
      <c r="P1195" s="67" t="s">
        <v>95</v>
      </c>
      <c r="Q1195" s="67" t="s">
        <v>110</v>
      </c>
      <c r="R1195" s="69" t="s">
        <v>69</v>
      </c>
      <c r="S1195" s="69" t="s">
        <v>115</v>
      </c>
      <c r="T1195" s="76"/>
      <c r="U1195" s="67"/>
      <c r="V1195" s="72">
        <v>42735</v>
      </c>
      <c r="W1195" s="69" t="s">
        <v>240</v>
      </c>
      <c r="X1195" s="69" t="s">
        <v>241</v>
      </c>
      <c r="Y1195" s="123"/>
      <c r="Z1195" s="30">
        <f t="shared" si="36"/>
        <v>6763.7822038320437</v>
      </c>
      <c r="AA1195" s="30">
        <f t="shared" si="37"/>
        <v>0</v>
      </c>
      <c r="AB1195" t="s">
        <v>456</v>
      </c>
    </row>
    <row r="1196" spans="1:28">
      <c r="A1196" s="67" t="s">
        <v>122</v>
      </c>
      <c r="B1196" s="68">
        <v>1189830</v>
      </c>
      <c r="C1196" s="69">
        <v>4615415814</v>
      </c>
      <c r="D1196" s="70">
        <v>19200</v>
      </c>
      <c r="E1196" s="79"/>
      <c r="F1196" s="73">
        <v>16</v>
      </c>
      <c r="G1196" s="73">
        <v>5</v>
      </c>
      <c r="H1196" s="73">
        <v>0</v>
      </c>
      <c r="I1196" s="68">
        <v>0</v>
      </c>
      <c r="J1196" s="71">
        <v>42657</v>
      </c>
      <c r="K1196" s="71">
        <v>43136</v>
      </c>
      <c r="L1196" s="69" t="s">
        <v>119</v>
      </c>
      <c r="M1196" s="69" t="s">
        <v>109</v>
      </c>
      <c r="N1196" s="72">
        <v>42813</v>
      </c>
      <c r="O1196" s="67"/>
      <c r="P1196" s="67" t="s">
        <v>95</v>
      </c>
      <c r="Q1196" s="67" t="s">
        <v>120</v>
      </c>
      <c r="R1196" s="69" t="s">
        <v>69</v>
      </c>
      <c r="S1196" s="69" t="s">
        <v>123</v>
      </c>
      <c r="T1196" s="67"/>
      <c r="U1196" s="67"/>
      <c r="V1196" s="72">
        <v>42704</v>
      </c>
      <c r="W1196" s="69">
        <v>2025759</v>
      </c>
      <c r="X1196" s="69"/>
      <c r="Y1196" s="123"/>
      <c r="Z1196" s="30">
        <f t="shared" si="36"/>
        <v>6772.6006943194379</v>
      </c>
      <c r="AA1196" s="30">
        <f t="shared" si="37"/>
        <v>2116.4377169748245</v>
      </c>
      <c r="AB1196" t="s">
        <v>456</v>
      </c>
    </row>
    <row r="1197" spans="1:28">
      <c r="A1197" s="67" t="s">
        <v>122</v>
      </c>
      <c r="B1197" s="68">
        <v>1188172</v>
      </c>
      <c r="C1197" s="69">
        <v>4615378413</v>
      </c>
      <c r="D1197" s="70">
        <v>19200</v>
      </c>
      <c r="E1197" s="79"/>
      <c r="F1197" s="73">
        <v>16</v>
      </c>
      <c r="G1197" s="73">
        <v>5</v>
      </c>
      <c r="H1197" s="73">
        <v>0</v>
      </c>
      <c r="I1197" s="68">
        <v>0</v>
      </c>
      <c r="J1197" s="71">
        <v>42657</v>
      </c>
      <c r="K1197" s="71">
        <v>43136</v>
      </c>
      <c r="L1197" s="69" t="s">
        <v>119</v>
      </c>
      <c r="M1197" s="69" t="s">
        <v>109</v>
      </c>
      <c r="N1197" s="72">
        <v>42813</v>
      </c>
      <c r="O1197" s="67"/>
      <c r="P1197" s="67" t="s">
        <v>95</v>
      </c>
      <c r="Q1197" s="67" t="s">
        <v>120</v>
      </c>
      <c r="R1197" s="69" t="s">
        <v>69</v>
      </c>
      <c r="S1197" s="69" t="s">
        <v>123</v>
      </c>
      <c r="T1197" s="67"/>
      <c r="U1197" s="67"/>
      <c r="V1197" s="72">
        <v>42704</v>
      </c>
      <c r="W1197" s="69">
        <v>2025776</v>
      </c>
      <c r="X1197" s="69"/>
      <c r="Y1197" s="123"/>
      <c r="Z1197" s="30">
        <f t="shared" si="36"/>
        <v>6772.6006943194379</v>
      </c>
      <c r="AA1197" s="30">
        <f t="shared" si="37"/>
        <v>2116.4377169748245</v>
      </c>
      <c r="AB1197" t="s">
        <v>456</v>
      </c>
    </row>
    <row r="1198" spans="1:28">
      <c r="A1198" s="67" t="s">
        <v>122</v>
      </c>
      <c r="B1198" s="68">
        <v>1204400</v>
      </c>
      <c r="C1198" s="69">
        <v>4615410094</v>
      </c>
      <c r="D1198" s="70">
        <v>19200</v>
      </c>
      <c r="E1198" s="79"/>
      <c r="F1198" s="68">
        <v>16</v>
      </c>
      <c r="G1198" s="68" t="s">
        <v>114</v>
      </c>
      <c r="H1198" s="68">
        <v>0</v>
      </c>
      <c r="I1198" s="68">
        <v>0</v>
      </c>
      <c r="J1198" s="71">
        <v>42706</v>
      </c>
      <c r="K1198" s="71">
        <v>43136</v>
      </c>
      <c r="L1198" s="69" t="s">
        <v>119</v>
      </c>
      <c r="M1198" s="69" t="s">
        <v>109</v>
      </c>
      <c r="N1198" s="72">
        <v>42813</v>
      </c>
      <c r="O1198" s="67"/>
      <c r="P1198" s="67" t="s">
        <v>95</v>
      </c>
      <c r="Q1198" s="67" t="s">
        <v>120</v>
      </c>
      <c r="R1198" s="69" t="s">
        <v>69</v>
      </c>
      <c r="S1198" s="69" t="s">
        <v>123</v>
      </c>
      <c r="T1198" s="67"/>
      <c r="U1198" s="67"/>
      <c r="V1198" s="72">
        <v>42766</v>
      </c>
      <c r="W1198" s="69">
        <v>2025660</v>
      </c>
      <c r="X1198" s="69" t="s">
        <v>155</v>
      </c>
      <c r="Y1198" s="123"/>
      <c r="Z1198" s="30">
        <f t="shared" si="36"/>
        <v>6772.6006943194379</v>
      </c>
      <c r="AA1198" s="30">
        <f t="shared" si="37"/>
        <v>0</v>
      </c>
      <c r="AB1198" t="s">
        <v>456</v>
      </c>
    </row>
    <row r="1199" spans="1:28">
      <c r="A1199" s="67" t="s">
        <v>136</v>
      </c>
      <c r="B1199" s="68">
        <v>1212479</v>
      </c>
      <c r="C1199" s="69">
        <v>4615421469</v>
      </c>
      <c r="D1199" s="70">
        <v>19175</v>
      </c>
      <c r="E1199" s="79"/>
      <c r="F1199" s="73">
        <v>10</v>
      </c>
      <c r="G1199" s="73">
        <v>5</v>
      </c>
      <c r="H1199" s="73">
        <v>0</v>
      </c>
      <c r="I1199" s="68">
        <v>0</v>
      </c>
      <c r="J1199" s="71">
        <v>42734</v>
      </c>
      <c r="K1199" s="71">
        <v>43135</v>
      </c>
      <c r="L1199" s="69" t="s">
        <v>137</v>
      </c>
      <c r="M1199" s="69" t="s">
        <v>109</v>
      </c>
      <c r="N1199" s="72">
        <v>42810</v>
      </c>
      <c r="O1199" s="67"/>
      <c r="P1199" s="67" t="s">
        <v>95</v>
      </c>
      <c r="Q1199" s="67" t="s">
        <v>129</v>
      </c>
      <c r="R1199" s="69" t="s">
        <v>69</v>
      </c>
      <c r="S1199" s="69" t="s">
        <v>138</v>
      </c>
      <c r="T1199" s="67"/>
      <c r="U1199" s="67"/>
      <c r="V1199" s="72">
        <v>42794</v>
      </c>
      <c r="W1199" s="69">
        <v>415570132</v>
      </c>
      <c r="X1199" s="78"/>
      <c r="Y1199" s="123"/>
      <c r="Z1199" s="30">
        <f t="shared" si="36"/>
        <v>4227.3638773950279</v>
      </c>
      <c r="AA1199" s="30">
        <f t="shared" si="37"/>
        <v>2113.6819386975139</v>
      </c>
      <c r="AB1199" t="s">
        <v>456</v>
      </c>
    </row>
    <row r="1200" spans="1:28">
      <c r="A1200" s="67" t="s">
        <v>122</v>
      </c>
      <c r="B1200" s="68">
        <v>1212811</v>
      </c>
      <c r="C1200" s="69">
        <v>4615412698</v>
      </c>
      <c r="D1200" s="70">
        <v>19200</v>
      </c>
      <c r="E1200" s="79"/>
      <c r="F1200" s="68">
        <v>16</v>
      </c>
      <c r="G1200" s="68">
        <v>5</v>
      </c>
      <c r="H1200" s="73">
        <v>0</v>
      </c>
      <c r="I1200" s="68">
        <v>0</v>
      </c>
      <c r="J1200" s="71">
        <v>42737</v>
      </c>
      <c r="K1200" s="71">
        <v>43135</v>
      </c>
      <c r="L1200" s="69" t="s">
        <v>119</v>
      </c>
      <c r="M1200" s="69" t="s">
        <v>109</v>
      </c>
      <c r="N1200" s="72">
        <v>42810</v>
      </c>
      <c r="O1200" s="67"/>
      <c r="P1200" s="67" t="s">
        <v>95</v>
      </c>
      <c r="Q1200" s="67" t="s">
        <v>120</v>
      </c>
      <c r="R1200" s="69" t="s">
        <v>69</v>
      </c>
      <c r="S1200" s="69" t="s">
        <v>123</v>
      </c>
      <c r="T1200" s="67"/>
      <c r="U1200" s="67"/>
      <c r="V1200" s="72">
        <v>42794</v>
      </c>
      <c r="W1200" s="69">
        <v>2025661</v>
      </c>
      <c r="X1200" s="69"/>
      <c r="Y1200" s="123"/>
      <c r="Z1200" s="30">
        <f t="shared" si="36"/>
        <v>6772.6006943194379</v>
      </c>
      <c r="AA1200" s="30">
        <f t="shared" si="37"/>
        <v>2116.4377169748245</v>
      </c>
      <c r="AB1200" t="s">
        <v>456</v>
      </c>
    </row>
    <row r="1201" spans="1:28">
      <c r="A1201" s="67" t="s">
        <v>113</v>
      </c>
      <c r="B1201" s="68">
        <v>1213041</v>
      </c>
      <c r="C1201" s="69">
        <v>4615406702</v>
      </c>
      <c r="D1201" s="70">
        <v>20700</v>
      </c>
      <c r="E1201" s="79"/>
      <c r="F1201" s="68">
        <v>16</v>
      </c>
      <c r="G1201" s="68" t="s">
        <v>114</v>
      </c>
      <c r="H1201" s="68">
        <v>0</v>
      </c>
      <c r="I1201" s="68">
        <v>0</v>
      </c>
      <c r="J1201" s="71">
        <v>42737</v>
      </c>
      <c r="K1201" s="71">
        <v>43142</v>
      </c>
      <c r="L1201" s="69" t="s">
        <v>108</v>
      </c>
      <c r="M1201" s="69" t="s">
        <v>109</v>
      </c>
      <c r="N1201" s="72">
        <v>42810</v>
      </c>
      <c r="O1201" s="67"/>
      <c r="P1201" s="67" t="s">
        <v>95</v>
      </c>
      <c r="Q1201" s="67" t="s">
        <v>110</v>
      </c>
      <c r="R1201" s="69" t="s">
        <v>69</v>
      </c>
      <c r="S1201" s="69" t="s">
        <v>115</v>
      </c>
      <c r="T1201" s="67"/>
      <c r="U1201" s="67"/>
      <c r="V1201" s="72">
        <v>42766</v>
      </c>
      <c r="W1201" s="69" t="s">
        <v>242</v>
      </c>
      <c r="X1201" s="69" t="s">
        <v>243</v>
      </c>
      <c r="Y1201" s="123"/>
      <c r="Z1201" s="30">
        <f t="shared" si="36"/>
        <v>7301.7101235631453</v>
      </c>
      <c r="AA1201" s="30">
        <f t="shared" si="37"/>
        <v>0</v>
      </c>
      <c r="AB1201" t="s">
        <v>456</v>
      </c>
    </row>
    <row r="1202" spans="1:28">
      <c r="A1202" s="67" t="s">
        <v>113</v>
      </c>
      <c r="B1202" s="68">
        <v>1213047</v>
      </c>
      <c r="C1202" s="69">
        <v>4615406702</v>
      </c>
      <c r="D1202" s="70">
        <v>20700</v>
      </c>
      <c r="E1202" s="79"/>
      <c r="F1202" s="68">
        <v>16</v>
      </c>
      <c r="G1202" s="68" t="s">
        <v>114</v>
      </c>
      <c r="H1202" s="68">
        <v>0</v>
      </c>
      <c r="I1202" s="68">
        <v>0</v>
      </c>
      <c r="J1202" s="71">
        <v>42737</v>
      </c>
      <c r="K1202" s="71">
        <v>43135</v>
      </c>
      <c r="L1202" s="69" t="s">
        <v>108</v>
      </c>
      <c r="M1202" s="69" t="s">
        <v>109</v>
      </c>
      <c r="N1202" s="72">
        <v>42810</v>
      </c>
      <c r="O1202" s="67"/>
      <c r="P1202" s="67" t="s">
        <v>95</v>
      </c>
      <c r="Q1202" s="67" t="s">
        <v>110</v>
      </c>
      <c r="R1202" s="69" t="s">
        <v>69</v>
      </c>
      <c r="S1202" s="69" t="s">
        <v>115</v>
      </c>
      <c r="T1202" s="67"/>
      <c r="U1202" s="67"/>
      <c r="V1202" s="72">
        <v>42766</v>
      </c>
      <c r="W1202" s="69" t="s">
        <v>242</v>
      </c>
      <c r="X1202" s="69" t="s">
        <v>243</v>
      </c>
      <c r="Y1202" s="123"/>
      <c r="Z1202" s="30">
        <f t="shared" si="36"/>
        <v>7301.7101235631453</v>
      </c>
      <c r="AA1202" s="30">
        <f t="shared" si="37"/>
        <v>0</v>
      </c>
      <c r="AB1202" t="s">
        <v>456</v>
      </c>
    </row>
    <row r="1203" spans="1:28">
      <c r="A1203" s="67" t="s">
        <v>122</v>
      </c>
      <c r="B1203" s="68">
        <v>1208793</v>
      </c>
      <c r="C1203" s="69">
        <v>4615414570</v>
      </c>
      <c r="D1203" s="70">
        <v>19175</v>
      </c>
      <c r="E1203" s="79"/>
      <c r="F1203" s="73">
        <v>16</v>
      </c>
      <c r="G1203" s="73">
        <v>5</v>
      </c>
      <c r="H1203" s="68">
        <v>0</v>
      </c>
      <c r="I1203" s="68">
        <v>0</v>
      </c>
      <c r="J1203" s="71">
        <v>42748</v>
      </c>
      <c r="K1203" s="71">
        <v>43135</v>
      </c>
      <c r="L1203" s="69" t="s">
        <v>119</v>
      </c>
      <c r="M1203" s="69" t="s">
        <v>109</v>
      </c>
      <c r="N1203" s="72">
        <v>42810</v>
      </c>
      <c r="O1203" s="67"/>
      <c r="P1203" s="67" t="s">
        <v>95</v>
      </c>
      <c r="Q1203" s="67" t="s">
        <v>120</v>
      </c>
      <c r="R1203" s="69" t="s">
        <v>69</v>
      </c>
      <c r="S1203" s="69" t="s">
        <v>123</v>
      </c>
      <c r="T1203" s="67"/>
      <c r="U1203" s="67"/>
      <c r="V1203" s="72">
        <v>42735</v>
      </c>
      <c r="W1203" s="69">
        <v>2025745</v>
      </c>
      <c r="X1203" s="69"/>
      <c r="Y1203" s="123"/>
      <c r="Z1203" s="30">
        <f t="shared" si="36"/>
        <v>6763.7822038320437</v>
      </c>
      <c r="AA1203" s="30">
        <f t="shared" si="37"/>
        <v>2113.6819386975139</v>
      </c>
      <c r="AB1203" t="s">
        <v>456</v>
      </c>
    </row>
    <row r="1204" spans="1:28">
      <c r="A1204" s="67" t="s">
        <v>113</v>
      </c>
      <c r="B1204" s="68">
        <v>1213045</v>
      </c>
      <c r="C1204" s="69">
        <v>4615406702</v>
      </c>
      <c r="D1204" s="70">
        <v>20700</v>
      </c>
      <c r="E1204" s="79"/>
      <c r="F1204" s="68">
        <v>16</v>
      </c>
      <c r="G1204" s="68" t="s">
        <v>114</v>
      </c>
      <c r="H1204" s="68">
        <v>0</v>
      </c>
      <c r="I1204" s="68">
        <v>0</v>
      </c>
      <c r="J1204" s="71">
        <v>42737</v>
      </c>
      <c r="K1204" s="71">
        <v>43023</v>
      </c>
      <c r="L1204" s="69" t="s">
        <v>108</v>
      </c>
      <c r="M1204" s="69" t="s">
        <v>109</v>
      </c>
      <c r="N1204" s="72">
        <v>42809</v>
      </c>
      <c r="O1204" s="67"/>
      <c r="P1204" s="67" t="s">
        <v>95</v>
      </c>
      <c r="Q1204" s="67" t="s">
        <v>110</v>
      </c>
      <c r="R1204" s="69" t="s">
        <v>69</v>
      </c>
      <c r="S1204" s="69" t="s">
        <v>115</v>
      </c>
      <c r="T1204" s="67"/>
      <c r="U1204" s="67"/>
      <c r="V1204" s="72">
        <v>42766</v>
      </c>
      <c r="W1204" s="69" t="s">
        <v>242</v>
      </c>
      <c r="X1204" s="69" t="s">
        <v>243</v>
      </c>
      <c r="Y1204" s="123"/>
      <c r="Z1204" s="30">
        <f t="shared" si="36"/>
        <v>7301.7101235631453</v>
      </c>
      <c r="AA1204" s="30">
        <f t="shared" si="37"/>
        <v>0</v>
      </c>
      <c r="AB1204" t="s">
        <v>456</v>
      </c>
    </row>
    <row r="1205" spans="1:28">
      <c r="A1205" s="67" t="s">
        <v>122</v>
      </c>
      <c r="B1205" s="68">
        <v>1208794</v>
      </c>
      <c r="C1205" s="69">
        <v>4615418170</v>
      </c>
      <c r="D1205" s="70">
        <v>19175</v>
      </c>
      <c r="E1205" s="79"/>
      <c r="F1205" s="68">
        <v>16</v>
      </c>
      <c r="G1205" s="68">
        <v>5</v>
      </c>
      <c r="H1205" s="68">
        <v>0</v>
      </c>
      <c r="I1205" s="68">
        <v>0</v>
      </c>
      <c r="J1205" s="71">
        <v>42723</v>
      </c>
      <c r="K1205" s="71">
        <v>43108</v>
      </c>
      <c r="L1205" s="69" t="s">
        <v>119</v>
      </c>
      <c r="M1205" s="69" t="s">
        <v>109</v>
      </c>
      <c r="N1205" s="72">
        <v>42809</v>
      </c>
      <c r="O1205" s="67"/>
      <c r="P1205" s="67" t="s">
        <v>95</v>
      </c>
      <c r="Q1205" s="67" t="s">
        <v>120</v>
      </c>
      <c r="R1205" s="69" t="s">
        <v>69</v>
      </c>
      <c r="S1205" s="69" t="s">
        <v>123</v>
      </c>
      <c r="T1205" s="67"/>
      <c r="U1205" s="67"/>
      <c r="V1205" s="72">
        <v>42766</v>
      </c>
      <c r="W1205" s="69">
        <v>2025755</v>
      </c>
      <c r="X1205" s="69"/>
      <c r="Y1205" s="123"/>
      <c r="Z1205" s="30">
        <f t="shared" si="36"/>
        <v>6763.7822038320437</v>
      </c>
      <c r="AA1205" s="30">
        <f t="shared" si="37"/>
        <v>2113.6819386975139</v>
      </c>
      <c r="AB1205" t="s">
        <v>456</v>
      </c>
    </row>
    <row r="1206" spans="1:28">
      <c r="A1206" s="67" t="s">
        <v>118</v>
      </c>
      <c r="B1206" s="68">
        <v>1207037</v>
      </c>
      <c r="C1206" s="69">
        <v>4615373461</v>
      </c>
      <c r="D1206" s="70">
        <v>19175</v>
      </c>
      <c r="E1206" s="79"/>
      <c r="F1206" s="68">
        <v>10</v>
      </c>
      <c r="G1206" s="68">
        <v>5</v>
      </c>
      <c r="H1206" s="73">
        <v>0</v>
      </c>
      <c r="I1206" s="68">
        <v>0</v>
      </c>
      <c r="J1206" s="71">
        <v>42734</v>
      </c>
      <c r="K1206" s="71">
        <v>43108</v>
      </c>
      <c r="L1206" s="69" t="s">
        <v>137</v>
      </c>
      <c r="M1206" s="69" t="s">
        <v>109</v>
      </c>
      <c r="N1206" s="72">
        <v>42809</v>
      </c>
      <c r="O1206" s="67"/>
      <c r="P1206" s="67" t="s">
        <v>95</v>
      </c>
      <c r="Q1206" s="67" t="s">
        <v>120</v>
      </c>
      <c r="R1206" s="69" t="s">
        <v>69</v>
      </c>
      <c r="S1206" s="69" t="s">
        <v>121</v>
      </c>
      <c r="T1206" s="67"/>
      <c r="U1206" s="67"/>
      <c r="V1206" s="72">
        <v>42766</v>
      </c>
      <c r="W1206" s="69">
        <v>2021263</v>
      </c>
      <c r="X1206" s="69" t="s">
        <v>200</v>
      </c>
      <c r="Y1206" s="123"/>
      <c r="Z1206" s="30">
        <f t="shared" si="36"/>
        <v>4227.3638773950279</v>
      </c>
      <c r="AA1206" s="30">
        <f t="shared" si="37"/>
        <v>2113.6819386975139</v>
      </c>
      <c r="AB1206" t="s">
        <v>456</v>
      </c>
    </row>
    <row r="1207" spans="1:28">
      <c r="A1207" s="67" t="s">
        <v>122</v>
      </c>
      <c r="B1207" s="68">
        <v>1208791</v>
      </c>
      <c r="C1207" s="69">
        <v>4615414570</v>
      </c>
      <c r="D1207" s="70">
        <v>19175</v>
      </c>
      <c r="E1207" s="79"/>
      <c r="F1207" s="73">
        <v>16</v>
      </c>
      <c r="G1207" s="73">
        <v>5</v>
      </c>
      <c r="H1207" s="68">
        <v>0</v>
      </c>
      <c r="I1207" s="68">
        <v>0</v>
      </c>
      <c r="J1207" s="71">
        <v>42748</v>
      </c>
      <c r="K1207" s="71">
        <v>43108</v>
      </c>
      <c r="L1207" s="69" t="s">
        <v>119</v>
      </c>
      <c r="M1207" s="69" t="s">
        <v>109</v>
      </c>
      <c r="N1207" s="72">
        <v>42809</v>
      </c>
      <c r="O1207" s="67"/>
      <c r="P1207" s="67" t="s">
        <v>95</v>
      </c>
      <c r="Q1207" s="67" t="s">
        <v>120</v>
      </c>
      <c r="R1207" s="69" t="s">
        <v>69</v>
      </c>
      <c r="S1207" s="69" t="s">
        <v>123</v>
      </c>
      <c r="T1207" s="67"/>
      <c r="U1207" s="67"/>
      <c r="V1207" s="72">
        <v>42735</v>
      </c>
      <c r="W1207" s="69">
        <v>2025745</v>
      </c>
      <c r="X1207" s="69"/>
      <c r="Y1207" s="123"/>
      <c r="Z1207" s="30">
        <f t="shared" si="36"/>
        <v>6763.7822038320437</v>
      </c>
      <c r="AA1207" s="30">
        <f t="shared" si="37"/>
        <v>2113.6819386975139</v>
      </c>
      <c r="AB1207" t="s">
        <v>456</v>
      </c>
    </row>
    <row r="1208" spans="1:28">
      <c r="A1208" s="67" t="s">
        <v>128</v>
      </c>
      <c r="B1208" s="68">
        <v>1209966</v>
      </c>
      <c r="C1208" s="69">
        <v>4615404156</v>
      </c>
      <c r="D1208" s="70">
        <v>19175</v>
      </c>
      <c r="E1208" s="79"/>
      <c r="F1208" s="68">
        <v>154.4</v>
      </c>
      <c r="G1208" s="68" t="s">
        <v>114</v>
      </c>
      <c r="H1208" s="73">
        <v>0</v>
      </c>
      <c r="I1208" s="68">
        <v>0</v>
      </c>
      <c r="J1208" s="71">
        <v>42750</v>
      </c>
      <c r="K1208" s="71">
        <v>43137</v>
      </c>
      <c r="L1208" s="69" t="s">
        <v>108</v>
      </c>
      <c r="M1208" s="69" t="s">
        <v>109</v>
      </c>
      <c r="N1208" s="72">
        <v>42808</v>
      </c>
      <c r="O1208" s="67"/>
      <c r="P1208" s="67" t="s">
        <v>95</v>
      </c>
      <c r="Q1208" s="67" t="s">
        <v>129</v>
      </c>
      <c r="R1208" s="69" t="s">
        <v>69</v>
      </c>
      <c r="S1208" s="69" t="s">
        <v>130</v>
      </c>
      <c r="T1208" s="67"/>
      <c r="U1208" s="67"/>
      <c r="V1208" s="72">
        <v>42766</v>
      </c>
      <c r="W1208" s="69">
        <v>425560028</v>
      </c>
      <c r="X1208" s="69"/>
      <c r="Y1208" s="123"/>
      <c r="Z1208" s="30">
        <f t="shared" si="36"/>
        <v>65270.498266979223</v>
      </c>
      <c r="AA1208" s="30">
        <f t="shared" si="37"/>
        <v>0</v>
      </c>
      <c r="AB1208" t="s">
        <v>456</v>
      </c>
    </row>
    <row r="1209" spans="1:28">
      <c r="A1209" s="67" t="s">
        <v>122</v>
      </c>
      <c r="B1209" s="68">
        <v>1208795</v>
      </c>
      <c r="C1209" s="69">
        <v>4615418170</v>
      </c>
      <c r="D1209" s="70">
        <v>19175</v>
      </c>
      <c r="E1209" s="79"/>
      <c r="F1209" s="68">
        <v>16</v>
      </c>
      <c r="G1209" s="68">
        <v>5</v>
      </c>
      <c r="H1209" s="68">
        <v>0</v>
      </c>
      <c r="I1209" s="68">
        <v>0</v>
      </c>
      <c r="J1209" s="71">
        <v>42723</v>
      </c>
      <c r="K1209" s="71">
        <v>43164</v>
      </c>
      <c r="L1209" s="69" t="s">
        <v>119</v>
      </c>
      <c r="M1209" s="69" t="s">
        <v>109</v>
      </c>
      <c r="N1209" s="72">
        <v>42808</v>
      </c>
      <c r="O1209" s="67"/>
      <c r="P1209" s="67" t="s">
        <v>95</v>
      </c>
      <c r="Q1209" s="67" t="s">
        <v>120</v>
      </c>
      <c r="R1209" s="69" t="s">
        <v>69</v>
      </c>
      <c r="S1209" s="69" t="s">
        <v>123</v>
      </c>
      <c r="T1209" s="67"/>
      <c r="U1209" s="67"/>
      <c r="V1209" s="72">
        <v>42766</v>
      </c>
      <c r="W1209" s="69">
        <v>2025755</v>
      </c>
      <c r="X1209" s="69"/>
      <c r="Y1209" s="123"/>
      <c r="Z1209" s="30">
        <f t="shared" si="36"/>
        <v>6763.7822038320437</v>
      </c>
      <c r="AA1209" s="30">
        <f t="shared" si="37"/>
        <v>2113.6819386975139</v>
      </c>
      <c r="AB1209" t="s">
        <v>456</v>
      </c>
    </row>
    <row r="1210" spans="1:28">
      <c r="A1210" s="67" t="s">
        <v>122</v>
      </c>
      <c r="B1210" s="68">
        <v>1211001</v>
      </c>
      <c r="C1210" s="69">
        <v>4615393658</v>
      </c>
      <c r="D1210" s="70">
        <v>19200</v>
      </c>
      <c r="E1210" s="79"/>
      <c r="F1210" s="68">
        <v>16</v>
      </c>
      <c r="G1210" s="68">
        <v>5</v>
      </c>
      <c r="H1210" s="68">
        <v>0</v>
      </c>
      <c r="I1210" s="68">
        <v>0</v>
      </c>
      <c r="J1210" s="71">
        <v>42371</v>
      </c>
      <c r="K1210" s="71">
        <v>43129</v>
      </c>
      <c r="L1210" s="69" t="s">
        <v>108</v>
      </c>
      <c r="M1210" s="69" t="s">
        <v>109</v>
      </c>
      <c r="N1210" s="72">
        <v>42808</v>
      </c>
      <c r="O1210" s="67"/>
      <c r="P1210" s="67" t="s">
        <v>95</v>
      </c>
      <c r="Q1210" s="67" t="s">
        <v>120</v>
      </c>
      <c r="R1210" s="69" t="s">
        <v>69</v>
      </c>
      <c r="S1210" s="69" t="s">
        <v>123</v>
      </c>
      <c r="T1210" s="67"/>
      <c r="U1210" s="67"/>
      <c r="V1210" s="72">
        <v>42766</v>
      </c>
      <c r="W1210" s="69">
        <v>2023106</v>
      </c>
      <c r="X1210" s="69"/>
      <c r="Y1210" s="123"/>
      <c r="Z1210" s="30">
        <f t="shared" si="36"/>
        <v>6772.6006943194379</v>
      </c>
      <c r="AA1210" s="30">
        <f t="shared" si="37"/>
        <v>2116.4377169748245</v>
      </c>
      <c r="AB1210" t="s">
        <v>456</v>
      </c>
    </row>
    <row r="1211" spans="1:28">
      <c r="A1211" s="67" t="s">
        <v>118</v>
      </c>
      <c r="B1211" s="68">
        <v>1208796</v>
      </c>
      <c r="C1211" s="69">
        <v>4615410587</v>
      </c>
      <c r="D1211" s="70">
        <v>19175</v>
      </c>
      <c r="E1211" s="79"/>
      <c r="F1211" s="73">
        <v>10</v>
      </c>
      <c r="G1211" s="73" t="s">
        <v>114</v>
      </c>
      <c r="H1211" s="73">
        <v>0</v>
      </c>
      <c r="I1211" s="68">
        <v>0</v>
      </c>
      <c r="J1211" s="71">
        <v>42734</v>
      </c>
      <c r="K1211" s="71">
        <v>43176</v>
      </c>
      <c r="L1211" s="69" t="s">
        <v>137</v>
      </c>
      <c r="M1211" s="69" t="s">
        <v>109</v>
      </c>
      <c r="N1211" s="72">
        <v>42807</v>
      </c>
      <c r="O1211" s="67"/>
      <c r="P1211" s="67" t="s">
        <v>95</v>
      </c>
      <c r="Q1211" s="67" t="s">
        <v>120</v>
      </c>
      <c r="R1211" s="69" t="s">
        <v>69</v>
      </c>
      <c r="S1211" s="69" t="s">
        <v>121</v>
      </c>
      <c r="T1211" s="67"/>
      <c r="U1211" s="67"/>
      <c r="V1211" s="72">
        <v>42766</v>
      </c>
      <c r="W1211" s="69">
        <v>2026345</v>
      </c>
      <c r="X1211" s="69"/>
      <c r="Y1211" s="123"/>
      <c r="Z1211" s="30">
        <f t="shared" si="36"/>
        <v>4227.3638773950279</v>
      </c>
      <c r="AA1211" s="30">
        <f t="shared" si="37"/>
        <v>0</v>
      </c>
      <c r="AB1211" t="s">
        <v>456</v>
      </c>
    </row>
    <row r="1212" spans="1:28">
      <c r="A1212" s="67" t="s">
        <v>113</v>
      </c>
      <c r="B1212" s="68">
        <v>1213048</v>
      </c>
      <c r="C1212" s="69">
        <v>4615406702</v>
      </c>
      <c r="D1212" s="70">
        <v>20700</v>
      </c>
      <c r="E1212" s="79"/>
      <c r="F1212" s="68">
        <v>16</v>
      </c>
      <c r="G1212" s="68" t="s">
        <v>114</v>
      </c>
      <c r="H1212" s="68">
        <v>0</v>
      </c>
      <c r="I1212" s="68">
        <v>0</v>
      </c>
      <c r="J1212" s="71">
        <v>42737</v>
      </c>
      <c r="K1212" s="71">
        <v>43155</v>
      </c>
      <c r="L1212" s="69" t="s">
        <v>108</v>
      </c>
      <c r="M1212" s="69" t="s">
        <v>109</v>
      </c>
      <c r="N1212" s="72">
        <v>42807</v>
      </c>
      <c r="O1212" s="67"/>
      <c r="P1212" s="67" t="s">
        <v>95</v>
      </c>
      <c r="Q1212" s="67" t="s">
        <v>110</v>
      </c>
      <c r="R1212" s="69" t="s">
        <v>69</v>
      </c>
      <c r="S1212" s="69" t="s">
        <v>115</v>
      </c>
      <c r="T1212" s="67"/>
      <c r="U1212" s="67"/>
      <c r="V1212" s="72">
        <v>42766</v>
      </c>
      <c r="W1212" s="69" t="s">
        <v>242</v>
      </c>
      <c r="X1212" s="69" t="s">
        <v>243</v>
      </c>
      <c r="Y1212" s="123"/>
      <c r="Z1212" s="30">
        <f t="shared" si="36"/>
        <v>7301.7101235631453</v>
      </c>
      <c r="AA1212" s="30">
        <f t="shared" si="37"/>
        <v>0</v>
      </c>
      <c r="AB1212" t="s">
        <v>456</v>
      </c>
    </row>
    <row r="1213" spans="1:28">
      <c r="A1213" s="67" t="s">
        <v>113</v>
      </c>
      <c r="B1213" s="68">
        <v>1213043</v>
      </c>
      <c r="C1213" s="69">
        <v>4615406702</v>
      </c>
      <c r="D1213" s="70">
        <v>20700</v>
      </c>
      <c r="E1213" s="79"/>
      <c r="F1213" s="68">
        <v>16</v>
      </c>
      <c r="G1213" s="68" t="s">
        <v>114</v>
      </c>
      <c r="H1213" s="68">
        <v>0</v>
      </c>
      <c r="I1213" s="68">
        <v>0</v>
      </c>
      <c r="J1213" s="71">
        <v>42737</v>
      </c>
      <c r="K1213" s="71">
        <v>43155</v>
      </c>
      <c r="L1213" s="69" t="s">
        <v>108</v>
      </c>
      <c r="M1213" s="69" t="s">
        <v>109</v>
      </c>
      <c r="N1213" s="72">
        <v>42807</v>
      </c>
      <c r="O1213" s="67"/>
      <c r="P1213" s="67" t="s">
        <v>95</v>
      </c>
      <c r="Q1213" s="67" t="s">
        <v>110</v>
      </c>
      <c r="R1213" s="69" t="s">
        <v>69</v>
      </c>
      <c r="S1213" s="69" t="s">
        <v>115</v>
      </c>
      <c r="T1213" s="67"/>
      <c r="U1213" s="67"/>
      <c r="V1213" s="72">
        <v>42766</v>
      </c>
      <c r="W1213" s="69" t="s">
        <v>242</v>
      </c>
      <c r="X1213" s="69" t="s">
        <v>243</v>
      </c>
      <c r="Y1213" s="123"/>
      <c r="Z1213" s="30">
        <f t="shared" si="36"/>
        <v>7301.7101235631453</v>
      </c>
      <c r="AA1213" s="30">
        <f t="shared" si="37"/>
        <v>0</v>
      </c>
      <c r="AB1213" t="s">
        <v>456</v>
      </c>
    </row>
    <row r="1214" spans="1:28">
      <c r="A1214" s="67" t="s">
        <v>122</v>
      </c>
      <c r="B1214" s="68">
        <v>1208784</v>
      </c>
      <c r="C1214" s="69">
        <v>4615410724</v>
      </c>
      <c r="D1214" s="70">
        <v>19200</v>
      </c>
      <c r="E1214" s="79"/>
      <c r="F1214" s="68">
        <v>16</v>
      </c>
      <c r="G1214" s="68">
        <v>5</v>
      </c>
      <c r="H1214" s="68">
        <v>0</v>
      </c>
      <c r="I1214" s="68">
        <v>0</v>
      </c>
      <c r="J1214" s="71">
        <v>42723</v>
      </c>
      <c r="K1214" s="71">
        <v>43155</v>
      </c>
      <c r="L1214" s="69" t="s">
        <v>119</v>
      </c>
      <c r="M1214" s="69" t="s">
        <v>109</v>
      </c>
      <c r="N1214" s="72">
        <v>42807</v>
      </c>
      <c r="O1214" s="67"/>
      <c r="P1214" s="67" t="s">
        <v>95</v>
      </c>
      <c r="Q1214" s="67" t="s">
        <v>120</v>
      </c>
      <c r="R1214" s="69" t="s">
        <v>69</v>
      </c>
      <c r="S1214" s="69" t="s">
        <v>123</v>
      </c>
      <c r="T1214" s="67"/>
      <c r="U1214" s="67"/>
      <c r="V1214" s="72">
        <v>42766</v>
      </c>
      <c r="W1214" s="69">
        <v>2025757</v>
      </c>
      <c r="X1214" s="69"/>
      <c r="Y1214" s="123"/>
      <c r="Z1214" s="30">
        <f t="shared" si="36"/>
        <v>6772.6006943194379</v>
      </c>
      <c r="AA1214" s="30">
        <f t="shared" si="37"/>
        <v>2116.4377169748245</v>
      </c>
      <c r="AB1214" t="s">
        <v>456</v>
      </c>
    </row>
    <row r="1215" spans="1:28">
      <c r="A1215" s="67" t="s">
        <v>128</v>
      </c>
      <c r="B1215" s="68">
        <v>1213496</v>
      </c>
      <c r="C1215" s="69">
        <v>4615420955</v>
      </c>
      <c r="D1215" s="70">
        <v>19175</v>
      </c>
      <c r="E1215" s="79"/>
      <c r="F1215" s="82">
        <v>154.32</v>
      </c>
      <c r="G1215" s="82" t="s">
        <v>114</v>
      </c>
      <c r="H1215" s="73">
        <v>0</v>
      </c>
      <c r="I1215" s="68">
        <v>0</v>
      </c>
      <c r="J1215" s="71">
        <v>42750</v>
      </c>
      <c r="K1215" s="71">
        <v>43165</v>
      </c>
      <c r="L1215" s="69" t="s">
        <v>108</v>
      </c>
      <c r="M1215" s="69" t="s">
        <v>109</v>
      </c>
      <c r="N1215" s="72">
        <v>42806</v>
      </c>
      <c r="O1215" s="67"/>
      <c r="P1215" s="67" t="s">
        <v>95</v>
      </c>
      <c r="Q1215" s="67" t="s">
        <v>129</v>
      </c>
      <c r="R1215" s="69" t="s">
        <v>69</v>
      </c>
      <c r="S1215" s="69" t="s">
        <v>130</v>
      </c>
      <c r="T1215" s="67"/>
      <c r="U1215" s="67"/>
      <c r="V1215" s="72">
        <v>42766</v>
      </c>
      <c r="W1215" s="69">
        <v>425560030</v>
      </c>
      <c r="X1215" s="69"/>
      <c r="Y1215" s="123"/>
      <c r="Z1215" s="30">
        <f t="shared" si="36"/>
        <v>65236.679355960063</v>
      </c>
      <c r="AA1215" s="30">
        <f t="shared" si="37"/>
        <v>0</v>
      </c>
      <c r="AB1215" t="s">
        <v>456</v>
      </c>
    </row>
    <row r="1216" spans="1:28">
      <c r="A1216" s="67" t="s">
        <v>128</v>
      </c>
      <c r="B1216" s="68">
        <v>1209967</v>
      </c>
      <c r="C1216" s="69">
        <v>4615404156</v>
      </c>
      <c r="D1216" s="70">
        <v>19175</v>
      </c>
      <c r="E1216" s="79"/>
      <c r="F1216" s="68">
        <v>154.4</v>
      </c>
      <c r="G1216" s="68" t="s">
        <v>114</v>
      </c>
      <c r="H1216" s="73">
        <v>0</v>
      </c>
      <c r="I1216" s="68">
        <v>0</v>
      </c>
      <c r="J1216" s="71">
        <v>42750</v>
      </c>
      <c r="K1216" s="71">
        <v>43165</v>
      </c>
      <c r="L1216" s="69" t="s">
        <v>108</v>
      </c>
      <c r="M1216" s="69" t="s">
        <v>109</v>
      </c>
      <c r="N1216" s="72">
        <v>42806</v>
      </c>
      <c r="O1216" s="67"/>
      <c r="P1216" s="67" t="s">
        <v>95</v>
      </c>
      <c r="Q1216" s="67" t="s">
        <v>129</v>
      </c>
      <c r="R1216" s="69" t="s">
        <v>69</v>
      </c>
      <c r="S1216" s="69" t="s">
        <v>130</v>
      </c>
      <c r="T1216" s="67"/>
      <c r="U1216" s="67"/>
      <c r="V1216" s="72">
        <v>42766</v>
      </c>
      <c r="W1216" s="69">
        <v>425560028</v>
      </c>
      <c r="X1216" s="69"/>
      <c r="Y1216" s="123"/>
      <c r="Z1216" s="30">
        <f t="shared" si="36"/>
        <v>65270.498266979223</v>
      </c>
      <c r="AA1216" s="30">
        <f t="shared" si="37"/>
        <v>0</v>
      </c>
      <c r="AB1216" t="s">
        <v>456</v>
      </c>
    </row>
    <row r="1217" spans="1:28">
      <c r="A1217" s="67" t="s">
        <v>136</v>
      </c>
      <c r="B1217" s="68">
        <v>1212476</v>
      </c>
      <c r="C1217" s="69">
        <v>4615413747</v>
      </c>
      <c r="D1217" s="70">
        <v>19175</v>
      </c>
      <c r="E1217" s="79"/>
      <c r="F1217" s="73">
        <v>10</v>
      </c>
      <c r="G1217" s="73" t="s">
        <v>114</v>
      </c>
      <c r="H1217" s="73">
        <v>0</v>
      </c>
      <c r="I1217" s="68">
        <v>0</v>
      </c>
      <c r="J1217" s="71">
        <v>42734</v>
      </c>
      <c r="K1217" s="71">
        <v>43158</v>
      </c>
      <c r="L1217" s="69" t="s">
        <v>137</v>
      </c>
      <c r="M1217" s="69" t="s">
        <v>109</v>
      </c>
      <c r="N1217" s="72">
        <v>42806</v>
      </c>
      <c r="O1217" s="67"/>
      <c r="P1217" s="67" t="s">
        <v>95</v>
      </c>
      <c r="Q1217" s="67" t="s">
        <v>129</v>
      </c>
      <c r="R1217" s="69" t="s">
        <v>69</v>
      </c>
      <c r="S1217" s="69" t="s">
        <v>138</v>
      </c>
      <c r="T1217" s="67"/>
      <c r="U1217" s="67"/>
      <c r="V1217" s="72">
        <v>42794</v>
      </c>
      <c r="W1217" s="69">
        <v>415570139</v>
      </c>
      <c r="X1217" s="69"/>
      <c r="Y1217" s="123"/>
      <c r="Z1217" s="30">
        <f t="shared" si="36"/>
        <v>4227.3638773950279</v>
      </c>
      <c r="AA1217" s="30">
        <f t="shared" si="37"/>
        <v>0</v>
      </c>
      <c r="AB1217" t="s">
        <v>456</v>
      </c>
    </row>
    <row r="1218" spans="1:28">
      <c r="A1218" s="67" t="s">
        <v>136</v>
      </c>
      <c r="B1218" s="68">
        <v>1212471</v>
      </c>
      <c r="C1218" s="69">
        <v>4615465868</v>
      </c>
      <c r="D1218" s="70">
        <v>19200</v>
      </c>
      <c r="E1218" s="79"/>
      <c r="F1218" s="73">
        <v>10</v>
      </c>
      <c r="G1218" s="73">
        <v>0</v>
      </c>
      <c r="H1218" s="73">
        <v>0</v>
      </c>
      <c r="I1218" s="68">
        <v>0</v>
      </c>
      <c r="J1218" s="71">
        <v>42734</v>
      </c>
      <c r="K1218" s="71">
        <v>43158</v>
      </c>
      <c r="L1218" s="69" t="s">
        <v>137</v>
      </c>
      <c r="M1218" s="69" t="s">
        <v>109</v>
      </c>
      <c r="N1218" s="72">
        <v>42806</v>
      </c>
      <c r="O1218" s="67"/>
      <c r="P1218" s="67" t="s">
        <v>95</v>
      </c>
      <c r="Q1218" s="67" t="s">
        <v>129</v>
      </c>
      <c r="R1218" s="69" t="s">
        <v>69</v>
      </c>
      <c r="S1218" s="69" t="s">
        <v>138</v>
      </c>
      <c r="T1218" s="67"/>
      <c r="U1218" s="67"/>
      <c r="V1218" s="72">
        <v>42766</v>
      </c>
      <c r="W1218" s="69">
        <v>415561689</v>
      </c>
      <c r="X1218" s="69"/>
      <c r="Y1218" s="123"/>
      <c r="Z1218" s="30">
        <f t="shared" si="36"/>
        <v>4232.8754339496491</v>
      </c>
      <c r="AA1218" s="30">
        <f t="shared" si="37"/>
        <v>0</v>
      </c>
      <c r="AB1218" t="s">
        <v>456</v>
      </c>
    </row>
    <row r="1219" spans="1:28">
      <c r="A1219" s="67" t="s">
        <v>136</v>
      </c>
      <c r="B1219" s="68">
        <v>1212466</v>
      </c>
      <c r="C1219" s="69">
        <v>4615465868</v>
      </c>
      <c r="D1219" s="70">
        <v>19200</v>
      </c>
      <c r="E1219" s="79"/>
      <c r="F1219" s="73">
        <v>10</v>
      </c>
      <c r="G1219" s="73">
        <v>0</v>
      </c>
      <c r="H1219" s="73">
        <v>0</v>
      </c>
      <c r="I1219" s="68">
        <v>0</v>
      </c>
      <c r="J1219" s="71">
        <v>42734</v>
      </c>
      <c r="K1219" s="71">
        <v>43158</v>
      </c>
      <c r="L1219" s="69" t="s">
        <v>137</v>
      </c>
      <c r="M1219" s="69" t="s">
        <v>109</v>
      </c>
      <c r="N1219" s="72">
        <v>42806</v>
      </c>
      <c r="O1219" s="67"/>
      <c r="P1219" s="67" t="s">
        <v>95</v>
      </c>
      <c r="Q1219" s="67" t="s">
        <v>129</v>
      </c>
      <c r="R1219" s="69" t="s">
        <v>69</v>
      </c>
      <c r="S1219" s="69" t="s">
        <v>138</v>
      </c>
      <c r="T1219" s="67"/>
      <c r="U1219" s="67"/>
      <c r="V1219" s="72">
        <v>42766</v>
      </c>
      <c r="W1219" s="69">
        <v>415561689</v>
      </c>
      <c r="X1219" s="69"/>
      <c r="Y1219" s="123"/>
      <c r="Z1219" s="30">
        <f t="shared" ref="Z1219:Z1282" si="38">CONVERT(D1219,"kg","lbm")*F1219/100</f>
        <v>4232.8754339496491</v>
      </c>
      <c r="AA1219" s="30">
        <f t="shared" ref="AA1219:AA1282" si="39">CONVERT(D1219,"kg","lbm")*G1219/100</f>
        <v>0</v>
      </c>
      <c r="AB1219" t="s">
        <v>456</v>
      </c>
    </row>
    <row r="1220" spans="1:28">
      <c r="A1220" s="67" t="s">
        <v>122</v>
      </c>
      <c r="B1220" s="68">
        <v>1208512</v>
      </c>
      <c r="C1220" s="69">
        <v>4615416099</v>
      </c>
      <c r="D1220" s="70">
        <v>19200</v>
      </c>
      <c r="E1220" s="79"/>
      <c r="F1220" s="73">
        <v>16</v>
      </c>
      <c r="G1220" s="73">
        <v>5</v>
      </c>
      <c r="H1220" s="68">
        <v>0</v>
      </c>
      <c r="I1220" s="68">
        <v>0</v>
      </c>
      <c r="J1220" s="71">
        <v>42713</v>
      </c>
      <c r="K1220" s="71">
        <v>43158</v>
      </c>
      <c r="L1220" s="69" t="s">
        <v>119</v>
      </c>
      <c r="M1220" s="69" t="s">
        <v>109</v>
      </c>
      <c r="N1220" s="72">
        <v>42806</v>
      </c>
      <c r="O1220" s="67"/>
      <c r="P1220" s="67" t="s">
        <v>95</v>
      </c>
      <c r="Q1220" s="67" t="s">
        <v>120</v>
      </c>
      <c r="R1220" s="69" t="s">
        <v>69</v>
      </c>
      <c r="S1220" s="69" t="s">
        <v>123</v>
      </c>
      <c r="T1220" s="67"/>
      <c r="U1220" s="67"/>
      <c r="V1220" s="72">
        <v>42735</v>
      </c>
      <c r="W1220" s="69">
        <v>2025760</v>
      </c>
      <c r="X1220" s="69"/>
      <c r="Y1220" s="123"/>
      <c r="Z1220" s="30">
        <f t="shared" si="38"/>
        <v>6772.6006943194379</v>
      </c>
      <c r="AA1220" s="30">
        <f t="shared" si="39"/>
        <v>2116.4377169748245</v>
      </c>
      <c r="AB1220" t="s">
        <v>456</v>
      </c>
    </row>
    <row r="1221" spans="1:28">
      <c r="A1221" s="67" t="s">
        <v>113</v>
      </c>
      <c r="B1221" s="68">
        <v>1204879</v>
      </c>
      <c r="C1221" s="69">
        <v>4615407198</v>
      </c>
      <c r="D1221" s="70">
        <v>19175</v>
      </c>
      <c r="E1221" s="79"/>
      <c r="F1221" s="68">
        <v>16</v>
      </c>
      <c r="G1221" s="68" t="s">
        <v>114</v>
      </c>
      <c r="H1221" s="68">
        <v>0</v>
      </c>
      <c r="I1221" s="68">
        <v>0</v>
      </c>
      <c r="J1221" s="71">
        <v>42710</v>
      </c>
      <c r="K1221" s="71">
        <v>43158</v>
      </c>
      <c r="L1221" s="69" t="s">
        <v>119</v>
      </c>
      <c r="M1221" s="69" t="s">
        <v>109</v>
      </c>
      <c r="N1221" s="72">
        <v>42806</v>
      </c>
      <c r="O1221" s="67"/>
      <c r="P1221" s="67" t="s">
        <v>95</v>
      </c>
      <c r="Q1221" s="67" t="s">
        <v>110</v>
      </c>
      <c r="R1221" s="69" t="s">
        <v>69</v>
      </c>
      <c r="S1221" s="69" t="s">
        <v>115</v>
      </c>
      <c r="T1221" s="67"/>
      <c r="U1221" s="67"/>
      <c r="V1221" s="72">
        <v>42735</v>
      </c>
      <c r="W1221" s="69" t="s">
        <v>174</v>
      </c>
      <c r="X1221" s="69" t="s">
        <v>244</v>
      </c>
      <c r="Y1221" s="123"/>
      <c r="Z1221" s="30">
        <f t="shared" si="38"/>
        <v>6763.7822038320437</v>
      </c>
      <c r="AA1221" s="30">
        <f t="shared" si="39"/>
        <v>0</v>
      </c>
      <c r="AB1221" t="s">
        <v>456</v>
      </c>
    </row>
    <row r="1222" spans="1:28">
      <c r="A1222" s="67" t="s">
        <v>113</v>
      </c>
      <c r="B1222" s="68">
        <v>1217643</v>
      </c>
      <c r="C1222" s="69">
        <v>4615405994</v>
      </c>
      <c r="D1222" s="70">
        <v>19200</v>
      </c>
      <c r="E1222" s="79"/>
      <c r="F1222" s="73">
        <v>16</v>
      </c>
      <c r="G1222" s="73" t="s">
        <v>114</v>
      </c>
      <c r="H1222" s="68">
        <v>0</v>
      </c>
      <c r="I1222" s="68">
        <v>0</v>
      </c>
      <c r="J1222" s="71">
        <v>42757</v>
      </c>
      <c r="K1222" s="71">
        <v>43158</v>
      </c>
      <c r="L1222" s="69" t="s">
        <v>108</v>
      </c>
      <c r="M1222" s="69" t="s">
        <v>109</v>
      </c>
      <c r="N1222" s="72">
        <v>42805</v>
      </c>
      <c r="O1222" s="67"/>
      <c r="P1222" s="67" t="s">
        <v>95</v>
      </c>
      <c r="Q1222" s="67" t="s">
        <v>110</v>
      </c>
      <c r="R1222" s="69" t="s">
        <v>69</v>
      </c>
      <c r="S1222" s="69" t="s">
        <v>115</v>
      </c>
      <c r="T1222" s="67"/>
      <c r="U1222" s="67"/>
      <c r="V1222" s="72">
        <v>42794</v>
      </c>
      <c r="W1222" s="69" t="s">
        <v>227</v>
      </c>
      <c r="X1222" s="69" t="s">
        <v>228</v>
      </c>
      <c r="Y1222" s="123"/>
      <c r="Z1222" s="30">
        <f t="shared" si="38"/>
        <v>6772.6006943194379</v>
      </c>
      <c r="AA1222" s="30">
        <f t="shared" si="39"/>
        <v>0</v>
      </c>
      <c r="AB1222" t="s">
        <v>456</v>
      </c>
    </row>
    <row r="1223" spans="1:28">
      <c r="A1223" s="67" t="s">
        <v>113</v>
      </c>
      <c r="B1223" s="68">
        <v>1217636</v>
      </c>
      <c r="C1223" s="69">
        <v>4615405994</v>
      </c>
      <c r="D1223" s="70">
        <v>19200</v>
      </c>
      <c r="E1223" s="79"/>
      <c r="F1223" s="73">
        <v>16</v>
      </c>
      <c r="G1223" s="73" t="s">
        <v>114</v>
      </c>
      <c r="H1223" s="68">
        <v>0</v>
      </c>
      <c r="I1223" s="68">
        <v>0</v>
      </c>
      <c r="J1223" s="71">
        <v>42757</v>
      </c>
      <c r="K1223" s="71">
        <v>43158</v>
      </c>
      <c r="L1223" s="69" t="s">
        <v>108</v>
      </c>
      <c r="M1223" s="69" t="s">
        <v>109</v>
      </c>
      <c r="N1223" s="72">
        <v>42805</v>
      </c>
      <c r="O1223" s="67"/>
      <c r="P1223" s="67" t="s">
        <v>95</v>
      </c>
      <c r="Q1223" s="67" t="s">
        <v>110</v>
      </c>
      <c r="R1223" s="69" t="s">
        <v>69</v>
      </c>
      <c r="S1223" s="69" t="s">
        <v>115</v>
      </c>
      <c r="T1223" s="67"/>
      <c r="U1223" s="67"/>
      <c r="V1223" s="72">
        <v>42794</v>
      </c>
      <c r="W1223" s="69" t="s">
        <v>227</v>
      </c>
      <c r="X1223" s="69" t="s">
        <v>228</v>
      </c>
      <c r="Y1223" s="123"/>
      <c r="Z1223" s="30">
        <f t="shared" si="38"/>
        <v>6772.6006943194379</v>
      </c>
      <c r="AA1223" s="30">
        <f t="shared" si="39"/>
        <v>0</v>
      </c>
      <c r="AB1223" t="s">
        <v>456</v>
      </c>
    </row>
    <row r="1224" spans="1:28">
      <c r="A1224" s="67" t="s">
        <v>113</v>
      </c>
      <c r="B1224" s="68">
        <v>1213040</v>
      </c>
      <c r="C1224" s="69">
        <v>4615406702</v>
      </c>
      <c r="D1224" s="70">
        <v>20700</v>
      </c>
      <c r="E1224" s="79"/>
      <c r="F1224" s="68">
        <v>16</v>
      </c>
      <c r="G1224" s="68" t="s">
        <v>114</v>
      </c>
      <c r="H1224" s="68">
        <v>0</v>
      </c>
      <c r="I1224" s="68">
        <v>0</v>
      </c>
      <c r="J1224" s="71">
        <v>42737</v>
      </c>
      <c r="K1224" s="71">
        <v>43158</v>
      </c>
      <c r="L1224" s="69" t="s">
        <v>108</v>
      </c>
      <c r="M1224" s="69" t="s">
        <v>109</v>
      </c>
      <c r="N1224" s="72">
        <v>42805</v>
      </c>
      <c r="O1224" s="67"/>
      <c r="P1224" s="67" t="s">
        <v>95</v>
      </c>
      <c r="Q1224" s="67" t="s">
        <v>110</v>
      </c>
      <c r="R1224" s="69" t="s">
        <v>69</v>
      </c>
      <c r="S1224" s="69" t="s">
        <v>115</v>
      </c>
      <c r="T1224" s="67"/>
      <c r="U1224" s="67"/>
      <c r="V1224" s="72">
        <v>42766</v>
      </c>
      <c r="W1224" s="69" t="s">
        <v>242</v>
      </c>
      <c r="X1224" s="69" t="s">
        <v>243</v>
      </c>
      <c r="Y1224" s="123"/>
      <c r="Z1224" s="30">
        <f t="shared" si="38"/>
        <v>7301.7101235631453</v>
      </c>
      <c r="AA1224" s="30">
        <f t="shared" si="39"/>
        <v>0</v>
      </c>
      <c r="AB1224" t="s">
        <v>456</v>
      </c>
    </row>
    <row r="1225" spans="1:28">
      <c r="A1225" s="67" t="s">
        <v>122</v>
      </c>
      <c r="B1225" s="68">
        <v>1211003</v>
      </c>
      <c r="C1225" s="69">
        <v>4615393658</v>
      </c>
      <c r="D1225" s="70">
        <v>19200</v>
      </c>
      <c r="E1225" s="79"/>
      <c r="F1225" s="68">
        <v>16</v>
      </c>
      <c r="G1225" s="68">
        <v>5</v>
      </c>
      <c r="H1225" s="68">
        <v>0</v>
      </c>
      <c r="I1225" s="68">
        <v>0</v>
      </c>
      <c r="J1225" s="71">
        <v>42371</v>
      </c>
      <c r="K1225" s="71">
        <v>43158</v>
      </c>
      <c r="L1225" s="69" t="s">
        <v>108</v>
      </c>
      <c r="M1225" s="69" t="s">
        <v>109</v>
      </c>
      <c r="N1225" s="72">
        <v>42805</v>
      </c>
      <c r="O1225" s="67"/>
      <c r="P1225" s="67" t="s">
        <v>95</v>
      </c>
      <c r="Q1225" s="67" t="s">
        <v>120</v>
      </c>
      <c r="R1225" s="69" t="s">
        <v>69</v>
      </c>
      <c r="S1225" s="69" t="s">
        <v>123</v>
      </c>
      <c r="T1225" s="67"/>
      <c r="U1225" s="67"/>
      <c r="V1225" s="72">
        <v>42766</v>
      </c>
      <c r="W1225" s="69">
        <v>2023106</v>
      </c>
      <c r="X1225" s="69"/>
      <c r="Y1225" s="123"/>
      <c r="Z1225" s="30">
        <f t="shared" si="38"/>
        <v>6772.6006943194379</v>
      </c>
      <c r="AA1225" s="30">
        <f t="shared" si="39"/>
        <v>2116.4377169748245</v>
      </c>
      <c r="AB1225" t="s">
        <v>456</v>
      </c>
    </row>
    <row r="1226" spans="1:28">
      <c r="A1226" s="67" t="s">
        <v>122</v>
      </c>
      <c r="B1226" s="68">
        <v>1208787</v>
      </c>
      <c r="C1226" s="69">
        <v>4615417393</v>
      </c>
      <c r="D1226" s="70">
        <v>19175</v>
      </c>
      <c r="E1226" s="79"/>
      <c r="F1226" s="68">
        <v>16</v>
      </c>
      <c r="G1226" s="68">
        <v>5</v>
      </c>
      <c r="H1226" s="68">
        <v>0</v>
      </c>
      <c r="I1226" s="68">
        <v>0</v>
      </c>
      <c r="J1226" s="71"/>
      <c r="K1226" s="71">
        <v>43165</v>
      </c>
      <c r="L1226" s="69" t="s">
        <v>119</v>
      </c>
      <c r="M1226" s="69" t="s">
        <v>109</v>
      </c>
      <c r="N1226" s="72">
        <v>42805</v>
      </c>
      <c r="O1226" s="67"/>
      <c r="P1226" s="67" t="s">
        <v>95</v>
      </c>
      <c r="Q1226" s="67" t="s">
        <v>120</v>
      </c>
      <c r="R1226" s="69" t="s">
        <v>69</v>
      </c>
      <c r="S1226" s="69" t="s">
        <v>123</v>
      </c>
      <c r="T1226" s="67"/>
      <c r="U1226" s="67"/>
      <c r="V1226" s="72">
        <v>42766</v>
      </c>
      <c r="W1226" s="69">
        <v>2025754</v>
      </c>
      <c r="X1226" s="69"/>
      <c r="Y1226" s="123"/>
      <c r="Z1226" s="30">
        <f t="shared" si="38"/>
        <v>6763.7822038320437</v>
      </c>
      <c r="AA1226" s="30">
        <f t="shared" si="39"/>
        <v>2113.6819386975139</v>
      </c>
      <c r="AB1226" t="s">
        <v>456</v>
      </c>
    </row>
    <row r="1227" spans="1:28">
      <c r="A1227" s="67" t="s">
        <v>122</v>
      </c>
      <c r="B1227" s="68">
        <v>1208786</v>
      </c>
      <c r="C1227" s="69">
        <v>4615417393</v>
      </c>
      <c r="D1227" s="70">
        <v>19175</v>
      </c>
      <c r="E1227" s="79"/>
      <c r="F1227" s="68">
        <v>16</v>
      </c>
      <c r="G1227" s="68">
        <v>5</v>
      </c>
      <c r="H1227" s="68">
        <v>0</v>
      </c>
      <c r="I1227" s="68">
        <v>0</v>
      </c>
      <c r="J1227" s="71"/>
      <c r="K1227" s="71">
        <v>43165</v>
      </c>
      <c r="L1227" s="69" t="s">
        <v>119</v>
      </c>
      <c r="M1227" s="69" t="s">
        <v>109</v>
      </c>
      <c r="N1227" s="72">
        <v>42805</v>
      </c>
      <c r="O1227" s="67"/>
      <c r="P1227" s="67" t="s">
        <v>95</v>
      </c>
      <c r="Q1227" s="67" t="s">
        <v>120</v>
      </c>
      <c r="R1227" s="69" t="s">
        <v>69</v>
      </c>
      <c r="S1227" s="69" t="s">
        <v>123</v>
      </c>
      <c r="T1227" s="67"/>
      <c r="U1227" s="67"/>
      <c r="V1227" s="72">
        <v>42766</v>
      </c>
      <c r="W1227" s="69">
        <v>2025754</v>
      </c>
      <c r="X1227" s="69"/>
      <c r="Y1227" s="123"/>
      <c r="Z1227" s="30">
        <f t="shared" si="38"/>
        <v>6763.7822038320437</v>
      </c>
      <c r="AA1227" s="30">
        <f t="shared" si="39"/>
        <v>2113.6819386975139</v>
      </c>
      <c r="AB1227" t="s">
        <v>456</v>
      </c>
    </row>
    <row r="1228" spans="1:28">
      <c r="A1228" s="67" t="s">
        <v>113</v>
      </c>
      <c r="B1228" s="68">
        <v>1206137</v>
      </c>
      <c r="C1228" s="69">
        <v>4615393323</v>
      </c>
      <c r="D1228" s="70">
        <v>19200</v>
      </c>
      <c r="E1228" s="80"/>
      <c r="F1228" s="68">
        <v>16</v>
      </c>
      <c r="G1228" s="68">
        <v>5</v>
      </c>
      <c r="H1228" s="68">
        <v>0</v>
      </c>
      <c r="I1228" s="68">
        <v>0</v>
      </c>
      <c r="J1228" s="71">
        <v>42713</v>
      </c>
      <c r="K1228" s="71">
        <v>43165</v>
      </c>
      <c r="L1228" s="69" t="s">
        <v>108</v>
      </c>
      <c r="M1228" s="69" t="s">
        <v>109</v>
      </c>
      <c r="N1228" s="72">
        <v>42805</v>
      </c>
      <c r="O1228" s="67"/>
      <c r="P1228" s="67" t="s">
        <v>95</v>
      </c>
      <c r="Q1228" s="67" t="s">
        <v>110</v>
      </c>
      <c r="R1228" s="69" t="s">
        <v>69</v>
      </c>
      <c r="S1228" s="69" t="s">
        <v>115</v>
      </c>
      <c r="T1228" s="67"/>
      <c r="U1228" s="67"/>
      <c r="V1228" s="72">
        <v>42735</v>
      </c>
      <c r="W1228" s="69" t="s">
        <v>245</v>
      </c>
      <c r="X1228" s="69"/>
      <c r="Y1228" s="123"/>
      <c r="Z1228" s="30">
        <f t="shared" si="38"/>
        <v>6772.6006943194379</v>
      </c>
      <c r="AA1228" s="30">
        <f t="shared" si="39"/>
        <v>2116.4377169748245</v>
      </c>
      <c r="AB1228" t="s">
        <v>456</v>
      </c>
    </row>
    <row r="1229" spans="1:28">
      <c r="A1229" s="67" t="s">
        <v>113</v>
      </c>
      <c r="B1229" s="68">
        <v>1206131</v>
      </c>
      <c r="C1229" s="69">
        <v>4615393323</v>
      </c>
      <c r="D1229" s="70">
        <v>19200</v>
      </c>
      <c r="E1229" s="80"/>
      <c r="F1229" s="68">
        <v>16</v>
      </c>
      <c r="G1229" s="68">
        <v>5</v>
      </c>
      <c r="H1229" s="68">
        <v>0</v>
      </c>
      <c r="I1229" s="68">
        <v>0</v>
      </c>
      <c r="J1229" s="71">
        <v>42713</v>
      </c>
      <c r="K1229" s="71">
        <v>43165</v>
      </c>
      <c r="L1229" s="69" t="s">
        <v>108</v>
      </c>
      <c r="M1229" s="69" t="s">
        <v>109</v>
      </c>
      <c r="N1229" s="72">
        <v>42805</v>
      </c>
      <c r="O1229" s="67"/>
      <c r="P1229" s="67" t="s">
        <v>95</v>
      </c>
      <c r="Q1229" s="67" t="s">
        <v>110</v>
      </c>
      <c r="R1229" s="69" t="s">
        <v>69</v>
      </c>
      <c r="S1229" s="69" t="s">
        <v>115</v>
      </c>
      <c r="T1229" s="67"/>
      <c r="U1229" s="67"/>
      <c r="V1229" s="72">
        <v>42735</v>
      </c>
      <c r="W1229" s="69" t="s">
        <v>245</v>
      </c>
      <c r="X1229" s="69"/>
      <c r="Y1229" s="123"/>
      <c r="Z1229" s="30">
        <f t="shared" si="38"/>
        <v>6772.6006943194379</v>
      </c>
      <c r="AA1229" s="30">
        <f t="shared" si="39"/>
        <v>2116.4377169748245</v>
      </c>
      <c r="AB1229" t="s">
        <v>456</v>
      </c>
    </row>
    <row r="1230" spans="1:28">
      <c r="A1230" s="67" t="s">
        <v>107</v>
      </c>
      <c r="B1230" s="68" t="s">
        <v>246</v>
      </c>
      <c r="C1230" s="69">
        <v>4615424772</v>
      </c>
      <c r="D1230" s="70">
        <v>19200</v>
      </c>
      <c r="E1230" s="80"/>
      <c r="F1230" s="68">
        <v>154.4</v>
      </c>
      <c r="G1230" s="68" t="s">
        <v>114</v>
      </c>
      <c r="H1230" s="73">
        <v>0</v>
      </c>
      <c r="I1230" s="68">
        <v>0</v>
      </c>
      <c r="J1230" s="71"/>
      <c r="K1230" s="71">
        <v>43158</v>
      </c>
      <c r="L1230" s="69" t="s">
        <v>80</v>
      </c>
      <c r="M1230" s="69" t="s">
        <v>109</v>
      </c>
      <c r="N1230" s="72">
        <v>42803</v>
      </c>
      <c r="O1230" s="67"/>
      <c r="P1230" s="67" t="s">
        <v>95</v>
      </c>
      <c r="Q1230" s="67" t="s">
        <v>110</v>
      </c>
      <c r="R1230" s="69" t="s">
        <v>69</v>
      </c>
      <c r="S1230" s="69" t="s">
        <v>111</v>
      </c>
      <c r="T1230" s="67"/>
      <c r="U1230" s="67"/>
      <c r="V1230" s="72">
        <v>42766</v>
      </c>
      <c r="W1230" s="69" t="s">
        <v>247</v>
      </c>
      <c r="X1230" s="69" t="s">
        <v>248</v>
      </c>
      <c r="Y1230" s="123"/>
      <c r="Z1230" s="30">
        <f t="shared" si="38"/>
        <v>65355.596700182585</v>
      </c>
      <c r="AA1230" s="30">
        <f t="shared" si="39"/>
        <v>0</v>
      </c>
      <c r="AB1230" t="s">
        <v>456</v>
      </c>
    </row>
    <row r="1231" spans="1:28">
      <c r="A1231" s="67" t="s">
        <v>122</v>
      </c>
      <c r="B1231" s="68">
        <v>1212808</v>
      </c>
      <c r="C1231" s="69">
        <v>4615412698</v>
      </c>
      <c r="D1231" s="70">
        <v>19200</v>
      </c>
      <c r="E1231" s="80"/>
      <c r="F1231" s="68">
        <v>16</v>
      </c>
      <c r="G1231" s="68">
        <v>5</v>
      </c>
      <c r="H1231" s="68">
        <v>0</v>
      </c>
      <c r="I1231" s="68">
        <v>0</v>
      </c>
      <c r="J1231" s="71">
        <v>42737</v>
      </c>
      <c r="K1231" s="71">
        <v>43158</v>
      </c>
      <c r="L1231" s="69" t="s">
        <v>119</v>
      </c>
      <c r="M1231" s="69" t="s">
        <v>109</v>
      </c>
      <c r="N1231" s="72">
        <v>42803</v>
      </c>
      <c r="O1231" s="67"/>
      <c r="P1231" s="67" t="s">
        <v>95</v>
      </c>
      <c r="Q1231" s="67" t="s">
        <v>120</v>
      </c>
      <c r="R1231" s="69" t="s">
        <v>69</v>
      </c>
      <c r="S1231" s="69" t="s">
        <v>123</v>
      </c>
      <c r="T1231" s="67"/>
      <c r="U1231" s="67"/>
      <c r="V1231" s="72">
        <v>42794</v>
      </c>
      <c r="W1231" s="69">
        <v>2025661</v>
      </c>
      <c r="X1231" s="69"/>
      <c r="Y1231" s="123"/>
      <c r="Z1231" s="30">
        <f t="shared" si="38"/>
        <v>6772.6006943194379</v>
      </c>
      <c r="AA1231" s="30">
        <f t="shared" si="39"/>
        <v>2116.4377169748245</v>
      </c>
      <c r="AB1231" t="s">
        <v>456</v>
      </c>
    </row>
    <row r="1232" spans="1:28">
      <c r="A1232" s="67" t="s">
        <v>118</v>
      </c>
      <c r="B1232" s="68">
        <v>1207038</v>
      </c>
      <c r="C1232" s="69">
        <v>4615373461</v>
      </c>
      <c r="D1232" s="70">
        <v>19175</v>
      </c>
      <c r="E1232" s="80"/>
      <c r="F1232" s="68">
        <v>10</v>
      </c>
      <c r="G1232" s="68">
        <v>5</v>
      </c>
      <c r="H1232" s="68">
        <v>0</v>
      </c>
      <c r="I1232" s="68">
        <v>0</v>
      </c>
      <c r="J1232" s="71">
        <v>42734</v>
      </c>
      <c r="K1232" s="71">
        <v>43142</v>
      </c>
      <c r="L1232" s="69" t="s">
        <v>137</v>
      </c>
      <c r="M1232" s="69" t="s">
        <v>109</v>
      </c>
      <c r="N1232" s="72">
        <v>42802</v>
      </c>
      <c r="O1232" s="67"/>
      <c r="P1232" s="67" t="s">
        <v>95</v>
      </c>
      <c r="Q1232" s="67" t="s">
        <v>120</v>
      </c>
      <c r="R1232" s="69" t="s">
        <v>69</v>
      </c>
      <c r="S1232" s="69" t="s">
        <v>121</v>
      </c>
      <c r="T1232" s="67"/>
      <c r="U1232" s="67"/>
      <c r="V1232" s="72">
        <v>42766</v>
      </c>
      <c r="W1232" s="69">
        <v>2021263</v>
      </c>
      <c r="X1232" s="69" t="s">
        <v>200</v>
      </c>
      <c r="Y1232" s="123"/>
      <c r="Z1232" s="30">
        <f t="shared" si="38"/>
        <v>4227.3638773950279</v>
      </c>
      <c r="AA1232" s="30">
        <f t="shared" si="39"/>
        <v>2113.6819386975139</v>
      </c>
      <c r="AB1232" t="s">
        <v>456</v>
      </c>
    </row>
    <row r="1233" spans="1:28">
      <c r="A1233" s="67" t="s">
        <v>113</v>
      </c>
      <c r="B1233" s="68">
        <v>1210291</v>
      </c>
      <c r="C1233" s="69">
        <v>4615411752</v>
      </c>
      <c r="D1233" s="70">
        <v>19175</v>
      </c>
      <c r="E1233" s="80"/>
      <c r="F1233" s="68">
        <v>16</v>
      </c>
      <c r="G1233" s="68" t="s">
        <v>114</v>
      </c>
      <c r="H1233" s="68">
        <v>0</v>
      </c>
      <c r="I1233" s="68">
        <v>0</v>
      </c>
      <c r="J1233" s="71">
        <v>42732</v>
      </c>
      <c r="K1233" s="71">
        <v>43161</v>
      </c>
      <c r="L1233" s="69" t="s">
        <v>119</v>
      </c>
      <c r="M1233" s="69" t="s">
        <v>109</v>
      </c>
      <c r="N1233" s="72">
        <v>42802</v>
      </c>
      <c r="O1233" s="67"/>
      <c r="P1233" s="67" t="s">
        <v>95</v>
      </c>
      <c r="Q1233" s="67" t="s">
        <v>110</v>
      </c>
      <c r="R1233" s="69" t="s">
        <v>69</v>
      </c>
      <c r="S1233" s="69" t="s">
        <v>115</v>
      </c>
      <c r="T1233" s="67"/>
      <c r="U1233" s="67"/>
      <c r="V1233" s="72">
        <v>42766</v>
      </c>
      <c r="W1233" s="69" t="s">
        <v>209</v>
      </c>
      <c r="X1233" s="69" t="s">
        <v>239</v>
      </c>
      <c r="Y1233" s="123"/>
      <c r="Z1233" s="30">
        <f t="shared" si="38"/>
        <v>6763.7822038320437</v>
      </c>
      <c r="AA1233" s="30">
        <f t="shared" si="39"/>
        <v>0</v>
      </c>
      <c r="AB1233" t="s">
        <v>456</v>
      </c>
    </row>
    <row r="1234" spans="1:28">
      <c r="A1234" s="67" t="s">
        <v>122</v>
      </c>
      <c r="B1234" s="68">
        <v>1211002</v>
      </c>
      <c r="C1234" s="69">
        <v>4615393658</v>
      </c>
      <c r="D1234" s="70">
        <v>19200</v>
      </c>
      <c r="E1234" s="80"/>
      <c r="F1234" s="68">
        <v>16</v>
      </c>
      <c r="G1234" s="68">
        <v>5</v>
      </c>
      <c r="H1234" s="68">
        <v>0</v>
      </c>
      <c r="I1234" s="68">
        <v>0</v>
      </c>
      <c r="J1234" s="71">
        <v>42371</v>
      </c>
      <c r="K1234" s="71">
        <v>43128</v>
      </c>
      <c r="L1234" s="69" t="s">
        <v>108</v>
      </c>
      <c r="M1234" s="69" t="s">
        <v>109</v>
      </c>
      <c r="N1234" s="72">
        <v>42801</v>
      </c>
      <c r="O1234" s="67"/>
      <c r="P1234" s="67" t="s">
        <v>95</v>
      </c>
      <c r="Q1234" s="67" t="s">
        <v>120</v>
      </c>
      <c r="R1234" s="69" t="s">
        <v>69</v>
      </c>
      <c r="S1234" s="69" t="s">
        <v>123</v>
      </c>
      <c r="T1234" s="67"/>
      <c r="U1234" s="67"/>
      <c r="V1234" s="72">
        <v>42766</v>
      </c>
      <c r="W1234" s="69">
        <v>2023106</v>
      </c>
      <c r="X1234" s="69"/>
      <c r="Y1234" s="123"/>
      <c r="Z1234" s="30">
        <f t="shared" si="38"/>
        <v>6772.6006943194379</v>
      </c>
      <c r="AA1234" s="30">
        <f t="shared" si="39"/>
        <v>2116.4377169748245</v>
      </c>
      <c r="AB1234" t="s">
        <v>456</v>
      </c>
    </row>
    <row r="1235" spans="1:28">
      <c r="A1235" s="67" t="s">
        <v>122</v>
      </c>
      <c r="B1235" s="68">
        <v>1208511</v>
      </c>
      <c r="C1235" s="69">
        <v>4615416099</v>
      </c>
      <c r="D1235" s="70">
        <v>19200</v>
      </c>
      <c r="E1235" s="80"/>
      <c r="F1235" s="73">
        <v>16</v>
      </c>
      <c r="G1235" s="73">
        <v>5</v>
      </c>
      <c r="H1235" s="68">
        <v>0</v>
      </c>
      <c r="I1235" s="68">
        <v>0</v>
      </c>
      <c r="J1235" s="71">
        <v>42713</v>
      </c>
      <c r="K1235" s="71">
        <v>43135</v>
      </c>
      <c r="L1235" s="69" t="s">
        <v>119</v>
      </c>
      <c r="M1235" s="69" t="s">
        <v>109</v>
      </c>
      <c r="N1235" s="72">
        <v>42801</v>
      </c>
      <c r="O1235" s="67"/>
      <c r="P1235" s="67" t="s">
        <v>95</v>
      </c>
      <c r="Q1235" s="67" t="s">
        <v>120</v>
      </c>
      <c r="R1235" s="69" t="s">
        <v>69</v>
      </c>
      <c r="S1235" s="69" t="s">
        <v>123</v>
      </c>
      <c r="T1235" s="67"/>
      <c r="U1235" s="67"/>
      <c r="V1235" s="72">
        <v>42735</v>
      </c>
      <c r="W1235" s="69">
        <v>2025760</v>
      </c>
      <c r="X1235" s="69"/>
      <c r="Y1235" s="123"/>
      <c r="Z1235" s="30">
        <f t="shared" si="38"/>
        <v>6772.6006943194379</v>
      </c>
      <c r="AA1235" s="30">
        <f t="shared" si="39"/>
        <v>2116.4377169748245</v>
      </c>
      <c r="AB1235" t="s">
        <v>456</v>
      </c>
    </row>
    <row r="1236" spans="1:28">
      <c r="A1236" s="67" t="s">
        <v>128</v>
      </c>
      <c r="B1236" s="68">
        <v>1213497</v>
      </c>
      <c r="C1236" s="69">
        <v>4615420955</v>
      </c>
      <c r="D1236" s="70">
        <v>19175</v>
      </c>
      <c r="E1236" s="80"/>
      <c r="F1236" s="82">
        <v>154.32</v>
      </c>
      <c r="G1236" s="82" t="s">
        <v>114</v>
      </c>
      <c r="H1236" s="68">
        <v>0</v>
      </c>
      <c r="I1236" s="68">
        <v>0</v>
      </c>
      <c r="J1236" s="71">
        <v>42750</v>
      </c>
      <c r="K1236" s="71">
        <v>43142</v>
      </c>
      <c r="L1236" s="69" t="s">
        <v>108</v>
      </c>
      <c r="M1236" s="69" t="s">
        <v>109</v>
      </c>
      <c r="N1236" s="72">
        <v>42800</v>
      </c>
      <c r="O1236" s="67"/>
      <c r="P1236" s="67" t="s">
        <v>95</v>
      </c>
      <c r="Q1236" s="67" t="s">
        <v>129</v>
      </c>
      <c r="R1236" s="69" t="s">
        <v>69</v>
      </c>
      <c r="S1236" s="69" t="s">
        <v>130</v>
      </c>
      <c r="T1236" s="67"/>
      <c r="U1236" s="67"/>
      <c r="V1236" s="72">
        <v>42766</v>
      </c>
      <c r="W1236" s="69">
        <v>425560030</v>
      </c>
      <c r="X1236" s="69"/>
      <c r="Y1236" s="123"/>
      <c r="Z1236" s="30">
        <f t="shared" si="38"/>
        <v>65236.679355960063</v>
      </c>
      <c r="AA1236" s="30">
        <f t="shared" si="39"/>
        <v>0</v>
      </c>
      <c r="AB1236" t="s">
        <v>456</v>
      </c>
    </row>
    <row r="1237" spans="1:28">
      <c r="A1237" s="67" t="s">
        <v>136</v>
      </c>
      <c r="B1237" s="68">
        <v>1212465</v>
      </c>
      <c r="C1237" s="69">
        <v>4615465868</v>
      </c>
      <c r="D1237" s="70">
        <v>19200</v>
      </c>
      <c r="E1237" s="79"/>
      <c r="F1237" s="73">
        <v>10</v>
      </c>
      <c r="G1237" s="73">
        <v>0</v>
      </c>
      <c r="H1237" s="68">
        <v>0</v>
      </c>
      <c r="I1237" s="68">
        <v>0</v>
      </c>
      <c r="J1237" s="71">
        <v>42734</v>
      </c>
      <c r="K1237" s="71">
        <v>43142</v>
      </c>
      <c r="L1237" s="69" t="s">
        <v>137</v>
      </c>
      <c r="M1237" s="69" t="s">
        <v>109</v>
      </c>
      <c r="N1237" s="72">
        <v>42800</v>
      </c>
      <c r="O1237" s="67"/>
      <c r="P1237" s="67" t="s">
        <v>95</v>
      </c>
      <c r="Q1237" s="67" t="s">
        <v>129</v>
      </c>
      <c r="R1237" s="69" t="s">
        <v>69</v>
      </c>
      <c r="S1237" s="69" t="s">
        <v>138</v>
      </c>
      <c r="T1237" s="67"/>
      <c r="U1237" s="67"/>
      <c r="V1237" s="72">
        <v>42766</v>
      </c>
      <c r="W1237" s="69">
        <v>415561689</v>
      </c>
      <c r="X1237" s="69"/>
      <c r="Y1237" s="123"/>
      <c r="Z1237" s="30">
        <f t="shared" si="38"/>
        <v>4232.8754339496491</v>
      </c>
      <c r="AA1237" s="30">
        <f t="shared" si="39"/>
        <v>0</v>
      </c>
      <c r="AB1237" t="s">
        <v>456</v>
      </c>
    </row>
    <row r="1238" spans="1:28">
      <c r="A1238" s="67" t="s">
        <v>118</v>
      </c>
      <c r="B1238" s="68">
        <v>1207034</v>
      </c>
      <c r="C1238" s="69">
        <v>4615373461</v>
      </c>
      <c r="D1238" s="70">
        <v>19175</v>
      </c>
      <c r="E1238" s="79"/>
      <c r="F1238" s="68">
        <v>10</v>
      </c>
      <c r="G1238" s="68">
        <v>5</v>
      </c>
      <c r="H1238" s="68">
        <v>0</v>
      </c>
      <c r="I1238" s="68">
        <v>0</v>
      </c>
      <c r="J1238" s="71">
        <v>42734</v>
      </c>
      <c r="K1238" s="71">
        <v>43128</v>
      </c>
      <c r="L1238" s="69" t="s">
        <v>137</v>
      </c>
      <c r="M1238" s="69" t="s">
        <v>109</v>
      </c>
      <c r="N1238" s="72">
        <v>42800</v>
      </c>
      <c r="O1238" s="67"/>
      <c r="P1238" s="67" t="s">
        <v>95</v>
      </c>
      <c r="Q1238" s="67" t="s">
        <v>120</v>
      </c>
      <c r="R1238" s="69" t="s">
        <v>69</v>
      </c>
      <c r="S1238" s="69" t="s">
        <v>121</v>
      </c>
      <c r="T1238" s="67"/>
      <c r="U1238" s="67"/>
      <c r="V1238" s="72">
        <v>42766</v>
      </c>
      <c r="W1238" s="69">
        <v>2021263</v>
      </c>
      <c r="X1238" s="69" t="s">
        <v>200</v>
      </c>
      <c r="Y1238" s="123"/>
      <c r="Z1238" s="30">
        <f t="shared" si="38"/>
        <v>4227.3638773950279</v>
      </c>
      <c r="AA1238" s="30">
        <f t="shared" si="39"/>
        <v>2113.6819386975139</v>
      </c>
      <c r="AB1238" t="s">
        <v>456</v>
      </c>
    </row>
    <row r="1239" spans="1:28">
      <c r="A1239" s="67" t="s">
        <v>113</v>
      </c>
      <c r="B1239" s="68">
        <v>1208807</v>
      </c>
      <c r="C1239" s="69">
        <v>4615409968</v>
      </c>
      <c r="D1239" s="70">
        <v>20700</v>
      </c>
      <c r="E1239" s="79"/>
      <c r="F1239" s="73">
        <v>16</v>
      </c>
      <c r="G1239" s="73">
        <v>5</v>
      </c>
      <c r="H1239" s="68">
        <v>0</v>
      </c>
      <c r="I1239" s="68">
        <v>0</v>
      </c>
      <c r="J1239" s="71">
        <v>42719</v>
      </c>
      <c r="K1239" s="71">
        <v>43128</v>
      </c>
      <c r="L1239" s="69" t="s">
        <v>108</v>
      </c>
      <c r="M1239" s="69" t="s">
        <v>109</v>
      </c>
      <c r="N1239" s="72">
        <v>42800</v>
      </c>
      <c r="O1239" s="67"/>
      <c r="P1239" s="67" t="s">
        <v>95</v>
      </c>
      <c r="Q1239" s="67" t="s">
        <v>110</v>
      </c>
      <c r="R1239" s="69" t="s">
        <v>69</v>
      </c>
      <c r="S1239" s="69" t="s">
        <v>115</v>
      </c>
      <c r="T1239" s="67"/>
      <c r="U1239" s="67"/>
      <c r="V1239" s="72">
        <v>42766</v>
      </c>
      <c r="W1239" s="69" t="s">
        <v>249</v>
      </c>
      <c r="X1239" s="69" t="s">
        <v>250</v>
      </c>
      <c r="Y1239" s="123"/>
      <c r="Z1239" s="30">
        <f t="shared" si="38"/>
        <v>7301.7101235631453</v>
      </c>
      <c r="AA1239" s="30">
        <f t="shared" si="39"/>
        <v>2281.7844136134831</v>
      </c>
      <c r="AB1239" t="s">
        <v>456</v>
      </c>
    </row>
    <row r="1240" spans="1:28">
      <c r="A1240" s="67" t="s">
        <v>113</v>
      </c>
      <c r="B1240" s="68">
        <v>1208803</v>
      </c>
      <c r="C1240" s="69">
        <v>4615409968</v>
      </c>
      <c r="D1240" s="70">
        <v>20700</v>
      </c>
      <c r="E1240" s="79"/>
      <c r="F1240" s="73">
        <v>16</v>
      </c>
      <c r="G1240" s="73">
        <v>5</v>
      </c>
      <c r="H1240" s="68">
        <v>0</v>
      </c>
      <c r="I1240" s="68">
        <v>0</v>
      </c>
      <c r="J1240" s="71">
        <v>42719</v>
      </c>
      <c r="K1240" s="71">
        <v>43128</v>
      </c>
      <c r="L1240" s="69" t="s">
        <v>108</v>
      </c>
      <c r="M1240" s="69" t="s">
        <v>109</v>
      </c>
      <c r="N1240" s="72">
        <v>42800</v>
      </c>
      <c r="O1240" s="67"/>
      <c r="P1240" s="67" t="s">
        <v>95</v>
      </c>
      <c r="Q1240" s="67" t="s">
        <v>110</v>
      </c>
      <c r="R1240" s="69" t="s">
        <v>69</v>
      </c>
      <c r="S1240" s="69" t="s">
        <v>115</v>
      </c>
      <c r="T1240" s="67"/>
      <c r="U1240" s="67"/>
      <c r="V1240" s="72">
        <v>42766</v>
      </c>
      <c r="W1240" s="69" t="s">
        <v>249</v>
      </c>
      <c r="X1240" s="69" t="s">
        <v>250</v>
      </c>
      <c r="Y1240" s="123"/>
      <c r="Z1240" s="30">
        <f t="shared" si="38"/>
        <v>7301.7101235631453</v>
      </c>
      <c r="AA1240" s="30">
        <f t="shared" si="39"/>
        <v>2281.7844136134831</v>
      </c>
      <c r="AB1240" t="s">
        <v>456</v>
      </c>
    </row>
    <row r="1241" spans="1:28">
      <c r="A1241" s="67" t="s">
        <v>113</v>
      </c>
      <c r="B1241" s="68">
        <v>1207792</v>
      </c>
      <c r="C1241" s="69">
        <v>4615405798</v>
      </c>
      <c r="D1241" s="70">
        <v>19175</v>
      </c>
      <c r="E1241" s="79"/>
      <c r="F1241" s="68">
        <v>16</v>
      </c>
      <c r="G1241" s="68" t="s">
        <v>114</v>
      </c>
      <c r="H1241" s="68">
        <v>0</v>
      </c>
      <c r="I1241" s="68">
        <v>0</v>
      </c>
      <c r="J1241" s="71">
        <v>42737</v>
      </c>
      <c r="K1241" s="71">
        <v>43142</v>
      </c>
      <c r="L1241" s="69" t="s">
        <v>108</v>
      </c>
      <c r="M1241" s="69" t="s">
        <v>109</v>
      </c>
      <c r="N1241" s="72">
        <v>42800</v>
      </c>
      <c r="O1241" s="67"/>
      <c r="P1241" s="67" t="s">
        <v>95</v>
      </c>
      <c r="Q1241" s="67" t="s">
        <v>110</v>
      </c>
      <c r="R1241" s="69" t="s">
        <v>69</v>
      </c>
      <c r="S1241" s="69" t="s">
        <v>115</v>
      </c>
      <c r="T1241" s="67"/>
      <c r="U1241" s="67"/>
      <c r="V1241" s="72">
        <v>42735</v>
      </c>
      <c r="W1241" s="69" t="s">
        <v>240</v>
      </c>
      <c r="X1241" s="69" t="s">
        <v>241</v>
      </c>
      <c r="Y1241" s="123"/>
      <c r="Z1241" s="30">
        <f t="shared" si="38"/>
        <v>6763.7822038320437</v>
      </c>
      <c r="AA1241" s="30">
        <f t="shared" si="39"/>
        <v>0</v>
      </c>
      <c r="AB1241" t="s">
        <v>456</v>
      </c>
    </row>
    <row r="1242" spans="1:28">
      <c r="A1242" s="67" t="s">
        <v>113</v>
      </c>
      <c r="B1242" s="68">
        <v>1210285</v>
      </c>
      <c r="C1242" s="69">
        <v>4615411752</v>
      </c>
      <c r="D1242" s="70">
        <v>19175</v>
      </c>
      <c r="E1242" s="79"/>
      <c r="F1242" s="68">
        <v>16</v>
      </c>
      <c r="G1242" s="68" t="s">
        <v>114</v>
      </c>
      <c r="H1242" s="68">
        <v>0</v>
      </c>
      <c r="I1242" s="68">
        <v>0</v>
      </c>
      <c r="J1242" s="71">
        <v>42732</v>
      </c>
      <c r="K1242" s="71">
        <v>43135</v>
      </c>
      <c r="L1242" s="69" t="s">
        <v>119</v>
      </c>
      <c r="M1242" s="69" t="s">
        <v>109</v>
      </c>
      <c r="N1242" s="72">
        <v>42800</v>
      </c>
      <c r="O1242" s="67"/>
      <c r="P1242" s="67" t="s">
        <v>95</v>
      </c>
      <c r="Q1242" s="67" t="s">
        <v>110</v>
      </c>
      <c r="R1242" s="69" t="s">
        <v>69</v>
      </c>
      <c r="S1242" s="69" t="s">
        <v>115</v>
      </c>
      <c r="T1242" s="67"/>
      <c r="U1242" s="67"/>
      <c r="V1242" s="72">
        <v>42766</v>
      </c>
      <c r="W1242" s="69" t="s">
        <v>209</v>
      </c>
      <c r="X1242" s="69"/>
      <c r="Y1242" s="123"/>
      <c r="Z1242" s="30">
        <f t="shared" si="38"/>
        <v>6763.7822038320437</v>
      </c>
      <c r="AA1242" s="30">
        <f t="shared" si="39"/>
        <v>0</v>
      </c>
      <c r="AB1242" t="s">
        <v>456</v>
      </c>
    </row>
    <row r="1243" spans="1:28">
      <c r="A1243" s="67" t="s">
        <v>107</v>
      </c>
      <c r="B1243" s="68">
        <v>1213070</v>
      </c>
      <c r="C1243" s="69">
        <v>4615424772</v>
      </c>
      <c r="D1243" s="70">
        <v>19200</v>
      </c>
      <c r="E1243" s="79"/>
      <c r="F1243" s="68">
        <v>154.4</v>
      </c>
      <c r="G1243" s="68" t="s">
        <v>114</v>
      </c>
      <c r="H1243" s="68">
        <v>0</v>
      </c>
      <c r="I1243" s="68">
        <v>0</v>
      </c>
      <c r="J1243" s="71">
        <v>42744</v>
      </c>
      <c r="K1243" s="71">
        <v>43164</v>
      </c>
      <c r="L1243" s="69" t="s">
        <v>119</v>
      </c>
      <c r="M1243" s="69" t="s">
        <v>109</v>
      </c>
      <c r="N1243" s="72">
        <v>42799</v>
      </c>
      <c r="O1243" s="67"/>
      <c r="P1243" s="67" t="s">
        <v>95</v>
      </c>
      <c r="Q1243" s="67" t="s">
        <v>110</v>
      </c>
      <c r="R1243" s="69" t="s">
        <v>69</v>
      </c>
      <c r="S1243" s="69" t="s">
        <v>111</v>
      </c>
      <c r="T1243" s="67"/>
      <c r="U1243" s="67"/>
      <c r="V1243" s="72">
        <v>42766</v>
      </c>
      <c r="W1243" s="69" t="s">
        <v>247</v>
      </c>
      <c r="X1243" s="69" t="s">
        <v>248</v>
      </c>
      <c r="Y1243" s="123"/>
      <c r="Z1243" s="30">
        <f t="shared" si="38"/>
        <v>65355.596700182585</v>
      </c>
      <c r="AA1243" s="30">
        <f t="shared" si="39"/>
        <v>0</v>
      </c>
      <c r="AB1243" t="s">
        <v>456</v>
      </c>
    </row>
    <row r="1244" spans="1:28">
      <c r="A1244" s="67" t="s">
        <v>107</v>
      </c>
      <c r="B1244" s="68">
        <v>1213057</v>
      </c>
      <c r="C1244" s="69">
        <v>4615415254</v>
      </c>
      <c r="D1244" s="70">
        <v>19200</v>
      </c>
      <c r="E1244" s="79"/>
      <c r="F1244" s="68">
        <v>154.32</v>
      </c>
      <c r="G1244" s="68" t="s">
        <v>114</v>
      </c>
      <c r="H1244" s="68">
        <v>0</v>
      </c>
      <c r="I1244" s="68">
        <v>0</v>
      </c>
      <c r="J1244" s="71">
        <v>42744</v>
      </c>
      <c r="K1244" s="71">
        <v>43175</v>
      </c>
      <c r="L1244" s="69" t="s">
        <v>119</v>
      </c>
      <c r="M1244" s="69" t="s">
        <v>109</v>
      </c>
      <c r="N1244" s="72">
        <v>42799</v>
      </c>
      <c r="O1244" s="67"/>
      <c r="P1244" s="67" t="s">
        <v>95</v>
      </c>
      <c r="Q1244" s="67" t="s">
        <v>110</v>
      </c>
      <c r="R1244" s="69" t="s">
        <v>69</v>
      </c>
      <c r="S1244" s="69" t="s">
        <v>111</v>
      </c>
      <c r="T1244" s="67"/>
      <c r="U1244" s="67"/>
      <c r="V1244" s="72">
        <v>42766</v>
      </c>
      <c r="W1244" s="69" t="s">
        <v>251</v>
      </c>
      <c r="X1244" s="69"/>
      <c r="Y1244" s="123"/>
      <c r="Z1244" s="30">
        <f t="shared" si="38"/>
        <v>65321.73369671098</v>
      </c>
      <c r="AA1244" s="30">
        <f t="shared" si="39"/>
        <v>0</v>
      </c>
      <c r="AB1244" t="s">
        <v>456</v>
      </c>
    </row>
    <row r="1245" spans="1:28">
      <c r="A1245" s="67" t="s">
        <v>118</v>
      </c>
      <c r="B1245" s="68">
        <v>1208797</v>
      </c>
      <c r="C1245" s="69">
        <v>4615410587</v>
      </c>
      <c r="D1245" s="70">
        <v>19175</v>
      </c>
      <c r="E1245" s="79"/>
      <c r="F1245" s="73">
        <v>10</v>
      </c>
      <c r="G1245" s="73" t="s">
        <v>114</v>
      </c>
      <c r="H1245" s="68">
        <v>0</v>
      </c>
      <c r="I1245" s="68">
        <v>0</v>
      </c>
      <c r="J1245" s="71">
        <v>42734</v>
      </c>
      <c r="K1245" s="71">
        <v>43157</v>
      </c>
      <c r="L1245" s="69" t="s">
        <v>137</v>
      </c>
      <c r="M1245" s="69" t="s">
        <v>109</v>
      </c>
      <c r="N1245" s="72">
        <v>42799</v>
      </c>
      <c r="O1245" s="67"/>
      <c r="P1245" s="67" t="s">
        <v>95</v>
      </c>
      <c r="Q1245" s="67" t="s">
        <v>120</v>
      </c>
      <c r="R1245" s="69" t="s">
        <v>69</v>
      </c>
      <c r="S1245" s="69" t="s">
        <v>121</v>
      </c>
      <c r="T1245" s="67"/>
      <c r="U1245" s="67"/>
      <c r="V1245" s="72">
        <v>42766</v>
      </c>
      <c r="W1245" s="69">
        <v>2026345</v>
      </c>
      <c r="X1245" s="69"/>
      <c r="Y1245" s="123"/>
      <c r="Z1245" s="30">
        <f t="shared" si="38"/>
        <v>4227.3638773950279</v>
      </c>
      <c r="AA1245" s="30">
        <f t="shared" si="39"/>
        <v>0</v>
      </c>
      <c r="AB1245" t="s">
        <v>456</v>
      </c>
    </row>
    <row r="1246" spans="1:28">
      <c r="A1246" s="67" t="s">
        <v>122</v>
      </c>
      <c r="B1246" s="68">
        <v>1211005</v>
      </c>
      <c r="C1246" s="69">
        <v>4615393658</v>
      </c>
      <c r="D1246" s="70">
        <v>19200</v>
      </c>
      <c r="E1246" s="79"/>
      <c r="F1246" s="68">
        <v>16</v>
      </c>
      <c r="G1246" s="68">
        <v>5</v>
      </c>
      <c r="H1246" s="68">
        <v>0</v>
      </c>
      <c r="I1246" s="68">
        <v>0</v>
      </c>
      <c r="J1246" s="71">
        <v>42371</v>
      </c>
      <c r="K1246" s="71">
        <v>43157</v>
      </c>
      <c r="L1246" s="69" t="s">
        <v>108</v>
      </c>
      <c r="M1246" s="69" t="s">
        <v>109</v>
      </c>
      <c r="N1246" s="72">
        <v>42799</v>
      </c>
      <c r="O1246" s="67"/>
      <c r="P1246" s="67" t="s">
        <v>95</v>
      </c>
      <c r="Q1246" s="67" t="s">
        <v>120</v>
      </c>
      <c r="R1246" s="69" t="s">
        <v>69</v>
      </c>
      <c r="S1246" s="69" t="s">
        <v>123</v>
      </c>
      <c r="T1246" s="67"/>
      <c r="U1246" s="67"/>
      <c r="V1246" s="72">
        <v>42766</v>
      </c>
      <c r="W1246" s="69">
        <v>2023106</v>
      </c>
      <c r="X1246" s="69"/>
      <c r="Y1246" s="123"/>
      <c r="Z1246" s="30">
        <f t="shared" si="38"/>
        <v>6772.6006943194379</v>
      </c>
      <c r="AA1246" s="30">
        <f t="shared" si="39"/>
        <v>2116.4377169748245</v>
      </c>
      <c r="AB1246" t="s">
        <v>456</v>
      </c>
    </row>
    <row r="1247" spans="1:28">
      <c r="A1247" s="67" t="s">
        <v>113</v>
      </c>
      <c r="B1247" s="68">
        <v>1208804</v>
      </c>
      <c r="C1247" s="69">
        <v>4615409968</v>
      </c>
      <c r="D1247" s="70">
        <v>20700</v>
      </c>
      <c r="E1247" s="79"/>
      <c r="F1247" s="73">
        <v>16</v>
      </c>
      <c r="G1247" s="73">
        <v>5</v>
      </c>
      <c r="H1247" s="68">
        <v>0</v>
      </c>
      <c r="I1247" s="68">
        <v>0</v>
      </c>
      <c r="J1247" s="71">
        <v>42719</v>
      </c>
      <c r="K1247" s="71">
        <v>43157</v>
      </c>
      <c r="L1247" s="69" t="s">
        <v>108</v>
      </c>
      <c r="M1247" s="69" t="s">
        <v>109</v>
      </c>
      <c r="N1247" s="72">
        <v>42799</v>
      </c>
      <c r="O1247" s="67"/>
      <c r="P1247" s="67" t="s">
        <v>95</v>
      </c>
      <c r="Q1247" s="67" t="s">
        <v>110</v>
      </c>
      <c r="R1247" s="69" t="s">
        <v>69</v>
      </c>
      <c r="S1247" s="69" t="s">
        <v>115</v>
      </c>
      <c r="T1247" s="67"/>
      <c r="U1247" s="67"/>
      <c r="V1247" s="72">
        <v>42766</v>
      </c>
      <c r="W1247" s="69" t="s">
        <v>249</v>
      </c>
      <c r="X1247" s="69" t="s">
        <v>250</v>
      </c>
      <c r="Y1247" s="123"/>
      <c r="Z1247" s="30">
        <f t="shared" si="38"/>
        <v>7301.7101235631453</v>
      </c>
      <c r="AA1247" s="30">
        <f t="shared" si="39"/>
        <v>2281.7844136134831</v>
      </c>
      <c r="AB1247" t="s">
        <v>456</v>
      </c>
    </row>
    <row r="1248" spans="1:28">
      <c r="A1248" s="67" t="s">
        <v>113</v>
      </c>
      <c r="B1248" s="68">
        <v>1208802</v>
      </c>
      <c r="C1248" s="69">
        <v>4615409968</v>
      </c>
      <c r="D1248" s="70">
        <v>20700</v>
      </c>
      <c r="E1248" s="79"/>
      <c r="F1248" s="73">
        <v>16</v>
      </c>
      <c r="G1248" s="73">
        <v>5</v>
      </c>
      <c r="H1248" s="68">
        <v>0</v>
      </c>
      <c r="I1248" s="68">
        <v>0</v>
      </c>
      <c r="J1248" s="71">
        <v>42719</v>
      </c>
      <c r="K1248" s="71">
        <v>43157</v>
      </c>
      <c r="L1248" s="69" t="s">
        <v>108</v>
      </c>
      <c r="M1248" s="69" t="s">
        <v>109</v>
      </c>
      <c r="N1248" s="72">
        <v>42799</v>
      </c>
      <c r="O1248" s="67"/>
      <c r="P1248" s="67" t="s">
        <v>95</v>
      </c>
      <c r="Q1248" s="67" t="s">
        <v>110</v>
      </c>
      <c r="R1248" s="69" t="s">
        <v>69</v>
      </c>
      <c r="S1248" s="69" t="s">
        <v>115</v>
      </c>
      <c r="T1248" s="67"/>
      <c r="U1248" s="67"/>
      <c r="V1248" s="72">
        <v>42766</v>
      </c>
      <c r="W1248" s="69" t="s">
        <v>249</v>
      </c>
      <c r="X1248" s="69" t="s">
        <v>250</v>
      </c>
      <c r="Y1248" s="123"/>
      <c r="Z1248" s="30">
        <f t="shared" si="38"/>
        <v>7301.7101235631453</v>
      </c>
      <c r="AA1248" s="30">
        <f t="shared" si="39"/>
        <v>2281.7844136134831</v>
      </c>
      <c r="AB1248" t="s">
        <v>456</v>
      </c>
    </row>
    <row r="1249" spans="1:28">
      <c r="A1249" s="67" t="s">
        <v>113</v>
      </c>
      <c r="B1249" s="68">
        <v>1207791</v>
      </c>
      <c r="C1249" s="69">
        <v>4615405798</v>
      </c>
      <c r="D1249" s="70">
        <v>19175</v>
      </c>
      <c r="E1249" s="79"/>
      <c r="F1249" s="68">
        <v>16</v>
      </c>
      <c r="G1249" s="68" t="s">
        <v>114</v>
      </c>
      <c r="H1249" s="68">
        <v>0</v>
      </c>
      <c r="I1249" s="68">
        <v>0</v>
      </c>
      <c r="J1249" s="71">
        <v>42737</v>
      </c>
      <c r="K1249" s="71">
        <v>43166</v>
      </c>
      <c r="L1249" s="69" t="s">
        <v>108</v>
      </c>
      <c r="M1249" s="69" t="s">
        <v>109</v>
      </c>
      <c r="N1249" s="72">
        <v>42799</v>
      </c>
      <c r="O1249" s="67"/>
      <c r="P1249" s="67" t="s">
        <v>95</v>
      </c>
      <c r="Q1249" s="67" t="s">
        <v>110</v>
      </c>
      <c r="R1249" s="69" t="s">
        <v>69</v>
      </c>
      <c r="S1249" s="69" t="s">
        <v>115</v>
      </c>
      <c r="T1249" s="67"/>
      <c r="U1249" s="67"/>
      <c r="V1249" s="72">
        <v>42735</v>
      </c>
      <c r="W1249" s="69" t="s">
        <v>240</v>
      </c>
      <c r="X1249" s="69" t="s">
        <v>241</v>
      </c>
      <c r="Y1249" s="123"/>
      <c r="Z1249" s="30">
        <f t="shared" si="38"/>
        <v>6763.7822038320437</v>
      </c>
      <c r="AA1249" s="30">
        <f t="shared" si="39"/>
        <v>0</v>
      </c>
      <c r="AB1249" t="s">
        <v>456</v>
      </c>
    </row>
    <row r="1250" spans="1:28">
      <c r="A1250" s="67" t="s">
        <v>113</v>
      </c>
      <c r="B1250" s="68">
        <v>1207789</v>
      </c>
      <c r="C1250" s="69">
        <v>4615405798</v>
      </c>
      <c r="D1250" s="70">
        <v>19175</v>
      </c>
      <c r="E1250" s="79"/>
      <c r="F1250" s="68">
        <v>16</v>
      </c>
      <c r="G1250" s="68" t="s">
        <v>114</v>
      </c>
      <c r="H1250" s="68">
        <v>0</v>
      </c>
      <c r="I1250" s="68">
        <v>0</v>
      </c>
      <c r="J1250" s="71">
        <v>42737</v>
      </c>
      <c r="K1250" s="71">
        <v>42799</v>
      </c>
      <c r="L1250" s="69" t="s">
        <v>108</v>
      </c>
      <c r="M1250" s="69" t="s">
        <v>109</v>
      </c>
      <c r="N1250" s="72">
        <v>42799</v>
      </c>
      <c r="O1250" s="67"/>
      <c r="P1250" s="67" t="s">
        <v>95</v>
      </c>
      <c r="Q1250" s="67" t="s">
        <v>110</v>
      </c>
      <c r="R1250" s="69" t="s">
        <v>69</v>
      </c>
      <c r="S1250" s="69" t="s">
        <v>115</v>
      </c>
      <c r="T1250" s="67"/>
      <c r="U1250" s="67"/>
      <c r="V1250" s="72">
        <v>42735</v>
      </c>
      <c r="W1250" s="69" t="s">
        <v>240</v>
      </c>
      <c r="X1250" s="69" t="s">
        <v>241</v>
      </c>
      <c r="Y1250" s="123"/>
      <c r="Z1250" s="30">
        <f t="shared" si="38"/>
        <v>6763.7822038320437</v>
      </c>
      <c r="AA1250" s="30">
        <f t="shared" si="39"/>
        <v>0</v>
      </c>
      <c r="AB1250" t="s">
        <v>456</v>
      </c>
    </row>
    <row r="1251" spans="1:28">
      <c r="A1251" s="67" t="s">
        <v>118</v>
      </c>
      <c r="B1251" s="68">
        <v>1208800</v>
      </c>
      <c r="C1251" s="69">
        <v>4615410587</v>
      </c>
      <c r="D1251" s="70">
        <v>19175</v>
      </c>
      <c r="E1251" s="79"/>
      <c r="F1251" s="73">
        <v>10</v>
      </c>
      <c r="G1251" s="73" t="s">
        <v>114</v>
      </c>
      <c r="H1251" s="68">
        <v>0</v>
      </c>
      <c r="I1251" s="68">
        <v>0</v>
      </c>
      <c r="J1251" s="71">
        <v>42734</v>
      </c>
      <c r="K1251" s="71">
        <v>43121</v>
      </c>
      <c r="L1251" s="69" t="s">
        <v>137</v>
      </c>
      <c r="M1251" s="69" t="s">
        <v>109</v>
      </c>
      <c r="N1251" s="72">
        <v>42799</v>
      </c>
      <c r="O1251" s="67"/>
      <c r="P1251" s="67" t="s">
        <v>95</v>
      </c>
      <c r="Q1251" s="67" t="s">
        <v>120</v>
      </c>
      <c r="R1251" s="69" t="s">
        <v>69</v>
      </c>
      <c r="S1251" s="69" t="s">
        <v>121</v>
      </c>
      <c r="T1251" s="67"/>
      <c r="U1251" s="67"/>
      <c r="V1251" s="72">
        <v>42766</v>
      </c>
      <c r="W1251" s="69">
        <v>2026345</v>
      </c>
      <c r="X1251" s="69"/>
      <c r="Y1251" s="123"/>
      <c r="Z1251" s="30">
        <f t="shared" si="38"/>
        <v>4227.3638773950279</v>
      </c>
      <c r="AA1251" s="30">
        <f t="shared" si="39"/>
        <v>0</v>
      </c>
      <c r="AB1251" t="s">
        <v>456</v>
      </c>
    </row>
    <row r="1252" spans="1:28">
      <c r="A1252" s="67" t="s">
        <v>136</v>
      </c>
      <c r="B1252" s="68">
        <v>1212470</v>
      </c>
      <c r="C1252" s="69">
        <v>4615465868</v>
      </c>
      <c r="D1252" s="70">
        <v>19200</v>
      </c>
      <c r="E1252" s="79"/>
      <c r="F1252" s="73">
        <v>10</v>
      </c>
      <c r="G1252" s="73">
        <v>0</v>
      </c>
      <c r="H1252" s="68">
        <v>0</v>
      </c>
      <c r="I1252" s="68">
        <v>0</v>
      </c>
      <c r="J1252" s="71">
        <v>42734</v>
      </c>
      <c r="K1252" s="71">
        <v>43121</v>
      </c>
      <c r="L1252" s="69" t="s">
        <v>137</v>
      </c>
      <c r="M1252" s="69" t="s">
        <v>109</v>
      </c>
      <c r="N1252" s="72">
        <v>42799</v>
      </c>
      <c r="O1252" s="67"/>
      <c r="P1252" s="67" t="s">
        <v>95</v>
      </c>
      <c r="Q1252" s="67" t="s">
        <v>129</v>
      </c>
      <c r="R1252" s="69" t="s">
        <v>69</v>
      </c>
      <c r="S1252" s="69" t="s">
        <v>138</v>
      </c>
      <c r="T1252" s="67"/>
      <c r="U1252" s="67"/>
      <c r="V1252" s="72">
        <v>42766</v>
      </c>
      <c r="W1252" s="69">
        <v>415561689</v>
      </c>
      <c r="X1252" s="69"/>
      <c r="Y1252" s="123"/>
      <c r="Z1252" s="30">
        <f t="shared" si="38"/>
        <v>4232.8754339496491</v>
      </c>
      <c r="AA1252" s="30">
        <f t="shared" si="39"/>
        <v>0</v>
      </c>
      <c r="AB1252" t="s">
        <v>456</v>
      </c>
    </row>
    <row r="1253" spans="1:28">
      <c r="A1253" s="67" t="s">
        <v>113</v>
      </c>
      <c r="B1253" s="68">
        <v>1204875</v>
      </c>
      <c r="C1253" s="69">
        <v>4615407198</v>
      </c>
      <c r="D1253" s="70">
        <v>19175</v>
      </c>
      <c r="E1253" s="79"/>
      <c r="F1253" s="68">
        <v>16</v>
      </c>
      <c r="G1253" s="68" t="s">
        <v>114</v>
      </c>
      <c r="H1253" s="68">
        <v>0</v>
      </c>
      <c r="I1253" s="68">
        <v>0</v>
      </c>
      <c r="J1253" s="71">
        <v>42710</v>
      </c>
      <c r="K1253" s="71">
        <v>43132</v>
      </c>
      <c r="L1253" s="69" t="s">
        <v>119</v>
      </c>
      <c r="M1253" s="69" t="s">
        <v>109</v>
      </c>
      <c r="N1253" s="72">
        <v>42799</v>
      </c>
      <c r="O1253" s="67"/>
      <c r="P1253" s="67" t="s">
        <v>95</v>
      </c>
      <c r="Q1253" s="67" t="s">
        <v>110</v>
      </c>
      <c r="R1253" s="69" t="s">
        <v>69</v>
      </c>
      <c r="S1253" s="69" t="s">
        <v>115</v>
      </c>
      <c r="T1253" s="67"/>
      <c r="U1253" s="67"/>
      <c r="V1253" s="72">
        <v>42735</v>
      </c>
      <c r="W1253" s="69" t="s">
        <v>174</v>
      </c>
      <c r="X1253" s="69" t="s">
        <v>244</v>
      </c>
      <c r="Y1253" s="123"/>
      <c r="Z1253" s="30">
        <f t="shared" si="38"/>
        <v>6763.7822038320437</v>
      </c>
      <c r="AA1253" s="30">
        <f t="shared" si="39"/>
        <v>0</v>
      </c>
      <c r="AB1253" t="s">
        <v>456</v>
      </c>
    </row>
    <row r="1254" spans="1:28">
      <c r="A1254" s="67" t="s">
        <v>68</v>
      </c>
      <c r="B1254" s="68">
        <v>1190658</v>
      </c>
      <c r="C1254" s="69">
        <v>4615411739</v>
      </c>
      <c r="D1254" s="70">
        <v>19175</v>
      </c>
      <c r="E1254" s="79"/>
      <c r="F1254" s="73">
        <v>16</v>
      </c>
      <c r="G1254" s="73">
        <v>5</v>
      </c>
      <c r="H1254" s="68">
        <v>0</v>
      </c>
      <c r="I1254" s="68">
        <v>0</v>
      </c>
      <c r="J1254" s="71">
        <v>42656</v>
      </c>
      <c r="K1254" s="71">
        <v>43155</v>
      </c>
      <c r="L1254" s="69" t="s">
        <v>119</v>
      </c>
      <c r="M1254" s="69" t="s">
        <v>109</v>
      </c>
      <c r="N1254" s="72">
        <v>42799</v>
      </c>
      <c r="O1254" s="67"/>
      <c r="P1254" s="67" t="s">
        <v>95</v>
      </c>
      <c r="Q1254" s="67" t="s">
        <v>125</v>
      </c>
      <c r="R1254" s="69" t="s">
        <v>69</v>
      </c>
      <c r="S1254" s="69" t="s">
        <v>68</v>
      </c>
      <c r="T1254" s="67"/>
      <c r="U1254" s="67"/>
      <c r="V1254" s="72">
        <v>42704</v>
      </c>
      <c r="W1254" s="69">
        <v>5114728</v>
      </c>
      <c r="X1254" s="69" t="s">
        <v>252</v>
      </c>
      <c r="Y1254" s="123"/>
      <c r="Z1254" s="30">
        <f t="shared" si="38"/>
        <v>6763.7822038320437</v>
      </c>
      <c r="AA1254" s="30">
        <f t="shared" si="39"/>
        <v>2113.6819386975139</v>
      </c>
      <c r="AB1254" t="s">
        <v>456</v>
      </c>
    </row>
    <row r="1255" spans="1:28">
      <c r="A1255" s="67" t="s">
        <v>68</v>
      </c>
      <c r="B1255" s="68">
        <v>1190655</v>
      </c>
      <c r="C1255" s="69">
        <v>4615411739</v>
      </c>
      <c r="D1255" s="70">
        <v>19175</v>
      </c>
      <c r="E1255" s="79"/>
      <c r="F1255" s="73">
        <v>16</v>
      </c>
      <c r="G1255" s="73">
        <v>5</v>
      </c>
      <c r="H1255" s="68">
        <v>0</v>
      </c>
      <c r="I1255" s="68">
        <v>0</v>
      </c>
      <c r="J1255" s="71">
        <v>42656</v>
      </c>
      <c r="K1255" s="71">
        <v>43155</v>
      </c>
      <c r="L1255" s="69" t="s">
        <v>119</v>
      </c>
      <c r="M1255" s="69" t="s">
        <v>109</v>
      </c>
      <c r="N1255" s="72">
        <v>42799</v>
      </c>
      <c r="O1255" s="67"/>
      <c r="P1255" s="67" t="s">
        <v>95</v>
      </c>
      <c r="Q1255" s="67" t="s">
        <v>125</v>
      </c>
      <c r="R1255" s="69" t="s">
        <v>69</v>
      </c>
      <c r="S1255" s="69" t="s">
        <v>68</v>
      </c>
      <c r="T1255" s="67"/>
      <c r="U1255" s="67"/>
      <c r="V1255" s="72">
        <v>42704</v>
      </c>
      <c r="W1255" s="69">
        <v>5114728</v>
      </c>
      <c r="X1255" s="69" t="s">
        <v>252</v>
      </c>
      <c r="Y1255" s="123"/>
      <c r="Z1255" s="30">
        <f t="shared" si="38"/>
        <v>6763.7822038320437</v>
      </c>
      <c r="AA1255" s="30">
        <f t="shared" si="39"/>
        <v>2113.6819386975139</v>
      </c>
      <c r="AB1255" t="s">
        <v>456</v>
      </c>
    </row>
    <row r="1256" spans="1:28">
      <c r="A1256" s="67" t="s">
        <v>128</v>
      </c>
      <c r="B1256" s="68">
        <v>1215121</v>
      </c>
      <c r="C1256" s="69">
        <v>4615418884</v>
      </c>
      <c r="D1256" s="70">
        <v>19175</v>
      </c>
      <c r="E1256" s="79"/>
      <c r="F1256" s="68">
        <v>154.4</v>
      </c>
      <c r="G1256" s="68" t="s">
        <v>114</v>
      </c>
      <c r="H1256" s="68">
        <v>0</v>
      </c>
      <c r="I1256" s="68">
        <v>0</v>
      </c>
      <c r="J1256" s="71">
        <v>42744</v>
      </c>
      <c r="K1256" s="71">
        <v>43141</v>
      </c>
      <c r="L1256" s="69" t="s">
        <v>108</v>
      </c>
      <c r="M1256" s="69" t="s">
        <v>109</v>
      </c>
      <c r="N1256" s="72">
        <v>42796</v>
      </c>
      <c r="O1256" s="67"/>
      <c r="P1256" s="67" t="s">
        <v>95</v>
      </c>
      <c r="Q1256" s="67" t="s">
        <v>129</v>
      </c>
      <c r="R1256" s="69" t="s">
        <v>69</v>
      </c>
      <c r="S1256" s="69" t="s">
        <v>130</v>
      </c>
      <c r="T1256" s="67"/>
      <c r="U1256" s="67"/>
      <c r="V1256" s="72">
        <v>42794</v>
      </c>
      <c r="W1256" s="69">
        <v>425560001</v>
      </c>
      <c r="X1256" s="69" t="s">
        <v>253</v>
      </c>
      <c r="Y1256" s="123"/>
      <c r="Z1256" s="30">
        <f t="shared" si="38"/>
        <v>65270.498266979223</v>
      </c>
      <c r="AA1256" s="30">
        <f t="shared" si="39"/>
        <v>0</v>
      </c>
      <c r="AB1256" t="s">
        <v>456</v>
      </c>
    </row>
    <row r="1257" spans="1:28">
      <c r="A1257" s="67" t="s">
        <v>113</v>
      </c>
      <c r="B1257" s="68">
        <v>1213044</v>
      </c>
      <c r="C1257" s="69">
        <v>4615406702</v>
      </c>
      <c r="D1257" s="70">
        <v>20700</v>
      </c>
      <c r="E1257" s="79"/>
      <c r="F1257" s="68">
        <v>16</v>
      </c>
      <c r="G1257" s="68" t="s">
        <v>114</v>
      </c>
      <c r="H1257" s="68">
        <v>0</v>
      </c>
      <c r="I1257" s="68">
        <v>0</v>
      </c>
      <c r="J1257" s="71">
        <v>42737</v>
      </c>
      <c r="K1257" s="71">
        <v>43169</v>
      </c>
      <c r="L1257" s="69" t="s">
        <v>108</v>
      </c>
      <c r="M1257" s="69" t="s">
        <v>109</v>
      </c>
      <c r="N1257" s="72">
        <v>42796</v>
      </c>
      <c r="O1257" s="67"/>
      <c r="P1257" s="67" t="s">
        <v>95</v>
      </c>
      <c r="Q1257" s="67" t="s">
        <v>110</v>
      </c>
      <c r="R1257" s="69" t="s">
        <v>69</v>
      </c>
      <c r="S1257" s="69" t="s">
        <v>115</v>
      </c>
      <c r="T1257" s="67"/>
      <c r="U1257" s="67"/>
      <c r="V1257" s="72">
        <v>42766</v>
      </c>
      <c r="W1257" s="69" t="s">
        <v>242</v>
      </c>
      <c r="X1257" s="69" t="s">
        <v>243</v>
      </c>
      <c r="Y1257" s="123"/>
      <c r="Z1257" s="30">
        <f t="shared" si="38"/>
        <v>7301.7101235631453</v>
      </c>
      <c r="AA1257" s="30">
        <f t="shared" si="39"/>
        <v>0</v>
      </c>
      <c r="AB1257" t="s">
        <v>456</v>
      </c>
    </row>
    <row r="1258" spans="1:28">
      <c r="A1258" s="67" t="s">
        <v>122</v>
      </c>
      <c r="B1258" s="68">
        <v>1208507</v>
      </c>
      <c r="C1258" s="69">
        <v>4615416099</v>
      </c>
      <c r="D1258" s="70">
        <v>19200</v>
      </c>
      <c r="E1258" s="79"/>
      <c r="F1258" s="73">
        <v>16</v>
      </c>
      <c r="G1258" s="73">
        <v>5</v>
      </c>
      <c r="H1258" s="68">
        <v>0</v>
      </c>
      <c r="I1258" s="68">
        <v>0</v>
      </c>
      <c r="J1258" s="71">
        <v>42713</v>
      </c>
      <c r="K1258" s="71">
        <v>43169</v>
      </c>
      <c r="L1258" s="69" t="s">
        <v>119</v>
      </c>
      <c r="M1258" s="69" t="s">
        <v>109</v>
      </c>
      <c r="N1258" s="72">
        <v>42796</v>
      </c>
      <c r="O1258" s="67"/>
      <c r="P1258" s="67" t="s">
        <v>95</v>
      </c>
      <c r="Q1258" s="67" t="s">
        <v>120</v>
      </c>
      <c r="R1258" s="69" t="s">
        <v>69</v>
      </c>
      <c r="S1258" s="69" t="s">
        <v>123</v>
      </c>
      <c r="T1258" s="67"/>
      <c r="U1258" s="67"/>
      <c r="V1258" s="72">
        <v>42735</v>
      </c>
      <c r="W1258" s="69">
        <v>2025760</v>
      </c>
      <c r="X1258" s="69" t="s">
        <v>241</v>
      </c>
      <c r="Y1258" s="123"/>
      <c r="Z1258" s="30">
        <f t="shared" si="38"/>
        <v>6772.6006943194379</v>
      </c>
      <c r="AA1258" s="30">
        <f t="shared" si="39"/>
        <v>2116.4377169748245</v>
      </c>
      <c r="AB1258" t="s">
        <v>456</v>
      </c>
    </row>
    <row r="1259" spans="1:28">
      <c r="A1259" s="67" t="s">
        <v>107</v>
      </c>
      <c r="B1259" s="68">
        <v>1213056</v>
      </c>
      <c r="C1259" s="69">
        <v>4615415254</v>
      </c>
      <c r="D1259" s="70">
        <v>19200</v>
      </c>
      <c r="E1259" s="79"/>
      <c r="F1259" s="68">
        <v>154.32</v>
      </c>
      <c r="G1259" s="68" t="s">
        <v>114</v>
      </c>
      <c r="H1259" s="68">
        <v>0</v>
      </c>
      <c r="I1259" s="68">
        <v>0</v>
      </c>
      <c r="J1259" s="71">
        <v>42744</v>
      </c>
      <c r="K1259" s="71">
        <v>43159</v>
      </c>
      <c r="L1259" s="69" t="s">
        <v>119</v>
      </c>
      <c r="M1259" s="69" t="s">
        <v>109</v>
      </c>
      <c r="N1259" s="72">
        <v>42795</v>
      </c>
      <c r="O1259" s="67"/>
      <c r="P1259" s="67" t="s">
        <v>95</v>
      </c>
      <c r="Q1259" s="67" t="s">
        <v>110</v>
      </c>
      <c r="R1259" s="69" t="s">
        <v>69</v>
      </c>
      <c r="S1259" s="69" t="s">
        <v>111</v>
      </c>
      <c r="T1259" s="67"/>
      <c r="U1259" s="67"/>
      <c r="V1259" s="72">
        <v>42766</v>
      </c>
      <c r="W1259" s="69" t="s">
        <v>251</v>
      </c>
      <c r="X1259" s="69"/>
      <c r="Y1259" s="123"/>
      <c r="Z1259" s="30">
        <f t="shared" si="38"/>
        <v>65321.73369671098</v>
      </c>
      <c r="AA1259" s="30">
        <f t="shared" si="39"/>
        <v>0</v>
      </c>
      <c r="AB1259" t="s">
        <v>456</v>
      </c>
    </row>
    <row r="1260" spans="1:28">
      <c r="A1260" s="67" t="s">
        <v>136</v>
      </c>
      <c r="B1260" s="68">
        <v>1212480</v>
      </c>
      <c r="C1260" s="69">
        <v>4615421469</v>
      </c>
      <c r="D1260" s="70">
        <v>19175</v>
      </c>
      <c r="E1260" s="79"/>
      <c r="F1260" s="73">
        <v>10</v>
      </c>
      <c r="G1260" s="73">
        <v>5</v>
      </c>
      <c r="H1260" s="68">
        <v>0</v>
      </c>
      <c r="I1260" s="68">
        <v>0</v>
      </c>
      <c r="J1260" s="71">
        <v>42734</v>
      </c>
      <c r="K1260" s="71">
        <v>43159</v>
      </c>
      <c r="L1260" s="69" t="s">
        <v>137</v>
      </c>
      <c r="M1260" s="69" t="s">
        <v>109</v>
      </c>
      <c r="N1260" s="72">
        <v>42795</v>
      </c>
      <c r="O1260" s="67"/>
      <c r="P1260" s="67" t="s">
        <v>95</v>
      </c>
      <c r="Q1260" s="67" t="s">
        <v>129</v>
      </c>
      <c r="R1260" s="69" t="s">
        <v>69</v>
      </c>
      <c r="S1260" s="69" t="s">
        <v>138</v>
      </c>
      <c r="T1260" s="67"/>
      <c r="U1260" s="67"/>
      <c r="V1260" s="72">
        <v>42794</v>
      </c>
      <c r="W1260" s="69">
        <v>415570132</v>
      </c>
      <c r="X1260" s="78"/>
      <c r="Y1260" s="123"/>
      <c r="Z1260" s="30">
        <f t="shared" si="38"/>
        <v>4227.3638773950279</v>
      </c>
      <c r="AA1260" s="30">
        <f t="shared" si="39"/>
        <v>2113.6819386975139</v>
      </c>
      <c r="AB1260" t="s">
        <v>456</v>
      </c>
    </row>
    <row r="1261" spans="1:28">
      <c r="A1261" s="67" t="s">
        <v>122</v>
      </c>
      <c r="B1261" s="68">
        <v>1205999</v>
      </c>
      <c r="C1261" s="69">
        <v>4615410094</v>
      </c>
      <c r="D1261" s="70">
        <v>19200</v>
      </c>
      <c r="E1261" s="79"/>
      <c r="F1261" s="68">
        <v>16</v>
      </c>
      <c r="G1261" s="68" t="s">
        <v>114</v>
      </c>
      <c r="H1261" s="68">
        <v>0</v>
      </c>
      <c r="I1261" s="68">
        <v>0</v>
      </c>
      <c r="J1261" s="71">
        <v>42719</v>
      </c>
      <c r="K1261" s="71">
        <v>43159</v>
      </c>
      <c r="L1261" s="69" t="s">
        <v>119</v>
      </c>
      <c r="M1261" s="69" t="s">
        <v>109</v>
      </c>
      <c r="N1261" s="72">
        <v>42795</v>
      </c>
      <c r="O1261" s="67"/>
      <c r="P1261" s="67" t="s">
        <v>95</v>
      </c>
      <c r="Q1261" s="67" t="s">
        <v>120</v>
      </c>
      <c r="R1261" s="69" t="s">
        <v>69</v>
      </c>
      <c r="S1261" s="69" t="s">
        <v>123</v>
      </c>
      <c r="T1261" s="67"/>
      <c r="U1261" s="67"/>
      <c r="V1261" s="72">
        <v>42766</v>
      </c>
      <c r="W1261" s="69">
        <v>2025660</v>
      </c>
      <c r="X1261" s="69"/>
      <c r="Y1261" s="123"/>
      <c r="Z1261" s="30">
        <f t="shared" si="38"/>
        <v>6772.6006943194379</v>
      </c>
      <c r="AA1261" s="30">
        <f t="shared" si="39"/>
        <v>0</v>
      </c>
      <c r="AB1261" t="s">
        <v>456</v>
      </c>
    </row>
    <row r="1262" spans="1:28">
      <c r="A1262" s="67" t="s">
        <v>113</v>
      </c>
      <c r="B1262" s="68">
        <v>1210293</v>
      </c>
      <c r="C1262" s="69">
        <v>4615411752</v>
      </c>
      <c r="D1262" s="70">
        <v>19175</v>
      </c>
      <c r="E1262" s="79"/>
      <c r="F1262" s="68">
        <v>16</v>
      </c>
      <c r="G1262" s="68" t="s">
        <v>114</v>
      </c>
      <c r="H1262" s="68">
        <v>0</v>
      </c>
      <c r="I1262" s="68">
        <v>0</v>
      </c>
      <c r="J1262" s="71">
        <v>42732</v>
      </c>
      <c r="K1262" s="71">
        <v>43159</v>
      </c>
      <c r="L1262" s="69" t="s">
        <v>119</v>
      </c>
      <c r="M1262" s="69" t="s">
        <v>109</v>
      </c>
      <c r="N1262" s="72">
        <v>42795</v>
      </c>
      <c r="O1262" s="67"/>
      <c r="P1262" s="67" t="s">
        <v>95</v>
      </c>
      <c r="Q1262" s="67" t="s">
        <v>110</v>
      </c>
      <c r="R1262" s="69" t="s">
        <v>69</v>
      </c>
      <c r="S1262" s="69" t="s">
        <v>115</v>
      </c>
      <c r="T1262" s="67"/>
      <c r="U1262" s="67"/>
      <c r="V1262" s="72">
        <v>42766</v>
      </c>
      <c r="W1262" s="69" t="s">
        <v>209</v>
      </c>
      <c r="X1262" s="69" t="s">
        <v>239</v>
      </c>
      <c r="Y1262" s="123"/>
      <c r="Z1262" s="30">
        <f t="shared" si="38"/>
        <v>6763.7822038320437</v>
      </c>
      <c r="AA1262" s="30">
        <f t="shared" si="39"/>
        <v>0</v>
      </c>
      <c r="AB1262" t="s">
        <v>456</v>
      </c>
    </row>
    <row r="1263" spans="1:28">
      <c r="A1263" s="67" t="s">
        <v>113</v>
      </c>
      <c r="B1263" s="68">
        <v>1204881</v>
      </c>
      <c r="C1263" s="69">
        <v>4615407198</v>
      </c>
      <c r="D1263" s="70">
        <v>19175</v>
      </c>
      <c r="E1263" s="79"/>
      <c r="F1263" s="68">
        <v>16</v>
      </c>
      <c r="G1263" s="68" t="s">
        <v>114</v>
      </c>
      <c r="H1263" s="68">
        <v>0</v>
      </c>
      <c r="I1263" s="68">
        <v>0</v>
      </c>
      <c r="J1263" s="71">
        <v>42710</v>
      </c>
      <c r="K1263" s="71">
        <v>43159</v>
      </c>
      <c r="L1263" s="69" t="s">
        <v>119</v>
      </c>
      <c r="M1263" s="69" t="s">
        <v>109</v>
      </c>
      <c r="N1263" s="72">
        <v>42795</v>
      </c>
      <c r="O1263" s="67"/>
      <c r="P1263" s="67" t="s">
        <v>95</v>
      </c>
      <c r="Q1263" s="67" t="s">
        <v>110</v>
      </c>
      <c r="R1263" s="69" t="s">
        <v>69</v>
      </c>
      <c r="S1263" s="69" t="s">
        <v>115</v>
      </c>
      <c r="T1263" s="67"/>
      <c r="U1263" s="67"/>
      <c r="V1263" s="72">
        <v>42735</v>
      </c>
      <c r="W1263" s="69" t="s">
        <v>174</v>
      </c>
      <c r="X1263" s="69" t="s">
        <v>244</v>
      </c>
      <c r="Y1263" s="123"/>
      <c r="Z1263" s="30">
        <f t="shared" si="38"/>
        <v>6763.7822038320437</v>
      </c>
      <c r="AA1263" s="30">
        <f t="shared" si="39"/>
        <v>0</v>
      </c>
      <c r="AB1263" t="s">
        <v>456</v>
      </c>
    </row>
    <row r="1264" spans="1:28">
      <c r="A1264" s="67" t="s">
        <v>68</v>
      </c>
      <c r="B1264" s="68" t="s">
        <v>161</v>
      </c>
      <c r="C1264" s="69" t="s">
        <v>161</v>
      </c>
      <c r="D1264" s="70">
        <v>19175</v>
      </c>
      <c r="E1264" s="79"/>
      <c r="F1264" s="68">
        <v>16</v>
      </c>
      <c r="G1264" s="68" t="s">
        <v>114</v>
      </c>
      <c r="H1264" s="68">
        <v>0</v>
      </c>
      <c r="I1264" s="68">
        <v>0</v>
      </c>
      <c r="J1264" s="71"/>
      <c r="K1264" s="71">
        <v>43159</v>
      </c>
      <c r="L1264" s="69" t="s">
        <v>80</v>
      </c>
      <c r="M1264" s="69" t="s">
        <v>109</v>
      </c>
      <c r="N1264" s="72">
        <v>42794</v>
      </c>
      <c r="O1264" s="67"/>
      <c r="P1264" s="67" t="s">
        <v>95</v>
      </c>
      <c r="Q1264" s="67" t="s">
        <v>125</v>
      </c>
      <c r="R1264" s="69" t="s">
        <v>69</v>
      </c>
      <c r="S1264" s="69" t="s">
        <v>68</v>
      </c>
      <c r="T1264" s="67"/>
      <c r="U1264" s="67"/>
      <c r="V1264" s="72">
        <v>42766</v>
      </c>
      <c r="W1264" s="69">
        <v>5114717</v>
      </c>
      <c r="X1264" s="69" t="s">
        <v>229</v>
      </c>
      <c r="Y1264" s="123"/>
      <c r="Z1264" s="30">
        <f t="shared" si="38"/>
        <v>6763.7822038320437</v>
      </c>
      <c r="AA1264" s="30">
        <f t="shared" si="39"/>
        <v>0</v>
      </c>
      <c r="AB1264" t="s">
        <v>456</v>
      </c>
    </row>
    <row r="1265" spans="1:28">
      <c r="A1265" s="67" t="s">
        <v>68</v>
      </c>
      <c r="B1265" s="68" t="s">
        <v>161</v>
      </c>
      <c r="C1265" s="69" t="s">
        <v>161</v>
      </c>
      <c r="D1265" s="70">
        <v>19175</v>
      </c>
      <c r="E1265" s="79"/>
      <c r="F1265" s="68">
        <v>16</v>
      </c>
      <c r="G1265" s="68" t="s">
        <v>114</v>
      </c>
      <c r="H1265" s="68">
        <v>0</v>
      </c>
      <c r="I1265" s="68">
        <v>0</v>
      </c>
      <c r="J1265" s="71"/>
      <c r="K1265" s="71">
        <v>43159</v>
      </c>
      <c r="L1265" s="69" t="s">
        <v>80</v>
      </c>
      <c r="M1265" s="69" t="s">
        <v>109</v>
      </c>
      <c r="N1265" s="72">
        <v>42794</v>
      </c>
      <c r="O1265" s="67"/>
      <c r="P1265" s="67" t="s">
        <v>95</v>
      </c>
      <c r="Q1265" s="67" t="s">
        <v>125</v>
      </c>
      <c r="R1265" s="69" t="s">
        <v>69</v>
      </c>
      <c r="S1265" s="69" t="s">
        <v>68</v>
      </c>
      <c r="T1265" s="67"/>
      <c r="U1265" s="67"/>
      <c r="V1265" s="72">
        <v>42766</v>
      </c>
      <c r="W1265" s="69">
        <v>5114717</v>
      </c>
      <c r="X1265" s="69" t="s">
        <v>229</v>
      </c>
      <c r="Y1265" s="123"/>
      <c r="Z1265" s="30">
        <f t="shared" si="38"/>
        <v>6763.7822038320437</v>
      </c>
      <c r="AA1265" s="30">
        <f t="shared" si="39"/>
        <v>0</v>
      </c>
      <c r="AB1265" t="s">
        <v>456</v>
      </c>
    </row>
    <row r="1266" spans="1:28">
      <c r="A1266" s="67" t="s">
        <v>113</v>
      </c>
      <c r="B1266" s="68">
        <v>1210286</v>
      </c>
      <c r="C1266" s="69">
        <v>4615411752</v>
      </c>
      <c r="D1266" s="70">
        <v>19175</v>
      </c>
      <c r="E1266" s="79"/>
      <c r="F1266" s="68">
        <v>16</v>
      </c>
      <c r="G1266" s="68" t="s">
        <v>114</v>
      </c>
      <c r="H1266" s="68">
        <v>0</v>
      </c>
      <c r="I1266" s="68">
        <v>0</v>
      </c>
      <c r="J1266" s="71">
        <v>42732</v>
      </c>
      <c r="K1266" s="71">
        <v>43159</v>
      </c>
      <c r="L1266" s="69" t="s">
        <v>119</v>
      </c>
      <c r="M1266" s="69" t="s">
        <v>109</v>
      </c>
      <c r="N1266" s="72">
        <v>42794</v>
      </c>
      <c r="O1266" s="67"/>
      <c r="P1266" s="67" t="s">
        <v>95</v>
      </c>
      <c r="Q1266" s="67" t="s">
        <v>110</v>
      </c>
      <c r="R1266" s="69" t="s">
        <v>69</v>
      </c>
      <c r="S1266" s="69" t="s">
        <v>115</v>
      </c>
      <c r="T1266" s="67"/>
      <c r="U1266" s="67"/>
      <c r="V1266" s="72">
        <v>42766</v>
      </c>
      <c r="W1266" s="69" t="s">
        <v>209</v>
      </c>
      <c r="X1266" s="69" t="s">
        <v>239</v>
      </c>
      <c r="Y1266" s="123"/>
      <c r="Z1266" s="30">
        <f t="shared" si="38"/>
        <v>6763.7822038320437</v>
      </c>
      <c r="AA1266" s="30">
        <f t="shared" si="39"/>
        <v>0</v>
      </c>
      <c r="AB1266" t="s">
        <v>456</v>
      </c>
    </row>
    <row r="1267" spans="1:28">
      <c r="A1267" s="67" t="s">
        <v>68</v>
      </c>
      <c r="B1267" s="68">
        <v>1205093</v>
      </c>
      <c r="C1267" s="69">
        <v>4615394107</v>
      </c>
      <c r="D1267" s="70">
        <v>19175</v>
      </c>
      <c r="E1267" s="79"/>
      <c r="F1267" s="68">
        <v>16</v>
      </c>
      <c r="G1267" s="68">
        <v>5</v>
      </c>
      <c r="H1267" s="68">
        <v>0</v>
      </c>
      <c r="I1267" s="68">
        <v>0</v>
      </c>
      <c r="J1267" s="71">
        <v>42705</v>
      </c>
      <c r="K1267" s="71">
        <v>43154</v>
      </c>
      <c r="L1267" s="69" t="s">
        <v>119</v>
      </c>
      <c r="M1267" s="69" t="s">
        <v>109</v>
      </c>
      <c r="N1267" s="72">
        <v>42794</v>
      </c>
      <c r="O1267" s="67"/>
      <c r="P1267" s="67" t="s">
        <v>95</v>
      </c>
      <c r="Q1267" s="67" t="s">
        <v>125</v>
      </c>
      <c r="R1267" s="69" t="s">
        <v>69</v>
      </c>
      <c r="S1267" s="69" t="s">
        <v>68</v>
      </c>
      <c r="T1267" s="67"/>
      <c r="U1267" s="67"/>
      <c r="V1267" s="72">
        <v>42735</v>
      </c>
      <c r="W1267" s="69">
        <v>5114729</v>
      </c>
      <c r="X1267" s="69"/>
      <c r="Y1267" s="123"/>
      <c r="Z1267" s="30">
        <f t="shared" si="38"/>
        <v>6763.7822038320437</v>
      </c>
      <c r="AA1267" s="30">
        <f t="shared" si="39"/>
        <v>2113.6819386975139</v>
      </c>
      <c r="AB1267" t="s">
        <v>456</v>
      </c>
    </row>
    <row r="1268" spans="1:28">
      <c r="A1268" s="67" t="s">
        <v>128</v>
      </c>
      <c r="B1268" s="68">
        <v>1215123</v>
      </c>
      <c r="C1268" s="69">
        <v>4615418884</v>
      </c>
      <c r="D1268" s="70">
        <v>19175</v>
      </c>
      <c r="E1268" s="79"/>
      <c r="F1268" s="75">
        <v>154.4</v>
      </c>
      <c r="G1268" s="68" t="s">
        <v>114</v>
      </c>
      <c r="H1268" s="68">
        <v>0</v>
      </c>
      <c r="I1268" s="68">
        <v>0</v>
      </c>
      <c r="J1268" s="71">
        <v>42744</v>
      </c>
      <c r="K1268" s="71">
        <v>43157</v>
      </c>
      <c r="L1268" s="69" t="s">
        <v>108</v>
      </c>
      <c r="M1268" s="69" t="s">
        <v>109</v>
      </c>
      <c r="N1268" s="72">
        <v>42793</v>
      </c>
      <c r="O1268" s="67"/>
      <c r="P1268" s="67" t="s">
        <v>95</v>
      </c>
      <c r="Q1268" s="67" t="s">
        <v>129</v>
      </c>
      <c r="R1268" s="69" t="s">
        <v>69</v>
      </c>
      <c r="S1268" s="69" t="s">
        <v>130</v>
      </c>
      <c r="T1268" s="67"/>
      <c r="U1268" s="67"/>
      <c r="V1268" s="72">
        <v>42794</v>
      </c>
      <c r="W1268" s="69">
        <v>425560001</v>
      </c>
      <c r="X1268" s="69"/>
      <c r="Y1268" s="123"/>
      <c r="Z1268" s="30">
        <f t="shared" si="38"/>
        <v>65270.498266979223</v>
      </c>
      <c r="AA1268" s="30">
        <f t="shared" si="39"/>
        <v>0</v>
      </c>
      <c r="AB1268" t="s">
        <v>456</v>
      </c>
    </row>
    <row r="1269" spans="1:28">
      <c r="A1269" s="67" t="s">
        <v>128</v>
      </c>
      <c r="B1269" s="68">
        <v>1204781</v>
      </c>
      <c r="C1269" s="69">
        <v>4615417859</v>
      </c>
      <c r="D1269" s="70">
        <v>19175</v>
      </c>
      <c r="E1269" s="79"/>
      <c r="F1269" s="68">
        <v>154.4</v>
      </c>
      <c r="G1269" s="68" t="s">
        <v>114</v>
      </c>
      <c r="H1269" s="68">
        <v>0</v>
      </c>
      <c r="I1269" s="68">
        <v>0</v>
      </c>
      <c r="J1269" s="71">
        <v>42711</v>
      </c>
      <c r="K1269" s="71">
        <v>43157</v>
      </c>
      <c r="L1269" s="69" t="s">
        <v>119</v>
      </c>
      <c r="M1269" s="69" t="s">
        <v>109</v>
      </c>
      <c r="N1269" s="72">
        <v>42793</v>
      </c>
      <c r="O1269" s="67"/>
      <c r="P1269" s="67" t="s">
        <v>95</v>
      </c>
      <c r="Q1269" s="67" t="s">
        <v>129</v>
      </c>
      <c r="R1269" s="69" t="s">
        <v>69</v>
      </c>
      <c r="S1269" s="69" t="s">
        <v>130</v>
      </c>
      <c r="T1269" s="67"/>
      <c r="U1269" s="67"/>
      <c r="V1269" s="72">
        <v>42735</v>
      </c>
      <c r="W1269" s="69">
        <v>425560027</v>
      </c>
      <c r="X1269" s="69"/>
      <c r="Y1269" s="123"/>
      <c r="Z1269" s="30">
        <f t="shared" si="38"/>
        <v>65270.498266979223</v>
      </c>
      <c r="AA1269" s="30">
        <f t="shared" si="39"/>
        <v>0</v>
      </c>
      <c r="AB1269" t="s">
        <v>456</v>
      </c>
    </row>
    <row r="1270" spans="1:28">
      <c r="A1270" s="67" t="s">
        <v>136</v>
      </c>
      <c r="B1270" s="68">
        <v>1212464</v>
      </c>
      <c r="C1270" s="69">
        <v>4615465868</v>
      </c>
      <c r="D1270" s="70">
        <v>19200</v>
      </c>
      <c r="E1270" s="79"/>
      <c r="F1270" s="73">
        <v>10</v>
      </c>
      <c r="G1270" s="73">
        <v>0</v>
      </c>
      <c r="H1270" s="68">
        <v>0</v>
      </c>
      <c r="I1270" s="68">
        <v>0</v>
      </c>
      <c r="J1270" s="71">
        <v>42734</v>
      </c>
      <c r="K1270" s="71">
        <v>43157</v>
      </c>
      <c r="L1270" s="69" t="s">
        <v>137</v>
      </c>
      <c r="M1270" s="69" t="s">
        <v>109</v>
      </c>
      <c r="N1270" s="72">
        <v>42793</v>
      </c>
      <c r="O1270" s="67"/>
      <c r="P1270" s="67" t="s">
        <v>95</v>
      </c>
      <c r="Q1270" s="67" t="s">
        <v>129</v>
      </c>
      <c r="R1270" s="69" t="s">
        <v>69</v>
      </c>
      <c r="S1270" s="69" t="s">
        <v>138</v>
      </c>
      <c r="T1270" s="67"/>
      <c r="U1270" s="67"/>
      <c r="V1270" s="72">
        <v>42766</v>
      </c>
      <c r="W1270" s="69">
        <v>415561689</v>
      </c>
      <c r="X1270" s="69"/>
      <c r="Y1270" s="123"/>
      <c r="Z1270" s="30">
        <f t="shared" si="38"/>
        <v>4232.8754339496491</v>
      </c>
      <c r="AA1270" s="30">
        <f t="shared" si="39"/>
        <v>0</v>
      </c>
      <c r="AB1270" t="s">
        <v>456</v>
      </c>
    </row>
    <row r="1271" spans="1:28">
      <c r="A1271" s="67" t="s">
        <v>118</v>
      </c>
      <c r="B1271" s="68">
        <v>1208798</v>
      </c>
      <c r="C1271" s="69">
        <v>4615410587</v>
      </c>
      <c r="D1271" s="70">
        <v>19175</v>
      </c>
      <c r="E1271" s="79"/>
      <c r="F1271" s="73">
        <v>10</v>
      </c>
      <c r="G1271" s="73" t="s">
        <v>114</v>
      </c>
      <c r="H1271" s="68">
        <v>0</v>
      </c>
      <c r="I1271" s="68">
        <v>0</v>
      </c>
      <c r="J1271" s="71">
        <v>42734</v>
      </c>
      <c r="K1271" s="71">
        <v>43179</v>
      </c>
      <c r="L1271" s="69" t="s">
        <v>137</v>
      </c>
      <c r="M1271" s="69" t="s">
        <v>109</v>
      </c>
      <c r="N1271" s="72">
        <v>42793</v>
      </c>
      <c r="O1271" s="67"/>
      <c r="P1271" s="67" t="s">
        <v>95</v>
      </c>
      <c r="Q1271" s="67" t="s">
        <v>120</v>
      </c>
      <c r="R1271" s="69" t="s">
        <v>69</v>
      </c>
      <c r="S1271" s="69" t="s">
        <v>121</v>
      </c>
      <c r="T1271" s="67"/>
      <c r="U1271" s="67"/>
      <c r="V1271" s="72">
        <v>42766</v>
      </c>
      <c r="W1271" s="69">
        <v>2026345</v>
      </c>
      <c r="X1271" s="69"/>
      <c r="Y1271" s="123"/>
      <c r="Z1271" s="30">
        <f t="shared" si="38"/>
        <v>4227.3638773950279</v>
      </c>
      <c r="AA1271" s="30">
        <f t="shared" si="39"/>
        <v>0</v>
      </c>
      <c r="AB1271" t="s">
        <v>456</v>
      </c>
    </row>
    <row r="1272" spans="1:28">
      <c r="A1272" s="67" t="s">
        <v>118</v>
      </c>
      <c r="B1272" s="68">
        <v>1208799</v>
      </c>
      <c r="C1272" s="69">
        <v>4615410587</v>
      </c>
      <c r="D1272" s="70">
        <v>19175</v>
      </c>
      <c r="E1272" s="79"/>
      <c r="F1272" s="73">
        <v>10</v>
      </c>
      <c r="G1272" s="73" t="s">
        <v>114</v>
      </c>
      <c r="H1272" s="68">
        <v>0</v>
      </c>
      <c r="I1272" s="68">
        <v>0</v>
      </c>
      <c r="J1272" s="71">
        <v>42734</v>
      </c>
      <c r="K1272" s="71">
        <v>43179</v>
      </c>
      <c r="L1272" s="69" t="s">
        <v>137</v>
      </c>
      <c r="M1272" s="69" t="s">
        <v>109</v>
      </c>
      <c r="N1272" s="72">
        <v>42793</v>
      </c>
      <c r="O1272" s="67"/>
      <c r="P1272" s="67" t="s">
        <v>95</v>
      </c>
      <c r="Q1272" s="67" t="s">
        <v>120</v>
      </c>
      <c r="R1272" s="69" t="s">
        <v>69</v>
      </c>
      <c r="S1272" s="69" t="s">
        <v>121</v>
      </c>
      <c r="T1272" s="67"/>
      <c r="U1272" s="67"/>
      <c r="V1272" s="72">
        <v>42766</v>
      </c>
      <c r="W1272" s="69">
        <v>2026345</v>
      </c>
      <c r="X1272" s="69"/>
      <c r="Y1272" s="123"/>
      <c r="Z1272" s="30">
        <f t="shared" si="38"/>
        <v>4227.3638773950279</v>
      </c>
      <c r="AA1272" s="30">
        <f t="shared" si="39"/>
        <v>0</v>
      </c>
      <c r="AB1272" t="s">
        <v>456</v>
      </c>
    </row>
    <row r="1273" spans="1:28">
      <c r="A1273" s="67" t="s">
        <v>122</v>
      </c>
      <c r="B1273" s="68">
        <v>1208510</v>
      </c>
      <c r="C1273" s="69">
        <v>4615416099</v>
      </c>
      <c r="D1273" s="70">
        <v>19200</v>
      </c>
      <c r="E1273" s="79"/>
      <c r="F1273" s="73">
        <v>16</v>
      </c>
      <c r="G1273" s="73">
        <v>5</v>
      </c>
      <c r="H1273" s="68">
        <v>0</v>
      </c>
      <c r="I1273" s="68">
        <v>0</v>
      </c>
      <c r="J1273" s="71">
        <v>42713</v>
      </c>
      <c r="K1273" s="71">
        <v>43179</v>
      </c>
      <c r="L1273" s="69" t="s">
        <v>119</v>
      </c>
      <c r="M1273" s="69" t="s">
        <v>109</v>
      </c>
      <c r="N1273" s="72">
        <v>42793</v>
      </c>
      <c r="O1273" s="67"/>
      <c r="P1273" s="67" t="s">
        <v>95</v>
      </c>
      <c r="Q1273" s="67" t="s">
        <v>120</v>
      </c>
      <c r="R1273" s="69" t="s">
        <v>69</v>
      </c>
      <c r="S1273" s="69" t="s">
        <v>123</v>
      </c>
      <c r="T1273" s="67"/>
      <c r="U1273" s="67"/>
      <c r="V1273" s="72">
        <v>42735</v>
      </c>
      <c r="W1273" s="69">
        <v>2025760</v>
      </c>
      <c r="X1273" s="69" t="s">
        <v>241</v>
      </c>
      <c r="Y1273" s="123"/>
      <c r="Z1273" s="30">
        <f t="shared" si="38"/>
        <v>6772.6006943194379</v>
      </c>
      <c r="AA1273" s="30">
        <f t="shared" si="39"/>
        <v>2116.4377169748245</v>
      </c>
      <c r="AB1273" t="s">
        <v>456</v>
      </c>
    </row>
    <row r="1274" spans="1:28">
      <c r="A1274" s="67" t="s">
        <v>122</v>
      </c>
      <c r="B1274" s="68">
        <v>1208509</v>
      </c>
      <c r="C1274" s="69">
        <v>4615416099</v>
      </c>
      <c r="D1274" s="70">
        <v>19200</v>
      </c>
      <c r="E1274" s="79"/>
      <c r="F1274" s="73">
        <v>16</v>
      </c>
      <c r="G1274" s="73">
        <v>5</v>
      </c>
      <c r="H1274" s="68">
        <v>0</v>
      </c>
      <c r="I1274" s="68">
        <v>0</v>
      </c>
      <c r="J1274" s="71">
        <v>42713</v>
      </c>
      <c r="K1274" s="71">
        <v>43179</v>
      </c>
      <c r="L1274" s="69" t="s">
        <v>119</v>
      </c>
      <c r="M1274" s="69" t="s">
        <v>109</v>
      </c>
      <c r="N1274" s="72">
        <v>42793</v>
      </c>
      <c r="O1274" s="67"/>
      <c r="P1274" s="67" t="s">
        <v>95</v>
      </c>
      <c r="Q1274" s="67" t="s">
        <v>120</v>
      </c>
      <c r="R1274" s="69" t="s">
        <v>69</v>
      </c>
      <c r="S1274" s="69" t="s">
        <v>123</v>
      </c>
      <c r="T1274" s="67"/>
      <c r="U1274" s="67"/>
      <c r="V1274" s="72">
        <v>42735</v>
      </c>
      <c r="W1274" s="69">
        <v>2025760</v>
      </c>
      <c r="X1274" s="69"/>
      <c r="Y1274" s="123"/>
      <c r="Z1274" s="30">
        <f t="shared" si="38"/>
        <v>6772.6006943194379</v>
      </c>
      <c r="AA1274" s="30">
        <f t="shared" si="39"/>
        <v>2116.4377169748245</v>
      </c>
      <c r="AB1274" t="s">
        <v>456</v>
      </c>
    </row>
    <row r="1275" spans="1:28">
      <c r="A1275" s="67" t="s">
        <v>113</v>
      </c>
      <c r="B1275" s="68">
        <v>1207787</v>
      </c>
      <c r="C1275" s="69">
        <v>4615405798</v>
      </c>
      <c r="D1275" s="70">
        <v>19175</v>
      </c>
      <c r="E1275" s="79"/>
      <c r="F1275" s="68">
        <v>16</v>
      </c>
      <c r="G1275" s="68" t="s">
        <v>114</v>
      </c>
      <c r="H1275" s="68">
        <v>0</v>
      </c>
      <c r="I1275" s="68">
        <v>0</v>
      </c>
      <c r="J1275" s="71">
        <v>42737</v>
      </c>
      <c r="K1275" s="71">
        <v>43179</v>
      </c>
      <c r="L1275" s="69" t="s">
        <v>108</v>
      </c>
      <c r="M1275" s="69" t="s">
        <v>109</v>
      </c>
      <c r="N1275" s="72">
        <v>42793</v>
      </c>
      <c r="O1275" s="67"/>
      <c r="P1275" s="67" t="s">
        <v>95</v>
      </c>
      <c r="Q1275" s="67" t="s">
        <v>110</v>
      </c>
      <c r="R1275" s="69" t="s">
        <v>69</v>
      </c>
      <c r="S1275" s="69" t="s">
        <v>115</v>
      </c>
      <c r="T1275" s="67"/>
      <c r="U1275" s="67"/>
      <c r="V1275" s="72">
        <v>42735</v>
      </c>
      <c r="W1275" s="69" t="s">
        <v>240</v>
      </c>
      <c r="X1275" s="69" t="s">
        <v>241</v>
      </c>
      <c r="Y1275" s="123"/>
      <c r="Z1275" s="30">
        <f t="shared" si="38"/>
        <v>6763.7822038320437</v>
      </c>
      <c r="AA1275" s="30">
        <f t="shared" si="39"/>
        <v>0</v>
      </c>
      <c r="AB1275" t="s">
        <v>456</v>
      </c>
    </row>
    <row r="1276" spans="1:28">
      <c r="A1276" s="67" t="s">
        <v>122</v>
      </c>
      <c r="B1276" s="68">
        <v>1205998</v>
      </c>
      <c r="C1276" s="69">
        <v>4615410094</v>
      </c>
      <c r="D1276" s="70">
        <v>19200</v>
      </c>
      <c r="E1276" s="79"/>
      <c r="F1276" s="68">
        <v>16</v>
      </c>
      <c r="G1276" s="68" t="s">
        <v>114</v>
      </c>
      <c r="H1276" s="68">
        <v>0</v>
      </c>
      <c r="I1276" s="68">
        <v>0</v>
      </c>
      <c r="J1276" s="71">
        <v>42719</v>
      </c>
      <c r="K1276" s="71">
        <v>43179</v>
      </c>
      <c r="L1276" s="69" t="s">
        <v>119</v>
      </c>
      <c r="M1276" s="69" t="s">
        <v>109</v>
      </c>
      <c r="N1276" s="72">
        <v>42793</v>
      </c>
      <c r="O1276" s="67"/>
      <c r="P1276" s="67" t="s">
        <v>95</v>
      </c>
      <c r="Q1276" s="67" t="s">
        <v>120</v>
      </c>
      <c r="R1276" s="69" t="s">
        <v>69</v>
      </c>
      <c r="S1276" s="69" t="s">
        <v>123</v>
      </c>
      <c r="T1276" s="67"/>
      <c r="U1276" s="67"/>
      <c r="V1276" s="72">
        <v>42766</v>
      </c>
      <c r="W1276" s="69">
        <v>2025660</v>
      </c>
      <c r="X1276" s="69"/>
      <c r="Y1276" s="123"/>
      <c r="Z1276" s="30">
        <f t="shared" si="38"/>
        <v>6772.6006943194379</v>
      </c>
      <c r="AA1276" s="30">
        <f t="shared" si="39"/>
        <v>0</v>
      </c>
      <c r="AB1276" t="s">
        <v>456</v>
      </c>
    </row>
    <row r="1277" spans="1:28">
      <c r="A1277" s="67" t="s">
        <v>122</v>
      </c>
      <c r="B1277" s="68">
        <v>1205997</v>
      </c>
      <c r="C1277" s="69">
        <v>4615410094</v>
      </c>
      <c r="D1277" s="70">
        <v>19200</v>
      </c>
      <c r="E1277" s="79"/>
      <c r="F1277" s="68">
        <v>16</v>
      </c>
      <c r="G1277" s="68" t="s">
        <v>114</v>
      </c>
      <c r="H1277" s="68">
        <v>0</v>
      </c>
      <c r="I1277" s="68">
        <v>0</v>
      </c>
      <c r="J1277" s="71"/>
      <c r="K1277" s="71">
        <v>43179</v>
      </c>
      <c r="L1277" s="69" t="s">
        <v>80</v>
      </c>
      <c r="M1277" s="69" t="s">
        <v>109</v>
      </c>
      <c r="N1277" s="72">
        <v>42793</v>
      </c>
      <c r="O1277" s="67"/>
      <c r="P1277" s="67" t="s">
        <v>95</v>
      </c>
      <c r="Q1277" s="67" t="s">
        <v>120</v>
      </c>
      <c r="R1277" s="69" t="s">
        <v>69</v>
      </c>
      <c r="S1277" s="69" t="s">
        <v>123</v>
      </c>
      <c r="T1277" s="67"/>
      <c r="U1277" s="67"/>
      <c r="V1277" s="72">
        <v>42766</v>
      </c>
      <c r="W1277" s="69">
        <v>2025660</v>
      </c>
      <c r="X1277" s="69"/>
      <c r="Y1277" s="123"/>
      <c r="Z1277" s="30">
        <f t="shared" si="38"/>
        <v>6772.6006943194379</v>
      </c>
      <c r="AA1277" s="30">
        <f t="shared" si="39"/>
        <v>0</v>
      </c>
      <c r="AB1277" t="s">
        <v>456</v>
      </c>
    </row>
    <row r="1278" spans="1:28">
      <c r="A1278" s="67" t="s">
        <v>122</v>
      </c>
      <c r="B1278" s="68">
        <v>1205996</v>
      </c>
      <c r="C1278" s="69">
        <v>4615410094</v>
      </c>
      <c r="D1278" s="70">
        <v>19200</v>
      </c>
      <c r="E1278" s="79"/>
      <c r="F1278" s="68">
        <v>16</v>
      </c>
      <c r="G1278" s="68" t="s">
        <v>114</v>
      </c>
      <c r="H1278" s="68">
        <v>0</v>
      </c>
      <c r="I1278" s="68">
        <v>0</v>
      </c>
      <c r="J1278" s="71">
        <v>42719</v>
      </c>
      <c r="K1278" s="71">
        <v>43196</v>
      </c>
      <c r="L1278" s="69" t="s">
        <v>119</v>
      </c>
      <c r="M1278" s="69" t="s">
        <v>109</v>
      </c>
      <c r="N1278" s="72">
        <v>42793</v>
      </c>
      <c r="O1278" s="67"/>
      <c r="P1278" s="67" t="s">
        <v>95</v>
      </c>
      <c r="Q1278" s="67" t="s">
        <v>120</v>
      </c>
      <c r="R1278" s="69" t="s">
        <v>69</v>
      </c>
      <c r="S1278" s="69" t="s">
        <v>123</v>
      </c>
      <c r="T1278" s="67"/>
      <c r="U1278" s="67"/>
      <c r="V1278" s="72">
        <v>42766</v>
      </c>
      <c r="W1278" s="69">
        <v>2025660</v>
      </c>
      <c r="X1278" s="69"/>
      <c r="Y1278" s="123"/>
      <c r="Z1278" s="30">
        <f t="shared" si="38"/>
        <v>6772.6006943194379</v>
      </c>
      <c r="AA1278" s="30">
        <f t="shared" si="39"/>
        <v>0</v>
      </c>
      <c r="AB1278" t="s">
        <v>456</v>
      </c>
    </row>
    <row r="1279" spans="1:28">
      <c r="A1279" s="67" t="s">
        <v>122</v>
      </c>
      <c r="B1279" s="68">
        <v>1205995</v>
      </c>
      <c r="C1279" s="69">
        <v>4615410094</v>
      </c>
      <c r="D1279" s="70">
        <v>19200</v>
      </c>
      <c r="E1279" s="79"/>
      <c r="F1279" s="68">
        <v>16</v>
      </c>
      <c r="G1279" s="68" t="s">
        <v>114</v>
      </c>
      <c r="H1279" s="68">
        <v>0</v>
      </c>
      <c r="I1279" s="68">
        <v>0</v>
      </c>
      <c r="J1279" s="71">
        <v>42391</v>
      </c>
      <c r="K1279" s="71">
        <v>43177</v>
      </c>
      <c r="L1279" s="69" t="s">
        <v>119</v>
      </c>
      <c r="M1279" s="69" t="s">
        <v>109</v>
      </c>
      <c r="N1279" s="72">
        <v>42793</v>
      </c>
      <c r="O1279" s="67"/>
      <c r="P1279" s="67" t="s">
        <v>95</v>
      </c>
      <c r="Q1279" s="67" t="s">
        <v>120</v>
      </c>
      <c r="R1279" s="69" t="s">
        <v>69</v>
      </c>
      <c r="S1279" s="69" t="s">
        <v>123</v>
      </c>
      <c r="T1279" s="67"/>
      <c r="U1279" s="67"/>
      <c r="V1279" s="72">
        <v>42766</v>
      </c>
      <c r="W1279" s="69">
        <v>2025660</v>
      </c>
      <c r="X1279" s="69"/>
      <c r="Y1279" s="123"/>
      <c r="Z1279" s="30">
        <f t="shared" si="38"/>
        <v>6772.6006943194379</v>
      </c>
      <c r="AA1279" s="30">
        <f t="shared" si="39"/>
        <v>0</v>
      </c>
      <c r="AB1279" t="s">
        <v>456</v>
      </c>
    </row>
    <row r="1280" spans="1:28">
      <c r="A1280" s="67" t="s">
        <v>122</v>
      </c>
      <c r="B1280" s="68">
        <v>1190691</v>
      </c>
      <c r="C1280" s="69">
        <v>4615438853</v>
      </c>
      <c r="D1280" s="70">
        <v>19200</v>
      </c>
      <c r="E1280" s="79"/>
      <c r="F1280" s="68">
        <v>16</v>
      </c>
      <c r="G1280" s="68">
        <v>5</v>
      </c>
      <c r="H1280" s="68">
        <v>0</v>
      </c>
      <c r="I1280" s="68">
        <v>0</v>
      </c>
      <c r="J1280" s="71"/>
      <c r="K1280" s="71">
        <v>43212</v>
      </c>
      <c r="L1280" s="69" t="s">
        <v>80</v>
      </c>
      <c r="M1280" s="69" t="s">
        <v>109</v>
      </c>
      <c r="N1280" s="72">
        <v>42793</v>
      </c>
      <c r="O1280" s="67"/>
      <c r="P1280" s="67" t="s">
        <v>95</v>
      </c>
      <c r="Q1280" s="67" t="s">
        <v>120</v>
      </c>
      <c r="R1280" s="69" t="s">
        <v>69</v>
      </c>
      <c r="S1280" s="69" t="s">
        <v>123</v>
      </c>
      <c r="T1280" s="67"/>
      <c r="U1280" s="67"/>
      <c r="V1280" s="72">
        <v>42674</v>
      </c>
      <c r="W1280" s="69">
        <v>2018456</v>
      </c>
      <c r="X1280" s="69" t="s">
        <v>254</v>
      </c>
      <c r="Y1280" s="123"/>
      <c r="Z1280" s="30">
        <f t="shared" si="38"/>
        <v>6772.6006943194379</v>
      </c>
      <c r="AA1280" s="30">
        <f t="shared" si="39"/>
        <v>2116.4377169748245</v>
      </c>
      <c r="AB1280" t="s">
        <v>456</v>
      </c>
    </row>
    <row r="1281" spans="1:28">
      <c r="A1281" s="67" t="s">
        <v>122</v>
      </c>
      <c r="B1281" s="68">
        <v>1189834</v>
      </c>
      <c r="C1281" s="69">
        <v>4615415814</v>
      </c>
      <c r="D1281" s="70">
        <v>19200</v>
      </c>
      <c r="E1281" s="79"/>
      <c r="F1281" s="73">
        <v>16</v>
      </c>
      <c r="G1281" s="73">
        <v>5</v>
      </c>
      <c r="H1281" s="68">
        <v>0</v>
      </c>
      <c r="I1281" s="68">
        <v>0</v>
      </c>
      <c r="J1281" s="71">
        <v>42657</v>
      </c>
      <c r="K1281" s="71">
        <v>43179</v>
      </c>
      <c r="L1281" s="69" t="s">
        <v>119</v>
      </c>
      <c r="M1281" s="69" t="s">
        <v>109</v>
      </c>
      <c r="N1281" s="72">
        <v>42793</v>
      </c>
      <c r="O1281" s="67"/>
      <c r="P1281" s="67" t="s">
        <v>95</v>
      </c>
      <c r="Q1281" s="67" t="s">
        <v>120</v>
      </c>
      <c r="R1281" s="69" t="s">
        <v>69</v>
      </c>
      <c r="S1281" s="69" t="s">
        <v>123</v>
      </c>
      <c r="T1281" s="67"/>
      <c r="U1281" s="67"/>
      <c r="V1281" s="72">
        <v>42704</v>
      </c>
      <c r="W1281" s="69">
        <v>2025759</v>
      </c>
      <c r="X1281" s="69" t="s">
        <v>155</v>
      </c>
      <c r="Y1281" s="123"/>
      <c r="Z1281" s="30">
        <f t="shared" si="38"/>
        <v>6772.6006943194379</v>
      </c>
      <c r="AA1281" s="30">
        <f t="shared" si="39"/>
        <v>2116.4377169748245</v>
      </c>
      <c r="AB1281" t="s">
        <v>456</v>
      </c>
    </row>
    <row r="1282" spans="1:28">
      <c r="A1282" s="67" t="s">
        <v>68</v>
      </c>
      <c r="B1282" s="68">
        <v>1205092</v>
      </c>
      <c r="C1282" s="69">
        <v>4615394107</v>
      </c>
      <c r="D1282" s="70">
        <v>19175</v>
      </c>
      <c r="E1282" s="79"/>
      <c r="F1282" s="68">
        <v>16</v>
      </c>
      <c r="G1282" s="68">
        <v>5</v>
      </c>
      <c r="H1282" s="68">
        <v>0</v>
      </c>
      <c r="I1282" s="68">
        <v>0</v>
      </c>
      <c r="J1282" s="71">
        <v>42705</v>
      </c>
      <c r="K1282" s="71">
        <v>42735</v>
      </c>
      <c r="L1282" s="69" t="s">
        <v>119</v>
      </c>
      <c r="M1282" s="69" t="s">
        <v>109</v>
      </c>
      <c r="N1282" s="72">
        <v>42793</v>
      </c>
      <c r="O1282" s="67"/>
      <c r="P1282" s="67" t="s">
        <v>95</v>
      </c>
      <c r="Q1282" s="67" t="s">
        <v>125</v>
      </c>
      <c r="R1282" s="69" t="s">
        <v>69</v>
      </c>
      <c r="S1282" s="69" t="s">
        <v>68</v>
      </c>
      <c r="T1282" s="67"/>
      <c r="U1282" s="67"/>
      <c r="V1282" s="72">
        <v>42735</v>
      </c>
      <c r="W1282" s="69">
        <v>5114729</v>
      </c>
      <c r="X1282" s="69" t="s">
        <v>255</v>
      </c>
      <c r="Y1282" s="123"/>
      <c r="Z1282" s="30">
        <f t="shared" si="38"/>
        <v>6763.7822038320437</v>
      </c>
      <c r="AA1282" s="30">
        <f t="shared" si="39"/>
        <v>2113.6819386975139</v>
      </c>
      <c r="AB1282" t="s">
        <v>456</v>
      </c>
    </row>
    <row r="1283" spans="1:28">
      <c r="A1283" s="67" t="s">
        <v>68</v>
      </c>
      <c r="B1283" s="68">
        <v>1205096</v>
      </c>
      <c r="C1283" s="69">
        <v>4615394107</v>
      </c>
      <c r="D1283" s="70">
        <v>19175</v>
      </c>
      <c r="E1283" s="79"/>
      <c r="F1283" s="68">
        <v>16</v>
      </c>
      <c r="G1283" s="68">
        <v>5</v>
      </c>
      <c r="H1283" s="68">
        <v>0</v>
      </c>
      <c r="I1283" s="68">
        <v>0</v>
      </c>
      <c r="J1283" s="71">
        <v>42705</v>
      </c>
      <c r="K1283" s="71">
        <v>42735</v>
      </c>
      <c r="L1283" s="69" t="s">
        <v>119</v>
      </c>
      <c r="M1283" s="69" t="s">
        <v>109</v>
      </c>
      <c r="N1283" s="72">
        <v>42793</v>
      </c>
      <c r="O1283" s="67"/>
      <c r="P1283" s="67" t="s">
        <v>95</v>
      </c>
      <c r="Q1283" s="67" t="s">
        <v>125</v>
      </c>
      <c r="R1283" s="69" t="s">
        <v>69</v>
      </c>
      <c r="S1283" s="69" t="s">
        <v>68</v>
      </c>
      <c r="T1283" s="67"/>
      <c r="U1283" s="67"/>
      <c r="V1283" s="72">
        <v>42735</v>
      </c>
      <c r="W1283" s="69">
        <v>5114729</v>
      </c>
      <c r="X1283" s="69"/>
      <c r="Y1283" s="123"/>
      <c r="Z1283" s="30">
        <f t="shared" ref="Z1283:Z1346" si="40">CONVERT(D1283,"kg","lbm")*F1283/100</f>
        <v>6763.7822038320437</v>
      </c>
      <c r="AA1283" s="30">
        <f t="shared" ref="AA1283:AA1346" si="41">CONVERT(D1283,"kg","lbm")*G1283/100</f>
        <v>2113.6819386975139</v>
      </c>
      <c r="AB1283" t="s">
        <v>456</v>
      </c>
    </row>
    <row r="1284" spans="1:28">
      <c r="A1284" s="67" t="s">
        <v>68</v>
      </c>
      <c r="B1284" s="68">
        <v>1205095</v>
      </c>
      <c r="C1284" s="69">
        <v>4615394107</v>
      </c>
      <c r="D1284" s="70">
        <v>19175</v>
      </c>
      <c r="E1284" s="79"/>
      <c r="F1284" s="68">
        <v>16</v>
      </c>
      <c r="G1284" s="68">
        <v>5</v>
      </c>
      <c r="H1284" s="68">
        <v>0</v>
      </c>
      <c r="I1284" s="68">
        <v>0</v>
      </c>
      <c r="J1284" s="71">
        <v>42705</v>
      </c>
      <c r="K1284" s="71">
        <v>42735</v>
      </c>
      <c r="L1284" s="69" t="s">
        <v>119</v>
      </c>
      <c r="M1284" s="69" t="s">
        <v>109</v>
      </c>
      <c r="N1284" s="72">
        <v>42793</v>
      </c>
      <c r="O1284" s="67"/>
      <c r="P1284" s="67" t="s">
        <v>95</v>
      </c>
      <c r="Q1284" s="67" t="s">
        <v>125</v>
      </c>
      <c r="R1284" s="69" t="s">
        <v>69</v>
      </c>
      <c r="S1284" s="69" t="s">
        <v>68</v>
      </c>
      <c r="T1284" s="67"/>
      <c r="U1284" s="67"/>
      <c r="V1284" s="72">
        <v>42735</v>
      </c>
      <c r="W1284" s="69">
        <v>5114729</v>
      </c>
      <c r="X1284" s="69"/>
      <c r="Y1284" s="123"/>
      <c r="Z1284" s="30">
        <f t="shared" si="40"/>
        <v>6763.7822038320437</v>
      </c>
      <c r="AA1284" s="30">
        <f t="shared" si="41"/>
        <v>2113.6819386975139</v>
      </c>
      <c r="AB1284" t="s">
        <v>456</v>
      </c>
    </row>
    <row r="1285" spans="1:28">
      <c r="A1285" s="67" t="s">
        <v>68</v>
      </c>
      <c r="B1285" s="68">
        <v>1205094</v>
      </c>
      <c r="C1285" s="69">
        <v>4615394107</v>
      </c>
      <c r="D1285" s="70">
        <v>19175</v>
      </c>
      <c r="E1285" s="79"/>
      <c r="F1285" s="68">
        <v>16</v>
      </c>
      <c r="G1285" s="68">
        <v>5</v>
      </c>
      <c r="H1285" s="68">
        <v>0</v>
      </c>
      <c r="I1285" s="68">
        <v>0</v>
      </c>
      <c r="J1285" s="71">
        <v>42705</v>
      </c>
      <c r="K1285" s="71">
        <v>42735</v>
      </c>
      <c r="L1285" s="69" t="s">
        <v>119</v>
      </c>
      <c r="M1285" s="69" t="s">
        <v>109</v>
      </c>
      <c r="N1285" s="72">
        <v>42793</v>
      </c>
      <c r="O1285" s="67"/>
      <c r="P1285" s="67" t="s">
        <v>95</v>
      </c>
      <c r="Q1285" s="67" t="s">
        <v>125</v>
      </c>
      <c r="R1285" s="69" t="s">
        <v>69</v>
      </c>
      <c r="S1285" s="69" t="s">
        <v>68</v>
      </c>
      <c r="T1285" s="67"/>
      <c r="U1285" s="67"/>
      <c r="V1285" s="72">
        <v>42735</v>
      </c>
      <c r="W1285" s="69">
        <v>5114729</v>
      </c>
      <c r="X1285" s="69"/>
      <c r="Y1285" s="123"/>
      <c r="Z1285" s="30">
        <f t="shared" si="40"/>
        <v>6763.7822038320437</v>
      </c>
      <c r="AA1285" s="30">
        <f t="shared" si="41"/>
        <v>2113.6819386975139</v>
      </c>
      <c r="AB1285" t="s">
        <v>456</v>
      </c>
    </row>
    <row r="1286" spans="1:28">
      <c r="A1286" s="67" t="s">
        <v>113</v>
      </c>
      <c r="B1286" s="68">
        <v>1204882</v>
      </c>
      <c r="C1286" s="69">
        <v>4615407198</v>
      </c>
      <c r="D1286" s="70">
        <v>19175</v>
      </c>
      <c r="E1286" s="79"/>
      <c r="F1286" s="68">
        <v>16</v>
      </c>
      <c r="G1286" s="68" t="s">
        <v>114</v>
      </c>
      <c r="H1286" s="68">
        <v>0</v>
      </c>
      <c r="I1286" s="68">
        <v>0</v>
      </c>
      <c r="J1286" s="71">
        <v>42710</v>
      </c>
      <c r="K1286" s="71">
        <v>42735</v>
      </c>
      <c r="L1286" s="69" t="s">
        <v>119</v>
      </c>
      <c r="M1286" s="69" t="s">
        <v>109</v>
      </c>
      <c r="N1286" s="72">
        <v>42789</v>
      </c>
      <c r="O1286" s="67"/>
      <c r="P1286" s="67" t="s">
        <v>95</v>
      </c>
      <c r="Q1286" s="67" t="s">
        <v>110</v>
      </c>
      <c r="R1286" s="69" t="s">
        <v>69</v>
      </c>
      <c r="S1286" s="69" t="s">
        <v>115</v>
      </c>
      <c r="T1286" s="67"/>
      <c r="U1286" s="67"/>
      <c r="V1286" s="72">
        <v>42735</v>
      </c>
      <c r="W1286" s="69" t="s">
        <v>174</v>
      </c>
      <c r="X1286" s="69" t="s">
        <v>244</v>
      </c>
      <c r="Y1286" s="123"/>
      <c r="Z1286" s="30">
        <f t="shared" si="40"/>
        <v>6763.7822038320437</v>
      </c>
      <c r="AA1286" s="30">
        <f t="shared" si="41"/>
        <v>0</v>
      </c>
      <c r="AB1286" t="s">
        <v>456</v>
      </c>
    </row>
    <row r="1287" spans="1:28">
      <c r="A1287" s="67" t="s">
        <v>113</v>
      </c>
      <c r="B1287" s="68">
        <v>1204880</v>
      </c>
      <c r="C1287" s="69">
        <v>4615407198</v>
      </c>
      <c r="D1287" s="70">
        <v>19175</v>
      </c>
      <c r="E1287" s="79"/>
      <c r="F1287" s="68">
        <v>16</v>
      </c>
      <c r="G1287" s="68" t="s">
        <v>114</v>
      </c>
      <c r="H1287" s="68">
        <v>0</v>
      </c>
      <c r="I1287" s="68">
        <v>0</v>
      </c>
      <c r="J1287" s="71">
        <v>42710</v>
      </c>
      <c r="K1287" s="71">
        <v>42735</v>
      </c>
      <c r="L1287" s="69" t="s">
        <v>119</v>
      </c>
      <c r="M1287" s="69" t="s">
        <v>109</v>
      </c>
      <c r="N1287" s="72">
        <v>42789</v>
      </c>
      <c r="O1287" s="67"/>
      <c r="P1287" s="67" t="s">
        <v>95</v>
      </c>
      <c r="Q1287" s="67" t="s">
        <v>110</v>
      </c>
      <c r="R1287" s="69" t="s">
        <v>69</v>
      </c>
      <c r="S1287" s="69" t="s">
        <v>115</v>
      </c>
      <c r="T1287" s="67"/>
      <c r="U1287" s="67"/>
      <c r="V1287" s="72">
        <v>42735</v>
      </c>
      <c r="W1287" s="69" t="s">
        <v>174</v>
      </c>
      <c r="X1287" s="69"/>
      <c r="Y1287" s="123"/>
      <c r="Z1287" s="30">
        <f t="shared" si="40"/>
        <v>6763.7822038320437</v>
      </c>
      <c r="AA1287" s="30">
        <f t="shared" si="41"/>
        <v>0</v>
      </c>
      <c r="AB1287" t="s">
        <v>456</v>
      </c>
    </row>
    <row r="1288" spans="1:28">
      <c r="A1288" s="67" t="s">
        <v>113</v>
      </c>
      <c r="B1288" s="68">
        <v>1204873</v>
      </c>
      <c r="C1288" s="69">
        <v>4615407198</v>
      </c>
      <c r="D1288" s="70">
        <v>19175</v>
      </c>
      <c r="E1288" s="79"/>
      <c r="F1288" s="68">
        <v>16</v>
      </c>
      <c r="G1288" s="68" t="s">
        <v>114</v>
      </c>
      <c r="H1288" s="68">
        <v>0</v>
      </c>
      <c r="I1288" s="68">
        <v>0</v>
      </c>
      <c r="J1288" s="71">
        <v>42710</v>
      </c>
      <c r="K1288" s="71">
        <v>42735</v>
      </c>
      <c r="L1288" s="69" t="s">
        <v>119</v>
      </c>
      <c r="M1288" s="69" t="s">
        <v>109</v>
      </c>
      <c r="N1288" s="72">
        <v>42788</v>
      </c>
      <c r="O1288" s="67"/>
      <c r="P1288" s="67" t="s">
        <v>95</v>
      </c>
      <c r="Q1288" s="67" t="s">
        <v>110</v>
      </c>
      <c r="R1288" s="69" t="s">
        <v>69</v>
      </c>
      <c r="S1288" s="69" t="s">
        <v>115</v>
      </c>
      <c r="T1288" s="67"/>
      <c r="U1288" s="67"/>
      <c r="V1288" s="72">
        <v>42735</v>
      </c>
      <c r="W1288" s="69" t="s">
        <v>174</v>
      </c>
      <c r="X1288" s="69" t="s">
        <v>244</v>
      </c>
      <c r="Y1288" s="123"/>
      <c r="Z1288" s="30">
        <f t="shared" si="40"/>
        <v>6763.7822038320437</v>
      </c>
      <c r="AA1288" s="30">
        <f t="shared" si="41"/>
        <v>0</v>
      </c>
      <c r="AB1288" t="s">
        <v>456</v>
      </c>
    </row>
    <row r="1289" spans="1:28">
      <c r="A1289" s="67" t="s">
        <v>113</v>
      </c>
      <c r="B1289" s="68">
        <v>1213042</v>
      </c>
      <c r="C1289" s="69">
        <v>4615406702</v>
      </c>
      <c r="D1289" s="70">
        <v>20700</v>
      </c>
      <c r="E1289" s="79"/>
      <c r="F1289" s="68">
        <v>16</v>
      </c>
      <c r="G1289" s="68" t="s">
        <v>114</v>
      </c>
      <c r="H1289" s="68">
        <v>0</v>
      </c>
      <c r="I1289" s="68">
        <v>0</v>
      </c>
      <c r="J1289" s="71">
        <v>42737</v>
      </c>
      <c r="K1289" s="71">
        <v>42766</v>
      </c>
      <c r="L1289" s="69" t="s">
        <v>108</v>
      </c>
      <c r="M1289" s="69" t="s">
        <v>109</v>
      </c>
      <c r="N1289" s="72">
        <v>42787</v>
      </c>
      <c r="O1289" s="67"/>
      <c r="P1289" s="67" t="s">
        <v>95</v>
      </c>
      <c r="Q1289" s="67" t="s">
        <v>110</v>
      </c>
      <c r="R1289" s="69" t="s">
        <v>69</v>
      </c>
      <c r="S1289" s="69" t="s">
        <v>115</v>
      </c>
      <c r="T1289" s="67"/>
      <c r="U1289" s="67"/>
      <c r="V1289" s="72">
        <v>42766</v>
      </c>
      <c r="W1289" s="69" t="s">
        <v>242</v>
      </c>
      <c r="X1289" s="69" t="s">
        <v>243</v>
      </c>
      <c r="Y1289" s="123"/>
      <c r="Z1289" s="30">
        <f t="shared" si="40"/>
        <v>7301.7101235631453</v>
      </c>
      <c r="AA1289" s="30">
        <f t="shared" si="41"/>
        <v>0</v>
      </c>
      <c r="AB1289" t="s">
        <v>456</v>
      </c>
    </row>
    <row r="1290" spans="1:28">
      <c r="A1290" s="67" t="s">
        <v>122</v>
      </c>
      <c r="B1290" s="68">
        <v>1206000</v>
      </c>
      <c r="C1290" s="69">
        <v>4615410094</v>
      </c>
      <c r="D1290" s="70">
        <v>19200</v>
      </c>
      <c r="E1290" s="79"/>
      <c r="F1290" s="68">
        <v>16</v>
      </c>
      <c r="G1290" s="68" t="s">
        <v>114</v>
      </c>
      <c r="H1290" s="68">
        <v>0</v>
      </c>
      <c r="I1290" s="68">
        <v>0</v>
      </c>
      <c r="J1290" s="71"/>
      <c r="K1290" s="71">
        <v>42766</v>
      </c>
      <c r="L1290" s="69" t="s">
        <v>80</v>
      </c>
      <c r="M1290" s="69" t="s">
        <v>109</v>
      </c>
      <c r="N1290" s="72">
        <v>42787</v>
      </c>
      <c r="O1290" s="67"/>
      <c r="P1290" s="67" t="s">
        <v>95</v>
      </c>
      <c r="Q1290" s="67" t="s">
        <v>120</v>
      </c>
      <c r="R1290" s="69" t="s">
        <v>69</v>
      </c>
      <c r="S1290" s="69" t="s">
        <v>123</v>
      </c>
      <c r="T1290" s="67"/>
      <c r="U1290" s="67"/>
      <c r="V1290" s="72">
        <v>42766</v>
      </c>
      <c r="W1290" s="69">
        <v>2025660</v>
      </c>
      <c r="X1290" s="69"/>
      <c r="Y1290" s="123"/>
      <c r="Z1290" s="30">
        <f t="shared" si="40"/>
        <v>6772.6006943194379</v>
      </c>
      <c r="AA1290" s="30">
        <f t="shared" si="41"/>
        <v>0</v>
      </c>
      <c r="AB1290" t="s">
        <v>456</v>
      </c>
    </row>
    <row r="1291" spans="1:28">
      <c r="A1291" s="67" t="s">
        <v>113</v>
      </c>
      <c r="B1291" s="68">
        <v>1204878</v>
      </c>
      <c r="C1291" s="69">
        <v>4615407198</v>
      </c>
      <c r="D1291" s="70">
        <v>19175</v>
      </c>
      <c r="E1291" s="79"/>
      <c r="F1291" s="68">
        <v>16</v>
      </c>
      <c r="G1291" s="68" t="s">
        <v>114</v>
      </c>
      <c r="H1291" s="68">
        <v>0</v>
      </c>
      <c r="I1291" s="68">
        <v>0</v>
      </c>
      <c r="J1291" s="71">
        <v>42710</v>
      </c>
      <c r="K1291" s="71">
        <v>42735</v>
      </c>
      <c r="L1291" s="69" t="s">
        <v>119</v>
      </c>
      <c r="M1291" s="69" t="s">
        <v>109</v>
      </c>
      <c r="N1291" s="72">
        <v>42787</v>
      </c>
      <c r="O1291" s="67"/>
      <c r="P1291" s="67" t="s">
        <v>95</v>
      </c>
      <c r="Q1291" s="67" t="s">
        <v>110</v>
      </c>
      <c r="R1291" s="69" t="s">
        <v>69</v>
      </c>
      <c r="S1291" s="69" t="s">
        <v>115</v>
      </c>
      <c r="T1291" s="67"/>
      <c r="U1291" s="67"/>
      <c r="V1291" s="72">
        <v>42735</v>
      </c>
      <c r="W1291" s="69" t="s">
        <v>174</v>
      </c>
      <c r="X1291" s="69" t="s">
        <v>244</v>
      </c>
      <c r="Y1291" s="123"/>
      <c r="Z1291" s="30">
        <f t="shared" si="40"/>
        <v>6763.7822038320437</v>
      </c>
      <c r="AA1291" s="30">
        <f t="shared" si="41"/>
        <v>0</v>
      </c>
      <c r="AB1291" t="s">
        <v>456</v>
      </c>
    </row>
    <row r="1292" spans="1:28">
      <c r="A1292" s="67" t="s">
        <v>118</v>
      </c>
      <c r="B1292" s="68">
        <v>1199061</v>
      </c>
      <c r="C1292" s="69">
        <v>4615410303</v>
      </c>
      <c r="D1292" s="70">
        <v>19175</v>
      </c>
      <c r="E1292" s="79"/>
      <c r="F1292" s="73">
        <v>10</v>
      </c>
      <c r="G1292" s="73">
        <v>5</v>
      </c>
      <c r="H1292" s="68">
        <v>0</v>
      </c>
      <c r="I1292" s="68">
        <v>0</v>
      </c>
      <c r="J1292" s="71">
        <v>42692</v>
      </c>
      <c r="K1292" s="71">
        <v>42735</v>
      </c>
      <c r="L1292" s="69" t="s">
        <v>137</v>
      </c>
      <c r="M1292" s="69" t="s">
        <v>109</v>
      </c>
      <c r="N1292" s="72">
        <v>42787</v>
      </c>
      <c r="O1292" s="67"/>
      <c r="P1292" s="67" t="s">
        <v>95</v>
      </c>
      <c r="Q1292" s="67" t="s">
        <v>120</v>
      </c>
      <c r="R1292" s="69" t="s">
        <v>69</v>
      </c>
      <c r="S1292" s="69" t="s">
        <v>121</v>
      </c>
      <c r="T1292" s="67"/>
      <c r="U1292" s="67"/>
      <c r="V1292" s="72">
        <v>42735</v>
      </c>
      <c r="W1292" s="69">
        <v>2026350</v>
      </c>
      <c r="X1292" s="69"/>
      <c r="Y1292" s="123"/>
      <c r="Z1292" s="30">
        <f t="shared" si="40"/>
        <v>4227.3638773950279</v>
      </c>
      <c r="AA1292" s="30">
        <f t="shared" si="41"/>
        <v>2113.6819386975139</v>
      </c>
      <c r="AB1292" t="s">
        <v>456</v>
      </c>
    </row>
    <row r="1293" spans="1:28">
      <c r="A1293" s="67" t="s">
        <v>113</v>
      </c>
      <c r="B1293" s="68">
        <v>1213046</v>
      </c>
      <c r="C1293" s="69">
        <v>4615406702</v>
      </c>
      <c r="D1293" s="70">
        <v>20700</v>
      </c>
      <c r="E1293" s="79"/>
      <c r="F1293" s="68">
        <v>16</v>
      </c>
      <c r="G1293" s="68" t="s">
        <v>114</v>
      </c>
      <c r="H1293" s="68">
        <v>0</v>
      </c>
      <c r="I1293" s="68">
        <v>0</v>
      </c>
      <c r="J1293" s="71">
        <v>42737</v>
      </c>
      <c r="K1293" s="71">
        <v>42766</v>
      </c>
      <c r="L1293" s="69" t="s">
        <v>108</v>
      </c>
      <c r="M1293" s="69" t="s">
        <v>109</v>
      </c>
      <c r="N1293" s="72">
        <v>42786</v>
      </c>
      <c r="O1293" s="67"/>
      <c r="P1293" s="67" t="s">
        <v>95</v>
      </c>
      <c r="Q1293" s="67" t="s">
        <v>110</v>
      </c>
      <c r="R1293" s="69" t="s">
        <v>69</v>
      </c>
      <c r="S1293" s="69" t="s">
        <v>115</v>
      </c>
      <c r="T1293" s="67"/>
      <c r="U1293" s="67"/>
      <c r="V1293" s="72">
        <v>42766</v>
      </c>
      <c r="W1293" s="69" t="s">
        <v>242</v>
      </c>
      <c r="X1293" s="69" t="s">
        <v>243</v>
      </c>
      <c r="Y1293" s="123"/>
      <c r="Z1293" s="30">
        <f t="shared" si="40"/>
        <v>7301.7101235631453</v>
      </c>
      <c r="AA1293" s="30">
        <f t="shared" si="41"/>
        <v>0</v>
      </c>
      <c r="AB1293" t="s">
        <v>456</v>
      </c>
    </row>
    <row r="1294" spans="1:28">
      <c r="A1294" s="67" t="s">
        <v>113</v>
      </c>
      <c r="B1294" s="68">
        <v>1207790</v>
      </c>
      <c r="C1294" s="69">
        <v>4615405798</v>
      </c>
      <c r="D1294" s="70">
        <v>19175</v>
      </c>
      <c r="E1294" s="79"/>
      <c r="F1294" s="68">
        <v>16</v>
      </c>
      <c r="G1294" s="68" t="s">
        <v>114</v>
      </c>
      <c r="H1294" s="68">
        <v>0</v>
      </c>
      <c r="I1294" s="68">
        <v>0</v>
      </c>
      <c r="J1294" s="71">
        <v>42737</v>
      </c>
      <c r="K1294" s="71">
        <v>42735</v>
      </c>
      <c r="L1294" s="69" t="s">
        <v>108</v>
      </c>
      <c r="M1294" s="69" t="s">
        <v>109</v>
      </c>
      <c r="N1294" s="72">
        <v>42786</v>
      </c>
      <c r="O1294" s="67"/>
      <c r="P1294" s="67" t="s">
        <v>95</v>
      </c>
      <c r="Q1294" s="67" t="s">
        <v>110</v>
      </c>
      <c r="R1294" s="69" t="s">
        <v>69</v>
      </c>
      <c r="S1294" s="69" t="s">
        <v>115</v>
      </c>
      <c r="T1294" s="67"/>
      <c r="U1294" s="67"/>
      <c r="V1294" s="72">
        <v>42735</v>
      </c>
      <c r="W1294" s="69" t="s">
        <v>240</v>
      </c>
      <c r="X1294" s="69" t="s">
        <v>241</v>
      </c>
      <c r="Y1294" s="123"/>
      <c r="Z1294" s="30">
        <f t="shared" si="40"/>
        <v>6763.7822038320437</v>
      </c>
      <c r="AA1294" s="30">
        <f t="shared" si="41"/>
        <v>0</v>
      </c>
      <c r="AB1294" t="s">
        <v>456</v>
      </c>
    </row>
    <row r="1295" spans="1:28">
      <c r="A1295" s="67" t="s">
        <v>113</v>
      </c>
      <c r="B1295" s="68">
        <v>1204874</v>
      </c>
      <c r="C1295" s="69">
        <v>4615407198</v>
      </c>
      <c r="D1295" s="70">
        <v>19175</v>
      </c>
      <c r="E1295" s="79"/>
      <c r="F1295" s="68">
        <v>16</v>
      </c>
      <c r="G1295" s="68" t="s">
        <v>114</v>
      </c>
      <c r="H1295" s="68">
        <v>0</v>
      </c>
      <c r="I1295" s="68">
        <v>0</v>
      </c>
      <c r="J1295" s="71">
        <v>42710</v>
      </c>
      <c r="K1295" s="71">
        <v>42735</v>
      </c>
      <c r="L1295" s="69" t="s">
        <v>119</v>
      </c>
      <c r="M1295" s="69" t="s">
        <v>109</v>
      </c>
      <c r="N1295" s="72">
        <v>42786</v>
      </c>
      <c r="O1295" s="67"/>
      <c r="P1295" s="67" t="s">
        <v>95</v>
      </c>
      <c r="Q1295" s="67" t="s">
        <v>110</v>
      </c>
      <c r="R1295" s="69" t="s">
        <v>69</v>
      </c>
      <c r="S1295" s="69" t="s">
        <v>115</v>
      </c>
      <c r="T1295" s="67"/>
      <c r="U1295" s="67"/>
      <c r="V1295" s="72">
        <v>42735</v>
      </c>
      <c r="W1295" s="69" t="s">
        <v>174</v>
      </c>
      <c r="X1295" s="69" t="s">
        <v>244</v>
      </c>
      <c r="Y1295" s="123"/>
      <c r="Z1295" s="30">
        <f t="shared" si="40"/>
        <v>6763.7822038320437</v>
      </c>
      <c r="AA1295" s="30">
        <f t="shared" si="41"/>
        <v>0</v>
      </c>
      <c r="AB1295" t="s">
        <v>456</v>
      </c>
    </row>
    <row r="1296" spans="1:28">
      <c r="A1296" s="67" t="s">
        <v>118</v>
      </c>
      <c r="B1296" s="68">
        <v>1186847</v>
      </c>
      <c r="C1296" s="69">
        <v>4615406792</v>
      </c>
      <c r="D1296" s="70">
        <v>19200</v>
      </c>
      <c r="E1296" s="79"/>
      <c r="F1296" s="68">
        <v>10</v>
      </c>
      <c r="G1296" s="68">
        <v>5</v>
      </c>
      <c r="H1296" s="68">
        <v>0</v>
      </c>
      <c r="I1296" s="68">
        <v>0</v>
      </c>
      <c r="J1296" s="71">
        <v>42663</v>
      </c>
      <c r="K1296" s="71">
        <v>42704</v>
      </c>
      <c r="L1296" s="69" t="s">
        <v>137</v>
      </c>
      <c r="M1296" s="69" t="s">
        <v>109</v>
      </c>
      <c r="N1296" s="72">
        <v>42786</v>
      </c>
      <c r="O1296" s="67"/>
      <c r="P1296" s="67" t="s">
        <v>95</v>
      </c>
      <c r="Q1296" s="67" t="s">
        <v>120</v>
      </c>
      <c r="R1296" s="69" t="s">
        <v>69</v>
      </c>
      <c r="S1296" s="69" t="s">
        <v>121</v>
      </c>
      <c r="T1296" s="67"/>
      <c r="U1296" s="67"/>
      <c r="V1296" s="72">
        <v>42704</v>
      </c>
      <c r="W1296" s="69">
        <v>2025028</v>
      </c>
      <c r="X1296" s="69" t="s">
        <v>256</v>
      </c>
      <c r="Y1296" s="123"/>
      <c r="Z1296" s="30">
        <f t="shared" si="40"/>
        <v>4232.8754339496491</v>
      </c>
      <c r="AA1296" s="30">
        <f t="shared" si="41"/>
        <v>2116.4377169748245</v>
      </c>
      <c r="AB1296" t="s">
        <v>456</v>
      </c>
    </row>
    <row r="1297" spans="1:28">
      <c r="A1297" s="67" t="s">
        <v>113</v>
      </c>
      <c r="B1297" s="68">
        <v>1213039</v>
      </c>
      <c r="C1297" s="69">
        <v>4615406702</v>
      </c>
      <c r="D1297" s="70">
        <v>20700</v>
      </c>
      <c r="E1297" s="79"/>
      <c r="F1297" s="68">
        <v>16</v>
      </c>
      <c r="G1297" s="68" t="s">
        <v>114</v>
      </c>
      <c r="H1297" s="68">
        <v>0</v>
      </c>
      <c r="I1297" s="68">
        <v>0</v>
      </c>
      <c r="J1297" s="71">
        <v>42737</v>
      </c>
      <c r="K1297" s="71">
        <v>42766</v>
      </c>
      <c r="L1297" s="69" t="s">
        <v>108</v>
      </c>
      <c r="M1297" s="69" t="s">
        <v>109</v>
      </c>
      <c r="N1297" s="72">
        <v>42785</v>
      </c>
      <c r="O1297" s="67"/>
      <c r="P1297" s="67" t="s">
        <v>95</v>
      </c>
      <c r="Q1297" s="67" t="s">
        <v>110</v>
      </c>
      <c r="R1297" s="69" t="s">
        <v>69</v>
      </c>
      <c r="S1297" s="69" t="s">
        <v>115</v>
      </c>
      <c r="T1297" s="67"/>
      <c r="U1297" s="67"/>
      <c r="V1297" s="72">
        <v>42766</v>
      </c>
      <c r="W1297" s="69" t="s">
        <v>242</v>
      </c>
      <c r="X1297" s="69" t="s">
        <v>243</v>
      </c>
      <c r="Y1297" s="123"/>
      <c r="Z1297" s="30">
        <f t="shared" si="40"/>
        <v>7301.7101235631453</v>
      </c>
      <c r="AA1297" s="30">
        <f t="shared" si="41"/>
        <v>0</v>
      </c>
      <c r="AB1297" t="s">
        <v>456</v>
      </c>
    </row>
    <row r="1298" spans="1:28">
      <c r="A1298" s="67" t="s">
        <v>122</v>
      </c>
      <c r="B1298" s="68">
        <v>1211000</v>
      </c>
      <c r="C1298" s="69">
        <v>4615393658</v>
      </c>
      <c r="D1298" s="70">
        <v>19200</v>
      </c>
      <c r="E1298" s="79"/>
      <c r="F1298" s="68">
        <v>16</v>
      </c>
      <c r="G1298" s="68">
        <v>5</v>
      </c>
      <c r="H1298" s="68">
        <v>0</v>
      </c>
      <c r="I1298" s="68">
        <v>0</v>
      </c>
      <c r="J1298" s="71">
        <v>42371</v>
      </c>
      <c r="K1298" s="71">
        <v>42766</v>
      </c>
      <c r="L1298" s="69" t="s">
        <v>108</v>
      </c>
      <c r="M1298" s="69" t="s">
        <v>109</v>
      </c>
      <c r="N1298" s="72">
        <v>42785</v>
      </c>
      <c r="O1298" s="67"/>
      <c r="P1298" s="67" t="s">
        <v>95</v>
      </c>
      <c r="Q1298" s="67" t="s">
        <v>120</v>
      </c>
      <c r="R1298" s="69" t="s">
        <v>69</v>
      </c>
      <c r="S1298" s="69" t="s">
        <v>123</v>
      </c>
      <c r="T1298" s="67"/>
      <c r="U1298" s="67"/>
      <c r="V1298" s="72">
        <v>42766</v>
      </c>
      <c r="W1298" s="69">
        <v>2023106</v>
      </c>
      <c r="X1298" s="69"/>
      <c r="Y1298" s="123"/>
      <c r="Z1298" s="30">
        <f t="shared" si="40"/>
        <v>6772.6006943194379</v>
      </c>
      <c r="AA1298" s="30">
        <f t="shared" si="41"/>
        <v>2116.4377169748245</v>
      </c>
      <c r="AB1298" t="s">
        <v>456</v>
      </c>
    </row>
    <row r="1299" spans="1:28">
      <c r="A1299" s="67" t="s">
        <v>113</v>
      </c>
      <c r="B1299" s="68">
        <v>1207784</v>
      </c>
      <c r="C1299" s="69">
        <v>4615405798</v>
      </c>
      <c r="D1299" s="70">
        <v>19175</v>
      </c>
      <c r="E1299" s="79"/>
      <c r="F1299" s="68">
        <v>16</v>
      </c>
      <c r="G1299" s="68" t="s">
        <v>114</v>
      </c>
      <c r="H1299" s="68">
        <v>0</v>
      </c>
      <c r="I1299" s="68">
        <v>0</v>
      </c>
      <c r="J1299" s="71">
        <v>42737</v>
      </c>
      <c r="K1299" s="71">
        <v>42735</v>
      </c>
      <c r="L1299" s="69" t="s">
        <v>108</v>
      </c>
      <c r="M1299" s="69" t="s">
        <v>109</v>
      </c>
      <c r="N1299" s="72">
        <v>42785</v>
      </c>
      <c r="O1299" s="67"/>
      <c r="P1299" s="67" t="s">
        <v>95</v>
      </c>
      <c r="Q1299" s="67" t="s">
        <v>110</v>
      </c>
      <c r="R1299" s="69" t="s">
        <v>69</v>
      </c>
      <c r="S1299" s="69" t="s">
        <v>115</v>
      </c>
      <c r="T1299" s="67"/>
      <c r="U1299" s="67"/>
      <c r="V1299" s="72">
        <v>42735</v>
      </c>
      <c r="W1299" s="69" t="s">
        <v>240</v>
      </c>
      <c r="X1299" s="69" t="s">
        <v>241</v>
      </c>
      <c r="Y1299" s="123"/>
      <c r="Z1299" s="30">
        <f t="shared" si="40"/>
        <v>6763.7822038320437</v>
      </c>
      <c r="AA1299" s="30">
        <f t="shared" si="41"/>
        <v>0</v>
      </c>
      <c r="AB1299" t="s">
        <v>456</v>
      </c>
    </row>
    <row r="1300" spans="1:28">
      <c r="A1300" s="67" t="s">
        <v>113</v>
      </c>
      <c r="B1300" s="68">
        <v>1207785</v>
      </c>
      <c r="C1300" s="69">
        <v>4615405798</v>
      </c>
      <c r="D1300" s="70">
        <v>19175</v>
      </c>
      <c r="E1300" s="79"/>
      <c r="F1300" s="68">
        <v>16</v>
      </c>
      <c r="G1300" s="68" t="s">
        <v>114</v>
      </c>
      <c r="H1300" s="68">
        <v>0</v>
      </c>
      <c r="I1300" s="68">
        <v>0</v>
      </c>
      <c r="J1300" s="71">
        <v>42737</v>
      </c>
      <c r="K1300" s="71">
        <v>42735</v>
      </c>
      <c r="L1300" s="69" t="s">
        <v>108</v>
      </c>
      <c r="M1300" s="69" t="s">
        <v>109</v>
      </c>
      <c r="N1300" s="72">
        <v>42785</v>
      </c>
      <c r="O1300" s="67"/>
      <c r="P1300" s="67" t="s">
        <v>95</v>
      </c>
      <c r="Q1300" s="67" t="s">
        <v>110</v>
      </c>
      <c r="R1300" s="69" t="s">
        <v>69</v>
      </c>
      <c r="S1300" s="69" t="s">
        <v>115</v>
      </c>
      <c r="T1300" s="67"/>
      <c r="U1300" s="67"/>
      <c r="V1300" s="72">
        <v>42735</v>
      </c>
      <c r="W1300" s="69" t="s">
        <v>240</v>
      </c>
      <c r="X1300" s="69" t="s">
        <v>241</v>
      </c>
      <c r="Y1300" s="123"/>
      <c r="Z1300" s="30">
        <f t="shared" si="40"/>
        <v>6763.7822038320437</v>
      </c>
      <c r="AA1300" s="30">
        <f t="shared" si="41"/>
        <v>0</v>
      </c>
      <c r="AB1300" t="s">
        <v>456</v>
      </c>
    </row>
    <row r="1301" spans="1:28">
      <c r="A1301" s="67" t="s">
        <v>113</v>
      </c>
      <c r="B1301" s="68">
        <v>1207788</v>
      </c>
      <c r="C1301" s="69">
        <v>4615405798</v>
      </c>
      <c r="D1301" s="70">
        <v>19175</v>
      </c>
      <c r="E1301" s="79"/>
      <c r="F1301" s="68">
        <v>16</v>
      </c>
      <c r="G1301" s="68" t="s">
        <v>114</v>
      </c>
      <c r="H1301" s="68">
        <v>0</v>
      </c>
      <c r="I1301" s="68">
        <v>0</v>
      </c>
      <c r="J1301" s="71">
        <v>42737</v>
      </c>
      <c r="K1301" s="71">
        <v>42735</v>
      </c>
      <c r="L1301" s="69" t="s">
        <v>108</v>
      </c>
      <c r="M1301" s="69" t="s">
        <v>109</v>
      </c>
      <c r="N1301" s="72">
        <v>42785</v>
      </c>
      <c r="O1301" s="67"/>
      <c r="P1301" s="67" t="s">
        <v>95</v>
      </c>
      <c r="Q1301" s="67" t="s">
        <v>110</v>
      </c>
      <c r="R1301" s="69" t="s">
        <v>69</v>
      </c>
      <c r="S1301" s="69" t="s">
        <v>115</v>
      </c>
      <c r="T1301" s="67"/>
      <c r="U1301" s="67"/>
      <c r="V1301" s="72">
        <v>42735</v>
      </c>
      <c r="W1301" s="69" t="s">
        <v>240</v>
      </c>
      <c r="X1301" s="69" t="s">
        <v>241</v>
      </c>
      <c r="Y1301" s="123"/>
      <c r="Z1301" s="30">
        <f t="shared" si="40"/>
        <v>6763.7822038320437</v>
      </c>
      <c r="AA1301" s="30">
        <f t="shared" si="41"/>
        <v>0</v>
      </c>
      <c r="AB1301" t="s">
        <v>456</v>
      </c>
    </row>
    <row r="1302" spans="1:28">
      <c r="A1302" s="67" t="s">
        <v>113</v>
      </c>
      <c r="B1302" s="68">
        <v>1204877</v>
      </c>
      <c r="C1302" s="69">
        <v>4615407198</v>
      </c>
      <c r="D1302" s="70">
        <v>19175</v>
      </c>
      <c r="E1302" s="79"/>
      <c r="F1302" s="68">
        <v>16</v>
      </c>
      <c r="G1302" s="68" t="s">
        <v>114</v>
      </c>
      <c r="H1302" s="68">
        <v>0</v>
      </c>
      <c r="I1302" s="68">
        <v>0</v>
      </c>
      <c r="J1302" s="71">
        <v>42710</v>
      </c>
      <c r="K1302" s="71">
        <v>42735</v>
      </c>
      <c r="L1302" s="69" t="s">
        <v>119</v>
      </c>
      <c r="M1302" s="69" t="s">
        <v>109</v>
      </c>
      <c r="N1302" s="72">
        <v>42785</v>
      </c>
      <c r="O1302" s="67"/>
      <c r="P1302" s="67" t="s">
        <v>95</v>
      </c>
      <c r="Q1302" s="67" t="s">
        <v>110</v>
      </c>
      <c r="R1302" s="69" t="s">
        <v>69</v>
      </c>
      <c r="S1302" s="69" t="s">
        <v>115</v>
      </c>
      <c r="T1302" s="67"/>
      <c r="U1302" s="67"/>
      <c r="V1302" s="72">
        <v>42735</v>
      </c>
      <c r="W1302" s="69" t="s">
        <v>174</v>
      </c>
      <c r="X1302" s="69" t="s">
        <v>244</v>
      </c>
      <c r="Y1302" s="123"/>
      <c r="Z1302" s="30">
        <f t="shared" si="40"/>
        <v>6763.7822038320437</v>
      </c>
      <c r="AA1302" s="30">
        <f t="shared" si="41"/>
        <v>0</v>
      </c>
      <c r="AB1302" t="s">
        <v>456</v>
      </c>
    </row>
    <row r="1303" spans="1:28">
      <c r="A1303" s="67" t="s">
        <v>122</v>
      </c>
      <c r="B1303" s="68">
        <v>1208504</v>
      </c>
      <c r="C1303" s="69">
        <v>4615416099</v>
      </c>
      <c r="D1303" s="70">
        <v>19200</v>
      </c>
      <c r="E1303" s="79"/>
      <c r="F1303" s="73">
        <v>16</v>
      </c>
      <c r="G1303" s="73">
        <v>5</v>
      </c>
      <c r="H1303" s="68">
        <v>0</v>
      </c>
      <c r="I1303" s="68">
        <v>0</v>
      </c>
      <c r="J1303" s="71">
        <v>42713</v>
      </c>
      <c r="K1303" s="71">
        <v>42735</v>
      </c>
      <c r="L1303" s="69" t="s">
        <v>119</v>
      </c>
      <c r="M1303" s="69" t="s">
        <v>109</v>
      </c>
      <c r="N1303" s="72">
        <v>42785</v>
      </c>
      <c r="O1303" s="67"/>
      <c r="P1303" s="67" t="s">
        <v>95</v>
      </c>
      <c r="Q1303" s="67" t="s">
        <v>120</v>
      </c>
      <c r="R1303" s="69" t="s">
        <v>69</v>
      </c>
      <c r="S1303" s="69" t="s">
        <v>123</v>
      </c>
      <c r="T1303" s="67"/>
      <c r="U1303" s="67"/>
      <c r="V1303" s="72">
        <v>42735</v>
      </c>
      <c r="W1303" s="69">
        <v>2025760</v>
      </c>
      <c r="X1303" s="69"/>
      <c r="Y1303" s="123"/>
      <c r="Z1303" s="30">
        <f t="shared" si="40"/>
        <v>6772.6006943194379</v>
      </c>
      <c r="AA1303" s="30">
        <f t="shared" si="41"/>
        <v>2116.4377169748245</v>
      </c>
      <c r="AB1303" t="s">
        <v>456</v>
      </c>
    </row>
    <row r="1304" spans="1:28">
      <c r="A1304" s="67" t="s">
        <v>122</v>
      </c>
      <c r="B1304" s="68">
        <v>1204399</v>
      </c>
      <c r="C1304" s="69">
        <v>4615410094</v>
      </c>
      <c r="D1304" s="70">
        <v>19200</v>
      </c>
      <c r="E1304" s="79"/>
      <c r="F1304" s="68">
        <v>16</v>
      </c>
      <c r="G1304" s="68" t="s">
        <v>114</v>
      </c>
      <c r="H1304" s="68">
        <v>0</v>
      </c>
      <c r="I1304" s="68">
        <v>0</v>
      </c>
      <c r="J1304" s="71">
        <v>42706</v>
      </c>
      <c r="K1304" s="71">
        <v>42766</v>
      </c>
      <c r="L1304" s="69" t="s">
        <v>119</v>
      </c>
      <c r="M1304" s="69" t="s">
        <v>109</v>
      </c>
      <c r="N1304" s="72">
        <v>42785</v>
      </c>
      <c r="O1304" s="67"/>
      <c r="P1304" s="67" t="s">
        <v>95</v>
      </c>
      <c r="Q1304" s="67" t="s">
        <v>120</v>
      </c>
      <c r="R1304" s="69" t="s">
        <v>69</v>
      </c>
      <c r="S1304" s="69" t="s">
        <v>123</v>
      </c>
      <c r="T1304" s="67"/>
      <c r="U1304" s="67"/>
      <c r="V1304" s="72">
        <v>42766</v>
      </c>
      <c r="W1304" s="69">
        <v>2025660</v>
      </c>
      <c r="X1304" s="69"/>
      <c r="Y1304" s="123"/>
      <c r="Z1304" s="30">
        <f t="shared" si="40"/>
        <v>6772.6006943194379</v>
      </c>
      <c r="AA1304" s="30">
        <f t="shared" si="41"/>
        <v>0</v>
      </c>
      <c r="AB1304" t="s">
        <v>456</v>
      </c>
    </row>
    <row r="1305" spans="1:28">
      <c r="A1305" s="67" t="s">
        <v>122</v>
      </c>
      <c r="B1305" s="68">
        <v>1208506</v>
      </c>
      <c r="C1305" s="69">
        <v>4615416099</v>
      </c>
      <c r="D1305" s="70">
        <v>19200</v>
      </c>
      <c r="E1305" s="79"/>
      <c r="F1305" s="73">
        <v>16</v>
      </c>
      <c r="G1305" s="73">
        <v>5</v>
      </c>
      <c r="H1305" s="68">
        <v>0</v>
      </c>
      <c r="I1305" s="68">
        <v>0</v>
      </c>
      <c r="J1305" s="71">
        <v>42713</v>
      </c>
      <c r="K1305" s="71">
        <v>42735</v>
      </c>
      <c r="L1305" s="69" t="s">
        <v>119</v>
      </c>
      <c r="M1305" s="69" t="s">
        <v>109</v>
      </c>
      <c r="N1305" s="72">
        <v>42785</v>
      </c>
      <c r="O1305" s="67"/>
      <c r="P1305" s="67" t="s">
        <v>95</v>
      </c>
      <c r="Q1305" s="67" t="s">
        <v>120</v>
      </c>
      <c r="R1305" s="69" t="s">
        <v>69</v>
      </c>
      <c r="S1305" s="69" t="s">
        <v>123</v>
      </c>
      <c r="T1305" s="67"/>
      <c r="U1305" s="67"/>
      <c r="V1305" s="72">
        <v>42735</v>
      </c>
      <c r="W1305" s="69">
        <v>2025760</v>
      </c>
      <c r="X1305" s="69"/>
      <c r="Y1305" s="123"/>
      <c r="Z1305" s="30">
        <f t="shared" si="40"/>
        <v>6772.6006943194379</v>
      </c>
      <c r="AA1305" s="30">
        <f t="shared" si="41"/>
        <v>2116.4377169748245</v>
      </c>
      <c r="AB1305" t="s">
        <v>456</v>
      </c>
    </row>
    <row r="1306" spans="1:28">
      <c r="A1306" s="67" t="s">
        <v>122</v>
      </c>
      <c r="B1306" s="68">
        <v>1208503</v>
      </c>
      <c r="C1306" s="69">
        <v>4615416099</v>
      </c>
      <c r="D1306" s="70">
        <v>19200</v>
      </c>
      <c r="E1306" s="79"/>
      <c r="F1306" s="73">
        <v>16</v>
      </c>
      <c r="G1306" s="73">
        <v>5</v>
      </c>
      <c r="H1306" s="68">
        <v>0</v>
      </c>
      <c r="I1306" s="68">
        <v>0</v>
      </c>
      <c r="J1306" s="71">
        <v>42713</v>
      </c>
      <c r="K1306" s="71">
        <v>42735</v>
      </c>
      <c r="L1306" s="69" t="s">
        <v>119</v>
      </c>
      <c r="M1306" s="69" t="s">
        <v>109</v>
      </c>
      <c r="N1306" s="72">
        <v>42785</v>
      </c>
      <c r="O1306" s="67"/>
      <c r="P1306" s="67" t="s">
        <v>95</v>
      </c>
      <c r="Q1306" s="67" t="s">
        <v>120</v>
      </c>
      <c r="R1306" s="69" t="s">
        <v>69</v>
      </c>
      <c r="S1306" s="69" t="s">
        <v>123</v>
      </c>
      <c r="T1306" s="67"/>
      <c r="U1306" s="67"/>
      <c r="V1306" s="72">
        <v>42735</v>
      </c>
      <c r="W1306" s="69">
        <v>2025760</v>
      </c>
      <c r="X1306" s="69"/>
      <c r="Y1306" s="123"/>
      <c r="Z1306" s="30">
        <f t="shared" si="40"/>
        <v>6772.6006943194379</v>
      </c>
      <c r="AA1306" s="30">
        <f t="shared" si="41"/>
        <v>2116.4377169748245</v>
      </c>
      <c r="AB1306" t="s">
        <v>456</v>
      </c>
    </row>
    <row r="1307" spans="1:28">
      <c r="A1307" s="67" t="s">
        <v>113</v>
      </c>
      <c r="B1307" s="68">
        <v>1208801</v>
      </c>
      <c r="C1307" s="69">
        <v>4615409968</v>
      </c>
      <c r="D1307" s="70">
        <v>20700</v>
      </c>
      <c r="E1307" s="79"/>
      <c r="F1307" s="73">
        <v>16</v>
      </c>
      <c r="G1307" s="73">
        <v>5</v>
      </c>
      <c r="H1307" s="68">
        <v>0</v>
      </c>
      <c r="I1307" s="68">
        <v>0</v>
      </c>
      <c r="J1307" s="71">
        <v>42719</v>
      </c>
      <c r="K1307" s="71">
        <v>42766</v>
      </c>
      <c r="L1307" s="69" t="s">
        <v>108</v>
      </c>
      <c r="M1307" s="69" t="s">
        <v>109</v>
      </c>
      <c r="N1307" s="72">
        <v>42782</v>
      </c>
      <c r="O1307" s="67"/>
      <c r="P1307" s="67" t="s">
        <v>95</v>
      </c>
      <c r="Q1307" s="67" t="s">
        <v>110</v>
      </c>
      <c r="R1307" s="69" t="s">
        <v>69</v>
      </c>
      <c r="S1307" s="69" t="s">
        <v>115</v>
      </c>
      <c r="T1307" s="67"/>
      <c r="U1307" s="67"/>
      <c r="V1307" s="72">
        <v>42766</v>
      </c>
      <c r="W1307" s="69" t="s">
        <v>249</v>
      </c>
      <c r="X1307" s="69" t="s">
        <v>250</v>
      </c>
      <c r="Y1307" s="123"/>
      <c r="Z1307" s="30">
        <f t="shared" si="40"/>
        <v>7301.7101235631453</v>
      </c>
      <c r="AA1307" s="30">
        <f t="shared" si="41"/>
        <v>2281.7844136134831</v>
      </c>
      <c r="AB1307" t="s">
        <v>456</v>
      </c>
    </row>
    <row r="1308" spans="1:28">
      <c r="A1308" s="67" t="s">
        <v>122</v>
      </c>
      <c r="B1308" s="68">
        <v>1204397</v>
      </c>
      <c r="C1308" s="69">
        <v>4615410094</v>
      </c>
      <c r="D1308" s="70">
        <v>19200</v>
      </c>
      <c r="E1308" s="79"/>
      <c r="F1308" s="68">
        <v>16</v>
      </c>
      <c r="G1308" s="68" t="s">
        <v>114</v>
      </c>
      <c r="H1308" s="68">
        <v>0</v>
      </c>
      <c r="I1308" s="68">
        <v>0</v>
      </c>
      <c r="J1308" s="71">
        <v>42706</v>
      </c>
      <c r="K1308" s="71">
        <v>42766</v>
      </c>
      <c r="L1308" s="69" t="s">
        <v>119</v>
      </c>
      <c r="M1308" s="69" t="s">
        <v>109</v>
      </c>
      <c r="N1308" s="72">
        <v>42782</v>
      </c>
      <c r="O1308" s="67"/>
      <c r="P1308" s="67" t="s">
        <v>95</v>
      </c>
      <c r="Q1308" s="67" t="s">
        <v>120</v>
      </c>
      <c r="R1308" s="69" t="s">
        <v>69</v>
      </c>
      <c r="S1308" s="69" t="s">
        <v>123</v>
      </c>
      <c r="T1308" s="67"/>
      <c r="U1308" s="67"/>
      <c r="V1308" s="72">
        <v>42766</v>
      </c>
      <c r="W1308" s="69">
        <v>2025660</v>
      </c>
      <c r="X1308" s="69"/>
      <c r="Y1308" s="123"/>
      <c r="Z1308" s="30">
        <f t="shared" si="40"/>
        <v>6772.6006943194379</v>
      </c>
      <c r="AA1308" s="30">
        <f t="shared" si="41"/>
        <v>0</v>
      </c>
      <c r="AB1308" t="s">
        <v>456</v>
      </c>
    </row>
    <row r="1309" spans="1:28">
      <c r="A1309" s="67" t="s">
        <v>118</v>
      </c>
      <c r="B1309" s="68">
        <v>1218430</v>
      </c>
      <c r="C1309" s="69">
        <v>4615406792</v>
      </c>
      <c r="D1309" s="70">
        <v>19200</v>
      </c>
      <c r="E1309" s="79"/>
      <c r="F1309" s="68">
        <v>10</v>
      </c>
      <c r="G1309" s="68">
        <v>5</v>
      </c>
      <c r="H1309" s="68">
        <v>0</v>
      </c>
      <c r="I1309" s="68">
        <v>0</v>
      </c>
      <c r="J1309" s="71"/>
      <c r="K1309" s="71">
        <v>42704</v>
      </c>
      <c r="L1309" s="69" t="s">
        <v>80</v>
      </c>
      <c r="M1309" s="69" t="s">
        <v>109</v>
      </c>
      <c r="N1309" s="72">
        <v>42782</v>
      </c>
      <c r="O1309" s="67"/>
      <c r="P1309" s="67" t="s">
        <v>95</v>
      </c>
      <c r="Q1309" s="67" t="s">
        <v>120</v>
      </c>
      <c r="R1309" s="69" t="s">
        <v>69</v>
      </c>
      <c r="S1309" s="69" t="s">
        <v>121</v>
      </c>
      <c r="T1309" s="67"/>
      <c r="U1309" s="67"/>
      <c r="V1309" s="72">
        <v>42704</v>
      </c>
      <c r="W1309" s="69">
        <v>2025028</v>
      </c>
      <c r="X1309" s="69" t="s">
        <v>257</v>
      </c>
      <c r="Y1309" s="123"/>
      <c r="Z1309" s="30">
        <f t="shared" si="40"/>
        <v>4232.8754339496491</v>
      </c>
      <c r="AA1309" s="30">
        <f t="shared" si="41"/>
        <v>2116.4377169748245</v>
      </c>
      <c r="AB1309" t="s">
        <v>456</v>
      </c>
    </row>
    <row r="1310" spans="1:28">
      <c r="A1310" s="67" t="s">
        <v>136</v>
      </c>
      <c r="B1310" s="68">
        <v>1212474</v>
      </c>
      <c r="C1310" s="69">
        <v>4615441015</v>
      </c>
      <c r="D1310" s="70">
        <v>19200</v>
      </c>
      <c r="E1310" s="79"/>
      <c r="F1310" s="68">
        <v>10</v>
      </c>
      <c r="G1310" s="68" t="s">
        <v>114</v>
      </c>
      <c r="H1310" s="68">
        <v>0</v>
      </c>
      <c r="I1310" s="68">
        <v>0</v>
      </c>
      <c r="J1310" s="71">
        <v>42727</v>
      </c>
      <c r="K1310" s="71">
        <v>42766</v>
      </c>
      <c r="L1310" s="69" t="s">
        <v>137</v>
      </c>
      <c r="M1310" s="69" t="s">
        <v>109</v>
      </c>
      <c r="N1310" s="72">
        <v>42781</v>
      </c>
      <c r="O1310" s="67"/>
      <c r="P1310" s="67" t="s">
        <v>95</v>
      </c>
      <c r="Q1310" s="67" t="s">
        <v>129</v>
      </c>
      <c r="R1310" s="69" t="s">
        <v>69</v>
      </c>
      <c r="S1310" s="69" t="s">
        <v>138</v>
      </c>
      <c r="T1310" s="67"/>
      <c r="U1310" s="67"/>
      <c r="V1310" s="72">
        <v>42766</v>
      </c>
      <c r="W1310" s="69">
        <v>415560176</v>
      </c>
      <c r="X1310" s="69" t="s">
        <v>258</v>
      </c>
      <c r="Y1310" s="123"/>
      <c r="Z1310" s="30">
        <f t="shared" si="40"/>
        <v>4232.8754339496491</v>
      </c>
      <c r="AA1310" s="30">
        <f t="shared" si="41"/>
        <v>0</v>
      </c>
      <c r="AB1310" t="s">
        <v>456</v>
      </c>
    </row>
    <row r="1311" spans="1:28">
      <c r="A1311" s="67" t="s">
        <v>113</v>
      </c>
      <c r="B1311" s="68">
        <v>1208810</v>
      </c>
      <c r="C1311" s="69">
        <v>4615409968</v>
      </c>
      <c r="D1311" s="70">
        <v>20700</v>
      </c>
      <c r="E1311" s="79"/>
      <c r="F1311" s="73">
        <v>16</v>
      </c>
      <c r="G1311" s="73">
        <v>5</v>
      </c>
      <c r="H1311" s="68">
        <v>0</v>
      </c>
      <c r="I1311" s="68">
        <v>0</v>
      </c>
      <c r="J1311" s="71">
        <v>42719</v>
      </c>
      <c r="K1311" s="71">
        <v>42766</v>
      </c>
      <c r="L1311" s="69" t="s">
        <v>108</v>
      </c>
      <c r="M1311" s="69" t="s">
        <v>109</v>
      </c>
      <c r="N1311" s="72">
        <v>42781</v>
      </c>
      <c r="O1311" s="67"/>
      <c r="P1311" s="67" t="s">
        <v>95</v>
      </c>
      <c r="Q1311" s="67" t="s">
        <v>110</v>
      </c>
      <c r="R1311" s="69" t="s">
        <v>69</v>
      </c>
      <c r="S1311" s="69" t="s">
        <v>115</v>
      </c>
      <c r="T1311" s="67"/>
      <c r="U1311" s="67"/>
      <c r="V1311" s="72">
        <v>42766</v>
      </c>
      <c r="W1311" s="69" t="s">
        <v>249</v>
      </c>
      <c r="X1311" s="69" t="s">
        <v>250</v>
      </c>
      <c r="Y1311" s="123"/>
      <c r="Z1311" s="30">
        <f t="shared" si="40"/>
        <v>7301.7101235631453</v>
      </c>
      <c r="AA1311" s="30">
        <f t="shared" si="41"/>
        <v>2281.7844136134831</v>
      </c>
      <c r="AB1311" t="s">
        <v>456</v>
      </c>
    </row>
    <row r="1312" spans="1:28">
      <c r="A1312" s="67" t="s">
        <v>113</v>
      </c>
      <c r="B1312" s="68">
        <v>1208809</v>
      </c>
      <c r="C1312" s="69">
        <v>4615409968</v>
      </c>
      <c r="D1312" s="70">
        <v>20700</v>
      </c>
      <c r="E1312" s="79"/>
      <c r="F1312" s="73">
        <v>16</v>
      </c>
      <c r="G1312" s="73">
        <v>5</v>
      </c>
      <c r="H1312" s="68">
        <v>0</v>
      </c>
      <c r="I1312" s="68">
        <v>0</v>
      </c>
      <c r="J1312" s="71">
        <v>42719</v>
      </c>
      <c r="K1312" s="71">
        <v>42766</v>
      </c>
      <c r="L1312" s="69" t="s">
        <v>108</v>
      </c>
      <c r="M1312" s="69" t="s">
        <v>109</v>
      </c>
      <c r="N1312" s="72">
        <v>42780</v>
      </c>
      <c r="O1312" s="67"/>
      <c r="P1312" s="67" t="s">
        <v>95</v>
      </c>
      <c r="Q1312" s="67" t="s">
        <v>110</v>
      </c>
      <c r="R1312" s="69" t="s">
        <v>69</v>
      </c>
      <c r="S1312" s="69" t="s">
        <v>115</v>
      </c>
      <c r="T1312" s="67"/>
      <c r="U1312" s="67"/>
      <c r="V1312" s="72">
        <v>42766</v>
      </c>
      <c r="W1312" s="69" t="s">
        <v>249</v>
      </c>
      <c r="X1312" s="69" t="s">
        <v>250</v>
      </c>
      <c r="Y1312" s="123"/>
      <c r="Z1312" s="30">
        <f t="shared" si="40"/>
        <v>7301.7101235631453</v>
      </c>
      <c r="AA1312" s="30">
        <f t="shared" si="41"/>
        <v>2281.7844136134831</v>
      </c>
      <c r="AB1312" t="s">
        <v>456</v>
      </c>
    </row>
    <row r="1313" spans="1:28">
      <c r="A1313" s="67" t="s">
        <v>122</v>
      </c>
      <c r="B1313" s="68">
        <v>1207749</v>
      </c>
      <c r="C1313" s="69">
        <v>4615387212</v>
      </c>
      <c r="D1313" s="70">
        <v>19200</v>
      </c>
      <c r="E1313" s="79"/>
      <c r="F1313" s="68">
        <v>16</v>
      </c>
      <c r="G1313" s="68">
        <v>5</v>
      </c>
      <c r="H1313" s="68">
        <v>0</v>
      </c>
      <c r="I1313" s="68">
        <v>0</v>
      </c>
      <c r="J1313" s="71">
        <v>42719</v>
      </c>
      <c r="K1313" s="71">
        <v>42735</v>
      </c>
      <c r="L1313" s="69" t="s">
        <v>108</v>
      </c>
      <c r="M1313" s="69" t="s">
        <v>109</v>
      </c>
      <c r="N1313" s="72">
        <v>42780</v>
      </c>
      <c r="O1313" s="67"/>
      <c r="P1313" s="67" t="s">
        <v>95</v>
      </c>
      <c r="Q1313" s="67" t="s">
        <v>120</v>
      </c>
      <c r="R1313" s="69" t="s">
        <v>69</v>
      </c>
      <c r="S1313" s="69" t="s">
        <v>123</v>
      </c>
      <c r="T1313" s="67"/>
      <c r="U1313" s="67"/>
      <c r="V1313" s="72">
        <v>42735</v>
      </c>
      <c r="W1313" s="69">
        <v>2023105</v>
      </c>
      <c r="X1313" s="69"/>
      <c r="Y1313" s="123"/>
      <c r="Z1313" s="30">
        <f t="shared" si="40"/>
        <v>6772.6006943194379</v>
      </c>
      <c r="AA1313" s="30">
        <f t="shared" si="41"/>
        <v>2116.4377169748245</v>
      </c>
      <c r="AB1313" t="s">
        <v>456</v>
      </c>
    </row>
    <row r="1314" spans="1:28">
      <c r="A1314" s="67" t="s">
        <v>122</v>
      </c>
      <c r="B1314" s="68">
        <v>1190684</v>
      </c>
      <c r="C1314" s="69">
        <v>4615431076</v>
      </c>
      <c r="D1314" s="70">
        <v>19200</v>
      </c>
      <c r="E1314" s="79"/>
      <c r="F1314" s="68">
        <v>16</v>
      </c>
      <c r="G1314" s="68">
        <v>5</v>
      </c>
      <c r="H1314" s="68">
        <v>0</v>
      </c>
      <c r="I1314" s="68">
        <v>0</v>
      </c>
      <c r="J1314" s="71"/>
      <c r="K1314" s="71">
        <v>42674</v>
      </c>
      <c r="L1314" s="69" t="s">
        <v>80</v>
      </c>
      <c r="M1314" s="69" t="s">
        <v>109</v>
      </c>
      <c r="N1314" s="72">
        <v>42780</v>
      </c>
      <c r="O1314" s="67"/>
      <c r="P1314" s="67" t="s">
        <v>95</v>
      </c>
      <c r="Q1314" s="67" t="s">
        <v>120</v>
      </c>
      <c r="R1314" s="69" t="s">
        <v>69</v>
      </c>
      <c r="S1314" s="69" t="s">
        <v>123</v>
      </c>
      <c r="T1314" s="67"/>
      <c r="U1314" s="67"/>
      <c r="V1314" s="72">
        <v>42674</v>
      </c>
      <c r="W1314" s="69">
        <v>2018428</v>
      </c>
      <c r="X1314" s="69" t="s">
        <v>259</v>
      </c>
      <c r="Y1314" s="123"/>
      <c r="Z1314" s="30">
        <f t="shared" si="40"/>
        <v>6772.6006943194379</v>
      </c>
      <c r="AA1314" s="30">
        <f t="shared" si="41"/>
        <v>2116.4377169748245</v>
      </c>
      <c r="AB1314" t="s">
        <v>456</v>
      </c>
    </row>
    <row r="1315" spans="1:28">
      <c r="A1315" s="67" t="s">
        <v>122</v>
      </c>
      <c r="B1315" s="68">
        <v>1167689</v>
      </c>
      <c r="C1315" s="69">
        <v>4615364660</v>
      </c>
      <c r="D1315" s="70">
        <v>19200</v>
      </c>
      <c r="E1315" s="79"/>
      <c r="F1315" s="68">
        <v>16</v>
      </c>
      <c r="G1315" s="68">
        <v>5</v>
      </c>
      <c r="H1315" s="68">
        <v>0</v>
      </c>
      <c r="I1315" s="68">
        <v>0</v>
      </c>
      <c r="J1315" s="71"/>
      <c r="K1315" s="71">
        <v>42551</v>
      </c>
      <c r="L1315" s="69" t="s">
        <v>80</v>
      </c>
      <c r="M1315" s="69" t="s">
        <v>109</v>
      </c>
      <c r="N1315" s="72">
        <v>42780</v>
      </c>
      <c r="O1315" s="67"/>
      <c r="P1315" s="67" t="s">
        <v>95</v>
      </c>
      <c r="Q1315" s="67" t="s">
        <v>120</v>
      </c>
      <c r="R1315" s="69" t="s">
        <v>69</v>
      </c>
      <c r="S1315" s="69" t="s">
        <v>123</v>
      </c>
      <c r="T1315" s="67"/>
      <c r="U1315" s="67"/>
      <c r="V1315" s="72">
        <v>42551</v>
      </c>
      <c r="W1315" s="69">
        <v>2018457</v>
      </c>
      <c r="X1315" s="69"/>
      <c r="Y1315" s="123"/>
      <c r="Z1315" s="30">
        <f t="shared" si="40"/>
        <v>6772.6006943194379</v>
      </c>
      <c r="AA1315" s="30">
        <f t="shared" si="41"/>
        <v>2116.4377169748245</v>
      </c>
      <c r="AB1315" t="s">
        <v>456</v>
      </c>
    </row>
    <row r="1316" spans="1:28">
      <c r="A1316" s="67" t="s">
        <v>113</v>
      </c>
      <c r="B1316" s="68">
        <v>1208808</v>
      </c>
      <c r="C1316" s="69">
        <v>4615409968</v>
      </c>
      <c r="D1316" s="70">
        <v>20700</v>
      </c>
      <c r="E1316" s="79"/>
      <c r="F1316" s="73">
        <v>16</v>
      </c>
      <c r="G1316" s="73">
        <v>5</v>
      </c>
      <c r="H1316" s="68">
        <v>0</v>
      </c>
      <c r="I1316" s="68">
        <v>0</v>
      </c>
      <c r="J1316" s="71">
        <v>42719</v>
      </c>
      <c r="K1316" s="71">
        <v>42766</v>
      </c>
      <c r="L1316" s="69" t="s">
        <v>108</v>
      </c>
      <c r="M1316" s="69" t="s">
        <v>109</v>
      </c>
      <c r="N1316" s="72">
        <v>42780</v>
      </c>
      <c r="O1316" s="67"/>
      <c r="P1316" s="67" t="s">
        <v>95</v>
      </c>
      <c r="Q1316" s="67" t="s">
        <v>110</v>
      </c>
      <c r="R1316" s="69" t="s">
        <v>69</v>
      </c>
      <c r="S1316" s="69" t="s">
        <v>115</v>
      </c>
      <c r="T1316" s="67"/>
      <c r="U1316" s="67"/>
      <c r="V1316" s="72">
        <v>42766</v>
      </c>
      <c r="W1316" s="69" t="s">
        <v>249</v>
      </c>
      <c r="X1316" s="69" t="s">
        <v>250</v>
      </c>
      <c r="Y1316" s="123"/>
      <c r="Z1316" s="30">
        <f t="shared" si="40"/>
        <v>7301.7101235631453</v>
      </c>
      <c r="AA1316" s="30">
        <f t="shared" si="41"/>
        <v>2281.7844136134831</v>
      </c>
      <c r="AB1316" t="s">
        <v>456</v>
      </c>
    </row>
    <row r="1317" spans="1:28">
      <c r="A1317" s="67" t="s">
        <v>122</v>
      </c>
      <c r="B1317" s="68">
        <v>1207747</v>
      </c>
      <c r="C1317" s="69">
        <v>4615387212</v>
      </c>
      <c r="D1317" s="70">
        <v>19200</v>
      </c>
      <c r="E1317" s="79"/>
      <c r="F1317" s="68">
        <v>16</v>
      </c>
      <c r="G1317" s="68">
        <v>5</v>
      </c>
      <c r="H1317" s="68">
        <v>0</v>
      </c>
      <c r="I1317" s="68">
        <v>0</v>
      </c>
      <c r="J1317" s="71">
        <v>42719</v>
      </c>
      <c r="K1317" s="71">
        <v>42735</v>
      </c>
      <c r="L1317" s="69" t="s">
        <v>108</v>
      </c>
      <c r="M1317" s="69" t="s">
        <v>109</v>
      </c>
      <c r="N1317" s="72">
        <v>42780</v>
      </c>
      <c r="O1317" s="67"/>
      <c r="P1317" s="67" t="s">
        <v>95</v>
      </c>
      <c r="Q1317" s="67" t="s">
        <v>120</v>
      </c>
      <c r="R1317" s="69" t="s">
        <v>69</v>
      </c>
      <c r="S1317" s="69" t="s">
        <v>123</v>
      </c>
      <c r="T1317" s="67"/>
      <c r="U1317" s="67"/>
      <c r="V1317" s="72">
        <v>42735</v>
      </c>
      <c r="W1317" s="69">
        <v>2023105</v>
      </c>
      <c r="X1317" s="69"/>
      <c r="Y1317" s="123"/>
      <c r="Z1317" s="30">
        <f t="shared" si="40"/>
        <v>6772.6006943194379</v>
      </c>
      <c r="AA1317" s="30">
        <f t="shared" si="41"/>
        <v>2116.4377169748245</v>
      </c>
      <c r="AB1317" t="s">
        <v>456</v>
      </c>
    </row>
    <row r="1318" spans="1:28">
      <c r="A1318" s="67" t="s">
        <v>122</v>
      </c>
      <c r="B1318" s="68">
        <v>1208508</v>
      </c>
      <c r="C1318" s="69">
        <v>4615416099</v>
      </c>
      <c r="D1318" s="70">
        <v>19200</v>
      </c>
      <c r="E1318" s="79"/>
      <c r="F1318" s="73">
        <v>16</v>
      </c>
      <c r="G1318" s="73">
        <v>5</v>
      </c>
      <c r="H1318" s="68">
        <v>0</v>
      </c>
      <c r="I1318" s="68">
        <v>0</v>
      </c>
      <c r="J1318" s="71">
        <v>42713</v>
      </c>
      <c r="K1318" s="71">
        <v>42735</v>
      </c>
      <c r="L1318" s="69" t="s">
        <v>119</v>
      </c>
      <c r="M1318" s="69" t="s">
        <v>109</v>
      </c>
      <c r="N1318" s="72">
        <v>42779</v>
      </c>
      <c r="O1318" s="67"/>
      <c r="P1318" s="67" t="s">
        <v>95</v>
      </c>
      <c r="Q1318" s="67" t="s">
        <v>120</v>
      </c>
      <c r="R1318" s="69" t="s">
        <v>69</v>
      </c>
      <c r="S1318" s="69" t="s">
        <v>123</v>
      </c>
      <c r="T1318" s="67"/>
      <c r="U1318" s="67"/>
      <c r="V1318" s="72">
        <v>42735</v>
      </c>
      <c r="W1318" s="69">
        <v>2025760</v>
      </c>
      <c r="X1318" s="69"/>
      <c r="Y1318" s="123"/>
      <c r="Z1318" s="30">
        <f t="shared" si="40"/>
        <v>6772.6006943194379</v>
      </c>
      <c r="AA1318" s="30">
        <f t="shared" si="41"/>
        <v>2116.4377169748245</v>
      </c>
      <c r="AB1318" t="s">
        <v>456</v>
      </c>
    </row>
    <row r="1319" spans="1:28">
      <c r="A1319" s="67" t="s">
        <v>118</v>
      </c>
      <c r="B1319" s="68">
        <v>1208248</v>
      </c>
      <c r="C1319" s="69">
        <v>4615390484</v>
      </c>
      <c r="D1319" s="70">
        <v>19200</v>
      </c>
      <c r="E1319" s="79"/>
      <c r="F1319" s="68">
        <v>10</v>
      </c>
      <c r="G1319" s="68">
        <v>5</v>
      </c>
      <c r="H1319" s="68">
        <v>0</v>
      </c>
      <c r="I1319" s="68">
        <v>0</v>
      </c>
      <c r="J1319" s="71">
        <v>42708</v>
      </c>
      <c r="K1319" s="71">
        <v>42735</v>
      </c>
      <c r="L1319" s="69" t="s">
        <v>137</v>
      </c>
      <c r="M1319" s="69" t="s">
        <v>109</v>
      </c>
      <c r="N1319" s="72">
        <v>42778</v>
      </c>
      <c r="O1319" s="67"/>
      <c r="P1319" s="67" t="s">
        <v>95</v>
      </c>
      <c r="Q1319" s="67" t="s">
        <v>120</v>
      </c>
      <c r="R1319" s="69" t="s">
        <v>69</v>
      </c>
      <c r="S1319" s="69" t="s">
        <v>121</v>
      </c>
      <c r="T1319" s="67"/>
      <c r="U1319" s="67"/>
      <c r="V1319" s="72">
        <v>42735</v>
      </c>
      <c r="W1319" s="69">
        <v>2022792</v>
      </c>
      <c r="X1319" s="69" t="s">
        <v>260</v>
      </c>
      <c r="Y1319" s="123"/>
      <c r="Z1319" s="30">
        <f t="shared" si="40"/>
        <v>4232.8754339496491</v>
      </c>
      <c r="AA1319" s="30">
        <f t="shared" si="41"/>
        <v>2116.4377169748245</v>
      </c>
      <c r="AB1319" t="s">
        <v>456</v>
      </c>
    </row>
    <row r="1320" spans="1:28">
      <c r="A1320" s="67" t="s">
        <v>118</v>
      </c>
      <c r="B1320" s="68">
        <v>1208247</v>
      </c>
      <c r="C1320" s="69">
        <v>4615387788</v>
      </c>
      <c r="D1320" s="70">
        <v>19200</v>
      </c>
      <c r="E1320" s="79"/>
      <c r="F1320" s="68">
        <v>10</v>
      </c>
      <c r="G1320" s="68">
        <v>5</v>
      </c>
      <c r="H1320" s="68">
        <v>0</v>
      </c>
      <c r="I1320" s="68">
        <v>0</v>
      </c>
      <c r="J1320" s="71">
        <v>42708</v>
      </c>
      <c r="K1320" s="71">
        <v>42735</v>
      </c>
      <c r="L1320" s="69" t="s">
        <v>137</v>
      </c>
      <c r="M1320" s="69" t="s">
        <v>109</v>
      </c>
      <c r="N1320" s="72">
        <v>42778</v>
      </c>
      <c r="O1320" s="67"/>
      <c r="P1320" s="67" t="s">
        <v>95</v>
      </c>
      <c r="Q1320" s="67" t="s">
        <v>120</v>
      </c>
      <c r="R1320" s="69" t="s">
        <v>69</v>
      </c>
      <c r="S1320" s="69" t="s">
        <v>121</v>
      </c>
      <c r="T1320" s="67"/>
      <c r="U1320" s="67"/>
      <c r="V1320" s="72">
        <v>42735</v>
      </c>
      <c r="W1320" s="69">
        <v>2022753</v>
      </c>
      <c r="X1320" s="69" t="s">
        <v>260</v>
      </c>
      <c r="Y1320" s="123"/>
      <c r="Z1320" s="30">
        <f t="shared" si="40"/>
        <v>4232.8754339496491</v>
      </c>
      <c r="AA1320" s="30">
        <f t="shared" si="41"/>
        <v>2116.4377169748245</v>
      </c>
      <c r="AB1320" t="s">
        <v>456</v>
      </c>
    </row>
    <row r="1321" spans="1:28">
      <c r="A1321" s="67" t="s">
        <v>113</v>
      </c>
      <c r="B1321" s="68">
        <v>1208805</v>
      </c>
      <c r="C1321" s="69">
        <v>4615409968</v>
      </c>
      <c r="D1321" s="70">
        <v>20700</v>
      </c>
      <c r="E1321" s="79"/>
      <c r="F1321" s="73">
        <v>16</v>
      </c>
      <c r="G1321" s="73">
        <v>5</v>
      </c>
      <c r="H1321" s="68">
        <v>0</v>
      </c>
      <c r="I1321" s="68">
        <v>0</v>
      </c>
      <c r="J1321" s="71">
        <v>42719</v>
      </c>
      <c r="K1321" s="71">
        <v>42766</v>
      </c>
      <c r="L1321" s="69" t="s">
        <v>108</v>
      </c>
      <c r="M1321" s="69" t="s">
        <v>109</v>
      </c>
      <c r="N1321" s="72">
        <v>42778</v>
      </c>
      <c r="O1321" s="67"/>
      <c r="P1321" s="67" t="s">
        <v>95</v>
      </c>
      <c r="Q1321" s="67" t="s">
        <v>110</v>
      </c>
      <c r="R1321" s="69" t="s">
        <v>69</v>
      </c>
      <c r="S1321" s="69" t="s">
        <v>115</v>
      </c>
      <c r="T1321" s="67"/>
      <c r="U1321" s="67"/>
      <c r="V1321" s="72">
        <v>42766</v>
      </c>
      <c r="W1321" s="69" t="s">
        <v>249</v>
      </c>
      <c r="X1321" s="69" t="s">
        <v>250</v>
      </c>
      <c r="Y1321" s="123"/>
      <c r="Z1321" s="30">
        <f t="shared" si="40"/>
        <v>7301.7101235631453</v>
      </c>
      <c r="AA1321" s="30">
        <f t="shared" si="41"/>
        <v>2281.7844136134831</v>
      </c>
      <c r="AB1321" t="s">
        <v>456</v>
      </c>
    </row>
    <row r="1322" spans="1:28">
      <c r="A1322" s="67" t="s">
        <v>122</v>
      </c>
      <c r="B1322" s="68">
        <v>1207750</v>
      </c>
      <c r="C1322" s="69">
        <v>4615387212</v>
      </c>
      <c r="D1322" s="70">
        <v>19200</v>
      </c>
      <c r="E1322" s="79"/>
      <c r="F1322" s="68">
        <v>16</v>
      </c>
      <c r="G1322" s="68">
        <v>5</v>
      </c>
      <c r="H1322" s="68">
        <v>0</v>
      </c>
      <c r="I1322" s="68">
        <v>0</v>
      </c>
      <c r="J1322" s="71">
        <v>42719</v>
      </c>
      <c r="K1322" s="71">
        <v>42735</v>
      </c>
      <c r="L1322" s="69" t="s">
        <v>108</v>
      </c>
      <c r="M1322" s="69" t="s">
        <v>109</v>
      </c>
      <c r="N1322" s="72">
        <v>42778</v>
      </c>
      <c r="O1322" s="67"/>
      <c r="P1322" s="67" t="s">
        <v>95</v>
      </c>
      <c r="Q1322" s="67" t="s">
        <v>120</v>
      </c>
      <c r="R1322" s="69" t="s">
        <v>69</v>
      </c>
      <c r="S1322" s="69" t="s">
        <v>123</v>
      </c>
      <c r="T1322" s="67"/>
      <c r="U1322" s="67"/>
      <c r="V1322" s="72">
        <v>42735</v>
      </c>
      <c r="W1322" s="69">
        <v>2023105</v>
      </c>
      <c r="X1322" s="69"/>
      <c r="Y1322" s="123"/>
      <c r="Z1322" s="30">
        <f t="shared" si="40"/>
        <v>6772.6006943194379</v>
      </c>
      <c r="AA1322" s="30">
        <f t="shared" si="41"/>
        <v>2116.4377169748245</v>
      </c>
      <c r="AB1322" t="s">
        <v>456</v>
      </c>
    </row>
    <row r="1323" spans="1:28">
      <c r="A1323" s="67" t="s">
        <v>122</v>
      </c>
      <c r="B1323" s="68">
        <v>1207746</v>
      </c>
      <c r="C1323" s="69">
        <v>4615387212</v>
      </c>
      <c r="D1323" s="70">
        <v>19200</v>
      </c>
      <c r="E1323" s="79"/>
      <c r="F1323" s="68">
        <v>16</v>
      </c>
      <c r="G1323" s="68">
        <v>5</v>
      </c>
      <c r="H1323" s="68">
        <v>0</v>
      </c>
      <c r="I1323" s="68">
        <v>0</v>
      </c>
      <c r="J1323" s="71">
        <v>42719</v>
      </c>
      <c r="K1323" s="71">
        <v>42735</v>
      </c>
      <c r="L1323" s="69" t="s">
        <v>108</v>
      </c>
      <c r="M1323" s="69" t="s">
        <v>109</v>
      </c>
      <c r="N1323" s="72">
        <v>42778</v>
      </c>
      <c r="O1323" s="67"/>
      <c r="P1323" s="67" t="s">
        <v>95</v>
      </c>
      <c r="Q1323" s="67" t="s">
        <v>120</v>
      </c>
      <c r="R1323" s="69" t="s">
        <v>69</v>
      </c>
      <c r="S1323" s="69" t="s">
        <v>123</v>
      </c>
      <c r="T1323" s="67"/>
      <c r="U1323" s="67"/>
      <c r="V1323" s="72">
        <v>42735</v>
      </c>
      <c r="W1323" s="69">
        <v>2023105</v>
      </c>
      <c r="X1323" s="69"/>
      <c r="Y1323" s="123"/>
      <c r="Z1323" s="30">
        <f t="shared" si="40"/>
        <v>6772.6006943194379</v>
      </c>
      <c r="AA1323" s="30">
        <f t="shared" si="41"/>
        <v>2116.4377169748245</v>
      </c>
      <c r="AB1323" t="s">
        <v>456</v>
      </c>
    </row>
    <row r="1324" spans="1:28">
      <c r="A1324" s="67" t="s">
        <v>122</v>
      </c>
      <c r="B1324" s="68">
        <v>1207745</v>
      </c>
      <c r="C1324" s="69">
        <v>4615387212</v>
      </c>
      <c r="D1324" s="70">
        <v>19200</v>
      </c>
      <c r="E1324" s="79"/>
      <c r="F1324" s="68">
        <v>16</v>
      </c>
      <c r="G1324" s="68">
        <v>5</v>
      </c>
      <c r="H1324" s="68">
        <v>0</v>
      </c>
      <c r="I1324" s="68">
        <v>0</v>
      </c>
      <c r="J1324" s="71">
        <v>42719</v>
      </c>
      <c r="K1324" s="71">
        <v>42735</v>
      </c>
      <c r="L1324" s="69" t="s">
        <v>108</v>
      </c>
      <c r="M1324" s="69" t="s">
        <v>109</v>
      </c>
      <c r="N1324" s="72">
        <v>42778</v>
      </c>
      <c r="O1324" s="67"/>
      <c r="P1324" s="67" t="s">
        <v>95</v>
      </c>
      <c r="Q1324" s="67" t="s">
        <v>120</v>
      </c>
      <c r="R1324" s="69" t="s">
        <v>69</v>
      </c>
      <c r="S1324" s="69" t="s">
        <v>123</v>
      </c>
      <c r="T1324" s="67"/>
      <c r="U1324" s="67"/>
      <c r="V1324" s="72">
        <v>42735</v>
      </c>
      <c r="W1324" s="69">
        <v>2023105</v>
      </c>
      <c r="X1324" s="69"/>
      <c r="Y1324" s="123"/>
      <c r="Z1324" s="30">
        <f t="shared" si="40"/>
        <v>6772.6006943194379</v>
      </c>
      <c r="AA1324" s="30">
        <f t="shared" si="41"/>
        <v>2116.4377169748245</v>
      </c>
      <c r="AB1324" t="s">
        <v>456</v>
      </c>
    </row>
    <row r="1325" spans="1:28">
      <c r="A1325" s="67" t="s">
        <v>136</v>
      </c>
      <c r="B1325" s="68">
        <v>1201924</v>
      </c>
      <c r="C1325" s="69">
        <v>4615389506</v>
      </c>
      <c r="D1325" s="70">
        <v>19200</v>
      </c>
      <c r="E1325" s="79"/>
      <c r="F1325" s="73">
        <v>10</v>
      </c>
      <c r="G1325" s="73" t="s">
        <v>114</v>
      </c>
      <c r="H1325" s="68">
        <v>0</v>
      </c>
      <c r="I1325" s="68">
        <v>0</v>
      </c>
      <c r="J1325" s="71">
        <v>42706</v>
      </c>
      <c r="K1325" s="71">
        <v>42735</v>
      </c>
      <c r="L1325" s="69" t="s">
        <v>137</v>
      </c>
      <c r="M1325" s="69" t="s">
        <v>109</v>
      </c>
      <c r="N1325" s="72">
        <v>42778</v>
      </c>
      <c r="O1325" s="67"/>
      <c r="P1325" s="67" t="s">
        <v>95</v>
      </c>
      <c r="Q1325" s="67" t="s">
        <v>129</v>
      </c>
      <c r="R1325" s="69" t="s">
        <v>69</v>
      </c>
      <c r="S1325" s="69" t="s">
        <v>138</v>
      </c>
      <c r="T1325" s="67"/>
      <c r="U1325" s="67"/>
      <c r="V1325" s="72">
        <v>42735</v>
      </c>
      <c r="W1325" s="69">
        <v>415560367</v>
      </c>
      <c r="X1325" s="69" t="s">
        <v>261</v>
      </c>
      <c r="Y1325" s="123"/>
      <c r="Z1325" s="30">
        <f t="shared" si="40"/>
        <v>4232.8754339496491</v>
      </c>
      <c r="AA1325" s="30">
        <f t="shared" si="41"/>
        <v>0</v>
      </c>
      <c r="AB1325" t="s">
        <v>456</v>
      </c>
    </row>
    <row r="1326" spans="1:28">
      <c r="A1326" s="67" t="s">
        <v>122</v>
      </c>
      <c r="B1326" s="68">
        <v>1208502</v>
      </c>
      <c r="C1326" s="69">
        <v>4615416099</v>
      </c>
      <c r="D1326" s="70">
        <v>19200</v>
      </c>
      <c r="E1326" s="79"/>
      <c r="F1326" s="73">
        <v>16</v>
      </c>
      <c r="G1326" s="73">
        <v>5</v>
      </c>
      <c r="H1326" s="68">
        <v>0</v>
      </c>
      <c r="I1326" s="68">
        <v>0</v>
      </c>
      <c r="J1326" s="71">
        <v>42713</v>
      </c>
      <c r="K1326" s="71">
        <v>42735</v>
      </c>
      <c r="L1326" s="69" t="s">
        <v>119</v>
      </c>
      <c r="M1326" s="69" t="s">
        <v>109</v>
      </c>
      <c r="N1326" s="72">
        <v>42778</v>
      </c>
      <c r="O1326" s="67"/>
      <c r="P1326" s="67" t="s">
        <v>95</v>
      </c>
      <c r="Q1326" s="67" t="s">
        <v>120</v>
      </c>
      <c r="R1326" s="69" t="s">
        <v>69</v>
      </c>
      <c r="S1326" s="69" t="s">
        <v>123</v>
      </c>
      <c r="T1326" s="67"/>
      <c r="U1326" s="67"/>
      <c r="V1326" s="72">
        <v>42735</v>
      </c>
      <c r="W1326" s="69">
        <v>2025760</v>
      </c>
      <c r="X1326" s="69"/>
      <c r="Y1326" s="123"/>
      <c r="Z1326" s="30">
        <f t="shared" si="40"/>
        <v>6772.6006943194379</v>
      </c>
      <c r="AA1326" s="30">
        <f t="shared" si="41"/>
        <v>2116.4377169748245</v>
      </c>
      <c r="AB1326" t="s">
        <v>456</v>
      </c>
    </row>
    <row r="1327" spans="1:28">
      <c r="A1327" s="67" t="s">
        <v>122</v>
      </c>
      <c r="B1327" s="68">
        <v>1204398</v>
      </c>
      <c r="C1327" s="69">
        <v>4615410094</v>
      </c>
      <c r="D1327" s="70">
        <v>19200</v>
      </c>
      <c r="E1327" s="79"/>
      <c r="F1327" s="68">
        <v>16</v>
      </c>
      <c r="G1327" s="68" t="s">
        <v>114</v>
      </c>
      <c r="H1327" s="68">
        <v>0</v>
      </c>
      <c r="I1327" s="68">
        <v>0</v>
      </c>
      <c r="J1327" s="71">
        <v>42706</v>
      </c>
      <c r="K1327" s="71">
        <v>42766</v>
      </c>
      <c r="L1327" s="69" t="s">
        <v>119</v>
      </c>
      <c r="M1327" s="69" t="s">
        <v>109</v>
      </c>
      <c r="N1327" s="72">
        <v>42778</v>
      </c>
      <c r="O1327" s="67"/>
      <c r="P1327" s="67" t="s">
        <v>95</v>
      </c>
      <c r="Q1327" s="67" t="s">
        <v>120</v>
      </c>
      <c r="R1327" s="69" t="s">
        <v>69</v>
      </c>
      <c r="S1327" s="69" t="s">
        <v>123</v>
      </c>
      <c r="T1327" s="67"/>
      <c r="U1327" s="67"/>
      <c r="V1327" s="72">
        <v>42766</v>
      </c>
      <c r="W1327" s="69">
        <v>2025660</v>
      </c>
      <c r="X1327" s="69"/>
      <c r="Y1327" s="123"/>
      <c r="Z1327" s="30">
        <f t="shared" si="40"/>
        <v>6772.6006943194379</v>
      </c>
      <c r="AA1327" s="30">
        <f t="shared" si="41"/>
        <v>0</v>
      </c>
      <c r="AB1327" t="s">
        <v>456</v>
      </c>
    </row>
    <row r="1328" spans="1:28">
      <c r="A1328" s="67" t="s">
        <v>113</v>
      </c>
      <c r="B1328" s="68">
        <v>1206132</v>
      </c>
      <c r="C1328" s="69">
        <v>4615393323</v>
      </c>
      <c r="D1328" s="70">
        <v>19200</v>
      </c>
      <c r="E1328" s="79"/>
      <c r="F1328" s="68">
        <v>16</v>
      </c>
      <c r="G1328" s="68">
        <v>5</v>
      </c>
      <c r="H1328" s="68">
        <v>0</v>
      </c>
      <c r="I1328" s="68">
        <v>0</v>
      </c>
      <c r="J1328" s="71">
        <v>42713</v>
      </c>
      <c r="K1328" s="71">
        <v>42735</v>
      </c>
      <c r="L1328" s="69" t="s">
        <v>108</v>
      </c>
      <c r="M1328" s="69" t="s">
        <v>109</v>
      </c>
      <c r="N1328" s="72">
        <v>42775</v>
      </c>
      <c r="O1328" s="67"/>
      <c r="P1328" s="67" t="s">
        <v>95</v>
      </c>
      <c r="Q1328" s="67" t="s">
        <v>110</v>
      </c>
      <c r="R1328" s="69" t="s">
        <v>69</v>
      </c>
      <c r="S1328" s="69" t="s">
        <v>115</v>
      </c>
      <c r="T1328" s="67"/>
      <c r="U1328" s="67"/>
      <c r="V1328" s="72">
        <v>42735</v>
      </c>
      <c r="W1328" s="69" t="s">
        <v>245</v>
      </c>
      <c r="X1328" s="69"/>
      <c r="Y1328" s="123"/>
      <c r="Z1328" s="30">
        <f t="shared" si="40"/>
        <v>6772.6006943194379</v>
      </c>
      <c r="AA1328" s="30">
        <f t="shared" si="41"/>
        <v>2116.4377169748245</v>
      </c>
      <c r="AB1328" t="s">
        <v>456</v>
      </c>
    </row>
    <row r="1329" spans="1:28">
      <c r="A1329" s="67" t="s">
        <v>122</v>
      </c>
      <c r="B1329" s="68">
        <v>1198213</v>
      </c>
      <c r="C1329" s="69">
        <v>4615414736</v>
      </c>
      <c r="D1329" s="70">
        <v>19200</v>
      </c>
      <c r="E1329" s="79"/>
      <c r="F1329" s="73">
        <v>16</v>
      </c>
      <c r="G1329" s="73">
        <v>5</v>
      </c>
      <c r="H1329" s="68">
        <v>0</v>
      </c>
      <c r="I1329" s="68">
        <v>0</v>
      </c>
      <c r="J1329" s="71">
        <v>42692</v>
      </c>
      <c r="K1329" s="71">
        <v>42735</v>
      </c>
      <c r="L1329" s="69" t="s">
        <v>119</v>
      </c>
      <c r="M1329" s="69" t="s">
        <v>109</v>
      </c>
      <c r="N1329" s="72">
        <v>42775</v>
      </c>
      <c r="O1329" s="67"/>
      <c r="P1329" s="67" t="s">
        <v>95</v>
      </c>
      <c r="Q1329" s="67" t="s">
        <v>120</v>
      </c>
      <c r="R1329" s="69" t="s">
        <v>69</v>
      </c>
      <c r="S1329" s="69" t="s">
        <v>123</v>
      </c>
      <c r="T1329" s="67"/>
      <c r="U1329" s="67"/>
      <c r="V1329" s="72">
        <v>42735</v>
      </c>
      <c r="W1329" s="69">
        <v>2025777</v>
      </c>
      <c r="X1329" s="69"/>
      <c r="Y1329" s="123"/>
      <c r="Z1329" s="30">
        <f t="shared" si="40"/>
        <v>6772.6006943194379</v>
      </c>
      <c r="AA1329" s="30">
        <f t="shared" si="41"/>
        <v>2116.4377169748245</v>
      </c>
      <c r="AB1329" t="s">
        <v>456</v>
      </c>
    </row>
    <row r="1330" spans="1:28">
      <c r="A1330" s="67" t="s">
        <v>122</v>
      </c>
      <c r="B1330" s="68">
        <v>1198215</v>
      </c>
      <c r="C1330" s="69">
        <v>4615414736</v>
      </c>
      <c r="D1330" s="70">
        <v>19200</v>
      </c>
      <c r="E1330" s="79"/>
      <c r="F1330" s="73">
        <v>16</v>
      </c>
      <c r="G1330" s="73">
        <v>5</v>
      </c>
      <c r="H1330" s="68">
        <v>0</v>
      </c>
      <c r="I1330" s="68">
        <v>0</v>
      </c>
      <c r="J1330" s="71">
        <v>42692</v>
      </c>
      <c r="K1330" s="71">
        <v>42735</v>
      </c>
      <c r="L1330" s="69" t="s">
        <v>119</v>
      </c>
      <c r="M1330" s="69" t="s">
        <v>109</v>
      </c>
      <c r="N1330" s="72">
        <v>42775</v>
      </c>
      <c r="O1330" s="67"/>
      <c r="P1330" s="67" t="s">
        <v>95</v>
      </c>
      <c r="Q1330" s="67" t="s">
        <v>120</v>
      </c>
      <c r="R1330" s="69" t="s">
        <v>69</v>
      </c>
      <c r="S1330" s="69" t="s">
        <v>123</v>
      </c>
      <c r="T1330" s="67"/>
      <c r="U1330" s="67"/>
      <c r="V1330" s="72">
        <v>42735</v>
      </c>
      <c r="W1330" s="69">
        <v>2025777</v>
      </c>
      <c r="X1330" s="69"/>
      <c r="Y1330" s="123"/>
      <c r="Z1330" s="30">
        <f t="shared" si="40"/>
        <v>6772.6006943194379</v>
      </c>
      <c r="AA1330" s="30">
        <f t="shared" si="41"/>
        <v>2116.4377169748245</v>
      </c>
      <c r="AB1330" t="s">
        <v>456</v>
      </c>
    </row>
    <row r="1331" spans="1:28">
      <c r="A1331" s="67" t="s">
        <v>128</v>
      </c>
      <c r="B1331" s="68">
        <v>1204779</v>
      </c>
      <c r="C1331" s="69">
        <v>4615417859</v>
      </c>
      <c r="D1331" s="70">
        <v>19175</v>
      </c>
      <c r="E1331" s="79"/>
      <c r="F1331" s="68">
        <v>154.4</v>
      </c>
      <c r="G1331" s="68" t="s">
        <v>114</v>
      </c>
      <c r="H1331" s="68">
        <v>0</v>
      </c>
      <c r="I1331" s="68">
        <v>0</v>
      </c>
      <c r="J1331" s="71">
        <v>42711</v>
      </c>
      <c r="K1331" s="71">
        <v>42735</v>
      </c>
      <c r="L1331" s="69" t="s">
        <v>119</v>
      </c>
      <c r="M1331" s="69" t="s">
        <v>109</v>
      </c>
      <c r="N1331" s="72">
        <v>42774</v>
      </c>
      <c r="O1331" s="67"/>
      <c r="P1331" s="67" t="s">
        <v>95</v>
      </c>
      <c r="Q1331" s="67" t="s">
        <v>129</v>
      </c>
      <c r="R1331" s="69" t="s">
        <v>69</v>
      </c>
      <c r="S1331" s="69" t="s">
        <v>130</v>
      </c>
      <c r="T1331" s="67"/>
      <c r="U1331" s="67"/>
      <c r="V1331" s="72">
        <v>42735</v>
      </c>
      <c r="W1331" s="69">
        <v>425560027</v>
      </c>
      <c r="X1331" s="69" t="s">
        <v>262</v>
      </c>
      <c r="Y1331" s="123"/>
      <c r="Z1331" s="30">
        <f t="shared" si="40"/>
        <v>65270.498266979223</v>
      </c>
      <c r="AA1331" s="30">
        <f t="shared" si="41"/>
        <v>0</v>
      </c>
      <c r="AB1331" t="s">
        <v>456</v>
      </c>
    </row>
    <row r="1332" spans="1:28">
      <c r="A1332" s="67" t="s">
        <v>136</v>
      </c>
      <c r="B1332" s="68">
        <v>1201919</v>
      </c>
      <c r="C1332" s="69">
        <v>4615422518</v>
      </c>
      <c r="D1332" s="70">
        <v>19175</v>
      </c>
      <c r="E1332" s="79"/>
      <c r="F1332" s="73">
        <v>10</v>
      </c>
      <c r="G1332" s="73">
        <v>5</v>
      </c>
      <c r="H1332" s="68">
        <v>0</v>
      </c>
      <c r="I1332" s="68">
        <v>0</v>
      </c>
      <c r="J1332" s="71">
        <v>42706</v>
      </c>
      <c r="K1332" s="71">
        <v>42735</v>
      </c>
      <c r="L1332" s="69" t="s">
        <v>137</v>
      </c>
      <c r="M1332" s="69" t="s">
        <v>109</v>
      </c>
      <c r="N1332" s="72">
        <v>42774</v>
      </c>
      <c r="O1332" s="67"/>
      <c r="P1332" s="67" t="s">
        <v>95</v>
      </c>
      <c r="Q1332" s="67" t="s">
        <v>129</v>
      </c>
      <c r="R1332" s="69" t="s">
        <v>69</v>
      </c>
      <c r="S1332" s="69" t="s">
        <v>138</v>
      </c>
      <c r="T1332" s="67"/>
      <c r="U1332" s="67"/>
      <c r="V1332" s="72">
        <v>42735</v>
      </c>
      <c r="W1332" s="69">
        <v>415561213</v>
      </c>
      <c r="X1332" s="69" t="s">
        <v>261</v>
      </c>
      <c r="Y1332" s="123"/>
      <c r="Z1332" s="30">
        <f t="shared" si="40"/>
        <v>4227.3638773950279</v>
      </c>
      <c r="AA1332" s="30">
        <f t="shared" si="41"/>
        <v>2113.6819386975139</v>
      </c>
      <c r="AB1332" t="s">
        <v>456</v>
      </c>
    </row>
    <row r="1333" spans="1:28">
      <c r="A1333" s="67" t="s">
        <v>113</v>
      </c>
      <c r="B1333" s="68">
        <v>1206138</v>
      </c>
      <c r="C1333" s="69">
        <v>4615393323</v>
      </c>
      <c r="D1333" s="70">
        <v>19200</v>
      </c>
      <c r="E1333" s="79"/>
      <c r="F1333" s="68">
        <v>16</v>
      </c>
      <c r="G1333" s="68">
        <v>5</v>
      </c>
      <c r="H1333" s="68">
        <v>0</v>
      </c>
      <c r="I1333" s="68">
        <v>0</v>
      </c>
      <c r="J1333" s="71">
        <v>42713</v>
      </c>
      <c r="K1333" s="71">
        <v>42735</v>
      </c>
      <c r="L1333" s="69" t="s">
        <v>108</v>
      </c>
      <c r="M1333" s="69" t="s">
        <v>109</v>
      </c>
      <c r="N1333" s="72">
        <v>42774</v>
      </c>
      <c r="O1333" s="67"/>
      <c r="P1333" s="67" t="s">
        <v>95</v>
      </c>
      <c r="Q1333" s="67" t="s">
        <v>110</v>
      </c>
      <c r="R1333" s="69" t="s">
        <v>69</v>
      </c>
      <c r="S1333" s="69" t="s">
        <v>115</v>
      </c>
      <c r="T1333" s="67"/>
      <c r="U1333" s="67"/>
      <c r="V1333" s="72">
        <v>42735</v>
      </c>
      <c r="W1333" s="69" t="s">
        <v>245</v>
      </c>
      <c r="X1333" s="69"/>
      <c r="Y1333" s="123"/>
      <c r="Z1333" s="30">
        <f t="shared" si="40"/>
        <v>6772.6006943194379</v>
      </c>
      <c r="AA1333" s="30">
        <f t="shared" si="41"/>
        <v>2116.4377169748245</v>
      </c>
      <c r="AB1333" t="s">
        <v>456</v>
      </c>
    </row>
    <row r="1334" spans="1:28">
      <c r="A1334" s="67" t="s">
        <v>122</v>
      </c>
      <c r="B1334" s="68">
        <v>1198209</v>
      </c>
      <c r="C1334" s="69">
        <v>4615414736</v>
      </c>
      <c r="D1334" s="70">
        <v>19200</v>
      </c>
      <c r="E1334" s="79"/>
      <c r="F1334" s="73">
        <v>16</v>
      </c>
      <c r="G1334" s="73">
        <v>5</v>
      </c>
      <c r="H1334" s="68">
        <v>0</v>
      </c>
      <c r="I1334" s="68">
        <v>0</v>
      </c>
      <c r="J1334" s="71">
        <v>42692</v>
      </c>
      <c r="K1334" s="71">
        <v>42735</v>
      </c>
      <c r="L1334" s="69" t="s">
        <v>119</v>
      </c>
      <c r="M1334" s="69" t="s">
        <v>109</v>
      </c>
      <c r="N1334" s="72">
        <v>42774</v>
      </c>
      <c r="O1334" s="67"/>
      <c r="P1334" s="67" t="s">
        <v>95</v>
      </c>
      <c r="Q1334" s="67" t="s">
        <v>120</v>
      </c>
      <c r="R1334" s="69" t="s">
        <v>69</v>
      </c>
      <c r="S1334" s="69" t="s">
        <v>123</v>
      </c>
      <c r="T1334" s="67"/>
      <c r="U1334" s="67"/>
      <c r="V1334" s="72">
        <v>42735</v>
      </c>
      <c r="W1334" s="69">
        <v>2025777</v>
      </c>
      <c r="X1334" s="69"/>
      <c r="Y1334" s="123"/>
      <c r="Z1334" s="30">
        <f t="shared" si="40"/>
        <v>6772.6006943194379</v>
      </c>
      <c r="AA1334" s="30">
        <f t="shared" si="41"/>
        <v>2116.4377169748245</v>
      </c>
      <c r="AB1334" t="s">
        <v>456</v>
      </c>
    </row>
    <row r="1335" spans="1:28">
      <c r="A1335" s="67" t="s">
        <v>136</v>
      </c>
      <c r="B1335" s="68">
        <v>1201920</v>
      </c>
      <c r="C1335" s="69">
        <v>4615422518</v>
      </c>
      <c r="D1335" s="70">
        <v>19175</v>
      </c>
      <c r="E1335" s="79"/>
      <c r="F1335" s="73">
        <v>10</v>
      </c>
      <c r="G1335" s="73">
        <v>5</v>
      </c>
      <c r="H1335" s="68">
        <v>0</v>
      </c>
      <c r="I1335" s="68">
        <v>0</v>
      </c>
      <c r="J1335" s="71">
        <v>42706</v>
      </c>
      <c r="K1335" s="71">
        <v>42735</v>
      </c>
      <c r="L1335" s="69" t="s">
        <v>137</v>
      </c>
      <c r="M1335" s="69" t="s">
        <v>109</v>
      </c>
      <c r="N1335" s="72">
        <v>42773</v>
      </c>
      <c r="O1335" s="67"/>
      <c r="P1335" s="67" t="s">
        <v>95</v>
      </c>
      <c r="Q1335" s="67" t="s">
        <v>129</v>
      </c>
      <c r="R1335" s="69" t="s">
        <v>69</v>
      </c>
      <c r="S1335" s="69" t="s">
        <v>138</v>
      </c>
      <c r="T1335" s="67"/>
      <c r="U1335" s="67"/>
      <c r="V1335" s="72">
        <v>42735</v>
      </c>
      <c r="W1335" s="69">
        <v>415561213</v>
      </c>
      <c r="X1335" s="69" t="s">
        <v>261</v>
      </c>
      <c r="Y1335" s="123"/>
      <c r="Z1335" s="30">
        <f t="shared" si="40"/>
        <v>4227.3638773950279</v>
      </c>
      <c r="AA1335" s="30">
        <f t="shared" si="41"/>
        <v>2113.6819386975139</v>
      </c>
      <c r="AB1335" t="s">
        <v>456</v>
      </c>
    </row>
    <row r="1336" spans="1:28">
      <c r="A1336" s="67" t="s">
        <v>122</v>
      </c>
      <c r="B1336" s="68">
        <v>1208505</v>
      </c>
      <c r="C1336" s="69">
        <v>4615416099</v>
      </c>
      <c r="D1336" s="70">
        <v>19200</v>
      </c>
      <c r="E1336" s="79"/>
      <c r="F1336" s="73">
        <v>16</v>
      </c>
      <c r="G1336" s="73">
        <v>5</v>
      </c>
      <c r="H1336" s="68">
        <v>0</v>
      </c>
      <c r="I1336" s="68">
        <v>0</v>
      </c>
      <c r="J1336" s="71">
        <v>42713</v>
      </c>
      <c r="K1336" s="71">
        <v>42735</v>
      </c>
      <c r="L1336" s="69" t="s">
        <v>119</v>
      </c>
      <c r="M1336" s="69" t="s">
        <v>109</v>
      </c>
      <c r="N1336" s="72">
        <v>42773</v>
      </c>
      <c r="O1336" s="67"/>
      <c r="P1336" s="67" t="s">
        <v>95</v>
      </c>
      <c r="Q1336" s="67" t="s">
        <v>120</v>
      </c>
      <c r="R1336" s="69" t="s">
        <v>69</v>
      </c>
      <c r="S1336" s="69" t="s">
        <v>123</v>
      </c>
      <c r="T1336" s="67"/>
      <c r="U1336" s="67"/>
      <c r="V1336" s="72">
        <v>42735</v>
      </c>
      <c r="W1336" s="69">
        <v>2025760</v>
      </c>
      <c r="X1336" s="69"/>
      <c r="Y1336" s="123"/>
      <c r="Z1336" s="30">
        <f t="shared" si="40"/>
        <v>6772.6006943194379</v>
      </c>
      <c r="AA1336" s="30">
        <f t="shared" si="41"/>
        <v>2116.4377169748245</v>
      </c>
      <c r="AB1336" t="s">
        <v>456</v>
      </c>
    </row>
    <row r="1337" spans="1:28">
      <c r="A1337" s="67" t="s">
        <v>113</v>
      </c>
      <c r="B1337" s="68">
        <v>1206140</v>
      </c>
      <c r="C1337" s="69">
        <v>4615393323</v>
      </c>
      <c r="D1337" s="70">
        <v>19200</v>
      </c>
      <c r="E1337" s="79"/>
      <c r="F1337" s="68">
        <v>16</v>
      </c>
      <c r="G1337" s="68">
        <v>5</v>
      </c>
      <c r="H1337" s="68">
        <v>0</v>
      </c>
      <c r="I1337" s="68">
        <v>0</v>
      </c>
      <c r="J1337" s="71">
        <v>42713</v>
      </c>
      <c r="K1337" s="71">
        <v>42735</v>
      </c>
      <c r="L1337" s="69" t="s">
        <v>108</v>
      </c>
      <c r="M1337" s="69" t="s">
        <v>109</v>
      </c>
      <c r="N1337" s="72">
        <v>42772</v>
      </c>
      <c r="O1337" s="67"/>
      <c r="P1337" s="67" t="s">
        <v>95</v>
      </c>
      <c r="Q1337" s="67" t="s">
        <v>110</v>
      </c>
      <c r="R1337" s="69" t="s">
        <v>69</v>
      </c>
      <c r="S1337" s="69" t="s">
        <v>115</v>
      </c>
      <c r="T1337" s="67"/>
      <c r="U1337" s="67"/>
      <c r="V1337" s="72">
        <v>42735</v>
      </c>
      <c r="W1337" s="69" t="s">
        <v>245</v>
      </c>
      <c r="X1337" s="69"/>
      <c r="Y1337" s="123"/>
      <c r="Z1337" s="30">
        <f t="shared" si="40"/>
        <v>6772.6006943194379</v>
      </c>
      <c r="AA1337" s="30">
        <f t="shared" si="41"/>
        <v>2116.4377169748245</v>
      </c>
      <c r="AB1337" t="s">
        <v>456</v>
      </c>
    </row>
    <row r="1338" spans="1:28">
      <c r="A1338" s="67" t="s">
        <v>113</v>
      </c>
      <c r="B1338" s="68">
        <v>1206135</v>
      </c>
      <c r="C1338" s="69">
        <v>4615393323</v>
      </c>
      <c r="D1338" s="70">
        <v>19200</v>
      </c>
      <c r="E1338" s="79"/>
      <c r="F1338" s="68">
        <v>16</v>
      </c>
      <c r="G1338" s="68">
        <v>5</v>
      </c>
      <c r="H1338" s="68">
        <v>0</v>
      </c>
      <c r="I1338" s="68">
        <v>0</v>
      </c>
      <c r="J1338" s="71">
        <v>42713</v>
      </c>
      <c r="K1338" s="71">
        <v>42735</v>
      </c>
      <c r="L1338" s="69" t="s">
        <v>108</v>
      </c>
      <c r="M1338" s="69" t="s">
        <v>109</v>
      </c>
      <c r="N1338" s="72">
        <v>42772</v>
      </c>
      <c r="O1338" s="67"/>
      <c r="P1338" s="67" t="s">
        <v>95</v>
      </c>
      <c r="Q1338" s="67" t="s">
        <v>110</v>
      </c>
      <c r="R1338" s="69" t="s">
        <v>69</v>
      </c>
      <c r="S1338" s="69" t="s">
        <v>115</v>
      </c>
      <c r="T1338" s="67"/>
      <c r="U1338" s="67"/>
      <c r="V1338" s="72">
        <v>42735</v>
      </c>
      <c r="W1338" s="69" t="s">
        <v>245</v>
      </c>
      <c r="X1338" s="69"/>
      <c r="Y1338" s="123"/>
      <c r="Z1338" s="30">
        <f t="shared" si="40"/>
        <v>6772.6006943194379</v>
      </c>
      <c r="AA1338" s="30">
        <f t="shared" si="41"/>
        <v>2116.4377169748245</v>
      </c>
      <c r="AB1338" t="s">
        <v>456</v>
      </c>
    </row>
    <row r="1339" spans="1:28">
      <c r="A1339" s="67" t="s">
        <v>122</v>
      </c>
      <c r="B1339" s="68">
        <v>1202240</v>
      </c>
      <c r="C1339" s="69">
        <v>4615410885</v>
      </c>
      <c r="D1339" s="70">
        <v>19200</v>
      </c>
      <c r="E1339" s="79"/>
      <c r="F1339" s="68">
        <v>16</v>
      </c>
      <c r="G1339" s="68">
        <v>5</v>
      </c>
      <c r="H1339" s="68">
        <v>0</v>
      </c>
      <c r="I1339" s="68">
        <v>0</v>
      </c>
      <c r="J1339" s="71">
        <v>42699</v>
      </c>
      <c r="K1339" s="71">
        <v>42735</v>
      </c>
      <c r="L1339" s="69" t="s">
        <v>119</v>
      </c>
      <c r="M1339" s="69" t="s">
        <v>109</v>
      </c>
      <c r="N1339" s="72">
        <v>42772</v>
      </c>
      <c r="O1339" s="67"/>
      <c r="P1339" s="67" t="s">
        <v>95</v>
      </c>
      <c r="Q1339" s="67" t="s">
        <v>120</v>
      </c>
      <c r="R1339" s="69" t="s">
        <v>69</v>
      </c>
      <c r="S1339" s="69" t="s">
        <v>123</v>
      </c>
      <c r="T1339" s="67"/>
      <c r="U1339" s="67"/>
      <c r="V1339" s="72">
        <v>42735</v>
      </c>
      <c r="W1339" s="69">
        <v>2025659</v>
      </c>
      <c r="X1339" s="69"/>
      <c r="Y1339" s="123"/>
      <c r="Z1339" s="30">
        <f t="shared" si="40"/>
        <v>6772.6006943194379</v>
      </c>
      <c r="AA1339" s="30">
        <f t="shared" si="41"/>
        <v>2116.4377169748245</v>
      </c>
      <c r="AB1339" t="s">
        <v>456</v>
      </c>
    </row>
    <row r="1340" spans="1:28">
      <c r="A1340" s="67" t="s">
        <v>68</v>
      </c>
      <c r="B1340" s="68">
        <v>1202323</v>
      </c>
      <c r="C1340" s="69">
        <v>4615394107</v>
      </c>
      <c r="D1340" s="70">
        <v>19175</v>
      </c>
      <c r="E1340" s="79"/>
      <c r="F1340" s="68">
        <v>16</v>
      </c>
      <c r="G1340" s="68">
        <v>5</v>
      </c>
      <c r="H1340" s="68">
        <v>0</v>
      </c>
      <c r="I1340" s="68">
        <v>0</v>
      </c>
      <c r="J1340" s="71">
        <v>42698</v>
      </c>
      <c r="K1340" s="71">
        <v>42735</v>
      </c>
      <c r="L1340" s="69" t="s">
        <v>119</v>
      </c>
      <c r="M1340" s="69" t="s">
        <v>109</v>
      </c>
      <c r="N1340" s="72">
        <v>42772</v>
      </c>
      <c r="O1340" s="67"/>
      <c r="P1340" s="67" t="s">
        <v>95</v>
      </c>
      <c r="Q1340" s="67" t="s">
        <v>125</v>
      </c>
      <c r="R1340" s="69" t="s">
        <v>69</v>
      </c>
      <c r="S1340" s="69" t="s">
        <v>68</v>
      </c>
      <c r="T1340" s="67"/>
      <c r="U1340" s="67"/>
      <c r="V1340" s="72">
        <v>42735</v>
      </c>
      <c r="W1340" s="69">
        <v>5114729</v>
      </c>
      <c r="X1340" s="69"/>
      <c r="Y1340" s="123"/>
      <c r="Z1340" s="30">
        <f t="shared" si="40"/>
        <v>6763.7822038320437</v>
      </c>
      <c r="AA1340" s="30">
        <f t="shared" si="41"/>
        <v>2113.6819386975139</v>
      </c>
      <c r="AB1340" t="s">
        <v>456</v>
      </c>
    </row>
    <row r="1341" spans="1:28">
      <c r="A1341" s="67" t="s">
        <v>68</v>
      </c>
      <c r="B1341" s="68">
        <v>1202322</v>
      </c>
      <c r="C1341" s="69">
        <v>4615394107</v>
      </c>
      <c r="D1341" s="70">
        <v>19175</v>
      </c>
      <c r="E1341" s="79"/>
      <c r="F1341" s="68">
        <v>16</v>
      </c>
      <c r="G1341" s="68">
        <v>5</v>
      </c>
      <c r="H1341" s="68">
        <v>0</v>
      </c>
      <c r="I1341" s="68">
        <v>0</v>
      </c>
      <c r="J1341" s="71">
        <v>42698</v>
      </c>
      <c r="K1341" s="71">
        <v>42735</v>
      </c>
      <c r="L1341" s="69" t="s">
        <v>119</v>
      </c>
      <c r="M1341" s="69" t="s">
        <v>109</v>
      </c>
      <c r="N1341" s="72">
        <v>42772</v>
      </c>
      <c r="O1341" s="67"/>
      <c r="P1341" s="67" t="s">
        <v>95</v>
      </c>
      <c r="Q1341" s="67" t="s">
        <v>125</v>
      </c>
      <c r="R1341" s="69" t="s">
        <v>69</v>
      </c>
      <c r="S1341" s="69" t="s">
        <v>68</v>
      </c>
      <c r="T1341" s="67"/>
      <c r="U1341" s="67"/>
      <c r="V1341" s="72">
        <v>42735</v>
      </c>
      <c r="W1341" s="69">
        <v>5114729</v>
      </c>
      <c r="X1341" s="69"/>
      <c r="Y1341" s="123"/>
      <c r="Z1341" s="30">
        <f t="shared" si="40"/>
        <v>6763.7822038320437</v>
      </c>
      <c r="AA1341" s="30">
        <f t="shared" si="41"/>
        <v>2113.6819386975139</v>
      </c>
      <c r="AB1341" t="s">
        <v>456</v>
      </c>
    </row>
    <row r="1342" spans="1:28">
      <c r="A1342" s="67" t="s">
        <v>128</v>
      </c>
      <c r="B1342" s="68">
        <v>1204780</v>
      </c>
      <c r="C1342" s="69">
        <v>4615417859</v>
      </c>
      <c r="D1342" s="70">
        <v>19175</v>
      </c>
      <c r="E1342" s="79"/>
      <c r="F1342" s="68">
        <v>154.4</v>
      </c>
      <c r="G1342" s="68" t="s">
        <v>114</v>
      </c>
      <c r="H1342" s="68">
        <v>0</v>
      </c>
      <c r="I1342" s="68">
        <v>0</v>
      </c>
      <c r="J1342" s="71">
        <v>42711</v>
      </c>
      <c r="K1342" s="71">
        <v>42735</v>
      </c>
      <c r="L1342" s="69" t="s">
        <v>119</v>
      </c>
      <c r="M1342" s="69" t="s">
        <v>109</v>
      </c>
      <c r="N1342" s="72">
        <v>42771</v>
      </c>
      <c r="O1342" s="67"/>
      <c r="P1342" s="67" t="s">
        <v>95</v>
      </c>
      <c r="Q1342" s="67" t="s">
        <v>129</v>
      </c>
      <c r="R1342" s="69" t="s">
        <v>69</v>
      </c>
      <c r="S1342" s="69" t="s">
        <v>130</v>
      </c>
      <c r="T1342" s="67"/>
      <c r="U1342" s="67"/>
      <c r="V1342" s="72">
        <v>42735</v>
      </c>
      <c r="W1342" s="69">
        <v>425560027</v>
      </c>
      <c r="X1342" s="69"/>
      <c r="Y1342" s="123"/>
      <c r="Z1342" s="30">
        <f t="shared" si="40"/>
        <v>65270.498266979223</v>
      </c>
      <c r="AA1342" s="30">
        <f t="shared" si="41"/>
        <v>0</v>
      </c>
      <c r="AB1342" t="s">
        <v>456</v>
      </c>
    </row>
    <row r="1343" spans="1:28">
      <c r="A1343" s="67" t="s">
        <v>128</v>
      </c>
      <c r="B1343" s="68">
        <v>1196328</v>
      </c>
      <c r="C1343" s="69">
        <v>4615432616</v>
      </c>
      <c r="D1343" s="70">
        <v>19175</v>
      </c>
      <c r="E1343" s="79"/>
      <c r="F1343" s="82">
        <v>154.32</v>
      </c>
      <c r="G1343" s="82" t="s">
        <v>114</v>
      </c>
      <c r="H1343" s="68">
        <v>0</v>
      </c>
      <c r="I1343" s="68">
        <v>0</v>
      </c>
      <c r="J1343" s="71">
        <v>42694</v>
      </c>
      <c r="K1343" s="71">
        <v>42704</v>
      </c>
      <c r="L1343" s="69" t="s">
        <v>119</v>
      </c>
      <c r="M1343" s="69" t="s">
        <v>109</v>
      </c>
      <c r="N1343" s="72">
        <v>42771</v>
      </c>
      <c r="O1343" s="67"/>
      <c r="P1343" s="67" t="s">
        <v>95</v>
      </c>
      <c r="Q1343" s="67" t="s">
        <v>129</v>
      </c>
      <c r="R1343" s="69" t="s">
        <v>69</v>
      </c>
      <c r="S1343" s="69" t="s">
        <v>130</v>
      </c>
      <c r="T1343" s="67"/>
      <c r="U1343" s="67"/>
      <c r="V1343" s="72">
        <v>42704</v>
      </c>
      <c r="W1343" s="69">
        <v>425560029</v>
      </c>
      <c r="X1343" s="69"/>
      <c r="Y1343" s="123"/>
      <c r="Z1343" s="30">
        <f t="shared" si="40"/>
        <v>65236.679355960063</v>
      </c>
      <c r="AA1343" s="30">
        <f t="shared" si="41"/>
        <v>0</v>
      </c>
      <c r="AB1343" t="s">
        <v>456</v>
      </c>
    </row>
    <row r="1344" spans="1:28">
      <c r="A1344" s="67" t="s">
        <v>136</v>
      </c>
      <c r="B1344" s="68">
        <v>1201922</v>
      </c>
      <c r="C1344" s="69">
        <v>4615412462</v>
      </c>
      <c r="D1344" s="70">
        <v>19175</v>
      </c>
      <c r="E1344" s="79"/>
      <c r="F1344" s="73">
        <v>10</v>
      </c>
      <c r="G1344" s="73" t="s">
        <v>114</v>
      </c>
      <c r="H1344" s="68">
        <v>0</v>
      </c>
      <c r="I1344" s="68">
        <v>0</v>
      </c>
      <c r="J1344" s="71">
        <v>42705</v>
      </c>
      <c r="K1344" s="71">
        <v>42735</v>
      </c>
      <c r="L1344" s="69" t="s">
        <v>137</v>
      </c>
      <c r="M1344" s="69" t="s">
        <v>109</v>
      </c>
      <c r="N1344" s="72">
        <v>42771</v>
      </c>
      <c r="O1344" s="67"/>
      <c r="P1344" s="67" t="s">
        <v>95</v>
      </c>
      <c r="Q1344" s="67" t="s">
        <v>129</v>
      </c>
      <c r="R1344" s="69" t="s">
        <v>69</v>
      </c>
      <c r="S1344" s="69" t="s">
        <v>138</v>
      </c>
      <c r="T1344" s="67"/>
      <c r="U1344" s="67"/>
      <c r="V1344" s="72">
        <v>42735</v>
      </c>
      <c r="W1344" s="69">
        <v>415561210</v>
      </c>
      <c r="X1344" s="69" t="s">
        <v>261</v>
      </c>
      <c r="Y1344" s="123"/>
      <c r="Z1344" s="30">
        <f t="shared" si="40"/>
        <v>4227.3638773950279</v>
      </c>
      <c r="AA1344" s="30">
        <f t="shared" si="41"/>
        <v>0</v>
      </c>
      <c r="AB1344" t="s">
        <v>456</v>
      </c>
    </row>
    <row r="1345" spans="1:28">
      <c r="A1345" s="67" t="s">
        <v>136</v>
      </c>
      <c r="B1345" s="68">
        <v>1201921</v>
      </c>
      <c r="C1345" s="69">
        <v>4615412462</v>
      </c>
      <c r="D1345" s="70">
        <v>19175</v>
      </c>
      <c r="E1345" s="79"/>
      <c r="F1345" s="73">
        <v>10</v>
      </c>
      <c r="G1345" s="73" t="s">
        <v>114</v>
      </c>
      <c r="H1345" s="68">
        <v>0</v>
      </c>
      <c r="I1345" s="68">
        <v>0</v>
      </c>
      <c r="J1345" s="71">
        <v>42705</v>
      </c>
      <c r="K1345" s="71">
        <v>42735</v>
      </c>
      <c r="L1345" s="69" t="s">
        <v>137</v>
      </c>
      <c r="M1345" s="69" t="s">
        <v>109</v>
      </c>
      <c r="N1345" s="72">
        <v>42771</v>
      </c>
      <c r="O1345" s="67"/>
      <c r="P1345" s="67" t="s">
        <v>95</v>
      </c>
      <c r="Q1345" s="67" t="s">
        <v>129</v>
      </c>
      <c r="R1345" s="69" t="s">
        <v>69</v>
      </c>
      <c r="S1345" s="69" t="s">
        <v>138</v>
      </c>
      <c r="T1345" s="67"/>
      <c r="U1345" s="67"/>
      <c r="V1345" s="72">
        <v>42735</v>
      </c>
      <c r="W1345" s="69">
        <v>415561210</v>
      </c>
      <c r="X1345" s="69" t="s">
        <v>261</v>
      </c>
      <c r="Y1345" s="123"/>
      <c r="Z1345" s="30">
        <f t="shared" si="40"/>
        <v>4227.3638773950279</v>
      </c>
      <c r="AA1345" s="30">
        <f t="shared" si="41"/>
        <v>0</v>
      </c>
      <c r="AB1345" t="s">
        <v>456</v>
      </c>
    </row>
    <row r="1346" spans="1:28">
      <c r="A1346" s="67" t="s">
        <v>113</v>
      </c>
      <c r="B1346" s="68">
        <v>1206134</v>
      </c>
      <c r="C1346" s="69">
        <v>4615393323</v>
      </c>
      <c r="D1346" s="70">
        <v>19200</v>
      </c>
      <c r="E1346" s="79"/>
      <c r="F1346" s="68">
        <v>16</v>
      </c>
      <c r="G1346" s="68">
        <v>5</v>
      </c>
      <c r="H1346" s="68">
        <v>0</v>
      </c>
      <c r="I1346" s="68">
        <v>0</v>
      </c>
      <c r="J1346" s="71">
        <v>42713</v>
      </c>
      <c r="K1346" s="71">
        <v>42735</v>
      </c>
      <c r="L1346" s="69" t="s">
        <v>108</v>
      </c>
      <c r="M1346" s="69" t="s">
        <v>109</v>
      </c>
      <c r="N1346" s="72">
        <v>42771</v>
      </c>
      <c r="O1346" s="67"/>
      <c r="P1346" s="67" t="s">
        <v>95</v>
      </c>
      <c r="Q1346" s="67" t="s">
        <v>110</v>
      </c>
      <c r="R1346" s="69" t="s">
        <v>69</v>
      </c>
      <c r="S1346" s="69" t="s">
        <v>115</v>
      </c>
      <c r="T1346" s="67"/>
      <c r="U1346" s="67"/>
      <c r="V1346" s="72">
        <v>42735</v>
      </c>
      <c r="W1346" s="69" t="s">
        <v>245</v>
      </c>
      <c r="X1346" s="69"/>
      <c r="Y1346" s="123"/>
      <c r="Z1346" s="30">
        <f t="shared" si="40"/>
        <v>6772.6006943194379</v>
      </c>
      <c r="AA1346" s="30">
        <f t="shared" si="41"/>
        <v>2116.4377169748245</v>
      </c>
      <c r="AB1346" t="s">
        <v>456</v>
      </c>
    </row>
    <row r="1347" spans="1:28">
      <c r="A1347" s="67" t="s">
        <v>113</v>
      </c>
      <c r="B1347" s="68">
        <v>1206139</v>
      </c>
      <c r="C1347" s="69">
        <v>4615393323</v>
      </c>
      <c r="D1347" s="70">
        <v>19200</v>
      </c>
      <c r="E1347" s="79"/>
      <c r="F1347" s="68">
        <v>16</v>
      </c>
      <c r="G1347" s="68">
        <v>5</v>
      </c>
      <c r="H1347" s="68">
        <v>0</v>
      </c>
      <c r="I1347" s="68">
        <v>0</v>
      </c>
      <c r="J1347" s="71">
        <v>42713</v>
      </c>
      <c r="K1347" s="71">
        <v>42735</v>
      </c>
      <c r="L1347" s="69" t="s">
        <v>108</v>
      </c>
      <c r="M1347" s="69" t="s">
        <v>109</v>
      </c>
      <c r="N1347" s="72">
        <v>42771</v>
      </c>
      <c r="O1347" s="67"/>
      <c r="P1347" s="67" t="s">
        <v>95</v>
      </c>
      <c r="Q1347" s="67" t="s">
        <v>110</v>
      </c>
      <c r="R1347" s="69" t="s">
        <v>69</v>
      </c>
      <c r="S1347" s="69" t="s">
        <v>115</v>
      </c>
      <c r="T1347" s="67"/>
      <c r="U1347" s="67"/>
      <c r="V1347" s="72">
        <v>42735</v>
      </c>
      <c r="W1347" s="69" t="s">
        <v>245</v>
      </c>
      <c r="X1347" s="69"/>
      <c r="Y1347" s="123"/>
      <c r="Z1347" s="30">
        <f t="shared" ref="Z1347:Z1410" si="42">CONVERT(D1347,"kg","lbm")*F1347/100</f>
        <v>6772.6006943194379</v>
      </c>
      <c r="AA1347" s="30">
        <f t="shared" ref="AA1347:AA1410" si="43">CONVERT(D1347,"kg","lbm")*G1347/100</f>
        <v>2116.4377169748245</v>
      </c>
      <c r="AB1347" t="s">
        <v>456</v>
      </c>
    </row>
    <row r="1348" spans="1:28">
      <c r="A1348" s="67" t="s">
        <v>113</v>
      </c>
      <c r="B1348" s="68">
        <v>1206133</v>
      </c>
      <c r="C1348" s="69">
        <v>4615393323</v>
      </c>
      <c r="D1348" s="70">
        <v>19200</v>
      </c>
      <c r="E1348" s="79"/>
      <c r="F1348" s="68">
        <v>16</v>
      </c>
      <c r="G1348" s="68">
        <v>5</v>
      </c>
      <c r="H1348" s="68">
        <v>0</v>
      </c>
      <c r="I1348" s="68">
        <v>0</v>
      </c>
      <c r="J1348" s="71">
        <v>42713</v>
      </c>
      <c r="K1348" s="71">
        <v>42735</v>
      </c>
      <c r="L1348" s="69" t="s">
        <v>108</v>
      </c>
      <c r="M1348" s="69" t="s">
        <v>109</v>
      </c>
      <c r="N1348" s="72">
        <v>42771</v>
      </c>
      <c r="O1348" s="67"/>
      <c r="P1348" s="67" t="s">
        <v>95</v>
      </c>
      <c r="Q1348" s="67" t="s">
        <v>110</v>
      </c>
      <c r="R1348" s="69" t="s">
        <v>69</v>
      </c>
      <c r="S1348" s="69" t="s">
        <v>115</v>
      </c>
      <c r="T1348" s="67"/>
      <c r="U1348" s="67"/>
      <c r="V1348" s="72">
        <v>42735</v>
      </c>
      <c r="W1348" s="69" t="s">
        <v>245</v>
      </c>
      <c r="X1348" s="69"/>
      <c r="Y1348" s="123"/>
      <c r="Z1348" s="30">
        <f t="shared" si="42"/>
        <v>6772.6006943194379</v>
      </c>
      <c r="AA1348" s="30">
        <f t="shared" si="43"/>
        <v>2116.4377169748245</v>
      </c>
      <c r="AB1348" t="s">
        <v>456</v>
      </c>
    </row>
    <row r="1349" spans="1:28">
      <c r="A1349" s="67" t="s">
        <v>122</v>
      </c>
      <c r="B1349" s="68">
        <v>1202247</v>
      </c>
      <c r="C1349" s="69">
        <v>4615410885</v>
      </c>
      <c r="D1349" s="70">
        <v>19200</v>
      </c>
      <c r="E1349" s="79"/>
      <c r="F1349" s="68">
        <v>16</v>
      </c>
      <c r="G1349" s="68">
        <v>5</v>
      </c>
      <c r="H1349" s="68">
        <v>0</v>
      </c>
      <c r="I1349" s="68">
        <v>0</v>
      </c>
      <c r="J1349" s="71">
        <v>42699</v>
      </c>
      <c r="K1349" s="71">
        <v>42735</v>
      </c>
      <c r="L1349" s="69" t="s">
        <v>119</v>
      </c>
      <c r="M1349" s="69" t="s">
        <v>109</v>
      </c>
      <c r="N1349" s="72">
        <v>42771</v>
      </c>
      <c r="O1349" s="67"/>
      <c r="P1349" s="67" t="s">
        <v>95</v>
      </c>
      <c r="Q1349" s="67" t="s">
        <v>120</v>
      </c>
      <c r="R1349" s="69" t="s">
        <v>69</v>
      </c>
      <c r="S1349" s="69" t="s">
        <v>123</v>
      </c>
      <c r="T1349" s="67"/>
      <c r="U1349" s="67"/>
      <c r="V1349" s="72">
        <v>42735</v>
      </c>
      <c r="W1349" s="69">
        <v>2025659</v>
      </c>
      <c r="X1349" s="69"/>
      <c r="Y1349" s="123"/>
      <c r="Z1349" s="30">
        <f t="shared" si="42"/>
        <v>6772.6006943194379</v>
      </c>
      <c r="AA1349" s="30">
        <f t="shared" si="43"/>
        <v>2116.4377169748245</v>
      </c>
      <c r="AB1349" t="s">
        <v>456</v>
      </c>
    </row>
    <row r="1350" spans="1:28">
      <c r="A1350" s="67" t="s">
        <v>122</v>
      </c>
      <c r="B1350" s="68">
        <v>1202241</v>
      </c>
      <c r="C1350" s="69">
        <v>4615410885</v>
      </c>
      <c r="D1350" s="70">
        <v>19200</v>
      </c>
      <c r="E1350" s="79"/>
      <c r="F1350" s="68">
        <v>16</v>
      </c>
      <c r="G1350" s="68">
        <v>5</v>
      </c>
      <c r="H1350" s="68">
        <v>0</v>
      </c>
      <c r="I1350" s="68">
        <v>0</v>
      </c>
      <c r="J1350" s="71">
        <v>42699</v>
      </c>
      <c r="K1350" s="71">
        <v>42735</v>
      </c>
      <c r="L1350" s="69" t="s">
        <v>119</v>
      </c>
      <c r="M1350" s="69" t="s">
        <v>109</v>
      </c>
      <c r="N1350" s="72">
        <v>42771</v>
      </c>
      <c r="O1350" s="67"/>
      <c r="P1350" s="67" t="s">
        <v>95</v>
      </c>
      <c r="Q1350" s="67" t="s">
        <v>120</v>
      </c>
      <c r="R1350" s="69" t="s">
        <v>69</v>
      </c>
      <c r="S1350" s="69" t="s">
        <v>123</v>
      </c>
      <c r="T1350" s="67"/>
      <c r="U1350" s="67"/>
      <c r="V1350" s="72">
        <v>42735</v>
      </c>
      <c r="W1350" s="69">
        <v>2025659</v>
      </c>
      <c r="X1350" s="69"/>
      <c r="Y1350" s="123"/>
      <c r="Z1350" s="30">
        <f t="shared" si="42"/>
        <v>6772.6006943194379</v>
      </c>
      <c r="AA1350" s="30">
        <f t="shared" si="43"/>
        <v>2116.4377169748245</v>
      </c>
      <c r="AB1350" t="s">
        <v>456</v>
      </c>
    </row>
    <row r="1351" spans="1:28">
      <c r="A1351" s="67" t="s">
        <v>122</v>
      </c>
      <c r="B1351" s="68">
        <v>1202239</v>
      </c>
      <c r="C1351" s="69">
        <v>4615410885</v>
      </c>
      <c r="D1351" s="70">
        <v>19200</v>
      </c>
      <c r="E1351" s="79"/>
      <c r="F1351" s="68">
        <v>16</v>
      </c>
      <c r="G1351" s="68">
        <v>5</v>
      </c>
      <c r="H1351" s="68">
        <v>0</v>
      </c>
      <c r="I1351" s="68">
        <v>0</v>
      </c>
      <c r="J1351" s="71">
        <v>42699</v>
      </c>
      <c r="K1351" s="71">
        <v>42735</v>
      </c>
      <c r="L1351" s="69" t="s">
        <v>119</v>
      </c>
      <c r="M1351" s="69" t="s">
        <v>109</v>
      </c>
      <c r="N1351" s="72">
        <v>42771</v>
      </c>
      <c r="O1351" s="67"/>
      <c r="P1351" s="67" t="s">
        <v>95</v>
      </c>
      <c r="Q1351" s="67" t="s">
        <v>120</v>
      </c>
      <c r="R1351" s="69" t="s">
        <v>69</v>
      </c>
      <c r="S1351" s="69" t="s">
        <v>123</v>
      </c>
      <c r="T1351" s="67"/>
      <c r="U1351" s="67"/>
      <c r="V1351" s="72">
        <v>42735</v>
      </c>
      <c r="W1351" s="69">
        <v>2025659</v>
      </c>
      <c r="X1351" s="69"/>
      <c r="Y1351" s="123"/>
      <c r="Z1351" s="30">
        <f t="shared" si="42"/>
        <v>6772.6006943194379</v>
      </c>
      <c r="AA1351" s="30">
        <f t="shared" si="43"/>
        <v>2116.4377169748245</v>
      </c>
      <c r="AB1351" t="s">
        <v>456</v>
      </c>
    </row>
    <row r="1352" spans="1:28">
      <c r="A1352" s="67" t="s">
        <v>122</v>
      </c>
      <c r="B1352" s="68">
        <v>1198217</v>
      </c>
      <c r="C1352" s="69">
        <v>4615414736</v>
      </c>
      <c r="D1352" s="70">
        <v>19200</v>
      </c>
      <c r="E1352" s="79"/>
      <c r="F1352" s="73">
        <v>16</v>
      </c>
      <c r="G1352" s="73">
        <v>5</v>
      </c>
      <c r="H1352" s="68">
        <v>0</v>
      </c>
      <c r="I1352" s="68">
        <v>0</v>
      </c>
      <c r="J1352" s="71">
        <v>42692</v>
      </c>
      <c r="K1352" s="71">
        <v>42735</v>
      </c>
      <c r="L1352" s="69" t="s">
        <v>119</v>
      </c>
      <c r="M1352" s="69" t="s">
        <v>109</v>
      </c>
      <c r="N1352" s="72">
        <v>42771</v>
      </c>
      <c r="O1352" s="67"/>
      <c r="P1352" s="67" t="s">
        <v>95</v>
      </c>
      <c r="Q1352" s="67" t="s">
        <v>120</v>
      </c>
      <c r="R1352" s="69" t="s">
        <v>69</v>
      </c>
      <c r="S1352" s="69" t="s">
        <v>123</v>
      </c>
      <c r="T1352" s="67"/>
      <c r="U1352" s="67"/>
      <c r="V1352" s="72">
        <v>42735</v>
      </c>
      <c r="W1352" s="69">
        <v>2025777</v>
      </c>
      <c r="X1352" s="69"/>
      <c r="Y1352" s="123"/>
      <c r="Z1352" s="30">
        <f t="shared" si="42"/>
        <v>6772.6006943194379</v>
      </c>
      <c r="AA1352" s="30">
        <f t="shared" si="43"/>
        <v>2116.4377169748245</v>
      </c>
      <c r="AB1352" t="s">
        <v>456</v>
      </c>
    </row>
    <row r="1353" spans="1:28">
      <c r="A1353" s="67" t="s">
        <v>68</v>
      </c>
      <c r="B1353" s="68">
        <v>1202326</v>
      </c>
      <c r="C1353" s="69">
        <v>4615394107</v>
      </c>
      <c r="D1353" s="70">
        <v>19175</v>
      </c>
      <c r="E1353" s="79"/>
      <c r="F1353" s="68">
        <v>16</v>
      </c>
      <c r="G1353" s="68">
        <v>5</v>
      </c>
      <c r="H1353" s="68">
        <v>0</v>
      </c>
      <c r="I1353" s="68">
        <v>0</v>
      </c>
      <c r="J1353" s="71">
        <v>42698</v>
      </c>
      <c r="K1353" s="71">
        <v>42735</v>
      </c>
      <c r="L1353" s="69" t="s">
        <v>119</v>
      </c>
      <c r="M1353" s="69" t="s">
        <v>109</v>
      </c>
      <c r="N1353" s="72">
        <v>42771</v>
      </c>
      <c r="O1353" s="67"/>
      <c r="P1353" s="67" t="s">
        <v>95</v>
      </c>
      <c r="Q1353" s="67" t="s">
        <v>125</v>
      </c>
      <c r="R1353" s="69" t="s">
        <v>69</v>
      </c>
      <c r="S1353" s="69" t="s">
        <v>68</v>
      </c>
      <c r="T1353" s="67"/>
      <c r="U1353" s="67"/>
      <c r="V1353" s="72">
        <v>42735</v>
      </c>
      <c r="W1353" s="69">
        <v>5114729</v>
      </c>
      <c r="X1353" s="69"/>
      <c r="Y1353" s="123"/>
      <c r="Z1353" s="30">
        <f t="shared" si="42"/>
        <v>6763.7822038320437</v>
      </c>
      <c r="AA1353" s="30">
        <f t="shared" si="43"/>
        <v>2113.6819386975139</v>
      </c>
      <c r="AB1353" t="s">
        <v>456</v>
      </c>
    </row>
    <row r="1354" spans="1:28">
      <c r="A1354" s="67" t="s">
        <v>68</v>
      </c>
      <c r="B1354" s="68">
        <v>1202318</v>
      </c>
      <c r="C1354" s="69">
        <v>4615394107</v>
      </c>
      <c r="D1354" s="70">
        <v>19175</v>
      </c>
      <c r="E1354" s="79"/>
      <c r="F1354" s="68">
        <v>16</v>
      </c>
      <c r="G1354" s="68">
        <v>5</v>
      </c>
      <c r="H1354" s="68">
        <v>0</v>
      </c>
      <c r="I1354" s="68">
        <v>0</v>
      </c>
      <c r="J1354" s="71">
        <v>42698</v>
      </c>
      <c r="K1354" s="71">
        <v>42735</v>
      </c>
      <c r="L1354" s="69" t="s">
        <v>119</v>
      </c>
      <c r="M1354" s="69" t="s">
        <v>109</v>
      </c>
      <c r="N1354" s="72">
        <v>42771</v>
      </c>
      <c r="O1354" s="67"/>
      <c r="P1354" s="67" t="s">
        <v>95</v>
      </c>
      <c r="Q1354" s="67" t="s">
        <v>125</v>
      </c>
      <c r="R1354" s="69" t="s">
        <v>69</v>
      </c>
      <c r="S1354" s="69" t="s">
        <v>68</v>
      </c>
      <c r="T1354" s="67"/>
      <c r="U1354" s="67"/>
      <c r="V1354" s="72">
        <v>42735</v>
      </c>
      <c r="W1354" s="69">
        <v>5114729</v>
      </c>
      <c r="X1354" s="69"/>
      <c r="Y1354" s="123"/>
      <c r="Z1354" s="30">
        <f t="shared" si="42"/>
        <v>6763.7822038320437</v>
      </c>
      <c r="AA1354" s="30">
        <f t="shared" si="43"/>
        <v>2113.6819386975139</v>
      </c>
      <c r="AB1354" t="s">
        <v>456</v>
      </c>
    </row>
    <row r="1355" spans="1:28">
      <c r="A1355" s="67" t="s">
        <v>122</v>
      </c>
      <c r="B1355" s="68">
        <v>1202246</v>
      </c>
      <c r="C1355" s="69">
        <v>4615410885</v>
      </c>
      <c r="D1355" s="70">
        <v>19200</v>
      </c>
      <c r="E1355" s="79"/>
      <c r="F1355" s="68">
        <v>16</v>
      </c>
      <c r="G1355" s="68">
        <v>5</v>
      </c>
      <c r="H1355" s="68">
        <v>0</v>
      </c>
      <c r="I1355" s="68">
        <v>0</v>
      </c>
      <c r="J1355" s="71">
        <v>42699</v>
      </c>
      <c r="K1355" s="71">
        <v>42735</v>
      </c>
      <c r="L1355" s="69" t="s">
        <v>119</v>
      </c>
      <c r="M1355" s="69" t="s">
        <v>109</v>
      </c>
      <c r="N1355" s="72">
        <v>42768</v>
      </c>
      <c r="O1355" s="67"/>
      <c r="P1355" s="67" t="s">
        <v>95</v>
      </c>
      <c r="Q1355" s="67" t="s">
        <v>120</v>
      </c>
      <c r="R1355" s="69" t="s">
        <v>69</v>
      </c>
      <c r="S1355" s="69" t="s">
        <v>123</v>
      </c>
      <c r="T1355" s="67"/>
      <c r="U1355" s="67"/>
      <c r="V1355" s="72">
        <v>42735</v>
      </c>
      <c r="W1355" s="69">
        <v>2025659</v>
      </c>
      <c r="X1355" s="69"/>
      <c r="Y1355" s="123"/>
      <c r="Z1355" s="30">
        <f t="shared" si="42"/>
        <v>6772.6006943194379</v>
      </c>
      <c r="AA1355" s="30">
        <f t="shared" si="43"/>
        <v>2116.4377169748245</v>
      </c>
      <c r="AB1355" t="s">
        <v>456</v>
      </c>
    </row>
    <row r="1356" spans="1:28">
      <c r="A1356" s="67" t="s">
        <v>122</v>
      </c>
      <c r="B1356" s="68">
        <v>1198211</v>
      </c>
      <c r="C1356" s="69">
        <v>4615414736</v>
      </c>
      <c r="D1356" s="70">
        <v>19200</v>
      </c>
      <c r="E1356" s="79"/>
      <c r="F1356" s="73">
        <v>16</v>
      </c>
      <c r="G1356" s="73">
        <v>5</v>
      </c>
      <c r="H1356" s="68">
        <v>0</v>
      </c>
      <c r="I1356" s="68">
        <v>0</v>
      </c>
      <c r="J1356" s="71">
        <v>42692</v>
      </c>
      <c r="K1356" s="71">
        <v>42735</v>
      </c>
      <c r="L1356" s="69" t="s">
        <v>119</v>
      </c>
      <c r="M1356" s="69" t="s">
        <v>109</v>
      </c>
      <c r="N1356" s="72">
        <v>42768</v>
      </c>
      <c r="O1356" s="67"/>
      <c r="P1356" s="67" t="s">
        <v>95</v>
      </c>
      <c r="Q1356" s="67" t="s">
        <v>120</v>
      </c>
      <c r="R1356" s="69" t="s">
        <v>69</v>
      </c>
      <c r="S1356" s="69" t="s">
        <v>123</v>
      </c>
      <c r="T1356" s="67"/>
      <c r="U1356" s="67"/>
      <c r="V1356" s="72">
        <v>42735</v>
      </c>
      <c r="W1356" s="69">
        <v>2025777</v>
      </c>
      <c r="X1356" s="69"/>
      <c r="Y1356" s="123"/>
      <c r="Z1356" s="30">
        <f t="shared" si="42"/>
        <v>6772.6006943194379</v>
      </c>
      <c r="AA1356" s="30">
        <f t="shared" si="43"/>
        <v>2116.4377169748245</v>
      </c>
      <c r="AB1356" t="s">
        <v>456</v>
      </c>
    </row>
    <row r="1357" spans="1:28">
      <c r="A1357" s="67" t="s">
        <v>68</v>
      </c>
      <c r="B1357" s="68">
        <v>1202319</v>
      </c>
      <c r="C1357" s="69">
        <v>4615394107</v>
      </c>
      <c r="D1357" s="70">
        <v>19175</v>
      </c>
      <c r="E1357" s="79"/>
      <c r="F1357" s="68">
        <v>16</v>
      </c>
      <c r="G1357" s="68">
        <v>5</v>
      </c>
      <c r="H1357" s="68">
        <v>0</v>
      </c>
      <c r="I1357" s="68">
        <v>0</v>
      </c>
      <c r="J1357" s="71">
        <v>42698</v>
      </c>
      <c r="K1357" s="71">
        <v>42735</v>
      </c>
      <c r="L1357" s="69" t="s">
        <v>119</v>
      </c>
      <c r="M1357" s="69" t="s">
        <v>109</v>
      </c>
      <c r="N1357" s="72">
        <v>42768</v>
      </c>
      <c r="O1357" s="67"/>
      <c r="P1357" s="67" t="s">
        <v>95</v>
      </c>
      <c r="Q1357" s="67" t="s">
        <v>125</v>
      </c>
      <c r="R1357" s="69" t="s">
        <v>69</v>
      </c>
      <c r="S1357" s="69" t="s">
        <v>68</v>
      </c>
      <c r="T1357" s="67"/>
      <c r="U1357" s="67"/>
      <c r="V1357" s="72">
        <v>42735</v>
      </c>
      <c r="W1357" s="69">
        <v>5114729</v>
      </c>
      <c r="X1357" s="69"/>
      <c r="Y1357" s="123"/>
      <c r="Z1357" s="30">
        <f t="shared" si="42"/>
        <v>6763.7822038320437</v>
      </c>
      <c r="AA1357" s="30">
        <f t="shared" si="43"/>
        <v>2113.6819386975139</v>
      </c>
      <c r="AB1357" t="s">
        <v>456</v>
      </c>
    </row>
    <row r="1358" spans="1:28">
      <c r="A1358" s="67" t="s">
        <v>122</v>
      </c>
      <c r="B1358" s="68">
        <v>1202245</v>
      </c>
      <c r="C1358" s="69">
        <v>4615410885</v>
      </c>
      <c r="D1358" s="70">
        <v>19200</v>
      </c>
      <c r="E1358" s="79"/>
      <c r="F1358" s="68">
        <v>16</v>
      </c>
      <c r="G1358" s="68">
        <v>5</v>
      </c>
      <c r="H1358" s="68">
        <v>0</v>
      </c>
      <c r="I1358" s="68">
        <v>0</v>
      </c>
      <c r="J1358" s="71">
        <v>42699</v>
      </c>
      <c r="K1358" s="71">
        <v>42735</v>
      </c>
      <c r="L1358" s="69" t="s">
        <v>119</v>
      </c>
      <c r="M1358" s="69" t="s">
        <v>109</v>
      </c>
      <c r="N1358" s="72">
        <v>42767</v>
      </c>
      <c r="O1358" s="67"/>
      <c r="P1358" s="67" t="s">
        <v>95</v>
      </c>
      <c r="Q1358" s="67" t="s">
        <v>120</v>
      </c>
      <c r="R1358" s="69" t="s">
        <v>69</v>
      </c>
      <c r="S1358" s="69" t="s">
        <v>123</v>
      </c>
      <c r="T1358" s="67"/>
      <c r="U1358" s="67"/>
      <c r="V1358" s="72">
        <v>42735</v>
      </c>
      <c r="W1358" s="69">
        <v>2025659</v>
      </c>
      <c r="X1358" s="69"/>
      <c r="Y1358" s="123"/>
      <c r="Z1358" s="30">
        <f t="shared" si="42"/>
        <v>6772.6006943194379</v>
      </c>
      <c r="AA1358" s="30">
        <f t="shared" si="43"/>
        <v>2116.4377169748245</v>
      </c>
      <c r="AB1358" t="s">
        <v>456</v>
      </c>
    </row>
    <row r="1359" spans="1:28">
      <c r="A1359" s="67" t="s">
        <v>122</v>
      </c>
      <c r="B1359" s="68">
        <v>1141343</v>
      </c>
      <c r="C1359" s="69">
        <v>4615362350</v>
      </c>
      <c r="D1359" s="70">
        <v>19200</v>
      </c>
      <c r="E1359" s="79"/>
      <c r="F1359" s="68">
        <v>16</v>
      </c>
      <c r="G1359" s="68">
        <v>5</v>
      </c>
      <c r="H1359" s="68">
        <v>0</v>
      </c>
      <c r="I1359" s="68">
        <v>0</v>
      </c>
      <c r="J1359" s="71"/>
      <c r="K1359" s="71">
        <v>42521</v>
      </c>
      <c r="L1359" s="69" t="s">
        <v>80</v>
      </c>
      <c r="M1359" s="69" t="s">
        <v>109</v>
      </c>
      <c r="N1359" s="72">
        <v>42767</v>
      </c>
      <c r="O1359" s="67"/>
      <c r="P1359" s="67" t="s">
        <v>95</v>
      </c>
      <c r="Q1359" s="67" t="s">
        <v>120</v>
      </c>
      <c r="R1359" s="69" t="s">
        <v>69</v>
      </c>
      <c r="S1359" s="69" t="s">
        <v>123</v>
      </c>
      <c r="T1359" s="67"/>
      <c r="U1359" s="67"/>
      <c r="V1359" s="72">
        <v>42521</v>
      </c>
      <c r="W1359" s="69">
        <v>2018456</v>
      </c>
      <c r="X1359" s="69" t="s">
        <v>263</v>
      </c>
      <c r="Y1359" s="123"/>
      <c r="Z1359" s="30">
        <f t="shared" si="42"/>
        <v>6772.6006943194379</v>
      </c>
      <c r="AA1359" s="30">
        <f t="shared" si="43"/>
        <v>2116.4377169748245</v>
      </c>
      <c r="AB1359" t="s">
        <v>456</v>
      </c>
    </row>
    <row r="1360" spans="1:28">
      <c r="A1360" s="67" t="s">
        <v>68</v>
      </c>
      <c r="B1360" s="68">
        <v>1202321</v>
      </c>
      <c r="C1360" s="69">
        <v>4615394107</v>
      </c>
      <c r="D1360" s="70">
        <v>19175</v>
      </c>
      <c r="E1360" s="79"/>
      <c r="F1360" s="68">
        <v>16</v>
      </c>
      <c r="G1360" s="68">
        <v>5</v>
      </c>
      <c r="H1360" s="68">
        <v>0</v>
      </c>
      <c r="I1360" s="68">
        <v>0</v>
      </c>
      <c r="J1360" s="71">
        <v>42698</v>
      </c>
      <c r="K1360" s="71">
        <v>42735</v>
      </c>
      <c r="L1360" s="69" t="s">
        <v>119</v>
      </c>
      <c r="M1360" s="69" t="s">
        <v>109</v>
      </c>
      <c r="N1360" s="72">
        <v>42767</v>
      </c>
      <c r="O1360" s="67"/>
      <c r="P1360" s="67" t="s">
        <v>95</v>
      </c>
      <c r="Q1360" s="67" t="s">
        <v>125</v>
      </c>
      <c r="R1360" s="69" t="s">
        <v>69</v>
      </c>
      <c r="S1360" s="69" t="s">
        <v>68</v>
      </c>
      <c r="T1360" s="67"/>
      <c r="U1360" s="67"/>
      <c r="V1360" s="72">
        <v>42735</v>
      </c>
      <c r="W1360" s="69">
        <v>5114729</v>
      </c>
      <c r="X1360" s="69"/>
      <c r="Y1360" s="123"/>
      <c r="Z1360" s="30">
        <f t="shared" si="42"/>
        <v>6763.7822038320437</v>
      </c>
      <c r="AA1360" s="30">
        <f t="shared" si="43"/>
        <v>2113.6819386975139</v>
      </c>
      <c r="AB1360" t="s">
        <v>456</v>
      </c>
    </row>
    <row r="1361" spans="1:28">
      <c r="A1361" s="67" t="s">
        <v>128</v>
      </c>
      <c r="B1361" s="68">
        <v>1196326</v>
      </c>
      <c r="C1361" s="69">
        <v>4615432616</v>
      </c>
      <c r="D1361" s="70">
        <v>19175</v>
      </c>
      <c r="E1361" s="79"/>
      <c r="F1361" s="82">
        <v>154.32</v>
      </c>
      <c r="G1361" s="82" t="s">
        <v>114</v>
      </c>
      <c r="H1361" s="68">
        <v>0</v>
      </c>
      <c r="I1361" s="68">
        <v>0</v>
      </c>
      <c r="J1361" s="71">
        <v>42694</v>
      </c>
      <c r="K1361" s="71">
        <v>42704</v>
      </c>
      <c r="L1361" s="69" t="s">
        <v>119</v>
      </c>
      <c r="M1361" s="69" t="s">
        <v>109</v>
      </c>
      <c r="N1361" s="72">
        <v>42766</v>
      </c>
      <c r="O1361" s="67"/>
      <c r="P1361" s="67" t="s">
        <v>95</v>
      </c>
      <c r="Q1361" s="67" t="s">
        <v>129</v>
      </c>
      <c r="R1361" s="69" t="s">
        <v>69</v>
      </c>
      <c r="S1361" s="69" t="s">
        <v>130</v>
      </c>
      <c r="T1361" s="67"/>
      <c r="U1361" s="67"/>
      <c r="V1361" s="72">
        <v>42704</v>
      </c>
      <c r="W1361" s="69">
        <v>425560029</v>
      </c>
      <c r="X1361" s="69"/>
      <c r="Y1361" s="123"/>
      <c r="Z1361" s="30">
        <f t="shared" si="42"/>
        <v>65236.679355960063</v>
      </c>
      <c r="AA1361" s="30">
        <f t="shared" si="43"/>
        <v>0</v>
      </c>
      <c r="AB1361" t="s">
        <v>456</v>
      </c>
    </row>
    <row r="1362" spans="1:28">
      <c r="A1362" s="67" t="s">
        <v>122</v>
      </c>
      <c r="B1362" s="68">
        <v>1198210</v>
      </c>
      <c r="C1362" s="69">
        <v>4615414736</v>
      </c>
      <c r="D1362" s="70">
        <v>19200</v>
      </c>
      <c r="E1362" s="79"/>
      <c r="F1362" s="73">
        <v>16</v>
      </c>
      <c r="G1362" s="73">
        <v>5</v>
      </c>
      <c r="H1362" s="68">
        <v>0</v>
      </c>
      <c r="I1362" s="68">
        <v>0</v>
      </c>
      <c r="J1362" s="71">
        <v>42692</v>
      </c>
      <c r="K1362" s="71">
        <v>42735</v>
      </c>
      <c r="L1362" s="69" t="s">
        <v>119</v>
      </c>
      <c r="M1362" s="69" t="s">
        <v>109</v>
      </c>
      <c r="N1362" s="72">
        <v>42766</v>
      </c>
      <c r="O1362" s="67"/>
      <c r="P1362" s="67" t="s">
        <v>95</v>
      </c>
      <c r="Q1362" s="67" t="s">
        <v>120</v>
      </c>
      <c r="R1362" s="69" t="s">
        <v>69</v>
      </c>
      <c r="S1362" s="69" t="s">
        <v>123</v>
      </c>
      <c r="T1362" s="67"/>
      <c r="U1362" s="67"/>
      <c r="V1362" s="72">
        <v>42735</v>
      </c>
      <c r="W1362" s="69">
        <v>2025777</v>
      </c>
      <c r="X1362" s="69"/>
      <c r="Y1362" s="123"/>
      <c r="Z1362" s="30">
        <f t="shared" si="42"/>
        <v>6772.6006943194379</v>
      </c>
      <c r="AA1362" s="30">
        <f t="shared" si="43"/>
        <v>2116.4377169748245</v>
      </c>
      <c r="AB1362" t="s">
        <v>456</v>
      </c>
    </row>
    <row r="1363" spans="1:28">
      <c r="A1363" s="67" t="s">
        <v>68</v>
      </c>
      <c r="B1363" s="68">
        <v>1202324</v>
      </c>
      <c r="C1363" s="69">
        <v>4615394107</v>
      </c>
      <c r="D1363" s="70">
        <v>19175</v>
      </c>
      <c r="E1363" s="79"/>
      <c r="F1363" s="68">
        <v>16</v>
      </c>
      <c r="G1363" s="68">
        <v>5</v>
      </c>
      <c r="H1363" s="68">
        <v>0</v>
      </c>
      <c r="I1363" s="68">
        <v>0</v>
      </c>
      <c r="J1363" s="71">
        <v>42698</v>
      </c>
      <c r="K1363" s="71">
        <v>42735</v>
      </c>
      <c r="L1363" s="69" t="s">
        <v>119</v>
      </c>
      <c r="M1363" s="69" t="s">
        <v>109</v>
      </c>
      <c r="N1363" s="72">
        <v>42766</v>
      </c>
      <c r="O1363" s="67"/>
      <c r="P1363" s="67" t="s">
        <v>95</v>
      </c>
      <c r="Q1363" s="67" t="s">
        <v>125</v>
      </c>
      <c r="R1363" s="69" t="s">
        <v>69</v>
      </c>
      <c r="S1363" s="69" t="s">
        <v>68</v>
      </c>
      <c r="T1363" s="67"/>
      <c r="U1363" s="67"/>
      <c r="V1363" s="72">
        <v>42735</v>
      </c>
      <c r="W1363" s="69">
        <v>5114729</v>
      </c>
      <c r="X1363" s="69"/>
      <c r="Y1363" s="123"/>
      <c r="Z1363" s="30">
        <f t="shared" si="42"/>
        <v>6763.7822038320437</v>
      </c>
      <c r="AA1363" s="30">
        <f t="shared" si="43"/>
        <v>2113.6819386975139</v>
      </c>
      <c r="AB1363" t="s">
        <v>456</v>
      </c>
    </row>
    <row r="1364" spans="1:28">
      <c r="A1364" s="67" t="s">
        <v>68</v>
      </c>
      <c r="B1364" s="68">
        <v>1202320</v>
      </c>
      <c r="C1364" s="69">
        <v>4615394107</v>
      </c>
      <c r="D1364" s="70">
        <v>19175</v>
      </c>
      <c r="E1364" s="79"/>
      <c r="F1364" s="68">
        <v>16</v>
      </c>
      <c r="G1364" s="68">
        <v>5</v>
      </c>
      <c r="H1364" s="68">
        <v>0</v>
      </c>
      <c r="I1364" s="68">
        <v>0</v>
      </c>
      <c r="J1364" s="71">
        <v>42698</v>
      </c>
      <c r="K1364" s="71">
        <v>42735</v>
      </c>
      <c r="L1364" s="69" t="s">
        <v>119</v>
      </c>
      <c r="M1364" s="69" t="s">
        <v>109</v>
      </c>
      <c r="N1364" s="72">
        <v>42766</v>
      </c>
      <c r="O1364" s="67"/>
      <c r="P1364" s="67" t="s">
        <v>95</v>
      </c>
      <c r="Q1364" s="67" t="s">
        <v>125</v>
      </c>
      <c r="R1364" s="69" t="s">
        <v>69</v>
      </c>
      <c r="S1364" s="69" t="s">
        <v>68</v>
      </c>
      <c r="T1364" s="67"/>
      <c r="U1364" s="67"/>
      <c r="V1364" s="72">
        <v>42735</v>
      </c>
      <c r="W1364" s="69">
        <v>5114729</v>
      </c>
      <c r="X1364" s="69"/>
      <c r="Y1364" s="123"/>
      <c r="Z1364" s="30">
        <f t="shared" si="42"/>
        <v>6763.7822038320437</v>
      </c>
      <c r="AA1364" s="30">
        <f t="shared" si="43"/>
        <v>2113.6819386975139</v>
      </c>
      <c r="AB1364" t="s">
        <v>456</v>
      </c>
    </row>
    <row r="1365" spans="1:28">
      <c r="A1365" s="67" t="s">
        <v>136</v>
      </c>
      <c r="B1365" s="68">
        <v>1204272</v>
      </c>
      <c r="C1365" s="69">
        <v>4615438483</v>
      </c>
      <c r="D1365" s="70">
        <v>19175</v>
      </c>
      <c r="E1365" s="79"/>
      <c r="F1365" s="73">
        <v>10</v>
      </c>
      <c r="G1365" s="73" t="s">
        <v>114</v>
      </c>
      <c r="H1365" s="68">
        <v>0</v>
      </c>
      <c r="I1365" s="68">
        <v>0</v>
      </c>
      <c r="J1365" s="71"/>
      <c r="K1365" s="71">
        <v>42735</v>
      </c>
      <c r="L1365" s="69" t="s">
        <v>80</v>
      </c>
      <c r="M1365" s="69" t="s">
        <v>109</v>
      </c>
      <c r="N1365" s="72">
        <v>42765</v>
      </c>
      <c r="O1365" s="67"/>
      <c r="P1365" s="67" t="s">
        <v>95</v>
      </c>
      <c r="Q1365" s="67" t="s">
        <v>129</v>
      </c>
      <c r="R1365" s="69" t="s">
        <v>69</v>
      </c>
      <c r="S1365" s="69" t="s">
        <v>138</v>
      </c>
      <c r="T1365" s="67"/>
      <c r="U1365" s="67"/>
      <c r="V1365" s="72">
        <v>42735</v>
      </c>
      <c r="W1365" s="69">
        <v>415560172</v>
      </c>
      <c r="X1365" s="69" t="s">
        <v>264</v>
      </c>
      <c r="Y1365" s="123"/>
      <c r="Z1365" s="30">
        <f t="shared" si="42"/>
        <v>4227.3638773950279</v>
      </c>
      <c r="AA1365" s="30">
        <f t="shared" si="43"/>
        <v>0</v>
      </c>
      <c r="AB1365" t="s">
        <v>456</v>
      </c>
    </row>
    <row r="1366" spans="1:28">
      <c r="A1366" s="67" t="s">
        <v>122</v>
      </c>
      <c r="B1366" s="68">
        <v>1202248</v>
      </c>
      <c r="C1366" s="69">
        <v>4615410885</v>
      </c>
      <c r="D1366" s="70">
        <v>19200</v>
      </c>
      <c r="E1366" s="79"/>
      <c r="F1366" s="68">
        <v>16</v>
      </c>
      <c r="G1366" s="68">
        <v>5</v>
      </c>
      <c r="H1366" s="68">
        <v>0</v>
      </c>
      <c r="I1366" s="68">
        <v>0</v>
      </c>
      <c r="J1366" s="71">
        <v>42699</v>
      </c>
      <c r="K1366" s="71">
        <v>42735</v>
      </c>
      <c r="L1366" s="69" t="s">
        <v>119</v>
      </c>
      <c r="M1366" s="69" t="s">
        <v>109</v>
      </c>
      <c r="N1366" s="72">
        <v>42765</v>
      </c>
      <c r="O1366" s="67"/>
      <c r="P1366" s="67" t="s">
        <v>95</v>
      </c>
      <c r="Q1366" s="67" t="s">
        <v>120</v>
      </c>
      <c r="R1366" s="69" t="s">
        <v>69</v>
      </c>
      <c r="S1366" s="69" t="s">
        <v>123</v>
      </c>
      <c r="T1366" s="67"/>
      <c r="U1366" s="67"/>
      <c r="V1366" s="72">
        <v>42735</v>
      </c>
      <c r="W1366" s="69">
        <v>2025659</v>
      </c>
      <c r="X1366" s="69"/>
      <c r="Y1366" s="123"/>
      <c r="Z1366" s="30">
        <f t="shared" si="42"/>
        <v>6772.6006943194379</v>
      </c>
      <c r="AA1366" s="30">
        <f t="shared" si="43"/>
        <v>2116.4377169748245</v>
      </c>
      <c r="AB1366" t="s">
        <v>456</v>
      </c>
    </row>
    <row r="1367" spans="1:28">
      <c r="A1367" s="67" t="s">
        <v>122</v>
      </c>
      <c r="B1367" s="68">
        <v>1202244</v>
      </c>
      <c r="C1367" s="69">
        <v>4615410885</v>
      </c>
      <c r="D1367" s="70">
        <v>19200</v>
      </c>
      <c r="E1367" s="79"/>
      <c r="F1367" s="68">
        <v>16</v>
      </c>
      <c r="G1367" s="68">
        <v>5</v>
      </c>
      <c r="H1367" s="68">
        <v>0</v>
      </c>
      <c r="I1367" s="68">
        <v>0</v>
      </c>
      <c r="J1367" s="71">
        <v>42699</v>
      </c>
      <c r="K1367" s="71">
        <v>42735</v>
      </c>
      <c r="L1367" s="69" t="s">
        <v>119</v>
      </c>
      <c r="M1367" s="69" t="s">
        <v>109</v>
      </c>
      <c r="N1367" s="72">
        <v>42765</v>
      </c>
      <c r="O1367" s="67"/>
      <c r="P1367" s="67" t="s">
        <v>95</v>
      </c>
      <c r="Q1367" s="67" t="s">
        <v>120</v>
      </c>
      <c r="R1367" s="69" t="s">
        <v>69</v>
      </c>
      <c r="S1367" s="69" t="s">
        <v>123</v>
      </c>
      <c r="T1367" s="67"/>
      <c r="U1367" s="67"/>
      <c r="V1367" s="72">
        <v>42735</v>
      </c>
      <c r="W1367" s="69">
        <v>2025659</v>
      </c>
      <c r="X1367" s="69"/>
      <c r="Y1367" s="123"/>
      <c r="Z1367" s="30">
        <f t="shared" si="42"/>
        <v>6772.6006943194379</v>
      </c>
      <c r="AA1367" s="30">
        <f t="shared" si="43"/>
        <v>2116.4377169748245</v>
      </c>
      <c r="AB1367" t="s">
        <v>456</v>
      </c>
    </row>
    <row r="1368" spans="1:28">
      <c r="A1368" s="67" t="s">
        <v>122</v>
      </c>
      <c r="B1368" s="68">
        <v>1202243</v>
      </c>
      <c r="C1368" s="69">
        <v>4615410885</v>
      </c>
      <c r="D1368" s="70">
        <v>19200</v>
      </c>
      <c r="E1368" s="79"/>
      <c r="F1368" s="68">
        <v>16</v>
      </c>
      <c r="G1368" s="68">
        <v>5</v>
      </c>
      <c r="H1368" s="68">
        <v>0</v>
      </c>
      <c r="I1368" s="68">
        <v>0</v>
      </c>
      <c r="J1368" s="71">
        <v>42699</v>
      </c>
      <c r="K1368" s="71">
        <v>42735</v>
      </c>
      <c r="L1368" s="69" t="s">
        <v>119</v>
      </c>
      <c r="M1368" s="69" t="s">
        <v>109</v>
      </c>
      <c r="N1368" s="72">
        <v>42765</v>
      </c>
      <c r="O1368" s="67"/>
      <c r="P1368" s="67" t="s">
        <v>95</v>
      </c>
      <c r="Q1368" s="67" t="s">
        <v>120</v>
      </c>
      <c r="R1368" s="69" t="s">
        <v>69</v>
      </c>
      <c r="S1368" s="69" t="s">
        <v>123</v>
      </c>
      <c r="T1368" s="67"/>
      <c r="U1368" s="67"/>
      <c r="V1368" s="72">
        <v>42735</v>
      </c>
      <c r="W1368" s="69">
        <v>2025659</v>
      </c>
      <c r="X1368" s="69"/>
      <c r="Y1368" s="123"/>
      <c r="Z1368" s="30">
        <f t="shared" si="42"/>
        <v>6772.6006943194379</v>
      </c>
      <c r="AA1368" s="30">
        <f t="shared" si="43"/>
        <v>2116.4377169748245</v>
      </c>
      <c r="AB1368" t="s">
        <v>456</v>
      </c>
    </row>
    <row r="1369" spans="1:28">
      <c r="A1369" s="67" t="s">
        <v>122</v>
      </c>
      <c r="B1369" s="68">
        <v>1198218</v>
      </c>
      <c r="C1369" s="69">
        <v>4615414736</v>
      </c>
      <c r="D1369" s="70">
        <v>19200</v>
      </c>
      <c r="E1369" s="79"/>
      <c r="F1369" s="73">
        <v>16</v>
      </c>
      <c r="G1369" s="73">
        <v>5</v>
      </c>
      <c r="H1369" s="68">
        <v>0</v>
      </c>
      <c r="I1369" s="68">
        <v>0</v>
      </c>
      <c r="J1369" s="71">
        <v>42692</v>
      </c>
      <c r="K1369" s="71">
        <v>42735</v>
      </c>
      <c r="L1369" s="69" t="s">
        <v>119</v>
      </c>
      <c r="M1369" s="69" t="s">
        <v>109</v>
      </c>
      <c r="N1369" s="72">
        <v>42765</v>
      </c>
      <c r="O1369" s="67"/>
      <c r="P1369" s="67" t="s">
        <v>95</v>
      </c>
      <c r="Q1369" s="67" t="s">
        <v>120</v>
      </c>
      <c r="R1369" s="69" t="s">
        <v>69</v>
      </c>
      <c r="S1369" s="69" t="s">
        <v>123</v>
      </c>
      <c r="T1369" s="67"/>
      <c r="U1369" s="67"/>
      <c r="V1369" s="72">
        <v>42735</v>
      </c>
      <c r="W1369" s="69">
        <v>2025777</v>
      </c>
      <c r="X1369" s="69"/>
      <c r="Y1369" s="123"/>
      <c r="Z1369" s="30">
        <f t="shared" si="42"/>
        <v>6772.6006943194379</v>
      </c>
      <c r="AA1369" s="30">
        <f t="shared" si="43"/>
        <v>2116.4377169748245</v>
      </c>
      <c r="AB1369" t="s">
        <v>456</v>
      </c>
    </row>
    <row r="1370" spans="1:28">
      <c r="A1370" s="67" t="s">
        <v>122</v>
      </c>
      <c r="B1370" s="68">
        <v>1198214</v>
      </c>
      <c r="C1370" s="69">
        <v>4615414736</v>
      </c>
      <c r="D1370" s="70">
        <v>19200</v>
      </c>
      <c r="E1370" s="79"/>
      <c r="F1370" s="73">
        <v>16</v>
      </c>
      <c r="G1370" s="73">
        <v>5</v>
      </c>
      <c r="H1370" s="68">
        <v>0</v>
      </c>
      <c r="I1370" s="68">
        <v>0</v>
      </c>
      <c r="J1370" s="71">
        <v>42692</v>
      </c>
      <c r="K1370" s="71">
        <v>42735</v>
      </c>
      <c r="L1370" s="69" t="s">
        <v>119</v>
      </c>
      <c r="M1370" s="69" t="s">
        <v>109</v>
      </c>
      <c r="N1370" s="72">
        <v>42765</v>
      </c>
      <c r="O1370" s="67"/>
      <c r="P1370" s="67" t="s">
        <v>95</v>
      </c>
      <c r="Q1370" s="67" t="s">
        <v>120</v>
      </c>
      <c r="R1370" s="69" t="s">
        <v>69</v>
      </c>
      <c r="S1370" s="69" t="s">
        <v>123</v>
      </c>
      <c r="T1370" s="67"/>
      <c r="U1370" s="67"/>
      <c r="V1370" s="72">
        <v>42735</v>
      </c>
      <c r="W1370" s="69">
        <v>2025777</v>
      </c>
      <c r="X1370" s="69"/>
      <c r="Y1370" s="123"/>
      <c r="Z1370" s="30">
        <f t="shared" si="42"/>
        <v>6772.6006943194379</v>
      </c>
      <c r="AA1370" s="30">
        <f t="shared" si="43"/>
        <v>2116.4377169748245</v>
      </c>
      <c r="AB1370" t="s">
        <v>456</v>
      </c>
    </row>
    <row r="1371" spans="1:28">
      <c r="A1371" s="67" t="s">
        <v>128</v>
      </c>
      <c r="B1371" s="68">
        <v>1196325</v>
      </c>
      <c r="C1371" s="69">
        <v>4615432616</v>
      </c>
      <c r="D1371" s="70">
        <v>19175</v>
      </c>
      <c r="E1371" s="79"/>
      <c r="F1371" s="82">
        <v>154.32</v>
      </c>
      <c r="G1371" s="82" t="s">
        <v>114</v>
      </c>
      <c r="H1371" s="68">
        <v>0</v>
      </c>
      <c r="I1371" s="68">
        <v>0</v>
      </c>
      <c r="J1371" s="71">
        <v>42694</v>
      </c>
      <c r="K1371" s="71">
        <v>42704</v>
      </c>
      <c r="L1371" s="69" t="s">
        <v>119</v>
      </c>
      <c r="M1371" s="69" t="s">
        <v>109</v>
      </c>
      <c r="N1371" s="72">
        <v>42764</v>
      </c>
      <c r="O1371" s="67"/>
      <c r="P1371" s="67" t="s">
        <v>95</v>
      </c>
      <c r="Q1371" s="67" t="s">
        <v>129</v>
      </c>
      <c r="R1371" s="69" t="s">
        <v>69</v>
      </c>
      <c r="S1371" s="69" t="s">
        <v>130</v>
      </c>
      <c r="T1371" s="67"/>
      <c r="U1371" s="67"/>
      <c r="V1371" s="72">
        <v>42704</v>
      </c>
      <c r="W1371" s="69">
        <v>425560029</v>
      </c>
      <c r="X1371" s="69"/>
      <c r="Y1371" s="123"/>
      <c r="Z1371" s="30">
        <f t="shared" si="42"/>
        <v>65236.679355960063</v>
      </c>
      <c r="AA1371" s="30">
        <f t="shared" si="43"/>
        <v>0</v>
      </c>
      <c r="AB1371" t="s">
        <v>456</v>
      </c>
    </row>
    <row r="1372" spans="1:28">
      <c r="A1372" s="67" t="s">
        <v>136</v>
      </c>
      <c r="B1372" s="68">
        <v>1201950</v>
      </c>
      <c r="C1372" s="69">
        <v>4615378597</v>
      </c>
      <c r="D1372" s="70">
        <v>19175</v>
      </c>
      <c r="E1372" s="79"/>
      <c r="F1372" s="73">
        <v>10</v>
      </c>
      <c r="G1372" s="73" t="s">
        <v>114</v>
      </c>
      <c r="H1372" s="68">
        <v>0</v>
      </c>
      <c r="I1372" s="68">
        <v>0</v>
      </c>
      <c r="J1372" s="71">
        <v>42705</v>
      </c>
      <c r="K1372" s="71">
        <v>42766</v>
      </c>
      <c r="L1372" s="69" t="s">
        <v>137</v>
      </c>
      <c r="M1372" s="69" t="s">
        <v>109</v>
      </c>
      <c r="N1372" s="72">
        <v>42764</v>
      </c>
      <c r="O1372" s="67"/>
      <c r="P1372" s="67" t="s">
        <v>95</v>
      </c>
      <c r="Q1372" s="67" t="s">
        <v>129</v>
      </c>
      <c r="R1372" s="69" t="s">
        <v>69</v>
      </c>
      <c r="S1372" s="69" t="s">
        <v>138</v>
      </c>
      <c r="T1372" s="67"/>
      <c r="U1372" s="67"/>
      <c r="V1372" s="72">
        <v>42766</v>
      </c>
      <c r="W1372" s="69">
        <v>415570027</v>
      </c>
      <c r="X1372" s="69" t="s">
        <v>265</v>
      </c>
      <c r="Y1372" s="123"/>
      <c r="Z1372" s="30">
        <f t="shared" si="42"/>
        <v>4227.3638773950279</v>
      </c>
      <c r="AA1372" s="30">
        <f t="shared" si="43"/>
        <v>0</v>
      </c>
      <c r="AB1372" t="s">
        <v>456</v>
      </c>
    </row>
    <row r="1373" spans="1:28">
      <c r="A1373" s="67" t="s">
        <v>136</v>
      </c>
      <c r="B1373" s="68">
        <v>1196167</v>
      </c>
      <c r="C1373" s="69">
        <v>4615419342</v>
      </c>
      <c r="D1373" s="70">
        <v>19175</v>
      </c>
      <c r="E1373" s="79"/>
      <c r="F1373" s="73">
        <v>10</v>
      </c>
      <c r="G1373" s="73" t="s">
        <v>114</v>
      </c>
      <c r="H1373" s="68">
        <v>0</v>
      </c>
      <c r="I1373" s="68">
        <v>0</v>
      </c>
      <c r="J1373" s="71">
        <v>42705</v>
      </c>
      <c r="K1373" s="71">
        <v>42735</v>
      </c>
      <c r="L1373" s="69" t="s">
        <v>137</v>
      </c>
      <c r="M1373" s="69" t="s">
        <v>109</v>
      </c>
      <c r="N1373" s="72">
        <v>42764</v>
      </c>
      <c r="O1373" s="67"/>
      <c r="P1373" s="67" t="s">
        <v>95</v>
      </c>
      <c r="Q1373" s="67" t="s">
        <v>129</v>
      </c>
      <c r="R1373" s="69" t="s">
        <v>69</v>
      </c>
      <c r="S1373" s="69" t="s">
        <v>138</v>
      </c>
      <c r="T1373" s="67"/>
      <c r="U1373" s="67"/>
      <c r="V1373" s="72">
        <v>42735</v>
      </c>
      <c r="W1373" s="69">
        <v>415561209</v>
      </c>
      <c r="X1373" s="69"/>
      <c r="Y1373" s="123"/>
      <c r="Z1373" s="30">
        <f t="shared" si="42"/>
        <v>4227.3638773950279</v>
      </c>
      <c r="AA1373" s="30">
        <f t="shared" si="43"/>
        <v>0</v>
      </c>
      <c r="AB1373" t="s">
        <v>456</v>
      </c>
    </row>
    <row r="1374" spans="1:28">
      <c r="A1374" s="67" t="s">
        <v>136</v>
      </c>
      <c r="B1374" s="68">
        <v>1201952</v>
      </c>
      <c r="C1374" s="69">
        <v>4615378597</v>
      </c>
      <c r="D1374" s="70">
        <v>19175</v>
      </c>
      <c r="E1374" s="79"/>
      <c r="F1374" s="73">
        <v>10</v>
      </c>
      <c r="G1374" s="73" t="s">
        <v>114</v>
      </c>
      <c r="H1374" s="68">
        <v>0</v>
      </c>
      <c r="I1374" s="68">
        <v>0</v>
      </c>
      <c r="J1374" s="71">
        <v>42705</v>
      </c>
      <c r="K1374" s="71">
        <v>42766</v>
      </c>
      <c r="L1374" s="69" t="s">
        <v>137</v>
      </c>
      <c r="M1374" s="69" t="s">
        <v>109</v>
      </c>
      <c r="N1374" s="72">
        <v>42764</v>
      </c>
      <c r="O1374" s="67"/>
      <c r="P1374" s="67" t="s">
        <v>95</v>
      </c>
      <c r="Q1374" s="67" t="s">
        <v>129</v>
      </c>
      <c r="R1374" s="69" t="s">
        <v>69</v>
      </c>
      <c r="S1374" s="69" t="s">
        <v>138</v>
      </c>
      <c r="T1374" s="67"/>
      <c r="U1374" s="67"/>
      <c r="V1374" s="72">
        <v>42766</v>
      </c>
      <c r="W1374" s="69">
        <v>415570027</v>
      </c>
      <c r="X1374" s="69" t="s">
        <v>265</v>
      </c>
      <c r="Y1374" s="123"/>
      <c r="Z1374" s="30">
        <f t="shared" si="42"/>
        <v>4227.3638773950279</v>
      </c>
      <c r="AA1374" s="30">
        <f t="shared" si="43"/>
        <v>0</v>
      </c>
      <c r="AB1374" t="s">
        <v>456</v>
      </c>
    </row>
    <row r="1375" spans="1:28">
      <c r="A1375" s="67" t="s">
        <v>122</v>
      </c>
      <c r="B1375" s="68">
        <v>1202242</v>
      </c>
      <c r="C1375" s="69">
        <v>4615410885</v>
      </c>
      <c r="D1375" s="70">
        <v>19200</v>
      </c>
      <c r="E1375" s="79"/>
      <c r="F1375" s="68">
        <v>16</v>
      </c>
      <c r="G1375" s="68">
        <v>5</v>
      </c>
      <c r="H1375" s="68">
        <v>0</v>
      </c>
      <c r="I1375" s="68">
        <v>0</v>
      </c>
      <c r="J1375" s="71">
        <v>42699</v>
      </c>
      <c r="K1375" s="71">
        <v>42735</v>
      </c>
      <c r="L1375" s="69" t="s">
        <v>119</v>
      </c>
      <c r="M1375" s="69" t="s">
        <v>109</v>
      </c>
      <c r="N1375" s="72">
        <v>42764</v>
      </c>
      <c r="O1375" s="67"/>
      <c r="P1375" s="67" t="s">
        <v>95</v>
      </c>
      <c r="Q1375" s="67" t="s">
        <v>120</v>
      </c>
      <c r="R1375" s="69" t="s">
        <v>69</v>
      </c>
      <c r="S1375" s="69" t="s">
        <v>123</v>
      </c>
      <c r="T1375" s="67"/>
      <c r="U1375" s="67"/>
      <c r="V1375" s="72">
        <v>42735</v>
      </c>
      <c r="W1375" s="69">
        <v>2025659</v>
      </c>
      <c r="X1375" s="69"/>
      <c r="Y1375" s="123"/>
      <c r="Z1375" s="30">
        <f t="shared" si="42"/>
        <v>6772.6006943194379</v>
      </c>
      <c r="AA1375" s="30">
        <f t="shared" si="43"/>
        <v>2116.4377169748245</v>
      </c>
      <c r="AB1375" t="s">
        <v>456</v>
      </c>
    </row>
    <row r="1376" spans="1:28">
      <c r="A1376" s="67" t="s">
        <v>122</v>
      </c>
      <c r="B1376" s="68">
        <v>1198212</v>
      </c>
      <c r="C1376" s="69">
        <v>4615414736</v>
      </c>
      <c r="D1376" s="70">
        <v>19200</v>
      </c>
      <c r="E1376" s="79"/>
      <c r="F1376" s="73">
        <v>16</v>
      </c>
      <c r="G1376" s="73">
        <v>5</v>
      </c>
      <c r="H1376" s="68">
        <v>0</v>
      </c>
      <c r="I1376" s="68">
        <v>0</v>
      </c>
      <c r="J1376" s="71">
        <v>42692</v>
      </c>
      <c r="K1376" s="71">
        <v>42735</v>
      </c>
      <c r="L1376" s="69" t="s">
        <v>119</v>
      </c>
      <c r="M1376" s="69" t="s">
        <v>109</v>
      </c>
      <c r="N1376" s="72">
        <v>42764</v>
      </c>
      <c r="O1376" s="67"/>
      <c r="P1376" s="67" t="s">
        <v>95</v>
      </c>
      <c r="Q1376" s="67" t="s">
        <v>120</v>
      </c>
      <c r="R1376" s="69" t="s">
        <v>69</v>
      </c>
      <c r="S1376" s="69" t="s">
        <v>123</v>
      </c>
      <c r="T1376" s="67"/>
      <c r="U1376" s="67"/>
      <c r="V1376" s="72">
        <v>42735</v>
      </c>
      <c r="W1376" s="69">
        <v>2025777</v>
      </c>
      <c r="X1376" s="69"/>
      <c r="Y1376" s="123"/>
      <c r="Z1376" s="30">
        <f t="shared" si="42"/>
        <v>6772.6006943194379</v>
      </c>
      <c r="AA1376" s="30">
        <f t="shared" si="43"/>
        <v>2116.4377169748245</v>
      </c>
      <c r="AB1376" t="s">
        <v>456</v>
      </c>
    </row>
    <row r="1377" spans="1:28">
      <c r="A1377" s="67" t="s">
        <v>113</v>
      </c>
      <c r="B1377" s="68">
        <v>1194952</v>
      </c>
      <c r="C1377" s="69">
        <v>4615410298</v>
      </c>
      <c r="D1377" s="70">
        <v>19200</v>
      </c>
      <c r="E1377" s="79"/>
      <c r="F1377" s="68">
        <v>16</v>
      </c>
      <c r="G1377" s="68">
        <v>5</v>
      </c>
      <c r="H1377" s="68">
        <v>0</v>
      </c>
      <c r="I1377" s="68">
        <v>0</v>
      </c>
      <c r="J1377" s="71">
        <v>42681</v>
      </c>
      <c r="K1377" s="71">
        <v>42704</v>
      </c>
      <c r="L1377" s="69" t="s">
        <v>119</v>
      </c>
      <c r="M1377" s="69" t="s">
        <v>109</v>
      </c>
      <c r="N1377" s="72">
        <v>42764</v>
      </c>
      <c r="O1377" s="67"/>
      <c r="P1377" s="67" t="s">
        <v>95</v>
      </c>
      <c r="Q1377" s="67" t="s">
        <v>110</v>
      </c>
      <c r="R1377" s="69" t="s">
        <v>69</v>
      </c>
      <c r="S1377" s="69" t="s">
        <v>115</v>
      </c>
      <c r="T1377" s="67"/>
      <c r="U1377" s="67"/>
      <c r="V1377" s="72">
        <v>42704</v>
      </c>
      <c r="W1377" s="69" t="s">
        <v>236</v>
      </c>
      <c r="X1377" s="69"/>
      <c r="Y1377" s="123"/>
      <c r="Z1377" s="30">
        <f t="shared" si="42"/>
        <v>6772.6006943194379</v>
      </c>
      <c r="AA1377" s="30">
        <f t="shared" si="43"/>
        <v>2116.4377169748245</v>
      </c>
      <c r="AB1377" t="s">
        <v>456</v>
      </c>
    </row>
    <row r="1378" spans="1:28">
      <c r="A1378" s="67" t="s">
        <v>122</v>
      </c>
      <c r="B1378" s="68">
        <v>1198208</v>
      </c>
      <c r="C1378" s="69">
        <v>4615414736</v>
      </c>
      <c r="D1378" s="70">
        <v>19200</v>
      </c>
      <c r="E1378" s="79"/>
      <c r="F1378" s="73">
        <v>16</v>
      </c>
      <c r="G1378" s="73">
        <v>5</v>
      </c>
      <c r="H1378" s="68">
        <v>0</v>
      </c>
      <c r="I1378" s="68">
        <v>0</v>
      </c>
      <c r="J1378" s="71">
        <v>42692</v>
      </c>
      <c r="K1378" s="71">
        <v>42735</v>
      </c>
      <c r="L1378" s="69" t="s">
        <v>119</v>
      </c>
      <c r="M1378" s="69" t="s">
        <v>109</v>
      </c>
      <c r="N1378" s="72">
        <v>42764</v>
      </c>
      <c r="O1378" s="67"/>
      <c r="P1378" s="67" t="s">
        <v>95</v>
      </c>
      <c r="Q1378" s="67" t="s">
        <v>120</v>
      </c>
      <c r="R1378" s="69" t="s">
        <v>69</v>
      </c>
      <c r="S1378" s="69" t="s">
        <v>123</v>
      </c>
      <c r="T1378" s="67"/>
      <c r="U1378" s="67"/>
      <c r="V1378" s="72">
        <v>42735</v>
      </c>
      <c r="W1378" s="69">
        <v>2025777</v>
      </c>
      <c r="X1378" s="69"/>
      <c r="Y1378" s="123"/>
      <c r="Z1378" s="30">
        <f t="shared" si="42"/>
        <v>6772.6006943194379</v>
      </c>
      <c r="AA1378" s="30">
        <f t="shared" si="43"/>
        <v>2116.4377169748245</v>
      </c>
      <c r="AB1378" t="s">
        <v>456</v>
      </c>
    </row>
    <row r="1379" spans="1:28">
      <c r="A1379" s="67" t="s">
        <v>122</v>
      </c>
      <c r="B1379" s="68">
        <v>1196333</v>
      </c>
      <c r="C1379" s="69">
        <v>4615384305</v>
      </c>
      <c r="D1379" s="70">
        <v>19200</v>
      </c>
      <c r="E1379" s="79"/>
      <c r="F1379" s="68">
        <v>16</v>
      </c>
      <c r="G1379" s="68">
        <v>5</v>
      </c>
      <c r="H1379" s="68">
        <v>0</v>
      </c>
      <c r="I1379" s="68">
        <v>0</v>
      </c>
      <c r="J1379" s="71">
        <v>42678</v>
      </c>
      <c r="K1379" s="71">
        <v>42704</v>
      </c>
      <c r="L1379" s="69" t="s">
        <v>119</v>
      </c>
      <c r="M1379" s="69" t="s">
        <v>109</v>
      </c>
      <c r="N1379" s="72">
        <v>42764</v>
      </c>
      <c r="O1379" s="67"/>
      <c r="P1379" s="67" t="s">
        <v>95</v>
      </c>
      <c r="Q1379" s="67" t="s">
        <v>120</v>
      </c>
      <c r="R1379" s="69" t="s">
        <v>69</v>
      </c>
      <c r="S1379" s="69" t="s">
        <v>123</v>
      </c>
      <c r="T1379" s="67"/>
      <c r="U1379" s="67"/>
      <c r="V1379" s="72">
        <v>42704</v>
      </c>
      <c r="W1379" s="69">
        <v>2023104</v>
      </c>
      <c r="X1379" s="69" t="s">
        <v>155</v>
      </c>
      <c r="Y1379" s="123"/>
      <c r="Z1379" s="30">
        <f t="shared" si="42"/>
        <v>6772.6006943194379</v>
      </c>
      <c r="AA1379" s="30">
        <f t="shared" si="43"/>
        <v>2116.4377169748245</v>
      </c>
      <c r="AB1379" t="s">
        <v>456</v>
      </c>
    </row>
    <row r="1380" spans="1:28">
      <c r="A1380" s="67" t="s">
        <v>68</v>
      </c>
      <c r="B1380" s="68">
        <v>1202327</v>
      </c>
      <c r="C1380" s="69">
        <v>4615394107</v>
      </c>
      <c r="D1380" s="70">
        <v>19175</v>
      </c>
      <c r="E1380" s="79"/>
      <c r="F1380" s="68">
        <v>16</v>
      </c>
      <c r="G1380" s="68">
        <v>5</v>
      </c>
      <c r="H1380" s="68">
        <v>0</v>
      </c>
      <c r="I1380" s="68">
        <v>0</v>
      </c>
      <c r="J1380" s="71">
        <v>42698</v>
      </c>
      <c r="K1380" s="71">
        <v>42735</v>
      </c>
      <c r="L1380" s="69" t="s">
        <v>119</v>
      </c>
      <c r="M1380" s="69" t="s">
        <v>109</v>
      </c>
      <c r="N1380" s="72">
        <v>42764</v>
      </c>
      <c r="O1380" s="67"/>
      <c r="P1380" s="67" t="s">
        <v>95</v>
      </c>
      <c r="Q1380" s="67" t="s">
        <v>125</v>
      </c>
      <c r="R1380" s="69" t="s">
        <v>69</v>
      </c>
      <c r="S1380" s="69" t="s">
        <v>68</v>
      </c>
      <c r="T1380" s="67"/>
      <c r="U1380" s="67"/>
      <c r="V1380" s="72">
        <v>42735</v>
      </c>
      <c r="W1380" s="69">
        <v>5114729</v>
      </c>
      <c r="X1380" s="69"/>
      <c r="Y1380" s="123"/>
      <c r="Z1380" s="30">
        <f t="shared" si="42"/>
        <v>6763.7822038320437</v>
      </c>
      <c r="AA1380" s="30">
        <f t="shared" si="43"/>
        <v>2113.6819386975139</v>
      </c>
      <c r="AB1380" t="s">
        <v>456</v>
      </c>
    </row>
    <row r="1381" spans="1:28">
      <c r="A1381" s="67" t="s">
        <v>68</v>
      </c>
      <c r="B1381" s="68">
        <v>1202325</v>
      </c>
      <c r="C1381" s="69">
        <v>4615394107</v>
      </c>
      <c r="D1381" s="70">
        <v>19175</v>
      </c>
      <c r="E1381" s="79"/>
      <c r="F1381" s="68">
        <v>16</v>
      </c>
      <c r="G1381" s="68">
        <v>5</v>
      </c>
      <c r="H1381" s="68">
        <v>0</v>
      </c>
      <c r="I1381" s="68">
        <v>0</v>
      </c>
      <c r="J1381" s="71">
        <v>42698</v>
      </c>
      <c r="K1381" s="71">
        <v>42735</v>
      </c>
      <c r="L1381" s="69" t="s">
        <v>119</v>
      </c>
      <c r="M1381" s="69" t="s">
        <v>109</v>
      </c>
      <c r="N1381" s="72">
        <v>42764</v>
      </c>
      <c r="O1381" s="67"/>
      <c r="P1381" s="67" t="s">
        <v>95</v>
      </c>
      <c r="Q1381" s="67" t="s">
        <v>125</v>
      </c>
      <c r="R1381" s="69" t="s">
        <v>69</v>
      </c>
      <c r="S1381" s="69" t="s">
        <v>68</v>
      </c>
      <c r="T1381" s="67"/>
      <c r="U1381" s="67"/>
      <c r="V1381" s="72">
        <v>42735</v>
      </c>
      <c r="W1381" s="69">
        <v>5114729</v>
      </c>
      <c r="X1381" s="69"/>
      <c r="Y1381" s="123"/>
      <c r="Z1381" s="30">
        <f t="shared" si="42"/>
        <v>6763.7822038320437</v>
      </c>
      <c r="AA1381" s="30">
        <f t="shared" si="43"/>
        <v>2113.6819386975139</v>
      </c>
      <c r="AB1381" t="s">
        <v>456</v>
      </c>
    </row>
    <row r="1382" spans="1:28">
      <c r="A1382" s="67" t="s">
        <v>68</v>
      </c>
      <c r="B1382" s="68">
        <v>1190661</v>
      </c>
      <c r="C1382" s="69">
        <v>4615411739</v>
      </c>
      <c r="D1382" s="70">
        <v>19175</v>
      </c>
      <c r="E1382" s="79"/>
      <c r="F1382" s="73">
        <v>16</v>
      </c>
      <c r="G1382" s="73">
        <v>5</v>
      </c>
      <c r="H1382" s="68">
        <v>0</v>
      </c>
      <c r="I1382" s="68">
        <v>0</v>
      </c>
      <c r="J1382" s="71">
        <v>42656</v>
      </c>
      <c r="K1382" s="71">
        <v>42704</v>
      </c>
      <c r="L1382" s="69" t="s">
        <v>119</v>
      </c>
      <c r="M1382" s="69" t="s">
        <v>109</v>
      </c>
      <c r="N1382" s="72">
        <v>42764</v>
      </c>
      <c r="O1382" s="67"/>
      <c r="P1382" s="67" t="s">
        <v>95</v>
      </c>
      <c r="Q1382" s="67" t="s">
        <v>125</v>
      </c>
      <c r="R1382" s="69" t="s">
        <v>69</v>
      </c>
      <c r="S1382" s="69" t="s">
        <v>68</v>
      </c>
      <c r="T1382" s="67"/>
      <c r="U1382" s="67"/>
      <c r="V1382" s="72">
        <v>42704</v>
      </c>
      <c r="W1382" s="69">
        <v>5114728</v>
      </c>
      <c r="X1382" s="69"/>
      <c r="Y1382" s="123"/>
      <c r="Z1382" s="30">
        <f t="shared" si="42"/>
        <v>6763.7822038320437</v>
      </c>
      <c r="AA1382" s="30">
        <f t="shared" si="43"/>
        <v>2113.6819386975139</v>
      </c>
      <c r="AB1382" t="s">
        <v>456</v>
      </c>
    </row>
    <row r="1383" spans="1:28">
      <c r="A1383" s="67" t="s">
        <v>68</v>
      </c>
      <c r="B1383" s="68">
        <v>1190659</v>
      </c>
      <c r="C1383" s="69">
        <v>4615411739</v>
      </c>
      <c r="D1383" s="70">
        <v>19175</v>
      </c>
      <c r="E1383" s="79"/>
      <c r="F1383" s="73">
        <v>16</v>
      </c>
      <c r="G1383" s="73">
        <v>5</v>
      </c>
      <c r="H1383" s="68">
        <v>0</v>
      </c>
      <c r="I1383" s="68">
        <v>0</v>
      </c>
      <c r="J1383" s="71">
        <v>42656</v>
      </c>
      <c r="K1383" s="71">
        <v>42704</v>
      </c>
      <c r="L1383" s="69" t="s">
        <v>119</v>
      </c>
      <c r="M1383" s="69" t="s">
        <v>109</v>
      </c>
      <c r="N1383" s="72">
        <v>42764</v>
      </c>
      <c r="O1383" s="67"/>
      <c r="P1383" s="67" t="s">
        <v>95</v>
      </c>
      <c r="Q1383" s="67" t="s">
        <v>125</v>
      </c>
      <c r="R1383" s="69" t="s">
        <v>69</v>
      </c>
      <c r="S1383" s="69" t="s">
        <v>68</v>
      </c>
      <c r="T1383" s="67"/>
      <c r="U1383" s="67"/>
      <c r="V1383" s="72">
        <v>42704</v>
      </c>
      <c r="W1383" s="69">
        <v>5114728</v>
      </c>
      <c r="X1383" s="69"/>
      <c r="Y1383" s="123"/>
      <c r="Z1383" s="30">
        <f t="shared" si="42"/>
        <v>6763.7822038320437</v>
      </c>
      <c r="AA1383" s="30">
        <f t="shared" si="43"/>
        <v>2113.6819386975139</v>
      </c>
      <c r="AB1383" t="s">
        <v>456</v>
      </c>
    </row>
    <row r="1384" spans="1:28">
      <c r="A1384" s="67" t="s">
        <v>68</v>
      </c>
      <c r="B1384" s="68">
        <v>1190653</v>
      </c>
      <c r="C1384" s="69">
        <v>4615411739</v>
      </c>
      <c r="D1384" s="70">
        <v>19175</v>
      </c>
      <c r="E1384" s="79"/>
      <c r="F1384" s="73">
        <v>16</v>
      </c>
      <c r="G1384" s="73">
        <v>5</v>
      </c>
      <c r="H1384" s="68">
        <v>0</v>
      </c>
      <c r="I1384" s="68">
        <v>0</v>
      </c>
      <c r="J1384" s="71">
        <v>42656</v>
      </c>
      <c r="K1384" s="71">
        <v>42704</v>
      </c>
      <c r="L1384" s="69" t="s">
        <v>119</v>
      </c>
      <c r="M1384" s="69" t="s">
        <v>109</v>
      </c>
      <c r="N1384" s="72">
        <v>42764</v>
      </c>
      <c r="O1384" s="67"/>
      <c r="P1384" s="67" t="s">
        <v>95</v>
      </c>
      <c r="Q1384" s="67" t="s">
        <v>125</v>
      </c>
      <c r="R1384" s="69" t="s">
        <v>69</v>
      </c>
      <c r="S1384" s="69" t="s">
        <v>68</v>
      </c>
      <c r="T1384" s="67"/>
      <c r="U1384" s="67"/>
      <c r="V1384" s="72">
        <v>42704</v>
      </c>
      <c r="W1384" s="69">
        <v>5114728</v>
      </c>
      <c r="X1384" s="69"/>
      <c r="Y1384" s="123"/>
      <c r="Z1384" s="30">
        <f t="shared" si="42"/>
        <v>6763.7822038320437</v>
      </c>
      <c r="AA1384" s="30">
        <f t="shared" si="43"/>
        <v>2113.6819386975139</v>
      </c>
      <c r="AB1384" t="s">
        <v>456</v>
      </c>
    </row>
    <row r="1385" spans="1:28">
      <c r="A1385" s="67" t="s">
        <v>136</v>
      </c>
      <c r="B1385" s="68">
        <v>1201951</v>
      </c>
      <c r="C1385" s="69">
        <v>4615378597</v>
      </c>
      <c r="D1385" s="70">
        <v>19175</v>
      </c>
      <c r="E1385" s="79"/>
      <c r="F1385" s="73">
        <v>10</v>
      </c>
      <c r="G1385" s="73" t="s">
        <v>114</v>
      </c>
      <c r="H1385" s="68">
        <v>0</v>
      </c>
      <c r="I1385" s="68">
        <v>0</v>
      </c>
      <c r="J1385" s="71">
        <v>42705</v>
      </c>
      <c r="K1385" s="71">
        <v>42766</v>
      </c>
      <c r="L1385" s="69" t="s">
        <v>137</v>
      </c>
      <c r="M1385" s="69" t="s">
        <v>109</v>
      </c>
      <c r="N1385" s="72">
        <v>42761</v>
      </c>
      <c r="O1385" s="67"/>
      <c r="P1385" s="67" t="s">
        <v>95</v>
      </c>
      <c r="Q1385" s="67" t="s">
        <v>129</v>
      </c>
      <c r="R1385" s="69" t="s">
        <v>69</v>
      </c>
      <c r="S1385" s="69" t="s">
        <v>138</v>
      </c>
      <c r="T1385" s="67"/>
      <c r="U1385" s="67"/>
      <c r="V1385" s="72">
        <v>42766</v>
      </c>
      <c r="W1385" s="69">
        <v>415570027</v>
      </c>
      <c r="X1385" s="69" t="s">
        <v>266</v>
      </c>
      <c r="Y1385" s="123"/>
      <c r="Z1385" s="30">
        <f t="shared" si="42"/>
        <v>4227.3638773950279</v>
      </c>
      <c r="AA1385" s="30">
        <f t="shared" si="43"/>
        <v>0</v>
      </c>
      <c r="AB1385" t="s">
        <v>456</v>
      </c>
    </row>
    <row r="1386" spans="1:28">
      <c r="A1386" s="67" t="s">
        <v>113</v>
      </c>
      <c r="B1386" s="68">
        <v>1206136</v>
      </c>
      <c r="C1386" s="69">
        <v>4615393323</v>
      </c>
      <c r="D1386" s="70">
        <v>19200</v>
      </c>
      <c r="E1386" s="79"/>
      <c r="F1386" s="68">
        <v>16</v>
      </c>
      <c r="G1386" s="68">
        <v>5</v>
      </c>
      <c r="H1386" s="68">
        <v>0</v>
      </c>
      <c r="I1386" s="68">
        <v>0</v>
      </c>
      <c r="J1386" s="71">
        <v>42713</v>
      </c>
      <c r="K1386" s="71">
        <v>42735</v>
      </c>
      <c r="L1386" s="69" t="s">
        <v>108</v>
      </c>
      <c r="M1386" s="69" t="s">
        <v>109</v>
      </c>
      <c r="N1386" s="72">
        <v>42761</v>
      </c>
      <c r="O1386" s="67"/>
      <c r="P1386" s="67" t="s">
        <v>95</v>
      </c>
      <c r="Q1386" s="67" t="s">
        <v>110</v>
      </c>
      <c r="R1386" s="69" t="s">
        <v>69</v>
      </c>
      <c r="S1386" s="69" t="s">
        <v>115</v>
      </c>
      <c r="T1386" s="67"/>
      <c r="U1386" s="67"/>
      <c r="V1386" s="72">
        <v>42735</v>
      </c>
      <c r="W1386" s="69" t="s">
        <v>245</v>
      </c>
      <c r="X1386" s="69"/>
      <c r="Y1386" s="123"/>
      <c r="Z1386" s="30">
        <f t="shared" si="42"/>
        <v>6772.6006943194379</v>
      </c>
      <c r="AA1386" s="30">
        <f t="shared" si="43"/>
        <v>2116.4377169748245</v>
      </c>
      <c r="AB1386" t="s">
        <v>456</v>
      </c>
    </row>
    <row r="1387" spans="1:28">
      <c r="A1387" s="67" t="s">
        <v>122</v>
      </c>
      <c r="B1387" s="68">
        <v>1198216</v>
      </c>
      <c r="C1387" s="69">
        <v>4615414736</v>
      </c>
      <c r="D1387" s="70">
        <v>19200</v>
      </c>
      <c r="E1387" s="79"/>
      <c r="F1387" s="73">
        <v>16</v>
      </c>
      <c r="G1387" s="73">
        <v>5</v>
      </c>
      <c r="H1387" s="68">
        <v>0</v>
      </c>
      <c r="I1387" s="68">
        <v>0</v>
      </c>
      <c r="J1387" s="71">
        <v>42692</v>
      </c>
      <c r="K1387" s="71">
        <v>42735</v>
      </c>
      <c r="L1387" s="69" t="s">
        <v>119</v>
      </c>
      <c r="M1387" s="69" t="s">
        <v>109</v>
      </c>
      <c r="N1387" s="72">
        <v>42761</v>
      </c>
      <c r="O1387" s="67"/>
      <c r="P1387" s="67" t="s">
        <v>95</v>
      </c>
      <c r="Q1387" s="67" t="s">
        <v>120</v>
      </c>
      <c r="R1387" s="69" t="s">
        <v>69</v>
      </c>
      <c r="S1387" s="69" t="s">
        <v>123</v>
      </c>
      <c r="T1387" s="67"/>
      <c r="U1387" s="67"/>
      <c r="V1387" s="72">
        <v>42735</v>
      </c>
      <c r="W1387" s="69">
        <v>2025777</v>
      </c>
      <c r="X1387" s="69"/>
      <c r="Y1387" s="123"/>
      <c r="Z1387" s="30">
        <f t="shared" si="42"/>
        <v>6772.6006943194379</v>
      </c>
      <c r="AA1387" s="30">
        <f t="shared" si="43"/>
        <v>2116.4377169748245</v>
      </c>
      <c r="AB1387" t="s">
        <v>456</v>
      </c>
    </row>
    <row r="1388" spans="1:28">
      <c r="A1388" s="67" t="s">
        <v>128</v>
      </c>
      <c r="B1388" s="68">
        <v>1196327</v>
      </c>
      <c r="C1388" s="69">
        <v>4615432616</v>
      </c>
      <c r="D1388" s="70">
        <v>19175</v>
      </c>
      <c r="E1388" s="79"/>
      <c r="F1388" s="82">
        <v>154.32</v>
      </c>
      <c r="G1388" s="82" t="s">
        <v>114</v>
      </c>
      <c r="H1388" s="68">
        <v>0</v>
      </c>
      <c r="I1388" s="68">
        <v>0</v>
      </c>
      <c r="J1388" s="71">
        <v>42694</v>
      </c>
      <c r="K1388" s="71">
        <v>42704</v>
      </c>
      <c r="L1388" s="69" t="s">
        <v>119</v>
      </c>
      <c r="M1388" s="69" t="s">
        <v>109</v>
      </c>
      <c r="N1388" s="72">
        <v>42760</v>
      </c>
      <c r="O1388" s="67"/>
      <c r="P1388" s="67" t="s">
        <v>95</v>
      </c>
      <c r="Q1388" s="67" t="s">
        <v>129</v>
      </c>
      <c r="R1388" s="69" t="s">
        <v>69</v>
      </c>
      <c r="S1388" s="69" t="s">
        <v>130</v>
      </c>
      <c r="T1388" s="67"/>
      <c r="U1388" s="67"/>
      <c r="V1388" s="72">
        <v>42704</v>
      </c>
      <c r="W1388" s="69">
        <v>425560029</v>
      </c>
      <c r="X1388" s="69"/>
      <c r="Y1388" s="123"/>
      <c r="Z1388" s="30">
        <f t="shared" si="42"/>
        <v>65236.679355960063</v>
      </c>
      <c r="AA1388" s="30">
        <f t="shared" si="43"/>
        <v>0</v>
      </c>
      <c r="AB1388" t="s">
        <v>456</v>
      </c>
    </row>
    <row r="1389" spans="1:28">
      <c r="A1389" s="67" t="s">
        <v>113</v>
      </c>
      <c r="B1389" s="68">
        <v>1193687</v>
      </c>
      <c r="C1389" s="69">
        <v>4615405620</v>
      </c>
      <c r="D1389" s="70">
        <v>19175</v>
      </c>
      <c r="E1389" s="79"/>
      <c r="F1389" s="68">
        <v>16</v>
      </c>
      <c r="G1389" s="68" t="s">
        <v>114</v>
      </c>
      <c r="H1389" s="68">
        <v>0</v>
      </c>
      <c r="I1389" s="68">
        <v>0</v>
      </c>
      <c r="J1389" s="71">
        <v>42678</v>
      </c>
      <c r="K1389" s="71">
        <v>42704</v>
      </c>
      <c r="L1389" s="69" t="s">
        <v>108</v>
      </c>
      <c r="M1389" s="69" t="s">
        <v>109</v>
      </c>
      <c r="N1389" s="72">
        <v>42760</v>
      </c>
      <c r="O1389" s="67"/>
      <c r="P1389" s="67" t="s">
        <v>95</v>
      </c>
      <c r="Q1389" s="67" t="s">
        <v>110</v>
      </c>
      <c r="R1389" s="69" t="s">
        <v>69</v>
      </c>
      <c r="S1389" s="69" t="s">
        <v>115</v>
      </c>
      <c r="T1389" s="67"/>
      <c r="U1389" s="67"/>
      <c r="V1389" s="72">
        <v>42704</v>
      </c>
      <c r="W1389" s="69" t="s">
        <v>267</v>
      </c>
      <c r="X1389" s="69"/>
      <c r="Y1389" s="123"/>
      <c r="Z1389" s="30">
        <f t="shared" si="42"/>
        <v>6763.7822038320437</v>
      </c>
      <c r="AA1389" s="30">
        <f t="shared" si="43"/>
        <v>0</v>
      </c>
      <c r="AB1389" t="s">
        <v>456</v>
      </c>
    </row>
    <row r="1390" spans="1:28">
      <c r="A1390" s="67" t="s">
        <v>122</v>
      </c>
      <c r="B1390" s="68">
        <v>1196336</v>
      </c>
      <c r="C1390" s="69">
        <v>4615384305</v>
      </c>
      <c r="D1390" s="70">
        <v>19200</v>
      </c>
      <c r="E1390" s="79"/>
      <c r="F1390" s="68">
        <v>16</v>
      </c>
      <c r="G1390" s="68">
        <v>5</v>
      </c>
      <c r="H1390" s="68">
        <v>0</v>
      </c>
      <c r="I1390" s="68">
        <v>0</v>
      </c>
      <c r="J1390" s="71">
        <v>42678</v>
      </c>
      <c r="K1390" s="71">
        <v>42704</v>
      </c>
      <c r="L1390" s="69" t="s">
        <v>119</v>
      </c>
      <c r="M1390" s="69" t="s">
        <v>109</v>
      </c>
      <c r="N1390" s="72">
        <v>42760</v>
      </c>
      <c r="O1390" s="67"/>
      <c r="P1390" s="67" t="s">
        <v>95</v>
      </c>
      <c r="Q1390" s="67" t="s">
        <v>120</v>
      </c>
      <c r="R1390" s="69" t="s">
        <v>69</v>
      </c>
      <c r="S1390" s="69" t="s">
        <v>123</v>
      </c>
      <c r="T1390" s="67"/>
      <c r="U1390" s="67"/>
      <c r="V1390" s="72">
        <v>42704</v>
      </c>
      <c r="W1390" s="69">
        <v>2023104</v>
      </c>
      <c r="X1390" s="69"/>
      <c r="Y1390" s="123"/>
      <c r="Z1390" s="30">
        <f t="shared" si="42"/>
        <v>6772.6006943194379</v>
      </c>
      <c r="AA1390" s="30">
        <f t="shared" si="43"/>
        <v>2116.4377169748245</v>
      </c>
      <c r="AB1390" t="s">
        <v>456</v>
      </c>
    </row>
    <row r="1391" spans="1:28">
      <c r="A1391" s="67" t="s">
        <v>113</v>
      </c>
      <c r="B1391" s="68">
        <v>1194947</v>
      </c>
      <c r="C1391" s="69">
        <v>4615410298</v>
      </c>
      <c r="D1391" s="70">
        <v>19200</v>
      </c>
      <c r="E1391" s="79"/>
      <c r="F1391" s="68">
        <v>16</v>
      </c>
      <c r="G1391" s="68">
        <v>5</v>
      </c>
      <c r="H1391" s="68">
        <v>0</v>
      </c>
      <c r="I1391" s="68">
        <v>0</v>
      </c>
      <c r="J1391" s="71">
        <v>42681</v>
      </c>
      <c r="K1391" s="71">
        <v>42704</v>
      </c>
      <c r="L1391" s="69" t="s">
        <v>119</v>
      </c>
      <c r="M1391" s="69" t="s">
        <v>109</v>
      </c>
      <c r="N1391" s="72">
        <v>42760</v>
      </c>
      <c r="O1391" s="67"/>
      <c r="P1391" s="67" t="s">
        <v>95</v>
      </c>
      <c r="Q1391" s="67" t="s">
        <v>110</v>
      </c>
      <c r="R1391" s="69" t="s">
        <v>69</v>
      </c>
      <c r="S1391" s="69" t="s">
        <v>115</v>
      </c>
      <c r="T1391" s="67"/>
      <c r="U1391" s="67"/>
      <c r="V1391" s="72">
        <v>42704</v>
      </c>
      <c r="W1391" s="69" t="s">
        <v>236</v>
      </c>
      <c r="X1391" s="69"/>
      <c r="Y1391" s="123"/>
      <c r="Z1391" s="30">
        <f t="shared" si="42"/>
        <v>6772.6006943194379</v>
      </c>
      <c r="AA1391" s="30">
        <f t="shared" si="43"/>
        <v>2116.4377169748245</v>
      </c>
      <c r="AB1391" t="s">
        <v>456</v>
      </c>
    </row>
    <row r="1392" spans="1:28">
      <c r="A1392" s="67" t="s">
        <v>113</v>
      </c>
      <c r="B1392" s="68">
        <v>1194951</v>
      </c>
      <c r="C1392" s="69">
        <v>4615410298</v>
      </c>
      <c r="D1392" s="70">
        <v>19200</v>
      </c>
      <c r="E1392" s="79"/>
      <c r="F1392" s="68">
        <v>16</v>
      </c>
      <c r="G1392" s="68">
        <v>5</v>
      </c>
      <c r="H1392" s="68">
        <v>0</v>
      </c>
      <c r="I1392" s="68">
        <v>0</v>
      </c>
      <c r="J1392" s="71">
        <v>42681</v>
      </c>
      <c r="K1392" s="71">
        <v>42704</v>
      </c>
      <c r="L1392" s="69" t="s">
        <v>119</v>
      </c>
      <c r="M1392" s="69" t="s">
        <v>109</v>
      </c>
      <c r="N1392" s="72">
        <v>42760</v>
      </c>
      <c r="O1392" s="67"/>
      <c r="P1392" s="67" t="s">
        <v>95</v>
      </c>
      <c r="Q1392" s="67" t="s">
        <v>110</v>
      </c>
      <c r="R1392" s="69" t="s">
        <v>69</v>
      </c>
      <c r="S1392" s="69" t="s">
        <v>115</v>
      </c>
      <c r="T1392" s="67"/>
      <c r="U1392" s="67"/>
      <c r="V1392" s="72">
        <v>42704</v>
      </c>
      <c r="W1392" s="69" t="s">
        <v>236</v>
      </c>
      <c r="X1392" s="69"/>
      <c r="Y1392" s="123"/>
      <c r="Z1392" s="30">
        <f t="shared" si="42"/>
        <v>6772.6006943194379</v>
      </c>
      <c r="AA1392" s="30">
        <f t="shared" si="43"/>
        <v>2116.4377169748245</v>
      </c>
      <c r="AB1392" t="s">
        <v>456</v>
      </c>
    </row>
    <row r="1393" spans="1:28">
      <c r="A1393" s="67" t="s">
        <v>113</v>
      </c>
      <c r="B1393" s="68">
        <v>1192172</v>
      </c>
      <c r="C1393" s="69">
        <v>4615405187</v>
      </c>
      <c r="D1393" s="70">
        <v>19175</v>
      </c>
      <c r="E1393" s="79"/>
      <c r="F1393" s="68">
        <v>16</v>
      </c>
      <c r="G1393" s="68" t="s">
        <v>114</v>
      </c>
      <c r="H1393" s="68">
        <v>0</v>
      </c>
      <c r="I1393" s="68">
        <v>0</v>
      </c>
      <c r="J1393" s="71">
        <v>42670</v>
      </c>
      <c r="K1393" s="71">
        <v>42704</v>
      </c>
      <c r="L1393" s="69" t="s">
        <v>108</v>
      </c>
      <c r="M1393" s="69" t="s">
        <v>109</v>
      </c>
      <c r="N1393" s="72">
        <v>42759</v>
      </c>
      <c r="O1393" s="67"/>
      <c r="P1393" s="67" t="s">
        <v>95</v>
      </c>
      <c r="Q1393" s="67" t="s">
        <v>110</v>
      </c>
      <c r="R1393" s="69" t="s">
        <v>69</v>
      </c>
      <c r="S1393" s="69" t="s">
        <v>115</v>
      </c>
      <c r="T1393" s="67"/>
      <c r="U1393" s="67"/>
      <c r="V1393" s="72">
        <v>42704</v>
      </c>
      <c r="W1393" s="69" t="s">
        <v>163</v>
      </c>
      <c r="X1393" s="69" t="s">
        <v>268</v>
      </c>
      <c r="Y1393" s="123"/>
      <c r="Z1393" s="30">
        <f t="shared" si="42"/>
        <v>6763.7822038320437</v>
      </c>
      <c r="AA1393" s="30">
        <f t="shared" si="43"/>
        <v>0</v>
      </c>
      <c r="AB1393" t="s">
        <v>456</v>
      </c>
    </row>
    <row r="1394" spans="1:28">
      <c r="A1394" s="67" t="s">
        <v>113</v>
      </c>
      <c r="B1394" s="68">
        <v>1194950</v>
      </c>
      <c r="C1394" s="69">
        <v>4615410298</v>
      </c>
      <c r="D1394" s="70">
        <v>19200</v>
      </c>
      <c r="E1394" s="79"/>
      <c r="F1394" s="68">
        <v>16</v>
      </c>
      <c r="G1394" s="68">
        <v>5</v>
      </c>
      <c r="H1394" s="68">
        <v>0</v>
      </c>
      <c r="I1394" s="68">
        <v>0</v>
      </c>
      <c r="J1394" s="71"/>
      <c r="K1394" s="71">
        <v>42704</v>
      </c>
      <c r="L1394" s="69" t="s">
        <v>80</v>
      </c>
      <c r="M1394" s="69" t="s">
        <v>109</v>
      </c>
      <c r="N1394" s="72">
        <v>42759</v>
      </c>
      <c r="O1394" s="67"/>
      <c r="P1394" s="67" t="s">
        <v>95</v>
      </c>
      <c r="Q1394" s="67" t="s">
        <v>110</v>
      </c>
      <c r="R1394" s="69" t="s">
        <v>69</v>
      </c>
      <c r="S1394" s="69" t="s">
        <v>115</v>
      </c>
      <c r="T1394" s="67"/>
      <c r="U1394" s="67"/>
      <c r="V1394" s="72">
        <v>42704</v>
      </c>
      <c r="W1394" s="69" t="s">
        <v>236</v>
      </c>
      <c r="X1394" s="69"/>
      <c r="Y1394" s="123"/>
      <c r="Z1394" s="30">
        <f t="shared" si="42"/>
        <v>6772.6006943194379</v>
      </c>
      <c r="AA1394" s="30">
        <f t="shared" si="43"/>
        <v>2116.4377169748245</v>
      </c>
      <c r="AB1394" t="s">
        <v>456</v>
      </c>
    </row>
    <row r="1395" spans="1:28">
      <c r="A1395" s="67" t="s">
        <v>113</v>
      </c>
      <c r="B1395" s="68">
        <v>1194945</v>
      </c>
      <c r="C1395" s="69">
        <v>4615410298</v>
      </c>
      <c r="D1395" s="70">
        <v>19200</v>
      </c>
      <c r="E1395" s="79"/>
      <c r="F1395" s="68">
        <v>16</v>
      </c>
      <c r="G1395" s="68">
        <v>5</v>
      </c>
      <c r="H1395" s="68">
        <v>0</v>
      </c>
      <c r="I1395" s="68">
        <v>0</v>
      </c>
      <c r="J1395" s="71">
        <v>42681</v>
      </c>
      <c r="K1395" s="71">
        <v>42704</v>
      </c>
      <c r="L1395" s="69" t="s">
        <v>119</v>
      </c>
      <c r="M1395" s="69" t="s">
        <v>109</v>
      </c>
      <c r="N1395" s="72">
        <v>42759</v>
      </c>
      <c r="O1395" s="67"/>
      <c r="P1395" s="67" t="s">
        <v>95</v>
      </c>
      <c r="Q1395" s="67" t="s">
        <v>110</v>
      </c>
      <c r="R1395" s="69" t="s">
        <v>69</v>
      </c>
      <c r="S1395" s="69" t="s">
        <v>115</v>
      </c>
      <c r="T1395" s="67"/>
      <c r="U1395" s="67"/>
      <c r="V1395" s="72">
        <v>42704</v>
      </c>
      <c r="W1395" s="69" t="s">
        <v>236</v>
      </c>
      <c r="X1395" s="69"/>
      <c r="Y1395" s="123"/>
      <c r="Z1395" s="30">
        <f t="shared" si="42"/>
        <v>6772.6006943194379</v>
      </c>
      <c r="AA1395" s="30">
        <f t="shared" si="43"/>
        <v>2116.4377169748245</v>
      </c>
      <c r="AB1395" t="s">
        <v>456</v>
      </c>
    </row>
    <row r="1396" spans="1:28">
      <c r="A1396" s="67" t="s">
        <v>131</v>
      </c>
      <c r="B1396" s="68">
        <v>1186384</v>
      </c>
      <c r="C1396" s="69">
        <v>4615420986</v>
      </c>
      <c r="D1396" s="70">
        <v>19200</v>
      </c>
      <c r="E1396" s="79"/>
      <c r="F1396" s="75">
        <v>154.4</v>
      </c>
      <c r="G1396" s="75" t="s">
        <v>114</v>
      </c>
      <c r="H1396" s="68">
        <v>0</v>
      </c>
      <c r="I1396" s="68">
        <v>0</v>
      </c>
      <c r="J1396" s="71">
        <v>42647</v>
      </c>
      <c r="K1396" s="71">
        <v>42766</v>
      </c>
      <c r="L1396" s="69" t="s">
        <v>119</v>
      </c>
      <c r="M1396" s="69" t="s">
        <v>109</v>
      </c>
      <c r="N1396" s="72">
        <v>42758</v>
      </c>
      <c r="O1396" s="67"/>
      <c r="P1396" s="67" t="s">
        <v>95</v>
      </c>
      <c r="Q1396" s="67" t="s">
        <v>125</v>
      </c>
      <c r="R1396" s="69" t="s">
        <v>69</v>
      </c>
      <c r="S1396" s="69" t="s">
        <v>134</v>
      </c>
      <c r="T1396" s="67"/>
      <c r="U1396" s="67"/>
      <c r="V1396" s="72">
        <v>42766</v>
      </c>
      <c r="W1396" s="69" t="s">
        <v>269</v>
      </c>
      <c r="X1396" s="69"/>
      <c r="Y1396" s="123"/>
      <c r="Z1396" s="30">
        <f t="shared" si="42"/>
        <v>65355.596700182585</v>
      </c>
      <c r="AA1396" s="30">
        <f t="shared" si="43"/>
        <v>0</v>
      </c>
      <c r="AB1396" t="s">
        <v>456</v>
      </c>
    </row>
    <row r="1397" spans="1:28">
      <c r="A1397" s="67" t="s">
        <v>118</v>
      </c>
      <c r="B1397" s="68">
        <v>1186844</v>
      </c>
      <c r="C1397" s="69">
        <v>4615406792</v>
      </c>
      <c r="D1397" s="70">
        <v>19200</v>
      </c>
      <c r="E1397" s="79"/>
      <c r="F1397" s="68">
        <v>10</v>
      </c>
      <c r="G1397" s="68">
        <v>5</v>
      </c>
      <c r="H1397" s="68">
        <v>0</v>
      </c>
      <c r="I1397" s="68">
        <v>0</v>
      </c>
      <c r="J1397" s="71">
        <v>42663</v>
      </c>
      <c r="K1397" s="71">
        <v>42704</v>
      </c>
      <c r="L1397" s="69" t="s">
        <v>137</v>
      </c>
      <c r="M1397" s="69" t="s">
        <v>109</v>
      </c>
      <c r="N1397" s="72">
        <v>42758</v>
      </c>
      <c r="O1397" s="67"/>
      <c r="P1397" s="67" t="s">
        <v>95</v>
      </c>
      <c r="Q1397" s="67" t="s">
        <v>120</v>
      </c>
      <c r="R1397" s="69" t="s">
        <v>69</v>
      </c>
      <c r="S1397" s="69" t="s">
        <v>121</v>
      </c>
      <c r="T1397" s="67"/>
      <c r="U1397" s="67"/>
      <c r="V1397" s="72">
        <v>42704</v>
      </c>
      <c r="W1397" s="69">
        <v>2025028</v>
      </c>
      <c r="X1397" s="69" t="s">
        <v>270</v>
      </c>
      <c r="Y1397" s="123"/>
      <c r="Z1397" s="30">
        <f t="shared" si="42"/>
        <v>4232.8754339496491</v>
      </c>
      <c r="AA1397" s="30">
        <f t="shared" si="43"/>
        <v>2116.4377169748245</v>
      </c>
      <c r="AB1397" t="s">
        <v>456</v>
      </c>
    </row>
    <row r="1398" spans="1:28">
      <c r="A1398" s="67" t="s">
        <v>107</v>
      </c>
      <c r="B1398" s="68">
        <v>1192520</v>
      </c>
      <c r="C1398" s="69">
        <v>4615426599</v>
      </c>
      <c r="D1398" s="70">
        <v>19200</v>
      </c>
      <c r="E1398" s="79"/>
      <c r="F1398" s="68">
        <v>154.32</v>
      </c>
      <c r="G1398" s="68" t="s">
        <v>114</v>
      </c>
      <c r="H1398" s="68">
        <v>0</v>
      </c>
      <c r="I1398" s="68">
        <v>0</v>
      </c>
      <c r="J1398" s="71">
        <v>42687</v>
      </c>
      <c r="K1398" s="71">
        <v>42735</v>
      </c>
      <c r="L1398" s="69" t="s">
        <v>132</v>
      </c>
      <c r="M1398" s="69" t="s">
        <v>109</v>
      </c>
      <c r="N1398" s="72">
        <v>42758</v>
      </c>
      <c r="O1398" s="67"/>
      <c r="P1398" s="67" t="s">
        <v>95</v>
      </c>
      <c r="Q1398" s="67" t="s">
        <v>110</v>
      </c>
      <c r="R1398" s="69" t="s">
        <v>69</v>
      </c>
      <c r="S1398" s="69" t="s">
        <v>111</v>
      </c>
      <c r="T1398" s="67"/>
      <c r="U1398" s="67"/>
      <c r="V1398" s="72">
        <v>42735</v>
      </c>
      <c r="W1398" s="69" t="s">
        <v>271</v>
      </c>
      <c r="X1398" s="69"/>
      <c r="Y1398" s="123"/>
      <c r="Z1398" s="30">
        <f t="shared" si="42"/>
        <v>65321.73369671098</v>
      </c>
      <c r="AA1398" s="30">
        <f t="shared" si="43"/>
        <v>0</v>
      </c>
      <c r="AB1398" t="s">
        <v>456</v>
      </c>
    </row>
    <row r="1399" spans="1:28">
      <c r="A1399" s="67" t="s">
        <v>118</v>
      </c>
      <c r="B1399" s="68">
        <v>1218429</v>
      </c>
      <c r="C1399" s="69">
        <v>4615406792</v>
      </c>
      <c r="D1399" s="70">
        <v>19200</v>
      </c>
      <c r="E1399" s="79"/>
      <c r="F1399" s="68">
        <v>10</v>
      </c>
      <c r="G1399" s="68">
        <v>5</v>
      </c>
      <c r="H1399" s="68">
        <v>0</v>
      </c>
      <c r="I1399" s="68">
        <v>0</v>
      </c>
      <c r="J1399" s="71"/>
      <c r="K1399" s="71">
        <v>42704</v>
      </c>
      <c r="L1399" s="69" t="s">
        <v>80</v>
      </c>
      <c r="M1399" s="69" t="s">
        <v>109</v>
      </c>
      <c r="N1399" s="72">
        <v>42758</v>
      </c>
      <c r="O1399" s="67"/>
      <c r="P1399" s="67" t="s">
        <v>95</v>
      </c>
      <c r="Q1399" s="67" t="s">
        <v>120</v>
      </c>
      <c r="R1399" s="69" t="s">
        <v>69</v>
      </c>
      <c r="S1399" s="69" t="s">
        <v>121</v>
      </c>
      <c r="T1399" s="67"/>
      <c r="U1399" s="67"/>
      <c r="V1399" s="72">
        <v>42704</v>
      </c>
      <c r="W1399" s="69">
        <v>2025028</v>
      </c>
      <c r="X1399" s="69" t="s">
        <v>272</v>
      </c>
      <c r="Y1399" s="123"/>
      <c r="Z1399" s="30">
        <f t="shared" si="42"/>
        <v>4232.8754339496491</v>
      </c>
      <c r="AA1399" s="30">
        <f t="shared" si="43"/>
        <v>2116.4377169748245</v>
      </c>
      <c r="AB1399" t="s">
        <v>456</v>
      </c>
    </row>
    <row r="1400" spans="1:28">
      <c r="A1400" s="67" t="s">
        <v>136</v>
      </c>
      <c r="B1400" s="68">
        <v>1201926</v>
      </c>
      <c r="C1400" s="69">
        <v>4615389506</v>
      </c>
      <c r="D1400" s="70">
        <v>19200</v>
      </c>
      <c r="E1400" s="79"/>
      <c r="F1400" s="73">
        <v>10</v>
      </c>
      <c r="G1400" s="73" t="s">
        <v>114</v>
      </c>
      <c r="H1400" s="68">
        <v>0</v>
      </c>
      <c r="I1400" s="68">
        <v>0</v>
      </c>
      <c r="J1400" s="71">
        <v>42706</v>
      </c>
      <c r="K1400" s="71">
        <v>42735</v>
      </c>
      <c r="L1400" s="69" t="s">
        <v>137</v>
      </c>
      <c r="M1400" s="69" t="s">
        <v>109</v>
      </c>
      <c r="N1400" s="72">
        <v>42758</v>
      </c>
      <c r="O1400" s="67"/>
      <c r="P1400" s="67" t="s">
        <v>95</v>
      </c>
      <c r="Q1400" s="67" t="s">
        <v>129</v>
      </c>
      <c r="R1400" s="69" t="s">
        <v>69</v>
      </c>
      <c r="S1400" s="69" t="s">
        <v>138</v>
      </c>
      <c r="T1400" s="67"/>
      <c r="U1400" s="67"/>
      <c r="V1400" s="72">
        <v>42735</v>
      </c>
      <c r="W1400" s="69">
        <v>415560367</v>
      </c>
      <c r="X1400" s="69" t="s">
        <v>261</v>
      </c>
      <c r="Y1400" s="123"/>
      <c r="Z1400" s="30">
        <f t="shared" si="42"/>
        <v>4232.8754339496491</v>
      </c>
      <c r="AA1400" s="30">
        <f t="shared" si="43"/>
        <v>0</v>
      </c>
      <c r="AB1400" t="s">
        <v>456</v>
      </c>
    </row>
    <row r="1401" spans="1:28">
      <c r="A1401" s="67" t="s">
        <v>113</v>
      </c>
      <c r="B1401" s="68">
        <v>1193684</v>
      </c>
      <c r="C1401" s="69">
        <v>4615405620</v>
      </c>
      <c r="D1401" s="70">
        <v>19175</v>
      </c>
      <c r="E1401" s="79"/>
      <c r="F1401" s="68">
        <v>16</v>
      </c>
      <c r="G1401" s="68" t="s">
        <v>114</v>
      </c>
      <c r="H1401" s="68">
        <v>0</v>
      </c>
      <c r="I1401" s="68">
        <v>0</v>
      </c>
      <c r="J1401" s="71">
        <v>42678</v>
      </c>
      <c r="K1401" s="71">
        <v>42704</v>
      </c>
      <c r="L1401" s="69" t="s">
        <v>108</v>
      </c>
      <c r="M1401" s="69" t="s">
        <v>109</v>
      </c>
      <c r="N1401" s="72">
        <v>42758</v>
      </c>
      <c r="O1401" s="67"/>
      <c r="P1401" s="67" t="s">
        <v>95</v>
      </c>
      <c r="Q1401" s="67" t="s">
        <v>110</v>
      </c>
      <c r="R1401" s="69" t="s">
        <v>69</v>
      </c>
      <c r="S1401" s="69" t="s">
        <v>115</v>
      </c>
      <c r="T1401" s="67"/>
      <c r="U1401" s="67"/>
      <c r="V1401" s="72">
        <v>42704</v>
      </c>
      <c r="W1401" s="69" t="s">
        <v>267</v>
      </c>
      <c r="X1401" s="69"/>
      <c r="Y1401" s="123"/>
      <c r="Z1401" s="30">
        <f t="shared" si="42"/>
        <v>6763.7822038320437</v>
      </c>
      <c r="AA1401" s="30">
        <f t="shared" si="43"/>
        <v>0</v>
      </c>
      <c r="AB1401" t="s">
        <v>456</v>
      </c>
    </row>
    <row r="1402" spans="1:28">
      <c r="A1402" s="67" t="s">
        <v>118</v>
      </c>
      <c r="B1402" s="68">
        <v>1199059</v>
      </c>
      <c r="C1402" s="69">
        <v>4615400089</v>
      </c>
      <c r="D1402" s="70">
        <v>19175</v>
      </c>
      <c r="E1402" s="79"/>
      <c r="F1402" s="73">
        <v>10</v>
      </c>
      <c r="G1402" s="73" t="s">
        <v>114</v>
      </c>
      <c r="H1402" s="68">
        <v>0</v>
      </c>
      <c r="I1402" s="68">
        <v>0</v>
      </c>
      <c r="J1402" s="71">
        <v>42688</v>
      </c>
      <c r="K1402" s="71">
        <v>42674</v>
      </c>
      <c r="L1402" s="69" t="s">
        <v>137</v>
      </c>
      <c r="M1402" s="69" t="s">
        <v>109</v>
      </c>
      <c r="N1402" s="72">
        <v>42758</v>
      </c>
      <c r="O1402" s="67"/>
      <c r="P1402" s="67" t="s">
        <v>95</v>
      </c>
      <c r="Q1402" s="67" t="s">
        <v>120</v>
      </c>
      <c r="R1402" s="69" t="s">
        <v>69</v>
      </c>
      <c r="S1402" s="69" t="s">
        <v>121</v>
      </c>
      <c r="T1402" s="67"/>
      <c r="U1402" s="67"/>
      <c r="V1402" s="72">
        <v>42674</v>
      </c>
      <c r="W1402" s="69">
        <v>2026343</v>
      </c>
      <c r="X1402" s="69"/>
      <c r="Y1402" s="123"/>
      <c r="Z1402" s="30">
        <f t="shared" si="42"/>
        <v>4227.3638773950279</v>
      </c>
      <c r="AA1402" s="30">
        <f t="shared" si="43"/>
        <v>0</v>
      </c>
      <c r="AB1402" t="s">
        <v>456</v>
      </c>
    </row>
    <row r="1403" spans="1:28">
      <c r="A1403" s="67" t="s">
        <v>113</v>
      </c>
      <c r="B1403" s="68">
        <v>1194946</v>
      </c>
      <c r="C1403" s="69">
        <v>4615410298</v>
      </c>
      <c r="D1403" s="70">
        <v>19200</v>
      </c>
      <c r="E1403" s="79"/>
      <c r="F1403" s="68">
        <v>16</v>
      </c>
      <c r="G1403" s="68">
        <v>5</v>
      </c>
      <c r="H1403" s="68">
        <v>0</v>
      </c>
      <c r="I1403" s="68">
        <v>0</v>
      </c>
      <c r="J1403" s="71">
        <v>42681</v>
      </c>
      <c r="K1403" s="71">
        <v>42704</v>
      </c>
      <c r="L1403" s="69" t="s">
        <v>119</v>
      </c>
      <c r="M1403" s="69" t="s">
        <v>109</v>
      </c>
      <c r="N1403" s="72">
        <v>42758</v>
      </c>
      <c r="O1403" s="67"/>
      <c r="P1403" s="67" t="s">
        <v>95</v>
      </c>
      <c r="Q1403" s="67" t="s">
        <v>110</v>
      </c>
      <c r="R1403" s="69" t="s">
        <v>69</v>
      </c>
      <c r="S1403" s="69" t="s">
        <v>115</v>
      </c>
      <c r="T1403" s="67"/>
      <c r="U1403" s="67"/>
      <c r="V1403" s="72">
        <v>42704</v>
      </c>
      <c r="W1403" s="69" t="s">
        <v>236</v>
      </c>
      <c r="X1403" s="69"/>
      <c r="Y1403" s="123"/>
      <c r="Z1403" s="30">
        <f t="shared" si="42"/>
        <v>6772.6006943194379</v>
      </c>
      <c r="AA1403" s="30">
        <f t="shared" si="43"/>
        <v>2116.4377169748245</v>
      </c>
      <c r="AB1403" t="s">
        <v>456</v>
      </c>
    </row>
    <row r="1404" spans="1:28">
      <c r="A1404" s="67" t="s">
        <v>136</v>
      </c>
      <c r="B1404" s="68">
        <v>1201949</v>
      </c>
      <c r="C1404" s="69">
        <v>4615378597</v>
      </c>
      <c r="D1404" s="70">
        <v>19175</v>
      </c>
      <c r="E1404" s="79"/>
      <c r="F1404" s="73">
        <v>10</v>
      </c>
      <c r="G1404" s="73" t="s">
        <v>114</v>
      </c>
      <c r="H1404" s="68">
        <v>0</v>
      </c>
      <c r="I1404" s="68">
        <v>0</v>
      </c>
      <c r="J1404" s="71">
        <v>42705</v>
      </c>
      <c r="K1404" s="71">
        <v>42766</v>
      </c>
      <c r="L1404" s="69" t="s">
        <v>137</v>
      </c>
      <c r="M1404" s="69" t="s">
        <v>109</v>
      </c>
      <c r="N1404" s="72">
        <v>42757</v>
      </c>
      <c r="O1404" s="67"/>
      <c r="P1404" s="67" t="s">
        <v>95</v>
      </c>
      <c r="Q1404" s="67" t="s">
        <v>129</v>
      </c>
      <c r="R1404" s="69" t="s">
        <v>69</v>
      </c>
      <c r="S1404" s="69" t="s">
        <v>138</v>
      </c>
      <c r="T1404" s="67"/>
      <c r="U1404" s="67"/>
      <c r="V1404" s="72">
        <v>42766</v>
      </c>
      <c r="W1404" s="69">
        <v>415570027</v>
      </c>
      <c r="X1404" s="69" t="s">
        <v>265</v>
      </c>
      <c r="Y1404" s="123"/>
      <c r="Z1404" s="30">
        <f t="shared" si="42"/>
        <v>4227.3638773950279</v>
      </c>
      <c r="AA1404" s="30">
        <f t="shared" si="43"/>
        <v>0</v>
      </c>
      <c r="AB1404" t="s">
        <v>456</v>
      </c>
    </row>
    <row r="1405" spans="1:28">
      <c r="A1405" s="67" t="s">
        <v>107</v>
      </c>
      <c r="B1405" s="68">
        <v>1192519</v>
      </c>
      <c r="C1405" s="69">
        <v>4615426599</v>
      </c>
      <c r="D1405" s="70">
        <v>19200</v>
      </c>
      <c r="E1405" s="79"/>
      <c r="F1405" s="68">
        <v>154.32</v>
      </c>
      <c r="G1405" s="68" t="s">
        <v>114</v>
      </c>
      <c r="H1405" s="68">
        <v>0</v>
      </c>
      <c r="I1405" s="68">
        <v>0</v>
      </c>
      <c r="J1405" s="71">
        <v>42687</v>
      </c>
      <c r="K1405" s="71">
        <v>42735</v>
      </c>
      <c r="L1405" s="69" t="s">
        <v>132</v>
      </c>
      <c r="M1405" s="69" t="s">
        <v>109</v>
      </c>
      <c r="N1405" s="72">
        <v>42757</v>
      </c>
      <c r="O1405" s="67"/>
      <c r="P1405" s="67" t="s">
        <v>95</v>
      </c>
      <c r="Q1405" s="67" t="s">
        <v>110</v>
      </c>
      <c r="R1405" s="69" t="s">
        <v>69</v>
      </c>
      <c r="S1405" s="69" t="s">
        <v>111</v>
      </c>
      <c r="T1405" s="67"/>
      <c r="U1405" s="67"/>
      <c r="V1405" s="72">
        <v>42735</v>
      </c>
      <c r="W1405" s="69" t="s">
        <v>271</v>
      </c>
      <c r="X1405" s="69"/>
      <c r="Y1405" s="123"/>
      <c r="Z1405" s="30">
        <f t="shared" si="42"/>
        <v>65321.73369671098</v>
      </c>
      <c r="AA1405" s="30">
        <f t="shared" si="43"/>
        <v>0</v>
      </c>
      <c r="AB1405" t="s">
        <v>456</v>
      </c>
    </row>
    <row r="1406" spans="1:28">
      <c r="A1406" s="67" t="s">
        <v>128</v>
      </c>
      <c r="B1406" s="68">
        <v>1188163</v>
      </c>
      <c r="C1406" s="69">
        <v>4615426493</v>
      </c>
      <c r="D1406" s="70">
        <v>19175</v>
      </c>
      <c r="E1406" s="79"/>
      <c r="F1406" s="68">
        <v>154.4</v>
      </c>
      <c r="G1406" s="68" t="s">
        <v>114</v>
      </c>
      <c r="H1406" s="68">
        <v>0</v>
      </c>
      <c r="I1406" s="68">
        <v>0</v>
      </c>
      <c r="J1406" s="71">
        <v>42675</v>
      </c>
      <c r="K1406" s="71">
        <v>42704</v>
      </c>
      <c r="L1406" s="69" t="s">
        <v>108</v>
      </c>
      <c r="M1406" s="69" t="s">
        <v>109</v>
      </c>
      <c r="N1406" s="72">
        <v>42757</v>
      </c>
      <c r="O1406" s="67"/>
      <c r="P1406" s="67" t="s">
        <v>95</v>
      </c>
      <c r="Q1406" s="67" t="s">
        <v>129</v>
      </c>
      <c r="R1406" s="69" t="s">
        <v>69</v>
      </c>
      <c r="S1406" s="69" t="s">
        <v>130</v>
      </c>
      <c r="T1406" s="67"/>
      <c r="U1406" s="67"/>
      <c r="V1406" s="72">
        <v>42704</v>
      </c>
      <c r="W1406" s="69">
        <v>425560026</v>
      </c>
      <c r="X1406" s="69"/>
      <c r="Y1406" s="123"/>
      <c r="Z1406" s="30">
        <f t="shared" si="42"/>
        <v>65270.498266979223</v>
      </c>
      <c r="AA1406" s="30">
        <f t="shared" si="43"/>
        <v>0</v>
      </c>
      <c r="AB1406" t="s">
        <v>456</v>
      </c>
    </row>
    <row r="1407" spans="1:28">
      <c r="A1407" s="67" t="s">
        <v>113</v>
      </c>
      <c r="B1407" s="68">
        <v>1208806</v>
      </c>
      <c r="C1407" s="69">
        <v>4615409968</v>
      </c>
      <c r="D1407" s="70">
        <v>20700</v>
      </c>
      <c r="E1407" s="79"/>
      <c r="F1407" s="73">
        <v>16</v>
      </c>
      <c r="G1407" s="73">
        <v>5</v>
      </c>
      <c r="H1407" s="68">
        <v>0</v>
      </c>
      <c r="I1407" s="68">
        <v>0</v>
      </c>
      <c r="J1407" s="71">
        <v>42719</v>
      </c>
      <c r="K1407" s="71">
        <v>42766</v>
      </c>
      <c r="L1407" s="69" t="s">
        <v>108</v>
      </c>
      <c r="M1407" s="69" t="s">
        <v>109</v>
      </c>
      <c r="N1407" s="72">
        <v>42757</v>
      </c>
      <c r="O1407" s="67"/>
      <c r="P1407" s="67" t="s">
        <v>95</v>
      </c>
      <c r="Q1407" s="67" t="s">
        <v>110</v>
      </c>
      <c r="R1407" s="69" t="s">
        <v>69</v>
      </c>
      <c r="S1407" s="69" t="s">
        <v>115</v>
      </c>
      <c r="T1407" s="67"/>
      <c r="U1407" s="67"/>
      <c r="V1407" s="72">
        <v>42766</v>
      </c>
      <c r="W1407" s="69" t="s">
        <v>249</v>
      </c>
      <c r="X1407" s="69" t="s">
        <v>250</v>
      </c>
      <c r="Y1407" s="123"/>
      <c r="Z1407" s="30">
        <f t="shared" si="42"/>
        <v>7301.7101235631453</v>
      </c>
      <c r="AA1407" s="30">
        <f t="shared" si="43"/>
        <v>2281.7844136134831</v>
      </c>
      <c r="AB1407" t="s">
        <v>456</v>
      </c>
    </row>
    <row r="1408" spans="1:28">
      <c r="A1408" s="67" t="s">
        <v>113</v>
      </c>
      <c r="B1408" s="68">
        <v>1193686</v>
      </c>
      <c r="C1408" s="69">
        <v>4615405620</v>
      </c>
      <c r="D1408" s="70">
        <v>19175</v>
      </c>
      <c r="E1408" s="79"/>
      <c r="F1408" s="68">
        <v>16</v>
      </c>
      <c r="G1408" s="68" t="s">
        <v>114</v>
      </c>
      <c r="H1408" s="68">
        <v>0</v>
      </c>
      <c r="I1408" s="68">
        <v>0</v>
      </c>
      <c r="J1408" s="71">
        <v>42678</v>
      </c>
      <c r="K1408" s="71">
        <v>42704</v>
      </c>
      <c r="L1408" s="69" t="s">
        <v>108</v>
      </c>
      <c r="M1408" s="69" t="s">
        <v>109</v>
      </c>
      <c r="N1408" s="72">
        <v>42757</v>
      </c>
      <c r="O1408" s="67"/>
      <c r="P1408" s="67" t="s">
        <v>95</v>
      </c>
      <c r="Q1408" s="67" t="s">
        <v>110</v>
      </c>
      <c r="R1408" s="69" t="s">
        <v>69</v>
      </c>
      <c r="S1408" s="69" t="s">
        <v>115</v>
      </c>
      <c r="T1408" s="67"/>
      <c r="U1408" s="67"/>
      <c r="V1408" s="72">
        <v>42704</v>
      </c>
      <c r="W1408" s="69" t="s">
        <v>267</v>
      </c>
      <c r="X1408" s="69" t="s">
        <v>268</v>
      </c>
      <c r="Y1408" s="123"/>
      <c r="Z1408" s="30">
        <f t="shared" si="42"/>
        <v>6763.7822038320437</v>
      </c>
      <c r="AA1408" s="30">
        <f t="shared" si="43"/>
        <v>0</v>
      </c>
      <c r="AB1408" t="s">
        <v>456</v>
      </c>
    </row>
    <row r="1409" spans="1:28">
      <c r="A1409" s="67" t="s">
        <v>113</v>
      </c>
      <c r="B1409" s="68">
        <v>1193680</v>
      </c>
      <c r="C1409" s="69">
        <v>4615405620</v>
      </c>
      <c r="D1409" s="70">
        <v>19175</v>
      </c>
      <c r="E1409" s="79"/>
      <c r="F1409" s="68">
        <v>16</v>
      </c>
      <c r="G1409" s="68" t="s">
        <v>114</v>
      </c>
      <c r="H1409" s="68">
        <v>0</v>
      </c>
      <c r="I1409" s="68">
        <v>0</v>
      </c>
      <c r="J1409" s="71">
        <v>42678</v>
      </c>
      <c r="K1409" s="71">
        <v>42704</v>
      </c>
      <c r="L1409" s="69" t="s">
        <v>108</v>
      </c>
      <c r="M1409" s="69" t="s">
        <v>109</v>
      </c>
      <c r="N1409" s="72">
        <v>42757</v>
      </c>
      <c r="O1409" s="67"/>
      <c r="P1409" s="67" t="s">
        <v>95</v>
      </c>
      <c r="Q1409" s="67" t="s">
        <v>110</v>
      </c>
      <c r="R1409" s="69" t="s">
        <v>69</v>
      </c>
      <c r="S1409" s="69" t="s">
        <v>115</v>
      </c>
      <c r="T1409" s="67"/>
      <c r="U1409" s="67"/>
      <c r="V1409" s="72">
        <v>42704</v>
      </c>
      <c r="W1409" s="69" t="s">
        <v>267</v>
      </c>
      <c r="X1409" s="69" t="s">
        <v>268</v>
      </c>
      <c r="Y1409" s="123"/>
      <c r="Z1409" s="30">
        <f t="shared" si="42"/>
        <v>6763.7822038320437</v>
      </c>
      <c r="AA1409" s="30">
        <f t="shared" si="43"/>
        <v>0</v>
      </c>
      <c r="AB1409" t="s">
        <v>456</v>
      </c>
    </row>
    <row r="1410" spans="1:28">
      <c r="A1410" s="67" t="s">
        <v>122</v>
      </c>
      <c r="B1410" s="68">
        <v>1196337</v>
      </c>
      <c r="C1410" s="69">
        <v>4615384305</v>
      </c>
      <c r="D1410" s="70">
        <v>19200</v>
      </c>
      <c r="E1410" s="79"/>
      <c r="F1410" s="68">
        <v>16</v>
      </c>
      <c r="G1410" s="68">
        <v>5</v>
      </c>
      <c r="H1410" s="68">
        <v>0</v>
      </c>
      <c r="I1410" s="68">
        <v>0</v>
      </c>
      <c r="J1410" s="71">
        <v>42678</v>
      </c>
      <c r="K1410" s="71">
        <v>42704</v>
      </c>
      <c r="L1410" s="69" t="s">
        <v>119</v>
      </c>
      <c r="M1410" s="69" t="s">
        <v>109</v>
      </c>
      <c r="N1410" s="72">
        <v>42757</v>
      </c>
      <c r="O1410" s="67"/>
      <c r="P1410" s="67" t="s">
        <v>95</v>
      </c>
      <c r="Q1410" s="67" t="s">
        <v>120</v>
      </c>
      <c r="R1410" s="69" t="s">
        <v>69</v>
      </c>
      <c r="S1410" s="69" t="s">
        <v>123</v>
      </c>
      <c r="T1410" s="67"/>
      <c r="U1410" s="67"/>
      <c r="V1410" s="72">
        <v>42704</v>
      </c>
      <c r="W1410" s="69">
        <v>2023104</v>
      </c>
      <c r="X1410" s="69"/>
      <c r="Y1410" s="123"/>
      <c r="Z1410" s="30">
        <f t="shared" si="42"/>
        <v>6772.6006943194379</v>
      </c>
      <c r="AA1410" s="30">
        <f t="shared" si="43"/>
        <v>2116.4377169748245</v>
      </c>
      <c r="AB1410" t="s">
        <v>456</v>
      </c>
    </row>
    <row r="1411" spans="1:28">
      <c r="A1411" s="67" t="s">
        <v>113</v>
      </c>
      <c r="B1411" s="68">
        <v>1194953</v>
      </c>
      <c r="C1411" s="69">
        <v>4615410298</v>
      </c>
      <c r="D1411" s="70">
        <v>19200</v>
      </c>
      <c r="E1411" s="79"/>
      <c r="F1411" s="68">
        <v>16</v>
      </c>
      <c r="G1411" s="68">
        <v>5</v>
      </c>
      <c r="H1411" s="68">
        <v>0</v>
      </c>
      <c r="I1411" s="68">
        <v>0</v>
      </c>
      <c r="J1411" s="71">
        <v>42681</v>
      </c>
      <c r="K1411" s="71">
        <v>42704</v>
      </c>
      <c r="L1411" s="69" t="s">
        <v>119</v>
      </c>
      <c r="M1411" s="69" t="s">
        <v>109</v>
      </c>
      <c r="N1411" s="72">
        <v>42757</v>
      </c>
      <c r="O1411" s="67"/>
      <c r="P1411" s="67" t="s">
        <v>95</v>
      </c>
      <c r="Q1411" s="67" t="s">
        <v>110</v>
      </c>
      <c r="R1411" s="69" t="s">
        <v>69</v>
      </c>
      <c r="S1411" s="69" t="s">
        <v>115</v>
      </c>
      <c r="T1411" s="67"/>
      <c r="U1411" s="67"/>
      <c r="V1411" s="72">
        <v>42704</v>
      </c>
      <c r="W1411" s="69" t="s">
        <v>236</v>
      </c>
      <c r="X1411" s="69"/>
      <c r="Y1411" s="123"/>
      <c r="Z1411" s="30">
        <f t="shared" ref="Z1411:Z1474" si="44">CONVERT(D1411,"kg","lbm")*F1411/100</f>
        <v>6772.6006943194379</v>
      </c>
      <c r="AA1411" s="30">
        <f t="shared" ref="AA1411:AA1474" si="45">CONVERT(D1411,"kg","lbm")*G1411/100</f>
        <v>2116.4377169748245</v>
      </c>
      <c r="AB1411" t="s">
        <v>456</v>
      </c>
    </row>
    <row r="1412" spans="1:28">
      <c r="A1412" s="67" t="s">
        <v>113</v>
      </c>
      <c r="B1412" s="68">
        <v>1194948</v>
      </c>
      <c r="C1412" s="69">
        <v>4615410298</v>
      </c>
      <c r="D1412" s="70">
        <v>19200</v>
      </c>
      <c r="E1412" s="79"/>
      <c r="F1412" s="68">
        <v>16</v>
      </c>
      <c r="G1412" s="68">
        <v>5</v>
      </c>
      <c r="H1412" s="68">
        <v>0</v>
      </c>
      <c r="I1412" s="68">
        <v>0</v>
      </c>
      <c r="J1412" s="71">
        <v>42681</v>
      </c>
      <c r="K1412" s="71">
        <v>42704</v>
      </c>
      <c r="L1412" s="69" t="s">
        <v>119</v>
      </c>
      <c r="M1412" s="69" t="s">
        <v>109</v>
      </c>
      <c r="N1412" s="72">
        <v>42757</v>
      </c>
      <c r="O1412" s="67"/>
      <c r="P1412" s="67" t="s">
        <v>95</v>
      </c>
      <c r="Q1412" s="67" t="s">
        <v>110</v>
      </c>
      <c r="R1412" s="69" t="s">
        <v>69</v>
      </c>
      <c r="S1412" s="69" t="s">
        <v>115</v>
      </c>
      <c r="T1412" s="67"/>
      <c r="U1412" s="67"/>
      <c r="V1412" s="72">
        <v>42704</v>
      </c>
      <c r="W1412" s="69" t="s">
        <v>236</v>
      </c>
      <c r="X1412" s="69"/>
      <c r="Y1412" s="123"/>
      <c r="Z1412" s="30">
        <f t="shared" si="44"/>
        <v>6772.6006943194379</v>
      </c>
      <c r="AA1412" s="30">
        <f t="shared" si="45"/>
        <v>2116.4377169748245</v>
      </c>
      <c r="AB1412" t="s">
        <v>456</v>
      </c>
    </row>
    <row r="1413" spans="1:28">
      <c r="A1413" s="67" t="s">
        <v>113</v>
      </c>
      <c r="B1413" s="68">
        <v>1194944</v>
      </c>
      <c r="C1413" s="69">
        <v>4615410298</v>
      </c>
      <c r="D1413" s="70">
        <v>19200</v>
      </c>
      <c r="E1413" s="79"/>
      <c r="F1413" s="68">
        <v>16</v>
      </c>
      <c r="G1413" s="68">
        <v>5</v>
      </c>
      <c r="H1413" s="68">
        <v>0</v>
      </c>
      <c r="I1413" s="68">
        <v>0</v>
      </c>
      <c r="J1413" s="71">
        <v>42681</v>
      </c>
      <c r="K1413" s="71">
        <v>42704</v>
      </c>
      <c r="L1413" s="69" t="s">
        <v>119</v>
      </c>
      <c r="M1413" s="69" t="s">
        <v>109</v>
      </c>
      <c r="N1413" s="72">
        <v>42757</v>
      </c>
      <c r="O1413" s="67"/>
      <c r="P1413" s="67" t="s">
        <v>95</v>
      </c>
      <c r="Q1413" s="67" t="s">
        <v>110</v>
      </c>
      <c r="R1413" s="69" t="s">
        <v>69</v>
      </c>
      <c r="S1413" s="69" t="s">
        <v>115</v>
      </c>
      <c r="T1413" s="67"/>
      <c r="U1413" s="67"/>
      <c r="V1413" s="72">
        <v>42704</v>
      </c>
      <c r="W1413" s="69" t="s">
        <v>236</v>
      </c>
      <c r="X1413" s="69"/>
      <c r="Y1413" s="123"/>
      <c r="Z1413" s="30">
        <f t="shared" si="44"/>
        <v>6772.6006943194379</v>
      </c>
      <c r="AA1413" s="30">
        <f t="shared" si="45"/>
        <v>2116.4377169748245</v>
      </c>
      <c r="AB1413" t="s">
        <v>456</v>
      </c>
    </row>
    <row r="1414" spans="1:28">
      <c r="A1414" s="67" t="s">
        <v>68</v>
      </c>
      <c r="B1414" s="68">
        <v>1190660</v>
      </c>
      <c r="C1414" s="69">
        <v>4615411739</v>
      </c>
      <c r="D1414" s="70">
        <v>19175</v>
      </c>
      <c r="E1414" s="79"/>
      <c r="F1414" s="73">
        <v>16</v>
      </c>
      <c r="G1414" s="73">
        <v>5</v>
      </c>
      <c r="H1414" s="68">
        <v>0</v>
      </c>
      <c r="I1414" s="68">
        <v>0</v>
      </c>
      <c r="J1414" s="71">
        <v>42656</v>
      </c>
      <c r="K1414" s="71">
        <v>42704</v>
      </c>
      <c r="L1414" s="69" t="s">
        <v>119</v>
      </c>
      <c r="M1414" s="69" t="s">
        <v>109</v>
      </c>
      <c r="N1414" s="72">
        <v>42757</v>
      </c>
      <c r="O1414" s="67"/>
      <c r="P1414" s="67" t="s">
        <v>95</v>
      </c>
      <c r="Q1414" s="67" t="s">
        <v>125</v>
      </c>
      <c r="R1414" s="69" t="s">
        <v>69</v>
      </c>
      <c r="S1414" s="69" t="s">
        <v>68</v>
      </c>
      <c r="T1414" s="67"/>
      <c r="U1414" s="67"/>
      <c r="V1414" s="72">
        <v>42704</v>
      </c>
      <c r="W1414" s="69">
        <v>5114728</v>
      </c>
      <c r="X1414" s="69"/>
      <c r="Y1414" s="123"/>
      <c r="Z1414" s="30">
        <f t="shared" si="44"/>
        <v>6763.7822038320437</v>
      </c>
      <c r="AA1414" s="30">
        <f t="shared" si="45"/>
        <v>2113.6819386975139</v>
      </c>
      <c r="AB1414" t="s">
        <v>456</v>
      </c>
    </row>
    <row r="1415" spans="1:28">
      <c r="A1415" s="67" t="s">
        <v>68</v>
      </c>
      <c r="B1415" s="68">
        <v>1190657</v>
      </c>
      <c r="C1415" s="69">
        <v>4615411739</v>
      </c>
      <c r="D1415" s="70">
        <v>19175</v>
      </c>
      <c r="E1415" s="79"/>
      <c r="F1415" s="73">
        <v>16</v>
      </c>
      <c r="G1415" s="73">
        <v>5</v>
      </c>
      <c r="H1415" s="68">
        <v>0</v>
      </c>
      <c r="I1415" s="68">
        <v>0</v>
      </c>
      <c r="J1415" s="71">
        <v>42656</v>
      </c>
      <c r="K1415" s="71">
        <v>42704</v>
      </c>
      <c r="L1415" s="69" t="s">
        <v>119</v>
      </c>
      <c r="M1415" s="69" t="s">
        <v>109</v>
      </c>
      <c r="N1415" s="72">
        <v>42757</v>
      </c>
      <c r="O1415" s="67"/>
      <c r="P1415" s="67" t="s">
        <v>95</v>
      </c>
      <c r="Q1415" s="67" t="s">
        <v>125</v>
      </c>
      <c r="R1415" s="69" t="s">
        <v>69</v>
      </c>
      <c r="S1415" s="69" t="s">
        <v>68</v>
      </c>
      <c r="T1415" s="67"/>
      <c r="U1415" s="67"/>
      <c r="V1415" s="72">
        <v>42704</v>
      </c>
      <c r="W1415" s="69">
        <v>5114728</v>
      </c>
      <c r="X1415" s="69"/>
      <c r="Y1415" s="123"/>
      <c r="Z1415" s="30">
        <f t="shared" si="44"/>
        <v>6763.7822038320437</v>
      </c>
      <c r="AA1415" s="30">
        <f t="shared" si="45"/>
        <v>2113.6819386975139</v>
      </c>
      <c r="AB1415" t="s">
        <v>456</v>
      </c>
    </row>
    <row r="1416" spans="1:28">
      <c r="A1416" s="67" t="s">
        <v>68</v>
      </c>
      <c r="B1416" s="68">
        <v>1190651</v>
      </c>
      <c r="C1416" s="69">
        <v>4615411739</v>
      </c>
      <c r="D1416" s="70">
        <v>19175</v>
      </c>
      <c r="E1416" s="79"/>
      <c r="F1416" s="73">
        <v>16</v>
      </c>
      <c r="G1416" s="73">
        <v>5</v>
      </c>
      <c r="H1416" s="68">
        <v>0</v>
      </c>
      <c r="I1416" s="68">
        <v>0</v>
      </c>
      <c r="J1416" s="71">
        <v>42656</v>
      </c>
      <c r="K1416" s="71">
        <v>42704</v>
      </c>
      <c r="L1416" s="69" t="s">
        <v>119</v>
      </c>
      <c r="M1416" s="69" t="s">
        <v>109</v>
      </c>
      <c r="N1416" s="72">
        <v>42757</v>
      </c>
      <c r="O1416" s="67"/>
      <c r="P1416" s="67" t="s">
        <v>95</v>
      </c>
      <c r="Q1416" s="67" t="s">
        <v>125</v>
      </c>
      <c r="R1416" s="69" t="s">
        <v>69</v>
      </c>
      <c r="S1416" s="69" t="s">
        <v>68</v>
      </c>
      <c r="T1416" s="67"/>
      <c r="U1416" s="67"/>
      <c r="V1416" s="72">
        <v>42704</v>
      </c>
      <c r="W1416" s="69">
        <v>5114728</v>
      </c>
      <c r="X1416" s="69"/>
      <c r="Y1416" s="123"/>
      <c r="Z1416" s="30">
        <f t="shared" si="44"/>
        <v>6763.7822038320437</v>
      </c>
      <c r="AA1416" s="30">
        <f t="shared" si="45"/>
        <v>2113.6819386975139</v>
      </c>
      <c r="AB1416" t="s">
        <v>456</v>
      </c>
    </row>
    <row r="1417" spans="1:28">
      <c r="A1417" s="67" t="s">
        <v>113</v>
      </c>
      <c r="B1417" s="68">
        <v>1193688</v>
      </c>
      <c r="C1417" s="69">
        <v>4615405620</v>
      </c>
      <c r="D1417" s="70">
        <v>19175</v>
      </c>
      <c r="E1417" s="79"/>
      <c r="F1417" s="68">
        <v>16</v>
      </c>
      <c r="G1417" s="68" t="s">
        <v>114</v>
      </c>
      <c r="H1417" s="68">
        <v>0</v>
      </c>
      <c r="I1417" s="68">
        <v>0</v>
      </c>
      <c r="J1417" s="71">
        <v>42678</v>
      </c>
      <c r="K1417" s="71">
        <v>42704</v>
      </c>
      <c r="L1417" s="69" t="s">
        <v>108</v>
      </c>
      <c r="M1417" s="69" t="s">
        <v>109</v>
      </c>
      <c r="N1417" s="72">
        <v>42754</v>
      </c>
      <c r="O1417" s="67"/>
      <c r="P1417" s="67" t="s">
        <v>95</v>
      </c>
      <c r="Q1417" s="67" t="s">
        <v>110</v>
      </c>
      <c r="R1417" s="69" t="s">
        <v>69</v>
      </c>
      <c r="S1417" s="69" t="s">
        <v>115</v>
      </c>
      <c r="T1417" s="67"/>
      <c r="U1417" s="67"/>
      <c r="V1417" s="72">
        <v>42704</v>
      </c>
      <c r="W1417" s="69" t="s">
        <v>267</v>
      </c>
      <c r="X1417" s="69" t="s">
        <v>268</v>
      </c>
      <c r="Y1417" s="123"/>
      <c r="Z1417" s="30">
        <f t="shared" si="44"/>
        <v>6763.7822038320437</v>
      </c>
      <c r="AA1417" s="30">
        <f t="shared" si="45"/>
        <v>0</v>
      </c>
      <c r="AB1417" t="s">
        <v>456</v>
      </c>
    </row>
    <row r="1418" spans="1:28">
      <c r="A1418" s="67" t="s">
        <v>122</v>
      </c>
      <c r="B1418" s="68">
        <v>1196338</v>
      </c>
      <c r="C1418" s="69">
        <v>4615384305</v>
      </c>
      <c r="D1418" s="70">
        <v>19200</v>
      </c>
      <c r="E1418" s="79"/>
      <c r="F1418" s="68">
        <v>16</v>
      </c>
      <c r="G1418" s="68">
        <v>5</v>
      </c>
      <c r="H1418" s="68">
        <v>0</v>
      </c>
      <c r="I1418" s="68">
        <v>0</v>
      </c>
      <c r="J1418" s="71">
        <v>42678</v>
      </c>
      <c r="K1418" s="71">
        <v>42704</v>
      </c>
      <c r="L1418" s="69" t="s">
        <v>119</v>
      </c>
      <c r="M1418" s="69" t="s">
        <v>109</v>
      </c>
      <c r="N1418" s="72">
        <v>42754</v>
      </c>
      <c r="O1418" s="67"/>
      <c r="P1418" s="67" t="s">
        <v>95</v>
      </c>
      <c r="Q1418" s="67" t="s">
        <v>120</v>
      </c>
      <c r="R1418" s="69" t="s">
        <v>69</v>
      </c>
      <c r="S1418" s="69" t="s">
        <v>123</v>
      </c>
      <c r="T1418" s="67"/>
      <c r="U1418" s="67"/>
      <c r="V1418" s="72">
        <v>42704</v>
      </c>
      <c r="W1418" s="69">
        <v>2023104</v>
      </c>
      <c r="X1418" s="69"/>
      <c r="Y1418" s="123"/>
      <c r="Z1418" s="30">
        <f t="shared" si="44"/>
        <v>6772.6006943194379</v>
      </c>
      <c r="AA1418" s="30">
        <f t="shared" si="45"/>
        <v>2116.4377169748245</v>
      </c>
      <c r="AB1418" t="s">
        <v>456</v>
      </c>
    </row>
    <row r="1419" spans="1:28">
      <c r="A1419" s="67" t="s">
        <v>122</v>
      </c>
      <c r="B1419" s="68">
        <v>1192178</v>
      </c>
      <c r="C1419" s="69">
        <v>4615382058</v>
      </c>
      <c r="D1419" s="70">
        <v>19200</v>
      </c>
      <c r="E1419" s="79"/>
      <c r="F1419" s="68">
        <v>16</v>
      </c>
      <c r="G1419" s="68">
        <v>5</v>
      </c>
      <c r="H1419" s="68">
        <v>0</v>
      </c>
      <c r="I1419" s="68">
        <v>0</v>
      </c>
      <c r="J1419" s="71">
        <v>42663</v>
      </c>
      <c r="K1419" s="71">
        <v>42674</v>
      </c>
      <c r="L1419" s="69" t="s">
        <v>119</v>
      </c>
      <c r="M1419" s="69" t="s">
        <v>109</v>
      </c>
      <c r="N1419" s="72">
        <v>42754</v>
      </c>
      <c r="O1419" s="67"/>
      <c r="P1419" s="67" t="s">
        <v>95</v>
      </c>
      <c r="Q1419" s="67" t="s">
        <v>120</v>
      </c>
      <c r="R1419" s="69" t="s">
        <v>69</v>
      </c>
      <c r="S1419" s="69" t="s">
        <v>123</v>
      </c>
      <c r="T1419" s="67"/>
      <c r="U1419" s="67"/>
      <c r="V1419" s="72">
        <v>42674</v>
      </c>
      <c r="W1419" s="69">
        <v>2023103</v>
      </c>
      <c r="X1419" s="69"/>
      <c r="Y1419" s="123"/>
      <c r="Z1419" s="30">
        <f t="shared" si="44"/>
        <v>6772.6006943194379</v>
      </c>
      <c r="AA1419" s="30">
        <f t="shared" si="45"/>
        <v>2116.4377169748245</v>
      </c>
      <c r="AB1419" t="s">
        <v>456</v>
      </c>
    </row>
    <row r="1420" spans="1:28">
      <c r="A1420" s="67" t="s">
        <v>128</v>
      </c>
      <c r="B1420" s="68">
        <v>1188164</v>
      </c>
      <c r="C1420" s="69">
        <v>4615426493</v>
      </c>
      <c r="D1420" s="70">
        <v>19175</v>
      </c>
      <c r="E1420" s="79"/>
      <c r="F1420" s="68">
        <v>154.4</v>
      </c>
      <c r="G1420" s="68" t="s">
        <v>114</v>
      </c>
      <c r="H1420" s="68">
        <v>0</v>
      </c>
      <c r="I1420" s="68">
        <v>0</v>
      </c>
      <c r="J1420" s="71">
        <v>42675</v>
      </c>
      <c r="K1420" s="71">
        <v>42704</v>
      </c>
      <c r="L1420" s="69" t="s">
        <v>108</v>
      </c>
      <c r="M1420" s="69" t="s">
        <v>109</v>
      </c>
      <c r="N1420" s="72">
        <v>42753</v>
      </c>
      <c r="O1420" s="67"/>
      <c r="P1420" s="67" t="s">
        <v>95</v>
      </c>
      <c r="Q1420" s="67" t="s">
        <v>129</v>
      </c>
      <c r="R1420" s="69" t="s">
        <v>69</v>
      </c>
      <c r="S1420" s="69" t="s">
        <v>130</v>
      </c>
      <c r="T1420" s="67"/>
      <c r="U1420" s="67"/>
      <c r="V1420" s="72">
        <v>42704</v>
      </c>
      <c r="W1420" s="69">
        <v>425560026</v>
      </c>
      <c r="X1420" s="69"/>
      <c r="Y1420" s="123"/>
      <c r="Z1420" s="30">
        <f t="shared" si="44"/>
        <v>65270.498266979223</v>
      </c>
      <c r="AA1420" s="30">
        <f t="shared" si="45"/>
        <v>0</v>
      </c>
      <c r="AB1420" t="s">
        <v>456</v>
      </c>
    </row>
    <row r="1421" spans="1:28">
      <c r="A1421" s="67" t="s">
        <v>136</v>
      </c>
      <c r="B1421" s="68">
        <v>1201925</v>
      </c>
      <c r="C1421" s="69">
        <v>4615389506</v>
      </c>
      <c r="D1421" s="70">
        <v>19200</v>
      </c>
      <c r="E1421" s="79"/>
      <c r="F1421" s="73">
        <v>10</v>
      </c>
      <c r="G1421" s="73" t="s">
        <v>114</v>
      </c>
      <c r="H1421" s="68">
        <v>0</v>
      </c>
      <c r="I1421" s="68">
        <v>0</v>
      </c>
      <c r="J1421" s="71">
        <v>42706</v>
      </c>
      <c r="K1421" s="71">
        <v>42735</v>
      </c>
      <c r="L1421" s="69" t="s">
        <v>137</v>
      </c>
      <c r="M1421" s="69" t="s">
        <v>109</v>
      </c>
      <c r="N1421" s="72">
        <v>42753</v>
      </c>
      <c r="O1421" s="67"/>
      <c r="P1421" s="67" t="s">
        <v>95</v>
      </c>
      <c r="Q1421" s="67" t="s">
        <v>129</v>
      </c>
      <c r="R1421" s="69" t="s">
        <v>69</v>
      </c>
      <c r="S1421" s="69" t="s">
        <v>138</v>
      </c>
      <c r="T1421" s="67"/>
      <c r="U1421" s="67"/>
      <c r="V1421" s="72">
        <v>42735</v>
      </c>
      <c r="W1421" s="69">
        <v>415560367</v>
      </c>
      <c r="X1421" s="69" t="s">
        <v>261</v>
      </c>
      <c r="Y1421" s="123"/>
      <c r="Z1421" s="30">
        <f t="shared" si="44"/>
        <v>4232.8754339496491</v>
      </c>
      <c r="AA1421" s="30">
        <f t="shared" si="45"/>
        <v>0</v>
      </c>
      <c r="AB1421" t="s">
        <v>456</v>
      </c>
    </row>
    <row r="1422" spans="1:28">
      <c r="A1422" s="67" t="s">
        <v>122</v>
      </c>
      <c r="B1422" s="68">
        <v>1196334</v>
      </c>
      <c r="C1422" s="69">
        <v>4615384305</v>
      </c>
      <c r="D1422" s="70">
        <v>19200</v>
      </c>
      <c r="E1422" s="79"/>
      <c r="F1422" s="68">
        <v>16</v>
      </c>
      <c r="G1422" s="68">
        <v>5</v>
      </c>
      <c r="H1422" s="68">
        <v>0</v>
      </c>
      <c r="I1422" s="68">
        <v>0</v>
      </c>
      <c r="J1422" s="71">
        <v>42678</v>
      </c>
      <c r="K1422" s="71">
        <v>42704</v>
      </c>
      <c r="L1422" s="69" t="s">
        <v>119</v>
      </c>
      <c r="M1422" s="69" t="s">
        <v>109</v>
      </c>
      <c r="N1422" s="72">
        <v>42753</v>
      </c>
      <c r="O1422" s="67"/>
      <c r="P1422" s="67" t="s">
        <v>95</v>
      </c>
      <c r="Q1422" s="67" t="s">
        <v>120</v>
      </c>
      <c r="R1422" s="69" t="s">
        <v>69</v>
      </c>
      <c r="S1422" s="69" t="s">
        <v>123</v>
      </c>
      <c r="T1422" s="67"/>
      <c r="U1422" s="67"/>
      <c r="V1422" s="72">
        <v>42704</v>
      </c>
      <c r="W1422" s="69">
        <v>2023104</v>
      </c>
      <c r="X1422" s="69"/>
      <c r="Y1422" s="123"/>
      <c r="Z1422" s="30">
        <f t="shared" si="44"/>
        <v>6772.6006943194379</v>
      </c>
      <c r="AA1422" s="30">
        <f t="shared" si="45"/>
        <v>2116.4377169748245</v>
      </c>
      <c r="AB1422" t="s">
        <v>456</v>
      </c>
    </row>
    <row r="1423" spans="1:28">
      <c r="A1423" s="67" t="s">
        <v>68</v>
      </c>
      <c r="B1423" s="68">
        <v>1190654</v>
      </c>
      <c r="C1423" s="69">
        <v>4615411739</v>
      </c>
      <c r="D1423" s="70">
        <v>19175</v>
      </c>
      <c r="E1423" s="79"/>
      <c r="F1423" s="73">
        <v>16</v>
      </c>
      <c r="G1423" s="73">
        <v>5</v>
      </c>
      <c r="H1423" s="68">
        <v>0</v>
      </c>
      <c r="I1423" s="68">
        <v>0</v>
      </c>
      <c r="J1423" s="71">
        <v>42656</v>
      </c>
      <c r="K1423" s="71">
        <v>42704</v>
      </c>
      <c r="L1423" s="69" t="s">
        <v>119</v>
      </c>
      <c r="M1423" s="69" t="s">
        <v>109</v>
      </c>
      <c r="N1423" s="72">
        <v>42753</v>
      </c>
      <c r="O1423" s="67"/>
      <c r="P1423" s="67" t="s">
        <v>95</v>
      </c>
      <c r="Q1423" s="67" t="s">
        <v>125</v>
      </c>
      <c r="R1423" s="69" t="s">
        <v>69</v>
      </c>
      <c r="S1423" s="69" t="s">
        <v>68</v>
      </c>
      <c r="T1423" s="67"/>
      <c r="U1423" s="67"/>
      <c r="V1423" s="72">
        <v>42704</v>
      </c>
      <c r="W1423" s="69">
        <v>5114728</v>
      </c>
      <c r="X1423" s="69"/>
      <c r="Y1423" s="123"/>
      <c r="Z1423" s="30">
        <f t="shared" si="44"/>
        <v>6763.7822038320437</v>
      </c>
      <c r="AA1423" s="30">
        <f t="shared" si="45"/>
        <v>2113.6819386975139</v>
      </c>
      <c r="AB1423" t="s">
        <v>456</v>
      </c>
    </row>
    <row r="1424" spans="1:28">
      <c r="A1424" s="67" t="s">
        <v>136</v>
      </c>
      <c r="B1424" s="68">
        <v>1201948</v>
      </c>
      <c r="C1424" s="69">
        <v>4615378597</v>
      </c>
      <c r="D1424" s="70">
        <v>19175</v>
      </c>
      <c r="E1424" s="79"/>
      <c r="F1424" s="73">
        <v>10</v>
      </c>
      <c r="G1424" s="73" t="s">
        <v>114</v>
      </c>
      <c r="H1424" s="68">
        <v>0</v>
      </c>
      <c r="I1424" s="68">
        <v>0</v>
      </c>
      <c r="J1424" s="71">
        <v>42705</v>
      </c>
      <c r="K1424" s="71">
        <v>42766</v>
      </c>
      <c r="L1424" s="69" t="s">
        <v>137</v>
      </c>
      <c r="M1424" s="69" t="s">
        <v>109</v>
      </c>
      <c r="N1424" s="72">
        <v>42752</v>
      </c>
      <c r="O1424" s="67"/>
      <c r="P1424" s="67" t="s">
        <v>95</v>
      </c>
      <c r="Q1424" s="67" t="s">
        <v>129</v>
      </c>
      <c r="R1424" s="69" t="s">
        <v>69</v>
      </c>
      <c r="S1424" s="69" t="s">
        <v>138</v>
      </c>
      <c r="T1424" s="67"/>
      <c r="U1424" s="67"/>
      <c r="V1424" s="72">
        <v>42766</v>
      </c>
      <c r="W1424" s="69">
        <v>415570027</v>
      </c>
      <c r="X1424" s="69" t="s">
        <v>265</v>
      </c>
      <c r="Y1424" s="123"/>
      <c r="Z1424" s="30">
        <f t="shared" si="44"/>
        <v>4227.3638773950279</v>
      </c>
      <c r="AA1424" s="30">
        <f t="shared" si="45"/>
        <v>0</v>
      </c>
      <c r="AB1424" t="s">
        <v>456</v>
      </c>
    </row>
    <row r="1425" spans="1:28">
      <c r="A1425" s="67" t="s">
        <v>113</v>
      </c>
      <c r="B1425" s="68">
        <v>1192169</v>
      </c>
      <c r="C1425" s="69">
        <v>4615405187</v>
      </c>
      <c r="D1425" s="70">
        <v>19175</v>
      </c>
      <c r="E1425" s="79"/>
      <c r="F1425" s="68">
        <v>16</v>
      </c>
      <c r="G1425" s="68" t="s">
        <v>114</v>
      </c>
      <c r="H1425" s="68">
        <v>0</v>
      </c>
      <c r="I1425" s="68">
        <v>0</v>
      </c>
      <c r="J1425" s="71">
        <v>42670</v>
      </c>
      <c r="K1425" s="71">
        <v>42704</v>
      </c>
      <c r="L1425" s="69" t="s">
        <v>108</v>
      </c>
      <c r="M1425" s="69" t="s">
        <v>109</v>
      </c>
      <c r="N1425" s="72">
        <v>42752</v>
      </c>
      <c r="O1425" s="67"/>
      <c r="P1425" s="67" t="s">
        <v>95</v>
      </c>
      <c r="Q1425" s="67" t="s">
        <v>110</v>
      </c>
      <c r="R1425" s="69" t="s">
        <v>69</v>
      </c>
      <c r="S1425" s="69" t="s">
        <v>115</v>
      </c>
      <c r="T1425" s="67"/>
      <c r="U1425" s="67"/>
      <c r="V1425" s="72">
        <v>42704</v>
      </c>
      <c r="W1425" s="69" t="s">
        <v>163</v>
      </c>
      <c r="X1425" s="69" t="s">
        <v>268</v>
      </c>
      <c r="Y1425" s="123"/>
      <c r="Z1425" s="30">
        <f t="shared" si="44"/>
        <v>6763.7822038320437</v>
      </c>
      <c r="AA1425" s="30">
        <f t="shared" si="45"/>
        <v>0</v>
      </c>
      <c r="AB1425" t="s">
        <v>456</v>
      </c>
    </row>
    <row r="1426" spans="1:28">
      <c r="A1426" s="67" t="s">
        <v>122</v>
      </c>
      <c r="B1426" s="68">
        <v>1196335</v>
      </c>
      <c r="C1426" s="69">
        <v>4615384305</v>
      </c>
      <c r="D1426" s="70">
        <v>19200</v>
      </c>
      <c r="E1426" s="79"/>
      <c r="F1426" s="68">
        <v>16</v>
      </c>
      <c r="G1426" s="68">
        <v>5</v>
      </c>
      <c r="H1426" s="68">
        <v>0</v>
      </c>
      <c r="I1426" s="68">
        <v>0</v>
      </c>
      <c r="J1426" s="71">
        <v>42678</v>
      </c>
      <c r="K1426" s="71">
        <v>42704</v>
      </c>
      <c r="L1426" s="69" t="s">
        <v>119</v>
      </c>
      <c r="M1426" s="69" t="s">
        <v>109</v>
      </c>
      <c r="N1426" s="72">
        <v>42752</v>
      </c>
      <c r="O1426" s="67"/>
      <c r="P1426" s="67" t="s">
        <v>95</v>
      </c>
      <c r="Q1426" s="67" t="s">
        <v>120</v>
      </c>
      <c r="R1426" s="69" t="s">
        <v>69</v>
      </c>
      <c r="S1426" s="69" t="s">
        <v>123</v>
      </c>
      <c r="T1426" s="67"/>
      <c r="U1426" s="67"/>
      <c r="V1426" s="72">
        <v>42704</v>
      </c>
      <c r="W1426" s="69">
        <v>2023104</v>
      </c>
      <c r="X1426" s="69"/>
      <c r="Y1426" s="123"/>
      <c r="Z1426" s="30">
        <f t="shared" si="44"/>
        <v>6772.6006943194379</v>
      </c>
      <c r="AA1426" s="30">
        <f t="shared" si="45"/>
        <v>2116.4377169748245</v>
      </c>
      <c r="AB1426" t="s">
        <v>456</v>
      </c>
    </row>
    <row r="1427" spans="1:28">
      <c r="A1427" s="67" t="s">
        <v>136</v>
      </c>
      <c r="B1427" s="68">
        <v>1201927</v>
      </c>
      <c r="C1427" s="69">
        <v>4615389506</v>
      </c>
      <c r="D1427" s="70">
        <v>19200</v>
      </c>
      <c r="E1427" s="79"/>
      <c r="F1427" s="73">
        <v>10</v>
      </c>
      <c r="G1427" s="73" t="s">
        <v>114</v>
      </c>
      <c r="H1427" s="68">
        <v>0</v>
      </c>
      <c r="I1427" s="68">
        <v>0</v>
      </c>
      <c r="J1427" s="71">
        <v>42706</v>
      </c>
      <c r="K1427" s="71">
        <v>42735</v>
      </c>
      <c r="L1427" s="69" t="s">
        <v>137</v>
      </c>
      <c r="M1427" s="69" t="s">
        <v>109</v>
      </c>
      <c r="N1427" s="72">
        <v>42751</v>
      </c>
      <c r="O1427" s="67"/>
      <c r="P1427" s="67" t="s">
        <v>95</v>
      </c>
      <c r="Q1427" s="67" t="s">
        <v>129</v>
      </c>
      <c r="R1427" s="69" t="s">
        <v>69</v>
      </c>
      <c r="S1427" s="69" t="s">
        <v>138</v>
      </c>
      <c r="T1427" s="67"/>
      <c r="U1427" s="67"/>
      <c r="V1427" s="72">
        <v>42735</v>
      </c>
      <c r="W1427" s="69">
        <v>415560367</v>
      </c>
      <c r="X1427" s="69" t="s">
        <v>261</v>
      </c>
      <c r="Y1427" s="123"/>
      <c r="Z1427" s="30">
        <f t="shared" si="44"/>
        <v>4232.8754339496491</v>
      </c>
      <c r="AA1427" s="30">
        <f t="shared" si="45"/>
        <v>0</v>
      </c>
      <c r="AB1427" t="s">
        <v>456</v>
      </c>
    </row>
    <row r="1428" spans="1:28">
      <c r="A1428" s="67" t="s">
        <v>136</v>
      </c>
      <c r="B1428" s="68">
        <v>1201923</v>
      </c>
      <c r="C1428" s="69">
        <v>4615389506</v>
      </c>
      <c r="D1428" s="70">
        <v>19200</v>
      </c>
      <c r="E1428" s="79"/>
      <c r="F1428" s="73">
        <v>10</v>
      </c>
      <c r="G1428" s="73" t="s">
        <v>114</v>
      </c>
      <c r="H1428" s="68">
        <v>0</v>
      </c>
      <c r="I1428" s="68">
        <v>0</v>
      </c>
      <c r="J1428" s="71">
        <v>42706</v>
      </c>
      <c r="K1428" s="71">
        <v>42735</v>
      </c>
      <c r="L1428" s="69" t="s">
        <v>137</v>
      </c>
      <c r="M1428" s="69" t="s">
        <v>109</v>
      </c>
      <c r="N1428" s="72">
        <v>42751</v>
      </c>
      <c r="O1428" s="67"/>
      <c r="P1428" s="67" t="s">
        <v>95</v>
      </c>
      <c r="Q1428" s="67" t="s">
        <v>129</v>
      </c>
      <c r="R1428" s="69" t="s">
        <v>69</v>
      </c>
      <c r="S1428" s="69" t="s">
        <v>138</v>
      </c>
      <c r="T1428" s="67"/>
      <c r="U1428" s="67"/>
      <c r="V1428" s="72">
        <v>42735</v>
      </c>
      <c r="W1428" s="69">
        <v>415560367</v>
      </c>
      <c r="X1428" s="69" t="s">
        <v>261</v>
      </c>
      <c r="Y1428" s="123"/>
      <c r="Z1428" s="30">
        <f t="shared" si="44"/>
        <v>4232.8754339496491</v>
      </c>
      <c r="AA1428" s="30">
        <f t="shared" si="45"/>
        <v>0</v>
      </c>
      <c r="AB1428" t="s">
        <v>456</v>
      </c>
    </row>
    <row r="1429" spans="1:28">
      <c r="A1429" s="67" t="s">
        <v>113</v>
      </c>
      <c r="B1429" s="68">
        <v>1192170</v>
      </c>
      <c r="C1429" s="69">
        <v>4615405187</v>
      </c>
      <c r="D1429" s="70">
        <v>19175</v>
      </c>
      <c r="E1429" s="79"/>
      <c r="F1429" s="68">
        <v>16</v>
      </c>
      <c r="G1429" s="68" t="s">
        <v>114</v>
      </c>
      <c r="H1429" s="68">
        <v>0</v>
      </c>
      <c r="I1429" s="68">
        <v>0</v>
      </c>
      <c r="J1429" s="71">
        <v>42670</v>
      </c>
      <c r="K1429" s="71">
        <v>42704</v>
      </c>
      <c r="L1429" s="69" t="s">
        <v>108</v>
      </c>
      <c r="M1429" s="69" t="s">
        <v>109</v>
      </c>
      <c r="N1429" s="72">
        <v>42751</v>
      </c>
      <c r="O1429" s="67"/>
      <c r="P1429" s="67" t="s">
        <v>95</v>
      </c>
      <c r="Q1429" s="67" t="s">
        <v>110</v>
      </c>
      <c r="R1429" s="69" t="s">
        <v>69</v>
      </c>
      <c r="S1429" s="69" t="s">
        <v>115</v>
      </c>
      <c r="T1429" s="67"/>
      <c r="U1429" s="67"/>
      <c r="V1429" s="72">
        <v>42704</v>
      </c>
      <c r="W1429" s="69" t="s">
        <v>163</v>
      </c>
      <c r="X1429" s="69" t="s">
        <v>273</v>
      </c>
      <c r="Y1429" s="123"/>
      <c r="Z1429" s="30">
        <f t="shared" si="44"/>
        <v>6763.7822038320437</v>
      </c>
      <c r="AA1429" s="30">
        <f t="shared" si="45"/>
        <v>0</v>
      </c>
      <c r="AB1429" t="s">
        <v>456</v>
      </c>
    </row>
    <row r="1430" spans="1:28">
      <c r="A1430" s="67" t="s">
        <v>122</v>
      </c>
      <c r="B1430" s="68">
        <v>1189838</v>
      </c>
      <c r="C1430" s="69">
        <v>4615415814</v>
      </c>
      <c r="D1430" s="70">
        <v>19200</v>
      </c>
      <c r="E1430" s="79"/>
      <c r="F1430" s="73">
        <v>16</v>
      </c>
      <c r="G1430" s="73">
        <v>5</v>
      </c>
      <c r="H1430" s="68">
        <v>0</v>
      </c>
      <c r="I1430" s="68">
        <v>0</v>
      </c>
      <c r="J1430" s="71">
        <v>42657</v>
      </c>
      <c r="K1430" s="71">
        <v>42704</v>
      </c>
      <c r="L1430" s="69" t="s">
        <v>119</v>
      </c>
      <c r="M1430" s="69" t="s">
        <v>109</v>
      </c>
      <c r="N1430" s="72">
        <v>42751</v>
      </c>
      <c r="O1430" s="67"/>
      <c r="P1430" s="67" t="s">
        <v>95</v>
      </c>
      <c r="Q1430" s="67" t="s">
        <v>120</v>
      </c>
      <c r="R1430" s="69" t="s">
        <v>69</v>
      </c>
      <c r="S1430" s="69" t="s">
        <v>123</v>
      </c>
      <c r="T1430" s="67"/>
      <c r="U1430" s="67"/>
      <c r="V1430" s="72">
        <v>42704</v>
      </c>
      <c r="W1430" s="69">
        <v>2025759</v>
      </c>
      <c r="X1430" s="69"/>
      <c r="Y1430" s="123"/>
      <c r="Z1430" s="30">
        <f t="shared" si="44"/>
        <v>6772.6006943194379</v>
      </c>
      <c r="AA1430" s="30">
        <f t="shared" si="45"/>
        <v>2116.4377169748245</v>
      </c>
      <c r="AB1430" t="s">
        <v>456</v>
      </c>
    </row>
    <row r="1431" spans="1:28">
      <c r="A1431" s="67" t="s">
        <v>68</v>
      </c>
      <c r="B1431" s="68">
        <v>1190652</v>
      </c>
      <c r="C1431" s="69">
        <v>4615411739</v>
      </c>
      <c r="D1431" s="70">
        <v>19175</v>
      </c>
      <c r="E1431" s="79"/>
      <c r="F1431" s="73">
        <v>16</v>
      </c>
      <c r="G1431" s="73">
        <v>5</v>
      </c>
      <c r="H1431" s="68">
        <v>0</v>
      </c>
      <c r="I1431" s="68">
        <v>0</v>
      </c>
      <c r="J1431" s="71">
        <v>42656</v>
      </c>
      <c r="K1431" s="71">
        <v>42704</v>
      </c>
      <c r="L1431" s="69" t="s">
        <v>119</v>
      </c>
      <c r="M1431" s="69" t="s">
        <v>109</v>
      </c>
      <c r="N1431" s="72">
        <v>42751</v>
      </c>
      <c r="O1431" s="67"/>
      <c r="P1431" s="67" t="s">
        <v>95</v>
      </c>
      <c r="Q1431" s="67" t="s">
        <v>125</v>
      </c>
      <c r="R1431" s="69" t="s">
        <v>69</v>
      </c>
      <c r="S1431" s="69" t="s">
        <v>68</v>
      </c>
      <c r="T1431" s="67"/>
      <c r="U1431" s="67"/>
      <c r="V1431" s="72">
        <v>42704</v>
      </c>
      <c r="W1431" s="69">
        <v>5114728</v>
      </c>
      <c r="X1431" s="69"/>
      <c r="Y1431" s="123"/>
      <c r="Z1431" s="30">
        <f t="shared" si="44"/>
        <v>6763.7822038320437</v>
      </c>
      <c r="AA1431" s="30">
        <f t="shared" si="45"/>
        <v>2113.6819386975139</v>
      </c>
      <c r="AB1431" t="s">
        <v>456</v>
      </c>
    </row>
    <row r="1432" spans="1:28">
      <c r="A1432" s="67" t="s">
        <v>128</v>
      </c>
      <c r="B1432" s="68">
        <v>1188162</v>
      </c>
      <c r="C1432" s="69">
        <v>4615426493</v>
      </c>
      <c r="D1432" s="70">
        <v>19175</v>
      </c>
      <c r="E1432" s="79"/>
      <c r="F1432" s="68">
        <v>154.4</v>
      </c>
      <c r="G1432" s="68" t="s">
        <v>114</v>
      </c>
      <c r="H1432" s="68">
        <v>0</v>
      </c>
      <c r="I1432" s="68">
        <v>0</v>
      </c>
      <c r="J1432" s="71">
        <v>42675</v>
      </c>
      <c r="K1432" s="71">
        <v>42704</v>
      </c>
      <c r="L1432" s="69" t="s">
        <v>108</v>
      </c>
      <c r="M1432" s="69" t="s">
        <v>109</v>
      </c>
      <c r="N1432" s="72">
        <v>42750</v>
      </c>
      <c r="O1432" s="67"/>
      <c r="P1432" s="67" t="s">
        <v>95</v>
      </c>
      <c r="Q1432" s="67" t="s">
        <v>129</v>
      </c>
      <c r="R1432" s="69" t="s">
        <v>69</v>
      </c>
      <c r="S1432" s="69" t="s">
        <v>130</v>
      </c>
      <c r="T1432" s="67"/>
      <c r="U1432" s="67"/>
      <c r="V1432" s="72">
        <v>42704</v>
      </c>
      <c r="W1432" s="69">
        <v>425560026</v>
      </c>
      <c r="X1432" s="69"/>
      <c r="Y1432" s="123"/>
      <c r="Z1432" s="30">
        <f t="shared" si="44"/>
        <v>65270.498266979223</v>
      </c>
      <c r="AA1432" s="30">
        <f t="shared" si="45"/>
        <v>0</v>
      </c>
      <c r="AB1432" t="s">
        <v>456</v>
      </c>
    </row>
    <row r="1433" spans="1:28">
      <c r="A1433" s="67" t="s">
        <v>136</v>
      </c>
      <c r="B1433" s="68">
        <v>1204273</v>
      </c>
      <c r="C1433" s="69">
        <v>4615419342</v>
      </c>
      <c r="D1433" s="70">
        <v>19175</v>
      </c>
      <c r="E1433" s="79"/>
      <c r="F1433" s="73">
        <v>10</v>
      </c>
      <c r="G1433" s="73" t="s">
        <v>114</v>
      </c>
      <c r="H1433" s="68">
        <v>0</v>
      </c>
      <c r="I1433" s="68">
        <v>0</v>
      </c>
      <c r="J1433" s="71">
        <v>42705</v>
      </c>
      <c r="K1433" s="71">
        <v>42735</v>
      </c>
      <c r="L1433" s="69" t="s">
        <v>137</v>
      </c>
      <c r="M1433" s="69" t="s">
        <v>109</v>
      </c>
      <c r="N1433" s="72">
        <v>42750</v>
      </c>
      <c r="O1433" s="67"/>
      <c r="P1433" s="67" t="s">
        <v>95</v>
      </c>
      <c r="Q1433" s="67" t="s">
        <v>129</v>
      </c>
      <c r="R1433" s="69" t="s">
        <v>69</v>
      </c>
      <c r="S1433" s="69" t="s">
        <v>138</v>
      </c>
      <c r="T1433" s="67"/>
      <c r="U1433" s="67"/>
      <c r="V1433" s="72">
        <v>42735</v>
      </c>
      <c r="W1433" s="69">
        <v>415561209</v>
      </c>
      <c r="X1433" s="69"/>
      <c r="Y1433" s="123"/>
      <c r="Z1433" s="30">
        <f t="shared" si="44"/>
        <v>4227.3638773950279</v>
      </c>
      <c r="AA1433" s="30">
        <f t="shared" si="45"/>
        <v>0</v>
      </c>
      <c r="AB1433" t="s">
        <v>456</v>
      </c>
    </row>
    <row r="1434" spans="1:28">
      <c r="A1434" s="67" t="s">
        <v>113</v>
      </c>
      <c r="B1434" s="68">
        <v>1193681</v>
      </c>
      <c r="C1434" s="69">
        <v>4615405620</v>
      </c>
      <c r="D1434" s="70">
        <v>19175</v>
      </c>
      <c r="E1434" s="79"/>
      <c r="F1434" s="68">
        <v>16</v>
      </c>
      <c r="G1434" s="68" t="s">
        <v>114</v>
      </c>
      <c r="H1434" s="68">
        <v>0</v>
      </c>
      <c r="I1434" s="68">
        <v>0</v>
      </c>
      <c r="J1434" s="71">
        <v>42678</v>
      </c>
      <c r="K1434" s="71">
        <v>42704</v>
      </c>
      <c r="L1434" s="69" t="s">
        <v>108</v>
      </c>
      <c r="M1434" s="69" t="s">
        <v>109</v>
      </c>
      <c r="N1434" s="72">
        <v>42750</v>
      </c>
      <c r="O1434" s="67"/>
      <c r="P1434" s="67" t="s">
        <v>95</v>
      </c>
      <c r="Q1434" s="67" t="s">
        <v>110</v>
      </c>
      <c r="R1434" s="69" t="s">
        <v>69</v>
      </c>
      <c r="S1434" s="69" t="s">
        <v>115</v>
      </c>
      <c r="T1434" s="67"/>
      <c r="U1434" s="67"/>
      <c r="V1434" s="72">
        <v>42704</v>
      </c>
      <c r="W1434" s="69" t="s">
        <v>267</v>
      </c>
      <c r="X1434" s="69" t="s">
        <v>268</v>
      </c>
      <c r="Y1434" s="123"/>
      <c r="Z1434" s="30">
        <f t="shared" si="44"/>
        <v>6763.7822038320437</v>
      </c>
      <c r="AA1434" s="30">
        <f t="shared" si="45"/>
        <v>0</v>
      </c>
      <c r="AB1434" t="s">
        <v>456</v>
      </c>
    </row>
    <row r="1435" spans="1:28">
      <c r="A1435" s="67" t="s">
        <v>113</v>
      </c>
      <c r="B1435" s="68">
        <v>1193682</v>
      </c>
      <c r="C1435" s="69">
        <v>4615405620</v>
      </c>
      <c r="D1435" s="70">
        <v>19175</v>
      </c>
      <c r="E1435" s="79"/>
      <c r="F1435" s="68">
        <v>16</v>
      </c>
      <c r="G1435" s="68" t="s">
        <v>114</v>
      </c>
      <c r="H1435" s="68">
        <v>0</v>
      </c>
      <c r="I1435" s="68">
        <v>0</v>
      </c>
      <c r="J1435" s="71">
        <v>42678</v>
      </c>
      <c r="K1435" s="71">
        <v>42704</v>
      </c>
      <c r="L1435" s="69" t="s">
        <v>108</v>
      </c>
      <c r="M1435" s="69" t="s">
        <v>109</v>
      </c>
      <c r="N1435" s="72">
        <v>42750</v>
      </c>
      <c r="O1435" s="67"/>
      <c r="P1435" s="67" t="s">
        <v>95</v>
      </c>
      <c r="Q1435" s="67" t="s">
        <v>110</v>
      </c>
      <c r="R1435" s="69" t="s">
        <v>69</v>
      </c>
      <c r="S1435" s="69" t="s">
        <v>115</v>
      </c>
      <c r="T1435" s="67"/>
      <c r="U1435" s="67"/>
      <c r="V1435" s="72">
        <v>42704</v>
      </c>
      <c r="W1435" s="69" t="s">
        <v>267</v>
      </c>
      <c r="X1435" s="69" t="s">
        <v>268</v>
      </c>
      <c r="Y1435" s="123"/>
      <c r="Z1435" s="30">
        <f t="shared" si="44"/>
        <v>6763.7822038320437</v>
      </c>
      <c r="AA1435" s="30">
        <f t="shared" si="45"/>
        <v>0</v>
      </c>
      <c r="AB1435" t="s">
        <v>456</v>
      </c>
    </row>
    <row r="1436" spans="1:28">
      <c r="A1436" s="67" t="s">
        <v>113</v>
      </c>
      <c r="B1436" s="68">
        <v>1193683</v>
      </c>
      <c r="C1436" s="69">
        <v>4615405620</v>
      </c>
      <c r="D1436" s="70">
        <v>19175</v>
      </c>
      <c r="E1436" s="79"/>
      <c r="F1436" s="68">
        <v>16</v>
      </c>
      <c r="G1436" s="68" t="s">
        <v>114</v>
      </c>
      <c r="H1436" s="68">
        <v>0</v>
      </c>
      <c r="I1436" s="68">
        <v>0</v>
      </c>
      <c r="J1436" s="71">
        <v>42678</v>
      </c>
      <c r="K1436" s="71">
        <v>42704</v>
      </c>
      <c r="L1436" s="69" t="s">
        <v>108</v>
      </c>
      <c r="M1436" s="69" t="s">
        <v>109</v>
      </c>
      <c r="N1436" s="72">
        <v>42750</v>
      </c>
      <c r="O1436" s="67"/>
      <c r="P1436" s="67" t="s">
        <v>95</v>
      </c>
      <c r="Q1436" s="67" t="s">
        <v>110</v>
      </c>
      <c r="R1436" s="69" t="s">
        <v>69</v>
      </c>
      <c r="S1436" s="69" t="s">
        <v>115</v>
      </c>
      <c r="T1436" s="67"/>
      <c r="U1436" s="67"/>
      <c r="V1436" s="72">
        <v>42704</v>
      </c>
      <c r="W1436" s="69" t="s">
        <v>267</v>
      </c>
      <c r="X1436" s="69" t="s">
        <v>268</v>
      </c>
      <c r="Y1436" s="123"/>
      <c r="Z1436" s="30">
        <f t="shared" si="44"/>
        <v>6763.7822038320437</v>
      </c>
      <c r="AA1436" s="30">
        <f t="shared" si="45"/>
        <v>0</v>
      </c>
      <c r="AB1436" t="s">
        <v>456</v>
      </c>
    </row>
    <row r="1437" spans="1:28">
      <c r="A1437" s="67" t="s">
        <v>113</v>
      </c>
      <c r="B1437" s="68">
        <v>1193685</v>
      </c>
      <c r="C1437" s="69">
        <v>4615405620</v>
      </c>
      <c r="D1437" s="70">
        <v>19175</v>
      </c>
      <c r="E1437" s="79"/>
      <c r="F1437" s="68">
        <v>16</v>
      </c>
      <c r="G1437" s="68" t="s">
        <v>114</v>
      </c>
      <c r="H1437" s="68">
        <v>0</v>
      </c>
      <c r="I1437" s="68">
        <v>0</v>
      </c>
      <c r="J1437" s="71">
        <v>42678</v>
      </c>
      <c r="K1437" s="71">
        <v>42704</v>
      </c>
      <c r="L1437" s="69" t="s">
        <v>108</v>
      </c>
      <c r="M1437" s="69" t="s">
        <v>109</v>
      </c>
      <c r="N1437" s="72">
        <v>42750</v>
      </c>
      <c r="O1437" s="67"/>
      <c r="P1437" s="67" t="s">
        <v>95</v>
      </c>
      <c r="Q1437" s="67" t="s">
        <v>110</v>
      </c>
      <c r="R1437" s="69" t="s">
        <v>69</v>
      </c>
      <c r="S1437" s="69" t="s">
        <v>115</v>
      </c>
      <c r="T1437" s="67"/>
      <c r="U1437" s="67"/>
      <c r="V1437" s="72">
        <v>42704</v>
      </c>
      <c r="W1437" s="69" t="s">
        <v>267</v>
      </c>
      <c r="X1437" s="69" t="s">
        <v>268</v>
      </c>
      <c r="Y1437" s="123"/>
      <c r="Z1437" s="30">
        <f t="shared" si="44"/>
        <v>6763.7822038320437</v>
      </c>
      <c r="AA1437" s="30">
        <f t="shared" si="45"/>
        <v>0</v>
      </c>
      <c r="AB1437" t="s">
        <v>456</v>
      </c>
    </row>
    <row r="1438" spans="1:28">
      <c r="A1438" s="67" t="s">
        <v>113</v>
      </c>
      <c r="B1438" s="68">
        <v>1192167</v>
      </c>
      <c r="C1438" s="69">
        <v>4615405187</v>
      </c>
      <c r="D1438" s="70">
        <v>19175</v>
      </c>
      <c r="E1438" s="79"/>
      <c r="F1438" s="68">
        <v>16</v>
      </c>
      <c r="G1438" s="68" t="s">
        <v>114</v>
      </c>
      <c r="H1438" s="68">
        <v>0</v>
      </c>
      <c r="I1438" s="68">
        <v>0</v>
      </c>
      <c r="J1438" s="71">
        <v>42670</v>
      </c>
      <c r="K1438" s="71">
        <v>42704</v>
      </c>
      <c r="L1438" s="69" t="s">
        <v>108</v>
      </c>
      <c r="M1438" s="69" t="s">
        <v>109</v>
      </c>
      <c r="N1438" s="72">
        <v>42750</v>
      </c>
      <c r="O1438" s="67"/>
      <c r="P1438" s="67" t="s">
        <v>95</v>
      </c>
      <c r="Q1438" s="67" t="s">
        <v>110</v>
      </c>
      <c r="R1438" s="69" t="s">
        <v>69</v>
      </c>
      <c r="S1438" s="69" t="s">
        <v>115</v>
      </c>
      <c r="T1438" s="67"/>
      <c r="U1438" s="67"/>
      <c r="V1438" s="72">
        <v>42704</v>
      </c>
      <c r="W1438" s="69" t="s">
        <v>163</v>
      </c>
      <c r="X1438" s="69" t="s">
        <v>273</v>
      </c>
      <c r="Y1438" s="123"/>
      <c r="Z1438" s="30">
        <f t="shared" si="44"/>
        <v>6763.7822038320437</v>
      </c>
      <c r="AA1438" s="30">
        <f t="shared" si="45"/>
        <v>0</v>
      </c>
      <c r="AB1438" t="s">
        <v>456</v>
      </c>
    </row>
    <row r="1439" spans="1:28">
      <c r="A1439" s="67" t="s">
        <v>118</v>
      </c>
      <c r="B1439" s="68">
        <v>1199063</v>
      </c>
      <c r="C1439" s="69">
        <v>4615410303</v>
      </c>
      <c r="D1439" s="70">
        <v>19175</v>
      </c>
      <c r="E1439" s="79"/>
      <c r="F1439" s="73">
        <v>10</v>
      </c>
      <c r="G1439" s="73">
        <v>5</v>
      </c>
      <c r="H1439" s="68">
        <v>0</v>
      </c>
      <c r="I1439" s="68">
        <v>0</v>
      </c>
      <c r="J1439" s="71">
        <v>42692</v>
      </c>
      <c r="K1439" s="71">
        <v>42735</v>
      </c>
      <c r="L1439" s="69" t="s">
        <v>137</v>
      </c>
      <c r="M1439" s="69" t="s">
        <v>109</v>
      </c>
      <c r="N1439" s="72">
        <v>42750</v>
      </c>
      <c r="O1439" s="67"/>
      <c r="P1439" s="67" t="s">
        <v>95</v>
      </c>
      <c r="Q1439" s="67" t="s">
        <v>120</v>
      </c>
      <c r="R1439" s="69" t="s">
        <v>69</v>
      </c>
      <c r="S1439" s="69" t="s">
        <v>121</v>
      </c>
      <c r="T1439" s="67"/>
      <c r="U1439" s="67"/>
      <c r="V1439" s="72">
        <v>42735</v>
      </c>
      <c r="W1439" s="69">
        <v>2026350</v>
      </c>
      <c r="X1439" s="69"/>
      <c r="Y1439" s="123"/>
      <c r="Z1439" s="30">
        <f t="shared" si="44"/>
        <v>4227.3638773950279</v>
      </c>
      <c r="AA1439" s="30">
        <f t="shared" si="45"/>
        <v>2113.6819386975139</v>
      </c>
      <c r="AB1439" t="s">
        <v>456</v>
      </c>
    </row>
    <row r="1440" spans="1:28">
      <c r="A1440" s="67" t="s">
        <v>118</v>
      </c>
      <c r="B1440" s="68">
        <v>1199060</v>
      </c>
      <c r="C1440" s="69">
        <v>4615400089</v>
      </c>
      <c r="D1440" s="70">
        <v>19175</v>
      </c>
      <c r="E1440" s="79"/>
      <c r="F1440" s="73">
        <v>10</v>
      </c>
      <c r="G1440" s="73" t="s">
        <v>114</v>
      </c>
      <c r="H1440" s="68">
        <v>0</v>
      </c>
      <c r="I1440" s="68">
        <v>0</v>
      </c>
      <c r="J1440" s="71">
        <v>42688</v>
      </c>
      <c r="K1440" s="71">
        <v>42674</v>
      </c>
      <c r="L1440" s="69" t="s">
        <v>137</v>
      </c>
      <c r="M1440" s="69" t="s">
        <v>109</v>
      </c>
      <c r="N1440" s="72">
        <v>42750</v>
      </c>
      <c r="O1440" s="67"/>
      <c r="P1440" s="67" t="s">
        <v>95</v>
      </c>
      <c r="Q1440" s="67" t="s">
        <v>120</v>
      </c>
      <c r="R1440" s="69" t="s">
        <v>69</v>
      </c>
      <c r="S1440" s="69" t="s">
        <v>121</v>
      </c>
      <c r="T1440" s="67"/>
      <c r="U1440" s="67"/>
      <c r="V1440" s="72">
        <v>42674</v>
      </c>
      <c r="W1440" s="69">
        <v>2026343</v>
      </c>
      <c r="X1440" s="69"/>
      <c r="Y1440" s="123"/>
      <c r="Z1440" s="30">
        <f t="shared" si="44"/>
        <v>4227.3638773950279</v>
      </c>
      <c r="AA1440" s="30">
        <f t="shared" si="45"/>
        <v>0</v>
      </c>
      <c r="AB1440" t="s">
        <v>456</v>
      </c>
    </row>
    <row r="1441" spans="1:28">
      <c r="A1441" s="67" t="s">
        <v>122</v>
      </c>
      <c r="B1441" s="68">
        <v>1190370</v>
      </c>
      <c r="C1441" s="69">
        <v>4615366915</v>
      </c>
      <c r="D1441" s="70">
        <v>19200</v>
      </c>
      <c r="E1441" s="79"/>
      <c r="F1441" s="68">
        <v>16</v>
      </c>
      <c r="G1441" s="68">
        <v>5</v>
      </c>
      <c r="H1441" s="68">
        <v>0</v>
      </c>
      <c r="I1441" s="68">
        <v>0</v>
      </c>
      <c r="J1441" s="71"/>
      <c r="K1441" s="71">
        <v>42582</v>
      </c>
      <c r="L1441" s="69" t="s">
        <v>80</v>
      </c>
      <c r="M1441" s="69" t="s">
        <v>109</v>
      </c>
      <c r="N1441" s="72">
        <v>42750</v>
      </c>
      <c r="O1441" s="67"/>
      <c r="P1441" s="67" t="s">
        <v>95</v>
      </c>
      <c r="Q1441" s="67" t="s">
        <v>120</v>
      </c>
      <c r="R1441" s="69" t="s">
        <v>69</v>
      </c>
      <c r="S1441" s="69" t="s">
        <v>123</v>
      </c>
      <c r="T1441" s="67"/>
      <c r="U1441" s="67"/>
      <c r="V1441" s="72">
        <v>42582</v>
      </c>
      <c r="W1441" s="69">
        <v>2018449</v>
      </c>
      <c r="X1441" s="69"/>
      <c r="Y1441" s="123"/>
      <c r="Z1441" s="30">
        <f t="shared" si="44"/>
        <v>6772.6006943194379</v>
      </c>
      <c r="AA1441" s="30">
        <f t="shared" si="45"/>
        <v>2116.4377169748245</v>
      </c>
      <c r="AB1441" t="s">
        <v>456</v>
      </c>
    </row>
    <row r="1442" spans="1:28">
      <c r="A1442" s="67" t="s">
        <v>122</v>
      </c>
      <c r="B1442" s="68">
        <v>1167685</v>
      </c>
      <c r="C1442" s="69">
        <v>4615364660</v>
      </c>
      <c r="D1442" s="70">
        <v>19200</v>
      </c>
      <c r="E1442" s="79"/>
      <c r="F1442" s="68">
        <v>16</v>
      </c>
      <c r="G1442" s="68">
        <v>5</v>
      </c>
      <c r="H1442" s="68">
        <v>0</v>
      </c>
      <c r="I1442" s="68">
        <v>0</v>
      </c>
      <c r="J1442" s="71"/>
      <c r="K1442" s="71">
        <v>42551</v>
      </c>
      <c r="L1442" s="69" t="s">
        <v>80</v>
      </c>
      <c r="M1442" s="69" t="s">
        <v>109</v>
      </c>
      <c r="N1442" s="72">
        <v>42750</v>
      </c>
      <c r="O1442" s="67"/>
      <c r="P1442" s="67" t="s">
        <v>95</v>
      </c>
      <c r="Q1442" s="67" t="s">
        <v>120</v>
      </c>
      <c r="R1442" s="69" t="s">
        <v>69</v>
      </c>
      <c r="S1442" s="69" t="s">
        <v>123</v>
      </c>
      <c r="T1442" s="67"/>
      <c r="U1442" s="67"/>
      <c r="V1442" s="72">
        <v>42551</v>
      </c>
      <c r="W1442" s="69">
        <v>2018457</v>
      </c>
      <c r="X1442" s="69"/>
      <c r="Y1442" s="123"/>
      <c r="Z1442" s="30">
        <f t="shared" si="44"/>
        <v>6772.6006943194379</v>
      </c>
      <c r="AA1442" s="30">
        <f t="shared" si="45"/>
        <v>2116.4377169748245</v>
      </c>
      <c r="AB1442" t="s">
        <v>456</v>
      </c>
    </row>
    <row r="1443" spans="1:28">
      <c r="A1443" s="67" t="s">
        <v>68</v>
      </c>
      <c r="B1443" s="68">
        <v>1190650</v>
      </c>
      <c r="C1443" s="69">
        <v>4615411739</v>
      </c>
      <c r="D1443" s="70">
        <v>19175</v>
      </c>
      <c r="E1443" s="79"/>
      <c r="F1443" s="73">
        <v>16</v>
      </c>
      <c r="G1443" s="73">
        <v>5</v>
      </c>
      <c r="H1443" s="68">
        <v>0</v>
      </c>
      <c r="I1443" s="68">
        <v>0</v>
      </c>
      <c r="J1443" s="71">
        <v>42656</v>
      </c>
      <c r="K1443" s="71">
        <v>42704</v>
      </c>
      <c r="L1443" s="69" t="s">
        <v>119</v>
      </c>
      <c r="M1443" s="69" t="s">
        <v>109</v>
      </c>
      <c r="N1443" s="72">
        <v>42750</v>
      </c>
      <c r="O1443" s="67"/>
      <c r="P1443" s="67" t="s">
        <v>95</v>
      </c>
      <c r="Q1443" s="67" t="s">
        <v>125</v>
      </c>
      <c r="R1443" s="69" t="s">
        <v>69</v>
      </c>
      <c r="S1443" s="69" t="s">
        <v>68</v>
      </c>
      <c r="T1443" s="67"/>
      <c r="U1443" s="67"/>
      <c r="V1443" s="72">
        <v>42704</v>
      </c>
      <c r="W1443" s="69">
        <v>5114728</v>
      </c>
      <c r="X1443" s="69"/>
      <c r="Y1443" s="123"/>
      <c r="Z1443" s="30">
        <f t="shared" si="44"/>
        <v>6763.7822038320437</v>
      </c>
      <c r="AA1443" s="30">
        <f t="shared" si="45"/>
        <v>2113.6819386975139</v>
      </c>
      <c r="AB1443" t="s">
        <v>456</v>
      </c>
    </row>
    <row r="1444" spans="1:28">
      <c r="A1444" s="67" t="s">
        <v>68</v>
      </c>
      <c r="B1444" s="68">
        <v>1190649</v>
      </c>
      <c r="C1444" s="69">
        <v>4615411739</v>
      </c>
      <c r="D1444" s="70">
        <v>19175</v>
      </c>
      <c r="E1444" s="79"/>
      <c r="F1444" s="73">
        <v>16</v>
      </c>
      <c r="G1444" s="73">
        <v>5</v>
      </c>
      <c r="H1444" s="68">
        <v>0</v>
      </c>
      <c r="I1444" s="68">
        <v>0</v>
      </c>
      <c r="J1444" s="71">
        <v>42656</v>
      </c>
      <c r="K1444" s="71">
        <v>42704</v>
      </c>
      <c r="L1444" s="69" t="s">
        <v>119</v>
      </c>
      <c r="M1444" s="69" t="s">
        <v>109</v>
      </c>
      <c r="N1444" s="72">
        <v>42750</v>
      </c>
      <c r="O1444" s="67"/>
      <c r="P1444" s="67" t="s">
        <v>95</v>
      </c>
      <c r="Q1444" s="67" t="s">
        <v>125</v>
      </c>
      <c r="R1444" s="69" t="s">
        <v>69</v>
      </c>
      <c r="S1444" s="69" t="s">
        <v>68</v>
      </c>
      <c r="T1444" s="67"/>
      <c r="U1444" s="67"/>
      <c r="V1444" s="72">
        <v>42704</v>
      </c>
      <c r="W1444" s="69">
        <v>5114728</v>
      </c>
      <c r="X1444" s="69"/>
      <c r="Y1444" s="123"/>
      <c r="Z1444" s="30">
        <f t="shared" si="44"/>
        <v>6763.7822038320437</v>
      </c>
      <c r="AA1444" s="30">
        <f t="shared" si="45"/>
        <v>2113.6819386975139</v>
      </c>
      <c r="AB1444" t="s">
        <v>456</v>
      </c>
    </row>
    <row r="1445" spans="1:28">
      <c r="A1445" s="67" t="s">
        <v>68</v>
      </c>
      <c r="B1445" s="68">
        <v>1190648</v>
      </c>
      <c r="C1445" s="69">
        <v>4615411739</v>
      </c>
      <c r="D1445" s="70">
        <v>19175</v>
      </c>
      <c r="E1445" s="79"/>
      <c r="F1445" s="73">
        <v>16</v>
      </c>
      <c r="G1445" s="73">
        <v>5</v>
      </c>
      <c r="H1445" s="68">
        <v>0</v>
      </c>
      <c r="I1445" s="68">
        <v>0</v>
      </c>
      <c r="J1445" s="71">
        <v>42656</v>
      </c>
      <c r="K1445" s="71">
        <v>42704</v>
      </c>
      <c r="L1445" s="69" t="s">
        <v>119</v>
      </c>
      <c r="M1445" s="69" t="s">
        <v>109</v>
      </c>
      <c r="N1445" s="72">
        <v>42750</v>
      </c>
      <c r="O1445" s="67"/>
      <c r="P1445" s="67" t="s">
        <v>95</v>
      </c>
      <c r="Q1445" s="67" t="s">
        <v>125</v>
      </c>
      <c r="R1445" s="69" t="s">
        <v>69</v>
      </c>
      <c r="S1445" s="69" t="s">
        <v>68</v>
      </c>
      <c r="T1445" s="67"/>
      <c r="U1445" s="67"/>
      <c r="V1445" s="72">
        <v>42704</v>
      </c>
      <c r="W1445" s="69">
        <v>5114728</v>
      </c>
      <c r="X1445" s="69"/>
      <c r="Y1445" s="123"/>
      <c r="Z1445" s="30">
        <f t="shared" si="44"/>
        <v>6763.7822038320437</v>
      </c>
      <c r="AA1445" s="30">
        <f t="shared" si="45"/>
        <v>2113.6819386975139</v>
      </c>
      <c r="AB1445" t="s">
        <v>456</v>
      </c>
    </row>
    <row r="1446" spans="1:28">
      <c r="A1446" s="67" t="s">
        <v>68</v>
      </c>
      <c r="B1446" s="68" t="s">
        <v>161</v>
      </c>
      <c r="C1446" s="69" t="s">
        <v>161</v>
      </c>
      <c r="D1446" s="70">
        <v>19175</v>
      </c>
      <c r="E1446" s="79"/>
      <c r="F1446" s="68">
        <v>16</v>
      </c>
      <c r="G1446" s="68" t="s">
        <v>114</v>
      </c>
      <c r="H1446" s="68">
        <v>0</v>
      </c>
      <c r="I1446" s="68">
        <v>0</v>
      </c>
      <c r="J1446" s="71"/>
      <c r="K1446" s="71">
        <v>42766</v>
      </c>
      <c r="L1446" s="69" t="s">
        <v>80</v>
      </c>
      <c r="M1446" s="69" t="s">
        <v>109</v>
      </c>
      <c r="N1446" s="72">
        <v>42747</v>
      </c>
      <c r="O1446" s="67"/>
      <c r="P1446" s="67" t="s">
        <v>95</v>
      </c>
      <c r="Q1446" s="67" t="s">
        <v>125</v>
      </c>
      <c r="R1446" s="69" t="s">
        <v>69</v>
      </c>
      <c r="S1446" s="69" t="s">
        <v>68</v>
      </c>
      <c r="T1446" s="67"/>
      <c r="U1446" s="67"/>
      <c r="V1446" s="72">
        <v>42766</v>
      </c>
      <c r="W1446" s="69">
        <v>5114717</v>
      </c>
      <c r="X1446" s="69" t="s">
        <v>229</v>
      </c>
      <c r="Y1446" s="123"/>
      <c r="Z1446" s="30">
        <f t="shared" si="44"/>
        <v>6763.7822038320437</v>
      </c>
      <c r="AA1446" s="30">
        <f t="shared" si="45"/>
        <v>0</v>
      </c>
      <c r="AB1446" t="s">
        <v>456</v>
      </c>
    </row>
    <row r="1447" spans="1:28">
      <c r="A1447" s="67" t="s">
        <v>68</v>
      </c>
      <c r="B1447" s="68" t="s">
        <v>161</v>
      </c>
      <c r="C1447" s="69" t="s">
        <v>161</v>
      </c>
      <c r="D1447" s="70">
        <v>19175</v>
      </c>
      <c r="E1447" s="79"/>
      <c r="F1447" s="68">
        <v>16</v>
      </c>
      <c r="G1447" s="68" t="s">
        <v>114</v>
      </c>
      <c r="H1447" s="68">
        <v>0</v>
      </c>
      <c r="I1447" s="68">
        <v>0</v>
      </c>
      <c r="J1447" s="71"/>
      <c r="K1447" s="71">
        <v>42766</v>
      </c>
      <c r="L1447" s="69" t="s">
        <v>80</v>
      </c>
      <c r="M1447" s="69" t="s">
        <v>109</v>
      </c>
      <c r="N1447" s="72">
        <v>42747</v>
      </c>
      <c r="O1447" s="67"/>
      <c r="P1447" s="67" t="s">
        <v>95</v>
      </c>
      <c r="Q1447" s="67" t="s">
        <v>125</v>
      </c>
      <c r="R1447" s="69" t="s">
        <v>69</v>
      </c>
      <c r="S1447" s="69" t="s">
        <v>68</v>
      </c>
      <c r="T1447" s="67"/>
      <c r="U1447" s="67"/>
      <c r="V1447" s="72">
        <v>42766</v>
      </c>
      <c r="W1447" s="69">
        <v>5114717</v>
      </c>
      <c r="X1447" s="69" t="s">
        <v>229</v>
      </c>
      <c r="Y1447" s="123"/>
      <c r="Z1447" s="30">
        <f t="shared" si="44"/>
        <v>6763.7822038320437</v>
      </c>
      <c r="AA1447" s="30">
        <f t="shared" si="45"/>
        <v>0</v>
      </c>
      <c r="AB1447" t="s">
        <v>456</v>
      </c>
    </row>
    <row r="1448" spans="1:28">
      <c r="A1448" s="67" t="s">
        <v>68</v>
      </c>
      <c r="B1448" s="68" t="s">
        <v>161</v>
      </c>
      <c r="C1448" s="69" t="s">
        <v>161</v>
      </c>
      <c r="D1448" s="70">
        <v>19175</v>
      </c>
      <c r="E1448" s="79"/>
      <c r="F1448" s="68">
        <v>16</v>
      </c>
      <c r="G1448" s="68" t="s">
        <v>114</v>
      </c>
      <c r="H1448" s="68">
        <v>0</v>
      </c>
      <c r="I1448" s="68">
        <v>0</v>
      </c>
      <c r="J1448" s="71"/>
      <c r="K1448" s="71">
        <v>42766</v>
      </c>
      <c r="L1448" s="69" t="s">
        <v>80</v>
      </c>
      <c r="M1448" s="69" t="s">
        <v>109</v>
      </c>
      <c r="N1448" s="72">
        <v>42747</v>
      </c>
      <c r="O1448" s="67"/>
      <c r="P1448" s="67" t="s">
        <v>95</v>
      </c>
      <c r="Q1448" s="67" t="s">
        <v>125</v>
      </c>
      <c r="R1448" s="69" t="s">
        <v>69</v>
      </c>
      <c r="S1448" s="69" t="s">
        <v>68</v>
      </c>
      <c r="T1448" s="67"/>
      <c r="U1448" s="67"/>
      <c r="V1448" s="72">
        <v>42766</v>
      </c>
      <c r="W1448" s="69">
        <v>5114717</v>
      </c>
      <c r="X1448" s="69" t="s">
        <v>229</v>
      </c>
      <c r="Y1448" s="123"/>
      <c r="Z1448" s="30">
        <f t="shared" si="44"/>
        <v>6763.7822038320437</v>
      </c>
      <c r="AA1448" s="30">
        <f t="shared" si="45"/>
        <v>0</v>
      </c>
      <c r="AB1448" t="s">
        <v>456</v>
      </c>
    </row>
    <row r="1449" spans="1:28">
      <c r="A1449" s="67" t="s">
        <v>68</v>
      </c>
      <c r="B1449" s="68" t="s">
        <v>161</v>
      </c>
      <c r="C1449" s="69" t="s">
        <v>161</v>
      </c>
      <c r="D1449" s="70">
        <v>19175</v>
      </c>
      <c r="E1449" s="79"/>
      <c r="F1449" s="68">
        <v>16</v>
      </c>
      <c r="G1449" s="68" t="s">
        <v>114</v>
      </c>
      <c r="H1449" s="68">
        <v>0</v>
      </c>
      <c r="I1449" s="68">
        <v>0</v>
      </c>
      <c r="J1449" s="71"/>
      <c r="K1449" s="71">
        <v>42766</v>
      </c>
      <c r="L1449" s="69" t="s">
        <v>80</v>
      </c>
      <c r="M1449" s="69" t="s">
        <v>109</v>
      </c>
      <c r="N1449" s="72">
        <v>42747</v>
      </c>
      <c r="O1449" s="67"/>
      <c r="P1449" s="67" t="s">
        <v>95</v>
      </c>
      <c r="Q1449" s="67" t="s">
        <v>125</v>
      </c>
      <c r="R1449" s="69" t="s">
        <v>69</v>
      </c>
      <c r="S1449" s="69" t="s">
        <v>68</v>
      </c>
      <c r="T1449" s="67"/>
      <c r="U1449" s="67"/>
      <c r="V1449" s="72">
        <v>42766</v>
      </c>
      <c r="W1449" s="69">
        <v>5114717</v>
      </c>
      <c r="X1449" s="69" t="s">
        <v>229</v>
      </c>
      <c r="Y1449" s="123"/>
      <c r="Z1449" s="30">
        <f t="shared" si="44"/>
        <v>6763.7822038320437</v>
      </c>
      <c r="AA1449" s="30">
        <f t="shared" si="45"/>
        <v>0</v>
      </c>
      <c r="AB1449" t="s">
        <v>456</v>
      </c>
    </row>
    <row r="1450" spans="1:28">
      <c r="A1450" s="67" t="s">
        <v>68</v>
      </c>
      <c r="B1450" s="68" t="s">
        <v>161</v>
      </c>
      <c r="C1450" s="69" t="s">
        <v>161</v>
      </c>
      <c r="D1450" s="70">
        <v>19175</v>
      </c>
      <c r="E1450" s="79"/>
      <c r="F1450" s="68">
        <v>16</v>
      </c>
      <c r="G1450" s="68" t="s">
        <v>114</v>
      </c>
      <c r="H1450" s="68">
        <v>0</v>
      </c>
      <c r="I1450" s="68">
        <v>0</v>
      </c>
      <c r="J1450" s="71"/>
      <c r="K1450" s="71">
        <v>42766</v>
      </c>
      <c r="L1450" s="69" t="s">
        <v>80</v>
      </c>
      <c r="M1450" s="69" t="s">
        <v>109</v>
      </c>
      <c r="N1450" s="72">
        <v>42747</v>
      </c>
      <c r="O1450" s="67"/>
      <c r="P1450" s="67" t="s">
        <v>95</v>
      </c>
      <c r="Q1450" s="67" t="s">
        <v>125</v>
      </c>
      <c r="R1450" s="69" t="s">
        <v>69</v>
      </c>
      <c r="S1450" s="69" t="s">
        <v>68</v>
      </c>
      <c r="T1450" s="67"/>
      <c r="U1450" s="67"/>
      <c r="V1450" s="72">
        <v>42766</v>
      </c>
      <c r="W1450" s="69">
        <v>5114717</v>
      </c>
      <c r="X1450" s="69" t="s">
        <v>229</v>
      </c>
      <c r="Y1450" s="123"/>
      <c r="Z1450" s="30">
        <f t="shared" si="44"/>
        <v>6763.7822038320437</v>
      </c>
      <c r="AA1450" s="30">
        <f t="shared" si="45"/>
        <v>0</v>
      </c>
      <c r="AB1450" t="s">
        <v>456</v>
      </c>
    </row>
    <row r="1451" spans="1:28">
      <c r="A1451" s="67" t="s">
        <v>68</v>
      </c>
      <c r="B1451" s="68" t="s">
        <v>161</v>
      </c>
      <c r="C1451" s="69" t="s">
        <v>161</v>
      </c>
      <c r="D1451" s="70">
        <v>19175</v>
      </c>
      <c r="E1451" s="79"/>
      <c r="F1451" s="68">
        <v>16</v>
      </c>
      <c r="G1451" s="68" t="s">
        <v>114</v>
      </c>
      <c r="H1451" s="68">
        <v>0</v>
      </c>
      <c r="I1451" s="68">
        <v>0</v>
      </c>
      <c r="J1451" s="71"/>
      <c r="K1451" s="71">
        <v>42766</v>
      </c>
      <c r="L1451" s="69" t="s">
        <v>80</v>
      </c>
      <c r="M1451" s="69" t="s">
        <v>109</v>
      </c>
      <c r="N1451" s="72">
        <v>42747</v>
      </c>
      <c r="O1451" s="67"/>
      <c r="P1451" s="67" t="s">
        <v>95</v>
      </c>
      <c r="Q1451" s="67" t="s">
        <v>125</v>
      </c>
      <c r="R1451" s="69" t="s">
        <v>69</v>
      </c>
      <c r="S1451" s="69" t="s">
        <v>68</v>
      </c>
      <c r="T1451" s="67"/>
      <c r="U1451" s="67"/>
      <c r="V1451" s="72">
        <v>42766</v>
      </c>
      <c r="W1451" s="69">
        <v>5114717</v>
      </c>
      <c r="X1451" s="69" t="s">
        <v>229</v>
      </c>
      <c r="Y1451" s="123"/>
      <c r="Z1451" s="30">
        <f t="shared" si="44"/>
        <v>6763.7822038320437</v>
      </c>
      <c r="AA1451" s="30">
        <f t="shared" si="45"/>
        <v>0</v>
      </c>
      <c r="AB1451" t="s">
        <v>456</v>
      </c>
    </row>
    <row r="1452" spans="1:28">
      <c r="A1452" s="67" t="s">
        <v>113</v>
      </c>
      <c r="B1452" s="68">
        <v>1192168</v>
      </c>
      <c r="C1452" s="69">
        <v>4615405187</v>
      </c>
      <c r="D1452" s="70">
        <v>19175</v>
      </c>
      <c r="E1452" s="79"/>
      <c r="F1452" s="68">
        <v>16</v>
      </c>
      <c r="G1452" s="68" t="s">
        <v>114</v>
      </c>
      <c r="H1452" s="68">
        <v>0</v>
      </c>
      <c r="I1452" s="68">
        <v>0</v>
      </c>
      <c r="J1452" s="71">
        <v>42670</v>
      </c>
      <c r="K1452" s="71">
        <v>42704</v>
      </c>
      <c r="L1452" s="69" t="s">
        <v>108</v>
      </c>
      <c r="M1452" s="69" t="s">
        <v>109</v>
      </c>
      <c r="N1452" s="72">
        <v>42747</v>
      </c>
      <c r="O1452" s="67"/>
      <c r="P1452" s="67" t="s">
        <v>95</v>
      </c>
      <c r="Q1452" s="67" t="s">
        <v>110</v>
      </c>
      <c r="R1452" s="69" t="s">
        <v>69</v>
      </c>
      <c r="S1452" s="69" t="s">
        <v>115</v>
      </c>
      <c r="T1452" s="67"/>
      <c r="U1452" s="67"/>
      <c r="V1452" s="72">
        <v>42704</v>
      </c>
      <c r="W1452" s="69" t="s">
        <v>163</v>
      </c>
      <c r="X1452" s="69" t="s">
        <v>273</v>
      </c>
      <c r="Y1452" s="123"/>
      <c r="Z1452" s="30">
        <f t="shared" si="44"/>
        <v>6763.7822038320437</v>
      </c>
      <c r="AA1452" s="30">
        <f t="shared" si="45"/>
        <v>0</v>
      </c>
      <c r="AB1452" t="s">
        <v>456</v>
      </c>
    </row>
    <row r="1453" spans="1:28">
      <c r="A1453" s="67" t="s">
        <v>113</v>
      </c>
      <c r="B1453" s="68">
        <v>1192173</v>
      </c>
      <c r="C1453" s="69">
        <v>4615405187</v>
      </c>
      <c r="D1453" s="70">
        <v>19175</v>
      </c>
      <c r="E1453" s="79"/>
      <c r="F1453" s="68">
        <v>16</v>
      </c>
      <c r="G1453" s="68" t="s">
        <v>114</v>
      </c>
      <c r="H1453" s="68">
        <v>0</v>
      </c>
      <c r="I1453" s="68">
        <v>0</v>
      </c>
      <c r="J1453" s="71">
        <v>42670</v>
      </c>
      <c r="K1453" s="71">
        <v>42704</v>
      </c>
      <c r="L1453" s="69" t="s">
        <v>108</v>
      </c>
      <c r="M1453" s="69" t="s">
        <v>109</v>
      </c>
      <c r="N1453" s="72">
        <v>42747</v>
      </c>
      <c r="O1453" s="67"/>
      <c r="P1453" s="67" t="s">
        <v>95</v>
      </c>
      <c r="Q1453" s="67" t="s">
        <v>110</v>
      </c>
      <c r="R1453" s="69" t="s">
        <v>69</v>
      </c>
      <c r="S1453" s="69" t="s">
        <v>115</v>
      </c>
      <c r="T1453" s="67"/>
      <c r="U1453" s="67"/>
      <c r="V1453" s="72">
        <v>42704</v>
      </c>
      <c r="W1453" s="69" t="s">
        <v>163</v>
      </c>
      <c r="X1453" s="69" t="s">
        <v>273</v>
      </c>
      <c r="Y1453" s="123"/>
      <c r="Z1453" s="30">
        <f t="shared" si="44"/>
        <v>6763.7822038320437</v>
      </c>
      <c r="AA1453" s="30">
        <f t="shared" si="45"/>
        <v>0</v>
      </c>
      <c r="AB1453" t="s">
        <v>456</v>
      </c>
    </row>
    <row r="1454" spans="1:28">
      <c r="A1454" s="67" t="s">
        <v>113</v>
      </c>
      <c r="B1454" s="68">
        <v>1192175</v>
      </c>
      <c r="C1454" s="69">
        <v>4615405187</v>
      </c>
      <c r="D1454" s="70">
        <v>19175</v>
      </c>
      <c r="E1454" s="79"/>
      <c r="F1454" s="68">
        <v>16</v>
      </c>
      <c r="G1454" s="68" t="s">
        <v>114</v>
      </c>
      <c r="H1454" s="68">
        <v>0</v>
      </c>
      <c r="I1454" s="68">
        <v>0</v>
      </c>
      <c r="J1454" s="71">
        <v>42670</v>
      </c>
      <c r="K1454" s="71">
        <v>42704</v>
      </c>
      <c r="L1454" s="69" t="s">
        <v>108</v>
      </c>
      <c r="M1454" s="69" t="s">
        <v>109</v>
      </c>
      <c r="N1454" s="72">
        <v>42747</v>
      </c>
      <c r="O1454" s="67"/>
      <c r="P1454" s="67" t="s">
        <v>95</v>
      </c>
      <c r="Q1454" s="67" t="s">
        <v>110</v>
      </c>
      <c r="R1454" s="69" t="s">
        <v>69</v>
      </c>
      <c r="S1454" s="69" t="s">
        <v>115</v>
      </c>
      <c r="T1454" s="67"/>
      <c r="U1454" s="67"/>
      <c r="V1454" s="72">
        <v>42704</v>
      </c>
      <c r="W1454" s="69" t="s">
        <v>163</v>
      </c>
      <c r="X1454" s="69" t="s">
        <v>273</v>
      </c>
      <c r="Y1454" s="123"/>
      <c r="Z1454" s="30">
        <f t="shared" si="44"/>
        <v>6763.7822038320437</v>
      </c>
      <c r="AA1454" s="30">
        <f t="shared" si="45"/>
        <v>0</v>
      </c>
      <c r="AB1454" t="s">
        <v>456</v>
      </c>
    </row>
    <row r="1455" spans="1:28">
      <c r="A1455" s="67" t="s">
        <v>118</v>
      </c>
      <c r="B1455" s="68">
        <v>1190951</v>
      </c>
      <c r="C1455" s="69">
        <v>4615402040</v>
      </c>
      <c r="D1455" s="70">
        <v>19175</v>
      </c>
      <c r="E1455" s="79"/>
      <c r="F1455" s="73">
        <v>10</v>
      </c>
      <c r="G1455" s="73" t="s">
        <v>114</v>
      </c>
      <c r="H1455" s="68">
        <v>0</v>
      </c>
      <c r="I1455" s="68">
        <v>0</v>
      </c>
      <c r="J1455" s="71">
        <v>42692</v>
      </c>
      <c r="K1455" s="71">
        <v>42704</v>
      </c>
      <c r="L1455" s="69" t="s">
        <v>137</v>
      </c>
      <c r="M1455" s="69" t="s">
        <v>109</v>
      </c>
      <c r="N1455" s="72">
        <v>42747</v>
      </c>
      <c r="O1455" s="67"/>
      <c r="P1455" s="67" t="s">
        <v>95</v>
      </c>
      <c r="Q1455" s="67" t="s">
        <v>120</v>
      </c>
      <c r="R1455" s="69" t="s">
        <v>69</v>
      </c>
      <c r="S1455" s="69" t="s">
        <v>121</v>
      </c>
      <c r="T1455" s="67"/>
      <c r="U1455" s="67"/>
      <c r="V1455" s="72">
        <v>42704</v>
      </c>
      <c r="W1455" s="69">
        <v>2026344</v>
      </c>
      <c r="X1455" s="69"/>
      <c r="Y1455" s="123"/>
      <c r="Z1455" s="30">
        <f t="shared" si="44"/>
        <v>4227.3638773950279</v>
      </c>
      <c r="AA1455" s="30">
        <f t="shared" si="45"/>
        <v>0</v>
      </c>
      <c r="AB1455" t="s">
        <v>456</v>
      </c>
    </row>
    <row r="1456" spans="1:28">
      <c r="A1456" s="67" t="s">
        <v>122</v>
      </c>
      <c r="B1456" s="68">
        <v>1189837</v>
      </c>
      <c r="C1456" s="69">
        <v>4615415814</v>
      </c>
      <c r="D1456" s="70">
        <v>19200</v>
      </c>
      <c r="E1456" s="79"/>
      <c r="F1456" s="73">
        <v>16</v>
      </c>
      <c r="G1456" s="73">
        <v>5</v>
      </c>
      <c r="H1456" s="68">
        <v>0</v>
      </c>
      <c r="I1456" s="68">
        <v>0</v>
      </c>
      <c r="J1456" s="71">
        <v>42657</v>
      </c>
      <c r="K1456" s="71">
        <v>42704</v>
      </c>
      <c r="L1456" s="69" t="s">
        <v>119</v>
      </c>
      <c r="M1456" s="69" t="s">
        <v>109</v>
      </c>
      <c r="N1456" s="72">
        <v>42746</v>
      </c>
      <c r="O1456" s="67"/>
      <c r="P1456" s="67" t="s">
        <v>95</v>
      </c>
      <c r="Q1456" s="67" t="s">
        <v>120</v>
      </c>
      <c r="R1456" s="69" t="s">
        <v>69</v>
      </c>
      <c r="S1456" s="69" t="s">
        <v>123</v>
      </c>
      <c r="T1456" s="67"/>
      <c r="U1456" s="67"/>
      <c r="V1456" s="72">
        <v>42704</v>
      </c>
      <c r="W1456" s="69">
        <v>2025759</v>
      </c>
      <c r="X1456" s="69"/>
      <c r="Y1456" s="123"/>
      <c r="Z1456" s="30">
        <f t="shared" si="44"/>
        <v>6772.6006943194379</v>
      </c>
      <c r="AA1456" s="30">
        <f t="shared" si="45"/>
        <v>2116.4377169748245</v>
      </c>
      <c r="AB1456" t="s">
        <v>456</v>
      </c>
    </row>
    <row r="1457" spans="1:28">
      <c r="A1457" s="67" t="s">
        <v>122</v>
      </c>
      <c r="B1457" s="68">
        <v>1167691</v>
      </c>
      <c r="C1457" s="69">
        <v>4615367320</v>
      </c>
      <c r="D1457" s="70">
        <v>19200</v>
      </c>
      <c r="E1457" s="79"/>
      <c r="F1457" s="68">
        <v>16</v>
      </c>
      <c r="G1457" s="68">
        <v>5</v>
      </c>
      <c r="H1457" s="68">
        <v>0</v>
      </c>
      <c r="I1457" s="68">
        <v>0</v>
      </c>
      <c r="J1457" s="71"/>
      <c r="K1457" s="71">
        <v>42582</v>
      </c>
      <c r="L1457" s="69" t="s">
        <v>80</v>
      </c>
      <c r="M1457" s="69" t="s">
        <v>109</v>
      </c>
      <c r="N1457" s="72">
        <v>42746</v>
      </c>
      <c r="O1457" s="67"/>
      <c r="P1457" s="67" t="s">
        <v>95</v>
      </c>
      <c r="Q1457" s="67" t="s">
        <v>120</v>
      </c>
      <c r="R1457" s="69" t="s">
        <v>69</v>
      </c>
      <c r="S1457" s="69" t="s">
        <v>123</v>
      </c>
      <c r="T1457" s="67"/>
      <c r="U1457" s="67"/>
      <c r="V1457" s="72">
        <v>42582</v>
      </c>
      <c r="W1457" s="69">
        <v>2018458</v>
      </c>
      <c r="X1457" s="69"/>
      <c r="Y1457" s="123"/>
      <c r="Z1457" s="30">
        <f t="shared" si="44"/>
        <v>6772.6006943194379</v>
      </c>
      <c r="AA1457" s="30">
        <f t="shared" si="45"/>
        <v>2116.4377169748245</v>
      </c>
      <c r="AB1457" t="s">
        <v>456</v>
      </c>
    </row>
    <row r="1458" spans="1:28">
      <c r="A1458" s="67" t="s">
        <v>68</v>
      </c>
      <c r="B1458" s="68" t="s">
        <v>161</v>
      </c>
      <c r="C1458" s="69" t="s">
        <v>161</v>
      </c>
      <c r="D1458" s="70">
        <v>19175</v>
      </c>
      <c r="E1458" s="79"/>
      <c r="F1458" s="68">
        <v>16</v>
      </c>
      <c r="G1458" s="68" t="s">
        <v>114</v>
      </c>
      <c r="H1458" s="68">
        <v>0</v>
      </c>
      <c r="I1458" s="68">
        <v>0</v>
      </c>
      <c r="J1458" s="71"/>
      <c r="K1458" s="71">
        <v>42766</v>
      </c>
      <c r="L1458" s="69" t="s">
        <v>80</v>
      </c>
      <c r="M1458" s="69" t="s">
        <v>109</v>
      </c>
      <c r="N1458" s="72">
        <v>42745</v>
      </c>
      <c r="O1458" s="67"/>
      <c r="P1458" s="67" t="s">
        <v>95</v>
      </c>
      <c r="Q1458" s="67" t="s">
        <v>125</v>
      </c>
      <c r="R1458" s="69" t="s">
        <v>69</v>
      </c>
      <c r="S1458" s="69" t="s">
        <v>68</v>
      </c>
      <c r="T1458" s="67"/>
      <c r="U1458" s="67"/>
      <c r="V1458" s="72">
        <v>42766</v>
      </c>
      <c r="W1458" s="69">
        <v>5114717</v>
      </c>
      <c r="X1458" s="69" t="s">
        <v>229</v>
      </c>
      <c r="Y1458" s="123"/>
      <c r="Z1458" s="30">
        <f t="shared" si="44"/>
        <v>6763.7822038320437</v>
      </c>
      <c r="AA1458" s="30">
        <f t="shared" si="45"/>
        <v>0</v>
      </c>
      <c r="AB1458" t="s">
        <v>456</v>
      </c>
    </row>
    <row r="1459" spans="1:28">
      <c r="A1459" s="67" t="s">
        <v>68</v>
      </c>
      <c r="B1459" s="68" t="s">
        <v>161</v>
      </c>
      <c r="C1459" s="69" t="s">
        <v>161</v>
      </c>
      <c r="D1459" s="70">
        <v>19175</v>
      </c>
      <c r="E1459" s="79"/>
      <c r="F1459" s="68">
        <v>16</v>
      </c>
      <c r="G1459" s="68" t="s">
        <v>114</v>
      </c>
      <c r="H1459" s="68">
        <v>0</v>
      </c>
      <c r="I1459" s="68">
        <v>0</v>
      </c>
      <c r="J1459" s="71"/>
      <c r="K1459" s="71">
        <v>42766</v>
      </c>
      <c r="L1459" s="69" t="s">
        <v>80</v>
      </c>
      <c r="M1459" s="69" t="s">
        <v>109</v>
      </c>
      <c r="N1459" s="72">
        <v>42745</v>
      </c>
      <c r="O1459" s="67"/>
      <c r="P1459" s="67" t="s">
        <v>95</v>
      </c>
      <c r="Q1459" s="67" t="s">
        <v>125</v>
      </c>
      <c r="R1459" s="69" t="s">
        <v>69</v>
      </c>
      <c r="S1459" s="69" t="s">
        <v>68</v>
      </c>
      <c r="T1459" s="67"/>
      <c r="U1459" s="67"/>
      <c r="V1459" s="72">
        <v>42766</v>
      </c>
      <c r="W1459" s="69">
        <v>5114717</v>
      </c>
      <c r="X1459" s="69" t="s">
        <v>229</v>
      </c>
      <c r="Y1459" s="123"/>
      <c r="Z1459" s="30">
        <f t="shared" si="44"/>
        <v>6763.7822038320437</v>
      </c>
      <c r="AA1459" s="30">
        <f t="shared" si="45"/>
        <v>0</v>
      </c>
      <c r="AB1459" t="s">
        <v>456</v>
      </c>
    </row>
    <row r="1460" spans="1:28">
      <c r="A1460" s="67" t="s">
        <v>68</v>
      </c>
      <c r="B1460" s="68" t="s">
        <v>161</v>
      </c>
      <c r="C1460" s="69" t="s">
        <v>161</v>
      </c>
      <c r="D1460" s="70">
        <v>19175</v>
      </c>
      <c r="E1460" s="79"/>
      <c r="F1460" s="68">
        <v>16</v>
      </c>
      <c r="G1460" s="68" t="s">
        <v>114</v>
      </c>
      <c r="H1460" s="68">
        <v>0</v>
      </c>
      <c r="I1460" s="68">
        <v>0</v>
      </c>
      <c r="J1460" s="71"/>
      <c r="K1460" s="71">
        <v>42766</v>
      </c>
      <c r="L1460" s="69" t="s">
        <v>80</v>
      </c>
      <c r="M1460" s="69" t="s">
        <v>109</v>
      </c>
      <c r="N1460" s="72">
        <v>42745</v>
      </c>
      <c r="O1460" s="67"/>
      <c r="P1460" s="67" t="s">
        <v>95</v>
      </c>
      <c r="Q1460" s="67" t="s">
        <v>125</v>
      </c>
      <c r="R1460" s="69" t="s">
        <v>69</v>
      </c>
      <c r="S1460" s="69" t="s">
        <v>68</v>
      </c>
      <c r="T1460" s="67"/>
      <c r="U1460" s="67"/>
      <c r="V1460" s="72">
        <v>42766</v>
      </c>
      <c r="W1460" s="69">
        <v>5114717</v>
      </c>
      <c r="X1460" s="69" t="s">
        <v>229</v>
      </c>
      <c r="Y1460" s="123"/>
      <c r="Z1460" s="30">
        <f t="shared" si="44"/>
        <v>6763.7822038320437</v>
      </c>
      <c r="AA1460" s="30">
        <f t="shared" si="45"/>
        <v>0</v>
      </c>
      <c r="AB1460" t="s">
        <v>456</v>
      </c>
    </row>
    <row r="1461" spans="1:28">
      <c r="A1461" s="67" t="s">
        <v>68</v>
      </c>
      <c r="B1461" s="68" t="s">
        <v>161</v>
      </c>
      <c r="C1461" s="69" t="s">
        <v>161</v>
      </c>
      <c r="D1461" s="70">
        <v>19175</v>
      </c>
      <c r="E1461" s="79"/>
      <c r="F1461" s="68">
        <v>16</v>
      </c>
      <c r="G1461" s="68" t="s">
        <v>114</v>
      </c>
      <c r="H1461" s="68">
        <v>0</v>
      </c>
      <c r="I1461" s="68">
        <v>0</v>
      </c>
      <c r="J1461" s="71"/>
      <c r="K1461" s="71">
        <v>42766</v>
      </c>
      <c r="L1461" s="69" t="s">
        <v>80</v>
      </c>
      <c r="M1461" s="69" t="s">
        <v>109</v>
      </c>
      <c r="N1461" s="72">
        <v>42745</v>
      </c>
      <c r="O1461" s="67"/>
      <c r="P1461" s="67" t="s">
        <v>95</v>
      </c>
      <c r="Q1461" s="67" t="s">
        <v>125</v>
      </c>
      <c r="R1461" s="69" t="s">
        <v>69</v>
      </c>
      <c r="S1461" s="69" t="s">
        <v>68</v>
      </c>
      <c r="T1461" s="67"/>
      <c r="U1461" s="67"/>
      <c r="V1461" s="72">
        <v>42766</v>
      </c>
      <c r="W1461" s="69">
        <v>5114717</v>
      </c>
      <c r="X1461" s="69" t="s">
        <v>229</v>
      </c>
      <c r="Y1461" s="123"/>
      <c r="Z1461" s="30">
        <f t="shared" si="44"/>
        <v>6763.7822038320437</v>
      </c>
      <c r="AA1461" s="30">
        <f t="shared" si="45"/>
        <v>0</v>
      </c>
      <c r="AB1461" t="s">
        <v>456</v>
      </c>
    </row>
    <row r="1462" spans="1:28">
      <c r="A1462" s="67" t="s">
        <v>68</v>
      </c>
      <c r="B1462" s="68" t="s">
        <v>161</v>
      </c>
      <c r="C1462" s="69" t="s">
        <v>161</v>
      </c>
      <c r="D1462" s="70">
        <v>19175</v>
      </c>
      <c r="E1462" s="79"/>
      <c r="F1462" s="68">
        <v>16</v>
      </c>
      <c r="G1462" s="68" t="s">
        <v>114</v>
      </c>
      <c r="H1462" s="68">
        <v>0</v>
      </c>
      <c r="I1462" s="68">
        <v>0</v>
      </c>
      <c r="J1462" s="71"/>
      <c r="K1462" s="71">
        <v>42766</v>
      </c>
      <c r="L1462" s="69" t="s">
        <v>80</v>
      </c>
      <c r="M1462" s="69" t="s">
        <v>109</v>
      </c>
      <c r="N1462" s="72">
        <v>42745</v>
      </c>
      <c r="O1462" s="67"/>
      <c r="P1462" s="67" t="s">
        <v>95</v>
      </c>
      <c r="Q1462" s="67" t="s">
        <v>125</v>
      </c>
      <c r="R1462" s="69" t="s">
        <v>69</v>
      </c>
      <c r="S1462" s="69" t="s">
        <v>68</v>
      </c>
      <c r="T1462" s="67"/>
      <c r="U1462" s="67"/>
      <c r="V1462" s="72">
        <v>42766</v>
      </c>
      <c r="W1462" s="69">
        <v>5114717</v>
      </c>
      <c r="X1462" s="69" t="s">
        <v>229</v>
      </c>
      <c r="Y1462" s="123"/>
      <c r="Z1462" s="30">
        <f t="shared" si="44"/>
        <v>6763.7822038320437</v>
      </c>
      <c r="AA1462" s="30">
        <f t="shared" si="45"/>
        <v>0</v>
      </c>
      <c r="AB1462" t="s">
        <v>456</v>
      </c>
    </row>
    <row r="1463" spans="1:28">
      <c r="A1463" s="67" t="s">
        <v>68</v>
      </c>
      <c r="B1463" s="68" t="s">
        <v>161</v>
      </c>
      <c r="C1463" s="69" t="s">
        <v>161</v>
      </c>
      <c r="D1463" s="70">
        <v>19175</v>
      </c>
      <c r="E1463" s="79"/>
      <c r="F1463" s="68">
        <v>16</v>
      </c>
      <c r="G1463" s="68" t="s">
        <v>114</v>
      </c>
      <c r="H1463" s="68">
        <v>0</v>
      </c>
      <c r="I1463" s="68">
        <v>0</v>
      </c>
      <c r="J1463" s="71"/>
      <c r="K1463" s="71">
        <v>42766</v>
      </c>
      <c r="L1463" s="69" t="s">
        <v>80</v>
      </c>
      <c r="M1463" s="69" t="s">
        <v>109</v>
      </c>
      <c r="N1463" s="72">
        <v>42745</v>
      </c>
      <c r="O1463" s="67"/>
      <c r="P1463" s="67" t="s">
        <v>95</v>
      </c>
      <c r="Q1463" s="67" t="s">
        <v>125</v>
      </c>
      <c r="R1463" s="69" t="s">
        <v>69</v>
      </c>
      <c r="S1463" s="69" t="s">
        <v>68</v>
      </c>
      <c r="T1463" s="67"/>
      <c r="U1463" s="67"/>
      <c r="V1463" s="72">
        <v>42766</v>
      </c>
      <c r="W1463" s="69">
        <v>5114717</v>
      </c>
      <c r="X1463" s="69" t="s">
        <v>229</v>
      </c>
      <c r="Y1463" s="123"/>
      <c r="Z1463" s="30">
        <f t="shared" si="44"/>
        <v>6763.7822038320437</v>
      </c>
      <c r="AA1463" s="30">
        <f t="shared" si="45"/>
        <v>0</v>
      </c>
      <c r="AB1463" t="s">
        <v>456</v>
      </c>
    </row>
    <row r="1464" spans="1:28">
      <c r="A1464" s="67" t="s">
        <v>131</v>
      </c>
      <c r="B1464" s="68">
        <v>1186385</v>
      </c>
      <c r="C1464" s="69">
        <v>4615420986</v>
      </c>
      <c r="D1464" s="70">
        <v>19200</v>
      </c>
      <c r="E1464" s="79"/>
      <c r="F1464" s="75">
        <v>154.4</v>
      </c>
      <c r="G1464" s="75" t="s">
        <v>114</v>
      </c>
      <c r="H1464" s="68">
        <v>0</v>
      </c>
      <c r="I1464" s="68">
        <v>0</v>
      </c>
      <c r="J1464" s="71">
        <v>42647</v>
      </c>
      <c r="K1464" s="71">
        <v>42766</v>
      </c>
      <c r="L1464" s="69" t="s">
        <v>119</v>
      </c>
      <c r="M1464" s="69" t="s">
        <v>109</v>
      </c>
      <c r="N1464" s="72">
        <v>42745</v>
      </c>
      <c r="O1464" s="67"/>
      <c r="P1464" s="67" t="s">
        <v>95</v>
      </c>
      <c r="Q1464" s="67" t="s">
        <v>125</v>
      </c>
      <c r="R1464" s="69" t="s">
        <v>69</v>
      </c>
      <c r="S1464" s="69" t="s">
        <v>134</v>
      </c>
      <c r="T1464" s="67"/>
      <c r="U1464" s="67"/>
      <c r="V1464" s="72">
        <v>42766</v>
      </c>
      <c r="W1464" s="69" t="s">
        <v>269</v>
      </c>
      <c r="X1464" s="69"/>
      <c r="Y1464" s="123"/>
      <c r="Z1464" s="30">
        <f t="shared" si="44"/>
        <v>65355.596700182585</v>
      </c>
      <c r="AA1464" s="30">
        <f t="shared" si="45"/>
        <v>0</v>
      </c>
      <c r="AB1464" t="s">
        <v>456</v>
      </c>
    </row>
    <row r="1465" spans="1:28">
      <c r="A1465" s="67" t="s">
        <v>136</v>
      </c>
      <c r="B1465" s="68">
        <v>1193677</v>
      </c>
      <c r="C1465" s="69">
        <v>4615419866</v>
      </c>
      <c r="D1465" s="70">
        <v>19175</v>
      </c>
      <c r="E1465" s="79"/>
      <c r="F1465" s="73">
        <v>10</v>
      </c>
      <c r="G1465" s="73">
        <v>5</v>
      </c>
      <c r="H1465" s="68">
        <v>0</v>
      </c>
      <c r="I1465" s="68">
        <v>0</v>
      </c>
      <c r="J1465" s="71">
        <v>42678</v>
      </c>
      <c r="K1465" s="71">
        <v>42735</v>
      </c>
      <c r="L1465" s="69" t="s">
        <v>137</v>
      </c>
      <c r="M1465" s="69" t="s">
        <v>109</v>
      </c>
      <c r="N1465" s="72">
        <v>42745</v>
      </c>
      <c r="O1465" s="67"/>
      <c r="P1465" s="67" t="s">
        <v>95</v>
      </c>
      <c r="Q1465" s="67" t="s">
        <v>129</v>
      </c>
      <c r="R1465" s="69" t="s">
        <v>69</v>
      </c>
      <c r="S1465" s="69" t="s">
        <v>138</v>
      </c>
      <c r="T1465" s="67"/>
      <c r="U1465" s="67"/>
      <c r="V1465" s="72">
        <v>42735</v>
      </c>
      <c r="W1465" s="69">
        <v>415561212</v>
      </c>
      <c r="X1465" s="78"/>
      <c r="Y1465" s="123"/>
      <c r="Z1465" s="30">
        <f t="shared" si="44"/>
        <v>4227.3638773950279</v>
      </c>
      <c r="AA1465" s="30">
        <f t="shared" si="45"/>
        <v>2113.6819386975139</v>
      </c>
      <c r="AB1465" t="s">
        <v>456</v>
      </c>
    </row>
    <row r="1466" spans="1:28">
      <c r="A1466" s="67" t="s">
        <v>122</v>
      </c>
      <c r="B1466" s="68">
        <v>1192179</v>
      </c>
      <c r="C1466" s="69">
        <v>4615382058</v>
      </c>
      <c r="D1466" s="70">
        <v>19200</v>
      </c>
      <c r="E1466" s="79"/>
      <c r="F1466" s="68">
        <v>16</v>
      </c>
      <c r="G1466" s="68">
        <v>5</v>
      </c>
      <c r="H1466" s="68">
        <v>0</v>
      </c>
      <c r="I1466" s="68">
        <v>0</v>
      </c>
      <c r="J1466" s="71">
        <v>42663</v>
      </c>
      <c r="K1466" s="71">
        <v>42674</v>
      </c>
      <c r="L1466" s="69" t="s">
        <v>119</v>
      </c>
      <c r="M1466" s="69" t="s">
        <v>109</v>
      </c>
      <c r="N1466" s="72">
        <v>42745</v>
      </c>
      <c r="O1466" s="67"/>
      <c r="P1466" s="67" t="s">
        <v>95</v>
      </c>
      <c r="Q1466" s="67" t="s">
        <v>120</v>
      </c>
      <c r="R1466" s="69" t="s">
        <v>69</v>
      </c>
      <c r="S1466" s="69" t="s">
        <v>123</v>
      </c>
      <c r="T1466" s="67"/>
      <c r="U1466" s="67"/>
      <c r="V1466" s="72">
        <v>42674</v>
      </c>
      <c r="W1466" s="69">
        <v>2023103</v>
      </c>
      <c r="X1466" s="69"/>
      <c r="Y1466" s="123"/>
      <c r="Z1466" s="30">
        <f t="shared" si="44"/>
        <v>6772.6006943194379</v>
      </c>
      <c r="AA1466" s="30">
        <f t="shared" si="45"/>
        <v>2116.4377169748245</v>
      </c>
      <c r="AB1466" t="s">
        <v>456</v>
      </c>
    </row>
    <row r="1467" spans="1:28">
      <c r="A1467" s="67" t="s">
        <v>122</v>
      </c>
      <c r="B1467" s="68">
        <v>1190369</v>
      </c>
      <c r="C1467" s="69">
        <v>4615366915</v>
      </c>
      <c r="D1467" s="70">
        <v>19200</v>
      </c>
      <c r="E1467" s="79"/>
      <c r="F1467" s="68">
        <v>16</v>
      </c>
      <c r="G1467" s="68">
        <v>5</v>
      </c>
      <c r="H1467" s="68">
        <v>0</v>
      </c>
      <c r="I1467" s="68">
        <v>0</v>
      </c>
      <c r="J1467" s="71"/>
      <c r="K1467" s="71">
        <v>42582</v>
      </c>
      <c r="L1467" s="69" t="s">
        <v>80</v>
      </c>
      <c r="M1467" s="69" t="s">
        <v>109</v>
      </c>
      <c r="N1467" s="72">
        <v>42745</v>
      </c>
      <c r="O1467" s="67"/>
      <c r="P1467" s="67" t="s">
        <v>95</v>
      </c>
      <c r="Q1467" s="67" t="s">
        <v>120</v>
      </c>
      <c r="R1467" s="69" t="s">
        <v>69</v>
      </c>
      <c r="S1467" s="69" t="s">
        <v>123</v>
      </c>
      <c r="T1467" s="67"/>
      <c r="U1467" s="67"/>
      <c r="V1467" s="72">
        <v>42582</v>
      </c>
      <c r="W1467" s="69">
        <v>2018449</v>
      </c>
      <c r="X1467" s="69"/>
      <c r="Y1467" s="123"/>
      <c r="Z1467" s="30">
        <f t="shared" si="44"/>
        <v>6772.6006943194379</v>
      </c>
      <c r="AA1467" s="30">
        <f t="shared" si="45"/>
        <v>2116.4377169748245</v>
      </c>
      <c r="AB1467" t="s">
        <v>456</v>
      </c>
    </row>
    <row r="1468" spans="1:28">
      <c r="A1468" s="67" t="s">
        <v>122</v>
      </c>
      <c r="B1468" s="68">
        <v>1190367</v>
      </c>
      <c r="C1468" s="69">
        <v>4615366915</v>
      </c>
      <c r="D1468" s="70">
        <v>19200</v>
      </c>
      <c r="E1468" s="79"/>
      <c r="F1468" s="68">
        <v>16</v>
      </c>
      <c r="G1468" s="68">
        <v>5</v>
      </c>
      <c r="H1468" s="68">
        <v>0</v>
      </c>
      <c r="I1468" s="68">
        <v>0</v>
      </c>
      <c r="J1468" s="71"/>
      <c r="K1468" s="71">
        <v>42582</v>
      </c>
      <c r="L1468" s="69" t="s">
        <v>80</v>
      </c>
      <c r="M1468" s="69" t="s">
        <v>109</v>
      </c>
      <c r="N1468" s="72">
        <v>42745</v>
      </c>
      <c r="O1468" s="67"/>
      <c r="P1468" s="67" t="s">
        <v>95</v>
      </c>
      <c r="Q1468" s="67" t="s">
        <v>120</v>
      </c>
      <c r="R1468" s="69" t="s">
        <v>69</v>
      </c>
      <c r="S1468" s="69" t="s">
        <v>123</v>
      </c>
      <c r="T1468" s="67"/>
      <c r="U1468" s="67"/>
      <c r="V1468" s="72">
        <v>42582</v>
      </c>
      <c r="W1468" s="69">
        <v>2018449</v>
      </c>
      <c r="X1468" s="69"/>
      <c r="Y1468" s="123"/>
      <c r="Z1468" s="30">
        <f t="shared" si="44"/>
        <v>6772.6006943194379</v>
      </c>
      <c r="AA1468" s="30">
        <f t="shared" si="45"/>
        <v>2116.4377169748245</v>
      </c>
      <c r="AB1468" t="s">
        <v>456</v>
      </c>
    </row>
    <row r="1469" spans="1:28">
      <c r="A1469" s="67" t="s">
        <v>122</v>
      </c>
      <c r="B1469" s="68">
        <v>1189839</v>
      </c>
      <c r="C1469" s="69">
        <v>4615415814</v>
      </c>
      <c r="D1469" s="70">
        <v>19200</v>
      </c>
      <c r="E1469" s="79"/>
      <c r="F1469" s="73">
        <v>16</v>
      </c>
      <c r="G1469" s="73">
        <v>5</v>
      </c>
      <c r="H1469" s="68">
        <v>0</v>
      </c>
      <c r="I1469" s="68">
        <v>0</v>
      </c>
      <c r="J1469" s="71">
        <v>42657</v>
      </c>
      <c r="K1469" s="71">
        <v>42704</v>
      </c>
      <c r="L1469" s="69" t="s">
        <v>119</v>
      </c>
      <c r="M1469" s="69" t="s">
        <v>109</v>
      </c>
      <c r="N1469" s="72">
        <v>42745</v>
      </c>
      <c r="O1469" s="67"/>
      <c r="P1469" s="67" t="s">
        <v>95</v>
      </c>
      <c r="Q1469" s="67" t="s">
        <v>120</v>
      </c>
      <c r="R1469" s="69" t="s">
        <v>69</v>
      </c>
      <c r="S1469" s="69" t="s">
        <v>123</v>
      </c>
      <c r="T1469" s="67"/>
      <c r="U1469" s="67"/>
      <c r="V1469" s="72">
        <v>42704</v>
      </c>
      <c r="W1469" s="69">
        <v>2025759</v>
      </c>
      <c r="X1469" s="69"/>
      <c r="Y1469" s="123"/>
      <c r="Z1469" s="30">
        <f t="shared" si="44"/>
        <v>6772.6006943194379</v>
      </c>
      <c r="AA1469" s="30">
        <f t="shared" si="45"/>
        <v>2116.4377169748245</v>
      </c>
      <c r="AB1469" t="s">
        <v>456</v>
      </c>
    </row>
    <row r="1470" spans="1:28">
      <c r="A1470" s="67" t="s">
        <v>113</v>
      </c>
      <c r="B1470" s="68">
        <v>1192174</v>
      </c>
      <c r="C1470" s="69">
        <v>4615405187</v>
      </c>
      <c r="D1470" s="70">
        <v>19175</v>
      </c>
      <c r="E1470" s="79"/>
      <c r="F1470" s="68">
        <v>16</v>
      </c>
      <c r="G1470" s="68" t="s">
        <v>114</v>
      </c>
      <c r="H1470" s="68">
        <v>0</v>
      </c>
      <c r="I1470" s="68">
        <v>0</v>
      </c>
      <c r="J1470" s="71">
        <v>42670</v>
      </c>
      <c r="K1470" s="71">
        <v>42704</v>
      </c>
      <c r="L1470" s="69" t="s">
        <v>108</v>
      </c>
      <c r="M1470" s="69" t="s">
        <v>109</v>
      </c>
      <c r="N1470" s="72">
        <v>42744</v>
      </c>
      <c r="O1470" s="67"/>
      <c r="P1470" s="67" t="s">
        <v>95</v>
      </c>
      <c r="Q1470" s="67" t="s">
        <v>110</v>
      </c>
      <c r="R1470" s="69" t="s">
        <v>69</v>
      </c>
      <c r="S1470" s="69" t="s">
        <v>115</v>
      </c>
      <c r="T1470" s="67"/>
      <c r="U1470" s="67"/>
      <c r="V1470" s="72">
        <v>42704</v>
      </c>
      <c r="W1470" s="69" t="s">
        <v>163</v>
      </c>
      <c r="X1470" s="69" t="s">
        <v>273</v>
      </c>
      <c r="Y1470" s="123"/>
      <c r="Z1470" s="30">
        <f t="shared" si="44"/>
        <v>6763.7822038320437</v>
      </c>
      <c r="AA1470" s="30">
        <f t="shared" si="45"/>
        <v>0</v>
      </c>
      <c r="AB1470" t="s">
        <v>456</v>
      </c>
    </row>
    <row r="1471" spans="1:28">
      <c r="A1471" s="67" t="s">
        <v>122</v>
      </c>
      <c r="B1471" s="68">
        <v>1189833</v>
      </c>
      <c r="C1471" s="69">
        <v>4615415814</v>
      </c>
      <c r="D1471" s="70">
        <v>19200</v>
      </c>
      <c r="E1471" s="79"/>
      <c r="F1471" s="73">
        <v>16</v>
      </c>
      <c r="G1471" s="73">
        <v>5</v>
      </c>
      <c r="H1471" s="68">
        <v>0</v>
      </c>
      <c r="I1471" s="68">
        <v>0</v>
      </c>
      <c r="J1471" s="71">
        <v>42657</v>
      </c>
      <c r="K1471" s="71">
        <v>42704</v>
      </c>
      <c r="L1471" s="69" t="s">
        <v>119</v>
      </c>
      <c r="M1471" s="69" t="s">
        <v>109</v>
      </c>
      <c r="N1471" s="72">
        <v>42744</v>
      </c>
      <c r="O1471" s="67"/>
      <c r="P1471" s="67" t="s">
        <v>95</v>
      </c>
      <c r="Q1471" s="67" t="s">
        <v>120</v>
      </c>
      <c r="R1471" s="69" t="s">
        <v>69</v>
      </c>
      <c r="S1471" s="69" t="s">
        <v>123</v>
      </c>
      <c r="T1471" s="67"/>
      <c r="U1471" s="67"/>
      <c r="V1471" s="72">
        <v>42704</v>
      </c>
      <c r="W1471" s="69">
        <v>2025759</v>
      </c>
      <c r="X1471" s="69"/>
      <c r="Y1471" s="123"/>
      <c r="Z1471" s="30">
        <f t="shared" si="44"/>
        <v>6772.6006943194379</v>
      </c>
      <c r="AA1471" s="30">
        <f t="shared" si="45"/>
        <v>2116.4377169748245</v>
      </c>
      <c r="AB1471" t="s">
        <v>456</v>
      </c>
    </row>
    <row r="1472" spans="1:28">
      <c r="A1472" s="67" t="s">
        <v>113</v>
      </c>
      <c r="B1472" s="68">
        <v>1188976</v>
      </c>
      <c r="C1472" s="69">
        <v>4615407681</v>
      </c>
      <c r="D1472" s="70">
        <v>19175</v>
      </c>
      <c r="E1472" s="79"/>
      <c r="F1472" s="68">
        <v>16</v>
      </c>
      <c r="G1472" s="68" t="s">
        <v>114</v>
      </c>
      <c r="H1472" s="68">
        <v>0</v>
      </c>
      <c r="I1472" s="68">
        <v>0</v>
      </c>
      <c r="J1472" s="71">
        <v>42656</v>
      </c>
      <c r="K1472" s="71">
        <v>42674</v>
      </c>
      <c r="L1472" s="69" t="s">
        <v>119</v>
      </c>
      <c r="M1472" s="69" t="s">
        <v>109</v>
      </c>
      <c r="N1472" s="72">
        <v>42744</v>
      </c>
      <c r="O1472" s="67"/>
      <c r="P1472" s="67" t="s">
        <v>95</v>
      </c>
      <c r="Q1472" s="67" t="s">
        <v>110</v>
      </c>
      <c r="R1472" s="69" t="s">
        <v>69</v>
      </c>
      <c r="S1472" s="69" t="s">
        <v>115</v>
      </c>
      <c r="T1472" s="67"/>
      <c r="U1472" s="67"/>
      <c r="V1472" s="72">
        <v>42674</v>
      </c>
      <c r="W1472" s="69" t="s">
        <v>192</v>
      </c>
      <c r="X1472" s="69" t="s">
        <v>274</v>
      </c>
      <c r="Y1472" s="123"/>
      <c r="Z1472" s="30">
        <f t="shared" si="44"/>
        <v>6763.7822038320437</v>
      </c>
      <c r="AA1472" s="30">
        <f t="shared" si="45"/>
        <v>0</v>
      </c>
      <c r="AB1472" t="s">
        <v>456</v>
      </c>
    </row>
    <row r="1473" spans="1:28">
      <c r="A1473" s="67" t="s">
        <v>131</v>
      </c>
      <c r="B1473" s="68">
        <v>1186386</v>
      </c>
      <c r="C1473" s="69">
        <v>4615420986</v>
      </c>
      <c r="D1473" s="70">
        <v>19200</v>
      </c>
      <c r="E1473" s="79"/>
      <c r="F1473" s="75">
        <v>154.4</v>
      </c>
      <c r="G1473" s="75" t="s">
        <v>114</v>
      </c>
      <c r="H1473" s="68">
        <v>0</v>
      </c>
      <c r="I1473" s="68">
        <v>0</v>
      </c>
      <c r="J1473" s="71">
        <v>42647</v>
      </c>
      <c r="K1473" s="71">
        <v>42766</v>
      </c>
      <c r="L1473" s="69" t="s">
        <v>119</v>
      </c>
      <c r="M1473" s="69" t="s">
        <v>109</v>
      </c>
      <c r="N1473" s="72">
        <v>42743</v>
      </c>
      <c r="O1473" s="67"/>
      <c r="P1473" s="67" t="s">
        <v>95</v>
      </c>
      <c r="Q1473" s="67" t="s">
        <v>125</v>
      </c>
      <c r="R1473" s="69" t="s">
        <v>69</v>
      </c>
      <c r="S1473" s="69" t="s">
        <v>134</v>
      </c>
      <c r="T1473" s="67"/>
      <c r="U1473" s="67"/>
      <c r="V1473" s="72">
        <v>42766</v>
      </c>
      <c r="W1473" s="69" t="s">
        <v>269</v>
      </c>
      <c r="X1473" s="69"/>
      <c r="Y1473" s="123"/>
      <c r="Z1473" s="30">
        <f t="shared" si="44"/>
        <v>65355.596700182585</v>
      </c>
      <c r="AA1473" s="30">
        <f t="shared" si="45"/>
        <v>0</v>
      </c>
      <c r="AB1473" t="s">
        <v>456</v>
      </c>
    </row>
    <row r="1474" spans="1:28">
      <c r="A1474" s="67" t="s">
        <v>118</v>
      </c>
      <c r="B1474" s="68">
        <v>1199062</v>
      </c>
      <c r="C1474" s="69">
        <v>4615410303</v>
      </c>
      <c r="D1474" s="70">
        <v>19175</v>
      </c>
      <c r="E1474" s="79"/>
      <c r="F1474" s="73">
        <v>10</v>
      </c>
      <c r="G1474" s="73">
        <v>5</v>
      </c>
      <c r="H1474" s="68">
        <v>0</v>
      </c>
      <c r="I1474" s="68">
        <v>0</v>
      </c>
      <c r="J1474" s="71">
        <v>42692</v>
      </c>
      <c r="K1474" s="71">
        <v>42735</v>
      </c>
      <c r="L1474" s="69" t="s">
        <v>137</v>
      </c>
      <c r="M1474" s="69" t="s">
        <v>109</v>
      </c>
      <c r="N1474" s="72">
        <v>42743</v>
      </c>
      <c r="O1474" s="67"/>
      <c r="P1474" s="67" t="s">
        <v>95</v>
      </c>
      <c r="Q1474" s="67" t="s">
        <v>120</v>
      </c>
      <c r="R1474" s="69" t="s">
        <v>69</v>
      </c>
      <c r="S1474" s="69" t="s">
        <v>121</v>
      </c>
      <c r="T1474" s="67"/>
      <c r="U1474" s="67"/>
      <c r="V1474" s="72">
        <v>42735</v>
      </c>
      <c r="W1474" s="69">
        <v>2026350</v>
      </c>
      <c r="X1474" s="69"/>
      <c r="Y1474" s="123"/>
      <c r="Z1474" s="30">
        <f t="shared" si="44"/>
        <v>4227.3638773950279</v>
      </c>
      <c r="AA1474" s="30">
        <f t="shared" si="45"/>
        <v>2113.6819386975139</v>
      </c>
      <c r="AB1474" t="s">
        <v>456</v>
      </c>
    </row>
    <row r="1475" spans="1:28">
      <c r="A1475" s="67" t="s">
        <v>122</v>
      </c>
      <c r="B1475" s="68">
        <v>1192176</v>
      </c>
      <c r="C1475" s="69">
        <v>4615382058</v>
      </c>
      <c r="D1475" s="70">
        <v>19200</v>
      </c>
      <c r="E1475" s="79"/>
      <c r="F1475" s="68">
        <v>16</v>
      </c>
      <c r="G1475" s="68">
        <v>5</v>
      </c>
      <c r="H1475" s="68">
        <v>0</v>
      </c>
      <c r="I1475" s="68">
        <v>0</v>
      </c>
      <c r="J1475" s="71">
        <v>42663</v>
      </c>
      <c r="K1475" s="71">
        <v>42674</v>
      </c>
      <c r="L1475" s="69" t="s">
        <v>119</v>
      </c>
      <c r="M1475" s="69" t="s">
        <v>109</v>
      </c>
      <c r="N1475" s="72">
        <v>42743</v>
      </c>
      <c r="O1475" s="67"/>
      <c r="P1475" s="67" t="s">
        <v>95</v>
      </c>
      <c r="Q1475" s="67" t="s">
        <v>120</v>
      </c>
      <c r="R1475" s="69" t="s">
        <v>69</v>
      </c>
      <c r="S1475" s="69" t="s">
        <v>123</v>
      </c>
      <c r="T1475" s="67"/>
      <c r="U1475" s="67"/>
      <c r="V1475" s="72">
        <v>42674</v>
      </c>
      <c r="W1475" s="69">
        <v>2023103</v>
      </c>
      <c r="X1475" s="69"/>
      <c r="Y1475" s="123"/>
      <c r="Z1475" s="30">
        <f t="shared" ref="Z1475:Z1538" si="46">CONVERT(D1475,"kg","lbm")*F1475/100</f>
        <v>6772.6006943194379</v>
      </c>
      <c r="AA1475" s="30">
        <f t="shared" ref="AA1475:AA1538" si="47">CONVERT(D1475,"kg","lbm")*G1475/100</f>
        <v>2116.4377169748245</v>
      </c>
      <c r="AB1475" t="s">
        <v>456</v>
      </c>
    </row>
    <row r="1476" spans="1:28">
      <c r="A1476" s="67" t="s">
        <v>118</v>
      </c>
      <c r="B1476" s="68">
        <v>1184776</v>
      </c>
      <c r="C1476" s="69">
        <v>4615410303</v>
      </c>
      <c r="D1476" s="70">
        <v>19175</v>
      </c>
      <c r="E1476" s="79"/>
      <c r="F1476" s="73">
        <v>10</v>
      </c>
      <c r="G1476" s="73">
        <v>5</v>
      </c>
      <c r="H1476" s="68">
        <v>0</v>
      </c>
      <c r="I1476" s="68">
        <v>0</v>
      </c>
      <c r="J1476" s="71">
        <v>42671</v>
      </c>
      <c r="K1476" s="71">
        <v>42735</v>
      </c>
      <c r="L1476" s="69" t="s">
        <v>137</v>
      </c>
      <c r="M1476" s="69" t="s">
        <v>109</v>
      </c>
      <c r="N1476" s="72">
        <v>42743</v>
      </c>
      <c r="O1476" s="67"/>
      <c r="P1476" s="67" t="s">
        <v>95</v>
      </c>
      <c r="Q1476" s="67" t="s">
        <v>120</v>
      </c>
      <c r="R1476" s="69" t="s">
        <v>69</v>
      </c>
      <c r="S1476" s="69" t="s">
        <v>121</v>
      </c>
      <c r="T1476" s="67"/>
      <c r="U1476" s="67"/>
      <c r="V1476" s="72">
        <v>42735</v>
      </c>
      <c r="W1476" s="69">
        <v>2026350</v>
      </c>
      <c r="X1476" s="69"/>
      <c r="Y1476" s="123"/>
      <c r="Z1476" s="30">
        <f t="shared" si="46"/>
        <v>4227.3638773950279</v>
      </c>
      <c r="AA1476" s="30">
        <f t="shared" si="47"/>
        <v>2113.6819386975139</v>
      </c>
      <c r="AB1476" t="s">
        <v>456</v>
      </c>
    </row>
    <row r="1477" spans="1:28">
      <c r="A1477" s="67" t="s">
        <v>122</v>
      </c>
      <c r="B1477" s="68">
        <v>1192177</v>
      </c>
      <c r="C1477" s="69">
        <v>4615382058</v>
      </c>
      <c r="D1477" s="70">
        <v>19200</v>
      </c>
      <c r="E1477" s="79"/>
      <c r="F1477" s="68">
        <v>16</v>
      </c>
      <c r="G1477" s="68">
        <v>5</v>
      </c>
      <c r="H1477" s="68">
        <v>0</v>
      </c>
      <c r="I1477" s="68">
        <v>0</v>
      </c>
      <c r="J1477" s="71">
        <v>42663</v>
      </c>
      <c r="K1477" s="71">
        <v>42674</v>
      </c>
      <c r="L1477" s="69" t="s">
        <v>119</v>
      </c>
      <c r="M1477" s="69" t="s">
        <v>109</v>
      </c>
      <c r="N1477" s="72">
        <v>42743</v>
      </c>
      <c r="O1477" s="67"/>
      <c r="P1477" s="67" t="s">
        <v>95</v>
      </c>
      <c r="Q1477" s="67" t="s">
        <v>120</v>
      </c>
      <c r="R1477" s="69" t="s">
        <v>69</v>
      </c>
      <c r="S1477" s="69" t="s">
        <v>123</v>
      </c>
      <c r="T1477" s="67"/>
      <c r="U1477" s="67"/>
      <c r="V1477" s="72">
        <v>42674</v>
      </c>
      <c r="W1477" s="69">
        <v>2023103</v>
      </c>
      <c r="X1477" s="69"/>
      <c r="Y1477" s="123"/>
      <c r="Z1477" s="30">
        <f t="shared" si="46"/>
        <v>6772.6006943194379</v>
      </c>
      <c r="AA1477" s="30">
        <f t="shared" si="47"/>
        <v>2116.4377169748245</v>
      </c>
      <c r="AB1477" t="s">
        <v>456</v>
      </c>
    </row>
    <row r="1478" spans="1:28">
      <c r="A1478" s="67" t="s">
        <v>122</v>
      </c>
      <c r="B1478" s="68">
        <v>1189832</v>
      </c>
      <c r="C1478" s="69">
        <v>4615415814</v>
      </c>
      <c r="D1478" s="70">
        <v>19200</v>
      </c>
      <c r="E1478" s="79"/>
      <c r="F1478" s="73">
        <v>16</v>
      </c>
      <c r="G1478" s="73">
        <v>5</v>
      </c>
      <c r="H1478" s="68">
        <v>0</v>
      </c>
      <c r="I1478" s="68">
        <v>0</v>
      </c>
      <c r="J1478" s="71">
        <v>42657</v>
      </c>
      <c r="K1478" s="71">
        <v>42704</v>
      </c>
      <c r="L1478" s="69" t="s">
        <v>119</v>
      </c>
      <c r="M1478" s="69" t="s">
        <v>109</v>
      </c>
      <c r="N1478" s="72">
        <v>42743</v>
      </c>
      <c r="O1478" s="67"/>
      <c r="P1478" s="67" t="s">
        <v>95</v>
      </c>
      <c r="Q1478" s="67" t="s">
        <v>120</v>
      </c>
      <c r="R1478" s="69" t="s">
        <v>69</v>
      </c>
      <c r="S1478" s="69" t="s">
        <v>123</v>
      </c>
      <c r="T1478" s="67"/>
      <c r="U1478" s="67"/>
      <c r="V1478" s="72">
        <v>42704</v>
      </c>
      <c r="W1478" s="69">
        <v>2025759</v>
      </c>
      <c r="X1478" s="69"/>
      <c r="Y1478" s="123"/>
      <c r="Z1478" s="30">
        <f t="shared" si="46"/>
        <v>6772.6006943194379</v>
      </c>
      <c r="AA1478" s="30">
        <f t="shared" si="47"/>
        <v>2116.4377169748245</v>
      </c>
      <c r="AB1478" t="s">
        <v>456</v>
      </c>
    </row>
    <row r="1479" spans="1:28">
      <c r="A1479" s="67" t="s">
        <v>122</v>
      </c>
      <c r="B1479" s="68">
        <v>1189831</v>
      </c>
      <c r="C1479" s="69">
        <v>4615415814</v>
      </c>
      <c r="D1479" s="70">
        <v>19200</v>
      </c>
      <c r="E1479" s="79"/>
      <c r="F1479" s="73">
        <v>16</v>
      </c>
      <c r="G1479" s="73">
        <v>5</v>
      </c>
      <c r="H1479" s="68">
        <v>0</v>
      </c>
      <c r="I1479" s="68">
        <v>0</v>
      </c>
      <c r="J1479" s="71">
        <v>42657</v>
      </c>
      <c r="K1479" s="71">
        <v>42704</v>
      </c>
      <c r="L1479" s="69" t="s">
        <v>119</v>
      </c>
      <c r="M1479" s="69" t="s">
        <v>109</v>
      </c>
      <c r="N1479" s="72">
        <v>42743</v>
      </c>
      <c r="O1479" s="67"/>
      <c r="P1479" s="67" t="s">
        <v>95</v>
      </c>
      <c r="Q1479" s="67" t="s">
        <v>120</v>
      </c>
      <c r="R1479" s="69" t="s">
        <v>69</v>
      </c>
      <c r="S1479" s="69" t="s">
        <v>123</v>
      </c>
      <c r="T1479" s="67"/>
      <c r="U1479" s="67"/>
      <c r="V1479" s="72">
        <v>42704</v>
      </c>
      <c r="W1479" s="69">
        <v>2025759</v>
      </c>
      <c r="X1479" s="69"/>
      <c r="Y1479" s="123"/>
      <c r="Z1479" s="30">
        <f t="shared" si="46"/>
        <v>6772.6006943194379</v>
      </c>
      <c r="AA1479" s="30">
        <f t="shared" si="47"/>
        <v>2116.4377169748245</v>
      </c>
      <c r="AB1479" t="s">
        <v>456</v>
      </c>
    </row>
    <row r="1480" spans="1:28">
      <c r="A1480" s="67" t="s">
        <v>122</v>
      </c>
      <c r="B1480" s="68">
        <v>1188165</v>
      </c>
      <c r="C1480" s="69">
        <v>4615378413</v>
      </c>
      <c r="D1480" s="70">
        <v>19200</v>
      </c>
      <c r="E1480" s="79"/>
      <c r="F1480" s="73">
        <v>16</v>
      </c>
      <c r="G1480" s="73">
        <v>5</v>
      </c>
      <c r="H1480" s="68">
        <v>0</v>
      </c>
      <c r="I1480" s="68">
        <v>0</v>
      </c>
      <c r="J1480" s="71">
        <v>42657</v>
      </c>
      <c r="K1480" s="71">
        <v>42704</v>
      </c>
      <c r="L1480" s="69" t="s">
        <v>119</v>
      </c>
      <c r="M1480" s="69" t="s">
        <v>109</v>
      </c>
      <c r="N1480" s="72">
        <v>42743</v>
      </c>
      <c r="O1480" s="67"/>
      <c r="P1480" s="67" t="s">
        <v>95</v>
      </c>
      <c r="Q1480" s="67" t="s">
        <v>120</v>
      </c>
      <c r="R1480" s="69" t="s">
        <v>69</v>
      </c>
      <c r="S1480" s="69" t="s">
        <v>123</v>
      </c>
      <c r="T1480" s="67"/>
      <c r="U1480" s="67"/>
      <c r="V1480" s="72">
        <v>42704</v>
      </c>
      <c r="W1480" s="69">
        <v>2025776</v>
      </c>
      <c r="X1480" s="69"/>
      <c r="Y1480" s="123"/>
      <c r="Z1480" s="30">
        <f t="shared" si="46"/>
        <v>6772.6006943194379</v>
      </c>
      <c r="AA1480" s="30">
        <f t="shared" si="47"/>
        <v>2116.4377169748245</v>
      </c>
      <c r="AB1480" t="s">
        <v>456</v>
      </c>
    </row>
    <row r="1481" spans="1:28">
      <c r="A1481" s="67" t="s">
        <v>122</v>
      </c>
      <c r="B1481" s="68">
        <v>1174331</v>
      </c>
      <c r="C1481" s="69">
        <v>4615366530</v>
      </c>
      <c r="D1481" s="70">
        <v>19200</v>
      </c>
      <c r="E1481" s="79"/>
      <c r="F1481" s="68">
        <v>16</v>
      </c>
      <c r="G1481" s="68">
        <v>5</v>
      </c>
      <c r="H1481" s="68">
        <v>0</v>
      </c>
      <c r="I1481" s="68">
        <v>0</v>
      </c>
      <c r="J1481" s="71"/>
      <c r="K1481" s="71">
        <v>42551</v>
      </c>
      <c r="L1481" s="69" t="s">
        <v>80</v>
      </c>
      <c r="M1481" s="69" t="s">
        <v>109</v>
      </c>
      <c r="N1481" s="72">
        <v>42743</v>
      </c>
      <c r="O1481" s="67"/>
      <c r="P1481" s="67" t="s">
        <v>95</v>
      </c>
      <c r="Q1481" s="67" t="s">
        <v>120</v>
      </c>
      <c r="R1481" s="69" t="s">
        <v>69</v>
      </c>
      <c r="S1481" s="69" t="s">
        <v>123</v>
      </c>
      <c r="T1481" s="67"/>
      <c r="U1481" s="67"/>
      <c r="V1481" s="72">
        <v>42551</v>
      </c>
      <c r="W1481" s="69">
        <v>2018448</v>
      </c>
      <c r="X1481" s="69"/>
      <c r="Y1481" s="123"/>
      <c r="Z1481" s="30">
        <f t="shared" si="46"/>
        <v>6772.6006943194379</v>
      </c>
      <c r="AA1481" s="30">
        <f t="shared" si="47"/>
        <v>2116.4377169748245</v>
      </c>
      <c r="AB1481" t="s">
        <v>456</v>
      </c>
    </row>
    <row r="1482" spans="1:28">
      <c r="A1482" s="67" t="s">
        <v>113</v>
      </c>
      <c r="B1482" s="68">
        <v>1188978</v>
      </c>
      <c r="C1482" s="69">
        <v>4615407681</v>
      </c>
      <c r="D1482" s="70">
        <v>19175</v>
      </c>
      <c r="E1482" s="79"/>
      <c r="F1482" s="68">
        <v>16</v>
      </c>
      <c r="G1482" s="68" t="s">
        <v>114</v>
      </c>
      <c r="H1482" s="68">
        <v>0</v>
      </c>
      <c r="I1482" s="68">
        <v>0</v>
      </c>
      <c r="J1482" s="71">
        <v>42656</v>
      </c>
      <c r="K1482" s="71">
        <v>42674</v>
      </c>
      <c r="L1482" s="69" t="s">
        <v>119</v>
      </c>
      <c r="M1482" s="69" t="s">
        <v>109</v>
      </c>
      <c r="N1482" s="72">
        <v>42743</v>
      </c>
      <c r="O1482" s="67"/>
      <c r="P1482" s="67" t="s">
        <v>95</v>
      </c>
      <c r="Q1482" s="67" t="s">
        <v>110</v>
      </c>
      <c r="R1482" s="69" t="s">
        <v>69</v>
      </c>
      <c r="S1482" s="69" t="s">
        <v>115</v>
      </c>
      <c r="T1482" s="67"/>
      <c r="U1482" s="67"/>
      <c r="V1482" s="72">
        <v>42674</v>
      </c>
      <c r="W1482" s="69" t="s">
        <v>192</v>
      </c>
      <c r="X1482" s="69" t="s">
        <v>274</v>
      </c>
      <c r="Y1482" s="123"/>
      <c r="Z1482" s="30">
        <f t="shared" si="46"/>
        <v>6763.7822038320437</v>
      </c>
      <c r="AA1482" s="30">
        <f t="shared" si="47"/>
        <v>0</v>
      </c>
      <c r="AB1482" t="s">
        <v>456</v>
      </c>
    </row>
    <row r="1483" spans="1:28">
      <c r="A1483" s="67" t="s">
        <v>122</v>
      </c>
      <c r="B1483" s="68">
        <v>1182405</v>
      </c>
      <c r="C1483" s="69">
        <v>4615413497</v>
      </c>
      <c r="D1483" s="70">
        <v>19200</v>
      </c>
      <c r="E1483" s="79"/>
      <c r="F1483" s="68">
        <v>16</v>
      </c>
      <c r="G1483" s="68">
        <v>5</v>
      </c>
      <c r="H1483" s="68">
        <v>0</v>
      </c>
      <c r="I1483" s="68">
        <v>0</v>
      </c>
      <c r="J1483" s="71">
        <v>42647</v>
      </c>
      <c r="K1483" s="71">
        <v>42704</v>
      </c>
      <c r="L1483" s="69" t="s">
        <v>119</v>
      </c>
      <c r="M1483" s="69" t="s">
        <v>109</v>
      </c>
      <c r="N1483" s="72">
        <v>42743</v>
      </c>
      <c r="O1483" s="67"/>
      <c r="P1483" s="67" t="s">
        <v>95</v>
      </c>
      <c r="Q1483" s="67" t="s">
        <v>120</v>
      </c>
      <c r="R1483" s="69" t="s">
        <v>69</v>
      </c>
      <c r="S1483" s="69" t="s">
        <v>123</v>
      </c>
      <c r="T1483" s="67"/>
      <c r="U1483" s="67"/>
      <c r="V1483" s="72">
        <v>42704</v>
      </c>
      <c r="W1483" s="69">
        <v>2025658</v>
      </c>
      <c r="X1483" s="69"/>
      <c r="Y1483" s="123"/>
      <c r="Z1483" s="30">
        <f t="shared" si="46"/>
        <v>6772.6006943194379</v>
      </c>
      <c r="AA1483" s="30">
        <f t="shared" si="47"/>
        <v>2116.4377169748245</v>
      </c>
      <c r="AB1483" t="s">
        <v>456</v>
      </c>
    </row>
    <row r="1484" spans="1:28">
      <c r="A1484" s="67" t="s">
        <v>131</v>
      </c>
      <c r="B1484" s="68">
        <v>1185565</v>
      </c>
      <c r="C1484" s="69">
        <v>4615425371</v>
      </c>
      <c r="D1484" s="70">
        <v>19200</v>
      </c>
      <c r="E1484" s="79"/>
      <c r="F1484" s="75">
        <v>154.4</v>
      </c>
      <c r="G1484" s="75" t="s">
        <v>114</v>
      </c>
      <c r="H1484" s="68">
        <v>0</v>
      </c>
      <c r="I1484" s="68">
        <v>0</v>
      </c>
      <c r="J1484" s="71">
        <v>42639</v>
      </c>
      <c r="K1484" s="71">
        <v>42704</v>
      </c>
      <c r="L1484" s="69" t="s">
        <v>108</v>
      </c>
      <c r="M1484" s="69" t="s">
        <v>109</v>
      </c>
      <c r="N1484" s="72">
        <v>42743</v>
      </c>
      <c r="O1484" s="67"/>
      <c r="P1484" s="67" t="s">
        <v>95</v>
      </c>
      <c r="Q1484" s="67" t="s">
        <v>125</v>
      </c>
      <c r="R1484" s="69" t="s">
        <v>69</v>
      </c>
      <c r="S1484" s="69" t="s">
        <v>134</v>
      </c>
      <c r="T1484" s="67"/>
      <c r="U1484" s="67"/>
      <c r="V1484" s="72">
        <v>42704</v>
      </c>
      <c r="W1484" s="69" t="s">
        <v>275</v>
      </c>
      <c r="X1484" s="69"/>
      <c r="Y1484" s="123"/>
      <c r="Z1484" s="30">
        <f t="shared" si="46"/>
        <v>65355.596700182585</v>
      </c>
      <c r="AA1484" s="30">
        <f t="shared" si="47"/>
        <v>0</v>
      </c>
      <c r="AB1484" t="s">
        <v>456</v>
      </c>
    </row>
    <row r="1485" spans="1:28">
      <c r="A1485" s="67" t="s">
        <v>68</v>
      </c>
      <c r="B1485" s="68">
        <v>1190646</v>
      </c>
      <c r="C1485" s="69">
        <v>4615411739</v>
      </c>
      <c r="D1485" s="70">
        <v>19175</v>
      </c>
      <c r="E1485" s="79"/>
      <c r="F1485" s="73">
        <v>16</v>
      </c>
      <c r="G1485" s="73">
        <v>5</v>
      </c>
      <c r="H1485" s="68">
        <v>0</v>
      </c>
      <c r="I1485" s="68">
        <v>0</v>
      </c>
      <c r="J1485" s="71">
        <v>42656</v>
      </c>
      <c r="K1485" s="71">
        <v>42704</v>
      </c>
      <c r="L1485" s="69" t="s">
        <v>119</v>
      </c>
      <c r="M1485" s="69" t="s">
        <v>109</v>
      </c>
      <c r="N1485" s="72">
        <v>42743</v>
      </c>
      <c r="O1485" s="67"/>
      <c r="P1485" s="67" t="s">
        <v>95</v>
      </c>
      <c r="Q1485" s="67" t="s">
        <v>125</v>
      </c>
      <c r="R1485" s="69" t="s">
        <v>69</v>
      </c>
      <c r="S1485" s="69" t="s">
        <v>68</v>
      </c>
      <c r="T1485" s="67"/>
      <c r="U1485" s="67"/>
      <c r="V1485" s="72">
        <v>42704</v>
      </c>
      <c r="W1485" s="69">
        <v>5114728</v>
      </c>
      <c r="X1485" s="69"/>
      <c r="Y1485" s="123"/>
      <c r="Z1485" s="30">
        <f t="shared" si="46"/>
        <v>6763.7822038320437</v>
      </c>
      <c r="AA1485" s="30">
        <f t="shared" si="47"/>
        <v>2113.6819386975139</v>
      </c>
      <c r="AB1485" t="s">
        <v>456</v>
      </c>
    </row>
    <row r="1486" spans="1:28">
      <c r="A1486" s="67" t="s">
        <v>122</v>
      </c>
      <c r="B1486" s="68">
        <v>1188166</v>
      </c>
      <c r="C1486" s="69">
        <v>4615378413</v>
      </c>
      <c r="D1486" s="70">
        <v>19200</v>
      </c>
      <c r="E1486" s="79"/>
      <c r="F1486" s="73">
        <v>16</v>
      </c>
      <c r="G1486" s="73">
        <v>5</v>
      </c>
      <c r="H1486" s="68">
        <v>0</v>
      </c>
      <c r="I1486" s="68">
        <v>0</v>
      </c>
      <c r="J1486" s="71">
        <v>42657</v>
      </c>
      <c r="K1486" s="71">
        <v>42704</v>
      </c>
      <c r="L1486" s="69" t="s">
        <v>119</v>
      </c>
      <c r="M1486" s="69" t="s">
        <v>109</v>
      </c>
      <c r="N1486" s="72">
        <v>42740</v>
      </c>
      <c r="O1486" s="67"/>
      <c r="P1486" s="67" t="s">
        <v>95</v>
      </c>
      <c r="Q1486" s="67" t="s">
        <v>120</v>
      </c>
      <c r="R1486" s="69" t="s">
        <v>69</v>
      </c>
      <c r="S1486" s="69" t="s">
        <v>123</v>
      </c>
      <c r="T1486" s="67"/>
      <c r="U1486" s="67"/>
      <c r="V1486" s="72">
        <v>42704</v>
      </c>
      <c r="W1486" s="69">
        <v>2025776</v>
      </c>
      <c r="X1486" s="69"/>
      <c r="Y1486" s="123"/>
      <c r="Z1486" s="30">
        <f t="shared" si="46"/>
        <v>6772.6006943194379</v>
      </c>
      <c r="AA1486" s="30">
        <f t="shared" si="47"/>
        <v>2116.4377169748245</v>
      </c>
      <c r="AB1486" t="s">
        <v>456</v>
      </c>
    </row>
    <row r="1487" spans="1:28">
      <c r="A1487" s="67" t="s">
        <v>122</v>
      </c>
      <c r="B1487" s="68">
        <v>1188171</v>
      </c>
      <c r="C1487" s="69">
        <v>4615378413</v>
      </c>
      <c r="D1487" s="70">
        <v>19200</v>
      </c>
      <c r="E1487" s="79"/>
      <c r="F1487" s="73">
        <v>16</v>
      </c>
      <c r="G1487" s="73">
        <v>5</v>
      </c>
      <c r="H1487" s="68">
        <v>0</v>
      </c>
      <c r="I1487" s="68">
        <v>0</v>
      </c>
      <c r="J1487" s="71">
        <v>42657</v>
      </c>
      <c r="K1487" s="71">
        <v>42704</v>
      </c>
      <c r="L1487" s="69" t="s">
        <v>119</v>
      </c>
      <c r="M1487" s="69" t="s">
        <v>109</v>
      </c>
      <c r="N1487" s="72">
        <v>42740</v>
      </c>
      <c r="O1487" s="67"/>
      <c r="P1487" s="67" t="s">
        <v>95</v>
      </c>
      <c r="Q1487" s="67" t="s">
        <v>120</v>
      </c>
      <c r="R1487" s="69" t="s">
        <v>69</v>
      </c>
      <c r="S1487" s="69" t="s">
        <v>123</v>
      </c>
      <c r="T1487" s="67"/>
      <c r="U1487" s="67"/>
      <c r="V1487" s="72">
        <v>42704</v>
      </c>
      <c r="W1487" s="69">
        <v>2025776</v>
      </c>
      <c r="X1487" s="69"/>
      <c r="Y1487" s="123"/>
      <c r="Z1487" s="30">
        <f t="shared" si="46"/>
        <v>6772.6006943194379</v>
      </c>
      <c r="AA1487" s="30">
        <f t="shared" si="47"/>
        <v>2116.4377169748245</v>
      </c>
      <c r="AB1487" t="s">
        <v>456</v>
      </c>
    </row>
    <row r="1488" spans="1:28">
      <c r="A1488" s="67" t="s">
        <v>113</v>
      </c>
      <c r="B1488" s="68">
        <v>1188977</v>
      </c>
      <c r="C1488" s="69">
        <v>4615407681</v>
      </c>
      <c r="D1488" s="70">
        <v>19175</v>
      </c>
      <c r="E1488" s="79"/>
      <c r="F1488" s="68">
        <v>16</v>
      </c>
      <c r="G1488" s="68" t="s">
        <v>114</v>
      </c>
      <c r="H1488" s="68">
        <v>0</v>
      </c>
      <c r="I1488" s="68">
        <v>0</v>
      </c>
      <c r="J1488" s="71">
        <v>42656</v>
      </c>
      <c r="K1488" s="71">
        <v>42674</v>
      </c>
      <c r="L1488" s="69" t="s">
        <v>119</v>
      </c>
      <c r="M1488" s="69" t="s">
        <v>109</v>
      </c>
      <c r="N1488" s="72">
        <v>42740</v>
      </c>
      <c r="O1488" s="67"/>
      <c r="P1488" s="67" t="s">
        <v>95</v>
      </c>
      <c r="Q1488" s="67" t="s">
        <v>110</v>
      </c>
      <c r="R1488" s="69" t="s">
        <v>69</v>
      </c>
      <c r="S1488" s="69" t="s">
        <v>115</v>
      </c>
      <c r="T1488" s="67"/>
      <c r="U1488" s="67"/>
      <c r="V1488" s="72">
        <v>42674</v>
      </c>
      <c r="W1488" s="69" t="s">
        <v>192</v>
      </c>
      <c r="X1488" s="69" t="s">
        <v>274</v>
      </c>
      <c r="Y1488" s="123"/>
      <c r="Z1488" s="30">
        <f t="shared" si="46"/>
        <v>6763.7822038320437</v>
      </c>
      <c r="AA1488" s="30">
        <f t="shared" si="47"/>
        <v>0</v>
      </c>
      <c r="AB1488" t="s">
        <v>456</v>
      </c>
    </row>
    <row r="1489" spans="1:28">
      <c r="A1489" s="67" t="s">
        <v>113</v>
      </c>
      <c r="B1489" s="68">
        <v>1158210</v>
      </c>
      <c r="C1489" s="69">
        <v>4615411151</v>
      </c>
      <c r="D1489" s="70">
        <v>19175</v>
      </c>
      <c r="E1489" s="79"/>
      <c r="F1489" s="68">
        <v>16</v>
      </c>
      <c r="G1489" s="68" t="s">
        <v>114</v>
      </c>
      <c r="H1489" s="68">
        <v>0</v>
      </c>
      <c r="I1489" s="68">
        <v>0</v>
      </c>
      <c r="J1489" s="71"/>
      <c r="K1489" s="71">
        <v>42613</v>
      </c>
      <c r="L1489" s="69" t="s">
        <v>80</v>
      </c>
      <c r="M1489" s="69" t="s">
        <v>109</v>
      </c>
      <c r="N1489" s="72">
        <v>42740</v>
      </c>
      <c r="O1489" s="67"/>
      <c r="P1489" s="67" t="s">
        <v>95</v>
      </c>
      <c r="Q1489" s="67" t="s">
        <v>110</v>
      </c>
      <c r="R1489" s="69" t="s">
        <v>69</v>
      </c>
      <c r="S1489" s="69" t="s">
        <v>115</v>
      </c>
      <c r="T1489" s="67"/>
      <c r="U1489" s="67"/>
      <c r="V1489" s="72">
        <v>42613</v>
      </c>
      <c r="W1489" s="69" t="s">
        <v>231</v>
      </c>
      <c r="X1489" s="69" t="s">
        <v>232</v>
      </c>
      <c r="Y1489" s="123"/>
      <c r="Z1489" s="30">
        <f t="shared" si="46"/>
        <v>6763.7822038320437</v>
      </c>
      <c r="AA1489" s="30">
        <f t="shared" si="47"/>
        <v>0</v>
      </c>
      <c r="AB1489" t="s">
        <v>456</v>
      </c>
    </row>
    <row r="1490" spans="1:28">
      <c r="A1490" s="67" t="s">
        <v>68</v>
      </c>
      <c r="B1490" s="68" t="s">
        <v>161</v>
      </c>
      <c r="C1490" s="69" t="s">
        <v>276</v>
      </c>
      <c r="D1490" s="70">
        <v>19175</v>
      </c>
      <c r="E1490" s="79"/>
      <c r="F1490" s="73">
        <v>16</v>
      </c>
      <c r="G1490" s="73" t="s">
        <v>114</v>
      </c>
      <c r="H1490" s="68">
        <v>0</v>
      </c>
      <c r="I1490" s="68">
        <v>0</v>
      </c>
      <c r="J1490" s="71"/>
      <c r="K1490" s="71">
        <v>42735</v>
      </c>
      <c r="L1490" s="69" t="s">
        <v>80</v>
      </c>
      <c r="M1490" s="69" t="s">
        <v>109</v>
      </c>
      <c r="N1490" s="72">
        <v>42739</v>
      </c>
      <c r="O1490" s="67"/>
      <c r="P1490" s="67" t="s">
        <v>95</v>
      </c>
      <c r="Q1490" s="67" t="s">
        <v>125</v>
      </c>
      <c r="R1490" s="69" t="s">
        <v>69</v>
      </c>
      <c r="S1490" s="69" t="s">
        <v>68</v>
      </c>
      <c r="T1490" s="67"/>
      <c r="U1490" s="67"/>
      <c r="V1490" s="72">
        <v>42735</v>
      </c>
      <c r="W1490" s="69">
        <v>5114716</v>
      </c>
      <c r="X1490" s="69" t="s">
        <v>277</v>
      </c>
      <c r="Y1490" s="123"/>
      <c r="Z1490" s="30">
        <f t="shared" si="46"/>
        <v>6763.7822038320437</v>
      </c>
      <c r="AA1490" s="30">
        <f t="shared" si="47"/>
        <v>0</v>
      </c>
      <c r="AB1490" t="s">
        <v>456</v>
      </c>
    </row>
    <row r="1491" spans="1:28">
      <c r="A1491" s="67" t="s">
        <v>68</v>
      </c>
      <c r="B1491" s="68" t="s">
        <v>161</v>
      </c>
      <c r="C1491" s="69" t="s">
        <v>276</v>
      </c>
      <c r="D1491" s="70">
        <v>19175</v>
      </c>
      <c r="E1491" s="79"/>
      <c r="F1491" s="73">
        <v>16</v>
      </c>
      <c r="G1491" s="73" t="s">
        <v>114</v>
      </c>
      <c r="H1491" s="68">
        <v>0</v>
      </c>
      <c r="I1491" s="68">
        <v>0</v>
      </c>
      <c r="J1491" s="71"/>
      <c r="K1491" s="71">
        <v>42735</v>
      </c>
      <c r="L1491" s="69" t="s">
        <v>80</v>
      </c>
      <c r="M1491" s="69" t="s">
        <v>109</v>
      </c>
      <c r="N1491" s="72">
        <v>42739</v>
      </c>
      <c r="O1491" s="67"/>
      <c r="P1491" s="67" t="s">
        <v>95</v>
      </c>
      <c r="Q1491" s="67" t="s">
        <v>125</v>
      </c>
      <c r="R1491" s="69" t="s">
        <v>69</v>
      </c>
      <c r="S1491" s="69" t="s">
        <v>68</v>
      </c>
      <c r="T1491" s="67"/>
      <c r="U1491" s="67"/>
      <c r="V1491" s="72">
        <v>42735</v>
      </c>
      <c r="W1491" s="69">
        <v>5114716</v>
      </c>
      <c r="X1491" s="69" t="s">
        <v>277</v>
      </c>
      <c r="Y1491" s="123"/>
      <c r="Z1491" s="30">
        <f t="shared" si="46"/>
        <v>6763.7822038320437</v>
      </c>
      <c r="AA1491" s="30">
        <f t="shared" si="47"/>
        <v>0</v>
      </c>
      <c r="AB1491" t="s">
        <v>456</v>
      </c>
    </row>
    <row r="1492" spans="1:28">
      <c r="A1492" s="67" t="s">
        <v>68</v>
      </c>
      <c r="B1492" s="68" t="s">
        <v>161</v>
      </c>
      <c r="C1492" s="69" t="s">
        <v>276</v>
      </c>
      <c r="D1492" s="70">
        <v>19175</v>
      </c>
      <c r="E1492" s="79"/>
      <c r="F1492" s="73">
        <v>16</v>
      </c>
      <c r="G1492" s="73" t="s">
        <v>114</v>
      </c>
      <c r="H1492" s="68">
        <v>0</v>
      </c>
      <c r="I1492" s="68">
        <v>0</v>
      </c>
      <c r="J1492" s="71"/>
      <c r="K1492" s="71">
        <v>42735</v>
      </c>
      <c r="L1492" s="69" t="s">
        <v>80</v>
      </c>
      <c r="M1492" s="69" t="s">
        <v>109</v>
      </c>
      <c r="N1492" s="72">
        <v>42739</v>
      </c>
      <c r="O1492" s="67"/>
      <c r="P1492" s="67" t="s">
        <v>95</v>
      </c>
      <c r="Q1492" s="67" t="s">
        <v>125</v>
      </c>
      <c r="R1492" s="69" t="s">
        <v>69</v>
      </c>
      <c r="S1492" s="69" t="s">
        <v>68</v>
      </c>
      <c r="T1492" s="67"/>
      <c r="U1492" s="67"/>
      <c r="V1492" s="72">
        <v>42735</v>
      </c>
      <c r="W1492" s="69">
        <v>5114716</v>
      </c>
      <c r="X1492" s="69" t="s">
        <v>277</v>
      </c>
      <c r="Y1492" s="123"/>
      <c r="Z1492" s="30">
        <f t="shared" si="46"/>
        <v>6763.7822038320437</v>
      </c>
      <c r="AA1492" s="30">
        <f t="shared" si="47"/>
        <v>0</v>
      </c>
      <c r="AB1492" t="s">
        <v>456</v>
      </c>
    </row>
    <row r="1493" spans="1:28">
      <c r="A1493" s="67" t="s">
        <v>68</v>
      </c>
      <c r="B1493" s="68" t="s">
        <v>161</v>
      </c>
      <c r="C1493" s="69" t="s">
        <v>276</v>
      </c>
      <c r="D1493" s="70">
        <v>19175</v>
      </c>
      <c r="E1493" s="79"/>
      <c r="F1493" s="73">
        <v>16</v>
      </c>
      <c r="G1493" s="73" t="s">
        <v>114</v>
      </c>
      <c r="H1493" s="68">
        <v>0</v>
      </c>
      <c r="I1493" s="68">
        <v>0</v>
      </c>
      <c r="J1493" s="71"/>
      <c r="K1493" s="71">
        <v>42735</v>
      </c>
      <c r="L1493" s="69" t="s">
        <v>80</v>
      </c>
      <c r="M1493" s="69" t="s">
        <v>109</v>
      </c>
      <c r="N1493" s="72">
        <v>42739</v>
      </c>
      <c r="O1493" s="67"/>
      <c r="P1493" s="67" t="s">
        <v>95</v>
      </c>
      <c r="Q1493" s="67" t="s">
        <v>125</v>
      </c>
      <c r="R1493" s="69" t="s">
        <v>69</v>
      </c>
      <c r="S1493" s="69" t="s">
        <v>68</v>
      </c>
      <c r="T1493" s="67"/>
      <c r="U1493" s="67"/>
      <c r="V1493" s="72">
        <v>42735</v>
      </c>
      <c r="W1493" s="69">
        <v>5114716</v>
      </c>
      <c r="X1493" s="69" t="s">
        <v>277</v>
      </c>
      <c r="Y1493" s="123"/>
      <c r="Z1493" s="30">
        <f t="shared" si="46"/>
        <v>6763.7822038320437</v>
      </c>
      <c r="AA1493" s="30">
        <f t="shared" si="47"/>
        <v>0</v>
      </c>
      <c r="AB1493" t="s">
        <v>456</v>
      </c>
    </row>
    <row r="1494" spans="1:28">
      <c r="A1494" s="67" t="s">
        <v>68</v>
      </c>
      <c r="B1494" s="68" t="s">
        <v>161</v>
      </c>
      <c r="C1494" s="69" t="s">
        <v>276</v>
      </c>
      <c r="D1494" s="70">
        <v>19175</v>
      </c>
      <c r="E1494" s="79"/>
      <c r="F1494" s="73">
        <v>16</v>
      </c>
      <c r="G1494" s="73" t="s">
        <v>114</v>
      </c>
      <c r="H1494" s="68">
        <v>0</v>
      </c>
      <c r="I1494" s="68">
        <v>0</v>
      </c>
      <c r="J1494" s="71"/>
      <c r="K1494" s="71">
        <v>42735</v>
      </c>
      <c r="L1494" s="69" t="s">
        <v>80</v>
      </c>
      <c r="M1494" s="69" t="s">
        <v>109</v>
      </c>
      <c r="N1494" s="72">
        <v>42739</v>
      </c>
      <c r="O1494" s="67"/>
      <c r="P1494" s="67" t="s">
        <v>95</v>
      </c>
      <c r="Q1494" s="67" t="s">
        <v>125</v>
      </c>
      <c r="R1494" s="69" t="s">
        <v>69</v>
      </c>
      <c r="S1494" s="69" t="s">
        <v>68</v>
      </c>
      <c r="T1494" s="67"/>
      <c r="U1494" s="67"/>
      <c r="V1494" s="72">
        <v>42735</v>
      </c>
      <c r="W1494" s="69">
        <v>5114716</v>
      </c>
      <c r="X1494" s="69" t="s">
        <v>277</v>
      </c>
      <c r="Y1494" s="123"/>
      <c r="Z1494" s="30">
        <f t="shared" si="46"/>
        <v>6763.7822038320437</v>
      </c>
      <c r="AA1494" s="30">
        <f t="shared" si="47"/>
        <v>0</v>
      </c>
      <c r="AB1494" t="s">
        <v>456</v>
      </c>
    </row>
    <row r="1495" spans="1:28">
      <c r="A1495" s="67" t="s">
        <v>278</v>
      </c>
      <c r="B1495" s="68" t="s">
        <v>161</v>
      </c>
      <c r="C1495" s="69" t="s">
        <v>276</v>
      </c>
      <c r="D1495" s="70">
        <v>21600</v>
      </c>
      <c r="E1495" s="79"/>
      <c r="F1495" s="73">
        <v>16</v>
      </c>
      <c r="G1495" s="73">
        <v>0</v>
      </c>
      <c r="H1495" s="68">
        <v>0</v>
      </c>
      <c r="I1495" s="68">
        <v>0</v>
      </c>
      <c r="J1495" s="71"/>
      <c r="K1495" s="71">
        <v>42766</v>
      </c>
      <c r="L1495" s="69" t="s">
        <v>80</v>
      </c>
      <c r="M1495" s="69" t="s">
        <v>109</v>
      </c>
      <c r="N1495" s="72">
        <v>42739</v>
      </c>
      <c r="O1495" s="67"/>
      <c r="P1495" s="67" t="s">
        <v>95</v>
      </c>
      <c r="Q1495" s="67" t="s">
        <v>125</v>
      </c>
      <c r="R1495" s="69" t="s">
        <v>69</v>
      </c>
      <c r="S1495" s="69" t="s">
        <v>279</v>
      </c>
      <c r="T1495" s="67"/>
      <c r="U1495" s="67"/>
      <c r="V1495" s="72">
        <v>42766</v>
      </c>
      <c r="W1495" s="69" t="s">
        <v>280</v>
      </c>
      <c r="X1495" s="69" t="s">
        <v>117</v>
      </c>
      <c r="Y1495" s="123"/>
      <c r="Z1495" s="30">
        <f t="shared" si="46"/>
        <v>7619.1757811093694</v>
      </c>
      <c r="AA1495" s="30">
        <f t="shared" si="47"/>
        <v>0</v>
      </c>
      <c r="AB1495" t="s">
        <v>456</v>
      </c>
    </row>
    <row r="1496" spans="1:28">
      <c r="A1496" s="67" t="s">
        <v>131</v>
      </c>
      <c r="B1496" s="68">
        <v>1185571</v>
      </c>
      <c r="C1496" s="69">
        <v>4615418628</v>
      </c>
      <c r="D1496" s="70">
        <v>19200</v>
      </c>
      <c r="E1496" s="79"/>
      <c r="F1496" s="75">
        <v>154.4</v>
      </c>
      <c r="G1496" s="75" t="s">
        <v>114</v>
      </c>
      <c r="H1496" s="68">
        <v>0</v>
      </c>
      <c r="I1496" s="68">
        <v>0</v>
      </c>
      <c r="J1496" s="71">
        <v>42639</v>
      </c>
      <c r="K1496" s="71">
        <v>42735</v>
      </c>
      <c r="L1496" s="69" t="s">
        <v>119</v>
      </c>
      <c r="M1496" s="69" t="s">
        <v>109</v>
      </c>
      <c r="N1496" s="72">
        <v>42739</v>
      </c>
      <c r="O1496" s="67"/>
      <c r="P1496" s="67" t="s">
        <v>95</v>
      </c>
      <c r="Q1496" s="67" t="s">
        <v>125</v>
      </c>
      <c r="R1496" s="69" t="s">
        <v>69</v>
      </c>
      <c r="S1496" s="69" t="s">
        <v>134</v>
      </c>
      <c r="T1496" s="67"/>
      <c r="U1496" s="67"/>
      <c r="V1496" s="72">
        <v>42735</v>
      </c>
      <c r="W1496" s="69" t="s">
        <v>281</v>
      </c>
      <c r="X1496" s="69"/>
      <c r="Y1496" s="123"/>
      <c r="Z1496" s="30">
        <f t="shared" si="46"/>
        <v>65355.596700182585</v>
      </c>
      <c r="AA1496" s="30">
        <f t="shared" si="47"/>
        <v>0</v>
      </c>
      <c r="AB1496" t="s">
        <v>456</v>
      </c>
    </row>
    <row r="1497" spans="1:28">
      <c r="A1497" s="67" t="s">
        <v>136</v>
      </c>
      <c r="B1497" s="68">
        <v>1188489</v>
      </c>
      <c r="C1497" s="69">
        <v>4615422503</v>
      </c>
      <c r="D1497" s="70">
        <v>19175</v>
      </c>
      <c r="E1497" s="79"/>
      <c r="F1497" s="73">
        <v>10</v>
      </c>
      <c r="G1497" s="73">
        <v>5</v>
      </c>
      <c r="H1497" s="68">
        <v>0</v>
      </c>
      <c r="I1497" s="68">
        <v>0</v>
      </c>
      <c r="J1497" s="71">
        <v>42670</v>
      </c>
      <c r="K1497" s="71">
        <v>42704</v>
      </c>
      <c r="L1497" s="69" t="s">
        <v>137</v>
      </c>
      <c r="M1497" s="69" t="s">
        <v>109</v>
      </c>
      <c r="N1497" s="72">
        <v>42739</v>
      </c>
      <c r="O1497" s="67"/>
      <c r="P1497" s="67" t="s">
        <v>95</v>
      </c>
      <c r="Q1497" s="67" t="s">
        <v>129</v>
      </c>
      <c r="R1497" s="69" t="s">
        <v>69</v>
      </c>
      <c r="S1497" s="69" t="s">
        <v>138</v>
      </c>
      <c r="T1497" s="67"/>
      <c r="U1497" s="67"/>
      <c r="V1497" s="72">
        <v>42704</v>
      </c>
      <c r="W1497" s="69">
        <v>415570145</v>
      </c>
      <c r="X1497" s="78"/>
      <c r="Y1497" s="123"/>
      <c r="Z1497" s="30">
        <f t="shared" si="46"/>
        <v>4227.3638773950279</v>
      </c>
      <c r="AA1497" s="30">
        <f t="shared" si="47"/>
        <v>2113.6819386975139</v>
      </c>
      <c r="AB1497" t="s">
        <v>456</v>
      </c>
    </row>
    <row r="1498" spans="1:28">
      <c r="A1498" s="67" t="s">
        <v>118</v>
      </c>
      <c r="B1498" s="68">
        <v>1184775</v>
      </c>
      <c r="C1498" s="69">
        <v>4615410303</v>
      </c>
      <c r="D1498" s="70">
        <v>19175</v>
      </c>
      <c r="E1498" s="79"/>
      <c r="F1498" s="73">
        <v>10</v>
      </c>
      <c r="G1498" s="73">
        <v>5</v>
      </c>
      <c r="H1498" s="68">
        <v>0</v>
      </c>
      <c r="I1498" s="68">
        <v>0</v>
      </c>
      <c r="J1498" s="71">
        <v>42671</v>
      </c>
      <c r="K1498" s="71">
        <v>42735</v>
      </c>
      <c r="L1498" s="69" t="s">
        <v>137</v>
      </c>
      <c r="M1498" s="69" t="s">
        <v>109</v>
      </c>
      <c r="N1498" s="72">
        <v>42739</v>
      </c>
      <c r="O1498" s="67"/>
      <c r="P1498" s="67" t="s">
        <v>95</v>
      </c>
      <c r="Q1498" s="67" t="s">
        <v>120</v>
      </c>
      <c r="R1498" s="69" t="s">
        <v>69</v>
      </c>
      <c r="S1498" s="69" t="s">
        <v>121</v>
      </c>
      <c r="T1498" s="67"/>
      <c r="U1498" s="67"/>
      <c r="V1498" s="72">
        <v>42735</v>
      </c>
      <c r="W1498" s="69">
        <v>2026350</v>
      </c>
      <c r="X1498" s="69" t="s">
        <v>155</v>
      </c>
      <c r="Y1498" s="123"/>
      <c r="Z1498" s="30">
        <f t="shared" si="46"/>
        <v>4227.3638773950279</v>
      </c>
      <c r="AA1498" s="30">
        <f t="shared" si="47"/>
        <v>2113.6819386975139</v>
      </c>
      <c r="AB1498" t="s">
        <v>456</v>
      </c>
    </row>
    <row r="1499" spans="1:28">
      <c r="A1499" s="67" t="s">
        <v>122</v>
      </c>
      <c r="B1499" s="68">
        <v>1189829</v>
      </c>
      <c r="C1499" s="69">
        <v>4615415814</v>
      </c>
      <c r="D1499" s="70">
        <v>19200</v>
      </c>
      <c r="E1499" s="79"/>
      <c r="F1499" s="73">
        <v>16</v>
      </c>
      <c r="G1499" s="73">
        <v>5</v>
      </c>
      <c r="H1499" s="68">
        <v>0</v>
      </c>
      <c r="I1499" s="68">
        <v>0</v>
      </c>
      <c r="J1499" s="71">
        <v>42657</v>
      </c>
      <c r="K1499" s="71">
        <v>42704</v>
      </c>
      <c r="L1499" s="69" t="s">
        <v>119</v>
      </c>
      <c r="M1499" s="69" t="s">
        <v>109</v>
      </c>
      <c r="N1499" s="72">
        <v>42739</v>
      </c>
      <c r="O1499" s="67"/>
      <c r="P1499" s="67" t="s">
        <v>95</v>
      </c>
      <c r="Q1499" s="67" t="s">
        <v>120</v>
      </c>
      <c r="R1499" s="69" t="s">
        <v>69</v>
      </c>
      <c r="S1499" s="69" t="s">
        <v>123</v>
      </c>
      <c r="T1499" s="67"/>
      <c r="U1499" s="67"/>
      <c r="V1499" s="72">
        <v>42704</v>
      </c>
      <c r="W1499" s="69">
        <v>2025759</v>
      </c>
      <c r="X1499" s="69"/>
      <c r="Y1499" s="123"/>
      <c r="Z1499" s="30">
        <f t="shared" si="46"/>
        <v>6772.6006943194379</v>
      </c>
      <c r="AA1499" s="30">
        <f t="shared" si="47"/>
        <v>2116.4377169748245</v>
      </c>
      <c r="AB1499" t="s">
        <v>456</v>
      </c>
    </row>
    <row r="1500" spans="1:28">
      <c r="A1500" s="67" t="s">
        <v>122</v>
      </c>
      <c r="B1500" s="68">
        <v>1188168</v>
      </c>
      <c r="C1500" s="69">
        <v>4615378413</v>
      </c>
      <c r="D1500" s="70">
        <v>19200</v>
      </c>
      <c r="E1500" s="79"/>
      <c r="F1500" s="73">
        <v>16</v>
      </c>
      <c r="G1500" s="73">
        <v>5</v>
      </c>
      <c r="H1500" s="68">
        <v>0</v>
      </c>
      <c r="I1500" s="68">
        <v>0</v>
      </c>
      <c r="J1500" s="71">
        <v>42657</v>
      </c>
      <c r="K1500" s="71">
        <v>42704</v>
      </c>
      <c r="L1500" s="69" t="s">
        <v>119</v>
      </c>
      <c r="M1500" s="69" t="s">
        <v>109</v>
      </c>
      <c r="N1500" s="72">
        <v>42739</v>
      </c>
      <c r="O1500" s="67"/>
      <c r="P1500" s="67" t="s">
        <v>95</v>
      </c>
      <c r="Q1500" s="67" t="s">
        <v>120</v>
      </c>
      <c r="R1500" s="69" t="s">
        <v>69</v>
      </c>
      <c r="S1500" s="69" t="s">
        <v>123</v>
      </c>
      <c r="T1500" s="67"/>
      <c r="U1500" s="67"/>
      <c r="V1500" s="72">
        <v>42704</v>
      </c>
      <c r="W1500" s="69">
        <v>2025776</v>
      </c>
      <c r="X1500" s="69"/>
      <c r="Y1500" s="123"/>
      <c r="Z1500" s="30">
        <f t="shared" si="46"/>
        <v>6772.6006943194379</v>
      </c>
      <c r="AA1500" s="30">
        <f t="shared" si="47"/>
        <v>2116.4377169748245</v>
      </c>
      <c r="AB1500" t="s">
        <v>456</v>
      </c>
    </row>
    <row r="1501" spans="1:28">
      <c r="A1501" s="67" t="s">
        <v>122</v>
      </c>
      <c r="B1501" s="68">
        <v>1188175</v>
      </c>
      <c r="C1501" s="69">
        <v>4615378413</v>
      </c>
      <c r="D1501" s="70">
        <v>19200</v>
      </c>
      <c r="E1501" s="79"/>
      <c r="F1501" s="73">
        <v>16</v>
      </c>
      <c r="G1501" s="73">
        <v>5</v>
      </c>
      <c r="H1501" s="68">
        <v>0</v>
      </c>
      <c r="I1501" s="68">
        <v>0</v>
      </c>
      <c r="J1501" s="71">
        <v>42657</v>
      </c>
      <c r="K1501" s="71">
        <v>42704</v>
      </c>
      <c r="L1501" s="69" t="s">
        <v>119</v>
      </c>
      <c r="M1501" s="69" t="s">
        <v>109</v>
      </c>
      <c r="N1501" s="72">
        <v>42739</v>
      </c>
      <c r="O1501" s="67"/>
      <c r="P1501" s="67" t="s">
        <v>95</v>
      </c>
      <c r="Q1501" s="67" t="s">
        <v>120</v>
      </c>
      <c r="R1501" s="69" t="s">
        <v>69</v>
      </c>
      <c r="S1501" s="69" t="s">
        <v>123</v>
      </c>
      <c r="T1501" s="67"/>
      <c r="U1501" s="67"/>
      <c r="V1501" s="72">
        <v>42704</v>
      </c>
      <c r="W1501" s="69">
        <v>2025776</v>
      </c>
      <c r="X1501" s="69"/>
      <c r="Y1501" s="123"/>
      <c r="Z1501" s="30">
        <f t="shared" si="46"/>
        <v>6772.6006943194379</v>
      </c>
      <c r="AA1501" s="30">
        <f t="shared" si="47"/>
        <v>2116.4377169748245</v>
      </c>
      <c r="AB1501" t="s">
        <v>456</v>
      </c>
    </row>
    <row r="1502" spans="1:28">
      <c r="A1502" s="67" t="s">
        <v>122</v>
      </c>
      <c r="B1502" s="84">
        <v>1230565</v>
      </c>
      <c r="C1502" s="85">
        <v>4615410392</v>
      </c>
      <c r="D1502" s="86">
        <v>19200</v>
      </c>
      <c r="E1502" s="79"/>
      <c r="F1502" s="84">
        <v>16</v>
      </c>
      <c r="G1502" s="87">
        <v>5</v>
      </c>
      <c r="H1502" s="88">
        <v>0</v>
      </c>
      <c r="I1502" s="88">
        <v>0</v>
      </c>
      <c r="J1502" s="71">
        <v>42814</v>
      </c>
      <c r="K1502" s="71">
        <v>42855</v>
      </c>
      <c r="L1502" s="69" t="s">
        <v>108</v>
      </c>
      <c r="M1502" s="89" t="s">
        <v>282</v>
      </c>
      <c r="N1502" s="89"/>
      <c r="O1502" s="67"/>
      <c r="P1502" s="67" t="s">
        <v>95</v>
      </c>
      <c r="Q1502" s="67" t="s">
        <v>120</v>
      </c>
      <c r="R1502" s="85" t="s">
        <v>69</v>
      </c>
      <c r="S1502" s="85" t="s">
        <v>123</v>
      </c>
      <c r="T1502" s="67"/>
      <c r="U1502" s="67"/>
      <c r="V1502" s="89">
        <v>42855</v>
      </c>
      <c r="W1502" s="85">
        <v>2025781</v>
      </c>
      <c r="X1502" s="90" t="s">
        <v>283</v>
      </c>
      <c r="Y1502" s="123"/>
      <c r="Z1502" s="30">
        <f t="shared" si="46"/>
        <v>6772.6006943194379</v>
      </c>
      <c r="AA1502" s="30">
        <f t="shared" si="47"/>
        <v>2116.4377169748245</v>
      </c>
      <c r="AB1502" t="s">
        <v>456</v>
      </c>
    </row>
    <row r="1503" spans="1:28">
      <c r="A1503" s="67" t="s">
        <v>113</v>
      </c>
      <c r="B1503" s="91">
        <v>1251856</v>
      </c>
      <c r="C1503" s="92">
        <v>4615404823</v>
      </c>
      <c r="D1503" s="93">
        <v>20700</v>
      </c>
      <c r="E1503" s="79"/>
      <c r="F1503" s="91">
        <v>16</v>
      </c>
      <c r="G1503" s="91" t="s">
        <v>114</v>
      </c>
      <c r="H1503" s="94">
        <v>0</v>
      </c>
      <c r="I1503" s="91">
        <v>0</v>
      </c>
      <c r="J1503" s="71"/>
      <c r="K1503" s="71">
        <v>42916</v>
      </c>
      <c r="L1503" s="69" t="s">
        <v>80</v>
      </c>
      <c r="M1503" s="69" t="s">
        <v>109</v>
      </c>
      <c r="N1503" s="95">
        <v>43167</v>
      </c>
      <c r="O1503" s="67"/>
      <c r="P1503" s="67" t="s">
        <v>95</v>
      </c>
      <c r="Q1503" s="67" t="s">
        <v>110</v>
      </c>
      <c r="R1503" s="92" t="s">
        <v>69</v>
      </c>
      <c r="S1503" s="92" t="s">
        <v>115</v>
      </c>
      <c r="T1503" s="67"/>
      <c r="U1503" s="67"/>
      <c r="V1503" s="95">
        <v>42916</v>
      </c>
      <c r="W1503" s="92" t="s">
        <v>186</v>
      </c>
      <c r="X1503" s="90" t="s">
        <v>284</v>
      </c>
      <c r="Y1503" s="123"/>
      <c r="Z1503" s="30">
        <f t="shared" si="46"/>
        <v>7301.7101235631453</v>
      </c>
      <c r="AA1503" s="30">
        <f t="shared" si="47"/>
        <v>0</v>
      </c>
      <c r="AB1503" t="s">
        <v>456</v>
      </c>
    </row>
    <row r="1504" spans="1:28">
      <c r="A1504" s="67" t="s">
        <v>113</v>
      </c>
      <c r="B1504" s="91">
        <v>1269264</v>
      </c>
      <c r="C1504" s="92">
        <v>4615400271</v>
      </c>
      <c r="D1504" s="93">
        <v>20700</v>
      </c>
      <c r="E1504" s="79"/>
      <c r="F1504" s="91">
        <v>16</v>
      </c>
      <c r="G1504" s="91" t="s">
        <v>114</v>
      </c>
      <c r="H1504" s="94">
        <v>0</v>
      </c>
      <c r="I1504" s="91">
        <v>0</v>
      </c>
      <c r="J1504" s="71"/>
      <c r="K1504" s="71">
        <v>42947</v>
      </c>
      <c r="L1504" s="69" t="s">
        <v>80</v>
      </c>
      <c r="M1504" s="69" t="s">
        <v>109</v>
      </c>
      <c r="N1504" s="95">
        <v>43142</v>
      </c>
      <c r="O1504" s="67"/>
      <c r="P1504" s="67" t="s">
        <v>95</v>
      </c>
      <c r="Q1504" s="67" t="s">
        <v>110</v>
      </c>
      <c r="R1504" s="92" t="s">
        <v>69</v>
      </c>
      <c r="S1504" s="92" t="s">
        <v>115</v>
      </c>
      <c r="T1504" s="67"/>
      <c r="U1504" s="67"/>
      <c r="V1504" s="95">
        <v>42947</v>
      </c>
      <c r="W1504" s="92" t="s">
        <v>172</v>
      </c>
      <c r="X1504" s="90" t="s">
        <v>285</v>
      </c>
      <c r="Y1504" s="123"/>
      <c r="Z1504" s="30">
        <f t="shared" si="46"/>
        <v>7301.7101235631453</v>
      </c>
      <c r="AA1504" s="30">
        <f t="shared" si="47"/>
        <v>0</v>
      </c>
      <c r="AB1504" t="s">
        <v>456</v>
      </c>
    </row>
    <row r="1505" spans="1:28">
      <c r="A1505" s="67" t="s">
        <v>122</v>
      </c>
      <c r="B1505" s="91">
        <v>1274438</v>
      </c>
      <c r="C1505" s="92">
        <v>4615411816</v>
      </c>
      <c r="D1505" s="93">
        <v>19200</v>
      </c>
      <c r="E1505" s="79"/>
      <c r="F1505" s="91">
        <v>16</v>
      </c>
      <c r="G1505" s="96">
        <v>5</v>
      </c>
      <c r="H1505" s="94">
        <v>0</v>
      </c>
      <c r="I1505" s="91">
        <v>0</v>
      </c>
      <c r="J1505" s="71"/>
      <c r="K1505" s="71">
        <v>42978</v>
      </c>
      <c r="L1505" s="69" t="s">
        <v>80</v>
      </c>
      <c r="M1505" s="69" t="s">
        <v>109</v>
      </c>
      <c r="N1505" s="95">
        <v>43104</v>
      </c>
      <c r="O1505" s="67"/>
      <c r="P1505" s="67" t="s">
        <v>95</v>
      </c>
      <c r="Q1505" s="67" t="s">
        <v>120</v>
      </c>
      <c r="R1505" s="92" t="s">
        <v>69</v>
      </c>
      <c r="S1505" s="92" t="s">
        <v>123</v>
      </c>
      <c r="T1505" s="67"/>
      <c r="U1505" s="67"/>
      <c r="V1505" s="95">
        <v>42978</v>
      </c>
      <c r="W1505" s="92">
        <v>2025768</v>
      </c>
      <c r="X1505" s="90"/>
      <c r="Y1505" s="123"/>
      <c r="Z1505" s="30">
        <f t="shared" si="46"/>
        <v>6772.6006943194379</v>
      </c>
      <c r="AA1505" s="30">
        <f t="shared" si="47"/>
        <v>2116.4377169748245</v>
      </c>
      <c r="AB1505" t="s">
        <v>456</v>
      </c>
    </row>
    <row r="1506" spans="1:28">
      <c r="A1506" s="67" t="s">
        <v>68</v>
      </c>
      <c r="B1506" s="91"/>
      <c r="C1506" s="92">
        <v>4615416369</v>
      </c>
      <c r="D1506" s="93">
        <v>19175</v>
      </c>
      <c r="E1506" s="79"/>
      <c r="F1506" s="91">
        <v>16</v>
      </c>
      <c r="G1506" s="96">
        <v>5</v>
      </c>
      <c r="H1506" s="91">
        <v>0</v>
      </c>
      <c r="I1506" s="91">
        <v>0</v>
      </c>
      <c r="J1506" s="71"/>
      <c r="K1506" s="71">
        <v>42978</v>
      </c>
      <c r="L1506" s="69" t="s">
        <v>80</v>
      </c>
      <c r="M1506" s="69" t="s">
        <v>286</v>
      </c>
      <c r="N1506" s="95"/>
      <c r="O1506" s="67"/>
      <c r="P1506" s="67" t="s">
        <v>95</v>
      </c>
      <c r="Q1506" s="67" t="s">
        <v>125</v>
      </c>
      <c r="R1506" s="92" t="s">
        <v>69</v>
      </c>
      <c r="S1506" s="92" t="s">
        <v>68</v>
      </c>
      <c r="T1506" s="67"/>
      <c r="U1506" s="67"/>
      <c r="V1506" s="95">
        <v>42978</v>
      </c>
      <c r="W1506" s="92">
        <v>5114737</v>
      </c>
      <c r="X1506" s="90"/>
      <c r="Y1506" s="123"/>
      <c r="Z1506" s="30">
        <f t="shared" si="46"/>
        <v>6763.7822038320437</v>
      </c>
      <c r="AA1506" s="30">
        <f t="shared" si="47"/>
        <v>2113.6819386975139</v>
      </c>
      <c r="AB1506" t="s">
        <v>457</v>
      </c>
    </row>
    <row r="1507" spans="1:28">
      <c r="A1507" s="67" t="s">
        <v>118</v>
      </c>
      <c r="B1507" s="91">
        <v>1280167</v>
      </c>
      <c r="C1507" s="92">
        <v>4615442051</v>
      </c>
      <c r="D1507" s="93">
        <v>19175</v>
      </c>
      <c r="E1507" s="79"/>
      <c r="F1507" s="91">
        <v>10</v>
      </c>
      <c r="G1507" s="91">
        <v>0</v>
      </c>
      <c r="H1507" s="91">
        <v>0</v>
      </c>
      <c r="I1507" s="91">
        <v>0</v>
      </c>
      <c r="J1507" s="71">
        <v>43009</v>
      </c>
      <c r="K1507" s="71">
        <v>43008</v>
      </c>
      <c r="L1507" s="69" t="s">
        <v>119</v>
      </c>
      <c r="M1507" s="69" t="s">
        <v>109</v>
      </c>
      <c r="N1507" s="95">
        <v>43121</v>
      </c>
      <c r="O1507" s="67"/>
      <c r="P1507" s="67" t="s">
        <v>95</v>
      </c>
      <c r="Q1507" s="67" t="s">
        <v>120</v>
      </c>
      <c r="R1507" s="92" t="s">
        <v>69</v>
      </c>
      <c r="S1507" s="92" t="s">
        <v>121</v>
      </c>
      <c r="T1507" s="67"/>
      <c r="U1507" s="67"/>
      <c r="V1507" s="95">
        <v>43008</v>
      </c>
      <c r="W1507" s="92">
        <v>2028203</v>
      </c>
      <c r="X1507" s="90"/>
      <c r="Y1507" s="123"/>
      <c r="Z1507" s="30">
        <f t="shared" si="46"/>
        <v>4227.3638773950279</v>
      </c>
      <c r="AA1507" s="30">
        <f t="shared" si="47"/>
        <v>0</v>
      </c>
      <c r="AB1507" t="s">
        <v>456</v>
      </c>
    </row>
    <row r="1508" spans="1:28">
      <c r="A1508" s="67" t="s">
        <v>118</v>
      </c>
      <c r="B1508" s="91">
        <v>1280168</v>
      </c>
      <c r="C1508" s="92">
        <v>4615442051</v>
      </c>
      <c r="D1508" s="93">
        <v>19175</v>
      </c>
      <c r="E1508" s="79"/>
      <c r="F1508" s="91">
        <v>10</v>
      </c>
      <c r="G1508" s="91">
        <v>0</v>
      </c>
      <c r="H1508" s="91">
        <v>0</v>
      </c>
      <c r="I1508" s="91">
        <v>0</v>
      </c>
      <c r="J1508" s="71">
        <v>43009</v>
      </c>
      <c r="K1508" s="71">
        <v>43008</v>
      </c>
      <c r="L1508" s="69" t="s">
        <v>119</v>
      </c>
      <c r="M1508" s="69" t="s">
        <v>109</v>
      </c>
      <c r="N1508" s="95">
        <v>43103</v>
      </c>
      <c r="O1508" s="67"/>
      <c r="P1508" s="67" t="s">
        <v>95</v>
      </c>
      <c r="Q1508" s="67" t="s">
        <v>120</v>
      </c>
      <c r="R1508" s="92" t="s">
        <v>69</v>
      </c>
      <c r="S1508" s="92" t="s">
        <v>121</v>
      </c>
      <c r="T1508" s="67"/>
      <c r="U1508" s="67"/>
      <c r="V1508" s="95">
        <v>43008</v>
      </c>
      <c r="W1508" s="92">
        <v>2028203</v>
      </c>
      <c r="X1508" s="90"/>
      <c r="Y1508" s="123"/>
      <c r="Z1508" s="30">
        <f t="shared" si="46"/>
        <v>4227.3638773950279</v>
      </c>
      <c r="AA1508" s="30">
        <f t="shared" si="47"/>
        <v>0</v>
      </c>
      <c r="AB1508" t="s">
        <v>456</v>
      </c>
    </row>
    <row r="1509" spans="1:28">
      <c r="A1509" s="67" t="s">
        <v>118</v>
      </c>
      <c r="B1509" s="91">
        <v>1280165</v>
      </c>
      <c r="C1509" s="92">
        <v>4615442051</v>
      </c>
      <c r="D1509" s="93">
        <v>19175</v>
      </c>
      <c r="E1509" s="79"/>
      <c r="F1509" s="91">
        <v>10</v>
      </c>
      <c r="G1509" s="91">
        <v>0</v>
      </c>
      <c r="H1509" s="94">
        <v>0</v>
      </c>
      <c r="I1509" s="91">
        <v>0</v>
      </c>
      <c r="J1509" s="71">
        <v>43009</v>
      </c>
      <c r="K1509" s="71">
        <v>43008</v>
      </c>
      <c r="L1509" s="69" t="s">
        <v>119</v>
      </c>
      <c r="M1509" s="69" t="s">
        <v>109</v>
      </c>
      <c r="N1509" s="95">
        <v>43114</v>
      </c>
      <c r="O1509" s="67"/>
      <c r="P1509" s="67" t="s">
        <v>95</v>
      </c>
      <c r="Q1509" s="67" t="s">
        <v>120</v>
      </c>
      <c r="R1509" s="92" t="s">
        <v>69</v>
      </c>
      <c r="S1509" s="92" t="s">
        <v>121</v>
      </c>
      <c r="T1509" s="67"/>
      <c r="U1509" s="67"/>
      <c r="V1509" s="95">
        <v>43008</v>
      </c>
      <c r="W1509" s="92">
        <v>2028203</v>
      </c>
      <c r="X1509" s="90"/>
      <c r="Y1509" s="123"/>
      <c r="Z1509" s="30">
        <f t="shared" si="46"/>
        <v>4227.3638773950279</v>
      </c>
      <c r="AA1509" s="30">
        <f t="shared" si="47"/>
        <v>0</v>
      </c>
      <c r="AB1509" t="s">
        <v>456</v>
      </c>
    </row>
    <row r="1510" spans="1:28">
      <c r="A1510" s="67" t="s">
        <v>122</v>
      </c>
      <c r="B1510" s="91">
        <v>1278494</v>
      </c>
      <c r="C1510" s="92">
        <v>4615400793</v>
      </c>
      <c r="D1510" s="93">
        <v>19200</v>
      </c>
      <c r="E1510" s="79"/>
      <c r="F1510" s="91">
        <v>16</v>
      </c>
      <c r="G1510" s="96">
        <v>5</v>
      </c>
      <c r="H1510" s="94">
        <v>0</v>
      </c>
      <c r="I1510" s="91">
        <v>0</v>
      </c>
      <c r="J1510" s="71">
        <v>42982</v>
      </c>
      <c r="K1510" s="71">
        <v>43008</v>
      </c>
      <c r="L1510" s="69" t="s">
        <v>119</v>
      </c>
      <c r="M1510" s="69" t="s">
        <v>109</v>
      </c>
      <c r="N1510" s="95">
        <v>43107</v>
      </c>
      <c r="O1510" s="67"/>
      <c r="P1510" s="67" t="s">
        <v>95</v>
      </c>
      <c r="Q1510" s="67" t="s">
        <v>120</v>
      </c>
      <c r="R1510" s="92" t="s">
        <v>69</v>
      </c>
      <c r="S1510" s="92" t="s">
        <v>123</v>
      </c>
      <c r="T1510" s="67"/>
      <c r="U1510" s="67"/>
      <c r="V1510" s="95">
        <v>43008</v>
      </c>
      <c r="W1510" s="92">
        <v>2025786</v>
      </c>
      <c r="X1510" s="90" t="s">
        <v>127</v>
      </c>
      <c r="Y1510" s="123"/>
      <c r="Z1510" s="30">
        <f t="shared" si="46"/>
        <v>6772.6006943194379</v>
      </c>
      <c r="AA1510" s="30">
        <f t="shared" si="47"/>
        <v>2116.4377169748245</v>
      </c>
      <c r="AB1510" t="s">
        <v>456</v>
      </c>
    </row>
    <row r="1511" spans="1:28">
      <c r="A1511" s="67" t="s">
        <v>122</v>
      </c>
      <c r="B1511" s="91">
        <v>1278497</v>
      </c>
      <c r="C1511" s="92">
        <v>4615400793</v>
      </c>
      <c r="D1511" s="93">
        <v>19200</v>
      </c>
      <c r="E1511" s="79"/>
      <c r="F1511" s="91">
        <v>16</v>
      </c>
      <c r="G1511" s="96">
        <v>5</v>
      </c>
      <c r="H1511" s="94">
        <v>0</v>
      </c>
      <c r="I1511" s="91">
        <v>0</v>
      </c>
      <c r="J1511" s="71">
        <v>42982</v>
      </c>
      <c r="K1511" s="71">
        <v>43008</v>
      </c>
      <c r="L1511" s="69" t="s">
        <v>119</v>
      </c>
      <c r="M1511" s="69" t="s">
        <v>109</v>
      </c>
      <c r="N1511" s="95">
        <v>43104</v>
      </c>
      <c r="O1511" s="67"/>
      <c r="P1511" s="67" t="s">
        <v>95</v>
      </c>
      <c r="Q1511" s="67" t="s">
        <v>120</v>
      </c>
      <c r="R1511" s="92" t="s">
        <v>69</v>
      </c>
      <c r="S1511" s="92" t="s">
        <v>123</v>
      </c>
      <c r="T1511" s="67"/>
      <c r="U1511" s="67"/>
      <c r="V1511" s="95">
        <v>43008</v>
      </c>
      <c r="W1511" s="92">
        <v>2025786</v>
      </c>
      <c r="X1511" s="90" t="s">
        <v>127</v>
      </c>
      <c r="Y1511" s="123"/>
      <c r="Z1511" s="30">
        <f t="shared" si="46"/>
        <v>6772.6006943194379</v>
      </c>
      <c r="AA1511" s="30">
        <f t="shared" si="47"/>
        <v>2116.4377169748245</v>
      </c>
      <c r="AB1511" t="s">
        <v>456</v>
      </c>
    </row>
    <row r="1512" spans="1:28">
      <c r="A1512" s="67" t="s">
        <v>122</v>
      </c>
      <c r="B1512" s="91">
        <v>1278492</v>
      </c>
      <c r="C1512" s="92">
        <v>4615400793</v>
      </c>
      <c r="D1512" s="93">
        <v>19200</v>
      </c>
      <c r="E1512" s="79"/>
      <c r="F1512" s="91">
        <v>16</v>
      </c>
      <c r="G1512" s="96">
        <v>5</v>
      </c>
      <c r="H1512" s="94">
        <v>0</v>
      </c>
      <c r="I1512" s="91">
        <v>0</v>
      </c>
      <c r="J1512" s="71">
        <v>42982</v>
      </c>
      <c r="K1512" s="71">
        <v>43008</v>
      </c>
      <c r="L1512" s="69" t="s">
        <v>119</v>
      </c>
      <c r="M1512" s="69" t="s">
        <v>109</v>
      </c>
      <c r="N1512" s="95">
        <v>43103</v>
      </c>
      <c r="O1512" s="67"/>
      <c r="P1512" s="67" t="s">
        <v>95</v>
      </c>
      <c r="Q1512" s="67" t="s">
        <v>120</v>
      </c>
      <c r="R1512" s="92" t="s">
        <v>69</v>
      </c>
      <c r="S1512" s="92" t="s">
        <v>123</v>
      </c>
      <c r="T1512" s="67"/>
      <c r="U1512" s="67"/>
      <c r="V1512" s="95">
        <v>43008</v>
      </c>
      <c r="W1512" s="92">
        <v>2025786</v>
      </c>
      <c r="X1512" s="90" t="s">
        <v>127</v>
      </c>
      <c r="Y1512" s="123"/>
      <c r="Z1512" s="30">
        <f t="shared" si="46"/>
        <v>6772.6006943194379</v>
      </c>
      <c r="AA1512" s="30">
        <f t="shared" si="47"/>
        <v>2116.4377169748245</v>
      </c>
      <c r="AB1512" t="s">
        <v>456</v>
      </c>
    </row>
    <row r="1513" spans="1:28">
      <c r="A1513" s="67" t="s">
        <v>122</v>
      </c>
      <c r="B1513" s="91">
        <v>1278493</v>
      </c>
      <c r="C1513" s="92">
        <v>4615400793</v>
      </c>
      <c r="D1513" s="93">
        <v>19200</v>
      </c>
      <c r="E1513" s="79"/>
      <c r="F1513" s="91">
        <v>16</v>
      </c>
      <c r="G1513" s="96">
        <v>5</v>
      </c>
      <c r="H1513" s="94">
        <v>0</v>
      </c>
      <c r="I1513" s="91">
        <v>0</v>
      </c>
      <c r="J1513" s="71">
        <v>42982</v>
      </c>
      <c r="K1513" s="71">
        <v>43008</v>
      </c>
      <c r="L1513" s="69" t="s">
        <v>119</v>
      </c>
      <c r="M1513" s="69" t="s">
        <v>109</v>
      </c>
      <c r="N1513" s="95">
        <v>43107</v>
      </c>
      <c r="O1513" s="67"/>
      <c r="P1513" s="67" t="s">
        <v>95</v>
      </c>
      <c r="Q1513" s="67" t="s">
        <v>120</v>
      </c>
      <c r="R1513" s="92" t="s">
        <v>69</v>
      </c>
      <c r="S1513" s="92" t="s">
        <v>123</v>
      </c>
      <c r="T1513" s="67"/>
      <c r="U1513" s="67"/>
      <c r="V1513" s="95">
        <v>43008</v>
      </c>
      <c r="W1513" s="92">
        <v>2025786</v>
      </c>
      <c r="X1513" s="90"/>
      <c r="Y1513" s="123"/>
      <c r="Z1513" s="30">
        <f t="shared" si="46"/>
        <v>6772.6006943194379</v>
      </c>
      <c r="AA1513" s="30">
        <f t="shared" si="47"/>
        <v>2116.4377169748245</v>
      </c>
      <c r="AB1513" t="s">
        <v>456</v>
      </c>
    </row>
    <row r="1514" spans="1:28">
      <c r="A1514" s="67" t="s">
        <v>122</v>
      </c>
      <c r="B1514" s="91">
        <v>1278489</v>
      </c>
      <c r="C1514" s="92">
        <v>4615400793</v>
      </c>
      <c r="D1514" s="93">
        <v>19200</v>
      </c>
      <c r="E1514" s="79"/>
      <c r="F1514" s="91">
        <v>16</v>
      </c>
      <c r="G1514" s="96">
        <v>5</v>
      </c>
      <c r="H1514" s="94">
        <v>0</v>
      </c>
      <c r="I1514" s="91">
        <v>0</v>
      </c>
      <c r="J1514" s="71">
        <v>42982</v>
      </c>
      <c r="K1514" s="71">
        <v>43008</v>
      </c>
      <c r="L1514" s="69" t="s">
        <v>119</v>
      </c>
      <c r="M1514" s="69" t="s">
        <v>109</v>
      </c>
      <c r="N1514" s="95">
        <v>43103</v>
      </c>
      <c r="O1514" s="67"/>
      <c r="P1514" s="67" t="s">
        <v>95</v>
      </c>
      <c r="Q1514" s="67" t="s">
        <v>120</v>
      </c>
      <c r="R1514" s="92" t="s">
        <v>69</v>
      </c>
      <c r="S1514" s="92" t="s">
        <v>123</v>
      </c>
      <c r="T1514" s="67"/>
      <c r="U1514" s="67"/>
      <c r="V1514" s="95">
        <v>43008</v>
      </c>
      <c r="W1514" s="92">
        <v>2025786</v>
      </c>
      <c r="X1514" s="90"/>
      <c r="Y1514" s="123"/>
      <c r="Z1514" s="30">
        <f t="shared" si="46"/>
        <v>6772.6006943194379</v>
      </c>
      <c r="AA1514" s="30">
        <f t="shared" si="47"/>
        <v>2116.4377169748245</v>
      </c>
      <c r="AB1514" t="s">
        <v>456</v>
      </c>
    </row>
    <row r="1515" spans="1:28">
      <c r="A1515" s="67" t="s">
        <v>122</v>
      </c>
      <c r="B1515" s="91">
        <v>1278488</v>
      </c>
      <c r="C1515" s="92">
        <v>4615400793</v>
      </c>
      <c r="D1515" s="93">
        <v>19200</v>
      </c>
      <c r="E1515" s="79"/>
      <c r="F1515" s="91">
        <v>16</v>
      </c>
      <c r="G1515" s="96">
        <v>5</v>
      </c>
      <c r="H1515" s="94">
        <v>0</v>
      </c>
      <c r="I1515" s="91">
        <v>0</v>
      </c>
      <c r="J1515" s="71">
        <v>42982</v>
      </c>
      <c r="K1515" s="71">
        <v>43008</v>
      </c>
      <c r="L1515" s="69" t="s">
        <v>119</v>
      </c>
      <c r="M1515" s="69" t="s">
        <v>109</v>
      </c>
      <c r="N1515" s="95">
        <v>43107</v>
      </c>
      <c r="O1515" s="67"/>
      <c r="P1515" s="67" t="s">
        <v>95</v>
      </c>
      <c r="Q1515" s="67" t="s">
        <v>120</v>
      </c>
      <c r="R1515" s="92" t="s">
        <v>69</v>
      </c>
      <c r="S1515" s="92" t="s">
        <v>123</v>
      </c>
      <c r="T1515" s="67"/>
      <c r="U1515" s="67"/>
      <c r="V1515" s="95">
        <v>43008</v>
      </c>
      <c r="W1515" s="92">
        <v>2025786</v>
      </c>
      <c r="X1515" s="90"/>
      <c r="Y1515" s="123"/>
      <c r="Z1515" s="30">
        <f t="shared" si="46"/>
        <v>6772.6006943194379</v>
      </c>
      <c r="AA1515" s="30">
        <f t="shared" si="47"/>
        <v>2116.4377169748245</v>
      </c>
      <c r="AB1515" t="s">
        <v>456</v>
      </c>
    </row>
    <row r="1516" spans="1:28">
      <c r="A1516" s="67" t="s">
        <v>122</v>
      </c>
      <c r="B1516" s="91">
        <v>1280878</v>
      </c>
      <c r="C1516" s="92">
        <v>4615412369</v>
      </c>
      <c r="D1516" s="93">
        <v>19200</v>
      </c>
      <c r="E1516" s="79"/>
      <c r="F1516" s="91">
        <v>16</v>
      </c>
      <c r="G1516" s="96">
        <v>5</v>
      </c>
      <c r="H1516" s="94">
        <v>0</v>
      </c>
      <c r="I1516" s="91">
        <v>0</v>
      </c>
      <c r="J1516" s="71">
        <v>42982</v>
      </c>
      <c r="K1516" s="71">
        <v>43008</v>
      </c>
      <c r="L1516" s="69" t="s">
        <v>119</v>
      </c>
      <c r="M1516" s="69" t="s">
        <v>109</v>
      </c>
      <c r="N1516" s="95">
        <v>43137</v>
      </c>
      <c r="O1516" s="67"/>
      <c r="P1516" s="67" t="s">
        <v>95</v>
      </c>
      <c r="Q1516" s="67" t="s">
        <v>120</v>
      </c>
      <c r="R1516" s="92" t="s">
        <v>69</v>
      </c>
      <c r="S1516" s="92" t="s">
        <v>123</v>
      </c>
      <c r="T1516" s="67"/>
      <c r="U1516" s="67"/>
      <c r="V1516" s="95">
        <v>43008</v>
      </c>
      <c r="W1516" s="92">
        <v>2025769</v>
      </c>
      <c r="X1516" s="90"/>
      <c r="Y1516" s="123"/>
      <c r="Z1516" s="30">
        <f t="shared" si="46"/>
        <v>6772.6006943194379</v>
      </c>
      <c r="AA1516" s="30">
        <f t="shared" si="47"/>
        <v>2116.4377169748245</v>
      </c>
      <c r="AB1516" t="s">
        <v>456</v>
      </c>
    </row>
    <row r="1517" spans="1:28">
      <c r="A1517" s="67" t="s">
        <v>113</v>
      </c>
      <c r="B1517" s="91">
        <v>1297759</v>
      </c>
      <c r="C1517" s="92">
        <v>4615451488</v>
      </c>
      <c r="D1517" s="93">
        <v>19175</v>
      </c>
      <c r="E1517" s="79"/>
      <c r="F1517" s="91">
        <v>16</v>
      </c>
      <c r="G1517" s="91" t="s">
        <v>114</v>
      </c>
      <c r="H1517" s="94">
        <v>0</v>
      </c>
      <c r="I1517" s="91">
        <v>0</v>
      </c>
      <c r="J1517" s="71"/>
      <c r="K1517" s="71">
        <v>43008</v>
      </c>
      <c r="L1517" s="69" t="s">
        <v>80</v>
      </c>
      <c r="M1517" s="69" t="s">
        <v>109</v>
      </c>
      <c r="N1517" s="95">
        <v>43138</v>
      </c>
      <c r="O1517" s="67"/>
      <c r="P1517" s="67" t="s">
        <v>95</v>
      </c>
      <c r="Q1517" s="67" t="s">
        <v>110</v>
      </c>
      <c r="R1517" s="92" t="s">
        <v>69</v>
      </c>
      <c r="S1517" s="92" t="s">
        <v>115</v>
      </c>
      <c r="T1517" s="67"/>
      <c r="U1517" s="67"/>
      <c r="V1517" s="95">
        <v>43008</v>
      </c>
      <c r="W1517" s="92" t="s">
        <v>172</v>
      </c>
      <c r="X1517" s="90" t="s">
        <v>287</v>
      </c>
      <c r="Y1517" s="123"/>
      <c r="Z1517" s="30">
        <f t="shared" si="46"/>
        <v>6763.7822038320437</v>
      </c>
      <c r="AA1517" s="30">
        <f t="shared" si="47"/>
        <v>0</v>
      </c>
      <c r="AB1517" t="s">
        <v>456</v>
      </c>
    </row>
    <row r="1518" spans="1:28">
      <c r="A1518" s="67" t="s">
        <v>113</v>
      </c>
      <c r="B1518" s="91">
        <v>1282080</v>
      </c>
      <c r="C1518" s="92">
        <v>4615409969</v>
      </c>
      <c r="D1518" s="93">
        <v>20700</v>
      </c>
      <c r="E1518" s="79"/>
      <c r="F1518" s="91">
        <v>16</v>
      </c>
      <c r="G1518" s="91" t="s">
        <v>114</v>
      </c>
      <c r="H1518" s="91">
        <v>0</v>
      </c>
      <c r="I1518" s="91">
        <v>0</v>
      </c>
      <c r="J1518" s="71">
        <v>43025</v>
      </c>
      <c r="K1518" s="71">
        <v>43008</v>
      </c>
      <c r="L1518" s="69" t="s">
        <v>108</v>
      </c>
      <c r="M1518" s="69" t="s">
        <v>109</v>
      </c>
      <c r="N1518" s="95">
        <v>43121</v>
      </c>
      <c r="O1518" s="67"/>
      <c r="P1518" s="67" t="s">
        <v>95</v>
      </c>
      <c r="Q1518" s="67" t="s">
        <v>110</v>
      </c>
      <c r="R1518" s="92" t="s">
        <v>69</v>
      </c>
      <c r="S1518" s="92" t="s">
        <v>115</v>
      </c>
      <c r="T1518" s="67"/>
      <c r="U1518" s="67"/>
      <c r="V1518" s="95">
        <v>43008</v>
      </c>
      <c r="W1518" s="92" t="s">
        <v>126</v>
      </c>
      <c r="X1518" s="90" t="s">
        <v>117</v>
      </c>
      <c r="Y1518" s="123"/>
      <c r="Z1518" s="30">
        <f t="shared" si="46"/>
        <v>7301.7101235631453</v>
      </c>
      <c r="AA1518" s="30">
        <f t="shared" si="47"/>
        <v>0</v>
      </c>
      <c r="AB1518" t="s">
        <v>456</v>
      </c>
    </row>
    <row r="1519" spans="1:28">
      <c r="A1519" s="67" t="s">
        <v>118</v>
      </c>
      <c r="B1519" s="91">
        <v>1290693</v>
      </c>
      <c r="C1519" s="92">
        <v>4615432807</v>
      </c>
      <c r="D1519" s="93">
        <v>19175</v>
      </c>
      <c r="E1519" s="79"/>
      <c r="F1519" s="91">
        <v>10</v>
      </c>
      <c r="G1519" s="96">
        <v>5</v>
      </c>
      <c r="H1519" s="91">
        <v>0</v>
      </c>
      <c r="I1519" s="91">
        <v>0</v>
      </c>
      <c r="J1519" s="71">
        <v>43016</v>
      </c>
      <c r="K1519" s="71">
        <v>43039</v>
      </c>
      <c r="L1519" s="69" t="s">
        <v>119</v>
      </c>
      <c r="M1519" s="69" t="s">
        <v>109</v>
      </c>
      <c r="N1519" s="95">
        <v>43117</v>
      </c>
      <c r="O1519" s="67"/>
      <c r="P1519" s="67" t="s">
        <v>95</v>
      </c>
      <c r="Q1519" s="67" t="s">
        <v>120</v>
      </c>
      <c r="R1519" s="92" t="s">
        <v>69</v>
      </c>
      <c r="S1519" s="92" t="s">
        <v>121</v>
      </c>
      <c r="T1519" s="67"/>
      <c r="U1519" s="67"/>
      <c r="V1519" s="95">
        <v>43039</v>
      </c>
      <c r="W1519" s="92">
        <v>2028207</v>
      </c>
      <c r="X1519" s="90"/>
      <c r="Y1519" s="123"/>
      <c r="Z1519" s="30">
        <f t="shared" si="46"/>
        <v>4227.3638773950279</v>
      </c>
      <c r="AA1519" s="30">
        <f t="shared" si="47"/>
        <v>2113.6819386975139</v>
      </c>
      <c r="AB1519" t="s">
        <v>456</v>
      </c>
    </row>
    <row r="1520" spans="1:28">
      <c r="A1520" s="67" t="s">
        <v>118</v>
      </c>
      <c r="B1520" s="91">
        <v>1290695</v>
      </c>
      <c r="C1520" s="92">
        <v>4615432807</v>
      </c>
      <c r="D1520" s="93">
        <v>19175</v>
      </c>
      <c r="E1520" s="79"/>
      <c r="F1520" s="91">
        <v>10</v>
      </c>
      <c r="G1520" s="96">
        <v>5</v>
      </c>
      <c r="H1520" s="94">
        <v>0</v>
      </c>
      <c r="I1520" s="91">
        <v>0</v>
      </c>
      <c r="J1520" s="71">
        <v>43016</v>
      </c>
      <c r="K1520" s="71">
        <v>43039</v>
      </c>
      <c r="L1520" s="69" t="s">
        <v>119</v>
      </c>
      <c r="M1520" s="69" t="s">
        <v>109</v>
      </c>
      <c r="N1520" s="95">
        <v>43107</v>
      </c>
      <c r="O1520" s="67"/>
      <c r="P1520" s="67" t="s">
        <v>95</v>
      </c>
      <c r="Q1520" s="67" t="s">
        <v>120</v>
      </c>
      <c r="R1520" s="92" t="s">
        <v>69</v>
      </c>
      <c r="S1520" s="92" t="s">
        <v>121</v>
      </c>
      <c r="T1520" s="67"/>
      <c r="U1520" s="67"/>
      <c r="V1520" s="95">
        <v>43039</v>
      </c>
      <c r="W1520" s="92">
        <v>2028207</v>
      </c>
      <c r="X1520" s="90"/>
      <c r="Y1520" s="123"/>
      <c r="Z1520" s="30">
        <f t="shared" si="46"/>
        <v>4227.3638773950279</v>
      </c>
      <c r="AA1520" s="30">
        <f t="shared" si="47"/>
        <v>2113.6819386975139</v>
      </c>
      <c r="AB1520" t="s">
        <v>456</v>
      </c>
    </row>
    <row r="1521" spans="1:28">
      <c r="A1521" s="67" t="s">
        <v>118</v>
      </c>
      <c r="B1521" s="91">
        <v>1290694</v>
      </c>
      <c r="C1521" s="92">
        <v>4615432807</v>
      </c>
      <c r="D1521" s="93">
        <v>19175</v>
      </c>
      <c r="E1521" s="79"/>
      <c r="F1521" s="91">
        <v>10</v>
      </c>
      <c r="G1521" s="96">
        <v>5</v>
      </c>
      <c r="H1521" s="94">
        <v>0</v>
      </c>
      <c r="I1521" s="91">
        <v>0</v>
      </c>
      <c r="J1521" s="71">
        <v>43016</v>
      </c>
      <c r="K1521" s="71">
        <v>43039</v>
      </c>
      <c r="L1521" s="69" t="s">
        <v>119</v>
      </c>
      <c r="M1521" s="69" t="s">
        <v>109</v>
      </c>
      <c r="N1521" s="95">
        <v>43109</v>
      </c>
      <c r="O1521" s="67"/>
      <c r="P1521" s="67" t="s">
        <v>95</v>
      </c>
      <c r="Q1521" s="67" t="s">
        <v>120</v>
      </c>
      <c r="R1521" s="92" t="s">
        <v>69</v>
      </c>
      <c r="S1521" s="92" t="s">
        <v>121</v>
      </c>
      <c r="T1521" s="67"/>
      <c r="U1521" s="67"/>
      <c r="V1521" s="95">
        <v>43039</v>
      </c>
      <c r="W1521" s="92">
        <v>2028207</v>
      </c>
      <c r="X1521" s="90"/>
      <c r="Y1521" s="123"/>
      <c r="Z1521" s="30">
        <f t="shared" si="46"/>
        <v>4227.3638773950279</v>
      </c>
      <c r="AA1521" s="30">
        <f t="shared" si="47"/>
        <v>2113.6819386975139</v>
      </c>
      <c r="AB1521" t="s">
        <v>456</v>
      </c>
    </row>
    <row r="1522" spans="1:28">
      <c r="A1522" s="67" t="s">
        <v>122</v>
      </c>
      <c r="B1522" s="91">
        <v>1290290</v>
      </c>
      <c r="C1522" s="92">
        <v>4615399927</v>
      </c>
      <c r="D1522" s="93">
        <v>19200</v>
      </c>
      <c r="E1522" s="79"/>
      <c r="F1522" s="91">
        <v>16</v>
      </c>
      <c r="G1522" s="96">
        <v>5</v>
      </c>
      <c r="H1522" s="91">
        <v>0</v>
      </c>
      <c r="I1522" s="91">
        <v>0</v>
      </c>
      <c r="J1522" s="71">
        <v>43009</v>
      </c>
      <c r="K1522" s="71">
        <v>43039</v>
      </c>
      <c r="L1522" s="69" t="s">
        <v>119</v>
      </c>
      <c r="M1522" s="69" t="s">
        <v>109</v>
      </c>
      <c r="N1522" s="95">
        <v>43114</v>
      </c>
      <c r="O1522" s="67"/>
      <c r="P1522" s="67" t="s">
        <v>95</v>
      </c>
      <c r="Q1522" s="67" t="s">
        <v>120</v>
      </c>
      <c r="R1522" s="92" t="s">
        <v>69</v>
      </c>
      <c r="S1522" s="92" t="s">
        <v>123</v>
      </c>
      <c r="T1522" s="67"/>
      <c r="U1522" s="67"/>
      <c r="V1522" s="95">
        <v>43039</v>
      </c>
      <c r="W1522" s="92">
        <v>2025787</v>
      </c>
      <c r="X1522" s="90"/>
      <c r="Y1522" s="123"/>
      <c r="Z1522" s="30">
        <f t="shared" si="46"/>
        <v>6772.6006943194379</v>
      </c>
      <c r="AA1522" s="30">
        <f t="shared" si="47"/>
        <v>2116.4377169748245</v>
      </c>
      <c r="AB1522" t="s">
        <v>456</v>
      </c>
    </row>
    <row r="1523" spans="1:28">
      <c r="A1523" s="67" t="s">
        <v>122</v>
      </c>
      <c r="B1523" s="91">
        <v>1290291</v>
      </c>
      <c r="C1523" s="92">
        <v>4615399927</v>
      </c>
      <c r="D1523" s="93">
        <v>19200</v>
      </c>
      <c r="E1523" s="79"/>
      <c r="F1523" s="91">
        <v>16</v>
      </c>
      <c r="G1523" s="96">
        <v>5</v>
      </c>
      <c r="H1523" s="91">
        <v>0</v>
      </c>
      <c r="I1523" s="91">
        <v>0</v>
      </c>
      <c r="J1523" s="71">
        <v>43009</v>
      </c>
      <c r="K1523" s="71">
        <v>43039</v>
      </c>
      <c r="L1523" s="69" t="s">
        <v>119</v>
      </c>
      <c r="M1523" s="69" t="s">
        <v>109</v>
      </c>
      <c r="N1523" s="95">
        <v>43114</v>
      </c>
      <c r="O1523" s="67"/>
      <c r="P1523" s="67" t="s">
        <v>95</v>
      </c>
      <c r="Q1523" s="67" t="s">
        <v>120</v>
      </c>
      <c r="R1523" s="92" t="s">
        <v>69</v>
      </c>
      <c r="S1523" s="92" t="s">
        <v>123</v>
      </c>
      <c r="T1523" s="67"/>
      <c r="U1523" s="67"/>
      <c r="V1523" s="95">
        <v>43039</v>
      </c>
      <c r="W1523" s="92">
        <v>2025787</v>
      </c>
      <c r="X1523" s="90"/>
      <c r="Y1523" s="123"/>
      <c r="Z1523" s="30">
        <f t="shared" si="46"/>
        <v>6772.6006943194379</v>
      </c>
      <c r="AA1523" s="30">
        <f t="shared" si="47"/>
        <v>2116.4377169748245</v>
      </c>
      <c r="AB1523" t="s">
        <v>456</v>
      </c>
    </row>
    <row r="1524" spans="1:28">
      <c r="A1524" s="67" t="s">
        <v>122</v>
      </c>
      <c r="B1524" s="91">
        <v>1290288</v>
      </c>
      <c r="C1524" s="92">
        <v>4615399927</v>
      </c>
      <c r="D1524" s="93">
        <v>19200</v>
      </c>
      <c r="E1524" s="79"/>
      <c r="F1524" s="91">
        <v>16</v>
      </c>
      <c r="G1524" s="96">
        <v>5</v>
      </c>
      <c r="H1524" s="91">
        <v>0</v>
      </c>
      <c r="I1524" s="91">
        <v>0</v>
      </c>
      <c r="J1524" s="71">
        <v>43009</v>
      </c>
      <c r="K1524" s="71">
        <v>43039</v>
      </c>
      <c r="L1524" s="69" t="s">
        <v>119</v>
      </c>
      <c r="M1524" s="69" t="s">
        <v>109</v>
      </c>
      <c r="N1524" s="95">
        <v>43111</v>
      </c>
      <c r="O1524" s="67"/>
      <c r="P1524" s="67" t="s">
        <v>95</v>
      </c>
      <c r="Q1524" s="67" t="s">
        <v>120</v>
      </c>
      <c r="R1524" s="92" t="s">
        <v>69</v>
      </c>
      <c r="S1524" s="92" t="s">
        <v>123</v>
      </c>
      <c r="T1524" s="67"/>
      <c r="U1524" s="67"/>
      <c r="V1524" s="95">
        <v>43039</v>
      </c>
      <c r="W1524" s="92">
        <v>2025787</v>
      </c>
      <c r="X1524" s="90"/>
      <c r="Y1524" s="123"/>
      <c r="Z1524" s="30">
        <f t="shared" si="46"/>
        <v>6772.6006943194379</v>
      </c>
      <c r="AA1524" s="30">
        <f t="shared" si="47"/>
        <v>2116.4377169748245</v>
      </c>
      <c r="AB1524" t="s">
        <v>456</v>
      </c>
    </row>
    <row r="1525" spans="1:28">
      <c r="A1525" s="67" t="s">
        <v>122</v>
      </c>
      <c r="B1525" s="91">
        <v>1290296</v>
      </c>
      <c r="C1525" s="92">
        <v>4615399927</v>
      </c>
      <c r="D1525" s="93">
        <v>19200</v>
      </c>
      <c r="E1525" s="79"/>
      <c r="F1525" s="91">
        <v>16</v>
      </c>
      <c r="G1525" s="96">
        <v>5</v>
      </c>
      <c r="H1525" s="91">
        <v>0</v>
      </c>
      <c r="I1525" s="91">
        <v>0</v>
      </c>
      <c r="J1525" s="71">
        <v>43009</v>
      </c>
      <c r="K1525" s="71">
        <v>43039</v>
      </c>
      <c r="L1525" s="69" t="s">
        <v>119</v>
      </c>
      <c r="M1525" s="69" t="s">
        <v>109</v>
      </c>
      <c r="N1525" s="95">
        <v>43108</v>
      </c>
      <c r="O1525" s="67"/>
      <c r="P1525" s="67" t="s">
        <v>95</v>
      </c>
      <c r="Q1525" s="67" t="s">
        <v>120</v>
      </c>
      <c r="R1525" s="92" t="s">
        <v>69</v>
      </c>
      <c r="S1525" s="92" t="s">
        <v>123</v>
      </c>
      <c r="T1525" s="67"/>
      <c r="U1525" s="67"/>
      <c r="V1525" s="95">
        <v>43039</v>
      </c>
      <c r="W1525" s="92">
        <v>2025787</v>
      </c>
      <c r="X1525" s="90"/>
      <c r="Y1525" s="123"/>
      <c r="Z1525" s="30">
        <f t="shared" si="46"/>
        <v>6772.6006943194379</v>
      </c>
      <c r="AA1525" s="30">
        <f t="shared" si="47"/>
        <v>2116.4377169748245</v>
      </c>
      <c r="AB1525" t="s">
        <v>456</v>
      </c>
    </row>
    <row r="1526" spans="1:28">
      <c r="A1526" s="67" t="s">
        <v>122</v>
      </c>
      <c r="B1526" s="91">
        <v>1290294</v>
      </c>
      <c r="C1526" s="92">
        <v>4615399927</v>
      </c>
      <c r="D1526" s="93">
        <v>19200</v>
      </c>
      <c r="E1526" s="79"/>
      <c r="F1526" s="91">
        <v>16</v>
      </c>
      <c r="G1526" s="96">
        <v>5</v>
      </c>
      <c r="H1526" s="91">
        <v>0</v>
      </c>
      <c r="I1526" s="91">
        <v>0</v>
      </c>
      <c r="J1526" s="71">
        <v>43009</v>
      </c>
      <c r="K1526" s="71">
        <v>43039</v>
      </c>
      <c r="L1526" s="69" t="s">
        <v>119</v>
      </c>
      <c r="M1526" s="69" t="s">
        <v>109</v>
      </c>
      <c r="N1526" s="95">
        <v>43111</v>
      </c>
      <c r="O1526" s="67"/>
      <c r="P1526" s="67" t="s">
        <v>95</v>
      </c>
      <c r="Q1526" s="67" t="s">
        <v>120</v>
      </c>
      <c r="R1526" s="92" t="s">
        <v>69</v>
      </c>
      <c r="S1526" s="92" t="s">
        <v>123</v>
      </c>
      <c r="T1526" s="67"/>
      <c r="U1526" s="67"/>
      <c r="V1526" s="95">
        <v>43039</v>
      </c>
      <c r="W1526" s="92">
        <v>2025787</v>
      </c>
      <c r="X1526" s="90"/>
      <c r="Y1526" s="123"/>
      <c r="Z1526" s="30">
        <f t="shared" si="46"/>
        <v>6772.6006943194379</v>
      </c>
      <c r="AA1526" s="30">
        <f t="shared" si="47"/>
        <v>2116.4377169748245</v>
      </c>
      <c r="AB1526" t="s">
        <v>456</v>
      </c>
    </row>
    <row r="1527" spans="1:28">
      <c r="A1527" s="67" t="s">
        <v>122</v>
      </c>
      <c r="B1527" s="91">
        <v>1288334</v>
      </c>
      <c r="C1527" s="92">
        <v>4615411564</v>
      </c>
      <c r="D1527" s="93">
        <v>19200</v>
      </c>
      <c r="E1527" s="79"/>
      <c r="F1527" s="91">
        <v>16</v>
      </c>
      <c r="G1527" s="96">
        <v>5</v>
      </c>
      <c r="H1527" s="91">
        <v>0</v>
      </c>
      <c r="I1527" s="91">
        <v>0</v>
      </c>
      <c r="J1527" s="71">
        <v>43016</v>
      </c>
      <c r="K1527" s="71">
        <v>43039</v>
      </c>
      <c r="L1527" s="69" t="s">
        <v>119</v>
      </c>
      <c r="M1527" s="69" t="s">
        <v>109</v>
      </c>
      <c r="N1527" s="95">
        <v>43109</v>
      </c>
      <c r="O1527" s="67"/>
      <c r="P1527" s="67" t="s">
        <v>95</v>
      </c>
      <c r="Q1527" s="67" t="s">
        <v>120</v>
      </c>
      <c r="R1527" s="92" t="s">
        <v>69</v>
      </c>
      <c r="S1527" s="92" t="s">
        <v>123</v>
      </c>
      <c r="T1527" s="67"/>
      <c r="U1527" s="67"/>
      <c r="V1527" s="95">
        <v>43039</v>
      </c>
      <c r="W1527" s="92">
        <v>2025770</v>
      </c>
      <c r="X1527" s="90"/>
      <c r="Y1527" s="123"/>
      <c r="Z1527" s="30">
        <f t="shared" si="46"/>
        <v>6772.6006943194379</v>
      </c>
      <c r="AA1527" s="30">
        <f t="shared" si="47"/>
        <v>2116.4377169748245</v>
      </c>
      <c r="AB1527" t="s">
        <v>456</v>
      </c>
    </row>
    <row r="1528" spans="1:28">
      <c r="A1528" s="67" t="s">
        <v>122</v>
      </c>
      <c r="B1528" s="91">
        <v>1288335</v>
      </c>
      <c r="C1528" s="92">
        <v>4615411564</v>
      </c>
      <c r="D1528" s="93">
        <v>19200</v>
      </c>
      <c r="E1528" s="79"/>
      <c r="F1528" s="91">
        <v>16</v>
      </c>
      <c r="G1528" s="96">
        <v>5</v>
      </c>
      <c r="H1528" s="91">
        <v>0</v>
      </c>
      <c r="I1528" s="91">
        <v>0</v>
      </c>
      <c r="J1528" s="71">
        <v>43016</v>
      </c>
      <c r="K1528" s="71">
        <v>43039</v>
      </c>
      <c r="L1528" s="69" t="s">
        <v>119</v>
      </c>
      <c r="M1528" s="69" t="s">
        <v>109</v>
      </c>
      <c r="N1528" s="95">
        <v>43114</v>
      </c>
      <c r="O1528" s="67"/>
      <c r="P1528" s="67" t="s">
        <v>95</v>
      </c>
      <c r="Q1528" s="67" t="s">
        <v>120</v>
      </c>
      <c r="R1528" s="92" t="s">
        <v>69</v>
      </c>
      <c r="S1528" s="92" t="s">
        <v>123</v>
      </c>
      <c r="T1528" s="67"/>
      <c r="U1528" s="67"/>
      <c r="V1528" s="95">
        <v>43039</v>
      </c>
      <c r="W1528" s="92">
        <v>2025770</v>
      </c>
      <c r="X1528" s="90"/>
      <c r="Y1528" s="123"/>
      <c r="Z1528" s="30">
        <f t="shared" si="46"/>
        <v>6772.6006943194379</v>
      </c>
      <c r="AA1528" s="30">
        <f t="shared" si="47"/>
        <v>2116.4377169748245</v>
      </c>
      <c r="AB1528" t="s">
        <v>456</v>
      </c>
    </row>
    <row r="1529" spans="1:28">
      <c r="A1529" s="67" t="s">
        <v>122</v>
      </c>
      <c r="B1529" s="91">
        <v>1288332</v>
      </c>
      <c r="C1529" s="92">
        <v>4615411564</v>
      </c>
      <c r="D1529" s="93">
        <v>19200</v>
      </c>
      <c r="E1529" s="79"/>
      <c r="F1529" s="91">
        <v>16</v>
      </c>
      <c r="G1529" s="96">
        <v>5</v>
      </c>
      <c r="H1529" s="91">
        <v>0</v>
      </c>
      <c r="I1529" s="91">
        <v>0</v>
      </c>
      <c r="J1529" s="71">
        <v>43016</v>
      </c>
      <c r="K1529" s="71">
        <v>43039</v>
      </c>
      <c r="L1529" s="69" t="s">
        <v>119</v>
      </c>
      <c r="M1529" s="69" t="s">
        <v>109</v>
      </c>
      <c r="N1529" s="95">
        <v>43135</v>
      </c>
      <c r="O1529" s="67"/>
      <c r="P1529" s="67" t="s">
        <v>95</v>
      </c>
      <c r="Q1529" s="67" t="s">
        <v>120</v>
      </c>
      <c r="R1529" s="92" t="s">
        <v>69</v>
      </c>
      <c r="S1529" s="92" t="s">
        <v>123</v>
      </c>
      <c r="T1529" s="67"/>
      <c r="U1529" s="67"/>
      <c r="V1529" s="95">
        <v>43039</v>
      </c>
      <c r="W1529" s="92">
        <v>2025770</v>
      </c>
      <c r="X1529" s="90" t="s">
        <v>288</v>
      </c>
      <c r="Y1529" s="123"/>
      <c r="Z1529" s="30">
        <f t="shared" si="46"/>
        <v>6772.6006943194379</v>
      </c>
      <c r="AA1529" s="30">
        <f t="shared" si="47"/>
        <v>2116.4377169748245</v>
      </c>
      <c r="AB1529" t="s">
        <v>456</v>
      </c>
    </row>
    <row r="1530" spans="1:28">
      <c r="A1530" s="67" t="s">
        <v>122</v>
      </c>
      <c r="B1530" s="91">
        <v>1288329</v>
      </c>
      <c r="C1530" s="92">
        <v>4615411564</v>
      </c>
      <c r="D1530" s="93">
        <v>19200</v>
      </c>
      <c r="E1530" s="79"/>
      <c r="F1530" s="91">
        <v>16</v>
      </c>
      <c r="G1530" s="96">
        <v>5</v>
      </c>
      <c r="H1530" s="91">
        <v>0</v>
      </c>
      <c r="I1530" s="91">
        <v>0</v>
      </c>
      <c r="J1530" s="71">
        <v>43016</v>
      </c>
      <c r="K1530" s="71">
        <v>43039</v>
      </c>
      <c r="L1530" s="69" t="s">
        <v>119</v>
      </c>
      <c r="M1530" s="69" t="s">
        <v>109</v>
      </c>
      <c r="N1530" s="95">
        <v>43114</v>
      </c>
      <c r="O1530" s="67"/>
      <c r="P1530" s="67" t="s">
        <v>95</v>
      </c>
      <c r="Q1530" s="67" t="s">
        <v>120</v>
      </c>
      <c r="R1530" s="92" t="s">
        <v>69</v>
      </c>
      <c r="S1530" s="92" t="s">
        <v>123</v>
      </c>
      <c r="T1530" s="67"/>
      <c r="U1530" s="67"/>
      <c r="V1530" s="95">
        <v>43039</v>
      </c>
      <c r="W1530" s="92">
        <v>2025770</v>
      </c>
      <c r="X1530" s="90"/>
      <c r="Y1530" s="123"/>
      <c r="Z1530" s="30">
        <f t="shared" si="46"/>
        <v>6772.6006943194379</v>
      </c>
      <c r="AA1530" s="30">
        <f t="shared" si="47"/>
        <v>2116.4377169748245</v>
      </c>
      <c r="AB1530" t="s">
        <v>456</v>
      </c>
    </row>
    <row r="1531" spans="1:28">
      <c r="A1531" s="67" t="s">
        <v>122</v>
      </c>
      <c r="B1531" s="91">
        <v>1288331</v>
      </c>
      <c r="C1531" s="92">
        <v>4615411564</v>
      </c>
      <c r="D1531" s="93">
        <v>19200</v>
      </c>
      <c r="E1531" s="79"/>
      <c r="F1531" s="91">
        <v>16</v>
      </c>
      <c r="G1531" s="96">
        <v>5</v>
      </c>
      <c r="H1531" s="91">
        <v>0</v>
      </c>
      <c r="I1531" s="91">
        <v>0</v>
      </c>
      <c r="J1531" s="71">
        <v>43016</v>
      </c>
      <c r="K1531" s="71">
        <v>43039</v>
      </c>
      <c r="L1531" s="69" t="s">
        <v>119</v>
      </c>
      <c r="M1531" s="69" t="s">
        <v>109</v>
      </c>
      <c r="N1531" s="95">
        <v>43114</v>
      </c>
      <c r="O1531" s="67"/>
      <c r="P1531" s="67" t="s">
        <v>95</v>
      </c>
      <c r="Q1531" s="67" t="s">
        <v>120</v>
      </c>
      <c r="R1531" s="92" t="s">
        <v>69</v>
      </c>
      <c r="S1531" s="92" t="s">
        <v>123</v>
      </c>
      <c r="T1531" s="67"/>
      <c r="U1531" s="67"/>
      <c r="V1531" s="95">
        <v>43039</v>
      </c>
      <c r="W1531" s="92">
        <v>2025770</v>
      </c>
      <c r="X1531" s="90"/>
      <c r="Y1531" s="123"/>
      <c r="Z1531" s="30">
        <f t="shared" si="46"/>
        <v>6772.6006943194379</v>
      </c>
      <c r="AA1531" s="30">
        <f t="shared" si="47"/>
        <v>2116.4377169748245</v>
      </c>
      <c r="AB1531" t="s">
        <v>456</v>
      </c>
    </row>
    <row r="1532" spans="1:28">
      <c r="A1532" s="67" t="s">
        <v>122</v>
      </c>
      <c r="B1532" s="91">
        <v>1288330</v>
      </c>
      <c r="C1532" s="92">
        <v>4615411564</v>
      </c>
      <c r="D1532" s="93">
        <v>19200</v>
      </c>
      <c r="E1532" s="79"/>
      <c r="F1532" s="91">
        <v>16</v>
      </c>
      <c r="G1532" s="96">
        <v>5</v>
      </c>
      <c r="H1532" s="91">
        <v>0</v>
      </c>
      <c r="I1532" s="91">
        <v>0</v>
      </c>
      <c r="J1532" s="71">
        <v>43016</v>
      </c>
      <c r="K1532" s="71">
        <v>43039</v>
      </c>
      <c r="L1532" s="69" t="s">
        <v>119</v>
      </c>
      <c r="M1532" s="69" t="s">
        <v>109</v>
      </c>
      <c r="N1532" s="95">
        <v>43116</v>
      </c>
      <c r="O1532" s="67"/>
      <c r="P1532" s="67" t="s">
        <v>95</v>
      </c>
      <c r="Q1532" s="67" t="s">
        <v>120</v>
      </c>
      <c r="R1532" s="92" t="s">
        <v>69</v>
      </c>
      <c r="S1532" s="92" t="s">
        <v>123</v>
      </c>
      <c r="T1532" s="67"/>
      <c r="U1532" s="67"/>
      <c r="V1532" s="95">
        <v>43039</v>
      </c>
      <c r="W1532" s="92">
        <v>2025770</v>
      </c>
      <c r="X1532" s="90"/>
      <c r="Y1532" s="123"/>
      <c r="Z1532" s="30">
        <f t="shared" si="46"/>
        <v>6772.6006943194379</v>
      </c>
      <c r="AA1532" s="30">
        <f t="shared" si="47"/>
        <v>2116.4377169748245</v>
      </c>
      <c r="AB1532" t="s">
        <v>456</v>
      </c>
    </row>
    <row r="1533" spans="1:28">
      <c r="A1533" s="67" t="s">
        <v>122</v>
      </c>
      <c r="B1533" s="91">
        <v>1288337</v>
      </c>
      <c r="C1533" s="92">
        <v>4615411564</v>
      </c>
      <c r="D1533" s="93">
        <v>19200</v>
      </c>
      <c r="E1533" s="79"/>
      <c r="F1533" s="91">
        <v>16</v>
      </c>
      <c r="G1533" s="96">
        <v>5</v>
      </c>
      <c r="H1533" s="91">
        <v>0</v>
      </c>
      <c r="I1533" s="91">
        <v>0</v>
      </c>
      <c r="J1533" s="71">
        <v>43016</v>
      </c>
      <c r="K1533" s="71">
        <v>43039</v>
      </c>
      <c r="L1533" s="69" t="s">
        <v>119</v>
      </c>
      <c r="M1533" s="69" t="s">
        <v>109</v>
      </c>
      <c r="N1533" s="95">
        <v>43111</v>
      </c>
      <c r="O1533" s="67"/>
      <c r="P1533" s="67" t="s">
        <v>95</v>
      </c>
      <c r="Q1533" s="67" t="s">
        <v>120</v>
      </c>
      <c r="R1533" s="92" t="s">
        <v>69</v>
      </c>
      <c r="S1533" s="92" t="s">
        <v>123</v>
      </c>
      <c r="T1533" s="67"/>
      <c r="U1533" s="67"/>
      <c r="V1533" s="95">
        <v>43039</v>
      </c>
      <c r="W1533" s="92">
        <v>2025770</v>
      </c>
      <c r="X1533" s="90"/>
      <c r="Y1533" s="123"/>
      <c r="Z1533" s="30">
        <f t="shared" si="46"/>
        <v>6772.6006943194379</v>
      </c>
      <c r="AA1533" s="30">
        <f t="shared" si="47"/>
        <v>2116.4377169748245</v>
      </c>
      <c r="AB1533" t="s">
        <v>456</v>
      </c>
    </row>
    <row r="1534" spans="1:28">
      <c r="A1534" s="67" t="s">
        <v>122</v>
      </c>
      <c r="B1534" s="91">
        <v>1288339</v>
      </c>
      <c r="C1534" s="92">
        <v>4615411564</v>
      </c>
      <c r="D1534" s="93">
        <v>19200</v>
      </c>
      <c r="E1534" s="79"/>
      <c r="F1534" s="91">
        <v>16</v>
      </c>
      <c r="G1534" s="96">
        <v>5</v>
      </c>
      <c r="H1534" s="91">
        <v>0</v>
      </c>
      <c r="I1534" s="91">
        <v>0</v>
      </c>
      <c r="J1534" s="71">
        <v>43016</v>
      </c>
      <c r="K1534" s="71">
        <v>43039</v>
      </c>
      <c r="L1534" s="69" t="s">
        <v>119</v>
      </c>
      <c r="M1534" s="69" t="s">
        <v>109</v>
      </c>
      <c r="N1534" s="95">
        <v>43108</v>
      </c>
      <c r="O1534" s="67"/>
      <c r="P1534" s="67" t="s">
        <v>95</v>
      </c>
      <c r="Q1534" s="67" t="s">
        <v>120</v>
      </c>
      <c r="R1534" s="92" t="s">
        <v>69</v>
      </c>
      <c r="S1534" s="92" t="s">
        <v>123</v>
      </c>
      <c r="T1534" s="67"/>
      <c r="U1534" s="67"/>
      <c r="V1534" s="95">
        <v>43039</v>
      </c>
      <c r="W1534" s="92">
        <v>2025770</v>
      </c>
      <c r="X1534" s="90"/>
      <c r="Y1534" s="123"/>
      <c r="Z1534" s="30">
        <f t="shared" si="46"/>
        <v>6772.6006943194379</v>
      </c>
      <c r="AA1534" s="30">
        <f t="shared" si="47"/>
        <v>2116.4377169748245</v>
      </c>
      <c r="AB1534" t="s">
        <v>456</v>
      </c>
    </row>
    <row r="1535" spans="1:28">
      <c r="A1535" s="67" t="s">
        <v>122</v>
      </c>
      <c r="B1535" s="91">
        <v>1288336</v>
      </c>
      <c r="C1535" s="92">
        <v>4615411564</v>
      </c>
      <c r="D1535" s="93">
        <v>19200</v>
      </c>
      <c r="E1535" s="79"/>
      <c r="F1535" s="91">
        <v>16</v>
      </c>
      <c r="G1535" s="96">
        <v>5</v>
      </c>
      <c r="H1535" s="91">
        <v>0</v>
      </c>
      <c r="I1535" s="91">
        <v>0</v>
      </c>
      <c r="J1535" s="71">
        <v>43016</v>
      </c>
      <c r="K1535" s="71">
        <v>43039</v>
      </c>
      <c r="L1535" s="69" t="s">
        <v>119</v>
      </c>
      <c r="M1535" s="69" t="s">
        <v>109</v>
      </c>
      <c r="N1535" s="95">
        <v>43109</v>
      </c>
      <c r="O1535" s="67"/>
      <c r="P1535" s="67" t="s">
        <v>95</v>
      </c>
      <c r="Q1535" s="67" t="s">
        <v>120</v>
      </c>
      <c r="R1535" s="92" t="s">
        <v>69</v>
      </c>
      <c r="S1535" s="92" t="s">
        <v>123</v>
      </c>
      <c r="T1535" s="67"/>
      <c r="U1535" s="67"/>
      <c r="V1535" s="95">
        <v>43039</v>
      </c>
      <c r="W1535" s="92">
        <v>2025770</v>
      </c>
      <c r="X1535" s="90"/>
      <c r="Y1535" s="123"/>
      <c r="Z1535" s="30">
        <f t="shared" si="46"/>
        <v>6772.6006943194379</v>
      </c>
      <c r="AA1535" s="30">
        <f t="shared" si="47"/>
        <v>2116.4377169748245</v>
      </c>
      <c r="AB1535" t="s">
        <v>456</v>
      </c>
    </row>
    <row r="1536" spans="1:28">
      <c r="A1536" s="67" t="s">
        <v>122</v>
      </c>
      <c r="B1536" s="91">
        <v>1288333</v>
      </c>
      <c r="C1536" s="92">
        <v>4615411564</v>
      </c>
      <c r="D1536" s="93">
        <v>19200</v>
      </c>
      <c r="E1536" s="79"/>
      <c r="F1536" s="91">
        <v>16</v>
      </c>
      <c r="G1536" s="96">
        <v>5</v>
      </c>
      <c r="H1536" s="91">
        <v>0</v>
      </c>
      <c r="I1536" s="91">
        <v>0</v>
      </c>
      <c r="J1536" s="71">
        <v>43016</v>
      </c>
      <c r="K1536" s="71">
        <v>43039</v>
      </c>
      <c r="L1536" s="69" t="s">
        <v>119</v>
      </c>
      <c r="M1536" s="69" t="s">
        <v>109</v>
      </c>
      <c r="N1536" s="95">
        <v>43114</v>
      </c>
      <c r="O1536" s="67"/>
      <c r="P1536" s="67" t="s">
        <v>95</v>
      </c>
      <c r="Q1536" s="67" t="s">
        <v>120</v>
      </c>
      <c r="R1536" s="92" t="s">
        <v>69</v>
      </c>
      <c r="S1536" s="92" t="s">
        <v>123</v>
      </c>
      <c r="T1536" s="67"/>
      <c r="U1536" s="67"/>
      <c r="V1536" s="95">
        <v>43039</v>
      </c>
      <c r="W1536" s="92">
        <v>2025770</v>
      </c>
      <c r="X1536" s="90"/>
      <c r="Y1536" s="123"/>
      <c r="Z1536" s="30">
        <f t="shared" si="46"/>
        <v>6772.6006943194379</v>
      </c>
      <c r="AA1536" s="30">
        <f t="shared" si="47"/>
        <v>2116.4377169748245</v>
      </c>
      <c r="AB1536" t="s">
        <v>456</v>
      </c>
    </row>
    <row r="1537" spans="1:28">
      <c r="A1537" s="67" t="s">
        <v>122</v>
      </c>
      <c r="B1537" s="91">
        <v>1288338</v>
      </c>
      <c r="C1537" s="92">
        <v>4615411564</v>
      </c>
      <c r="D1537" s="93">
        <v>19200</v>
      </c>
      <c r="E1537" s="79"/>
      <c r="F1537" s="91">
        <v>16</v>
      </c>
      <c r="G1537" s="96">
        <v>5</v>
      </c>
      <c r="H1537" s="91">
        <v>0</v>
      </c>
      <c r="I1537" s="91">
        <v>0</v>
      </c>
      <c r="J1537" s="71">
        <v>43016</v>
      </c>
      <c r="K1537" s="71">
        <v>43039</v>
      </c>
      <c r="L1537" s="69" t="s">
        <v>119</v>
      </c>
      <c r="M1537" s="69" t="s">
        <v>109</v>
      </c>
      <c r="N1537" s="95">
        <v>43115</v>
      </c>
      <c r="O1537" s="67"/>
      <c r="P1537" s="67" t="s">
        <v>95</v>
      </c>
      <c r="Q1537" s="67" t="s">
        <v>120</v>
      </c>
      <c r="R1537" s="92" t="s">
        <v>69</v>
      </c>
      <c r="S1537" s="92" t="s">
        <v>123</v>
      </c>
      <c r="T1537" s="67"/>
      <c r="U1537" s="67"/>
      <c r="V1537" s="95">
        <v>43039</v>
      </c>
      <c r="W1537" s="92">
        <v>2025770</v>
      </c>
      <c r="X1537" s="90"/>
      <c r="Y1537" s="123"/>
      <c r="Z1537" s="30">
        <f t="shared" si="46"/>
        <v>6772.6006943194379</v>
      </c>
      <c r="AA1537" s="30">
        <f t="shared" si="47"/>
        <v>2116.4377169748245</v>
      </c>
      <c r="AB1537" t="s">
        <v>456</v>
      </c>
    </row>
    <row r="1538" spans="1:28">
      <c r="A1538" s="67" t="s">
        <v>113</v>
      </c>
      <c r="B1538" s="91">
        <v>1294673</v>
      </c>
      <c r="C1538" s="92">
        <v>4615403114</v>
      </c>
      <c r="D1538" s="93">
        <v>20700</v>
      </c>
      <c r="E1538" s="79"/>
      <c r="F1538" s="91">
        <v>16</v>
      </c>
      <c r="G1538" s="91" t="s">
        <v>114</v>
      </c>
      <c r="H1538" s="91">
        <v>0</v>
      </c>
      <c r="I1538" s="91">
        <v>0</v>
      </c>
      <c r="J1538" s="71">
        <v>43039</v>
      </c>
      <c r="K1538" s="71">
        <v>43039</v>
      </c>
      <c r="L1538" s="69" t="s">
        <v>108</v>
      </c>
      <c r="M1538" s="69" t="s">
        <v>109</v>
      </c>
      <c r="N1538" s="95">
        <v>43104</v>
      </c>
      <c r="O1538" s="67"/>
      <c r="P1538" s="67" t="s">
        <v>95</v>
      </c>
      <c r="Q1538" s="67" t="s">
        <v>110</v>
      </c>
      <c r="R1538" s="92" t="s">
        <v>69</v>
      </c>
      <c r="S1538" s="92" t="s">
        <v>115</v>
      </c>
      <c r="T1538" s="67"/>
      <c r="U1538" s="67"/>
      <c r="V1538" s="95">
        <v>43039</v>
      </c>
      <c r="W1538" s="92" t="s">
        <v>116</v>
      </c>
      <c r="X1538" s="90" t="s">
        <v>117</v>
      </c>
      <c r="Y1538" s="123"/>
      <c r="Z1538" s="30">
        <f t="shared" si="46"/>
        <v>7301.7101235631453</v>
      </c>
      <c r="AA1538" s="30">
        <f t="shared" si="47"/>
        <v>0</v>
      </c>
      <c r="AB1538" t="s">
        <v>456</v>
      </c>
    </row>
    <row r="1539" spans="1:28">
      <c r="A1539" s="67" t="s">
        <v>113</v>
      </c>
      <c r="B1539" s="91">
        <v>1294671</v>
      </c>
      <c r="C1539" s="92">
        <v>4615403114</v>
      </c>
      <c r="D1539" s="93">
        <v>20700</v>
      </c>
      <c r="E1539" s="79"/>
      <c r="F1539" s="91">
        <v>16</v>
      </c>
      <c r="G1539" s="91" t="s">
        <v>114</v>
      </c>
      <c r="H1539" s="91">
        <v>0</v>
      </c>
      <c r="I1539" s="91">
        <v>0</v>
      </c>
      <c r="J1539" s="71">
        <v>43039</v>
      </c>
      <c r="K1539" s="71">
        <v>43039</v>
      </c>
      <c r="L1539" s="69" t="s">
        <v>108</v>
      </c>
      <c r="M1539" s="69" t="s">
        <v>109</v>
      </c>
      <c r="N1539" s="95">
        <v>43107</v>
      </c>
      <c r="O1539" s="67"/>
      <c r="P1539" s="67" t="s">
        <v>95</v>
      </c>
      <c r="Q1539" s="67" t="s">
        <v>110</v>
      </c>
      <c r="R1539" s="92" t="s">
        <v>69</v>
      </c>
      <c r="S1539" s="92" t="s">
        <v>115</v>
      </c>
      <c r="T1539" s="67"/>
      <c r="U1539" s="67"/>
      <c r="V1539" s="95">
        <v>43039</v>
      </c>
      <c r="W1539" s="92" t="s">
        <v>116</v>
      </c>
      <c r="X1539" s="90" t="s">
        <v>117</v>
      </c>
      <c r="Y1539" s="123"/>
      <c r="Z1539" s="30">
        <f t="shared" ref="Z1539:Z1602" si="48">CONVERT(D1539,"kg","lbm")*F1539/100</f>
        <v>7301.7101235631453</v>
      </c>
      <c r="AA1539" s="30">
        <f t="shared" ref="AA1539:AA1602" si="49">CONVERT(D1539,"kg","lbm")*G1539/100</f>
        <v>0</v>
      </c>
      <c r="AB1539" t="s">
        <v>456</v>
      </c>
    </row>
    <row r="1540" spans="1:28">
      <c r="A1540" s="67" t="s">
        <v>113</v>
      </c>
      <c r="B1540" s="91">
        <v>1294408</v>
      </c>
      <c r="C1540" s="92">
        <v>4615403114</v>
      </c>
      <c r="D1540" s="93">
        <v>20700</v>
      </c>
      <c r="E1540" s="79"/>
      <c r="F1540" s="91">
        <v>16</v>
      </c>
      <c r="G1540" s="91" t="s">
        <v>114</v>
      </c>
      <c r="H1540" s="91">
        <v>0</v>
      </c>
      <c r="I1540" s="91">
        <v>0</v>
      </c>
      <c r="J1540" s="71">
        <v>43032</v>
      </c>
      <c r="K1540" s="71">
        <v>43039</v>
      </c>
      <c r="L1540" s="69" t="s">
        <v>108</v>
      </c>
      <c r="M1540" s="69" t="s">
        <v>109</v>
      </c>
      <c r="N1540" s="95">
        <v>43114</v>
      </c>
      <c r="O1540" s="67"/>
      <c r="P1540" s="67" t="s">
        <v>95</v>
      </c>
      <c r="Q1540" s="67" t="s">
        <v>110</v>
      </c>
      <c r="R1540" s="92" t="s">
        <v>69</v>
      </c>
      <c r="S1540" s="92" t="s">
        <v>115</v>
      </c>
      <c r="T1540" s="67"/>
      <c r="U1540" s="67"/>
      <c r="V1540" s="95">
        <v>43039</v>
      </c>
      <c r="W1540" s="92" t="s">
        <v>116</v>
      </c>
      <c r="X1540" s="90" t="s">
        <v>117</v>
      </c>
      <c r="Y1540" s="123"/>
      <c r="Z1540" s="30">
        <f t="shared" si="48"/>
        <v>7301.7101235631453</v>
      </c>
      <c r="AA1540" s="30">
        <f t="shared" si="49"/>
        <v>0</v>
      </c>
      <c r="AB1540" t="s">
        <v>456</v>
      </c>
    </row>
    <row r="1541" spans="1:28">
      <c r="A1541" s="67" t="s">
        <v>113</v>
      </c>
      <c r="B1541" s="91">
        <v>1294404</v>
      </c>
      <c r="C1541" s="92">
        <v>4615403114</v>
      </c>
      <c r="D1541" s="93">
        <v>20700</v>
      </c>
      <c r="E1541" s="79"/>
      <c r="F1541" s="91">
        <v>16</v>
      </c>
      <c r="G1541" s="91" t="s">
        <v>114</v>
      </c>
      <c r="H1541" s="91">
        <v>0</v>
      </c>
      <c r="I1541" s="91">
        <v>0</v>
      </c>
      <c r="J1541" s="71">
        <v>43032</v>
      </c>
      <c r="K1541" s="71">
        <v>43039</v>
      </c>
      <c r="L1541" s="69" t="s">
        <v>108</v>
      </c>
      <c r="M1541" s="69" t="s">
        <v>109</v>
      </c>
      <c r="N1541" s="95">
        <v>43115</v>
      </c>
      <c r="O1541" s="67"/>
      <c r="P1541" s="67" t="s">
        <v>95</v>
      </c>
      <c r="Q1541" s="67" t="s">
        <v>110</v>
      </c>
      <c r="R1541" s="92" t="s">
        <v>69</v>
      </c>
      <c r="S1541" s="92" t="s">
        <v>115</v>
      </c>
      <c r="T1541" s="67"/>
      <c r="U1541" s="67"/>
      <c r="V1541" s="95">
        <v>43039</v>
      </c>
      <c r="W1541" s="92" t="s">
        <v>116</v>
      </c>
      <c r="X1541" s="90" t="s">
        <v>117</v>
      </c>
      <c r="Y1541" s="123"/>
      <c r="Z1541" s="30">
        <f t="shared" si="48"/>
        <v>7301.7101235631453</v>
      </c>
      <c r="AA1541" s="30">
        <f t="shared" si="49"/>
        <v>0</v>
      </c>
      <c r="AB1541" t="s">
        <v>456</v>
      </c>
    </row>
    <row r="1542" spans="1:28">
      <c r="A1542" s="67" t="s">
        <v>113</v>
      </c>
      <c r="B1542" s="91">
        <v>1294409</v>
      </c>
      <c r="C1542" s="92">
        <v>4615403114</v>
      </c>
      <c r="D1542" s="93">
        <v>20700</v>
      </c>
      <c r="E1542" s="79"/>
      <c r="F1542" s="91">
        <v>16</v>
      </c>
      <c r="G1542" s="91" t="s">
        <v>114</v>
      </c>
      <c r="H1542" s="91">
        <v>0</v>
      </c>
      <c r="I1542" s="91">
        <v>0</v>
      </c>
      <c r="J1542" s="71">
        <v>43032</v>
      </c>
      <c r="K1542" s="71">
        <v>43039</v>
      </c>
      <c r="L1542" s="69" t="s">
        <v>108</v>
      </c>
      <c r="M1542" s="69" t="s">
        <v>109</v>
      </c>
      <c r="N1542" s="95">
        <v>43115</v>
      </c>
      <c r="O1542" s="67"/>
      <c r="P1542" s="67" t="s">
        <v>95</v>
      </c>
      <c r="Q1542" s="67" t="s">
        <v>110</v>
      </c>
      <c r="R1542" s="92" t="s">
        <v>69</v>
      </c>
      <c r="S1542" s="92" t="s">
        <v>115</v>
      </c>
      <c r="T1542" s="67"/>
      <c r="U1542" s="67"/>
      <c r="V1542" s="95">
        <v>43039</v>
      </c>
      <c r="W1542" s="92" t="s">
        <v>116</v>
      </c>
      <c r="X1542" s="90" t="s">
        <v>117</v>
      </c>
      <c r="Y1542" s="123"/>
      <c r="Z1542" s="30">
        <f t="shared" si="48"/>
        <v>7301.7101235631453</v>
      </c>
      <c r="AA1542" s="30">
        <f t="shared" si="49"/>
        <v>0</v>
      </c>
      <c r="AB1542" t="s">
        <v>456</v>
      </c>
    </row>
    <row r="1543" spans="1:28">
      <c r="A1543" s="67" t="s">
        <v>113</v>
      </c>
      <c r="B1543" s="91">
        <v>1294410</v>
      </c>
      <c r="C1543" s="92">
        <v>4615403114</v>
      </c>
      <c r="D1543" s="93">
        <v>20700</v>
      </c>
      <c r="E1543" s="79"/>
      <c r="F1543" s="91">
        <v>16</v>
      </c>
      <c r="G1543" s="91" t="s">
        <v>114</v>
      </c>
      <c r="H1543" s="91">
        <v>0</v>
      </c>
      <c r="I1543" s="91">
        <v>0</v>
      </c>
      <c r="J1543" s="71">
        <v>43032</v>
      </c>
      <c r="K1543" s="71">
        <v>43039</v>
      </c>
      <c r="L1543" s="69" t="s">
        <v>108</v>
      </c>
      <c r="M1543" s="69" t="s">
        <v>109</v>
      </c>
      <c r="N1543" s="95">
        <v>43116</v>
      </c>
      <c r="O1543" s="67"/>
      <c r="P1543" s="67" t="s">
        <v>95</v>
      </c>
      <c r="Q1543" s="67" t="s">
        <v>110</v>
      </c>
      <c r="R1543" s="92" t="s">
        <v>69</v>
      </c>
      <c r="S1543" s="92" t="s">
        <v>115</v>
      </c>
      <c r="T1543" s="67"/>
      <c r="U1543" s="67"/>
      <c r="V1543" s="95">
        <v>43039</v>
      </c>
      <c r="W1543" s="92" t="s">
        <v>116</v>
      </c>
      <c r="X1543" s="90" t="s">
        <v>117</v>
      </c>
      <c r="Y1543" s="123"/>
      <c r="Z1543" s="30">
        <f t="shared" si="48"/>
        <v>7301.7101235631453</v>
      </c>
      <c r="AA1543" s="30">
        <f t="shared" si="49"/>
        <v>0</v>
      </c>
      <c r="AB1543" t="s">
        <v>456</v>
      </c>
    </row>
    <row r="1544" spans="1:28">
      <c r="A1544" s="67" t="s">
        <v>113</v>
      </c>
      <c r="B1544" s="91">
        <v>1294668</v>
      </c>
      <c r="C1544" s="92">
        <v>4615403114</v>
      </c>
      <c r="D1544" s="93">
        <v>20700</v>
      </c>
      <c r="E1544" s="79"/>
      <c r="F1544" s="91">
        <v>16</v>
      </c>
      <c r="G1544" s="91" t="s">
        <v>114</v>
      </c>
      <c r="H1544" s="91">
        <v>0</v>
      </c>
      <c r="I1544" s="91">
        <v>0</v>
      </c>
      <c r="J1544" s="71">
        <v>43039</v>
      </c>
      <c r="K1544" s="71">
        <v>43039</v>
      </c>
      <c r="L1544" s="69" t="s">
        <v>108</v>
      </c>
      <c r="M1544" s="69" t="s">
        <v>109</v>
      </c>
      <c r="N1544" s="95">
        <v>43116</v>
      </c>
      <c r="O1544" s="67"/>
      <c r="P1544" s="67" t="s">
        <v>95</v>
      </c>
      <c r="Q1544" s="67" t="s">
        <v>110</v>
      </c>
      <c r="R1544" s="92" t="s">
        <v>69</v>
      </c>
      <c r="S1544" s="92" t="s">
        <v>115</v>
      </c>
      <c r="T1544" s="67"/>
      <c r="U1544" s="67"/>
      <c r="V1544" s="95">
        <v>43039</v>
      </c>
      <c r="W1544" s="92" t="s">
        <v>116</v>
      </c>
      <c r="X1544" s="90" t="s">
        <v>117</v>
      </c>
      <c r="Y1544" s="123"/>
      <c r="Z1544" s="30">
        <f t="shared" si="48"/>
        <v>7301.7101235631453</v>
      </c>
      <c r="AA1544" s="30">
        <f t="shared" si="49"/>
        <v>0</v>
      </c>
      <c r="AB1544" t="s">
        <v>456</v>
      </c>
    </row>
    <row r="1545" spans="1:28">
      <c r="A1545" s="67" t="s">
        <v>113</v>
      </c>
      <c r="B1545" s="91">
        <v>1294407</v>
      </c>
      <c r="C1545" s="92">
        <v>4615403114</v>
      </c>
      <c r="D1545" s="93">
        <v>20700</v>
      </c>
      <c r="E1545" s="79"/>
      <c r="F1545" s="91">
        <v>16</v>
      </c>
      <c r="G1545" s="91" t="s">
        <v>114</v>
      </c>
      <c r="H1545" s="91">
        <v>0</v>
      </c>
      <c r="I1545" s="91">
        <v>0</v>
      </c>
      <c r="J1545" s="71">
        <v>43032</v>
      </c>
      <c r="K1545" s="71">
        <v>43039</v>
      </c>
      <c r="L1545" s="69" t="s">
        <v>108</v>
      </c>
      <c r="M1545" s="69" t="s">
        <v>109</v>
      </c>
      <c r="N1545" s="95">
        <v>43117</v>
      </c>
      <c r="O1545" s="67"/>
      <c r="P1545" s="67" t="s">
        <v>95</v>
      </c>
      <c r="Q1545" s="67" t="s">
        <v>110</v>
      </c>
      <c r="R1545" s="92" t="s">
        <v>69</v>
      </c>
      <c r="S1545" s="92" t="s">
        <v>115</v>
      </c>
      <c r="T1545" s="67"/>
      <c r="U1545" s="67"/>
      <c r="V1545" s="95">
        <v>43039</v>
      </c>
      <c r="W1545" s="92" t="s">
        <v>116</v>
      </c>
      <c r="X1545" s="90" t="s">
        <v>117</v>
      </c>
      <c r="Y1545" s="123"/>
      <c r="Z1545" s="30">
        <f t="shared" si="48"/>
        <v>7301.7101235631453</v>
      </c>
      <c r="AA1545" s="30">
        <f t="shared" si="49"/>
        <v>0</v>
      </c>
      <c r="AB1545" t="s">
        <v>456</v>
      </c>
    </row>
    <row r="1546" spans="1:28">
      <c r="A1546" s="67" t="s">
        <v>113</v>
      </c>
      <c r="B1546" s="91">
        <v>1294674</v>
      </c>
      <c r="C1546" s="92">
        <v>4615403114</v>
      </c>
      <c r="D1546" s="93">
        <v>20700</v>
      </c>
      <c r="E1546" s="79"/>
      <c r="F1546" s="91">
        <v>16</v>
      </c>
      <c r="G1546" s="91" t="s">
        <v>114</v>
      </c>
      <c r="H1546" s="91">
        <v>0</v>
      </c>
      <c r="I1546" s="91">
        <v>0</v>
      </c>
      <c r="J1546" s="71">
        <v>43039</v>
      </c>
      <c r="K1546" s="71">
        <v>43039</v>
      </c>
      <c r="L1546" s="69" t="s">
        <v>108</v>
      </c>
      <c r="M1546" s="69" t="s">
        <v>109</v>
      </c>
      <c r="N1546" s="95">
        <v>43107</v>
      </c>
      <c r="O1546" s="67"/>
      <c r="P1546" s="67" t="s">
        <v>95</v>
      </c>
      <c r="Q1546" s="67" t="s">
        <v>110</v>
      </c>
      <c r="R1546" s="92" t="s">
        <v>69</v>
      </c>
      <c r="S1546" s="92" t="s">
        <v>115</v>
      </c>
      <c r="T1546" s="67"/>
      <c r="U1546" s="67"/>
      <c r="V1546" s="95">
        <v>43039</v>
      </c>
      <c r="W1546" s="92" t="s">
        <v>116</v>
      </c>
      <c r="X1546" s="90" t="s">
        <v>117</v>
      </c>
      <c r="Y1546" s="123"/>
      <c r="Z1546" s="30">
        <f t="shared" si="48"/>
        <v>7301.7101235631453</v>
      </c>
      <c r="AA1546" s="30">
        <f t="shared" si="49"/>
        <v>0</v>
      </c>
      <c r="AB1546" t="s">
        <v>456</v>
      </c>
    </row>
    <row r="1547" spans="1:28">
      <c r="A1547" s="67" t="s">
        <v>113</v>
      </c>
      <c r="B1547" s="91">
        <v>1294672</v>
      </c>
      <c r="C1547" s="92">
        <v>4615403114</v>
      </c>
      <c r="D1547" s="93">
        <v>20700</v>
      </c>
      <c r="E1547" s="79"/>
      <c r="F1547" s="91">
        <v>16</v>
      </c>
      <c r="G1547" s="91" t="s">
        <v>114</v>
      </c>
      <c r="H1547" s="91">
        <v>0</v>
      </c>
      <c r="I1547" s="91">
        <v>0</v>
      </c>
      <c r="J1547" s="71">
        <v>43039</v>
      </c>
      <c r="K1547" s="71">
        <v>43039</v>
      </c>
      <c r="L1547" s="69" t="s">
        <v>108</v>
      </c>
      <c r="M1547" s="69" t="s">
        <v>109</v>
      </c>
      <c r="N1547" s="95">
        <v>43117</v>
      </c>
      <c r="O1547" s="67"/>
      <c r="P1547" s="67" t="s">
        <v>95</v>
      </c>
      <c r="Q1547" s="67" t="s">
        <v>110</v>
      </c>
      <c r="R1547" s="92" t="s">
        <v>69</v>
      </c>
      <c r="S1547" s="92" t="s">
        <v>115</v>
      </c>
      <c r="T1547" s="67"/>
      <c r="U1547" s="67"/>
      <c r="V1547" s="95">
        <v>43039</v>
      </c>
      <c r="W1547" s="92" t="s">
        <v>116</v>
      </c>
      <c r="X1547" s="90" t="s">
        <v>117</v>
      </c>
      <c r="Y1547" s="123"/>
      <c r="Z1547" s="30">
        <f t="shared" si="48"/>
        <v>7301.7101235631453</v>
      </c>
      <c r="AA1547" s="30">
        <f t="shared" si="49"/>
        <v>0</v>
      </c>
      <c r="AB1547" t="s">
        <v>456</v>
      </c>
    </row>
    <row r="1548" spans="1:28">
      <c r="A1548" s="67" t="s">
        <v>113</v>
      </c>
      <c r="B1548" s="91">
        <v>1294676</v>
      </c>
      <c r="C1548" s="92">
        <v>4615403114</v>
      </c>
      <c r="D1548" s="93">
        <v>20700</v>
      </c>
      <c r="E1548" s="79"/>
      <c r="F1548" s="91">
        <v>16</v>
      </c>
      <c r="G1548" s="91" t="s">
        <v>114</v>
      </c>
      <c r="H1548" s="91">
        <v>0</v>
      </c>
      <c r="I1548" s="91">
        <v>0</v>
      </c>
      <c r="J1548" s="71">
        <v>43039</v>
      </c>
      <c r="K1548" s="71">
        <v>43039</v>
      </c>
      <c r="L1548" s="69" t="s">
        <v>108</v>
      </c>
      <c r="M1548" s="69" t="s">
        <v>109</v>
      </c>
      <c r="N1548" s="95">
        <v>43117</v>
      </c>
      <c r="O1548" s="67"/>
      <c r="P1548" s="67" t="s">
        <v>95</v>
      </c>
      <c r="Q1548" s="67" t="s">
        <v>110</v>
      </c>
      <c r="R1548" s="92" t="s">
        <v>69</v>
      </c>
      <c r="S1548" s="92" t="s">
        <v>115</v>
      </c>
      <c r="T1548" s="67"/>
      <c r="U1548" s="67"/>
      <c r="V1548" s="95">
        <v>43039</v>
      </c>
      <c r="W1548" s="92" t="s">
        <v>116</v>
      </c>
      <c r="X1548" s="90" t="s">
        <v>117</v>
      </c>
      <c r="Y1548" s="123"/>
      <c r="Z1548" s="30">
        <f t="shared" si="48"/>
        <v>7301.7101235631453</v>
      </c>
      <c r="AA1548" s="30">
        <f t="shared" si="49"/>
        <v>0</v>
      </c>
      <c r="AB1548" t="s">
        <v>456</v>
      </c>
    </row>
    <row r="1549" spans="1:28">
      <c r="A1549" s="67" t="s">
        <v>113</v>
      </c>
      <c r="B1549" s="91">
        <v>1294406</v>
      </c>
      <c r="C1549" s="92">
        <v>4615403114</v>
      </c>
      <c r="D1549" s="93">
        <v>20700</v>
      </c>
      <c r="E1549" s="79"/>
      <c r="F1549" s="91">
        <v>16</v>
      </c>
      <c r="G1549" s="91" t="s">
        <v>114</v>
      </c>
      <c r="H1549" s="91">
        <v>0</v>
      </c>
      <c r="I1549" s="91">
        <v>0</v>
      </c>
      <c r="J1549" s="71">
        <v>43032</v>
      </c>
      <c r="K1549" s="71">
        <v>43039</v>
      </c>
      <c r="L1549" s="69" t="s">
        <v>108</v>
      </c>
      <c r="M1549" s="69" t="s">
        <v>109</v>
      </c>
      <c r="N1549" s="95">
        <v>43118</v>
      </c>
      <c r="O1549" s="67"/>
      <c r="P1549" s="67" t="s">
        <v>95</v>
      </c>
      <c r="Q1549" s="67" t="s">
        <v>110</v>
      </c>
      <c r="R1549" s="92" t="s">
        <v>69</v>
      </c>
      <c r="S1549" s="92" t="s">
        <v>115</v>
      </c>
      <c r="T1549" s="67"/>
      <c r="U1549" s="67"/>
      <c r="V1549" s="95">
        <v>43039</v>
      </c>
      <c r="W1549" s="92" t="s">
        <v>116</v>
      </c>
      <c r="X1549" s="90" t="s">
        <v>117</v>
      </c>
      <c r="Y1549" s="123"/>
      <c r="Z1549" s="30">
        <f t="shared" si="48"/>
        <v>7301.7101235631453</v>
      </c>
      <c r="AA1549" s="30">
        <f t="shared" si="49"/>
        <v>0</v>
      </c>
      <c r="AB1549" t="s">
        <v>456</v>
      </c>
    </row>
    <row r="1550" spans="1:28">
      <c r="A1550" s="67" t="s">
        <v>113</v>
      </c>
      <c r="B1550" s="91">
        <v>1294670</v>
      </c>
      <c r="C1550" s="92">
        <v>4615403114</v>
      </c>
      <c r="D1550" s="93">
        <v>20700</v>
      </c>
      <c r="E1550" s="79"/>
      <c r="F1550" s="91">
        <v>16</v>
      </c>
      <c r="G1550" s="91" t="s">
        <v>114</v>
      </c>
      <c r="H1550" s="91">
        <v>0</v>
      </c>
      <c r="I1550" s="91">
        <v>0</v>
      </c>
      <c r="J1550" s="71">
        <v>43039</v>
      </c>
      <c r="K1550" s="71">
        <v>43039</v>
      </c>
      <c r="L1550" s="69" t="s">
        <v>108</v>
      </c>
      <c r="M1550" s="69" t="s">
        <v>109</v>
      </c>
      <c r="N1550" s="95">
        <v>43121</v>
      </c>
      <c r="O1550" s="67"/>
      <c r="P1550" s="67" t="s">
        <v>95</v>
      </c>
      <c r="Q1550" s="67" t="s">
        <v>110</v>
      </c>
      <c r="R1550" s="92" t="s">
        <v>69</v>
      </c>
      <c r="S1550" s="92" t="s">
        <v>115</v>
      </c>
      <c r="T1550" s="67"/>
      <c r="U1550" s="67"/>
      <c r="V1550" s="95">
        <v>43039</v>
      </c>
      <c r="W1550" s="92" t="s">
        <v>116</v>
      </c>
      <c r="X1550" s="90" t="s">
        <v>117</v>
      </c>
      <c r="Y1550" s="123"/>
      <c r="Z1550" s="30">
        <f t="shared" si="48"/>
        <v>7301.7101235631453</v>
      </c>
      <c r="AA1550" s="30">
        <f t="shared" si="49"/>
        <v>0</v>
      </c>
      <c r="AB1550" t="s">
        <v>456</v>
      </c>
    </row>
    <row r="1551" spans="1:28">
      <c r="A1551" s="67" t="s">
        <v>113</v>
      </c>
      <c r="B1551" s="91">
        <v>1297746</v>
      </c>
      <c r="C1551" s="92">
        <v>4615406662</v>
      </c>
      <c r="D1551" s="93">
        <v>20700</v>
      </c>
      <c r="E1551" s="79"/>
      <c r="F1551" s="91">
        <v>16</v>
      </c>
      <c r="G1551" s="91" t="s">
        <v>114</v>
      </c>
      <c r="H1551" s="91">
        <v>0</v>
      </c>
      <c r="I1551" s="91">
        <v>0</v>
      </c>
      <c r="J1551" s="71">
        <v>43065</v>
      </c>
      <c r="K1551" s="71">
        <v>43039</v>
      </c>
      <c r="L1551" s="69" t="s">
        <v>132</v>
      </c>
      <c r="M1551" s="69" t="s">
        <v>109</v>
      </c>
      <c r="N1551" s="95">
        <v>43117</v>
      </c>
      <c r="O1551" s="67"/>
      <c r="P1551" s="67" t="s">
        <v>95</v>
      </c>
      <c r="Q1551" s="67" t="s">
        <v>110</v>
      </c>
      <c r="R1551" s="92" t="s">
        <v>69</v>
      </c>
      <c r="S1551" s="92" t="s">
        <v>115</v>
      </c>
      <c r="T1551" s="67"/>
      <c r="U1551" s="67"/>
      <c r="V1551" s="95">
        <v>43039</v>
      </c>
      <c r="W1551" s="92" t="s">
        <v>289</v>
      </c>
      <c r="X1551" s="90" t="s">
        <v>117</v>
      </c>
      <c r="Y1551" s="123"/>
      <c r="Z1551" s="30">
        <f t="shared" si="48"/>
        <v>7301.7101235631453</v>
      </c>
      <c r="AA1551" s="30">
        <f t="shared" si="49"/>
        <v>0</v>
      </c>
      <c r="AB1551" t="s">
        <v>456</v>
      </c>
    </row>
    <row r="1552" spans="1:28">
      <c r="A1552" s="67" t="s">
        <v>113</v>
      </c>
      <c r="B1552" s="91">
        <v>1297744</v>
      </c>
      <c r="C1552" s="92">
        <v>4615406662</v>
      </c>
      <c r="D1552" s="93">
        <v>20700</v>
      </c>
      <c r="E1552" s="79"/>
      <c r="F1552" s="91">
        <v>16</v>
      </c>
      <c r="G1552" s="91" t="s">
        <v>114</v>
      </c>
      <c r="H1552" s="91">
        <v>0</v>
      </c>
      <c r="I1552" s="91">
        <v>0</v>
      </c>
      <c r="J1552" s="71">
        <v>43065</v>
      </c>
      <c r="K1552" s="71">
        <v>43039</v>
      </c>
      <c r="L1552" s="69" t="s">
        <v>132</v>
      </c>
      <c r="M1552" s="69" t="s">
        <v>109</v>
      </c>
      <c r="N1552" s="95">
        <v>43132</v>
      </c>
      <c r="O1552" s="67"/>
      <c r="P1552" s="67" t="s">
        <v>95</v>
      </c>
      <c r="Q1552" s="67" t="s">
        <v>110</v>
      </c>
      <c r="R1552" s="92" t="s">
        <v>69</v>
      </c>
      <c r="S1552" s="92" t="s">
        <v>115</v>
      </c>
      <c r="T1552" s="67"/>
      <c r="U1552" s="67"/>
      <c r="V1552" s="95">
        <v>43039</v>
      </c>
      <c r="W1552" s="92" t="s">
        <v>289</v>
      </c>
      <c r="X1552" s="90" t="s">
        <v>117</v>
      </c>
      <c r="Y1552" s="123"/>
      <c r="Z1552" s="30">
        <f t="shared" si="48"/>
        <v>7301.7101235631453</v>
      </c>
      <c r="AA1552" s="30">
        <f t="shared" si="49"/>
        <v>0</v>
      </c>
      <c r="AB1552" t="s">
        <v>456</v>
      </c>
    </row>
    <row r="1553" spans="1:28">
      <c r="A1553" s="67" t="s">
        <v>113</v>
      </c>
      <c r="B1553" s="91">
        <v>1297739</v>
      </c>
      <c r="C1553" s="92">
        <v>4615406662</v>
      </c>
      <c r="D1553" s="93">
        <v>20700</v>
      </c>
      <c r="E1553" s="79"/>
      <c r="F1553" s="91">
        <v>16</v>
      </c>
      <c r="G1553" s="91" t="s">
        <v>114</v>
      </c>
      <c r="H1553" s="91">
        <v>0</v>
      </c>
      <c r="I1553" s="91">
        <v>0</v>
      </c>
      <c r="J1553" s="71">
        <v>43065</v>
      </c>
      <c r="K1553" s="71">
        <v>43039</v>
      </c>
      <c r="L1553" s="69" t="s">
        <v>132</v>
      </c>
      <c r="M1553" s="69" t="s">
        <v>109</v>
      </c>
      <c r="N1553" s="95">
        <v>43118</v>
      </c>
      <c r="O1553" s="67"/>
      <c r="P1553" s="67" t="s">
        <v>95</v>
      </c>
      <c r="Q1553" s="67" t="s">
        <v>110</v>
      </c>
      <c r="R1553" s="92" t="s">
        <v>69</v>
      </c>
      <c r="S1553" s="92" t="s">
        <v>115</v>
      </c>
      <c r="T1553" s="67"/>
      <c r="U1553" s="67"/>
      <c r="V1553" s="95">
        <v>43039</v>
      </c>
      <c r="W1553" s="92" t="s">
        <v>289</v>
      </c>
      <c r="X1553" s="90" t="s">
        <v>117</v>
      </c>
      <c r="Y1553" s="123"/>
      <c r="Z1553" s="30">
        <f t="shared" si="48"/>
        <v>7301.7101235631453</v>
      </c>
      <c r="AA1553" s="30">
        <f t="shared" si="49"/>
        <v>0</v>
      </c>
      <c r="AB1553" t="s">
        <v>456</v>
      </c>
    </row>
    <row r="1554" spans="1:28">
      <c r="A1554" s="67" t="s">
        <v>113</v>
      </c>
      <c r="B1554" s="91">
        <v>1297743</v>
      </c>
      <c r="C1554" s="92">
        <v>4615406662</v>
      </c>
      <c r="D1554" s="93">
        <v>20700</v>
      </c>
      <c r="E1554" s="79"/>
      <c r="F1554" s="91">
        <v>16</v>
      </c>
      <c r="G1554" s="91" t="s">
        <v>114</v>
      </c>
      <c r="H1554" s="91">
        <v>0</v>
      </c>
      <c r="I1554" s="91">
        <v>0</v>
      </c>
      <c r="J1554" s="71">
        <v>43065</v>
      </c>
      <c r="K1554" s="71">
        <v>43039</v>
      </c>
      <c r="L1554" s="69" t="s">
        <v>132</v>
      </c>
      <c r="M1554" s="69" t="s">
        <v>109</v>
      </c>
      <c r="N1554" s="95">
        <v>43118</v>
      </c>
      <c r="O1554" s="67"/>
      <c r="P1554" s="67" t="s">
        <v>95</v>
      </c>
      <c r="Q1554" s="67" t="s">
        <v>110</v>
      </c>
      <c r="R1554" s="92" t="s">
        <v>69</v>
      </c>
      <c r="S1554" s="92" t="s">
        <v>115</v>
      </c>
      <c r="T1554" s="67"/>
      <c r="U1554" s="67"/>
      <c r="V1554" s="95">
        <v>43039</v>
      </c>
      <c r="W1554" s="92" t="s">
        <v>289</v>
      </c>
      <c r="X1554" s="90" t="s">
        <v>117</v>
      </c>
      <c r="Y1554" s="123"/>
      <c r="Z1554" s="30">
        <f t="shared" si="48"/>
        <v>7301.7101235631453</v>
      </c>
      <c r="AA1554" s="30">
        <f t="shared" si="49"/>
        <v>0</v>
      </c>
      <c r="AB1554" t="s">
        <v>456</v>
      </c>
    </row>
    <row r="1555" spans="1:28">
      <c r="A1555" s="67" t="s">
        <v>113</v>
      </c>
      <c r="B1555" s="91">
        <v>1297741</v>
      </c>
      <c r="C1555" s="92">
        <v>4615406662</v>
      </c>
      <c r="D1555" s="93">
        <v>20700</v>
      </c>
      <c r="E1555" s="79"/>
      <c r="F1555" s="91">
        <v>16</v>
      </c>
      <c r="G1555" s="91" t="s">
        <v>114</v>
      </c>
      <c r="H1555" s="91">
        <v>0</v>
      </c>
      <c r="I1555" s="91">
        <v>0</v>
      </c>
      <c r="J1555" s="71">
        <v>43065</v>
      </c>
      <c r="K1555" s="71">
        <v>43039</v>
      </c>
      <c r="L1555" s="69" t="s">
        <v>132</v>
      </c>
      <c r="M1555" s="69" t="s">
        <v>109</v>
      </c>
      <c r="N1555" s="95">
        <v>43142</v>
      </c>
      <c r="O1555" s="67"/>
      <c r="P1555" s="67" t="s">
        <v>95</v>
      </c>
      <c r="Q1555" s="67" t="s">
        <v>110</v>
      </c>
      <c r="R1555" s="92" t="s">
        <v>69</v>
      </c>
      <c r="S1555" s="92" t="s">
        <v>115</v>
      </c>
      <c r="T1555" s="67"/>
      <c r="U1555" s="67"/>
      <c r="V1555" s="95">
        <v>43039</v>
      </c>
      <c r="W1555" s="92" t="s">
        <v>289</v>
      </c>
      <c r="X1555" s="90" t="s">
        <v>117</v>
      </c>
      <c r="Y1555" s="123"/>
      <c r="Z1555" s="30">
        <f t="shared" si="48"/>
        <v>7301.7101235631453</v>
      </c>
      <c r="AA1555" s="30">
        <f t="shared" si="49"/>
        <v>0</v>
      </c>
      <c r="AB1555" t="s">
        <v>456</v>
      </c>
    </row>
    <row r="1556" spans="1:28">
      <c r="A1556" s="67" t="s">
        <v>113</v>
      </c>
      <c r="B1556" s="91">
        <v>1297742</v>
      </c>
      <c r="C1556" s="92">
        <v>4615406662</v>
      </c>
      <c r="D1556" s="93">
        <v>20700</v>
      </c>
      <c r="E1556" s="79"/>
      <c r="F1556" s="91">
        <v>16</v>
      </c>
      <c r="G1556" s="91" t="s">
        <v>114</v>
      </c>
      <c r="H1556" s="91">
        <v>0</v>
      </c>
      <c r="I1556" s="91">
        <v>0</v>
      </c>
      <c r="J1556" s="71">
        <v>43065</v>
      </c>
      <c r="K1556" s="71">
        <v>43039</v>
      </c>
      <c r="L1556" s="69" t="s">
        <v>132</v>
      </c>
      <c r="M1556" s="69" t="s">
        <v>109</v>
      </c>
      <c r="N1556" s="95">
        <v>43142</v>
      </c>
      <c r="O1556" s="67"/>
      <c r="P1556" s="67" t="s">
        <v>95</v>
      </c>
      <c r="Q1556" s="67" t="s">
        <v>110</v>
      </c>
      <c r="R1556" s="92" t="s">
        <v>69</v>
      </c>
      <c r="S1556" s="92" t="s">
        <v>115</v>
      </c>
      <c r="T1556" s="67"/>
      <c r="U1556" s="67"/>
      <c r="V1556" s="95">
        <v>43039</v>
      </c>
      <c r="W1556" s="92" t="s">
        <v>289</v>
      </c>
      <c r="X1556" s="90" t="s">
        <v>117</v>
      </c>
      <c r="Y1556" s="123"/>
      <c r="Z1556" s="30">
        <f t="shared" si="48"/>
        <v>7301.7101235631453</v>
      </c>
      <c r="AA1556" s="30">
        <f t="shared" si="49"/>
        <v>0</v>
      </c>
      <c r="AB1556" t="s">
        <v>456</v>
      </c>
    </row>
    <row r="1557" spans="1:28">
      <c r="A1557" s="67" t="s">
        <v>113</v>
      </c>
      <c r="B1557" s="91">
        <v>1297745</v>
      </c>
      <c r="C1557" s="92">
        <v>4615406662</v>
      </c>
      <c r="D1557" s="93">
        <v>20700</v>
      </c>
      <c r="E1557" s="79"/>
      <c r="F1557" s="91">
        <v>16</v>
      </c>
      <c r="G1557" s="91" t="s">
        <v>114</v>
      </c>
      <c r="H1557" s="91">
        <v>0</v>
      </c>
      <c r="I1557" s="91">
        <v>0</v>
      </c>
      <c r="J1557" s="71">
        <v>43065</v>
      </c>
      <c r="K1557" s="71">
        <v>43039</v>
      </c>
      <c r="L1557" s="69" t="s">
        <v>132</v>
      </c>
      <c r="M1557" s="69" t="s">
        <v>109</v>
      </c>
      <c r="N1557" s="95">
        <v>43142</v>
      </c>
      <c r="O1557" s="67"/>
      <c r="P1557" s="67" t="s">
        <v>95</v>
      </c>
      <c r="Q1557" s="67" t="s">
        <v>110</v>
      </c>
      <c r="R1557" s="92" t="s">
        <v>69</v>
      </c>
      <c r="S1557" s="92" t="s">
        <v>115</v>
      </c>
      <c r="T1557" s="67"/>
      <c r="U1557" s="67"/>
      <c r="V1557" s="95">
        <v>43039</v>
      </c>
      <c r="W1557" s="92" t="s">
        <v>289</v>
      </c>
      <c r="X1557" s="90" t="s">
        <v>117</v>
      </c>
      <c r="Y1557" s="123"/>
      <c r="Z1557" s="30">
        <f t="shared" si="48"/>
        <v>7301.7101235631453</v>
      </c>
      <c r="AA1557" s="30">
        <f t="shared" si="49"/>
        <v>0</v>
      </c>
      <c r="AB1557" t="s">
        <v>456</v>
      </c>
    </row>
    <row r="1558" spans="1:28">
      <c r="A1558" s="67" t="s">
        <v>113</v>
      </c>
      <c r="B1558" s="91">
        <v>1297747</v>
      </c>
      <c r="C1558" s="92">
        <v>4615406662</v>
      </c>
      <c r="D1558" s="93">
        <v>20700</v>
      </c>
      <c r="E1558" s="79"/>
      <c r="F1558" s="91">
        <v>16</v>
      </c>
      <c r="G1558" s="91" t="s">
        <v>114</v>
      </c>
      <c r="H1558" s="91">
        <v>0</v>
      </c>
      <c r="I1558" s="91">
        <v>0</v>
      </c>
      <c r="J1558" s="71">
        <v>43065</v>
      </c>
      <c r="K1558" s="71">
        <v>43039</v>
      </c>
      <c r="L1558" s="69" t="s">
        <v>132</v>
      </c>
      <c r="M1558" s="69" t="s">
        <v>109</v>
      </c>
      <c r="N1558" s="95">
        <v>43142</v>
      </c>
      <c r="O1558" s="67"/>
      <c r="P1558" s="67" t="s">
        <v>95</v>
      </c>
      <c r="Q1558" s="67" t="s">
        <v>110</v>
      </c>
      <c r="R1558" s="92" t="s">
        <v>69</v>
      </c>
      <c r="S1558" s="92" t="s">
        <v>115</v>
      </c>
      <c r="T1558" s="67"/>
      <c r="U1558" s="67"/>
      <c r="V1558" s="95">
        <v>43039</v>
      </c>
      <c r="W1558" s="92" t="s">
        <v>289</v>
      </c>
      <c r="X1558" s="90" t="s">
        <v>117</v>
      </c>
      <c r="Y1558" s="123"/>
      <c r="Z1558" s="30">
        <f t="shared" si="48"/>
        <v>7301.7101235631453</v>
      </c>
      <c r="AA1558" s="30">
        <f t="shared" si="49"/>
        <v>0</v>
      </c>
      <c r="AB1558" t="s">
        <v>456</v>
      </c>
    </row>
    <row r="1559" spans="1:28">
      <c r="A1559" s="67" t="s">
        <v>113</v>
      </c>
      <c r="B1559" s="91">
        <v>1297748</v>
      </c>
      <c r="C1559" s="92">
        <v>4615406662</v>
      </c>
      <c r="D1559" s="93">
        <v>20700</v>
      </c>
      <c r="E1559" s="79"/>
      <c r="F1559" s="91">
        <v>16</v>
      </c>
      <c r="G1559" s="91" t="s">
        <v>114</v>
      </c>
      <c r="H1559" s="91">
        <v>0</v>
      </c>
      <c r="I1559" s="91">
        <v>0</v>
      </c>
      <c r="J1559" s="71">
        <v>43065</v>
      </c>
      <c r="K1559" s="71">
        <v>43039</v>
      </c>
      <c r="L1559" s="69" t="s">
        <v>132</v>
      </c>
      <c r="M1559" s="69" t="s">
        <v>109</v>
      </c>
      <c r="N1559" s="95">
        <v>43143</v>
      </c>
      <c r="O1559" s="67"/>
      <c r="P1559" s="67" t="s">
        <v>95</v>
      </c>
      <c r="Q1559" s="67" t="s">
        <v>110</v>
      </c>
      <c r="R1559" s="92" t="s">
        <v>69</v>
      </c>
      <c r="S1559" s="92" t="s">
        <v>115</v>
      </c>
      <c r="T1559" s="67"/>
      <c r="U1559" s="67"/>
      <c r="V1559" s="95">
        <v>43039</v>
      </c>
      <c r="W1559" s="92" t="s">
        <v>289</v>
      </c>
      <c r="X1559" s="90" t="s">
        <v>117</v>
      </c>
      <c r="Y1559" s="123"/>
      <c r="Z1559" s="30">
        <f t="shared" si="48"/>
        <v>7301.7101235631453</v>
      </c>
      <c r="AA1559" s="30">
        <f t="shared" si="49"/>
        <v>0</v>
      </c>
      <c r="AB1559" t="s">
        <v>456</v>
      </c>
    </row>
    <row r="1560" spans="1:28">
      <c r="A1560" s="67" t="s">
        <v>113</v>
      </c>
      <c r="B1560" s="91">
        <v>1297740</v>
      </c>
      <c r="C1560" s="92">
        <v>4615406662</v>
      </c>
      <c r="D1560" s="93">
        <v>20700</v>
      </c>
      <c r="E1560" s="79"/>
      <c r="F1560" s="91">
        <v>16</v>
      </c>
      <c r="G1560" s="91" t="s">
        <v>114</v>
      </c>
      <c r="H1560" s="91">
        <v>0</v>
      </c>
      <c r="I1560" s="91">
        <v>0</v>
      </c>
      <c r="J1560" s="71">
        <v>43065</v>
      </c>
      <c r="K1560" s="71">
        <v>43039</v>
      </c>
      <c r="L1560" s="69" t="s">
        <v>132</v>
      </c>
      <c r="M1560" s="69" t="s">
        <v>109</v>
      </c>
      <c r="N1560" s="95">
        <v>43144</v>
      </c>
      <c r="O1560" s="67"/>
      <c r="P1560" s="67" t="s">
        <v>95</v>
      </c>
      <c r="Q1560" s="67" t="s">
        <v>110</v>
      </c>
      <c r="R1560" s="92" t="s">
        <v>69</v>
      </c>
      <c r="S1560" s="92" t="s">
        <v>115</v>
      </c>
      <c r="T1560" s="67"/>
      <c r="U1560" s="67"/>
      <c r="V1560" s="95">
        <v>43039</v>
      </c>
      <c r="W1560" s="92" t="s">
        <v>289</v>
      </c>
      <c r="X1560" s="90" t="s">
        <v>117</v>
      </c>
      <c r="Y1560" s="123"/>
      <c r="Z1560" s="30">
        <f t="shared" si="48"/>
        <v>7301.7101235631453</v>
      </c>
      <c r="AA1560" s="30">
        <f t="shared" si="49"/>
        <v>0</v>
      </c>
      <c r="AB1560" t="s">
        <v>456</v>
      </c>
    </row>
    <row r="1561" spans="1:28">
      <c r="A1561" s="67" t="s">
        <v>113</v>
      </c>
      <c r="B1561" s="91">
        <v>1295685</v>
      </c>
      <c r="C1561" s="92">
        <v>4615478138</v>
      </c>
      <c r="D1561" s="93">
        <v>20709</v>
      </c>
      <c r="E1561" s="79"/>
      <c r="F1561" s="91">
        <v>16</v>
      </c>
      <c r="G1561" s="91">
        <v>0</v>
      </c>
      <c r="H1561" s="94">
        <v>0</v>
      </c>
      <c r="I1561" s="91">
        <v>0</v>
      </c>
      <c r="J1561" s="71">
        <v>43050</v>
      </c>
      <c r="K1561" s="71">
        <v>43039</v>
      </c>
      <c r="L1561" s="69" t="s">
        <v>108</v>
      </c>
      <c r="M1561" s="69" t="s">
        <v>109</v>
      </c>
      <c r="N1561" s="95">
        <v>43109</v>
      </c>
      <c r="O1561" s="67"/>
      <c r="P1561" s="67" t="s">
        <v>95</v>
      </c>
      <c r="Q1561" s="67" t="s">
        <v>110</v>
      </c>
      <c r="R1561" s="92" t="s">
        <v>69</v>
      </c>
      <c r="S1561" s="92" t="s">
        <v>115</v>
      </c>
      <c r="T1561" s="67"/>
      <c r="U1561" s="67"/>
      <c r="V1561" s="95">
        <v>43039</v>
      </c>
      <c r="W1561" s="92" t="s">
        <v>290</v>
      </c>
      <c r="X1561" s="90" t="s">
        <v>117</v>
      </c>
      <c r="Y1561" s="123"/>
      <c r="Z1561" s="30">
        <f t="shared" si="48"/>
        <v>7304.8847801386073</v>
      </c>
      <c r="AA1561" s="30">
        <f t="shared" si="49"/>
        <v>0</v>
      </c>
      <c r="AB1561" t="s">
        <v>456</v>
      </c>
    </row>
    <row r="1562" spans="1:28">
      <c r="A1562" s="67" t="s">
        <v>113</v>
      </c>
      <c r="B1562" s="91">
        <v>1295679</v>
      </c>
      <c r="C1562" s="92">
        <v>4615478138</v>
      </c>
      <c r="D1562" s="93">
        <v>20709</v>
      </c>
      <c r="E1562" s="79"/>
      <c r="F1562" s="91">
        <v>16</v>
      </c>
      <c r="G1562" s="91">
        <v>0</v>
      </c>
      <c r="H1562" s="94">
        <v>0</v>
      </c>
      <c r="I1562" s="91">
        <v>0</v>
      </c>
      <c r="J1562" s="71">
        <v>43050</v>
      </c>
      <c r="K1562" s="71">
        <v>43039</v>
      </c>
      <c r="L1562" s="69" t="s">
        <v>108</v>
      </c>
      <c r="M1562" s="69" t="s">
        <v>109</v>
      </c>
      <c r="N1562" s="95">
        <v>43114</v>
      </c>
      <c r="O1562" s="67"/>
      <c r="P1562" s="67" t="s">
        <v>95</v>
      </c>
      <c r="Q1562" s="67" t="s">
        <v>110</v>
      </c>
      <c r="R1562" s="92" t="s">
        <v>69</v>
      </c>
      <c r="S1562" s="92" t="s">
        <v>115</v>
      </c>
      <c r="T1562" s="67"/>
      <c r="U1562" s="67"/>
      <c r="V1562" s="95">
        <v>43039</v>
      </c>
      <c r="W1562" s="92" t="s">
        <v>290</v>
      </c>
      <c r="X1562" s="90" t="s">
        <v>117</v>
      </c>
      <c r="Y1562" s="123"/>
      <c r="Z1562" s="30">
        <f t="shared" si="48"/>
        <v>7304.8847801386073</v>
      </c>
      <c r="AA1562" s="30">
        <f t="shared" si="49"/>
        <v>0</v>
      </c>
      <c r="AB1562" t="s">
        <v>456</v>
      </c>
    </row>
    <row r="1563" spans="1:28">
      <c r="A1563" s="67" t="s">
        <v>113</v>
      </c>
      <c r="B1563" s="91">
        <v>1296554</v>
      </c>
      <c r="C1563" s="92">
        <v>4615478138</v>
      </c>
      <c r="D1563" s="93">
        <v>20709</v>
      </c>
      <c r="E1563" s="79"/>
      <c r="F1563" s="91">
        <v>16</v>
      </c>
      <c r="G1563" s="91">
        <v>0</v>
      </c>
      <c r="H1563" s="94">
        <v>0</v>
      </c>
      <c r="I1563" s="91">
        <v>0</v>
      </c>
      <c r="J1563" s="71">
        <v>43050</v>
      </c>
      <c r="K1563" s="71">
        <v>43039</v>
      </c>
      <c r="L1563" s="69" t="s">
        <v>108</v>
      </c>
      <c r="M1563" s="69" t="s">
        <v>109</v>
      </c>
      <c r="N1563" s="95">
        <v>43114</v>
      </c>
      <c r="O1563" s="67"/>
      <c r="P1563" s="67" t="s">
        <v>95</v>
      </c>
      <c r="Q1563" s="67" t="s">
        <v>110</v>
      </c>
      <c r="R1563" s="92" t="s">
        <v>69</v>
      </c>
      <c r="S1563" s="92" t="s">
        <v>115</v>
      </c>
      <c r="T1563" s="67"/>
      <c r="U1563" s="67"/>
      <c r="V1563" s="95">
        <v>43039</v>
      </c>
      <c r="W1563" s="92" t="s">
        <v>290</v>
      </c>
      <c r="X1563" s="90" t="s">
        <v>117</v>
      </c>
      <c r="Y1563" s="123"/>
      <c r="Z1563" s="30">
        <f t="shared" si="48"/>
        <v>7304.8847801386073</v>
      </c>
      <c r="AA1563" s="30">
        <f t="shared" si="49"/>
        <v>0</v>
      </c>
      <c r="AB1563" t="s">
        <v>456</v>
      </c>
    </row>
    <row r="1564" spans="1:28">
      <c r="A1564" s="67" t="s">
        <v>113</v>
      </c>
      <c r="B1564" s="91">
        <v>1295683</v>
      </c>
      <c r="C1564" s="92">
        <v>4615478138</v>
      </c>
      <c r="D1564" s="93">
        <v>20709</v>
      </c>
      <c r="E1564" s="79"/>
      <c r="F1564" s="91">
        <v>16</v>
      </c>
      <c r="G1564" s="91">
        <v>0</v>
      </c>
      <c r="H1564" s="94">
        <v>0</v>
      </c>
      <c r="I1564" s="91">
        <v>0</v>
      </c>
      <c r="J1564" s="71">
        <v>43050</v>
      </c>
      <c r="K1564" s="71">
        <v>43039</v>
      </c>
      <c r="L1564" s="69" t="s">
        <v>108</v>
      </c>
      <c r="M1564" s="69" t="s">
        <v>109</v>
      </c>
      <c r="N1564" s="95">
        <v>43122</v>
      </c>
      <c r="O1564" s="67"/>
      <c r="P1564" s="67" t="s">
        <v>95</v>
      </c>
      <c r="Q1564" s="67" t="s">
        <v>110</v>
      </c>
      <c r="R1564" s="92" t="s">
        <v>69</v>
      </c>
      <c r="S1564" s="92" t="s">
        <v>115</v>
      </c>
      <c r="T1564" s="67"/>
      <c r="U1564" s="67"/>
      <c r="V1564" s="95">
        <v>43039</v>
      </c>
      <c r="W1564" s="92" t="s">
        <v>290</v>
      </c>
      <c r="X1564" s="90" t="s">
        <v>117</v>
      </c>
      <c r="Y1564" s="123"/>
      <c r="Z1564" s="30">
        <f t="shared" si="48"/>
        <v>7304.8847801386073</v>
      </c>
      <c r="AA1564" s="30">
        <f t="shared" si="49"/>
        <v>0</v>
      </c>
      <c r="AB1564" t="s">
        <v>456</v>
      </c>
    </row>
    <row r="1565" spans="1:28">
      <c r="A1565" s="67" t="s">
        <v>113</v>
      </c>
      <c r="B1565" s="91">
        <v>1295684</v>
      </c>
      <c r="C1565" s="92">
        <v>4615478138</v>
      </c>
      <c r="D1565" s="93">
        <v>20709</v>
      </c>
      <c r="E1565" s="79"/>
      <c r="F1565" s="91">
        <v>16</v>
      </c>
      <c r="G1565" s="91">
        <v>0</v>
      </c>
      <c r="H1565" s="94">
        <v>0</v>
      </c>
      <c r="I1565" s="91">
        <v>0</v>
      </c>
      <c r="J1565" s="71">
        <v>43050</v>
      </c>
      <c r="K1565" s="71">
        <v>43039</v>
      </c>
      <c r="L1565" s="69" t="s">
        <v>108</v>
      </c>
      <c r="M1565" s="69" t="s">
        <v>109</v>
      </c>
      <c r="N1565" s="95">
        <v>43123</v>
      </c>
      <c r="O1565" s="67"/>
      <c r="P1565" s="67" t="s">
        <v>95</v>
      </c>
      <c r="Q1565" s="67" t="s">
        <v>110</v>
      </c>
      <c r="R1565" s="92" t="s">
        <v>69</v>
      </c>
      <c r="S1565" s="92" t="s">
        <v>115</v>
      </c>
      <c r="T1565" s="67"/>
      <c r="U1565" s="67"/>
      <c r="V1565" s="95">
        <v>43039</v>
      </c>
      <c r="W1565" s="92" t="s">
        <v>290</v>
      </c>
      <c r="X1565" s="90" t="s">
        <v>117</v>
      </c>
      <c r="Y1565" s="123"/>
      <c r="Z1565" s="30">
        <f t="shared" si="48"/>
        <v>7304.8847801386073</v>
      </c>
      <c r="AA1565" s="30">
        <f t="shared" si="49"/>
        <v>0</v>
      </c>
      <c r="AB1565" t="s">
        <v>456</v>
      </c>
    </row>
    <row r="1566" spans="1:28">
      <c r="A1566" s="67" t="s">
        <v>113</v>
      </c>
      <c r="B1566" s="91">
        <v>1295686</v>
      </c>
      <c r="C1566" s="92">
        <v>4615478138</v>
      </c>
      <c r="D1566" s="93">
        <v>20709</v>
      </c>
      <c r="E1566" s="79"/>
      <c r="F1566" s="91">
        <v>16</v>
      </c>
      <c r="G1566" s="91">
        <v>0</v>
      </c>
      <c r="H1566" s="94">
        <v>0</v>
      </c>
      <c r="I1566" s="91">
        <v>0</v>
      </c>
      <c r="J1566" s="71">
        <v>43050</v>
      </c>
      <c r="K1566" s="71">
        <v>43039</v>
      </c>
      <c r="L1566" s="69" t="s">
        <v>108</v>
      </c>
      <c r="M1566" s="69" t="s">
        <v>109</v>
      </c>
      <c r="N1566" s="95">
        <v>43128</v>
      </c>
      <c r="O1566" s="67"/>
      <c r="P1566" s="67" t="s">
        <v>95</v>
      </c>
      <c r="Q1566" s="67" t="s">
        <v>110</v>
      </c>
      <c r="R1566" s="92" t="s">
        <v>69</v>
      </c>
      <c r="S1566" s="92" t="s">
        <v>115</v>
      </c>
      <c r="T1566" s="67"/>
      <c r="U1566" s="67"/>
      <c r="V1566" s="95">
        <v>43039</v>
      </c>
      <c r="W1566" s="92" t="s">
        <v>290</v>
      </c>
      <c r="X1566" s="90" t="s">
        <v>117</v>
      </c>
      <c r="Y1566" s="123"/>
      <c r="Z1566" s="30">
        <f t="shared" si="48"/>
        <v>7304.8847801386073</v>
      </c>
      <c r="AA1566" s="30">
        <f t="shared" si="49"/>
        <v>0</v>
      </c>
      <c r="AB1566" t="s">
        <v>456</v>
      </c>
    </row>
    <row r="1567" spans="1:28">
      <c r="A1567" s="67" t="s">
        <v>113</v>
      </c>
      <c r="B1567" s="91">
        <v>1296558</v>
      </c>
      <c r="C1567" s="92">
        <v>4615478138</v>
      </c>
      <c r="D1567" s="93">
        <v>20709</v>
      </c>
      <c r="E1567" s="79"/>
      <c r="F1567" s="91">
        <v>16</v>
      </c>
      <c r="G1567" s="91">
        <v>0</v>
      </c>
      <c r="H1567" s="94">
        <v>0</v>
      </c>
      <c r="I1567" s="91">
        <v>0</v>
      </c>
      <c r="J1567" s="71">
        <v>43050</v>
      </c>
      <c r="K1567" s="71">
        <v>43039</v>
      </c>
      <c r="L1567" s="69" t="s">
        <v>108</v>
      </c>
      <c r="M1567" s="69" t="s">
        <v>109</v>
      </c>
      <c r="N1567" s="95">
        <v>43128</v>
      </c>
      <c r="O1567" s="67"/>
      <c r="P1567" s="67" t="s">
        <v>95</v>
      </c>
      <c r="Q1567" s="67" t="s">
        <v>110</v>
      </c>
      <c r="R1567" s="92" t="s">
        <v>69</v>
      </c>
      <c r="S1567" s="92" t="s">
        <v>115</v>
      </c>
      <c r="T1567" s="67"/>
      <c r="U1567" s="67"/>
      <c r="V1567" s="95">
        <v>43039</v>
      </c>
      <c r="W1567" s="92" t="s">
        <v>290</v>
      </c>
      <c r="X1567" s="90" t="s">
        <v>117</v>
      </c>
      <c r="Y1567" s="123"/>
      <c r="Z1567" s="30">
        <f t="shared" si="48"/>
        <v>7304.8847801386073</v>
      </c>
      <c r="AA1567" s="30">
        <f t="shared" si="49"/>
        <v>0</v>
      </c>
      <c r="AB1567" t="s">
        <v>456</v>
      </c>
    </row>
    <row r="1568" spans="1:28">
      <c r="A1568" s="67" t="s">
        <v>113</v>
      </c>
      <c r="B1568" s="91">
        <v>1295687</v>
      </c>
      <c r="C1568" s="92">
        <v>4615478138</v>
      </c>
      <c r="D1568" s="93">
        <v>20709</v>
      </c>
      <c r="E1568" s="79"/>
      <c r="F1568" s="91">
        <v>16</v>
      </c>
      <c r="G1568" s="91">
        <v>0</v>
      </c>
      <c r="H1568" s="94">
        <v>0</v>
      </c>
      <c r="I1568" s="91">
        <v>0</v>
      </c>
      <c r="J1568" s="71">
        <v>43050</v>
      </c>
      <c r="K1568" s="71">
        <v>43039</v>
      </c>
      <c r="L1568" s="69" t="s">
        <v>108</v>
      </c>
      <c r="M1568" s="69" t="s">
        <v>109</v>
      </c>
      <c r="N1568" s="95">
        <v>43121</v>
      </c>
      <c r="O1568" s="67"/>
      <c r="P1568" s="67" t="s">
        <v>95</v>
      </c>
      <c r="Q1568" s="67" t="s">
        <v>110</v>
      </c>
      <c r="R1568" s="92" t="s">
        <v>69</v>
      </c>
      <c r="S1568" s="92" t="s">
        <v>115</v>
      </c>
      <c r="T1568" s="67"/>
      <c r="U1568" s="67"/>
      <c r="V1568" s="95">
        <v>43039</v>
      </c>
      <c r="W1568" s="92" t="s">
        <v>290</v>
      </c>
      <c r="X1568" s="90" t="s">
        <v>117</v>
      </c>
      <c r="Y1568" s="123"/>
      <c r="Z1568" s="30">
        <f t="shared" si="48"/>
        <v>7304.8847801386073</v>
      </c>
      <c r="AA1568" s="30">
        <f t="shared" si="49"/>
        <v>0</v>
      </c>
      <c r="AB1568" t="s">
        <v>456</v>
      </c>
    </row>
    <row r="1569" spans="1:28">
      <c r="A1569" s="67" t="s">
        <v>113</v>
      </c>
      <c r="B1569" s="91">
        <v>1296553</v>
      </c>
      <c r="C1569" s="92">
        <v>4615478138</v>
      </c>
      <c r="D1569" s="93">
        <v>20709</v>
      </c>
      <c r="E1569" s="79"/>
      <c r="F1569" s="91">
        <v>16</v>
      </c>
      <c r="G1569" s="91">
        <v>0</v>
      </c>
      <c r="H1569" s="94">
        <v>0</v>
      </c>
      <c r="I1569" s="91">
        <v>0</v>
      </c>
      <c r="J1569" s="71">
        <v>43050</v>
      </c>
      <c r="K1569" s="71">
        <v>43039</v>
      </c>
      <c r="L1569" s="69" t="s">
        <v>108</v>
      </c>
      <c r="M1569" s="69" t="s">
        <v>109</v>
      </c>
      <c r="N1569" s="95">
        <v>43121</v>
      </c>
      <c r="O1569" s="67"/>
      <c r="P1569" s="67" t="s">
        <v>95</v>
      </c>
      <c r="Q1569" s="67" t="s">
        <v>110</v>
      </c>
      <c r="R1569" s="92" t="s">
        <v>69</v>
      </c>
      <c r="S1569" s="92" t="s">
        <v>115</v>
      </c>
      <c r="T1569" s="67"/>
      <c r="U1569" s="67"/>
      <c r="V1569" s="95">
        <v>43039</v>
      </c>
      <c r="W1569" s="92" t="s">
        <v>290</v>
      </c>
      <c r="X1569" s="90" t="s">
        <v>117</v>
      </c>
      <c r="Y1569" s="123"/>
      <c r="Z1569" s="30">
        <f t="shared" si="48"/>
        <v>7304.8847801386073</v>
      </c>
      <c r="AA1569" s="30">
        <f t="shared" si="49"/>
        <v>0</v>
      </c>
      <c r="AB1569" t="s">
        <v>456</v>
      </c>
    </row>
    <row r="1570" spans="1:28">
      <c r="A1570" s="67" t="s">
        <v>113</v>
      </c>
      <c r="B1570" s="91">
        <v>1296559</v>
      </c>
      <c r="C1570" s="92">
        <v>4615478138</v>
      </c>
      <c r="D1570" s="93">
        <v>20709</v>
      </c>
      <c r="E1570" s="79"/>
      <c r="F1570" s="91">
        <v>16</v>
      </c>
      <c r="G1570" s="91">
        <v>0</v>
      </c>
      <c r="H1570" s="94">
        <v>0</v>
      </c>
      <c r="I1570" s="91">
        <v>0</v>
      </c>
      <c r="J1570" s="71">
        <v>43050</v>
      </c>
      <c r="K1570" s="71">
        <v>43039</v>
      </c>
      <c r="L1570" s="69" t="s">
        <v>108</v>
      </c>
      <c r="M1570" s="69" t="s">
        <v>109</v>
      </c>
      <c r="N1570" s="95">
        <v>43128</v>
      </c>
      <c r="O1570" s="67"/>
      <c r="P1570" s="67" t="s">
        <v>95</v>
      </c>
      <c r="Q1570" s="67" t="s">
        <v>110</v>
      </c>
      <c r="R1570" s="92" t="s">
        <v>69</v>
      </c>
      <c r="S1570" s="92" t="s">
        <v>115</v>
      </c>
      <c r="T1570" s="67"/>
      <c r="U1570" s="67"/>
      <c r="V1570" s="95">
        <v>43039</v>
      </c>
      <c r="W1570" s="92" t="s">
        <v>290</v>
      </c>
      <c r="X1570" s="90" t="s">
        <v>117</v>
      </c>
      <c r="Y1570" s="123"/>
      <c r="Z1570" s="30">
        <f t="shared" si="48"/>
        <v>7304.8847801386073</v>
      </c>
      <c r="AA1570" s="30">
        <f t="shared" si="49"/>
        <v>0</v>
      </c>
      <c r="AB1570" t="s">
        <v>456</v>
      </c>
    </row>
    <row r="1571" spans="1:28">
      <c r="A1571" s="67" t="s">
        <v>113</v>
      </c>
      <c r="B1571" s="91">
        <v>1296556</v>
      </c>
      <c r="C1571" s="92">
        <v>4615478138</v>
      </c>
      <c r="D1571" s="93">
        <v>20709</v>
      </c>
      <c r="E1571" s="79"/>
      <c r="F1571" s="91">
        <v>16</v>
      </c>
      <c r="G1571" s="91">
        <v>0</v>
      </c>
      <c r="H1571" s="94">
        <v>0</v>
      </c>
      <c r="I1571" s="91">
        <v>0</v>
      </c>
      <c r="J1571" s="71">
        <v>43050</v>
      </c>
      <c r="K1571" s="71">
        <v>43039</v>
      </c>
      <c r="L1571" s="69" t="s">
        <v>108</v>
      </c>
      <c r="M1571" s="69" t="s">
        <v>109</v>
      </c>
      <c r="N1571" s="95">
        <v>43129</v>
      </c>
      <c r="O1571" s="67"/>
      <c r="P1571" s="67" t="s">
        <v>95</v>
      </c>
      <c r="Q1571" s="67" t="s">
        <v>110</v>
      </c>
      <c r="R1571" s="92" t="s">
        <v>69</v>
      </c>
      <c r="S1571" s="92" t="s">
        <v>115</v>
      </c>
      <c r="T1571" s="67"/>
      <c r="U1571" s="67"/>
      <c r="V1571" s="95">
        <v>43039</v>
      </c>
      <c r="W1571" s="92" t="s">
        <v>290</v>
      </c>
      <c r="X1571" s="90" t="s">
        <v>117</v>
      </c>
      <c r="Y1571" s="123"/>
      <c r="Z1571" s="30">
        <f t="shared" si="48"/>
        <v>7304.8847801386073</v>
      </c>
      <c r="AA1571" s="30">
        <f t="shared" si="49"/>
        <v>0</v>
      </c>
      <c r="AB1571" t="s">
        <v>456</v>
      </c>
    </row>
    <row r="1572" spans="1:28">
      <c r="A1572" s="67" t="s">
        <v>113</v>
      </c>
      <c r="B1572" s="91">
        <v>1295680</v>
      </c>
      <c r="C1572" s="92">
        <v>4615478138</v>
      </c>
      <c r="D1572" s="93">
        <v>20709</v>
      </c>
      <c r="E1572" s="79"/>
      <c r="F1572" s="91">
        <v>16</v>
      </c>
      <c r="G1572" s="91">
        <v>0</v>
      </c>
      <c r="H1572" s="94">
        <v>0</v>
      </c>
      <c r="I1572" s="91">
        <v>0</v>
      </c>
      <c r="J1572" s="71">
        <v>43050</v>
      </c>
      <c r="K1572" s="71">
        <v>43039</v>
      </c>
      <c r="L1572" s="69" t="s">
        <v>108</v>
      </c>
      <c r="M1572" s="69" t="s">
        <v>109</v>
      </c>
      <c r="N1572" s="95">
        <v>43125</v>
      </c>
      <c r="O1572" s="67"/>
      <c r="P1572" s="67" t="s">
        <v>95</v>
      </c>
      <c r="Q1572" s="67" t="s">
        <v>110</v>
      </c>
      <c r="R1572" s="92" t="s">
        <v>69</v>
      </c>
      <c r="S1572" s="92" t="s">
        <v>115</v>
      </c>
      <c r="T1572" s="67"/>
      <c r="U1572" s="67"/>
      <c r="V1572" s="95">
        <v>43039</v>
      </c>
      <c r="W1572" s="92" t="s">
        <v>290</v>
      </c>
      <c r="X1572" s="90" t="s">
        <v>117</v>
      </c>
      <c r="Y1572" s="123"/>
      <c r="Z1572" s="30">
        <f t="shared" si="48"/>
        <v>7304.8847801386073</v>
      </c>
      <c r="AA1572" s="30">
        <f t="shared" si="49"/>
        <v>0</v>
      </c>
      <c r="AB1572" t="s">
        <v>456</v>
      </c>
    </row>
    <row r="1573" spans="1:28">
      <c r="A1573" s="67" t="s">
        <v>113</v>
      </c>
      <c r="B1573" s="91">
        <v>1296557</v>
      </c>
      <c r="C1573" s="92">
        <v>4615478138</v>
      </c>
      <c r="D1573" s="93">
        <v>20709</v>
      </c>
      <c r="E1573" s="79"/>
      <c r="F1573" s="91">
        <v>16</v>
      </c>
      <c r="G1573" s="91">
        <v>0</v>
      </c>
      <c r="H1573" s="94">
        <v>0</v>
      </c>
      <c r="I1573" s="91">
        <v>0</v>
      </c>
      <c r="J1573" s="71">
        <v>43050</v>
      </c>
      <c r="K1573" s="71">
        <v>43039</v>
      </c>
      <c r="L1573" s="69" t="s">
        <v>108</v>
      </c>
      <c r="M1573" s="69" t="s">
        <v>109</v>
      </c>
      <c r="N1573" s="95">
        <v>43129</v>
      </c>
      <c r="O1573" s="67"/>
      <c r="P1573" s="67" t="s">
        <v>95</v>
      </c>
      <c r="Q1573" s="67" t="s">
        <v>110</v>
      </c>
      <c r="R1573" s="92" t="s">
        <v>69</v>
      </c>
      <c r="S1573" s="92" t="s">
        <v>115</v>
      </c>
      <c r="T1573" s="67"/>
      <c r="U1573" s="67"/>
      <c r="V1573" s="95">
        <v>43039</v>
      </c>
      <c r="W1573" s="92" t="s">
        <v>290</v>
      </c>
      <c r="X1573" s="90" t="s">
        <v>117</v>
      </c>
      <c r="Y1573" s="123"/>
      <c r="Z1573" s="30">
        <f t="shared" si="48"/>
        <v>7304.8847801386073</v>
      </c>
      <c r="AA1573" s="30">
        <f t="shared" si="49"/>
        <v>0</v>
      </c>
      <c r="AB1573" t="s">
        <v>456</v>
      </c>
    </row>
    <row r="1574" spans="1:28">
      <c r="A1574" s="67" t="s">
        <v>113</v>
      </c>
      <c r="B1574" s="91">
        <v>1296560</v>
      </c>
      <c r="C1574" s="92">
        <v>4615478138</v>
      </c>
      <c r="D1574" s="93">
        <v>20709</v>
      </c>
      <c r="E1574" s="79"/>
      <c r="F1574" s="91">
        <v>16</v>
      </c>
      <c r="G1574" s="91">
        <v>0</v>
      </c>
      <c r="H1574" s="91">
        <v>0</v>
      </c>
      <c r="I1574" s="91">
        <v>0</v>
      </c>
      <c r="J1574" s="71">
        <v>43050</v>
      </c>
      <c r="K1574" s="71">
        <v>43039</v>
      </c>
      <c r="L1574" s="69" t="s">
        <v>108</v>
      </c>
      <c r="M1574" s="69" t="s">
        <v>109</v>
      </c>
      <c r="N1574" s="95">
        <v>43130</v>
      </c>
      <c r="O1574" s="67"/>
      <c r="P1574" s="67" t="s">
        <v>95</v>
      </c>
      <c r="Q1574" s="67" t="s">
        <v>110</v>
      </c>
      <c r="R1574" s="92" t="s">
        <v>69</v>
      </c>
      <c r="S1574" s="92" t="s">
        <v>115</v>
      </c>
      <c r="T1574" s="67"/>
      <c r="U1574" s="67"/>
      <c r="V1574" s="95">
        <v>43039</v>
      </c>
      <c r="W1574" s="92" t="s">
        <v>290</v>
      </c>
      <c r="X1574" s="90" t="s">
        <v>117</v>
      </c>
      <c r="Y1574" s="123"/>
      <c r="Z1574" s="30">
        <f t="shared" si="48"/>
        <v>7304.8847801386073</v>
      </c>
      <c r="AA1574" s="30">
        <f t="shared" si="49"/>
        <v>0</v>
      </c>
      <c r="AB1574" t="s">
        <v>456</v>
      </c>
    </row>
    <row r="1575" spans="1:28">
      <c r="A1575" s="67" t="s">
        <v>113</v>
      </c>
      <c r="B1575" s="91">
        <v>1296555</v>
      </c>
      <c r="C1575" s="92">
        <v>4615478138</v>
      </c>
      <c r="D1575" s="93">
        <v>20709</v>
      </c>
      <c r="E1575" s="79"/>
      <c r="F1575" s="91">
        <v>16</v>
      </c>
      <c r="G1575" s="91">
        <v>0</v>
      </c>
      <c r="H1575" s="91">
        <v>0</v>
      </c>
      <c r="I1575" s="91">
        <v>0</v>
      </c>
      <c r="J1575" s="71">
        <v>43050</v>
      </c>
      <c r="K1575" s="71">
        <v>43039</v>
      </c>
      <c r="L1575" s="69" t="s">
        <v>108</v>
      </c>
      <c r="M1575" s="69" t="s">
        <v>109</v>
      </c>
      <c r="N1575" s="95">
        <v>43132</v>
      </c>
      <c r="O1575" s="67"/>
      <c r="P1575" s="67" t="s">
        <v>95</v>
      </c>
      <c r="Q1575" s="67" t="s">
        <v>110</v>
      </c>
      <c r="R1575" s="92" t="s">
        <v>69</v>
      </c>
      <c r="S1575" s="92" t="s">
        <v>115</v>
      </c>
      <c r="T1575" s="67"/>
      <c r="U1575" s="67"/>
      <c r="V1575" s="95">
        <v>43039</v>
      </c>
      <c r="W1575" s="92" t="s">
        <v>290</v>
      </c>
      <c r="X1575" s="90" t="s">
        <v>117</v>
      </c>
      <c r="Y1575" s="123"/>
      <c r="Z1575" s="30">
        <f t="shared" si="48"/>
        <v>7304.8847801386073</v>
      </c>
      <c r="AA1575" s="30">
        <f t="shared" si="49"/>
        <v>0</v>
      </c>
      <c r="AB1575" t="s">
        <v>456</v>
      </c>
    </row>
    <row r="1576" spans="1:28">
      <c r="A1576" s="67" t="s">
        <v>113</v>
      </c>
      <c r="B1576" s="91">
        <v>1296561</v>
      </c>
      <c r="C1576" s="92">
        <v>4615478138</v>
      </c>
      <c r="D1576" s="93">
        <v>20709</v>
      </c>
      <c r="E1576" s="79"/>
      <c r="F1576" s="91">
        <v>16</v>
      </c>
      <c r="G1576" s="91">
        <v>0</v>
      </c>
      <c r="H1576" s="91">
        <v>0</v>
      </c>
      <c r="I1576" s="91">
        <v>0</v>
      </c>
      <c r="J1576" s="71">
        <v>43050</v>
      </c>
      <c r="K1576" s="71">
        <v>43039</v>
      </c>
      <c r="L1576" s="69" t="s">
        <v>108</v>
      </c>
      <c r="M1576" s="69" t="s">
        <v>109</v>
      </c>
      <c r="N1576" s="95">
        <v>43132</v>
      </c>
      <c r="O1576" s="67"/>
      <c r="P1576" s="67" t="s">
        <v>95</v>
      </c>
      <c r="Q1576" s="67" t="s">
        <v>110</v>
      </c>
      <c r="R1576" s="92" t="s">
        <v>69</v>
      </c>
      <c r="S1576" s="92" t="s">
        <v>115</v>
      </c>
      <c r="T1576" s="67"/>
      <c r="U1576" s="67"/>
      <c r="V1576" s="95">
        <v>43039</v>
      </c>
      <c r="W1576" s="92" t="s">
        <v>290</v>
      </c>
      <c r="X1576" s="90" t="s">
        <v>117</v>
      </c>
      <c r="Y1576" s="123"/>
      <c r="Z1576" s="30">
        <f t="shared" si="48"/>
        <v>7304.8847801386073</v>
      </c>
      <c r="AA1576" s="30">
        <f t="shared" si="49"/>
        <v>0</v>
      </c>
      <c r="AB1576" t="s">
        <v>456</v>
      </c>
    </row>
    <row r="1577" spans="1:28">
      <c r="A1577" s="67" t="s">
        <v>113</v>
      </c>
      <c r="B1577" s="91">
        <v>1295678</v>
      </c>
      <c r="C1577" s="92">
        <v>4615478138</v>
      </c>
      <c r="D1577" s="93">
        <v>20709</v>
      </c>
      <c r="E1577" s="79"/>
      <c r="F1577" s="91">
        <v>16</v>
      </c>
      <c r="G1577" s="91">
        <v>0</v>
      </c>
      <c r="H1577" s="91">
        <v>0</v>
      </c>
      <c r="I1577" s="91">
        <v>0</v>
      </c>
      <c r="J1577" s="71">
        <v>43050</v>
      </c>
      <c r="K1577" s="71">
        <v>43039</v>
      </c>
      <c r="L1577" s="69" t="s">
        <v>108</v>
      </c>
      <c r="M1577" s="69" t="s">
        <v>109</v>
      </c>
      <c r="N1577" s="95">
        <v>43135</v>
      </c>
      <c r="O1577" s="67"/>
      <c r="P1577" s="67" t="s">
        <v>95</v>
      </c>
      <c r="Q1577" s="67" t="s">
        <v>110</v>
      </c>
      <c r="R1577" s="92" t="s">
        <v>69</v>
      </c>
      <c r="S1577" s="92" t="s">
        <v>115</v>
      </c>
      <c r="T1577" s="67"/>
      <c r="U1577" s="67"/>
      <c r="V1577" s="95">
        <v>43039</v>
      </c>
      <c r="W1577" s="92" t="s">
        <v>290</v>
      </c>
      <c r="X1577" s="90" t="s">
        <v>117</v>
      </c>
      <c r="Y1577" s="123"/>
      <c r="Z1577" s="30">
        <f t="shared" si="48"/>
        <v>7304.8847801386073</v>
      </c>
      <c r="AA1577" s="30">
        <f t="shared" si="49"/>
        <v>0</v>
      </c>
      <c r="AB1577" t="s">
        <v>456</v>
      </c>
    </row>
    <row r="1578" spans="1:28">
      <c r="A1578" s="67" t="s">
        <v>113</v>
      </c>
      <c r="B1578" s="91">
        <v>1295681</v>
      </c>
      <c r="C1578" s="92">
        <v>4615478138</v>
      </c>
      <c r="D1578" s="93">
        <v>20709</v>
      </c>
      <c r="E1578" s="79"/>
      <c r="F1578" s="91">
        <v>16</v>
      </c>
      <c r="G1578" s="91">
        <v>0</v>
      </c>
      <c r="H1578" s="91">
        <v>0</v>
      </c>
      <c r="I1578" s="91">
        <v>0</v>
      </c>
      <c r="J1578" s="71">
        <v>43050</v>
      </c>
      <c r="K1578" s="71">
        <v>43039</v>
      </c>
      <c r="L1578" s="69" t="s">
        <v>108</v>
      </c>
      <c r="M1578" s="69" t="s">
        <v>109</v>
      </c>
      <c r="N1578" s="95">
        <v>43135</v>
      </c>
      <c r="O1578" s="67"/>
      <c r="P1578" s="67" t="s">
        <v>95</v>
      </c>
      <c r="Q1578" s="67" t="s">
        <v>110</v>
      </c>
      <c r="R1578" s="92" t="s">
        <v>69</v>
      </c>
      <c r="S1578" s="92" t="s">
        <v>115</v>
      </c>
      <c r="T1578" s="67"/>
      <c r="U1578" s="67"/>
      <c r="V1578" s="95">
        <v>43039</v>
      </c>
      <c r="W1578" s="92" t="s">
        <v>290</v>
      </c>
      <c r="X1578" s="90" t="s">
        <v>117</v>
      </c>
      <c r="Y1578" s="123"/>
      <c r="Z1578" s="30">
        <f t="shared" si="48"/>
        <v>7304.8847801386073</v>
      </c>
      <c r="AA1578" s="30">
        <f t="shared" si="49"/>
        <v>0</v>
      </c>
      <c r="AB1578" t="s">
        <v>456</v>
      </c>
    </row>
    <row r="1579" spans="1:28">
      <c r="A1579" s="67" t="s">
        <v>113</v>
      </c>
      <c r="B1579" s="91">
        <v>1295682</v>
      </c>
      <c r="C1579" s="92">
        <v>4615478138</v>
      </c>
      <c r="D1579" s="93">
        <v>20709</v>
      </c>
      <c r="E1579" s="79"/>
      <c r="F1579" s="91">
        <v>16</v>
      </c>
      <c r="G1579" s="91">
        <v>0</v>
      </c>
      <c r="H1579" s="91">
        <v>0</v>
      </c>
      <c r="I1579" s="91">
        <v>0</v>
      </c>
      <c r="J1579" s="71">
        <v>43050</v>
      </c>
      <c r="K1579" s="71">
        <v>43039</v>
      </c>
      <c r="L1579" s="69" t="s">
        <v>108</v>
      </c>
      <c r="M1579" s="69" t="s">
        <v>109</v>
      </c>
      <c r="N1579" s="95">
        <v>43135</v>
      </c>
      <c r="O1579" s="67"/>
      <c r="P1579" s="67" t="s">
        <v>95</v>
      </c>
      <c r="Q1579" s="67" t="s">
        <v>110</v>
      </c>
      <c r="R1579" s="92" t="s">
        <v>69</v>
      </c>
      <c r="S1579" s="92" t="s">
        <v>115</v>
      </c>
      <c r="T1579" s="67"/>
      <c r="U1579" s="67"/>
      <c r="V1579" s="95">
        <v>43039</v>
      </c>
      <c r="W1579" s="92" t="s">
        <v>290</v>
      </c>
      <c r="X1579" s="90" t="s">
        <v>117</v>
      </c>
      <c r="Y1579" s="123"/>
      <c r="Z1579" s="30">
        <f t="shared" si="48"/>
        <v>7304.8847801386073</v>
      </c>
      <c r="AA1579" s="30">
        <f t="shared" si="49"/>
        <v>0</v>
      </c>
      <c r="AB1579" t="s">
        <v>456</v>
      </c>
    </row>
    <row r="1580" spans="1:28">
      <c r="A1580" s="67" t="s">
        <v>113</v>
      </c>
      <c r="B1580" s="91">
        <v>1296552</v>
      </c>
      <c r="C1580" s="92">
        <v>4615478138</v>
      </c>
      <c r="D1580" s="93">
        <v>20709</v>
      </c>
      <c r="E1580" s="79"/>
      <c r="F1580" s="91">
        <v>16</v>
      </c>
      <c r="G1580" s="91">
        <v>0</v>
      </c>
      <c r="H1580" s="91">
        <v>0</v>
      </c>
      <c r="I1580" s="91">
        <v>0</v>
      </c>
      <c r="J1580" s="71">
        <v>43050</v>
      </c>
      <c r="K1580" s="71">
        <v>43039</v>
      </c>
      <c r="L1580" s="69" t="s">
        <v>108</v>
      </c>
      <c r="M1580" s="69" t="s">
        <v>109</v>
      </c>
      <c r="N1580" s="95">
        <v>43137</v>
      </c>
      <c r="O1580" s="67"/>
      <c r="P1580" s="67" t="s">
        <v>95</v>
      </c>
      <c r="Q1580" s="67" t="s">
        <v>110</v>
      </c>
      <c r="R1580" s="92" t="s">
        <v>69</v>
      </c>
      <c r="S1580" s="92" t="s">
        <v>115</v>
      </c>
      <c r="T1580" s="67"/>
      <c r="U1580" s="67"/>
      <c r="V1580" s="95">
        <v>43039</v>
      </c>
      <c r="W1580" s="92" t="s">
        <v>290</v>
      </c>
      <c r="X1580" s="90" t="s">
        <v>117</v>
      </c>
      <c r="Y1580" s="123"/>
      <c r="Z1580" s="30">
        <f t="shared" si="48"/>
        <v>7304.8847801386073</v>
      </c>
      <c r="AA1580" s="30">
        <f t="shared" si="49"/>
        <v>0</v>
      </c>
      <c r="AB1580" t="s">
        <v>456</v>
      </c>
    </row>
    <row r="1581" spans="1:28">
      <c r="A1581" s="67" t="s">
        <v>68</v>
      </c>
      <c r="B1581" s="91">
        <v>1293811</v>
      </c>
      <c r="C1581" s="92">
        <v>4615399715</v>
      </c>
      <c r="D1581" s="93">
        <v>19175</v>
      </c>
      <c r="E1581" s="79"/>
      <c r="F1581" s="94">
        <v>16</v>
      </c>
      <c r="G1581" s="96">
        <v>5</v>
      </c>
      <c r="H1581" s="91">
        <v>0</v>
      </c>
      <c r="I1581" s="91">
        <v>0</v>
      </c>
      <c r="J1581" s="71">
        <v>43003</v>
      </c>
      <c r="K1581" s="71">
        <v>43039</v>
      </c>
      <c r="L1581" s="69" t="s">
        <v>119</v>
      </c>
      <c r="M1581" s="69" t="s">
        <v>109</v>
      </c>
      <c r="N1581" s="95">
        <v>43108</v>
      </c>
      <c r="O1581" s="67"/>
      <c r="P1581" s="67" t="s">
        <v>95</v>
      </c>
      <c r="Q1581" s="67" t="s">
        <v>125</v>
      </c>
      <c r="R1581" s="92" t="s">
        <v>69</v>
      </c>
      <c r="S1581" s="92" t="s">
        <v>68</v>
      </c>
      <c r="T1581" s="67"/>
      <c r="U1581" s="67"/>
      <c r="V1581" s="95">
        <v>43039</v>
      </c>
      <c r="W1581" s="92">
        <v>5114739</v>
      </c>
      <c r="X1581" s="90"/>
      <c r="Y1581" s="123"/>
      <c r="Z1581" s="30">
        <f t="shared" si="48"/>
        <v>6763.7822038320437</v>
      </c>
      <c r="AA1581" s="30">
        <f t="shared" si="49"/>
        <v>2113.6819386975139</v>
      </c>
      <c r="AB1581" t="s">
        <v>456</v>
      </c>
    </row>
    <row r="1582" spans="1:28">
      <c r="A1582" s="67" t="s">
        <v>68</v>
      </c>
      <c r="B1582" s="91">
        <v>1293817</v>
      </c>
      <c r="C1582" s="92">
        <v>4615399715</v>
      </c>
      <c r="D1582" s="93">
        <v>19175</v>
      </c>
      <c r="E1582" s="79"/>
      <c r="F1582" s="94">
        <v>16</v>
      </c>
      <c r="G1582" s="96">
        <v>5</v>
      </c>
      <c r="H1582" s="94">
        <v>0</v>
      </c>
      <c r="I1582" s="91">
        <v>0</v>
      </c>
      <c r="J1582" s="71">
        <v>43003</v>
      </c>
      <c r="K1582" s="71">
        <v>43039</v>
      </c>
      <c r="L1582" s="69" t="s">
        <v>119</v>
      </c>
      <c r="M1582" s="69" t="s">
        <v>109</v>
      </c>
      <c r="N1582" s="95">
        <v>43108</v>
      </c>
      <c r="O1582" s="67"/>
      <c r="P1582" s="67" t="s">
        <v>95</v>
      </c>
      <c r="Q1582" s="67" t="s">
        <v>125</v>
      </c>
      <c r="R1582" s="92" t="s">
        <v>69</v>
      </c>
      <c r="S1582" s="92" t="s">
        <v>68</v>
      </c>
      <c r="T1582" s="67"/>
      <c r="U1582" s="67"/>
      <c r="V1582" s="95">
        <v>43039</v>
      </c>
      <c r="W1582" s="92">
        <v>5114739</v>
      </c>
      <c r="X1582" s="90"/>
      <c r="Y1582" s="123"/>
      <c r="Z1582" s="30">
        <f t="shared" si="48"/>
        <v>6763.7822038320437</v>
      </c>
      <c r="AA1582" s="30">
        <f t="shared" si="49"/>
        <v>2113.6819386975139</v>
      </c>
      <c r="AB1582" t="s">
        <v>456</v>
      </c>
    </row>
    <row r="1583" spans="1:28">
      <c r="A1583" s="67" t="s">
        <v>68</v>
      </c>
      <c r="B1583" s="91">
        <v>1293818</v>
      </c>
      <c r="C1583" s="92">
        <v>4615399715</v>
      </c>
      <c r="D1583" s="93">
        <v>19175</v>
      </c>
      <c r="E1583" s="79"/>
      <c r="F1583" s="94">
        <v>16</v>
      </c>
      <c r="G1583" s="96">
        <v>5</v>
      </c>
      <c r="H1583" s="94">
        <v>0</v>
      </c>
      <c r="I1583" s="91">
        <v>0</v>
      </c>
      <c r="J1583" s="71">
        <v>43003</v>
      </c>
      <c r="K1583" s="71">
        <v>43039</v>
      </c>
      <c r="L1583" s="69" t="s">
        <v>119</v>
      </c>
      <c r="M1583" s="69" t="s">
        <v>109</v>
      </c>
      <c r="N1583" s="95">
        <v>43108</v>
      </c>
      <c r="O1583" s="67"/>
      <c r="P1583" s="67" t="s">
        <v>95</v>
      </c>
      <c r="Q1583" s="67" t="s">
        <v>125</v>
      </c>
      <c r="R1583" s="92" t="s">
        <v>69</v>
      </c>
      <c r="S1583" s="92" t="s">
        <v>68</v>
      </c>
      <c r="T1583" s="67"/>
      <c r="U1583" s="67"/>
      <c r="V1583" s="95">
        <v>43039</v>
      </c>
      <c r="W1583" s="92">
        <v>5114739</v>
      </c>
      <c r="X1583" s="90"/>
      <c r="Y1583" s="123"/>
      <c r="Z1583" s="30">
        <f t="shared" si="48"/>
        <v>6763.7822038320437</v>
      </c>
      <c r="AA1583" s="30">
        <f t="shared" si="49"/>
        <v>2113.6819386975139</v>
      </c>
      <c r="AB1583" t="s">
        <v>456</v>
      </c>
    </row>
    <row r="1584" spans="1:28">
      <c r="A1584" s="67" t="s">
        <v>68</v>
      </c>
      <c r="B1584" s="91">
        <v>1293819</v>
      </c>
      <c r="C1584" s="92">
        <v>4615399715</v>
      </c>
      <c r="D1584" s="93">
        <v>19175</v>
      </c>
      <c r="E1584" s="79"/>
      <c r="F1584" s="94">
        <v>16</v>
      </c>
      <c r="G1584" s="96">
        <v>5</v>
      </c>
      <c r="H1584" s="94">
        <v>0</v>
      </c>
      <c r="I1584" s="91">
        <v>0</v>
      </c>
      <c r="J1584" s="71">
        <v>43003</v>
      </c>
      <c r="K1584" s="71">
        <v>43039</v>
      </c>
      <c r="L1584" s="69" t="s">
        <v>119</v>
      </c>
      <c r="M1584" s="69" t="s">
        <v>109</v>
      </c>
      <c r="N1584" s="95">
        <v>43110</v>
      </c>
      <c r="O1584" s="67"/>
      <c r="P1584" s="67" t="s">
        <v>95</v>
      </c>
      <c r="Q1584" s="67" t="s">
        <v>125</v>
      </c>
      <c r="R1584" s="92" t="s">
        <v>69</v>
      </c>
      <c r="S1584" s="92" t="s">
        <v>68</v>
      </c>
      <c r="T1584" s="67"/>
      <c r="U1584" s="67"/>
      <c r="V1584" s="95">
        <v>43039</v>
      </c>
      <c r="W1584" s="92">
        <v>5114739</v>
      </c>
      <c r="X1584" s="90"/>
      <c r="Y1584" s="123"/>
      <c r="Z1584" s="30">
        <f t="shared" si="48"/>
        <v>6763.7822038320437</v>
      </c>
      <c r="AA1584" s="30">
        <f t="shared" si="49"/>
        <v>2113.6819386975139</v>
      </c>
      <c r="AB1584" t="s">
        <v>456</v>
      </c>
    </row>
    <row r="1585" spans="1:28">
      <c r="A1585" s="67" t="s">
        <v>68</v>
      </c>
      <c r="B1585" s="91">
        <v>1293820</v>
      </c>
      <c r="C1585" s="92">
        <v>4615399715</v>
      </c>
      <c r="D1585" s="93">
        <v>19175</v>
      </c>
      <c r="E1585" s="79"/>
      <c r="F1585" s="94">
        <v>16</v>
      </c>
      <c r="G1585" s="96">
        <v>5</v>
      </c>
      <c r="H1585" s="94">
        <v>0</v>
      </c>
      <c r="I1585" s="91">
        <v>0</v>
      </c>
      <c r="J1585" s="71">
        <v>43003</v>
      </c>
      <c r="K1585" s="71">
        <v>43039</v>
      </c>
      <c r="L1585" s="69" t="s">
        <v>119</v>
      </c>
      <c r="M1585" s="69" t="s">
        <v>109</v>
      </c>
      <c r="N1585" s="95">
        <v>43111</v>
      </c>
      <c r="O1585" s="67"/>
      <c r="P1585" s="67" t="s">
        <v>95</v>
      </c>
      <c r="Q1585" s="67" t="s">
        <v>125</v>
      </c>
      <c r="R1585" s="92" t="s">
        <v>69</v>
      </c>
      <c r="S1585" s="92" t="s">
        <v>68</v>
      </c>
      <c r="T1585" s="67"/>
      <c r="U1585" s="67"/>
      <c r="V1585" s="95">
        <v>43039</v>
      </c>
      <c r="W1585" s="92">
        <v>5114739</v>
      </c>
      <c r="X1585" s="90"/>
      <c r="Y1585" s="123"/>
      <c r="Z1585" s="30">
        <f t="shared" si="48"/>
        <v>6763.7822038320437</v>
      </c>
      <c r="AA1585" s="30">
        <f t="shared" si="49"/>
        <v>2113.6819386975139</v>
      </c>
      <c r="AB1585" t="s">
        <v>456</v>
      </c>
    </row>
    <row r="1586" spans="1:28">
      <c r="A1586" s="67" t="s">
        <v>68</v>
      </c>
      <c r="B1586" s="91">
        <v>1293821</v>
      </c>
      <c r="C1586" s="92">
        <v>4615399715</v>
      </c>
      <c r="D1586" s="93">
        <v>19175</v>
      </c>
      <c r="E1586" s="79"/>
      <c r="F1586" s="94">
        <v>16</v>
      </c>
      <c r="G1586" s="96">
        <v>5</v>
      </c>
      <c r="H1586" s="94">
        <v>0</v>
      </c>
      <c r="I1586" s="91">
        <v>0</v>
      </c>
      <c r="J1586" s="71">
        <v>43003</v>
      </c>
      <c r="K1586" s="71">
        <v>43039</v>
      </c>
      <c r="L1586" s="69" t="s">
        <v>119</v>
      </c>
      <c r="M1586" s="69" t="s">
        <v>109</v>
      </c>
      <c r="N1586" s="95">
        <v>43107</v>
      </c>
      <c r="O1586" s="67"/>
      <c r="P1586" s="67" t="s">
        <v>95</v>
      </c>
      <c r="Q1586" s="67" t="s">
        <v>125</v>
      </c>
      <c r="R1586" s="92" t="s">
        <v>69</v>
      </c>
      <c r="S1586" s="92" t="s">
        <v>68</v>
      </c>
      <c r="T1586" s="67"/>
      <c r="U1586" s="67"/>
      <c r="V1586" s="95">
        <v>43039</v>
      </c>
      <c r="W1586" s="92">
        <v>5114739</v>
      </c>
      <c r="X1586" s="90"/>
      <c r="Y1586" s="123"/>
      <c r="Z1586" s="30">
        <f t="shared" si="48"/>
        <v>6763.7822038320437</v>
      </c>
      <c r="AA1586" s="30">
        <f t="shared" si="49"/>
        <v>2113.6819386975139</v>
      </c>
      <c r="AB1586" t="s">
        <v>456</v>
      </c>
    </row>
    <row r="1587" spans="1:28">
      <c r="A1587" s="67" t="s">
        <v>68</v>
      </c>
      <c r="B1587" s="91">
        <v>1293808</v>
      </c>
      <c r="C1587" s="92">
        <v>4615399715</v>
      </c>
      <c r="D1587" s="93">
        <v>19175</v>
      </c>
      <c r="E1587" s="79"/>
      <c r="F1587" s="94">
        <v>16</v>
      </c>
      <c r="G1587" s="96">
        <v>5</v>
      </c>
      <c r="H1587" s="94">
        <v>0</v>
      </c>
      <c r="I1587" s="91">
        <v>0</v>
      </c>
      <c r="J1587" s="71">
        <v>43003</v>
      </c>
      <c r="K1587" s="71">
        <v>43039</v>
      </c>
      <c r="L1587" s="69" t="s">
        <v>119</v>
      </c>
      <c r="M1587" s="69" t="s">
        <v>109</v>
      </c>
      <c r="N1587" s="95">
        <v>43111</v>
      </c>
      <c r="O1587" s="67"/>
      <c r="P1587" s="67" t="s">
        <v>95</v>
      </c>
      <c r="Q1587" s="67" t="s">
        <v>125</v>
      </c>
      <c r="R1587" s="92" t="s">
        <v>69</v>
      </c>
      <c r="S1587" s="92" t="s">
        <v>68</v>
      </c>
      <c r="T1587" s="67"/>
      <c r="U1587" s="67"/>
      <c r="V1587" s="95">
        <v>43039</v>
      </c>
      <c r="W1587" s="92">
        <v>5114739</v>
      </c>
      <c r="X1587" s="90"/>
      <c r="Y1587" s="123"/>
      <c r="Z1587" s="30">
        <f t="shared" si="48"/>
        <v>6763.7822038320437</v>
      </c>
      <c r="AA1587" s="30">
        <f t="shared" si="49"/>
        <v>2113.6819386975139</v>
      </c>
      <c r="AB1587" t="s">
        <v>456</v>
      </c>
    </row>
    <row r="1588" spans="1:28">
      <c r="A1588" s="67" t="s">
        <v>68</v>
      </c>
      <c r="B1588" s="91">
        <v>1293813</v>
      </c>
      <c r="C1588" s="92">
        <v>4615399715</v>
      </c>
      <c r="D1588" s="93">
        <v>19175</v>
      </c>
      <c r="E1588" s="79"/>
      <c r="F1588" s="94">
        <v>16</v>
      </c>
      <c r="G1588" s="96">
        <v>5</v>
      </c>
      <c r="H1588" s="94">
        <v>0</v>
      </c>
      <c r="I1588" s="91">
        <v>0</v>
      </c>
      <c r="J1588" s="71">
        <v>43003</v>
      </c>
      <c r="K1588" s="71">
        <v>43039</v>
      </c>
      <c r="L1588" s="69" t="s">
        <v>119</v>
      </c>
      <c r="M1588" s="69" t="s">
        <v>109</v>
      </c>
      <c r="N1588" s="95">
        <v>43111</v>
      </c>
      <c r="O1588" s="67"/>
      <c r="P1588" s="67" t="s">
        <v>95</v>
      </c>
      <c r="Q1588" s="67" t="s">
        <v>125</v>
      </c>
      <c r="R1588" s="92" t="s">
        <v>69</v>
      </c>
      <c r="S1588" s="92" t="s">
        <v>68</v>
      </c>
      <c r="T1588" s="67"/>
      <c r="U1588" s="67"/>
      <c r="V1588" s="95">
        <v>43039</v>
      </c>
      <c r="W1588" s="92">
        <v>5114739</v>
      </c>
      <c r="X1588" s="90"/>
      <c r="Y1588" s="123"/>
      <c r="Z1588" s="30">
        <f t="shared" si="48"/>
        <v>6763.7822038320437</v>
      </c>
      <c r="AA1588" s="30">
        <f t="shared" si="49"/>
        <v>2113.6819386975139</v>
      </c>
      <c r="AB1588" t="s">
        <v>456</v>
      </c>
    </row>
    <row r="1589" spans="1:28">
      <c r="A1589" s="67" t="s">
        <v>68</v>
      </c>
      <c r="B1589" s="91">
        <v>1293812</v>
      </c>
      <c r="C1589" s="92">
        <v>4615399715</v>
      </c>
      <c r="D1589" s="93">
        <v>19175</v>
      </c>
      <c r="E1589" s="79"/>
      <c r="F1589" s="94">
        <v>16</v>
      </c>
      <c r="G1589" s="96">
        <v>5</v>
      </c>
      <c r="H1589" s="91">
        <v>0</v>
      </c>
      <c r="I1589" s="91">
        <v>0</v>
      </c>
      <c r="J1589" s="71">
        <v>43003</v>
      </c>
      <c r="K1589" s="71">
        <v>43039</v>
      </c>
      <c r="L1589" s="69" t="s">
        <v>119</v>
      </c>
      <c r="M1589" s="69" t="s">
        <v>109</v>
      </c>
      <c r="N1589" s="95">
        <v>43110</v>
      </c>
      <c r="O1589" s="67"/>
      <c r="P1589" s="67" t="s">
        <v>95</v>
      </c>
      <c r="Q1589" s="67" t="s">
        <v>125</v>
      </c>
      <c r="R1589" s="92" t="s">
        <v>69</v>
      </c>
      <c r="S1589" s="92" t="s">
        <v>68</v>
      </c>
      <c r="T1589" s="67"/>
      <c r="U1589" s="67"/>
      <c r="V1589" s="95">
        <v>43039</v>
      </c>
      <c r="W1589" s="92">
        <v>5114739</v>
      </c>
      <c r="X1589" s="90"/>
      <c r="Y1589" s="123"/>
      <c r="Z1589" s="30">
        <f t="shared" si="48"/>
        <v>6763.7822038320437</v>
      </c>
      <c r="AA1589" s="30">
        <f t="shared" si="49"/>
        <v>2113.6819386975139</v>
      </c>
      <c r="AB1589" t="s">
        <v>456</v>
      </c>
    </row>
    <row r="1590" spans="1:28">
      <c r="A1590" s="67" t="s">
        <v>68</v>
      </c>
      <c r="B1590" s="91">
        <v>1293807</v>
      </c>
      <c r="C1590" s="92">
        <v>4615399715</v>
      </c>
      <c r="D1590" s="93">
        <v>19175</v>
      </c>
      <c r="E1590" s="79"/>
      <c r="F1590" s="94">
        <v>16</v>
      </c>
      <c r="G1590" s="96">
        <v>5</v>
      </c>
      <c r="H1590" s="91">
        <v>0</v>
      </c>
      <c r="I1590" s="91">
        <v>0</v>
      </c>
      <c r="J1590" s="71">
        <v>43003</v>
      </c>
      <c r="K1590" s="71">
        <v>43039</v>
      </c>
      <c r="L1590" s="69" t="s">
        <v>119</v>
      </c>
      <c r="M1590" s="69" t="s">
        <v>109</v>
      </c>
      <c r="N1590" s="95">
        <v>43107</v>
      </c>
      <c r="O1590" s="67"/>
      <c r="P1590" s="67" t="s">
        <v>95</v>
      </c>
      <c r="Q1590" s="67" t="s">
        <v>125</v>
      </c>
      <c r="R1590" s="92" t="s">
        <v>69</v>
      </c>
      <c r="S1590" s="92" t="s">
        <v>68</v>
      </c>
      <c r="T1590" s="67"/>
      <c r="U1590" s="67"/>
      <c r="V1590" s="95">
        <v>43039</v>
      </c>
      <c r="W1590" s="92">
        <v>5114739</v>
      </c>
      <c r="X1590" s="90"/>
      <c r="Y1590" s="123"/>
      <c r="Z1590" s="30">
        <f t="shared" si="48"/>
        <v>6763.7822038320437</v>
      </c>
      <c r="AA1590" s="30">
        <f t="shared" si="49"/>
        <v>2113.6819386975139</v>
      </c>
      <c r="AB1590" t="s">
        <v>456</v>
      </c>
    </row>
    <row r="1591" spans="1:28">
      <c r="A1591" s="67" t="s">
        <v>68</v>
      </c>
      <c r="B1591" s="91">
        <v>1293809</v>
      </c>
      <c r="C1591" s="92">
        <v>4615399715</v>
      </c>
      <c r="D1591" s="93">
        <v>19175</v>
      </c>
      <c r="E1591" s="79"/>
      <c r="F1591" s="94">
        <v>16</v>
      </c>
      <c r="G1591" s="96">
        <v>5</v>
      </c>
      <c r="H1591" s="91">
        <v>0</v>
      </c>
      <c r="I1591" s="91">
        <v>0</v>
      </c>
      <c r="J1591" s="71">
        <v>43003</v>
      </c>
      <c r="K1591" s="71">
        <v>43039</v>
      </c>
      <c r="L1591" s="69" t="s">
        <v>119</v>
      </c>
      <c r="M1591" s="69" t="s">
        <v>109</v>
      </c>
      <c r="N1591" s="95">
        <v>43107</v>
      </c>
      <c r="O1591" s="67"/>
      <c r="P1591" s="67" t="s">
        <v>95</v>
      </c>
      <c r="Q1591" s="67" t="s">
        <v>125</v>
      </c>
      <c r="R1591" s="92" t="s">
        <v>69</v>
      </c>
      <c r="S1591" s="92" t="s">
        <v>68</v>
      </c>
      <c r="T1591" s="67"/>
      <c r="U1591" s="67"/>
      <c r="V1591" s="95">
        <v>43039</v>
      </c>
      <c r="W1591" s="92">
        <v>5114739</v>
      </c>
      <c r="X1591" s="90"/>
      <c r="Y1591" s="123"/>
      <c r="Z1591" s="30">
        <f t="shared" si="48"/>
        <v>6763.7822038320437</v>
      </c>
      <c r="AA1591" s="30">
        <f t="shared" si="49"/>
        <v>2113.6819386975139</v>
      </c>
      <c r="AB1591" t="s">
        <v>456</v>
      </c>
    </row>
    <row r="1592" spans="1:28">
      <c r="A1592" s="67" t="s">
        <v>128</v>
      </c>
      <c r="B1592" s="91">
        <v>1287099</v>
      </c>
      <c r="C1592" s="92">
        <v>4615445771</v>
      </c>
      <c r="D1592" s="93">
        <v>19175</v>
      </c>
      <c r="E1592" s="79"/>
      <c r="F1592" s="94">
        <v>154.32</v>
      </c>
      <c r="G1592" s="94">
        <v>0</v>
      </c>
      <c r="H1592" s="91">
        <v>0</v>
      </c>
      <c r="I1592" s="91">
        <v>0</v>
      </c>
      <c r="J1592" s="71">
        <v>42997</v>
      </c>
      <c r="K1592" s="71">
        <v>43039</v>
      </c>
      <c r="L1592" s="69" t="s">
        <v>119</v>
      </c>
      <c r="M1592" s="69" t="s">
        <v>109</v>
      </c>
      <c r="N1592" s="95">
        <v>43115</v>
      </c>
      <c r="O1592" s="67"/>
      <c r="P1592" s="67" t="s">
        <v>95</v>
      </c>
      <c r="Q1592" s="67" t="s">
        <v>129</v>
      </c>
      <c r="R1592" s="92" t="s">
        <v>69</v>
      </c>
      <c r="S1592" s="92" t="s">
        <v>130</v>
      </c>
      <c r="T1592" s="67"/>
      <c r="U1592" s="67"/>
      <c r="V1592" s="95">
        <v>43039</v>
      </c>
      <c r="W1592" s="92">
        <v>425570019</v>
      </c>
      <c r="X1592" s="90"/>
      <c r="Y1592" s="123"/>
      <c r="Z1592" s="30">
        <f t="shared" si="48"/>
        <v>65236.679355960063</v>
      </c>
      <c r="AA1592" s="30">
        <f t="shared" si="49"/>
        <v>0</v>
      </c>
      <c r="AB1592" t="s">
        <v>456</v>
      </c>
    </row>
    <row r="1593" spans="1:28">
      <c r="A1593" s="67" t="s">
        <v>128</v>
      </c>
      <c r="B1593" s="91">
        <v>1296969</v>
      </c>
      <c r="C1593" s="92">
        <v>4615445771</v>
      </c>
      <c r="D1593" s="93">
        <v>19175</v>
      </c>
      <c r="E1593" s="79"/>
      <c r="F1593" s="94">
        <v>154.32</v>
      </c>
      <c r="G1593" s="94">
        <v>0</v>
      </c>
      <c r="H1593" s="91">
        <v>0</v>
      </c>
      <c r="I1593" s="91">
        <v>0</v>
      </c>
      <c r="J1593" s="71">
        <v>43061</v>
      </c>
      <c r="K1593" s="71">
        <v>43039</v>
      </c>
      <c r="L1593" s="69" t="s">
        <v>119</v>
      </c>
      <c r="M1593" s="69" t="s">
        <v>109</v>
      </c>
      <c r="N1593" s="95">
        <v>43121</v>
      </c>
      <c r="O1593" s="67"/>
      <c r="P1593" s="67" t="s">
        <v>95</v>
      </c>
      <c r="Q1593" s="67" t="s">
        <v>129</v>
      </c>
      <c r="R1593" s="92" t="s">
        <v>69</v>
      </c>
      <c r="S1593" s="92" t="s">
        <v>130</v>
      </c>
      <c r="T1593" s="67"/>
      <c r="U1593" s="67"/>
      <c r="V1593" s="95">
        <v>43039</v>
      </c>
      <c r="W1593" s="92">
        <v>425570019</v>
      </c>
      <c r="X1593" s="90"/>
      <c r="Y1593" s="123"/>
      <c r="Z1593" s="30">
        <f t="shared" si="48"/>
        <v>65236.679355960063</v>
      </c>
      <c r="AA1593" s="30">
        <f t="shared" si="49"/>
        <v>0</v>
      </c>
      <c r="AB1593" t="s">
        <v>456</v>
      </c>
    </row>
    <row r="1594" spans="1:28">
      <c r="A1594" s="67" t="s">
        <v>107</v>
      </c>
      <c r="B1594" s="91">
        <v>1284379</v>
      </c>
      <c r="C1594" s="92">
        <v>4615502829</v>
      </c>
      <c r="D1594" s="93">
        <v>19200</v>
      </c>
      <c r="E1594" s="79"/>
      <c r="F1594" s="91">
        <v>154.32</v>
      </c>
      <c r="G1594" s="91">
        <v>0</v>
      </c>
      <c r="H1594" s="91">
        <v>0</v>
      </c>
      <c r="I1594" s="91">
        <v>0</v>
      </c>
      <c r="J1594" s="71">
        <v>43005</v>
      </c>
      <c r="K1594" s="71">
        <v>43039</v>
      </c>
      <c r="L1594" s="69" t="s">
        <v>119</v>
      </c>
      <c r="M1594" s="69" t="s">
        <v>109</v>
      </c>
      <c r="N1594" s="95">
        <v>43109</v>
      </c>
      <c r="O1594" s="67"/>
      <c r="P1594" s="67" t="s">
        <v>95</v>
      </c>
      <c r="Q1594" s="67" t="s">
        <v>110</v>
      </c>
      <c r="R1594" s="92" t="s">
        <v>69</v>
      </c>
      <c r="S1594" s="92" t="s">
        <v>111</v>
      </c>
      <c r="T1594" s="67"/>
      <c r="U1594" s="67"/>
      <c r="V1594" s="95">
        <v>43039</v>
      </c>
      <c r="W1594" s="92" t="s">
        <v>291</v>
      </c>
      <c r="X1594" s="90"/>
      <c r="Y1594" s="123"/>
      <c r="Z1594" s="30">
        <f t="shared" si="48"/>
        <v>65321.73369671098</v>
      </c>
      <c r="AA1594" s="30">
        <f t="shared" si="49"/>
        <v>0</v>
      </c>
      <c r="AB1594" t="s">
        <v>456</v>
      </c>
    </row>
    <row r="1595" spans="1:28">
      <c r="A1595" s="67" t="s">
        <v>107</v>
      </c>
      <c r="B1595" s="91">
        <v>1284380</v>
      </c>
      <c r="C1595" s="92">
        <v>4615502829</v>
      </c>
      <c r="D1595" s="93">
        <v>19200</v>
      </c>
      <c r="E1595" s="79"/>
      <c r="F1595" s="91">
        <v>154.32</v>
      </c>
      <c r="G1595" s="91">
        <v>0</v>
      </c>
      <c r="H1595" s="91">
        <v>0</v>
      </c>
      <c r="I1595" s="91">
        <v>0</v>
      </c>
      <c r="J1595" s="71">
        <v>43005</v>
      </c>
      <c r="K1595" s="71">
        <v>43039</v>
      </c>
      <c r="L1595" s="69" t="s">
        <v>119</v>
      </c>
      <c r="M1595" s="69" t="s">
        <v>109</v>
      </c>
      <c r="N1595" s="95">
        <v>43114</v>
      </c>
      <c r="O1595" s="67"/>
      <c r="P1595" s="67" t="s">
        <v>95</v>
      </c>
      <c r="Q1595" s="67" t="s">
        <v>110</v>
      </c>
      <c r="R1595" s="92" t="s">
        <v>69</v>
      </c>
      <c r="S1595" s="92" t="s">
        <v>111</v>
      </c>
      <c r="T1595" s="67"/>
      <c r="U1595" s="67"/>
      <c r="V1595" s="95">
        <v>43039</v>
      </c>
      <c r="W1595" s="92" t="s">
        <v>291</v>
      </c>
      <c r="X1595" s="90"/>
      <c r="Y1595" s="123"/>
      <c r="Z1595" s="30">
        <f t="shared" si="48"/>
        <v>65321.73369671098</v>
      </c>
      <c r="AA1595" s="30">
        <f t="shared" si="49"/>
        <v>0</v>
      </c>
      <c r="AB1595" t="s">
        <v>456</v>
      </c>
    </row>
    <row r="1596" spans="1:28">
      <c r="A1596" s="67" t="s">
        <v>107</v>
      </c>
      <c r="B1596" s="91">
        <v>1284378</v>
      </c>
      <c r="C1596" s="92">
        <v>4615502829</v>
      </c>
      <c r="D1596" s="93">
        <v>19200</v>
      </c>
      <c r="E1596" s="79"/>
      <c r="F1596" s="91">
        <v>154.32</v>
      </c>
      <c r="G1596" s="91">
        <v>0</v>
      </c>
      <c r="H1596" s="91">
        <v>0</v>
      </c>
      <c r="I1596" s="91">
        <v>0</v>
      </c>
      <c r="J1596" s="71">
        <v>43005</v>
      </c>
      <c r="K1596" s="71">
        <v>43039</v>
      </c>
      <c r="L1596" s="69" t="s">
        <v>119</v>
      </c>
      <c r="M1596" s="69" t="s">
        <v>109</v>
      </c>
      <c r="N1596" s="95">
        <v>43118</v>
      </c>
      <c r="O1596" s="67"/>
      <c r="P1596" s="67" t="s">
        <v>95</v>
      </c>
      <c r="Q1596" s="67" t="s">
        <v>110</v>
      </c>
      <c r="R1596" s="92" t="s">
        <v>69</v>
      </c>
      <c r="S1596" s="92" t="s">
        <v>111</v>
      </c>
      <c r="T1596" s="67"/>
      <c r="U1596" s="67"/>
      <c r="V1596" s="95">
        <v>43039</v>
      </c>
      <c r="W1596" s="92" t="s">
        <v>291</v>
      </c>
      <c r="X1596" s="90"/>
      <c r="Y1596" s="123"/>
      <c r="Z1596" s="30">
        <f t="shared" si="48"/>
        <v>65321.73369671098</v>
      </c>
      <c r="AA1596" s="30">
        <f t="shared" si="49"/>
        <v>0</v>
      </c>
      <c r="AB1596" t="s">
        <v>456</v>
      </c>
    </row>
    <row r="1597" spans="1:28">
      <c r="A1597" s="67" t="s">
        <v>118</v>
      </c>
      <c r="B1597" s="91">
        <v>1308290</v>
      </c>
      <c r="C1597" s="92">
        <v>4615371570</v>
      </c>
      <c r="D1597" s="93">
        <v>19175</v>
      </c>
      <c r="E1597" s="79"/>
      <c r="F1597" s="91">
        <v>10</v>
      </c>
      <c r="G1597" s="96">
        <v>5</v>
      </c>
      <c r="H1597" s="91">
        <v>0</v>
      </c>
      <c r="I1597" s="91">
        <v>0</v>
      </c>
      <c r="J1597" s="71">
        <v>43080</v>
      </c>
      <c r="K1597" s="71">
        <v>43069</v>
      </c>
      <c r="L1597" s="69" t="s">
        <v>119</v>
      </c>
      <c r="M1597" s="69" t="s">
        <v>109</v>
      </c>
      <c r="N1597" s="95">
        <v>43144</v>
      </c>
      <c r="O1597" s="67"/>
      <c r="P1597" s="67" t="s">
        <v>95</v>
      </c>
      <c r="Q1597" s="67" t="s">
        <v>120</v>
      </c>
      <c r="R1597" s="92" t="s">
        <v>69</v>
      </c>
      <c r="S1597" s="92" t="s">
        <v>121</v>
      </c>
      <c r="T1597" s="67"/>
      <c r="U1597" s="67"/>
      <c r="V1597" s="95">
        <v>43069</v>
      </c>
      <c r="W1597" s="92">
        <v>2021271</v>
      </c>
      <c r="X1597" s="90"/>
      <c r="Y1597" s="123"/>
      <c r="Z1597" s="30">
        <f t="shared" si="48"/>
        <v>4227.3638773950279</v>
      </c>
      <c r="AA1597" s="30">
        <f t="shared" si="49"/>
        <v>2113.6819386975139</v>
      </c>
      <c r="AB1597" t="s">
        <v>456</v>
      </c>
    </row>
    <row r="1598" spans="1:28">
      <c r="A1598" s="67" t="s">
        <v>118</v>
      </c>
      <c r="B1598" s="91">
        <v>1308288</v>
      </c>
      <c r="C1598" s="92">
        <v>4615371570</v>
      </c>
      <c r="D1598" s="93">
        <v>19175</v>
      </c>
      <c r="E1598" s="79"/>
      <c r="F1598" s="91">
        <v>10</v>
      </c>
      <c r="G1598" s="96">
        <v>5</v>
      </c>
      <c r="H1598" s="91">
        <v>0</v>
      </c>
      <c r="I1598" s="91">
        <v>0</v>
      </c>
      <c r="J1598" s="71">
        <v>43080</v>
      </c>
      <c r="K1598" s="71">
        <v>43069</v>
      </c>
      <c r="L1598" s="69" t="s">
        <v>119</v>
      </c>
      <c r="M1598" s="69" t="s">
        <v>109</v>
      </c>
      <c r="N1598" s="95">
        <v>43144</v>
      </c>
      <c r="O1598" s="67"/>
      <c r="P1598" s="67" t="s">
        <v>95</v>
      </c>
      <c r="Q1598" s="67" t="s">
        <v>120</v>
      </c>
      <c r="R1598" s="92" t="s">
        <v>69</v>
      </c>
      <c r="S1598" s="92" t="s">
        <v>121</v>
      </c>
      <c r="T1598" s="67"/>
      <c r="U1598" s="67"/>
      <c r="V1598" s="95">
        <v>43069</v>
      </c>
      <c r="W1598" s="92">
        <v>2021271</v>
      </c>
      <c r="X1598" s="90"/>
      <c r="Y1598" s="123"/>
      <c r="Z1598" s="30">
        <f t="shared" si="48"/>
        <v>4227.3638773950279</v>
      </c>
      <c r="AA1598" s="30">
        <f t="shared" si="49"/>
        <v>2113.6819386975139</v>
      </c>
      <c r="AB1598" t="s">
        <v>456</v>
      </c>
    </row>
    <row r="1599" spans="1:28">
      <c r="A1599" s="67" t="s">
        <v>118</v>
      </c>
      <c r="B1599" s="91">
        <v>1308287</v>
      </c>
      <c r="C1599" s="92">
        <v>4615371570</v>
      </c>
      <c r="D1599" s="93">
        <v>19175</v>
      </c>
      <c r="E1599" s="79"/>
      <c r="F1599" s="91">
        <v>10</v>
      </c>
      <c r="G1599" s="96">
        <v>5</v>
      </c>
      <c r="H1599" s="91">
        <v>0</v>
      </c>
      <c r="I1599" s="91">
        <v>0</v>
      </c>
      <c r="J1599" s="71">
        <v>43080</v>
      </c>
      <c r="K1599" s="71">
        <v>43069</v>
      </c>
      <c r="L1599" s="69" t="s">
        <v>119</v>
      </c>
      <c r="M1599" s="69" t="s">
        <v>109</v>
      </c>
      <c r="N1599" s="95">
        <v>43145</v>
      </c>
      <c r="O1599" s="67"/>
      <c r="P1599" s="67" t="s">
        <v>95</v>
      </c>
      <c r="Q1599" s="67" t="s">
        <v>120</v>
      </c>
      <c r="R1599" s="92" t="s">
        <v>69</v>
      </c>
      <c r="S1599" s="92" t="s">
        <v>121</v>
      </c>
      <c r="T1599" s="67"/>
      <c r="U1599" s="67"/>
      <c r="V1599" s="95">
        <v>43069</v>
      </c>
      <c r="W1599" s="92">
        <v>2021271</v>
      </c>
      <c r="X1599" s="90"/>
      <c r="Y1599" s="123"/>
      <c r="Z1599" s="30">
        <f t="shared" si="48"/>
        <v>4227.3638773950279</v>
      </c>
      <c r="AA1599" s="30">
        <f t="shared" si="49"/>
        <v>2113.6819386975139</v>
      </c>
      <c r="AB1599" t="s">
        <v>456</v>
      </c>
    </row>
    <row r="1600" spans="1:28">
      <c r="A1600" s="67" t="s">
        <v>118</v>
      </c>
      <c r="B1600" s="91">
        <v>1308286</v>
      </c>
      <c r="C1600" s="92">
        <v>4615371570</v>
      </c>
      <c r="D1600" s="93">
        <v>19175</v>
      </c>
      <c r="E1600" s="79"/>
      <c r="F1600" s="91">
        <v>10</v>
      </c>
      <c r="G1600" s="96">
        <v>5</v>
      </c>
      <c r="H1600" s="91">
        <v>0</v>
      </c>
      <c r="I1600" s="91">
        <v>0</v>
      </c>
      <c r="J1600" s="71">
        <v>43080</v>
      </c>
      <c r="K1600" s="71">
        <v>43069</v>
      </c>
      <c r="L1600" s="69" t="s">
        <v>119</v>
      </c>
      <c r="M1600" s="69" t="s">
        <v>109</v>
      </c>
      <c r="N1600" s="95">
        <v>43149</v>
      </c>
      <c r="O1600" s="67"/>
      <c r="P1600" s="67" t="s">
        <v>95</v>
      </c>
      <c r="Q1600" s="67" t="s">
        <v>120</v>
      </c>
      <c r="R1600" s="92" t="s">
        <v>69</v>
      </c>
      <c r="S1600" s="92" t="s">
        <v>121</v>
      </c>
      <c r="T1600" s="67"/>
      <c r="U1600" s="67"/>
      <c r="V1600" s="95">
        <v>43069</v>
      </c>
      <c r="W1600" s="92">
        <v>2021271</v>
      </c>
      <c r="X1600" s="90"/>
      <c r="Y1600" s="123"/>
      <c r="Z1600" s="30">
        <f t="shared" si="48"/>
        <v>4227.3638773950279</v>
      </c>
      <c r="AA1600" s="30">
        <f t="shared" si="49"/>
        <v>2113.6819386975139</v>
      </c>
      <c r="AB1600" t="s">
        <v>456</v>
      </c>
    </row>
    <row r="1601" spans="1:28">
      <c r="A1601" s="67" t="s">
        <v>118</v>
      </c>
      <c r="B1601" s="91">
        <v>1308289</v>
      </c>
      <c r="C1601" s="92">
        <v>4615371570</v>
      </c>
      <c r="D1601" s="93">
        <v>19175</v>
      </c>
      <c r="E1601" s="79"/>
      <c r="F1601" s="91">
        <v>10</v>
      </c>
      <c r="G1601" s="96">
        <v>5</v>
      </c>
      <c r="H1601" s="91">
        <v>0</v>
      </c>
      <c r="I1601" s="91">
        <v>0</v>
      </c>
      <c r="J1601" s="71">
        <v>43080</v>
      </c>
      <c r="K1601" s="71">
        <v>43069</v>
      </c>
      <c r="L1601" s="69" t="s">
        <v>119</v>
      </c>
      <c r="M1601" s="69" t="s">
        <v>109</v>
      </c>
      <c r="N1601" s="95">
        <v>43156</v>
      </c>
      <c r="O1601" s="67"/>
      <c r="P1601" s="67" t="s">
        <v>95</v>
      </c>
      <c r="Q1601" s="67" t="s">
        <v>120</v>
      </c>
      <c r="R1601" s="92" t="s">
        <v>69</v>
      </c>
      <c r="S1601" s="92" t="s">
        <v>121</v>
      </c>
      <c r="T1601" s="67"/>
      <c r="U1601" s="67"/>
      <c r="V1601" s="95">
        <v>43069</v>
      </c>
      <c r="W1601" s="92">
        <v>2021271</v>
      </c>
      <c r="X1601" s="90"/>
      <c r="Y1601" s="123"/>
      <c r="Z1601" s="30">
        <f t="shared" si="48"/>
        <v>4227.3638773950279</v>
      </c>
      <c r="AA1601" s="30">
        <f t="shared" si="49"/>
        <v>2113.6819386975139</v>
      </c>
      <c r="AB1601" t="s">
        <v>456</v>
      </c>
    </row>
    <row r="1602" spans="1:28">
      <c r="A1602" s="67" t="s">
        <v>118</v>
      </c>
      <c r="B1602" s="91">
        <v>1307558</v>
      </c>
      <c r="C1602" s="92">
        <v>4615410732</v>
      </c>
      <c r="D1602" s="93">
        <v>19200</v>
      </c>
      <c r="E1602" s="79"/>
      <c r="F1602" s="91">
        <v>10</v>
      </c>
      <c r="G1602" s="96">
        <v>5</v>
      </c>
      <c r="H1602" s="91">
        <v>0</v>
      </c>
      <c r="I1602" s="91">
        <v>0</v>
      </c>
      <c r="J1602" s="71"/>
      <c r="K1602" s="71">
        <v>43069</v>
      </c>
      <c r="L1602" s="69" t="s">
        <v>80</v>
      </c>
      <c r="M1602" s="69" t="s">
        <v>109</v>
      </c>
      <c r="N1602" s="95">
        <v>43123</v>
      </c>
      <c r="O1602" s="67"/>
      <c r="P1602" s="67" t="s">
        <v>95</v>
      </c>
      <c r="Q1602" s="67" t="s">
        <v>120</v>
      </c>
      <c r="R1602" s="92" t="s">
        <v>69</v>
      </c>
      <c r="S1602" s="92" t="s">
        <v>121</v>
      </c>
      <c r="T1602" s="67"/>
      <c r="U1602" s="67"/>
      <c r="V1602" s="95">
        <v>43069</v>
      </c>
      <c r="W1602" s="92">
        <v>2025029</v>
      </c>
      <c r="X1602" s="90"/>
      <c r="Y1602" s="123"/>
      <c r="Z1602" s="30">
        <f t="shared" si="48"/>
        <v>4232.8754339496491</v>
      </c>
      <c r="AA1602" s="30">
        <f t="shared" si="49"/>
        <v>2116.4377169748245</v>
      </c>
      <c r="AB1602" t="s">
        <v>456</v>
      </c>
    </row>
    <row r="1603" spans="1:28">
      <c r="A1603" s="67" t="s">
        <v>118</v>
      </c>
      <c r="B1603" s="91">
        <v>1307559</v>
      </c>
      <c r="C1603" s="92">
        <v>4615410732</v>
      </c>
      <c r="D1603" s="93">
        <v>19200</v>
      </c>
      <c r="E1603" s="79"/>
      <c r="F1603" s="91">
        <v>10</v>
      </c>
      <c r="G1603" s="96">
        <v>5</v>
      </c>
      <c r="H1603" s="91">
        <v>0</v>
      </c>
      <c r="I1603" s="91">
        <v>0</v>
      </c>
      <c r="J1603" s="71"/>
      <c r="K1603" s="71">
        <v>43069</v>
      </c>
      <c r="L1603" s="69" t="s">
        <v>80</v>
      </c>
      <c r="M1603" s="69" t="s">
        <v>109</v>
      </c>
      <c r="N1603" s="95">
        <v>43125</v>
      </c>
      <c r="O1603" s="67"/>
      <c r="P1603" s="67" t="s">
        <v>95</v>
      </c>
      <c r="Q1603" s="67" t="s">
        <v>120</v>
      </c>
      <c r="R1603" s="92" t="s">
        <v>69</v>
      </c>
      <c r="S1603" s="92" t="s">
        <v>121</v>
      </c>
      <c r="T1603" s="67"/>
      <c r="U1603" s="67"/>
      <c r="V1603" s="95">
        <v>43069</v>
      </c>
      <c r="W1603" s="92">
        <v>2025029</v>
      </c>
      <c r="X1603" s="90"/>
      <c r="Y1603" s="123"/>
      <c r="Z1603" s="30">
        <f t="shared" ref="Z1603:Z1666" si="50">CONVERT(D1603,"kg","lbm")*F1603/100</f>
        <v>4232.8754339496491</v>
      </c>
      <c r="AA1603" s="30">
        <f t="shared" ref="AA1603:AA1666" si="51">CONVERT(D1603,"kg","lbm")*G1603/100</f>
        <v>2116.4377169748245</v>
      </c>
      <c r="AB1603" t="s">
        <v>456</v>
      </c>
    </row>
    <row r="1604" spans="1:28">
      <c r="A1604" s="67" t="s">
        <v>118</v>
      </c>
      <c r="B1604" s="91">
        <v>1307560</v>
      </c>
      <c r="C1604" s="92">
        <v>4615410732</v>
      </c>
      <c r="D1604" s="93">
        <v>19200</v>
      </c>
      <c r="E1604" s="79"/>
      <c r="F1604" s="91">
        <v>10</v>
      </c>
      <c r="G1604" s="96">
        <v>5</v>
      </c>
      <c r="H1604" s="91">
        <v>0</v>
      </c>
      <c r="I1604" s="91">
        <v>0</v>
      </c>
      <c r="J1604" s="71"/>
      <c r="K1604" s="71">
        <v>43069</v>
      </c>
      <c r="L1604" s="69" t="s">
        <v>80</v>
      </c>
      <c r="M1604" s="69" t="s">
        <v>109</v>
      </c>
      <c r="N1604" s="95">
        <v>43125</v>
      </c>
      <c r="O1604" s="67"/>
      <c r="P1604" s="67" t="s">
        <v>95</v>
      </c>
      <c r="Q1604" s="67" t="s">
        <v>120</v>
      </c>
      <c r="R1604" s="92" t="s">
        <v>69</v>
      </c>
      <c r="S1604" s="92" t="s">
        <v>121</v>
      </c>
      <c r="T1604" s="67"/>
      <c r="U1604" s="67"/>
      <c r="V1604" s="95">
        <v>43069</v>
      </c>
      <c r="W1604" s="92">
        <v>2025029</v>
      </c>
      <c r="X1604" s="90"/>
      <c r="Y1604" s="123"/>
      <c r="Z1604" s="30">
        <f t="shared" si="50"/>
        <v>4232.8754339496491</v>
      </c>
      <c r="AA1604" s="30">
        <f t="shared" si="51"/>
        <v>2116.4377169748245</v>
      </c>
      <c r="AB1604" t="s">
        <v>456</v>
      </c>
    </row>
    <row r="1605" spans="1:28">
      <c r="A1605" s="67" t="s">
        <v>118</v>
      </c>
      <c r="B1605" s="91">
        <v>1307557</v>
      </c>
      <c r="C1605" s="92">
        <v>4615410732</v>
      </c>
      <c r="D1605" s="93">
        <v>19200</v>
      </c>
      <c r="E1605" s="79"/>
      <c r="F1605" s="91">
        <v>10</v>
      </c>
      <c r="G1605" s="96">
        <v>5</v>
      </c>
      <c r="H1605" s="91">
        <v>0</v>
      </c>
      <c r="I1605" s="91">
        <v>0</v>
      </c>
      <c r="J1605" s="71"/>
      <c r="K1605" s="71">
        <v>43069</v>
      </c>
      <c r="L1605" s="69" t="s">
        <v>80</v>
      </c>
      <c r="M1605" s="69" t="s">
        <v>109</v>
      </c>
      <c r="N1605" s="95">
        <v>43128</v>
      </c>
      <c r="O1605" s="67"/>
      <c r="P1605" s="67" t="s">
        <v>95</v>
      </c>
      <c r="Q1605" s="67" t="s">
        <v>120</v>
      </c>
      <c r="R1605" s="92" t="s">
        <v>69</v>
      </c>
      <c r="S1605" s="92" t="s">
        <v>121</v>
      </c>
      <c r="T1605" s="67"/>
      <c r="U1605" s="67"/>
      <c r="V1605" s="95">
        <v>43069</v>
      </c>
      <c r="W1605" s="92">
        <v>2025029</v>
      </c>
      <c r="X1605" s="90"/>
      <c r="Y1605" s="123"/>
      <c r="Z1605" s="30">
        <f t="shared" si="50"/>
        <v>4232.8754339496491</v>
      </c>
      <c r="AA1605" s="30">
        <f t="shared" si="51"/>
        <v>2116.4377169748245</v>
      </c>
      <c r="AB1605" t="s">
        <v>456</v>
      </c>
    </row>
    <row r="1606" spans="1:28">
      <c r="A1606" s="67" t="s">
        <v>122</v>
      </c>
      <c r="B1606" s="91">
        <v>1300190</v>
      </c>
      <c r="C1606" s="92">
        <v>4615449737</v>
      </c>
      <c r="D1606" s="93">
        <v>19200</v>
      </c>
      <c r="E1606" s="79"/>
      <c r="F1606" s="91">
        <v>16</v>
      </c>
      <c r="G1606" s="96">
        <v>5</v>
      </c>
      <c r="H1606" s="91">
        <v>0</v>
      </c>
      <c r="I1606" s="91">
        <v>0</v>
      </c>
      <c r="J1606" s="71">
        <v>43045</v>
      </c>
      <c r="K1606" s="71">
        <v>43069</v>
      </c>
      <c r="L1606" s="69" t="s">
        <v>119</v>
      </c>
      <c r="M1606" s="69" t="s">
        <v>109</v>
      </c>
      <c r="N1606" s="95">
        <v>43125</v>
      </c>
      <c r="O1606" s="67"/>
      <c r="P1606" s="67" t="s">
        <v>95</v>
      </c>
      <c r="Q1606" s="67" t="s">
        <v>120</v>
      </c>
      <c r="R1606" s="92" t="s">
        <v>69</v>
      </c>
      <c r="S1606" s="92" t="s">
        <v>123</v>
      </c>
      <c r="T1606" s="67"/>
      <c r="U1606" s="67"/>
      <c r="V1606" s="95">
        <v>43069</v>
      </c>
      <c r="W1606" s="92">
        <v>2029687</v>
      </c>
      <c r="X1606" s="90" t="s">
        <v>292</v>
      </c>
      <c r="Y1606" s="123"/>
      <c r="Z1606" s="30">
        <f t="shared" si="50"/>
        <v>6772.6006943194379</v>
      </c>
      <c r="AA1606" s="30">
        <f t="shared" si="51"/>
        <v>2116.4377169748245</v>
      </c>
      <c r="AB1606" t="s">
        <v>456</v>
      </c>
    </row>
    <row r="1607" spans="1:28">
      <c r="A1607" s="67" t="s">
        <v>122</v>
      </c>
      <c r="B1607" s="91">
        <v>1295672</v>
      </c>
      <c r="C1607" s="92">
        <v>4615472459</v>
      </c>
      <c r="D1607" s="93">
        <v>21102</v>
      </c>
      <c r="E1607" s="79"/>
      <c r="F1607" s="91">
        <v>16</v>
      </c>
      <c r="G1607" s="96">
        <v>5</v>
      </c>
      <c r="H1607" s="94">
        <v>0</v>
      </c>
      <c r="I1607" s="91">
        <v>0</v>
      </c>
      <c r="J1607" s="71">
        <v>43024</v>
      </c>
      <c r="K1607" s="71">
        <v>43069</v>
      </c>
      <c r="L1607" s="69" t="s">
        <v>108</v>
      </c>
      <c r="M1607" s="69" t="s">
        <v>109</v>
      </c>
      <c r="N1607" s="95">
        <v>43108</v>
      </c>
      <c r="O1607" s="67"/>
      <c r="P1607" s="67" t="s">
        <v>95</v>
      </c>
      <c r="Q1607" s="67" t="s">
        <v>120</v>
      </c>
      <c r="R1607" s="92" t="s">
        <v>69</v>
      </c>
      <c r="S1607" s="92" t="s">
        <v>123</v>
      </c>
      <c r="T1607" s="67"/>
      <c r="U1607" s="67"/>
      <c r="V1607" s="95">
        <v>43069</v>
      </c>
      <c r="W1607" s="92">
        <v>2030497</v>
      </c>
      <c r="X1607" s="90" t="s">
        <v>124</v>
      </c>
      <c r="Y1607" s="123"/>
      <c r="Z1607" s="30">
        <f t="shared" si="50"/>
        <v>7443.5114506004584</v>
      </c>
      <c r="AA1607" s="30">
        <f t="shared" si="51"/>
        <v>2326.0973283126432</v>
      </c>
      <c r="AB1607" t="s">
        <v>456</v>
      </c>
    </row>
    <row r="1608" spans="1:28">
      <c r="A1608" s="67" t="s">
        <v>122</v>
      </c>
      <c r="B1608" s="91">
        <v>1295677</v>
      </c>
      <c r="C1608" s="92">
        <v>4615472459</v>
      </c>
      <c r="D1608" s="93">
        <v>21102</v>
      </c>
      <c r="E1608" s="79"/>
      <c r="F1608" s="91">
        <v>16</v>
      </c>
      <c r="G1608" s="96">
        <v>5</v>
      </c>
      <c r="H1608" s="94">
        <v>0</v>
      </c>
      <c r="I1608" s="91">
        <v>0</v>
      </c>
      <c r="J1608" s="71">
        <v>43024</v>
      </c>
      <c r="K1608" s="71">
        <v>43069</v>
      </c>
      <c r="L1608" s="69" t="s">
        <v>108</v>
      </c>
      <c r="M1608" s="69" t="s">
        <v>109</v>
      </c>
      <c r="N1608" s="95">
        <v>43128</v>
      </c>
      <c r="O1608" s="67"/>
      <c r="P1608" s="67" t="s">
        <v>95</v>
      </c>
      <c r="Q1608" s="67" t="s">
        <v>120</v>
      </c>
      <c r="R1608" s="92" t="s">
        <v>69</v>
      </c>
      <c r="S1608" s="92" t="s">
        <v>123</v>
      </c>
      <c r="T1608" s="67"/>
      <c r="U1608" s="67"/>
      <c r="V1608" s="95">
        <v>43069</v>
      </c>
      <c r="W1608" s="92">
        <v>2030497</v>
      </c>
      <c r="X1608" s="90" t="s">
        <v>124</v>
      </c>
      <c r="Y1608" s="123"/>
      <c r="Z1608" s="30">
        <f t="shared" si="50"/>
        <v>7443.5114506004584</v>
      </c>
      <c r="AA1608" s="30">
        <f t="shared" si="51"/>
        <v>2326.0973283126432</v>
      </c>
      <c r="AB1608" t="s">
        <v>456</v>
      </c>
    </row>
    <row r="1609" spans="1:28">
      <c r="A1609" s="67" t="s">
        <v>128</v>
      </c>
      <c r="B1609" s="91">
        <v>1300174</v>
      </c>
      <c r="C1609" s="92">
        <v>4615499169</v>
      </c>
      <c r="D1609" s="93">
        <v>19175</v>
      </c>
      <c r="E1609" s="79"/>
      <c r="F1609" s="94">
        <v>154.32</v>
      </c>
      <c r="G1609" s="94">
        <v>0</v>
      </c>
      <c r="H1609" s="91">
        <v>0</v>
      </c>
      <c r="I1609" s="91">
        <v>0</v>
      </c>
      <c r="J1609" s="71">
        <v>43068</v>
      </c>
      <c r="K1609" s="71">
        <v>43069</v>
      </c>
      <c r="L1609" s="69" t="s">
        <v>119</v>
      </c>
      <c r="M1609" s="69" t="s">
        <v>109</v>
      </c>
      <c r="N1609" s="95">
        <v>43121</v>
      </c>
      <c r="O1609" s="67"/>
      <c r="P1609" s="67" t="s">
        <v>95</v>
      </c>
      <c r="Q1609" s="67" t="s">
        <v>129</v>
      </c>
      <c r="R1609" s="92" t="s">
        <v>69</v>
      </c>
      <c r="S1609" s="92" t="s">
        <v>130</v>
      </c>
      <c r="T1609" s="67"/>
      <c r="U1609" s="67"/>
      <c r="V1609" s="95">
        <v>43069</v>
      </c>
      <c r="W1609" s="92">
        <v>425570020</v>
      </c>
      <c r="X1609" s="90"/>
      <c r="Y1609" s="123"/>
      <c r="Z1609" s="30">
        <f t="shared" si="50"/>
        <v>65236.679355960063</v>
      </c>
      <c r="AA1609" s="30">
        <f t="shared" si="51"/>
        <v>0</v>
      </c>
      <c r="AB1609" t="s">
        <v>456</v>
      </c>
    </row>
    <row r="1610" spans="1:28">
      <c r="A1610" s="67" t="s">
        <v>128</v>
      </c>
      <c r="B1610" s="91">
        <v>1300177</v>
      </c>
      <c r="C1610" s="92">
        <v>4615499169</v>
      </c>
      <c r="D1610" s="93">
        <v>19175</v>
      </c>
      <c r="E1610" s="79"/>
      <c r="F1610" s="94">
        <v>154.32</v>
      </c>
      <c r="G1610" s="94">
        <v>0</v>
      </c>
      <c r="H1610" s="91">
        <v>0</v>
      </c>
      <c r="I1610" s="91">
        <v>0</v>
      </c>
      <c r="J1610" s="71">
        <v>43052</v>
      </c>
      <c r="K1610" s="71">
        <v>43069</v>
      </c>
      <c r="L1610" s="69" t="s">
        <v>119</v>
      </c>
      <c r="M1610" s="69" t="s">
        <v>109</v>
      </c>
      <c r="N1610" s="95">
        <v>43124</v>
      </c>
      <c r="O1610" s="67"/>
      <c r="P1610" s="67" t="s">
        <v>95</v>
      </c>
      <c r="Q1610" s="67" t="s">
        <v>129</v>
      </c>
      <c r="R1610" s="92" t="s">
        <v>69</v>
      </c>
      <c r="S1610" s="92" t="s">
        <v>130</v>
      </c>
      <c r="T1610" s="67"/>
      <c r="U1610" s="67"/>
      <c r="V1610" s="95">
        <v>43069</v>
      </c>
      <c r="W1610" s="92">
        <v>425570020</v>
      </c>
      <c r="X1610" s="90"/>
      <c r="Y1610" s="123"/>
      <c r="Z1610" s="30">
        <f t="shared" si="50"/>
        <v>65236.679355960063</v>
      </c>
      <c r="AA1610" s="30">
        <f t="shared" si="51"/>
        <v>0</v>
      </c>
      <c r="AB1610" t="s">
        <v>456</v>
      </c>
    </row>
    <row r="1611" spans="1:28">
      <c r="A1611" s="67" t="s">
        <v>128</v>
      </c>
      <c r="B1611" s="91">
        <v>1300173</v>
      </c>
      <c r="C1611" s="92">
        <v>4615499169</v>
      </c>
      <c r="D1611" s="93">
        <v>19175</v>
      </c>
      <c r="E1611" s="79"/>
      <c r="F1611" s="94">
        <v>154.32</v>
      </c>
      <c r="G1611" s="94">
        <v>0</v>
      </c>
      <c r="H1611" s="91">
        <v>0</v>
      </c>
      <c r="I1611" s="91">
        <v>0</v>
      </c>
      <c r="J1611" s="71">
        <v>43068</v>
      </c>
      <c r="K1611" s="71">
        <v>43069</v>
      </c>
      <c r="L1611" s="69" t="s">
        <v>119</v>
      </c>
      <c r="M1611" s="69" t="s">
        <v>109</v>
      </c>
      <c r="N1611" s="95">
        <v>43128</v>
      </c>
      <c r="O1611" s="67"/>
      <c r="P1611" s="67" t="s">
        <v>95</v>
      </c>
      <c r="Q1611" s="67" t="s">
        <v>129</v>
      </c>
      <c r="R1611" s="92" t="s">
        <v>69</v>
      </c>
      <c r="S1611" s="92" t="s">
        <v>130</v>
      </c>
      <c r="T1611" s="67"/>
      <c r="U1611" s="67"/>
      <c r="V1611" s="95">
        <v>43069</v>
      </c>
      <c r="W1611" s="92">
        <v>425570020</v>
      </c>
      <c r="X1611" s="90"/>
      <c r="Y1611" s="123"/>
      <c r="Z1611" s="30">
        <f t="shared" si="50"/>
        <v>65236.679355960063</v>
      </c>
      <c r="AA1611" s="30">
        <f t="shared" si="51"/>
        <v>0</v>
      </c>
      <c r="AB1611" t="s">
        <v>456</v>
      </c>
    </row>
    <row r="1612" spans="1:28">
      <c r="A1612" s="67" t="s">
        <v>128</v>
      </c>
      <c r="B1612" s="91">
        <v>1302720</v>
      </c>
      <c r="C1612" s="92">
        <v>4615499169</v>
      </c>
      <c r="D1612" s="93">
        <v>19175</v>
      </c>
      <c r="E1612" s="79"/>
      <c r="F1612" s="94">
        <v>154.32</v>
      </c>
      <c r="G1612" s="94">
        <v>0</v>
      </c>
      <c r="H1612" s="91">
        <v>0</v>
      </c>
      <c r="I1612" s="91">
        <v>0</v>
      </c>
      <c r="J1612" s="71">
        <v>43068</v>
      </c>
      <c r="K1612" s="71">
        <v>43069</v>
      </c>
      <c r="L1612" s="69" t="s">
        <v>119</v>
      </c>
      <c r="M1612" s="69" t="s">
        <v>109</v>
      </c>
      <c r="N1612" s="95">
        <v>43135</v>
      </c>
      <c r="O1612" s="67"/>
      <c r="P1612" s="67" t="s">
        <v>95</v>
      </c>
      <c r="Q1612" s="67" t="s">
        <v>129</v>
      </c>
      <c r="R1612" s="92" t="s">
        <v>69</v>
      </c>
      <c r="S1612" s="92" t="s">
        <v>130</v>
      </c>
      <c r="T1612" s="67"/>
      <c r="U1612" s="67"/>
      <c r="V1612" s="95">
        <v>43069</v>
      </c>
      <c r="W1612" s="92">
        <v>425570020</v>
      </c>
      <c r="X1612" s="90"/>
      <c r="Y1612" s="123"/>
      <c r="Z1612" s="30">
        <f t="shared" si="50"/>
        <v>65236.679355960063</v>
      </c>
      <c r="AA1612" s="30">
        <f t="shared" si="51"/>
        <v>0</v>
      </c>
      <c r="AB1612" t="s">
        <v>456</v>
      </c>
    </row>
    <row r="1613" spans="1:28">
      <c r="A1613" s="67" t="s">
        <v>128</v>
      </c>
      <c r="B1613" s="91">
        <v>1302721</v>
      </c>
      <c r="C1613" s="92">
        <v>4615499169</v>
      </c>
      <c r="D1613" s="93">
        <v>19175</v>
      </c>
      <c r="E1613" s="79"/>
      <c r="F1613" s="94">
        <v>154.32</v>
      </c>
      <c r="G1613" s="94">
        <v>0</v>
      </c>
      <c r="H1613" s="91">
        <v>0</v>
      </c>
      <c r="I1613" s="91">
        <v>0</v>
      </c>
      <c r="J1613" s="71">
        <v>43052</v>
      </c>
      <c r="K1613" s="71">
        <v>43069</v>
      </c>
      <c r="L1613" s="69" t="s">
        <v>119</v>
      </c>
      <c r="M1613" s="69" t="s">
        <v>109</v>
      </c>
      <c r="N1613" s="95">
        <v>43149</v>
      </c>
      <c r="O1613" s="67"/>
      <c r="P1613" s="67" t="s">
        <v>95</v>
      </c>
      <c r="Q1613" s="67" t="s">
        <v>129</v>
      </c>
      <c r="R1613" s="92" t="s">
        <v>69</v>
      </c>
      <c r="S1613" s="92" t="s">
        <v>130</v>
      </c>
      <c r="T1613" s="67"/>
      <c r="U1613" s="67"/>
      <c r="V1613" s="95">
        <v>43069</v>
      </c>
      <c r="W1613" s="92">
        <v>425570020</v>
      </c>
      <c r="X1613" s="90"/>
      <c r="Y1613" s="123"/>
      <c r="Z1613" s="30">
        <f t="shared" si="50"/>
        <v>65236.679355960063</v>
      </c>
      <c r="AA1613" s="30">
        <f t="shared" si="51"/>
        <v>0</v>
      </c>
      <c r="AB1613" t="s">
        <v>456</v>
      </c>
    </row>
    <row r="1614" spans="1:28">
      <c r="A1614" s="67" t="s">
        <v>107</v>
      </c>
      <c r="B1614" s="91">
        <v>1290732</v>
      </c>
      <c r="C1614" s="92">
        <v>4615451171</v>
      </c>
      <c r="D1614" s="93">
        <v>19200</v>
      </c>
      <c r="E1614" s="79"/>
      <c r="F1614" s="91">
        <v>154.32</v>
      </c>
      <c r="G1614" s="91">
        <v>0</v>
      </c>
      <c r="H1614" s="91">
        <v>0</v>
      </c>
      <c r="I1614" s="91">
        <v>0</v>
      </c>
      <c r="J1614" s="71">
        <v>43032</v>
      </c>
      <c r="K1614" s="71">
        <v>43069</v>
      </c>
      <c r="L1614" s="69" t="s">
        <v>108</v>
      </c>
      <c r="M1614" s="69" t="s">
        <v>109</v>
      </c>
      <c r="N1614" s="95">
        <v>43107</v>
      </c>
      <c r="O1614" s="67"/>
      <c r="P1614" s="67" t="s">
        <v>95</v>
      </c>
      <c r="Q1614" s="67" t="s">
        <v>110</v>
      </c>
      <c r="R1614" s="92" t="s">
        <v>69</v>
      </c>
      <c r="S1614" s="92" t="s">
        <v>111</v>
      </c>
      <c r="T1614" s="67"/>
      <c r="U1614" s="67"/>
      <c r="V1614" s="95">
        <v>43069</v>
      </c>
      <c r="W1614" s="92" t="s">
        <v>112</v>
      </c>
      <c r="X1614" s="90"/>
      <c r="Y1614" s="123"/>
      <c r="Z1614" s="30">
        <f t="shared" si="50"/>
        <v>65321.73369671098</v>
      </c>
      <c r="AA1614" s="30">
        <f t="shared" si="51"/>
        <v>0</v>
      </c>
      <c r="AB1614" t="s">
        <v>456</v>
      </c>
    </row>
    <row r="1615" spans="1:28">
      <c r="A1615" s="67" t="s">
        <v>118</v>
      </c>
      <c r="B1615" s="91">
        <v>1316171</v>
      </c>
      <c r="C1615" s="92">
        <v>4615450479</v>
      </c>
      <c r="D1615" s="93">
        <v>19175</v>
      </c>
      <c r="E1615" s="79"/>
      <c r="F1615" s="91">
        <v>10</v>
      </c>
      <c r="G1615" s="91">
        <v>0</v>
      </c>
      <c r="H1615" s="94">
        <v>0</v>
      </c>
      <c r="I1615" s="91">
        <v>0</v>
      </c>
      <c r="J1615" s="71">
        <v>43122</v>
      </c>
      <c r="K1615" s="71">
        <v>43100</v>
      </c>
      <c r="L1615" s="69" t="s">
        <v>108</v>
      </c>
      <c r="M1615" s="69" t="s">
        <v>109</v>
      </c>
      <c r="N1615" s="95">
        <v>43160</v>
      </c>
      <c r="O1615" s="67"/>
      <c r="P1615" s="67" t="s">
        <v>95</v>
      </c>
      <c r="Q1615" s="67" t="s">
        <v>120</v>
      </c>
      <c r="R1615" s="92" t="s">
        <v>69</v>
      </c>
      <c r="S1615" s="92" t="s">
        <v>121</v>
      </c>
      <c r="T1615" s="67"/>
      <c r="U1615" s="67"/>
      <c r="V1615" s="95">
        <v>43100</v>
      </c>
      <c r="W1615" s="92">
        <v>2030529</v>
      </c>
      <c r="X1615" s="90"/>
      <c r="Y1615" s="123"/>
      <c r="Z1615" s="30">
        <f t="shared" si="50"/>
        <v>4227.3638773950279</v>
      </c>
      <c r="AA1615" s="30">
        <f t="shared" si="51"/>
        <v>0</v>
      </c>
      <c r="AB1615" t="s">
        <v>456</v>
      </c>
    </row>
    <row r="1616" spans="1:28">
      <c r="A1616" s="67" t="s">
        <v>118</v>
      </c>
      <c r="B1616" s="91">
        <v>1316174</v>
      </c>
      <c r="C1616" s="92">
        <v>4615450479</v>
      </c>
      <c r="D1616" s="93">
        <v>19175</v>
      </c>
      <c r="E1616" s="79"/>
      <c r="F1616" s="91">
        <v>10</v>
      </c>
      <c r="G1616" s="91">
        <v>0</v>
      </c>
      <c r="H1616" s="94">
        <v>0</v>
      </c>
      <c r="I1616" s="91">
        <v>0</v>
      </c>
      <c r="J1616" s="71">
        <v>43122</v>
      </c>
      <c r="K1616" s="71">
        <v>43100</v>
      </c>
      <c r="L1616" s="69" t="s">
        <v>108</v>
      </c>
      <c r="M1616" s="69" t="s">
        <v>109</v>
      </c>
      <c r="N1616" s="95">
        <v>43163</v>
      </c>
      <c r="O1616" s="67"/>
      <c r="P1616" s="67" t="s">
        <v>95</v>
      </c>
      <c r="Q1616" s="67" t="s">
        <v>120</v>
      </c>
      <c r="R1616" s="92" t="s">
        <v>69</v>
      </c>
      <c r="S1616" s="92" t="s">
        <v>121</v>
      </c>
      <c r="T1616" s="67"/>
      <c r="U1616" s="67"/>
      <c r="V1616" s="95">
        <v>43100</v>
      </c>
      <c r="W1616" s="92">
        <v>2030529</v>
      </c>
      <c r="X1616" s="90"/>
      <c r="Y1616" s="123"/>
      <c r="Z1616" s="30">
        <f t="shared" si="50"/>
        <v>4227.3638773950279</v>
      </c>
      <c r="AA1616" s="30">
        <f t="shared" si="51"/>
        <v>0</v>
      </c>
      <c r="AB1616" t="s">
        <v>456</v>
      </c>
    </row>
    <row r="1617" spans="1:28">
      <c r="A1617" s="67" t="s">
        <v>118</v>
      </c>
      <c r="B1617" s="91">
        <v>1316177</v>
      </c>
      <c r="C1617" s="92">
        <v>4615450479</v>
      </c>
      <c r="D1617" s="93">
        <v>19175</v>
      </c>
      <c r="E1617" s="79"/>
      <c r="F1617" s="91">
        <v>10</v>
      </c>
      <c r="G1617" s="91">
        <v>0</v>
      </c>
      <c r="H1617" s="94">
        <v>0</v>
      </c>
      <c r="I1617" s="91">
        <v>0</v>
      </c>
      <c r="J1617" s="71">
        <v>43122</v>
      </c>
      <c r="K1617" s="71">
        <v>43100</v>
      </c>
      <c r="L1617" s="69" t="s">
        <v>108</v>
      </c>
      <c r="M1617" s="69" t="s">
        <v>109</v>
      </c>
      <c r="N1617" s="95">
        <v>43163</v>
      </c>
      <c r="O1617" s="67"/>
      <c r="P1617" s="67" t="s">
        <v>95</v>
      </c>
      <c r="Q1617" s="67" t="s">
        <v>120</v>
      </c>
      <c r="R1617" s="92" t="s">
        <v>69</v>
      </c>
      <c r="S1617" s="92" t="s">
        <v>121</v>
      </c>
      <c r="T1617" s="67"/>
      <c r="U1617" s="67"/>
      <c r="V1617" s="95">
        <v>43100</v>
      </c>
      <c r="W1617" s="92">
        <v>2030529</v>
      </c>
      <c r="X1617" s="90"/>
      <c r="Y1617" s="123"/>
      <c r="Z1617" s="30">
        <f t="shared" si="50"/>
        <v>4227.3638773950279</v>
      </c>
      <c r="AA1617" s="30">
        <f t="shared" si="51"/>
        <v>0</v>
      </c>
      <c r="AB1617" t="s">
        <v>456</v>
      </c>
    </row>
    <row r="1618" spans="1:28">
      <c r="A1618" s="67" t="s">
        <v>118</v>
      </c>
      <c r="B1618" s="91">
        <v>1316169</v>
      </c>
      <c r="C1618" s="92">
        <v>4615450479</v>
      </c>
      <c r="D1618" s="93">
        <v>19175</v>
      </c>
      <c r="E1618" s="79"/>
      <c r="F1618" s="91">
        <v>10</v>
      </c>
      <c r="G1618" s="91">
        <v>0</v>
      </c>
      <c r="H1618" s="94">
        <v>0</v>
      </c>
      <c r="I1618" s="91">
        <v>0</v>
      </c>
      <c r="J1618" s="71">
        <v>43122</v>
      </c>
      <c r="K1618" s="71">
        <v>43100</v>
      </c>
      <c r="L1618" s="69" t="s">
        <v>108</v>
      </c>
      <c r="M1618" s="69" t="s">
        <v>109</v>
      </c>
      <c r="N1618" s="95">
        <v>43164</v>
      </c>
      <c r="O1618" s="67"/>
      <c r="P1618" s="67" t="s">
        <v>95</v>
      </c>
      <c r="Q1618" s="67" t="s">
        <v>120</v>
      </c>
      <c r="R1618" s="92" t="s">
        <v>69</v>
      </c>
      <c r="S1618" s="92" t="s">
        <v>121</v>
      </c>
      <c r="T1618" s="67"/>
      <c r="U1618" s="67"/>
      <c r="V1618" s="95">
        <v>43100</v>
      </c>
      <c r="W1618" s="92">
        <v>2030529</v>
      </c>
      <c r="X1618" s="90"/>
      <c r="Y1618" s="123"/>
      <c r="Z1618" s="30">
        <f t="shared" si="50"/>
        <v>4227.3638773950279</v>
      </c>
      <c r="AA1618" s="30">
        <f t="shared" si="51"/>
        <v>0</v>
      </c>
      <c r="AB1618" t="s">
        <v>456</v>
      </c>
    </row>
    <row r="1619" spans="1:28">
      <c r="A1619" s="67" t="s">
        <v>118</v>
      </c>
      <c r="B1619" s="91">
        <v>1316178</v>
      </c>
      <c r="C1619" s="92">
        <v>4615450479</v>
      </c>
      <c r="D1619" s="93">
        <v>19175</v>
      </c>
      <c r="E1619" s="79"/>
      <c r="F1619" s="91">
        <v>10</v>
      </c>
      <c r="G1619" s="91">
        <v>0</v>
      </c>
      <c r="H1619" s="94">
        <v>0</v>
      </c>
      <c r="I1619" s="91">
        <v>0</v>
      </c>
      <c r="J1619" s="71">
        <v>43122</v>
      </c>
      <c r="K1619" s="71">
        <v>43100</v>
      </c>
      <c r="L1619" s="69" t="s">
        <v>108</v>
      </c>
      <c r="M1619" s="69" t="s">
        <v>109</v>
      </c>
      <c r="N1619" s="95">
        <v>43160</v>
      </c>
      <c r="O1619" s="67"/>
      <c r="P1619" s="67" t="s">
        <v>95</v>
      </c>
      <c r="Q1619" s="67" t="s">
        <v>120</v>
      </c>
      <c r="R1619" s="92" t="s">
        <v>69</v>
      </c>
      <c r="S1619" s="92" t="s">
        <v>121</v>
      </c>
      <c r="T1619" s="67"/>
      <c r="U1619" s="67"/>
      <c r="V1619" s="95">
        <v>43100</v>
      </c>
      <c r="W1619" s="92">
        <v>2030529</v>
      </c>
      <c r="X1619" s="90"/>
      <c r="Y1619" s="123"/>
      <c r="Z1619" s="30">
        <f t="shared" si="50"/>
        <v>4227.3638773950279</v>
      </c>
      <c r="AA1619" s="30">
        <f t="shared" si="51"/>
        <v>0</v>
      </c>
      <c r="AB1619" t="s">
        <v>456</v>
      </c>
    </row>
    <row r="1620" spans="1:28">
      <c r="A1620" s="67" t="s">
        <v>118</v>
      </c>
      <c r="B1620" s="91">
        <v>1316173</v>
      </c>
      <c r="C1620" s="92">
        <v>4615450479</v>
      </c>
      <c r="D1620" s="93">
        <v>19175</v>
      </c>
      <c r="E1620" s="79"/>
      <c r="F1620" s="91">
        <v>10</v>
      </c>
      <c r="G1620" s="91">
        <v>0</v>
      </c>
      <c r="H1620" s="94">
        <v>0</v>
      </c>
      <c r="I1620" s="91">
        <v>0</v>
      </c>
      <c r="J1620" s="71">
        <v>43122</v>
      </c>
      <c r="K1620" s="71">
        <v>43100</v>
      </c>
      <c r="L1620" s="69" t="s">
        <v>108</v>
      </c>
      <c r="M1620" s="69" t="s">
        <v>109</v>
      </c>
      <c r="N1620" s="95">
        <v>43165</v>
      </c>
      <c r="O1620" s="67"/>
      <c r="P1620" s="67" t="s">
        <v>95</v>
      </c>
      <c r="Q1620" s="67" t="s">
        <v>120</v>
      </c>
      <c r="R1620" s="92" t="s">
        <v>69</v>
      </c>
      <c r="S1620" s="92" t="s">
        <v>121</v>
      </c>
      <c r="T1620" s="67"/>
      <c r="U1620" s="67"/>
      <c r="V1620" s="95">
        <v>43100</v>
      </c>
      <c r="W1620" s="92">
        <v>2030529</v>
      </c>
      <c r="X1620" s="90"/>
      <c r="Y1620" s="123"/>
      <c r="Z1620" s="30">
        <f t="shared" si="50"/>
        <v>4227.3638773950279</v>
      </c>
      <c r="AA1620" s="30">
        <f t="shared" si="51"/>
        <v>0</v>
      </c>
      <c r="AB1620" t="s">
        <v>456</v>
      </c>
    </row>
    <row r="1621" spans="1:28">
      <c r="A1621" s="67" t="s">
        <v>118</v>
      </c>
      <c r="B1621" s="91">
        <v>1316167</v>
      </c>
      <c r="C1621" s="92">
        <v>4615450479</v>
      </c>
      <c r="D1621" s="93">
        <v>19175</v>
      </c>
      <c r="E1621" s="79"/>
      <c r="F1621" s="91">
        <v>10</v>
      </c>
      <c r="G1621" s="91">
        <v>0</v>
      </c>
      <c r="H1621" s="94">
        <v>0</v>
      </c>
      <c r="I1621" s="91">
        <v>0</v>
      </c>
      <c r="J1621" s="71">
        <v>43122</v>
      </c>
      <c r="K1621" s="71">
        <v>43100</v>
      </c>
      <c r="L1621" s="69" t="s">
        <v>108</v>
      </c>
      <c r="M1621" s="69" t="s">
        <v>109</v>
      </c>
      <c r="N1621" s="95">
        <v>43170</v>
      </c>
      <c r="O1621" s="67"/>
      <c r="P1621" s="67" t="s">
        <v>95</v>
      </c>
      <c r="Q1621" s="67" t="s">
        <v>120</v>
      </c>
      <c r="R1621" s="92" t="s">
        <v>69</v>
      </c>
      <c r="S1621" s="92" t="s">
        <v>121</v>
      </c>
      <c r="T1621" s="67"/>
      <c r="U1621" s="67"/>
      <c r="V1621" s="95">
        <v>43100</v>
      </c>
      <c r="W1621" s="92">
        <v>2030529</v>
      </c>
      <c r="X1621" s="90"/>
      <c r="Y1621" s="123"/>
      <c r="Z1621" s="30">
        <f t="shared" si="50"/>
        <v>4227.3638773950279</v>
      </c>
      <c r="AA1621" s="30">
        <f t="shared" si="51"/>
        <v>0</v>
      </c>
      <c r="AB1621" t="s">
        <v>456</v>
      </c>
    </row>
    <row r="1622" spans="1:28">
      <c r="A1622" s="67" t="s">
        <v>118</v>
      </c>
      <c r="B1622" s="91">
        <v>1316170</v>
      </c>
      <c r="C1622" s="92">
        <v>4615450479</v>
      </c>
      <c r="D1622" s="93">
        <v>19175</v>
      </c>
      <c r="E1622" s="79"/>
      <c r="F1622" s="91">
        <v>10</v>
      </c>
      <c r="G1622" s="91">
        <v>0</v>
      </c>
      <c r="H1622" s="94">
        <v>0</v>
      </c>
      <c r="I1622" s="91">
        <v>0</v>
      </c>
      <c r="J1622" s="71">
        <v>43122</v>
      </c>
      <c r="K1622" s="71">
        <v>43100</v>
      </c>
      <c r="L1622" s="69" t="s">
        <v>108</v>
      </c>
      <c r="M1622" s="69" t="s">
        <v>109</v>
      </c>
      <c r="N1622" s="95">
        <v>43170</v>
      </c>
      <c r="O1622" s="67"/>
      <c r="P1622" s="67" t="s">
        <v>95</v>
      </c>
      <c r="Q1622" s="67" t="s">
        <v>120</v>
      </c>
      <c r="R1622" s="92" t="s">
        <v>69</v>
      </c>
      <c r="S1622" s="92" t="s">
        <v>121</v>
      </c>
      <c r="T1622" s="67"/>
      <c r="U1622" s="67"/>
      <c r="V1622" s="95">
        <v>43100</v>
      </c>
      <c r="W1622" s="92">
        <v>2030529</v>
      </c>
      <c r="X1622" s="90"/>
      <c r="Y1622" s="123"/>
      <c r="Z1622" s="30">
        <f t="shared" si="50"/>
        <v>4227.3638773950279</v>
      </c>
      <c r="AA1622" s="30">
        <f t="shared" si="51"/>
        <v>0</v>
      </c>
      <c r="AB1622" t="s">
        <v>456</v>
      </c>
    </row>
    <row r="1623" spans="1:28">
      <c r="A1623" s="67" t="s">
        <v>118</v>
      </c>
      <c r="B1623" s="91">
        <v>1316172</v>
      </c>
      <c r="C1623" s="92">
        <v>4615450479</v>
      </c>
      <c r="D1623" s="93">
        <v>19175</v>
      </c>
      <c r="E1623" s="79"/>
      <c r="F1623" s="91">
        <v>10</v>
      </c>
      <c r="G1623" s="91">
        <v>0</v>
      </c>
      <c r="H1623" s="94">
        <v>0</v>
      </c>
      <c r="I1623" s="91">
        <v>0</v>
      </c>
      <c r="J1623" s="71">
        <v>43122</v>
      </c>
      <c r="K1623" s="71">
        <v>43100</v>
      </c>
      <c r="L1623" s="69" t="s">
        <v>132</v>
      </c>
      <c r="M1623" s="69" t="s">
        <v>109</v>
      </c>
      <c r="N1623" s="95">
        <v>43172</v>
      </c>
      <c r="O1623" s="67"/>
      <c r="P1623" s="67" t="s">
        <v>95</v>
      </c>
      <c r="Q1623" s="67" t="s">
        <v>120</v>
      </c>
      <c r="R1623" s="92" t="s">
        <v>69</v>
      </c>
      <c r="S1623" s="92" t="s">
        <v>121</v>
      </c>
      <c r="T1623" s="67"/>
      <c r="U1623" s="67"/>
      <c r="V1623" s="95">
        <v>43100</v>
      </c>
      <c r="W1623" s="92">
        <v>2030529</v>
      </c>
      <c r="X1623" s="90"/>
      <c r="Y1623" s="123"/>
      <c r="Z1623" s="30">
        <f t="shared" si="50"/>
        <v>4227.3638773950279</v>
      </c>
      <c r="AA1623" s="30">
        <f t="shared" si="51"/>
        <v>0</v>
      </c>
      <c r="AB1623" t="s">
        <v>456</v>
      </c>
    </row>
    <row r="1624" spans="1:28">
      <c r="A1624" s="67" t="s">
        <v>118</v>
      </c>
      <c r="B1624" s="91">
        <v>1316168</v>
      </c>
      <c r="C1624" s="92">
        <v>4615450479</v>
      </c>
      <c r="D1624" s="93">
        <v>19175</v>
      </c>
      <c r="E1624" s="79"/>
      <c r="F1624" s="91">
        <v>10</v>
      </c>
      <c r="G1624" s="91">
        <v>0</v>
      </c>
      <c r="H1624" s="94">
        <v>0</v>
      </c>
      <c r="I1624" s="91">
        <v>0</v>
      </c>
      <c r="J1624" s="71">
        <v>43122</v>
      </c>
      <c r="K1624" s="71">
        <v>43100</v>
      </c>
      <c r="L1624" s="69" t="s">
        <v>108</v>
      </c>
      <c r="M1624" s="69" t="s">
        <v>109</v>
      </c>
      <c r="N1624" s="95">
        <v>43173</v>
      </c>
      <c r="O1624" s="67"/>
      <c r="P1624" s="67" t="s">
        <v>95</v>
      </c>
      <c r="Q1624" s="67" t="s">
        <v>120</v>
      </c>
      <c r="R1624" s="92" t="s">
        <v>69</v>
      </c>
      <c r="S1624" s="92" t="s">
        <v>121</v>
      </c>
      <c r="T1624" s="67"/>
      <c r="U1624" s="67"/>
      <c r="V1624" s="95">
        <v>43100</v>
      </c>
      <c r="W1624" s="92">
        <v>2030529</v>
      </c>
      <c r="X1624" s="90"/>
      <c r="Y1624" s="123"/>
      <c r="Z1624" s="30">
        <f t="shared" si="50"/>
        <v>4227.3638773950279</v>
      </c>
      <c r="AA1624" s="30">
        <f t="shared" si="51"/>
        <v>0</v>
      </c>
      <c r="AB1624" t="s">
        <v>456</v>
      </c>
    </row>
    <row r="1625" spans="1:28">
      <c r="A1625" s="67" t="s">
        <v>118</v>
      </c>
      <c r="B1625" s="91">
        <v>1316175</v>
      </c>
      <c r="C1625" s="92">
        <v>4615450479</v>
      </c>
      <c r="D1625" s="93">
        <v>19175</v>
      </c>
      <c r="E1625" s="79"/>
      <c r="F1625" s="91">
        <v>10</v>
      </c>
      <c r="G1625" s="91">
        <v>0</v>
      </c>
      <c r="H1625" s="94">
        <v>0</v>
      </c>
      <c r="I1625" s="91">
        <v>0</v>
      </c>
      <c r="J1625" s="71">
        <v>43122</v>
      </c>
      <c r="K1625" s="71">
        <v>43100</v>
      </c>
      <c r="L1625" s="69" t="s">
        <v>108</v>
      </c>
      <c r="M1625" s="69" t="s">
        <v>109</v>
      </c>
      <c r="N1625" s="95">
        <v>43177</v>
      </c>
      <c r="O1625" s="67"/>
      <c r="P1625" s="67" t="s">
        <v>95</v>
      </c>
      <c r="Q1625" s="67" t="s">
        <v>120</v>
      </c>
      <c r="R1625" s="92" t="s">
        <v>69</v>
      </c>
      <c r="S1625" s="92" t="s">
        <v>121</v>
      </c>
      <c r="T1625" s="67"/>
      <c r="U1625" s="67"/>
      <c r="V1625" s="95">
        <v>43100</v>
      </c>
      <c r="W1625" s="92">
        <v>2030529</v>
      </c>
      <c r="X1625" s="90"/>
      <c r="Y1625" s="123"/>
      <c r="Z1625" s="30">
        <f t="shared" si="50"/>
        <v>4227.3638773950279</v>
      </c>
      <c r="AA1625" s="30">
        <f t="shared" si="51"/>
        <v>0</v>
      </c>
      <c r="AB1625" t="s">
        <v>456</v>
      </c>
    </row>
    <row r="1626" spans="1:28">
      <c r="A1626" s="67" t="s">
        <v>118</v>
      </c>
      <c r="B1626" s="91">
        <v>1316176</v>
      </c>
      <c r="C1626" s="92">
        <v>4615450479</v>
      </c>
      <c r="D1626" s="93">
        <v>19175</v>
      </c>
      <c r="E1626" s="79"/>
      <c r="F1626" s="91">
        <v>10</v>
      </c>
      <c r="G1626" s="91">
        <v>0</v>
      </c>
      <c r="H1626" s="94">
        <v>0</v>
      </c>
      <c r="I1626" s="91">
        <v>0</v>
      </c>
      <c r="J1626" s="71">
        <v>43122</v>
      </c>
      <c r="K1626" s="71">
        <v>43100</v>
      </c>
      <c r="L1626" s="69" t="s">
        <v>108</v>
      </c>
      <c r="M1626" s="69" t="s">
        <v>109</v>
      </c>
      <c r="N1626" s="95">
        <v>43177</v>
      </c>
      <c r="O1626" s="67"/>
      <c r="P1626" s="67" t="s">
        <v>95</v>
      </c>
      <c r="Q1626" s="67" t="s">
        <v>120</v>
      </c>
      <c r="R1626" s="92" t="s">
        <v>69</v>
      </c>
      <c r="S1626" s="92" t="s">
        <v>121</v>
      </c>
      <c r="T1626" s="67"/>
      <c r="U1626" s="67"/>
      <c r="V1626" s="95">
        <v>43100</v>
      </c>
      <c r="W1626" s="92">
        <v>2030529</v>
      </c>
      <c r="X1626" s="90"/>
      <c r="Y1626" s="123"/>
      <c r="Z1626" s="30">
        <f t="shared" si="50"/>
        <v>4227.3638773950279</v>
      </c>
      <c r="AA1626" s="30">
        <f t="shared" si="51"/>
        <v>0</v>
      </c>
      <c r="AB1626" t="s">
        <v>456</v>
      </c>
    </row>
    <row r="1627" spans="1:28">
      <c r="A1627" s="67" t="s">
        <v>136</v>
      </c>
      <c r="B1627" s="91">
        <v>1303983</v>
      </c>
      <c r="C1627" s="92">
        <v>4615458452</v>
      </c>
      <c r="D1627" s="93">
        <v>19175</v>
      </c>
      <c r="E1627" s="79"/>
      <c r="F1627" s="91">
        <v>10</v>
      </c>
      <c r="G1627" s="91">
        <v>0</v>
      </c>
      <c r="H1627" s="94">
        <v>0</v>
      </c>
      <c r="I1627" s="91">
        <v>0</v>
      </c>
      <c r="J1627" s="71">
        <v>43087</v>
      </c>
      <c r="K1627" s="71">
        <v>43100</v>
      </c>
      <c r="L1627" s="69" t="s">
        <v>119</v>
      </c>
      <c r="M1627" s="69" t="s">
        <v>109</v>
      </c>
      <c r="N1627" s="95">
        <v>43128</v>
      </c>
      <c r="O1627" s="67"/>
      <c r="P1627" s="67" t="s">
        <v>95</v>
      </c>
      <c r="Q1627" s="67" t="s">
        <v>129</v>
      </c>
      <c r="R1627" s="92" t="s">
        <v>69</v>
      </c>
      <c r="S1627" s="92" t="s">
        <v>138</v>
      </c>
      <c r="T1627" s="67"/>
      <c r="U1627" s="67"/>
      <c r="V1627" s="95">
        <v>43100</v>
      </c>
      <c r="W1627" s="92">
        <v>415571326</v>
      </c>
      <c r="X1627" s="90"/>
      <c r="Y1627" s="123"/>
      <c r="Z1627" s="30">
        <f t="shared" si="50"/>
        <v>4227.3638773950279</v>
      </c>
      <c r="AA1627" s="30">
        <f t="shared" si="51"/>
        <v>0</v>
      </c>
      <c r="AB1627" t="s">
        <v>456</v>
      </c>
    </row>
    <row r="1628" spans="1:28">
      <c r="A1628" s="67" t="s">
        <v>136</v>
      </c>
      <c r="B1628" s="91">
        <v>1303981</v>
      </c>
      <c r="C1628" s="92">
        <v>4615458452</v>
      </c>
      <c r="D1628" s="93">
        <v>19175</v>
      </c>
      <c r="E1628" s="79"/>
      <c r="F1628" s="91">
        <v>10</v>
      </c>
      <c r="G1628" s="91">
        <v>0</v>
      </c>
      <c r="H1628" s="94">
        <v>0</v>
      </c>
      <c r="I1628" s="91">
        <v>0</v>
      </c>
      <c r="J1628" s="71">
        <v>43087</v>
      </c>
      <c r="K1628" s="71">
        <v>43100</v>
      </c>
      <c r="L1628" s="69" t="s">
        <v>119</v>
      </c>
      <c r="M1628" s="69" t="s">
        <v>109</v>
      </c>
      <c r="N1628" s="95">
        <v>43137</v>
      </c>
      <c r="O1628" s="67"/>
      <c r="P1628" s="67" t="s">
        <v>95</v>
      </c>
      <c r="Q1628" s="67" t="s">
        <v>129</v>
      </c>
      <c r="R1628" s="92" t="s">
        <v>69</v>
      </c>
      <c r="S1628" s="92" t="s">
        <v>138</v>
      </c>
      <c r="T1628" s="67"/>
      <c r="U1628" s="67"/>
      <c r="V1628" s="95">
        <v>43100</v>
      </c>
      <c r="W1628" s="92">
        <v>415571326</v>
      </c>
      <c r="X1628" s="90"/>
      <c r="Y1628" s="123"/>
      <c r="Z1628" s="30">
        <f t="shared" si="50"/>
        <v>4227.3638773950279</v>
      </c>
      <c r="AA1628" s="30">
        <f t="shared" si="51"/>
        <v>0</v>
      </c>
      <c r="AB1628" t="s">
        <v>456</v>
      </c>
    </row>
    <row r="1629" spans="1:28">
      <c r="A1629" s="67" t="s">
        <v>136</v>
      </c>
      <c r="B1629" s="91">
        <v>1303984</v>
      </c>
      <c r="C1629" s="92">
        <v>4615458452</v>
      </c>
      <c r="D1629" s="93">
        <v>19175</v>
      </c>
      <c r="E1629" s="79"/>
      <c r="F1629" s="91">
        <v>10</v>
      </c>
      <c r="G1629" s="91">
        <v>0</v>
      </c>
      <c r="H1629" s="94">
        <v>0</v>
      </c>
      <c r="I1629" s="91">
        <v>0</v>
      </c>
      <c r="J1629" s="71">
        <v>43087</v>
      </c>
      <c r="K1629" s="71">
        <v>43100</v>
      </c>
      <c r="L1629" s="69" t="s">
        <v>119</v>
      </c>
      <c r="M1629" s="69" t="s">
        <v>109</v>
      </c>
      <c r="N1629" s="95">
        <v>43149</v>
      </c>
      <c r="O1629" s="67"/>
      <c r="P1629" s="67" t="s">
        <v>95</v>
      </c>
      <c r="Q1629" s="67" t="s">
        <v>129</v>
      </c>
      <c r="R1629" s="92" t="s">
        <v>69</v>
      </c>
      <c r="S1629" s="92" t="s">
        <v>138</v>
      </c>
      <c r="T1629" s="67"/>
      <c r="U1629" s="67"/>
      <c r="V1629" s="95">
        <v>43100</v>
      </c>
      <c r="W1629" s="92">
        <v>415571326</v>
      </c>
      <c r="X1629" s="90"/>
      <c r="Y1629" s="123"/>
      <c r="Z1629" s="30">
        <f t="shared" si="50"/>
        <v>4227.3638773950279</v>
      </c>
      <c r="AA1629" s="30">
        <f t="shared" si="51"/>
        <v>0</v>
      </c>
      <c r="AB1629" t="s">
        <v>456</v>
      </c>
    </row>
    <row r="1630" spans="1:28">
      <c r="A1630" s="67" t="s">
        <v>136</v>
      </c>
      <c r="B1630" s="91">
        <v>1316567</v>
      </c>
      <c r="C1630" s="92">
        <v>4615458452</v>
      </c>
      <c r="D1630" s="93">
        <v>19175</v>
      </c>
      <c r="E1630" s="79"/>
      <c r="F1630" s="91">
        <v>10</v>
      </c>
      <c r="G1630" s="91">
        <v>0</v>
      </c>
      <c r="H1630" s="94">
        <v>0</v>
      </c>
      <c r="I1630" s="91">
        <v>0</v>
      </c>
      <c r="J1630" s="71">
        <v>43121</v>
      </c>
      <c r="K1630" s="71">
        <v>43100</v>
      </c>
      <c r="L1630" s="69" t="s">
        <v>132</v>
      </c>
      <c r="M1630" s="69" t="s">
        <v>109</v>
      </c>
      <c r="N1630" s="95">
        <v>43152</v>
      </c>
      <c r="O1630" s="67"/>
      <c r="P1630" s="67" t="s">
        <v>95</v>
      </c>
      <c r="Q1630" s="67" t="s">
        <v>129</v>
      </c>
      <c r="R1630" s="92" t="s">
        <v>69</v>
      </c>
      <c r="S1630" s="92" t="s">
        <v>138</v>
      </c>
      <c r="T1630" s="67"/>
      <c r="U1630" s="67"/>
      <c r="V1630" s="95">
        <v>43100</v>
      </c>
      <c r="W1630" s="92">
        <v>415571326</v>
      </c>
      <c r="X1630" s="90"/>
      <c r="Y1630" s="123"/>
      <c r="Z1630" s="30">
        <f t="shared" si="50"/>
        <v>4227.3638773950279</v>
      </c>
      <c r="AA1630" s="30">
        <f t="shared" si="51"/>
        <v>0</v>
      </c>
      <c r="AB1630" t="s">
        <v>456</v>
      </c>
    </row>
    <row r="1631" spans="1:28">
      <c r="A1631" s="67" t="s">
        <v>136</v>
      </c>
      <c r="B1631" s="91">
        <v>1303999</v>
      </c>
      <c r="C1631" s="92">
        <v>4615451340</v>
      </c>
      <c r="D1631" s="93">
        <v>19175</v>
      </c>
      <c r="E1631" s="79"/>
      <c r="F1631" s="91">
        <v>10</v>
      </c>
      <c r="G1631" s="91">
        <v>0</v>
      </c>
      <c r="H1631" s="91">
        <v>0</v>
      </c>
      <c r="I1631" s="91">
        <v>0</v>
      </c>
      <c r="J1631" s="71">
        <v>43080</v>
      </c>
      <c r="K1631" s="71">
        <v>43100</v>
      </c>
      <c r="L1631" s="69" t="s">
        <v>119</v>
      </c>
      <c r="M1631" s="69" t="s">
        <v>109</v>
      </c>
      <c r="N1631" s="95">
        <v>43121</v>
      </c>
      <c r="O1631" s="67"/>
      <c r="P1631" s="67" t="s">
        <v>95</v>
      </c>
      <c r="Q1631" s="67" t="s">
        <v>129</v>
      </c>
      <c r="R1631" s="92" t="s">
        <v>69</v>
      </c>
      <c r="S1631" s="92" t="s">
        <v>138</v>
      </c>
      <c r="T1631" s="67"/>
      <c r="U1631" s="67"/>
      <c r="V1631" s="95">
        <v>43100</v>
      </c>
      <c r="W1631" s="92">
        <v>415571473</v>
      </c>
      <c r="X1631" s="90"/>
      <c r="Y1631" s="123"/>
      <c r="Z1631" s="30">
        <f t="shared" si="50"/>
        <v>4227.3638773950279</v>
      </c>
      <c r="AA1631" s="30">
        <f t="shared" si="51"/>
        <v>0</v>
      </c>
      <c r="AB1631" t="s">
        <v>456</v>
      </c>
    </row>
    <row r="1632" spans="1:28">
      <c r="A1632" s="67" t="s">
        <v>136</v>
      </c>
      <c r="B1632" s="91">
        <v>1303998</v>
      </c>
      <c r="C1632" s="92">
        <v>4615451340</v>
      </c>
      <c r="D1632" s="93">
        <v>19175</v>
      </c>
      <c r="E1632" s="79"/>
      <c r="F1632" s="91">
        <v>10</v>
      </c>
      <c r="G1632" s="91">
        <v>0</v>
      </c>
      <c r="H1632" s="91">
        <v>0</v>
      </c>
      <c r="I1632" s="91">
        <v>0</v>
      </c>
      <c r="J1632" s="71">
        <v>43080</v>
      </c>
      <c r="K1632" s="71">
        <v>43100</v>
      </c>
      <c r="L1632" s="69" t="s">
        <v>119</v>
      </c>
      <c r="M1632" s="69" t="s">
        <v>109</v>
      </c>
      <c r="N1632" s="95">
        <v>43130</v>
      </c>
      <c r="O1632" s="67"/>
      <c r="P1632" s="67" t="s">
        <v>95</v>
      </c>
      <c r="Q1632" s="67" t="s">
        <v>129</v>
      </c>
      <c r="R1632" s="92" t="s">
        <v>69</v>
      </c>
      <c r="S1632" s="92" t="s">
        <v>138</v>
      </c>
      <c r="T1632" s="67"/>
      <c r="U1632" s="67"/>
      <c r="V1632" s="95">
        <v>43100</v>
      </c>
      <c r="W1632" s="92">
        <v>415571473</v>
      </c>
      <c r="X1632" s="90"/>
      <c r="Y1632" s="123"/>
      <c r="Z1632" s="30">
        <f t="shared" si="50"/>
        <v>4227.3638773950279</v>
      </c>
      <c r="AA1632" s="30">
        <f t="shared" si="51"/>
        <v>0</v>
      </c>
      <c r="AB1632" t="s">
        <v>456</v>
      </c>
    </row>
    <row r="1633" spans="1:28">
      <c r="A1633" s="67" t="s">
        <v>136</v>
      </c>
      <c r="B1633" s="91">
        <v>1303997</v>
      </c>
      <c r="C1633" s="92">
        <v>4615451340</v>
      </c>
      <c r="D1633" s="93">
        <v>19175</v>
      </c>
      <c r="E1633" s="79"/>
      <c r="F1633" s="91">
        <v>10</v>
      </c>
      <c r="G1633" s="91">
        <v>0</v>
      </c>
      <c r="H1633" s="91">
        <v>0</v>
      </c>
      <c r="I1633" s="91">
        <v>0</v>
      </c>
      <c r="J1633" s="71">
        <v>43080</v>
      </c>
      <c r="K1633" s="71">
        <v>43100</v>
      </c>
      <c r="L1633" s="69" t="s">
        <v>119</v>
      </c>
      <c r="M1633" s="69" t="s">
        <v>109</v>
      </c>
      <c r="N1633" s="95">
        <v>43149</v>
      </c>
      <c r="O1633" s="67"/>
      <c r="P1633" s="67" t="s">
        <v>95</v>
      </c>
      <c r="Q1633" s="67" t="s">
        <v>129</v>
      </c>
      <c r="R1633" s="92" t="s">
        <v>69</v>
      </c>
      <c r="S1633" s="92" t="s">
        <v>138</v>
      </c>
      <c r="T1633" s="67"/>
      <c r="U1633" s="67"/>
      <c r="V1633" s="95">
        <v>43100</v>
      </c>
      <c r="W1633" s="92">
        <v>415571473</v>
      </c>
      <c r="X1633" s="90"/>
      <c r="Y1633" s="123"/>
      <c r="Z1633" s="30">
        <f t="shared" si="50"/>
        <v>4227.3638773950279</v>
      </c>
      <c r="AA1633" s="30">
        <f t="shared" si="51"/>
        <v>0</v>
      </c>
      <c r="AB1633" t="s">
        <v>456</v>
      </c>
    </row>
    <row r="1634" spans="1:28">
      <c r="A1634" s="67" t="s">
        <v>122</v>
      </c>
      <c r="B1634" s="91">
        <v>1311994</v>
      </c>
      <c r="C1634" s="92">
        <v>4615497880</v>
      </c>
      <c r="D1634" s="93">
        <v>19200</v>
      </c>
      <c r="E1634" s="79"/>
      <c r="F1634" s="91">
        <v>16</v>
      </c>
      <c r="G1634" s="96">
        <v>5</v>
      </c>
      <c r="H1634" s="91">
        <v>0</v>
      </c>
      <c r="I1634" s="91">
        <v>0</v>
      </c>
      <c r="J1634" s="71">
        <v>43071</v>
      </c>
      <c r="K1634" s="71">
        <v>43100</v>
      </c>
      <c r="L1634" s="69" t="s">
        <v>119</v>
      </c>
      <c r="M1634" s="69" t="s">
        <v>109</v>
      </c>
      <c r="N1634" s="95">
        <v>43129</v>
      </c>
      <c r="O1634" s="67"/>
      <c r="P1634" s="67" t="s">
        <v>95</v>
      </c>
      <c r="Q1634" s="67" t="s">
        <v>120</v>
      </c>
      <c r="R1634" s="92" t="s">
        <v>69</v>
      </c>
      <c r="S1634" s="92" t="s">
        <v>293</v>
      </c>
      <c r="T1634" s="67"/>
      <c r="U1634" s="67"/>
      <c r="V1634" s="95">
        <v>43100</v>
      </c>
      <c r="W1634" s="92" t="s">
        <v>294</v>
      </c>
      <c r="X1634" s="90" t="s">
        <v>295</v>
      </c>
      <c r="Y1634" s="123"/>
      <c r="Z1634" s="30">
        <f t="shared" si="50"/>
        <v>6772.6006943194379</v>
      </c>
      <c r="AA1634" s="30">
        <f t="shared" si="51"/>
        <v>2116.4377169748245</v>
      </c>
      <c r="AB1634" t="s">
        <v>456</v>
      </c>
    </row>
    <row r="1635" spans="1:28">
      <c r="A1635" s="67" t="s">
        <v>122</v>
      </c>
      <c r="B1635" s="91">
        <v>1306348</v>
      </c>
      <c r="C1635" s="92">
        <v>4615483827</v>
      </c>
      <c r="D1635" s="93">
        <v>19200</v>
      </c>
      <c r="E1635" s="79"/>
      <c r="F1635" s="91">
        <v>16</v>
      </c>
      <c r="G1635" s="96">
        <v>5</v>
      </c>
      <c r="H1635" s="94">
        <v>0</v>
      </c>
      <c r="I1635" s="91">
        <v>0</v>
      </c>
      <c r="J1635" s="71">
        <v>43071</v>
      </c>
      <c r="K1635" s="71">
        <v>43100</v>
      </c>
      <c r="L1635" s="69" t="s">
        <v>119</v>
      </c>
      <c r="M1635" s="69" t="s">
        <v>109</v>
      </c>
      <c r="N1635" s="95">
        <v>43128</v>
      </c>
      <c r="O1635" s="67"/>
      <c r="P1635" s="67" t="s">
        <v>95</v>
      </c>
      <c r="Q1635" s="67" t="s">
        <v>120</v>
      </c>
      <c r="R1635" s="92" t="s">
        <v>69</v>
      </c>
      <c r="S1635" s="92" t="s">
        <v>123</v>
      </c>
      <c r="T1635" s="67"/>
      <c r="U1635" s="67"/>
      <c r="V1635" s="95">
        <v>43100</v>
      </c>
      <c r="W1635" s="92">
        <v>2030011</v>
      </c>
      <c r="X1635" s="90" t="s">
        <v>296</v>
      </c>
      <c r="Y1635" s="123"/>
      <c r="Z1635" s="30">
        <f t="shared" si="50"/>
        <v>6772.6006943194379</v>
      </c>
      <c r="AA1635" s="30">
        <f t="shared" si="51"/>
        <v>2116.4377169748245</v>
      </c>
      <c r="AB1635" t="s">
        <v>456</v>
      </c>
    </row>
    <row r="1636" spans="1:28">
      <c r="A1636" s="67" t="s">
        <v>122</v>
      </c>
      <c r="B1636" s="91">
        <v>1306349</v>
      </c>
      <c r="C1636" s="92">
        <v>4615483827</v>
      </c>
      <c r="D1636" s="93">
        <v>19200</v>
      </c>
      <c r="E1636" s="79"/>
      <c r="F1636" s="91">
        <v>16</v>
      </c>
      <c r="G1636" s="96">
        <v>5</v>
      </c>
      <c r="H1636" s="94">
        <v>0</v>
      </c>
      <c r="I1636" s="91">
        <v>0</v>
      </c>
      <c r="J1636" s="71">
        <v>43071</v>
      </c>
      <c r="K1636" s="71">
        <v>43100</v>
      </c>
      <c r="L1636" s="69" t="s">
        <v>119</v>
      </c>
      <c r="M1636" s="69" t="s">
        <v>109</v>
      </c>
      <c r="N1636" s="95">
        <v>43128</v>
      </c>
      <c r="O1636" s="67"/>
      <c r="P1636" s="67" t="s">
        <v>95</v>
      </c>
      <c r="Q1636" s="67" t="s">
        <v>120</v>
      </c>
      <c r="R1636" s="92" t="s">
        <v>69</v>
      </c>
      <c r="S1636" s="92" t="s">
        <v>123</v>
      </c>
      <c r="T1636" s="67"/>
      <c r="U1636" s="67"/>
      <c r="V1636" s="95">
        <v>43100</v>
      </c>
      <c r="W1636" s="92">
        <v>2029921</v>
      </c>
      <c r="X1636" s="90" t="s">
        <v>297</v>
      </c>
      <c r="Y1636" s="123"/>
      <c r="Z1636" s="30">
        <f t="shared" si="50"/>
        <v>6772.6006943194379</v>
      </c>
      <c r="AA1636" s="30">
        <f t="shared" si="51"/>
        <v>2116.4377169748245</v>
      </c>
      <c r="AB1636" t="s">
        <v>456</v>
      </c>
    </row>
    <row r="1637" spans="1:28">
      <c r="A1637" s="67" t="s">
        <v>122</v>
      </c>
      <c r="B1637" s="91">
        <v>1306669</v>
      </c>
      <c r="C1637" s="92">
        <v>4615488236</v>
      </c>
      <c r="D1637" s="93">
        <v>19200</v>
      </c>
      <c r="E1637" s="79"/>
      <c r="F1637" s="91">
        <v>16</v>
      </c>
      <c r="G1637" s="96">
        <v>5</v>
      </c>
      <c r="H1637" s="94">
        <v>0</v>
      </c>
      <c r="I1637" s="91">
        <v>0</v>
      </c>
      <c r="J1637" s="71">
        <v>43065</v>
      </c>
      <c r="K1637" s="71">
        <v>43100</v>
      </c>
      <c r="L1637" s="69">
        <v>0</v>
      </c>
      <c r="M1637" s="69" t="s">
        <v>109</v>
      </c>
      <c r="N1637" s="95">
        <v>43117</v>
      </c>
      <c r="O1637" s="67"/>
      <c r="P1637" s="67" t="s">
        <v>95</v>
      </c>
      <c r="Q1637" s="67" t="s">
        <v>120</v>
      </c>
      <c r="R1637" s="92" t="s">
        <v>69</v>
      </c>
      <c r="S1637" s="92" t="s">
        <v>123</v>
      </c>
      <c r="T1637" s="67"/>
      <c r="U1637" s="67"/>
      <c r="V1637" s="95">
        <v>43100</v>
      </c>
      <c r="W1637" s="92">
        <v>2025780</v>
      </c>
      <c r="X1637" s="90" t="s">
        <v>298</v>
      </c>
      <c r="Y1637" s="123"/>
      <c r="Z1637" s="30">
        <f t="shared" si="50"/>
        <v>6772.6006943194379</v>
      </c>
      <c r="AA1637" s="30">
        <f t="shared" si="51"/>
        <v>2116.4377169748245</v>
      </c>
      <c r="AB1637" t="s">
        <v>456</v>
      </c>
    </row>
    <row r="1638" spans="1:28">
      <c r="A1638" s="67" t="s">
        <v>122</v>
      </c>
      <c r="B1638" s="91">
        <v>1317741</v>
      </c>
      <c r="C1638" s="92">
        <v>4615444860</v>
      </c>
      <c r="D1638" s="93">
        <v>19175</v>
      </c>
      <c r="E1638" s="79"/>
      <c r="F1638" s="91">
        <v>16</v>
      </c>
      <c r="G1638" s="96">
        <v>5</v>
      </c>
      <c r="H1638" s="94">
        <v>0</v>
      </c>
      <c r="I1638" s="91">
        <v>0</v>
      </c>
      <c r="J1638" s="71">
        <v>43101</v>
      </c>
      <c r="K1638" s="71">
        <v>43100</v>
      </c>
      <c r="L1638" s="69" t="s">
        <v>119</v>
      </c>
      <c r="M1638" s="69" t="s">
        <v>109</v>
      </c>
      <c r="N1638" s="95">
        <v>43198</v>
      </c>
      <c r="O1638" s="67"/>
      <c r="P1638" s="67" t="s">
        <v>95</v>
      </c>
      <c r="Q1638" s="67" t="s">
        <v>120</v>
      </c>
      <c r="R1638" s="92" t="s">
        <v>69</v>
      </c>
      <c r="S1638" s="92" t="s">
        <v>123</v>
      </c>
      <c r="T1638" s="67"/>
      <c r="U1638" s="67"/>
      <c r="V1638" s="95">
        <v>43100</v>
      </c>
      <c r="W1638" s="92">
        <v>2030465</v>
      </c>
      <c r="X1638" s="90"/>
      <c r="Y1638" s="123"/>
      <c r="Z1638" s="30">
        <f t="shared" si="50"/>
        <v>6763.7822038320437</v>
      </c>
      <c r="AA1638" s="30">
        <f t="shared" si="51"/>
        <v>2113.6819386975139</v>
      </c>
      <c r="AB1638" t="s">
        <v>456</v>
      </c>
    </row>
    <row r="1639" spans="1:28">
      <c r="A1639" s="67" t="s">
        <v>122</v>
      </c>
      <c r="B1639" s="91">
        <v>1317738</v>
      </c>
      <c r="C1639" s="92">
        <v>4615444860</v>
      </c>
      <c r="D1639" s="93">
        <v>19175</v>
      </c>
      <c r="E1639" s="79"/>
      <c r="F1639" s="91">
        <v>16</v>
      </c>
      <c r="G1639" s="96">
        <v>5</v>
      </c>
      <c r="H1639" s="94">
        <v>0</v>
      </c>
      <c r="I1639" s="91">
        <v>0</v>
      </c>
      <c r="J1639" s="71">
        <v>43101</v>
      </c>
      <c r="K1639" s="71">
        <v>43100</v>
      </c>
      <c r="L1639" s="69" t="s">
        <v>119</v>
      </c>
      <c r="M1639" s="69" t="s">
        <v>109</v>
      </c>
      <c r="N1639" s="95">
        <v>43195</v>
      </c>
      <c r="O1639" s="67"/>
      <c r="P1639" s="67" t="s">
        <v>95</v>
      </c>
      <c r="Q1639" s="67" t="s">
        <v>120</v>
      </c>
      <c r="R1639" s="92" t="s">
        <v>69</v>
      </c>
      <c r="S1639" s="92" t="s">
        <v>123</v>
      </c>
      <c r="T1639" s="67"/>
      <c r="U1639" s="67"/>
      <c r="V1639" s="95">
        <v>43100</v>
      </c>
      <c r="W1639" s="92">
        <v>2030465</v>
      </c>
      <c r="X1639" s="90"/>
      <c r="Y1639" s="123"/>
      <c r="Z1639" s="30">
        <f t="shared" si="50"/>
        <v>6763.7822038320437</v>
      </c>
      <c r="AA1639" s="30">
        <f t="shared" si="51"/>
        <v>2113.6819386975139</v>
      </c>
      <c r="AB1639" t="s">
        <v>456</v>
      </c>
    </row>
    <row r="1640" spans="1:28">
      <c r="A1640" s="67" t="s">
        <v>122</v>
      </c>
      <c r="B1640" s="91">
        <v>1317740</v>
      </c>
      <c r="C1640" s="92">
        <v>4615444860</v>
      </c>
      <c r="D1640" s="93">
        <v>19175</v>
      </c>
      <c r="E1640" s="79"/>
      <c r="F1640" s="91">
        <v>16</v>
      </c>
      <c r="G1640" s="96">
        <v>5</v>
      </c>
      <c r="H1640" s="94">
        <v>0</v>
      </c>
      <c r="I1640" s="91">
        <v>0</v>
      </c>
      <c r="J1640" s="71">
        <v>43101</v>
      </c>
      <c r="K1640" s="71">
        <v>43100</v>
      </c>
      <c r="L1640" s="69" t="s">
        <v>119</v>
      </c>
      <c r="M1640" s="69" t="s">
        <v>299</v>
      </c>
      <c r="N1640" s="95"/>
      <c r="O1640" s="67"/>
      <c r="P1640" s="67" t="s">
        <v>95</v>
      </c>
      <c r="Q1640" s="67" t="s">
        <v>120</v>
      </c>
      <c r="R1640" s="92" t="s">
        <v>69</v>
      </c>
      <c r="S1640" s="92" t="s">
        <v>123</v>
      </c>
      <c r="T1640" s="67"/>
      <c r="U1640" s="67"/>
      <c r="V1640" s="95">
        <v>43100</v>
      </c>
      <c r="W1640" s="92">
        <v>2030465</v>
      </c>
      <c r="X1640" s="90"/>
      <c r="Y1640" s="123"/>
      <c r="Z1640" s="30">
        <f t="shared" si="50"/>
        <v>6763.7822038320437</v>
      </c>
      <c r="AA1640" s="30">
        <f t="shared" si="51"/>
        <v>2113.6819386975139</v>
      </c>
      <c r="AB1640" t="s">
        <v>456</v>
      </c>
    </row>
    <row r="1641" spans="1:28">
      <c r="A1641" s="67" t="s">
        <v>122</v>
      </c>
      <c r="B1641" s="91">
        <v>1317739</v>
      </c>
      <c r="C1641" s="92">
        <v>4615444860</v>
      </c>
      <c r="D1641" s="93">
        <v>19175</v>
      </c>
      <c r="E1641" s="79"/>
      <c r="F1641" s="91">
        <v>16</v>
      </c>
      <c r="G1641" s="96">
        <v>5</v>
      </c>
      <c r="H1641" s="94">
        <v>0</v>
      </c>
      <c r="I1641" s="91">
        <v>0</v>
      </c>
      <c r="J1641" s="71">
        <v>43101</v>
      </c>
      <c r="K1641" s="71">
        <v>43100</v>
      </c>
      <c r="L1641" s="69" t="s">
        <v>119</v>
      </c>
      <c r="M1641" s="69" t="s">
        <v>109</v>
      </c>
      <c r="N1641" s="95">
        <v>43201</v>
      </c>
      <c r="O1641" s="67"/>
      <c r="P1641" s="67" t="s">
        <v>95</v>
      </c>
      <c r="Q1641" s="67" t="s">
        <v>120</v>
      </c>
      <c r="R1641" s="92" t="s">
        <v>69</v>
      </c>
      <c r="S1641" s="92" t="s">
        <v>123</v>
      </c>
      <c r="T1641" s="67"/>
      <c r="U1641" s="67"/>
      <c r="V1641" s="95">
        <v>43100</v>
      </c>
      <c r="W1641" s="92">
        <v>2030465</v>
      </c>
      <c r="X1641" s="90"/>
      <c r="Y1641" s="123"/>
      <c r="Z1641" s="30">
        <f t="shared" si="50"/>
        <v>6763.7822038320437</v>
      </c>
      <c r="AA1641" s="30">
        <f t="shared" si="51"/>
        <v>2113.6819386975139</v>
      </c>
      <c r="AB1641" t="s">
        <v>456</v>
      </c>
    </row>
    <row r="1642" spans="1:28">
      <c r="A1642" s="67" t="s">
        <v>122</v>
      </c>
      <c r="B1642" s="91">
        <v>1317737</v>
      </c>
      <c r="C1642" s="92">
        <v>4615444860</v>
      </c>
      <c r="D1642" s="93">
        <v>19175</v>
      </c>
      <c r="E1642" s="79"/>
      <c r="F1642" s="91">
        <v>16</v>
      </c>
      <c r="G1642" s="96">
        <v>5</v>
      </c>
      <c r="H1642" s="94">
        <v>0</v>
      </c>
      <c r="I1642" s="91">
        <v>0</v>
      </c>
      <c r="J1642" s="71">
        <v>43101</v>
      </c>
      <c r="K1642" s="71">
        <v>43100</v>
      </c>
      <c r="L1642" s="69" t="s">
        <v>119</v>
      </c>
      <c r="M1642" s="69" t="s">
        <v>109</v>
      </c>
      <c r="N1642" s="95">
        <v>43192</v>
      </c>
      <c r="O1642" s="67"/>
      <c r="P1642" s="67" t="s">
        <v>95</v>
      </c>
      <c r="Q1642" s="67" t="s">
        <v>120</v>
      </c>
      <c r="R1642" s="92" t="s">
        <v>69</v>
      </c>
      <c r="S1642" s="92" t="s">
        <v>123</v>
      </c>
      <c r="T1642" s="67"/>
      <c r="U1642" s="67"/>
      <c r="V1642" s="95">
        <v>43100</v>
      </c>
      <c r="W1642" s="92">
        <v>2030465</v>
      </c>
      <c r="X1642" s="90"/>
      <c r="Y1642" s="123"/>
      <c r="Z1642" s="30">
        <f t="shared" si="50"/>
        <v>6763.7822038320437</v>
      </c>
      <c r="AA1642" s="30">
        <f t="shared" si="51"/>
        <v>2113.6819386975139</v>
      </c>
      <c r="AB1642" t="s">
        <v>456</v>
      </c>
    </row>
    <row r="1643" spans="1:28">
      <c r="A1643" s="67" t="s">
        <v>122</v>
      </c>
      <c r="B1643" s="91">
        <v>1317736</v>
      </c>
      <c r="C1643" s="92">
        <v>4615444860</v>
      </c>
      <c r="D1643" s="93">
        <v>19175</v>
      </c>
      <c r="E1643" s="79"/>
      <c r="F1643" s="91">
        <v>16</v>
      </c>
      <c r="G1643" s="96">
        <v>5</v>
      </c>
      <c r="H1643" s="94">
        <v>0</v>
      </c>
      <c r="I1643" s="91">
        <v>0</v>
      </c>
      <c r="J1643" s="71">
        <v>43115</v>
      </c>
      <c r="K1643" s="71">
        <v>43100</v>
      </c>
      <c r="L1643" s="69" t="s">
        <v>119</v>
      </c>
      <c r="M1643" s="69" t="s">
        <v>299</v>
      </c>
      <c r="N1643" s="95"/>
      <c r="O1643" s="67"/>
      <c r="P1643" s="67" t="s">
        <v>95</v>
      </c>
      <c r="Q1643" s="67" t="s">
        <v>120</v>
      </c>
      <c r="R1643" s="92" t="s">
        <v>69</v>
      </c>
      <c r="S1643" s="92" t="s">
        <v>123</v>
      </c>
      <c r="T1643" s="67"/>
      <c r="U1643" s="67"/>
      <c r="V1643" s="95">
        <v>43100</v>
      </c>
      <c r="W1643" s="92">
        <v>2030465</v>
      </c>
      <c r="X1643" s="90"/>
      <c r="Y1643" s="123"/>
      <c r="Z1643" s="30">
        <f t="shared" si="50"/>
        <v>6763.7822038320437</v>
      </c>
      <c r="AA1643" s="30">
        <f t="shared" si="51"/>
        <v>2113.6819386975139</v>
      </c>
      <c r="AB1643" t="s">
        <v>456</v>
      </c>
    </row>
    <row r="1644" spans="1:28">
      <c r="A1644" s="67" t="s">
        <v>122</v>
      </c>
      <c r="B1644" s="91">
        <v>1303240</v>
      </c>
      <c r="C1644" s="92">
        <v>4615481489</v>
      </c>
      <c r="D1644" s="93">
        <v>21120</v>
      </c>
      <c r="E1644" s="79"/>
      <c r="F1644" s="91">
        <v>16</v>
      </c>
      <c r="G1644" s="96">
        <v>5</v>
      </c>
      <c r="H1644" s="94">
        <v>0</v>
      </c>
      <c r="I1644" s="91">
        <v>0</v>
      </c>
      <c r="J1644" s="71">
        <v>43070</v>
      </c>
      <c r="K1644" s="71">
        <v>43100</v>
      </c>
      <c r="L1644" s="69" t="s">
        <v>132</v>
      </c>
      <c r="M1644" s="69" t="s">
        <v>109</v>
      </c>
      <c r="N1644" s="95">
        <v>43114</v>
      </c>
      <c r="O1644" s="67"/>
      <c r="P1644" s="67" t="s">
        <v>95</v>
      </c>
      <c r="Q1644" s="67" t="s">
        <v>120</v>
      </c>
      <c r="R1644" s="92" t="s">
        <v>69</v>
      </c>
      <c r="S1644" s="92" t="s">
        <v>123</v>
      </c>
      <c r="T1644" s="67"/>
      <c r="U1644" s="67"/>
      <c r="V1644" s="95">
        <v>43100</v>
      </c>
      <c r="W1644" s="92">
        <v>2030498</v>
      </c>
      <c r="X1644" s="90" t="s">
        <v>300</v>
      </c>
      <c r="Y1644" s="123"/>
      <c r="Z1644" s="30">
        <f t="shared" si="50"/>
        <v>7449.8607637513824</v>
      </c>
      <c r="AA1644" s="30">
        <f t="shared" si="51"/>
        <v>2328.0814886723069</v>
      </c>
      <c r="AB1644" t="s">
        <v>456</v>
      </c>
    </row>
    <row r="1645" spans="1:28">
      <c r="A1645" s="67" t="s">
        <v>122</v>
      </c>
      <c r="B1645" s="91">
        <v>1303238</v>
      </c>
      <c r="C1645" s="92">
        <v>4615481489</v>
      </c>
      <c r="D1645" s="93">
        <v>21120</v>
      </c>
      <c r="E1645" s="79"/>
      <c r="F1645" s="91">
        <v>16</v>
      </c>
      <c r="G1645" s="96">
        <v>5</v>
      </c>
      <c r="H1645" s="94">
        <v>0</v>
      </c>
      <c r="I1645" s="91">
        <v>0</v>
      </c>
      <c r="J1645" s="71">
        <v>43076</v>
      </c>
      <c r="K1645" s="71">
        <v>43100</v>
      </c>
      <c r="L1645" s="69" t="s">
        <v>132</v>
      </c>
      <c r="M1645" s="69" t="s">
        <v>109</v>
      </c>
      <c r="N1645" s="95">
        <v>43132</v>
      </c>
      <c r="O1645" s="67"/>
      <c r="P1645" s="67" t="s">
        <v>95</v>
      </c>
      <c r="Q1645" s="67" t="s">
        <v>120</v>
      </c>
      <c r="R1645" s="92" t="s">
        <v>69</v>
      </c>
      <c r="S1645" s="92" t="s">
        <v>123</v>
      </c>
      <c r="T1645" s="67"/>
      <c r="U1645" s="67"/>
      <c r="V1645" s="95">
        <v>43100</v>
      </c>
      <c r="W1645" s="92">
        <v>2030498</v>
      </c>
      <c r="X1645" s="90" t="s">
        <v>300</v>
      </c>
      <c r="Y1645" s="123"/>
      <c r="Z1645" s="30">
        <f t="shared" si="50"/>
        <v>7449.8607637513824</v>
      </c>
      <c r="AA1645" s="30">
        <f t="shared" si="51"/>
        <v>2328.0814886723069</v>
      </c>
      <c r="AB1645" t="s">
        <v>456</v>
      </c>
    </row>
    <row r="1646" spans="1:28">
      <c r="A1646" s="67" t="s">
        <v>122</v>
      </c>
      <c r="B1646" s="91">
        <v>1303242</v>
      </c>
      <c r="C1646" s="92">
        <v>4615481489</v>
      </c>
      <c r="D1646" s="93">
        <v>21120</v>
      </c>
      <c r="E1646" s="79"/>
      <c r="F1646" s="91">
        <v>16</v>
      </c>
      <c r="G1646" s="96">
        <v>5</v>
      </c>
      <c r="H1646" s="94">
        <v>0</v>
      </c>
      <c r="I1646" s="91">
        <v>0</v>
      </c>
      <c r="J1646" s="71">
        <v>43070</v>
      </c>
      <c r="K1646" s="71">
        <v>43100</v>
      </c>
      <c r="L1646" s="69" t="s">
        <v>132</v>
      </c>
      <c r="M1646" s="69" t="s">
        <v>109</v>
      </c>
      <c r="N1646" s="95">
        <v>43132</v>
      </c>
      <c r="O1646" s="67"/>
      <c r="P1646" s="67" t="s">
        <v>95</v>
      </c>
      <c r="Q1646" s="67" t="s">
        <v>120</v>
      </c>
      <c r="R1646" s="92" t="s">
        <v>69</v>
      </c>
      <c r="S1646" s="92" t="s">
        <v>123</v>
      </c>
      <c r="T1646" s="67"/>
      <c r="U1646" s="67"/>
      <c r="V1646" s="95">
        <v>43100</v>
      </c>
      <c r="W1646" s="92">
        <v>2030498</v>
      </c>
      <c r="X1646" s="90" t="s">
        <v>300</v>
      </c>
      <c r="Y1646" s="123"/>
      <c r="Z1646" s="30">
        <f t="shared" si="50"/>
        <v>7449.8607637513824</v>
      </c>
      <c r="AA1646" s="30">
        <f t="shared" si="51"/>
        <v>2328.0814886723069</v>
      </c>
      <c r="AB1646" t="s">
        <v>456</v>
      </c>
    </row>
    <row r="1647" spans="1:28">
      <c r="A1647" s="67" t="s">
        <v>122</v>
      </c>
      <c r="B1647" s="91">
        <v>1303239</v>
      </c>
      <c r="C1647" s="92">
        <v>4615481489</v>
      </c>
      <c r="D1647" s="93">
        <v>21120</v>
      </c>
      <c r="E1647" s="79"/>
      <c r="F1647" s="91">
        <v>16</v>
      </c>
      <c r="G1647" s="96">
        <v>5</v>
      </c>
      <c r="H1647" s="94">
        <v>0</v>
      </c>
      <c r="I1647" s="91">
        <v>0</v>
      </c>
      <c r="J1647" s="71">
        <v>43070</v>
      </c>
      <c r="K1647" s="71">
        <v>43100</v>
      </c>
      <c r="L1647" s="69" t="s">
        <v>132</v>
      </c>
      <c r="M1647" s="69" t="s">
        <v>109</v>
      </c>
      <c r="N1647" s="95">
        <v>43117</v>
      </c>
      <c r="O1647" s="67"/>
      <c r="P1647" s="67" t="s">
        <v>95</v>
      </c>
      <c r="Q1647" s="67" t="s">
        <v>120</v>
      </c>
      <c r="R1647" s="92" t="s">
        <v>69</v>
      </c>
      <c r="S1647" s="92" t="s">
        <v>123</v>
      </c>
      <c r="T1647" s="67"/>
      <c r="U1647" s="67"/>
      <c r="V1647" s="95">
        <v>43100</v>
      </c>
      <c r="W1647" s="92">
        <v>2030498</v>
      </c>
      <c r="X1647" s="90" t="s">
        <v>300</v>
      </c>
      <c r="Y1647" s="123"/>
      <c r="Z1647" s="30">
        <f t="shared" si="50"/>
        <v>7449.8607637513824</v>
      </c>
      <c r="AA1647" s="30">
        <f t="shared" si="51"/>
        <v>2328.0814886723069</v>
      </c>
      <c r="AB1647" t="s">
        <v>456</v>
      </c>
    </row>
    <row r="1648" spans="1:28">
      <c r="A1648" s="67" t="s">
        <v>122</v>
      </c>
      <c r="B1648" s="91">
        <v>1303241</v>
      </c>
      <c r="C1648" s="92">
        <v>4615481489</v>
      </c>
      <c r="D1648" s="93">
        <v>21120</v>
      </c>
      <c r="E1648" s="79"/>
      <c r="F1648" s="91">
        <v>16</v>
      </c>
      <c r="G1648" s="96">
        <v>5</v>
      </c>
      <c r="H1648" s="94">
        <v>0</v>
      </c>
      <c r="I1648" s="91">
        <v>0</v>
      </c>
      <c r="J1648" s="71">
        <v>43070</v>
      </c>
      <c r="K1648" s="71">
        <v>43100</v>
      </c>
      <c r="L1648" s="69" t="s">
        <v>132</v>
      </c>
      <c r="M1648" s="69" t="s">
        <v>109</v>
      </c>
      <c r="N1648" s="95">
        <v>43117</v>
      </c>
      <c r="O1648" s="67"/>
      <c r="P1648" s="67" t="s">
        <v>95</v>
      </c>
      <c r="Q1648" s="67" t="s">
        <v>120</v>
      </c>
      <c r="R1648" s="92" t="s">
        <v>69</v>
      </c>
      <c r="S1648" s="92" t="s">
        <v>123</v>
      </c>
      <c r="T1648" s="67"/>
      <c r="U1648" s="67"/>
      <c r="V1648" s="95">
        <v>43100</v>
      </c>
      <c r="W1648" s="92">
        <v>2030498</v>
      </c>
      <c r="X1648" s="90" t="s">
        <v>300</v>
      </c>
      <c r="Y1648" s="123"/>
      <c r="Z1648" s="30">
        <f t="shared" si="50"/>
        <v>7449.8607637513824</v>
      </c>
      <c r="AA1648" s="30">
        <f t="shared" si="51"/>
        <v>2328.0814886723069</v>
      </c>
      <c r="AB1648" t="s">
        <v>456</v>
      </c>
    </row>
    <row r="1649" spans="1:28">
      <c r="A1649" s="67" t="s">
        <v>122</v>
      </c>
      <c r="B1649" s="91">
        <v>1303244</v>
      </c>
      <c r="C1649" s="92">
        <v>4615481489</v>
      </c>
      <c r="D1649" s="93">
        <v>21120</v>
      </c>
      <c r="E1649" s="79"/>
      <c r="F1649" s="91">
        <v>16</v>
      </c>
      <c r="G1649" s="96">
        <v>5</v>
      </c>
      <c r="H1649" s="94">
        <v>0</v>
      </c>
      <c r="I1649" s="91">
        <v>0</v>
      </c>
      <c r="J1649" s="71">
        <v>43070</v>
      </c>
      <c r="K1649" s="71">
        <v>43100</v>
      </c>
      <c r="L1649" s="69" t="s">
        <v>132</v>
      </c>
      <c r="M1649" s="69" t="s">
        <v>109</v>
      </c>
      <c r="N1649" s="95">
        <v>43118</v>
      </c>
      <c r="O1649" s="67"/>
      <c r="P1649" s="67" t="s">
        <v>95</v>
      </c>
      <c r="Q1649" s="67" t="s">
        <v>120</v>
      </c>
      <c r="R1649" s="92" t="s">
        <v>69</v>
      </c>
      <c r="S1649" s="92" t="s">
        <v>123</v>
      </c>
      <c r="T1649" s="67"/>
      <c r="U1649" s="67"/>
      <c r="V1649" s="95">
        <v>43100</v>
      </c>
      <c r="W1649" s="92">
        <v>2030498</v>
      </c>
      <c r="X1649" s="90" t="s">
        <v>300</v>
      </c>
      <c r="Y1649" s="123"/>
      <c r="Z1649" s="30">
        <f t="shared" si="50"/>
        <v>7449.8607637513824</v>
      </c>
      <c r="AA1649" s="30">
        <f t="shared" si="51"/>
        <v>2328.0814886723069</v>
      </c>
      <c r="AB1649" t="s">
        <v>456</v>
      </c>
    </row>
    <row r="1650" spans="1:28">
      <c r="A1650" s="67" t="s">
        <v>122</v>
      </c>
      <c r="B1650" s="91">
        <v>1303245</v>
      </c>
      <c r="C1650" s="92">
        <v>4615481489</v>
      </c>
      <c r="D1650" s="93">
        <v>21120</v>
      </c>
      <c r="E1650" s="79"/>
      <c r="F1650" s="91">
        <v>16</v>
      </c>
      <c r="G1650" s="96">
        <v>5</v>
      </c>
      <c r="H1650" s="94">
        <v>0</v>
      </c>
      <c r="I1650" s="91">
        <v>0</v>
      </c>
      <c r="J1650" s="71">
        <v>43070</v>
      </c>
      <c r="K1650" s="71">
        <v>43100</v>
      </c>
      <c r="L1650" s="69" t="s">
        <v>132</v>
      </c>
      <c r="M1650" s="69" t="s">
        <v>109</v>
      </c>
      <c r="N1650" s="95">
        <v>43132</v>
      </c>
      <c r="O1650" s="67"/>
      <c r="P1650" s="67" t="s">
        <v>95</v>
      </c>
      <c r="Q1650" s="67" t="s">
        <v>120</v>
      </c>
      <c r="R1650" s="92" t="s">
        <v>69</v>
      </c>
      <c r="S1650" s="92" t="s">
        <v>123</v>
      </c>
      <c r="T1650" s="67"/>
      <c r="U1650" s="67"/>
      <c r="V1650" s="95">
        <v>43100</v>
      </c>
      <c r="W1650" s="92">
        <v>2030498</v>
      </c>
      <c r="X1650" s="90" t="s">
        <v>300</v>
      </c>
      <c r="Y1650" s="123"/>
      <c r="Z1650" s="30">
        <f t="shared" si="50"/>
        <v>7449.8607637513824</v>
      </c>
      <c r="AA1650" s="30">
        <f t="shared" si="51"/>
        <v>2328.0814886723069</v>
      </c>
      <c r="AB1650" t="s">
        <v>456</v>
      </c>
    </row>
    <row r="1651" spans="1:28">
      <c r="A1651" s="67" t="s">
        <v>122</v>
      </c>
      <c r="B1651" s="91">
        <v>1303247</v>
      </c>
      <c r="C1651" s="92">
        <v>4615481489</v>
      </c>
      <c r="D1651" s="93">
        <v>21120</v>
      </c>
      <c r="E1651" s="79"/>
      <c r="F1651" s="91">
        <v>16</v>
      </c>
      <c r="G1651" s="96">
        <v>5</v>
      </c>
      <c r="H1651" s="94">
        <v>0</v>
      </c>
      <c r="I1651" s="91">
        <v>0</v>
      </c>
      <c r="J1651" s="71">
        <v>43070</v>
      </c>
      <c r="K1651" s="71">
        <v>43100</v>
      </c>
      <c r="L1651" s="69" t="s">
        <v>132</v>
      </c>
      <c r="M1651" s="69" t="s">
        <v>109</v>
      </c>
      <c r="N1651" s="95">
        <v>43144</v>
      </c>
      <c r="O1651" s="67"/>
      <c r="P1651" s="67" t="s">
        <v>95</v>
      </c>
      <c r="Q1651" s="67" t="s">
        <v>120</v>
      </c>
      <c r="R1651" s="92" t="s">
        <v>69</v>
      </c>
      <c r="S1651" s="92" t="s">
        <v>123</v>
      </c>
      <c r="T1651" s="67"/>
      <c r="U1651" s="67"/>
      <c r="V1651" s="95">
        <v>43100</v>
      </c>
      <c r="W1651" s="92">
        <v>2030498</v>
      </c>
      <c r="X1651" s="90" t="s">
        <v>300</v>
      </c>
      <c r="Y1651" s="123"/>
      <c r="Z1651" s="30">
        <f t="shared" si="50"/>
        <v>7449.8607637513824</v>
      </c>
      <c r="AA1651" s="30">
        <f t="shared" si="51"/>
        <v>2328.0814886723069</v>
      </c>
      <c r="AB1651" t="s">
        <v>456</v>
      </c>
    </row>
    <row r="1652" spans="1:28">
      <c r="A1652" s="67" t="s">
        <v>122</v>
      </c>
      <c r="B1652" s="91">
        <v>1303243</v>
      </c>
      <c r="C1652" s="92">
        <v>4615481489</v>
      </c>
      <c r="D1652" s="93">
        <v>21120</v>
      </c>
      <c r="E1652" s="79"/>
      <c r="F1652" s="91">
        <v>16</v>
      </c>
      <c r="G1652" s="96">
        <v>5</v>
      </c>
      <c r="H1652" s="94">
        <v>0</v>
      </c>
      <c r="I1652" s="91">
        <v>0</v>
      </c>
      <c r="J1652" s="71">
        <v>43070</v>
      </c>
      <c r="K1652" s="71">
        <v>43100</v>
      </c>
      <c r="L1652" s="69" t="s">
        <v>132</v>
      </c>
      <c r="M1652" s="69" t="s">
        <v>109</v>
      </c>
      <c r="N1652" s="95">
        <v>43145</v>
      </c>
      <c r="O1652" s="67"/>
      <c r="P1652" s="67" t="s">
        <v>95</v>
      </c>
      <c r="Q1652" s="67" t="s">
        <v>120</v>
      </c>
      <c r="R1652" s="92" t="s">
        <v>69</v>
      </c>
      <c r="S1652" s="92" t="s">
        <v>123</v>
      </c>
      <c r="T1652" s="67"/>
      <c r="U1652" s="67"/>
      <c r="V1652" s="95">
        <v>43100</v>
      </c>
      <c r="W1652" s="92">
        <v>2030498</v>
      </c>
      <c r="X1652" s="90" t="s">
        <v>300</v>
      </c>
      <c r="Y1652" s="123"/>
      <c r="Z1652" s="30">
        <f t="shared" si="50"/>
        <v>7449.8607637513824</v>
      </c>
      <c r="AA1652" s="30">
        <f t="shared" si="51"/>
        <v>2328.0814886723069</v>
      </c>
      <c r="AB1652" t="s">
        <v>456</v>
      </c>
    </row>
    <row r="1653" spans="1:28">
      <c r="A1653" s="67" t="s">
        <v>122</v>
      </c>
      <c r="B1653" s="91">
        <v>1303246</v>
      </c>
      <c r="C1653" s="92">
        <v>4615481489</v>
      </c>
      <c r="D1653" s="93">
        <v>21120</v>
      </c>
      <c r="E1653" s="79"/>
      <c r="F1653" s="91">
        <v>16</v>
      </c>
      <c r="G1653" s="96">
        <v>5</v>
      </c>
      <c r="H1653" s="94">
        <v>0</v>
      </c>
      <c r="I1653" s="91">
        <v>0</v>
      </c>
      <c r="J1653" s="71">
        <v>43070</v>
      </c>
      <c r="K1653" s="71">
        <v>43100</v>
      </c>
      <c r="L1653" s="69" t="s">
        <v>132</v>
      </c>
      <c r="M1653" s="69" t="s">
        <v>109</v>
      </c>
      <c r="N1653" s="95">
        <v>43145</v>
      </c>
      <c r="O1653" s="67"/>
      <c r="P1653" s="67" t="s">
        <v>95</v>
      </c>
      <c r="Q1653" s="67" t="s">
        <v>120</v>
      </c>
      <c r="R1653" s="92" t="s">
        <v>69</v>
      </c>
      <c r="S1653" s="92" t="s">
        <v>123</v>
      </c>
      <c r="T1653" s="67"/>
      <c r="U1653" s="67"/>
      <c r="V1653" s="95">
        <v>43100</v>
      </c>
      <c r="W1653" s="92">
        <v>2030498</v>
      </c>
      <c r="X1653" s="90" t="s">
        <v>300</v>
      </c>
      <c r="Y1653" s="123"/>
      <c r="Z1653" s="30">
        <f t="shared" si="50"/>
        <v>7449.8607637513824</v>
      </c>
      <c r="AA1653" s="30">
        <f t="shared" si="51"/>
        <v>2328.0814886723069</v>
      </c>
      <c r="AB1653" t="s">
        <v>456</v>
      </c>
    </row>
    <row r="1654" spans="1:28">
      <c r="A1654" s="67" t="s">
        <v>122</v>
      </c>
      <c r="B1654" s="91">
        <v>1306666</v>
      </c>
      <c r="C1654" s="92">
        <v>4615491481</v>
      </c>
      <c r="D1654" s="93">
        <v>19200</v>
      </c>
      <c r="E1654" s="79"/>
      <c r="F1654" s="91">
        <v>16</v>
      </c>
      <c r="G1654" s="96">
        <v>5</v>
      </c>
      <c r="H1654" s="94">
        <v>0</v>
      </c>
      <c r="I1654" s="91">
        <v>0</v>
      </c>
      <c r="J1654" s="71">
        <v>43096</v>
      </c>
      <c r="K1654" s="71">
        <v>43100</v>
      </c>
      <c r="L1654" s="69" t="s">
        <v>119</v>
      </c>
      <c r="M1654" s="69" t="s">
        <v>109</v>
      </c>
      <c r="N1654" s="95">
        <v>43136</v>
      </c>
      <c r="O1654" s="67"/>
      <c r="P1654" s="67" t="s">
        <v>95</v>
      </c>
      <c r="Q1654" s="67" t="s">
        <v>120</v>
      </c>
      <c r="R1654" s="92" t="s">
        <v>69</v>
      </c>
      <c r="S1654" s="92" t="s">
        <v>123</v>
      </c>
      <c r="T1654" s="67"/>
      <c r="U1654" s="67"/>
      <c r="V1654" s="95">
        <v>43100</v>
      </c>
      <c r="W1654" s="92">
        <v>2030508</v>
      </c>
      <c r="X1654" s="90"/>
      <c r="Y1654" s="123"/>
      <c r="Z1654" s="30">
        <f t="shared" si="50"/>
        <v>6772.6006943194379</v>
      </c>
      <c r="AA1654" s="30">
        <f t="shared" si="51"/>
        <v>2116.4377169748245</v>
      </c>
      <c r="AB1654" t="s">
        <v>456</v>
      </c>
    </row>
    <row r="1655" spans="1:28">
      <c r="A1655" s="67" t="s">
        <v>122</v>
      </c>
      <c r="B1655" s="91">
        <v>1306661</v>
      </c>
      <c r="C1655" s="92">
        <v>4615491481</v>
      </c>
      <c r="D1655" s="93">
        <v>19200</v>
      </c>
      <c r="E1655" s="79"/>
      <c r="F1655" s="91">
        <v>16</v>
      </c>
      <c r="G1655" s="96">
        <v>5</v>
      </c>
      <c r="H1655" s="94">
        <v>0</v>
      </c>
      <c r="I1655" s="91">
        <v>0</v>
      </c>
      <c r="J1655" s="71">
        <v>43096</v>
      </c>
      <c r="K1655" s="71">
        <v>43100</v>
      </c>
      <c r="L1655" s="69" t="s">
        <v>119</v>
      </c>
      <c r="M1655" s="69" t="s">
        <v>109</v>
      </c>
      <c r="N1655" s="95">
        <v>43142</v>
      </c>
      <c r="O1655" s="67"/>
      <c r="P1655" s="67" t="s">
        <v>95</v>
      </c>
      <c r="Q1655" s="67" t="s">
        <v>120</v>
      </c>
      <c r="R1655" s="92" t="s">
        <v>69</v>
      </c>
      <c r="S1655" s="92" t="s">
        <v>123</v>
      </c>
      <c r="T1655" s="67"/>
      <c r="U1655" s="67"/>
      <c r="V1655" s="95">
        <v>43100</v>
      </c>
      <c r="W1655" s="92">
        <v>2030508</v>
      </c>
      <c r="X1655" s="90"/>
      <c r="Y1655" s="123"/>
      <c r="Z1655" s="30">
        <f t="shared" si="50"/>
        <v>6772.6006943194379</v>
      </c>
      <c r="AA1655" s="30">
        <f t="shared" si="51"/>
        <v>2116.4377169748245</v>
      </c>
      <c r="AB1655" t="s">
        <v>456</v>
      </c>
    </row>
    <row r="1656" spans="1:28">
      <c r="A1656" s="67" t="s">
        <v>122</v>
      </c>
      <c r="B1656" s="91">
        <v>1306665</v>
      </c>
      <c r="C1656" s="92">
        <v>4615491481</v>
      </c>
      <c r="D1656" s="93">
        <v>19200</v>
      </c>
      <c r="E1656" s="79"/>
      <c r="F1656" s="91">
        <v>16</v>
      </c>
      <c r="G1656" s="96">
        <v>5</v>
      </c>
      <c r="H1656" s="94">
        <v>0</v>
      </c>
      <c r="I1656" s="91">
        <v>0</v>
      </c>
      <c r="J1656" s="71">
        <v>43096</v>
      </c>
      <c r="K1656" s="71">
        <v>43100</v>
      </c>
      <c r="L1656" s="69" t="s">
        <v>119</v>
      </c>
      <c r="M1656" s="69" t="s">
        <v>109</v>
      </c>
      <c r="N1656" s="95">
        <v>43142</v>
      </c>
      <c r="O1656" s="67"/>
      <c r="P1656" s="67" t="s">
        <v>95</v>
      </c>
      <c r="Q1656" s="67" t="s">
        <v>120</v>
      </c>
      <c r="R1656" s="92" t="s">
        <v>69</v>
      </c>
      <c r="S1656" s="92" t="s">
        <v>123</v>
      </c>
      <c r="T1656" s="67"/>
      <c r="U1656" s="67"/>
      <c r="V1656" s="95">
        <v>43100</v>
      </c>
      <c r="W1656" s="92">
        <v>2030508</v>
      </c>
      <c r="X1656" s="90"/>
      <c r="Y1656" s="123"/>
      <c r="Z1656" s="30">
        <f t="shared" si="50"/>
        <v>6772.6006943194379</v>
      </c>
      <c r="AA1656" s="30">
        <f t="shared" si="51"/>
        <v>2116.4377169748245</v>
      </c>
      <c r="AB1656" t="s">
        <v>456</v>
      </c>
    </row>
    <row r="1657" spans="1:28">
      <c r="A1657" s="67" t="s">
        <v>122</v>
      </c>
      <c r="B1657" s="91">
        <v>1306662</v>
      </c>
      <c r="C1657" s="92">
        <v>4615491481</v>
      </c>
      <c r="D1657" s="93">
        <v>19200</v>
      </c>
      <c r="E1657" s="79"/>
      <c r="F1657" s="91">
        <v>16</v>
      </c>
      <c r="G1657" s="96">
        <v>5</v>
      </c>
      <c r="H1657" s="94">
        <v>0</v>
      </c>
      <c r="I1657" s="91">
        <v>0</v>
      </c>
      <c r="J1657" s="71">
        <v>43096</v>
      </c>
      <c r="K1657" s="71">
        <v>43100</v>
      </c>
      <c r="L1657" s="69" t="s">
        <v>119</v>
      </c>
      <c r="M1657" s="69" t="s">
        <v>109</v>
      </c>
      <c r="N1657" s="95">
        <v>43139</v>
      </c>
      <c r="O1657" s="67"/>
      <c r="P1657" s="67" t="s">
        <v>95</v>
      </c>
      <c r="Q1657" s="67" t="s">
        <v>120</v>
      </c>
      <c r="R1657" s="92" t="s">
        <v>69</v>
      </c>
      <c r="S1657" s="92" t="s">
        <v>123</v>
      </c>
      <c r="T1657" s="67"/>
      <c r="U1657" s="67"/>
      <c r="V1657" s="95">
        <v>43100</v>
      </c>
      <c r="W1657" s="92">
        <v>2030508</v>
      </c>
      <c r="X1657" s="90"/>
      <c r="Y1657" s="123"/>
      <c r="Z1657" s="30">
        <f t="shared" si="50"/>
        <v>6772.6006943194379</v>
      </c>
      <c r="AA1657" s="30">
        <f t="shared" si="51"/>
        <v>2116.4377169748245</v>
      </c>
      <c r="AB1657" t="s">
        <v>456</v>
      </c>
    </row>
    <row r="1658" spans="1:28">
      <c r="A1658" s="67" t="s">
        <v>122</v>
      </c>
      <c r="B1658" s="91">
        <v>1306657</v>
      </c>
      <c r="C1658" s="92">
        <v>4615491481</v>
      </c>
      <c r="D1658" s="93">
        <v>19200</v>
      </c>
      <c r="E1658" s="79"/>
      <c r="F1658" s="91">
        <v>16</v>
      </c>
      <c r="G1658" s="96">
        <v>5</v>
      </c>
      <c r="H1658" s="94">
        <v>0</v>
      </c>
      <c r="I1658" s="91">
        <v>0</v>
      </c>
      <c r="J1658" s="71">
        <v>43096</v>
      </c>
      <c r="K1658" s="71">
        <v>43100</v>
      </c>
      <c r="L1658" s="69" t="s">
        <v>119</v>
      </c>
      <c r="M1658" s="69" t="s">
        <v>109</v>
      </c>
      <c r="N1658" s="95">
        <v>43143</v>
      </c>
      <c r="O1658" s="67"/>
      <c r="P1658" s="67" t="s">
        <v>95</v>
      </c>
      <c r="Q1658" s="67" t="s">
        <v>120</v>
      </c>
      <c r="R1658" s="92" t="s">
        <v>69</v>
      </c>
      <c r="S1658" s="92" t="s">
        <v>123</v>
      </c>
      <c r="T1658" s="67"/>
      <c r="U1658" s="67"/>
      <c r="V1658" s="95">
        <v>43100</v>
      </c>
      <c r="W1658" s="92">
        <v>2030508</v>
      </c>
      <c r="X1658" s="90"/>
      <c r="Y1658" s="123"/>
      <c r="Z1658" s="30">
        <f t="shared" si="50"/>
        <v>6772.6006943194379</v>
      </c>
      <c r="AA1658" s="30">
        <f t="shared" si="51"/>
        <v>2116.4377169748245</v>
      </c>
      <c r="AB1658" t="s">
        <v>456</v>
      </c>
    </row>
    <row r="1659" spans="1:28">
      <c r="A1659" s="67" t="s">
        <v>122</v>
      </c>
      <c r="B1659" s="91">
        <v>1306658</v>
      </c>
      <c r="C1659" s="92">
        <v>4615491481</v>
      </c>
      <c r="D1659" s="93">
        <v>19200</v>
      </c>
      <c r="E1659" s="79"/>
      <c r="F1659" s="91">
        <v>16</v>
      </c>
      <c r="G1659" s="96">
        <v>5</v>
      </c>
      <c r="H1659" s="94">
        <v>0</v>
      </c>
      <c r="I1659" s="91">
        <v>0</v>
      </c>
      <c r="J1659" s="71">
        <v>43096</v>
      </c>
      <c r="K1659" s="71">
        <v>43100</v>
      </c>
      <c r="L1659" s="69" t="s">
        <v>119</v>
      </c>
      <c r="M1659" s="69" t="s">
        <v>109</v>
      </c>
      <c r="N1659" s="95">
        <v>43145</v>
      </c>
      <c r="O1659" s="67"/>
      <c r="P1659" s="67" t="s">
        <v>95</v>
      </c>
      <c r="Q1659" s="67" t="s">
        <v>120</v>
      </c>
      <c r="R1659" s="92" t="s">
        <v>69</v>
      </c>
      <c r="S1659" s="92" t="s">
        <v>123</v>
      </c>
      <c r="T1659" s="67"/>
      <c r="U1659" s="67"/>
      <c r="V1659" s="95">
        <v>43100</v>
      </c>
      <c r="W1659" s="92">
        <v>2030508</v>
      </c>
      <c r="X1659" s="90"/>
      <c r="Y1659" s="123"/>
      <c r="Z1659" s="30">
        <f t="shared" si="50"/>
        <v>6772.6006943194379</v>
      </c>
      <c r="AA1659" s="30">
        <f t="shared" si="51"/>
        <v>2116.4377169748245</v>
      </c>
      <c r="AB1659" t="s">
        <v>456</v>
      </c>
    </row>
    <row r="1660" spans="1:28">
      <c r="A1660" s="67" t="s">
        <v>122</v>
      </c>
      <c r="B1660" s="91">
        <v>1306660</v>
      </c>
      <c r="C1660" s="92">
        <v>4615491481</v>
      </c>
      <c r="D1660" s="93">
        <v>19200</v>
      </c>
      <c r="E1660" s="79"/>
      <c r="F1660" s="91">
        <v>16</v>
      </c>
      <c r="G1660" s="96">
        <v>5</v>
      </c>
      <c r="H1660" s="94">
        <v>0</v>
      </c>
      <c r="I1660" s="91">
        <v>0</v>
      </c>
      <c r="J1660" s="71">
        <v>43096</v>
      </c>
      <c r="K1660" s="71">
        <v>43100</v>
      </c>
      <c r="L1660" s="69" t="s">
        <v>119</v>
      </c>
      <c r="M1660" s="69" t="s">
        <v>109</v>
      </c>
      <c r="N1660" s="95">
        <v>43146</v>
      </c>
      <c r="O1660" s="67"/>
      <c r="P1660" s="67" t="s">
        <v>95</v>
      </c>
      <c r="Q1660" s="67" t="s">
        <v>120</v>
      </c>
      <c r="R1660" s="92" t="s">
        <v>69</v>
      </c>
      <c r="S1660" s="92" t="s">
        <v>123</v>
      </c>
      <c r="T1660" s="67"/>
      <c r="U1660" s="67"/>
      <c r="V1660" s="95">
        <v>43100</v>
      </c>
      <c r="W1660" s="92">
        <v>2030508</v>
      </c>
      <c r="X1660" s="90"/>
      <c r="Y1660" s="123"/>
      <c r="Z1660" s="30">
        <f t="shared" si="50"/>
        <v>6772.6006943194379</v>
      </c>
      <c r="AA1660" s="30">
        <f t="shared" si="51"/>
        <v>2116.4377169748245</v>
      </c>
      <c r="AB1660" t="s">
        <v>456</v>
      </c>
    </row>
    <row r="1661" spans="1:28">
      <c r="A1661" s="67" t="s">
        <v>122</v>
      </c>
      <c r="B1661" s="91">
        <v>1306656</v>
      </c>
      <c r="C1661" s="92">
        <v>4615491481</v>
      </c>
      <c r="D1661" s="93">
        <v>19200</v>
      </c>
      <c r="E1661" s="79"/>
      <c r="F1661" s="91">
        <v>16</v>
      </c>
      <c r="G1661" s="96">
        <v>5</v>
      </c>
      <c r="H1661" s="94">
        <v>0</v>
      </c>
      <c r="I1661" s="91">
        <v>0</v>
      </c>
      <c r="J1661" s="71">
        <v>43096</v>
      </c>
      <c r="K1661" s="71">
        <v>43100</v>
      </c>
      <c r="L1661" s="69" t="s">
        <v>119</v>
      </c>
      <c r="M1661" s="69" t="s">
        <v>109</v>
      </c>
      <c r="N1661" s="95">
        <v>43149</v>
      </c>
      <c r="O1661" s="67"/>
      <c r="P1661" s="67" t="s">
        <v>95</v>
      </c>
      <c r="Q1661" s="67" t="s">
        <v>120</v>
      </c>
      <c r="R1661" s="92" t="s">
        <v>69</v>
      </c>
      <c r="S1661" s="92" t="s">
        <v>123</v>
      </c>
      <c r="T1661" s="67"/>
      <c r="U1661" s="67"/>
      <c r="V1661" s="95">
        <v>43100</v>
      </c>
      <c r="W1661" s="92">
        <v>2030508</v>
      </c>
      <c r="X1661" s="90"/>
      <c r="Y1661" s="123"/>
      <c r="Z1661" s="30">
        <f t="shared" si="50"/>
        <v>6772.6006943194379</v>
      </c>
      <c r="AA1661" s="30">
        <f t="shared" si="51"/>
        <v>2116.4377169748245</v>
      </c>
      <c r="AB1661" t="s">
        <v>456</v>
      </c>
    </row>
    <row r="1662" spans="1:28">
      <c r="A1662" s="67" t="s">
        <v>122</v>
      </c>
      <c r="B1662" s="91">
        <v>1306664</v>
      </c>
      <c r="C1662" s="92">
        <v>4615491481</v>
      </c>
      <c r="D1662" s="93">
        <v>19200</v>
      </c>
      <c r="E1662" s="79"/>
      <c r="F1662" s="91">
        <v>16</v>
      </c>
      <c r="G1662" s="96">
        <v>5</v>
      </c>
      <c r="H1662" s="94">
        <v>0</v>
      </c>
      <c r="I1662" s="91">
        <v>0</v>
      </c>
      <c r="J1662" s="71">
        <v>43096</v>
      </c>
      <c r="K1662" s="71">
        <v>43100</v>
      </c>
      <c r="L1662" s="69" t="s">
        <v>119</v>
      </c>
      <c r="M1662" s="69" t="s">
        <v>109</v>
      </c>
      <c r="N1662" s="95">
        <v>43149</v>
      </c>
      <c r="O1662" s="67"/>
      <c r="P1662" s="67" t="s">
        <v>95</v>
      </c>
      <c r="Q1662" s="67" t="s">
        <v>120</v>
      </c>
      <c r="R1662" s="92" t="s">
        <v>69</v>
      </c>
      <c r="S1662" s="92" t="s">
        <v>123</v>
      </c>
      <c r="T1662" s="67"/>
      <c r="U1662" s="67"/>
      <c r="V1662" s="95">
        <v>43100</v>
      </c>
      <c r="W1662" s="92">
        <v>2030508</v>
      </c>
      <c r="X1662" s="90"/>
      <c r="Y1662" s="123"/>
      <c r="Z1662" s="30">
        <f t="shared" si="50"/>
        <v>6772.6006943194379</v>
      </c>
      <c r="AA1662" s="30">
        <f t="shared" si="51"/>
        <v>2116.4377169748245</v>
      </c>
      <c r="AB1662" t="s">
        <v>456</v>
      </c>
    </row>
    <row r="1663" spans="1:28">
      <c r="A1663" s="67" t="s">
        <v>122</v>
      </c>
      <c r="B1663" s="91">
        <v>1306659</v>
      </c>
      <c r="C1663" s="92">
        <v>4615491481</v>
      </c>
      <c r="D1663" s="93">
        <v>19200</v>
      </c>
      <c r="E1663" s="79"/>
      <c r="F1663" s="91">
        <v>16</v>
      </c>
      <c r="G1663" s="96">
        <v>5</v>
      </c>
      <c r="H1663" s="94">
        <v>0</v>
      </c>
      <c r="I1663" s="91">
        <v>0</v>
      </c>
      <c r="J1663" s="71">
        <v>43096</v>
      </c>
      <c r="K1663" s="71">
        <v>43100</v>
      </c>
      <c r="L1663" s="69" t="s">
        <v>119</v>
      </c>
      <c r="M1663" s="69" t="s">
        <v>109</v>
      </c>
      <c r="N1663" s="95">
        <v>43150</v>
      </c>
      <c r="O1663" s="67"/>
      <c r="P1663" s="67" t="s">
        <v>95</v>
      </c>
      <c r="Q1663" s="67" t="s">
        <v>120</v>
      </c>
      <c r="R1663" s="92" t="s">
        <v>69</v>
      </c>
      <c r="S1663" s="92" t="s">
        <v>123</v>
      </c>
      <c r="T1663" s="67"/>
      <c r="U1663" s="67"/>
      <c r="V1663" s="95">
        <v>43100</v>
      </c>
      <c r="W1663" s="92">
        <v>2030508</v>
      </c>
      <c r="X1663" s="90"/>
      <c r="Y1663" s="123"/>
      <c r="Z1663" s="30">
        <f t="shared" si="50"/>
        <v>6772.6006943194379</v>
      </c>
      <c r="AA1663" s="30">
        <f t="shared" si="51"/>
        <v>2116.4377169748245</v>
      </c>
      <c r="AB1663" t="s">
        <v>456</v>
      </c>
    </row>
    <row r="1664" spans="1:28">
      <c r="A1664" s="67" t="s">
        <v>122</v>
      </c>
      <c r="B1664" s="91">
        <v>1306663</v>
      </c>
      <c r="C1664" s="92">
        <v>4615491481</v>
      </c>
      <c r="D1664" s="93">
        <v>19200</v>
      </c>
      <c r="E1664" s="79"/>
      <c r="F1664" s="91">
        <v>16</v>
      </c>
      <c r="G1664" s="96">
        <v>5</v>
      </c>
      <c r="H1664" s="94">
        <v>0</v>
      </c>
      <c r="I1664" s="91">
        <v>0</v>
      </c>
      <c r="J1664" s="71">
        <v>43096</v>
      </c>
      <c r="K1664" s="71">
        <v>43100</v>
      </c>
      <c r="L1664" s="69" t="s">
        <v>119</v>
      </c>
      <c r="M1664" s="69" t="s">
        <v>109</v>
      </c>
      <c r="N1664" s="95">
        <v>43153</v>
      </c>
      <c r="O1664" s="67"/>
      <c r="P1664" s="67" t="s">
        <v>95</v>
      </c>
      <c r="Q1664" s="67" t="s">
        <v>120</v>
      </c>
      <c r="R1664" s="92" t="s">
        <v>69</v>
      </c>
      <c r="S1664" s="92" t="s">
        <v>123</v>
      </c>
      <c r="T1664" s="67"/>
      <c r="U1664" s="67"/>
      <c r="V1664" s="95">
        <v>43100</v>
      </c>
      <c r="W1664" s="92">
        <v>2030508</v>
      </c>
      <c r="X1664" s="90"/>
      <c r="Y1664" s="123"/>
      <c r="Z1664" s="30">
        <f t="shared" si="50"/>
        <v>6772.6006943194379</v>
      </c>
      <c r="AA1664" s="30">
        <f t="shared" si="51"/>
        <v>2116.4377169748245</v>
      </c>
      <c r="AB1664" t="s">
        <v>456</v>
      </c>
    </row>
    <row r="1665" spans="1:28">
      <c r="A1665" s="67" t="s">
        <v>122</v>
      </c>
      <c r="B1665" s="91">
        <v>1306338</v>
      </c>
      <c r="C1665" s="92">
        <v>4615485782</v>
      </c>
      <c r="D1665" s="93">
        <v>19200</v>
      </c>
      <c r="E1665" s="79"/>
      <c r="F1665" s="91">
        <v>16</v>
      </c>
      <c r="G1665" s="96">
        <v>5</v>
      </c>
      <c r="H1665" s="94">
        <v>0</v>
      </c>
      <c r="I1665" s="91">
        <v>0</v>
      </c>
      <c r="J1665" s="71">
        <v>43072</v>
      </c>
      <c r="K1665" s="71">
        <v>43100</v>
      </c>
      <c r="L1665" s="69" t="s">
        <v>119</v>
      </c>
      <c r="M1665" s="69" t="s">
        <v>109</v>
      </c>
      <c r="N1665" s="95">
        <v>43118</v>
      </c>
      <c r="O1665" s="67"/>
      <c r="P1665" s="67" t="s">
        <v>95</v>
      </c>
      <c r="Q1665" s="67" t="s">
        <v>120</v>
      </c>
      <c r="R1665" s="92" t="s">
        <v>69</v>
      </c>
      <c r="S1665" s="92" t="s">
        <v>123</v>
      </c>
      <c r="T1665" s="67"/>
      <c r="U1665" s="67"/>
      <c r="V1665" s="95">
        <v>43100</v>
      </c>
      <c r="W1665" s="92">
        <v>2030476</v>
      </c>
      <c r="X1665" s="90"/>
      <c r="Y1665" s="123"/>
      <c r="Z1665" s="30">
        <f t="shared" si="50"/>
        <v>6772.6006943194379</v>
      </c>
      <c r="AA1665" s="30">
        <f t="shared" si="51"/>
        <v>2116.4377169748245</v>
      </c>
      <c r="AB1665" t="s">
        <v>456</v>
      </c>
    </row>
    <row r="1666" spans="1:28">
      <c r="A1666" s="67" t="s">
        <v>122</v>
      </c>
      <c r="B1666" s="91">
        <v>1306341</v>
      </c>
      <c r="C1666" s="92">
        <v>4615485782</v>
      </c>
      <c r="D1666" s="93">
        <v>19200</v>
      </c>
      <c r="E1666" s="79"/>
      <c r="F1666" s="91">
        <v>16</v>
      </c>
      <c r="G1666" s="96">
        <v>5</v>
      </c>
      <c r="H1666" s="94">
        <v>0</v>
      </c>
      <c r="I1666" s="91">
        <v>0</v>
      </c>
      <c r="J1666" s="71">
        <v>43072</v>
      </c>
      <c r="K1666" s="71">
        <v>43100</v>
      </c>
      <c r="L1666" s="69" t="s">
        <v>119</v>
      </c>
      <c r="M1666" s="69" t="s">
        <v>109</v>
      </c>
      <c r="N1666" s="95">
        <v>43121</v>
      </c>
      <c r="O1666" s="67"/>
      <c r="P1666" s="67" t="s">
        <v>95</v>
      </c>
      <c r="Q1666" s="67" t="s">
        <v>120</v>
      </c>
      <c r="R1666" s="92" t="s">
        <v>69</v>
      </c>
      <c r="S1666" s="92" t="s">
        <v>123</v>
      </c>
      <c r="T1666" s="67"/>
      <c r="U1666" s="67"/>
      <c r="V1666" s="95">
        <v>43100</v>
      </c>
      <c r="W1666" s="92">
        <v>2030476</v>
      </c>
      <c r="X1666" s="90"/>
      <c r="Y1666" s="123"/>
      <c r="Z1666" s="30">
        <f t="shared" si="50"/>
        <v>6772.6006943194379</v>
      </c>
      <c r="AA1666" s="30">
        <f t="shared" si="51"/>
        <v>2116.4377169748245</v>
      </c>
      <c r="AB1666" t="s">
        <v>456</v>
      </c>
    </row>
    <row r="1667" spans="1:28">
      <c r="A1667" s="67" t="s">
        <v>122</v>
      </c>
      <c r="B1667" s="91">
        <v>1306339</v>
      </c>
      <c r="C1667" s="92">
        <v>4615485782</v>
      </c>
      <c r="D1667" s="93">
        <v>19200</v>
      </c>
      <c r="E1667" s="79"/>
      <c r="F1667" s="91">
        <v>16</v>
      </c>
      <c r="G1667" s="96">
        <v>5</v>
      </c>
      <c r="H1667" s="94">
        <v>0</v>
      </c>
      <c r="I1667" s="91">
        <v>0</v>
      </c>
      <c r="J1667" s="71">
        <v>43072</v>
      </c>
      <c r="K1667" s="71">
        <v>43100</v>
      </c>
      <c r="L1667" s="69" t="s">
        <v>119</v>
      </c>
      <c r="M1667" s="69" t="s">
        <v>109</v>
      </c>
      <c r="N1667" s="95">
        <v>43118</v>
      </c>
      <c r="O1667" s="67"/>
      <c r="P1667" s="67" t="s">
        <v>95</v>
      </c>
      <c r="Q1667" s="67" t="s">
        <v>120</v>
      </c>
      <c r="R1667" s="92" t="s">
        <v>69</v>
      </c>
      <c r="S1667" s="92" t="s">
        <v>123</v>
      </c>
      <c r="T1667" s="67"/>
      <c r="U1667" s="67"/>
      <c r="V1667" s="95">
        <v>43100</v>
      </c>
      <c r="W1667" s="92">
        <v>2030476</v>
      </c>
      <c r="X1667" s="90"/>
      <c r="Y1667" s="123"/>
      <c r="Z1667" s="30">
        <f t="shared" ref="Z1667:Z1730" si="52">CONVERT(D1667,"kg","lbm")*F1667/100</f>
        <v>6772.6006943194379</v>
      </c>
      <c r="AA1667" s="30">
        <f t="shared" ref="AA1667:AA1730" si="53">CONVERT(D1667,"kg","lbm")*G1667/100</f>
        <v>2116.4377169748245</v>
      </c>
      <c r="AB1667" t="s">
        <v>456</v>
      </c>
    </row>
    <row r="1668" spans="1:28">
      <c r="A1668" s="67" t="s">
        <v>122</v>
      </c>
      <c r="B1668" s="91">
        <v>1306343</v>
      </c>
      <c r="C1668" s="92">
        <v>4615485782</v>
      </c>
      <c r="D1668" s="93">
        <v>19200</v>
      </c>
      <c r="E1668" s="79"/>
      <c r="F1668" s="91">
        <v>16</v>
      </c>
      <c r="G1668" s="96">
        <v>5</v>
      </c>
      <c r="H1668" s="94">
        <v>0</v>
      </c>
      <c r="I1668" s="91">
        <v>0</v>
      </c>
      <c r="J1668" s="71">
        <v>43072</v>
      </c>
      <c r="K1668" s="71">
        <v>43100</v>
      </c>
      <c r="L1668" s="69" t="s">
        <v>119</v>
      </c>
      <c r="M1668" s="69" t="s">
        <v>109</v>
      </c>
      <c r="N1668" s="95">
        <v>43121</v>
      </c>
      <c r="O1668" s="67"/>
      <c r="P1668" s="67" t="s">
        <v>95</v>
      </c>
      <c r="Q1668" s="67" t="s">
        <v>120</v>
      </c>
      <c r="R1668" s="92" t="s">
        <v>69</v>
      </c>
      <c r="S1668" s="92" t="s">
        <v>123</v>
      </c>
      <c r="T1668" s="67"/>
      <c r="U1668" s="67"/>
      <c r="V1668" s="95">
        <v>43100</v>
      </c>
      <c r="W1668" s="92">
        <v>2030476</v>
      </c>
      <c r="X1668" s="90"/>
      <c r="Y1668" s="123"/>
      <c r="Z1668" s="30">
        <f t="shared" si="52"/>
        <v>6772.6006943194379</v>
      </c>
      <c r="AA1668" s="30">
        <f t="shared" si="53"/>
        <v>2116.4377169748245</v>
      </c>
      <c r="AB1668" t="s">
        <v>456</v>
      </c>
    </row>
    <row r="1669" spans="1:28">
      <c r="A1669" s="67" t="s">
        <v>122</v>
      </c>
      <c r="B1669" s="91">
        <v>1306347</v>
      </c>
      <c r="C1669" s="92">
        <v>4615485782</v>
      </c>
      <c r="D1669" s="93">
        <v>19200</v>
      </c>
      <c r="E1669" s="79"/>
      <c r="F1669" s="91">
        <v>16</v>
      </c>
      <c r="G1669" s="96">
        <v>5</v>
      </c>
      <c r="H1669" s="94">
        <v>0</v>
      </c>
      <c r="I1669" s="91">
        <v>0</v>
      </c>
      <c r="J1669" s="71">
        <v>43072</v>
      </c>
      <c r="K1669" s="71">
        <v>43100</v>
      </c>
      <c r="L1669" s="69" t="s">
        <v>119</v>
      </c>
      <c r="M1669" s="69" t="s">
        <v>109</v>
      </c>
      <c r="N1669" s="95">
        <v>43121</v>
      </c>
      <c r="O1669" s="67"/>
      <c r="P1669" s="67" t="s">
        <v>95</v>
      </c>
      <c r="Q1669" s="67" t="s">
        <v>120</v>
      </c>
      <c r="R1669" s="92" t="s">
        <v>69</v>
      </c>
      <c r="S1669" s="92" t="s">
        <v>123</v>
      </c>
      <c r="T1669" s="67"/>
      <c r="U1669" s="67"/>
      <c r="V1669" s="95">
        <v>43100</v>
      </c>
      <c r="W1669" s="92">
        <v>2030476</v>
      </c>
      <c r="X1669" s="90"/>
      <c r="Y1669" s="123"/>
      <c r="Z1669" s="30">
        <f t="shared" si="52"/>
        <v>6772.6006943194379</v>
      </c>
      <c r="AA1669" s="30">
        <f t="shared" si="53"/>
        <v>2116.4377169748245</v>
      </c>
      <c r="AB1669" t="s">
        <v>456</v>
      </c>
    </row>
    <row r="1670" spans="1:28">
      <c r="A1670" s="67" t="s">
        <v>122</v>
      </c>
      <c r="B1670" s="91">
        <v>1306344</v>
      </c>
      <c r="C1670" s="92">
        <v>4615485782</v>
      </c>
      <c r="D1670" s="93">
        <v>19200</v>
      </c>
      <c r="E1670" s="79"/>
      <c r="F1670" s="91">
        <v>16</v>
      </c>
      <c r="G1670" s="96">
        <v>5</v>
      </c>
      <c r="H1670" s="94">
        <v>0</v>
      </c>
      <c r="I1670" s="91">
        <v>0</v>
      </c>
      <c r="J1670" s="71">
        <v>43072</v>
      </c>
      <c r="K1670" s="71">
        <v>43100</v>
      </c>
      <c r="L1670" s="69" t="s">
        <v>119</v>
      </c>
      <c r="M1670" s="69" t="s">
        <v>109</v>
      </c>
      <c r="N1670" s="95">
        <v>43122</v>
      </c>
      <c r="O1670" s="67"/>
      <c r="P1670" s="67" t="s">
        <v>95</v>
      </c>
      <c r="Q1670" s="67" t="s">
        <v>120</v>
      </c>
      <c r="R1670" s="92" t="s">
        <v>69</v>
      </c>
      <c r="S1670" s="92" t="s">
        <v>123</v>
      </c>
      <c r="T1670" s="67"/>
      <c r="U1670" s="67"/>
      <c r="V1670" s="95">
        <v>43100</v>
      </c>
      <c r="W1670" s="92">
        <v>2030476</v>
      </c>
      <c r="X1670" s="90"/>
      <c r="Y1670" s="123"/>
      <c r="Z1670" s="30">
        <f t="shared" si="52"/>
        <v>6772.6006943194379</v>
      </c>
      <c r="AA1670" s="30">
        <f t="shared" si="53"/>
        <v>2116.4377169748245</v>
      </c>
      <c r="AB1670" t="s">
        <v>456</v>
      </c>
    </row>
    <row r="1671" spans="1:28">
      <c r="A1671" s="67" t="s">
        <v>122</v>
      </c>
      <c r="B1671" s="91">
        <v>1306342</v>
      </c>
      <c r="C1671" s="92">
        <v>4615485782</v>
      </c>
      <c r="D1671" s="93">
        <v>19200</v>
      </c>
      <c r="E1671" s="79"/>
      <c r="F1671" s="91">
        <v>16</v>
      </c>
      <c r="G1671" s="96">
        <v>5</v>
      </c>
      <c r="H1671" s="94">
        <v>0</v>
      </c>
      <c r="I1671" s="91">
        <v>0</v>
      </c>
      <c r="J1671" s="71">
        <v>43072</v>
      </c>
      <c r="K1671" s="71">
        <v>43100</v>
      </c>
      <c r="L1671" s="69" t="s">
        <v>119</v>
      </c>
      <c r="M1671" s="69" t="s">
        <v>109</v>
      </c>
      <c r="N1671" s="95">
        <v>43123</v>
      </c>
      <c r="O1671" s="67"/>
      <c r="P1671" s="67" t="s">
        <v>95</v>
      </c>
      <c r="Q1671" s="67" t="s">
        <v>120</v>
      </c>
      <c r="R1671" s="92" t="s">
        <v>69</v>
      </c>
      <c r="S1671" s="92" t="s">
        <v>123</v>
      </c>
      <c r="T1671" s="67"/>
      <c r="U1671" s="67"/>
      <c r="V1671" s="95">
        <v>43100</v>
      </c>
      <c r="W1671" s="92">
        <v>2030476</v>
      </c>
      <c r="X1671" s="90"/>
      <c r="Y1671" s="123"/>
      <c r="Z1671" s="30">
        <f t="shared" si="52"/>
        <v>6772.6006943194379</v>
      </c>
      <c r="AA1671" s="30">
        <f t="shared" si="53"/>
        <v>2116.4377169748245</v>
      </c>
      <c r="AB1671" t="s">
        <v>456</v>
      </c>
    </row>
    <row r="1672" spans="1:28">
      <c r="A1672" s="67" t="s">
        <v>122</v>
      </c>
      <c r="B1672" s="91">
        <v>1306346</v>
      </c>
      <c r="C1672" s="92">
        <v>4615485782</v>
      </c>
      <c r="D1672" s="93">
        <v>19200</v>
      </c>
      <c r="E1672" s="79"/>
      <c r="F1672" s="91">
        <v>16</v>
      </c>
      <c r="G1672" s="96">
        <v>5</v>
      </c>
      <c r="H1672" s="94">
        <v>0</v>
      </c>
      <c r="I1672" s="91">
        <v>0</v>
      </c>
      <c r="J1672" s="71">
        <v>43072</v>
      </c>
      <c r="K1672" s="71">
        <v>43100</v>
      </c>
      <c r="L1672" s="69" t="s">
        <v>119</v>
      </c>
      <c r="M1672" s="69" t="s">
        <v>109</v>
      </c>
      <c r="N1672" s="95">
        <v>43125</v>
      </c>
      <c r="O1672" s="67"/>
      <c r="P1672" s="67" t="s">
        <v>95</v>
      </c>
      <c r="Q1672" s="67" t="s">
        <v>120</v>
      </c>
      <c r="R1672" s="92" t="s">
        <v>69</v>
      </c>
      <c r="S1672" s="92" t="s">
        <v>123</v>
      </c>
      <c r="T1672" s="67"/>
      <c r="U1672" s="67"/>
      <c r="V1672" s="95">
        <v>43100</v>
      </c>
      <c r="W1672" s="92">
        <v>2030476</v>
      </c>
      <c r="X1672" s="90"/>
      <c r="Y1672" s="123"/>
      <c r="Z1672" s="30">
        <f t="shared" si="52"/>
        <v>6772.6006943194379</v>
      </c>
      <c r="AA1672" s="30">
        <f t="shared" si="53"/>
        <v>2116.4377169748245</v>
      </c>
      <c r="AB1672" t="s">
        <v>456</v>
      </c>
    </row>
    <row r="1673" spans="1:28">
      <c r="A1673" s="67" t="s">
        <v>122</v>
      </c>
      <c r="B1673" s="91">
        <v>1306340</v>
      </c>
      <c r="C1673" s="92">
        <v>4615485782</v>
      </c>
      <c r="D1673" s="93">
        <v>19200</v>
      </c>
      <c r="E1673" s="79"/>
      <c r="F1673" s="91">
        <v>16</v>
      </c>
      <c r="G1673" s="96">
        <v>5</v>
      </c>
      <c r="H1673" s="94">
        <v>0</v>
      </c>
      <c r="I1673" s="91">
        <v>0</v>
      </c>
      <c r="J1673" s="71">
        <v>43072</v>
      </c>
      <c r="K1673" s="71">
        <v>43100</v>
      </c>
      <c r="L1673" s="69" t="s">
        <v>119</v>
      </c>
      <c r="M1673" s="69" t="s">
        <v>109</v>
      </c>
      <c r="N1673" s="95">
        <v>43131</v>
      </c>
      <c r="O1673" s="67"/>
      <c r="P1673" s="67" t="s">
        <v>95</v>
      </c>
      <c r="Q1673" s="67" t="s">
        <v>120</v>
      </c>
      <c r="R1673" s="92" t="s">
        <v>69</v>
      </c>
      <c r="S1673" s="92" t="s">
        <v>123</v>
      </c>
      <c r="T1673" s="67"/>
      <c r="U1673" s="67"/>
      <c r="V1673" s="95">
        <v>43100</v>
      </c>
      <c r="W1673" s="92">
        <v>2030476</v>
      </c>
      <c r="X1673" s="90"/>
      <c r="Y1673" s="123"/>
      <c r="Z1673" s="30">
        <f t="shared" si="52"/>
        <v>6772.6006943194379</v>
      </c>
      <c r="AA1673" s="30">
        <f t="shared" si="53"/>
        <v>2116.4377169748245</v>
      </c>
      <c r="AB1673" t="s">
        <v>456</v>
      </c>
    </row>
    <row r="1674" spans="1:28">
      <c r="A1674" s="67" t="s">
        <v>122</v>
      </c>
      <c r="B1674" s="91">
        <v>1306345</v>
      </c>
      <c r="C1674" s="92">
        <v>4615485782</v>
      </c>
      <c r="D1674" s="93">
        <v>19200</v>
      </c>
      <c r="E1674" s="79"/>
      <c r="F1674" s="91">
        <v>16</v>
      </c>
      <c r="G1674" s="96">
        <v>5</v>
      </c>
      <c r="H1674" s="94">
        <v>0</v>
      </c>
      <c r="I1674" s="91">
        <v>0</v>
      </c>
      <c r="J1674" s="71">
        <v>43072</v>
      </c>
      <c r="K1674" s="71">
        <v>43100</v>
      </c>
      <c r="L1674" s="69" t="s">
        <v>119</v>
      </c>
      <c r="M1674" s="69" t="s">
        <v>109</v>
      </c>
      <c r="N1674" s="95">
        <v>43131</v>
      </c>
      <c r="O1674" s="67"/>
      <c r="P1674" s="67" t="s">
        <v>95</v>
      </c>
      <c r="Q1674" s="67" t="s">
        <v>120</v>
      </c>
      <c r="R1674" s="92" t="s">
        <v>69</v>
      </c>
      <c r="S1674" s="92" t="s">
        <v>123</v>
      </c>
      <c r="T1674" s="67"/>
      <c r="U1674" s="67"/>
      <c r="V1674" s="95">
        <v>43100</v>
      </c>
      <c r="W1674" s="92">
        <v>2030476</v>
      </c>
      <c r="X1674" s="90"/>
      <c r="Y1674" s="123"/>
      <c r="Z1674" s="30">
        <f t="shared" si="52"/>
        <v>6772.6006943194379</v>
      </c>
      <c r="AA1674" s="30">
        <f t="shared" si="53"/>
        <v>2116.4377169748245</v>
      </c>
      <c r="AB1674" t="s">
        <v>456</v>
      </c>
    </row>
    <row r="1675" spans="1:28">
      <c r="A1675" s="67" t="s">
        <v>122</v>
      </c>
      <c r="B1675" s="91">
        <v>1311997</v>
      </c>
      <c r="C1675" s="92">
        <v>4615496141</v>
      </c>
      <c r="D1675" s="93">
        <v>20700</v>
      </c>
      <c r="E1675" s="79"/>
      <c r="F1675" s="91">
        <v>16</v>
      </c>
      <c r="G1675" s="96">
        <v>5</v>
      </c>
      <c r="H1675" s="94">
        <v>0</v>
      </c>
      <c r="I1675" s="91">
        <v>0</v>
      </c>
      <c r="J1675" s="71">
        <v>43087</v>
      </c>
      <c r="K1675" s="71">
        <v>43100</v>
      </c>
      <c r="L1675" s="69" t="s">
        <v>132</v>
      </c>
      <c r="M1675" s="69" t="s">
        <v>109</v>
      </c>
      <c r="N1675" s="95">
        <v>43132</v>
      </c>
      <c r="O1675" s="67"/>
      <c r="P1675" s="67" t="s">
        <v>95</v>
      </c>
      <c r="Q1675" s="67" t="s">
        <v>120</v>
      </c>
      <c r="R1675" s="92" t="s">
        <v>69</v>
      </c>
      <c r="S1675" s="92" t="s">
        <v>123</v>
      </c>
      <c r="T1675" s="67"/>
      <c r="U1675" s="67"/>
      <c r="V1675" s="95">
        <v>43100</v>
      </c>
      <c r="W1675" s="92">
        <v>2030487</v>
      </c>
      <c r="X1675" s="90"/>
      <c r="Y1675" s="123"/>
      <c r="Z1675" s="30">
        <f t="shared" si="52"/>
        <v>7301.7101235631453</v>
      </c>
      <c r="AA1675" s="30">
        <f t="shared" si="53"/>
        <v>2281.7844136134831</v>
      </c>
      <c r="AB1675" t="s">
        <v>456</v>
      </c>
    </row>
    <row r="1676" spans="1:28">
      <c r="A1676" s="67" t="s">
        <v>122</v>
      </c>
      <c r="B1676" s="91">
        <v>1311996</v>
      </c>
      <c r="C1676" s="92">
        <v>4615496141</v>
      </c>
      <c r="D1676" s="93">
        <v>20700</v>
      </c>
      <c r="E1676" s="79"/>
      <c r="F1676" s="91">
        <v>16</v>
      </c>
      <c r="G1676" s="96">
        <v>5</v>
      </c>
      <c r="H1676" s="94">
        <v>0</v>
      </c>
      <c r="I1676" s="91">
        <v>0</v>
      </c>
      <c r="J1676" s="71">
        <v>43087</v>
      </c>
      <c r="K1676" s="71">
        <v>43100</v>
      </c>
      <c r="L1676" s="69" t="s">
        <v>132</v>
      </c>
      <c r="M1676" s="69" t="s">
        <v>109</v>
      </c>
      <c r="N1676" s="95">
        <v>43143</v>
      </c>
      <c r="O1676" s="67"/>
      <c r="P1676" s="67" t="s">
        <v>95</v>
      </c>
      <c r="Q1676" s="67" t="s">
        <v>120</v>
      </c>
      <c r="R1676" s="92" t="s">
        <v>69</v>
      </c>
      <c r="S1676" s="92" t="s">
        <v>123</v>
      </c>
      <c r="T1676" s="67"/>
      <c r="U1676" s="67"/>
      <c r="V1676" s="95">
        <v>43100</v>
      </c>
      <c r="W1676" s="92">
        <v>2030487</v>
      </c>
      <c r="X1676" s="90"/>
      <c r="Y1676" s="123"/>
      <c r="Z1676" s="30">
        <f t="shared" si="52"/>
        <v>7301.7101235631453</v>
      </c>
      <c r="AA1676" s="30">
        <f t="shared" si="53"/>
        <v>2281.7844136134831</v>
      </c>
      <c r="AB1676" t="s">
        <v>456</v>
      </c>
    </row>
    <row r="1677" spans="1:28">
      <c r="A1677" s="67" t="s">
        <v>122</v>
      </c>
      <c r="B1677" s="91">
        <v>1311998</v>
      </c>
      <c r="C1677" s="92">
        <v>4615496141</v>
      </c>
      <c r="D1677" s="93">
        <v>20700</v>
      </c>
      <c r="E1677" s="79"/>
      <c r="F1677" s="91">
        <v>16</v>
      </c>
      <c r="G1677" s="96">
        <v>5</v>
      </c>
      <c r="H1677" s="94">
        <v>0</v>
      </c>
      <c r="I1677" s="91">
        <v>0</v>
      </c>
      <c r="J1677" s="71">
        <v>43087</v>
      </c>
      <c r="K1677" s="71">
        <v>43100</v>
      </c>
      <c r="L1677" s="69" t="s">
        <v>132</v>
      </c>
      <c r="M1677" s="69" t="s">
        <v>109</v>
      </c>
      <c r="N1677" s="95">
        <v>43143</v>
      </c>
      <c r="O1677" s="67"/>
      <c r="P1677" s="67" t="s">
        <v>95</v>
      </c>
      <c r="Q1677" s="67" t="s">
        <v>120</v>
      </c>
      <c r="R1677" s="92" t="s">
        <v>69</v>
      </c>
      <c r="S1677" s="92" t="s">
        <v>123</v>
      </c>
      <c r="T1677" s="67"/>
      <c r="U1677" s="67"/>
      <c r="V1677" s="95">
        <v>43100</v>
      </c>
      <c r="W1677" s="92">
        <v>2030487</v>
      </c>
      <c r="X1677" s="90"/>
      <c r="Y1677" s="123"/>
      <c r="Z1677" s="30">
        <f t="shared" si="52"/>
        <v>7301.7101235631453</v>
      </c>
      <c r="AA1677" s="30">
        <f t="shared" si="53"/>
        <v>2281.7844136134831</v>
      </c>
      <c r="AB1677" t="s">
        <v>456</v>
      </c>
    </row>
    <row r="1678" spans="1:28">
      <c r="A1678" s="67" t="s">
        <v>113</v>
      </c>
      <c r="B1678" s="91">
        <v>1302857</v>
      </c>
      <c r="C1678" s="92">
        <v>4615482799</v>
      </c>
      <c r="D1678" s="93">
        <v>22999.969999999998</v>
      </c>
      <c r="E1678" s="79"/>
      <c r="F1678" s="91">
        <v>16</v>
      </c>
      <c r="G1678" s="96">
        <v>5</v>
      </c>
      <c r="H1678" s="94">
        <v>0</v>
      </c>
      <c r="I1678" s="91">
        <v>0</v>
      </c>
      <c r="J1678" s="71">
        <v>43059</v>
      </c>
      <c r="K1678" s="71">
        <v>43100</v>
      </c>
      <c r="L1678" s="69" t="s">
        <v>108</v>
      </c>
      <c r="M1678" s="69" t="s">
        <v>109</v>
      </c>
      <c r="N1678" s="95">
        <v>43121</v>
      </c>
      <c r="O1678" s="67"/>
      <c r="P1678" s="67" t="s">
        <v>95</v>
      </c>
      <c r="Q1678" s="67" t="s">
        <v>110</v>
      </c>
      <c r="R1678" s="92" t="s">
        <v>69</v>
      </c>
      <c r="S1678" s="92" t="s">
        <v>115</v>
      </c>
      <c r="T1678" s="67"/>
      <c r="U1678" s="67"/>
      <c r="V1678" s="95">
        <v>43100</v>
      </c>
      <c r="W1678" s="92" t="s">
        <v>301</v>
      </c>
      <c r="X1678" s="90" t="s">
        <v>302</v>
      </c>
      <c r="Y1678" s="123"/>
      <c r="Z1678" s="30">
        <f t="shared" si="52"/>
        <v>8113.0006662149099</v>
      </c>
      <c r="AA1678" s="30">
        <f t="shared" si="53"/>
        <v>2535.3127081921593</v>
      </c>
      <c r="AB1678" t="s">
        <v>456</v>
      </c>
    </row>
    <row r="1679" spans="1:28">
      <c r="A1679" s="67" t="s">
        <v>113</v>
      </c>
      <c r="B1679" s="91">
        <v>1302850</v>
      </c>
      <c r="C1679" s="92">
        <v>4615482799</v>
      </c>
      <c r="D1679" s="93">
        <v>22999.969999999998</v>
      </c>
      <c r="E1679" s="79"/>
      <c r="F1679" s="91">
        <v>16</v>
      </c>
      <c r="G1679" s="96">
        <v>5</v>
      </c>
      <c r="H1679" s="94">
        <v>0</v>
      </c>
      <c r="I1679" s="91">
        <v>0</v>
      </c>
      <c r="J1679" s="71">
        <v>43059</v>
      </c>
      <c r="K1679" s="71">
        <v>43100</v>
      </c>
      <c r="L1679" s="69" t="s">
        <v>108</v>
      </c>
      <c r="M1679" s="69" t="s">
        <v>109</v>
      </c>
      <c r="N1679" s="95">
        <v>43132</v>
      </c>
      <c r="O1679" s="67"/>
      <c r="P1679" s="67" t="s">
        <v>95</v>
      </c>
      <c r="Q1679" s="67" t="s">
        <v>110</v>
      </c>
      <c r="R1679" s="92" t="s">
        <v>69</v>
      </c>
      <c r="S1679" s="92" t="s">
        <v>115</v>
      </c>
      <c r="T1679" s="67"/>
      <c r="U1679" s="67"/>
      <c r="V1679" s="95">
        <v>43100</v>
      </c>
      <c r="W1679" s="92" t="s">
        <v>301</v>
      </c>
      <c r="X1679" s="90" t="s">
        <v>303</v>
      </c>
      <c r="Y1679" s="123"/>
      <c r="Z1679" s="30">
        <f t="shared" si="52"/>
        <v>8113.0006662149099</v>
      </c>
      <c r="AA1679" s="30">
        <f t="shared" si="53"/>
        <v>2535.3127081921593</v>
      </c>
      <c r="AB1679" t="s">
        <v>456</v>
      </c>
    </row>
    <row r="1680" spans="1:28">
      <c r="A1680" s="67" t="s">
        <v>113</v>
      </c>
      <c r="B1680" s="91">
        <v>1302855</v>
      </c>
      <c r="C1680" s="92">
        <v>4615482799</v>
      </c>
      <c r="D1680" s="93">
        <v>22999.969999999998</v>
      </c>
      <c r="E1680" s="79"/>
      <c r="F1680" s="91">
        <v>16</v>
      </c>
      <c r="G1680" s="96">
        <v>5</v>
      </c>
      <c r="H1680" s="94">
        <v>0</v>
      </c>
      <c r="I1680" s="91">
        <v>0</v>
      </c>
      <c r="J1680" s="71">
        <v>43059</v>
      </c>
      <c r="K1680" s="71">
        <v>43100</v>
      </c>
      <c r="L1680" s="69" t="s">
        <v>108</v>
      </c>
      <c r="M1680" s="69" t="s">
        <v>109</v>
      </c>
      <c r="N1680" s="95">
        <v>43135</v>
      </c>
      <c r="O1680" s="67"/>
      <c r="P1680" s="67" t="s">
        <v>95</v>
      </c>
      <c r="Q1680" s="67" t="s">
        <v>110</v>
      </c>
      <c r="R1680" s="92" t="s">
        <v>69</v>
      </c>
      <c r="S1680" s="92" t="s">
        <v>115</v>
      </c>
      <c r="T1680" s="67"/>
      <c r="U1680" s="67"/>
      <c r="V1680" s="95">
        <v>43100</v>
      </c>
      <c r="W1680" s="92" t="s">
        <v>301</v>
      </c>
      <c r="X1680" s="90" t="s">
        <v>303</v>
      </c>
      <c r="Y1680" s="123"/>
      <c r="Z1680" s="30">
        <f t="shared" si="52"/>
        <v>8113.0006662149099</v>
      </c>
      <c r="AA1680" s="30">
        <f t="shared" si="53"/>
        <v>2535.3127081921593</v>
      </c>
      <c r="AB1680" t="s">
        <v>456</v>
      </c>
    </row>
    <row r="1681" spans="1:28">
      <c r="A1681" s="67" t="s">
        <v>113</v>
      </c>
      <c r="B1681" s="91">
        <v>1302848</v>
      </c>
      <c r="C1681" s="92">
        <v>4615482799</v>
      </c>
      <c r="D1681" s="93">
        <v>22999.969999999998</v>
      </c>
      <c r="E1681" s="79"/>
      <c r="F1681" s="91">
        <v>16</v>
      </c>
      <c r="G1681" s="96">
        <v>5</v>
      </c>
      <c r="H1681" s="94">
        <v>0</v>
      </c>
      <c r="I1681" s="91">
        <v>0</v>
      </c>
      <c r="J1681" s="71">
        <v>43059</v>
      </c>
      <c r="K1681" s="71">
        <v>43100</v>
      </c>
      <c r="L1681" s="69" t="s">
        <v>108</v>
      </c>
      <c r="M1681" s="69" t="s">
        <v>109</v>
      </c>
      <c r="N1681" s="95">
        <v>43136</v>
      </c>
      <c r="O1681" s="67"/>
      <c r="P1681" s="67" t="s">
        <v>95</v>
      </c>
      <c r="Q1681" s="67" t="s">
        <v>110</v>
      </c>
      <c r="R1681" s="92" t="s">
        <v>69</v>
      </c>
      <c r="S1681" s="92" t="s">
        <v>115</v>
      </c>
      <c r="T1681" s="67"/>
      <c r="U1681" s="67"/>
      <c r="V1681" s="95">
        <v>43100</v>
      </c>
      <c r="W1681" s="92" t="s">
        <v>301</v>
      </c>
      <c r="X1681" s="90" t="s">
        <v>303</v>
      </c>
      <c r="Y1681" s="123"/>
      <c r="Z1681" s="30">
        <f t="shared" si="52"/>
        <v>8113.0006662149099</v>
      </c>
      <c r="AA1681" s="30">
        <f t="shared" si="53"/>
        <v>2535.3127081921593</v>
      </c>
      <c r="AB1681" t="s">
        <v>456</v>
      </c>
    </row>
    <row r="1682" spans="1:28">
      <c r="A1682" s="67" t="s">
        <v>113</v>
      </c>
      <c r="B1682" s="91">
        <v>1302856</v>
      </c>
      <c r="C1682" s="92">
        <v>4615482799</v>
      </c>
      <c r="D1682" s="93">
        <v>22999.969999999998</v>
      </c>
      <c r="E1682" s="79"/>
      <c r="F1682" s="91">
        <v>16</v>
      </c>
      <c r="G1682" s="96">
        <v>5</v>
      </c>
      <c r="H1682" s="94">
        <v>0</v>
      </c>
      <c r="I1682" s="91">
        <v>0</v>
      </c>
      <c r="J1682" s="71">
        <v>43059</v>
      </c>
      <c r="K1682" s="71">
        <v>43100</v>
      </c>
      <c r="L1682" s="69" t="s">
        <v>108</v>
      </c>
      <c r="M1682" s="69" t="s">
        <v>109</v>
      </c>
      <c r="N1682" s="95">
        <v>43136</v>
      </c>
      <c r="O1682" s="67"/>
      <c r="P1682" s="67" t="s">
        <v>95</v>
      </c>
      <c r="Q1682" s="67" t="s">
        <v>110</v>
      </c>
      <c r="R1682" s="92" t="s">
        <v>69</v>
      </c>
      <c r="S1682" s="92" t="s">
        <v>115</v>
      </c>
      <c r="T1682" s="67"/>
      <c r="U1682" s="67"/>
      <c r="V1682" s="95">
        <v>43100</v>
      </c>
      <c r="W1682" s="92" t="s">
        <v>301</v>
      </c>
      <c r="X1682" s="90" t="s">
        <v>303</v>
      </c>
      <c r="Y1682" s="123"/>
      <c r="Z1682" s="30">
        <f t="shared" si="52"/>
        <v>8113.0006662149099</v>
      </c>
      <c r="AA1682" s="30">
        <f t="shared" si="53"/>
        <v>2535.3127081921593</v>
      </c>
      <c r="AB1682" t="s">
        <v>456</v>
      </c>
    </row>
    <row r="1683" spans="1:28">
      <c r="A1683" s="67" t="s">
        <v>113</v>
      </c>
      <c r="B1683" s="91">
        <v>1302847</v>
      </c>
      <c r="C1683" s="92">
        <v>4615482799</v>
      </c>
      <c r="D1683" s="93">
        <v>22999.969999999998</v>
      </c>
      <c r="E1683" s="79"/>
      <c r="F1683" s="91">
        <v>16</v>
      </c>
      <c r="G1683" s="91">
        <v>5</v>
      </c>
      <c r="H1683" s="94">
        <v>0</v>
      </c>
      <c r="I1683" s="91">
        <v>0</v>
      </c>
      <c r="J1683" s="71">
        <v>43065</v>
      </c>
      <c r="K1683" s="71">
        <v>43100</v>
      </c>
      <c r="L1683" s="69" t="s">
        <v>108</v>
      </c>
      <c r="M1683" s="69" t="s">
        <v>109</v>
      </c>
      <c r="N1683" s="95">
        <v>43138</v>
      </c>
      <c r="O1683" s="67"/>
      <c r="P1683" s="67" t="s">
        <v>95</v>
      </c>
      <c r="Q1683" s="67" t="s">
        <v>110</v>
      </c>
      <c r="R1683" s="92" t="s">
        <v>69</v>
      </c>
      <c r="S1683" s="92" t="s">
        <v>115</v>
      </c>
      <c r="T1683" s="67"/>
      <c r="U1683" s="67"/>
      <c r="V1683" s="95">
        <v>43100</v>
      </c>
      <c r="W1683" s="92" t="s">
        <v>301</v>
      </c>
      <c r="X1683" s="90" t="s">
        <v>303</v>
      </c>
      <c r="Y1683" s="123"/>
      <c r="Z1683" s="30">
        <f t="shared" si="52"/>
        <v>8113.0006662149099</v>
      </c>
      <c r="AA1683" s="30">
        <f t="shared" si="53"/>
        <v>2535.3127081921593</v>
      </c>
      <c r="AB1683" t="s">
        <v>456</v>
      </c>
    </row>
    <row r="1684" spans="1:28">
      <c r="A1684" s="67" t="s">
        <v>113</v>
      </c>
      <c r="B1684" s="91">
        <v>1302852</v>
      </c>
      <c r="C1684" s="92">
        <v>4615482799</v>
      </c>
      <c r="D1684" s="93">
        <v>22999.969999999998</v>
      </c>
      <c r="E1684" s="79"/>
      <c r="F1684" s="91">
        <v>16</v>
      </c>
      <c r="G1684" s="91">
        <v>5</v>
      </c>
      <c r="H1684" s="94">
        <v>0</v>
      </c>
      <c r="I1684" s="91">
        <v>0</v>
      </c>
      <c r="J1684" s="71">
        <v>43059</v>
      </c>
      <c r="K1684" s="71">
        <v>43100</v>
      </c>
      <c r="L1684" s="69" t="s">
        <v>108</v>
      </c>
      <c r="M1684" s="69" t="s">
        <v>109</v>
      </c>
      <c r="N1684" s="95">
        <v>43138</v>
      </c>
      <c r="O1684" s="67"/>
      <c r="P1684" s="67" t="s">
        <v>95</v>
      </c>
      <c r="Q1684" s="67" t="s">
        <v>110</v>
      </c>
      <c r="R1684" s="92" t="s">
        <v>69</v>
      </c>
      <c r="S1684" s="92" t="s">
        <v>115</v>
      </c>
      <c r="T1684" s="67"/>
      <c r="U1684" s="67"/>
      <c r="V1684" s="95">
        <v>43100</v>
      </c>
      <c r="W1684" s="92" t="s">
        <v>301</v>
      </c>
      <c r="X1684" s="90" t="s">
        <v>303</v>
      </c>
      <c r="Y1684" s="123"/>
      <c r="Z1684" s="30">
        <f t="shared" si="52"/>
        <v>8113.0006662149099</v>
      </c>
      <c r="AA1684" s="30">
        <f t="shared" si="53"/>
        <v>2535.3127081921593</v>
      </c>
      <c r="AB1684" t="s">
        <v>456</v>
      </c>
    </row>
    <row r="1685" spans="1:28">
      <c r="A1685" s="67" t="s">
        <v>113</v>
      </c>
      <c r="B1685" s="91">
        <v>1302840</v>
      </c>
      <c r="C1685" s="92">
        <v>4615482799</v>
      </c>
      <c r="D1685" s="93">
        <v>22999.969999999998</v>
      </c>
      <c r="E1685" s="79"/>
      <c r="F1685" s="91">
        <v>16</v>
      </c>
      <c r="G1685" s="96">
        <v>5</v>
      </c>
      <c r="H1685" s="94">
        <v>0</v>
      </c>
      <c r="I1685" s="91">
        <v>0</v>
      </c>
      <c r="J1685" s="71">
        <v>43065</v>
      </c>
      <c r="K1685" s="71">
        <v>43100</v>
      </c>
      <c r="L1685" s="69" t="s">
        <v>108</v>
      </c>
      <c r="M1685" s="69" t="s">
        <v>109</v>
      </c>
      <c r="N1685" s="95">
        <v>43142</v>
      </c>
      <c r="O1685" s="67"/>
      <c r="P1685" s="67" t="s">
        <v>95</v>
      </c>
      <c r="Q1685" s="67" t="s">
        <v>110</v>
      </c>
      <c r="R1685" s="92" t="s">
        <v>69</v>
      </c>
      <c r="S1685" s="92" t="s">
        <v>115</v>
      </c>
      <c r="T1685" s="67"/>
      <c r="U1685" s="67"/>
      <c r="V1685" s="95">
        <v>43100</v>
      </c>
      <c r="W1685" s="92" t="s">
        <v>301</v>
      </c>
      <c r="X1685" s="90" t="s">
        <v>303</v>
      </c>
      <c r="Y1685" s="123"/>
      <c r="Z1685" s="30">
        <f t="shared" si="52"/>
        <v>8113.0006662149099</v>
      </c>
      <c r="AA1685" s="30">
        <f t="shared" si="53"/>
        <v>2535.3127081921593</v>
      </c>
      <c r="AB1685" t="s">
        <v>456</v>
      </c>
    </row>
    <row r="1686" spans="1:28">
      <c r="A1686" s="67" t="s">
        <v>113</v>
      </c>
      <c r="B1686" s="91">
        <v>1302849</v>
      </c>
      <c r="C1686" s="92">
        <v>4615482799</v>
      </c>
      <c r="D1686" s="93">
        <v>22999.969999999998</v>
      </c>
      <c r="E1686" s="79"/>
      <c r="F1686" s="91">
        <v>16</v>
      </c>
      <c r="G1686" s="96">
        <v>5</v>
      </c>
      <c r="H1686" s="94">
        <v>0</v>
      </c>
      <c r="I1686" s="91">
        <v>0</v>
      </c>
      <c r="J1686" s="71">
        <v>43059</v>
      </c>
      <c r="K1686" s="71">
        <v>43100</v>
      </c>
      <c r="L1686" s="69" t="s">
        <v>108</v>
      </c>
      <c r="M1686" s="69" t="s">
        <v>109</v>
      </c>
      <c r="N1686" s="95">
        <v>43142</v>
      </c>
      <c r="O1686" s="67"/>
      <c r="P1686" s="67" t="s">
        <v>95</v>
      </c>
      <c r="Q1686" s="67" t="s">
        <v>110</v>
      </c>
      <c r="R1686" s="92" t="s">
        <v>69</v>
      </c>
      <c r="S1686" s="92" t="s">
        <v>115</v>
      </c>
      <c r="T1686" s="67"/>
      <c r="U1686" s="67"/>
      <c r="V1686" s="95">
        <v>43100</v>
      </c>
      <c r="W1686" s="92" t="s">
        <v>301</v>
      </c>
      <c r="X1686" s="90" t="s">
        <v>303</v>
      </c>
      <c r="Y1686" s="123"/>
      <c r="Z1686" s="30">
        <f t="shared" si="52"/>
        <v>8113.0006662149099</v>
      </c>
      <c r="AA1686" s="30">
        <f t="shared" si="53"/>
        <v>2535.3127081921593</v>
      </c>
      <c r="AB1686" t="s">
        <v>456</v>
      </c>
    </row>
    <row r="1687" spans="1:28">
      <c r="A1687" s="67" t="s">
        <v>113</v>
      </c>
      <c r="B1687" s="91">
        <v>1302853</v>
      </c>
      <c r="C1687" s="92">
        <v>4615482799</v>
      </c>
      <c r="D1687" s="93">
        <v>22999.969999999998</v>
      </c>
      <c r="E1687" s="79"/>
      <c r="F1687" s="91">
        <v>16</v>
      </c>
      <c r="G1687" s="96">
        <v>5</v>
      </c>
      <c r="H1687" s="94">
        <v>0</v>
      </c>
      <c r="I1687" s="91">
        <v>0</v>
      </c>
      <c r="J1687" s="71">
        <v>43059</v>
      </c>
      <c r="K1687" s="71">
        <v>43100</v>
      </c>
      <c r="L1687" s="69" t="s">
        <v>108</v>
      </c>
      <c r="M1687" s="69" t="s">
        <v>109</v>
      </c>
      <c r="N1687" s="95">
        <v>43142</v>
      </c>
      <c r="O1687" s="67"/>
      <c r="P1687" s="67" t="s">
        <v>95</v>
      </c>
      <c r="Q1687" s="67" t="s">
        <v>110</v>
      </c>
      <c r="R1687" s="92" t="s">
        <v>69</v>
      </c>
      <c r="S1687" s="92" t="s">
        <v>115</v>
      </c>
      <c r="T1687" s="67"/>
      <c r="U1687" s="67"/>
      <c r="V1687" s="95">
        <v>43100</v>
      </c>
      <c r="W1687" s="92" t="s">
        <v>301</v>
      </c>
      <c r="X1687" s="90" t="s">
        <v>303</v>
      </c>
      <c r="Y1687" s="123"/>
      <c r="Z1687" s="30">
        <f t="shared" si="52"/>
        <v>8113.0006662149099</v>
      </c>
      <c r="AA1687" s="30">
        <f t="shared" si="53"/>
        <v>2535.3127081921593</v>
      </c>
      <c r="AB1687" t="s">
        <v>456</v>
      </c>
    </row>
    <row r="1688" spans="1:28">
      <c r="A1688" s="67" t="s">
        <v>113</v>
      </c>
      <c r="B1688" s="91">
        <v>1302854</v>
      </c>
      <c r="C1688" s="92">
        <v>4615482799</v>
      </c>
      <c r="D1688" s="93">
        <v>22999.969999999998</v>
      </c>
      <c r="E1688" s="79"/>
      <c r="F1688" s="91">
        <v>16</v>
      </c>
      <c r="G1688" s="96">
        <v>5</v>
      </c>
      <c r="H1688" s="94">
        <v>0</v>
      </c>
      <c r="I1688" s="91">
        <v>0</v>
      </c>
      <c r="J1688" s="71">
        <v>43059</v>
      </c>
      <c r="K1688" s="71">
        <v>43100</v>
      </c>
      <c r="L1688" s="69" t="s">
        <v>108</v>
      </c>
      <c r="M1688" s="69" t="s">
        <v>109</v>
      </c>
      <c r="N1688" s="95">
        <v>43139</v>
      </c>
      <c r="O1688" s="67"/>
      <c r="P1688" s="67" t="s">
        <v>95</v>
      </c>
      <c r="Q1688" s="67" t="s">
        <v>110</v>
      </c>
      <c r="R1688" s="92" t="s">
        <v>69</v>
      </c>
      <c r="S1688" s="92" t="s">
        <v>115</v>
      </c>
      <c r="T1688" s="67"/>
      <c r="U1688" s="67"/>
      <c r="V1688" s="95">
        <v>43100</v>
      </c>
      <c r="W1688" s="92" t="s">
        <v>301</v>
      </c>
      <c r="X1688" s="90" t="s">
        <v>303</v>
      </c>
      <c r="Y1688" s="123"/>
      <c r="Z1688" s="30">
        <f t="shared" si="52"/>
        <v>8113.0006662149099</v>
      </c>
      <c r="AA1688" s="30">
        <f t="shared" si="53"/>
        <v>2535.3127081921593</v>
      </c>
      <c r="AB1688" t="s">
        <v>456</v>
      </c>
    </row>
    <row r="1689" spans="1:28">
      <c r="A1689" s="67" t="s">
        <v>113</v>
      </c>
      <c r="B1689" s="91">
        <v>1302841</v>
      </c>
      <c r="C1689" s="92">
        <v>4615482799</v>
      </c>
      <c r="D1689" s="93">
        <v>22999.969999999998</v>
      </c>
      <c r="E1689" s="79"/>
      <c r="F1689" s="91">
        <v>16</v>
      </c>
      <c r="G1689" s="96">
        <v>5</v>
      </c>
      <c r="H1689" s="94">
        <v>0</v>
      </c>
      <c r="I1689" s="91">
        <v>0</v>
      </c>
      <c r="J1689" s="71">
        <v>43065</v>
      </c>
      <c r="K1689" s="71">
        <v>43100</v>
      </c>
      <c r="L1689" s="69" t="s">
        <v>108</v>
      </c>
      <c r="M1689" s="69" t="s">
        <v>109</v>
      </c>
      <c r="N1689" s="95">
        <v>43144</v>
      </c>
      <c r="O1689" s="67"/>
      <c r="P1689" s="67" t="s">
        <v>95</v>
      </c>
      <c r="Q1689" s="67" t="s">
        <v>110</v>
      </c>
      <c r="R1689" s="92" t="s">
        <v>69</v>
      </c>
      <c r="S1689" s="92" t="s">
        <v>115</v>
      </c>
      <c r="T1689" s="67"/>
      <c r="U1689" s="67"/>
      <c r="V1689" s="95">
        <v>43100</v>
      </c>
      <c r="W1689" s="92" t="s">
        <v>301</v>
      </c>
      <c r="X1689" s="90" t="s">
        <v>303</v>
      </c>
      <c r="Y1689" s="123"/>
      <c r="Z1689" s="30">
        <f t="shared" si="52"/>
        <v>8113.0006662149099</v>
      </c>
      <c r="AA1689" s="30">
        <f t="shared" si="53"/>
        <v>2535.3127081921593</v>
      </c>
      <c r="AB1689" t="s">
        <v>456</v>
      </c>
    </row>
    <row r="1690" spans="1:28">
      <c r="A1690" s="67" t="s">
        <v>113</v>
      </c>
      <c r="B1690" s="91">
        <v>1302851</v>
      </c>
      <c r="C1690" s="92">
        <v>4615482799</v>
      </c>
      <c r="D1690" s="93">
        <v>22999.969999999998</v>
      </c>
      <c r="E1690" s="79"/>
      <c r="F1690" s="91">
        <v>16</v>
      </c>
      <c r="G1690" s="96">
        <v>5</v>
      </c>
      <c r="H1690" s="94">
        <v>0</v>
      </c>
      <c r="I1690" s="91">
        <v>0</v>
      </c>
      <c r="J1690" s="71">
        <v>43059</v>
      </c>
      <c r="K1690" s="71">
        <v>43100</v>
      </c>
      <c r="L1690" s="69" t="s">
        <v>108</v>
      </c>
      <c r="M1690" s="69" t="s">
        <v>109</v>
      </c>
      <c r="N1690" s="95">
        <v>43144</v>
      </c>
      <c r="O1690" s="67"/>
      <c r="P1690" s="67" t="s">
        <v>95</v>
      </c>
      <c r="Q1690" s="67" t="s">
        <v>110</v>
      </c>
      <c r="R1690" s="92" t="s">
        <v>69</v>
      </c>
      <c r="S1690" s="92" t="s">
        <v>115</v>
      </c>
      <c r="T1690" s="67"/>
      <c r="U1690" s="67"/>
      <c r="V1690" s="95">
        <v>43100</v>
      </c>
      <c r="W1690" s="92" t="s">
        <v>301</v>
      </c>
      <c r="X1690" s="90" t="s">
        <v>303</v>
      </c>
      <c r="Y1690" s="123"/>
      <c r="Z1690" s="30">
        <f t="shared" si="52"/>
        <v>8113.0006662149099</v>
      </c>
      <c r="AA1690" s="30">
        <f t="shared" si="53"/>
        <v>2535.3127081921593</v>
      </c>
      <c r="AB1690" t="s">
        <v>456</v>
      </c>
    </row>
    <row r="1691" spans="1:28">
      <c r="A1691" s="67" t="s">
        <v>113</v>
      </c>
      <c r="B1691" s="91">
        <v>1302845</v>
      </c>
      <c r="C1691" s="92">
        <v>4615482799</v>
      </c>
      <c r="D1691" s="93">
        <v>22999.969999999998</v>
      </c>
      <c r="E1691" s="79"/>
      <c r="F1691" s="91">
        <v>16</v>
      </c>
      <c r="G1691" s="96">
        <v>5</v>
      </c>
      <c r="H1691" s="94">
        <v>0</v>
      </c>
      <c r="I1691" s="91">
        <v>0</v>
      </c>
      <c r="J1691" s="71">
        <v>43065</v>
      </c>
      <c r="K1691" s="71">
        <v>43100</v>
      </c>
      <c r="L1691" s="69" t="s">
        <v>108</v>
      </c>
      <c r="M1691" s="69" t="s">
        <v>109</v>
      </c>
      <c r="N1691" s="95">
        <v>43145</v>
      </c>
      <c r="O1691" s="67"/>
      <c r="P1691" s="67" t="s">
        <v>95</v>
      </c>
      <c r="Q1691" s="67" t="s">
        <v>110</v>
      </c>
      <c r="R1691" s="92" t="s">
        <v>69</v>
      </c>
      <c r="S1691" s="92" t="s">
        <v>115</v>
      </c>
      <c r="T1691" s="67"/>
      <c r="U1691" s="67"/>
      <c r="V1691" s="95">
        <v>43100</v>
      </c>
      <c r="W1691" s="92" t="s">
        <v>301</v>
      </c>
      <c r="X1691" s="90" t="s">
        <v>303</v>
      </c>
      <c r="Y1691" s="123"/>
      <c r="Z1691" s="30">
        <f t="shared" si="52"/>
        <v>8113.0006662149099</v>
      </c>
      <c r="AA1691" s="30">
        <f t="shared" si="53"/>
        <v>2535.3127081921593</v>
      </c>
      <c r="AB1691" t="s">
        <v>456</v>
      </c>
    </row>
    <row r="1692" spans="1:28">
      <c r="A1692" s="67" t="s">
        <v>113</v>
      </c>
      <c r="B1692" s="91">
        <v>1302838</v>
      </c>
      <c r="C1692" s="92">
        <v>4615482799</v>
      </c>
      <c r="D1692" s="93">
        <v>22999.969999999998</v>
      </c>
      <c r="E1692" s="79"/>
      <c r="F1692" s="91">
        <v>16</v>
      </c>
      <c r="G1692" s="96">
        <v>5</v>
      </c>
      <c r="H1692" s="94">
        <v>0</v>
      </c>
      <c r="I1692" s="91">
        <v>0</v>
      </c>
      <c r="J1692" s="71">
        <v>43065</v>
      </c>
      <c r="K1692" s="71">
        <v>43100</v>
      </c>
      <c r="L1692" s="69" t="s">
        <v>108</v>
      </c>
      <c r="M1692" s="69" t="s">
        <v>109</v>
      </c>
      <c r="N1692" s="95">
        <v>43149</v>
      </c>
      <c r="O1692" s="67"/>
      <c r="P1692" s="67" t="s">
        <v>95</v>
      </c>
      <c r="Q1692" s="67" t="s">
        <v>110</v>
      </c>
      <c r="R1692" s="92" t="s">
        <v>69</v>
      </c>
      <c r="S1692" s="92" t="s">
        <v>115</v>
      </c>
      <c r="T1692" s="67"/>
      <c r="U1692" s="67"/>
      <c r="V1692" s="95">
        <v>43100</v>
      </c>
      <c r="W1692" s="92" t="s">
        <v>301</v>
      </c>
      <c r="X1692" s="90" t="s">
        <v>303</v>
      </c>
      <c r="Y1692" s="123"/>
      <c r="Z1692" s="30">
        <f t="shared" si="52"/>
        <v>8113.0006662149099</v>
      </c>
      <c r="AA1692" s="30">
        <f t="shared" si="53"/>
        <v>2535.3127081921593</v>
      </c>
      <c r="AB1692" t="s">
        <v>456</v>
      </c>
    </row>
    <row r="1693" spans="1:28">
      <c r="A1693" s="67" t="s">
        <v>113</v>
      </c>
      <c r="B1693" s="91">
        <v>1302839</v>
      </c>
      <c r="C1693" s="92">
        <v>4615482799</v>
      </c>
      <c r="D1693" s="93">
        <v>22999.969999999998</v>
      </c>
      <c r="E1693" s="79"/>
      <c r="F1693" s="91">
        <v>16</v>
      </c>
      <c r="G1693" s="96">
        <v>5</v>
      </c>
      <c r="H1693" s="94">
        <v>0</v>
      </c>
      <c r="I1693" s="91">
        <v>0</v>
      </c>
      <c r="J1693" s="71">
        <v>43065</v>
      </c>
      <c r="K1693" s="71">
        <v>43100</v>
      </c>
      <c r="L1693" s="69" t="s">
        <v>108</v>
      </c>
      <c r="M1693" s="69" t="s">
        <v>109</v>
      </c>
      <c r="N1693" s="95">
        <v>43149</v>
      </c>
      <c r="O1693" s="67"/>
      <c r="P1693" s="67" t="s">
        <v>95</v>
      </c>
      <c r="Q1693" s="67" t="s">
        <v>110</v>
      </c>
      <c r="R1693" s="92" t="s">
        <v>69</v>
      </c>
      <c r="S1693" s="92" t="s">
        <v>115</v>
      </c>
      <c r="T1693" s="67"/>
      <c r="U1693" s="67"/>
      <c r="V1693" s="95">
        <v>43100</v>
      </c>
      <c r="W1693" s="92" t="s">
        <v>301</v>
      </c>
      <c r="X1693" s="90" t="s">
        <v>303</v>
      </c>
      <c r="Y1693" s="123"/>
      <c r="Z1693" s="30">
        <f t="shared" si="52"/>
        <v>8113.0006662149099</v>
      </c>
      <c r="AA1693" s="30">
        <f t="shared" si="53"/>
        <v>2535.3127081921593</v>
      </c>
      <c r="AB1693" t="s">
        <v>456</v>
      </c>
    </row>
    <row r="1694" spans="1:28">
      <c r="A1694" s="67" t="s">
        <v>113</v>
      </c>
      <c r="B1694" s="91" t="s">
        <v>304</v>
      </c>
      <c r="C1694" s="92">
        <v>4615482799</v>
      </c>
      <c r="D1694" s="93">
        <v>22999.969999999998</v>
      </c>
      <c r="E1694" s="79"/>
      <c r="F1694" s="91">
        <v>16</v>
      </c>
      <c r="G1694" s="96">
        <v>5</v>
      </c>
      <c r="H1694" s="94">
        <v>0</v>
      </c>
      <c r="I1694" s="91">
        <v>0</v>
      </c>
      <c r="J1694" s="71"/>
      <c r="K1694" s="71">
        <v>43100</v>
      </c>
      <c r="L1694" s="69" t="s">
        <v>80</v>
      </c>
      <c r="M1694" s="69" t="s">
        <v>109</v>
      </c>
      <c r="N1694" s="95">
        <v>43149</v>
      </c>
      <c r="O1694" s="67"/>
      <c r="P1694" s="67" t="s">
        <v>95</v>
      </c>
      <c r="Q1694" s="67" t="s">
        <v>110</v>
      </c>
      <c r="R1694" s="92" t="s">
        <v>69</v>
      </c>
      <c r="S1694" s="92" t="s">
        <v>115</v>
      </c>
      <c r="T1694" s="67"/>
      <c r="U1694" s="67"/>
      <c r="V1694" s="95">
        <v>43100</v>
      </c>
      <c r="W1694" s="92" t="s">
        <v>301</v>
      </c>
      <c r="X1694" s="90" t="s">
        <v>305</v>
      </c>
      <c r="Y1694" s="123"/>
      <c r="Z1694" s="30">
        <f t="shared" si="52"/>
        <v>8113.0006662149099</v>
      </c>
      <c r="AA1694" s="30">
        <f t="shared" si="53"/>
        <v>2535.3127081921593</v>
      </c>
      <c r="AB1694" t="s">
        <v>456</v>
      </c>
    </row>
    <row r="1695" spans="1:28">
      <c r="A1695" s="67" t="s">
        <v>113</v>
      </c>
      <c r="B1695" s="91" t="s">
        <v>306</v>
      </c>
      <c r="C1695" s="92">
        <v>4615482799</v>
      </c>
      <c r="D1695" s="93">
        <v>22999.969999999998</v>
      </c>
      <c r="E1695" s="79"/>
      <c r="F1695" s="91">
        <v>16</v>
      </c>
      <c r="G1695" s="96">
        <v>5</v>
      </c>
      <c r="H1695" s="94">
        <v>0</v>
      </c>
      <c r="I1695" s="91">
        <v>0</v>
      </c>
      <c r="J1695" s="71"/>
      <c r="K1695" s="71">
        <v>43100</v>
      </c>
      <c r="L1695" s="69" t="s">
        <v>80</v>
      </c>
      <c r="M1695" s="69" t="s">
        <v>109</v>
      </c>
      <c r="N1695" s="95">
        <v>43149</v>
      </c>
      <c r="O1695" s="67"/>
      <c r="P1695" s="67" t="s">
        <v>95</v>
      </c>
      <c r="Q1695" s="67" t="s">
        <v>110</v>
      </c>
      <c r="R1695" s="92" t="s">
        <v>69</v>
      </c>
      <c r="S1695" s="92" t="s">
        <v>115</v>
      </c>
      <c r="T1695" s="67"/>
      <c r="U1695" s="67"/>
      <c r="V1695" s="95">
        <v>43100</v>
      </c>
      <c r="W1695" s="92" t="s">
        <v>301</v>
      </c>
      <c r="X1695" s="90" t="s">
        <v>305</v>
      </c>
      <c r="Y1695" s="123"/>
      <c r="Z1695" s="30">
        <f t="shared" si="52"/>
        <v>8113.0006662149099</v>
      </c>
      <c r="AA1695" s="30">
        <f t="shared" si="53"/>
        <v>2535.3127081921593</v>
      </c>
      <c r="AB1695" t="s">
        <v>456</v>
      </c>
    </row>
    <row r="1696" spans="1:28">
      <c r="A1696" s="67" t="s">
        <v>113</v>
      </c>
      <c r="B1696" s="91">
        <v>1309360</v>
      </c>
      <c r="C1696" s="92">
        <v>4615476752</v>
      </c>
      <c r="D1696" s="93">
        <v>21000</v>
      </c>
      <c r="E1696" s="79"/>
      <c r="F1696" s="91">
        <v>16</v>
      </c>
      <c r="G1696" s="91">
        <v>0</v>
      </c>
      <c r="H1696" s="91">
        <v>0</v>
      </c>
      <c r="I1696" s="91">
        <v>0</v>
      </c>
      <c r="J1696" s="71">
        <v>43072</v>
      </c>
      <c r="K1696" s="71">
        <v>43100</v>
      </c>
      <c r="L1696" s="69" t="s">
        <v>108</v>
      </c>
      <c r="M1696" s="69" t="s">
        <v>109</v>
      </c>
      <c r="N1696" s="95">
        <v>43135</v>
      </c>
      <c r="O1696" s="67"/>
      <c r="P1696" s="67" t="s">
        <v>95</v>
      </c>
      <c r="Q1696" s="67" t="s">
        <v>133</v>
      </c>
      <c r="R1696" s="92" t="s">
        <v>69</v>
      </c>
      <c r="S1696" s="92" t="s">
        <v>115</v>
      </c>
      <c r="T1696" s="67"/>
      <c r="U1696" s="67"/>
      <c r="V1696" s="95">
        <v>43100</v>
      </c>
      <c r="W1696" s="92">
        <v>2088615</v>
      </c>
      <c r="X1696" s="90" t="s">
        <v>196</v>
      </c>
      <c r="Y1696" s="123"/>
      <c r="Z1696" s="30">
        <f t="shared" si="52"/>
        <v>7407.5320094118861</v>
      </c>
      <c r="AA1696" s="30">
        <f t="shared" si="53"/>
        <v>0</v>
      </c>
      <c r="AB1696" t="s">
        <v>456</v>
      </c>
    </row>
    <row r="1697" spans="1:28">
      <c r="A1697" s="67" t="s">
        <v>113</v>
      </c>
      <c r="B1697" s="91">
        <v>1309362</v>
      </c>
      <c r="C1697" s="92">
        <v>4615476752</v>
      </c>
      <c r="D1697" s="93">
        <v>21000</v>
      </c>
      <c r="E1697" s="79"/>
      <c r="F1697" s="91">
        <v>16</v>
      </c>
      <c r="G1697" s="91">
        <v>0</v>
      </c>
      <c r="H1697" s="91">
        <v>0</v>
      </c>
      <c r="I1697" s="91">
        <v>0</v>
      </c>
      <c r="J1697" s="71">
        <v>43072</v>
      </c>
      <c r="K1697" s="71">
        <v>43100</v>
      </c>
      <c r="L1697" s="69" t="s">
        <v>108</v>
      </c>
      <c r="M1697" s="69" t="s">
        <v>109</v>
      </c>
      <c r="N1697" s="95">
        <v>43146</v>
      </c>
      <c r="O1697" s="67"/>
      <c r="P1697" s="67" t="s">
        <v>95</v>
      </c>
      <c r="Q1697" s="67" t="s">
        <v>133</v>
      </c>
      <c r="R1697" s="92" t="s">
        <v>69</v>
      </c>
      <c r="S1697" s="92" t="s">
        <v>115</v>
      </c>
      <c r="T1697" s="67"/>
      <c r="U1697" s="67"/>
      <c r="V1697" s="95">
        <v>43100</v>
      </c>
      <c r="W1697" s="92">
        <v>2088615</v>
      </c>
      <c r="X1697" s="90" t="s">
        <v>196</v>
      </c>
      <c r="Y1697" s="123"/>
      <c r="Z1697" s="30">
        <f t="shared" si="52"/>
        <v>7407.5320094118861</v>
      </c>
      <c r="AA1697" s="30">
        <f t="shared" si="53"/>
        <v>0</v>
      </c>
      <c r="AB1697" t="s">
        <v>456</v>
      </c>
    </row>
    <row r="1698" spans="1:28">
      <c r="A1698" s="67" t="s">
        <v>113</v>
      </c>
      <c r="B1698" s="91">
        <v>1309364</v>
      </c>
      <c r="C1698" s="92">
        <v>4615476752</v>
      </c>
      <c r="D1698" s="93">
        <v>21000</v>
      </c>
      <c r="E1698" s="79"/>
      <c r="F1698" s="91">
        <v>16</v>
      </c>
      <c r="G1698" s="91">
        <v>0</v>
      </c>
      <c r="H1698" s="91">
        <v>0</v>
      </c>
      <c r="I1698" s="91">
        <v>0</v>
      </c>
      <c r="J1698" s="71">
        <v>43072</v>
      </c>
      <c r="K1698" s="71">
        <v>43100</v>
      </c>
      <c r="L1698" s="69" t="s">
        <v>108</v>
      </c>
      <c r="M1698" s="69" t="s">
        <v>109</v>
      </c>
      <c r="N1698" s="95">
        <v>43149</v>
      </c>
      <c r="O1698" s="67"/>
      <c r="P1698" s="67" t="s">
        <v>95</v>
      </c>
      <c r="Q1698" s="67" t="s">
        <v>133</v>
      </c>
      <c r="R1698" s="92" t="s">
        <v>69</v>
      </c>
      <c r="S1698" s="92" t="s">
        <v>115</v>
      </c>
      <c r="T1698" s="67"/>
      <c r="U1698" s="67"/>
      <c r="V1698" s="95">
        <v>43100</v>
      </c>
      <c r="W1698" s="92">
        <v>2088615</v>
      </c>
      <c r="X1698" s="90" t="s">
        <v>196</v>
      </c>
      <c r="Y1698" s="123"/>
      <c r="Z1698" s="30">
        <f t="shared" si="52"/>
        <v>7407.5320094118861</v>
      </c>
      <c r="AA1698" s="30">
        <f t="shared" si="53"/>
        <v>0</v>
      </c>
      <c r="AB1698" t="s">
        <v>456</v>
      </c>
    </row>
    <row r="1699" spans="1:28">
      <c r="A1699" s="67" t="s">
        <v>113</v>
      </c>
      <c r="B1699" s="91">
        <v>1309361</v>
      </c>
      <c r="C1699" s="92">
        <v>4615476752</v>
      </c>
      <c r="D1699" s="93">
        <v>21000</v>
      </c>
      <c r="E1699" s="79"/>
      <c r="F1699" s="91">
        <v>16</v>
      </c>
      <c r="G1699" s="91">
        <v>0</v>
      </c>
      <c r="H1699" s="91">
        <v>0</v>
      </c>
      <c r="I1699" s="91">
        <v>0</v>
      </c>
      <c r="J1699" s="71">
        <v>43072</v>
      </c>
      <c r="K1699" s="71">
        <v>43100</v>
      </c>
      <c r="L1699" s="69" t="s">
        <v>108</v>
      </c>
      <c r="M1699" s="69" t="s">
        <v>109</v>
      </c>
      <c r="N1699" s="95">
        <v>43151</v>
      </c>
      <c r="O1699" s="67"/>
      <c r="P1699" s="67" t="s">
        <v>95</v>
      </c>
      <c r="Q1699" s="67" t="s">
        <v>133</v>
      </c>
      <c r="R1699" s="92" t="s">
        <v>69</v>
      </c>
      <c r="S1699" s="92" t="s">
        <v>115</v>
      </c>
      <c r="T1699" s="67"/>
      <c r="U1699" s="67"/>
      <c r="V1699" s="95">
        <v>43100</v>
      </c>
      <c r="W1699" s="92">
        <v>2088615</v>
      </c>
      <c r="X1699" s="90" t="s">
        <v>196</v>
      </c>
      <c r="Y1699" s="123"/>
      <c r="Z1699" s="30">
        <f t="shared" si="52"/>
        <v>7407.5320094118861</v>
      </c>
      <c r="AA1699" s="30">
        <f t="shared" si="53"/>
        <v>0</v>
      </c>
      <c r="AB1699" t="s">
        <v>456</v>
      </c>
    </row>
    <row r="1700" spans="1:28">
      <c r="A1700" s="67" t="s">
        <v>113</v>
      </c>
      <c r="B1700" s="91">
        <v>1309363</v>
      </c>
      <c r="C1700" s="92">
        <v>4615476752</v>
      </c>
      <c r="D1700" s="93">
        <v>21000</v>
      </c>
      <c r="E1700" s="79"/>
      <c r="F1700" s="91">
        <v>16</v>
      </c>
      <c r="G1700" s="91">
        <v>0</v>
      </c>
      <c r="H1700" s="91">
        <v>0</v>
      </c>
      <c r="I1700" s="91">
        <v>0</v>
      </c>
      <c r="J1700" s="71">
        <v>43072</v>
      </c>
      <c r="K1700" s="71">
        <v>43100</v>
      </c>
      <c r="L1700" s="69" t="s">
        <v>108</v>
      </c>
      <c r="M1700" s="69" t="s">
        <v>109</v>
      </c>
      <c r="N1700" s="95">
        <v>43152</v>
      </c>
      <c r="O1700" s="67"/>
      <c r="P1700" s="67" t="s">
        <v>95</v>
      </c>
      <c r="Q1700" s="67" t="s">
        <v>133</v>
      </c>
      <c r="R1700" s="92" t="s">
        <v>69</v>
      </c>
      <c r="S1700" s="92" t="s">
        <v>115</v>
      </c>
      <c r="T1700" s="67"/>
      <c r="U1700" s="67"/>
      <c r="V1700" s="95">
        <v>43100</v>
      </c>
      <c r="W1700" s="92">
        <v>2088615</v>
      </c>
      <c r="X1700" s="90" t="s">
        <v>196</v>
      </c>
      <c r="Y1700" s="123"/>
      <c r="Z1700" s="30">
        <f t="shared" si="52"/>
        <v>7407.5320094118861</v>
      </c>
      <c r="AA1700" s="30">
        <f t="shared" si="53"/>
        <v>0</v>
      </c>
      <c r="AB1700" t="s">
        <v>456</v>
      </c>
    </row>
    <row r="1701" spans="1:28">
      <c r="A1701" s="67" t="s">
        <v>113</v>
      </c>
      <c r="B1701" s="91">
        <v>1309369</v>
      </c>
      <c r="C1701" s="92">
        <v>4615476752</v>
      </c>
      <c r="D1701" s="93">
        <v>21000</v>
      </c>
      <c r="E1701" s="79"/>
      <c r="F1701" s="91">
        <v>16</v>
      </c>
      <c r="G1701" s="91">
        <v>0</v>
      </c>
      <c r="H1701" s="91">
        <v>0</v>
      </c>
      <c r="I1701" s="91">
        <v>0</v>
      </c>
      <c r="J1701" s="71">
        <v>43072</v>
      </c>
      <c r="K1701" s="71">
        <v>43100</v>
      </c>
      <c r="L1701" s="69" t="s">
        <v>108</v>
      </c>
      <c r="M1701" s="69" t="s">
        <v>109</v>
      </c>
      <c r="N1701" s="95">
        <v>43152</v>
      </c>
      <c r="O1701" s="67"/>
      <c r="P1701" s="67" t="s">
        <v>95</v>
      </c>
      <c r="Q1701" s="67" t="s">
        <v>133</v>
      </c>
      <c r="R1701" s="92" t="s">
        <v>69</v>
      </c>
      <c r="S1701" s="92" t="s">
        <v>115</v>
      </c>
      <c r="T1701" s="67"/>
      <c r="U1701" s="67"/>
      <c r="V1701" s="95">
        <v>43100</v>
      </c>
      <c r="W1701" s="92">
        <v>2088615</v>
      </c>
      <c r="X1701" s="90" t="s">
        <v>196</v>
      </c>
      <c r="Y1701" s="123"/>
      <c r="Z1701" s="30">
        <f t="shared" si="52"/>
        <v>7407.5320094118861</v>
      </c>
      <c r="AA1701" s="30">
        <f t="shared" si="53"/>
        <v>0</v>
      </c>
      <c r="AB1701" t="s">
        <v>456</v>
      </c>
    </row>
    <row r="1702" spans="1:28">
      <c r="A1702" s="67" t="s">
        <v>113</v>
      </c>
      <c r="B1702" s="91">
        <v>1309368</v>
      </c>
      <c r="C1702" s="92">
        <v>4615476752</v>
      </c>
      <c r="D1702" s="93">
        <v>21000</v>
      </c>
      <c r="E1702" s="79"/>
      <c r="F1702" s="91">
        <v>16</v>
      </c>
      <c r="G1702" s="91">
        <v>0</v>
      </c>
      <c r="H1702" s="91">
        <v>0</v>
      </c>
      <c r="I1702" s="91">
        <v>0</v>
      </c>
      <c r="J1702" s="71">
        <v>43072</v>
      </c>
      <c r="K1702" s="71">
        <v>43100</v>
      </c>
      <c r="L1702" s="69" t="s">
        <v>108</v>
      </c>
      <c r="M1702" s="69" t="s">
        <v>109</v>
      </c>
      <c r="N1702" s="95">
        <v>43153</v>
      </c>
      <c r="O1702" s="67"/>
      <c r="P1702" s="67" t="s">
        <v>95</v>
      </c>
      <c r="Q1702" s="67" t="s">
        <v>133</v>
      </c>
      <c r="R1702" s="92" t="s">
        <v>69</v>
      </c>
      <c r="S1702" s="92" t="s">
        <v>115</v>
      </c>
      <c r="T1702" s="67"/>
      <c r="U1702" s="67"/>
      <c r="V1702" s="95">
        <v>43100</v>
      </c>
      <c r="W1702" s="92">
        <v>2088615</v>
      </c>
      <c r="X1702" s="90" t="s">
        <v>196</v>
      </c>
      <c r="Y1702" s="123"/>
      <c r="Z1702" s="30">
        <f t="shared" si="52"/>
        <v>7407.5320094118861</v>
      </c>
      <c r="AA1702" s="30">
        <f t="shared" si="53"/>
        <v>0</v>
      </c>
      <c r="AB1702" t="s">
        <v>456</v>
      </c>
    </row>
    <row r="1703" spans="1:28">
      <c r="A1703" s="67" t="s">
        <v>113</v>
      </c>
      <c r="B1703" s="91">
        <v>1309366</v>
      </c>
      <c r="C1703" s="92">
        <v>4615476752</v>
      </c>
      <c r="D1703" s="93">
        <v>21000</v>
      </c>
      <c r="E1703" s="79"/>
      <c r="F1703" s="91">
        <v>16</v>
      </c>
      <c r="G1703" s="91">
        <v>0</v>
      </c>
      <c r="H1703" s="91">
        <v>0</v>
      </c>
      <c r="I1703" s="91">
        <v>0</v>
      </c>
      <c r="J1703" s="71">
        <v>43072</v>
      </c>
      <c r="K1703" s="71">
        <v>43100</v>
      </c>
      <c r="L1703" s="69" t="s">
        <v>108</v>
      </c>
      <c r="M1703" s="69" t="s">
        <v>109</v>
      </c>
      <c r="N1703" s="95">
        <v>43153</v>
      </c>
      <c r="O1703" s="67"/>
      <c r="P1703" s="67" t="s">
        <v>95</v>
      </c>
      <c r="Q1703" s="67" t="s">
        <v>133</v>
      </c>
      <c r="R1703" s="92" t="s">
        <v>69</v>
      </c>
      <c r="S1703" s="92" t="s">
        <v>115</v>
      </c>
      <c r="T1703" s="67"/>
      <c r="U1703" s="67"/>
      <c r="V1703" s="95">
        <v>43100</v>
      </c>
      <c r="W1703" s="92">
        <v>2088615</v>
      </c>
      <c r="X1703" s="90" t="s">
        <v>196</v>
      </c>
      <c r="Y1703" s="123"/>
      <c r="Z1703" s="30">
        <f t="shared" si="52"/>
        <v>7407.5320094118861</v>
      </c>
      <c r="AA1703" s="30">
        <f t="shared" si="53"/>
        <v>0</v>
      </c>
      <c r="AB1703" t="s">
        <v>456</v>
      </c>
    </row>
    <row r="1704" spans="1:28">
      <c r="A1704" s="67" t="s">
        <v>113</v>
      </c>
      <c r="B1704" s="91">
        <v>1309367</v>
      </c>
      <c r="C1704" s="92">
        <v>4615476752</v>
      </c>
      <c r="D1704" s="93">
        <v>21000</v>
      </c>
      <c r="E1704" s="79"/>
      <c r="F1704" s="91">
        <v>16</v>
      </c>
      <c r="G1704" s="91">
        <v>0</v>
      </c>
      <c r="H1704" s="91">
        <v>0</v>
      </c>
      <c r="I1704" s="91">
        <v>0</v>
      </c>
      <c r="J1704" s="71">
        <v>43072</v>
      </c>
      <c r="K1704" s="71">
        <v>43100</v>
      </c>
      <c r="L1704" s="69" t="s">
        <v>108</v>
      </c>
      <c r="M1704" s="69" t="s">
        <v>109</v>
      </c>
      <c r="N1704" s="95">
        <v>43156</v>
      </c>
      <c r="O1704" s="67"/>
      <c r="P1704" s="67" t="s">
        <v>95</v>
      </c>
      <c r="Q1704" s="67" t="s">
        <v>133</v>
      </c>
      <c r="R1704" s="92" t="s">
        <v>69</v>
      </c>
      <c r="S1704" s="92" t="s">
        <v>115</v>
      </c>
      <c r="T1704" s="67"/>
      <c r="U1704" s="67"/>
      <c r="V1704" s="95">
        <v>43100</v>
      </c>
      <c r="W1704" s="92">
        <v>2088615</v>
      </c>
      <c r="X1704" s="90" t="s">
        <v>196</v>
      </c>
      <c r="Y1704" s="123"/>
      <c r="Z1704" s="30">
        <f t="shared" si="52"/>
        <v>7407.5320094118861</v>
      </c>
      <c r="AA1704" s="30">
        <f t="shared" si="53"/>
        <v>0</v>
      </c>
      <c r="AB1704" t="s">
        <v>456</v>
      </c>
    </row>
    <row r="1705" spans="1:28">
      <c r="A1705" s="67" t="s">
        <v>113</v>
      </c>
      <c r="B1705" s="91">
        <v>1309365</v>
      </c>
      <c r="C1705" s="92">
        <v>4615476752</v>
      </c>
      <c r="D1705" s="93">
        <v>21000</v>
      </c>
      <c r="E1705" s="79"/>
      <c r="F1705" s="91">
        <v>16</v>
      </c>
      <c r="G1705" s="91">
        <v>0</v>
      </c>
      <c r="H1705" s="91">
        <v>0</v>
      </c>
      <c r="I1705" s="91">
        <v>0</v>
      </c>
      <c r="J1705" s="71">
        <v>43072</v>
      </c>
      <c r="K1705" s="71">
        <v>43100</v>
      </c>
      <c r="L1705" s="69" t="s">
        <v>108</v>
      </c>
      <c r="M1705" s="69" t="s">
        <v>109</v>
      </c>
      <c r="N1705" s="95">
        <v>43163</v>
      </c>
      <c r="O1705" s="67"/>
      <c r="P1705" s="67" t="s">
        <v>95</v>
      </c>
      <c r="Q1705" s="67" t="s">
        <v>133</v>
      </c>
      <c r="R1705" s="92" t="s">
        <v>69</v>
      </c>
      <c r="S1705" s="92" t="s">
        <v>115</v>
      </c>
      <c r="T1705" s="67"/>
      <c r="U1705" s="67"/>
      <c r="V1705" s="95">
        <v>43100</v>
      </c>
      <c r="W1705" s="92">
        <v>2088615</v>
      </c>
      <c r="X1705" s="90" t="s">
        <v>196</v>
      </c>
      <c r="Y1705" s="123"/>
      <c r="Z1705" s="30">
        <f t="shared" si="52"/>
        <v>7407.5320094118861</v>
      </c>
      <c r="AA1705" s="30">
        <f t="shared" si="53"/>
        <v>0</v>
      </c>
      <c r="AB1705" t="s">
        <v>456</v>
      </c>
    </row>
    <row r="1706" spans="1:28">
      <c r="A1706" s="67" t="s">
        <v>113</v>
      </c>
      <c r="B1706" s="91" t="s">
        <v>160</v>
      </c>
      <c r="C1706" s="92" t="s">
        <v>161</v>
      </c>
      <c r="D1706" s="93">
        <v>21600</v>
      </c>
      <c r="E1706" s="79"/>
      <c r="F1706" s="91">
        <v>16</v>
      </c>
      <c r="G1706" s="96">
        <v>5</v>
      </c>
      <c r="H1706" s="94">
        <v>0</v>
      </c>
      <c r="I1706" s="91">
        <v>0</v>
      </c>
      <c r="J1706" s="71"/>
      <c r="K1706" s="71">
        <v>43100</v>
      </c>
      <c r="L1706" s="69" t="s">
        <v>80</v>
      </c>
      <c r="M1706" s="69" t="s">
        <v>109</v>
      </c>
      <c r="N1706" s="95">
        <v>43103</v>
      </c>
      <c r="O1706" s="67"/>
      <c r="P1706" s="67" t="s">
        <v>95</v>
      </c>
      <c r="Q1706" s="67" t="s">
        <v>133</v>
      </c>
      <c r="R1706" s="92" t="s">
        <v>69</v>
      </c>
      <c r="S1706" s="92" t="s">
        <v>115</v>
      </c>
      <c r="T1706" s="67"/>
      <c r="U1706" s="67"/>
      <c r="V1706" s="95">
        <v>43100</v>
      </c>
      <c r="W1706" s="92" t="s">
        <v>307</v>
      </c>
      <c r="X1706" s="90" t="s">
        <v>196</v>
      </c>
      <c r="Y1706" s="123"/>
      <c r="Z1706" s="30">
        <f t="shared" si="52"/>
        <v>7619.1757811093694</v>
      </c>
      <c r="AA1706" s="30">
        <f t="shared" si="53"/>
        <v>2380.9924315966778</v>
      </c>
      <c r="AB1706" t="s">
        <v>456</v>
      </c>
    </row>
    <row r="1707" spans="1:28">
      <c r="A1707" s="67" t="s">
        <v>113</v>
      </c>
      <c r="B1707" s="91" t="s">
        <v>160</v>
      </c>
      <c r="C1707" s="92" t="s">
        <v>161</v>
      </c>
      <c r="D1707" s="93">
        <v>21600</v>
      </c>
      <c r="E1707" s="79"/>
      <c r="F1707" s="91">
        <v>16</v>
      </c>
      <c r="G1707" s="96">
        <v>5</v>
      </c>
      <c r="H1707" s="94">
        <v>0</v>
      </c>
      <c r="I1707" s="91">
        <v>0</v>
      </c>
      <c r="J1707" s="71"/>
      <c r="K1707" s="71">
        <v>43100</v>
      </c>
      <c r="L1707" s="69" t="s">
        <v>80</v>
      </c>
      <c r="M1707" s="69" t="s">
        <v>109</v>
      </c>
      <c r="N1707" s="95">
        <v>43103</v>
      </c>
      <c r="O1707" s="67"/>
      <c r="P1707" s="67" t="s">
        <v>95</v>
      </c>
      <c r="Q1707" s="67" t="s">
        <v>133</v>
      </c>
      <c r="R1707" s="92" t="s">
        <v>69</v>
      </c>
      <c r="S1707" s="92" t="s">
        <v>115</v>
      </c>
      <c r="T1707" s="67"/>
      <c r="U1707" s="67"/>
      <c r="V1707" s="95">
        <v>43100</v>
      </c>
      <c r="W1707" s="92" t="s">
        <v>307</v>
      </c>
      <c r="X1707" s="90" t="s">
        <v>196</v>
      </c>
      <c r="Y1707" s="123"/>
      <c r="Z1707" s="30">
        <f t="shared" si="52"/>
        <v>7619.1757811093694</v>
      </c>
      <c r="AA1707" s="30">
        <f t="shared" si="53"/>
        <v>2380.9924315966778</v>
      </c>
      <c r="AB1707" t="s">
        <v>456</v>
      </c>
    </row>
    <row r="1708" spans="1:28">
      <c r="A1708" s="67" t="s">
        <v>113</v>
      </c>
      <c r="B1708" s="91" t="s">
        <v>160</v>
      </c>
      <c r="C1708" s="92" t="s">
        <v>161</v>
      </c>
      <c r="D1708" s="93">
        <v>21600</v>
      </c>
      <c r="E1708" s="79"/>
      <c r="F1708" s="91">
        <v>16</v>
      </c>
      <c r="G1708" s="96">
        <v>5</v>
      </c>
      <c r="H1708" s="94">
        <v>0</v>
      </c>
      <c r="I1708" s="91">
        <v>0</v>
      </c>
      <c r="J1708" s="71"/>
      <c r="K1708" s="71">
        <v>43100</v>
      </c>
      <c r="L1708" s="69" t="s">
        <v>80</v>
      </c>
      <c r="M1708" s="69" t="s">
        <v>109</v>
      </c>
      <c r="N1708" s="95">
        <v>43103</v>
      </c>
      <c r="O1708" s="67"/>
      <c r="P1708" s="67" t="s">
        <v>95</v>
      </c>
      <c r="Q1708" s="67" t="s">
        <v>133</v>
      </c>
      <c r="R1708" s="92" t="s">
        <v>69</v>
      </c>
      <c r="S1708" s="92" t="s">
        <v>115</v>
      </c>
      <c r="T1708" s="67"/>
      <c r="U1708" s="67"/>
      <c r="V1708" s="95">
        <v>43100</v>
      </c>
      <c r="W1708" s="92" t="s">
        <v>307</v>
      </c>
      <c r="X1708" s="90" t="s">
        <v>196</v>
      </c>
      <c r="Y1708" s="123"/>
      <c r="Z1708" s="30">
        <f t="shared" si="52"/>
        <v>7619.1757811093694</v>
      </c>
      <c r="AA1708" s="30">
        <f t="shared" si="53"/>
        <v>2380.9924315966778</v>
      </c>
      <c r="AB1708" t="s">
        <v>456</v>
      </c>
    </row>
    <row r="1709" spans="1:28">
      <c r="A1709" s="67" t="s">
        <v>113</v>
      </c>
      <c r="B1709" s="91" t="s">
        <v>160</v>
      </c>
      <c r="C1709" s="92" t="s">
        <v>161</v>
      </c>
      <c r="D1709" s="93">
        <v>21600</v>
      </c>
      <c r="E1709" s="79"/>
      <c r="F1709" s="91">
        <v>16</v>
      </c>
      <c r="G1709" s="96">
        <v>5</v>
      </c>
      <c r="H1709" s="94">
        <v>0</v>
      </c>
      <c r="I1709" s="91">
        <v>0</v>
      </c>
      <c r="J1709" s="71"/>
      <c r="K1709" s="71">
        <v>43100</v>
      </c>
      <c r="L1709" s="69" t="s">
        <v>80</v>
      </c>
      <c r="M1709" s="69" t="s">
        <v>109</v>
      </c>
      <c r="N1709" s="95">
        <v>43103</v>
      </c>
      <c r="O1709" s="67"/>
      <c r="P1709" s="67" t="s">
        <v>95</v>
      </c>
      <c r="Q1709" s="67" t="s">
        <v>133</v>
      </c>
      <c r="R1709" s="92" t="s">
        <v>69</v>
      </c>
      <c r="S1709" s="92" t="s">
        <v>115</v>
      </c>
      <c r="T1709" s="67"/>
      <c r="U1709" s="67"/>
      <c r="V1709" s="95">
        <v>43100</v>
      </c>
      <c r="W1709" s="92" t="s">
        <v>307</v>
      </c>
      <c r="X1709" s="90" t="s">
        <v>196</v>
      </c>
      <c r="Y1709" s="123"/>
      <c r="Z1709" s="30">
        <f t="shared" si="52"/>
        <v>7619.1757811093694</v>
      </c>
      <c r="AA1709" s="30">
        <f t="shared" si="53"/>
        <v>2380.9924315966778</v>
      </c>
      <c r="AB1709" t="s">
        <v>456</v>
      </c>
    </row>
    <row r="1710" spans="1:28">
      <c r="A1710" s="67" t="s">
        <v>113</v>
      </c>
      <c r="B1710" s="91" t="s">
        <v>160</v>
      </c>
      <c r="C1710" s="92" t="s">
        <v>161</v>
      </c>
      <c r="D1710" s="93">
        <v>21600</v>
      </c>
      <c r="E1710" s="79"/>
      <c r="F1710" s="91">
        <v>16</v>
      </c>
      <c r="G1710" s="96">
        <v>5</v>
      </c>
      <c r="H1710" s="94">
        <v>0</v>
      </c>
      <c r="I1710" s="91">
        <v>0</v>
      </c>
      <c r="J1710" s="71"/>
      <c r="K1710" s="71">
        <v>43100</v>
      </c>
      <c r="L1710" s="69" t="s">
        <v>80</v>
      </c>
      <c r="M1710" s="69" t="s">
        <v>109</v>
      </c>
      <c r="N1710" s="95">
        <v>43103</v>
      </c>
      <c r="O1710" s="67"/>
      <c r="P1710" s="67" t="s">
        <v>95</v>
      </c>
      <c r="Q1710" s="67" t="s">
        <v>133</v>
      </c>
      <c r="R1710" s="92" t="s">
        <v>69</v>
      </c>
      <c r="S1710" s="92" t="s">
        <v>115</v>
      </c>
      <c r="T1710" s="67"/>
      <c r="U1710" s="67"/>
      <c r="V1710" s="95">
        <v>43100</v>
      </c>
      <c r="W1710" s="92" t="s">
        <v>307</v>
      </c>
      <c r="X1710" s="90" t="s">
        <v>196</v>
      </c>
      <c r="Y1710" s="123"/>
      <c r="Z1710" s="30">
        <f t="shared" si="52"/>
        <v>7619.1757811093694</v>
      </c>
      <c r="AA1710" s="30">
        <f t="shared" si="53"/>
        <v>2380.9924315966778</v>
      </c>
      <c r="AB1710" t="s">
        <v>456</v>
      </c>
    </row>
    <row r="1711" spans="1:28">
      <c r="A1711" s="67" t="s">
        <v>113</v>
      </c>
      <c r="B1711" s="91" t="s">
        <v>160</v>
      </c>
      <c r="C1711" s="92" t="s">
        <v>161</v>
      </c>
      <c r="D1711" s="93">
        <v>21600</v>
      </c>
      <c r="E1711" s="79"/>
      <c r="F1711" s="91">
        <v>16</v>
      </c>
      <c r="G1711" s="96">
        <v>5</v>
      </c>
      <c r="H1711" s="94">
        <v>0</v>
      </c>
      <c r="I1711" s="91">
        <v>0</v>
      </c>
      <c r="J1711" s="71"/>
      <c r="K1711" s="71">
        <v>43100</v>
      </c>
      <c r="L1711" s="69" t="s">
        <v>80</v>
      </c>
      <c r="M1711" s="69" t="s">
        <v>109</v>
      </c>
      <c r="N1711" s="95">
        <v>43103</v>
      </c>
      <c r="O1711" s="67"/>
      <c r="P1711" s="67" t="s">
        <v>95</v>
      </c>
      <c r="Q1711" s="67" t="s">
        <v>133</v>
      </c>
      <c r="R1711" s="92" t="s">
        <v>69</v>
      </c>
      <c r="S1711" s="92" t="s">
        <v>115</v>
      </c>
      <c r="T1711" s="67"/>
      <c r="U1711" s="67"/>
      <c r="V1711" s="95">
        <v>43100</v>
      </c>
      <c r="W1711" s="92" t="s">
        <v>307</v>
      </c>
      <c r="X1711" s="90" t="s">
        <v>196</v>
      </c>
      <c r="Y1711" s="123"/>
      <c r="Z1711" s="30">
        <f t="shared" si="52"/>
        <v>7619.1757811093694</v>
      </c>
      <c r="AA1711" s="30">
        <f t="shared" si="53"/>
        <v>2380.9924315966778</v>
      </c>
      <c r="AB1711" t="s">
        <v>456</v>
      </c>
    </row>
    <row r="1712" spans="1:28">
      <c r="A1712" s="67" t="s">
        <v>128</v>
      </c>
      <c r="B1712" s="91">
        <v>1300783</v>
      </c>
      <c r="C1712" s="92">
        <v>4615503623</v>
      </c>
      <c r="D1712" s="93">
        <v>19175</v>
      </c>
      <c r="E1712" s="79"/>
      <c r="F1712" s="94">
        <v>154.32</v>
      </c>
      <c r="G1712" s="94">
        <v>0</v>
      </c>
      <c r="H1712" s="91">
        <v>0</v>
      </c>
      <c r="I1712" s="91">
        <v>0</v>
      </c>
      <c r="J1712" s="71">
        <v>43068</v>
      </c>
      <c r="K1712" s="71">
        <v>43100</v>
      </c>
      <c r="L1712" s="69" t="s">
        <v>108</v>
      </c>
      <c r="M1712" s="69" t="s">
        <v>109</v>
      </c>
      <c r="N1712" s="95">
        <v>43123</v>
      </c>
      <c r="O1712" s="67"/>
      <c r="P1712" s="67" t="s">
        <v>95</v>
      </c>
      <c r="Q1712" s="67" t="s">
        <v>129</v>
      </c>
      <c r="R1712" s="92" t="s">
        <v>69</v>
      </c>
      <c r="S1712" s="92" t="s">
        <v>130</v>
      </c>
      <c r="T1712" s="67"/>
      <c r="U1712" s="67"/>
      <c r="V1712" s="95">
        <v>43100</v>
      </c>
      <c r="W1712" s="92">
        <v>425570021</v>
      </c>
      <c r="X1712" s="90"/>
      <c r="Y1712" s="123"/>
      <c r="Z1712" s="30">
        <f t="shared" si="52"/>
        <v>65236.679355960063</v>
      </c>
      <c r="AA1712" s="30">
        <f t="shared" si="53"/>
        <v>0</v>
      </c>
      <c r="AB1712" t="s">
        <v>456</v>
      </c>
    </row>
    <row r="1713" spans="1:28">
      <c r="A1713" s="67" t="s">
        <v>128</v>
      </c>
      <c r="B1713" s="91">
        <v>1300782</v>
      </c>
      <c r="C1713" s="92">
        <v>4615503623</v>
      </c>
      <c r="D1713" s="93">
        <v>19175</v>
      </c>
      <c r="E1713" s="79"/>
      <c r="F1713" s="94">
        <v>154.32</v>
      </c>
      <c r="G1713" s="94">
        <v>0</v>
      </c>
      <c r="H1713" s="91">
        <v>0</v>
      </c>
      <c r="I1713" s="91">
        <v>0</v>
      </c>
      <c r="J1713" s="71">
        <v>43068</v>
      </c>
      <c r="K1713" s="71">
        <v>43100</v>
      </c>
      <c r="L1713" s="69" t="s">
        <v>108</v>
      </c>
      <c r="M1713" s="69" t="s">
        <v>109</v>
      </c>
      <c r="N1713" s="95">
        <v>43128</v>
      </c>
      <c r="O1713" s="67"/>
      <c r="P1713" s="67" t="s">
        <v>95</v>
      </c>
      <c r="Q1713" s="67" t="s">
        <v>129</v>
      </c>
      <c r="R1713" s="92" t="s">
        <v>69</v>
      </c>
      <c r="S1713" s="92" t="s">
        <v>130</v>
      </c>
      <c r="T1713" s="67"/>
      <c r="U1713" s="67"/>
      <c r="V1713" s="95">
        <v>43100</v>
      </c>
      <c r="W1713" s="92">
        <v>425570021</v>
      </c>
      <c r="X1713" s="90"/>
      <c r="Y1713" s="123"/>
      <c r="Z1713" s="30">
        <f t="shared" si="52"/>
        <v>65236.679355960063</v>
      </c>
      <c r="AA1713" s="30">
        <f t="shared" si="53"/>
        <v>0</v>
      </c>
      <c r="AB1713" t="s">
        <v>456</v>
      </c>
    </row>
    <row r="1714" spans="1:28">
      <c r="A1714" s="67" t="s">
        <v>128</v>
      </c>
      <c r="B1714" s="91">
        <v>1305125</v>
      </c>
      <c r="C1714" s="92">
        <v>4615503623</v>
      </c>
      <c r="D1714" s="93">
        <v>19175</v>
      </c>
      <c r="E1714" s="79"/>
      <c r="F1714" s="94">
        <v>154.32</v>
      </c>
      <c r="G1714" s="94">
        <v>0</v>
      </c>
      <c r="H1714" s="91">
        <v>0</v>
      </c>
      <c r="I1714" s="91">
        <v>0</v>
      </c>
      <c r="J1714" s="71">
        <v>43075</v>
      </c>
      <c r="K1714" s="71">
        <v>43100</v>
      </c>
      <c r="L1714" s="69" t="s">
        <v>108</v>
      </c>
      <c r="M1714" s="69" t="s">
        <v>109</v>
      </c>
      <c r="N1714" s="95">
        <v>43143</v>
      </c>
      <c r="O1714" s="67"/>
      <c r="P1714" s="67" t="s">
        <v>95</v>
      </c>
      <c r="Q1714" s="67" t="s">
        <v>129</v>
      </c>
      <c r="R1714" s="92" t="s">
        <v>69</v>
      </c>
      <c r="S1714" s="92" t="s">
        <v>130</v>
      </c>
      <c r="T1714" s="67"/>
      <c r="U1714" s="67"/>
      <c r="V1714" s="95">
        <v>43100</v>
      </c>
      <c r="W1714" s="92">
        <v>425570021</v>
      </c>
      <c r="X1714" s="90"/>
      <c r="Y1714" s="123"/>
      <c r="Z1714" s="30">
        <f t="shared" si="52"/>
        <v>65236.679355960063</v>
      </c>
      <c r="AA1714" s="30">
        <f t="shared" si="53"/>
        <v>0</v>
      </c>
      <c r="AB1714" t="s">
        <v>456</v>
      </c>
    </row>
    <row r="1715" spans="1:28">
      <c r="A1715" s="67" t="s">
        <v>128</v>
      </c>
      <c r="B1715" s="91">
        <v>1305123</v>
      </c>
      <c r="C1715" s="92">
        <v>4615503623</v>
      </c>
      <c r="D1715" s="93">
        <v>19175</v>
      </c>
      <c r="E1715" s="79"/>
      <c r="F1715" s="94">
        <v>154.32</v>
      </c>
      <c r="G1715" s="94">
        <v>0</v>
      </c>
      <c r="H1715" s="91">
        <v>0</v>
      </c>
      <c r="I1715" s="91">
        <v>0</v>
      </c>
      <c r="J1715" s="71">
        <v>43075</v>
      </c>
      <c r="K1715" s="71">
        <v>43100</v>
      </c>
      <c r="L1715" s="69" t="s">
        <v>108</v>
      </c>
      <c r="M1715" s="69" t="s">
        <v>109</v>
      </c>
      <c r="N1715" s="95">
        <v>43158</v>
      </c>
      <c r="O1715" s="67"/>
      <c r="P1715" s="67" t="s">
        <v>95</v>
      </c>
      <c r="Q1715" s="67" t="s">
        <v>129</v>
      </c>
      <c r="R1715" s="92" t="s">
        <v>69</v>
      </c>
      <c r="S1715" s="92" t="s">
        <v>130</v>
      </c>
      <c r="T1715" s="67"/>
      <c r="U1715" s="67"/>
      <c r="V1715" s="95">
        <v>43100</v>
      </c>
      <c r="W1715" s="92">
        <v>425570021</v>
      </c>
      <c r="X1715" s="90"/>
      <c r="Y1715" s="123"/>
      <c r="Z1715" s="30">
        <f t="shared" si="52"/>
        <v>65236.679355960063</v>
      </c>
      <c r="AA1715" s="30">
        <f t="shared" si="53"/>
        <v>0</v>
      </c>
      <c r="AB1715" t="s">
        <v>456</v>
      </c>
    </row>
    <row r="1716" spans="1:28">
      <c r="A1716" s="67" t="s">
        <v>128</v>
      </c>
      <c r="B1716" s="91">
        <v>1305124</v>
      </c>
      <c r="C1716" s="92">
        <v>4615503623</v>
      </c>
      <c r="D1716" s="93">
        <v>19175</v>
      </c>
      <c r="E1716" s="79"/>
      <c r="F1716" s="94">
        <v>154.32</v>
      </c>
      <c r="G1716" s="94">
        <v>0</v>
      </c>
      <c r="H1716" s="91">
        <v>0</v>
      </c>
      <c r="I1716" s="91">
        <v>0</v>
      </c>
      <c r="J1716" s="71">
        <v>43075</v>
      </c>
      <c r="K1716" s="71">
        <v>43100</v>
      </c>
      <c r="L1716" s="69" t="s">
        <v>108</v>
      </c>
      <c r="M1716" s="69" t="s">
        <v>109</v>
      </c>
      <c r="N1716" s="95">
        <v>43163</v>
      </c>
      <c r="O1716" s="67"/>
      <c r="P1716" s="67" t="s">
        <v>95</v>
      </c>
      <c r="Q1716" s="67" t="s">
        <v>129</v>
      </c>
      <c r="R1716" s="92" t="s">
        <v>69</v>
      </c>
      <c r="S1716" s="92" t="s">
        <v>130</v>
      </c>
      <c r="T1716" s="67"/>
      <c r="U1716" s="67"/>
      <c r="V1716" s="95">
        <v>43100</v>
      </c>
      <c r="W1716" s="92">
        <v>425570021</v>
      </c>
      <c r="X1716" s="90"/>
      <c r="Y1716" s="123"/>
      <c r="Z1716" s="30">
        <f t="shared" si="52"/>
        <v>65236.679355960063</v>
      </c>
      <c r="AA1716" s="30">
        <f t="shared" si="53"/>
        <v>0</v>
      </c>
      <c r="AB1716" t="s">
        <v>456</v>
      </c>
    </row>
    <row r="1717" spans="1:28">
      <c r="A1717" s="67" t="s">
        <v>131</v>
      </c>
      <c r="B1717" s="91">
        <v>1303951</v>
      </c>
      <c r="C1717" s="92">
        <v>4615479644</v>
      </c>
      <c r="D1717" s="93">
        <v>19175</v>
      </c>
      <c r="E1717" s="79"/>
      <c r="F1717" s="91">
        <v>154.4</v>
      </c>
      <c r="G1717" s="97">
        <v>0</v>
      </c>
      <c r="H1717" s="91">
        <v>0</v>
      </c>
      <c r="I1717" s="91">
        <v>0</v>
      </c>
      <c r="J1717" s="71">
        <v>43075</v>
      </c>
      <c r="K1717" s="71">
        <v>43100</v>
      </c>
      <c r="L1717" s="69" t="s">
        <v>119</v>
      </c>
      <c r="M1717" s="69" t="s">
        <v>109</v>
      </c>
      <c r="N1717" s="95">
        <v>43160</v>
      </c>
      <c r="O1717" s="67"/>
      <c r="P1717" s="67" t="s">
        <v>95</v>
      </c>
      <c r="Q1717" s="67" t="s">
        <v>133</v>
      </c>
      <c r="R1717" s="92" t="s">
        <v>69</v>
      </c>
      <c r="S1717" s="92" t="s">
        <v>134</v>
      </c>
      <c r="T1717" s="67"/>
      <c r="U1717" s="67"/>
      <c r="V1717" s="95">
        <v>43100</v>
      </c>
      <c r="W1717" s="92" t="s">
        <v>308</v>
      </c>
      <c r="X1717" s="90" t="s">
        <v>309</v>
      </c>
      <c r="Y1717" s="123"/>
      <c r="Z1717" s="30">
        <f t="shared" si="52"/>
        <v>65270.498266979223</v>
      </c>
      <c r="AA1717" s="30">
        <f t="shared" si="53"/>
        <v>0</v>
      </c>
      <c r="AB1717" t="s">
        <v>456</v>
      </c>
    </row>
    <row r="1718" spans="1:28">
      <c r="A1718" s="67" t="s">
        <v>131</v>
      </c>
      <c r="B1718" s="91">
        <v>1303949</v>
      </c>
      <c r="C1718" s="92">
        <v>4615479644</v>
      </c>
      <c r="D1718" s="93">
        <v>19175</v>
      </c>
      <c r="E1718" s="79"/>
      <c r="F1718" s="91">
        <v>154.4</v>
      </c>
      <c r="G1718" s="97">
        <v>0</v>
      </c>
      <c r="H1718" s="91">
        <v>0</v>
      </c>
      <c r="I1718" s="91">
        <v>0</v>
      </c>
      <c r="J1718" s="71">
        <v>43075</v>
      </c>
      <c r="K1718" s="71">
        <v>43100</v>
      </c>
      <c r="L1718" s="69" t="s">
        <v>119</v>
      </c>
      <c r="M1718" s="69" t="s">
        <v>109</v>
      </c>
      <c r="N1718" s="95">
        <v>43156</v>
      </c>
      <c r="O1718" s="67"/>
      <c r="P1718" s="67" t="s">
        <v>95</v>
      </c>
      <c r="Q1718" s="67" t="s">
        <v>133</v>
      </c>
      <c r="R1718" s="92" t="s">
        <v>69</v>
      </c>
      <c r="S1718" s="92" t="s">
        <v>134</v>
      </c>
      <c r="T1718" s="67"/>
      <c r="U1718" s="67"/>
      <c r="V1718" s="95">
        <v>43100</v>
      </c>
      <c r="W1718" s="92" t="s">
        <v>308</v>
      </c>
      <c r="X1718" s="90" t="s">
        <v>309</v>
      </c>
      <c r="Y1718" s="123"/>
      <c r="Z1718" s="30">
        <f t="shared" si="52"/>
        <v>65270.498266979223</v>
      </c>
      <c r="AA1718" s="30">
        <f t="shared" si="53"/>
        <v>0</v>
      </c>
      <c r="AB1718" t="s">
        <v>456</v>
      </c>
    </row>
    <row r="1719" spans="1:28">
      <c r="A1719" s="67" t="s">
        <v>118</v>
      </c>
      <c r="B1719" s="91">
        <v>1321799</v>
      </c>
      <c r="C1719" s="92">
        <v>4615455040</v>
      </c>
      <c r="D1719" s="93">
        <v>19175</v>
      </c>
      <c r="E1719" s="79"/>
      <c r="F1719" s="91">
        <v>10</v>
      </c>
      <c r="G1719" s="96">
        <v>5</v>
      </c>
      <c r="H1719" s="94">
        <v>0</v>
      </c>
      <c r="I1719" s="91">
        <v>0</v>
      </c>
      <c r="J1719" s="71">
        <v>43129</v>
      </c>
      <c r="K1719" s="71">
        <v>43131</v>
      </c>
      <c r="L1719" s="69" t="s">
        <v>137</v>
      </c>
      <c r="M1719" s="69" t="s">
        <v>109</v>
      </c>
      <c r="N1719" s="95">
        <v>43172</v>
      </c>
      <c r="O1719" s="67"/>
      <c r="P1719" s="67" t="s">
        <v>95</v>
      </c>
      <c r="Q1719" s="67" t="s">
        <v>120</v>
      </c>
      <c r="R1719" s="92" t="s">
        <v>69</v>
      </c>
      <c r="S1719" s="92" t="s">
        <v>121</v>
      </c>
      <c r="T1719" s="67"/>
      <c r="U1719" s="67"/>
      <c r="V1719" s="95">
        <v>43131</v>
      </c>
      <c r="W1719" s="92">
        <v>2030525</v>
      </c>
      <c r="X1719" s="90"/>
      <c r="Y1719" s="123"/>
      <c r="Z1719" s="30">
        <f t="shared" si="52"/>
        <v>4227.3638773950279</v>
      </c>
      <c r="AA1719" s="30">
        <f t="shared" si="53"/>
        <v>2113.6819386975139</v>
      </c>
      <c r="AB1719" t="s">
        <v>456</v>
      </c>
    </row>
    <row r="1720" spans="1:28">
      <c r="A1720" s="67" t="s">
        <v>118</v>
      </c>
      <c r="B1720" s="91">
        <v>1321800</v>
      </c>
      <c r="C1720" s="92">
        <v>4615455040</v>
      </c>
      <c r="D1720" s="93">
        <v>19175</v>
      </c>
      <c r="E1720" s="79"/>
      <c r="F1720" s="91">
        <v>10</v>
      </c>
      <c r="G1720" s="96">
        <v>5</v>
      </c>
      <c r="H1720" s="94">
        <v>0</v>
      </c>
      <c r="I1720" s="91">
        <v>0</v>
      </c>
      <c r="J1720" s="71">
        <v>43129</v>
      </c>
      <c r="K1720" s="71">
        <v>43131</v>
      </c>
      <c r="L1720" s="69" t="s">
        <v>137</v>
      </c>
      <c r="M1720" s="69" t="s">
        <v>109</v>
      </c>
      <c r="N1720" s="95">
        <v>43178</v>
      </c>
      <c r="O1720" s="67"/>
      <c r="P1720" s="67" t="s">
        <v>95</v>
      </c>
      <c r="Q1720" s="67" t="s">
        <v>120</v>
      </c>
      <c r="R1720" s="92" t="s">
        <v>69</v>
      </c>
      <c r="S1720" s="92" t="s">
        <v>121</v>
      </c>
      <c r="T1720" s="67"/>
      <c r="U1720" s="67"/>
      <c r="V1720" s="95">
        <v>43131</v>
      </c>
      <c r="W1720" s="92">
        <v>2030525</v>
      </c>
      <c r="X1720" s="90"/>
      <c r="Y1720" s="123"/>
      <c r="Z1720" s="30">
        <f t="shared" si="52"/>
        <v>4227.3638773950279</v>
      </c>
      <c r="AA1720" s="30">
        <f t="shared" si="53"/>
        <v>2113.6819386975139</v>
      </c>
      <c r="AB1720" t="s">
        <v>456</v>
      </c>
    </row>
    <row r="1721" spans="1:28">
      <c r="A1721" s="67" t="s">
        <v>118</v>
      </c>
      <c r="B1721" s="91">
        <v>1321797</v>
      </c>
      <c r="C1721" s="92">
        <v>4615455040</v>
      </c>
      <c r="D1721" s="93">
        <v>19175</v>
      </c>
      <c r="E1721" s="79"/>
      <c r="F1721" s="91">
        <v>10</v>
      </c>
      <c r="G1721" s="96">
        <v>5</v>
      </c>
      <c r="H1721" s="94">
        <v>0</v>
      </c>
      <c r="I1721" s="91">
        <v>0</v>
      </c>
      <c r="J1721" s="71">
        <v>43129</v>
      </c>
      <c r="K1721" s="71">
        <v>43131</v>
      </c>
      <c r="L1721" s="69" t="s">
        <v>137</v>
      </c>
      <c r="M1721" s="69" t="s">
        <v>109</v>
      </c>
      <c r="N1721" s="95">
        <v>43177</v>
      </c>
      <c r="O1721" s="67"/>
      <c r="P1721" s="67" t="s">
        <v>95</v>
      </c>
      <c r="Q1721" s="67" t="s">
        <v>120</v>
      </c>
      <c r="R1721" s="92" t="s">
        <v>69</v>
      </c>
      <c r="S1721" s="92" t="s">
        <v>121</v>
      </c>
      <c r="T1721" s="67"/>
      <c r="U1721" s="67"/>
      <c r="V1721" s="95">
        <v>43131</v>
      </c>
      <c r="W1721" s="92">
        <v>2030525</v>
      </c>
      <c r="X1721" s="90"/>
      <c r="Y1721" s="123"/>
      <c r="Z1721" s="30">
        <f t="shared" si="52"/>
        <v>4227.3638773950279</v>
      </c>
      <c r="AA1721" s="30">
        <f t="shared" si="53"/>
        <v>2113.6819386975139</v>
      </c>
      <c r="AB1721" t="s">
        <v>456</v>
      </c>
    </row>
    <row r="1722" spans="1:28">
      <c r="A1722" s="67" t="s">
        <v>118</v>
      </c>
      <c r="B1722" s="91">
        <v>1321798</v>
      </c>
      <c r="C1722" s="92">
        <v>4615455040</v>
      </c>
      <c r="D1722" s="93">
        <v>19175</v>
      </c>
      <c r="E1722" s="79"/>
      <c r="F1722" s="91">
        <v>10</v>
      </c>
      <c r="G1722" s="96">
        <v>5</v>
      </c>
      <c r="H1722" s="94">
        <v>0</v>
      </c>
      <c r="I1722" s="91">
        <v>0</v>
      </c>
      <c r="J1722" s="71">
        <v>43129</v>
      </c>
      <c r="K1722" s="71">
        <v>43131</v>
      </c>
      <c r="L1722" s="69" t="s">
        <v>137</v>
      </c>
      <c r="M1722" s="69" t="s">
        <v>109</v>
      </c>
      <c r="N1722" s="95">
        <v>43179</v>
      </c>
      <c r="O1722" s="67"/>
      <c r="P1722" s="67" t="s">
        <v>95</v>
      </c>
      <c r="Q1722" s="67" t="s">
        <v>120</v>
      </c>
      <c r="R1722" s="92" t="s">
        <v>69</v>
      </c>
      <c r="S1722" s="92" t="s">
        <v>121</v>
      </c>
      <c r="T1722" s="67"/>
      <c r="U1722" s="67"/>
      <c r="V1722" s="95">
        <v>43131</v>
      </c>
      <c r="W1722" s="92">
        <v>2030525</v>
      </c>
      <c r="X1722" s="90"/>
      <c r="Y1722" s="123"/>
      <c r="Z1722" s="30">
        <f t="shared" si="52"/>
        <v>4227.3638773950279</v>
      </c>
      <c r="AA1722" s="30">
        <f t="shared" si="53"/>
        <v>2113.6819386975139</v>
      </c>
      <c r="AB1722" t="s">
        <v>456</v>
      </c>
    </row>
    <row r="1723" spans="1:28">
      <c r="A1723" s="67" t="s">
        <v>118</v>
      </c>
      <c r="B1723" s="91">
        <v>1321795</v>
      </c>
      <c r="C1723" s="92">
        <v>4615455040</v>
      </c>
      <c r="D1723" s="93">
        <v>19175</v>
      </c>
      <c r="E1723" s="79"/>
      <c r="F1723" s="91">
        <v>10</v>
      </c>
      <c r="G1723" s="96">
        <v>5</v>
      </c>
      <c r="H1723" s="94">
        <v>0</v>
      </c>
      <c r="I1723" s="91">
        <v>0</v>
      </c>
      <c r="J1723" s="71">
        <v>43129</v>
      </c>
      <c r="K1723" s="71">
        <v>43131</v>
      </c>
      <c r="L1723" s="69" t="s">
        <v>137</v>
      </c>
      <c r="M1723" s="69" t="s">
        <v>109</v>
      </c>
      <c r="N1723" s="95">
        <v>43184</v>
      </c>
      <c r="O1723" s="67"/>
      <c r="P1723" s="67" t="s">
        <v>95</v>
      </c>
      <c r="Q1723" s="67" t="s">
        <v>120</v>
      </c>
      <c r="R1723" s="92" t="s">
        <v>69</v>
      </c>
      <c r="S1723" s="92" t="s">
        <v>121</v>
      </c>
      <c r="T1723" s="67"/>
      <c r="U1723" s="67"/>
      <c r="V1723" s="95">
        <v>43131</v>
      </c>
      <c r="W1723" s="92">
        <v>2030525</v>
      </c>
      <c r="X1723" s="90"/>
      <c r="Y1723" s="123"/>
      <c r="Z1723" s="30">
        <f t="shared" si="52"/>
        <v>4227.3638773950279</v>
      </c>
      <c r="AA1723" s="30">
        <f t="shared" si="53"/>
        <v>2113.6819386975139</v>
      </c>
      <c r="AB1723" t="s">
        <v>456</v>
      </c>
    </row>
    <row r="1724" spans="1:28">
      <c r="A1724" s="67" t="s">
        <v>118</v>
      </c>
      <c r="B1724" s="91">
        <v>1321796</v>
      </c>
      <c r="C1724" s="92">
        <v>4615455040</v>
      </c>
      <c r="D1724" s="93">
        <v>19175</v>
      </c>
      <c r="E1724" s="79"/>
      <c r="F1724" s="91">
        <v>10</v>
      </c>
      <c r="G1724" s="96">
        <v>5</v>
      </c>
      <c r="H1724" s="94">
        <v>0</v>
      </c>
      <c r="I1724" s="91">
        <v>0</v>
      </c>
      <c r="J1724" s="71">
        <v>43129</v>
      </c>
      <c r="K1724" s="71">
        <v>43131</v>
      </c>
      <c r="L1724" s="69" t="s">
        <v>137</v>
      </c>
      <c r="M1724" s="69" t="s">
        <v>109</v>
      </c>
      <c r="N1724" s="95">
        <v>43185</v>
      </c>
      <c r="O1724" s="67"/>
      <c r="P1724" s="67" t="s">
        <v>95</v>
      </c>
      <c r="Q1724" s="67" t="s">
        <v>120</v>
      </c>
      <c r="R1724" s="92" t="s">
        <v>69</v>
      </c>
      <c r="S1724" s="92" t="s">
        <v>121</v>
      </c>
      <c r="T1724" s="67"/>
      <c r="U1724" s="67"/>
      <c r="V1724" s="95">
        <v>43131</v>
      </c>
      <c r="W1724" s="92">
        <v>2030525</v>
      </c>
      <c r="X1724" s="90"/>
      <c r="Y1724" s="123"/>
      <c r="Z1724" s="30">
        <f t="shared" si="52"/>
        <v>4227.3638773950279</v>
      </c>
      <c r="AA1724" s="30">
        <f t="shared" si="53"/>
        <v>2113.6819386975139</v>
      </c>
      <c r="AB1724" t="s">
        <v>456</v>
      </c>
    </row>
    <row r="1725" spans="1:28">
      <c r="A1725" s="67" t="s">
        <v>118</v>
      </c>
      <c r="B1725" s="91">
        <v>1327326</v>
      </c>
      <c r="C1725" s="92">
        <v>4615455040</v>
      </c>
      <c r="D1725" s="93">
        <v>19175</v>
      </c>
      <c r="E1725" s="79"/>
      <c r="F1725" s="91">
        <v>10</v>
      </c>
      <c r="G1725" s="96">
        <v>5</v>
      </c>
      <c r="H1725" s="94">
        <v>0</v>
      </c>
      <c r="I1725" s="91">
        <v>0</v>
      </c>
      <c r="J1725" s="71">
        <v>43144</v>
      </c>
      <c r="K1725" s="71">
        <v>43131</v>
      </c>
      <c r="L1725" s="69" t="s">
        <v>137</v>
      </c>
      <c r="M1725" s="69" t="s">
        <v>109</v>
      </c>
      <c r="N1725" s="95">
        <v>43200</v>
      </c>
      <c r="O1725" s="67"/>
      <c r="P1725" s="67" t="s">
        <v>95</v>
      </c>
      <c r="Q1725" s="67" t="s">
        <v>120</v>
      </c>
      <c r="R1725" s="92" t="s">
        <v>69</v>
      </c>
      <c r="S1725" s="92" t="s">
        <v>121</v>
      </c>
      <c r="T1725" s="67"/>
      <c r="U1725" s="67"/>
      <c r="V1725" s="95">
        <v>43131</v>
      </c>
      <c r="W1725" s="92">
        <v>2030525</v>
      </c>
      <c r="X1725" s="90"/>
      <c r="Y1725" s="123"/>
      <c r="Z1725" s="30">
        <f t="shared" si="52"/>
        <v>4227.3638773950279</v>
      </c>
      <c r="AA1725" s="30">
        <f t="shared" si="53"/>
        <v>2113.6819386975139</v>
      </c>
      <c r="AB1725" t="s">
        <v>456</v>
      </c>
    </row>
    <row r="1726" spans="1:28">
      <c r="A1726" s="67" t="s">
        <v>118</v>
      </c>
      <c r="B1726" s="91">
        <v>1327327</v>
      </c>
      <c r="C1726" s="92">
        <v>4615455040</v>
      </c>
      <c r="D1726" s="93">
        <v>19175</v>
      </c>
      <c r="E1726" s="79"/>
      <c r="F1726" s="91">
        <v>10</v>
      </c>
      <c r="G1726" s="96">
        <v>5</v>
      </c>
      <c r="H1726" s="94">
        <v>0</v>
      </c>
      <c r="I1726" s="91">
        <v>0</v>
      </c>
      <c r="J1726" s="71">
        <v>43144</v>
      </c>
      <c r="K1726" s="71">
        <v>43131</v>
      </c>
      <c r="L1726" s="69" t="s">
        <v>137</v>
      </c>
      <c r="M1726" s="69" t="s">
        <v>109</v>
      </c>
      <c r="N1726" s="95">
        <v>43202</v>
      </c>
      <c r="O1726" s="67"/>
      <c r="P1726" s="67" t="s">
        <v>95</v>
      </c>
      <c r="Q1726" s="67" t="s">
        <v>120</v>
      </c>
      <c r="R1726" s="92" t="s">
        <v>69</v>
      </c>
      <c r="S1726" s="92" t="s">
        <v>121</v>
      </c>
      <c r="T1726" s="67"/>
      <c r="U1726" s="67"/>
      <c r="V1726" s="95">
        <v>43131</v>
      </c>
      <c r="W1726" s="92">
        <v>2030525</v>
      </c>
      <c r="X1726" s="90"/>
      <c r="Y1726" s="123"/>
      <c r="Z1726" s="30">
        <f t="shared" si="52"/>
        <v>4227.3638773950279</v>
      </c>
      <c r="AA1726" s="30">
        <f t="shared" si="53"/>
        <v>2113.6819386975139</v>
      </c>
      <c r="AB1726" t="s">
        <v>456</v>
      </c>
    </row>
    <row r="1727" spans="1:28">
      <c r="A1727" s="67" t="s">
        <v>118</v>
      </c>
      <c r="B1727" s="91">
        <v>1327326</v>
      </c>
      <c r="C1727" s="92">
        <v>4615455040</v>
      </c>
      <c r="D1727" s="93">
        <v>19175</v>
      </c>
      <c r="E1727" s="79"/>
      <c r="F1727" s="91">
        <v>10</v>
      </c>
      <c r="G1727" s="96">
        <v>5</v>
      </c>
      <c r="H1727" s="94">
        <v>0</v>
      </c>
      <c r="I1727" s="91">
        <v>0</v>
      </c>
      <c r="J1727" s="71">
        <v>43144</v>
      </c>
      <c r="K1727" s="71">
        <v>43131</v>
      </c>
      <c r="L1727" s="69" t="s">
        <v>137</v>
      </c>
      <c r="M1727" s="69" t="s">
        <v>299</v>
      </c>
      <c r="N1727" s="98"/>
      <c r="O1727" s="67"/>
      <c r="P1727" s="67" t="s">
        <v>95</v>
      </c>
      <c r="Q1727" s="67" t="s">
        <v>120</v>
      </c>
      <c r="R1727" s="92" t="s">
        <v>69</v>
      </c>
      <c r="S1727" s="92" t="s">
        <v>121</v>
      </c>
      <c r="T1727" s="67"/>
      <c r="U1727" s="67"/>
      <c r="V1727" s="95">
        <v>43131</v>
      </c>
      <c r="W1727" s="92">
        <v>2030525</v>
      </c>
      <c r="X1727" s="90"/>
      <c r="Y1727" s="123"/>
      <c r="Z1727" s="30">
        <f t="shared" si="52"/>
        <v>4227.3638773950279</v>
      </c>
      <c r="AA1727" s="30">
        <f t="shared" si="53"/>
        <v>2113.6819386975139</v>
      </c>
      <c r="AB1727" t="s">
        <v>456</v>
      </c>
    </row>
    <row r="1728" spans="1:28">
      <c r="A1728" s="67" t="s">
        <v>118</v>
      </c>
      <c r="B1728" s="91">
        <v>1327328</v>
      </c>
      <c r="C1728" s="92">
        <v>4615455040</v>
      </c>
      <c r="D1728" s="93">
        <v>19175</v>
      </c>
      <c r="E1728" s="79"/>
      <c r="F1728" s="91">
        <v>10</v>
      </c>
      <c r="G1728" s="96">
        <v>5</v>
      </c>
      <c r="H1728" s="94">
        <v>0</v>
      </c>
      <c r="I1728" s="91">
        <v>0</v>
      </c>
      <c r="J1728" s="71">
        <v>43144</v>
      </c>
      <c r="K1728" s="71">
        <v>43131</v>
      </c>
      <c r="L1728" s="69" t="s">
        <v>137</v>
      </c>
      <c r="M1728" s="69" t="s">
        <v>109</v>
      </c>
      <c r="N1728" s="95">
        <v>43207</v>
      </c>
      <c r="O1728" s="67"/>
      <c r="P1728" s="67" t="s">
        <v>95</v>
      </c>
      <c r="Q1728" s="67" t="s">
        <v>120</v>
      </c>
      <c r="R1728" s="92" t="s">
        <v>69</v>
      </c>
      <c r="S1728" s="92" t="s">
        <v>121</v>
      </c>
      <c r="T1728" s="67"/>
      <c r="U1728" s="67"/>
      <c r="V1728" s="95">
        <v>43131</v>
      </c>
      <c r="W1728" s="92">
        <v>2030525</v>
      </c>
      <c r="X1728" s="90"/>
      <c r="Y1728" s="123"/>
      <c r="Z1728" s="30">
        <f t="shared" si="52"/>
        <v>4227.3638773950279</v>
      </c>
      <c r="AA1728" s="30">
        <f t="shared" si="53"/>
        <v>2113.6819386975139</v>
      </c>
      <c r="AB1728" t="s">
        <v>456</v>
      </c>
    </row>
    <row r="1729" spans="1:28">
      <c r="A1729" s="67" t="s">
        <v>118</v>
      </c>
      <c r="B1729" s="91">
        <v>1327329</v>
      </c>
      <c r="C1729" s="92">
        <v>4615455040</v>
      </c>
      <c r="D1729" s="93">
        <v>19175</v>
      </c>
      <c r="E1729" s="79"/>
      <c r="F1729" s="91">
        <v>10</v>
      </c>
      <c r="G1729" s="96">
        <v>5</v>
      </c>
      <c r="H1729" s="94">
        <v>0</v>
      </c>
      <c r="I1729" s="91">
        <v>0</v>
      </c>
      <c r="J1729" s="71">
        <v>43144</v>
      </c>
      <c r="K1729" s="71">
        <v>43131</v>
      </c>
      <c r="L1729" s="69" t="s">
        <v>137</v>
      </c>
      <c r="M1729" s="69" t="s">
        <v>299</v>
      </c>
      <c r="N1729" s="95"/>
      <c r="O1729" s="67"/>
      <c r="P1729" s="67" t="s">
        <v>95</v>
      </c>
      <c r="Q1729" s="67" t="s">
        <v>120</v>
      </c>
      <c r="R1729" s="92" t="s">
        <v>69</v>
      </c>
      <c r="S1729" s="92" t="s">
        <v>121</v>
      </c>
      <c r="T1729" s="67"/>
      <c r="U1729" s="67"/>
      <c r="V1729" s="95">
        <v>43131</v>
      </c>
      <c r="W1729" s="92">
        <v>2030525</v>
      </c>
      <c r="X1729" s="90"/>
      <c r="Y1729" s="123"/>
      <c r="Z1729" s="30">
        <f t="shared" si="52"/>
        <v>4227.3638773950279</v>
      </c>
      <c r="AA1729" s="30">
        <f t="shared" si="53"/>
        <v>2113.6819386975139</v>
      </c>
      <c r="AB1729" t="s">
        <v>456</v>
      </c>
    </row>
    <row r="1730" spans="1:28">
      <c r="A1730" s="67" t="s">
        <v>118</v>
      </c>
      <c r="B1730" s="91">
        <v>1327330</v>
      </c>
      <c r="C1730" s="92">
        <v>4615455040</v>
      </c>
      <c r="D1730" s="93">
        <v>19175</v>
      </c>
      <c r="E1730" s="79"/>
      <c r="F1730" s="91">
        <v>10</v>
      </c>
      <c r="G1730" s="96">
        <v>5</v>
      </c>
      <c r="H1730" s="94">
        <v>0</v>
      </c>
      <c r="I1730" s="91">
        <v>0</v>
      </c>
      <c r="J1730" s="71">
        <v>43144</v>
      </c>
      <c r="K1730" s="71">
        <v>43131</v>
      </c>
      <c r="L1730" s="69" t="s">
        <v>137</v>
      </c>
      <c r="M1730" s="69" t="s">
        <v>299</v>
      </c>
      <c r="N1730" s="98"/>
      <c r="O1730" s="67"/>
      <c r="P1730" s="67" t="s">
        <v>95</v>
      </c>
      <c r="Q1730" s="67" t="s">
        <v>120</v>
      </c>
      <c r="R1730" s="92" t="s">
        <v>69</v>
      </c>
      <c r="S1730" s="92" t="s">
        <v>121</v>
      </c>
      <c r="T1730" s="67"/>
      <c r="U1730" s="67"/>
      <c r="V1730" s="95">
        <v>43131</v>
      </c>
      <c r="W1730" s="92">
        <v>2030525</v>
      </c>
      <c r="X1730" s="90"/>
      <c r="Y1730" s="123"/>
      <c r="Z1730" s="30">
        <f t="shared" si="52"/>
        <v>4227.3638773950279</v>
      </c>
      <c r="AA1730" s="30">
        <f t="shared" si="53"/>
        <v>2113.6819386975139</v>
      </c>
      <c r="AB1730" t="s">
        <v>456</v>
      </c>
    </row>
    <row r="1731" spans="1:28">
      <c r="A1731" s="67" t="s">
        <v>136</v>
      </c>
      <c r="B1731" s="91">
        <v>1330552</v>
      </c>
      <c r="C1731" s="92">
        <v>4615461221</v>
      </c>
      <c r="D1731" s="93">
        <v>19175</v>
      </c>
      <c r="E1731" s="79"/>
      <c r="F1731" s="91">
        <v>10</v>
      </c>
      <c r="G1731" s="96">
        <v>5</v>
      </c>
      <c r="H1731" s="94">
        <v>0</v>
      </c>
      <c r="I1731" s="91">
        <v>0</v>
      </c>
      <c r="J1731" s="71">
        <v>43148</v>
      </c>
      <c r="K1731" s="71">
        <v>43131</v>
      </c>
      <c r="L1731" s="69" t="s">
        <v>119</v>
      </c>
      <c r="M1731" s="69" t="s">
        <v>109</v>
      </c>
      <c r="N1731" s="95">
        <v>43212</v>
      </c>
      <c r="O1731" s="67"/>
      <c r="P1731" s="67" t="s">
        <v>95</v>
      </c>
      <c r="Q1731" s="67" t="s">
        <v>129</v>
      </c>
      <c r="R1731" s="92" t="s">
        <v>69</v>
      </c>
      <c r="S1731" s="92" t="s">
        <v>138</v>
      </c>
      <c r="T1731" s="67"/>
      <c r="U1731" s="67"/>
      <c r="V1731" s="95">
        <v>43131</v>
      </c>
      <c r="W1731" s="92">
        <v>415571327</v>
      </c>
      <c r="X1731" s="90"/>
      <c r="Y1731" s="123"/>
      <c r="Z1731" s="30">
        <f t="shared" ref="Z1731:Z1794" si="54">CONVERT(D1731,"kg","lbm")*F1731/100</f>
        <v>4227.3638773950279</v>
      </c>
      <c r="AA1731" s="30">
        <f t="shared" ref="AA1731:AA1794" si="55">CONVERT(D1731,"kg","lbm")*G1731/100</f>
        <v>2113.6819386975139</v>
      </c>
      <c r="AB1731" t="s">
        <v>456</v>
      </c>
    </row>
    <row r="1732" spans="1:28">
      <c r="A1732" s="67" t="s">
        <v>136</v>
      </c>
      <c r="B1732" s="91"/>
      <c r="C1732" s="92">
        <v>4615461221</v>
      </c>
      <c r="D1732" s="93">
        <v>19175</v>
      </c>
      <c r="E1732" s="79"/>
      <c r="F1732" s="91">
        <v>10</v>
      </c>
      <c r="G1732" s="96">
        <v>5</v>
      </c>
      <c r="H1732" s="94">
        <v>0</v>
      </c>
      <c r="I1732" s="91">
        <v>0</v>
      </c>
      <c r="J1732" s="71"/>
      <c r="K1732" s="71">
        <v>43131</v>
      </c>
      <c r="L1732" s="69" t="s">
        <v>80</v>
      </c>
      <c r="M1732" s="69" t="s">
        <v>286</v>
      </c>
      <c r="N1732" s="95"/>
      <c r="O1732" s="67"/>
      <c r="P1732" s="67" t="s">
        <v>95</v>
      </c>
      <c r="Q1732" s="67" t="s">
        <v>129</v>
      </c>
      <c r="R1732" s="92" t="s">
        <v>69</v>
      </c>
      <c r="S1732" s="92" t="s">
        <v>138</v>
      </c>
      <c r="T1732" s="67"/>
      <c r="U1732" s="67"/>
      <c r="V1732" s="95">
        <v>43131</v>
      </c>
      <c r="W1732" s="92">
        <v>415571327</v>
      </c>
      <c r="X1732" s="90"/>
      <c r="Y1732" s="123"/>
      <c r="Z1732" s="30">
        <f t="shared" si="54"/>
        <v>4227.3638773950279</v>
      </c>
      <c r="AA1732" s="30">
        <f t="shared" si="55"/>
        <v>2113.6819386975139</v>
      </c>
      <c r="AB1732" t="s">
        <v>457</v>
      </c>
    </row>
    <row r="1733" spans="1:28">
      <c r="A1733" s="67" t="s">
        <v>136</v>
      </c>
      <c r="B1733" s="91"/>
      <c r="C1733" s="92">
        <v>4615461221</v>
      </c>
      <c r="D1733" s="93">
        <v>19175</v>
      </c>
      <c r="E1733" s="79"/>
      <c r="F1733" s="91">
        <v>10</v>
      </c>
      <c r="G1733" s="96">
        <v>5</v>
      </c>
      <c r="H1733" s="94">
        <v>0</v>
      </c>
      <c r="I1733" s="91">
        <v>0</v>
      </c>
      <c r="J1733" s="71"/>
      <c r="K1733" s="71">
        <v>43131</v>
      </c>
      <c r="L1733" s="69" t="s">
        <v>80</v>
      </c>
      <c r="M1733" s="69" t="s">
        <v>286</v>
      </c>
      <c r="N1733" s="95"/>
      <c r="O1733" s="67"/>
      <c r="P1733" s="67" t="s">
        <v>95</v>
      </c>
      <c r="Q1733" s="67" t="s">
        <v>129</v>
      </c>
      <c r="R1733" s="92" t="s">
        <v>69</v>
      </c>
      <c r="S1733" s="92" t="s">
        <v>138</v>
      </c>
      <c r="T1733" s="67"/>
      <c r="U1733" s="67"/>
      <c r="V1733" s="95">
        <v>43131</v>
      </c>
      <c r="W1733" s="92">
        <v>415571327</v>
      </c>
      <c r="X1733" s="90"/>
      <c r="Y1733" s="123"/>
      <c r="Z1733" s="30">
        <f t="shared" si="54"/>
        <v>4227.3638773950279</v>
      </c>
      <c r="AA1733" s="30">
        <f t="shared" si="55"/>
        <v>2113.6819386975139</v>
      </c>
      <c r="AB1733" t="s">
        <v>457</v>
      </c>
    </row>
    <row r="1734" spans="1:28">
      <c r="A1734" s="67" t="s">
        <v>136</v>
      </c>
      <c r="B1734" s="91"/>
      <c r="C1734" s="92">
        <v>4615461221</v>
      </c>
      <c r="D1734" s="93">
        <v>19175</v>
      </c>
      <c r="E1734" s="79"/>
      <c r="F1734" s="91">
        <v>10</v>
      </c>
      <c r="G1734" s="96">
        <v>5</v>
      </c>
      <c r="H1734" s="94">
        <v>0</v>
      </c>
      <c r="I1734" s="91">
        <v>0</v>
      </c>
      <c r="J1734" s="71"/>
      <c r="K1734" s="71">
        <v>43131</v>
      </c>
      <c r="L1734" s="69" t="s">
        <v>80</v>
      </c>
      <c r="M1734" s="69" t="s">
        <v>286</v>
      </c>
      <c r="N1734" s="95"/>
      <c r="O1734" s="67"/>
      <c r="P1734" s="67" t="s">
        <v>95</v>
      </c>
      <c r="Q1734" s="67" t="s">
        <v>129</v>
      </c>
      <c r="R1734" s="92" t="s">
        <v>69</v>
      </c>
      <c r="S1734" s="92" t="s">
        <v>138</v>
      </c>
      <c r="T1734" s="67"/>
      <c r="U1734" s="67"/>
      <c r="V1734" s="95">
        <v>43131</v>
      </c>
      <c r="W1734" s="92">
        <v>415571327</v>
      </c>
      <c r="X1734" s="90"/>
      <c r="Y1734" s="123"/>
      <c r="Z1734" s="30">
        <f t="shared" si="54"/>
        <v>4227.3638773950279</v>
      </c>
      <c r="AA1734" s="30">
        <f t="shared" si="55"/>
        <v>2113.6819386975139</v>
      </c>
      <c r="AB1734" t="s">
        <v>457</v>
      </c>
    </row>
    <row r="1735" spans="1:28">
      <c r="A1735" s="67" t="s">
        <v>136</v>
      </c>
      <c r="B1735" s="91"/>
      <c r="C1735" s="92">
        <v>4615461221</v>
      </c>
      <c r="D1735" s="93">
        <v>19175</v>
      </c>
      <c r="E1735" s="79"/>
      <c r="F1735" s="91">
        <v>10</v>
      </c>
      <c r="G1735" s="96">
        <v>5</v>
      </c>
      <c r="H1735" s="94">
        <v>0</v>
      </c>
      <c r="I1735" s="91">
        <v>0</v>
      </c>
      <c r="J1735" s="71"/>
      <c r="K1735" s="71">
        <v>43131</v>
      </c>
      <c r="L1735" s="69" t="s">
        <v>80</v>
      </c>
      <c r="M1735" s="69" t="s">
        <v>286</v>
      </c>
      <c r="N1735" s="95"/>
      <c r="O1735" s="67"/>
      <c r="P1735" s="67" t="s">
        <v>95</v>
      </c>
      <c r="Q1735" s="67" t="s">
        <v>129</v>
      </c>
      <c r="R1735" s="92" t="s">
        <v>69</v>
      </c>
      <c r="S1735" s="92" t="s">
        <v>138</v>
      </c>
      <c r="T1735" s="67"/>
      <c r="U1735" s="67"/>
      <c r="V1735" s="95">
        <v>43131</v>
      </c>
      <c r="W1735" s="92">
        <v>415571327</v>
      </c>
      <c r="X1735" s="90"/>
      <c r="Y1735" s="123"/>
      <c r="Z1735" s="30">
        <f t="shared" si="54"/>
        <v>4227.3638773950279</v>
      </c>
      <c r="AA1735" s="30">
        <f t="shared" si="55"/>
        <v>2113.6819386975139</v>
      </c>
      <c r="AB1735" t="s">
        <v>457</v>
      </c>
    </row>
    <row r="1736" spans="1:28">
      <c r="A1736" s="67" t="s">
        <v>136</v>
      </c>
      <c r="B1736" s="91">
        <v>1314149</v>
      </c>
      <c r="C1736" s="92">
        <v>4615487208</v>
      </c>
      <c r="D1736" s="93">
        <v>19175</v>
      </c>
      <c r="E1736" s="79"/>
      <c r="F1736" s="91">
        <v>10</v>
      </c>
      <c r="G1736" s="91">
        <v>0</v>
      </c>
      <c r="H1736" s="91">
        <v>0</v>
      </c>
      <c r="I1736" s="91">
        <v>0</v>
      </c>
      <c r="J1736" s="71">
        <v>42972</v>
      </c>
      <c r="K1736" s="71">
        <v>43131</v>
      </c>
      <c r="L1736" s="69" t="s">
        <v>137</v>
      </c>
      <c r="M1736" s="69" t="s">
        <v>109</v>
      </c>
      <c r="N1736" s="95">
        <v>43151</v>
      </c>
      <c r="O1736" s="67"/>
      <c r="P1736" s="67" t="s">
        <v>95</v>
      </c>
      <c r="Q1736" s="67" t="s">
        <v>129</v>
      </c>
      <c r="R1736" s="92" t="s">
        <v>69</v>
      </c>
      <c r="S1736" s="92" t="s">
        <v>138</v>
      </c>
      <c r="T1736" s="67"/>
      <c r="U1736" s="67"/>
      <c r="V1736" s="95">
        <v>43131</v>
      </c>
      <c r="W1736" s="92">
        <v>415571474</v>
      </c>
      <c r="X1736" s="90"/>
      <c r="Y1736" s="123"/>
      <c r="Z1736" s="30">
        <f t="shared" si="54"/>
        <v>4227.3638773950279</v>
      </c>
      <c r="AA1736" s="30">
        <f t="shared" si="55"/>
        <v>0</v>
      </c>
      <c r="AB1736" t="s">
        <v>456</v>
      </c>
    </row>
    <row r="1737" spans="1:28">
      <c r="A1737" s="67" t="s">
        <v>136</v>
      </c>
      <c r="B1737" s="91">
        <v>1314148</v>
      </c>
      <c r="C1737" s="92">
        <v>4615487208</v>
      </c>
      <c r="D1737" s="93">
        <v>19175</v>
      </c>
      <c r="E1737" s="79"/>
      <c r="F1737" s="91">
        <v>10</v>
      </c>
      <c r="G1737" s="91">
        <v>0</v>
      </c>
      <c r="H1737" s="91">
        <v>0</v>
      </c>
      <c r="I1737" s="91">
        <v>0</v>
      </c>
      <c r="J1737" s="71">
        <v>42972</v>
      </c>
      <c r="K1737" s="71">
        <v>43131</v>
      </c>
      <c r="L1737" s="69" t="s">
        <v>137</v>
      </c>
      <c r="M1737" s="69" t="s">
        <v>109</v>
      </c>
      <c r="N1737" s="95">
        <v>43153</v>
      </c>
      <c r="O1737" s="67"/>
      <c r="P1737" s="67" t="s">
        <v>95</v>
      </c>
      <c r="Q1737" s="67" t="s">
        <v>129</v>
      </c>
      <c r="R1737" s="92" t="s">
        <v>69</v>
      </c>
      <c r="S1737" s="92" t="s">
        <v>138</v>
      </c>
      <c r="T1737" s="67"/>
      <c r="U1737" s="67"/>
      <c r="V1737" s="95">
        <v>43131</v>
      </c>
      <c r="W1737" s="92">
        <v>415571474</v>
      </c>
      <c r="X1737" s="90"/>
      <c r="Y1737" s="123"/>
      <c r="Z1737" s="30">
        <f t="shared" si="54"/>
        <v>4227.3638773950279</v>
      </c>
      <c r="AA1737" s="30">
        <f t="shared" si="55"/>
        <v>0</v>
      </c>
      <c r="AB1737" t="s">
        <v>456</v>
      </c>
    </row>
    <row r="1738" spans="1:28">
      <c r="A1738" s="67" t="s">
        <v>136</v>
      </c>
      <c r="B1738" s="91">
        <v>1314147</v>
      </c>
      <c r="C1738" s="92">
        <v>4615487208</v>
      </c>
      <c r="D1738" s="93">
        <v>19175</v>
      </c>
      <c r="E1738" s="79"/>
      <c r="F1738" s="91">
        <v>10</v>
      </c>
      <c r="G1738" s="91">
        <v>0</v>
      </c>
      <c r="H1738" s="91">
        <v>0</v>
      </c>
      <c r="I1738" s="91">
        <v>0</v>
      </c>
      <c r="J1738" s="71">
        <v>42972</v>
      </c>
      <c r="K1738" s="71">
        <v>43131</v>
      </c>
      <c r="L1738" s="69" t="s">
        <v>137</v>
      </c>
      <c r="M1738" s="69" t="s">
        <v>109</v>
      </c>
      <c r="N1738" s="95">
        <v>43160</v>
      </c>
      <c r="O1738" s="67"/>
      <c r="P1738" s="67" t="s">
        <v>95</v>
      </c>
      <c r="Q1738" s="67" t="s">
        <v>129</v>
      </c>
      <c r="R1738" s="92" t="s">
        <v>69</v>
      </c>
      <c r="S1738" s="92" t="s">
        <v>138</v>
      </c>
      <c r="T1738" s="67"/>
      <c r="U1738" s="67"/>
      <c r="V1738" s="95">
        <v>43131</v>
      </c>
      <c r="W1738" s="92">
        <v>415571474</v>
      </c>
      <c r="X1738" s="90"/>
      <c r="Y1738" s="123"/>
      <c r="Z1738" s="30">
        <f t="shared" si="54"/>
        <v>4227.3638773950279</v>
      </c>
      <c r="AA1738" s="30">
        <f t="shared" si="55"/>
        <v>0</v>
      </c>
      <c r="AB1738" t="s">
        <v>456</v>
      </c>
    </row>
    <row r="1739" spans="1:28">
      <c r="A1739" s="67" t="s">
        <v>122</v>
      </c>
      <c r="B1739" s="91">
        <v>1315418</v>
      </c>
      <c r="C1739" s="92">
        <v>4615483705</v>
      </c>
      <c r="D1739" s="93">
        <v>19200</v>
      </c>
      <c r="E1739" s="79"/>
      <c r="F1739" s="91">
        <v>16</v>
      </c>
      <c r="G1739" s="96">
        <v>5</v>
      </c>
      <c r="H1739" s="91">
        <v>0</v>
      </c>
      <c r="I1739" s="91">
        <v>0</v>
      </c>
      <c r="J1739" s="71"/>
      <c r="K1739" s="71">
        <v>43131</v>
      </c>
      <c r="L1739" s="69" t="s">
        <v>80</v>
      </c>
      <c r="M1739" s="69" t="s">
        <v>109</v>
      </c>
      <c r="N1739" s="95">
        <v>43139</v>
      </c>
      <c r="O1739" s="67"/>
      <c r="P1739" s="67" t="s">
        <v>95</v>
      </c>
      <c r="Q1739" s="67" t="s">
        <v>120</v>
      </c>
      <c r="R1739" s="92" t="s">
        <v>69</v>
      </c>
      <c r="S1739" s="92" t="s">
        <v>293</v>
      </c>
      <c r="T1739" s="67"/>
      <c r="U1739" s="67"/>
      <c r="V1739" s="95">
        <v>43131</v>
      </c>
      <c r="W1739" s="92">
        <v>2029401</v>
      </c>
      <c r="X1739" s="90" t="s">
        <v>310</v>
      </c>
      <c r="Y1739" s="123"/>
      <c r="Z1739" s="30">
        <f t="shared" si="54"/>
        <v>6772.6006943194379</v>
      </c>
      <c r="AA1739" s="30">
        <f t="shared" si="55"/>
        <v>2116.4377169748245</v>
      </c>
      <c r="AB1739" t="s">
        <v>456</v>
      </c>
    </row>
    <row r="1740" spans="1:28">
      <c r="A1740" s="67" t="s">
        <v>122</v>
      </c>
      <c r="B1740" s="91"/>
      <c r="C1740" s="92">
        <v>4615466382</v>
      </c>
      <c r="D1740" s="93">
        <v>19200</v>
      </c>
      <c r="E1740" s="79"/>
      <c r="F1740" s="91">
        <v>16</v>
      </c>
      <c r="G1740" s="96">
        <v>5</v>
      </c>
      <c r="H1740" s="91">
        <v>0</v>
      </c>
      <c r="I1740" s="91">
        <v>0</v>
      </c>
      <c r="J1740" s="71"/>
      <c r="K1740" s="71">
        <v>43131</v>
      </c>
      <c r="L1740" s="69" t="s">
        <v>80</v>
      </c>
      <c r="M1740" s="89" t="s">
        <v>282</v>
      </c>
      <c r="N1740" s="89"/>
      <c r="O1740" s="67"/>
      <c r="P1740" s="67" t="s">
        <v>95</v>
      </c>
      <c r="Q1740" s="67" t="s">
        <v>120</v>
      </c>
      <c r="R1740" s="92" t="s">
        <v>69</v>
      </c>
      <c r="S1740" s="92" t="s">
        <v>293</v>
      </c>
      <c r="T1740" s="67"/>
      <c r="U1740" s="67"/>
      <c r="V1740" s="95">
        <v>43131</v>
      </c>
      <c r="W1740" s="92" t="s">
        <v>311</v>
      </c>
      <c r="X1740" s="90" t="s">
        <v>312</v>
      </c>
      <c r="Y1740" s="123"/>
      <c r="Z1740" s="30">
        <f t="shared" si="54"/>
        <v>6772.6006943194379</v>
      </c>
      <c r="AA1740" s="30">
        <f t="shared" si="55"/>
        <v>2116.4377169748245</v>
      </c>
      <c r="AB1740" t="s">
        <v>457</v>
      </c>
    </row>
    <row r="1741" spans="1:28">
      <c r="A1741" s="67" t="s">
        <v>122</v>
      </c>
      <c r="B1741" s="91">
        <v>1315420</v>
      </c>
      <c r="C1741" s="92">
        <v>4615474843</v>
      </c>
      <c r="D1741" s="93">
        <v>19200</v>
      </c>
      <c r="E1741" s="79"/>
      <c r="F1741" s="91">
        <v>16</v>
      </c>
      <c r="G1741" s="96">
        <v>5</v>
      </c>
      <c r="H1741" s="94">
        <v>0</v>
      </c>
      <c r="I1741" s="91">
        <v>0</v>
      </c>
      <c r="J1741" s="71">
        <v>42991</v>
      </c>
      <c r="K1741" s="71">
        <v>43131</v>
      </c>
      <c r="L1741" s="69" t="s">
        <v>119</v>
      </c>
      <c r="M1741" s="69" t="s">
        <v>109</v>
      </c>
      <c r="N1741" s="95">
        <v>43153</v>
      </c>
      <c r="O1741" s="67"/>
      <c r="P1741" s="67" t="s">
        <v>95</v>
      </c>
      <c r="Q1741" s="67" t="s">
        <v>120</v>
      </c>
      <c r="R1741" s="92" t="s">
        <v>69</v>
      </c>
      <c r="S1741" s="92" t="s">
        <v>123</v>
      </c>
      <c r="T1741" s="67"/>
      <c r="U1741" s="67"/>
      <c r="V1741" s="95">
        <v>43131</v>
      </c>
      <c r="W1741" s="92">
        <v>2023110</v>
      </c>
      <c r="X1741" s="90" t="s">
        <v>313</v>
      </c>
      <c r="Y1741" s="123"/>
      <c r="Z1741" s="30">
        <f t="shared" si="54"/>
        <v>6772.6006943194379</v>
      </c>
      <c r="AA1741" s="30">
        <f t="shared" si="55"/>
        <v>2116.4377169748245</v>
      </c>
      <c r="AB1741" t="s">
        <v>456</v>
      </c>
    </row>
    <row r="1742" spans="1:28">
      <c r="A1742" s="67" t="s">
        <v>122</v>
      </c>
      <c r="B1742" s="91">
        <v>1324662</v>
      </c>
      <c r="C1742" s="92">
        <v>4615463472</v>
      </c>
      <c r="D1742" s="93">
        <v>19175</v>
      </c>
      <c r="E1742" s="79"/>
      <c r="F1742" s="91">
        <v>16</v>
      </c>
      <c r="G1742" s="96">
        <v>5</v>
      </c>
      <c r="H1742" s="94">
        <v>0</v>
      </c>
      <c r="I1742" s="91">
        <v>0</v>
      </c>
      <c r="J1742" s="71">
        <v>43129</v>
      </c>
      <c r="K1742" s="71">
        <v>43131</v>
      </c>
      <c r="L1742" s="69" t="s">
        <v>119</v>
      </c>
      <c r="M1742" s="69" t="s">
        <v>109</v>
      </c>
      <c r="N1742" s="95">
        <v>43212</v>
      </c>
      <c r="O1742" s="67"/>
      <c r="P1742" s="67" t="s">
        <v>95</v>
      </c>
      <c r="Q1742" s="67" t="s">
        <v>120</v>
      </c>
      <c r="R1742" s="92" t="s">
        <v>69</v>
      </c>
      <c r="S1742" s="92" t="s">
        <v>123</v>
      </c>
      <c r="T1742" s="67"/>
      <c r="U1742" s="67"/>
      <c r="V1742" s="95">
        <v>43131</v>
      </c>
      <c r="W1742" s="92">
        <v>2030466</v>
      </c>
      <c r="X1742" s="90"/>
      <c r="Y1742" s="123"/>
      <c r="Z1742" s="30">
        <f t="shared" si="54"/>
        <v>6763.7822038320437</v>
      </c>
      <c r="AA1742" s="30">
        <f t="shared" si="55"/>
        <v>2113.6819386975139</v>
      </c>
      <c r="AB1742" t="s">
        <v>456</v>
      </c>
    </row>
    <row r="1743" spans="1:28">
      <c r="A1743" s="67" t="s">
        <v>122</v>
      </c>
      <c r="B1743" s="91">
        <v>1324665</v>
      </c>
      <c r="C1743" s="92">
        <v>4615463472</v>
      </c>
      <c r="D1743" s="93">
        <v>19175</v>
      </c>
      <c r="E1743" s="79"/>
      <c r="F1743" s="91">
        <v>16</v>
      </c>
      <c r="G1743" s="96">
        <v>5</v>
      </c>
      <c r="H1743" s="94">
        <v>0</v>
      </c>
      <c r="I1743" s="91">
        <v>0</v>
      </c>
      <c r="J1743" s="71">
        <v>43129</v>
      </c>
      <c r="K1743" s="71">
        <v>43131</v>
      </c>
      <c r="L1743" s="69" t="s">
        <v>119</v>
      </c>
      <c r="M1743" s="69" t="s">
        <v>299</v>
      </c>
      <c r="N1743" s="95"/>
      <c r="O1743" s="67"/>
      <c r="P1743" s="67" t="s">
        <v>95</v>
      </c>
      <c r="Q1743" s="67" t="s">
        <v>120</v>
      </c>
      <c r="R1743" s="92" t="s">
        <v>69</v>
      </c>
      <c r="S1743" s="92" t="s">
        <v>123</v>
      </c>
      <c r="T1743" s="67"/>
      <c r="U1743" s="67"/>
      <c r="V1743" s="95">
        <v>43131</v>
      </c>
      <c r="W1743" s="92">
        <v>2030466</v>
      </c>
      <c r="X1743" s="90"/>
      <c r="Y1743" s="123"/>
      <c r="Z1743" s="30">
        <f t="shared" si="54"/>
        <v>6763.7822038320437</v>
      </c>
      <c r="AA1743" s="30">
        <f t="shared" si="55"/>
        <v>2113.6819386975139</v>
      </c>
      <c r="AB1743" t="s">
        <v>456</v>
      </c>
    </row>
    <row r="1744" spans="1:28">
      <c r="A1744" s="67" t="s">
        <v>122</v>
      </c>
      <c r="B1744" s="91">
        <v>1324663</v>
      </c>
      <c r="C1744" s="92">
        <v>4615463472</v>
      </c>
      <c r="D1744" s="93">
        <v>19175</v>
      </c>
      <c r="E1744" s="79"/>
      <c r="F1744" s="91">
        <v>16</v>
      </c>
      <c r="G1744" s="96">
        <v>5</v>
      </c>
      <c r="H1744" s="94">
        <v>0</v>
      </c>
      <c r="I1744" s="91">
        <v>0</v>
      </c>
      <c r="J1744" s="71">
        <v>43129</v>
      </c>
      <c r="K1744" s="71">
        <v>43131</v>
      </c>
      <c r="L1744" s="69" t="s">
        <v>119</v>
      </c>
      <c r="M1744" s="69" t="s">
        <v>299</v>
      </c>
      <c r="N1744" s="95"/>
      <c r="O1744" s="67"/>
      <c r="P1744" s="67" t="s">
        <v>95</v>
      </c>
      <c r="Q1744" s="67" t="s">
        <v>120</v>
      </c>
      <c r="R1744" s="92" t="s">
        <v>69</v>
      </c>
      <c r="S1744" s="92" t="s">
        <v>123</v>
      </c>
      <c r="T1744" s="67"/>
      <c r="U1744" s="67"/>
      <c r="V1744" s="95">
        <v>43131</v>
      </c>
      <c r="W1744" s="92">
        <v>2030466</v>
      </c>
      <c r="X1744" s="90"/>
      <c r="Y1744" s="123"/>
      <c r="Z1744" s="30">
        <f t="shared" si="54"/>
        <v>6763.7822038320437</v>
      </c>
      <c r="AA1744" s="30">
        <f t="shared" si="55"/>
        <v>2113.6819386975139</v>
      </c>
      <c r="AB1744" t="s">
        <v>456</v>
      </c>
    </row>
    <row r="1745" spans="1:28">
      <c r="A1745" s="67" t="s">
        <v>122</v>
      </c>
      <c r="B1745" s="91">
        <v>1324671</v>
      </c>
      <c r="C1745" s="92">
        <v>4615463472</v>
      </c>
      <c r="D1745" s="93">
        <v>19175</v>
      </c>
      <c r="E1745" s="79"/>
      <c r="F1745" s="91">
        <v>16</v>
      </c>
      <c r="G1745" s="96">
        <v>5</v>
      </c>
      <c r="H1745" s="94">
        <v>0</v>
      </c>
      <c r="I1745" s="91">
        <v>0</v>
      </c>
      <c r="J1745" s="71">
        <v>43129</v>
      </c>
      <c r="K1745" s="71">
        <v>43131</v>
      </c>
      <c r="L1745" s="69" t="s">
        <v>119</v>
      </c>
      <c r="M1745" s="69" t="s">
        <v>109</v>
      </c>
      <c r="N1745" s="95">
        <v>43212</v>
      </c>
      <c r="O1745" s="67"/>
      <c r="P1745" s="67" t="s">
        <v>95</v>
      </c>
      <c r="Q1745" s="67" t="s">
        <v>120</v>
      </c>
      <c r="R1745" s="92" t="s">
        <v>69</v>
      </c>
      <c r="S1745" s="92" t="s">
        <v>123</v>
      </c>
      <c r="T1745" s="67"/>
      <c r="U1745" s="67"/>
      <c r="V1745" s="95">
        <v>43131</v>
      </c>
      <c r="W1745" s="92">
        <v>2030466</v>
      </c>
      <c r="X1745" s="90"/>
      <c r="Y1745" s="123"/>
      <c r="Z1745" s="30">
        <f t="shared" si="54"/>
        <v>6763.7822038320437</v>
      </c>
      <c r="AA1745" s="30">
        <f t="shared" si="55"/>
        <v>2113.6819386975139</v>
      </c>
      <c r="AB1745" t="s">
        <v>456</v>
      </c>
    </row>
    <row r="1746" spans="1:28">
      <c r="A1746" s="67" t="s">
        <v>122</v>
      </c>
      <c r="B1746" s="91">
        <v>1324670</v>
      </c>
      <c r="C1746" s="92">
        <v>4615463472</v>
      </c>
      <c r="D1746" s="93">
        <v>19175</v>
      </c>
      <c r="E1746" s="79"/>
      <c r="F1746" s="91">
        <v>16</v>
      </c>
      <c r="G1746" s="96">
        <v>5</v>
      </c>
      <c r="H1746" s="94">
        <v>0</v>
      </c>
      <c r="I1746" s="91">
        <v>0</v>
      </c>
      <c r="J1746" s="71">
        <v>43129</v>
      </c>
      <c r="K1746" s="71">
        <v>43131</v>
      </c>
      <c r="L1746" s="69" t="s">
        <v>119</v>
      </c>
      <c r="M1746" s="69" t="s">
        <v>109</v>
      </c>
      <c r="N1746" s="95">
        <v>43205</v>
      </c>
      <c r="O1746" s="67"/>
      <c r="P1746" s="67" t="s">
        <v>95</v>
      </c>
      <c r="Q1746" s="67" t="s">
        <v>120</v>
      </c>
      <c r="R1746" s="92" t="s">
        <v>69</v>
      </c>
      <c r="S1746" s="92" t="s">
        <v>123</v>
      </c>
      <c r="T1746" s="67"/>
      <c r="U1746" s="67"/>
      <c r="V1746" s="95">
        <v>43131</v>
      </c>
      <c r="W1746" s="92">
        <v>2030466</v>
      </c>
      <c r="X1746" s="90"/>
      <c r="Y1746" s="123"/>
      <c r="Z1746" s="30">
        <f t="shared" si="54"/>
        <v>6763.7822038320437</v>
      </c>
      <c r="AA1746" s="30">
        <f t="shared" si="55"/>
        <v>2113.6819386975139</v>
      </c>
      <c r="AB1746" t="s">
        <v>456</v>
      </c>
    </row>
    <row r="1747" spans="1:28">
      <c r="A1747" s="67" t="s">
        <v>122</v>
      </c>
      <c r="B1747" s="91">
        <v>1324664</v>
      </c>
      <c r="C1747" s="92">
        <v>4615463472</v>
      </c>
      <c r="D1747" s="93">
        <v>19175</v>
      </c>
      <c r="E1747" s="79"/>
      <c r="F1747" s="91">
        <v>16</v>
      </c>
      <c r="G1747" s="96">
        <v>5</v>
      </c>
      <c r="H1747" s="94">
        <v>0</v>
      </c>
      <c r="I1747" s="91">
        <v>0</v>
      </c>
      <c r="J1747" s="71">
        <v>43129</v>
      </c>
      <c r="K1747" s="71">
        <v>43131</v>
      </c>
      <c r="L1747" s="69" t="s">
        <v>119</v>
      </c>
      <c r="M1747" s="69" t="s">
        <v>109</v>
      </c>
      <c r="N1747" s="95">
        <v>43209</v>
      </c>
      <c r="O1747" s="67"/>
      <c r="P1747" s="67" t="s">
        <v>95</v>
      </c>
      <c r="Q1747" s="67" t="s">
        <v>120</v>
      </c>
      <c r="R1747" s="92" t="s">
        <v>69</v>
      </c>
      <c r="S1747" s="92" t="s">
        <v>123</v>
      </c>
      <c r="T1747" s="67"/>
      <c r="U1747" s="67"/>
      <c r="V1747" s="95">
        <v>43131</v>
      </c>
      <c r="W1747" s="92">
        <v>2030466</v>
      </c>
      <c r="X1747" s="90"/>
      <c r="Y1747" s="123"/>
      <c r="Z1747" s="30">
        <f t="shared" si="54"/>
        <v>6763.7822038320437</v>
      </c>
      <c r="AA1747" s="30">
        <f t="shared" si="55"/>
        <v>2113.6819386975139</v>
      </c>
      <c r="AB1747" t="s">
        <v>456</v>
      </c>
    </row>
    <row r="1748" spans="1:28">
      <c r="A1748" s="67" t="s">
        <v>122</v>
      </c>
      <c r="B1748" s="91">
        <v>1312801</v>
      </c>
      <c r="C1748" s="92">
        <v>4615487923</v>
      </c>
      <c r="D1748" s="93">
        <v>21120</v>
      </c>
      <c r="E1748" s="79"/>
      <c r="F1748" s="91">
        <v>16</v>
      </c>
      <c r="G1748" s="96">
        <v>5</v>
      </c>
      <c r="H1748" s="94">
        <v>0</v>
      </c>
      <c r="I1748" s="91">
        <v>0</v>
      </c>
      <c r="J1748" s="71">
        <v>42972</v>
      </c>
      <c r="K1748" s="71">
        <v>43131</v>
      </c>
      <c r="L1748" s="69" t="s">
        <v>108</v>
      </c>
      <c r="M1748" s="69" t="s">
        <v>109</v>
      </c>
      <c r="N1748" s="95">
        <v>43152</v>
      </c>
      <c r="O1748" s="67"/>
      <c r="P1748" s="67" t="s">
        <v>95</v>
      </c>
      <c r="Q1748" s="67" t="s">
        <v>120</v>
      </c>
      <c r="R1748" s="92" t="s">
        <v>69</v>
      </c>
      <c r="S1748" s="92" t="s">
        <v>123</v>
      </c>
      <c r="T1748" s="67"/>
      <c r="U1748" s="67"/>
      <c r="V1748" s="95">
        <v>43131</v>
      </c>
      <c r="W1748" s="92">
        <v>2030499</v>
      </c>
      <c r="X1748" s="90" t="s">
        <v>314</v>
      </c>
      <c r="Y1748" s="123"/>
      <c r="Z1748" s="30">
        <f t="shared" si="54"/>
        <v>7449.8607637513824</v>
      </c>
      <c r="AA1748" s="30">
        <f t="shared" si="55"/>
        <v>2328.0814886723069</v>
      </c>
      <c r="AB1748" t="s">
        <v>456</v>
      </c>
    </row>
    <row r="1749" spans="1:28">
      <c r="A1749" s="67" t="s">
        <v>122</v>
      </c>
      <c r="B1749" s="91">
        <v>1312803</v>
      </c>
      <c r="C1749" s="92">
        <v>4615487923</v>
      </c>
      <c r="D1749" s="93">
        <v>21120</v>
      </c>
      <c r="E1749" s="79"/>
      <c r="F1749" s="91">
        <v>16</v>
      </c>
      <c r="G1749" s="96">
        <v>5</v>
      </c>
      <c r="H1749" s="94">
        <v>0</v>
      </c>
      <c r="I1749" s="91">
        <v>0</v>
      </c>
      <c r="J1749" s="71">
        <v>42977</v>
      </c>
      <c r="K1749" s="71">
        <v>43131</v>
      </c>
      <c r="L1749" s="69" t="s">
        <v>108</v>
      </c>
      <c r="M1749" s="69" t="s">
        <v>109</v>
      </c>
      <c r="N1749" s="95">
        <v>43163</v>
      </c>
      <c r="O1749" s="67"/>
      <c r="P1749" s="67" t="s">
        <v>95</v>
      </c>
      <c r="Q1749" s="67" t="s">
        <v>120</v>
      </c>
      <c r="R1749" s="92" t="s">
        <v>69</v>
      </c>
      <c r="S1749" s="92" t="s">
        <v>123</v>
      </c>
      <c r="T1749" s="67"/>
      <c r="U1749" s="67"/>
      <c r="V1749" s="95">
        <v>43131</v>
      </c>
      <c r="W1749" s="92">
        <v>2030499</v>
      </c>
      <c r="X1749" s="90" t="s">
        <v>314</v>
      </c>
      <c r="Y1749" s="123"/>
      <c r="Z1749" s="30">
        <f t="shared" si="54"/>
        <v>7449.8607637513824</v>
      </c>
      <c r="AA1749" s="30">
        <f t="shared" si="55"/>
        <v>2328.0814886723069</v>
      </c>
      <c r="AB1749" t="s">
        <v>456</v>
      </c>
    </row>
    <row r="1750" spans="1:28">
      <c r="A1750" s="67" t="s">
        <v>122</v>
      </c>
      <c r="B1750" s="91">
        <v>1312799</v>
      </c>
      <c r="C1750" s="92">
        <v>4615487923</v>
      </c>
      <c r="D1750" s="93">
        <v>21120</v>
      </c>
      <c r="E1750" s="79"/>
      <c r="F1750" s="91">
        <v>16</v>
      </c>
      <c r="G1750" s="96">
        <v>5</v>
      </c>
      <c r="H1750" s="94">
        <v>0</v>
      </c>
      <c r="I1750" s="91">
        <v>0</v>
      </c>
      <c r="J1750" s="71">
        <v>42972</v>
      </c>
      <c r="K1750" s="71">
        <v>43131</v>
      </c>
      <c r="L1750" s="69" t="s">
        <v>108</v>
      </c>
      <c r="M1750" s="69" t="s">
        <v>109</v>
      </c>
      <c r="N1750" s="95">
        <v>43166</v>
      </c>
      <c r="O1750" s="67"/>
      <c r="P1750" s="67" t="s">
        <v>95</v>
      </c>
      <c r="Q1750" s="67" t="s">
        <v>120</v>
      </c>
      <c r="R1750" s="92" t="s">
        <v>69</v>
      </c>
      <c r="S1750" s="92" t="s">
        <v>123</v>
      </c>
      <c r="T1750" s="67"/>
      <c r="U1750" s="67"/>
      <c r="V1750" s="95">
        <v>43131</v>
      </c>
      <c r="W1750" s="92">
        <v>2030499</v>
      </c>
      <c r="X1750" s="90" t="s">
        <v>314</v>
      </c>
      <c r="Y1750" s="123"/>
      <c r="Z1750" s="30">
        <f t="shared" si="54"/>
        <v>7449.8607637513824</v>
      </c>
      <c r="AA1750" s="30">
        <f t="shared" si="55"/>
        <v>2328.0814886723069</v>
      </c>
      <c r="AB1750" t="s">
        <v>456</v>
      </c>
    </row>
    <row r="1751" spans="1:28">
      <c r="A1751" s="67" t="s">
        <v>122</v>
      </c>
      <c r="B1751" s="91">
        <v>1312808</v>
      </c>
      <c r="C1751" s="92">
        <v>4615487923</v>
      </c>
      <c r="D1751" s="93">
        <v>21120</v>
      </c>
      <c r="E1751" s="79"/>
      <c r="F1751" s="91">
        <v>16</v>
      </c>
      <c r="G1751" s="96">
        <v>5</v>
      </c>
      <c r="H1751" s="94">
        <v>0</v>
      </c>
      <c r="I1751" s="91">
        <v>0</v>
      </c>
      <c r="J1751" s="71">
        <v>42973</v>
      </c>
      <c r="K1751" s="71">
        <v>43131</v>
      </c>
      <c r="L1751" s="69" t="s">
        <v>108</v>
      </c>
      <c r="M1751" s="69" t="s">
        <v>109</v>
      </c>
      <c r="N1751" s="95">
        <v>43171</v>
      </c>
      <c r="O1751" s="67"/>
      <c r="P1751" s="67" t="s">
        <v>95</v>
      </c>
      <c r="Q1751" s="67" t="s">
        <v>120</v>
      </c>
      <c r="R1751" s="92" t="s">
        <v>69</v>
      </c>
      <c r="S1751" s="92" t="s">
        <v>123</v>
      </c>
      <c r="T1751" s="67"/>
      <c r="U1751" s="67"/>
      <c r="V1751" s="95">
        <v>43131</v>
      </c>
      <c r="W1751" s="92">
        <v>2030499</v>
      </c>
      <c r="X1751" s="90" t="s">
        <v>314</v>
      </c>
      <c r="Y1751" s="123"/>
      <c r="Z1751" s="30">
        <f t="shared" si="54"/>
        <v>7449.8607637513824</v>
      </c>
      <c r="AA1751" s="30">
        <f t="shared" si="55"/>
        <v>2328.0814886723069</v>
      </c>
      <c r="AB1751" t="s">
        <v>456</v>
      </c>
    </row>
    <row r="1752" spans="1:28">
      <c r="A1752" s="67" t="s">
        <v>122</v>
      </c>
      <c r="B1752" s="91">
        <v>1312804</v>
      </c>
      <c r="C1752" s="92">
        <v>4615487923</v>
      </c>
      <c r="D1752" s="93">
        <v>21120</v>
      </c>
      <c r="E1752" s="79"/>
      <c r="F1752" s="91">
        <v>16</v>
      </c>
      <c r="G1752" s="96">
        <v>5</v>
      </c>
      <c r="H1752" s="94">
        <v>0</v>
      </c>
      <c r="I1752" s="91">
        <v>0</v>
      </c>
      <c r="J1752" s="71">
        <v>42973</v>
      </c>
      <c r="K1752" s="71">
        <v>43131</v>
      </c>
      <c r="L1752" s="69" t="s">
        <v>108</v>
      </c>
      <c r="M1752" s="69" t="s">
        <v>109</v>
      </c>
      <c r="N1752" s="95">
        <v>43173</v>
      </c>
      <c r="O1752" s="67"/>
      <c r="P1752" s="67" t="s">
        <v>95</v>
      </c>
      <c r="Q1752" s="67" t="s">
        <v>120</v>
      </c>
      <c r="R1752" s="92" t="s">
        <v>69</v>
      </c>
      <c r="S1752" s="92" t="s">
        <v>123</v>
      </c>
      <c r="T1752" s="67"/>
      <c r="U1752" s="67"/>
      <c r="V1752" s="95">
        <v>43131</v>
      </c>
      <c r="W1752" s="92">
        <v>2030499</v>
      </c>
      <c r="X1752" s="90" t="s">
        <v>314</v>
      </c>
      <c r="Y1752" s="123"/>
      <c r="Z1752" s="30">
        <f t="shared" si="54"/>
        <v>7449.8607637513824</v>
      </c>
      <c r="AA1752" s="30">
        <f t="shared" si="55"/>
        <v>2328.0814886723069</v>
      </c>
      <c r="AB1752" t="s">
        <v>456</v>
      </c>
    </row>
    <row r="1753" spans="1:28">
      <c r="A1753" s="67" t="s">
        <v>122</v>
      </c>
      <c r="B1753" s="91">
        <v>1312800</v>
      </c>
      <c r="C1753" s="92">
        <v>4615487923</v>
      </c>
      <c r="D1753" s="93">
        <v>21120</v>
      </c>
      <c r="E1753" s="79"/>
      <c r="F1753" s="91">
        <v>16</v>
      </c>
      <c r="G1753" s="96">
        <v>5</v>
      </c>
      <c r="H1753" s="94">
        <v>0</v>
      </c>
      <c r="I1753" s="91">
        <v>0</v>
      </c>
      <c r="J1753" s="71">
        <v>42972</v>
      </c>
      <c r="K1753" s="71">
        <v>43131</v>
      </c>
      <c r="L1753" s="69" t="s">
        <v>108</v>
      </c>
      <c r="M1753" s="69" t="s">
        <v>109</v>
      </c>
      <c r="N1753" s="95">
        <v>43177</v>
      </c>
      <c r="O1753" s="67"/>
      <c r="P1753" s="67" t="s">
        <v>95</v>
      </c>
      <c r="Q1753" s="67" t="s">
        <v>120</v>
      </c>
      <c r="R1753" s="92" t="s">
        <v>69</v>
      </c>
      <c r="S1753" s="92" t="s">
        <v>123</v>
      </c>
      <c r="T1753" s="67"/>
      <c r="U1753" s="67"/>
      <c r="V1753" s="95">
        <v>43131</v>
      </c>
      <c r="W1753" s="92">
        <v>2030499</v>
      </c>
      <c r="X1753" s="90" t="s">
        <v>314</v>
      </c>
      <c r="Y1753" s="123"/>
      <c r="Z1753" s="30">
        <f t="shared" si="54"/>
        <v>7449.8607637513824</v>
      </c>
      <c r="AA1753" s="30">
        <f t="shared" si="55"/>
        <v>2328.0814886723069</v>
      </c>
      <c r="AB1753" t="s">
        <v>456</v>
      </c>
    </row>
    <row r="1754" spans="1:28">
      <c r="A1754" s="67" t="s">
        <v>122</v>
      </c>
      <c r="B1754" s="91">
        <v>1312806</v>
      </c>
      <c r="C1754" s="92">
        <v>4615487923</v>
      </c>
      <c r="D1754" s="93">
        <v>21120</v>
      </c>
      <c r="E1754" s="79"/>
      <c r="F1754" s="91">
        <v>16</v>
      </c>
      <c r="G1754" s="96">
        <v>5</v>
      </c>
      <c r="H1754" s="94">
        <v>0</v>
      </c>
      <c r="I1754" s="91">
        <v>0</v>
      </c>
      <c r="J1754" s="71">
        <v>42977</v>
      </c>
      <c r="K1754" s="71">
        <v>43131</v>
      </c>
      <c r="L1754" s="69" t="s">
        <v>108</v>
      </c>
      <c r="M1754" s="69" t="s">
        <v>109</v>
      </c>
      <c r="N1754" s="95">
        <v>43177</v>
      </c>
      <c r="O1754" s="67"/>
      <c r="P1754" s="67" t="s">
        <v>95</v>
      </c>
      <c r="Q1754" s="67" t="s">
        <v>120</v>
      </c>
      <c r="R1754" s="92" t="s">
        <v>69</v>
      </c>
      <c r="S1754" s="92" t="s">
        <v>123</v>
      </c>
      <c r="T1754" s="67"/>
      <c r="U1754" s="67"/>
      <c r="V1754" s="95">
        <v>43131</v>
      </c>
      <c r="W1754" s="92">
        <v>2030499</v>
      </c>
      <c r="X1754" s="90" t="s">
        <v>314</v>
      </c>
      <c r="Y1754" s="123"/>
      <c r="Z1754" s="30">
        <f t="shared" si="54"/>
        <v>7449.8607637513824</v>
      </c>
      <c r="AA1754" s="30">
        <f t="shared" si="55"/>
        <v>2328.0814886723069</v>
      </c>
      <c r="AB1754" t="s">
        <v>456</v>
      </c>
    </row>
    <row r="1755" spans="1:28">
      <c r="A1755" s="67" t="s">
        <v>122</v>
      </c>
      <c r="B1755" s="91">
        <v>1312807</v>
      </c>
      <c r="C1755" s="92">
        <v>4615487923</v>
      </c>
      <c r="D1755" s="93">
        <v>21120</v>
      </c>
      <c r="E1755" s="79"/>
      <c r="F1755" s="91">
        <v>16</v>
      </c>
      <c r="G1755" s="96">
        <v>5</v>
      </c>
      <c r="H1755" s="94">
        <v>0</v>
      </c>
      <c r="I1755" s="91">
        <v>0</v>
      </c>
      <c r="J1755" s="71">
        <v>42977</v>
      </c>
      <c r="K1755" s="71">
        <v>43131</v>
      </c>
      <c r="L1755" s="69" t="s">
        <v>108</v>
      </c>
      <c r="M1755" s="69" t="s">
        <v>109</v>
      </c>
      <c r="N1755" s="95">
        <v>43177</v>
      </c>
      <c r="O1755" s="67"/>
      <c r="P1755" s="67" t="s">
        <v>95</v>
      </c>
      <c r="Q1755" s="67" t="s">
        <v>120</v>
      </c>
      <c r="R1755" s="92" t="s">
        <v>69</v>
      </c>
      <c r="S1755" s="92" t="s">
        <v>123</v>
      </c>
      <c r="T1755" s="67"/>
      <c r="U1755" s="67"/>
      <c r="V1755" s="95">
        <v>43131</v>
      </c>
      <c r="W1755" s="92">
        <v>2030499</v>
      </c>
      <c r="X1755" s="90" t="s">
        <v>314</v>
      </c>
      <c r="Y1755" s="123"/>
      <c r="Z1755" s="30">
        <f t="shared" si="54"/>
        <v>7449.8607637513824</v>
      </c>
      <c r="AA1755" s="30">
        <f t="shared" si="55"/>
        <v>2328.0814886723069</v>
      </c>
      <c r="AB1755" t="s">
        <v>456</v>
      </c>
    </row>
    <row r="1756" spans="1:28">
      <c r="A1756" s="67" t="s">
        <v>122</v>
      </c>
      <c r="B1756" s="91"/>
      <c r="C1756" s="92">
        <v>4615487923</v>
      </c>
      <c r="D1756" s="93">
        <v>21120</v>
      </c>
      <c r="E1756" s="79"/>
      <c r="F1756" s="91">
        <v>16</v>
      </c>
      <c r="G1756" s="96">
        <v>5</v>
      </c>
      <c r="H1756" s="94">
        <v>0</v>
      </c>
      <c r="I1756" s="91">
        <v>0</v>
      </c>
      <c r="J1756" s="71"/>
      <c r="K1756" s="71">
        <v>43131</v>
      </c>
      <c r="L1756" s="69" t="s">
        <v>80</v>
      </c>
      <c r="M1756" s="69" t="s">
        <v>286</v>
      </c>
      <c r="N1756" s="95"/>
      <c r="O1756" s="67"/>
      <c r="P1756" s="67" t="s">
        <v>95</v>
      </c>
      <c r="Q1756" s="67" t="s">
        <v>120</v>
      </c>
      <c r="R1756" s="92" t="s">
        <v>69</v>
      </c>
      <c r="S1756" s="92" t="s">
        <v>123</v>
      </c>
      <c r="T1756" s="67"/>
      <c r="U1756" s="67"/>
      <c r="V1756" s="95">
        <v>43131</v>
      </c>
      <c r="W1756" s="92">
        <v>2030499</v>
      </c>
      <c r="X1756" s="90" t="s">
        <v>314</v>
      </c>
      <c r="Y1756" s="123"/>
      <c r="Z1756" s="30">
        <f t="shared" si="54"/>
        <v>7449.8607637513824</v>
      </c>
      <c r="AA1756" s="30">
        <f t="shared" si="55"/>
        <v>2328.0814886723069</v>
      </c>
      <c r="AB1756" t="s">
        <v>457</v>
      </c>
    </row>
    <row r="1757" spans="1:28">
      <c r="A1757" s="67" t="s">
        <v>122</v>
      </c>
      <c r="B1757" s="91"/>
      <c r="C1757" s="92">
        <v>4615487923</v>
      </c>
      <c r="D1757" s="93">
        <v>21120</v>
      </c>
      <c r="E1757" s="79"/>
      <c r="F1757" s="91">
        <v>16</v>
      </c>
      <c r="G1757" s="96">
        <v>5</v>
      </c>
      <c r="H1757" s="94">
        <v>0</v>
      </c>
      <c r="I1757" s="91">
        <v>0</v>
      </c>
      <c r="J1757" s="71"/>
      <c r="K1757" s="71">
        <v>43131</v>
      </c>
      <c r="L1757" s="69" t="s">
        <v>80</v>
      </c>
      <c r="M1757" s="69" t="s">
        <v>286</v>
      </c>
      <c r="N1757" s="95"/>
      <c r="O1757" s="67"/>
      <c r="P1757" s="67" t="s">
        <v>95</v>
      </c>
      <c r="Q1757" s="67" t="s">
        <v>120</v>
      </c>
      <c r="R1757" s="92" t="s">
        <v>69</v>
      </c>
      <c r="S1757" s="92" t="s">
        <v>123</v>
      </c>
      <c r="T1757" s="67"/>
      <c r="U1757" s="67"/>
      <c r="V1757" s="95">
        <v>43131</v>
      </c>
      <c r="W1757" s="92">
        <v>2030499</v>
      </c>
      <c r="X1757" s="90" t="s">
        <v>314</v>
      </c>
      <c r="Y1757" s="123"/>
      <c r="Z1757" s="30">
        <f t="shared" si="54"/>
        <v>7449.8607637513824</v>
      </c>
      <c r="AA1757" s="30">
        <f t="shared" si="55"/>
        <v>2328.0814886723069</v>
      </c>
      <c r="AB1757" t="s">
        <v>457</v>
      </c>
    </row>
    <row r="1758" spans="1:28">
      <c r="A1758" s="67" t="s">
        <v>122</v>
      </c>
      <c r="B1758" s="91">
        <v>1314253</v>
      </c>
      <c r="C1758" s="92">
        <v>4615491030</v>
      </c>
      <c r="D1758" s="93">
        <v>19200</v>
      </c>
      <c r="E1758" s="79"/>
      <c r="F1758" s="91">
        <v>16</v>
      </c>
      <c r="G1758" s="96">
        <v>5</v>
      </c>
      <c r="H1758" s="94">
        <v>0</v>
      </c>
      <c r="I1758" s="91">
        <v>0</v>
      </c>
      <c r="J1758" s="71">
        <v>42977</v>
      </c>
      <c r="K1758" s="71">
        <v>43131</v>
      </c>
      <c r="L1758" s="69" t="s">
        <v>119</v>
      </c>
      <c r="M1758" s="69" t="s">
        <v>109</v>
      </c>
      <c r="N1758" s="95">
        <v>43206</v>
      </c>
      <c r="O1758" s="67"/>
      <c r="P1758" s="67" t="s">
        <v>95</v>
      </c>
      <c r="Q1758" s="67" t="s">
        <v>120</v>
      </c>
      <c r="R1758" s="92" t="s">
        <v>69</v>
      </c>
      <c r="S1758" s="92" t="s">
        <v>123</v>
      </c>
      <c r="T1758" s="67"/>
      <c r="U1758" s="67"/>
      <c r="V1758" s="95">
        <v>43131</v>
      </c>
      <c r="W1758" s="92">
        <v>2030509</v>
      </c>
      <c r="X1758" s="90"/>
      <c r="Y1758" s="123"/>
      <c r="Z1758" s="30">
        <f t="shared" si="54"/>
        <v>6772.6006943194379</v>
      </c>
      <c r="AA1758" s="30">
        <f t="shared" si="55"/>
        <v>2116.4377169748245</v>
      </c>
      <c r="AB1758" t="s">
        <v>456</v>
      </c>
    </row>
    <row r="1759" spans="1:28">
      <c r="A1759" s="67" t="s">
        <v>122</v>
      </c>
      <c r="B1759" s="91">
        <v>1314251</v>
      </c>
      <c r="C1759" s="92">
        <v>4615491030</v>
      </c>
      <c r="D1759" s="93">
        <v>19200</v>
      </c>
      <c r="E1759" s="79"/>
      <c r="F1759" s="91">
        <v>16</v>
      </c>
      <c r="G1759" s="96">
        <v>5</v>
      </c>
      <c r="H1759" s="94">
        <v>0</v>
      </c>
      <c r="I1759" s="91">
        <v>0</v>
      </c>
      <c r="J1759" s="71">
        <v>42973</v>
      </c>
      <c r="K1759" s="71">
        <v>43131</v>
      </c>
      <c r="L1759" s="69" t="s">
        <v>119</v>
      </c>
      <c r="M1759" s="69" t="s">
        <v>109</v>
      </c>
      <c r="N1759" s="95">
        <v>43207</v>
      </c>
      <c r="O1759" s="67"/>
      <c r="P1759" s="67" t="s">
        <v>95</v>
      </c>
      <c r="Q1759" s="67" t="s">
        <v>120</v>
      </c>
      <c r="R1759" s="92" t="s">
        <v>69</v>
      </c>
      <c r="S1759" s="92" t="s">
        <v>123</v>
      </c>
      <c r="T1759" s="67"/>
      <c r="U1759" s="67"/>
      <c r="V1759" s="95">
        <v>43131</v>
      </c>
      <c r="W1759" s="92">
        <v>2030509</v>
      </c>
      <c r="X1759" s="90"/>
      <c r="Y1759" s="123"/>
      <c r="Z1759" s="30">
        <f t="shared" si="54"/>
        <v>6772.6006943194379</v>
      </c>
      <c r="AA1759" s="30">
        <f t="shared" si="55"/>
        <v>2116.4377169748245</v>
      </c>
      <c r="AB1759" t="s">
        <v>456</v>
      </c>
    </row>
    <row r="1760" spans="1:28">
      <c r="A1760" s="67" t="s">
        <v>122</v>
      </c>
      <c r="B1760" s="91">
        <v>1314252</v>
      </c>
      <c r="C1760" s="92">
        <v>4615491030</v>
      </c>
      <c r="D1760" s="93">
        <v>19200</v>
      </c>
      <c r="E1760" s="79"/>
      <c r="F1760" s="91">
        <v>16</v>
      </c>
      <c r="G1760" s="96">
        <v>5</v>
      </c>
      <c r="H1760" s="94">
        <v>0</v>
      </c>
      <c r="I1760" s="91">
        <v>0</v>
      </c>
      <c r="J1760" s="71">
        <v>42977</v>
      </c>
      <c r="K1760" s="71">
        <v>43131</v>
      </c>
      <c r="L1760" s="69" t="s">
        <v>119</v>
      </c>
      <c r="M1760" s="69" t="s">
        <v>109</v>
      </c>
      <c r="N1760" s="95">
        <v>43205</v>
      </c>
      <c r="O1760" s="67"/>
      <c r="P1760" s="67" t="s">
        <v>95</v>
      </c>
      <c r="Q1760" s="67" t="s">
        <v>120</v>
      </c>
      <c r="R1760" s="92" t="s">
        <v>69</v>
      </c>
      <c r="S1760" s="92" t="s">
        <v>123</v>
      </c>
      <c r="T1760" s="67"/>
      <c r="U1760" s="67"/>
      <c r="V1760" s="95">
        <v>43131</v>
      </c>
      <c r="W1760" s="92">
        <v>2030509</v>
      </c>
      <c r="X1760" s="90"/>
      <c r="Y1760" s="123"/>
      <c r="Z1760" s="30">
        <f t="shared" si="54"/>
        <v>6772.6006943194379</v>
      </c>
      <c r="AA1760" s="30">
        <f t="shared" si="55"/>
        <v>2116.4377169748245</v>
      </c>
      <c r="AB1760" t="s">
        <v>456</v>
      </c>
    </row>
    <row r="1761" spans="1:28">
      <c r="A1761" s="67" t="s">
        <v>122</v>
      </c>
      <c r="B1761" s="91">
        <v>1314255</v>
      </c>
      <c r="C1761" s="92">
        <v>4615491030</v>
      </c>
      <c r="D1761" s="93">
        <v>19200</v>
      </c>
      <c r="E1761" s="79"/>
      <c r="F1761" s="91">
        <v>16</v>
      </c>
      <c r="G1761" s="96">
        <v>5</v>
      </c>
      <c r="H1761" s="94">
        <v>0</v>
      </c>
      <c r="I1761" s="91">
        <v>0</v>
      </c>
      <c r="J1761" s="71">
        <v>42977</v>
      </c>
      <c r="K1761" s="71">
        <v>43131</v>
      </c>
      <c r="L1761" s="69" t="s">
        <v>119</v>
      </c>
      <c r="M1761" s="69" t="s">
        <v>109</v>
      </c>
      <c r="N1761" s="95">
        <v>43208</v>
      </c>
      <c r="O1761" s="67"/>
      <c r="P1761" s="67" t="s">
        <v>95</v>
      </c>
      <c r="Q1761" s="67" t="s">
        <v>120</v>
      </c>
      <c r="R1761" s="92" t="s">
        <v>69</v>
      </c>
      <c r="S1761" s="92" t="s">
        <v>123</v>
      </c>
      <c r="T1761" s="67"/>
      <c r="U1761" s="67"/>
      <c r="V1761" s="95">
        <v>43131</v>
      </c>
      <c r="W1761" s="92">
        <v>2030509</v>
      </c>
      <c r="X1761" s="90"/>
      <c r="Y1761" s="123"/>
      <c r="Z1761" s="30">
        <f t="shared" si="54"/>
        <v>6772.6006943194379</v>
      </c>
      <c r="AA1761" s="30">
        <f t="shared" si="55"/>
        <v>2116.4377169748245</v>
      </c>
      <c r="AB1761" t="s">
        <v>456</v>
      </c>
    </row>
    <row r="1762" spans="1:28">
      <c r="A1762" s="67" t="s">
        <v>122</v>
      </c>
      <c r="B1762" s="91">
        <v>1314256</v>
      </c>
      <c r="C1762" s="92">
        <v>4615491030</v>
      </c>
      <c r="D1762" s="93">
        <v>19200</v>
      </c>
      <c r="E1762" s="79"/>
      <c r="F1762" s="91">
        <v>16</v>
      </c>
      <c r="G1762" s="96">
        <v>5</v>
      </c>
      <c r="H1762" s="94">
        <v>0</v>
      </c>
      <c r="I1762" s="91">
        <v>0</v>
      </c>
      <c r="J1762" s="71">
        <v>42977</v>
      </c>
      <c r="K1762" s="71">
        <v>43131</v>
      </c>
      <c r="L1762" s="69" t="s">
        <v>119</v>
      </c>
      <c r="M1762" s="69" t="s">
        <v>299</v>
      </c>
      <c r="N1762" s="95"/>
      <c r="O1762" s="67"/>
      <c r="P1762" s="67" t="s">
        <v>95</v>
      </c>
      <c r="Q1762" s="67" t="s">
        <v>120</v>
      </c>
      <c r="R1762" s="92" t="s">
        <v>69</v>
      </c>
      <c r="S1762" s="92" t="s">
        <v>123</v>
      </c>
      <c r="T1762" s="67"/>
      <c r="U1762" s="67"/>
      <c r="V1762" s="95">
        <v>43131</v>
      </c>
      <c r="W1762" s="92">
        <v>2030509</v>
      </c>
      <c r="X1762" s="90"/>
      <c r="Y1762" s="123"/>
      <c r="Z1762" s="30">
        <f t="shared" si="54"/>
        <v>6772.6006943194379</v>
      </c>
      <c r="AA1762" s="30">
        <f t="shared" si="55"/>
        <v>2116.4377169748245</v>
      </c>
      <c r="AB1762" t="s">
        <v>456</v>
      </c>
    </row>
    <row r="1763" spans="1:28">
      <c r="A1763" s="67" t="s">
        <v>122</v>
      </c>
      <c r="B1763" s="91">
        <v>1314257</v>
      </c>
      <c r="C1763" s="92">
        <v>4615491030</v>
      </c>
      <c r="D1763" s="93">
        <v>19200</v>
      </c>
      <c r="E1763" s="79"/>
      <c r="F1763" s="91">
        <v>16</v>
      </c>
      <c r="G1763" s="96">
        <v>5</v>
      </c>
      <c r="H1763" s="94">
        <v>0</v>
      </c>
      <c r="I1763" s="91">
        <v>0</v>
      </c>
      <c r="J1763" s="71">
        <v>42977</v>
      </c>
      <c r="K1763" s="71">
        <v>43131</v>
      </c>
      <c r="L1763" s="69" t="s">
        <v>119</v>
      </c>
      <c r="M1763" s="69" t="s">
        <v>299</v>
      </c>
      <c r="N1763" s="95"/>
      <c r="O1763" s="67"/>
      <c r="P1763" s="67" t="s">
        <v>95</v>
      </c>
      <c r="Q1763" s="67" t="s">
        <v>120</v>
      </c>
      <c r="R1763" s="92" t="s">
        <v>69</v>
      </c>
      <c r="S1763" s="92" t="s">
        <v>123</v>
      </c>
      <c r="T1763" s="67"/>
      <c r="U1763" s="67"/>
      <c r="V1763" s="95">
        <v>43131</v>
      </c>
      <c r="W1763" s="92">
        <v>2030509</v>
      </c>
      <c r="X1763" s="90"/>
      <c r="Y1763" s="123"/>
      <c r="Z1763" s="30">
        <f t="shared" si="54"/>
        <v>6772.6006943194379</v>
      </c>
      <c r="AA1763" s="30">
        <f t="shared" si="55"/>
        <v>2116.4377169748245</v>
      </c>
      <c r="AB1763" t="s">
        <v>456</v>
      </c>
    </row>
    <row r="1764" spans="1:28">
      <c r="A1764" s="67" t="s">
        <v>122</v>
      </c>
      <c r="B1764" s="91">
        <v>1314254</v>
      </c>
      <c r="C1764" s="92">
        <v>4615491030</v>
      </c>
      <c r="D1764" s="93">
        <v>19200</v>
      </c>
      <c r="E1764" s="79"/>
      <c r="F1764" s="91">
        <v>16</v>
      </c>
      <c r="G1764" s="96">
        <v>5</v>
      </c>
      <c r="H1764" s="94">
        <v>0</v>
      </c>
      <c r="I1764" s="91">
        <v>0</v>
      </c>
      <c r="J1764" s="71">
        <v>42977</v>
      </c>
      <c r="K1764" s="71">
        <v>43131</v>
      </c>
      <c r="L1764" s="69" t="s">
        <v>119</v>
      </c>
      <c r="M1764" s="69" t="s">
        <v>299</v>
      </c>
      <c r="N1764" s="95"/>
      <c r="O1764" s="67"/>
      <c r="P1764" s="67" t="s">
        <v>95</v>
      </c>
      <c r="Q1764" s="67" t="s">
        <v>120</v>
      </c>
      <c r="R1764" s="92" t="s">
        <v>69</v>
      </c>
      <c r="S1764" s="92" t="s">
        <v>123</v>
      </c>
      <c r="T1764" s="67"/>
      <c r="U1764" s="67"/>
      <c r="V1764" s="95">
        <v>43131</v>
      </c>
      <c r="W1764" s="92">
        <v>2030509</v>
      </c>
      <c r="X1764" s="90"/>
      <c r="Y1764" s="123"/>
      <c r="Z1764" s="30">
        <f t="shared" si="54"/>
        <v>6772.6006943194379</v>
      </c>
      <c r="AA1764" s="30">
        <f t="shared" si="55"/>
        <v>2116.4377169748245</v>
      </c>
      <c r="AB1764" t="s">
        <v>456</v>
      </c>
    </row>
    <row r="1765" spans="1:28">
      <c r="A1765" s="67" t="s">
        <v>122</v>
      </c>
      <c r="B1765" s="91">
        <v>1314261</v>
      </c>
      <c r="C1765" s="92">
        <v>4615491030</v>
      </c>
      <c r="D1765" s="93">
        <v>19200</v>
      </c>
      <c r="E1765" s="79"/>
      <c r="F1765" s="91">
        <v>16</v>
      </c>
      <c r="G1765" s="96">
        <v>5</v>
      </c>
      <c r="H1765" s="94">
        <v>0</v>
      </c>
      <c r="I1765" s="91">
        <v>0</v>
      </c>
      <c r="J1765" s="71">
        <v>42977</v>
      </c>
      <c r="K1765" s="71">
        <v>43131</v>
      </c>
      <c r="L1765" s="69" t="s">
        <v>119</v>
      </c>
      <c r="M1765" s="69" t="s">
        <v>109</v>
      </c>
      <c r="N1765" s="95">
        <v>43207</v>
      </c>
      <c r="O1765" s="67"/>
      <c r="P1765" s="67" t="s">
        <v>95</v>
      </c>
      <c r="Q1765" s="67" t="s">
        <v>120</v>
      </c>
      <c r="R1765" s="92" t="s">
        <v>69</v>
      </c>
      <c r="S1765" s="92" t="s">
        <v>123</v>
      </c>
      <c r="T1765" s="67"/>
      <c r="U1765" s="67"/>
      <c r="V1765" s="95">
        <v>43131</v>
      </c>
      <c r="W1765" s="92">
        <v>2030509</v>
      </c>
      <c r="X1765" s="90"/>
      <c r="Y1765" s="123"/>
      <c r="Z1765" s="30">
        <f t="shared" si="54"/>
        <v>6772.6006943194379</v>
      </c>
      <c r="AA1765" s="30">
        <f t="shared" si="55"/>
        <v>2116.4377169748245</v>
      </c>
      <c r="AB1765" t="s">
        <v>456</v>
      </c>
    </row>
    <row r="1766" spans="1:28">
      <c r="A1766" s="67" t="s">
        <v>122</v>
      </c>
      <c r="B1766" s="99">
        <v>1314259</v>
      </c>
      <c r="C1766" s="92">
        <v>4615491030</v>
      </c>
      <c r="D1766" s="93">
        <v>19200</v>
      </c>
      <c r="E1766" s="79"/>
      <c r="F1766" s="91">
        <v>16</v>
      </c>
      <c r="G1766" s="96">
        <v>5</v>
      </c>
      <c r="H1766" s="94">
        <v>0</v>
      </c>
      <c r="I1766" s="91">
        <v>0</v>
      </c>
      <c r="J1766" s="71">
        <v>42977</v>
      </c>
      <c r="K1766" s="71">
        <v>43131</v>
      </c>
      <c r="L1766" s="69" t="s">
        <v>119</v>
      </c>
      <c r="M1766" s="69" t="s">
        <v>109</v>
      </c>
      <c r="N1766" s="95">
        <v>43206</v>
      </c>
      <c r="O1766" s="67"/>
      <c r="P1766" s="67" t="s">
        <v>95</v>
      </c>
      <c r="Q1766" s="67" t="s">
        <v>120</v>
      </c>
      <c r="R1766" s="92" t="s">
        <v>69</v>
      </c>
      <c r="S1766" s="92" t="s">
        <v>123</v>
      </c>
      <c r="T1766" s="67"/>
      <c r="U1766" s="67"/>
      <c r="V1766" s="95">
        <v>43131</v>
      </c>
      <c r="W1766" s="92">
        <v>2030509</v>
      </c>
      <c r="X1766" s="90"/>
      <c r="Y1766" s="123"/>
      <c r="Z1766" s="30">
        <f t="shared" si="54"/>
        <v>6772.6006943194379</v>
      </c>
      <c r="AA1766" s="30">
        <f t="shared" si="55"/>
        <v>2116.4377169748245</v>
      </c>
      <c r="AB1766" t="s">
        <v>456</v>
      </c>
    </row>
    <row r="1767" spans="1:28">
      <c r="A1767" s="67" t="s">
        <v>122</v>
      </c>
      <c r="B1767" s="100">
        <v>1314260</v>
      </c>
      <c r="C1767" s="92">
        <v>4615491030</v>
      </c>
      <c r="D1767" s="93">
        <v>19200</v>
      </c>
      <c r="E1767" s="79"/>
      <c r="F1767" s="91">
        <v>16</v>
      </c>
      <c r="G1767" s="96">
        <v>5</v>
      </c>
      <c r="H1767" s="94">
        <v>0</v>
      </c>
      <c r="I1767" s="91">
        <v>0</v>
      </c>
      <c r="J1767" s="71">
        <v>42977</v>
      </c>
      <c r="K1767" s="71">
        <v>43131</v>
      </c>
      <c r="L1767" s="69" t="s">
        <v>119</v>
      </c>
      <c r="M1767" s="69" t="s">
        <v>299</v>
      </c>
      <c r="N1767" s="95"/>
      <c r="O1767" s="67"/>
      <c r="P1767" s="67" t="s">
        <v>95</v>
      </c>
      <c r="Q1767" s="67" t="s">
        <v>120</v>
      </c>
      <c r="R1767" s="92" t="s">
        <v>69</v>
      </c>
      <c r="S1767" s="92" t="s">
        <v>123</v>
      </c>
      <c r="T1767" s="67"/>
      <c r="U1767" s="67"/>
      <c r="V1767" s="95">
        <v>43131</v>
      </c>
      <c r="W1767" s="92">
        <v>2030509</v>
      </c>
      <c r="X1767" s="90"/>
      <c r="Y1767" s="123"/>
      <c r="Z1767" s="30">
        <f t="shared" si="54"/>
        <v>6772.6006943194379</v>
      </c>
      <c r="AA1767" s="30">
        <f t="shared" si="55"/>
        <v>2116.4377169748245</v>
      </c>
      <c r="AB1767" t="s">
        <v>456</v>
      </c>
    </row>
    <row r="1768" spans="1:28">
      <c r="A1768" s="67" t="s">
        <v>122</v>
      </c>
      <c r="B1768" s="91"/>
      <c r="C1768" s="92">
        <v>4615491030</v>
      </c>
      <c r="D1768" s="93">
        <v>19200</v>
      </c>
      <c r="E1768" s="79"/>
      <c r="F1768" s="91">
        <v>16</v>
      </c>
      <c r="G1768" s="96">
        <v>5</v>
      </c>
      <c r="H1768" s="94">
        <v>0</v>
      </c>
      <c r="I1768" s="91">
        <v>0</v>
      </c>
      <c r="J1768" s="71"/>
      <c r="K1768" s="71">
        <v>43131</v>
      </c>
      <c r="L1768" s="69" t="s">
        <v>80</v>
      </c>
      <c r="M1768" s="69" t="s">
        <v>286</v>
      </c>
      <c r="N1768" s="95"/>
      <c r="O1768" s="67"/>
      <c r="P1768" s="67" t="s">
        <v>95</v>
      </c>
      <c r="Q1768" s="67" t="s">
        <v>120</v>
      </c>
      <c r="R1768" s="92" t="s">
        <v>69</v>
      </c>
      <c r="S1768" s="92" t="s">
        <v>123</v>
      </c>
      <c r="T1768" s="67"/>
      <c r="U1768" s="67"/>
      <c r="V1768" s="95">
        <v>43131</v>
      </c>
      <c r="W1768" s="92">
        <v>2030509</v>
      </c>
      <c r="X1768" s="90"/>
      <c r="Y1768" s="123"/>
      <c r="Z1768" s="30">
        <f t="shared" si="54"/>
        <v>6772.6006943194379</v>
      </c>
      <c r="AA1768" s="30">
        <f t="shared" si="55"/>
        <v>2116.4377169748245</v>
      </c>
      <c r="AB1768" t="s">
        <v>457</v>
      </c>
    </row>
    <row r="1769" spans="1:28">
      <c r="A1769" s="67" t="s">
        <v>122</v>
      </c>
      <c r="B1769" s="91">
        <v>1312463</v>
      </c>
      <c r="C1769" s="92">
        <v>4615461663</v>
      </c>
      <c r="D1769" s="93">
        <v>21000</v>
      </c>
      <c r="E1769" s="79"/>
      <c r="F1769" s="91">
        <v>16</v>
      </c>
      <c r="G1769" s="96">
        <v>5</v>
      </c>
      <c r="H1769" s="94">
        <v>0</v>
      </c>
      <c r="I1769" s="91">
        <v>0</v>
      </c>
      <c r="J1769" s="71">
        <v>43087</v>
      </c>
      <c r="K1769" s="71">
        <v>43131</v>
      </c>
      <c r="L1769" s="69" t="s">
        <v>132</v>
      </c>
      <c r="M1769" s="69" t="s">
        <v>109</v>
      </c>
      <c r="N1769" s="95">
        <v>43143</v>
      </c>
      <c r="O1769" s="67"/>
      <c r="P1769" s="67" t="s">
        <v>95</v>
      </c>
      <c r="Q1769" s="67" t="s">
        <v>120</v>
      </c>
      <c r="R1769" s="92" t="s">
        <v>69</v>
      </c>
      <c r="S1769" s="92" t="s">
        <v>123</v>
      </c>
      <c r="T1769" s="67"/>
      <c r="U1769" s="67"/>
      <c r="V1769" s="95">
        <v>43131</v>
      </c>
      <c r="W1769" s="92">
        <v>2030477</v>
      </c>
      <c r="X1769" s="90" t="s">
        <v>124</v>
      </c>
      <c r="Y1769" s="123"/>
      <c r="Z1769" s="30">
        <f t="shared" si="54"/>
        <v>7407.5320094118861</v>
      </c>
      <c r="AA1769" s="30">
        <f t="shared" si="55"/>
        <v>2314.8537529412147</v>
      </c>
      <c r="AB1769" t="s">
        <v>456</v>
      </c>
    </row>
    <row r="1770" spans="1:28">
      <c r="A1770" s="67" t="s">
        <v>122</v>
      </c>
      <c r="B1770" s="91">
        <v>1312469</v>
      </c>
      <c r="C1770" s="92">
        <v>4615461663</v>
      </c>
      <c r="D1770" s="93">
        <v>21000</v>
      </c>
      <c r="E1770" s="79"/>
      <c r="F1770" s="91">
        <v>16</v>
      </c>
      <c r="G1770" s="96">
        <v>5</v>
      </c>
      <c r="H1770" s="94">
        <v>0</v>
      </c>
      <c r="I1770" s="91">
        <v>0</v>
      </c>
      <c r="J1770" s="71">
        <v>43087</v>
      </c>
      <c r="K1770" s="71">
        <v>43131</v>
      </c>
      <c r="L1770" s="69" t="s">
        <v>132</v>
      </c>
      <c r="M1770" s="69" t="s">
        <v>109</v>
      </c>
      <c r="N1770" s="95">
        <v>43149</v>
      </c>
      <c r="O1770" s="67"/>
      <c r="P1770" s="67" t="s">
        <v>95</v>
      </c>
      <c r="Q1770" s="67" t="s">
        <v>120</v>
      </c>
      <c r="R1770" s="92" t="s">
        <v>69</v>
      </c>
      <c r="S1770" s="92" t="s">
        <v>123</v>
      </c>
      <c r="T1770" s="67"/>
      <c r="U1770" s="67"/>
      <c r="V1770" s="95">
        <v>43131</v>
      </c>
      <c r="W1770" s="92">
        <v>2030477</v>
      </c>
      <c r="X1770" s="90" t="s">
        <v>124</v>
      </c>
      <c r="Y1770" s="123"/>
      <c r="Z1770" s="30">
        <f t="shared" si="54"/>
        <v>7407.5320094118861</v>
      </c>
      <c r="AA1770" s="30">
        <f t="shared" si="55"/>
        <v>2314.8537529412147</v>
      </c>
      <c r="AB1770" t="s">
        <v>456</v>
      </c>
    </row>
    <row r="1771" spans="1:28">
      <c r="A1771" s="67" t="s">
        <v>122</v>
      </c>
      <c r="B1771" s="91">
        <v>1312465</v>
      </c>
      <c r="C1771" s="92">
        <v>4615461663</v>
      </c>
      <c r="D1771" s="93">
        <v>21000</v>
      </c>
      <c r="E1771" s="79"/>
      <c r="F1771" s="91">
        <v>16</v>
      </c>
      <c r="G1771" s="96">
        <v>5</v>
      </c>
      <c r="H1771" s="94">
        <v>0</v>
      </c>
      <c r="I1771" s="91">
        <v>0</v>
      </c>
      <c r="J1771" s="71">
        <v>43087</v>
      </c>
      <c r="K1771" s="71">
        <v>43131</v>
      </c>
      <c r="L1771" s="69" t="s">
        <v>132</v>
      </c>
      <c r="M1771" s="69" t="s">
        <v>109</v>
      </c>
      <c r="N1771" s="95">
        <v>43156</v>
      </c>
      <c r="O1771" s="67"/>
      <c r="P1771" s="67" t="s">
        <v>95</v>
      </c>
      <c r="Q1771" s="67" t="s">
        <v>120</v>
      </c>
      <c r="R1771" s="92" t="s">
        <v>69</v>
      </c>
      <c r="S1771" s="92" t="s">
        <v>123</v>
      </c>
      <c r="T1771" s="67"/>
      <c r="U1771" s="67"/>
      <c r="V1771" s="95">
        <v>43131</v>
      </c>
      <c r="W1771" s="92">
        <v>2030477</v>
      </c>
      <c r="X1771" s="90" t="s">
        <v>124</v>
      </c>
      <c r="Y1771" s="123"/>
      <c r="Z1771" s="30">
        <f t="shared" si="54"/>
        <v>7407.5320094118861</v>
      </c>
      <c r="AA1771" s="30">
        <f t="shared" si="55"/>
        <v>2314.8537529412147</v>
      </c>
      <c r="AB1771" t="s">
        <v>456</v>
      </c>
    </row>
    <row r="1772" spans="1:28">
      <c r="A1772" s="67" t="s">
        <v>122</v>
      </c>
      <c r="B1772" s="91">
        <v>1312471</v>
      </c>
      <c r="C1772" s="92">
        <v>4615461663</v>
      </c>
      <c r="D1772" s="93">
        <v>21000</v>
      </c>
      <c r="E1772" s="79"/>
      <c r="F1772" s="91">
        <v>16</v>
      </c>
      <c r="G1772" s="96">
        <v>5</v>
      </c>
      <c r="H1772" s="94">
        <v>0</v>
      </c>
      <c r="I1772" s="91">
        <v>0</v>
      </c>
      <c r="J1772" s="71">
        <v>43087</v>
      </c>
      <c r="K1772" s="71">
        <v>43131</v>
      </c>
      <c r="L1772" s="69" t="s">
        <v>132</v>
      </c>
      <c r="M1772" s="69" t="s">
        <v>109</v>
      </c>
      <c r="N1772" s="95">
        <v>43156</v>
      </c>
      <c r="O1772" s="67"/>
      <c r="P1772" s="67" t="s">
        <v>95</v>
      </c>
      <c r="Q1772" s="67" t="s">
        <v>120</v>
      </c>
      <c r="R1772" s="92" t="s">
        <v>69</v>
      </c>
      <c r="S1772" s="92" t="s">
        <v>123</v>
      </c>
      <c r="T1772" s="67"/>
      <c r="U1772" s="67"/>
      <c r="V1772" s="95">
        <v>43131</v>
      </c>
      <c r="W1772" s="92">
        <v>2030477</v>
      </c>
      <c r="X1772" s="90" t="s">
        <v>124</v>
      </c>
      <c r="Y1772" s="123"/>
      <c r="Z1772" s="30">
        <f t="shared" si="54"/>
        <v>7407.5320094118861</v>
      </c>
      <c r="AA1772" s="30">
        <f t="shared" si="55"/>
        <v>2314.8537529412147</v>
      </c>
      <c r="AB1772" t="s">
        <v>456</v>
      </c>
    </row>
    <row r="1773" spans="1:28">
      <c r="A1773" s="67" t="s">
        <v>122</v>
      </c>
      <c r="B1773" s="91">
        <v>1312464</v>
      </c>
      <c r="C1773" s="92">
        <v>4615461663</v>
      </c>
      <c r="D1773" s="93">
        <v>21000</v>
      </c>
      <c r="E1773" s="79"/>
      <c r="F1773" s="91">
        <v>16</v>
      </c>
      <c r="G1773" s="96">
        <v>5</v>
      </c>
      <c r="H1773" s="94">
        <v>0</v>
      </c>
      <c r="I1773" s="91">
        <v>0</v>
      </c>
      <c r="J1773" s="71">
        <v>43087</v>
      </c>
      <c r="K1773" s="71">
        <v>43131</v>
      </c>
      <c r="L1773" s="69" t="s">
        <v>132</v>
      </c>
      <c r="M1773" s="69" t="s">
        <v>109</v>
      </c>
      <c r="N1773" s="95">
        <v>43157</v>
      </c>
      <c r="O1773" s="67"/>
      <c r="P1773" s="67" t="s">
        <v>95</v>
      </c>
      <c r="Q1773" s="67" t="s">
        <v>120</v>
      </c>
      <c r="R1773" s="92" t="s">
        <v>69</v>
      </c>
      <c r="S1773" s="92" t="s">
        <v>123</v>
      </c>
      <c r="T1773" s="67"/>
      <c r="U1773" s="67"/>
      <c r="V1773" s="95">
        <v>43131</v>
      </c>
      <c r="W1773" s="92">
        <v>2030477</v>
      </c>
      <c r="X1773" s="90" t="s">
        <v>124</v>
      </c>
      <c r="Y1773" s="123"/>
      <c r="Z1773" s="30">
        <f t="shared" si="54"/>
        <v>7407.5320094118861</v>
      </c>
      <c r="AA1773" s="30">
        <f t="shared" si="55"/>
        <v>2314.8537529412147</v>
      </c>
      <c r="AB1773" t="s">
        <v>456</v>
      </c>
    </row>
    <row r="1774" spans="1:28">
      <c r="A1774" s="67" t="s">
        <v>122</v>
      </c>
      <c r="B1774" s="91"/>
      <c r="C1774" s="92">
        <v>4615505088</v>
      </c>
      <c r="D1774" s="93">
        <v>21000</v>
      </c>
      <c r="E1774" s="79"/>
      <c r="F1774" s="91">
        <v>16</v>
      </c>
      <c r="G1774" s="96">
        <v>5</v>
      </c>
      <c r="H1774" s="94">
        <v>0</v>
      </c>
      <c r="I1774" s="91">
        <v>0</v>
      </c>
      <c r="J1774" s="71"/>
      <c r="K1774" s="71">
        <v>43131</v>
      </c>
      <c r="L1774" s="69" t="s">
        <v>80</v>
      </c>
      <c r="M1774" s="69" t="s">
        <v>286</v>
      </c>
      <c r="N1774" s="95"/>
      <c r="O1774" s="67"/>
      <c r="P1774" s="67" t="s">
        <v>95</v>
      </c>
      <c r="Q1774" s="67" t="s">
        <v>120</v>
      </c>
      <c r="R1774" s="92" t="s">
        <v>69</v>
      </c>
      <c r="S1774" s="92" t="s">
        <v>123</v>
      </c>
      <c r="T1774" s="67"/>
      <c r="U1774" s="67"/>
      <c r="V1774" s="95">
        <v>43131</v>
      </c>
      <c r="W1774" s="92">
        <v>2030477</v>
      </c>
      <c r="X1774" s="90" t="s">
        <v>315</v>
      </c>
      <c r="Y1774" s="123"/>
      <c r="Z1774" s="30">
        <f t="shared" si="54"/>
        <v>7407.5320094118861</v>
      </c>
      <c r="AA1774" s="30">
        <f t="shared" si="55"/>
        <v>2314.8537529412147</v>
      </c>
      <c r="AB1774" t="s">
        <v>457</v>
      </c>
    </row>
    <row r="1775" spans="1:28">
      <c r="A1775" s="67" t="s">
        <v>122</v>
      </c>
      <c r="B1775" s="91">
        <v>1312468</v>
      </c>
      <c r="C1775" s="92">
        <v>4615461663</v>
      </c>
      <c r="D1775" s="93">
        <v>21000</v>
      </c>
      <c r="E1775" s="79"/>
      <c r="F1775" s="91">
        <v>16</v>
      </c>
      <c r="G1775" s="96">
        <v>5</v>
      </c>
      <c r="H1775" s="94">
        <v>0</v>
      </c>
      <c r="I1775" s="91">
        <v>0</v>
      </c>
      <c r="J1775" s="71">
        <v>43087</v>
      </c>
      <c r="K1775" s="71">
        <v>43131</v>
      </c>
      <c r="L1775" s="69" t="s">
        <v>132</v>
      </c>
      <c r="M1775" s="69" t="s">
        <v>109</v>
      </c>
      <c r="N1775" s="95">
        <v>43159</v>
      </c>
      <c r="O1775" s="67"/>
      <c r="P1775" s="67" t="s">
        <v>95</v>
      </c>
      <c r="Q1775" s="67" t="s">
        <v>120</v>
      </c>
      <c r="R1775" s="92" t="s">
        <v>69</v>
      </c>
      <c r="S1775" s="92" t="s">
        <v>123</v>
      </c>
      <c r="T1775" s="67"/>
      <c r="U1775" s="67"/>
      <c r="V1775" s="95">
        <v>43131</v>
      </c>
      <c r="W1775" s="92">
        <v>2030477</v>
      </c>
      <c r="X1775" s="90" t="s">
        <v>124</v>
      </c>
      <c r="Y1775" s="123"/>
      <c r="Z1775" s="30">
        <f t="shared" si="54"/>
        <v>7407.5320094118861</v>
      </c>
      <c r="AA1775" s="30">
        <f t="shared" si="55"/>
        <v>2314.8537529412147</v>
      </c>
      <c r="AB1775" t="s">
        <v>456</v>
      </c>
    </row>
    <row r="1776" spans="1:28">
      <c r="A1776" s="67" t="s">
        <v>122</v>
      </c>
      <c r="B1776" s="91">
        <v>1312470</v>
      </c>
      <c r="C1776" s="92">
        <v>4615461663</v>
      </c>
      <c r="D1776" s="93">
        <v>21000</v>
      </c>
      <c r="E1776" s="79"/>
      <c r="F1776" s="91">
        <v>16</v>
      </c>
      <c r="G1776" s="96">
        <v>5</v>
      </c>
      <c r="H1776" s="94">
        <v>0</v>
      </c>
      <c r="I1776" s="91">
        <v>0</v>
      </c>
      <c r="J1776" s="71">
        <v>43087</v>
      </c>
      <c r="K1776" s="71">
        <v>43131</v>
      </c>
      <c r="L1776" s="69" t="s">
        <v>132</v>
      </c>
      <c r="M1776" s="69" t="s">
        <v>109</v>
      </c>
      <c r="N1776" s="95">
        <v>43170</v>
      </c>
      <c r="O1776" s="67"/>
      <c r="P1776" s="67" t="s">
        <v>95</v>
      </c>
      <c r="Q1776" s="67" t="s">
        <v>120</v>
      </c>
      <c r="R1776" s="92" t="s">
        <v>69</v>
      </c>
      <c r="S1776" s="92" t="s">
        <v>123</v>
      </c>
      <c r="T1776" s="67"/>
      <c r="U1776" s="67"/>
      <c r="V1776" s="95">
        <v>43131</v>
      </c>
      <c r="W1776" s="92">
        <v>2030477</v>
      </c>
      <c r="X1776" s="90" t="s">
        <v>124</v>
      </c>
      <c r="Y1776" s="123"/>
      <c r="Z1776" s="30">
        <f t="shared" si="54"/>
        <v>7407.5320094118861</v>
      </c>
      <c r="AA1776" s="30">
        <f t="shared" si="55"/>
        <v>2314.8537529412147</v>
      </c>
      <c r="AB1776" t="s">
        <v>456</v>
      </c>
    </row>
    <row r="1777" spans="1:28">
      <c r="A1777" s="67" t="s">
        <v>122</v>
      </c>
      <c r="B1777" s="91">
        <v>1315795</v>
      </c>
      <c r="C1777" s="92">
        <v>4615461663</v>
      </c>
      <c r="D1777" s="93">
        <v>21000</v>
      </c>
      <c r="E1777" s="79"/>
      <c r="F1777" s="91">
        <v>16</v>
      </c>
      <c r="G1777" s="96">
        <v>5</v>
      </c>
      <c r="H1777" s="94">
        <v>0</v>
      </c>
      <c r="I1777" s="91">
        <v>0</v>
      </c>
      <c r="J1777" s="71">
        <v>43095</v>
      </c>
      <c r="K1777" s="71">
        <v>43131</v>
      </c>
      <c r="L1777" s="69" t="s">
        <v>132</v>
      </c>
      <c r="M1777" s="69" t="s">
        <v>109</v>
      </c>
      <c r="N1777" s="95">
        <v>43195</v>
      </c>
      <c r="O1777" s="67"/>
      <c r="P1777" s="67" t="s">
        <v>95</v>
      </c>
      <c r="Q1777" s="67" t="s">
        <v>120</v>
      </c>
      <c r="R1777" s="92" t="s">
        <v>69</v>
      </c>
      <c r="S1777" s="92" t="s">
        <v>123</v>
      </c>
      <c r="T1777" s="67"/>
      <c r="U1777" s="67"/>
      <c r="V1777" s="95">
        <v>43131</v>
      </c>
      <c r="W1777" s="92">
        <v>2030477</v>
      </c>
      <c r="X1777" s="90" t="s">
        <v>124</v>
      </c>
      <c r="Y1777" s="123"/>
      <c r="Z1777" s="30">
        <f t="shared" si="54"/>
        <v>7407.5320094118861</v>
      </c>
      <c r="AA1777" s="30">
        <f t="shared" si="55"/>
        <v>2314.8537529412147</v>
      </c>
      <c r="AB1777" t="s">
        <v>456</v>
      </c>
    </row>
    <row r="1778" spans="1:28">
      <c r="A1778" s="67" t="s">
        <v>122</v>
      </c>
      <c r="B1778" s="91"/>
      <c r="C1778" s="92">
        <v>4615452015</v>
      </c>
      <c r="D1778" s="93">
        <v>21000</v>
      </c>
      <c r="E1778" s="79"/>
      <c r="F1778" s="91">
        <v>16</v>
      </c>
      <c r="G1778" s="96">
        <v>5</v>
      </c>
      <c r="H1778" s="94">
        <v>0</v>
      </c>
      <c r="I1778" s="91">
        <v>0</v>
      </c>
      <c r="J1778" s="71"/>
      <c r="K1778" s="71">
        <v>43131</v>
      </c>
      <c r="L1778" s="69" t="s">
        <v>80</v>
      </c>
      <c r="M1778" s="69" t="s">
        <v>286</v>
      </c>
      <c r="N1778" s="95"/>
      <c r="O1778" s="67"/>
      <c r="P1778" s="67" t="s">
        <v>95</v>
      </c>
      <c r="Q1778" s="67" t="s">
        <v>120</v>
      </c>
      <c r="R1778" s="92" t="s">
        <v>69</v>
      </c>
      <c r="S1778" s="92" t="s">
        <v>123</v>
      </c>
      <c r="T1778" s="67"/>
      <c r="U1778" s="67"/>
      <c r="V1778" s="95">
        <v>43131</v>
      </c>
      <c r="W1778" s="92">
        <v>2030488</v>
      </c>
      <c r="X1778" s="90" t="s">
        <v>124</v>
      </c>
      <c r="Y1778" s="123"/>
      <c r="Z1778" s="30">
        <f t="shared" si="54"/>
        <v>7407.5320094118861</v>
      </c>
      <c r="AA1778" s="30">
        <f t="shared" si="55"/>
        <v>2314.8537529412147</v>
      </c>
      <c r="AB1778" t="s">
        <v>457</v>
      </c>
    </row>
    <row r="1779" spans="1:28">
      <c r="A1779" s="67" t="s">
        <v>122</v>
      </c>
      <c r="B1779" s="91"/>
      <c r="C1779" s="92">
        <v>4615452015</v>
      </c>
      <c r="D1779" s="93">
        <v>21000</v>
      </c>
      <c r="E1779" s="79"/>
      <c r="F1779" s="91">
        <v>16</v>
      </c>
      <c r="G1779" s="96">
        <v>5</v>
      </c>
      <c r="H1779" s="94">
        <v>0</v>
      </c>
      <c r="I1779" s="91">
        <v>0</v>
      </c>
      <c r="J1779" s="71"/>
      <c r="K1779" s="71">
        <v>43131</v>
      </c>
      <c r="L1779" s="69" t="s">
        <v>80</v>
      </c>
      <c r="M1779" s="69" t="s">
        <v>286</v>
      </c>
      <c r="N1779" s="95"/>
      <c r="O1779" s="67"/>
      <c r="P1779" s="67" t="s">
        <v>95</v>
      </c>
      <c r="Q1779" s="67" t="s">
        <v>120</v>
      </c>
      <c r="R1779" s="92" t="s">
        <v>69</v>
      </c>
      <c r="S1779" s="92" t="s">
        <v>123</v>
      </c>
      <c r="T1779" s="67"/>
      <c r="U1779" s="67"/>
      <c r="V1779" s="95">
        <v>43131</v>
      </c>
      <c r="W1779" s="92">
        <v>2030488</v>
      </c>
      <c r="X1779" s="90" t="s">
        <v>124</v>
      </c>
      <c r="Y1779" s="123"/>
      <c r="Z1779" s="30">
        <f t="shared" si="54"/>
        <v>7407.5320094118861</v>
      </c>
      <c r="AA1779" s="30">
        <f t="shared" si="55"/>
        <v>2314.8537529412147</v>
      </c>
      <c r="AB1779" t="s">
        <v>457</v>
      </c>
    </row>
    <row r="1780" spans="1:28">
      <c r="A1780" s="67" t="s">
        <v>122</v>
      </c>
      <c r="B1780" s="91"/>
      <c r="C1780" s="92">
        <v>4615452015</v>
      </c>
      <c r="D1780" s="93">
        <v>21000</v>
      </c>
      <c r="E1780" s="79"/>
      <c r="F1780" s="91">
        <v>16</v>
      </c>
      <c r="G1780" s="96">
        <v>5</v>
      </c>
      <c r="H1780" s="94">
        <v>0</v>
      </c>
      <c r="I1780" s="91">
        <v>0</v>
      </c>
      <c r="J1780" s="71"/>
      <c r="K1780" s="71">
        <v>43131</v>
      </c>
      <c r="L1780" s="69" t="s">
        <v>80</v>
      </c>
      <c r="M1780" s="69" t="s">
        <v>286</v>
      </c>
      <c r="N1780" s="95"/>
      <c r="O1780" s="67"/>
      <c r="P1780" s="67" t="s">
        <v>95</v>
      </c>
      <c r="Q1780" s="67" t="s">
        <v>120</v>
      </c>
      <c r="R1780" s="92" t="s">
        <v>69</v>
      </c>
      <c r="S1780" s="92" t="s">
        <v>123</v>
      </c>
      <c r="T1780" s="67"/>
      <c r="U1780" s="67"/>
      <c r="V1780" s="95">
        <v>43131</v>
      </c>
      <c r="W1780" s="92">
        <v>2030488</v>
      </c>
      <c r="X1780" s="90" t="s">
        <v>124</v>
      </c>
      <c r="Y1780" s="123"/>
      <c r="Z1780" s="30">
        <f t="shared" si="54"/>
        <v>7407.5320094118861</v>
      </c>
      <c r="AA1780" s="30">
        <f t="shared" si="55"/>
        <v>2314.8537529412147</v>
      </c>
      <c r="AB1780" t="s">
        <v>457</v>
      </c>
    </row>
    <row r="1781" spans="1:28">
      <c r="A1781" s="67" t="s">
        <v>113</v>
      </c>
      <c r="B1781" s="91">
        <v>1313600</v>
      </c>
      <c r="C1781" s="92">
        <v>4615471155</v>
      </c>
      <c r="D1781" s="93">
        <v>19175</v>
      </c>
      <c r="E1781" s="79"/>
      <c r="F1781" s="91">
        <v>16</v>
      </c>
      <c r="G1781" s="96">
        <v>5</v>
      </c>
      <c r="H1781" s="94">
        <v>0</v>
      </c>
      <c r="I1781" s="91">
        <v>0</v>
      </c>
      <c r="J1781" s="71">
        <v>42996</v>
      </c>
      <c r="K1781" s="71">
        <v>43131</v>
      </c>
      <c r="L1781" s="69" t="s">
        <v>119</v>
      </c>
      <c r="M1781" s="69" t="s">
        <v>109</v>
      </c>
      <c r="N1781" s="95">
        <v>43170</v>
      </c>
      <c r="O1781" s="67"/>
      <c r="P1781" s="67" t="s">
        <v>95</v>
      </c>
      <c r="Q1781" s="67" t="s">
        <v>110</v>
      </c>
      <c r="R1781" s="92" t="s">
        <v>69</v>
      </c>
      <c r="S1781" s="92" t="s">
        <v>115</v>
      </c>
      <c r="T1781" s="67"/>
      <c r="U1781" s="67"/>
      <c r="V1781" s="95">
        <v>43131</v>
      </c>
      <c r="W1781" s="92">
        <v>17070147</v>
      </c>
      <c r="X1781" s="90"/>
      <c r="Y1781" s="123"/>
      <c r="Z1781" s="30">
        <f t="shared" si="54"/>
        <v>6763.7822038320437</v>
      </c>
      <c r="AA1781" s="30">
        <f t="shared" si="55"/>
        <v>2113.6819386975139</v>
      </c>
      <c r="AB1781" t="s">
        <v>458</v>
      </c>
    </row>
    <row r="1782" spans="1:28">
      <c r="A1782" s="67" t="s">
        <v>113</v>
      </c>
      <c r="B1782" s="91">
        <v>1315791</v>
      </c>
      <c r="C1782" s="92">
        <v>4615471155</v>
      </c>
      <c r="D1782" s="93">
        <v>19175</v>
      </c>
      <c r="E1782" s="79"/>
      <c r="F1782" s="91">
        <v>16</v>
      </c>
      <c r="G1782" s="96">
        <v>5</v>
      </c>
      <c r="H1782" s="94">
        <v>0</v>
      </c>
      <c r="I1782" s="91">
        <v>0</v>
      </c>
      <c r="J1782" s="71">
        <v>42991</v>
      </c>
      <c r="K1782" s="71">
        <v>43131</v>
      </c>
      <c r="L1782" s="69" t="s">
        <v>119</v>
      </c>
      <c r="M1782" s="69" t="s">
        <v>109</v>
      </c>
      <c r="N1782" s="95">
        <v>43186</v>
      </c>
      <c r="O1782" s="67"/>
      <c r="P1782" s="67" t="s">
        <v>95</v>
      </c>
      <c r="Q1782" s="67" t="s">
        <v>110</v>
      </c>
      <c r="R1782" s="92" t="s">
        <v>69</v>
      </c>
      <c r="S1782" s="92" t="s">
        <v>115</v>
      </c>
      <c r="T1782" s="67"/>
      <c r="U1782" s="67"/>
      <c r="V1782" s="95">
        <v>43131</v>
      </c>
      <c r="W1782" s="92">
        <v>17070147</v>
      </c>
      <c r="X1782" s="90"/>
      <c r="Y1782" s="123"/>
      <c r="Z1782" s="30">
        <f t="shared" si="54"/>
        <v>6763.7822038320437</v>
      </c>
      <c r="AA1782" s="30">
        <f t="shared" si="55"/>
        <v>2113.6819386975139</v>
      </c>
      <c r="AB1782" t="s">
        <v>458</v>
      </c>
    </row>
    <row r="1783" spans="1:28">
      <c r="A1783" s="67" t="s">
        <v>113</v>
      </c>
      <c r="B1783" s="91">
        <v>1315789</v>
      </c>
      <c r="C1783" s="92">
        <v>4615471155</v>
      </c>
      <c r="D1783" s="93">
        <v>19175</v>
      </c>
      <c r="E1783" s="79"/>
      <c r="F1783" s="91">
        <v>16</v>
      </c>
      <c r="G1783" s="96">
        <v>5</v>
      </c>
      <c r="H1783" s="94">
        <v>0</v>
      </c>
      <c r="I1783" s="91">
        <v>0</v>
      </c>
      <c r="J1783" s="71">
        <v>42991</v>
      </c>
      <c r="K1783" s="71">
        <v>43131</v>
      </c>
      <c r="L1783" s="69" t="s">
        <v>119</v>
      </c>
      <c r="M1783" s="69" t="s">
        <v>109</v>
      </c>
      <c r="N1783" s="95">
        <v>43174</v>
      </c>
      <c r="O1783" s="67"/>
      <c r="P1783" s="67" t="s">
        <v>95</v>
      </c>
      <c r="Q1783" s="67" t="s">
        <v>110</v>
      </c>
      <c r="R1783" s="92" t="s">
        <v>69</v>
      </c>
      <c r="S1783" s="92" t="s">
        <v>115</v>
      </c>
      <c r="T1783" s="67"/>
      <c r="U1783" s="67"/>
      <c r="V1783" s="95">
        <v>43131</v>
      </c>
      <c r="W1783" s="92">
        <v>17070147</v>
      </c>
      <c r="X1783" s="90"/>
      <c r="Y1783" s="123"/>
      <c r="Z1783" s="30">
        <f t="shared" si="54"/>
        <v>6763.7822038320437</v>
      </c>
      <c r="AA1783" s="30">
        <f t="shared" si="55"/>
        <v>2113.6819386975139</v>
      </c>
      <c r="AB1783" t="s">
        <v>458</v>
      </c>
    </row>
    <row r="1784" spans="1:28">
      <c r="A1784" s="67" t="s">
        <v>113</v>
      </c>
      <c r="B1784" s="91">
        <v>1313601</v>
      </c>
      <c r="C1784" s="92">
        <v>4615471155</v>
      </c>
      <c r="D1784" s="93">
        <v>19175</v>
      </c>
      <c r="E1784" s="79"/>
      <c r="F1784" s="91">
        <v>16</v>
      </c>
      <c r="G1784" s="96">
        <v>5</v>
      </c>
      <c r="H1784" s="94">
        <v>0</v>
      </c>
      <c r="I1784" s="91">
        <v>0</v>
      </c>
      <c r="J1784" s="71">
        <v>42996</v>
      </c>
      <c r="K1784" s="71">
        <v>43131</v>
      </c>
      <c r="L1784" s="69" t="s">
        <v>119</v>
      </c>
      <c r="M1784" s="69" t="s">
        <v>109</v>
      </c>
      <c r="N1784" s="95">
        <v>43177</v>
      </c>
      <c r="O1784" s="67"/>
      <c r="P1784" s="67" t="s">
        <v>95</v>
      </c>
      <c r="Q1784" s="67" t="s">
        <v>110</v>
      </c>
      <c r="R1784" s="92" t="s">
        <v>69</v>
      </c>
      <c r="S1784" s="92" t="s">
        <v>115</v>
      </c>
      <c r="T1784" s="67"/>
      <c r="U1784" s="67"/>
      <c r="V1784" s="95">
        <v>43131</v>
      </c>
      <c r="W1784" s="92">
        <v>17070147</v>
      </c>
      <c r="X1784" s="90"/>
      <c r="Y1784" s="123"/>
      <c r="Z1784" s="30">
        <f t="shared" si="54"/>
        <v>6763.7822038320437</v>
      </c>
      <c r="AA1784" s="30">
        <f t="shared" si="55"/>
        <v>2113.6819386975139</v>
      </c>
      <c r="AB1784" t="s">
        <v>458</v>
      </c>
    </row>
    <row r="1785" spans="1:28">
      <c r="A1785" s="67" t="s">
        <v>113</v>
      </c>
      <c r="B1785" s="91">
        <v>1313599</v>
      </c>
      <c r="C1785" s="92">
        <v>4615471155</v>
      </c>
      <c r="D1785" s="93">
        <v>19175</v>
      </c>
      <c r="E1785" s="79"/>
      <c r="F1785" s="91">
        <v>16</v>
      </c>
      <c r="G1785" s="96">
        <v>5</v>
      </c>
      <c r="H1785" s="94">
        <v>0</v>
      </c>
      <c r="I1785" s="91">
        <v>0</v>
      </c>
      <c r="J1785" s="71">
        <v>42996</v>
      </c>
      <c r="K1785" s="71">
        <v>43131</v>
      </c>
      <c r="L1785" s="69" t="s">
        <v>119</v>
      </c>
      <c r="M1785" s="69" t="s">
        <v>109</v>
      </c>
      <c r="N1785" s="95">
        <v>43178</v>
      </c>
      <c r="O1785" s="67"/>
      <c r="P1785" s="67" t="s">
        <v>95</v>
      </c>
      <c r="Q1785" s="67" t="s">
        <v>110</v>
      </c>
      <c r="R1785" s="92" t="s">
        <v>69</v>
      </c>
      <c r="S1785" s="92" t="s">
        <v>115</v>
      </c>
      <c r="T1785" s="67"/>
      <c r="U1785" s="67"/>
      <c r="V1785" s="95">
        <v>43131</v>
      </c>
      <c r="W1785" s="92">
        <v>17070147</v>
      </c>
      <c r="X1785" s="90"/>
      <c r="Y1785" s="123"/>
      <c r="Z1785" s="30">
        <f t="shared" si="54"/>
        <v>6763.7822038320437</v>
      </c>
      <c r="AA1785" s="30">
        <f t="shared" si="55"/>
        <v>2113.6819386975139</v>
      </c>
      <c r="AB1785" t="s">
        <v>458</v>
      </c>
    </row>
    <row r="1786" spans="1:28">
      <c r="A1786" s="67" t="s">
        <v>113</v>
      </c>
      <c r="B1786" s="91">
        <v>1313598</v>
      </c>
      <c r="C1786" s="92">
        <v>4615471155</v>
      </c>
      <c r="D1786" s="93">
        <v>19175</v>
      </c>
      <c r="E1786" s="79"/>
      <c r="F1786" s="91">
        <v>16</v>
      </c>
      <c r="G1786" s="96">
        <v>5</v>
      </c>
      <c r="H1786" s="94">
        <v>0</v>
      </c>
      <c r="I1786" s="91">
        <v>0</v>
      </c>
      <c r="J1786" s="71">
        <v>42996</v>
      </c>
      <c r="K1786" s="71">
        <v>43131</v>
      </c>
      <c r="L1786" s="69" t="s">
        <v>119</v>
      </c>
      <c r="M1786" s="69" t="s">
        <v>299</v>
      </c>
      <c r="N1786" s="95"/>
      <c r="O1786" s="67"/>
      <c r="P1786" s="67" t="s">
        <v>95</v>
      </c>
      <c r="Q1786" s="67" t="s">
        <v>110</v>
      </c>
      <c r="R1786" s="92" t="s">
        <v>69</v>
      </c>
      <c r="S1786" s="92" t="s">
        <v>115</v>
      </c>
      <c r="T1786" s="67"/>
      <c r="U1786" s="67"/>
      <c r="V1786" s="95">
        <v>43131</v>
      </c>
      <c r="W1786" s="92">
        <v>17070147</v>
      </c>
      <c r="X1786" s="90"/>
      <c r="Y1786" s="123"/>
      <c r="Z1786" s="30">
        <f t="shared" si="54"/>
        <v>6763.7822038320437</v>
      </c>
      <c r="AA1786" s="30">
        <f t="shared" si="55"/>
        <v>2113.6819386975139</v>
      </c>
      <c r="AB1786" t="s">
        <v>458</v>
      </c>
    </row>
    <row r="1787" spans="1:28">
      <c r="A1787" s="67" t="s">
        <v>113</v>
      </c>
      <c r="B1787" s="91">
        <v>1313597</v>
      </c>
      <c r="C1787" s="92">
        <v>4615471155</v>
      </c>
      <c r="D1787" s="93">
        <v>19175</v>
      </c>
      <c r="E1787" s="79"/>
      <c r="F1787" s="91">
        <v>16</v>
      </c>
      <c r="G1787" s="96">
        <v>5</v>
      </c>
      <c r="H1787" s="94">
        <v>0</v>
      </c>
      <c r="I1787" s="91">
        <v>0</v>
      </c>
      <c r="J1787" s="71">
        <v>42996</v>
      </c>
      <c r="K1787" s="71">
        <v>43131</v>
      </c>
      <c r="L1787" s="69" t="s">
        <v>119</v>
      </c>
      <c r="M1787" s="69" t="s">
        <v>109</v>
      </c>
      <c r="N1787" s="95">
        <v>43181</v>
      </c>
      <c r="O1787" s="67"/>
      <c r="P1787" s="67" t="s">
        <v>95</v>
      </c>
      <c r="Q1787" s="67" t="s">
        <v>110</v>
      </c>
      <c r="R1787" s="92" t="s">
        <v>69</v>
      </c>
      <c r="S1787" s="92" t="s">
        <v>115</v>
      </c>
      <c r="T1787" s="67"/>
      <c r="U1787" s="67"/>
      <c r="V1787" s="95">
        <v>43131</v>
      </c>
      <c r="W1787" s="92">
        <v>17070147</v>
      </c>
      <c r="X1787" s="90"/>
      <c r="Y1787" s="123"/>
      <c r="Z1787" s="30">
        <f t="shared" si="54"/>
        <v>6763.7822038320437</v>
      </c>
      <c r="AA1787" s="30">
        <f t="shared" si="55"/>
        <v>2113.6819386975139</v>
      </c>
      <c r="AB1787" t="s">
        <v>458</v>
      </c>
    </row>
    <row r="1788" spans="1:28">
      <c r="A1788" s="67" t="s">
        <v>113</v>
      </c>
      <c r="B1788" s="91">
        <v>1315790</v>
      </c>
      <c r="C1788" s="92">
        <v>4615471155</v>
      </c>
      <c r="D1788" s="93">
        <v>19175</v>
      </c>
      <c r="E1788" s="79"/>
      <c r="F1788" s="91">
        <v>16</v>
      </c>
      <c r="G1788" s="96">
        <v>5</v>
      </c>
      <c r="H1788" s="94">
        <v>0</v>
      </c>
      <c r="I1788" s="91">
        <v>0</v>
      </c>
      <c r="J1788" s="71">
        <v>42991</v>
      </c>
      <c r="K1788" s="71">
        <v>43131</v>
      </c>
      <c r="L1788" s="69" t="s">
        <v>119</v>
      </c>
      <c r="M1788" s="69" t="s">
        <v>109</v>
      </c>
      <c r="N1788" s="95">
        <v>43177</v>
      </c>
      <c r="O1788" s="67"/>
      <c r="P1788" s="67" t="s">
        <v>95</v>
      </c>
      <c r="Q1788" s="67" t="s">
        <v>110</v>
      </c>
      <c r="R1788" s="92" t="s">
        <v>69</v>
      </c>
      <c r="S1788" s="92" t="s">
        <v>115</v>
      </c>
      <c r="T1788" s="67"/>
      <c r="U1788" s="67"/>
      <c r="V1788" s="95">
        <v>43131</v>
      </c>
      <c r="W1788" s="92">
        <v>17070147</v>
      </c>
      <c r="X1788" s="90"/>
      <c r="Y1788" s="123"/>
      <c r="Z1788" s="30">
        <f t="shared" si="54"/>
        <v>6763.7822038320437</v>
      </c>
      <c r="AA1788" s="30">
        <f t="shared" si="55"/>
        <v>2113.6819386975139</v>
      </c>
      <c r="AB1788" t="s">
        <v>458</v>
      </c>
    </row>
    <row r="1789" spans="1:28">
      <c r="A1789" s="67" t="s">
        <v>113</v>
      </c>
      <c r="B1789" s="91">
        <v>1313604</v>
      </c>
      <c r="C1789" s="92">
        <v>4615471155</v>
      </c>
      <c r="D1789" s="93">
        <v>19175</v>
      </c>
      <c r="E1789" s="79"/>
      <c r="F1789" s="91">
        <v>16</v>
      </c>
      <c r="G1789" s="96">
        <v>5</v>
      </c>
      <c r="H1789" s="94">
        <v>0</v>
      </c>
      <c r="I1789" s="91">
        <v>0</v>
      </c>
      <c r="J1789" s="71">
        <v>42991</v>
      </c>
      <c r="K1789" s="71">
        <v>43131</v>
      </c>
      <c r="L1789" s="69" t="s">
        <v>119</v>
      </c>
      <c r="M1789" s="69" t="s">
        <v>109</v>
      </c>
      <c r="N1789" s="95">
        <v>43200</v>
      </c>
      <c r="O1789" s="67"/>
      <c r="P1789" s="67" t="s">
        <v>95</v>
      </c>
      <c r="Q1789" s="67" t="s">
        <v>110</v>
      </c>
      <c r="R1789" s="92" t="s">
        <v>69</v>
      </c>
      <c r="S1789" s="92" t="s">
        <v>115</v>
      </c>
      <c r="T1789" s="67"/>
      <c r="U1789" s="67"/>
      <c r="V1789" s="95">
        <v>43131</v>
      </c>
      <c r="W1789" s="92">
        <v>17070147</v>
      </c>
      <c r="X1789" s="90"/>
      <c r="Y1789" s="123"/>
      <c r="Z1789" s="30">
        <f t="shared" si="54"/>
        <v>6763.7822038320437</v>
      </c>
      <c r="AA1789" s="30">
        <f t="shared" si="55"/>
        <v>2113.6819386975139</v>
      </c>
      <c r="AB1789" t="s">
        <v>458</v>
      </c>
    </row>
    <row r="1790" spans="1:28">
      <c r="A1790" s="67" t="s">
        <v>113</v>
      </c>
      <c r="B1790" s="91">
        <v>1313596</v>
      </c>
      <c r="C1790" s="92">
        <v>4615471155</v>
      </c>
      <c r="D1790" s="93">
        <v>19175</v>
      </c>
      <c r="E1790" s="79"/>
      <c r="F1790" s="91">
        <v>16</v>
      </c>
      <c r="G1790" s="96">
        <v>5</v>
      </c>
      <c r="H1790" s="94">
        <v>0</v>
      </c>
      <c r="I1790" s="91">
        <v>0</v>
      </c>
      <c r="J1790" s="71">
        <v>42996</v>
      </c>
      <c r="K1790" s="71">
        <v>43131</v>
      </c>
      <c r="L1790" s="69" t="s">
        <v>119</v>
      </c>
      <c r="M1790" s="69" t="s">
        <v>109</v>
      </c>
      <c r="N1790" s="95">
        <v>43166</v>
      </c>
      <c r="O1790" s="67"/>
      <c r="P1790" s="67" t="s">
        <v>95</v>
      </c>
      <c r="Q1790" s="67" t="s">
        <v>110</v>
      </c>
      <c r="R1790" s="92" t="s">
        <v>69</v>
      </c>
      <c r="S1790" s="92" t="s">
        <v>115</v>
      </c>
      <c r="T1790" s="67"/>
      <c r="U1790" s="67"/>
      <c r="V1790" s="95">
        <v>43131</v>
      </c>
      <c r="W1790" s="92">
        <v>17070147</v>
      </c>
      <c r="X1790" s="90"/>
      <c r="Y1790" s="123"/>
      <c r="Z1790" s="30">
        <f t="shared" si="54"/>
        <v>6763.7822038320437</v>
      </c>
      <c r="AA1790" s="30">
        <f t="shared" si="55"/>
        <v>2113.6819386975139</v>
      </c>
      <c r="AB1790" t="s">
        <v>458</v>
      </c>
    </row>
    <row r="1791" spans="1:28">
      <c r="A1791" s="67" t="s">
        <v>113</v>
      </c>
      <c r="B1791" s="91">
        <v>1311552</v>
      </c>
      <c r="C1791" s="92">
        <v>4615461285</v>
      </c>
      <c r="D1791" s="93">
        <v>21000</v>
      </c>
      <c r="E1791" s="79"/>
      <c r="F1791" s="91">
        <v>16</v>
      </c>
      <c r="G1791" s="91">
        <v>0</v>
      </c>
      <c r="H1791" s="94">
        <v>0</v>
      </c>
      <c r="I1791" s="91">
        <v>0</v>
      </c>
      <c r="J1791" s="71">
        <v>43087</v>
      </c>
      <c r="K1791" s="71">
        <v>43131</v>
      </c>
      <c r="L1791" s="69" t="s">
        <v>108</v>
      </c>
      <c r="M1791" s="69" t="s">
        <v>109</v>
      </c>
      <c r="N1791" s="95">
        <v>43157</v>
      </c>
      <c r="O1791" s="67"/>
      <c r="P1791" s="67" t="s">
        <v>95</v>
      </c>
      <c r="Q1791" s="67" t="s">
        <v>110</v>
      </c>
      <c r="R1791" s="92" t="s">
        <v>69</v>
      </c>
      <c r="S1791" s="92" t="s">
        <v>115</v>
      </c>
      <c r="T1791" s="67"/>
      <c r="U1791" s="67"/>
      <c r="V1791" s="95">
        <v>43131</v>
      </c>
      <c r="W1791" s="92">
        <v>17070150</v>
      </c>
      <c r="X1791" s="90" t="s">
        <v>314</v>
      </c>
      <c r="Y1791" s="123"/>
      <c r="Z1791" s="30">
        <f t="shared" si="54"/>
        <v>7407.5320094118861</v>
      </c>
      <c r="AA1791" s="30">
        <f t="shared" si="55"/>
        <v>0</v>
      </c>
      <c r="AB1791" t="s">
        <v>456</v>
      </c>
    </row>
    <row r="1792" spans="1:28">
      <c r="A1792" s="67" t="s">
        <v>113</v>
      </c>
      <c r="B1792" s="91">
        <v>1311551</v>
      </c>
      <c r="C1792" s="92">
        <v>4615461285</v>
      </c>
      <c r="D1792" s="93">
        <v>21000</v>
      </c>
      <c r="E1792" s="79"/>
      <c r="F1792" s="91">
        <v>16</v>
      </c>
      <c r="G1792" s="91">
        <v>0</v>
      </c>
      <c r="H1792" s="94">
        <v>0</v>
      </c>
      <c r="I1792" s="91">
        <v>0</v>
      </c>
      <c r="J1792" s="71">
        <v>43087</v>
      </c>
      <c r="K1792" s="71">
        <v>43131</v>
      </c>
      <c r="L1792" s="69" t="s">
        <v>108</v>
      </c>
      <c r="M1792" s="69" t="s">
        <v>109</v>
      </c>
      <c r="N1792" s="95">
        <v>43158</v>
      </c>
      <c r="O1792" s="67"/>
      <c r="P1792" s="67" t="s">
        <v>95</v>
      </c>
      <c r="Q1792" s="67" t="s">
        <v>110</v>
      </c>
      <c r="R1792" s="92" t="s">
        <v>69</v>
      </c>
      <c r="S1792" s="92" t="s">
        <v>115</v>
      </c>
      <c r="T1792" s="67"/>
      <c r="U1792" s="67"/>
      <c r="V1792" s="95">
        <v>43131</v>
      </c>
      <c r="W1792" s="92">
        <v>17070150</v>
      </c>
      <c r="X1792" s="90" t="s">
        <v>314</v>
      </c>
      <c r="Y1792" s="123"/>
      <c r="Z1792" s="30">
        <f t="shared" si="54"/>
        <v>7407.5320094118861</v>
      </c>
      <c r="AA1792" s="30">
        <f t="shared" si="55"/>
        <v>0</v>
      </c>
      <c r="AB1792" t="s">
        <v>456</v>
      </c>
    </row>
    <row r="1793" spans="1:28">
      <c r="A1793" s="67" t="s">
        <v>113</v>
      </c>
      <c r="B1793" s="91">
        <v>1311556</v>
      </c>
      <c r="C1793" s="92">
        <v>4615461285</v>
      </c>
      <c r="D1793" s="93">
        <v>21000</v>
      </c>
      <c r="E1793" s="79"/>
      <c r="F1793" s="91">
        <v>16</v>
      </c>
      <c r="G1793" s="91">
        <v>0</v>
      </c>
      <c r="H1793" s="94">
        <v>0</v>
      </c>
      <c r="I1793" s="91">
        <v>0</v>
      </c>
      <c r="J1793" s="71">
        <v>43087</v>
      </c>
      <c r="K1793" s="71">
        <v>43131</v>
      </c>
      <c r="L1793" s="69" t="s">
        <v>108</v>
      </c>
      <c r="M1793" s="69" t="s">
        <v>109</v>
      </c>
      <c r="N1793" s="95">
        <v>43156</v>
      </c>
      <c r="O1793" s="67"/>
      <c r="P1793" s="67" t="s">
        <v>95</v>
      </c>
      <c r="Q1793" s="67" t="s">
        <v>110</v>
      </c>
      <c r="R1793" s="92" t="s">
        <v>69</v>
      </c>
      <c r="S1793" s="92" t="s">
        <v>115</v>
      </c>
      <c r="T1793" s="67"/>
      <c r="U1793" s="67"/>
      <c r="V1793" s="95">
        <v>43131</v>
      </c>
      <c r="W1793" s="92">
        <v>17070150</v>
      </c>
      <c r="X1793" s="90" t="s">
        <v>314</v>
      </c>
      <c r="Y1793" s="123"/>
      <c r="Z1793" s="30">
        <f t="shared" si="54"/>
        <v>7407.5320094118861</v>
      </c>
      <c r="AA1793" s="30">
        <f t="shared" si="55"/>
        <v>0</v>
      </c>
      <c r="AB1793" t="s">
        <v>456</v>
      </c>
    </row>
    <row r="1794" spans="1:28">
      <c r="A1794" s="67" t="s">
        <v>113</v>
      </c>
      <c r="B1794" s="91">
        <v>1311553</v>
      </c>
      <c r="C1794" s="92">
        <v>4615461285</v>
      </c>
      <c r="D1794" s="93">
        <v>21000</v>
      </c>
      <c r="E1794" s="79"/>
      <c r="F1794" s="91">
        <v>16</v>
      </c>
      <c r="G1794" s="91">
        <v>0</v>
      </c>
      <c r="H1794" s="94">
        <v>0</v>
      </c>
      <c r="I1794" s="91">
        <v>0</v>
      </c>
      <c r="J1794" s="71">
        <v>43087</v>
      </c>
      <c r="K1794" s="71">
        <v>43131</v>
      </c>
      <c r="L1794" s="69" t="s">
        <v>108</v>
      </c>
      <c r="M1794" s="69" t="s">
        <v>109</v>
      </c>
      <c r="N1794" s="95">
        <v>43159</v>
      </c>
      <c r="O1794" s="67"/>
      <c r="P1794" s="67" t="s">
        <v>95</v>
      </c>
      <c r="Q1794" s="67" t="s">
        <v>110</v>
      </c>
      <c r="R1794" s="92" t="s">
        <v>69</v>
      </c>
      <c r="S1794" s="92" t="s">
        <v>115</v>
      </c>
      <c r="T1794" s="67"/>
      <c r="U1794" s="67"/>
      <c r="V1794" s="95">
        <v>43131</v>
      </c>
      <c r="W1794" s="92">
        <v>17070150</v>
      </c>
      <c r="X1794" s="90" t="s">
        <v>314</v>
      </c>
      <c r="Y1794" s="123"/>
      <c r="Z1794" s="30">
        <f t="shared" si="54"/>
        <v>7407.5320094118861</v>
      </c>
      <c r="AA1794" s="30">
        <f t="shared" si="55"/>
        <v>0</v>
      </c>
      <c r="AB1794" t="s">
        <v>456</v>
      </c>
    </row>
    <row r="1795" spans="1:28">
      <c r="A1795" s="67" t="s">
        <v>113</v>
      </c>
      <c r="B1795" s="91">
        <v>1311550</v>
      </c>
      <c r="C1795" s="92">
        <v>4615461285</v>
      </c>
      <c r="D1795" s="93">
        <v>21000</v>
      </c>
      <c r="E1795" s="79"/>
      <c r="F1795" s="91">
        <v>16</v>
      </c>
      <c r="G1795" s="91">
        <v>0</v>
      </c>
      <c r="H1795" s="94">
        <v>0</v>
      </c>
      <c r="I1795" s="91">
        <v>0</v>
      </c>
      <c r="J1795" s="71">
        <v>43087</v>
      </c>
      <c r="K1795" s="71">
        <v>43131</v>
      </c>
      <c r="L1795" s="69" t="s">
        <v>108</v>
      </c>
      <c r="M1795" s="69" t="s">
        <v>109</v>
      </c>
      <c r="N1795" s="95">
        <v>43160</v>
      </c>
      <c r="O1795" s="67"/>
      <c r="P1795" s="67" t="s">
        <v>95</v>
      </c>
      <c r="Q1795" s="67" t="s">
        <v>110</v>
      </c>
      <c r="R1795" s="92" t="s">
        <v>69</v>
      </c>
      <c r="S1795" s="92" t="s">
        <v>115</v>
      </c>
      <c r="T1795" s="67"/>
      <c r="U1795" s="67"/>
      <c r="V1795" s="95">
        <v>43131</v>
      </c>
      <c r="W1795" s="92">
        <v>17070150</v>
      </c>
      <c r="X1795" s="90" t="s">
        <v>314</v>
      </c>
      <c r="Y1795" s="123"/>
      <c r="Z1795" s="30">
        <f t="shared" ref="Z1795:Z1858" si="56">CONVERT(D1795,"kg","lbm")*F1795/100</f>
        <v>7407.5320094118861</v>
      </c>
      <c r="AA1795" s="30">
        <f t="shared" ref="AA1795:AA1858" si="57">CONVERT(D1795,"kg","lbm")*G1795/100</f>
        <v>0</v>
      </c>
      <c r="AB1795" t="s">
        <v>456</v>
      </c>
    </row>
    <row r="1796" spans="1:28">
      <c r="A1796" s="67" t="s">
        <v>113</v>
      </c>
      <c r="B1796" s="91">
        <v>1311555</v>
      </c>
      <c r="C1796" s="92">
        <v>4615461285</v>
      </c>
      <c r="D1796" s="93">
        <v>21000</v>
      </c>
      <c r="E1796" s="79"/>
      <c r="F1796" s="91">
        <v>16</v>
      </c>
      <c r="G1796" s="91">
        <v>0</v>
      </c>
      <c r="H1796" s="94">
        <v>0</v>
      </c>
      <c r="I1796" s="91">
        <v>0</v>
      </c>
      <c r="J1796" s="71">
        <v>43087</v>
      </c>
      <c r="K1796" s="71">
        <v>43131</v>
      </c>
      <c r="L1796" s="69" t="s">
        <v>108</v>
      </c>
      <c r="M1796" s="69" t="s">
        <v>109</v>
      </c>
      <c r="N1796" s="95">
        <v>43163</v>
      </c>
      <c r="O1796" s="67"/>
      <c r="P1796" s="67" t="s">
        <v>95</v>
      </c>
      <c r="Q1796" s="67" t="s">
        <v>110</v>
      </c>
      <c r="R1796" s="92" t="s">
        <v>69</v>
      </c>
      <c r="S1796" s="92" t="s">
        <v>115</v>
      </c>
      <c r="T1796" s="67"/>
      <c r="U1796" s="67"/>
      <c r="V1796" s="95">
        <v>43131</v>
      </c>
      <c r="W1796" s="92">
        <v>17070150</v>
      </c>
      <c r="X1796" s="90" t="s">
        <v>314</v>
      </c>
      <c r="Y1796" s="123"/>
      <c r="Z1796" s="30">
        <f t="shared" si="56"/>
        <v>7407.5320094118861</v>
      </c>
      <c r="AA1796" s="30">
        <f t="shared" si="57"/>
        <v>0</v>
      </c>
      <c r="AB1796" t="s">
        <v>456</v>
      </c>
    </row>
    <row r="1797" spans="1:28">
      <c r="A1797" s="67" t="s">
        <v>113</v>
      </c>
      <c r="B1797" s="91">
        <v>1311557</v>
      </c>
      <c r="C1797" s="92">
        <v>4615461285</v>
      </c>
      <c r="D1797" s="93">
        <v>21000</v>
      </c>
      <c r="E1797" s="79"/>
      <c r="F1797" s="91">
        <v>16</v>
      </c>
      <c r="G1797" s="91">
        <v>0</v>
      </c>
      <c r="H1797" s="94">
        <v>0</v>
      </c>
      <c r="I1797" s="91">
        <v>0</v>
      </c>
      <c r="J1797" s="71">
        <v>43087</v>
      </c>
      <c r="K1797" s="71">
        <v>43131</v>
      </c>
      <c r="L1797" s="69" t="s">
        <v>108</v>
      </c>
      <c r="M1797" s="69" t="s">
        <v>109</v>
      </c>
      <c r="N1797" s="95">
        <v>43163</v>
      </c>
      <c r="O1797" s="67"/>
      <c r="P1797" s="67" t="s">
        <v>95</v>
      </c>
      <c r="Q1797" s="67" t="s">
        <v>110</v>
      </c>
      <c r="R1797" s="92" t="s">
        <v>69</v>
      </c>
      <c r="S1797" s="92" t="s">
        <v>115</v>
      </c>
      <c r="T1797" s="67"/>
      <c r="U1797" s="67"/>
      <c r="V1797" s="95">
        <v>43131</v>
      </c>
      <c r="W1797" s="92">
        <v>17070150</v>
      </c>
      <c r="X1797" s="90" t="s">
        <v>314</v>
      </c>
      <c r="Y1797" s="123"/>
      <c r="Z1797" s="30">
        <f t="shared" si="56"/>
        <v>7407.5320094118861</v>
      </c>
      <c r="AA1797" s="30">
        <f t="shared" si="57"/>
        <v>0</v>
      </c>
      <c r="AB1797" t="s">
        <v>456</v>
      </c>
    </row>
    <row r="1798" spans="1:28">
      <c r="A1798" s="67" t="s">
        <v>113</v>
      </c>
      <c r="B1798" s="91">
        <v>1311548</v>
      </c>
      <c r="C1798" s="92">
        <v>4615461285</v>
      </c>
      <c r="D1798" s="93">
        <v>21000</v>
      </c>
      <c r="E1798" s="79"/>
      <c r="F1798" s="91">
        <v>16</v>
      </c>
      <c r="G1798" s="91">
        <v>0</v>
      </c>
      <c r="H1798" s="94">
        <v>0</v>
      </c>
      <c r="I1798" s="91">
        <v>0</v>
      </c>
      <c r="J1798" s="71">
        <v>43087</v>
      </c>
      <c r="K1798" s="71">
        <v>43131</v>
      </c>
      <c r="L1798" s="69" t="s">
        <v>108</v>
      </c>
      <c r="M1798" s="69" t="s">
        <v>109</v>
      </c>
      <c r="N1798" s="95">
        <v>43164</v>
      </c>
      <c r="O1798" s="67"/>
      <c r="P1798" s="67" t="s">
        <v>95</v>
      </c>
      <c r="Q1798" s="67" t="s">
        <v>110</v>
      </c>
      <c r="R1798" s="92" t="s">
        <v>69</v>
      </c>
      <c r="S1798" s="92" t="s">
        <v>115</v>
      </c>
      <c r="T1798" s="67"/>
      <c r="U1798" s="67"/>
      <c r="V1798" s="95">
        <v>43131</v>
      </c>
      <c r="W1798" s="92">
        <v>17070150</v>
      </c>
      <c r="X1798" s="90" t="s">
        <v>314</v>
      </c>
      <c r="Y1798" s="123"/>
      <c r="Z1798" s="30">
        <f t="shared" si="56"/>
        <v>7407.5320094118861</v>
      </c>
      <c r="AA1798" s="30">
        <f t="shared" si="57"/>
        <v>0</v>
      </c>
      <c r="AB1798" t="s">
        <v>456</v>
      </c>
    </row>
    <row r="1799" spans="1:28">
      <c r="A1799" s="67" t="s">
        <v>113</v>
      </c>
      <c r="B1799" s="91">
        <v>1311549</v>
      </c>
      <c r="C1799" s="92">
        <v>4615461285</v>
      </c>
      <c r="D1799" s="93">
        <v>21000</v>
      </c>
      <c r="E1799" s="79"/>
      <c r="F1799" s="91">
        <v>16</v>
      </c>
      <c r="G1799" s="91">
        <v>0</v>
      </c>
      <c r="H1799" s="94">
        <v>0</v>
      </c>
      <c r="I1799" s="91">
        <v>0</v>
      </c>
      <c r="J1799" s="71">
        <v>43087</v>
      </c>
      <c r="K1799" s="71">
        <v>43131</v>
      </c>
      <c r="L1799" s="69" t="s">
        <v>108</v>
      </c>
      <c r="M1799" s="69" t="s">
        <v>109</v>
      </c>
      <c r="N1799" s="95">
        <v>43165</v>
      </c>
      <c r="O1799" s="67"/>
      <c r="P1799" s="67" t="s">
        <v>95</v>
      </c>
      <c r="Q1799" s="67" t="s">
        <v>110</v>
      </c>
      <c r="R1799" s="92" t="s">
        <v>69</v>
      </c>
      <c r="S1799" s="92" t="s">
        <v>115</v>
      </c>
      <c r="T1799" s="67"/>
      <c r="U1799" s="67"/>
      <c r="V1799" s="95">
        <v>43131</v>
      </c>
      <c r="W1799" s="92">
        <v>17070150</v>
      </c>
      <c r="X1799" s="90" t="s">
        <v>314</v>
      </c>
      <c r="Y1799" s="123"/>
      <c r="Z1799" s="30">
        <f t="shared" si="56"/>
        <v>7407.5320094118861</v>
      </c>
      <c r="AA1799" s="30">
        <f t="shared" si="57"/>
        <v>0</v>
      </c>
      <c r="AB1799" t="s">
        <v>456</v>
      </c>
    </row>
    <row r="1800" spans="1:28">
      <c r="A1800" s="67" t="s">
        <v>113</v>
      </c>
      <c r="B1800" s="91">
        <v>1311554</v>
      </c>
      <c r="C1800" s="92">
        <v>4615461285</v>
      </c>
      <c r="D1800" s="93">
        <v>21000</v>
      </c>
      <c r="E1800" s="79"/>
      <c r="F1800" s="91">
        <v>16</v>
      </c>
      <c r="G1800" s="91">
        <v>0</v>
      </c>
      <c r="H1800" s="94">
        <v>0</v>
      </c>
      <c r="I1800" s="91">
        <v>0</v>
      </c>
      <c r="J1800" s="71">
        <v>43087</v>
      </c>
      <c r="K1800" s="71">
        <v>43131</v>
      </c>
      <c r="L1800" s="69" t="s">
        <v>108</v>
      </c>
      <c r="M1800" s="69" t="s">
        <v>109</v>
      </c>
      <c r="N1800" s="95">
        <v>43166</v>
      </c>
      <c r="O1800" s="67"/>
      <c r="P1800" s="67" t="s">
        <v>95</v>
      </c>
      <c r="Q1800" s="67" t="s">
        <v>110</v>
      </c>
      <c r="R1800" s="92" t="s">
        <v>69</v>
      </c>
      <c r="S1800" s="92" t="s">
        <v>115</v>
      </c>
      <c r="T1800" s="67"/>
      <c r="U1800" s="67"/>
      <c r="V1800" s="95">
        <v>43131</v>
      </c>
      <c r="W1800" s="92">
        <v>17070150</v>
      </c>
      <c r="X1800" s="90" t="s">
        <v>314</v>
      </c>
      <c r="Y1800" s="123"/>
      <c r="Z1800" s="30">
        <f t="shared" si="56"/>
        <v>7407.5320094118861</v>
      </c>
      <c r="AA1800" s="30">
        <f t="shared" si="57"/>
        <v>0</v>
      </c>
      <c r="AB1800" t="s">
        <v>456</v>
      </c>
    </row>
    <row r="1801" spans="1:28">
      <c r="A1801" s="67" t="s">
        <v>113</v>
      </c>
      <c r="B1801" s="91">
        <v>1315742</v>
      </c>
      <c r="C1801" s="92">
        <v>4615497250</v>
      </c>
      <c r="D1801" s="93">
        <v>19175</v>
      </c>
      <c r="E1801" s="79"/>
      <c r="F1801" s="91">
        <v>16</v>
      </c>
      <c r="G1801" s="91">
        <v>0</v>
      </c>
      <c r="H1801" s="91">
        <v>0</v>
      </c>
      <c r="I1801" s="91">
        <v>0</v>
      </c>
      <c r="J1801" s="71">
        <v>43101</v>
      </c>
      <c r="K1801" s="71">
        <v>43131</v>
      </c>
      <c r="L1801" s="69" t="s">
        <v>119</v>
      </c>
      <c r="M1801" s="69" t="s">
        <v>109</v>
      </c>
      <c r="N1801" s="95">
        <v>43163</v>
      </c>
      <c r="O1801" s="67"/>
      <c r="P1801" s="67" t="s">
        <v>95</v>
      </c>
      <c r="Q1801" s="67" t="s">
        <v>133</v>
      </c>
      <c r="R1801" s="92" t="s">
        <v>69</v>
      </c>
      <c r="S1801" s="92" t="s">
        <v>115</v>
      </c>
      <c r="T1801" s="67"/>
      <c r="U1801" s="67"/>
      <c r="V1801" s="95">
        <v>43131</v>
      </c>
      <c r="W1801" s="92">
        <v>2088616</v>
      </c>
      <c r="X1801" s="90"/>
      <c r="Y1801" s="123"/>
      <c r="Z1801" s="30">
        <f t="shared" si="56"/>
        <v>6763.7822038320437</v>
      </c>
      <c r="AA1801" s="30">
        <f t="shared" si="57"/>
        <v>0</v>
      </c>
      <c r="AB1801" t="s">
        <v>456</v>
      </c>
    </row>
    <row r="1802" spans="1:28">
      <c r="A1802" s="67" t="s">
        <v>113</v>
      </c>
      <c r="B1802" s="91">
        <v>1315747</v>
      </c>
      <c r="C1802" s="92">
        <v>4615497250</v>
      </c>
      <c r="D1802" s="93">
        <v>19175</v>
      </c>
      <c r="E1802" s="79"/>
      <c r="F1802" s="91">
        <v>16</v>
      </c>
      <c r="G1802" s="91">
        <v>0</v>
      </c>
      <c r="H1802" s="91">
        <v>0</v>
      </c>
      <c r="I1802" s="91">
        <v>0</v>
      </c>
      <c r="J1802" s="71">
        <v>43101</v>
      </c>
      <c r="K1802" s="71">
        <v>43131</v>
      </c>
      <c r="L1802" s="69" t="s">
        <v>119</v>
      </c>
      <c r="M1802" s="69" t="s">
        <v>109</v>
      </c>
      <c r="N1802" s="95">
        <v>43172</v>
      </c>
      <c r="O1802" s="67"/>
      <c r="P1802" s="67" t="s">
        <v>95</v>
      </c>
      <c r="Q1802" s="67" t="s">
        <v>133</v>
      </c>
      <c r="R1802" s="92" t="s">
        <v>69</v>
      </c>
      <c r="S1802" s="92" t="s">
        <v>115</v>
      </c>
      <c r="T1802" s="67"/>
      <c r="U1802" s="67"/>
      <c r="V1802" s="95">
        <v>43131</v>
      </c>
      <c r="W1802" s="92">
        <v>2088616</v>
      </c>
      <c r="X1802" s="90"/>
      <c r="Y1802" s="123"/>
      <c r="Z1802" s="30">
        <f t="shared" si="56"/>
        <v>6763.7822038320437</v>
      </c>
      <c r="AA1802" s="30">
        <f t="shared" si="57"/>
        <v>0</v>
      </c>
      <c r="AB1802" t="s">
        <v>456</v>
      </c>
    </row>
    <row r="1803" spans="1:28">
      <c r="A1803" s="67" t="s">
        <v>113</v>
      </c>
      <c r="B1803" s="91">
        <v>1315740</v>
      </c>
      <c r="C1803" s="92">
        <v>4615497250</v>
      </c>
      <c r="D1803" s="93">
        <v>19175</v>
      </c>
      <c r="E1803" s="79"/>
      <c r="F1803" s="91">
        <v>16</v>
      </c>
      <c r="G1803" s="91">
        <v>0</v>
      </c>
      <c r="H1803" s="91">
        <v>0</v>
      </c>
      <c r="I1803" s="91">
        <v>0</v>
      </c>
      <c r="J1803" s="71">
        <v>43101</v>
      </c>
      <c r="K1803" s="71">
        <v>43131</v>
      </c>
      <c r="L1803" s="69" t="s">
        <v>119</v>
      </c>
      <c r="M1803" s="69" t="s">
        <v>109</v>
      </c>
      <c r="N1803" s="95">
        <v>43170</v>
      </c>
      <c r="O1803" s="67"/>
      <c r="P1803" s="67" t="s">
        <v>95</v>
      </c>
      <c r="Q1803" s="67" t="s">
        <v>133</v>
      </c>
      <c r="R1803" s="92" t="s">
        <v>69</v>
      </c>
      <c r="S1803" s="92" t="s">
        <v>115</v>
      </c>
      <c r="T1803" s="67"/>
      <c r="U1803" s="67"/>
      <c r="V1803" s="95">
        <v>43131</v>
      </c>
      <c r="W1803" s="92">
        <v>2088616</v>
      </c>
      <c r="X1803" s="90"/>
      <c r="Y1803" s="123"/>
      <c r="Z1803" s="30">
        <f t="shared" si="56"/>
        <v>6763.7822038320437</v>
      </c>
      <c r="AA1803" s="30">
        <f t="shared" si="57"/>
        <v>0</v>
      </c>
      <c r="AB1803" t="s">
        <v>456</v>
      </c>
    </row>
    <row r="1804" spans="1:28">
      <c r="A1804" s="67" t="s">
        <v>113</v>
      </c>
      <c r="B1804" s="91">
        <v>1315743</v>
      </c>
      <c r="C1804" s="92">
        <v>4615497250</v>
      </c>
      <c r="D1804" s="93">
        <v>19175</v>
      </c>
      <c r="E1804" s="79"/>
      <c r="F1804" s="91">
        <v>16</v>
      </c>
      <c r="G1804" s="91">
        <v>0</v>
      </c>
      <c r="H1804" s="91">
        <v>0</v>
      </c>
      <c r="I1804" s="91">
        <v>0</v>
      </c>
      <c r="J1804" s="71">
        <v>43101</v>
      </c>
      <c r="K1804" s="71">
        <v>43131</v>
      </c>
      <c r="L1804" s="69" t="s">
        <v>119</v>
      </c>
      <c r="M1804" s="69" t="s">
        <v>109</v>
      </c>
      <c r="N1804" s="95">
        <v>43205</v>
      </c>
      <c r="O1804" s="67"/>
      <c r="P1804" s="67" t="s">
        <v>95</v>
      </c>
      <c r="Q1804" s="67" t="s">
        <v>133</v>
      </c>
      <c r="R1804" s="92" t="s">
        <v>69</v>
      </c>
      <c r="S1804" s="92" t="s">
        <v>115</v>
      </c>
      <c r="T1804" s="67"/>
      <c r="U1804" s="67"/>
      <c r="V1804" s="95">
        <v>43131</v>
      </c>
      <c r="W1804" s="92">
        <v>2088616</v>
      </c>
      <c r="X1804" s="90"/>
      <c r="Y1804" s="123"/>
      <c r="Z1804" s="30">
        <f t="shared" si="56"/>
        <v>6763.7822038320437</v>
      </c>
      <c r="AA1804" s="30">
        <f t="shared" si="57"/>
        <v>0</v>
      </c>
      <c r="AB1804" t="s">
        <v>456</v>
      </c>
    </row>
    <row r="1805" spans="1:28">
      <c r="A1805" s="67" t="s">
        <v>113</v>
      </c>
      <c r="B1805" s="91">
        <v>1315739</v>
      </c>
      <c r="C1805" s="92">
        <v>4615497250</v>
      </c>
      <c r="D1805" s="93">
        <v>19175</v>
      </c>
      <c r="E1805" s="79"/>
      <c r="F1805" s="91">
        <v>16</v>
      </c>
      <c r="G1805" s="91">
        <v>0</v>
      </c>
      <c r="H1805" s="91">
        <v>0</v>
      </c>
      <c r="I1805" s="91">
        <v>0</v>
      </c>
      <c r="J1805" s="71">
        <v>43101</v>
      </c>
      <c r="K1805" s="71">
        <v>43131</v>
      </c>
      <c r="L1805" s="69" t="s">
        <v>119</v>
      </c>
      <c r="M1805" s="69" t="s">
        <v>109</v>
      </c>
      <c r="N1805" s="95">
        <v>43171</v>
      </c>
      <c r="O1805" s="67"/>
      <c r="P1805" s="67" t="s">
        <v>95</v>
      </c>
      <c r="Q1805" s="67" t="s">
        <v>133</v>
      </c>
      <c r="R1805" s="92" t="s">
        <v>69</v>
      </c>
      <c r="S1805" s="92" t="s">
        <v>115</v>
      </c>
      <c r="T1805" s="67"/>
      <c r="U1805" s="67"/>
      <c r="V1805" s="95">
        <v>43131</v>
      </c>
      <c r="W1805" s="92">
        <v>2088616</v>
      </c>
      <c r="X1805" s="90"/>
      <c r="Y1805" s="123"/>
      <c r="Z1805" s="30">
        <f t="shared" si="56"/>
        <v>6763.7822038320437</v>
      </c>
      <c r="AA1805" s="30">
        <f t="shared" si="57"/>
        <v>0</v>
      </c>
      <c r="AB1805" t="s">
        <v>456</v>
      </c>
    </row>
    <row r="1806" spans="1:28">
      <c r="A1806" s="67" t="s">
        <v>113</v>
      </c>
      <c r="B1806" s="91">
        <v>1315745</v>
      </c>
      <c r="C1806" s="92">
        <v>4615497250</v>
      </c>
      <c r="D1806" s="93">
        <v>19175</v>
      </c>
      <c r="E1806" s="79"/>
      <c r="F1806" s="91">
        <v>16</v>
      </c>
      <c r="G1806" s="91">
        <v>0</v>
      </c>
      <c r="H1806" s="91">
        <v>0</v>
      </c>
      <c r="I1806" s="91">
        <v>0</v>
      </c>
      <c r="J1806" s="71">
        <v>43101</v>
      </c>
      <c r="K1806" s="71">
        <v>43131</v>
      </c>
      <c r="L1806" s="69" t="s">
        <v>119</v>
      </c>
      <c r="M1806" s="69" t="s">
        <v>109</v>
      </c>
      <c r="N1806" s="95">
        <v>43172</v>
      </c>
      <c r="O1806" s="67"/>
      <c r="P1806" s="67" t="s">
        <v>95</v>
      </c>
      <c r="Q1806" s="67" t="s">
        <v>133</v>
      </c>
      <c r="R1806" s="92" t="s">
        <v>69</v>
      </c>
      <c r="S1806" s="92" t="s">
        <v>115</v>
      </c>
      <c r="T1806" s="67"/>
      <c r="U1806" s="67"/>
      <c r="V1806" s="95">
        <v>43131</v>
      </c>
      <c r="W1806" s="92">
        <v>2088616</v>
      </c>
      <c r="X1806" s="90"/>
      <c r="Y1806" s="123"/>
      <c r="Z1806" s="30">
        <f t="shared" si="56"/>
        <v>6763.7822038320437</v>
      </c>
      <c r="AA1806" s="30">
        <f t="shared" si="57"/>
        <v>0</v>
      </c>
      <c r="AB1806" t="s">
        <v>456</v>
      </c>
    </row>
    <row r="1807" spans="1:28">
      <c r="A1807" s="67" t="s">
        <v>113</v>
      </c>
      <c r="B1807" s="91"/>
      <c r="C1807" s="92">
        <v>4615497250</v>
      </c>
      <c r="D1807" s="93">
        <v>19175</v>
      </c>
      <c r="E1807" s="79"/>
      <c r="F1807" s="91">
        <v>16</v>
      </c>
      <c r="G1807" s="91">
        <v>0</v>
      </c>
      <c r="H1807" s="91">
        <v>0</v>
      </c>
      <c r="I1807" s="91">
        <v>0</v>
      </c>
      <c r="J1807" s="71"/>
      <c r="K1807" s="71">
        <v>43131</v>
      </c>
      <c r="L1807" s="69" t="s">
        <v>80</v>
      </c>
      <c r="M1807" s="69" t="s">
        <v>286</v>
      </c>
      <c r="N1807" s="95"/>
      <c r="O1807" s="67"/>
      <c r="P1807" s="67" t="s">
        <v>95</v>
      </c>
      <c r="Q1807" s="67" t="s">
        <v>133</v>
      </c>
      <c r="R1807" s="92" t="s">
        <v>69</v>
      </c>
      <c r="S1807" s="92" t="s">
        <v>115</v>
      </c>
      <c r="T1807" s="67"/>
      <c r="U1807" s="67"/>
      <c r="V1807" s="95">
        <v>43131</v>
      </c>
      <c r="W1807" s="92">
        <v>2088616</v>
      </c>
      <c r="X1807" s="90"/>
      <c r="Y1807" s="123"/>
      <c r="Z1807" s="30">
        <f t="shared" si="56"/>
        <v>6763.7822038320437</v>
      </c>
      <c r="AA1807" s="30">
        <f t="shared" si="57"/>
        <v>0</v>
      </c>
      <c r="AB1807" t="s">
        <v>457</v>
      </c>
    </row>
    <row r="1808" spans="1:28">
      <c r="A1808" s="67" t="s">
        <v>113</v>
      </c>
      <c r="B1808" s="91"/>
      <c r="C1808" s="92">
        <v>4615497250</v>
      </c>
      <c r="D1808" s="93">
        <v>19175</v>
      </c>
      <c r="E1808" s="79"/>
      <c r="F1808" s="91">
        <v>16</v>
      </c>
      <c r="G1808" s="91">
        <v>0</v>
      </c>
      <c r="H1808" s="91">
        <v>0</v>
      </c>
      <c r="I1808" s="91">
        <v>0</v>
      </c>
      <c r="J1808" s="71"/>
      <c r="K1808" s="71">
        <v>43131</v>
      </c>
      <c r="L1808" s="69" t="s">
        <v>80</v>
      </c>
      <c r="M1808" s="69" t="s">
        <v>286</v>
      </c>
      <c r="N1808" s="95"/>
      <c r="O1808" s="67"/>
      <c r="P1808" s="67" t="s">
        <v>95</v>
      </c>
      <c r="Q1808" s="67" t="s">
        <v>133</v>
      </c>
      <c r="R1808" s="92" t="s">
        <v>69</v>
      </c>
      <c r="S1808" s="92" t="s">
        <v>115</v>
      </c>
      <c r="T1808" s="67"/>
      <c r="U1808" s="67"/>
      <c r="V1808" s="95">
        <v>43131</v>
      </c>
      <c r="W1808" s="92">
        <v>2088616</v>
      </c>
      <c r="X1808" s="90"/>
      <c r="Y1808" s="123"/>
      <c r="Z1808" s="30">
        <f t="shared" si="56"/>
        <v>6763.7822038320437</v>
      </c>
      <c r="AA1808" s="30">
        <f t="shared" si="57"/>
        <v>0</v>
      </c>
      <c r="AB1808" t="s">
        <v>457</v>
      </c>
    </row>
    <row r="1809" spans="1:28">
      <c r="A1809" s="67" t="s">
        <v>113</v>
      </c>
      <c r="B1809" s="91"/>
      <c r="C1809" s="92">
        <v>4615497250</v>
      </c>
      <c r="D1809" s="93">
        <v>19175</v>
      </c>
      <c r="E1809" s="79"/>
      <c r="F1809" s="91">
        <v>16</v>
      </c>
      <c r="G1809" s="91">
        <v>0</v>
      </c>
      <c r="H1809" s="91">
        <v>0</v>
      </c>
      <c r="I1809" s="91">
        <v>0</v>
      </c>
      <c r="J1809" s="71"/>
      <c r="K1809" s="71">
        <v>43131</v>
      </c>
      <c r="L1809" s="69" t="s">
        <v>80</v>
      </c>
      <c r="M1809" s="69" t="s">
        <v>286</v>
      </c>
      <c r="N1809" s="95"/>
      <c r="O1809" s="67"/>
      <c r="P1809" s="67" t="s">
        <v>95</v>
      </c>
      <c r="Q1809" s="67" t="s">
        <v>133</v>
      </c>
      <c r="R1809" s="92" t="s">
        <v>69</v>
      </c>
      <c r="S1809" s="92" t="s">
        <v>115</v>
      </c>
      <c r="T1809" s="67"/>
      <c r="U1809" s="67"/>
      <c r="V1809" s="95">
        <v>43131</v>
      </c>
      <c r="W1809" s="92">
        <v>2088616</v>
      </c>
      <c r="X1809" s="90"/>
      <c r="Y1809" s="123"/>
      <c r="Z1809" s="30">
        <f t="shared" si="56"/>
        <v>6763.7822038320437</v>
      </c>
      <c r="AA1809" s="30">
        <f t="shared" si="57"/>
        <v>0</v>
      </c>
      <c r="AB1809" t="s">
        <v>457</v>
      </c>
    </row>
    <row r="1810" spans="1:28">
      <c r="A1810" s="67" t="s">
        <v>113</v>
      </c>
      <c r="B1810" s="91"/>
      <c r="C1810" s="92">
        <v>4615497250</v>
      </c>
      <c r="D1810" s="93">
        <v>19175</v>
      </c>
      <c r="E1810" s="79"/>
      <c r="F1810" s="91">
        <v>16</v>
      </c>
      <c r="G1810" s="91">
        <v>0</v>
      </c>
      <c r="H1810" s="91">
        <v>0</v>
      </c>
      <c r="I1810" s="91">
        <v>0</v>
      </c>
      <c r="J1810" s="71"/>
      <c r="K1810" s="71">
        <v>43131</v>
      </c>
      <c r="L1810" s="69" t="s">
        <v>80</v>
      </c>
      <c r="M1810" s="69" t="s">
        <v>286</v>
      </c>
      <c r="N1810" s="95"/>
      <c r="O1810" s="67"/>
      <c r="P1810" s="67" t="s">
        <v>95</v>
      </c>
      <c r="Q1810" s="67" t="s">
        <v>133</v>
      </c>
      <c r="R1810" s="92" t="s">
        <v>69</v>
      </c>
      <c r="S1810" s="92" t="s">
        <v>115</v>
      </c>
      <c r="T1810" s="67"/>
      <c r="U1810" s="67"/>
      <c r="V1810" s="95">
        <v>43131</v>
      </c>
      <c r="W1810" s="92">
        <v>2088616</v>
      </c>
      <c r="X1810" s="90"/>
      <c r="Y1810" s="123"/>
      <c r="Z1810" s="30">
        <f t="shared" si="56"/>
        <v>6763.7822038320437</v>
      </c>
      <c r="AA1810" s="30">
        <f t="shared" si="57"/>
        <v>0</v>
      </c>
      <c r="AB1810" t="s">
        <v>457</v>
      </c>
    </row>
    <row r="1811" spans="1:28">
      <c r="A1811" s="67" t="s">
        <v>113</v>
      </c>
      <c r="B1811" s="91">
        <v>1314943</v>
      </c>
      <c r="C1811" s="92">
        <v>4615475851</v>
      </c>
      <c r="D1811" s="93">
        <v>19175</v>
      </c>
      <c r="E1811" s="79"/>
      <c r="F1811" s="94">
        <v>16</v>
      </c>
      <c r="G1811" s="96">
        <v>5</v>
      </c>
      <c r="H1811" s="91">
        <v>0</v>
      </c>
      <c r="I1811" s="91">
        <v>0</v>
      </c>
      <c r="J1811" s="71">
        <v>42991</v>
      </c>
      <c r="K1811" s="71">
        <v>43131</v>
      </c>
      <c r="L1811" s="69" t="s">
        <v>119</v>
      </c>
      <c r="M1811" s="69" t="s">
        <v>109</v>
      </c>
      <c r="N1811" s="95">
        <v>43158</v>
      </c>
      <c r="O1811" s="67"/>
      <c r="P1811" s="67" t="s">
        <v>95</v>
      </c>
      <c r="Q1811" s="67" t="s">
        <v>133</v>
      </c>
      <c r="R1811" s="92" t="s">
        <v>69</v>
      </c>
      <c r="S1811" s="92" t="s">
        <v>115</v>
      </c>
      <c r="T1811" s="67"/>
      <c r="U1811" s="67"/>
      <c r="V1811" s="95">
        <v>43131</v>
      </c>
      <c r="W1811" s="92" t="s">
        <v>316</v>
      </c>
      <c r="X1811" s="90"/>
      <c r="Y1811" s="123"/>
      <c r="Z1811" s="30">
        <f t="shared" si="56"/>
        <v>6763.7822038320437</v>
      </c>
      <c r="AA1811" s="30">
        <f t="shared" si="57"/>
        <v>2113.6819386975139</v>
      </c>
      <c r="AB1811" t="s">
        <v>456</v>
      </c>
    </row>
    <row r="1812" spans="1:28">
      <c r="A1812" s="67" t="s">
        <v>113</v>
      </c>
      <c r="B1812" s="91">
        <v>1314942</v>
      </c>
      <c r="C1812" s="92">
        <v>4615475851</v>
      </c>
      <c r="D1812" s="93">
        <v>19175</v>
      </c>
      <c r="E1812" s="79"/>
      <c r="F1812" s="94">
        <v>16</v>
      </c>
      <c r="G1812" s="96">
        <v>5</v>
      </c>
      <c r="H1812" s="91">
        <v>0</v>
      </c>
      <c r="I1812" s="91">
        <v>0</v>
      </c>
      <c r="J1812" s="71">
        <v>42991</v>
      </c>
      <c r="K1812" s="71">
        <v>43131</v>
      </c>
      <c r="L1812" s="69" t="s">
        <v>119</v>
      </c>
      <c r="M1812" s="69" t="s">
        <v>109</v>
      </c>
      <c r="N1812" s="95">
        <v>43170</v>
      </c>
      <c r="O1812" s="67"/>
      <c r="P1812" s="67" t="s">
        <v>95</v>
      </c>
      <c r="Q1812" s="67" t="s">
        <v>133</v>
      </c>
      <c r="R1812" s="92" t="s">
        <v>69</v>
      </c>
      <c r="S1812" s="92" t="s">
        <v>115</v>
      </c>
      <c r="T1812" s="67"/>
      <c r="U1812" s="67"/>
      <c r="V1812" s="95">
        <v>43131</v>
      </c>
      <c r="W1812" s="92" t="s">
        <v>316</v>
      </c>
      <c r="X1812" s="90"/>
      <c r="Y1812" s="123"/>
      <c r="Z1812" s="30">
        <f t="shared" si="56"/>
        <v>6763.7822038320437</v>
      </c>
      <c r="AA1812" s="30">
        <f t="shared" si="57"/>
        <v>2113.6819386975139</v>
      </c>
      <c r="AB1812" t="s">
        <v>456</v>
      </c>
    </row>
    <row r="1813" spans="1:28">
      <c r="A1813" s="67" t="s">
        <v>113</v>
      </c>
      <c r="B1813" s="91">
        <v>1314949</v>
      </c>
      <c r="C1813" s="92">
        <v>4615475851</v>
      </c>
      <c r="D1813" s="93">
        <v>19175</v>
      </c>
      <c r="E1813" s="79"/>
      <c r="F1813" s="94">
        <v>16</v>
      </c>
      <c r="G1813" s="96">
        <v>5</v>
      </c>
      <c r="H1813" s="91">
        <v>0</v>
      </c>
      <c r="I1813" s="91">
        <v>0</v>
      </c>
      <c r="J1813" s="71">
        <v>42991</v>
      </c>
      <c r="K1813" s="71">
        <v>43131</v>
      </c>
      <c r="L1813" s="69" t="s">
        <v>119</v>
      </c>
      <c r="M1813" s="69" t="s">
        <v>109</v>
      </c>
      <c r="N1813" s="95">
        <v>43164</v>
      </c>
      <c r="O1813" s="67"/>
      <c r="P1813" s="67" t="s">
        <v>95</v>
      </c>
      <c r="Q1813" s="67" t="s">
        <v>133</v>
      </c>
      <c r="R1813" s="92" t="s">
        <v>69</v>
      </c>
      <c r="S1813" s="92" t="s">
        <v>115</v>
      </c>
      <c r="T1813" s="67"/>
      <c r="U1813" s="67"/>
      <c r="V1813" s="95">
        <v>43131</v>
      </c>
      <c r="W1813" s="92" t="s">
        <v>316</v>
      </c>
      <c r="X1813" s="90"/>
      <c r="Y1813" s="123"/>
      <c r="Z1813" s="30">
        <f t="shared" si="56"/>
        <v>6763.7822038320437</v>
      </c>
      <c r="AA1813" s="30">
        <f t="shared" si="57"/>
        <v>2113.6819386975139</v>
      </c>
      <c r="AB1813" t="s">
        <v>456</v>
      </c>
    </row>
    <row r="1814" spans="1:28">
      <c r="A1814" s="67" t="s">
        <v>113</v>
      </c>
      <c r="B1814" s="91">
        <v>1314950</v>
      </c>
      <c r="C1814" s="92">
        <v>4615475851</v>
      </c>
      <c r="D1814" s="93">
        <v>19175</v>
      </c>
      <c r="E1814" s="79"/>
      <c r="F1814" s="94">
        <v>16</v>
      </c>
      <c r="G1814" s="96">
        <v>5</v>
      </c>
      <c r="H1814" s="91">
        <v>0</v>
      </c>
      <c r="I1814" s="91">
        <v>0</v>
      </c>
      <c r="J1814" s="71">
        <v>42991</v>
      </c>
      <c r="K1814" s="71">
        <v>43131</v>
      </c>
      <c r="L1814" s="69" t="s">
        <v>119</v>
      </c>
      <c r="M1814" s="69" t="s">
        <v>109</v>
      </c>
      <c r="N1814" s="95">
        <v>43156</v>
      </c>
      <c r="O1814" s="67"/>
      <c r="P1814" s="67" t="s">
        <v>95</v>
      </c>
      <c r="Q1814" s="67" t="s">
        <v>133</v>
      </c>
      <c r="R1814" s="92" t="s">
        <v>69</v>
      </c>
      <c r="S1814" s="92" t="s">
        <v>115</v>
      </c>
      <c r="T1814" s="67"/>
      <c r="U1814" s="67"/>
      <c r="V1814" s="95">
        <v>43131</v>
      </c>
      <c r="W1814" s="92" t="s">
        <v>316</v>
      </c>
      <c r="X1814" s="90"/>
      <c r="Y1814" s="123"/>
      <c r="Z1814" s="30">
        <f t="shared" si="56"/>
        <v>6763.7822038320437</v>
      </c>
      <c r="AA1814" s="30">
        <f t="shared" si="57"/>
        <v>2113.6819386975139</v>
      </c>
      <c r="AB1814" t="s">
        <v>456</v>
      </c>
    </row>
    <row r="1815" spans="1:28">
      <c r="A1815" s="67" t="s">
        <v>113</v>
      </c>
      <c r="B1815" s="91">
        <v>1314948</v>
      </c>
      <c r="C1815" s="92">
        <v>4615475851</v>
      </c>
      <c r="D1815" s="93">
        <v>19175</v>
      </c>
      <c r="E1815" s="79"/>
      <c r="F1815" s="94">
        <v>16</v>
      </c>
      <c r="G1815" s="96">
        <v>5</v>
      </c>
      <c r="H1815" s="91">
        <v>0</v>
      </c>
      <c r="I1815" s="91">
        <v>0</v>
      </c>
      <c r="J1815" s="71">
        <v>42991</v>
      </c>
      <c r="K1815" s="71">
        <v>43131</v>
      </c>
      <c r="L1815" s="69" t="s">
        <v>119</v>
      </c>
      <c r="M1815" s="69" t="s">
        <v>109</v>
      </c>
      <c r="N1815" s="95">
        <v>43156</v>
      </c>
      <c r="O1815" s="67"/>
      <c r="P1815" s="67" t="s">
        <v>95</v>
      </c>
      <c r="Q1815" s="67" t="s">
        <v>133</v>
      </c>
      <c r="R1815" s="92" t="s">
        <v>69</v>
      </c>
      <c r="S1815" s="92" t="s">
        <v>115</v>
      </c>
      <c r="T1815" s="67"/>
      <c r="U1815" s="67"/>
      <c r="V1815" s="95">
        <v>43131</v>
      </c>
      <c r="W1815" s="92" t="s">
        <v>316</v>
      </c>
      <c r="X1815" s="90"/>
      <c r="Y1815" s="123"/>
      <c r="Z1815" s="30">
        <f t="shared" si="56"/>
        <v>6763.7822038320437</v>
      </c>
      <c r="AA1815" s="30">
        <f t="shared" si="57"/>
        <v>2113.6819386975139</v>
      </c>
      <c r="AB1815" t="s">
        <v>456</v>
      </c>
    </row>
    <row r="1816" spans="1:28">
      <c r="A1816" s="67" t="s">
        <v>113</v>
      </c>
      <c r="B1816" s="91">
        <v>1314947</v>
      </c>
      <c r="C1816" s="92">
        <v>4615475851</v>
      </c>
      <c r="D1816" s="93">
        <v>19175</v>
      </c>
      <c r="E1816" s="79"/>
      <c r="F1816" s="94">
        <v>16</v>
      </c>
      <c r="G1816" s="96">
        <v>5</v>
      </c>
      <c r="H1816" s="91">
        <v>0</v>
      </c>
      <c r="I1816" s="91">
        <v>0</v>
      </c>
      <c r="J1816" s="71">
        <v>42991</v>
      </c>
      <c r="K1816" s="71">
        <v>43131</v>
      </c>
      <c r="L1816" s="69" t="s">
        <v>119</v>
      </c>
      <c r="M1816" s="69" t="s">
        <v>109</v>
      </c>
      <c r="N1816" s="95">
        <v>43152</v>
      </c>
      <c r="O1816" s="67"/>
      <c r="P1816" s="67" t="s">
        <v>95</v>
      </c>
      <c r="Q1816" s="67" t="s">
        <v>133</v>
      </c>
      <c r="R1816" s="92" t="s">
        <v>69</v>
      </c>
      <c r="S1816" s="92" t="s">
        <v>115</v>
      </c>
      <c r="T1816" s="67"/>
      <c r="U1816" s="67"/>
      <c r="V1816" s="95">
        <v>43131</v>
      </c>
      <c r="W1816" s="92" t="s">
        <v>316</v>
      </c>
      <c r="X1816" s="90"/>
      <c r="Y1816" s="123"/>
      <c r="Z1816" s="30">
        <f t="shared" si="56"/>
        <v>6763.7822038320437</v>
      </c>
      <c r="AA1816" s="30">
        <f t="shared" si="57"/>
        <v>2113.6819386975139</v>
      </c>
      <c r="AB1816" t="s">
        <v>456</v>
      </c>
    </row>
    <row r="1817" spans="1:28">
      <c r="A1817" s="67" t="s">
        <v>113</v>
      </c>
      <c r="B1817" s="91">
        <v>1314944</v>
      </c>
      <c r="C1817" s="92">
        <v>4615475851</v>
      </c>
      <c r="D1817" s="93">
        <v>19175</v>
      </c>
      <c r="E1817" s="79"/>
      <c r="F1817" s="94">
        <v>16</v>
      </c>
      <c r="G1817" s="96">
        <v>5</v>
      </c>
      <c r="H1817" s="91">
        <v>0</v>
      </c>
      <c r="I1817" s="91">
        <v>0</v>
      </c>
      <c r="J1817" s="71">
        <v>42991</v>
      </c>
      <c r="K1817" s="71">
        <v>43131</v>
      </c>
      <c r="L1817" s="69" t="s">
        <v>119</v>
      </c>
      <c r="M1817" s="69" t="s">
        <v>109</v>
      </c>
      <c r="N1817" s="95">
        <v>43163</v>
      </c>
      <c r="O1817" s="67"/>
      <c r="P1817" s="67" t="s">
        <v>95</v>
      </c>
      <c r="Q1817" s="67" t="s">
        <v>133</v>
      </c>
      <c r="R1817" s="92" t="s">
        <v>69</v>
      </c>
      <c r="S1817" s="92" t="s">
        <v>115</v>
      </c>
      <c r="T1817" s="67"/>
      <c r="U1817" s="67"/>
      <c r="V1817" s="95">
        <v>43131</v>
      </c>
      <c r="W1817" s="92" t="s">
        <v>316</v>
      </c>
      <c r="X1817" s="90"/>
      <c r="Y1817" s="123"/>
      <c r="Z1817" s="30">
        <f t="shared" si="56"/>
        <v>6763.7822038320437</v>
      </c>
      <c r="AA1817" s="30">
        <f t="shared" si="57"/>
        <v>2113.6819386975139</v>
      </c>
      <c r="AB1817" t="s">
        <v>456</v>
      </c>
    </row>
    <row r="1818" spans="1:28">
      <c r="A1818" s="67" t="s">
        <v>113</v>
      </c>
      <c r="B1818" s="91">
        <v>1314951</v>
      </c>
      <c r="C1818" s="92">
        <v>4615475851</v>
      </c>
      <c r="D1818" s="93">
        <v>19175</v>
      </c>
      <c r="E1818" s="79"/>
      <c r="F1818" s="94">
        <v>16</v>
      </c>
      <c r="G1818" s="96">
        <v>5</v>
      </c>
      <c r="H1818" s="91">
        <v>0</v>
      </c>
      <c r="I1818" s="91">
        <v>0</v>
      </c>
      <c r="J1818" s="71">
        <v>42991</v>
      </c>
      <c r="K1818" s="71">
        <v>43131</v>
      </c>
      <c r="L1818" s="69" t="s">
        <v>119</v>
      </c>
      <c r="M1818" s="69" t="s">
        <v>109</v>
      </c>
      <c r="N1818" s="95">
        <v>43164</v>
      </c>
      <c r="O1818" s="67"/>
      <c r="P1818" s="67" t="s">
        <v>95</v>
      </c>
      <c r="Q1818" s="67" t="s">
        <v>133</v>
      </c>
      <c r="R1818" s="92" t="s">
        <v>69</v>
      </c>
      <c r="S1818" s="92" t="s">
        <v>115</v>
      </c>
      <c r="T1818" s="67"/>
      <c r="U1818" s="67"/>
      <c r="V1818" s="95">
        <v>43131</v>
      </c>
      <c r="W1818" s="92" t="s">
        <v>316</v>
      </c>
      <c r="X1818" s="90"/>
      <c r="Y1818" s="123"/>
      <c r="Z1818" s="30">
        <f t="shared" si="56"/>
        <v>6763.7822038320437</v>
      </c>
      <c r="AA1818" s="30">
        <f t="shared" si="57"/>
        <v>2113.6819386975139</v>
      </c>
      <c r="AB1818" t="s">
        <v>456</v>
      </c>
    </row>
    <row r="1819" spans="1:28">
      <c r="A1819" s="67" t="s">
        <v>113</v>
      </c>
      <c r="B1819" s="91">
        <v>1314946</v>
      </c>
      <c r="C1819" s="92">
        <v>4615475851</v>
      </c>
      <c r="D1819" s="93">
        <v>19175</v>
      </c>
      <c r="E1819" s="79"/>
      <c r="F1819" s="94">
        <v>16</v>
      </c>
      <c r="G1819" s="96">
        <v>5</v>
      </c>
      <c r="H1819" s="91">
        <v>0</v>
      </c>
      <c r="I1819" s="91">
        <v>0</v>
      </c>
      <c r="J1819" s="71">
        <v>42991</v>
      </c>
      <c r="K1819" s="71">
        <v>43131</v>
      </c>
      <c r="L1819" s="69" t="s">
        <v>119</v>
      </c>
      <c r="M1819" s="69" t="s">
        <v>109</v>
      </c>
      <c r="N1819" s="95">
        <v>43157</v>
      </c>
      <c r="O1819" s="67"/>
      <c r="P1819" s="67" t="s">
        <v>95</v>
      </c>
      <c r="Q1819" s="67" t="s">
        <v>133</v>
      </c>
      <c r="R1819" s="92" t="s">
        <v>69</v>
      </c>
      <c r="S1819" s="92" t="s">
        <v>115</v>
      </c>
      <c r="T1819" s="67"/>
      <c r="U1819" s="67"/>
      <c r="V1819" s="95">
        <v>43131</v>
      </c>
      <c r="W1819" s="92" t="s">
        <v>316</v>
      </c>
      <c r="X1819" s="90"/>
      <c r="Y1819" s="123"/>
      <c r="Z1819" s="30">
        <f t="shared" si="56"/>
        <v>6763.7822038320437</v>
      </c>
      <c r="AA1819" s="30">
        <f t="shared" si="57"/>
        <v>2113.6819386975139</v>
      </c>
      <c r="AB1819" t="s">
        <v>456</v>
      </c>
    </row>
    <row r="1820" spans="1:28">
      <c r="A1820" s="67" t="s">
        <v>113</v>
      </c>
      <c r="B1820" s="91">
        <v>1314945</v>
      </c>
      <c r="C1820" s="92">
        <v>4615475851</v>
      </c>
      <c r="D1820" s="93">
        <v>19175</v>
      </c>
      <c r="E1820" s="79"/>
      <c r="F1820" s="94">
        <v>16</v>
      </c>
      <c r="G1820" s="96">
        <v>5</v>
      </c>
      <c r="H1820" s="91">
        <v>0</v>
      </c>
      <c r="I1820" s="91">
        <v>0</v>
      </c>
      <c r="J1820" s="71">
        <v>42991</v>
      </c>
      <c r="K1820" s="71">
        <v>43131</v>
      </c>
      <c r="L1820" s="69" t="s">
        <v>119</v>
      </c>
      <c r="M1820" s="69" t="s">
        <v>109</v>
      </c>
      <c r="N1820" s="95">
        <v>43158</v>
      </c>
      <c r="O1820" s="67"/>
      <c r="P1820" s="67" t="s">
        <v>95</v>
      </c>
      <c r="Q1820" s="67" t="s">
        <v>133</v>
      </c>
      <c r="R1820" s="92" t="s">
        <v>69</v>
      </c>
      <c r="S1820" s="92" t="s">
        <v>115</v>
      </c>
      <c r="T1820" s="67"/>
      <c r="U1820" s="67"/>
      <c r="V1820" s="95">
        <v>43131</v>
      </c>
      <c r="W1820" s="92" t="s">
        <v>316</v>
      </c>
      <c r="X1820" s="90"/>
      <c r="Y1820" s="123"/>
      <c r="Z1820" s="30">
        <f t="shared" si="56"/>
        <v>6763.7822038320437</v>
      </c>
      <c r="AA1820" s="30">
        <f t="shared" si="57"/>
        <v>2113.6819386975139</v>
      </c>
      <c r="AB1820" t="s">
        <v>456</v>
      </c>
    </row>
    <row r="1821" spans="1:28">
      <c r="A1821" s="67" t="s">
        <v>113</v>
      </c>
      <c r="B1821" s="91">
        <v>1315428</v>
      </c>
      <c r="C1821" s="92">
        <v>4615491434</v>
      </c>
      <c r="D1821" s="93">
        <v>19175</v>
      </c>
      <c r="E1821" s="79"/>
      <c r="F1821" s="94">
        <v>16</v>
      </c>
      <c r="G1821" s="94">
        <v>0</v>
      </c>
      <c r="H1821" s="91">
        <v>0</v>
      </c>
      <c r="I1821" s="91">
        <v>0</v>
      </c>
      <c r="J1821" s="71">
        <v>42977</v>
      </c>
      <c r="K1821" s="71">
        <v>43131</v>
      </c>
      <c r="L1821" s="69" t="s">
        <v>119</v>
      </c>
      <c r="M1821" s="69" t="s">
        <v>109</v>
      </c>
      <c r="N1821" s="95">
        <v>43160</v>
      </c>
      <c r="O1821" s="67"/>
      <c r="P1821" s="67" t="s">
        <v>95</v>
      </c>
      <c r="Q1821" s="67" t="s">
        <v>133</v>
      </c>
      <c r="R1821" s="92" t="s">
        <v>69</v>
      </c>
      <c r="S1821" s="92" t="s">
        <v>115</v>
      </c>
      <c r="T1821" s="67"/>
      <c r="U1821" s="67"/>
      <c r="V1821" s="95">
        <v>43131</v>
      </c>
      <c r="W1821" s="92" t="s">
        <v>317</v>
      </c>
      <c r="X1821" s="90"/>
      <c r="Y1821" s="123"/>
      <c r="Z1821" s="30">
        <f t="shared" si="56"/>
        <v>6763.7822038320437</v>
      </c>
      <c r="AA1821" s="30">
        <f t="shared" si="57"/>
        <v>0</v>
      </c>
      <c r="AB1821" t="s">
        <v>456</v>
      </c>
    </row>
    <row r="1822" spans="1:28">
      <c r="A1822" s="67" t="s">
        <v>113</v>
      </c>
      <c r="B1822" s="91">
        <v>1315425</v>
      </c>
      <c r="C1822" s="92">
        <v>4615491434</v>
      </c>
      <c r="D1822" s="93">
        <v>19175</v>
      </c>
      <c r="E1822" s="79"/>
      <c r="F1822" s="94">
        <v>16</v>
      </c>
      <c r="G1822" s="94">
        <v>0</v>
      </c>
      <c r="H1822" s="91">
        <v>0</v>
      </c>
      <c r="I1822" s="91">
        <v>0</v>
      </c>
      <c r="J1822" s="71">
        <v>42991</v>
      </c>
      <c r="K1822" s="71">
        <v>43131</v>
      </c>
      <c r="L1822" s="69" t="s">
        <v>119</v>
      </c>
      <c r="M1822" s="69" t="s">
        <v>109</v>
      </c>
      <c r="N1822" s="95">
        <v>43205</v>
      </c>
      <c r="O1822" s="67"/>
      <c r="P1822" s="67" t="s">
        <v>95</v>
      </c>
      <c r="Q1822" s="67" t="s">
        <v>133</v>
      </c>
      <c r="R1822" s="92" t="s">
        <v>69</v>
      </c>
      <c r="S1822" s="92" t="s">
        <v>115</v>
      </c>
      <c r="T1822" s="67"/>
      <c r="U1822" s="67"/>
      <c r="V1822" s="95">
        <v>43131</v>
      </c>
      <c r="W1822" s="92" t="s">
        <v>317</v>
      </c>
      <c r="X1822" s="90"/>
      <c r="Y1822" s="123"/>
      <c r="Z1822" s="30">
        <f t="shared" si="56"/>
        <v>6763.7822038320437</v>
      </c>
      <c r="AA1822" s="30">
        <f t="shared" si="57"/>
        <v>0</v>
      </c>
      <c r="AB1822" t="s">
        <v>456</v>
      </c>
    </row>
    <row r="1823" spans="1:28">
      <c r="A1823" s="67" t="s">
        <v>113</v>
      </c>
      <c r="B1823" s="91">
        <v>1315426</v>
      </c>
      <c r="C1823" s="92">
        <v>4615491434</v>
      </c>
      <c r="D1823" s="93">
        <v>19175</v>
      </c>
      <c r="E1823" s="79"/>
      <c r="F1823" s="94">
        <v>16</v>
      </c>
      <c r="G1823" s="94">
        <v>0</v>
      </c>
      <c r="H1823" s="91">
        <v>0</v>
      </c>
      <c r="I1823" s="91">
        <v>0</v>
      </c>
      <c r="J1823" s="71">
        <v>42977</v>
      </c>
      <c r="K1823" s="71">
        <v>43131</v>
      </c>
      <c r="L1823" s="69" t="s">
        <v>119</v>
      </c>
      <c r="M1823" s="69" t="s">
        <v>109</v>
      </c>
      <c r="N1823" s="95">
        <v>43198</v>
      </c>
      <c r="O1823" s="67"/>
      <c r="P1823" s="67" t="s">
        <v>95</v>
      </c>
      <c r="Q1823" s="67" t="s">
        <v>133</v>
      </c>
      <c r="R1823" s="92" t="s">
        <v>69</v>
      </c>
      <c r="S1823" s="92" t="s">
        <v>115</v>
      </c>
      <c r="T1823" s="67"/>
      <c r="U1823" s="67"/>
      <c r="V1823" s="95">
        <v>43131</v>
      </c>
      <c r="W1823" s="92" t="s">
        <v>317</v>
      </c>
      <c r="X1823" s="90" t="s">
        <v>155</v>
      </c>
      <c r="Y1823" s="123"/>
      <c r="Z1823" s="30">
        <f t="shared" si="56"/>
        <v>6763.7822038320437</v>
      </c>
      <c r="AA1823" s="30">
        <f t="shared" si="57"/>
        <v>0</v>
      </c>
      <c r="AB1823" t="s">
        <v>456</v>
      </c>
    </row>
    <row r="1824" spans="1:28">
      <c r="A1824" s="67" t="s">
        <v>113</v>
      </c>
      <c r="B1824" s="91">
        <v>1315433</v>
      </c>
      <c r="C1824" s="92">
        <v>4615491434</v>
      </c>
      <c r="D1824" s="93">
        <v>19175</v>
      </c>
      <c r="E1824" s="79"/>
      <c r="F1824" s="94">
        <v>16</v>
      </c>
      <c r="G1824" s="94">
        <v>0</v>
      </c>
      <c r="H1824" s="91">
        <v>0</v>
      </c>
      <c r="I1824" s="91">
        <v>0</v>
      </c>
      <c r="J1824" s="71">
        <v>42998</v>
      </c>
      <c r="K1824" s="71">
        <v>43131</v>
      </c>
      <c r="L1824" s="69" t="s">
        <v>119</v>
      </c>
      <c r="M1824" s="69" t="s">
        <v>109</v>
      </c>
      <c r="N1824" s="95">
        <v>43172</v>
      </c>
      <c r="O1824" s="67"/>
      <c r="P1824" s="67" t="s">
        <v>95</v>
      </c>
      <c r="Q1824" s="67" t="s">
        <v>133</v>
      </c>
      <c r="R1824" s="92" t="s">
        <v>69</v>
      </c>
      <c r="S1824" s="92" t="s">
        <v>115</v>
      </c>
      <c r="T1824" s="67"/>
      <c r="U1824" s="67"/>
      <c r="V1824" s="95">
        <v>43131</v>
      </c>
      <c r="W1824" s="92" t="s">
        <v>317</v>
      </c>
      <c r="X1824" s="90"/>
      <c r="Y1824" s="123"/>
      <c r="Z1824" s="30">
        <f t="shared" si="56"/>
        <v>6763.7822038320437</v>
      </c>
      <c r="AA1824" s="30">
        <f t="shared" si="57"/>
        <v>0</v>
      </c>
      <c r="AB1824" t="s">
        <v>456</v>
      </c>
    </row>
    <row r="1825" spans="1:28">
      <c r="A1825" s="67" t="s">
        <v>113</v>
      </c>
      <c r="B1825" s="91">
        <v>1315429</v>
      </c>
      <c r="C1825" s="92">
        <v>4615491434</v>
      </c>
      <c r="D1825" s="93">
        <v>19175</v>
      </c>
      <c r="E1825" s="79"/>
      <c r="F1825" s="94">
        <v>16</v>
      </c>
      <c r="G1825" s="94">
        <v>0</v>
      </c>
      <c r="H1825" s="91">
        <v>0</v>
      </c>
      <c r="I1825" s="91">
        <v>0</v>
      </c>
      <c r="J1825" s="71">
        <v>42977</v>
      </c>
      <c r="K1825" s="71">
        <v>43131</v>
      </c>
      <c r="L1825" s="69" t="s">
        <v>119</v>
      </c>
      <c r="M1825" s="69" t="s">
        <v>109</v>
      </c>
      <c r="N1825" s="95">
        <v>43193</v>
      </c>
      <c r="O1825" s="67"/>
      <c r="P1825" s="67" t="s">
        <v>95</v>
      </c>
      <c r="Q1825" s="67" t="s">
        <v>133</v>
      </c>
      <c r="R1825" s="92" t="s">
        <v>69</v>
      </c>
      <c r="S1825" s="92" t="s">
        <v>115</v>
      </c>
      <c r="T1825" s="67"/>
      <c r="U1825" s="67"/>
      <c r="V1825" s="95">
        <v>43131</v>
      </c>
      <c r="W1825" s="92" t="s">
        <v>317</v>
      </c>
      <c r="X1825" s="90"/>
      <c r="Y1825" s="123"/>
      <c r="Z1825" s="30">
        <f t="shared" si="56"/>
        <v>6763.7822038320437</v>
      </c>
      <c r="AA1825" s="30">
        <f t="shared" si="57"/>
        <v>0</v>
      </c>
      <c r="AB1825" t="s">
        <v>456</v>
      </c>
    </row>
    <row r="1826" spans="1:28">
      <c r="A1826" s="67" t="s">
        <v>113</v>
      </c>
      <c r="B1826" s="91">
        <v>1315432</v>
      </c>
      <c r="C1826" s="92">
        <v>4615491434</v>
      </c>
      <c r="D1826" s="93">
        <v>19175</v>
      </c>
      <c r="E1826" s="79"/>
      <c r="F1826" s="94">
        <v>16</v>
      </c>
      <c r="G1826" s="94">
        <v>0</v>
      </c>
      <c r="H1826" s="91">
        <v>0</v>
      </c>
      <c r="I1826" s="91">
        <v>0</v>
      </c>
      <c r="J1826" s="71">
        <v>42996</v>
      </c>
      <c r="K1826" s="71">
        <v>43131</v>
      </c>
      <c r="L1826" s="69" t="s">
        <v>119</v>
      </c>
      <c r="M1826" s="69" t="s">
        <v>109</v>
      </c>
      <c r="N1826" s="95">
        <v>43205</v>
      </c>
      <c r="O1826" s="67"/>
      <c r="P1826" s="67" t="s">
        <v>95</v>
      </c>
      <c r="Q1826" s="67" t="s">
        <v>133</v>
      </c>
      <c r="R1826" s="92" t="s">
        <v>69</v>
      </c>
      <c r="S1826" s="92" t="s">
        <v>115</v>
      </c>
      <c r="T1826" s="67"/>
      <c r="U1826" s="67"/>
      <c r="V1826" s="95">
        <v>43131</v>
      </c>
      <c r="W1826" s="92" t="s">
        <v>317</v>
      </c>
      <c r="X1826" s="90"/>
      <c r="Y1826" s="123"/>
      <c r="Z1826" s="30">
        <f t="shared" si="56"/>
        <v>6763.7822038320437</v>
      </c>
      <c r="AA1826" s="30">
        <f t="shared" si="57"/>
        <v>0</v>
      </c>
      <c r="AB1826" t="s">
        <v>456</v>
      </c>
    </row>
    <row r="1827" spans="1:28">
      <c r="A1827" s="67" t="s">
        <v>113</v>
      </c>
      <c r="B1827" s="91">
        <v>1315434</v>
      </c>
      <c r="C1827" s="92">
        <v>4615491434</v>
      </c>
      <c r="D1827" s="93">
        <v>19175</v>
      </c>
      <c r="E1827" s="79"/>
      <c r="F1827" s="94">
        <v>16</v>
      </c>
      <c r="G1827" s="94">
        <v>0</v>
      </c>
      <c r="H1827" s="91">
        <v>0</v>
      </c>
      <c r="I1827" s="91">
        <v>0</v>
      </c>
      <c r="J1827" s="71">
        <v>42977</v>
      </c>
      <c r="K1827" s="71">
        <v>43131</v>
      </c>
      <c r="L1827" s="69" t="s">
        <v>119</v>
      </c>
      <c r="M1827" s="69" t="s">
        <v>109</v>
      </c>
      <c r="N1827" s="95">
        <v>43198</v>
      </c>
      <c r="O1827" s="67"/>
      <c r="P1827" s="67" t="s">
        <v>95</v>
      </c>
      <c r="Q1827" s="67" t="s">
        <v>133</v>
      </c>
      <c r="R1827" s="92" t="s">
        <v>69</v>
      </c>
      <c r="S1827" s="92" t="s">
        <v>115</v>
      </c>
      <c r="T1827" s="67"/>
      <c r="U1827" s="67"/>
      <c r="V1827" s="95">
        <v>43131</v>
      </c>
      <c r="W1827" s="92" t="s">
        <v>317</v>
      </c>
      <c r="X1827" s="90"/>
      <c r="Y1827" s="123"/>
      <c r="Z1827" s="30">
        <f t="shared" si="56"/>
        <v>6763.7822038320437</v>
      </c>
      <c r="AA1827" s="30">
        <f t="shared" si="57"/>
        <v>0</v>
      </c>
      <c r="AB1827" t="s">
        <v>456</v>
      </c>
    </row>
    <row r="1828" spans="1:28">
      <c r="A1828" s="67" t="s">
        <v>113</v>
      </c>
      <c r="B1828" s="91">
        <v>1315430</v>
      </c>
      <c r="C1828" s="92">
        <v>4615491434</v>
      </c>
      <c r="D1828" s="93">
        <v>19175</v>
      </c>
      <c r="E1828" s="79"/>
      <c r="F1828" s="94">
        <v>16</v>
      </c>
      <c r="G1828" s="94">
        <v>0</v>
      </c>
      <c r="H1828" s="91">
        <v>0</v>
      </c>
      <c r="I1828" s="91">
        <v>0</v>
      </c>
      <c r="J1828" s="71">
        <v>42977</v>
      </c>
      <c r="K1828" s="71">
        <v>43131</v>
      </c>
      <c r="L1828" s="69" t="s">
        <v>119</v>
      </c>
      <c r="M1828" s="69" t="s">
        <v>109</v>
      </c>
      <c r="N1828" s="95">
        <v>43194</v>
      </c>
      <c r="O1828" s="67"/>
      <c r="P1828" s="67" t="s">
        <v>95</v>
      </c>
      <c r="Q1828" s="67" t="s">
        <v>133</v>
      </c>
      <c r="R1828" s="92" t="s">
        <v>69</v>
      </c>
      <c r="S1828" s="92" t="s">
        <v>115</v>
      </c>
      <c r="T1828" s="67"/>
      <c r="U1828" s="67"/>
      <c r="V1828" s="95">
        <v>43131</v>
      </c>
      <c r="W1828" s="92" t="s">
        <v>317</v>
      </c>
      <c r="X1828" s="90"/>
      <c r="Y1828" s="123"/>
      <c r="Z1828" s="30">
        <f t="shared" si="56"/>
        <v>6763.7822038320437</v>
      </c>
      <c r="AA1828" s="30">
        <f t="shared" si="57"/>
        <v>0</v>
      </c>
      <c r="AB1828" t="s">
        <v>456</v>
      </c>
    </row>
    <row r="1829" spans="1:28">
      <c r="A1829" s="67" t="s">
        <v>113</v>
      </c>
      <c r="B1829" s="91">
        <v>1315427</v>
      </c>
      <c r="C1829" s="92">
        <v>4615491434</v>
      </c>
      <c r="D1829" s="93">
        <v>19175</v>
      </c>
      <c r="E1829" s="79"/>
      <c r="F1829" s="94">
        <v>16</v>
      </c>
      <c r="G1829" s="94">
        <v>0</v>
      </c>
      <c r="H1829" s="91">
        <v>0</v>
      </c>
      <c r="I1829" s="91">
        <v>0</v>
      </c>
      <c r="J1829" s="71">
        <v>42977</v>
      </c>
      <c r="K1829" s="71">
        <v>43131</v>
      </c>
      <c r="L1829" s="69" t="s">
        <v>119</v>
      </c>
      <c r="M1829" s="69" t="s">
        <v>109</v>
      </c>
      <c r="N1829" s="95">
        <v>43167</v>
      </c>
      <c r="O1829" s="67"/>
      <c r="P1829" s="67" t="s">
        <v>95</v>
      </c>
      <c r="Q1829" s="67" t="s">
        <v>133</v>
      </c>
      <c r="R1829" s="92" t="s">
        <v>69</v>
      </c>
      <c r="S1829" s="92" t="s">
        <v>115</v>
      </c>
      <c r="T1829" s="67"/>
      <c r="U1829" s="67"/>
      <c r="V1829" s="95">
        <v>43131</v>
      </c>
      <c r="W1829" s="92" t="s">
        <v>317</v>
      </c>
      <c r="X1829" s="90"/>
      <c r="Y1829" s="123"/>
      <c r="Z1829" s="30">
        <f t="shared" si="56"/>
        <v>6763.7822038320437</v>
      </c>
      <c r="AA1829" s="30">
        <f t="shared" si="57"/>
        <v>0</v>
      </c>
      <c r="AB1829" t="s">
        <v>456</v>
      </c>
    </row>
    <row r="1830" spans="1:28">
      <c r="A1830" s="67" t="s">
        <v>113</v>
      </c>
      <c r="B1830" s="91">
        <v>1315431</v>
      </c>
      <c r="C1830" s="92">
        <v>4615491434</v>
      </c>
      <c r="D1830" s="93">
        <v>19175</v>
      </c>
      <c r="E1830" s="79"/>
      <c r="F1830" s="94">
        <v>16</v>
      </c>
      <c r="G1830" s="94">
        <v>0</v>
      </c>
      <c r="H1830" s="91">
        <v>0</v>
      </c>
      <c r="I1830" s="91">
        <v>0</v>
      </c>
      <c r="J1830" s="71">
        <v>42977</v>
      </c>
      <c r="K1830" s="71">
        <v>43131</v>
      </c>
      <c r="L1830" s="69" t="s">
        <v>119</v>
      </c>
      <c r="M1830" s="69" t="s">
        <v>109</v>
      </c>
      <c r="N1830" s="95">
        <v>43192</v>
      </c>
      <c r="O1830" s="67"/>
      <c r="P1830" s="67" t="s">
        <v>95</v>
      </c>
      <c r="Q1830" s="67" t="s">
        <v>133</v>
      </c>
      <c r="R1830" s="92" t="s">
        <v>69</v>
      </c>
      <c r="S1830" s="92" t="s">
        <v>115</v>
      </c>
      <c r="T1830" s="67"/>
      <c r="U1830" s="67"/>
      <c r="V1830" s="95">
        <v>43131</v>
      </c>
      <c r="W1830" s="92" t="s">
        <v>317</v>
      </c>
      <c r="X1830" s="90"/>
      <c r="Y1830" s="123"/>
      <c r="Z1830" s="30">
        <f t="shared" si="56"/>
        <v>6763.7822038320437</v>
      </c>
      <c r="AA1830" s="30">
        <f t="shared" si="57"/>
        <v>0</v>
      </c>
      <c r="AB1830" t="s">
        <v>456</v>
      </c>
    </row>
    <row r="1831" spans="1:28">
      <c r="A1831" s="67" t="s">
        <v>113</v>
      </c>
      <c r="B1831" s="91" t="s">
        <v>160</v>
      </c>
      <c r="C1831" s="92" t="s">
        <v>161</v>
      </c>
      <c r="D1831" s="93">
        <v>21600</v>
      </c>
      <c r="E1831" s="79"/>
      <c r="F1831" s="91">
        <v>16</v>
      </c>
      <c r="G1831" s="96">
        <v>5</v>
      </c>
      <c r="H1831" s="94">
        <v>0</v>
      </c>
      <c r="I1831" s="91">
        <v>0</v>
      </c>
      <c r="J1831" s="71"/>
      <c r="K1831" s="71">
        <v>43131</v>
      </c>
      <c r="L1831" s="69" t="s">
        <v>80</v>
      </c>
      <c r="M1831" s="69" t="s">
        <v>109</v>
      </c>
      <c r="N1831" s="95">
        <v>43103</v>
      </c>
      <c r="O1831" s="67"/>
      <c r="P1831" s="67" t="s">
        <v>95</v>
      </c>
      <c r="Q1831" s="67" t="s">
        <v>133</v>
      </c>
      <c r="R1831" s="92" t="s">
        <v>69</v>
      </c>
      <c r="S1831" s="92" t="s">
        <v>115</v>
      </c>
      <c r="T1831" s="67"/>
      <c r="U1831" s="67"/>
      <c r="V1831" s="95">
        <v>43131</v>
      </c>
      <c r="W1831" s="92" t="s">
        <v>318</v>
      </c>
      <c r="X1831" s="90" t="s">
        <v>196</v>
      </c>
      <c r="Y1831" s="123"/>
      <c r="Z1831" s="30">
        <f t="shared" si="56"/>
        <v>7619.1757811093694</v>
      </c>
      <c r="AA1831" s="30">
        <f t="shared" si="57"/>
        <v>2380.9924315966778</v>
      </c>
      <c r="AB1831" t="s">
        <v>456</v>
      </c>
    </row>
    <row r="1832" spans="1:28">
      <c r="A1832" s="67" t="s">
        <v>113</v>
      </c>
      <c r="B1832" s="91" t="s">
        <v>160</v>
      </c>
      <c r="C1832" s="92" t="s">
        <v>161</v>
      </c>
      <c r="D1832" s="93">
        <v>21600</v>
      </c>
      <c r="E1832" s="79"/>
      <c r="F1832" s="91">
        <v>16</v>
      </c>
      <c r="G1832" s="96">
        <v>5</v>
      </c>
      <c r="H1832" s="94">
        <v>0</v>
      </c>
      <c r="I1832" s="91">
        <v>0</v>
      </c>
      <c r="J1832" s="71"/>
      <c r="K1832" s="71">
        <v>43131</v>
      </c>
      <c r="L1832" s="69" t="s">
        <v>80</v>
      </c>
      <c r="M1832" s="69" t="s">
        <v>109</v>
      </c>
      <c r="N1832" s="95">
        <v>43103</v>
      </c>
      <c r="O1832" s="67"/>
      <c r="P1832" s="67" t="s">
        <v>95</v>
      </c>
      <c r="Q1832" s="67" t="s">
        <v>133</v>
      </c>
      <c r="R1832" s="92" t="s">
        <v>69</v>
      </c>
      <c r="S1832" s="92" t="s">
        <v>115</v>
      </c>
      <c r="T1832" s="67"/>
      <c r="U1832" s="67"/>
      <c r="V1832" s="95">
        <v>43131</v>
      </c>
      <c r="W1832" s="92" t="s">
        <v>318</v>
      </c>
      <c r="X1832" s="90" t="s">
        <v>196</v>
      </c>
      <c r="Y1832" s="123"/>
      <c r="Z1832" s="30">
        <f t="shared" si="56"/>
        <v>7619.1757811093694</v>
      </c>
      <c r="AA1832" s="30">
        <f t="shared" si="57"/>
        <v>2380.9924315966778</v>
      </c>
      <c r="AB1832" t="s">
        <v>456</v>
      </c>
    </row>
    <row r="1833" spans="1:28">
      <c r="A1833" s="67" t="s">
        <v>113</v>
      </c>
      <c r="B1833" s="91" t="s">
        <v>160</v>
      </c>
      <c r="C1833" s="92" t="s">
        <v>161</v>
      </c>
      <c r="D1833" s="93">
        <v>21600</v>
      </c>
      <c r="E1833" s="79"/>
      <c r="F1833" s="91">
        <v>16</v>
      </c>
      <c r="G1833" s="96">
        <v>5</v>
      </c>
      <c r="H1833" s="94">
        <v>0</v>
      </c>
      <c r="I1833" s="91">
        <v>0</v>
      </c>
      <c r="J1833" s="71"/>
      <c r="K1833" s="71">
        <v>43131</v>
      </c>
      <c r="L1833" s="69" t="s">
        <v>80</v>
      </c>
      <c r="M1833" s="69" t="s">
        <v>109</v>
      </c>
      <c r="N1833" s="95">
        <v>43103</v>
      </c>
      <c r="O1833" s="67"/>
      <c r="P1833" s="67" t="s">
        <v>95</v>
      </c>
      <c r="Q1833" s="67" t="s">
        <v>133</v>
      </c>
      <c r="R1833" s="92" t="s">
        <v>69</v>
      </c>
      <c r="S1833" s="92" t="s">
        <v>115</v>
      </c>
      <c r="T1833" s="67"/>
      <c r="U1833" s="67"/>
      <c r="V1833" s="95">
        <v>43131</v>
      </c>
      <c r="W1833" s="92" t="s">
        <v>318</v>
      </c>
      <c r="X1833" s="90" t="s">
        <v>196</v>
      </c>
      <c r="Y1833" s="123"/>
      <c r="Z1833" s="30">
        <f t="shared" si="56"/>
        <v>7619.1757811093694</v>
      </c>
      <c r="AA1833" s="30">
        <f t="shared" si="57"/>
        <v>2380.9924315966778</v>
      </c>
      <c r="AB1833" t="s">
        <v>456</v>
      </c>
    </row>
    <row r="1834" spans="1:28">
      <c r="A1834" s="67" t="s">
        <v>113</v>
      </c>
      <c r="B1834" s="91" t="s">
        <v>160</v>
      </c>
      <c r="C1834" s="92" t="s">
        <v>161</v>
      </c>
      <c r="D1834" s="93">
        <v>21600</v>
      </c>
      <c r="E1834" s="79"/>
      <c r="F1834" s="91">
        <v>16</v>
      </c>
      <c r="G1834" s="96">
        <v>5</v>
      </c>
      <c r="H1834" s="94">
        <v>0</v>
      </c>
      <c r="I1834" s="91">
        <v>0</v>
      </c>
      <c r="J1834" s="71"/>
      <c r="K1834" s="71">
        <v>43131</v>
      </c>
      <c r="L1834" s="69" t="s">
        <v>80</v>
      </c>
      <c r="M1834" s="69" t="s">
        <v>109</v>
      </c>
      <c r="N1834" s="95">
        <v>43103</v>
      </c>
      <c r="O1834" s="67"/>
      <c r="P1834" s="67" t="s">
        <v>95</v>
      </c>
      <c r="Q1834" s="67" t="s">
        <v>133</v>
      </c>
      <c r="R1834" s="92" t="s">
        <v>69</v>
      </c>
      <c r="S1834" s="92" t="s">
        <v>115</v>
      </c>
      <c r="T1834" s="67"/>
      <c r="U1834" s="67"/>
      <c r="V1834" s="95">
        <v>43131</v>
      </c>
      <c r="W1834" s="92" t="s">
        <v>318</v>
      </c>
      <c r="X1834" s="90" t="s">
        <v>196</v>
      </c>
      <c r="Y1834" s="123"/>
      <c r="Z1834" s="30">
        <f t="shared" si="56"/>
        <v>7619.1757811093694</v>
      </c>
      <c r="AA1834" s="30">
        <f t="shared" si="57"/>
        <v>2380.9924315966778</v>
      </c>
      <c r="AB1834" t="s">
        <v>456</v>
      </c>
    </row>
    <row r="1835" spans="1:28">
      <c r="A1835" s="67" t="s">
        <v>113</v>
      </c>
      <c r="B1835" s="91" t="s">
        <v>160</v>
      </c>
      <c r="C1835" s="92" t="s">
        <v>161</v>
      </c>
      <c r="D1835" s="93">
        <v>21600</v>
      </c>
      <c r="E1835" s="79"/>
      <c r="F1835" s="91">
        <v>16</v>
      </c>
      <c r="G1835" s="96">
        <v>5</v>
      </c>
      <c r="H1835" s="94">
        <v>0</v>
      </c>
      <c r="I1835" s="91">
        <v>0</v>
      </c>
      <c r="J1835" s="71"/>
      <c r="K1835" s="71">
        <v>43131</v>
      </c>
      <c r="L1835" s="69" t="s">
        <v>80</v>
      </c>
      <c r="M1835" s="69" t="s">
        <v>109</v>
      </c>
      <c r="N1835" s="95">
        <v>43103</v>
      </c>
      <c r="O1835" s="67"/>
      <c r="P1835" s="67" t="s">
        <v>95</v>
      </c>
      <c r="Q1835" s="67" t="s">
        <v>133</v>
      </c>
      <c r="R1835" s="92" t="s">
        <v>69</v>
      </c>
      <c r="S1835" s="92" t="s">
        <v>115</v>
      </c>
      <c r="T1835" s="67"/>
      <c r="U1835" s="67"/>
      <c r="V1835" s="95">
        <v>43131</v>
      </c>
      <c r="W1835" s="92" t="s">
        <v>318</v>
      </c>
      <c r="X1835" s="90" t="s">
        <v>196</v>
      </c>
      <c r="Y1835" s="123"/>
      <c r="Z1835" s="30">
        <f t="shared" si="56"/>
        <v>7619.1757811093694</v>
      </c>
      <c r="AA1835" s="30">
        <f t="shared" si="57"/>
        <v>2380.9924315966778</v>
      </c>
      <c r="AB1835" t="s">
        <v>456</v>
      </c>
    </row>
    <row r="1836" spans="1:28">
      <c r="A1836" s="67" t="s">
        <v>113</v>
      </c>
      <c r="B1836" s="91" t="s">
        <v>160</v>
      </c>
      <c r="C1836" s="92" t="s">
        <v>161</v>
      </c>
      <c r="D1836" s="93">
        <v>21600</v>
      </c>
      <c r="E1836" s="79"/>
      <c r="F1836" s="91">
        <v>16</v>
      </c>
      <c r="G1836" s="96">
        <v>5</v>
      </c>
      <c r="H1836" s="94">
        <v>0</v>
      </c>
      <c r="I1836" s="91">
        <v>0</v>
      </c>
      <c r="J1836" s="71"/>
      <c r="K1836" s="71">
        <v>43131</v>
      </c>
      <c r="L1836" s="69" t="s">
        <v>80</v>
      </c>
      <c r="M1836" s="69" t="s">
        <v>109</v>
      </c>
      <c r="N1836" s="95">
        <v>43103</v>
      </c>
      <c r="O1836" s="67"/>
      <c r="P1836" s="67" t="s">
        <v>95</v>
      </c>
      <c r="Q1836" s="67" t="s">
        <v>133</v>
      </c>
      <c r="R1836" s="92" t="s">
        <v>69</v>
      </c>
      <c r="S1836" s="92" t="s">
        <v>115</v>
      </c>
      <c r="T1836" s="67"/>
      <c r="U1836" s="67"/>
      <c r="V1836" s="95">
        <v>43131</v>
      </c>
      <c r="W1836" s="92" t="s">
        <v>318</v>
      </c>
      <c r="X1836" s="90" t="s">
        <v>196</v>
      </c>
      <c r="Y1836" s="123"/>
      <c r="Z1836" s="30">
        <f t="shared" si="56"/>
        <v>7619.1757811093694</v>
      </c>
      <c r="AA1836" s="30">
        <f t="shared" si="57"/>
        <v>2380.9924315966778</v>
      </c>
      <c r="AB1836" t="s">
        <v>456</v>
      </c>
    </row>
    <row r="1837" spans="1:28">
      <c r="A1837" s="67" t="s">
        <v>113</v>
      </c>
      <c r="B1837" s="91" t="s">
        <v>160</v>
      </c>
      <c r="C1837" s="92" t="s">
        <v>161</v>
      </c>
      <c r="D1837" s="93">
        <v>21600</v>
      </c>
      <c r="E1837" s="79"/>
      <c r="F1837" s="91">
        <v>16</v>
      </c>
      <c r="G1837" s="96">
        <v>5</v>
      </c>
      <c r="H1837" s="94">
        <v>0</v>
      </c>
      <c r="I1837" s="91">
        <v>0</v>
      </c>
      <c r="J1837" s="71"/>
      <c r="K1837" s="71">
        <v>43131</v>
      </c>
      <c r="L1837" s="69" t="s">
        <v>80</v>
      </c>
      <c r="M1837" s="69" t="s">
        <v>109</v>
      </c>
      <c r="N1837" s="95">
        <v>43103</v>
      </c>
      <c r="O1837" s="67"/>
      <c r="P1837" s="67" t="s">
        <v>95</v>
      </c>
      <c r="Q1837" s="67" t="s">
        <v>133</v>
      </c>
      <c r="R1837" s="92" t="s">
        <v>69</v>
      </c>
      <c r="S1837" s="92" t="s">
        <v>115</v>
      </c>
      <c r="T1837" s="67"/>
      <c r="U1837" s="67"/>
      <c r="V1837" s="95">
        <v>43131</v>
      </c>
      <c r="W1837" s="92" t="s">
        <v>318</v>
      </c>
      <c r="X1837" s="90" t="s">
        <v>196</v>
      </c>
      <c r="Y1837" s="123"/>
      <c r="Z1837" s="30">
        <f t="shared" si="56"/>
        <v>7619.1757811093694</v>
      </c>
      <c r="AA1837" s="30">
        <f t="shared" si="57"/>
        <v>2380.9924315966778</v>
      </c>
      <c r="AB1837" t="s">
        <v>456</v>
      </c>
    </row>
    <row r="1838" spans="1:28">
      <c r="A1838" s="67" t="s">
        <v>113</v>
      </c>
      <c r="B1838" s="91" t="s">
        <v>160</v>
      </c>
      <c r="C1838" s="92" t="s">
        <v>161</v>
      </c>
      <c r="D1838" s="93">
        <v>21600</v>
      </c>
      <c r="E1838" s="79"/>
      <c r="F1838" s="91">
        <v>16</v>
      </c>
      <c r="G1838" s="96">
        <v>5</v>
      </c>
      <c r="H1838" s="94">
        <v>0</v>
      </c>
      <c r="I1838" s="91">
        <v>0</v>
      </c>
      <c r="J1838" s="71"/>
      <c r="K1838" s="71">
        <v>43131</v>
      </c>
      <c r="L1838" s="69" t="s">
        <v>80</v>
      </c>
      <c r="M1838" s="69" t="s">
        <v>109</v>
      </c>
      <c r="N1838" s="95">
        <v>43103</v>
      </c>
      <c r="O1838" s="67"/>
      <c r="P1838" s="67" t="s">
        <v>95</v>
      </c>
      <c r="Q1838" s="67" t="s">
        <v>133</v>
      </c>
      <c r="R1838" s="92" t="s">
        <v>69</v>
      </c>
      <c r="S1838" s="92" t="s">
        <v>115</v>
      </c>
      <c r="T1838" s="67"/>
      <c r="U1838" s="67"/>
      <c r="V1838" s="95">
        <v>43131</v>
      </c>
      <c r="W1838" s="92" t="s">
        <v>318</v>
      </c>
      <c r="X1838" s="90" t="s">
        <v>196</v>
      </c>
      <c r="Y1838" s="123"/>
      <c r="Z1838" s="30">
        <f t="shared" si="56"/>
        <v>7619.1757811093694</v>
      </c>
      <c r="AA1838" s="30">
        <f t="shared" si="57"/>
        <v>2380.9924315966778</v>
      </c>
      <c r="AB1838" t="s">
        <v>456</v>
      </c>
    </row>
    <row r="1839" spans="1:28">
      <c r="A1839" s="67" t="s">
        <v>113</v>
      </c>
      <c r="B1839" s="91" t="s">
        <v>160</v>
      </c>
      <c r="C1839" s="92" t="s">
        <v>161</v>
      </c>
      <c r="D1839" s="93">
        <v>21600</v>
      </c>
      <c r="E1839" s="79"/>
      <c r="F1839" s="91">
        <v>16</v>
      </c>
      <c r="G1839" s="96">
        <v>5</v>
      </c>
      <c r="H1839" s="94">
        <v>0</v>
      </c>
      <c r="I1839" s="91">
        <v>0</v>
      </c>
      <c r="J1839" s="71"/>
      <c r="K1839" s="71">
        <v>43131</v>
      </c>
      <c r="L1839" s="69" t="s">
        <v>80</v>
      </c>
      <c r="M1839" s="69" t="s">
        <v>109</v>
      </c>
      <c r="N1839" s="95">
        <v>43103</v>
      </c>
      <c r="O1839" s="67"/>
      <c r="P1839" s="67" t="s">
        <v>95</v>
      </c>
      <c r="Q1839" s="67" t="s">
        <v>133</v>
      </c>
      <c r="R1839" s="92" t="s">
        <v>69</v>
      </c>
      <c r="S1839" s="92" t="s">
        <v>115</v>
      </c>
      <c r="T1839" s="67"/>
      <c r="U1839" s="67"/>
      <c r="V1839" s="95">
        <v>43131</v>
      </c>
      <c r="W1839" s="92" t="s">
        <v>318</v>
      </c>
      <c r="X1839" s="90" t="s">
        <v>196</v>
      </c>
      <c r="Y1839" s="123"/>
      <c r="Z1839" s="30">
        <f t="shared" si="56"/>
        <v>7619.1757811093694</v>
      </c>
      <c r="AA1839" s="30">
        <f t="shared" si="57"/>
        <v>2380.9924315966778</v>
      </c>
      <c r="AB1839" t="s">
        <v>456</v>
      </c>
    </row>
    <row r="1840" spans="1:28">
      <c r="A1840" s="67" t="s">
        <v>113</v>
      </c>
      <c r="B1840" s="91" t="s">
        <v>160</v>
      </c>
      <c r="C1840" s="92" t="s">
        <v>161</v>
      </c>
      <c r="D1840" s="93">
        <v>21600</v>
      </c>
      <c r="E1840" s="79"/>
      <c r="F1840" s="91">
        <v>16</v>
      </c>
      <c r="G1840" s="96">
        <v>5</v>
      </c>
      <c r="H1840" s="94">
        <v>0</v>
      </c>
      <c r="I1840" s="91">
        <v>0</v>
      </c>
      <c r="J1840" s="71"/>
      <c r="K1840" s="71">
        <v>43131</v>
      </c>
      <c r="L1840" s="69" t="s">
        <v>80</v>
      </c>
      <c r="M1840" s="69" t="s">
        <v>109</v>
      </c>
      <c r="N1840" s="95">
        <v>43103</v>
      </c>
      <c r="O1840" s="67"/>
      <c r="P1840" s="67" t="s">
        <v>95</v>
      </c>
      <c r="Q1840" s="67" t="s">
        <v>133</v>
      </c>
      <c r="R1840" s="92" t="s">
        <v>69</v>
      </c>
      <c r="S1840" s="92" t="s">
        <v>115</v>
      </c>
      <c r="T1840" s="67"/>
      <c r="U1840" s="67"/>
      <c r="V1840" s="95">
        <v>43131</v>
      </c>
      <c r="W1840" s="92" t="s">
        <v>318</v>
      </c>
      <c r="X1840" s="90" t="s">
        <v>196</v>
      </c>
      <c r="Y1840" s="123"/>
      <c r="Z1840" s="30">
        <f t="shared" si="56"/>
        <v>7619.1757811093694</v>
      </c>
      <c r="AA1840" s="30">
        <f t="shared" si="57"/>
        <v>2380.9924315966778</v>
      </c>
      <c r="AB1840" t="s">
        <v>456</v>
      </c>
    </row>
    <row r="1841" spans="1:28">
      <c r="A1841" s="67" t="s">
        <v>113</v>
      </c>
      <c r="B1841" s="91" t="s">
        <v>160</v>
      </c>
      <c r="C1841" s="92" t="s">
        <v>161</v>
      </c>
      <c r="D1841" s="93">
        <v>21600</v>
      </c>
      <c r="E1841" s="79"/>
      <c r="F1841" s="91">
        <v>16</v>
      </c>
      <c r="G1841" s="96">
        <v>5</v>
      </c>
      <c r="H1841" s="94">
        <v>0</v>
      </c>
      <c r="I1841" s="91">
        <v>0</v>
      </c>
      <c r="J1841" s="71"/>
      <c r="K1841" s="71">
        <v>43131</v>
      </c>
      <c r="L1841" s="69" t="s">
        <v>80</v>
      </c>
      <c r="M1841" s="69" t="s">
        <v>109</v>
      </c>
      <c r="N1841" s="95">
        <v>43103</v>
      </c>
      <c r="O1841" s="67"/>
      <c r="P1841" s="67" t="s">
        <v>95</v>
      </c>
      <c r="Q1841" s="67" t="s">
        <v>133</v>
      </c>
      <c r="R1841" s="92" t="s">
        <v>69</v>
      </c>
      <c r="S1841" s="92" t="s">
        <v>115</v>
      </c>
      <c r="T1841" s="67"/>
      <c r="U1841" s="67"/>
      <c r="V1841" s="95">
        <v>43131</v>
      </c>
      <c r="W1841" s="92" t="s">
        <v>318</v>
      </c>
      <c r="X1841" s="90" t="s">
        <v>196</v>
      </c>
      <c r="Y1841" s="123"/>
      <c r="Z1841" s="30">
        <f t="shared" si="56"/>
        <v>7619.1757811093694</v>
      </c>
      <c r="AA1841" s="30">
        <f t="shared" si="57"/>
        <v>2380.9924315966778</v>
      </c>
      <c r="AB1841" t="s">
        <v>456</v>
      </c>
    </row>
    <row r="1842" spans="1:28">
      <c r="A1842" s="67" t="s">
        <v>113</v>
      </c>
      <c r="B1842" s="91" t="s">
        <v>160</v>
      </c>
      <c r="C1842" s="92" t="s">
        <v>161</v>
      </c>
      <c r="D1842" s="93">
        <v>21600</v>
      </c>
      <c r="E1842" s="79"/>
      <c r="F1842" s="91">
        <v>16</v>
      </c>
      <c r="G1842" s="96">
        <v>5</v>
      </c>
      <c r="H1842" s="94">
        <v>0</v>
      </c>
      <c r="I1842" s="91">
        <v>0</v>
      </c>
      <c r="J1842" s="71"/>
      <c r="K1842" s="71">
        <v>43131</v>
      </c>
      <c r="L1842" s="69" t="s">
        <v>80</v>
      </c>
      <c r="M1842" s="69" t="s">
        <v>109</v>
      </c>
      <c r="N1842" s="95">
        <v>43103</v>
      </c>
      <c r="O1842" s="67"/>
      <c r="P1842" s="67" t="s">
        <v>95</v>
      </c>
      <c r="Q1842" s="67" t="s">
        <v>133</v>
      </c>
      <c r="R1842" s="92" t="s">
        <v>69</v>
      </c>
      <c r="S1842" s="92" t="s">
        <v>115</v>
      </c>
      <c r="T1842" s="67"/>
      <c r="U1842" s="67"/>
      <c r="V1842" s="95">
        <v>43131</v>
      </c>
      <c r="W1842" s="92" t="s">
        <v>318</v>
      </c>
      <c r="X1842" s="90" t="s">
        <v>196</v>
      </c>
      <c r="Y1842" s="123"/>
      <c r="Z1842" s="30">
        <f t="shared" si="56"/>
        <v>7619.1757811093694</v>
      </c>
      <c r="AA1842" s="30">
        <f t="shared" si="57"/>
        <v>2380.9924315966778</v>
      </c>
      <c r="AB1842" t="s">
        <v>456</v>
      </c>
    </row>
    <row r="1843" spans="1:28">
      <c r="A1843" s="67" t="s">
        <v>128</v>
      </c>
      <c r="B1843" s="91">
        <v>1310360</v>
      </c>
      <c r="C1843" s="92">
        <v>4615503638</v>
      </c>
      <c r="D1843" s="93">
        <v>19175</v>
      </c>
      <c r="E1843" s="79"/>
      <c r="F1843" s="94">
        <v>154.32</v>
      </c>
      <c r="G1843" s="94">
        <v>0</v>
      </c>
      <c r="H1843" s="91">
        <v>0</v>
      </c>
      <c r="I1843" s="91">
        <v>0</v>
      </c>
      <c r="J1843" s="71">
        <v>43075</v>
      </c>
      <c r="K1843" s="71">
        <v>43131</v>
      </c>
      <c r="L1843" s="69" t="s">
        <v>108</v>
      </c>
      <c r="M1843" s="69" t="s">
        <v>109</v>
      </c>
      <c r="N1843" s="95">
        <v>43130</v>
      </c>
      <c r="O1843" s="67"/>
      <c r="P1843" s="67" t="s">
        <v>95</v>
      </c>
      <c r="Q1843" s="67" t="s">
        <v>129</v>
      </c>
      <c r="R1843" s="92" t="s">
        <v>69</v>
      </c>
      <c r="S1843" s="92" t="s">
        <v>130</v>
      </c>
      <c r="T1843" s="67"/>
      <c r="U1843" s="67"/>
      <c r="V1843" s="95">
        <v>43131</v>
      </c>
      <c r="W1843" s="92">
        <v>425570022</v>
      </c>
      <c r="X1843" s="90"/>
      <c r="Y1843" s="123"/>
      <c r="Z1843" s="30">
        <f t="shared" si="56"/>
        <v>65236.679355960063</v>
      </c>
      <c r="AA1843" s="30">
        <f t="shared" si="57"/>
        <v>0</v>
      </c>
      <c r="AB1843" t="s">
        <v>456</v>
      </c>
    </row>
    <row r="1844" spans="1:28">
      <c r="A1844" s="67" t="s">
        <v>128</v>
      </c>
      <c r="B1844" s="91">
        <v>1310362</v>
      </c>
      <c r="C1844" s="92">
        <v>4615503638</v>
      </c>
      <c r="D1844" s="93">
        <v>19175</v>
      </c>
      <c r="E1844" s="79"/>
      <c r="F1844" s="94">
        <v>154.32</v>
      </c>
      <c r="G1844" s="94">
        <v>0</v>
      </c>
      <c r="H1844" s="91">
        <v>0</v>
      </c>
      <c r="I1844" s="91">
        <v>0</v>
      </c>
      <c r="J1844" s="71">
        <v>43075</v>
      </c>
      <c r="K1844" s="71">
        <v>43131</v>
      </c>
      <c r="L1844" s="69" t="s">
        <v>108</v>
      </c>
      <c r="M1844" s="69" t="s">
        <v>109</v>
      </c>
      <c r="N1844" s="95">
        <v>43132</v>
      </c>
      <c r="O1844" s="67"/>
      <c r="P1844" s="67" t="s">
        <v>95</v>
      </c>
      <c r="Q1844" s="67" t="s">
        <v>129</v>
      </c>
      <c r="R1844" s="92" t="s">
        <v>69</v>
      </c>
      <c r="S1844" s="92" t="s">
        <v>130</v>
      </c>
      <c r="T1844" s="67"/>
      <c r="U1844" s="67"/>
      <c r="V1844" s="95">
        <v>43131</v>
      </c>
      <c r="W1844" s="92">
        <v>425570022</v>
      </c>
      <c r="X1844" s="90"/>
      <c r="Y1844" s="123"/>
      <c r="Z1844" s="30">
        <f t="shared" si="56"/>
        <v>65236.679355960063</v>
      </c>
      <c r="AA1844" s="30">
        <f t="shared" si="57"/>
        <v>0</v>
      </c>
      <c r="AB1844" t="s">
        <v>456</v>
      </c>
    </row>
    <row r="1845" spans="1:28">
      <c r="A1845" s="67" t="s">
        <v>128</v>
      </c>
      <c r="B1845" s="91">
        <v>1310359</v>
      </c>
      <c r="C1845" s="92">
        <v>4615503638</v>
      </c>
      <c r="D1845" s="93">
        <v>19175</v>
      </c>
      <c r="E1845" s="79"/>
      <c r="F1845" s="94">
        <v>154.32</v>
      </c>
      <c r="G1845" s="94">
        <v>0</v>
      </c>
      <c r="H1845" s="91">
        <v>0</v>
      </c>
      <c r="I1845" s="91">
        <v>0</v>
      </c>
      <c r="J1845" s="71">
        <v>43075</v>
      </c>
      <c r="K1845" s="71">
        <v>43131</v>
      </c>
      <c r="L1845" s="69" t="s">
        <v>108</v>
      </c>
      <c r="M1845" s="69" t="s">
        <v>109</v>
      </c>
      <c r="N1845" s="95">
        <v>43135</v>
      </c>
      <c r="O1845" s="67"/>
      <c r="P1845" s="67" t="s">
        <v>95</v>
      </c>
      <c r="Q1845" s="67" t="s">
        <v>129</v>
      </c>
      <c r="R1845" s="92" t="s">
        <v>69</v>
      </c>
      <c r="S1845" s="92" t="s">
        <v>130</v>
      </c>
      <c r="T1845" s="67"/>
      <c r="U1845" s="67"/>
      <c r="V1845" s="95">
        <v>43131</v>
      </c>
      <c r="W1845" s="92">
        <v>425570022</v>
      </c>
      <c r="X1845" s="90"/>
      <c r="Y1845" s="123"/>
      <c r="Z1845" s="30">
        <f t="shared" si="56"/>
        <v>65236.679355960063</v>
      </c>
      <c r="AA1845" s="30">
        <f t="shared" si="57"/>
        <v>0</v>
      </c>
      <c r="AB1845" t="s">
        <v>456</v>
      </c>
    </row>
    <row r="1846" spans="1:28">
      <c r="A1846" s="67" t="s">
        <v>128</v>
      </c>
      <c r="B1846" s="91">
        <v>1310361</v>
      </c>
      <c r="C1846" s="92">
        <v>4615503638</v>
      </c>
      <c r="D1846" s="93">
        <v>19175</v>
      </c>
      <c r="E1846" s="79"/>
      <c r="F1846" s="94">
        <v>154.32</v>
      </c>
      <c r="G1846" s="94">
        <v>0</v>
      </c>
      <c r="H1846" s="91">
        <v>0</v>
      </c>
      <c r="I1846" s="91">
        <v>0</v>
      </c>
      <c r="J1846" s="71">
        <v>43075</v>
      </c>
      <c r="K1846" s="71">
        <v>43131</v>
      </c>
      <c r="L1846" s="69" t="s">
        <v>108</v>
      </c>
      <c r="M1846" s="69" t="s">
        <v>109</v>
      </c>
      <c r="N1846" s="95">
        <v>43150</v>
      </c>
      <c r="O1846" s="67"/>
      <c r="P1846" s="67" t="s">
        <v>95</v>
      </c>
      <c r="Q1846" s="67" t="s">
        <v>129</v>
      </c>
      <c r="R1846" s="92" t="s">
        <v>69</v>
      </c>
      <c r="S1846" s="92" t="s">
        <v>130</v>
      </c>
      <c r="T1846" s="67"/>
      <c r="U1846" s="67"/>
      <c r="V1846" s="95">
        <v>43131</v>
      </c>
      <c r="W1846" s="92">
        <v>425570022</v>
      </c>
      <c r="X1846" s="90"/>
      <c r="Y1846" s="123"/>
      <c r="Z1846" s="30">
        <f t="shared" si="56"/>
        <v>65236.679355960063</v>
      </c>
      <c r="AA1846" s="30">
        <f t="shared" si="57"/>
        <v>0</v>
      </c>
      <c r="AB1846" t="s">
        <v>456</v>
      </c>
    </row>
    <row r="1847" spans="1:28">
      <c r="A1847" s="67" t="s">
        <v>128</v>
      </c>
      <c r="B1847" s="91">
        <v>1310363</v>
      </c>
      <c r="C1847" s="92">
        <v>4615503638</v>
      </c>
      <c r="D1847" s="93">
        <v>19175</v>
      </c>
      <c r="E1847" s="79"/>
      <c r="F1847" s="94">
        <v>154.32</v>
      </c>
      <c r="G1847" s="94">
        <v>0</v>
      </c>
      <c r="H1847" s="91">
        <v>0</v>
      </c>
      <c r="I1847" s="91">
        <v>0</v>
      </c>
      <c r="J1847" s="71">
        <v>43075</v>
      </c>
      <c r="K1847" s="71">
        <v>43131</v>
      </c>
      <c r="L1847" s="69" t="s">
        <v>108</v>
      </c>
      <c r="M1847" s="69" t="s">
        <v>109</v>
      </c>
      <c r="N1847" s="95">
        <v>43153</v>
      </c>
      <c r="O1847" s="67"/>
      <c r="P1847" s="67" t="s">
        <v>95</v>
      </c>
      <c r="Q1847" s="67" t="s">
        <v>129</v>
      </c>
      <c r="R1847" s="92" t="s">
        <v>69</v>
      </c>
      <c r="S1847" s="92" t="s">
        <v>130</v>
      </c>
      <c r="T1847" s="67"/>
      <c r="U1847" s="67"/>
      <c r="V1847" s="95">
        <v>43131</v>
      </c>
      <c r="W1847" s="92">
        <v>425570022</v>
      </c>
      <c r="X1847" s="90"/>
      <c r="Y1847" s="123"/>
      <c r="Z1847" s="30">
        <f t="shared" si="56"/>
        <v>65236.679355960063</v>
      </c>
      <c r="AA1847" s="30">
        <f t="shared" si="57"/>
        <v>0</v>
      </c>
      <c r="AB1847" t="s">
        <v>456</v>
      </c>
    </row>
    <row r="1848" spans="1:28">
      <c r="A1848" s="67" t="s">
        <v>131</v>
      </c>
      <c r="B1848" s="91">
        <v>1314662</v>
      </c>
      <c r="C1848" s="92">
        <v>4615479645</v>
      </c>
      <c r="D1848" s="93">
        <v>19175</v>
      </c>
      <c r="E1848" s="79"/>
      <c r="F1848" s="91">
        <v>154.4</v>
      </c>
      <c r="G1848" s="97">
        <v>0</v>
      </c>
      <c r="H1848" s="91">
        <v>0</v>
      </c>
      <c r="I1848" s="91">
        <v>0</v>
      </c>
      <c r="J1848" s="71">
        <v>42991</v>
      </c>
      <c r="K1848" s="71">
        <v>43131</v>
      </c>
      <c r="L1848" s="69" t="s">
        <v>119</v>
      </c>
      <c r="M1848" s="69" t="s">
        <v>109</v>
      </c>
      <c r="N1848" s="95">
        <v>43163</v>
      </c>
      <c r="O1848" s="67"/>
      <c r="P1848" s="67" t="s">
        <v>95</v>
      </c>
      <c r="Q1848" s="67" t="s">
        <v>133</v>
      </c>
      <c r="R1848" s="92" t="s">
        <v>69</v>
      </c>
      <c r="S1848" s="92" t="s">
        <v>134</v>
      </c>
      <c r="T1848" s="67"/>
      <c r="U1848" s="67"/>
      <c r="V1848" s="95">
        <v>43131</v>
      </c>
      <c r="W1848" s="92" t="s">
        <v>319</v>
      </c>
      <c r="X1848" s="90"/>
      <c r="Y1848" s="123"/>
      <c r="Z1848" s="30">
        <f t="shared" si="56"/>
        <v>65270.498266979223</v>
      </c>
      <c r="AA1848" s="30">
        <f t="shared" si="57"/>
        <v>0</v>
      </c>
      <c r="AB1848" t="s">
        <v>456</v>
      </c>
    </row>
    <row r="1849" spans="1:28">
      <c r="A1849" s="67" t="s">
        <v>131</v>
      </c>
      <c r="B1849" s="91">
        <v>1314660</v>
      </c>
      <c r="C1849" s="92">
        <v>4615479645</v>
      </c>
      <c r="D1849" s="93">
        <v>19175</v>
      </c>
      <c r="E1849" s="79"/>
      <c r="F1849" s="91">
        <v>154.4</v>
      </c>
      <c r="G1849" s="97">
        <v>0</v>
      </c>
      <c r="H1849" s="91">
        <v>0</v>
      </c>
      <c r="I1849" s="91">
        <v>0</v>
      </c>
      <c r="J1849" s="71">
        <v>42991</v>
      </c>
      <c r="K1849" s="71">
        <v>43131</v>
      </c>
      <c r="L1849" s="69" t="s">
        <v>119</v>
      </c>
      <c r="M1849" s="69" t="s">
        <v>109</v>
      </c>
      <c r="N1849" s="95">
        <v>43181</v>
      </c>
      <c r="O1849" s="67"/>
      <c r="P1849" s="67" t="s">
        <v>95</v>
      </c>
      <c r="Q1849" s="67" t="s">
        <v>133</v>
      </c>
      <c r="R1849" s="92" t="s">
        <v>69</v>
      </c>
      <c r="S1849" s="92" t="s">
        <v>134</v>
      </c>
      <c r="T1849" s="67"/>
      <c r="U1849" s="67"/>
      <c r="V1849" s="95">
        <v>43131</v>
      </c>
      <c r="W1849" s="92" t="s">
        <v>319</v>
      </c>
      <c r="X1849" s="90"/>
      <c r="Y1849" s="123"/>
      <c r="Z1849" s="30">
        <f t="shared" si="56"/>
        <v>65270.498266979223</v>
      </c>
      <c r="AA1849" s="30">
        <f t="shared" si="57"/>
        <v>0</v>
      </c>
      <c r="AB1849" t="s">
        <v>456</v>
      </c>
    </row>
    <row r="1850" spans="1:28">
      <c r="A1850" s="67" t="s">
        <v>131</v>
      </c>
      <c r="B1850" s="91">
        <v>1314661</v>
      </c>
      <c r="C1850" s="92">
        <v>4615479645</v>
      </c>
      <c r="D1850" s="93">
        <v>19175</v>
      </c>
      <c r="E1850" s="79"/>
      <c r="F1850" s="91">
        <v>154.4</v>
      </c>
      <c r="G1850" s="97">
        <v>0</v>
      </c>
      <c r="H1850" s="91">
        <v>0</v>
      </c>
      <c r="I1850" s="91">
        <v>0</v>
      </c>
      <c r="J1850" s="71">
        <v>42991</v>
      </c>
      <c r="K1850" s="71">
        <v>43131</v>
      </c>
      <c r="L1850" s="69" t="s">
        <v>119</v>
      </c>
      <c r="M1850" s="69" t="s">
        <v>109</v>
      </c>
      <c r="N1850" s="95">
        <v>43177</v>
      </c>
      <c r="O1850" s="67"/>
      <c r="P1850" s="67" t="s">
        <v>95</v>
      </c>
      <c r="Q1850" s="67" t="s">
        <v>133</v>
      </c>
      <c r="R1850" s="92" t="s">
        <v>69</v>
      </c>
      <c r="S1850" s="92" t="s">
        <v>134</v>
      </c>
      <c r="T1850" s="67"/>
      <c r="U1850" s="67"/>
      <c r="V1850" s="95">
        <v>43131</v>
      </c>
      <c r="W1850" s="92" t="s">
        <v>319</v>
      </c>
      <c r="X1850" s="90"/>
      <c r="Y1850" s="123"/>
      <c r="Z1850" s="30">
        <f t="shared" si="56"/>
        <v>65270.498266979223</v>
      </c>
      <c r="AA1850" s="30">
        <f t="shared" si="57"/>
        <v>0</v>
      </c>
      <c r="AB1850" t="s">
        <v>456</v>
      </c>
    </row>
    <row r="1851" spans="1:28">
      <c r="A1851" s="67" t="s">
        <v>118</v>
      </c>
      <c r="B1851" s="91">
        <v>1324694</v>
      </c>
      <c r="C1851" s="92">
        <v>4615499394</v>
      </c>
      <c r="D1851" s="93">
        <v>19175</v>
      </c>
      <c r="E1851" s="79"/>
      <c r="F1851" s="91">
        <v>10</v>
      </c>
      <c r="G1851" s="91">
        <v>0</v>
      </c>
      <c r="H1851" s="94">
        <v>0</v>
      </c>
      <c r="I1851" s="91">
        <v>0</v>
      </c>
      <c r="J1851" s="71">
        <v>43135</v>
      </c>
      <c r="K1851" s="71">
        <v>43159</v>
      </c>
      <c r="L1851" s="69" t="s">
        <v>137</v>
      </c>
      <c r="M1851" s="69" t="s">
        <v>109</v>
      </c>
      <c r="N1851" s="95">
        <v>43181</v>
      </c>
      <c r="O1851" s="67"/>
      <c r="P1851" s="67" t="s">
        <v>95</v>
      </c>
      <c r="Q1851" s="67" t="s">
        <v>120</v>
      </c>
      <c r="R1851" s="92" t="s">
        <v>69</v>
      </c>
      <c r="S1851" s="92" t="s">
        <v>121</v>
      </c>
      <c r="T1851" s="67"/>
      <c r="U1851" s="67"/>
      <c r="V1851" s="95">
        <v>43159</v>
      </c>
      <c r="W1851" s="92">
        <v>2030530</v>
      </c>
      <c r="X1851" s="90"/>
      <c r="Y1851" s="123"/>
      <c r="Z1851" s="30">
        <f t="shared" si="56"/>
        <v>4227.3638773950279</v>
      </c>
      <c r="AA1851" s="30">
        <f t="shared" si="57"/>
        <v>0</v>
      </c>
      <c r="AB1851" t="s">
        <v>456</v>
      </c>
    </row>
    <row r="1852" spans="1:28">
      <c r="A1852" s="67" t="s">
        <v>118</v>
      </c>
      <c r="B1852" s="91">
        <v>1327440</v>
      </c>
      <c r="C1852" s="92">
        <v>4615499394</v>
      </c>
      <c r="D1852" s="93">
        <v>19175</v>
      </c>
      <c r="E1852" s="79"/>
      <c r="F1852" s="91">
        <v>10</v>
      </c>
      <c r="G1852" s="91">
        <v>0</v>
      </c>
      <c r="H1852" s="94">
        <v>0</v>
      </c>
      <c r="I1852" s="91">
        <v>0</v>
      </c>
      <c r="J1852" s="71">
        <v>43144</v>
      </c>
      <c r="K1852" s="71">
        <v>43159</v>
      </c>
      <c r="L1852" s="69" t="s">
        <v>137</v>
      </c>
      <c r="M1852" s="69" t="s">
        <v>109</v>
      </c>
      <c r="N1852" s="95">
        <v>43192</v>
      </c>
      <c r="O1852" s="67"/>
      <c r="P1852" s="67" t="s">
        <v>95</v>
      </c>
      <c r="Q1852" s="67" t="s">
        <v>120</v>
      </c>
      <c r="R1852" s="92" t="s">
        <v>69</v>
      </c>
      <c r="S1852" s="92" t="s">
        <v>121</v>
      </c>
      <c r="T1852" s="67"/>
      <c r="U1852" s="67"/>
      <c r="V1852" s="95">
        <v>43159</v>
      </c>
      <c r="W1852" s="92">
        <v>2030530</v>
      </c>
      <c r="X1852" s="90"/>
      <c r="Y1852" s="123"/>
      <c r="Z1852" s="30">
        <f t="shared" si="56"/>
        <v>4227.3638773950279</v>
      </c>
      <c r="AA1852" s="30">
        <f t="shared" si="57"/>
        <v>0</v>
      </c>
      <c r="AB1852" t="s">
        <v>456</v>
      </c>
    </row>
    <row r="1853" spans="1:28">
      <c r="A1853" s="67" t="s">
        <v>118</v>
      </c>
      <c r="B1853" s="91">
        <v>1327438</v>
      </c>
      <c r="C1853" s="92">
        <v>4615499394</v>
      </c>
      <c r="D1853" s="93">
        <v>19175</v>
      </c>
      <c r="E1853" s="79"/>
      <c r="F1853" s="91">
        <v>10</v>
      </c>
      <c r="G1853" s="91">
        <v>0</v>
      </c>
      <c r="H1853" s="94">
        <v>0</v>
      </c>
      <c r="I1853" s="91">
        <v>0</v>
      </c>
      <c r="J1853" s="71">
        <v>43144</v>
      </c>
      <c r="K1853" s="71">
        <v>43159</v>
      </c>
      <c r="L1853" s="69" t="s">
        <v>137</v>
      </c>
      <c r="M1853" s="69" t="s">
        <v>299</v>
      </c>
      <c r="N1853" s="95"/>
      <c r="O1853" s="67"/>
      <c r="P1853" s="67" t="s">
        <v>95</v>
      </c>
      <c r="Q1853" s="67" t="s">
        <v>120</v>
      </c>
      <c r="R1853" s="92" t="s">
        <v>69</v>
      </c>
      <c r="S1853" s="92" t="s">
        <v>121</v>
      </c>
      <c r="T1853" s="67"/>
      <c r="U1853" s="67"/>
      <c r="V1853" s="95">
        <v>43159</v>
      </c>
      <c r="W1853" s="92">
        <v>2030530</v>
      </c>
      <c r="X1853" s="90"/>
      <c r="Y1853" s="123"/>
      <c r="Z1853" s="30">
        <f t="shared" si="56"/>
        <v>4227.3638773950279</v>
      </c>
      <c r="AA1853" s="30">
        <f t="shared" si="57"/>
        <v>0</v>
      </c>
      <c r="AB1853" t="s">
        <v>456</v>
      </c>
    </row>
    <row r="1854" spans="1:28">
      <c r="A1854" s="67" t="s">
        <v>118</v>
      </c>
      <c r="B1854" s="91">
        <v>1324696</v>
      </c>
      <c r="C1854" s="92">
        <v>4615499394</v>
      </c>
      <c r="D1854" s="93">
        <v>19175</v>
      </c>
      <c r="E1854" s="79"/>
      <c r="F1854" s="91">
        <v>10</v>
      </c>
      <c r="G1854" s="91">
        <v>0</v>
      </c>
      <c r="H1854" s="94">
        <v>0</v>
      </c>
      <c r="I1854" s="91">
        <v>0</v>
      </c>
      <c r="J1854" s="71">
        <v>43135</v>
      </c>
      <c r="K1854" s="71">
        <v>43159</v>
      </c>
      <c r="L1854" s="69" t="s">
        <v>137</v>
      </c>
      <c r="M1854" s="69" t="s">
        <v>299</v>
      </c>
      <c r="N1854" s="95"/>
      <c r="O1854" s="67"/>
      <c r="P1854" s="67" t="s">
        <v>95</v>
      </c>
      <c r="Q1854" s="67" t="s">
        <v>120</v>
      </c>
      <c r="R1854" s="92" t="s">
        <v>69</v>
      </c>
      <c r="S1854" s="92" t="s">
        <v>121</v>
      </c>
      <c r="T1854" s="67"/>
      <c r="U1854" s="67"/>
      <c r="V1854" s="95">
        <v>43159</v>
      </c>
      <c r="W1854" s="92">
        <v>2030530</v>
      </c>
      <c r="X1854" s="90"/>
      <c r="Y1854" s="123"/>
      <c r="Z1854" s="30">
        <f t="shared" si="56"/>
        <v>4227.3638773950279</v>
      </c>
      <c r="AA1854" s="30">
        <f t="shared" si="57"/>
        <v>0</v>
      </c>
      <c r="AB1854" t="s">
        <v>456</v>
      </c>
    </row>
    <row r="1855" spans="1:28">
      <c r="A1855" s="67" t="s">
        <v>118</v>
      </c>
      <c r="B1855" s="91">
        <v>1324695</v>
      </c>
      <c r="C1855" s="92">
        <v>4615499394</v>
      </c>
      <c r="D1855" s="93">
        <v>19175</v>
      </c>
      <c r="E1855" s="79"/>
      <c r="F1855" s="91">
        <v>10</v>
      </c>
      <c r="G1855" s="91">
        <v>0</v>
      </c>
      <c r="H1855" s="94">
        <v>0</v>
      </c>
      <c r="I1855" s="91">
        <v>0</v>
      </c>
      <c r="J1855" s="71">
        <v>43135</v>
      </c>
      <c r="K1855" s="71">
        <v>43159</v>
      </c>
      <c r="L1855" s="69" t="s">
        <v>137</v>
      </c>
      <c r="M1855" s="69" t="s">
        <v>299</v>
      </c>
      <c r="N1855" s="95"/>
      <c r="O1855" s="67"/>
      <c r="P1855" s="67" t="s">
        <v>95</v>
      </c>
      <c r="Q1855" s="67" t="s">
        <v>120</v>
      </c>
      <c r="R1855" s="92" t="s">
        <v>69</v>
      </c>
      <c r="S1855" s="92" t="s">
        <v>121</v>
      </c>
      <c r="T1855" s="67"/>
      <c r="U1855" s="67"/>
      <c r="V1855" s="95">
        <v>43159</v>
      </c>
      <c r="W1855" s="92">
        <v>2030530</v>
      </c>
      <c r="X1855" s="90"/>
      <c r="Y1855" s="123"/>
      <c r="Z1855" s="30">
        <f t="shared" si="56"/>
        <v>4227.3638773950279</v>
      </c>
      <c r="AA1855" s="30">
        <f t="shared" si="57"/>
        <v>0</v>
      </c>
      <c r="AB1855" t="s">
        <v>456</v>
      </c>
    </row>
    <row r="1856" spans="1:28">
      <c r="A1856" s="67" t="s">
        <v>118</v>
      </c>
      <c r="B1856" s="91">
        <v>1324697</v>
      </c>
      <c r="C1856" s="92">
        <v>4615499394</v>
      </c>
      <c r="D1856" s="93">
        <v>19175</v>
      </c>
      <c r="E1856" s="79"/>
      <c r="F1856" s="91">
        <v>10</v>
      </c>
      <c r="G1856" s="91">
        <v>0</v>
      </c>
      <c r="H1856" s="94">
        <v>0</v>
      </c>
      <c r="I1856" s="91">
        <v>0</v>
      </c>
      <c r="J1856" s="71">
        <v>43135</v>
      </c>
      <c r="K1856" s="71">
        <v>43159</v>
      </c>
      <c r="L1856" s="69" t="s">
        <v>137</v>
      </c>
      <c r="M1856" s="69" t="s">
        <v>109</v>
      </c>
      <c r="N1856" s="95">
        <v>43195</v>
      </c>
      <c r="O1856" s="67"/>
      <c r="P1856" s="67" t="s">
        <v>95</v>
      </c>
      <c r="Q1856" s="67" t="s">
        <v>120</v>
      </c>
      <c r="R1856" s="92" t="s">
        <v>69</v>
      </c>
      <c r="S1856" s="92" t="s">
        <v>121</v>
      </c>
      <c r="T1856" s="67"/>
      <c r="U1856" s="67"/>
      <c r="V1856" s="95">
        <v>43159</v>
      </c>
      <c r="W1856" s="92">
        <v>2030530</v>
      </c>
      <c r="X1856" s="90"/>
      <c r="Y1856" s="123"/>
      <c r="Z1856" s="30">
        <f t="shared" si="56"/>
        <v>4227.3638773950279</v>
      </c>
      <c r="AA1856" s="30">
        <f t="shared" si="57"/>
        <v>0</v>
      </c>
      <c r="AB1856" t="s">
        <v>456</v>
      </c>
    </row>
    <row r="1857" spans="1:28">
      <c r="A1857" s="67" t="s">
        <v>118</v>
      </c>
      <c r="B1857" s="91">
        <v>1327439</v>
      </c>
      <c r="C1857" s="92">
        <v>4615499394</v>
      </c>
      <c r="D1857" s="93">
        <v>19175</v>
      </c>
      <c r="E1857" s="79"/>
      <c r="F1857" s="91">
        <v>10</v>
      </c>
      <c r="G1857" s="91">
        <v>0</v>
      </c>
      <c r="H1857" s="94">
        <v>0</v>
      </c>
      <c r="I1857" s="91">
        <v>0</v>
      </c>
      <c r="J1857" s="71">
        <v>43144</v>
      </c>
      <c r="K1857" s="71">
        <v>43159</v>
      </c>
      <c r="L1857" s="69" t="s">
        <v>137</v>
      </c>
      <c r="M1857" s="69" t="s">
        <v>109</v>
      </c>
      <c r="N1857" s="95">
        <v>43198</v>
      </c>
      <c r="O1857" s="67"/>
      <c r="P1857" s="67" t="s">
        <v>95</v>
      </c>
      <c r="Q1857" s="67" t="s">
        <v>120</v>
      </c>
      <c r="R1857" s="92" t="s">
        <v>69</v>
      </c>
      <c r="S1857" s="92" t="s">
        <v>121</v>
      </c>
      <c r="T1857" s="67"/>
      <c r="U1857" s="67"/>
      <c r="V1857" s="95">
        <v>43159</v>
      </c>
      <c r="W1857" s="92">
        <v>2030530</v>
      </c>
      <c r="X1857" s="90"/>
      <c r="Y1857" s="123"/>
      <c r="Z1857" s="30">
        <f t="shared" si="56"/>
        <v>4227.3638773950279</v>
      </c>
      <c r="AA1857" s="30">
        <f t="shared" si="57"/>
        <v>0</v>
      </c>
      <c r="AB1857" t="s">
        <v>456</v>
      </c>
    </row>
    <row r="1858" spans="1:28">
      <c r="A1858" s="67" t="s">
        <v>118</v>
      </c>
      <c r="B1858" s="91">
        <v>1324692</v>
      </c>
      <c r="C1858" s="92">
        <v>4615499394</v>
      </c>
      <c r="D1858" s="93">
        <v>19175</v>
      </c>
      <c r="E1858" s="79"/>
      <c r="F1858" s="91">
        <v>10</v>
      </c>
      <c r="G1858" s="91">
        <v>0</v>
      </c>
      <c r="H1858" s="94">
        <v>0</v>
      </c>
      <c r="I1858" s="91">
        <v>0</v>
      </c>
      <c r="J1858" s="71">
        <v>43135</v>
      </c>
      <c r="K1858" s="71">
        <v>43159</v>
      </c>
      <c r="L1858" s="69" t="s">
        <v>137</v>
      </c>
      <c r="M1858" s="69" t="s">
        <v>109</v>
      </c>
      <c r="N1858" s="95">
        <v>43192</v>
      </c>
      <c r="O1858" s="67"/>
      <c r="P1858" s="67" t="s">
        <v>95</v>
      </c>
      <c r="Q1858" s="67" t="s">
        <v>120</v>
      </c>
      <c r="R1858" s="92" t="s">
        <v>69</v>
      </c>
      <c r="S1858" s="92" t="s">
        <v>121</v>
      </c>
      <c r="T1858" s="67"/>
      <c r="U1858" s="67"/>
      <c r="V1858" s="95">
        <v>43159</v>
      </c>
      <c r="W1858" s="92">
        <v>2030530</v>
      </c>
      <c r="X1858" s="90"/>
      <c r="Y1858" s="123"/>
      <c r="Z1858" s="30">
        <f t="shared" si="56"/>
        <v>4227.3638773950279</v>
      </c>
      <c r="AA1858" s="30">
        <f t="shared" si="57"/>
        <v>0</v>
      </c>
      <c r="AB1858" t="s">
        <v>456</v>
      </c>
    </row>
    <row r="1859" spans="1:28">
      <c r="A1859" s="67" t="s">
        <v>118</v>
      </c>
      <c r="B1859" s="91">
        <v>1324693</v>
      </c>
      <c r="C1859" s="92">
        <v>4615499394</v>
      </c>
      <c r="D1859" s="93">
        <v>19175</v>
      </c>
      <c r="E1859" s="79"/>
      <c r="F1859" s="91">
        <v>10</v>
      </c>
      <c r="G1859" s="91">
        <v>0</v>
      </c>
      <c r="H1859" s="94">
        <v>0</v>
      </c>
      <c r="I1859" s="91">
        <v>0</v>
      </c>
      <c r="J1859" s="71">
        <v>43135</v>
      </c>
      <c r="K1859" s="71">
        <v>43159</v>
      </c>
      <c r="L1859" s="69" t="s">
        <v>137</v>
      </c>
      <c r="M1859" s="69" t="s">
        <v>109</v>
      </c>
      <c r="N1859" s="95">
        <v>43201</v>
      </c>
      <c r="O1859" s="67"/>
      <c r="P1859" s="67" t="s">
        <v>95</v>
      </c>
      <c r="Q1859" s="67" t="s">
        <v>120</v>
      </c>
      <c r="R1859" s="92" t="s">
        <v>69</v>
      </c>
      <c r="S1859" s="92" t="s">
        <v>121</v>
      </c>
      <c r="T1859" s="67"/>
      <c r="U1859" s="67"/>
      <c r="V1859" s="95">
        <v>43159</v>
      </c>
      <c r="W1859" s="92">
        <v>2030530</v>
      </c>
      <c r="X1859" s="90"/>
      <c r="Y1859" s="123"/>
      <c r="Z1859" s="30">
        <f t="shared" ref="Z1859:Z1922" si="58">CONVERT(D1859,"kg","lbm")*F1859/100</f>
        <v>4227.3638773950279</v>
      </c>
      <c r="AA1859" s="30">
        <f t="shared" ref="AA1859:AA1922" si="59">CONVERT(D1859,"kg","lbm")*G1859/100</f>
        <v>0</v>
      </c>
      <c r="AB1859" t="s">
        <v>456</v>
      </c>
    </row>
    <row r="1860" spans="1:28">
      <c r="A1860" s="67" t="s">
        <v>118</v>
      </c>
      <c r="B1860" s="91">
        <v>1324699</v>
      </c>
      <c r="C1860" s="92">
        <v>4615499394</v>
      </c>
      <c r="D1860" s="93">
        <v>19175</v>
      </c>
      <c r="E1860" s="79"/>
      <c r="F1860" s="91">
        <v>10</v>
      </c>
      <c r="G1860" s="91">
        <v>0</v>
      </c>
      <c r="H1860" s="94">
        <v>0</v>
      </c>
      <c r="I1860" s="91">
        <v>0</v>
      </c>
      <c r="J1860" s="71">
        <v>43135</v>
      </c>
      <c r="K1860" s="71">
        <v>43159</v>
      </c>
      <c r="L1860" s="69" t="s">
        <v>137</v>
      </c>
      <c r="M1860" s="69" t="s">
        <v>109</v>
      </c>
      <c r="N1860" s="95">
        <v>43205</v>
      </c>
      <c r="O1860" s="67"/>
      <c r="P1860" s="67" t="s">
        <v>95</v>
      </c>
      <c r="Q1860" s="67" t="s">
        <v>120</v>
      </c>
      <c r="R1860" s="92" t="s">
        <v>69</v>
      </c>
      <c r="S1860" s="92" t="s">
        <v>121</v>
      </c>
      <c r="T1860" s="67"/>
      <c r="U1860" s="67"/>
      <c r="V1860" s="95">
        <v>43159</v>
      </c>
      <c r="W1860" s="92">
        <v>2030530</v>
      </c>
      <c r="X1860" s="90"/>
      <c r="Y1860" s="123"/>
      <c r="Z1860" s="30">
        <f t="shared" si="58"/>
        <v>4227.3638773950279</v>
      </c>
      <c r="AA1860" s="30">
        <f t="shared" si="59"/>
        <v>0</v>
      </c>
      <c r="AB1860" t="s">
        <v>456</v>
      </c>
    </row>
    <row r="1861" spans="1:28">
      <c r="A1861" s="67" t="s">
        <v>118</v>
      </c>
      <c r="B1861" s="91">
        <v>1324700</v>
      </c>
      <c r="C1861" s="92">
        <v>4615499394</v>
      </c>
      <c r="D1861" s="93">
        <v>19175</v>
      </c>
      <c r="E1861" s="79"/>
      <c r="F1861" s="91">
        <v>10</v>
      </c>
      <c r="G1861" s="91">
        <v>0</v>
      </c>
      <c r="H1861" s="94">
        <v>0</v>
      </c>
      <c r="I1861" s="91">
        <v>0</v>
      </c>
      <c r="J1861" s="71">
        <v>43135</v>
      </c>
      <c r="K1861" s="71">
        <v>43159</v>
      </c>
      <c r="L1861" s="69" t="s">
        <v>137</v>
      </c>
      <c r="M1861" s="69" t="s">
        <v>109</v>
      </c>
      <c r="N1861" s="95">
        <v>43205</v>
      </c>
      <c r="O1861" s="67"/>
      <c r="P1861" s="67" t="s">
        <v>95</v>
      </c>
      <c r="Q1861" s="67" t="s">
        <v>120</v>
      </c>
      <c r="R1861" s="92" t="s">
        <v>69</v>
      </c>
      <c r="S1861" s="92" t="s">
        <v>121</v>
      </c>
      <c r="T1861" s="67"/>
      <c r="U1861" s="67"/>
      <c r="V1861" s="95">
        <v>43159</v>
      </c>
      <c r="W1861" s="92">
        <v>2030530</v>
      </c>
      <c r="X1861" s="90"/>
      <c r="Y1861" s="123"/>
      <c r="Z1861" s="30">
        <f t="shared" si="58"/>
        <v>4227.3638773950279</v>
      </c>
      <c r="AA1861" s="30">
        <f t="shared" si="59"/>
        <v>0</v>
      </c>
      <c r="AB1861" t="s">
        <v>456</v>
      </c>
    </row>
    <row r="1862" spans="1:28">
      <c r="A1862" s="67" t="s">
        <v>118</v>
      </c>
      <c r="B1862" s="91">
        <v>1324698</v>
      </c>
      <c r="C1862" s="92">
        <v>4615499394</v>
      </c>
      <c r="D1862" s="93">
        <v>19175</v>
      </c>
      <c r="E1862" s="79"/>
      <c r="F1862" s="91">
        <v>10</v>
      </c>
      <c r="G1862" s="91">
        <v>0</v>
      </c>
      <c r="H1862" s="94">
        <v>0</v>
      </c>
      <c r="I1862" s="91">
        <v>0</v>
      </c>
      <c r="J1862" s="71">
        <v>43135</v>
      </c>
      <c r="K1862" s="71">
        <v>43159</v>
      </c>
      <c r="L1862" s="69" t="s">
        <v>137</v>
      </c>
      <c r="M1862" s="69" t="s">
        <v>109</v>
      </c>
      <c r="N1862" s="95">
        <v>43206</v>
      </c>
      <c r="O1862" s="67"/>
      <c r="P1862" s="67" t="s">
        <v>95</v>
      </c>
      <c r="Q1862" s="67" t="s">
        <v>120</v>
      </c>
      <c r="R1862" s="92" t="s">
        <v>69</v>
      </c>
      <c r="S1862" s="92" t="s">
        <v>121</v>
      </c>
      <c r="T1862" s="67"/>
      <c r="U1862" s="67"/>
      <c r="V1862" s="95">
        <v>43159</v>
      </c>
      <c r="W1862" s="92">
        <v>2030530</v>
      </c>
      <c r="X1862" s="90"/>
      <c r="Y1862" s="123"/>
      <c r="Z1862" s="30">
        <f t="shared" si="58"/>
        <v>4227.3638773950279</v>
      </c>
      <c r="AA1862" s="30">
        <f t="shared" si="59"/>
        <v>0</v>
      </c>
      <c r="AB1862" t="s">
        <v>456</v>
      </c>
    </row>
    <row r="1863" spans="1:28">
      <c r="A1863" s="67" t="s">
        <v>136</v>
      </c>
      <c r="B1863" s="91"/>
      <c r="C1863" s="92">
        <v>4615451385</v>
      </c>
      <c r="D1863" s="93">
        <v>19175</v>
      </c>
      <c r="E1863" s="79"/>
      <c r="F1863" s="91">
        <v>10</v>
      </c>
      <c r="G1863" s="91">
        <v>0</v>
      </c>
      <c r="H1863" s="94">
        <v>0</v>
      </c>
      <c r="I1863" s="91">
        <v>0</v>
      </c>
      <c r="J1863" s="71"/>
      <c r="K1863" s="71">
        <v>43159</v>
      </c>
      <c r="L1863" s="69" t="s">
        <v>80</v>
      </c>
      <c r="M1863" s="69" t="s">
        <v>286</v>
      </c>
      <c r="N1863" s="95"/>
      <c r="O1863" s="67"/>
      <c r="P1863" s="67" t="s">
        <v>95</v>
      </c>
      <c r="Q1863" s="67" t="s">
        <v>129</v>
      </c>
      <c r="R1863" s="92" t="s">
        <v>69</v>
      </c>
      <c r="S1863" s="92" t="s">
        <v>138</v>
      </c>
      <c r="T1863" s="67"/>
      <c r="U1863" s="67"/>
      <c r="V1863" s="95">
        <v>43159</v>
      </c>
      <c r="W1863" s="92">
        <v>415580155</v>
      </c>
      <c r="X1863" s="90"/>
      <c r="Y1863" s="123"/>
      <c r="Z1863" s="30">
        <f t="shared" si="58"/>
        <v>4227.3638773950279</v>
      </c>
      <c r="AA1863" s="30">
        <f t="shared" si="59"/>
        <v>0</v>
      </c>
      <c r="AB1863" t="s">
        <v>457</v>
      </c>
    </row>
    <row r="1864" spans="1:28">
      <c r="A1864" s="67" t="s">
        <v>136</v>
      </c>
      <c r="B1864" s="91"/>
      <c r="C1864" s="92">
        <v>4615451385</v>
      </c>
      <c r="D1864" s="93">
        <v>19175</v>
      </c>
      <c r="E1864" s="79"/>
      <c r="F1864" s="91">
        <v>10</v>
      </c>
      <c r="G1864" s="91">
        <v>0</v>
      </c>
      <c r="H1864" s="94">
        <v>0</v>
      </c>
      <c r="I1864" s="91">
        <v>0</v>
      </c>
      <c r="J1864" s="71"/>
      <c r="K1864" s="71">
        <v>43159</v>
      </c>
      <c r="L1864" s="69" t="s">
        <v>80</v>
      </c>
      <c r="M1864" s="69" t="s">
        <v>286</v>
      </c>
      <c r="N1864" s="95"/>
      <c r="O1864" s="67"/>
      <c r="P1864" s="67" t="s">
        <v>95</v>
      </c>
      <c r="Q1864" s="67" t="s">
        <v>129</v>
      </c>
      <c r="R1864" s="92" t="s">
        <v>69</v>
      </c>
      <c r="S1864" s="92" t="s">
        <v>138</v>
      </c>
      <c r="T1864" s="67"/>
      <c r="U1864" s="67"/>
      <c r="V1864" s="95">
        <v>43159</v>
      </c>
      <c r="W1864" s="92">
        <v>415580155</v>
      </c>
      <c r="X1864" s="90"/>
      <c r="Y1864" s="123"/>
      <c r="Z1864" s="30">
        <f t="shared" si="58"/>
        <v>4227.3638773950279</v>
      </c>
      <c r="AA1864" s="30">
        <f t="shared" si="59"/>
        <v>0</v>
      </c>
      <c r="AB1864" t="s">
        <v>457</v>
      </c>
    </row>
    <row r="1865" spans="1:28">
      <c r="A1865" s="67" t="s">
        <v>136</v>
      </c>
      <c r="B1865" s="91"/>
      <c r="C1865" s="92">
        <v>4615451385</v>
      </c>
      <c r="D1865" s="93">
        <v>19175</v>
      </c>
      <c r="E1865" s="79"/>
      <c r="F1865" s="91">
        <v>10</v>
      </c>
      <c r="G1865" s="91">
        <v>0</v>
      </c>
      <c r="H1865" s="94">
        <v>0</v>
      </c>
      <c r="I1865" s="91">
        <v>0</v>
      </c>
      <c r="J1865" s="71"/>
      <c r="K1865" s="71">
        <v>43159</v>
      </c>
      <c r="L1865" s="69" t="s">
        <v>80</v>
      </c>
      <c r="M1865" s="69" t="s">
        <v>286</v>
      </c>
      <c r="N1865" s="95"/>
      <c r="O1865" s="67"/>
      <c r="P1865" s="67" t="s">
        <v>95</v>
      </c>
      <c r="Q1865" s="67" t="s">
        <v>129</v>
      </c>
      <c r="R1865" s="92" t="s">
        <v>69</v>
      </c>
      <c r="S1865" s="92" t="s">
        <v>138</v>
      </c>
      <c r="T1865" s="67"/>
      <c r="U1865" s="67"/>
      <c r="V1865" s="95">
        <v>43159</v>
      </c>
      <c r="W1865" s="92">
        <v>415580155</v>
      </c>
      <c r="X1865" s="90"/>
      <c r="Y1865" s="123"/>
      <c r="Z1865" s="30">
        <f t="shared" si="58"/>
        <v>4227.3638773950279</v>
      </c>
      <c r="AA1865" s="30">
        <f t="shared" si="59"/>
        <v>0</v>
      </c>
      <c r="AB1865" t="s">
        <v>457</v>
      </c>
    </row>
    <row r="1866" spans="1:28">
      <c r="A1866" s="67" t="s">
        <v>136</v>
      </c>
      <c r="B1866" s="91"/>
      <c r="C1866" s="92">
        <v>4615451385</v>
      </c>
      <c r="D1866" s="93">
        <v>19175</v>
      </c>
      <c r="E1866" s="79"/>
      <c r="F1866" s="91">
        <v>10</v>
      </c>
      <c r="G1866" s="91">
        <v>0</v>
      </c>
      <c r="H1866" s="94">
        <v>0</v>
      </c>
      <c r="I1866" s="91">
        <v>0</v>
      </c>
      <c r="J1866" s="71"/>
      <c r="K1866" s="71">
        <v>43159</v>
      </c>
      <c r="L1866" s="69" t="s">
        <v>80</v>
      </c>
      <c r="M1866" s="69" t="s">
        <v>286</v>
      </c>
      <c r="N1866" s="95"/>
      <c r="O1866" s="67"/>
      <c r="P1866" s="67" t="s">
        <v>95</v>
      </c>
      <c r="Q1866" s="67" t="s">
        <v>129</v>
      </c>
      <c r="R1866" s="92" t="s">
        <v>69</v>
      </c>
      <c r="S1866" s="92" t="s">
        <v>138</v>
      </c>
      <c r="T1866" s="67"/>
      <c r="U1866" s="67"/>
      <c r="V1866" s="95">
        <v>43159</v>
      </c>
      <c r="W1866" s="92">
        <v>415580155</v>
      </c>
      <c r="X1866" s="90"/>
      <c r="Y1866" s="123"/>
      <c r="Z1866" s="30">
        <f t="shared" si="58"/>
        <v>4227.3638773950279</v>
      </c>
      <c r="AA1866" s="30">
        <f t="shared" si="59"/>
        <v>0</v>
      </c>
      <c r="AB1866" t="s">
        <v>457</v>
      </c>
    </row>
    <row r="1867" spans="1:28">
      <c r="A1867" s="67" t="s">
        <v>136</v>
      </c>
      <c r="B1867" s="91"/>
      <c r="C1867" s="92">
        <v>4615451385</v>
      </c>
      <c r="D1867" s="93">
        <v>19175</v>
      </c>
      <c r="E1867" s="79"/>
      <c r="F1867" s="91">
        <v>10</v>
      </c>
      <c r="G1867" s="91">
        <v>0</v>
      </c>
      <c r="H1867" s="94">
        <v>0</v>
      </c>
      <c r="I1867" s="91">
        <v>0</v>
      </c>
      <c r="J1867" s="71"/>
      <c r="K1867" s="71">
        <v>43159</v>
      </c>
      <c r="L1867" s="69" t="s">
        <v>80</v>
      </c>
      <c r="M1867" s="69" t="s">
        <v>286</v>
      </c>
      <c r="N1867" s="95"/>
      <c r="O1867" s="67"/>
      <c r="P1867" s="67" t="s">
        <v>95</v>
      </c>
      <c r="Q1867" s="67" t="s">
        <v>129</v>
      </c>
      <c r="R1867" s="92" t="s">
        <v>69</v>
      </c>
      <c r="S1867" s="92" t="s">
        <v>138</v>
      </c>
      <c r="T1867" s="67"/>
      <c r="U1867" s="67"/>
      <c r="V1867" s="95">
        <v>43159</v>
      </c>
      <c r="W1867" s="92">
        <v>415580155</v>
      </c>
      <c r="X1867" s="90"/>
      <c r="Y1867" s="123"/>
      <c r="Z1867" s="30">
        <f t="shared" si="58"/>
        <v>4227.3638773950279</v>
      </c>
      <c r="AA1867" s="30">
        <f t="shared" si="59"/>
        <v>0</v>
      </c>
      <c r="AB1867" t="s">
        <v>457</v>
      </c>
    </row>
    <row r="1868" spans="1:28">
      <c r="A1868" s="67" t="s">
        <v>136</v>
      </c>
      <c r="B1868" s="91">
        <v>1325113</v>
      </c>
      <c r="C1868" s="92">
        <v>4615458576</v>
      </c>
      <c r="D1868" s="93">
        <v>19175</v>
      </c>
      <c r="E1868" s="79"/>
      <c r="F1868" s="91">
        <v>10</v>
      </c>
      <c r="G1868" s="91">
        <v>0</v>
      </c>
      <c r="H1868" s="91">
        <v>0</v>
      </c>
      <c r="I1868" s="91">
        <v>0</v>
      </c>
      <c r="J1868" s="71">
        <v>43128</v>
      </c>
      <c r="K1868" s="71">
        <v>43159</v>
      </c>
      <c r="L1868" s="69" t="s">
        <v>137</v>
      </c>
      <c r="M1868" s="69" t="s">
        <v>109</v>
      </c>
      <c r="N1868" s="95">
        <v>43180</v>
      </c>
      <c r="O1868" s="67"/>
      <c r="P1868" s="67" t="s">
        <v>95</v>
      </c>
      <c r="Q1868" s="67" t="s">
        <v>129</v>
      </c>
      <c r="R1868" s="92" t="s">
        <v>69</v>
      </c>
      <c r="S1868" s="92" t="s">
        <v>138</v>
      </c>
      <c r="T1868" s="67"/>
      <c r="U1868" s="67"/>
      <c r="V1868" s="95">
        <v>43159</v>
      </c>
      <c r="W1868" s="92">
        <v>415580303</v>
      </c>
      <c r="X1868" s="90"/>
      <c r="Y1868" s="123"/>
      <c r="Z1868" s="30">
        <f t="shared" si="58"/>
        <v>4227.3638773950279</v>
      </c>
      <c r="AA1868" s="30">
        <f t="shared" si="59"/>
        <v>0</v>
      </c>
      <c r="AB1868" t="s">
        <v>456</v>
      </c>
    </row>
    <row r="1869" spans="1:28">
      <c r="A1869" s="67" t="s">
        <v>136</v>
      </c>
      <c r="B1869" s="91">
        <v>1325112</v>
      </c>
      <c r="C1869" s="92">
        <v>4615458576</v>
      </c>
      <c r="D1869" s="93">
        <v>19175</v>
      </c>
      <c r="E1869" s="79"/>
      <c r="F1869" s="91">
        <v>10</v>
      </c>
      <c r="G1869" s="91">
        <v>0</v>
      </c>
      <c r="H1869" s="91">
        <v>0</v>
      </c>
      <c r="I1869" s="91">
        <v>0</v>
      </c>
      <c r="J1869" s="71">
        <v>43128</v>
      </c>
      <c r="K1869" s="71">
        <v>43159</v>
      </c>
      <c r="L1869" s="69" t="s">
        <v>137</v>
      </c>
      <c r="M1869" s="69" t="s">
        <v>109</v>
      </c>
      <c r="N1869" s="95">
        <v>43184</v>
      </c>
      <c r="O1869" s="67"/>
      <c r="P1869" s="67" t="s">
        <v>95</v>
      </c>
      <c r="Q1869" s="67" t="s">
        <v>129</v>
      </c>
      <c r="R1869" s="92" t="s">
        <v>69</v>
      </c>
      <c r="S1869" s="92" t="s">
        <v>138</v>
      </c>
      <c r="T1869" s="67"/>
      <c r="U1869" s="67"/>
      <c r="V1869" s="95">
        <v>43159</v>
      </c>
      <c r="W1869" s="92">
        <v>415580303</v>
      </c>
      <c r="X1869" s="90"/>
      <c r="Y1869" s="123"/>
      <c r="Z1869" s="30">
        <f t="shared" si="58"/>
        <v>4227.3638773950279</v>
      </c>
      <c r="AA1869" s="30">
        <f t="shared" si="59"/>
        <v>0</v>
      </c>
      <c r="AB1869" t="s">
        <v>456</v>
      </c>
    </row>
    <row r="1870" spans="1:28">
      <c r="A1870" s="67" t="s">
        <v>136</v>
      </c>
      <c r="B1870" s="91">
        <v>1325114</v>
      </c>
      <c r="C1870" s="92">
        <v>4615458576</v>
      </c>
      <c r="D1870" s="93">
        <v>19175</v>
      </c>
      <c r="E1870" s="79"/>
      <c r="F1870" s="91">
        <v>10</v>
      </c>
      <c r="G1870" s="91">
        <v>0</v>
      </c>
      <c r="H1870" s="91">
        <v>0</v>
      </c>
      <c r="I1870" s="91">
        <v>0</v>
      </c>
      <c r="J1870" s="71">
        <v>43128</v>
      </c>
      <c r="K1870" s="71">
        <v>43159</v>
      </c>
      <c r="L1870" s="69" t="s">
        <v>137</v>
      </c>
      <c r="M1870" s="69" t="s">
        <v>109</v>
      </c>
      <c r="N1870" s="95">
        <v>43184</v>
      </c>
      <c r="O1870" s="67"/>
      <c r="P1870" s="67" t="s">
        <v>95</v>
      </c>
      <c r="Q1870" s="67" t="s">
        <v>129</v>
      </c>
      <c r="R1870" s="92" t="s">
        <v>69</v>
      </c>
      <c r="S1870" s="92" t="s">
        <v>138</v>
      </c>
      <c r="T1870" s="67"/>
      <c r="U1870" s="67"/>
      <c r="V1870" s="95">
        <v>43159</v>
      </c>
      <c r="W1870" s="92">
        <v>415580303</v>
      </c>
      <c r="X1870" s="90"/>
      <c r="Y1870" s="123"/>
      <c r="Z1870" s="30">
        <f t="shared" si="58"/>
        <v>4227.3638773950279</v>
      </c>
      <c r="AA1870" s="30">
        <f t="shared" si="59"/>
        <v>0</v>
      </c>
      <c r="AB1870" t="s">
        <v>456</v>
      </c>
    </row>
    <row r="1871" spans="1:28">
      <c r="A1871" s="67" t="s">
        <v>122</v>
      </c>
      <c r="B1871" s="91">
        <v>1315419</v>
      </c>
      <c r="C1871" s="101">
        <v>4615475266</v>
      </c>
      <c r="D1871" s="93">
        <v>19200</v>
      </c>
      <c r="E1871" s="79"/>
      <c r="F1871" s="91">
        <v>16</v>
      </c>
      <c r="G1871" s="96">
        <v>5</v>
      </c>
      <c r="H1871" s="94">
        <v>0</v>
      </c>
      <c r="I1871" s="91">
        <v>0</v>
      </c>
      <c r="J1871" s="71">
        <v>43119</v>
      </c>
      <c r="K1871" s="71">
        <v>43159</v>
      </c>
      <c r="L1871" s="69" t="s">
        <v>119</v>
      </c>
      <c r="M1871" s="69" t="s">
        <v>109</v>
      </c>
      <c r="N1871" s="95">
        <v>43137</v>
      </c>
      <c r="O1871" s="67"/>
      <c r="P1871" s="67" t="s">
        <v>95</v>
      </c>
      <c r="Q1871" s="67" t="s">
        <v>120</v>
      </c>
      <c r="R1871" s="92" t="s">
        <v>69</v>
      </c>
      <c r="S1871" s="92" t="s">
        <v>123</v>
      </c>
      <c r="T1871" s="67"/>
      <c r="U1871" s="67"/>
      <c r="V1871" s="95">
        <v>43159</v>
      </c>
      <c r="W1871" s="101">
        <v>2023111</v>
      </c>
      <c r="X1871" s="90" t="s">
        <v>320</v>
      </c>
      <c r="Y1871" s="123"/>
      <c r="Z1871" s="30">
        <f t="shared" si="58"/>
        <v>6772.6006943194379</v>
      </c>
      <c r="AA1871" s="30">
        <f t="shared" si="59"/>
        <v>2116.4377169748245</v>
      </c>
      <c r="AB1871" t="s">
        <v>456</v>
      </c>
    </row>
    <row r="1872" spans="1:28">
      <c r="A1872" s="67" t="s">
        <v>122</v>
      </c>
      <c r="B1872" s="91"/>
      <c r="C1872" s="92">
        <v>4615492110</v>
      </c>
      <c r="D1872" s="93">
        <v>21000</v>
      </c>
      <c r="E1872" s="79"/>
      <c r="F1872" s="91">
        <v>16</v>
      </c>
      <c r="G1872" s="96">
        <v>5</v>
      </c>
      <c r="H1872" s="94">
        <v>0</v>
      </c>
      <c r="I1872" s="91">
        <v>0</v>
      </c>
      <c r="J1872" s="71"/>
      <c r="K1872" s="71">
        <v>43159</v>
      </c>
      <c r="L1872" s="69" t="s">
        <v>80</v>
      </c>
      <c r="M1872" s="69" t="s">
        <v>286</v>
      </c>
      <c r="N1872" s="95"/>
      <c r="O1872" s="67"/>
      <c r="P1872" s="67" t="s">
        <v>95</v>
      </c>
      <c r="Q1872" s="67" t="s">
        <v>120</v>
      </c>
      <c r="R1872" s="92" t="s">
        <v>69</v>
      </c>
      <c r="S1872" s="92" t="s">
        <v>123</v>
      </c>
      <c r="T1872" s="67"/>
      <c r="U1872" s="67"/>
      <c r="V1872" s="95">
        <v>43159</v>
      </c>
      <c r="W1872" s="92">
        <v>2030467</v>
      </c>
      <c r="X1872" s="90" t="s">
        <v>321</v>
      </c>
      <c r="Y1872" s="123"/>
      <c r="Z1872" s="30">
        <f t="shared" si="58"/>
        <v>7407.5320094118861</v>
      </c>
      <c r="AA1872" s="30">
        <f t="shared" si="59"/>
        <v>2314.8537529412147</v>
      </c>
      <c r="AB1872" t="s">
        <v>457</v>
      </c>
    </row>
    <row r="1873" spans="1:28">
      <c r="A1873" s="67" t="s">
        <v>122</v>
      </c>
      <c r="B1873" s="91"/>
      <c r="C1873" s="92">
        <v>4615492110</v>
      </c>
      <c r="D1873" s="93">
        <v>21000</v>
      </c>
      <c r="E1873" s="79"/>
      <c r="F1873" s="91">
        <v>16</v>
      </c>
      <c r="G1873" s="96">
        <v>5</v>
      </c>
      <c r="H1873" s="94">
        <v>0</v>
      </c>
      <c r="I1873" s="91">
        <v>0</v>
      </c>
      <c r="J1873" s="71"/>
      <c r="K1873" s="71">
        <v>43159</v>
      </c>
      <c r="L1873" s="69" t="s">
        <v>80</v>
      </c>
      <c r="M1873" s="69" t="s">
        <v>286</v>
      </c>
      <c r="N1873" s="95"/>
      <c r="O1873" s="67"/>
      <c r="P1873" s="67" t="s">
        <v>95</v>
      </c>
      <c r="Q1873" s="67" t="s">
        <v>120</v>
      </c>
      <c r="R1873" s="92" t="s">
        <v>69</v>
      </c>
      <c r="S1873" s="92" t="s">
        <v>123</v>
      </c>
      <c r="T1873" s="67"/>
      <c r="U1873" s="67"/>
      <c r="V1873" s="95">
        <v>43159</v>
      </c>
      <c r="W1873" s="92">
        <v>2030467</v>
      </c>
      <c r="X1873" s="90" t="s">
        <v>321</v>
      </c>
      <c r="Y1873" s="123"/>
      <c r="Z1873" s="30">
        <f t="shared" si="58"/>
        <v>7407.5320094118861</v>
      </c>
      <c r="AA1873" s="30">
        <f t="shared" si="59"/>
        <v>2314.8537529412147</v>
      </c>
      <c r="AB1873" t="s">
        <v>457</v>
      </c>
    </row>
    <row r="1874" spans="1:28">
      <c r="A1874" s="67" t="s">
        <v>122</v>
      </c>
      <c r="B1874" s="91"/>
      <c r="C1874" s="92">
        <v>4615492110</v>
      </c>
      <c r="D1874" s="93">
        <v>21000</v>
      </c>
      <c r="E1874" s="79"/>
      <c r="F1874" s="91">
        <v>16</v>
      </c>
      <c r="G1874" s="96">
        <v>5</v>
      </c>
      <c r="H1874" s="94">
        <v>0</v>
      </c>
      <c r="I1874" s="91">
        <v>0</v>
      </c>
      <c r="J1874" s="71"/>
      <c r="K1874" s="71">
        <v>43159</v>
      </c>
      <c r="L1874" s="69" t="s">
        <v>80</v>
      </c>
      <c r="M1874" s="69" t="s">
        <v>286</v>
      </c>
      <c r="N1874" s="95"/>
      <c r="O1874" s="67"/>
      <c r="P1874" s="67" t="s">
        <v>95</v>
      </c>
      <c r="Q1874" s="67" t="s">
        <v>120</v>
      </c>
      <c r="R1874" s="92" t="s">
        <v>69</v>
      </c>
      <c r="S1874" s="92" t="s">
        <v>123</v>
      </c>
      <c r="T1874" s="67"/>
      <c r="U1874" s="67"/>
      <c r="V1874" s="95">
        <v>43159</v>
      </c>
      <c r="W1874" s="92">
        <v>2030467</v>
      </c>
      <c r="X1874" s="90" t="s">
        <v>321</v>
      </c>
      <c r="Y1874" s="123"/>
      <c r="Z1874" s="30">
        <f t="shared" si="58"/>
        <v>7407.5320094118861</v>
      </c>
      <c r="AA1874" s="30">
        <f t="shared" si="59"/>
        <v>2314.8537529412147</v>
      </c>
      <c r="AB1874" t="s">
        <v>457</v>
      </c>
    </row>
    <row r="1875" spans="1:28">
      <c r="A1875" s="67" t="s">
        <v>122</v>
      </c>
      <c r="B1875" s="91"/>
      <c r="C1875" s="92">
        <v>4615492110</v>
      </c>
      <c r="D1875" s="93">
        <v>21000</v>
      </c>
      <c r="E1875" s="79"/>
      <c r="F1875" s="91">
        <v>16</v>
      </c>
      <c r="G1875" s="96">
        <v>5</v>
      </c>
      <c r="H1875" s="94">
        <v>0</v>
      </c>
      <c r="I1875" s="91">
        <v>0</v>
      </c>
      <c r="J1875" s="71"/>
      <c r="K1875" s="71">
        <v>43159</v>
      </c>
      <c r="L1875" s="69" t="s">
        <v>80</v>
      </c>
      <c r="M1875" s="69" t="s">
        <v>286</v>
      </c>
      <c r="N1875" s="95"/>
      <c r="O1875" s="67"/>
      <c r="P1875" s="67" t="s">
        <v>95</v>
      </c>
      <c r="Q1875" s="67" t="s">
        <v>120</v>
      </c>
      <c r="R1875" s="92" t="s">
        <v>69</v>
      </c>
      <c r="S1875" s="92" t="s">
        <v>123</v>
      </c>
      <c r="T1875" s="67"/>
      <c r="U1875" s="67"/>
      <c r="V1875" s="95">
        <v>43159</v>
      </c>
      <c r="W1875" s="92">
        <v>2030467</v>
      </c>
      <c r="X1875" s="90" t="s">
        <v>321</v>
      </c>
      <c r="Y1875" s="123"/>
      <c r="Z1875" s="30">
        <f t="shared" si="58"/>
        <v>7407.5320094118861</v>
      </c>
      <c r="AA1875" s="30">
        <f t="shared" si="59"/>
        <v>2314.8537529412147</v>
      </c>
      <c r="AB1875" t="s">
        <v>457</v>
      </c>
    </row>
    <row r="1876" spans="1:28">
      <c r="A1876" s="67" t="s">
        <v>122</v>
      </c>
      <c r="B1876" s="91"/>
      <c r="C1876" s="92">
        <v>4615492110</v>
      </c>
      <c r="D1876" s="93">
        <v>21000</v>
      </c>
      <c r="E1876" s="79"/>
      <c r="F1876" s="91">
        <v>16</v>
      </c>
      <c r="G1876" s="96">
        <v>5</v>
      </c>
      <c r="H1876" s="94">
        <v>0</v>
      </c>
      <c r="I1876" s="91">
        <v>0</v>
      </c>
      <c r="J1876" s="71"/>
      <c r="K1876" s="71">
        <v>43159</v>
      </c>
      <c r="L1876" s="69" t="s">
        <v>80</v>
      </c>
      <c r="M1876" s="69" t="s">
        <v>286</v>
      </c>
      <c r="N1876" s="95"/>
      <c r="O1876" s="67"/>
      <c r="P1876" s="67" t="s">
        <v>95</v>
      </c>
      <c r="Q1876" s="67" t="s">
        <v>120</v>
      </c>
      <c r="R1876" s="92" t="s">
        <v>69</v>
      </c>
      <c r="S1876" s="92" t="s">
        <v>123</v>
      </c>
      <c r="T1876" s="67"/>
      <c r="U1876" s="67"/>
      <c r="V1876" s="95">
        <v>43159</v>
      </c>
      <c r="W1876" s="92">
        <v>2030467</v>
      </c>
      <c r="X1876" s="90" t="s">
        <v>321</v>
      </c>
      <c r="Y1876" s="123"/>
      <c r="Z1876" s="30">
        <f t="shared" si="58"/>
        <v>7407.5320094118861</v>
      </c>
      <c r="AA1876" s="30">
        <f t="shared" si="59"/>
        <v>2314.8537529412147</v>
      </c>
      <c r="AB1876" t="s">
        <v>457</v>
      </c>
    </row>
    <row r="1877" spans="1:28">
      <c r="A1877" s="67" t="s">
        <v>122</v>
      </c>
      <c r="B1877" s="91"/>
      <c r="C1877" s="92">
        <v>4615492110</v>
      </c>
      <c r="D1877" s="93">
        <v>21000</v>
      </c>
      <c r="E1877" s="79"/>
      <c r="F1877" s="91">
        <v>16</v>
      </c>
      <c r="G1877" s="96">
        <v>5</v>
      </c>
      <c r="H1877" s="94">
        <v>0</v>
      </c>
      <c r="I1877" s="91">
        <v>0</v>
      </c>
      <c r="J1877" s="71"/>
      <c r="K1877" s="71">
        <v>43159</v>
      </c>
      <c r="L1877" s="69" t="s">
        <v>80</v>
      </c>
      <c r="M1877" s="69" t="s">
        <v>286</v>
      </c>
      <c r="N1877" s="95"/>
      <c r="O1877" s="67"/>
      <c r="P1877" s="67" t="s">
        <v>95</v>
      </c>
      <c r="Q1877" s="67" t="s">
        <v>120</v>
      </c>
      <c r="R1877" s="92" t="s">
        <v>69</v>
      </c>
      <c r="S1877" s="92" t="s">
        <v>123</v>
      </c>
      <c r="T1877" s="67"/>
      <c r="U1877" s="67"/>
      <c r="V1877" s="95">
        <v>43159</v>
      </c>
      <c r="W1877" s="92">
        <v>2030467</v>
      </c>
      <c r="X1877" s="90" t="s">
        <v>321</v>
      </c>
      <c r="Y1877" s="123"/>
      <c r="Z1877" s="30">
        <f t="shared" si="58"/>
        <v>7407.5320094118861</v>
      </c>
      <c r="AA1877" s="30">
        <f t="shared" si="59"/>
        <v>2314.8537529412147</v>
      </c>
      <c r="AB1877" t="s">
        <v>457</v>
      </c>
    </row>
    <row r="1878" spans="1:28">
      <c r="A1878" s="67" t="s">
        <v>122</v>
      </c>
      <c r="B1878" s="91">
        <v>1321381</v>
      </c>
      <c r="C1878" s="92">
        <v>4615472836</v>
      </c>
      <c r="D1878" s="93">
        <v>19200</v>
      </c>
      <c r="E1878" s="79"/>
      <c r="F1878" s="91">
        <v>16</v>
      </c>
      <c r="G1878" s="96">
        <v>5</v>
      </c>
      <c r="H1878" s="94">
        <v>0</v>
      </c>
      <c r="I1878" s="91">
        <v>0</v>
      </c>
      <c r="J1878" s="71">
        <v>43119</v>
      </c>
      <c r="K1878" s="71">
        <v>43159</v>
      </c>
      <c r="L1878" s="69" t="s">
        <v>108</v>
      </c>
      <c r="M1878" s="69" t="s">
        <v>109</v>
      </c>
      <c r="N1878" s="95">
        <v>43170</v>
      </c>
      <c r="O1878" s="67"/>
      <c r="P1878" s="67" t="s">
        <v>95</v>
      </c>
      <c r="Q1878" s="67" t="s">
        <v>120</v>
      </c>
      <c r="R1878" s="92" t="s">
        <v>69</v>
      </c>
      <c r="S1878" s="92" t="s">
        <v>123</v>
      </c>
      <c r="T1878" s="67"/>
      <c r="U1878" s="67"/>
      <c r="V1878" s="95">
        <v>43159</v>
      </c>
      <c r="W1878" s="92">
        <v>2030500</v>
      </c>
      <c r="X1878" s="90" t="s">
        <v>321</v>
      </c>
      <c r="Y1878" s="123"/>
      <c r="Z1878" s="30">
        <f t="shared" si="58"/>
        <v>6772.6006943194379</v>
      </c>
      <c r="AA1878" s="30">
        <f t="shared" si="59"/>
        <v>2116.4377169748245</v>
      </c>
      <c r="AB1878" t="s">
        <v>456</v>
      </c>
    </row>
    <row r="1879" spans="1:28">
      <c r="A1879" s="67" t="s">
        <v>122</v>
      </c>
      <c r="B1879" s="91">
        <v>1321379</v>
      </c>
      <c r="C1879" s="92">
        <v>4615472836</v>
      </c>
      <c r="D1879" s="93">
        <v>19200</v>
      </c>
      <c r="E1879" s="79"/>
      <c r="F1879" s="91">
        <v>16</v>
      </c>
      <c r="G1879" s="96">
        <v>5</v>
      </c>
      <c r="H1879" s="94">
        <v>0</v>
      </c>
      <c r="I1879" s="91">
        <v>0</v>
      </c>
      <c r="J1879" s="71">
        <v>43119</v>
      </c>
      <c r="K1879" s="71">
        <v>43159</v>
      </c>
      <c r="L1879" s="69" t="s">
        <v>108</v>
      </c>
      <c r="M1879" s="69" t="s">
        <v>109</v>
      </c>
      <c r="N1879" s="95">
        <v>43172</v>
      </c>
      <c r="O1879" s="67"/>
      <c r="P1879" s="67" t="s">
        <v>95</v>
      </c>
      <c r="Q1879" s="67" t="s">
        <v>120</v>
      </c>
      <c r="R1879" s="92" t="s">
        <v>69</v>
      </c>
      <c r="S1879" s="92" t="s">
        <v>123</v>
      </c>
      <c r="T1879" s="67"/>
      <c r="U1879" s="67"/>
      <c r="V1879" s="95">
        <v>43159</v>
      </c>
      <c r="W1879" s="92">
        <v>2030500</v>
      </c>
      <c r="X1879" s="90" t="s">
        <v>321</v>
      </c>
      <c r="Y1879" s="123"/>
      <c r="Z1879" s="30">
        <f t="shared" si="58"/>
        <v>6772.6006943194379</v>
      </c>
      <c r="AA1879" s="30">
        <f t="shared" si="59"/>
        <v>2116.4377169748245</v>
      </c>
      <c r="AB1879" t="s">
        <v>456</v>
      </c>
    </row>
    <row r="1880" spans="1:28">
      <c r="A1880" s="67" t="s">
        <v>122</v>
      </c>
      <c r="B1880" s="91">
        <v>1321377</v>
      </c>
      <c r="C1880" s="92">
        <v>4615472836</v>
      </c>
      <c r="D1880" s="93">
        <v>19200</v>
      </c>
      <c r="E1880" s="79"/>
      <c r="F1880" s="91">
        <v>16</v>
      </c>
      <c r="G1880" s="96">
        <v>5</v>
      </c>
      <c r="H1880" s="94">
        <v>0</v>
      </c>
      <c r="I1880" s="91">
        <v>0</v>
      </c>
      <c r="J1880" s="71">
        <v>43119</v>
      </c>
      <c r="K1880" s="71">
        <v>43159</v>
      </c>
      <c r="L1880" s="69" t="s">
        <v>108</v>
      </c>
      <c r="M1880" s="69" t="s">
        <v>109</v>
      </c>
      <c r="N1880" s="95">
        <v>43178</v>
      </c>
      <c r="O1880" s="67"/>
      <c r="P1880" s="67" t="s">
        <v>95</v>
      </c>
      <c r="Q1880" s="67" t="s">
        <v>120</v>
      </c>
      <c r="R1880" s="92" t="s">
        <v>69</v>
      </c>
      <c r="S1880" s="92" t="s">
        <v>123</v>
      </c>
      <c r="T1880" s="67"/>
      <c r="U1880" s="67"/>
      <c r="V1880" s="95">
        <v>43159</v>
      </c>
      <c r="W1880" s="92">
        <v>2030500</v>
      </c>
      <c r="X1880" s="90" t="s">
        <v>321</v>
      </c>
      <c r="Y1880" s="123"/>
      <c r="Z1880" s="30">
        <f t="shared" si="58"/>
        <v>6772.6006943194379</v>
      </c>
      <c r="AA1880" s="30">
        <f t="shared" si="59"/>
        <v>2116.4377169748245</v>
      </c>
      <c r="AB1880" t="s">
        <v>456</v>
      </c>
    </row>
    <row r="1881" spans="1:28">
      <c r="A1881" s="67" t="s">
        <v>122</v>
      </c>
      <c r="B1881" s="91">
        <v>1321374</v>
      </c>
      <c r="C1881" s="92">
        <v>4615472836</v>
      </c>
      <c r="D1881" s="93">
        <v>19200</v>
      </c>
      <c r="E1881" s="79"/>
      <c r="F1881" s="91">
        <v>16</v>
      </c>
      <c r="G1881" s="96">
        <v>5</v>
      </c>
      <c r="H1881" s="94">
        <v>0</v>
      </c>
      <c r="I1881" s="91">
        <v>0</v>
      </c>
      <c r="J1881" s="71">
        <v>43119</v>
      </c>
      <c r="K1881" s="71">
        <v>43159</v>
      </c>
      <c r="L1881" s="69" t="s">
        <v>108</v>
      </c>
      <c r="M1881" s="69" t="s">
        <v>109</v>
      </c>
      <c r="N1881" s="95">
        <v>43184</v>
      </c>
      <c r="O1881" s="67"/>
      <c r="P1881" s="67" t="s">
        <v>95</v>
      </c>
      <c r="Q1881" s="67" t="s">
        <v>120</v>
      </c>
      <c r="R1881" s="92" t="s">
        <v>69</v>
      </c>
      <c r="S1881" s="92" t="s">
        <v>123</v>
      </c>
      <c r="T1881" s="67"/>
      <c r="U1881" s="67"/>
      <c r="V1881" s="95">
        <v>43159</v>
      </c>
      <c r="W1881" s="92">
        <v>2030500</v>
      </c>
      <c r="X1881" s="90" t="s">
        <v>321</v>
      </c>
      <c r="Y1881" s="123"/>
      <c r="Z1881" s="30">
        <f t="shared" si="58"/>
        <v>6772.6006943194379</v>
      </c>
      <c r="AA1881" s="30">
        <f t="shared" si="59"/>
        <v>2116.4377169748245</v>
      </c>
      <c r="AB1881" t="s">
        <v>456</v>
      </c>
    </row>
    <row r="1882" spans="1:28">
      <c r="A1882" s="67" t="s">
        <v>122</v>
      </c>
      <c r="B1882" s="91">
        <v>1321375</v>
      </c>
      <c r="C1882" s="92">
        <v>4615472836</v>
      </c>
      <c r="D1882" s="93">
        <v>19200</v>
      </c>
      <c r="E1882" s="79"/>
      <c r="F1882" s="91">
        <v>16</v>
      </c>
      <c r="G1882" s="96">
        <v>5</v>
      </c>
      <c r="H1882" s="94">
        <v>0</v>
      </c>
      <c r="I1882" s="91">
        <v>0</v>
      </c>
      <c r="J1882" s="71">
        <v>43119</v>
      </c>
      <c r="K1882" s="71">
        <v>43159</v>
      </c>
      <c r="L1882" s="69" t="s">
        <v>108</v>
      </c>
      <c r="M1882" s="69" t="s">
        <v>109</v>
      </c>
      <c r="N1882" s="95">
        <v>43184</v>
      </c>
      <c r="O1882" s="67"/>
      <c r="P1882" s="67" t="s">
        <v>95</v>
      </c>
      <c r="Q1882" s="67" t="s">
        <v>120</v>
      </c>
      <c r="R1882" s="92" t="s">
        <v>69</v>
      </c>
      <c r="S1882" s="92" t="s">
        <v>123</v>
      </c>
      <c r="T1882" s="67"/>
      <c r="U1882" s="67"/>
      <c r="V1882" s="95">
        <v>43159</v>
      </c>
      <c r="W1882" s="92">
        <v>2030500</v>
      </c>
      <c r="X1882" s="90" t="s">
        <v>321</v>
      </c>
      <c r="Y1882" s="123"/>
      <c r="Z1882" s="30">
        <f t="shared" si="58"/>
        <v>6772.6006943194379</v>
      </c>
      <c r="AA1882" s="30">
        <f t="shared" si="59"/>
        <v>2116.4377169748245</v>
      </c>
      <c r="AB1882" t="s">
        <v>456</v>
      </c>
    </row>
    <row r="1883" spans="1:28">
      <c r="A1883" s="67" t="s">
        <v>122</v>
      </c>
      <c r="B1883" s="91">
        <v>1321376</v>
      </c>
      <c r="C1883" s="92">
        <v>4615472836</v>
      </c>
      <c r="D1883" s="93">
        <v>19200</v>
      </c>
      <c r="E1883" s="79"/>
      <c r="F1883" s="91">
        <v>16</v>
      </c>
      <c r="G1883" s="96">
        <v>5</v>
      </c>
      <c r="H1883" s="94">
        <v>0</v>
      </c>
      <c r="I1883" s="91">
        <v>0</v>
      </c>
      <c r="J1883" s="71">
        <v>43119</v>
      </c>
      <c r="K1883" s="71">
        <v>43159</v>
      </c>
      <c r="L1883" s="69" t="s">
        <v>108</v>
      </c>
      <c r="M1883" s="69" t="s">
        <v>109</v>
      </c>
      <c r="N1883" s="95">
        <v>43184</v>
      </c>
      <c r="O1883" s="67"/>
      <c r="P1883" s="67" t="s">
        <v>95</v>
      </c>
      <c r="Q1883" s="67" t="s">
        <v>120</v>
      </c>
      <c r="R1883" s="92" t="s">
        <v>69</v>
      </c>
      <c r="S1883" s="92" t="s">
        <v>123</v>
      </c>
      <c r="T1883" s="67"/>
      <c r="U1883" s="67"/>
      <c r="V1883" s="95">
        <v>43159</v>
      </c>
      <c r="W1883" s="92">
        <v>2030500</v>
      </c>
      <c r="X1883" s="90" t="s">
        <v>321</v>
      </c>
      <c r="Y1883" s="123"/>
      <c r="Z1883" s="30">
        <f t="shared" si="58"/>
        <v>6772.6006943194379</v>
      </c>
      <c r="AA1883" s="30">
        <f t="shared" si="59"/>
        <v>2116.4377169748245</v>
      </c>
      <c r="AB1883" t="s">
        <v>456</v>
      </c>
    </row>
    <row r="1884" spans="1:28">
      <c r="A1884" s="67" t="s">
        <v>122</v>
      </c>
      <c r="B1884" s="91">
        <v>1321378</v>
      </c>
      <c r="C1884" s="92">
        <v>4615472836</v>
      </c>
      <c r="D1884" s="93">
        <v>19200</v>
      </c>
      <c r="E1884" s="79"/>
      <c r="F1884" s="91">
        <v>16</v>
      </c>
      <c r="G1884" s="96">
        <v>5</v>
      </c>
      <c r="H1884" s="94">
        <v>0</v>
      </c>
      <c r="I1884" s="91">
        <v>0</v>
      </c>
      <c r="J1884" s="71">
        <v>43119</v>
      </c>
      <c r="K1884" s="71">
        <v>43159</v>
      </c>
      <c r="L1884" s="69" t="s">
        <v>108</v>
      </c>
      <c r="M1884" s="69" t="s">
        <v>109</v>
      </c>
      <c r="N1884" s="95">
        <v>43184</v>
      </c>
      <c r="O1884" s="67"/>
      <c r="P1884" s="67" t="s">
        <v>95</v>
      </c>
      <c r="Q1884" s="67" t="s">
        <v>120</v>
      </c>
      <c r="R1884" s="92" t="s">
        <v>69</v>
      </c>
      <c r="S1884" s="92" t="s">
        <v>123</v>
      </c>
      <c r="T1884" s="67"/>
      <c r="U1884" s="67"/>
      <c r="V1884" s="95">
        <v>43159</v>
      </c>
      <c r="W1884" s="92">
        <v>2030500</v>
      </c>
      <c r="X1884" s="90" t="s">
        <v>321</v>
      </c>
      <c r="Y1884" s="123"/>
      <c r="Z1884" s="30">
        <f t="shared" si="58"/>
        <v>6772.6006943194379</v>
      </c>
      <c r="AA1884" s="30">
        <f t="shared" si="59"/>
        <v>2116.4377169748245</v>
      </c>
      <c r="AB1884" t="s">
        <v>456</v>
      </c>
    </row>
    <row r="1885" spans="1:28">
      <c r="A1885" s="67" t="s">
        <v>122</v>
      </c>
      <c r="B1885" s="91">
        <v>1321380</v>
      </c>
      <c r="C1885" s="92">
        <v>4615472836</v>
      </c>
      <c r="D1885" s="93">
        <v>19200</v>
      </c>
      <c r="E1885" s="79"/>
      <c r="F1885" s="91">
        <v>16</v>
      </c>
      <c r="G1885" s="96">
        <v>5</v>
      </c>
      <c r="H1885" s="94">
        <v>0</v>
      </c>
      <c r="I1885" s="91">
        <v>0</v>
      </c>
      <c r="J1885" s="71">
        <v>43119</v>
      </c>
      <c r="K1885" s="71">
        <v>43159</v>
      </c>
      <c r="L1885" s="69" t="s">
        <v>108</v>
      </c>
      <c r="M1885" s="69" t="s">
        <v>109</v>
      </c>
      <c r="N1885" s="95">
        <v>43184</v>
      </c>
      <c r="O1885" s="67"/>
      <c r="P1885" s="67" t="s">
        <v>95</v>
      </c>
      <c r="Q1885" s="67" t="s">
        <v>120</v>
      </c>
      <c r="R1885" s="92" t="s">
        <v>69</v>
      </c>
      <c r="S1885" s="92" t="s">
        <v>123</v>
      </c>
      <c r="T1885" s="67"/>
      <c r="U1885" s="67"/>
      <c r="V1885" s="95">
        <v>43159</v>
      </c>
      <c r="W1885" s="92">
        <v>2030500</v>
      </c>
      <c r="X1885" s="90" t="s">
        <v>321</v>
      </c>
      <c r="Y1885" s="123"/>
      <c r="Z1885" s="30">
        <f t="shared" si="58"/>
        <v>6772.6006943194379</v>
      </c>
      <c r="AA1885" s="30">
        <f t="shared" si="59"/>
        <v>2116.4377169748245</v>
      </c>
      <c r="AB1885" t="s">
        <v>456</v>
      </c>
    </row>
    <row r="1886" spans="1:28">
      <c r="A1886" s="67" t="s">
        <v>122</v>
      </c>
      <c r="B1886" s="91">
        <v>1321382</v>
      </c>
      <c r="C1886" s="92">
        <v>4615472836</v>
      </c>
      <c r="D1886" s="93">
        <v>19200</v>
      </c>
      <c r="E1886" s="79"/>
      <c r="F1886" s="91">
        <v>16</v>
      </c>
      <c r="G1886" s="96">
        <v>5</v>
      </c>
      <c r="H1886" s="94">
        <v>0</v>
      </c>
      <c r="I1886" s="91">
        <v>0</v>
      </c>
      <c r="J1886" s="71">
        <v>43119</v>
      </c>
      <c r="K1886" s="71">
        <v>43159</v>
      </c>
      <c r="L1886" s="69" t="s">
        <v>108</v>
      </c>
      <c r="M1886" s="69" t="s">
        <v>109</v>
      </c>
      <c r="N1886" s="95">
        <v>43186</v>
      </c>
      <c r="O1886" s="67"/>
      <c r="P1886" s="67" t="s">
        <v>95</v>
      </c>
      <c r="Q1886" s="67" t="s">
        <v>120</v>
      </c>
      <c r="R1886" s="92" t="s">
        <v>69</v>
      </c>
      <c r="S1886" s="92" t="s">
        <v>123</v>
      </c>
      <c r="T1886" s="67"/>
      <c r="U1886" s="67"/>
      <c r="V1886" s="95">
        <v>43159</v>
      </c>
      <c r="W1886" s="92">
        <v>2030500</v>
      </c>
      <c r="X1886" s="90" t="s">
        <v>321</v>
      </c>
      <c r="Y1886" s="123"/>
      <c r="Z1886" s="30">
        <f t="shared" si="58"/>
        <v>6772.6006943194379</v>
      </c>
      <c r="AA1886" s="30">
        <f t="shared" si="59"/>
        <v>2116.4377169748245</v>
      </c>
      <c r="AB1886" t="s">
        <v>456</v>
      </c>
    </row>
    <row r="1887" spans="1:28">
      <c r="A1887" s="67" t="s">
        <v>122</v>
      </c>
      <c r="B1887" s="91">
        <v>1321383</v>
      </c>
      <c r="C1887" s="92">
        <v>4615472836</v>
      </c>
      <c r="D1887" s="93">
        <v>19200</v>
      </c>
      <c r="E1887" s="79"/>
      <c r="F1887" s="91">
        <v>16</v>
      </c>
      <c r="G1887" s="96">
        <v>5</v>
      </c>
      <c r="H1887" s="94">
        <v>0</v>
      </c>
      <c r="I1887" s="91">
        <v>0</v>
      </c>
      <c r="J1887" s="71">
        <v>43119</v>
      </c>
      <c r="K1887" s="71">
        <v>43159</v>
      </c>
      <c r="L1887" s="69" t="s">
        <v>108</v>
      </c>
      <c r="M1887" s="69" t="s">
        <v>109</v>
      </c>
      <c r="N1887" s="95">
        <v>43186</v>
      </c>
      <c r="O1887" s="67"/>
      <c r="P1887" s="67" t="s">
        <v>95</v>
      </c>
      <c r="Q1887" s="67" t="s">
        <v>120</v>
      </c>
      <c r="R1887" s="92" t="s">
        <v>69</v>
      </c>
      <c r="S1887" s="92" t="s">
        <v>123</v>
      </c>
      <c r="T1887" s="67"/>
      <c r="U1887" s="67"/>
      <c r="V1887" s="95">
        <v>43159</v>
      </c>
      <c r="W1887" s="92">
        <v>2030500</v>
      </c>
      <c r="X1887" s="90" t="s">
        <v>321</v>
      </c>
      <c r="Y1887" s="123"/>
      <c r="Z1887" s="30">
        <f t="shared" si="58"/>
        <v>6772.6006943194379</v>
      </c>
      <c r="AA1887" s="30">
        <f t="shared" si="59"/>
        <v>2116.4377169748245</v>
      </c>
      <c r="AB1887" t="s">
        <v>456</v>
      </c>
    </row>
    <row r="1888" spans="1:28">
      <c r="A1888" s="67" t="s">
        <v>122</v>
      </c>
      <c r="B1888" s="91"/>
      <c r="C1888" s="92">
        <v>4615472836</v>
      </c>
      <c r="D1888" s="93">
        <v>19200</v>
      </c>
      <c r="E1888" s="79"/>
      <c r="F1888" s="91">
        <v>16</v>
      </c>
      <c r="G1888" s="96">
        <v>5</v>
      </c>
      <c r="H1888" s="94">
        <v>0</v>
      </c>
      <c r="I1888" s="91">
        <v>0</v>
      </c>
      <c r="J1888" s="71"/>
      <c r="K1888" s="71">
        <v>43159</v>
      </c>
      <c r="L1888" s="69" t="s">
        <v>80</v>
      </c>
      <c r="M1888" s="69" t="s">
        <v>286</v>
      </c>
      <c r="N1888" s="95"/>
      <c r="O1888" s="67"/>
      <c r="P1888" s="67" t="s">
        <v>95</v>
      </c>
      <c r="Q1888" s="67" t="s">
        <v>120</v>
      </c>
      <c r="R1888" s="92" t="s">
        <v>69</v>
      </c>
      <c r="S1888" s="92" t="s">
        <v>123</v>
      </c>
      <c r="T1888" s="67"/>
      <c r="U1888" s="67"/>
      <c r="V1888" s="95">
        <v>43159</v>
      </c>
      <c r="W1888" s="92">
        <v>2030500</v>
      </c>
      <c r="X1888" s="90" t="s">
        <v>321</v>
      </c>
      <c r="Y1888" s="123"/>
      <c r="Z1888" s="30">
        <f t="shared" si="58"/>
        <v>6772.6006943194379</v>
      </c>
      <c r="AA1888" s="30">
        <f t="shared" si="59"/>
        <v>2116.4377169748245</v>
      </c>
      <c r="AB1888" t="s">
        <v>457</v>
      </c>
    </row>
    <row r="1889" spans="1:28">
      <c r="A1889" s="67" t="s">
        <v>122</v>
      </c>
      <c r="B1889" s="91">
        <v>1330983</v>
      </c>
      <c r="C1889" s="92">
        <v>4615488795</v>
      </c>
      <c r="D1889" s="93">
        <v>19200</v>
      </c>
      <c r="E1889" s="79"/>
      <c r="F1889" s="91">
        <v>16</v>
      </c>
      <c r="G1889" s="96">
        <v>5</v>
      </c>
      <c r="H1889" s="94">
        <v>0</v>
      </c>
      <c r="I1889" s="91">
        <v>0</v>
      </c>
      <c r="J1889" s="71">
        <v>43173</v>
      </c>
      <c r="K1889" s="71">
        <v>43159</v>
      </c>
      <c r="L1889" s="69" t="s">
        <v>119</v>
      </c>
      <c r="M1889" s="69" t="s">
        <v>299</v>
      </c>
      <c r="N1889" s="95"/>
      <c r="O1889" s="67"/>
      <c r="P1889" s="67" t="s">
        <v>95</v>
      </c>
      <c r="Q1889" s="67" t="s">
        <v>120</v>
      </c>
      <c r="R1889" s="92" t="s">
        <v>69</v>
      </c>
      <c r="S1889" s="92" t="s">
        <v>123</v>
      </c>
      <c r="T1889" s="67"/>
      <c r="U1889" s="67"/>
      <c r="V1889" s="95">
        <v>43159</v>
      </c>
      <c r="W1889" s="92">
        <v>2030510</v>
      </c>
      <c r="X1889" s="90" t="s">
        <v>322</v>
      </c>
      <c r="Y1889" s="123"/>
      <c r="Z1889" s="30">
        <f t="shared" si="58"/>
        <v>6772.6006943194379</v>
      </c>
      <c r="AA1889" s="30">
        <f t="shared" si="59"/>
        <v>2116.4377169748245</v>
      </c>
      <c r="AB1889" t="s">
        <v>456</v>
      </c>
    </row>
    <row r="1890" spans="1:28">
      <c r="A1890" s="67" t="s">
        <v>122</v>
      </c>
      <c r="B1890" s="91">
        <v>1330978</v>
      </c>
      <c r="C1890" s="92">
        <v>4615488795</v>
      </c>
      <c r="D1890" s="93">
        <v>19200</v>
      </c>
      <c r="E1890" s="79"/>
      <c r="F1890" s="91">
        <v>16</v>
      </c>
      <c r="G1890" s="96">
        <v>5</v>
      </c>
      <c r="H1890" s="94">
        <v>0</v>
      </c>
      <c r="I1890" s="91">
        <v>0</v>
      </c>
      <c r="J1890" s="71">
        <v>43173</v>
      </c>
      <c r="K1890" s="71">
        <v>43159</v>
      </c>
      <c r="L1890" s="69" t="s">
        <v>119</v>
      </c>
      <c r="M1890" s="69" t="s">
        <v>299</v>
      </c>
      <c r="N1890" s="95"/>
      <c r="O1890" s="67"/>
      <c r="P1890" s="67" t="s">
        <v>95</v>
      </c>
      <c r="Q1890" s="67" t="s">
        <v>120</v>
      </c>
      <c r="R1890" s="92" t="s">
        <v>69</v>
      </c>
      <c r="S1890" s="92" t="s">
        <v>123</v>
      </c>
      <c r="T1890" s="67"/>
      <c r="U1890" s="67"/>
      <c r="V1890" s="95">
        <v>43159</v>
      </c>
      <c r="W1890" s="92">
        <v>2030510</v>
      </c>
      <c r="X1890" s="90"/>
      <c r="Y1890" s="123"/>
      <c r="Z1890" s="30">
        <f t="shared" si="58"/>
        <v>6772.6006943194379</v>
      </c>
      <c r="AA1890" s="30">
        <f t="shared" si="59"/>
        <v>2116.4377169748245</v>
      </c>
      <c r="AB1890" t="s">
        <v>456</v>
      </c>
    </row>
    <row r="1891" spans="1:28">
      <c r="A1891" s="67" t="s">
        <v>122</v>
      </c>
      <c r="B1891" s="91">
        <v>1330984</v>
      </c>
      <c r="C1891" s="92">
        <v>4615488795</v>
      </c>
      <c r="D1891" s="93">
        <v>19200</v>
      </c>
      <c r="E1891" s="79"/>
      <c r="F1891" s="91">
        <v>16</v>
      </c>
      <c r="G1891" s="96">
        <v>5</v>
      </c>
      <c r="H1891" s="94">
        <v>0</v>
      </c>
      <c r="I1891" s="91">
        <v>0</v>
      </c>
      <c r="J1891" s="71">
        <v>43173</v>
      </c>
      <c r="K1891" s="71">
        <v>43159</v>
      </c>
      <c r="L1891" s="69" t="s">
        <v>119</v>
      </c>
      <c r="M1891" s="69" t="s">
        <v>299</v>
      </c>
      <c r="N1891" s="95"/>
      <c r="O1891" s="67"/>
      <c r="P1891" s="67" t="s">
        <v>95</v>
      </c>
      <c r="Q1891" s="67" t="s">
        <v>120</v>
      </c>
      <c r="R1891" s="92" t="s">
        <v>69</v>
      </c>
      <c r="S1891" s="92" t="s">
        <v>123</v>
      </c>
      <c r="T1891" s="67"/>
      <c r="U1891" s="67"/>
      <c r="V1891" s="95">
        <v>43159</v>
      </c>
      <c r="W1891" s="92">
        <v>2030510</v>
      </c>
      <c r="X1891" s="90"/>
      <c r="Y1891" s="123"/>
      <c r="Z1891" s="30">
        <f t="shared" si="58"/>
        <v>6772.6006943194379</v>
      </c>
      <c r="AA1891" s="30">
        <f t="shared" si="59"/>
        <v>2116.4377169748245</v>
      </c>
      <c r="AB1891" t="s">
        <v>456</v>
      </c>
    </row>
    <row r="1892" spans="1:28">
      <c r="A1892" s="67" t="s">
        <v>122</v>
      </c>
      <c r="B1892" s="91"/>
      <c r="C1892" s="92">
        <v>4615488795</v>
      </c>
      <c r="D1892" s="93">
        <v>19200</v>
      </c>
      <c r="E1892" s="79"/>
      <c r="F1892" s="91">
        <v>16</v>
      </c>
      <c r="G1892" s="96">
        <v>5</v>
      </c>
      <c r="H1892" s="94">
        <v>0</v>
      </c>
      <c r="I1892" s="91">
        <v>0</v>
      </c>
      <c r="J1892" s="71"/>
      <c r="K1892" s="71">
        <v>43159</v>
      </c>
      <c r="L1892" s="69" t="s">
        <v>80</v>
      </c>
      <c r="M1892" s="69" t="s">
        <v>286</v>
      </c>
      <c r="N1892" s="95"/>
      <c r="O1892" s="67"/>
      <c r="P1892" s="67" t="s">
        <v>95</v>
      </c>
      <c r="Q1892" s="67" t="s">
        <v>120</v>
      </c>
      <c r="R1892" s="92" t="s">
        <v>69</v>
      </c>
      <c r="S1892" s="92" t="s">
        <v>123</v>
      </c>
      <c r="T1892" s="67"/>
      <c r="U1892" s="67"/>
      <c r="V1892" s="95">
        <v>43159</v>
      </c>
      <c r="W1892" s="92">
        <v>2030510</v>
      </c>
      <c r="X1892" s="90"/>
      <c r="Y1892" s="123"/>
      <c r="Z1892" s="30">
        <f t="shared" si="58"/>
        <v>6772.6006943194379</v>
      </c>
      <c r="AA1892" s="30">
        <f t="shared" si="59"/>
        <v>2116.4377169748245</v>
      </c>
      <c r="AB1892" t="s">
        <v>457</v>
      </c>
    </row>
    <row r="1893" spans="1:28">
      <c r="A1893" s="67" t="s">
        <v>122</v>
      </c>
      <c r="B1893" s="91"/>
      <c r="C1893" s="92">
        <v>4615488795</v>
      </c>
      <c r="D1893" s="93">
        <v>19200</v>
      </c>
      <c r="E1893" s="79"/>
      <c r="F1893" s="91">
        <v>16</v>
      </c>
      <c r="G1893" s="96">
        <v>5</v>
      </c>
      <c r="H1893" s="94">
        <v>0</v>
      </c>
      <c r="I1893" s="91">
        <v>0</v>
      </c>
      <c r="J1893" s="71"/>
      <c r="K1893" s="71">
        <v>43159</v>
      </c>
      <c r="L1893" s="69" t="s">
        <v>80</v>
      </c>
      <c r="M1893" s="69" t="s">
        <v>286</v>
      </c>
      <c r="N1893" s="95"/>
      <c r="O1893" s="67"/>
      <c r="P1893" s="67" t="s">
        <v>95</v>
      </c>
      <c r="Q1893" s="67" t="s">
        <v>120</v>
      </c>
      <c r="R1893" s="92" t="s">
        <v>69</v>
      </c>
      <c r="S1893" s="92" t="s">
        <v>123</v>
      </c>
      <c r="T1893" s="67"/>
      <c r="U1893" s="67"/>
      <c r="V1893" s="95">
        <v>43159</v>
      </c>
      <c r="W1893" s="92">
        <v>2030510</v>
      </c>
      <c r="X1893" s="90"/>
      <c r="Y1893" s="123"/>
      <c r="Z1893" s="30">
        <f t="shared" si="58"/>
        <v>6772.6006943194379</v>
      </c>
      <c r="AA1893" s="30">
        <f t="shared" si="59"/>
        <v>2116.4377169748245</v>
      </c>
      <c r="AB1893" t="s">
        <v>457</v>
      </c>
    </row>
    <row r="1894" spans="1:28">
      <c r="A1894" s="67" t="s">
        <v>122</v>
      </c>
      <c r="B1894" s="91"/>
      <c r="C1894" s="92">
        <v>4615488795</v>
      </c>
      <c r="D1894" s="93">
        <v>19200</v>
      </c>
      <c r="E1894" s="79"/>
      <c r="F1894" s="91">
        <v>16</v>
      </c>
      <c r="G1894" s="96">
        <v>5</v>
      </c>
      <c r="H1894" s="94">
        <v>0</v>
      </c>
      <c r="I1894" s="91">
        <v>0</v>
      </c>
      <c r="J1894" s="71"/>
      <c r="K1894" s="71">
        <v>43159</v>
      </c>
      <c r="L1894" s="69" t="s">
        <v>80</v>
      </c>
      <c r="M1894" s="69" t="s">
        <v>286</v>
      </c>
      <c r="N1894" s="95"/>
      <c r="O1894" s="67"/>
      <c r="P1894" s="67" t="s">
        <v>95</v>
      </c>
      <c r="Q1894" s="67" t="s">
        <v>120</v>
      </c>
      <c r="R1894" s="92" t="s">
        <v>69</v>
      </c>
      <c r="S1894" s="92" t="s">
        <v>123</v>
      </c>
      <c r="T1894" s="67"/>
      <c r="U1894" s="67"/>
      <c r="V1894" s="95">
        <v>43159</v>
      </c>
      <c r="W1894" s="92">
        <v>2030510</v>
      </c>
      <c r="X1894" s="90"/>
      <c r="Y1894" s="123"/>
      <c r="Z1894" s="30">
        <f t="shared" si="58"/>
        <v>6772.6006943194379</v>
      </c>
      <c r="AA1894" s="30">
        <f t="shared" si="59"/>
        <v>2116.4377169748245</v>
      </c>
      <c r="AB1894" t="s">
        <v>457</v>
      </c>
    </row>
    <row r="1895" spans="1:28">
      <c r="A1895" s="67" t="s">
        <v>122</v>
      </c>
      <c r="B1895" s="91"/>
      <c r="C1895" s="92">
        <v>4615488795</v>
      </c>
      <c r="D1895" s="93">
        <v>19200</v>
      </c>
      <c r="E1895" s="79"/>
      <c r="F1895" s="91">
        <v>16</v>
      </c>
      <c r="G1895" s="96">
        <v>5</v>
      </c>
      <c r="H1895" s="94">
        <v>0</v>
      </c>
      <c r="I1895" s="91">
        <v>0</v>
      </c>
      <c r="J1895" s="71"/>
      <c r="K1895" s="71">
        <v>43159</v>
      </c>
      <c r="L1895" s="69" t="s">
        <v>80</v>
      </c>
      <c r="M1895" s="69" t="s">
        <v>286</v>
      </c>
      <c r="N1895" s="95"/>
      <c r="O1895" s="67"/>
      <c r="P1895" s="67" t="s">
        <v>95</v>
      </c>
      <c r="Q1895" s="67" t="s">
        <v>120</v>
      </c>
      <c r="R1895" s="92" t="s">
        <v>69</v>
      </c>
      <c r="S1895" s="92" t="s">
        <v>123</v>
      </c>
      <c r="T1895" s="67"/>
      <c r="U1895" s="67"/>
      <c r="V1895" s="95">
        <v>43159</v>
      </c>
      <c r="W1895" s="92">
        <v>2030510</v>
      </c>
      <c r="X1895" s="90"/>
      <c r="Y1895" s="123"/>
      <c r="Z1895" s="30">
        <f t="shared" si="58"/>
        <v>6772.6006943194379</v>
      </c>
      <c r="AA1895" s="30">
        <f t="shared" si="59"/>
        <v>2116.4377169748245</v>
      </c>
      <c r="AB1895" t="s">
        <v>457</v>
      </c>
    </row>
    <row r="1896" spans="1:28">
      <c r="A1896" s="67" t="s">
        <v>122</v>
      </c>
      <c r="B1896" s="91"/>
      <c r="C1896" s="92">
        <v>4615488795</v>
      </c>
      <c r="D1896" s="93">
        <v>19200</v>
      </c>
      <c r="E1896" s="79"/>
      <c r="F1896" s="91">
        <v>16</v>
      </c>
      <c r="G1896" s="96">
        <v>5</v>
      </c>
      <c r="H1896" s="94">
        <v>0</v>
      </c>
      <c r="I1896" s="91">
        <v>0</v>
      </c>
      <c r="J1896" s="71"/>
      <c r="K1896" s="71">
        <v>43159</v>
      </c>
      <c r="L1896" s="69" t="s">
        <v>80</v>
      </c>
      <c r="M1896" s="69" t="s">
        <v>286</v>
      </c>
      <c r="N1896" s="95"/>
      <c r="O1896" s="67"/>
      <c r="P1896" s="67" t="s">
        <v>95</v>
      </c>
      <c r="Q1896" s="67" t="s">
        <v>120</v>
      </c>
      <c r="R1896" s="92" t="s">
        <v>69</v>
      </c>
      <c r="S1896" s="92" t="s">
        <v>123</v>
      </c>
      <c r="T1896" s="67"/>
      <c r="U1896" s="67"/>
      <c r="V1896" s="95">
        <v>43159</v>
      </c>
      <c r="W1896" s="92">
        <v>2030510</v>
      </c>
      <c r="X1896" s="90"/>
      <c r="Y1896" s="123"/>
      <c r="Z1896" s="30">
        <f t="shared" si="58"/>
        <v>6772.6006943194379</v>
      </c>
      <c r="AA1896" s="30">
        <f t="shared" si="59"/>
        <v>2116.4377169748245</v>
      </c>
      <c r="AB1896" t="s">
        <v>457</v>
      </c>
    </row>
    <row r="1897" spans="1:28">
      <c r="A1897" s="67" t="s">
        <v>122</v>
      </c>
      <c r="B1897" s="91"/>
      <c r="C1897" s="92">
        <v>4615488795</v>
      </c>
      <c r="D1897" s="93">
        <v>19200</v>
      </c>
      <c r="E1897" s="79"/>
      <c r="F1897" s="91">
        <v>16</v>
      </c>
      <c r="G1897" s="96">
        <v>5</v>
      </c>
      <c r="H1897" s="94">
        <v>0</v>
      </c>
      <c r="I1897" s="91">
        <v>0</v>
      </c>
      <c r="J1897" s="71"/>
      <c r="K1897" s="71">
        <v>43159</v>
      </c>
      <c r="L1897" s="69" t="s">
        <v>80</v>
      </c>
      <c r="M1897" s="69" t="s">
        <v>286</v>
      </c>
      <c r="N1897" s="95"/>
      <c r="O1897" s="67"/>
      <c r="P1897" s="67" t="s">
        <v>95</v>
      </c>
      <c r="Q1897" s="67" t="s">
        <v>120</v>
      </c>
      <c r="R1897" s="92" t="s">
        <v>69</v>
      </c>
      <c r="S1897" s="92" t="s">
        <v>123</v>
      </c>
      <c r="T1897" s="67"/>
      <c r="U1897" s="67"/>
      <c r="V1897" s="95">
        <v>43159</v>
      </c>
      <c r="W1897" s="92">
        <v>2030510</v>
      </c>
      <c r="X1897" s="90"/>
      <c r="Y1897" s="123"/>
      <c r="Z1897" s="30">
        <f t="shared" si="58"/>
        <v>6772.6006943194379</v>
      </c>
      <c r="AA1897" s="30">
        <f t="shared" si="59"/>
        <v>2116.4377169748245</v>
      </c>
      <c r="AB1897" t="s">
        <v>457</v>
      </c>
    </row>
    <row r="1898" spans="1:28">
      <c r="A1898" s="67" t="s">
        <v>122</v>
      </c>
      <c r="B1898" s="91"/>
      <c r="C1898" s="92">
        <v>4615488795</v>
      </c>
      <c r="D1898" s="93">
        <v>19200</v>
      </c>
      <c r="E1898" s="79"/>
      <c r="F1898" s="91">
        <v>16</v>
      </c>
      <c r="G1898" s="96">
        <v>5</v>
      </c>
      <c r="H1898" s="94">
        <v>0</v>
      </c>
      <c r="I1898" s="91">
        <v>0</v>
      </c>
      <c r="J1898" s="71"/>
      <c r="K1898" s="71">
        <v>43159</v>
      </c>
      <c r="L1898" s="69" t="s">
        <v>80</v>
      </c>
      <c r="M1898" s="69" t="s">
        <v>286</v>
      </c>
      <c r="N1898" s="95"/>
      <c r="O1898" s="67"/>
      <c r="P1898" s="67" t="s">
        <v>95</v>
      </c>
      <c r="Q1898" s="67" t="s">
        <v>120</v>
      </c>
      <c r="R1898" s="92" t="s">
        <v>69</v>
      </c>
      <c r="S1898" s="92" t="s">
        <v>123</v>
      </c>
      <c r="T1898" s="67"/>
      <c r="U1898" s="67"/>
      <c r="V1898" s="95">
        <v>43159</v>
      </c>
      <c r="W1898" s="92">
        <v>2030510</v>
      </c>
      <c r="X1898" s="90"/>
      <c r="Y1898" s="123"/>
      <c r="Z1898" s="30">
        <f t="shared" si="58"/>
        <v>6772.6006943194379</v>
      </c>
      <c r="AA1898" s="30">
        <f t="shared" si="59"/>
        <v>2116.4377169748245</v>
      </c>
      <c r="AB1898" t="s">
        <v>457</v>
      </c>
    </row>
    <row r="1899" spans="1:28">
      <c r="A1899" s="67" t="s">
        <v>122</v>
      </c>
      <c r="B1899" s="91"/>
      <c r="C1899" s="92">
        <v>4615488795</v>
      </c>
      <c r="D1899" s="93">
        <v>19200</v>
      </c>
      <c r="E1899" s="79"/>
      <c r="F1899" s="91">
        <v>16</v>
      </c>
      <c r="G1899" s="96">
        <v>5</v>
      </c>
      <c r="H1899" s="94">
        <v>0</v>
      </c>
      <c r="I1899" s="91">
        <v>0</v>
      </c>
      <c r="J1899" s="71"/>
      <c r="K1899" s="71">
        <v>43159</v>
      </c>
      <c r="L1899" s="69" t="s">
        <v>80</v>
      </c>
      <c r="M1899" s="69" t="s">
        <v>286</v>
      </c>
      <c r="N1899" s="95"/>
      <c r="O1899" s="67"/>
      <c r="P1899" s="67" t="s">
        <v>95</v>
      </c>
      <c r="Q1899" s="67" t="s">
        <v>120</v>
      </c>
      <c r="R1899" s="92" t="s">
        <v>69</v>
      </c>
      <c r="S1899" s="92" t="s">
        <v>123</v>
      </c>
      <c r="T1899" s="67"/>
      <c r="U1899" s="67"/>
      <c r="V1899" s="95">
        <v>43159</v>
      </c>
      <c r="W1899" s="92">
        <v>2030510</v>
      </c>
      <c r="X1899" s="90"/>
      <c r="Y1899" s="123"/>
      <c r="Z1899" s="30">
        <f t="shared" si="58"/>
        <v>6772.6006943194379</v>
      </c>
      <c r="AA1899" s="30">
        <f t="shared" si="59"/>
        <v>2116.4377169748245</v>
      </c>
      <c r="AB1899" t="s">
        <v>457</v>
      </c>
    </row>
    <row r="1900" spans="1:28">
      <c r="A1900" s="67" t="s">
        <v>122</v>
      </c>
      <c r="B1900" s="91">
        <v>1314925</v>
      </c>
      <c r="C1900" s="92">
        <v>4615486646</v>
      </c>
      <c r="D1900" s="93">
        <v>19200</v>
      </c>
      <c r="E1900" s="79"/>
      <c r="F1900" s="91">
        <v>16</v>
      </c>
      <c r="G1900" s="96">
        <v>5</v>
      </c>
      <c r="H1900" s="94">
        <v>0</v>
      </c>
      <c r="I1900" s="91">
        <v>0</v>
      </c>
      <c r="J1900" s="71">
        <v>43101</v>
      </c>
      <c r="K1900" s="71">
        <v>43159</v>
      </c>
      <c r="L1900" s="69" t="s">
        <v>119</v>
      </c>
      <c r="M1900" s="69" t="s">
        <v>109</v>
      </c>
      <c r="N1900" s="95">
        <v>43202</v>
      </c>
      <c r="O1900" s="67"/>
      <c r="P1900" s="67" t="s">
        <v>95</v>
      </c>
      <c r="Q1900" s="67" t="s">
        <v>120</v>
      </c>
      <c r="R1900" s="92" t="s">
        <v>69</v>
      </c>
      <c r="S1900" s="92" t="s">
        <v>123</v>
      </c>
      <c r="T1900" s="67"/>
      <c r="U1900" s="67"/>
      <c r="V1900" s="95">
        <v>43159</v>
      </c>
      <c r="W1900" s="92">
        <v>2030478</v>
      </c>
      <c r="X1900" s="90"/>
      <c r="Y1900" s="123"/>
      <c r="Z1900" s="30">
        <f t="shared" si="58"/>
        <v>6772.6006943194379</v>
      </c>
      <c r="AA1900" s="30">
        <f t="shared" si="59"/>
        <v>2116.4377169748245</v>
      </c>
      <c r="AB1900" t="s">
        <v>456</v>
      </c>
    </row>
    <row r="1901" spans="1:28">
      <c r="A1901" s="67" t="s">
        <v>122</v>
      </c>
      <c r="B1901" s="91">
        <v>1314926</v>
      </c>
      <c r="C1901" s="92">
        <v>4615486646</v>
      </c>
      <c r="D1901" s="93">
        <v>19200</v>
      </c>
      <c r="E1901" s="79"/>
      <c r="F1901" s="91">
        <v>16</v>
      </c>
      <c r="G1901" s="96">
        <v>5</v>
      </c>
      <c r="H1901" s="94">
        <v>0</v>
      </c>
      <c r="I1901" s="91">
        <v>0</v>
      </c>
      <c r="J1901" s="71">
        <v>43101</v>
      </c>
      <c r="K1901" s="71">
        <v>43159</v>
      </c>
      <c r="L1901" s="69" t="s">
        <v>119</v>
      </c>
      <c r="M1901" s="69" t="s">
        <v>109</v>
      </c>
      <c r="N1901" s="95">
        <v>43184</v>
      </c>
      <c r="O1901" s="67"/>
      <c r="P1901" s="67" t="s">
        <v>95</v>
      </c>
      <c r="Q1901" s="67" t="s">
        <v>120</v>
      </c>
      <c r="R1901" s="92" t="s">
        <v>69</v>
      </c>
      <c r="S1901" s="92" t="s">
        <v>123</v>
      </c>
      <c r="T1901" s="67"/>
      <c r="U1901" s="67"/>
      <c r="V1901" s="95">
        <v>43159</v>
      </c>
      <c r="W1901" s="92">
        <v>2030478</v>
      </c>
      <c r="X1901" s="90"/>
      <c r="Y1901" s="123"/>
      <c r="Z1901" s="30">
        <f t="shared" si="58"/>
        <v>6772.6006943194379</v>
      </c>
      <c r="AA1901" s="30">
        <f t="shared" si="59"/>
        <v>2116.4377169748245</v>
      </c>
      <c r="AB1901" t="s">
        <v>456</v>
      </c>
    </row>
    <row r="1902" spans="1:28">
      <c r="A1902" s="67" t="s">
        <v>122</v>
      </c>
      <c r="B1902" s="91">
        <v>1314927</v>
      </c>
      <c r="C1902" s="92">
        <v>4615486646</v>
      </c>
      <c r="D1902" s="93">
        <v>19200</v>
      </c>
      <c r="E1902" s="79"/>
      <c r="F1902" s="91">
        <v>16</v>
      </c>
      <c r="G1902" s="96">
        <v>5</v>
      </c>
      <c r="H1902" s="94">
        <v>0</v>
      </c>
      <c r="I1902" s="91">
        <v>0</v>
      </c>
      <c r="J1902" s="71">
        <v>43101</v>
      </c>
      <c r="K1902" s="71">
        <v>43159</v>
      </c>
      <c r="L1902" s="69" t="s">
        <v>119</v>
      </c>
      <c r="M1902" s="69" t="s">
        <v>109</v>
      </c>
      <c r="N1902" s="95">
        <v>43198</v>
      </c>
      <c r="O1902" s="67"/>
      <c r="P1902" s="67" t="s">
        <v>95</v>
      </c>
      <c r="Q1902" s="67" t="s">
        <v>120</v>
      </c>
      <c r="R1902" s="92" t="s">
        <v>69</v>
      </c>
      <c r="S1902" s="92" t="s">
        <v>123</v>
      </c>
      <c r="T1902" s="67"/>
      <c r="U1902" s="67"/>
      <c r="V1902" s="95">
        <v>43159</v>
      </c>
      <c r="W1902" s="92">
        <v>2030478</v>
      </c>
      <c r="X1902" s="90" t="s">
        <v>155</v>
      </c>
      <c r="Y1902" s="123"/>
      <c r="Z1902" s="30">
        <f t="shared" si="58"/>
        <v>6772.6006943194379</v>
      </c>
      <c r="AA1902" s="30">
        <f t="shared" si="59"/>
        <v>2116.4377169748245</v>
      </c>
      <c r="AB1902" t="s">
        <v>456</v>
      </c>
    </row>
    <row r="1903" spans="1:28">
      <c r="A1903" s="67" t="s">
        <v>122</v>
      </c>
      <c r="B1903" s="91">
        <v>1314924</v>
      </c>
      <c r="C1903" s="92">
        <v>4615486646</v>
      </c>
      <c r="D1903" s="93">
        <v>19200</v>
      </c>
      <c r="E1903" s="79"/>
      <c r="F1903" s="91">
        <v>16</v>
      </c>
      <c r="G1903" s="96">
        <v>5</v>
      </c>
      <c r="H1903" s="94">
        <v>0</v>
      </c>
      <c r="I1903" s="91">
        <v>0</v>
      </c>
      <c r="J1903" s="71">
        <v>43101</v>
      </c>
      <c r="K1903" s="71">
        <v>43159</v>
      </c>
      <c r="L1903" s="69" t="s">
        <v>119</v>
      </c>
      <c r="M1903" s="69" t="s">
        <v>109</v>
      </c>
      <c r="N1903" s="95">
        <v>43177</v>
      </c>
      <c r="O1903" s="67"/>
      <c r="P1903" s="67" t="s">
        <v>95</v>
      </c>
      <c r="Q1903" s="67" t="s">
        <v>120</v>
      </c>
      <c r="R1903" s="92" t="s">
        <v>69</v>
      </c>
      <c r="S1903" s="92" t="s">
        <v>123</v>
      </c>
      <c r="T1903" s="67"/>
      <c r="U1903" s="67"/>
      <c r="V1903" s="95">
        <v>43159</v>
      </c>
      <c r="W1903" s="92">
        <v>2030478</v>
      </c>
      <c r="X1903" s="90"/>
      <c r="Y1903" s="123"/>
      <c r="Z1903" s="30">
        <f t="shared" si="58"/>
        <v>6772.6006943194379</v>
      </c>
      <c r="AA1903" s="30">
        <f t="shared" si="59"/>
        <v>2116.4377169748245</v>
      </c>
      <c r="AB1903" t="s">
        <v>456</v>
      </c>
    </row>
    <row r="1904" spans="1:28">
      <c r="A1904" s="67" t="s">
        <v>122</v>
      </c>
      <c r="B1904" s="91">
        <v>1314923</v>
      </c>
      <c r="C1904" s="92">
        <v>4615486646</v>
      </c>
      <c r="D1904" s="93">
        <v>19200</v>
      </c>
      <c r="E1904" s="79"/>
      <c r="F1904" s="91">
        <v>16</v>
      </c>
      <c r="G1904" s="96">
        <v>5</v>
      </c>
      <c r="H1904" s="94">
        <v>0</v>
      </c>
      <c r="I1904" s="91">
        <v>0</v>
      </c>
      <c r="J1904" s="71">
        <v>43101</v>
      </c>
      <c r="K1904" s="71">
        <v>43159</v>
      </c>
      <c r="L1904" s="69" t="s">
        <v>119</v>
      </c>
      <c r="M1904" s="69" t="s">
        <v>109</v>
      </c>
      <c r="N1904" s="95">
        <v>43205</v>
      </c>
      <c r="O1904" s="67"/>
      <c r="P1904" s="67" t="s">
        <v>95</v>
      </c>
      <c r="Q1904" s="67" t="s">
        <v>120</v>
      </c>
      <c r="R1904" s="92" t="s">
        <v>69</v>
      </c>
      <c r="S1904" s="92" t="s">
        <v>123</v>
      </c>
      <c r="T1904" s="67"/>
      <c r="U1904" s="67"/>
      <c r="V1904" s="95">
        <v>43159</v>
      </c>
      <c r="W1904" s="92">
        <v>2030478</v>
      </c>
      <c r="X1904" s="90"/>
      <c r="Y1904" s="123"/>
      <c r="Z1904" s="30">
        <f t="shared" si="58"/>
        <v>6772.6006943194379</v>
      </c>
      <c r="AA1904" s="30">
        <f t="shared" si="59"/>
        <v>2116.4377169748245</v>
      </c>
      <c r="AB1904" t="s">
        <v>456</v>
      </c>
    </row>
    <row r="1905" spans="1:28">
      <c r="A1905" s="67" t="s">
        <v>122</v>
      </c>
      <c r="B1905" s="91">
        <v>1314928</v>
      </c>
      <c r="C1905" s="92">
        <v>4615486646</v>
      </c>
      <c r="D1905" s="93">
        <v>19200</v>
      </c>
      <c r="E1905" s="79"/>
      <c r="F1905" s="91">
        <v>16</v>
      </c>
      <c r="G1905" s="96">
        <v>5</v>
      </c>
      <c r="H1905" s="94">
        <v>0</v>
      </c>
      <c r="I1905" s="91">
        <v>0</v>
      </c>
      <c r="J1905" s="71">
        <v>43101</v>
      </c>
      <c r="K1905" s="71">
        <v>43159</v>
      </c>
      <c r="L1905" s="69" t="s">
        <v>119</v>
      </c>
      <c r="M1905" s="69" t="s">
        <v>109</v>
      </c>
      <c r="N1905" s="95">
        <v>43202</v>
      </c>
      <c r="O1905" s="67"/>
      <c r="P1905" s="67" t="s">
        <v>95</v>
      </c>
      <c r="Q1905" s="67" t="s">
        <v>120</v>
      </c>
      <c r="R1905" s="92" t="s">
        <v>69</v>
      </c>
      <c r="S1905" s="92" t="s">
        <v>123</v>
      </c>
      <c r="T1905" s="67"/>
      <c r="U1905" s="67"/>
      <c r="V1905" s="95">
        <v>43159</v>
      </c>
      <c r="W1905" s="92">
        <v>2030478</v>
      </c>
      <c r="X1905" s="90" t="s">
        <v>155</v>
      </c>
      <c r="Y1905" s="123"/>
      <c r="Z1905" s="30">
        <f t="shared" si="58"/>
        <v>6772.6006943194379</v>
      </c>
      <c r="AA1905" s="30">
        <f t="shared" si="59"/>
        <v>2116.4377169748245</v>
      </c>
      <c r="AB1905" t="s">
        <v>456</v>
      </c>
    </row>
    <row r="1906" spans="1:28">
      <c r="A1906" s="67" t="s">
        <v>122</v>
      </c>
      <c r="B1906" s="91">
        <v>1314931</v>
      </c>
      <c r="C1906" s="92">
        <v>4615486646</v>
      </c>
      <c r="D1906" s="93">
        <v>19200</v>
      </c>
      <c r="E1906" s="79"/>
      <c r="F1906" s="91">
        <v>16</v>
      </c>
      <c r="G1906" s="96">
        <v>5</v>
      </c>
      <c r="H1906" s="94">
        <v>0</v>
      </c>
      <c r="I1906" s="91">
        <v>0</v>
      </c>
      <c r="J1906" s="71">
        <v>43101</v>
      </c>
      <c r="K1906" s="71">
        <v>43159</v>
      </c>
      <c r="L1906" s="69" t="s">
        <v>119</v>
      </c>
      <c r="M1906" s="69" t="s">
        <v>109</v>
      </c>
      <c r="N1906" s="95">
        <v>43187</v>
      </c>
      <c r="O1906" s="67"/>
      <c r="P1906" s="67" t="s">
        <v>95</v>
      </c>
      <c r="Q1906" s="67" t="s">
        <v>120</v>
      </c>
      <c r="R1906" s="92" t="s">
        <v>69</v>
      </c>
      <c r="S1906" s="92" t="s">
        <v>123</v>
      </c>
      <c r="T1906" s="67"/>
      <c r="U1906" s="67"/>
      <c r="V1906" s="95">
        <v>43159</v>
      </c>
      <c r="W1906" s="92">
        <v>2030478</v>
      </c>
      <c r="X1906" s="90"/>
      <c r="Y1906" s="123"/>
      <c r="Z1906" s="30">
        <f t="shared" si="58"/>
        <v>6772.6006943194379</v>
      </c>
      <c r="AA1906" s="30">
        <f t="shared" si="59"/>
        <v>2116.4377169748245</v>
      </c>
      <c r="AB1906" t="s">
        <v>456</v>
      </c>
    </row>
    <row r="1907" spans="1:28">
      <c r="A1907" s="67" t="s">
        <v>122</v>
      </c>
      <c r="B1907" s="91">
        <v>1314932</v>
      </c>
      <c r="C1907" s="92">
        <v>4615486646</v>
      </c>
      <c r="D1907" s="93">
        <v>19200</v>
      </c>
      <c r="E1907" s="79"/>
      <c r="F1907" s="91">
        <v>16</v>
      </c>
      <c r="G1907" s="96">
        <v>5</v>
      </c>
      <c r="H1907" s="94">
        <v>0</v>
      </c>
      <c r="I1907" s="91">
        <v>0</v>
      </c>
      <c r="J1907" s="71">
        <v>43101</v>
      </c>
      <c r="K1907" s="71">
        <v>43159</v>
      </c>
      <c r="L1907" s="69" t="s">
        <v>119</v>
      </c>
      <c r="M1907" s="69" t="s">
        <v>109</v>
      </c>
      <c r="N1907" s="95">
        <v>43199</v>
      </c>
      <c r="O1907" s="67"/>
      <c r="P1907" s="67" t="s">
        <v>95</v>
      </c>
      <c r="Q1907" s="67" t="s">
        <v>120</v>
      </c>
      <c r="R1907" s="92" t="s">
        <v>69</v>
      </c>
      <c r="S1907" s="92" t="s">
        <v>123</v>
      </c>
      <c r="T1907" s="67"/>
      <c r="U1907" s="67"/>
      <c r="V1907" s="95">
        <v>43159</v>
      </c>
      <c r="W1907" s="92">
        <v>2030478</v>
      </c>
      <c r="X1907" s="90"/>
      <c r="Y1907" s="123"/>
      <c r="Z1907" s="30">
        <f t="shared" si="58"/>
        <v>6772.6006943194379</v>
      </c>
      <c r="AA1907" s="30">
        <f t="shared" si="59"/>
        <v>2116.4377169748245</v>
      </c>
      <c r="AB1907" t="s">
        <v>456</v>
      </c>
    </row>
    <row r="1908" spans="1:28">
      <c r="A1908" s="67" t="s">
        <v>122</v>
      </c>
      <c r="B1908" s="91">
        <v>1314929</v>
      </c>
      <c r="C1908" s="92">
        <v>4615486646</v>
      </c>
      <c r="D1908" s="93">
        <v>19200</v>
      </c>
      <c r="E1908" s="79"/>
      <c r="F1908" s="91">
        <v>16</v>
      </c>
      <c r="G1908" s="96">
        <v>5</v>
      </c>
      <c r="H1908" s="94">
        <v>0</v>
      </c>
      <c r="I1908" s="91">
        <v>0</v>
      </c>
      <c r="J1908" s="71">
        <v>43101</v>
      </c>
      <c r="K1908" s="71">
        <v>43159</v>
      </c>
      <c r="L1908" s="69" t="s">
        <v>119</v>
      </c>
      <c r="M1908" s="69" t="s">
        <v>109</v>
      </c>
      <c r="N1908" s="95">
        <v>43192</v>
      </c>
      <c r="O1908" s="67"/>
      <c r="P1908" s="67" t="s">
        <v>95</v>
      </c>
      <c r="Q1908" s="67" t="s">
        <v>120</v>
      </c>
      <c r="R1908" s="92" t="s">
        <v>69</v>
      </c>
      <c r="S1908" s="92" t="s">
        <v>123</v>
      </c>
      <c r="T1908" s="67"/>
      <c r="U1908" s="67"/>
      <c r="V1908" s="95">
        <v>43159</v>
      </c>
      <c r="W1908" s="92">
        <v>2030478</v>
      </c>
      <c r="X1908" s="90"/>
      <c r="Y1908" s="123"/>
      <c r="Z1908" s="30">
        <f t="shared" si="58"/>
        <v>6772.6006943194379</v>
      </c>
      <c r="AA1908" s="30">
        <f t="shared" si="59"/>
        <v>2116.4377169748245</v>
      </c>
      <c r="AB1908" t="s">
        <v>456</v>
      </c>
    </row>
    <row r="1909" spans="1:28">
      <c r="A1909" s="67" t="s">
        <v>122</v>
      </c>
      <c r="B1909" s="91">
        <v>1314930</v>
      </c>
      <c r="C1909" s="92">
        <v>4615486646</v>
      </c>
      <c r="D1909" s="93">
        <v>19200</v>
      </c>
      <c r="E1909" s="79"/>
      <c r="F1909" s="91">
        <v>16</v>
      </c>
      <c r="G1909" s="96">
        <v>5</v>
      </c>
      <c r="H1909" s="94">
        <v>0</v>
      </c>
      <c r="I1909" s="91">
        <v>0</v>
      </c>
      <c r="J1909" s="71">
        <v>43101</v>
      </c>
      <c r="K1909" s="71">
        <v>43159</v>
      </c>
      <c r="L1909" s="69" t="s">
        <v>119</v>
      </c>
      <c r="M1909" s="69" t="s">
        <v>109</v>
      </c>
      <c r="N1909" s="95">
        <v>43185</v>
      </c>
      <c r="O1909" s="67"/>
      <c r="P1909" s="67" t="s">
        <v>95</v>
      </c>
      <c r="Q1909" s="67" t="s">
        <v>120</v>
      </c>
      <c r="R1909" s="92" t="s">
        <v>69</v>
      </c>
      <c r="S1909" s="92" t="s">
        <v>123</v>
      </c>
      <c r="T1909" s="67"/>
      <c r="U1909" s="67"/>
      <c r="V1909" s="95">
        <v>43159</v>
      </c>
      <c r="W1909" s="92">
        <v>2030478</v>
      </c>
      <c r="X1909" s="90"/>
      <c r="Y1909" s="123"/>
      <c r="Z1909" s="30">
        <f t="shared" si="58"/>
        <v>6772.6006943194379</v>
      </c>
      <c r="AA1909" s="30">
        <f t="shared" si="59"/>
        <v>2116.4377169748245</v>
      </c>
      <c r="AB1909" t="s">
        <v>456</v>
      </c>
    </row>
    <row r="1910" spans="1:28">
      <c r="A1910" s="67" t="s">
        <v>122</v>
      </c>
      <c r="B1910" s="91">
        <v>1321078</v>
      </c>
      <c r="C1910" s="92">
        <v>4615472550</v>
      </c>
      <c r="D1910" s="93">
        <v>19200</v>
      </c>
      <c r="E1910" s="79"/>
      <c r="F1910" s="91">
        <v>16</v>
      </c>
      <c r="G1910" s="96">
        <v>5</v>
      </c>
      <c r="H1910" s="94">
        <v>0</v>
      </c>
      <c r="I1910" s="91">
        <v>0</v>
      </c>
      <c r="J1910" s="71">
        <v>43144</v>
      </c>
      <c r="K1910" s="71">
        <v>43159</v>
      </c>
      <c r="L1910" s="69" t="s">
        <v>119</v>
      </c>
      <c r="M1910" s="69" t="s">
        <v>299</v>
      </c>
      <c r="N1910" s="95"/>
      <c r="O1910" s="67"/>
      <c r="P1910" s="67" t="s">
        <v>95</v>
      </c>
      <c r="Q1910" s="67" t="s">
        <v>120</v>
      </c>
      <c r="R1910" s="92" t="s">
        <v>69</v>
      </c>
      <c r="S1910" s="92" t="s">
        <v>123</v>
      </c>
      <c r="T1910" s="67"/>
      <c r="U1910" s="67"/>
      <c r="V1910" s="95">
        <v>43159</v>
      </c>
      <c r="W1910" s="92">
        <v>2030489</v>
      </c>
      <c r="X1910" s="90" t="s">
        <v>323</v>
      </c>
      <c r="Y1910" s="123"/>
      <c r="Z1910" s="30">
        <f t="shared" si="58"/>
        <v>6772.6006943194379</v>
      </c>
      <c r="AA1910" s="30">
        <f t="shared" si="59"/>
        <v>2116.4377169748245</v>
      </c>
      <c r="AB1910" t="s">
        <v>456</v>
      </c>
    </row>
    <row r="1911" spans="1:28">
      <c r="A1911" s="67" t="s">
        <v>122</v>
      </c>
      <c r="B1911" s="91">
        <v>1321079</v>
      </c>
      <c r="C1911" s="92">
        <v>4615472550</v>
      </c>
      <c r="D1911" s="93">
        <v>19200</v>
      </c>
      <c r="E1911" s="79"/>
      <c r="F1911" s="91">
        <v>16</v>
      </c>
      <c r="G1911" s="96">
        <v>5</v>
      </c>
      <c r="H1911" s="94">
        <v>0</v>
      </c>
      <c r="I1911" s="91">
        <v>0</v>
      </c>
      <c r="J1911" s="71">
        <v>43144</v>
      </c>
      <c r="K1911" s="71">
        <v>43159</v>
      </c>
      <c r="L1911" s="69" t="s">
        <v>119</v>
      </c>
      <c r="M1911" s="69" t="s">
        <v>299</v>
      </c>
      <c r="N1911" s="95"/>
      <c r="O1911" s="67"/>
      <c r="P1911" s="67" t="s">
        <v>95</v>
      </c>
      <c r="Q1911" s="67" t="s">
        <v>120</v>
      </c>
      <c r="R1911" s="92" t="s">
        <v>69</v>
      </c>
      <c r="S1911" s="92" t="s">
        <v>123</v>
      </c>
      <c r="T1911" s="67"/>
      <c r="U1911" s="67"/>
      <c r="V1911" s="95">
        <v>43159</v>
      </c>
      <c r="W1911" s="92">
        <v>2030489</v>
      </c>
      <c r="X1911" s="90"/>
      <c r="Y1911" s="123"/>
      <c r="Z1911" s="30">
        <f t="shared" si="58"/>
        <v>6772.6006943194379</v>
      </c>
      <c r="AA1911" s="30">
        <f t="shared" si="59"/>
        <v>2116.4377169748245</v>
      </c>
      <c r="AB1911" t="s">
        <v>456</v>
      </c>
    </row>
    <row r="1912" spans="1:28">
      <c r="A1912" s="67" t="s">
        <v>122</v>
      </c>
      <c r="B1912" s="91">
        <v>1321077</v>
      </c>
      <c r="C1912" s="92">
        <v>4615472550</v>
      </c>
      <c r="D1912" s="93">
        <v>19200</v>
      </c>
      <c r="E1912" s="79"/>
      <c r="F1912" s="91">
        <v>16</v>
      </c>
      <c r="G1912" s="96">
        <v>5</v>
      </c>
      <c r="H1912" s="94">
        <v>0</v>
      </c>
      <c r="I1912" s="91">
        <v>0</v>
      </c>
      <c r="J1912" s="71">
        <v>43144</v>
      </c>
      <c r="K1912" s="71">
        <v>43159</v>
      </c>
      <c r="L1912" s="69" t="s">
        <v>119</v>
      </c>
      <c r="M1912" s="69" t="s">
        <v>299</v>
      </c>
      <c r="N1912" s="95"/>
      <c r="O1912" s="67"/>
      <c r="P1912" s="67" t="s">
        <v>95</v>
      </c>
      <c r="Q1912" s="67" t="s">
        <v>120</v>
      </c>
      <c r="R1912" s="92" t="s">
        <v>69</v>
      </c>
      <c r="S1912" s="92" t="s">
        <v>123</v>
      </c>
      <c r="T1912" s="67"/>
      <c r="U1912" s="67"/>
      <c r="V1912" s="95">
        <v>43159</v>
      </c>
      <c r="W1912" s="92">
        <v>2030489</v>
      </c>
      <c r="X1912" s="90"/>
      <c r="Y1912" s="123"/>
      <c r="Z1912" s="30">
        <f t="shared" si="58"/>
        <v>6772.6006943194379</v>
      </c>
      <c r="AA1912" s="30">
        <f t="shared" si="59"/>
        <v>2116.4377169748245</v>
      </c>
      <c r="AB1912" t="s">
        <v>456</v>
      </c>
    </row>
    <row r="1913" spans="1:28">
      <c r="A1913" s="67" t="s">
        <v>113</v>
      </c>
      <c r="B1913" s="91">
        <v>1318714</v>
      </c>
      <c r="C1913" s="92">
        <v>4615456522</v>
      </c>
      <c r="D1913" s="93">
        <v>20709</v>
      </c>
      <c r="E1913" s="79"/>
      <c r="F1913" s="91">
        <v>16</v>
      </c>
      <c r="G1913" s="96">
        <v>5</v>
      </c>
      <c r="H1913" s="94">
        <v>0</v>
      </c>
      <c r="I1913" s="91">
        <v>0</v>
      </c>
      <c r="J1913" s="71">
        <v>43114</v>
      </c>
      <c r="K1913" s="71">
        <v>43159</v>
      </c>
      <c r="L1913" s="69" t="s">
        <v>108</v>
      </c>
      <c r="M1913" s="69" t="s">
        <v>109</v>
      </c>
      <c r="N1913" s="95">
        <v>43163</v>
      </c>
      <c r="O1913" s="67"/>
      <c r="P1913" s="67" t="s">
        <v>95</v>
      </c>
      <c r="Q1913" s="67" t="s">
        <v>110</v>
      </c>
      <c r="R1913" s="92" t="s">
        <v>69</v>
      </c>
      <c r="S1913" s="92" t="s">
        <v>115</v>
      </c>
      <c r="T1913" s="67"/>
      <c r="U1913" s="67"/>
      <c r="V1913" s="95">
        <v>43159</v>
      </c>
      <c r="W1913" s="92">
        <v>17070148</v>
      </c>
      <c r="X1913" s="90" t="s">
        <v>321</v>
      </c>
      <c r="Y1913" s="123"/>
      <c r="Z1913" s="30">
        <f t="shared" si="58"/>
        <v>7304.8847801386073</v>
      </c>
      <c r="AA1913" s="30">
        <f t="shared" si="59"/>
        <v>2282.7764937933152</v>
      </c>
      <c r="AB1913" t="s">
        <v>458</v>
      </c>
    </row>
    <row r="1914" spans="1:28">
      <c r="A1914" s="67" t="s">
        <v>113</v>
      </c>
      <c r="B1914" s="91">
        <v>1318711</v>
      </c>
      <c r="C1914" s="92">
        <v>4615456522</v>
      </c>
      <c r="D1914" s="93">
        <v>20709</v>
      </c>
      <c r="E1914" s="79"/>
      <c r="F1914" s="91">
        <v>16</v>
      </c>
      <c r="G1914" s="96">
        <v>5</v>
      </c>
      <c r="H1914" s="94">
        <v>0</v>
      </c>
      <c r="I1914" s="91">
        <v>0</v>
      </c>
      <c r="J1914" s="71">
        <v>43114</v>
      </c>
      <c r="K1914" s="71">
        <v>43159</v>
      </c>
      <c r="L1914" s="69" t="s">
        <v>108</v>
      </c>
      <c r="M1914" s="69" t="s">
        <v>109</v>
      </c>
      <c r="N1914" s="95">
        <v>43170</v>
      </c>
      <c r="O1914" s="67"/>
      <c r="P1914" s="67" t="s">
        <v>95</v>
      </c>
      <c r="Q1914" s="67" t="s">
        <v>110</v>
      </c>
      <c r="R1914" s="92" t="s">
        <v>69</v>
      </c>
      <c r="S1914" s="92" t="s">
        <v>115</v>
      </c>
      <c r="T1914" s="67"/>
      <c r="U1914" s="67"/>
      <c r="V1914" s="95">
        <v>43159</v>
      </c>
      <c r="W1914" s="92">
        <v>17070148</v>
      </c>
      <c r="X1914" s="90" t="s">
        <v>321</v>
      </c>
      <c r="Y1914" s="123"/>
      <c r="Z1914" s="30">
        <f t="shared" si="58"/>
        <v>7304.8847801386073</v>
      </c>
      <c r="AA1914" s="30">
        <f t="shared" si="59"/>
        <v>2282.7764937933152</v>
      </c>
      <c r="AB1914" t="s">
        <v>458</v>
      </c>
    </row>
    <row r="1915" spans="1:28">
      <c r="A1915" s="67" t="s">
        <v>113</v>
      </c>
      <c r="B1915" s="91">
        <v>1318719</v>
      </c>
      <c r="C1915" s="92">
        <v>4615456522</v>
      </c>
      <c r="D1915" s="93">
        <v>20709</v>
      </c>
      <c r="E1915" s="79"/>
      <c r="F1915" s="91">
        <v>16</v>
      </c>
      <c r="G1915" s="96">
        <v>5</v>
      </c>
      <c r="H1915" s="94">
        <v>0</v>
      </c>
      <c r="I1915" s="91">
        <v>0</v>
      </c>
      <c r="J1915" s="71">
        <v>43114</v>
      </c>
      <c r="K1915" s="71">
        <v>43159</v>
      </c>
      <c r="L1915" s="69" t="s">
        <v>108</v>
      </c>
      <c r="M1915" s="69" t="s">
        <v>109</v>
      </c>
      <c r="N1915" s="95">
        <v>43174</v>
      </c>
      <c r="O1915" s="67"/>
      <c r="P1915" s="67" t="s">
        <v>95</v>
      </c>
      <c r="Q1915" s="67" t="s">
        <v>110</v>
      </c>
      <c r="R1915" s="92" t="s">
        <v>69</v>
      </c>
      <c r="S1915" s="92" t="s">
        <v>115</v>
      </c>
      <c r="T1915" s="67"/>
      <c r="U1915" s="67"/>
      <c r="V1915" s="95">
        <v>43159</v>
      </c>
      <c r="W1915" s="92">
        <v>17070148</v>
      </c>
      <c r="X1915" s="90" t="s">
        <v>321</v>
      </c>
      <c r="Y1915" s="123"/>
      <c r="Z1915" s="30">
        <f t="shared" si="58"/>
        <v>7304.8847801386073</v>
      </c>
      <c r="AA1915" s="30">
        <f t="shared" si="59"/>
        <v>2282.7764937933152</v>
      </c>
      <c r="AB1915" t="s">
        <v>458</v>
      </c>
    </row>
    <row r="1916" spans="1:28">
      <c r="A1916" s="67" t="s">
        <v>113</v>
      </c>
      <c r="B1916" s="91">
        <v>1318713</v>
      </c>
      <c r="C1916" s="92">
        <v>4615456522</v>
      </c>
      <c r="D1916" s="93">
        <v>20709</v>
      </c>
      <c r="E1916" s="79"/>
      <c r="F1916" s="91">
        <v>16</v>
      </c>
      <c r="G1916" s="96">
        <v>5</v>
      </c>
      <c r="H1916" s="94">
        <v>0</v>
      </c>
      <c r="I1916" s="91">
        <v>0</v>
      </c>
      <c r="J1916" s="71">
        <v>43114</v>
      </c>
      <c r="K1916" s="71">
        <v>43159</v>
      </c>
      <c r="L1916" s="69" t="s">
        <v>108</v>
      </c>
      <c r="M1916" s="69" t="s">
        <v>109</v>
      </c>
      <c r="N1916" s="95">
        <v>43177</v>
      </c>
      <c r="O1916" s="67"/>
      <c r="P1916" s="67" t="s">
        <v>95</v>
      </c>
      <c r="Q1916" s="67" t="s">
        <v>110</v>
      </c>
      <c r="R1916" s="92" t="s">
        <v>69</v>
      </c>
      <c r="S1916" s="92" t="s">
        <v>115</v>
      </c>
      <c r="T1916" s="67"/>
      <c r="U1916" s="67"/>
      <c r="V1916" s="95">
        <v>43159</v>
      </c>
      <c r="W1916" s="92">
        <v>17070148</v>
      </c>
      <c r="X1916" s="90" t="s">
        <v>321</v>
      </c>
      <c r="Y1916" s="123"/>
      <c r="Z1916" s="30">
        <f t="shared" si="58"/>
        <v>7304.8847801386073</v>
      </c>
      <c r="AA1916" s="30">
        <f t="shared" si="59"/>
        <v>2282.7764937933152</v>
      </c>
      <c r="AB1916" t="s">
        <v>458</v>
      </c>
    </row>
    <row r="1917" spans="1:28">
      <c r="A1917" s="67" t="s">
        <v>113</v>
      </c>
      <c r="B1917" s="91">
        <v>1318718</v>
      </c>
      <c r="C1917" s="92">
        <v>4615456522</v>
      </c>
      <c r="D1917" s="93">
        <v>20709</v>
      </c>
      <c r="E1917" s="79"/>
      <c r="F1917" s="91">
        <v>16</v>
      </c>
      <c r="G1917" s="96">
        <v>5</v>
      </c>
      <c r="H1917" s="94">
        <v>0</v>
      </c>
      <c r="I1917" s="91">
        <v>0</v>
      </c>
      <c r="J1917" s="71">
        <v>43114</v>
      </c>
      <c r="K1917" s="71">
        <v>43159</v>
      </c>
      <c r="L1917" s="69" t="s">
        <v>108</v>
      </c>
      <c r="M1917" s="69" t="s">
        <v>109</v>
      </c>
      <c r="N1917" s="95">
        <v>43177</v>
      </c>
      <c r="O1917" s="67"/>
      <c r="P1917" s="67" t="s">
        <v>95</v>
      </c>
      <c r="Q1917" s="67" t="s">
        <v>110</v>
      </c>
      <c r="R1917" s="92" t="s">
        <v>69</v>
      </c>
      <c r="S1917" s="92" t="s">
        <v>115</v>
      </c>
      <c r="T1917" s="67"/>
      <c r="U1917" s="67"/>
      <c r="V1917" s="95">
        <v>43159</v>
      </c>
      <c r="W1917" s="92">
        <v>17070148</v>
      </c>
      <c r="X1917" s="90" t="s">
        <v>321</v>
      </c>
      <c r="Y1917" s="123"/>
      <c r="Z1917" s="30">
        <f t="shared" si="58"/>
        <v>7304.8847801386073</v>
      </c>
      <c r="AA1917" s="30">
        <f t="shared" si="59"/>
        <v>2282.7764937933152</v>
      </c>
      <c r="AB1917" t="s">
        <v>458</v>
      </c>
    </row>
    <row r="1918" spans="1:28">
      <c r="A1918" s="67" t="s">
        <v>113</v>
      </c>
      <c r="B1918" s="91">
        <v>1318716</v>
      </c>
      <c r="C1918" s="92">
        <v>4615456522</v>
      </c>
      <c r="D1918" s="93">
        <v>20709</v>
      </c>
      <c r="E1918" s="79"/>
      <c r="F1918" s="91">
        <v>16</v>
      </c>
      <c r="G1918" s="96">
        <v>5</v>
      </c>
      <c r="H1918" s="94">
        <v>0</v>
      </c>
      <c r="I1918" s="91">
        <v>0</v>
      </c>
      <c r="J1918" s="71">
        <v>43114</v>
      </c>
      <c r="K1918" s="71">
        <v>43159</v>
      </c>
      <c r="L1918" s="69" t="s">
        <v>108</v>
      </c>
      <c r="M1918" s="69" t="s">
        <v>109</v>
      </c>
      <c r="N1918" s="95">
        <v>43179</v>
      </c>
      <c r="O1918" s="67"/>
      <c r="P1918" s="67" t="s">
        <v>95</v>
      </c>
      <c r="Q1918" s="67" t="s">
        <v>110</v>
      </c>
      <c r="R1918" s="92" t="s">
        <v>69</v>
      </c>
      <c r="S1918" s="92" t="s">
        <v>115</v>
      </c>
      <c r="T1918" s="67"/>
      <c r="U1918" s="67"/>
      <c r="V1918" s="95">
        <v>43159</v>
      </c>
      <c r="W1918" s="92">
        <v>17070148</v>
      </c>
      <c r="X1918" s="90" t="s">
        <v>321</v>
      </c>
      <c r="Y1918" s="123"/>
      <c r="Z1918" s="30">
        <f t="shared" si="58"/>
        <v>7304.8847801386073</v>
      </c>
      <c r="AA1918" s="30">
        <f t="shared" si="59"/>
        <v>2282.7764937933152</v>
      </c>
      <c r="AB1918" t="s">
        <v>458</v>
      </c>
    </row>
    <row r="1919" spans="1:28">
      <c r="A1919" s="67" t="s">
        <v>113</v>
      </c>
      <c r="B1919" s="91">
        <v>1318717</v>
      </c>
      <c r="C1919" s="92">
        <v>4615456522</v>
      </c>
      <c r="D1919" s="93">
        <v>20709</v>
      </c>
      <c r="E1919" s="79"/>
      <c r="F1919" s="91">
        <v>16</v>
      </c>
      <c r="G1919" s="96">
        <v>5</v>
      </c>
      <c r="H1919" s="94">
        <v>0</v>
      </c>
      <c r="I1919" s="91">
        <v>0</v>
      </c>
      <c r="J1919" s="71">
        <v>43114</v>
      </c>
      <c r="K1919" s="71">
        <v>43159</v>
      </c>
      <c r="L1919" s="69" t="s">
        <v>108</v>
      </c>
      <c r="M1919" s="69" t="s">
        <v>109</v>
      </c>
      <c r="N1919" s="95">
        <v>43179</v>
      </c>
      <c r="O1919" s="67"/>
      <c r="P1919" s="67" t="s">
        <v>95</v>
      </c>
      <c r="Q1919" s="67" t="s">
        <v>110</v>
      </c>
      <c r="R1919" s="92" t="s">
        <v>69</v>
      </c>
      <c r="S1919" s="92" t="s">
        <v>115</v>
      </c>
      <c r="T1919" s="67"/>
      <c r="U1919" s="67"/>
      <c r="V1919" s="95">
        <v>43159</v>
      </c>
      <c r="W1919" s="92">
        <v>17070148</v>
      </c>
      <c r="X1919" s="90" t="s">
        <v>321</v>
      </c>
      <c r="Y1919" s="123"/>
      <c r="Z1919" s="30">
        <f t="shared" si="58"/>
        <v>7304.8847801386073</v>
      </c>
      <c r="AA1919" s="30">
        <f t="shared" si="59"/>
        <v>2282.7764937933152</v>
      </c>
      <c r="AB1919" t="s">
        <v>458</v>
      </c>
    </row>
    <row r="1920" spans="1:28">
      <c r="A1920" s="67" t="s">
        <v>113</v>
      </c>
      <c r="B1920" s="91">
        <v>1318712</v>
      </c>
      <c r="C1920" s="92">
        <v>4615456522</v>
      </c>
      <c r="D1920" s="93">
        <v>20709</v>
      </c>
      <c r="E1920" s="79"/>
      <c r="F1920" s="91">
        <v>16</v>
      </c>
      <c r="G1920" s="96">
        <v>5</v>
      </c>
      <c r="H1920" s="94">
        <v>0</v>
      </c>
      <c r="I1920" s="91">
        <v>0</v>
      </c>
      <c r="J1920" s="71">
        <v>43114</v>
      </c>
      <c r="K1920" s="71">
        <v>43159</v>
      </c>
      <c r="L1920" s="69" t="s">
        <v>108</v>
      </c>
      <c r="M1920" s="69" t="s">
        <v>109</v>
      </c>
      <c r="N1920" s="95">
        <v>43181</v>
      </c>
      <c r="O1920" s="67"/>
      <c r="P1920" s="67" t="s">
        <v>95</v>
      </c>
      <c r="Q1920" s="67" t="s">
        <v>110</v>
      </c>
      <c r="R1920" s="92" t="s">
        <v>69</v>
      </c>
      <c r="S1920" s="92" t="s">
        <v>115</v>
      </c>
      <c r="T1920" s="67"/>
      <c r="U1920" s="67"/>
      <c r="V1920" s="95">
        <v>43159</v>
      </c>
      <c r="W1920" s="92">
        <v>17070148</v>
      </c>
      <c r="X1920" s="90" t="s">
        <v>321</v>
      </c>
      <c r="Y1920" s="123"/>
      <c r="Z1920" s="30">
        <f t="shared" si="58"/>
        <v>7304.8847801386073</v>
      </c>
      <c r="AA1920" s="30">
        <f t="shared" si="59"/>
        <v>2282.7764937933152</v>
      </c>
      <c r="AB1920" t="s">
        <v>458</v>
      </c>
    </row>
    <row r="1921" spans="1:28">
      <c r="A1921" s="67" t="s">
        <v>113</v>
      </c>
      <c r="B1921" s="91">
        <v>1318720</v>
      </c>
      <c r="C1921" s="92">
        <v>4615456522</v>
      </c>
      <c r="D1921" s="93">
        <v>20709</v>
      </c>
      <c r="E1921" s="79"/>
      <c r="F1921" s="91">
        <v>16</v>
      </c>
      <c r="G1921" s="96">
        <v>5</v>
      </c>
      <c r="H1921" s="94">
        <v>0</v>
      </c>
      <c r="I1921" s="91">
        <v>0</v>
      </c>
      <c r="J1921" s="71">
        <v>43114</v>
      </c>
      <c r="K1921" s="71">
        <v>43159</v>
      </c>
      <c r="L1921" s="69" t="s">
        <v>108</v>
      </c>
      <c r="M1921" s="69" t="s">
        <v>109</v>
      </c>
      <c r="N1921" s="95">
        <v>43181</v>
      </c>
      <c r="O1921" s="67"/>
      <c r="P1921" s="67" t="s">
        <v>95</v>
      </c>
      <c r="Q1921" s="67" t="s">
        <v>110</v>
      </c>
      <c r="R1921" s="92" t="s">
        <v>69</v>
      </c>
      <c r="S1921" s="92" t="s">
        <v>115</v>
      </c>
      <c r="T1921" s="67"/>
      <c r="U1921" s="67"/>
      <c r="V1921" s="95">
        <v>43159</v>
      </c>
      <c r="W1921" s="92">
        <v>17070148</v>
      </c>
      <c r="X1921" s="90" t="s">
        <v>321</v>
      </c>
      <c r="Y1921" s="123"/>
      <c r="Z1921" s="30">
        <f t="shared" si="58"/>
        <v>7304.8847801386073</v>
      </c>
      <c r="AA1921" s="30">
        <f t="shared" si="59"/>
        <v>2282.7764937933152</v>
      </c>
      <c r="AB1921" t="s">
        <v>458</v>
      </c>
    </row>
    <row r="1922" spans="1:28">
      <c r="A1922" s="67" t="s">
        <v>113</v>
      </c>
      <c r="B1922" s="91">
        <v>1318715</v>
      </c>
      <c r="C1922" s="92">
        <v>4615456522</v>
      </c>
      <c r="D1922" s="93">
        <v>20709</v>
      </c>
      <c r="E1922" s="79"/>
      <c r="F1922" s="91">
        <v>16</v>
      </c>
      <c r="G1922" s="96">
        <v>5</v>
      </c>
      <c r="H1922" s="94">
        <v>0</v>
      </c>
      <c r="I1922" s="91">
        <v>0</v>
      </c>
      <c r="J1922" s="71">
        <v>43114</v>
      </c>
      <c r="K1922" s="71">
        <v>43159</v>
      </c>
      <c r="L1922" s="69" t="s">
        <v>108</v>
      </c>
      <c r="M1922" s="69" t="s">
        <v>109</v>
      </c>
      <c r="N1922" s="95">
        <v>43180</v>
      </c>
      <c r="O1922" s="67"/>
      <c r="P1922" s="67" t="s">
        <v>95</v>
      </c>
      <c r="Q1922" s="67" t="s">
        <v>110</v>
      </c>
      <c r="R1922" s="92" t="s">
        <v>69</v>
      </c>
      <c r="S1922" s="92" t="s">
        <v>115</v>
      </c>
      <c r="T1922" s="67"/>
      <c r="U1922" s="67"/>
      <c r="V1922" s="95">
        <v>43159</v>
      </c>
      <c r="W1922" s="92">
        <v>17070148</v>
      </c>
      <c r="X1922" s="90" t="s">
        <v>321</v>
      </c>
      <c r="Y1922" s="123"/>
      <c r="Z1922" s="30">
        <f t="shared" si="58"/>
        <v>7304.8847801386073</v>
      </c>
      <c r="AA1922" s="30">
        <f t="shared" si="59"/>
        <v>2282.7764937933152</v>
      </c>
      <c r="AB1922" t="s">
        <v>458</v>
      </c>
    </row>
    <row r="1923" spans="1:28">
      <c r="A1923" s="67" t="s">
        <v>113</v>
      </c>
      <c r="B1923" s="91">
        <v>1319170</v>
      </c>
      <c r="C1923" s="92">
        <v>4615484144</v>
      </c>
      <c r="D1923" s="93">
        <v>20709</v>
      </c>
      <c r="E1923" s="79"/>
      <c r="F1923" s="91">
        <v>16</v>
      </c>
      <c r="G1923" s="91">
        <v>0</v>
      </c>
      <c r="H1923" s="94">
        <v>0</v>
      </c>
      <c r="I1923" s="91">
        <v>0</v>
      </c>
      <c r="J1923" s="71">
        <v>43107</v>
      </c>
      <c r="K1923" s="71">
        <v>43159</v>
      </c>
      <c r="L1923" s="69" t="s">
        <v>132</v>
      </c>
      <c r="M1923" s="69" t="s">
        <v>109</v>
      </c>
      <c r="N1923" s="95">
        <v>43195</v>
      </c>
      <c r="O1923" s="67"/>
      <c r="P1923" s="67" t="s">
        <v>95</v>
      </c>
      <c r="Q1923" s="67" t="s">
        <v>110</v>
      </c>
      <c r="R1923" s="92" t="s">
        <v>69</v>
      </c>
      <c r="S1923" s="92" t="s">
        <v>115</v>
      </c>
      <c r="T1923" s="67"/>
      <c r="U1923" s="67"/>
      <c r="V1923" s="95">
        <v>43159</v>
      </c>
      <c r="W1923" s="92">
        <v>17070151</v>
      </c>
      <c r="X1923" s="90" t="s">
        <v>321</v>
      </c>
      <c r="Y1923" s="123"/>
      <c r="Z1923" s="30">
        <f t="shared" ref="Z1923:Z1986" si="60">CONVERT(D1923,"kg","lbm")*F1923/100</f>
        <v>7304.8847801386073</v>
      </c>
      <c r="AA1923" s="30">
        <f t="shared" ref="AA1923:AA1986" si="61">CONVERT(D1923,"kg","lbm")*G1923/100</f>
        <v>0</v>
      </c>
      <c r="AB1923" t="s">
        <v>458</v>
      </c>
    </row>
    <row r="1924" spans="1:28">
      <c r="A1924" s="67" t="s">
        <v>113</v>
      </c>
      <c r="B1924" s="91">
        <v>1319172</v>
      </c>
      <c r="C1924" s="92">
        <v>4615484144</v>
      </c>
      <c r="D1924" s="93">
        <v>20709</v>
      </c>
      <c r="E1924" s="79"/>
      <c r="F1924" s="91">
        <v>16</v>
      </c>
      <c r="G1924" s="91">
        <v>0</v>
      </c>
      <c r="H1924" s="94">
        <v>0</v>
      </c>
      <c r="I1924" s="91">
        <v>0</v>
      </c>
      <c r="J1924" s="71">
        <v>43107</v>
      </c>
      <c r="K1924" s="71">
        <v>43159</v>
      </c>
      <c r="L1924" s="69" t="s">
        <v>132</v>
      </c>
      <c r="M1924" s="69" t="s">
        <v>109</v>
      </c>
      <c r="N1924" s="95">
        <v>43195</v>
      </c>
      <c r="O1924" s="67"/>
      <c r="P1924" s="67" t="s">
        <v>95</v>
      </c>
      <c r="Q1924" s="67" t="s">
        <v>110</v>
      </c>
      <c r="R1924" s="92" t="s">
        <v>69</v>
      </c>
      <c r="S1924" s="92" t="s">
        <v>115</v>
      </c>
      <c r="T1924" s="67"/>
      <c r="U1924" s="67"/>
      <c r="V1924" s="95">
        <v>43159</v>
      </c>
      <c r="W1924" s="92">
        <v>17070151</v>
      </c>
      <c r="X1924" s="90" t="s">
        <v>321</v>
      </c>
      <c r="Y1924" s="123"/>
      <c r="Z1924" s="30">
        <f t="shared" si="60"/>
        <v>7304.8847801386073</v>
      </c>
      <c r="AA1924" s="30">
        <f t="shared" si="61"/>
        <v>0</v>
      </c>
      <c r="AB1924" t="s">
        <v>458</v>
      </c>
    </row>
    <row r="1925" spans="1:28">
      <c r="A1925" s="67" t="s">
        <v>113</v>
      </c>
      <c r="B1925" s="91"/>
      <c r="C1925" s="92">
        <v>4615484144</v>
      </c>
      <c r="D1925" s="93">
        <v>20709</v>
      </c>
      <c r="E1925" s="79"/>
      <c r="F1925" s="91">
        <v>16</v>
      </c>
      <c r="G1925" s="91">
        <v>0</v>
      </c>
      <c r="H1925" s="94">
        <v>0</v>
      </c>
      <c r="I1925" s="91">
        <v>0</v>
      </c>
      <c r="J1925" s="71"/>
      <c r="K1925" s="71">
        <v>43159</v>
      </c>
      <c r="L1925" s="69" t="s">
        <v>80</v>
      </c>
      <c r="M1925" s="69" t="s">
        <v>286</v>
      </c>
      <c r="N1925" s="95"/>
      <c r="O1925" s="67"/>
      <c r="P1925" s="67" t="s">
        <v>95</v>
      </c>
      <c r="Q1925" s="67" t="s">
        <v>110</v>
      </c>
      <c r="R1925" s="92" t="s">
        <v>69</v>
      </c>
      <c r="S1925" s="92" t="s">
        <v>115</v>
      </c>
      <c r="T1925" s="67"/>
      <c r="U1925" s="67"/>
      <c r="V1925" s="95">
        <v>43159</v>
      </c>
      <c r="W1925" s="92">
        <v>17070151</v>
      </c>
      <c r="X1925" s="90" t="s">
        <v>321</v>
      </c>
      <c r="Y1925" s="123"/>
      <c r="Z1925" s="30">
        <f t="shared" si="60"/>
        <v>7304.8847801386073</v>
      </c>
      <c r="AA1925" s="30">
        <f t="shared" si="61"/>
        <v>0</v>
      </c>
      <c r="AB1925" t="s">
        <v>457</v>
      </c>
    </row>
    <row r="1926" spans="1:28">
      <c r="A1926" s="67" t="s">
        <v>113</v>
      </c>
      <c r="B1926" s="91"/>
      <c r="C1926" s="92">
        <v>4615484144</v>
      </c>
      <c r="D1926" s="93">
        <v>20709</v>
      </c>
      <c r="E1926" s="79"/>
      <c r="F1926" s="91">
        <v>16</v>
      </c>
      <c r="G1926" s="91">
        <v>0</v>
      </c>
      <c r="H1926" s="94">
        <v>0</v>
      </c>
      <c r="I1926" s="91">
        <v>0</v>
      </c>
      <c r="J1926" s="71"/>
      <c r="K1926" s="71">
        <v>43159</v>
      </c>
      <c r="L1926" s="69" t="s">
        <v>80</v>
      </c>
      <c r="M1926" s="69" t="s">
        <v>286</v>
      </c>
      <c r="N1926" s="95"/>
      <c r="O1926" s="67"/>
      <c r="P1926" s="67" t="s">
        <v>95</v>
      </c>
      <c r="Q1926" s="67" t="s">
        <v>110</v>
      </c>
      <c r="R1926" s="92" t="s">
        <v>69</v>
      </c>
      <c r="S1926" s="92" t="s">
        <v>115</v>
      </c>
      <c r="T1926" s="67"/>
      <c r="U1926" s="67"/>
      <c r="V1926" s="95">
        <v>43159</v>
      </c>
      <c r="W1926" s="92">
        <v>17070151</v>
      </c>
      <c r="X1926" s="90" t="s">
        <v>321</v>
      </c>
      <c r="Y1926" s="123"/>
      <c r="Z1926" s="30">
        <f t="shared" si="60"/>
        <v>7304.8847801386073</v>
      </c>
      <c r="AA1926" s="30">
        <f t="shared" si="61"/>
        <v>0</v>
      </c>
      <c r="AB1926" t="s">
        <v>457</v>
      </c>
    </row>
    <row r="1927" spans="1:28">
      <c r="A1927" s="67" t="s">
        <v>113</v>
      </c>
      <c r="B1927" s="91"/>
      <c r="C1927" s="92">
        <v>4615484144</v>
      </c>
      <c r="D1927" s="93">
        <v>20709</v>
      </c>
      <c r="E1927" s="79"/>
      <c r="F1927" s="91">
        <v>16</v>
      </c>
      <c r="G1927" s="91">
        <v>0</v>
      </c>
      <c r="H1927" s="94">
        <v>0</v>
      </c>
      <c r="I1927" s="91">
        <v>0</v>
      </c>
      <c r="J1927" s="71"/>
      <c r="K1927" s="71">
        <v>43159</v>
      </c>
      <c r="L1927" s="69" t="s">
        <v>80</v>
      </c>
      <c r="M1927" s="69" t="s">
        <v>286</v>
      </c>
      <c r="N1927" s="95"/>
      <c r="O1927" s="67"/>
      <c r="P1927" s="67" t="s">
        <v>95</v>
      </c>
      <c r="Q1927" s="67" t="s">
        <v>110</v>
      </c>
      <c r="R1927" s="92" t="s">
        <v>69</v>
      </c>
      <c r="S1927" s="92" t="s">
        <v>115</v>
      </c>
      <c r="T1927" s="67"/>
      <c r="U1927" s="67"/>
      <c r="V1927" s="95">
        <v>43159</v>
      </c>
      <c r="W1927" s="92">
        <v>17070151</v>
      </c>
      <c r="X1927" s="90" t="s">
        <v>321</v>
      </c>
      <c r="Y1927" s="123"/>
      <c r="Z1927" s="30">
        <f t="shared" si="60"/>
        <v>7304.8847801386073</v>
      </c>
      <c r="AA1927" s="30">
        <f t="shared" si="61"/>
        <v>0</v>
      </c>
      <c r="AB1927" t="s">
        <v>457</v>
      </c>
    </row>
    <row r="1928" spans="1:28">
      <c r="A1928" s="67" t="s">
        <v>113</v>
      </c>
      <c r="B1928" s="91"/>
      <c r="C1928" s="92">
        <v>4615484144</v>
      </c>
      <c r="D1928" s="93">
        <v>20709</v>
      </c>
      <c r="E1928" s="79"/>
      <c r="F1928" s="91">
        <v>16</v>
      </c>
      <c r="G1928" s="91">
        <v>0</v>
      </c>
      <c r="H1928" s="94">
        <v>0</v>
      </c>
      <c r="I1928" s="91">
        <v>0</v>
      </c>
      <c r="J1928" s="71"/>
      <c r="K1928" s="71">
        <v>43159</v>
      </c>
      <c r="L1928" s="69" t="s">
        <v>80</v>
      </c>
      <c r="M1928" s="69" t="s">
        <v>286</v>
      </c>
      <c r="N1928" s="95"/>
      <c r="O1928" s="67"/>
      <c r="P1928" s="67" t="s">
        <v>95</v>
      </c>
      <c r="Q1928" s="67" t="s">
        <v>110</v>
      </c>
      <c r="R1928" s="92" t="s">
        <v>69</v>
      </c>
      <c r="S1928" s="92" t="s">
        <v>115</v>
      </c>
      <c r="T1928" s="67"/>
      <c r="U1928" s="67"/>
      <c r="V1928" s="95">
        <v>43159</v>
      </c>
      <c r="W1928" s="92">
        <v>17070151</v>
      </c>
      <c r="X1928" s="90" t="s">
        <v>321</v>
      </c>
      <c r="Y1928" s="123"/>
      <c r="Z1928" s="30">
        <f t="shared" si="60"/>
        <v>7304.8847801386073</v>
      </c>
      <c r="AA1928" s="30">
        <f t="shared" si="61"/>
        <v>0</v>
      </c>
      <c r="AB1928" t="s">
        <v>457</v>
      </c>
    </row>
    <row r="1929" spans="1:28">
      <c r="A1929" s="67" t="s">
        <v>113</v>
      </c>
      <c r="B1929" s="91"/>
      <c r="C1929" s="92">
        <v>4615484144</v>
      </c>
      <c r="D1929" s="93">
        <v>20709</v>
      </c>
      <c r="E1929" s="79"/>
      <c r="F1929" s="91">
        <v>16</v>
      </c>
      <c r="G1929" s="91">
        <v>0</v>
      </c>
      <c r="H1929" s="94">
        <v>0</v>
      </c>
      <c r="I1929" s="91">
        <v>0</v>
      </c>
      <c r="J1929" s="71"/>
      <c r="K1929" s="71">
        <v>43159</v>
      </c>
      <c r="L1929" s="69" t="s">
        <v>80</v>
      </c>
      <c r="M1929" s="69" t="s">
        <v>286</v>
      </c>
      <c r="N1929" s="95"/>
      <c r="O1929" s="67"/>
      <c r="P1929" s="67" t="s">
        <v>95</v>
      </c>
      <c r="Q1929" s="67" t="s">
        <v>110</v>
      </c>
      <c r="R1929" s="92" t="s">
        <v>69</v>
      </c>
      <c r="S1929" s="92" t="s">
        <v>115</v>
      </c>
      <c r="T1929" s="67"/>
      <c r="U1929" s="67"/>
      <c r="V1929" s="95">
        <v>43159</v>
      </c>
      <c r="W1929" s="92">
        <v>17070151</v>
      </c>
      <c r="X1929" s="90" t="s">
        <v>321</v>
      </c>
      <c r="Y1929" s="123"/>
      <c r="Z1929" s="30">
        <f t="shared" si="60"/>
        <v>7304.8847801386073</v>
      </c>
      <c r="AA1929" s="30">
        <f t="shared" si="61"/>
        <v>0</v>
      </c>
      <c r="AB1929" t="s">
        <v>457</v>
      </c>
    </row>
    <row r="1930" spans="1:28">
      <c r="A1930" s="67" t="s">
        <v>113</v>
      </c>
      <c r="B1930" s="91"/>
      <c r="C1930" s="92">
        <v>4615484144</v>
      </c>
      <c r="D1930" s="93">
        <v>20709</v>
      </c>
      <c r="E1930" s="79"/>
      <c r="F1930" s="91">
        <v>16</v>
      </c>
      <c r="G1930" s="91">
        <v>0</v>
      </c>
      <c r="H1930" s="94">
        <v>0</v>
      </c>
      <c r="I1930" s="91">
        <v>0</v>
      </c>
      <c r="J1930" s="71"/>
      <c r="K1930" s="71">
        <v>43159</v>
      </c>
      <c r="L1930" s="69" t="s">
        <v>80</v>
      </c>
      <c r="M1930" s="69" t="s">
        <v>286</v>
      </c>
      <c r="N1930" s="95"/>
      <c r="O1930" s="67"/>
      <c r="P1930" s="67" t="s">
        <v>95</v>
      </c>
      <c r="Q1930" s="67" t="s">
        <v>110</v>
      </c>
      <c r="R1930" s="92" t="s">
        <v>69</v>
      </c>
      <c r="S1930" s="92" t="s">
        <v>115</v>
      </c>
      <c r="T1930" s="67"/>
      <c r="U1930" s="67"/>
      <c r="V1930" s="95">
        <v>43159</v>
      </c>
      <c r="W1930" s="92">
        <v>17070151</v>
      </c>
      <c r="X1930" s="90" t="s">
        <v>321</v>
      </c>
      <c r="Y1930" s="123"/>
      <c r="Z1930" s="30">
        <f t="shared" si="60"/>
        <v>7304.8847801386073</v>
      </c>
      <c r="AA1930" s="30">
        <f t="shared" si="61"/>
        <v>0</v>
      </c>
      <c r="AB1930" t="s">
        <v>457</v>
      </c>
    </row>
    <row r="1931" spans="1:28">
      <c r="A1931" s="67" t="s">
        <v>113</v>
      </c>
      <c r="B1931" s="91"/>
      <c r="C1931" s="92">
        <v>4615484144</v>
      </c>
      <c r="D1931" s="93">
        <v>20709</v>
      </c>
      <c r="E1931" s="79"/>
      <c r="F1931" s="91">
        <v>16</v>
      </c>
      <c r="G1931" s="91">
        <v>0</v>
      </c>
      <c r="H1931" s="94">
        <v>0</v>
      </c>
      <c r="I1931" s="91">
        <v>0</v>
      </c>
      <c r="J1931" s="71"/>
      <c r="K1931" s="71">
        <v>43159</v>
      </c>
      <c r="L1931" s="69" t="s">
        <v>80</v>
      </c>
      <c r="M1931" s="69" t="s">
        <v>286</v>
      </c>
      <c r="N1931" s="95"/>
      <c r="O1931" s="67"/>
      <c r="P1931" s="67" t="s">
        <v>95</v>
      </c>
      <c r="Q1931" s="67" t="s">
        <v>110</v>
      </c>
      <c r="R1931" s="92" t="s">
        <v>69</v>
      </c>
      <c r="S1931" s="92" t="s">
        <v>115</v>
      </c>
      <c r="T1931" s="67"/>
      <c r="U1931" s="67"/>
      <c r="V1931" s="95">
        <v>43159</v>
      </c>
      <c r="W1931" s="92">
        <v>17070151</v>
      </c>
      <c r="X1931" s="90" t="s">
        <v>321</v>
      </c>
      <c r="Y1931" s="123"/>
      <c r="Z1931" s="30">
        <f t="shared" si="60"/>
        <v>7304.8847801386073</v>
      </c>
      <c r="AA1931" s="30">
        <f t="shared" si="61"/>
        <v>0</v>
      </c>
      <c r="AB1931" t="s">
        <v>457</v>
      </c>
    </row>
    <row r="1932" spans="1:28">
      <c r="A1932" s="67" t="s">
        <v>113</v>
      </c>
      <c r="B1932" s="91"/>
      <c r="C1932" s="92">
        <v>4615484144</v>
      </c>
      <c r="D1932" s="93">
        <v>20709</v>
      </c>
      <c r="E1932" s="79"/>
      <c r="F1932" s="91">
        <v>16</v>
      </c>
      <c r="G1932" s="91">
        <v>0</v>
      </c>
      <c r="H1932" s="94">
        <v>0</v>
      </c>
      <c r="I1932" s="91">
        <v>0</v>
      </c>
      <c r="J1932" s="71"/>
      <c r="K1932" s="71">
        <v>43159</v>
      </c>
      <c r="L1932" s="69" t="s">
        <v>80</v>
      </c>
      <c r="M1932" s="69" t="s">
        <v>286</v>
      </c>
      <c r="N1932" s="95"/>
      <c r="O1932" s="67"/>
      <c r="P1932" s="67" t="s">
        <v>95</v>
      </c>
      <c r="Q1932" s="67" t="s">
        <v>110</v>
      </c>
      <c r="R1932" s="92" t="s">
        <v>69</v>
      </c>
      <c r="S1932" s="92" t="s">
        <v>115</v>
      </c>
      <c r="T1932" s="67"/>
      <c r="U1932" s="67"/>
      <c r="V1932" s="95">
        <v>43159</v>
      </c>
      <c r="W1932" s="92">
        <v>17070151</v>
      </c>
      <c r="X1932" s="90" t="s">
        <v>321</v>
      </c>
      <c r="Y1932" s="123"/>
      <c r="Z1932" s="30">
        <f t="shared" si="60"/>
        <v>7304.8847801386073</v>
      </c>
      <c r="AA1932" s="30">
        <f t="shared" si="61"/>
        <v>0</v>
      </c>
      <c r="AB1932" t="s">
        <v>457</v>
      </c>
    </row>
    <row r="1933" spans="1:28">
      <c r="A1933" s="67" t="s">
        <v>113</v>
      </c>
      <c r="B1933" s="91">
        <v>1319611</v>
      </c>
      <c r="C1933" s="92">
        <v>4615495292</v>
      </c>
      <c r="D1933" s="93">
        <v>19175</v>
      </c>
      <c r="E1933" s="79"/>
      <c r="F1933" s="91">
        <v>16</v>
      </c>
      <c r="G1933" s="91">
        <v>0</v>
      </c>
      <c r="H1933" s="91">
        <v>0</v>
      </c>
      <c r="I1933" s="91">
        <v>0</v>
      </c>
      <c r="J1933" s="71">
        <v>43121</v>
      </c>
      <c r="K1933" s="71">
        <v>43159</v>
      </c>
      <c r="L1933" s="69" t="s">
        <v>119</v>
      </c>
      <c r="M1933" s="69" t="s">
        <v>109</v>
      </c>
      <c r="N1933" s="95">
        <v>43212</v>
      </c>
      <c r="O1933" s="67"/>
      <c r="P1933" s="67" t="s">
        <v>95</v>
      </c>
      <c r="Q1933" s="67" t="s">
        <v>110</v>
      </c>
      <c r="R1933" s="92" t="s">
        <v>69</v>
      </c>
      <c r="S1933" s="92" t="s">
        <v>115</v>
      </c>
      <c r="T1933" s="67"/>
      <c r="U1933" s="67"/>
      <c r="V1933" s="95">
        <v>43159</v>
      </c>
      <c r="W1933" s="92" t="s">
        <v>324</v>
      </c>
      <c r="X1933" s="90"/>
      <c r="Y1933" s="123"/>
      <c r="Z1933" s="30">
        <f t="shared" si="60"/>
        <v>6763.7822038320437</v>
      </c>
      <c r="AA1933" s="30">
        <f t="shared" si="61"/>
        <v>0</v>
      </c>
      <c r="AB1933" t="s">
        <v>458</v>
      </c>
    </row>
    <row r="1934" spans="1:28">
      <c r="A1934" s="67" t="s">
        <v>113</v>
      </c>
      <c r="B1934" s="91">
        <v>1319615</v>
      </c>
      <c r="C1934" s="92">
        <v>4615495292</v>
      </c>
      <c r="D1934" s="93">
        <v>19175</v>
      </c>
      <c r="E1934" s="79"/>
      <c r="F1934" s="91">
        <v>16</v>
      </c>
      <c r="G1934" s="91">
        <v>0</v>
      </c>
      <c r="H1934" s="91">
        <v>0</v>
      </c>
      <c r="I1934" s="91">
        <v>0</v>
      </c>
      <c r="J1934" s="71">
        <v>43121</v>
      </c>
      <c r="K1934" s="71">
        <v>43159</v>
      </c>
      <c r="L1934" s="69" t="s">
        <v>119</v>
      </c>
      <c r="M1934" s="69" t="s">
        <v>299</v>
      </c>
      <c r="N1934" s="95"/>
      <c r="O1934" s="67"/>
      <c r="P1934" s="67" t="s">
        <v>95</v>
      </c>
      <c r="Q1934" s="67" t="s">
        <v>110</v>
      </c>
      <c r="R1934" s="92" t="s">
        <v>69</v>
      </c>
      <c r="S1934" s="92" t="s">
        <v>115</v>
      </c>
      <c r="T1934" s="67"/>
      <c r="U1934" s="67"/>
      <c r="V1934" s="95">
        <v>43159</v>
      </c>
      <c r="W1934" s="92" t="s">
        <v>324</v>
      </c>
      <c r="X1934" s="90"/>
      <c r="Y1934" s="123"/>
      <c r="Z1934" s="30">
        <f t="shared" si="60"/>
        <v>6763.7822038320437</v>
      </c>
      <c r="AA1934" s="30">
        <f t="shared" si="61"/>
        <v>0</v>
      </c>
      <c r="AB1934" t="s">
        <v>458</v>
      </c>
    </row>
    <row r="1935" spans="1:28">
      <c r="A1935" s="67" t="s">
        <v>113</v>
      </c>
      <c r="B1935" s="91">
        <v>1319612</v>
      </c>
      <c r="C1935" s="92">
        <v>4615495292</v>
      </c>
      <c r="D1935" s="93">
        <v>19175</v>
      </c>
      <c r="E1935" s="79"/>
      <c r="F1935" s="91">
        <v>16</v>
      </c>
      <c r="G1935" s="91">
        <v>0</v>
      </c>
      <c r="H1935" s="91">
        <v>0</v>
      </c>
      <c r="I1935" s="91">
        <v>0</v>
      </c>
      <c r="J1935" s="71">
        <v>43121</v>
      </c>
      <c r="K1935" s="71">
        <v>43159</v>
      </c>
      <c r="L1935" s="69" t="s">
        <v>119</v>
      </c>
      <c r="M1935" s="69" t="s">
        <v>109</v>
      </c>
      <c r="N1935" s="95">
        <v>43212</v>
      </c>
      <c r="O1935" s="67"/>
      <c r="P1935" s="67" t="s">
        <v>95</v>
      </c>
      <c r="Q1935" s="67" t="s">
        <v>110</v>
      </c>
      <c r="R1935" s="92" t="s">
        <v>69</v>
      </c>
      <c r="S1935" s="92" t="s">
        <v>115</v>
      </c>
      <c r="T1935" s="67"/>
      <c r="U1935" s="67"/>
      <c r="V1935" s="95">
        <v>43159</v>
      </c>
      <c r="W1935" s="92" t="s">
        <v>324</v>
      </c>
      <c r="X1935" s="90"/>
      <c r="Y1935" s="123"/>
      <c r="Z1935" s="30">
        <f t="shared" si="60"/>
        <v>6763.7822038320437</v>
      </c>
      <c r="AA1935" s="30">
        <f t="shared" si="61"/>
        <v>0</v>
      </c>
      <c r="AB1935" t="s">
        <v>458</v>
      </c>
    </row>
    <row r="1936" spans="1:28">
      <c r="A1936" s="67" t="s">
        <v>113</v>
      </c>
      <c r="B1936" s="91">
        <v>1319616</v>
      </c>
      <c r="C1936" s="92">
        <v>4615495292</v>
      </c>
      <c r="D1936" s="93">
        <v>19175</v>
      </c>
      <c r="E1936" s="79"/>
      <c r="F1936" s="91">
        <v>16</v>
      </c>
      <c r="G1936" s="91">
        <v>0</v>
      </c>
      <c r="H1936" s="91">
        <v>0</v>
      </c>
      <c r="I1936" s="91">
        <v>0</v>
      </c>
      <c r="J1936" s="71">
        <v>43121</v>
      </c>
      <c r="K1936" s="71">
        <v>43159</v>
      </c>
      <c r="L1936" s="69" t="s">
        <v>119</v>
      </c>
      <c r="M1936" s="69" t="s">
        <v>299</v>
      </c>
      <c r="N1936" s="95"/>
      <c r="O1936" s="67"/>
      <c r="P1936" s="67" t="s">
        <v>95</v>
      </c>
      <c r="Q1936" s="67" t="s">
        <v>110</v>
      </c>
      <c r="R1936" s="92" t="s">
        <v>69</v>
      </c>
      <c r="S1936" s="92" t="s">
        <v>115</v>
      </c>
      <c r="T1936" s="67"/>
      <c r="U1936" s="67"/>
      <c r="V1936" s="95">
        <v>43159</v>
      </c>
      <c r="W1936" s="92" t="s">
        <v>324</v>
      </c>
      <c r="X1936" s="90"/>
      <c r="Y1936" s="123"/>
      <c r="Z1936" s="30">
        <f t="shared" si="60"/>
        <v>6763.7822038320437</v>
      </c>
      <c r="AA1936" s="30">
        <f t="shared" si="61"/>
        <v>0</v>
      </c>
      <c r="AB1936" t="s">
        <v>458</v>
      </c>
    </row>
    <row r="1937" spans="1:28">
      <c r="A1937" s="67" t="s">
        <v>113</v>
      </c>
      <c r="B1937" s="91">
        <v>1319609</v>
      </c>
      <c r="C1937" s="92">
        <v>4615495292</v>
      </c>
      <c r="D1937" s="93">
        <v>19175</v>
      </c>
      <c r="E1937" s="79"/>
      <c r="F1937" s="91">
        <v>16</v>
      </c>
      <c r="G1937" s="91">
        <v>0</v>
      </c>
      <c r="H1937" s="91">
        <v>0</v>
      </c>
      <c r="I1937" s="91">
        <v>0</v>
      </c>
      <c r="J1937" s="71">
        <v>43121</v>
      </c>
      <c r="K1937" s="71">
        <v>43159</v>
      </c>
      <c r="L1937" s="69" t="s">
        <v>119</v>
      </c>
      <c r="M1937" s="69" t="s">
        <v>299</v>
      </c>
      <c r="N1937" s="95"/>
      <c r="O1937" s="67"/>
      <c r="P1937" s="67" t="s">
        <v>95</v>
      </c>
      <c r="Q1937" s="67" t="s">
        <v>110</v>
      </c>
      <c r="R1937" s="92" t="s">
        <v>69</v>
      </c>
      <c r="S1937" s="92" t="s">
        <v>115</v>
      </c>
      <c r="T1937" s="67"/>
      <c r="U1937" s="67"/>
      <c r="V1937" s="95">
        <v>43159</v>
      </c>
      <c r="W1937" s="92" t="s">
        <v>324</v>
      </c>
      <c r="X1937" s="90"/>
      <c r="Y1937" s="123"/>
      <c r="Z1937" s="30">
        <f t="shared" si="60"/>
        <v>6763.7822038320437</v>
      </c>
      <c r="AA1937" s="30">
        <f t="shared" si="61"/>
        <v>0</v>
      </c>
      <c r="AB1937" t="s">
        <v>458</v>
      </c>
    </row>
    <row r="1938" spans="1:28">
      <c r="A1938" s="67" t="s">
        <v>113</v>
      </c>
      <c r="B1938" s="91">
        <v>1319618</v>
      </c>
      <c r="C1938" s="92">
        <v>4615495292</v>
      </c>
      <c r="D1938" s="93">
        <v>19175</v>
      </c>
      <c r="E1938" s="79"/>
      <c r="F1938" s="91">
        <v>16</v>
      </c>
      <c r="G1938" s="91">
        <v>0</v>
      </c>
      <c r="H1938" s="91">
        <v>0</v>
      </c>
      <c r="I1938" s="91">
        <v>0</v>
      </c>
      <c r="J1938" s="71">
        <v>43121</v>
      </c>
      <c r="K1938" s="71">
        <v>43159</v>
      </c>
      <c r="L1938" s="69" t="s">
        <v>119</v>
      </c>
      <c r="M1938" s="69" t="s">
        <v>299</v>
      </c>
      <c r="N1938" s="95"/>
      <c r="O1938" s="67"/>
      <c r="P1938" s="67" t="s">
        <v>95</v>
      </c>
      <c r="Q1938" s="67" t="s">
        <v>110</v>
      </c>
      <c r="R1938" s="92" t="s">
        <v>69</v>
      </c>
      <c r="S1938" s="92" t="s">
        <v>115</v>
      </c>
      <c r="T1938" s="67"/>
      <c r="U1938" s="67"/>
      <c r="V1938" s="95">
        <v>43159</v>
      </c>
      <c r="W1938" s="92" t="s">
        <v>324</v>
      </c>
      <c r="X1938" s="90"/>
      <c r="Y1938" s="123"/>
      <c r="Z1938" s="30">
        <f t="shared" si="60"/>
        <v>6763.7822038320437</v>
      </c>
      <c r="AA1938" s="30">
        <f t="shared" si="61"/>
        <v>0</v>
      </c>
      <c r="AB1938" t="s">
        <v>458</v>
      </c>
    </row>
    <row r="1939" spans="1:28">
      <c r="A1939" s="67" t="s">
        <v>113</v>
      </c>
      <c r="B1939" s="91">
        <v>1319610</v>
      </c>
      <c r="C1939" s="92">
        <v>4615495292</v>
      </c>
      <c r="D1939" s="93">
        <v>19175</v>
      </c>
      <c r="E1939" s="79"/>
      <c r="F1939" s="91">
        <v>16</v>
      </c>
      <c r="G1939" s="91">
        <v>0</v>
      </c>
      <c r="H1939" s="91">
        <v>0</v>
      </c>
      <c r="I1939" s="91">
        <v>0</v>
      </c>
      <c r="J1939" s="71">
        <v>43121</v>
      </c>
      <c r="K1939" s="71">
        <v>43159</v>
      </c>
      <c r="L1939" s="69" t="s">
        <v>119</v>
      </c>
      <c r="M1939" s="69" t="s">
        <v>299</v>
      </c>
      <c r="N1939" s="95"/>
      <c r="O1939" s="67"/>
      <c r="P1939" s="67" t="s">
        <v>95</v>
      </c>
      <c r="Q1939" s="67" t="s">
        <v>110</v>
      </c>
      <c r="R1939" s="92" t="s">
        <v>69</v>
      </c>
      <c r="S1939" s="92" t="s">
        <v>115</v>
      </c>
      <c r="T1939" s="67"/>
      <c r="U1939" s="67"/>
      <c r="V1939" s="95">
        <v>43159</v>
      </c>
      <c r="W1939" s="92" t="s">
        <v>324</v>
      </c>
      <c r="X1939" s="90"/>
      <c r="Y1939" s="123"/>
      <c r="Z1939" s="30">
        <f t="shared" si="60"/>
        <v>6763.7822038320437</v>
      </c>
      <c r="AA1939" s="30">
        <f t="shared" si="61"/>
        <v>0</v>
      </c>
      <c r="AB1939" t="s">
        <v>458</v>
      </c>
    </row>
    <row r="1940" spans="1:28">
      <c r="A1940" s="67" t="s">
        <v>113</v>
      </c>
      <c r="B1940" s="91">
        <v>1319614</v>
      </c>
      <c r="C1940" s="92">
        <v>4615495292</v>
      </c>
      <c r="D1940" s="93">
        <v>19175</v>
      </c>
      <c r="E1940" s="79"/>
      <c r="F1940" s="91">
        <v>16</v>
      </c>
      <c r="G1940" s="91">
        <v>0</v>
      </c>
      <c r="H1940" s="91">
        <v>0</v>
      </c>
      <c r="I1940" s="91">
        <v>0</v>
      </c>
      <c r="J1940" s="71">
        <v>43121</v>
      </c>
      <c r="K1940" s="71">
        <v>43159</v>
      </c>
      <c r="L1940" s="69" t="s">
        <v>119</v>
      </c>
      <c r="M1940" s="69" t="s">
        <v>299</v>
      </c>
      <c r="N1940" s="95"/>
      <c r="O1940" s="67"/>
      <c r="P1940" s="67" t="s">
        <v>95</v>
      </c>
      <c r="Q1940" s="67" t="s">
        <v>110</v>
      </c>
      <c r="R1940" s="92" t="s">
        <v>69</v>
      </c>
      <c r="S1940" s="92" t="s">
        <v>115</v>
      </c>
      <c r="T1940" s="67"/>
      <c r="U1940" s="67"/>
      <c r="V1940" s="95">
        <v>43159</v>
      </c>
      <c r="W1940" s="92" t="s">
        <v>324</v>
      </c>
      <c r="X1940" s="90"/>
      <c r="Y1940" s="123"/>
      <c r="Z1940" s="30">
        <f t="shared" si="60"/>
        <v>6763.7822038320437</v>
      </c>
      <c r="AA1940" s="30">
        <f t="shared" si="61"/>
        <v>0</v>
      </c>
      <c r="AB1940" t="s">
        <v>458</v>
      </c>
    </row>
    <row r="1941" spans="1:28">
      <c r="A1941" s="67" t="s">
        <v>113</v>
      </c>
      <c r="B1941" s="91">
        <v>1319617</v>
      </c>
      <c r="C1941" s="92">
        <v>4615495292</v>
      </c>
      <c r="D1941" s="93">
        <v>19175</v>
      </c>
      <c r="E1941" s="79"/>
      <c r="F1941" s="91">
        <v>16</v>
      </c>
      <c r="G1941" s="91">
        <v>0</v>
      </c>
      <c r="H1941" s="91">
        <v>0</v>
      </c>
      <c r="I1941" s="91">
        <v>0</v>
      </c>
      <c r="J1941" s="71">
        <v>43121</v>
      </c>
      <c r="K1941" s="71">
        <v>43159</v>
      </c>
      <c r="L1941" s="69" t="s">
        <v>119</v>
      </c>
      <c r="M1941" s="69" t="s">
        <v>109</v>
      </c>
      <c r="N1941" s="95">
        <v>43212</v>
      </c>
      <c r="O1941" s="67"/>
      <c r="P1941" s="67" t="s">
        <v>95</v>
      </c>
      <c r="Q1941" s="67" t="s">
        <v>110</v>
      </c>
      <c r="R1941" s="92" t="s">
        <v>69</v>
      </c>
      <c r="S1941" s="92" t="s">
        <v>115</v>
      </c>
      <c r="T1941" s="67"/>
      <c r="U1941" s="67"/>
      <c r="V1941" s="95">
        <v>43159</v>
      </c>
      <c r="W1941" s="92" t="s">
        <v>324</v>
      </c>
      <c r="X1941" s="90"/>
      <c r="Y1941" s="123"/>
      <c r="Z1941" s="30">
        <f t="shared" si="60"/>
        <v>6763.7822038320437</v>
      </c>
      <c r="AA1941" s="30">
        <f t="shared" si="61"/>
        <v>0</v>
      </c>
      <c r="AB1941" t="s">
        <v>458</v>
      </c>
    </row>
    <row r="1942" spans="1:28">
      <c r="A1942" s="67" t="s">
        <v>113</v>
      </c>
      <c r="B1942" s="91">
        <v>1319613</v>
      </c>
      <c r="C1942" s="92">
        <v>4615495292</v>
      </c>
      <c r="D1942" s="93">
        <v>19175</v>
      </c>
      <c r="E1942" s="79"/>
      <c r="F1942" s="91">
        <v>16</v>
      </c>
      <c r="G1942" s="91">
        <v>0</v>
      </c>
      <c r="H1942" s="91">
        <v>0</v>
      </c>
      <c r="I1942" s="91">
        <v>0</v>
      </c>
      <c r="J1942" s="71">
        <v>43121</v>
      </c>
      <c r="K1942" s="71">
        <v>43159</v>
      </c>
      <c r="L1942" s="69" t="s">
        <v>119</v>
      </c>
      <c r="M1942" s="69" t="s">
        <v>299</v>
      </c>
      <c r="N1942" s="95"/>
      <c r="O1942" s="67"/>
      <c r="P1942" s="67" t="s">
        <v>95</v>
      </c>
      <c r="Q1942" s="67" t="s">
        <v>110</v>
      </c>
      <c r="R1942" s="92" t="s">
        <v>69</v>
      </c>
      <c r="S1942" s="92" t="s">
        <v>115</v>
      </c>
      <c r="T1942" s="67"/>
      <c r="U1942" s="67"/>
      <c r="V1942" s="95">
        <v>43159</v>
      </c>
      <c r="W1942" s="92" t="s">
        <v>324</v>
      </c>
      <c r="X1942" s="90"/>
      <c r="Y1942" s="123"/>
      <c r="Z1942" s="30">
        <f t="shared" si="60"/>
        <v>6763.7822038320437</v>
      </c>
      <c r="AA1942" s="30">
        <f t="shared" si="61"/>
        <v>0</v>
      </c>
      <c r="AB1942" t="s">
        <v>458</v>
      </c>
    </row>
    <row r="1943" spans="1:28">
      <c r="A1943" s="67" t="s">
        <v>113</v>
      </c>
      <c r="B1943" s="91">
        <v>1320343</v>
      </c>
      <c r="C1943" s="92">
        <v>4615445430</v>
      </c>
      <c r="D1943" s="93">
        <v>19175</v>
      </c>
      <c r="E1943" s="79"/>
      <c r="F1943" s="91">
        <v>16</v>
      </c>
      <c r="G1943" s="91">
        <v>0</v>
      </c>
      <c r="H1943" s="91">
        <v>0</v>
      </c>
      <c r="I1943" s="91">
        <v>0</v>
      </c>
      <c r="J1943" s="71">
        <v>43155</v>
      </c>
      <c r="K1943" s="71">
        <v>43159</v>
      </c>
      <c r="L1943" s="69" t="s">
        <v>119</v>
      </c>
      <c r="M1943" s="69" t="s">
        <v>299</v>
      </c>
      <c r="N1943" s="95"/>
      <c r="O1943" s="67"/>
      <c r="P1943" s="67" t="s">
        <v>95</v>
      </c>
      <c r="Q1943" s="67" t="s">
        <v>133</v>
      </c>
      <c r="R1943" s="92" t="s">
        <v>69</v>
      </c>
      <c r="S1943" s="92" t="s">
        <v>115</v>
      </c>
      <c r="T1943" s="67"/>
      <c r="U1943" s="67"/>
      <c r="V1943" s="95">
        <v>43159</v>
      </c>
      <c r="W1943" s="92">
        <v>2088617</v>
      </c>
      <c r="X1943" s="90"/>
      <c r="Y1943" s="123"/>
      <c r="Z1943" s="30">
        <f t="shared" si="60"/>
        <v>6763.7822038320437</v>
      </c>
      <c r="AA1943" s="30">
        <f t="shared" si="61"/>
        <v>0</v>
      </c>
      <c r="AB1943" t="s">
        <v>456</v>
      </c>
    </row>
    <row r="1944" spans="1:28">
      <c r="A1944" s="67" t="s">
        <v>113</v>
      </c>
      <c r="B1944" s="91">
        <v>1320342</v>
      </c>
      <c r="C1944" s="92">
        <v>4615445430</v>
      </c>
      <c r="D1944" s="93">
        <v>19175</v>
      </c>
      <c r="E1944" s="79"/>
      <c r="F1944" s="91">
        <v>16</v>
      </c>
      <c r="G1944" s="91">
        <v>0</v>
      </c>
      <c r="H1944" s="91">
        <v>0</v>
      </c>
      <c r="I1944" s="91">
        <v>0</v>
      </c>
      <c r="J1944" s="71">
        <v>43155</v>
      </c>
      <c r="K1944" s="71">
        <v>43159</v>
      </c>
      <c r="L1944" s="69" t="s">
        <v>119</v>
      </c>
      <c r="M1944" s="69" t="s">
        <v>299</v>
      </c>
      <c r="N1944" s="95"/>
      <c r="O1944" s="67"/>
      <c r="P1944" s="67" t="s">
        <v>95</v>
      </c>
      <c r="Q1944" s="67" t="s">
        <v>133</v>
      </c>
      <c r="R1944" s="92" t="s">
        <v>69</v>
      </c>
      <c r="S1944" s="92" t="s">
        <v>115</v>
      </c>
      <c r="T1944" s="67"/>
      <c r="U1944" s="67"/>
      <c r="V1944" s="95">
        <v>43159</v>
      </c>
      <c r="W1944" s="92">
        <v>2088617</v>
      </c>
      <c r="X1944" s="90"/>
      <c r="Y1944" s="123"/>
      <c r="Z1944" s="30">
        <f t="shared" si="60"/>
        <v>6763.7822038320437</v>
      </c>
      <c r="AA1944" s="30">
        <f t="shared" si="61"/>
        <v>0</v>
      </c>
      <c r="AB1944" t="s">
        <v>456</v>
      </c>
    </row>
    <row r="1945" spans="1:28">
      <c r="A1945" s="67" t="s">
        <v>113</v>
      </c>
      <c r="B1945" s="91">
        <v>1320345</v>
      </c>
      <c r="C1945" s="92">
        <v>4615445430</v>
      </c>
      <c r="D1945" s="93">
        <v>19175</v>
      </c>
      <c r="E1945" s="79"/>
      <c r="F1945" s="91">
        <v>16</v>
      </c>
      <c r="G1945" s="91">
        <v>0</v>
      </c>
      <c r="H1945" s="91">
        <v>0</v>
      </c>
      <c r="I1945" s="91">
        <v>0</v>
      </c>
      <c r="J1945" s="71">
        <v>43155</v>
      </c>
      <c r="K1945" s="71">
        <v>43159</v>
      </c>
      <c r="L1945" s="69" t="s">
        <v>119</v>
      </c>
      <c r="M1945" s="69" t="s">
        <v>299</v>
      </c>
      <c r="N1945" s="95"/>
      <c r="O1945" s="67"/>
      <c r="P1945" s="67" t="s">
        <v>95</v>
      </c>
      <c r="Q1945" s="67" t="s">
        <v>133</v>
      </c>
      <c r="R1945" s="92" t="s">
        <v>69</v>
      </c>
      <c r="S1945" s="92" t="s">
        <v>115</v>
      </c>
      <c r="T1945" s="67"/>
      <c r="U1945" s="67"/>
      <c r="V1945" s="95">
        <v>43159</v>
      </c>
      <c r="W1945" s="92">
        <v>2088617</v>
      </c>
      <c r="X1945" s="90"/>
      <c r="Y1945" s="123"/>
      <c r="Z1945" s="30">
        <f t="shared" si="60"/>
        <v>6763.7822038320437</v>
      </c>
      <c r="AA1945" s="30">
        <f t="shared" si="61"/>
        <v>0</v>
      </c>
      <c r="AB1945" t="s">
        <v>456</v>
      </c>
    </row>
    <row r="1946" spans="1:28">
      <c r="A1946" s="67" t="s">
        <v>113</v>
      </c>
      <c r="B1946" s="91">
        <v>1320337</v>
      </c>
      <c r="C1946" s="92">
        <v>4615445430</v>
      </c>
      <c r="D1946" s="93">
        <v>19175</v>
      </c>
      <c r="E1946" s="79"/>
      <c r="F1946" s="91">
        <v>16</v>
      </c>
      <c r="G1946" s="91">
        <v>0</v>
      </c>
      <c r="H1946" s="91">
        <v>0</v>
      </c>
      <c r="I1946" s="91">
        <v>0</v>
      </c>
      <c r="J1946" s="71">
        <v>43155</v>
      </c>
      <c r="K1946" s="71">
        <v>43159</v>
      </c>
      <c r="L1946" s="69" t="s">
        <v>119</v>
      </c>
      <c r="M1946" s="69" t="s">
        <v>299</v>
      </c>
      <c r="N1946" s="95"/>
      <c r="O1946" s="67"/>
      <c r="P1946" s="67" t="s">
        <v>95</v>
      </c>
      <c r="Q1946" s="67" t="s">
        <v>133</v>
      </c>
      <c r="R1946" s="92" t="s">
        <v>69</v>
      </c>
      <c r="S1946" s="92" t="s">
        <v>115</v>
      </c>
      <c r="T1946" s="67"/>
      <c r="U1946" s="67"/>
      <c r="V1946" s="95">
        <v>43159</v>
      </c>
      <c r="W1946" s="92">
        <v>2088617</v>
      </c>
      <c r="X1946" s="90"/>
      <c r="Y1946" s="123"/>
      <c r="Z1946" s="30">
        <f t="shared" si="60"/>
        <v>6763.7822038320437</v>
      </c>
      <c r="AA1946" s="30">
        <f t="shared" si="61"/>
        <v>0</v>
      </c>
      <c r="AB1946" t="s">
        <v>456</v>
      </c>
    </row>
    <row r="1947" spans="1:28">
      <c r="A1947" s="67" t="s">
        <v>113</v>
      </c>
      <c r="B1947" s="91">
        <v>1320341</v>
      </c>
      <c r="C1947" s="92">
        <v>4615445430</v>
      </c>
      <c r="D1947" s="93">
        <v>19175</v>
      </c>
      <c r="E1947" s="79"/>
      <c r="F1947" s="91">
        <v>16</v>
      </c>
      <c r="G1947" s="91">
        <v>0</v>
      </c>
      <c r="H1947" s="91">
        <v>0</v>
      </c>
      <c r="I1947" s="91">
        <v>0</v>
      </c>
      <c r="J1947" s="71">
        <v>43155</v>
      </c>
      <c r="K1947" s="71">
        <v>43159</v>
      </c>
      <c r="L1947" s="69" t="s">
        <v>119</v>
      </c>
      <c r="M1947" s="69" t="s">
        <v>299</v>
      </c>
      <c r="N1947" s="95"/>
      <c r="O1947" s="67"/>
      <c r="P1947" s="67" t="s">
        <v>95</v>
      </c>
      <c r="Q1947" s="67" t="s">
        <v>133</v>
      </c>
      <c r="R1947" s="92" t="s">
        <v>69</v>
      </c>
      <c r="S1947" s="92" t="s">
        <v>115</v>
      </c>
      <c r="T1947" s="67"/>
      <c r="U1947" s="67"/>
      <c r="V1947" s="95">
        <v>43159</v>
      </c>
      <c r="W1947" s="92">
        <v>2088617</v>
      </c>
      <c r="X1947" s="90"/>
      <c r="Y1947" s="123"/>
      <c r="Z1947" s="30">
        <f t="shared" si="60"/>
        <v>6763.7822038320437</v>
      </c>
      <c r="AA1947" s="30">
        <f t="shared" si="61"/>
        <v>0</v>
      </c>
      <c r="AB1947" t="s">
        <v>456</v>
      </c>
    </row>
    <row r="1948" spans="1:28">
      <c r="A1948" t="s">
        <v>113</v>
      </c>
      <c r="B1948" s="91">
        <v>1320339</v>
      </c>
      <c r="C1948" s="92">
        <v>4615445430</v>
      </c>
      <c r="D1948" s="93">
        <v>19175</v>
      </c>
      <c r="F1948" s="91">
        <v>16</v>
      </c>
      <c r="G1948" s="91">
        <v>0</v>
      </c>
      <c r="H1948" s="91">
        <v>0</v>
      </c>
      <c r="I1948" s="91">
        <v>0</v>
      </c>
      <c r="J1948" s="41">
        <v>43155</v>
      </c>
      <c r="K1948" s="41">
        <v>43159</v>
      </c>
      <c r="L1948" s="69" t="s">
        <v>119</v>
      </c>
      <c r="M1948" s="69" t="s">
        <v>299</v>
      </c>
      <c r="N1948" s="95"/>
      <c r="P1948" t="s">
        <v>95</v>
      </c>
      <c r="Q1948" t="s">
        <v>133</v>
      </c>
      <c r="R1948" s="92" t="s">
        <v>69</v>
      </c>
      <c r="S1948" s="92" t="s">
        <v>115</v>
      </c>
      <c r="V1948" s="95">
        <v>43159</v>
      </c>
      <c r="W1948" s="92">
        <v>2088617</v>
      </c>
      <c r="X1948" s="90"/>
      <c r="Y1948" s="123"/>
      <c r="Z1948" s="30">
        <f t="shared" si="60"/>
        <v>6763.7822038320437</v>
      </c>
      <c r="AA1948" s="30">
        <f t="shared" si="61"/>
        <v>0</v>
      </c>
      <c r="AB1948" t="s">
        <v>456</v>
      </c>
    </row>
    <row r="1949" spans="1:28">
      <c r="A1949" t="s">
        <v>113</v>
      </c>
      <c r="B1949" s="91">
        <v>1320338</v>
      </c>
      <c r="C1949" s="92">
        <v>4615445430</v>
      </c>
      <c r="D1949" s="93">
        <v>19175</v>
      </c>
      <c r="F1949" s="91">
        <v>16</v>
      </c>
      <c r="G1949" s="91">
        <v>0</v>
      </c>
      <c r="H1949" s="91">
        <v>0</v>
      </c>
      <c r="I1949" s="91">
        <v>0</v>
      </c>
      <c r="J1949" s="41">
        <v>43155</v>
      </c>
      <c r="K1949" s="41">
        <v>43159</v>
      </c>
      <c r="L1949" s="69" t="s">
        <v>119</v>
      </c>
      <c r="M1949" s="69" t="s">
        <v>299</v>
      </c>
      <c r="N1949" s="95"/>
      <c r="P1949" t="s">
        <v>95</v>
      </c>
      <c r="Q1949" t="s">
        <v>133</v>
      </c>
      <c r="R1949" s="92" t="s">
        <v>69</v>
      </c>
      <c r="S1949" s="92" t="s">
        <v>115</v>
      </c>
      <c r="V1949" s="95">
        <v>43159</v>
      </c>
      <c r="W1949" s="92">
        <v>2088617</v>
      </c>
      <c r="X1949" s="90"/>
      <c r="Y1949" s="123"/>
      <c r="Z1949" s="30">
        <f t="shared" si="60"/>
        <v>6763.7822038320437</v>
      </c>
      <c r="AA1949" s="30">
        <f t="shared" si="61"/>
        <v>0</v>
      </c>
      <c r="AB1949" t="s">
        <v>456</v>
      </c>
    </row>
    <row r="1950" spans="1:28">
      <c r="A1950" t="s">
        <v>113</v>
      </c>
      <c r="B1950" s="91">
        <v>1320340</v>
      </c>
      <c r="C1950" s="92">
        <v>4615445430</v>
      </c>
      <c r="D1950" s="93">
        <v>19175</v>
      </c>
      <c r="F1950" s="91">
        <v>16</v>
      </c>
      <c r="G1950" s="91">
        <v>0</v>
      </c>
      <c r="H1950" s="91">
        <v>0</v>
      </c>
      <c r="I1950" s="91">
        <v>0</v>
      </c>
      <c r="J1950" s="41">
        <v>43155</v>
      </c>
      <c r="K1950" s="41">
        <v>43159</v>
      </c>
      <c r="L1950" s="69" t="s">
        <v>119</v>
      </c>
      <c r="M1950" s="69" t="s">
        <v>299</v>
      </c>
      <c r="N1950" s="95"/>
      <c r="P1950" t="s">
        <v>95</v>
      </c>
      <c r="Q1950" t="s">
        <v>133</v>
      </c>
      <c r="R1950" s="92" t="s">
        <v>69</v>
      </c>
      <c r="S1950" s="92" t="s">
        <v>115</v>
      </c>
      <c r="V1950" s="95">
        <v>43159</v>
      </c>
      <c r="W1950" s="92">
        <v>2088617</v>
      </c>
      <c r="X1950" s="90"/>
      <c r="Y1950" s="123"/>
      <c r="Z1950" s="30">
        <f t="shared" si="60"/>
        <v>6763.7822038320437</v>
      </c>
      <c r="AA1950" s="30">
        <f t="shared" si="61"/>
        <v>0</v>
      </c>
      <c r="AB1950" t="s">
        <v>456</v>
      </c>
    </row>
    <row r="1951" spans="1:28">
      <c r="A1951" t="s">
        <v>113</v>
      </c>
      <c r="B1951" s="91">
        <v>1320336</v>
      </c>
      <c r="C1951" s="92">
        <v>4615445430</v>
      </c>
      <c r="D1951" s="93">
        <v>19175</v>
      </c>
      <c r="F1951" s="91">
        <v>16</v>
      </c>
      <c r="G1951" s="91">
        <v>0</v>
      </c>
      <c r="H1951" s="91">
        <v>0</v>
      </c>
      <c r="I1951" s="91">
        <v>0</v>
      </c>
      <c r="J1951" s="41">
        <v>43155</v>
      </c>
      <c r="K1951" s="41">
        <v>43159</v>
      </c>
      <c r="L1951" s="69" t="s">
        <v>119</v>
      </c>
      <c r="M1951" s="69" t="s">
        <v>299</v>
      </c>
      <c r="N1951" s="95"/>
      <c r="P1951" t="s">
        <v>95</v>
      </c>
      <c r="Q1951" t="s">
        <v>133</v>
      </c>
      <c r="R1951" s="92" t="s">
        <v>69</v>
      </c>
      <c r="S1951" s="92" t="s">
        <v>115</v>
      </c>
      <c r="V1951" s="95">
        <v>43159</v>
      </c>
      <c r="W1951" s="92">
        <v>2088617</v>
      </c>
      <c r="X1951" s="90"/>
      <c r="Y1951" s="123"/>
      <c r="Z1951" s="30">
        <f t="shared" si="60"/>
        <v>6763.7822038320437</v>
      </c>
      <c r="AA1951" s="30">
        <f t="shared" si="61"/>
        <v>0</v>
      </c>
      <c r="AB1951" t="s">
        <v>456</v>
      </c>
    </row>
    <row r="1952" spans="1:28">
      <c r="A1952" t="s">
        <v>113</v>
      </c>
      <c r="B1952" s="91">
        <v>1320344</v>
      </c>
      <c r="C1952" s="92">
        <v>4615445430</v>
      </c>
      <c r="D1952" s="93">
        <v>19175</v>
      </c>
      <c r="F1952" s="91">
        <v>16</v>
      </c>
      <c r="G1952" s="91">
        <v>0</v>
      </c>
      <c r="H1952" s="91">
        <v>0</v>
      </c>
      <c r="I1952" s="91">
        <v>0</v>
      </c>
      <c r="J1952" s="41">
        <v>43155</v>
      </c>
      <c r="K1952" s="41">
        <v>43159</v>
      </c>
      <c r="L1952" s="69" t="s">
        <v>119</v>
      </c>
      <c r="M1952" s="69" t="s">
        <v>299</v>
      </c>
      <c r="N1952" s="95"/>
      <c r="P1952" t="s">
        <v>95</v>
      </c>
      <c r="Q1952" t="s">
        <v>133</v>
      </c>
      <c r="R1952" s="92" t="s">
        <v>69</v>
      </c>
      <c r="S1952" s="92" t="s">
        <v>115</v>
      </c>
      <c r="V1952" s="95">
        <v>43159</v>
      </c>
      <c r="W1952" s="92">
        <v>2088617</v>
      </c>
      <c r="X1952" s="90"/>
      <c r="Y1952" s="123"/>
      <c r="Z1952" s="30">
        <f t="shared" si="60"/>
        <v>6763.7822038320437</v>
      </c>
      <c r="AA1952" s="30">
        <f t="shared" si="61"/>
        <v>0</v>
      </c>
      <c r="AB1952" t="s">
        <v>456</v>
      </c>
    </row>
    <row r="1953" spans="1:28">
      <c r="A1953" t="s">
        <v>113</v>
      </c>
      <c r="B1953" s="91">
        <v>1327688</v>
      </c>
      <c r="C1953" s="92">
        <v>4615487400</v>
      </c>
      <c r="D1953" s="93">
        <v>21000.46</v>
      </c>
      <c r="F1953" s="94">
        <v>16</v>
      </c>
      <c r="G1953" s="96">
        <v>5</v>
      </c>
      <c r="H1953" s="91">
        <v>0</v>
      </c>
      <c r="I1953" s="91">
        <v>0</v>
      </c>
      <c r="J1953" s="41">
        <v>43138</v>
      </c>
      <c r="K1953" s="41">
        <v>43159</v>
      </c>
      <c r="L1953" s="69" t="s">
        <v>108</v>
      </c>
      <c r="M1953" s="69" t="s">
        <v>109</v>
      </c>
      <c r="N1953" s="98">
        <v>43187</v>
      </c>
      <c r="P1953" t="s">
        <v>95</v>
      </c>
      <c r="Q1953" t="s">
        <v>133</v>
      </c>
      <c r="R1953" s="92" t="s">
        <v>69</v>
      </c>
      <c r="S1953" s="92" t="s">
        <v>115</v>
      </c>
      <c r="V1953" s="95">
        <v>43159</v>
      </c>
      <c r="W1953" s="92" t="s">
        <v>325</v>
      </c>
      <c r="X1953" s="90" t="s">
        <v>321</v>
      </c>
      <c r="Y1953" s="123"/>
      <c r="Z1953" s="30">
        <f t="shared" si="60"/>
        <v>7407.6942696368542</v>
      </c>
      <c r="AA1953" s="30">
        <f t="shared" si="61"/>
        <v>2314.9044592615169</v>
      </c>
      <c r="AB1953" t="s">
        <v>456</v>
      </c>
    </row>
    <row r="1954" spans="1:28">
      <c r="A1954" t="s">
        <v>113</v>
      </c>
      <c r="B1954" s="91">
        <v>1327690</v>
      </c>
      <c r="C1954" s="92">
        <v>4615487400</v>
      </c>
      <c r="D1954" s="93">
        <v>21000.46</v>
      </c>
      <c r="F1954" s="94">
        <v>16</v>
      </c>
      <c r="G1954" s="96">
        <v>5</v>
      </c>
      <c r="H1954" s="91">
        <v>0</v>
      </c>
      <c r="I1954" s="91">
        <v>0</v>
      </c>
      <c r="J1954" s="41">
        <v>43138</v>
      </c>
      <c r="K1954" s="41">
        <v>43159</v>
      </c>
      <c r="L1954" s="69" t="s">
        <v>108</v>
      </c>
      <c r="M1954" s="69" t="s">
        <v>109</v>
      </c>
      <c r="N1954" s="98">
        <v>43187</v>
      </c>
      <c r="P1954" t="s">
        <v>95</v>
      </c>
      <c r="Q1954" t="s">
        <v>133</v>
      </c>
      <c r="R1954" s="92" t="s">
        <v>69</v>
      </c>
      <c r="S1954" s="92" t="s">
        <v>115</v>
      </c>
      <c r="V1954" s="95">
        <v>43159</v>
      </c>
      <c r="W1954" s="92" t="s">
        <v>325</v>
      </c>
      <c r="X1954" s="90" t="s">
        <v>321</v>
      </c>
      <c r="Y1954" s="123"/>
      <c r="Z1954" s="30">
        <f t="shared" si="60"/>
        <v>7407.6942696368542</v>
      </c>
      <c r="AA1954" s="30">
        <f t="shared" si="61"/>
        <v>2314.9044592615169</v>
      </c>
      <c r="AB1954" t="s">
        <v>456</v>
      </c>
    </row>
    <row r="1955" spans="1:28">
      <c r="A1955" t="s">
        <v>113</v>
      </c>
      <c r="B1955" s="91">
        <v>1327695</v>
      </c>
      <c r="C1955" s="92">
        <v>4615487400</v>
      </c>
      <c r="D1955" s="93">
        <v>21000.46</v>
      </c>
      <c r="F1955" s="94">
        <v>16</v>
      </c>
      <c r="G1955" s="96">
        <v>5</v>
      </c>
      <c r="H1955" s="91">
        <v>0</v>
      </c>
      <c r="I1955" s="91">
        <v>0</v>
      </c>
      <c r="J1955" s="41">
        <v>43138</v>
      </c>
      <c r="K1955" s="41">
        <v>43159</v>
      </c>
      <c r="L1955" s="69" t="s">
        <v>108</v>
      </c>
      <c r="M1955" s="69" t="s">
        <v>109</v>
      </c>
      <c r="N1955" s="98">
        <v>43187</v>
      </c>
      <c r="P1955" t="s">
        <v>95</v>
      </c>
      <c r="Q1955" t="s">
        <v>133</v>
      </c>
      <c r="R1955" s="92" t="s">
        <v>69</v>
      </c>
      <c r="S1955" s="92" t="s">
        <v>115</v>
      </c>
      <c r="V1955" s="95">
        <v>43159</v>
      </c>
      <c r="W1955" s="92" t="s">
        <v>325</v>
      </c>
      <c r="X1955" s="90" t="s">
        <v>321</v>
      </c>
      <c r="Y1955" s="123"/>
      <c r="Z1955" s="30">
        <f t="shared" si="60"/>
        <v>7407.6942696368542</v>
      </c>
      <c r="AA1955" s="30">
        <f t="shared" si="61"/>
        <v>2314.9044592615169</v>
      </c>
      <c r="AB1955" t="s">
        <v>456</v>
      </c>
    </row>
    <row r="1956" spans="1:28">
      <c r="A1956" t="s">
        <v>113</v>
      </c>
      <c r="B1956" s="91">
        <v>1327692</v>
      </c>
      <c r="C1956" s="92">
        <v>4615487400</v>
      </c>
      <c r="D1956" s="93">
        <v>21000.46</v>
      </c>
      <c r="F1956" s="94">
        <v>16</v>
      </c>
      <c r="G1956" s="96">
        <v>5</v>
      </c>
      <c r="H1956" s="91">
        <v>0</v>
      </c>
      <c r="I1956" s="91">
        <v>0</v>
      </c>
      <c r="J1956" s="41">
        <v>43138</v>
      </c>
      <c r="K1956" s="41">
        <v>43159</v>
      </c>
      <c r="L1956" s="69" t="s">
        <v>108</v>
      </c>
      <c r="M1956" s="69" t="s">
        <v>109</v>
      </c>
      <c r="N1956" s="98">
        <v>43192</v>
      </c>
      <c r="P1956" t="s">
        <v>95</v>
      </c>
      <c r="Q1956" t="s">
        <v>133</v>
      </c>
      <c r="R1956" s="92" t="s">
        <v>69</v>
      </c>
      <c r="S1956" s="92" t="s">
        <v>115</v>
      </c>
      <c r="V1956" s="95">
        <v>43159</v>
      </c>
      <c r="W1956" s="92" t="s">
        <v>325</v>
      </c>
      <c r="X1956" s="90" t="s">
        <v>321</v>
      </c>
      <c r="Y1956" s="123"/>
      <c r="Z1956" s="30">
        <f t="shared" si="60"/>
        <v>7407.6942696368542</v>
      </c>
      <c r="AA1956" s="30">
        <f t="shared" si="61"/>
        <v>2314.9044592615169</v>
      </c>
      <c r="AB1956" t="s">
        <v>456</v>
      </c>
    </row>
    <row r="1957" spans="1:28">
      <c r="A1957" t="s">
        <v>113</v>
      </c>
      <c r="B1957" s="91">
        <v>1327687</v>
      </c>
      <c r="C1957" s="92">
        <v>4615487400</v>
      </c>
      <c r="D1957" s="93">
        <v>21000.46</v>
      </c>
      <c r="F1957" s="94">
        <v>16</v>
      </c>
      <c r="G1957" s="96">
        <v>5</v>
      </c>
      <c r="H1957" s="91">
        <v>0</v>
      </c>
      <c r="I1957" s="91">
        <v>0</v>
      </c>
      <c r="J1957" s="41">
        <v>43138</v>
      </c>
      <c r="K1957" s="41">
        <v>43159</v>
      </c>
      <c r="L1957" s="69" t="s">
        <v>108</v>
      </c>
      <c r="M1957" s="69" t="s">
        <v>109</v>
      </c>
      <c r="N1957" s="98">
        <v>43192</v>
      </c>
      <c r="P1957" t="s">
        <v>95</v>
      </c>
      <c r="Q1957" t="s">
        <v>133</v>
      </c>
      <c r="R1957" s="92" t="s">
        <v>69</v>
      </c>
      <c r="S1957" s="92" t="s">
        <v>115</v>
      </c>
      <c r="V1957" s="95">
        <v>43159</v>
      </c>
      <c r="W1957" s="92" t="s">
        <v>325</v>
      </c>
      <c r="X1957" s="90" t="s">
        <v>321</v>
      </c>
      <c r="Y1957" s="123"/>
      <c r="Z1957" s="30">
        <f t="shared" si="60"/>
        <v>7407.6942696368542</v>
      </c>
      <c r="AA1957" s="30">
        <f t="shared" si="61"/>
        <v>2314.9044592615169</v>
      </c>
      <c r="AB1957" t="s">
        <v>456</v>
      </c>
    </row>
    <row r="1958" spans="1:28">
      <c r="A1958" t="s">
        <v>113</v>
      </c>
      <c r="B1958" s="91">
        <v>1327694</v>
      </c>
      <c r="C1958" s="92">
        <v>4615487400</v>
      </c>
      <c r="D1958" s="93">
        <v>21000.46</v>
      </c>
      <c r="F1958" s="94">
        <v>16</v>
      </c>
      <c r="G1958" s="96">
        <v>5</v>
      </c>
      <c r="H1958" s="91">
        <v>0</v>
      </c>
      <c r="I1958" s="91">
        <v>0</v>
      </c>
      <c r="J1958" s="41">
        <v>43138</v>
      </c>
      <c r="K1958" s="41">
        <v>43159</v>
      </c>
      <c r="L1958" s="69" t="s">
        <v>108</v>
      </c>
      <c r="M1958" s="69" t="s">
        <v>109</v>
      </c>
      <c r="N1958" s="98">
        <v>43193</v>
      </c>
      <c r="P1958" t="s">
        <v>95</v>
      </c>
      <c r="Q1958" t="s">
        <v>133</v>
      </c>
      <c r="R1958" s="92" t="s">
        <v>69</v>
      </c>
      <c r="S1958" s="92" t="s">
        <v>115</v>
      </c>
      <c r="V1958" s="95">
        <v>43159</v>
      </c>
      <c r="W1958" s="92" t="s">
        <v>325</v>
      </c>
      <c r="X1958" s="90" t="s">
        <v>321</v>
      </c>
      <c r="Y1958" s="123"/>
      <c r="Z1958" s="30">
        <f t="shared" si="60"/>
        <v>7407.6942696368542</v>
      </c>
      <c r="AA1958" s="30">
        <f t="shared" si="61"/>
        <v>2314.9044592615169</v>
      </c>
      <c r="AB1958" t="s">
        <v>456</v>
      </c>
    </row>
    <row r="1959" spans="1:28">
      <c r="A1959" t="s">
        <v>113</v>
      </c>
      <c r="B1959" s="91">
        <v>1327691</v>
      </c>
      <c r="C1959" s="92">
        <v>4615487400</v>
      </c>
      <c r="D1959" s="93">
        <v>21000.46</v>
      </c>
      <c r="F1959" s="94">
        <v>16</v>
      </c>
      <c r="G1959" s="96">
        <v>5</v>
      </c>
      <c r="H1959" s="91">
        <v>0</v>
      </c>
      <c r="I1959" s="91">
        <v>0</v>
      </c>
      <c r="J1959" s="41">
        <v>43138</v>
      </c>
      <c r="K1959" s="41">
        <v>43159</v>
      </c>
      <c r="L1959" s="69" t="s">
        <v>108</v>
      </c>
      <c r="M1959" s="69" t="s">
        <v>109</v>
      </c>
      <c r="N1959" s="98">
        <v>43194</v>
      </c>
      <c r="P1959" t="s">
        <v>95</v>
      </c>
      <c r="Q1959" t="s">
        <v>133</v>
      </c>
      <c r="R1959" s="92" t="s">
        <v>69</v>
      </c>
      <c r="S1959" s="92" t="s">
        <v>115</v>
      </c>
      <c r="V1959" s="95">
        <v>43159</v>
      </c>
      <c r="W1959" s="92" t="s">
        <v>325</v>
      </c>
      <c r="X1959" s="90" t="s">
        <v>321</v>
      </c>
      <c r="Y1959" s="123"/>
      <c r="Z1959" s="30">
        <f t="shared" si="60"/>
        <v>7407.6942696368542</v>
      </c>
      <c r="AA1959" s="30">
        <f t="shared" si="61"/>
        <v>2314.9044592615169</v>
      </c>
      <c r="AB1959" t="s">
        <v>456</v>
      </c>
    </row>
    <row r="1960" spans="1:28">
      <c r="A1960" t="s">
        <v>113</v>
      </c>
      <c r="B1960" s="91">
        <v>1327689</v>
      </c>
      <c r="C1960" s="92">
        <v>4615487400</v>
      </c>
      <c r="D1960" s="93">
        <v>21000.46</v>
      </c>
      <c r="F1960" s="94">
        <v>16</v>
      </c>
      <c r="G1960" s="96">
        <v>5</v>
      </c>
      <c r="H1960" s="91">
        <v>0</v>
      </c>
      <c r="I1960" s="91">
        <v>0</v>
      </c>
      <c r="J1960" s="41">
        <v>43138</v>
      </c>
      <c r="K1960" s="41">
        <v>43159</v>
      </c>
      <c r="L1960" s="69" t="s">
        <v>108</v>
      </c>
      <c r="M1960" s="69" t="s">
        <v>109</v>
      </c>
      <c r="N1960" s="98">
        <v>43198</v>
      </c>
      <c r="P1960" t="s">
        <v>95</v>
      </c>
      <c r="Q1960" t="s">
        <v>133</v>
      </c>
      <c r="R1960" s="92" t="s">
        <v>69</v>
      </c>
      <c r="S1960" s="92" t="s">
        <v>115</v>
      </c>
      <c r="V1960" s="95">
        <v>43159</v>
      </c>
      <c r="W1960" s="92" t="s">
        <v>325</v>
      </c>
      <c r="X1960" s="90" t="s">
        <v>321</v>
      </c>
      <c r="Y1960" s="123"/>
      <c r="Z1960" s="30">
        <f t="shared" si="60"/>
        <v>7407.6942696368542</v>
      </c>
      <c r="AA1960" s="30">
        <f t="shared" si="61"/>
        <v>2314.9044592615169</v>
      </c>
      <c r="AB1960" t="s">
        <v>456</v>
      </c>
    </row>
    <row r="1961" spans="1:28">
      <c r="A1961" t="s">
        <v>113</v>
      </c>
      <c r="B1961" s="91">
        <v>1327696</v>
      </c>
      <c r="C1961" s="92">
        <v>4615487400</v>
      </c>
      <c r="D1961" s="93">
        <v>21000.46</v>
      </c>
      <c r="F1961" s="94">
        <v>16</v>
      </c>
      <c r="G1961" s="96">
        <v>5</v>
      </c>
      <c r="H1961" s="91">
        <v>0</v>
      </c>
      <c r="I1961" s="91">
        <v>0</v>
      </c>
      <c r="J1961" s="41">
        <v>43138</v>
      </c>
      <c r="K1961" s="41">
        <v>43159</v>
      </c>
      <c r="L1961" s="69" t="s">
        <v>108</v>
      </c>
      <c r="M1961" s="69" t="s">
        <v>109</v>
      </c>
      <c r="N1961" s="98">
        <v>43199</v>
      </c>
      <c r="P1961" t="s">
        <v>95</v>
      </c>
      <c r="Q1961" t="s">
        <v>133</v>
      </c>
      <c r="R1961" s="92" t="s">
        <v>69</v>
      </c>
      <c r="S1961" s="92" t="s">
        <v>115</v>
      </c>
      <c r="V1961" s="95">
        <v>43159</v>
      </c>
      <c r="W1961" s="92" t="s">
        <v>325</v>
      </c>
      <c r="X1961" s="90" t="s">
        <v>321</v>
      </c>
      <c r="Y1961" s="123"/>
      <c r="Z1961" s="30">
        <f t="shared" si="60"/>
        <v>7407.6942696368542</v>
      </c>
      <c r="AA1961" s="30">
        <f t="shared" si="61"/>
        <v>2314.9044592615169</v>
      </c>
      <c r="AB1961" t="s">
        <v>456</v>
      </c>
    </row>
    <row r="1962" spans="1:28">
      <c r="A1962" t="s">
        <v>113</v>
      </c>
      <c r="B1962" s="91">
        <v>1327693</v>
      </c>
      <c r="C1962" s="92">
        <v>4615487400</v>
      </c>
      <c r="D1962" s="93">
        <v>21000.46</v>
      </c>
      <c r="F1962" s="94">
        <v>16</v>
      </c>
      <c r="G1962" s="96">
        <v>5</v>
      </c>
      <c r="H1962" s="91">
        <v>0</v>
      </c>
      <c r="I1962" s="91">
        <v>0</v>
      </c>
      <c r="J1962" s="41">
        <v>43138</v>
      </c>
      <c r="K1962" s="41">
        <v>43159</v>
      </c>
      <c r="L1962" s="69" t="s">
        <v>108</v>
      </c>
      <c r="M1962" s="69" t="s">
        <v>109</v>
      </c>
      <c r="N1962" s="98">
        <v>43201</v>
      </c>
      <c r="P1962" t="s">
        <v>95</v>
      </c>
      <c r="Q1962" t="s">
        <v>133</v>
      </c>
      <c r="R1962" s="92" t="s">
        <v>69</v>
      </c>
      <c r="S1962" s="92" t="s">
        <v>115</v>
      </c>
      <c r="V1962" s="95">
        <v>43159</v>
      </c>
      <c r="W1962" s="92" t="s">
        <v>325</v>
      </c>
      <c r="X1962" s="90" t="s">
        <v>321</v>
      </c>
      <c r="Y1962" s="123"/>
      <c r="Z1962" s="30">
        <f t="shared" si="60"/>
        <v>7407.6942696368542</v>
      </c>
      <c r="AA1962" s="30">
        <f t="shared" si="61"/>
        <v>2314.9044592615169</v>
      </c>
      <c r="AB1962" t="s">
        <v>456</v>
      </c>
    </row>
    <row r="1963" spans="1:28">
      <c r="A1963" t="s">
        <v>113</v>
      </c>
      <c r="B1963" s="91">
        <v>1326967</v>
      </c>
      <c r="C1963" s="92">
        <v>4615491435</v>
      </c>
      <c r="D1963" s="93">
        <v>19175</v>
      </c>
      <c r="F1963" s="94">
        <v>16</v>
      </c>
      <c r="G1963" s="94">
        <v>0</v>
      </c>
      <c r="H1963" s="91">
        <v>0</v>
      </c>
      <c r="I1963" s="91">
        <v>0</v>
      </c>
      <c r="J1963" s="41">
        <v>43138</v>
      </c>
      <c r="K1963" s="41">
        <v>43159</v>
      </c>
      <c r="L1963" s="69" t="s">
        <v>119</v>
      </c>
      <c r="M1963" s="69" t="s">
        <v>299</v>
      </c>
      <c r="N1963" s="98"/>
      <c r="P1963" t="s">
        <v>95</v>
      </c>
      <c r="Q1963" t="s">
        <v>133</v>
      </c>
      <c r="R1963" s="92" t="s">
        <v>69</v>
      </c>
      <c r="S1963" s="92" t="s">
        <v>115</v>
      </c>
      <c r="V1963" s="95">
        <v>43159</v>
      </c>
      <c r="W1963" s="92" t="s">
        <v>326</v>
      </c>
      <c r="X1963" s="90"/>
      <c r="Y1963" s="123"/>
      <c r="Z1963" s="30">
        <f t="shared" si="60"/>
        <v>6763.7822038320437</v>
      </c>
      <c r="AA1963" s="30">
        <f t="shared" si="61"/>
        <v>0</v>
      </c>
      <c r="AB1963" t="s">
        <v>456</v>
      </c>
    </row>
    <row r="1964" spans="1:28">
      <c r="A1964" t="s">
        <v>113</v>
      </c>
      <c r="B1964" s="91">
        <v>1326960</v>
      </c>
      <c r="C1964" s="92">
        <v>4615491435</v>
      </c>
      <c r="D1964" s="93">
        <v>19175</v>
      </c>
      <c r="F1964" s="94">
        <v>16</v>
      </c>
      <c r="G1964" s="94">
        <v>0</v>
      </c>
      <c r="H1964" s="91">
        <v>0</v>
      </c>
      <c r="I1964" s="91">
        <v>0</v>
      </c>
      <c r="J1964" s="41">
        <v>43138</v>
      </c>
      <c r="K1964" s="41">
        <v>43159</v>
      </c>
      <c r="L1964" s="69" t="s">
        <v>119</v>
      </c>
      <c r="M1964" s="69" t="s">
        <v>299</v>
      </c>
      <c r="N1964" s="98"/>
      <c r="P1964" t="s">
        <v>95</v>
      </c>
      <c r="Q1964" t="s">
        <v>133</v>
      </c>
      <c r="R1964" s="92" t="s">
        <v>69</v>
      </c>
      <c r="S1964" s="92" t="s">
        <v>115</v>
      </c>
      <c r="V1964" s="95">
        <v>43159</v>
      </c>
      <c r="W1964" s="92" t="s">
        <v>326</v>
      </c>
      <c r="X1964" s="90"/>
      <c r="Y1964" s="123"/>
      <c r="Z1964" s="30">
        <f t="shared" si="60"/>
        <v>6763.7822038320437</v>
      </c>
      <c r="AA1964" s="30">
        <f t="shared" si="61"/>
        <v>0</v>
      </c>
      <c r="AB1964" t="s">
        <v>456</v>
      </c>
    </row>
    <row r="1965" spans="1:28">
      <c r="A1965" t="s">
        <v>113</v>
      </c>
      <c r="B1965" s="91">
        <v>1326959</v>
      </c>
      <c r="C1965" s="92">
        <v>4615491435</v>
      </c>
      <c r="D1965" s="93">
        <v>19175</v>
      </c>
      <c r="F1965" s="94">
        <v>16</v>
      </c>
      <c r="G1965" s="94">
        <v>0</v>
      </c>
      <c r="H1965" s="91">
        <v>0</v>
      </c>
      <c r="I1965" s="91">
        <v>0</v>
      </c>
      <c r="J1965" s="41">
        <v>43138</v>
      </c>
      <c r="K1965" s="41">
        <v>43159</v>
      </c>
      <c r="L1965" s="69" t="s">
        <v>119</v>
      </c>
      <c r="M1965" s="69" t="s">
        <v>299</v>
      </c>
      <c r="N1965" s="98"/>
      <c r="P1965" t="s">
        <v>95</v>
      </c>
      <c r="Q1965" t="s">
        <v>133</v>
      </c>
      <c r="R1965" s="92" t="s">
        <v>69</v>
      </c>
      <c r="S1965" s="92" t="s">
        <v>115</v>
      </c>
      <c r="V1965" s="95">
        <v>43159</v>
      </c>
      <c r="W1965" s="92" t="s">
        <v>326</v>
      </c>
      <c r="X1965" s="90"/>
      <c r="Y1965" s="123"/>
      <c r="Z1965" s="30">
        <f t="shared" si="60"/>
        <v>6763.7822038320437</v>
      </c>
      <c r="AA1965" s="30">
        <f t="shared" si="61"/>
        <v>0</v>
      </c>
      <c r="AB1965" t="s">
        <v>456</v>
      </c>
    </row>
    <row r="1966" spans="1:28">
      <c r="A1966" t="s">
        <v>113</v>
      </c>
      <c r="B1966" s="91">
        <v>1326966</v>
      </c>
      <c r="C1966" s="92">
        <v>4615491435</v>
      </c>
      <c r="D1966" s="93">
        <v>19175</v>
      </c>
      <c r="F1966" s="94">
        <v>16</v>
      </c>
      <c r="G1966" s="94">
        <v>0</v>
      </c>
      <c r="H1966" s="91">
        <v>0</v>
      </c>
      <c r="I1966" s="91">
        <v>0</v>
      </c>
      <c r="J1966" s="41">
        <v>43138</v>
      </c>
      <c r="K1966" s="41">
        <v>43159</v>
      </c>
      <c r="L1966" s="69" t="s">
        <v>119</v>
      </c>
      <c r="M1966" s="69" t="s">
        <v>299</v>
      </c>
      <c r="N1966" s="98"/>
      <c r="P1966" t="s">
        <v>95</v>
      </c>
      <c r="Q1966" t="s">
        <v>133</v>
      </c>
      <c r="R1966" s="92" t="s">
        <v>69</v>
      </c>
      <c r="S1966" s="92" t="s">
        <v>115</v>
      </c>
      <c r="V1966" s="95">
        <v>43159</v>
      </c>
      <c r="W1966" s="92" t="s">
        <v>326</v>
      </c>
      <c r="X1966" s="90"/>
      <c r="Y1966" s="123"/>
      <c r="Z1966" s="30">
        <f t="shared" si="60"/>
        <v>6763.7822038320437</v>
      </c>
      <c r="AA1966" s="30">
        <f t="shared" si="61"/>
        <v>0</v>
      </c>
      <c r="AB1966" t="s">
        <v>456</v>
      </c>
    </row>
    <row r="1967" spans="1:28">
      <c r="A1967" t="s">
        <v>113</v>
      </c>
      <c r="B1967" s="91">
        <v>1326958</v>
      </c>
      <c r="C1967" s="92">
        <v>4615491435</v>
      </c>
      <c r="D1967" s="93">
        <v>19175</v>
      </c>
      <c r="F1967" s="94">
        <v>16</v>
      </c>
      <c r="G1967" s="94">
        <v>0</v>
      </c>
      <c r="H1967" s="91">
        <v>0</v>
      </c>
      <c r="I1967" s="91">
        <v>0</v>
      </c>
      <c r="J1967" s="41">
        <v>43138</v>
      </c>
      <c r="K1967" s="41">
        <v>43159</v>
      </c>
      <c r="L1967" s="69" t="s">
        <v>119</v>
      </c>
      <c r="M1967" s="69" t="s">
        <v>299</v>
      </c>
      <c r="N1967" s="98"/>
      <c r="P1967" t="s">
        <v>95</v>
      </c>
      <c r="Q1967" t="s">
        <v>133</v>
      </c>
      <c r="R1967" s="92" t="s">
        <v>69</v>
      </c>
      <c r="S1967" s="92" t="s">
        <v>115</v>
      </c>
      <c r="V1967" s="95">
        <v>43159</v>
      </c>
      <c r="W1967" s="92" t="s">
        <v>326</v>
      </c>
      <c r="X1967" s="90"/>
      <c r="Y1967" s="123"/>
      <c r="Z1967" s="30">
        <f t="shared" si="60"/>
        <v>6763.7822038320437</v>
      </c>
      <c r="AA1967" s="30">
        <f t="shared" si="61"/>
        <v>0</v>
      </c>
      <c r="AB1967" t="s">
        <v>456</v>
      </c>
    </row>
    <row r="1968" spans="1:28">
      <c r="A1968" t="s">
        <v>113</v>
      </c>
      <c r="B1968" s="91">
        <v>1326965</v>
      </c>
      <c r="C1968" s="92">
        <v>4615491435</v>
      </c>
      <c r="D1968" s="93">
        <v>19175</v>
      </c>
      <c r="F1968" s="94">
        <v>16</v>
      </c>
      <c r="G1968" s="94">
        <v>0</v>
      </c>
      <c r="H1968" s="91">
        <v>0</v>
      </c>
      <c r="I1968" s="91">
        <v>0</v>
      </c>
      <c r="J1968" s="41">
        <v>43138</v>
      </c>
      <c r="K1968" s="41">
        <v>43159</v>
      </c>
      <c r="L1968" s="69" t="s">
        <v>119</v>
      </c>
      <c r="M1968" s="69" t="s">
        <v>299</v>
      </c>
      <c r="N1968" s="98"/>
      <c r="P1968" t="s">
        <v>95</v>
      </c>
      <c r="Q1968" t="s">
        <v>133</v>
      </c>
      <c r="R1968" s="92" t="s">
        <v>69</v>
      </c>
      <c r="S1968" s="92" t="s">
        <v>115</v>
      </c>
      <c r="V1968" s="95">
        <v>43159</v>
      </c>
      <c r="W1968" s="92" t="s">
        <v>326</v>
      </c>
      <c r="X1968" s="90"/>
      <c r="Y1968" s="123"/>
      <c r="Z1968" s="30">
        <f t="shared" si="60"/>
        <v>6763.7822038320437</v>
      </c>
      <c r="AA1968" s="30">
        <f t="shared" si="61"/>
        <v>0</v>
      </c>
      <c r="AB1968" t="s">
        <v>456</v>
      </c>
    </row>
    <row r="1969" spans="1:28">
      <c r="A1969" t="s">
        <v>113</v>
      </c>
      <c r="B1969" s="91">
        <v>1326961</v>
      </c>
      <c r="C1969" s="92">
        <v>4615491435</v>
      </c>
      <c r="D1969" s="93">
        <v>19175</v>
      </c>
      <c r="F1969" s="94">
        <v>16</v>
      </c>
      <c r="G1969" s="94">
        <v>0</v>
      </c>
      <c r="H1969" s="91">
        <v>0</v>
      </c>
      <c r="I1969" s="91">
        <v>0</v>
      </c>
      <c r="J1969" s="41">
        <v>43138</v>
      </c>
      <c r="K1969" s="41">
        <v>43159</v>
      </c>
      <c r="L1969" s="69" t="s">
        <v>119</v>
      </c>
      <c r="M1969" s="69" t="s">
        <v>299</v>
      </c>
      <c r="N1969" s="98"/>
      <c r="P1969" t="s">
        <v>95</v>
      </c>
      <c r="Q1969" t="s">
        <v>133</v>
      </c>
      <c r="R1969" s="92" t="s">
        <v>69</v>
      </c>
      <c r="S1969" s="92" t="s">
        <v>115</v>
      </c>
      <c r="V1969" s="95">
        <v>43159</v>
      </c>
      <c r="W1969" s="92" t="s">
        <v>326</v>
      </c>
      <c r="X1969" s="90"/>
      <c r="Y1969" s="123"/>
      <c r="Z1969" s="30">
        <f t="shared" si="60"/>
        <v>6763.7822038320437</v>
      </c>
      <c r="AA1969" s="30">
        <f t="shared" si="61"/>
        <v>0</v>
      </c>
      <c r="AB1969" t="s">
        <v>456</v>
      </c>
    </row>
    <row r="1970" spans="1:28">
      <c r="A1970" t="s">
        <v>113</v>
      </c>
      <c r="B1970" s="91">
        <v>1326962</v>
      </c>
      <c r="C1970" s="92">
        <v>4615491435</v>
      </c>
      <c r="D1970" s="93">
        <v>19175</v>
      </c>
      <c r="F1970" s="94">
        <v>16</v>
      </c>
      <c r="G1970" s="94">
        <v>0</v>
      </c>
      <c r="H1970" s="91">
        <v>0</v>
      </c>
      <c r="I1970" s="91">
        <v>0</v>
      </c>
      <c r="J1970" s="41">
        <v>43138</v>
      </c>
      <c r="K1970" s="41">
        <v>43159</v>
      </c>
      <c r="L1970" s="69" t="s">
        <v>119</v>
      </c>
      <c r="M1970" s="69" t="s">
        <v>299</v>
      </c>
      <c r="N1970" s="98"/>
      <c r="P1970" t="s">
        <v>95</v>
      </c>
      <c r="Q1970" t="s">
        <v>133</v>
      </c>
      <c r="R1970" s="92" t="s">
        <v>69</v>
      </c>
      <c r="S1970" s="92" t="s">
        <v>115</v>
      </c>
      <c r="V1970" s="95">
        <v>43159</v>
      </c>
      <c r="W1970" s="92" t="s">
        <v>326</v>
      </c>
      <c r="X1970" s="90"/>
      <c r="Y1970" s="123"/>
      <c r="Z1970" s="30">
        <f t="shared" si="60"/>
        <v>6763.7822038320437</v>
      </c>
      <c r="AA1970" s="30">
        <f t="shared" si="61"/>
        <v>0</v>
      </c>
      <c r="AB1970" t="s">
        <v>456</v>
      </c>
    </row>
    <row r="1971" spans="1:28">
      <c r="A1971" t="s">
        <v>113</v>
      </c>
      <c r="B1971" s="91">
        <v>1326964</v>
      </c>
      <c r="C1971" s="92">
        <v>4615491435</v>
      </c>
      <c r="D1971" s="93">
        <v>19175</v>
      </c>
      <c r="F1971" s="94">
        <v>16</v>
      </c>
      <c r="G1971" s="94">
        <v>0</v>
      </c>
      <c r="H1971" s="91">
        <v>0</v>
      </c>
      <c r="I1971" s="91">
        <v>0</v>
      </c>
      <c r="J1971" s="41">
        <v>43138</v>
      </c>
      <c r="K1971" s="41">
        <v>43159</v>
      </c>
      <c r="L1971" s="69" t="s">
        <v>119</v>
      </c>
      <c r="M1971" s="69" t="s">
        <v>299</v>
      </c>
      <c r="N1971" s="98"/>
      <c r="P1971" t="s">
        <v>95</v>
      </c>
      <c r="Q1971" t="s">
        <v>133</v>
      </c>
      <c r="R1971" s="92" t="s">
        <v>69</v>
      </c>
      <c r="S1971" s="92" t="s">
        <v>115</v>
      </c>
      <c r="V1971" s="95">
        <v>43159</v>
      </c>
      <c r="W1971" s="92" t="s">
        <v>326</v>
      </c>
      <c r="X1971" s="90"/>
      <c r="Y1971" s="123"/>
      <c r="Z1971" s="30">
        <f t="shared" si="60"/>
        <v>6763.7822038320437</v>
      </c>
      <c r="AA1971" s="30">
        <f t="shared" si="61"/>
        <v>0</v>
      </c>
      <c r="AB1971" t="s">
        <v>456</v>
      </c>
    </row>
    <row r="1972" spans="1:28">
      <c r="A1972" t="s">
        <v>113</v>
      </c>
      <c r="B1972" s="91">
        <v>1326963</v>
      </c>
      <c r="C1972" s="92">
        <v>4615491435</v>
      </c>
      <c r="D1972" s="93">
        <v>19175</v>
      </c>
      <c r="F1972" s="94">
        <v>16</v>
      </c>
      <c r="G1972" s="94">
        <v>0</v>
      </c>
      <c r="H1972" s="91">
        <v>0</v>
      </c>
      <c r="I1972" s="91">
        <v>0</v>
      </c>
      <c r="J1972" s="41">
        <v>43138</v>
      </c>
      <c r="K1972" s="41">
        <v>43159</v>
      </c>
      <c r="L1972" s="69" t="s">
        <v>119</v>
      </c>
      <c r="M1972" s="69" t="s">
        <v>299</v>
      </c>
      <c r="N1972" s="98"/>
      <c r="P1972" t="s">
        <v>95</v>
      </c>
      <c r="Q1972" t="s">
        <v>133</v>
      </c>
      <c r="R1972" s="92" t="s">
        <v>69</v>
      </c>
      <c r="S1972" s="92" t="s">
        <v>115</v>
      </c>
      <c r="V1972" s="95">
        <v>43159</v>
      </c>
      <c r="W1972" s="92" t="s">
        <v>326</v>
      </c>
      <c r="X1972" s="90"/>
      <c r="Y1972" s="123"/>
      <c r="Z1972" s="30">
        <f t="shared" si="60"/>
        <v>6763.7822038320437</v>
      </c>
      <c r="AA1972" s="30">
        <f t="shared" si="61"/>
        <v>0</v>
      </c>
      <c r="AB1972" t="s">
        <v>456</v>
      </c>
    </row>
    <row r="1973" spans="1:28">
      <c r="A1973" t="s">
        <v>113</v>
      </c>
      <c r="B1973" s="91" t="s">
        <v>160</v>
      </c>
      <c r="C1973" s="92" t="s">
        <v>161</v>
      </c>
      <c r="D1973" s="93">
        <v>21600</v>
      </c>
      <c r="F1973" s="91">
        <v>16</v>
      </c>
      <c r="G1973" s="96">
        <v>5</v>
      </c>
      <c r="H1973" s="94">
        <v>0</v>
      </c>
      <c r="I1973" s="91">
        <v>0</v>
      </c>
      <c r="J1973" s="41"/>
      <c r="K1973" s="41">
        <v>43159</v>
      </c>
      <c r="L1973" s="69" t="s">
        <v>80</v>
      </c>
      <c r="M1973" s="69" t="s">
        <v>109</v>
      </c>
      <c r="N1973" s="95">
        <v>43150</v>
      </c>
      <c r="P1973" t="s">
        <v>95</v>
      </c>
      <c r="Q1973" t="s">
        <v>133</v>
      </c>
      <c r="R1973" s="92" t="s">
        <v>69</v>
      </c>
      <c r="S1973" s="92" t="s">
        <v>115</v>
      </c>
      <c r="V1973" s="95">
        <v>43159</v>
      </c>
      <c r="W1973" s="92" t="s">
        <v>327</v>
      </c>
      <c r="X1973" s="90" t="s">
        <v>196</v>
      </c>
      <c r="Y1973" s="123"/>
      <c r="Z1973" s="30">
        <f t="shared" si="60"/>
        <v>7619.1757811093694</v>
      </c>
      <c r="AA1973" s="30">
        <f t="shared" si="61"/>
        <v>2380.9924315966778</v>
      </c>
      <c r="AB1973" t="s">
        <v>456</v>
      </c>
    </row>
    <row r="1974" spans="1:28">
      <c r="A1974" t="s">
        <v>113</v>
      </c>
      <c r="B1974" s="91" t="s">
        <v>160</v>
      </c>
      <c r="C1974" s="92" t="s">
        <v>161</v>
      </c>
      <c r="D1974" s="93">
        <v>21600</v>
      </c>
      <c r="F1974" s="91">
        <v>16</v>
      </c>
      <c r="G1974" s="96">
        <v>5</v>
      </c>
      <c r="H1974" s="94">
        <v>0</v>
      </c>
      <c r="I1974" s="91">
        <v>0</v>
      </c>
      <c r="J1974" s="41"/>
      <c r="K1974" s="41">
        <v>43159</v>
      </c>
      <c r="L1974" s="69" t="s">
        <v>80</v>
      </c>
      <c r="M1974" s="69" t="s">
        <v>109</v>
      </c>
      <c r="N1974" s="95">
        <v>43150</v>
      </c>
      <c r="P1974" t="s">
        <v>95</v>
      </c>
      <c r="Q1974" t="s">
        <v>133</v>
      </c>
      <c r="R1974" s="92" t="s">
        <v>69</v>
      </c>
      <c r="S1974" s="92" t="s">
        <v>115</v>
      </c>
      <c r="V1974" s="95">
        <v>43159</v>
      </c>
      <c r="W1974" s="92" t="s">
        <v>327</v>
      </c>
      <c r="X1974" s="90" t="s">
        <v>196</v>
      </c>
      <c r="Y1974" s="123"/>
      <c r="Z1974" s="30">
        <f t="shared" si="60"/>
        <v>7619.1757811093694</v>
      </c>
      <c r="AA1974" s="30">
        <f t="shared" si="61"/>
        <v>2380.9924315966778</v>
      </c>
      <c r="AB1974" t="s">
        <v>456</v>
      </c>
    </row>
    <row r="1975" spans="1:28">
      <c r="A1975" t="s">
        <v>113</v>
      </c>
      <c r="B1975" s="91" t="s">
        <v>160</v>
      </c>
      <c r="C1975" s="92" t="s">
        <v>161</v>
      </c>
      <c r="D1975" s="93">
        <v>21600</v>
      </c>
      <c r="F1975" s="91">
        <v>16</v>
      </c>
      <c r="G1975" s="96">
        <v>5</v>
      </c>
      <c r="H1975" s="94">
        <v>0</v>
      </c>
      <c r="I1975" s="91">
        <v>0</v>
      </c>
      <c r="J1975" s="41"/>
      <c r="K1975" s="41">
        <v>43159</v>
      </c>
      <c r="L1975" s="69" t="s">
        <v>80</v>
      </c>
      <c r="M1975" s="69" t="s">
        <v>109</v>
      </c>
      <c r="N1975" s="95">
        <v>43150</v>
      </c>
      <c r="P1975" t="s">
        <v>95</v>
      </c>
      <c r="Q1975" t="s">
        <v>133</v>
      </c>
      <c r="R1975" s="92" t="s">
        <v>69</v>
      </c>
      <c r="S1975" s="92" t="s">
        <v>115</v>
      </c>
      <c r="V1975" s="95">
        <v>43159</v>
      </c>
      <c r="W1975" s="92" t="s">
        <v>327</v>
      </c>
      <c r="X1975" s="90" t="s">
        <v>196</v>
      </c>
      <c r="Y1975" s="123"/>
      <c r="Z1975" s="30">
        <f t="shared" si="60"/>
        <v>7619.1757811093694</v>
      </c>
      <c r="AA1975" s="30">
        <f t="shared" si="61"/>
        <v>2380.9924315966778</v>
      </c>
      <c r="AB1975" t="s">
        <v>456</v>
      </c>
    </row>
    <row r="1976" spans="1:28">
      <c r="A1976" t="s">
        <v>113</v>
      </c>
      <c r="B1976" s="91" t="s">
        <v>160</v>
      </c>
      <c r="C1976" s="92" t="s">
        <v>161</v>
      </c>
      <c r="D1976" s="93">
        <v>21600</v>
      </c>
      <c r="F1976" s="91">
        <v>16</v>
      </c>
      <c r="G1976" s="96">
        <v>5</v>
      </c>
      <c r="H1976" s="94">
        <v>0</v>
      </c>
      <c r="I1976" s="91">
        <v>0</v>
      </c>
      <c r="J1976" s="41"/>
      <c r="K1976" s="41">
        <v>43159</v>
      </c>
      <c r="L1976" s="69" t="s">
        <v>80</v>
      </c>
      <c r="M1976" s="69" t="s">
        <v>109</v>
      </c>
      <c r="N1976" s="95">
        <v>43150</v>
      </c>
      <c r="P1976" t="s">
        <v>95</v>
      </c>
      <c r="Q1976" t="s">
        <v>133</v>
      </c>
      <c r="R1976" s="92" t="s">
        <v>69</v>
      </c>
      <c r="S1976" s="92" t="s">
        <v>115</v>
      </c>
      <c r="V1976" s="95">
        <v>43159</v>
      </c>
      <c r="W1976" s="92" t="s">
        <v>327</v>
      </c>
      <c r="X1976" s="90" t="s">
        <v>196</v>
      </c>
      <c r="Y1976" s="123"/>
      <c r="Z1976" s="30">
        <f t="shared" si="60"/>
        <v>7619.1757811093694</v>
      </c>
      <c r="AA1976" s="30">
        <f t="shared" si="61"/>
        <v>2380.9924315966778</v>
      </c>
      <c r="AB1976" t="s">
        <v>456</v>
      </c>
    </row>
    <row r="1977" spans="1:28">
      <c r="A1977" t="s">
        <v>113</v>
      </c>
      <c r="B1977" s="91" t="s">
        <v>160</v>
      </c>
      <c r="C1977" s="92" t="s">
        <v>161</v>
      </c>
      <c r="D1977" s="93">
        <v>21600</v>
      </c>
      <c r="F1977" s="91">
        <v>16</v>
      </c>
      <c r="G1977" s="96">
        <v>5</v>
      </c>
      <c r="H1977" s="94">
        <v>0</v>
      </c>
      <c r="I1977" s="91">
        <v>0</v>
      </c>
      <c r="J1977" s="41"/>
      <c r="K1977" s="41">
        <v>43159</v>
      </c>
      <c r="L1977" s="69" t="s">
        <v>80</v>
      </c>
      <c r="M1977" s="69" t="s">
        <v>109</v>
      </c>
      <c r="N1977" s="95">
        <v>43150</v>
      </c>
      <c r="P1977" t="s">
        <v>95</v>
      </c>
      <c r="Q1977" t="s">
        <v>133</v>
      </c>
      <c r="R1977" s="92" t="s">
        <v>69</v>
      </c>
      <c r="S1977" s="92" t="s">
        <v>115</v>
      </c>
      <c r="V1977" s="95">
        <v>43159</v>
      </c>
      <c r="W1977" s="92" t="s">
        <v>327</v>
      </c>
      <c r="X1977" s="90" t="s">
        <v>196</v>
      </c>
      <c r="Y1977" s="123"/>
      <c r="Z1977" s="30">
        <f t="shared" si="60"/>
        <v>7619.1757811093694</v>
      </c>
      <c r="AA1977" s="30">
        <f t="shared" si="61"/>
        <v>2380.9924315966778</v>
      </c>
      <c r="AB1977" t="s">
        <v>456</v>
      </c>
    </row>
    <row r="1978" spans="1:28">
      <c r="A1978" t="s">
        <v>113</v>
      </c>
      <c r="B1978" s="91" t="s">
        <v>160</v>
      </c>
      <c r="C1978" s="92" t="s">
        <v>161</v>
      </c>
      <c r="D1978" s="93">
        <v>21600</v>
      </c>
      <c r="F1978" s="91">
        <v>16</v>
      </c>
      <c r="G1978" s="96">
        <v>5</v>
      </c>
      <c r="H1978" s="94">
        <v>0</v>
      </c>
      <c r="I1978" s="91">
        <v>0</v>
      </c>
      <c r="J1978" s="41"/>
      <c r="K1978" s="41">
        <v>43159</v>
      </c>
      <c r="L1978" s="69" t="s">
        <v>80</v>
      </c>
      <c r="M1978" s="69" t="s">
        <v>109</v>
      </c>
      <c r="N1978" s="95">
        <v>43150</v>
      </c>
      <c r="P1978" t="s">
        <v>95</v>
      </c>
      <c r="Q1978" t="s">
        <v>133</v>
      </c>
      <c r="R1978" s="92" t="s">
        <v>69</v>
      </c>
      <c r="S1978" s="92" t="s">
        <v>115</v>
      </c>
      <c r="V1978" s="95">
        <v>43159</v>
      </c>
      <c r="W1978" s="92" t="s">
        <v>327</v>
      </c>
      <c r="X1978" s="90" t="s">
        <v>196</v>
      </c>
      <c r="Y1978" s="123"/>
      <c r="Z1978" s="30">
        <f t="shared" si="60"/>
        <v>7619.1757811093694</v>
      </c>
      <c r="AA1978" s="30">
        <f t="shared" si="61"/>
        <v>2380.9924315966778</v>
      </c>
      <c r="AB1978" t="s">
        <v>456</v>
      </c>
    </row>
    <row r="1979" spans="1:28">
      <c r="A1979" t="s">
        <v>113</v>
      </c>
      <c r="B1979" s="91" t="s">
        <v>160</v>
      </c>
      <c r="C1979" s="92" t="s">
        <v>161</v>
      </c>
      <c r="D1979" s="93">
        <v>21600</v>
      </c>
      <c r="F1979" s="91">
        <v>16</v>
      </c>
      <c r="G1979" s="96">
        <v>5</v>
      </c>
      <c r="H1979" s="94">
        <v>0</v>
      </c>
      <c r="I1979" s="91">
        <v>0</v>
      </c>
      <c r="J1979" s="41"/>
      <c r="K1979" s="41">
        <v>43159</v>
      </c>
      <c r="L1979" s="69" t="s">
        <v>80</v>
      </c>
      <c r="M1979" s="69" t="s">
        <v>109</v>
      </c>
      <c r="N1979" s="95">
        <v>43150</v>
      </c>
      <c r="P1979" t="s">
        <v>95</v>
      </c>
      <c r="Q1979" t="s">
        <v>133</v>
      </c>
      <c r="R1979" s="92" t="s">
        <v>69</v>
      </c>
      <c r="S1979" s="92" t="s">
        <v>115</v>
      </c>
      <c r="V1979" s="95">
        <v>43159</v>
      </c>
      <c r="W1979" s="92" t="s">
        <v>327</v>
      </c>
      <c r="X1979" s="90" t="s">
        <v>196</v>
      </c>
      <c r="Y1979" s="123"/>
      <c r="Z1979" s="30">
        <f t="shared" si="60"/>
        <v>7619.1757811093694</v>
      </c>
      <c r="AA1979" s="30">
        <f t="shared" si="61"/>
        <v>2380.9924315966778</v>
      </c>
      <c r="AB1979" t="s">
        <v>456</v>
      </c>
    </row>
    <row r="1980" spans="1:28">
      <c r="A1980" t="s">
        <v>113</v>
      </c>
      <c r="B1980" s="91" t="s">
        <v>160</v>
      </c>
      <c r="C1980" s="92" t="s">
        <v>161</v>
      </c>
      <c r="D1980" s="93">
        <v>21600</v>
      </c>
      <c r="F1980" s="91">
        <v>16</v>
      </c>
      <c r="G1980" s="96">
        <v>5</v>
      </c>
      <c r="H1980" s="94">
        <v>0</v>
      </c>
      <c r="I1980" s="91">
        <v>0</v>
      </c>
      <c r="J1980" s="41"/>
      <c r="K1980" s="41">
        <v>43159</v>
      </c>
      <c r="L1980" s="69" t="s">
        <v>80</v>
      </c>
      <c r="M1980" s="69" t="s">
        <v>109</v>
      </c>
      <c r="N1980" s="95">
        <v>43150</v>
      </c>
      <c r="P1980" t="s">
        <v>95</v>
      </c>
      <c r="Q1980" t="s">
        <v>133</v>
      </c>
      <c r="R1980" s="92" t="s">
        <v>69</v>
      </c>
      <c r="S1980" s="92" t="s">
        <v>115</v>
      </c>
      <c r="V1980" s="95">
        <v>43159</v>
      </c>
      <c r="W1980" s="92" t="s">
        <v>327</v>
      </c>
      <c r="X1980" s="90" t="s">
        <v>196</v>
      </c>
      <c r="Y1980" s="123"/>
      <c r="Z1980" s="30">
        <f t="shared" si="60"/>
        <v>7619.1757811093694</v>
      </c>
      <c r="AA1980" s="30">
        <f t="shared" si="61"/>
        <v>2380.9924315966778</v>
      </c>
      <c r="AB1980" t="s">
        <v>456</v>
      </c>
    </row>
    <row r="1981" spans="1:28">
      <c r="A1981" t="s">
        <v>113</v>
      </c>
      <c r="B1981" s="91" t="s">
        <v>160</v>
      </c>
      <c r="C1981" s="92" t="s">
        <v>161</v>
      </c>
      <c r="D1981" s="93">
        <v>21600</v>
      </c>
      <c r="F1981" s="91">
        <v>16</v>
      </c>
      <c r="G1981" s="96">
        <v>5</v>
      </c>
      <c r="H1981" s="94">
        <v>0</v>
      </c>
      <c r="I1981" s="91">
        <v>0</v>
      </c>
      <c r="J1981" s="41"/>
      <c r="K1981" s="41">
        <v>43159</v>
      </c>
      <c r="L1981" s="69" t="s">
        <v>80</v>
      </c>
      <c r="M1981" s="69" t="s">
        <v>109</v>
      </c>
      <c r="N1981" s="95">
        <v>43150</v>
      </c>
      <c r="P1981" t="s">
        <v>95</v>
      </c>
      <c r="Q1981" t="s">
        <v>133</v>
      </c>
      <c r="R1981" s="92" t="s">
        <v>69</v>
      </c>
      <c r="S1981" s="92" t="s">
        <v>115</v>
      </c>
      <c r="V1981" s="95">
        <v>43159</v>
      </c>
      <c r="W1981" s="92" t="s">
        <v>327</v>
      </c>
      <c r="X1981" s="90" t="s">
        <v>196</v>
      </c>
      <c r="Y1981" s="123"/>
      <c r="Z1981" s="30">
        <f t="shared" si="60"/>
        <v>7619.1757811093694</v>
      </c>
      <c r="AA1981" s="30">
        <f t="shared" si="61"/>
        <v>2380.9924315966778</v>
      </c>
      <c r="AB1981" t="s">
        <v>456</v>
      </c>
    </row>
    <row r="1982" spans="1:28">
      <c r="A1982" t="s">
        <v>113</v>
      </c>
      <c r="B1982" s="91" t="s">
        <v>160</v>
      </c>
      <c r="C1982" s="92" t="s">
        <v>161</v>
      </c>
      <c r="D1982" s="93">
        <v>21600</v>
      </c>
      <c r="F1982" s="91">
        <v>16</v>
      </c>
      <c r="G1982" s="96">
        <v>5</v>
      </c>
      <c r="H1982" s="94">
        <v>0</v>
      </c>
      <c r="I1982" s="91">
        <v>0</v>
      </c>
      <c r="J1982" s="41"/>
      <c r="K1982" s="41">
        <v>43159</v>
      </c>
      <c r="L1982" s="69" t="s">
        <v>80</v>
      </c>
      <c r="M1982" s="69" t="s">
        <v>109</v>
      </c>
      <c r="N1982" s="95">
        <v>43150</v>
      </c>
      <c r="P1982" t="s">
        <v>95</v>
      </c>
      <c r="Q1982" t="s">
        <v>133</v>
      </c>
      <c r="R1982" s="92" t="s">
        <v>69</v>
      </c>
      <c r="S1982" s="92" t="s">
        <v>115</v>
      </c>
      <c r="V1982" s="95">
        <v>43159</v>
      </c>
      <c r="W1982" s="92" t="s">
        <v>327</v>
      </c>
      <c r="X1982" s="90" t="s">
        <v>196</v>
      </c>
      <c r="Y1982" s="123"/>
      <c r="Z1982" s="30">
        <f t="shared" si="60"/>
        <v>7619.1757811093694</v>
      </c>
      <c r="AA1982" s="30">
        <f t="shared" si="61"/>
        <v>2380.9924315966778</v>
      </c>
      <c r="AB1982" t="s">
        <v>456</v>
      </c>
    </row>
    <row r="1983" spans="1:28">
      <c r="A1983" t="s">
        <v>113</v>
      </c>
      <c r="B1983" s="91" t="s">
        <v>160</v>
      </c>
      <c r="C1983" s="92" t="s">
        <v>161</v>
      </c>
      <c r="D1983" s="93">
        <v>21600</v>
      </c>
      <c r="F1983" s="91">
        <v>16</v>
      </c>
      <c r="G1983" s="96">
        <v>5</v>
      </c>
      <c r="H1983" s="94">
        <v>0</v>
      </c>
      <c r="I1983" s="91">
        <v>0</v>
      </c>
      <c r="J1983" s="41"/>
      <c r="K1983" s="41">
        <v>43159</v>
      </c>
      <c r="L1983" s="69" t="s">
        <v>80</v>
      </c>
      <c r="M1983" s="69" t="s">
        <v>109</v>
      </c>
      <c r="N1983" s="95">
        <v>43150</v>
      </c>
      <c r="P1983" t="s">
        <v>95</v>
      </c>
      <c r="Q1983" t="s">
        <v>133</v>
      </c>
      <c r="R1983" s="92" t="s">
        <v>69</v>
      </c>
      <c r="S1983" s="92" t="s">
        <v>115</v>
      </c>
      <c r="V1983" s="95">
        <v>43159</v>
      </c>
      <c r="W1983" s="92" t="s">
        <v>327</v>
      </c>
      <c r="X1983" s="90" t="s">
        <v>196</v>
      </c>
      <c r="Y1983" s="123"/>
      <c r="Z1983" s="30">
        <f t="shared" si="60"/>
        <v>7619.1757811093694</v>
      </c>
      <c r="AA1983" s="30">
        <f t="shared" si="61"/>
        <v>2380.9924315966778</v>
      </c>
      <c r="AB1983" t="s">
        <v>456</v>
      </c>
    </row>
    <row r="1984" spans="1:28">
      <c r="A1984" t="s">
        <v>113</v>
      </c>
      <c r="B1984" s="91" t="s">
        <v>160</v>
      </c>
      <c r="C1984" s="92" t="s">
        <v>161</v>
      </c>
      <c r="D1984" s="93">
        <v>21600</v>
      </c>
      <c r="F1984" s="91">
        <v>16</v>
      </c>
      <c r="G1984" s="96">
        <v>5</v>
      </c>
      <c r="H1984" s="94">
        <v>0</v>
      </c>
      <c r="I1984" s="91">
        <v>0</v>
      </c>
      <c r="J1984" s="41"/>
      <c r="K1984" s="41">
        <v>43159</v>
      </c>
      <c r="L1984" s="69" t="s">
        <v>80</v>
      </c>
      <c r="M1984" s="69" t="s">
        <v>109</v>
      </c>
      <c r="N1984" s="95">
        <v>43150</v>
      </c>
      <c r="P1984" t="s">
        <v>95</v>
      </c>
      <c r="Q1984" t="s">
        <v>133</v>
      </c>
      <c r="R1984" s="92" t="s">
        <v>69</v>
      </c>
      <c r="S1984" s="92" t="s">
        <v>115</v>
      </c>
      <c r="V1984" s="95">
        <v>43159</v>
      </c>
      <c r="W1984" s="92" t="s">
        <v>327</v>
      </c>
      <c r="X1984" s="90" t="s">
        <v>196</v>
      </c>
      <c r="Y1984" s="123"/>
      <c r="Z1984" s="30">
        <f t="shared" si="60"/>
        <v>7619.1757811093694</v>
      </c>
      <c r="AA1984" s="30">
        <f t="shared" si="61"/>
        <v>2380.9924315966778</v>
      </c>
      <c r="AB1984" t="s">
        <v>456</v>
      </c>
    </row>
    <row r="1985" spans="1:28">
      <c r="A1985" t="s">
        <v>128</v>
      </c>
      <c r="B1985" s="91"/>
      <c r="C1985" s="92">
        <v>4615457536</v>
      </c>
      <c r="D1985" s="93">
        <v>19175</v>
      </c>
      <c r="F1985" s="91">
        <v>154.4</v>
      </c>
      <c r="G1985" s="91">
        <v>0</v>
      </c>
      <c r="H1985" s="91">
        <v>0</v>
      </c>
      <c r="I1985" s="91">
        <v>0</v>
      </c>
      <c r="J1985" s="41"/>
      <c r="K1985" s="41">
        <v>43159</v>
      </c>
      <c r="L1985" s="69" t="s">
        <v>80</v>
      </c>
      <c r="M1985" s="69" t="s">
        <v>286</v>
      </c>
      <c r="N1985" s="95"/>
      <c r="P1985" t="s">
        <v>95</v>
      </c>
      <c r="Q1985" t="s">
        <v>129</v>
      </c>
      <c r="R1985" s="92" t="s">
        <v>69</v>
      </c>
      <c r="S1985" s="92" t="s">
        <v>130</v>
      </c>
      <c r="V1985" s="95">
        <v>43159</v>
      </c>
      <c r="W1985" s="92">
        <v>425580001</v>
      </c>
      <c r="X1985" s="90"/>
      <c r="Y1985" s="123"/>
      <c r="Z1985" s="30">
        <f t="shared" si="60"/>
        <v>65270.498266979223</v>
      </c>
      <c r="AA1985" s="30">
        <f t="shared" si="61"/>
        <v>0</v>
      </c>
      <c r="AB1985" t="s">
        <v>457</v>
      </c>
    </row>
    <row r="1986" spans="1:28">
      <c r="A1986" t="s">
        <v>128</v>
      </c>
      <c r="B1986" s="91"/>
      <c r="C1986" s="92">
        <v>4615457536</v>
      </c>
      <c r="D1986" s="93">
        <v>19175</v>
      </c>
      <c r="F1986" s="91">
        <v>154.4</v>
      </c>
      <c r="G1986" s="91">
        <v>0</v>
      </c>
      <c r="H1986" s="91">
        <v>0</v>
      </c>
      <c r="I1986" s="91">
        <v>0</v>
      </c>
      <c r="J1986" s="41"/>
      <c r="K1986" s="41">
        <v>43159</v>
      </c>
      <c r="L1986" s="69" t="s">
        <v>80</v>
      </c>
      <c r="M1986" s="69" t="s">
        <v>286</v>
      </c>
      <c r="N1986" s="95"/>
      <c r="P1986" t="s">
        <v>95</v>
      </c>
      <c r="Q1986" t="s">
        <v>129</v>
      </c>
      <c r="R1986" s="92" t="s">
        <v>69</v>
      </c>
      <c r="S1986" s="92" t="s">
        <v>130</v>
      </c>
      <c r="V1986" s="95">
        <v>43159</v>
      </c>
      <c r="W1986" s="92">
        <v>425580001</v>
      </c>
      <c r="X1986" s="90"/>
      <c r="Y1986" s="123"/>
      <c r="Z1986" s="30">
        <f t="shared" si="60"/>
        <v>65270.498266979223</v>
      </c>
      <c r="AA1986" s="30">
        <f t="shared" si="61"/>
        <v>0</v>
      </c>
      <c r="AB1986" t="s">
        <v>457</v>
      </c>
    </row>
    <row r="1987" spans="1:28">
      <c r="A1987" t="s">
        <v>128</v>
      </c>
      <c r="B1987" s="91"/>
      <c r="C1987" s="92">
        <v>4615457536</v>
      </c>
      <c r="D1987" s="93">
        <v>19175</v>
      </c>
      <c r="F1987" s="91">
        <v>154.4</v>
      </c>
      <c r="G1987" s="91">
        <v>0</v>
      </c>
      <c r="H1987" s="91">
        <v>0</v>
      </c>
      <c r="I1987" s="91">
        <v>0</v>
      </c>
      <c r="J1987" s="41"/>
      <c r="K1987" s="41">
        <v>43159</v>
      </c>
      <c r="L1987" s="69" t="s">
        <v>80</v>
      </c>
      <c r="M1987" s="69" t="s">
        <v>286</v>
      </c>
      <c r="N1987" s="95"/>
      <c r="P1987" t="s">
        <v>95</v>
      </c>
      <c r="Q1987" t="s">
        <v>129</v>
      </c>
      <c r="R1987" s="92" t="s">
        <v>69</v>
      </c>
      <c r="S1987" s="92" t="s">
        <v>130</v>
      </c>
      <c r="V1987" s="95">
        <v>43159</v>
      </c>
      <c r="W1987" s="92">
        <v>425580001</v>
      </c>
      <c r="X1987" s="90"/>
      <c r="Y1987" s="123"/>
      <c r="Z1987" s="30">
        <f t="shared" ref="Z1987:Z2050" si="62">CONVERT(D1987,"kg","lbm")*F1987/100</f>
        <v>65270.498266979223</v>
      </c>
      <c r="AA1987" s="30">
        <f t="shared" ref="AA1987:AA2050" si="63">CONVERT(D1987,"kg","lbm")*G1987/100</f>
        <v>0</v>
      </c>
      <c r="AB1987" t="s">
        <v>457</v>
      </c>
    </row>
    <row r="1988" spans="1:28">
      <c r="A1988" t="s">
        <v>128</v>
      </c>
      <c r="B1988" s="91"/>
      <c r="C1988" s="92">
        <v>4615457536</v>
      </c>
      <c r="D1988" s="93">
        <v>19175</v>
      </c>
      <c r="F1988" s="91">
        <v>154.4</v>
      </c>
      <c r="G1988" s="91">
        <v>0</v>
      </c>
      <c r="H1988" s="91">
        <v>0</v>
      </c>
      <c r="I1988" s="91">
        <v>0</v>
      </c>
      <c r="J1988" s="41"/>
      <c r="K1988" s="41">
        <v>43159</v>
      </c>
      <c r="L1988" s="69" t="s">
        <v>80</v>
      </c>
      <c r="M1988" s="69" t="s">
        <v>286</v>
      </c>
      <c r="N1988" s="95"/>
      <c r="P1988" t="s">
        <v>95</v>
      </c>
      <c r="Q1988" t="s">
        <v>129</v>
      </c>
      <c r="R1988" s="92" t="s">
        <v>69</v>
      </c>
      <c r="S1988" s="92" t="s">
        <v>130</v>
      </c>
      <c r="V1988" s="95">
        <v>43159</v>
      </c>
      <c r="W1988" s="92">
        <v>425580001</v>
      </c>
      <c r="X1988" s="90"/>
      <c r="Y1988" s="123"/>
      <c r="Z1988" s="30">
        <f t="shared" si="62"/>
        <v>65270.498266979223</v>
      </c>
      <c r="AA1988" s="30">
        <f t="shared" si="63"/>
        <v>0</v>
      </c>
      <c r="AB1988" t="s">
        <v>457</v>
      </c>
    </row>
    <row r="1989" spans="1:28">
      <c r="A1989" t="s">
        <v>128</v>
      </c>
      <c r="B1989" s="91"/>
      <c r="C1989" s="92">
        <v>4615457536</v>
      </c>
      <c r="D1989" s="93">
        <v>19175</v>
      </c>
      <c r="F1989" s="91">
        <v>154.4</v>
      </c>
      <c r="G1989" s="91">
        <v>0</v>
      </c>
      <c r="H1989" s="91">
        <v>0</v>
      </c>
      <c r="I1989" s="91">
        <v>0</v>
      </c>
      <c r="J1989" s="41"/>
      <c r="K1989" s="41">
        <v>43159</v>
      </c>
      <c r="L1989" s="69" t="s">
        <v>80</v>
      </c>
      <c r="M1989" s="69" t="s">
        <v>286</v>
      </c>
      <c r="N1989" s="95"/>
      <c r="P1989" t="s">
        <v>95</v>
      </c>
      <c r="Q1989" t="s">
        <v>129</v>
      </c>
      <c r="R1989" s="92" t="s">
        <v>69</v>
      </c>
      <c r="S1989" s="92" t="s">
        <v>130</v>
      </c>
      <c r="V1989" s="95">
        <v>43159</v>
      </c>
      <c r="W1989" s="92">
        <v>425580001</v>
      </c>
      <c r="X1989" s="90"/>
      <c r="Y1989" s="123"/>
      <c r="Z1989" s="30">
        <f t="shared" si="62"/>
        <v>65270.498266979223</v>
      </c>
      <c r="AA1989" s="30">
        <f t="shared" si="63"/>
        <v>0</v>
      </c>
      <c r="AB1989" t="s">
        <v>457</v>
      </c>
    </row>
    <row r="1990" spans="1:28">
      <c r="A1990" t="s">
        <v>131</v>
      </c>
      <c r="B1990" s="91"/>
      <c r="C1990" s="92">
        <v>4615449783</v>
      </c>
      <c r="D1990" s="93">
        <v>19175</v>
      </c>
      <c r="F1990" s="91">
        <v>154.4</v>
      </c>
      <c r="G1990" s="97">
        <v>0</v>
      </c>
      <c r="H1990" s="91">
        <v>0</v>
      </c>
      <c r="I1990" s="91">
        <v>0</v>
      </c>
      <c r="J1990" s="41"/>
      <c r="K1990" s="41">
        <v>43159</v>
      </c>
      <c r="L1990" s="69" t="s">
        <v>80</v>
      </c>
      <c r="M1990" s="69" t="s">
        <v>286</v>
      </c>
      <c r="N1990" s="95"/>
      <c r="P1990" t="s">
        <v>95</v>
      </c>
      <c r="Q1990" t="s">
        <v>133</v>
      </c>
      <c r="R1990" s="92" t="s">
        <v>69</v>
      </c>
      <c r="S1990" s="92" t="s">
        <v>134</v>
      </c>
      <c r="V1990" s="95">
        <v>43159</v>
      </c>
      <c r="W1990" s="92" t="s">
        <v>135</v>
      </c>
      <c r="X1990" s="90" t="s">
        <v>328</v>
      </c>
      <c r="Y1990" s="123"/>
      <c r="Z1990" s="30">
        <f t="shared" si="62"/>
        <v>65270.498266979223</v>
      </c>
      <c r="AA1990" s="30">
        <f t="shared" si="63"/>
        <v>0</v>
      </c>
      <c r="AB1990" t="s">
        <v>457</v>
      </c>
    </row>
    <row r="1991" spans="1:28">
      <c r="A1991" t="s">
        <v>131</v>
      </c>
      <c r="B1991" s="91">
        <v>1319649</v>
      </c>
      <c r="C1991" s="92">
        <v>4615490700</v>
      </c>
      <c r="D1991" s="93">
        <v>19175</v>
      </c>
      <c r="F1991" s="91">
        <v>154.33000000000001</v>
      </c>
      <c r="G1991" s="91">
        <v>0</v>
      </c>
      <c r="H1991" s="91">
        <v>0</v>
      </c>
      <c r="I1991" s="91">
        <v>0</v>
      </c>
      <c r="J1991" s="41">
        <v>43116</v>
      </c>
      <c r="K1991" s="41">
        <v>43159</v>
      </c>
      <c r="L1991" s="69" t="s">
        <v>108</v>
      </c>
      <c r="M1991" s="69" t="s">
        <v>109</v>
      </c>
      <c r="N1991" s="95">
        <v>43178</v>
      </c>
      <c r="P1991" t="s">
        <v>95</v>
      </c>
      <c r="Q1991" t="s">
        <v>133</v>
      </c>
      <c r="R1991" s="92" t="s">
        <v>69</v>
      </c>
      <c r="S1991" s="92" t="s">
        <v>134</v>
      </c>
      <c r="V1991" s="95">
        <v>43159</v>
      </c>
      <c r="W1991" s="92" t="s">
        <v>329</v>
      </c>
      <c r="X1991" s="90" t="s">
        <v>330</v>
      </c>
      <c r="Y1991" s="123"/>
      <c r="Z1991" s="30">
        <f t="shared" si="62"/>
        <v>65240.906719837469</v>
      </c>
      <c r="AA1991" s="30">
        <f t="shared" si="63"/>
        <v>0</v>
      </c>
      <c r="AB1991" t="s">
        <v>456</v>
      </c>
    </row>
    <row r="1992" spans="1:28">
      <c r="A1992" t="s">
        <v>131</v>
      </c>
      <c r="B1992" s="91">
        <v>1319647</v>
      </c>
      <c r="C1992" s="92">
        <v>4615490700</v>
      </c>
      <c r="D1992" s="93">
        <v>19175</v>
      </c>
      <c r="F1992" s="91">
        <v>154.33000000000001</v>
      </c>
      <c r="G1992" s="91">
        <v>0</v>
      </c>
      <c r="H1992" s="91">
        <v>0</v>
      </c>
      <c r="I1992" s="91">
        <v>0</v>
      </c>
      <c r="J1992" s="41">
        <v>43116</v>
      </c>
      <c r="K1992" s="41">
        <v>43159</v>
      </c>
      <c r="L1992" s="69" t="s">
        <v>108</v>
      </c>
      <c r="M1992" s="69" t="s">
        <v>109</v>
      </c>
      <c r="N1992" s="95">
        <v>43181</v>
      </c>
      <c r="P1992" t="s">
        <v>95</v>
      </c>
      <c r="Q1992" t="s">
        <v>133</v>
      </c>
      <c r="R1992" s="92" t="s">
        <v>69</v>
      </c>
      <c r="S1992" s="92" t="s">
        <v>134</v>
      </c>
      <c r="V1992" s="95">
        <v>43159</v>
      </c>
      <c r="W1992" s="92" t="s">
        <v>329</v>
      </c>
      <c r="X1992" s="90" t="s">
        <v>330</v>
      </c>
      <c r="Y1992" s="123"/>
      <c r="Z1992" s="30">
        <f t="shared" si="62"/>
        <v>65240.906719837469</v>
      </c>
      <c r="AA1992" s="30">
        <f t="shared" si="63"/>
        <v>0</v>
      </c>
      <c r="AB1992" t="s">
        <v>456</v>
      </c>
    </row>
    <row r="1993" spans="1:28">
      <c r="A1993" t="s">
        <v>131</v>
      </c>
      <c r="B1993" s="91">
        <v>1319646</v>
      </c>
      <c r="C1993" s="92">
        <v>4615490700</v>
      </c>
      <c r="D1993" s="93">
        <v>19175</v>
      </c>
      <c r="F1993" s="91">
        <v>154.33000000000001</v>
      </c>
      <c r="G1993" s="91">
        <v>0</v>
      </c>
      <c r="H1993" s="91">
        <v>0</v>
      </c>
      <c r="I1993" s="91">
        <v>0</v>
      </c>
      <c r="J1993" s="41">
        <v>43116</v>
      </c>
      <c r="K1993" s="41">
        <v>43159</v>
      </c>
      <c r="L1993" s="69" t="s">
        <v>108</v>
      </c>
      <c r="M1993" s="69" t="s">
        <v>109</v>
      </c>
      <c r="N1993" s="95">
        <v>43184</v>
      </c>
      <c r="P1993" t="s">
        <v>95</v>
      </c>
      <c r="Q1993" t="s">
        <v>133</v>
      </c>
      <c r="R1993" s="92" t="s">
        <v>69</v>
      </c>
      <c r="S1993" s="92" t="s">
        <v>134</v>
      </c>
      <c r="V1993" s="95">
        <v>43159</v>
      </c>
      <c r="W1993" s="92" t="s">
        <v>329</v>
      </c>
      <c r="X1993" s="90" t="s">
        <v>330</v>
      </c>
      <c r="Y1993" s="123"/>
      <c r="Z1993" s="30">
        <f t="shared" si="62"/>
        <v>65240.906719837469</v>
      </c>
      <c r="AA1993" s="30">
        <f t="shared" si="63"/>
        <v>0</v>
      </c>
      <c r="AB1993" t="s">
        <v>456</v>
      </c>
    </row>
    <row r="1994" spans="1:28">
      <c r="A1994" t="s">
        <v>118</v>
      </c>
      <c r="B1994" s="91"/>
      <c r="C1994" s="92">
        <v>4615445066</v>
      </c>
      <c r="D1994" s="93">
        <v>19175</v>
      </c>
      <c r="F1994" s="91">
        <v>10</v>
      </c>
      <c r="G1994" s="96">
        <v>5</v>
      </c>
      <c r="H1994" s="94">
        <v>0</v>
      </c>
      <c r="I1994" s="91">
        <v>0</v>
      </c>
      <c r="J1994" s="41"/>
      <c r="K1994" s="41">
        <v>43190</v>
      </c>
      <c r="L1994" s="69" t="s">
        <v>80</v>
      </c>
      <c r="M1994" s="69" t="s">
        <v>286</v>
      </c>
      <c r="N1994" s="95"/>
      <c r="P1994" t="s">
        <v>95</v>
      </c>
      <c r="Q1994" t="s">
        <v>120</v>
      </c>
      <c r="R1994" s="92" t="s">
        <v>69</v>
      </c>
      <c r="S1994" s="92" t="s">
        <v>121</v>
      </c>
      <c r="V1994" s="95">
        <v>43190</v>
      </c>
      <c r="W1994" s="92">
        <v>2030526</v>
      </c>
      <c r="X1994" s="90"/>
      <c r="Y1994" s="123"/>
      <c r="Z1994" s="30">
        <f t="shared" si="62"/>
        <v>4227.3638773950279</v>
      </c>
      <c r="AA1994" s="30">
        <f t="shared" si="63"/>
        <v>2113.6819386975139</v>
      </c>
      <c r="AB1994" t="s">
        <v>457</v>
      </c>
    </row>
    <row r="1995" spans="1:28">
      <c r="A1995" t="s">
        <v>118</v>
      </c>
      <c r="B1995" s="91"/>
      <c r="C1995" s="92">
        <v>4615445066</v>
      </c>
      <c r="D1995" s="93">
        <v>19175</v>
      </c>
      <c r="F1995" s="91">
        <v>10</v>
      </c>
      <c r="G1995" s="96">
        <v>5</v>
      </c>
      <c r="H1995" s="94">
        <v>0</v>
      </c>
      <c r="I1995" s="91">
        <v>0</v>
      </c>
      <c r="J1995" s="41"/>
      <c r="K1995" s="41">
        <v>43190</v>
      </c>
      <c r="L1995" s="69" t="s">
        <v>80</v>
      </c>
      <c r="M1995" s="69" t="s">
        <v>286</v>
      </c>
      <c r="N1995" s="95"/>
      <c r="P1995" t="s">
        <v>95</v>
      </c>
      <c r="Q1995" t="s">
        <v>120</v>
      </c>
      <c r="R1995" s="92" t="s">
        <v>69</v>
      </c>
      <c r="S1995" s="92" t="s">
        <v>121</v>
      </c>
      <c r="V1995" s="95">
        <v>43190</v>
      </c>
      <c r="W1995" s="92">
        <v>2030526</v>
      </c>
      <c r="X1995" s="90"/>
      <c r="Y1995" s="123"/>
      <c r="Z1995" s="30">
        <f t="shared" si="62"/>
        <v>4227.3638773950279</v>
      </c>
      <c r="AA1995" s="30">
        <f t="shared" si="63"/>
        <v>2113.6819386975139</v>
      </c>
      <c r="AB1995" t="s">
        <v>457</v>
      </c>
    </row>
    <row r="1996" spans="1:28">
      <c r="A1996" t="s">
        <v>118</v>
      </c>
      <c r="B1996" s="91"/>
      <c r="C1996" s="92">
        <v>4615445066</v>
      </c>
      <c r="D1996" s="93">
        <v>19175</v>
      </c>
      <c r="F1996" s="91">
        <v>10</v>
      </c>
      <c r="G1996" s="96">
        <v>5</v>
      </c>
      <c r="H1996" s="94">
        <v>0</v>
      </c>
      <c r="I1996" s="91">
        <v>0</v>
      </c>
      <c r="J1996" s="41"/>
      <c r="K1996" s="41">
        <v>43190</v>
      </c>
      <c r="L1996" s="69" t="s">
        <v>80</v>
      </c>
      <c r="M1996" s="69" t="s">
        <v>286</v>
      </c>
      <c r="N1996" s="95"/>
      <c r="P1996" t="s">
        <v>95</v>
      </c>
      <c r="Q1996" t="s">
        <v>120</v>
      </c>
      <c r="R1996" s="92" t="s">
        <v>69</v>
      </c>
      <c r="S1996" s="92" t="s">
        <v>121</v>
      </c>
      <c r="V1996" s="95">
        <v>43190</v>
      </c>
      <c r="W1996" s="92">
        <v>2030526</v>
      </c>
      <c r="X1996" s="90"/>
      <c r="Y1996" s="123"/>
      <c r="Z1996" s="30">
        <f t="shared" si="62"/>
        <v>4227.3638773950279</v>
      </c>
      <c r="AA1996" s="30">
        <f t="shared" si="63"/>
        <v>2113.6819386975139</v>
      </c>
      <c r="AB1996" t="s">
        <v>457</v>
      </c>
    </row>
    <row r="1997" spans="1:28">
      <c r="A1997" t="s">
        <v>118</v>
      </c>
      <c r="B1997" s="91"/>
      <c r="C1997" s="92">
        <v>4615445066</v>
      </c>
      <c r="D1997" s="93">
        <v>19175</v>
      </c>
      <c r="F1997" s="91">
        <v>10</v>
      </c>
      <c r="G1997" s="96">
        <v>5</v>
      </c>
      <c r="H1997" s="94">
        <v>0</v>
      </c>
      <c r="I1997" s="91">
        <v>0</v>
      </c>
      <c r="J1997" s="41"/>
      <c r="K1997" s="41">
        <v>43190</v>
      </c>
      <c r="L1997" s="69" t="s">
        <v>80</v>
      </c>
      <c r="M1997" s="69" t="s">
        <v>286</v>
      </c>
      <c r="N1997" s="95"/>
      <c r="P1997" t="s">
        <v>95</v>
      </c>
      <c r="Q1997" t="s">
        <v>120</v>
      </c>
      <c r="R1997" s="92" t="s">
        <v>69</v>
      </c>
      <c r="S1997" s="92" t="s">
        <v>121</v>
      </c>
      <c r="V1997" s="95">
        <v>43190</v>
      </c>
      <c r="W1997" s="92">
        <v>2030526</v>
      </c>
      <c r="X1997" s="90"/>
      <c r="Y1997" s="123"/>
      <c r="Z1997" s="30">
        <f t="shared" si="62"/>
        <v>4227.3638773950279</v>
      </c>
      <c r="AA1997" s="30">
        <f t="shared" si="63"/>
        <v>2113.6819386975139</v>
      </c>
      <c r="AB1997" t="s">
        <v>457</v>
      </c>
    </row>
    <row r="1998" spans="1:28">
      <c r="A1998" t="s">
        <v>118</v>
      </c>
      <c r="B1998" s="91"/>
      <c r="C1998" s="92">
        <v>4615445066</v>
      </c>
      <c r="D1998" s="93">
        <v>19175</v>
      </c>
      <c r="F1998" s="91">
        <v>10</v>
      </c>
      <c r="G1998" s="96">
        <v>5</v>
      </c>
      <c r="H1998" s="94">
        <v>0</v>
      </c>
      <c r="I1998" s="91">
        <v>0</v>
      </c>
      <c r="J1998" s="41"/>
      <c r="K1998" s="41">
        <v>43190</v>
      </c>
      <c r="L1998" s="69" t="s">
        <v>80</v>
      </c>
      <c r="M1998" s="69" t="s">
        <v>286</v>
      </c>
      <c r="N1998" s="95"/>
      <c r="P1998" t="s">
        <v>95</v>
      </c>
      <c r="Q1998" t="s">
        <v>120</v>
      </c>
      <c r="R1998" s="92" t="s">
        <v>69</v>
      </c>
      <c r="S1998" s="92" t="s">
        <v>121</v>
      </c>
      <c r="V1998" s="95">
        <v>43190</v>
      </c>
      <c r="W1998" s="92">
        <v>2030526</v>
      </c>
      <c r="X1998" s="90"/>
      <c r="Y1998" s="123"/>
      <c r="Z1998" s="30">
        <f t="shared" si="62"/>
        <v>4227.3638773950279</v>
      </c>
      <c r="AA1998" s="30">
        <f t="shared" si="63"/>
        <v>2113.6819386975139</v>
      </c>
      <c r="AB1998" t="s">
        <v>457</v>
      </c>
    </row>
    <row r="1999" spans="1:28">
      <c r="A1999" t="s">
        <v>118</v>
      </c>
      <c r="B1999" s="91"/>
      <c r="C1999" s="92">
        <v>4615445066</v>
      </c>
      <c r="D1999" s="93">
        <v>19175</v>
      </c>
      <c r="F1999" s="91">
        <v>10</v>
      </c>
      <c r="G1999" s="96">
        <v>5</v>
      </c>
      <c r="H1999" s="94">
        <v>0</v>
      </c>
      <c r="I1999" s="91">
        <v>0</v>
      </c>
      <c r="J1999" s="41"/>
      <c r="K1999" s="41">
        <v>43190</v>
      </c>
      <c r="L1999" s="69" t="s">
        <v>80</v>
      </c>
      <c r="M1999" s="69" t="s">
        <v>286</v>
      </c>
      <c r="N1999" s="95"/>
      <c r="P1999" t="s">
        <v>95</v>
      </c>
      <c r="Q1999" t="s">
        <v>120</v>
      </c>
      <c r="R1999" s="92" t="s">
        <v>69</v>
      </c>
      <c r="S1999" s="92" t="s">
        <v>121</v>
      </c>
      <c r="V1999" s="95">
        <v>43190</v>
      </c>
      <c r="W1999" s="92">
        <v>2030526</v>
      </c>
      <c r="X1999" s="90"/>
      <c r="Y1999" s="123"/>
      <c r="Z1999" s="30">
        <f t="shared" si="62"/>
        <v>4227.3638773950279</v>
      </c>
      <c r="AA1999" s="30">
        <f t="shared" si="63"/>
        <v>2113.6819386975139</v>
      </c>
      <c r="AB1999" t="s">
        <v>457</v>
      </c>
    </row>
    <row r="2000" spans="1:28">
      <c r="A2000" t="s">
        <v>118</v>
      </c>
      <c r="B2000" s="91"/>
      <c r="C2000" s="92">
        <v>4615445066</v>
      </c>
      <c r="D2000" s="93">
        <v>19175</v>
      </c>
      <c r="F2000" s="91">
        <v>10</v>
      </c>
      <c r="G2000" s="96">
        <v>5</v>
      </c>
      <c r="H2000" s="94">
        <v>0</v>
      </c>
      <c r="I2000" s="91">
        <v>0</v>
      </c>
      <c r="J2000" s="41"/>
      <c r="K2000" s="41">
        <v>43190</v>
      </c>
      <c r="L2000" s="69" t="s">
        <v>80</v>
      </c>
      <c r="M2000" s="69" t="s">
        <v>286</v>
      </c>
      <c r="N2000" s="95"/>
      <c r="P2000" t="s">
        <v>95</v>
      </c>
      <c r="Q2000" t="s">
        <v>120</v>
      </c>
      <c r="R2000" s="92" t="s">
        <v>69</v>
      </c>
      <c r="S2000" s="92" t="s">
        <v>121</v>
      </c>
      <c r="V2000" s="95">
        <v>43190</v>
      </c>
      <c r="W2000" s="92">
        <v>2030526</v>
      </c>
      <c r="X2000" s="90"/>
      <c r="Y2000" s="123"/>
      <c r="Z2000" s="30">
        <f t="shared" si="62"/>
        <v>4227.3638773950279</v>
      </c>
      <c r="AA2000" s="30">
        <f t="shared" si="63"/>
        <v>2113.6819386975139</v>
      </c>
      <c r="AB2000" t="s">
        <v>457</v>
      </c>
    </row>
    <row r="2001" spans="1:28">
      <c r="A2001" t="s">
        <v>118</v>
      </c>
      <c r="B2001" s="91"/>
      <c r="C2001" s="92">
        <v>4615445066</v>
      </c>
      <c r="D2001" s="93">
        <v>19175</v>
      </c>
      <c r="F2001" s="91">
        <v>10</v>
      </c>
      <c r="G2001" s="96">
        <v>5</v>
      </c>
      <c r="H2001" s="94">
        <v>0</v>
      </c>
      <c r="I2001" s="91">
        <v>0</v>
      </c>
      <c r="J2001" s="41"/>
      <c r="K2001" s="41">
        <v>43190</v>
      </c>
      <c r="L2001" s="69" t="s">
        <v>80</v>
      </c>
      <c r="M2001" s="69" t="s">
        <v>286</v>
      </c>
      <c r="N2001" s="95"/>
      <c r="P2001" t="s">
        <v>95</v>
      </c>
      <c r="Q2001" t="s">
        <v>120</v>
      </c>
      <c r="R2001" s="92" t="s">
        <v>69</v>
      </c>
      <c r="S2001" s="92" t="s">
        <v>121</v>
      </c>
      <c r="V2001" s="95">
        <v>43190</v>
      </c>
      <c r="W2001" s="92">
        <v>2030526</v>
      </c>
      <c r="X2001" s="90"/>
      <c r="Y2001" s="123"/>
      <c r="Z2001" s="30">
        <f t="shared" si="62"/>
        <v>4227.3638773950279</v>
      </c>
      <c r="AA2001" s="30">
        <f t="shared" si="63"/>
        <v>2113.6819386975139</v>
      </c>
      <c r="AB2001" t="s">
        <v>457</v>
      </c>
    </row>
    <row r="2002" spans="1:28">
      <c r="A2002" t="s">
        <v>118</v>
      </c>
      <c r="B2002" s="91"/>
      <c r="C2002" s="92">
        <v>4615445066</v>
      </c>
      <c r="D2002" s="93">
        <v>19175</v>
      </c>
      <c r="F2002" s="91">
        <v>10</v>
      </c>
      <c r="G2002" s="96">
        <v>5</v>
      </c>
      <c r="H2002" s="94">
        <v>0</v>
      </c>
      <c r="I2002" s="91">
        <v>0</v>
      </c>
      <c r="J2002" s="41"/>
      <c r="K2002" s="41">
        <v>43190</v>
      </c>
      <c r="L2002" s="69" t="s">
        <v>80</v>
      </c>
      <c r="M2002" s="69" t="s">
        <v>286</v>
      </c>
      <c r="N2002" s="95"/>
      <c r="P2002" t="s">
        <v>95</v>
      </c>
      <c r="Q2002" t="s">
        <v>120</v>
      </c>
      <c r="R2002" s="92" t="s">
        <v>69</v>
      </c>
      <c r="S2002" s="92" t="s">
        <v>121</v>
      </c>
      <c r="V2002" s="95">
        <v>43190</v>
      </c>
      <c r="W2002" s="92">
        <v>2030526</v>
      </c>
      <c r="X2002" s="90"/>
      <c r="Y2002" s="123"/>
      <c r="Z2002" s="30">
        <f t="shared" si="62"/>
        <v>4227.3638773950279</v>
      </c>
      <c r="AA2002" s="30">
        <f t="shared" si="63"/>
        <v>2113.6819386975139</v>
      </c>
      <c r="AB2002" t="s">
        <v>457</v>
      </c>
    </row>
    <row r="2003" spans="1:28">
      <c r="A2003" t="s">
        <v>118</v>
      </c>
      <c r="B2003" s="91"/>
      <c r="C2003" s="92">
        <v>4615445066</v>
      </c>
      <c r="D2003" s="93">
        <v>19175</v>
      </c>
      <c r="F2003" s="91">
        <v>10</v>
      </c>
      <c r="G2003" s="96">
        <v>5</v>
      </c>
      <c r="H2003" s="94">
        <v>0</v>
      </c>
      <c r="I2003" s="91">
        <v>0</v>
      </c>
      <c r="J2003" s="41"/>
      <c r="K2003" s="41">
        <v>43190</v>
      </c>
      <c r="L2003" s="69" t="s">
        <v>80</v>
      </c>
      <c r="M2003" s="69" t="s">
        <v>286</v>
      </c>
      <c r="N2003" s="95"/>
      <c r="P2003" t="s">
        <v>95</v>
      </c>
      <c r="Q2003" t="s">
        <v>120</v>
      </c>
      <c r="R2003" s="92" t="s">
        <v>69</v>
      </c>
      <c r="S2003" s="92" t="s">
        <v>121</v>
      </c>
      <c r="V2003" s="95">
        <v>43190</v>
      </c>
      <c r="W2003" s="92">
        <v>2030526</v>
      </c>
      <c r="X2003" s="90"/>
      <c r="Y2003" s="123"/>
      <c r="Z2003" s="30">
        <f t="shared" si="62"/>
        <v>4227.3638773950279</v>
      </c>
      <c r="AA2003" s="30">
        <f t="shared" si="63"/>
        <v>2113.6819386975139</v>
      </c>
      <c r="AB2003" t="s">
        <v>457</v>
      </c>
    </row>
    <row r="2004" spans="1:28">
      <c r="A2004" t="s">
        <v>118</v>
      </c>
      <c r="B2004" s="91"/>
      <c r="C2004" s="92">
        <v>4615445066</v>
      </c>
      <c r="D2004" s="93">
        <v>19175</v>
      </c>
      <c r="F2004" s="91">
        <v>10</v>
      </c>
      <c r="G2004" s="96">
        <v>5</v>
      </c>
      <c r="H2004" s="94">
        <v>0</v>
      </c>
      <c r="I2004" s="91">
        <v>0</v>
      </c>
      <c r="J2004" s="41"/>
      <c r="K2004" s="41">
        <v>43190</v>
      </c>
      <c r="L2004" s="69" t="s">
        <v>80</v>
      </c>
      <c r="M2004" s="69" t="s">
        <v>286</v>
      </c>
      <c r="N2004" s="95"/>
      <c r="P2004" t="s">
        <v>95</v>
      </c>
      <c r="Q2004" t="s">
        <v>120</v>
      </c>
      <c r="R2004" s="92" t="s">
        <v>69</v>
      </c>
      <c r="S2004" s="92" t="s">
        <v>121</v>
      </c>
      <c r="V2004" s="95">
        <v>43190</v>
      </c>
      <c r="W2004" s="92">
        <v>2030526</v>
      </c>
      <c r="X2004" s="90"/>
      <c r="Y2004" s="123"/>
      <c r="Z2004" s="30">
        <f t="shared" si="62"/>
        <v>4227.3638773950279</v>
      </c>
      <c r="AA2004" s="30">
        <f t="shared" si="63"/>
        <v>2113.6819386975139</v>
      </c>
      <c r="AB2004" t="s">
        <v>457</v>
      </c>
    </row>
    <row r="2005" spans="1:28">
      <c r="A2005" t="s">
        <v>118</v>
      </c>
      <c r="B2005" s="91"/>
      <c r="C2005" s="92">
        <v>4615445066</v>
      </c>
      <c r="D2005" s="93">
        <v>19175</v>
      </c>
      <c r="F2005" s="91">
        <v>10</v>
      </c>
      <c r="G2005" s="96">
        <v>5</v>
      </c>
      <c r="H2005" s="94">
        <v>0</v>
      </c>
      <c r="I2005" s="91">
        <v>0</v>
      </c>
      <c r="J2005" s="41"/>
      <c r="K2005" s="41">
        <v>43190</v>
      </c>
      <c r="L2005" s="69" t="s">
        <v>80</v>
      </c>
      <c r="M2005" s="69" t="s">
        <v>286</v>
      </c>
      <c r="N2005" s="95"/>
      <c r="P2005" t="s">
        <v>95</v>
      </c>
      <c r="Q2005" t="s">
        <v>120</v>
      </c>
      <c r="R2005" s="92" t="s">
        <v>69</v>
      </c>
      <c r="S2005" s="92" t="s">
        <v>121</v>
      </c>
      <c r="V2005" s="95">
        <v>43190</v>
      </c>
      <c r="W2005" s="92">
        <v>2030526</v>
      </c>
      <c r="X2005" s="90"/>
      <c r="Y2005" s="123"/>
      <c r="Z2005" s="30">
        <f t="shared" si="62"/>
        <v>4227.3638773950279</v>
      </c>
      <c r="AA2005" s="30">
        <f t="shared" si="63"/>
        <v>2113.6819386975139</v>
      </c>
      <c r="AB2005" t="s">
        <v>457</v>
      </c>
    </row>
    <row r="2006" spans="1:28">
      <c r="A2006" t="s">
        <v>136</v>
      </c>
      <c r="B2006" s="91"/>
      <c r="C2006" s="92">
        <v>4615446085</v>
      </c>
      <c r="D2006" s="93">
        <v>19175</v>
      </c>
      <c r="F2006" s="91">
        <v>10</v>
      </c>
      <c r="G2006" s="91">
        <v>5</v>
      </c>
      <c r="H2006" s="94">
        <v>0</v>
      </c>
      <c r="I2006" s="91">
        <v>0</v>
      </c>
      <c r="J2006" s="41"/>
      <c r="K2006" s="41">
        <v>43190</v>
      </c>
      <c r="L2006" s="69" t="s">
        <v>80</v>
      </c>
      <c r="M2006" s="69" t="s">
        <v>286</v>
      </c>
      <c r="N2006" s="95"/>
      <c r="P2006" t="s">
        <v>95</v>
      </c>
      <c r="Q2006" t="s">
        <v>129</v>
      </c>
      <c r="R2006" s="92" t="s">
        <v>69</v>
      </c>
      <c r="S2006" s="92" t="s">
        <v>138</v>
      </c>
      <c r="V2006" s="95">
        <v>43190</v>
      </c>
      <c r="W2006" s="92">
        <v>415580156</v>
      </c>
      <c r="X2006" s="90"/>
      <c r="Y2006" s="123"/>
      <c r="Z2006" s="30">
        <f t="shared" si="62"/>
        <v>4227.3638773950279</v>
      </c>
      <c r="AA2006" s="30">
        <f t="shared" si="63"/>
        <v>2113.6819386975139</v>
      </c>
      <c r="AB2006" t="s">
        <v>457</v>
      </c>
    </row>
    <row r="2007" spans="1:28">
      <c r="A2007" t="s">
        <v>136</v>
      </c>
      <c r="B2007" s="91"/>
      <c r="C2007" s="92">
        <v>4615446085</v>
      </c>
      <c r="D2007" s="93">
        <v>19175</v>
      </c>
      <c r="F2007" s="91">
        <v>10</v>
      </c>
      <c r="G2007" s="91">
        <v>5</v>
      </c>
      <c r="H2007" s="94">
        <v>0</v>
      </c>
      <c r="I2007" s="91">
        <v>0</v>
      </c>
      <c r="J2007" s="41"/>
      <c r="K2007" s="41">
        <v>43190</v>
      </c>
      <c r="L2007" s="69" t="s">
        <v>80</v>
      </c>
      <c r="M2007" s="69" t="s">
        <v>286</v>
      </c>
      <c r="N2007" s="95"/>
      <c r="P2007" t="s">
        <v>95</v>
      </c>
      <c r="Q2007" t="s">
        <v>129</v>
      </c>
      <c r="R2007" s="92" t="s">
        <v>69</v>
      </c>
      <c r="S2007" s="92" t="s">
        <v>138</v>
      </c>
      <c r="V2007" s="95">
        <v>43190</v>
      </c>
      <c r="W2007" s="92">
        <v>415580156</v>
      </c>
      <c r="X2007" s="90"/>
      <c r="Y2007" s="123"/>
      <c r="Z2007" s="30">
        <f t="shared" si="62"/>
        <v>4227.3638773950279</v>
      </c>
      <c r="AA2007" s="30">
        <f t="shared" si="63"/>
        <v>2113.6819386975139</v>
      </c>
      <c r="AB2007" t="s">
        <v>457</v>
      </c>
    </row>
    <row r="2008" spans="1:28">
      <c r="A2008" t="s">
        <v>136</v>
      </c>
      <c r="B2008" s="91"/>
      <c r="C2008" s="92">
        <v>4615446085</v>
      </c>
      <c r="D2008" s="93">
        <v>19175</v>
      </c>
      <c r="F2008" s="91">
        <v>10</v>
      </c>
      <c r="G2008" s="91">
        <v>5</v>
      </c>
      <c r="H2008" s="94">
        <v>0</v>
      </c>
      <c r="I2008" s="91">
        <v>0</v>
      </c>
      <c r="J2008" s="41"/>
      <c r="K2008" s="41">
        <v>43190</v>
      </c>
      <c r="L2008" s="69" t="s">
        <v>80</v>
      </c>
      <c r="M2008" s="69" t="s">
        <v>286</v>
      </c>
      <c r="N2008" s="95"/>
      <c r="P2008" t="s">
        <v>95</v>
      </c>
      <c r="Q2008" t="s">
        <v>129</v>
      </c>
      <c r="R2008" s="92" t="s">
        <v>69</v>
      </c>
      <c r="S2008" s="92" t="s">
        <v>138</v>
      </c>
      <c r="V2008" s="95">
        <v>43190</v>
      </c>
      <c r="W2008" s="92">
        <v>415580156</v>
      </c>
      <c r="X2008" s="90"/>
      <c r="Y2008" s="123"/>
      <c r="Z2008" s="30">
        <f t="shared" si="62"/>
        <v>4227.3638773950279</v>
      </c>
      <c r="AA2008" s="30">
        <f t="shared" si="63"/>
        <v>2113.6819386975139</v>
      </c>
      <c r="AB2008" t="s">
        <v>457</v>
      </c>
    </row>
    <row r="2009" spans="1:28">
      <c r="A2009" t="s">
        <v>136</v>
      </c>
      <c r="B2009" s="91"/>
      <c r="C2009" s="92">
        <v>4615446085</v>
      </c>
      <c r="D2009" s="93">
        <v>19175</v>
      </c>
      <c r="F2009" s="91">
        <v>10</v>
      </c>
      <c r="G2009" s="91">
        <v>5</v>
      </c>
      <c r="H2009" s="94">
        <v>0</v>
      </c>
      <c r="I2009" s="91">
        <v>0</v>
      </c>
      <c r="J2009" s="41"/>
      <c r="K2009" s="41">
        <v>43190</v>
      </c>
      <c r="L2009" s="69" t="s">
        <v>80</v>
      </c>
      <c r="M2009" s="69" t="s">
        <v>286</v>
      </c>
      <c r="N2009" s="95"/>
      <c r="P2009" t="s">
        <v>95</v>
      </c>
      <c r="Q2009" t="s">
        <v>129</v>
      </c>
      <c r="R2009" s="92" t="s">
        <v>69</v>
      </c>
      <c r="S2009" s="92" t="s">
        <v>138</v>
      </c>
      <c r="V2009" s="95">
        <v>43190</v>
      </c>
      <c r="W2009" s="92">
        <v>415580156</v>
      </c>
      <c r="X2009" s="90"/>
      <c r="Y2009" s="123"/>
      <c r="Z2009" s="30">
        <f t="shared" si="62"/>
        <v>4227.3638773950279</v>
      </c>
      <c r="AA2009" s="30">
        <f t="shared" si="63"/>
        <v>2113.6819386975139</v>
      </c>
      <c r="AB2009" t="s">
        <v>457</v>
      </c>
    </row>
    <row r="2010" spans="1:28">
      <c r="A2010" t="s">
        <v>136</v>
      </c>
      <c r="B2010" s="91"/>
      <c r="C2010" s="92">
        <v>4615446085</v>
      </c>
      <c r="D2010" s="93">
        <v>19175</v>
      </c>
      <c r="F2010" s="91">
        <v>10</v>
      </c>
      <c r="G2010" s="91">
        <v>5</v>
      </c>
      <c r="H2010" s="94">
        <v>0</v>
      </c>
      <c r="I2010" s="91">
        <v>0</v>
      </c>
      <c r="J2010" s="41"/>
      <c r="K2010" s="41">
        <v>43190</v>
      </c>
      <c r="L2010" s="69" t="s">
        <v>80</v>
      </c>
      <c r="M2010" s="69" t="s">
        <v>286</v>
      </c>
      <c r="N2010" s="95"/>
      <c r="P2010" t="s">
        <v>95</v>
      </c>
      <c r="Q2010" t="s">
        <v>129</v>
      </c>
      <c r="R2010" s="92" t="s">
        <v>69</v>
      </c>
      <c r="S2010" s="92" t="s">
        <v>138</v>
      </c>
      <c r="V2010" s="95">
        <v>43190</v>
      </c>
      <c r="W2010" s="92">
        <v>415580156</v>
      </c>
      <c r="X2010" s="90"/>
      <c r="Y2010" s="123"/>
      <c r="Z2010" s="30">
        <f t="shared" si="62"/>
        <v>4227.3638773950279</v>
      </c>
      <c r="AA2010" s="30">
        <f t="shared" si="63"/>
        <v>2113.6819386975139</v>
      </c>
      <c r="AB2010" t="s">
        <v>457</v>
      </c>
    </row>
    <row r="2011" spans="1:28">
      <c r="A2011" t="s">
        <v>136</v>
      </c>
      <c r="B2011" s="84">
        <v>1330557</v>
      </c>
      <c r="C2011" s="85">
        <v>4615471455</v>
      </c>
      <c r="D2011" s="86">
        <v>19175</v>
      </c>
      <c r="F2011" s="84">
        <v>10</v>
      </c>
      <c r="G2011" s="84">
        <v>0</v>
      </c>
      <c r="H2011" s="84">
        <v>0</v>
      </c>
      <c r="I2011" s="84">
        <v>0</v>
      </c>
      <c r="J2011" s="41">
        <v>43148</v>
      </c>
      <c r="K2011" s="41">
        <v>43190</v>
      </c>
      <c r="L2011" s="69" t="s">
        <v>137</v>
      </c>
      <c r="M2011" s="89" t="s">
        <v>282</v>
      </c>
      <c r="N2011" s="89"/>
      <c r="P2011" t="s">
        <v>95</v>
      </c>
      <c r="Q2011" t="s">
        <v>129</v>
      </c>
      <c r="R2011" s="85" t="s">
        <v>69</v>
      </c>
      <c r="S2011" s="85" t="s">
        <v>138</v>
      </c>
      <c r="V2011" s="89">
        <v>43190</v>
      </c>
      <c r="W2011" s="85">
        <v>415580304</v>
      </c>
      <c r="X2011" s="90" t="s">
        <v>331</v>
      </c>
      <c r="Y2011" s="123"/>
      <c r="Z2011" s="30">
        <f t="shared" si="62"/>
        <v>4227.3638773950279</v>
      </c>
      <c r="AA2011" s="30">
        <f t="shared" si="63"/>
        <v>0</v>
      </c>
      <c r="AB2011" t="s">
        <v>456</v>
      </c>
    </row>
    <row r="2012" spans="1:28">
      <c r="A2012" t="s">
        <v>136</v>
      </c>
      <c r="B2012" s="91">
        <v>1330555</v>
      </c>
      <c r="C2012" s="92">
        <v>4615471455</v>
      </c>
      <c r="D2012" s="93">
        <v>19175</v>
      </c>
      <c r="F2012" s="91">
        <v>10</v>
      </c>
      <c r="G2012" s="91">
        <v>0</v>
      </c>
      <c r="H2012" s="91">
        <v>0</v>
      </c>
      <c r="I2012" s="91">
        <v>0</v>
      </c>
      <c r="J2012" s="41">
        <v>43148</v>
      </c>
      <c r="K2012" s="41">
        <v>43190</v>
      </c>
      <c r="L2012" s="69" t="s">
        <v>137</v>
      </c>
      <c r="M2012" s="69" t="s">
        <v>109</v>
      </c>
      <c r="N2012" s="95">
        <v>43200</v>
      </c>
      <c r="P2012" t="s">
        <v>95</v>
      </c>
      <c r="Q2012" t="s">
        <v>129</v>
      </c>
      <c r="R2012" s="92" t="s">
        <v>69</v>
      </c>
      <c r="S2012" s="92" t="s">
        <v>138</v>
      </c>
      <c r="V2012" s="95">
        <v>43190</v>
      </c>
      <c r="W2012" s="92">
        <v>415580304</v>
      </c>
      <c r="X2012" s="90" t="s">
        <v>332</v>
      </c>
      <c r="Y2012" s="123"/>
      <c r="Z2012" s="30">
        <f t="shared" si="62"/>
        <v>4227.3638773950279</v>
      </c>
      <c r="AA2012" s="30">
        <f t="shared" si="63"/>
        <v>0</v>
      </c>
      <c r="AB2012" t="s">
        <v>456</v>
      </c>
    </row>
    <row r="2013" spans="1:28">
      <c r="A2013" t="s">
        <v>136</v>
      </c>
      <c r="B2013" s="91"/>
      <c r="C2013" s="92">
        <v>4615471455</v>
      </c>
      <c r="D2013" s="93">
        <v>19175</v>
      </c>
      <c r="F2013" s="91">
        <v>10</v>
      </c>
      <c r="G2013" s="91">
        <v>0</v>
      </c>
      <c r="H2013" s="91">
        <v>0</v>
      </c>
      <c r="I2013" s="91">
        <v>0</v>
      </c>
      <c r="J2013" s="41"/>
      <c r="K2013" s="41">
        <v>43190</v>
      </c>
      <c r="L2013" s="69" t="s">
        <v>80</v>
      </c>
      <c r="M2013" s="69" t="s">
        <v>286</v>
      </c>
      <c r="N2013" s="95"/>
      <c r="P2013" t="s">
        <v>95</v>
      </c>
      <c r="Q2013" t="s">
        <v>129</v>
      </c>
      <c r="R2013" s="92" t="s">
        <v>69</v>
      </c>
      <c r="S2013" s="92" t="s">
        <v>138</v>
      </c>
      <c r="V2013" s="95">
        <v>43190</v>
      </c>
      <c r="W2013" s="92">
        <v>415580304</v>
      </c>
      <c r="X2013" s="90"/>
      <c r="Y2013" s="123"/>
      <c r="Z2013" s="30">
        <f t="shared" si="62"/>
        <v>4227.3638773950279</v>
      </c>
      <c r="AA2013" s="30">
        <f t="shared" si="63"/>
        <v>0</v>
      </c>
      <c r="AB2013" t="s">
        <v>457</v>
      </c>
    </row>
    <row r="2014" spans="1:28">
      <c r="A2014" t="s">
        <v>122</v>
      </c>
      <c r="B2014" s="91"/>
      <c r="C2014" s="92">
        <v>4615480288</v>
      </c>
      <c r="D2014" s="93">
        <v>19175</v>
      </c>
      <c r="F2014" s="91">
        <v>16</v>
      </c>
      <c r="G2014" s="96">
        <v>5</v>
      </c>
      <c r="H2014" s="94">
        <v>0</v>
      </c>
      <c r="I2014" s="91">
        <v>0</v>
      </c>
      <c r="J2014" s="41"/>
      <c r="K2014" s="41">
        <v>43190</v>
      </c>
      <c r="L2014" s="69" t="s">
        <v>80</v>
      </c>
      <c r="M2014" s="69" t="s">
        <v>286</v>
      </c>
      <c r="N2014" s="95"/>
      <c r="P2014" t="s">
        <v>95</v>
      </c>
      <c r="Q2014" t="s">
        <v>120</v>
      </c>
      <c r="R2014" s="92" t="s">
        <v>69</v>
      </c>
      <c r="S2014" s="92" t="s">
        <v>123</v>
      </c>
      <c r="V2014" s="95">
        <v>43190</v>
      </c>
      <c r="W2014" s="92">
        <v>2030468</v>
      </c>
      <c r="X2014" s="90"/>
      <c r="Y2014" s="123"/>
      <c r="Z2014" s="30">
        <f t="shared" si="62"/>
        <v>6763.7822038320437</v>
      </c>
      <c r="AA2014" s="30">
        <f t="shared" si="63"/>
        <v>2113.6819386975139</v>
      </c>
      <c r="AB2014" t="s">
        <v>457</v>
      </c>
    </row>
    <row r="2015" spans="1:28">
      <c r="A2015" t="s">
        <v>122</v>
      </c>
      <c r="B2015" s="91"/>
      <c r="C2015" s="92">
        <v>4615480288</v>
      </c>
      <c r="D2015" s="93">
        <v>19175</v>
      </c>
      <c r="F2015" s="91">
        <v>16</v>
      </c>
      <c r="G2015" s="96">
        <v>5</v>
      </c>
      <c r="H2015" s="94">
        <v>0</v>
      </c>
      <c r="I2015" s="91">
        <v>0</v>
      </c>
      <c r="J2015" s="41"/>
      <c r="K2015" s="41">
        <v>43190</v>
      </c>
      <c r="L2015" s="69" t="s">
        <v>80</v>
      </c>
      <c r="M2015" s="69" t="s">
        <v>286</v>
      </c>
      <c r="N2015" s="95"/>
      <c r="P2015" t="s">
        <v>95</v>
      </c>
      <c r="Q2015" t="s">
        <v>120</v>
      </c>
      <c r="R2015" s="92" t="s">
        <v>69</v>
      </c>
      <c r="S2015" s="92" t="s">
        <v>123</v>
      </c>
      <c r="V2015" s="95">
        <v>43190</v>
      </c>
      <c r="W2015" s="92">
        <v>2030468</v>
      </c>
      <c r="X2015" s="90"/>
      <c r="Y2015" s="123"/>
      <c r="Z2015" s="30">
        <f t="shared" si="62"/>
        <v>6763.7822038320437</v>
      </c>
      <c r="AA2015" s="30">
        <f t="shared" si="63"/>
        <v>2113.6819386975139</v>
      </c>
      <c r="AB2015" t="s">
        <v>457</v>
      </c>
    </row>
    <row r="2016" spans="1:28">
      <c r="A2016" t="s">
        <v>122</v>
      </c>
      <c r="B2016" s="91"/>
      <c r="C2016" s="92">
        <v>4615480288</v>
      </c>
      <c r="D2016" s="93">
        <v>19175</v>
      </c>
      <c r="F2016" s="91">
        <v>16</v>
      </c>
      <c r="G2016" s="96">
        <v>5</v>
      </c>
      <c r="H2016" s="94">
        <v>0</v>
      </c>
      <c r="I2016" s="91">
        <v>0</v>
      </c>
      <c r="J2016" s="41"/>
      <c r="K2016" s="41">
        <v>43190</v>
      </c>
      <c r="L2016" s="69" t="s">
        <v>80</v>
      </c>
      <c r="M2016" s="69" t="s">
        <v>286</v>
      </c>
      <c r="N2016" s="95"/>
      <c r="P2016" t="s">
        <v>95</v>
      </c>
      <c r="Q2016" t="s">
        <v>120</v>
      </c>
      <c r="R2016" s="92" t="s">
        <v>69</v>
      </c>
      <c r="S2016" s="92" t="s">
        <v>123</v>
      </c>
      <c r="V2016" s="95">
        <v>43190</v>
      </c>
      <c r="W2016" s="92">
        <v>2030468</v>
      </c>
      <c r="X2016" s="90"/>
      <c r="Y2016" s="123"/>
      <c r="Z2016" s="30">
        <f t="shared" si="62"/>
        <v>6763.7822038320437</v>
      </c>
      <c r="AA2016" s="30">
        <f t="shared" si="63"/>
        <v>2113.6819386975139</v>
      </c>
      <c r="AB2016" t="s">
        <v>457</v>
      </c>
    </row>
    <row r="2017" spans="1:28">
      <c r="A2017" t="s">
        <v>122</v>
      </c>
      <c r="B2017" s="91"/>
      <c r="C2017" s="92">
        <v>4615480288</v>
      </c>
      <c r="D2017" s="93">
        <v>19175</v>
      </c>
      <c r="F2017" s="91">
        <v>16</v>
      </c>
      <c r="G2017" s="96">
        <v>5</v>
      </c>
      <c r="H2017" s="94">
        <v>0</v>
      </c>
      <c r="I2017" s="91">
        <v>0</v>
      </c>
      <c r="J2017" s="41"/>
      <c r="K2017" s="41">
        <v>43190</v>
      </c>
      <c r="L2017" s="69" t="s">
        <v>80</v>
      </c>
      <c r="M2017" s="69" t="s">
        <v>286</v>
      </c>
      <c r="N2017" s="95"/>
      <c r="P2017" t="s">
        <v>95</v>
      </c>
      <c r="Q2017" t="s">
        <v>120</v>
      </c>
      <c r="R2017" s="92" t="s">
        <v>69</v>
      </c>
      <c r="S2017" s="92" t="s">
        <v>123</v>
      </c>
      <c r="V2017" s="95">
        <v>43190</v>
      </c>
      <c r="W2017" s="92">
        <v>2030468</v>
      </c>
      <c r="X2017" s="90"/>
      <c r="Y2017" s="123"/>
      <c r="Z2017" s="30">
        <f t="shared" si="62"/>
        <v>6763.7822038320437</v>
      </c>
      <c r="AA2017" s="30">
        <f t="shared" si="63"/>
        <v>2113.6819386975139</v>
      </c>
      <c r="AB2017" t="s">
        <v>457</v>
      </c>
    </row>
    <row r="2018" spans="1:28">
      <c r="A2018" t="s">
        <v>122</v>
      </c>
      <c r="B2018" s="91"/>
      <c r="C2018" s="92">
        <v>4615480288</v>
      </c>
      <c r="D2018" s="93">
        <v>19175</v>
      </c>
      <c r="F2018" s="91">
        <v>16</v>
      </c>
      <c r="G2018" s="96">
        <v>5</v>
      </c>
      <c r="H2018" s="94">
        <v>0</v>
      </c>
      <c r="I2018" s="91">
        <v>0</v>
      </c>
      <c r="J2018" s="41"/>
      <c r="K2018" s="41">
        <v>43190</v>
      </c>
      <c r="L2018" s="69" t="s">
        <v>80</v>
      </c>
      <c r="M2018" s="69" t="s">
        <v>286</v>
      </c>
      <c r="N2018" s="95"/>
      <c r="P2018" t="s">
        <v>95</v>
      </c>
      <c r="Q2018" t="s">
        <v>120</v>
      </c>
      <c r="R2018" s="92" t="s">
        <v>69</v>
      </c>
      <c r="S2018" s="92" t="s">
        <v>123</v>
      </c>
      <c r="V2018" s="95">
        <v>43190</v>
      </c>
      <c r="W2018" s="92">
        <v>2030468</v>
      </c>
      <c r="X2018" s="90"/>
      <c r="Y2018" s="123"/>
      <c r="Z2018" s="30">
        <f t="shared" si="62"/>
        <v>6763.7822038320437</v>
      </c>
      <c r="AA2018" s="30">
        <f t="shared" si="63"/>
        <v>2113.6819386975139</v>
      </c>
      <c r="AB2018" t="s">
        <v>457</v>
      </c>
    </row>
    <row r="2019" spans="1:28">
      <c r="A2019" t="s">
        <v>122</v>
      </c>
      <c r="B2019" s="91"/>
      <c r="C2019" s="92">
        <v>4615480288</v>
      </c>
      <c r="D2019" s="93">
        <v>19175</v>
      </c>
      <c r="F2019" s="91">
        <v>16</v>
      </c>
      <c r="G2019" s="96">
        <v>5</v>
      </c>
      <c r="H2019" s="94">
        <v>0</v>
      </c>
      <c r="I2019" s="91">
        <v>0</v>
      </c>
      <c r="J2019" s="41"/>
      <c r="K2019" s="41">
        <v>43190</v>
      </c>
      <c r="L2019" s="69" t="s">
        <v>80</v>
      </c>
      <c r="M2019" s="69" t="s">
        <v>286</v>
      </c>
      <c r="N2019" s="95"/>
      <c r="P2019" t="s">
        <v>95</v>
      </c>
      <c r="Q2019" t="s">
        <v>120</v>
      </c>
      <c r="R2019" s="92" t="s">
        <v>69</v>
      </c>
      <c r="S2019" s="92" t="s">
        <v>123</v>
      </c>
      <c r="V2019" s="95">
        <v>43190</v>
      </c>
      <c r="W2019" s="92">
        <v>2030468</v>
      </c>
      <c r="X2019" s="90"/>
      <c r="Y2019" s="123"/>
      <c r="Z2019" s="30">
        <f t="shared" si="62"/>
        <v>6763.7822038320437</v>
      </c>
      <c r="AA2019" s="30">
        <f t="shared" si="63"/>
        <v>2113.6819386975139</v>
      </c>
      <c r="AB2019" t="s">
        <v>457</v>
      </c>
    </row>
    <row r="2020" spans="1:28">
      <c r="A2020" t="s">
        <v>122</v>
      </c>
      <c r="B2020" s="91"/>
      <c r="C2020" s="92">
        <v>4615472460</v>
      </c>
      <c r="D2020" s="93">
        <v>21120</v>
      </c>
      <c r="F2020" s="91">
        <v>16</v>
      </c>
      <c r="G2020" s="96">
        <v>5</v>
      </c>
      <c r="H2020" s="94">
        <v>0</v>
      </c>
      <c r="I2020" s="91">
        <v>0</v>
      </c>
      <c r="J2020" s="41"/>
      <c r="K2020" s="41">
        <v>43190</v>
      </c>
      <c r="L2020" s="69" t="s">
        <v>80</v>
      </c>
      <c r="M2020" s="69" t="s">
        <v>286</v>
      </c>
      <c r="N2020" s="95"/>
      <c r="P2020" t="s">
        <v>95</v>
      </c>
      <c r="Q2020" t="s">
        <v>120</v>
      </c>
      <c r="R2020" s="92" t="s">
        <v>69</v>
      </c>
      <c r="S2020" s="92" t="s">
        <v>123</v>
      </c>
      <c r="V2020" s="95">
        <v>43190</v>
      </c>
      <c r="W2020" s="92">
        <v>2030501</v>
      </c>
      <c r="X2020" s="90" t="s">
        <v>333</v>
      </c>
      <c r="Y2020" s="123"/>
      <c r="Z2020" s="30">
        <f t="shared" si="62"/>
        <v>7449.8607637513824</v>
      </c>
      <c r="AA2020" s="30">
        <f t="shared" si="63"/>
        <v>2328.0814886723069</v>
      </c>
      <c r="AB2020" t="s">
        <v>457</v>
      </c>
    </row>
    <row r="2021" spans="1:28">
      <c r="A2021" t="s">
        <v>122</v>
      </c>
      <c r="B2021" s="91"/>
      <c r="C2021" s="92">
        <v>4615472460</v>
      </c>
      <c r="D2021" s="93">
        <v>21120</v>
      </c>
      <c r="F2021" s="91">
        <v>16</v>
      </c>
      <c r="G2021" s="96">
        <v>5</v>
      </c>
      <c r="H2021" s="94">
        <v>0</v>
      </c>
      <c r="I2021" s="91">
        <v>0</v>
      </c>
      <c r="J2021" s="41"/>
      <c r="K2021" s="41">
        <v>43190</v>
      </c>
      <c r="L2021" s="69" t="s">
        <v>80</v>
      </c>
      <c r="M2021" s="69" t="s">
        <v>286</v>
      </c>
      <c r="N2021" s="95"/>
      <c r="P2021" t="s">
        <v>95</v>
      </c>
      <c r="Q2021" t="s">
        <v>120</v>
      </c>
      <c r="R2021" s="92" t="s">
        <v>69</v>
      </c>
      <c r="S2021" s="92" t="s">
        <v>123</v>
      </c>
      <c r="V2021" s="95">
        <v>43190</v>
      </c>
      <c r="W2021" s="92">
        <v>2030501</v>
      </c>
      <c r="X2021" s="90" t="s">
        <v>333</v>
      </c>
      <c r="Y2021" s="123"/>
      <c r="Z2021" s="30">
        <f t="shared" si="62"/>
        <v>7449.8607637513824</v>
      </c>
      <c r="AA2021" s="30">
        <f t="shared" si="63"/>
        <v>2328.0814886723069</v>
      </c>
      <c r="AB2021" t="s">
        <v>457</v>
      </c>
    </row>
    <row r="2022" spans="1:28">
      <c r="A2022" t="s">
        <v>122</v>
      </c>
      <c r="B2022" s="91"/>
      <c r="C2022" s="92">
        <v>4615472460</v>
      </c>
      <c r="D2022" s="93">
        <v>21120</v>
      </c>
      <c r="F2022" s="91">
        <v>16</v>
      </c>
      <c r="G2022" s="96">
        <v>5</v>
      </c>
      <c r="H2022" s="94">
        <v>0</v>
      </c>
      <c r="I2022" s="91">
        <v>0</v>
      </c>
      <c r="J2022" s="41"/>
      <c r="K2022" s="41">
        <v>43190</v>
      </c>
      <c r="L2022" s="69" t="s">
        <v>80</v>
      </c>
      <c r="M2022" s="69" t="s">
        <v>286</v>
      </c>
      <c r="N2022" s="95"/>
      <c r="P2022" t="s">
        <v>95</v>
      </c>
      <c r="Q2022" t="s">
        <v>120</v>
      </c>
      <c r="R2022" s="92" t="s">
        <v>69</v>
      </c>
      <c r="S2022" s="92" t="s">
        <v>123</v>
      </c>
      <c r="V2022" s="95">
        <v>43190</v>
      </c>
      <c r="W2022" s="92">
        <v>2030501</v>
      </c>
      <c r="X2022" s="90" t="s">
        <v>333</v>
      </c>
      <c r="Y2022" s="123"/>
      <c r="Z2022" s="30">
        <f t="shared" si="62"/>
        <v>7449.8607637513824</v>
      </c>
      <c r="AA2022" s="30">
        <f t="shared" si="63"/>
        <v>2328.0814886723069</v>
      </c>
      <c r="AB2022" t="s">
        <v>457</v>
      </c>
    </row>
    <row r="2023" spans="1:28">
      <c r="A2023" t="s">
        <v>122</v>
      </c>
      <c r="B2023" s="91"/>
      <c r="C2023" s="92">
        <v>4615472460</v>
      </c>
      <c r="D2023" s="93">
        <v>21120</v>
      </c>
      <c r="F2023" s="91">
        <v>16</v>
      </c>
      <c r="G2023" s="96">
        <v>5</v>
      </c>
      <c r="H2023" s="94">
        <v>0</v>
      </c>
      <c r="I2023" s="91">
        <v>0</v>
      </c>
      <c r="J2023" s="41"/>
      <c r="K2023" s="41">
        <v>43190</v>
      </c>
      <c r="L2023" s="69" t="s">
        <v>80</v>
      </c>
      <c r="M2023" s="69" t="s">
        <v>286</v>
      </c>
      <c r="N2023" s="95"/>
      <c r="P2023" t="s">
        <v>95</v>
      </c>
      <c r="Q2023" t="s">
        <v>120</v>
      </c>
      <c r="R2023" s="92" t="s">
        <v>69</v>
      </c>
      <c r="S2023" s="92" t="s">
        <v>123</v>
      </c>
      <c r="V2023" s="95">
        <v>43190</v>
      </c>
      <c r="W2023" s="92">
        <v>2030501</v>
      </c>
      <c r="X2023" s="90" t="s">
        <v>333</v>
      </c>
      <c r="Y2023" s="123"/>
      <c r="Z2023" s="30">
        <f t="shared" si="62"/>
        <v>7449.8607637513824</v>
      </c>
      <c r="AA2023" s="30">
        <f t="shared" si="63"/>
        <v>2328.0814886723069</v>
      </c>
      <c r="AB2023" t="s">
        <v>457</v>
      </c>
    </row>
    <row r="2024" spans="1:28">
      <c r="A2024" t="s">
        <v>122</v>
      </c>
      <c r="B2024" s="91"/>
      <c r="C2024" s="92">
        <v>4615472460</v>
      </c>
      <c r="D2024" s="93">
        <v>21120</v>
      </c>
      <c r="F2024" s="91">
        <v>16</v>
      </c>
      <c r="G2024" s="96">
        <v>5</v>
      </c>
      <c r="H2024" s="94">
        <v>0</v>
      </c>
      <c r="I2024" s="91">
        <v>0</v>
      </c>
      <c r="J2024" s="41"/>
      <c r="K2024" s="41">
        <v>43190</v>
      </c>
      <c r="L2024" s="69" t="s">
        <v>80</v>
      </c>
      <c r="M2024" s="69" t="s">
        <v>286</v>
      </c>
      <c r="N2024" s="95"/>
      <c r="P2024" t="s">
        <v>95</v>
      </c>
      <c r="Q2024" t="s">
        <v>120</v>
      </c>
      <c r="R2024" s="92" t="s">
        <v>69</v>
      </c>
      <c r="S2024" s="92" t="s">
        <v>123</v>
      </c>
      <c r="V2024" s="95">
        <v>43190</v>
      </c>
      <c r="W2024" s="92">
        <v>2030501</v>
      </c>
      <c r="X2024" s="90" t="s">
        <v>333</v>
      </c>
      <c r="Y2024" s="123"/>
      <c r="Z2024" s="30">
        <f t="shared" si="62"/>
        <v>7449.8607637513824</v>
      </c>
      <c r="AA2024" s="30">
        <f t="shared" si="63"/>
        <v>2328.0814886723069</v>
      </c>
      <c r="AB2024" t="s">
        <v>457</v>
      </c>
    </row>
    <row r="2025" spans="1:28">
      <c r="A2025" t="s">
        <v>122</v>
      </c>
      <c r="B2025" s="91"/>
      <c r="C2025" s="92">
        <v>4615472460</v>
      </c>
      <c r="D2025" s="93">
        <v>21120</v>
      </c>
      <c r="F2025" s="91">
        <v>16</v>
      </c>
      <c r="G2025" s="96">
        <v>5</v>
      </c>
      <c r="H2025" s="94">
        <v>0</v>
      </c>
      <c r="I2025" s="91">
        <v>0</v>
      </c>
      <c r="J2025" s="41"/>
      <c r="K2025" s="41">
        <v>43190</v>
      </c>
      <c r="L2025" s="69" t="s">
        <v>80</v>
      </c>
      <c r="M2025" s="69" t="s">
        <v>286</v>
      </c>
      <c r="N2025" s="95"/>
      <c r="P2025" t="s">
        <v>95</v>
      </c>
      <c r="Q2025" t="s">
        <v>120</v>
      </c>
      <c r="R2025" s="92" t="s">
        <v>69</v>
      </c>
      <c r="S2025" s="92" t="s">
        <v>123</v>
      </c>
      <c r="V2025" s="95">
        <v>43190</v>
      </c>
      <c r="W2025" s="92">
        <v>2030501</v>
      </c>
      <c r="X2025" s="90" t="s">
        <v>333</v>
      </c>
      <c r="Y2025" s="123"/>
      <c r="Z2025" s="30">
        <f t="shared" si="62"/>
        <v>7449.8607637513824</v>
      </c>
      <c r="AA2025" s="30">
        <f t="shared" si="63"/>
        <v>2328.0814886723069</v>
      </c>
      <c r="AB2025" t="s">
        <v>457</v>
      </c>
    </row>
    <row r="2026" spans="1:28">
      <c r="A2026" t="s">
        <v>122</v>
      </c>
      <c r="B2026" s="91"/>
      <c r="C2026" s="92">
        <v>4615472460</v>
      </c>
      <c r="D2026" s="93">
        <v>21120</v>
      </c>
      <c r="F2026" s="91">
        <v>16</v>
      </c>
      <c r="G2026" s="96">
        <v>5</v>
      </c>
      <c r="H2026" s="94">
        <v>0</v>
      </c>
      <c r="I2026" s="91">
        <v>0</v>
      </c>
      <c r="J2026" s="41"/>
      <c r="K2026" s="41">
        <v>43190</v>
      </c>
      <c r="L2026" s="69" t="s">
        <v>80</v>
      </c>
      <c r="M2026" s="69" t="s">
        <v>286</v>
      </c>
      <c r="N2026" s="95"/>
      <c r="P2026" t="s">
        <v>95</v>
      </c>
      <c r="Q2026" t="s">
        <v>120</v>
      </c>
      <c r="R2026" s="92" t="s">
        <v>69</v>
      </c>
      <c r="S2026" s="92" t="s">
        <v>123</v>
      </c>
      <c r="V2026" s="95">
        <v>43190</v>
      </c>
      <c r="W2026" s="92">
        <v>2030501</v>
      </c>
      <c r="X2026" s="90" t="s">
        <v>333</v>
      </c>
      <c r="Y2026" s="123"/>
      <c r="Z2026" s="30">
        <f t="shared" si="62"/>
        <v>7449.8607637513824</v>
      </c>
      <c r="AA2026" s="30">
        <f t="shared" si="63"/>
        <v>2328.0814886723069</v>
      </c>
      <c r="AB2026" t="s">
        <v>457</v>
      </c>
    </row>
    <row r="2027" spans="1:28">
      <c r="A2027" t="s">
        <v>122</v>
      </c>
      <c r="B2027" s="91"/>
      <c r="C2027" s="92">
        <v>4615472460</v>
      </c>
      <c r="D2027" s="93">
        <v>21120</v>
      </c>
      <c r="F2027" s="91">
        <v>16</v>
      </c>
      <c r="G2027" s="96">
        <v>5</v>
      </c>
      <c r="H2027" s="94">
        <v>0</v>
      </c>
      <c r="I2027" s="91">
        <v>0</v>
      </c>
      <c r="J2027" s="41"/>
      <c r="K2027" s="41">
        <v>43190</v>
      </c>
      <c r="L2027" s="69" t="s">
        <v>80</v>
      </c>
      <c r="M2027" s="69" t="s">
        <v>286</v>
      </c>
      <c r="N2027" s="95"/>
      <c r="P2027" t="s">
        <v>95</v>
      </c>
      <c r="Q2027" t="s">
        <v>120</v>
      </c>
      <c r="R2027" s="92" t="s">
        <v>69</v>
      </c>
      <c r="S2027" s="92" t="s">
        <v>123</v>
      </c>
      <c r="V2027" s="95">
        <v>43190</v>
      </c>
      <c r="W2027" s="92">
        <v>2030501</v>
      </c>
      <c r="X2027" s="90" t="s">
        <v>333</v>
      </c>
      <c r="Y2027" s="123"/>
      <c r="Z2027" s="30">
        <f t="shared" si="62"/>
        <v>7449.8607637513824</v>
      </c>
      <c r="AA2027" s="30">
        <f t="shared" si="63"/>
        <v>2328.0814886723069</v>
      </c>
      <c r="AB2027" t="s">
        <v>457</v>
      </c>
    </row>
    <row r="2028" spans="1:28">
      <c r="A2028" t="s">
        <v>122</v>
      </c>
      <c r="B2028" s="91"/>
      <c r="C2028" s="92">
        <v>4615472460</v>
      </c>
      <c r="D2028" s="93">
        <v>21120</v>
      </c>
      <c r="F2028" s="91">
        <v>16</v>
      </c>
      <c r="G2028" s="96">
        <v>5</v>
      </c>
      <c r="H2028" s="94">
        <v>0</v>
      </c>
      <c r="I2028" s="91">
        <v>0</v>
      </c>
      <c r="J2028" s="41"/>
      <c r="K2028" s="41">
        <v>43190</v>
      </c>
      <c r="L2028" s="69" t="s">
        <v>80</v>
      </c>
      <c r="M2028" s="69" t="s">
        <v>286</v>
      </c>
      <c r="N2028" s="95"/>
      <c r="P2028" t="s">
        <v>95</v>
      </c>
      <c r="Q2028" t="s">
        <v>120</v>
      </c>
      <c r="R2028" s="92" t="s">
        <v>69</v>
      </c>
      <c r="S2028" s="92" t="s">
        <v>123</v>
      </c>
      <c r="V2028" s="95">
        <v>43190</v>
      </c>
      <c r="W2028" s="92">
        <v>2030501</v>
      </c>
      <c r="X2028" s="90" t="s">
        <v>333</v>
      </c>
      <c r="Y2028" s="123"/>
      <c r="Z2028" s="30">
        <f t="shared" si="62"/>
        <v>7449.8607637513824</v>
      </c>
      <c r="AA2028" s="30">
        <f t="shared" si="63"/>
        <v>2328.0814886723069</v>
      </c>
      <c r="AB2028" t="s">
        <v>457</v>
      </c>
    </row>
    <row r="2029" spans="1:28">
      <c r="A2029" t="s">
        <v>122</v>
      </c>
      <c r="B2029" s="91"/>
      <c r="C2029" s="92">
        <v>4615472460</v>
      </c>
      <c r="D2029" s="93">
        <v>21120</v>
      </c>
      <c r="F2029" s="91">
        <v>16</v>
      </c>
      <c r="G2029" s="96">
        <v>5</v>
      </c>
      <c r="H2029" s="94">
        <v>0</v>
      </c>
      <c r="I2029" s="91">
        <v>0</v>
      </c>
      <c r="J2029" s="41"/>
      <c r="K2029" s="41">
        <v>43190</v>
      </c>
      <c r="L2029" s="69" t="s">
        <v>80</v>
      </c>
      <c r="M2029" s="69" t="s">
        <v>286</v>
      </c>
      <c r="N2029" s="95"/>
      <c r="P2029" t="s">
        <v>95</v>
      </c>
      <c r="Q2029" t="s">
        <v>120</v>
      </c>
      <c r="R2029" s="92" t="s">
        <v>69</v>
      </c>
      <c r="S2029" s="92" t="s">
        <v>123</v>
      </c>
      <c r="V2029" s="95">
        <v>43190</v>
      </c>
      <c r="W2029" s="92">
        <v>2030501</v>
      </c>
      <c r="X2029" s="90" t="s">
        <v>333</v>
      </c>
      <c r="Y2029" s="123"/>
      <c r="Z2029" s="30">
        <f t="shared" si="62"/>
        <v>7449.8607637513824</v>
      </c>
      <c r="AA2029" s="30">
        <f t="shared" si="63"/>
        <v>2328.0814886723069</v>
      </c>
      <c r="AB2029" t="s">
        <v>457</v>
      </c>
    </row>
    <row r="2030" spans="1:28">
      <c r="A2030" t="s">
        <v>122</v>
      </c>
      <c r="B2030" s="91"/>
      <c r="C2030" s="92">
        <v>4615481592</v>
      </c>
      <c r="D2030" s="93">
        <v>19200</v>
      </c>
      <c r="F2030" s="91">
        <v>16</v>
      </c>
      <c r="G2030" s="96">
        <v>5</v>
      </c>
      <c r="H2030" s="94">
        <v>0</v>
      </c>
      <c r="I2030" s="91">
        <v>0</v>
      </c>
      <c r="J2030" s="41"/>
      <c r="K2030" s="41">
        <v>43190</v>
      </c>
      <c r="L2030" s="69" t="s">
        <v>80</v>
      </c>
      <c r="M2030" s="69" t="s">
        <v>286</v>
      </c>
      <c r="N2030" s="95"/>
      <c r="P2030" t="s">
        <v>95</v>
      </c>
      <c r="Q2030" t="s">
        <v>120</v>
      </c>
      <c r="R2030" s="92" t="s">
        <v>69</v>
      </c>
      <c r="S2030" s="92" t="s">
        <v>123</v>
      </c>
      <c r="V2030" s="95">
        <v>43190</v>
      </c>
      <c r="W2030" s="92">
        <v>2030511</v>
      </c>
      <c r="X2030" s="90"/>
      <c r="Y2030" s="123"/>
      <c r="Z2030" s="30">
        <f t="shared" si="62"/>
        <v>6772.6006943194379</v>
      </c>
      <c r="AA2030" s="30">
        <f t="shared" si="63"/>
        <v>2116.4377169748245</v>
      </c>
      <c r="AB2030" t="s">
        <v>457</v>
      </c>
    </row>
    <row r="2031" spans="1:28">
      <c r="A2031" t="s">
        <v>122</v>
      </c>
      <c r="B2031" s="91"/>
      <c r="C2031" s="92">
        <v>4615481592</v>
      </c>
      <c r="D2031" s="93">
        <v>19200</v>
      </c>
      <c r="F2031" s="91">
        <v>16</v>
      </c>
      <c r="G2031" s="96">
        <v>5</v>
      </c>
      <c r="H2031" s="94">
        <v>0</v>
      </c>
      <c r="I2031" s="91">
        <v>0</v>
      </c>
      <c r="J2031" s="41"/>
      <c r="K2031" s="41">
        <v>43190</v>
      </c>
      <c r="L2031" s="69" t="s">
        <v>80</v>
      </c>
      <c r="M2031" s="69" t="s">
        <v>286</v>
      </c>
      <c r="N2031" s="95"/>
      <c r="P2031" t="s">
        <v>95</v>
      </c>
      <c r="Q2031" t="s">
        <v>120</v>
      </c>
      <c r="R2031" s="92" t="s">
        <v>69</v>
      </c>
      <c r="S2031" s="92" t="s">
        <v>123</v>
      </c>
      <c r="V2031" s="95">
        <v>43190</v>
      </c>
      <c r="W2031" s="92">
        <v>2030511</v>
      </c>
      <c r="X2031" s="90"/>
      <c r="Y2031" s="123"/>
      <c r="Z2031" s="30">
        <f t="shared" si="62"/>
        <v>6772.6006943194379</v>
      </c>
      <c r="AA2031" s="30">
        <f t="shared" si="63"/>
        <v>2116.4377169748245</v>
      </c>
      <c r="AB2031" t="s">
        <v>457</v>
      </c>
    </row>
    <row r="2032" spans="1:28">
      <c r="A2032" t="s">
        <v>122</v>
      </c>
      <c r="B2032" s="91"/>
      <c r="C2032" s="92">
        <v>4615481592</v>
      </c>
      <c r="D2032" s="93">
        <v>19200</v>
      </c>
      <c r="F2032" s="91">
        <v>16</v>
      </c>
      <c r="G2032" s="96">
        <v>5</v>
      </c>
      <c r="H2032" s="94">
        <v>0</v>
      </c>
      <c r="I2032" s="91">
        <v>0</v>
      </c>
      <c r="J2032" s="41"/>
      <c r="K2032" s="41">
        <v>43190</v>
      </c>
      <c r="L2032" s="69" t="s">
        <v>80</v>
      </c>
      <c r="M2032" s="69" t="s">
        <v>286</v>
      </c>
      <c r="N2032" s="95"/>
      <c r="P2032" t="s">
        <v>95</v>
      </c>
      <c r="Q2032" t="s">
        <v>120</v>
      </c>
      <c r="R2032" s="92" t="s">
        <v>69</v>
      </c>
      <c r="S2032" s="92" t="s">
        <v>123</v>
      </c>
      <c r="V2032" s="95">
        <v>43190</v>
      </c>
      <c r="W2032" s="92">
        <v>2030511</v>
      </c>
      <c r="X2032" s="90"/>
      <c r="Y2032" s="123"/>
      <c r="Z2032" s="30">
        <f t="shared" si="62"/>
        <v>6772.6006943194379</v>
      </c>
      <c r="AA2032" s="30">
        <f t="shared" si="63"/>
        <v>2116.4377169748245</v>
      </c>
      <c r="AB2032" t="s">
        <v>457</v>
      </c>
    </row>
    <row r="2033" spans="1:28">
      <c r="A2033" t="s">
        <v>122</v>
      </c>
      <c r="B2033" s="91"/>
      <c r="C2033" s="92">
        <v>4615481592</v>
      </c>
      <c r="D2033" s="93">
        <v>19200</v>
      </c>
      <c r="F2033" s="91">
        <v>16</v>
      </c>
      <c r="G2033" s="96">
        <v>5</v>
      </c>
      <c r="H2033" s="94">
        <v>0</v>
      </c>
      <c r="I2033" s="91">
        <v>0</v>
      </c>
      <c r="J2033" s="41"/>
      <c r="K2033" s="41">
        <v>43190</v>
      </c>
      <c r="L2033" s="69" t="s">
        <v>80</v>
      </c>
      <c r="M2033" s="69" t="s">
        <v>286</v>
      </c>
      <c r="N2033" s="95"/>
      <c r="P2033" t="s">
        <v>95</v>
      </c>
      <c r="Q2033" t="s">
        <v>120</v>
      </c>
      <c r="R2033" s="92" t="s">
        <v>69</v>
      </c>
      <c r="S2033" s="92" t="s">
        <v>123</v>
      </c>
      <c r="V2033" s="95">
        <v>43190</v>
      </c>
      <c r="W2033" s="92">
        <v>2030511</v>
      </c>
      <c r="X2033" s="90"/>
      <c r="Y2033" s="123"/>
      <c r="Z2033" s="30">
        <f t="shared" si="62"/>
        <v>6772.6006943194379</v>
      </c>
      <c r="AA2033" s="30">
        <f t="shared" si="63"/>
        <v>2116.4377169748245</v>
      </c>
      <c r="AB2033" t="s">
        <v>457</v>
      </c>
    </row>
    <row r="2034" spans="1:28">
      <c r="A2034" t="s">
        <v>122</v>
      </c>
      <c r="B2034" s="91"/>
      <c r="C2034" s="92">
        <v>4615481592</v>
      </c>
      <c r="D2034" s="93">
        <v>19200</v>
      </c>
      <c r="F2034" s="91">
        <v>16</v>
      </c>
      <c r="G2034" s="96">
        <v>5</v>
      </c>
      <c r="H2034" s="94">
        <v>0</v>
      </c>
      <c r="I2034" s="91">
        <v>0</v>
      </c>
      <c r="J2034" s="41"/>
      <c r="K2034" s="41">
        <v>43190</v>
      </c>
      <c r="L2034" s="69" t="s">
        <v>80</v>
      </c>
      <c r="M2034" s="69" t="s">
        <v>286</v>
      </c>
      <c r="N2034" s="95"/>
      <c r="P2034" t="s">
        <v>95</v>
      </c>
      <c r="Q2034" t="s">
        <v>120</v>
      </c>
      <c r="R2034" s="92" t="s">
        <v>69</v>
      </c>
      <c r="S2034" s="92" t="s">
        <v>123</v>
      </c>
      <c r="V2034" s="95">
        <v>43190</v>
      </c>
      <c r="W2034" s="92">
        <v>2030511</v>
      </c>
      <c r="X2034" s="90"/>
      <c r="Y2034" s="123"/>
      <c r="Z2034" s="30">
        <f t="shared" si="62"/>
        <v>6772.6006943194379</v>
      </c>
      <c r="AA2034" s="30">
        <f t="shared" si="63"/>
        <v>2116.4377169748245</v>
      </c>
      <c r="AB2034" t="s">
        <v>457</v>
      </c>
    </row>
    <row r="2035" spans="1:28">
      <c r="A2035" t="s">
        <v>122</v>
      </c>
      <c r="B2035" s="91"/>
      <c r="C2035" s="92">
        <v>4615481592</v>
      </c>
      <c r="D2035" s="93">
        <v>19200</v>
      </c>
      <c r="F2035" s="91">
        <v>16</v>
      </c>
      <c r="G2035" s="96">
        <v>5</v>
      </c>
      <c r="H2035" s="94">
        <v>0</v>
      </c>
      <c r="I2035" s="91">
        <v>0</v>
      </c>
      <c r="J2035" s="41"/>
      <c r="K2035" s="41">
        <v>43190</v>
      </c>
      <c r="L2035" s="69" t="s">
        <v>80</v>
      </c>
      <c r="M2035" s="69" t="s">
        <v>286</v>
      </c>
      <c r="N2035" s="95"/>
      <c r="P2035" t="s">
        <v>95</v>
      </c>
      <c r="Q2035" t="s">
        <v>120</v>
      </c>
      <c r="R2035" s="92" t="s">
        <v>69</v>
      </c>
      <c r="S2035" s="92" t="s">
        <v>123</v>
      </c>
      <c r="V2035" s="95">
        <v>43190</v>
      </c>
      <c r="W2035" s="92">
        <v>2030511</v>
      </c>
      <c r="X2035" s="90"/>
      <c r="Y2035" s="123"/>
      <c r="Z2035" s="30">
        <f t="shared" si="62"/>
        <v>6772.6006943194379</v>
      </c>
      <c r="AA2035" s="30">
        <f t="shared" si="63"/>
        <v>2116.4377169748245</v>
      </c>
      <c r="AB2035" t="s">
        <v>457</v>
      </c>
    </row>
    <row r="2036" spans="1:28">
      <c r="A2036" t="s">
        <v>122</v>
      </c>
      <c r="B2036" s="91"/>
      <c r="C2036" s="92">
        <v>4615481592</v>
      </c>
      <c r="D2036" s="93">
        <v>19200</v>
      </c>
      <c r="F2036" s="91">
        <v>16</v>
      </c>
      <c r="G2036" s="96">
        <v>5</v>
      </c>
      <c r="H2036" s="94">
        <v>0</v>
      </c>
      <c r="I2036" s="91">
        <v>0</v>
      </c>
      <c r="J2036" s="41"/>
      <c r="K2036" s="41">
        <v>43190</v>
      </c>
      <c r="L2036" s="69" t="s">
        <v>80</v>
      </c>
      <c r="M2036" s="69" t="s">
        <v>286</v>
      </c>
      <c r="N2036" s="95"/>
      <c r="P2036" t="s">
        <v>95</v>
      </c>
      <c r="Q2036" t="s">
        <v>120</v>
      </c>
      <c r="R2036" s="92" t="s">
        <v>69</v>
      </c>
      <c r="S2036" s="92" t="s">
        <v>123</v>
      </c>
      <c r="V2036" s="95">
        <v>43190</v>
      </c>
      <c r="W2036" s="92">
        <v>2030511</v>
      </c>
      <c r="X2036" s="90"/>
      <c r="Y2036" s="123"/>
      <c r="Z2036" s="30">
        <f t="shared" si="62"/>
        <v>6772.6006943194379</v>
      </c>
      <c r="AA2036" s="30">
        <f t="shared" si="63"/>
        <v>2116.4377169748245</v>
      </c>
      <c r="AB2036" t="s">
        <v>457</v>
      </c>
    </row>
    <row r="2037" spans="1:28">
      <c r="A2037" t="s">
        <v>122</v>
      </c>
      <c r="B2037" s="91"/>
      <c r="C2037" s="92">
        <v>4615481592</v>
      </c>
      <c r="D2037" s="93">
        <v>19200</v>
      </c>
      <c r="F2037" s="91">
        <v>16</v>
      </c>
      <c r="G2037" s="96">
        <v>5</v>
      </c>
      <c r="H2037" s="94">
        <v>0</v>
      </c>
      <c r="I2037" s="91">
        <v>0</v>
      </c>
      <c r="J2037" s="41"/>
      <c r="K2037" s="41">
        <v>43190</v>
      </c>
      <c r="L2037" s="69" t="s">
        <v>80</v>
      </c>
      <c r="M2037" s="69" t="s">
        <v>286</v>
      </c>
      <c r="N2037" s="95"/>
      <c r="P2037" t="s">
        <v>95</v>
      </c>
      <c r="Q2037" t="s">
        <v>120</v>
      </c>
      <c r="R2037" s="92" t="s">
        <v>69</v>
      </c>
      <c r="S2037" s="92" t="s">
        <v>123</v>
      </c>
      <c r="V2037" s="95">
        <v>43190</v>
      </c>
      <c r="W2037" s="92">
        <v>2030511</v>
      </c>
      <c r="X2037" s="90"/>
      <c r="Y2037" s="123"/>
      <c r="Z2037" s="30">
        <f t="shared" si="62"/>
        <v>6772.6006943194379</v>
      </c>
      <c r="AA2037" s="30">
        <f t="shared" si="63"/>
        <v>2116.4377169748245</v>
      </c>
      <c r="AB2037" t="s">
        <v>457</v>
      </c>
    </row>
    <row r="2038" spans="1:28">
      <c r="A2038" t="s">
        <v>122</v>
      </c>
      <c r="B2038" s="91"/>
      <c r="C2038" s="92">
        <v>4615481592</v>
      </c>
      <c r="D2038" s="93">
        <v>19200</v>
      </c>
      <c r="F2038" s="91">
        <v>16</v>
      </c>
      <c r="G2038" s="96">
        <v>5</v>
      </c>
      <c r="H2038" s="94">
        <v>0</v>
      </c>
      <c r="I2038" s="91">
        <v>0</v>
      </c>
      <c r="J2038" s="41"/>
      <c r="K2038" s="41">
        <v>43190</v>
      </c>
      <c r="L2038" s="69" t="s">
        <v>80</v>
      </c>
      <c r="M2038" s="69" t="s">
        <v>286</v>
      </c>
      <c r="N2038" s="95"/>
      <c r="P2038" t="s">
        <v>95</v>
      </c>
      <c r="Q2038" t="s">
        <v>120</v>
      </c>
      <c r="R2038" s="92" t="s">
        <v>69</v>
      </c>
      <c r="S2038" s="92" t="s">
        <v>123</v>
      </c>
      <c r="V2038" s="95">
        <v>43190</v>
      </c>
      <c r="W2038" s="92">
        <v>2030511</v>
      </c>
      <c r="X2038" s="90"/>
      <c r="Y2038" s="123"/>
      <c r="Z2038" s="30">
        <f t="shared" si="62"/>
        <v>6772.6006943194379</v>
      </c>
      <c r="AA2038" s="30">
        <f t="shared" si="63"/>
        <v>2116.4377169748245</v>
      </c>
      <c r="AB2038" t="s">
        <v>457</v>
      </c>
    </row>
    <row r="2039" spans="1:28">
      <c r="A2039" t="s">
        <v>122</v>
      </c>
      <c r="B2039" s="91"/>
      <c r="C2039" s="92">
        <v>4615481592</v>
      </c>
      <c r="D2039" s="93">
        <v>19200</v>
      </c>
      <c r="F2039" s="91">
        <v>16</v>
      </c>
      <c r="G2039" s="96">
        <v>5</v>
      </c>
      <c r="H2039" s="94">
        <v>0</v>
      </c>
      <c r="I2039" s="91">
        <v>0</v>
      </c>
      <c r="J2039" s="41"/>
      <c r="K2039" s="41">
        <v>43190</v>
      </c>
      <c r="L2039" s="69" t="s">
        <v>80</v>
      </c>
      <c r="M2039" s="69" t="s">
        <v>286</v>
      </c>
      <c r="N2039" s="95"/>
      <c r="P2039" t="s">
        <v>95</v>
      </c>
      <c r="Q2039" t="s">
        <v>120</v>
      </c>
      <c r="R2039" s="92" t="s">
        <v>69</v>
      </c>
      <c r="S2039" s="92" t="s">
        <v>123</v>
      </c>
      <c r="V2039" s="95">
        <v>43190</v>
      </c>
      <c r="W2039" s="92">
        <v>2030511</v>
      </c>
      <c r="X2039" s="90"/>
      <c r="Y2039" s="123"/>
      <c r="Z2039" s="30">
        <f t="shared" si="62"/>
        <v>6772.6006943194379</v>
      </c>
      <c r="AA2039" s="30">
        <f t="shared" si="63"/>
        <v>2116.4377169748245</v>
      </c>
      <c r="AB2039" t="s">
        <v>457</v>
      </c>
    </row>
    <row r="2040" spans="1:28">
      <c r="A2040" t="s">
        <v>122</v>
      </c>
      <c r="B2040" s="91"/>
      <c r="C2040" s="92">
        <v>4615481592</v>
      </c>
      <c r="D2040" s="93">
        <v>19200</v>
      </c>
      <c r="F2040" s="91">
        <v>16</v>
      </c>
      <c r="G2040" s="96">
        <v>5</v>
      </c>
      <c r="H2040" s="94">
        <v>0</v>
      </c>
      <c r="I2040" s="91">
        <v>0</v>
      </c>
      <c r="J2040" s="41"/>
      <c r="K2040" s="41">
        <v>43190</v>
      </c>
      <c r="L2040" s="69" t="s">
        <v>80</v>
      </c>
      <c r="M2040" s="69" t="s">
        <v>286</v>
      </c>
      <c r="N2040" s="95"/>
      <c r="P2040" t="s">
        <v>95</v>
      </c>
      <c r="Q2040" t="s">
        <v>120</v>
      </c>
      <c r="R2040" s="92" t="s">
        <v>69</v>
      </c>
      <c r="S2040" s="92" t="s">
        <v>123</v>
      </c>
      <c r="V2040" s="95">
        <v>43190</v>
      </c>
      <c r="W2040" s="92">
        <v>2030511</v>
      </c>
      <c r="X2040" s="90"/>
      <c r="Y2040" s="123"/>
      <c r="Z2040" s="30">
        <f t="shared" si="62"/>
        <v>6772.6006943194379</v>
      </c>
      <c r="AA2040" s="30">
        <f t="shared" si="63"/>
        <v>2116.4377169748245</v>
      </c>
      <c r="AB2040" t="s">
        <v>457</v>
      </c>
    </row>
    <row r="2041" spans="1:28">
      <c r="A2041" t="s">
        <v>122</v>
      </c>
      <c r="B2041" s="91"/>
      <c r="C2041" s="92">
        <v>4615468033</v>
      </c>
      <c r="D2041" s="93">
        <v>21000</v>
      </c>
      <c r="F2041" s="91">
        <v>16</v>
      </c>
      <c r="G2041" s="96">
        <v>5</v>
      </c>
      <c r="H2041" s="94">
        <v>0</v>
      </c>
      <c r="I2041" s="91">
        <v>0</v>
      </c>
      <c r="J2041" s="41"/>
      <c r="K2041" s="41">
        <v>43190</v>
      </c>
      <c r="L2041" s="69" t="s">
        <v>80</v>
      </c>
      <c r="M2041" s="69" t="s">
        <v>286</v>
      </c>
      <c r="N2041" s="95"/>
      <c r="P2041" t="s">
        <v>95</v>
      </c>
      <c r="Q2041" t="s">
        <v>120</v>
      </c>
      <c r="R2041" s="92" t="s">
        <v>69</v>
      </c>
      <c r="S2041" s="92" t="s">
        <v>123</v>
      </c>
      <c r="V2041" s="95">
        <v>43190</v>
      </c>
      <c r="W2041" s="92">
        <v>2030479</v>
      </c>
      <c r="X2041" s="90" t="s">
        <v>321</v>
      </c>
      <c r="Y2041" s="123"/>
      <c r="Z2041" s="30">
        <f t="shared" si="62"/>
        <v>7407.5320094118861</v>
      </c>
      <c r="AA2041" s="30">
        <f t="shared" si="63"/>
        <v>2314.8537529412147</v>
      </c>
      <c r="AB2041" t="s">
        <v>457</v>
      </c>
    </row>
    <row r="2042" spans="1:28">
      <c r="A2042" t="s">
        <v>122</v>
      </c>
      <c r="B2042" s="91"/>
      <c r="C2042" s="92">
        <v>4615468033</v>
      </c>
      <c r="D2042" s="93">
        <v>21000</v>
      </c>
      <c r="F2042" s="91">
        <v>16</v>
      </c>
      <c r="G2042" s="96">
        <v>5</v>
      </c>
      <c r="H2042" s="94">
        <v>0</v>
      </c>
      <c r="I2042" s="91">
        <v>0</v>
      </c>
      <c r="J2042" s="41"/>
      <c r="K2042" s="41">
        <v>43190</v>
      </c>
      <c r="L2042" s="69" t="s">
        <v>80</v>
      </c>
      <c r="M2042" s="69" t="s">
        <v>286</v>
      </c>
      <c r="N2042" s="95"/>
      <c r="P2042" t="s">
        <v>95</v>
      </c>
      <c r="Q2042" t="s">
        <v>120</v>
      </c>
      <c r="R2042" s="92" t="s">
        <v>69</v>
      </c>
      <c r="S2042" s="92" t="s">
        <v>123</v>
      </c>
      <c r="V2042" s="95">
        <v>43190</v>
      </c>
      <c r="W2042" s="92">
        <v>2030479</v>
      </c>
      <c r="X2042" s="90" t="s">
        <v>321</v>
      </c>
      <c r="Y2042" s="123"/>
      <c r="Z2042" s="30">
        <f t="shared" si="62"/>
        <v>7407.5320094118861</v>
      </c>
      <c r="AA2042" s="30">
        <f t="shared" si="63"/>
        <v>2314.8537529412147</v>
      </c>
      <c r="AB2042" t="s">
        <v>457</v>
      </c>
    </row>
    <row r="2043" spans="1:28">
      <c r="A2043" t="s">
        <v>122</v>
      </c>
      <c r="B2043" s="91"/>
      <c r="C2043" s="92">
        <v>4615468033</v>
      </c>
      <c r="D2043" s="93">
        <v>21000</v>
      </c>
      <c r="F2043" s="91">
        <v>16</v>
      </c>
      <c r="G2043" s="96">
        <v>5</v>
      </c>
      <c r="H2043" s="94">
        <v>0</v>
      </c>
      <c r="I2043" s="91">
        <v>0</v>
      </c>
      <c r="J2043" s="41"/>
      <c r="K2043" s="41">
        <v>43190</v>
      </c>
      <c r="L2043" s="69" t="s">
        <v>80</v>
      </c>
      <c r="M2043" s="69" t="s">
        <v>286</v>
      </c>
      <c r="N2043" s="95"/>
      <c r="P2043" t="s">
        <v>95</v>
      </c>
      <c r="Q2043" t="s">
        <v>120</v>
      </c>
      <c r="R2043" s="92" t="s">
        <v>69</v>
      </c>
      <c r="S2043" s="92" t="s">
        <v>123</v>
      </c>
      <c r="V2043" s="95">
        <v>43190</v>
      </c>
      <c r="W2043" s="92">
        <v>2030479</v>
      </c>
      <c r="X2043" s="90" t="s">
        <v>321</v>
      </c>
      <c r="Y2043" s="123"/>
      <c r="Z2043" s="30">
        <f t="shared" si="62"/>
        <v>7407.5320094118861</v>
      </c>
      <c r="AA2043" s="30">
        <f t="shared" si="63"/>
        <v>2314.8537529412147</v>
      </c>
      <c r="AB2043" t="s">
        <v>457</v>
      </c>
    </row>
    <row r="2044" spans="1:28">
      <c r="A2044" t="s">
        <v>122</v>
      </c>
      <c r="B2044" s="91"/>
      <c r="C2044" s="92">
        <v>4615468033</v>
      </c>
      <c r="D2044" s="93">
        <v>21000</v>
      </c>
      <c r="F2044" s="91">
        <v>16</v>
      </c>
      <c r="G2044" s="96">
        <v>5</v>
      </c>
      <c r="H2044" s="94">
        <v>0</v>
      </c>
      <c r="I2044" s="91">
        <v>0</v>
      </c>
      <c r="J2044" s="41"/>
      <c r="K2044" s="41">
        <v>43190</v>
      </c>
      <c r="L2044" s="69" t="s">
        <v>80</v>
      </c>
      <c r="M2044" s="69" t="s">
        <v>286</v>
      </c>
      <c r="N2044" s="95"/>
      <c r="P2044" t="s">
        <v>95</v>
      </c>
      <c r="Q2044" t="s">
        <v>120</v>
      </c>
      <c r="R2044" s="92" t="s">
        <v>69</v>
      </c>
      <c r="S2044" s="92" t="s">
        <v>123</v>
      </c>
      <c r="V2044" s="95">
        <v>43190</v>
      </c>
      <c r="W2044" s="92">
        <v>2030479</v>
      </c>
      <c r="X2044" s="90" t="s">
        <v>321</v>
      </c>
      <c r="Y2044" s="123"/>
      <c r="Z2044" s="30">
        <f t="shared" si="62"/>
        <v>7407.5320094118861</v>
      </c>
      <c r="AA2044" s="30">
        <f t="shared" si="63"/>
        <v>2314.8537529412147</v>
      </c>
      <c r="AB2044" t="s">
        <v>457</v>
      </c>
    </row>
    <row r="2045" spans="1:28">
      <c r="A2045" t="s">
        <v>122</v>
      </c>
      <c r="B2045" s="91"/>
      <c r="C2045" s="92">
        <v>4615468033</v>
      </c>
      <c r="D2045" s="93">
        <v>21000</v>
      </c>
      <c r="F2045" s="91">
        <v>16</v>
      </c>
      <c r="G2045" s="96">
        <v>5</v>
      </c>
      <c r="H2045" s="94">
        <v>0</v>
      </c>
      <c r="I2045" s="91">
        <v>0</v>
      </c>
      <c r="J2045" s="41"/>
      <c r="K2045" s="41">
        <v>43190</v>
      </c>
      <c r="L2045" s="69" t="s">
        <v>80</v>
      </c>
      <c r="M2045" s="69" t="s">
        <v>286</v>
      </c>
      <c r="N2045" s="95"/>
      <c r="P2045" t="s">
        <v>95</v>
      </c>
      <c r="Q2045" t="s">
        <v>120</v>
      </c>
      <c r="R2045" s="92" t="s">
        <v>69</v>
      </c>
      <c r="S2045" s="92" t="s">
        <v>123</v>
      </c>
      <c r="V2045" s="95">
        <v>43190</v>
      </c>
      <c r="W2045" s="92">
        <v>2030479</v>
      </c>
      <c r="X2045" s="90" t="s">
        <v>321</v>
      </c>
      <c r="Y2045" s="123"/>
      <c r="Z2045" s="30">
        <f t="shared" si="62"/>
        <v>7407.5320094118861</v>
      </c>
      <c r="AA2045" s="30">
        <f t="shared" si="63"/>
        <v>2314.8537529412147</v>
      </c>
      <c r="AB2045" t="s">
        <v>457</v>
      </c>
    </row>
    <row r="2046" spans="1:28">
      <c r="A2046" t="s">
        <v>122</v>
      </c>
      <c r="B2046" s="91"/>
      <c r="C2046" s="92">
        <v>4615468033</v>
      </c>
      <c r="D2046" s="93">
        <v>21000</v>
      </c>
      <c r="F2046" s="91">
        <v>16</v>
      </c>
      <c r="G2046" s="96">
        <v>5</v>
      </c>
      <c r="H2046" s="94">
        <v>0</v>
      </c>
      <c r="I2046" s="91">
        <v>0</v>
      </c>
      <c r="J2046" s="41"/>
      <c r="K2046" s="41">
        <v>43190</v>
      </c>
      <c r="L2046" s="69" t="s">
        <v>80</v>
      </c>
      <c r="M2046" s="69" t="s">
        <v>286</v>
      </c>
      <c r="N2046" s="95"/>
      <c r="P2046" t="s">
        <v>95</v>
      </c>
      <c r="Q2046" t="s">
        <v>120</v>
      </c>
      <c r="R2046" s="92" t="s">
        <v>69</v>
      </c>
      <c r="S2046" s="92" t="s">
        <v>123</v>
      </c>
      <c r="V2046" s="95">
        <v>43190</v>
      </c>
      <c r="W2046" s="92">
        <v>2030479</v>
      </c>
      <c r="X2046" s="90" t="s">
        <v>321</v>
      </c>
      <c r="Y2046" s="123"/>
      <c r="Z2046" s="30">
        <f t="shared" si="62"/>
        <v>7407.5320094118861</v>
      </c>
      <c r="AA2046" s="30">
        <f t="shared" si="63"/>
        <v>2314.8537529412147</v>
      </c>
      <c r="AB2046" t="s">
        <v>457</v>
      </c>
    </row>
    <row r="2047" spans="1:28">
      <c r="A2047" t="s">
        <v>122</v>
      </c>
      <c r="B2047" s="91"/>
      <c r="C2047" s="92">
        <v>4615468033</v>
      </c>
      <c r="D2047" s="93">
        <v>21000</v>
      </c>
      <c r="F2047" s="91">
        <v>16</v>
      </c>
      <c r="G2047" s="96">
        <v>5</v>
      </c>
      <c r="H2047" s="94">
        <v>0</v>
      </c>
      <c r="I2047" s="91">
        <v>0</v>
      </c>
      <c r="J2047" s="41"/>
      <c r="K2047" s="41">
        <v>43190</v>
      </c>
      <c r="L2047" s="69" t="s">
        <v>80</v>
      </c>
      <c r="M2047" s="69" t="s">
        <v>286</v>
      </c>
      <c r="N2047" s="95"/>
      <c r="P2047" t="s">
        <v>95</v>
      </c>
      <c r="Q2047" t="s">
        <v>120</v>
      </c>
      <c r="R2047" s="92" t="s">
        <v>69</v>
      </c>
      <c r="S2047" s="92" t="s">
        <v>123</v>
      </c>
      <c r="V2047" s="95">
        <v>43190</v>
      </c>
      <c r="W2047" s="92">
        <v>2030479</v>
      </c>
      <c r="X2047" s="90" t="s">
        <v>321</v>
      </c>
      <c r="Y2047" s="123"/>
      <c r="Z2047" s="30">
        <f t="shared" si="62"/>
        <v>7407.5320094118861</v>
      </c>
      <c r="AA2047" s="30">
        <f t="shared" si="63"/>
        <v>2314.8537529412147</v>
      </c>
      <c r="AB2047" t="s">
        <v>457</v>
      </c>
    </row>
    <row r="2048" spans="1:28">
      <c r="A2048" t="s">
        <v>122</v>
      </c>
      <c r="B2048" s="91"/>
      <c r="C2048" s="92">
        <v>4615468033</v>
      </c>
      <c r="D2048" s="93">
        <v>21000</v>
      </c>
      <c r="F2048" s="91">
        <v>16</v>
      </c>
      <c r="G2048" s="96">
        <v>5</v>
      </c>
      <c r="H2048" s="94">
        <v>0</v>
      </c>
      <c r="I2048" s="91">
        <v>0</v>
      </c>
      <c r="J2048" s="41"/>
      <c r="K2048" s="41">
        <v>43190</v>
      </c>
      <c r="L2048" s="69" t="s">
        <v>80</v>
      </c>
      <c r="M2048" s="69" t="s">
        <v>286</v>
      </c>
      <c r="N2048" s="95"/>
      <c r="P2048" t="s">
        <v>95</v>
      </c>
      <c r="Q2048" t="s">
        <v>120</v>
      </c>
      <c r="R2048" s="92" t="s">
        <v>69</v>
      </c>
      <c r="S2048" s="92" t="s">
        <v>123</v>
      </c>
      <c r="V2048" s="95">
        <v>43190</v>
      </c>
      <c r="W2048" s="92">
        <v>2030479</v>
      </c>
      <c r="X2048" s="90" t="s">
        <v>321</v>
      </c>
      <c r="Y2048" s="123"/>
      <c r="Z2048" s="30">
        <f t="shared" si="62"/>
        <v>7407.5320094118861</v>
      </c>
      <c r="AA2048" s="30">
        <f t="shared" si="63"/>
        <v>2314.8537529412147</v>
      </c>
      <c r="AB2048" t="s">
        <v>457</v>
      </c>
    </row>
    <row r="2049" spans="1:28">
      <c r="A2049" t="s">
        <v>122</v>
      </c>
      <c r="B2049" s="91"/>
      <c r="C2049" s="92">
        <v>4615468033</v>
      </c>
      <c r="D2049" s="93">
        <v>21000</v>
      </c>
      <c r="F2049" s="91">
        <v>16</v>
      </c>
      <c r="G2049" s="96">
        <v>5</v>
      </c>
      <c r="H2049" s="94">
        <v>0</v>
      </c>
      <c r="I2049" s="91">
        <v>0</v>
      </c>
      <c r="J2049" s="41"/>
      <c r="K2049" s="41">
        <v>43190</v>
      </c>
      <c r="L2049" s="69" t="s">
        <v>80</v>
      </c>
      <c r="M2049" s="69" t="s">
        <v>286</v>
      </c>
      <c r="N2049" s="95"/>
      <c r="P2049" t="s">
        <v>95</v>
      </c>
      <c r="Q2049" t="s">
        <v>120</v>
      </c>
      <c r="R2049" s="92" t="s">
        <v>69</v>
      </c>
      <c r="S2049" s="92" t="s">
        <v>123</v>
      </c>
      <c r="V2049" s="95">
        <v>43190</v>
      </c>
      <c r="W2049" s="92">
        <v>2030479</v>
      </c>
      <c r="X2049" s="90" t="s">
        <v>321</v>
      </c>
      <c r="Y2049" s="123"/>
      <c r="Z2049" s="30">
        <f t="shared" si="62"/>
        <v>7407.5320094118861</v>
      </c>
      <c r="AA2049" s="30">
        <f t="shared" si="63"/>
        <v>2314.8537529412147</v>
      </c>
      <c r="AB2049" t="s">
        <v>457</v>
      </c>
    </row>
    <row r="2050" spans="1:28">
      <c r="A2050" t="s">
        <v>122</v>
      </c>
      <c r="B2050" s="91">
        <v>1321081</v>
      </c>
      <c r="C2050" s="92">
        <v>4615493249</v>
      </c>
      <c r="D2050" s="93">
        <v>19200</v>
      </c>
      <c r="F2050" s="91">
        <v>16</v>
      </c>
      <c r="G2050" s="96">
        <v>5</v>
      </c>
      <c r="H2050" s="94">
        <v>0</v>
      </c>
      <c r="I2050" s="91">
        <v>0</v>
      </c>
      <c r="J2050" s="41">
        <v>43144</v>
      </c>
      <c r="K2050" s="41">
        <v>43190</v>
      </c>
      <c r="L2050" s="69" t="s">
        <v>119</v>
      </c>
      <c r="M2050" s="69" t="s">
        <v>299</v>
      </c>
      <c r="N2050" s="95"/>
      <c r="P2050" t="s">
        <v>95</v>
      </c>
      <c r="Q2050" t="s">
        <v>120</v>
      </c>
      <c r="R2050" s="92" t="s">
        <v>69</v>
      </c>
      <c r="S2050" s="92" t="s">
        <v>123</v>
      </c>
      <c r="V2050" s="95">
        <v>43190</v>
      </c>
      <c r="W2050" s="92">
        <v>2030490</v>
      </c>
      <c r="X2050" s="90"/>
      <c r="Y2050" s="123"/>
      <c r="Z2050" s="30">
        <f t="shared" si="62"/>
        <v>6772.6006943194379</v>
      </c>
      <c r="AA2050" s="30">
        <f t="shared" si="63"/>
        <v>2116.4377169748245</v>
      </c>
      <c r="AB2050" t="s">
        <v>456</v>
      </c>
    </row>
    <row r="2051" spans="1:28">
      <c r="A2051" t="s">
        <v>122</v>
      </c>
      <c r="B2051" s="91">
        <v>1321082</v>
      </c>
      <c r="C2051" s="92">
        <v>4615493249</v>
      </c>
      <c r="D2051" s="93">
        <v>19200</v>
      </c>
      <c r="F2051" s="91">
        <v>16</v>
      </c>
      <c r="G2051" s="96">
        <v>5</v>
      </c>
      <c r="H2051" s="94">
        <v>0</v>
      </c>
      <c r="I2051" s="91">
        <v>0</v>
      </c>
      <c r="J2051" s="41">
        <v>43144</v>
      </c>
      <c r="K2051" s="41">
        <v>43190</v>
      </c>
      <c r="L2051" s="69" t="s">
        <v>119</v>
      </c>
      <c r="M2051" s="69" t="s">
        <v>299</v>
      </c>
      <c r="N2051" s="95"/>
      <c r="P2051" t="s">
        <v>95</v>
      </c>
      <c r="Q2051" t="s">
        <v>120</v>
      </c>
      <c r="R2051" s="92" t="s">
        <v>69</v>
      </c>
      <c r="S2051" s="92" t="s">
        <v>123</v>
      </c>
      <c r="V2051" s="95">
        <v>43190</v>
      </c>
      <c r="W2051" s="92">
        <v>2030490</v>
      </c>
      <c r="X2051" s="90"/>
      <c r="Y2051" s="123"/>
      <c r="Z2051" s="30">
        <f t="shared" ref="Z2051:Z2114" si="64">CONVERT(D2051,"kg","lbm")*F2051/100</f>
        <v>6772.6006943194379</v>
      </c>
      <c r="AA2051" s="30">
        <f t="shared" ref="AA2051:AA2114" si="65">CONVERT(D2051,"kg","lbm")*G2051/100</f>
        <v>2116.4377169748245</v>
      </c>
      <c r="AB2051" t="s">
        <v>456</v>
      </c>
    </row>
    <row r="2052" spans="1:28">
      <c r="A2052" t="s">
        <v>122</v>
      </c>
      <c r="B2052" s="91">
        <v>1321080</v>
      </c>
      <c r="C2052" s="92">
        <v>4615493249</v>
      </c>
      <c r="D2052" s="93">
        <v>19200</v>
      </c>
      <c r="F2052" s="91">
        <v>16</v>
      </c>
      <c r="G2052" s="96">
        <v>5</v>
      </c>
      <c r="H2052" s="94">
        <v>0</v>
      </c>
      <c r="I2052" s="91">
        <v>0</v>
      </c>
      <c r="J2052" s="41">
        <v>43144</v>
      </c>
      <c r="K2052" s="41">
        <v>43190</v>
      </c>
      <c r="L2052" s="69" t="s">
        <v>119</v>
      </c>
      <c r="M2052" s="69" t="s">
        <v>299</v>
      </c>
      <c r="N2052" s="95"/>
      <c r="P2052" t="s">
        <v>95</v>
      </c>
      <c r="Q2052" t="s">
        <v>120</v>
      </c>
      <c r="R2052" s="92" t="s">
        <v>69</v>
      </c>
      <c r="S2052" s="92" t="s">
        <v>123</v>
      </c>
      <c r="V2052" s="95">
        <v>43190</v>
      </c>
      <c r="W2052" s="92">
        <v>2030490</v>
      </c>
      <c r="X2052" s="90"/>
      <c r="Y2052" s="123"/>
      <c r="Z2052" s="30">
        <f t="shared" si="64"/>
        <v>6772.6006943194379</v>
      </c>
      <c r="AA2052" s="30">
        <f t="shared" si="65"/>
        <v>2116.4377169748245</v>
      </c>
      <c r="AB2052" t="s">
        <v>456</v>
      </c>
    </row>
    <row r="2053" spans="1:28">
      <c r="A2053" t="s">
        <v>113</v>
      </c>
      <c r="B2053" s="91">
        <v>1325126</v>
      </c>
      <c r="C2053" s="92">
        <v>4615487250</v>
      </c>
      <c r="D2053" s="93">
        <v>20700</v>
      </c>
      <c r="F2053" s="91">
        <v>16</v>
      </c>
      <c r="G2053" s="96">
        <v>5</v>
      </c>
      <c r="H2053" s="94">
        <v>0</v>
      </c>
      <c r="I2053" s="91">
        <v>0</v>
      </c>
      <c r="J2053" s="41">
        <v>43137</v>
      </c>
      <c r="K2053" s="41">
        <v>43190</v>
      </c>
      <c r="L2053" s="69" t="s">
        <v>108</v>
      </c>
      <c r="M2053" s="69" t="s">
        <v>109</v>
      </c>
      <c r="N2053" s="95">
        <v>43192</v>
      </c>
      <c r="P2053" t="s">
        <v>95</v>
      </c>
      <c r="Q2053" t="s">
        <v>110</v>
      </c>
      <c r="R2053" s="92" t="s">
        <v>69</v>
      </c>
      <c r="S2053" s="92" t="s">
        <v>115</v>
      </c>
      <c r="V2053" s="95">
        <v>43190</v>
      </c>
      <c r="W2053" s="92">
        <v>17070149</v>
      </c>
      <c r="X2053" s="90" t="s">
        <v>321</v>
      </c>
      <c r="Y2053" s="123"/>
      <c r="Z2053" s="30">
        <f t="shared" si="64"/>
        <v>7301.7101235631453</v>
      </c>
      <c r="AA2053" s="30">
        <f t="shared" si="65"/>
        <v>2281.7844136134831</v>
      </c>
      <c r="AB2053" t="s">
        <v>458</v>
      </c>
    </row>
    <row r="2054" spans="1:28">
      <c r="A2054" t="s">
        <v>113</v>
      </c>
      <c r="B2054" s="91">
        <v>1325125</v>
      </c>
      <c r="C2054" s="92">
        <v>4615487250</v>
      </c>
      <c r="D2054" s="93">
        <v>20700</v>
      </c>
      <c r="F2054" s="91">
        <v>16</v>
      </c>
      <c r="G2054" s="96">
        <v>5</v>
      </c>
      <c r="H2054" s="94">
        <v>0</v>
      </c>
      <c r="I2054" s="91">
        <v>0</v>
      </c>
      <c r="J2054" s="41">
        <v>43137</v>
      </c>
      <c r="K2054" s="41">
        <v>43190</v>
      </c>
      <c r="L2054" s="69" t="s">
        <v>108</v>
      </c>
      <c r="M2054" s="69" t="s">
        <v>109</v>
      </c>
      <c r="N2054" s="95">
        <v>43192</v>
      </c>
      <c r="P2054" t="s">
        <v>95</v>
      </c>
      <c r="Q2054" t="s">
        <v>110</v>
      </c>
      <c r="R2054" s="92" t="s">
        <v>69</v>
      </c>
      <c r="S2054" s="92" t="s">
        <v>115</v>
      </c>
      <c r="V2054" s="95">
        <v>43190</v>
      </c>
      <c r="W2054" s="92">
        <v>17070149</v>
      </c>
      <c r="X2054" s="90" t="s">
        <v>321</v>
      </c>
      <c r="Y2054" s="123"/>
      <c r="Z2054" s="30">
        <f t="shared" si="64"/>
        <v>7301.7101235631453</v>
      </c>
      <c r="AA2054" s="30">
        <f t="shared" si="65"/>
        <v>2281.7844136134831</v>
      </c>
      <c r="AB2054" t="s">
        <v>458</v>
      </c>
    </row>
    <row r="2055" spans="1:28">
      <c r="A2055" t="s">
        <v>113</v>
      </c>
      <c r="B2055" s="91">
        <v>1325124</v>
      </c>
      <c r="C2055" s="92">
        <v>4615487250</v>
      </c>
      <c r="D2055" s="93">
        <v>20700</v>
      </c>
      <c r="F2055" s="91">
        <v>16</v>
      </c>
      <c r="G2055" s="96">
        <v>5</v>
      </c>
      <c r="H2055" s="94">
        <v>0</v>
      </c>
      <c r="I2055" s="91">
        <v>0</v>
      </c>
      <c r="J2055" s="41">
        <v>43137</v>
      </c>
      <c r="K2055" s="41">
        <v>43190</v>
      </c>
      <c r="L2055" s="69" t="s">
        <v>108</v>
      </c>
      <c r="M2055" s="69" t="s">
        <v>109</v>
      </c>
      <c r="N2055" s="95">
        <v>43192</v>
      </c>
      <c r="P2055" t="s">
        <v>95</v>
      </c>
      <c r="Q2055" t="s">
        <v>110</v>
      </c>
      <c r="R2055" s="92" t="s">
        <v>69</v>
      </c>
      <c r="S2055" s="92" t="s">
        <v>115</v>
      </c>
      <c r="V2055" s="95">
        <v>43190</v>
      </c>
      <c r="W2055" s="92">
        <v>17070149</v>
      </c>
      <c r="X2055" s="90" t="s">
        <v>321</v>
      </c>
      <c r="Y2055" s="123"/>
      <c r="Z2055" s="30">
        <f t="shared" si="64"/>
        <v>7301.7101235631453</v>
      </c>
      <c r="AA2055" s="30">
        <f t="shared" si="65"/>
        <v>2281.7844136134831</v>
      </c>
      <c r="AB2055" t="s">
        <v>458</v>
      </c>
    </row>
    <row r="2056" spans="1:28">
      <c r="A2056" t="s">
        <v>113</v>
      </c>
      <c r="B2056" s="91">
        <v>1325123</v>
      </c>
      <c r="C2056" s="92">
        <v>4615487250</v>
      </c>
      <c r="D2056" s="93">
        <v>20700</v>
      </c>
      <c r="F2056" s="91">
        <v>16</v>
      </c>
      <c r="G2056" s="96">
        <v>5</v>
      </c>
      <c r="H2056" s="94">
        <v>0</v>
      </c>
      <c r="I2056" s="91">
        <v>0</v>
      </c>
      <c r="J2056" s="41">
        <v>43137</v>
      </c>
      <c r="K2056" s="41">
        <v>43190</v>
      </c>
      <c r="L2056" s="69" t="s">
        <v>108</v>
      </c>
      <c r="M2056" s="69" t="s">
        <v>109</v>
      </c>
      <c r="N2056" s="95">
        <v>43192</v>
      </c>
      <c r="P2056" t="s">
        <v>95</v>
      </c>
      <c r="Q2056" t="s">
        <v>110</v>
      </c>
      <c r="R2056" s="92" t="s">
        <v>69</v>
      </c>
      <c r="S2056" s="92" t="s">
        <v>115</v>
      </c>
      <c r="V2056" s="95">
        <v>43190</v>
      </c>
      <c r="W2056" s="92">
        <v>17070149</v>
      </c>
      <c r="X2056" s="90" t="s">
        <v>321</v>
      </c>
      <c r="Y2056" s="123"/>
      <c r="Z2056" s="30">
        <f t="shared" si="64"/>
        <v>7301.7101235631453</v>
      </c>
      <c r="AA2056" s="30">
        <f t="shared" si="65"/>
        <v>2281.7844136134831</v>
      </c>
      <c r="AB2056" t="s">
        <v>458</v>
      </c>
    </row>
    <row r="2057" spans="1:28">
      <c r="A2057" t="s">
        <v>113</v>
      </c>
      <c r="B2057" s="91">
        <v>1325117</v>
      </c>
      <c r="C2057" s="92">
        <v>4615487250</v>
      </c>
      <c r="D2057" s="93">
        <v>20700</v>
      </c>
      <c r="F2057" s="91">
        <v>16</v>
      </c>
      <c r="G2057" s="96">
        <v>5</v>
      </c>
      <c r="H2057" s="94">
        <v>0</v>
      </c>
      <c r="I2057" s="91">
        <v>0</v>
      </c>
      <c r="J2057" s="41">
        <v>43137</v>
      </c>
      <c r="K2057" s="41">
        <v>43190</v>
      </c>
      <c r="L2057" s="69" t="s">
        <v>108</v>
      </c>
      <c r="M2057" s="69" t="s">
        <v>109</v>
      </c>
      <c r="N2057" s="95">
        <v>43192</v>
      </c>
      <c r="P2057" t="s">
        <v>95</v>
      </c>
      <c r="Q2057" t="s">
        <v>110</v>
      </c>
      <c r="R2057" s="92" t="s">
        <v>69</v>
      </c>
      <c r="S2057" s="92" t="s">
        <v>115</v>
      </c>
      <c r="V2057" s="95">
        <v>43190</v>
      </c>
      <c r="W2057" s="92">
        <v>17070149</v>
      </c>
      <c r="X2057" s="90" t="s">
        <v>321</v>
      </c>
      <c r="Y2057" s="123"/>
      <c r="Z2057" s="30">
        <f t="shared" si="64"/>
        <v>7301.7101235631453</v>
      </c>
      <c r="AA2057" s="30">
        <f t="shared" si="65"/>
        <v>2281.7844136134831</v>
      </c>
      <c r="AB2057" t="s">
        <v>458</v>
      </c>
    </row>
    <row r="2058" spans="1:28">
      <c r="A2058" t="s">
        <v>113</v>
      </c>
      <c r="B2058" s="91">
        <v>1325120</v>
      </c>
      <c r="C2058" s="92">
        <v>4615487250</v>
      </c>
      <c r="D2058" s="93">
        <v>20700</v>
      </c>
      <c r="F2058" s="91">
        <v>16</v>
      </c>
      <c r="G2058" s="96">
        <v>5</v>
      </c>
      <c r="H2058" s="94">
        <v>0</v>
      </c>
      <c r="I2058" s="91">
        <v>0</v>
      </c>
      <c r="J2058" s="41">
        <v>43137</v>
      </c>
      <c r="K2058" s="41">
        <v>43190</v>
      </c>
      <c r="L2058" s="69" t="s">
        <v>108</v>
      </c>
      <c r="M2058" s="69" t="s">
        <v>109</v>
      </c>
      <c r="N2058" s="95">
        <v>43194</v>
      </c>
      <c r="P2058" t="s">
        <v>95</v>
      </c>
      <c r="Q2058" t="s">
        <v>110</v>
      </c>
      <c r="R2058" s="92" t="s">
        <v>69</v>
      </c>
      <c r="S2058" s="92" t="s">
        <v>115</v>
      </c>
      <c r="V2058" s="95">
        <v>43190</v>
      </c>
      <c r="W2058" s="92">
        <v>17070149</v>
      </c>
      <c r="X2058" s="90" t="s">
        <v>321</v>
      </c>
      <c r="Y2058" s="123"/>
      <c r="Z2058" s="30">
        <f t="shared" si="64"/>
        <v>7301.7101235631453</v>
      </c>
      <c r="AA2058" s="30">
        <f t="shared" si="65"/>
        <v>2281.7844136134831</v>
      </c>
      <c r="AB2058" t="s">
        <v>458</v>
      </c>
    </row>
    <row r="2059" spans="1:28">
      <c r="A2059" t="s">
        <v>113</v>
      </c>
      <c r="B2059" s="91">
        <v>1325119</v>
      </c>
      <c r="C2059" s="92">
        <v>4615487250</v>
      </c>
      <c r="D2059" s="93">
        <v>20700</v>
      </c>
      <c r="F2059" s="91">
        <v>16</v>
      </c>
      <c r="G2059" s="96">
        <v>5</v>
      </c>
      <c r="H2059" s="94">
        <v>0</v>
      </c>
      <c r="I2059" s="91">
        <v>0</v>
      </c>
      <c r="J2059" s="41">
        <v>43137</v>
      </c>
      <c r="K2059" s="41">
        <v>43190</v>
      </c>
      <c r="L2059" s="69" t="s">
        <v>108</v>
      </c>
      <c r="M2059" s="69" t="s">
        <v>109</v>
      </c>
      <c r="N2059" s="95">
        <v>43194</v>
      </c>
      <c r="P2059" t="s">
        <v>95</v>
      </c>
      <c r="Q2059" t="s">
        <v>110</v>
      </c>
      <c r="R2059" s="92" t="s">
        <v>69</v>
      </c>
      <c r="S2059" s="92" t="s">
        <v>115</v>
      </c>
      <c r="V2059" s="95">
        <v>43190</v>
      </c>
      <c r="W2059" s="92">
        <v>17070149</v>
      </c>
      <c r="X2059" s="90" t="s">
        <v>321</v>
      </c>
      <c r="Y2059" s="123"/>
      <c r="Z2059" s="30">
        <f t="shared" si="64"/>
        <v>7301.7101235631453</v>
      </c>
      <c r="AA2059" s="30">
        <f t="shared" si="65"/>
        <v>2281.7844136134831</v>
      </c>
      <c r="AB2059" t="s">
        <v>458</v>
      </c>
    </row>
    <row r="2060" spans="1:28">
      <c r="A2060" t="s">
        <v>113</v>
      </c>
      <c r="B2060" s="91">
        <v>1325121</v>
      </c>
      <c r="C2060" s="92">
        <v>4615487250</v>
      </c>
      <c r="D2060" s="93">
        <v>20700</v>
      </c>
      <c r="F2060" s="91">
        <v>16</v>
      </c>
      <c r="G2060" s="96">
        <v>5</v>
      </c>
      <c r="H2060" s="94">
        <v>0</v>
      </c>
      <c r="I2060" s="91">
        <v>0</v>
      </c>
      <c r="J2060" s="41">
        <v>43137</v>
      </c>
      <c r="K2060" s="41">
        <v>43190</v>
      </c>
      <c r="L2060" s="69" t="s">
        <v>108</v>
      </c>
      <c r="M2060" s="69" t="s">
        <v>109</v>
      </c>
      <c r="N2060" s="95">
        <v>43195</v>
      </c>
      <c r="P2060" t="s">
        <v>95</v>
      </c>
      <c r="Q2060" t="s">
        <v>110</v>
      </c>
      <c r="R2060" s="92" t="s">
        <v>69</v>
      </c>
      <c r="S2060" s="92" t="s">
        <v>115</v>
      </c>
      <c r="V2060" s="95">
        <v>43190</v>
      </c>
      <c r="W2060" s="92">
        <v>17070149</v>
      </c>
      <c r="X2060" s="90" t="s">
        <v>321</v>
      </c>
      <c r="Y2060" s="123"/>
      <c r="Z2060" s="30">
        <f t="shared" si="64"/>
        <v>7301.7101235631453</v>
      </c>
      <c r="AA2060" s="30">
        <f t="shared" si="65"/>
        <v>2281.7844136134831</v>
      </c>
      <c r="AB2060" t="s">
        <v>458</v>
      </c>
    </row>
    <row r="2061" spans="1:28">
      <c r="A2061" t="s">
        <v>113</v>
      </c>
      <c r="B2061" s="91">
        <v>1325118</v>
      </c>
      <c r="C2061" s="92">
        <v>4615487250</v>
      </c>
      <c r="D2061" s="93">
        <v>20700</v>
      </c>
      <c r="F2061" s="91">
        <v>16</v>
      </c>
      <c r="G2061" s="96">
        <v>5</v>
      </c>
      <c r="H2061" s="94">
        <v>0</v>
      </c>
      <c r="I2061" s="91">
        <v>0</v>
      </c>
      <c r="J2061" s="41">
        <v>43137</v>
      </c>
      <c r="K2061" s="41">
        <v>43190</v>
      </c>
      <c r="L2061" s="69" t="s">
        <v>108</v>
      </c>
      <c r="M2061" s="69" t="s">
        <v>109</v>
      </c>
      <c r="N2061" s="95">
        <v>43198</v>
      </c>
      <c r="P2061" t="s">
        <v>95</v>
      </c>
      <c r="Q2061" t="s">
        <v>110</v>
      </c>
      <c r="R2061" s="92" t="s">
        <v>69</v>
      </c>
      <c r="S2061" s="92" t="s">
        <v>115</v>
      </c>
      <c r="V2061" s="95">
        <v>43190</v>
      </c>
      <c r="W2061" s="92">
        <v>17070149</v>
      </c>
      <c r="X2061" s="90" t="s">
        <v>321</v>
      </c>
      <c r="Y2061" s="123"/>
      <c r="Z2061" s="30">
        <f t="shared" si="64"/>
        <v>7301.7101235631453</v>
      </c>
      <c r="AA2061" s="30">
        <f t="shared" si="65"/>
        <v>2281.7844136134831</v>
      </c>
      <c r="AB2061" t="s">
        <v>458</v>
      </c>
    </row>
    <row r="2062" spans="1:28">
      <c r="A2062" t="s">
        <v>113</v>
      </c>
      <c r="B2062" s="91">
        <v>1325122</v>
      </c>
      <c r="C2062" s="92">
        <v>4615487250</v>
      </c>
      <c r="D2062" s="93">
        <v>20700</v>
      </c>
      <c r="F2062" s="91">
        <v>16</v>
      </c>
      <c r="G2062" s="96">
        <v>5</v>
      </c>
      <c r="H2062" s="94">
        <v>0</v>
      </c>
      <c r="I2062" s="91">
        <v>0</v>
      </c>
      <c r="J2062" s="41">
        <v>43137</v>
      </c>
      <c r="K2062" s="41">
        <v>43190</v>
      </c>
      <c r="L2062" s="69" t="s">
        <v>108</v>
      </c>
      <c r="M2062" s="69" t="s">
        <v>109</v>
      </c>
      <c r="N2062" s="95">
        <v>43200</v>
      </c>
      <c r="P2062" t="s">
        <v>95</v>
      </c>
      <c r="Q2062" t="s">
        <v>110</v>
      </c>
      <c r="R2062" s="92" t="s">
        <v>69</v>
      </c>
      <c r="S2062" s="92" t="s">
        <v>115</v>
      </c>
      <c r="V2062" s="95">
        <v>43190</v>
      </c>
      <c r="W2062" s="92">
        <v>17070149</v>
      </c>
      <c r="X2062" s="90" t="s">
        <v>321</v>
      </c>
      <c r="Y2062" s="123"/>
      <c r="Z2062" s="30">
        <f t="shared" si="64"/>
        <v>7301.7101235631453</v>
      </c>
      <c r="AA2062" s="30">
        <f t="shared" si="65"/>
        <v>2281.7844136134831</v>
      </c>
      <c r="AB2062" t="s">
        <v>458</v>
      </c>
    </row>
    <row r="2063" spans="1:28">
      <c r="A2063" t="s">
        <v>113</v>
      </c>
      <c r="B2063" s="91">
        <v>1325223</v>
      </c>
      <c r="C2063" s="92">
        <v>4615481806</v>
      </c>
      <c r="D2063" s="93">
        <v>20700</v>
      </c>
      <c r="F2063" s="91">
        <v>16</v>
      </c>
      <c r="G2063" s="91">
        <v>0</v>
      </c>
      <c r="H2063" s="94">
        <v>0</v>
      </c>
      <c r="I2063" s="91">
        <v>0</v>
      </c>
      <c r="J2063" s="41">
        <v>43143</v>
      </c>
      <c r="K2063" s="41">
        <v>43190</v>
      </c>
      <c r="L2063" s="69" t="s">
        <v>108</v>
      </c>
      <c r="M2063" s="69" t="s">
        <v>109</v>
      </c>
      <c r="N2063" s="95">
        <v>43185</v>
      </c>
      <c r="P2063" t="s">
        <v>95</v>
      </c>
      <c r="Q2063" t="s">
        <v>110</v>
      </c>
      <c r="R2063" s="92" t="s">
        <v>69</v>
      </c>
      <c r="S2063" s="92" t="s">
        <v>115</v>
      </c>
      <c r="V2063" s="95">
        <v>43190</v>
      </c>
      <c r="W2063" s="92">
        <v>17070152</v>
      </c>
      <c r="X2063" s="90" t="s">
        <v>321</v>
      </c>
      <c r="Y2063" s="123"/>
      <c r="Z2063" s="30">
        <f t="shared" si="64"/>
        <v>7301.7101235631453</v>
      </c>
      <c r="AA2063" s="30">
        <f t="shared" si="65"/>
        <v>0</v>
      </c>
      <c r="AB2063" t="s">
        <v>458</v>
      </c>
    </row>
    <row r="2064" spans="1:28">
      <c r="A2064" t="s">
        <v>113</v>
      </c>
      <c r="B2064" s="91">
        <v>1325221</v>
      </c>
      <c r="C2064" s="92">
        <v>4615481806</v>
      </c>
      <c r="D2064" s="93">
        <v>20700</v>
      </c>
      <c r="F2064" s="91">
        <v>16</v>
      </c>
      <c r="G2064" s="91">
        <v>0</v>
      </c>
      <c r="H2064" s="94">
        <v>0</v>
      </c>
      <c r="I2064" s="91">
        <v>0</v>
      </c>
      <c r="J2064" s="41">
        <v>43143</v>
      </c>
      <c r="K2064" s="41">
        <v>43190</v>
      </c>
      <c r="L2064" s="69" t="s">
        <v>108</v>
      </c>
      <c r="M2064" s="69" t="s">
        <v>109</v>
      </c>
      <c r="N2064" s="95">
        <v>43192</v>
      </c>
      <c r="P2064" t="s">
        <v>95</v>
      </c>
      <c r="Q2064" t="s">
        <v>110</v>
      </c>
      <c r="R2064" s="92" t="s">
        <v>69</v>
      </c>
      <c r="S2064" s="92" t="s">
        <v>115</v>
      </c>
      <c r="V2064" s="95">
        <v>43190</v>
      </c>
      <c r="W2064" s="92">
        <v>17070152</v>
      </c>
      <c r="X2064" s="90" t="s">
        <v>321</v>
      </c>
      <c r="Y2064" s="123"/>
      <c r="Z2064" s="30">
        <f t="shared" si="64"/>
        <v>7301.7101235631453</v>
      </c>
      <c r="AA2064" s="30">
        <f t="shared" si="65"/>
        <v>0</v>
      </c>
      <c r="AB2064" t="s">
        <v>458</v>
      </c>
    </row>
    <row r="2065" spans="1:28">
      <c r="A2065" t="s">
        <v>113</v>
      </c>
      <c r="B2065" s="102">
        <v>1325219</v>
      </c>
      <c r="C2065" s="85">
        <v>4615481806</v>
      </c>
      <c r="D2065" s="86">
        <v>20700</v>
      </c>
      <c r="F2065" s="84">
        <v>16</v>
      </c>
      <c r="G2065" s="84">
        <v>0</v>
      </c>
      <c r="H2065" s="88">
        <v>0</v>
      </c>
      <c r="I2065" s="84">
        <v>0</v>
      </c>
      <c r="J2065" s="41">
        <v>43143</v>
      </c>
      <c r="K2065" s="41">
        <v>43190</v>
      </c>
      <c r="L2065" s="69" t="s">
        <v>108</v>
      </c>
      <c r="M2065" s="89" t="s">
        <v>282</v>
      </c>
      <c r="N2065" s="89"/>
      <c r="P2065" t="s">
        <v>95</v>
      </c>
      <c r="Q2065" t="s">
        <v>110</v>
      </c>
      <c r="R2065" s="85" t="s">
        <v>69</v>
      </c>
      <c r="S2065" s="85" t="s">
        <v>115</v>
      </c>
      <c r="V2065" s="89">
        <v>43190</v>
      </c>
      <c r="W2065" s="85">
        <v>17070152</v>
      </c>
      <c r="X2065" s="90" t="s">
        <v>334</v>
      </c>
      <c r="Y2065" s="123"/>
      <c r="Z2065" s="30">
        <f t="shared" si="64"/>
        <v>7301.7101235631453</v>
      </c>
      <c r="AA2065" s="30">
        <f t="shared" si="65"/>
        <v>0</v>
      </c>
      <c r="AB2065" t="s">
        <v>458</v>
      </c>
    </row>
    <row r="2066" spans="1:28">
      <c r="A2066" t="s">
        <v>113</v>
      </c>
      <c r="B2066" s="91">
        <v>1325224</v>
      </c>
      <c r="C2066" s="92">
        <v>4615481806</v>
      </c>
      <c r="D2066" s="93">
        <v>20700</v>
      </c>
      <c r="F2066" s="91">
        <v>16</v>
      </c>
      <c r="G2066" s="91">
        <v>0</v>
      </c>
      <c r="H2066" s="94">
        <v>0</v>
      </c>
      <c r="I2066" s="91">
        <v>0</v>
      </c>
      <c r="J2066" s="41">
        <v>43143</v>
      </c>
      <c r="K2066" s="41">
        <v>43190</v>
      </c>
      <c r="L2066" s="69" t="s">
        <v>108</v>
      </c>
      <c r="M2066" s="69" t="s">
        <v>109</v>
      </c>
      <c r="N2066" s="95">
        <v>43198</v>
      </c>
      <c r="P2066" t="s">
        <v>95</v>
      </c>
      <c r="Q2066" t="s">
        <v>110</v>
      </c>
      <c r="R2066" s="92" t="s">
        <v>69</v>
      </c>
      <c r="S2066" s="92" t="s">
        <v>115</v>
      </c>
      <c r="V2066" s="95">
        <v>43190</v>
      </c>
      <c r="W2066" s="92">
        <v>17070152</v>
      </c>
      <c r="X2066" s="90" t="s">
        <v>321</v>
      </c>
      <c r="Y2066" s="123"/>
      <c r="Z2066" s="30">
        <f t="shared" si="64"/>
        <v>7301.7101235631453</v>
      </c>
      <c r="AA2066" s="30">
        <f t="shared" si="65"/>
        <v>0</v>
      </c>
      <c r="AB2066" t="s">
        <v>458</v>
      </c>
    </row>
    <row r="2067" spans="1:28">
      <c r="A2067" t="s">
        <v>113</v>
      </c>
      <c r="B2067" s="91">
        <v>1325217</v>
      </c>
      <c r="C2067" s="92">
        <v>4615481806</v>
      </c>
      <c r="D2067" s="93">
        <v>20700</v>
      </c>
      <c r="F2067" s="91">
        <v>16</v>
      </c>
      <c r="G2067" s="91">
        <v>0</v>
      </c>
      <c r="H2067" s="94">
        <v>0</v>
      </c>
      <c r="I2067" s="91">
        <v>0</v>
      </c>
      <c r="J2067" s="41">
        <v>43143</v>
      </c>
      <c r="K2067" s="41">
        <v>43190</v>
      </c>
      <c r="L2067" s="69" t="s">
        <v>108</v>
      </c>
      <c r="M2067" s="69" t="s">
        <v>109</v>
      </c>
      <c r="N2067" s="95">
        <v>43200</v>
      </c>
      <c r="P2067" t="s">
        <v>95</v>
      </c>
      <c r="Q2067" t="s">
        <v>110</v>
      </c>
      <c r="R2067" s="92" t="s">
        <v>69</v>
      </c>
      <c r="S2067" s="92" t="s">
        <v>115</v>
      </c>
      <c r="V2067" s="95">
        <v>43190</v>
      </c>
      <c r="W2067" s="92">
        <v>17070152</v>
      </c>
      <c r="X2067" s="90" t="s">
        <v>321</v>
      </c>
      <c r="Y2067" s="123"/>
      <c r="Z2067" s="30">
        <f t="shared" si="64"/>
        <v>7301.7101235631453</v>
      </c>
      <c r="AA2067" s="30">
        <f t="shared" si="65"/>
        <v>0</v>
      </c>
      <c r="AB2067" t="s">
        <v>458</v>
      </c>
    </row>
    <row r="2068" spans="1:28">
      <c r="A2068" t="s">
        <v>113</v>
      </c>
      <c r="B2068" s="91">
        <v>1325218</v>
      </c>
      <c r="C2068" s="92">
        <v>4615481806</v>
      </c>
      <c r="D2068" s="93">
        <v>20700</v>
      </c>
      <c r="F2068" s="91">
        <v>16</v>
      </c>
      <c r="G2068" s="91">
        <v>0</v>
      </c>
      <c r="H2068" s="94">
        <v>0</v>
      </c>
      <c r="I2068" s="91">
        <v>0</v>
      </c>
      <c r="J2068" s="41">
        <v>43143</v>
      </c>
      <c r="K2068" s="41">
        <v>43190</v>
      </c>
      <c r="L2068" s="69" t="s">
        <v>108</v>
      </c>
      <c r="M2068" s="69" t="s">
        <v>109</v>
      </c>
      <c r="N2068" s="95">
        <v>43201</v>
      </c>
      <c r="P2068" t="s">
        <v>95</v>
      </c>
      <c r="Q2068" t="s">
        <v>110</v>
      </c>
      <c r="R2068" s="92" t="s">
        <v>69</v>
      </c>
      <c r="S2068" s="92" t="s">
        <v>115</v>
      </c>
      <c r="V2068" s="95">
        <v>43190</v>
      </c>
      <c r="W2068" s="92">
        <v>17070152</v>
      </c>
      <c r="X2068" s="90" t="s">
        <v>321</v>
      </c>
      <c r="Y2068" s="123"/>
      <c r="Z2068" s="30">
        <f t="shared" si="64"/>
        <v>7301.7101235631453</v>
      </c>
      <c r="AA2068" s="30">
        <f t="shared" si="65"/>
        <v>0</v>
      </c>
      <c r="AB2068" t="s">
        <v>458</v>
      </c>
    </row>
    <row r="2069" spans="1:28">
      <c r="A2069" t="s">
        <v>113</v>
      </c>
      <c r="B2069" s="91">
        <v>1325226</v>
      </c>
      <c r="C2069" s="92">
        <v>4615481806</v>
      </c>
      <c r="D2069" s="93">
        <v>20700</v>
      </c>
      <c r="F2069" s="91">
        <v>16</v>
      </c>
      <c r="G2069" s="91">
        <v>0</v>
      </c>
      <c r="H2069" s="94">
        <v>0</v>
      </c>
      <c r="I2069" s="91">
        <v>0</v>
      </c>
      <c r="J2069" s="41">
        <v>43143</v>
      </c>
      <c r="K2069" s="41">
        <v>43190</v>
      </c>
      <c r="L2069" s="69" t="s">
        <v>108</v>
      </c>
      <c r="M2069" s="69" t="s">
        <v>109</v>
      </c>
      <c r="N2069" s="95">
        <v>43205</v>
      </c>
      <c r="P2069" t="s">
        <v>95</v>
      </c>
      <c r="Q2069" t="s">
        <v>110</v>
      </c>
      <c r="R2069" s="92" t="s">
        <v>69</v>
      </c>
      <c r="S2069" s="92" t="s">
        <v>115</v>
      </c>
      <c r="V2069" s="95">
        <v>43190</v>
      </c>
      <c r="W2069" s="92">
        <v>17070152</v>
      </c>
      <c r="X2069" s="90" t="s">
        <v>321</v>
      </c>
      <c r="Y2069" s="123"/>
      <c r="Z2069" s="30">
        <f t="shared" si="64"/>
        <v>7301.7101235631453</v>
      </c>
      <c r="AA2069" s="30">
        <f t="shared" si="65"/>
        <v>0</v>
      </c>
      <c r="AB2069" t="s">
        <v>458</v>
      </c>
    </row>
    <row r="2070" spans="1:28">
      <c r="A2070" t="s">
        <v>113</v>
      </c>
      <c r="B2070" s="91">
        <v>1325225</v>
      </c>
      <c r="C2070" s="92">
        <v>4615481806</v>
      </c>
      <c r="D2070" s="93">
        <v>20700</v>
      </c>
      <c r="F2070" s="91">
        <v>16</v>
      </c>
      <c r="G2070" s="91">
        <v>0</v>
      </c>
      <c r="H2070" s="94">
        <v>0</v>
      </c>
      <c r="I2070" s="91">
        <v>0</v>
      </c>
      <c r="J2070" s="41">
        <v>43143</v>
      </c>
      <c r="K2070" s="41">
        <v>43190</v>
      </c>
      <c r="L2070" s="69" t="s">
        <v>108</v>
      </c>
      <c r="M2070" s="69" t="s">
        <v>109</v>
      </c>
      <c r="N2070" s="95">
        <v>43199</v>
      </c>
      <c r="P2070" t="s">
        <v>95</v>
      </c>
      <c r="Q2070" t="s">
        <v>110</v>
      </c>
      <c r="R2070" s="92" t="s">
        <v>69</v>
      </c>
      <c r="S2070" s="92" t="s">
        <v>115</v>
      </c>
      <c r="V2070" s="95">
        <v>43190</v>
      </c>
      <c r="W2070" s="92">
        <v>17070152</v>
      </c>
      <c r="X2070" s="90" t="s">
        <v>321</v>
      </c>
      <c r="Y2070" s="123"/>
      <c r="Z2070" s="30">
        <f t="shared" si="64"/>
        <v>7301.7101235631453</v>
      </c>
      <c r="AA2070" s="30">
        <f t="shared" si="65"/>
        <v>0</v>
      </c>
      <c r="AB2070" t="s">
        <v>458</v>
      </c>
    </row>
    <row r="2071" spans="1:28">
      <c r="A2071" t="s">
        <v>113</v>
      </c>
      <c r="B2071" s="91">
        <v>1325220</v>
      </c>
      <c r="C2071" s="92">
        <v>4615481806</v>
      </c>
      <c r="D2071" s="93">
        <v>20700</v>
      </c>
      <c r="F2071" s="91">
        <v>16</v>
      </c>
      <c r="G2071" s="91">
        <v>0</v>
      </c>
      <c r="H2071" s="94">
        <v>0</v>
      </c>
      <c r="I2071" s="91">
        <v>0</v>
      </c>
      <c r="J2071" s="41">
        <v>43143</v>
      </c>
      <c r="K2071" s="41">
        <v>43190</v>
      </c>
      <c r="L2071" s="69" t="s">
        <v>108</v>
      </c>
      <c r="M2071" s="69" t="s">
        <v>109</v>
      </c>
      <c r="N2071" s="95">
        <v>43206</v>
      </c>
      <c r="P2071" t="s">
        <v>95</v>
      </c>
      <c r="Q2071" t="s">
        <v>110</v>
      </c>
      <c r="R2071" s="92" t="s">
        <v>69</v>
      </c>
      <c r="S2071" s="92" t="s">
        <v>115</v>
      </c>
      <c r="V2071" s="95">
        <v>43190</v>
      </c>
      <c r="W2071" s="92">
        <v>17070152</v>
      </c>
      <c r="X2071" s="90" t="s">
        <v>321</v>
      </c>
      <c r="Y2071" s="123"/>
      <c r="Z2071" s="30">
        <f t="shared" si="64"/>
        <v>7301.7101235631453</v>
      </c>
      <c r="AA2071" s="30">
        <f t="shared" si="65"/>
        <v>0</v>
      </c>
      <c r="AB2071" t="s">
        <v>458</v>
      </c>
    </row>
    <row r="2072" spans="1:28">
      <c r="A2072" t="s">
        <v>113</v>
      </c>
      <c r="B2072" s="91"/>
      <c r="C2072" s="92">
        <v>4615481806</v>
      </c>
      <c r="D2072" s="93">
        <v>20700</v>
      </c>
      <c r="F2072" s="91">
        <v>16</v>
      </c>
      <c r="G2072" s="91">
        <v>0</v>
      </c>
      <c r="H2072" s="94">
        <v>0</v>
      </c>
      <c r="I2072" s="91">
        <v>0</v>
      </c>
      <c r="J2072" s="41"/>
      <c r="K2072" s="41">
        <v>43190</v>
      </c>
      <c r="L2072" s="69" t="s">
        <v>80</v>
      </c>
      <c r="M2072" s="69" t="s">
        <v>286</v>
      </c>
      <c r="N2072" s="95"/>
      <c r="P2072" t="s">
        <v>95</v>
      </c>
      <c r="Q2072" t="s">
        <v>110</v>
      </c>
      <c r="R2072" s="92" t="s">
        <v>69</v>
      </c>
      <c r="S2072" s="92" t="s">
        <v>115</v>
      </c>
      <c r="V2072" s="95">
        <v>43190</v>
      </c>
      <c r="W2072" s="92">
        <v>17070152</v>
      </c>
      <c r="X2072" s="90" t="s">
        <v>321</v>
      </c>
      <c r="Y2072" s="123"/>
      <c r="Z2072" s="30">
        <f t="shared" si="64"/>
        <v>7301.7101235631453</v>
      </c>
      <c r="AA2072" s="30">
        <f t="shared" si="65"/>
        <v>0</v>
      </c>
      <c r="AB2072" t="s">
        <v>457</v>
      </c>
    </row>
    <row r="2073" spans="1:28">
      <c r="A2073" t="s">
        <v>113</v>
      </c>
      <c r="B2073" s="91">
        <v>1325569</v>
      </c>
      <c r="C2073" s="92">
        <v>4615477860</v>
      </c>
      <c r="D2073" s="93">
        <v>19175</v>
      </c>
      <c r="F2073" s="91">
        <v>16</v>
      </c>
      <c r="G2073" s="91">
        <v>0</v>
      </c>
      <c r="H2073" s="91">
        <v>0</v>
      </c>
      <c r="I2073" s="91">
        <v>0</v>
      </c>
      <c r="J2073" s="41">
        <v>43156</v>
      </c>
      <c r="K2073" s="41">
        <v>43190</v>
      </c>
      <c r="L2073" s="69" t="s">
        <v>119</v>
      </c>
      <c r="M2073" s="69" t="s">
        <v>299</v>
      </c>
      <c r="N2073" s="95"/>
      <c r="P2073" t="s">
        <v>95</v>
      </c>
      <c r="Q2073" t="s">
        <v>110</v>
      </c>
      <c r="R2073" s="92" t="s">
        <v>69</v>
      </c>
      <c r="S2073" s="92" t="s">
        <v>115</v>
      </c>
      <c r="V2073" s="95">
        <v>43190</v>
      </c>
      <c r="W2073" s="92" t="s">
        <v>335</v>
      </c>
      <c r="X2073" s="90"/>
      <c r="Y2073" s="123"/>
      <c r="Z2073" s="30">
        <f t="shared" si="64"/>
        <v>6763.7822038320437</v>
      </c>
      <c r="AA2073" s="30">
        <f t="shared" si="65"/>
        <v>0</v>
      </c>
      <c r="AB2073" t="s">
        <v>458</v>
      </c>
    </row>
    <row r="2074" spans="1:28">
      <c r="A2074" t="s">
        <v>113</v>
      </c>
      <c r="B2074" s="91">
        <v>1325571</v>
      </c>
      <c r="C2074" s="92">
        <v>4615477860</v>
      </c>
      <c r="D2074" s="93">
        <v>19175</v>
      </c>
      <c r="F2074" s="91">
        <v>16</v>
      </c>
      <c r="G2074" s="91">
        <v>0</v>
      </c>
      <c r="H2074" s="91">
        <v>0</v>
      </c>
      <c r="I2074" s="91">
        <v>0</v>
      </c>
      <c r="J2074" s="41">
        <v>43156</v>
      </c>
      <c r="K2074" s="41">
        <v>43190</v>
      </c>
      <c r="L2074" s="69" t="s">
        <v>119</v>
      </c>
      <c r="M2074" s="69" t="s">
        <v>299</v>
      </c>
      <c r="N2074" s="95"/>
      <c r="P2074" t="s">
        <v>95</v>
      </c>
      <c r="Q2074" t="s">
        <v>110</v>
      </c>
      <c r="R2074" s="92" t="s">
        <v>69</v>
      </c>
      <c r="S2074" s="92" t="s">
        <v>115</v>
      </c>
      <c r="V2074" s="95">
        <v>43190</v>
      </c>
      <c r="W2074" s="92" t="s">
        <v>335</v>
      </c>
      <c r="X2074" s="90"/>
      <c r="Y2074" s="123"/>
      <c r="Z2074" s="30">
        <f t="shared" si="64"/>
        <v>6763.7822038320437</v>
      </c>
      <c r="AA2074" s="30">
        <f t="shared" si="65"/>
        <v>0</v>
      </c>
      <c r="AB2074" t="s">
        <v>458</v>
      </c>
    </row>
    <row r="2075" spans="1:28">
      <c r="A2075" t="s">
        <v>113</v>
      </c>
      <c r="B2075" s="91">
        <v>1325573</v>
      </c>
      <c r="C2075" s="92">
        <v>4615477860</v>
      </c>
      <c r="D2075" s="93">
        <v>19175</v>
      </c>
      <c r="F2075" s="91">
        <v>16</v>
      </c>
      <c r="G2075" s="91">
        <v>0</v>
      </c>
      <c r="H2075" s="91">
        <v>0</v>
      </c>
      <c r="I2075" s="91">
        <v>0</v>
      </c>
      <c r="J2075" s="41">
        <v>43156</v>
      </c>
      <c r="K2075" s="41">
        <v>43190</v>
      </c>
      <c r="L2075" s="69" t="s">
        <v>119</v>
      </c>
      <c r="M2075" s="69" t="s">
        <v>299</v>
      </c>
      <c r="N2075" s="95"/>
      <c r="P2075" t="s">
        <v>95</v>
      </c>
      <c r="Q2075" t="s">
        <v>110</v>
      </c>
      <c r="R2075" s="92" t="s">
        <v>69</v>
      </c>
      <c r="S2075" s="92" t="s">
        <v>115</v>
      </c>
      <c r="V2075" s="95">
        <v>43190</v>
      </c>
      <c r="W2075" s="92" t="s">
        <v>335</v>
      </c>
      <c r="X2075" s="90"/>
      <c r="Y2075" s="123"/>
      <c r="Z2075" s="30">
        <f t="shared" si="64"/>
        <v>6763.7822038320437</v>
      </c>
      <c r="AA2075" s="30">
        <f t="shared" si="65"/>
        <v>0</v>
      </c>
      <c r="AB2075" t="s">
        <v>458</v>
      </c>
    </row>
    <row r="2076" spans="1:28">
      <c r="A2076" t="s">
        <v>113</v>
      </c>
      <c r="B2076" s="103">
        <v>1325575</v>
      </c>
      <c r="C2076" s="92">
        <v>4615477860</v>
      </c>
      <c r="D2076" s="93">
        <v>19175</v>
      </c>
      <c r="F2076" s="91">
        <v>16</v>
      </c>
      <c r="G2076" s="91">
        <v>0</v>
      </c>
      <c r="H2076" s="91">
        <v>0</v>
      </c>
      <c r="I2076" s="91">
        <v>0</v>
      </c>
      <c r="J2076" s="41">
        <v>43156</v>
      </c>
      <c r="K2076" s="41">
        <v>43190</v>
      </c>
      <c r="L2076" s="69" t="s">
        <v>119</v>
      </c>
      <c r="M2076" s="69" t="s">
        <v>299</v>
      </c>
      <c r="N2076" s="95"/>
      <c r="P2076" t="s">
        <v>95</v>
      </c>
      <c r="Q2076" t="s">
        <v>110</v>
      </c>
      <c r="R2076" s="92" t="s">
        <v>69</v>
      </c>
      <c r="S2076" s="92" t="s">
        <v>115</v>
      </c>
      <c r="V2076" s="95">
        <v>43190</v>
      </c>
      <c r="W2076" s="92" t="s">
        <v>335</v>
      </c>
      <c r="X2076" s="90" t="s">
        <v>336</v>
      </c>
      <c r="Y2076" s="123"/>
      <c r="Z2076" s="30">
        <f t="shared" si="64"/>
        <v>6763.7822038320437</v>
      </c>
      <c r="AA2076" s="30">
        <f t="shared" si="65"/>
        <v>0</v>
      </c>
      <c r="AB2076" t="s">
        <v>458</v>
      </c>
    </row>
    <row r="2077" spans="1:28">
      <c r="A2077" t="s">
        <v>113</v>
      </c>
      <c r="B2077" s="91">
        <v>1325568</v>
      </c>
      <c r="C2077" s="92">
        <v>4615477860</v>
      </c>
      <c r="D2077" s="93">
        <v>19175</v>
      </c>
      <c r="F2077" s="91">
        <v>16</v>
      </c>
      <c r="G2077" s="91">
        <v>0</v>
      </c>
      <c r="H2077" s="91">
        <v>0</v>
      </c>
      <c r="I2077" s="91">
        <v>0</v>
      </c>
      <c r="J2077" s="41">
        <v>43156</v>
      </c>
      <c r="K2077" s="41">
        <v>43190</v>
      </c>
      <c r="L2077" s="69" t="s">
        <v>119</v>
      </c>
      <c r="M2077" s="69" t="s">
        <v>299</v>
      </c>
      <c r="N2077" s="95"/>
      <c r="P2077" t="s">
        <v>95</v>
      </c>
      <c r="Q2077" t="s">
        <v>110</v>
      </c>
      <c r="R2077" s="92" t="s">
        <v>69</v>
      </c>
      <c r="S2077" s="92" t="s">
        <v>115</v>
      </c>
      <c r="V2077" s="95">
        <v>43190</v>
      </c>
      <c r="W2077" s="92" t="s">
        <v>335</v>
      </c>
      <c r="X2077" s="90"/>
      <c r="Y2077" s="123"/>
      <c r="Z2077" s="30">
        <f t="shared" si="64"/>
        <v>6763.7822038320437</v>
      </c>
      <c r="AA2077" s="30">
        <f t="shared" si="65"/>
        <v>0</v>
      </c>
      <c r="AB2077" t="s">
        <v>458</v>
      </c>
    </row>
    <row r="2078" spans="1:28">
      <c r="A2078" t="s">
        <v>113</v>
      </c>
      <c r="B2078" s="91">
        <v>1325570</v>
      </c>
      <c r="C2078" s="92">
        <v>4615477860</v>
      </c>
      <c r="D2078" s="93">
        <v>19175</v>
      </c>
      <c r="F2078" s="91">
        <v>16</v>
      </c>
      <c r="G2078" s="91">
        <v>0</v>
      </c>
      <c r="H2078" s="91">
        <v>0</v>
      </c>
      <c r="I2078" s="91">
        <v>0</v>
      </c>
      <c r="J2078" s="41">
        <v>43156</v>
      </c>
      <c r="K2078" s="41">
        <v>43190</v>
      </c>
      <c r="L2078" s="69" t="s">
        <v>119</v>
      </c>
      <c r="M2078" s="69" t="s">
        <v>299</v>
      </c>
      <c r="N2078" s="95"/>
      <c r="P2078" t="s">
        <v>95</v>
      </c>
      <c r="Q2078" t="s">
        <v>110</v>
      </c>
      <c r="R2078" s="92" t="s">
        <v>69</v>
      </c>
      <c r="S2078" s="92" t="s">
        <v>115</v>
      </c>
      <c r="V2078" s="95">
        <v>43190</v>
      </c>
      <c r="W2078" s="92" t="s">
        <v>335</v>
      </c>
      <c r="X2078" s="90"/>
      <c r="Y2078" s="123"/>
      <c r="Z2078" s="30">
        <f t="shared" si="64"/>
        <v>6763.7822038320437</v>
      </c>
      <c r="AA2078" s="30">
        <f t="shared" si="65"/>
        <v>0</v>
      </c>
      <c r="AB2078" t="s">
        <v>458</v>
      </c>
    </row>
    <row r="2079" spans="1:28">
      <c r="A2079" t="s">
        <v>113</v>
      </c>
      <c r="B2079" s="91">
        <v>1325572</v>
      </c>
      <c r="C2079" s="92">
        <v>4615477860</v>
      </c>
      <c r="D2079" s="93">
        <v>19175</v>
      </c>
      <c r="F2079" s="91">
        <v>16</v>
      </c>
      <c r="G2079" s="91">
        <v>0</v>
      </c>
      <c r="H2079" s="91">
        <v>0</v>
      </c>
      <c r="I2079" s="91">
        <v>0</v>
      </c>
      <c r="J2079" s="41">
        <v>43156</v>
      </c>
      <c r="K2079" s="41">
        <v>43190</v>
      </c>
      <c r="L2079" s="69" t="s">
        <v>119</v>
      </c>
      <c r="M2079" s="69" t="s">
        <v>299</v>
      </c>
      <c r="N2079" s="95"/>
      <c r="P2079" t="s">
        <v>95</v>
      </c>
      <c r="Q2079" t="s">
        <v>110</v>
      </c>
      <c r="R2079" s="92" t="s">
        <v>69</v>
      </c>
      <c r="S2079" s="92" t="s">
        <v>115</v>
      </c>
      <c r="V2079" s="95">
        <v>43190</v>
      </c>
      <c r="W2079" s="92" t="s">
        <v>335</v>
      </c>
      <c r="X2079" s="90"/>
      <c r="Y2079" s="123"/>
      <c r="Z2079" s="30">
        <f t="shared" si="64"/>
        <v>6763.7822038320437</v>
      </c>
      <c r="AA2079" s="30">
        <f t="shared" si="65"/>
        <v>0</v>
      </c>
      <c r="AB2079" t="s">
        <v>458</v>
      </c>
    </row>
    <row r="2080" spans="1:28">
      <c r="A2080" t="s">
        <v>113</v>
      </c>
      <c r="B2080" s="91">
        <v>1325567</v>
      </c>
      <c r="C2080" s="92">
        <v>4615477860</v>
      </c>
      <c r="D2080" s="93">
        <v>19175</v>
      </c>
      <c r="F2080" s="91">
        <v>16</v>
      </c>
      <c r="G2080" s="91">
        <v>0</v>
      </c>
      <c r="H2080" s="91">
        <v>0</v>
      </c>
      <c r="I2080" s="91">
        <v>0</v>
      </c>
      <c r="J2080" s="41">
        <v>43156</v>
      </c>
      <c r="K2080" s="41">
        <v>43190</v>
      </c>
      <c r="L2080" s="69" t="s">
        <v>119</v>
      </c>
      <c r="M2080" s="69" t="s">
        <v>299</v>
      </c>
      <c r="N2080" s="95"/>
      <c r="P2080" t="s">
        <v>95</v>
      </c>
      <c r="Q2080" t="s">
        <v>110</v>
      </c>
      <c r="R2080" s="92" t="s">
        <v>69</v>
      </c>
      <c r="S2080" s="92" t="s">
        <v>115</v>
      </c>
      <c r="V2080" s="95">
        <v>43190</v>
      </c>
      <c r="W2080" s="92" t="s">
        <v>335</v>
      </c>
      <c r="X2080" s="90"/>
      <c r="Y2080" s="123"/>
      <c r="Z2080" s="30">
        <f t="shared" si="64"/>
        <v>6763.7822038320437</v>
      </c>
      <c r="AA2080" s="30">
        <f t="shared" si="65"/>
        <v>0</v>
      </c>
      <c r="AB2080" t="s">
        <v>458</v>
      </c>
    </row>
    <row r="2081" spans="1:28">
      <c r="A2081" t="s">
        <v>113</v>
      </c>
      <c r="B2081" s="91">
        <v>1325574</v>
      </c>
      <c r="C2081" s="92">
        <v>4615477860</v>
      </c>
      <c r="D2081" s="93">
        <v>19175</v>
      </c>
      <c r="F2081" s="91">
        <v>16</v>
      </c>
      <c r="G2081" s="91">
        <v>0</v>
      </c>
      <c r="H2081" s="91">
        <v>0</v>
      </c>
      <c r="I2081" s="91">
        <v>0</v>
      </c>
      <c r="J2081" s="41">
        <v>43156</v>
      </c>
      <c r="K2081" s="41">
        <v>43190</v>
      </c>
      <c r="L2081" s="69" t="s">
        <v>119</v>
      </c>
      <c r="M2081" s="69" t="s">
        <v>299</v>
      </c>
      <c r="N2081" s="95"/>
      <c r="P2081" t="s">
        <v>95</v>
      </c>
      <c r="Q2081" t="s">
        <v>110</v>
      </c>
      <c r="R2081" s="92" t="s">
        <v>69</v>
      </c>
      <c r="S2081" s="92" t="s">
        <v>115</v>
      </c>
      <c r="V2081" s="95">
        <v>43190</v>
      </c>
      <c r="W2081" s="92" t="s">
        <v>335</v>
      </c>
      <c r="X2081" s="90"/>
      <c r="Y2081" s="123"/>
      <c r="Z2081" s="30">
        <f t="shared" si="64"/>
        <v>6763.7822038320437</v>
      </c>
      <c r="AA2081" s="30">
        <f t="shared" si="65"/>
        <v>0</v>
      </c>
      <c r="AB2081" t="s">
        <v>458</v>
      </c>
    </row>
    <row r="2082" spans="1:28">
      <c r="A2082" t="s">
        <v>113</v>
      </c>
      <c r="B2082" s="91">
        <v>1325566</v>
      </c>
      <c r="C2082" s="92">
        <v>4615477860</v>
      </c>
      <c r="D2082" s="93">
        <v>19175</v>
      </c>
      <c r="F2082" s="91">
        <v>16</v>
      </c>
      <c r="G2082" s="91">
        <v>0</v>
      </c>
      <c r="H2082" s="91">
        <v>0</v>
      </c>
      <c r="I2082" s="91">
        <v>0</v>
      </c>
      <c r="J2082" s="41">
        <v>43156</v>
      </c>
      <c r="K2082" s="41">
        <v>43190</v>
      </c>
      <c r="L2082" s="69" t="s">
        <v>119</v>
      </c>
      <c r="M2082" s="69" t="s">
        <v>299</v>
      </c>
      <c r="N2082" s="95"/>
      <c r="P2082" t="s">
        <v>95</v>
      </c>
      <c r="Q2082" t="s">
        <v>110</v>
      </c>
      <c r="R2082" s="92" t="s">
        <v>69</v>
      </c>
      <c r="S2082" s="92" t="s">
        <v>115</v>
      </c>
      <c r="V2082" s="95">
        <v>43190</v>
      </c>
      <c r="W2082" s="92" t="s">
        <v>335</v>
      </c>
      <c r="X2082" s="90"/>
      <c r="Y2082" s="123"/>
      <c r="Z2082" s="30">
        <f t="shared" si="64"/>
        <v>6763.7822038320437</v>
      </c>
      <c r="AA2082" s="30">
        <f t="shared" si="65"/>
        <v>0</v>
      </c>
      <c r="AB2082" t="s">
        <v>458</v>
      </c>
    </row>
    <row r="2083" spans="1:28">
      <c r="A2083" t="s">
        <v>113</v>
      </c>
      <c r="B2083" s="91"/>
      <c r="C2083" s="92">
        <v>4615448972</v>
      </c>
      <c r="D2083" s="93">
        <v>20700</v>
      </c>
      <c r="F2083" s="91">
        <v>16</v>
      </c>
      <c r="G2083" s="91">
        <v>0</v>
      </c>
      <c r="H2083" s="91">
        <v>0</v>
      </c>
      <c r="I2083" s="91">
        <v>0</v>
      </c>
      <c r="J2083" s="41"/>
      <c r="K2083" s="41">
        <v>43190</v>
      </c>
      <c r="L2083" s="69" t="s">
        <v>80</v>
      </c>
      <c r="M2083" s="69" t="s">
        <v>286</v>
      </c>
      <c r="N2083" s="95"/>
      <c r="P2083" t="s">
        <v>95</v>
      </c>
      <c r="Q2083" t="s">
        <v>133</v>
      </c>
      <c r="R2083" s="92" t="s">
        <v>69</v>
      </c>
      <c r="S2083" s="92" t="s">
        <v>115</v>
      </c>
      <c r="V2083" s="95">
        <v>43190</v>
      </c>
      <c r="W2083" s="92" t="s">
        <v>337</v>
      </c>
      <c r="X2083" s="90" t="s">
        <v>338</v>
      </c>
      <c r="Y2083" s="123"/>
      <c r="Z2083" s="30">
        <f t="shared" si="64"/>
        <v>7301.7101235631453</v>
      </c>
      <c r="AA2083" s="30">
        <f t="shared" si="65"/>
        <v>0</v>
      </c>
      <c r="AB2083" t="s">
        <v>457</v>
      </c>
    </row>
    <row r="2084" spans="1:28">
      <c r="A2084" t="s">
        <v>113</v>
      </c>
      <c r="B2084" s="91"/>
      <c r="C2084" s="92">
        <v>4615448972</v>
      </c>
      <c r="D2084" s="93">
        <v>20700</v>
      </c>
      <c r="F2084" s="91">
        <v>16</v>
      </c>
      <c r="G2084" s="91">
        <v>0</v>
      </c>
      <c r="H2084" s="91">
        <v>0</v>
      </c>
      <c r="I2084" s="91">
        <v>0</v>
      </c>
      <c r="J2084" s="41"/>
      <c r="K2084" s="41">
        <v>43190</v>
      </c>
      <c r="L2084" s="69" t="s">
        <v>80</v>
      </c>
      <c r="M2084" s="69" t="s">
        <v>286</v>
      </c>
      <c r="N2084" s="95"/>
      <c r="P2084" t="s">
        <v>95</v>
      </c>
      <c r="Q2084" t="s">
        <v>133</v>
      </c>
      <c r="R2084" s="92" t="s">
        <v>69</v>
      </c>
      <c r="S2084" s="92" t="s">
        <v>115</v>
      </c>
      <c r="V2084" s="95">
        <v>43190</v>
      </c>
      <c r="W2084" s="92" t="s">
        <v>337</v>
      </c>
      <c r="X2084" s="90" t="s">
        <v>338</v>
      </c>
      <c r="Y2084" s="123"/>
      <c r="Z2084" s="30">
        <f t="shared" si="64"/>
        <v>7301.7101235631453</v>
      </c>
      <c r="AA2084" s="30">
        <f t="shared" si="65"/>
        <v>0</v>
      </c>
      <c r="AB2084" t="s">
        <v>457</v>
      </c>
    </row>
    <row r="2085" spans="1:28">
      <c r="A2085" t="s">
        <v>113</v>
      </c>
      <c r="B2085" s="91"/>
      <c r="C2085" s="92">
        <v>4615448972</v>
      </c>
      <c r="D2085" s="93">
        <v>20700</v>
      </c>
      <c r="F2085" s="91">
        <v>16</v>
      </c>
      <c r="G2085" s="91">
        <v>0</v>
      </c>
      <c r="H2085" s="91">
        <v>0</v>
      </c>
      <c r="I2085" s="91">
        <v>0</v>
      </c>
      <c r="J2085" s="41"/>
      <c r="K2085" s="41">
        <v>43190</v>
      </c>
      <c r="L2085" s="69" t="s">
        <v>80</v>
      </c>
      <c r="M2085" s="69" t="s">
        <v>286</v>
      </c>
      <c r="N2085" s="95"/>
      <c r="P2085" t="s">
        <v>95</v>
      </c>
      <c r="Q2085" t="s">
        <v>133</v>
      </c>
      <c r="R2085" s="92" t="s">
        <v>69</v>
      </c>
      <c r="S2085" s="92" t="s">
        <v>115</v>
      </c>
      <c r="V2085" s="95">
        <v>43190</v>
      </c>
      <c r="W2085" s="92" t="s">
        <v>337</v>
      </c>
      <c r="X2085" s="90" t="s">
        <v>338</v>
      </c>
      <c r="Y2085" s="123"/>
      <c r="Z2085" s="30">
        <f t="shared" si="64"/>
        <v>7301.7101235631453</v>
      </c>
      <c r="AA2085" s="30">
        <f t="shared" si="65"/>
        <v>0</v>
      </c>
      <c r="AB2085" t="s">
        <v>457</v>
      </c>
    </row>
    <row r="2086" spans="1:28">
      <c r="A2086" t="s">
        <v>113</v>
      </c>
      <c r="B2086" s="91"/>
      <c r="C2086" s="92">
        <v>4615448972</v>
      </c>
      <c r="D2086" s="93">
        <v>20700</v>
      </c>
      <c r="F2086" s="91">
        <v>16</v>
      </c>
      <c r="G2086" s="91">
        <v>0</v>
      </c>
      <c r="H2086" s="91">
        <v>0</v>
      </c>
      <c r="I2086" s="91">
        <v>0</v>
      </c>
      <c r="J2086" s="41"/>
      <c r="K2086" s="41">
        <v>43190</v>
      </c>
      <c r="L2086" s="69" t="s">
        <v>80</v>
      </c>
      <c r="M2086" s="69" t="s">
        <v>286</v>
      </c>
      <c r="N2086" s="95"/>
      <c r="P2086" t="s">
        <v>95</v>
      </c>
      <c r="Q2086" t="s">
        <v>133</v>
      </c>
      <c r="R2086" s="92" t="s">
        <v>69</v>
      </c>
      <c r="S2086" s="92" t="s">
        <v>115</v>
      </c>
      <c r="V2086" s="95">
        <v>43190</v>
      </c>
      <c r="W2086" s="92" t="s">
        <v>337</v>
      </c>
      <c r="X2086" s="90" t="s">
        <v>338</v>
      </c>
      <c r="Y2086" s="123"/>
      <c r="Z2086" s="30">
        <f t="shared" si="64"/>
        <v>7301.7101235631453</v>
      </c>
      <c r="AA2086" s="30">
        <f t="shared" si="65"/>
        <v>0</v>
      </c>
      <c r="AB2086" t="s">
        <v>457</v>
      </c>
    </row>
    <row r="2087" spans="1:28">
      <c r="A2087" t="s">
        <v>113</v>
      </c>
      <c r="B2087" s="91"/>
      <c r="C2087" s="92">
        <v>4615448972</v>
      </c>
      <c r="D2087" s="93">
        <v>20700</v>
      </c>
      <c r="F2087" s="91">
        <v>16</v>
      </c>
      <c r="G2087" s="91">
        <v>0</v>
      </c>
      <c r="H2087" s="91">
        <v>0</v>
      </c>
      <c r="I2087" s="91">
        <v>0</v>
      </c>
      <c r="J2087" s="41"/>
      <c r="K2087" s="41">
        <v>43190</v>
      </c>
      <c r="L2087" s="69" t="s">
        <v>80</v>
      </c>
      <c r="M2087" s="69" t="s">
        <v>286</v>
      </c>
      <c r="N2087" s="95"/>
      <c r="P2087" t="s">
        <v>95</v>
      </c>
      <c r="Q2087" t="s">
        <v>133</v>
      </c>
      <c r="R2087" s="92" t="s">
        <v>69</v>
      </c>
      <c r="S2087" s="92" t="s">
        <v>115</v>
      </c>
      <c r="V2087" s="95">
        <v>43190</v>
      </c>
      <c r="W2087" s="92" t="s">
        <v>337</v>
      </c>
      <c r="X2087" s="90" t="s">
        <v>338</v>
      </c>
      <c r="Y2087" s="123"/>
      <c r="Z2087" s="30">
        <f t="shared" si="64"/>
        <v>7301.7101235631453</v>
      </c>
      <c r="AA2087" s="30">
        <f t="shared" si="65"/>
        <v>0</v>
      </c>
      <c r="AB2087" t="s">
        <v>457</v>
      </c>
    </row>
    <row r="2088" spans="1:28">
      <c r="A2088" t="s">
        <v>113</v>
      </c>
      <c r="B2088" s="91"/>
      <c r="C2088" s="92">
        <v>4615448972</v>
      </c>
      <c r="D2088" s="93">
        <v>20700</v>
      </c>
      <c r="F2088" s="91">
        <v>16</v>
      </c>
      <c r="G2088" s="91">
        <v>0</v>
      </c>
      <c r="H2088" s="91">
        <v>0</v>
      </c>
      <c r="I2088" s="91">
        <v>0</v>
      </c>
      <c r="J2088" s="41"/>
      <c r="K2088" s="41">
        <v>43190</v>
      </c>
      <c r="L2088" s="69" t="s">
        <v>80</v>
      </c>
      <c r="M2088" s="69" t="s">
        <v>286</v>
      </c>
      <c r="N2088" s="95"/>
      <c r="P2088" t="s">
        <v>95</v>
      </c>
      <c r="Q2088" t="s">
        <v>133</v>
      </c>
      <c r="R2088" s="92" t="s">
        <v>69</v>
      </c>
      <c r="S2088" s="92" t="s">
        <v>115</v>
      </c>
      <c r="V2088" s="95">
        <v>43190</v>
      </c>
      <c r="W2088" s="92" t="s">
        <v>337</v>
      </c>
      <c r="X2088" s="90" t="s">
        <v>338</v>
      </c>
      <c r="Y2088" s="123"/>
      <c r="Z2088" s="30">
        <f t="shared" si="64"/>
        <v>7301.7101235631453</v>
      </c>
      <c r="AA2088" s="30">
        <f t="shared" si="65"/>
        <v>0</v>
      </c>
      <c r="AB2088" t="s">
        <v>457</v>
      </c>
    </row>
    <row r="2089" spans="1:28">
      <c r="A2089" t="s">
        <v>113</v>
      </c>
      <c r="B2089" s="91"/>
      <c r="C2089" s="92">
        <v>4615448972</v>
      </c>
      <c r="D2089" s="93">
        <v>20700</v>
      </c>
      <c r="F2089" s="91">
        <v>16</v>
      </c>
      <c r="G2089" s="91">
        <v>0</v>
      </c>
      <c r="H2089" s="91">
        <v>0</v>
      </c>
      <c r="I2089" s="91">
        <v>0</v>
      </c>
      <c r="J2089" s="41"/>
      <c r="K2089" s="41">
        <v>43190</v>
      </c>
      <c r="L2089" s="69" t="s">
        <v>80</v>
      </c>
      <c r="M2089" s="69" t="s">
        <v>286</v>
      </c>
      <c r="N2089" s="95"/>
      <c r="P2089" t="s">
        <v>95</v>
      </c>
      <c r="Q2089" t="s">
        <v>133</v>
      </c>
      <c r="R2089" s="92" t="s">
        <v>69</v>
      </c>
      <c r="S2089" s="92" t="s">
        <v>115</v>
      </c>
      <c r="V2089" s="95">
        <v>43190</v>
      </c>
      <c r="W2089" s="92" t="s">
        <v>337</v>
      </c>
      <c r="X2089" s="90" t="s">
        <v>338</v>
      </c>
      <c r="Y2089" s="123"/>
      <c r="Z2089" s="30">
        <f t="shared" si="64"/>
        <v>7301.7101235631453</v>
      </c>
      <c r="AA2089" s="30">
        <f t="shared" si="65"/>
        <v>0</v>
      </c>
      <c r="AB2089" t="s">
        <v>457</v>
      </c>
    </row>
    <row r="2090" spans="1:28">
      <c r="A2090" t="s">
        <v>113</v>
      </c>
      <c r="B2090" s="91"/>
      <c r="C2090" s="92">
        <v>4615448972</v>
      </c>
      <c r="D2090" s="93">
        <v>20700</v>
      </c>
      <c r="F2090" s="91">
        <v>16</v>
      </c>
      <c r="G2090" s="91">
        <v>0</v>
      </c>
      <c r="H2090" s="91">
        <v>0</v>
      </c>
      <c r="I2090" s="91">
        <v>0</v>
      </c>
      <c r="J2090" s="41"/>
      <c r="K2090" s="41">
        <v>43190</v>
      </c>
      <c r="L2090" s="69" t="s">
        <v>80</v>
      </c>
      <c r="M2090" s="69" t="s">
        <v>286</v>
      </c>
      <c r="N2090" s="95"/>
      <c r="P2090" t="s">
        <v>95</v>
      </c>
      <c r="Q2090" t="s">
        <v>133</v>
      </c>
      <c r="R2090" s="92" t="s">
        <v>69</v>
      </c>
      <c r="S2090" s="92" t="s">
        <v>115</v>
      </c>
      <c r="V2090" s="95">
        <v>43190</v>
      </c>
      <c r="W2090" s="92" t="s">
        <v>337</v>
      </c>
      <c r="X2090" s="90" t="s">
        <v>338</v>
      </c>
      <c r="Y2090" s="123"/>
      <c r="Z2090" s="30">
        <f t="shared" si="64"/>
        <v>7301.7101235631453</v>
      </c>
      <c r="AA2090" s="30">
        <f t="shared" si="65"/>
        <v>0</v>
      </c>
      <c r="AB2090" t="s">
        <v>457</v>
      </c>
    </row>
    <row r="2091" spans="1:28">
      <c r="A2091" t="s">
        <v>113</v>
      </c>
      <c r="B2091" s="91"/>
      <c r="C2091" s="92">
        <v>4615448972</v>
      </c>
      <c r="D2091" s="93">
        <v>20700</v>
      </c>
      <c r="F2091" s="91">
        <v>16</v>
      </c>
      <c r="G2091" s="91">
        <v>0</v>
      </c>
      <c r="H2091" s="91">
        <v>0</v>
      </c>
      <c r="I2091" s="91">
        <v>0</v>
      </c>
      <c r="J2091" s="41"/>
      <c r="K2091" s="41">
        <v>43190</v>
      </c>
      <c r="L2091" s="69" t="s">
        <v>80</v>
      </c>
      <c r="M2091" s="69" t="s">
        <v>286</v>
      </c>
      <c r="N2091" s="95"/>
      <c r="P2091" t="s">
        <v>95</v>
      </c>
      <c r="Q2091" t="s">
        <v>133</v>
      </c>
      <c r="R2091" s="92" t="s">
        <v>69</v>
      </c>
      <c r="S2091" s="92" t="s">
        <v>115</v>
      </c>
      <c r="V2091" s="95">
        <v>43190</v>
      </c>
      <c r="W2091" s="92" t="s">
        <v>337</v>
      </c>
      <c r="X2091" s="90" t="s">
        <v>338</v>
      </c>
      <c r="Y2091" s="123"/>
      <c r="Z2091" s="30">
        <f t="shared" si="64"/>
        <v>7301.7101235631453</v>
      </c>
      <c r="AA2091" s="30">
        <f t="shared" si="65"/>
        <v>0</v>
      </c>
      <c r="AB2091" t="s">
        <v>457</v>
      </c>
    </row>
    <row r="2092" spans="1:28">
      <c r="A2092" t="s">
        <v>113</v>
      </c>
      <c r="B2092" s="91"/>
      <c r="C2092" s="92">
        <v>4615465720</v>
      </c>
      <c r="D2092" s="93">
        <v>19175</v>
      </c>
      <c r="F2092" s="94">
        <v>16</v>
      </c>
      <c r="G2092" s="96">
        <v>5</v>
      </c>
      <c r="H2092" s="91">
        <v>0</v>
      </c>
      <c r="I2092" s="91">
        <v>0</v>
      </c>
      <c r="J2092" s="41"/>
      <c r="K2092" s="41">
        <v>43190</v>
      </c>
      <c r="L2092" s="69" t="s">
        <v>80</v>
      </c>
      <c r="M2092" s="69" t="s">
        <v>286</v>
      </c>
      <c r="N2092" s="98"/>
      <c r="P2092" t="s">
        <v>95</v>
      </c>
      <c r="Q2092" t="s">
        <v>133</v>
      </c>
      <c r="R2092" s="92" t="s">
        <v>69</v>
      </c>
      <c r="S2092" s="92" t="s">
        <v>115</v>
      </c>
      <c r="V2092" s="95">
        <v>43190</v>
      </c>
      <c r="W2092" s="92" t="s">
        <v>339</v>
      </c>
      <c r="X2092" s="90"/>
      <c r="Y2092" s="123"/>
      <c r="Z2092" s="30">
        <f t="shared" si="64"/>
        <v>6763.7822038320437</v>
      </c>
      <c r="AA2092" s="30">
        <f t="shared" si="65"/>
        <v>2113.6819386975139</v>
      </c>
      <c r="AB2092" t="s">
        <v>457</v>
      </c>
    </row>
    <row r="2093" spans="1:28">
      <c r="A2093" t="s">
        <v>113</v>
      </c>
      <c r="B2093" s="91"/>
      <c r="C2093" s="92">
        <v>4615465720</v>
      </c>
      <c r="D2093" s="93">
        <v>19175</v>
      </c>
      <c r="F2093" s="94">
        <v>16</v>
      </c>
      <c r="G2093" s="96">
        <v>5</v>
      </c>
      <c r="H2093" s="91">
        <v>0</v>
      </c>
      <c r="I2093" s="91">
        <v>0</v>
      </c>
      <c r="J2093" s="41"/>
      <c r="K2093" s="41">
        <v>43190</v>
      </c>
      <c r="L2093" s="69" t="s">
        <v>80</v>
      </c>
      <c r="M2093" s="69" t="s">
        <v>286</v>
      </c>
      <c r="N2093" s="98"/>
      <c r="P2093" t="s">
        <v>95</v>
      </c>
      <c r="Q2093" t="s">
        <v>133</v>
      </c>
      <c r="R2093" s="92" t="s">
        <v>69</v>
      </c>
      <c r="S2093" s="92" t="s">
        <v>115</v>
      </c>
      <c r="V2093" s="95">
        <v>43190</v>
      </c>
      <c r="W2093" s="92" t="s">
        <v>339</v>
      </c>
      <c r="X2093" s="90"/>
      <c r="Y2093" s="123"/>
      <c r="Z2093" s="30">
        <f t="shared" si="64"/>
        <v>6763.7822038320437</v>
      </c>
      <c r="AA2093" s="30">
        <f t="shared" si="65"/>
        <v>2113.6819386975139</v>
      </c>
      <c r="AB2093" t="s">
        <v>457</v>
      </c>
    </row>
    <row r="2094" spans="1:28">
      <c r="A2094" t="s">
        <v>113</v>
      </c>
      <c r="B2094" s="91"/>
      <c r="C2094" s="92">
        <v>4615465720</v>
      </c>
      <c r="D2094" s="93">
        <v>19175</v>
      </c>
      <c r="F2094" s="94">
        <v>16</v>
      </c>
      <c r="G2094" s="96">
        <v>5</v>
      </c>
      <c r="H2094" s="91">
        <v>0</v>
      </c>
      <c r="I2094" s="91">
        <v>0</v>
      </c>
      <c r="J2094" s="41"/>
      <c r="K2094" s="41">
        <v>43190</v>
      </c>
      <c r="L2094" s="69" t="s">
        <v>80</v>
      </c>
      <c r="M2094" s="69" t="s">
        <v>286</v>
      </c>
      <c r="N2094" s="98"/>
      <c r="P2094" t="s">
        <v>95</v>
      </c>
      <c r="Q2094" t="s">
        <v>133</v>
      </c>
      <c r="R2094" s="92" t="s">
        <v>69</v>
      </c>
      <c r="S2094" s="92" t="s">
        <v>115</v>
      </c>
      <c r="V2094" s="95">
        <v>43190</v>
      </c>
      <c r="W2094" s="92" t="s">
        <v>339</v>
      </c>
      <c r="X2094" s="90"/>
      <c r="Y2094" s="123"/>
      <c r="Z2094" s="30">
        <f t="shared" si="64"/>
        <v>6763.7822038320437</v>
      </c>
      <c r="AA2094" s="30">
        <f t="shared" si="65"/>
        <v>2113.6819386975139</v>
      </c>
      <c r="AB2094" t="s">
        <v>457</v>
      </c>
    </row>
    <row r="2095" spans="1:28">
      <c r="A2095" t="s">
        <v>113</v>
      </c>
      <c r="B2095" s="91"/>
      <c r="C2095" s="92">
        <v>4615465720</v>
      </c>
      <c r="D2095" s="93">
        <v>19175</v>
      </c>
      <c r="F2095" s="94">
        <v>16</v>
      </c>
      <c r="G2095" s="96">
        <v>5</v>
      </c>
      <c r="H2095" s="91">
        <v>0</v>
      </c>
      <c r="I2095" s="91">
        <v>0</v>
      </c>
      <c r="J2095" s="41"/>
      <c r="K2095" s="41">
        <v>43190</v>
      </c>
      <c r="L2095" s="69" t="s">
        <v>80</v>
      </c>
      <c r="M2095" s="69" t="s">
        <v>286</v>
      </c>
      <c r="N2095" s="98"/>
      <c r="P2095" t="s">
        <v>95</v>
      </c>
      <c r="Q2095" t="s">
        <v>133</v>
      </c>
      <c r="R2095" s="92" t="s">
        <v>69</v>
      </c>
      <c r="S2095" s="92" t="s">
        <v>115</v>
      </c>
      <c r="V2095" s="95">
        <v>43190</v>
      </c>
      <c r="W2095" s="92" t="s">
        <v>339</v>
      </c>
      <c r="X2095" s="90"/>
      <c r="Y2095" s="123"/>
      <c r="Z2095" s="30">
        <f t="shared" si="64"/>
        <v>6763.7822038320437</v>
      </c>
      <c r="AA2095" s="30">
        <f t="shared" si="65"/>
        <v>2113.6819386975139</v>
      </c>
      <c r="AB2095" t="s">
        <v>457</v>
      </c>
    </row>
    <row r="2096" spans="1:28">
      <c r="A2096" t="s">
        <v>113</v>
      </c>
      <c r="B2096" s="91"/>
      <c r="C2096" s="92">
        <v>4615465720</v>
      </c>
      <c r="D2096" s="93">
        <v>19175</v>
      </c>
      <c r="F2096" s="94">
        <v>16</v>
      </c>
      <c r="G2096" s="96">
        <v>5</v>
      </c>
      <c r="H2096" s="91">
        <v>0</v>
      </c>
      <c r="I2096" s="91">
        <v>0</v>
      </c>
      <c r="J2096" s="41"/>
      <c r="K2096" s="41">
        <v>43190</v>
      </c>
      <c r="L2096" s="69" t="s">
        <v>80</v>
      </c>
      <c r="M2096" s="69" t="s">
        <v>286</v>
      </c>
      <c r="N2096" s="98"/>
      <c r="P2096" t="s">
        <v>95</v>
      </c>
      <c r="Q2096" t="s">
        <v>133</v>
      </c>
      <c r="R2096" s="92" t="s">
        <v>69</v>
      </c>
      <c r="S2096" s="92" t="s">
        <v>115</v>
      </c>
      <c r="V2096" s="95">
        <v>43190</v>
      </c>
      <c r="W2096" s="92" t="s">
        <v>339</v>
      </c>
      <c r="X2096" s="90"/>
      <c r="Y2096" s="123"/>
      <c r="Z2096" s="30">
        <f t="shared" si="64"/>
        <v>6763.7822038320437</v>
      </c>
      <c r="AA2096" s="30">
        <f t="shared" si="65"/>
        <v>2113.6819386975139</v>
      </c>
      <c r="AB2096" t="s">
        <v>457</v>
      </c>
    </row>
    <row r="2097" spans="1:28">
      <c r="A2097" t="s">
        <v>113</v>
      </c>
      <c r="B2097" s="91"/>
      <c r="C2097" s="92">
        <v>4615465720</v>
      </c>
      <c r="D2097" s="93">
        <v>19175</v>
      </c>
      <c r="F2097" s="94">
        <v>16</v>
      </c>
      <c r="G2097" s="96">
        <v>5</v>
      </c>
      <c r="H2097" s="91">
        <v>0</v>
      </c>
      <c r="I2097" s="91">
        <v>0</v>
      </c>
      <c r="J2097" s="41"/>
      <c r="K2097" s="41">
        <v>43190</v>
      </c>
      <c r="L2097" s="69" t="s">
        <v>80</v>
      </c>
      <c r="M2097" s="69" t="s">
        <v>286</v>
      </c>
      <c r="N2097" s="98"/>
      <c r="P2097" t="s">
        <v>95</v>
      </c>
      <c r="Q2097" t="s">
        <v>133</v>
      </c>
      <c r="R2097" s="92" t="s">
        <v>69</v>
      </c>
      <c r="S2097" s="92" t="s">
        <v>115</v>
      </c>
      <c r="V2097" s="95">
        <v>43190</v>
      </c>
      <c r="W2097" s="92" t="s">
        <v>339</v>
      </c>
      <c r="X2097" s="90"/>
      <c r="Y2097" s="123"/>
      <c r="Z2097" s="30">
        <f t="shared" si="64"/>
        <v>6763.7822038320437</v>
      </c>
      <c r="AA2097" s="30">
        <f t="shared" si="65"/>
        <v>2113.6819386975139</v>
      </c>
      <c r="AB2097" t="s">
        <v>457</v>
      </c>
    </row>
    <row r="2098" spans="1:28">
      <c r="A2098" t="s">
        <v>113</v>
      </c>
      <c r="B2098" s="91"/>
      <c r="C2098" s="92">
        <v>4615465720</v>
      </c>
      <c r="D2098" s="93">
        <v>19175</v>
      </c>
      <c r="F2098" s="94">
        <v>16</v>
      </c>
      <c r="G2098" s="96">
        <v>5</v>
      </c>
      <c r="H2098" s="91">
        <v>0</v>
      </c>
      <c r="I2098" s="91">
        <v>0</v>
      </c>
      <c r="J2098" s="41"/>
      <c r="K2098" s="41">
        <v>43190</v>
      </c>
      <c r="L2098" s="69" t="s">
        <v>80</v>
      </c>
      <c r="M2098" s="69" t="s">
        <v>286</v>
      </c>
      <c r="N2098" s="98"/>
      <c r="P2098" t="s">
        <v>95</v>
      </c>
      <c r="Q2098" t="s">
        <v>133</v>
      </c>
      <c r="R2098" s="92" t="s">
        <v>69</v>
      </c>
      <c r="S2098" s="92" t="s">
        <v>115</v>
      </c>
      <c r="V2098" s="95">
        <v>43190</v>
      </c>
      <c r="W2098" s="92" t="s">
        <v>339</v>
      </c>
      <c r="X2098" s="90"/>
      <c r="Y2098" s="123"/>
      <c r="Z2098" s="30">
        <f t="shared" si="64"/>
        <v>6763.7822038320437</v>
      </c>
      <c r="AA2098" s="30">
        <f t="shared" si="65"/>
        <v>2113.6819386975139</v>
      </c>
      <c r="AB2098" t="s">
        <v>457</v>
      </c>
    </row>
    <row r="2099" spans="1:28">
      <c r="A2099" t="s">
        <v>113</v>
      </c>
      <c r="B2099" s="91"/>
      <c r="C2099" s="92">
        <v>4615465720</v>
      </c>
      <c r="D2099" s="93">
        <v>19175</v>
      </c>
      <c r="F2099" s="94">
        <v>16</v>
      </c>
      <c r="G2099" s="96">
        <v>5</v>
      </c>
      <c r="H2099" s="91">
        <v>0</v>
      </c>
      <c r="I2099" s="91">
        <v>0</v>
      </c>
      <c r="J2099" s="41"/>
      <c r="K2099" s="41">
        <v>43190</v>
      </c>
      <c r="L2099" s="69" t="s">
        <v>80</v>
      </c>
      <c r="M2099" s="69" t="s">
        <v>286</v>
      </c>
      <c r="N2099" s="98"/>
      <c r="P2099" t="s">
        <v>95</v>
      </c>
      <c r="Q2099" t="s">
        <v>133</v>
      </c>
      <c r="R2099" s="92" t="s">
        <v>69</v>
      </c>
      <c r="S2099" s="92" t="s">
        <v>115</v>
      </c>
      <c r="V2099" s="95">
        <v>43190</v>
      </c>
      <c r="W2099" s="92" t="s">
        <v>339</v>
      </c>
      <c r="X2099" s="90"/>
      <c r="Y2099" s="123"/>
      <c r="Z2099" s="30">
        <f t="shared" si="64"/>
        <v>6763.7822038320437</v>
      </c>
      <c r="AA2099" s="30">
        <f t="shared" si="65"/>
        <v>2113.6819386975139</v>
      </c>
      <c r="AB2099" t="s">
        <v>457</v>
      </c>
    </row>
    <row r="2100" spans="1:28">
      <c r="A2100" t="s">
        <v>113</v>
      </c>
      <c r="B2100" s="91"/>
      <c r="C2100" s="92">
        <v>4615465720</v>
      </c>
      <c r="D2100" s="93">
        <v>19175</v>
      </c>
      <c r="F2100" s="94">
        <v>16</v>
      </c>
      <c r="G2100" s="96">
        <v>5</v>
      </c>
      <c r="H2100" s="91">
        <v>0</v>
      </c>
      <c r="I2100" s="91">
        <v>0</v>
      </c>
      <c r="J2100" s="41"/>
      <c r="K2100" s="41">
        <v>43190</v>
      </c>
      <c r="L2100" s="69" t="s">
        <v>80</v>
      </c>
      <c r="M2100" s="69" t="s">
        <v>286</v>
      </c>
      <c r="N2100" s="98"/>
      <c r="P2100" t="s">
        <v>95</v>
      </c>
      <c r="Q2100" t="s">
        <v>133</v>
      </c>
      <c r="R2100" s="92" t="s">
        <v>69</v>
      </c>
      <c r="S2100" s="92" t="s">
        <v>115</v>
      </c>
      <c r="V2100" s="95">
        <v>43190</v>
      </c>
      <c r="W2100" s="92" t="s">
        <v>339</v>
      </c>
      <c r="X2100" s="90"/>
      <c r="Y2100" s="123"/>
      <c r="Z2100" s="30">
        <f t="shared" si="64"/>
        <v>6763.7822038320437</v>
      </c>
      <c r="AA2100" s="30">
        <f t="shared" si="65"/>
        <v>2113.6819386975139</v>
      </c>
      <c r="AB2100" t="s">
        <v>457</v>
      </c>
    </row>
    <row r="2101" spans="1:28">
      <c r="A2101" t="s">
        <v>113</v>
      </c>
      <c r="B2101" s="91"/>
      <c r="C2101" s="92">
        <v>4615465720</v>
      </c>
      <c r="D2101" s="93">
        <v>19175</v>
      </c>
      <c r="F2101" s="94">
        <v>16</v>
      </c>
      <c r="G2101" s="96">
        <v>5</v>
      </c>
      <c r="H2101" s="91">
        <v>0</v>
      </c>
      <c r="I2101" s="91">
        <v>0</v>
      </c>
      <c r="J2101" s="41"/>
      <c r="K2101" s="41">
        <v>43190</v>
      </c>
      <c r="L2101" s="69" t="s">
        <v>80</v>
      </c>
      <c r="M2101" s="69" t="s">
        <v>286</v>
      </c>
      <c r="N2101" s="98"/>
      <c r="P2101" t="s">
        <v>95</v>
      </c>
      <c r="Q2101" t="s">
        <v>133</v>
      </c>
      <c r="R2101" s="92" t="s">
        <v>69</v>
      </c>
      <c r="S2101" s="92" t="s">
        <v>115</v>
      </c>
      <c r="V2101" s="95">
        <v>43190</v>
      </c>
      <c r="W2101" s="92" t="s">
        <v>339</v>
      </c>
      <c r="X2101" s="90"/>
      <c r="Y2101" s="123"/>
      <c r="Z2101" s="30">
        <f t="shared" si="64"/>
        <v>6763.7822038320437</v>
      </c>
      <c r="AA2101" s="30">
        <f t="shared" si="65"/>
        <v>2113.6819386975139</v>
      </c>
      <c r="AB2101" t="s">
        <v>457</v>
      </c>
    </row>
    <row r="2102" spans="1:28">
      <c r="A2102" t="s">
        <v>113</v>
      </c>
      <c r="B2102" s="91">
        <v>1330650</v>
      </c>
      <c r="C2102" s="92">
        <v>4615504181</v>
      </c>
      <c r="D2102" s="93">
        <v>19175</v>
      </c>
      <c r="F2102" s="94">
        <v>16</v>
      </c>
      <c r="G2102" s="94">
        <v>0</v>
      </c>
      <c r="H2102" s="91">
        <v>0</v>
      </c>
      <c r="I2102" s="91">
        <v>0</v>
      </c>
      <c r="J2102" s="41">
        <v>43158</v>
      </c>
      <c r="K2102" s="41">
        <v>43190</v>
      </c>
      <c r="L2102" s="69" t="s">
        <v>119</v>
      </c>
      <c r="M2102" s="69" t="s">
        <v>299</v>
      </c>
      <c r="N2102" s="98"/>
      <c r="P2102" t="s">
        <v>95</v>
      </c>
      <c r="Q2102" t="s">
        <v>133</v>
      </c>
      <c r="R2102" s="92" t="s">
        <v>69</v>
      </c>
      <c r="S2102" s="92" t="s">
        <v>115</v>
      </c>
      <c r="V2102" s="95">
        <v>43190</v>
      </c>
      <c r="W2102" s="92" t="s">
        <v>340</v>
      </c>
      <c r="X2102" s="90"/>
      <c r="Y2102" s="123"/>
      <c r="Z2102" s="30">
        <f t="shared" si="64"/>
        <v>6763.7822038320437</v>
      </c>
      <c r="AA2102" s="30">
        <f t="shared" si="65"/>
        <v>0</v>
      </c>
      <c r="AB2102" t="s">
        <v>456</v>
      </c>
    </row>
    <row r="2103" spans="1:28">
      <c r="A2103" t="s">
        <v>113</v>
      </c>
      <c r="B2103" s="91">
        <v>1330651</v>
      </c>
      <c r="C2103" s="92">
        <v>4615504181</v>
      </c>
      <c r="D2103" s="93">
        <v>19175</v>
      </c>
      <c r="F2103" s="94">
        <v>16</v>
      </c>
      <c r="G2103" s="94">
        <v>0</v>
      </c>
      <c r="H2103" s="91">
        <v>0</v>
      </c>
      <c r="I2103" s="91">
        <v>0</v>
      </c>
      <c r="J2103" s="41">
        <v>43158</v>
      </c>
      <c r="K2103" s="41">
        <v>43190</v>
      </c>
      <c r="L2103" s="69" t="s">
        <v>119</v>
      </c>
      <c r="M2103" s="69" t="s">
        <v>299</v>
      </c>
      <c r="N2103" s="98"/>
      <c r="P2103" t="s">
        <v>95</v>
      </c>
      <c r="Q2103" t="s">
        <v>133</v>
      </c>
      <c r="R2103" s="92" t="s">
        <v>69</v>
      </c>
      <c r="S2103" s="92" t="s">
        <v>115</v>
      </c>
      <c r="V2103" s="95">
        <v>43190</v>
      </c>
      <c r="W2103" s="92" t="s">
        <v>340</v>
      </c>
      <c r="X2103" s="90"/>
      <c r="Y2103" s="123"/>
      <c r="Z2103" s="30">
        <f t="shared" si="64"/>
        <v>6763.7822038320437</v>
      </c>
      <c r="AA2103" s="30">
        <f t="shared" si="65"/>
        <v>0</v>
      </c>
      <c r="AB2103" t="s">
        <v>456</v>
      </c>
    </row>
    <row r="2104" spans="1:28">
      <c r="A2104" t="s">
        <v>113</v>
      </c>
      <c r="B2104" s="91">
        <v>1330654</v>
      </c>
      <c r="C2104" s="92">
        <v>4615504181</v>
      </c>
      <c r="D2104" s="93">
        <v>19175</v>
      </c>
      <c r="F2104" s="94">
        <v>16</v>
      </c>
      <c r="G2104" s="94">
        <v>0</v>
      </c>
      <c r="H2104" s="91">
        <v>0</v>
      </c>
      <c r="I2104" s="91">
        <v>0</v>
      </c>
      <c r="J2104" s="41">
        <v>43158</v>
      </c>
      <c r="K2104" s="41">
        <v>43190</v>
      </c>
      <c r="L2104" s="69" t="s">
        <v>119</v>
      </c>
      <c r="M2104" s="69" t="s">
        <v>299</v>
      </c>
      <c r="N2104" s="98"/>
      <c r="P2104" t="s">
        <v>95</v>
      </c>
      <c r="Q2104" t="s">
        <v>133</v>
      </c>
      <c r="R2104" s="92" t="s">
        <v>69</v>
      </c>
      <c r="S2104" s="92" t="s">
        <v>115</v>
      </c>
      <c r="V2104" s="95">
        <v>43190</v>
      </c>
      <c r="W2104" s="92" t="s">
        <v>340</v>
      </c>
      <c r="X2104" s="90"/>
      <c r="Y2104" s="123"/>
      <c r="Z2104" s="30">
        <f t="shared" si="64"/>
        <v>6763.7822038320437</v>
      </c>
      <c r="AA2104" s="30">
        <f t="shared" si="65"/>
        <v>0</v>
      </c>
      <c r="AB2104" t="s">
        <v>456</v>
      </c>
    </row>
    <row r="2105" spans="1:28">
      <c r="A2105" t="s">
        <v>113</v>
      </c>
      <c r="B2105" s="91">
        <v>1330653</v>
      </c>
      <c r="C2105" s="92">
        <v>4615504181</v>
      </c>
      <c r="D2105" s="93">
        <v>19175</v>
      </c>
      <c r="F2105" s="94">
        <v>16</v>
      </c>
      <c r="G2105" s="94">
        <v>0</v>
      </c>
      <c r="H2105" s="91">
        <v>0</v>
      </c>
      <c r="I2105" s="91">
        <v>0</v>
      </c>
      <c r="J2105" s="41">
        <v>43158</v>
      </c>
      <c r="K2105" s="41">
        <v>43190</v>
      </c>
      <c r="L2105" s="69" t="s">
        <v>119</v>
      </c>
      <c r="M2105" s="69" t="s">
        <v>299</v>
      </c>
      <c r="N2105" s="98"/>
      <c r="P2105" t="s">
        <v>95</v>
      </c>
      <c r="Q2105" t="s">
        <v>133</v>
      </c>
      <c r="R2105" s="92" t="s">
        <v>69</v>
      </c>
      <c r="S2105" s="92" t="s">
        <v>115</v>
      </c>
      <c r="V2105" s="95">
        <v>43190</v>
      </c>
      <c r="W2105" s="92" t="s">
        <v>340</v>
      </c>
      <c r="X2105" s="90"/>
      <c r="Y2105" s="123"/>
      <c r="Z2105" s="30">
        <f t="shared" si="64"/>
        <v>6763.7822038320437</v>
      </c>
      <c r="AA2105" s="30">
        <f t="shared" si="65"/>
        <v>0</v>
      </c>
      <c r="AB2105" t="s">
        <v>456</v>
      </c>
    </row>
    <row r="2106" spans="1:28">
      <c r="A2106" t="s">
        <v>113</v>
      </c>
      <c r="B2106" s="91">
        <v>1330652</v>
      </c>
      <c r="C2106" s="92">
        <v>4615504181</v>
      </c>
      <c r="D2106" s="93">
        <v>19175</v>
      </c>
      <c r="F2106" s="94">
        <v>16</v>
      </c>
      <c r="G2106" s="94">
        <v>0</v>
      </c>
      <c r="H2106" s="91">
        <v>0</v>
      </c>
      <c r="I2106" s="91">
        <v>0</v>
      </c>
      <c r="J2106" s="41">
        <v>43158</v>
      </c>
      <c r="K2106" s="41">
        <v>43190</v>
      </c>
      <c r="L2106" s="69" t="s">
        <v>119</v>
      </c>
      <c r="M2106" s="69" t="s">
        <v>299</v>
      </c>
      <c r="N2106" s="98"/>
      <c r="P2106" t="s">
        <v>95</v>
      </c>
      <c r="Q2106" t="s">
        <v>133</v>
      </c>
      <c r="R2106" s="92" t="s">
        <v>69</v>
      </c>
      <c r="S2106" s="92" t="s">
        <v>115</v>
      </c>
      <c r="V2106" s="95">
        <v>43190</v>
      </c>
      <c r="W2106" s="92" t="s">
        <v>340</v>
      </c>
      <c r="X2106" s="90"/>
      <c r="Y2106" s="123"/>
      <c r="Z2106" s="30">
        <f t="shared" si="64"/>
        <v>6763.7822038320437</v>
      </c>
      <c r="AA2106" s="30">
        <f t="shared" si="65"/>
        <v>0</v>
      </c>
      <c r="AB2106" t="s">
        <v>456</v>
      </c>
    </row>
    <row r="2107" spans="1:28">
      <c r="A2107" t="s">
        <v>113</v>
      </c>
      <c r="B2107" s="91"/>
      <c r="C2107" s="92">
        <v>4615504181</v>
      </c>
      <c r="D2107" s="93">
        <v>19175</v>
      </c>
      <c r="F2107" s="94">
        <v>16</v>
      </c>
      <c r="G2107" s="94">
        <v>0</v>
      </c>
      <c r="H2107" s="91">
        <v>0</v>
      </c>
      <c r="I2107" s="91">
        <v>0</v>
      </c>
      <c r="J2107" s="41"/>
      <c r="K2107" s="41">
        <v>43190</v>
      </c>
      <c r="L2107" s="69" t="s">
        <v>80</v>
      </c>
      <c r="M2107" s="69" t="s">
        <v>286</v>
      </c>
      <c r="N2107" s="98"/>
      <c r="P2107" t="s">
        <v>95</v>
      </c>
      <c r="Q2107" t="s">
        <v>133</v>
      </c>
      <c r="R2107" s="92" t="s">
        <v>69</v>
      </c>
      <c r="S2107" s="92" t="s">
        <v>115</v>
      </c>
      <c r="V2107" s="95">
        <v>43190</v>
      </c>
      <c r="W2107" s="92" t="s">
        <v>340</v>
      </c>
      <c r="X2107" s="90"/>
      <c r="Y2107" s="123"/>
      <c r="Z2107" s="30">
        <f t="shared" si="64"/>
        <v>6763.7822038320437</v>
      </c>
      <c r="AA2107" s="30">
        <f t="shared" si="65"/>
        <v>0</v>
      </c>
      <c r="AB2107" t="s">
        <v>457</v>
      </c>
    </row>
    <row r="2108" spans="1:28">
      <c r="A2108" t="s">
        <v>113</v>
      </c>
      <c r="B2108" s="91"/>
      <c r="C2108" s="92">
        <v>4615504181</v>
      </c>
      <c r="D2108" s="93">
        <v>19175</v>
      </c>
      <c r="F2108" s="94">
        <v>16</v>
      </c>
      <c r="G2108" s="94">
        <v>0</v>
      </c>
      <c r="H2108" s="91">
        <v>0</v>
      </c>
      <c r="I2108" s="91">
        <v>0</v>
      </c>
      <c r="J2108" s="41"/>
      <c r="K2108" s="41">
        <v>43190</v>
      </c>
      <c r="L2108" s="69" t="s">
        <v>80</v>
      </c>
      <c r="M2108" s="69" t="s">
        <v>286</v>
      </c>
      <c r="N2108" s="98"/>
      <c r="P2108" t="s">
        <v>95</v>
      </c>
      <c r="Q2108" t="s">
        <v>133</v>
      </c>
      <c r="R2108" s="92" t="s">
        <v>69</v>
      </c>
      <c r="S2108" s="92" t="s">
        <v>115</v>
      </c>
      <c r="V2108" s="95">
        <v>43190</v>
      </c>
      <c r="W2108" s="92" t="s">
        <v>340</v>
      </c>
      <c r="X2108" s="90"/>
      <c r="Y2108" s="123"/>
      <c r="Z2108" s="30">
        <f t="shared" si="64"/>
        <v>6763.7822038320437</v>
      </c>
      <c r="AA2108" s="30">
        <f t="shared" si="65"/>
        <v>0</v>
      </c>
      <c r="AB2108" t="s">
        <v>457</v>
      </c>
    </row>
    <row r="2109" spans="1:28">
      <c r="A2109" t="s">
        <v>113</v>
      </c>
      <c r="B2109" s="91"/>
      <c r="C2109" s="92">
        <v>4615504181</v>
      </c>
      <c r="D2109" s="93">
        <v>19175</v>
      </c>
      <c r="F2109" s="94">
        <v>16</v>
      </c>
      <c r="G2109" s="94">
        <v>0</v>
      </c>
      <c r="H2109" s="91">
        <v>0</v>
      </c>
      <c r="I2109" s="91">
        <v>0</v>
      </c>
      <c r="J2109" s="41"/>
      <c r="K2109" s="41">
        <v>43190</v>
      </c>
      <c r="L2109" s="69" t="s">
        <v>80</v>
      </c>
      <c r="M2109" s="69" t="s">
        <v>286</v>
      </c>
      <c r="N2109" s="98"/>
      <c r="P2109" t="s">
        <v>95</v>
      </c>
      <c r="Q2109" t="s">
        <v>133</v>
      </c>
      <c r="R2109" s="92" t="s">
        <v>69</v>
      </c>
      <c r="S2109" s="92" t="s">
        <v>115</v>
      </c>
      <c r="V2109" s="95">
        <v>43190</v>
      </c>
      <c r="W2109" s="92" t="s">
        <v>340</v>
      </c>
      <c r="X2109" s="90"/>
      <c r="Y2109" s="123"/>
      <c r="Z2109" s="30">
        <f t="shared" si="64"/>
        <v>6763.7822038320437</v>
      </c>
      <c r="AA2109" s="30">
        <f t="shared" si="65"/>
        <v>0</v>
      </c>
      <c r="AB2109" t="s">
        <v>457</v>
      </c>
    </row>
    <row r="2110" spans="1:28">
      <c r="A2110" t="s">
        <v>113</v>
      </c>
      <c r="B2110" s="91"/>
      <c r="C2110" s="92">
        <v>4615504181</v>
      </c>
      <c r="D2110" s="93">
        <v>19175</v>
      </c>
      <c r="F2110" s="94">
        <v>16</v>
      </c>
      <c r="G2110" s="94">
        <v>0</v>
      </c>
      <c r="H2110" s="91">
        <v>0</v>
      </c>
      <c r="I2110" s="91">
        <v>0</v>
      </c>
      <c r="J2110" s="41"/>
      <c r="K2110" s="41">
        <v>43190</v>
      </c>
      <c r="L2110" s="69" t="s">
        <v>80</v>
      </c>
      <c r="M2110" s="69" t="s">
        <v>286</v>
      </c>
      <c r="N2110" s="98"/>
      <c r="P2110" t="s">
        <v>95</v>
      </c>
      <c r="Q2110" t="s">
        <v>133</v>
      </c>
      <c r="R2110" s="92" t="s">
        <v>69</v>
      </c>
      <c r="S2110" s="92" t="s">
        <v>115</v>
      </c>
      <c r="V2110" s="95">
        <v>43190</v>
      </c>
      <c r="W2110" s="92" t="s">
        <v>340</v>
      </c>
      <c r="X2110" s="90"/>
      <c r="Y2110" s="123"/>
      <c r="Z2110" s="30">
        <f t="shared" si="64"/>
        <v>6763.7822038320437</v>
      </c>
      <c r="AA2110" s="30">
        <f t="shared" si="65"/>
        <v>0</v>
      </c>
      <c r="AB2110" t="s">
        <v>457</v>
      </c>
    </row>
    <row r="2111" spans="1:28">
      <c r="A2111" t="s">
        <v>113</v>
      </c>
      <c r="B2111" s="91"/>
      <c r="C2111" s="92">
        <v>4615504181</v>
      </c>
      <c r="D2111" s="93">
        <v>19175</v>
      </c>
      <c r="F2111" s="94">
        <v>16</v>
      </c>
      <c r="G2111" s="94">
        <v>0</v>
      </c>
      <c r="H2111" s="91">
        <v>0</v>
      </c>
      <c r="I2111" s="91">
        <v>0</v>
      </c>
      <c r="J2111" s="41"/>
      <c r="K2111" s="41">
        <v>43190</v>
      </c>
      <c r="L2111" s="69" t="s">
        <v>80</v>
      </c>
      <c r="M2111" s="69" t="s">
        <v>286</v>
      </c>
      <c r="N2111" s="98"/>
      <c r="P2111" t="s">
        <v>95</v>
      </c>
      <c r="Q2111" t="s">
        <v>133</v>
      </c>
      <c r="R2111" s="92" t="s">
        <v>69</v>
      </c>
      <c r="S2111" s="92" t="s">
        <v>115</v>
      </c>
      <c r="V2111" s="95">
        <v>43190</v>
      </c>
      <c r="W2111" s="92" t="s">
        <v>340</v>
      </c>
      <c r="X2111" s="90"/>
      <c r="Y2111" s="123"/>
      <c r="Z2111" s="30">
        <f t="shared" si="64"/>
        <v>6763.7822038320437</v>
      </c>
      <c r="AA2111" s="30">
        <f t="shared" si="65"/>
        <v>0</v>
      </c>
      <c r="AB2111" t="s">
        <v>457</v>
      </c>
    </row>
    <row r="2112" spans="1:28">
      <c r="A2112" t="s">
        <v>113</v>
      </c>
      <c r="B2112" s="91" t="s">
        <v>160</v>
      </c>
      <c r="C2112" s="104" t="s">
        <v>161</v>
      </c>
      <c r="D2112" s="105">
        <v>21600</v>
      </c>
      <c r="F2112" s="91">
        <v>16</v>
      </c>
      <c r="G2112" s="96">
        <v>5</v>
      </c>
      <c r="H2112" s="94">
        <v>0</v>
      </c>
      <c r="I2112" s="91">
        <v>0</v>
      </c>
      <c r="J2112" s="41"/>
      <c r="K2112" s="41">
        <v>43190</v>
      </c>
      <c r="L2112" s="69" t="s">
        <v>80</v>
      </c>
      <c r="M2112" s="69" t="s">
        <v>109</v>
      </c>
      <c r="N2112" s="95">
        <v>43171</v>
      </c>
      <c r="P2112" t="s">
        <v>95</v>
      </c>
      <c r="Q2112" t="s">
        <v>133</v>
      </c>
      <c r="R2112" s="92" t="s">
        <v>69</v>
      </c>
      <c r="S2112" s="92" t="s">
        <v>115</v>
      </c>
      <c r="V2112" s="95">
        <v>43190</v>
      </c>
      <c r="W2112" s="104" t="s">
        <v>341</v>
      </c>
      <c r="X2112" s="90" t="s">
        <v>196</v>
      </c>
      <c r="Y2112" s="123"/>
      <c r="Z2112" s="30">
        <f t="shared" si="64"/>
        <v>7619.1757811093694</v>
      </c>
      <c r="AA2112" s="30">
        <f t="shared" si="65"/>
        <v>2380.9924315966778</v>
      </c>
      <c r="AB2112" t="s">
        <v>456</v>
      </c>
    </row>
    <row r="2113" spans="1:28">
      <c r="A2113" t="s">
        <v>113</v>
      </c>
      <c r="B2113" s="91" t="s">
        <v>160</v>
      </c>
      <c r="C2113" s="104" t="s">
        <v>161</v>
      </c>
      <c r="D2113" s="105">
        <v>21600</v>
      </c>
      <c r="F2113" s="91">
        <v>16</v>
      </c>
      <c r="G2113" s="96">
        <v>5</v>
      </c>
      <c r="H2113" s="94">
        <v>0</v>
      </c>
      <c r="I2113" s="91">
        <v>0</v>
      </c>
      <c r="J2113" s="41"/>
      <c r="K2113" s="41">
        <v>43190</v>
      </c>
      <c r="L2113" s="69" t="s">
        <v>80</v>
      </c>
      <c r="M2113" s="69" t="s">
        <v>109</v>
      </c>
      <c r="N2113" s="95">
        <v>43171</v>
      </c>
      <c r="P2113" t="s">
        <v>95</v>
      </c>
      <c r="Q2113" t="s">
        <v>133</v>
      </c>
      <c r="R2113" s="92" t="s">
        <v>69</v>
      </c>
      <c r="S2113" s="92" t="s">
        <v>115</v>
      </c>
      <c r="V2113" s="95">
        <v>43190</v>
      </c>
      <c r="W2113" s="104" t="s">
        <v>341</v>
      </c>
      <c r="X2113" s="90" t="s">
        <v>196</v>
      </c>
      <c r="Y2113" s="123"/>
      <c r="Z2113" s="30">
        <f t="shared" si="64"/>
        <v>7619.1757811093694</v>
      </c>
      <c r="AA2113" s="30">
        <f t="shared" si="65"/>
        <v>2380.9924315966778</v>
      </c>
      <c r="AB2113" t="s">
        <v>456</v>
      </c>
    </row>
    <row r="2114" spans="1:28">
      <c r="A2114" t="s">
        <v>113</v>
      </c>
      <c r="B2114" s="91" t="s">
        <v>160</v>
      </c>
      <c r="C2114" s="104" t="s">
        <v>161</v>
      </c>
      <c r="D2114" s="105">
        <v>21600</v>
      </c>
      <c r="F2114" s="91">
        <v>16</v>
      </c>
      <c r="G2114" s="96">
        <v>5</v>
      </c>
      <c r="H2114" s="94">
        <v>0</v>
      </c>
      <c r="I2114" s="91">
        <v>0</v>
      </c>
      <c r="J2114" s="41"/>
      <c r="K2114" s="41">
        <v>43190</v>
      </c>
      <c r="L2114" s="69" t="s">
        <v>80</v>
      </c>
      <c r="M2114" s="69" t="s">
        <v>109</v>
      </c>
      <c r="N2114" s="95">
        <v>43171</v>
      </c>
      <c r="P2114" t="s">
        <v>95</v>
      </c>
      <c r="Q2114" t="s">
        <v>133</v>
      </c>
      <c r="R2114" s="92" t="s">
        <v>69</v>
      </c>
      <c r="S2114" s="92" t="s">
        <v>115</v>
      </c>
      <c r="V2114" s="95">
        <v>43190</v>
      </c>
      <c r="W2114" s="104" t="s">
        <v>341</v>
      </c>
      <c r="X2114" s="90" t="s">
        <v>196</v>
      </c>
      <c r="Y2114" s="123"/>
      <c r="Z2114" s="30">
        <f t="shared" si="64"/>
        <v>7619.1757811093694</v>
      </c>
      <c r="AA2114" s="30">
        <f t="shared" si="65"/>
        <v>2380.9924315966778</v>
      </c>
      <c r="AB2114" t="s">
        <v>456</v>
      </c>
    </row>
    <row r="2115" spans="1:28">
      <c r="A2115" t="s">
        <v>113</v>
      </c>
      <c r="B2115" s="91" t="s">
        <v>160</v>
      </c>
      <c r="C2115" s="104" t="s">
        <v>161</v>
      </c>
      <c r="D2115" s="105">
        <v>21600</v>
      </c>
      <c r="F2115" s="91">
        <v>16</v>
      </c>
      <c r="G2115" s="96">
        <v>5</v>
      </c>
      <c r="H2115" s="94">
        <v>0</v>
      </c>
      <c r="I2115" s="91">
        <v>0</v>
      </c>
      <c r="J2115" s="41"/>
      <c r="K2115" s="41">
        <v>43190</v>
      </c>
      <c r="L2115" s="69" t="s">
        <v>80</v>
      </c>
      <c r="M2115" s="69" t="s">
        <v>109</v>
      </c>
      <c r="N2115" s="95">
        <v>43171</v>
      </c>
      <c r="P2115" t="s">
        <v>95</v>
      </c>
      <c r="Q2115" t="s">
        <v>133</v>
      </c>
      <c r="R2115" s="92" t="s">
        <v>69</v>
      </c>
      <c r="S2115" s="92" t="s">
        <v>115</v>
      </c>
      <c r="V2115" s="95">
        <v>43190</v>
      </c>
      <c r="W2115" s="104" t="s">
        <v>341</v>
      </c>
      <c r="X2115" s="90" t="s">
        <v>196</v>
      </c>
      <c r="Y2115" s="123"/>
      <c r="Z2115" s="30">
        <f t="shared" ref="Z2115:Z2178" si="66">CONVERT(D2115,"kg","lbm")*F2115/100</f>
        <v>7619.1757811093694</v>
      </c>
      <c r="AA2115" s="30">
        <f t="shared" ref="AA2115:AA2178" si="67">CONVERT(D2115,"kg","lbm")*G2115/100</f>
        <v>2380.9924315966778</v>
      </c>
      <c r="AB2115" t="s">
        <v>456</v>
      </c>
    </row>
    <row r="2116" spans="1:28">
      <c r="A2116" t="s">
        <v>113</v>
      </c>
      <c r="B2116" s="91" t="s">
        <v>160</v>
      </c>
      <c r="C2116" s="104" t="s">
        <v>161</v>
      </c>
      <c r="D2116" s="105">
        <v>21600</v>
      </c>
      <c r="F2116" s="91">
        <v>16</v>
      </c>
      <c r="G2116" s="96">
        <v>5</v>
      </c>
      <c r="H2116" s="94">
        <v>0</v>
      </c>
      <c r="I2116" s="91">
        <v>0</v>
      </c>
      <c r="J2116" s="41"/>
      <c r="K2116" s="41">
        <v>43190</v>
      </c>
      <c r="L2116" s="69" t="s">
        <v>80</v>
      </c>
      <c r="M2116" s="69" t="s">
        <v>109</v>
      </c>
      <c r="N2116" s="95">
        <v>43201</v>
      </c>
      <c r="P2116" t="s">
        <v>95</v>
      </c>
      <c r="Q2116" t="s">
        <v>133</v>
      </c>
      <c r="R2116" s="92" t="s">
        <v>69</v>
      </c>
      <c r="S2116" s="92" t="s">
        <v>115</v>
      </c>
      <c r="V2116" s="95">
        <v>43190</v>
      </c>
      <c r="W2116" s="104" t="s">
        <v>341</v>
      </c>
      <c r="X2116" s="90" t="s">
        <v>196</v>
      </c>
      <c r="Y2116" s="123"/>
      <c r="Z2116" s="30">
        <f t="shared" si="66"/>
        <v>7619.1757811093694</v>
      </c>
      <c r="AA2116" s="30">
        <f t="shared" si="67"/>
        <v>2380.9924315966778</v>
      </c>
      <c r="AB2116" t="s">
        <v>456</v>
      </c>
    </row>
    <row r="2117" spans="1:28">
      <c r="A2117" t="s">
        <v>113</v>
      </c>
      <c r="B2117" s="91" t="s">
        <v>160</v>
      </c>
      <c r="C2117" s="104" t="s">
        <v>161</v>
      </c>
      <c r="D2117" s="105">
        <v>21600</v>
      </c>
      <c r="F2117" s="91">
        <v>16</v>
      </c>
      <c r="G2117" s="96">
        <v>5</v>
      </c>
      <c r="H2117" s="94">
        <v>0</v>
      </c>
      <c r="I2117" s="91">
        <v>0</v>
      </c>
      <c r="J2117" s="41"/>
      <c r="K2117" s="41">
        <v>43190</v>
      </c>
      <c r="L2117" s="69" t="s">
        <v>80</v>
      </c>
      <c r="M2117" s="69" t="s">
        <v>109</v>
      </c>
      <c r="N2117" s="95">
        <v>43201</v>
      </c>
      <c r="P2117" t="s">
        <v>95</v>
      </c>
      <c r="Q2117" t="s">
        <v>133</v>
      </c>
      <c r="R2117" s="92" t="s">
        <v>69</v>
      </c>
      <c r="S2117" s="92" t="s">
        <v>115</v>
      </c>
      <c r="V2117" s="95">
        <v>43190</v>
      </c>
      <c r="W2117" s="104" t="s">
        <v>341</v>
      </c>
      <c r="X2117" s="90" t="s">
        <v>196</v>
      </c>
      <c r="Y2117" s="123"/>
      <c r="Z2117" s="30">
        <f t="shared" si="66"/>
        <v>7619.1757811093694</v>
      </c>
      <c r="AA2117" s="30">
        <f t="shared" si="67"/>
        <v>2380.9924315966778</v>
      </c>
      <c r="AB2117" t="s">
        <v>456</v>
      </c>
    </row>
    <row r="2118" spans="1:28">
      <c r="A2118" t="s">
        <v>113</v>
      </c>
      <c r="B2118" s="91" t="s">
        <v>160</v>
      </c>
      <c r="C2118" s="104" t="s">
        <v>161</v>
      </c>
      <c r="D2118" s="105">
        <v>21600</v>
      </c>
      <c r="F2118" s="91">
        <v>16</v>
      </c>
      <c r="G2118" s="96">
        <v>5</v>
      </c>
      <c r="H2118" s="94">
        <v>0</v>
      </c>
      <c r="I2118" s="91">
        <v>0</v>
      </c>
      <c r="J2118" s="41"/>
      <c r="K2118" s="41">
        <v>43190</v>
      </c>
      <c r="L2118" s="69" t="s">
        <v>80</v>
      </c>
      <c r="M2118" s="69" t="s">
        <v>109</v>
      </c>
      <c r="N2118" s="95">
        <v>43201</v>
      </c>
      <c r="P2118" t="s">
        <v>95</v>
      </c>
      <c r="Q2118" t="s">
        <v>133</v>
      </c>
      <c r="R2118" s="92" t="s">
        <v>69</v>
      </c>
      <c r="S2118" s="92" t="s">
        <v>115</v>
      </c>
      <c r="V2118" s="95">
        <v>43190</v>
      </c>
      <c r="W2118" s="104" t="s">
        <v>341</v>
      </c>
      <c r="X2118" s="90" t="s">
        <v>196</v>
      </c>
      <c r="Y2118" s="123"/>
      <c r="Z2118" s="30">
        <f t="shared" si="66"/>
        <v>7619.1757811093694</v>
      </c>
      <c r="AA2118" s="30">
        <f t="shared" si="67"/>
        <v>2380.9924315966778</v>
      </c>
      <c r="AB2118" t="s">
        <v>456</v>
      </c>
    </row>
    <row r="2119" spans="1:28">
      <c r="A2119" t="s">
        <v>113</v>
      </c>
      <c r="B2119" s="91" t="s">
        <v>160</v>
      </c>
      <c r="C2119" s="104" t="s">
        <v>161</v>
      </c>
      <c r="D2119" s="105">
        <v>21600</v>
      </c>
      <c r="F2119" s="91">
        <v>16</v>
      </c>
      <c r="G2119" s="96">
        <v>5</v>
      </c>
      <c r="H2119" s="94">
        <v>0</v>
      </c>
      <c r="I2119" s="91">
        <v>0</v>
      </c>
      <c r="J2119" s="41"/>
      <c r="K2119" s="41">
        <v>43190</v>
      </c>
      <c r="L2119" s="69" t="s">
        <v>80</v>
      </c>
      <c r="M2119" s="69" t="s">
        <v>109</v>
      </c>
      <c r="N2119" s="95">
        <v>43201</v>
      </c>
      <c r="P2119" t="s">
        <v>95</v>
      </c>
      <c r="Q2119" t="s">
        <v>133</v>
      </c>
      <c r="R2119" s="92" t="s">
        <v>69</v>
      </c>
      <c r="S2119" s="92" t="s">
        <v>115</v>
      </c>
      <c r="V2119" s="95">
        <v>43190</v>
      </c>
      <c r="W2119" s="104" t="s">
        <v>341</v>
      </c>
      <c r="X2119" s="90" t="s">
        <v>196</v>
      </c>
      <c r="Y2119" s="123"/>
      <c r="Z2119" s="30">
        <f t="shared" si="66"/>
        <v>7619.1757811093694</v>
      </c>
      <c r="AA2119" s="30">
        <f t="shared" si="67"/>
        <v>2380.9924315966778</v>
      </c>
      <c r="AB2119" t="s">
        <v>456</v>
      </c>
    </row>
    <row r="2120" spans="1:28">
      <c r="A2120" t="s">
        <v>113</v>
      </c>
      <c r="B2120" s="91" t="s">
        <v>160</v>
      </c>
      <c r="C2120" s="104" t="s">
        <v>161</v>
      </c>
      <c r="D2120" s="105">
        <v>21600</v>
      </c>
      <c r="F2120" s="91">
        <v>16</v>
      </c>
      <c r="G2120" s="96">
        <v>5</v>
      </c>
      <c r="H2120" s="94">
        <v>0</v>
      </c>
      <c r="I2120" s="91">
        <v>0</v>
      </c>
      <c r="J2120" s="41"/>
      <c r="K2120" s="41">
        <v>43190</v>
      </c>
      <c r="L2120" s="69" t="s">
        <v>80</v>
      </c>
      <c r="M2120" s="69" t="s">
        <v>109</v>
      </c>
      <c r="N2120" s="95">
        <v>43201</v>
      </c>
      <c r="P2120" t="s">
        <v>95</v>
      </c>
      <c r="Q2120" t="s">
        <v>133</v>
      </c>
      <c r="R2120" s="92" t="s">
        <v>69</v>
      </c>
      <c r="S2120" s="92" t="s">
        <v>115</v>
      </c>
      <c r="V2120" s="95">
        <v>43190</v>
      </c>
      <c r="W2120" s="104" t="s">
        <v>341</v>
      </c>
      <c r="X2120" s="90" t="s">
        <v>196</v>
      </c>
      <c r="Y2120" s="123"/>
      <c r="Z2120" s="30">
        <f t="shared" si="66"/>
        <v>7619.1757811093694</v>
      </c>
      <c r="AA2120" s="30">
        <f t="shared" si="67"/>
        <v>2380.9924315966778</v>
      </c>
      <c r="AB2120" t="s">
        <v>456</v>
      </c>
    </row>
    <row r="2121" spans="1:28">
      <c r="A2121" t="s">
        <v>113</v>
      </c>
      <c r="B2121" s="91" t="s">
        <v>160</v>
      </c>
      <c r="C2121" s="104" t="s">
        <v>161</v>
      </c>
      <c r="D2121" s="105">
        <v>21600</v>
      </c>
      <c r="F2121" s="91">
        <v>16</v>
      </c>
      <c r="G2121" s="96">
        <v>5</v>
      </c>
      <c r="H2121" s="94">
        <v>0</v>
      </c>
      <c r="I2121" s="91">
        <v>0</v>
      </c>
      <c r="J2121" s="41"/>
      <c r="K2121" s="41">
        <v>43190</v>
      </c>
      <c r="L2121" s="69" t="s">
        <v>80</v>
      </c>
      <c r="M2121" s="69" t="s">
        <v>109</v>
      </c>
      <c r="N2121" s="95">
        <v>43201</v>
      </c>
      <c r="P2121" t="s">
        <v>95</v>
      </c>
      <c r="Q2121" t="s">
        <v>133</v>
      </c>
      <c r="R2121" s="92" t="s">
        <v>69</v>
      </c>
      <c r="S2121" s="92" t="s">
        <v>115</v>
      </c>
      <c r="V2121" s="95">
        <v>43190</v>
      </c>
      <c r="W2121" s="104" t="s">
        <v>341</v>
      </c>
      <c r="X2121" s="90" t="s">
        <v>196</v>
      </c>
      <c r="Y2121" s="123"/>
      <c r="Z2121" s="30">
        <f t="shared" si="66"/>
        <v>7619.1757811093694</v>
      </c>
      <c r="AA2121" s="30">
        <f t="shared" si="67"/>
        <v>2380.9924315966778</v>
      </c>
      <c r="AB2121" t="s">
        <v>456</v>
      </c>
    </row>
    <row r="2122" spans="1:28">
      <c r="A2122" t="s">
        <v>113</v>
      </c>
      <c r="B2122" s="91" t="s">
        <v>160</v>
      </c>
      <c r="C2122" s="104" t="s">
        <v>161</v>
      </c>
      <c r="D2122" s="105">
        <v>21600</v>
      </c>
      <c r="F2122" s="91">
        <v>16</v>
      </c>
      <c r="G2122" s="96">
        <v>5</v>
      </c>
      <c r="H2122" s="94">
        <v>0</v>
      </c>
      <c r="I2122" s="91">
        <v>0</v>
      </c>
      <c r="J2122" s="41"/>
      <c r="K2122" s="41">
        <v>43190</v>
      </c>
      <c r="L2122" s="69" t="s">
        <v>80</v>
      </c>
      <c r="M2122" s="69" t="s">
        <v>109</v>
      </c>
      <c r="N2122" s="95">
        <v>43201</v>
      </c>
      <c r="P2122" t="s">
        <v>95</v>
      </c>
      <c r="Q2122" t="s">
        <v>133</v>
      </c>
      <c r="R2122" s="92" t="s">
        <v>69</v>
      </c>
      <c r="S2122" s="92" t="s">
        <v>115</v>
      </c>
      <c r="V2122" s="95">
        <v>43190</v>
      </c>
      <c r="W2122" s="104" t="s">
        <v>341</v>
      </c>
      <c r="X2122" s="90" t="s">
        <v>196</v>
      </c>
      <c r="Y2122" s="123"/>
      <c r="Z2122" s="30">
        <f t="shared" si="66"/>
        <v>7619.1757811093694</v>
      </c>
      <c r="AA2122" s="30">
        <f t="shared" si="67"/>
        <v>2380.9924315966778</v>
      </c>
      <c r="AB2122" t="s">
        <v>456</v>
      </c>
    </row>
    <row r="2123" spans="1:28">
      <c r="A2123" t="s">
        <v>113</v>
      </c>
      <c r="B2123" s="91" t="s">
        <v>160</v>
      </c>
      <c r="C2123" s="104" t="s">
        <v>161</v>
      </c>
      <c r="D2123" s="105">
        <v>21600</v>
      </c>
      <c r="F2123" s="91">
        <v>16</v>
      </c>
      <c r="G2123" s="96">
        <v>5</v>
      </c>
      <c r="H2123" s="94">
        <v>0</v>
      </c>
      <c r="I2123" s="91">
        <v>0</v>
      </c>
      <c r="J2123" s="41"/>
      <c r="K2123" s="41">
        <v>43190</v>
      </c>
      <c r="L2123" s="69" t="s">
        <v>80</v>
      </c>
      <c r="M2123" s="69" t="s">
        <v>109</v>
      </c>
      <c r="N2123" s="95">
        <v>43201</v>
      </c>
      <c r="P2123" t="s">
        <v>95</v>
      </c>
      <c r="Q2123" t="s">
        <v>133</v>
      </c>
      <c r="R2123" s="92" t="s">
        <v>69</v>
      </c>
      <c r="S2123" s="92" t="s">
        <v>115</v>
      </c>
      <c r="V2123" s="95">
        <v>43190</v>
      </c>
      <c r="W2123" s="104" t="s">
        <v>341</v>
      </c>
      <c r="X2123" s="90" t="s">
        <v>196</v>
      </c>
      <c r="Y2123" s="123"/>
      <c r="Z2123" s="30">
        <f t="shared" si="66"/>
        <v>7619.1757811093694</v>
      </c>
      <c r="AA2123" s="30">
        <f t="shared" si="67"/>
        <v>2380.9924315966778</v>
      </c>
      <c r="AB2123" t="s">
        <v>456</v>
      </c>
    </row>
    <row r="2124" spans="1:28">
      <c r="A2124" t="s">
        <v>128</v>
      </c>
      <c r="B2124" s="91">
        <v>1323345</v>
      </c>
      <c r="C2124" s="92">
        <v>4615458209</v>
      </c>
      <c r="D2124" s="93">
        <v>19175</v>
      </c>
      <c r="F2124" s="91">
        <v>154.4</v>
      </c>
      <c r="G2124" s="91">
        <v>0</v>
      </c>
      <c r="H2124" s="91">
        <v>0</v>
      </c>
      <c r="I2124" s="91">
        <v>0</v>
      </c>
      <c r="J2124" s="41">
        <v>43129</v>
      </c>
      <c r="K2124" s="41">
        <v>43190</v>
      </c>
      <c r="L2124" s="69" t="s">
        <v>108</v>
      </c>
      <c r="M2124" s="69" t="s">
        <v>109</v>
      </c>
      <c r="N2124" s="95">
        <v>43184</v>
      </c>
      <c r="P2124" t="s">
        <v>95</v>
      </c>
      <c r="Q2124" t="s">
        <v>129</v>
      </c>
      <c r="R2124" s="92" t="s">
        <v>69</v>
      </c>
      <c r="S2124" s="92" t="s">
        <v>130</v>
      </c>
      <c r="V2124" s="95">
        <v>43190</v>
      </c>
      <c r="W2124" s="92">
        <v>425580002</v>
      </c>
      <c r="X2124" s="90"/>
      <c r="Y2124" s="123"/>
      <c r="Z2124" s="30">
        <f t="shared" si="66"/>
        <v>65270.498266979223</v>
      </c>
      <c r="AA2124" s="30">
        <f t="shared" si="67"/>
        <v>0</v>
      </c>
      <c r="AB2124" t="s">
        <v>456</v>
      </c>
    </row>
    <row r="2125" spans="1:28">
      <c r="A2125" t="s">
        <v>128</v>
      </c>
      <c r="B2125" s="91">
        <v>1323341</v>
      </c>
      <c r="C2125" s="92">
        <v>4615458209</v>
      </c>
      <c r="D2125" s="93">
        <v>19175</v>
      </c>
      <c r="F2125" s="91">
        <v>154.4</v>
      </c>
      <c r="G2125" s="91">
        <v>0</v>
      </c>
      <c r="H2125" s="91">
        <v>0</v>
      </c>
      <c r="I2125" s="91">
        <v>0</v>
      </c>
      <c r="J2125" s="41">
        <v>43129</v>
      </c>
      <c r="K2125" s="41">
        <v>43190</v>
      </c>
      <c r="L2125" s="69" t="s">
        <v>108</v>
      </c>
      <c r="M2125" s="69" t="s">
        <v>109</v>
      </c>
      <c r="N2125" s="95">
        <v>43192</v>
      </c>
      <c r="P2125" t="s">
        <v>95</v>
      </c>
      <c r="Q2125" t="s">
        <v>129</v>
      </c>
      <c r="R2125" s="92" t="s">
        <v>69</v>
      </c>
      <c r="S2125" s="92" t="s">
        <v>130</v>
      </c>
      <c r="V2125" s="95">
        <v>43190</v>
      </c>
      <c r="W2125" s="92">
        <v>425580002</v>
      </c>
      <c r="X2125" s="90"/>
      <c r="Y2125" s="123"/>
      <c r="Z2125" s="30">
        <f t="shared" si="66"/>
        <v>65270.498266979223</v>
      </c>
      <c r="AA2125" s="30">
        <f t="shared" si="67"/>
        <v>0</v>
      </c>
      <c r="AB2125" t="s">
        <v>456</v>
      </c>
    </row>
    <row r="2126" spans="1:28">
      <c r="A2126" t="s">
        <v>128</v>
      </c>
      <c r="B2126" s="91">
        <v>1323344</v>
      </c>
      <c r="C2126" s="92">
        <v>4615458209</v>
      </c>
      <c r="D2126" s="93">
        <v>19175</v>
      </c>
      <c r="F2126" s="91">
        <v>154.4</v>
      </c>
      <c r="G2126" s="91">
        <v>0</v>
      </c>
      <c r="H2126" s="91">
        <v>0</v>
      </c>
      <c r="I2126" s="91">
        <v>0</v>
      </c>
      <c r="J2126" s="41">
        <v>43129</v>
      </c>
      <c r="K2126" s="41">
        <v>43190</v>
      </c>
      <c r="L2126" s="69" t="s">
        <v>108</v>
      </c>
      <c r="M2126" s="69" t="s">
        <v>109</v>
      </c>
      <c r="N2126" s="95">
        <v>43195</v>
      </c>
      <c r="P2126" t="s">
        <v>95</v>
      </c>
      <c r="Q2126" t="s">
        <v>129</v>
      </c>
      <c r="R2126" s="92" t="s">
        <v>69</v>
      </c>
      <c r="S2126" s="92" t="s">
        <v>130</v>
      </c>
      <c r="V2126" s="95">
        <v>43190</v>
      </c>
      <c r="W2126" s="92">
        <v>425580002</v>
      </c>
      <c r="X2126" s="90"/>
      <c r="Y2126" s="123"/>
      <c r="Z2126" s="30">
        <f t="shared" si="66"/>
        <v>65270.498266979223</v>
      </c>
      <c r="AA2126" s="30">
        <f t="shared" si="67"/>
        <v>0</v>
      </c>
      <c r="AB2126" t="s">
        <v>456</v>
      </c>
    </row>
    <row r="2127" spans="1:28">
      <c r="A2127" t="s">
        <v>128</v>
      </c>
      <c r="B2127" s="91">
        <v>1323342</v>
      </c>
      <c r="C2127" s="92">
        <v>4615458209</v>
      </c>
      <c r="D2127" s="93">
        <v>19175</v>
      </c>
      <c r="F2127" s="91">
        <v>154.4</v>
      </c>
      <c r="G2127" s="91">
        <v>0</v>
      </c>
      <c r="H2127" s="91">
        <v>0</v>
      </c>
      <c r="I2127" s="91">
        <v>0</v>
      </c>
      <c r="J2127" s="41">
        <v>43129</v>
      </c>
      <c r="K2127" s="41">
        <v>43190</v>
      </c>
      <c r="L2127" s="69" t="s">
        <v>108</v>
      </c>
      <c r="M2127" s="69" t="s">
        <v>109</v>
      </c>
      <c r="N2127" s="95">
        <v>43198</v>
      </c>
      <c r="P2127" t="s">
        <v>95</v>
      </c>
      <c r="Q2127" t="s">
        <v>129</v>
      </c>
      <c r="R2127" s="92" t="s">
        <v>69</v>
      </c>
      <c r="S2127" s="92" t="s">
        <v>130</v>
      </c>
      <c r="V2127" s="95">
        <v>43190</v>
      </c>
      <c r="W2127" s="92">
        <v>425580002</v>
      </c>
      <c r="X2127" s="90"/>
      <c r="Y2127" s="123"/>
      <c r="Z2127" s="30">
        <f t="shared" si="66"/>
        <v>65270.498266979223</v>
      </c>
      <c r="AA2127" s="30">
        <f t="shared" si="67"/>
        <v>0</v>
      </c>
      <c r="AB2127" t="s">
        <v>456</v>
      </c>
    </row>
    <row r="2128" spans="1:28">
      <c r="A2128" t="s">
        <v>128</v>
      </c>
      <c r="B2128" s="91">
        <v>1323343</v>
      </c>
      <c r="C2128" s="92">
        <v>4615458209</v>
      </c>
      <c r="D2128" s="93">
        <v>19175</v>
      </c>
      <c r="F2128" s="91">
        <v>154.4</v>
      </c>
      <c r="G2128" s="91">
        <v>0</v>
      </c>
      <c r="H2128" s="91">
        <v>0</v>
      </c>
      <c r="I2128" s="91">
        <v>0</v>
      </c>
      <c r="J2128" s="41">
        <v>43129</v>
      </c>
      <c r="K2128" s="41">
        <v>43190</v>
      </c>
      <c r="L2128" s="69" t="s">
        <v>108</v>
      </c>
      <c r="M2128" s="69" t="s">
        <v>109</v>
      </c>
      <c r="N2128" s="95">
        <v>43201</v>
      </c>
      <c r="P2128" t="s">
        <v>95</v>
      </c>
      <c r="Q2128" t="s">
        <v>129</v>
      </c>
      <c r="R2128" s="92" t="s">
        <v>69</v>
      </c>
      <c r="S2128" s="92" t="s">
        <v>130</v>
      </c>
      <c r="V2128" s="95">
        <v>43190</v>
      </c>
      <c r="W2128" s="92">
        <v>425580002</v>
      </c>
      <c r="X2128" s="90"/>
      <c r="Y2128" s="123"/>
      <c r="Z2128" s="30">
        <f t="shared" si="66"/>
        <v>65270.498266979223</v>
      </c>
      <c r="AA2128" s="30">
        <f t="shared" si="67"/>
        <v>0</v>
      </c>
      <c r="AB2128" t="s">
        <v>456</v>
      </c>
    </row>
    <row r="2129" spans="1:28">
      <c r="A2129" t="s">
        <v>131</v>
      </c>
      <c r="B2129" s="91">
        <v>1328392</v>
      </c>
      <c r="C2129" s="92">
        <v>4615483187</v>
      </c>
      <c r="D2129" s="93">
        <v>19175</v>
      </c>
      <c r="F2129" s="91">
        <v>154.33000000000001</v>
      </c>
      <c r="G2129" s="91">
        <v>0</v>
      </c>
      <c r="H2129" s="91">
        <v>0</v>
      </c>
      <c r="I2129" s="91">
        <v>0</v>
      </c>
      <c r="J2129" s="41">
        <v>43136</v>
      </c>
      <c r="K2129" s="41">
        <v>43190</v>
      </c>
      <c r="L2129" s="69" t="s">
        <v>119</v>
      </c>
      <c r="M2129" s="69" t="s">
        <v>109</v>
      </c>
      <c r="N2129" s="95">
        <v>43212</v>
      </c>
      <c r="P2129" t="s">
        <v>95</v>
      </c>
      <c r="Q2129" t="s">
        <v>133</v>
      </c>
      <c r="R2129" s="92" t="s">
        <v>69</v>
      </c>
      <c r="S2129" s="92" t="s">
        <v>134</v>
      </c>
      <c r="V2129" s="95">
        <v>43190</v>
      </c>
      <c r="W2129" s="92" t="s">
        <v>342</v>
      </c>
      <c r="X2129" s="90"/>
      <c r="Y2129" s="123"/>
      <c r="Z2129" s="30">
        <f t="shared" si="66"/>
        <v>65240.906719837469</v>
      </c>
      <c r="AA2129" s="30">
        <f t="shared" si="67"/>
        <v>0</v>
      </c>
      <c r="AB2129" t="s">
        <v>456</v>
      </c>
    </row>
    <row r="2130" spans="1:28">
      <c r="A2130" t="s">
        <v>131</v>
      </c>
      <c r="B2130" s="91">
        <v>1328391</v>
      </c>
      <c r="C2130" s="92">
        <v>4615483187</v>
      </c>
      <c r="D2130" s="93">
        <v>19175</v>
      </c>
      <c r="F2130" s="91">
        <v>154.33000000000001</v>
      </c>
      <c r="G2130" s="91">
        <v>0</v>
      </c>
      <c r="H2130" s="91">
        <v>0</v>
      </c>
      <c r="I2130" s="91">
        <v>0</v>
      </c>
      <c r="J2130" s="41">
        <v>43136</v>
      </c>
      <c r="K2130" s="41">
        <v>43190</v>
      </c>
      <c r="L2130" s="69" t="s">
        <v>119</v>
      </c>
      <c r="M2130" s="69" t="s">
        <v>109</v>
      </c>
      <c r="N2130" s="95">
        <v>43199</v>
      </c>
      <c r="P2130" t="s">
        <v>95</v>
      </c>
      <c r="Q2130" t="s">
        <v>133</v>
      </c>
      <c r="R2130" s="92" t="s">
        <v>69</v>
      </c>
      <c r="S2130" s="92" t="s">
        <v>134</v>
      </c>
      <c r="V2130" s="95">
        <v>43190</v>
      </c>
      <c r="W2130" s="92" t="s">
        <v>342</v>
      </c>
      <c r="X2130" s="90"/>
      <c r="Y2130" s="123"/>
      <c r="Z2130" s="30">
        <f t="shared" si="66"/>
        <v>65240.906719837469</v>
      </c>
      <c r="AA2130" s="30">
        <f t="shared" si="67"/>
        <v>0</v>
      </c>
      <c r="AB2130" t="s">
        <v>456</v>
      </c>
    </row>
    <row r="2131" spans="1:28">
      <c r="A2131" t="s">
        <v>131</v>
      </c>
      <c r="B2131" s="91">
        <v>1328389</v>
      </c>
      <c r="C2131" s="92">
        <v>4615483187</v>
      </c>
      <c r="D2131" s="93">
        <v>19175</v>
      </c>
      <c r="F2131" s="91">
        <v>154.33000000000001</v>
      </c>
      <c r="G2131" s="91">
        <v>0</v>
      </c>
      <c r="H2131" s="91">
        <v>0</v>
      </c>
      <c r="I2131" s="91">
        <v>0</v>
      </c>
      <c r="J2131" s="41">
        <v>43136</v>
      </c>
      <c r="K2131" s="41">
        <v>43190</v>
      </c>
      <c r="L2131" s="69" t="s">
        <v>119</v>
      </c>
      <c r="M2131" s="69" t="s">
        <v>109</v>
      </c>
      <c r="N2131" s="95">
        <v>43209</v>
      </c>
      <c r="P2131" t="s">
        <v>95</v>
      </c>
      <c r="Q2131" t="s">
        <v>133</v>
      </c>
      <c r="R2131" s="92" t="s">
        <v>69</v>
      </c>
      <c r="S2131" s="92" t="s">
        <v>134</v>
      </c>
      <c r="V2131" s="95">
        <v>43190</v>
      </c>
      <c r="W2131" s="92" t="s">
        <v>342</v>
      </c>
      <c r="X2131" s="90"/>
      <c r="Y2131" s="123"/>
      <c r="Z2131" s="30">
        <f t="shared" si="66"/>
        <v>65240.906719837469</v>
      </c>
      <c r="AA2131" s="30">
        <f t="shared" si="67"/>
        <v>0</v>
      </c>
      <c r="AB2131" t="s">
        <v>456</v>
      </c>
    </row>
    <row r="2132" spans="1:28">
      <c r="A2132" t="s">
        <v>131</v>
      </c>
      <c r="B2132" s="91">
        <v>1328390</v>
      </c>
      <c r="C2132" s="92">
        <v>4615483187</v>
      </c>
      <c r="D2132" s="93">
        <v>19175</v>
      </c>
      <c r="F2132" s="91">
        <v>154.33000000000001</v>
      </c>
      <c r="G2132" s="91">
        <v>0</v>
      </c>
      <c r="H2132" s="91">
        <v>0</v>
      </c>
      <c r="I2132" s="91">
        <v>0</v>
      </c>
      <c r="J2132" s="41">
        <v>43136</v>
      </c>
      <c r="K2132" s="41">
        <v>43190</v>
      </c>
      <c r="L2132" s="69" t="s">
        <v>119</v>
      </c>
      <c r="M2132" s="69" t="s">
        <v>299</v>
      </c>
      <c r="N2132" s="95"/>
      <c r="P2132" t="s">
        <v>95</v>
      </c>
      <c r="Q2132" t="s">
        <v>133</v>
      </c>
      <c r="R2132" s="92" t="s">
        <v>69</v>
      </c>
      <c r="S2132" s="92" t="s">
        <v>134</v>
      </c>
      <c r="V2132" s="95">
        <v>43190</v>
      </c>
      <c r="W2132" s="92" t="s">
        <v>342</v>
      </c>
      <c r="X2132" s="90"/>
      <c r="Y2132" s="123"/>
      <c r="Z2132" s="30">
        <f t="shared" si="66"/>
        <v>65240.906719837469</v>
      </c>
      <c r="AA2132" s="30">
        <f t="shared" si="67"/>
        <v>0</v>
      </c>
      <c r="AB2132" t="s">
        <v>456</v>
      </c>
    </row>
    <row r="2133" spans="1:28">
      <c r="A2133" t="s">
        <v>118</v>
      </c>
      <c r="B2133" s="91"/>
      <c r="C2133" s="92">
        <v>4615503668</v>
      </c>
      <c r="D2133" s="93">
        <v>19175</v>
      </c>
      <c r="F2133" s="91">
        <v>10</v>
      </c>
      <c r="G2133" s="91">
        <v>0</v>
      </c>
      <c r="H2133" s="94">
        <v>0</v>
      </c>
      <c r="I2133" s="91">
        <v>0</v>
      </c>
      <c r="J2133" s="41"/>
      <c r="K2133" s="41">
        <v>43220</v>
      </c>
      <c r="L2133" s="69" t="s">
        <v>80</v>
      </c>
      <c r="M2133" s="69" t="s">
        <v>286</v>
      </c>
      <c r="N2133" s="95"/>
      <c r="P2133" t="s">
        <v>95</v>
      </c>
      <c r="Q2133" t="s">
        <v>120</v>
      </c>
      <c r="R2133" s="92" t="s">
        <v>69</v>
      </c>
      <c r="S2133" s="92" t="s">
        <v>121</v>
      </c>
      <c r="V2133" s="95">
        <v>43220</v>
      </c>
      <c r="W2133" s="92">
        <v>2030531</v>
      </c>
      <c r="X2133" s="90"/>
      <c r="Y2133" s="123"/>
      <c r="Z2133" s="30">
        <f t="shared" si="66"/>
        <v>4227.3638773950279</v>
      </c>
      <c r="AA2133" s="30">
        <f t="shared" si="67"/>
        <v>0</v>
      </c>
      <c r="AB2133" t="s">
        <v>457</v>
      </c>
    </row>
    <row r="2134" spans="1:28">
      <c r="A2134" t="s">
        <v>118</v>
      </c>
      <c r="B2134" s="91"/>
      <c r="C2134" s="92">
        <v>4615503668</v>
      </c>
      <c r="D2134" s="93">
        <v>19175</v>
      </c>
      <c r="F2134" s="91">
        <v>10</v>
      </c>
      <c r="G2134" s="91">
        <v>0</v>
      </c>
      <c r="H2134" s="94">
        <v>0</v>
      </c>
      <c r="I2134" s="91">
        <v>0</v>
      </c>
      <c r="J2134" s="41"/>
      <c r="K2134" s="41">
        <v>43220</v>
      </c>
      <c r="L2134" s="69" t="s">
        <v>80</v>
      </c>
      <c r="M2134" s="69" t="s">
        <v>286</v>
      </c>
      <c r="N2134" s="95"/>
      <c r="P2134" t="s">
        <v>95</v>
      </c>
      <c r="Q2134" t="s">
        <v>120</v>
      </c>
      <c r="R2134" s="92" t="s">
        <v>69</v>
      </c>
      <c r="S2134" s="92" t="s">
        <v>121</v>
      </c>
      <c r="V2134" s="95">
        <v>43220</v>
      </c>
      <c r="W2134" s="92">
        <v>2030531</v>
      </c>
      <c r="X2134" s="90"/>
      <c r="Y2134" s="123"/>
      <c r="Z2134" s="30">
        <f t="shared" si="66"/>
        <v>4227.3638773950279</v>
      </c>
      <c r="AA2134" s="30">
        <f t="shared" si="67"/>
        <v>0</v>
      </c>
      <c r="AB2134" t="s">
        <v>457</v>
      </c>
    </row>
    <row r="2135" spans="1:28">
      <c r="A2135" t="s">
        <v>118</v>
      </c>
      <c r="B2135" s="91"/>
      <c r="C2135" s="92">
        <v>4615503668</v>
      </c>
      <c r="D2135" s="93">
        <v>19175</v>
      </c>
      <c r="F2135" s="91">
        <v>10</v>
      </c>
      <c r="G2135" s="91">
        <v>0</v>
      </c>
      <c r="H2135" s="94">
        <v>0</v>
      </c>
      <c r="I2135" s="91">
        <v>0</v>
      </c>
      <c r="J2135" s="41"/>
      <c r="K2135" s="41">
        <v>43220</v>
      </c>
      <c r="L2135" s="69" t="s">
        <v>80</v>
      </c>
      <c r="M2135" s="69" t="s">
        <v>286</v>
      </c>
      <c r="N2135" s="95"/>
      <c r="P2135" t="s">
        <v>95</v>
      </c>
      <c r="Q2135" t="s">
        <v>120</v>
      </c>
      <c r="R2135" s="92" t="s">
        <v>69</v>
      </c>
      <c r="S2135" s="92" t="s">
        <v>121</v>
      </c>
      <c r="V2135" s="95">
        <v>43220</v>
      </c>
      <c r="W2135" s="92">
        <v>2030531</v>
      </c>
      <c r="X2135" s="90"/>
      <c r="Y2135" s="123"/>
      <c r="Z2135" s="30">
        <f t="shared" si="66"/>
        <v>4227.3638773950279</v>
      </c>
      <c r="AA2135" s="30">
        <f t="shared" si="67"/>
        <v>0</v>
      </c>
      <c r="AB2135" t="s">
        <v>457</v>
      </c>
    </row>
    <row r="2136" spans="1:28">
      <c r="A2136" t="s">
        <v>118</v>
      </c>
      <c r="B2136" s="91"/>
      <c r="C2136" s="92">
        <v>4615503668</v>
      </c>
      <c r="D2136" s="93">
        <v>19175</v>
      </c>
      <c r="F2136" s="91">
        <v>10</v>
      </c>
      <c r="G2136" s="91">
        <v>0</v>
      </c>
      <c r="H2136" s="94">
        <v>0</v>
      </c>
      <c r="I2136" s="91">
        <v>0</v>
      </c>
      <c r="J2136" s="41"/>
      <c r="K2136" s="41">
        <v>43220</v>
      </c>
      <c r="L2136" s="69" t="s">
        <v>80</v>
      </c>
      <c r="M2136" s="69" t="s">
        <v>286</v>
      </c>
      <c r="N2136" s="95"/>
      <c r="P2136" t="s">
        <v>95</v>
      </c>
      <c r="Q2136" t="s">
        <v>120</v>
      </c>
      <c r="R2136" s="92" t="s">
        <v>69</v>
      </c>
      <c r="S2136" s="92" t="s">
        <v>121</v>
      </c>
      <c r="V2136" s="95">
        <v>43220</v>
      </c>
      <c r="W2136" s="92">
        <v>2030531</v>
      </c>
      <c r="X2136" s="90"/>
      <c r="Y2136" s="123"/>
      <c r="Z2136" s="30">
        <f t="shared" si="66"/>
        <v>4227.3638773950279</v>
      </c>
      <c r="AA2136" s="30">
        <f t="shared" si="67"/>
        <v>0</v>
      </c>
      <c r="AB2136" t="s">
        <v>457</v>
      </c>
    </row>
    <row r="2137" spans="1:28">
      <c r="A2137" t="s">
        <v>118</v>
      </c>
      <c r="B2137" s="91"/>
      <c r="C2137" s="92">
        <v>4615503668</v>
      </c>
      <c r="D2137" s="93">
        <v>19175</v>
      </c>
      <c r="F2137" s="91">
        <v>10</v>
      </c>
      <c r="G2137" s="91">
        <v>0</v>
      </c>
      <c r="H2137" s="94">
        <v>0</v>
      </c>
      <c r="I2137" s="91">
        <v>0</v>
      </c>
      <c r="J2137" s="41"/>
      <c r="K2137" s="41">
        <v>43220</v>
      </c>
      <c r="L2137" s="69" t="s">
        <v>80</v>
      </c>
      <c r="M2137" s="69" t="s">
        <v>286</v>
      </c>
      <c r="N2137" s="95"/>
      <c r="P2137" t="s">
        <v>95</v>
      </c>
      <c r="Q2137" t="s">
        <v>120</v>
      </c>
      <c r="R2137" s="92" t="s">
        <v>69</v>
      </c>
      <c r="S2137" s="92" t="s">
        <v>121</v>
      </c>
      <c r="V2137" s="95">
        <v>43220</v>
      </c>
      <c r="W2137" s="92">
        <v>2030531</v>
      </c>
      <c r="X2137" s="90"/>
      <c r="Y2137" s="123"/>
      <c r="Z2137" s="30">
        <f t="shared" si="66"/>
        <v>4227.3638773950279</v>
      </c>
      <c r="AA2137" s="30">
        <f t="shared" si="67"/>
        <v>0</v>
      </c>
      <c r="AB2137" t="s">
        <v>457</v>
      </c>
    </row>
    <row r="2138" spans="1:28">
      <c r="A2138" t="s">
        <v>118</v>
      </c>
      <c r="B2138" s="91"/>
      <c r="C2138" s="92">
        <v>4615503668</v>
      </c>
      <c r="D2138" s="93">
        <v>19175</v>
      </c>
      <c r="F2138" s="91">
        <v>10</v>
      </c>
      <c r="G2138" s="91">
        <v>0</v>
      </c>
      <c r="H2138" s="94">
        <v>0</v>
      </c>
      <c r="I2138" s="91">
        <v>0</v>
      </c>
      <c r="J2138" s="41"/>
      <c r="K2138" s="41">
        <v>43220</v>
      </c>
      <c r="L2138" s="69" t="s">
        <v>80</v>
      </c>
      <c r="M2138" s="69" t="s">
        <v>286</v>
      </c>
      <c r="N2138" s="95"/>
      <c r="P2138" t="s">
        <v>95</v>
      </c>
      <c r="Q2138" t="s">
        <v>120</v>
      </c>
      <c r="R2138" s="92" t="s">
        <v>69</v>
      </c>
      <c r="S2138" s="92" t="s">
        <v>121</v>
      </c>
      <c r="V2138" s="95">
        <v>43220</v>
      </c>
      <c r="W2138" s="92">
        <v>2030531</v>
      </c>
      <c r="X2138" s="90"/>
      <c r="Y2138" s="123"/>
      <c r="Z2138" s="30">
        <f t="shared" si="66"/>
        <v>4227.3638773950279</v>
      </c>
      <c r="AA2138" s="30">
        <f t="shared" si="67"/>
        <v>0</v>
      </c>
      <c r="AB2138" t="s">
        <v>457</v>
      </c>
    </row>
    <row r="2139" spans="1:28">
      <c r="A2139" t="s">
        <v>118</v>
      </c>
      <c r="B2139" s="91"/>
      <c r="C2139" s="92">
        <v>4615503668</v>
      </c>
      <c r="D2139" s="93">
        <v>19175</v>
      </c>
      <c r="F2139" s="91">
        <v>10</v>
      </c>
      <c r="G2139" s="91">
        <v>0</v>
      </c>
      <c r="H2139" s="94">
        <v>0</v>
      </c>
      <c r="I2139" s="91">
        <v>0</v>
      </c>
      <c r="J2139" s="41"/>
      <c r="K2139" s="41">
        <v>43220</v>
      </c>
      <c r="L2139" s="69" t="s">
        <v>80</v>
      </c>
      <c r="M2139" s="69" t="s">
        <v>286</v>
      </c>
      <c r="N2139" s="95"/>
      <c r="P2139" t="s">
        <v>95</v>
      </c>
      <c r="Q2139" t="s">
        <v>120</v>
      </c>
      <c r="R2139" s="92" t="s">
        <v>69</v>
      </c>
      <c r="S2139" s="92" t="s">
        <v>121</v>
      </c>
      <c r="V2139" s="95">
        <v>43220</v>
      </c>
      <c r="W2139" s="92">
        <v>2030531</v>
      </c>
      <c r="X2139" s="90"/>
      <c r="Y2139" s="123"/>
      <c r="Z2139" s="30">
        <f t="shared" si="66"/>
        <v>4227.3638773950279</v>
      </c>
      <c r="AA2139" s="30">
        <f t="shared" si="67"/>
        <v>0</v>
      </c>
      <c r="AB2139" t="s">
        <v>457</v>
      </c>
    </row>
    <row r="2140" spans="1:28">
      <c r="A2140" t="s">
        <v>118</v>
      </c>
      <c r="B2140" s="91"/>
      <c r="C2140" s="92">
        <v>4615503668</v>
      </c>
      <c r="D2140" s="93">
        <v>19175</v>
      </c>
      <c r="F2140" s="91">
        <v>10</v>
      </c>
      <c r="G2140" s="91">
        <v>0</v>
      </c>
      <c r="H2140" s="94">
        <v>0</v>
      </c>
      <c r="I2140" s="91">
        <v>0</v>
      </c>
      <c r="J2140" s="41"/>
      <c r="K2140" s="41">
        <v>43220</v>
      </c>
      <c r="L2140" s="69" t="s">
        <v>80</v>
      </c>
      <c r="M2140" s="69" t="s">
        <v>286</v>
      </c>
      <c r="N2140" s="95"/>
      <c r="P2140" t="s">
        <v>95</v>
      </c>
      <c r="Q2140" t="s">
        <v>120</v>
      </c>
      <c r="R2140" s="92" t="s">
        <v>69</v>
      </c>
      <c r="S2140" s="92" t="s">
        <v>121</v>
      </c>
      <c r="V2140" s="95">
        <v>43220</v>
      </c>
      <c r="W2140" s="92">
        <v>2030531</v>
      </c>
      <c r="X2140" s="90"/>
      <c r="Y2140" s="123"/>
      <c r="Z2140" s="30">
        <f t="shared" si="66"/>
        <v>4227.3638773950279</v>
      </c>
      <c r="AA2140" s="30">
        <f t="shared" si="67"/>
        <v>0</v>
      </c>
      <c r="AB2140" t="s">
        <v>457</v>
      </c>
    </row>
    <row r="2141" spans="1:28">
      <c r="A2141" t="s">
        <v>118</v>
      </c>
      <c r="B2141" s="91"/>
      <c r="C2141" s="92">
        <v>4615503668</v>
      </c>
      <c r="D2141" s="93">
        <v>19175</v>
      </c>
      <c r="F2141" s="91">
        <v>10</v>
      </c>
      <c r="G2141" s="91">
        <v>0</v>
      </c>
      <c r="H2141" s="94">
        <v>0</v>
      </c>
      <c r="I2141" s="91">
        <v>0</v>
      </c>
      <c r="J2141" s="41"/>
      <c r="K2141" s="41">
        <v>43220</v>
      </c>
      <c r="L2141" s="69" t="s">
        <v>80</v>
      </c>
      <c r="M2141" s="69" t="s">
        <v>286</v>
      </c>
      <c r="N2141" s="95"/>
      <c r="P2141" t="s">
        <v>95</v>
      </c>
      <c r="Q2141" t="s">
        <v>120</v>
      </c>
      <c r="R2141" s="92" t="s">
        <v>69</v>
      </c>
      <c r="S2141" s="92" t="s">
        <v>121</v>
      </c>
      <c r="V2141" s="95">
        <v>43220</v>
      </c>
      <c r="W2141" s="92">
        <v>2030531</v>
      </c>
      <c r="X2141" s="90"/>
      <c r="Y2141" s="123"/>
      <c r="Z2141" s="30">
        <f t="shared" si="66"/>
        <v>4227.3638773950279</v>
      </c>
      <c r="AA2141" s="30">
        <f t="shared" si="67"/>
        <v>0</v>
      </c>
      <c r="AB2141" t="s">
        <v>457</v>
      </c>
    </row>
    <row r="2142" spans="1:28">
      <c r="A2142" t="s">
        <v>118</v>
      </c>
      <c r="B2142" s="91"/>
      <c r="C2142" s="92">
        <v>4615503668</v>
      </c>
      <c r="D2142" s="93">
        <v>19175</v>
      </c>
      <c r="F2142" s="91">
        <v>10</v>
      </c>
      <c r="G2142" s="91">
        <v>0</v>
      </c>
      <c r="H2142" s="94">
        <v>0</v>
      </c>
      <c r="I2142" s="91">
        <v>0</v>
      </c>
      <c r="J2142" s="41"/>
      <c r="K2142" s="41">
        <v>43220</v>
      </c>
      <c r="L2142" s="69" t="s">
        <v>80</v>
      </c>
      <c r="M2142" s="69" t="s">
        <v>286</v>
      </c>
      <c r="N2142" s="95"/>
      <c r="P2142" t="s">
        <v>95</v>
      </c>
      <c r="Q2142" t="s">
        <v>120</v>
      </c>
      <c r="R2142" s="92" t="s">
        <v>69</v>
      </c>
      <c r="S2142" s="92" t="s">
        <v>121</v>
      </c>
      <c r="V2142" s="95">
        <v>43220</v>
      </c>
      <c r="W2142" s="92">
        <v>2030531</v>
      </c>
      <c r="X2142" s="90"/>
      <c r="Y2142" s="123"/>
      <c r="Z2142" s="30">
        <f t="shared" si="66"/>
        <v>4227.3638773950279</v>
      </c>
      <c r="AA2142" s="30">
        <f t="shared" si="67"/>
        <v>0</v>
      </c>
      <c r="AB2142" t="s">
        <v>457</v>
      </c>
    </row>
    <row r="2143" spans="1:28">
      <c r="A2143" t="s">
        <v>118</v>
      </c>
      <c r="B2143" s="91"/>
      <c r="C2143" s="92">
        <v>4615503668</v>
      </c>
      <c r="D2143" s="93">
        <v>19175</v>
      </c>
      <c r="F2143" s="91">
        <v>10</v>
      </c>
      <c r="G2143" s="91">
        <v>0</v>
      </c>
      <c r="H2143" s="94">
        <v>0</v>
      </c>
      <c r="I2143" s="91">
        <v>0</v>
      </c>
      <c r="J2143" s="41"/>
      <c r="K2143" s="41">
        <v>43220</v>
      </c>
      <c r="L2143" s="69" t="s">
        <v>80</v>
      </c>
      <c r="M2143" s="69" t="s">
        <v>286</v>
      </c>
      <c r="N2143" s="95"/>
      <c r="P2143" t="s">
        <v>95</v>
      </c>
      <c r="Q2143" t="s">
        <v>120</v>
      </c>
      <c r="R2143" s="92" t="s">
        <v>69</v>
      </c>
      <c r="S2143" s="92" t="s">
        <v>121</v>
      </c>
      <c r="V2143" s="95">
        <v>43220</v>
      </c>
      <c r="W2143" s="92">
        <v>2030531</v>
      </c>
      <c r="X2143" s="90"/>
      <c r="Y2143" s="123"/>
      <c r="Z2143" s="30">
        <f t="shared" si="66"/>
        <v>4227.3638773950279</v>
      </c>
      <c r="AA2143" s="30">
        <f t="shared" si="67"/>
        <v>0</v>
      </c>
      <c r="AB2143" t="s">
        <v>457</v>
      </c>
    </row>
    <row r="2144" spans="1:28">
      <c r="A2144" t="s">
        <v>118</v>
      </c>
      <c r="B2144" s="91"/>
      <c r="C2144" s="92">
        <v>4615503668</v>
      </c>
      <c r="D2144" s="93">
        <v>19175</v>
      </c>
      <c r="F2144" s="91">
        <v>10</v>
      </c>
      <c r="G2144" s="91">
        <v>0</v>
      </c>
      <c r="H2144" s="94">
        <v>0</v>
      </c>
      <c r="I2144" s="91">
        <v>0</v>
      </c>
      <c r="J2144" s="41"/>
      <c r="K2144" s="41">
        <v>43220</v>
      </c>
      <c r="L2144" s="69" t="s">
        <v>80</v>
      </c>
      <c r="M2144" s="69" t="s">
        <v>286</v>
      </c>
      <c r="N2144" s="95"/>
      <c r="P2144" t="s">
        <v>95</v>
      </c>
      <c r="Q2144" t="s">
        <v>120</v>
      </c>
      <c r="R2144" s="92" t="s">
        <v>69</v>
      </c>
      <c r="S2144" s="92" t="s">
        <v>121</v>
      </c>
      <c r="V2144" s="95">
        <v>43220</v>
      </c>
      <c r="W2144" s="92">
        <v>2030531</v>
      </c>
      <c r="X2144" s="90"/>
      <c r="Y2144" s="123"/>
      <c r="Z2144" s="30">
        <f t="shared" si="66"/>
        <v>4227.3638773950279</v>
      </c>
      <c r="AA2144" s="30">
        <f t="shared" si="67"/>
        <v>0</v>
      </c>
      <c r="AB2144" t="s">
        <v>457</v>
      </c>
    </row>
    <row r="2145" spans="1:28">
      <c r="A2145" t="s">
        <v>136</v>
      </c>
      <c r="B2145" s="91"/>
      <c r="C2145" s="92">
        <v>4615461640</v>
      </c>
      <c r="D2145" s="93">
        <v>19175</v>
      </c>
      <c r="F2145" s="91">
        <v>10</v>
      </c>
      <c r="G2145" s="96">
        <v>5</v>
      </c>
      <c r="H2145" s="94">
        <v>0</v>
      </c>
      <c r="I2145" s="91">
        <v>0</v>
      </c>
      <c r="J2145" s="41"/>
      <c r="K2145" s="41">
        <v>43220</v>
      </c>
      <c r="L2145" s="69" t="s">
        <v>80</v>
      </c>
      <c r="M2145" s="69" t="s">
        <v>286</v>
      </c>
      <c r="N2145" s="95"/>
      <c r="P2145" t="s">
        <v>95</v>
      </c>
      <c r="Q2145" t="s">
        <v>129</v>
      </c>
      <c r="R2145" s="92" t="s">
        <v>69</v>
      </c>
      <c r="S2145" s="92" t="s">
        <v>138</v>
      </c>
      <c r="V2145" s="95">
        <v>43220</v>
      </c>
      <c r="W2145" s="92">
        <v>415580157</v>
      </c>
      <c r="X2145" s="90"/>
      <c r="Y2145" s="123"/>
      <c r="Z2145" s="30">
        <f t="shared" si="66"/>
        <v>4227.3638773950279</v>
      </c>
      <c r="AA2145" s="30">
        <f t="shared" si="67"/>
        <v>2113.6819386975139</v>
      </c>
      <c r="AB2145" t="s">
        <v>457</v>
      </c>
    </row>
    <row r="2146" spans="1:28">
      <c r="A2146" t="s">
        <v>136</v>
      </c>
      <c r="B2146" s="91"/>
      <c r="C2146" s="92">
        <v>4615461640</v>
      </c>
      <c r="D2146" s="93">
        <v>19175</v>
      </c>
      <c r="F2146" s="91">
        <v>10</v>
      </c>
      <c r="G2146" s="96">
        <v>5</v>
      </c>
      <c r="H2146" s="94">
        <v>0</v>
      </c>
      <c r="I2146" s="91">
        <v>0</v>
      </c>
      <c r="J2146" s="41"/>
      <c r="K2146" s="41">
        <v>43220</v>
      </c>
      <c r="L2146" s="69" t="s">
        <v>80</v>
      </c>
      <c r="M2146" s="69" t="s">
        <v>286</v>
      </c>
      <c r="N2146" s="95"/>
      <c r="P2146" t="s">
        <v>95</v>
      </c>
      <c r="Q2146" t="s">
        <v>129</v>
      </c>
      <c r="R2146" s="92" t="s">
        <v>69</v>
      </c>
      <c r="S2146" s="92" t="s">
        <v>138</v>
      </c>
      <c r="V2146" s="95">
        <v>43220</v>
      </c>
      <c r="W2146" s="92">
        <v>415580157</v>
      </c>
      <c r="X2146" s="90"/>
      <c r="Y2146" s="123"/>
      <c r="Z2146" s="30">
        <f t="shared" si="66"/>
        <v>4227.3638773950279</v>
      </c>
      <c r="AA2146" s="30">
        <f t="shared" si="67"/>
        <v>2113.6819386975139</v>
      </c>
      <c r="AB2146" t="s">
        <v>457</v>
      </c>
    </row>
    <row r="2147" spans="1:28">
      <c r="A2147" t="s">
        <v>136</v>
      </c>
      <c r="B2147" s="91"/>
      <c r="C2147" s="92">
        <v>4615461640</v>
      </c>
      <c r="D2147" s="93">
        <v>19175</v>
      </c>
      <c r="F2147" s="91">
        <v>10</v>
      </c>
      <c r="G2147" s="96">
        <v>5</v>
      </c>
      <c r="H2147" s="94">
        <v>0</v>
      </c>
      <c r="I2147" s="91">
        <v>0</v>
      </c>
      <c r="J2147" s="41"/>
      <c r="K2147" s="41">
        <v>43220</v>
      </c>
      <c r="L2147" s="69" t="s">
        <v>80</v>
      </c>
      <c r="M2147" s="69" t="s">
        <v>286</v>
      </c>
      <c r="N2147" s="95"/>
      <c r="P2147" t="s">
        <v>95</v>
      </c>
      <c r="Q2147" t="s">
        <v>129</v>
      </c>
      <c r="R2147" s="92" t="s">
        <v>69</v>
      </c>
      <c r="S2147" s="92" t="s">
        <v>138</v>
      </c>
      <c r="V2147" s="95">
        <v>43220</v>
      </c>
      <c r="W2147" s="92">
        <v>415580157</v>
      </c>
      <c r="X2147" s="90"/>
      <c r="Y2147" s="123"/>
      <c r="Z2147" s="30">
        <f t="shared" si="66"/>
        <v>4227.3638773950279</v>
      </c>
      <c r="AA2147" s="30">
        <f t="shared" si="67"/>
        <v>2113.6819386975139</v>
      </c>
      <c r="AB2147" t="s">
        <v>457</v>
      </c>
    </row>
    <row r="2148" spans="1:28">
      <c r="A2148" t="s">
        <v>136</v>
      </c>
      <c r="B2148" s="91"/>
      <c r="C2148" s="92">
        <v>4615461640</v>
      </c>
      <c r="D2148" s="93">
        <v>19175</v>
      </c>
      <c r="F2148" s="91">
        <v>10</v>
      </c>
      <c r="G2148" s="96">
        <v>5</v>
      </c>
      <c r="H2148" s="94">
        <v>0</v>
      </c>
      <c r="I2148" s="91">
        <v>0</v>
      </c>
      <c r="J2148" s="41"/>
      <c r="K2148" s="41">
        <v>43220</v>
      </c>
      <c r="L2148" s="69" t="s">
        <v>80</v>
      </c>
      <c r="M2148" s="69" t="s">
        <v>286</v>
      </c>
      <c r="N2148" s="95"/>
      <c r="P2148" t="s">
        <v>95</v>
      </c>
      <c r="Q2148" t="s">
        <v>129</v>
      </c>
      <c r="R2148" s="92" t="s">
        <v>69</v>
      </c>
      <c r="S2148" s="92" t="s">
        <v>138</v>
      </c>
      <c r="V2148" s="95">
        <v>43220</v>
      </c>
      <c r="W2148" s="92">
        <v>415580157</v>
      </c>
      <c r="X2148" s="90"/>
      <c r="Y2148" s="123"/>
      <c r="Z2148" s="30">
        <f t="shared" si="66"/>
        <v>4227.3638773950279</v>
      </c>
      <c r="AA2148" s="30">
        <f t="shared" si="67"/>
        <v>2113.6819386975139</v>
      </c>
      <c r="AB2148" t="s">
        <v>457</v>
      </c>
    </row>
    <row r="2149" spans="1:28">
      <c r="A2149" t="s">
        <v>136</v>
      </c>
      <c r="B2149" s="91"/>
      <c r="C2149" s="92">
        <v>4615461640</v>
      </c>
      <c r="D2149" s="93">
        <v>19175</v>
      </c>
      <c r="F2149" s="91">
        <v>10</v>
      </c>
      <c r="G2149" s="96">
        <v>5</v>
      </c>
      <c r="H2149" s="94">
        <v>0</v>
      </c>
      <c r="I2149" s="91">
        <v>0</v>
      </c>
      <c r="J2149" s="41"/>
      <c r="K2149" s="41">
        <v>43220</v>
      </c>
      <c r="L2149" s="69" t="s">
        <v>80</v>
      </c>
      <c r="M2149" s="69" t="s">
        <v>286</v>
      </c>
      <c r="N2149" s="95"/>
      <c r="P2149" t="s">
        <v>95</v>
      </c>
      <c r="Q2149" t="s">
        <v>129</v>
      </c>
      <c r="R2149" s="92" t="s">
        <v>69</v>
      </c>
      <c r="S2149" s="92" t="s">
        <v>138</v>
      </c>
      <c r="V2149" s="95">
        <v>43220</v>
      </c>
      <c r="W2149" s="92">
        <v>415580157</v>
      </c>
      <c r="X2149" s="90"/>
      <c r="Y2149" s="123"/>
      <c r="Z2149" s="30">
        <f t="shared" si="66"/>
        <v>4227.3638773950279</v>
      </c>
      <c r="AA2149" s="30">
        <f t="shared" si="67"/>
        <v>2113.6819386975139</v>
      </c>
      <c r="AB2149" t="s">
        <v>457</v>
      </c>
    </row>
    <row r="2150" spans="1:28">
      <c r="A2150" t="s">
        <v>136</v>
      </c>
      <c r="B2150" s="84">
        <v>1331533</v>
      </c>
      <c r="C2150" s="85">
        <v>4615451341</v>
      </c>
      <c r="D2150" s="86">
        <v>19175</v>
      </c>
      <c r="F2150" s="84">
        <v>10</v>
      </c>
      <c r="G2150" s="84">
        <v>0</v>
      </c>
      <c r="H2150" s="84">
        <v>0</v>
      </c>
      <c r="I2150" s="84">
        <v>0</v>
      </c>
      <c r="J2150" s="41">
        <v>43149</v>
      </c>
      <c r="K2150" s="41">
        <v>43220</v>
      </c>
      <c r="L2150" s="69" t="s">
        <v>108</v>
      </c>
      <c r="M2150" s="89" t="s">
        <v>282</v>
      </c>
      <c r="N2150" s="89"/>
      <c r="P2150" t="s">
        <v>95</v>
      </c>
      <c r="Q2150" t="s">
        <v>129</v>
      </c>
      <c r="R2150" s="85" t="s">
        <v>69</v>
      </c>
      <c r="S2150" s="85" t="s">
        <v>138</v>
      </c>
      <c r="V2150" s="89">
        <v>43220</v>
      </c>
      <c r="W2150" s="85">
        <v>415580305</v>
      </c>
      <c r="X2150" s="90" t="s">
        <v>343</v>
      </c>
      <c r="Y2150" s="123"/>
      <c r="Z2150" s="30">
        <f t="shared" si="66"/>
        <v>4227.3638773950279</v>
      </c>
      <c r="AA2150" s="30">
        <f t="shared" si="67"/>
        <v>0</v>
      </c>
      <c r="AB2150" t="s">
        <v>456</v>
      </c>
    </row>
    <row r="2151" spans="1:28">
      <c r="A2151" t="s">
        <v>136</v>
      </c>
      <c r="B2151" s="84">
        <v>1331535</v>
      </c>
      <c r="C2151" s="85">
        <v>4615451341</v>
      </c>
      <c r="D2151" s="86">
        <v>19175</v>
      </c>
      <c r="F2151" s="84">
        <v>10</v>
      </c>
      <c r="G2151" s="84">
        <v>0</v>
      </c>
      <c r="H2151" s="84">
        <v>0</v>
      </c>
      <c r="I2151" s="84">
        <v>0</v>
      </c>
      <c r="J2151" s="41">
        <v>43149</v>
      </c>
      <c r="K2151" s="41">
        <v>43220</v>
      </c>
      <c r="L2151" s="69" t="s">
        <v>108</v>
      </c>
      <c r="M2151" s="89" t="s">
        <v>282</v>
      </c>
      <c r="N2151" s="89"/>
      <c r="P2151" t="s">
        <v>95</v>
      </c>
      <c r="Q2151" t="s">
        <v>129</v>
      </c>
      <c r="R2151" s="85" t="s">
        <v>69</v>
      </c>
      <c r="S2151" s="85" t="s">
        <v>138</v>
      </c>
      <c r="V2151" s="89">
        <v>43220</v>
      </c>
      <c r="W2151" s="85">
        <v>415580305</v>
      </c>
      <c r="X2151" s="90" t="s">
        <v>343</v>
      </c>
      <c r="Y2151" s="123"/>
      <c r="Z2151" s="30">
        <f t="shared" si="66"/>
        <v>4227.3638773950279</v>
      </c>
      <c r="AA2151" s="30">
        <f t="shared" si="67"/>
        <v>0</v>
      </c>
      <c r="AB2151" t="s">
        <v>456</v>
      </c>
    </row>
    <row r="2152" spans="1:28">
      <c r="A2152" t="s">
        <v>136</v>
      </c>
      <c r="B2152" s="91">
        <v>1331534</v>
      </c>
      <c r="C2152" s="92">
        <v>4615451341</v>
      </c>
      <c r="D2152" s="93">
        <v>19175</v>
      </c>
      <c r="F2152" s="91">
        <v>10</v>
      </c>
      <c r="G2152" s="91">
        <v>0</v>
      </c>
      <c r="H2152" s="91">
        <v>0</v>
      </c>
      <c r="I2152" s="91">
        <v>0</v>
      </c>
      <c r="J2152" s="41">
        <v>43149</v>
      </c>
      <c r="K2152" s="41">
        <v>43220</v>
      </c>
      <c r="L2152" s="69" t="s">
        <v>108</v>
      </c>
      <c r="M2152" s="69" t="s">
        <v>109</v>
      </c>
      <c r="N2152" s="95">
        <v>43193</v>
      </c>
      <c r="P2152" t="s">
        <v>95</v>
      </c>
      <c r="Q2152" t="s">
        <v>129</v>
      </c>
      <c r="R2152" s="92" t="s">
        <v>69</v>
      </c>
      <c r="S2152" s="92" t="s">
        <v>138</v>
      </c>
      <c r="V2152" s="95">
        <v>43220</v>
      </c>
      <c r="W2152" s="92">
        <v>415580305</v>
      </c>
      <c r="X2152" s="90"/>
      <c r="Y2152" s="123"/>
      <c r="Z2152" s="30">
        <f t="shared" si="66"/>
        <v>4227.3638773950279</v>
      </c>
      <c r="AA2152" s="30">
        <f t="shared" si="67"/>
        <v>0</v>
      </c>
      <c r="AB2152" t="s">
        <v>456</v>
      </c>
    </row>
    <row r="2153" spans="1:28">
      <c r="A2153" t="s">
        <v>122</v>
      </c>
      <c r="B2153" s="91"/>
      <c r="C2153" s="92">
        <v>4615493337</v>
      </c>
      <c r="D2153" s="93">
        <v>19175</v>
      </c>
      <c r="F2153" s="91">
        <v>16</v>
      </c>
      <c r="G2153" s="96">
        <v>5</v>
      </c>
      <c r="H2153" s="94">
        <v>0</v>
      </c>
      <c r="I2153" s="91">
        <v>0</v>
      </c>
      <c r="J2153" s="41"/>
      <c r="K2153" s="41">
        <v>43220</v>
      </c>
      <c r="L2153" s="69" t="s">
        <v>80</v>
      </c>
      <c r="M2153" s="69" t="s">
        <v>286</v>
      </c>
      <c r="N2153" s="95"/>
      <c r="P2153" t="s">
        <v>95</v>
      </c>
      <c r="Q2153" t="s">
        <v>120</v>
      </c>
      <c r="R2153" s="92" t="s">
        <v>69</v>
      </c>
      <c r="S2153" s="92" t="s">
        <v>123</v>
      </c>
      <c r="V2153" s="95">
        <v>43220</v>
      </c>
      <c r="W2153" s="92">
        <v>2030469</v>
      </c>
      <c r="X2153" s="90"/>
      <c r="Y2153" s="123"/>
      <c r="Z2153" s="30">
        <f t="shared" si="66"/>
        <v>6763.7822038320437</v>
      </c>
      <c r="AA2153" s="30">
        <f t="shared" si="67"/>
        <v>2113.6819386975139</v>
      </c>
      <c r="AB2153" t="s">
        <v>457</v>
      </c>
    </row>
    <row r="2154" spans="1:28">
      <c r="A2154" t="s">
        <v>122</v>
      </c>
      <c r="B2154" s="91"/>
      <c r="C2154" s="92">
        <v>4615493337</v>
      </c>
      <c r="D2154" s="93">
        <v>19175</v>
      </c>
      <c r="F2154" s="91">
        <v>16</v>
      </c>
      <c r="G2154" s="96">
        <v>5</v>
      </c>
      <c r="H2154" s="94">
        <v>0</v>
      </c>
      <c r="I2154" s="91">
        <v>0</v>
      </c>
      <c r="J2154" s="41"/>
      <c r="K2154" s="41">
        <v>43220</v>
      </c>
      <c r="L2154" s="69" t="s">
        <v>80</v>
      </c>
      <c r="M2154" s="69" t="s">
        <v>286</v>
      </c>
      <c r="N2154" s="95"/>
      <c r="P2154" t="s">
        <v>95</v>
      </c>
      <c r="Q2154" t="s">
        <v>120</v>
      </c>
      <c r="R2154" s="92" t="s">
        <v>69</v>
      </c>
      <c r="S2154" s="92" t="s">
        <v>123</v>
      </c>
      <c r="V2154" s="95">
        <v>43220</v>
      </c>
      <c r="W2154" s="92">
        <v>2030469</v>
      </c>
      <c r="X2154" s="90"/>
      <c r="Y2154" s="123"/>
      <c r="Z2154" s="30">
        <f t="shared" si="66"/>
        <v>6763.7822038320437</v>
      </c>
      <c r="AA2154" s="30">
        <f t="shared" si="67"/>
        <v>2113.6819386975139</v>
      </c>
      <c r="AB2154" t="s">
        <v>457</v>
      </c>
    </row>
    <row r="2155" spans="1:28">
      <c r="A2155" t="s">
        <v>122</v>
      </c>
      <c r="B2155" s="91"/>
      <c r="C2155" s="92">
        <v>4615493337</v>
      </c>
      <c r="D2155" s="93">
        <v>19175</v>
      </c>
      <c r="F2155" s="91">
        <v>16</v>
      </c>
      <c r="G2155" s="96">
        <v>5</v>
      </c>
      <c r="H2155" s="94">
        <v>0</v>
      </c>
      <c r="I2155" s="91">
        <v>0</v>
      </c>
      <c r="J2155" s="41"/>
      <c r="K2155" s="41">
        <v>43220</v>
      </c>
      <c r="L2155" s="69" t="s">
        <v>80</v>
      </c>
      <c r="M2155" s="69" t="s">
        <v>286</v>
      </c>
      <c r="N2155" s="95"/>
      <c r="P2155" t="s">
        <v>95</v>
      </c>
      <c r="Q2155" t="s">
        <v>120</v>
      </c>
      <c r="R2155" s="92" t="s">
        <v>69</v>
      </c>
      <c r="S2155" s="92" t="s">
        <v>123</v>
      </c>
      <c r="V2155" s="95">
        <v>43220</v>
      </c>
      <c r="W2155" s="92">
        <v>2030469</v>
      </c>
      <c r="X2155" s="90"/>
      <c r="Y2155" s="123"/>
      <c r="Z2155" s="30">
        <f t="shared" si="66"/>
        <v>6763.7822038320437</v>
      </c>
      <c r="AA2155" s="30">
        <f t="shared" si="67"/>
        <v>2113.6819386975139</v>
      </c>
      <c r="AB2155" t="s">
        <v>457</v>
      </c>
    </row>
    <row r="2156" spans="1:28">
      <c r="A2156" t="s">
        <v>122</v>
      </c>
      <c r="B2156" s="91"/>
      <c r="C2156" s="92">
        <v>4615493337</v>
      </c>
      <c r="D2156" s="93">
        <v>19175</v>
      </c>
      <c r="F2156" s="91">
        <v>16</v>
      </c>
      <c r="G2156" s="96">
        <v>5</v>
      </c>
      <c r="H2156" s="94">
        <v>0</v>
      </c>
      <c r="I2156" s="91">
        <v>0</v>
      </c>
      <c r="J2156" s="41"/>
      <c r="K2156" s="41">
        <v>43220</v>
      </c>
      <c r="L2156" s="69" t="s">
        <v>80</v>
      </c>
      <c r="M2156" s="69" t="s">
        <v>286</v>
      </c>
      <c r="N2156" s="95"/>
      <c r="P2156" t="s">
        <v>95</v>
      </c>
      <c r="Q2156" t="s">
        <v>120</v>
      </c>
      <c r="R2156" s="92" t="s">
        <v>69</v>
      </c>
      <c r="S2156" s="92" t="s">
        <v>123</v>
      </c>
      <c r="V2156" s="95">
        <v>43220</v>
      </c>
      <c r="W2156" s="92">
        <v>2030469</v>
      </c>
      <c r="X2156" s="90"/>
      <c r="Y2156" s="123"/>
      <c r="Z2156" s="30">
        <f t="shared" si="66"/>
        <v>6763.7822038320437</v>
      </c>
      <c r="AA2156" s="30">
        <f t="shared" si="67"/>
        <v>2113.6819386975139</v>
      </c>
      <c r="AB2156" t="s">
        <v>457</v>
      </c>
    </row>
    <row r="2157" spans="1:28">
      <c r="A2157" t="s">
        <v>122</v>
      </c>
      <c r="B2157" s="91"/>
      <c r="C2157" s="92">
        <v>4615493337</v>
      </c>
      <c r="D2157" s="93">
        <v>19175</v>
      </c>
      <c r="F2157" s="91">
        <v>16</v>
      </c>
      <c r="G2157" s="96">
        <v>5</v>
      </c>
      <c r="H2157" s="94">
        <v>0</v>
      </c>
      <c r="I2157" s="91">
        <v>0</v>
      </c>
      <c r="J2157" s="41"/>
      <c r="K2157" s="41">
        <v>43220</v>
      </c>
      <c r="L2157" s="69" t="s">
        <v>80</v>
      </c>
      <c r="M2157" s="69" t="s">
        <v>286</v>
      </c>
      <c r="N2157" s="95"/>
      <c r="P2157" t="s">
        <v>95</v>
      </c>
      <c r="Q2157" t="s">
        <v>120</v>
      </c>
      <c r="R2157" s="92" t="s">
        <v>69</v>
      </c>
      <c r="S2157" s="92" t="s">
        <v>123</v>
      </c>
      <c r="V2157" s="95">
        <v>43220</v>
      </c>
      <c r="W2157" s="92">
        <v>2030469</v>
      </c>
      <c r="X2157" s="90"/>
      <c r="Y2157" s="123"/>
      <c r="Z2157" s="30">
        <f t="shared" si="66"/>
        <v>6763.7822038320437</v>
      </c>
      <c r="AA2157" s="30">
        <f t="shared" si="67"/>
        <v>2113.6819386975139</v>
      </c>
      <c r="AB2157" t="s">
        <v>457</v>
      </c>
    </row>
    <row r="2158" spans="1:28">
      <c r="A2158" t="s">
        <v>122</v>
      </c>
      <c r="B2158" s="91"/>
      <c r="C2158" s="92">
        <v>4615493337</v>
      </c>
      <c r="D2158" s="93">
        <v>19175</v>
      </c>
      <c r="F2158" s="91">
        <v>16</v>
      </c>
      <c r="G2158" s="96">
        <v>5</v>
      </c>
      <c r="H2158" s="94">
        <v>0</v>
      </c>
      <c r="I2158" s="91">
        <v>0</v>
      </c>
      <c r="J2158" s="41"/>
      <c r="K2158" s="41">
        <v>43220</v>
      </c>
      <c r="L2158" s="69" t="s">
        <v>80</v>
      </c>
      <c r="M2158" s="69" t="s">
        <v>286</v>
      </c>
      <c r="N2158" s="95"/>
      <c r="P2158" t="s">
        <v>95</v>
      </c>
      <c r="Q2158" t="s">
        <v>120</v>
      </c>
      <c r="R2158" s="92" t="s">
        <v>69</v>
      </c>
      <c r="S2158" s="92" t="s">
        <v>123</v>
      </c>
      <c r="V2158" s="95">
        <v>43220</v>
      </c>
      <c r="W2158" s="92">
        <v>2030469</v>
      </c>
      <c r="X2158" s="90"/>
      <c r="Y2158" s="123"/>
      <c r="Z2158" s="30">
        <f t="shared" si="66"/>
        <v>6763.7822038320437</v>
      </c>
      <c r="AA2158" s="30">
        <f t="shared" si="67"/>
        <v>2113.6819386975139</v>
      </c>
      <c r="AB2158" t="s">
        <v>457</v>
      </c>
    </row>
    <row r="2159" spans="1:28">
      <c r="A2159" t="s">
        <v>122</v>
      </c>
      <c r="B2159" s="91"/>
      <c r="C2159" s="92">
        <v>4615472866</v>
      </c>
      <c r="D2159" s="93">
        <v>20700</v>
      </c>
      <c r="F2159" s="91">
        <v>16</v>
      </c>
      <c r="G2159" s="96">
        <v>5</v>
      </c>
      <c r="H2159" s="94">
        <v>0</v>
      </c>
      <c r="I2159" s="91">
        <v>0</v>
      </c>
      <c r="J2159" s="41"/>
      <c r="K2159" s="41">
        <v>43220</v>
      </c>
      <c r="L2159" s="69" t="s">
        <v>80</v>
      </c>
      <c r="M2159" s="69" t="s">
        <v>286</v>
      </c>
      <c r="N2159" s="95"/>
      <c r="P2159" t="s">
        <v>95</v>
      </c>
      <c r="Q2159" t="s">
        <v>120</v>
      </c>
      <c r="R2159" s="92" t="s">
        <v>69</v>
      </c>
      <c r="S2159" s="92" t="s">
        <v>123</v>
      </c>
      <c r="V2159" s="95">
        <v>43220</v>
      </c>
      <c r="W2159" s="92">
        <v>2030502</v>
      </c>
      <c r="X2159" s="90" t="s">
        <v>344</v>
      </c>
      <c r="Y2159" s="123"/>
      <c r="Z2159" s="30">
        <f t="shared" si="66"/>
        <v>7301.7101235631453</v>
      </c>
      <c r="AA2159" s="30">
        <f t="shared" si="67"/>
        <v>2281.7844136134831</v>
      </c>
      <c r="AB2159" t="s">
        <v>457</v>
      </c>
    </row>
    <row r="2160" spans="1:28">
      <c r="A2160" t="s">
        <v>122</v>
      </c>
      <c r="B2160" s="91"/>
      <c r="C2160" s="92">
        <v>4615472866</v>
      </c>
      <c r="D2160" s="93">
        <v>20700</v>
      </c>
      <c r="F2160" s="91">
        <v>16</v>
      </c>
      <c r="G2160" s="96">
        <v>5</v>
      </c>
      <c r="H2160" s="94">
        <v>0</v>
      </c>
      <c r="I2160" s="91">
        <v>0</v>
      </c>
      <c r="J2160" s="41"/>
      <c r="K2160" s="41">
        <v>43220</v>
      </c>
      <c r="L2160" s="69" t="s">
        <v>80</v>
      </c>
      <c r="M2160" s="69" t="s">
        <v>286</v>
      </c>
      <c r="N2160" s="95"/>
      <c r="P2160" t="s">
        <v>95</v>
      </c>
      <c r="Q2160" t="s">
        <v>120</v>
      </c>
      <c r="R2160" s="92" t="s">
        <v>69</v>
      </c>
      <c r="S2160" s="92" t="s">
        <v>123</v>
      </c>
      <c r="V2160" s="95">
        <v>43220</v>
      </c>
      <c r="W2160" s="92">
        <v>2030502</v>
      </c>
      <c r="X2160" s="90" t="s">
        <v>344</v>
      </c>
      <c r="Y2160" s="123"/>
      <c r="Z2160" s="30">
        <f t="shared" si="66"/>
        <v>7301.7101235631453</v>
      </c>
      <c r="AA2160" s="30">
        <f t="shared" si="67"/>
        <v>2281.7844136134831</v>
      </c>
      <c r="AB2160" t="s">
        <v>457</v>
      </c>
    </row>
    <row r="2161" spans="1:28">
      <c r="A2161" t="s">
        <v>122</v>
      </c>
      <c r="B2161" s="91"/>
      <c r="C2161" s="92">
        <v>4615472866</v>
      </c>
      <c r="D2161" s="93">
        <v>20700</v>
      </c>
      <c r="F2161" s="91">
        <v>16</v>
      </c>
      <c r="G2161" s="96">
        <v>5</v>
      </c>
      <c r="H2161" s="94">
        <v>0</v>
      </c>
      <c r="I2161" s="91">
        <v>0</v>
      </c>
      <c r="J2161" s="41"/>
      <c r="K2161" s="41">
        <v>43220</v>
      </c>
      <c r="L2161" s="69" t="s">
        <v>80</v>
      </c>
      <c r="M2161" s="69" t="s">
        <v>286</v>
      </c>
      <c r="N2161" s="95"/>
      <c r="P2161" t="s">
        <v>95</v>
      </c>
      <c r="Q2161" t="s">
        <v>120</v>
      </c>
      <c r="R2161" s="92" t="s">
        <v>69</v>
      </c>
      <c r="S2161" s="92" t="s">
        <v>123</v>
      </c>
      <c r="V2161" s="95">
        <v>43220</v>
      </c>
      <c r="W2161" s="92">
        <v>2030502</v>
      </c>
      <c r="X2161" s="90" t="s">
        <v>344</v>
      </c>
      <c r="Y2161" s="123"/>
      <c r="Z2161" s="30">
        <f t="shared" si="66"/>
        <v>7301.7101235631453</v>
      </c>
      <c r="AA2161" s="30">
        <f t="shared" si="67"/>
        <v>2281.7844136134831</v>
      </c>
      <c r="AB2161" t="s">
        <v>457</v>
      </c>
    </row>
    <row r="2162" spans="1:28">
      <c r="A2162" t="s">
        <v>122</v>
      </c>
      <c r="B2162" s="91"/>
      <c r="C2162" s="92">
        <v>4615472866</v>
      </c>
      <c r="D2162" s="93">
        <v>20700</v>
      </c>
      <c r="F2162" s="91">
        <v>16</v>
      </c>
      <c r="G2162" s="96">
        <v>5</v>
      </c>
      <c r="H2162" s="94">
        <v>0</v>
      </c>
      <c r="I2162" s="91">
        <v>0</v>
      </c>
      <c r="J2162" s="41"/>
      <c r="K2162" s="41">
        <v>43220</v>
      </c>
      <c r="L2162" s="69" t="s">
        <v>80</v>
      </c>
      <c r="M2162" s="69" t="s">
        <v>286</v>
      </c>
      <c r="N2162" s="95"/>
      <c r="P2162" t="s">
        <v>95</v>
      </c>
      <c r="Q2162" t="s">
        <v>120</v>
      </c>
      <c r="R2162" s="92" t="s">
        <v>69</v>
      </c>
      <c r="S2162" s="92" t="s">
        <v>123</v>
      </c>
      <c r="V2162" s="95">
        <v>43220</v>
      </c>
      <c r="W2162" s="92">
        <v>2030502</v>
      </c>
      <c r="X2162" s="90" t="s">
        <v>344</v>
      </c>
      <c r="Y2162" s="123"/>
      <c r="Z2162" s="30">
        <f t="shared" si="66"/>
        <v>7301.7101235631453</v>
      </c>
      <c r="AA2162" s="30">
        <f t="shared" si="67"/>
        <v>2281.7844136134831</v>
      </c>
      <c r="AB2162" t="s">
        <v>457</v>
      </c>
    </row>
    <row r="2163" spans="1:28">
      <c r="A2163" t="s">
        <v>122</v>
      </c>
      <c r="B2163" s="91"/>
      <c r="C2163" s="92">
        <v>4615472866</v>
      </c>
      <c r="D2163" s="93">
        <v>20700</v>
      </c>
      <c r="F2163" s="91">
        <v>16</v>
      </c>
      <c r="G2163" s="96">
        <v>5</v>
      </c>
      <c r="H2163" s="94">
        <v>0</v>
      </c>
      <c r="I2163" s="91">
        <v>0</v>
      </c>
      <c r="J2163" s="41"/>
      <c r="K2163" s="41">
        <v>43220</v>
      </c>
      <c r="L2163" s="69" t="s">
        <v>80</v>
      </c>
      <c r="M2163" s="69" t="s">
        <v>286</v>
      </c>
      <c r="N2163" s="95"/>
      <c r="P2163" t="s">
        <v>95</v>
      </c>
      <c r="Q2163" t="s">
        <v>120</v>
      </c>
      <c r="R2163" s="92" t="s">
        <v>69</v>
      </c>
      <c r="S2163" s="92" t="s">
        <v>123</v>
      </c>
      <c r="V2163" s="95">
        <v>43220</v>
      </c>
      <c r="W2163" s="92">
        <v>2030502</v>
      </c>
      <c r="X2163" s="90" t="s">
        <v>344</v>
      </c>
      <c r="Y2163" s="123"/>
      <c r="Z2163" s="30">
        <f t="shared" si="66"/>
        <v>7301.7101235631453</v>
      </c>
      <c r="AA2163" s="30">
        <f t="shared" si="67"/>
        <v>2281.7844136134831</v>
      </c>
      <c r="AB2163" t="s">
        <v>457</v>
      </c>
    </row>
    <row r="2164" spans="1:28">
      <c r="A2164" t="s">
        <v>122</v>
      </c>
      <c r="B2164" s="91"/>
      <c r="C2164" s="92">
        <v>4615472866</v>
      </c>
      <c r="D2164" s="93">
        <v>20700</v>
      </c>
      <c r="F2164" s="91">
        <v>16</v>
      </c>
      <c r="G2164" s="96">
        <v>5</v>
      </c>
      <c r="H2164" s="94">
        <v>0</v>
      </c>
      <c r="I2164" s="91">
        <v>0</v>
      </c>
      <c r="J2164" s="41"/>
      <c r="K2164" s="41">
        <v>43220</v>
      </c>
      <c r="L2164" s="69" t="s">
        <v>80</v>
      </c>
      <c r="M2164" s="69" t="s">
        <v>286</v>
      </c>
      <c r="N2164" s="95"/>
      <c r="P2164" t="s">
        <v>95</v>
      </c>
      <c r="Q2164" t="s">
        <v>120</v>
      </c>
      <c r="R2164" s="92" t="s">
        <v>69</v>
      </c>
      <c r="S2164" s="92" t="s">
        <v>123</v>
      </c>
      <c r="V2164" s="95">
        <v>43220</v>
      </c>
      <c r="W2164" s="92">
        <v>2030502</v>
      </c>
      <c r="X2164" s="90" t="s">
        <v>344</v>
      </c>
      <c r="Y2164" s="123"/>
      <c r="Z2164" s="30">
        <f t="shared" si="66"/>
        <v>7301.7101235631453</v>
      </c>
      <c r="AA2164" s="30">
        <f t="shared" si="67"/>
        <v>2281.7844136134831</v>
      </c>
      <c r="AB2164" t="s">
        <v>457</v>
      </c>
    </row>
    <row r="2165" spans="1:28">
      <c r="A2165" t="s">
        <v>122</v>
      </c>
      <c r="B2165" s="91"/>
      <c r="C2165" s="92">
        <v>4615472866</v>
      </c>
      <c r="D2165" s="93">
        <v>20700</v>
      </c>
      <c r="F2165" s="91">
        <v>16</v>
      </c>
      <c r="G2165" s="96">
        <v>5</v>
      </c>
      <c r="H2165" s="94">
        <v>0</v>
      </c>
      <c r="I2165" s="91">
        <v>0</v>
      </c>
      <c r="J2165" s="41"/>
      <c r="K2165" s="41">
        <v>43220</v>
      </c>
      <c r="L2165" s="69" t="s">
        <v>80</v>
      </c>
      <c r="M2165" s="69" t="s">
        <v>286</v>
      </c>
      <c r="N2165" s="95"/>
      <c r="P2165" t="s">
        <v>95</v>
      </c>
      <c r="Q2165" t="s">
        <v>120</v>
      </c>
      <c r="R2165" s="92" t="s">
        <v>69</v>
      </c>
      <c r="S2165" s="92" t="s">
        <v>123</v>
      </c>
      <c r="V2165" s="95">
        <v>43220</v>
      </c>
      <c r="W2165" s="92">
        <v>2030502</v>
      </c>
      <c r="X2165" s="90" t="s">
        <v>344</v>
      </c>
      <c r="Y2165" s="123"/>
      <c r="Z2165" s="30">
        <f t="shared" si="66"/>
        <v>7301.7101235631453</v>
      </c>
      <c r="AA2165" s="30">
        <f t="shared" si="67"/>
        <v>2281.7844136134831</v>
      </c>
      <c r="AB2165" t="s">
        <v>457</v>
      </c>
    </row>
    <row r="2166" spans="1:28">
      <c r="A2166" t="s">
        <v>122</v>
      </c>
      <c r="B2166" s="91"/>
      <c r="C2166" s="92">
        <v>4615472866</v>
      </c>
      <c r="D2166" s="93">
        <v>20700</v>
      </c>
      <c r="F2166" s="91">
        <v>16</v>
      </c>
      <c r="G2166" s="96">
        <v>5</v>
      </c>
      <c r="H2166" s="94">
        <v>0</v>
      </c>
      <c r="I2166" s="91">
        <v>0</v>
      </c>
      <c r="J2166" s="41"/>
      <c r="K2166" s="41">
        <v>43220</v>
      </c>
      <c r="L2166" s="69" t="s">
        <v>80</v>
      </c>
      <c r="M2166" s="69" t="s">
        <v>286</v>
      </c>
      <c r="N2166" s="95"/>
      <c r="P2166" t="s">
        <v>95</v>
      </c>
      <c r="Q2166" t="s">
        <v>120</v>
      </c>
      <c r="R2166" s="92" t="s">
        <v>69</v>
      </c>
      <c r="S2166" s="92" t="s">
        <v>123</v>
      </c>
      <c r="V2166" s="95">
        <v>43220</v>
      </c>
      <c r="W2166" s="92">
        <v>2030502</v>
      </c>
      <c r="X2166" s="90" t="s">
        <v>344</v>
      </c>
      <c r="Y2166" s="123"/>
      <c r="Z2166" s="30">
        <f t="shared" si="66"/>
        <v>7301.7101235631453</v>
      </c>
      <c r="AA2166" s="30">
        <f t="shared" si="67"/>
        <v>2281.7844136134831</v>
      </c>
      <c r="AB2166" t="s">
        <v>457</v>
      </c>
    </row>
    <row r="2167" spans="1:28">
      <c r="A2167" t="s">
        <v>122</v>
      </c>
      <c r="B2167" s="91"/>
      <c r="C2167" s="92">
        <v>4615472866</v>
      </c>
      <c r="D2167" s="93">
        <v>20700</v>
      </c>
      <c r="F2167" s="91">
        <v>16</v>
      </c>
      <c r="G2167" s="96">
        <v>5</v>
      </c>
      <c r="H2167" s="94">
        <v>0</v>
      </c>
      <c r="I2167" s="91">
        <v>0</v>
      </c>
      <c r="J2167" s="41"/>
      <c r="K2167" s="41">
        <v>43220</v>
      </c>
      <c r="L2167" s="69" t="s">
        <v>80</v>
      </c>
      <c r="M2167" s="69" t="s">
        <v>286</v>
      </c>
      <c r="N2167" s="95"/>
      <c r="P2167" t="s">
        <v>95</v>
      </c>
      <c r="Q2167" t="s">
        <v>120</v>
      </c>
      <c r="R2167" s="92" t="s">
        <v>69</v>
      </c>
      <c r="S2167" s="92" t="s">
        <v>123</v>
      </c>
      <c r="V2167" s="95">
        <v>43220</v>
      </c>
      <c r="W2167" s="92">
        <v>2030502</v>
      </c>
      <c r="X2167" s="90" t="s">
        <v>344</v>
      </c>
      <c r="Y2167" s="123"/>
      <c r="Z2167" s="30">
        <f t="shared" si="66"/>
        <v>7301.7101235631453</v>
      </c>
      <c r="AA2167" s="30">
        <f t="shared" si="67"/>
        <v>2281.7844136134831</v>
      </c>
      <c r="AB2167" t="s">
        <v>457</v>
      </c>
    </row>
    <row r="2168" spans="1:28">
      <c r="A2168" t="s">
        <v>122</v>
      </c>
      <c r="B2168" s="91"/>
      <c r="C2168" s="92">
        <v>4615472866</v>
      </c>
      <c r="D2168" s="93">
        <v>20700</v>
      </c>
      <c r="F2168" s="91">
        <v>16</v>
      </c>
      <c r="G2168" s="96">
        <v>5</v>
      </c>
      <c r="H2168" s="94">
        <v>0</v>
      </c>
      <c r="I2168" s="91">
        <v>0</v>
      </c>
      <c r="J2168" s="41"/>
      <c r="K2168" s="41">
        <v>43220</v>
      </c>
      <c r="L2168" s="69" t="s">
        <v>80</v>
      </c>
      <c r="M2168" s="69" t="s">
        <v>286</v>
      </c>
      <c r="N2168" s="95"/>
      <c r="P2168" t="s">
        <v>95</v>
      </c>
      <c r="Q2168" t="s">
        <v>120</v>
      </c>
      <c r="R2168" s="92" t="s">
        <v>69</v>
      </c>
      <c r="S2168" s="92" t="s">
        <v>123</v>
      </c>
      <c r="V2168" s="95">
        <v>43220</v>
      </c>
      <c r="W2168" s="92">
        <v>2030502</v>
      </c>
      <c r="X2168" s="90" t="s">
        <v>344</v>
      </c>
      <c r="Y2168" s="123"/>
      <c r="Z2168" s="30">
        <f t="shared" si="66"/>
        <v>7301.7101235631453</v>
      </c>
      <c r="AA2168" s="30">
        <f t="shared" si="67"/>
        <v>2281.7844136134831</v>
      </c>
      <c r="AB2168" t="s">
        <v>457</v>
      </c>
    </row>
    <row r="2169" spans="1:28">
      <c r="A2169" t="s">
        <v>122</v>
      </c>
      <c r="B2169" s="91"/>
      <c r="C2169" s="92">
        <v>4615465245</v>
      </c>
      <c r="D2169" s="93">
        <v>21000</v>
      </c>
      <c r="F2169" s="91">
        <v>16</v>
      </c>
      <c r="G2169" s="96">
        <v>5</v>
      </c>
      <c r="H2169" s="94">
        <v>0</v>
      </c>
      <c r="I2169" s="91">
        <v>0</v>
      </c>
      <c r="J2169" s="41"/>
      <c r="K2169" s="41">
        <v>43220</v>
      </c>
      <c r="L2169" s="69" t="s">
        <v>80</v>
      </c>
      <c r="M2169" s="69" t="s">
        <v>286</v>
      </c>
      <c r="N2169" s="95"/>
      <c r="P2169" t="s">
        <v>95</v>
      </c>
      <c r="Q2169" t="s">
        <v>120</v>
      </c>
      <c r="R2169" s="92" t="s">
        <v>69</v>
      </c>
      <c r="S2169" s="92" t="s">
        <v>123</v>
      </c>
      <c r="V2169" s="95">
        <v>43220</v>
      </c>
      <c r="W2169" s="92">
        <v>2030512</v>
      </c>
      <c r="X2169" s="90" t="s">
        <v>321</v>
      </c>
      <c r="Y2169" s="123"/>
      <c r="Z2169" s="30">
        <f t="shared" si="66"/>
        <v>7407.5320094118861</v>
      </c>
      <c r="AA2169" s="30">
        <f t="shared" si="67"/>
        <v>2314.8537529412147</v>
      </c>
      <c r="AB2169" t="s">
        <v>457</v>
      </c>
    </row>
    <row r="2170" spans="1:28">
      <c r="A2170" t="s">
        <v>122</v>
      </c>
      <c r="B2170" s="91"/>
      <c r="C2170" s="92">
        <v>4615465245</v>
      </c>
      <c r="D2170" s="93">
        <v>21000</v>
      </c>
      <c r="F2170" s="91">
        <v>16</v>
      </c>
      <c r="G2170" s="96">
        <v>5</v>
      </c>
      <c r="H2170" s="94">
        <v>0</v>
      </c>
      <c r="I2170" s="91">
        <v>0</v>
      </c>
      <c r="J2170" s="41"/>
      <c r="K2170" s="41">
        <v>43220</v>
      </c>
      <c r="L2170" s="69" t="s">
        <v>80</v>
      </c>
      <c r="M2170" s="69" t="s">
        <v>286</v>
      </c>
      <c r="N2170" s="95"/>
      <c r="P2170" t="s">
        <v>95</v>
      </c>
      <c r="Q2170" t="s">
        <v>120</v>
      </c>
      <c r="R2170" s="92" t="s">
        <v>69</v>
      </c>
      <c r="S2170" s="92" t="s">
        <v>123</v>
      </c>
      <c r="V2170" s="95">
        <v>43220</v>
      </c>
      <c r="W2170" s="92">
        <v>2030512</v>
      </c>
      <c r="X2170" s="90" t="s">
        <v>321</v>
      </c>
      <c r="Y2170" s="123"/>
      <c r="Z2170" s="30">
        <f t="shared" si="66"/>
        <v>7407.5320094118861</v>
      </c>
      <c r="AA2170" s="30">
        <f t="shared" si="67"/>
        <v>2314.8537529412147</v>
      </c>
      <c r="AB2170" t="s">
        <v>457</v>
      </c>
    </row>
    <row r="2171" spans="1:28">
      <c r="A2171" t="s">
        <v>122</v>
      </c>
      <c r="B2171" s="91"/>
      <c r="C2171" s="92">
        <v>4615465245</v>
      </c>
      <c r="D2171" s="93">
        <v>21000</v>
      </c>
      <c r="F2171" s="91">
        <v>16</v>
      </c>
      <c r="G2171" s="96">
        <v>5</v>
      </c>
      <c r="H2171" s="94">
        <v>0</v>
      </c>
      <c r="I2171" s="91">
        <v>0</v>
      </c>
      <c r="J2171" s="41"/>
      <c r="K2171" s="41">
        <v>43220</v>
      </c>
      <c r="L2171" s="69" t="s">
        <v>80</v>
      </c>
      <c r="M2171" s="69" t="s">
        <v>286</v>
      </c>
      <c r="N2171" s="95"/>
      <c r="P2171" t="s">
        <v>95</v>
      </c>
      <c r="Q2171" t="s">
        <v>120</v>
      </c>
      <c r="R2171" s="92" t="s">
        <v>69</v>
      </c>
      <c r="S2171" s="92" t="s">
        <v>123</v>
      </c>
      <c r="V2171" s="95">
        <v>43220</v>
      </c>
      <c r="W2171" s="92">
        <v>2030512</v>
      </c>
      <c r="X2171" s="90" t="s">
        <v>321</v>
      </c>
      <c r="Y2171" s="123"/>
      <c r="Z2171" s="30">
        <f t="shared" si="66"/>
        <v>7407.5320094118861</v>
      </c>
      <c r="AA2171" s="30">
        <f t="shared" si="67"/>
        <v>2314.8537529412147</v>
      </c>
      <c r="AB2171" t="s">
        <v>457</v>
      </c>
    </row>
    <row r="2172" spans="1:28">
      <c r="A2172" t="s">
        <v>122</v>
      </c>
      <c r="B2172" s="91"/>
      <c r="C2172" s="92">
        <v>4615465245</v>
      </c>
      <c r="D2172" s="93">
        <v>21000</v>
      </c>
      <c r="F2172" s="91">
        <v>16</v>
      </c>
      <c r="G2172" s="96">
        <v>5</v>
      </c>
      <c r="H2172" s="94">
        <v>0</v>
      </c>
      <c r="I2172" s="91">
        <v>0</v>
      </c>
      <c r="J2172" s="41"/>
      <c r="K2172" s="41">
        <v>43220</v>
      </c>
      <c r="L2172" s="69" t="s">
        <v>80</v>
      </c>
      <c r="M2172" s="69" t="s">
        <v>286</v>
      </c>
      <c r="N2172" s="95"/>
      <c r="P2172" t="s">
        <v>95</v>
      </c>
      <c r="Q2172" t="s">
        <v>120</v>
      </c>
      <c r="R2172" s="92" t="s">
        <v>69</v>
      </c>
      <c r="S2172" s="92" t="s">
        <v>123</v>
      </c>
      <c r="V2172" s="95">
        <v>43220</v>
      </c>
      <c r="W2172" s="92">
        <v>2030512</v>
      </c>
      <c r="X2172" s="90" t="s">
        <v>321</v>
      </c>
      <c r="Y2172" s="123"/>
      <c r="Z2172" s="30">
        <f t="shared" si="66"/>
        <v>7407.5320094118861</v>
      </c>
      <c r="AA2172" s="30">
        <f t="shared" si="67"/>
        <v>2314.8537529412147</v>
      </c>
      <c r="AB2172" t="s">
        <v>457</v>
      </c>
    </row>
    <row r="2173" spans="1:28">
      <c r="A2173" t="s">
        <v>122</v>
      </c>
      <c r="B2173" s="91"/>
      <c r="C2173" s="92">
        <v>4615465245</v>
      </c>
      <c r="D2173" s="93">
        <v>21000</v>
      </c>
      <c r="F2173" s="91">
        <v>16</v>
      </c>
      <c r="G2173" s="96">
        <v>5</v>
      </c>
      <c r="H2173" s="94">
        <v>0</v>
      </c>
      <c r="I2173" s="91">
        <v>0</v>
      </c>
      <c r="J2173" s="41"/>
      <c r="K2173" s="41">
        <v>43220</v>
      </c>
      <c r="L2173" s="69" t="s">
        <v>80</v>
      </c>
      <c r="M2173" s="69" t="s">
        <v>286</v>
      </c>
      <c r="N2173" s="95"/>
      <c r="P2173" t="s">
        <v>95</v>
      </c>
      <c r="Q2173" t="s">
        <v>120</v>
      </c>
      <c r="R2173" s="92" t="s">
        <v>69</v>
      </c>
      <c r="S2173" s="92" t="s">
        <v>123</v>
      </c>
      <c r="V2173" s="95">
        <v>43220</v>
      </c>
      <c r="W2173" s="92">
        <v>2030512</v>
      </c>
      <c r="X2173" s="90" t="s">
        <v>321</v>
      </c>
      <c r="Y2173" s="123"/>
      <c r="Z2173" s="30">
        <f t="shared" si="66"/>
        <v>7407.5320094118861</v>
      </c>
      <c r="AA2173" s="30">
        <f t="shared" si="67"/>
        <v>2314.8537529412147</v>
      </c>
      <c r="AB2173" t="s">
        <v>457</v>
      </c>
    </row>
    <row r="2174" spans="1:28">
      <c r="A2174" t="s">
        <v>122</v>
      </c>
      <c r="B2174" s="91"/>
      <c r="C2174" s="92">
        <v>4615465245</v>
      </c>
      <c r="D2174" s="93">
        <v>21000</v>
      </c>
      <c r="F2174" s="91">
        <v>16</v>
      </c>
      <c r="G2174" s="96">
        <v>5</v>
      </c>
      <c r="H2174" s="94">
        <v>0</v>
      </c>
      <c r="I2174" s="91">
        <v>0</v>
      </c>
      <c r="J2174" s="41"/>
      <c r="K2174" s="41">
        <v>43220</v>
      </c>
      <c r="L2174" s="69" t="s">
        <v>80</v>
      </c>
      <c r="M2174" s="69" t="s">
        <v>286</v>
      </c>
      <c r="N2174" s="95"/>
      <c r="P2174" t="s">
        <v>95</v>
      </c>
      <c r="Q2174" t="s">
        <v>120</v>
      </c>
      <c r="R2174" s="92" t="s">
        <v>69</v>
      </c>
      <c r="S2174" s="92" t="s">
        <v>123</v>
      </c>
      <c r="V2174" s="95">
        <v>43220</v>
      </c>
      <c r="W2174" s="92">
        <v>2030512</v>
      </c>
      <c r="X2174" s="90" t="s">
        <v>321</v>
      </c>
      <c r="Y2174" s="123"/>
      <c r="Z2174" s="30">
        <f t="shared" si="66"/>
        <v>7407.5320094118861</v>
      </c>
      <c r="AA2174" s="30">
        <f t="shared" si="67"/>
        <v>2314.8537529412147</v>
      </c>
      <c r="AB2174" t="s">
        <v>457</v>
      </c>
    </row>
    <row r="2175" spans="1:28">
      <c r="A2175" t="s">
        <v>122</v>
      </c>
      <c r="B2175" s="91"/>
      <c r="C2175" s="92">
        <v>4615465245</v>
      </c>
      <c r="D2175" s="93">
        <v>21000</v>
      </c>
      <c r="F2175" s="91">
        <v>16</v>
      </c>
      <c r="G2175" s="96">
        <v>5</v>
      </c>
      <c r="H2175" s="94">
        <v>0</v>
      </c>
      <c r="I2175" s="91">
        <v>0</v>
      </c>
      <c r="J2175" s="41"/>
      <c r="K2175" s="41">
        <v>43220</v>
      </c>
      <c r="L2175" s="69" t="s">
        <v>80</v>
      </c>
      <c r="M2175" s="69" t="s">
        <v>286</v>
      </c>
      <c r="N2175" s="95"/>
      <c r="P2175" t="s">
        <v>95</v>
      </c>
      <c r="Q2175" t="s">
        <v>120</v>
      </c>
      <c r="R2175" s="92" t="s">
        <v>69</v>
      </c>
      <c r="S2175" s="92" t="s">
        <v>123</v>
      </c>
      <c r="V2175" s="95">
        <v>43220</v>
      </c>
      <c r="W2175" s="92">
        <v>2030512</v>
      </c>
      <c r="X2175" s="90" t="s">
        <v>321</v>
      </c>
      <c r="Y2175" s="123"/>
      <c r="Z2175" s="30">
        <f t="shared" si="66"/>
        <v>7407.5320094118861</v>
      </c>
      <c r="AA2175" s="30">
        <f t="shared" si="67"/>
        <v>2314.8537529412147</v>
      </c>
      <c r="AB2175" t="s">
        <v>457</v>
      </c>
    </row>
    <row r="2176" spans="1:28">
      <c r="A2176" t="s">
        <v>122</v>
      </c>
      <c r="B2176" s="91"/>
      <c r="C2176" s="92">
        <v>4615465245</v>
      </c>
      <c r="D2176" s="93">
        <v>21000</v>
      </c>
      <c r="F2176" s="91">
        <v>16</v>
      </c>
      <c r="G2176" s="96">
        <v>5</v>
      </c>
      <c r="H2176" s="94">
        <v>0</v>
      </c>
      <c r="I2176" s="91">
        <v>0</v>
      </c>
      <c r="J2176" s="41"/>
      <c r="K2176" s="41">
        <v>43220</v>
      </c>
      <c r="L2176" s="69" t="s">
        <v>80</v>
      </c>
      <c r="M2176" s="69" t="s">
        <v>286</v>
      </c>
      <c r="N2176" s="95"/>
      <c r="P2176" t="s">
        <v>95</v>
      </c>
      <c r="Q2176" t="s">
        <v>120</v>
      </c>
      <c r="R2176" s="92" t="s">
        <v>69</v>
      </c>
      <c r="S2176" s="92" t="s">
        <v>123</v>
      </c>
      <c r="V2176" s="95">
        <v>43220</v>
      </c>
      <c r="W2176" s="92">
        <v>2030512</v>
      </c>
      <c r="X2176" s="90" t="s">
        <v>321</v>
      </c>
      <c r="Y2176" s="123"/>
      <c r="Z2176" s="30">
        <f t="shared" si="66"/>
        <v>7407.5320094118861</v>
      </c>
      <c r="AA2176" s="30">
        <f t="shared" si="67"/>
        <v>2314.8537529412147</v>
      </c>
      <c r="AB2176" t="s">
        <v>457</v>
      </c>
    </row>
    <row r="2177" spans="1:28">
      <c r="A2177" t="s">
        <v>122</v>
      </c>
      <c r="B2177" s="91"/>
      <c r="C2177" s="92">
        <v>4615465245</v>
      </c>
      <c r="D2177" s="93">
        <v>21000</v>
      </c>
      <c r="F2177" s="91">
        <v>16</v>
      </c>
      <c r="G2177" s="96">
        <v>5</v>
      </c>
      <c r="H2177" s="94">
        <v>0</v>
      </c>
      <c r="I2177" s="91">
        <v>0</v>
      </c>
      <c r="J2177" s="41"/>
      <c r="K2177" s="41">
        <v>43220</v>
      </c>
      <c r="L2177" s="69" t="s">
        <v>80</v>
      </c>
      <c r="M2177" s="69" t="s">
        <v>286</v>
      </c>
      <c r="N2177" s="95"/>
      <c r="P2177" t="s">
        <v>95</v>
      </c>
      <c r="Q2177" t="s">
        <v>120</v>
      </c>
      <c r="R2177" s="92" t="s">
        <v>69</v>
      </c>
      <c r="S2177" s="92" t="s">
        <v>123</v>
      </c>
      <c r="V2177" s="95">
        <v>43220</v>
      </c>
      <c r="W2177" s="92">
        <v>2030512</v>
      </c>
      <c r="X2177" s="90" t="s">
        <v>321</v>
      </c>
      <c r="Y2177" s="123"/>
      <c r="Z2177" s="30">
        <f t="shared" si="66"/>
        <v>7407.5320094118861</v>
      </c>
      <c r="AA2177" s="30">
        <f t="shared" si="67"/>
        <v>2314.8537529412147</v>
      </c>
      <c r="AB2177" t="s">
        <v>457</v>
      </c>
    </row>
    <row r="2178" spans="1:28">
      <c r="A2178" t="s">
        <v>122</v>
      </c>
      <c r="B2178" s="91"/>
      <c r="C2178" s="92">
        <v>4615465245</v>
      </c>
      <c r="D2178" s="93">
        <v>21000</v>
      </c>
      <c r="F2178" s="91">
        <v>16</v>
      </c>
      <c r="G2178" s="96">
        <v>5</v>
      </c>
      <c r="H2178" s="94">
        <v>0</v>
      </c>
      <c r="I2178" s="91">
        <v>0</v>
      </c>
      <c r="J2178" s="41"/>
      <c r="K2178" s="41">
        <v>43220</v>
      </c>
      <c r="L2178" s="69" t="s">
        <v>80</v>
      </c>
      <c r="M2178" s="69" t="s">
        <v>286</v>
      </c>
      <c r="N2178" s="95"/>
      <c r="P2178" t="s">
        <v>95</v>
      </c>
      <c r="Q2178" t="s">
        <v>120</v>
      </c>
      <c r="R2178" s="92" t="s">
        <v>69</v>
      </c>
      <c r="S2178" s="92" t="s">
        <v>123</v>
      </c>
      <c r="V2178" s="95">
        <v>43220</v>
      </c>
      <c r="W2178" s="92">
        <v>2030512</v>
      </c>
      <c r="X2178" s="90" t="s">
        <v>321</v>
      </c>
      <c r="Y2178" s="123"/>
      <c r="Z2178" s="30">
        <f t="shared" si="66"/>
        <v>7407.5320094118861</v>
      </c>
      <c r="AA2178" s="30">
        <f t="shared" si="67"/>
        <v>2314.8537529412147</v>
      </c>
      <c r="AB2178" t="s">
        <v>457</v>
      </c>
    </row>
    <row r="2179" spans="1:28">
      <c r="A2179" t="s">
        <v>122</v>
      </c>
      <c r="B2179" s="91"/>
      <c r="C2179" s="92">
        <v>4615465245</v>
      </c>
      <c r="D2179" s="93">
        <v>21000</v>
      </c>
      <c r="F2179" s="91">
        <v>16</v>
      </c>
      <c r="G2179" s="96">
        <v>5</v>
      </c>
      <c r="H2179" s="94">
        <v>0</v>
      </c>
      <c r="I2179" s="91">
        <v>0</v>
      </c>
      <c r="J2179" s="41"/>
      <c r="K2179" s="41">
        <v>43220</v>
      </c>
      <c r="L2179" s="69" t="s">
        <v>80</v>
      </c>
      <c r="M2179" s="69" t="s">
        <v>286</v>
      </c>
      <c r="N2179" s="95"/>
      <c r="P2179" t="s">
        <v>95</v>
      </c>
      <c r="Q2179" t="s">
        <v>120</v>
      </c>
      <c r="R2179" s="92" t="s">
        <v>69</v>
      </c>
      <c r="S2179" s="92" t="s">
        <v>123</v>
      </c>
      <c r="V2179" s="95">
        <v>43220</v>
      </c>
      <c r="W2179" s="92">
        <v>2030512</v>
      </c>
      <c r="X2179" s="90" t="s">
        <v>321</v>
      </c>
      <c r="Y2179" s="123"/>
      <c r="Z2179" s="30">
        <f t="shared" ref="Z2179:Z2242" si="68">CONVERT(D2179,"kg","lbm")*F2179/100</f>
        <v>7407.5320094118861</v>
      </c>
      <c r="AA2179" s="30">
        <f t="shared" ref="AA2179:AA2242" si="69">CONVERT(D2179,"kg","lbm")*G2179/100</f>
        <v>2314.8537529412147</v>
      </c>
      <c r="AB2179" t="s">
        <v>457</v>
      </c>
    </row>
    <row r="2180" spans="1:28">
      <c r="A2180" t="s">
        <v>122</v>
      </c>
      <c r="B2180" s="91">
        <v>1331409</v>
      </c>
      <c r="C2180" s="92">
        <v>4615468034</v>
      </c>
      <c r="D2180" s="93">
        <v>21000</v>
      </c>
      <c r="F2180" s="91">
        <v>16</v>
      </c>
      <c r="G2180" s="96">
        <v>5</v>
      </c>
      <c r="H2180" s="94">
        <v>0</v>
      </c>
      <c r="I2180" s="91">
        <v>0</v>
      </c>
      <c r="J2180" s="41">
        <v>43158</v>
      </c>
      <c r="K2180" s="41">
        <v>43220</v>
      </c>
      <c r="L2180" s="69" t="s">
        <v>108</v>
      </c>
      <c r="M2180" s="69" t="s">
        <v>109</v>
      </c>
      <c r="N2180" s="95">
        <v>43212</v>
      </c>
      <c r="P2180" t="s">
        <v>95</v>
      </c>
      <c r="Q2180" t="s">
        <v>120</v>
      </c>
      <c r="R2180" s="92" t="s">
        <v>69</v>
      </c>
      <c r="S2180" s="92" t="s">
        <v>123</v>
      </c>
      <c r="V2180" s="95">
        <v>43220</v>
      </c>
      <c r="W2180" s="92">
        <v>2030480</v>
      </c>
      <c r="X2180" s="90" t="s">
        <v>321</v>
      </c>
      <c r="Y2180" s="123"/>
      <c r="Z2180" s="30">
        <f t="shared" si="68"/>
        <v>7407.5320094118861</v>
      </c>
      <c r="AA2180" s="30">
        <f t="shared" si="69"/>
        <v>2314.8537529412147</v>
      </c>
      <c r="AB2180" t="s">
        <v>456</v>
      </c>
    </row>
    <row r="2181" spans="1:28">
      <c r="A2181" t="s">
        <v>122</v>
      </c>
      <c r="B2181" s="91">
        <v>1331416</v>
      </c>
      <c r="C2181" s="92">
        <v>4615468034</v>
      </c>
      <c r="D2181" s="93">
        <v>21000</v>
      </c>
      <c r="F2181" s="91">
        <v>16</v>
      </c>
      <c r="G2181" s="96">
        <v>5</v>
      </c>
      <c r="H2181" s="94">
        <v>0</v>
      </c>
      <c r="I2181" s="91">
        <v>0</v>
      </c>
      <c r="J2181" s="41">
        <v>43158</v>
      </c>
      <c r="K2181" s="41">
        <v>43220</v>
      </c>
      <c r="L2181" s="69" t="s">
        <v>108</v>
      </c>
      <c r="M2181" s="69" t="s">
        <v>109</v>
      </c>
      <c r="N2181" s="95">
        <v>43212</v>
      </c>
      <c r="P2181" t="s">
        <v>95</v>
      </c>
      <c r="Q2181" t="s">
        <v>120</v>
      </c>
      <c r="R2181" s="92" t="s">
        <v>69</v>
      </c>
      <c r="S2181" s="92" t="s">
        <v>123</v>
      </c>
      <c r="V2181" s="95">
        <v>43220</v>
      </c>
      <c r="W2181" s="92">
        <v>2030480</v>
      </c>
      <c r="X2181" s="90" t="s">
        <v>321</v>
      </c>
      <c r="Y2181" s="123"/>
      <c r="Z2181" s="30">
        <f t="shared" si="68"/>
        <v>7407.5320094118861</v>
      </c>
      <c r="AA2181" s="30">
        <f t="shared" si="69"/>
        <v>2314.8537529412147</v>
      </c>
      <c r="AB2181" t="s">
        <v>456</v>
      </c>
    </row>
    <row r="2182" spans="1:28">
      <c r="A2182" t="s">
        <v>122</v>
      </c>
      <c r="B2182" s="91"/>
      <c r="C2182" s="92">
        <v>4615468034</v>
      </c>
      <c r="D2182" s="93">
        <v>21000</v>
      </c>
      <c r="F2182" s="91">
        <v>16</v>
      </c>
      <c r="G2182" s="96">
        <v>5</v>
      </c>
      <c r="H2182" s="94">
        <v>0</v>
      </c>
      <c r="I2182" s="91">
        <v>0</v>
      </c>
      <c r="J2182" s="41"/>
      <c r="K2182" s="41">
        <v>43220</v>
      </c>
      <c r="L2182" s="69" t="s">
        <v>80</v>
      </c>
      <c r="M2182" s="69" t="s">
        <v>286</v>
      </c>
      <c r="N2182" s="95"/>
      <c r="P2182" t="s">
        <v>95</v>
      </c>
      <c r="Q2182" t="s">
        <v>120</v>
      </c>
      <c r="R2182" s="92" t="s">
        <v>69</v>
      </c>
      <c r="S2182" s="92" t="s">
        <v>123</v>
      </c>
      <c r="V2182" s="95">
        <v>43220</v>
      </c>
      <c r="W2182" s="92">
        <v>2030480</v>
      </c>
      <c r="X2182" s="90" t="s">
        <v>321</v>
      </c>
      <c r="Y2182" s="123"/>
      <c r="Z2182" s="30">
        <f t="shared" si="68"/>
        <v>7407.5320094118861</v>
      </c>
      <c r="AA2182" s="30">
        <f t="shared" si="69"/>
        <v>2314.8537529412147</v>
      </c>
      <c r="AB2182" t="s">
        <v>457</v>
      </c>
    </row>
    <row r="2183" spans="1:28">
      <c r="A2183" t="s">
        <v>122</v>
      </c>
      <c r="B2183" s="91"/>
      <c r="C2183" s="92">
        <v>4615468034</v>
      </c>
      <c r="D2183" s="93">
        <v>21000</v>
      </c>
      <c r="F2183" s="91">
        <v>16</v>
      </c>
      <c r="G2183" s="96">
        <v>5</v>
      </c>
      <c r="H2183" s="94">
        <v>0</v>
      </c>
      <c r="I2183" s="91">
        <v>0</v>
      </c>
      <c r="J2183" s="41"/>
      <c r="K2183" s="41">
        <v>43220</v>
      </c>
      <c r="L2183" s="69" t="s">
        <v>80</v>
      </c>
      <c r="M2183" s="69" t="s">
        <v>286</v>
      </c>
      <c r="N2183" s="95"/>
      <c r="P2183" t="s">
        <v>95</v>
      </c>
      <c r="Q2183" t="s">
        <v>120</v>
      </c>
      <c r="R2183" s="92" t="s">
        <v>69</v>
      </c>
      <c r="S2183" s="92" t="s">
        <v>123</v>
      </c>
      <c r="V2183" s="95">
        <v>43220</v>
      </c>
      <c r="W2183" s="92">
        <v>2030480</v>
      </c>
      <c r="X2183" s="90" t="s">
        <v>321</v>
      </c>
      <c r="Y2183" s="123"/>
      <c r="Z2183" s="30">
        <f t="shared" si="68"/>
        <v>7407.5320094118861</v>
      </c>
      <c r="AA2183" s="30">
        <f t="shared" si="69"/>
        <v>2314.8537529412147</v>
      </c>
      <c r="AB2183" t="s">
        <v>457</v>
      </c>
    </row>
    <row r="2184" spans="1:28">
      <c r="A2184" t="s">
        <v>122</v>
      </c>
      <c r="B2184" s="91"/>
      <c r="C2184" s="92">
        <v>4615468034</v>
      </c>
      <c r="D2184" s="93">
        <v>21000</v>
      </c>
      <c r="F2184" s="91">
        <v>16</v>
      </c>
      <c r="G2184" s="96">
        <v>5</v>
      </c>
      <c r="H2184" s="94">
        <v>0</v>
      </c>
      <c r="I2184" s="91">
        <v>0</v>
      </c>
      <c r="J2184" s="41"/>
      <c r="K2184" s="41">
        <v>43220</v>
      </c>
      <c r="L2184" s="69" t="s">
        <v>80</v>
      </c>
      <c r="M2184" s="69" t="s">
        <v>286</v>
      </c>
      <c r="N2184" s="95"/>
      <c r="P2184" t="s">
        <v>95</v>
      </c>
      <c r="Q2184" t="s">
        <v>120</v>
      </c>
      <c r="R2184" s="92" t="s">
        <v>69</v>
      </c>
      <c r="S2184" s="92" t="s">
        <v>123</v>
      </c>
      <c r="V2184" s="95">
        <v>43220</v>
      </c>
      <c r="W2184" s="92">
        <v>2030480</v>
      </c>
      <c r="X2184" s="90" t="s">
        <v>321</v>
      </c>
      <c r="Y2184" s="123"/>
      <c r="Z2184" s="30">
        <f t="shared" si="68"/>
        <v>7407.5320094118861</v>
      </c>
      <c r="AA2184" s="30">
        <f t="shared" si="69"/>
        <v>2314.8537529412147</v>
      </c>
      <c r="AB2184" t="s">
        <v>457</v>
      </c>
    </row>
    <row r="2185" spans="1:28">
      <c r="A2185" t="s">
        <v>122</v>
      </c>
      <c r="B2185" s="91"/>
      <c r="C2185" s="92">
        <v>4615468034</v>
      </c>
      <c r="D2185" s="93">
        <v>21000</v>
      </c>
      <c r="F2185" s="91">
        <v>16</v>
      </c>
      <c r="G2185" s="96">
        <v>5</v>
      </c>
      <c r="H2185" s="94">
        <v>0</v>
      </c>
      <c r="I2185" s="91">
        <v>0</v>
      </c>
      <c r="J2185" s="41"/>
      <c r="K2185" s="41">
        <v>43220</v>
      </c>
      <c r="L2185" s="69" t="s">
        <v>80</v>
      </c>
      <c r="M2185" s="69" t="s">
        <v>286</v>
      </c>
      <c r="N2185" s="95"/>
      <c r="P2185" t="s">
        <v>95</v>
      </c>
      <c r="Q2185" t="s">
        <v>120</v>
      </c>
      <c r="R2185" s="92" t="s">
        <v>69</v>
      </c>
      <c r="S2185" s="92" t="s">
        <v>123</v>
      </c>
      <c r="V2185" s="95">
        <v>43220</v>
      </c>
      <c r="W2185" s="92">
        <v>2030480</v>
      </c>
      <c r="X2185" s="90" t="s">
        <v>321</v>
      </c>
      <c r="Y2185" s="123"/>
      <c r="Z2185" s="30">
        <f t="shared" si="68"/>
        <v>7407.5320094118861</v>
      </c>
      <c r="AA2185" s="30">
        <f t="shared" si="69"/>
        <v>2314.8537529412147</v>
      </c>
      <c r="AB2185" t="s">
        <v>457</v>
      </c>
    </row>
    <row r="2186" spans="1:28">
      <c r="A2186" t="s">
        <v>122</v>
      </c>
      <c r="B2186" s="91"/>
      <c r="C2186" s="92">
        <v>4615468034</v>
      </c>
      <c r="D2186" s="93">
        <v>21000</v>
      </c>
      <c r="F2186" s="91">
        <v>16</v>
      </c>
      <c r="G2186" s="96">
        <v>5</v>
      </c>
      <c r="H2186" s="94">
        <v>0</v>
      </c>
      <c r="I2186" s="91">
        <v>0</v>
      </c>
      <c r="J2186" s="41"/>
      <c r="K2186" s="41">
        <v>43220</v>
      </c>
      <c r="L2186" s="69" t="s">
        <v>80</v>
      </c>
      <c r="M2186" s="69" t="s">
        <v>286</v>
      </c>
      <c r="N2186" s="95"/>
      <c r="P2186" t="s">
        <v>95</v>
      </c>
      <c r="Q2186" t="s">
        <v>120</v>
      </c>
      <c r="R2186" s="92" t="s">
        <v>69</v>
      </c>
      <c r="S2186" s="92" t="s">
        <v>123</v>
      </c>
      <c r="V2186" s="95">
        <v>43220</v>
      </c>
      <c r="W2186" s="92">
        <v>2030480</v>
      </c>
      <c r="X2186" s="90" t="s">
        <v>321</v>
      </c>
      <c r="Y2186" s="123"/>
      <c r="Z2186" s="30">
        <f t="shared" si="68"/>
        <v>7407.5320094118861</v>
      </c>
      <c r="AA2186" s="30">
        <f t="shared" si="69"/>
        <v>2314.8537529412147</v>
      </c>
      <c r="AB2186" t="s">
        <v>457</v>
      </c>
    </row>
    <row r="2187" spans="1:28">
      <c r="A2187" t="s">
        <v>122</v>
      </c>
      <c r="B2187" s="91"/>
      <c r="C2187" s="92">
        <v>4615468034</v>
      </c>
      <c r="D2187" s="93">
        <v>21000</v>
      </c>
      <c r="F2187" s="91">
        <v>16</v>
      </c>
      <c r="G2187" s="96">
        <v>5</v>
      </c>
      <c r="H2187" s="94">
        <v>0</v>
      </c>
      <c r="I2187" s="91">
        <v>0</v>
      </c>
      <c r="J2187" s="41"/>
      <c r="K2187" s="41">
        <v>43220</v>
      </c>
      <c r="L2187" s="69" t="s">
        <v>80</v>
      </c>
      <c r="M2187" s="69" t="s">
        <v>286</v>
      </c>
      <c r="N2187" s="95"/>
      <c r="P2187" t="s">
        <v>95</v>
      </c>
      <c r="Q2187" t="s">
        <v>120</v>
      </c>
      <c r="R2187" s="92" t="s">
        <v>69</v>
      </c>
      <c r="S2187" s="92" t="s">
        <v>123</v>
      </c>
      <c r="V2187" s="95">
        <v>43220</v>
      </c>
      <c r="W2187" s="92">
        <v>2030480</v>
      </c>
      <c r="X2187" s="90" t="s">
        <v>321</v>
      </c>
      <c r="Y2187" s="123"/>
      <c r="Z2187" s="30">
        <f t="shared" si="68"/>
        <v>7407.5320094118861</v>
      </c>
      <c r="AA2187" s="30">
        <f t="shared" si="69"/>
        <v>2314.8537529412147</v>
      </c>
      <c r="AB2187" t="s">
        <v>457</v>
      </c>
    </row>
    <row r="2188" spans="1:28">
      <c r="A2188" t="s">
        <v>122</v>
      </c>
      <c r="B2188" s="91"/>
      <c r="C2188" s="92">
        <v>4615468034</v>
      </c>
      <c r="D2188" s="93">
        <v>21000</v>
      </c>
      <c r="F2188" s="91">
        <v>16</v>
      </c>
      <c r="G2188" s="96">
        <v>5</v>
      </c>
      <c r="H2188" s="94">
        <v>0</v>
      </c>
      <c r="I2188" s="91">
        <v>0</v>
      </c>
      <c r="J2188" s="41"/>
      <c r="K2188" s="41">
        <v>43220</v>
      </c>
      <c r="L2188" s="69" t="s">
        <v>80</v>
      </c>
      <c r="M2188" s="69" t="s">
        <v>286</v>
      </c>
      <c r="N2188" s="95"/>
      <c r="P2188" t="s">
        <v>95</v>
      </c>
      <c r="Q2188" t="s">
        <v>120</v>
      </c>
      <c r="R2188" s="92" t="s">
        <v>69</v>
      </c>
      <c r="S2188" s="92" t="s">
        <v>123</v>
      </c>
      <c r="V2188" s="95">
        <v>43220</v>
      </c>
      <c r="W2188" s="92">
        <v>2030480</v>
      </c>
      <c r="X2188" s="90" t="s">
        <v>321</v>
      </c>
      <c r="Y2188" s="123"/>
      <c r="Z2188" s="30">
        <f t="shared" si="68"/>
        <v>7407.5320094118861</v>
      </c>
      <c r="AA2188" s="30">
        <f t="shared" si="69"/>
        <v>2314.8537529412147</v>
      </c>
      <c r="AB2188" t="s">
        <v>457</v>
      </c>
    </row>
    <row r="2189" spans="1:28">
      <c r="A2189" t="s">
        <v>122</v>
      </c>
      <c r="B2189" s="91"/>
      <c r="C2189" s="92">
        <v>4615468034</v>
      </c>
      <c r="D2189" s="93">
        <v>21000</v>
      </c>
      <c r="F2189" s="91">
        <v>16</v>
      </c>
      <c r="G2189" s="96">
        <v>5</v>
      </c>
      <c r="H2189" s="94">
        <v>0</v>
      </c>
      <c r="I2189" s="91">
        <v>0</v>
      </c>
      <c r="J2189" s="41"/>
      <c r="K2189" s="41">
        <v>43220</v>
      </c>
      <c r="L2189" s="69" t="s">
        <v>80</v>
      </c>
      <c r="M2189" s="69" t="s">
        <v>286</v>
      </c>
      <c r="N2189" s="95"/>
      <c r="P2189" t="s">
        <v>95</v>
      </c>
      <c r="Q2189" t="s">
        <v>120</v>
      </c>
      <c r="R2189" s="92" t="s">
        <v>69</v>
      </c>
      <c r="S2189" s="92" t="s">
        <v>123</v>
      </c>
      <c r="V2189" s="95">
        <v>43220</v>
      </c>
      <c r="W2189" s="92">
        <v>2030480</v>
      </c>
      <c r="X2189" s="90" t="s">
        <v>321</v>
      </c>
      <c r="Y2189" s="123"/>
      <c r="Z2189" s="30">
        <f t="shared" si="68"/>
        <v>7407.5320094118861</v>
      </c>
      <c r="AA2189" s="30">
        <f t="shared" si="69"/>
        <v>2314.8537529412147</v>
      </c>
      <c r="AB2189" t="s">
        <v>457</v>
      </c>
    </row>
    <row r="2190" spans="1:28">
      <c r="A2190" t="s">
        <v>122</v>
      </c>
      <c r="B2190" s="91">
        <v>1331462</v>
      </c>
      <c r="C2190" s="92">
        <v>4615452016</v>
      </c>
      <c r="D2190" s="93">
        <v>19200</v>
      </c>
      <c r="F2190" s="91">
        <v>16</v>
      </c>
      <c r="G2190" s="96">
        <v>5</v>
      </c>
      <c r="H2190" s="94">
        <v>0</v>
      </c>
      <c r="I2190" s="91">
        <v>0</v>
      </c>
      <c r="J2190" s="41">
        <v>43158</v>
      </c>
      <c r="K2190" s="41">
        <v>43220</v>
      </c>
      <c r="L2190" s="69" t="s">
        <v>119</v>
      </c>
      <c r="M2190" s="69" t="s">
        <v>299</v>
      </c>
      <c r="N2190" s="95"/>
      <c r="P2190" t="s">
        <v>95</v>
      </c>
      <c r="Q2190" t="s">
        <v>120</v>
      </c>
      <c r="R2190" s="92" t="s">
        <v>69</v>
      </c>
      <c r="S2190" s="92" t="s">
        <v>123</v>
      </c>
      <c r="V2190" s="95">
        <v>43220</v>
      </c>
      <c r="W2190" s="92">
        <v>2030491</v>
      </c>
      <c r="X2190" s="90"/>
      <c r="Y2190" s="123"/>
      <c r="Z2190" s="30">
        <f t="shared" si="68"/>
        <v>6772.6006943194379</v>
      </c>
      <c r="AA2190" s="30">
        <f t="shared" si="69"/>
        <v>2116.4377169748245</v>
      </c>
      <c r="AB2190" t="s">
        <v>456</v>
      </c>
    </row>
    <row r="2191" spans="1:28">
      <c r="A2191" t="s">
        <v>122</v>
      </c>
      <c r="B2191" s="91">
        <v>1331463</v>
      </c>
      <c r="C2191" s="92">
        <v>4615452016</v>
      </c>
      <c r="D2191" s="93">
        <v>19200</v>
      </c>
      <c r="F2191" s="91">
        <v>16</v>
      </c>
      <c r="G2191" s="96">
        <v>5</v>
      </c>
      <c r="H2191" s="94">
        <v>0</v>
      </c>
      <c r="I2191" s="91">
        <v>0</v>
      </c>
      <c r="J2191" s="41">
        <v>43158</v>
      </c>
      <c r="K2191" s="41">
        <v>43220</v>
      </c>
      <c r="L2191" s="69" t="s">
        <v>119</v>
      </c>
      <c r="M2191" s="69" t="s">
        <v>299</v>
      </c>
      <c r="N2191" s="95"/>
      <c r="P2191" t="s">
        <v>95</v>
      </c>
      <c r="Q2191" t="s">
        <v>120</v>
      </c>
      <c r="R2191" s="92" t="s">
        <v>69</v>
      </c>
      <c r="S2191" s="92" t="s">
        <v>123</v>
      </c>
      <c r="V2191" s="95">
        <v>43220</v>
      </c>
      <c r="W2191" s="92">
        <v>2030491</v>
      </c>
      <c r="X2191" s="90"/>
      <c r="Y2191" s="123"/>
      <c r="Z2191" s="30">
        <f t="shared" si="68"/>
        <v>6772.6006943194379</v>
      </c>
      <c r="AA2191" s="30">
        <f t="shared" si="69"/>
        <v>2116.4377169748245</v>
      </c>
      <c r="AB2191" t="s">
        <v>456</v>
      </c>
    </row>
    <row r="2192" spans="1:28">
      <c r="A2192" t="s">
        <v>122</v>
      </c>
      <c r="B2192" s="91">
        <v>1331464</v>
      </c>
      <c r="C2192" s="92">
        <v>4615452016</v>
      </c>
      <c r="D2192" s="93">
        <v>19200</v>
      </c>
      <c r="F2192" s="91">
        <v>16</v>
      </c>
      <c r="G2192" s="96">
        <v>5</v>
      </c>
      <c r="H2192" s="94">
        <v>0</v>
      </c>
      <c r="I2192" s="91">
        <v>0</v>
      </c>
      <c r="J2192" s="41">
        <v>43158</v>
      </c>
      <c r="K2192" s="41">
        <v>43220</v>
      </c>
      <c r="L2192" s="69" t="s">
        <v>119</v>
      </c>
      <c r="M2192" s="69" t="s">
        <v>299</v>
      </c>
      <c r="N2192" s="95"/>
      <c r="P2192" t="s">
        <v>95</v>
      </c>
      <c r="Q2192" t="s">
        <v>120</v>
      </c>
      <c r="R2192" s="92" t="s">
        <v>69</v>
      </c>
      <c r="S2192" s="92" t="s">
        <v>123</v>
      </c>
      <c r="V2192" s="95">
        <v>43220</v>
      </c>
      <c r="W2192" s="92">
        <v>2030491</v>
      </c>
      <c r="X2192" s="90"/>
      <c r="Y2192" s="123"/>
      <c r="Z2192" s="30">
        <f t="shared" si="68"/>
        <v>6772.6006943194379</v>
      </c>
      <c r="AA2192" s="30">
        <f t="shared" si="69"/>
        <v>2116.4377169748245</v>
      </c>
      <c r="AB2192" t="s">
        <v>456</v>
      </c>
    </row>
    <row r="2193" spans="1:28">
      <c r="A2193" t="s">
        <v>113</v>
      </c>
      <c r="B2193" s="91">
        <v>1332246</v>
      </c>
      <c r="C2193" s="92">
        <v>4615486529</v>
      </c>
      <c r="D2193" s="93">
        <v>19175</v>
      </c>
      <c r="F2193" s="91">
        <v>16</v>
      </c>
      <c r="G2193" s="91">
        <v>0</v>
      </c>
      <c r="H2193" s="94">
        <v>0</v>
      </c>
      <c r="I2193" s="91">
        <v>0</v>
      </c>
      <c r="J2193" s="41"/>
      <c r="K2193" s="41">
        <v>43220</v>
      </c>
      <c r="L2193" s="69" t="s">
        <v>80</v>
      </c>
      <c r="M2193" s="69" t="s">
        <v>286</v>
      </c>
      <c r="N2193" s="95"/>
      <c r="P2193" t="s">
        <v>95</v>
      </c>
      <c r="Q2193" t="s">
        <v>110</v>
      </c>
      <c r="R2193" s="92" t="s">
        <v>69</v>
      </c>
      <c r="S2193" s="92" t="s">
        <v>115</v>
      </c>
      <c r="V2193" s="95">
        <v>43220</v>
      </c>
      <c r="W2193" s="92">
        <v>17070153</v>
      </c>
      <c r="X2193" s="90"/>
      <c r="Y2193" s="123"/>
      <c r="Z2193" s="30">
        <f t="shared" si="68"/>
        <v>6763.7822038320437</v>
      </c>
      <c r="AA2193" s="30">
        <f t="shared" si="69"/>
        <v>0</v>
      </c>
      <c r="AB2193" t="s">
        <v>458</v>
      </c>
    </row>
    <row r="2194" spans="1:28">
      <c r="A2194" t="s">
        <v>113</v>
      </c>
      <c r="B2194" s="91">
        <v>1332245</v>
      </c>
      <c r="C2194" s="92">
        <v>4615486529</v>
      </c>
      <c r="D2194" s="93">
        <v>19175</v>
      </c>
      <c r="F2194" s="91">
        <v>16</v>
      </c>
      <c r="G2194" s="91">
        <v>0</v>
      </c>
      <c r="H2194" s="94">
        <v>0</v>
      </c>
      <c r="I2194" s="91">
        <v>0</v>
      </c>
      <c r="J2194" s="41"/>
      <c r="K2194" s="41">
        <v>43220</v>
      </c>
      <c r="L2194" s="69" t="s">
        <v>80</v>
      </c>
      <c r="M2194" s="69" t="s">
        <v>286</v>
      </c>
      <c r="N2194" s="95"/>
      <c r="P2194" t="s">
        <v>95</v>
      </c>
      <c r="Q2194" t="s">
        <v>110</v>
      </c>
      <c r="R2194" s="92" t="s">
        <v>69</v>
      </c>
      <c r="S2194" s="92" t="s">
        <v>115</v>
      </c>
      <c r="V2194" s="95">
        <v>43220</v>
      </c>
      <c r="W2194" s="92">
        <v>17070153</v>
      </c>
      <c r="X2194" s="90"/>
      <c r="Y2194" s="123"/>
      <c r="Z2194" s="30">
        <f t="shared" si="68"/>
        <v>6763.7822038320437</v>
      </c>
      <c r="AA2194" s="30">
        <f t="shared" si="69"/>
        <v>0</v>
      </c>
      <c r="AB2194" t="s">
        <v>458</v>
      </c>
    </row>
    <row r="2195" spans="1:28">
      <c r="A2195" t="s">
        <v>113</v>
      </c>
      <c r="B2195" s="91">
        <v>1332242</v>
      </c>
      <c r="C2195" s="92">
        <v>4615486529</v>
      </c>
      <c r="D2195" s="93">
        <v>19175</v>
      </c>
      <c r="F2195" s="91">
        <v>16</v>
      </c>
      <c r="G2195" s="91">
        <v>0</v>
      </c>
      <c r="H2195" s="94">
        <v>0</v>
      </c>
      <c r="I2195" s="91">
        <v>0</v>
      </c>
      <c r="J2195" s="41"/>
      <c r="K2195" s="41">
        <v>43220</v>
      </c>
      <c r="L2195" s="69" t="s">
        <v>80</v>
      </c>
      <c r="M2195" s="69" t="s">
        <v>286</v>
      </c>
      <c r="N2195" s="95"/>
      <c r="P2195" t="s">
        <v>95</v>
      </c>
      <c r="Q2195" t="s">
        <v>110</v>
      </c>
      <c r="R2195" s="92" t="s">
        <v>69</v>
      </c>
      <c r="S2195" s="92" t="s">
        <v>115</v>
      </c>
      <c r="V2195" s="95">
        <v>43220</v>
      </c>
      <c r="W2195" s="92">
        <v>17070153</v>
      </c>
      <c r="X2195" s="90"/>
      <c r="Y2195" s="123"/>
      <c r="Z2195" s="30">
        <f t="shared" si="68"/>
        <v>6763.7822038320437</v>
      </c>
      <c r="AA2195" s="30">
        <f t="shared" si="69"/>
        <v>0</v>
      </c>
      <c r="AB2195" t="s">
        <v>458</v>
      </c>
    </row>
    <row r="2196" spans="1:28">
      <c r="A2196" t="s">
        <v>113</v>
      </c>
      <c r="B2196" s="91">
        <v>1332247</v>
      </c>
      <c r="C2196" s="92">
        <v>4615486529</v>
      </c>
      <c r="D2196" s="93">
        <v>19175</v>
      </c>
      <c r="F2196" s="91">
        <v>16</v>
      </c>
      <c r="G2196" s="91">
        <v>0</v>
      </c>
      <c r="H2196" s="94">
        <v>0</v>
      </c>
      <c r="I2196" s="91">
        <v>0</v>
      </c>
      <c r="J2196" s="41"/>
      <c r="K2196" s="41">
        <v>43220</v>
      </c>
      <c r="L2196" s="69" t="s">
        <v>80</v>
      </c>
      <c r="M2196" s="69" t="s">
        <v>286</v>
      </c>
      <c r="N2196" s="95"/>
      <c r="P2196" t="s">
        <v>95</v>
      </c>
      <c r="Q2196" t="s">
        <v>110</v>
      </c>
      <c r="R2196" s="92" t="s">
        <v>69</v>
      </c>
      <c r="S2196" s="92" t="s">
        <v>115</v>
      </c>
      <c r="V2196" s="95">
        <v>43220</v>
      </c>
      <c r="W2196" s="92">
        <v>17070153</v>
      </c>
      <c r="X2196" s="90"/>
      <c r="Y2196" s="123"/>
      <c r="Z2196" s="30">
        <f t="shared" si="68"/>
        <v>6763.7822038320437</v>
      </c>
      <c r="AA2196" s="30">
        <f t="shared" si="69"/>
        <v>0</v>
      </c>
      <c r="AB2196" t="s">
        <v>458</v>
      </c>
    </row>
    <row r="2197" spans="1:28">
      <c r="A2197" t="s">
        <v>113</v>
      </c>
      <c r="B2197" s="91">
        <v>1332243</v>
      </c>
      <c r="C2197" s="92">
        <v>4615486529</v>
      </c>
      <c r="D2197" s="93">
        <v>19175</v>
      </c>
      <c r="F2197" s="91">
        <v>16</v>
      </c>
      <c r="G2197" s="91">
        <v>0</v>
      </c>
      <c r="H2197" s="94">
        <v>0</v>
      </c>
      <c r="I2197" s="91">
        <v>0</v>
      </c>
      <c r="J2197" s="41"/>
      <c r="K2197" s="41">
        <v>43220</v>
      </c>
      <c r="L2197" s="69" t="s">
        <v>80</v>
      </c>
      <c r="M2197" s="69" t="s">
        <v>286</v>
      </c>
      <c r="N2197" s="95"/>
      <c r="P2197" t="s">
        <v>95</v>
      </c>
      <c r="Q2197" t="s">
        <v>110</v>
      </c>
      <c r="R2197" s="92" t="s">
        <v>69</v>
      </c>
      <c r="S2197" s="92" t="s">
        <v>115</v>
      </c>
      <c r="V2197" s="95">
        <v>43220</v>
      </c>
      <c r="W2197" s="92">
        <v>17070153</v>
      </c>
      <c r="X2197" s="90"/>
      <c r="Y2197" s="123"/>
      <c r="Z2197" s="30">
        <f t="shared" si="68"/>
        <v>6763.7822038320437</v>
      </c>
      <c r="AA2197" s="30">
        <f t="shared" si="69"/>
        <v>0</v>
      </c>
      <c r="AB2197" t="s">
        <v>458</v>
      </c>
    </row>
    <row r="2198" spans="1:28">
      <c r="A2198" t="s">
        <v>113</v>
      </c>
      <c r="B2198" s="91">
        <v>1332241</v>
      </c>
      <c r="C2198" s="92">
        <v>4615486529</v>
      </c>
      <c r="D2198" s="93">
        <v>19175</v>
      </c>
      <c r="F2198" s="91">
        <v>16</v>
      </c>
      <c r="G2198" s="91">
        <v>0</v>
      </c>
      <c r="H2198" s="94">
        <v>0</v>
      </c>
      <c r="I2198" s="91">
        <v>0</v>
      </c>
      <c r="J2198" s="41"/>
      <c r="K2198" s="41">
        <v>43220</v>
      </c>
      <c r="L2198" s="69" t="s">
        <v>80</v>
      </c>
      <c r="M2198" s="69" t="s">
        <v>286</v>
      </c>
      <c r="N2198" s="95"/>
      <c r="P2198" t="s">
        <v>95</v>
      </c>
      <c r="Q2198" t="s">
        <v>110</v>
      </c>
      <c r="R2198" s="92" t="s">
        <v>69</v>
      </c>
      <c r="S2198" s="92" t="s">
        <v>115</v>
      </c>
      <c r="V2198" s="95">
        <v>43220</v>
      </c>
      <c r="W2198" s="92">
        <v>17070153</v>
      </c>
      <c r="X2198" s="90"/>
      <c r="Y2198" s="123"/>
      <c r="Z2198" s="30">
        <f t="shared" si="68"/>
        <v>6763.7822038320437</v>
      </c>
      <c r="AA2198" s="30">
        <f t="shared" si="69"/>
        <v>0</v>
      </c>
      <c r="AB2198" t="s">
        <v>458</v>
      </c>
    </row>
    <row r="2199" spans="1:28">
      <c r="A2199" t="s">
        <v>113</v>
      </c>
      <c r="B2199" s="91"/>
      <c r="C2199" s="92">
        <v>4615486529</v>
      </c>
      <c r="D2199" s="93">
        <v>19175</v>
      </c>
      <c r="F2199" s="91">
        <v>16</v>
      </c>
      <c r="G2199" s="91">
        <v>0</v>
      </c>
      <c r="H2199" s="94">
        <v>0</v>
      </c>
      <c r="I2199" s="91">
        <v>0</v>
      </c>
      <c r="J2199" s="41"/>
      <c r="K2199" s="41">
        <v>43220</v>
      </c>
      <c r="L2199" s="69" t="s">
        <v>80</v>
      </c>
      <c r="M2199" s="69" t="s">
        <v>286</v>
      </c>
      <c r="N2199" s="95"/>
      <c r="P2199" t="s">
        <v>95</v>
      </c>
      <c r="Q2199" t="s">
        <v>110</v>
      </c>
      <c r="R2199" s="92" t="s">
        <v>69</v>
      </c>
      <c r="S2199" s="92" t="s">
        <v>115</v>
      </c>
      <c r="V2199" s="95">
        <v>43220</v>
      </c>
      <c r="W2199" s="92">
        <v>17070153</v>
      </c>
      <c r="X2199" s="90"/>
      <c r="Y2199" s="123"/>
      <c r="Z2199" s="30">
        <f t="shared" si="68"/>
        <v>6763.7822038320437</v>
      </c>
      <c r="AA2199" s="30">
        <f t="shared" si="69"/>
        <v>0</v>
      </c>
      <c r="AB2199" t="s">
        <v>457</v>
      </c>
    </row>
    <row r="2200" spans="1:28">
      <c r="A2200" t="s">
        <v>113</v>
      </c>
      <c r="B2200" s="91"/>
      <c r="C2200" s="92">
        <v>4615486529</v>
      </c>
      <c r="D2200" s="93">
        <v>19175</v>
      </c>
      <c r="F2200" s="91">
        <v>16</v>
      </c>
      <c r="G2200" s="91">
        <v>0</v>
      </c>
      <c r="H2200" s="94">
        <v>0</v>
      </c>
      <c r="I2200" s="91">
        <v>0</v>
      </c>
      <c r="J2200" s="41"/>
      <c r="K2200" s="41">
        <v>43220</v>
      </c>
      <c r="L2200" s="69" t="s">
        <v>80</v>
      </c>
      <c r="M2200" s="69" t="s">
        <v>286</v>
      </c>
      <c r="N2200" s="95"/>
      <c r="P2200" t="s">
        <v>95</v>
      </c>
      <c r="Q2200" t="s">
        <v>110</v>
      </c>
      <c r="R2200" s="92" t="s">
        <v>69</v>
      </c>
      <c r="S2200" s="92" t="s">
        <v>115</v>
      </c>
      <c r="V2200" s="95">
        <v>43220</v>
      </c>
      <c r="W2200" s="92">
        <v>17070153</v>
      </c>
      <c r="X2200" s="90"/>
      <c r="Y2200" s="123"/>
      <c r="Z2200" s="30">
        <f t="shared" si="68"/>
        <v>6763.7822038320437</v>
      </c>
      <c r="AA2200" s="30">
        <f t="shared" si="69"/>
        <v>0</v>
      </c>
      <c r="AB2200" t="s">
        <v>457</v>
      </c>
    </row>
    <row r="2201" spans="1:28">
      <c r="A2201" t="s">
        <v>113</v>
      </c>
      <c r="B2201" s="91"/>
      <c r="C2201" s="92">
        <v>4615486529</v>
      </c>
      <c r="D2201" s="93">
        <v>19175</v>
      </c>
      <c r="F2201" s="91">
        <v>16</v>
      </c>
      <c r="G2201" s="91">
        <v>0</v>
      </c>
      <c r="H2201" s="94">
        <v>0</v>
      </c>
      <c r="I2201" s="91">
        <v>0</v>
      </c>
      <c r="J2201" s="41"/>
      <c r="K2201" s="41">
        <v>43220</v>
      </c>
      <c r="L2201" s="69" t="s">
        <v>80</v>
      </c>
      <c r="M2201" s="69" t="s">
        <v>286</v>
      </c>
      <c r="N2201" s="95"/>
      <c r="P2201" t="s">
        <v>95</v>
      </c>
      <c r="Q2201" t="s">
        <v>110</v>
      </c>
      <c r="R2201" s="92" t="s">
        <v>69</v>
      </c>
      <c r="S2201" s="92" t="s">
        <v>115</v>
      </c>
      <c r="V2201" s="95">
        <v>43220</v>
      </c>
      <c r="W2201" s="92">
        <v>17070153</v>
      </c>
      <c r="X2201" s="90"/>
      <c r="Y2201" s="123"/>
      <c r="Z2201" s="30">
        <f t="shared" si="68"/>
        <v>6763.7822038320437</v>
      </c>
      <c r="AA2201" s="30">
        <f t="shared" si="69"/>
        <v>0</v>
      </c>
      <c r="AB2201" t="s">
        <v>457</v>
      </c>
    </row>
    <row r="2202" spans="1:28">
      <c r="A2202" t="s">
        <v>113</v>
      </c>
      <c r="B2202" s="91"/>
      <c r="C2202" s="92">
        <v>4615486529</v>
      </c>
      <c r="D2202" s="93">
        <v>19175</v>
      </c>
      <c r="F2202" s="91">
        <v>16</v>
      </c>
      <c r="G2202" s="91">
        <v>0</v>
      </c>
      <c r="H2202" s="94">
        <v>0</v>
      </c>
      <c r="I2202" s="91">
        <v>0</v>
      </c>
      <c r="J2202" s="41"/>
      <c r="K2202" s="41">
        <v>43220</v>
      </c>
      <c r="L2202" s="69" t="s">
        <v>80</v>
      </c>
      <c r="M2202" s="69" t="s">
        <v>286</v>
      </c>
      <c r="N2202" s="95"/>
      <c r="P2202" t="s">
        <v>95</v>
      </c>
      <c r="Q2202" t="s">
        <v>110</v>
      </c>
      <c r="R2202" s="92" t="s">
        <v>69</v>
      </c>
      <c r="S2202" s="92" t="s">
        <v>115</v>
      </c>
      <c r="V2202" s="95">
        <v>43220</v>
      </c>
      <c r="W2202" s="92">
        <v>17070153</v>
      </c>
      <c r="X2202" s="90"/>
      <c r="Y2202" s="123"/>
      <c r="Z2202" s="30">
        <f t="shared" si="68"/>
        <v>6763.7822038320437</v>
      </c>
      <c r="AA2202" s="30">
        <f t="shared" si="69"/>
        <v>0</v>
      </c>
      <c r="AB2202" t="s">
        <v>457</v>
      </c>
    </row>
    <row r="2203" spans="1:28">
      <c r="A2203" t="s">
        <v>113</v>
      </c>
      <c r="B2203" s="91"/>
      <c r="C2203" s="92">
        <v>4615486529</v>
      </c>
      <c r="D2203" s="93">
        <v>19175</v>
      </c>
      <c r="F2203" s="91">
        <v>16</v>
      </c>
      <c r="G2203" s="91">
        <v>0</v>
      </c>
      <c r="H2203" s="94">
        <v>0</v>
      </c>
      <c r="I2203" s="91">
        <v>0</v>
      </c>
      <c r="J2203" s="41"/>
      <c r="K2203" s="41">
        <v>43220</v>
      </c>
      <c r="L2203" s="69" t="s">
        <v>80</v>
      </c>
      <c r="M2203" s="69" t="s">
        <v>286</v>
      </c>
      <c r="N2203" s="95"/>
      <c r="P2203" t="s">
        <v>95</v>
      </c>
      <c r="Q2203" t="s">
        <v>110</v>
      </c>
      <c r="R2203" s="92" t="s">
        <v>69</v>
      </c>
      <c r="S2203" s="92" t="s">
        <v>115</v>
      </c>
      <c r="V2203" s="95">
        <v>43220</v>
      </c>
      <c r="W2203" s="92">
        <v>17070153</v>
      </c>
      <c r="X2203" s="90"/>
      <c r="Y2203" s="123"/>
      <c r="Z2203" s="30">
        <f t="shared" si="68"/>
        <v>6763.7822038320437</v>
      </c>
      <c r="AA2203" s="30">
        <f t="shared" si="69"/>
        <v>0</v>
      </c>
      <c r="AB2203" t="s">
        <v>457</v>
      </c>
    </row>
    <row r="2204" spans="1:28">
      <c r="A2204" t="s">
        <v>113</v>
      </c>
      <c r="B2204" s="91"/>
      <c r="C2204" s="92">
        <v>4615486529</v>
      </c>
      <c r="D2204" s="93">
        <v>19175</v>
      </c>
      <c r="F2204" s="91">
        <v>16</v>
      </c>
      <c r="G2204" s="91">
        <v>0</v>
      </c>
      <c r="H2204" s="94">
        <v>0</v>
      </c>
      <c r="I2204" s="91">
        <v>0</v>
      </c>
      <c r="J2204" s="41"/>
      <c r="K2204" s="41">
        <v>43220</v>
      </c>
      <c r="L2204" s="69" t="s">
        <v>80</v>
      </c>
      <c r="M2204" s="69" t="s">
        <v>286</v>
      </c>
      <c r="N2204" s="95"/>
      <c r="P2204" t="s">
        <v>95</v>
      </c>
      <c r="Q2204" t="s">
        <v>110</v>
      </c>
      <c r="R2204" s="92" t="s">
        <v>69</v>
      </c>
      <c r="S2204" s="92" t="s">
        <v>115</v>
      </c>
      <c r="V2204" s="95">
        <v>43220</v>
      </c>
      <c r="W2204" s="92">
        <v>17070153</v>
      </c>
      <c r="X2204" s="90"/>
      <c r="Y2204" s="123"/>
      <c r="Z2204" s="30">
        <f t="shared" si="68"/>
        <v>6763.7822038320437</v>
      </c>
      <c r="AA2204" s="30">
        <f t="shared" si="69"/>
        <v>0</v>
      </c>
      <c r="AB2204" t="s">
        <v>457</v>
      </c>
    </row>
    <row r="2205" spans="1:28">
      <c r="A2205" t="s">
        <v>113</v>
      </c>
      <c r="B2205" s="91"/>
      <c r="C2205" s="92">
        <v>4615486529</v>
      </c>
      <c r="D2205" s="93">
        <v>19175</v>
      </c>
      <c r="F2205" s="91">
        <v>16</v>
      </c>
      <c r="G2205" s="91">
        <v>0</v>
      </c>
      <c r="H2205" s="94">
        <v>0</v>
      </c>
      <c r="I2205" s="91">
        <v>0</v>
      </c>
      <c r="J2205" s="41"/>
      <c r="K2205" s="41">
        <v>43220</v>
      </c>
      <c r="L2205" s="69" t="s">
        <v>80</v>
      </c>
      <c r="M2205" s="69" t="s">
        <v>286</v>
      </c>
      <c r="N2205" s="95"/>
      <c r="P2205" t="s">
        <v>95</v>
      </c>
      <c r="Q2205" t="s">
        <v>110</v>
      </c>
      <c r="R2205" s="92" t="s">
        <v>69</v>
      </c>
      <c r="S2205" s="92" t="s">
        <v>115</v>
      </c>
      <c r="V2205" s="95">
        <v>43220</v>
      </c>
      <c r="W2205" s="92">
        <v>17070153</v>
      </c>
      <c r="X2205" s="90"/>
      <c r="Y2205" s="123"/>
      <c r="Z2205" s="30">
        <f t="shared" si="68"/>
        <v>6763.7822038320437</v>
      </c>
      <c r="AA2205" s="30">
        <f t="shared" si="69"/>
        <v>0</v>
      </c>
      <c r="AB2205" t="s">
        <v>457</v>
      </c>
    </row>
    <row r="2206" spans="1:28">
      <c r="A2206" t="s">
        <v>113</v>
      </c>
      <c r="B2206" s="91"/>
      <c r="C2206" s="92">
        <v>4615486529</v>
      </c>
      <c r="D2206" s="93">
        <v>19175</v>
      </c>
      <c r="F2206" s="91">
        <v>16</v>
      </c>
      <c r="G2206" s="91">
        <v>0</v>
      </c>
      <c r="H2206" s="94">
        <v>0</v>
      </c>
      <c r="I2206" s="91">
        <v>0</v>
      </c>
      <c r="J2206" s="41"/>
      <c r="K2206" s="41">
        <v>43220</v>
      </c>
      <c r="L2206" s="69" t="s">
        <v>80</v>
      </c>
      <c r="M2206" s="69" t="s">
        <v>286</v>
      </c>
      <c r="N2206" s="95"/>
      <c r="P2206" t="s">
        <v>95</v>
      </c>
      <c r="Q2206" t="s">
        <v>110</v>
      </c>
      <c r="R2206" s="92" t="s">
        <v>69</v>
      </c>
      <c r="S2206" s="92" t="s">
        <v>115</v>
      </c>
      <c r="V2206" s="95">
        <v>43220</v>
      </c>
      <c r="W2206" s="92">
        <v>17070153</v>
      </c>
      <c r="X2206" s="90"/>
      <c r="Y2206" s="123"/>
      <c r="Z2206" s="30">
        <f t="shared" si="68"/>
        <v>6763.7822038320437</v>
      </c>
      <c r="AA2206" s="30">
        <f t="shared" si="69"/>
        <v>0</v>
      </c>
      <c r="AB2206" t="s">
        <v>457</v>
      </c>
    </row>
    <row r="2207" spans="1:28">
      <c r="A2207" t="s">
        <v>113</v>
      </c>
      <c r="B2207" s="91"/>
      <c r="C2207" s="92">
        <v>4615486529</v>
      </c>
      <c r="D2207" s="93">
        <v>19175</v>
      </c>
      <c r="F2207" s="91">
        <v>16</v>
      </c>
      <c r="G2207" s="91">
        <v>0</v>
      </c>
      <c r="H2207" s="94">
        <v>0</v>
      </c>
      <c r="I2207" s="91">
        <v>0</v>
      </c>
      <c r="J2207" s="41"/>
      <c r="K2207" s="41">
        <v>43220</v>
      </c>
      <c r="L2207" s="69" t="s">
        <v>80</v>
      </c>
      <c r="M2207" s="69" t="s">
        <v>286</v>
      </c>
      <c r="N2207" s="95"/>
      <c r="P2207" t="s">
        <v>95</v>
      </c>
      <c r="Q2207" t="s">
        <v>110</v>
      </c>
      <c r="R2207" s="92" t="s">
        <v>69</v>
      </c>
      <c r="S2207" s="92" t="s">
        <v>115</v>
      </c>
      <c r="V2207" s="95">
        <v>43220</v>
      </c>
      <c r="W2207" s="92">
        <v>17070153</v>
      </c>
      <c r="X2207" s="90"/>
      <c r="Y2207" s="123"/>
      <c r="Z2207" s="30">
        <f t="shared" si="68"/>
        <v>6763.7822038320437</v>
      </c>
      <c r="AA2207" s="30">
        <f t="shared" si="69"/>
        <v>0</v>
      </c>
      <c r="AB2207" t="s">
        <v>457</v>
      </c>
    </row>
    <row r="2208" spans="1:28">
      <c r="A2208" t="s">
        <v>113</v>
      </c>
      <c r="B2208" s="91"/>
      <c r="C2208" s="92">
        <v>4615486529</v>
      </c>
      <c r="D2208" s="93">
        <v>19175</v>
      </c>
      <c r="F2208" s="91">
        <v>16</v>
      </c>
      <c r="G2208" s="91">
        <v>0</v>
      </c>
      <c r="H2208" s="94">
        <v>0</v>
      </c>
      <c r="I2208" s="91">
        <v>0</v>
      </c>
      <c r="J2208" s="41"/>
      <c r="K2208" s="41">
        <v>43220</v>
      </c>
      <c r="L2208" s="69" t="s">
        <v>80</v>
      </c>
      <c r="M2208" s="69" t="s">
        <v>286</v>
      </c>
      <c r="N2208" s="95"/>
      <c r="P2208" t="s">
        <v>95</v>
      </c>
      <c r="Q2208" t="s">
        <v>110</v>
      </c>
      <c r="R2208" s="92" t="s">
        <v>69</v>
      </c>
      <c r="S2208" s="92" t="s">
        <v>115</v>
      </c>
      <c r="V2208" s="95">
        <v>43220</v>
      </c>
      <c r="W2208" s="92">
        <v>17070153</v>
      </c>
      <c r="X2208" s="90"/>
      <c r="Y2208" s="123"/>
      <c r="Z2208" s="30">
        <f t="shared" si="68"/>
        <v>6763.7822038320437</v>
      </c>
      <c r="AA2208" s="30">
        <f t="shared" si="69"/>
        <v>0</v>
      </c>
      <c r="AB2208" t="s">
        <v>457</v>
      </c>
    </row>
    <row r="2209" spans="1:28">
      <c r="A2209" t="s">
        <v>113</v>
      </c>
      <c r="B2209" s="91"/>
      <c r="C2209" s="92">
        <v>4615486529</v>
      </c>
      <c r="D2209" s="93">
        <v>19175</v>
      </c>
      <c r="F2209" s="91">
        <v>16</v>
      </c>
      <c r="G2209" s="91">
        <v>0</v>
      </c>
      <c r="H2209" s="94">
        <v>0</v>
      </c>
      <c r="I2209" s="91">
        <v>0</v>
      </c>
      <c r="J2209" s="41"/>
      <c r="K2209" s="41">
        <v>43220</v>
      </c>
      <c r="L2209" s="69" t="s">
        <v>80</v>
      </c>
      <c r="M2209" s="69" t="s">
        <v>286</v>
      </c>
      <c r="N2209" s="95"/>
      <c r="P2209" t="s">
        <v>95</v>
      </c>
      <c r="Q2209" t="s">
        <v>110</v>
      </c>
      <c r="R2209" s="92" t="s">
        <v>69</v>
      </c>
      <c r="S2209" s="92" t="s">
        <v>115</v>
      </c>
      <c r="V2209" s="95">
        <v>43220</v>
      </c>
      <c r="W2209" s="92">
        <v>17070153</v>
      </c>
      <c r="X2209" s="90"/>
      <c r="Y2209" s="123"/>
      <c r="Z2209" s="30">
        <f t="shared" si="68"/>
        <v>6763.7822038320437</v>
      </c>
      <c r="AA2209" s="30">
        <f t="shared" si="69"/>
        <v>0</v>
      </c>
      <c r="AB2209" t="s">
        <v>457</v>
      </c>
    </row>
    <row r="2210" spans="1:28">
      <c r="A2210" t="s">
        <v>113</v>
      </c>
      <c r="B2210" s="91"/>
      <c r="C2210" s="92">
        <v>4615486529</v>
      </c>
      <c r="D2210" s="93">
        <v>19175</v>
      </c>
      <c r="F2210" s="91">
        <v>16</v>
      </c>
      <c r="G2210" s="91">
        <v>0</v>
      </c>
      <c r="H2210" s="94">
        <v>0</v>
      </c>
      <c r="I2210" s="91">
        <v>0</v>
      </c>
      <c r="J2210" s="41"/>
      <c r="K2210" s="41">
        <v>43220</v>
      </c>
      <c r="L2210" s="69" t="s">
        <v>80</v>
      </c>
      <c r="M2210" s="69" t="s">
        <v>286</v>
      </c>
      <c r="N2210" s="95"/>
      <c r="P2210" t="s">
        <v>95</v>
      </c>
      <c r="Q2210" t="s">
        <v>110</v>
      </c>
      <c r="R2210" s="92" t="s">
        <v>69</v>
      </c>
      <c r="S2210" s="92" t="s">
        <v>115</v>
      </c>
      <c r="V2210" s="95">
        <v>43220</v>
      </c>
      <c r="W2210" s="92">
        <v>17070153</v>
      </c>
      <c r="X2210" s="90"/>
      <c r="Y2210" s="123"/>
      <c r="Z2210" s="30">
        <f t="shared" si="68"/>
        <v>6763.7822038320437</v>
      </c>
      <c r="AA2210" s="30">
        <f t="shared" si="69"/>
        <v>0</v>
      </c>
      <c r="AB2210" t="s">
        <v>457</v>
      </c>
    </row>
    <row r="2211" spans="1:28">
      <c r="A2211" t="s">
        <v>113</v>
      </c>
      <c r="B2211" s="91"/>
      <c r="C2211" s="92">
        <v>4615486529</v>
      </c>
      <c r="D2211" s="93">
        <v>19175</v>
      </c>
      <c r="F2211" s="91">
        <v>16</v>
      </c>
      <c r="G2211" s="91">
        <v>0</v>
      </c>
      <c r="H2211" s="94">
        <v>0</v>
      </c>
      <c r="I2211" s="91">
        <v>0</v>
      </c>
      <c r="J2211" s="41"/>
      <c r="K2211" s="41">
        <v>43220</v>
      </c>
      <c r="L2211" s="69" t="s">
        <v>80</v>
      </c>
      <c r="M2211" s="69" t="s">
        <v>286</v>
      </c>
      <c r="N2211" s="95"/>
      <c r="P2211" t="s">
        <v>95</v>
      </c>
      <c r="Q2211" t="s">
        <v>110</v>
      </c>
      <c r="R2211" s="92" t="s">
        <v>69</v>
      </c>
      <c r="S2211" s="92" t="s">
        <v>115</v>
      </c>
      <c r="V2211" s="95">
        <v>43220</v>
      </c>
      <c r="W2211" s="92">
        <v>17070153</v>
      </c>
      <c r="X2211" s="90"/>
      <c r="Y2211" s="123"/>
      <c r="Z2211" s="30">
        <f t="shared" si="68"/>
        <v>6763.7822038320437</v>
      </c>
      <c r="AA2211" s="30">
        <f t="shared" si="69"/>
        <v>0</v>
      </c>
      <c r="AB2211" t="s">
        <v>457</v>
      </c>
    </row>
    <row r="2212" spans="1:28">
      <c r="A2212" t="s">
        <v>113</v>
      </c>
      <c r="B2212" s="91"/>
      <c r="C2212" s="92">
        <v>4615486529</v>
      </c>
      <c r="D2212" s="93">
        <v>19175</v>
      </c>
      <c r="F2212" s="91">
        <v>16</v>
      </c>
      <c r="G2212" s="91">
        <v>0</v>
      </c>
      <c r="H2212" s="94">
        <v>0</v>
      </c>
      <c r="I2212" s="91">
        <v>0</v>
      </c>
      <c r="J2212" s="41"/>
      <c r="K2212" s="41">
        <v>43220</v>
      </c>
      <c r="L2212" s="69" t="s">
        <v>80</v>
      </c>
      <c r="M2212" s="69" t="s">
        <v>286</v>
      </c>
      <c r="N2212" s="95"/>
      <c r="P2212" t="s">
        <v>95</v>
      </c>
      <c r="Q2212" t="s">
        <v>110</v>
      </c>
      <c r="R2212" s="92" t="s">
        <v>69</v>
      </c>
      <c r="S2212" s="92" t="s">
        <v>115</v>
      </c>
      <c r="V2212" s="95">
        <v>43220</v>
      </c>
      <c r="W2212" s="92">
        <v>17070153</v>
      </c>
      <c r="X2212" s="90"/>
      <c r="Y2212" s="123"/>
      <c r="Z2212" s="30">
        <f t="shared" si="68"/>
        <v>6763.7822038320437</v>
      </c>
      <c r="AA2212" s="30">
        <f t="shared" si="69"/>
        <v>0</v>
      </c>
      <c r="AB2212" t="s">
        <v>457</v>
      </c>
    </row>
    <row r="2213" spans="1:28">
      <c r="A2213" t="s">
        <v>113</v>
      </c>
      <c r="B2213" s="91"/>
      <c r="C2213" s="92">
        <v>4615476304</v>
      </c>
      <c r="D2213" s="93">
        <v>20700</v>
      </c>
      <c r="F2213" s="91">
        <v>16</v>
      </c>
      <c r="G2213" s="91">
        <v>0</v>
      </c>
      <c r="H2213" s="91">
        <v>0</v>
      </c>
      <c r="I2213" s="91">
        <v>0</v>
      </c>
      <c r="J2213" s="41"/>
      <c r="K2213" s="41">
        <v>43220</v>
      </c>
      <c r="L2213" s="69" t="s">
        <v>80</v>
      </c>
      <c r="M2213" s="69" t="s">
        <v>286</v>
      </c>
      <c r="N2213" s="95"/>
      <c r="P2213" t="s">
        <v>95</v>
      </c>
      <c r="Q2213" t="s">
        <v>110</v>
      </c>
      <c r="R2213" s="92" t="s">
        <v>69</v>
      </c>
      <c r="S2213" s="92" t="s">
        <v>115</v>
      </c>
      <c r="V2213" s="95">
        <v>43220</v>
      </c>
      <c r="W2213" s="92" t="s">
        <v>345</v>
      </c>
      <c r="X2213" s="90" t="s">
        <v>321</v>
      </c>
      <c r="Y2213" s="123"/>
      <c r="Z2213" s="30">
        <f t="shared" si="68"/>
        <v>7301.7101235631453</v>
      </c>
      <c r="AA2213" s="30">
        <f t="shared" si="69"/>
        <v>0</v>
      </c>
      <c r="AB2213" t="s">
        <v>457</v>
      </c>
    </row>
    <row r="2214" spans="1:28">
      <c r="A2214" t="s">
        <v>113</v>
      </c>
      <c r="B2214" s="91"/>
      <c r="C2214" s="92">
        <v>4615476304</v>
      </c>
      <c r="D2214" s="93">
        <v>20700</v>
      </c>
      <c r="F2214" s="91">
        <v>16</v>
      </c>
      <c r="G2214" s="91">
        <v>0</v>
      </c>
      <c r="H2214" s="91">
        <v>0</v>
      </c>
      <c r="I2214" s="91">
        <v>0</v>
      </c>
      <c r="J2214" s="41"/>
      <c r="K2214" s="41">
        <v>43220</v>
      </c>
      <c r="L2214" s="69" t="s">
        <v>80</v>
      </c>
      <c r="M2214" s="69" t="s">
        <v>286</v>
      </c>
      <c r="N2214" s="95"/>
      <c r="P2214" t="s">
        <v>95</v>
      </c>
      <c r="Q2214" t="s">
        <v>110</v>
      </c>
      <c r="R2214" s="92" t="s">
        <v>69</v>
      </c>
      <c r="S2214" s="92" t="s">
        <v>115</v>
      </c>
      <c r="V2214" s="95">
        <v>43220</v>
      </c>
      <c r="W2214" s="92" t="s">
        <v>345</v>
      </c>
      <c r="X2214" s="90" t="s">
        <v>321</v>
      </c>
      <c r="Y2214" s="123"/>
      <c r="Z2214" s="30">
        <f t="shared" si="68"/>
        <v>7301.7101235631453</v>
      </c>
      <c r="AA2214" s="30">
        <f t="shared" si="69"/>
        <v>0</v>
      </c>
      <c r="AB2214" t="s">
        <v>457</v>
      </c>
    </row>
    <row r="2215" spans="1:28">
      <c r="A2215" t="s">
        <v>113</v>
      </c>
      <c r="B2215" s="91"/>
      <c r="C2215" s="92">
        <v>4615476304</v>
      </c>
      <c r="D2215" s="93">
        <v>20700</v>
      </c>
      <c r="F2215" s="91">
        <v>16</v>
      </c>
      <c r="G2215" s="91">
        <v>0</v>
      </c>
      <c r="H2215" s="91">
        <v>0</v>
      </c>
      <c r="I2215" s="91">
        <v>0</v>
      </c>
      <c r="J2215" s="41"/>
      <c r="K2215" s="41">
        <v>43220</v>
      </c>
      <c r="L2215" s="69" t="s">
        <v>80</v>
      </c>
      <c r="M2215" s="69" t="s">
        <v>286</v>
      </c>
      <c r="N2215" s="95"/>
      <c r="P2215" t="s">
        <v>95</v>
      </c>
      <c r="Q2215" t="s">
        <v>110</v>
      </c>
      <c r="R2215" s="92" t="s">
        <v>69</v>
      </c>
      <c r="S2215" s="92" t="s">
        <v>115</v>
      </c>
      <c r="V2215" s="95">
        <v>43220</v>
      </c>
      <c r="W2215" s="92" t="s">
        <v>345</v>
      </c>
      <c r="X2215" s="90" t="s">
        <v>321</v>
      </c>
      <c r="Y2215" s="123"/>
      <c r="Z2215" s="30">
        <f t="shared" si="68"/>
        <v>7301.7101235631453</v>
      </c>
      <c r="AA2215" s="30">
        <f t="shared" si="69"/>
        <v>0</v>
      </c>
      <c r="AB2215" t="s">
        <v>457</v>
      </c>
    </row>
    <row r="2216" spans="1:28">
      <c r="A2216" t="s">
        <v>113</v>
      </c>
      <c r="B2216" s="91"/>
      <c r="C2216" s="92">
        <v>4615476304</v>
      </c>
      <c r="D2216" s="93">
        <v>20700</v>
      </c>
      <c r="F2216" s="91">
        <v>16</v>
      </c>
      <c r="G2216" s="91">
        <v>0</v>
      </c>
      <c r="H2216" s="91">
        <v>0</v>
      </c>
      <c r="I2216" s="91">
        <v>0</v>
      </c>
      <c r="J2216" s="41"/>
      <c r="K2216" s="41">
        <v>43220</v>
      </c>
      <c r="L2216" s="69" t="s">
        <v>80</v>
      </c>
      <c r="M2216" s="69" t="s">
        <v>286</v>
      </c>
      <c r="N2216" s="95"/>
      <c r="P2216" t="s">
        <v>95</v>
      </c>
      <c r="Q2216" t="s">
        <v>110</v>
      </c>
      <c r="R2216" s="92" t="s">
        <v>69</v>
      </c>
      <c r="S2216" s="92" t="s">
        <v>115</v>
      </c>
      <c r="V2216" s="95">
        <v>43220</v>
      </c>
      <c r="W2216" s="92" t="s">
        <v>345</v>
      </c>
      <c r="X2216" s="90" t="s">
        <v>321</v>
      </c>
      <c r="Y2216" s="123"/>
      <c r="Z2216" s="30">
        <f t="shared" si="68"/>
        <v>7301.7101235631453</v>
      </c>
      <c r="AA2216" s="30">
        <f t="shared" si="69"/>
        <v>0</v>
      </c>
      <c r="AB2216" t="s">
        <v>457</v>
      </c>
    </row>
    <row r="2217" spans="1:28">
      <c r="A2217" t="s">
        <v>113</v>
      </c>
      <c r="B2217" s="91"/>
      <c r="C2217" s="92">
        <v>4615476304</v>
      </c>
      <c r="D2217" s="93">
        <v>20700</v>
      </c>
      <c r="F2217" s="91">
        <v>16</v>
      </c>
      <c r="G2217" s="91">
        <v>0</v>
      </c>
      <c r="H2217" s="91">
        <v>0</v>
      </c>
      <c r="I2217" s="91">
        <v>0</v>
      </c>
      <c r="J2217" s="41"/>
      <c r="K2217" s="41">
        <v>43220</v>
      </c>
      <c r="L2217" s="69" t="s">
        <v>80</v>
      </c>
      <c r="M2217" s="69" t="s">
        <v>286</v>
      </c>
      <c r="N2217" s="95"/>
      <c r="P2217" t="s">
        <v>95</v>
      </c>
      <c r="Q2217" t="s">
        <v>110</v>
      </c>
      <c r="R2217" s="92" t="s">
        <v>69</v>
      </c>
      <c r="S2217" s="92" t="s">
        <v>115</v>
      </c>
      <c r="V2217" s="95">
        <v>43220</v>
      </c>
      <c r="W2217" s="92" t="s">
        <v>345</v>
      </c>
      <c r="X2217" s="90" t="s">
        <v>321</v>
      </c>
      <c r="Y2217" s="123"/>
      <c r="Z2217" s="30">
        <f t="shared" si="68"/>
        <v>7301.7101235631453</v>
      </c>
      <c r="AA2217" s="30">
        <f t="shared" si="69"/>
        <v>0</v>
      </c>
      <c r="AB2217" t="s">
        <v>457</v>
      </c>
    </row>
    <row r="2218" spans="1:28">
      <c r="A2218" t="s">
        <v>113</v>
      </c>
      <c r="B2218" s="91"/>
      <c r="C2218" s="92">
        <v>4615476304</v>
      </c>
      <c r="D2218" s="93">
        <v>20700</v>
      </c>
      <c r="F2218" s="91">
        <v>16</v>
      </c>
      <c r="G2218" s="91">
        <v>0</v>
      </c>
      <c r="H2218" s="91">
        <v>0</v>
      </c>
      <c r="I2218" s="91">
        <v>0</v>
      </c>
      <c r="J2218" s="41"/>
      <c r="K2218" s="41">
        <v>43220</v>
      </c>
      <c r="L2218" s="69" t="s">
        <v>80</v>
      </c>
      <c r="M2218" s="69" t="s">
        <v>286</v>
      </c>
      <c r="N2218" s="95"/>
      <c r="P2218" t="s">
        <v>95</v>
      </c>
      <c r="Q2218" t="s">
        <v>110</v>
      </c>
      <c r="R2218" s="92" t="s">
        <v>69</v>
      </c>
      <c r="S2218" s="92" t="s">
        <v>115</v>
      </c>
      <c r="V2218" s="95">
        <v>43220</v>
      </c>
      <c r="W2218" s="92" t="s">
        <v>345</v>
      </c>
      <c r="X2218" s="90" t="s">
        <v>321</v>
      </c>
      <c r="Y2218" s="123"/>
      <c r="Z2218" s="30">
        <f t="shared" si="68"/>
        <v>7301.7101235631453</v>
      </c>
      <c r="AA2218" s="30">
        <f t="shared" si="69"/>
        <v>0</v>
      </c>
      <c r="AB2218" t="s">
        <v>457</v>
      </c>
    </row>
    <row r="2219" spans="1:28">
      <c r="A2219" t="s">
        <v>113</v>
      </c>
      <c r="B2219" s="91"/>
      <c r="C2219" s="92">
        <v>4615476304</v>
      </c>
      <c r="D2219" s="93">
        <v>20700</v>
      </c>
      <c r="F2219" s="91">
        <v>16</v>
      </c>
      <c r="G2219" s="91">
        <v>0</v>
      </c>
      <c r="H2219" s="91">
        <v>0</v>
      </c>
      <c r="I2219" s="91">
        <v>0</v>
      </c>
      <c r="J2219" s="41"/>
      <c r="K2219" s="41">
        <v>43220</v>
      </c>
      <c r="L2219" s="69" t="s">
        <v>80</v>
      </c>
      <c r="M2219" s="69" t="s">
        <v>286</v>
      </c>
      <c r="N2219" s="95"/>
      <c r="P2219" t="s">
        <v>95</v>
      </c>
      <c r="Q2219" t="s">
        <v>110</v>
      </c>
      <c r="R2219" s="92" t="s">
        <v>69</v>
      </c>
      <c r="S2219" s="92" t="s">
        <v>115</v>
      </c>
      <c r="V2219" s="95">
        <v>43220</v>
      </c>
      <c r="W2219" s="92" t="s">
        <v>345</v>
      </c>
      <c r="X2219" s="90" t="s">
        <v>321</v>
      </c>
      <c r="Y2219" s="123"/>
      <c r="Z2219" s="30">
        <f t="shared" si="68"/>
        <v>7301.7101235631453</v>
      </c>
      <c r="AA2219" s="30">
        <f t="shared" si="69"/>
        <v>0</v>
      </c>
      <c r="AB2219" t="s">
        <v>457</v>
      </c>
    </row>
    <row r="2220" spans="1:28">
      <c r="A2220" t="s">
        <v>113</v>
      </c>
      <c r="B2220" s="91"/>
      <c r="C2220" s="92">
        <v>4615476304</v>
      </c>
      <c r="D2220" s="93">
        <v>20700</v>
      </c>
      <c r="F2220" s="91">
        <v>16</v>
      </c>
      <c r="G2220" s="91">
        <v>0</v>
      </c>
      <c r="H2220" s="91">
        <v>0</v>
      </c>
      <c r="I2220" s="91">
        <v>0</v>
      </c>
      <c r="J2220" s="41"/>
      <c r="K2220" s="41">
        <v>43220</v>
      </c>
      <c r="L2220" s="69" t="s">
        <v>80</v>
      </c>
      <c r="M2220" s="69" t="s">
        <v>286</v>
      </c>
      <c r="N2220" s="95"/>
      <c r="P2220" t="s">
        <v>95</v>
      </c>
      <c r="Q2220" t="s">
        <v>110</v>
      </c>
      <c r="R2220" s="92" t="s">
        <v>69</v>
      </c>
      <c r="S2220" s="92" t="s">
        <v>115</v>
      </c>
      <c r="V2220" s="95">
        <v>43220</v>
      </c>
      <c r="W2220" s="92" t="s">
        <v>345</v>
      </c>
      <c r="X2220" s="90" t="s">
        <v>321</v>
      </c>
      <c r="Y2220" s="123"/>
      <c r="Z2220" s="30">
        <f t="shared" si="68"/>
        <v>7301.7101235631453</v>
      </c>
      <c r="AA2220" s="30">
        <f t="shared" si="69"/>
        <v>0</v>
      </c>
      <c r="AB2220" t="s">
        <v>457</v>
      </c>
    </row>
    <row r="2221" spans="1:28">
      <c r="A2221" t="s">
        <v>113</v>
      </c>
      <c r="B2221" s="91"/>
      <c r="C2221" s="92">
        <v>4615476304</v>
      </c>
      <c r="D2221" s="93">
        <v>20700</v>
      </c>
      <c r="F2221" s="91">
        <v>16</v>
      </c>
      <c r="G2221" s="91">
        <v>0</v>
      </c>
      <c r="H2221" s="91">
        <v>0</v>
      </c>
      <c r="I2221" s="91">
        <v>0</v>
      </c>
      <c r="J2221" s="41"/>
      <c r="K2221" s="41">
        <v>43220</v>
      </c>
      <c r="L2221" s="69" t="s">
        <v>80</v>
      </c>
      <c r="M2221" s="69" t="s">
        <v>286</v>
      </c>
      <c r="N2221" s="95"/>
      <c r="P2221" t="s">
        <v>95</v>
      </c>
      <c r="Q2221" t="s">
        <v>110</v>
      </c>
      <c r="R2221" s="92" t="s">
        <v>69</v>
      </c>
      <c r="S2221" s="92" t="s">
        <v>115</v>
      </c>
      <c r="V2221" s="95">
        <v>43220</v>
      </c>
      <c r="W2221" s="92" t="s">
        <v>345</v>
      </c>
      <c r="X2221" s="90" t="s">
        <v>321</v>
      </c>
      <c r="Y2221" s="123"/>
      <c r="Z2221" s="30">
        <f t="shared" si="68"/>
        <v>7301.7101235631453</v>
      </c>
      <c r="AA2221" s="30">
        <f t="shared" si="69"/>
        <v>0</v>
      </c>
      <c r="AB2221" t="s">
        <v>457</v>
      </c>
    </row>
    <row r="2222" spans="1:28">
      <c r="A2222" t="s">
        <v>113</v>
      </c>
      <c r="B2222" s="91"/>
      <c r="C2222" s="92">
        <v>4615476304</v>
      </c>
      <c r="D2222" s="93">
        <v>20700</v>
      </c>
      <c r="F2222" s="91">
        <v>16</v>
      </c>
      <c r="G2222" s="91">
        <v>0</v>
      </c>
      <c r="H2222" s="91">
        <v>0</v>
      </c>
      <c r="I2222" s="91">
        <v>0</v>
      </c>
      <c r="J2222" s="41"/>
      <c r="K2222" s="41">
        <v>43220</v>
      </c>
      <c r="L2222" s="69" t="s">
        <v>80</v>
      </c>
      <c r="M2222" s="69" t="s">
        <v>286</v>
      </c>
      <c r="N2222" s="95"/>
      <c r="P2222" t="s">
        <v>95</v>
      </c>
      <c r="Q2222" t="s">
        <v>110</v>
      </c>
      <c r="R2222" s="92" t="s">
        <v>69</v>
      </c>
      <c r="S2222" s="92" t="s">
        <v>115</v>
      </c>
      <c r="V2222" s="95">
        <v>43220</v>
      </c>
      <c r="W2222" s="92" t="s">
        <v>345</v>
      </c>
      <c r="X2222" s="90" t="s">
        <v>321</v>
      </c>
      <c r="Y2222" s="123"/>
      <c r="Z2222" s="30">
        <f t="shared" si="68"/>
        <v>7301.7101235631453</v>
      </c>
      <c r="AA2222" s="30">
        <f t="shared" si="69"/>
        <v>0</v>
      </c>
      <c r="AB2222" t="s">
        <v>457</v>
      </c>
    </row>
    <row r="2223" spans="1:28">
      <c r="A2223" t="s">
        <v>113</v>
      </c>
      <c r="B2223" s="91"/>
      <c r="C2223" s="92">
        <v>4615488328</v>
      </c>
      <c r="D2223" s="93">
        <v>19175</v>
      </c>
      <c r="F2223" s="91">
        <v>16</v>
      </c>
      <c r="G2223" s="91">
        <v>0</v>
      </c>
      <c r="H2223" s="91">
        <v>0</v>
      </c>
      <c r="I2223" s="91">
        <v>0</v>
      </c>
      <c r="J2223" s="41"/>
      <c r="K2223" s="41">
        <v>43220</v>
      </c>
      <c r="L2223" s="69" t="s">
        <v>80</v>
      </c>
      <c r="M2223" s="69" t="s">
        <v>286</v>
      </c>
      <c r="N2223" s="95"/>
      <c r="P2223" t="s">
        <v>95</v>
      </c>
      <c r="Q2223" t="s">
        <v>133</v>
      </c>
      <c r="R2223" s="92" t="s">
        <v>69</v>
      </c>
      <c r="S2223" s="92" t="s">
        <v>115</v>
      </c>
      <c r="V2223" s="95">
        <v>43220</v>
      </c>
      <c r="W2223" s="92" t="s">
        <v>346</v>
      </c>
      <c r="X2223" s="90"/>
      <c r="Y2223" s="123"/>
      <c r="Z2223" s="30">
        <f t="shared" si="68"/>
        <v>6763.7822038320437</v>
      </c>
      <c r="AA2223" s="30">
        <f t="shared" si="69"/>
        <v>0</v>
      </c>
      <c r="AB2223" t="s">
        <v>457</v>
      </c>
    </row>
    <row r="2224" spans="1:28">
      <c r="A2224" t="s">
        <v>113</v>
      </c>
      <c r="B2224" s="91"/>
      <c r="C2224" s="92">
        <v>4615488328</v>
      </c>
      <c r="D2224" s="93">
        <v>19175</v>
      </c>
      <c r="F2224" s="91">
        <v>16</v>
      </c>
      <c r="G2224" s="91">
        <v>0</v>
      </c>
      <c r="H2224" s="91">
        <v>0</v>
      </c>
      <c r="I2224" s="91">
        <v>0</v>
      </c>
      <c r="J2224" s="41"/>
      <c r="K2224" s="41">
        <v>43220</v>
      </c>
      <c r="L2224" s="69" t="s">
        <v>80</v>
      </c>
      <c r="M2224" s="69" t="s">
        <v>286</v>
      </c>
      <c r="N2224" s="95"/>
      <c r="P2224" t="s">
        <v>95</v>
      </c>
      <c r="Q2224" t="s">
        <v>133</v>
      </c>
      <c r="R2224" s="92" t="s">
        <v>69</v>
      </c>
      <c r="S2224" s="92" t="s">
        <v>115</v>
      </c>
      <c r="V2224" s="95">
        <v>43220</v>
      </c>
      <c r="W2224" s="92" t="s">
        <v>346</v>
      </c>
      <c r="X2224" s="90"/>
      <c r="Y2224" s="123"/>
      <c r="Z2224" s="30">
        <f t="shared" si="68"/>
        <v>6763.7822038320437</v>
      </c>
      <c r="AA2224" s="30">
        <f t="shared" si="69"/>
        <v>0</v>
      </c>
      <c r="AB2224" t="s">
        <v>457</v>
      </c>
    </row>
    <row r="2225" spans="1:28">
      <c r="A2225" t="s">
        <v>113</v>
      </c>
      <c r="B2225" s="91"/>
      <c r="C2225" s="92">
        <v>4615488328</v>
      </c>
      <c r="D2225" s="93">
        <v>19175</v>
      </c>
      <c r="F2225" s="91">
        <v>16</v>
      </c>
      <c r="G2225" s="91">
        <v>0</v>
      </c>
      <c r="H2225" s="91">
        <v>0</v>
      </c>
      <c r="I2225" s="91">
        <v>0</v>
      </c>
      <c r="J2225" s="41"/>
      <c r="K2225" s="41">
        <v>43220</v>
      </c>
      <c r="L2225" s="69" t="s">
        <v>80</v>
      </c>
      <c r="M2225" s="69" t="s">
        <v>286</v>
      </c>
      <c r="N2225" s="95"/>
      <c r="P2225" t="s">
        <v>95</v>
      </c>
      <c r="Q2225" t="s">
        <v>133</v>
      </c>
      <c r="R2225" s="92" t="s">
        <v>69</v>
      </c>
      <c r="S2225" s="92" t="s">
        <v>115</v>
      </c>
      <c r="V2225" s="95">
        <v>43220</v>
      </c>
      <c r="W2225" s="92" t="s">
        <v>346</v>
      </c>
      <c r="X2225" s="90"/>
      <c r="Y2225" s="123"/>
      <c r="Z2225" s="30">
        <f t="shared" si="68"/>
        <v>6763.7822038320437</v>
      </c>
      <c r="AA2225" s="30">
        <f t="shared" si="69"/>
        <v>0</v>
      </c>
      <c r="AB2225" t="s">
        <v>457</v>
      </c>
    </row>
    <row r="2226" spans="1:28">
      <c r="A2226" t="s">
        <v>113</v>
      </c>
      <c r="B2226" s="91"/>
      <c r="C2226" s="92">
        <v>4615488328</v>
      </c>
      <c r="D2226" s="93">
        <v>19175</v>
      </c>
      <c r="F2226" s="91">
        <v>16</v>
      </c>
      <c r="G2226" s="91">
        <v>0</v>
      </c>
      <c r="H2226" s="91">
        <v>0</v>
      </c>
      <c r="I2226" s="91">
        <v>0</v>
      </c>
      <c r="J2226" s="41"/>
      <c r="K2226" s="41">
        <v>43220</v>
      </c>
      <c r="L2226" s="69" t="s">
        <v>80</v>
      </c>
      <c r="M2226" s="69" t="s">
        <v>286</v>
      </c>
      <c r="N2226" s="95"/>
      <c r="P2226" t="s">
        <v>95</v>
      </c>
      <c r="Q2226" t="s">
        <v>133</v>
      </c>
      <c r="R2226" s="92" t="s">
        <v>69</v>
      </c>
      <c r="S2226" s="92" t="s">
        <v>115</v>
      </c>
      <c r="V2226" s="95">
        <v>43220</v>
      </c>
      <c r="W2226" s="92" t="s">
        <v>346</v>
      </c>
      <c r="X2226" s="90"/>
      <c r="Y2226" s="123"/>
      <c r="Z2226" s="30">
        <f t="shared" si="68"/>
        <v>6763.7822038320437</v>
      </c>
      <c r="AA2226" s="30">
        <f t="shared" si="69"/>
        <v>0</v>
      </c>
      <c r="AB2226" t="s">
        <v>457</v>
      </c>
    </row>
    <row r="2227" spans="1:28">
      <c r="A2227" t="s">
        <v>113</v>
      </c>
      <c r="B2227" s="91"/>
      <c r="C2227" s="92">
        <v>4615488328</v>
      </c>
      <c r="D2227" s="93">
        <v>19175</v>
      </c>
      <c r="F2227" s="91">
        <v>16</v>
      </c>
      <c r="G2227" s="91">
        <v>0</v>
      </c>
      <c r="H2227" s="91">
        <v>0</v>
      </c>
      <c r="I2227" s="91">
        <v>0</v>
      </c>
      <c r="J2227" s="41"/>
      <c r="K2227" s="41">
        <v>43220</v>
      </c>
      <c r="L2227" s="69" t="s">
        <v>80</v>
      </c>
      <c r="M2227" s="69" t="s">
        <v>286</v>
      </c>
      <c r="N2227" s="95"/>
      <c r="P2227" t="s">
        <v>95</v>
      </c>
      <c r="Q2227" t="s">
        <v>133</v>
      </c>
      <c r="R2227" s="92" t="s">
        <v>69</v>
      </c>
      <c r="S2227" s="92" t="s">
        <v>115</v>
      </c>
      <c r="V2227" s="95">
        <v>43220</v>
      </c>
      <c r="W2227" s="92" t="s">
        <v>346</v>
      </c>
      <c r="X2227" s="90"/>
      <c r="Y2227" s="123"/>
      <c r="Z2227" s="30">
        <f t="shared" si="68"/>
        <v>6763.7822038320437</v>
      </c>
      <c r="AA2227" s="30">
        <f t="shared" si="69"/>
        <v>0</v>
      </c>
      <c r="AB2227" t="s">
        <v>457</v>
      </c>
    </row>
    <row r="2228" spans="1:28">
      <c r="A2228" t="s">
        <v>113</v>
      </c>
      <c r="B2228" s="91"/>
      <c r="C2228" s="92">
        <v>4615488328</v>
      </c>
      <c r="D2228" s="93">
        <v>19175</v>
      </c>
      <c r="F2228" s="91">
        <v>16</v>
      </c>
      <c r="G2228" s="91">
        <v>0</v>
      </c>
      <c r="H2228" s="91">
        <v>0</v>
      </c>
      <c r="I2228" s="91">
        <v>0</v>
      </c>
      <c r="J2228" s="41"/>
      <c r="K2228" s="41">
        <v>43220</v>
      </c>
      <c r="L2228" s="69" t="s">
        <v>80</v>
      </c>
      <c r="M2228" s="69" t="s">
        <v>286</v>
      </c>
      <c r="N2228" s="95"/>
      <c r="P2228" t="s">
        <v>95</v>
      </c>
      <c r="Q2228" t="s">
        <v>133</v>
      </c>
      <c r="R2228" s="92" t="s">
        <v>69</v>
      </c>
      <c r="S2228" s="92" t="s">
        <v>115</v>
      </c>
      <c r="V2228" s="95">
        <v>43220</v>
      </c>
      <c r="W2228" s="92" t="s">
        <v>346</v>
      </c>
      <c r="X2228" s="90"/>
      <c r="Y2228" s="123"/>
      <c r="Z2228" s="30">
        <f t="shared" si="68"/>
        <v>6763.7822038320437</v>
      </c>
      <c r="AA2228" s="30">
        <f t="shared" si="69"/>
        <v>0</v>
      </c>
      <c r="AB2228" t="s">
        <v>457</v>
      </c>
    </row>
    <row r="2229" spans="1:28">
      <c r="A2229" t="s">
        <v>113</v>
      </c>
      <c r="B2229" s="91"/>
      <c r="C2229" s="92">
        <v>4615488328</v>
      </c>
      <c r="D2229" s="93">
        <v>19175</v>
      </c>
      <c r="F2229" s="91">
        <v>16</v>
      </c>
      <c r="G2229" s="91">
        <v>0</v>
      </c>
      <c r="H2229" s="91">
        <v>0</v>
      </c>
      <c r="I2229" s="91">
        <v>0</v>
      </c>
      <c r="J2229" s="41"/>
      <c r="K2229" s="41">
        <v>43220</v>
      </c>
      <c r="L2229" s="69" t="s">
        <v>80</v>
      </c>
      <c r="M2229" s="69" t="s">
        <v>286</v>
      </c>
      <c r="N2229" s="95"/>
      <c r="P2229" t="s">
        <v>95</v>
      </c>
      <c r="Q2229" t="s">
        <v>133</v>
      </c>
      <c r="R2229" s="92" t="s">
        <v>69</v>
      </c>
      <c r="S2229" s="92" t="s">
        <v>115</v>
      </c>
      <c r="V2229" s="95">
        <v>43220</v>
      </c>
      <c r="W2229" s="92" t="s">
        <v>346</v>
      </c>
      <c r="X2229" s="90"/>
      <c r="Y2229" s="123"/>
      <c r="Z2229" s="30">
        <f t="shared" si="68"/>
        <v>6763.7822038320437</v>
      </c>
      <c r="AA2229" s="30">
        <f t="shared" si="69"/>
        <v>0</v>
      </c>
      <c r="AB2229" t="s">
        <v>457</v>
      </c>
    </row>
    <row r="2230" spans="1:28">
      <c r="A2230" t="s">
        <v>113</v>
      </c>
      <c r="B2230" s="91"/>
      <c r="C2230" s="92">
        <v>4615488328</v>
      </c>
      <c r="D2230" s="93">
        <v>19175</v>
      </c>
      <c r="F2230" s="91">
        <v>16</v>
      </c>
      <c r="G2230" s="91">
        <v>0</v>
      </c>
      <c r="H2230" s="91">
        <v>0</v>
      </c>
      <c r="I2230" s="91">
        <v>0</v>
      </c>
      <c r="J2230" s="41"/>
      <c r="K2230" s="41">
        <v>43220</v>
      </c>
      <c r="L2230" s="69" t="s">
        <v>80</v>
      </c>
      <c r="M2230" s="69" t="s">
        <v>286</v>
      </c>
      <c r="N2230" s="95"/>
      <c r="P2230" t="s">
        <v>95</v>
      </c>
      <c r="Q2230" t="s">
        <v>133</v>
      </c>
      <c r="R2230" s="92" t="s">
        <v>69</v>
      </c>
      <c r="S2230" s="92" t="s">
        <v>115</v>
      </c>
      <c r="V2230" s="95">
        <v>43220</v>
      </c>
      <c r="W2230" s="92" t="s">
        <v>346</v>
      </c>
      <c r="X2230" s="90"/>
      <c r="Y2230" s="123"/>
      <c r="Z2230" s="30">
        <f t="shared" si="68"/>
        <v>6763.7822038320437</v>
      </c>
      <c r="AA2230" s="30">
        <f t="shared" si="69"/>
        <v>0</v>
      </c>
      <c r="AB2230" t="s">
        <v>457</v>
      </c>
    </row>
    <row r="2231" spans="1:28">
      <c r="A2231" t="s">
        <v>113</v>
      </c>
      <c r="B2231" s="91"/>
      <c r="C2231" s="92">
        <v>4615488328</v>
      </c>
      <c r="D2231" s="93">
        <v>19175</v>
      </c>
      <c r="F2231" s="91">
        <v>16</v>
      </c>
      <c r="G2231" s="91">
        <v>0</v>
      </c>
      <c r="H2231" s="91">
        <v>0</v>
      </c>
      <c r="I2231" s="91">
        <v>0</v>
      </c>
      <c r="J2231" s="41"/>
      <c r="K2231" s="41">
        <v>43220</v>
      </c>
      <c r="L2231" s="69" t="s">
        <v>80</v>
      </c>
      <c r="M2231" s="69" t="s">
        <v>286</v>
      </c>
      <c r="N2231" s="95"/>
      <c r="P2231" t="s">
        <v>95</v>
      </c>
      <c r="Q2231" t="s">
        <v>133</v>
      </c>
      <c r="R2231" s="92" t="s">
        <v>69</v>
      </c>
      <c r="S2231" s="92" t="s">
        <v>115</v>
      </c>
      <c r="V2231" s="95">
        <v>43220</v>
      </c>
      <c r="W2231" s="92" t="s">
        <v>346</v>
      </c>
      <c r="X2231" s="90"/>
      <c r="Y2231" s="123"/>
      <c r="Z2231" s="30">
        <f t="shared" si="68"/>
        <v>6763.7822038320437</v>
      </c>
      <c r="AA2231" s="30">
        <f t="shared" si="69"/>
        <v>0</v>
      </c>
      <c r="AB2231" t="s">
        <v>457</v>
      </c>
    </row>
    <row r="2232" spans="1:28">
      <c r="A2232" t="s">
        <v>113</v>
      </c>
      <c r="B2232" s="91"/>
      <c r="C2232" s="92">
        <v>4615488328</v>
      </c>
      <c r="D2232" s="93">
        <v>19175</v>
      </c>
      <c r="F2232" s="91">
        <v>16</v>
      </c>
      <c r="G2232" s="91">
        <v>0</v>
      </c>
      <c r="H2232" s="91">
        <v>0</v>
      </c>
      <c r="I2232" s="91">
        <v>0</v>
      </c>
      <c r="J2232" s="41"/>
      <c r="K2232" s="41">
        <v>43220</v>
      </c>
      <c r="L2232" s="69" t="s">
        <v>80</v>
      </c>
      <c r="M2232" s="69" t="s">
        <v>286</v>
      </c>
      <c r="N2232" s="95"/>
      <c r="P2232" t="s">
        <v>95</v>
      </c>
      <c r="Q2232" t="s">
        <v>133</v>
      </c>
      <c r="R2232" s="92" t="s">
        <v>69</v>
      </c>
      <c r="S2232" s="92" t="s">
        <v>115</v>
      </c>
      <c r="V2232" s="95">
        <v>43220</v>
      </c>
      <c r="W2232" s="92" t="s">
        <v>346</v>
      </c>
      <c r="X2232" s="90"/>
      <c r="Y2232" s="123"/>
      <c r="Z2232" s="30">
        <f t="shared" si="68"/>
        <v>6763.7822038320437</v>
      </c>
      <c r="AA2232" s="30">
        <f t="shared" si="69"/>
        <v>0</v>
      </c>
      <c r="AB2232" t="s">
        <v>457</v>
      </c>
    </row>
    <row r="2233" spans="1:28">
      <c r="A2233" t="s">
        <v>113</v>
      </c>
      <c r="B2233" s="91"/>
      <c r="C2233" s="92">
        <v>4615487442</v>
      </c>
      <c r="D2233" s="93">
        <v>20700</v>
      </c>
      <c r="F2233" s="94">
        <v>16</v>
      </c>
      <c r="G2233" s="96">
        <v>5</v>
      </c>
      <c r="H2233" s="91">
        <v>0</v>
      </c>
      <c r="I2233" s="91">
        <v>0</v>
      </c>
      <c r="J2233" s="41"/>
      <c r="K2233" s="41">
        <v>43220</v>
      </c>
      <c r="L2233" s="69" t="s">
        <v>80</v>
      </c>
      <c r="M2233" s="69" t="s">
        <v>286</v>
      </c>
      <c r="N2233" s="98"/>
      <c r="P2233" t="s">
        <v>95</v>
      </c>
      <c r="Q2233" t="s">
        <v>133</v>
      </c>
      <c r="R2233" s="92" t="s">
        <v>69</v>
      </c>
      <c r="S2233" s="92" t="s">
        <v>115</v>
      </c>
      <c r="V2233" s="95">
        <v>43220</v>
      </c>
      <c r="W2233" s="92" t="s">
        <v>347</v>
      </c>
      <c r="X2233" s="90" t="s">
        <v>321</v>
      </c>
      <c r="Y2233" s="123"/>
      <c r="Z2233" s="30">
        <f t="shared" si="68"/>
        <v>7301.7101235631453</v>
      </c>
      <c r="AA2233" s="30">
        <f t="shared" si="69"/>
        <v>2281.7844136134831</v>
      </c>
      <c r="AB2233" t="s">
        <v>457</v>
      </c>
    </row>
    <row r="2234" spans="1:28">
      <c r="A2234" t="s">
        <v>113</v>
      </c>
      <c r="B2234" s="91"/>
      <c r="C2234" s="92">
        <v>4615487442</v>
      </c>
      <c r="D2234" s="93">
        <v>20700</v>
      </c>
      <c r="F2234" s="94">
        <v>16</v>
      </c>
      <c r="G2234" s="96">
        <v>5</v>
      </c>
      <c r="H2234" s="91">
        <v>0</v>
      </c>
      <c r="I2234" s="91">
        <v>0</v>
      </c>
      <c r="J2234" s="41"/>
      <c r="K2234" s="41">
        <v>43220</v>
      </c>
      <c r="L2234" s="69" t="s">
        <v>80</v>
      </c>
      <c r="M2234" s="69" t="s">
        <v>286</v>
      </c>
      <c r="N2234" s="98"/>
      <c r="P2234" t="s">
        <v>95</v>
      </c>
      <c r="Q2234" t="s">
        <v>133</v>
      </c>
      <c r="R2234" s="92" t="s">
        <v>69</v>
      </c>
      <c r="S2234" s="92" t="s">
        <v>115</v>
      </c>
      <c r="V2234" s="95">
        <v>43220</v>
      </c>
      <c r="W2234" s="92" t="s">
        <v>347</v>
      </c>
      <c r="X2234" s="90" t="s">
        <v>321</v>
      </c>
      <c r="Y2234" s="123"/>
      <c r="Z2234" s="30">
        <f t="shared" si="68"/>
        <v>7301.7101235631453</v>
      </c>
      <c r="AA2234" s="30">
        <f t="shared" si="69"/>
        <v>2281.7844136134831</v>
      </c>
      <c r="AB2234" t="s">
        <v>457</v>
      </c>
    </row>
    <row r="2235" spans="1:28">
      <c r="A2235" t="s">
        <v>113</v>
      </c>
      <c r="B2235" s="91"/>
      <c r="C2235" s="92">
        <v>4615487442</v>
      </c>
      <c r="D2235" s="93">
        <v>20700</v>
      </c>
      <c r="F2235" s="94">
        <v>16</v>
      </c>
      <c r="G2235" s="96">
        <v>5</v>
      </c>
      <c r="H2235" s="91">
        <v>0</v>
      </c>
      <c r="I2235" s="91">
        <v>0</v>
      </c>
      <c r="J2235" s="41"/>
      <c r="K2235" s="41">
        <v>43220</v>
      </c>
      <c r="L2235" s="69" t="s">
        <v>80</v>
      </c>
      <c r="M2235" s="69" t="s">
        <v>286</v>
      </c>
      <c r="N2235" s="98"/>
      <c r="P2235" t="s">
        <v>95</v>
      </c>
      <c r="Q2235" t="s">
        <v>133</v>
      </c>
      <c r="R2235" s="92" t="s">
        <v>69</v>
      </c>
      <c r="S2235" s="92" t="s">
        <v>115</v>
      </c>
      <c r="V2235" s="95">
        <v>43220</v>
      </c>
      <c r="W2235" s="92" t="s">
        <v>347</v>
      </c>
      <c r="X2235" s="90" t="s">
        <v>321</v>
      </c>
      <c r="Y2235" s="123"/>
      <c r="Z2235" s="30">
        <f t="shared" si="68"/>
        <v>7301.7101235631453</v>
      </c>
      <c r="AA2235" s="30">
        <f t="shared" si="69"/>
        <v>2281.7844136134831</v>
      </c>
      <c r="AB2235" t="s">
        <v>457</v>
      </c>
    </row>
    <row r="2236" spans="1:28">
      <c r="A2236" t="s">
        <v>113</v>
      </c>
      <c r="B2236" s="91"/>
      <c r="C2236" s="92">
        <v>4615487442</v>
      </c>
      <c r="D2236" s="93">
        <v>20700</v>
      </c>
      <c r="F2236" s="94">
        <v>16</v>
      </c>
      <c r="G2236" s="96">
        <v>5</v>
      </c>
      <c r="H2236" s="91">
        <v>0</v>
      </c>
      <c r="I2236" s="91">
        <v>0</v>
      </c>
      <c r="J2236" s="41"/>
      <c r="K2236" s="41">
        <v>43220</v>
      </c>
      <c r="L2236" s="69" t="s">
        <v>80</v>
      </c>
      <c r="M2236" s="69" t="s">
        <v>286</v>
      </c>
      <c r="N2236" s="98"/>
      <c r="P2236" t="s">
        <v>95</v>
      </c>
      <c r="Q2236" t="s">
        <v>133</v>
      </c>
      <c r="R2236" s="92" t="s">
        <v>69</v>
      </c>
      <c r="S2236" s="92" t="s">
        <v>115</v>
      </c>
      <c r="V2236" s="95">
        <v>43220</v>
      </c>
      <c r="W2236" s="92" t="s">
        <v>347</v>
      </c>
      <c r="X2236" s="90" t="s">
        <v>321</v>
      </c>
      <c r="Y2236" s="123"/>
      <c r="Z2236" s="30">
        <f t="shared" si="68"/>
        <v>7301.7101235631453</v>
      </c>
      <c r="AA2236" s="30">
        <f t="shared" si="69"/>
        <v>2281.7844136134831</v>
      </c>
      <c r="AB2236" t="s">
        <v>457</v>
      </c>
    </row>
    <row r="2237" spans="1:28">
      <c r="A2237" t="s">
        <v>113</v>
      </c>
      <c r="B2237" s="91"/>
      <c r="C2237" s="92">
        <v>4615487442</v>
      </c>
      <c r="D2237" s="93">
        <v>20700</v>
      </c>
      <c r="F2237" s="94">
        <v>16</v>
      </c>
      <c r="G2237" s="96">
        <v>5</v>
      </c>
      <c r="H2237" s="91">
        <v>0</v>
      </c>
      <c r="I2237" s="91">
        <v>0</v>
      </c>
      <c r="J2237" s="41"/>
      <c r="K2237" s="41">
        <v>43220</v>
      </c>
      <c r="L2237" s="69" t="s">
        <v>80</v>
      </c>
      <c r="M2237" s="69" t="s">
        <v>286</v>
      </c>
      <c r="N2237" s="98"/>
      <c r="P2237" t="s">
        <v>95</v>
      </c>
      <c r="Q2237" t="s">
        <v>133</v>
      </c>
      <c r="R2237" s="92" t="s">
        <v>69</v>
      </c>
      <c r="S2237" s="92" t="s">
        <v>115</v>
      </c>
      <c r="V2237" s="95">
        <v>43220</v>
      </c>
      <c r="W2237" s="92" t="s">
        <v>347</v>
      </c>
      <c r="X2237" s="90" t="s">
        <v>321</v>
      </c>
      <c r="Y2237" s="123"/>
      <c r="Z2237" s="30">
        <f t="shared" si="68"/>
        <v>7301.7101235631453</v>
      </c>
      <c r="AA2237" s="30">
        <f t="shared" si="69"/>
        <v>2281.7844136134831</v>
      </c>
      <c r="AB2237" t="s">
        <v>457</v>
      </c>
    </row>
    <row r="2238" spans="1:28">
      <c r="A2238" t="s">
        <v>113</v>
      </c>
      <c r="B2238" s="91"/>
      <c r="C2238" s="92">
        <v>4615487442</v>
      </c>
      <c r="D2238" s="93">
        <v>20700</v>
      </c>
      <c r="F2238" s="94">
        <v>16</v>
      </c>
      <c r="G2238" s="96">
        <v>5</v>
      </c>
      <c r="H2238" s="91">
        <v>0</v>
      </c>
      <c r="I2238" s="91">
        <v>0</v>
      </c>
      <c r="J2238" s="41"/>
      <c r="K2238" s="41">
        <v>43220</v>
      </c>
      <c r="L2238" s="69" t="s">
        <v>80</v>
      </c>
      <c r="M2238" s="69" t="s">
        <v>286</v>
      </c>
      <c r="N2238" s="98"/>
      <c r="P2238" t="s">
        <v>95</v>
      </c>
      <c r="Q2238" t="s">
        <v>133</v>
      </c>
      <c r="R2238" s="92" t="s">
        <v>69</v>
      </c>
      <c r="S2238" s="92" t="s">
        <v>115</v>
      </c>
      <c r="V2238" s="95">
        <v>43220</v>
      </c>
      <c r="W2238" s="92" t="s">
        <v>347</v>
      </c>
      <c r="X2238" s="90" t="s">
        <v>321</v>
      </c>
      <c r="Y2238" s="123"/>
      <c r="Z2238" s="30">
        <f t="shared" si="68"/>
        <v>7301.7101235631453</v>
      </c>
      <c r="AA2238" s="30">
        <f t="shared" si="69"/>
        <v>2281.7844136134831</v>
      </c>
      <c r="AB2238" t="s">
        <v>457</v>
      </c>
    </row>
    <row r="2239" spans="1:28">
      <c r="A2239" t="s">
        <v>113</v>
      </c>
      <c r="B2239" s="91"/>
      <c r="C2239" s="92">
        <v>4615487442</v>
      </c>
      <c r="D2239" s="93">
        <v>20700</v>
      </c>
      <c r="F2239" s="94">
        <v>16</v>
      </c>
      <c r="G2239" s="96">
        <v>5</v>
      </c>
      <c r="H2239" s="91">
        <v>0</v>
      </c>
      <c r="I2239" s="91">
        <v>0</v>
      </c>
      <c r="J2239" s="41"/>
      <c r="K2239" s="41">
        <v>43220</v>
      </c>
      <c r="L2239" s="69" t="s">
        <v>80</v>
      </c>
      <c r="M2239" s="69" t="s">
        <v>286</v>
      </c>
      <c r="N2239" s="98"/>
      <c r="P2239" t="s">
        <v>95</v>
      </c>
      <c r="Q2239" t="s">
        <v>133</v>
      </c>
      <c r="R2239" s="92" t="s">
        <v>69</v>
      </c>
      <c r="S2239" s="92" t="s">
        <v>115</v>
      </c>
      <c r="V2239" s="95">
        <v>43220</v>
      </c>
      <c r="W2239" s="92" t="s">
        <v>347</v>
      </c>
      <c r="X2239" s="90" t="s">
        <v>321</v>
      </c>
      <c r="Y2239" s="123"/>
      <c r="Z2239" s="30">
        <f t="shared" si="68"/>
        <v>7301.7101235631453</v>
      </c>
      <c r="AA2239" s="30">
        <f t="shared" si="69"/>
        <v>2281.7844136134831</v>
      </c>
      <c r="AB2239" t="s">
        <v>457</v>
      </c>
    </row>
    <row r="2240" spans="1:28">
      <c r="A2240" t="s">
        <v>113</v>
      </c>
      <c r="B2240" s="91"/>
      <c r="C2240" s="92">
        <v>4615487442</v>
      </c>
      <c r="D2240" s="93">
        <v>20700</v>
      </c>
      <c r="F2240" s="94">
        <v>16</v>
      </c>
      <c r="G2240" s="96">
        <v>5</v>
      </c>
      <c r="H2240" s="91">
        <v>0</v>
      </c>
      <c r="I2240" s="91">
        <v>0</v>
      </c>
      <c r="J2240" s="41"/>
      <c r="K2240" s="41">
        <v>43220</v>
      </c>
      <c r="L2240" s="69" t="s">
        <v>80</v>
      </c>
      <c r="M2240" s="69" t="s">
        <v>286</v>
      </c>
      <c r="N2240" s="98"/>
      <c r="P2240" t="s">
        <v>95</v>
      </c>
      <c r="Q2240" t="s">
        <v>133</v>
      </c>
      <c r="R2240" s="92" t="s">
        <v>69</v>
      </c>
      <c r="S2240" s="92" t="s">
        <v>115</v>
      </c>
      <c r="V2240" s="95">
        <v>43220</v>
      </c>
      <c r="W2240" s="92" t="s">
        <v>347</v>
      </c>
      <c r="X2240" s="90" t="s">
        <v>321</v>
      </c>
      <c r="Y2240" s="123"/>
      <c r="Z2240" s="30">
        <f t="shared" si="68"/>
        <v>7301.7101235631453</v>
      </c>
      <c r="AA2240" s="30">
        <f t="shared" si="69"/>
        <v>2281.7844136134831</v>
      </c>
      <c r="AB2240" t="s">
        <v>457</v>
      </c>
    </row>
    <row r="2241" spans="1:28">
      <c r="A2241" t="s">
        <v>113</v>
      </c>
      <c r="B2241" s="91"/>
      <c r="C2241" s="92">
        <v>4615487442</v>
      </c>
      <c r="D2241" s="93">
        <v>20700</v>
      </c>
      <c r="F2241" s="94">
        <v>16</v>
      </c>
      <c r="G2241" s="96">
        <v>5</v>
      </c>
      <c r="H2241" s="91">
        <v>0</v>
      </c>
      <c r="I2241" s="91">
        <v>0</v>
      </c>
      <c r="J2241" s="41"/>
      <c r="K2241" s="41">
        <v>43220</v>
      </c>
      <c r="L2241" s="69" t="s">
        <v>80</v>
      </c>
      <c r="M2241" s="69" t="s">
        <v>286</v>
      </c>
      <c r="N2241" s="98"/>
      <c r="P2241" t="s">
        <v>95</v>
      </c>
      <c r="Q2241" t="s">
        <v>133</v>
      </c>
      <c r="R2241" s="92" t="s">
        <v>69</v>
      </c>
      <c r="S2241" s="92" t="s">
        <v>115</v>
      </c>
      <c r="V2241" s="95">
        <v>43220</v>
      </c>
      <c r="W2241" s="92" t="s">
        <v>347</v>
      </c>
      <c r="X2241" s="90" t="s">
        <v>321</v>
      </c>
      <c r="Y2241" s="123"/>
      <c r="Z2241" s="30">
        <f t="shared" si="68"/>
        <v>7301.7101235631453</v>
      </c>
      <c r="AA2241" s="30">
        <f t="shared" si="69"/>
        <v>2281.7844136134831</v>
      </c>
      <c r="AB2241" t="s">
        <v>457</v>
      </c>
    </row>
    <row r="2242" spans="1:28">
      <c r="A2242" t="s">
        <v>113</v>
      </c>
      <c r="B2242" s="91"/>
      <c r="C2242" s="92">
        <v>4615487442</v>
      </c>
      <c r="D2242" s="93">
        <v>20700</v>
      </c>
      <c r="F2242" s="94">
        <v>16</v>
      </c>
      <c r="G2242" s="96">
        <v>5</v>
      </c>
      <c r="H2242" s="91">
        <v>0</v>
      </c>
      <c r="I2242" s="91">
        <v>0</v>
      </c>
      <c r="J2242" s="41"/>
      <c r="K2242" s="41">
        <v>43220</v>
      </c>
      <c r="L2242" s="69" t="s">
        <v>80</v>
      </c>
      <c r="M2242" s="69" t="s">
        <v>286</v>
      </c>
      <c r="N2242" s="98"/>
      <c r="P2242" t="s">
        <v>95</v>
      </c>
      <c r="Q2242" t="s">
        <v>133</v>
      </c>
      <c r="R2242" s="92" t="s">
        <v>69</v>
      </c>
      <c r="S2242" s="92" t="s">
        <v>115</v>
      </c>
      <c r="V2242" s="95">
        <v>43220</v>
      </c>
      <c r="W2242" s="92" t="s">
        <v>347</v>
      </c>
      <c r="X2242" s="90" t="s">
        <v>321</v>
      </c>
      <c r="Y2242" s="123"/>
      <c r="Z2242" s="30">
        <f t="shared" si="68"/>
        <v>7301.7101235631453</v>
      </c>
      <c r="AA2242" s="30">
        <f t="shared" si="69"/>
        <v>2281.7844136134831</v>
      </c>
      <c r="AB2242" t="s">
        <v>457</v>
      </c>
    </row>
    <row r="2243" spans="1:28">
      <c r="A2243" t="s">
        <v>113</v>
      </c>
      <c r="B2243" s="91"/>
      <c r="C2243" s="92">
        <v>4615476650</v>
      </c>
      <c r="D2243" s="93">
        <v>20700</v>
      </c>
      <c r="F2243" s="94">
        <v>16</v>
      </c>
      <c r="G2243" s="94">
        <v>0</v>
      </c>
      <c r="H2243" s="91">
        <v>0</v>
      </c>
      <c r="I2243" s="91">
        <v>0</v>
      </c>
      <c r="J2243" s="41"/>
      <c r="K2243" s="41">
        <v>43220</v>
      </c>
      <c r="L2243" s="69" t="s">
        <v>80</v>
      </c>
      <c r="M2243" s="69" t="s">
        <v>286</v>
      </c>
      <c r="N2243" s="98"/>
      <c r="P2243" t="s">
        <v>95</v>
      </c>
      <c r="Q2243" t="s">
        <v>133</v>
      </c>
      <c r="R2243" s="92" t="s">
        <v>69</v>
      </c>
      <c r="S2243" s="92" t="s">
        <v>115</v>
      </c>
      <c r="V2243" s="95">
        <v>43220</v>
      </c>
      <c r="W2243" s="92" t="s">
        <v>348</v>
      </c>
      <c r="X2243" s="90" t="s">
        <v>321</v>
      </c>
      <c r="Y2243" s="123"/>
      <c r="Z2243" s="30">
        <f t="shared" ref="Z2243:Z2306" si="70">CONVERT(D2243,"kg","lbm")*F2243/100</f>
        <v>7301.7101235631453</v>
      </c>
      <c r="AA2243" s="30">
        <f t="shared" ref="AA2243:AA2306" si="71">CONVERT(D2243,"kg","lbm")*G2243/100</f>
        <v>0</v>
      </c>
      <c r="AB2243" t="s">
        <v>457</v>
      </c>
    </row>
    <row r="2244" spans="1:28">
      <c r="A2244" t="s">
        <v>113</v>
      </c>
      <c r="B2244" s="91"/>
      <c r="C2244" s="92">
        <v>4615476650</v>
      </c>
      <c r="D2244" s="93">
        <v>20700</v>
      </c>
      <c r="F2244" s="94">
        <v>16</v>
      </c>
      <c r="G2244" s="94">
        <v>0</v>
      </c>
      <c r="H2244" s="91">
        <v>0</v>
      </c>
      <c r="I2244" s="91">
        <v>0</v>
      </c>
      <c r="J2244" s="41"/>
      <c r="K2244" s="41">
        <v>43220</v>
      </c>
      <c r="L2244" s="69" t="s">
        <v>80</v>
      </c>
      <c r="M2244" s="69" t="s">
        <v>286</v>
      </c>
      <c r="N2244" s="98"/>
      <c r="P2244" t="s">
        <v>95</v>
      </c>
      <c r="Q2244" t="s">
        <v>133</v>
      </c>
      <c r="R2244" s="92" t="s">
        <v>69</v>
      </c>
      <c r="S2244" s="92" t="s">
        <v>115</v>
      </c>
      <c r="V2244" s="95">
        <v>43220</v>
      </c>
      <c r="W2244" s="92" t="s">
        <v>348</v>
      </c>
      <c r="X2244" s="90" t="s">
        <v>321</v>
      </c>
      <c r="Y2244" s="123"/>
      <c r="Z2244" s="30">
        <f t="shared" si="70"/>
        <v>7301.7101235631453</v>
      </c>
      <c r="AA2244" s="30">
        <f t="shared" si="71"/>
        <v>0</v>
      </c>
      <c r="AB2244" t="s">
        <v>457</v>
      </c>
    </row>
    <row r="2245" spans="1:28">
      <c r="A2245" t="s">
        <v>113</v>
      </c>
      <c r="B2245" s="91"/>
      <c r="C2245" s="92">
        <v>4615476650</v>
      </c>
      <c r="D2245" s="93">
        <v>20700</v>
      </c>
      <c r="F2245" s="94">
        <v>16</v>
      </c>
      <c r="G2245" s="94">
        <v>0</v>
      </c>
      <c r="H2245" s="91">
        <v>0</v>
      </c>
      <c r="I2245" s="91">
        <v>0</v>
      </c>
      <c r="J2245" s="41"/>
      <c r="K2245" s="41">
        <v>43220</v>
      </c>
      <c r="L2245" s="69" t="s">
        <v>80</v>
      </c>
      <c r="M2245" s="69" t="s">
        <v>286</v>
      </c>
      <c r="N2245" s="98"/>
      <c r="P2245" t="s">
        <v>95</v>
      </c>
      <c r="Q2245" t="s">
        <v>133</v>
      </c>
      <c r="R2245" s="92" t="s">
        <v>69</v>
      </c>
      <c r="S2245" s="92" t="s">
        <v>115</v>
      </c>
      <c r="V2245" s="95">
        <v>43220</v>
      </c>
      <c r="W2245" s="92" t="s">
        <v>348</v>
      </c>
      <c r="X2245" s="90" t="s">
        <v>321</v>
      </c>
      <c r="Y2245" s="123"/>
      <c r="Z2245" s="30">
        <f t="shared" si="70"/>
        <v>7301.7101235631453</v>
      </c>
      <c r="AA2245" s="30">
        <f t="shared" si="71"/>
        <v>0</v>
      </c>
      <c r="AB2245" t="s">
        <v>457</v>
      </c>
    </row>
    <row r="2246" spans="1:28">
      <c r="A2246" t="s">
        <v>113</v>
      </c>
      <c r="B2246" s="91"/>
      <c r="C2246" s="92">
        <v>4615476650</v>
      </c>
      <c r="D2246" s="93">
        <v>20700</v>
      </c>
      <c r="F2246" s="94">
        <v>16</v>
      </c>
      <c r="G2246" s="94">
        <v>0</v>
      </c>
      <c r="H2246" s="91">
        <v>0</v>
      </c>
      <c r="I2246" s="91">
        <v>0</v>
      </c>
      <c r="J2246" s="41"/>
      <c r="K2246" s="41">
        <v>43220</v>
      </c>
      <c r="L2246" s="69" t="s">
        <v>80</v>
      </c>
      <c r="M2246" s="69" t="s">
        <v>286</v>
      </c>
      <c r="N2246" s="98"/>
      <c r="P2246" t="s">
        <v>95</v>
      </c>
      <c r="Q2246" t="s">
        <v>133</v>
      </c>
      <c r="R2246" s="92" t="s">
        <v>69</v>
      </c>
      <c r="S2246" s="92" t="s">
        <v>115</v>
      </c>
      <c r="V2246" s="95">
        <v>43220</v>
      </c>
      <c r="W2246" s="92" t="s">
        <v>348</v>
      </c>
      <c r="X2246" s="90" t="s">
        <v>321</v>
      </c>
      <c r="Y2246" s="123"/>
      <c r="Z2246" s="30">
        <f t="shared" si="70"/>
        <v>7301.7101235631453</v>
      </c>
      <c r="AA2246" s="30">
        <f t="shared" si="71"/>
        <v>0</v>
      </c>
      <c r="AB2246" t="s">
        <v>457</v>
      </c>
    </row>
    <row r="2247" spans="1:28">
      <c r="A2247" t="s">
        <v>113</v>
      </c>
      <c r="B2247" s="91"/>
      <c r="C2247" s="92">
        <v>4615476650</v>
      </c>
      <c r="D2247" s="93">
        <v>20700</v>
      </c>
      <c r="F2247" s="94">
        <v>16</v>
      </c>
      <c r="G2247" s="94">
        <v>0</v>
      </c>
      <c r="H2247" s="91">
        <v>0</v>
      </c>
      <c r="I2247" s="91">
        <v>0</v>
      </c>
      <c r="J2247" s="41"/>
      <c r="K2247" s="41">
        <v>43220</v>
      </c>
      <c r="L2247" s="69" t="s">
        <v>80</v>
      </c>
      <c r="M2247" s="69" t="s">
        <v>286</v>
      </c>
      <c r="N2247" s="98"/>
      <c r="P2247" t="s">
        <v>95</v>
      </c>
      <c r="Q2247" t="s">
        <v>133</v>
      </c>
      <c r="R2247" s="92" t="s">
        <v>69</v>
      </c>
      <c r="S2247" s="92" t="s">
        <v>115</v>
      </c>
      <c r="V2247" s="95">
        <v>43220</v>
      </c>
      <c r="W2247" s="92" t="s">
        <v>348</v>
      </c>
      <c r="X2247" s="90" t="s">
        <v>321</v>
      </c>
      <c r="Y2247" s="123"/>
      <c r="Z2247" s="30">
        <f t="shared" si="70"/>
        <v>7301.7101235631453</v>
      </c>
      <c r="AA2247" s="30">
        <f t="shared" si="71"/>
        <v>0</v>
      </c>
      <c r="AB2247" t="s">
        <v>457</v>
      </c>
    </row>
    <row r="2248" spans="1:28">
      <c r="A2248" t="s">
        <v>113</v>
      </c>
      <c r="B2248" s="91"/>
      <c r="C2248" s="92">
        <v>4615476650</v>
      </c>
      <c r="D2248" s="93">
        <v>20700</v>
      </c>
      <c r="F2248" s="94">
        <v>16</v>
      </c>
      <c r="G2248" s="94">
        <v>0</v>
      </c>
      <c r="H2248" s="91">
        <v>0</v>
      </c>
      <c r="I2248" s="91">
        <v>0</v>
      </c>
      <c r="J2248" s="41"/>
      <c r="K2248" s="41">
        <v>43220</v>
      </c>
      <c r="L2248" s="69" t="s">
        <v>80</v>
      </c>
      <c r="M2248" s="69" t="s">
        <v>286</v>
      </c>
      <c r="N2248" s="98"/>
      <c r="P2248" t="s">
        <v>95</v>
      </c>
      <c r="Q2248" t="s">
        <v>133</v>
      </c>
      <c r="R2248" s="92" t="s">
        <v>69</v>
      </c>
      <c r="S2248" s="92" t="s">
        <v>115</v>
      </c>
      <c r="V2248" s="95">
        <v>43220</v>
      </c>
      <c r="W2248" s="92" t="s">
        <v>348</v>
      </c>
      <c r="X2248" s="90" t="s">
        <v>321</v>
      </c>
      <c r="Y2248" s="123"/>
      <c r="Z2248" s="30">
        <f t="shared" si="70"/>
        <v>7301.7101235631453</v>
      </c>
      <c r="AA2248" s="30">
        <f t="shared" si="71"/>
        <v>0</v>
      </c>
      <c r="AB2248" t="s">
        <v>457</v>
      </c>
    </row>
    <row r="2249" spans="1:28">
      <c r="A2249" t="s">
        <v>113</v>
      </c>
      <c r="B2249" s="91"/>
      <c r="C2249" s="92">
        <v>4615476650</v>
      </c>
      <c r="D2249" s="93">
        <v>20700</v>
      </c>
      <c r="F2249" s="94">
        <v>16</v>
      </c>
      <c r="G2249" s="94">
        <v>0</v>
      </c>
      <c r="H2249" s="91">
        <v>0</v>
      </c>
      <c r="I2249" s="91">
        <v>0</v>
      </c>
      <c r="J2249" s="41"/>
      <c r="K2249" s="41">
        <v>43220</v>
      </c>
      <c r="L2249" s="69" t="s">
        <v>80</v>
      </c>
      <c r="M2249" s="69" t="s">
        <v>286</v>
      </c>
      <c r="N2249" s="98"/>
      <c r="P2249" t="s">
        <v>95</v>
      </c>
      <c r="Q2249" t="s">
        <v>133</v>
      </c>
      <c r="R2249" s="92" t="s">
        <v>69</v>
      </c>
      <c r="S2249" s="92" t="s">
        <v>115</v>
      </c>
      <c r="V2249" s="95">
        <v>43220</v>
      </c>
      <c r="W2249" s="92" t="s">
        <v>348</v>
      </c>
      <c r="X2249" s="90" t="s">
        <v>321</v>
      </c>
      <c r="Y2249" s="123"/>
      <c r="Z2249" s="30">
        <f t="shared" si="70"/>
        <v>7301.7101235631453</v>
      </c>
      <c r="AA2249" s="30">
        <f t="shared" si="71"/>
        <v>0</v>
      </c>
      <c r="AB2249" t="s">
        <v>457</v>
      </c>
    </row>
    <row r="2250" spans="1:28">
      <c r="A2250" t="s">
        <v>113</v>
      </c>
      <c r="B2250" s="91"/>
      <c r="C2250" s="92">
        <v>4615476650</v>
      </c>
      <c r="D2250" s="93">
        <v>20700</v>
      </c>
      <c r="F2250" s="94">
        <v>16</v>
      </c>
      <c r="G2250" s="94">
        <v>0</v>
      </c>
      <c r="H2250" s="91">
        <v>0</v>
      </c>
      <c r="I2250" s="91">
        <v>0</v>
      </c>
      <c r="J2250" s="41"/>
      <c r="K2250" s="41">
        <v>43220</v>
      </c>
      <c r="L2250" s="69" t="s">
        <v>80</v>
      </c>
      <c r="M2250" s="69" t="s">
        <v>286</v>
      </c>
      <c r="N2250" s="98"/>
      <c r="P2250" t="s">
        <v>95</v>
      </c>
      <c r="Q2250" t="s">
        <v>133</v>
      </c>
      <c r="R2250" s="92" t="s">
        <v>69</v>
      </c>
      <c r="S2250" s="92" t="s">
        <v>115</v>
      </c>
      <c r="V2250" s="95">
        <v>43220</v>
      </c>
      <c r="W2250" s="92" t="s">
        <v>348</v>
      </c>
      <c r="X2250" s="90" t="s">
        <v>321</v>
      </c>
      <c r="Y2250" s="123"/>
      <c r="Z2250" s="30">
        <f t="shared" si="70"/>
        <v>7301.7101235631453</v>
      </c>
      <c r="AA2250" s="30">
        <f t="shared" si="71"/>
        <v>0</v>
      </c>
      <c r="AB2250" t="s">
        <v>457</v>
      </c>
    </row>
    <row r="2251" spans="1:28">
      <c r="A2251" t="s">
        <v>113</v>
      </c>
      <c r="B2251" s="91"/>
      <c r="C2251" s="92">
        <v>4615476650</v>
      </c>
      <c r="D2251" s="93">
        <v>20700</v>
      </c>
      <c r="F2251" s="94">
        <v>16</v>
      </c>
      <c r="G2251" s="94">
        <v>0</v>
      </c>
      <c r="H2251" s="91">
        <v>0</v>
      </c>
      <c r="I2251" s="91">
        <v>0</v>
      </c>
      <c r="J2251" s="41"/>
      <c r="K2251" s="41">
        <v>43220</v>
      </c>
      <c r="L2251" s="69" t="s">
        <v>80</v>
      </c>
      <c r="M2251" s="69" t="s">
        <v>286</v>
      </c>
      <c r="N2251" s="98"/>
      <c r="P2251" t="s">
        <v>95</v>
      </c>
      <c r="Q2251" t="s">
        <v>133</v>
      </c>
      <c r="R2251" s="92" t="s">
        <v>69</v>
      </c>
      <c r="S2251" s="92" t="s">
        <v>115</v>
      </c>
      <c r="V2251" s="95">
        <v>43220</v>
      </c>
      <c r="W2251" s="92" t="s">
        <v>348</v>
      </c>
      <c r="X2251" s="90" t="s">
        <v>321</v>
      </c>
      <c r="Y2251" s="123"/>
      <c r="Z2251" s="30">
        <f t="shared" si="70"/>
        <v>7301.7101235631453</v>
      </c>
      <c r="AA2251" s="30">
        <f t="shared" si="71"/>
        <v>0</v>
      </c>
      <c r="AB2251" t="s">
        <v>457</v>
      </c>
    </row>
    <row r="2252" spans="1:28">
      <c r="A2252" t="s">
        <v>113</v>
      </c>
      <c r="B2252" s="91"/>
      <c r="C2252" s="92">
        <v>4615476650</v>
      </c>
      <c r="D2252" s="93">
        <v>20700</v>
      </c>
      <c r="F2252" s="94">
        <v>16</v>
      </c>
      <c r="G2252" s="94">
        <v>0</v>
      </c>
      <c r="H2252" s="91">
        <v>0</v>
      </c>
      <c r="I2252" s="91">
        <v>0</v>
      </c>
      <c r="J2252" s="41"/>
      <c r="K2252" s="41">
        <v>43220</v>
      </c>
      <c r="L2252" s="69" t="s">
        <v>80</v>
      </c>
      <c r="M2252" s="69" t="s">
        <v>286</v>
      </c>
      <c r="N2252" s="98"/>
      <c r="P2252" t="s">
        <v>95</v>
      </c>
      <c r="Q2252" t="s">
        <v>133</v>
      </c>
      <c r="R2252" s="92" t="s">
        <v>69</v>
      </c>
      <c r="S2252" s="92" t="s">
        <v>115</v>
      </c>
      <c r="V2252" s="95">
        <v>43220</v>
      </c>
      <c r="W2252" s="92" t="s">
        <v>348</v>
      </c>
      <c r="X2252" s="90" t="s">
        <v>321</v>
      </c>
      <c r="Y2252" s="123"/>
      <c r="Z2252" s="30">
        <f t="shared" si="70"/>
        <v>7301.7101235631453</v>
      </c>
      <c r="AA2252" s="30">
        <f t="shared" si="71"/>
        <v>0</v>
      </c>
      <c r="AB2252" t="s">
        <v>457</v>
      </c>
    </row>
    <row r="2253" spans="1:28">
      <c r="A2253" t="s">
        <v>113</v>
      </c>
      <c r="B2253" s="91" t="s">
        <v>160</v>
      </c>
      <c r="C2253" s="92" t="s">
        <v>161</v>
      </c>
      <c r="D2253" s="93">
        <v>21600</v>
      </c>
      <c r="F2253" s="91">
        <v>16</v>
      </c>
      <c r="G2253" s="96">
        <v>5</v>
      </c>
      <c r="H2253" s="94">
        <v>0</v>
      </c>
      <c r="I2253" s="91">
        <v>0</v>
      </c>
      <c r="J2253" s="41"/>
      <c r="K2253" s="41">
        <v>43220</v>
      </c>
      <c r="L2253" s="69" t="s">
        <v>80</v>
      </c>
      <c r="M2253" s="69" t="s">
        <v>109</v>
      </c>
      <c r="N2253" s="95">
        <v>43193</v>
      </c>
      <c r="P2253" t="s">
        <v>95</v>
      </c>
      <c r="Q2253" t="s">
        <v>133</v>
      </c>
      <c r="R2253" s="92" t="s">
        <v>69</v>
      </c>
      <c r="S2253" s="92" t="s">
        <v>115</v>
      </c>
      <c r="V2253" s="95">
        <v>43220</v>
      </c>
      <c r="W2253" s="92" t="s">
        <v>349</v>
      </c>
      <c r="X2253" s="90" t="s">
        <v>196</v>
      </c>
      <c r="Y2253" s="123"/>
      <c r="Z2253" s="30">
        <f t="shared" si="70"/>
        <v>7619.1757811093694</v>
      </c>
      <c r="AA2253" s="30">
        <f t="shared" si="71"/>
        <v>2380.9924315966778</v>
      </c>
      <c r="AB2253" t="s">
        <v>456</v>
      </c>
    </row>
    <row r="2254" spans="1:28">
      <c r="A2254" t="s">
        <v>113</v>
      </c>
      <c r="B2254" s="91" t="s">
        <v>160</v>
      </c>
      <c r="C2254" s="92" t="s">
        <v>161</v>
      </c>
      <c r="D2254" s="93">
        <v>21600</v>
      </c>
      <c r="F2254" s="91">
        <v>16</v>
      </c>
      <c r="G2254" s="96">
        <v>5</v>
      </c>
      <c r="H2254" s="94">
        <v>0</v>
      </c>
      <c r="I2254" s="91">
        <v>0</v>
      </c>
      <c r="J2254" s="41"/>
      <c r="K2254" s="41">
        <v>43220</v>
      </c>
      <c r="L2254" s="69" t="s">
        <v>80</v>
      </c>
      <c r="M2254" s="69" t="s">
        <v>109</v>
      </c>
      <c r="N2254" s="95">
        <v>43193</v>
      </c>
      <c r="P2254" t="s">
        <v>95</v>
      </c>
      <c r="Q2254" t="s">
        <v>133</v>
      </c>
      <c r="R2254" s="92" t="s">
        <v>69</v>
      </c>
      <c r="S2254" s="92" t="s">
        <v>115</v>
      </c>
      <c r="V2254" s="95">
        <v>43220</v>
      </c>
      <c r="W2254" s="92" t="s">
        <v>349</v>
      </c>
      <c r="X2254" s="90" t="s">
        <v>196</v>
      </c>
      <c r="Y2254" s="123"/>
      <c r="Z2254" s="30">
        <f t="shared" si="70"/>
        <v>7619.1757811093694</v>
      </c>
      <c r="AA2254" s="30">
        <f t="shared" si="71"/>
        <v>2380.9924315966778</v>
      </c>
      <c r="AB2254" t="s">
        <v>456</v>
      </c>
    </row>
    <row r="2255" spans="1:28">
      <c r="A2255" t="s">
        <v>113</v>
      </c>
      <c r="B2255" s="91" t="s">
        <v>160</v>
      </c>
      <c r="C2255" s="92" t="s">
        <v>161</v>
      </c>
      <c r="D2255" s="93">
        <v>21600</v>
      </c>
      <c r="F2255" s="91">
        <v>16</v>
      </c>
      <c r="G2255" s="96">
        <v>5</v>
      </c>
      <c r="H2255" s="94">
        <v>0</v>
      </c>
      <c r="I2255" s="91">
        <v>0</v>
      </c>
      <c r="J2255" s="41"/>
      <c r="K2255" s="41">
        <v>43220</v>
      </c>
      <c r="L2255" s="69" t="s">
        <v>80</v>
      </c>
      <c r="M2255" s="69" t="s">
        <v>109</v>
      </c>
      <c r="N2255" s="95">
        <v>43193</v>
      </c>
      <c r="P2255" t="s">
        <v>95</v>
      </c>
      <c r="Q2255" t="s">
        <v>133</v>
      </c>
      <c r="R2255" s="92" t="s">
        <v>69</v>
      </c>
      <c r="S2255" s="92" t="s">
        <v>115</v>
      </c>
      <c r="V2255" s="95">
        <v>43220</v>
      </c>
      <c r="W2255" s="92" t="s">
        <v>349</v>
      </c>
      <c r="X2255" s="90" t="s">
        <v>196</v>
      </c>
      <c r="Y2255" s="123"/>
      <c r="Z2255" s="30">
        <f t="shared" si="70"/>
        <v>7619.1757811093694</v>
      </c>
      <c r="AA2255" s="30">
        <f t="shared" si="71"/>
        <v>2380.9924315966778</v>
      </c>
      <c r="AB2255" t="s">
        <v>456</v>
      </c>
    </row>
    <row r="2256" spans="1:28">
      <c r="A2256" t="s">
        <v>113</v>
      </c>
      <c r="B2256" s="91" t="s">
        <v>160</v>
      </c>
      <c r="C2256" s="92" t="s">
        <v>161</v>
      </c>
      <c r="D2256" s="93">
        <v>21600</v>
      </c>
      <c r="F2256" s="91">
        <v>16</v>
      </c>
      <c r="G2256" s="96">
        <v>5</v>
      </c>
      <c r="H2256" s="94">
        <v>0</v>
      </c>
      <c r="I2256" s="91">
        <v>0</v>
      </c>
      <c r="J2256" s="41"/>
      <c r="K2256" s="41">
        <v>43220</v>
      </c>
      <c r="L2256" s="69" t="s">
        <v>80</v>
      </c>
      <c r="M2256" s="69" t="s">
        <v>109</v>
      </c>
      <c r="N2256" s="95">
        <v>43193</v>
      </c>
      <c r="P2256" t="s">
        <v>95</v>
      </c>
      <c r="Q2256" t="s">
        <v>133</v>
      </c>
      <c r="R2256" s="92" t="s">
        <v>69</v>
      </c>
      <c r="S2256" s="92" t="s">
        <v>115</v>
      </c>
      <c r="V2256" s="95">
        <v>43220</v>
      </c>
      <c r="W2256" s="92" t="s">
        <v>349</v>
      </c>
      <c r="X2256" s="90" t="s">
        <v>196</v>
      </c>
      <c r="Y2256" s="123"/>
      <c r="Z2256" s="30">
        <f t="shared" si="70"/>
        <v>7619.1757811093694</v>
      </c>
      <c r="AA2256" s="30">
        <f t="shared" si="71"/>
        <v>2380.9924315966778</v>
      </c>
      <c r="AB2256" t="s">
        <v>456</v>
      </c>
    </row>
    <row r="2257" spans="1:28">
      <c r="A2257" t="s">
        <v>113</v>
      </c>
      <c r="B2257" s="91" t="s">
        <v>160</v>
      </c>
      <c r="C2257" s="92" t="s">
        <v>161</v>
      </c>
      <c r="D2257" s="93">
        <v>21600</v>
      </c>
      <c r="F2257" s="91">
        <v>16</v>
      </c>
      <c r="G2257" s="96">
        <v>5</v>
      </c>
      <c r="H2257" s="94">
        <v>0</v>
      </c>
      <c r="I2257" s="91">
        <v>0</v>
      </c>
      <c r="J2257" s="41"/>
      <c r="K2257" s="41">
        <v>43220</v>
      </c>
      <c r="L2257" s="69" t="s">
        <v>80</v>
      </c>
      <c r="M2257" s="69" t="s">
        <v>109</v>
      </c>
      <c r="N2257" s="95">
        <v>43193</v>
      </c>
      <c r="P2257" t="s">
        <v>95</v>
      </c>
      <c r="Q2257" t="s">
        <v>133</v>
      </c>
      <c r="R2257" s="92" t="s">
        <v>69</v>
      </c>
      <c r="S2257" s="92" t="s">
        <v>115</v>
      </c>
      <c r="V2257" s="95">
        <v>43220</v>
      </c>
      <c r="W2257" s="92" t="s">
        <v>349</v>
      </c>
      <c r="X2257" s="90" t="s">
        <v>196</v>
      </c>
      <c r="Y2257" s="123"/>
      <c r="Z2257" s="30">
        <f t="shared" si="70"/>
        <v>7619.1757811093694</v>
      </c>
      <c r="AA2257" s="30">
        <f t="shared" si="71"/>
        <v>2380.9924315966778</v>
      </c>
      <c r="AB2257" t="s">
        <v>456</v>
      </c>
    </row>
    <row r="2258" spans="1:28">
      <c r="A2258" t="s">
        <v>113</v>
      </c>
      <c r="B2258" s="91" t="s">
        <v>160</v>
      </c>
      <c r="C2258" s="92" t="s">
        <v>161</v>
      </c>
      <c r="D2258" s="93">
        <v>21600</v>
      </c>
      <c r="F2258" s="91">
        <v>16</v>
      </c>
      <c r="G2258" s="96">
        <v>5</v>
      </c>
      <c r="H2258" s="94">
        <v>0</v>
      </c>
      <c r="I2258" s="91">
        <v>0</v>
      </c>
      <c r="J2258" s="41"/>
      <c r="K2258" s="41">
        <v>43220</v>
      </c>
      <c r="L2258" s="69" t="s">
        <v>80</v>
      </c>
      <c r="M2258" s="69" t="s">
        <v>109</v>
      </c>
      <c r="N2258" s="95">
        <v>43193</v>
      </c>
      <c r="P2258" t="s">
        <v>95</v>
      </c>
      <c r="Q2258" t="s">
        <v>133</v>
      </c>
      <c r="R2258" s="92" t="s">
        <v>69</v>
      </c>
      <c r="S2258" s="92" t="s">
        <v>115</v>
      </c>
      <c r="V2258" s="95">
        <v>43220</v>
      </c>
      <c r="W2258" s="92" t="s">
        <v>349</v>
      </c>
      <c r="X2258" s="90" t="s">
        <v>196</v>
      </c>
      <c r="Y2258" s="123"/>
      <c r="Z2258" s="30">
        <f t="shared" si="70"/>
        <v>7619.1757811093694</v>
      </c>
      <c r="AA2258" s="30">
        <f t="shared" si="71"/>
        <v>2380.9924315966778</v>
      </c>
      <c r="AB2258" t="s">
        <v>456</v>
      </c>
    </row>
    <row r="2259" spans="1:28">
      <c r="A2259" t="s">
        <v>113</v>
      </c>
      <c r="B2259" s="91" t="s">
        <v>160</v>
      </c>
      <c r="C2259" s="92" t="s">
        <v>161</v>
      </c>
      <c r="D2259" s="93">
        <v>21600</v>
      </c>
      <c r="F2259" s="91">
        <v>16</v>
      </c>
      <c r="G2259" s="96">
        <v>5</v>
      </c>
      <c r="H2259" s="94">
        <v>0</v>
      </c>
      <c r="I2259" s="91">
        <v>0</v>
      </c>
      <c r="J2259" s="41"/>
      <c r="K2259" s="41">
        <v>43220</v>
      </c>
      <c r="L2259" s="69" t="s">
        <v>80</v>
      </c>
      <c r="M2259" s="69" t="s">
        <v>109</v>
      </c>
      <c r="N2259" s="95">
        <v>43193</v>
      </c>
      <c r="P2259" t="s">
        <v>95</v>
      </c>
      <c r="Q2259" t="s">
        <v>133</v>
      </c>
      <c r="R2259" s="92" t="s">
        <v>69</v>
      </c>
      <c r="S2259" s="92" t="s">
        <v>115</v>
      </c>
      <c r="V2259" s="95">
        <v>43220</v>
      </c>
      <c r="W2259" s="92" t="s">
        <v>349</v>
      </c>
      <c r="X2259" s="90" t="s">
        <v>196</v>
      </c>
      <c r="Y2259" s="123"/>
      <c r="Z2259" s="30">
        <f t="shared" si="70"/>
        <v>7619.1757811093694</v>
      </c>
      <c r="AA2259" s="30">
        <f t="shared" si="71"/>
        <v>2380.9924315966778</v>
      </c>
      <c r="AB2259" t="s">
        <v>456</v>
      </c>
    </row>
    <row r="2260" spans="1:28">
      <c r="A2260" t="s">
        <v>113</v>
      </c>
      <c r="B2260" s="91" t="s">
        <v>160</v>
      </c>
      <c r="C2260" s="92" t="s">
        <v>161</v>
      </c>
      <c r="D2260" s="93">
        <v>21600</v>
      </c>
      <c r="F2260" s="91">
        <v>16</v>
      </c>
      <c r="G2260" s="96">
        <v>5</v>
      </c>
      <c r="H2260" s="94">
        <v>0</v>
      </c>
      <c r="I2260" s="91">
        <v>0</v>
      </c>
      <c r="J2260" s="41"/>
      <c r="K2260" s="41">
        <v>43220</v>
      </c>
      <c r="L2260" s="69" t="s">
        <v>80</v>
      </c>
      <c r="M2260" s="69" t="s">
        <v>109</v>
      </c>
      <c r="N2260" s="95">
        <v>43193</v>
      </c>
      <c r="P2260" t="s">
        <v>95</v>
      </c>
      <c r="Q2260" t="s">
        <v>133</v>
      </c>
      <c r="R2260" s="92" t="s">
        <v>69</v>
      </c>
      <c r="S2260" s="92" t="s">
        <v>115</v>
      </c>
      <c r="V2260" s="95">
        <v>43220</v>
      </c>
      <c r="W2260" s="92" t="s">
        <v>349</v>
      </c>
      <c r="X2260" s="90" t="s">
        <v>196</v>
      </c>
      <c r="Y2260" s="123"/>
      <c r="Z2260" s="30">
        <f t="shared" si="70"/>
        <v>7619.1757811093694</v>
      </c>
      <c r="AA2260" s="30">
        <f t="shared" si="71"/>
        <v>2380.9924315966778</v>
      </c>
      <c r="AB2260" t="s">
        <v>456</v>
      </c>
    </row>
    <row r="2261" spans="1:28">
      <c r="A2261" t="s">
        <v>113</v>
      </c>
      <c r="B2261" s="91" t="s">
        <v>160</v>
      </c>
      <c r="C2261" s="92" t="s">
        <v>161</v>
      </c>
      <c r="D2261" s="93">
        <v>21600</v>
      </c>
      <c r="F2261" s="91">
        <v>16</v>
      </c>
      <c r="G2261" s="96">
        <v>5</v>
      </c>
      <c r="H2261" s="94">
        <v>0</v>
      </c>
      <c r="I2261" s="91">
        <v>0</v>
      </c>
      <c r="J2261" s="41"/>
      <c r="K2261" s="41">
        <v>43220</v>
      </c>
      <c r="L2261" s="69" t="s">
        <v>80</v>
      </c>
      <c r="M2261" s="69" t="s">
        <v>109</v>
      </c>
      <c r="N2261" s="95">
        <v>43193</v>
      </c>
      <c r="P2261" t="s">
        <v>95</v>
      </c>
      <c r="Q2261" t="s">
        <v>133</v>
      </c>
      <c r="R2261" s="92" t="s">
        <v>69</v>
      </c>
      <c r="S2261" s="92" t="s">
        <v>115</v>
      </c>
      <c r="V2261" s="95">
        <v>43220</v>
      </c>
      <c r="W2261" s="92" t="s">
        <v>349</v>
      </c>
      <c r="X2261" s="90" t="s">
        <v>196</v>
      </c>
      <c r="Y2261" s="123"/>
      <c r="Z2261" s="30">
        <f t="shared" si="70"/>
        <v>7619.1757811093694</v>
      </c>
      <c r="AA2261" s="30">
        <f t="shared" si="71"/>
        <v>2380.9924315966778</v>
      </c>
      <c r="AB2261" t="s">
        <v>456</v>
      </c>
    </row>
    <row r="2262" spans="1:28">
      <c r="A2262" t="s">
        <v>113</v>
      </c>
      <c r="B2262" s="91" t="s">
        <v>160</v>
      </c>
      <c r="C2262" s="92" t="s">
        <v>161</v>
      </c>
      <c r="D2262" s="93">
        <v>21600</v>
      </c>
      <c r="F2262" s="91">
        <v>16</v>
      </c>
      <c r="G2262" s="96">
        <v>5</v>
      </c>
      <c r="H2262" s="94">
        <v>0</v>
      </c>
      <c r="I2262" s="91">
        <v>0</v>
      </c>
      <c r="J2262" s="41"/>
      <c r="K2262" s="41">
        <v>43220</v>
      </c>
      <c r="L2262" s="69" t="s">
        <v>80</v>
      </c>
      <c r="M2262" s="69" t="s">
        <v>109</v>
      </c>
      <c r="N2262" s="95">
        <v>43193</v>
      </c>
      <c r="P2262" t="s">
        <v>95</v>
      </c>
      <c r="Q2262" t="s">
        <v>133</v>
      </c>
      <c r="R2262" s="92" t="s">
        <v>69</v>
      </c>
      <c r="S2262" s="92" t="s">
        <v>115</v>
      </c>
      <c r="V2262" s="95">
        <v>43220</v>
      </c>
      <c r="W2262" s="92" t="s">
        <v>349</v>
      </c>
      <c r="X2262" s="90" t="s">
        <v>196</v>
      </c>
      <c r="Y2262" s="123"/>
      <c r="Z2262" s="30">
        <f t="shared" si="70"/>
        <v>7619.1757811093694</v>
      </c>
      <c r="AA2262" s="30">
        <f t="shared" si="71"/>
        <v>2380.9924315966778</v>
      </c>
      <c r="AB2262" t="s">
        <v>456</v>
      </c>
    </row>
    <row r="2263" spans="1:28">
      <c r="A2263" t="s">
        <v>113</v>
      </c>
      <c r="B2263" s="91" t="s">
        <v>160</v>
      </c>
      <c r="C2263" s="92" t="s">
        <v>161</v>
      </c>
      <c r="D2263" s="93">
        <v>21600</v>
      </c>
      <c r="F2263" s="91">
        <v>16</v>
      </c>
      <c r="G2263" s="96">
        <v>5</v>
      </c>
      <c r="H2263" s="94">
        <v>0</v>
      </c>
      <c r="I2263" s="91">
        <v>0</v>
      </c>
      <c r="J2263" s="41"/>
      <c r="K2263" s="41">
        <v>43220</v>
      </c>
      <c r="L2263" s="69" t="s">
        <v>80</v>
      </c>
      <c r="M2263" s="69" t="s">
        <v>109</v>
      </c>
      <c r="N2263" s="95">
        <v>43193</v>
      </c>
      <c r="P2263" t="s">
        <v>95</v>
      </c>
      <c r="Q2263" t="s">
        <v>133</v>
      </c>
      <c r="R2263" s="92" t="s">
        <v>69</v>
      </c>
      <c r="S2263" s="92" t="s">
        <v>115</v>
      </c>
      <c r="V2263" s="95">
        <v>43220</v>
      </c>
      <c r="W2263" s="92" t="s">
        <v>349</v>
      </c>
      <c r="X2263" s="90" t="s">
        <v>196</v>
      </c>
      <c r="Y2263" s="123"/>
      <c r="Z2263" s="30">
        <f t="shared" si="70"/>
        <v>7619.1757811093694</v>
      </c>
      <c r="AA2263" s="30">
        <f t="shared" si="71"/>
        <v>2380.9924315966778</v>
      </c>
      <c r="AB2263" t="s">
        <v>456</v>
      </c>
    </row>
    <row r="2264" spans="1:28">
      <c r="A2264" t="s">
        <v>113</v>
      </c>
      <c r="B2264" s="91" t="s">
        <v>160</v>
      </c>
      <c r="C2264" s="92" t="s">
        <v>161</v>
      </c>
      <c r="D2264" s="93">
        <v>21600</v>
      </c>
      <c r="F2264" s="91">
        <v>16</v>
      </c>
      <c r="G2264" s="96">
        <v>5</v>
      </c>
      <c r="H2264" s="94">
        <v>0</v>
      </c>
      <c r="I2264" s="91">
        <v>0</v>
      </c>
      <c r="J2264" s="41"/>
      <c r="K2264" s="41">
        <v>43220</v>
      </c>
      <c r="L2264" s="69" t="s">
        <v>80</v>
      </c>
      <c r="M2264" s="69" t="s">
        <v>109</v>
      </c>
      <c r="N2264" s="95">
        <v>43193</v>
      </c>
      <c r="P2264" t="s">
        <v>95</v>
      </c>
      <c r="Q2264" t="s">
        <v>133</v>
      </c>
      <c r="R2264" s="92" t="s">
        <v>69</v>
      </c>
      <c r="S2264" s="92" t="s">
        <v>115</v>
      </c>
      <c r="V2264" s="95">
        <v>43220</v>
      </c>
      <c r="W2264" s="92" t="s">
        <v>349</v>
      </c>
      <c r="X2264" s="90" t="s">
        <v>196</v>
      </c>
      <c r="Y2264" s="123"/>
      <c r="Z2264" s="30">
        <f t="shared" si="70"/>
        <v>7619.1757811093694</v>
      </c>
      <c r="AA2264" s="30">
        <f t="shared" si="71"/>
        <v>2380.9924315966778</v>
      </c>
      <c r="AB2264" t="s">
        <v>456</v>
      </c>
    </row>
    <row r="2265" spans="1:28">
      <c r="A2265" t="s">
        <v>113</v>
      </c>
      <c r="B2265" s="91" t="s">
        <v>160</v>
      </c>
      <c r="C2265" s="92" t="s">
        <v>161</v>
      </c>
      <c r="D2265" s="93">
        <v>21600</v>
      </c>
      <c r="F2265" s="91">
        <v>16</v>
      </c>
      <c r="G2265" s="96">
        <v>5</v>
      </c>
      <c r="H2265" s="94">
        <v>0</v>
      </c>
      <c r="I2265" s="91">
        <v>0</v>
      </c>
      <c r="J2265" s="41"/>
      <c r="K2265" s="41">
        <v>43220</v>
      </c>
      <c r="L2265" s="69" t="s">
        <v>80</v>
      </c>
      <c r="M2265" s="69" t="s">
        <v>109</v>
      </c>
      <c r="N2265" s="95">
        <v>43201</v>
      </c>
      <c r="P2265" t="s">
        <v>95</v>
      </c>
      <c r="Q2265" t="s">
        <v>133</v>
      </c>
      <c r="R2265" s="92" t="s">
        <v>69</v>
      </c>
      <c r="S2265" s="92" t="s">
        <v>115</v>
      </c>
      <c r="V2265" s="95">
        <v>43220</v>
      </c>
      <c r="W2265" s="92" t="s">
        <v>349</v>
      </c>
      <c r="X2265" s="90" t="s">
        <v>196</v>
      </c>
      <c r="Y2265" s="123"/>
      <c r="Z2265" s="30">
        <f t="shared" si="70"/>
        <v>7619.1757811093694</v>
      </c>
      <c r="AA2265" s="30">
        <f t="shared" si="71"/>
        <v>2380.9924315966778</v>
      </c>
      <c r="AB2265" t="s">
        <v>456</v>
      </c>
    </row>
    <row r="2266" spans="1:28">
      <c r="A2266" t="s">
        <v>113</v>
      </c>
      <c r="B2266" s="91" t="s">
        <v>160</v>
      </c>
      <c r="C2266" s="92" t="s">
        <v>161</v>
      </c>
      <c r="D2266" s="93">
        <v>21600</v>
      </c>
      <c r="F2266" s="91">
        <v>16</v>
      </c>
      <c r="G2266" s="96">
        <v>5</v>
      </c>
      <c r="H2266" s="94">
        <v>0</v>
      </c>
      <c r="I2266" s="91">
        <v>0</v>
      </c>
      <c r="J2266" s="41"/>
      <c r="K2266" s="41">
        <v>43220</v>
      </c>
      <c r="L2266" s="69" t="s">
        <v>80</v>
      </c>
      <c r="M2266" s="69" t="s">
        <v>109</v>
      </c>
      <c r="N2266" s="95">
        <v>43201</v>
      </c>
      <c r="P2266" t="s">
        <v>95</v>
      </c>
      <c r="Q2266" t="s">
        <v>133</v>
      </c>
      <c r="R2266" s="92" t="s">
        <v>69</v>
      </c>
      <c r="S2266" s="92" t="s">
        <v>115</v>
      </c>
      <c r="V2266" s="95">
        <v>43220</v>
      </c>
      <c r="W2266" s="92" t="s">
        <v>349</v>
      </c>
      <c r="X2266" s="90" t="s">
        <v>196</v>
      </c>
      <c r="Y2266" s="123"/>
      <c r="Z2266" s="30">
        <f t="shared" si="70"/>
        <v>7619.1757811093694</v>
      </c>
      <c r="AA2266" s="30">
        <f t="shared" si="71"/>
        <v>2380.9924315966778</v>
      </c>
      <c r="AB2266" t="s">
        <v>456</v>
      </c>
    </row>
    <row r="2267" spans="1:28">
      <c r="A2267" t="s">
        <v>128</v>
      </c>
      <c r="C2267" s="92">
        <v>4615494312</v>
      </c>
      <c r="D2267" s="93">
        <v>19175</v>
      </c>
      <c r="F2267" s="91">
        <v>154.4</v>
      </c>
      <c r="G2267" s="91">
        <v>0</v>
      </c>
      <c r="H2267" s="91">
        <v>0</v>
      </c>
      <c r="I2267" s="91">
        <v>0</v>
      </c>
      <c r="J2267" s="41"/>
      <c r="K2267" s="41">
        <v>43220</v>
      </c>
      <c r="L2267" s="69" t="s">
        <v>80</v>
      </c>
      <c r="M2267" s="69" t="s">
        <v>286</v>
      </c>
      <c r="N2267" s="95"/>
      <c r="P2267" t="s">
        <v>95</v>
      </c>
      <c r="Q2267" t="s">
        <v>129</v>
      </c>
      <c r="R2267" s="92" t="s">
        <v>69</v>
      </c>
      <c r="S2267" s="92" t="s">
        <v>130</v>
      </c>
      <c r="V2267" s="95">
        <v>43220</v>
      </c>
      <c r="W2267" s="92">
        <v>425580003</v>
      </c>
      <c r="X2267" s="90"/>
      <c r="Y2267" s="123"/>
      <c r="Z2267" s="30">
        <f t="shared" si="70"/>
        <v>65270.498266979223</v>
      </c>
      <c r="AA2267" s="30">
        <f t="shared" si="71"/>
        <v>0</v>
      </c>
      <c r="AB2267" t="s">
        <v>457</v>
      </c>
    </row>
    <row r="2268" spans="1:28">
      <c r="A2268" t="s">
        <v>128</v>
      </c>
      <c r="C2268" s="92">
        <v>4615494312</v>
      </c>
      <c r="D2268" s="93">
        <v>19175</v>
      </c>
      <c r="F2268" s="91">
        <v>154.4</v>
      </c>
      <c r="G2268" s="91">
        <v>0</v>
      </c>
      <c r="H2268" s="91">
        <v>0</v>
      </c>
      <c r="I2268" s="91">
        <v>0</v>
      </c>
      <c r="J2268" s="41"/>
      <c r="K2268" s="41">
        <v>43220</v>
      </c>
      <c r="L2268" s="69" t="s">
        <v>80</v>
      </c>
      <c r="M2268" s="69" t="s">
        <v>286</v>
      </c>
      <c r="N2268" s="95"/>
      <c r="P2268" t="s">
        <v>95</v>
      </c>
      <c r="Q2268" t="s">
        <v>129</v>
      </c>
      <c r="R2268" s="92" t="s">
        <v>69</v>
      </c>
      <c r="S2268" s="92" t="s">
        <v>130</v>
      </c>
      <c r="V2268" s="95">
        <v>43220</v>
      </c>
      <c r="W2268" s="92">
        <v>425580003</v>
      </c>
      <c r="X2268" s="90"/>
      <c r="Y2268" s="123"/>
      <c r="Z2268" s="30">
        <f t="shared" si="70"/>
        <v>65270.498266979223</v>
      </c>
      <c r="AA2268" s="30">
        <f t="shared" si="71"/>
        <v>0</v>
      </c>
      <c r="AB2268" t="s">
        <v>457</v>
      </c>
    </row>
    <row r="2269" spans="1:28">
      <c r="A2269" t="s">
        <v>128</v>
      </c>
      <c r="C2269" s="92">
        <v>4615494312</v>
      </c>
      <c r="D2269" s="93">
        <v>19175</v>
      </c>
      <c r="F2269" s="91">
        <v>154.4</v>
      </c>
      <c r="G2269" s="91">
        <v>0</v>
      </c>
      <c r="H2269" s="91">
        <v>0</v>
      </c>
      <c r="I2269" s="91">
        <v>0</v>
      </c>
      <c r="J2269" s="41"/>
      <c r="K2269" s="41">
        <v>43220</v>
      </c>
      <c r="L2269" s="69" t="s">
        <v>80</v>
      </c>
      <c r="M2269" s="69" t="s">
        <v>286</v>
      </c>
      <c r="N2269" s="95"/>
      <c r="P2269" t="s">
        <v>95</v>
      </c>
      <c r="Q2269" t="s">
        <v>129</v>
      </c>
      <c r="R2269" s="92" t="s">
        <v>69</v>
      </c>
      <c r="S2269" s="92" t="s">
        <v>130</v>
      </c>
      <c r="V2269" s="95">
        <v>43220</v>
      </c>
      <c r="W2269" s="92">
        <v>425580003</v>
      </c>
      <c r="X2269" s="90"/>
      <c r="Y2269" s="123"/>
      <c r="Z2269" s="30">
        <f t="shared" si="70"/>
        <v>65270.498266979223</v>
      </c>
      <c r="AA2269" s="30">
        <f t="shared" si="71"/>
        <v>0</v>
      </c>
      <c r="AB2269" t="s">
        <v>457</v>
      </c>
    </row>
    <row r="2270" spans="1:28">
      <c r="A2270" t="s">
        <v>128</v>
      </c>
      <c r="C2270" s="92">
        <v>4615494312</v>
      </c>
      <c r="D2270" s="93">
        <v>19175</v>
      </c>
      <c r="F2270" s="91">
        <v>154.4</v>
      </c>
      <c r="G2270" s="91">
        <v>0</v>
      </c>
      <c r="H2270" s="91">
        <v>0</v>
      </c>
      <c r="I2270" s="91">
        <v>0</v>
      </c>
      <c r="J2270" s="41"/>
      <c r="K2270" s="41">
        <v>43220</v>
      </c>
      <c r="L2270" s="69" t="s">
        <v>80</v>
      </c>
      <c r="M2270" s="69" t="s">
        <v>286</v>
      </c>
      <c r="N2270" s="95"/>
      <c r="P2270" t="s">
        <v>95</v>
      </c>
      <c r="Q2270" t="s">
        <v>129</v>
      </c>
      <c r="R2270" s="92" t="s">
        <v>69</v>
      </c>
      <c r="S2270" s="92" t="s">
        <v>130</v>
      </c>
      <c r="V2270" s="95">
        <v>43220</v>
      </c>
      <c r="W2270" s="92">
        <v>425580003</v>
      </c>
      <c r="X2270" s="90"/>
      <c r="Y2270" s="123"/>
      <c r="Z2270" s="30">
        <f t="shared" si="70"/>
        <v>65270.498266979223</v>
      </c>
      <c r="AA2270" s="30">
        <f t="shared" si="71"/>
        <v>0</v>
      </c>
      <c r="AB2270" t="s">
        <v>457</v>
      </c>
    </row>
    <row r="2271" spans="1:28">
      <c r="A2271" t="s">
        <v>128</v>
      </c>
      <c r="C2271" s="92">
        <v>4615494312</v>
      </c>
      <c r="D2271" s="93">
        <v>19175</v>
      </c>
      <c r="F2271" s="91">
        <v>154.4</v>
      </c>
      <c r="G2271" s="91">
        <v>0</v>
      </c>
      <c r="H2271" s="91">
        <v>0</v>
      </c>
      <c r="I2271" s="91">
        <v>0</v>
      </c>
      <c r="J2271" s="41"/>
      <c r="K2271" s="41">
        <v>43220</v>
      </c>
      <c r="L2271" s="69" t="s">
        <v>80</v>
      </c>
      <c r="M2271" s="69" t="s">
        <v>286</v>
      </c>
      <c r="N2271" s="95"/>
      <c r="P2271" t="s">
        <v>95</v>
      </c>
      <c r="Q2271" t="s">
        <v>129</v>
      </c>
      <c r="R2271" s="92" t="s">
        <v>69</v>
      </c>
      <c r="S2271" s="92" t="s">
        <v>130</v>
      </c>
      <c r="V2271" s="95">
        <v>43220</v>
      </c>
      <c r="W2271" s="92">
        <v>425580003</v>
      </c>
      <c r="X2271" s="90"/>
      <c r="Y2271" s="123"/>
      <c r="Z2271" s="30">
        <f t="shared" si="70"/>
        <v>65270.498266979223</v>
      </c>
      <c r="AA2271" s="30">
        <f t="shared" si="71"/>
        <v>0</v>
      </c>
      <c r="AB2271" t="s">
        <v>457</v>
      </c>
    </row>
    <row r="2272" spans="1:28">
      <c r="A2272" t="s">
        <v>128</v>
      </c>
      <c r="C2272" s="92">
        <v>4615473967</v>
      </c>
      <c r="D2272" s="93">
        <v>19175</v>
      </c>
      <c r="F2272" s="91">
        <v>154.32</v>
      </c>
      <c r="G2272" s="96">
        <v>0</v>
      </c>
      <c r="H2272" s="91">
        <v>0</v>
      </c>
      <c r="I2272" s="91">
        <v>0</v>
      </c>
      <c r="J2272" s="41"/>
      <c r="K2272" s="41">
        <v>43220</v>
      </c>
      <c r="L2272" s="69" t="s">
        <v>80</v>
      </c>
      <c r="M2272" s="69" t="s">
        <v>286</v>
      </c>
      <c r="N2272" s="95"/>
      <c r="P2272" t="s">
        <v>95</v>
      </c>
      <c r="Q2272" t="s">
        <v>129</v>
      </c>
      <c r="R2272" s="92" t="s">
        <v>69</v>
      </c>
      <c r="S2272" s="92" t="s">
        <v>130</v>
      </c>
      <c r="V2272" s="95">
        <v>43220</v>
      </c>
      <c r="W2272" s="92">
        <v>425580010</v>
      </c>
      <c r="X2272" s="90"/>
      <c r="Y2272" s="123"/>
      <c r="Z2272" s="30">
        <f t="shared" si="70"/>
        <v>65236.679355960063</v>
      </c>
      <c r="AA2272" s="30">
        <f t="shared" si="71"/>
        <v>0</v>
      </c>
      <c r="AB2272" t="s">
        <v>457</v>
      </c>
    </row>
    <row r="2273" spans="1:28">
      <c r="A2273" t="s">
        <v>128</v>
      </c>
      <c r="C2273" s="92">
        <v>4615473967</v>
      </c>
      <c r="D2273" s="93">
        <v>19175</v>
      </c>
      <c r="F2273" s="91">
        <v>154.32</v>
      </c>
      <c r="G2273" s="96">
        <v>0</v>
      </c>
      <c r="H2273" s="91">
        <v>0</v>
      </c>
      <c r="I2273" s="91">
        <v>0</v>
      </c>
      <c r="J2273" s="41"/>
      <c r="K2273" s="41">
        <v>43220</v>
      </c>
      <c r="L2273" s="69" t="s">
        <v>80</v>
      </c>
      <c r="M2273" s="69" t="s">
        <v>286</v>
      </c>
      <c r="N2273" s="95"/>
      <c r="P2273" t="s">
        <v>95</v>
      </c>
      <c r="Q2273" t="s">
        <v>129</v>
      </c>
      <c r="R2273" s="92" t="s">
        <v>69</v>
      </c>
      <c r="S2273" s="92" t="s">
        <v>130</v>
      </c>
      <c r="V2273" s="95">
        <v>43220</v>
      </c>
      <c r="W2273" s="92">
        <v>425580010</v>
      </c>
      <c r="X2273" s="90"/>
      <c r="Y2273" s="123"/>
      <c r="Z2273" s="30">
        <f t="shared" si="70"/>
        <v>65236.679355960063</v>
      </c>
      <c r="AA2273" s="30">
        <f t="shared" si="71"/>
        <v>0</v>
      </c>
      <c r="AB2273" t="s">
        <v>457</v>
      </c>
    </row>
    <row r="2274" spans="1:28">
      <c r="A2274" t="s">
        <v>128</v>
      </c>
      <c r="C2274" s="92">
        <v>4615473967</v>
      </c>
      <c r="D2274" s="93">
        <v>19175</v>
      </c>
      <c r="F2274" s="91">
        <v>154.32</v>
      </c>
      <c r="G2274" s="96">
        <v>0</v>
      </c>
      <c r="H2274" s="91">
        <v>0</v>
      </c>
      <c r="I2274" s="91">
        <v>0</v>
      </c>
      <c r="J2274" s="41"/>
      <c r="K2274" s="41">
        <v>43220</v>
      </c>
      <c r="L2274" s="69" t="s">
        <v>80</v>
      </c>
      <c r="M2274" s="69" t="s">
        <v>286</v>
      </c>
      <c r="N2274" s="95"/>
      <c r="P2274" t="s">
        <v>95</v>
      </c>
      <c r="Q2274" t="s">
        <v>129</v>
      </c>
      <c r="R2274" s="92" t="s">
        <v>69</v>
      </c>
      <c r="S2274" s="92" t="s">
        <v>130</v>
      </c>
      <c r="V2274" s="95">
        <v>43220</v>
      </c>
      <c r="W2274" s="92">
        <v>425580010</v>
      </c>
      <c r="X2274" s="90"/>
      <c r="Y2274" s="123"/>
      <c r="Z2274" s="30">
        <f t="shared" si="70"/>
        <v>65236.679355960063</v>
      </c>
      <c r="AA2274" s="30">
        <f t="shared" si="71"/>
        <v>0</v>
      </c>
      <c r="AB2274" t="s">
        <v>457</v>
      </c>
    </row>
    <row r="2275" spans="1:28">
      <c r="A2275" t="s">
        <v>128</v>
      </c>
      <c r="C2275" s="92">
        <v>4615473967</v>
      </c>
      <c r="D2275" s="93">
        <v>19175</v>
      </c>
      <c r="F2275" s="91">
        <v>154.32</v>
      </c>
      <c r="G2275" s="96">
        <v>0</v>
      </c>
      <c r="H2275" s="91">
        <v>0</v>
      </c>
      <c r="I2275" s="91">
        <v>0</v>
      </c>
      <c r="J2275" s="41"/>
      <c r="K2275" s="41">
        <v>43220</v>
      </c>
      <c r="L2275" s="69" t="s">
        <v>80</v>
      </c>
      <c r="M2275" s="69" t="s">
        <v>286</v>
      </c>
      <c r="N2275" s="95"/>
      <c r="P2275" t="s">
        <v>95</v>
      </c>
      <c r="Q2275" t="s">
        <v>129</v>
      </c>
      <c r="R2275" s="92" t="s">
        <v>69</v>
      </c>
      <c r="S2275" s="92" t="s">
        <v>130</v>
      </c>
      <c r="V2275" s="95">
        <v>43220</v>
      </c>
      <c r="W2275" s="92">
        <v>425580010</v>
      </c>
      <c r="X2275" s="90"/>
      <c r="Y2275" s="123"/>
      <c r="Z2275" s="30">
        <f t="shared" si="70"/>
        <v>65236.679355960063</v>
      </c>
      <c r="AA2275" s="30">
        <f t="shared" si="71"/>
        <v>0</v>
      </c>
      <c r="AB2275" t="s">
        <v>457</v>
      </c>
    </row>
    <row r="2276" spans="1:28">
      <c r="A2276" t="s">
        <v>128</v>
      </c>
      <c r="C2276" s="92">
        <v>4615473967</v>
      </c>
      <c r="D2276" s="93">
        <v>19175</v>
      </c>
      <c r="F2276" s="91">
        <v>154.32</v>
      </c>
      <c r="G2276" s="96">
        <v>0</v>
      </c>
      <c r="H2276" s="91">
        <v>0</v>
      </c>
      <c r="I2276" s="91">
        <v>0</v>
      </c>
      <c r="J2276" s="41"/>
      <c r="K2276" s="41">
        <v>43220</v>
      </c>
      <c r="L2276" s="69" t="s">
        <v>80</v>
      </c>
      <c r="M2276" s="69" t="s">
        <v>286</v>
      </c>
      <c r="N2276" s="95"/>
      <c r="P2276" t="s">
        <v>95</v>
      </c>
      <c r="Q2276" t="s">
        <v>129</v>
      </c>
      <c r="R2276" s="92" t="s">
        <v>69</v>
      </c>
      <c r="S2276" s="92" t="s">
        <v>130</v>
      </c>
      <c r="V2276" s="95">
        <v>43220</v>
      </c>
      <c r="W2276" s="92">
        <v>425580010</v>
      </c>
      <c r="X2276" s="90"/>
      <c r="Y2276" s="123"/>
      <c r="Z2276" s="30">
        <f t="shared" si="70"/>
        <v>65236.679355960063</v>
      </c>
      <c r="AA2276" s="30">
        <f t="shared" si="71"/>
        <v>0</v>
      </c>
      <c r="AB2276" t="s">
        <v>457</v>
      </c>
    </row>
    <row r="2277" spans="1:28">
      <c r="A2277" t="s">
        <v>128</v>
      </c>
      <c r="C2277" s="92">
        <v>4615473967</v>
      </c>
      <c r="D2277" s="93">
        <v>19175</v>
      </c>
      <c r="F2277" s="91">
        <v>154.32</v>
      </c>
      <c r="G2277" s="96">
        <v>0</v>
      </c>
      <c r="H2277" s="91">
        <v>0</v>
      </c>
      <c r="I2277" s="91">
        <v>0</v>
      </c>
      <c r="J2277" s="41"/>
      <c r="K2277" s="41">
        <v>43220</v>
      </c>
      <c r="L2277" s="69" t="s">
        <v>80</v>
      </c>
      <c r="M2277" s="69" t="s">
        <v>286</v>
      </c>
      <c r="N2277" s="95"/>
      <c r="P2277" t="s">
        <v>95</v>
      </c>
      <c r="Q2277" t="s">
        <v>129</v>
      </c>
      <c r="R2277" s="92" t="s">
        <v>69</v>
      </c>
      <c r="S2277" s="92" t="s">
        <v>130</v>
      </c>
      <c r="V2277" s="95">
        <v>43220</v>
      </c>
      <c r="W2277" s="92">
        <v>425580010</v>
      </c>
      <c r="X2277" s="90"/>
      <c r="Y2277" s="123"/>
      <c r="Z2277" s="30">
        <f t="shared" si="70"/>
        <v>65236.679355960063</v>
      </c>
      <c r="AA2277" s="30">
        <f t="shared" si="71"/>
        <v>0</v>
      </c>
      <c r="AB2277" t="s">
        <v>457</v>
      </c>
    </row>
    <row r="2278" spans="1:28">
      <c r="A2278" t="s">
        <v>131</v>
      </c>
      <c r="C2278" s="92">
        <v>4615513269</v>
      </c>
      <c r="D2278" s="93">
        <v>19175</v>
      </c>
      <c r="F2278" s="91">
        <v>154.4</v>
      </c>
      <c r="G2278" s="91">
        <v>0</v>
      </c>
      <c r="H2278" s="91">
        <v>0</v>
      </c>
      <c r="I2278" s="91">
        <v>0</v>
      </c>
      <c r="J2278" s="41"/>
      <c r="K2278" s="41">
        <v>43220</v>
      </c>
      <c r="L2278" s="69" t="s">
        <v>80</v>
      </c>
      <c r="M2278" s="69" t="s">
        <v>286</v>
      </c>
      <c r="N2278" s="95"/>
      <c r="P2278" t="s">
        <v>95</v>
      </c>
      <c r="Q2278" t="s">
        <v>133</v>
      </c>
      <c r="R2278" s="92" t="s">
        <v>69</v>
      </c>
      <c r="S2278" s="92" t="s">
        <v>134</v>
      </c>
      <c r="V2278" s="95">
        <v>43220</v>
      </c>
      <c r="W2278" s="92" t="s">
        <v>350</v>
      </c>
      <c r="X2278" s="90"/>
      <c r="Y2278" s="123"/>
      <c r="Z2278" s="30">
        <f t="shared" si="70"/>
        <v>65270.498266979223</v>
      </c>
      <c r="AA2278" s="30">
        <f t="shared" si="71"/>
        <v>0</v>
      </c>
      <c r="AB2278" t="s">
        <v>457</v>
      </c>
    </row>
    <row r="2279" spans="1:28">
      <c r="A2279" t="s">
        <v>131</v>
      </c>
      <c r="C2279" s="92">
        <v>4615513269</v>
      </c>
      <c r="D2279" s="93">
        <v>19175</v>
      </c>
      <c r="F2279" s="91">
        <v>154.4</v>
      </c>
      <c r="G2279" s="91">
        <v>0</v>
      </c>
      <c r="H2279" s="91">
        <v>0</v>
      </c>
      <c r="I2279" s="91">
        <v>0</v>
      </c>
      <c r="J2279" s="41"/>
      <c r="K2279" s="41">
        <v>43220</v>
      </c>
      <c r="L2279" s="69" t="s">
        <v>80</v>
      </c>
      <c r="M2279" s="69" t="s">
        <v>286</v>
      </c>
      <c r="N2279" s="95"/>
      <c r="P2279" t="s">
        <v>95</v>
      </c>
      <c r="Q2279" t="s">
        <v>133</v>
      </c>
      <c r="R2279" s="92" t="s">
        <v>69</v>
      </c>
      <c r="S2279" s="92" t="s">
        <v>134</v>
      </c>
      <c r="V2279" s="95">
        <v>43220</v>
      </c>
      <c r="W2279" s="92" t="s">
        <v>350</v>
      </c>
      <c r="X2279" s="90"/>
      <c r="Y2279" s="123"/>
      <c r="Z2279" s="30">
        <f t="shared" si="70"/>
        <v>65270.498266979223</v>
      </c>
      <c r="AA2279" s="30">
        <f t="shared" si="71"/>
        <v>0</v>
      </c>
      <c r="AB2279" t="s">
        <v>457</v>
      </c>
    </row>
    <row r="2280" spans="1:28">
      <c r="A2280" t="s">
        <v>131</v>
      </c>
      <c r="C2280" s="92">
        <v>4615513269</v>
      </c>
      <c r="D2280" s="93">
        <v>19175</v>
      </c>
      <c r="F2280" s="91">
        <v>154.4</v>
      </c>
      <c r="G2280" s="91">
        <v>0</v>
      </c>
      <c r="H2280" s="91">
        <v>0</v>
      </c>
      <c r="I2280" s="91">
        <v>0</v>
      </c>
      <c r="J2280" s="41"/>
      <c r="K2280" s="41">
        <v>43220</v>
      </c>
      <c r="L2280" s="69" t="s">
        <v>80</v>
      </c>
      <c r="M2280" s="69" t="s">
        <v>286</v>
      </c>
      <c r="N2280" s="95"/>
      <c r="P2280" t="s">
        <v>95</v>
      </c>
      <c r="Q2280" t="s">
        <v>133</v>
      </c>
      <c r="R2280" s="92" t="s">
        <v>69</v>
      </c>
      <c r="S2280" s="92" t="s">
        <v>134</v>
      </c>
      <c r="V2280" s="95">
        <v>43220</v>
      </c>
      <c r="W2280" s="92" t="s">
        <v>350</v>
      </c>
      <c r="X2280" s="90"/>
      <c r="Y2280" s="123"/>
      <c r="Z2280" s="30">
        <f t="shared" si="70"/>
        <v>65270.498266979223</v>
      </c>
      <c r="AA2280" s="30">
        <f t="shared" si="71"/>
        <v>0</v>
      </c>
      <c r="AB2280" t="s">
        <v>457</v>
      </c>
    </row>
    <row r="2281" spans="1:28">
      <c r="A2281" t="s">
        <v>131</v>
      </c>
      <c r="C2281" s="92">
        <v>4615513269</v>
      </c>
      <c r="D2281" s="93">
        <v>19175</v>
      </c>
      <c r="F2281" s="91">
        <v>154.4</v>
      </c>
      <c r="G2281" s="91">
        <v>0</v>
      </c>
      <c r="H2281" s="91">
        <v>0</v>
      </c>
      <c r="I2281" s="91">
        <v>0</v>
      </c>
      <c r="J2281" s="41"/>
      <c r="K2281" s="41">
        <v>43220</v>
      </c>
      <c r="L2281" s="69" t="s">
        <v>80</v>
      </c>
      <c r="M2281" s="69" t="s">
        <v>286</v>
      </c>
      <c r="N2281" s="95"/>
      <c r="P2281" t="s">
        <v>95</v>
      </c>
      <c r="Q2281" t="s">
        <v>133</v>
      </c>
      <c r="R2281" s="92" t="s">
        <v>69</v>
      </c>
      <c r="S2281" s="92" t="s">
        <v>134</v>
      </c>
      <c r="V2281" s="95">
        <v>43220</v>
      </c>
      <c r="W2281" s="92" t="s">
        <v>350</v>
      </c>
      <c r="X2281" s="90"/>
      <c r="Y2281" s="123"/>
      <c r="Z2281" s="30">
        <f t="shared" si="70"/>
        <v>65270.498266979223</v>
      </c>
      <c r="AA2281" s="30">
        <f t="shared" si="71"/>
        <v>0</v>
      </c>
      <c r="AB2281" t="s">
        <v>457</v>
      </c>
    </row>
    <row r="2282" spans="1:28">
      <c r="A2282" t="s">
        <v>131</v>
      </c>
      <c r="C2282" s="92">
        <v>4615513269</v>
      </c>
      <c r="D2282" s="93">
        <v>19175</v>
      </c>
      <c r="F2282" s="91">
        <v>154.4</v>
      </c>
      <c r="G2282" s="91">
        <v>0</v>
      </c>
      <c r="H2282" s="91">
        <v>0</v>
      </c>
      <c r="I2282" s="91">
        <v>0</v>
      </c>
      <c r="J2282" s="41"/>
      <c r="K2282" s="41">
        <v>43220</v>
      </c>
      <c r="L2282" s="69" t="s">
        <v>80</v>
      </c>
      <c r="M2282" s="69" t="s">
        <v>286</v>
      </c>
      <c r="N2282" s="95"/>
      <c r="P2282" t="s">
        <v>95</v>
      </c>
      <c r="Q2282" t="s">
        <v>133</v>
      </c>
      <c r="R2282" s="92" t="s">
        <v>69</v>
      </c>
      <c r="S2282" s="92" t="s">
        <v>134</v>
      </c>
      <c r="V2282" s="95">
        <v>43220</v>
      </c>
      <c r="W2282" s="92" t="s">
        <v>350</v>
      </c>
      <c r="X2282" s="90"/>
      <c r="Y2282" s="123"/>
      <c r="Z2282" s="30">
        <f t="shared" si="70"/>
        <v>65270.498266979223</v>
      </c>
      <c r="AA2282" s="30">
        <f t="shared" si="71"/>
        <v>0</v>
      </c>
      <c r="AB2282" t="s">
        <v>457</v>
      </c>
    </row>
    <row r="2283" spans="1:28">
      <c r="A2283" t="s">
        <v>131</v>
      </c>
      <c r="C2283" s="92">
        <v>4615513269</v>
      </c>
      <c r="D2283" s="93">
        <v>19175</v>
      </c>
      <c r="F2283" s="91">
        <v>154.4</v>
      </c>
      <c r="G2283" s="91">
        <v>0</v>
      </c>
      <c r="H2283" s="91">
        <v>0</v>
      </c>
      <c r="I2283" s="91">
        <v>0</v>
      </c>
      <c r="J2283" s="41"/>
      <c r="K2283" s="41">
        <v>43220</v>
      </c>
      <c r="L2283" s="69" t="s">
        <v>80</v>
      </c>
      <c r="M2283" s="69" t="s">
        <v>286</v>
      </c>
      <c r="N2283" s="95"/>
      <c r="P2283" t="s">
        <v>95</v>
      </c>
      <c r="Q2283" t="s">
        <v>133</v>
      </c>
      <c r="R2283" s="92" t="s">
        <v>69</v>
      </c>
      <c r="S2283" s="92" t="s">
        <v>134</v>
      </c>
      <c r="V2283" s="95">
        <v>43220</v>
      </c>
      <c r="W2283" s="92" t="s">
        <v>350</v>
      </c>
      <c r="X2283" s="90"/>
      <c r="Y2283" s="123"/>
      <c r="Z2283" s="30">
        <f t="shared" si="70"/>
        <v>65270.498266979223</v>
      </c>
      <c r="AA2283" s="30">
        <f t="shared" si="71"/>
        <v>0</v>
      </c>
      <c r="AB2283" t="s">
        <v>457</v>
      </c>
    </row>
    <row r="2284" spans="1:28">
      <c r="A2284" t="s">
        <v>131</v>
      </c>
      <c r="C2284" s="92">
        <v>4615513269</v>
      </c>
      <c r="D2284" s="93">
        <v>19175</v>
      </c>
      <c r="F2284" s="91">
        <v>154.4</v>
      </c>
      <c r="G2284" s="91">
        <v>0</v>
      </c>
      <c r="H2284" s="91">
        <v>0</v>
      </c>
      <c r="I2284" s="91">
        <v>0</v>
      </c>
      <c r="J2284" s="41"/>
      <c r="K2284" s="41">
        <v>43220</v>
      </c>
      <c r="L2284" s="69" t="s">
        <v>80</v>
      </c>
      <c r="M2284" s="69" t="s">
        <v>286</v>
      </c>
      <c r="N2284" s="95"/>
      <c r="P2284" t="s">
        <v>95</v>
      </c>
      <c r="Q2284" t="s">
        <v>133</v>
      </c>
      <c r="R2284" s="92" t="s">
        <v>69</v>
      </c>
      <c r="S2284" s="92" t="s">
        <v>134</v>
      </c>
      <c r="V2284" s="95">
        <v>43220</v>
      </c>
      <c r="W2284" s="92" t="s">
        <v>350</v>
      </c>
      <c r="X2284" s="90"/>
      <c r="Y2284" s="123"/>
      <c r="Z2284" s="30">
        <f t="shared" si="70"/>
        <v>65270.498266979223</v>
      </c>
      <c r="AA2284" s="30">
        <f t="shared" si="71"/>
        <v>0</v>
      </c>
      <c r="AB2284" t="s">
        <v>457</v>
      </c>
    </row>
    <row r="2285" spans="1:28">
      <c r="A2285" t="s">
        <v>131</v>
      </c>
      <c r="C2285" s="92">
        <v>4615464127</v>
      </c>
      <c r="D2285" s="93">
        <v>19175</v>
      </c>
      <c r="F2285" s="91">
        <v>154.33000000000001</v>
      </c>
      <c r="G2285" s="91">
        <v>0</v>
      </c>
      <c r="H2285" s="91">
        <v>0</v>
      </c>
      <c r="I2285" s="91">
        <v>0</v>
      </c>
      <c r="J2285" s="41"/>
      <c r="K2285" s="41">
        <v>43220</v>
      </c>
      <c r="L2285" s="69" t="s">
        <v>80</v>
      </c>
      <c r="M2285" s="69" t="s">
        <v>286</v>
      </c>
      <c r="N2285" s="95"/>
      <c r="P2285" t="s">
        <v>95</v>
      </c>
      <c r="Q2285" t="s">
        <v>133</v>
      </c>
      <c r="R2285" s="92" t="s">
        <v>69</v>
      </c>
      <c r="S2285" s="92" t="s">
        <v>134</v>
      </c>
      <c r="V2285" s="95">
        <v>43220</v>
      </c>
      <c r="W2285" s="92" t="s">
        <v>351</v>
      </c>
      <c r="X2285" s="90"/>
      <c r="Y2285" s="123"/>
      <c r="Z2285" s="30">
        <f t="shared" si="70"/>
        <v>65240.906719837469</v>
      </c>
      <c r="AA2285" s="30">
        <f t="shared" si="71"/>
        <v>0</v>
      </c>
      <c r="AB2285" t="s">
        <v>457</v>
      </c>
    </row>
    <row r="2286" spans="1:28">
      <c r="A2286" t="s">
        <v>131</v>
      </c>
      <c r="C2286" s="92">
        <v>4615464127</v>
      </c>
      <c r="D2286" s="93">
        <v>19175</v>
      </c>
      <c r="F2286" s="91">
        <v>154.33000000000001</v>
      </c>
      <c r="G2286" s="91">
        <v>0</v>
      </c>
      <c r="H2286" s="91">
        <v>0</v>
      </c>
      <c r="I2286" s="91">
        <v>0</v>
      </c>
      <c r="J2286" s="41"/>
      <c r="K2286" s="41">
        <v>43220</v>
      </c>
      <c r="L2286" s="69" t="s">
        <v>80</v>
      </c>
      <c r="M2286" s="69" t="s">
        <v>286</v>
      </c>
      <c r="N2286" s="95"/>
      <c r="P2286" t="s">
        <v>95</v>
      </c>
      <c r="Q2286" t="s">
        <v>133</v>
      </c>
      <c r="R2286" s="92" t="s">
        <v>69</v>
      </c>
      <c r="S2286" s="92" t="s">
        <v>134</v>
      </c>
      <c r="V2286" s="95">
        <v>43220</v>
      </c>
      <c r="W2286" s="92" t="s">
        <v>351</v>
      </c>
      <c r="X2286" s="90"/>
      <c r="Y2286" s="123"/>
      <c r="Z2286" s="30">
        <f t="shared" si="70"/>
        <v>65240.906719837469</v>
      </c>
      <c r="AA2286" s="30">
        <f t="shared" si="71"/>
        <v>0</v>
      </c>
      <c r="AB2286" t="s">
        <v>457</v>
      </c>
    </row>
    <row r="2287" spans="1:28">
      <c r="A2287" t="s">
        <v>131</v>
      </c>
      <c r="C2287" s="92">
        <v>4615464127</v>
      </c>
      <c r="D2287" s="93">
        <v>19175</v>
      </c>
      <c r="F2287" s="91">
        <v>154.33000000000001</v>
      </c>
      <c r="G2287" s="91">
        <v>0</v>
      </c>
      <c r="H2287" s="91">
        <v>0</v>
      </c>
      <c r="I2287" s="91">
        <v>0</v>
      </c>
      <c r="J2287" s="41"/>
      <c r="K2287" s="41">
        <v>43220</v>
      </c>
      <c r="L2287" s="69" t="s">
        <v>80</v>
      </c>
      <c r="M2287" s="69" t="s">
        <v>286</v>
      </c>
      <c r="N2287" s="95"/>
      <c r="P2287" t="s">
        <v>95</v>
      </c>
      <c r="Q2287" t="s">
        <v>133</v>
      </c>
      <c r="R2287" s="92" t="s">
        <v>69</v>
      </c>
      <c r="S2287" s="92" t="s">
        <v>134</v>
      </c>
      <c r="V2287" s="95">
        <v>43220</v>
      </c>
      <c r="W2287" s="92" t="s">
        <v>351</v>
      </c>
      <c r="X2287" s="90"/>
      <c r="Y2287" s="123"/>
      <c r="Z2287" s="30">
        <f t="shared" si="70"/>
        <v>65240.906719837469</v>
      </c>
      <c r="AA2287" s="30">
        <f t="shared" si="71"/>
        <v>0</v>
      </c>
      <c r="AB2287" t="s">
        <v>457</v>
      </c>
    </row>
    <row r="2288" spans="1:28">
      <c r="A2288" t="s">
        <v>131</v>
      </c>
      <c r="C2288" s="92">
        <v>4615464127</v>
      </c>
      <c r="D2288" s="93">
        <v>19175</v>
      </c>
      <c r="F2288" s="91">
        <v>154.33000000000001</v>
      </c>
      <c r="G2288" s="91">
        <v>0</v>
      </c>
      <c r="H2288" s="91">
        <v>0</v>
      </c>
      <c r="I2288" s="91">
        <v>0</v>
      </c>
      <c r="J2288" s="41"/>
      <c r="K2288" s="41">
        <v>43220</v>
      </c>
      <c r="L2288" s="69" t="s">
        <v>80</v>
      </c>
      <c r="M2288" s="69" t="s">
        <v>286</v>
      </c>
      <c r="N2288" s="95"/>
      <c r="P2288" t="s">
        <v>95</v>
      </c>
      <c r="Q2288" t="s">
        <v>133</v>
      </c>
      <c r="R2288" s="92" t="s">
        <v>69</v>
      </c>
      <c r="S2288" s="92" t="s">
        <v>134</v>
      </c>
      <c r="V2288" s="95">
        <v>43220</v>
      </c>
      <c r="W2288" s="92" t="s">
        <v>351</v>
      </c>
      <c r="X2288" s="90"/>
      <c r="Y2288" s="123"/>
      <c r="Z2288" s="30">
        <f t="shared" si="70"/>
        <v>65240.906719837469</v>
      </c>
      <c r="AA2288" s="30">
        <f t="shared" si="71"/>
        <v>0</v>
      </c>
      <c r="AB2288" t="s">
        <v>457</v>
      </c>
    </row>
    <row r="2289" spans="1:28">
      <c r="A2289" t="s">
        <v>118</v>
      </c>
      <c r="C2289" s="92">
        <v>4615499337</v>
      </c>
      <c r="D2289" s="93">
        <v>19175</v>
      </c>
      <c r="F2289" s="91">
        <v>10</v>
      </c>
      <c r="G2289" s="96">
        <v>5</v>
      </c>
      <c r="H2289" s="94">
        <v>0</v>
      </c>
      <c r="I2289" s="91">
        <v>0</v>
      </c>
      <c r="J2289" s="41"/>
      <c r="K2289" s="41">
        <v>43251</v>
      </c>
      <c r="L2289" s="69" t="s">
        <v>80</v>
      </c>
      <c r="M2289" s="69" t="s">
        <v>286</v>
      </c>
      <c r="N2289" s="95"/>
      <c r="P2289" t="s">
        <v>95</v>
      </c>
      <c r="Q2289" t="s">
        <v>120</v>
      </c>
      <c r="R2289" s="92" t="s">
        <v>69</v>
      </c>
      <c r="S2289" s="92" t="s">
        <v>121</v>
      </c>
      <c r="V2289" s="95">
        <v>43251</v>
      </c>
      <c r="W2289" s="92">
        <v>2030527</v>
      </c>
      <c r="X2289" s="90" t="s">
        <v>352</v>
      </c>
      <c r="Y2289" s="123"/>
      <c r="Z2289" s="30">
        <f t="shared" si="70"/>
        <v>4227.3638773950279</v>
      </c>
      <c r="AA2289" s="30">
        <f t="shared" si="71"/>
        <v>2113.6819386975139</v>
      </c>
      <c r="AB2289" t="s">
        <v>457</v>
      </c>
    </row>
    <row r="2290" spans="1:28">
      <c r="A2290" t="s">
        <v>118</v>
      </c>
      <c r="C2290" s="92">
        <v>4615463777</v>
      </c>
      <c r="D2290" s="93">
        <v>19175</v>
      </c>
      <c r="F2290" s="91">
        <v>10</v>
      </c>
      <c r="G2290" s="96"/>
      <c r="H2290" s="94">
        <v>0</v>
      </c>
      <c r="I2290" s="91">
        <v>0</v>
      </c>
      <c r="J2290" s="41"/>
      <c r="K2290" s="41">
        <v>43251</v>
      </c>
      <c r="L2290" s="69" t="s">
        <v>80</v>
      </c>
      <c r="M2290" s="69" t="s">
        <v>286</v>
      </c>
      <c r="N2290" s="95"/>
      <c r="P2290" t="s">
        <v>95</v>
      </c>
      <c r="Q2290" t="s">
        <v>120</v>
      </c>
      <c r="R2290" s="92" t="s">
        <v>69</v>
      </c>
      <c r="S2290" s="92" t="s">
        <v>121</v>
      </c>
      <c r="V2290" s="95">
        <v>43251</v>
      </c>
      <c r="W2290" s="92">
        <v>2030527</v>
      </c>
      <c r="X2290" s="90" t="s">
        <v>352</v>
      </c>
      <c r="Y2290" s="123"/>
      <c r="Z2290" s="30">
        <f t="shared" si="70"/>
        <v>4227.3638773950279</v>
      </c>
      <c r="AA2290" s="30">
        <f t="shared" si="71"/>
        <v>0</v>
      </c>
      <c r="AB2290" t="s">
        <v>457</v>
      </c>
    </row>
    <row r="2291" spans="1:28">
      <c r="A2291" t="s">
        <v>118</v>
      </c>
      <c r="C2291" s="92">
        <v>4615499337</v>
      </c>
      <c r="D2291" s="93">
        <v>19175</v>
      </c>
      <c r="F2291" s="91">
        <v>10</v>
      </c>
      <c r="G2291" s="96">
        <v>5</v>
      </c>
      <c r="H2291" s="94">
        <v>0</v>
      </c>
      <c r="I2291" s="91">
        <v>0</v>
      </c>
      <c r="J2291" s="41"/>
      <c r="K2291" s="41">
        <v>43251</v>
      </c>
      <c r="L2291" s="69" t="s">
        <v>80</v>
      </c>
      <c r="M2291" s="69" t="s">
        <v>286</v>
      </c>
      <c r="N2291" s="95"/>
      <c r="P2291" t="s">
        <v>95</v>
      </c>
      <c r="Q2291" t="s">
        <v>120</v>
      </c>
      <c r="R2291" s="92" t="s">
        <v>69</v>
      </c>
      <c r="S2291" s="92" t="s">
        <v>121</v>
      </c>
      <c r="V2291" s="95">
        <v>43251</v>
      </c>
      <c r="W2291" s="92">
        <v>2030527</v>
      </c>
      <c r="X2291" s="90" t="s">
        <v>352</v>
      </c>
      <c r="Y2291" s="123"/>
      <c r="Z2291" s="30">
        <f t="shared" si="70"/>
        <v>4227.3638773950279</v>
      </c>
      <c r="AA2291" s="30">
        <f t="shared" si="71"/>
        <v>2113.6819386975139</v>
      </c>
      <c r="AB2291" t="s">
        <v>457</v>
      </c>
    </row>
    <row r="2292" spans="1:28">
      <c r="A2292" t="s">
        <v>118</v>
      </c>
      <c r="C2292" s="92">
        <v>4615463777</v>
      </c>
      <c r="D2292" s="93">
        <v>19175</v>
      </c>
      <c r="F2292" s="91">
        <v>10</v>
      </c>
      <c r="G2292" s="96"/>
      <c r="H2292" s="94">
        <v>0</v>
      </c>
      <c r="I2292" s="91">
        <v>0</v>
      </c>
      <c r="J2292" s="41"/>
      <c r="K2292" s="41">
        <v>43251</v>
      </c>
      <c r="L2292" s="69" t="s">
        <v>80</v>
      </c>
      <c r="M2292" s="69" t="s">
        <v>286</v>
      </c>
      <c r="N2292" s="95"/>
      <c r="P2292" t="s">
        <v>95</v>
      </c>
      <c r="Q2292" t="s">
        <v>120</v>
      </c>
      <c r="R2292" s="92" t="s">
        <v>69</v>
      </c>
      <c r="S2292" s="92" t="s">
        <v>121</v>
      </c>
      <c r="V2292" s="95">
        <v>43251</v>
      </c>
      <c r="W2292" s="92">
        <v>2030527</v>
      </c>
      <c r="X2292" s="90" t="s">
        <v>352</v>
      </c>
      <c r="Y2292" s="123"/>
      <c r="Z2292" s="30">
        <f t="shared" si="70"/>
        <v>4227.3638773950279</v>
      </c>
      <c r="AA2292" s="30">
        <f t="shared" si="71"/>
        <v>0</v>
      </c>
      <c r="AB2292" t="s">
        <v>457</v>
      </c>
    </row>
    <row r="2293" spans="1:28">
      <c r="A2293" t="s">
        <v>118</v>
      </c>
      <c r="C2293" s="92">
        <v>4615499337</v>
      </c>
      <c r="D2293" s="93">
        <v>19175</v>
      </c>
      <c r="F2293" s="91">
        <v>10</v>
      </c>
      <c r="G2293" s="96">
        <v>5</v>
      </c>
      <c r="H2293" s="94">
        <v>0</v>
      </c>
      <c r="I2293" s="91">
        <v>0</v>
      </c>
      <c r="J2293" s="41"/>
      <c r="K2293" s="41">
        <v>43251</v>
      </c>
      <c r="L2293" s="69" t="s">
        <v>80</v>
      </c>
      <c r="M2293" s="69" t="s">
        <v>286</v>
      </c>
      <c r="N2293" s="95"/>
      <c r="P2293" t="s">
        <v>95</v>
      </c>
      <c r="Q2293" t="s">
        <v>120</v>
      </c>
      <c r="R2293" s="92" t="s">
        <v>69</v>
      </c>
      <c r="S2293" s="92" t="s">
        <v>121</v>
      </c>
      <c r="V2293" s="95">
        <v>43251</v>
      </c>
      <c r="W2293" s="92">
        <v>2030527</v>
      </c>
      <c r="X2293" s="90" t="s">
        <v>352</v>
      </c>
      <c r="Y2293" s="123"/>
      <c r="Z2293" s="30">
        <f t="shared" si="70"/>
        <v>4227.3638773950279</v>
      </c>
      <c r="AA2293" s="30">
        <f t="shared" si="71"/>
        <v>2113.6819386975139</v>
      </c>
      <c r="AB2293" t="s">
        <v>457</v>
      </c>
    </row>
    <row r="2294" spans="1:28">
      <c r="A2294" t="s">
        <v>118</v>
      </c>
      <c r="C2294" s="92">
        <v>4615463777</v>
      </c>
      <c r="D2294" s="93">
        <v>19175</v>
      </c>
      <c r="F2294" s="91">
        <v>10</v>
      </c>
      <c r="G2294" s="96"/>
      <c r="H2294" s="94">
        <v>0</v>
      </c>
      <c r="I2294" s="91">
        <v>0</v>
      </c>
      <c r="J2294" s="41"/>
      <c r="K2294" s="41">
        <v>43251</v>
      </c>
      <c r="L2294" s="69" t="s">
        <v>80</v>
      </c>
      <c r="M2294" s="69" t="s">
        <v>286</v>
      </c>
      <c r="N2294" s="95"/>
      <c r="P2294" t="s">
        <v>95</v>
      </c>
      <c r="Q2294" t="s">
        <v>120</v>
      </c>
      <c r="R2294" s="92" t="s">
        <v>69</v>
      </c>
      <c r="S2294" s="92" t="s">
        <v>121</v>
      </c>
      <c r="V2294" s="95">
        <v>43251</v>
      </c>
      <c r="W2294" s="92">
        <v>2030527</v>
      </c>
      <c r="X2294" s="90" t="s">
        <v>352</v>
      </c>
      <c r="Y2294" s="123"/>
      <c r="Z2294" s="30">
        <f t="shared" si="70"/>
        <v>4227.3638773950279</v>
      </c>
      <c r="AA2294" s="30">
        <f t="shared" si="71"/>
        <v>0</v>
      </c>
      <c r="AB2294" t="s">
        <v>457</v>
      </c>
    </row>
    <row r="2295" spans="1:28">
      <c r="A2295" t="s">
        <v>118</v>
      </c>
      <c r="C2295" s="92">
        <v>4615499337</v>
      </c>
      <c r="D2295" s="93">
        <v>19175</v>
      </c>
      <c r="F2295" s="91">
        <v>10</v>
      </c>
      <c r="G2295" s="96">
        <v>5</v>
      </c>
      <c r="H2295" s="94">
        <v>0</v>
      </c>
      <c r="I2295" s="91">
        <v>0</v>
      </c>
      <c r="J2295" s="41"/>
      <c r="K2295" s="41">
        <v>43251</v>
      </c>
      <c r="L2295" s="69" t="s">
        <v>80</v>
      </c>
      <c r="M2295" s="69" t="s">
        <v>286</v>
      </c>
      <c r="N2295" s="95"/>
      <c r="P2295" t="s">
        <v>95</v>
      </c>
      <c r="Q2295" t="s">
        <v>120</v>
      </c>
      <c r="R2295" s="92" t="s">
        <v>69</v>
      </c>
      <c r="S2295" s="92" t="s">
        <v>121</v>
      </c>
      <c r="V2295" s="95">
        <v>43251</v>
      </c>
      <c r="W2295" s="92">
        <v>2030527</v>
      </c>
      <c r="X2295" s="90" t="s">
        <v>352</v>
      </c>
      <c r="Y2295" s="123"/>
      <c r="Z2295" s="30">
        <f t="shared" si="70"/>
        <v>4227.3638773950279</v>
      </c>
      <c r="AA2295" s="30">
        <f t="shared" si="71"/>
        <v>2113.6819386975139</v>
      </c>
      <c r="AB2295" t="s">
        <v>457</v>
      </c>
    </row>
    <row r="2296" spans="1:28">
      <c r="A2296" t="s">
        <v>118</v>
      </c>
      <c r="C2296" s="92">
        <v>4615463777</v>
      </c>
      <c r="D2296" s="93">
        <v>19175</v>
      </c>
      <c r="F2296" s="91">
        <v>10</v>
      </c>
      <c r="G2296" s="96"/>
      <c r="H2296" s="94">
        <v>0</v>
      </c>
      <c r="I2296" s="91">
        <v>0</v>
      </c>
      <c r="J2296" s="41"/>
      <c r="K2296" s="41">
        <v>43251</v>
      </c>
      <c r="L2296" s="69" t="s">
        <v>80</v>
      </c>
      <c r="M2296" s="69" t="s">
        <v>286</v>
      </c>
      <c r="N2296" s="95"/>
      <c r="P2296" t="s">
        <v>95</v>
      </c>
      <c r="Q2296" t="s">
        <v>120</v>
      </c>
      <c r="R2296" s="92" t="s">
        <v>69</v>
      </c>
      <c r="S2296" s="92" t="s">
        <v>121</v>
      </c>
      <c r="V2296" s="95">
        <v>43251</v>
      </c>
      <c r="W2296" s="92">
        <v>2030527</v>
      </c>
      <c r="X2296" s="90" t="s">
        <v>352</v>
      </c>
      <c r="Y2296" s="123"/>
      <c r="Z2296" s="30">
        <f t="shared" si="70"/>
        <v>4227.3638773950279</v>
      </c>
      <c r="AA2296" s="30">
        <f t="shared" si="71"/>
        <v>0</v>
      </c>
      <c r="AB2296" t="s">
        <v>457</v>
      </c>
    </row>
    <row r="2297" spans="1:28">
      <c r="A2297" t="s">
        <v>118</v>
      </c>
      <c r="C2297" s="92">
        <v>4615499337</v>
      </c>
      <c r="D2297" s="93">
        <v>19175</v>
      </c>
      <c r="F2297" s="91">
        <v>10</v>
      </c>
      <c r="G2297" s="96">
        <v>5</v>
      </c>
      <c r="H2297" s="94">
        <v>0</v>
      </c>
      <c r="I2297" s="91">
        <v>0</v>
      </c>
      <c r="J2297" s="41"/>
      <c r="K2297" s="41">
        <v>43251</v>
      </c>
      <c r="L2297" s="69" t="s">
        <v>80</v>
      </c>
      <c r="M2297" s="69" t="s">
        <v>286</v>
      </c>
      <c r="N2297" s="95"/>
      <c r="P2297" t="s">
        <v>95</v>
      </c>
      <c r="Q2297" t="s">
        <v>120</v>
      </c>
      <c r="R2297" s="92" t="s">
        <v>69</v>
      </c>
      <c r="S2297" s="92" t="s">
        <v>121</v>
      </c>
      <c r="V2297" s="95">
        <v>43251</v>
      </c>
      <c r="W2297" s="92">
        <v>2030527</v>
      </c>
      <c r="X2297" s="90" t="s">
        <v>352</v>
      </c>
      <c r="Y2297" s="123"/>
      <c r="Z2297" s="30">
        <f t="shared" si="70"/>
        <v>4227.3638773950279</v>
      </c>
      <c r="AA2297" s="30">
        <f t="shared" si="71"/>
        <v>2113.6819386975139</v>
      </c>
      <c r="AB2297" t="s">
        <v>457</v>
      </c>
    </row>
    <row r="2298" spans="1:28">
      <c r="A2298" t="s">
        <v>118</v>
      </c>
      <c r="C2298" s="92">
        <v>4615463777</v>
      </c>
      <c r="D2298" s="93">
        <v>19175</v>
      </c>
      <c r="F2298" s="91">
        <v>10</v>
      </c>
      <c r="G2298" s="96"/>
      <c r="H2298" s="94">
        <v>0</v>
      </c>
      <c r="I2298" s="91">
        <v>0</v>
      </c>
      <c r="J2298" s="41"/>
      <c r="K2298" s="41">
        <v>43251</v>
      </c>
      <c r="L2298" s="69" t="s">
        <v>80</v>
      </c>
      <c r="M2298" s="69" t="s">
        <v>286</v>
      </c>
      <c r="N2298" s="95"/>
      <c r="P2298" t="s">
        <v>95</v>
      </c>
      <c r="Q2298" t="s">
        <v>120</v>
      </c>
      <c r="R2298" s="92" t="s">
        <v>69</v>
      </c>
      <c r="S2298" s="92" t="s">
        <v>121</v>
      </c>
      <c r="V2298" s="95">
        <v>43251</v>
      </c>
      <c r="W2298" s="92">
        <v>2030527</v>
      </c>
      <c r="X2298" s="90" t="s">
        <v>352</v>
      </c>
      <c r="Y2298" s="123"/>
      <c r="Z2298" s="30">
        <f t="shared" si="70"/>
        <v>4227.3638773950279</v>
      </c>
      <c r="AA2298" s="30">
        <f t="shared" si="71"/>
        <v>0</v>
      </c>
      <c r="AB2298" t="s">
        <v>457</v>
      </c>
    </row>
    <row r="2299" spans="1:28">
      <c r="A2299" t="s">
        <v>118</v>
      </c>
      <c r="C2299" s="92">
        <v>4615499337</v>
      </c>
      <c r="D2299" s="93">
        <v>19175</v>
      </c>
      <c r="F2299" s="91">
        <v>10</v>
      </c>
      <c r="G2299" s="96">
        <v>5</v>
      </c>
      <c r="H2299" s="94">
        <v>0</v>
      </c>
      <c r="I2299" s="91">
        <v>0</v>
      </c>
      <c r="J2299" s="41"/>
      <c r="K2299" s="41">
        <v>43251</v>
      </c>
      <c r="L2299" s="69" t="s">
        <v>80</v>
      </c>
      <c r="M2299" s="69" t="s">
        <v>286</v>
      </c>
      <c r="N2299" s="95"/>
      <c r="P2299" t="s">
        <v>95</v>
      </c>
      <c r="Q2299" t="s">
        <v>120</v>
      </c>
      <c r="R2299" s="92" t="s">
        <v>69</v>
      </c>
      <c r="S2299" s="92" t="s">
        <v>121</v>
      </c>
      <c r="V2299" s="95">
        <v>43251</v>
      </c>
      <c r="W2299" s="92">
        <v>2030527</v>
      </c>
      <c r="X2299" s="90" t="s">
        <v>352</v>
      </c>
      <c r="Y2299" s="123"/>
      <c r="Z2299" s="30">
        <f t="shared" si="70"/>
        <v>4227.3638773950279</v>
      </c>
      <c r="AA2299" s="30">
        <f t="shared" si="71"/>
        <v>2113.6819386975139</v>
      </c>
      <c r="AB2299" t="s">
        <v>457</v>
      </c>
    </row>
    <row r="2300" spans="1:28">
      <c r="A2300" t="s">
        <v>118</v>
      </c>
      <c r="C2300" s="92">
        <v>4615463777</v>
      </c>
      <c r="D2300" s="93">
        <v>19175</v>
      </c>
      <c r="F2300" s="91">
        <v>10</v>
      </c>
      <c r="G2300" s="96"/>
      <c r="H2300" s="94">
        <v>0</v>
      </c>
      <c r="I2300" s="91">
        <v>0</v>
      </c>
      <c r="J2300" s="41"/>
      <c r="K2300" s="41">
        <v>43251</v>
      </c>
      <c r="L2300" s="69" t="s">
        <v>80</v>
      </c>
      <c r="M2300" s="69" t="s">
        <v>286</v>
      </c>
      <c r="N2300" s="95"/>
      <c r="P2300" t="s">
        <v>95</v>
      </c>
      <c r="Q2300" t="s">
        <v>120</v>
      </c>
      <c r="R2300" s="92" t="s">
        <v>69</v>
      </c>
      <c r="S2300" s="92" t="s">
        <v>121</v>
      </c>
      <c r="V2300" s="95">
        <v>43251</v>
      </c>
      <c r="W2300" s="92">
        <v>2030527</v>
      </c>
      <c r="X2300" s="90" t="s">
        <v>352</v>
      </c>
      <c r="Y2300" s="123"/>
      <c r="Z2300" s="30">
        <f t="shared" si="70"/>
        <v>4227.3638773950279</v>
      </c>
      <c r="AA2300" s="30">
        <f t="shared" si="71"/>
        <v>0</v>
      </c>
      <c r="AB2300" t="s">
        <v>457</v>
      </c>
    </row>
    <row r="2301" spans="1:28">
      <c r="A2301" t="s">
        <v>136</v>
      </c>
      <c r="C2301" s="92">
        <v>4615449446</v>
      </c>
      <c r="D2301" s="93">
        <v>19175</v>
      </c>
      <c r="F2301" s="91">
        <v>10</v>
      </c>
      <c r="G2301" s="96">
        <v>5</v>
      </c>
      <c r="H2301" s="94">
        <v>0</v>
      </c>
      <c r="I2301" s="91">
        <v>0</v>
      </c>
      <c r="J2301" s="41"/>
      <c r="K2301" s="41">
        <v>43251</v>
      </c>
      <c r="L2301" s="69" t="s">
        <v>80</v>
      </c>
      <c r="M2301" s="69" t="s">
        <v>286</v>
      </c>
      <c r="N2301" s="95"/>
      <c r="P2301" t="s">
        <v>95</v>
      </c>
      <c r="Q2301" t="s">
        <v>129</v>
      </c>
      <c r="R2301" s="92" t="s">
        <v>69</v>
      </c>
      <c r="S2301" s="92" t="s">
        <v>138</v>
      </c>
      <c r="V2301" s="95">
        <v>43251</v>
      </c>
      <c r="W2301" s="92">
        <v>415580158</v>
      </c>
      <c r="X2301" s="90"/>
      <c r="Y2301" s="123"/>
      <c r="Z2301" s="30">
        <f t="shared" si="70"/>
        <v>4227.3638773950279</v>
      </c>
      <c r="AA2301" s="30">
        <f t="shared" si="71"/>
        <v>2113.6819386975139</v>
      </c>
      <c r="AB2301" t="s">
        <v>457</v>
      </c>
    </row>
    <row r="2302" spans="1:28">
      <c r="A2302" t="s">
        <v>136</v>
      </c>
      <c r="C2302" s="92">
        <v>4615449446</v>
      </c>
      <c r="D2302" s="93">
        <v>19175</v>
      </c>
      <c r="F2302" s="91">
        <v>10</v>
      </c>
      <c r="G2302" s="96">
        <v>5</v>
      </c>
      <c r="H2302" s="94">
        <v>0</v>
      </c>
      <c r="I2302" s="91">
        <v>0</v>
      </c>
      <c r="J2302" s="41"/>
      <c r="K2302" s="41">
        <v>43251</v>
      </c>
      <c r="L2302" s="69" t="s">
        <v>80</v>
      </c>
      <c r="M2302" s="69" t="s">
        <v>286</v>
      </c>
      <c r="N2302" s="95"/>
      <c r="P2302" t="s">
        <v>95</v>
      </c>
      <c r="Q2302" t="s">
        <v>129</v>
      </c>
      <c r="R2302" s="92" t="s">
        <v>69</v>
      </c>
      <c r="S2302" s="92" t="s">
        <v>138</v>
      </c>
      <c r="V2302" s="95">
        <v>43251</v>
      </c>
      <c r="W2302" s="92">
        <v>415580158</v>
      </c>
      <c r="X2302" s="90"/>
      <c r="Y2302" s="123"/>
      <c r="Z2302" s="30">
        <f t="shared" si="70"/>
        <v>4227.3638773950279</v>
      </c>
      <c r="AA2302" s="30">
        <f t="shared" si="71"/>
        <v>2113.6819386975139</v>
      </c>
      <c r="AB2302" t="s">
        <v>457</v>
      </c>
    </row>
    <row r="2303" spans="1:28">
      <c r="A2303" t="s">
        <v>136</v>
      </c>
      <c r="C2303" s="92">
        <v>4615449446</v>
      </c>
      <c r="D2303" s="93">
        <v>19175</v>
      </c>
      <c r="F2303" s="91">
        <v>10</v>
      </c>
      <c r="G2303" s="96">
        <v>5</v>
      </c>
      <c r="H2303" s="94">
        <v>0</v>
      </c>
      <c r="I2303" s="91">
        <v>0</v>
      </c>
      <c r="J2303" s="41"/>
      <c r="K2303" s="41">
        <v>43251</v>
      </c>
      <c r="L2303" s="69" t="s">
        <v>80</v>
      </c>
      <c r="M2303" s="69" t="s">
        <v>286</v>
      </c>
      <c r="N2303" s="95"/>
      <c r="P2303" t="s">
        <v>95</v>
      </c>
      <c r="Q2303" t="s">
        <v>129</v>
      </c>
      <c r="R2303" s="92" t="s">
        <v>69</v>
      </c>
      <c r="S2303" s="92" t="s">
        <v>138</v>
      </c>
      <c r="V2303" s="95">
        <v>43251</v>
      </c>
      <c r="W2303" s="92">
        <v>415580158</v>
      </c>
      <c r="X2303" s="90"/>
      <c r="Y2303" s="123"/>
      <c r="Z2303" s="30">
        <f t="shared" si="70"/>
        <v>4227.3638773950279</v>
      </c>
      <c r="AA2303" s="30">
        <f t="shared" si="71"/>
        <v>2113.6819386975139</v>
      </c>
      <c r="AB2303" t="s">
        <v>457</v>
      </c>
    </row>
    <row r="2304" spans="1:28">
      <c r="A2304" t="s">
        <v>136</v>
      </c>
      <c r="C2304" s="92">
        <v>4615449446</v>
      </c>
      <c r="D2304" s="93">
        <v>19175</v>
      </c>
      <c r="F2304" s="91">
        <v>10</v>
      </c>
      <c r="G2304" s="96">
        <v>5</v>
      </c>
      <c r="H2304" s="94">
        <v>0</v>
      </c>
      <c r="I2304" s="91">
        <v>0</v>
      </c>
      <c r="J2304" s="41"/>
      <c r="K2304" s="41">
        <v>43251</v>
      </c>
      <c r="L2304" s="69" t="s">
        <v>80</v>
      </c>
      <c r="M2304" s="69" t="s">
        <v>286</v>
      </c>
      <c r="N2304" s="95"/>
      <c r="P2304" t="s">
        <v>95</v>
      </c>
      <c r="Q2304" t="s">
        <v>129</v>
      </c>
      <c r="R2304" s="92" t="s">
        <v>69</v>
      </c>
      <c r="S2304" s="92" t="s">
        <v>138</v>
      </c>
      <c r="V2304" s="95">
        <v>43251</v>
      </c>
      <c r="W2304" s="92">
        <v>415580158</v>
      </c>
      <c r="X2304" s="90"/>
      <c r="Y2304" s="123"/>
      <c r="Z2304" s="30">
        <f t="shared" si="70"/>
        <v>4227.3638773950279</v>
      </c>
      <c r="AA2304" s="30">
        <f t="shared" si="71"/>
        <v>2113.6819386975139</v>
      </c>
      <c r="AB2304" t="s">
        <v>457</v>
      </c>
    </row>
    <row r="2305" spans="1:28">
      <c r="A2305" t="s">
        <v>136</v>
      </c>
      <c r="C2305" s="92">
        <v>4615449446</v>
      </c>
      <c r="D2305" s="93">
        <v>19175</v>
      </c>
      <c r="F2305" s="91">
        <v>10</v>
      </c>
      <c r="G2305" s="96">
        <v>5</v>
      </c>
      <c r="H2305" s="94">
        <v>0</v>
      </c>
      <c r="I2305" s="91">
        <v>0</v>
      </c>
      <c r="J2305" s="41"/>
      <c r="K2305" s="41">
        <v>43251</v>
      </c>
      <c r="L2305" s="69" t="s">
        <v>80</v>
      </c>
      <c r="M2305" s="69" t="s">
        <v>286</v>
      </c>
      <c r="N2305" s="95"/>
      <c r="P2305" t="s">
        <v>95</v>
      </c>
      <c r="Q2305" t="s">
        <v>129</v>
      </c>
      <c r="R2305" s="92" t="s">
        <v>69</v>
      </c>
      <c r="S2305" s="92" t="s">
        <v>138</v>
      </c>
      <c r="V2305" s="95">
        <v>43251</v>
      </c>
      <c r="W2305" s="92">
        <v>415580158</v>
      </c>
      <c r="X2305" s="90"/>
      <c r="Y2305" s="123"/>
      <c r="Z2305" s="30">
        <f t="shared" si="70"/>
        <v>4227.3638773950279</v>
      </c>
      <c r="AA2305" s="30">
        <f t="shared" si="71"/>
        <v>2113.6819386975139</v>
      </c>
      <c r="AB2305" t="s">
        <v>457</v>
      </c>
    </row>
    <row r="2306" spans="1:28">
      <c r="A2306" t="s">
        <v>122</v>
      </c>
      <c r="C2306" s="92">
        <v>4615473524</v>
      </c>
      <c r="D2306" s="93">
        <v>21000</v>
      </c>
      <c r="F2306" s="91">
        <v>16</v>
      </c>
      <c r="G2306" s="96">
        <v>5</v>
      </c>
      <c r="H2306" s="94">
        <v>0</v>
      </c>
      <c r="I2306" s="91">
        <v>0</v>
      </c>
      <c r="J2306" s="41"/>
      <c r="K2306" s="41">
        <v>43251</v>
      </c>
      <c r="L2306" s="69" t="s">
        <v>80</v>
      </c>
      <c r="M2306" s="69" t="s">
        <v>286</v>
      </c>
      <c r="N2306" s="95"/>
      <c r="P2306" t="s">
        <v>95</v>
      </c>
      <c r="Q2306" t="s">
        <v>120</v>
      </c>
      <c r="R2306" s="92" t="s">
        <v>69</v>
      </c>
      <c r="S2306" s="92" t="s">
        <v>123</v>
      </c>
      <c r="V2306" s="95">
        <v>43251</v>
      </c>
      <c r="W2306" s="92">
        <v>2030470</v>
      </c>
      <c r="X2306" s="90" t="s">
        <v>321</v>
      </c>
      <c r="Y2306" s="123"/>
      <c r="Z2306" s="30">
        <f t="shared" si="70"/>
        <v>7407.5320094118861</v>
      </c>
      <c r="AA2306" s="30">
        <f t="shared" si="71"/>
        <v>2314.8537529412147</v>
      </c>
      <c r="AB2306" t="s">
        <v>457</v>
      </c>
    </row>
    <row r="2307" spans="1:28">
      <c r="A2307" t="s">
        <v>122</v>
      </c>
      <c r="C2307" s="92">
        <v>4615473524</v>
      </c>
      <c r="D2307" s="93">
        <v>21000</v>
      </c>
      <c r="F2307" s="91">
        <v>16</v>
      </c>
      <c r="G2307" s="96">
        <v>5</v>
      </c>
      <c r="H2307" s="94">
        <v>0</v>
      </c>
      <c r="I2307" s="91">
        <v>0</v>
      </c>
      <c r="J2307" s="41"/>
      <c r="K2307" s="41">
        <v>43251</v>
      </c>
      <c r="L2307" s="69" t="s">
        <v>80</v>
      </c>
      <c r="M2307" s="69" t="s">
        <v>286</v>
      </c>
      <c r="N2307" s="95"/>
      <c r="P2307" t="s">
        <v>95</v>
      </c>
      <c r="Q2307" t="s">
        <v>120</v>
      </c>
      <c r="R2307" s="92" t="s">
        <v>69</v>
      </c>
      <c r="S2307" s="92" t="s">
        <v>123</v>
      </c>
      <c r="V2307" s="95">
        <v>43251</v>
      </c>
      <c r="W2307" s="92">
        <v>2030470</v>
      </c>
      <c r="X2307" s="90" t="s">
        <v>321</v>
      </c>
      <c r="Y2307" s="123"/>
      <c r="Z2307" s="30">
        <f t="shared" ref="Z2307:Z2370" si="72">CONVERT(D2307,"kg","lbm")*F2307/100</f>
        <v>7407.5320094118861</v>
      </c>
      <c r="AA2307" s="30">
        <f t="shared" ref="AA2307:AA2370" si="73">CONVERT(D2307,"kg","lbm")*G2307/100</f>
        <v>2314.8537529412147</v>
      </c>
      <c r="AB2307" t="s">
        <v>457</v>
      </c>
    </row>
    <row r="2308" spans="1:28">
      <c r="A2308" t="s">
        <v>122</v>
      </c>
      <c r="C2308" s="92">
        <v>4615473524</v>
      </c>
      <c r="D2308" s="93">
        <v>21000</v>
      </c>
      <c r="F2308" s="91">
        <v>16</v>
      </c>
      <c r="G2308" s="96">
        <v>5</v>
      </c>
      <c r="H2308" s="94">
        <v>0</v>
      </c>
      <c r="I2308" s="91">
        <v>0</v>
      </c>
      <c r="J2308" s="41"/>
      <c r="K2308" s="41">
        <v>43251</v>
      </c>
      <c r="L2308" s="69" t="s">
        <v>80</v>
      </c>
      <c r="M2308" s="69" t="s">
        <v>286</v>
      </c>
      <c r="N2308" s="95"/>
      <c r="P2308" t="s">
        <v>95</v>
      </c>
      <c r="Q2308" t="s">
        <v>120</v>
      </c>
      <c r="R2308" s="92" t="s">
        <v>69</v>
      </c>
      <c r="S2308" s="92" t="s">
        <v>123</v>
      </c>
      <c r="V2308" s="95">
        <v>43251</v>
      </c>
      <c r="W2308" s="92">
        <v>2030470</v>
      </c>
      <c r="X2308" s="90" t="s">
        <v>321</v>
      </c>
      <c r="Y2308" s="123"/>
      <c r="Z2308" s="30">
        <f t="shared" si="72"/>
        <v>7407.5320094118861</v>
      </c>
      <c r="AA2308" s="30">
        <f t="shared" si="73"/>
        <v>2314.8537529412147</v>
      </c>
      <c r="AB2308" t="s">
        <v>457</v>
      </c>
    </row>
    <row r="2309" spans="1:28">
      <c r="A2309" t="s">
        <v>122</v>
      </c>
      <c r="C2309" s="92">
        <v>4615473524</v>
      </c>
      <c r="D2309" s="93">
        <v>21000</v>
      </c>
      <c r="F2309" s="91">
        <v>16</v>
      </c>
      <c r="G2309" s="96">
        <v>5</v>
      </c>
      <c r="H2309" s="94">
        <v>0</v>
      </c>
      <c r="I2309" s="91">
        <v>0</v>
      </c>
      <c r="J2309" s="41"/>
      <c r="K2309" s="41">
        <v>43251</v>
      </c>
      <c r="L2309" s="69" t="s">
        <v>80</v>
      </c>
      <c r="M2309" s="69" t="s">
        <v>286</v>
      </c>
      <c r="N2309" s="95"/>
      <c r="P2309" t="s">
        <v>95</v>
      </c>
      <c r="Q2309" t="s">
        <v>120</v>
      </c>
      <c r="R2309" s="92" t="s">
        <v>69</v>
      </c>
      <c r="S2309" s="92" t="s">
        <v>123</v>
      </c>
      <c r="V2309" s="95">
        <v>43251</v>
      </c>
      <c r="W2309" s="92">
        <v>2030470</v>
      </c>
      <c r="X2309" s="90" t="s">
        <v>321</v>
      </c>
      <c r="Y2309" s="123"/>
      <c r="Z2309" s="30">
        <f t="shared" si="72"/>
        <v>7407.5320094118861</v>
      </c>
      <c r="AA2309" s="30">
        <f t="shared" si="73"/>
        <v>2314.8537529412147</v>
      </c>
      <c r="AB2309" t="s">
        <v>457</v>
      </c>
    </row>
    <row r="2310" spans="1:28">
      <c r="A2310" t="s">
        <v>122</v>
      </c>
      <c r="C2310" s="92">
        <v>4615473524</v>
      </c>
      <c r="D2310" s="93">
        <v>21000</v>
      </c>
      <c r="F2310" s="91">
        <v>16</v>
      </c>
      <c r="G2310" s="96">
        <v>5</v>
      </c>
      <c r="H2310" s="94">
        <v>0</v>
      </c>
      <c r="I2310" s="91">
        <v>0</v>
      </c>
      <c r="J2310" s="41"/>
      <c r="K2310" s="41">
        <v>43251</v>
      </c>
      <c r="L2310" s="69" t="s">
        <v>80</v>
      </c>
      <c r="M2310" s="69" t="s">
        <v>286</v>
      </c>
      <c r="N2310" s="95"/>
      <c r="P2310" t="s">
        <v>95</v>
      </c>
      <c r="Q2310" t="s">
        <v>120</v>
      </c>
      <c r="R2310" s="92" t="s">
        <v>69</v>
      </c>
      <c r="S2310" s="92" t="s">
        <v>123</v>
      </c>
      <c r="V2310" s="95">
        <v>43251</v>
      </c>
      <c r="W2310" s="92">
        <v>2030470</v>
      </c>
      <c r="X2310" s="90" t="s">
        <v>321</v>
      </c>
      <c r="Y2310" s="123"/>
      <c r="Z2310" s="30">
        <f t="shared" si="72"/>
        <v>7407.5320094118861</v>
      </c>
      <c r="AA2310" s="30">
        <f t="shared" si="73"/>
        <v>2314.8537529412147</v>
      </c>
      <c r="AB2310" t="s">
        <v>457</v>
      </c>
    </row>
    <row r="2311" spans="1:28">
      <c r="A2311" t="s">
        <v>122</v>
      </c>
      <c r="C2311" s="92">
        <v>4615473524</v>
      </c>
      <c r="D2311" s="93">
        <v>21000</v>
      </c>
      <c r="F2311" s="91">
        <v>16</v>
      </c>
      <c r="G2311" s="96">
        <v>5</v>
      </c>
      <c r="H2311" s="94">
        <v>0</v>
      </c>
      <c r="I2311" s="91">
        <v>0</v>
      </c>
      <c r="J2311" s="41"/>
      <c r="K2311" s="41">
        <v>43251</v>
      </c>
      <c r="L2311" s="69" t="s">
        <v>80</v>
      </c>
      <c r="M2311" s="69" t="s">
        <v>286</v>
      </c>
      <c r="N2311" s="95"/>
      <c r="P2311" t="s">
        <v>95</v>
      </c>
      <c r="Q2311" t="s">
        <v>120</v>
      </c>
      <c r="R2311" s="92" t="s">
        <v>69</v>
      </c>
      <c r="S2311" s="92" t="s">
        <v>123</v>
      </c>
      <c r="V2311" s="95">
        <v>43251</v>
      </c>
      <c r="W2311" s="92">
        <v>2030470</v>
      </c>
      <c r="X2311" s="90" t="s">
        <v>321</v>
      </c>
      <c r="Y2311" s="123"/>
      <c r="Z2311" s="30">
        <f t="shared" si="72"/>
        <v>7407.5320094118861</v>
      </c>
      <c r="AA2311" s="30">
        <f t="shared" si="73"/>
        <v>2314.8537529412147</v>
      </c>
      <c r="AB2311" t="s">
        <v>457</v>
      </c>
    </row>
    <row r="2312" spans="1:28">
      <c r="A2312" t="s">
        <v>122</v>
      </c>
      <c r="C2312" s="92">
        <v>4615485479</v>
      </c>
      <c r="D2312" s="93">
        <v>19200</v>
      </c>
      <c r="F2312" s="91">
        <v>16</v>
      </c>
      <c r="G2312" s="96">
        <v>5</v>
      </c>
      <c r="H2312" s="94">
        <v>0</v>
      </c>
      <c r="I2312" s="91">
        <v>0</v>
      </c>
      <c r="J2312" s="41"/>
      <c r="K2312" s="41">
        <v>43251</v>
      </c>
      <c r="L2312" s="69" t="s">
        <v>80</v>
      </c>
      <c r="M2312" s="69" t="s">
        <v>286</v>
      </c>
      <c r="N2312" s="95"/>
      <c r="P2312" t="s">
        <v>95</v>
      </c>
      <c r="Q2312" t="s">
        <v>120</v>
      </c>
      <c r="R2312" s="92" t="s">
        <v>69</v>
      </c>
      <c r="S2312" s="92" t="s">
        <v>123</v>
      </c>
      <c r="V2312" s="95">
        <v>43251</v>
      </c>
      <c r="W2312" s="92">
        <v>2030503</v>
      </c>
      <c r="X2312" s="90"/>
      <c r="Y2312" s="123"/>
      <c r="Z2312" s="30">
        <f t="shared" si="72"/>
        <v>6772.6006943194379</v>
      </c>
      <c r="AA2312" s="30">
        <f t="shared" si="73"/>
        <v>2116.4377169748245</v>
      </c>
      <c r="AB2312" t="s">
        <v>457</v>
      </c>
    </row>
    <row r="2313" spans="1:28">
      <c r="A2313" t="s">
        <v>122</v>
      </c>
      <c r="C2313" s="92">
        <v>4615485479</v>
      </c>
      <c r="D2313" s="93">
        <v>19200</v>
      </c>
      <c r="F2313" s="91">
        <v>16</v>
      </c>
      <c r="G2313" s="96">
        <v>5</v>
      </c>
      <c r="H2313" s="94">
        <v>0</v>
      </c>
      <c r="I2313" s="91">
        <v>0</v>
      </c>
      <c r="J2313" s="41"/>
      <c r="K2313" s="41">
        <v>43251</v>
      </c>
      <c r="L2313" s="69" t="s">
        <v>80</v>
      </c>
      <c r="M2313" s="69" t="s">
        <v>286</v>
      </c>
      <c r="N2313" s="95"/>
      <c r="P2313" t="s">
        <v>95</v>
      </c>
      <c r="Q2313" t="s">
        <v>120</v>
      </c>
      <c r="R2313" s="92" t="s">
        <v>69</v>
      </c>
      <c r="S2313" s="92" t="s">
        <v>123</v>
      </c>
      <c r="V2313" s="95">
        <v>43251</v>
      </c>
      <c r="W2313" s="92">
        <v>2030503</v>
      </c>
      <c r="X2313" s="90"/>
      <c r="Y2313" s="123"/>
      <c r="Z2313" s="30">
        <f t="shared" si="72"/>
        <v>6772.6006943194379</v>
      </c>
      <c r="AA2313" s="30">
        <f t="shared" si="73"/>
        <v>2116.4377169748245</v>
      </c>
      <c r="AB2313" t="s">
        <v>457</v>
      </c>
    </row>
    <row r="2314" spans="1:28">
      <c r="A2314" t="s">
        <v>122</v>
      </c>
      <c r="C2314" s="92">
        <v>4615485479</v>
      </c>
      <c r="D2314" s="93">
        <v>19200</v>
      </c>
      <c r="F2314" s="91">
        <v>16</v>
      </c>
      <c r="G2314" s="96">
        <v>5</v>
      </c>
      <c r="H2314" s="94">
        <v>0</v>
      </c>
      <c r="I2314" s="91">
        <v>0</v>
      </c>
      <c r="J2314" s="41"/>
      <c r="K2314" s="41">
        <v>43251</v>
      </c>
      <c r="L2314" s="69" t="s">
        <v>80</v>
      </c>
      <c r="M2314" s="69" t="s">
        <v>286</v>
      </c>
      <c r="N2314" s="95"/>
      <c r="P2314" t="s">
        <v>95</v>
      </c>
      <c r="Q2314" t="s">
        <v>120</v>
      </c>
      <c r="R2314" s="92" t="s">
        <v>69</v>
      </c>
      <c r="S2314" s="92" t="s">
        <v>123</v>
      </c>
      <c r="V2314" s="95">
        <v>43251</v>
      </c>
      <c r="W2314" s="92">
        <v>2030503</v>
      </c>
      <c r="X2314" s="90"/>
      <c r="Y2314" s="123"/>
      <c r="Z2314" s="30">
        <f t="shared" si="72"/>
        <v>6772.6006943194379</v>
      </c>
      <c r="AA2314" s="30">
        <f t="shared" si="73"/>
        <v>2116.4377169748245</v>
      </c>
      <c r="AB2314" t="s">
        <v>457</v>
      </c>
    </row>
    <row r="2315" spans="1:28">
      <c r="A2315" t="s">
        <v>122</v>
      </c>
      <c r="C2315" s="92">
        <v>4615485479</v>
      </c>
      <c r="D2315" s="93">
        <v>19200</v>
      </c>
      <c r="F2315" s="91">
        <v>16</v>
      </c>
      <c r="G2315" s="96">
        <v>5</v>
      </c>
      <c r="H2315" s="94">
        <v>0</v>
      </c>
      <c r="I2315" s="91">
        <v>0</v>
      </c>
      <c r="J2315" s="41"/>
      <c r="K2315" s="41">
        <v>43251</v>
      </c>
      <c r="L2315" s="69" t="s">
        <v>80</v>
      </c>
      <c r="M2315" s="69" t="s">
        <v>286</v>
      </c>
      <c r="N2315" s="95"/>
      <c r="P2315" t="s">
        <v>95</v>
      </c>
      <c r="Q2315" t="s">
        <v>120</v>
      </c>
      <c r="R2315" s="92" t="s">
        <v>69</v>
      </c>
      <c r="S2315" s="92" t="s">
        <v>123</v>
      </c>
      <c r="V2315" s="95">
        <v>43251</v>
      </c>
      <c r="W2315" s="92">
        <v>2030503</v>
      </c>
      <c r="X2315" s="90"/>
      <c r="Y2315" s="123"/>
      <c r="Z2315" s="30">
        <f t="shared" si="72"/>
        <v>6772.6006943194379</v>
      </c>
      <c r="AA2315" s="30">
        <f t="shared" si="73"/>
        <v>2116.4377169748245</v>
      </c>
      <c r="AB2315" t="s">
        <v>457</v>
      </c>
    </row>
    <row r="2316" spans="1:28">
      <c r="A2316" t="s">
        <v>122</v>
      </c>
      <c r="C2316" s="92">
        <v>4615485479</v>
      </c>
      <c r="D2316" s="93">
        <v>19200</v>
      </c>
      <c r="F2316" s="91">
        <v>16</v>
      </c>
      <c r="G2316" s="96">
        <v>5</v>
      </c>
      <c r="H2316" s="94">
        <v>0</v>
      </c>
      <c r="I2316" s="91">
        <v>0</v>
      </c>
      <c r="J2316" s="41"/>
      <c r="K2316" s="41">
        <v>43251</v>
      </c>
      <c r="L2316" s="69" t="s">
        <v>80</v>
      </c>
      <c r="M2316" s="69" t="s">
        <v>286</v>
      </c>
      <c r="N2316" s="95"/>
      <c r="P2316" t="s">
        <v>95</v>
      </c>
      <c r="Q2316" t="s">
        <v>120</v>
      </c>
      <c r="R2316" s="92" t="s">
        <v>69</v>
      </c>
      <c r="S2316" s="92" t="s">
        <v>123</v>
      </c>
      <c r="V2316" s="95">
        <v>43251</v>
      </c>
      <c r="W2316" s="92">
        <v>2030503</v>
      </c>
      <c r="X2316" s="90"/>
      <c r="Y2316" s="123"/>
      <c r="Z2316" s="30">
        <f t="shared" si="72"/>
        <v>6772.6006943194379</v>
      </c>
      <c r="AA2316" s="30">
        <f t="shared" si="73"/>
        <v>2116.4377169748245</v>
      </c>
      <c r="AB2316" t="s">
        <v>457</v>
      </c>
    </row>
    <row r="2317" spans="1:28">
      <c r="A2317" t="s">
        <v>122</v>
      </c>
      <c r="C2317" s="92">
        <v>4615485479</v>
      </c>
      <c r="D2317" s="93">
        <v>19200</v>
      </c>
      <c r="F2317" s="91">
        <v>16</v>
      </c>
      <c r="G2317" s="96">
        <v>5</v>
      </c>
      <c r="H2317" s="94">
        <v>0</v>
      </c>
      <c r="I2317" s="91">
        <v>0</v>
      </c>
      <c r="J2317" s="41"/>
      <c r="K2317" s="41">
        <v>43251</v>
      </c>
      <c r="L2317" s="69" t="s">
        <v>80</v>
      </c>
      <c r="M2317" s="69" t="s">
        <v>286</v>
      </c>
      <c r="N2317" s="95"/>
      <c r="P2317" t="s">
        <v>95</v>
      </c>
      <c r="Q2317" t="s">
        <v>120</v>
      </c>
      <c r="R2317" s="92" t="s">
        <v>69</v>
      </c>
      <c r="S2317" s="92" t="s">
        <v>123</v>
      </c>
      <c r="V2317" s="95">
        <v>43251</v>
      </c>
      <c r="W2317" s="92">
        <v>2030503</v>
      </c>
      <c r="X2317" s="90"/>
      <c r="Y2317" s="123"/>
      <c r="Z2317" s="30">
        <f t="shared" si="72"/>
        <v>6772.6006943194379</v>
      </c>
      <c r="AA2317" s="30">
        <f t="shared" si="73"/>
        <v>2116.4377169748245</v>
      </c>
      <c r="AB2317" t="s">
        <v>457</v>
      </c>
    </row>
    <row r="2318" spans="1:28">
      <c r="A2318" t="s">
        <v>122</v>
      </c>
      <c r="C2318" s="92">
        <v>4615485479</v>
      </c>
      <c r="D2318" s="93">
        <v>19200</v>
      </c>
      <c r="F2318" s="91">
        <v>16</v>
      </c>
      <c r="G2318" s="96">
        <v>5</v>
      </c>
      <c r="H2318" s="94">
        <v>0</v>
      </c>
      <c r="I2318" s="91">
        <v>0</v>
      </c>
      <c r="J2318" s="41"/>
      <c r="K2318" s="41">
        <v>43251</v>
      </c>
      <c r="L2318" s="69" t="s">
        <v>80</v>
      </c>
      <c r="M2318" s="69" t="s">
        <v>286</v>
      </c>
      <c r="N2318" s="95"/>
      <c r="P2318" t="s">
        <v>95</v>
      </c>
      <c r="Q2318" t="s">
        <v>120</v>
      </c>
      <c r="R2318" s="92" t="s">
        <v>69</v>
      </c>
      <c r="S2318" s="92" t="s">
        <v>123</v>
      </c>
      <c r="V2318" s="95">
        <v>43251</v>
      </c>
      <c r="W2318" s="92">
        <v>2030503</v>
      </c>
      <c r="X2318" s="90"/>
      <c r="Y2318" s="123"/>
      <c r="Z2318" s="30">
        <f t="shared" si="72"/>
        <v>6772.6006943194379</v>
      </c>
      <c r="AA2318" s="30">
        <f t="shared" si="73"/>
        <v>2116.4377169748245</v>
      </c>
      <c r="AB2318" t="s">
        <v>457</v>
      </c>
    </row>
    <row r="2319" spans="1:28">
      <c r="A2319" t="s">
        <v>122</v>
      </c>
      <c r="C2319" s="92">
        <v>4615485479</v>
      </c>
      <c r="D2319" s="93">
        <v>19200</v>
      </c>
      <c r="F2319" s="91">
        <v>16</v>
      </c>
      <c r="G2319" s="96">
        <v>5</v>
      </c>
      <c r="H2319" s="94">
        <v>0</v>
      </c>
      <c r="I2319" s="91">
        <v>0</v>
      </c>
      <c r="J2319" s="41"/>
      <c r="K2319" s="41">
        <v>43251</v>
      </c>
      <c r="L2319" s="69" t="s">
        <v>80</v>
      </c>
      <c r="M2319" s="69" t="s">
        <v>286</v>
      </c>
      <c r="N2319" s="95"/>
      <c r="P2319" t="s">
        <v>95</v>
      </c>
      <c r="Q2319" t="s">
        <v>120</v>
      </c>
      <c r="R2319" s="92" t="s">
        <v>69</v>
      </c>
      <c r="S2319" s="92" t="s">
        <v>123</v>
      </c>
      <c r="V2319" s="95">
        <v>43251</v>
      </c>
      <c r="W2319" s="92">
        <v>2030503</v>
      </c>
      <c r="X2319" s="90"/>
      <c r="Y2319" s="123"/>
      <c r="Z2319" s="30">
        <f t="shared" si="72"/>
        <v>6772.6006943194379</v>
      </c>
      <c r="AA2319" s="30">
        <f t="shared" si="73"/>
        <v>2116.4377169748245</v>
      </c>
      <c r="AB2319" t="s">
        <v>457</v>
      </c>
    </row>
    <row r="2320" spans="1:28">
      <c r="A2320" t="s">
        <v>122</v>
      </c>
      <c r="C2320" s="92">
        <v>4615485479</v>
      </c>
      <c r="D2320" s="93">
        <v>19200</v>
      </c>
      <c r="F2320" s="91">
        <v>16</v>
      </c>
      <c r="G2320" s="96">
        <v>5</v>
      </c>
      <c r="H2320" s="94">
        <v>0</v>
      </c>
      <c r="I2320" s="91">
        <v>0</v>
      </c>
      <c r="J2320" s="41"/>
      <c r="K2320" s="41">
        <v>43251</v>
      </c>
      <c r="L2320" s="69" t="s">
        <v>80</v>
      </c>
      <c r="M2320" s="69" t="s">
        <v>286</v>
      </c>
      <c r="N2320" s="95"/>
      <c r="P2320" t="s">
        <v>95</v>
      </c>
      <c r="Q2320" t="s">
        <v>120</v>
      </c>
      <c r="R2320" s="92" t="s">
        <v>69</v>
      </c>
      <c r="S2320" s="92" t="s">
        <v>123</v>
      </c>
      <c r="V2320" s="95">
        <v>43251</v>
      </c>
      <c r="W2320" s="92">
        <v>2030503</v>
      </c>
      <c r="X2320" s="90"/>
      <c r="Y2320" s="123"/>
      <c r="Z2320" s="30">
        <f t="shared" si="72"/>
        <v>6772.6006943194379</v>
      </c>
      <c r="AA2320" s="30">
        <f t="shared" si="73"/>
        <v>2116.4377169748245</v>
      </c>
      <c r="AB2320" t="s">
        <v>457</v>
      </c>
    </row>
    <row r="2321" spans="1:28">
      <c r="A2321" t="s">
        <v>122</v>
      </c>
      <c r="C2321" s="92">
        <v>4615485479</v>
      </c>
      <c r="D2321" s="93">
        <v>19200</v>
      </c>
      <c r="F2321" s="91">
        <v>16</v>
      </c>
      <c r="G2321" s="96">
        <v>5</v>
      </c>
      <c r="H2321" s="94">
        <v>0</v>
      </c>
      <c r="I2321" s="91">
        <v>0</v>
      </c>
      <c r="J2321" s="41"/>
      <c r="K2321" s="41">
        <v>43251</v>
      </c>
      <c r="L2321" s="69" t="s">
        <v>80</v>
      </c>
      <c r="M2321" s="69" t="s">
        <v>286</v>
      </c>
      <c r="N2321" s="95"/>
      <c r="P2321" t="s">
        <v>95</v>
      </c>
      <c r="Q2321" t="s">
        <v>120</v>
      </c>
      <c r="R2321" s="92" t="s">
        <v>69</v>
      </c>
      <c r="S2321" s="92" t="s">
        <v>123</v>
      </c>
      <c r="V2321" s="95">
        <v>43251</v>
      </c>
      <c r="W2321" s="92">
        <v>2030503</v>
      </c>
      <c r="X2321" s="90"/>
      <c r="Y2321" s="123"/>
      <c r="Z2321" s="30">
        <f t="shared" si="72"/>
        <v>6772.6006943194379</v>
      </c>
      <c r="AA2321" s="30">
        <f t="shared" si="73"/>
        <v>2116.4377169748245</v>
      </c>
      <c r="AB2321" t="s">
        <v>457</v>
      </c>
    </row>
    <row r="2322" spans="1:28">
      <c r="A2322" t="s">
        <v>122</v>
      </c>
      <c r="C2322" s="92">
        <v>4615485479</v>
      </c>
      <c r="D2322" s="93">
        <v>19200</v>
      </c>
      <c r="F2322" s="91">
        <v>16</v>
      </c>
      <c r="G2322" s="96">
        <v>5</v>
      </c>
      <c r="H2322" s="94">
        <v>0</v>
      </c>
      <c r="I2322" s="91">
        <v>0</v>
      </c>
      <c r="J2322" s="41"/>
      <c r="K2322" s="41">
        <v>43251</v>
      </c>
      <c r="L2322" s="69" t="s">
        <v>80</v>
      </c>
      <c r="M2322" s="69" t="s">
        <v>286</v>
      </c>
      <c r="N2322" s="95"/>
      <c r="P2322" t="s">
        <v>95</v>
      </c>
      <c r="Q2322" t="s">
        <v>120</v>
      </c>
      <c r="R2322" s="92" t="s">
        <v>69</v>
      </c>
      <c r="S2322" s="92" t="s">
        <v>123</v>
      </c>
      <c r="V2322" s="95">
        <v>43251</v>
      </c>
      <c r="W2322" s="92">
        <v>2030503</v>
      </c>
      <c r="X2322" s="90"/>
      <c r="Y2322" s="123"/>
      <c r="Z2322" s="30">
        <f t="shared" si="72"/>
        <v>6772.6006943194379</v>
      </c>
      <c r="AA2322" s="30">
        <f t="shared" si="73"/>
        <v>2116.4377169748245</v>
      </c>
      <c r="AB2322" t="s">
        <v>457</v>
      </c>
    </row>
    <row r="2323" spans="1:28">
      <c r="A2323" t="s">
        <v>122</v>
      </c>
      <c r="C2323" s="92">
        <v>4615491482</v>
      </c>
      <c r="D2323" s="93">
        <v>21000</v>
      </c>
      <c r="F2323" s="91">
        <v>16</v>
      </c>
      <c r="G2323" s="96">
        <v>5</v>
      </c>
      <c r="H2323" s="94">
        <v>0</v>
      </c>
      <c r="I2323" s="91">
        <v>0</v>
      </c>
      <c r="J2323" s="41"/>
      <c r="K2323" s="41">
        <v>43251</v>
      </c>
      <c r="L2323" s="69" t="s">
        <v>80</v>
      </c>
      <c r="M2323" s="69" t="s">
        <v>286</v>
      </c>
      <c r="N2323" s="95"/>
      <c r="P2323" t="s">
        <v>95</v>
      </c>
      <c r="Q2323" t="s">
        <v>120</v>
      </c>
      <c r="R2323" s="92" t="s">
        <v>69</v>
      </c>
      <c r="S2323" s="92" t="s">
        <v>123</v>
      </c>
      <c r="V2323" s="95">
        <v>43251</v>
      </c>
      <c r="W2323" s="92">
        <v>2030513</v>
      </c>
      <c r="X2323" s="90" t="s">
        <v>314</v>
      </c>
      <c r="Y2323" s="123"/>
      <c r="Z2323" s="30">
        <f t="shared" si="72"/>
        <v>7407.5320094118861</v>
      </c>
      <c r="AA2323" s="30">
        <f t="shared" si="73"/>
        <v>2314.8537529412147</v>
      </c>
      <c r="AB2323" t="s">
        <v>457</v>
      </c>
    </row>
    <row r="2324" spans="1:28">
      <c r="A2324" t="s">
        <v>122</v>
      </c>
      <c r="C2324" s="92">
        <v>4615491482</v>
      </c>
      <c r="D2324" s="93">
        <v>21000</v>
      </c>
      <c r="F2324" s="91">
        <v>16</v>
      </c>
      <c r="G2324" s="96">
        <v>5</v>
      </c>
      <c r="H2324" s="94">
        <v>0</v>
      </c>
      <c r="I2324" s="91">
        <v>0</v>
      </c>
      <c r="J2324" s="41"/>
      <c r="K2324" s="41">
        <v>43251</v>
      </c>
      <c r="L2324" s="69" t="s">
        <v>80</v>
      </c>
      <c r="M2324" s="69" t="s">
        <v>286</v>
      </c>
      <c r="N2324" s="95"/>
      <c r="P2324" t="s">
        <v>95</v>
      </c>
      <c r="Q2324" t="s">
        <v>120</v>
      </c>
      <c r="R2324" s="92" t="s">
        <v>69</v>
      </c>
      <c r="S2324" s="92" t="s">
        <v>123</v>
      </c>
      <c r="V2324" s="95">
        <v>43251</v>
      </c>
      <c r="W2324" s="92">
        <v>2030513</v>
      </c>
      <c r="X2324" s="90" t="s">
        <v>314</v>
      </c>
      <c r="Y2324" s="123"/>
      <c r="Z2324" s="30">
        <f t="shared" si="72"/>
        <v>7407.5320094118861</v>
      </c>
      <c r="AA2324" s="30">
        <f t="shared" si="73"/>
        <v>2314.8537529412147</v>
      </c>
      <c r="AB2324" t="s">
        <v>457</v>
      </c>
    </row>
    <row r="2325" spans="1:28">
      <c r="A2325" t="s">
        <v>122</v>
      </c>
      <c r="C2325" s="92">
        <v>4615491482</v>
      </c>
      <c r="D2325" s="93">
        <v>21000</v>
      </c>
      <c r="F2325" s="91">
        <v>16</v>
      </c>
      <c r="G2325" s="96">
        <v>5</v>
      </c>
      <c r="H2325" s="94">
        <v>0</v>
      </c>
      <c r="I2325" s="91">
        <v>0</v>
      </c>
      <c r="J2325" s="41"/>
      <c r="K2325" s="41">
        <v>43251</v>
      </c>
      <c r="L2325" s="69" t="s">
        <v>80</v>
      </c>
      <c r="M2325" s="69" t="s">
        <v>286</v>
      </c>
      <c r="N2325" s="95"/>
      <c r="P2325" t="s">
        <v>95</v>
      </c>
      <c r="Q2325" t="s">
        <v>120</v>
      </c>
      <c r="R2325" s="92" t="s">
        <v>69</v>
      </c>
      <c r="S2325" s="92" t="s">
        <v>123</v>
      </c>
      <c r="V2325" s="95">
        <v>43251</v>
      </c>
      <c r="W2325" s="92">
        <v>2030513</v>
      </c>
      <c r="X2325" s="90" t="s">
        <v>314</v>
      </c>
      <c r="Y2325" s="123"/>
      <c r="Z2325" s="30">
        <f t="shared" si="72"/>
        <v>7407.5320094118861</v>
      </c>
      <c r="AA2325" s="30">
        <f t="shared" si="73"/>
        <v>2314.8537529412147</v>
      </c>
      <c r="AB2325" t="s">
        <v>457</v>
      </c>
    </row>
    <row r="2326" spans="1:28">
      <c r="A2326" t="s">
        <v>122</v>
      </c>
      <c r="C2326" s="92">
        <v>4615491482</v>
      </c>
      <c r="D2326" s="93">
        <v>21000</v>
      </c>
      <c r="F2326" s="91">
        <v>16</v>
      </c>
      <c r="G2326" s="96">
        <v>5</v>
      </c>
      <c r="H2326" s="94">
        <v>0</v>
      </c>
      <c r="I2326" s="91">
        <v>0</v>
      </c>
      <c r="J2326" s="41"/>
      <c r="K2326" s="41">
        <v>43251</v>
      </c>
      <c r="L2326" s="69" t="s">
        <v>80</v>
      </c>
      <c r="M2326" s="69" t="s">
        <v>286</v>
      </c>
      <c r="N2326" s="95"/>
      <c r="P2326" t="s">
        <v>95</v>
      </c>
      <c r="Q2326" t="s">
        <v>120</v>
      </c>
      <c r="R2326" s="92" t="s">
        <v>69</v>
      </c>
      <c r="S2326" s="92" t="s">
        <v>123</v>
      </c>
      <c r="V2326" s="95">
        <v>43251</v>
      </c>
      <c r="W2326" s="92">
        <v>2030513</v>
      </c>
      <c r="X2326" s="90" t="s">
        <v>314</v>
      </c>
      <c r="Y2326" s="123"/>
      <c r="Z2326" s="30">
        <f t="shared" si="72"/>
        <v>7407.5320094118861</v>
      </c>
      <c r="AA2326" s="30">
        <f t="shared" si="73"/>
        <v>2314.8537529412147</v>
      </c>
      <c r="AB2326" t="s">
        <v>457</v>
      </c>
    </row>
    <row r="2327" spans="1:28">
      <c r="A2327" t="s">
        <v>122</v>
      </c>
      <c r="C2327" s="92">
        <v>4615491482</v>
      </c>
      <c r="D2327" s="93">
        <v>21000</v>
      </c>
      <c r="F2327" s="91">
        <v>16</v>
      </c>
      <c r="G2327" s="96">
        <v>5</v>
      </c>
      <c r="H2327" s="94">
        <v>0</v>
      </c>
      <c r="I2327" s="91">
        <v>0</v>
      </c>
      <c r="J2327" s="41"/>
      <c r="K2327" s="41">
        <v>43251</v>
      </c>
      <c r="L2327" s="69" t="s">
        <v>80</v>
      </c>
      <c r="M2327" s="69" t="s">
        <v>286</v>
      </c>
      <c r="N2327" s="95"/>
      <c r="P2327" t="s">
        <v>95</v>
      </c>
      <c r="Q2327" t="s">
        <v>120</v>
      </c>
      <c r="R2327" s="92" t="s">
        <v>69</v>
      </c>
      <c r="S2327" s="92" t="s">
        <v>123</v>
      </c>
      <c r="V2327" s="95">
        <v>43251</v>
      </c>
      <c r="W2327" s="92">
        <v>2030513</v>
      </c>
      <c r="X2327" s="90" t="s">
        <v>314</v>
      </c>
      <c r="Y2327" s="123"/>
      <c r="Z2327" s="30">
        <f t="shared" si="72"/>
        <v>7407.5320094118861</v>
      </c>
      <c r="AA2327" s="30">
        <f t="shared" si="73"/>
        <v>2314.8537529412147</v>
      </c>
      <c r="AB2327" t="s">
        <v>457</v>
      </c>
    </row>
    <row r="2328" spans="1:28">
      <c r="A2328" t="s">
        <v>122</v>
      </c>
      <c r="C2328" s="92">
        <v>4615491482</v>
      </c>
      <c r="D2328" s="93">
        <v>21000</v>
      </c>
      <c r="F2328" s="91">
        <v>16</v>
      </c>
      <c r="G2328" s="96">
        <v>5</v>
      </c>
      <c r="H2328" s="94">
        <v>0</v>
      </c>
      <c r="I2328" s="91">
        <v>0</v>
      </c>
      <c r="J2328" s="41"/>
      <c r="K2328" s="41">
        <v>43251</v>
      </c>
      <c r="L2328" s="69" t="s">
        <v>80</v>
      </c>
      <c r="M2328" s="69" t="s">
        <v>286</v>
      </c>
      <c r="N2328" s="95"/>
      <c r="P2328" t="s">
        <v>95</v>
      </c>
      <c r="Q2328" t="s">
        <v>120</v>
      </c>
      <c r="R2328" s="92" t="s">
        <v>69</v>
      </c>
      <c r="S2328" s="92" t="s">
        <v>123</v>
      </c>
      <c r="V2328" s="95">
        <v>43251</v>
      </c>
      <c r="W2328" s="92">
        <v>2030513</v>
      </c>
      <c r="X2328" s="90" t="s">
        <v>314</v>
      </c>
      <c r="Y2328" s="123"/>
      <c r="Z2328" s="30">
        <f t="shared" si="72"/>
        <v>7407.5320094118861</v>
      </c>
      <c r="AA2328" s="30">
        <f t="shared" si="73"/>
        <v>2314.8537529412147</v>
      </c>
      <c r="AB2328" t="s">
        <v>457</v>
      </c>
    </row>
    <row r="2329" spans="1:28">
      <c r="A2329" t="s">
        <v>122</v>
      </c>
      <c r="C2329" s="92">
        <v>4615491482</v>
      </c>
      <c r="D2329" s="93">
        <v>21000</v>
      </c>
      <c r="F2329" s="91">
        <v>16</v>
      </c>
      <c r="G2329" s="96">
        <v>5</v>
      </c>
      <c r="H2329" s="94">
        <v>0</v>
      </c>
      <c r="I2329" s="91">
        <v>0</v>
      </c>
      <c r="J2329" s="41"/>
      <c r="K2329" s="41">
        <v>43251</v>
      </c>
      <c r="L2329" s="69" t="s">
        <v>80</v>
      </c>
      <c r="M2329" s="69" t="s">
        <v>286</v>
      </c>
      <c r="N2329" s="95"/>
      <c r="P2329" t="s">
        <v>95</v>
      </c>
      <c r="Q2329" t="s">
        <v>120</v>
      </c>
      <c r="R2329" s="92" t="s">
        <v>69</v>
      </c>
      <c r="S2329" s="92" t="s">
        <v>123</v>
      </c>
      <c r="V2329" s="95">
        <v>43251</v>
      </c>
      <c r="W2329" s="92">
        <v>2030513</v>
      </c>
      <c r="X2329" s="90" t="s">
        <v>314</v>
      </c>
      <c r="Y2329" s="123"/>
      <c r="Z2329" s="30">
        <f t="shared" si="72"/>
        <v>7407.5320094118861</v>
      </c>
      <c r="AA2329" s="30">
        <f t="shared" si="73"/>
        <v>2314.8537529412147</v>
      </c>
      <c r="AB2329" t="s">
        <v>457</v>
      </c>
    </row>
    <row r="2330" spans="1:28">
      <c r="A2330" t="s">
        <v>122</v>
      </c>
      <c r="C2330" s="92">
        <v>4615491482</v>
      </c>
      <c r="D2330" s="93">
        <v>21000</v>
      </c>
      <c r="F2330" s="91">
        <v>16</v>
      </c>
      <c r="G2330" s="96">
        <v>5</v>
      </c>
      <c r="H2330" s="94">
        <v>0</v>
      </c>
      <c r="I2330" s="91">
        <v>0</v>
      </c>
      <c r="J2330" s="41"/>
      <c r="K2330" s="41">
        <v>43251</v>
      </c>
      <c r="L2330" s="69" t="s">
        <v>80</v>
      </c>
      <c r="M2330" s="69" t="s">
        <v>286</v>
      </c>
      <c r="N2330" s="95"/>
      <c r="P2330" t="s">
        <v>95</v>
      </c>
      <c r="Q2330" t="s">
        <v>120</v>
      </c>
      <c r="R2330" s="92" t="s">
        <v>69</v>
      </c>
      <c r="S2330" s="92" t="s">
        <v>123</v>
      </c>
      <c r="V2330" s="95">
        <v>43251</v>
      </c>
      <c r="W2330" s="92">
        <v>2030513</v>
      </c>
      <c r="X2330" s="90" t="s">
        <v>314</v>
      </c>
      <c r="Y2330" s="123"/>
      <c r="Z2330" s="30">
        <f t="shared" si="72"/>
        <v>7407.5320094118861</v>
      </c>
      <c r="AA2330" s="30">
        <f t="shared" si="73"/>
        <v>2314.8537529412147</v>
      </c>
      <c r="AB2330" t="s">
        <v>457</v>
      </c>
    </row>
    <row r="2331" spans="1:28">
      <c r="A2331" t="s">
        <v>122</v>
      </c>
      <c r="C2331" s="92">
        <v>4615491482</v>
      </c>
      <c r="D2331" s="93">
        <v>21000</v>
      </c>
      <c r="F2331" s="91">
        <v>16</v>
      </c>
      <c r="G2331" s="96">
        <v>5</v>
      </c>
      <c r="H2331" s="94">
        <v>0</v>
      </c>
      <c r="I2331" s="91">
        <v>0</v>
      </c>
      <c r="J2331" s="41"/>
      <c r="K2331" s="41">
        <v>43251</v>
      </c>
      <c r="L2331" s="69" t="s">
        <v>80</v>
      </c>
      <c r="M2331" s="69" t="s">
        <v>286</v>
      </c>
      <c r="N2331" s="95"/>
      <c r="P2331" t="s">
        <v>95</v>
      </c>
      <c r="Q2331" t="s">
        <v>120</v>
      </c>
      <c r="R2331" s="92" t="s">
        <v>69</v>
      </c>
      <c r="S2331" s="92" t="s">
        <v>123</v>
      </c>
      <c r="V2331" s="95">
        <v>43251</v>
      </c>
      <c r="W2331" s="92">
        <v>2030513</v>
      </c>
      <c r="X2331" s="90" t="s">
        <v>314</v>
      </c>
      <c r="Y2331" s="123"/>
      <c r="Z2331" s="30">
        <f t="shared" si="72"/>
        <v>7407.5320094118861</v>
      </c>
      <c r="AA2331" s="30">
        <f t="shared" si="73"/>
        <v>2314.8537529412147</v>
      </c>
      <c r="AB2331" t="s">
        <v>457</v>
      </c>
    </row>
    <row r="2332" spans="1:28">
      <c r="A2332" t="s">
        <v>122</v>
      </c>
      <c r="C2332" s="92">
        <v>4615491482</v>
      </c>
      <c r="D2332" s="93">
        <v>21000</v>
      </c>
      <c r="F2332" s="91">
        <v>16</v>
      </c>
      <c r="G2332" s="96">
        <v>5</v>
      </c>
      <c r="H2332" s="94">
        <v>0</v>
      </c>
      <c r="I2332" s="91">
        <v>0</v>
      </c>
      <c r="J2332" s="41"/>
      <c r="K2332" s="41">
        <v>43251</v>
      </c>
      <c r="L2332" s="69" t="s">
        <v>80</v>
      </c>
      <c r="M2332" s="69" t="s">
        <v>286</v>
      </c>
      <c r="N2332" s="95"/>
      <c r="P2332" t="s">
        <v>95</v>
      </c>
      <c r="Q2332" t="s">
        <v>120</v>
      </c>
      <c r="R2332" s="92" t="s">
        <v>69</v>
      </c>
      <c r="S2332" s="92" t="s">
        <v>123</v>
      </c>
      <c r="V2332" s="95">
        <v>43251</v>
      </c>
      <c r="W2332" s="92">
        <v>2030513</v>
      </c>
      <c r="X2332" s="90" t="s">
        <v>314</v>
      </c>
      <c r="Y2332" s="123"/>
      <c r="Z2332" s="30">
        <f t="shared" si="72"/>
        <v>7407.5320094118861</v>
      </c>
      <c r="AA2332" s="30">
        <f t="shared" si="73"/>
        <v>2314.8537529412147</v>
      </c>
      <c r="AB2332" t="s">
        <v>457</v>
      </c>
    </row>
    <row r="2333" spans="1:28">
      <c r="A2333" t="s">
        <v>122</v>
      </c>
      <c r="C2333" s="92">
        <v>4615491482</v>
      </c>
      <c r="D2333" s="93">
        <v>21000</v>
      </c>
      <c r="F2333" s="91">
        <v>16</v>
      </c>
      <c r="G2333" s="96">
        <v>5</v>
      </c>
      <c r="H2333" s="94">
        <v>0</v>
      </c>
      <c r="I2333" s="91">
        <v>0</v>
      </c>
      <c r="J2333" s="41"/>
      <c r="K2333" s="41">
        <v>43251</v>
      </c>
      <c r="L2333" s="69" t="s">
        <v>80</v>
      </c>
      <c r="M2333" s="69" t="s">
        <v>286</v>
      </c>
      <c r="N2333" s="95"/>
      <c r="P2333" t="s">
        <v>95</v>
      </c>
      <c r="Q2333" t="s">
        <v>120</v>
      </c>
      <c r="R2333" s="92" t="s">
        <v>69</v>
      </c>
      <c r="S2333" s="92" t="s">
        <v>123</v>
      </c>
      <c r="V2333" s="95">
        <v>43251</v>
      </c>
      <c r="W2333" s="92">
        <v>2030513</v>
      </c>
      <c r="X2333" s="90" t="s">
        <v>314</v>
      </c>
      <c r="Y2333" s="123"/>
      <c r="Z2333" s="30">
        <f t="shared" si="72"/>
        <v>7407.5320094118861</v>
      </c>
      <c r="AA2333" s="30">
        <f t="shared" si="73"/>
        <v>2314.8537529412147</v>
      </c>
      <c r="AB2333" t="s">
        <v>457</v>
      </c>
    </row>
    <row r="2334" spans="1:28">
      <c r="A2334" t="s">
        <v>122</v>
      </c>
      <c r="C2334" s="92">
        <v>4615453892</v>
      </c>
      <c r="D2334" s="93">
        <v>21000</v>
      </c>
      <c r="F2334" s="91">
        <v>16</v>
      </c>
      <c r="G2334" s="96">
        <v>5</v>
      </c>
      <c r="H2334" s="94">
        <v>0</v>
      </c>
      <c r="I2334" s="91">
        <v>0</v>
      </c>
      <c r="J2334" s="41"/>
      <c r="K2334" s="41">
        <v>43251</v>
      </c>
      <c r="L2334" s="69" t="s">
        <v>80</v>
      </c>
      <c r="M2334" s="69" t="s">
        <v>286</v>
      </c>
      <c r="N2334" s="95"/>
      <c r="P2334" t="s">
        <v>95</v>
      </c>
      <c r="Q2334" t="s">
        <v>120</v>
      </c>
      <c r="R2334" s="92" t="s">
        <v>69</v>
      </c>
      <c r="S2334" s="92" t="s">
        <v>123</v>
      </c>
      <c r="V2334" s="95">
        <v>43251</v>
      </c>
      <c r="W2334" s="92">
        <v>2030481</v>
      </c>
      <c r="X2334" s="90" t="s">
        <v>321</v>
      </c>
      <c r="Y2334" s="123"/>
      <c r="Z2334" s="30">
        <f t="shared" si="72"/>
        <v>7407.5320094118861</v>
      </c>
      <c r="AA2334" s="30">
        <f t="shared" si="73"/>
        <v>2314.8537529412147</v>
      </c>
      <c r="AB2334" t="s">
        <v>457</v>
      </c>
    </row>
    <row r="2335" spans="1:28">
      <c r="A2335" t="s">
        <v>122</v>
      </c>
      <c r="C2335" s="92">
        <v>4615453892</v>
      </c>
      <c r="D2335" s="93">
        <v>21000</v>
      </c>
      <c r="F2335" s="91">
        <v>16</v>
      </c>
      <c r="G2335" s="96">
        <v>5</v>
      </c>
      <c r="H2335" s="94">
        <v>0</v>
      </c>
      <c r="I2335" s="91">
        <v>0</v>
      </c>
      <c r="J2335" s="41"/>
      <c r="K2335" s="41">
        <v>43251</v>
      </c>
      <c r="L2335" s="69" t="s">
        <v>80</v>
      </c>
      <c r="M2335" s="69" t="s">
        <v>286</v>
      </c>
      <c r="N2335" s="95"/>
      <c r="P2335" t="s">
        <v>95</v>
      </c>
      <c r="Q2335" t="s">
        <v>120</v>
      </c>
      <c r="R2335" s="92" t="s">
        <v>69</v>
      </c>
      <c r="S2335" s="92" t="s">
        <v>123</v>
      </c>
      <c r="V2335" s="95">
        <v>43251</v>
      </c>
      <c r="W2335" s="92">
        <v>2030481</v>
      </c>
      <c r="X2335" s="90" t="s">
        <v>321</v>
      </c>
      <c r="Y2335" s="123"/>
      <c r="Z2335" s="30">
        <f t="shared" si="72"/>
        <v>7407.5320094118861</v>
      </c>
      <c r="AA2335" s="30">
        <f t="shared" si="73"/>
        <v>2314.8537529412147</v>
      </c>
      <c r="AB2335" t="s">
        <v>457</v>
      </c>
    </row>
    <row r="2336" spans="1:28">
      <c r="A2336" t="s">
        <v>122</v>
      </c>
      <c r="C2336" s="92">
        <v>4615453892</v>
      </c>
      <c r="D2336" s="93">
        <v>21000</v>
      </c>
      <c r="F2336" s="91">
        <v>16</v>
      </c>
      <c r="G2336" s="96">
        <v>5</v>
      </c>
      <c r="H2336" s="94">
        <v>0</v>
      </c>
      <c r="I2336" s="91">
        <v>0</v>
      </c>
      <c r="J2336" s="41"/>
      <c r="K2336" s="41">
        <v>43251</v>
      </c>
      <c r="L2336" s="69" t="s">
        <v>80</v>
      </c>
      <c r="M2336" s="69" t="s">
        <v>286</v>
      </c>
      <c r="N2336" s="95"/>
      <c r="P2336" t="s">
        <v>95</v>
      </c>
      <c r="Q2336" t="s">
        <v>120</v>
      </c>
      <c r="R2336" s="92" t="s">
        <v>69</v>
      </c>
      <c r="S2336" s="92" t="s">
        <v>123</v>
      </c>
      <c r="V2336" s="95">
        <v>43251</v>
      </c>
      <c r="W2336" s="92">
        <v>2030481</v>
      </c>
      <c r="X2336" s="90" t="s">
        <v>321</v>
      </c>
      <c r="Y2336" s="123"/>
      <c r="Z2336" s="30">
        <f t="shared" si="72"/>
        <v>7407.5320094118861</v>
      </c>
      <c r="AA2336" s="30">
        <f t="shared" si="73"/>
        <v>2314.8537529412147</v>
      </c>
      <c r="AB2336" t="s">
        <v>457</v>
      </c>
    </row>
    <row r="2337" spans="1:28">
      <c r="A2337" t="s">
        <v>122</v>
      </c>
      <c r="C2337" s="92">
        <v>4615453892</v>
      </c>
      <c r="D2337" s="93">
        <v>21000</v>
      </c>
      <c r="F2337" s="91">
        <v>16</v>
      </c>
      <c r="G2337" s="96">
        <v>5</v>
      </c>
      <c r="H2337" s="94">
        <v>0</v>
      </c>
      <c r="I2337" s="91">
        <v>0</v>
      </c>
      <c r="J2337" s="41"/>
      <c r="K2337" s="41">
        <v>43251</v>
      </c>
      <c r="L2337" s="69" t="s">
        <v>80</v>
      </c>
      <c r="M2337" s="69" t="s">
        <v>286</v>
      </c>
      <c r="N2337" s="95"/>
      <c r="P2337" t="s">
        <v>95</v>
      </c>
      <c r="Q2337" t="s">
        <v>120</v>
      </c>
      <c r="R2337" s="92" t="s">
        <v>69</v>
      </c>
      <c r="S2337" s="92" t="s">
        <v>123</v>
      </c>
      <c r="V2337" s="95">
        <v>43251</v>
      </c>
      <c r="W2337" s="92">
        <v>2030481</v>
      </c>
      <c r="X2337" s="90" t="s">
        <v>321</v>
      </c>
      <c r="Y2337" s="123"/>
      <c r="Z2337" s="30">
        <f t="shared" si="72"/>
        <v>7407.5320094118861</v>
      </c>
      <c r="AA2337" s="30">
        <f t="shared" si="73"/>
        <v>2314.8537529412147</v>
      </c>
      <c r="AB2337" t="s">
        <v>457</v>
      </c>
    </row>
    <row r="2338" spans="1:28">
      <c r="A2338" t="s">
        <v>122</v>
      </c>
      <c r="C2338" s="92">
        <v>4615453892</v>
      </c>
      <c r="D2338" s="93">
        <v>21000</v>
      </c>
      <c r="F2338" s="91">
        <v>16</v>
      </c>
      <c r="G2338" s="96">
        <v>5</v>
      </c>
      <c r="H2338" s="94">
        <v>0</v>
      </c>
      <c r="I2338" s="91">
        <v>0</v>
      </c>
      <c r="J2338" s="41"/>
      <c r="K2338" s="41">
        <v>43251</v>
      </c>
      <c r="L2338" s="69" t="s">
        <v>80</v>
      </c>
      <c r="M2338" s="69" t="s">
        <v>286</v>
      </c>
      <c r="N2338" s="95"/>
      <c r="P2338" t="s">
        <v>95</v>
      </c>
      <c r="Q2338" t="s">
        <v>120</v>
      </c>
      <c r="R2338" s="92" t="s">
        <v>69</v>
      </c>
      <c r="S2338" s="92" t="s">
        <v>123</v>
      </c>
      <c r="V2338" s="95">
        <v>43251</v>
      </c>
      <c r="W2338" s="92">
        <v>2030481</v>
      </c>
      <c r="X2338" s="90" t="s">
        <v>321</v>
      </c>
      <c r="Y2338" s="123"/>
      <c r="Z2338" s="30">
        <f t="shared" si="72"/>
        <v>7407.5320094118861</v>
      </c>
      <c r="AA2338" s="30">
        <f t="shared" si="73"/>
        <v>2314.8537529412147</v>
      </c>
      <c r="AB2338" t="s">
        <v>457</v>
      </c>
    </row>
    <row r="2339" spans="1:28">
      <c r="A2339" t="s">
        <v>122</v>
      </c>
      <c r="C2339" s="92">
        <v>4615453892</v>
      </c>
      <c r="D2339" s="93">
        <v>21000</v>
      </c>
      <c r="F2339" s="91">
        <v>16</v>
      </c>
      <c r="G2339" s="96">
        <v>5</v>
      </c>
      <c r="H2339" s="94">
        <v>0</v>
      </c>
      <c r="I2339" s="91">
        <v>0</v>
      </c>
      <c r="J2339" s="41"/>
      <c r="K2339" s="41">
        <v>43251</v>
      </c>
      <c r="L2339" s="69" t="s">
        <v>80</v>
      </c>
      <c r="M2339" s="69" t="s">
        <v>286</v>
      </c>
      <c r="N2339" s="95"/>
      <c r="P2339" t="s">
        <v>95</v>
      </c>
      <c r="Q2339" t="s">
        <v>120</v>
      </c>
      <c r="R2339" s="92" t="s">
        <v>69</v>
      </c>
      <c r="S2339" s="92" t="s">
        <v>123</v>
      </c>
      <c r="V2339" s="95">
        <v>43251</v>
      </c>
      <c r="W2339" s="92">
        <v>2030481</v>
      </c>
      <c r="X2339" s="90" t="s">
        <v>321</v>
      </c>
      <c r="Y2339" s="123"/>
      <c r="Z2339" s="30">
        <f t="shared" si="72"/>
        <v>7407.5320094118861</v>
      </c>
      <c r="AA2339" s="30">
        <f t="shared" si="73"/>
        <v>2314.8537529412147</v>
      </c>
      <c r="AB2339" t="s">
        <v>457</v>
      </c>
    </row>
    <row r="2340" spans="1:28">
      <c r="A2340" t="s">
        <v>122</v>
      </c>
      <c r="C2340" s="92">
        <v>4615453892</v>
      </c>
      <c r="D2340" s="93">
        <v>21000</v>
      </c>
      <c r="F2340" s="91">
        <v>16</v>
      </c>
      <c r="G2340" s="96">
        <v>5</v>
      </c>
      <c r="H2340" s="94">
        <v>0</v>
      </c>
      <c r="I2340" s="91">
        <v>0</v>
      </c>
      <c r="J2340" s="41"/>
      <c r="K2340" s="41">
        <v>43251</v>
      </c>
      <c r="L2340" s="69" t="s">
        <v>80</v>
      </c>
      <c r="M2340" s="69" t="s">
        <v>286</v>
      </c>
      <c r="N2340" s="95"/>
      <c r="P2340" t="s">
        <v>95</v>
      </c>
      <c r="Q2340" t="s">
        <v>120</v>
      </c>
      <c r="R2340" s="92" t="s">
        <v>69</v>
      </c>
      <c r="S2340" s="92" t="s">
        <v>123</v>
      </c>
      <c r="V2340" s="95">
        <v>43251</v>
      </c>
      <c r="W2340" s="92">
        <v>2030481</v>
      </c>
      <c r="X2340" s="90" t="s">
        <v>321</v>
      </c>
      <c r="Y2340" s="123"/>
      <c r="Z2340" s="30">
        <f t="shared" si="72"/>
        <v>7407.5320094118861</v>
      </c>
      <c r="AA2340" s="30">
        <f t="shared" si="73"/>
        <v>2314.8537529412147</v>
      </c>
      <c r="AB2340" t="s">
        <v>457</v>
      </c>
    </row>
    <row r="2341" spans="1:28">
      <c r="A2341" t="s">
        <v>122</v>
      </c>
      <c r="C2341" s="92">
        <v>4615453892</v>
      </c>
      <c r="D2341" s="93">
        <v>21000</v>
      </c>
      <c r="F2341" s="91">
        <v>16</v>
      </c>
      <c r="G2341" s="96">
        <v>5</v>
      </c>
      <c r="H2341" s="94">
        <v>0</v>
      </c>
      <c r="I2341" s="91">
        <v>0</v>
      </c>
      <c r="J2341" s="41"/>
      <c r="K2341" s="41">
        <v>43251</v>
      </c>
      <c r="L2341" s="69" t="s">
        <v>80</v>
      </c>
      <c r="M2341" s="69" t="s">
        <v>286</v>
      </c>
      <c r="N2341" s="95"/>
      <c r="P2341" t="s">
        <v>95</v>
      </c>
      <c r="Q2341" t="s">
        <v>120</v>
      </c>
      <c r="R2341" s="92" t="s">
        <v>69</v>
      </c>
      <c r="S2341" s="92" t="s">
        <v>123</v>
      </c>
      <c r="V2341" s="95">
        <v>43251</v>
      </c>
      <c r="W2341" s="92">
        <v>2030481</v>
      </c>
      <c r="X2341" s="90" t="s">
        <v>321</v>
      </c>
      <c r="Y2341" s="123"/>
      <c r="Z2341" s="30">
        <f t="shared" si="72"/>
        <v>7407.5320094118861</v>
      </c>
      <c r="AA2341" s="30">
        <f t="shared" si="73"/>
        <v>2314.8537529412147</v>
      </c>
      <c r="AB2341" t="s">
        <v>457</v>
      </c>
    </row>
    <row r="2342" spans="1:28">
      <c r="A2342" t="s">
        <v>122</v>
      </c>
      <c r="C2342" s="92">
        <v>4615453892</v>
      </c>
      <c r="D2342" s="93">
        <v>21000</v>
      </c>
      <c r="F2342" s="91">
        <v>16</v>
      </c>
      <c r="G2342" s="96">
        <v>5</v>
      </c>
      <c r="H2342" s="94">
        <v>0</v>
      </c>
      <c r="I2342" s="91">
        <v>0</v>
      </c>
      <c r="J2342" s="41"/>
      <c r="K2342" s="41">
        <v>43251</v>
      </c>
      <c r="L2342" s="69" t="s">
        <v>80</v>
      </c>
      <c r="M2342" s="69" t="s">
        <v>286</v>
      </c>
      <c r="N2342" s="95"/>
      <c r="P2342" t="s">
        <v>95</v>
      </c>
      <c r="Q2342" t="s">
        <v>120</v>
      </c>
      <c r="R2342" s="92" t="s">
        <v>69</v>
      </c>
      <c r="S2342" s="92" t="s">
        <v>123</v>
      </c>
      <c r="V2342" s="95">
        <v>43251</v>
      </c>
      <c r="W2342" s="92">
        <v>2030481</v>
      </c>
      <c r="X2342" s="90" t="s">
        <v>321</v>
      </c>
      <c r="Y2342" s="123"/>
      <c r="Z2342" s="30">
        <f t="shared" si="72"/>
        <v>7407.5320094118861</v>
      </c>
      <c r="AA2342" s="30">
        <f t="shared" si="73"/>
        <v>2314.8537529412147</v>
      </c>
      <c r="AB2342" t="s">
        <v>457</v>
      </c>
    </row>
    <row r="2343" spans="1:28">
      <c r="A2343" t="s">
        <v>122</v>
      </c>
      <c r="C2343" s="92">
        <v>4615453892</v>
      </c>
      <c r="D2343" s="93">
        <v>21000</v>
      </c>
      <c r="F2343" s="91">
        <v>16</v>
      </c>
      <c r="G2343" s="96">
        <v>5</v>
      </c>
      <c r="H2343" s="94">
        <v>0</v>
      </c>
      <c r="I2343" s="91">
        <v>0</v>
      </c>
      <c r="J2343" s="41"/>
      <c r="K2343" s="41">
        <v>43251</v>
      </c>
      <c r="L2343" s="69" t="s">
        <v>80</v>
      </c>
      <c r="M2343" s="69" t="s">
        <v>286</v>
      </c>
      <c r="N2343" s="95"/>
      <c r="P2343" t="s">
        <v>95</v>
      </c>
      <c r="Q2343" t="s">
        <v>120</v>
      </c>
      <c r="R2343" s="92" t="s">
        <v>69</v>
      </c>
      <c r="S2343" s="92" t="s">
        <v>123</v>
      </c>
      <c r="V2343" s="95">
        <v>43251</v>
      </c>
      <c r="W2343" s="92">
        <v>2030481</v>
      </c>
      <c r="X2343" s="90" t="s">
        <v>321</v>
      </c>
      <c r="Y2343" s="123"/>
      <c r="Z2343" s="30">
        <f t="shared" si="72"/>
        <v>7407.5320094118861</v>
      </c>
      <c r="AA2343" s="30">
        <f t="shared" si="73"/>
        <v>2314.8537529412147</v>
      </c>
      <c r="AB2343" t="s">
        <v>457</v>
      </c>
    </row>
    <row r="2344" spans="1:28">
      <c r="A2344" t="s">
        <v>122</v>
      </c>
      <c r="C2344" s="92">
        <v>4615452031</v>
      </c>
      <c r="D2344" s="93">
        <v>19200</v>
      </c>
      <c r="F2344" s="91">
        <v>16</v>
      </c>
      <c r="G2344" s="96">
        <v>5</v>
      </c>
      <c r="H2344" s="94">
        <v>0</v>
      </c>
      <c r="I2344" s="91">
        <v>0</v>
      </c>
      <c r="J2344" s="41"/>
      <c r="K2344" s="41">
        <v>43251</v>
      </c>
      <c r="L2344" s="69" t="s">
        <v>80</v>
      </c>
      <c r="M2344" s="69" t="s">
        <v>286</v>
      </c>
      <c r="N2344" s="95"/>
      <c r="P2344" t="s">
        <v>95</v>
      </c>
      <c r="Q2344" t="s">
        <v>120</v>
      </c>
      <c r="R2344" s="92" t="s">
        <v>69</v>
      </c>
      <c r="S2344" s="92" t="s">
        <v>123</v>
      </c>
      <c r="V2344" s="95">
        <v>43251</v>
      </c>
      <c r="W2344" s="92">
        <v>2030492</v>
      </c>
      <c r="X2344" s="90"/>
      <c r="Y2344" s="123"/>
      <c r="Z2344" s="30">
        <f t="shared" si="72"/>
        <v>6772.6006943194379</v>
      </c>
      <c r="AA2344" s="30">
        <f t="shared" si="73"/>
        <v>2116.4377169748245</v>
      </c>
      <c r="AB2344" t="s">
        <v>457</v>
      </c>
    </row>
    <row r="2345" spans="1:28">
      <c r="A2345" t="s">
        <v>122</v>
      </c>
      <c r="C2345" s="92">
        <v>4615452031</v>
      </c>
      <c r="D2345" s="93">
        <v>19200</v>
      </c>
      <c r="F2345" s="91">
        <v>16</v>
      </c>
      <c r="G2345" s="96">
        <v>5</v>
      </c>
      <c r="H2345" s="94">
        <v>0</v>
      </c>
      <c r="I2345" s="91">
        <v>0</v>
      </c>
      <c r="J2345" s="41"/>
      <c r="K2345" s="41">
        <v>43251</v>
      </c>
      <c r="L2345" s="69" t="s">
        <v>80</v>
      </c>
      <c r="M2345" s="69" t="s">
        <v>286</v>
      </c>
      <c r="N2345" s="95"/>
      <c r="P2345" t="s">
        <v>95</v>
      </c>
      <c r="Q2345" t="s">
        <v>120</v>
      </c>
      <c r="R2345" s="92" t="s">
        <v>69</v>
      </c>
      <c r="S2345" s="92" t="s">
        <v>123</v>
      </c>
      <c r="V2345" s="95">
        <v>43251</v>
      </c>
      <c r="W2345" s="92">
        <v>2030492</v>
      </c>
      <c r="X2345" s="90"/>
      <c r="Y2345" s="123"/>
      <c r="Z2345" s="30">
        <f t="shared" si="72"/>
        <v>6772.6006943194379</v>
      </c>
      <c r="AA2345" s="30">
        <f t="shared" si="73"/>
        <v>2116.4377169748245</v>
      </c>
      <c r="AB2345" t="s">
        <v>457</v>
      </c>
    </row>
    <row r="2346" spans="1:28">
      <c r="A2346" t="s">
        <v>122</v>
      </c>
      <c r="C2346" s="92">
        <v>4615452031</v>
      </c>
      <c r="D2346" s="93">
        <v>19200</v>
      </c>
      <c r="F2346" s="91">
        <v>16</v>
      </c>
      <c r="G2346" s="96">
        <v>5</v>
      </c>
      <c r="H2346" s="94">
        <v>0</v>
      </c>
      <c r="I2346" s="91">
        <v>0</v>
      </c>
      <c r="J2346" s="41"/>
      <c r="K2346" s="41">
        <v>43251</v>
      </c>
      <c r="L2346" s="69" t="s">
        <v>80</v>
      </c>
      <c r="M2346" s="69" t="s">
        <v>286</v>
      </c>
      <c r="N2346" s="95"/>
      <c r="P2346" t="s">
        <v>95</v>
      </c>
      <c r="Q2346" t="s">
        <v>120</v>
      </c>
      <c r="R2346" s="92" t="s">
        <v>69</v>
      </c>
      <c r="S2346" s="92" t="s">
        <v>123</v>
      </c>
      <c r="V2346" s="95">
        <v>43251</v>
      </c>
      <c r="W2346" s="92">
        <v>2030492</v>
      </c>
      <c r="X2346" s="90"/>
      <c r="Y2346" s="123"/>
      <c r="Z2346" s="30">
        <f t="shared" si="72"/>
        <v>6772.6006943194379</v>
      </c>
      <c r="AA2346" s="30">
        <f t="shared" si="73"/>
        <v>2116.4377169748245</v>
      </c>
      <c r="AB2346" t="s">
        <v>457</v>
      </c>
    </row>
    <row r="2347" spans="1:28">
      <c r="A2347" t="s">
        <v>113</v>
      </c>
      <c r="C2347" s="92">
        <v>4615464351</v>
      </c>
      <c r="D2347" s="93">
        <v>19175</v>
      </c>
      <c r="F2347" s="91">
        <v>16</v>
      </c>
      <c r="G2347" s="91">
        <v>5</v>
      </c>
      <c r="H2347" s="94">
        <v>0</v>
      </c>
      <c r="I2347" s="91">
        <v>0</v>
      </c>
      <c r="J2347" s="41"/>
      <c r="K2347" s="41">
        <v>43251</v>
      </c>
      <c r="L2347" s="69" t="s">
        <v>80</v>
      </c>
      <c r="M2347" s="69" t="s">
        <v>286</v>
      </c>
      <c r="N2347" s="95"/>
      <c r="P2347" t="s">
        <v>95</v>
      </c>
      <c r="Q2347" t="s">
        <v>110</v>
      </c>
      <c r="R2347" s="92" t="s">
        <v>69</v>
      </c>
      <c r="S2347" s="92" t="s">
        <v>115</v>
      </c>
      <c r="V2347" s="95">
        <v>43251</v>
      </c>
      <c r="W2347" s="92">
        <v>17070154</v>
      </c>
      <c r="X2347" s="90"/>
      <c r="Y2347" s="123"/>
      <c r="Z2347" s="30">
        <f t="shared" si="72"/>
        <v>6763.7822038320437</v>
      </c>
      <c r="AA2347" s="30">
        <f t="shared" si="73"/>
        <v>2113.6819386975139</v>
      </c>
      <c r="AB2347" t="s">
        <v>457</v>
      </c>
    </row>
    <row r="2348" spans="1:28">
      <c r="A2348" t="s">
        <v>113</v>
      </c>
      <c r="C2348" s="92">
        <v>4615464351</v>
      </c>
      <c r="D2348" s="93">
        <v>19175</v>
      </c>
      <c r="F2348" s="91">
        <v>16</v>
      </c>
      <c r="G2348" s="91">
        <v>5</v>
      </c>
      <c r="H2348" s="94">
        <v>0</v>
      </c>
      <c r="I2348" s="91">
        <v>0</v>
      </c>
      <c r="J2348" s="41"/>
      <c r="K2348" s="41">
        <v>43251</v>
      </c>
      <c r="L2348" s="69" t="s">
        <v>80</v>
      </c>
      <c r="M2348" s="69" t="s">
        <v>286</v>
      </c>
      <c r="N2348" s="95"/>
      <c r="P2348" t="s">
        <v>95</v>
      </c>
      <c r="Q2348" t="s">
        <v>110</v>
      </c>
      <c r="R2348" s="92" t="s">
        <v>69</v>
      </c>
      <c r="S2348" s="92" t="s">
        <v>115</v>
      </c>
      <c r="V2348" s="95">
        <v>43251</v>
      </c>
      <c r="W2348" s="92">
        <v>17070154</v>
      </c>
      <c r="X2348" s="90"/>
      <c r="Y2348" s="123"/>
      <c r="Z2348" s="30">
        <f t="shared" si="72"/>
        <v>6763.7822038320437</v>
      </c>
      <c r="AA2348" s="30">
        <f t="shared" si="73"/>
        <v>2113.6819386975139</v>
      </c>
      <c r="AB2348" t="s">
        <v>457</v>
      </c>
    </row>
    <row r="2349" spans="1:28">
      <c r="A2349" t="s">
        <v>113</v>
      </c>
      <c r="C2349" s="92">
        <v>4615464351</v>
      </c>
      <c r="D2349" s="93">
        <v>19175</v>
      </c>
      <c r="F2349" s="91">
        <v>16</v>
      </c>
      <c r="G2349" s="91">
        <v>5</v>
      </c>
      <c r="H2349" s="94">
        <v>0</v>
      </c>
      <c r="I2349" s="91">
        <v>0</v>
      </c>
      <c r="J2349" s="41"/>
      <c r="K2349" s="41">
        <v>43251</v>
      </c>
      <c r="L2349" s="69" t="s">
        <v>80</v>
      </c>
      <c r="M2349" s="69" t="s">
        <v>286</v>
      </c>
      <c r="N2349" s="95"/>
      <c r="P2349" t="s">
        <v>95</v>
      </c>
      <c r="Q2349" t="s">
        <v>110</v>
      </c>
      <c r="R2349" s="92" t="s">
        <v>69</v>
      </c>
      <c r="S2349" s="92" t="s">
        <v>115</v>
      </c>
      <c r="V2349" s="95">
        <v>43251</v>
      </c>
      <c r="W2349" s="92">
        <v>17070154</v>
      </c>
      <c r="X2349" s="90"/>
      <c r="Y2349" s="123"/>
      <c r="Z2349" s="30">
        <f t="shared" si="72"/>
        <v>6763.7822038320437</v>
      </c>
      <c r="AA2349" s="30">
        <f t="shared" si="73"/>
        <v>2113.6819386975139</v>
      </c>
      <c r="AB2349" t="s">
        <v>457</v>
      </c>
    </row>
    <row r="2350" spans="1:28">
      <c r="A2350" t="s">
        <v>113</v>
      </c>
      <c r="C2350" s="92">
        <v>4615464351</v>
      </c>
      <c r="D2350" s="93">
        <v>19175</v>
      </c>
      <c r="F2350" s="91">
        <v>16</v>
      </c>
      <c r="G2350" s="91">
        <v>5</v>
      </c>
      <c r="H2350" s="94">
        <v>0</v>
      </c>
      <c r="I2350" s="91">
        <v>0</v>
      </c>
      <c r="J2350" s="41"/>
      <c r="K2350" s="41">
        <v>43251</v>
      </c>
      <c r="L2350" s="69" t="s">
        <v>80</v>
      </c>
      <c r="M2350" s="69" t="s">
        <v>286</v>
      </c>
      <c r="N2350" s="95"/>
      <c r="P2350" t="s">
        <v>95</v>
      </c>
      <c r="Q2350" t="s">
        <v>110</v>
      </c>
      <c r="R2350" s="92" t="s">
        <v>69</v>
      </c>
      <c r="S2350" s="92" t="s">
        <v>115</v>
      </c>
      <c r="V2350" s="95">
        <v>43251</v>
      </c>
      <c r="W2350" s="92">
        <v>17070154</v>
      </c>
      <c r="X2350" s="90"/>
      <c r="Y2350" s="123"/>
      <c r="Z2350" s="30">
        <f t="shared" si="72"/>
        <v>6763.7822038320437</v>
      </c>
      <c r="AA2350" s="30">
        <f t="shared" si="73"/>
        <v>2113.6819386975139</v>
      </c>
      <c r="AB2350" t="s">
        <v>457</v>
      </c>
    </row>
    <row r="2351" spans="1:28">
      <c r="A2351" t="s">
        <v>113</v>
      </c>
      <c r="C2351" s="92">
        <v>4615464351</v>
      </c>
      <c r="D2351" s="93">
        <v>19175</v>
      </c>
      <c r="F2351" s="91">
        <v>16</v>
      </c>
      <c r="G2351" s="91">
        <v>5</v>
      </c>
      <c r="H2351" s="94">
        <v>0</v>
      </c>
      <c r="I2351" s="91">
        <v>0</v>
      </c>
      <c r="J2351" s="41"/>
      <c r="K2351" s="41">
        <v>43251</v>
      </c>
      <c r="L2351" s="69" t="s">
        <v>80</v>
      </c>
      <c r="M2351" s="69" t="s">
        <v>286</v>
      </c>
      <c r="N2351" s="95"/>
      <c r="P2351" t="s">
        <v>95</v>
      </c>
      <c r="Q2351" t="s">
        <v>110</v>
      </c>
      <c r="R2351" s="92" t="s">
        <v>69</v>
      </c>
      <c r="S2351" s="92" t="s">
        <v>115</v>
      </c>
      <c r="V2351" s="95">
        <v>43251</v>
      </c>
      <c r="W2351" s="92">
        <v>17070154</v>
      </c>
      <c r="X2351" s="90"/>
      <c r="Y2351" s="123"/>
      <c r="Z2351" s="30">
        <f t="shared" si="72"/>
        <v>6763.7822038320437</v>
      </c>
      <c r="AA2351" s="30">
        <f t="shared" si="73"/>
        <v>2113.6819386975139</v>
      </c>
      <c r="AB2351" t="s">
        <v>457</v>
      </c>
    </row>
    <row r="2352" spans="1:28">
      <c r="A2352" t="s">
        <v>113</v>
      </c>
      <c r="C2352" s="92">
        <v>4615464351</v>
      </c>
      <c r="D2352" s="93">
        <v>19175</v>
      </c>
      <c r="F2352" s="91">
        <v>16</v>
      </c>
      <c r="G2352" s="91">
        <v>5</v>
      </c>
      <c r="H2352" s="94">
        <v>0</v>
      </c>
      <c r="I2352" s="91">
        <v>0</v>
      </c>
      <c r="J2352" s="41"/>
      <c r="K2352" s="41">
        <v>43251</v>
      </c>
      <c r="L2352" s="69" t="s">
        <v>80</v>
      </c>
      <c r="M2352" s="69" t="s">
        <v>286</v>
      </c>
      <c r="N2352" s="95"/>
      <c r="P2352" t="s">
        <v>95</v>
      </c>
      <c r="Q2352" t="s">
        <v>110</v>
      </c>
      <c r="R2352" s="92" t="s">
        <v>69</v>
      </c>
      <c r="S2352" s="92" t="s">
        <v>115</v>
      </c>
      <c r="V2352" s="95">
        <v>43251</v>
      </c>
      <c r="W2352" s="92">
        <v>17070154</v>
      </c>
      <c r="X2352" s="90"/>
      <c r="Y2352" s="123"/>
      <c r="Z2352" s="30">
        <f t="shared" si="72"/>
        <v>6763.7822038320437</v>
      </c>
      <c r="AA2352" s="30">
        <f t="shared" si="73"/>
        <v>2113.6819386975139</v>
      </c>
      <c r="AB2352" t="s">
        <v>457</v>
      </c>
    </row>
    <row r="2353" spans="1:28">
      <c r="A2353" t="s">
        <v>113</v>
      </c>
      <c r="C2353" s="92">
        <v>4615464351</v>
      </c>
      <c r="D2353" s="93">
        <v>19175</v>
      </c>
      <c r="F2353" s="91">
        <v>16</v>
      </c>
      <c r="G2353" s="91">
        <v>5</v>
      </c>
      <c r="H2353" s="94">
        <v>0</v>
      </c>
      <c r="I2353" s="91">
        <v>0</v>
      </c>
      <c r="J2353" s="41"/>
      <c r="K2353" s="41">
        <v>43251</v>
      </c>
      <c r="L2353" s="69" t="s">
        <v>80</v>
      </c>
      <c r="M2353" s="69" t="s">
        <v>286</v>
      </c>
      <c r="N2353" s="95"/>
      <c r="P2353" t="s">
        <v>95</v>
      </c>
      <c r="Q2353" t="s">
        <v>110</v>
      </c>
      <c r="R2353" s="92" t="s">
        <v>69</v>
      </c>
      <c r="S2353" s="92" t="s">
        <v>115</v>
      </c>
      <c r="V2353" s="95">
        <v>43251</v>
      </c>
      <c r="W2353" s="92">
        <v>17070154</v>
      </c>
      <c r="X2353" s="90"/>
      <c r="Y2353" s="123"/>
      <c r="Z2353" s="30">
        <f t="shared" si="72"/>
        <v>6763.7822038320437</v>
      </c>
      <c r="AA2353" s="30">
        <f t="shared" si="73"/>
        <v>2113.6819386975139</v>
      </c>
      <c r="AB2353" t="s">
        <v>457</v>
      </c>
    </row>
    <row r="2354" spans="1:28">
      <c r="A2354" t="s">
        <v>113</v>
      </c>
      <c r="C2354" s="92">
        <v>4615464351</v>
      </c>
      <c r="D2354" s="93">
        <v>19175</v>
      </c>
      <c r="F2354" s="91">
        <v>16</v>
      </c>
      <c r="G2354" s="91">
        <v>5</v>
      </c>
      <c r="H2354" s="94">
        <v>0</v>
      </c>
      <c r="I2354" s="91">
        <v>0</v>
      </c>
      <c r="J2354" s="41"/>
      <c r="K2354" s="41">
        <v>43251</v>
      </c>
      <c r="L2354" s="69" t="s">
        <v>80</v>
      </c>
      <c r="M2354" s="69" t="s">
        <v>286</v>
      </c>
      <c r="N2354" s="95"/>
      <c r="P2354" t="s">
        <v>95</v>
      </c>
      <c r="Q2354" t="s">
        <v>110</v>
      </c>
      <c r="R2354" s="92" t="s">
        <v>69</v>
      </c>
      <c r="S2354" s="92" t="s">
        <v>115</v>
      </c>
      <c r="V2354" s="95">
        <v>43251</v>
      </c>
      <c r="W2354" s="92">
        <v>17070154</v>
      </c>
      <c r="X2354" s="90"/>
      <c r="Y2354" s="123"/>
      <c r="Z2354" s="30">
        <f t="shared" si="72"/>
        <v>6763.7822038320437</v>
      </c>
      <c r="AA2354" s="30">
        <f t="shared" si="73"/>
        <v>2113.6819386975139</v>
      </c>
      <c r="AB2354" t="s">
        <v>457</v>
      </c>
    </row>
    <row r="2355" spans="1:28">
      <c r="A2355" t="s">
        <v>113</v>
      </c>
      <c r="C2355" s="92">
        <v>4615464351</v>
      </c>
      <c r="D2355" s="93">
        <v>19175</v>
      </c>
      <c r="F2355" s="91">
        <v>16</v>
      </c>
      <c r="G2355" s="91">
        <v>5</v>
      </c>
      <c r="H2355" s="94">
        <v>0</v>
      </c>
      <c r="I2355" s="91">
        <v>0</v>
      </c>
      <c r="J2355" s="41"/>
      <c r="K2355" s="41">
        <v>43251</v>
      </c>
      <c r="L2355" s="69" t="s">
        <v>80</v>
      </c>
      <c r="M2355" s="69" t="s">
        <v>286</v>
      </c>
      <c r="N2355" s="95"/>
      <c r="P2355" t="s">
        <v>95</v>
      </c>
      <c r="Q2355" t="s">
        <v>110</v>
      </c>
      <c r="R2355" s="92" t="s">
        <v>69</v>
      </c>
      <c r="S2355" s="92" t="s">
        <v>115</v>
      </c>
      <c r="V2355" s="95">
        <v>43251</v>
      </c>
      <c r="W2355" s="92">
        <v>17070154</v>
      </c>
      <c r="X2355" s="90"/>
      <c r="Y2355" s="123"/>
      <c r="Z2355" s="30">
        <f t="shared" si="72"/>
        <v>6763.7822038320437</v>
      </c>
      <c r="AA2355" s="30">
        <f t="shared" si="73"/>
        <v>2113.6819386975139</v>
      </c>
      <c r="AB2355" t="s">
        <v>457</v>
      </c>
    </row>
    <row r="2356" spans="1:28">
      <c r="A2356" t="s">
        <v>113</v>
      </c>
      <c r="C2356" s="92">
        <v>4615464351</v>
      </c>
      <c r="D2356" s="93">
        <v>19175</v>
      </c>
      <c r="F2356" s="91">
        <v>16</v>
      </c>
      <c r="G2356" s="91">
        <v>5</v>
      </c>
      <c r="H2356" s="94">
        <v>0</v>
      </c>
      <c r="I2356" s="91">
        <v>0</v>
      </c>
      <c r="J2356" s="41"/>
      <c r="K2356" s="41">
        <v>43251</v>
      </c>
      <c r="L2356" s="69" t="s">
        <v>80</v>
      </c>
      <c r="M2356" s="69" t="s">
        <v>286</v>
      </c>
      <c r="N2356" s="95"/>
      <c r="P2356" t="s">
        <v>95</v>
      </c>
      <c r="Q2356" t="s">
        <v>110</v>
      </c>
      <c r="R2356" s="92" t="s">
        <v>69</v>
      </c>
      <c r="S2356" s="92" t="s">
        <v>115</v>
      </c>
      <c r="V2356" s="95">
        <v>43251</v>
      </c>
      <c r="W2356" s="92">
        <v>17070154</v>
      </c>
      <c r="X2356" s="90"/>
      <c r="Y2356" s="123"/>
      <c r="Z2356" s="30">
        <f t="shared" si="72"/>
        <v>6763.7822038320437</v>
      </c>
      <c r="AA2356" s="30">
        <f t="shared" si="73"/>
        <v>2113.6819386975139</v>
      </c>
      <c r="AB2356" t="s">
        <v>457</v>
      </c>
    </row>
    <row r="2357" spans="1:28">
      <c r="A2357" t="s">
        <v>113</v>
      </c>
      <c r="C2357" s="92">
        <v>4615464351</v>
      </c>
      <c r="D2357" s="93">
        <v>19175</v>
      </c>
      <c r="F2357" s="91">
        <v>16</v>
      </c>
      <c r="G2357" s="91">
        <v>5</v>
      </c>
      <c r="H2357" s="94">
        <v>0</v>
      </c>
      <c r="I2357" s="91">
        <v>0</v>
      </c>
      <c r="J2357" s="41"/>
      <c r="K2357" s="41">
        <v>43251</v>
      </c>
      <c r="L2357" s="69" t="s">
        <v>80</v>
      </c>
      <c r="M2357" s="69" t="s">
        <v>286</v>
      </c>
      <c r="N2357" s="95"/>
      <c r="P2357" t="s">
        <v>95</v>
      </c>
      <c r="Q2357" t="s">
        <v>110</v>
      </c>
      <c r="R2357" s="92" t="s">
        <v>69</v>
      </c>
      <c r="S2357" s="92" t="s">
        <v>115</v>
      </c>
      <c r="V2357" s="95">
        <v>43251</v>
      </c>
      <c r="W2357" s="92">
        <v>17070154</v>
      </c>
      <c r="X2357" s="90"/>
      <c r="Y2357" s="123"/>
      <c r="Z2357" s="30">
        <f t="shared" si="72"/>
        <v>6763.7822038320437</v>
      </c>
      <c r="AA2357" s="30">
        <f t="shared" si="73"/>
        <v>2113.6819386975139</v>
      </c>
      <c r="AB2357" t="s">
        <v>457</v>
      </c>
    </row>
    <row r="2358" spans="1:28">
      <c r="A2358" t="s">
        <v>113</v>
      </c>
      <c r="C2358" s="92">
        <v>4615464351</v>
      </c>
      <c r="D2358" s="93">
        <v>19175</v>
      </c>
      <c r="F2358" s="91">
        <v>16</v>
      </c>
      <c r="G2358" s="91">
        <v>5</v>
      </c>
      <c r="H2358" s="94">
        <v>0</v>
      </c>
      <c r="I2358" s="91">
        <v>0</v>
      </c>
      <c r="J2358" s="41"/>
      <c r="K2358" s="41">
        <v>43251</v>
      </c>
      <c r="L2358" s="69" t="s">
        <v>80</v>
      </c>
      <c r="M2358" s="69" t="s">
        <v>286</v>
      </c>
      <c r="N2358" s="95"/>
      <c r="P2358" t="s">
        <v>95</v>
      </c>
      <c r="Q2358" t="s">
        <v>110</v>
      </c>
      <c r="R2358" s="92" t="s">
        <v>69</v>
      </c>
      <c r="S2358" s="92" t="s">
        <v>115</v>
      </c>
      <c r="V2358" s="95">
        <v>43251</v>
      </c>
      <c r="W2358" s="92">
        <v>17070154</v>
      </c>
      <c r="X2358" s="90"/>
      <c r="Y2358" s="123"/>
      <c r="Z2358" s="30">
        <f t="shared" si="72"/>
        <v>6763.7822038320437</v>
      </c>
      <c r="AA2358" s="30">
        <f t="shared" si="73"/>
        <v>2113.6819386975139</v>
      </c>
      <c r="AB2358" t="s">
        <v>457</v>
      </c>
    </row>
    <row r="2359" spans="1:28">
      <c r="A2359" t="s">
        <v>113</v>
      </c>
      <c r="C2359" s="92">
        <v>4615464351</v>
      </c>
      <c r="D2359" s="93">
        <v>19175</v>
      </c>
      <c r="F2359" s="91">
        <v>16</v>
      </c>
      <c r="G2359" s="91">
        <v>5</v>
      </c>
      <c r="H2359" s="94">
        <v>0</v>
      </c>
      <c r="I2359" s="91">
        <v>0</v>
      </c>
      <c r="J2359" s="41"/>
      <c r="K2359" s="41">
        <v>43251</v>
      </c>
      <c r="L2359" s="69" t="s">
        <v>80</v>
      </c>
      <c r="M2359" s="69" t="s">
        <v>286</v>
      </c>
      <c r="N2359" s="95"/>
      <c r="P2359" t="s">
        <v>95</v>
      </c>
      <c r="Q2359" t="s">
        <v>110</v>
      </c>
      <c r="R2359" s="92" t="s">
        <v>69</v>
      </c>
      <c r="S2359" s="92" t="s">
        <v>115</v>
      </c>
      <c r="V2359" s="95">
        <v>43251</v>
      </c>
      <c r="W2359" s="92">
        <v>17070154</v>
      </c>
      <c r="X2359" s="90"/>
      <c r="Y2359" s="123"/>
      <c r="Z2359" s="30">
        <f t="shared" si="72"/>
        <v>6763.7822038320437</v>
      </c>
      <c r="AA2359" s="30">
        <f t="shared" si="73"/>
        <v>2113.6819386975139</v>
      </c>
      <c r="AB2359" t="s">
        <v>457</v>
      </c>
    </row>
    <row r="2360" spans="1:28">
      <c r="A2360" t="s">
        <v>113</v>
      </c>
      <c r="C2360" s="92">
        <v>4615464351</v>
      </c>
      <c r="D2360" s="93">
        <v>19175</v>
      </c>
      <c r="F2360" s="91">
        <v>16</v>
      </c>
      <c r="G2360" s="91">
        <v>5</v>
      </c>
      <c r="H2360" s="94">
        <v>0</v>
      </c>
      <c r="I2360" s="91">
        <v>0</v>
      </c>
      <c r="J2360" s="41"/>
      <c r="K2360" s="41">
        <v>43251</v>
      </c>
      <c r="L2360" s="69" t="s">
        <v>80</v>
      </c>
      <c r="M2360" s="69" t="s">
        <v>286</v>
      </c>
      <c r="N2360" s="95"/>
      <c r="P2360" t="s">
        <v>95</v>
      </c>
      <c r="Q2360" t="s">
        <v>110</v>
      </c>
      <c r="R2360" s="92" t="s">
        <v>69</v>
      </c>
      <c r="S2360" s="92" t="s">
        <v>115</v>
      </c>
      <c r="V2360" s="95">
        <v>43251</v>
      </c>
      <c r="W2360" s="92">
        <v>17070154</v>
      </c>
      <c r="X2360" s="90"/>
      <c r="Y2360" s="123"/>
      <c r="Z2360" s="30">
        <f t="shared" si="72"/>
        <v>6763.7822038320437</v>
      </c>
      <c r="AA2360" s="30">
        <f t="shared" si="73"/>
        <v>2113.6819386975139</v>
      </c>
      <c r="AB2360" t="s">
        <v>457</v>
      </c>
    </row>
    <row r="2361" spans="1:28">
      <c r="A2361" t="s">
        <v>113</v>
      </c>
      <c r="C2361" s="92">
        <v>4615464351</v>
      </c>
      <c r="D2361" s="93">
        <v>19175</v>
      </c>
      <c r="F2361" s="91">
        <v>16</v>
      </c>
      <c r="G2361" s="91">
        <v>5</v>
      </c>
      <c r="H2361" s="94">
        <v>0</v>
      </c>
      <c r="I2361" s="91">
        <v>0</v>
      </c>
      <c r="J2361" s="41"/>
      <c r="K2361" s="41">
        <v>43251</v>
      </c>
      <c r="L2361" s="69" t="s">
        <v>80</v>
      </c>
      <c r="M2361" s="69" t="s">
        <v>286</v>
      </c>
      <c r="N2361" s="95"/>
      <c r="P2361" t="s">
        <v>95</v>
      </c>
      <c r="Q2361" t="s">
        <v>110</v>
      </c>
      <c r="R2361" s="92" t="s">
        <v>69</v>
      </c>
      <c r="S2361" s="92" t="s">
        <v>115</v>
      </c>
      <c r="V2361" s="95">
        <v>43251</v>
      </c>
      <c r="W2361" s="92">
        <v>17070154</v>
      </c>
      <c r="X2361" s="90"/>
      <c r="Y2361" s="123"/>
      <c r="Z2361" s="30">
        <f t="shared" si="72"/>
        <v>6763.7822038320437</v>
      </c>
      <c r="AA2361" s="30">
        <f t="shared" si="73"/>
        <v>2113.6819386975139</v>
      </c>
      <c r="AB2361" t="s">
        <v>457</v>
      </c>
    </row>
    <row r="2362" spans="1:28">
      <c r="A2362" t="s">
        <v>113</v>
      </c>
      <c r="C2362" s="92">
        <v>4615464351</v>
      </c>
      <c r="D2362" s="93">
        <v>19175</v>
      </c>
      <c r="F2362" s="91">
        <v>16</v>
      </c>
      <c r="G2362" s="91">
        <v>5</v>
      </c>
      <c r="H2362" s="94">
        <v>0</v>
      </c>
      <c r="I2362" s="91">
        <v>0</v>
      </c>
      <c r="J2362" s="41"/>
      <c r="K2362" s="41">
        <v>43251</v>
      </c>
      <c r="L2362" s="69" t="s">
        <v>80</v>
      </c>
      <c r="M2362" s="69" t="s">
        <v>286</v>
      </c>
      <c r="N2362" s="95"/>
      <c r="P2362" t="s">
        <v>95</v>
      </c>
      <c r="Q2362" t="s">
        <v>110</v>
      </c>
      <c r="R2362" s="92" t="s">
        <v>69</v>
      </c>
      <c r="S2362" s="92" t="s">
        <v>115</v>
      </c>
      <c r="V2362" s="95">
        <v>43251</v>
      </c>
      <c r="W2362" s="92">
        <v>17070154</v>
      </c>
      <c r="X2362" s="90"/>
      <c r="Y2362" s="123"/>
      <c r="Z2362" s="30">
        <f t="shared" si="72"/>
        <v>6763.7822038320437</v>
      </c>
      <c r="AA2362" s="30">
        <f t="shared" si="73"/>
        <v>2113.6819386975139</v>
      </c>
      <c r="AB2362" t="s">
        <v>457</v>
      </c>
    </row>
    <row r="2363" spans="1:28">
      <c r="A2363" t="s">
        <v>113</v>
      </c>
      <c r="C2363" s="92">
        <v>4615464351</v>
      </c>
      <c r="D2363" s="93">
        <v>19175</v>
      </c>
      <c r="F2363" s="91">
        <v>16</v>
      </c>
      <c r="G2363" s="91">
        <v>5</v>
      </c>
      <c r="H2363" s="94">
        <v>0</v>
      </c>
      <c r="I2363" s="91">
        <v>0</v>
      </c>
      <c r="J2363" s="41"/>
      <c r="K2363" s="41">
        <v>43251</v>
      </c>
      <c r="L2363" s="69" t="s">
        <v>80</v>
      </c>
      <c r="M2363" s="69" t="s">
        <v>286</v>
      </c>
      <c r="N2363" s="95"/>
      <c r="P2363" t="s">
        <v>95</v>
      </c>
      <c r="Q2363" t="s">
        <v>110</v>
      </c>
      <c r="R2363" s="92" t="s">
        <v>69</v>
      </c>
      <c r="S2363" s="92" t="s">
        <v>115</v>
      </c>
      <c r="V2363" s="95">
        <v>43251</v>
      </c>
      <c r="W2363" s="92">
        <v>17070154</v>
      </c>
      <c r="X2363" s="90"/>
      <c r="Y2363" s="123"/>
      <c r="Z2363" s="30">
        <f t="shared" si="72"/>
        <v>6763.7822038320437</v>
      </c>
      <c r="AA2363" s="30">
        <f t="shared" si="73"/>
        <v>2113.6819386975139</v>
      </c>
      <c r="AB2363" t="s">
        <v>457</v>
      </c>
    </row>
    <row r="2364" spans="1:28">
      <c r="A2364" t="s">
        <v>113</v>
      </c>
      <c r="C2364" s="92">
        <v>4615464351</v>
      </c>
      <c r="D2364" s="93">
        <v>19175</v>
      </c>
      <c r="F2364" s="91">
        <v>16</v>
      </c>
      <c r="G2364" s="91">
        <v>5</v>
      </c>
      <c r="H2364" s="94">
        <v>0</v>
      </c>
      <c r="I2364" s="91">
        <v>0</v>
      </c>
      <c r="J2364" s="41"/>
      <c r="K2364" s="41">
        <v>43251</v>
      </c>
      <c r="L2364" s="69" t="s">
        <v>80</v>
      </c>
      <c r="M2364" s="69" t="s">
        <v>286</v>
      </c>
      <c r="N2364" s="95"/>
      <c r="P2364" t="s">
        <v>95</v>
      </c>
      <c r="Q2364" t="s">
        <v>110</v>
      </c>
      <c r="R2364" s="92" t="s">
        <v>69</v>
      </c>
      <c r="S2364" s="92" t="s">
        <v>115</v>
      </c>
      <c r="V2364" s="95">
        <v>43251</v>
      </c>
      <c r="W2364" s="92">
        <v>17070154</v>
      </c>
      <c r="X2364" s="90"/>
      <c r="Y2364" s="123"/>
      <c r="Z2364" s="30">
        <f t="shared" si="72"/>
        <v>6763.7822038320437</v>
      </c>
      <c r="AA2364" s="30">
        <f t="shared" si="73"/>
        <v>2113.6819386975139</v>
      </c>
      <c r="AB2364" t="s">
        <v>457</v>
      </c>
    </row>
    <row r="2365" spans="1:28">
      <c r="A2365" t="s">
        <v>113</v>
      </c>
      <c r="C2365" s="92">
        <v>4615464351</v>
      </c>
      <c r="D2365" s="93">
        <v>19175</v>
      </c>
      <c r="F2365" s="91">
        <v>16</v>
      </c>
      <c r="G2365" s="91">
        <v>5</v>
      </c>
      <c r="H2365" s="94">
        <v>0</v>
      </c>
      <c r="I2365" s="91">
        <v>0</v>
      </c>
      <c r="J2365" s="41"/>
      <c r="K2365" s="41">
        <v>43251</v>
      </c>
      <c r="L2365" s="69" t="s">
        <v>80</v>
      </c>
      <c r="M2365" s="69" t="s">
        <v>286</v>
      </c>
      <c r="N2365" s="95"/>
      <c r="P2365" t="s">
        <v>95</v>
      </c>
      <c r="Q2365" t="s">
        <v>110</v>
      </c>
      <c r="R2365" s="92" t="s">
        <v>69</v>
      </c>
      <c r="S2365" s="92" t="s">
        <v>115</v>
      </c>
      <c r="V2365" s="95">
        <v>43251</v>
      </c>
      <c r="W2365" s="92">
        <v>17070154</v>
      </c>
      <c r="X2365" s="90"/>
      <c r="Y2365" s="123"/>
      <c r="Z2365" s="30">
        <f t="shared" si="72"/>
        <v>6763.7822038320437</v>
      </c>
      <c r="AA2365" s="30">
        <f t="shared" si="73"/>
        <v>2113.6819386975139</v>
      </c>
      <c r="AB2365" t="s">
        <v>457</v>
      </c>
    </row>
    <row r="2366" spans="1:28">
      <c r="A2366" t="s">
        <v>113</v>
      </c>
      <c r="C2366" s="92">
        <v>4615464351</v>
      </c>
      <c r="D2366" s="93">
        <v>19175</v>
      </c>
      <c r="F2366" s="91">
        <v>16</v>
      </c>
      <c r="G2366" s="91">
        <v>5</v>
      </c>
      <c r="H2366" s="94">
        <v>0</v>
      </c>
      <c r="I2366" s="91">
        <v>0</v>
      </c>
      <c r="J2366" s="41"/>
      <c r="K2366" s="41">
        <v>43251</v>
      </c>
      <c r="L2366" s="69" t="s">
        <v>80</v>
      </c>
      <c r="M2366" s="69" t="s">
        <v>286</v>
      </c>
      <c r="N2366" s="95"/>
      <c r="P2366" t="s">
        <v>95</v>
      </c>
      <c r="Q2366" t="s">
        <v>110</v>
      </c>
      <c r="R2366" s="92" t="s">
        <v>69</v>
      </c>
      <c r="S2366" s="92" t="s">
        <v>115</v>
      </c>
      <c r="V2366" s="95">
        <v>43251</v>
      </c>
      <c r="W2366" s="92">
        <v>17070154</v>
      </c>
      <c r="X2366" s="90"/>
      <c r="Y2366" s="123"/>
      <c r="Z2366" s="30">
        <f t="shared" si="72"/>
        <v>6763.7822038320437</v>
      </c>
      <c r="AA2366" s="30">
        <f t="shared" si="73"/>
        <v>2113.6819386975139</v>
      </c>
      <c r="AB2366" t="s">
        <v>457</v>
      </c>
    </row>
    <row r="2367" spans="1:28">
      <c r="A2367" t="s">
        <v>113</v>
      </c>
      <c r="C2367" s="92">
        <v>4615505903</v>
      </c>
      <c r="D2367" s="93">
        <v>19175</v>
      </c>
      <c r="F2367" s="91">
        <v>16</v>
      </c>
      <c r="G2367" s="91">
        <v>0</v>
      </c>
      <c r="H2367" s="91">
        <v>0</v>
      </c>
      <c r="I2367" s="91">
        <v>0</v>
      </c>
      <c r="J2367" s="41"/>
      <c r="K2367" s="41">
        <v>43251</v>
      </c>
      <c r="L2367" s="69" t="s">
        <v>80</v>
      </c>
      <c r="M2367" s="69" t="s">
        <v>286</v>
      </c>
      <c r="N2367" s="95"/>
      <c r="P2367" t="s">
        <v>95</v>
      </c>
      <c r="Q2367" t="s">
        <v>110</v>
      </c>
      <c r="R2367" s="92" t="s">
        <v>69</v>
      </c>
      <c r="S2367" s="92" t="s">
        <v>115</v>
      </c>
      <c r="V2367" s="95">
        <v>43251</v>
      </c>
      <c r="W2367" s="92" t="s">
        <v>353</v>
      </c>
      <c r="X2367" s="90"/>
      <c r="Y2367" s="123"/>
      <c r="Z2367" s="30">
        <f t="shared" si="72"/>
        <v>6763.7822038320437</v>
      </c>
      <c r="AA2367" s="30">
        <f t="shared" si="73"/>
        <v>0</v>
      </c>
      <c r="AB2367" t="s">
        <v>457</v>
      </c>
    </row>
    <row r="2368" spans="1:28">
      <c r="A2368" t="s">
        <v>113</v>
      </c>
      <c r="C2368" s="92">
        <v>4615505903</v>
      </c>
      <c r="D2368" s="93">
        <v>19175</v>
      </c>
      <c r="F2368" s="91">
        <v>16</v>
      </c>
      <c r="G2368" s="91">
        <v>0</v>
      </c>
      <c r="H2368" s="91">
        <v>0</v>
      </c>
      <c r="I2368" s="91">
        <v>0</v>
      </c>
      <c r="J2368" s="41"/>
      <c r="K2368" s="41">
        <v>43251</v>
      </c>
      <c r="L2368" s="69" t="s">
        <v>80</v>
      </c>
      <c r="M2368" s="69" t="s">
        <v>286</v>
      </c>
      <c r="N2368" s="95"/>
      <c r="P2368" t="s">
        <v>95</v>
      </c>
      <c r="Q2368" t="s">
        <v>110</v>
      </c>
      <c r="R2368" s="92" t="s">
        <v>69</v>
      </c>
      <c r="S2368" s="92" t="s">
        <v>115</v>
      </c>
      <c r="V2368" s="95">
        <v>43251</v>
      </c>
      <c r="W2368" s="92" t="s">
        <v>353</v>
      </c>
      <c r="X2368" s="90"/>
      <c r="Y2368" s="123"/>
      <c r="Z2368" s="30">
        <f t="shared" si="72"/>
        <v>6763.7822038320437</v>
      </c>
      <c r="AA2368" s="30">
        <f t="shared" si="73"/>
        <v>0</v>
      </c>
      <c r="AB2368" t="s">
        <v>457</v>
      </c>
    </row>
    <row r="2369" spans="1:28">
      <c r="A2369" t="s">
        <v>113</v>
      </c>
      <c r="C2369" s="92">
        <v>4615505903</v>
      </c>
      <c r="D2369" s="93">
        <v>19175</v>
      </c>
      <c r="F2369" s="91">
        <v>16</v>
      </c>
      <c r="G2369" s="91">
        <v>0</v>
      </c>
      <c r="H2369" s="91">
        <v>0</v>
      </c>
      <c r="I2369" s="91">
        <v>0</v>
      </c>
      <c r="J2369" s="41"/>
      <c r="K2369" s="41">
        <v>43251</v>
      </c>
      <c r="L2369" s="69" t="s">
        <v>80</v>
      </c>
      <c r="M2369" s="69" t="s">
        <v>286</v>
      </c>
      <c r="N2369" s="95"/>
      <c r="P2369" t="s">
        <v>95</v>
      </c>
      <c r="Q2369" t="s">
        <v>110</v>
      </c>
      <c r="R2369" s="92" t="s">
        <v>69</v>
      </c>
      <c r="S2369" s="92" t="s">
        <v>115</v>
      </c>
      <c r="V2369" s="95">
        <v>43251</v>
      </c>
      <c r="W2369" s="92" t="s">
        <v>353</v>
      </c>
      <c r="X2369" s="90"/>
      <c r="Y2369" s="123"/>
      <c r="Z2369" s="30">
        <f t="shared" si="72"/>
        <v>6763.7822038320437</v>
      </c>
      <c r="AA2369" s="30">
        <f t="shared" si="73"/>
        <v>0</v>
      </c>
      <c r="AB2369" t="s">
        <v>457</v>
      </c>
    </row>
    <row r="2370" spans="1:28">
      <c r="A2370" t="s">
        <v>113</v>
      </c>
      <c r="C2370" s="92">
        <v>4615505903</v>
      </c>
      <c r="D2370" s="93">
        <v>19175</v>
      </c>
      <c r="F2370" s="91">
        <v>16</v>
      </c>
      <c r="G2370" s="91">
        <v>0</v>
      </c>
      <c r="H2370" s="91">
        <v>0</v>
      </c>
      <c r="I2370" s="91">
        <v>0</v>
      </c>
      <c r="J2370" s="41"/>
      <c r="K2370" s="41">
        <v>43251</v>
      </c>
      <c r="L2370" s="69" t="s">
        <v>80</v>
      </c>
      <c r="M2370" s="69" t="s">
        <v>286</v>
      </c>
      <c r="N2370" s="95"/>
      <c r="P2370" t="s">
        <v>95</v>
      </c>
      <c r="Q2370" t="s">
        <v>110</v>
      </c>
      <c r="R2370" s="92" t="s">
        <v>69</v>
      </c>
      <c r="S2370" s="92" t="s">
        <v>115</v>
      </c>
      <c r="V2370" s="95">
        <v>43251</v>
      </c>
      <c r="W2370" s="92" t="s">
        <v>353</v>
      </c>
      <c r="X2370" s="90"/>
      <c r="Y2370" s="123"/>
      <c r="Z2370" s="30">
        <f t="shared" si="72"/>
        <v>6763.7822038320437</v>
      </c>
      <c r="AA2370" s="30">
        <f t="shared" si="73"/>
        <v>0</v>
      </c>
      <c r="AB2370" t="s">
        <v>457</v>
      </c>
    </row>
    <row r="2371" spans="1:28">
      <c r="A2371" t="s">
        <v>113</v>
      </c>
      <c r="C2371" s="92">
        <v>4615505903</v>
      </c>
      <c r="D2371" s="93">
        <v>19175</v>
      </c>
      <c r="F2371" s="91">
        <v>16</v>
      </c>
      <c r="G2371" s="91">
        <v>0</v>
      </c>
      <c r="H2371" s="91">
        <v>0</v>
      </c>
      <c r="I2371" s="91">
        <v>0</v>
      </c>
      <c r="J2371" s="41"/>
      <c r="K2371" s="41">
        <v>43251</v>
      </c>
      <c r="L2371" s="69" t="s">
        <v>80</v>
      </c>
      <c r="M2371" s="69" t="s">
        <v>286</v>
      </c>
      <c r="N2371" s="95"/>
      <c r="P2371" t="s">
        <v>95</v>
      </c>
      <c r="Q2371" t="s">
        <v>110</v>
      </c>
      <c r="R2371" s="92" t="s">
        <v>69</v>
      </c>
      <c r="S2371" s="92" t="s">
        <v>115</v>
      </c>
      <c r="V2371" s="95">
        <v>43251</v>
      </c>
      <c r="W2371" s="92" t="s">
        <v>353</v>
      </c>
      <c r="X2371" s="90"/>
      <c r="Y2371" s="123"/>
      <c r="Z2371" s="30">
        <f t="shared" ref="Z2371:Z2434" si="74">CONVERT(D2371,"kg","lbm")*F2371/100</f>
        <v>6763.7822038320437</v>
      </c>
      <c r="AA2371" s="30">
        <f t="shared" ref="AA2371:AA2434" si="75">CONVERT(D2371,"kg","lbm")*G2371/100</f>
        <v>0</v>
      </c>
      <c r="AB2371" t="s">
        <v>457</v>
      </c>
    </row>
    <row r="2372" spans="1:28">
      <c r="A2372" t="s">
        <v>113</v>
      </c>
      <c r="C2372" s="92">
        <v>4615505903</v>
      </c>
      <c r="D2372" s="93">
        <v>19175</v>
      </c>
      <c r="F2372" s="91">
        <v>16</v>
      </c>
      <c r="G2372" s="91">
        <v>0</v>
      </c>
      <c r="H2372" s="91">
        <v>0</v>
      </c>
      <c r="I2372" s="91">
        <v>0</v>
      </c>
      <c r="J2372" s="41"/>
      <c r="K2372" s="41">
        <v>43251</v>
      </c>
      <c r="L2372" s="69" t="s">
        <v>80</v>
      </c>
      <c r="M2372" s="69" t="s">
        <v>286</v>
      </c>
      <c r="N2372" s="95"/>
      <c r="P2372" t="s">
        <v>95</v>
      </c>
      <c r="Q2372" t="s">
        <v>110</v>
      </c>
      <c r="R2372" s="92" t="s">
        <v>69</v>
      </c>
      <c r="S2372" s="92" t="s">
        <v>115</v>
      </c>
      <c r="V2372" s="95">
        <v>43251</v>
      </c>
      <c r="W2372" s="92" t="s">
        <v>353</v>
      </c>
      <c r="X2372" s="90"/>
      <c r="Y2372" s="123"/>
      <c r="Z2372" s="30">
        <f t="shared" si="74"/>
        <v>6763.7822038320437</v>
      </c>
      <c r="AA2372" s="30">
        <f t="shared" si="75"/>
        <v>0</v>
      </c>
      <c r="AB2372" t="s">
        <v>457</v>
      </c>
    </row>
    <row r="2373" spans="1:28">
      <c r="A2373" t="s">
        <v>113</v>
      </c>
      <c r="C2373" s="92">
        <v>4615505903</v>
      </c>
      <c r="D2373" s="93">
        <v>19175</v>
      </c>
      <c r="F2373" s="91">
        <v>16</v>
      </c>
      <c r="G2373" s="91">
        <v>0</v>
      </c>
      <c r="H2373" s="91">
        <v>0</v>
      </c>
      <c r="I2373" s="91">
        <v>0</v>
      </c>
      <c r="J2373" s="41"/>
      <c r="K2373" s="41">
        <v>43251</v>
      </c>
      <c r="L2373" s="69" t="s">
        <v>80</v>
      </c>
      <c r="M2373" s="69" t="s">
        <v>286</v>
      </c>
      <c r="N2373" s="95"/>
      <c r="P2373" t="s">
        <v>95</v>
      </c>
      <c r="Q2373" t="s">
        <v>110</v>
      </c>
      <c r="R2373" s="92" t="s">
        <v>69</v>
      </c>
      <c r="S2373" s="92" t="s">
        <v>115</v>
      </c>
      <c r="V2373" s="95">
        <v>43251</v>
      </c>
      <c r="W2373" s="92" t="s">
        <v>353</v>
      </c>
      <c r="X2373" s="90"/>
      <c r="Y2373" s="123"/>
      <c r="Z2373" s="30">
        <f t="shared" si="74"/>
        <v>6763.7822038320437</v>
      </c>
      <c r="AA2373" s="30">
        <f t="shared" si="75"/>
        <v>0</v>
      </c>
      <c r="AB2373" t="s">
        <v>457</v>
      </c>
    </row>
    <row r="2374" spans="1:28">
      <c r="A2374" t="s">
        <v>113</v>
      </c>
      <c r="C2374" s="92">
        <v>4615505903</v>
      </c>
      <c r="D2374" s="93">
        <v>19175</v>
      </c>
      <c r="F2374" s="91">
        <v>16</v>
      </c>
      <c r="G2374" s="91">
        <v>0</v>
      </c>
      <c r="H2374" s="91">
        <v>0</v>
      </c>
      <c r="I2374" s="91">
        <v>0</v>
      </c>
      <c r="J2374" s="41"/>
      <c r="K2374" s="41">
        <v>43251</v>
      </c>
      <c r="L2374" s="69" t="s">
        <v>80</v>
      </c>
      <c r="M2374" s="69" t="s">
        <v>286</v>
      </c>
      <c r="N2374" s="95"/>
      <c r="P2374" t="s">
        <v>95</v>
      </c>
      <c r="Q2374" t="s">
        <v>110</v>
      </c>
      <c r="R2374" s="92" t="s">
        <v>69</v>
      </c>
      <c r="S2374" s="92" t="s">
        <v>115</v>
      </c>
      <c r="V2374" s="95">
        <v>43251</v>
      </c>
      <c r="W2374" s="92" t="s">
        <v>353</v>
      </c>
      <c r="X2374" s="90"/>
      <c r="Y2374" s="123"/>
      <c r="Z2374" s="30">
        <f t="shared" si="74"/>
        <v>6763.7822038320437</v>
      </c>
      <c r="AA2374" s="30">
        <f t="shared" si="75"/>
        <v>0</v>
      </c>
      <c r="AB2374" t="s">
        <v>457</v>
      </c>
    </row>
    <row r="2375" spans="1:28">
      <c r="A2375" t="s">
        <v>113</v>
      </c>
      <c r="C2375" s="92">
        <v>4615505903</v>
      </c>
      <c r="D2375" s="93">
        <v>19175</v>
      </c>
      <c r="F2375" s="91">
        <v>16</v>
      </c>
      <c r="G2375" s="91">
        <v>0</v>
      </c>
      <c r="H2375" s="91">
        <v>0</v>
      </c>
      <c r="I2375" s="91">
        <v>0</v>
      </c>
      <c r="J2375" s="41"/>
      <c r="K2375" s="41">
        <v>43251</v>
      </c>
      <c r="L2375" s="69" t="s">
        <v>80</v>
      </c>
      <c r="M2375" s="69" t="s">
        <v>286</v>
      </c>
      <c r="N2375" s="95"/>
      <c r="P2375" t="s">
        <v>95</v>
      </c>
      <c r="Q2375" t="s">
        <v>110</v>
      </c>
      <c r="R2375" s="92" t="s">
        <v>69</v>
      </c>
      <c r="S2375" s="92" t="s">
        <v>115</v>
      </c>
      <c r="V2375" s="95">
        <v>43251</v>
      </c>
      <c r="W2375" s="92" t="s">
        <v>353</v>
      </c>
      <c r="X2375" s="90"/>
      <c r="Y2375" s="123"/>
      <c r="Z2375" s="30">
        <f t="shared" si="74"/>
        <v>6763.7822038320437</v>
      </c>
      <c r="AA2375" s="30">
        <f t="shared" si="75"/>
        <v>0</v>
      </c>
      <c r="AB2375" t="s">
        <v>457</v>
      </c>
    </row>
    <row r="2376" spans="1:28">
      <c r="A2376" t="s">
        <v>113</v>
      </c>
      <c r="C2376" s="92">
        <v>4615505903</v>
      </c>
      <c r="D2376" s="93">
        <v>19175</v>
      </c>
      <c r="F2376" s="91">
        <v>16</v>
      </c>
      <c r="G2376" s="91">
        <v>0</v>
      </c>
      <c r="H2376" s="91">
        <v>0</v>
      </c>
      <c r="I2376" s="91">
        <v>0</v>
      </c>
      <c r="J2376" s="41"/>
      <c r="K2376" s="41">
        <v>43251</v>
      </c>
      <c r="L2376" s="69" t="s">
        <v>80</v>
      </c>
      <c r="M2376" s="69" t="s">
        <v>286</v>
      </c>
      <c r="N2376" s="95"/>
      <c r="P2376" t="s">
        <v>95</v>
      </c>
      <c r="Q2376" t="s">
        <v>110</v>
      </c>
      <c r="R2376" s="92" t="s">
        <v>69</v>
      </c>
      <c r="S2376" s="92" t="s">
        <v>115</v>
      </c>
      <c r="V2376" s="95">
        <v>43251</v>
      </c>
      <c r="W2376" s="92" t="s">
        <v>353</v>
      </c>
      <c r="X2376" s="90"/>
      <c r="Y2376" s="123"/>
      <c r="Z2376" s="30">
        <f t="shared" si="74"/>
        <v>6763.7822038320437</v>
      </c>
      <c r="AA2376" s="30">
        <f t="shared" si="75"/>
        <v>0</v>
      </c>
      <c r="AB2376" t="s">
        <v>457</v>
      </c>
    </row>
    <row r="2377" spans="1:28">
      <c r="A2377" t="s">
        <v>113</v>
      </c>
      <c r="C2377" s="92">
        <v>4615467589</v>
      </c>
      <c r="D2377" s="93">
        <v>19175</v>
      </c>
      <c r="F2377" s="106">
        <v>16</v>
      </c>
      <c r="G2377" s="96">
        <v>5</v>
      </c>
      <c r="H2377" s="94">
        <v>0</v>
      </c>
      <c r="I2377" s="91">
        <v>0</v>
      </c>
      <c r="J2377" s="41"/>
      <c r="K2377" s="41">
        <v>43251</v>
      </c>
      <c r="L2377" s="69" t="s">
        <v>80</v>
      </c>
      <c r="M2377" s="69" t="s">
        <v>286</v>
      </c>
      <c r="N2377" s="95"/>
      <c r="P2377" t="s">
        <v>95</v>
      </c>
      <c r="Q2377" t="s">
        <v>110</v>
      </c>
      <c r="R2377" s="92" t="s">
        <v>69</v>
      </c>
      <c r="S2377" s="92" t="s">
        <v>115</v>
      </c>
      <c r="V2377" s="95">
        <v>43251</v>
      </c>
      <c r="W2377" s="92" t="s">
        <v>354</v>
      </c>
      <c r="X2377" s="90"/>
      <c r="Y2377" s="123"/>
      <c r="Z2377" s="30">
        <f t="shared" si="74"/>
        <v>6763.7822038320437</v>
      </c>
      <c r="AA2377" s="30">
        <f t="shared" si="75"/>
        <v>2113.6819386975139</v>
      </c>
      <c r="AB2377" t="s">
        <v>457</v>
      </c>
    </row>
    <row r="2378" spans="1:28">
      <c r="A2378" t="s">
        <v>113</v>
      </c>
      <c r="C2378" s="92">
        <v>4615467589</v>
      </c>
      <c r="D2378" s="93">
        <v>19175</v>
      </c>
      <c r="F2378" s="106">
        <v>16</v>
      </c>
      <c r="G2378" s="96">
        <v>5</v>
      </c>
      <c r="H2378" s="94">
        <v>0</v>
      </c>
      <c r="I2378" s="91">
        <v>0</v>
      </c>
      <c r="J2378" s="41"/>
      <c r="K2378" s="41">
        <v>43251</v>
      </c>
      <c r="L2378" s="69" t="s">
        <v>80</v>
      </c>
      <c r="M2378" s="69" t="s">
        <v>286</v>
      </c>
      <c r="N2378" s="95"/>
      <c r="P2378" t="s">
        <v>95</v>
      </c>
      <c r="Q2378" t="s">
        <v>110</v>
      </c>
      <c r="R2378" s="92" t="s">
        <v>69</v>
      </c>
      <c r="S2378" s="92" t="s">
        <v>115</v>
      </c>
      <c r="V2378" s="95">
        <v>43251</v>
      </c>
      <c r="W2378" s="92" t="s">
        <v>354</v>
      </c>
      <c r="X2378" s="90"/>
      <c r="Y2378" s="123"/>
      <c r="Z2378" s="30">
        <f t="shared" si="74"/>
        <v>6763.7822038320437</v>
      </c>
      <c r="AA2378" s="30">
        <f t="shared" si="75"/>
        <v>2113.6819386975139</v>
      </c>
      <c r="AB2378" t="s">
        <v>457</v>
      </c>
    </row>
    <row r="2379" spans="1:28">
      <c r="A2379" t="s">
        <v>113</v>
      </c>
      <c r="C2379" s="92">
        <v>4615467589</v>
      </c>
      <c r="D2379" s="93">
        <v>19175</v>
      </c>
      <c r="F2379" s="106">
        <v>16</v>
      </c>
      <c r="G2379" s="96">
        <v>5</v>
      </c>
      <c r="H2379" s="94">
        <v>0</v>
      </c>
      <c r="I2379" s="91">
        <v>0</v>
      </c>
      <c r="J2379" s="41"/>
      <c r="K2379" s="41">
        <v>43251</v>
      </c>
      <c r="L2379" s="69" t="s">
        <v>80</v>
      </c>
      <c r="M2379" s="69" t="s">
        <v>286</v>
      </c>
      <c r="N2379" s="95"/>
      <c r="P2379" t="s">
        <v>95</v>
      </c>
      <c r="Q2379" t="s">
        <v>110</v>
      </c>
      <c r="R2379" s="92" t="s">
        <v>69</v>
      </c>
      <c r="S2379" s="92" t="s">
        <v>115</v>
      </c>
      <c r="V2379" s="95">
        <v>43251</v>
      </c>
      <c r="W2379" s="92" t="s">
        <v>354</v>
      </c>
      <c r="X2379" s="90"/>
      <c r="Y2379" s="123"/>
      <c r="Z2379" s="30">
        <f t="shared" si="74"/>
        <v>6763.7822038320437</v>
      </c>
      <c r="AA2379" s="30">
        <f t="shared" si="75"/>
        <v>2113.6819386975139</v>
      </c>
      <c r="AB2379" t="s">
        <v>457</v>
      </c>
    </row>
    <row r="2380" spans="1:28">
      <c r="A2380" t="s">
        <v>113</v>
      </c>
      <c r="C2380" s="92">
        <v>4615467589</v>
      </c>
      <c r="D2380" s="93">
        <v>19175</v>
      </c>
      <c r="F2380" s="106">
        <v>16</v>
      </c>
      <c r="G2380" s="96">
        <v>5</v>
      </c>
      <c r="H2380" s="94">
        <v>0</v>
      </c>
      <c r="I2380" s="91">
        <v>0</v>
      </c>
      <c r="J2380" s="41"/>
      <c r="K2380" s="41">
        <v>43251</v>
      </c>
      <c r="L2380" s="69" t="s">
        <v>80</v>
      </c>
      <c r="M2380" s="69" t="s">
        <v>286</v>
      </c>
      <c r="N2380" s="95"/>
      <c r="P2380" t="s">
        <v>95</v>
      </c>
      <c r="Q2380" t="s">
        <v>110</v>
      </c>
      <c r="R2380" s="92" t="s">
        <v>69</v>
      </c>
      <c r="S2380" s="92" t="s">
        <v>115</v>
      </c>
      <c r="V2380" s="95">
        <v>43251</v>
      </c>
      <c r="W2380" s="92" t="s">
        <v>354</v>
      </c>
      <c r="X2380" s="90"/>
      <c r="Y2380" s="123"/>
      <c r="Z2380" s="30">
        <f t="shared" si="74"/>
        <v>6763.7822038320437</v>
      </c>
      <c r="AA2380" s="30">
        <f t="shared" si="75"/>
        <v>2113.6819386975139</v>
      </c>
      <c r="AB2380" t="s">
        <v>457</v>
      </c>
    </row>
    <row r="2381" spans="1:28">
      <c r="A2381" t="s">
        <v>113</v>
      </c>
      <c r="C2381" s="92">
        <v>4615467589</v>
      </c>
      <c r="D2381" s="93">
        <v>19175</v>
      </c>
      <c r="F2381" s="106">
        <v>16</v>
      </c>
      <c r="G2381" s="96">
        <v>5</v>
      </c>
      <c r="H2381" s="94">
        <v>0</v>
      </c>
      <c r="I2381" s="91">
        <v>0</v>
      </c>
      <c r="J2381" s="41"/>
      <c r="K2381" s="41">
        <v>43251</v>
      </c>
      <c r="L2381" s="69" t="s">
        <v>80</v>
      </c>
      <c r="M2381" s="69" t="s">
        <v>286</v>
      </c>
      <c r="N2381" s="95"/>
      <c r="P2381" t="s">
        <v>95</v>
      </c>
      <c r="Q2381" t="s">
        <v>110</v>
      </c>
      <c r="R2381" s="92" t="s">
        <v>69</v>
      </c>
      <c r="S2381" s="92" t="s">
        <v>115</v>
      </c>
      <c r="V2381" s="95">
        <v>43251</v>
      </c>
      <c r="W2381" s="92" t="s">
        <v>354</v>
      </c>
      <c r="X2381" s="90"/>
      <c r="Y2381" s="123"/>
      <c r="Z2381" s="30">
        <f t="shared" si="74"/>
        <v>6763.7822038320437</v>
      </c>
      <c r="AA2381" s="30">
        <f t="shared" si="75"/>
        <v>2113.6819386975139</v>
      </c>
      <c r="AB2381" t="s">
        <v>457</v>
      </c>
    </row>
    <row r="2382" spans="1:28">
      <c r="A2382" t="s">
        <v>113</v>
      </c>
      <c r="C2382" s="92">
        <v>4615467589</v>
      </c>
      <c r="D2382" s="93">
        <v>19175</v>
      </c>
      <c r="F2382" s="106">
        <v>16</v>
      </c>
      <c r="G2382" s="96">
        <v>5</v>
      </c>
      <c r="H2382" s="94">
        <v>0</v>
      </c>
      <c r="I2382" s="91">
        <v>0</v>
      </c>
      <c r="J2382" s="41"/>
      <c r="K2382" s="41">
        <v>43251</v>
      </c>
      <c r="L2382" s="69" t="s">
        <v>80</v>
      </c>
      <c r="M2382" s="69" t="s">
        <v>286</v>
      </c>
      <c r="N2382" s="95"/>
      <c r="P2382" t="s">
        <v>95</v>
      </c>
      <c r="Q2382" t="s">
        <v>110</v>
      </c>
      <c r="R2382" s="92" t="s">
        <v>69</v>
      </c>
      <c r="S2382" s="92" t="s">
        <v>115</v>
      </c>
      <c r="V2382" s="95">
        <v>43251</v>
      </c>
      <c r="W2382" s="92" t="s">
        <v>354</v>
      </c>
      <c r="X2382" s="90"/>
      <c r="Y2382" s="123"/>
      <c r="Z2382" s="30">
        <f t="shared" si="74"/>
        <v>6763.7822038320437</v>
      </c>
      <c r="AA2382" s="30">
        <f t="shared" si="75"/>
        <v>2113.6819386975139</v>
      </c>
      <c r="AB2382" t="s">
        <v>457</v>
      </c>
    </row>
    <row r="2383" spans="1:28">
      <c r="A2383" t="s">
        <v>113</v>
      </c>
      <c r="C2383" s="92">
        <v>4615467589</v>
      </c>
      <c r="D2383" s="93">
        <v>19175</v>
      </c>
      <c r="F2383" s="106">
        <v>16</v>
      </c>
      <c r="G2383" s="96">
        <v>5</v>
      </c>
      <c r="H2383" s="94">
        <v>0</v>
      </c>
      <c r="I2383" s="91">
        <v>0</v>
      </c>
      <c r="J2383" s="41"/>
      <c r="K2383" s="41">
        <v>43251</v>
      </c>
      <c r="L2383" s="69" t="s">
        <v>80</v>
      </c>
      <c r="M2383" s="69" t="s">
        <v>286</v>
      </c>
      <c r="N2383" s="95"/>
      <c r="P2383" t="s">
        <v>95</v>
      </c>
      <c r="Q2383" t="s">
        <v>110</v>
      </c>
      <c r="R2383" s="92" t="s">
        <v>69</v>
      </c>
      <c r="S2383" s="92" t="s">
        <v>115</v>
      </c>
      <c r="V2383" s="95">
        <v>43251</v>
      </c>
      <c r="W2383" s="92" t="s">
        <v>354</v>
      </c>
      <c r="X2383" s="90"/>
      <c r="Y2383" s="123"/>
      <c r="Z2383" s="30">
        <f t="shared" si="74"/>
        <v>6763.7822038320437</v>
      </c>
      <c r="AA2383" s="30">
        <f t="shared" si="75"/>
        <v>2113.6819386975139</v>
      </c>
      <c r="AB2383" t="s">
        <v>457</v>
      </c>
    </row>
    <row r="2384" spans="1:28">
      <c r="A2384" t="s">
        <v>113</v>
      </c>
      <c r="C2384" s="92">
        <v>4615467589</v>
      </c>
      <c r="D2384" s="93">
        <v>19175</v>
      </c>
      <c r="F2384" s="106">
        <v>16</v>
      </c>
      <c r="G2384" s="96">
        <v>5</v>
      </c>
      <c r="H2384" s="94">
        <v>0</v>
      </c>
      <c r="I2384" s="91">
        <v>0</v>
      </c>
      <c r="J2384" s="41"/>
      <c r="K2384" s="41">
        <v>43251</v>
      </c>
      <c r="L2384" s="69" t="s">
        <v>80</v>
      </c>
      <c r="M2384" s="69" t="s">
        <v>286</v>
      </c>
      <c r="N2384" s="95"/>
      <c r="P2384" t="s">
        <v>95</v>
      </c>
      <c r="Q2384" t="s">
        <v>110</v>
      </c>
      <c r="R2384" s="92" t="s">
        <v>69</v>
      </c>
      <c r="S2384" s="92" t="s">
        <v>115</v>
      </c>
      <c r="V2384" s="95">
        <v>43251</v>
      </c>
      <c r="W2384" s="92" t="s">
        <v>354</v>
      </c>
      <c r="X2384" s="90"/>
      <c r="Y2384" s="123"/>
      <c r="Z2384" s="30">
        <f t="shared" si="74"/>
        <v>6763.7822038320437</v>
      </c>
      <c r="AA2384" s="30">
        <f t="shared" si="75"/>
        <v>2113.6819386975139</v>
      </c>
      <c r="AB2384" t="s">
        <v>457</v>
      </c>
    </row>
    <row r="2385" spans="1:28">
      <c r="A2385" t="s">
        <v>113</v>
      </c>
      <c r="C2385" s="92">
        <v>4615467589</v>
      </c>
      <c r="D2385" s="93">
        <v>19175</v>
      </c>
      <c r="F2385" s="106">
        <v>16</v>
      </c>
      <c r="G2385" s="96">
        <v>5</v>
      </c>
      <c r="H2385" s="94">
        <v>0</v>
      </c>
      <c r="I2385" s="91">
        <v>0</v>
      </c>
      <c r="J2385" s="41"/>
      <c r="K2385" s="41">
        <v>43251</v>
      </c>
      <c r="L2385" s="69" t="s">
        <v>80</v>
      </c>
      <c r="M2385" s="69" t="s">
        <v>286</v>
      </c>
      <c r="N2385" s="95"/>
      <c r="P2385" t="s">
        <v>95</v>
      </c>
      <c r="Q2385" t="s">
        <v>110</v>
      </c>
      <c r="R2385" s="92" t="s">
        <v>69</v>
      </c>
      <c r="S2385" s="92" t="s">
        <v>115</v>
      </c>
      <c r="V2385" s="95">
        <v>43251</v>
      </c>
      <c r="W2385" s="92" t="s">
        <v>354</v>
      </c>
      <c r="X2385" s="90"/>
      <c r="Y2385" s="123"/>
      <c r="Z2385" s="30">
        <f t="shared" si="74"/>
        <v>6763.7822038320437</v>
      </c>
      <c r="AA2385" s="30">
        <f t="shared" si="75"/>
        <v>2113.6819386975139</v>
      </c>
      <c r="AB2385" t="s">
        <v>457</v>
      </c>
    </row>
    <row r="2386" spans="1:28">
      <c r="A2386" t="s">
        <v>113</v>
      </c>
      <c r="C2386" s="92">
        <v>4615467589</v>
      </c>
      <c r="D2386" s="93">
        <v>19175</v>
      </c>
      <c r="F2386" s="106">
        <v>16</v>
      </c>
      <c r="G2386" s="96">
        <v>5</v>
      </c>
      <c r="H2386" s="94">
        <v>0</v>
      </c>
      <c r="I2386" s="91">
        <v>0</v>
      </c>
      <c r="J2386" s="41"/>
      <c r="K2386" s="41">
        <v>43251</v>
      </c>
      <c r="L2386" s="69" t="s">
        <v>80</v>
      </c>
      <c r="M2386" s="69" t="s">
        <v>286</v>
      </c>
      <c r="N2386" s="95"/>
      <c r="P2386" t="s">
        <v>95</v>
      </c>
      <c r="Q2386" t="s">
        <v>110</v>
      </c>
      <c r="R2386" s="92" t="s">
        <v>69</v>
      </c>
      <c r="S2386" s="92" t="s">
        <v>115</v>
      </c>
      <c r="V2386" s="95">
        <v>43251</v>
      </c>
      <c r="W2386" s="92" t="s">
        <v>354</v>
      </c>
      <c r="X2386" s="90"/>
      <c r="Y2386" s="123"/>
      <c r="Z2386" s="30">
        <f t="shared" si="74"/>
        <v>6763.7822038320437</v>
      </c>
      <c r="AA2386" s="30">
        <f t="shared" si="75"/>
        <v>2113.6819386975139</v>
      </c>
      <c r="AB2386" t="s">
        <v>457</v>
      </c>
    </row>
    <row r="2387" spans="1:28">
      <c r="A2387" t="s">
        <v>113</v>
      </c>
      <c r="C2387" s="92">
        <v>4615484220</v>
      </c>
      <c r="D2387" s="93">
        <v>19175</v>
      </c>
      <c r="F2387" s="91">
        <v>16</v>
      </c>
      <c r="G2387" s="91">
        <v>0</v>
      </c>
      <c r="H2387" s="91">
        <v>0</v>
      </c>
      <c r="I2387" s="91">
        <v>0</v>
      </c>
      <c r="J2387" s="41"/>
      <c r="K2387" s="41">
        <v>43251</v>
      </c>
      <c r="L2387" s="69" t="s">
        <v>80</v>
      </c>
      <c r="M2387" s="69" t="s">
        <v>286</v>
      </c>
      <c r="N2387" s="95"/>
      <c r="P2387" t="s">
        <v>95</v>
      </c>
      <c r="Q2387" t="s">
        <v>133</v>
      </c>
      <c r="R2387" s="92" t="s">
        <v>69</v>
      </c>
      <c r="S2387" s="92" t="s">
        <v>115</v>
      </c>
      <c r="V2387" s="95">
        <v>43251</v>
      </c>
      <c r="W2387" s="92">
        <v>2088620</v>
      </c>
      <c r="X2387" s="90"/>
      <c r="Y2387" s="123"/>
      <c r="Z2387" s="30">
        <f t="shared" si="74"/>
        <v>6763.7822038320437</v>
      </c>
      <c r="AA2387" s="30">
        <f t="shared" si="75"/>
        <v>0</v>
      </c>
      <c r="AB2387" t="s">
        <v>457</v>
      </c>
    </row>
    <row r="2388" spans="1:28">
      <c r="A2388" t="s">
        <v>113</v>
      </c>
      <c r="C2388" s="92">
        <v>4615484220</v>
      </c>
      <c r="D2388" s="93">
        <v>19175</v>
      </c>
      <c r="F2388" s="91">
        <v>16</v>
      </c>
      <c r="G2388" s="91">
        <v>0</v>
      </c>
      <c r="H2388" s="91">
        <v>0</v>
      </c>
      <c r="I2388" s="91">
        <v>0</v>
      </c>
      <c r="J2388" s="41"/>
      <c r="K2388" s="41">
        <v>43251</v>
      </c>
      <c r="L2388" s="69" t="s">
        <v>80</v>
      </c>
      <c r="M2388" s="69" t="s">
        <v>286</v>
      </c>
      <c r="N2388" s="95"/>
      <c r="P2388" t="s">
        <v>95</v>
      </c>
      <c r="Q2388" t="s">
        <v>133</v>
      </c>
      <c r="R2388" s="92" t="s">
        <v>69</v>
      </c>
      <c r="S2388" s="92" t="s">
        <v>115</v>
      </c>
      <c r="V2388" s="95">
        <v>43251</v>
      </c>
      <c r="W2388" s="92">
        <v>2088620</v>
      </c>
      <c r="X2388" s="90"/>
      <c r="Y2388" s="123"/>
      <c r="Z2388" s="30">
        <f t="shared" si="74"/>
        <v>6763.7822038320437</v>
      </c>
      <c r="AA2388" s="30">
        <f t="shared" si="75"/>
        <v>0</v>
      </c>
      <c r="AB2388" t="s">
        <v>457</v>
      </c>
    </row>
    <row r="2389" spans="1:28">
      <c r="A2389" t="s">
        <v>113</v>
      </c>
      <c r="C2389" s="92">
        <v>4615484220</v>
      </c>
      <c r="D2389" s="93">
        <v>19175</v>
      </c>
      <c r="F2389" s="91">
        <v>16</v>
      </c>
      <c r="G2389" s="91">
        <v>0</v>
      </c>
      <c r="H2389" s="91">
        <v>0</v>
      </c>
      <c r="I2389" s="91">
        <v>0</v>
      </c>
      <c r="J2389" s="41"/>
      <c r="K2389" s="41">
        <v>43251</v>
      </c>
      <c r="L2389" s="69" t="s">
        <v>80</v>
      </c>
      <c r="M2389" s="69" t="s">
        <v>286</v>
      </c>
      <c r="N2389" s="95"/>
      <c r="P2389" t="s">
        <v>95</v>
      </c>
      <c r="Q2389" t="s">
        <v>133</v>
      </c>
      <c r="R2389" s="92" t="s">
        <v>69</v>
      </c>
      <c r="S2389" s="92" t="s">
        <v>115</v>
      </c>
      <c r="V2389" s="95">
        <v>43251</v>
      </c>
      <c r="W2389" s="92">
        <v>2088620</v>
      </c>
      <c r="X2389" s="90"/>
      <c r="Y2389" s="123"/>
      <c r="Z2389" s="30">
        <f t="shared" si="74"/>
        <v>6763.7822038320437</v>
      </c>
      <c r="AA2389" s="30">
        <f t="shared" si="75"/>
        <v>0</v>
      </c>
      <c r="AB2389" t="s">
        <v>457</v>
      </c>
    </row>
    <row r="2390" spans="1:28">
      <c r="A2390" t="s">
        <v>113</v>
      </c>
      <c r="C2390" s="92">
        <v>4615484220</v>
      </c>
      <c r="D2390" s="93">
        <v>19175</v>
      </c>
      <c r="F2390" s="91">
        <v>16</v>
      </c>
      <c r="G2390" s="91">
        <v>0</v>
      </c>
      <c r="H2390" s="91">
        <v>0</v>
      </c>
      <c r="I2390" s="91">
        <v>0</v>
      </c>
      <c r="J2390" s="41"/>
      <c r="K2390" s="41">
        <v>43251</v>
      </c>
      <c r="L2390" s="69" t="s">
        <v>80</v>
      </c>
      <c r="M2390" s="69" t="s">
        <v>286</v>
      </c>
      <c r="N2390" s="95"/>
      <c r="P2390" t="s">
        <v>95</v>
      </c>
      <c r="Q2390" t="s">
        <v>133</v>
      </c>
      <c r="R2390" s="92" t="s">
        <v>69</v>
      </c>
      <c r="S2390" s="92" t="s">
        <v>115</v>
      </c>
      <c r="V2390" s="95">
        <v>43251</v>
      </c>
      <c r="W2390" s="92">
        <v>2088620</v>
      </c>
      <c r="X2390" s="90"/>
      <c r="Y2390" s="123"/>
      <c r="Z2390" s="30">
        <f t="shared" si="74"/>
        <v>6763.7822038320437</v>
      </c>
      <c r="AA2390" s="30">
        <f t="shared" si="75"/>
        <v>0</v>
      </c>
      <c r="AB2390" t="s">
        <v>457</v>
      </c>
    </row>
    <row r="2391" spans="1:28">
      <c r="A2391" t="s">
        <v>113</v>
      </c>
      <c r="C2391" s="92">
        <v>4615484220</v>
      </c>
      <c r="D2391" s="93">
        <v>19175</v>
      </c>
      <c r="F2391" s="91">
        <v>16</v>
      </c>
      <c r="G2391" s="91">
        <v>0</v>
      </c>
      <c r="H2391" s="91">
        <v>0</v>
      </c>
      <c r="I2391" s="91">
        <v>0</v>
      </c>
      <c r="J2391" s="41"/>
      <c r="K2391" s="41">
        <v>43251</v>
      </c>
      <c r="L2391" s="69" t="s">
        <v>80</v>
      </c>
      <c r="M2391" s="69" t="s">
        <v>286</v>
      </c>
      <c r="N2391" s="95"/>
      <c r="P2391" t="s">
        <v>95</v>
      </c>
      <c r="Q2391" t="s">
        <v>133</v>
      </c>
      <c r="R2391" s="92" t="s">
        <v>69</v>
      </c>
      <c r="S2391" s="92" t="s">
        <v>115</v>
      </c>
      <c r="V2391" s="95">
        <v>43251</v>
      </c>
      <c r="W2391" s="92">
        <v>2088620</v>
      </c>
      <c r="X2391" s="90"/>
      <c r="Y2391" s="123"/>
      <c r="Z2391" s="30">
        <f t="shared" si="74"/>
        <v>6763.7822038320437</v>
      </c>
      <c r="AA2391" s="30">
        <f t="shared" si="75"/>
        <v>0</v>
      </c>
      <c r="AB2391" t="s">
        <v>457</v>
      </c>
    </row>
    <row r="2392" spans="1:28">
      <c r="A2392" t="s">
        <v>113</v>
      </c>
      <c r="C2392" s="92">
        <v>4615484220</v>
      </c>
      <c r="D2392" s="93">
        <v>19175</v>
      </c>
      <c r="F2392" s="91">
        <v>16</v>
      </c>
      <c r="G2392" s="91">
        <v>0</v>
      </c>
      <c r="H2392" s="91">
        <v>0</v>
      </c>
      <c r="I2392" s="91">
        <v>0</v>
      </c>
      <c r="J2392" s="41"/>
      <c r="K2392" s="41">
        <v>43251</v>
      </c>
      <c r="L2392" s="69" t="s">
        <v>80</v>
      </c>
      <c r="M2392" s="69" t="s">
        <v>286</v>
      </c>
      <c r="N2392" s="95"/>
      <c r="P2392" t="s">
        <v>95</v>
      </c>
      <c r="Q2392" t="s">
        <v>133</v>
      </c>
      <c r="R2392" s="92" t="s">
        <v>69</v>
      </c>
      <c r="S2392" s="92" t="s">
        <v>115</v>
      </c>
      <c r="V2392" s="95">
        <v>43251</v>
      </c>
      <c r="W2392" s="92">
        <v>2088620</v>
      </c>
      <c r="X2392" s="90"/>
      <c r="Y2392" s="123"/>
      <c r="Z2392" s="30">
        <f t="shared" si="74"/>
        <v>6763.7822038320437</v>
      </c>
      <c r="AA2392" s="30">
        <f t="shared" si="75"/>
        <v>0</v>
      </c>
      <c r="AB2392" t="s">
        <v>457</v>
      </c>
    </row>
    <row r="2393" spans="1:28">
      <c r="A2393" t="s">
        <v>113</v>
      </c>
      <c r="C2393" s="92">
        <v>4615484220</v>
      </c>
      <c r="D2393" s="93">
        <v>19175</v>
      </c>
      <c r="F2393" s="91">
        <v>16</v>
      </c>
      <c r="G2393" s="91">
        <v>0</v>
      </c>
      <c r="H2393" s="91">
        <v>0</v>
      </c>
      <c r="I2393" s="91">
        <v>0</v>
      </c>
      <c r="J2393" s="41"/>
      <c r="K2393" s="41">
        <v>43251</v>
      </c>
      <c r="L2393" s="69" t="s">
        <v>80</v>
      </c>
      <c r="M2393" s="69" t="s">
        <v>286</v>
      </c>
      <c r="N2393" s="95"/>
      <c r="P2393" t="s">
        <v>95</v>
      </c>
      <c r="Q2393" t="s">
        <v>133</v>
      </c>
      <c r="R2393" s="92" t="s">
        <v>69</v>
      </c>
      <c r="S2393" s="92" t="s">
        <v>115</v>
      </c>
      <c r="V2393" s="95">
        <v>43251</v>
      </c>
      <c r="W2393" s="92">
        <v>2088620</v>
      </c>
      <c r="X2393" s="90"/>
      <c r="Y2393" s="123"/>
      <c r="Z2393" s="30">
        <f t="shared" si="74"/>
        <v>6763.7822038320437</v>
      </c>
      <c r="AA2393" s="30">
        <f t="shared" si="75"/>
        <v>0</v>
      </c>
      <c r="AB2393" t="s">
        <v>457</v>
      </c>
    </row>
    <row r="2394" spans="1:28">
      <c r="A2394" t="s">
        <v>113</v>
      </c>
      <c r="C2394" s="92">
        <v>4615484220</v>
      </c>
      <c r="D2394" s="93">
        <v>19175</v>
      </c>
      <c r="F2394" s="91">
        <v>16</v>
      </c>
      <c r="G2394" s="91">
        <v>0</v>
      </c>
      <c r="H2394" s="91">
        <v>0</v>
      </c>
      <c r="I2394" s="91">
        <v>0</v>
      </c>
      <c r="J2394" s="41"/>
      <c r="K2394" s="41">
        <v>43251</v>
      </c>
      <c r="L2394" s="69" t="s">
        <v>80</v>
      </c>
      <c r="M2394" s="69" t="s">
        <v>286</v>
      </c>
      <c r="N2394" s="95"/>
      <c r="P2394" t="s">
        <v>95</v>
      </c>
      <c r="Q2394" t="s">
        <v>133</v>
      </c>
      <c r="R2394" s="92" t="s">
        <v>69</v>
      </c>
      <c r="S2394" s="92" t="s">
        <v>115</v>
      </c>
      <c r="V2394" s="95">
        <v>43251</v>
      </c>
      <c r="W2394" s="92">
        <v>2088620</v>
      </c>
      <c r="X2394" s="90"/>
      <c r="Y2394" s="123"/>
      <c r="Z2394" s="30">
        <f t="shared" si="74"/>
        <v>6763.7822038320437</v>
      </c>
      <c r="AA2394" s="30">
        <f t="shared" si="75"/>
        <v>0</v>
      </c>
      <c r="AB2394" t="s">
        <v>457</v>
      </c>
    </row>
    <row r="2395" spans="1:28">
      <c r="A2395" t="s">
        <v>113</v>
      </c>
      <c r="C2395" s="92">
        <v>4615484220</v>
      </c>
      <c r="D2395" s="93">
        <v>19175</v>
      </c>
      <c r="F2395" s="91">
        <v>16</v>
      </c>
      <c r="G2395" s="91">
        <v>0</v>
      </c>
      <c r="H2395" s="91">
        <v>0</v>
      </c>
      <c r="I2395" s="91">
        <v>0</v>
      </c>
      <c r="J2395" s="41"/>
      <c r="K2395" s="41">
        <v>43251</v>
      </c>
      <c r="L2395" s="69" t="s">
        <v>80</v>
      </c>
      <c r="M2395" s="69" t="s">
        <v>286</v>
      </c>
      <c r="N2395" s="95"/>
      <c r="P2395" t="s">
        <v>95</v>
      </c>
      <c r="Q2395" t="s">
        <v>133</v>
      </c>
      <c r="R2395" s="92" t="s">
        <v>69</v>
      </c>
      <c r="S2395" s="92" t="s">
        <v>115</v>
      </c>
      <c r="V2395" s="95">
        <v>43251</v>
      </c>
      <c r="W2395" s="92">
        <v>2088620</v>
      </c>
      <c r="X2395" s="90"/>
      <c r="Y2395" s="123"/>
      <c r="Z2395" s="30">
        <f t="shared" si="74"/>
        <v>6763.7822038320437</v>
      </c>
      <c r="AA2395" s="30">
        <f t="shared" si="75"/>
        <v>0</v>
      </c>
      <c r="AB2395" t="s">
        <v>457</v>
      </c>
    </row>
    <row r="2396" spans="1:28">
      <c r="A2396" t="s">
        <v>113</v>
      </c>
      <c r="C2396" s="92">
        <v>4615484220</v>
      </c>
      <c r="D2396" s="93">
        <v>19175</v>
      </c>
      <c r="F2396" s="91">
        <v>16</v>
      </c>
      <c r="G2396" s="91">
        <v>0</v>
      </c>
      <c r="H2396" s="91">
        <v>0</v>
      </c>
      <c r="I2396" s="91">
        <v>0</v>
      </c>
      <c r="J2396" s="41"/>
      <c r="K2396" s="41">
        <v>43251</v>
      </c>
      <c r="L2396" s="69" t="s">
        <v>80</v>
      </c>
      <c r="M2396" s="69" t="s">
        <v>286</v>
      </c>
      <c r="N2396" s="95"/>
      <c r="P2396" t="s">
        <v>95</v>
      </c>
      <c r="Q2396" t="s">
        <v>133</v>
      </c>
      <c r="R2396" s="92" t="s">
        <v>69</v>
      </c>
      <c r="S2396" s="92" t="s">
        <v>115</v>
      </c>
      <c r="V2396" s="95">
        <v>43251</v>
      </c>
      <c r="W2396" s="92">
        <v>2088620</v>
      </c>
      <c r="X2396" s="90"/>
      <c r="Y2396" s="123"/>
      <c r="Z2396" s="30">
        <f t="shared" si="74"/>
        <v>6763.7822038320437</v>
      </c>
      <c r="AA2396" s="30">
        <f t="shared" si="75"/>
        <v>0</v>
      </c>
      <c r="AB2396" t="s">
        <v>457</v>
      </c>
    </row>
    <row r="2397" spans="1:28">
      <c r="A2397" t="s">
        <v>113</v>
      </c>
      <c r="C2397" s="92">
        <v>4615492167</v>
      </c>
      <c r="D2397" s="93">
        <v>19175</v>
      </c>
      <c r="F2397" s="94">
        <v>16</v>
      </c>
      <c r="G2397" s="96">
        <v>5</v>
      </c>
      <c r="H2397" s="91">
        <v>0</v>
      </c>
      <c r="I2397" s="91">
        <v>0</v>
      </c>
      <c r="J2397" s="41"/>
      <c r="K2397" s="41">
        <v>43251</v>
      </c>
      <c r="L2397" s="69" t="s">
        <v>80</v>
      </c>
      <c r="M2397" s="69" t="s">
        <v>286</v>
      </c>
      <c r="N2397" s="98"/>
      <c r="P2397" t="s">
        <v>95</v>
      </c>
      <c r="Q2397" t="s">
        <v>133</v>
      </c>
      <c r="R2397" s="92" t="s">
        <v>69</v>
      </c>
      <c r="S2397" s="92" t="s">
        <v>115</v>
      </c>
      <c r="V2397" s="95">
        <v>43251</v>
      </c>
      <c r="W2397" s="92" t="s">
        <v>355</v>
      </c>
      <c r="X2397" s="90"/>
      <c r="Y2397" s="123"/>
      <c r="Z2397" s="30">
        <f t="shared" si="74"/>
        <v>6763.7822038320437</v>
      </c>
      <c r="AA2397" s="30">
        <f t="shared" si="75"/>
        <v>2113.6819386975139</v>
      </c>
      <c r="AB2397" t="s">
        <v>457</v>
      </c>
    </row>
    <row r="2398" spans="1:28">
      <c r="A2398" t="s">
        <v>113</v>
      </c>
      <c r="C2398" s="92">
        <v>4615492167</v>
      </c>
      <c r="D2398" s="93">
        <v>19175</v>
      </c>
      <c r="F2398" s="94">
        <v>16</v>
      </c>
      <c r="G2398" s="96">
        <v>5</v>
      </c>
      <c r="H2398" s="91">
        <v>0</v>
      </c>
      <c r="I2398" s="91">
        <v>0</v>
      </c>
      <c r="J2398" s="41"/>
      <c r="K2398" s="41">
        <v>43251</v>
      </c>
      <c r="L2398" s="69" t="s">
        <v>80</v>
      </c>
      <c r="M2398" s="69" t="s">
        <v>286</v>
      </c>
      <c r="N2398" s="98"/>
      <c r="P2398" t="s">
        <v>95</v>
      </c>
      <c r="Q2398" t="s">
        <v>133</v>
      </c>
      <c r="R2398" s="92" t="s">
        <v>69</v>
      </c>
      <c r="S2398" s="92" t="s">
        <v>115</v>
      </c>
      <c r="V2398" s="95">
        <v>43251</v>
      </c>
      <c r="W2398" s="92" t="s">
        <v>355</v>
      </c>
      <c r="X2398" s="90"/>
      <c r="Y2398" s="123"/>
      <c r="Z2398" s="30">
        <f t="shared" si="74"/>
        <v>6763.7822038320437</v>
      </c>
      <c r="AA2398" s="30">
        <f t="shared" si="75"/>
        <v>2113.6819386975139</v>
      </c>
      <c r="AB2398" t="s">
        <v>457</v>
      </c>
    </row>
    <row r="2399" spans="1:28">
      <c r="A2399" t="s">
        <v>113</v>
      </c>
      <c r="C2399" s="92">
        <v>4615492167</v>
      </c>
      <c r="D2399" s="93">
        <v>19175</v>
      </c>
      <c r="F2399" s="94">
        <v>16</v>
      </c>
      <c r="G2399" s="96">
        <v>5</v>
      </c>
      <c r="H2399" s="91">
        <v>0</v>
      </c>
      <c r="I2399" s="91">
        <v>0</v>
      </c>
      <c r="J2399" s="41"/>
      <c r="K2399" s="41">
        <v>43251</v>
      </c>
      <c r="L2399" s="69" t="s">
        <v>80</v>
      </c>
      <c r="M2399" s="69" t="s">
        <v>286</v>
      </c>
      <c r="N2399" s="98"/>
      <c r="P2399" t="s">
        <v>95</v>
      </c>
      <c r="Q2399" t="s">
        <v>133</v>
      </c>
      <c r="R2399" s="92" t="s">
        <v>69</v>
      </c>
      <c r="S2399" s="92" t="s">
        <v>115</v>
      </c>
      <c r="V2399" s="95">
        <v>43251</v>
      </c>
      <c r="W2399" s="92" t="s">
        <v>355</v>
      </c>
      <c r="X2399" s="90"/>
      <c r="Y2399" s="123"/>
      <c r="Z2399" s="30">
        <f t="shared" si="74"/>
        <v>6763.7822038320437</v>
      </c>
      <c r="AA2399" s="30">
        <f t="shared" si="75"/>
        <v>2113.6819386975139</v>
      </c>
      <c r="AB2399" t="s">
        <v>457</v>
      </c>
    </row>
    <row r="2400" spans="1:28">
      <c r="A2400" t="s">
        <v>113</v>
      </c>
      <c r="C2400" s="92">
        <v>4615492167</v>
      </c>
      <c r="D2400" s="93">
        <v>19175</v>
      </c>
      <c r="F2400" s="94">
        <v>16</v>
      </c>
      <c r="G2400" s="96">
        <v>5</v>
      </c>
      <c r="H2400" s="91">
        <v>0</v>
      </c>
      <c r="I2400" s="91">
        <v>0</v>
      </c>
      <c r="J2400" s="41"/>
      <c r="K2400" s="41">
        <v>43251</v>
      </c>
      <c r="L2400" s="69" t="s">
        <v>80</v>
      </c>
      <c r="M2400" s="69" t="s">
        <v>286</v>
      </c>
      <c r="N2400" s="98"/>
      <c r="P2400" t="s">
        <v>95</v>
      </c>
      <c r="Q2400" t="s">
        <v>133</v>
      </c>
      <c r="R2400" s="92" t="s">
        <v>69</v>
      </c>
      <c r="S2400" s="92" t="s">
        <v>115</v>
      </c>
      <c r="V2400" s="95">
        <v>43251</v>
      </c>
      <c r="W2400" s="92" t="s">
        <v>355</v>
      </c>
      <c r="X2400" s="90"/>
      <c r="Y2400" s="123"/>
      <c r="Z2400" s="30">
        <f t="shared" si="74"/>
        <v>6763.7822038320437</v>
      </c>
      <c r="AA2400" s="30">
        <f t="shared" si="75"/>
        <v>2113.6819386975139</v>
      </c>
      <c r="AB2400" t="s">
        <v>457</v>
      </c>
    </row>
    <row r="2401" spans="1:28">
      <c r="A2401" t="s">
        <v>113</v>
      </c>
      <c r="C2401" s="92">
        <v>4615492167</v>
      </c>
      <c r="D2401" s="93">
        <v>19175</v>
      </c>
      <c r="F2401" s="94">
        <v>16</v>
      </c>
      <c r="G2401" s="96">
        <v>5</v>
      </c>
      <c r="H2401" s="91">
        <v>0</v>
      </c>
      <c r="I2401" s="91">
        <v>0</v>
      </c>
      <c r="J2401" s="41"/>
      <c r="K2401" s="41">
        <v>43251</v>
      </c>
      <c r="L2401" s="69" t="s">
        <v>80</v>
      </c>
      <c r="M2401" s="69" t="s">
        <v>286</v>
      </c>
      <c r="N2401" s="98"/>
      <c r="P2401" t="s">
        <v>95</v>
      </c>
      <c r="Q2401" t="s">
        <v>133</v>
      </c>
      <c r="R2401" s="92" t="s">
        <v>69</v>
      </c>
      <c r="S2401" s="92" t="s">
        <v>115</v>
      </c>
      <c r="V2401" s="95">
        <v>43251</v>
      </c>
      <c r="W2401" s="92" t="s">
        <v>355</v>
      </c>
      <c r="X2401" s="90"/>
      <c r="Y2401" s="123"/>
      <c r="Z2401" s="30">
        <f t="shared" si="74"/>
        <v>6763.7822038320437</v>
      </c>
      <c r="AA2401" s="30">
        <f t="shared" si="75"/>
        <v>2113.6819386975139</v>
      </c>
      <c r="AB2401" t="s">
        <v>457</v>
      </c>
    </row>
    <row r="2402" spans="1:28">
      <c r="A2402" t="s">
        <v>113</v>
      </c>
      <c r="C2402" s="92">
        <v>4615492167</v>
      </c>
      <c r="D2402" s="93">
        <v>19175</v>
      </c>
      <c r="F2402" s="94">
        <v>16</v>
      </c>
      <c r="G2402" s="96">
        <v>5</v>
      </c>
      <c r="H2402" s="91">
        <v>0</v>
      </c>
      <c r="I2402" s="91">
        <v>0</v>
      </c>
      <c r="J2402" s="41"/>
      <c r="K2402" s="41">
        <v>43251</v>
      </c>
      <c r="L2402" s="69" t="s">
        <v>80</v>
      </c>
      <c r="M2402" s="69" t="s">
        <v>286</v>
      </c>
      <c r="N2402" s="98"/>
      <c r="P2402" t="s">
        <v>95</v>
      </c>
      <c r="Q2402" t="s">
        <v>133</v>
      </c>
      <c r="R2402" s="92" t="s">
        <v>69</v>
      </c>
      <c r="S2402" s="92" t="s">
        <v>115</v>
      </c>
      <c r="V2402" s="95">
        <v>43251</v>
      </c>
      <c r="W2402" s="92" t="s">
        <v>355</v>
      </c>
      <c r="X2402" s="90"/>
      <c r="Y2402" s="123"/>
      <c r="Z2402" s="30">
        <f t="shared" si="74"/>
        <v>6763.7822038320437</v>
      </c>
      <c r="AA2402" s="30">
        <f t="shared" si="75"/>
        <v>2113.6819386975139</v>
      </c>
      <c r="AB2402" t="s">
        <v>457</v>
      </c>
    </row>
    <row r="2403" spans="1:28">
      <c r="A2403" t="s">
        <v>113</v>
      </c>
      <c r="C2403" s="92">
        <v>4615492167</v>
      </c>
      <c r="D2403" s="93">
        <v>19175</v>
      </c>
      <c r="F2403" s="94">
        <v>16</v>
      </c>
      <c r="G2403" s="96">
        <v>5</v>
      </c>
      <c r="H2403" s="91">
        <v>0</v>
      </c>
      <c r="I2403" s="91">
        <v>0</v>
      </c>
      <c r="J2403" s="41"/>
      <c r="K2403" s="41">
        <v>43251</v>
      </c>
      <c r="L2403" s="69" t="s">
        <v>80</v>
      </c>
      <c r="M2403" s="69" t="s">
        <v>286</v>
      </c>
      <c r="N2403" s="98"/>
      <c r="P2403" t="s">
        <v>95</v>
      </c>
      <c r="Q2403" t="s">
        <v>133</v>
      </c>
      <c r="R2403" s="92" t="s">
        <v>69</v>
      </c>
      <c r="S2403" s="92" t="s">
        <v>115</v>
      </c>
      <c r="V2403" s="95">
        <v>43251</v>
      </c>
      <c r="W2403" s="92" t="s">
        <v>355</v>
      </c>
      <c r="X2403" s="90"/>
      <c r="Y2403" s="123"/>
      <c r="Z2403" s="30">
        <f t="shared" si="74"/>
        <v>6763.7822038320437</v>
      </c>
      <c r="AA2403" s="30">
        <f t="shared" si="75"/>
        <v>2113.6819386975139</v>
      </c>
      <c r="AB2403" t="s">
        <v>457</v>
      </c>
    </row>
    <row r="2404" spans="1:28">
      <c r="A2404" t="s">
        <v>113</v>
      </c>
      <c r="C2404" s="92">
        <v>4615492167</v>
      </c>
      <c r="D2404" s="93">
        <v>19175</v>
      </c>
      <c r="F2404" s="94">
        <v>16</v>
      </c>
      <c r="G2404" s="96">
        <v>5</v>
      </c>
      <c r="H2404" s="91">
        <v>0</v>
      </c>
      <c r="I2404" s="91">
        <v>0</v>
      </c>
      <c r="J2404" s="41"/>
      <c r="K2404" s="41">
        <v>43251</v>
      </c>
      <c r="L2404" s="69" t="s">
        <v>80</v>
      </c>
      <c r="M2404" s="69" t="s">
        <v>286</v>
      </c>
      <c r="N2404" s="98"/>
      <c r="P2404" t="s">
        <v>95</v>
      </c>
      <c r="Q2404" t="s">
        <v>133</v>
      </c>
      <c r="R2404" s="92" t="s">
        <v>69</v>
      </c>
      <c r="S2404" s="92" t="s">
        <v>115</v>
      </c>
      <c r="V2404" s="95">
        <v>43251</v>
      </c>
      <c r="W2404" s="92" t="s">
        <v>355</v>
      </c>
      <c r="X2404" s="90"/>
      <c r="Y2404" s="123"/>
      <c r="Z2404" s="30">
        <f t="shared" si="74"/>
        <v>6763.7822038320437</v>
      </c>
      <c r="AA2404" s="30">
        <f t="shared" si="75"/>
        <v>2113.6819386975139</v>
      </c>
      <c r="AB2404" t="s">
        <v>457</v>
      </c>
    </row>
    <row r="2405" spans="1:28">
      <c r="A2405" t="s">
        <v>113</v>
      </c>
      <c r="C2405" s="92">
        <v>4615492167</v>
      </c>
      <c r="D2405" s="93">
        <v>19175</v>
      </c>
      <c r="F2405" s="94">
        <v>16</v>
      </c>
      <c r="G2405" s="96">
        <v>5</v>
      </c>
      <c r="H2405" s="91">
        <v>0</v>
      </c>
      <c r="I2405" s="91">
        <v>0</v>
      </c>
      <c r="J2405" s="41"/>
      <c r="K2405" s="41">
        <v>43251</v>
      </c>
      <c r="L2405" s="69" t="s">
        <v>80</v>
      </c>
      <c r="M2405" s="69" t="s">
        <v>286</v>
      </c>
      <c r="N2405" s="98"/>
      <c r="P2405" t="s">
        <v>95</v>
      </c>
      <c r="Q2405" t="s">
        <v>133</v>
      </c>
      <c r="R2405" s="92" t="s">
        <v>69</v>
      </c>
      <c r="S2405" s="92" t="s">
        <v>115</v>
      </c>
      <c r="V2405" s="95">
        <v>43251</v>
      </c>
      <c r="W2405" s="92" t="s">
        <v>355</v>
      </c>
      <c r="X2405" s="90"/>
      <c r="Y2405" s="123"/>
      <c r="Z2405" s="30">
        <f t="shared" si="74"/>
        <v>6763.7822038320437</v>
      </c>
      <c r="AA2405" s="30">
        <f t="shared" si="75"/>
        <v>2113.6819386975139</v>
      </c>
      <c r="AB2405" t="s">
        <v>457</v>
      </c>
    </row>
    <row r="2406" spans="1:28">
      <c r="A2406" t="s">
        <v>113</v>
      </c>
      <c r="C2406" s="92">
        <v>4615492167</v>
      </c>
      <c r="D2406" s="93">
        <v>19175</v>
      </c>
      <c r="F2406" s="94">
        <v>16</v>
      </c>
      <c r="G2406" s="96">
        <v>5</v>
      </c>
      <c r="H2406" s="91">
        <v>0</v>
      </c>
      <c r="I2406" s="91">
        <v>0</v>
      </c>
      <c r="J2406" s="41"/>
      <c r="K2406" s="41">
        <v>43251</v>
      </c>
      <c r="L2406" s="69" t="s">
        <v>80</v>
      </c>
      <c r="M2406" s="69" t="s">
        <v>286</v>
      </c>
      <c r="N2406" s="98"/>
      <c r="P2406" t="s">
        <v>95</v>
      </c>
      <c r="Q2406" t="s">
        <v>133</v>
      </c>
      <c r="R2406" s="92" t="s">
        <v>69</v>
      </c>
      <c r="S2406" s="92" t="s">
        <v>115</v>
      </c>
      <c r="V2406" s="95">
        <v>43251</v>
      </c>
      <c r="W2406" s="92" t="s">
        <v>355</v>
      </c>
      <c r="X2406" s="90"/>
      <c r="Y2406" s="123"/>
      <c r="Z2406" s="30">
        <f t="shared" si="74"/>
        <v>6763.7822038320437</v>
      </c>
      <c r="AA2406" s="30">
        <f t="shared" si="75"/>
        <v>2113.6819386975139</v>
      </c>
      <c r="AB2406" t="s">
        <v>457</v>
      </c>
    </row>
    <row r="2407" spans="1:28">
      <c r="A2407" t="s">
        <v>113</v>
      </c>
      <c r="C2407" s="92">
        <v>4615460353</v>
      </c>
      <c r="D2407" s="93">
        <v>19175</v>
      </c>
      <c r="F2407" s="94">
        <v>16</v>
      </c>
      <c r="G2407" s="94">
        <v>0</v>
      </c>
      <c r="H2407" s="91">
        <v>0</v>
      </c>
      <c r="I2407" s="91">
        <v>0</v>
      </c>
      <c r="J2407" s="41"/>
      <c r="K2407" s="41">
        <v>43251</v>
      </c>
      <c r="L2407" s="69" t="s">
        <v>80</v>
      </c>
      <c r="M2407" s="69" t="s">
        <v>286</v>
      </c>
      <c r="N2407" s="98"/>
      <c r="P2407" t="s">
        <v>95</v>
      </c>
      <c r="Q2407" t="s">
        <v>133</v>
      </c>
      <c r="R2407" s="92" t="s">
        <v>69</v>
      </c>
      <c r="S2407" s="92" t="s">
        <v>115</v>
      </c>
      <c r="V2407" s="95">
        <v>43251</v>
      </c>
      <c r="W2407" s="92" t="s">
        <v>356</v>
      </c>
      <c r="X2407" s="90"/>
      <c r="Y2407" s="123"/>
      <c r="Z2407" s="30">
        <f t="shared" si="74"/>
        <v>6763.7822038320437</v>
      </c>
      <c r="AA2407" s="30">
        <f t="shared" si="75"/>
        <v>0</v>
      </c>
      <c r="AB2407" t="s">
        <v>457</v>
      </c>
    </row>
    <row r="2408" spans="1:28">
      <c r="A2408" t="s">
        <v>113</v>
      </c>
      <c r="C2408" s="92">
        <v>4615460353</v>
      </c>
      <c r="D2408" s="93">
        <v>19175</v>
      </c>
      <c r="F2408" s="94">
        <v>16</v>
      </c>
      <c r="G2408" s="94">
        <v>0</v>
      </c>
      <c r="H2408" s="91">
        <v>0</v>
      </c>
      <c r="I2408" s="91">
        <v>0</v>
      </c>
      <c r="J2408" s="41"/>
      <c r="K2408" s="41">
        <v>43251</v>
      </c>
      <c r="L2408" s="69" t="s">
        <v>80</v>
      </c>
      <c r="M2408" s="69" t="s">
        <v>286</v>
      </c>
      <c r="N2408" s="98"/>
      <c r="P2408" t="s">
        <v>95</v>
      </c>
      <c r="Q2408" t="s">
        <v>133</v>
      </c>
      <c r="R2408" s="92" t="s">
        <v>69</v>
      </c>
      <c r="S2408" s="92" t="s">
        <v>115</v>
      </c>
      <c r="V2408" s="95">
        <v>43251</v>
      </c>
      <c r="W2408" s="92" t="s">
        <v>356</v>
      </c>
      <c r="X2408" s="90"/>
      <c r="Y2408" s="123"/>
      <c r="Z2408" s="30">
        <f t="shared" si="74"/>
        <v>6763.7822038320437</v>
      </c>
      <c r="AA2408" s="30">
        <f t="shared" si="75"/>
        <v>0</v>
      </c>
      <c r="AB2408" t="s">
        <v>457</v>
      </c>
    </row>
    <row r="2409" spans="1:28">
      <c r="A2409" t="s">
        <v>113</v>
      </c>
      <c r="C2409" s="92">
        <v>4615460353</v>
      </c>
      <c r="D2409" s="93">
        <v>19175</v>
      </c>
      <c r="F2409" s="94">
        <v>16</v>
      </c>
      <c r="G2409" s="94">
        <v>0</v>
      </c>
      <c r="H2409" s="91">
        <v>0</v>
      </c>
      <c r="I2409" s="91">
        <v>0</v>
      </c>
      <c r="J2409" s="41"/>
      <c r="K2409" s="41">
        <v>43251</v>
      </c>
      <c r="L2409" s="69" t="s">
        <v>80</v>
      </c>
      <c r="M2409" s="69" t="s">
        <v>286</v>
      </c>
      <c r="N2409" s="98"/>
      <c r="P2409" t="s">
        <v>95</v>
      </c>
      <c r="Q2409" t="s">
        <v>133</v>
      </c>
      <c r="R2409" s="92" t="s">
        <v>69</v>
      </c>
      <c r="S2409" s="92" t="s">
        <v>115</v>
      </c>
      <c r="V2409" s="95">
        <v>43251</v>
      </c>
      <c r="W2409" s="92" t="s">
        <v>356</v>
      </c>
      <c r="X2409" s="90"/>
      <c r="Y2409" s="123"/>
      <c r="Z2409" s="30">
        <f t="shared" si="74"/>
        <v>6763.7822038320437</v>
      </c>
      <c r="AA2409" s="30">
        <f t="shared" si="75"/>
        <v>0</v>
      </c>
      <c r="AB2409" t="s">
        <v>457</v>
      </c>
    </row>
    <row r="2410" spans="1:28">
      <c r="A2410" t="s">
        <v>113</v>
      </c>
      <c r="C2410" s="92">
        <v>4615460353</v>
      </c>
      <c r="D2410" s="93">
        <v>19175</v>
      </c>
      <c r="F2410" s="94">
        <v>16</v>
      </c>
      <c r="G2410" s="94">
        <v>0</v>
      </c>
      <c r="H2410" s="91">
        <v>0</v>
      </c>
      <c r="I2410" s="91">
        <v>0</v>
      </c>
      <c r="J2410" s="41"/>
      <c r="K2410" s="41">
        <v>43251</v>
      </c>
      <c r="L2410" s="69" t="s">
        <v>80</v>
      </c>
      <c r="M2410" s="69" t="s">
        <v>286</v>
      </c>
      <c r="N2410" s="98"/>
      <c r="P2410" t="s">
        <v>95</v>
      </c>
      <c r="Q2410" t="s">
        <v>133</v>
      </c>
      <c r="R2410" s="92" t="s">
        <v>69</v>
      </c>
      <c r="S2410" s="92" t="s">
        <v>115</v>
      </c>
      <c r="V2410" s="95">
        <v>43251</v>
      </c>
      <c r="W2410" s="92" t="s">
        <v>356</v>
      </c>
      <c r="X2410" s="90"/>
      <c r="Y2410" s="123"/>
      <c r="Z2410" s="30">
        <f t="shared" si="74"/>
        <v>6763.7822038320437</v>
      </c>
      <c r="AA2410" s="30">
        <f t="shared" si="75"/>
        <v>0</v>
      </c>
      <c r="AB2410" t="s">
        <v>457</v>
      </c>
    </row>
    <row r="2411" spans="1:28">
      <c r="A2411" t="s">
        <v>113</v>
      </c>
      <c r="C2411" s="92">
        <v>4615460353</v>
      </c>
      <c r="D2411" s="93">
        <v>19175</v>
      </c>
      <c r="F2411" s="94">
        <v>16</v>
      </c>
      <c r="G2411" s="94">
        <v>0</v>
      </c>
      <c r="H2411" s="91">
        <v>0</v>
      </c>
      <c r="I2411" s="91">
        <v>0</v>
      </c>
      <c r="J2411" s="41"/>
      <c r="K2411" s="41">
        <v>43251</v>
      </c>
      <c r="L2411" s="69" t="s">
        <v>80</v>
      </c>
      <c r="M2411" s="69" t="s">
        <v>286</v>
      </c>
      <c r="N2411" s="98"/>
      <c r="P2411" t="s">
        <v>95</v>
      </c>
      <c r="Q2411" t="s">
        <v>133</v>
      </c>
      <c r="R2411" s="92" t="s">
        <v>69</v>
      </c>
      <c r="S2411" s="92" t="s">
        <v>115</v>
      </c>
      <c r="V2411" s="95">
        <v>43251</v>
      </c>
      <c r="W2411" s="92" t="s">
        <v>356</v>
      </c>
      <c r="X2411" s="90"/>
      <c r="Y2411" s="123"/>
      <c r="Z2411" s="30">
        <f t="shared" si="74"/>
        <v>6763.7822038320437</v>
      </c>
      <c r="AA2411" s="30">
        <f t="shared" si="75"/>
        <v>0</v>
      </c>
      <c r="AB2411" t="s">
        <v>457</v>
      </c>
    </row>
    <row r="2412" spans="1:28">
      <c r="A2412" t="s">
        <v>113</v>
      </c>
      <c r="C2412" s="92">
        <v>4615460353</v>
      </c>
      <c r="D2412" s="93">
        <v>19175</v>
      </c>
      <c r="F2412" s="94">
        <v>16</v>
      </c>
      <c r="G2412" s="94">
        <v>0</v>
      </c>
      <c r="H2412" s="91">
        <v>0</v>
      </c>
      <c r="I2412" s="91">
        <v>0</v>
      </c>
      <c r="J2412" s="41"/>
      <c r="K2412" s="41">
        <v>43251</v>
      </c>
      <c r="L2412" s="69" t="s">
        <v>80</v>
      </c>
      <c r="M2412" s="69" t="s">
        <v>286</v>
      </c>
      <c r="N2412" s="98"/>
      <c r="P2412" t="s">
        <v>95</v>
      </c>
      <c r="Q2412" t="s">
        <v>133</v>
      </c>
      <c r="R2412" s="92" t="s">
        <v>69</v>
      </c>
      <c r="S2412" s="92" t="s">
        <v>115</v>
      </c>
      <c r="V2412" s="95">
        <v>43251</v>
      </c>
      <c r="W2412" s="92" t="s">
        <v>356</v>
      </c>
      <c r="X2412" s="90"/>
      <c r="Y2412" s="123"/>
      <c r="Z2412" s="30">
        <f t="shared" si="74"/>
        <v>6763.7822038320437</v>
      </c>
      <c r="AA2412" s="30">
        <f t="shared" si="75"/>
        <v>0</v>
      </c>
      <c r="AB2412" t="s">
        <v>457</v>
      </c>
    </row>
    <row r="2413" spans="1:28">
      <c r="A2413" t="s">
        <v>113</v>
      </c>
      <c r="C2413" s="92">
        <v>4615460353</v>
      </c>
      <c r="D2413" s="93">
        <v>19175</v>
      </c>
      <c r="F2413" s="94">
        <v>16</v>
      </c>
      <c r="G2413" s="94">
        <v>0</v>
      </c>
      <c r="H2413" s="91">
        <v>0</v>
      </c>
      <c r="I2413" s="91">
        <v>0</v>
      </c>
      <c r="J2413" s="41"/>
      <c r="K2413" s="41">
        <v>43251</v>
      </c>
      <c r="L2413" s="69" t="s">
        <v>80</v>
      </c>
      <c r="M2413" s="69" t="s">
        <v>286</v>
      </c>
      <c r="N2413" s="98"/>
      <c r="P2413" t="s">
        <v>95</v>
      </c>
      <c r="Q2413" t="s">
        <v>133</v>
      </c>
      <c r="R2413" s="92" t="s">
        <v>69</v>
      </c>
      <c r="S2413" s="92" t="s">
        <v>115</v>
      </c>
      <c r="V2413" s="95">
        <v>43251</v>
      </c>
      <c r="W2413" s="92" t="s">
        <v>356</v>
      </c>
      <c r="X2413" s="90"/>
      <c r="Y2413" s="123"/>
      <c r="Z2413" s="30">
        <f t="shared" si="74"/>
        <v>6763.7822038320437</v>
      </c>
      <c r="AA2413" s="30">
        <f t="shared" si="75"/>
        <v>0</v>
      </c>
      <c r="AB2413" t="s">
        <v>457</v>
      </c>
    </row>
    <row r="2414" spans="1:28">
      <c r="A2414" t="s">
        <v>113</v>
      </c>
      <c r="C2414" s="92">
        <v>4615460353</v>
      </c>
      <c r="D2414" s="93">
        <v>19175</v>
      </c>
      <c r="F2414" s="94">
        <v>16</v>
      </c>
      <c r="G2414" s="94">
        <v>0</v>
      </c>
      <c r="H2414" s="91">
        <v>0</v>
      </c>
      <c r="I2414" s="91">
        <v>0</v>
      </c>
      <c r="J2414" s="41"/>
      <c r="K2414" s="41">
        <v>43251</v>
      </c>
      <c r="L2414" s="69" t="s">
        <v>80</v>
      </c>
      <c r="M2414" s="69" t="s">
        <v>286</v>
      </c>
      <c r="N2414" s="98"/>
      <c r="P2414" t="s">
        <v>95</v>
      </c>
      <c r="Q2414" t="s">
        <v>133</v>
      </c>
      <c r="R2414" s="92" t="s">
        <v>69</v>
      </c>
      <c r="S2414" s="92" t="s">
        <v>115</v>
      </c>
      <c r="V2414" s="95">
        <v>43251</v>
      </c>
      <c r="W2414" s="92" t="s">
        <v>356</v>
      </c>
      <c r="X2414" s="90"/>
      <c r="Y2414" s="123"/>
      <c r="Z2414" s="30">
        <f t="shared" si="74"/>
        <v>6763.7822038320437</v>
      </c>
      <c r="AA2414" s="30">
        <f t="shared" si="75"/>
        <v>0</v>
      </c>
      <c r="AB2414" t="s">
        <v>457</v>
      </c>
    </row>
    <row r="2415" spans="1:28">
      <c r="A2415" t="s">
        <v>113</v>
      </c>
      <c r="C2415" s="92">
        <v>4615460353</v>
      </c>
      <c r="D2415" s="93">
        <v>19175</v>
      </c>
      <c r="F2415" s="94">
        <v>16</v>
      </c>
      <c r="G2415" s="94">
        <v>0</v>
      </c>
      <c r="H2415" s="91">
        <v>0</v>
      </c>
      <c r="I2415" s="91">
        <v>0</v>
      </c>
      <c r="J2415" s="41"/>
      <c r="K2415" s="41">
        <v>43251</v>
      </c>
      <c r="L2415" s="69" t="s">
        <v>80</v>
      </c>
      <c r="M2415" s="69" t="s">
        <v>286</v>
      </c>
      <c r="N2415" s="98"/>
      <c r="P2415" t="s">
        <v>95</v>
      </c>
      <c r="Q2415" t="s">
        <v>133</v>
      </c>
      <c r="R2415" s="92" t="s">
        <v>69</v>
      </c>
      <c r="S2415" s="92" t="s">
        <v>115</v>
      </c>
      <c r="V2415" s="95">
        <v>43251</v>
      </c>
      <c r="W2415" s="92" t="s">
        <v>356</v>
      </c>
      <c r="X2415" s="90"/>
      <c r="Y2415" s="123"/>
      <c r="Z2415" s="30">
        <f t="shared" si="74"/>
        <v>6763.7822038320437</v>
      </c>
      <c r="AA2415" s="30">
        <f t="shared" si="75"/>
        <v>0</v>
      </c>
      <c r="AB2415" t="s">
        <v>457</v>
      </c>
    </row>
    <row r="2416" spans="1:28">
      <c r="A2416" t="s">
        <v>113</v>
      </c>
      <c r="C2416" s="92">
        <v>4615460353</v>
      </c>
      <c r="D2416" s="93">
        <v>19175</v>
      </c>
      <c r="F2416" s="94">
        <v>16</v>
      </c>
      <c r="G2416" s="94">
        <v>0</v>
      </c>
      <c r="H2416" s="91">
        <v>0</v>
      </c>
      <c r="I2416" s="91">
        <v>0</v>
      </c>
      <c r="J2416" s="41"/>
      <c r="K2416" s="41">
        <v>43251</v>
      </c>
      <c r="L2416" s="69" t="s">
        <v>80</v>
      </c>
      <c r="M2416" s="69" t="s">
        <v>286</v>
      </c>
      <c r="N2416" s="98"/>
      <c r="P2416" t="s">
        <v>95</v>
      </c>
      <c r="Q2416" t="s">
        <v>133</v>
      </c>
      <c r="R2416" s="92" t="s">
        <v>69</v>
      </c>
      <c r="S2416" s="92" t="s">
        <v>115</v>
      </c>
      <c r="V2416" s="95">
        <v>43251</v>
      </c>
      <c r="W2416" s="92" t="s">
        <v>356</v>
      </c>
      <c r="X2416" s="90"/>
      <c r="Y2416" s="123"/>
      <c r="Z2416" s="30">
        <f t="shared" si="74"/>
        <v>6763.7822038320437</v>
      </c>
      <c r="AA2416" s="30">
        <f t="shared" si="75"/>
        <v>0</v>
      </c>
      <c r="AB2416" t="s">
        <v>457</v>
      </c>
    </row>
    <row r="2417" spans="1:28">
      <c r="A2417" t="s">
        <v>113</v>
      </c>
      <c r="C2417" s="92" t="s">
        <v>161</v>
      </c>
      <c r="D2417" s="93">
        <v>21600</v>
      </c>
      <c r="F2417" s="91">
        <v>16</v>
      </c>
      <c r="G2417" s="96">
        <v>5</v>
      </c>
      <c r="H2417" s="94">
        <v>0</v>
      </c>
      <c r="I2417" s="91">
        <v>0</v>
      </c>
      <c r="J2417" s="41"/>
      <c r="K2417" s="41">
        <v>43251</v>
      </c>
      <c r="L2417" s="69" t="s">
        <v>80</v>
      </c>
      <c r="M2417" s="69" t="s">
        <v>286</v>
      </c>
      <c r="N2417" s="95"/>
      <c r="P2417" t="s">
        <v>95</v>
      </c>
      <c r="Q2417" t="s">
        <v>133</v>
      </c>
      <c r="R2417" s="92" t="s">
        <v>69</v>
      </c>
      <c r="S2417" s="92" t="s">
        <v>115</v>
      </c>
      <c r="V2417" s="95">
        <v>43251</v>
      </c>
      <c r="W2417" s="92" t="s">
        <v>357</v>
      </c>
      <c r="X2417" s="90" t="s">
        <v>196</v>
      </c>
      <c r="Y2417" s="123"/>
      <c r="Z2417" s="30">
        <f t="shared" si="74"/>
        <v>7619.1757811093694</v>
      </c>
      <c r="AA2417" s="30">
        <f t="shared" si="75"/>
        <v>2380.9924315966778</v>
      </c>
      <c r="AB2417" t="s">
        <v>457</v>
      </c>
    </row>
    <row r="2418" spans="1:28">
      <c r="A2418" t="s">
        <v>113</v>
      </c>
      <c r="C2418" s="92" t="s">
        <v>161</v>
      </c>
      <c r="D2418" s="93">
        <v>21600</v>
      </c>
      <c r="F2418" s="91">
        <v>16</v>
      </c>
      <c r="G2418" s="96">
        <v>5</v>
      </c>
      <c r="H2418" s="94">
        <v>0</v>
      </c>
      <c r="I2418" s="91">
        <v>0</v>
      </c>
      <c r="J2418" s="41"/>
      <c r="K2418" s="41">
        <v>43251</v>
      </c>
      <c r="L2418" s="69" t="s">
        <v>80</v>
      </c>
      <c r="M2418" s="69" t="s">
        <v>286</v>
      </c>
      <c r="N2418" s="95"/>
      <c r="P2418" t="s">
        <v>95</v>
      </c>
      <c r="Q2418" t="s">
        <v>133</v>
      </c>
      <c r="R2418" s="92" t="s">
        <v>69</v>
      </c>
      <c r="S2418" s="92" t="s">
        <v>115</v>
      </c>
      <c r="V2418" s="95">
        <v>43251</v>
      </c>
      <c r="W2418" s="92" t="s">
        <v>357</v>
      </c>
      <c r="X2418" s="90" t="s">
        <v>196</v>
      </c>
      <c r="Y2418" s="123"/>
      <c r="Z2418" s="30">
        <f t="shared" si="74"/>
        <v>7619.1757811093694</v>
      </c>
      <c r="AA2418" s="30">
        <f t="shared" si="75"/>
        <v>2380.9924315966778</v>
      </c>
      <c r="AB2418" t="s">
        <v>457</v>
      </c>
    </row>
    <row r="2419" spans="1:28">
      <c r="A2419" t="s">
        <v>113</v>
      </c>
      <c r="C2419" s="92" t="s">
        <v>161</v>
      </c>
      <c r="D2419" s="93">
        <v>21600</v>
      </c>
      <c r="F2419" s="91">
        <v>16</v>
      </c>
      <c r="G2419" s="96">
        <v>5</v>
      </c>
      <c r="H2419" s="94">
        <v>0</v>
      </c>
      <c r="I2419" s="91">
        <v>0</v>
      </c>
      <c r="J2419" s="41"/>
      <c r="K2419" s="41">
        <v>43251</v>
      </c>
      <c r="L2419" s="69" t="s">
        <v>80</v>
      </c>
      <c r="M2419" s="69" t="s">
        <v>286</v>
      </c>
      <c r="N2419" s="95"/>
      <c r="P2419" t="s">
        <v>95</v>
      </c>
      <c r="Q2419" t="s">
        <v>133</v>
      </c>
      <c r="R2419" s="92" t="s">
        <v>69</v>
      </c>
      <c r="S2419" s="92" t="s">
        <v>115</v>
      </c>
      <c r="V2419" s="95">
        <v>43251</v>
      </c>
      <c r="W2419" s="92" t="s">
        <v>357</v>
      </c>
      <c r="X2419" s="90" t="s">
        <v>196</v>
      </c>
      <c r="Y2419" s="123"/>
      <c r="Z2419" s="30">
        <f t="shared" si="74"/>
        <v>7619.1757811093694</v>
      </c>
      <c r="AA2419" s="30">
        <f t="shared" si="75"/>
        <v>2380.9924315966778</v>
      </c>
      <c r="AB2419" t="s">
        <v>457</v>
      </c>
    </row>
    <row r="2420" spans="1:28">
      <c r="A2420" t="s">
        <v>113</v>
      </c>
      <c r="C2420" s="92" t="s">
        <v>161</v>
      </c>
      <c r="D2420" s="93">
        <v>21600</v>
      </c>
      <c r="F2420" s="91">
        <v>16</v>
      </c>
      <c r="G2420" s="96">
        <v>5</v>
      </c>
      <c r="H2420" s="94">
        <v>0</v>
      </c>
      <c r="I2420" s="91">
        <v>0</v>
      </c>
      <c r="J2420" s="41"/>
      <c r="K2420" s="41">
        <v>43251</v>
      </c>
      <c r="L2420" s="69" t="s">
        <v>80</v>
      </c>
      <c r="M2420" s="69" t="s">
        <v>286</v>
      </c>
      <c r="N2420" s="95"/>
      <c r="P2420" t="s">
        <v>95</v>
      </c>
      <c r="Q2420" t="s">
        <v>133</v>
      </c>
      <c r="R2420" s="92" t="s">
        <v>69</v>
      </c>
      <c r="S2420" s="92" t="s">
        <v>115</v>
      </c>
      <c r="V2420" s="95">
        <v>43251</v>
      </c>
      <c r="W2420" s="92" t="s">
        <v>357</v>
      </c>
      <c r="X2420" s="90" t="s">
        <v>196</v>
      </c>
      <c r="Y2420" s="123"/>
      <c r="Z2420" s="30">
        <f t="shared" si="74"/>
        <v>7619.1757811093694</v>
      </c>
      <c r="AA2420" s="30">
        <f t="shared" si="75"/>
        <v>2380.9924315966778</v>
      </c>
      <c r="AB2420" t="s">
        <v>457</v>
      </c>
    </row>
    <row r="2421" spans="1:28">
      <c r="A2421" t="s">
        <v>113</v>
      </c>
      <c r="C2421" s="92" t="s">
        <v>161</v>
      </c>
      <c r="D2421" s="93">
        <v>21600</v>
      </c>
      <c r="F2421" s="91">
        <v>16</v>
      </c>
      <c r="G2421" s="96">
        <v>5</v>
      </c>
      <c r="H2421" s="94">
        <v>0</v>
      </c>
      <c r="I2421" s="91">
        <v>0</v>
      </c>
      <c r="J2421" s="41"/>
      <c r="K2421" s="41">
        <v>43251</v>
      </c>
      <c r="L2421" s="69" t="s">
        <v>80</v>
      </c>
      <c r="M2421" s="69" t="s">
        <v>286</v>
      </c>
      <c r="N2421" s="95"/>
      <c r="P2421" t="s">
        <v>95</v>
      </c>
      <c r="Q2421" t="s">
        <v>133</v>
      </c>
      <c r="R2421" s="92" t="s">
        <v>69</v>
      </c>
      <c r="S2421" s="92" t="s">
        <v>115</v>
      </c>
      <c r="V2421" s="95">
        <v>43251</v>
      </c>
      <c r="W2421" s="92" t="s">
        <v>357</v>
      </c>
      <c r="X2421" s="90" t="s">
        <v>196</v>
      </c>
      <c r="Y2421" s="123"/>
      <c r="Z2421" s="30">
        <f t="shared" si="74"/>
        <v>7619.1757811093694</v>
      </c>
      <c r="AA2421" s="30">
        <f t="shared" si="75"/>
        <v>2380.9924315966778</v>
      </c>
      <c r="AB2421" t="s">
        <v>457</v>
      </c>
    </row>
    <row r="2422" spans="1:28">
      <c r="A2422" t="s">
        <v>113</v>
      </c>
      <c r="C2422" s="92" t="s">
        <v>161</v>
      </c>
      <c r="D2422" s="93">
        <v>21600</v>
      </c>
      <c r="F2422" s="91">
        <v>16</v>
      </c>
      <c r="G2422" s="96">
        <v>5</v>
      </c>
      <c r="H2422" s="94">
        <v>0</v>
      </c>
      <c r="I2422" s="91">
        <v>0</v>
      </c>
      <c r="J2422" s="41"/>
      <c r="K2422" s="41">
        <v>43251</v>
      </c>
      <c r="L2422" s="69" t="s">
        <v>80</v>
      </c>
      <c r="M2422" s="69" t="s">
        <v>286</v>
      </c>
      <c r="N2422" s="95"/>
      <c r="P2422" t="s">
        <v>95</v>
      </c>
      <c r="Q2422" t="s">
        <v>133</v>
      </c>
      <c r="R2422" s="92" t="s">
        <v>69</v>
      </c>
      <c r="S2422" s="92" t="s">
        <v>115</v>
      </c>
      <c r="V2422" s="95">
        <v>43251</v>
      </c>
      <c r="W2422" s="92" t="s">
        <v>357</v>
      </c>
      <c r="X2422" s="90" t="s">
        <v>196</v>
      </c>
      <c r="Y2422" s="123"/>
      <c r="Z2422" s="30">
        <f t="shared" si="74"/>
        <v>7619.1757811093694</v>
      </c>
      <c r="AA2422" s="30">
        <f t="shared" si="75"/>
        <v>2380.9924315966778</v>
      </c>
      <c r="AB2422" t="s">
        <v>457</v>
      </c>
    </row>
    <row r="2423" spans="1:28">
      <c r="A2423" t="s">
        <v>113</v>
      </c>
      <c r="C2423" s="92" t="s">
        <v>161</v>
      </c>
      <c r="D2423" s="93">
        <v>21600</v>
      </c>
      <c r="F2423" s="91">
        <v>16</v>
      </c>
      <c r="G2423" s="96">
        <v>5</v>
      </c>
      <c r="H2423" s="94">
        <v>0</v>
      </c>
      <c r="I2423" s="91">
        <v>0</v>
      </c>
      <c r="J2423" s="41"/>
      <c r="K2423" s="41">
        <v>43251</v>
      </c>
      <c r="L2423" s="69" t="s">
        <v>80</v>
      </c>
      <c r="M2423" s="69" t="s">
        <v>286</v>
      </c>
      <c r="N2423" s="95"/>
      <c r="P2423" t="s">
        <v>95</v>
      </c>
      <c r="Q2423" t="s">
        <v>133</v>
      </c>
      <c r="R2423" s="92" t="s">
        <v>69</v>
      </c>
      <c r="S2423" s="92" t="s">
        <v>115</v>
      </c>
      <c r="V2423" s="95">
        <v>43251</v>
      </c>
      <c r="W2423" s="92" t="s">
        <v>357</v>
      </c>
      <c r="X2423" s="90" t="s">
        <v>196</v>
      </c>
      <c r="Y2423" s="123"/>
      <c r="Z2423" s="30">
        <f t="shared" si="74"/>
        <v>7619.1757811093694</v>
      </c>
      <c r="AA2423" s="30">
        <f t="shared" si="75"/>
        <v>2380.9924315966778</v>
      </c>
      <c r="AB2423" t="s">
        <v>457</v>
      </c>
    </row>
    <row r="2424" spans="1:28">
      <c r="A2424" t="s">
        <v>113</v>
      </c>
      <c r="C2424" s="92" t="s">
        <v>161</v>
      </c>
      <c r="D2424" s="93">
        <v>21600</v>
      </c>
      <c r="F2424" s="91">
        <v>16</v>
      </c>
      <c r="G2424" s="96">
        <v>5</v>
      </c>
      <c r="H2424" s="94">
        <v>0</v>
      </c>
      <c r="I2424" s="91">
        <v>0</v>
      </c>
      <c r="J2424" s="41"/>
      <c r="K2424" s="41">
        <v>43251</v>
      </c>
      <c r="L2424" s="69" t="s">
        <v>80</v>
      </c>
      <c r="M2424" s="69" t="s">
        <v>286</v>
      </c>
      <c r="N2424" s="95"/>
      <c r="P2424" t="s">
        <v>95</v>
      </c>
      <c r="Q2424" t="s">
        <v>133</v>
      </c>
      <c r="R2424" s="92" t="s">
        <v>69</v>
      </c>
      <c r="S2424" s="92" t="s">
        <v>115</v>
      </c>
      <c r="V2424" s="95">
        <v>43251</v>
      </c>
      <c r="W2424" s="92" t="s">
        <v>357</v>
      </c>
      <c r="X2424" s="90" t="s">
        <v>196</v>
      </c>
      <c r="Y2424" s="123"/>
      <c r="Z2424" s="30">
        <f t="shared" si="74"/>
        <v>7619.1757811093694</v>
      </c>
      <c r="AA2424" s="30">
        <f t="shared" si="75"/>
        <v>2380.9924315966778</v>
      </c>
      <c r="AB2424" t="s">
        <v>457</v>
      </c>
    </row>
    <row r="2425" spans="1:28">
      <c r="A2425" t="s">
        <v>113</v>
      </c>
      <c r="C2425" s="92" t="s">
        <v>161</v>
      </c>
      <c r="D2425" s="93">
        <v>21600</v>
      </c>
      <c r="F2425" s="91">
        <v>16</v>
      </c>
      <c r="G2425" s="96">
        <v>5</v>
      </c>
      <c r="H2425" s="94">
        <v>0</v>
      </c>
      <c r="I2425" s="91">
        <v>0</v>
      </c>
      <c r="J2425" s="41"/>
      <c r="K2425" s="41">
        <v>43251</v>
      </c>
      <c r="L2425" s="69" t="s">
        <v>80</v>
      </c>
      <c r="M2425" s="69" t="s">
        <v>286</v>
      </c>
      <c r="N2425" s="95"/>
      <c r="P2425" t="s">
        <v>95</v>
      </c>
      <c r="Q2425" t="s">
        <v>133</v>
      </c>
      <c r="R2425" s="92" t="s">
        <v>69</v>
      </c>
      <c r="S2425" s="92" t="s">
        <v>115</v>
      </c>
      <c r="V2425" s="95">
        <v>43251</v>
      </c>
      <c r="W2425" s="92" t="s">
        <v>357</v>
      </c>
      <c r="X2425" s="90" t="s">
        <v>196</v>
      </c>
      <c r="Y2425" s="123"/>
      <c r="Z2425" s="30">
        <f t="shared" si="74"/>
        <v>7619.1757811093694</v>
      </c>
      <c r="AA2425" s="30">
        <f t="shared" si="75"/>
        <v>2380.9924315966778</v>
      </c>
      <c r="AB2425" t="s">
        <v>457</v>
      </c>
    </row>
    <row r="2426" spans="1:28">
      <c r="A2426" t="s">
        <v>113</v>
      </c>
      <c r="C2426" s="92" t="s">
        <v>161</v>
      </c>
      <c r="D2426" s="93">
        <v>21600</v>
      </c>
      <c r="F2426" s="91">
        <v>16</v>
      </c>
      <c r="G2426" s="96">
        <v>5</v>
      </c>
      <c r="H2426" s="94">
        <v>0</v>
      </c>
      <c r="I2426" s="91">
        <v>0</v>
      </c>
      <c r="J2426" s="41"/>
      <c r="K2426" s="41">
        <v>43251</v>
      </c>
      <c r="L2426" s="69" t="s">
        <v>80</v>
      </c>
      <c r="M2426" s="69" t="s">
        <v>286</v>
      </c>
      <c r="N2426" s="95"/>
      <c r="P2426" t="s">
        <v>95</v>
      </c>
      <c r="Q2426" t="s">
        <v>133</v>
      </c>
      <c r="R2426" s="92" t="s">
        <v>69</v>
      </c>
      <c r="S2426" s="92" t="s">
        <v>115</v>
      </c>
      <c r="V2426" s="95">
        <v>43251</v>
      </c>
      <c r="W2426" s="92" t="s">
        <v>357</v>
      </c>
      <c r="X2426" s="90" t="s">
        <v>196</v>
      </c>
      <c r="Y2426" s="123"/>
      <c r="Z2426" s="30">
        <f t="shared" si="74"/>
        <v>7619.1757811093694</v>
      </c>
      <c r="AA2426" s="30">
        <f t="shared" si="75"/>
        <v>2380.9924315966778</v>
      </c>
      <c r="AB2426" t="s">
        <v>457</v>
      </c>
    </row>
    <row r="2427" spans="1:28">
      <c r="A2427" t="s">
        <v>113</v>
      </c>
      <c r="C2427" s="92" t="s">
        <v>161</v>
      </c>
      <c r="D2427" s="93">
        <v>21600</v>
      </c>
      <c r="F2427" s="91">
        <v>16</v>
      </c>
      <c r="G2427" s="96">
        <v>5</v>
      </c>
      <c r="H2427" s="94">
        <v>0</v>
      </c>
      <c r="I2427" s="91">
        <v>0</v>
      </c>
      <c r="J2427" s="41"/>
      <c r="K2427" s="41">
        <v>43251</v>
      </c>
      <c r="L2427" s="69" t="s">
        <v>80</v>
      </c>
      <c r="M2427" s="69" t="s">
        <v>286</v>
      </c>
      <c r="N2427" s="95"/>
      <c r="P2427" t="s">
        <v>95</v>
      </c>
      <c r="Q2427" t="s">
        <v>133</v>
      </c>
      <c r="R2427" s="92" t="s">
        <v>69</v>
      </c>
      <c r="S2427" s="92" t="s">
        <v>115</v>
      </c>
      <c r="V2427" s="95">
        <v>43251</v>
      </c>
      <c r="W2427" s="92" t="s">
        <v>357</v>
      </c>
      <c r="X2427" s="90" t="s">
        <v>196</v>
      </c>
      <c r="Y2427" s="123"/>
      <c r="Z2427" s="30">
        <f t="shared" si="74"/>
        <v>7619.1757811093694</v>
      </c>
      <c r="AA2427" s="30">
        <f t="shared" si="75"/>
        <v>2380.9924315966778</v>
      </c>
      <c r="AB2427" t="s">
        <v>457</v>
      </c>
    </row>
    <row r="2428" spans="1:28">
      <c r="A2428" t="s">
        <v>113</v>
      </c>
      <c r="C2428" s="92" t="s">
        <v>161</v>
      </c>
      <c r="D2428" s="93">
        <v>21600</v>
      </c>
      <c r="F2428" s="91">
        <v>16</v>
      </c>
      <c r="G2428" s="96">
        <v>5</v>
      </c>
      <c r="H2428" s="94">
        <v>0</v>
      </c>
      <c r="I2428" s="91">
        <v>0</v>
      </c>
      <c r="J2428" s="41"/>
      <c r="K2428" s="41">
        <v>43251</v>
      </c>
      <c r="L2428" s="69" t="s">
        <v>80</v>
      </c>
      <c r="M2428" s="69" t="s">
        <v>286</v>
      </c>
      <c r="N2428" s="95"/>
      <c r="P2428" t="s">
        <v>95</v>
      </c>
      <c r="Q2428" t="s">
        <v>133</v>
      </c>
      <c r="R2428" s="92" t="s">
        <v>69</v>
      </c>
      <c r="S2428" s="92" t="s">
        <v>115</v>
      </c>
      <c r="V2428" s="95">
        <v>43251</v>
      </c>
      <c r="W2428" s="92" t="s">
        <v>357</v>
      </c>
      <c r="X2428" s="90" t="s">
        <v>196</v>
      </c>
      <c r="Y2428" s="123"/>
      <c r="Z2428" s="30">
        <f t="shared" si="74"/>
        <v>7619.1757811093694</v>
      </c>
      <c r="AA2428" s="30">
        <f t="shared" si="75"/>
        <v>2380.9924315966778</v>
      </c>
      <c r="AB2428" t="s">
        <v>457</v>
      </c>
    </row>
    <row r="2429" spans="1:28">
      <c r="A2429" t="s">
        <v>118</v>
      </c>
      <c r="C2429" s="92">
        <v>4615448231</v>
      </c>
      <c r="D2429" s="93">
        <v>19175</v>
      </c>
      <c r="F2429" s="91">
        <v>10</v>
      </c>
      <c r="G2429" s="91">
        <v>0</v>
      </c>
      <c r="H2429" s="94">
        <v>0</v>
      </c>
      <c r="I2429" s="91">
        <v>0</v>
      </c>
      <c r="J2429" s="41"/>
      <c r="K2429" s="41">
        <v>43281</v>
      </c>
      <c r="L2429" s="69" t="s">
        <v>80</v>
      </c>
      <c r="M2429" s="69" t="s">
        <v>286</v>
      </c>
      <c r="N2429" s="95"/>
      <c r="P2429" t="s">
        <v>95</v>
      </c>
      <c r="Q2429" t="s">
        <v>120</v>
      </c>
      <c r="R2429" s="92" t="s">
        <v>69</v>
      </c>
      <c r="S2429" s="92" t="s">
        <v>121</v>
      </c>
      <c r="V2429" s="95">
        <v>43281</v>
      </c>
      <c r="W2429" s="92">
        <v>2030532</v>
      </c>
      <c r="X2429" s="90"/>
      <c r="Y2429" s="123"/>
      <c r="Z2429" s="30">
        <f t="shared" si="74"/>
        <v>4227.3638773950279</v>
      </c>
      <c r="AA2429" s="30">
        <f t="shared" si="75"/>
        <v>0</v>
      </c>
      <c r="AB2429" t="s">
        <v>457</v>
      </c>
    </row>
    <row r="2430" spans="1:28">
      <c r="A2430" t="s">
        <v>118</v>
      </c>
      <c r="C2430" s="92">
        <v>4615448231</v>
      </c>
      <c r="D2430" s="93">
        <v>19175</v>
      </c>
      <c r="F2430" s="91">
        <v>10</v>
      </c>
      <c r="G2430" s="91">
        <v>0</v>
      </c>
      <c r="H2430" s="94">
        <v>0</v>
      </c>
      <c r="I2430" s="91">
        <v>0</v>
      </c>
      <c r="J2430" s="41"/>
      <c r="K2430" s="41">
        <v>43281</v>
      </c>
      <c r="L2430" s="69" t="s">
        <v>80</v>
      </c>
      <c r="M2430" s="69" t="s">
        <v>286</v>
      </c>
      <c r="N2430" s="95"/>
      <c r="P2430" t="s">
        <v>95</v>
      </c>
      <c r="Q2430" t="s">
        <v>120</v>
      </c>
      <c r="R2430" s="92" t="s">
        <v>69</v>
      </c>
      <c r="S2430" s="92" t="s">
        <v>121</v>
      </c>
      <c r="V2430" s="95">
        <v>43281</v>
      </c>
      <c r="W2430" s="92">
        <v>2030532</v>
      </c>
      <c r="X2430" s="90"/>
      <c r="Y2430" s="123"/>
      <c r="Z2430" s="30">
        <f t="shared" si="74"/>
        <v>4227.3638773950279</v>
      </c>
      <c r="AA2430" s="30">
        <f t="shared" si="75"/>
        <v>0</v>
      </c>
      <c r="AB2430" t="s">
        <v>457</v>
      </c>
    </row>
    <row r="2431" spans="1:28">
      <c r="A2431" t="s">
        <v>118</v>
      </c>
      <c r="C2431" s="92">
        <v>4615448231</v>
      </c>
      <c r="D2431" s="93">
        <v>19175</v>
      </c>
      <c r="F2431" s="91">
        <v>10</v>
      </c>
      <c r="G2431" s="91">
        <v>0</v>
      </c>
      <c r="H2431" s="94">
        <v>0</v>
      </c>
      <c r="I2431" s="91">
        <v>0</v>
      </c>
      <c r="J2431" s="41"/>
      <c r="K2431" s="41">
        <v>43281</v>
      </c>
      <c r="L2431" s="69" t="s">
        <v>80</v>
      </c>
      <c r="M2431" s="69" t="s">
        <v>286</v>
      </c>
      <c r="N2431" s="95"/>
      <c r="P2431" t="s">
        <v>95</v>
      </c>
      <c r="Q2431" t="s">
        <v>120</v>
      </c>
      <c r="R2431" s="92" t="s">
        <v>69</v>
      </c>
      <c r="S2431" s="92" t="s">
        <v>121</v>
      </c>
      <c r="V2431" s="95">
        <v>43281</v>
      </c>
      <c r="W2431" s="92">
        <v>2030532</v>
      </c>
      <c r="X2431" s="90"/>
      <c r="Y2431" s="123"/>
      <c r="Z2431" s="30">
        <f t="shared" si="74"/>
        <v>4227.3638773950279</v>
      </c>
      <c r="AA2431" s="30">
        <f t="shared" si="75"/>
        <v>0</v>
      </c>
      <c r="AB2431" t="s">
        <v>457</v>
      </c>
    </row>
    <row r="2432" spans="1:28">
      <c r="A2432" t="s">
        <v>118</v>
      </c>
      <c r="C2432" s="92">
        <v>4615448231</v>
      </c>
      <c r="D2432" s="93">
        <v>19175</v>
      </c>
      <c r="F2432" s="91">
        <v>10</v>
      </c>
      <c r="G2432" s="91">
        <v>0</v>
      </c>
      <c r="H2432" s="94">
        <v>0</v>
      </c>
      <c r="I2432" s="91">
        <v>0</v>
      </c>
      <c r="J2432" s="41"/>
      <c r="K2432" s="41">
        <v>43281</v>
      </c>
      <c r="L2432" s="69" t="s">
        <v>80</v>
      </c>
      <c r="M2432" s="69" t="s">
        <v>286</v>
      </c>
      <c r="N2432" s="95"/>
      <c r="P2432" t="s">
        <v>95</v>
      </c>
      <c r="Q2432" t="s">
        <v>120</v>
      </c>
      <c r="R2432" s="92" t="s">
        <v>69</v>
      </c>
      <c r="S2432" s="92" t="s">
        <v>121</v>
      </c>
      <c r="V2432" s="95">
        <v>43281</v>
      </c>
      <c r="W2432" s="92">
        <v>2030532</v>
      </c>
      <c r="X2432" s="90"/>
      <c r="Y2432" s="123"/>
      <c r="Z2432" s="30">
        <f t="shared" si="74"/>
        <v>4227.3638773950279</v>
      </c>
      <c r="AA2432" s="30">
        <f t="shared" si="75"/>
        <v>0</v>
      </c>
      <c r="AB2432" t="s">
        <v>457</v>
      </c>
    </row>
    <row r="2433" spans="1:28">
      <c r="A2433" t="s">
        <v>118</v>
      </c>
      <c r="C2433" s="92">
        <v>4615448231</v>
      </c>
      <c r="D2433" s="93">
        <v>19175</v>
      </c>
      <c r="F2433" s="91">
        <v>10</v>
      </c>
      <c r="G2433" s="91">
        <v>0</v>
      </c>
      <c r="H2433" s="94">
        <v>0</v>
      </c>
      <c r="I2433" s="91">
        <v>0</v>
      </c>
      <c r="J2433" s="41"/>
      <c r="K2433" s="41">
        <v>43281</v>
      </c>
      <c r="L2433" s="69" t="s">
        <v>80</v>
      </c>
      <c r="M2433" s="69" t="s">
        <v>286</v>
      </c>
      <c r="N2433" s="95"/>
      <c r="P2433" t="s">
        <v>95</v>
      </c>
      <c r="Q2433" t="s">
        <v>120</v>
      </c>
      <c r="R2433" s="92" t="s">
        <v>69</v>
      </c>
      <c r="S2433" s="92" t="s">
        <v>121</v>
      </c>
      <c r="V2433" s="95">
        <v>43281</v>
      </c>
      <c r="W2433" s="92">
        <v>2030532</v>
      </c>
      <c r="X2433" s="90"/>
      <c r="Y2433" s="123"/>
      <c r="Z2433" s="30">
        <f t="shared" si="74"/>
        <v>4227.3638773950279</v>
      </c>
      <c r="AA2433" s="30">
        <f t="shared" si="75"/>
        <v>0</v>
      </c>
      <c r="AB2433" t="s">
        <v>457</v>
      </c>
    </row>
    <row r="2434" spans="1:28">
      <c r="A2434" t="s">
        <v>118</v>
      </c>
      <c r="C2434" s="92">
        <v>4615448231</v>
      </c>
      <c r="D2434" s="93">
        <v>19175</v>
      </c>
      <c r="F2434" s="91">
        <v>10</v>
      </c>
      <c r="G2434" s="91">
        <v>0</v>
      </c>
      <c r="H2434" s="94">
        <v>0</v>
      </c>
      <c r="I2434" s="91">
        <v>0</v>
      </c>
      <c r="J2434" s="41"/>
      <c r="K2434" s="41">
        <v>43281</v>
      </c>
      <c r="L2434" s="69" t="s">
        <v>80</v>
      </c>
      <c r="M2434" s="69" t="s">
        <v>286</v>
      </c>
      <c r="N2434" s="95"/>
      <c r="P2434" t="s">
        <v>95</v>
      </c>
      <c r="Q2434" t="s">
        <v>120</v>
      </c>
      <c r="R2434" s="92" t="s">
        <v>69</v>
      </c>
      <c r="S2434" s="92" t="s">
        <v>121</v>
      </c>
      <c r="V2434" s="95">
        <v>43281</v>
      </c>
      <c r="W2434" s="92">
        <v>2030532</v>
      </c>
      <c r="X2434" s="90"/>
      <c r="Y2434" s="123"/>
      <c r="Z2434" s="30">
        <f t="shared" si="74"/>
        <v>4227.3638773950279</v>
      </c>
      <c r="AA2434" s="30">
        <f t="shared" si="75"/>
        <v>0</v>
      </c>
      <c r="AB2434" t="s">
        <v>457</v>
      </c>
    </row>
    <row r="2435" spans="1:28">
      <c r="A2435" t="s">
        <v>118</v>
      </c>
      <c r="C2435" s="92">
        <v>4615448231</v>
      </c>
      <c r="D2435" s="93">
        <v>19175</v>
      </c>
      <c r="F2435" s="91">
        <v>10</v>
      </c>
      <c r="G2435" s="91">
        <v>0</v>
      </c>
      <c r="H2435" s="94">
        <v>0</v>
      </c>
      <c r="I2435" s="91">
        <v>0</v>
      </c>
      <c r="J2435" s="41"/>
      <c r="K2435" s="41">
        <v>43281</v>
      </c>
      <c r="L2435" s="69" t="s">
        <v>80</v>
      </c>
      <c r="M2435" s="69" t="s">
        <v>286</v>
      </c>
      <c r="N2435" s="95"/>
      <c r="P2435" t="s">
        <v>95</v>
      </c>
      <c r="Q2435" t="s">
        <v>120</v>
      </c>
      <c r="R2435" s="92" t="s">
        <v>69</v>
      </c>
      <c r="S2435" s="92" t="s">
        <v>121</v>
      </c>
      <c r="V2435" s="95">
        <v>43281</v>
      </c>
      <c r="W2435" s="92">
        <v>2030532</v>
      </c>
      <c r="X2435" s="90"/>
      <c r="Y2435" s="123"/>
      <c r="Z2435" s="30">
        <f t="shared" ref="Z2435:Z2498" si="76">CONVERT(D2435,"kg","lbm")*F2435/100</f>
        <v>4227.3638773950279</v>
      </c>
      <c r="AA2435" s="30">
        <f t="shared" ref="AA2435:AA2498" si="77">CONVERT(D2435,"kg","lbm")*G2435/100</f>
        <v>0</v>
      </c>
      <c r="AB2435" t="s">
        <v>457</v>
      </c>
    </row>
    <row r="2436" spans="1:28">
      <c r="A2436" t="s">
        <v>118</v>
      </c>
      <c r="C2436" s="92">
        <v>4615448231</v>
      </c>
      <c r="D2436" s="93">
        <v>19175</v>
      </c>
      <c r="F2436" s="91">
        <v>10</v>
      </c>
      <c r="G2436" s="91">
        <v>0</v>
      </c>
      <c r="H2436" s="94">
        <v>0</v>
      </c>
      <c r="I2436" s="91">
        <v>0</v>
      </c>
      <c r="J2436" s="41"/>
      <c r="K2436" s="41">
        <v>43281</v>
      </c>
      <c r="L2436" s="69" t="s">
        <v>80</v>
      </c>
      <c r="M2436" s="69" t="s">
        <v>286</v>
      </c>
      <c r="N2436" s="95"/>
      <c r="P2436" t="s">
        <v>95</v>
      </c>
      <c r="Q2436" t="s">
        <v>120</v>
      </c>
      <c r="R2436" s="92" t="s">
        <v>69</v>
      </c>
      <c r="S2436" s="92" t="s">
        <v>121</v>
      </c>
      <c r="V2436" s="95">
        <v>43281</v>
      </c>
      <c r="W2436" s="92">
        <v>2030532</v>
      </c>
      <c r="X2436" s="90"/>
      <c r="Y2436" s="123"/>
      <c r="Z2436" s="30">
        <f t="shared" si="76"/>
        <v>4227.3638773950279</v>
      </c>
      <c r="AA2436" s="30">
        <f t="shared" si="77"/>
        <v>0</v>
      </c>
      <c r="AB2436" t="s">
        <v>457</v>
      </c>
    </row>
    <row r="2437" spans="1:28">
      <c r="A2437" t="s">
        <v>118</v>
      </c>
      <c r="C2437" s="92">
        <v>4615448231</v>
      </c>
      <c r="D2437" s="93">
        <v>19175</v>
      </c>
      <c r="F2437" s="91">
        <v>10</v>
      </c>
      <c r="G2437" s="91">
        <v>0</v>
      </c>
      <c r="H2437" s="94">
        <v>0</v>
      </c>
      <c r="I2437" s="91">
        <v>0</v>
      </c>
      <c r="J2437" s="41"/>
      <c r="K2437" s="41">
        <v>43281</v>
      </c>
      <c r="L2437" s="69" t="s">
        <v>80</v>
      </c>
      <c r="M2437" s="69" t="s">
        <v>286</v>
      </c>
      <c r="N2437" s="95"/>
      <c r="P2437" t="s">
        <v>95</v>
      </c>
      <c r="Q2437" t="s">
        <v>120</v>
      </c>
      <c r="R2437" s="92" t="s">
        <v>69</v>
      </c>
      <c r="S2437" s="92" t="s">
        <v>121</v>
      </c>
      <c r="V2437" s="95">
        <v>43281</v>
      </c>
      <c r="W2437" s="92">
        <v>2030532</v>
      </c>
      <c r="X2437" s="90"/>
      <c r="Y2437" s="123"/>
      <c r="Z2437" s="30">
        <f t="shared" si="76"/>
        <v>4227.3638773950279</v>
      </c>
      <c r="AA2437" s="30">
        <f t="shared" si="77"/>
        <v>0</v>
      </c>
      <c r="AB2437" t="s">
        <v>457</v>
      </c>
    </row>
    <row r="2438" spans="1:28">
      <c r="A2438" t="s">
        <v>118</v>
      </c>
      <c r="C2438" s="92">
        <v>4615448231</v>
      </c>
      <c r="D2438" s="93">
        <v>19175</v>
      </c>
      <c r="F2438" s="91">
        <v>10</v>
      </c>
      <c r="G2438" s="91">
        <v>0</v>
      </c>
      <c r="H2438" s="94">
        <v>0</v>
      </c>
      <c r="I2438" s="91">
        <v>0</v>
      </c>
      <c r="J2438" s="41"/>
      <c r="K2438" s="41">
        <v>43281</v>
      </c>
      <c r="L2438" s="69" t="s">
        <v>80</v>
      </c>
      <c r="M2438" s="69" t="s">
        <v>286</v>
      </c>
      <c r="N2438" s="95"/>
      <c r="P2438" t="s">
        <v>95</v>
      </c>
      <c r="Q2438" t="s">
        <v>120</v>
      </c>
      <c r="R2438" s="92" t="s">
        <v>69</v>
      </c>
      <c r="S2438" s="92" t="s">
        <v>121</v>
      </c>
      <c r="V2438" s="95">
        <v>43281</v>
      </c>
      <c r="W2438" s="92">
        <v>2030532</v>
      </c>
      <c r="X2438" s="90"/>
      <c r="Y2438" s="123"/>
      <c r="Z2438" s="30">
        <f t="shared" si="76"/>
        <v>4227.3638773950279</v>
      </c>
      <c r="AA2438" s="30">
        <f t="shared" si="77"/>
        <v>0</v>
      </c>
      <c r="AB2438" t="s">
        <v>457</v>
      </c>
    </row>
    <row r="2439" spans="1:28">
      <c r="A2439" t="s">
        <v>118</v>
      </c>
      <c r="C2439" s="92">
        <v>4615448231</v>
      </c>
      <c r="D2439" s="93">
        <v>19175</v>
      </c>
      <c r="F2439" s="91">
        <v>10</v>
      </c>
      <c r="G2439" s="91">
        <v>0</v>
      </c>
      <c r="H2439" s="94">
        <v>0</v>
      </c>
      <c r="I2439" s="91">
        <v>0</v>
      </c>
      <c r="J2439" s="41"/>
      <c r="K2439" s="41">
        <v>43281</v>
      </c>
      <c r="L2439" s="69" t="s">
        <v>80</v>
      </c>
      <c r="M2439" s="69" t="s">
        <v>286</v>
      </c>
      <c r="N2439" s="95"/>
      <c r="P2439" t="s">
        <v>95</v>
      </c>
      <c r="Q2439" t="s">
        <v>120</v>
      </c>
      <c r="R2439" s="92" t="s">
        <v>69</v>
      </c>
      <c r="S2439" s="92" t="s">
        <v>121</v>
      </c>
      <c r="V2439" s="95">
        <v>43281</v>
      </c>
      <c r="W2439" s="92">
        <v>2030532</v>
      </c>
      <c r="X2439" s="90"/>
      <c r="Y2439" s="123"/>
      <c r="Z2439" s="30">
        <f t="shared" si="76"/>
        <v>4227.3638773950279</v>
      </c>
      <c r="AA2439" s="30">
        <f t="shared" si="77"/>
        <v>0</v>
      </c>
      <c r="AB2439" t="s">
        <v>457</v>
      </c>
    </row>
    <row r="2440" spans="1:28">
      <c r="A2440" t="s">
        <v>118</v>
      </c>
      <c r="C2440" s="92">
        <v>4615448231</v>
      </c>
      <c r="D2440" s="93">
        <v>19175</v>
      </c>
      <c r="F2440" s="91">
        <v>10</v>
      </c>
      <c r="G2440" s="91">
        <v>0</v>
      </c>
      <c r="H2440" s="94">
        <v>0</v>
      </c>
      <c r="I2440" s="91">
        <v>0</v>
      </c>
      <c r="J2440" s="41"/>
      <c r="K2440" s="41">
        <v>43281</v>
      </c>
      <c r="L2440" s="69" t="s">
        <v>80</v>
      </c>
      <c r="M2440" s="69" t="s">
        <v>286</v>
      </c>
      <c r="N2440" s="95"/>
      <c r="P2440" t="s">
        <v>95</v>
      </c>
      <c r="Q2440" t="s">
        <v>120</v>
      </c>
      <c r="R2440" s="92" t="s">
        <v>69</v>
      </c>
      <c r="S2440" s="92" t="s">
        <v>121</v>
      </c>
      <c r="V2440" s="95">
        <v>43281</v>
      </c>
      <c r="W2440" s="92">
        <v>2030532</v>
      </c>
      <c r="X2440" s="90"/>
      <c r="Y2440" s="123"/>
      <c r="Z2440" s="30">
        <f t="shared" si="76"/>
        <v>4227.3638773950279</v>
      </c>
      <c r="AA2440" s="30">
        <f t="shared" si="77"/>
        <v>0</v>
      </c>
      <c r="AB2440" t="s">
        <v>457</v>
      </c>
    </row>
    <row r="2441" spans="1:28">
      <c r="A2441" t="s">
        <v>136</v>
      </c>
      <c r="C2441" s="92">
        <v>4615502560</v>
      </c>
      <c r="D2441" s="93">
        <v>19175</v>
      </c>
      <c r="F2441" s="91">
        <v>10</v>
      </c>
      <c r="G2441" s="91">
        <v>0</v>
      </c>
      <c r="H2441" s="94">
        <v>0</v>
      </c>
      <c r="I2441" s="91">
        <v>0</v>
      </c>
      <c r="J2441" s="41"/>
      <c r="K2441" s="41">
        <v>43281</v>
      </c>
      <c r="L2441" s="69" t="s">
        <v>80</v>
      </c>
      <c r="M2441" s="69" t="s">
        <v>286</v>
      </c>
      <c r="N2441" s="95"/>
      <c r="P2441" t="s">
        <v>95</v>
      </c>
      <c r="Q2441" t="s">
        <v>129</v>
      </c>
      <c r="R2441" s="92" t="s">
        <v>69</v>
      </c>
      <c r="S2441" s="92" t="s">
        <v>138</v>
      </c>
      <c r="V2441" s="95">
        <v>43281</v>
      </c>
      <c r="W2441" s="92">
        <v>415580159</v>
      </c>
      <c r="X2441" s="90"/>
      <c r="Y2441" s="123"/>
      <c r="Z2441" s="30">
        <f t="shared" si="76"/>
        <v>4227.3638773950279</v>
      </c>
      <c r="AA2441" s="30">
        <f t="shared" si="77"/>
        <v>0</v>
      </c>
      <c r="AB2441" t="s">
        <v>457</v>
      </c>
    </row>
    <row r="2442" spans="1:28">
      <c r="A2442" t="s">
        <v>136</v>
      </c>
      <c r="C2442" s="92">
        <v>4615502560</v>
      </c>
      <c r="D2442" s="93">
        <v>19175</v>
      </c>
      <c r="F2442" s="91">
        <v>10</v>
      </c>
      <c r="G2442" s="91">
        <v>0</v>
      </c>
      <c r="H2442" s="94">
        <v>0</v>
      </c>
      <c r="I2442" s="91">
        <v>0</v>
      </c>
      <c r="J2442" s="41"/>
      <c r="K2442" s="41">
        <v>43281</v>
      </c>
      <c r="L2442" s="69" t="s">
        <v>80</v>
      </c>
      <c r="M2442" s="69" t="s">
        <v>286</v>
      </c>
      <c r="N2442" s="95"/>
      <c r="P2442" t="s">
        <v>95</v>
      </c>
      <c r="Q2442" t="s">
        <v>129</v>
      </c>
      <c r="R2442" s="92" t="s">
        <v>69</v>
      </c>
      <c r="S2442" s="92" t="s">
        <v>138</v>
      </c>
      <c r="V2442" s="95">
        <v>43281</v>
      </c>
      <c r="W2442" s="92">
        <v>415580159</v>
      </c>
      <c r="X2442" s="90"/>
      <c r="Y2442" s="123"/>
      <c r="Z2442" s="30">
        <f t="shared" si="76"/>
        <v>4227.3638773950279</v>
      </c>
      <c r="AA2442" s="30">
        <f t="shared" si="77"/>
        <v>0</v>
      </c>
      <c r="AB2442" t="s">
        <v>457</v>
      </c>
    </row>
    <row r="2443" spans="1:28">
      <c r="A2443" t="s">
        <v>136</v>
      </c>
      <c r="C2443" s="92">
        <v>4615502560</v>
      </c>
      <c r="D2443" s="93">
        <v>19175</v>
      </c>
      <c r="F2443" s="91">
        <v>10</v>
      </c>
      <c r="G2443" s="91">
        <v>0</v>
      </c>
      <c r="H2443" s="94">
        <v>0</v>
      </c>
      <c r="I2443" s="91">
        <v>0</v>
      </c>
      <c r="J2443" s="41"/>
      <c r="K2443" s="41">
        <v>43281</v>
      </c>
      <c r="L2443" s="69" t="s">
        <v>80</v>
      </c>
      <c r="M2443" s="69" t="s">
        <v>286</v>
      </c>
      <c r="N2443" s="95"/>
      <c r="P2443" t="s">
        <v>95</v>
      </c>
      <c r="Q2443" t="s">
        <v>129</v>
      </c>
      <c r="R2443" s="92" t="s">
        <v>69</v>
      </c>
      <c r="S2443" s="92" t="s">
        <v>138</v>
      </c>
      <c r="V2443" s="95">
        <v>43281</v>
      </c>
      <c r="W2443" s="92">
        <v>415580159</v>
      </c>
      <c r="X2443" s="90"/>
      <c r="Y2443" s="123"/>
      <c r="Z2443" s="30">
        <f t="shared" si="76"/>
        <v>4227.3638773950279</v>
      </c>
      <c r="AA2443" s="30">
        <f t="shared" si="77"/>
        <v>0</v>
      </c>
      <c r="AB2443" t="s">
        <v>457</v>
      </c>
    </row>
    <row r="2444" spans="1:28">
      <c r="A2444" t="s">
        <v>136</v>
      </c>
      <c r="C2444" s="92">
        <v>4615502560</v>
      </c>
      <c r="D2444" s="93">
        <v>19175</v>
      </c>
      <c r="F2444" s="91">
        <v>10</v>
      </c>
      <c r="G2444" s="91">
        <v>0</v>
      </c>
      <c r="H2444" s="94">
        <v>0</v>
      </c>
      <c r="I2444" s="91">
        <v>0</v>
      </c>
      <c r="J2444" s="41"/>
      <c r="K2444" s="41">
        <v>43281</v>
      </c>
      <c r="L2444" s="69" t="s">
        <v>80</v>
      </c>
      <c r="M2444" s="69" t="s">
        <v>286</v>
      </c>
      <c r="N2444" s="95"/>
      <c r="P2444" t="s">
        <v>95</v>
      </c>
      <c r="Q2444" t="s">
        <v>129</v>
      </c>
      <c r="R2444" s="92" t="s">
        <v>69</v>
      </c>
      <c r="S2444" s="92" t="s">
        <v>138</v>
      </c>
      <c r="V2444" s="95">
        <v>43281</v>
      </c>
      <c r="W2444" s="92">
        <v>415580159</v>
      </c>
      <c r="X2444" s="90"/>
      <c r="Y2444" s="123"/>
      <c r="Z2444" s="30">
        <f t="shared" si="76"/>
        <v>4227.3638773950279</v>
      </c>
      <c r="AA2444" s="30">
        <f t="shared" si="77"/>
        <v>0</v>
      </c>
      <c r="AB2444" t="s">
        <v>457</v>
      </c>
    </row>
    <row r="2445" spans="1:28">
      <c r="A2445" t="s">
        <v>136</v>
      </c>
      <c r="C2445" s="92">
        <v>4615502560</v>
      </c>
      <c r="D2445" s="93">
        <v>19175</v>
      </c>
      <c r="F2445" s="91">
        <v>10</v>
      </c>
      <c r="G2445" s="91">
        <v>0</v>
      </c>
      <c r="H2445" s="94">
        <v>0</v>
      </c>
      <c r="I2445" s="91">
        <v>0</v>
      </c>
      <c r="J2445" s="41"/>
      <c r="K2445" s="41">
        <v>43281</v>
      </c>
      <c r="L2445" s="69" t="s">
        <v>80</v>
      </c>
      <c r="M2445" s="69" t="s">
        <v>286</v>
      </c>
      <c r="N2445" s="95"/>
      <c r="P2445" t="s">
        <v>95</v>
      </c>
      <c r="Q2445" t="s">
        <v>129</v>
      </c>
      <c r="R2445" s="92" t="s">
        <v>69</v>
      </c>
      <c r="S2445" s="92" t="s">
        <v>138</v>
      </c>
      <c r="V2445" s="95">
        <v>43281</v>
      </c>
      <c r="W2445" s="92">
        <v>415580159</v>
      </c>
      <c r="X2445" s="90"/>
      <c r="Y2445" s="123"/>
      <c r="Z2445" s="30">
        <f t="shared" si="76"/>
        <v>4227.3638773950279</v>
      </c>
      <c r="AA2445" s="30">
        <f t="shared" si="77"/>
        <v>0</v>
      </c>
      <c r="AB2445" t="s">
        <v>457</v>
      </c>
    </row>
    <row r="2446" spans="1:28">
      <c r="A2446" t="s">
        <v>122</v>
      </c>
      <c r="C2446" s="92">
        <v>4615491689</v>
      </c>
      <c r="D2446" s="93">
        <v>21000</v>
      </c>
      <c r="F2446" s="91">
        <v>16</v>
      </c>
      <c r="G2446" s="96">
        <v>5</v>
      </c>
      <c r="H2446" s="94">
        <v>0</v>
      </c>
      <c r="I2446" s="91">
        <v>0</v>
      </c>
      <c r="J2446" s="41"/>
      <c r="K2446" s="41">
        <v>43281</v>
      </c>
      <c r="L2446" s="69" t="s">
        <v>80</v>
      </c>
      <c r="M2446" s="69" t="s">
        <v>286</v>
      </c>
      <c r="N2446" s="95"/>
      <c r="P2446" t="s">
        <v>95</v>
      </c>
      <c r="Q2446" t="s">
        <v>120</v>
      </c>
      <c r="R2446" s="92" t="s">
        <v>69</v>
      </c>
      <c r="S2446" s="92" t="s">
        <v>123</v>
      </c>
      <c r="V2446" s="95">
        <v>43281</v>
      </c>
      <c r="W2446" s="92">
        <v>2030471</v>
      </c>
      <c r="X2446" s="90" t="s">
        <v>314</v>
      </c>
      <c r="Y2446" s="123"/>
      <c r="Z2446" s="30">
        <f t="shared" si="76"/>
        <v>7407.5320094118861</v>
      </c>
      <c r="AA2446" s="30">
        <f t="shared" si="77"/>
        <v>2314.8537529412147</v>
      </c>
      <c r="AB2446" t="s">
        <v>457</v>
      </c>
    </row>
    <row r="2447" spans="1:28">
      <c r="A2447" t="s">
        <v>122</v>
      </c>
      <c r="C2447" s="92">
        <v>4615491689</v>
      </c>
      <c r="D2447" s="93">
        <v>21000</v>
      </c>
      <c r="F2447" s="91">
        <v>16</v>
      </c>
      <c r="G2447" s="96">
        <v>5</v>
      </c>
      <c r="H2447" s="94">
        <v>0</v>
      </c>
      <c r="I2447" s="91">
        <v>0</v>
      </c>
      <c r="J2447" s="41"/>
      <c r="K2447" s="41">
        <v>43281</v>
      </c>
      <c r="L2447" s="69" t="s">
        <v>80</v>
      </c>
      <c r="M2447" s="69" t="s">
        <v>286</v>
      </c>
      <c r="N2447" s="95"/>
      <c r="P2447" t="s">
        <v>95</v>
      </c>
      <c r="Q2447" t="s">
        <v>120</v>
      </c>
      <c r="R2447" s="92" t="s">
        <v>69</v>
      </c>
      <c r="S2447" s="92" t="s">
        <v>123</v>
      </c>
      <c r="V2447" s="95">
        <v>43281</v>
      </c>
      <c r="W2447" s="92">
        <v>2030471</v>
      </c>
      <c r="X2447" s="90" t="s">
        <v>314</v>
      </c>
      <c r="Y2447" s="123"/>
      <c r="Z2447" s="30">
        <f t="shared" si="76"/>
        <v>7407.5320094118861</v>
      </c>
      <c r="AA2447" s="30">
        <f t="shared" si="77"/>
        <v>2314.8537529412147</v>
      </c>
      <c r="AB2447" t="s">
        <v>457</v>
      </c>
    </row>
    <row r="2448" spans="1:28">
      <c r="A2448" t="s">
        <v>122</v>
      </c>
      <c r="C2448" s="92">
        <v>4615491689</v>
      </c>
      <c r="D2448" s="93">
        <v>21000</v>
      </c>
      <c r="F2448" s="91">
        <v>16</v>
      </c>
      <c r="G2448" s="96">
        <v>5</v>
      </c>
      <c r="H2448" s="94">
        <v>0</v>
      </c>
      <c r="I2448" s="91">
        <v>0</v>
      </c>
      <c r="J2448" s="41"/>
      <c r="K2448" s="41">
        <v>43281</v>
      </c>
      <c r="L2448" s="69" t="s">
        <v>80</v>
      </c>
      <c r="M2448" s="69" t="s">
        <v>286</v>
      </c>
      <c r="N2448" s="95"/>
      <c r="P2448" t="s">
        <v>95</v>
      </c>
      <c r="Q2448" t="s">
        <v>120</v>
      </c>
      <c r="R2448" s="92" t="s">
        <v>69</v>
      </c>
      <c r="S2448" s="92" t="s">
        <v>123</v>
      </c>
      <c r="V2448" s="95">
        <v>43281</v>
      </c>
      <c r="W2448" s="92">
        <v>2030471</v>
      </c>
      <c r="X2448" s="90" t="s">
        <v>314</v>
      </c>
      <c r="Y2448" s="123"/>
      <c r="Z2448" s="30">
        <f t="shared" si="76"/>
        <v>7407.5320094118861</v>
      </c>
      <c r="AA2448" s="30">
        <f t="shared" si="77"/>
        <v>2314.8537529412147</v>
      </c>
      <c r="AB2448" t="s">
        <v>457</v>
      </c>
    </row>
    <row r="2449" spans="1:28">
      <c r="A2449" t="s">
        <v>122</v>
      </c>
      <c r="C2449" s="92">
        <v>4615491689</v>
      </c>
      <c r="D2449" s="93">
        <v>21000</v>
      </c>
      <c r="F2449" s="91">
        <v>16</v>
      </c>
      <c r="G2449" s="96">
        <v>5</v>
      </c>
      <c r="H2449" s="94">
        <v>0</v>
      </c>
      <c r="I2449" s="91">
        <v>0</v>
      </c>
      <c r="J2449" s="41"/>
      <c r="K2449" s="41">
        <v>43281</v>
      </c>
      <c r="L2449" s="69" t="s">
        <v>80</v>
      </c>
      <c r="M2449" s="69" t="s">
        <v>286</v>
      </c>
      <c r="N2449" s="95"/>
      <c r="P2449" t="s">
        <v>95</v>
      </c>
      <c r="Q2449" t="s">
        <v>120</v>
      </c>
      <c r="R2449" s="92" t="s">
        <v>69</v>
      </c>
      <c r="S2449" s="92" t="s">
        <v>123</v>
      </c>
      <c r="V2449" s="95">
        <v>43281</v>
      </c>
      <c r="W2449" s="92">
        <v>2030471</v>
      </c>
      <c r="X2449" s="90" t="s">
        <v>314</v>
      </c>
      <c r="Y2449" s="123"/>
      <c r="Z2449" s="30">
        <f t="shared" si="76"/>
        <v>7407.5320094118861</v>
      </c>
      <c r="AA2449" s="30">
        <f t="shared" si="77"/>
        <v>2314.8537529412147</v>
      </c>
      <c r="AB2449" t="s">
        <v>457</v>
      </c>
    </row>
    <row r="2450" spans="1:28">
      <c r="A2450" t="s">
        <v>122</v>
      </c>
      <c r="C2450" s="92">
        <v>4615491689</v>
      </c>
      <c r="D2450" s="93">
        <v>21000</v>
      </c>
      <c r="F2450" s="91">
        <v>16</v>
      </c>
      <c r="G2450" s="96">
        <v>5</v>
      </c>
      <c r="H2450" s="94">
        <v>0</v>
      </c>
      <c r="I2450" s="91">
        <v>0</v>
      </c>
      <c r="J2450" s="41"/>
      <c r="K2450" s="41">
        <v>43281</v>
      </c>
      <c r="L2450" s="69" t="s">
        <v>80</v>
      </c>
      <c r="M2450" s="69" t="s">
        <v>286</v>
      </c>
      <c r="N2450" s="95"/>
      <c r="P2450" t="s">
        <v>95</v>
      </c>
      <c r="Q2450" t="s">
        <v>120</v>
      </c>
      <c r="R2450" s="92" t="s">
        <v>69</v>
      </c>
      <c r="S2450" s="92" t="s">
        <v>123</v>
      </c>
      <c r="V2450" s="95">
        <v>43281</v>
      </c>
      <c r="W2450" s="92">
        <v>2030471</v>
      </c>
      <c r="X2450" s="90" t="s">
        <v>314</v>
      </c>
      <c r="Y2450" s="123"/>
      <c r="Z2450" s="30">
        <f t="shared" si="76"/>
        <v>7407.5320094118861</v>
      </c>
      <c r="AA2450" s="30">
        <f t="shared" si="77"/>
        <v>2314.8537529412147</v>
      </c>
      <c r="AB2450" t="s">
        <v>457</v>
      </c>
    </row>
    <row r="2451" spans="1:28">
      <c r="A2451" t="s">
        <v>122</v>
      </c>
      <c r="C2451" s="92">
        <v>4615491689</v>
      </c>
      <c r="D2451" s="93">
        <v>21000</v>
      </c>
      <c r="F2451" s="91">
        <v>16</v>
      </c>
      <c r="G2451" s="96">
        <v>5</v>
      </c>
      <c r="H2451" s="94">
        <v>0</v>
      </c>
      <c r="I2451" s="91">
        <v>0</v>
      </c>
      <c r="J2451" s="41"/>
      <c r="K2451" s="41">
        <v>43281</v>
      </c>
      <c r="L2451" s="69" t="s">
        <v>80</v>
      </c>
      <c r="M2451" s="69" t="s">
        <v>286</v>
      </c>
      <c r="N2451" s="95"/>
      <c r="P2451" t="s">
        <v>95</v>
      </c>
      <c r="Q2451" t="s">
        <v>120</v>
      </c>
      <c r="R2451" s="92" t="s">
        <v>69</v>
      </c>
      <c r="S2451" s="92" t="s">
        <v>123</v>
      </c>
      <c r="V2451" s="95">
        <v>43281</v>
      </c>
      <c r="W2451" s="92">
        <v>2030471</v>
      </c>
      <c r="X2451" s="90" t="s">
        <v>314</v>
      </c>
      <c r="Y2451" s="123"/>
      <c r="Z2451" s="30">
        <f t="shared" si="76"/>
        <v>7407.5320094118861</v>
      </c>
      <c r="AA2451" s="30">
        <f t="shared" si="77"/>
        <v>2314.8537529412147</v>
      </c>
      <c r="AB2451" t="s">
        <v>457</v>
      </c>
    </row>
    <row r="2452" spans="1:28">
      <c r="A2452" t="s">
        <v>122</v>
      </c>
      <c r="C2452" s="92">
        <v>4615486578</v>
      </c>
      <c r="D2452" s="93">
        <v>19200</v>
      </c>
      <c r="F2452" s="91">
        <v>16</v>
      </c>
      <c r="G2452" s="96">
        <v>5</v>
      </c>
      <c r="H2452" s="94">
        <v>0</v>
      </c>
      <c r="I2452" s="91">
        <v>0</v>
      </c>
      <c r="J2452" s="41"/>
      <c r="K2452" s="41">
        <v>43281</v>
      </c>
      <c r="L2452" s="69" t="s">
        <v>80</v>
      </c>
      <c r="M2452" s="69" t="s">
        <v>286</v>
      </c>
      <c r="N2452" s="95"/>
      <c r="P2452" t="s">
        <v>95</v>
      </c>
      <c r="Q2452" t="s">
        <v>120</v>
      </c>
      <c r="R2452" s="92" t="s">
        <v>69</v>
      </c>
      <c r="S2452" s="92" t="s">
        <v>123</v>
      </c>
      <c r="V2452" s="95">
        <v>43281</v>
      </c>
      <c r="W2452" s="92">
        <v>2030504</v>
      </c>
      <c r="X2452" s="90"/>
      <c r="Y2452" s="123"/>
      <c r="Z2452" s="30">
        <f t="shared" si="76"/>
        <v>6772.6006943194379</v>
      </c>
      <c r="AA2452" s="30">
        <f t="shared" si="77"/>
        <v>2116.4377169748245</v>
      </c>
      <c r="AB2452" t="s">
        <v>457</v>
      </c>
    </row>
    <row r="2453" spans="1:28">
      <c r="A2453" t="s">
        <v>122</v>
      </c>
      <c r="C2453" s="92">
        <v>4615486578</v>
      </c>
      <c r="D2453" s="93">
        <v>19200</v>
      </c>
      <c r="F2453" s="91">
        <v>16</v>
      </c>
      <c r="G2453" s="96">
        <v>5</v>
      </c>
      <c r="H2453" s="94">
        <v>0</v>
      </c>
      <c r="I2453" s="91">
        <v>0</v>
      </c>
      <c r="J2453" s="41"/>
      <c r="K2453" s="41">
        <v>43281</v>
      </c>
      <c r="L2453" s="69" t="s">
        <v>80</v>
      </c>
      <c r="M2453" s="69" t="s">
        <v>286</v>
      </c>
      <c r="N2453" s="95"/>
      <c r="P2453" t="s">
        <v>95</v>
      </c>
      <c r="Q2453" t="s">
        <v>120</v>
      </c>
      <c r="R2453" s="92" t="s">
        <v>69</v>
      </c>
      <c r="S2453" s="92" t="s">
        <v>123</v>
      </c>
      <c r="V2453" s="95">
        <v>43281</v>
      </c>
      <c r="W2453" s="92">
        <v>2030504</v>
      </c>
      <c r="X2453" s="90"/>
      <c r="Y2453" s="123"/>
      <c r="Z2453" s="30">
        <f t="shared" si="76"/>
        <v>6772.6006943194379</v>
      </c>
      <c r="AA2453" s="30">
        <f t="shared" si="77"/>
        <v>2116.4377169748245</v>
      </c>
      <c r="AB2453" t="s">
        <v>457</v>
      </c>
    </row>
    <row r="2454" spans="1:28">
      <c r="A2454" t="s">
        <v>122</v>
      </c>
      <c r="C2454" s="92">
        <v>4615486578</v>
      </c>
      <c r="D2454" s="93">
        <v>19200</v>
      </c>
      <c r="F2454" s="91">
        <v>16</v>
      </c>
      <c r="G2454" s="96">
        <v>5</v>
      </c>
      <c r="H2454" s="94">
        <v>0</v>
      </c>
      <c r="I2454" s="91">
        <v>0</v>
      </c>
      <c r="J2454" s="41"/>
      <c r="K2454" s="41">
        <v>43281</v>
      </c>
      <c r="L2454" s="69" t="s">
        <v>80</v>
      </c>
      <c r="M2454" s="69" t="s">
        <v>286</v>
      </c>
      <c r="N2454" s="95"/>
      <c r="P2454" t="s">
        <v>95</v>
      </c>
      <c r="Q2454" t="s">
        <v>120</v>
      </c>
      <c r="R2454" s="92" t="s">
        <v>69</v>
      </c>
      <c r="S2454" s="92" t="s">
        <v>123</v>
      </c>
      <c r="V2454" s="95">
        <v>43281</v>
      </c>
      <c r="W2454" s="92">
        <v>2030504</v>
      </c>
      <c r="X2454" s="90"/>
      <c r="Y2454" s="123"/>
      <c r="Z2454" s="30">
        <f t="shared" si="76"/>
        <v>6772.6006943194379</v>
      </c>
      <c r="AA2454" s="30">
        <f t="shared" si="77"/>
        <v>2116.4377169748245</v>
      </c>
      <c r="AB2454" t="s">
        <v>457</v>
      </c>
    </row>
    <row r="2455" spans="1:28">
      <c r="A2455" t="s">
        <v>122</v>
      </c>
      <c r="C2455" s="92">
        <v>4615486578</v>
      </c>
      <c r="D2455" s="93">
        <v>19200</v>
      </c>
      <c r="F2455" s="91">
        <v>16</v>
      </c>
      <c r="G2455" s="96">
        <v>5</v>
      </c>
      <c r="H2455" s="94">
        <v>0</v>
      </c>
      <c r="I2455" s="91">
        <v>0</v>
      </c>
      <c r="J2455" s="41"/>
      <c r="K2455" s="41">
        <v>43281</v>
      </c>
      <c r="L2455" s="69" t="s">
        <v>80</v>
      </c>
      <c r="M2455" s="69" t="s">
        <v>286</v>
      </c>
      <c r="N2455" s="95"/>
      <c r="P2455" t="s">
        <v>95</v>
      </c>
      <c r="Q2455" t="s">
        <v>120</v>
      </c>
      <c r="R2455" s="92" t="s">
        <v>69</v>
      </c>
      <c r="S2455" s="92" t="s">
        <v>123</v>
      </c>
      <c r="V2455" s="95">
        <v>43281</v>
      </c>
      <c r="W2455" s="92">
        <v>2030504</v>
      </c>
      <c r="X2455" s="90"/>
      <c r="Y2455" s="123"/>
      <c r="Z2455" s="30">
        <f t="shared" si="76"/>
        <v>6772.6006943194379</v>
      </c>
      <c r="AA2455" s="30">
        <f t="shared" si="77"/>
        <v>2116.4377169748245</v>
      </c>
      <c r="AB2455" t="s">
        <v>457</v>
      </c>
    </row>
    <row r="2456" spans="1:28">
      <c r="A2456" t="s">
        <v>122</v>
      </c>
      <c r="C2456" s="92">
        <v>4615486578</v>
      </c>
      <c r="D2456" s="93">
        <v>19200</v>
      </c>
      <c r="F2456" s="91">
        <v>16</v>
      </c>
      <c r="G2456" s="96">
        <v>5</v>
      </c>
      <c r="H2456" s="94">
        <v>0</v>
      </c>
      <c r="I2456" s="91">
        <v>0</v>
      </c>
      <c r="J2456" s="41"/>
      <c r="K2456" s="41">
        <v>43281</v>
      </c>
      <c r="L2456" s="69" t="s">
        <v>80</v>
      </c>
      <c r="M2456" s="69" t="s">
        <v>286</v>
      </c>
      <c r="N2456" s="95"/>
      <c r="P2456" t="s">
        <v>95</v>
      </c>
      <c r="Q2456" t="s">
        <v>120</v>
      </c>
      <c r="R2456" s="92" t="s">
        <v>69</v>
      </c>
      <c r="S2456" s="92" t="s">
        <v>123</v>
      </c>
      <c r="V2456" s="95">
        <v>43281</v>
      </c>
      <c r="W2456" s="92">
        <v>2030504</v>
      </c>
      <c r="X2456" s="90"/>
      <c r="Y2456" s="123"/>
      <c r="Z2456" s="30">
        <f t="shared" si="76"/>
        <v>6772.6006943194379</v>
      </c>
      <c r="AA2456" s="30">
        <f t="shared" si="77"/>
        <v>2116.4377169748245</v>
      </c>
      <c r="AB2456" t="s">
        <v>457</v>
      </c>
    </row>
    <row r="2457" spans="1:28">
      <c r="A2457" t="s">
        <v>122</v>
      </c>
      <c r="C2457" s="92">
        <v>4615486578</v>
      </c>
      <c r="D2457" s="93">
        <v>19200</v>
      </c>
      <c r="F2457" s="91">
        <v>16</v>
      </c>
      <c r="G2457" s="96">
        <v>5</v>
      </c>
      <c r="H2457" s="94">
        <v>0</v>
      </c>
      <c r="I2457" s="91">
        <v>0</v>
      </c>
      <c r="J2457" s="41"/>
      <c r="K2457" s="41">
        <v>43281</v>
      </c>
      <c r="L2457" s="69" t="s">
        <v>80</v>
      </c>
      <c r="M2457" s="69" t="s">
        <v>286</v>
      </c>
      <c r="N2457" s="95"/>
      <c r="P2457" t="s">
        <v>95</v>
      </c>
      <c r="Q2457" t="s">
        <v>120</v>
      </c>
      <c r="R2457" s="92" t="s">
        <v>69</v>
      </c>
      <c r="S2457" s="92" t="s">
        <v>123</v>
      </c>
      <c r="V2457" s="95">
        <v>43281</v>
      </c>
      <c r="W2457" s="92">
        <v>2030504</v>
      </c>
      <c r="X2457" s="90"/>
      <c r="Y2457" s="123"/>
      <c r="Z2457" s="30">
        <f t="shared" si="76"/>
        <v>6772.6006943194379</v>
      </c>
      <c r="AA2457" s="30">
        <f t="shared" si="77"/>
        <v>2116.4377169748245</v>
      </c>
      <c r="AB2457" t="s">
        <v>457</v>
      </c>
    </row>
    <row r="2458" spans="1:28">
      <c r="A2458" t="s">
        <v>122</v>
      </c>
      <c r="C2458" s="92">
        <v>4615486578</v>
      </c>
      <c r="D2458" s="93">
        <v>19200</v>
      </c>
      <c r="F2458" s="91">
        <v>16</v>
      </c>
      <c r="G2458" s="96">
        <v>5</v>
      </c>
      <c r="H2458" s="94">
        <v>0</v>
      </c>
      <c r="I2458" s="91">
        <v>0</v>
      </c>
      <c r="J2458" s="41"/>
      <c r="K2458" s="41">
        <v>43281</v>
      </c>
      <c r="L2458" s="69" t="s">
        <v>80</v>
      </c>
      <c r="M2458" s="69" t="s">
        <v>286</v>
      </c>
      <c r="N2458" s="95"/>
      <c r="P2458" t="s">
        <v>95</v>
      </c>
      <c r="Q2458" t="s">
        <v>120</v>
      </c>
      <c r="R2458" s="92" t="s">
        <v>69</v>
      </c>
      <c r="S2458" s="92" t="s">
        <v>123</v>
      </c>
      <c r="V2458" s="95">
        <v>43281</v>
      </c>
      <c r="W2458" s="92">
        <v>2030504</v>
      </c>
      <c r="X2458" s="90"/>
      <c r="Y2458" s="123"/>
      <c r="Z2458" s="30">
        <f t="shared" si="76"/>
        <v>6772.6006943194379</v>
      </c>
      <c r="AA2458" s="30">
        <f t="shared" si="77"/>
        <v>2116.4377169748245</v>
      </c>
      <c r="AB2458" t="s">
        <v>457</v>
      </c>
    </row>
    <row r="2459" spans="1:28">
      <c r="A2459" t="s">
        <v>122</v>
      </c>
      <c r="C2459" s="92">
        <v>4615486578</v>
      </c>
      <c r="D2459" s="93">
        <v>19200</v>
      </c>
      <c r="F2459" s="91">
        <v>16</v>
      </c>
      <c r="G2459" s="96">
        <v>5</v>
      </c>
      <c r="H2459" s="94">
        <v>0</v>
      </c>
      <c r="I2459" s="91">
        <v>0</v>
      </c>
      <c r="J2459" s="41"/>
      <c r="K2459" s="41">
        <v>43281</v>
      </c>
      <c r="L2459" s="69" t="s">
        <v>80</v>
      </c>
      <c r="M2459" s="69" t="s">
        <v>286</v>
      </c>
      <c r="N2459" s="95"/>
      <c r="P2459" t="s">
        <v>95</v>
      </c>
      <c r="Q2459" t="s">
        <v>120</v>
      </c>
      <c r="R2459" s="92" t="s">
        <v>69</v>
      </c>
      <c r="S2459" s="92" t="s">
        <v>123</v>
      </c>
      <c r="V2459" s="95">
        <v>43281</v>
      </c>
      <c r="W2459" s="92">
        <v>2030504</v>
      </c>
      <c r="X2459" s="90"/>
      <c r="Y2459" s="123"/>
      <c r="Z2459" s="30">
        <f t="shared" si="76"/>
        <v>6772.6006943194379</v>
      </c>
      <c r="AA2459" s="30">
        <f t="shared" si="77"/>
        <v>2116.4377169748245</v>
      </c>
      <c r="AB2459" t="s">
        <v>457</v>
      </c>
    </row>
    <row r="2460" spans="1:28">
      <c r="A2460" t="s">
        <v>122</v>
      </c>
      <c r="C2460" s="92">
        <v>4615486578</v>
      </c>
      <c r="D2460" s="93">
        <v>19200</v>
      </c>
      <c r="F2460" s="91">
        <v>16</v>
      </c>
      <c r="G2460" s="96">
        <v>5</v>
      </c>
      <c r="H2460" s="94">
        <v>0</v>
      </c>
      <c r="I2460" s="91">
        <v>0</v>
      </c>
      <c r="J2460" s="41"/>
      <c r="K2460" s="41">
        <v>43281</v>
      </c>
      <c r="L2460" s="69" t="s">
        <v>80</v>
      </c>
      <c r="M2460" s="69" t="s">
        <v>286</v>
      </c>
      <c r="N2460" s="95"/>
      <c r="P2460" t="s">
        <v>95</v>
      </c>
      <c r="Q2460" t="s">
        <v>120</v>
      </c>
      <c r="R2460" s="92" t="s">
        <v>69</v>
      </c>
      <c r="S2460" s="92" t="s">
        <v>123</v>
      </c>
      <c r="V2460" s="95">
        <v>43281</v>
      </c>
      <c r="W2460" s="92">
        <v>2030504</v>
      </c>
      <c r="X2460" s="90"/>
      <c r="Y2460" s="123"/>
      <c r="Z2460" s="30">
        <f t="shared" si="76"/>
        <v>6772.6006943194379</v>
      </c>
      <c r="AA2460" s="30">
        <f t="shared" si="77"/>
        <v>2116.4377169748245</v>
      </c>
      <c r="AB2460" t="s">
        <v>457</v>
      </c>
    </row>
    <row r="2461" spans="1:28">
      <c r="A2461" t="s">
        <v>122</v>
      </c>
      <c r="C2461" s="92">
        <v>4615486578</v>
      </c>
      <c r="D2461" s="93">
        <v>19200</v>
      </c>
      <c r="F2461" s="91">
        <v>16</v>
      </c>
      <c r="G2461" s="96">
        <v>5</v>
      </c>
      <c r="H2461" s="94">
        <v>0</v>
      </c>
      <c r="I2461" s="91">
        <v>0</v>
      </c>
      <c r="J2461" s="41"/>
      <c r="K2461" s="41">
        <v>43281</v>
      </c>
      <c r="L2461" s="69" t="s">
        <v>80</v>
      </c>
      <c r="M2461" s="69" t="s">
        <v>286</v>
      </c>
      <c r="N2461" s="95"/>
      <c r="P2461" t="s">
        <v>95</v>
      </c>
      <c r="Q2461" t="s">
        <v>120</v>
      </c>
      <c r="R2461" s="92" t="s">
        <v>69</v>
      </c>
      <c r="S2461" s="92" t="s">
        <v>123</v>
      </c>
      <c r="V2461" s="95">
        <v>43281</v>
      </c>
      <c r="W2461" s="92">
        <v>2030504</v>
      </c>
      <c r="X2461" s="90"/>
      <c r="Y2461" s="123"/>
      <c r="Z2461" s="30">
        <f t="shared" si="76"/>
        <v>6772.6006943194379</v>
      </c>
      <c r="AA2461" s="30">
        <f t="shared" si="77"/>
        <v>2116.4377169748245</v>
      </c>
      <c r="AB2461" t="s">
        <v>457</v>
      </c>
    </row>
    <row r="2462" spans="1:28">
      <c r="A2462" t="s">
        <v>122</v>
      </c>
      <c r="C2462" s="92">
        <v>4615486578</v>
      </c>
      <c r="D2462" s="93">
        <v>19200</v>
      </c>
      <c r="F2462" s="91">
        <v>16</v>
      </c>
      <c r="G2462" s="96">
        <v>5</v>
      </c>
      <c r="H2462" s="94">
        <v>0</v>
      </c>
      <c r="I2462" s="91">
        <v>0</v>
      </c>
      <c r="J2462" s="41"/>
      <c r="K2462" s="41">
        <v>43281</v>
      </c>
      <c r="L2462" s="69" t="s">
        <v>80</v>
      </c>
      <c r="M2462" s="69" t="s">
        <v>286</v>
      </c>
      <c r="N2462" s="95"/>
      <c r="P2462" t="s">
        <v>95</v>
      </c>
      <c r="Q2462" t="s">
        <v>120</v>
      </c>
      <c r="R2462" s="92" t="s">
        <v>69</v>
      </c>
      <c r="S2462" s="92" t="s">
        <v>123</v>
      </c>
      <c r="V2462" s="95">
        <v>43281</v>
      </c>
      <c r="W2462" s="92">
        <v>2030504</v>
      </c>
      <c r="X2462" s="90"/>
      <c r="Y2462" s="123"/>
      <c r="Z2462" s="30">
        <f t="shared" si="76"/>
        <v>6772.6006943194379</v>
      </c>
      <c r="AA2462" s="30">
        <f t="shared" si="77"/>
        <v>2116.4377169748245</v>
      </c>
      <c r="AB2462" t="s">
        <v>457</v>
      </c>
    </row>
    <row r="2463" spans="1:28">
      <c r="A2463" t="s">
        <v>122</v>
      </c>
      <c r="C2463" s="92">
        <v>4615461662</v>
      </c>
      <c r="D2463" s="93">
        <v>19200</v>
      </c>
      <c r="F2463" s="91">
        <v>16</v>
      </c>
      <c r="G2463" s="96">
        <v>5</v>
      </c>
      <c r="H2463" s="94">
        <v>0</v>
      </c>
      <c r="I2463" s="91">
        <v>0</v>
      </c>
      <c r="J2463" s="41"/>
      <c r="K2463" s="41">
        <v>43281</v>
      </c>
      <c r="L2463" s="69" t="s">
        <v>80</v>
      </c>
      <c r="M2463" s="69" t="s">
        <v>286</v>
      </c>
      <c r="N2463" s="95"/>
      <c r="P2463" t="s">
        <v>95</v>
      </c>
      <c r="Q2463" t="s">
        <v>120</v>
      </c>
      <c r="R2463" s="92" t="s">
        <v>69</v>
      </c>
      <c r="S2463" s="92" t="s">
        <v>123</v>
      </c>
      <c r="V2463" s="95">
        <v>43281</v>
      </c>
      <c r="W2463" s="92">
        <v>2030514</v>
      </c>
      <c r="X2463" s="90"/>
      <c r="Y2463" s="123"/>
      <c r="Z2463" s="30">
        <f t="shared" si="76"/>
        <v>6772.6006943194379</v>
      </c>
      <c r="AA2463" s="30">
        <f t="shared" si="77"/>
        <v>2116.4377169748245</v>
      </c>
      <c r="AB2463" t="s">
        <v>457</v>
      </c>
    </row>
    <row r="2464" spans="1:28">
      <c r="A2464" t="s">
        <v>122</v>
      </c>
      <c r="C2464" s="92">
        <v>4615461662</v>
      </c>
      <c r="D2464" s="93">
        <v>19200</v>
      </c>
      <c r="F2464" s="91">
        <v>16</v>
      </c>
      <c r="G2464" s="96">
        <v>5</v>
      </c>
      <c r="H2464" s="94">
        <v>0</v>
      </c>
      <c r="I2464" s="91">
        <v>0</v>
      </c>
      <c r="J2464" s="41"/>
      <c r="K2464" s="41">
        <v>43281</v>
      </c>
      <c r="L2464" s="69" t="s">
        <v>80</v>
      </c>
      <c r="M2464" s="69" t="s">
        <v>286</v>
      </c>
      <c r="N2464" s="95"/>
      <c r="P2464" t="s">
        <v>95</v>
      </c>
      <c r="Q2464" t="s">
        <v>120</v>
      </c>
      <c r="R2464" s="92" t="s">
        <v>69</v>
      </c>
      <c r="S2464" s="92" t="s">
        <v>123</v>
      </c>
      <c r="V2464" s="95">
        <v>43281</v>
      </c>
      <c r="W2464" s="92">
        <v>2030514</v>
      </c>
      <c r="X2464" s="90"/>
      <c r="Y2464" s="123"/>
      <c r="Z2464" s="30">
        <f t="shared" si="76"/>
        <v>6772.6006943194379</v>
      </c>
      <c r="AA2464" s="30">
        <f t="shared" si="77"/>
        <v>2116.4377169748245</v>
      </c>
      <c r="AB2464" t="s">
        <v>457</v>
      </c>
    </row>
    <row r="2465" spans="1:28">
      <c r="A2465" t="s">
        <v>122</v>
      </c>
      <c r="C2465" s="92">
        <v>4615461662</v>
      </c>
      <c r="D2465" s="93">
        <v>19200</v>
      </c>
      <c r="F2465" s="91">
        <v>16</v>
      </c>
      <c r="G2465" s="96">
        <v>5</v>
      </c>
      <c r="H2465" s="94">
        <v>0</v>
      </c>
      <c r="I2465" s="91">
        <v>0</v>
      </c>
      <c r="J2465" s="41"/>
      <c r="K2465" s="41">
        <v>43281</v>
      </c>
      <c r="L2465" s="69" t="s">
        <v>80</v>
      </c>
      <c r="M2465" s="69" t="s">
        <v>286</v>
      </c>
      <c r="N2465" s="95"/>
      <c r="P2465" t="s">
        <v>95</v>
      </c>
      <c r="Q2465" t="s">
        <v>120</v>
      </c>
      <c r="R2465" s="92" t="s">
        <v>69</v>
      </c>
      <c r="S2465" s="92" t="s">
        <v>123</v>
      </c>
      <c r="V2465" s="95">
        <v>43281</v>
      </c>
      <c r="W2465" s="92">
        <v>2030514</v>
      </c>
      <c r="X2465" s="90"/>
      <c r="Y2465" s="123"/>
      <c r="Z2465" s="30">
        <f t="shared" si="76"/>
        <v>6772.6006943194379</v>
      </c>
      <c r="AA2465" s="30">
        <f t="shared" si="77"/>
        <v>2116.4377169748245</v>
      </c>
      <c r="AB2465" t="s">
        <v>457</v>
      </c>
    </row>
    <row r="2466" spans="1:28">
      <c r="A2466" t="s">
        <v>122</v>
      </c>
      <c r="C2466" s="92">
        <v>4615461662</v>
      </c>
      <c r="D2466" s="93">
        <v>19200</v>
      </c>
      <c r="F2466" s="91">
        <v>16</v>
      </c>
      <c r="G2466" s="96">
        <v>5</v>
      </c>
      <c r="H2466" s="94">
        <v>0</v>
      </c>
      <c r="I2466" s="91">
        <v>0</v>
      </c>
      <c r="J2466" s="41"/>
      <c r="K2466" s="41">
        <v>43281</v>
      </c>
      <c r="L2466" s="69" t="s">
        <v>80</v>
      </c>
      <c r="M2466" s="69" t="s">
        <v>286</v>
      </c>
      <c r="N2466" s="95"/>
      <c r="P2466" t="s">
        <v>95</v>
      </c>
      <c r="Q2466" t="s">
        <v>120</v>
      </c>
      <c r="R2466" s="92" t="s">
        <v>69</v>
      </c>
      <c r="S2466" s="92" t="s">
        <v>123</v>
      </c>
      <c r="V2466" s="95">
        <v>43281</v>
      </c>
      <c r="W2466" s="92">
        <v>2030514</v>
      </c>
      <c r="X2466" s="90"/>
      <c r="Y2466" s="123"/>
      <c r="Z2466" s="30">
        <f t="shared" si="76"/>
        <v>6772.6006943194379</v>
      </c>
      <c r="AA2466" s="30">
        <f t="shared" si="77"/>
        <v>2116.4377169748245</v>
      </c>
      <c r="AB2466" t="s">
        <v>457</v>
      </c>
    </row>
    <row r="2467" spans="1:28">
      <c r="A2467" t="s">
        <v>122</v>
      </c>
      <c r="C2467" s="92">
        <v>4615461662</v>
      </c>
      <c r="D2467" s="93">
        <v>19200</v>
      </c>
      <c r="F2467" s="91">
        <v>16</v>
      </c>
      <c r="G2467" s="96">
        <v>5</v>
      </c>
      <c r="H2467" s="94">
        <v>0</v>
      </c>
      <c r="I2467" s="91">
        <v>0</v>
      </c>
      <c r="J2467" s="41"/>
      <c r="K2467" s="41">
        <v>43281</v>
      </c>
      <c r="L2467" s="69" t="s">
        <v>80</v>
      </c>
      <c r="M2467" s="69" t="s">
        <v>286</v>
      </c>
      <c r="N2467" s="95"/>
      <c r="P2467" t="s">
        <v>95</v>
      </c>
      <c r="Q2467" t="s">
        <v>120</v>
      </c>
      <c r="R2467" s="92" t="s">
        <v>69</v>
      </c>
      <c r="S2467" s="92" t="s">
        <v>123</v>
      </c>
      <c r="V2467" s="95">
        <v>43281</v>
      </c>
      <c r="W2467" s="92">
        <v>2030514</v>
      </c>
      <c r="X2467" s="90"/>
      <c r="Y2467" s="123"/>
      <c r="Z2467" s="30">
        <f t="shared" si="76"/>
        <v>6772.6006943194379</v>
      </c>
      <c r="AA2467" s="30">
        <f t="shared" si="77"/>
        <v>2116.4377169748245</v>
      </c>
      <c r="AB2467" t="s">
        <v>457</v>
      </c>
    </row>
    <row r="2468" spans="1:28">
      <c r="A2468" t="s">
        <v>122</v>
      </c>
      <c r="C2468" s="92">
        <v>4615461662</v>
      </c>
      <c r="D2468" s="93">
        <v>19200</v>
      </c>
      <c r="F2468" s="91">
        <v>16</v>
      </c>
      <c r="G2468" s="96">
        <v>5</v>
      </c>
      <c r="H2468" s="94">
        <v>0</v>
      </c>
      <c r="I2468" s="91">
        <v>0</v>
      </c>
      <c r="J2468" s="41"/>
      <c r="K2468" s="41">
        <v>43281</v>
      </c>
      <c r="L2468" s="69" t="s">
        <v>80</v>
      </c>
      <c r="M2468" s="69" t="s">
        <v>286</v>
      </c>
      <c r="N2468" s="95"/>
      <c r="P2468" t="s">
        <v>95</v>
      </c>
      <c r="Q2468" t="s">
        <v>120</v>
      </c>
      <c r="R2468" s="92" t="s">
        <v>69</v>
      </c>
      <c r="S2468" s="92" t="s">
        <v>123</v>
      </c>
      <c r="V2468" s="95">
        <v>43281</v>
      </c>
      <c r="W2468" s="92">
        <v>2030514</v>
      </c>
      <c r="X2468" s="90"/>
      <c r="Y2468" s="123"/>
      <c r="Z2468" s="30">
        <f t="shared" si="76"/>
        <v>6772.6006943194379</v>
      </c>
      <c r="AA2468" s="30">
        <f t="shared" si="77"/>
        <v>2116.4377169748245</v>
      </c>
      <c r="AB2468" t="s">
        <v>457</v>
      </c>
    </row>
    <row r="2469" spans="1:28">
      <c r="A2469" t="s">
        <v>122</v>
      </c>
      <c r="C2469" s="92">
        <v>4615461662</v>
      </c>
      <c r="D2469" s="93">
        <v>19200</v>
      </c>
      <c r="F2469" s="91">
        <v>16</v>
      </c>
      <c r="G2469" s="96">
        <v>5</v>
      </c>
      <c r="H2469" s="94">
        <v>0</v>
      </c>
      <c r="I2469" s="91">
        <v>0</v>
      </c>
      <c r="J2469" s="41"/>
      <c r="K2469" s="41">
        <v>43281</v>
      </c>
      <c r="L2469" s="69" t="s">
        <v>80</v>
      </c>
      <c r="M2469" s="69" t="s">
        <v>286</v>
      </c>
      <c r="N2469" s="95"/>
      <c r="P2469" t="s">
        <v>95</v>
      </c>
      <c r="Q2469" t="s">
        <v>120</v>
      </c>
      <c r="R2469" s="92" t="s">
        <v>69</v>
      </c>
      <c r="S2469" s="92" t="s">
        <v>123</v>
      </c>
      <c r="V2469" s="95">
        <v>43281</v>
      </c>
      <c r="W2469" s="92">
        <v>2030514</v>
      </c>
      <c r="X2469" s="90"/>
      <c r="Y2469" s="123"/>
      <c r="Z2469" s="30">
        <f t="shared" si="76"/>
        <v>6772.6006943194379</v>
      </c>
      <c r="AA2469" s="30">
        <f t="shared" si="77"/>
        <v>2116.4377169748245</v>
      </c>
      <c r="AB2469" t="s">
        <v>457</v>
      </c>
    </row>
    <row r="2470" spans="1:28">
      <c r="A2470" t="s">
        <v>122</v>
      </c>
      <c r="C2470" s="92">
        <v>4615461662</v>
      </c>
      <c r="D2470" s="93">
        <v>19200</v>
      </c>
      <c r="F2470" s="91">
        <v>16</v>
      </c>
      <c r="G2470" s="96">
        <v>5</v>
      </c>
      <c r="H2470" s="94">
        <v>0</v>
      </c>
      <c r="I2470" s="91">
        <v>0</v>
      </c>
      <c r="J2470" s="41"/>
      <c r="K2470" s="41">
        <v>43281</v>
      </c>
      <c r="L2470" s="69" t="s">
        <v>80</v>
      </c>
      <c r="M2470" s="69" t="s">
        <v>286</v>
      </c>
      <c r="N2470" s="95"/>
      <c r="P2470" t="s">
        <v>95</v>
      </c>
      <c r="Q2470" t="s">
        <v>120</v>
      </c>
      <c r="R2470" s="92" t="s">
        <v>69</v>
      </c>
      <c r="S2470" s="92" t="s">
        <v>123</v>
      </c>
      <c r="V2470" s="95">
        <v>43281</v>
      </c>
      <c r="W2470" s="92">
        <v>2030514</v>
      </c>
      <c r="X2470" s="90"/>
      <c r="Y2470" s="123"/>
      <c r="Z2470" s="30">
        <f t="shared" si="76"/>
        <v>6772.6006943194379</v>
      </c>
      <c r="AA2470" s="30">
        <f t="shared" si="77"/>
        <v>2116.4377169748245</v>
      </c>
      <c r="AB2470" t="s">
        <v>457</v>
      </c>
    </row>
    <row r="2471" spans="1:28">
      <c r="A2471" t="s">
        <v>122</v>
      </c>
      <c r="C2471" s="92">
        <v>4615461662</v>
      </c>
      <c r="D2471" s="93">
        <v>19200</v>
      </c>
      <c r="F2471" s="91">
        <v>16</v>
      </c>
      <c r="G2471" s="96">
        <v>5</v>
      </c>
      <c r="H2471" s="94">
        <v>0</v>
      </c>
      <c r="I2471" s="91">
        <v>0</v>
      </c>
      <c r="J2471" s="41"/>
      <c r="K2471" s="41">
        <v>43281</v>
      </c>
      <c r="L2471" s="69" t="s">
        <v>80</v>
      </c>
      <c r="M2471" s="69" t="s">
        <v>286</v>
      </c>
      <c r="N2471" s="95"/>
      <c r="P2471" t="s">
        <v>95</v>
      </c>
      <c r="Q2471" t="s">
        <v>120</v>
      </c>
      <c r="R2471" s="92" t="s">
        <v>69</v>
      </c>
      <c r="S2471" s="92" t="s">
        <v>123</v>
      </c>
      <c r="V2471" s="95">
        <v>43281</v>
      </c>
      <c r="W2471" s="92">
        <v>2030514</v>
      </c>
      <c r="X2471" s="90"/>
      <c r="Y2471" s="123"/>
      <c r="Z2471" s="30">
        <f t="shared" si="76"/>
        <v>6772.6006943194379</v>
      </c>
      <c r="AA2471" s="30">
        <f t="shared" si="77"/>
        <v>2116.4377169748245</v>
      </c>
      <c r="AB2471" t="s">
        <v>457</v>
      </c>
    </row>
    <row r="2472" spans="1:28">
      <c r="A2472" t="s">
        <v>122</v>
      </c>
      <c r="C2472" s="92">
        <v>4615461662</v>
      </c>
      <c r="D2472" s="93">
        <v>19200</v>
      </c>
      <c r="F2472" s="91">
        <v>16</v>
      </c>
      <c r="G2472" s="96">
        <v>5</v>
      </c>
      <c r="H2472" s="94">
        <v>0</v>
      </c>
      <c r="I2472" s="91">
        <v>0</v>
      </c>
      <c r="J2472" s="41"/>
      <c r="K2472" s="41">
        <v>43281</v>
      </c>
      <c r="L2472" s="69" t="s">
        <v>80</v>
      </c>
      <c r="M2472" s="69" t="s">
        <v>286</v>
      </c>
      <c r="N2472" s="95"/>
      <c r="P2472" t="s">
        <v>95</v>
      </c>
      <c r="Q2472" t="s">
        <v>120</v>
      </c>
      <c r="R2472" s="92" t="s">
        <v>69</v>
      </c>
      <c r="S2472" s="92" t="s">
        <v>123</v>
      </c>
      <c r="V2472" s="95">
        <v>43281</v>
      </c>
      <c r="W2472" s="92">
        <v>2030514</v>
      </c>
      <c r="X2472" s="90"/>
      <c r="Y2472" s="123"/>
      <c r="Z2472" s="30">
        <f t="shared" si="76"/>
        <v>6772.6006943194379</v>
      </c>
      <c r="AA2472" s="30">
        <f t="shared" si="77"/>
        <v>2116.4377169748245</v>
      </c>
      <c r="AB2472" t="s">
        <v>457</v>
      </c>
    </row>
    <row r="2473" spans="1:28">
      <c r="A2473" t="s">
        <v>122</v>
      </c>
      <c r="C2473" s="92">
        <v>4615461662</v>
      </c>
      <c r="D2473" s="93">
        <v>19200</v>
      </c>
      <c r="F2473" s="91">
        <v>16</v>
      </c>
      <c r="G2473" s="96">
        <v>5</v>
      </c>
      <c r="H2473" s="94">
        <v>0</v>
      </c>
      <c r="I2473" s="91">
        <v>0</v>
      </c>
      <c r="J2473" s="41"/>
      <c r="K2473" s="41">
        <v>43281</v>
      </c>
      <c r="L2473" s="69" t="s">
        <v>80</v>
      </c>
      <c r="M2473" s="69" t="s">
        <v>286</v>
      </c>
      <c r="N2473" s="95"/>
      <c r="P2473" t="s">
        <v>95</v>
      </c>
      <c r="Q2473" t="s">
        <v>120</v>
      </c>
      <c r="R2473" s="92" t="s">
        <v>69</v>
      </c>
      <c r="S2473" s="92" t="s">
        <v>123</v>
      </c>
      <c r="V2473" s="95">
        <v>43281</v>
      </c>
      <c r="W2473" s="92">
        <v>2030514</v>
      </c>
      <c r="X2473" s="90"/>
      <c r="Y2473" s="123"/>
      <c r="Z2473" s="30">
        <f t="shared" si="76"/>
        <v>6772.6006943194379</v>
      </c>
      <c r="AA2473" s="30">
        <f t="shared" si="77"/>
        <v>2116.4377169748245</v>
      </c>
      <c r="AB2473" t="s">
        <v>457</v>
      </c>
    </row>
    <row r="2474" spans="1:28">
      <c r="A2474" t="s">
        <v>122</v>
      </c>
      <c r="C2474" s="92">
        <v>4615477154</v>
      </c>
      <c r="D2474" s="93">
        <v>19200</v>
      </c>
      <c r="F2474" s="91">
        <v>16</v>
      </c>
      <c r="G2474" s="96">
        <v>5</v>
      </c>
      <c r="H2474" s="94">
        <v>0</v>
      </c>
      <c r="I2474" s="91">
        <v>0</v>
      </c>
      <c r="J2474" s="41"/>
      <c r="K2474" s="41">
        <v>43281</v>
      </c>
      <c r="L2474" s="69" t="s">
        <v>80</v>
      </c>
      <c r="M2474" s="69" t="s">
        <v>286</v>
      </c>
      <c r="N2474" s="95"/>
      <c r="P2474" t="s">
        <v>95</v>
      </c>
      <c r="Q2474" t="s">
        <v>120</v>
      </c>
      <c r="R2474" s="92" t="s">
        <v>69</v>
      </c>
      <c r="S2474" s="92" t="s">
        <v>123</v>
      </c>
      <c r="V2474" s="95">
        <v>43281</v>
      </c>
      <c r="W2474" s="92">
        <v>2030482</v>
      </c>
      <c r="X2474" s="90"/>
      <c r="Y2474" s="123"/>
      <c r="Z2474" s="30">
        <f t="shared" si="76"/>
        <v>6772.6006943194379</v>
      </c>
      <c r="AA2474" s="30">
        <f t="shared" si="77"/>
        <v>2116.4377169748245</v>
      </c>
      <c r="AB2474" t="s">
        <v>457</v>
      </c>
    </row>
    <row r="2475" spans="1:28">
      <c r="A2475" t="s">
        <v>122</v>
      </c>
      <c r="C2475" s="92">
        <v>4615477154</v>
      </c>
      <c r="D2475" s="93">
        <v>19200</v>
      </c>
      <c r="F2475" s="91">
        <v>16</v>
      </c>
      <c r="G2475" s="96">
        <v>5</v>
      </c>
      <c r="H2475" s="94">
        <v>0</v>
      </c>
      <c r="I2475" s="91">
        <v>0</v>
      </c>
      <c r="J2475" s="41"/>
      <c r="K2475" s="41">
        <v>43281</v>
      </c>
      <c r="L2475" s="69" t="s">
        <v>80</v>
      </c>
      <c r="M2475" s="69" t="s">
        <v>286</v>
      </c>
      <c r="N2475" s="95"/>
      <c r="P2475" t="s">
        <v>95</v>
      </c>
      <c r="Q2475" t="s">
        <v>120</v>
      </c>
      <c r="R2475" s="92" t="s">
        <v>69</v>
      </c>
      <c r="S2475" s="92" t="s">
        <v>123</v>
      </c>
      <c r="V2475" s="95">
        <v>43281</v>
      </c>
      <c r="W2475" s="92">
        <v>2030482</v>
      </c>
      <c r="X2475" s="90"/>
      <c r="Y2475" s="123"/>
      <c r="Z2475" s="30">
        <f t="shared" si="76"/>
        <v>6772.6006943194379</v>
      </c>
      <c r="AA2475" s="30">
        <f t="shared" si="77"/>
        <v>2116.4377169748245</v>
      </c>
      <c r="AB2475" t="s">
        <v>457</v>
      </c>
    </row>
    <row r="2476" spans="1:28">
      <c r="A2476" t="s">
        <v>122</v>
      </c>
      <c r="C2476" s="92">
        <v>4615477154</v>
      </c>
      <c r="D2476" s="93">
        <v>19200</v>
      </c>
      <c r="F2476" s="91">
        <v>16</v>
      </c>
      <c r="G2476" s="96">
        <v>5</v>
      </c>
      <c r="H2476" s="94">
        <v>0</v>
      </c>
      <c r="I2476" s="91">
        <v>0</v>
      </c>
      <c r="J2476" s="41"/>
      <c r="K2476" s="41">
        <v>43281</v>
      </c>
      <c r="L2476" s="69" t="s">
        <v>80</v>
      </c>
      <c r="M2476" s="69" t="s">
        <v>286</v>
      </c>
      <c r="N2476" s="95"/>
      <c r="P2476" t="s">
        <v>95</v>
      </c>
      <c r="Q2476" t="s">
        <v>120</v>
      </c>
      <c r="R2476" s="92" t="s">
        <v>69</v>
      </c>
      <c r="S2476" s="92" t="s">
        <v>123</v>
      </c>
      <c r="V2476" s="95">
        <v>43281</v>
      </c>
      <c r="W2476" s="92">
        <v>2030482</v>
      </c>
      <c r="X2476" s="90"/>
      <c r="Y2476" s="123"/>
      <c r="Z2476" s="30">
        <f t="shared" si="76"/>
        <v>6772.6006943194379</v>
      </c>
      <c r="AA2476" s="30">
        <f t="shared" si="77"/>
        <v>2116.4377169748245</v>
      </c>
      <c r="AB2476" t="s">
        <v>457</v>
      </c>
    </row>
    <row r="2477" spans="1:28">
      <c r="A2477" t="s">
        <v>122</v>
      </c>
      <c r="C2477" s="92">
        <v>4615477154</v>
      </c>
      <c r="D2477" s="93">
        <v>19200</v>
      </c>
      <c r="F2477" s="91">
        <v>16</v>
      </c>
      <c r="G2477" s="96">
        <v>5</v>
      </c>
      <c r="H2477" s="94">
        <v>0</v>
      </c>
      <c r="I2477" s="91">
        <v>0</v>
      </c>
      <c r="J2477" s="41"/>
      <c r="K2477" s="41">
        <v>43281</v>
      </c>
      <c r="L2477" s="69" t="s">
        <v>80</v>
      </c>
      <c r="M2477" s="69" t="s">
        <v>286</v>
      </c>
      <c r="N2477" s="95"/>
      <c r="P2477" t="s">
        <v>95</v>
      </c>
      <c r="Q2477" t="s">
        <v>120</v>
      </c>
      <c r="R2477" s="92" t="s">
        <v>69</v>
      </c>
      <c r="S2477" s="92" t="s">
        <v>123</v>
      </c>
      <c r="V2477" s="95">
        <v>43281</v>
      </c>
      <c r="W2477" s="92">
        <v>2030482</v>
      </c>
      <c r="X2477" s="90"/>
      <c r="Y2477" s="123"/>
      <c r="Z2477" s="30">
        <f t="shared" si="76"/>
        <v>6772.6006943194379</v>
      </c>
      <c r="AA2477" s="30">
        <f t="shared" si="77"/>
        <v>2116.4377169748245</v>
      </c>
      <c r="AB2477" t="s">
        <v>457</v>
      </c>
    </row>
    <row r="2478" spans="1:28">
      <c r="A2478" t="s">
        <v>122</v>
      </c>
      <c r="C2478" s="92">
        <v>4615477154</v>
      </c>
      <c r="D2478" s="93">
        <v>19200</v>
      </c>
      <c r="F2478" s="91">
        <v>16</v>
      </c>
      <c r="G2478" s="96">
        <v>5</v>
      </c>
      <c r="H2478" s="94">
        <v>0</v>
      </c>
      <c r="I2478" s="91">
        <v>0</v>
      </c>
      <c r="J2478" s="41"/>
      <c r="K2478" s="41">
        <v>43281</v>
      </c>
      <c r="L2478" s="69" t="s">
        <v>80</v>
      </c>
      <c r="M2478" s="69" t="s">
        <v>286</v>
      </c>
      <c r="N2478" s="95"/>
      <c r="P2478" t="s">
        <v>95</v>
      </c>
      <c r="Q2478" t="s">
        <v>120</v>
      </c>
      <c r="R2478" s="92" t="s">
        <v>69</v>
      </c>
      <c r="S2478" s="92" t="s">
        <v>123</v>
      </c>
      <c r="V2478" s="95">
        <v>43281</v>
      </c>
      <c r="W2478" s="92">
        <v>2030482</v>
      </c>
      <c r="X2478" s="90"/>
      <c r="Y2478" s="123"/>
      <c r="Z2478" s="30">
        <f t="shared" si="76"/>
        <v>6772.6006943194379</v>
      </c>
      <c r="AA2478" s="30">
        <f t="shared" si="77"/>
        <v>2116.4377169748245</v>
      </c>
      <c r="AB2478" t="s">
        <v>457</v>
      </c>
    </row>
    <row r="2479" spans="1:28">
      <c r="A2479" t="s">
        <v>122</v>
      </c>
      <c r="C2479" s="92">
        <v>4615477154</v>
      </c>
      <c r="D2479" s="93">
        <v>19200</v>
      </c>
      <c r="F2479" s="91">
        <v>16</v>
      </c>
      <c r="G2479" s="96">
        <v>5</v>
      </c>
      <c r="H2479" s="94">
        <v>0</v>
      </c>
      <c r="I2479" s="91">
        <v>0</v>
      </c>
      <c r="J2479" s="41"/>
      <c r="K2479" s="41">
        <v>43281</v>
      </c>
      <c r="L2479" s="69" t="s">
        <v>80</v>
      </c>
      <c r="M2479" s="69" t="s">
        <v>286</v>
      </c>
      <c r="N2479" s="95"/>
      <c r="P2479" t="s">
        <v>95</v>
      </c>
      <c r="Q2479" t="s">
        <v>120</v>
      </c>
      <c r="R2479" s="92" t="s">
        <v>69</v>
      </c>
      <c r="S2479" s="92" t="s">
        <v>123</v>
      </c>
      <c r="V2479" s="95">
        <v>43281</v>
      </c>
      <c r="W2479" s="92">
        <v>2030482</v>
      </c>
      <c r="X2479" s="90"/>
      <c r="Y2479" s="123"/>
      <c r="Z2479" s="30">
        <f t="shared" si="76"/>
        <v>6772.6006943194379</v>
      </c>
      <c r="AA2479" s="30">
        <f t="shared" si="77"/>
        <v>2116.4377169748245</v>
      </c>
      <c r="AB2479" t="s">
        <v>457</v>
      </c>
    </row>
    <row r="2480" spans="1:28">
      <c r="A2480" t="s">
        <v>122</v>
      </c>
      <c r="C2480" s="92">
        <v>4615477154</v>
      </c>
      <c r="D2480" s="93">
        <v>19200</v>
      </c>
      <c r="F2480" s="91">
        <v>16</v>
      </c>
      <c r="G2480" s="96">
        <v>5</v>
      </c>
      <c r="H2480" s="94">
        <v>0</v>
      </c>
      <c r="I2480" s="91">
        <v>0</v>
      </c>
      <c r="J2480" s="41"/>
      <c r="K2480" s="41">
        <v>43281</v>
      </c>
      <c r="L2480" s="69" t="s">
        <v>80</v>
      </c>
      <c r="M2480" s="69" t="s">
        <v>286</v>
      </c>
      <c r="N2480" s="95"/>
      <c r="P2480" t="s">
        <v>95</v>
      </c>
      <c r="Q2480" t="s">
        <v>120</v>
      </c>
      <c r="R2480" s="92" t="s">
        <v>69</v>
      </c>
      <c r="S2480" s="92" t="s">
        <v>123</v>
      </c>
      <c r="V2480" s="95">
        <v>43281</v>
      </c>
      <c r="W2480" s="92">
        <v>2030482</v>
      </c>
      <c r="X2480" s="90"/>
      <c r="Y2480" s="123"/>
      <c r="Z2480" s="30">
        <f t="shared" si="76"/>
        <v>6772.6006943194379</v>
      </c>
      <c r="AA2480" s="30">
        <f t="shared" si="77"/>
        <v>2116.4377169748245</v>
      </c>
      <c r="AB2480" t="s">
        <v>457</v>
      </c>
    </row>
    <row r="2481" spans="1:28">
      <c r="A2481" t="s">
        <v>122</v>
      </c>
      <c r="C2481" s="92">
        <v>4615477154</v>
      </c>
      <c r="D2481" s="93">
        <v>19200</v>
      </c>
      <c r="F2481" s="91">
        <v>16</v>
      </c>
      <c r="G2481" s="96">
        <v>5</v>
      </c>
      <c r="H2481" s="94">
        <v>0</v>
      </c>
      <c r="I2481" s="91">
        <v>0</v>
      </c>
      <c r="J2481" s="41"/>
      <c r="K2481" s="41">
        <v>43281</v>
      </c>
      <c r="L2481" s="69" t="s">
        <v>80</v>
      </c>
      <c r="M2481" s="69" t="s">
        <v>286</v>
      </c>
      <c r="N2481" s="95"/>
      <c r="P2481" t="s">
        <v>95</v>
      </c>
      <c r="Q2481" t="s">
        <v>120</v>
      </c>
      <c r="R2481" s="92" t="s">
        <v>69</v>
      </c>
      <c r="S2481" s="92" t="s">
        <v>123</v>
      </c>
      <c r="V2481" s="95">
        <v>43281</v>
      </c>
      <c r="W2481" s="92">
        <v>2030482</v>
      </c>
      <c r="X2481" s="90"/>
      <c r="Y2481" s="123"/>
      <c r="Z2481" s="30">
        <f t="shared" si="76"/>
        <v>6772.6006943194379</v>
      </c>
      <c r="AA2481" s="30">
        <f t="shared" si="77"/>
        <v>2116.4377169748245</v>
      </c>
      <c r="AB2481" t="s">
        <v>457</v>
      </c>
    </row>
    <row r="2482" spans="1:28">
      <c r="A2482" t="s">
        <v>122</v>
      </c>
      <c r="C2482" s="92">
        <v>4615477154</v>
      </c>
      <c r="D2482" s="93">
        <v>19200</v>
      </c>
      <c r="F2482" s="91">
        <v>16</v>
      </c>
      <c r="G2482" s="96">
        <v>5</v>
      </c>
      <c r="H2482" s="94">
        <v>0</v>
      </c>
      <c r="I2482" s="91">
        <v>0</v>
      </c>
      <c r="J2482" s="41"/>
      <c r="K2482" s="41">
        <v>43281</v>
      </c>
      <c r="L2482" s="69" t="s">
        <v>80</v>
      </c>
      <c r="M2482" s="69" t="s">
        <v>286</v>
      </c>
      <c r="N2482" s="95"/>
      <c r="P2482" t="s">
        <v>95</v>
      </c>
      <c r="Q2482" t="s">
        <v>120</v>
      </c>
      <c r="R2482" s="92" t="s">
        <v>69</v>
      </c>
      <c r="S2482" s="92" t="s">
        <v>123</v>
      </c>
      <c r="V2482" s="95">
        <v>43281</v>
      </c>
      <c r="W2482" s="92">
        <v>2030482</v>
      </c>
      <c r="X2482" s="90"/>
      <c r="Y2482" s="123"/>
      <c r="Z2482" s="30">
        <f t="shared" si="76"/>
        <v>6772.6006943194379</v>
      </c>
      <c r="AA2482" s="30">
        <f t="shared" si="77"/>
        <v>2116.4377169748245</v>
      </c>
      <c r="AB2482" t="s">
        <v>457</v>
      </c>
    </row>
    <row r="2483" spans="1:28">
      <c r="A2483" t="s">
        <v>122</v>
      </c>
      <c r="C2483" s="92">
        <v>4615477154</v>
      </c>
      <c r="D2483" s="93">
        <v>19200</v>
      </c>
      <c r="F2483" s="91">
        <v>16</v>
      </c>
      <c r="G2483" s="96">
        <v>5</v>
      </c>
      <c r="H2483" s="94">
        <v>0</v>
      </c>
      <c r="I2483" s="91">
        <v>0</v>
      </c>
      <c r="J2483" s="41"/>
      <c r="K2483" s="41">
        <v>43281</v>
      </c>
      <c r="L2483" s="69" t="s">
        <v>80</v>
      </c>
      <c r="M2483" s="69" t="s">
        <v>286</v>
      </c>
      <c r="N2483" s="95"/>
      <c r="P2483" t="s">
        <v>95</v>
      </c>
      <c r="Q2483" t="s">
        <v>120</v>
      </c>
      <c r="R2483" s="92" t="s">
        <v>69</v>
      </c>
      <c r="S2483" s="92" t="s">
        <v>123</v>
      </c>
      <c r="V2483" s="95">
        <v>43281</v>
      </c>
      <c r="W2483" s="92">
        <v>2030482</v>
      </c>
      <c r="X2483" s="90"/>
      <c r="Y2483" s="123"/>
      <c r="Z2483" s="30">
        <f t="shared" si="76"/>
        <v>6772.6006943194379</v>
      </c>
      <c r="AA2483" s="30">
        <f t="shared" si="77"/>
        <v>2116.4377169748245</v>
      </c>
      <c r="AB2483" t="s">
        <v>457</v>
      </c>
    </row>
    <row r="2484" spans="1:28">
      <c r="A2484" t="s">
        <v>122</v>
      </c>
      <c r="C2484" s="92">
        <v>4615460411</v>
      </c>
      <c r="D2484" s="93">
        <v>19200</v>
      </c>
      <c r="F2484" s="91">
        <v>16</v>
      </c>
      <c r="G2484" s="96">
        <v>5</v>
      </c>
      <c r="H2484" s="94">
        <v>0</v>
      </c>
      <c r="I2484" s="91">
        <v>0</v>
      </c>
      <c r="J2484" s="41"/>
      <c r="K2484" s="41">
        <v>43281</v>
      </c>
      <c r="L2484" s="69" t="s">
        <v>80</v>
      </c>
      <c r="M2484" s="69" t="s">
        <v>286</v>
      </c>
      <c r="N2484" s="95"/>
      <c r="P2484" t="s">
        <v>95</v>
      </c>
      <c r="Q2484" t="s">
        <v>120</v>
      </c>
      <c r="R2484" s="92" t="s">
        <v>69</v>
      </c>
      <c r="S2484" s="92" t="s">
        <v>123</v>
      </c>
      <c r="V2484" s="95">
        <v>43281</v>
      </c>
      <c r="W2484" s="92">
        <v>2030493</v>
      </c>
      <c r="X2484" s="90"/>
      <c r="Y2484" s="123"/>
      <c r="Z2484" s="30">
        <f t="shared" si="76"/>
        <v>6772.6006943194379</v>
      </c>
      <c r="AA2484" s="30">
        <f t="shared" si="77"/>
        <v>2116.4377169748245</v>
      </c>
      <c r="AB2484" t="s">
        <v>457</v>
      </c>
    </row>
    <row r="2485" spans="1:28">
      <c r="A2485" t="s">
        <v>122</v>
      </c>
      <c r="C2485" s="92">
        <v>4615460411</v>
      </c>
      <c r="D2485" s="93">
        <v>19200</v>
      </c>
      <c r="F2485" s="91">
        <v>16</v>
      </c>
      <c r="G2485" s="96">
        <v>5</v>
      </c>
      <c r="H2485" s="94">
        <v>0</v>
      </c>
      <c r="I2485" s="91">
        <v>0</v>
      </c>
      <c r="J2485" s="41"/>
      <c r="K2485" s="41">
        <v>43281</v>
      </c>
      <c r="L2485" s="69" t="s">
        <v>80</v>
      </c>
      <c r="M2485" s="69" t="s">
        <v>286</v>
      </c>
      <c r="N2485" s="95"/>
      <c r="P2485" t="s">
        <v>95</v>
      </c>
      <c r="Q2485" t="s">
        <v>120</v>
      </c>
      <c r="R2485" s="92" t="s">
        <v>69</v>
      </c>
      <c r="S2485" s="92" t="s">
        <v>123</v>
      </c>
      <c r="V2485" s="95">
        <v>43281</v>
      </c>
      <c r="W2485" s="92">
        <v>2030493</v>
      </c>
      <c r="X2485" s="90"/>
      <c r="Y2485" s="123"/>
      <c r="Z2485" s="30">
        <f t="shared" si="76"/>
        <v>6772.6006943194379</v>
      </c>
      <c r="AA2485" s="30">
        <f t="shared" si="77"/>
        <v>2116.4377169748245</v>
      </c>
      <c r="AB2485" t="s">
        <v>457</v>
      </c>
    </row>
    <row r="2486" spans="1:28">
      <c r="A2486" t="s">
        <v>122</v>
      </c>
      <c r="C2486" s="92">
        <v>4615460411</v>
      </c>
      <c r="D2486" s="93">
        <v>19200</v>
      </c>
      <c r="F2486" s="91">
        <v>16</v>
      </c>
      <c r="G2486" s="96">
        <v>5</v>
      </c>
      <c r="H2486" s="94">
        <v>0</v>
      </c>
      <c r="I2486" s="91">
        <v>0</v>
      </c>
      <c r="J2486" s="41"/>
      <c r="K2486" s="41">
        <v>43281</v>
      </c>
      <c r="L2486" s="69" t="s">
        <v>80</v>
      </c>
      <c r="M2486" s="69" t="s">
        <v>286</v>
      </c>
      <c r="N2486" s="95"/>
      <c r="P2486" t="s">
        <v>95</v>
      </c>
      <c r="Q2486" t="s">
        <v>120</v>
      </c>
      <c r="R2486" s="92" t="s">
        <v>69</v>
      </c>
      <c r="S2486" s="92" t="s">
        <v>123</v>
      </c>
      <c r="V2486" s="95">
        <v>43281</v>
      </c>
      <c r="W2486" s="92">
        <v>2030493</v>
      </c>
      <c r="X2486" s="90"/>
      <c r="Y2486" s="123"/>
      <c r="Z2486" s="30">
        <f t="shared" si="76"/>
        <v>6772.6006943194379</v>
      </c>
      <c r="AA2486" s="30">
        <f t="shared" si="77"/>
        <v>2116.4377169748245</v>
      </c>
      <c r="AB2486" t="s">
        <v>457</v>
      </c>
    </row>
    <row r="2487" spans="1:28">
      <c r="A2487" t="s">
        <v>113</v>
      </c>
      <c r="C2487" s="92">
        <v>4615457385</v>
      </c>
      <c r="D2487" s="93">
        <v>20700</v>
      </c>
      <c r="F2487" s="91">
        <v>16</v>
      </c>
      <c r="G2487" s="91">
        <v>0</v>
      </c>
      <c r="H2487" s="94">
        <v>0</v>
      </c>
      <c r="I2487" s="91">
        <v>0</v>
      </c>
      <c r="J2487" s="41"/>
      <c r="K2487" s="41">
        <v>43281</v>
      </c>
      <c r="L2487" s="69" t="s">
        <v>80</v>
      </c>
      <c r="M2487" s="69" t="s">
        <v>286</v>
      </c>
      <c r="N2487" s="95"/>
      <c r="P2487" t="s">
        <v>95</v>
      </c>
      <c r="Q2487" t="s">
        <v>110</v>
      </c>
      <c r="R2487" s="92" t="s">
        <v>69</v>
      </c>
      <c r="S2487" s="92" t="s">
        <v>115</v>
      </c>
      <c r="V2487" s="95">
        <v>43281</v>
      </c>
      <c r="W2487" s="92">
        <v>17070155</v>
      </c>
      <c r="X2487" s="90" t="s">
        <v>314</v>
      </c>
      <c r="Y2487" s="123"/>
      <c r="Z2487" s="30">
        <f t="shared" si="76"/>
        <v>7301.7101235631453</v>
      </c>
      <c r="AA2487" s="30">
        <f t="shared" si="77"/>
        <v>0</v>
      </c>
      <c r="AB2487" t="s">
        <v>457</v>
      </c>
    </row>
    <row r="2488" spans="1:28">
      <c r="A2488" t="s">
        <v>113</v>
      </c>
      <c r="C2488" s="92">
        <v>4615457385</v>
      </c>
      <c r="D2488" s="93">
        <v>20700</v>
      </c>
      <c r="F2488" s="91">
        <v>16</v>
      </c>
      <c r="G2488" s="91">
        <v>0</v>
      </c>
      <c r="H2488" s="94">
        <v>0</v>
      </c>
      <c r="I2488" s="91">
        <v>0</v>
      </c>
      <c r="J2488" s="41"/>
      <c r="K2488" s="41">
        <v>43281</v>
      </c>
      <c r="L2488" s="69" t="s">
        <v>80</v>
      </c>
      <c r="M2488" s="69" t="s">
        <v>286</v>
      </c>
      <c r="N2488" s="95"/>
      <c r="P2488" t="s">
        <v>95</v>
      </c>
      <c r="Q2488" t="s">
        <v>110</v>
      </c>
      <c r="R2488" s="92" t="s">
        <v>69</v>
      </c>
      <c r="S2488" s="92" t="s">
        <v>115</v>
      </c>
      <c r="V2488" s="95">
        <v>43281</v>
      </c>
      <c r="W2488" s="92">
        <v>17070155</v>
      </c>
      <c r="X2488" s="90" t="s">
        <v>314</v>
      </c>
      <c r="Y2488" s="123"/>
      <c r="Z2488" s="30">
        <f t="shared" si="76"/>
        <v>7301.7101235631453</v>
      </c>
      <c r="AA2488" s="30">
        <f t="shared" si="77"/>
        <v>0</v>
      </c>
      <c r="AB2488" t="s">
        <v>457</v>
      </c>
    </row>
    <row r="2489" spans="1:28">
      <c r="A2489" t="s">
        <v>113</v>
      </c>
      <c r="C2489" s="92">
        <v>4615457385</v>
      </c>
      <c r="D2489" s="93">
        <v>20700</v>
      </c>
      <c r="F2489" s="91">
        <v>16</v>
      </c>
      <c r="G2489" s="91">
        <v>0</v>
      </c>
      <c r="H2489" s="94">
        <v>0</v>
      </c>
      <c r="I2489" s="91">
        <v>0</v>
      </c>
      <c r="J2489" s="41"/>
      <c r="K2489" s="41">
        <v>43281</v>
      </c>
      <c r="L2489" s="69" t="s">
        <v>80</v>
      </c>
      <c r="M2489" s="69" t="s">
        <v>286</v>
      </c>
      <c r="N2489" s="95"/>
      <c r="P2489" t="s">
        <v>95</v>
      </c>
      <c r="Q2489" t="s">
        <v>110</v>
      </c>
      <c r="R2489" s="92" t="s">
        <v>69</v>
      </c>
      <c r="S2489" s="92" t="s">
        <v>115</v>
      </c>
      <c r="V2489" s="95">
        <v>43281</v>
      </c>
      <c r="W2489" s="92">
        <v>17070155</v>
      </c>
      <c r="X2489" s="90" t="s">
        <v>314</v>
      </c>
      <c r="Y2489" s="123"/>
      <c r="Z2489" s="30">
        <f t="shared" si="76"/>
        <v>7301.7101235631453</v>
      </c>
      <c r="AA2489" s="30">
        <f t="shared" si="77"/>
        <v>0</v>
      </c>
      <c r="AB2489" t="s">
        <v>457</v>
      </c>
    </row>
    <row r="2490" spans="1:28">
      <c r="A2490" t="s">
        <v>113</v>
      </c>
      <c r="C2490" s="92">
        <v>4615457385</v>
      </c>
      <c r="D2490" s="93">
        <v>20700</v>
      </c>
      <c r="F2490" s="91">
        <v>16</v>
      </c>
      <c r="G2490" s="91">
        <v>0</v>
      </c>
      <c r="H2490" s="94">
        <v>0</v>
      </c>
      <c r="I2490" s="91">
        <v>0</v>
      </c>
      <c r="J2490" s="41"/>
      <c r="K2490" s="41">
        <v>43281</v>
      </c>
      <c r="L2490" s="69" t="s">
        <v>80</v>
      </c>
      <c r="M2490" s="69" t="s">
        <v>286</v>
      </c>
      <c r="N2490" s="95"/>
      <c r="P2490" t="s">
        <v>95</v>
      </c>
      <c r="Q2490" t="s">
        <v>110</v>
      </c>
      <c r="R2490" s="92" t="s">
        <v>69</v>
      </c>
      <c r="S2490" s="92" t="s">
        <v>115</v>
      </c>
      <c r="V2490" s="95">
        <v>43281</v>
      </c>
      <c r="W2490" s="92">
        <v>17070155</v>
      </c>
      <c r="X2490" s="90" t="s">
        <v>314</v>
      </c>
      <c r="Y2490" s="123"/>
      <c r="Z2490" s="30">
        <f t="shared" si="76"/>
        <v>7301.7101235631453</v>
      </c>
      <c r="AA2490" s="30">
        <f t="shared" si="77"/>
        <v>0</v>
      </c>
      <c r="AB2490" t="s">
        <v>457</v>
      </c>
    </row>
    <row r="2491" spans="1:28">
      <c r="A2491" t="s">
        <v>113</v>
      </c>
      <c r="C2491" s="92">
        <v>4615457385</v>
      </c>
      <c r="D2491" s="93">
        <v>20700</v>
      </c>
      <c r="F2491" s="91">
        <v>16</v>
      </c>
      <c r="G2491" s="91">
        <v>0</v>
      </c>
      <c r="H2491" s="94">
        <v>0</v>
      </c>
      <c r="I2491" s="91">
        <v>0</v>
      </c>
      <c r="J2491" s="41"/>
      <c r="K2491" s="41">
        <v>43281</v>
      </c>
      <c r="L2491" s="69" t="s">
        <v>80</v>
      </c>
      <c r="M2491" s="69" t="s">
        <v>286</v>
      </c>
      <c r="N2491" s="95"/>
      <c r="P2491" t="s">
        <v>95</v>
      </c>
      <c r="Q2491" t="s">
        <v>110</v>
      </c>
      <c r="R2491" s="92" t="s">
        <v>69</v>
      </c>
      <c r="S2491" s="92" t="s">
        <v>115</v>
      </c>
      <c r="V2491" s="95">
        <v>43281</v>
      </c>
      <c r="W2491" s="92">
        <v>17070155</v>
      </c>
      <c r="X2491" s="90" t="s">
        <v>314</v>
      </c>
      <c r="Y2491" s="123"/>
      <c r="Z2491" s="30">
        <f t="shared" si="76"/>
        <v>7301.7101235631453</v>
      </c>
      <c r="AA2491" s="30">
        <f t="shared" si="77"/>
        <v>0</v>
      </c>
      <c r="AB2491" t="s">
        <v>457</v>
      </c>
    </row>
    <row r="2492" spans="1:28">
      <c r="A2492" t="s">
        <v>113</v>
      </c>
      <c r="C2492" s="92">
        <v>4615457385</v>
      </c>
      <c r="D2492" s="93">
        <v>20700</v>
      </c>
      <c r="F2492" s="91">
        <v>16</v>
      </c>
      <c r="G2492" s="91">
        <v>0</v>
      </c>
      <c r="H2492" s="94">
        <v>0</v>
      </c>
      <c r="I2492" s="91">
        <v>0</v>
      </c>
      <c r="J2492" s="41"/>
      <c r="K2492" s="41">
        <v>43281</v>
      </c>
      <c r="L2492" s="69" t="s">
        <v>80</v>
      </c>
      <c r="M2492" s="69" t="s">
        <v>286</v>
      </c>
      <c r="N2492" s="95"/>
      <c r="P2492" t="s">
        <v>95</v>
      </c>
      <c r="Q2492" t="s">
        <v>110</v>
      </c>
      <c r="R2492" s="92" t="s">
        <v>69</v>
      </c>
      <c r="S2492" s="92" t="s">
        <v>115</v>
      </c>
      <c r="V2492" s="95">
        <v>43281</v>
      </c>
      <c r="W2492" s="92">
        <v>17070155</v>
      </c>
      <c r="X2492" s="90" t="s">
        <v>314</v>
      </c>
      <c r="Y2492" s="123"/>
      <c r="Z2492" s="30">
        <f t="shared" si="76"/>
        <v>7301.7101235631453</v>
      </c>
      <c r="AA2492" s="30">
        <f t="shared" si="77"/>
        <v>0</v>
      </c>
      <c r="AB2492" t="s">
        <v>457</v>
      </c>
    </row>
    <row r="2493" spans="1:28">
      <c r="A2493" t="s">
        <v>113</v>
      </c>
      <c r="C2493" s="92">
        <v>4615457385</v>
      </c>
      <c r="D2493" s="93">
        <v>20700</v>
      </c>
      <c r="F2493" s="91">
        <v>16</v>
      </c>
      <c r="G2493" s="91">
        <v>0</v>
      </c>
      <c r="H2493" s="94">
        <v>0</v>
      </c>
      <c r="I2493" s="91">
        <v>0</v>
      </c>
      <c r="J2493" s="41"/>
      <c r="K2493" s="41">
        <v>43281</v>
      </c>
      <c r="L2493" s="69" t="s">
        <v>80</v>
      </c>
      <c r="M2493" s="69" t="s">
        <v>286</v>
      </c>
      <c r="N2493" s="95"/>
      <c r="P2493" t="s">
        <v>95</v>
      </c>
      <c r="Q2493" t="s">
        <v>110</v>
      </c>
      <c r="R2493" s="92" t="s">
        <v>69</v>
      </c>
      <c r="S2493" s="92" t="s">
        <v>115</v>
      </c>
      <c r="V2493" s="95">
        <v>43281</v>
      </c>
      <c r="W2493" s="92">
        <v>17070155</v>
      </c>
      <c r="X2493" s="90" t="s">
        <v>314</v>
      </c>
      <c r="Y2493" s="123"/>
      <c r="Z2493" s="30">
        <f t="shared" si="76"/>
        <v>7301.7101235631453</v>
      </c>
      <c r="AA2493" s="30">
        <f t="shared" si="77"/>
        <v>0</v>
      </c>
      <c r="AB2493" t="s">
        <v>457</v>
      </c>
    </row>
    <row r="2494" spans="1:28">
      <c r="A2494" t="s">
        <v>113</v>
      </c>
      <c r="C2494" s="92">
        <v>4615457385</v>
      </c>
      <c r="D2494" s="93">
        <v>20700</v>
      </c>
      <c r="F2494" s="91">
        <v>16</v>
      </c>
      <c r="G2494" s="91">
        <v>0</v>
      </c>
      <c r="H2494" s="94">
        <v>0</v>
      </c>
      <c r="I2494" s="91">
        <v>0</v>
      </c>
      <c r="J2494" s="41"/>
      <c r="K2494" s="41">
        <v>43281</v>
      </c>
      <c r="L2494" s="69" t="s">
        <v>80</v>
      </c>
      <c r="M2494" s="69" t="s">
        <v>286</v>
      </c>
      <c r="N2494" s="95"/>
      <c r="P2494" t="s">
        <v>95</v>
      </c>
      <c r="Q2494" t="s">
        <v>110</v>
      </c>
      <c r="R2494" s="92" t="s">
        <v>69</v>
      </c>
      <c r="S2494" s="92" t="s">
        <v>115</v>
      </c>
      <c r="V2494" s="95">
        <v>43281</v>
      </c>
      <c r="W2494" s="92">
        <v>17070155</v>
      </c>
      <c r="X2494" s="90" t="s">
        <v>314</v>
      </c>
      <c r="Y2494" s="123"/>
      <c r="Z2494" s="30">
        <f t="shared" si="76"/>
        <v>7301.7101235631453</v>
      </c>
      <c r="AA2494" s="30">
        <f t="shared" si="77"/>
        <v>0</v>
      </c>
      <c r="AB2494" t="s">
        <v>457</v>
      </c>
    </row>
    <row r="2495" spans="1:28">
      <c r="A2495" t="s">
        <v>113</v>
      </c>
      <c r="C2495" s="92">
        <v>4615457385</v>
      </c>
      <c r="D2495" s="93">
        <v>20700</v>
      </c>
      <c r="F2495" s="91">
        <v>16</v>
      </c>
      <c r="G2495" s="91">
        <v>0</v>
      </c>
      <c r="H2495" s="94">
        <v>0</v>
      </c>
      <c r="I2495" s="91">
        <v>0</v>
      </c>
      <c r="J2495" s="41"/>
      <c r="K2495" s="41">
        <v>43281</v>
      </c>
      <c r="L2495" s="69" t="s">
        <v>80</v>
      </c>
      <c r="M2495" s="69" t="s">
        <v>286</v>
      </c>
      <c r="N2495" s="95"/>
      <c r="P2495" t="s">
        <v>95</v>
      </c>
      <c r="Q2495" t="s">
        <v>110</v>
      </c>
      <c r="R2495" s="92" t="s">
        <v>69</v>
      </c>
      <c r="S2495" s="92" t="s">
        <v>115</v>
      </c>
      <c r="V2495" s="95">
        <v>43281</v>
      </c>
      <c r="W2495" s="92">
        <v>17070155</v>
      </c>
      <c r="X2495" s="90" t="s">
        <v>314</v>
      </c>
      <c r="Y2495" s="123"/>
      <c r="Z2495" s="30">
        <f t="shared" si="76"/>
        <v>7301.7101235631453</v>
      </c>
      <c r="AA2495" s="30">
        <f t="shared" si="77"/>
        <v>0</v>
      </c>
      <c r="AB2495" t="s">
        <v>457</v>
      </c>
    </row>
    <row r="2496" spans="1:28">
      <c r="A2496" t="s">
        <v>113</v>
      </c>
      <c r="C2496" s="92">
        <v>4615457385</v>
      </c>
      <c r="D2496" s="93">
        <v>20700</v>
      </c>
      <c r="F2496" s="91">
        <v>16</v>
      </c>
      <c r="G2496" s="91">
        <v>0</v>
      </c>
      <c r="H2496" s="94">
        <v>0</v>
      </c>
      <c r="I2496" s="91">
        <v>0</v>
      </c>
      <c r="J2496" s="41"/>
      <c r="K2496" s="41">
        <v>43281</v>
      </c>
      <c r="L2496" s="69" t="s">
        <v>80</v>
      </c>
      <c r="M2496" s="69" t="s">
        <v>286</v>
      </c>
      <c r="N2496" s="95"/>
      <c r="P2496" t="s">
        <v>95</v>
      </c>
      <c r="Q2496" t="s">
        <v>110</v>
      </c>
      <c r="R2496" s="92" t="s">
        <v>69</v>
      </c>
      <c r="S2496" s="92" t="s">
        <v>115</v>
      </c>
      <c r="V2496" s="95">
        <v>43281</v>
      </c>
      <c r="W2496" s="92">
        <v>17070155</v>
      </c>
      <c r="X2496" s="90" t="s">
        <v>314</v>
      </c>
      <c r="Y2496" s="123"/>
      <c r="Z2496" s="30">
        <f t="shared" si="76"/>
        <v>7301.7101235631453</v>
      </c>
      <c r="AA2496" s="30">
        <f t="shared" si="77"/>
        <v>0</v>
      </c>
      <c r="AB2496" t="s">
        <v>457</v>
      </c>
    </row>
    <row r="2497" spans="1:28">
      <c r="A2497" t="s">
        <v>113</v>
      </c>
      <c r="C2497" s="92">
        <v>4615457385</v>
      </c>
      <c r="D2497" s="93">
        <v>20700</v>
      </c>
      <c r="F2497" s="91">
        <v>16</v>
      </c>
      <c r="G2497" s="91">
        <v>0</v>
      </c>
      <c r="H2497" s="94">
        <v>0</v>
      </c>
      <c r="I2497" s="91">
        <v>0</v>
      </c>
      <c r="J2497" s="41"/>
      <c r="K2497" s="41">
        <v>43281</v>
      </c>
      <c r="L2497" s="69" t="s">
        <v>80</v>
      </c>
      <c r="M2497" s="69" t="s">
        <v>286</v>
      </c>
      <c r="N2497" s="95"/>
      <c r="P2497" t="s">
        <v>95</v>
      </c>
      <c r="Q2497" t="s">
        <v>110</v>
      </c>
      <c r="R2497" s="92" t="s">
        <v>69</v>
      </c>
      <c r="S2497" s="92" t="s">
        <v>115</v>
      </c>
      <c r="V2497" s="95">
        <v>43281</v>
      </c>
      <c r="W2497" s="92">
        <v>17070155</v>
      </c>
      <c r="X2497" s="90" t="s">
        <v>314</v>
      </c>
      <c r="Y2497" s="123"/>
      <c r="Z2497" s="30">
        <f t="shared" si="76"/>
        <v>7301.7101235631453</v>
      </c>
      <c r="AA2497" s="30">
        <f t="shared" si="77"/>
        <v>0</v>
      </c>
      <c r="AB2497" t="s">
        <v>457</v>
      </c>
    </row>
    <row r="2498" spans="1:28">
      <c r="A2498" t="s">
        <v>113</v>
      </c>
      <c r="C2498" s="92">
        <v>4615457385</v>
      </c>
      <c r="D2498" s="93">
        <v>20700</v>
      </c>
      <c r="F2498" s="91">
        <v>16</v>
      </c>
      <c r="G2498" s="91">
        <v>0</v>
      </c>
      <c r="H2498" s="94">
        <v>0</v>
      </c>
      <c r="I2498" s="91">
        <v>0</v>
      </c>
      <c r="J2498" s="41"/>
      <c r="K2498" s="41">
        <v>43281</v>
      </c>
      <c r="L2498" s="69" t="s">
        <v>80</v>
      </c>
      <c r="M2498" s="69" t="s">
        <v>286</v>
      </c>
      <c r="N2498" s="95"/>
      <c r="P2498" t="s">
        <v>95</v>
      </c>
      <c r="Q2498" t="s">
        <v>110</v>
      </c>
      <c r="R2498" s="92" t="s">
        <v>69</v>
      </c>
      <c r="S2498" s="92" t="s">
        <v>115</v>
      </c>
      <c r="V2498" s="95">
        <v>43281</v>
      </c>
      <c r="W2498" s="92">
        <v>17070155</v>
      </c>
      <c r="X2498" s="90" t="s">
        <v>314</v>
      </c>
      <c r="Y2498" s="123"/>
      <c r="Z2498" s="30">
        <f t="shared" si="76"/>
        <v>7301.7101235631453</v>
      </c>
      <c r="AA2498" s="30">
        <f t="shared" si="77"/>
        <v>0</v>
      </c>
      <c r="AB2498" t="s">
        <v>457</v>
      </c>
    </row>
    <row r="2499" spans="1:28">
      <c r="A2499" t="s">
        <v>113</v>
      </c>
      <c r="C2499" s="92">
        <v>4615457385</v>
      </c>
      <c r="D2499" s="93">
        <v>20700</v>
      </c>
      <c r="F2499" s="91">
        <v>16</v>
      </c>
      <c r="G2499" s="91">
        <v>0</v>
      </c>
      <c r="H2499" s="94">
        <v>0</v>
      </c>
      <c r="I2499" s="91">
        <v>0</v>
      </c>
      <c r="J2499" s="41"/>
      <c r="K2499" s="41">
        <v>43281</v>
      </c>
      <c r="L2499" s="69" t="s">
        <v>80</v>
      </c>
      <c r="M2499" s="69" t="s">
        <v>286</v>
      </c>
      <c r="N2499" s="95"/>
      <c r="P2499" t="s">
        <v>95</v>
      </c>
      <c r="Q2499" t="s">
        <v>110</v>
      </c>
      <c r="R2499" s="92" t="s">
        <v>69</v>
      </c>
      <c r="S2499" s="92" t="s">
        <v>115</v>
      </c>
      <c r="V2499" s="95">
        <v>43281</v>
      </c>
      <c r="W2499" s="92">
        <v>17070155</v>
      </c>
      <c r="X2499" s="90" t="s">
        <v>314</v>
      </c>
      <c r="Y2499" s="123"/>
      <c r="Z2499" s="30">
        <f t="shared" ref="Z2499:Z2562" si="78">CONVERT(D2499,"kg","lbm")*F2499/100</f>
        <v>7301.7101235631453</v>
      </c>
      <c r="AA2499" s="30">
        <f t="shared" ref="AA2499:AA2562" si="79">CONVERT(D2499,"kg","lbm")*G2499/100</f>
        <v>0</v>
      </c>
      <c r="AB2499" t="s">
        <v>457</v>
      </c>
    </row>
    <row r="2500" spans="1:28">
      <c r="A2500" t="s">
        <v>113</v>
      </c>
      <c r="C2500" s="92">
        <v>4615457385</v>
      </c>
      <c r="D2500" s="93">
        <v>20700</v>
      </c>
      <c r="F2500" s="91">
        <v>16</v>
      </c>
      <c r="G2500" s="91">
        <v>0</v>
      </c>
      <c r="H2500" s="94">
        <v>0</v>
      </c>
      <c r="I2500" s="91">
        <v>0</v>
      </c>
      <c r="J2500" s="41"/>
      <c r="K2500" s="41">
        <v>43281</v>
      </c>
      <c r="L2500" s="69" t="s">
        <v>80</v>
      </c>
      <c r="M2500" s="69" t="s">
        <v>286</v>
      </c>
      <c r="N2500" s="95"/>
      <c r="P2500" t="s">
        <v>95</v>
      </c>
      <c r="Q2500" t="s">
        <v>110</v>
      </c>
      <c r="R2500" s="92" t="s">
        <v>69</v>
      </c>
      <c r="S2500" s="92" t="s">
        <v>115</v>
      </c>
      <c r="V2500" s="95">
        <v>43281</v>
      </c>
      <c r="W2500" s="92">
        <v>17070155</v>
      </c>
      <c r="X2500" s="90" t="s">
        <v>314</v>
      </c>
      <c r="Y2500" s="123"/>
      <c r="Z2500" s="30">
        <f t="shared" si="78"/>
        <v>7301.7101235631453</v>
      </c>
      <c r="AA2500" s="30">
        <f t="shared" si="79"/>
        <v>0</v>
      </c>
      <c r="AB2500" t="s">
        <v>457</v>
      </c>
    </row>
    <row r="2501" spans="1:28">
      <c r="A2501" t="s">
        <v>113</v>
      </c>
      <c r="C2501" s="92">
        <v>4615457385</v>
      </c>
      <c r="D2501" s="93">
        <v>20700</v>
      </c>
      <c r="F2501" s="91">
        <v>16</v>
      </c>
      <c r="G2501" s="91">
        <v>0</v>
      </c>
      <c r="H2501" s="94">
        <v>0</v>
      </c>
      <c r="I2501" s="91">
        <v>0</v>
      </c>
      <c r="J2501" s="41"/>
      <c r="K2501" s="41">
        <v>43281</v>
      </c>
      <c r="L2501" s="69" t="s">
        <v>80</v>
      </c>
      <c r="M2501" s="69" t="s">
        <v>286</v>
      </c>
      <c r="N2501" s="95"/>
      <c r="P2501" t="s">
        <v>95</v>
      </c>
      <c r="Q2501" t="s">
        <v>110</v>
      </c>
      <c r="R2501" s="92" t="s">
        <v>69</v>
      </c>
      <c r="S2501" s="92" t="s">
        <v>115</v>
      </c>
      <c r="V2501" s="95">
        <v>43281</v>
      </c>
      <c r="W2501" s="92">
        <v>17070155</v>
      </c>
      <c r="X2501" s="90" t="s">
        <v>314</v>
      </c>
      <c r="Y2501" s="123"/>
      <c r="Z2501" s="30">
        <f t="shared" si="78"/>
        <v>7301.7101235631453</v>
      </c>
      <c r="AA2501" s="30">
        <f t="shared" si="79"/>
        <v>0</v>
      </c>
      <c r="AB2501" t="s">
        <v>457</v>
      </c>
    </row>
    <row r="2502" spans="1:28">
      <c r="A2502" t="s">
        <v>113</v>
      </c>
      <c r="C2502" s="92">
        <v>4615457385</v>
      </c>
      <c r="D2502" s="93">
        <v>20700</v>
      </c>
      <c r="F2502" s="91">
        <v>16</v>
      </c>
      <c r="G2502" s="91">
        <v>0</v>
      </c>
      <c r="H2502" s="94">
        <v>0</v>
      </c>
      <c r="I2502" s="91">
        <v>0</v>
      </c>
      <c r="J2502" s="41"/>
      <c r="K2502" s="41">
        <v>43281</v>
      </c>
      <c r="L2502" s="69" t="s">
        <v>80</v>
      </c>
      <c r="M2502" s="69" t="s">
        <v>286</v>
      </c>
      <c r="N2502" s="95"/>
      <c r="P2502" t="s">
        <v>95</v>
      </c>
      <c r="Q2502" t="s">
        <v>110</v>
      </c>
      <c r="R2502" s="92" t="s">
        <v>69</v>
      </c>
      <c r="S2502" s="92" t="s">
        <v>115</v>
      </c>
      <c r="V2502" s="95">
        <v>43281</v>
      </c>
      <c r="W2502" s="92">
        <v>17070155</v>
      </c>
      <c r="X2502" s="90" t="s">
        <v>314</v>
      </c>
      <c r="Y2502" s="123"/>
      <c r="Z2502" s="30">
        <f t="shared" si="78"/>
        <v>7301.7101235631453</v>
      </c>
      <c r="AA2502" s="30">
        <f t="shared" si="79"/>
        <v>0</v>
      </c>
      <c r="AB2502" t="s">
        <v>457</v>
      </c>
    </row>
    <row r="2503" spans="1:28">
      <c r="A2503" t="s">
        <v>113</v>
      </c>
      <c r="C2503" s="92">
        <v>4615457385</v>
      </c>
      <c r="D2503" s="93">
        <v>20700</v>
      </c>
      <c r="F2503" s="91">
        <v>16</v>
      </c>
      <c r="G2503" s="91">
        <v>0</v>
      </c>
      <c r="H2503" s="94">
        <v>0</v>
      </c>
      <c r="I2503" s="91">
        <v>0</v>
      </c>
      <c r="J2503" s="41"/>
      <c r="K2503" s="41">
        <v>43281</v>
      </c>
      <c r="L2503" s="69" t="s">
        <v>80</v>
      </c>
      <c r="M2503" s="69" t="s">
        <v>286</v>
      </c>
      <c r="N2503" s="95"/>
      <c r="P2503" t="s">
        <v>95</v>
      </c>
      <c r="Q2503" t="s">
        <v>110</v>
      </c>
      <c r="R2503" s="92" t="s">
        <v>69</v>
      </c>
      <c r="S2503" s="92" t="s">
        <v>115</v>
      </c>
      <c r="V2503" s="95">
        <v>43281</v>
      </c>
      <c r="W2503" s="92">
        <v>17070155</v>
      </c>
      <c r="X2503" s="90" t="s">
        <v>314</v>
      </c>
      <c r="Y2503" s="123"/>
      <c r="Z2503" s="30">
        <f t="shared" si="78"/>
        <v>7301.7101235631453</v>
      </c>
      <c r="AA2503" s="30">
        <f t="shared" si="79"/>
        <v>0</v>
      </c>
      <c r="AB2503" t="s">
        <v>457</v>
      </c>
    </row>
    <row r="2504" spans="1:28">
      <c r="A2504" t="s">
        <v>113</v>
      </c>
      <c r="C2504" s="92">
        <v>4615457385</v>
      </c>
      <c r="D2504" s="93">
        <v>20700</v>
      </c>
      <c r="F2504" s="91">
        <v>16</v>
      </c>
      <c r="G2504" s="91">
        <v>0</v>
      </c>
      <c r="H2504" s="94">
        <v>0</v>
      </c>
      <c r="I2504" s="91">
        <v>0</v>
      </c>
      <c r="J2504" s="41"/>
      <c r="K2504" s="41">
        <v>43281</v>
      </c>
      <c r="L2504" s="69" t="s">
        <v>80</v>
      </c>
      <c r="M2504" s="69" t="s">
        <v>286</v>
      </c>
      <c r="N2504" s="95"/>
      <c r="P2504" t="s">
        <v>95</v>
      </c>
      <c r="Q2504" t="s">
        <v>110</v>
      </c>
      <c r="R2504" s="92" t="s">
        <v>69</v>
      </c>
      <c r="S2504" s="92" t="s">
        <v>115</v>
      </c>
      <c r="V2504" s="95">
        <v>43281</v>
      </c>
      <c r="W2504" s="92">
        <v>17070155</v>
      </c>
      <c r="X2504" s="90" t="s">
        <v>314</v>
      </c>
      <c r="Y2504" s="123"/>
      <c r="Z2504" s="30">
        <f t="shared" si="78"/>
        <v>7301.7101235631453</v>
      </c>
      <c r="AA2504" s="30">
        <f t="shared" si="79"/>
        <v>0</v>
      </c>
      <c r="AB2504" t="s">
        <v>457</v>
      </c>
    </row>
    <row r="2505" spans="1:28">
      <c r="A2505" t="s">
        <v>113</v>
      </c>
      <c r="C2505" s="92">
        <v>4615457385</v>
      </c>
      <c r="D2505" s="93">
        <v>20700</v>
      </c>
      <c r="F2505" s="91">
        <v>16</v>
      </c>
      <c r="G2505" s="91">
        <v>0</v>
      </c>
      <c r="H2505" s="94">
        <v>0</v>
      </c>
      <c r="I2505" s="91">
        <v>0</v>
      </c>
      <c r="J2505" s="41"/>
      <c r="K2505" s="41">
        <v>43281</v>
      </c>
      <c r="L2505" s="69" t="s">
        <v>80</v>
      </c>
      <c r="M2505" s="69" t="s">
        <v>286</v>
      </c>
      <c r="N2505" s="95"/>
      <c r="P2505" t="s">
        <v>95</v>
      </c>
      <c r="Q2505" t="s">
        <v>110</v>
      </c>
      <c r="R2505" s="92" t="s">
        <v>69</v>
      </c>
      <c r="S2505" s="92" t="s">
        <v>115</v>
      </c>
      <c r="V2505" s="95">
        <v>43281</v>
      </c>
      <c r="W2505" s="92">
        <v>17070155</v>
      </c>
      <c r="X2505" s="90" t="s">
        <v>314</v>
      </c>
      <c r="Y2505" s="123"/>
      <c r="Z2505" s="30">
        <f t="shared" si="78"/>
        <v>7301.7101235631453</v>
      </c>
      <c r="AA2505" s="30">
        <f t="shared" si="79"/>
        <v>0</v>
      </c>
      <c r="AB2505" t="s">
        <v>457</v>
      </c>
    </row>
    <row r="2506" spans="1:28">
      <c r="A2506" t="s">
        <v>113</v>
      </c>
      <c r="C2506" s="92">
        <v>4615457809</v>
      </c>
      <c r="D2506" s="93">
        <v>19175</v>
      </c>
      <c r="F2506" s="91">
        <v>16</v>
      </c>
      <c r="G2506" s="91">
        <v>0</v>
      </c>
      <c r="H2506" s="91">
        <v>0</v>
      </c>
      <c r="I2506" s="91">
        <v>0</v>
      </c>
      <c r="J2506" s="41"/>
      <c r="K2506" s="41">
        <v>43281</v>
      </c>
      <c r="L2506" s="69" t="s">
        <v>80</v>
      </c>
      <c r="M2506" s="69" t="s">
        <v>286</v>
      </c>
      <c r="N2506" s="95"/>
      <c r="P2506" t="s">
        <v>95</v>
      </c>
      <c r="Q2506" t="s">
        <v>110</v>
      </c>
      <c r="R2506" s="92" t="s">
        <v>69</v>
      </c>
      <c r="S2506" s="92" t="s">
        <v>115</v>
      </c>
      <c r="V2506" s="95">
        <v>43281</v>
      </c>
      <c r="W2506" s="92" t="s">
        <v>358</v>
      </c>
      <c r="X2506" s="90"/>
      <c r="Y2506" s="123"/>
      <c r="Z2506" s="30">
        <f t="shared" si="78"/>
        <v>6763.7822038320437</v>
      </c>
      <c r="AA2506" s="30">
        <f t="shared" si="79"/>
        <v>0</v>
      </c>
      <c r="AB2506" t="s">
        <v>457</v>
      </c>
    </row>
    <row r="2507" spans="1:28">
      <c r="A2507" t="s">
        <v>113</v>
      </c>
      <c r="C2507" s="92">
        <v>4615457809</v>
      </c>
      <c r="D2507" s="93">
        <v>19175</v>
      </c>
      <c r="F2507" s="91">
        <v>16</v>
      </c>
      <c r="G2507" s="91">
        <v>0</v>
      </c>
      <c r="H2507" s="91">
        <v>0</v>
      </c>
      <c r="I2507" s="91">
        <v>0</v>
      </c>
      <c r="J2507" s="41"/>
      <c r="K2507" s="41">
        <v>43281</v>
      </c>
      <c r="L2507" s="69" t="s">
        <v>80</v>
      </c>
      <c r="M2507" s="69" t="s">
        <v>286</v>
      </c>
      <c r="N2507" s="95"/>
      <c r="P2507" t="s">
        <v>95</v>
      </c>
      <c r="Q2507" t="s">
        <v>110</v>
      </c>
      <c r="R2507" s="92" t="s">
        <v>69</v>
      </c>
      <c r="S2507" s="92" t="s">
        <v>115</v>
      </c>
      <c r="V2507" s="95">
        <v>43281</v>
      </c>
      <c r="W2507" s="92" t="s">
        <v>358</v>
      </c>
      <c r="X2507" s="90"/>
      <c r="Y2507" s="123"/>
      <c r="Z2507" s="30">
        <f t="shared" si="78"/>
        <v>6763.7822038320437</v>
      </c>
      <c r="AA2507" s="30">
        <f t="shared" si="79"/>
        <v>0</v>
      </c>
      <c r="AB2507" t="s">
        <v>457</v>
      </c>
    </row>
    <row r="2508" spans="1:28">
      <c r="A2508" t="s">
        <v>113</v>
      </c>
      <c r="C2508" s="92">
        <v>4615457809</v>
      </c>
      <c r="D2508" s="93">
        <v>19175</v>
      </c>
      <c r="F2508" s="91">
        <v>16</v>
      </c>
      <c r="G2508" s="91">
        <v>0</v>
      </c>
      <c r="H2508" s="91">
        <v>0</v>
      </c>
      <c r="I2508" s="91">
        <v>0</v>
      </c>
      <c r="J2508" s="41"/>
      <c r="K2508" s="41">
        <v>43281</v>
      </c>
      <c r="L2508" s="69" t="s">
        <v>80</v>
      </c>
      <c r="M2508" s="69" t="s">
        <v>286</v>
      </c>
      <c r="N2508" s="95"/>
      <c r="P2508" t="s">
        <v>95</v>
      </c>
      <c r="Q2508" t="s">
        <v>110</v>
      </c>
      <c r="R2508" s="92" t="s">
        <v>69</v>
      </c>
      <c r="S2508" s="92" t="s">
        <v>115</v>
      </c>
      <c r="V2508" s="95">
        <v>43281</v>
      </c>
      <c r="W2508" s="92" t="s">
        <v>358</v>
      </c>
      <c r="X2508" s="90"/>
      <c r="Y2508" s="123"/>
      <c r="Z2508" s="30">
        <f t="shared" si="78"/>
        <v>6763.7822038320437</v>
      </c>
      <c r="AA2508" s="30">
        <f t="shared" si="79"/>
        <v>0</v>
      </c>
      <c r="AB2508" t="s">
        <v>457</v>
      </c>
    </row>
    <row r="2509" spans="1:28">
      <c r="A2509" t="s">
        <v>113</v>
      </c>
      <c r="C2509" s="92">
        <v>4615457809</v>
      </c>
      <c r="D2509" s="93">
        <v>19175</v>
      </c>
      <c r="F2509" s="91">
        <v>16</v>
      </c>
      <c r="G2509" s="91">
        <v>0</v>
      </c>
      <c r="H2509" s="91">
        <v>0</v>
      </c>
      <c r="I2509" s="91">
        <v>0</v>
      </c>
      <c r="J2509" s="41"/>
      <c r="K2509" s="41">
        <v>43281</v>
      </c>
      <c r="L2509" s="69" t="s">
        <v>80</v>
      </c>
      <c r="M2509" s="69" t="s">
        <v>286</v>
      </c>
      <c r="N2509" s="95"/>
      <c r="P2509" t="s">
        <v>95</v>
      </c>
      <c r="Q2509" t="s">
        <v>110</v>
      </c>
      <c r="R2509" s="92" t="s">
        <v>69</v>
      </c>
      <c r="S2509" s="92" t="s">
        <v>115</v>
      </c>
      <c r="V2509" s="95">
        <v>43281</v>
      </c>
      <c r="W2509" s="92" t="s">
        <v>358</v>
      </c>
      <c r="X2509" s="90"/>
      <c r="Y2509" s="123"/>
      <c r="Z2509" s="30">
        <f t="shared" si="78"/>
        <v>6763.7822038320437</v>
      </c>
      <c r="AA2509" s="30">
        <f t="shared" si="79"/>
        <v>0</v>
      </c>
      <c r="AB2509" t="s">
        <v>457</v>
      </c>
    </row>
    <row r="2510" spans="1:28">
      <c r="A2510" t="s">
        <v>113</v>
      </c>
      <c r="C2510" s="92">
        <v>4615457809</v>
      </c>
      <c r="D2510" s="93">
        <v>19175</v>
      </c>
      <c r="F2510" s="91">
        <v>16</v>
      </c>
      <c r="G2510" s="91">
        <v>0</v>
      </c>
      <c r="H2510" s="91">
        <v>0</v>
      </c>
      <c r="I2510" s="91">
        <v>0</v>
      </c>
      <c r="J2510" s="41"/>
      <c r="K2510" s="41">
        <v>43281</v>
      </c>
      <c r="L2510" s="69" t="s">
        <v>80</v>
      </c>
      <c r="M2510" s="69" t="s">
        <v>286</v>
      </c>
      <c r="N2510" s="95"/>
      <c r="P2510" t="s">
        <v>95</v>
      </c>
      <c r="Q2510" t="s">
        <v>110</v>
      </c>
      <c r="R2510" s="92" t="s">
        <v>69</v>
      </c>
      <c r="S2510" s="92" t="s">
        <v>115</v>
      </c>
      <c r="V2510" s="95">
        <v>43281</v>
      </c>
      <c r="W2510" s="92" t="s">
        <v>358</v>
      </c>
      <c r="X2510" s="90"/>
      <c r="Y2510" s="123"/>
      <c r="Z2510" s="30">
        <f t="shared" si="78"/>
        <v>6763.7822038320437</v>
      </c>
      <c r="AA2510" s="30">
        <f t="shared" si="79"/>
        <v>0</v>
      </c>
      <c r="AB2510" t="s">
        <v>457</v>
      </c>
    </row>
    <row r="2511" spans="1:28">
      <c r="A2511" t="s">
        <v>113</v>
      </c>
      <c r="C2511" s="92">
        <v>4615457809</v>
      </c>
      <c r="D2511" s="93">
        <v>19175</v>
      </c>
      <c r="F2511" s="91">
        <v>16</v>
      </c>
      <c r="G2511" s="91">
        <v>0</v>
      </c>
      <c r="H2511" s="91">
        <v>0</v>
      </c>
      <c r="I2511" s="91">
        <v>0</v>
      </c>
      <c r="J2511" s="41"/>
      <c r="K2511" s="41">
        <v>43281</v>
      </c>
      <c r="L2511" s="69" t="s">
        <v>80</v>
      </c>
      <c r="M2511" s="69" t="s">
        <v>286</v>
      </c>
      <c r="N2511" s="95"/>
      <c r="P2511" t="s">
        <v>95</v>
      </c>
      <c r="Q2511" t="s">
        <v>110</v>
      </c>
      <c r="R2511" s="92" t="s">
        <v>69</v>
      </c>
      <c r="S2511" s="92" t="s">
        <v>115</v>
      </c>
      <c r="V2511" s="95">
        <v>43281</v>
      </c>
      <c r="W2511" s="92" t="s">
        <v>358</v>
      </c>
      <c r="X2511" s="90"/>
      <c r="Y2511" s="123"/>
      <c r="Z2511" s="30">
        <f t="shared" si="78"/>
        <v>6763.7822038320437</v>
      </c>
      <c r="AA2511" s="30">
        <f t="shared" si="79"/>
        <v>0</v>
      </c>
      <c r="AB2511" t="s">
        <v>457</v>
      </c>
    </row>
    <row r="2512" spans="1:28">
      <c r="A2512" t="s">
        <v>113</v>
      </c>
      <c r="C2512" s="92">
        <v>4615457809</v>
      </c>
      <c r="D2512" s="93">
        <v>19175</v>
      </c>
      <c r="F2512" s="91">
        <v>16</v>
      </c>
      <c r="G2512" s="91">
        <v>0</v>
      </c>
      <c r="H2512" s="91">
        <v>0</v>
      </c>
      <c r="I2512" s="91">
        <v>0</v>
      </c>
      <c r="J2512" s="41"/>
      <c r="K2512" s="41">
        <v>43281</v>
      </c>
      <c r="L2512" s="69" t="s">
        <v>80</v>
      </c>
      <c r="M2512" s="69" t="s">
        <v>286</v>
      </c>
      <c r="N2512" s="95"/>
      <c r="P2512" t="s">
        <v>95</v>
      </c>
      <c r="Q2512" t="s">
        <v>110</v>
      </c>
      <c r="R2512" s="92" t="s">
        <v>69</v>
      </c>
      <c r="S2512" s="92" t="s">
        <v>115</v>
      </c>
      <c r="V2512" s="95">
        <v>43281</v>
      </c>
      <c r="W2512" s="92" t="s">
        <v>358</v>
      </c>
      <c r="X2512" s="90"/>
      <c r="Y2512" s="123"/>
      <c r="Z2512" s="30">
        <f t="shared" si="78"/>
        <v>6763.7822038320437</v>
      </c>
      <c r="AA2512" s="30">
        <f t="shared" si="79"/>
        <v>0</v>
      </c>
      <c r="AB2512" t="s">
        <v>457</v>
      </c>
    </row>
    <row r="2513" spans="1:28">
      <c r="A2513" t="s">
        <v>113</v>
      </c>
      <c r="C2513" s="92">
        <v>4615457809</v>
      </c>
      <c r="D2513" s="93">
        <v>19175</v>
      </c>
      <c r="F2513" s="91">
        <v>16</v>
      </c>
      <c r="G2513" s="91">
        <v>0</v>
      </c>
      <c r="H2513" s="91">
        <v>0</v>
      </c>
      <c r="I2513" s="91">
        <v>0</v>
      </c>
      <c r="J2513" s="41"/>
      <c r="K2513" s="41">
        <v>43281</v>
      </c>
      <c r="L2513" s="69" t="s">
        <v>80</v>
      </c>
      <c r="M2513" s="69" t="s">
        <v>286</v>
      </c>
      <c r="N2513" s="95"/>
      <c r="P2513" t="s">
        <v>95</v>
      </c>
      <c r="Q2513" t="s">
        <v>110</v>
      </c>
      <c r="R2513" s="92" t="s">
        <v>69</v>
      </c>
      <c r="S2513" s="92" t="s">
        <v>115</v>
      </c>
      <c r="V2513" s="95">
        <v>43281</v>
      </c>
      <c r="W2513" s="92" t="s">
        <v>358</v>
      </c>
      <c r="X2513" s="90"/>
      <c r="Y2513" s="123"/>
      <c r="Z2513" s="30">
        <f t="shared" si="78"/>
        <v>6763.7822038320437</v>
      </c>
      <c r="AA2513" s="30">
        <f t="shared" si="79"/>
        <v>0</v>
      </c>
      <c r="AB2513" t="s">
        <v>457</v>
      </c>
    </row>
    <row r="2514" spans="1:28">
      <c r="A2514" t="s">
        <v>113</v>
      </c>
      <c r="C2514" s="92">
        <v>4615457809</v>
      </c>
      <c r="D2514" s="93">
        <v>19175</v>
      </c>
      <c r="F2514" s="91">
        <v>16</v>
      </c>
      <c r="G2514" s="91">
        <v>0</v>
      </c>
      <c r="H2514" s="91">
        <v>0</v>
      </c>
      <c r="I2514" s="91">
        <v>0</v>
      </c>
      <c r="J2514" s="41"/>
      <c r="K2514" s="41">
        <v>43281</v>
      </c>
      <c r="L2514" s="69" t="s">
        <v>80</v>
      </c>
      <c r="M2514" s="69" t="s">
        <v>286</v>
      </c>
      <c r="N2514" s="95"/>
      <c r="P2514" t="s">
        <v>95</v>
      </c>
      <c r="Q2514" t="s">
        <v>110</v>
      </c>
      <c r="R2514" s="92" t="s">
        <v>69</v>
      </c>
      <c r="S2514" s="92" t="s">
        <v>115</v>
      </c>
      <c r="V2514" s="95">
        <v>43281</v>
      </c>
      <c r="W2514" s="92" t="s">
        <v>358</v>
      </c>
      <c r="X2514" s="90"/>
      <c r="Y2514" s="123"/>
      <c r="Z2514" s="30">
        <f t="shared" si="78"/>
        <v>6763.7822038320437</v>
      </c>
      <c r="AA2514" s="30">
        <f t="shared" si="79"/>
        <v>0</v>
      </c>
      <c r="AB2514" t="s">
        <v>457</v>
      </c>
    </row>
    <row r="2515" spans="1:28">
      <c r="A2515" t="s">
        <v>113</v>
      </c>
      <c r="C2515" s="92">
        <v>4615457809</v>
      </c>
      <c r="D2515" s="93">
        <v>19175</v>
      </c>
      <c r="F2515" s="91">
        <v>16</v>
      </c>
      <c r="G2515" s="91">
        <v>0</v>
      </c>
      <c r="H2515" s="91">
        <v>0</v>
      </c>
      <c r="I2515" s="91">
        <v>0</v>
      </c>
      <c r="J2515" s="41"/>
      <c r="K2515" s="41">
        <v>43281</v>
      </c>
      <c r="L2515" s="69" t="s">
        <v>80</v>
      </c>
      <c r="M2515" s="69" t="s">
        <v>286</v>
      </c>
      <c r="N2515" s="95"/>
      <c r="P2515" t="s">
        <v>95</v>
      </c>
      <c r="Q2515" t="s">
        <v>110</v>
      </c>
      <c r="R2515" s="92" t="s">
        <v>69</v>
      </c>
      <c r="S2515" s="92" t="s">
        <v>115</v>
      </c>
      <c r="V2515" s="95">
        <v>43281</v>
      </c>
      <c r="W2515" s="92" t="s">
        <v>358</v>
      </c>
      <c r="X2515" s="90"/>
      <c r="Y2515" s="123"/>
      <c r="Z2515" s="30">
        <f t="shared" si="78"/>
        <v>6763.7822038320437</v>
      </c>
      <c r="AA2515" s="30">
        <f t="shared" si="79"/>
        <v>0</v>
      </c>
      <c r="AB2515" t="s">
        <v>457</v>
      </c>
    </row>
    <row r="2516" spans="1:28">
      <c r="A2516" t="s">
        <v>113</v>
      </c>
      <c r="C2516" s="92">
        <v>4615478587</v>
      </c>
      <c r="D2516" s="93">
        <v>20700</v>
      </c>
      <c r="F2516" s="106">
        <v>16</v>
      </c>
      <c r="G2516" s="96">
        <v>5</v>
      </c>
      <c r="H2516" s="94">
        <v>0</v>
      </c>
      <c r="I2516" s="91">
        <v>0</v>
      </c>
      <c r="J2516" s="41"/>
      <c r="K2516" s="41">
        <v>43281</v>
      </c>
      <c r="L2516" s="69" t="s">
        <v>80</v>
      </c>
      <c r="M2516" s="69" t="s">
        <v>286</v>
      </c>
      <c r="N2516" s="95"/>
      <c r="P2516" t="s">
        <v>95</v>
      </c>
      <c r="Q2516" t="s">
        <v>110</v>
      </c>
      <c r="R2516" s="92" t="s">
        <v>69</v>
      </c>
      <c r="S2516" s="92" t="s">
        <v>115</v>
      </c>
      <c r="V2516" s="95">
        <v>43281</v>
      </c>
      <c r="W2516" s="92" t="s">
        <v>359</v>
      </c>
      <c r="X2516" s="90" t="s">
        <v>314</v>
      </c>
      <c r="Y2516" s="123"/>
      <c r="Z2516" s="30">
        <f t="shared" si="78"/>
        <v>7301.7101235631453</v>
      </c>
      <c r="AA2516" s="30">
        <f t="shared" si="79"/>
        <v>2281.7844136134831</v>
      </c>
      <c r="AB2516" t="s">
        <v>457</v>
      </c>
    </row>
    <row r="2517" spans="1:28">
      <c r="A2517" t="s">
        <v>113</v>
      </c>
      <c r="C2517" s="92">
        <v>4615478587</v>
      </c>
      <c r="D2517" s="93">
        <v>20700</v>
      </c>
      <c r="F2517" s="106">
        <v>16</v>
      </c>
      <c r="G2517" s="96">
        <v>5</v>
      </c>
      <c r="H2517" s="94">
        <v>0</v>
      </c>
      <c r="I2517" s="91">
        <v>0</v>
      </c>
      <c r="J2517" s="41"/>
      <c r="K2517" s="41">
        <v>43281</v>
      </c>
      <c r="L2517" s="69" t="s">
        <v>80</v>
      </c>
      <c r="M2517" s="69" t="s">
        <v>286</v>
      </c>
      <c r="N2517" s="95"/>
      <c r="P2517" t="s">
        <v>95</v>
      </c>
      <c r="Q2517" t="s">
        <v>110</v>
      </c>
      <c r="R2517" s="92" t="s">
        <v>69</v>
      </c>
      <c r="S2517" s="92" t="s">
        <v>115</v>
      </c>
      <c r="V2517" s="95">
        <v>43281</v>
      </c>
      <c r="W2517" s="92" t="s">
        <v>359</v>
      </c>
      <c r="X2517" s="90" t="s">
        <v>314</v>
      </c>
      <c r="Y2517" s="123"/>
      <c r="Z2517" s="30">
        <f t="shared" si="78"/>
        <v>7301.7101235631453</v>
      </c>
      <c r="AA2517" s="30">
        <f t="shared" si="79"/>
        <v>2281.7844136134831</v>
      </c>
      <c r="AB2517" t="s">
        <v>457</v>
      </c>
    </row>
    <row r="2518" spans="1:28">
      <c r="A2518" t="s">
        <v>113</v>
      </c>
      <c r="C2518" s="92">
        <v>4615478587</v>
      </c>
      <c r="D2518" s="93">
        <v>20700</v>
      </c>
      <c r="F2518" s="106">
        <v>16</v>
      </c>
      <c r="G2518" s="96">
        <v>5</v>
      </c>
      <c r="H2518" s="94">
        <v>0</v>
      </c>
      <c r="I2518" s="91">
        <v>0</v>
      </c>
      <c r="J2518" s="41"/>
      <c r="K2518" s="41">
        <v>43281</v>
      </c>
      <c r="L2518" s="69" t="s">
        <v>80</v>
      </c>
      <c r="M2518" s="69" t="s">
        <v>286</v>
      </c>
      <c r="N2518" s="95"/>
      <c r="P2518" t="s">
        <v>95</v>
      </c>
      <c r="Q2518" t="s">
        <v>110</v>
      </c>
      <c r="R2518" s="92" t="s">
        <v>69</v>
      </c>
      <c r="S2518" s="92" t="s">
        <v>115</v>
      </c>
      <c r="V2518" s="95">
        <v>43281</v>
      </c>
      <c r="W2518" s="92" t="s">
        <v>359</v>
      </c>
      <c r="X2518" s="90" t="s">
        <v>314</v>
      </c>
      <c r="Y2518" s="123"/>
      <c r="Z2518" s="30">
        <f t="shared" si="78"/>
        <v>7301.7101235631453</v>
      </c>
      <c r="AA2518" s="30">
        <f t="shared" si="79"/>
        <v>2281.7844136134831</v>
      </c>
      <c r="AB2518" t="s">
        <v>457</v>
      </c>
    </row>
    <row r="2519" spans="1:28">
      <c r="A2519" t="s">
        <v>113</v>
      </c>
      <c r="C2519" s="92">
        <v>4615478587</v>
      </c>
      <c r="D2519" s="93">
        <v>20700</v>
      </c>
      <c r="F2519" s="106">
        <v>16</v>
      </c>
      <c r="G2519" s="96">
        <v>5</v>
      </c>
      <c r="H2519" s="94">
        <v>0</v>
      </c>
      <c r="I2519" s="91">
        <v>0</v>
      </c>
      <c r="J2519" s="41"/>
      <c r="K2519" s="41">
        <v>43281</v>
      </c>
      <c r="L2519" s="69" t="s">
        <v>80</v>
      </c>
      <c r="M2519" s="69" t="s">
        <v>286</v>
      </c>
      <c r="N2519" s="95"/>
      <c r="P2519" t="s">
        <v>95</v>
      </c>
      <c r="Q2519" t="s">
        <v>110</v>
      </c>
      <c r="R2519" s="92" t="s">
        <v>69</v>
      </c>
      <c r="S2519" s="92" t="s">
        <v>115</v>
      </c>
      <c r="V2519" s="95">
        <v>43281</v>
      </c>
      <c r="W2519" s="92" t="s">
        <v>359</v>
      </c>
      <c r="X2519" s="90" t="s">
        <v>314</v>
      </c>
      <c r="Y2519" s="123"/>
      <c r="Z2519" s="30">
        <f t="shared" si="78"/>
        <v>7301.7101235631453</v>
      </c>
      <c r="AA2519" s="30">
        <f t="shared" si="79"/>
        <v>2281.7844136134831</v>
      </c>
      <c r="AB2519" t="s">
        <v>457</v>
      </c>
    </row>
    <row r="2520" spans="1:28">
      <c r="A2520" t="s">
        <v>113</v>
      </c>
      <c r="C2520" s="92">
        <v>4615478587</v>
      </c>
      <c r="D2520" s="93">
        <v>20700</v>
      </c>
      <c r="F2520" s="106">
        <v>16</v>
      </c>
      <c r="G2520" s="96">
        <v>5</v>
      </c>
      <c r="H2520" s="94">
        <v>0</v>
      </c>
      <c r="I2520" s="91">
        <v>0</v>
      </c>
      <c r="J2520" s="41"/>
      <c r="K2520" s="41">
        <v>43281</v>
      </c>
      <c r="L2520" s="69" t="s">
        <v>80</v>
      </c>
      <c r="M2520" s="69" t="s">
        <v>286</v>
      </c>
      <c r="N2520" s="95"/>
      <c r="P2520" t="s">
        <v>95</v>
      </c>
      <c r="Q2520" t="s">
        <v>110</v>
      </c>
      <c r="R2520" s="92" t="s">
        <v>69</v>
      </c>
      <c r="S2520" s="92" t="s">
        <v>115</v>
      </c>
      <c r="V2520" s="95">
        <v>43281</v>
      </c>
      <c r="W2520" s="92" t="s">
        <v>359</v>
      </c>
      <c r="X2520" s="90" t="s">
        <v>314</v>
      </c>
      <c r="Y2520" s="123"/>
      <c r="Z2520" s="30">
        <f t="shared" si="78"/>
        <v>7301.7101235631453</v>
      </c>
      <c r="AA2520" s="30">
        <f t="shared" si="79"/>
        <v>2281.7844136134831</v>
      </c>
      <c r="AB2520" t="s">
        <v>457</v>
      </c>
    </row>
    <row r="2521" spans="1:28">
      <c r="A2521" t="s">
        <v>113</v>
      </c>
      <c r="C2521" s="92">
        <v>4615478587</v>
      </c>
      <c r="D2521" s="93">
        <v>20700</v>
      </c>
      <c r="F2521" s="106">
        <v>16</v>
      </c>
      <c r="G2521" s="96">
        <v>5</v>
      </c>
      <c r="H2521" s="94">
        <v>0</v>
      </c>
      <c r="I2521" s="91">
        <v>0</v>
      </c>
      <c r="J2521" s="41"/>
      <c r="K2521" s="41">
        <v>43281</v>
      </c>
      <c r="L2521" s="69" t="s">
        <v>80</v>
      </c>
      <c r="M2521" s="69" t="s">
        <v>286</v>
      </c>
      <c r="N2521" s="95"/>
      <c r="P2521" t="s">
        <v>95</v>
      </c>
      <c r="Q2521" t="s">
        <v>110</v>
      </c>
      <c r="R2521" s="92" t="s">
        <v>69</v>
      </c>
      <c r="S2521" s="92" t="s">
        <v>115</v>
      </c>
      <c r="V2521" s="95">
        <v>43281</v>
      </c>
      <c r="W2521" s="92" t="s">
        <v>359</v>
      </c>
      <c r="X2521" s="90" t="s">
        <v>314</v>
      </c>
      <c r="Y2521" s="123"/>
      <c r="Z2521" s="30">
        <f t="shared" si="78"/>
        <v>7301.7101235631453</v>
      </c>
      <c r="AA2521" s="30">
        <f t="shared" si="79"/>
        <v>2281.7844136134831</v>
      </c>
      <c r="AB2521" t="s">
        <v>457</v>
      </c>
    </row>
    <row r="2522" spans="1:28">
      <c r="A2522" t="s">
        <v>113</v>
      </c>
      <c r="C2522" s="92">
        <v>4615478587</v>
      </c>
      <c r="D2522" s="93">
        <v>20700</v>
      </c>
      <c r="F2522" s="106">
        <v>16</v>
      </c>
      <c r="G2522" s="96">
        <v>5</v>
      </c>
      <c r="H2522" s="94">
        <v>0</v>
      </c>
      <c r="I2522" s="91">
        <v>0</v>
      </c>
      <c r="J2522" s="41"/>
      <c r="K2522" s="41">
        <v>43281</v>
      </c>
      <c r="L2522" s="69" t="s">
        <v>80</v>
      </c>
      <c r="M2522" s="69" t="s">
        <v>286</v>
      </c>
      <c r="N2522" s="95"/>
      <c r="P2522" t="s">
        <v>95</v>
      </c>
      <c r="Q2522" t="s">
        <v>110</v>
      </c>
      <c r="R2522" s="92" t="s">
        <v>69</v>
      </c>
      <c r="S2522" s="92" t="s">
        <v>115</v>
      </c>
      <c r="V2522" s="95">
        <v>43281</v>
      </c>
      <c r="W2522" s="92" t="s">
        <v>359</v>
      </c>
      <c r="X2522" s="90" t="s">
        <v>314</v>
      </c>
      <c r="Y2522" s="123"/>
      <c r="Z2522" s="30">
        <f t="shared" si="78"/>
        <v>7301.7101235631453</v>
      </c>
      <c r="AA2522" s="30">
        <f t="shared" si="79"/>
        <v>2281.7844136134831</v>
      </c>
      <c r="AB2522" t="s">
        <v>457</v>
      </c>
    </row>
    <row r="2523" spans="1:28">
      <c r="A2523" t="s">
        <v>113</v>
      </c>
      <c r="C2523" s="92">
        <v>4615478587</v>
      </c>
      <c r="D2523" s="93">
        <v>20700</v>
      </c>
      <c r="F2523" s="106">
        <v>16</v>
      </c>
      <c r="G2523" s="96">
        <v>5</v>
      </c>
      <c r="H2523" s="94">
        <v>0</v>
      </c>
      <c r="I2523" s="91">
        <v>0</v>
      </c>
      <c r="J2523" s="41"/>
      <c r="K2523" s="41">
        <v>43281</v>
      </c>
      <c r="L2523" s="69" t="s">
        <v>80</v>
      </c>
      <c r="M2523" s="69" t="s">
        <v>286</v>
      </c>
      <c r="N2523" s="95"/>
      <c r="P2523" t="s">
        <v>95</v>
      </c>
      <c r="Q2523" t="s">
        <v>110</v>
      </c>
      <c r="R2523" s="92" t="s">
        <v>69</v>
      </c>
      <c r="S2523" s="92" t="s">
        <v>115</v>
      </c>
      <c r="V2523" s="95">
        <v>43281</v>
      </c>
      <c r="W2523" s="92" t="s">
        <v>359</v>
      </c>
      <c r="X2523" s="90" t="s">
        <v>314</v>
      </c>
      <c r="Y2523" s="123"/>
      <c r="Z2523" s="30">
        <f t="shared" si="78"/>
        <v>7301.7101235631453</v>
      </c>
      <c r="AA2523" s="30">
        <f t="shared" si="79"/>
        <v>2281.7844136134831</v>
      </c>
      <c r="AB2523" t="s">
        <v>457</v>
      </c>
    </row>
    <row r="2524" spans="1:28">
      <c r="A2524" t="s">
        <v>113</v>
      </c>
      <c r="C2524" s="92">
        <v>4615478587</v>
      </c>
      <c r="D2524" s="93">
        <v>20700</v>
      </c>
      <c r="F2524" s="106">
        <v>16</v>
      </c>
      <c r="G2524" s="96">
        <v>5</v>
      </c>
      <c r="H2524" s="94">
        <v>0</v>
      </c>
      <c r="I2524" s="91">
        <v>0</v>
      </c>
      <c r="J2524" s="41"/>
      <c r="K2524" s="41">
        <v>43281</v>
      </c>
      <c r="L2524" s="69" t="s">
        <v>80</v>
      </c>
      <c r="M2524" s="69" t="s">
        <v>286</v>
      </c>
      <c r="N2524" s="95"/>
      <c r="P2524" t="s">
        <v>95</v>
      </c>
      <c r="Q2524" t="s">
        <v>110</v>
      </c>
      <c r="R2524" s="92" t="s">
        <v>69</v>
      </c>
      <c r="S2524" s="92" t="s">
        <v>115</v>
      </c>
      <c r="V2524" s="95">
        <v>43281</v>
      </c>
      <c r="W2524" s="92" t="s">
        <v>359</v>
      </c>
      <c r="X2524" s="90" t="s">
        <v>314</v>
      </c>
      <c r="Y2524" s="123"/>
      <c r="Z2524" s="30">
        <f t="shared" si="78"/>
        <v>7301.7101235631453</v>
      </c>
      <c r="AA2524" s="30">
        <f t="shared" si="79"/>
        <v>2281.7844136134831</v>
      </c>
      <c r="AB2524" t="s">
        <v>457</v>
      </c>
    </row>
    <row r="2525" spans="1:28">
      <c r="A2525" t="s">
        <v>113</v>
      </c>
      <c r="C2525" s="92">
        <v>4615488271</v>
      </c>
      <c r="D2525" s="93">
        <v>19175</v>
      </c>
      <c r="F2525" s="91">
        <v>16</v>
      </c>
      <c r="G2525" s="91">
        <v>0</v>
      </c>
      <c r="H2525" s="91">
        <v>0</v>
      </c>
      <c r="I2525" s="91">
        <v>0</v>
      </c>
      <c r="J2525" s="41"/>
      <c r="K2525" s="41">
        <v>43281</v>
      </c>
      <c r="L2525" s="69" t="s">
        <v>80</v>
      </c>
      <c r="M2525" s="69" t="s">
        <v>286</v>
      </c>
      <c r="N2525" s="95"/>
      <c r="P2525" t="s">
        <v>95</v>
      </c>
      <c r="Q2525" t="s">
        <v>133</v>
      </c>
      <c r="R2525" s="92" t="s">
        <v>69</v>
      </c>
      <c r="S2525" s="92" t="s">
        <v>115</v>
      </c>
      <c r="V2525" s="95">
        <v>43281</v>
      </c>
      <c r="W2525" s="92">
        <v>2088621</v>
      </c>
      <c r="X2525" s="90"/>
      <c r="Y2525" s="123"/>
      <c r="Z2525" s="30">
        <f t="shared" si="78"/>
        <v>6763.7822038320437</v>
      </c>
      <c r="AA2525" s="30">
        <f t="shared" si="79"/>
        <v>0</v>
      </c>
      <c r="AB2525" t="s">
        <v>457</v>
      </c>
    </row>
    <row r="2526" spans="1:28">
      <c r="A2526" t="s">
        <v>113</v>
      </c>
      <c r="C2526" s="92">
        <v>4615488271</v>
      </c>
      <c r="D2526" s="93">
        <v>19175</v>
      </c>
      <c r="F2526" s="91">
        <v>16</v>
      </c>
      <c r="G2526" s="91">
        <v>0</v>
      </c>
      <c r="H2526" s="91">
        <v>0</v>
      </c>
      <c r="I2526" s="91">
        <v>0</v>
      </c>
      <c r="J2526" s="41"/>
      <c r="K2526" s="41">
        <v>43281</v>
      </c>
      <c r="L2526" s="69" t="s">
        <v>80</v>
      </c>
      <c r="M2526" s="69" t="s">
        <v>286</v>
      </c>
      <c r="N2526" s="95"/>
      <c r="P2526" t="s">
        <v>95</v>
      </c>
      <c r="Q2526" t="s">
        <v>133</v>
      </c>
      <c r="R2526" s="92" t="s">
        <v>69</v>
      </c>
      <c r="S2526" s="92" t="s">
        <v>115</v>
      </c>
      <c r="V2526" s="95">
        <v>43281</v>
      </c>
      <c r="W2526" s="92">
        <v>2088621</v>
      </c>
      <c r="X2526" s="90"/>
      <c r="Y2526" s="123"/>
      <c r="Z2526" s="30">
        <f t="shared" si="78"/>
        <v>6763.7822038320437</v>
      </c>
      <c r="AA2526" s="30">
        <f t="shared" si="79"/>
        <v>0</v>
      </c>
      <c r="AB2526" t="s">
        <v>457</v>
      </c>
    </row>
    <row r="2527" spans="1:28">
      <c r="A2527" t="s">
        <v>113</v>
      </c>
      <c r="C2527" s="92">
        <v>4615488271</v>
      </c>
      <c r="D2527" s="93">
        <v>19175</v>
      </c>
      <c r="F2527" s="91">
        <v>16</v>
      </c>
      <c r="G2527" s="91">
        <v>0</v>
      </c>
      <c r="H2527" s="91">
        <v>0</v>
      </c>
      <c r="I2527" s="91">
        <v>0</v>
      </c>
      <c r="J2527" s="41"/>
      <c r="K2527" s="41">
        <v>43281</v>
      </c>
      <c r="L2527" s="69" t="s">
        <v>80</v>
      </c>
      <c r="M2527" s="69" t="s">
        <v>286</v>
      </c>
      <c r="N2527" s="95"/>
      <c r="P2527" t="s">
        <v>95</v>
      </c>
      <c r="Q2527" t="s">
        <v>133</v>
      </c>
      <c r="R2527" s="92" t="s">
        <v>69</v>
      </c>
      <c r="S2527" s="92" t="s">
        <v>115</v>
      </c>
      <c r="V2527" s="95">
        <v>43281</v>
      </c>
      <c r="W2527" s="92">
        <v>2088621</v>
      </c>
      <c r="X2527" s="90"/>
      <c r="Y2527" s="123"/>
      <c r="Z2527" s="30">
        <f t="shared" si="78"/>
        <v>6763.7822038320437</v>
      </c>
      <c r="AA2527" s="30">
        <f t="shared" si="79"/>
        <v>0</v>
      </c>
      <c r="AB2527" t="s">
        <v>457</v>
      </c>
    </row>
    <row r="2528" spans="1:28">
      <c r="A2528" t="s">
        <v>113</v>
      </c>
      <c r="C2528" s="92">
        <v>4615488271</v>
      </c>
      <c r="D2528" s="93">
        <v>19175</v>
      </c>
      <c r="F2528" s="91">
        <v>16</v>
      </c>
      <c r="G2528" s="91">
        <v>0</v>
      </c>
      <c r="H2528" s="91">
        <v>0</v>
      </c>
      <c r="I2528" s="91">
        <v>0</v>
      </c>
      <c r="J2528" s="41"/>
      <c r="K2528" s="41">
        <v>43281</v>
      </c>
      <c r="L2528" s="69" t="s">
        <v>80</v>
      </c>
      <c r="M2528" s="69" t="s">
        <v>286</v>
      </c>
      <c r="N2528" s="95"/>
      <c r="P2528" t="s">
        <v>95</v>
      </c>
      <c r="Q2528" t="s">
        <v>133</v>
      </c>
      <c r="R2528" s="92" t="s">
        <v>69</v>
      </c>
      <c r="S2528" s="92" t="s">
        <v>115</v>
      </c>
      <c r="V2528" s="95">
        <v>43281</v>
      </c>
      <c r="W2528" s="92">
        <v>2088621</v>
      </c>
      <c r="X2528" s="90"/>
      <c r="Y2528" s="123"/>
      <c r="Z2528" s="30">
        <f t="shared" si="78"/>
        <v>6763.7822038320437</v>
      </c>
      <c r="AA2528" s="30">
        <f t="shared" si="79"/>
        <v>0</v>
      </c>
      <c r="AB2528" t="s">
        <v>457</v>
      </c>
    </row>
    <row r="2529" spans="1:28">
      <c r="A2529" t="s">
        <v>113</v>
      </c>
      <c r="C2529" s="92">
        <v>4615488271</v>
      </c>
      <c r="D2529" s="93">
        <v>19175</v>
      </c>
      <c r="F2529" s="91">
        <v>16</v>
      </c>
      <c r="G2529" s="91">
        <v>0</v>
      </c>
      <c r="H2529" s="91">
        <v>0</v>
      </c>
      <c r="I2529" s="91">
        <v>0</v>
      </c>
      <c r="J2529" s="41"/>
      <c r="K2529" s="41">
        <v>43281</v>
      </c>
      <c r="L2529" s="69" t="s">
        <v>80</v>
      </c>
      <c r="M2529" s="69" t="s">
        <v>286</v>
      </c>
      <c r="N2529" s="95"/>
      <c r="P2529" t="s">
        <v>95</v>
      </c>
      <c r="Q2529" t="s">
        <v>133</v>
      </c>
      <c r="R2529" s="92" t="s">
        <v>69</v>
      </c>
      <c r="S2529" s="92" t="s">
        <v>115</v>
      </c>
      <c r="V2529" s="95">
        <v>43281</v>
      </c>
      <c r="W2529" s="92">
        <v>2088621</v>
      </c>
      <c r="X2529" s="90"/>
      <c r="Y2529" s="123"/>
      <c r="Z2529" s="30">
        <f t="shared" si="78"/>
        <v>6763.7822038320437</v>
      </c>
      <c r="AA2529" s="30">
        <f t="shared" si="79"/>
        <v>0</v>
      </c>
      <c r="AB2529" t="s">
        <v>457</v>
      </c>
    </row>
    <row r="2530" spans="1:28">
      <c r="A2530" t="s">
        <v>113</v>
      </c>
      <c r="C2530" s="92">
        <v>4615488271</v>
      </c>
      <c r="D2530" s="93">
        <v>19175</v>
      </c>
      <c r="F2530" s="91">
        <v>16</v>
      </c>
      <c r="G2530" s="91">
        <v>0</v>
      </c>
      <c r="H2530" s="91">
        <v>0</v>
      </c>
      <c r="I2530" s="91">
        <v>0</v>
      </c>
      <c r="J2530" s="41"/>
      <c r="K2530" s="41">
        <v>43281</v>
      </c>
      <c r="L2530" s="69" t="s">
        <v>80</v>
      </c>
      <c r="M2530" s="69" t="s">
        <v>286</v>
      </c>
      <c r="N2530" s="95"/>
      <c r="P2530" t="s">
        <v>95</v>
      </c>
      <c r="Q2530" t="s">
        <v>133</v>
      </c>
      <c r="R2530" s="92" t="s">
        <v>69</v>
      </c>
      <c r="S2530" s="92" t="s">
        <v>115</v>
      </c>
      <c r="V2530" s="95">
        <v>43281</v>
      </c>
      <c r="W2530" s="92">
        <v>2088621</v>
      </c>
      <c r="X2530" s="90"/>
      <c r="Y2530" s="123"/>
      <c r="Z2530" s="30">
        <f t="shared" si="78"/>
        <v>6763.7822038320437</v>
      </c>
      <c r="AA2530" s="30">
        <f t="shared" si="79"/>
        <v>0</v>
      </c>
      <c r="AB2530" t="s">
        <v>457</v>
      </c>
    </row>
    <row r="2531" spans="1:28">
      <c r="A2531" t="s">
        <v>113</v>
      </c>
      <c r="C2531" s="92">
        <v>4615488271</v>
      </c>
      <c r="D2531" s="93">
        <v>19175</v>
      </c>
      <c r="F2531" s="91">
        <v>16</v>
      </c>
      <c r="G2531" s="91">
        <v>0</v>
      </c>
      <c r="H2531" s="91">
        <v>0</v>
      </c>
      <c r="I2531" s="91">
        <v>0</v>
      </c>
      <c r="J2531" s="41"/>
      <c r="K2531" s="41">
        <v>43281</v>
      </c>
      <c r="L2531" s="69" t="s">
        <v>80</v>
      </c>
      <c r="M2531" s="69" t="s">
        <v>286</v>
      </c>
      <c r="N2531" s="95"/>
      <c r="P2531" t="s">
        <v>95</v>
      </c>
      <c r="Q2531" t="s">
        <v>133</v>
      </c>
      <c r="R2531" s="92" t="s">
        <v>69</v>
      </c>
      <c r="S2531" s="92" t="s">
        <v>115</v>
      </c>
      <c r="V2531" s="95">
        <v>43281</v>
      </c>
      <c r="W2531" s="92">
        <v>2088621</v>
      </c>
      <c r="X2531" s="90"/>
      <c r="Y2531" s="123"/>
      <c r="Z2531" s="30">
        <f t="shared" si="78"/>
        <v>6763.7822038320437</v>
      </c>
      <c r="AA2531" s="30">
        <f t="shared" si="79"/>
        <v>0</v>
      </c>
      <c r="AB2531" t="s">
        <v>457</v>
      </c>
    </row>
    <row r="2532" spans="1:28">
      <c r="A2532" t="s">
        <v>113</v>
      </c>
      <c r="C2532" s="92">
        <v>4615488271</v>
      </c>
      <c r="D2532" s="93">
        <v>19175</v>
      </c>
      <c r="F2532" s="91">
        <v>16</v>
      </c>
      <c r="G2532" s="91">
        <v>0</v>
      </c>
      <c r="H2532" s="91">
        <v>0</v>
      </c>
      <c r="I2532" s="91">
        <v>0</v>
      </c>
      <c r="J2532" s="41"/>
      <c r="K2532" s="41">
        <v>43281</v>
      </c>
      <c r="L2532" s="69" t="s">
        <v>80</v>
      </c>
      <c r="M2532" s="69" t="s">
        <v>286</v>
      </c>
      <c r="N2532" s="95"/>
      <c r="P2532" t="s">
        <v>95</v>
      </c>
      <c r="Q2532" t="s">
        <v>133</v>
      </c>
      <c r="R2532" s="92" t="s">
        <v>69</v>
      </c>
      <c r="S2532" s="92" t="s">
        <v>115</v>
      </c>
      <c r="V2532" s="95">
        <v>43281</v>
      </c>
      <c r="W2532" s="92">
        <v>2088621</v>
      </c>
      <c r="X2532" s="90"/>
      <c r="Y2532" s="123"/>
      <c r="Z2532" s="30">
        <f t="shared" si="78"/>
        <v>6763.7822038320437</v>
      </c>
      <c r="AA2532" s="30">
        <f t="shared" si="79"/>
        <v>0</v>
      </c>
      <c r="AB2532" t="s">
        <v>457</v>
      </c>
    </row>
    <row r="2533" spans="1:28">
      <c r="A2533" t="s">
        <v>113</v>
      </c>
      <c r="C2533" s="92">
        <v>4615488271</v>
      </c>
      <c r="D2533" s="93">
        <v>19175</v>
      </c>
      <c r="F2533" s="91">
        <v>16</v>
      </c>
      <c r="G2533" s="91">
        <v>0</v>
      </c>
      <c r="H2533" s="91">
        <v>0</v>
      </c>
      <c r="I2533" s="91">
        <v>0</v>
      </c>
      <c r="J2533" s="41"/>
      <c r="K2533" s="41">
        <v>43281</v>
      </c>
      <c r="L2533" s="69" t="s">
        <v>80</v>
      </c>
      <c r="M2533" s="69" t="s">
        <v>286</v>
      </c>
      <c r="N2533" s="95"/>
      <c r="P2533" t="s">
        <v>95</v>
      </c>
      <c r="Q2533" t="s">
        <v>133</v>
      </c>
      <c r="R2533" s="92" t="s">
        <v>69</v>
      </c>
      <c r="S2533" s="92" t="s">
        <v>115</v>
      </c>
      <c r="V2533" s="95">
        <v>43281</v>
      </c>
      <c r="W2533" s="92">
        <v>2088621</v>
      </c>
      <c r="X2533" s="90"/>
      <c r="Y2533" s="123"/>
      <c r="Z2533" s="30">
        <f t="shared" si="78"/>
        <v>6763.7822038320437</v>
      </c>
      <c r="AA2533" s="30">
        <f t="shared" si="79"/>
        <v>0</v>
      </c>
      <c r="AB2533" t="s">
        <v>457</v>
      </c>
    </row>
    <row r="2534" spans="1:28">
      <c r="A2534" t="s">
        <v>113</v>
      </c>
      <c r="C2534" s="92">
        <v>4615488271</v>
      </c>
      <c r="D2534" s="93">
        <v>19175</v>
      </c>
      <c r="F2534" s="91">
        <v>16</v>
      </c>
      <c r="G2534" s="91">
        <v>0</v>
      </c>
      <c r="H2534" s="91">
        <v>0</v>
      </c>
      <c r="I2534" s="91">
        <v>0</v>
      </c>
      <c r="J2534" s="41"/>
      <c r="K2534" s="41">
        <v>43281</v>
      </c>
      <c r="L2534" s="69" t="s">
        <v>80</v>
      </c>
      <c r="M2534" s="69" t="s">
        <v>286</v>
      </c>
      <c r="N2534" s="95"/>
      <c r="P2534" t="s">
        <v>95</v>
      </c>
      <c r="Q2534" t="s">
        <v>133</v>
      </c>
      <c r="R2534" s="92" t="s">
        <v>69</v>
      </c>
      <c r="S2534" s="92" t="s">
        <v>115</v>
      </c>
      <c r="V2534" s="95">
        <v>43281</v>
      </c>
      <c r="W2534" s="92">
        <v>2088621</v>
      </c>
      <c r="X2534" s="90"/>
      <c r="Y2534" s="123"/>
      <c r="Z2534" s="30">
        <f t="shared" si="78"/>
        <v>6763.7822038320437</v>
      </c>
      <c r="AA2534" s="30">
        <f t="shared" si="79"/>
        <v>0</v>
      </c>
      <c r="AB2534" t="s">
        <v>457</v>
      </c>
    </row>
    <row r="2535" spans="1:28">
      <c r="A2535" t="s">
        <v>113</v>
      </c>
      <c r="C2535" s="92">
        <v>4615492168</v>
      </c>
      <c r="D2535" s="93">
        <v>19175</v>
      </c>
      <c r="F2535" s="94">
        <v>16</v>
      </c>
      <c r="G2535" s="96">
        <v>5</v>
      </c>
      <c r="H2535" s="91">
        <v>0</v>
      </c>
      <c r="I2535" s="91">
        <v>0</v>
      </c>
      <c r="J2535" s="41"/>
      <c r="K2535" s="41">
        <v>43281</v>
      </c>
      <c r="L2535" s="69" t="s">
        <v>80</v>
      </c>
      <c r="M2535" s="69" t="s">
        <v>286</v>
      </c>
      <c r="N2535" s="98"/>
      <c r="P2535" t="s">
        <v>95</v>
      </c>
      <c r="Q2535" t="s">
        <v>133</v>
      </c>
      <c r="R2535" s="92" t="s">
        <v>69</v>
      </c>
      <c r="S2535" s="92" t="s">
        <v>115</v>
      </c>
      <c r="V2535" s="95">
        <v>43281</v>
      </c>
      <c r="W2535" s="92" t="s">
        <v>360</v>
      </c>
      <c r="X2535" s="90"/>
      <c r="Y2535" s="123"/>
      <c r="Z2535" s="30">
        <f t="shared" si="78"/>
        <v>6763.7822038320437</v>
      </c>
      <c r="AA2535" s="30">
        <f t="shared" si="79"/>
        <v>2113.6819386975139</v>
      </c>
      <c r="AB2535" t="s">
        <v>457</v>
      </c>
    </row>
    <row r="2536" spans="1:28">
      <c r="A2536" t="s">
        <v>113</v>
      </c>
      <c r="C2536" s="92">
        <v>4615492168</v>
      </c>
      <c r="D2536" s="93">
        <v>19175</v>
      </c>
      <c r="F2536" s="94">
        <v>16</v>
      </c>
      <c r="G2536" s="96">
        <v>5</v>
      </c>
      <c r="H2536" s="91">
        <v>0</v>
      </c>
      <c r="I2536" s="91">
        <v>0</v>
      </c>
      <c r="J2536" s="41"/>
      <c r="K2536" s="41">
        <v>43281</v>
      </c>
      <c r="L2536" s="69" t="s">
        <v>80</v>
      </c>
      <c r="M2536" s="69" t="s">
        <v>286</v>
      </c>
      <c r="N2536" s="98"/>
      <c r="P2536" t="s">
        <v>95</v>
      </c>
      <c r="Q2536" t="s">
        <v>133</v>
      </c>
      <c r="R2536" s="92" t="s">
        <v>69</v>
      </c>
      <c r="S2536" s="92" t="s">
        <v>115</v>
      </c>
      <c r="V2536" s="95">
        <v>43281</v>
      </c>
      <c r="W2536" s="92" t="s">
        <v>360</v>
      </c>
      <c r="X2536" s="90"/>
      <c r="Y2536" s="123"/>
      <c r="Z2536" s="30">
        <f t="shared" si="78"/>
        <v>6763.7822038320437</v>
      </c>
      <c r="AA2536" s="30">
        <f t="shared" si="79"/>
        <v>2113.6819386975139</v>
      </c>
      <c r="AB2536" t="s">
        <v>457</v>
      </c>
    </row>
    <row r="2537" spans="1:28">
      <c r="A2537" t="s">
        <v>113</v>
      </c>
      <c r="C2537" s="92">
        <v>4615492168</v>
      </c>
      <c r="D2537" s="93">
        <v>19175</v>
      </c>
      <c r="F2537" s="94">
        <v>16</v>
      </c>
      <c r="G2537" s="96">
        <v>5</v>
      </c>
      <c r="H2537" s="91">
        <v>0</v>
      </c>
      <c r="I2537" s="91">
        <v>0</v>
      </c>
      <c r="J2537" s="41"/>
      <c r="K2537" s="41">
        <v>43281</v>
      </c>
      <c r="L2537" s="69" t="s">
        <v>80</v>
      </c>
      <c r="M2537" s="69" t="s">
        <v>286</v>
      </c>
      <c r="N2537" s="98"/>
      <c r="P2537" t="s">
        <v>95</v>
      </c>
      <c r="Q2537" t="s">
        <v>133</v>
      </c>
      <c r="R2537" s="92" t="s">
        <v>69</v>
      </c>
      <c r="S2537" s="92" t="s">
        <v>115</v>
      </c>
      <c r="V2537" s="95">
        <v>43281</v>
      </c>
      <c r="W2537" s="92" t="s">
        <v>360</v>
      </c>
      <c r="X2537" s="90"/>
      <c r="Y2537" s="123"/>
      <c r="Z2537" s="30">
        <f t="shared" si="78"/>
        <v>6763.7822038320437</v>
      </c>
      <c r="AA2537" s="30">
        <f t="shared" si="79"/>
        <v>2113.6819386975139</v>
      </c>
      <c r="AB2537" t="s">
        <v>457</v>
      </c>
    </row>
    <row r="2538" spans="1:28">
      <c r="A2538" t="s">
        <v>113</v>
      </c>
      <c r="C2538" s="92">
        <v>4615492168</v>
      </c>
      <c r="D2538" s="93">
        <v>19175</v>
      </c>
      <c r="F2538" s="94">
        <v>16</v>
      </c>
      <c r="G2538" s="96">
        <v>5</v>
      </c>
      <c r="H2538" s="91">
        <v>0</v>
      </c>
      <c r="I2538" s="91">
        <v>0</v>
      </c>
      <c r="J2538" s="41"/>
      <c r="K2538" s="41">
        <v>43281</v>
      </c>
      <c r="L2538" s="69" t="s">
        <v>80</v>
      </c>
      <c r="M2538" s="69" t="s">
        <v>286</v>
      </c>
      <c r="N2538" s="98"/>
      <c r="P2538" t="s">
        <v>95</v>
      </c>
      <c r="Q2538" t="s">
        <v>133</v>
      </c>
      <c r="R2538" s="92" t="s">
        <v>69</v>
      </c>
      <c r="S2538" s="92" t="s">
        <v>115</v>
      </c>
      <c r="V2538" s="95">
        <v>43281</v>
      </c>
      <c r="W2538" s="92" t="s">
        <v>360</v>
      </c>
      <c r="X2538" s="90"/>
      <c r="Y2538" s="123"/>
      <c r="Z2538" s="30">
        <f t="shared" si="78"/>
        <v>6763.7822038320437</v>
      </c>
      <c r="AA2538" s="30">
        <f t="shared" si="79"/>
        <v>2113.6819386975139</v>
      </c>
      <c r="AB2538" t="s">
        <v>457</v>
      </c>
    </row>
    <row r="2539" spans="1:28">
      <c r="A2539" t="s">
        <v>113</v>
      </c>
      <c r="C2539" s="92">
        <v>4615492168</v>
      </c>
      <c r="D2539" s="93">
        <v>19175</v>
      </c>
      <c r="F2539" s="94">
        <v>16</v>
      </c>
      <c r="G2539" s="96">
        <v>5</v>
      </c>
      <c r="H2539" s="91">
        <v>0</v>
      </c>
      <c r="I2539" s="91">
        <v>0</v>
      </c>
      <c r="J2539" s="41"/>
      <c r="K2539" s="41">
        <v>43281</v>
      </c>
      <c r="L2539" s="69" t="s">
        <v>80</v>
      </c>
      <c r="M2539" s="69" t="s">
        <v>286</v>
      </c>
      <c r="N2539" s="98"/>
      <c r="P2539" t="s">
        <v>95</v>
      </c>
      <c r="Q2539" t="s">
        <v>133</v>
      </c>
      <c r="R2539" s="92" t="s">
        <v>69</v>
      </c>
      <c r="S2539" s="92" t="s">
        <v>115</v>
      </c>
      <c r="V2539" s="95">
        <v>43281</v>
      </c>
      <c r="W2539" s="92" t="s">
        <v>360</v>
      </c>
      <c r="X2539" s="90"/>
      <c r="Y2539" s="123"/>
      <c r="Z2539" s="30">
        <f t="shared" si="78"/>
        <v>6763.7822038320437</v>
      </c>
      <c r="AA2539" s="30">
        <f t="shared" si="79"/>
        <v>2113.6819386975139</v>
      </c>
      <c r="AB2539" t="s">
        <v>457</v>
      </c>
    </row>
    <row r="2540" spans="1:28">
      <c r="A2540" t="s">
        <v>113</v>
      </c>
      <c r="C2540" s="92">
        <v>4615492168</v>
      </c>
      <c r="D2540" s="93">
        <v>19175</v>
      </c>
      <c r="F2540" s="94">
        <v>16</v>
      </c>
      <c r="G2540" s="96">
        <v>5</v>
      </c>
      <c r="H2540" s="91">
        <v>0</v>
      </c>
      <c r="I2540" s="91">
        <v>0</v>
      </c>
      <c r="J2540" s="41"/>
      <c r="K2540" s="41">
        <v>43281</v>
      </c>
      <c r="L2540" s="69" t="s">
        <v>80</v>
      </c>
      <c r="M2540" s="69" t="s">
        <v>286</v>
      </c>
      <c r="N2540" s="98"/>
      <c r="P2540" t="s">
        <v>95</v>
      </c>
      <c r="Q2540" t="s">
        <v>133</v>
      </c>
      <c r="R2540" s="92" t="s">
        <v>69</v>
      </c>
      <c r="S2540" s="92" t="s">
        <v>115</v>
      </c>
      <c r="V2540" s="95">
        <v>43281</v>
      </c>
      <c r="W2540" s="92" t="s">
        <v>360</v>
      </c>
      <c r="X2540" s="90"/>
      <c r="Y2540" s="123"/>
      <c r="Z2540" s="30">
        <f t="shared" si="78"/>
        <v>6763.7822038320437</v>
      </c>
      <c r="AA2540" s="30">
        <f t="shared" si="79"/>
        <v>2113.6819386975139</v>
      </c>
      <c r="AB2540" t="s">
        <v>457</v>
      </c>
    </row>
    <row r="2541" spans="1:28">
      <c r="A2541" t="s">
        <v>113</v>
      </c>
      <c r="C2541" s="92">
        <v>4615492168</v>
      </c>
      <c r="D2541" s="93">
        <v>19175</v>
      </c>
      <c r="F2541" s="94">
        <v>16</v>
      </c>
      <c r="G2541" s="96">
        <v>5</v>
      </c>
      <c r="H2541" s="91">
        <v>0</v>
      </c>
      <c r="I2541" s="91">
        <v>0</v>
      </c>
      <c r="J2541" s="41"/>
      <c r="K2541" s="41">
        <v>43281</v>
      </c>
      <c r="L2541" s="69" t="s">
        <v>80</v>
      </c>
      <c r="M2541" s="69" t="s">
        <v>286</v>
      </c>
      <c r="N2541" s="98"/>
      <c r="P2541" t="s">
        <v>95</v>
      </c>
      <c r="Q2541" t="s">
        <v>133</v>
      </c>
      <c r="R2541" s="92" t="s">
        <v>69</v>
      </c>
      <c r="S2541" s="92" t="s">
        <v>115</v>
      </c>
      <c r="V2541" s="95">
        <v>43281</v>
      </c>
      <c r="W2541" s="92" t="s">
        <v>360</v>
      </c>
      <c r="X2541" s="90"/>
      <c r="Y2541" s="123"/>
      <c r="Z2541" s="30">
        <f t="shared" si="78"/>
        <v>6763.7822038320437</v>
      </c>
      <c r="AA2541" s="30">
        <f t="shared" si="79"/>
        <v>2113.6819386975139</v>
      </c>
      <c r="AB2541" t="s">
        <v>457</v>
      </c>
    </row>
    <row r="2542" spans="1:28">
      <c r="A2542" t="s">
        <v>113</v>
      </c>
      <c r="C2542" s="92">
        <v>4615492168</v>
      </c>
      <c r="D2542" s="93">
        <v>19175</v>
      </c>
      <c r="F2542" s="94">
        <v>16</v>
      </c>
      <c r="G2542" s="96">
        <v>5</v>
      </c>
      <c r="H2542" s="91">
        <v>0</v>
      </c>
      <c r="I2542" s="91">
        <v>0</v>
      </c>
      <c r="J2542" s="41"/>
      <c r="K2542" s="41">
        <v>43281</v>
      </c>
      <c r="L2542" s="69" t="s">
        <v>80</v>
      </c>
      <c r="M2542" s="69" t="s">
        <v>286</v>
      </c>
      <c r="N2542" s="98"/>
      <c r="P2542" t="s">
        <v>95</v>
      </c>
      <c r="Q2542" t="s">
        <v>133</v>
      </c>
      <c r="R2542" s="92" t="s">
        <v>69</v>
      </c>
      <c r="S2542" s="92" t="s">
        <v>115</v>
      </c>
      <c r="V2542" s="95">
        <v>43281</v>
      </c>
      <c r="W2542" s="92" t="s">
        <v>360</v>
      </c>
      <c r="X2542" s="90"/>
      <c r="Y2542" s="123"/>
      <c r="Z2542" s="30">
        <f t="shared" si="78"/>
        <v>6763.7822038320437</v>
      </c>
      <c r="AA2542" s="30">
        <f t="shared" si="79"/>
        <v>2113.6819386975139</v>
      </c>
      <c r="AB2542" t="s">
        <v>457</v>
      </c>
    </row>
    <row r="2543" spans="1:28">
      <c r="A2543" t="s">
        <v>113</v>
      </c>
      <c r="C2543" s="92">
        <v>4615492168</v>
      </c>
      <c r="D2543" s="93">
        <v>19175</v>
      </c>
      <c r="F2543" s="94">
        <v>16</v>
      </c>
      <c r="G2543" s="96">
        <v>5</v>
      </c>
      <c r="H2543" s="91">
        <v>0</v>
      </c>
      <c r="I2543" s="91">
        <v>0</v>
      </c>
      <c r="J2543" s="41"/>
      <c r="K2543" s="41">
        <v>43281</v>
      </c>
      <c r="L2543" s="69" t="s">
        <v>80</v>
      </c>
      <c r="M2543" s="69" t="s">
        <v>286</v>
      </c>
      <c r="N2543" s="98"/>
      <c r="P2543" t="s">
        <v>95</v>
      </c>
      <c r="Q2543" t="s">
        <v>133</v>
      </c>
      <c r="R2543" s="92" t="s">
        <v>69</v>
      </c>
      <c r="S2543" s="92" t="s">
        <v>115</v>
      </c>
      <c r="V2543" s="95">
        <v>43281</v>
      </c>
      <c r="W2543" s="92" t="s">
        <v>360</v>
      </c>
      <c r="X2543" s="90"/>
      <c r="Y2543" s="123"/>
      <c r="Z2543" s="30">
        <f t="shared" si="78"/>
        <v>6763.7822038320437</v>
      </c>
      <c r="AA2543" s="30">
        <f t="shared" si="79"/>
        <v>2113.6819386975139</v>
      </c>
      <c r="AB2543" t="s">
        <v>457</v>
      </c>
    </row>
    <row r="2544" spans="1:28">
      <c r="A2544" t="s">
        <v>113</v>
      </c>
      <c r="C2544" s="92">
        <v>4615492168</v>
      </c>
      <c r="D2544" s="93">
        <v>19175</v>
      </c>
      <c r="F2544" s="94">
        <v>16</v>
      </c>
      <c r="G2544" s="96">
        <v>5</v>
      </c>
      <c r="H2544" s="91">
        <v>0</v>
      </c>
      <c r="I2544" s="91">
        <v>0</v>
      </c>
      <c r="J2544" s="41"/>
      <c r="K2544" s="41">
        <v>43281</v>
      </c>
      <c r="L2544" s="69" t="s">
        <v>80</v>
      </c>
      <c r="M2544" s="69" t="s">
        <v>286</v>
      </c>
      <c r="N2544" s="98"/>
      <c r="P2544" t="s">
        <v>95</v>
      </c>
      <c r="Q2544" t="s">
        <v>133</v>
      </c>
      <c r="R2544" s="92" t="s">
        <v>69</v>
      </c>
      <c r="S2544" s="92" t="s">
        <v>115</v>
      </c>
      <c r="V2544" s="95">
        <v>43281</v>
      </c>
      <c r="W2544" s="92" t="s">
        <v>360</v>
      </c>
      <c r="X2544" s="90"/>
      <c r="Y2544" s="123"/>
      <c r="Z2544" s="30">
        <f t="shared" si="78"/>
        <v>6763.7822038320437</v>
      </c>
      <c r="AA2544" s="30">
        <f t="shared" si="79"/>
        <v>2113.6819386975139</v>
      </c>
      <c r="AB2544" t="s">
        <v>457</v>
      </c>
    </row>
    <row r="2545" spans="1:28">
      <c r="A2545" t="s">
        <v>113</v>
      </c>
      <c r="C2545" s="92">
        <v>4615462710</v>
      </c>
      <c r="D2545" s="93">
        <v>19175</v>
      </c>
      <c r="F2545" s="94">
        <v>16</v>
      </c>
      <c r="G2545" s="94">
        <v>0</v>
      </c>
      <c r="H2545" s="91">
        <v>0</v>
      </c>
      <c r="I2545" s="91">
        <v>0</v>
      </c>
      <c r="J2545" s="41"/>
      <c r="K2545" s="41">
        <v>43281</v>
      </c>
      <c r="L2545" s="69" t="s">
        <v>80</v>
      </c>
      <c r="M2545" s="69" t="s">
        <v>286</v>
      </c>
      <c r="N2545" s="98"/>
      <c r="P2545" t="s">
        <v>95</v>
      </c>
      <c r="Q2545" t="s">
        <v>133</v>
      </c>
      <c r="R2545" s="92" t="s">
        <v>69</v>
      </c>
      <c r="S2545" s="92" t="s">
        <v>115</v>
      </c>
      <c r="V2545" s="95">
        <v>43281</v>
      </c>
      <c r="W2545" s="92" t="s">
        <v>361</v>
      </c>
      <c r="X2545" s="90"/>
      <c r="Y2545" s="123"/>
      <c r="Z2545" s="30">
        <f t="shared" si="78"/>
        <v>6763.7822038320437</v>
      </c>
      <c r="AA2545" s="30">
        <f t="shared" si="79"/>
        <v>0</v>
      </c>
      <c r="AB2545" t="s">
        <v>457</v>
      </c>
    </row>
    <row r="2546" spans="1:28">
      <c r="A2546" t="s">
        <v>113</v>
      </c>
      <c r="C2546" s="92">
        <v>4615462710</v>
      </c>
      <c r="D2546" s="93">
        <v>19175</v>
      </c>
      <c r="F2546" s="94">
        <v>16</v>
      </c>
      <c r="G2546" s="94">
        <v>0</v>
      </c>
      <c r="H2546" s="91">
        <v>0</v>
      </c>
      <c r="I2546" s="91">
        <v>0</v>
      </c>
      <c r="J2546" s="41"/>
      <c r="K2546" s="41">
        <v>43281</v>
      </c>
      <c r="L2546" s="69" t="s">
        <v>80</v>
      </c>
      <c r="M2546" s="69" t="s">
        <v>286</v>
      </c>
      <c r="N2546" s="98"/>
      <c r="P2546" t="s">
        <v>95</v>
      </c>
      <c r="Q2546" t="s">
        <v>133</v>
      </c>
      <c r="R2546" s="92" t="s">
        <v>69</v>
      </c>
      <c r="S2546" s="92" t="s">
        <v>115</v>
      </c>
      <c r="V2546" s="95">
        <v>43281</v>
      </c>
      <c r="W2546" s="92" t="s">
        <v>361</v>
      </c>
      <c r="X2546" s="90"/>
      <c r="Y2546" s="123"/>
      <c r="Z2546" s="30">
        <f t="shared" si="78"/>
        <v>6763.7822038320437</v>
      </c>
      <c r="AA2546" s="30">
        <f t="shared" si="79"/>
        <v>0</v>
      </c>
      <c r="AB2546" t="s">
        <v>457</v>
      </c>
    </row>
    <row r="2547" spans="1:28">
      <c r="A2547" t="s">
        <v>113</v>
      </c>
      <c r="C2547" s="92">
        <v>4615462710</v>
      </c>
      <c r="D2547" s="93">
        <v>19175</v>
      </c>
      <c r="F2547" s="94">
        <v>16</v>
      </c>
      <c r="G2547" s="94">
        <v>0</v>
      </c>
      <c r="H2547" s="91">
        <v>0</v>
      </c>
      <c r="I2547" s="91">
        <v>0</v>
      </c>
      <c r="J2547" s="41"/>
      <c r="K2547" s="41">
        <v>43281</v>
      </c>
      <c r="L2547" s="69" t="s">
        <v>80</v>
      </c>
      <c r="M2547" s="69" t="s">
        <v>286</v>
      </c>
      <c r="N2547" s="98"/>
      <c r="P2547" t="s">
        <v>95</v>
      </c>
      <c r="Q2547" t="s">
        <v>133</v>
      </c>
      <c r="R2547" s="92" t="s">
        <v>69</v>
      </c>
      <c r="S2547" s="92" t="s">
        <v>115</v>
      </c>
      <c r="V2547" s="95">
        <v>43281</v>
      </c>
      <c r="W2547" s="92" t="s">
        <v>361</v>
      </c>
      <c r="X2547" s="90"/>
      <c r="Y2547" s="123"/>
      <c r="Z2547" s="30">
        <f t="shared" si="78"/>
        <v>6763.7822038320437</v>
      </c>
      <c r="AA2547" s="30">
        <f t="shared" si="79"/>
        <v>0</v>
      </c>
      <c r="AB2547" t="s">
        <v>457</v>
      </c>
    </row>
    <row r="2548" spans="1:28">
      <c r="A2548" t="s">
        <v>113</v>
      </c>
      <c r="C2548" s="92">
        <v>4615462710</v>
      </c>
      <c r="D2548" s="93">
        <v>19175</v>
      </c>
      <c r="F2548" s="94">
        <v>16</v>
      </c>
      <c r="G2548" s="94">
        <v>0</v>
      </c>
      <c r="H2548" s="91">
        <v>0</v>
      </c>
      <c r="I2548" s="91">
        <v>0</v>
      </c>
      <c r="J2548" s="41"/>
      <c r="K2548" s="41">
        <v>43281</v>
      </c>
      <c r="L2548" s="69" t="s">
        <v>80</v>
      </c>
      <c r="M2548" s="69" t="s">
        <v>286</v>
      </c>
      <c r="N2548" s="98"/>
      <c r="P2548" t="s">
        <v>95</v>
      </c>
      <c r="Q2548" t="s">
        <v>133</v>
      </c>
      <c r="R2548" s="92" t="s">
        <v>69</v>
      </c>
      <c r="S2548" s="92" t="s">
        <v>115</v>
      </c>
      <c r="V2548" s="95">
        <v>43281</v>
      </c>
      <c r="W2548" s="92" t="s">
        <v>361</v>
      </c>
      <c r="X2548" s="90"/>
      <c r="Y2548" s="123"/>
      <c r="Z2548" s="30">
        <f t="shared" si="78"/>
        <v>6763.7822038320437</v>
      </c>
      <c r="AA2548" s="30">
        <f t="shared" si="79"/>
        <v>0</v>
      </c>
      <c r="AB2548" t="s">
        <v>457</v>
      </c>
    </row>
    <row r="2549" spans="1:28">
      <c r="A2549" t="s">
        <v>113</v>
      </c>
      <c r="C2549" s="92">
        <v>4615462710</v>
      </c>
      <c r="D2549" s="93">
        <v>19175</v>
      </c>
      <c r="F2549" s="94">
        <v>16</v>
      </c>
      <c r="G2549" s="94">
        <v>0</v>
      </c>
      <c r="H2549" s="91">
        <v>0</v>
      </c>
      <c r="I2549" s="91">
        <v>0</v>
      </c>
      <c r="J2549" s="41"/>
      <c r="K2549" s="41">
        <v>43281</v>
      </c>
      <c r="L2549" s="69" t="s">
        <v>80</v>
      </c>
      <c r="M2549" s="69" t="s">
        <v>286</v>
      </c>
      <c r="N2549" s="98"/>
      <c r="P2549" t="s">
        <v>95</v>
      </c>
      <c r="Q2549" t="s">
        <v>133</v>
      </c>
      <c r="R2549" s="92" t="s">
        <v>69</v>
      </c>
      <c r="S2549" s="92" t="s">
        <v>115</v>
      </c>
      <c r="V2549" s="95">
        <v>43281</v>
      </c>
      <c r="W2549" s="92" t="s">
        <v>361</v>
      </c>
      <c r="X2549" s="90"/>
      <c r="Y2549" s="123"/>
      <c r="Z2549" s="30">
        <f t="shared" si="78"/>
        <v>6763.7822038320437</v>
      </c>
      <c r="AA2549" s="30">
        <f t="shared" si="79"/>
        <v>0</v>
      </c>
      <c r="AB2549" t="s">
        <v>457</v>
      </c>
    </row>
    <row r="2550" spans="1:28">
      <c r="A2550" t="s">
        <v>113</v>
      </c>
      <c r="C2550" s="92">
        <v>4615462710</v>
      </c>
      <c r="D2550" s="93">
        <v>19175</v>
      </c>
      <c r="F2550" s="94">
        <v>16</v>
      </c>
      <c r="G2550" s="94">
        <v>0</v>
      </c>
      <c r="H2550" s="91">
        <v>0</v>
      </c>
      <c r="I2550" s="91">
        <v>0</v>
      </c>
      <c r="J2550" s="41"/>
      <c r="K2550" s="41">
        <v>43281</v>
      </c>
      <c r="L2550" s="69" t="s">
        <v>80</v>
      </c>
      <c r="M2550" s="69" t="s">
        <v>286</v>
      </c>
      <c r="N2550" s="98"/>
      <c r="P2550" t="s">
        <v>95</v>
      </c>
      <c r="Q2550" t="s">
        <v>133</v>
      </c>
      <c r="R2550" s="92" t="s">
        <v>69</v>
      </c>
      <c r="S2550" s="92" t="s">
        <v>115</v>
      </c>
      <c r="V2550" s="95">
        <v>43281</v>
      </c>
      <c r="W2550" s="92" t="s">
        <v>361</v>
      </c>
      <c r="X2550" s="90"/>
      <c r="Y2550" s="123"/>
      <c r="Z2550" s="30">
        <f t="shared" si="78"/>
        <v>6763.7822038320437</v>
      </c>
      <c r="AA2550" s="30">
        <f t="shared" si="79"/>
        <v>0</v>
      </c>
      <c r="AB2550" t="s">
        <v>457</v>
      </c>
    </row>
    <row r="2551" spans="1:28">
      <c r="A2551" t="s">
        <v>113</v>
      </c>
      <c r="C2551" s="92">
        <v>4615462710</v>
      </c>
      <c r="D2551" s="93">
        <v>19175</v>
      </c>
      <c r="F2551" s="94">
        <v>16</v>
      </c>
      <c r="G2551" s="94">
        <v>0</v>
      </c>
      <c r="H2551" s="91">
        <v>0</v>
      </c>
      <c r="I2551" s="91">
        <v>0</v>
      </c>
      <c r="J2551" s="41"/>
      <c r="K2551" s="41">
        <v>43281</v>
      </c>
      <c r="L2551" s="69" t="s">
        <v>80</v>
      </c>
      <c r="M2551" s="69" t="s">
        <v>286</v>
      </c>
      <c r="N2551" s="98"/>
      <c r="P2551" t="s">
        <v>95</v>
      </c>
      <c r="Q2551" t="s">
        <v>133</v>
      </c>
      <c r="R2551" s="92" t="s">
        <v>69</v>
      </c>
      <c r="S2551" s="92" t="s">
        <v>115</v>
      </c>
      <c r="V2551" s="95">
        <v>43281</v>
      </c>
      <c r="W2551" s="92" t="s">
        <v>361</v>
      </c>
      <c r="X2551" s="90"/>
      <c r="Y2551" s="123"/>
      <c r="Z2551" s="30">
        <f t="shared" si="78"/>
        <v>6763.7822038320437</v>
      </c>
      <c r="AA2551" s="30">
        <f t="shared" si="79"/>
        <v>0</v>
      </c>
      <c r="AB2551" t="s">
        <v>457</v>
      </c>
    </row>
    <row r="2552" spans="1:28">
      <c r="A2552" t="s">
        <v>113</v>
      </c>
      <c r="C2552" s="92">
        <v>4615462710</v>
      </c>
      <c r="D2552" s="93">
        <v>19175</v>
      </c>
      <c r="F2552" s="94">
        <v>16</v>
      </c>
      <c r="G2552" s="94">
        <v>0</v>
      </c>
      <c r="H2552" s="91">
        <v>0</v>
      </c>
      <c r="I2552" s="91">
        <v>0</v>
      </c>
      <c r="J2552" s="41"/>
      <c r="K2552" s="41">
        <v>43281</v>
      </c>
      <c r="L2552" s="69" t="s">
        <v>80</v>
      </c>
      <c r="M2552" s="69" t="s">
        <v>286</v>
      </c>
      <c r="N2552" s="98"/>
      <c r="P2552" t="s">
        <v>95</v>
      </c>
      <c r="Q2552" t="s">
        <v>133</v>
      </c>
      <c r="R2552" s="92" t="s">
        <v>69</v>
      </c>
      <c r="S2552" s="92" t="s">
        <v>115</v>
      </c>
      <c r="V2552" s="95">
        <v>43281</v>
      </c>
      <c r="W2552" s="92" t="s">
        <v>361</v>
      </c>
      <c r="X2552" s="90"/>
      <c r="Y2552" s="123"/>
      <c r="Z2552" s="30">
        <f t="shared" si="78"/>
        <v>6763.7822038320437</v>
      </c>
      <c r="AA2552" s="30">
        <f t="shared" si="79"/>
        <v>0</v>
      </c>
      <c r="AB2552" t="s">
        <v>457</v>
      </c>
    </row>
    <row r="2553" spans="1:28">
      <c r="A2553" t="s">
        <v>113</v>
      </c>
      <c r="C2553" s="92">
        <v>4615462710</v>
      </c>
      <c r="D2553" s="93">
        <v>19175</v>
      </c>
      <c r="F2553" s="94">
        <v>16</v>
      </c>
      <c r="G2553" s="94">
        <v>0</v>
      </c>
      <c r="H2553" s="91">
        <v>0</v>
      </c>
      <c r="I2553" s="91">
        <v>0</v>
      </c>
      <c r="J2553" s="41"/>
      <c r="K2553" s="41">
        <v>43281</v>
      </c>
      <c r="L2553" s="69" t="s">
        <v>80</v>
      </c>
      <c r="M2553" s="69" t="s">
        <v>286</v>
      </c>
      <c r="N2553" s="98"/>
      <c r="P2553" t="s">
        <v>95</v>
      </c>
      <c r="Q2553" t="s">
        <v>133</v>
      </c>
      <c r="R2553" s="92" t="s">
        <v>69</v>
      </c>
      <c r="S2553" s="92" t="s">
        <v>115</v>
      </c>
      <c r="V2553" s="95">
        <v>43281</v>
      </c>
      <c r="W2553" s="92" t="s">
        <v>361</v>
      </c>
      <c r="X2553" s="90"/>
      <c r="Y2553" s="123"/>
      <c r="Z2553" s="30">
        <f t="shared" si="78"/>
        <v>6763.7822038320437</v>
      </c>
      <c r="AA2553" s="30">
        <f t="shared" si="79"/>
        <v>0</v>
      </c>
      <c r="AB2553" t="s">
        <v>457</v>
      </c>
    </row>
    <row r="2554" spans="1:28">
      <c r="A2554" t="s">
        <v>113</v>
      </c>
      <c r="C2554" s="92">
        <v>4615462710</v>
      </c>
      <c r="D2554" s="93">
        <v>19175</v>
      </c>
      <c r="F2554" s="94">
        <v>16</v>
      </c>
      <c r="G2554" s="94">
        <v>0</v>
      </c>
      <c r="H2554" s="91">
        <v>0</v>
      </c>
      <c r="I2554" s="91">
        <v>0</v>
      </c>
      <c r="J2554" s="41"/>
      <c r="K2554" s="41">
        <v>43281</v>
      </c>
      <c r="L2554" s="69" t="s">
        <v>80</v>
      </c>
      <c r="M2554" s="69" t="s">
        <v>286</v>
      </c>
      <c r="N2554" s="98"/>
      <c r="P2554" t="s">
        <v>95</v>
      </c>
      <c r="Q2554" t="s">
        <v>133</v>
      </c>
      <c r="R2554" s="92" t="s">
        <v>69</v>
      </c>
      <c r="S2554" s="92" t="s">
        <v>115</v>
      </c>
      <c r="V2554" s="95">
        <v>43281</v>
      </c>
      <c r="W2554" s="92" t="s">
        <v>361</v>
      </c>
      <c r="X2554" s="90"/>
      <c r="Y2554" s="123"/>
      <c r="Z2554" s="30">
        <f t="shared" si="78"/>
        <v>6763.7822038320437</v>
      </c>
      <c r="AA2554" s="30">
        <f t="shared" si="79"/>
        <v>0</v>
      </c>
      <c r="AB2554" t="s">
        <v>457</v>
      </c>
    </row>
    <row r="2555" spans="1:28">
      <c r="A2555" t="s">
        <v>113</v>
      </c>
      <c r="C2555" s="104" t="s">
        <v>161</v>
      </c>
      <c r="D2555" s="105">
        <v>21600</v>
      </c>
      <c r="F2555" s="91">
        <v>16</v>
      </c>
      <c r="G2555" s="96">
        <v>5</v>
      </c>
      <c r="H2555" s="94">
        <v>0</v>
      </c>
      <c r="I2555" s="91">
        <v>0</v>
      </c>
      <c r="J2555" s="41"/>
      <c r="K2555" s="41">
        <v>43281</v>
      </c>
      <c r="L2555" s="69" t="s">
        <v>80</v>
      </c>
      <c r="M2555" s="69" t="s">
        <v>286</v>
      </c>
      <c r="N2555" s="95"/>
      <c r="P2555" t="s">
        <v>95</v>
      </c>
      <c r="Q2555" t="s">
        <v>133</v>
      </c>
      <c r="R2555" s="92" t="s">
        <v>69</v>
      </c>
      <c r="S2555" s="92" t="s">
        <v>115</v>
      </c>
      <c r="V2555" s="95">
        <v>43281</v>
      </c>
      <c r="W2555" s="104" t="s">
        <v>362</v>
      </c>
      <c r="X2555" s="90" t="s">
        <v>196</v>
      </c>
      <c r="Y2555" s="123"/>
      <c r="Z2555" s="30">
        <f t="shared" si="78"/>
        <v>7619.1757811093694</v>
      </c>
      <c r="AA2555" s="30">
        <f t="shared" si="79"/>
        <v>2380.9924315966778</v>
      </c>
      <c r="AB2555" t="s">
        <v>457</v>
      </c>
    </row>
    <row r="2556" spans="1:28">
      <c r="A2556" t="s">
        <v>113</v>
      </c>
      <c r="C2556" s="104" t="s">
        <v>161</v>
      </c>
      <c r="D2556" s="105">
        <v>21600</v>
      </c>
      <c r="F2556" s="91">
        <v>16</v>
      </c>
      <c r="G2556" s="96">
        <v>5</v>
      </c>
      <c r="H2556" s="94">
        <v>0</v>
      </c>
      <c r="I2556" s="91">
        <v>0</v>
      </c>
      <c r="J2556" s="41"/>
      <c r="K2556" s="41">
        <v>43281</v>
      </c>
      <c r="L2556" s="69" t="s">
        <v>80</v>
      </c>
      <c r="M2556" s="69" t="s">
        <v>286</v>
      </c>
      <c r="N2556" s="95"/>
      <c r="P2556" t="s">
        <v>95</v>
      </c>
      <c r="Q2556" t="s">
        <v>133</v>
      </c>
      <c r="R2556" s="92" t="s">
        <v>69</v>
      </c>
      <c r="S2556" s="92" t="s">
        <v>115</v>
      </c>
      <c r="V2556" s="95">
        <v>43281</v>
      </c>
      <c r="W2556" s="104" t="s">
        <v>362</v>
      </c>
      <c r="X2556" s="90" t="s">
        <v>196</v>
      </c>
      <c r="Y2556" s="123"/>
      <c r="Z2556" s="30">
        <f t="shared" si="78"/>
        <v>7619.1757811093694</v>
      </c>
      <c r="AA2556" s="30">
        <f t="shared" si="79"/>
        <v>2380.9924315966778</v>
      </c>
      <c r="AB2556" t="s">
        <v>457</v>
      </c>
    </row>
    <row r="2557" spans="1:28">
      <c r="A2557" t="s">
        <v>113</v>
      </c>
      <c r="C2557" s="104" t="s">
        <v>161</v>
      </c>
      <c r="D2557" s="105">
        <v>21600</v>
      </c>
      <c r="F2557" s="91">
        <v>16</v>
      </c>
      <c r="G2557" s="96">
        <v>5</v>
      </c>
      <c r="H2557" s="94">
        <v>0</v>
      </c>
      <c r="I2557" s="91">
        <v>0</v>
      </c>
      <c r="J2557" s="41"/>
      <c r="K2557" s="41">
        <v>43281</v>
      </c>
      <c r="L2557" s="69" t="s">
        <v>80</v>
      </c>
      <c r="M2557" s="69" t="s">
        <v>286</v>
      </c>
      <c r="N2557" s="95"/>
      <c r="P2557" t="s">
        <v>95</v>
      </c>
      <c r="Q2557" t="s">
        <v>133</v>
      </c>
      <c r="R2557" s="92" t="s">
        <v>69</v>
      </c>
      <c r="S2557" s="92" t="s">
        <v>115</v>
      </c>
      <c r="V2557" s="95">
        <v>43281</v>
      </c>
      <c r="W2557" s="104" t="s">
        <v>362</v>
      </c>
      <c r="X2557" s="90" t="s">
        <v>196</v>
      </c>
      <c r="Y2557" s="123"/>
      <c r="Z2557" s="30">
        <f t="shared" si="78"/>
        <v>7619.1757811093694</v>
      </c>
      <c r="AA2557" s="30">
        <f t="shared" si="79"/>
        <v>2380.9924315966778</v>
      </c>
      <c r="AB2557" t="s">
        <v>457</v>
      </c>
    </row>
    <row r="2558" spans="1:28">
      <c r="A2558" t="s">
        <v>113</v>
      </c>
      <c r="C2558" s="104" t="s">
        <v>161</v>
      </c>
      <c r="D2558" s="105">
        <v>21600</v>
      </c>
      <c r="F2558" s="91">
        <v>16</v>
      </c>
      <c r="G2558" s="96">
        <v>5</v>
      </c>
      <c r="H2558" s="94">
        <v>0</v>
      </c>
      <c r="I2558" s="91">
        <v>0</v>
      </c>
      <c r="J2558" s="41"/>
      <c r="K2558" s="41">
        <v>43281</v>
      </c>
      <c r="L2558" s="69" t="s">
        <v>80</v>
      </c>
      <c r="M2558" s="69" t="s">
        <v>286</v>
      </c>
      <c r="N2558" s="95"/>
      <c r="P2558" t="s">
        <v>95</v>
      </c>
      <c r="Q2558" t="s">
        <v>133</v>
      </c>
      <c r="R2558" s="92" t="s">
        <v>69</v>
      </c>
      <c r="S2558" s="92" t="s">
        <v>115</v>
      </c>
      <c r="V2558" s="95">
        <v>43281</v>
      </c>
      <c r="W2558" s="104" t="s">
        <v>362</v>
      </c>
      <c r="X2558" s="90" t="s">
        <v>196</v>
      </c>
      <c r="Y2558" s="123"/>
      <c r="Z2558" s="30">
        <f t="shared" si="78"/>
        <v>7619.1757811093694</v>
      </c>
      <c r="AA2558" s="30">
        <f t="shared" si="79"/>
        <v>2380.9924315966778</v>
      </c>
      <c r="AB2558" t="s">
        <v>457</v>
      </c>
    </row>
    <row r="2559" spans="1:28">
      <c r="A2559" t="s">
        <v>113</v>
      </c>
      <c r="C2559" s="104" t="s">
        <v>161</v>
      </c>
      <c r="D2559" s="105">
        <v>21600</v>
      </c>
      <c r="F2559" s="91">
        <v>16</v>
      </c>
      <c r="G2559" s="96">
        <v>5</v>
      </c>
      <c r="H2559" s="94">
        <v>0</v>
      </c>
      <c r="I2559" s="91">
        <v>0</v>
      </c>
      <c r="J2559" s="41"/>
      <c r="K2559" s="41">
        <v>43281</v>
      </c>
      <c r="L2559" s="69" t="s">
        <v>80</v>
      </c>
      <c r="M2559" s="69" t="s">
        <v>286</v>
      </c>
      <c r="N2559" s="95"/>
      <c r="P2559" t="s">
        <v>95</v>
      </c>
      <c r="Q2559" t="s">
        <v>133</v>
      </c>
      <c r="R2559" s="92" t="s">
        <v>69</v>
      </c>
      <c r="S2559" s="92" t="s">
        <v>115</v>
      </c>
      <c r="V2559" s="95">
        <v>43281</v>
      </c>
      <c r="W2559" s="104" t="s">
        <v>362</v>
      </c>
      <c r="X2559" s="90" t="s">
        <v>196</v>
      </c>
      <c r="Y2559" s="123"/>
      <c r="Z2559" s="30">
        <f t="shared" si="78"/>
        <v>7619.1757811093694</v>
      </c>
      <c r="AA2559" s="30">
        <f t="shared" si="79"/>
        <v>2380.9924315966778</v>
      </c>
      <c r="AB2559" t="s">
        <v>457</v>
      </c>
    </row>
    <row r="2560" spans="1:28">
      <c r="A2560" t="s">
        <v>113</v>
      </c>
      <c r="C2560" s="104" t="s">
        <v>161</v>
      </c>
      <c r="D2560" s="105">
        <v>21600</v>
      </c>
      <c r="F2560" s="91">
        <v>16</v>
      </c>
      <c r="G2560" s="96">
        <v>5</v>
      </c>
      <c r="H2560" s="94">
        <v>0</v>
      </c>
      <c r="I2560" s="91">
        <v>0</v>
      </c>
      <c r="J2560" s="41"/>
      <c r="K2560" s="41">
        <v>43281</v>
      </c>
      <c r="L2560" s="69" t="s">
        <v>80</v>
      </c>
      <c r="M2560" s="69" t="s">
        <v>286</v>
      </c>
      <c r="N2560" s="95"/>
      <c r="P2560" t="s">
        <v>95</v>
      </c>
      <c r="Q2560" t="s">
        <v>133</v>
      </c>
      <c r="R2560" s="92" t="s">
        <v>69</v>
      </c>
      <c r="S2560" s="92" t="s">
        <v>115</v>
      </c>
      <c r="V2560" s="95">
        <v>43281</v>
      </c>
      <c r="W2560" s="104" t="s">
        <v>362</v>
      </c>
      <c r="X2560" s="90" t="s">
        <v>196</v>
      </c>
      <c r="Y2560" s="123"/>
      <c r="Z2560" s="30">
        <f t="shared" si="78"/>
        <v>7619.1757811093694</v>
      </c>
      <c r="AA2560" s="30">
        <f t="shared" si="79"/>
        <v>2380.9924315966778</v>
      </c>
      <c r="AB2560" t="s">
        <v>457</v>
      </c>
    </row>
    <row r="2561" spans="1:28">
      <c r="A2561" t="s">
        <v>113</v>
      </c>
      <c r="C2561" s="104" t="s">
        <v>161</v>
      </c>
      <c r="D2561" s="105">
        <v>21600</v>
      </c>
      <c r="F2561" s="91">
        <v>16</v>
      </c>
      <c r="G2561" s="96">
        <v>5</v>
      </c>
      <c r="H2561" s="94">
        <v>0</v>
      </c>
      <c r="I2561" s="91">
        <v>0</v>
      </c>
      <c r="J2561" s="41"/>
      <c r="K2561" s="41">
        <v>43281</v>
      </c>
      <c r="L2561" s="69" t="s">
        <v>80</v>
      </c>
      <c r="M2561" s="69" t="s">
        <v>286</v>
      </c>
      <c r="N2561" s="95"/>
      <c r="P2561" t="s">
        <v>95</v>
      </c>
      <c r="Q2561" t="s">
        <v>133</v>
      </c>
      <c r="R2561" s="92" t="s">
        <v>69</v>
      </c>
      <c r="S2561" s="92" t="s">
        <v>115</v>
      </c>
      <c r="V2561" s="95">
        <v>43281</v>
      </c>
      <c r="W2561" s="104" t="s">
        <v>362</v>
      </c>
      <c r="X2561" s="90" t="s">
        <v>196</v>
      </c>
      <c r="Y2561" s="123"/>
      <c r="Z2561" s="30">
        <f t="shared" si="78"/>
        <v>7619.1757811093694</v>
      </c>
      <c r="AA2561" s="30">
        <f t="shared" si="79"/>
        <v>2380.9924315966778</v>
      </c>
      <c r="AB2561" t="s">
        <v>457</v>
      </c>
    </row>
    <row r="2562" spans="1:28">
      <c r="A2562" t="s">
        <v>113</v>
      </c>
      <c r="C2562" s="104" t="s">
        <v>161</v>
      </c>
      <c r="D2562" s="105">
        <v>21600</v>
      </c>
      <c r="F2562" s="91">
        <v>16</v>
      </c>
      <c r="G2562" s="96">
        <v>5</v>
      </c>
      <c r="H2562" s="94">
        <v>0</v>
      </c>
      <c r="I2562" s="91">
        <v>0</v>
      </c>
      <c r="J2562" s="41"/>
      <c r="K2562" s="41">
        <v>43281</v>
      </c>
      <c r="L2562" s="69" t="s">
        <v>80</v>
      </c>
      <c r="M2562" s="69" t="s">
        <v>286</v>
      </c>
      <c r="N2562" s="95"/>
      <c r="P2562" t="s">
        <v>95</v>
      </c>
      <c r="Q2562" t="s">
        <v>133</v>
      </c>
      <c r="R2562" s="92" t="s">
        <v>69</v>
      </c>
      <c r="S2562" s="92" t="s">
        <v>115</v>
      </c>
      <c r="V2562" s="95">
        <v>43281</v>
      </c>
      <c r="W2562" s="104" t="s">
        <v>362</v>
      </c>
      <c r="X2562" s="90" t="s">
        <v>196</v>
      </c>
      <c r="Y2562" s="123"/>
      <c r="Z2562" s="30">
        <f t="shared" si="78"/>
        <v>7619.1757811093694</v>
      </c>
      <c r="AA2562" s="30">
        <f t="shared" si="79"/>
        <v>2380.9924315966778</v>
      </c>
      <c r="AB2562" t="s">
        <v>457</v>
      </c>
    </row>
    <row r="2563" spans="1:28">
      <c r="A2563" t="s">
        <v>113</v>
      </c>
      <c r="C2563" s="104" t="s">
        <v>161</v>
      </c>
      <c r="D2563" s="105">
        <v>21600</v>
      </c>
      <c r="F2563" s="91">
        <v>16</v>
      </c>
      <c r="G2563" s="96">
        <v>5</v>
      </c>
      <c r="H2563" s="94">
        <v>0</v>
      </c>
      <c r="I2563" s="91">
        <v>0</v>
      </c>
      <c r="J2563" s="41"/>
      <c r="K2563" s="41">
        <v>43281</v>
      </c>
      <c r="L2563" s="69" t="s">
        <v>80</v>
      </c>
      <c r="M2563" s="69" t="s">
        <v>286</v>
      </c>
      <c r="N2563" s="95"/>
      <c r="P2563" t="s">
        <v>95</v>
      </c>
      <c r="Q2563" t="s">
        <v>133</v>
      </c>
      <c r="R2563" s="92" t="s">
        <v>69</v>
      </c>
      <c r="S2563" s="92" t="s">
        <v>115</v>
      </c>
      <c r="V2563" s="95">
        <v>43281</v>
      </c>
      <c r="W2563" s="104" t="s">
        <v>362</v>
      </c>
      <c r="X2563" s="90" t="s">
        <v>196</v>
      </c>
      <c r="Y2563" s="123"/>
      <c r="Z2563" s="30">
        <f t="shared" ref="Z2563:Z2626" si="80">CONVERT(D2563,"kg","lbm")*F2563/100</f>
        <v>7619.1757811093694</v>
      </c>
      <c r="AA2563" s="30">
        <f t="shared" ref="AA2563:AA2626" si="81">CONVERT(D2563,"kg","lbm")*G2563/100</f>
        <v>2380.9924315966778</v>
      </c>
      <c r="AB2563" t="s">
        <v>457</v>
      </c>
    </row>
    <row r="2564" spans="1:28">
      <c r="A2564" t="s">
        <v>113</v>
      </c>
      <c r="C2564" s="104" t="s">
        <v>161</v>
      </c>
      <c r="D2564" s="105">
        <v>21600</v>
      </c>
      <c r="F2564" s="91">
        <v>16</v>
      </c>
      <c r="G2564" s="96">
        <v>5</v>
      </c>
      <c r="H2564" s="94">
        <v>0</v>
      </c>
      <c r="I2564" s="91">
        <v>0</v>
      </c>
      <c r="J2564" s="41"/>
      <c r="K2564" s="41">
        <v>43281</v>
      </c>
      <c r="L2564" s="69" t="s">
        <v>80</v>
      </c>
      <c r="M2564" s="69" t="s">
        <v>286</v>
      </c>
      <c r="N2564" s="95"/>
      <c r="P2564" t="s">
        <v>95</v>
      </c>
      <c r="Q2564" t="s">
        <v>133</v>
      </c>
      <c r="R2564" s="92" t="s">
        <v>69</v>
      </c>
      <c r="S2564" s="92" t="s">
        <v>115</v>
      </c>
      <c r="V2564" s="95">
        <v>43281</v>
      </c>
      <c r="W2564" s="104" t="s">
        <v>362</v>
      </c>
      <c r="X2564" s="90" t="s">
        <v>196</v>
      </c>
      <c r="Y2564" s="123"/>
      <c r="Z2564" s="30">
        <f t="shared" si="80"/>
        <v>7619.1757811093694</v>
      </c>
      <c r="AA2564" s="30">
        <f t="shared" si="81"/>
        <v>2380.9924315966778</v>
      </c>
      <c r="AB2564" t="s">
        <v>457</v>
      </c>
    </row>
    <row r="2565" spans="1:28">
      <c r="A2565" t="s">
        <v>113</v>
      </c>
      <c r="C2565" s="104" t="s">
        <v>161</v>
      </c>
      <c r="D2565" s="105">
        <v>21600</v>
      </c>
      <c r="F2565" s="91">
        <v>16</v>
      </c>
      <c r="G2565" s="96">
        <v>5</v>
      </c>
      <c r="H2565" s="94">
        <v>0</v>
      </c>
      <c r="I2565" s="91">
        <v>0</v>
      </c>
      <c r="J2565" s="41"/>
      <c r="K2565" s="41">
        <v>43281</v>
      </c>
      <c r="L2565" s="69" t="s">
        <v>80</v>
      </c>
      <c r="M2565" s="69" t="s">
        <v>286</v>
      </c>
      <c r="N2565" s="95"/>
      <c r="P2565" t="s">
        <v>95</v>
      </c>
      <c r="Q2565" t="s">
        <v>133</v>
      </c>
      <c r="R2565" s="92" t="s">
        <v>69</v>
      </c>
      <c r="S2565" s="92" t="s">
        <v>115</v>
      </c>
      <c r="V2565" s="95">
        <v>43281</v>
      </c>
      <c r="W2565" s="104" t="s">
        <v>362</v>
      </c>
      <c r="X2565" s="90" t="s">
        <v>196</v>
      </c>
      <c r="Y2565" s="123"/>
      <c r="Z2565" s="30">
        <f t="shared" si="80"/>
        <v>7619.1757811093694</v>
      </c>
      <c r="AA2565" s="30">
        <f t="shared" si="81"/>
        <v>2380.9924315966778</v>
      </c>
      <c r="AB2565" t="s">
        <v>457</v>
      </c>
    </row>
    <row r="2566" spans="1:28">
      <c r="A2566" t="s">
        <v>113</v>
      </c>
      <c r="C2566" s="104" t="s">
        <v>161</v>
      </c>
      <c r="D2566" s="105">
        <v>21600</v>
      </c>
      <c r="F2566" s="91">
        <v>16</v>
      </c>
      <c r="G2566" s="96">
        <v>5</v>
      </c>
      <c r="H2566" s="94">
        <v>0</v>
      </c>
      <c r="I2566" s="91">
        <v>0</v>
      </c>
      <c r="J2566" s="41"/>
      <c r="K2566" s="41">
        <v>43281</v>
      </c>
      <c r="L2566" s="69" t="s">
        <v>80</v>
      </c>
      <c r="M2566" s="69" t="s">
        <v>286</v>
      </c>
      <c r="N2566" s="95"/>
      <c r="P2566" t="s">
        <v>95</v>
      </c>
      <c r="Q2566" t="s">
        <v>133</v>
      </c>
      <c r="R2566" s="92" t="s">
        <v>69</v>
      </c>
      <c r="S2566" s="92" t="s">
        <v>115</v>
      </c>
      <c r="V2566" s="95">
        <v>43281</v>
      </c>
      <c r="W2566" s="104" t="s">
        <v>362</v>
      </c>
      <c r="X2566" s="90" t="s">
        <v>196</v>
      </c>
      <c r="Y2566" s="123"/>
      <c r="Z2566" s="30">
        <f t="shared" si="80"/>
        <v>7619.1757811093694</v>
      </c>
      <c r="AA2566" s="30">
        <f t="shared" si="81"/>
        <v>2380.9924315966778</v>
      </c>
      <c r="AB2566" t="s">
        <v>457</v>
      </c>
    </row>
    <row r="2567" spans="1:28">
      <c r="A2567" t="s">
        <v>118</v>
      </c>
      <c r="C2567" s="92">
        <v>4615461162</v>
      </c>
      <c r="D2567" s="93">
        <v>19175</v>
      </c>
      <c r="F2567" s="91">
        <v>10</v>
      </c>
      <c r="G2567" s="96">
        <v>0</v>
      </c>
      <c r="H2567" s="94">
        <v>0</v>
      </c>
      <c r="I2567" s="91">
        <v>0</v>
      </c>
      <c r="J2567" s="41"/>
      <c r="K2567" s="41">
        <v>43312</v>
      </c>
      <c r="L2567" s="69" t="s">
        <v>80</v>
      </c>
      <c r="M2567" s="69" t="s">
        <v>286</v>
      </c>
      <c r="N2567" s="95"/>
      <c r="P2567" t="s">
        <v>95</v>
      </c>
      <c r="Q2567" t="s">
        <v>120</v>
      </c>
      <c r="R2567" s="92" t="s">
        <v>69</v>
      </c>
      <c r="S2567" s="92" t="s">
        <v>121</v>
      </c>
      <c r="V2567" s="95">
        <v>43312</v>
      </c>
      <c r="W2567" s="92">
        <v>2030528</v>
      </c>
      <c r="X2567" s="90"/>
      <c r="Y2567" s="123"/>
      <c r="Z2567" s="30">
        <f t="shared" si="80"/>
        <v>4227.3638773950279</v>
      </c>
      <c r="AA2567" s="30">
        <f t="shared" si="81"/>
        <v>0</v>
      </c>
      <c r="AB2567" t="s">
        <v>457</v>
      </c>
    </row>
    <row r="2568" spans="1:28">
      <c r="A2568" t="s">
        <v>118</v>
      </c>
      <c r="C2568" s="92">
        <v>4615461162</v>
      </c>
      <c r="D2568" s="93">
        <v>19175</v>
      </c>
      <c r="F2568" s="91">
        <v>10</v>
      </c>
      <c r="G2568" s="96">
        <v>0</v>
      </c>
      <c r="H2568" s="94">
        <v>0</v>
      </c>
      <c r="I2568" s="91">
        <v>0</v>
      </c>
      <c r="J2568" s="41"/>
      <c r="K2568" s="41">
        <v>43312</v>
      </c>
      <c r="L2568" s="69" t="s">
        <v>80</v>
      </c>
      <c r="M2568" s="69" t="s">
        <v>286</v>
      </c>
      <c r="N2568" s="95"/>
      <c r="P2568" t="s">
        <v>95</v>
      </c>
      <c r="Q2568" t="s">
        <v>120</v>
      </c>
      <c r="R2568" s="92" t="s">
        <v>69</v>
      </c>
      <c r="S2568" s="92" t="s">
        <v>121</v>
      </c>
      <c r="V2568" s="95">
        <v>43312</v>
      </c>
      <c r="W2568" s="92">
        <v>2030528</v>
      </c>
      <c r="X2568" s="90"/>
      <c r="Y2568" s="123"/>
      <c r="Z2568" s="30">
        <f t="shared" si="80"/>
        <v>4227.3638773950279</v>
      </c>
      <c r="AA2568" s="30">
        <f t="shared" si="81"/>
        <v>0</v>
      </c>
      <c r="AB2568" t="s">
        <v>457</v>
      </c>
    </row>
    <row r="2569" spans="1:28">
      <c r="A2569" t="s">
        <v>118</v>
      </c>
      <c r="C2569" s="92">
        <v>4615461162</v>
      </c>
      <c r="D2569" s="93">
        <v>19175</v>
      </c>
      <c r="F2569" s="91">
        <v>10</v>
      </c>
      <c r="G2569" s="96">
        <v>0</v>
      </c>
      <c r="H2569" s="94">
        <v>0</v>
      </c>
      <c r="I2569" s="91">
        <v>0</v>
      </c>
      <c r="J2569" s="41"/>
      <c r="K2569" s="41">
        <v>43312</v>
      </c>
      <c r="L2569" s="69" t="s">
        <v>80</v>
      </c>
      <c r="M2569" s="69" t="s">
        <v>286</v>
      </c>
      <c r="N2569" s="95"/>
      <c r="P2569" t="s">
        <v>95</v>
      </c>
      <c r="Q2569" t="s">
        <v>120</v>
      </c>
      <c r="R2569" s="92" t="s">
        <v>69</v>
      </c>
      <c r="S2569" s="92" t="s">
        <v>121</v>
      </c>
      <c r="V2569" s="95">
        <v>43312</v>
      </c>
      <c r="W2569" s="92">
        <v>2030528</v>
      </c>
      <c r="X2569" s="90"/>
      <c r="Y2569" s="123"/>
      <c r="Z2569" s="30">
        <f t="shared" si="80"/>
        <v>4227.3638773950279</v>
      </c>
      <c r="AA2569" s="30">
        <f t="shared" si="81"/>
        <v>0</v>
      </c>
      <c r="AB2569" t="s">
        <v>457</v>
      </c>
    </row>
    <row r="2570" spans="1:28">
      <c r="A2570" t="s">
        <v>118</v>
      </c>
      <c r="C2570" s="92">
        <v>4615461162</v>
      </c>
      <c r="D2570" s="93">
        <v>19175</v>
      </c>
      <c r="F2570" s="91">
        <v>10</v>
      </c>
      <c r="G2570" s="96">
        <v>0</v>
      </c>
      <c r="H2570" s="94">
        <v>0</v>
      </c>
      <c r="I2570" s="91">
        <v>0</v>
      </c>
      <c r="J2570" s="41"/>
      <c r="K2570" s="41">
        <v>43312</v>
      </c>
      <c r="L2570" s="69" t="s">
        <v>80</v>
      </c>
      <c r="M2570" s="69" t="s">
        <v>286</v>
      </c>
      <c r="N2570" s="95"/>
      <c r="P2570" t="s">
        <v>95</v>
      </c>
      <c r="Q2570" t="s">
        <v>120</v>
      </c>
      <c r="R2570" s="92" t="s">
        <v>69</v>
      </c>
      <c r="S2570" s="92" t="s">
        <v>121</v>
      </c>
      <c r="V2570" s="95">
        <v>43312</v>
      </c>
      <c r="W2570" s="92">
        <v>2030528</v>
      </c>
      <c r="X2570" s="90"/>
      <c r="Y2570" s="123"/>
      <c r="Z2570" s="30">
        <f t="shared" si="80"/>
        <v>4227.3638773950279</v>
      </c>
      <c r="AA2570" s="30">
        <f t="shared" si="81"/>
        <v>0</v>
      </c>
      <c r="AB2570" t="s">
        <v>457</v>
      </c>
    </row>
    <row r="2571" spans="1:28">
      <c r="A2571" t="s">
        <v>118</v>
      </c>
      <c r="C2571" s="92">
        <v>4615461162</v>
      </c>
      <c r="D2571" s="93">
        <v>19175</v>
      </c>
      <c r="F2571" s="91">
        <v>10</v>
      </c>
      <c r="G2571" s="96">
        <v>0</v>
      </c>
      <c r="H2571" s="94">
        <v>0</v>
      </c>
      <c r="I2571" s="91">
        <v>0</v>
      </c>
      <c r="J2571" s="41"/>
      <c r="K2571" s="41">
        <v>43312</v>
      </c>
      <c r="L2571" s="69" t="s">
        <v>80</v>
      </c>
      <c r="M2571" s="69" t="s">
        <v>286</v>
      </c>
      <c r="N2571" s="95"/>
      <c r="P2571" t="s">
        <v>95</v>
      </c>
      <c r="Q2571" t="s">
        <v>120</v>
      </c>
      <c r="R2571" s="92" t="s">
        <v>69</v>
      </c>
      <c r="S2571" s="92" t="s">
        <v>121</v>
      </c>
      <c r="V2571" s="95">
        <v>43312</v>
      </c>
      <c r="W2571" s="92">
        <v>2030528</v>
      </c>
      <c r="X2571" s="90"/>
      <c r="Y2571" s="123"/>
      <c r="Z2571" s="30">
        <f t="shared" si="80"/>
        <v>4227.3638773950279</v>
      </c>
      <c r="AA2571" s="30">
        <f t="shared" si="81"/>
        <v>0</v>
      </c>
      <c r="AB2571" t="s">
        <v>457</v>
      </c>
    </row>
    <row r="2572" spans="1:28">
      <c r="A2572" t="s">
        <v>118</v>
      </c>
      <c r="C2572" s="92">
        <v>4615461162</v>
      </c>
      <c r="D2572" s="93">
        <v>19175</v>
      </c>
      <c r="F2572" s="91">
        <v>10</v>
      </c>
      <c r="G2572" s="96">
        <v>0</v>
      </c>
      <c r="H2572" s="94">
        <v>0</v>
      </c>
      <c r="I2572" s="91">
        <v>0</v>
      </c>
      <c r="J2572" s="41"/>
      <c r="K2572" s="41">
        <v>43312</v>
      </c>
      <c r="L2572" s="69" t="s">
        <v>80</v>
      </c>
      <c r="M2572" s="69" t="s">
        <v>286</v>
      </c>
      <c r="N2572" s="95"/>
      <c r="P2572" t="s">
        <v>95</v>
      </c>
      <c r="Q2572" t="s">
        <v>120</v>
      </c>
      <c r="R2572" s="92" t="s">
        <v>69</v>
      </c>
      <c r="S2572" s="92" t="s">
        <v>121</v>
      </c>
      <c r="V2572" s="95">
        <v>43312</v>
      </c>
      <c r="W2572" s="92">
        <v>2030528</v>
      </c>
      <c r="X2572" s="90"/>
      <c r="Y2572" s="123"/>
      <c r="Z2572" s="30">
        <f t="shared" si="80"/>
        <v>4227.3638773950279</v>
      </c>
      <c r="AA2572" s="30">
        <f t="shared" si="81"/>
        <v>0</v>
      </c>
      <c r="AB2572" t="s">
        <v>457</v>
      </c>
    </row>
    <row r="2573" spans="1:28">
      <c r="A2573" t="s">
        <v>118</v>
      </c>
      <c r="C2573" s="92">
        <v>4615461162</v>
      </c>
      <c r="D2573" s="93">
        <v>19175</v>
      </c>
      <c r="F2573" s="91">
        <v>10</v>
      </c>
      <c r="G2573" s="96">
        <v>0</v>
      </c>
      <c r="H2573" s="94">
        <v>0</v>
      </c>
      <c r="I2573" s="91">
        <v>0</v>
      </c>
      <c r="J2573" s="41"/>
      <c r="K2573" s="41">
        <v>43312</v>
      </c>
      <c r="L2573" s="69" t="s">
        <v>80</v>
      </c>
      <c r="M2573" s="69" t="s">
        <v>286</v>
      </c>
      <c r="N2573" s="95"/>
      <c r="P2573" t="s">
        <v>95</v>
      </c>
      <c r="Q2573" t="s">
        <v>120</v>
      </c>
      <c r="R2573" s="92" t="s">
        <v>69</v>
      </c>
      <c r="S2573" s="92" t="s">
        <v>121</v>
      </c>
      <c r="V2573" s="95">
        <v>43312</v>
      </c>
      <c r="W2573" s="92">
        <v>2030528</v>
      </c>
      <c r="X2573" s="90"/>
      <c r="Y2573" s="123"/>
      <c r="Z2573" s="30">
        <f t="shared" si="80"/>
        <v>4227.3638773950279</v>
      </c>
      <c r="AA2573" s="30">
        <f t="shared" si="81"/>
        <v>0</v>
      </c>
      <c r="AB2573" t="s">
        <v>457</v>
      </c>
    </row>
    <row r="2574" spans="1:28">
      <c r="A2574" t="s">
        <v>118</v>
      </c>
      <c r="C2574" s="92">
        <v>4615461162</v>
      </c>
      <c r="D2574" s="93">
        <v>19175</v>
      </c>
      <c r="F2574" s="91">
        <v>10</v>
      </c>
      <c r="G2574" s="96">
        <v>0</v>
      </c>
      <c r="H2574" s="94">
        <v>0</v>
      </c>
      <c r="I2574" s="91">
        <v>0</v>
      </c>
      <c r="J2574" s="41"/>
      <c r="K2574" s="41">
        <v>43312</v>
      </c>
      <c r="L2574" s="69" t="s">
        <v>80</v>
      </c>
      <c r="M2574" s="69" t="s">
        <v>286</v>
      </c>
      <c r="N2574" s="95"/>
      <c r="P2574" t="s">
        <v>95</v>
      </c>
      <c r="Q2574" t="s">
        <v>120</v>
      </c>
      <c r="R2574" s="92" t="s">
        <v>69</v>
      </c>
      <c r="S2574" s="92" t="s">
        <v>121</v>
      </c>
      <c r="V2574" s="95">
        <v>43312</v>
      </c>
      <c r="W2574" s="92">
        <v>2030528</v>
      </c>
      <c r="X2574" s="90"/>
      <c r="Y2574" s="123"/>
      <c r="Z2574" s="30">
        <f t="shared" si="80"/>
        <v>4227.3638773950279</v>
      </c>
      <c r="AA2574" s="30">
        <f t="shared" si="81"/>
        <v>0</v>
      </c>
      <c r="AB2574" t="s">
        <v>457</v>
      </c>
    </row>
    <row r="2575" spans="1:28">
      <c r="A2575" t="s">
        <v>118</v>
      </c>
      <c r="C2575" s="92">
        <v>4615461162</v>
      </c>
      <c r="D2575" s="93">
        <v>19175</v>
      </c>
      <c r="F2575" s="91">
        <v>10</v>
      </c>
      <c r="G2575" s="96">
        <v>0</v>
      </c>
      <c r="H2575" s="94">
        <v>0</v>
      </c>
      <c r="I2575" s="91">
        <v>0</v>
      </c>
      <c r="J2575" s="41"/>
      <c r="K2575" s="41">
        <v>43312</v>
      </c>
      <c r="L2575" s="69" t="s">
        <v>80</v>
      </c>
      <c r="M2575" s="69" t="s">
        <v>286</v>
      </c>
      <c r="N2575" s="95"/>
      <c r="P2575" t="s">
        <v>95</v>
      </c>
      <c r="Q2575" t="s">
        <v>120</v>
      </c>
      <c r="R2575" s="92" t="s">
        <v>69</v>
      </c>
      <c r="S2575" s="92" t="s">
        <v>121</v>
      </c>
      <c r="V2575" s="95">
        <v>43312</v>
      </c>
      <c r="W2575" s="92">
        <v>2030528</v>
      </c>
      <c r="X2575" s="90"/>
      <c r="Y2575" s="123"/>
      <c r="Z2575" s="30">
        <f t="shared" si="80"/>
        <v>4227.3638773950279</v>
      </c>
      <c r="AA2575" s="30">
        <f t="shared" si="81"/>
        <v>0</v>
      </c>
      <c r="AB2575" t="s">
        <v>457</v>
      </c>
    </row>
    <row r="2576" spans="1:28">
      <c r="A2576" t="s">
        <v>118</v>
      </c>
      <c r="C2576" s="92">
        <v>4615461162</v>
      </c>
      <c r="D2576" s="93">
        <v>19175</v>
      </c>
      <c r="F2576" s="91">
        <v>10</v>
      </c>
      <c r="G2576" s="96">
        <v>0</v>
      </c>
      <c r="H2576" s="94">
        <v>0</v>
      </c>
      <c r="I2576" s="91">
        <v>0</v>
      </c>
      <c r="J2576" s="41"/>
      <c r="K2576" s="41">
        <v>43312</v>
      </c>
      <c r="L2576" s="69" t="s">
        <v>80</v>
      </c>
      <c r="M2576" s="69" t="s">
        <v>286</v>
      </c>
      <c r="N2576" s="95"/>
      <c r="P2576" t="s">
        <v>95</v>
      </c>
      <c r="Q2576" t="s">
        <v>120</v>
      </c>
      <c r="R2576" s="92" t="s">
        <v>69</v>
      </c>
      <c r="S2576" s="92" t="s">
        <v>121</v>
      </c>
      <c r="V2576" s="95">
        <v>43312</v>
      </c>
      <c r="W2576" s="92">
        <v>2030528</v>
      </c>
      <c r="X2576" s="90"/>
      <c r="Y2576" s="123"/>
      <c r="Z2576" s="30">
        <f t="shared" si="80"/>
        <v>4227.3638773950279</v>
      </c>
      <c r="AA2576" s="30">
        <f t="shared" si="81"/>
        <v>0</v>
      </c>
      <c r="AB2576" t="s">
        <v>457</v>
      </c>
    </row>
    <row r="2577" spans="1:28">
      <c r="A2577" t="s">
        <v>136</v>
      </c>
      <c r="C2577" s="92">
        <v>4615461042</v>
      </c>
      <c r="D2577" s="93">
        <v>19175</v>
      </c>
      <c r="F2577" s="91">
        <v>10</v>
      </c>
      <c r="G2577" s="91">
        <v>0</v>
      </c>
      <c r="H2577" s="94">
        <v>0</v>
      </c>
      <c r="I2577" s="91">
        <v>0</v>
      </c>
      <c r="J2577" s="41"/>
      <c r="K2577" s="41">
        <v>43312</v>
      </c>
      <c r="L2577" s="69" t="s">
        <v>80</v>
      </c>
      <c r="M2577" s="69" t="s">
        <v>286</v>
      </c>
      <c r="N2577" s="95"/>
      <c r="P2577" t="s">
        <v>95</v>
      </c>
      <c r="Q2577" t="s">
        <v>129</v>
      </c>
      <c r="R2577" s="92" t="s">
        <v>69</v>
      </c>
      <c r="S2577" s="92" t="s">
        <v>138</v>
      </c>
      <c r="V2577" s="95">
        <v>43312</v>
      </c>
      <c r="W2577" s="92">
        <v>415580160</v>
      </c>
      <c r="X2577" s="90"/>
      <c r="Y2577" s="123"/>
      <c r="Z2577" s="30">
        <f t="shared" si="80"/>
        <v>4227.3638773950279</v>
      </c>
      <c r="AA2577" s="30">
        <f t="shared" si="81"/>
        <v>0</v>
      </c>
      <c r="AB2577" t="s">
        <v>457</v>
      </c>
    </row>
    <row r="2578" spans="1:28">
      <c r="A2578" t="s">
        <v>136</v>
      </c>
      <c r="C2578" s="92">
        <v>4615461042</v>
      </c>
      <c r="D2578" s="93">
        <v>19175</v>
      </c>
      <c r="F2578" s="91">
        <v>10</v>
      </c>
      <c r="G2578" s="91">
        <v>0</v>
      </c>
      <c r="H2578" s="94">
        <v>0</v>
      </c>
      <c r="I2578" s="91">
        <v>0</v>
      </c>
      <c r="J2578" s="41"/>
      <c r="K2578" s="41">
        <v>43312</v>
      </c>
      <c r="L2578" s="69" t="s">
        <v>80</v>
      </c>
      <c r="M2578" s="69" t="s">
        <v>286</v>
      </c>
      <c r="N2578" s="95"/>
      <c r="P2578" t="s">
        <v>95</v>
      </c>
      <c r="Q2578" t="s">
        <v>129</v>
      </c>
      <c r="R2578" s="92" t="s">
        <v>69</v>
      </c>
      <c r="S2578" s="92" t="s">
        <v>138</v>
      </c>
      <c r="V2578" s="95">
        <v>43312</v>
      </c>
      <c r="W2578" s="92">
        <v>415580160</v>
      </c>
      <c r="X2578" s="90"/>
      <c r="Y2578" s="123"/>
      <c r="Z2578" s="30">
        <f t="shared" si="80"/>
        <v>4227.3638773950279</v>
      </c>
      <c r="AA2578" s="30">
        <f t="shared" si="81"/>
        <v>0</v>
      </c>
      <c r="AB2578" t="s">
        <v>457</v>
      </c>
    </row>
    <row r="2579" spans="1:28">
      <c r="A2579" t="s">
        <v>136</v>
      </c>
      <c r="C2579" s="92">
        <v>4615461042</v>
      </c>
      <c r="D2579" s="93">
        <v>19175</v>
      </c>
      <c r="F2579" s="91">
        <v>10</v>
      </c>
      <c r="G2579" s="91">
        <v>0</v>
      </c>
      <c r="H2579" s="94">
        <v>0</v>
      </c>
      <c r="I2579" s="91">
        <v>0</v>
      </c>
      <c r="J2579" s="41"/>
      <c r="K2579" s="41">
        <v>43312</v>
      </c>
      <c r="L2579" s="69" t="s">
        <v>80</v>
      </c>
      <c r="M2579" s="69" t="s">
        <v>286</v>
      </c>
      <c r="N2579" s="95"/>
      <c r="P2579" t="s">
        <v>95</v>
      </c>
      <c r="Q2579" t="s">
        <v>129</v>
      </c>
      <c r="R2579" s="92" t="s">
        <v>69</v>
      </c>
      <c r="S2579" s="92" t="s">
        <v>138</v>
      </c>
      <c r="V2579" s="95">
        <v>43312</v>
      </c>
      <c r="W2579" s="92">
        <v>415580160</v>
      </c>
      <c r="X2579" s="90"/>
      <c r="Y2579" s="123"/>
      <c r="Z2579" s="30">
        <f t="shared" si="80"/>
        <v>4227.3638773950279</v>
      </c>
      <c r="AA2579" s="30">
        <f t="shared" si="81"/>
        <v>0</v>
      </c>
      <c r="AB2579" t="s">
        <v>457</v>
      </c>
    </row>
    <row r="2580" spans="1:28">
      <c r="A2580" t="s">
        <v>136</v>
      </c>
      <c r="C2580" s="92">
        <v>4615461042</v>
      </c>
      <c r="D2580" s="93">
        <v>19175</v>
      </c>
      <c r="F2580" s="91">
        <v>10</v>
      </c>
      <c r="G2580" s="91">
        <v>0</v>
      </c>
      <c r="H2580" s="94">
        <v>0</v>
      </c>
      <c r="I2580" s="91">
        <v>0</v>
      </c>
      <c r="J2580" s="41"/>
      <c r="K2580" s="41">
        <v>43312</v>
      </c>
      <c r="L2580" s="69" t="s">
        <v>80</v>
      </c>
      <c r="M2580" s="69" t="s">
        <v>286</v>
      </c>
      <c r="N2580" s="95"/>
      <c r="P2580" t="s">
        <v>95</v>
      </c>
      <c r="Q2580" t="s">
        <v>129</v>
      </c>
      <c r="R2580" s="92" t="s">
        <v>69</v>
      </c>
      <c r="S2580" s="92" t="s">
        <v>138</v>
      </c>
      <c r="V2580" s="95">
        <v>43312</v>
      </c>
      <c r="W2580" s="92">
        <v>415580160</v>
      </c>
      <c r="X2580" s="90"/>
      <c r="Y2580" s="123"/>
      <c r="Z2580" s="30">
        <f t="shared" si="80"/>
        <v>4227.3638773950279</v>
      </c>
      <c r="AA2580" s="30">
        <f t="shared" si="81"/>
        <v>0</v>
      </c>
      <c r="AB2580" t="s">
        <v>457</v>
      </c>
    </row>
    <row r="2581" spans="1:28">
      <c r="A2581" t="s">
        <v>136</v>
      </c>
      <c r="C2581" s="92">
        <v>4615461042</v>
      </c>
      <c r="D2581" s="93">
        <v>19175</v>
      </c>
      <c r="F2581" s="91">
        <v>10</v>
      </c>
      <c r="G2581" s="91">
        <v>0</v>
      </c>
      <c r="H2581" s="94">
        <v>0</v>
      </c>
      <c r="I2581" s="91">
        <v>0</v>
      </c>
      <c r="J2581" s="41"/>
      <c r="K2581" s="41">
        <v>43312</v>
      </c>
      <c r="L2581" s="69" t="s">
        <v>80</v>
      </c>
      <c r="M2581" s="69" t="s">
        <v>286</v>
      </c>
      <c r="N2581" s="95"/>
      <c r="P2581" t="s">
        <v>95</v>
      </c>
      <c r="Q2581" t="s">
        <v>129</v>
      </c>
      <c r="R2581" s="92" t="s">
        <v>69</v>
      </c>
      <c r="S2581" s="92" t="s">
        <v>138</v>
      </c>
      <c r="V2581" s="95">
        <v>43312</v>
      </c>
      <c r="W2581" s="92">
        <v>415580160</v>
      </c>
      <c r="X2581" s="90"/>
      <c r="Y2581" s="123"/>
      <c r="Z2581" s="30">
        <f t="shared" si="80"/>
        <v>4227.3638773950279</v>
      </c>
      <c r="AA2581" s="30">
        <f t="shared" si="81"/>
        <v>0</v>
      </c>
      <c r="AB2581" t="s">
        <v>457</v>
      </c>
    </row>
    <row r="2582" spans="1:28">
      <c r="A2582" t="s">
        <v>122</v>
      </c>
      <c r="C2582" s="92">
        <v>4615495693</v>
      </c>
      <c r="D2582" s="93">
        <v>19175</v>
      </c>
      <c r="F2582" s="91">
        <v>16</v>
      </c>
      <c r="G2582" s="96">
        <v>5</v>
      </c>
      <c r="H2582" s="94">
        <v>0</v>
      </c>
      <c r="I2582" s="91">
        <v>0</v>
      </c>
      <c r="J2582" s="41"/>
      <c r="K2582" s="41">
        <v>43312</v>
      </c>
      <c r="L2582" s="69" t="s">
        <v>80</v>
      </c>
      <c r="M2582" s="69" t="s">
        <v>286</v>
      </c>
      <c r="N2582" s="95"/>
      <c r="P2582" t="s">
        <v>95</v>
      </c>
      <c r="Q2582" t="s">
        <v>120</v>
      </c>
      <c r="R2582" s="92" t="s">
        <v>69</v>
      </c>
      <c r="S2582" s="92" t="s">
        <v>123</v>
      </c>
      <c r="V2582" s="95">
        <v>43312</v>
      </c>
      <c r="W2582" s="92">
        <v>2030472</v>
      </c>
      <c r="X2582" s="90"/>
      <c r="Y2582" s="123"/>
      <c r="Z2582" s="30">
        <f t="shared" si="80"/>
        <v>6763.7822038320437</v>
      </c>
      <c r="AA2582" s="30">
        <f t="shared" si="81"/>
        <v>2113.6819386975139</v>
      </c>
      <c r="AB2582" t="s">
        <v>457</v>
      </c>
    </row>
    <row r="2583" spans="1:28">
      <c r="A2583" t="s">
        <v>122</v>
      </c>
      <c r="C2583" s="92">
        <v>4615495693</v>
      </c>
      <c r="D2583" s="93">
        <v>19175</v>
      </c>
      <c r="F2583" s="91">
        <v>16</v>
      </c>
      <c r="G2583" s="96">
        <v>5</v>
      </c>
      <c r="H2583" s="94">
        <v>0</v>
      </c>
      <c r="I2583" s="91">
        <v>0</v>
      </c>
      <c r="J2583" s="41"/>
      <c r="K2583" s="41">
        <v>43312</v>
      </c>
      <c r="L2583" s="69" t="s">
        <v>80</v>
      </c>
      <c r="M2583" s="69" t="s">
        <v>286</v>
      </c>
      <c r="N2583" s="95"/>
      <c r="P2583" t="s">
        <v>95</v>
      </c>
      <c r="Q2583" t="s">
        <v>120</v>
      </c>
      <c r="R2583" s="92" t="s">
        <v>69</v>
      </c>
      <c r="S2583" s="92" t="s">
        <v>123</v>
      </c>
      <c r="V2583" s="95">
        <v>43312</v>
      </c>
      <c r="W2583" s="92">
        <v>2030472</v>
      </c>
      <c r="X2583" s="90"/>
      <c r="Y2583" s="123"/>
      <c r="Z2583" s="30">
        <f t="shared" si="80"/>
        <v>6763.7822038320437</v>
      </c>
      <c r="AA2583" s="30">
        <f t="shared" si="81"/>
        <v>2113.6819386975139</v>
      </c>
      <c r="AB2583" t="s">
        <v>457</v>
      </c>
    </row>
    <row r="2584" spans="1:28">
      <c r="A2584" t="s">
        <v>122</v>
      </c>
      <c r="C2584" s="92">
        <v>4615495693</v>
      </c>
      <c r="D2584" s="93">
        <v>19175</v>
      </c>
      <c r="F2584" s="91">
        <v>16</v>
      </c>
      <c r="G2584" s="96">
        <v>5</v>
      </c>
      <c r="H2584" s="94">
        <v>0</v>
      </c>
      <c r="I2584" s="91">
        <v>0</v>
      </c>
      <c r="J2584" s="41"/>
      <c r="K2584" s="41">
        <v>43312</v>
      </c>
      <c r="L2584" s="69" t="s">
        <v>80</v>
      </c>
      <c r="M2584" s="69" t="s">
        <v>286</v>
      </c>
      <c r="N2584" s="95"/>
      <c r="P2584" t="s">
        <v>95</v>
      </c>
      <c r="Q2584" t="s">
        <v>120</v>
      </c>
      <c r="R2584" s="92" t="s">
        <v>69</v>
      </c>
      <c r="S2584" s="92" t="s">
        <v>123</v>
      </c>
      <c r="V2584" s="95">
        <v>43312</v>
      </c>
      <c r="W2584" s="92">
        <v>2030472</v>
      </c>
      <c r="X2584" s="90"/>
      <c r="Y2584" s="123"/>
      <c r="Z2584" s="30">
        <f t="shared" si="80"/>
        <v>6763.7822038320437</v>
      </c>
      <c r="AA2584" s="30">
        <f t="shared" si="81"/>
        <v>2113.6819386975139</v>
      </c>
      <c r="AB2584" t="s">
        <v>457</v>
      </c>
    </row>
    <row r="2585" spans="1:28">
      <c r="A2585" t="s">
        <v>122</v>
      </c>
      <c r="C2585" s="92">
        <v>4615495693</v>
      </c>
      <c r="D2585" s="93">
        <v>19175</v>
      </c>
      <c r="F2585" s="91">
        <v>16</v>
      </c>
      <c r="G2585" s="96">
        <v>5</v>
      </c>
      <c r="H2585" s="94">
        <v>0</v>
      </c>
      <c r="I2585" s="91">
        <v>0</v>
      </c>
      <c r="J2585" s="41"/>
      <c r="K2585" s="41">
        <v>43312</v>
      </c>
      <c r="L2585" s="69" t="s">
        <v>80</v>
      </c>
      <c r="M2585" s="69" t="s">
        <v>286</v>
      </c>
      <c r="N2585" s="95"/>
      <c r="P2585" t="s">
        <v>95</v>
      </c>
      <c r="Q2585" t="s">
        <v>120</v>
      </c>
      <c r="R2585" s="92" t="s">
        <v>69</v>
      </c>
      <c r="S2585" s="92" t="s">
        <v>123</v>
      </c>
      <c r="V2585" s="95">
        <v>43312</v>
      </c>
      <c r="W2585" s="92">
        <v>2030472</v>
      </c>
      <c r="X2585" s="90"/>
      <c r="Y2585" s="123"/>
      <c r="Z2585" s="30">
        <f t="shared" si="80"/>
        <v>6763.7822038320437</v>
      </c>
      <c r="AA2585" s="30">
        <f t="shared" si="81"/>
        <v>2113.6819386975139</v>
      </c>
      <c r="AB2585" t="s">
        <v>457</v>
      </c>
    </row>
    <row r="2586" spans="1:28">
      <c r="A2586" t="s">
        <v>122</v>
      </c>
      <c r="C2586" s="92">
        <v>4615495693</v>
      </c>
      <c r="D2586" s="93">
        <v>19175</v>
      </c>
      <c r="F2586" s="91">
        <v>16</v>
      </c>
      <c r="G2586" s="96">
        <v>5</v>
      </c>
      <c r="H2586" s="94">
        <v>0</v>
      </c>
      <c r="I2586" s="91">
        <v>0</v>
      </c>
      <c r="J2586" s="41"/>
      <c r="K2586" s="41">
        <v>43312</v>
      </c>
      <c r="L2586" s="69" t="s">
        <v>80</v>
      </c>
      <c r="M2586" s="69" t="s">
        <v>286</v>
      </c>
      <c r="N2586" s="95"/>
      <c r="P2586" t="s">
        <v>95</v>
      </c>
      <c r="Q2586" t="s">
        <v>120</v>
      </c>
      <c r="R2586" s="92" t="s">
        <v>69</v>
      </c>
      <c r="S2586" s="92" t="s">
        <v>123</v>
      </c>
      <c r="V2586" s="95">
        <v>43312</v>
      </c>
      <c r="W2586" s="92">
        <v>2030472</v>
      </c>
      <c r="X2586" s="90"/>
      <c r="Y2586" s="123"/>
      <c r="Z2586" s="30">
        <f t="shared" si="80"/>
        <v>6763.7822038320437</v>
      </c>
      <c r="AA2586" s="30">
        <f t="shared" si="81"/>
        <v>2113.6819386975139</v>
      </c>
      <c r="AB2586" t="s">
        <v>457</v>
      </c>
    </row>
    <row r="2587" spans="1:28">
      <c r="A2587" t="s">
        <v>122</v>
      </c>
      <c r="C2587" s="92">
        <v>4615495693</v>
      </c>
      <c r="D2587" s="93">
        <v>19175</v>
      </c>
      <c r="F2587" s="91">
        <v>16</v>
      </c>
      <c r="G2587" s="96">
        <v>5</v>
      </c>
      <c r="H2587" s="94">
        <v>0</v>
      </c>
      <c r="I2587" s="91">
        <v>0</v>
      </c>
      <c r="J2587" s="41"/>
      <c r="K2587" s="41">
        <v>43312</v>
      </c>
      <c r="L2587" s="69" t="s">
        <v>80</v>
      </c>
      <c r="M2587" s="69" t="s">
        <v>286</v>
      </c>
      <c r="N2587" s="95"/>
      <c r="P2587" t="s">
        <v>95</v>
      </c>
      <c r="Q2587" t="s">
        <v>120</v>
      </c>
      <c r="R2587" s="92" t="s">
        <v>69</v>
      </c>
      <c r="S2587" s="92" t="s">
        <v>123</v>
      </c>
      <c r="V2587" s="95">
        <v>43312</v>
      </c>
      <c r="W2587" s="92">
        <v>2030472</v>
      </c>
      <c r="X2587" s="90"/>
      <c r="Y2587" s="123"/>
      <c r="Z2587" s="30">
        <f t="shared" si="80"/>
        <v>6763.7822038320437</v>
      </c>
      <c r="AA2587" s="30">
        <f t="shared" si="81"/>
        <v>2113.6819386975139</v>
      </c>
      <c r="AB2587" t="s">
        <v>457</v>
      </c>
    </row>
    <row r="2588" spans="1:28">
      <c r="A2588" t="s">
        <v>122</v>
      </c>
      <c r="C2588" s="92">
        <v>4615471291</v>
      </c>
      <c r="D2588" s="93">
        <v>19200</v>
      </c>
      <c r="F2588" s="91">
        <v>16</v>
      </c>
      <c r="G2588" s="96">
        <v>5</v>
      </c>
      <c r="H2588" s="94">
        <v>0</v>
      </c>
      <c r="I2588" s="91">
        <v>0</v>
      </c>
      <c r="J2588" s="41"/>
      <c r="K2588" s="41">
        <v>43312</v>
      </c>
      <c r="L2588" s="69" t="s">
        <v>80</v>
      </c>
      <c r="M2588" s="69" t="s">
        <v>286</v>
      </c>
      <c r="N2588" s="95"/>
      <c r="P2588" t="s">
        <v>95</v>
      </c>
      <c r="Q2588" t="s">
        <v>120</v>
      </c>
      <c r="R2588" s="92" t="s">
        <v>69</v>
      </c>
      <c r="S2588" s="92" t="s">
        <v>123</v>
      </c>
      <c r="V2588" s="95">
        <v>43312</v>
      </c>
      <c r="W2588" s="92">
        <v>2030505</v>
      </c>
      <c r="X2588" s="90" t="s">
        <v>196</v>
      </c>
      <c r="Y2588" s="123"/>
      <c r="Z2588" s="30">
        <f t="shared" si="80"/>
        <v>6772.6006943194379</v>
      </c>
      <c r="AA2588" s="30">
        <f t="shared" si="81"/>
        <v>2116.4377169748245</v>
      </c>
      <c r="AB2588" t="s">
        <v>457</v>
      </c>
    </row>
    <row r="2589" spans="1:28">
      <c r="A2589" t="s">
        <v>122</v>
      </c>
      <c r="C2589" s="92">
        <v>4615471291</v>
      </c>
      <c r="D2589" s="93">
        <v>19200</v>
      </c>
      <c r="F2589" s="91">
        <v>16</v>
      </c>
      <c r="G2589" s="96">
        <v>5</v>
      </c>
      <c r="H2589" s="94">
        <v>0</v>
      </c>
      <c r="I2589" s="91">
        <v>0</v>
      </c>
      <c r="J2589" s="41"/>
      <c r="K2589" s="41">
        <v>43312</v>
      </c>
      <c r="L2589" s="69" t="s">
        <v>80</v>
      </c>
      <c r="M2589" s="69" t="s">
        <v>286</v>
      </c>
      <c r="N2589" s="95"/>
      <c r="P2589" t="s">
        <v>95</v>
      </c>
      <c r="Q2589" t="s">
        <v>120</v>
      </c>
      <c r="R2589" s="92" t="s">
        <v>69</v>
      </c>
      <c r="S2589" s="92" t="s">
        <v>123</v>
      </c>
      <c r="V2589" s="95">
        <v>43312</v>
      </c>
      <c r="W2589" s="92">
        <v>2030505</v>
      </c>
      <c r="X2589" s="90" t="s">
        <v>196</v>
      </c>
      <c r="Y2589" s="123"/>
      <c r="Z2589" s="30">
        <f t="shared" si="80"/>
        <v>6772.6006943194379</v>
      </c>
      <c r="AA2589" s="30">
        <f t="shared" si="81"/>
        <v>2116.4377169748245</v>
      </c>
      <c r="AB2589" t="s">
        <v>457</v>
      </c>
    </row>
    <row r="2590" spans="1:28">
      <c r="A2590" t="s">
        <v>122</v>
      </c>
      <c r="C2590" s="92">
        <v>4615471291</v>
      </c>
      <c r="D2590" s="93">
        <v>19200</v>
      </c>
      <c r="F2590" s="91">
        <v>16</v>
      </c>
      <c r="G2590" s="96">
        <v>5</v>
      </c>
      <c r="H2590" s="94">
        <v>0</v>
      </c>
      <c r="I2590" s="91">
        <v>0</v>
      </c>
      <c r="J2590" s="41"/>
      <c r="K2590" s="41">
        <v>43312</v>
      </c>
      <c r="L2590" s="69" t="s">
        <v>80</v>
      </c>
      <c r="M2590" s="69" t="s">
        <v>286</v>
      </c>
      <c r="N2590" s="95"/>
      <c r="P2590" t="s">
        <v>95</v>
      </c>
      <c r="Q2590" t="s">
        <v>120</v>
      </c>
      <c r="R2590" s="92" t="s">
        <v>69</v>
      </c>
      <c r="S2590" s="92" t="s">
        <v>123</v>
      </c>
      <c r="V2590" s="95">
        <v>43312</v>
      </c>
      <c r="W2590" s="92">
        <v>2030505</v>
      </c>
      <c r="X2590" s="90" t="s">
        <v>196</v>
      </c>
      <c r="Y2590" s="123"/>
      <c r="Z2590" s="30">
        <f t="shared" si="80"/>
        <v>6772.6006943194379</v>
      </c>
      <c r="AA2590" s="30">
        <f t="shared" si="81"/>
        <v>2116.4377169748245</v>
      </c>
      <c r="AB2590" t="s">
        <v>457</v>
      </c>
    </row>
    <row r="2591" spans="1:28">
      <c r="A2591" t="s">
        <v>122</v>
      </c>
      <c r="C2591" s="92">
        <v>4615471291</v>
      </c>
      <c r="D2591" s="93">
        <v>19200</v>
      </c>
      <c r="F2591" s="91">
        <v>16</v>
      </c>
      <c r="G2591" s="96">
        <v>5</v>
      </c>
      <c r="H2591" s="94">
        <v>0</v>
      </c>
      <c r="I2591" s="91">
        <v>0</v>
      </c>
      <c r="J2591" s="41"/>
      <c r="K2591" s="41">
        <v>43312</v>
      </c>
      <c r="L2591" s="69" t="s">
        <v>80</v>
      </c>
      <c r="M2591" s="69" t="s">
        <v>286</v>
      </c>
      <c r="N2591" s="95"/>
      <c r="P2591" t="s">
        <v>95</v>
      </c>
      <c r="Q2591" t="s">
        <v>120</v>
      </c>
      <c r="R2591" s="92" t="s">
        <v>69</v>
      </c>
      <c r="S2591" s="92" t="s">
        <v>123</v>
      </c>
      <c r="V2591" s="95">
        <v>43312</v>
      </c>
      <c r="W2591" s="92">
        <v>2030505</v>
      </c>
      <c r="X2591" s="90" t="s">
        <v>196</v>
      </c>
      <c r="Y2591" s="123"/>
      <c r="Z2591" s="30">
        <f t="shared" si="80"/>
        <v>6772.6006943194379</v>
      </c>
      <c r="AA2591" s="30">
        <f t="shared" si="81"/>
        <v>2116.4377169748245</v>
      </c>
      <c r="AB2591" t="s">
        <v>457</v>
      </c>
    </row>
    <row r="2592" spans="1:28">
      <c r="A2592" t="s">
        <v>122</v>
      </c>
      <c r="C2592" s="92">
        <v>4615471291</v>
      </c>
      <c r="D2592" s="93">
        <v>19200</v>
      </c>
      <c r="F2592" s="91">
        <v>16</v>
      </c>
      <c r="G2592" s="96">
        <v>5</v>
      </c>
      <c r="H2592" s="94">
        <v>0</v>
      </c>
      <c r="I2592" s="91">
        <v>0</v>
      </c>
      <c r="J2592" s="41"/>
      <c r="K2592" s="41">
        <v>43312</v>
      </c>
      <c r="L2592" s="69" t="s">
        <v>80</v>
      </c>
      <c r="M2592" s="69" t="s">
        <v>286</v>
      </c>
      <c r="N2592" s="95"/>
      <c r="P2592" t="s">
        <v>95</v>
      </c>
      <c r="Q2592" t="s">
        <v>120</v>
      </c>
      <c r="R2592" s="92" t="s">
        <v>69</v>
      </c>
      <c r="S2592" s="92" t="s">
        <v>123</v>
      </c>
      <c r="V2592" s="95">
        <v>43312</v>
      </c>
      <c r="W2592" s="92">
        <v>2030505</v>
      </c>
      <c r="X2592" s="90" t="s">
        <v>196</v>
      </c>
      <c r="Y2592" s="123"/>
      <c r="Z2592" s="30">
        <f t="shared" si="80"/>
        <v>6772.6006943194379</v>
      </c>
      <c r="AA2592" s="30">
        <f t="shared" si="81"/>
        <v>2116.4377169748245</v>
      </c>
      <c r="AB2592" t="s">
        <v>457</v>
      </c>
    </row>
    <row r="2593" spans="1:28">
      <c r="A2593" t="s">
        <v>122</v>
      </c>
      <c r="C2593" s="92">
        <v>4615471291</v>
      </c>
      <c r="D2593" s="93">
        <v>19200</v>
      </c>
      <c r="F2593" s="91">
        <v>16</v>
      </c>
      <c r="G2593" s="96">
        <v>5</v>
      </c>
      <c r="H2593" s="94">
        <v>0</v>
      </c>
      <c r="I2593" s="91">
        <v>0</v>
      </c>
      <c r="J2593" s="41"/>
      <c r="K2593" s="41">
        <v>43312</v>
      </c>
      <c r="L2593" s="69" t="s">
        <v>80</v>
      </c>
      <c r="M2593" s="69" t="s">
        <v>286</v>
      </c>
      <c r="N2593" s="95"/>
      <c r="P2593" t="s">
        <v>95</v>
      </c>
      <c r="Q2593" t="s">
        <v>120</v>
      </c>
      <c r="R2593" s="92" t="s">
        <v>69</v>
      </c>
      <c r="S2593" s="92" t="s">
        <v>123</v>
      </c>
      <c r="V2593" s="95">
        <v>43312</v>
      </c>
      <c r="W2593" s="92">
        <v>2030505</v>
      </c>
      <c r="X2593" s="90" t="s">
        <v>196</v>
      </c>
      <c r="Y2593" s="123"/>
      <c r="Z2593" s="30">
        <f t="shared" si="80"/>
        <v>6772.6006943194379</v>
      </c>
      <c r="AA2593" s="30">
        <f t="shared" si="81"/>
        <v>2116.4377169748245</v>
      </c>
      <c r="AB2593" t="s">
        <v>457</v>
      </c>
    </row>
    <row r="2594" spans="1:28">
      <c r="A2594" t="s">
        <v>122</v>
      </c>
      <c r="C2594" s="92">
        <v>4615471291</v>
      </c>
      <c r="D2594" s="93">
        <v>19200</v>
      </c>
      <c r="F2594" s="91">
        <v>16</v>
      </c>
      <c r="G2594" s="96">
        <v>5</v>
      </c>
      <c r="H2594" s="94">
        <v>0</v>
      </c>
      <c r="I2594" s="91">
        <v>0</v>
      </c>
      <c r="J2594" s="41"/>
      <c r="K2594" s="41">
        <v>43312</v>
      </c>
      <c r="L2594" s="69" t="s">
        <v>80</v>
      </c>
      <c r="M2594" s="69" t="s">
        <v>286</v>
      </c>
      <c r="N2594" s="95"/>
      <c r="P2594" t="s">
        <v>95</v>
      </c>
      <c r="Q2594" t="s">
        <v>120</v>
      </c>
      <c r="R2594" s="92" t="s">
        <v>69</v>
      </c>
      <c r="S2594" s="92" t="s">
        <v>123</v>
      </c>
      <c r="V2594" s="95">
        <v>43312</v>
      </c>
      <c r="W2594" s="92">
        <v>2030505</v>
      </c>
      <c r="X2594" s="90" t="s">
        <v>196</v>
      </c>
      <c r="Y2594" s="123"/>
      <c r="Z2594" s="30">
        <f t="shared" si="80"/>
        <v>6772.6006943194379</v>
      </c>
      <c r="AA2594" s="30">
        <f t="shared" si="81"/>
        <v>2116.4377169748245</v>
      </c>
      <c r="AB2594" t="s">
        <v>457</v>
      </c>
    </row>
    <row r="2595" spans="1:28">
      <c r="A2595" t="s">
        <v>122</v>
      </c>
      <c r="C2595" s="92">
        <v>4615471291</v>
      </c>
      <c r="D2595" s="93">
        <v>19200</v>
      </c>
      <c r="F2595" s="91">
        <v>16</v>
      </c>
      <c r="G2595" s="96">
        <v>5</v>
      </c>
      <c r="H2595" s="94">
        <v>0</v>
      </c>
      <c r="I2595" s="91">
        <v>0</v>
      </c>
      <c r="J2595" s="41"/>
      <c r="K2595" s="41">
        <v>43312</v>
      </c>
      <c r="L2595" s="69" t="s">
        <v>80</v>
      </c>
      <c r="M2595" s="69" t="s">
        <v>286</v>
      </c>
      <c r="N2595" s="95"/>
      <c r="P2595" t="s">
        <v>95</v>
      </c>
      <c r="Q2595" t="s">
        <v>120</v>
      </c>
      <c r="R2595" s="92" t="s">
        <v>69</v>
      </c>
      <c r="S2595" s="92" t="s">
        <v>123</v>
      </c>
      <c r="V2595" s="95">
        <v>43312</v>
      </c>
      <c r="W2595" s="92">
        <v>2030505</v>
      </c>
      <c r="X2595" s="90" t="s">
        <v>196</v>
      </c>
      <c r="Y2595" s="123"/>
      <c r="Z2595" s="30">
        <f t="shared" si="80"/>
        <v>6772.6006943194379</v>
      </c>
      <c r="AA2595" s="30">
        <f t="shared" si="81"/>
        <v>2116.4377169748245</v>
      </c>
      <c r="AB2595" t="s">
        <v>457</v>
      </c>
    </row>
    <row r="2596" spans="1:28">
      <c r="A2596" t="s">
        <v>122</v>
      </c>
      <c r="C2596" s="92">
        <v>4615471291</v>
      </c>
      <c r="D2596" s="93">
        <v>19200</v>
      </c>
      <c r="F2596" s="91">
        <v>16</v>
      </c>
      <c r="G2596" s="96">
        <v>5</v>
      </c>
      <c r="H2596" s="94">
        <v>0</v>
      </c>
      <c r="I2596" s="91">
        <v>0</v>
      </c>
      <c r="J2596" s="41"/>
      <c r="K2596" s="41">
        <v>43312</v>
      </c>
      <c r="L2596" s="69" t="s">
        <v>80</v>
      </c>
      <c r="M2596" s="69" t="s">
        <v>286</v>
      </c>
      <c r="N2596" s="95"/>
      <c r="P2596" t="s">
        <v>95</v>
      </c>
      <c r="Q2596" t="s">
        <v>120</v>
      </c>
      <c r="R2596" s="92" t="s">
        <v>69</v>
      </c>
      <c r="S2596" s="92" t="s">
        <v>123</v>
      </c>
      <c r="V2596" s="95">
        <v>43312</v>
      </c>
      <c r="W2596" s="92">
        <v>2030505</v>
      </c>
      <c r="X2596" s="90" t="s">
        <v>196</v>
      </c>
      <c r="Y2596" s="123"/>
      <c r="Z2596" s="30">
        <f t="shared" si="80"/>
        <v>6772.6006943194379</v>
      </c>
      <c r="AA2596" s="30">
        <f t="shared" si="81"/>
        <v>2116.4377169748245</v>
      </c>
      <c r="AB2596" t="s">
        <v>457</v>
      </c>
    </row>
    <row r="2597" spans="1:28">
      <c r="A2597" t="s">
        <v>122</v>
      </c>
      <c r="C2597" s="92">
        <v>4615471291</v>
      </c>
      <c r="D2597" s="93">
        <v>19200</v>
      </c>
      <c r="F2597" s="91">
        <v>16</v>
      </c>
      <c r="G2597" s="96">
        <v>5</v>
      </c>
      <c r="H2597" s="94">
        <v>0</v>
      </c>
      <c r="I2597" s="91">
        <v>0</v>
      </c>
      <c r="J2597" s="41"/>
      <c r="K2597" s="41">
        <v>43312</v>
      </c>
      <c r="L2597" s="69" t="s">
        <v>80</v>
      </c>
      <c r="M2597" s="69" t="s">
        <v>286</v>
      </c>
      <c r="N2597" s="95"/>
      <c r="P2597" t="s">
        <v>95</v>
      </c>
      <c r="Q2597" t="s">
        <v>120</v>
      </c>
      <c r="R2597" s="92" t="s">
        <v>69</v>
      </c>
      <c r="S2597" s="92" t="s">
        <v>123</v>
      </c>
      <c r="V2597" s="95">
        <v>43312</v>
      </c>
      <c r="W2597" s="92">
        <v>2030505</v>
      </c>
      <c r="X2597" s="90" t="s">
        <v>196</v>
      </c>
      <c r="Y2597" s="123"/>
      <c r="Z2597" s="30">
        <f t="shared" si="80"/>
        <v>6772.6006943194379</v>
      </c>
      <c r="AA2597" s="30">
        <f t="shared" si="81"/>
        <v>2116.4377169748245</v>
      </c>
      <c r="AB2597" t="s">
        <v>457</v>
      </c>
    </row>
    <row r="2598" spans="1:28">
      <c r="A2598" t="s">
        <v>122</v>
      </c>
      <c r="C2598" s="92">
        <v>4615471291</v>
      </c>
      <c r="D2598" s="93">
        <v>19200</v>
      </c>
      <c r="F2598" s="91">
        <v>16</v>
      </c>
      <c r="G2598" s="96">
        <v>5</v>
      </c>
      <c r="H2598" s="94">
        <v>0</v>
      </c>
      <c r="I2598" s="91">
        <v>0</v>
      </c>
      <c r="J2598" s="41"/>
      <c r="K2598" s="41">
        <v>43312</v>
      </c>
      <c r="L2598" s="69" t="s">
        <v>80</v>
      </c>
      <c r="M2598" s="69" t="s">
        <v>286</v>
      </c>
      <c r="N2598" s="95"/>
      <c r="P2598" t="s">
        <v>95</v>
      </c>
      <c r="Q2598" t="s">
        <v>120</v>
      </c>
      <c r="R2598" s="92" t="s">
        <v>69</v>
      </c>
      <c r="S2598" s="92" t="s">
        <v>123</v>
      </c>
      <c r="V2598" s="95">
        <v>43312</v>
      </c>
      <c r="W2598" s="92">
        <v>2030505</v>
      </c>
      <c r="X2598" s="90" t="s">
        <v>196</v>
      </c>
      <c r="Y2598" s="123"/>
      <c r="Z2598" s="30">
        <f t="shared" si="80"/>
        <v>6772.6006943194379</v>
      </c>
      <c r="AA2598" s="30">
        <f t="shared" si="81"/>
        <v>2116.4377169748245</v>
      </c>
      <c r="AB2598" t="s">
        <v>457</v>
      </c>
    </row>
    <row r="2599" spans="1:28">
      <c r="A2599" t="s">
        <v>122</v>
      </c>
      <c r="C2599" s="92">
        <v>4615486579</v>
      </c>
      <c r="D2599" s="93">
        <v>19200</v>
      </c>
      <c r="F2599" s="91">
        <v>16</v>
      </c>
      <c r="G2599" s="96">
        <v>5</v>
      </c>
      <c r="H2599" s="94">
        <v>0</v>
      </c>
      <c r="I2599" s="91">
        <v>0</v>
      </c>
      <c r="J2599" s="41"/>
      <c r="K2599" s="41">
        <v>43312</v>
      </c>
      <c r="L2599" s="69" t="s">
        <v>80</v>
      </c>
      <c r="M2599" s="69" t="s">
        <v>286</v>
      </c>
      <c r="N2599" s="95"/>
      <c r="P2599" t="s">
        <v>95</v>
      </c>
      <c r="Q2599" t="s">
        <v>120</v>
      </c>
      <c r="R2599" s="92" t="s">
        <v>69</v>
      </c>
      <c r="S2599" s="92" t="s">
        <v>123</v>
      </c>
      <c r="V2599" s="95">
        <v>43312</v>
      </c>
      <c r="W2599" s="92">
        <v>2030515</v>
      </c>
      <c r="X2599" s="90"/>
      <c r="Y2599" s="123"/>
      <c r="Z2599" s="30">
        <f t="shared" si="80"/>
        <v>6772.6006943194379</v>
      </c>
      <c r="AA2599" s="30">
        <f t="shared" si="81"/>
        <v>2116.4377169748245</v>
      </c>
      <c r="AB2599" t="s">
        <v>457</v>
      </c>
    </row>
    <row r="2600" spans="1:28">
      <c r="A2600" t="s">
        <v>122</v>
      </c>
      <c r="C2600" s="92">
        <v>4615486579</v>
      </c>
      <c r="D2600" s="93">
        <v>19200</v>
      </c>
      <c r="F2600" s="91">
        <v>16</v>
      </c>
      <c r="G2600" s="96">
        <v>5</v>
      </c>
      <c r="H2600" s="94">
        <v>0</v>
      </c>
      <c r="I2600" s="91">
        <v>0</v>
      </c>
      <c r="J2600" s="41"/>
      <c r="K2600" s="41">
        <v>43312</v>
      </c>
      <c r="L2600" s="69" t="s">
        <v>80</v>
      </c>
      <c r="M2600" s="69" t="s">
        <v>286</v>
      </c>
      <c r="N2600" s="95"/>
      <c r="P2600" t="s">
        <v>95</v>
      </c>
      <c r="Q2600" t="s">
        <v>120</v>
      </c>
      <c r="R2600" s="92" t="s">
        <v>69</v>
      </c>
      <c r="S2600" s="92" t="s">
        <v>123</v>
      </c>
      <c r="V2600" s="95">
        <v>43312</v>
      </c>
      <c r="W2600" s="92">
        <v>2030515</v>
      </c>
      <c r="X2600" s="90"/>
      <c r="Y2600" s="123"/>
      <c r="Z2600" s="30">
        <f t="shared" si="80"/>
        <v>6772.6006943194379</v>
      </c>
      <c r="AA2600" s="30">
        <f t="shared" si="81"/>
        <v>2116.4377169748245</v>
      </c>
      <c r="AB2600" t="s">
        <v>457</v>
      </c>
    </row>
    <row r="2601" spans="1:28">
      <c r="A2601" t="s">
        <v>122</v>
      </c>
      <c r="C2601" s="92">
        <v>4615486579</v>
      </c>
      <c r="D2601" s="93">
        <v>19200</v>
      </c>
      <c r="F2601" s="91">
        <v>16</v>
      </c>
      <c r="G2601" s="96">
        <v>5</v>
      </c>
      <c r="H2601" s="94">
        <v>0</v>
      </c>
      <c r="I2601" s="91">
        <v>0</v>
      </c>
      <c r="J2601" s="41"/>
      <c r="K2601" s="41">
        <v>43312</v>
      </c>
      <c r="L2601" s="69" t="s">
        <v>80</v>
      </c>
      <c r="M2601" s="69" t="s">
        <v>286</v>
      </c>
      <c r="N2601" s="95"/>
      <c r="P2601" t="s">
        <v>95</v>
      </c>
      <c r="Q2601" t="s">
        <v>120</v>
      </c>
      <c r="R2601" s="92" t="s">
        <v>69</v>
      </c>
      <c r="S2601" s="92" t="s">
        <v>123</v>
      </c>
      <c r="V2601" s="95">
        <v>43312</v>
      </c>
      <c r="W2601" s="92">
        <v>2030515</v>
      </c>
      <c r="X2601" s="90"/>
      <c r="Y2601" s="123"/>
      <c r="Z2601" s="30">
        <f t="shared" si="80"/>
        <v>6772.6006943194379</v>
      </c>
      <c r="AA2601" s="30">
        <f t="shared" si="81"/>
        <v>2116.4377169748245</v>
      </c>
      <c r="AB2601" t="s">
        <v>457</v>
      </c>
    </row>
    <row r="2602" spans="1:28">
      <c r="A2602" t="s">
        <v>122</v>
      </c>
      <c r="C2602" s="92">
        <v>4615486579</v>
      </c>
      <c r="D2602" s="93">
        <v>19200</v>
      </c>
      <c r="F2602" s="91">
        <v>16</v>
      </c>
      <c r="G2602" s="96">
        <v>5</v>
      </c>
      <c r="H2602" s="94">
        <v>0</v>
      </c>
      <c r="I2602" s="91">
        <v>0</v>
      </c>
      <c r="J2602" s="41"/>
      <c r="K2602" s="41">
        <v>43312</v>
      </c>
      <c r="L2602" s="69" t="s">
        <v>80</v>
      </c>
      <c r="M2602" s="69" t="s">
        <v>286</v>
      </c>
      <c r="N2602" s="95"/>
      <c r="P2602" t="s">
        <v>95</v>
      </c>
      <c r="Q2602" t="s">
        <v>120</v>
      </c>
      <c r="R2602" s="92" t="s">
        <v>69</v>
      </c>
      <c r="S2602" s="92" t="s">
        <v>123</v>
      </c>
      <c r="V2602" s="95">
        <v>43312</v>
      </c>
      <c r="W2602" s="92">
        <v>2030515</v>
      </c>
      <c r="X2602" s="90"/>
      <c r="Y2602" s="123"/>
      <c r="Z2602" s="30">
        <f t="shared" si="80"/>
        <v>6772.6006943194379</v>
      </c>
      <c r="AA2602" s="30">
        <f t="shared" si="81"/>
        <v>2116.4377169748245</v>
      </c>
      <c r="AB2602" t="s">
        <v>457</v>
      </c>
    </row>
    <row r="2603" spans="1:28">
      <c r="A2603" t="s">
        <v>122</v>
      </c>
      <c r="C2603" s="92">
        <v>4615486579</v>
      </c>
      <c r="D2603" s="93">
        <v>19200</v>
      </c>
      <c r="F2603" s="91">
        <v>16</v>
      </c>
      <c r="G2603" s="96">
        <v>5</v>
      </c>
      <c r="H2603" s="94">
        <v>0</v>
      </c>
      <c r="I2603" s="91">
        <v>0</v>
      </c>
      <c r="J2603" s="41"/>
      <c r="K2603" s="41">
        <v>43312</v>
      </c>
      <c r="L2603" s="69" t="s">
        <v>80</v>
      </c>
      <c r="M2603" s="69" t="s">
        <v>286</v>
      </c>
      <c r="N2603" s="95"/>
      <c r="P2603" t="s">
        <v>95</v>
      </c>
      <c r="Q2603" t="s">
        <v>120</v>
      </c>
      <c r="R2603" s="92" t="s">
        <v>69</v>
      </c>
      <c r="S2603" s="92" t="s">
        <v>123</v>
      </c>
      <c r="V2603" s="95">
        <v>43312</v>
      </c>
      <c r="W2603" s="92">
        <v>2030515</v>
      </c>
      <c r="X2603" s="90"/>
      <c r="Y2603" s="123"/>
      <c r="Z2603" s="30">
        <f t="shared" si="80"/>
        <v>6772.6006943194379</v>
      </c>
      <c r="AA2603" s="30">
        <f t="shared" si="81"/>
        <v>2116.4377169748245</v>
      </c>
      <c r="AB2603" t="s">
        <v>457</v>
      </c>
    </row>
    <row r="2604" spans="1:28">
      <c r="A2604" t="s">
        <v>122</v>
      </c>
      <c r="C2604" s="92">
        <v>4615486579</v>
      </c>
      <c r="D2604" s="93">
        <v>19200</v>
      </c>
      <c r="F2604" s="91">
        <v>16</v>
      </c>
      <c r="G2604" s="96">
        <v>5</v>
      </c>
      <c r="H2604" s="94">
        <v>0</v>
      </c>
      <c r="I2604" s="91">
        <v>0</v>
      </c>
      <c r="J2604" s="41"/>
      <c r="K2604" s="41">
        <v>43312</v>
      </c>
      <c r="L2604" s="69" t="s">
        <v>80</v>
      </c>
      <c r="M2604" s="69" t="s">
        <v>286</v>
      </c>
      <c r="N2604" s="95"/>
      <c r="P2604" t="s">
        <v>95</v>
      </c>
      <c r="Q2604" t="s">
        <v>120</v>
      </c>
      <c r="R2604" s="92" t="s">
        <v>69</v>
      </c>
      <c r="S2604" s="92" t="s">
        <v>123</v>
      </c>
      <c r="V2604" s="95">
        <v>43312</v>
      </c>
      <c r="W2604" s="92">
        <v>2030515</v>
      </c>
      <c r="X2604" s="90"/>
      <c r="Y2604" s="123"/>
      <c r="Z2604" s="30">
        <f t="shared" si="80"/>
        <v>6772.6006943194379</v>
      </c>
      <c r="AA2604" s="30">
        <f t="shared" si="81"/>
        <v>2116.4377169748245</v>
      </c>
      <c r="AB2604" t="s">
        <v>457</v>
      </c>
    </row>
    <row r="2605" spans="1:28">
      <c r="A2605" t="s">
        <v>122</v>
      </c>
      <c r="C2605" s="92">
        <v>4615486579</v>
      </c>
      <c r="D2605" s="93">
        <v>19200</v>
      </c>
      <c r="F2605" s="91">
        <v>16</v>
      </c>
      <c r="G2605" s="96">
        <v>5</v>
      </c>
      <c r="H2605" s="94">
        <v>0</v>
      </c>
      <c r="I2605" s="91">
        <v>0</v>
      </c>
      <c r="J2605" s="41"/>
      <c r="K2605" s="41">
        <v>43312</v>
      </c>
      <c r="L2605" s="69" t="s">
        <v>80</v>
      </c>
      <c r="M2605" s="69" t="s">
        <v>286</v>
      </c>
      <c r="N2605" s="95"/>
      <c r="P2605" t="s">
        <v>95</v>
      </c>
      <c r="Q2605" t="s">
        <v>120</v>
      </c>
      <c r="R2605" s="92" t="s">
        <v>69</v>
      </c>
      <c r="S2605" s="92" t="s">
        <v>123</v>
      </c>
      <c r="V2605" s="95">
        <v>43312</v>
      </c>
      <c r="W2605" s="92">
        <v>2030515</v>
      </c>
      <c r="X2605" s="90"/>
      <c r="Y2605" s="123"/>
      <c r="Z2605" s="30">
        <f t="shared" si="80"/>
        <v>6772.6006943194379</v>
      </c>
      <c r="AA2605" s="30">
        <f t="shared" si="81"/>
        <v>2116.4377169748245</v>
      </c>
      <c r="AB2605" t="s">
        <v>457</v>
      </c>
    </row>
    <row r="2606" spans="1:28">
      <c r="A2606" t="s">
        <v>122</v>
      </c>
      <c r="C2606" s="92">
        <v>4615486579</v>
      </c>
      <c r="D2606" s="93">
        <v>19200</v>
      </c>
      <c r="F2606" s="91">
        <v>16</v>
      </c>
      <c r="G2606" s="96">
        <v>5</v>
      </c>
      <c r="H2606" s="94">
        <v>0</v>
      </c>
      <c r="I2606" s="91">
        <v>0</v>
      </c>
      <c r="J2606" s="41"/>
      <c r="K2606" s="41">
        <v>43312</v>
      </c>
      <c r="L2606" s="69" t="s">
        <v>80</v>
      </c>
      <c r="M2606" s="69" t="s">
        <v>286</v>
      </c>
      <c r="N2606" s="95"/>
      <c r="P2606" t="s">
        <v>95</v>
      </c>
      <c r="Q2606" t="s">
        <v>120</v>
      </c>
      <c r="R2606" s="92" t="s">
        <v>69</v>
      </c>
      <c r="S2606" s="92" t="s">
        <v>123</v>
      </c>
      <c r="V2606" s="95">
        <v>43312</v>
      </c>
      <c r="W2606" s="92">
        <v>2030515</v>
      </c>
      <c r="X2606" s="90"/>
      <c r="Y2606" s="123"/>
      <c r="Z2606" s="30">
        <f t="shared" si="80"/>
        <v>6772.6006943194379</v>
      </c>
      <c r="AA2606" s="30">
        <f t="shared" si="81"/>
        <v>2116.4377169748245</v>
      </c>
      <c r="AB2606" t="s">
        <v>457</v>
      </c>
    </row>
    <row r="2607" spans="1:28">
      <c r="A2607" t="s">
        <v>122</v>
      </c>
      <c r="C2607" s="92">
        <v>4615486579</v>
      </c>
      <c r="D2607" s="93">
        <v>19200</v>
      </c>
      <c r="F2607" s="91">
        <v>16</v>
      </c>
      <c r="G2607" s="96">
        <v>5</v>
      </c>
      <c r="H2607" s="94">
        <v>0</v>
      </c>
      <c r="I2607" s="91">
        <v>0</v>
      </c>
      <c r="J2607" s="41"/>
      <c r="K2607" s="41">
        <v>43312</v>
      </c>
      <c r="L2607" s="69" t="s">
        <v>80</v>
      </c>
      <c r="M2607" s="69" t="s">
        <v>286</v>
      </c>
      <c r="N2607" s="95"/>
      <c r="P2607" t="s">
        <v>95</v>
      </c>
      <c r="Q2607" t="s">
        <v>120</v>
      </c>
      <c r="R2607" s="92" t="s">
        <v>69</v>
      </c>
      <c r="S2607" s="92" t="s">
        <v>123</v>
      </c>
      <c r="V2607" s="95">
        <v>43312</v>
      </c>
      <c r="W2607" s="92">
        <v>2030515</v>
      </c>
      <c r="X2607" s="90"/>
      <c r="Y2607" s="123"/>
      <c r="Z2607" s="30">
        <f t="shared" si="80"/>
        <v>6772.6006943194379</v>
      </c>
      <c r="AA2607" s="30">
        <f t="shared" si="81"/>
        <v>2116.4377169748245</v>
      </c>
      <c r="AB2607" t="s">
        <v>457</v>
      </c>
    </row>
    <row r="2608" spans="1:28">
      <c r="A2608" t="s">
        <v>122</v>
      </c>
      <c r="C2608" s="92">
        <v>4615486579</v>
      </c>
      <c r="D2608" s="93">
        <v>19200</v>
      </c>
      <c r="F2608" s="91">
        <v>16</v>
      </c>
      <c r="G2608" s="96">
        <v>5</v>
      </c>
      <c r="H2608" s="94">
        <v>0</v>
      </c>
      <c r="I2608" s="91">
        <v>0</v>
      </c>
      <c r="J2608" s="41"/>
      <c r="K2608" s="41">
        <v>43312</v>
      </c>
      <c r="L2608" s="69" t="s">
        <v>80</v>
      </c>
      <c r="M2608" s="69" t="s">
        <v>286</v>
      </c>
      <c r="N2608" s="95"/>
      <c r="P2608" t="s">
        <v>95</v>
      </c>
      <c r="Q2608" t="s">
        <v>120</v>
      </c>
      <c r="R2608" s="92" t="s">
        <v>69</v>
      </c>
      <c r="S2608" s="92" t="s">
        <v>123</v>
      </c>
      <c r="V2608" s="95">
        <v>43312</v>
      </c>
      <c r="W2608" s="92">
        <v>2030515</v>
      </c>
      <c r="X2608" s="90"/>
      <c r="Y2608" s="123"/>
      <c r="Z2608" s="30">
        <f t="shared" si="80"/>
        <v>6772.6006943194379</v>
      </c>
      <c r="AA2608" s="30">
        <f t="shared" si="81"/>
        <v>2116.4377169748245</v>
      </c>
      <c r="AB2608" t="s">
        <v>457</v>
      </c>
    </row>
    <row r="2609" spans="1:28">
      <c r="A2609" t="s">
        <v>122</v>
      </c>
      <c r="C2609" s="92">
        <v>4615486579</v>
      </c>
      <c r="D2609" s="93">
        <v>19200</v>
      </c>
      <c r="F2609" s="91">
        <v>16</v>
      </c>
      <c r="G2609" s="96">
        <v>5</v>
      </c>
      <c r="H2609" s="94">
        <v>0</v>
      </c>
      <c r="I2609" s="91">
        <v>0</v>
      </c>
      <c r="J2609" s="41"/>
      <c r="K2609" s="41">
        <v>43312</v>
      </c>
      <c r="L2609" s="69" t="s">
        <v>80</v>
      </c>
      <c r="M2609" s="69" t="s">
        <v>286</v>
      </c>
      <c r="N2609" s="95"/>
      <c r="P2609" t="s">
        <v>95</v>
      </c>
      <c r="Q2609" t="s">
        <v>120</v>
      </c>
      <c r="R2609" s="92" t="s">
        <v>69</v>
      </c>
      <c r="S2609" s="92" t="s">
        <v>123</v>
      </c>
      <c r="V2609" s="95">
        <v>43312</v>
      </c>
      <c r="W2609" s="92">
        <v>2030515</v>
      </c>
      <c r="X2609" s="90"/>
      <c r="Y2609" s="123"/>
      <c r="Z2609" s="30">
        <f t="shared" si="80"/>
        <v>6772.6006943194379</v>
      </c>
      <c r="AA2609" s="30">
        <f t="shared" si="81"/>
        <v>2116.4377169748245</v>
      </c>
      <c r="AB2609" t="s">
        <v>457</v>
      </c>
    </row>
    <row r="2610" spans="1:28">
      <c r="A2610" t="s">
        <v>122</v>
      </c>
      <c r="C2610" s="92">
        <v>4615480574</v>
      </c>
      <c r="D2610" s="93">
        <v>21000</v>
      </c>
      <c r="F2610" s="91">
        <v>16</v>
      </c>
      <c r="G2610" s="96">
        <v>5</v>
      </c>
      <c r="H2610" s="94">
        <v>0</v>
      </c>
      <c r="I2610" s="91">
        <v>0</v>
      </c>
      <c r="J2610" s="41"/>
      <c r="K2610" s="41">
        <v>43312</v>
      </c>
      <c r="L2610" s="69" t="s">
        <v>80</v>
      </c>
      <c r="M2610" s="69" t="s">
        <v>286</v>
      </c>
      <c r="N2610" s="95"/>
      <c r="P2610" t="s">
        <v>95</v>
      </c>
      <c r="Q2610" t="s">
        <v>120</v>
      </c>
      <c r="R2610" s="92" t="s">
        <v>69</v>
      </c>
      <c r="S2610" s="92" t="s">
        <v>123</v>
      </c>
      <c r="V2610" s="95">
        <v>43312</v>
      </c>
      <c r="W2610" s="92">
        <v>2030483</v>
      </c>
      <c r="X2610" s="90" t="s">
        <v>363</v>
      </c>
      <c r="Y2610" s="123"/>
      <c r="Z2610" s="30">
        <f t="shared" si="80"/>
        <v>7407.5320094118861</v>
      </c>
      <c r="AA2610" s="30">
        <f t="shared" si="81"/>
        <v>2314.8537529412147</v>
      </c>
      <c r="AB2610" t="s">
        <v>457</v>
      </c>
    </row>
    <row r="2611" spans="1:28">
      <c r="A2611" t="s">
        <v>122</v>
      </c>
      <c r="C2611" s="92">
        <v>4615480574</v>
      </c>
      <c r="D2611" s="93">
        <v>21000</v>
      </c>
      <c r="F2611" s="91">
        <v>16</v>
      </c>
      <c r="G2611" s="96">
        <v>5</v>
      </c>
      <c r="H2611" s="94">
        <v>0</v>
      </c>
      <c r="I2611" s="91">
        <v>0</v>
      </c>
      <c r="J2611" s="41"/>
      <c r="K2611" s="41">
        <v>43312</v>
      </c>
      <c r="L2611" s="69" t="s">
        <v>80</v>
      </c>
      <c r="M2611" s="69" t="s">
        <v>286</v>
      </c>
      <c r="N2611" s="95"/>
      <c r="P2611" t="s">
        <v>95</v>
      </c>
      <c r="Q2611" t="s">
        <v>120</v>
      </c>
      <c r="R2611" s="92" t="s">
        <v>69</v>
      </c>
      <c r="S2611" s="92" t="s">
        <v>123</v>
      </c>
      <c r="V2611" s="95">
        <v>43312</v>
      </c>
      <c r="W2611" s="92">
        <v>2030483</v>
      </c>
      <c r="X2611" s="90" t="s">
        <v>363</v>
      </c>
      <c r="Y2611" s="123"/>
      <c r="Z2611" s="30">
        <f t="shared" si="80"/>
        <v>7407.5320094118861</v>
      </c>
      <c r="AA2611" s="30">
        <f t="shared" si="81"/>
        <v>2314.8537529412147</v>
      </c>
      <c r="AB2611" t="s">
        <v>457</v>
      </c>
    </row>
    <row r="2612" spans="1:28">
      <c r="A2612" t="s">
        <v>122</v>
      </c>
      <c r="C2612" s="92">
        <v>4615480574</v>
      </c>
      <c r="D2612" s="93">
        <v>21000</v>
      </c>
      <c r="F2612" s="91">
        <v>16</v>
      </c>
      <c r="G2612" s="96">
        <v>5</v>
      </c>
      <c r="H2612" s="94">
        <v>0</v>
      </c>
      <c r="I2612" s="91">
        <v>0</v>
      </c>
      <c r="J2612" s="41"/>
      <c r="K2612" s="41">
        <v>43312</v>
      </c>
      <c r="L2612" s="69" t="s">
        <v>80</v>
      </c>
      <c r="M2612" s="69" t="s">
        <v>286</v>
      </c>
      <c r="N2612" s="95"/>
      <c r="P2612" t="s">
        <v>95</v>
      </c>
      <c r="Q2612" t="s">
        <v>120</v>
      </c>
      <c r="R2612" s="92" t="s">
        <v>69</v>
      </c>
      <c r="S2612" s="92" t="s">
        <v>123</v>
      </c>
      <c r="V2612" s="95">
        <v>43312</v>
      </c>
      <c r="W2612" s="92">
        <v>2030483</v>
      </c>
      <c r="X2612" s="90" t="s">
        <v>363</v>
      </c>
      <c r="Y2612" s="123"/>
      <c r="Z2612" s="30">
        <f t="shared" si="80"/>
        <v>7407.5320094118861</v>
      </c>
      <c r="AA2612" s="30">
        <f t="shared" si="81"/>
        <v>2314.8537529412147</v>
      </c>
      <c r="AB2612" t="s">
        <v>457</v>
      </c>
    </row>
    <row r="2613" spans="1:28">
      <c r="A2613" t="s">
        <v>122</v>
      </c>
      <c r="C2613" s="92">
        <v>4615480574</v>
      </c>
      <c r="D2613" s="93">
        <v>21000</v>
      </c>
      <c r="F2613" s="91">
        <v>16</v>
      </c>
      <c r="G2613" s="96">
        <v>5</v>
      </c>
      <c r="H2613" s="94">
        <v>0</v>
      </c>
      <c r="I2613" s="91">
        <v>0</v>
      </c>
      <c r="J2613" s="41"/>
      <c r="K2613" s="41">
        <v>43312</v>
      </c>
      <c r="L2613" s="69" t="s">
        <v>80</v>
      </c>
      <c r="M2613" s="69" t="s">
        <v>286</v>
      </c>
      <c r="N2613" s="95"/>
      <c r="P2613" t="s">
        <v>95</v>
      </c>
      <c r="Q2613" t="s">
        <v>120</v>
      </c>
      <c r="R2613" s="92" t="s">
        <v>69</v>
      </c>
      <c r="S2613" s="92" t="s">
        <v>123</v>
      </c>
      <c r="V2613" s="95">
        <v>43312</v>
      </c>
      <c r="W2613" s="92">
        <v>2030483</v>
      </c>
      <c r="X2613" s="90" t="s">
        <v>363</v>
      </c>
      <c r="Y2613" s="123"/>
      <c r="Z2613" s="30">
        <f t="shared" si="80"/>
        <v>7407.5320094118861</v>
      </c>
      <c r="AA2613" s="30">
        <f t="shared" si="81"/>
        <v>2314.8537529412147</v>
      </c>
      <c r="AB2613" t="s">
        <v>457</v>
      </c>
    </row>
    <row r="2614" spans="1:28">
      <c r="A2614" t="s">
        <v>122</v>
      </c>
      <c r="C2614" s="92">
        <v>4615480574</v>
      </c>
      <c r="D2614" s="93">
        <v>21000</v>
      </c>
      <c r="F2614" s="91">
        <v>16</v>
      </c>
      <c r="G2614" s="96">
        <v>5</v>
      </c>
      <c r="H2614" s="94">
        <v>0</v>
      </c>
      <c r="I2614" s="91">
        <v>0</v>
      </c>
      <c r="J2614" s="41"/>
      <c r="K2614" s="41">
        <v>43312</v>
      </c>
      <c r="L2614" s="69" t="s">
        <v>80</v>
      </c>
      <c r="M2614" s="69" t="s">
        <v>286</v>
      </c>
      <c r="N2614" s="95"/>
      <c r="P2614" t="s">
        <v>95</v>
      </c>
      <c r="Q2614" t="s">
        <v>120</v>
      </c>
      <c r="R2614" s="92" t="s">
        <v>69</v>
      </c>
      <c r="S2614" s="92" t="s">
        <v>123</v>
      </c>
      <c r="V2614" s="95">
        <v>43312</v>
      </c>
      <c r="W2614" s="92">
        <v>2030483</v>
      </c>
      <c r="X2614" s="90" t="s">
        <v>363</v>
      </c>
      <c r="Y2614" s="123"/>
      <c r="Z2614" s="30">
        <f t="shared" si="80"/>
        <v>7407.5320094118861</v>
      </c>
      <c r="AA2614" s="30">
        <f t="shared" si="81"/>
        <v>2314.8537529412147</v>
      </c>
      <c r="AB2614" t="s">
        <v>457</v>
      </c>
    </row>
    <row r="2615" spans="1:28">
      <c r="A2615" t="s">
        <v>122</v>
      </c>
      <c r="C2615" s="92">
        <v>4615480574</v>
      </c>
      <c r="D2615" s="93">
        <v>21000</v>
      </c>
      <c r="F2615" s="91">
        <v>16</v>
      </c>
      <c r="G2615" s="96">
        <v>5</v>
      </c>
      <c r="H2615" s="94">
        <v>0</v>
      </c>
      <c r="I2615" s="91">
        <v>0</v>
      </c>
      <c r="J2615" s="41"/>
      <c r="K2615" s="41">
        <v>43312</v>
      </c>
      <c r="L2615" s="69" t="s">
        <v>80</v>
      </c>
      <c r="M2615" s="69" t="s">
        <v>286</v>
      </c>
      <c r="N2615" s="95"/>
      <c r="P2615" t="s">
        <v>95</v>
      </c>
      <c r="Q2615" t="s">
        <v>120</v>
      </c>
      <c r="R2615" s="92" t="s">
        <v>69</v>
      </c>
      <c r="S2615" s="92" t="s">
        <v>123</v>
      </c>
      <c r="V2615" s="95">
        <v>43312</v>
      </c>
      <c r="W2615" s="92">
        <v>2030483</v>
      </c>
      <c r="X2615" s="90" t="s">
        <v>363</v>
      </c>
      <c r="Y2615" s="123"/>
      <c r="Z2615" s="30">
        <f t="shared" si="80"/>
        <v>7407.5320094118861</v>
      </c>
      <c r="AA2615" s="30">
        <f t="shared" si="81"/>
        <v>2314.8537529412147</v>
      </c>
      <c r="AB2615" t="s">
        <v>457</v>
      </c>
    </row>
    <row r="2616" spans="1:28">
      <c r="A2616" t="s">
        <v>122</v>
      </c>
      <c r="C2616" s="92">
        <v>4615480574</v>
      </c>
      <c r="D2616" s="93">
        <v>21000</v>
      </c>
      <c r="F2616" s="91">
        <v>16</v>
      </c>
      <c r="G2616" s="96">
        <v>5</v>
      </c>
      <c r="H2616" s="94">
        <v>0</v>
      </c>
      <c r="I2616" s="91">
        <v>0</v>
      </c>
      <c r="J2616" s="41"/>
      <c r="K2616" s="41">
        <v>43312</v>
      </c>
      <c r="L2616" s="69" t="s">
        <v>80</v>
      </c>
      <c r="M2616" s="69" t="s">
        <v>286</v>
      </c>
      <c r="N2616" s="95"/>
      <c r="P2616" t="s">
        <v>95</v>
      </c>
      <c r="Q2616" t="s">
        <v>120</v>
      </c>
      <c r="R2616" s="92" t="s">
        <v>69</v>
      </c>
      <c r="S2616" s="92" t="s">
        <v>123</v>
      </c>
      <c r="V2616" s="95">
        <v>43312</v>
      </c>
      <c r="W2616" s="92">
        <v>2030483</v>
      </c>
      <c r="X2616" s="90" t="s">
        <v>363</v>
      </c>
      <c r="Y2616" s="123"/>
      <c r="Z2616" s="30">
        <f t="shared" si="80"/>
        <v>7407.5320094118861</v>
      </c>
      <c r="AA2616" s="30">
        <f t="shared" si="81"/>
        <v>2314.8537529412147</v>
      </c>
      <c r="AB2616" t="s">
        <v>457</v>
      </c>
    </row>
    <row r="2617" spans="1:28">
      <c r="A2617" t="s">
        <v>122</v>
      </c>
      <c r="C2617" s="92">
        <v>4615480574</v>
      </c>
      <c r="D2617" s="93">
        <v>21000</v>
      </c>
      <c r="F2617" s="91">
        <v>16</v>
      </c>
      <c r="G2617" s="96">
        <v>5</v>
      </c>
      <c r="H2617" s="94">
        <v>0</v>
      </c>
      <c r="I2617" s="91">
        <v>0</v>
      </c>
      <c r="J2617" s="41"/>
      <c r="K2617" s="41">
        <v>43312</v>
      </c>
      <c r="L2617" s="69" t="s">
        <v>80</v>
      </c>
      <c r="M2617" s="69" t="s">
        <v>286</v>
      </c>
      <c r="N2617" s="95"/>
      <c r="P2617" t="s">
        <v>95</v>
      </c>
      <c r="Q2617" t="s">
        <v>120</v>
      </c>
      <c r="R2617" s="92" t="s">
        <v>69</v>
      </c>
      <c r="S2617" s="92" t="s">
        <v>123</v>
      </c>
      <c r="V2617" s="95">
        <v>43312</v>
      </c>
      <c r="W2617" s="92">
        <v>2030483</v>
      </c>
      <c r="X2617" s="90" t="s">
        <v>363</v>
      </c>
      <c r="Y2617" s="123"/>
      <c r="Z2617" s="30">
        <f t="shared" si="80"/>
        <v>7407.5320094118861</v>
      </c>
      <c r="AA2617" s="30">
        <f t="shared" si="81"/>
        <v>2314.8537529412147</v>
      </c>
      <c r="AB2617" t="s">
        <v>457</v>
      </c>
    </row>
    <row r="2618" spans="1:28">
      <c r="A2618" t="s">
        <v>122</v>
      </c>
      <c r="C2618" s="92">
        <v>4615480574</v>
      </c>
      <c r="D2618" s="93">
        <v>21000</v>
      </c>
      <c r="F2618" s="91">
        <v>16</v>
      </c>
      <c r="G2618" s="96">
        <v>5</v>
      </c>
      <c r="H2618" s="94">
        <v>0</v>
      </c>
      <c r="I2618" s="91">
        <v>0</v>
      </c>
      <c r="J2618" s="41"/>
      <c r="K2618" s="41">
        <v>43312</v>
      </c>
      <c r="L2618" s="69" t="s">
        <v>80</v>
      </c>
      <c r="M2618" s="69" t="s">
        <v>286</v>
      </c>
      <c r="N2618" s="95"/>
      <c r="P2618" t="s">
        <v>95</v>
      </c>
      <c r="Q2618" t="s">
        <v>120</v>
      </c>
      <c r="R2618" s="92" t="s">
        <v>69</v>
      </c>
      <c r="S2618" s="92" t="s">
        <v>123</v>
      </c>
      <c r="V2618" s="95">
        <v>43312</v>
      </c>
      <c r="W2618" s="92">
        <v>2030483</v>
      </c>
      <c r="X2618" s="90" t="s">
        <v>363</v>
      </c>
      <c r="Y2618" s="123"/>
      <c r="Z2618" s="30">
        <f t="shared" si="80"/>
        <v>7407.5320094118861</v>
      </c>
      <c r="AA2618" s="30">
        <f t="shared" si="81"/>
        <v>2314.8537529412147</v>
      </c>
      <c r="AB2618" t="s">
        <v>457</v>
      </c>
    </row>
    <row r="2619" spans="1:28">
      <c r="A2619" t="s">
        <v>122</v>
      </c>
      <c r="C2619" s="92">
        <v>4615480574</v>
      </c>
      <c r="D2619" s="93">
        <v>21000</v>
      </c>
      <c r="F2619" s="91">
        <v>16</v>
      </c>
      <c r="G2619" s="96">
        <v>5</v>
      </c>
      <c r="H2619" s="94">
        <v>0</v>
      </c>
      <c r="I2619" s="91">
        <v>0</v>
      </c>
      <c r="J2619" s="41"/>
      <c r="K2619" s="41">
        <v>43312</v>
      </c>
      <c r="L2619" s="69" t="s">
        <v>80</v>
      </c>
      <c r="M2619" s="69" t="s">
        <v>286</v>
      </c>
      <c r="N2619" s="95"/>
      <c r="P2619" t="s">
        <v>95</v>
      </c>
      <c r="Q2619" t="s">
        <v>120</v>
      </c>
      <c r="R2619" s="92" t="s">
        <v>69</v>
      </c>
      <c r="S2619" s="92" t="s">
        <v>123</v>
      </c>
      <c r="V2619" s="95">
        <v>43312</v>
      </c>
      <c r="W2619" s="92">
        <v>2030483</v>
      </c>
      <c r="X2619" s="90" t="s">
        <v>363</v>
      </c>
      <c r="Y2619" s="123"/>
      <c r="Z2619" s="30">
        <f t="shared" si="80"/>
        <v>7407.5320094118861</v>
      </c>
      <c r="AA2619" s="30">
        <f t="shared" si="81"/>
        <v>2314.8537529412147</v>
      </c>
      <c r="AB2619" t="s">
        <v>457</v>
      </c>
    </row>
    <row r="2620" spans="1:28">
      <c r="A2620" t="s">
        <v>122</v>
      </c>
      <c r="C2620" s="92">
        <v>4615496666</v>
      </c>
      <c r="D2620" s="93">
        <v>19200</v>
      </c>
      <c r="F2620" s="91">
        <v>16</v>
      </c>
      <c r="G2620" s="96">
        <v>5</v>
      </c>
      <c r="H2620" s="94">
        <v>0</v>
      </c>
      <c r="I2620" s="91">
        <v>0</v>
      </c>
      <c r="J2620" s="41"/>
      <c r="K2620" s="41">
        <v>43312</v>
      </c>
      <c r="L2620" s="69" t="s">
        <v>80</v>
      </c>
      <c r="M2620" s="69" t="s">
        <v>286</v>
      </c>
      <c r="N2620" s="95"/>
      <c r="P2620" t="s">
        <v>95</v>
      </c>
      <c r="Q2620" t="s">
        <v>120</v>
      </c>
      <c r="R2620" s="92" t="s">
        <v>69</v>
      </c>
      <c r="S2620" s="92" t="s">
        <v>123</v>
      </c>
      <c r="V2620" s="95">
        <v>43312</v>
      </c>
      <c r="W2620" s="92">
        <v>2030494</v>
      </c>
      <c r="X2620" s="90"/>
      <c r="Y2620" s="123"/>
      <c r="Z2620" s="30">
        <f t="shared" si="80"/>
        <v>6772.6006943194379</v>
      </c>
      <c r="AA2620" s="30">
        <f t="shared" si="81"/>
        <v>2116.4377169748245</v>
      </c>
      <c r="AB2620" t="s">
        <v>457</v>
      </c>
    </row>
    <row r="2621" spans="1:28">
      <c r="A2621" t="s">
        <v>122</v>
      </c>
      <c r="C2621" s="92">
        <v>4615496666</v>
      </c>
      <c r="D2621" s="93">
        <v>19200</v>
      </c>
      <c r="F2621" s="91">
        <v>16</v>
      </c>
      <c r="G2621" s="96">
        <v>5</v>
      </c>
      <c r="H2621" s="94">
        <v>0</v>
      </c>
      <c r="I2621" s="91">
        <v>0</v>
      </c>
      <c r="J2621" s="41"/>
      <c r="K2621" s="41">
        <v>43312</v>
      </c>
      <c r="L2621" s="69" t="s">
        <v>80</v>
      </c>
      <c r="M2621" s="69" t="s">
        <v>286</v>
      </c>
      <c r="N2621" s="95"/>
      <c r="P2621" t="s">
        <v>95</v>
      </c>
      <c r="Q2621" t="s">
        <v>120</v>
      </c>
      <c r="R2621" s="92" t="s">
        <v>69</v>
      </c>
      <c r="S2621" s="92" t="s">
        <v>123</v>
      </c>
      <c r="V2621" s="95">
        <v>43312</v>
      </c>
      <c r="W2621" s="92">
        <v>2030494</v>
      </c>
      <c r="X2621" s="90"/>
      <c r="Y2621" s="123"/>
      <c r="Z2621" s="30">
        <f t="shared" si="80"/>
        <v>6772.6006943194379</v>
      </c>
      <c r="AA2621" s="30">
        <f t="shared" si="81"/>
        <v>2116.4377169748245</v>
      </c>
      <c r="AB2621" t="s">
        <v>457</v>
      </c>
    </row>
    <row r="2622" spans="1:28">
      <c r="A2622" t="s">
        <v>122</v>
      </c>
      <c r="C2622" s="92">
        <v>4615496666</v>
      </c>
      <c r="D2622" s="93">
        <v>19200</v>
      </c>
      <c r="F2622" s="91">
        <v>16</v>
      </c>
      <c r="G2622" s="96">
        <v>5</v>
      </c>
      <c r="H2622" s="94">
        <v>0</v>
      </c>
      <c r="I2622" s="91">
        <v>0</v>
      </c>
      <c r="J2622" s="41"/>
      <c r="K2622" s="41">
        <v>43312</v>
      </c>
      <c r="L2622" s="69" t="s">
        <v>80</v>
      </c>
      <c r="M2622" s="69" t="s">
        <v>286</v>
      </c>
      <c r="N2622" s="95"/>
      <c r="P2622" t="s">
        <v>95</v>
      </c>
      <c r="Q2622" t="s">
        <v>120</v>
      </c>
      <c r="R2622" s="92" t="s">
        <v>69</v>
      </c>
      <c r="S2622" s="92" t="s">
        <v>123</v>
      </c>
      <c r="V2622" s="95">
        <v>43312</v>
      </c>
      <c r="W2622" s="92">
        <v>2030494</v>
      </c>
      <c r="X2622" s="90"/>
      <c r="Y2622" s="123"/>
      <c r="Z2622" s="30">
        <f t="shared" si="80"/>
        <v>6772.6006943194379</v>
      </c>
      <c r="AA2622" s="30">
        <f t="shared" si="81"/>
        <v>2116.4377169748245</v>
      </c>
      <c r="AB2622" t="s">
        <v>457</v>
      </c>
    </row>
    <row r="2623" spans="1:28">
      <c r="A2623" t="s">
        <v>113</v>
      </c>
      <c r="C2623" s="92">
        <v>4615477907</v>
      </c>
      <c r="D2623" s="93">
        <v>19175</v>
      </c>
      <c r="F2623" s="91">
        <v>16</v>
      </c>
      <c r="G2623" s="91">
        <v>0</v>
      </c>
      <c r="H2623" s="94">
        <v>0</v>
      </c>
      <c r="I2623" s="91">
        <v>0</v>
      </c>
      <c r="J2623" s="41"/>
      <c r="K2623" s="41">
        <v>43312</v>
      </c>
      <c r="L2623" s="69" t="s">
        <v>80</v>
      </c>
      <c r="M2623" s="69" t="s">
        <v>286</v>
      </c>
      <c r="N2623" s="95"/>
      <c r="P2623" t="s">
        <v>95</v>
      </c>
      <c r="Q2623" t="s">
        <v>110</v>
      </c>
      <c r="R2623" s="92" t="s">
        <v>69</v>
      </c>
      <c r="S2623" s="92" t="s">
        <v>115</v>
      </c>
      <c r="V2623" s="95">
        <v>43312</v>
      </c>
      <c r="W2623" s="92">
        <v>17070156</v>
      </c>
      <c r="X2623" s="90"/>
      <c r="Y2623" s="123"/>
      <c r="Z2623" s="30">
        <f t="shared" si="80"/>
        <v>6763.7822038320437</v>
      </c>
      <c r="AA2623" s="30">
        <f t="shared" si="81"/>
        <v>0</v>
      </c>
      <c r="AB2623" t="s">
        <v>457</v>
      </c>
    </row>
    <row r="2624" spans="1:28">
      <c r="A2624" t="s">
        <v>113</v>
      </c>
      <c r="C2624" s="92">
        <v>4615477907</v>
      </c>
      <c r="D2624" s="93">
        <v>19175</v>
      </c>
      <c r="F2624" s="91">
        <v>16</v>
      </c>
      <c r="G2624" s="91">
        <v>0</v>
      </c>
      <c r="H2624" s="94">
        <v>0</v>
      </c>
      <c r="I2624" s="91">
        <v>0</v>
      </c>
      <c r="J2624" s="41"/>
      <c r="K2624" s="41">
        <v>43312</v>
      </c>
      <c r="L2624" s="69" t="s">
        <v>80</v>
      </c>
      <c r="M2624" s="69" t="s">
        <v>286</v>
      </c>
      <c r="N2624" s="95"/>
      <c r="P2624" t="s">
        <v>95</v>
      </c>
      <c r="Q2624" t="s">
        <v>110</v>
      </c>
      <c r="R2624" s="92" t="s">
        <v>69</v>
      </c>
      <c r="S2624" s="92" t="s">
        <v>115</v>
      </c>
      <c r="V2624" s="95">
        <v>43312</v>
      </c>
      <c r="W2624" s="92">
        <v>17070156</v>
      </c>
      <c r="X2624" s="90"/>
      <c r="Y2624" s="123"/>
      <c r="Z2624" s="30">
        <f t="shared" si="80"/>
        <v>6763.7822038320437</v>
      </c>
      <c r="AA2624" s="30">
        <f t="shared" si="81"/>
        <v>0</v>
      </c>
      <c r="AB2624" t="s">
        <v>457</v>
      </c>
    </row>
    <row r="2625" spans="1:28">
      <c r="A2625" t="s">
        <v>113</v>
      </c>
      <c r="C2625" s="92">
        <v>4615477907</v>
      </c>
      <c r="D2625" s="93">
        <v>19175</v>
      </c>
      <c r="F2625" s="91">
        <v>16</v>
      </c>
      <c r="G2625" s="91">
        <v>0</v>
      </c>
      <c r="H2625" s="94">
        <v>0</v>
      </c>
      <c r="I2625" s="91">
        <v>0</v>
      </c>
      <c r="J2625" s="41"/>
      <c r="K2625" s="41">
        <v>43312</v>
      </c>
      <c r="L2625" s="69" t="s">
        <v>80</v>
      </c>
      <c r="M2625" s="69" t="s">
        <v>286</v>
      </c>
      <c r="N2625" s="95"/>
      <c r="P2625" t="s">
        <v>95</v>
      </c>
      <c r="Q2625" t="s">
        <v>110</v>
      </c>
      <c r="R2625" s="92" t="s">
        <v>69</v>
      </c>
      <c r="S2625" s="92" t="s">
        <v>115</v>
      </c>
      <c r="V2625" s="95">
        <v>43312</v>
      </c>
      <c r="W2625" s="92">
        <v>17070156</v>
      </c>
      <c r="X2625" s="90"/>
      <c r="Y2625" s="123"/>
      <c r="Z2625" s="30">
        <f t="shared" si="80"/>
        <v>6763.7822038320437</v>
      </c>
      <c r="AA2625" s="30">
        <f t="shared" si="81"/>
        <v>0</v>
      </c>
      <c r="AB2625" t="s">
        <v>457</v>
      </c>
    </row>
    <row r="2626" spans="1:28">
      <c r="A2626" t="s">
        <v>113</v>
      </c>
      <c r="C2626" s="92">
        <v>4615477907</v>
      </c>
      <c r="D2626" s="93">
        <v>19175</v>
      </c>
      <c r="F2626" s="91">
        <v>16</v>
      </c>
      <c r="G2626" s="91">
        <v>0</v>
      </c>
      <c r="H2626" s="94">
        <v>0</v>
      </c>
      <c r="I2626" s="91">
        <v>0</v>
      </c>
      <c r="J2626" s="41"/>
      <c r="K2626" s="41">
        <v>43312</v>
      </c>
      <c r="L2626" s="69" t="s">
        <v>80</v>
      </c>
      <c r="M2626" s="69" t="s">
        <v>286</v>
      </c>
      <c r="N2626" s="95"/>
      <c r="P2626" t="s">
        <v>95</v>
      </c>
      <c r="Q2626" t="s">
        <v>110</v>
      </c>
      <c r="R2626" s="92" t="s">
        <v>69</v>
      </c>
      <c r="S2626" s="92" t="s">
        <v>115</v>
      </c>
      <c r="V2626" s="95">
        <v>43312</v>
      </c>
      <c r="W2626" s="92">
        <v>17070156</v>
      </c>
      <c r="X2626" s="90"/>
      <c r="Y2626" s="123"/>
      <c r="Z2626" s="30">
        <f t="shared" si="80"/>
        <v>6763.7822038320437</v>
      </c>
      <c r="AA2626" s="30">
        <f t="shared" si="81"/>
        <v>0</v>
      </c>
      <c r="AB2626" t="s">
        <v>457</v>
      </c>
    </row>
    <row r="2627" spans="1:28">
      <c r="A2627" t="s">
        <v>113</v>
      </c>
      <c r="C2627" s="92">
        <v>4615477907</v>
      </c>
      <c r="D2627" s="93">
        <v>19175</v>
      </c>
      <c r="F2627" s="91">
        <v>16</v>
      </c>
      <c r="G2627" s="91">
        <v>0</v>
      </c>
      <c r="H2627" s="94">
        <v>0</v>
      </c>
      <c r="I2627" s="91">
        <v>0</v>
      </c>
      <c r="J2627" s="41"/>
      <c r="K2627" s="41">
        <v>43312</v>
      </c>
      <c r="L2627" s="69" t="s">
        <v>80</v>
      </c>
      <c r="M2627" s="69" t="s">
        <v>286</v>
      </c>
      <c r="N2627" s="95"/>
      <c r="P2627" t="s">
        <v>95</v>
      </c>
      <c r="Q2627" t="s">
        <v>110</v>
      </c>
      <c r="R2627" s="92" t="s">
        <v>69</v>
      </c>
      <c r="S2627" s="92" t="s">
        <v>115</v>
      </c>
      <c r="V2627" s="95">
        <v>43312</v>
      </c>
      <c r="W2627" s="92">
        <v>17070156</v>
      </c>
      <c r="X2627" s="90"/>
      <c r="Y2627" s="123"/>
      <c r="Z2627" s="30">
        <f t="shared" ref="Z2627:Z2690" si="82">CONVERT(D2627,"kg","lbm")*F2627/100</f>
        <v>6763.7822038320437</v>
      </c>
      <c r="AA2627" s="30">
        <f t="shared" ref="AA2627:AA2690" si="83">CONVERT(D2627,"kg","lbm")*G2627/100</f>
        <v>0</v>
      </c>
      <c r="AB2627" t="s">
        <v>457</v>
      </c>
    </row>
    <row r="2628" spans="1:28">
      <c r="A2628" t="s">
        <v>113</v>
      </c>
      <c r="C2628" s="92">
        <v>4615477907</v>
      </c>
      <c r="D2628" s="93">
        <v>19175</v>
      </c>
      <c r="F2628" s="91">
        <v>16</v>
      </c>
      <c r="G2628" s="91">
        <v>0</v>
      </c>
      <c r="H2628" s="94">
        <v>0</v>
      </c>
      <c r="I2628" s="91">
        <v>0</v>
      </c>
      <c r="J2628" s="41"/>
      <c r="K2628" s="41">
        <v>43312</v>
      </c>
      <c r="L2628" s="69" t="s">
        <v>80</v>
      </c>
      <c r="M2628" s="69" t="s">
        <v>286</v>
      </c>
      <c r="N2628" s="95"/>
      <c r="P2628" t="s">
        <v>95</v>
      </c>
      <c r="Q2628" t="s">
        <v>110</v>
      </c>
      <c r="R2628" s="92" t="s">
        <v>69</v>
      </c>
      <c r="S2628" s="92" t="s">
        <v>115</v>
      </c>
      <c r="V2628" s="95">
        <v>43312</v>
      </c>
      <c r="W2628" s="92">
        <v>17070156</v>
      </c>
      <c r="X2628" s="90"/>
      <c r="Y2628" s="123"/>
      <c r="Z2628" s="30">
        <f t="shared" si="82"/>
        <v>6763.7822038320437</v>
      </c>
      <c r="AA2628" s="30">
        <f t="shared" si="83"/>
        <v>0</v>
      </c>
      <c r="AB2628" t="s">
        <v>457</v>
      </c>
    </row>
    <row r="2629" spans="1:28">
      <c r="A2629" t="s">
        <v>113</v>
      </c>
      <c r="C2629" s="92">
        <v>4615477907</v>
      </c>
      <c r="D2629" s="93">
        <v>19175</v>
      </c>
      <c r="F2629" s="91">
        <v>16</v>
      </c>
      <c r="G2629" s="91">
        <v>0</v>
      </c>
      <c r="H2629" s="94">
        <v>0</v>
      </c>
      <c r="I2629" s="91">
        <v>0</v>
      </c>
      <c r="J2629" s="41"/>
      <c r="K2629" s="41">
        <v>43312</v>
      </c>
      <c r="L2629" s="69" t="s">
        <v>80</v>
      </c>
      <c r="M2629" s="69" t="s">
        <v>286</v>
      </c>
      <c r="N2629" s="95"/>
      <c r="P2629" t="s">
        <v>95</v>
      </c>
      <c r="Q2629" t="s">
        <v>110</v>
      </c>
      <c r="R2629" s="92" t="s">
        <v>69</v>
      </c>
      <c r="S2629" s="92" t="s">
        <v>115</v>
      </c>
      <c r="V2629" s="95">
        <v>43312</v>
      </c>
      <c r="W2629" s="92">
        <v>17070156</v>
      </c>
      <c r="X2629" s="90"/>
      <c r="Y2629" s="123"/>
      <c r="Z2629" s="30">
        <f t="shared" si="82"/>
        <v>6763.7822038320437</v>
      </c>
      <c r="AA2629" s="30">
        <f t="shared" si="83"/>
        <v>0</v>
      </c>
      <c r="AB2629" t="s">
        <v>457</v>
      </c>
    </row>
    <row r="2630" spans="1:28">
      <c r="A2630" t="s">
        <v>113</v>
      </c>
      <c r="C2630" s="92">
        <v>4615477907</v>
      </c>
      <c r="D2630" s="93">
        <v>19175</v>
      </c>
      <c r="F2630" s="91">
        <v>16</v>
      </c>
      <c r="G2630" s="91">
        <v>0</v>
      </c>
      <c r="H2630" s="94">
        <v>0</v>
      </c>
      <c r="I2630" s="91">
        <v>0</v>
      </c>
      <c r="J2630" s="41"/>
      <c r="K2630" s="41">
        <v>43312</v>
      </c>
      <c r="L2630" s="69" t="s">
        <v>80</v>
      </c>
      <c r="M2630" s="69" t="s">
        <v>286</v>
      </c>
      <c r="N2630" s="95"/>
      <c r="P2630" t="s">
        <v>95</v>
      </c>
      <c r="Q2630" t="s">
        <v>110</v>
      </c>
      <c r="R2630" s="92" t="s">
        <v>69</v>
      </c>
      <c r="S2630" s="92" t="s">
        <v>115</v>
      </c>
      <c r="V2630" s="95">
        <v>43312</v>
      </c>
      <c r="W2630" s="92">
        <v>17070156</v>
      </c>
      <c r="X2630" s="90"/>
      <c r="Y2630" s="123"/>
      <c r="Z2630" s="30">
        <f t="shared" si="82"/>
        <v>6763.7822038320437</v>
      </c>
      <c r="AA2630" s="30">
        <f t="shared" si="83"/>
        <v>0</v>
      </c>
      <c r="AB2630" t="s">
        <v>457</v>
      </c>
    </row>
    <row r="2631" spans="1:28">
      <c r="A2631" t="s">
        <v>113</v>
      </c>
      <c r="C2631" s="92">
        <v>4615477907</v>
      </c>
      <c r="D2631" s="93">
        <v>19175</v>
      </c>
      <c r="F2631" s="91">
        <v>16</v>
      </c>
      <c r="G2631" s="91">
        <v>0</v>
      </c>
      <c r="H2631" s="94">
        <v>0</v>
      </c>
      <c r="I2631" s="91">
        <v>0</v>
      </c>
      <c r="J2631" s="41"/>
      <c r="K2631" s="41">
        <v>43312</v>
      </c>
      <c r="L2631" s="69" t="s">
        <v>80</v>
      </c>
      <c r="M2631" s="69" t="s">
        <v>286</v>
      </c>
      <c r="N2631" s="95"/>
      <c r="P2631" t="s">
        <v>95</v>
      </c>
      <c r="Q2631" t="s">
        <v>110</v>
      </c>
      <c r="R2631" s="92" t="s">
        <v>69</v>
      </c>
      <c r="S2631" s="92" t="s">
        <v>115</v>
      </c>
      <c r="V2631" s="95">
        <v>43312</v>
      </c>
      <c r="W2631" s="92">
        <v>17070156</v>
      </c>
      <c r="X2631" s="90"/>
      <c r="Y2631" s="123"/>
      <c r="Z2631" s="30">
        <f t="shared" si="82"/>
        <v>6763.7822038320437</v>
      </c>
      <c r="AA2631" s="30">
        <f t="shared" si="83"/>
        <v>0</v>
      </c>
      <c r="AB2631" t="s">
        <v>457</v>
      </c>
    </row>
    <row r="2632" spans="1:28">
      <c r="A2632" t="s">
        <v>113</v>
      </c>
      <c r="C2632" s="92">
        <v>4615477907</v>
      </c>
      <c r="D2632" s="93">
        <v>19175</v>
      </c>
      <c r="F2632" s="91">
        <v>16</v>
      </c>
      <c r="G2632" s="91">
        <v>0</v>
      </c>
      <c r="H2632" s="94">
        <v>0</v>
      </c>
      <c r="I2632" s="91">
        <v>0</v>
      </c>
      <c r="J2632" s="41"/>
      <c r="K2632" s="41">
        <v>43312</v>
      </c>
      <c r="L2632" s="69" t="s">
        <v>80</v>
      </c>
      <c r="M2632" s="69" t="s">
        <v>286</v>
      </c>
      <c r="N2632" s="95"/>
      <c r="P2632" t="s">
        <v>95</v>
      </c>
      <c r="Q2632" t="s">
        <v>110</v>
      </c>
      <c r="R2632" s="92" t="s">
        <v>69</v>
      </c>
      <c r="S2632" s="92" t="s">
        <v>115</v>
      </c>
      <c r="V2632" s="95">
        <v>43312</v>
      </c>
      <c r="W2632" s="92">
        <v>17070156</v>
      </c>
      <c r="X2632" s="90"/>
      <c r="Y2632" s="123"/>
      <c r="Z2632" s="30">
        <f t="shared" si="82"/>
        <v>6763.7822038320437</v>
      </c>
      <c r="AA2632" s="30">
        <f t="shared" si="83"/>
        <v>0</v>
      </c>
      <c r="AB2632" t="s">
        <v>457</v>
      </c>
    </row>
    <row r="2633" spans="1:28">
      <c r="A2633" t="s">
        <v>113</v>
      </c>
      <c r="C2633" s="92">
        <v>4615477907</v>
      </c>
      <c r="D2633" s="93">
        <v>19175</v>
      </c>
      <c r="F2633" s="91">
        <v>16</v>
      </c>
      <c r="G2633" s="91">
        <v>0</v>
      </c>
      <c r="H2633" s="94">
        <v>0</v>
      </c>
      <c r="I2633" s="91">
        <v>0</v>
      </c>
      <c r="J2633" s="41"/>
      <c r="K2633" s="41">
        <v>43312</v>
      </c>
      <c r="L2633" s="69" t="s">
        <v>80</v>
      </c>
      <c r="M2633" s="69" t="s">
        <v>286</v>
      </c>
      <c r="N2633" s="95"/>
      <c r="P2633" t="s">
        <v>95</v>
      </c>
      <c r="Q2633" t="s">
        <v>110</v>
      </c>
      <c r="R2633" s="92" t="s">
        <v>69</v>
      </c>
      <c r="S2633" s="92" t="s">
        <v>115</v>
      </c>
      <c r="V2633" s="95">
        <v>43312</v>
      </c>
      <c r="W2633" s="92">
        <v>17070156</v>
      </c>
      <c r="X2633" s="90"/>
      <c r="Y2633" s="123"/>
      <c r="Z2633" s="30">
        <f t="shared" si="82"/>
        <v>6763.7822038320437</v>
      </c>
      <c r="AA2633" s="30">
        <f t="shared" si="83"/>
        <v>0</v>
      </c>
      <c r="AB2633" t="s">
        <v>457</v>
      </c>
    </row>
    <row r="2634" spans="1:28">
      <c r="A2634" t="s">
        <v>113</v>
      </c>
      <c r="C2634" s="92">
        <v>4615477907</v>
      </c>
      <c r="D2634" s="93">
        <v>19175</v>
      </c>
      <c r="F2634" s="91">
        <v>16</v>
      </c>
      <c r="G2634" s="91">
        <v>0</v>
      </c>
      <c r="H2634" s="94">
        <v>0</v>
      </c>
      <c r="I2634" s="91">
        <v>0</v>
      </c>
      <c r="J2634" s="41"/>
      <c r="K2634" s="41">
        <v>43312</v>
      </c>
      <c r="L2634" s="69" t="s">
        <v>80</v>
      </c>
      <c r="M2634" s="69" t="s">
        <v>286</v>
      </c>
      <c r="N2634" s="95"/>
      <c r="P2634" t="s">
        <v>95</v>
      </c>
      <c r="Q2634" t="s">
        <v>110</v>
      </c>
      <c r="R2634" s="92" t="s">
        <v>69</v>
      </c>
      <c r="S2634" s="92" t="s">
        <v>115</v>
      </c>
      <c r="V2634" s="95">
        <v>43312</v>
      </c>
      <c r="W2634" s="92">
        <v>17070156</v>
      </c>
      <c r="X2634" s="90"/>
      <c r="Y2634" s="123"/>
      <c r="Z2634" s="30">
        <f t="shared" si="82"/>
        <v>6763.7822038320437</v>
      </c>
      <c r="AA2634" s="30">
        <f t="shared" si="83"/>
        <v>0</v>
      </c>
      <c r="AB2634" t="s">
        <v>457</v>
      </c>
    </row>
    <row r="2635" spans="1:28">
      <c r="A2635" t="s">
        <v>113</v>
      </c>
      <c r="C2635" s="92">
        <v>4615477907</v>
      </c>
      <c r="D2635" s="93">
        <v>19175</v>
      </c>
      <c r="F2635" s="91">
        <v>16</v>
      </c>
      <c r="G2635" s="91">
        <v>0</v>
      </c>
      <c r="H2635" s="94">
        <v>0</v>
      </c>
      <c r="I2635" s="91">
        <v>0</v>
      </c>
      <c r="J2635" s="41"/>
      <c r="K2635" s="41">
        <v>43312</v>
      </c>
      <c r="L2635" s="69" t="s">
        <v>80</v>
      </c>
      <c r="M2635" s="69" t="s">
        <v>286</v>
      </c>
      <c r="N2635" s="95"/>
      <c r="P2635" t="s">
        <v>95</v>
      </c>
      <c r="Q2635" t="s">
        <v>110</v>
      </c>
      <c r="R2635" s="92" t="s">
        <v>69</v>
      </c>
      <c r="S2635" s="92" t="s">
        <v>115</v>
      </c>
      <c r="V2635" s="95">
        <v>43312</v>
      </c>
      <c r="W2635" s="92">
        <v>17070156</v>
      </c>
      <c r="X2635" s="90"/>
      <c r="Y2635" s="123"/>
      <c r="Z2635" s="30">
        <f t="shared" si="82"/>
        <v>6763.7822038320437</v>
      </c>
      <c r="AA2635" s="30">
        <f t="shared" si="83"/>
        <v>0</v>
      </c>
      <c r="AB2635" t="s">
        <v>457</v>
      </c>
    </row>
    <row r="2636" spans="1:28">
      <c r="A2636" t="s">
        <v>113</v>
      </c>
      <c r="C2636" s="92">
        <v>4615477907</v>
      </c>
      <c r="D2636" s="93">
        <v>19175</v>
      </c>
      <c r="F2636" s="91">
        <v>16</v>
      </c>
      <c r="G2636" s="91">
        <v>0</v>
      </c>
      <c r="H2636" s="94">
        <v>0</v>
      </c>
      <c r="I2636" s="91">
        <v>0</v>
      </c>
      <c r="J2636" s="41"/>
      <c r="K2636" s="41">
        <v>43312</v>
      </c>
      <c r="L2636" s="69" t="s">
        <v>80</v>
      </c>
      <c r="M2636" s="69" t="s">
        <v>286</v>
      </c>
      <c r="N2636" s="95"/>
      <c r="P2636" t="s">
        <v>95</v>
      </c>
      <c r="Q2636" t="s">
        <v>110</v>
      </c>
      <c r="R2636" s="92" t="s">
        <v>69</v>
      </c>
      <c r="S2636" s="92" t="s">
        <v>115</v>
      </c>
      <c r="V2636" s="95">
        <v>43312</v>
      </c>
      <c r="W2636" s="92">
        <v>17070156</v>
      </c>
      <c r="X2636" s="90"/>
      <c r="Y2636" s="123"/>
      <c r="Z2636" s="30">
        <f t="shared" si="82"/>
        <v>6763.7822038320437</v>
      </c>
      <c r="AA2636" s="30">
        <f t="shared" si="83"/>
        <v>0</v>
      </c>
      <c r="AB2636" t="s">
        <v>457</v>
      </c>
    </row>
    <row r="2637" spans="1:28">
      <c r="A2637" t="s">
        <v>113</v>
      </c>
      <c r="C2637" s="92">
        <v>4615477907</v>
      </c>
      <c r="D2637" s="93">
        <v>19175</v>
      </c>
      <c r="F2637" s="91">
        <v>16</v>
      </c>
      <c r="G2637" s="91">
        <v>0</v>
      </c>
      <c r="H2637" s="94">
        <v>0</v>
      </c>
      <c r="I2637" s="91">
        <v>0</v>
      </c>
      <c r="J2637" s="41"/>
      <c r="K2637" s="41">
        <v>43312</v>
      </c>
      <c r="L2637" s="69" t="s">
        <v>80</v>
      </c>
      <c r="M2637" s="69" t="s">
        <v>286</v>
      </c>
      <c r="N2637" s="95"/>
      <c r="P2637" t="s">
        <v>95</v>
      </c>
      <c r="Q2637" t="s">
        <v>110</v>
      </c>
      <c r="R2637" s="92" t="s">
        <v>69</v>
      </c>
      <c r="S2637" s="92" t="s">
        <v>115</v>
      </c>
      <c r="V2637" s="95">
        <v>43312</v>
      </c>
      <c r="W2637" s="92">
        <v>17070156</v>
      </c>
      <c r="X2637" s="90"/>
      <c r="Y2637" s="123"/>
      <c r="Z2637" s="30">
        <f t="shared" si="82"/>
        <v>6763.7822038320437</v>
      </c>
      <c r="AA2637" s="30">
        <f t="shared" si="83"/>
        <v>0</v>
      </c>
      <c r="AB2637" t="s">
        <v>457</v>
      </c>
    </row>
    <row r="2638" spans="1:28">
      <c r="A2638" t="s">
        <v>113</v>
      </c>
      <c r="C2638" s="92">
        <v>4615477907</v>
      </c>
      <c r="D2638" s="93">
        <v>19175</v>
      </c>
      <c r="F2638" s="91">
        <v>16</v>
      </c>
      <c r="G2638" s="91">
        <v>0</v>
      </c>
      <c r="H2638" s="94">
        <v>0</v>
      </c>
      <c r="I2638" s="91">
        <v>0</v>
      </c>
      <c r="J2638" s="41"/>
      <c r="K2638" s="41">
        <v>43312</v>
      </c>
      <c r="L2638" s="69" t="s">
        <v>80</v>
      </c>
      <c r="M2638" s="69" t="s">
        <v>286</v>
      </c>
      <c r="N2638" s="95"/>
      <c r="P2638" t="s">
        <v>95</v>
      </c>
      <c r="Q2638" t="s">
        <v>110</v>
      </c>
      <c r="R2638" s="92" t="s">
        <v>69</v>
      </c>
      <c r="S2638" s="92" t="s">
        <v>115</v>
      </c>
      <c r="V2638" s="95">
        <v>43312</v>
      </c>
      <c r="W2638" s="92">
        <v>17070156</v>
      </c>
      <c r="X2638" s="90"/>
      <c r="Y2638" s="123"/>
      <c r="Z2638" s="30">
        <f t="shared" si="82"/>
        <v>6763.7822038320437</v>
      </c>
      <c r="AA2638" s="30">
        <f t="shared" si="83"/>
        <v>0</v>
      </c>
      <c r="AB2638" t="s">
        <v>457</v>
      </c>
    </row>
    <row r="2639" spans="1:28">
      <c r="A2639" t="s">
        <v>113</v>
      </c>
      <c r="C2639" s="92">
        <v>4615477907</v>
      </c>
      <c r="D2639" s="93">
        <v>19175</v>
      </c>
      <c r="F2639" s="91">
        <v>16</v>
      </c>
      <c r="G2639" s="91">
        <v>0</v>
      </c>
      <c r="H2639" s="94">
        <v>0</v>
      </c>
      <c r="I2639" s="91">
        <v>0</v>
      </c>
      <c r="J2639" s="41"/>
      <c r="K2639" s="41">
        <v>43312</v>
      </c>
      <c r="L2639" s="69" t="s">
        <v>80</v>
      </c>
      <c r="M2639" s="69" t="s">
        <v>286</v>
      </c>
      <c r="N2639" s="95"/>
      <c r="P2639" t="s">
        <v>95</v>
      </c>
      <c r="Q2639" t="s">
        <v>110</v>
      </c>
      <c r="R2639" s="92" t="s">
        <v>69</v>
      </c>
      <c r="S2639" s="92" t="s">
        <v>115</v>
      </c>
      <c r="V2639" s="95">
        <v>43312</v>
      </c>
      <c r="W2639" s="92">
        <v>17070156</v>
      </c>
      <c r="X2639" s="90"/>
      <c r="Y2639" s="123"/>
      <c r="Z2639" s="30">
        <f t="shared" si="82"/>
        <v>6763.7822038320437</v>
      </c>
      <c r="AA2639" s="30">
        <f t="shared" si="83"/>
        <v>0</v>
      </c>
      <c r="AB2639" t="s">
        <v>457</v>
      </c>
    </row>
    <row r="2640" spans="1:28">
      <c r="A2640" t="s">
        <v>113</v>
      </c>
      <c r="C2640" s="92">
        <v>4615477907</v>
      </c>
      <c r="D2640" s="93">
        <v>19175</v>
      </c>
      <c r="F2640" s="91">
        <v>16</v>
      </c>
      <c r="G2640" s="91">
        <v>0</v>
      </c>
      <c r="H2640" s="94">
        <v>0</v>
      </c>
      <c r="I2640" s="91">
        <v>0</v>
      </c>
      <c r="J2640" s="41"/>
      <c r="K2640" s="41">
        <v>43312</v>
      </c>
      <c r="L2640" s="69" t="s">
        <v>80</v>
      </c>
      <c r="M2640" s="69" t="s">
        <v>286</v>
      </c>
      <c r="N2640" s="95"/>
      <c r="P2640" t="s">
        <v>95</v>
      </c>
      <c r="Q2640" t="s">
        <v>110</v>
      </c>
      <c r="R2640" s="92" t="s">
        <v>69</v>
      </c>
      <c r="S2640" s="92" t="s">
        <v>115</v>
      </c>
      <c r="V2640" s="95">
        <v>43312</v>
      </c>
      <c r="W2640" s="92">
        <v>17070156</v>
      </c>
      <c r="X2640" s="90"/>
      <c r="Y2640" s="123"/>
      <c r="Z2640" s="30">
        <f t="shared" si="82"/>
        <v>6763.7822038320437</v>
      </c>
      <c r="AA2640" s="30">
        <f t="shared" si="83"/>
        <v>0</v>
      </c>
      <c r="AB2640" t="s">
        <v>457</v>
      </c>
    </row>
    <row r="2641" spans="1:28">
      <c r="A2641" t="s">
        <v>113</v>
      </c>
      <c r="C2641" s="92">
        <v>4615477907</v>
      </c>
      <c r="D2641" s="93">
        <v>19175</v>
      </c>
      <c r="F2641" s="91">
        <v>16</v>
      </c>
      <c r="G2641" s="91">
        <v>0</v>
      </c>
      <c r="H2641" s="94">
        <v>0</v>
      </c>
      <c r="I2641" s="91">
        <v>0</v>
      </c>
      <c r="J2641" s="41"/>
      <c r="K2641" s="41">
        <v>43312</v>
      </c>
      <c r="L2641" s="69" t="s">
        <v>80</v>
      </c>
      <c r="M2641" s="69" t="s">
        <v>286</v>
      </c>
      <c r="N2641" s="95"/>
      <c r="P2641" t="s">
        <v>95</v>
      </c>
      <c r="Q2641" t="s">
        <v>110</v>
      </c>
      <c r="R2641" s="92" t="s">
        <v>69</v>
      </c>
      <c r="S2641" s="92" t="s">
        <v>115</v>
      </c>
      <c r="V2641" s="95">
        <v>43312</v>
      </c>
      <c r="W2641" s="92">
        <v>17070156</v>
      </c>
      <c r="X2641" s="90"/>
      <c r="Y2641" s="123"/>
      <c r="Z2641" s="30">
        <f t="shared" si="82"/>
        <v>6763.7822038320437</v>
      </c>
      <c r="AA2641" s="30">
        <f t="shared" si="83"/>
        <v>0</v>
      </c>
      <c r="AB2641" t="s">
        <v>457</v>
      </c>
    </row>
    <row r="2642" spans="1:28">
      <c r="A2642" t="s">
        <v>113</v>
      </c>
      <c r="C2642" s="92">
        <v>4615477907</v>
      </c>
      <c r="D2642" s="93">
        <v>19175</v>
      </c>
      <c r="F2642" s="91">
        <v>16</v>
      </c>
      <c r="G2642" s="91">
        <v>0</v>
      </c>
      <c r="H2642" s="94">
        <v>0</v>
      </c>
      <c r="I2642" s="91">
        <v>0</v>
      </c>
      <c r="J2642" s="41"/>
      <c r="K2642" s="41">
        <v>43312</v>
      </c>
      <c r="L2642" s="69" t="s">
        <v>80</v>
      </c>
      <c r="M2642" s="69" t="s">
        <v>286</v>
      </c>
      <c r="N2642" s="95"/>
      <c r="P2642" t="s">
        <v>95</v>
      </c>
      <c r="Q2642" t="s">
        <v>110</v>
      </c>
      <c r="R2642" s="92" t="s">
        <v>69</v>
      </c>
      <c r="S2642" s="92" t="s">
        <v>115</v>
      </c>
      <c r="V2642" s="95">
        <v>43312</v>
      </c>
      <c r="W2642" s="92">
        <v>17070156</v>
      </c>
      <c r="X2642" s="90"/>
      <c r="Y2642" s="123"/>
      <c r="Z2642" s="30">
        <f t="shared" si="82"/>
        <v>6763.7822038320437</v>
      </c>
      <c r="AA2642" s="30">
        <f t="shared" si="83"/>
        <v>0</v>
      </c>
      <c r="AB2642" t="s">
        <v>457</v>
      </c>
    </row>
    <row r="2643" spans="1:28">
      <c r="A2643" t="s">
        <v>113</v>
      </c>
      <c r="C2643" s="92">
        <v>4615457810</v>
      </c>
      <c r="D2643" s="93">
        <v>21000</v>
      </c>
      <c r="F2643" s="91">
        <v>16</v>
      </c>
      <c r="G2643" s="91">
        <v>0</v>
      </c>
      <c r="H2643" s="91">
        <v>0</v>
      </c>
      <c r="I2643" s="91">
        <v>0</v>
      </c>
      <c r="J2643" s="41"/>
      <c r="K2643" s="41">
        <v>43312</v>
      </c>
      <c r="L2643" s="69" t="s">
        <v>80</v>
      </c>
      <c r="M2643" s="69" t="s">
        <v>286</v>
      </c>
      <c r="N2643" s="95"/>
      <c r="P2643" t="s">
        <v>95</v>
      </c>
      <c r="Q2643" t="s">
        <v>110</v>
      </c>
      <c r="R2643" s="92" t="s">
        <v>69</v>
      </c>
      <c r="S2643" s="92" t="s">
        <v>115</v>
      </c>
      <c r="V2643" s="95">
        <v>43312</v>
      </c>
      <c r="W2643" s="92" t="s">
        <v>364</v>
      </c>
      <c r="X2643" s="90" t="s">
        <v>117</v>
      </c>
      <c r="Y2643" s="123"/>
      <c r="Z2643" s="30">
        <f t="shared" si="82"/>
        <v>7407.5320094118861</v>
      </c>
      <c r="AA2643" s="30">
        <f t="shared" si="83"/>
        <v>0</v>
      </c>
      <c r="AB2643" t="s">
        <v>457</v>
      </c>
    </row>
    <row r="2644" spans="1:28">
      <c r="A2644" t="s">
        <v>113</v>
      </c>
      <c r="C2644" s="92">
        <v>4615457810</v>
      </c>
      <c r="D2644" s="93">
        <v>21000</v>
      </c>
      <c r="F2644" s="91">
        <v>16</v>
      </c>
      <c r="G2644" s="91">
        <v>0</v>
      </c>
      <c r="H2644" s="91">
        <v>0</v>
      </c>
      <c r="I2644" s="91">
        <v>0</v>
      </c>
      <c r="J2644" s="41"/>
      <c r="K2644" s="41">
        <v>43312</v>
      </c>
      <c r="L2644" s="69" t="s">
        <v>80</v>
      </c>
      <c r="M2644" s="69" t="s">
        <v>286</v>
      </c>
      <c r="N2644" s="95"/>
      <c r="P2644" t="s">
        <v>95</v>
      </c>
      <c r="Q2644" t="s">
        <v>110</v>
      </c>
      <c r="R2644" s="92" t="s">
        <v>69</v>
      </c>
      <c r="S2644" s="92" t="s">
        <v>115</v>
      </c>
      <c r="V2644" s="95">
        <v>43312</v>
      </c>
      <c r="W2644" s="92" t="s">
        <v>364</v>
      </c>
      <c r="X2644" s="90" t="s">
        <v>117</v>
      </c>
      <c r="Y2644" s="123"/>
      <c r="Z2644" s="30">
        <f t="shared" si="82"/>
        <v>7407.5320094118861</v>
      </c>
      <c r="AA2644" s="30">
        <f t="shared" si="83"/>
        <v>0</v>
      </c>
      <c r="AB2644" t="s">
        <v>457</v>
      </c>
    </row>
    <row r="2645" spans="1:28">
      <c r="A2645" t="s">
        <v>113</v>
      </c>
      <c r="C2645" s="92">
        <v>4615457810</v>
      </c>
      <c r="D2645" s="93">
        <v>21000</v>
      </c>
      <c r="F2645" s="91">
        <v>16</v>
      </c>
      <c r="G2645" s="91">
        <v>0</v>
      </c>
      <c r="H2645" s="91">
        <v>0</v>
      </c>
      <c r="I2645" s="91">
        <v>0</v>
      </c>
      <c r="J2645" s="41"/>
      <c r="K2645" s="41">
        <v>43312</v>
      </c>
      <c r="L2645" s="69" t="s">
        <v>80</v>
      </c>
      <c r="M2645" s="69" t="s">
        <v>286</v>
      </c>
      <c r="N2645" s="95"/>
      <c r="P2645" t="s">
        <v>95</v>
      </c>
      <c r="Q2645" t="s">
        <v>110</v>
      </c>
      <c r="R2645" s="92" t="s">
        <v>69</v>
      </c>
      <c r="S2645" s="92" t="s">
        <v>115</v>
      </c>
      <c r="V2645" s="95">
        <v>43312</v>
      </c>
      <c r="W2645" s="92" t="s">
        <v>364</v>
      </c>
      <c r="X2645" s="90" t="s">
        <v>117</v>
      </c>
      <c r="Y2645" s="123"/>
      <c r="Z2645" s="30">
        <f t="shared" si="82"/>
        <v>7407.5320094118861</v>
      </c>
      <c r="AA2645" s="30">
        <f t="shared" si="83"/>
        <v>0</v>
      </c>
      <c r="AB2645" t="s">
        <v>457</v>
      </c>
    </row>
    <row r="2646" spans="1:28">
      <c r="A2646" t="s">
        <v>113</v>
      </c>
      <c r="C2646" s="92">
        <v>4615457810</v>
      </c>
      <c r="D2646" s="93">
        <v>21000</v>
      </c>
      <c r="F2646" s="91">
        <v>16</v>
      </c>
      <c r="G2646" s="91">
        <v>0</v>
      </c>
      <c r="H2646" s="91">
        <v>0</v>
      </c>
      <c r="I2646" s="91">
        <v>0</v>
      </c>
      <c r="J2646" s="41"/>
      <c r="K2646" s="41">
        <v>43312</v>
      </c>
      <c r="L2646" s="69" t="s">
        <v>80</v>
      </c>
      <c r="M2646" s="69" t="s">
        <v>286</v>
      </c>
      <c r="N2646" s="95"/>
      <c r="P2646" t="s">
        <v>95</v>
      </c>
      <c r="Q2646" t="s">
        <v>110</v>
      </c>
      <c r="R2646" s="92" t="s">
        <v>69</v>
      </c>
      <c r="S2646" s="92" t="s">
        <v>115</v>
      </c>
      <c r="V2646" s="95">
        <v>43312</v>
      </c>
      <c r="W2646" s="92" t="s">
        <v>364</v>
      </c>
      <c r="X2646" s="90" t="s">
        <v>117</v>
      </c>
      <c r="Y2646" s="123"/>
      <c r="Z2646" s="30">
        <f t="shared" si="82"/>
        <v>7407.5320094118861</v>
      </c>
      <c r="AA2646" s="30">
        <f t="shared" si="83"/>
        <v>0</v>
      </c>
      <c r="AB2646" t="s">
        <v>457</v>
      </c>
    </row>
    <row r="2647" spans="1:28">
      <c r="A2647" t="s">
        <v>113</v>
      </c>
      <c r="C2647" s="92">
        <v>4615457810</v>
      </c>
      <c r="D2647" s="93">
        <v>21000</v>
      </c>
      <c r="F2647" s="91">
        <v>16</v>
      </c>
      <c r="G2647" s="91">
        <v>0</v>
      </c>
      <c r="H2647" s="91">
        <v>0</v>
      </c>
      <c r="I2647" s="91">
        <v>0</v>
      </c>
      <c r="J2647" s="41"/>
      <c r="K2647" s="41">
        <v>43312</v>
      </c>
      <c r="L2647" s="69" t="s">
        <v>80</v>
      </c>
      <c r="M2647" s="69" t="s">
        <v>286</v>
      </c>
      <c r="N2647" s="95"/>
      <c r="P2647" t="s">
        <v>95</v>
      </c>
      <c r="Q2647" t="s">
        <v>110</v>
      </c>
      <c r="R2647" s="92" t="s">
        <v>69</v>
      </c>
      <c r="S2647" s="92" t="s">
        <v>115</v>
      </c>
      <c r="V2647" s="95">
        <v>43312</v>
      </c>
      <c r="W2647" s="92" t="s">
        <v>364</v>
      </c>
      <c r="X2647" s="90" t="s">
        <v>117</v>
      </c>
      <c r="Y2647" s="123"/>
      <c r="Z2647" s="30">
        <f t="shared" si="82"/>
        <v>7407.5320094118861</v>
      </c>
      <c r="AA2647" s="30">
        <f t="shared" si="83"/>
        <v>0</v>
      </c>
      <c r="AB2647" t="s">
        <v>457</v>
      </c>
    </row>
    <row r="2648" spans="1:28">
      <c r="A2648" t="s">
        <v>113</v>
      </c>
      <c r="C2648" s="92">
        <v>4615457810</v>
      </c>
      <c r="D2648" s="93">
        <v>21000</v>
      </c>
      <c r="F2648" s="91">
        <v>16</v>
      </c>
      <c r="G2648" s="91">
        <v>0</v>
      </c>
      <c r="H2648" s="91">
        <v>0</v>
      </c>
      <c r="I2648" s="91">
        <v>0</v>
      </c>
      <c r="J2648" s="41"/>
      <c r="K2648" s="41">
        <v>43312</v>
      </c>
      <c r="L2648" s="69" t="s">
        <v>80</v>
      </c>
      <c r="M2648" s="69" t="s">
        <v>286</v>
      </c>
      <c r="N2648" s="95"/>
      <c r="P2648" t="s">
        <v>95</v>
      </c>
      <c r="Q2648" t="s">
        <v>110</v>
      </c>
      <c r="R2648" s="92" t="s">
        <v>69</v>
      </c>
      <c r="S2648" s="92" t="s">
        <v>115</v>
      </c>
      <c r="V2648" s="95">
        <v>43312</v>
      </c>
      <c r="W2648" s="92" t="s">
        <v>364</v>
      </c>
      <c r="X2648" s="90" t="s">
        <v>117</v>
      </c>
      <c r="Y2648" s="123"/>
      <c r="Z2648" s="30">
        <f t="shared" si="82"/>
        <v>7407.5320094118861</v>
      </c>
      <c r="AA2648" s="30">
        <f t="shared" si="83"/>
        <v>0</v>
      </c>
      <c r="AB2648" t="s">
        <v>457</v>
      </c>
    </row>
    <row r="2649" spans="1:28">
      <c r="A2649" t="s">
        <v>113</v>
      </c>
      <c r="C2649" s="92">
        <v>4615457810</v>
      </c>
      <c r="D2649" s="93">
        <v>21000</v>
      </c>
      <c r="F2649" s="91">
        <v>16</v>
      </c>
      <c r="G2649" s="91">
        <v>0</v>
      </c>
      <c r="H2649" s="91">
        <v>0</v>
      </c>
      <c r="I2649" s="91">
        <v>0</v>
      </c>
      <c r="J2649" s="41"/>
      <c r="K2649" s="41">
        <v>43312</v>
      </c>
      <c r="L2649" s="69" t="s">
        <v>80</v>
      </c>
      <c r="M2649" s="69" t="s">
        <v>286</v>
      </c>
      <c r="N2649" s="95"/>
      <c r="P2649" t="s">
        <v>95</v>
      </c>
      <c r="Q2649" t="s">
        <v>110</v>
      </c>
      <c r="R2649" s="92" t="s">
        <v>69</v>
      </c>
      <c r="S2649" s="92" t="s">
        <v>115</v>
      </c>
      <c r="V2649" s="95">
        <v>43312</v>
      </c>
      <c r="W2649" s="92" t="s">
        <v>364</v>
      </c>
      <c r="X2649" s="90" t="s">
        <v>117</v>
      </c>
      <c r="Y2649" s="123"/>
      <c r="Z2649" s="30">
        <f t="shared" si="82"/>
        <v>7407.5320094118861</v>
      </c>
      <c r="AA2649" s="30">
        <f t="shared" si="83"/>
        <v>0</v>
      </c>
      <c r="AB2649" t="s">
        <v>457</v>
      </c>
    </row>
    <row r="2650" spans="1:28">
      <c r="A2650" t="s">
        <v>113</v>
      </c>
      <c r="C2650" s="92">
        <v>4615457810</v>
      </c>
      <c r="D2650" s="93">
        <v>21000</v>
      </c>
      <c r="F2650" s="91">
        <v>16</v>
      </c>
      <c r="G2650" s="91">
        <v>0</v>
      </c>
      <c r="H2650" s="91">
        <v>0</v>
      </c>
      <c r="I2650" s="91">
        <v>0</v>
      </c>
      <c r="J2650" s="41"/>
      <c r="K2650" s="41">
        <v>43312</v>
      </c>
      <c r="L2650" s="69" t="s">
        <v>80</v>
      </c>
      <c r="M2650" s="69" t="s">
        <v>286</v>
      </c>
      <c r="N2650" s="95"/>
      <c r="P2650" t="s">
        <v>95</v>
      </c>
      <c r="Q2650" t="s">
        <v>110</v>
      </c>
      <c r="R2650" s="92" t="s">
        <v>69</v>
      </c>
      <c r="S2650" s="92" t="s">
        <v>115</v>
      </c>
      <c r="V2650" s="95">
        <v>43312</v>
      </c>
      <c r="W2650" s="92" t="s">
        <v>364</v>
      </c>
      <c r="X2650" s="90" t="s">
        <v>117</v>
      </c>
      <c r="Y2650" s="123"/>
      <c r="Z2650" s="30">
        <f t="shared" si="82"/>
        <v>7407.5320094118861</v>
      </c>
      <c r="AA2650" s="30">
        <f t="shared" si="83"/>
        <v>0</v>
      </c>
      <c r="AB2650" t="s">
        <v>457</v>
      </c>
    </row>
    <row r="2651" spans="1:28">
      <c r="A2651" t="s">
        <v>113</v>
      </c>
      <c r="C2651" s="92">
        <v>4615457810</v>
      </c>
      <c r="D2651" s="93">
        <v>21000</v>
      </c>
      <c r="F2651" s="91">
        <v>16</v>
      </c>
      <c r="G2651" s="91">
        <v>0</v>
      </c>
      <c r="H2651" s="91">
        <v>0</v>
      </c>
      <c r="I2651" s="91">
        <v>0</v>
      </c>
      <c r="J2651" s="41"/>
      <c r="K2651" s="41">
        <v>43312</v>
      </c>
      <c r="L2651" s="69" t="s">
        <v>80</v>
      </c>
      <c r="M2651" s="69" t="s">
        <v>286</v>
      </c>
      <c r="N2651" s="95"/>
      <c r="P2651" t="s">
        <v>95</v>
      </c>
      <c r="Q2651" t="s">
        <v>110</v>
      </c>
      <c r="R2651" s="92" t="s">
        <v>69</v>
      </c>
      <c r="S2651" s="92" t="s">
        <v>115</v>
      </c>
      <c r="V2651" s="95">
        <v>43312</v>
      </c>
      <c r="W2651" s="92" t="s">
        <v>364</v>
      </c>
      <c r="X2651" s="90" t="s">
        <v>117</v>
      </c>
      <c r="Y2651" s="123"/>
      <c r="Z2651" s="30">
        <f t="shared" si="82"/>
        <v>7407.5320094118861</v>
      </c>
      <c r="AA2651" s="30">
        <f t="shared" si="83"/>
        <v>0</v>
      </c>
      <c r="AB2651" t="s">
        <v>457</v>
      </c>
    </row>
    <row r="2652" spans="1:28">
      <c r="A2652" t="s">
        <v>113</v>
      </c>
      <c r="C2652" s="92">
        <v>4615494125</v>
      </c>
      <c r="D2652" s="93">
        <v>21000</v>
      </c>
      <c r="F2652" s="106">
        <v>16</v>
      </c>
      <c r="G2652" s="96">
        <v>0</v>
      </c>
      <c r="H2652" s="94">
        <v>0</v>
      </c>
      <c r="I2652" s="91">
        <v>0</v>
      </c>
      <c r="J2652" s="41"/>
      <c r="K2652" s="41">
        <v>43312</v>
      </c>
      <c r="L2652" s="69" t="s">
        <v>80</v>
      </c>
      <c r="M2652" s="69" t="s">
        <v>286</v>
      </c>
      <c r="N2652" s="95"/>
      <c r="P2652" t="s">
        <v>95</v>
      </c>
      <c r="Q2652" t="s">
        <v>110</v>
      </c>
      <c r="R2652" s="92" t="s">
        <v>69</v>
      </c>
      <c r="S2652" s="92" t="s">
        <v>115</v>
      </c>
      <c r="V2652" s="95">
        <v>43312</v>
      </c>
      <c r="W2652" s="92" t="s">
        <v>365</v>
      </c>
      <c r="X2652" s="90" t="s">
        <v>124</v>
      </c>
      <c r="Y2652" s="123"/>
      <c r="Z2652" s="30">
        <f t="shared" si="82"/>
        <v>7407.5320094118861</v>
      </c>
      <c r="AA2652" s="30">
        <f t="shared" si="83"/>
        <v>0</v>
      </c>
      <c r="AB2652" t="s">
        <v>457</v>
      </c>
    </row>
    <row r="2653" spans="1:28">
      <c r="A2653" t="s">
        <v>113</v>
      </c>
      <c r="C2653" s="92">
        <v>4615494125</v>
      </c>
      <c r="D2653" s="93">
        <v>21000</v>
      </c>
      <c r="F2653" s="106">
        <v>16</v>
      </c>
      <c r="G2653" s="96">
        <v>0</v>
      </c>
      <c r="H2653" s="94">
        <v>0</v>
      </c>
      <c r="I2653" s="91">
        <v>0</v>
      </c>
      <c r="J2653" s="41"/>
      <c r="K2653" s="41">
        <v>43312</v>
      </c>
      <c r="L2653" s="69" t="s">
        <v>80</v>
      </c>
      <c r="M2653" s="69" t="s">
        <v>286</v>
      </c>
      <c r="N2653" s="95"/>
      <c r="P2653" t="s">
        <v>95</v>
      </c>
      <c r="Q2653" t="s">
        <v>110</v>
      </c>
      <c r="R2653" s="92" t="s">
        <v>69</v>
      </c>
      <c r="S2653" s="92" t="s">
        <v>115</v>
      </c>
      <c r="V2653" s="95">
        <v>43312</v>
      </c>
      <c r="W2653" s="92" t="s">
        <v>365</v>
      </c>
      <c r="X2653" s="90" t="s">
        <v>124</v>
      </c>
      <c r="Y2653" s="123"/>
      <c r="Z2653" s="30">
        <f t="shared" si="82"/>
        <v>7407.5320094118861</v>
      </c>
      <c r="AA2653" s="30">
        <f t="shared" si="83"/>
        <v>0</v>
      </c>
      <c r="AB2653" t="s">
        <v>457</v>
      </c>
    </row>
    <row r="2654" spans="1:28">
      <c r="A2654" t="s">
        <v>113</v>
      </c>
      <c r="C2654" s="92">
        <v>4615494125</v>
      </c>
      <c r="D2654" s="93">
        <v>21000</v>
      </c>
      <c r="F2654" s="106">
        <v>16</v>
      </c>
      <c r="G2654" s="96">
        <v>0</v>
      </c>
      <c r="H2654" s="94">
        <v>0</v>
      </c>
      <c r="I2654" s="91">
        <v>0</v>
      </c>
      <c r="J2654" s="41"/>
      <c r="K2654" s="41">
        <v>43312</v>
      </c>
      <c r="L2654" s="69" t="s">
        <v>80</v>
      </c>
      <c r="M2654" s="69" t="s">
        <v>286</v>
      </c>
      <c r="N2654" s="95"/>
      <c r="P2654" t="s">
        <v>95</v>
      </c>
      <c r="Q2654" t="s">
        <v>110</v>
      </c>
      <c r="R2654" s="92" t="s">
        <v>69</v>
      </c>
      <c r="S2654" s="92" t="s">
        <v>115</v>
      </c>
      <c r="V2654" s="95">
        <v>43312</v>
      </c>
      <c r="W2654" s="92" t="s">
        <v>365</v>
      </c>
      <c r="X2654" s="90" t="s">
        <v>124</v>
      </c>
      <c r="Y2654" s="123"/>
      <c r="Z2654" s="30">
        <f t="shared" si="82"/>
        <v>7407.5320094118861</v>
      </c>
      <c r="AA2654" s="30">
        <f t="shared" si="83"/>
        <v>0</v>
      </c>
      <c r="AB2654" t="s">
        <v>457</v>
      </c>
    </row>
    <row r="2655" spans="1:28">
      <c r="A2655" t="s">
        <v>113</v>
      </c>
      <c r="C2655" s="92">
        <v>4615494125</v>
      </c>
      <c r="D2655" s="93">
        <v>21000</v>
      </c>
      <c r="F2655" s="106">
        <v>16</v>
      </c>
      <c r="G2655" s="96">
        <v>0</v>
      </c>
      <c r="H2655" s="94">
        <v>0</v>
      </c>
      <c r="I2655" s="91">
        <v>0</v>
      </c>
      <c r="J2655" s="41"/>
      <c r="K2655" s="41">
        <v>43312</v>
      </c>
      <c r="L2655" s="69" t="s">
        <v>80</v>
      </c>
      <c r="M2655" s="69" t="s">
        <v>286</v>
      </c>
      <c r="N2655" s="95"/>
      <c r="P2655" t="s">
        <v>95</v>
      </c>
      <c r="Q2655" t="s">
        <v>110</v>
      </c>
      <c r="R2655" s="92" t="s">
        <v>69</v>
      </c>
      <c r="S2655" s="92" t="s">
        <v>115</v>
      </c>
      <c r="V2655" s="95">
        <v>43312</v>
      </c>
      <c r="W2655" s="92" t="s">
        <v>365</v>
      </c>
      <c r="X2655" s="90" t="s">
        <v>124</v>
      </c>
      <c r="Y2655" s="123"/>
      <c r="Z2655" s="30">
        <f t="shared" si="82"/>
        <v>7407.5320094118861</v>
      </c>
      <c r="AA2655" s="30">
        <f t="shared" si="83"/>
        <v>0</v>
      </c>
      <c r="AB2655" t="s">
        <v>457</v>
      </c>
    </row>
    <row r="2656" spans="1:28">
      <c r="A2656" t="s">
        <v>113</v>
      </c>
      <c r="C2656" s="92">
        <v>4615494125</v>
      </c>
      <c r="D2656" s="93">
        <v>21000</v>
      </c>
      <c r="F2656" s="106">
        <v>16</v>
      </c>
      <c r="G2656" s="96">
        <v>0</v>
      </c>
      <c r="H2656" s="94">
        <v>0</v>
      </c>
      <c r="I2656" s="91">
        <v>0</v>
      </c>
      <c r="J2656" s="41"/>
      <c r="K2656" s="41">
        <v>43312</v>
      </c>
      <c r="L2656" s="69" t="s">
        <v>80</v>
      </c>
      <c r="M2656" s="69" t="s">
        <v>286</v>
      </c>
      <c r="N2656" s="95"/>
      <c r="P2656" t="s">
        <v>95</v>
      </c>
      <c r="Q2656" t="s">
        <v>110</v>
      </c>
      <c r="R2656" s="92" t="s">
        <v>69</v>
      </c>
      <c r="S2656" s="92" t="s">
        <v>115</v>
      </c>
      <c r="V2656" s="95">
        <v>43312</v>
      </c>
      <c r="W2656" s="92" t="s">
        <v>365</v>
      </c>
      <c r="X2656" s="90" t="s">
        <v>124</v>
      </c>
      <c r="Y2656" s="123"/>
      <c r="Z2656" s="30">
        <f t="shared" si="82"/>
        <v>7407.5320094118861</v>
      </c>
      <c r="AA2656" s="30">
        <f t="shared" si="83"/>
        <v>0</v>
      </c>
      <c r="AB2656" t="s">
        <v>457</v>
      </c>
    </row>
    <row r="2657" spans="1:28">
      <c r="A2657" t="s">
        <v>113</v>
      </c>
      <c r="C2657" s="92">
        <v>4615494125</v>
      </c>
      <c r="D2657" s="93">
        <v>21000</v>
      </c>
      <c r="F2657" s="106">
        <v>16</v>
      </c>
      <c r="G2657" s="96">
        <v>0</v>
      </c>
      <c r="H2657" s="94">
        <v>0</v>
      </c>
      <c r="I2657" s="91">
        <v>0</v>
      </c>
      <c r="J2657" s="41"/>
      <c r="K2657" s="41">
        <v>43312</v>
      </c>
      <c r="L2657" s="69" t="s">
        <v>80</v>
      </c>
      <c r="M2657" s="69" t="s">
        <v>286</v>
      </c>
      <c r="N2657" s="95"/>
      <c r="P2657" t="s">
        <v>95</v>
      </c>
      <c r="Q2657" t="s">
        <v>110</v>
      </c>
      <c r="R2657" s="92" t="s">
        <v>69</v>
      </c>
      <c r="S2657" s="92" t="s">
        <v>115</v>
      </c>
      <c r="V2657" s="95">
        <v>43312</v>
      </c>
      <c r="W2657" s="92" t="s">
        <v>365</v>
      </c>
      <c r="X2657" s="90" t="s">
        <v>124</v>
      </c>
      <c r="Y2657" s="123"/>
      <c r="Z2657" s="30">
        <f t="shared" si="82"/>
        <v>7407.5320094118861</v>
      </c>
      <c r="AA2657" s="30">
        <f t="shared" si="83"/>
        <v>0</v>
      </c>
      <c r="AB2657" t="s">
        <v>457</v>
      </c>
    </row>
    <row r="2658" spans="1:28">
      <c r="A2658" t="s">
        <v>113</v>
      </c>
      <c r="C2658" s="92">
        <v>4615494125</v>
      </c>
      <c r="D2658" s="93">
        <v>21000</v>
      </c>
      <c r="F2658" s="106">
        <v>16</v>
      </c>
      <c r="G2658" s="96">
        <v>0</v>
      </c>
      <c r="H2658" s="94">
        <v>0</v>
      </c>
      <c r="I2658" s="91">
        <v>0</v>
      </c>
      <c r="J2658" s="41"/>
      <c r="K2658" s="41">
        <v>43312</v>
      </c>
      <c r="L2658" s="69" t="s">
        <v>80</v>
      </c>
      <c r="M2658" s="69" t="s">
        <v>286</v>
      </c>
      <c r="N2658" s="95"/>
      <c r="P2658" t="s">
        <v>95</v>
      </c>
      <c r="Q2658" t="s">
        <v>110</v>
      </c>
      <c r="R2658" s="92" t="s">
        <v>69</v>
      </c>
      <c r="S2658" s="92" t="s">
        <v>115</v>
      </c>
      <c r="V2658" s="95">
        <v>43312</v>
      </c>
      <c r="W2658" s="92" t="s">
        <v>365</v>
      </c>
      <c r="X2658" s="90" t="s">
        <v>124</v>
      </c>
      <c r="Y2658" s="123"/>
      <c r="Z2658" s="30">
        <f t="shared" si="82"/>
        <v>7407.5320094118861</v>
      </c>
      <c r="AA2658" s="30">
        <f t="shared" si="83"/>
        <v>0</v>
      </c>
      <c r="AB2658" t="s">
        <v>457</v>
      </c>
    </row>
    <row r="2659" spans="1:28">
      <c r="A2659" t="s">
        <v>113</v>
      </c>
      <c r="C2659" s="92">
        <v>4615494125</v>
      </c>
      <c r="D2659" s="93">
        <v>21000</v>
      </c>
      <c r="F2659" s="106">
        <v>16</v>
      </c>
      <c r="G2659" s="96">
        <v>0</v>
      </c>
      <c r="H2659" s="94">
        <v>0</v>
      </c>
      <c r="I2659" s="91">
        <v>0</v>
      </c>
      <c r="J2659" s="41"/>
      <c r="K2659" s="41">
        <v>43312</v>
      </c>
      <c r="L2659" s="69" t="s">
        <v>80</v>
      </c>
      <c r="M2659" s="69" t="s">
        <v>286</v>
      </c>
      <c r="N2659" s="95"/>
      <c r="P2659" t="s">
        <v>95</v>
      </c>
      <c r="Q2659" t="s">
        <v>110</v>
      </c>
      <c r="R2659" s="92" t="s">
        <v>69</v>
      </c>
      <c r="S2659" s="92" t="s">
        <v>115</v>
      </c>
      <c r="V2659" s="95">
        <v>43312</v>
      </c>
      <c r="W2659" s="92" t="s">
        <v>365</v>
      </c>
      <c r="X2659" s="90" t="s">
        <v>124</v>
      </c>
      <c r="Y2659" s="123"/>
      <c r="Z2659" s="30">
        <f t="shared" si="82"/>
        <v>7407.5320094118861</v>
      </c>
      <c r="AA2659" s="30">
        <f t="shared" si="83"/>
        <v>0</v>
      </c>
      <c r="AB2659" t="s">
        <v>457</v>
      </c>
    </row>
    <row r="2660" spans="1:28">
      <c r="A2660" t="s">
        <v>113</v>
      </c>
      <c r="C2660" s="92">
        <v>4615494125</v>
      </c>
      <c r="D2660" s="93">
        <v>21000</v>
      </c>
      <c r="F2660" s="106">
        <v>16</v>
      </c>
      <c r="G2660" s="96">
        <v>0</v>
      </c>
      <c r="H2660" s="94">
        <v>0</v>
      </c>
      <c r="I2660" s="91">
        <v>0</v>
      </c>
      <c r="J2660" s="41"/>
      <c r="K2660" s="41">
        <v>43312</v>
      </c>
      <c r="L2660" s="69" t="s">
        <v>80</v>
      </c>
      <c r="M2660" s="69" t="s">
        <v>286</v>
      </c>
      <c r="N2660" s="95"/>
      <c r="P2660" t="s">
        <v>95</v>
      </c>
      <c r="Q2660" t="s">
        <v>110</v>
      </c>
      <c r="R2660" s="92" t="s">
        <v>69</v>
      </c>
      <c r="S2660" s="92" t="s">
        <v>115</v>
      </c>
      <c r="V2660" s="95">
        <v>43312</v>
      </c>
      <c r="W2660" s="92" t="s">
        <v>365</v>
      </c>
      <c r="X2660" s="90" t="s">
        <v>124</v>
      </c>
      <c r="Y2660" s="123"/>
      <c r="Z2660" s="30">
        <f t="shared" si="82"/>
        <v>7407.5320094118861</v>
      </c>
      <c r="AA2660" s="30">
        <f t="shared" si="83"/>
        <v>0</v>
      </c>
      <c r="AB2660" t="s">
        <v>457</v>
      </c>
    </row>
    <row r="2661" spans="1:28">
      <c r="A2661" t="s">
        <v>113</v>
      </c>
      <c r="C2661" s="92">
        <v>4615448973</v>
      </c>
      <c r="D2661" s="93">
        <v>19175</v>
      </c>
      <c r="F2661" s="91">
        <v>16</v>
      </c>
      <c r="G2661" s="91">
        <v>0</v>
      </c>
      <c r="H2661" s="91">
        <v>0</v>
      </c>
      <c r="I2661" s="91">
        <v>0</v>
      </c>
      <c r="J2661" s="41"/>
      <c r="K2661" s="41">
        <v>43312</v>
      </c>
      <c r="L2661" s="69" t="s">
        <v>80</v>
      </c>
      <c r="M2661" s="69" t="s">
        <v>286</v>
      </c>
      <c r="N2661" s="95"/>
      <c r="P2661" t="s">
        <v>95</v>
      </c>
      <c r="Q2661" t="s">
        <v>133</v>
      </c>
      <c r="R2661" s="92" t="s">
        <v>69</v>
      </c>
      <c r="S2661" s="92" t="s">
        <v>115</v>
      </c>
      <c r="V2661" s="95">
        <v>43312</v>
      </c>
      <c r="W2661" s="92">
        <v>2088622</v>
      </c>
      <c r="X2661" s="90"/>
      <c r="Y2661" s="123"/>
      <c r="Z2661" s="30">
        <f t="shared" si="82"/>
        <v>6763.7822038320437</v>
      </c>
      <c r="AA2661" s="30">
        <f t="shared" si="83"/>
        <v>0</v>
      </c>
      <c r="AB2661" t="s">
        <v>457</v>
      </c>
    </row>
    <row r="2662" spans="1:28">
      <c r="A2662" t="s">
        <v>113</v>
      </c>
      <c r="C2662" s="92">
        <v>4615448973</v>
      </c>
      <c r="D2662" s="93">
        <v>19175</v>
      </c>
      <c r="F2662" s="91">
        <v>16</v>
      </c>
      <c r="G2662" s="91">
        <v>0</v>
      </c>
      <c r="H2662" s="91">
        <v>0</v>
      </c>
      <c r="I2662" s="91">
        <v>0</v>
      </c>
      <c r="J2662" s="41"/>
      <c r="K2662" s="41">
        <v>43312</v>
      </c>
      <c r="L2662" s="69" t="s">
        <v>80</v>
      </c>
      <c r="M2662" s="69" t="s">
        <v>286</v>
      </c>
      <c r="N2662" s="95"/>
      <c r="P2662" t="s">
        <v>95</v>
      </c>
      <c r="Q2662" t="s">
        <v>133</v>
      </c>
      <c r="R2662" s="92" t="s">
        <v>69</v>
      </c>
      <c r="S2662" s="92" t="s">
        <v>115</v>
      </c>
      <c r="V2662" s="95">
        <v>43312</v>
      </c>
      <c r="W2662" s="92">
        <v>2088622</v>
      </c>
      <c r="X2662" s="90"/>
      <c r="Y2662" s="123"/>
      <c r="Z2662" s="30">
        <f t="shared" si="82"/>
        <v>6763.7822038320437</v>
      </c>
      <c r="AA2662" s="30">
        <f t="shared" si="83"/>
        <v>0</v>
      </c>
      <c r="AB2662" t="s">
        <v>457</v>
      </c>
    </row>
    <row r="2663" spans="1:28">
      <c r="A2663" t="s">
        <v>113</v>
      </c>
      <c r="C2663" s="92">
        <v>4615448973</v>
      </c>
      <c r="D2663" s="93">
        <v>19175</v>
      </c>
      <c r="F2663" s="91">
        <v>16</v>
      </c>
      <c r="G2663" s="91">
        <v>0</v>
      </c>
      <c r="H2663" s="91">
        <v>0</v>
      </c>
      <c r="I2663" s="91">
        <v>0</v>
      </c>
      <c r="J2663" s="41"/>
      <c r="K2663" s="41">
        <v>43312</v>
      </c>
      <c r="L2663" s="69" t="s">
        <v>80</v>
      </c>
      <c r="M2663" s="69" t="s">
        <v>286</v>
      </c>
      <c r="N2663" s="95"/>
      <c r="P2663" t="s">
        <v>95</v>
      </c>
      <c r="Q2663" t="s">
        <v>133</v>
      </c>
      <c r="R2663" s="92" t="s">
        <v>69</v>
      </c>
      <c r="S2663" s="92" t="s">
        <v>115</v>
      </c>
      <c r="V2663" s="95">
        <v>43312</v>
      </c>
      <c r="W2663" s="92">
        <v>2088622</v>
      </c>
      <c r="X2663" s="90"/>
      <c r="Y2663" s="123"/>
      <c r="Z2663" s="30">
        <f t="shared" si="82"/>
        <v>6763.7822038320437</v>
      </c>
      <c r="AA2663" s="30">
        <f t="shared" si="83"/>
        <v>0</v>
      </c>
      <c r="AB2663" t="s">
        <v>457</v>
      </c>
    </row>
    <row r="2664" spans="1:28">
      <c r="A2664" t="s">
        <v>113</v>
      </c>
      <c r="C2664" s="92">
        <v>4615448973</v>
      </c>
      <c r="D2664" s="93">
        <v>19175</v>
      </c>
      <c r="F2664" s="91">
        <v>16</v>
      </c>
      <c r="G2664" s="91">
        <v>0</v>
      </c>
      <c r="H2664" s="91">
        <v>0</v>
      </c>
      <c r="I2664" s="91">
        <v>0</v>
      </c>
      <c r="J2664" s="41"/>
      <c r="K2664" s="41">
        <v>43312</v>
      </c>
      <c r="L2664" s="69" t="s">
        <v>80</v>
      </c>
      <c r="M2664" s="69" t="s">
        <v>286</v>
      </c>
      <c r="N2664" s="95"/>
      <c r="P2664" t="s">
        <v>95</v>
      </c>
      <c r="Q2664" t="s">
        <v>133</v>
      </c>
      <c r="R2664" s="92" t="s">
        <v>69</v>
      </c>
      <c r="S2664" s="92" t="s">
        <v>115</v>
      </c>
      <c r="V2664" s="95">
        <v>43312</v>
      </c>
      <c r="W2664" s="92">
        <v>2088622</v>
      </c>
      <c r="X2664" s="90"/>
      <c r="Y2664" s="123"/>
      <c r="Z2664" s="30">
        <f t="shared" si="82"/>
        <v>6763.7822038320437</v>
      </c>
      <c r="AA2664" s="30">
        <f t="shared" si="83"/>
        <v>0</v>
      </c>
      <c r="AB2664" t="s">
        <v>457</v>
      </c>
    </row>
    <row r="2665" spans="1:28">
      <c r="A2665" t="s">
        <v>113</v>
      </c>
      <c r="C2665" s="92">
        <v>4615448973</v>
      </c>
      <c r="D2665" s="93">
        <v>19175</v>
      </c>
      <c r="F2665" s="91">
        <v>16</v>
      </c>
      <c r="G2665" s="91">
        <v>0</v>
      </c>
      <c r="H2665" s="91">
        <v>0</v>
      </c>
      <c r="I2665" s="91">
        <v>0</v>
      </c>
      <c r="J2665" s="41"/>
      <c r="K2665" s="41">
        <v>43312</v>
      </c>
      <c r="L2665" s="69" t="s">
        <v>80</v>
      </c>
      <c r="M2665" s="69" t="s">
        <v>286</v>
      </c>
      <c r="N2665" s="95"/>
      <c r="P2665" t="s">
        <v>95</v>
      </c>
      <c r="Q2665" t="s">
        <v>133</v>
      </c>
      <c r="R2665" s="92" t="s">
        <v>69</v>
      </c>
      <c r="S2665" s="92" t="s">
        <v>115</v>
      </c>
      <c r="V2665" s="95">
        <v>43312</v>
      </c>
      <c r="W2665" s="92">
        <v>2088622</v>
      </c>
      <c r="X2665" s="90"/>
      <c r="Y2665" s="123"/>
      <c r="Z2665" s="30">
        <f t="shared" si="82"/>
        <v>6763.7822038320437</v>
      </c>
      <c r="AA2665" s="30">
        <f t="shared" si="83"/>
        <v>0</v>
      </c>
      <c r="AB2665" t="s">
        <v>457</v>
      </c>
    </row>
    <row r="2666" spans="1:28">
      <c r="A2666" t="s">
        <v>113</v>
      </c>
      <c r="C2666" s="92">
        <v>4615448973</v>
      </c>
      <c r="D2666" s="93">
        <v>19175</v>
      </c>
      <c r="F2666" s="91">
        <v>16</v>
      </c>
      <c r="G2666" s="91">
        <v>0</v>
      </c>
      <c r="H2666" s="91">
        <v>0</v>
      </c>
      <c r="I2666" s="91">
        <v>0</v>
      </c>
      <c r="J2666" s="41"/>
      <c r="K2666" s="41">
        <v>43312</v>
      </c>
      <c r="L2666" s="69" t="s">
        <v>80</v>
      </c>
      <c r="M2666" s="69" t="s">
        <v>286</v>
      </c>
      <c r="N2666" s="95"/>
      <c r="P2666" t="s">
        <v>95</v>
      </c>
      <c r="Q2666" t="s">
        <v>133</v>
      </c>
      <c r="R2666" s="92" t="s">
        <v>69</v>
      </c>
      <c r="S2666" s="92" t="s">
        <v>115</v>
      </c>
      <c r="V2666" s="95">
        <v>43312</v>
      </c>
      <c r="W2666" s="92">
        <v>2088622</v>
      </c>
      <c r="X2666" s="90"/>
      <c r="Y2666" s="123"/>
      <c r="Z2666" s="30">
        <f t="shared" si="82"/>
        <v>6763.7822038320437</v>
      </c>
      <c r="AA2666" s="30">
        <f t="shared" si="83"/>
        <v>0</v>
      </c>
      <c r="AB2666" t="s">
        <v>457</v>
      </c>
    </row>
    <row r="2667" spans="1:28">
      <c r="A2667" t="s">
        <v>113</v>
      </c>
      <c r="C2667" s="92">
        <v>4615448973</v>
      </c>
      <c r="D2667" s="93">
        <v>19175</v>
      </c>
      <c r="F2667" s="91">
        <v>16</v>
      </c>
      <c r="G2667" s="91">
        <v>0</v>
      </c>
      <c r="H2667" s="91">
        <v>0</v>
      </c>
      <c r="I2667" s="91">
        <v>0</v>
      </c>
      <c r="J2667" s="41"/>
      <c r="K2667" s="41">
        <v>43312</v>
      </c>
      <c r="L2667" s="69" t="s">
        <v>80</v>
      </c>
      <c r="M2667" s="69" t="s">
        <v>286</v>
      </c>
      <c r="N2667" s="95"/>
      <c r="P2667" t="s">
        <v>95</v>
      </c>
      <c r="Q2667" t="s">
        <v>133</v>
      </c>
      <c r="R2667" s="92" t="s">
        <v>69</v>
      </c>
      <c r="S2667" s="92" t="s">
        <v>115</v>
      </c>
      <c r="V2667" s="95">
        <v>43312</v>
      </c>
      <c r="W2667" s="92">
        <v>2088622</v>
      </c>
      <c r="X2667" s="90"/>
      <c r="Y2667" s="123"/>
      <c r="Z2667" s="30">
        <f t="shared" si="82"/>
        <v>6763.7822038320437</v>
      </c>
      <c r="AA2667" s="30">
        <f t="shared" si="83"/>
        <v>0</v>
      </c>
      <c r="AB2667" t="s">
        <v>457</v>
      </c>
    </row>
    <row r="2668" spans="1:28">
      <c r="A2668" t="s">
        <v>113</v>
      </c>
      <c r="C2668" s="92">
        <v>4615448973</v>
      </c>
      <c r="D2668" s="93">
        <v>19175</v>
      </c>
      <c r="F2668" s="91">
        <v>16</v>
      </c>
      <c r="G2668" s="91">
        <v>0</v>
      </c>
      <c r="H2668" s="91">
        <v>0</v>
      </c>
      <c r="I2668" s="91">
        <v>0</v>
      </c>
      <c r="J2668" s="41"/>
      <c r="K2668" s="41">
        <v>43312</v>
      </c>
      <c r="L2668" s="69" t="s">
        <v>80</v>
      </c>
      <c r="M2668" s="69" t="s">
        <v>286</v>
      </c>
      <c r="N2668" s="95"/>
      <c r="P2668" t="s">
        <v>95</v>
      </c>
      <c r="Q2668" t="s">
        <v>133</v>
      </c>
      <c r="R2668" s="92" t="s">
        <v>69</v>
      </c>
      <c r="S2668" s="92" t="s">
        <v>115</v>
      </c>
      <c r="V2668" s="95">
        <v>43312</v>
      </c>
      <c r="W2668" s="92">
        <v>2088622</v>
      </c>
      <c r="X2668" s="90"/>
      <c r="Y2668" s="123"/>
      <c r="Z2668" s="30">
        <f t="shared" si="82"/>
        <v>6763.7822038320437</v>
      </c>
      <c r="AA2668" s="30">
        <f t="shared" si="83"/>
        <v>0</v>
      </c>
      <c r="AB2668" t="s">
        <v>457</v>
      </c>
    </row>
    <row r="2669" spans="1:28">
      <c r="A2669" t="s">
        <v>113</v>
      </c>
      <c r="C2669" s="92">
        <v>4615448973</v>
      </c>
      <c r="D2669" s="93">
        <v>19175</v>
      </c>
      <c r="F2669" s="91">
        <v>16</v>
      </c>
      <c r="G2669" s="91">
        <v>0</v>
      </c>
      <c r="H2669" s="91">
        <v>0</v>
      </c>
      <c r="I2669" s="91">
        <v>0</v>
      </c>
      <c r="J2669" s="41"/>
      <c r="K2669" s="41">
        <v>43312</v>
      </c>
      <c r="L2669" s="69" t="s">
        <v>80</v>
      </c>
      <c r="M2669" s="69" t="s">
        <v>286</v>
      </c>
      <c r="N2669" s="95"/>
      <c r="P2669" t="s">
        <v>95</v>
      </c>
      <c r="Q2669" t="s">
        <v>133</v>
      </c>
      <c r="R2669" s="92" t="s">
        <v>69</v>
      </c>
      <c r="S2669" s="92" t="s">
        <v>115</v>
      </c>
      <c r="V2669" s="95">
        <v>43312</v>
      </c>
      <c r="W2669" s="92">
        <v>2088622</v>
      </c>
      <c r="X2669" s="90"/>
      <c r="Y2669" s="123"/>
      <c r="Z2669" s="30">
        <f t="shared" si="82"/>
        <v>6763.7822038320437</v>
      </c>
      <c r="AA2669" s="30">
        <f t="shared" si="83"/>
        <v>0</v>
      </c>
      <c r="AB2669" t="s">
        <v>457</v>
      </c>
    </row>
    <row r="2670" spans="1:28">
      <c r="A2670" t="s">
        <v>113</v>
      </c>
      <c r="C2670" s="92">
        <v>4615448973</v>
      </c>
      <c r="D2670" s="93">
        <v>19175</v>
      </c>
      <c r="F2670" s="91">
        <v>16</v>
      </c>
      <c r="G2670" s="91">
        <v>0</v>
      </c>
      <c r="H2670" s="91">
        <v>0</v>
      </c>
      <c r="I2670" s="91">
        <v>0</v>
      </c>
      <c r="J2670" s="41"/>
      <c r="K2670" s="41">
        <v>43312</v>
      </c>
      <c r="L2670" s="69" t="s">
        <v>80</v>
      </c>
      <c r="M2670" s="69" t="s">
        <v>286</v>
      </c>
      <c r="N2670" s="95"/>
      <c r="P2670" t="s">
        <v>95</v>
      </c>
      <c r="Q2670" t="s">
        <v>133</v>
      </c>
      <c r="R2670" s="92" t="s">
        <v>69</v>
      </c>
      <c r="S2670" s="92" t="s">
        <v>115</v>
      </c>
      <c r="V2670" s="95">
        <v>43312</v>
      </c>
      <c r="W2670" s="92">
        <v>2088622</v>
      </c>
      <c r="X2670" s="90"/>
      <c r="Y2670" s="123"/>
      <c r="Z2670" s="30">
        <f t="shared" si="82"/>
        <v>6763.7822038320437</v>
      </c>
      <c r="AA2670" s="30">
        <f t="shared" si="83"/>
        <v>0</v>
      </c>
      <c r="AB2670" t="s">
        <v>457</v>
      </c>
    </row>
    <row r="2671" spans="1:28">
      <c r="A2671" t="s">
        <v>113</v>
      </c>
      <c r="C2671" s="92">
        <v>4615474669</v>
      </c>
      <c r="D2671" s="93">
        <v>19175</v>
      </c>
      <c r="F2671" s="94">
        <v>16</v>
      </c>
      <c r="G2671" s="96">
        <v>5</v>
      </c>
      <c r="H2671" s="91">
        <v>0</v>
      </c>
      <c r="I2671" s="91">
        <v>0</v>
      </c>
      <c r="J2671" s="41"/>
      <c r="K2671" s="41">
        <v>43312</v>
      </c>
      <c r="L2671" s="69" t="s">
        <v>80</v>
      </c>
      <c r="M2671" s="69" t="s">
        <v>286</v>
      </c>
      <c r="N2671" s="98"/>
      <c r="P2671" t="s">
        <v>95</v>
      </c>
      <c r="Q2671" t="s">
        <v>133</v>
      </c>
      <c r="R2671" s="92" t="s">
        <v>69</v>
      </c>
      <c r="S2671" s="92" t="s">
        <v>115</v>
      </c>
      <c r="V2671" s="95">
        <v>43312</v>
      </c>
      <c r="W2671" s="92" t="s">
        <v>366</v>
      </c>
      <c r="X2671" s="90"/>
      <c r="Y2671" s="123"/>
      <c r="Z2671" s="30">
        <f t="shared" si="82"/>
        <v>6763.7822038320437</v>
      </c>
      <c r="AA2671" s="30">
        <f t="shared" si="83"/>
        <v>2113.6819386975139</v>
      </c>
      <c r="AB2671" t="s">
        <v>457</v>
      </c>
    </row>
    <row r="2672" spans="1:28">
      <c r="A2672" t="s">
        <v>113</v>
      </c>
      <c r="C2672" s="92">
        <v>4615474669</v>
      </c>
      <c r="D2672" s="93">
        <v>19175</v>
      </c>
      <c r="F2672" s="94">
        <v>16</v>
      </c>
      <c r="G2672" s="96">
        <v>5</v>
      </c>
      <c r="H2672" s="91">
        <v>0</v>
      </c>
      <c r="I2672" s="91">
        <v>0</v>
      </c>
      <c r="J2672" s="41"/>
      <c r="K2672" s="41">
        <v>43312</v>
      </c>
      <c r="L2672" s="69" t="s">
        <v>80</v>
      </c>
      <c r="M2672" s="69" t="s">
        <v>286</v>
      </c>
      <c r="N2672" s="98"/>
      <c r="P2672" t="s">
        <v>95</v>
      </c>
      <c r="Q2672" t="s">
        <v>133</v>
      </c>
      <c r="R2672" s="92" t="s">
        <v>69</v>
      </c>
      <c r="S2672" s="92" t="s">
        <v>115</v>
      </c>
      <c r="V2672" s="95">
        <v>43312</v>
      </c>
      <c r="W2672" s="92" t="s">
        <v>366</v>
      </c>
      <c r="X2672" s="90"/>
      <c r="Y2672" s="123"/>
      <c r="Z2672" s="30">
        <f t="shared" si="82"/>
        <v>6763.7822038320437</v>
      </c>
      <c r="AA2672" s="30">
        <f t="shared" si="83"/>
        <v>2113.6819386975139</v>
      </c>
      <c r="AB2672" t="s">
        <v>457</v>
      </c>
    </row>
    <row r="2673" spans="1:28">
      <c r="A2673" t="s">
        <v>113</v>
      </c>
      <c r="C2673" s="92">
        <v>4615474669</v>
      </c>
      <c r="D2673" s="93">
        <v>19175</v>
      </c>
      <c r="F2673" s="94">
        <v>16</v>
      </c>
      <c r="G2673" s="96">
        <v>5</v>
      </c>
      <c r="H2673" s="91">
        <v>0</v>
      </c>
      <c r="I2673" s="91">
        <v>0</v>
      </c>
      <c r="J2673" s="41"/>
      <c r="K2673" s="41">
        <v>43312</v>
      </c>
      <c r="L2673" s="69" t="s">
        <v>80</v>
      </c>
      <c r="M2673" s="69" t="s">
        <v>286</v>
      </c>
      <c r="N2673" s="98"/>
      <c r="P2673" t="s">
        <v>95</v>
      </c>
      <c r="Q2673" t="s">
        <v>133</v>
      </c>
      <c r="R2673" s="92" t="s">
        <v>69</v>
      </c>
      <c r="S2673" s="92" t="s">
        <v>115</v>
      </c>
      <c r="V2673" s="95">
        <v>43312</v>
      </c>
      <c r="W2673" s="92" t="s">
        <v>366</v>
      </c>
      <c r="X2673" s="90"/>
      <c r="Y2673" s="123"/>
      <c r="Z2673" s="30">
        <f t="shared" si="82"/>
        <v>6763.7822038320437</v>
      </c>
      <c r="AA2673" s="30">
        <f t="shared" si="83"/>
        <v>2113.6819386975139</v>
      </c>
      <c r="AB2673" t="s">
        <v>457</v>
      </c>
    </row>
    <row r="2674" spans="1:28">
      <c r="A2674" t="s">
        <v>113</v>
      </c>
      <c r="C2674" s="92">
        <v>4615474669</v>
      </c>
      <c r="D2674" s="93">
        <v>19175</v>
      </c>
      <c r="F2674" s="94">
        <v>16</v>
      </c>
      <c r="G2674" s="96">
        <v>5</v>
      </c>
      <c r="H2674" s="91">
        <v>0</v>
      </c>
      <c r="I2674" s="91">
        <v>0</v>
      </c>
      <c r="J2674" s="41"/>
      <c r="K2674" s="41">
        <v>43312</v>
      </c>
      <c r="L2674" s="69" t="s">
        <v>80</v>
      </c>
      <c r="M2674" s="69" t="s">
        <v>286</v>
      </c>
      <c r="N2674" s="98"/>
      <c r="P2674" t="s">
        <v>95</v>
      </c>
      <c r="Q2674" t="s">
        <v>133</v>
      </c>
      <c r="R2674" s="92" t="s">
        <v>69</v>
      </c>
      <c r="S2674" s="92" t="s">
        <v>115</v>
      </c>
      <c r="V2674" s="95">
        <v>43312</v>
      </c>
      <c r="W2674" s="92" t="s">
        <v>366</v>
      </c>
      <c r="X2674" s="90"/>
      <c r="Y2674" s="123"/>
      <c r="Z2674" s="30">
        <f t="shared" si="82"/>
        <v>6763.7822038320437</v>
      </c>
      <c r="AA2674" s="30">
        <f t="shared" si="83"/>
        <v>2113.6819386975139</v>
      </c>
      <c r="AB2674" t="s">
        <v>457</v>
      </c>
    </row>
    <row r="2675" spans="1:28">
      <c r="A2675" t="s">
        <v>113</v>
      </c>
      <c r="C2675" s="92">
        <v>4615474669</v>
      </c>
      <c r="D2675" s="93">
        <v>19175</v>
      </c>
      <c r="F2675" s="94">
        <v>16</v>
      </c>
      <c r="G2675" s="96">
        <v>5</v>
      </c>
      <c r="H2675" s="91">
        <v>0</v>
      </c>
      <c r="I2675" s="91">
        <v>0</v>
      </c>
      <c r="J2675" s="41"/>
      <c r="K2675" s="41">
        <v>43312</v>
      </c>
      <c r="L2675" s="69" t="s">
        <v>80</v>
      </c>
      <c r="M2675" s="69" t="s">
        <v>286</v>
      </c>
      <c r="N2675" s="98"/>
      <c r="P2675" t="s">
        <v>95</v>
      </c>
      <c r="Q2675" t="s">
        <v>133</v>
      </c>
      <c r="R2675" s="92" t="s">
        <v>69</v>
      </c>
      <c r="S2675" s="92" t="s">
        <v>115</v>
      </c>
      <c r="V2675" s="95">
        <v>43312</v>
      </c>
      <c r="W2675" s="92" t="s">
        <v>366</v>
      </c>
      <c r="X2675" s="90"/>
      <c r="Y2675" s="123"/>
      <c r="Z2675" s="30">
        <f t="shared" si="82"/>
        <v>6763.7822038320437</v>
      </c>
      <c r="AA2675" s="30">
        <f t="shared" si="83"/>
        <v>2113.6819386975139</v>
      </c>
      <c r="AB2675" t="s">
        <v>457</v>
      </c>
    </row>
    <row r="2676" spans="1:28">
      <c r="A2676" t="s">
        <v>113</v>
      </c>
      <c r="C2676" s="92">
        <v>4615474669</v>
      </c>
      <c r="D2676" s="93">
        <v>19175</v>
      </c>
      <c r="F2676" s="94">
        <v>16</v>
      </c>
      <c r="G2676" s="96">
        <v>5</v>
      </c>
      <c r="H2676" s="91">
        <v>0</v>
      </c>
      <c r="I2676" s="91">
        <v>0</v>
      </c>
      <c r="J2676" s="41"/>
      <c r="K2676" s="41">
        <v>43312</v>
      </c>
      <c r="L2676" s="69" t="s">
        <v>80</v>
      </c>
      <c r="M2676" s="69" t="s">
        <v>286</v>
      </c>
      <c r="N2676" s="98"/>
      <c r="P2676" t="s">
        <v>95</v>
      </c>
      <c r="Q2676" t="s">
        <v>133</v>
      </c>
      <c r="R2676" s="92" t="s">
        <v>69</v>
      </c>
      <c r="S2676" s="92" t="s">
        <v>115</v>
      </c>
      <c r="V2676" s="95">
        <v>43312</v>
      </c>
      <c r="W2676" s="92" t="s">
        <v>366</v>
      </c>
      <c r="X2676" s="90"/>
      <c r="Y2676" s="123"/>
      <c r="Z2676" s="30">
        <f t="shared" si="82"/>
        <v>6763.7822038320437</v>
      </c>
      <c r="AA2676" s="30">
        <f t="shared" si="83"/>
        <v>2113.6819386975139</v>
      </c>
      <c r="AB2676" t="s">
        <v>457</v>
      </c>
    </row>
    <row r="2677" spans="1:28">
      <c r="A2677" t="s">
        <v>113</v>
      </c>
      <c r="C2677" s="92">
        <v>4615474669</v>
      </c>
      <c r="D2677" s="93">
        <v>19175</v>
      </c>
      <c r="F2677" s="94">
        <v>16</v>
      </c>
      <c r="G2677" s="96">
        <v>5</v>
      </c>
      <c r="H2677" s="91">
        <v>0</v>
      </c>
      <c r="I2677" s="91">
        <v>0</v>
      </c>
      <c r="J2677" s="41"/>
      <c r="K2677" s="41">
        <v>43312</v>
      </c>
      <c r="L2677" s="69" t="s">
        <v>80</v>
      </c>
      <c r="M2677" s="69" t="s">
        <v>286</v>
      </c>
      <c r="N2677" s="98"/>
      <c r="P2677" t="s">
        <v>95</v>
      </c>
      <c r="Q2677" t="s">
        <v>133</v>
      </c>
      <c r="R2677" s="92" t="s">
        <v>69</v>
      </c>
      <c r="S2677" s="92" t="s">
        <v>115</v>
      </c>
      <c r="V2677" s="95">
        <v>43312</v>
      </c>
      <c r="W2677" s="92" t="s">
        <v>366</v>
      </c>
      <c r="X2677" s="90"/>
      <c r="Y2677" s="123"/>
      <c r="Z2677" s="30">
        <f t="shared" si="82"/>
        <v>6763.7822038320437</v>
      </c>
      <c r="AA2677" s="30">
        <f t="shared" si="83"/>
        <v>2113.6819386975139</v>
      </c>
      <c r="AB2677" t="s">
        <v>457</v>
      </c>
    </row>
    <row r="2678" spans="1:28">
      <c r="A2678" t="s">
        <v>113</v>
      </c>
      <c r="C2678" s="92">
        <v>4615474669</v>
      </c>
      <c r="D2678" s="93">
        <v>19175</v>
      </c>
      <c r="F2678" s="94">
        <v>16</v>
      </c>
      <c r="G2678" s="96">
        <v>5</v>
      </c>
      <c r="H2678" s="91">
        <v>0</v>
      </c>
      <c r="I2678" s="91">
        <v>0</v>
      </c>
      <c r="J2678" s="41"/>
      <c r="K2678" s="41">
        <v>43312</v>
      </c>
      <c r="L2678" s="69" t="s">
        <v>80</v>
      </c>
      <c r="M2678" s="69" t="s">
        <v>286</v>
      </c>
      <c r="N2678" s="98"/>
      <c r="P2678" t="s">
        <v>95</v>
      </c>
      <c r="Q2678" t="s">
        <v>133</v>
      </c>
      <c r="R2678" s="92" t="s">
        <v>69</v>
      </c>
      <c r="S2678" s="92" t="s">
        <v>115</v>
      </c>
      <c r="V2678" s="95">
        <v>43312</v>
      </c>
      <c r="W2678" s="92" t="s">
        <v>366</v>
      </c>
      <c r="X2678" s="90"/>
      <c r="Y2678" s="123"/>
      <c r="Z2678" s="30">
        <f t="shared" si="82"/>
        <v>6763.7822038320437</v>
      </c>
      <c r="AA2678" s="30">
        <f t="shared" si="83"/>
        <v>2113.6819386975139</v>
      </c>
      <c r="AB2678" t="s">
        <v>457</v>
      </c>
    </row>
    <row r="2679" spans="1:28">
      <c r="A2679" t="s">
        <v>113</v>
      </c>
      <c r="C2679" s="92">
        <v>4615474669</v>
      </c>
      <c r="D2679" s="93">
        <v>19175</v>
      </c>
      <c r="F2679" s="94">
        <v>16</v>
      </c>
      <c r="G2679" s="96">
        <v>5</v>
      </c>
      <c r="H2679" s="91">
        <v>0</v>
      </c>
      <c r="I2679" s="91">
        <v>0</v>
      </c>
      <c r="J2679" s="41"/>
      <c r="K2679" s="41">
        <v>43312</v>
      </c>
      <c r="L2679" s="69" t="s">
        <v>80</v>
      </c>
      <c r="M2679" s="69" t="s">
        <v>286</v>
      </c>
      <c r="N2679" s="98"/>
      <c r="P2679" t="s">
        <v>95</v>
      </c>
      <c r="Q2679" t="s">
        <v>133</v>
      </c>
      <c r="R2679" s="92" t="s">
        <v>69</v>
      </c>
      <c r="S2679" s="92" t="s">
        <v>115</v>
      </c>
      <c r="V2679" s="95">
        <v>43312</v>
      </c>
      <c r="W2679" s="92" t="s">
        <v>366</v>
      </c>
      <c r="X2679" s="90"/>
      <c r="Y2679" s="123"/>
      <c r="Z2679" s="30">
        <f t="shared" si="82"/>
        <v>6763.7822038320437</v>
      </c>
      <c r="AA2679" s="30">
        <f t="shared" si="83"/>
        <v>2113.6819386975139</v>
      </c>
      <c r="AB2679" t="s">
        <v>457</v>
      </c>
    </row>
    <row r="2680" spans="1:28">
      <c r="A2680" t="s">
        <v>113</v>
      </c>
      <c r="C2680" s="92">
        <v>4615474669</v>
      </c>
      <c r="D2680" s="93">
        <v>19175</v>
      </c>
      <c r="F2680" s="94">
        <v>16</v>
      </c>
      <c r="G2680" s="96">
        <v>5</v>
      </c>
      <c r="H2680" s="91">
        <v>0</v>
      </c>
      <c r="I2680" s="91">
        <v>0</v>
      </c>
      <c r="J2680" s="41"/>
      <c r="K2680" s="41">
        <v>43312</v>
      </c>
      <c r="L2680" s="69" t="s">
        <v>80</v>
      </c>
      <c r="M2680" s="69" t="s">
        <v>286</v>
      </c>
      <c r="N2680" s="98"/>
      <c r="P2680" t="s">
        <v>95</v>
      </c>
      <c r="Q2680" t="s">
        <v>133</v>
      </c>
      <c r="R2680" s="92" t="s">
        <v>69</v>
      </c>
      <c r="S2680" s="92" t="s">
        <v>115</v>
      </c>
      <c r="V2680" s="95">
        <v>43312</v>
      </c>
      <c r="W2680" s="92" t="s">
        <v>366</v>
      </c>
      <c r="X2680" s="90"/>
      <c r="Y2680" s="123"/>
      <c r="Z2680" s="30">
        <f t="shared" si="82"/>
        <v>6763.7822038320437</v>
      </c>
      <c r="AA2680" s="30">
        <f t="shared" si="83"/>
        <v>2113.6819386975139</v>
      </c>
      <c r="AB2680" t="s">
        <v>457</v>
      </c>
    </row>
    <row r="2681" spans="1:28">
      <c r="A2681" t="s">
        <v>113</v>
      </c>
      <c r="C2681" s="92">
        <v>4615504182</v>
      </c>
      <c r="D2681" s="93">
        <v>19175</v>
      </c>
      <c r="F2681" s="94">
        <v>16</v>
      </c>
      <c r="G2681" s="94">
        <v>0</v>
      </c>
      <c r="H2681" s="91">
        <v>0</v>
      </c>
      <c r="I2681" s="91">
        <v>0</v>
      </c>
      <c r="J2681" s="41"/>
      <c r="K2681" s="41">
        <v>43312</v>
      </c>
      <c r="L2681" s="69" t="s">
        <v>80</v>
      </c>
      <c r="M2681" s="69" t="s">
        <v>286</v>
      </c>
      <c r="N2681" s="98"/>
      <c r="P2681" t="s">
        <v>95</v>
      </c>
      <c r="Q2681" t="s">
        <v>133</v>
      </c>
      <c r="R2681" s="92" t="s">
        <v>69</v>
      </c>
      <c r="S2681" s="92" t="s">
        <v>115</v>
      </c>
      <c r="V2681" s="95">
        <v>43312</v>
      </c>
      <c r="W2681" s="92" t="s">
        <v>367</v>
      </c>
      <c r="X2681" s="90"/>
      <c r="Y2681" s="123"/>
      <c r="Z2681" s="30">
        <f t="shared" si="82"/>
        <v>6763.7822038320437</v>
      </c>
      <c r="AA2681" s="30">
        <f t="shared" si="83"/>
        <v>0</v>
      </c>
      <c r="AB2681" t="s">
        <v>457</v>
      </c>
    </row>
    <row r="2682" spans="1:28">
      <c r="A2682" t="s">
        <v>113</v>
      </c>
      <c r="C2682" s="92">
        <v>4615504182</v>
      </c>
      <c r="D2682" s="93">
        <v>19175</v>
      </c>
      <c r="F2682" s="94">
        <v>16</v>
      </c>
      <c r="G2682" s="94">
        <v>0</v>
      </c>
      <c r="H2682" s="91">
        <v>0</v>
      </c>
      <c r="I2682" s="91">
        <v>0</v>
      </c>
      <c r="J2682" s="41"/>
      <c r="K2682" s="41">
        <v>43312</v>
      </c>
      <c r="L2682" s="69" t="s">
        <v>80</v>
      </c>
      <c r="M2682" s="69" t="s">
        <v>286</v>
      </c>
      <c r="N2682" s="98"/>
      <c r="P2682" t="s">
        <v>95</v>
      </c>
      <c r="Q2682" t="s">
        <v>133</v>
      </c>
      <c r="R2682" s="92" t="s">
        <v>69</v>
      </c>
      <c r="S2682" s="92" t="s">
        <v>115</v>
      </c>
      <c r="V2682" s="95">
        <v>43312</v>
      </c>
      <c r="W2682" s="92" t="s">
        <v>367</v>
      </c>
      <c r="X2682" s="90"/>
      <c r="Y2682" s="123"/>
      <c r="Z2682" s="30">
        <f t="shared" si="82"/>
        <v>6763.7822038320437</v>
      </c>
      <c r="AA2682" s="30">
        <f t="shared" si="83"/>
        <v>0</v>
      </c>
      <c r="AB2682" t="s">
        <v>457</v>
      </c>
    </row>
    <row r="2683" spans="1:28">
      <c r="A2683" t="s">
        <v>113</v>
      </c>
      <c r="C2683" s="92">
        <v>4615504182</v>
      </c>
      <c r="D2683" s="93">
        <v>19175</v>
      </c>
      <c r="F2683" s="94">
        <v>16</v>
      </c>
      <c r="G2683" s="94">
        <v>0</v>
      </c>
      <c r="H2683" s="91">
        <v>0</v>
      </c>
      <c r="I2683" s="91">
        <v>0</v>
      </c>
      <c r="J2683" s="41"/>
      <c r="K2683" s="41">
        <v>43312</v>
      </c>
      <c r="L2683" s="69" t="s">
        <v>80</v>
      </c>
      <c r="M2683" s="69" t="s">
        <v>286</v>
      </c>
      <c r="N2683" s="98"/>
      <c r="P2683" t="s">
        <v>95</v>
      </c>
      <c r="Q2683" t="s">
        <v>133</v>
      </c>
      <c r="R2683" s="92" t="s">
        <v>69</v>
      </c>
      <c r="S2683" s="92" t="s">
        <v>115</v>
      </c>
      <c r="V2683" s="95">
        <v>43312</v>
      </c>
      <c r="W2683" s="92" t="s">
        <v>367</v>
      </c>
      <c r="X2683" s="90"/>
      <c r="Y2683" s="123"/>
      <c r="Z2683" s="30">
        <f t="shared" si="82"/>
        <v>6763.7822038320437</v>
      </c>
      <c r="AA2683" s="30">
        <f t="shared" si="83"/>
        <v>0</v>
      </c>
      <c r="AB2683" t="s">
        <v>457</v>
      </c>
    </row>
    <row r="2684" spans="1:28">
      <c r="A2684" t="s">
        <v>113</v>
      </c>
      <c r="C2684" s="92">
        <v>4615504182</v>
      </c>
      <c r="D2684" s="93">
        <v>19175</v>
      </c>
      <c r="F2684" s="94">
        <v>16</v>
      </c>
      <c r="G2684" s="94">
        <v>0</v>
      </c>
      <c r="H2684" s="91">
        <v>0</v>
      </c>
      <c r="I2684" s="91">
        <v>0</v>
      </c>
      <c r="J2684" s="41"/>
      <c r="K2684" s="41">
        <v>43312</v>
      </c>
      <c r="L2684" s="69" t="s">
        <v>80</v>
      </c>
      <c r="M2684" s="69" t="s">
        <v>286</v>
      </c>
      <c r="N2684" s="98"/>
      <c r="P2684" t="s">
        <v>95</v>
      </c>
      <c r="Q2684" t="s">
        <v>133</v>
      </c>
      <c r="R2684" s="92" t="s">
        <v>69</v>
      </c>
      <c r="S2684" s="92" t="s">
        <v>115</v>
      </c>
      <c r="V2684" s="95">
        <v>43312</v>
      </c>
      <c r="W2684" s="92" t="s">
        <v>367</v>
      </c>
      <c r="X2684" s="90"/>
      <c r="Y2684" s="123"/>
      <c r="Z2684" s="30">
        <f t="shared" si="82"/>
        <v>6763.7822038320437</v>
      </c>
      <c r="AA2684" s="30">
        <f t="shared" si="83"/>
        <v>0</v>
      </c>
      <c r="AB2684" t="s">
        <v>457</v>
      </c>
    </row>
    <row r="2685" spans="1:28">
      <c r="A2685" t="s">
        <v>113</v>
      </c>
      <c r="C2685" s="92">
        <v>4615504182</v>
      </c>
      <c r="D2685" s="93">
        <v>19175</v>
      </c>
      <c r="F2685" s="94">
        <v>16</v>
      </c>
      <c r="G2685" s="94">
        <v>0</v>
      </c>
      <c r="H2685" s="91">
        <v>0</v>
      </c>
      <c r="I2685" s="91">
        <v>0</v>
      </c>
      <c r="J2685" s="41"/>
      <c r="K2685" s="41">
        <v>43312</v>
      </c>
      <c r="L2685" s="69" t="s">
        <v>80</v>
      </c>
      <c r="M2685" s="69" t="s">
        <v>286</v>
      </c>
      <c r="N2685" s="98"/>
      <c r="P2685" t="s">
        <v>95</v>
      </c>
      <c r="Q2685" t="s">
        <v>133</v>
      </c>
      <c r="R2685" s="92" t="s">
        <v>69</v>
      </c>
      <c r="S2685" s="92" t="s">
        <v>115</v>
      </c>
      <c r="V2685" s="95">
        <v>43312</v>
      </c>
      <c r="W2685" s="92" t="s">
        <v>367</v>
      </c>
      <c r="X2685" s="90"/>
      <c r="Y2685" s="123"/>
      <c r="Z2685" s="30">
        <f t="shared" si="82"/>
        <v>6763.7822038320437</v>
      </c>
      <c r="AA2685" s="30">
        <f t="shared" si="83"/>
        <v>0</v>
      </c>
      <c r="AB2685" t="s">
        <v>457</v>
      </c>
    </row>
    <row r="2686" spans="1:28">
      <c r="A2686" t="s">
        <v>113</v>
      </c>
      <c r="C2686" s="92">
        <v>4615504182</v>
      </c>
      <c r="D2686" s="93">
        <v>19175</v>
      </c>
      <c r="F2686" s="94">
        <v>16</v>
      </c>
      <c r="G2686" s="94">
        <v>0</v>
      </c>
      <c r="H2686" s="91">
        <v>0</v>
      </c>
      <c r="I2686" s="91">
        <v>0</v>
      </c>
      <c r="J2686" s="41"/>
      <c r="K2686" s="41">
        <v>43312</v>
      </c>
      <c r="L2686" s="69" t="s">
        <v>80</v>
      </c>
      <c r="M2686" s="69" t="s">
        <v>286</v>
      </c>
      <c r="N2686" s="98"/>
      <c r="P2686" t="s">
        <v>95</v>
      </c>
      <c r="Q2686" t="s">
        <v>133</v>
      </c>
      <c r="R2686" s="92" t="s">
        <v>69</v>
      </c>
      <c r="S2686" s="92" t="s">
        <v>115</v>
      </c>
      <c r="V2686" s="95">
        <v>43312</v>
      </c>
      <c r="W2686" s="92" t="s">
        <v>367</v>
      </c>
      <c r="X2686" s="90"/>
      <c r="Y2686" s="123"/>
      <c r="Z2686" s="30">
        <f t="shared" si="82"/>
        <v>6763.7822038320437</v>
      </c>
      <c r="AA2686" s="30">
        <f t="shared" si="83"/>
        <v>0</v>
      </c>
      <c r="AB2686" t="s">
        <v>457</v>
      </c>
    </row>
    <row r="2687" spans="1:28">
      <c r="A2687" t="s">
        <v>113</v>
      </c>
      <c r="C2687" s="92">
        <v>4615504182</v>
      </c>
      <c r="D2687" s="93">
        <v>19175</v>
      </c>
      <c r="F2687" s="94">
        <v>16</v>
      </c>
      <c r="G2687" s="94">
        <v>0</v>
      </c>
      <c r="H2687" s="91">
        <v>0</v>
      </c>
      <c r="I2687" s="91">
        <v>0</v>
      </c>
      <c r="J2687" s="41"/>
      <c r="K2687" s="41">
        <v>43312</v>
      </c>
      <c r="L2687" s="69" t="s">
        <v>80</v>
      </c>
      <c r="M2687" s="69" t="s">
        <v>286</v>
      </c>
      <c r="N2687" s="98"/>
      <c r="P2687" t="s">
        <v>95</v>
      </c>
      <c r="Q2687" t="s">
        <v>133</v>
      </c>
      <c r="R2687" s="92" t="s">
        <v>69</v>
      </c>
      <c r="S2687" s="92" t="s">
        <v>115</v>
      </c>
      <c r="V2687" s="95">
        <v>43312</v>
      </c>
      <c r="W2687" s="92" t="s">
        <v>367</v>
      </c>
      <c r="X2687" s="90"/>
      <c r="Y2687" s="123"/>
      <c r="Z2687" s="30">
        <f t="shared" si="82"/>
        <v>6763.7822038320437</v>
      </c>
      <c r="AA2687" s="30">
        <f t="shared" si="83"/>
        <v>0</v>
      </c>
      <c r="AB2687" t="s">
        <v>457</v>
      </c>
    </row>
    <row r="2688" spans="1:28">
      <c r="A2688" t="s">
        <v>113</v>
      </c>
      <c r="C2688" s="92">
        <v>4615504182</v>
      </c>
      <c r="D2688" s="93">
        <v>19175</v>
      </c>
      <c r="F2688" s="94">
        <v>16</v>
      </c>
      <c r="G2688" s="94">
        <v>0</v>
      </c>
      <c r="H2688" s="91">
        <v>0</v>
      </c>
      <c r="I2688" s="91">
        <v>0</v>
      </c>
      <c r="J2688" s="41"/>
      <c r="K2688" s="41">
        <v>43312</v>
      </c>
      <c r="L2688" s="69" t="s">
        <v>80</v>
      </c>
      <c r="M2688" s="69" t="s">
        <v>286</v>
      </c>
      <c r="N2688" s="98"/>
      <c r="P2688" t="s">
        <v>95</v>
      </c>
      <c r="Q2688" t="s">
        <v>133</v>
      </c>
      <c r="R2688" s="92" t="s">
        <v>69</v>
      </c>
      <c r="S2688" s="92" t="s">
        <v>115</v>
      </c>
      <c r="V2688" s="95">
        <v>43312</v>
      </c>
      <c r="W2688" s="92" t="s">
        <v>367</v>
      </c>
      <c r="X2688" s="90"/>
      <c r="Y2688" s="123"/>
      <c r="Z2688" s="30">
        <f t="shared" si="82"/>
        <v>6763.7822038320437</v>
      </c>
      <c r="AA2688" s="30">
        <f t="shared" si="83"/>
        <v>0</v>
      </c>
      <c r="AB2688" t="s">
        <v>457</v>
      </c>
    </row>
    <row r="2689" spans="1:28">
      <c r="A2689" t="s">
        <v>113</v>
      </c>
      <c r="C2689" s="92">
        <v>4615504182</v>
      </c>
      <c r="D2689" s="93">
        <v>19175</v>
      </c>
      <c r="F2689" s="94">
        <v>16</v>
      </c>
      <c r="G2689" s="94">
        <v>0</v>
      </c>
      <c r="H2689" s="91">
        <v>0</v>
      </c>
      <c r="I2689" s="91">
        <v>0</v>
      </c>
      <c r="J2689" s="41"/>
      <c r="K2689" s="41">
        <v>43312</v>
      </c>
      <c r="L2689" s="69" t="s">
        <v>80</v>
      </c>
      <c r="M2689" s="69" t="s">
        <v>286</v>
      </c>
      <c r="N2689" s="98"/>
      <c r="P2689" t="s">
        <v>95</v>
      </c>
      <c r="Q2689" t="s">
        <v>133</v>
      </c>
      <c r="R2689" s="92" t="s">
        <v>69</v>
      </c>
      <c r="S2689" s="92" t="s">
        <v>115</v>
      </c>
      <c r="V2689" s="95">
        <v>43312</v>
      </c>
      <c r="W2689" s="92" t="s">
        <v>367</v>
      </c>
      <c r="X2689" s="90"/>
      <c r="Y2689" s="123"/>
      <c r="Z2689" s="30">
        <f t="shared" si="82"/>
        <v>6763.7822038320437</v>
      </c>
      <c r="AA2689" s="30">
        <f t="shared" si="83"/>
        <v>0</v>
      </c>
      <c r="AB2689" t="s">
        <v>457</v>
      </c>
    </row>
    <row r="2690" spans="1:28">
      <c r="A2690" t="s">
        <v>113</v>
      </c>
      <c r="C2690" s="92">
        <v>4615504182</v>
      </c>
      <c r="D2690" s="93">
        <v>19175</v>
      </c>
      <c r="F2690" s="94">
        <v>16</v>
      </c>
      <c r="G2690" s="94">
        <v>0</v>
      </c>
      <c r="H2690" s="91">
        <v>0</v>
      </c>
      <c r="I2690" s="91">
        <v>0</v>
      </c>
      <c r="J2690" s="41"/>
      <c r="K2690" s="41">
        <v>43312</v>
      </c>
      <c r="L2690" s="69" t="s">
        <v>80</v>
      </c>
      <c r="M2690" s="69" t="s">
        <v>286</v>
      </c>
      <c r="N2690" s="98"/>
      <c r="P2690" t="s">
        <v>95</v>
      </c>
      <c r="Q2690" t="s">
        <v>133</v>
      </c>
      <c r="R2690" s="92" t="s">
        <v>69</v>
      </c>
      <c r="S2690" s="92" t="s">
        <v>115</v>
      </c>
      <c r="V2690" s="95">
        <v>43312</v>
      </c>
      <c r="W2690" s="92" t="s">
        <v>367</v>
      </c>
      <c r="X2690" s="90"/>
      <c r="Y2690" s="123"/>
      <c r="Z2690" s="30">
        <f t="shared" si="82"/>
        <v>6763.7822038320437</v>
      </c>
      <c r="AA2690" s="30">
        <f t="shared" si="83"/>
        <v>0</v>
      </c>
      <c r="AB2690" t="s">
        <v>457</v>
      </c>
    </row>
    <row r="2691" spans="1:28">
      <c r="A2691" t="s">
        <v>113</v>
      </c>
      <c r="C2691" s="104" t="s">
        <v>161</v>
      </c>
      <c r="D2691" s="105">
        <v>21600</v>
      </c>
      <c r="F2691" s="91">
        <v>16</v>
      </c>
      <c r="G2691" s="96">
        <v>5</v>
      </c>
      <c r="H2691" s="94">
        <v>0</v>
      </c>
      <c r="I2691" s="91">
        <v>0</v>
      </c>
      <c r="J2691" s="41"/>
      <c r="K2691" s="41">
        <v>43312</v>
      </c>
      <c r="L2691" s="69" t="s">
        <v>80</v>
      </c>
      <c r="M2691" s="69" t="s">
        <v>286</v>
      </c>
      <c r="N2691" s="95"/>
      <c r="P2691" t="s">
        <v>95</v>
      </c>
      <c r="Q2691" t="s">
        <v>133</v>
      </c>
      <c r="R2691" s="92" t="s">
        <v>69</v>
      </c>
      <c r="S2691" s="92" t="s">
        <v>115</v>
      </c>
      <c r="V2691" s="95">
        <v>43312</v>
      </c>
      <c r="W2691" s="104" t="s">
        <v>368</v>
      </c>
      <c r="X2691" s="90" t="s">
        <v>196</v>
      </c>
      <c r="Y2691" s="123"/>
      <c r="Z2691" s="30">
        <f t="shared" ref="Z2691:Z2754" si="84">CONVERT(D2691,"kg","lbm")*F2691/100</f>
        <v>7619.1757811093694</v>
      </c>
      <c r="AA2691" s="30">
        <f t="shared" ref="AA2691:AA2754" si="85">CONVERT(D2691,"kg","lbm")*G2691/100</f>
        <v>2380.9924315966778</v>
      </c>
      <c r="AB2691" t="s">
        <v>457</v>
      </c>
    </row>
    <row r="2692" spans="1:28">
      <c r="A2692" t="s">
        <v>113</v>
      </c>
      <c r="C2692" s="104" t="s">
        <v>161</v>
      </c>
      <c r="D2692" s="105">
        <v>21600</v>
      </c>
      <c r="F2692" s="91">
        <v>16</v>
      </c>
      <c r="G2692" s="96">
        <v>5</v>
      </c>
      <c r="H2692" s="94">
        <v>0</v>
      </c>
      <c r="I2692" s="91">
        <v>0</v>
      </c>
      <c r="J2692" s="41"/>
      <c r="K2692" s="41">
        <v>43312</v>
      </c>
      <c r="L2692" s="69" t="s">
        <v>80</v>
      </c>
      <c r="M2692" s="69" t="s">
        <v>286</v>
      </c>
      <c r="N2692" s="95"/>
      <c r="P2692" t="s">
        <v>95</v>
      </c>
      <c r="Q2692" t="s">
        <v>133</v>
      </c>
      <c r="R2692" s="92" t="s">
        <v>69</v>
      </c>
      <c r="S2692" s="92" t="s">
        <v>115</v>
      </c>
      <c r="V2692" s="95">
        <v>43312</v>
      </c>
      <c r="W2692" s="104" t="s">
        <v>368</v>
      </c>
      <c r="X2692" s="90" t="s">
        <v>196</v>
      </c>
      <c r="Y2692" s="123"/>
      <c r="Z2692" s="30">
        <f t="shared" si="84"/>
        <v>7619.1757811093694</v>
      </c>
      <c r="AA2692" s="30">
        <f t="shared" si="85"/>
        <v>2380.9924315966778</v>
      </c>
      <c r="AB2692" t="s">
        <v>457</v>
      </c>
    </row>
    <row r="2693" spans="1:28">
      <c r="A2693" t="s">
        <v>113</v>
      </c>
      <c r="C2693" s="104" t="s">
        <v>161</v>
      </c>
      <c r="D2693" s="105">
        <v>21600</v>
      </c>
      <c r="F2693" s="91">
        <v>16</v>
      </c>
      <c r="G2693" s="96">
        <v>5</v>
      </c>
      <c r="H2693" s="94">
        <v>0</v>
      </c>
      <c r="I2693" s="91">
        <v>0</v>
      </c>
      <c r="J2693" s="41"/>
      <c r="K2693" s="41">
        <v>43312</v>
      </c>
      <c r="L2693" s="69" t="s">
        <v>80</v>
      </c>
      <c r="M2693" s="69" t="s">
        <v>286</v>
      </c>
      <c r="N2693" s="95"/>
      <c r="P2693" t="s">
        <v>95</v>
      </c>
      <c r="Q2693" t="s">
        <v>133</v>
      </c>
      <c r="R2693" s="92" t="s">
        <v>69</v>
      </c>
      <c r="S2693" s="92" t="s">
        <v>115</v>
      </c>
      <c r="V2693" s="95">
        <v>43312</v>
      </c>
      <c r="W2693" s="104" t="s">
        <v>368</v>
      </c>
      <c r="X2693" s="90" t="s">
        <v>196</v>
      </c>
      <c r="Y2693" s="123"/>
      <c r="Z2693" s="30">
        <f t="shared" si="84"/>
        <v>7619.1757811093694</v>
      </c>
      <c r="AA2693" s="30">
        <f t="shared" si="85"/>
        <v>2380.9924315966778</v>
      </c>
      <c r="AB2693" t="s">
        <v>457</v>
      </c>
    </row>
    <row r="2694" spans="1:28">
      <c r="A2694" t="s">
        <v>113</v>
      </c>
      <c r="C2694" s="104" t="s">
        <v>161</v>
      </c>
      <c r="D2694" s="105">
        <v>21600</v>
      </c>
      <c r="F2694" s="91">
        <v>16</v>
      </c>
      <c r="G2694" s="96">
        <v>5</v>
      </c>
      <c r="H2694" s="94">
        <v>0</v>
      </c>
      <c r="I2694" s="91">
        <v>0</v>
      </c>
      <c r="J2694" s="41"/>
      <c r="K2694" s="41">
        <v>43312</v>
      </c>
      <c r="L2694" s="69" t="s">
        <v>80</v>
      </c>
      <c r="M2694" s="69" t="s">
        <v>286</v>
      </c>
      <c r="N2694" s="95"/>
      <c r="P2694" t="s">
        <v>95</v>
      </c>
      <c r="Q2694" t="s">
        <v>133</v>
      </c>
      <c r="R2694" s="92" t="s">
        <v>69</v>
      </c>
      <c r="S2694" s="92" t="s">
        <v>115</v>
      </c>
      <c r="V2694" s="95">
        <v>43312</v>
      </c>
      <c r="W2694" s="104" t="s">
        <v>368</v>
      </c>
      <c r="X2694" s="90" t="s">
        <v>196</v>
      </c>
      <c r="Y2694" s="123"/>
      <c r="Z2694" s="30">
        <f t="shared" si="84"/>
        <v>7619.1757811093694</v>
      </c>
      <c r="AA2694" s="30">
        <f t="shared" si="85"/>
        <v>2380.9924315966778</v>
      </c>
      <c r="AB2694" t="s">
        <v>457</v>
      </c>
    </row>
    <row r="2695" spans="1:28">
      <c r="A2695" t="s">
        <v>113</v>
      </c>
      <c r="C2695" s="104" t="s">
        <v>161</v>
      </c>
      <c r="D2695" s="105">
        <v>21600</v>
      </c>
      <c r="F2695" s="91">
        <v>16</v>
      </c>
      <c r="G2695" s="96">
        <v>5</v>
      </c>
      <c r="H2695" s="94">
        <v>0</v>
      </c>
      <c r="I2695" s="91">
        <v>0</v>
      </c>
      <c r="J2695" s="41"/>
      <c r="K2695" s="41">
        <v>43312</v>
      </c>
      <c r="L2695" s="69" t="s">
        <v>80</v>
      </c>
      <c r="M2695" s="69" t="s">
        <v>286</v>
      </c>
      <c r="N2695" s="95"/>
      <c r="P2695" t="s">
        <v>95</v>
      </c>
      <c r="Q2695" t="s">
        <v>133</v>
      </c>
      <c r="R2695" s="92" t="s">
        <v>69</v>
      </c>
      <c r="S2695" s="92" t="s">
        <v>115</v>
      </c>
      <c r="V2695" s="95">
        <v>43312</v>
      </c>
      <c r="W2695" s="104" t="s">
        <v>368</v>
      </c>
      <c r="X2695" s="90" t="s">
        <v>196</v>
      </c>
      <c r="Y2695" s="123"/>
      <c r="Z2695" s="30">
        <f t="shared" si="84"/>
        <v>7619.1757811093694</v>
      </c>
      <c r="AA2695" s="30">
        <f t="shared" si="85"/>
        <v>2380.9924315966778</v>
      </c>
      <c r="AB2695" t="s">
        <v>457</v>
      </c>
    </row>
    <row r="2696" spans="1:28">
      <c r="A2696" t="s">
        <v>113</v>
      </c>
      <c r="C2696" s="104" t="s">
        <v>161</v>
      </c>
      <c r="D2696" s="105">
        <v>21600</v>
      </c>
      <c r="F2696" s="91">
        <v>16</v>
      </c>
      <c r="G2696" s="96">
        <v>5</v>
      </c>
      <c r="H2696" s="94">
        <v>0</v>
      </c>
      <c r="I2696" s="91">
        <v>0</v>
      </c>
      <c r="J2696" s="41"/>
      <c r="K2696" s="41">
        <v>43312</v>
      </c>
      <c r="L2696" s="69" t="s">
        <v>80</v>
      </c>
      <c r="M2696" s="69" t="s">
        <v>286</v>
      </c>
      <c r="N2696" s="95"/>
      <c r="P2696" t="s">
        <v>95</v>
      </c>
      <c r="Q2696" t="s">
        <v>133</v>
      </c>
      <c r="R2696" s="92" t="s">
        <v>69</v>
      </c>
      <c r="S2696" s="92" t="s">
        <v>115</v>
      </c>
      <c r="V2696" s="95">
        <v>43312</v>
      </c>
      <c r="W2696" s="104" t="s">
        <v>368</v>
      </c>
      <c r="X2696" s="90" t="s">
        <v>196</v>
      </c>
      <c r="Y2696" s="123"/>
      <c r="Z2696" s="30">
        <f t="shared" si="84"/>
        <v>7619.1757811093694</v>
      </c>
      <c r="AA2696" s="30">
        <f t="shared" si="85"/>
        <v>2380.9924315966778</v>
      </c>
      <c r="AB2696" t="s">
        <v>457</v>
      </c>
    </row>
    <row r="2697" spans="1:28">
      <c r="A2697" t="s">
        <v>113</v>
      </c>
      <c r="C2697" s="104" t="s">
        <v>161</v>
      </c>
      <c r="D2697" s="105">
        <v>21600</v>
      </c>
      <c r="F2697" s="91">
        <v>16</v>
      </c>
      <c r="G2697" s="96">
        <v>5</v>
      </c>
      <c r="H2697" s="94">
        <v>0</v>
      </c>
      <c r="I2697" s="91">
        <v>0</v>
      </c>
      <c r="J2697" s="41"/>
      <c r="K2697" s="41">
        <v>43312</v>
      </c>
      <c r="L2697" s="69" t="s">
        <v>80</v>
      </c>
      <c r="M2697" s="69" t="s">
        <v>286</v>
      </c>
      <c r="N2697" s="95"/>
      <c r="P2697" t="s">
        <v>95</v>
      </c>
      <c r="Q2697" t="s">
        <v>133</v>
      </c>
      <c r="R2697" s="92" t="s">
        <v>69</v>
      </c>
      <c r="S2697" s="92" t="s">
        <v>115</v>
      </c>
      <c r="V2697" s="95">
        <v>43312</v>
      </c>
      <c r="W2697" s="104" t="s">
        <v>368</v>
      </c>
      <c r="X2697" s="90" t="s">
        <v>196</v>
      </c>
      <c r="Y2697" s="123"/>
      <c r="Z2697" s="30">
        <f t="shared" si="84"/>
        <v>7619.1757811093694</v>
      </c>
      <c r="AA2697" s="30">
        <f t="shared" si="85"/>
        <v>2380.9924315966778</v>
      </c>
      <c r="AB2697" t="s">
        <v>457</v>
      </c>
    </row>
    <row r="2698" spans="1:28">
      <c r="A2698" t="s">
        <v>113</v>
      </c>
      <c r="C2698" s="104" t="s">
        <v>161</v>
      </c>
      <c r="D2698" s="105">
        <v>21600</v>
      </c>
      <c r="F2698" s="91">
        <v>16</v>
      </c>
      <c r="G2698" s="96">
        <v>5</v>
      </c>
      <c r="H2698" s="94">
        <v>0</v>
      </c>
      <c r="I2698" s="91">
        <v>0</v>
      </c>
      <c r="J2698" s="41"/>
      <c r="K2698" s="41">
        <v>43312</v>
      </c>
      <c r="L2698" s="69" t="s">
        <v>80</v>
      </c>
      <c r="M2698" s="69" t="s">
        <v>286</v>
      </c>
      <c r="N2698" s="95"/>
      <c r="P2698" t="s">
        <v>95</v>
      </c>
      <c r="Q2698" t="s">
        <v>133</v>
      </c>
      <c r="R2698" s="92" t="s">
        <v>69</v>
      </c>
      <c r="S2698" s="92" t="s">
        <v>115</v>
      </c>
      <c r="V2698" s="95">
        <v>43312</v>
      </c>
      <c r="W2698" s="104" t="s">
        <v>368</v>
      </c>
      <c r="X2698" s="90" t="s">
        <v>196</v>
      </c>
      <c r="Y2698" s="123"/>
      <c r="Z2698" s="30">
        <f t="shared" si="84"/>
        <v>7619.1757811093694</v>
      </c>
      <c r="AA2698" s="30">
        <f t="shared" si="85"/>
        <v>2380.9924315966778</v>
      </c>
      <c r="AB2698" t="s">
        <v>457</v>
      </c>
    </row>
    <row r="2699" spans="1:28">
      <c r="A2699" t="s">
        <v>113</v>
      </c>
      <c r="C2699" s="104" t="s">
        <v>161</v>
      </c>
      <c r="D2699" s="105">
        <v>21600</v>
      </c>
      <c r="F2699" s="91">
        <v>16</v>
      </c>
      <c r="G2699" s="96">
        <v>5</v>
      </c>
      <c r="H2699" s="94">
        <v>0</v>
      </c>
      <c r="I2699" s="91">
        <v>0</v>
      </c>
      <c r="J2699" s="41"/>
      <c r="K2699" s="41">
        <v>43312</v>
      </c>
      <c r="L2699" s="69" t="s">
        <v>80</v>
      </c>
      <c r="M2699" s="69" t="s">
        <v>286</v>
      </c>
      <c r="N2699" s="95"/>
      <c r="P2699" t="s">
        <v>95</v>
      </c>
      <c r="Q2699" t="s">
        <v>133</v>
      </c>
      <c r="R2699" s="92" t="s">
        <v>69</v>
      </c>
      <c r="S2699" s="92" t="s">
        <v>115</v>
      </c>
      <c r="V2699" s="95">
        <v>43312</v>
      </c>
      <c r="W2699" s="104" t="s">
        <v>368</v>
      </c>
      <c r="X2699" s="90" t="s">
        <v>196</v>
      </c>
      <c r="Y2699" s="123"/>
      <c r="Z2699" s="30">
        <f t="shared" si="84"/>
        <v>7619.1757811093694</v>
      </c>
      <c r="AA2699" s="30">
        <f t="shared" si="85"/>
        <v>2380.9924315966778</v>
      </c>
      <c r="AB2699" t="s">
        <v>457</v>
      </c>
    </row>
    <row r="2700" spans="1:28">
      <c r="A2700" t="s">
        <v>113</v>
      </c>
      <c r="C2700" s="104" t="s">
        <v>161</v>
      </c>
      <c r="D2700" s="105">
        <v>21600</v>
      </c>
      <c r="F2700" s="91">
        <v>16</v>
      </c>
      <c r="G2700" s="96">
        <v>5</v>
      </c>
      <c r="H2700" s="94">
        <v>0</v>
      </c>
      <c r="I2700" s="91">
        <v>0</v>
      </c>
      <c r="J2700" s="41"/>
      <c r="K2700" s="41">
        <v>43312</v>
      </c>
      <c r="L2700" s="69" t="s">
        <v>80</v>
      </c>
      <c r="M2700" s="69" t="s">
        <v>286</v>
      </c>
      <c r="N2700" s="95"/>
      <c r="P2700" t="s">
        <v>95</v>
      </c>
      <c r="Q2700" t="s">
        <v>133</v>
      </c>
      <c r="R2700" s="92" t="s">
        <v>69</v>
      </c>
      <c r="S2700" s="92" t="s">
        <v>115</v>
      </c>
      <c r="V2700" s="95">
        <v>43312</v>
      </c>
      <c r="W2700" s="104" t="s">
        <v>368</v>
      </c>
      <c r="X2700" s="90" t="s">
        <v>196</v>
      </c>
      <c r="Y2700" s="123"/>
      <c r="Z2700" s="30">
        <f t="shared" si="84"/>
        <v>7619.1757811093694</v>
      </c>
      <c r="AA2700" s="30">
        <f t="shared" si="85"/>
        <v>2380.9924315966778</v>
      </c>
      <c r="AB2700" t="s">
        <v>457</v>
      </c>
    </row>
    <row r="2701" spans="1:28">
      <c r="A2701" t="s">
        <v>113</v>
      </c>
      <c r="C2701" s="104" t="s">
        <v>161</v>
      </c>
      <c r="D2701" s="105">
        <v>21600</v>
      </c>
      <c r="F2701" s="91">
        <v>16</v>
      </c>
      <c r="G2701" s="96">
        <v>5</v>
      </c>
      <c r="H2701" s="94">
        <v>0</v>
      </c>
      <c r="I2701" s="91">
        <v>0</v>
      </c>
      <c r="J2701" s="41"/>
      <c r="K2701" s="41">
        <v>43312</v>
      </c>
      <c r="L2701" s="69" t="s">
        <v>80</v>
      </c>
      <c r="M2701" s="69" t="s">
        <v>286</v>
      </c>
      <c r="N2701" s="95"/>
      <c r="P2701" t="s">
        <v>95</v>
      </c>
      <c r="Q2701" t="s">
        <v>133</v>
      </c>
      <c r="R2701" s="92" t="s">
        <v>69</v>
      </c>
      <c r="S2701" s="92" t="s">
        <v>115</v>
      </c>
      <c r="V2701" s="95">
        <v>43312</v>
      </c>
      <c r="W2701" s="104" t="s">
        <v>368</v>
      </c>
      <c r="X2701" s="90" t="s">
        <v>196</v>
      </c>
      <c r="Y2701" s="123"/>
      <c r="Z2701" s="30">
        <f t="shared" si="84"/>
        <v>7619.1757811093694</v>
      </c>
      <c r="AA2701" s="30">
        <f t="shared" si="85"/>
        <v>2380.9924315966778</v>
      </c>
      <c r="AB2701" t="s">
        <v>457</v>
      </c>
    </row>
    <row r="2702" spans="1:28">
      <c r="A2702" t="s">
        <v>113</v>
      </c>
      <c r="C2702" s="104" t="s">
        <v>161</v>
      </c>
      <c r="D2702" s="105">
        <v>21600</v>
      </c>
      <c r="F2702" s="91">
        <v>16</v>
      </c>
      <c r="G2702" s="96">
        <v>5</v>
      </c>
      <c r="H2702" s="94">
        <v>0</v>
      </c>
      <c r="I2702" s="91">
        <v>0</v>
      </c>
      <c r="J2702" s="41"/>
      <c r="K2702" s="41">
        <v>43312</v>
      </c>
      <c r="L2702" s="69" t="s">
        <v>80</v>
      </c>
      <c r="M2702" s="69" t="s">
        <v>286</v>
      </c>
      <c r="N2702" s="95"/>
      <c r="P2702" t="s">
        <v>95</v>
      </c>
      <c r="Q2702" t="s">
        <v>133</v>
      </c>
      <c r="R2702" s="92" t="s">
        <v>69</v>
      </c>
      <c r="S2702" s="92" t="s">
        <v>115</v>
      </c>
      <c r="V2702" s="95">
        <v>43312</v>
      </c>
      <c r="W2702" s="104" t="s">
        <v>368</v>
      </c>
      <c r="X2702" s="90" t="s">
        <v>196</v>
      </c>
      <c r="Y2702" s="123"/>
      <c r="Z2702" s="30">
        <f t="shared" si="84"/>
        <v>7619.1757811093694</v>
      </c>
      <c r="AA2702" s="30">
        <f t="shared" si="85"/>
        <v>2380.9924315966778</v>
      </c>
      <c r="AB2702" t="s">
        <v>457</v>
      </c>
    </row>
    <row r="2703" spans="1:28">
      <c r="A2703" t="s">
        <v>118</v>
      </c>
      <c r="C2703" s="92">
        <v>4615502544</v>
      </c>
      <c r="D2703" s="93">
        <v>19175</v>
      </c>
      <c r="F2703" s="91">
        <v>10</v>
      </c>
      <c r="G2703" s="91">
        <v>5</v>
      </c>
      <c r="H2703" s="94">
        <v>0</v>
      </c>
      <c r="I2703" s="91">
        <v>0</v>
      </c>
      <c r="J2703" s="41"/>
      <c r="K2703" s="41">
        <v>43343</v>
      </c>
      <c r="L2703" s="69" t="s">
        <v>80</v>
      </c>
      <c r="M2703" s="69" t="s">
        <v>286</v>
      </c>
      <c r="N2703" s="95"/>
      <c r="P2703" t="s">
        <v>95</v>
      </c>
      <c r="Q2703" t="s">
        <v>120</v>
      </c>
      <c r="R2703" s="92" t="s">
        <v>69</v>
      </c>
      <c r="S2703" s="92" t="s">
        <v>121</v>
      </c>
      <c r="V2703" s="95">
        <v>43343</v>
      </c>
      <c r="W2703" s="92">
        <v>2030533</v>
      </c>
      <c r="X2703" s="90" t="s">
        <v>369</v>
      </c>
      <c r="Y2703" s="123"/>
      <c r="Z2703" s="30">
        <f t="shared" si="84"/>
        <v>4227.3638773950279</v>
      </c>
      <c r="AA2703" s="30">
        <f t="shared" si="85"/>
        <v>2113.6819386975139</v>
      </c>
      <c r="AB2703" t="s">
        <v>457</v>
      </c>
    </row>
    <row r="2704" spans="1:28">
      <c r="A2704" t="s">
        <v>118</v>
      </c>
      <c r="C2704" s="92">
        <v>4615506678</v>
      </c>
      <c r="D2704" s="93">
        <v>19175</v>
      </c>
      <c r="F2704" s="91">
        <v>10</v>
      </c>
      <c r="G2704" s="91">
        <v>0</v>
      </c>
      <c r="H2704" s="94">
        <v>0</v>
      </c>
      <c r="I2704" s="91">
        <v>0</v>
      </c>
      <c r="J2704" s="41"/>
      <c r="K2704" s="41">
        <v>43343</v>
      </c>
      <c r="L2704" s="69" t="s">
        <v>80</v>
      </c>
      <c r="M2704" s="69" t="s">
        <v>286</v>
      </c>
      <c r="N2704" s="95"/>
      <c r="P2704" t="s">
        <v>95</v>
      </c>
      <c r="Q2704" t="s">
        <v>120</v>
      </c>
      <c r="R2704" s="92" t="s">
        <v>69</v>
      </c>
      <c r="S2704" s="92" t="s">
        <v>121</v>
      </c>
      <c r="V2704" s="95">
        <v>43343</v>
      </c>
      <c r="W2704" s="92">
        <v>2030533</v>
      </c>
      <c r="X2704" s="90" t="s">
        <v>369</v>
      </c>
      <c r="Y2704" s="123"/>
      <c r="Z2704" s="30">
        <f t="shared" si="84"/>
        <v>4227.3638773950279</v>
      </c>
      <c r="AA2704" s="30">
        <f t="shared" si="85"/>
        <v>0</v>
      </c>
      <c r="AB2704" t="s">
        <v>457</v>
      </c>
    </row>
    <row r="2705" spans="1:28">
      <c r="A2705" t="s">
        <v>118</v>
      </c>
      <c r="C2705" s="92">
        <v>4615502544</v>
      </c>
      <c r="D2705" s="93">
        <v>19175</v>
      </c>
      <c r="F2705" s="91">
        <v>10</v>
      </c>
      <c r="G2705" s="91">
        <v>5</v>
      </c>
      <c r="H2705" s="94">
        <v>0</v>
      </c>
      <c r="I2705" s="91">
        <v>0</v>
      </c>
      <c r="J2705" s="41"/>
      <c r="K2705" s="41">
        <v>43343</v>
      </c>
      <c r="L2705" s="69" t="s">
        <v>80</v>
      </c>
      <c r="M2705" s="69" t="s">
        <v>286</v>
      </c>
      <c r="N2705" s="95"/>
      <c r="P2705" t="s">
        <v>95</v>
      </c>
      <c r="Q2705" t="s">
        <v>120</v>
      </c>
      <c r="R2705" s="92" t="s">
        <v>69</v>
      </c>
      <c r="S2705" s="92" t="s">
        <v>121</v>
      </c>
      <c r="V2705" s="95">
        <v>43343</v>
      </c>
      <c r="W2705" s="92">
        <v>2030533</v>
      </c>
      <c r="X2705" s="90" t="s">
        <v>369</v>
      </c>
      <c r="Y2705" s="123"/>
      <c r="Z2705" s="30">
        <f t="shared" si="84"/>
        <v>4227.3638773950279</v>
      </c>
      <c r="AA2705" s="30">
        <f t="shared" si="85"/>
        <v>2113.6819386975139</v>
      </c>
      <c r="AB2705" t="s">
        <v>457</v>
      </c>
    </row>
    <row r="2706" spans="1:28">
      <c r="A2706" t="s">
        <v>118</v>
      </c>
      <c r="C2706" s="92">
        <v>4615506678</v>
      </c>
      <c r="D2706" s="93">
        <v>19175</v>
      </c>
      <c r="F2706" s="91">
        <v>10</v>
      </c>
      <c r="G2706" s="91">
        <v>0</v>
      </c>
      <c r="H2706" s="94">
        <v>0</v>
      </c>
      <c r="I2706" s="91">
        <v>0</v>
      </c>
      <c r="J2706" s="41"/>
      <c r="K2706" s="41">
        <v>43343</v>
      </c>
      <c r="L2706" s="69" t="s">
        <v>80</v>
      </c>
      <c r="M2706" s="69" t="s">
        <v>286</v>
      </c>
      <c r="N2706" s="95"/>
      <c r="P2706" t="s">
        <v>95</v>
      </c>
      <c r="Q2706" t="s">
        <v>120</v>
      </c>
      <c r="R2706" s="92" t="s">
        <v>69</v>
      </c>
      <c r="S2706" s="92" t="s">
        <v>121</v>
      </c>
      <c r="V2706" s="95">
        <v>43343</v>
      </c>
      <c r="W2706" s="92">
        <v>2030533</v>
      </c>
      <c r="X2706" s="90" t="s">
        <v>369</v>
      </c>
      <c r="Y2706" s="123"/>
      <c r="Z2706" s="30">
        <f t="shared" si="84"/>
        <v>4227.3638773950279</v>
      </c>
      <c r="AA2706" s="30">
        <f t="shared" si="85"/>
        <v>0</v>
      </c>
      <c r="AB2706" t="s">
        <v>457</v>
      </c>
    </row>
    <row r="2707" spans="1:28">
      <c r="A2707" t="s">
        <v>118</v>
      </c>
      <c r="C2707" s="92">
        <v>4615502544</v>
      </c>
      <c r="D2707" s="93">
        <v>19175</v>
      </c>
      <c r="F2707" s="91">
        <v>10</v>
      </c>
      <c r="G2707" s="91">
        <v>5</v>
      </c>
      <c r="H2707" s="94">
        <v>0</v>
      </c>
      <c r="I2707" s="91">
        <v>0</v>
      </c>
      <c r="J2707" s="41"/>
      <c r="K2707" s="41">
        <v>43343</v>
      </c>
      <c r="L2707" s="69" t="s">
        <v>80</v>
      </c>
      <c r="M2707" s="69" t="s">
        <v>286</v>
      </c>
      <c r="N2707" s="95"/>
      <c r="P2707" t="s">
        <v>95</v>
      </c>
      <c r="Q2707" t="s">
        <v>120</v>
      </c>
      <c r="R2707" s="92" t="s">
        <v>69</v>
      </c>
      <c r="S2707" s="92" t="s">
        <v>121</v>
      </c>
      <c r="V2707" s="95">
        <v>43343</v>
      </c>
      <c r="W2707" s="92">
        <v>2030533</v>
      </c>
      <c r="X2707" s="90" t="s">
        <v>369</v>
      </c>
      <c r="Y2707" s="123"/>
      <c r="Z2707" s="30">
        <f t="shared" si="84"/>
        <v>4227.3638773950279</v>
      </c>
      <c r="AA2707" s="30">
        <f t="shared" si="85"/>
        <v>2113.6819386975139</v>
      </c>
      <c r="AB2707" t="s">
        <v>457</v>
      </c>
    </row>
    <row r="2708" spans="1:28">
      <c r="A2708" t="s">
        <v>118</v>
      </c>
      <c r="C2708" s="92">
        <v>4615506678</v>
      </c>
      <c r="D2708" s="93">
        <v>19175</v>
      </c>
      <c r="F2708" s="91">
        <v>10</v>
      </c>
      <c r="G2708" s="91">
        <v>0</v>
      </c>
      <c r="H2708" s="94">
        <v>0</v>
      </c>
      <c r="I2708" s="91">
        <v>0</v>
      </c>
      <c r="J2708" s="41"/>
      <c r="K2708" s="41">
        <v>43343</v>
      </c>
      <c r="L2708" s="69" t="s">
        <v>80</v>
      </c>
      <c r="M2708" s="69" t="s">
        <v>286</v>
      </c>
      <c r="N2708" s="95"/>
      <c r="P2708" t="s">
        <v>95</v>
      </c>
      <c r="Q2708" t="s">
        <v>120</v>
      </c>
      <c r="R2708" s="92" t="s">
        <v>69</v>
      </c>
      <c r="S2708" s="92" t="s">
        <v>121</v>
      </c>
      <c r="V2708" s="95">
        <v>43343</v>
      </c>
      <c r="W2708" s="92">
        <v>2030533</v>
      </c>
      <c r="X2708" s="90" t="s">
        <v>369</v>
      </c>
      <c r="Y2708" s="123"/>
      <c r="Z2708" s="30">
        <f t="shared" si="84"/>
        <v>4227.3638773950279</v>
      </c>
      <c r="AA2708" s="30">
        <f t="shared" si="85"/>
        <v>0</v>
      </c>
      <c r="AB2708" t="s">
        <v>457</v>
      </c>
    </row>
    <row r="2709" spans="1:28">
      <c r="A2709" t="s">
        <v>118</v>
      </c>
      <c r="C2709" s="92">
        <v>4615502544</v>
      </c>
      <c r="D2709" s="93">
        <v>19175</v>
      </c>
      <c r="F2709" s="91">
        <v>10</v>
      </c>
      <c r="G2709" s="91">
        <v>5</v>
      </c>
      <c r="H2709" s="94">
        <v>0</v>
      </c>
      <c r="I2709" s="91">
        <v>0</v>
      </c>
      <c r="J2709" s="41"/>
      <c r="K2709" s="41">
        <v>43343</v>
      </c>
      <c r="L2709" s="69" t="s">
        <v>80</v>
      </c>
      <c r="M2709" s="69" t="s">
        <v>286</v>
      </c>
      <c r="N2709" s="95"/>
      <c r="P2709" t="s">
        <v>95</v>
      </c>
      <c r="Q2709" t="s">
        <v>120</v>
      </c>
      <c r="R2709" s="92" t="s">
        <v>69</v>
      </c>
      <c r="S2709" s="92" t="s">
        <v>121</v>
      </c>
      <c r="V2709" s="95">
        <v>43343</v>
      </c>
      <c r="W2709" s="92">
        <v>2030533</v>
      </c>
      <c r="X2709" s="90" t="s">
        <v>369</v>
      </c>
      <c r="Y2709" s="123"/>
      <c r="Z2709" s="30">
        <f t="shared" si="84"/>
        <v>4227.3638773950279</v>
      </c>
      <c r="AA2709" s="30">
        <f t="shared" si="85"/>
        <v>2113.6819386975139</v>
      </c>
      <c r="AB2709" t="s">
        <v>457</v>
      </c>
    </row>
    <row r="2710" spans="1:28">
      <c r="A2710" t="s">
        <v>118</v>
      </c>
      <c r="C2710" s="92">
        <v>4615506678</v>
      </c>
      <c r="D2710" s="93">
        <v>19175</v>
      </c>
      <c r="F2710" s="91">
        <v>10</v>
      </c>
      <c r="G2710" s="91">
        <v>0</v>
      </c>
      <c r="H2710" s="94">
        <v>0</v>
      </c>
      <c r="I2710" s="91">
        <v>0</v>
      </c>
      <c r="J2710" s="41"/>
      <c r="K2710" s="41">
        <v>43343</v>
      </c>
      <c r="L2710" s="69" t="s">
        <v>80</v>
      </c>
      <c r="M2710" s="69" t="s">
        <v>286</v>
      </c>
      <c r="N2710" s="95"/>
      <c r="P2710" t="s">
        <v>95</v>
      </c>
      <c r="Q2710" t="s">
        <v>120</v>
      </c>
      <c r="R2710" s="92" t="s">
        <v>69</v>
      </c>
      <c r="S2710" s="92" t="s">
        <v>121</v>
      </c>
      <c r="V2710" s="95">
        <v>43343</v>
      </c>
      <c r="W2710" s="92">
        <v>2030533</v>
      </c>
      <c r="X2710" s="90" t="s">
        <v>369</v>
      </c>
      <c r="Y2710" s="123"/>
      <c r="Z2710" s="30">
        <f t="shared" si="84"/>
        <v>4227.3638773950279</v>
      </c>
      <c r="AA2710" s="30">
        <f t="shared" si="85"/>
        <v>0</v>
      </c>
      <c r="AB2710" t="s">
        <v>457</v>
      </c>
    </row>
    <row r="2711" spans="1:28">
      <c r="A2711" t="s">
        <v>118</v>
      </c>
      <c r="C2711" s="92">
        <v>4615502544</v>
      </c>
      <c r="D2711" s="93">
        <v>19175</v>
      </c>
      <c r="F2711" s="91">
        <v>10</v>
      </c>
      <c r="G2711" s="91">
        <v>5</v>
      </c>
      <c r="H2711" s="94">
        <v>0</v>
      </c>
      <c r="I2711" s="91">
        <v>0</v>
      </c>
      <c r="J2711" s="41"/>
      <c r="K2711" s="41">
        <v>43343</v>
      </c>
      <c r="L2711" s="69" t="s">
        <v>80</v>
      </c>
      <c r="M2711" s="69" t="s">
        <v>286</v>
      </c>
      <c r="N2711" s="95"/>
      <c r="P2711" t="s">
        <v>95</v>
      </c>
      <c r="Q2711" t="s">
        <v>120</v>
      </c>
      <c r="R2711" s="92" t="s">
        <v>69</v>
      </c>
      <c r="S2711" s="92" t="s">
        <v>121</v>
      </c>
      <c r="V2711" s="95">
        <v>43343</v>
      </c>
      <c r="W2711" s="92">
        <v>2030533</v>
      </c>
      <c r="X2711" s="90" t="s">
        <v>369</v>
      </c>
      <c r="Y2711" s="123"/>
      <c r="Z2711" s="30">
        <f t="shared" si="84"/>
        <v>4227.3638773950279</v>
      </c>
      <c r="AA2711" s="30">
        <f t="shared" si="85"/>
        <v>2113.6819386975139</v>
      </c>
      <c r="AB2711" t="s">
        <v>457</v>
      </c>
    </row>
    <row r="2712" spans="1:28">
      <c r="A2712" t="s">
        <v>118</v>
      </c>
      <c r="C2712" s="92">
        <v>4615506678</v>
      </c>
      <c r="D2712" s="93">
        <v>19175</v>
      </c>
      <c r="F2712" s="91">
        <v>10</v>
      </c>
      <c r="G2712" s="91">
        <v>0</v>
      </c>
      <c r="H2712" s="94">
        <v>0</v>
      </c>
      <c r="I2712" s="91">
        <v>0</v>
      </c>
      <c r="J2712" s="41"/>
      <c r="K2712" s="41">
        <v>43343</v>
      </c>
      <c r="L2712" s="69" t="s">
        <v>80</v>
      </c>
      <c r="M2712" s="69" t="s">
        <v>286</v>
      </c>
      <c r="N2712" s="95"/>
      <c r="P2712" t="s">
        <v>95</v>
      </c>
      <c r="Q2712" t="s">
        <v>120</v>
      </c>
      <c r="R2712" s="92" t="s">
        <v>69</v>
      </c>
      <c r="S2712" s="92" t="s">
        <v>121</v>
      </c>
      <c r="V2712" s="95">
        <v>43343</v>
      </c>
      <c r="W2712" s="92">
        <v>2030533</v>
      </c>
      <c r="X2712" s="90" t="s">
        <v>369</v>
      </c>
      <c r="Y2712" s="123"/>
      <c r="Z2712" s="30">
        <f t="shared" si="84"/>
        <v>4227.3638773950279</v>
      </c>
      <c r="AA2712" s="30">
        <f t="shared" si="85"/>
        <v>0</v>
      </c>
      <c r="AB2712" t="s">
        <v>457</v>
      </c>
    </row>
    <row r="2713" spans="1:28">
      <c r="A2713" t="s">
        <v>118</v>
      </c>
      <c r="C2713" s="92">
        <v>4615502544</v>
      </c>
      <c r="D2713" s="93">
        <v>19175</v>
      </c>
      <c r="F2713" s="91">
        <v>10</v>
      </c>
      <c r="G2713" s="91">
        <v>5</v>
      </c>
      <c r="H2713" s="94">
        <v>0</v>
      </c>
      <c r="I2713" s="91">
        <v>0</v>
      </c>
      <c r="J2713" s="41"/>
      <c r="K2713" s="41">
        <v>43343</v>
      </c>
      <c r="L2713" s="69" t="s">
        <v>80</v>
      </c>
      <c r="M2713" s="69" t="s">
        <v>286</v>
      </c>
      <c r="N2713" s="95"/>
      <c r="P2713" t="s">
        <v>95</v>
      </c>
      <c r="Q2713" t="s">
        <v>120</v>
      </c>
      <c r="R2713" s="92" t="s">
        <v>69</v>
      </c>
      <c r="S2713" s="92" t="s">
        <v>121</v>
      </c>
      <c r="V2713" s="95">
        <v>43343</v>
      </c>
      <c r="W2713" s="92">
        <v>2030533</v>
      </c>
      <c r="X2713" s="90" t="s">
        <v>369</v>
      </c>
      <c r="Y2713" s="123"/>
      <c r="Z2713" s="30">
        <f t="shared" si="84"/>
        <v>4227.3638773950279</v>
      </c>
      <c r="AA2713" s="30">
        <f t="shared" si="85"/>
        <v>2113.6819386975139</v>
      </c>
      <c r="AB2713" t="s">
        <v>457</v>
      </c>
    </row>
    <row r="2714" spans="1:28">
      <c r="A2714" t="s">
        <v>118</v>
      </c>
      <c r="C2714" s="92">
        <v>4615506678</v>
      </c>
      <c r="D2714" s="93">
        <v>19175</v>
      </c>
      <c r="F2714" s="91">
        <v>10</v>
      </c>
      <c r="G2714" s="91">
        <v>0</v>
      </c>
      <c r="H2714" s="94">
        <v>0</v>
      </c>
      <c r="I2714" s="91">
        <v>0</v>
      </c>
      <c r="J2714" s="41"/>
      <c r="K2714" s="41">
        <v>43343</v>
      </c>
      <c r="L2714" s="69" t="s">
        <v>80</v>
      </c>
      <c r="M2714" s="69" t="s">
        <v>286</v>
      </c>
      <c r="N2714" s="95"/>
      <c r="P2714" t="s">
        <v>95</v>
      </c>
      <c r="Q2714" t="s">
        <v>120</v>
      </c>
      <c r="R2714" s="92" t="s">
        <v>69</v>
      </c>
      <c r="S2714" s="92" t="s">
        <v>121</v>
      </c>
      <c r="V2714" s="95">
        <v>43343</v>
      </c>
      <c r="W2714" s="92">
        <v>2030533</v>
      </c>
      <c r="X2714" s="90" t="s">
        <v>369</v>
      </c>
      <c r="Y2714" s="123"/>
      <c r="Z2714" s="30">
        <f t="shared" si="84"/>
        <v>4227.3638773950279</v>
      </c>
      <c r="AA2714" s="30">
        <f t="shared" si="85"/>
        <v>0</v>
      </c>
      <c r="AB2714" t="s">
        <v>457</v>
      </c>
    </row>
    <row r="2715" spans="1:28">
      <c r="A2715" t="s">
        <v>136</v>
      </c>
      <c r="C2715" s="92">
        <v>4615503144</v>
      </c>
      <c r="D2715" s="93">
        <v>19175</v>
      </c>
      <c r="F2715" s="91">
        <v>10</v>
      </c>
      <c r="G2715" s="91">
        <v>0</v>
      </c>
      <c r="H2715" s="94">
        <v>0</v>
      </c>
      <c r="I2715" s="91">
        <v>0</v>
      </c>
      <c r="J2715" s="41"/>
      <c r="K2715" s="41">
        <v>43343</v>
      </c>
      <c r="L2715" s="69" t="s">
        <v>80</v>
      </c>
      <c r="M2715" s="69" t="s">
        <v>286</v>
      </c>
      <c r="N2715" s="95"/>
      <c r="P2715" t="s">
        <v>95</v>
      </c>
      <c r="Q2715" t="s">
        <v>129</v>
      </c>
      <c r="R2715" s="92" t="s">
        <v>69</v>
      </c>
      <c r="S2715" s="92" t="s">
        <v>138</v>
      </c>
      <c r="V2715" s="95">
        <v>43343</v>
      </c>
      <c r="W2715" s="92">
        <v>415580161</v>
      </c>
      <c r="X2715" s="90"/>
      <c r="Y2715" s="123"/>
      <c r="Z2715" s="30">
        <f t="shared" si="84"/>
        <v>4227.3638773950279</v>
      </c>
      <c r="AA2715" s="30">
        <f t="shared" si="85"/>
        <v>0</v>
      </c>
      <c r="AB2715" t="s">
        <v>457</v>
      </c>
    </row>
    <row r="2716" spans="1:28">
      <c r="A2716" t="s">
        <v>136</v>
      </c>
      <c r="C2716" s="92">
        <v>4615503144</v>
      </c>
      <c r="D2716" s="93">
        <v>19175</v>
      </c>
      <c r="F2716" s="91">
        <v>10</v>
      </c>
      <c r="G2716" s="91">
        <v>0</v>
      </c>
      <c r="H2716" s="94">
        <v>0</v>
      </c>
      <c r="I2716" s="91">
        <v>0</v>
      </c>
      <c r="J2716" s="41"/>
      <c r="K2716" s="41">
        <v>43343</v>
      </c>
      <c r="L2716" s="69" t="s">
        <v>80</v>
      </c>
      <c r="M2716" s="69" t="s">
        <v>286</v>
      </c>
      <c r="N2716" s="95"/>
      <c r="P2716" t="s">
        <v>95</v>
      </c>
      <c r="Q2716" t="s">
        <v>129</v>
      </c>
      <c r="R2716" s="92" t="s">
        <v>69</v>
      </c>
      <c r="S2716" s="92" t="s">
        <v>138</v>
      </c>
      <c r="V2716" s="95">
        <v>43343</v>
      </c>
      <c r="W2716" s="92">
        <v>415580161</v>
      </c>
      <c r="X2716" s="90"/>
      <c r="Y2716" s="123"/>
      <c r="Z2716" s="30">
        <f t="shared" si="84"/>
        <v>4227.3638773950279</v>
      </c>
      <c r="AA2716" s="30">
        <f t="shared" si="85"/>
        <v>0</v>
      </c>
      <c r="AB2716" t="s">
        <v>457</v>
      </c>
    </row>
    <row r="2717" spans="1:28">
      <c r="A2717" t="s">
        <v>136</v>
      </c>
      <c r="C2717" s="92">
        <v>4615503144</v>
      </c>
      <c r="D2717" s="93">
        <v>19175</v>
      </c>
      <c r="F2717" s="91">
        <v>10</v>
      </c>
      <c r="G2717" s="91">
        <v>0</v>
      </c>
      <c r="H2717" s="94">
        <v>0</v>
      </c>
      <c r="I2717" s="91">
        <v>0</v>
      </c>
      <c r="J2717" s="41"/>
      <c r="K2717" s="41">
        <v>43343</v>
      </c>
      <c r="L2717" s="69" t="s">
        <v>80</v>
      </c>
      <c r="M2717" s="69" t="s">
        <v>286</v>
      </c>
      <c r="N2717" s="95"/>
      <c r="P2717" t="s">
        <v>95</v>
      </c>
      <c r="Q2717" t="s">
        <v>129</v>
      </c>
      <c r="R2717" s="92" t="s">
        <v>69</v>
      </c>
      <c r="S2717" s="92" t="s">
        <v>138</v>
      </c>
      <c r="V2717" s="95">
        <v>43343</v>
      </c>
      <c r="W2717" s="92">
        <v>415580161</v>
      </c>
      <c r="X2717" s="90"/>
      <c r="Y2717" s="123"/>
      <c r="Z2717" s="30">
        <f t="shared" si="84"/>
        <v>4227.3638773950279</v>
      </c>
      <c r="AA2717" s="30">
        <f t="shared" si="85"/>
        <v>0</v>
      </c>
      <c r="AB2717" t="s">
        <v>457</v>
      </c>
    </row>
    <row r="2718" spans="1:28">
      <c r="A2718" t="s">
        <v>136</v>
      </c>
      <c r="C2718" s="92">
        <v>4615503144</v>
      </c>
      <c r="D2718" s="93">
        <v>19175</v>
      </c>
      <c r="F2718" s="91">
        <v>10</v>
      </c>
      <c r="G2718" s="91">
        <v>0</v>
      </c>
      <c r="H2718" s="94">
        <v>0</v>
      </c>
      <c r="I2718" s="91">
        <v>0</v>
      </c>
      <c r="J2718" s="41"/>
      <c r="K2718" s="41">
        <v>43343</v>
      </c>
      <c r="L2718" s="69" t="s">
        <v>80</v>
      </c>
      <c r="M2718" s="69" t="s">
        <v>286</v>
      </c>
      <c r="N2718" s="95"/>
      <c r="P2718" t="s">
        <v>95</v>
      </c>
      <c r="Q2718" t="s">
        <v>129</v>
      </c>
      <c r="R2718" s="92" t="s">
        <v>69</v>
      </c>
      <c r="S2718" s="92" t="s">
        <v>138</v>
      </c>
      <c r="V2718" s="95">
        <v>43343</v>
      </c>
      <c r="W2718" s="92">
        <v>415580161</v>
      </c>
      <c r="X2718" s="90"/>
      <c r="Y2718" s="123"/>
      <c r="Z2718" s="30">
        <f t="shared" si="84"/>
        <v>4227.3638773950279</v>
      </c>
      <c r="AA2718" s="30">
        <f t="shared" si="85"/>
        <v>0</v>
      </c>
      <c r="AB2718" t="s">
        <v>457</v>
      </c>
    </row>
    <row r="2719" spans="1:28">
      <c r="A2719" t="s">
        <v>136</v>
      </c>
      <c r="C2719" s="92">
        <v>4615503144</v>
      </c>
      <c r="D2719" s="93">
        <v>19175</v>
      </c>
      <c r="F2719" s="91">
        <v>10</v>
      </c>
      <c r="G2719" s="91">
        <v>0</v>
      </c>
      <c r="H2719" s="94">
        <v>0</v>
      </c>
      <c r="I2719" s="91">
        <v>0</v>
      </c>
      <c r="J2719" s="41"/>
      <c r="K2719" s="41">
        <v>43343</v>
      </c>
      <c r="L2719" s="69" t="s">
        <v>80</v>
      </c>
      <c r="M2719" s="69" t="s">
        <v>286</v>
      </c>
      <c r="N2719" s="95"/>
      <c r="P2719" t="s">
        <v>95</v>
      </c>
      <c r="Q2719" t="s">
        <v>129</v>
      </c>
      <c r="R2719" s="92" t="s">
        <v>69</v>
      </c>
      <c r="S2719" s="92" t="s">
        <v>138</v>
      </c>
      <c r="V2719" s="95">
        <v>43343</v>
      </c>
      <c r="W2719" s="92">
        <v>415580161</v>
      </c>
      <c r="X2719" s="90"/>
      <c r="Y2719" s="123"/>
      <c r="Z2719" s="30">
        <f t="shared" si="84"/>
        <v>4227.3638773950279</v>
      </c>
      <c r="AA2719" s="30">
        <f t="shared" si="85"/>
        <v>0</v>
      </c>
      <c r="AB2719" t="s">
        <v>457</v>
      </c>
    </row>
    <row r="2720" spans="1:28">
      <c r="A2720" t="s">
        <v>122</v>
      </c>
      <c r="C2720" s="92">
        <v>4615480197</v>
      </c>
      <c r="D2720" s="93">
        <v>19175</v>
      </c>
      <c r="F2720" s="91">
        <v>16</v>
      </c>
      <c r="G2720" s="96">
        <v>5</v>
      </c>
      <c r="H2720" s="94">
        <v>0</v>
      </c>
      <c r="I2720" s="91">
        <v>0</v>
      </c>
      <c r="J2720" s="41"/>
      <c r="K2720" s="41">
        <v>43343</v>
      </c>
      <c r="L2720" s="69" t="s">
        <v>80</v>
      </c>
      <c r="M2720" s="69" t="s">
        <v>286</v>
      </c>
      <c r="N2720" s="95"/>
      <c r="P2720" t="s">
        <v>95</v>
      </c>
      <c r="Q2720" t="s">
        <v>120</v>
      </c>
      <c r="R2720" s="92" t="s">
        <v>69</v>
      </c>
      <c r="S2720" s="92" t="s">
        <v>123</v>
      </c>
      <c r="V2720" s="95">
        <v>43343</v>
      </c>
      <c r="W2720" s="92">
        <v>2030473</v>
      </c>
      <c r="X2720" s="90"/>
      <c r="Y2720" s="123"/>
      <c r="Z2720" s="30">
        <f t="shared" si="84"/>
        <v>6763.7822038320437</v>
      </c>
      <c r="AA2720" s="30">
        <f t="shared" si="85"/>
        <v>2113.6819386975139</v>
      </c>
      <c r="AB2720" t="s">
        <v>457</v>
      </c>
    </row>
    <row r="2721" spans="1:28">
      <c r="A2721" t="s">
        <v>122</v>
      </c>
      <c r="C2721" s="92">
        <v>4615480197</v>
      </c>
      <c r="D2721" s="93">
        <v>19175</v>
      </c>
      <c r="F2721" s="91">
        <v>16</v>
      </c>
      <c r="G2721" s="96">
        <v>5</v>
      </c>
      <c r="H2721" s="94">
        <v>0</v>
      </c>
      <c r="I2721" s="91">
        <v>0</v>
      </c>
      <c r="J2721" s="41"/>
      <c r="K2721" s="41">
        <v>43343</v>
      </c>
      <c r="L2721" s="69" t="s">
        <v>80</v>
      </c>
      <c r="M2721" s="69" t="s">
        <v>286</v>
      </c>
      <c r="N2721" s="95"/>
      <c r="P2721" t="s">
        <v>95</v>
      </c>
      <c r="Q2721" t="s">
        <v>120</v>
      </c>
      <c r="R2721" s="92" t="s">
        <v>69</v>
      </c>
      <c r="S2721" s="92" t="s">
        <v>123</v>
      </c>
      <c r="V2721" s="95">
        <v>43343</v>
      </c>
      <c r="W2721" s="92">
        <v>2030473</v>
      </c>
      <c r="X2721" s="90"/>
      <c r="Y2721" s="123"/>
      <c r="Z2721" s="30">
        <f t="shared" si="84"/>
        <v>6763.7822038320437</v>
      </c>
      <c r="AA2721" s="30">
        <f t="shared" si="85"/>
        <v>2113.6819386975139</v>
      </c>
      <c r="AB2721" t="s">
        <v>457</v>
      </c>
    </row>
    <row r="2722" spans="1:28">
      <c r="A2722" t="s">
        <v>122</v>
      </c>
      <c r="C2722" s="92">
        <v>4615480197</v>
      </c>
      <c r="D2722" s="93">
        <v>19175</v>
      </c>
      <c r="F2722" s="91">
        <v>16</v>
      </c>
      <c r="G2722" s="96">
        <v>5</v>
      </c>
      <c r="H2722" s="94">
        <v>0</v>
      </c>
      <c r="I2722" s="91">
        <v>0</v>
      </c>
      <c r="J2722" s="41"/>
      <c r="K2722" s="41">
        <v>43343</v>
      </c>
      <c r="L2722" s="69" t="s">
        <v>80</v>
      </c>
      <c r="M2722" s="69" t="s">
        <v>286</v>
      </c>
      <c r="N2722" s="95"/>
      <c r="P2722" t="s">
        <v>95</v>
      </c>
      <c r="Q2722" t="s">
        <v>120</v>
      </c>
      <c r="R2722" s="92" t="s">
        <v>69</v>
      </c>
      <c r="S2722" s="92" t="s">
        <v>123</v>
      </c>
      <c r="V2722" s="95">
        <v>43343</v>
      </c>
      <c r="W2722" s="92">
        <v>2030473</v>
      </c>
      <c r="X2722" s="90"/>
      <c r="Y2722" s="123"/>
      <c r="Z2722" s="30">
        <f t="shared" si="84"/>
        <v>6763.7822038320437</v>
      </c>
      <c r="AA2722" s="30">
        <f t="shared" si="85"/>
        <v>2113.6819386975139</v>
      </c>
      <c r="AB2722" t="s">
        <v>457</v>
      </c>
    </row>
    <row r="2723" spans="1:28">
      <c r="A2723" t="s">
        <v>122</v>
      </c>
      <c r="C2723" s="92">
        <v>4615480197</v>
      </c>
      <c r="D2723" s="93">
        <v>19175</v>
      </c>
      <c r="F2723" s="91">
        <v>16</v>
      </c>
      <c r="G2723" s="96">
        <v>5</v>
      </c>
      <c r="H2723" s="94">
        <v>0</v>
      </c>
      <c r="I2723" s="91">
        <v>0</v>
      </c>
      <c r="J2723" s="41"/>
      <c r="K2723" s="41">
        <v>43343</v>
      </c>
      <c r="L2723" s="69" t="s">
        <v>80</v>
      </c>
      <c r="M2723" s="69" t="s">
        <v>286</v>
      </c>
      <c r="N2723" s="95"/>
      <c r="P2723" t="s">
        <v>95</v>
      </c>
      <c r="Q2723" t="s">
        <v>120</v>
      </c>
      <c r="R2723" s="92" t="s">
        <v>69</v>
      </c>
      <c r="S2723" s="92" t="s">
        <v>123</v>
      </c>
      <c r="V2723" s="95">
        <v>43343</v>
      </c>
      <c r="W2723" s="92">
        <v>2030473</v>
      </c>
      <c r="X2723" s="90"/>
      <c r="Y2723" s="123"/>
      <c r="Z2723" s="30">
        <f t="shared" si="84"/>
        <v>6763.7822038320437</v>
      </c>
      <c r="AA2723" s="30">
        <f t="shared" si="85"/>
        <v>2113.6819386975139</v>
      </c>
      <c r="AB2723" t="s">
        <v>457</v>
      </c>
    </row>
    <row r="2724" spans="1:28">
      <c r="A2724" t="s">
        <v>122</v>
      </c>
      <c r="C2724" s="92">
        <v>4615480197</v>
      </c>
      <c r="D2724" s="93">
        <v>19175</v>
      </c>
      <c r="F2724" s="91">
        <v>16</v>
      </c>
      <c r="G2724" s="96">
        <v>5</v>
      </c>
      <c r="H2724" s="94">
        <v>0</v>
      </c>
      <c r="I2724" s="91">
        <v>0</v>
      </c>
      <c r="J2724" s="41"/>
      <c r="K2724" s="41">
        <v>43343</v>
      </c>
      <c r="L2724" s="69" t="s">
        <v>80</v>
      </c>
      <c r="M2724" s="69" t="s">
        <v>286</v>
      </c>
      <c r="N2724" s="95"/>
      <c r="P2724" t="s">
        <v>95</v>
      </c>
      <c r="Q2724" t="s">
        <v>120</v>
      </c>
      <c r="R2724" s="92" t="s">
        <v>69</v>
      </c>
      <c r="S2724" s="92" t="s">
        <v>123</v>
      </c>
      <c r="V2724" s="95">
        <v>43343</v>
      </c>
      <c r="W2724" s="92">
        <v>2030473</v>
      </c>
      <c r="X2724" s="90"/>
      <c r="Y2724" s="123"/>
      <c r="Z2724" s="30">
        <f t="shared" si="84"/>
        <v>6763.7822038320437</v>
      </c>
      <c r="AA2724" s="30">
        <f t="shared" si="85"/>
        <v>2113.6819386975139</v>
      </c>
      <c r="AB2724" t="s">
        <v>457</v>
      </c>
    </row>
    <row r="2725" spans="1:28">
      <c r="A2725" t="s">
        <v>122</v>
      </c>
      <c r="C2725" s="92">
        <v>4615480197</v>
      </c>
      <c r="D2725" s="93">
        <v>19175</v>
      </c>
      <c r="F2725" s="91">
        <v>16</v>
      </c>
      <c r="G2725" s="96">
        <v>5</v>
      </c>
      <c r="H2725" s="94">
        <v>0</v>
      </c>
      <c r="I2725" s="91">
        <v>0</v>
      </c>
      <c r="J2725" s="41"/>
      <c r="K2725" s="41">
        <v>43343</v>
      </c>
      <c r="L2725" s="69" t="s">
        <v>80</v>
      </c>
      <c r="M2725" s="69" t="s">
        <v>286</v>
      </c>
      <c r="N2725" s="95"/>
      <c r="P2725" t="s">
        <v>95</v>
      </c>
      <c r="Q2725" t="s">
        <v>120</v>
      </c>
      <c r="R2725" s="92" t="s">
        <v>69</v>
      </c>
      <c r="S2725" s="92" t="s">
        <v>123</v>
      </c>
      <c r="V2725" s="95">
        <v>43343</v>
      </c>
      <c r="W2725" s="92">
        <v>2030473</v>
      </c>
      <c r="X2725" s="90"/>
      <c r="Y2725" s="123"/>
      <c r="Z2725" s="30">
        <f t="shared" si="84"/>
        <v>6763.7822038320437</v>
      </c>
      <c r="AA2725" s="30">
        <f t="shared" si="85"/>
        <v>2113.6819386975139</v>
      </c>
      <c r="AB2725" t="s">
        <v>457</v>
      </c>
    </row>
    <row r="2726" spans="1:28">
      <c r="A2726" t="s">
        <v>122</v>
      </c>
      <c r="C2726" s="92">
        <v>4615490897</v>
      </c>
      <c r="D2726" s="93">
        <v>19200</v>
      </c>
      <c r="F2726" s="91">
        <v>16</v>
      </c>
      <c r="G2726" s="96">
        <v>5</v>
      </c>
      <c r="H2726" s="94">
        <v>0</v>
      </c>
      <c r="I2726" s="91">
        <v>0</v>
      </c>
      <c r="J2726" s="41"/>
      <c r="K2726" s="41">
        <v>43343</v>
      </c>
      <c r="L2726" s="69" t="s">
        <v>80</v>
      </c>
      <c r="M2726" s="69" t="s">
        <v>286</v>
      </c>
      <c r="N2726" s="95"/>
      <c r="P2726" t="s">
        <v>95</v>
      </c>
      <c r="Q2726" t="s">
        <v>120</v>
      </c>
      <c r="R2726" s="92" t="s">
        <v>69</v>
      </c>
      <c r="S2726" s="92" t="s">
        <v>123</v>
      </c>
      <c r="V2726" s="95">
        <v>43343</v>
      </c>
      <c r="W2726" s="92">
        <v>2030506</v>
      </c>
      <c r="X2726" s="90"/>
      <c r="Y2726" s="123"/>
      <c r="Z2726" s="30">
        <f t="shared" si="84"/>
        <v>6772.6006943194379</v>
      </c>
      <c r="AA2726" s="30">
        <f t="shared" si="85"/>
        <v>2116.4377169748245</v>
      </c>
      <c r="AB2726" t="s">
        <v>457</v>
      </c>
    </row>
    <row r="2727" spans="1:28">
      <c r="A2727" t="s">
        <v>122</v>
      </c>
      <c r="C2727" s="92">
        <v>4615490897</v>
      </c>
      <c r="D2727" s="93">
        <v>19200</v>
      </c>
      <c r="F2727" s="91">
        <v>16</v>
      </c>
      <c r="G2727" s="96">
        <v>5</v>
      </c>
      <c r="H2727" s="94">
        <v>0</v>
      </c>
      <c r="I2727" s="91">
        <v>0</v>
      </c>
      <c r="J2727" s="41"/>
      <c r="K2727" s="41">
        <v>43343</v>
      </c>
      <c r="L2727" s="69" t="s">
        <v>80</v>
      </c>
      <c r="M2727" s="69" t="s">
        <v>286</v>
      </c>
      <c r="N2727" s="95"/>
      <c r="P2727" t="s">
        <v>95</v>
      </c>
      <c r="Q2727" t="s">
        <v>120</v>
      </c>
      <c r="R2727" s="92" t="s">
        <v>69</v>
      </c>
      <c r="S2727" s="92" t="s">
        <v>123</v>
      </c>
      <c r="V2727" s="95">
        <v>43343</v>
      </c>
      <c r="W2727" s="92">
        <v>2030506</v>
      </c>
      <c r="X2727" s="90"/>
      <c r="Y2727" s="123"/>
      <c r="Z2727" s="30">
        <f t="shared" si="84"/>
        <v>6772.6006943194379</v>
      </c>
      <c r="AA2727" s="30">
        <f t="shared" si="85"/>
        <v>2116.4377169748245</v>
      </c>
      <c r="AB2727" t="s">
        <v>457</v>
      </c>
    </row>
    <row r="2728" spans="1:28">
      <c r="A2728" t="s">
        <v>122</v>
      </c>
      <c r="C2728" s="92">
        <v>4615490897</v>
      </c>
      <c r="D2728" s="93">
        <v>19200</v>
      </c>
      <c r="F2728" s="91">
        <v>16</v>
      </c>
      <c r="G2728" s="96">
        <v>5</v>
      </c>
      <c r="H2728" s="94">
        <v>0</v>
      </c>
      <c r="I2728" s="91">
        <v>0</v>
      </c>
      <c r="J2728" s="41"/>
      <c r="K2728" s="41">
        <v>43343</v>
      </c>
      <c r="L2728" s="69" t="s">
        <v>80</v>
      </c>
      <c r="M2728" s="69" t="s">
        <v>286</v>
      </c>
      <c r="N2728" s="95"/>
      <c r="P2728" t="s">
        <v>95</v>
      </c>
      <c r="Q2728" t="s">
        <v>120</v>
      </c>
      <c r="R2728" s="92" t="s">
        <v>69</v>
      </c>
      <c r="S2728" s="92" t="s">
        <v>123</v>
      </c>
      <c r="V2728" s="95">
        <v>43343</v>
      </c>
      <c r="W2728" s="92">
        <v>2030506</v>
      </c>
      <c r="X2728" s="90"/>
      <c r="Y2728" s="123"/>
      <c r="Z2728" s="30">
        <f t="shared" si="84"/>
        <v>6772.6006943194379</v>
      </c>
      <c r="AA2728" s="30">
        <f t="shared" si="85"/>
        <v>2116.4377169748245</v>
      </c>
      <c r="AB2728" t="s">
        <v>457</v>
      </c>
    </row>
    <row r="2729" spans="1:28">
      <c r="A2729" t="s">
        <v>122</v>
      </c>
      <c r="C2729" s="92">
        <v>4615490897</v>
      </c>
      <c r="D2729" s="93">
        <v>19200</v>
      </c>
      <c r="F2729" s="91">
        <v>16</v>
      </c>
      <c r="G2729" s="96">
        <v>5</v>
      </c>
      <c r="H2729" s="94">
        <v>0</v>
      </c>
      <c r="I2729" s="91">
        <v>0</v>
      </c>
      <c r="J2729" s="41"/>
      <c r="K2729" s="41">
        <v>43343</v>
      </c>
      <c r="L2729" s="69" t="s">
        <v>80</v>
      </c>
      <c r="M2729" s="69" t="s">
        <v>286</v>
      </c>
      <c r="N2729" s="95"/>
      <c r="P2729" t="s">
        <v>95</v>
      </c>
      <c r="Q2729" t="s">
        <v>120</v>
      </c>
      <c r="R2729" s="92" t="s">
        <v>69</v>
      </c>
      <c r="S2729" s="92" t="s">
        <v>123</v>
      </c>
      <c r="V2729" s="95">
        <v>43343</v>
      </c>
      <c r="W2729" s="92">
        <v>2030506</v>
      </c>
      <c r="X2729" s="90"/>
      <c r="Y2729" s="123"/>
      <c r="Z2729" s="30">
        <f t="shared" si="84"/>
        <v>6772.6006943194379</v>
      </c>
      <c r="AA2729" s="30">
        <f t="shared" si="85"/>
        <v>2116.4377169748245</v>
      </c>
      <c r="AB2729" t="s">
        <v>457</v>
      </c>
    </row>
    <row r="2730" spans="1:28">
      <c r="A2730" t="s">
        <v>122</v>
      </c>
      <c r="C2730" s="92">
        <v>4615490897</v>
      </c>
      <c r="D2730" s="93">
        <v>19200</v>
      </c>
      <c r="F2730" s="91">
        <v>16</v>
      </c>
      <c r="G2730" s="96">
        <v>5</v>
      </c>
      <c r="H2730" s="94">
        <v>0</v>
      </c>
      <c r="I2730" s="91">
        <v>0</v>
      </c>
      <c r="J2730" s="41"/>
      <c r="K2730" s="41">
        <v>43343</v>
      </c>
      <c r="L2730" s="69" t="s">
        <v>80</v>
      </c>
      <c r="M2730" s="69" t="s">
        <v>286</v>
      </c>
      <c r="N2730" s="95"/>
      <c r="P2730" t="s">
        <v>95</v>
      </c>
      <c r="Q2730" t="s">
        <v>120</v>
      </c>
      <c r="R2730" s="92" t="s">
        <v>69</v>
      </c>
      <c r="S2730" s="92" t="s">
        <v>123</v>
      </c>
      <c r="V2730" s="95">
        <v>43343</v>
      </c>
      <c r="W2730" s="92">
        <v>2030506</v>
      </c>
      <c r="X2730" s="90"/>
      <c r="Y2730" s="123"/>
      <c r="Z2730" s="30">
        <f t="shared" si="84"/>
        <v>6772.6006943194379</v>
      </c>
      <c r="AA2730" s="30">
        <f t="shared" si="85"/>
        <v>2116.4377169748245</v>
      </c>
      <c r="AB2730" t="s">
        <v>457</v>
      </c>
    </row>
    <row r="2731" spans="1:28">
      <c r="A2731" t="s">
        <v>122</v>
      </c>
      <c r="C2731" s="92">
        <v>4615490897</v>
      </c>
      <c r="D2731" s="93">
        <v>19200</v>
      </c>
      <c r="F2731" s="91">
        <v>16</v>
      </c>
      <c r="G2731" s="96">
        <v>5</v>
      </c>
      <c r="H2731" s="94">
        <v>0</v>
      </c>
      <c r="I2731" s="91">
        <v>0</v>
      </c>
      <c r="J2731" s="41"/>
      <c r="K2731" s="41">
        <v>43343</v>
      </c>
      <c r="L2731" s="69" t="s">
        <v>80</v>
      </c>
      <c r="M2731" s="69" t="s">
        <v>286</v>
      </c>
      <c r="N2731" s="95"/>
      <c r="P2731" t="s">
        <v>95</v>
      </c>
      <c r="Q2731" t="s">
        <v>120</v>
      </c>
      <c r="R2731" s="92" t="s">
        <v>69</v>
      </c>
      <c r="S2731" s="92" t="s">
        <v>123</v>
      </c>
      <c r="V2731" s="95">
        <v>43343</v>
      </c>
      <c r="W2731" s="92">
        <v>2030506</v>
      </c>
      <c r="X2731" s="90"/>
      <c r="Y2731" s="123"/>
      <c r="Z2731" s="30">
        <f t="shared" si="84"/>
        <v>6772.6006943194379</v>
      </c>
      <c r="AA2731" s="30">
        <f t="shared" si="85"/>
        <v>2116.4377169748245</v>
      </c>
      <c r="AB2731" t="s">
        <v>457</v>
      </c>
    </row>
    <row r="2732" spans="1:28">
      <c r="A2732" t="s">
        <v>122</v>
      </c>
      <c r="C2732" s="92">
        <v>4615490897</v>
      </c>
      <c r="D2732" s="93">
        <v>19200</v>
      </c>
      <c r="F2732" s="91">
        <v>16</v>
      </c>
      <c r="G2732" s="96">
        <v>5</v>
      </c>
      <c r="H2732" s="94">
        <v>0</v>
      </c>
      <c r="I2732" s="91">
        <v>0</v>
      </c>
      <c r="J2732" s="41"/>
      <c r="K2732" s="41">
        <v>43343</v>
      </c>
      <c r="L2732" s="69" t="s">
        <v>80</v>
      </c>
      <c r="M2732" s="69" t="s">
        <v>286</v>
      </c>
      <c r="N2732" s="95"/>
      <c r="P2732" t="s">
        <v>95</v>
      </c>
      <c r="Q2732" t="s">
        <v>120</v>
      </c>
      <c r="R2732" s="92" t="s">
        <v>69</v>
      </c>
      <c r="S2732" s="92" t="s">
        <v>123</v>
      </c>
      <c r="V2732" s="95">
        <v>43343</v>
      </c>
      <c r="W2732" s="92">
        <v>2030506</v>
      </c>
      <c r="X2732" s="90"/>
      <c r="Y2732" s="123"/>
      <c r="Z2732" s="30">
        <f t="shared" si="84"/>
        <v>6772.6006943194379</v>
      </c>
      <c r="AA2732" s="30">
        <f t="shared" si="85"/>
        <v>2116.4377169748245</v>
      </c>
      <c r="AB2732" t="s">
        <v>457</v>
      </c>
    </row>
    <row r="2733" spans="1:28">
      <c r="A2733" t="s">
        <v>122</v>
      </c>
      <c r="C2733" s="92">
        <v>4615490897</v>
      </c>
      <c r="D2733" s="93">
        <v>19200</v>
      </c>
      <c r="F2733" s="91">
        <v>16</v>
      </c>
      <c r="G2733" s="96">
        <v>5</v>
      </c>
      <c r="H2733" s="94">
        <v>0</v>
      </c>
      <c r="I2733" s="91">
        <v>0</v>
      </c>
      <c r="J2733" s="41"/>
      <c r="K2733" s="41">
        <v>43343</v>
      </c>
      <c r="L2733" s="69" t="s">
        <v>80</v>
      </c>
      <c r="M2733" s="69" t="s">
        <v>286</v>
      </c>
      <c r="N2733" s="95"/>
      <c r="P2733" t="s">
        <v>95</v>
      </c>
      <c r="Q2733" t="s">
        <v>120</v>
      </c>
      <c r="R2733" s="92" t="s">
        <v>69</v>
      </c>
      <c r="S2733" s="92" t="s">
        <v>123</v>
      </c>
      <c r="V2733" s="95">
        <v>43343</v>
      </c>
      <c r="W2733" s="92">
        <v>2030506</v>
      </c>
      <c r="X2733" s="90"/>
      <c r="Y2733" s="123"/>
      <c r="Z2733" s="30">
        <f t="shared" si="84"/>
        <v>6772.6006943194379</v>
      </c>
      <c r="AA2733" s="30">
        <f t="shared" si="85"/>
        <v>2116.4377169748245</v>
      </c>
      <c r="AB2733" t="s">
        <v>457</v>
      </c>
    </row>
    <row r="2734" spans="1:28">
      <c r="A2734" t="s">
        <v>122</v>
      </c>
      <c r="C2734" s="92">
        <v>4615490897</v>
      </c>
      <c r="D2734" s="93">
        <v>19200</v>
      </c>
      <c r="F2734" s="91">
        <v>16</v>
      </c>
      <c r="G2734" s="96">
        <v>5</v>
      </c>
      <c r="H2734" s="94">
        <v>0</v>
      </c>
      <c r="I2734" s="91">
        <v>0</v>
      </c>
      <c r="J2734" s="41"/>
      <c r="K2734" s="41">
        <v>43343</v>
      </c>
      <c r="L2734" s="69" t="s">
        <v>80</v>
      </c>
      <c r="M2734" s="69" t="s">
        <v>286</v>
      </c>
      <c r="N2734" s="95"/>
      <c r="P2734" t="s">
        <v>95</v>
      </c>
      <c r="Q2734" t="s">
        <v>120</v>
      </c>
      <c r="R2734" s="92" t="s">
        <v>69</v>
      </c>
      <c r="S2734" s="92" t="s">
        <v>123</v>
      </c>
      <c r="V2734" s="95">
        <v>43343</v>
      </c>
      <c r="W2734" s="92">
        <v>2030506</v>
      </c>
      <c r="X2734" s="90"/>
      <c r="Y2734" s="123"/>
      <c r="Z2734" s="30">
        <f t="shared" si="84"/>
        <v>6772.6006943194379</v>
      </c>
      <c r="AA2734" s="30">
        <f t="shared" si="85"/>
        <v>2116.4377169748245</v>
      </c>
      <c r="AB2734" t="s">
        <v>457</v>
      </c>
    </row>
    <row r="2735" spans="1:28">
      <c r="A2735" t="s">
        <v>122</v>
      </c>
      <c r="C2735" s="92">
        <v>4615490897</v>
      </c>
      <c r="D2735" s="93">
        <v>19200</v>
      </c>
      <c r="F2735" s="91">
        <v>16</v>
      </c>
      <c r="G2735" s="96">
        <v>5</v>
      </c>
      <c r="H2735" s="94">
        <v>0</v>
      </c>
      <c r="I2735" s="91">
        <v>0</v>
      </c>
      <c r="J2735" s="41"/>
      <c r="K2735" s="41">
        <v>43343</v>
      </c>
      <c r="L2735" s="69" t="s">
        <v>80</v>
      </c>
      <c r="M2735" s="69" t="s">
        <v>286</v>
      </c>
      <c r="N2735" s="95"/>
      <c r="P2735" t="s">
        <v>95</v>
      </c>
      <c r="Q2735" t="s">
        <v>120</v>
      </c>
      <c r="R2735" s="92" t="s">
        <v>69</v>
      </c>
      <c r="S2735" s="92" t="s">
        <v>123</v>
      </c>
      <c r="V2735" s="95">
        <v>43343</v>
      </c>
      <c r="W2735" s="92">
        <v>2030506</v>
      </c>
      <c r="X2735" s="90"/>
      <c r="Y2735" s="123"/>
      <c r="Z2735" s="30">
        <f t="shared" si="84"/>
        <v>6772.6006943194379</v>
      </c>
      <c r="AA2735" s="30">
        <f t="shared" si="85"/>
        <v>2116.4377169748245</v>
      </c>
      <c r="AB2735" t="s">
        <v>457</v>
      </c>
    </row>
    <row r="2736" spans="1:28">
      <c r="A2736" t="s">
        <v>122</v>
      </c>
      <c r="C2736" s="92">
        <v>4615490897</v>
      </c>
      <c r="D2736" s="93">
        <v>19200</v>
      </c>
      <c r="F2736" s="91">
        <v>16</v>
      </c>
      <c r="G2736" s="96">
        <v>5</v>
      </c>
      <c r="H2736" s="94">
        <v>0</v>
      </c>
      <c r="I2736" s="91">
        <v>0</v>
      </c>
      <c r="J2736" s="41"/>
      <c r="K2736" s="41">
        <v>43343</v>
      </c>
      <c r="L2736" s="69" t="s">
        <v>80</v>
      </c>
      <c r="M2736" s="69" t="s">
        <v>286</v>
      </c>
      <c r="N2736" s="95"/>
      <c r="P2736" t="s">
        <v>95</v>
      </c>
      <c r="Q2736" t="s">
        <v>120</v>
      </c>
      <c r="R2736" s="92" t="s">
        <v>69</v>
      </c>
      <c r="S2736" s="92" t="s">
        <v>123</v>
      </c>
      <c r="V2736" s="95">
        <v>43343</v>
      </c>
      <c r="W2736" s="92">
        <v>2030506</v>
      </c>
      <c r="X2736" s="90"/>
      <c r="Y2736" s="123"/>
      <c r="Z2736" s="30">
        <f t="shared" si="84"/>
        <v>6772.6006943194379</v>
      </c>
      <c r="AA2736" s="30">
        <f t="shared" si="85"/>
        <v>2116.4377169748245</v>
      </c>
      <c r="AB2736" t="s">
        <v>457</v>
      </c>
    </row>
    <row r="2737" spans="1:28">
      <c r="A2737" t="s">
        <v>122</v>
      </c>
      <c r="C2737" s="92">
        <v>4615446628</v>
      </c>
      <c r="D2737" s="93">
        <v>19200</v>
      </c>
      <c r="F2737" s="91">
        <v>16</v>
      </c>
      <c r="G2737" s="96">
        <v>5</v>
      </c>
      <c r="H2737" s="94">
        <v>0</v>
      </c>
      <c r="I2737" s="91">
        <v>0</v>
      </c>
      <c r="J2737" s="41"/>
      <c r="K2737" s="41">
        <v>43343</v>
      </c>
      <c r="L2737" s="69" t="s">
        <v>80</v>
      </c>
      <c r="M2737" s="69" t="s">
        <v>286</v>
      </c>
      <c r="N2737" s="95"/>
      <c r="P2737" t="s">
        <v>95</v>
      </c>
      <c r="Q2737" t="s">
        <v>120</v>
      </c>
      <c r="R2737" s="92" t="s">
        <v>69</v>
      </c>
      <c r="S2737" s="92" t="s">
        <v>123</v>
      </c>
      <c r="V2737" s="95">
        <v>43343</v>
      </c>
      <c r="W2737" s="92">
        <v>2030516</v>
      </c>
      <c r="X2737" s="90"/>
      <c r="Y2737" s="123"/>
      <c r="Z2737" s="30">
        <f t="shared" si="84"/>
        <v>6772.6006943194379</v>
      </c>
      <c r="AA2737" s="30">
        <f t="shared" si="85"/>
        <v>2116.4377169748245</v>
      </c>
      <c r="AB2737" t="s">
        <v>457</v>
      </c>
    </row>
    <row r="2738" spans="1:28">
      <c r="A2738" t="s">
        <v>122</v>
      </c>
      <c r="C2738" s="92">
        <v>4615446628</v>
      </c>
      <c r="D2738" s="93">
        <v>19200</v>
      </c>
      <c r="F2738" s="91">
        <v>16</v>
      </c>
      <c r="G2738" s="96">
        <v>5</v>
      </c>
      <c r="H2738" s="94">
        <v>0</v>
      </c>
      <c r="I2738" s="91">
        <v>0</v>
      </c>
      <c r="J2738" s="41"/>
      <c r="K2738" s="41">
        <v>43343</v>
      </c>
      <c r="L2738" s="69" t="s">
        <v>80</v>
      </c>
      <c r="M2738" s="69" t="s">
        <v>286</v>
      </c>
      <c r="N2738" s="95"/>
      <c r="P2738" t="s">
        <v>95</v>
      </c>
      <c r="Q2738" t="s">
        <v>120</v>
      </c>
      <c r="R2738" s="92" t="s">
        <v>69</v>
      </c>
      <c r="S2738" s="92" t="s">
        <v>123</v>
      </c>
      <c r="V2738" s="95">
        <v>43343</v>
      </c>
      <c r="W2738" s="92">
        <v>2030516</v>
      </c>
      <c r="X2738" s="90"/>
      <c r="Y2738" s="123"/>
      <c r="Z2738" s="30">
        <f t="shared" si="84"/>
        <v>6772.6006943194379</v>
      </c>
      <c r="AA2738" s="30">
        <f t="shared" si="85"/>
        <v>2116.4377169748245</v>
      </c>
      <c r="AB2738" t="s">
        <v>457</v>
      </c>
    </row>
    <row r="2739" spans="1:28">
      <c r="A2739" t="s">
        <v>122</v>
      </c>
      <c r="C2739" s="92">
        <v>4615446628</v>
      </c>
      <c r="D2739" s="93">
        <v>19200</v>
      </c>
      <c r="F2739" s="91">
        <v>16</v>
      </c>
      <c r="G2739" s="96">
        <v>5</v>
      </c>
      <c r="H2739" s="94">
        <v>0</v>
      </c>
      <c r="I2739" s="91">
        <v>0</v>
      </c>
      <c r="J2739" s="41"/>
      <c r="K2739" s="41">
        <v>43343</v>
      </c>
      <c r="L2739" s="69" t="s">
        <v>80</v>
      </c>
      <c r="M2739" s="69" t="s">
        <v>286</v>
      </c>
      <c r="N2739" s="95"/>
      <c r="P2739" t="s">
        <v>95</v>
      </c>
      <c r="Q2739" t="s">
        <v>120</v>
      </c>
      <c r="R2739" s="92" t="s">
        <v>69</v>
      </c>
      <c r="S2739" s="92" t="s">
        <v>123</v>
      </c>
      <c r="V2739" s="95">
        <v>43343</v>
      </c>
      <c r="W2739" s="92">
        <v>2030516</v>
      </c>
      <c r="X2739" s="90"/>
      <c r="Y2739" s="123"/>
      <c r="Z2739" s="30">
        <f t="shared" si="84"/>
        <v>6772.6006943194379</v>
      </c>
      <c r="AA2739" s="30">
        <f t="shared" si="85"/>
        <v>2116.4377169748245</v>
      </c>
      <c r="AB2739" t="s">
        <v>457</v>
      </c>
    </row>
    <row r="2740" spans="1:28">
      <c r="A2740" t="s">
        <v>122</v>
      </c>
      <c r="C2740" s="92">
        <v>4615446628</v>
      </c>
      <c r="D2740" s="93">
        <v>19200</v>
      </c>
      <c r="F2740" s="91">
        <v>16</v>
      </c>
      <c r="G2740" s="96">
        <v>5</v>
      </c>
      <c r="H2740" s="94">
        <v>0</v>
      </c>
      <c r="I2740" s="91">
        <v>0</v>
      </c>
      <c r="J2740" s="41"/>
      <c r="K2740" s="41">
        <v>43343</v>
      </c>
      <c r="L2740" s="69" t="s">
        <v>80</v>
      </c>
      <c r="M2740" s="69" t="s">
        <v>286</v>
      </c>
      <c r="N2740" s="95"/>
      <c r="P2740" t="s">
        <v>95</v>
      </c>
      <c r="Q2740" t="s">
        <v>120</v>
      </c>
      <c r="R2740" s="92" t="s">
        <v>69</v>
      </c>
      <c r="S2740" s="92" t="s">
        <v>123</v>
      </c>
      <c r="V2740" s="95">
        <v>43343</v>
      </c>
      <c r="W2740" s="92">
        <v>2030516</v>
      </c>
      <c r="X2740" s="90"/>
      <c r="Y2740" s="123"/>
      <c r="Z2740" s="30">
        <f t="shared" si="84"/>
        <v>6772.6006943194379</v>
      </c>
      <c r="AA2740" s="30">
        <f t="shared" si="85"/>
        <v>2116.4377169748245</v>
      </c>
      <c r="AB2740" t="s">
        <v>457</v>
      </c>
    </row>
    <row r="2741" spans="1:28">
      <c r="A2741" t="s">
        <v>122</v>
      </c>
      <c r="C2741" s="92">
        <v>4615446628</v>
      </c>
      <c r="D2741" s="93">
        <v>19200</v>
      </c>
      <c r="F2741" s="91">
        <v>16</v>
      </c>
      <c r="G2741" s="96">
        <v>5</v>
      </c>
      <c r="H2741" s="94">
        <v>0</v>
      </c>
      <c r="I2741" s="91">
        <v>0</v>
      </c>
      <c r="J2741" s="41"/>
      <c r="K2741" s="41">
        <v>43343</v>
      </c>
      <c r="L2741" s="69" t="s">
        <v>80</v>
      </c>
      <c r="M2741" s="69" t="s">
        <v>286</v>
      </c>
      <c r="N2741" s="95"/>
      <c r="P2741" t="s">
        <v>95</v>
      </c>
      <c r="Q2741" t="s">
        <v>120</v>
      </c>
      <c r="R2741" s="92" t="s">
        <v>69</v>
      </c>
      <c r="S2741" s="92" t="s">
        <v>123</v>
      </c>
      <c r="V2741" s="95">
        <v>43343</v>
      </c>
      <c r="W2741" s="92">
        <v>2030516</v>
      </c>
      <c r="X2741" s="90"/>
      <c r="Y2741" s="123"/>
      <c r="Z2741" s="30">
        <f t="shared" si="84"/>
        <v>6772.6006943194379</v>
      </c>
      <c r="AA2741" s="30">
        <f t="shared" si="85"/>
        <v>2116.4377169748245</v>
      </c>
      <c r="AB2741" t="s">
        <v>457</v>
      </c>
    </row>
    <row r="2742" spans="1:28">
      <c r="A2742" t="s">
        <v>122</v>
      </c>
      <c r="C2742" s="92">
        <v>4615446628</v>
      </c>
      <c r="D2742" s="93">
        <v>19200</v>
      </c>
      <c r="F2742" s="91">
        <v>16</v>
      </c>
      <c r="G2742" s="96">
        <v>5</v>
      </c>
      <c r="H2742" s="94">
        <v>0</v>
      </c>
      <c r="I2742" s="91">
        <v>0</v>
      </c>
      <c r="J2742" s="41"/>
      <c r="K2742" s="41">
        <v>43343</v>
      </c>
      <c r="L2742" s="69" t="s">
        <v>80</v>
      </c>
      <c r="M2742" s="69" t="s">
        <v>286</v>
      </c>
      <c r="N2742" s="95"/>
      <c r="P2742" t="s">
        <v>95</v>
      </c>
      <c r="Q2742" t="s">
        <v>120</v>
      </c>
      <c r="R2742" s="92" t="s">
        <v>69</v>
      </c>
      <c r="S2742" s="92" t="s">
        <v>123</v>
      </c>
      <c r="V2742" s="95">
        <v>43343</v>
      </c>
      <c r="W2742" s="92">
        <v>2030516</v>
      </c>
      <c r="X2742" s="90"/>
      <c r="Y2742" s="123"/>
      <c r="Z2742" s="30">
        <f t="shared" si="84"/>
        <v>6772.6006943194379</v>
      </c>
      <c r="AA2742" s="30">
        <f t="shared" si="85"/>
        <v>2116.4377169748245</v>
      </c>
      <c r="AB2742" t="s">
        <v>457</v>
      </c>
    </row>
    <row r="2743" spans="1:28">
      <c r="A2743" t="s">
        <v>122</v>
      </c>
      <c r="C2743" s="92">
        <v>4615446628</v>
      </c>
      <c r="D2743" s="93">
        <v>19200</v>
      </c>
      <c r="F2743" s="91">
        <v>16</v>
      </c>
      <c r="G2743" s="96">
        <v>5</v>
      </c>
      <c r="H2743" s="94">
        <v>0</v>
      </c>
      <c r="I2743" s="91">
        <v>0</v>
      </c>
      <c r="J2743" s="41"/>
      <c r="K2743" s="41">
        <v>43343</v>
      </c>
      <c r="L2743" s="69" t="s">
        <v>80</v>
      </c>
      <c r="M2743" s="69" t="s">
        <v>286</v>
      </c>
      <c r="N2743" s="95"/>
      <c r="P2743" t="s">
        <v>95</v>
      </c>
      <c r="Q2743" t="s">
        <v>120</v>
      </c>
      <c r="R2743" s="92" t="s">
        <v>69</v>
      </c>
      <c r="S2743" s="92" t="s">
        <v>123</v>
      </c>
      <c r="V2743" s="95">
        <v>43343</v>
      </c>
      <c r="W2743" s="92">
        <v>2030516</v>
      </c>
      <c r="X2743" s="90"/>
      <c r="Y2743" s="123"/>
      <c r="Z2743" s="30">
        <f t="shared" si="84"/>
        <v>6772.6006943194379</v>
      </c>
      <c r="AA2743" s="30">
        <f t="shared" si="85"/>
        <v>2116.4377169748245</v>
      </c>
      <c r="AB2743" t="s">
        <v>457</v>
      </c>
    </row>
    <row r="2744" spans="1:28">
      <c r="A2744" t="s">
        <v>122</v>
      </c>
      <c r="C2744" s="92">
        <v>4615446628</v>
      </c>
      <c r="D2744" s="93">
        <v>19200</v>
      </c>
      <c r="F2744" s="91">
        <v>16</v>
      </c>
      <c r="G2744" s="96">
        <v>5</v>
      </c>
      <c r="H2744" s="94">
        <v>0</v>
      </c>
      <c r="I2744" s="91">
        <v>0</v>
      </c>
      <c r="J2744" s="41"/>
      <c r="K2744" s="41">
        <v>43343</v>
      </c>
      <c r="L2744" s="69" t="s">
        <v>80</v>
      </c>
      <c r="M2744" s="69" t="s">
        <v>286</v>
      </c>
      <c r="N2744" s="95"/>
      <c r="P2744" t="s">
        <v>95</v>
      </c>
      <c r="Q2744" t="s">
        <v>120</v>
      </c>
      <c r="R2744" s="92" t="s">
        <v>69</v>
      </c>
      <c r="S2744" s="92" t="s">
        <v>123</v>
      </c>
      <c r="V2744" s="95">
        <v>43343</v>
      </c>
      <c r="W2744" s="92">
        <v>2030516</v>
      </c>
      <c r="X2744" s="90"/>
      <c r="Y2744" s="123"/>
      <c r="Z2744" s="30">
        <f t="shared" si="84"/>
        <v>6772.6006943194379</v>
      </c>
      <c r="AA2744" s="30">
        <f t="shared" si="85"/>
        <v>2116.4377169748245</v>
      </c>
      <c r="AB2744" t="s">
        <v>457</v>
      </c>
    </row>
    <row r="2745" spans="1:28">
      <c r="A2745" t="s">
        <v>122</v>
      </c>
      <c r="C2745" s="92">
        <v>4615446628</v>
      </c>
      <c r="D2745" s="93">
        <v>19200</v>
      </c>
      <c r="F2745" s="91">
        <v>16</v>
      </c>
      <c r="G2745" s="96">
        <v>5</v>
      </c>
      <c r="H2745" s="94">
        <v>0</v>
      </c>
      <c r="I2745" s="91">
        <v>0</v>
      </c>
      <c r="J2745" s="41"/>
      <c r="K2745" s="41">
        <v>43343</v>
      </c>
      <c r="L2745" s="69" t="s">
        <v>80</v>
      </c>
      <c r="M2745" s="69" t="s">
        <v>286</v>
      </c>
      <c r="N2745" s="95"/>
      <c r="P2745" t="s">
        <v>95</v>
      </c>
      <c r="Q2745" t="s">
        <v>120</v>
      </c>
      <c r="R2745" s="92" t="s">
        <v>69</v>
      </c>
      <c r="S2745" s="92" t="s">
        <v>123</v>
      </c>
      <c r="V2745" s="95">
        <v>43343</v>
      </c>
      <c r="W2745" s="92">
        <v>2030516</v>
      </c>
      <c r="X2745" s="90"/>
      <c r="Y2745" s="123"/>
      <c r="Z2745" s="30">
        <f t="shared" si="84"/>
        <v>6772.6006943194379</v>
      </c>
      <c r="AA2745" s="30">
        <f t="shared" si="85"/>
        <v>2116.4377169748245</v>
      </c>
      <c r="AB2745" t="s">
        <v>457</v>
      </c>
    </row>
    <row r="2746" spans="1:28">
      <c r="A2746" t="s">
        <v>122</v>
      </c>
      <c r="C2746" s="92">
        <v>4615446628</v>
      </c>
      <c r="D2746" s="93">
        <v>19200</v>
      </c>
      <c r="F2746" s="91">
        <v>16</v>
      </c>
      <c r="G2746" s="96">
        <v>5</v>
      </c>
      <c r="H2746" s="94">
        <v>0</v>
      </c>
      <c r="I2746" s="91">
        <v>0</v>
      </c>
      <c r="J2746" s="41"/>
      <c r="K2746" s="41">
        <v>43343</v>
      </c>
      <c r="L2746" s="69" t="s">
        <v>80</v>
      </c>
      <c r="M2746" s="69" t="s">
        <v>286</v>
      </c>
      <c r="N2746" s="95"/>
      <c r="P2746" t="s">
        <v>95</v>
      </c>
      <c r="Q2746" t="s">
        <v>120</v>
      </c>
      <c r="R2746" s="92" t="s">
        <v>69</v>
      </c>
      <c r="S2746" s="92" t="s">
        <v>123</v>
      </c>
      <c r="V2746" s="95">
        <v>43343</v>
      </c>
      <c r="W2746" s="92">
        <v>2030516</v>
      </c>
      <c r="X2746" s="90"/>
      <c r="Y2746" s="123"/>
      <c r="Z2746" s="30">
        <f t="shared" si="84"/>
        <v>6772.6006943194379</v>
      </c>
      <c r="AA2746" s="30">
        <f t="shared" si="85"/>
        <v>2116.4377169748245</v>
      </c>
      <c r="AB2746" t="s">
        <v>457</v>
      </c>
    </row>
    <row r="2747" spans="1:28">
      <c r="A2747" t="s">
        <v>122</v>
      </c>
      <c r="C2747" s="92">
        <v>4615446628</v>
      </c>
      <c r="D2747" s="93">
        <v>19200</v>
      </c>
      <c r="F2747" s="91">
        <v>16</v>
      </c>
      <c r="G2747" s="96">
        <v>5</v>
      </c>
      <c r="H2747" s="94">
        <v>0</v>
      </c>
      <c r="I2747" s="91">
        <v>0</v>
      </c>
      <c r="J2747" s="41"/>
      <c r="K2747" s="41">
        <v>43343</v>
      </c>
      <c r="L2747" s="69" t="s">
        <v>80</v>
      </c>
      <c r="M2747" s="69" t="s">
        <v>286</v>
      </c>
      <c r="N2747" s="95"/>
      <c r="P2747" t="s">
        <v>95</v>
      </c>
      <c r="Q2747" t="s">
        <v>120</v>
      </c>
      <c r="R2747" s="92" t="s">
        <v>69</v>
      </c>
      <c r="S2747" s="92" t="s">
        <v>123</v>
      </c>
      <c r="V2747" s="95">
        <v>43343</v>
      </c>
      <c r="W2747" s="92">
        <v>2030516</v>
      </c>
      <c r="X2747" s="90"/>
      <c r="Y2747" s="123"/>
      <c r="Z2747" s="30">
        <f t="shared" si="84"/>
        <v>6772.6006943194379</v>
      </c>
      <c r="AA2747" s="30">
        <f t="shared" si="85"/>
        <v>2116.4377169748245</v>
      </c>
      <c r="AB2747" t="s">
        <v>457</v>
      </c>
    </row>
    <row r="2748" spans="1:28">
      <c r="A2748" t="s">
        <v>122</v>
      </c>
      <c r="C2748" s="92">
        <v>4615476931</v>
      </c>
      <c r="D2748" s="93">
        <v>19200</v>
      </c>
      <c r="F2748" s="91">
        <v>16</v>
      </c>
      <c r="G2748" s="96">
        <v>5</v>
      </c>
      <c r="H2748" s="94">
        <v>0</v>
      </c>
      <c r="I2748" s="91">
        <v>0</v>
      </c>
      <c r="J2748" s="41"/>
      <c r="K2748" s="41">
        <v>43343</v>
      </c>
      <c r="L2748" s="69" t="s">
        <v>80</v>
      </c>
      <c r="M2748" s="69" t="s">
        <v>286</v>
      </c>
      <c r="N2748" s="95"/>
      <c r="P2748" t="s">
        <v>95</v>
      </c>
      <c r="Q2748" t="s">
        <v>120</v>
      </c>
      <c r="R2748" s="92" t="s">
        <v>69</v>
      </c>
      <c r="S2748" s="92" t="s">
        <v>123</v>
      </c>
      <c r="V2748" s="95">
        <v>43343</v>
      </c>
      <c r="W2748" s="92">
        <v>2030484</v>
      </c>
      <c r="X2748" s="90"/>
      <c r="Y2748" s="123"/>
      <c r="Z2748" s="30">
        <f t="shared" si="84"/>
        <v>6772.6006943194379</v>
      </c>
      <c r="AA2748" s="30">
        <f t="shared" si="85"/>
        <v>2116.4377169748245</v>
      </c>
      <c r="AB2748" t="s">
        <v>457</v>
      </c>
    </row>
    <row r="2749" spans="1:28">
      <c r="A2749" t="s">
        <v>122</v>
      </c>
      <c r="C2749" s="92">
        <v>4615476931</v>
      </c>
      <c r="D2749" s="93">
        <v>19200</v>
      </c>
      <c r="F2749" s="91">
        <v>16</v>
      </c>
      <c r="G2749" s="96">
        <v>5</v>
      </c>
      <c r="H2749" s="94">
        <v>0</v>
      </c>
      <c r="I2749" s="91">
        <v>0</v>
      </c>
      <c r="J2749" s="41"/>
      <c r="K2749" s="41">
        <v>43343</v>
      </c>
      <c r="L2749" s="69" t="s">
        <v>80</v>
      </c>
      <c r="M2749" s="69" t="s">
        <v>286</v>
      </c>
      <c r="N2749" s="95"/>
      <c r="P2749" t="s">
        <v>95</v>
      </c>
      <c r="Q2749" t="s">
        <v>120</v>
      </c>
      <c r="R2749" s="92" t="s">
        <v>69</v>
      </c>
      <c r="S2749" s="92" t="s">
        <v>123</v>
      </c>
      <c r="V2749" s="95">
        <v>43343</v>
      </c>
      <c r="W2749" s="92">
        <v>2030484</v>
      </c>
      <c r="X2749" s="90"/>
      <c r="Y2749" s="123"/>
      <c r="Z2749" s="30">
        <f t="shared" si="84"/>
        <v>6772.6006943194379</v>
      </c>
      <c r="AA2749" s="30">
        <f t="shared" si="85"/>
        <v>2116.4377169748245</v>
      </c>
      <c r="AB2749" t="s">
        <v>457</v>
      </c>
    </row>
    <row r="2750" spans="1:28">
      <c r="A2750" t="s">
        <v>122</v>
      </c>
      <c r="C2750" s="92">
        <v>4615476931</v>
      </c>
      <c r="D2750" s="93">
        <v>19200</v>
      </c>
      <c r="F2750" s="91">
        <v>16</v>
      </c>
      <c r="G2750" s="96">
        <v>5</v>
      </c>
      <c r="H2750" s="94">
        <v>0</v>
      </c>
      <c r="I2750" s="91">
        <v>0</v>
      </c>
      <c r="J2750" s="41"/>
      <c r="K2750" s="41">
        <v>43343</v>
      </c>
      <c r="L2750" s="69" t="s">
        <v>80</v>
      </c>
      <c r="M2750" s="69" t="s">
        <v>286</v>
      </c>
      <c r="N2750" s="95"/>
      <c r="P2750" t="s">
        <v>95</v>
      </c>
      <c r="Q2750" t="s">
        <v>120</v>
      </c>
      <c r="R2750" s="92" t="s">
        <v>69</v>
      </c>
      <c r="S2750" s="92" t="s">
        <v>123</v>
      </c>
      <c r="V2750" s="95">
        <v>43343</v>
      </c>
      <c r="W2750" s="92">
        <v>2030484</v>
      </c>
      <c r="X2750" s="90"/>
      <c r="Y2750" s="123"/>
      <c r="Z2750" s="30">
        <f t="shared" si="84"/>
        <v>6772.6006943194379</v>
      </c>
      <c r="AA2750" s="30">
        <f t="shared" si="85"/>
        <v>2116.4377169748245</v>
      </c>
      <c r="AB2750" t="s">
        <v>457</v>
      </c>
    </row>
    <row r="2751" spans="1:28">
      <c r="A2751" t="s">
        <v>122</v>
      </c>
      <c r="C2751" s="92">
        <v>4615476931</v>
      </c>
      <c r="D2751" s="93">
        <v>19200</v>
      </c>
      <c r="F2751" s="91">
        <v>16</v>
      </c>
      <c r="G2751" s="96">
        <v>5</v>
      </c>
      <c r="H2751" s="94">
        <v>0</v>
      </c>
      <c r="I2751" s="91">
        <v>0</v>
      </c>
      <c r="J2751" s="41"/>
      <c r="K2751" s="41">
        <v>43343</v>
      </c>
      <c r="L2751" s="69" t="s">
        <v>80</v>
      </c>
      <c r="M2751" s="69" t="s">
        <v>286</v>
      </c>
      <c r="N2751" s="95"/>
      <c r="P2751" t="s">
        <v>95</v>
      </c>
      <c r="Q2751" t="s">
        <v>120</v>
      </c>
      <c r="R2751" s="92" t="s">
        <v>69</v>
      </c>
      <c r="S2751" s="92" t="s">
        <v>123</v>
      </c>
      <c r="V2751" s="95">
        <v>43343</v>
      </c>
      <c r="W2751" s="92">
        <v>2030484</v>
      </c>
      <c r="X2751" s="90"/>
      <c r="Y2751" s="123"/>
      <c r="Z2751" s="30">
        <f t="shared" si="84"/>
        <v>6772.6006943194379</v>
      </c>
      <c r="AA2751" s="30">
        <f t="shared" si="85"/>
        <v>2116.4377169748245</v>
      </c>
      <c r="AB2751" t="s">
        <v>457</v>
      </c>
    </row>
    <row r="2752" spans="1:28">
      <c r="A2752" t="s">
        <v>122</v>
      </c>
      <c r="C2752" s="92">
        <v>4615476931</v>
      </c>
      <c r="D2752" s="93">
        <v>19200</v>
      </c>
      <c r="F2752" s="91">
        <v>16</v>
      </c>
      <c r="G2752" s="96">
        <v>5</v>
      </c>
      <c r="H2752" s="94">
        <v>0</v>
      </c>
      <c r="I2752" s="91">
        <v>0</v>
      </c>
      <c r="J2752" s="41"/>
      <c r="K2752" s="41">
        <v>43343</v>
      </c>
      <c r="L2752" s="69" t="s">
        <v>80</v>
      </c>
      <c r="M2752" s="69" t="s">
        <v>286</v>
      </c>
      <c r="N2752" s="95"/>
      <c r="P2752" t="s">
        <v>95</v>
      </c>
      <c r="Q2752" t="s">
        <v>120</v>
      </c>
      <c r="R2752" s="92" t="s">
        <v>69</v>
      </c>
      <c r="S2752" s="92" t="s">
        <v>123</v>
      </c>
      <c r="V2752" s="95">
        <v>43343</v>
      </c>
      <c r="W2752" s="92">
        <v>2030484</v>
      </c>
      <c r="X2752" s="90"/>
      <c r="Y2752" s="123"/>
      <c r="Z2752" s="30">
        <f t="shared" si="84"/>
        <v>6772.6006943194379</v>
      </c>
      <c r="AA2752" s="30">
        <f t="shared" si="85"/>
        <v>2116.4377169748245</v>
      </c>
      <c r="AB2752" t="s">
        <v>457</v>
      </c>
    </row>
    <row r="2753" spans="1:28">
      <c r="A2753" t="s">
        <v>122</v>
      </c>
      <c r="C2753" s="92">
        <v>4615476931</v>
      </c>
      <c r="D2753" s="93">
        <v>19200</v>
      </c>
      <c r="F2753" s="91">
        <v>16</v>
      </c>
      <c r="G2753" s="96">
        <v>5</v>
      </c>
      <c r="H2753" s="94">
        <v>0</v>
      </c>
      <c r="I2753" s="91">
        <v>0</v>
      </c>
      <c r="J2753" s="41"/>
      <c r="K2753" s="41">
        <v>43343</v>
      </c>
      <c r="L2753" s="69" t="s">
        <v>80</v>
      </c>
      <c r="M2753" s="69" t="s">
        <v>286</v>
      </c>
      <c r="N2753" s="95"/>
      <c r="P2753" t="s">
        <v>95</v>
      </c>
      <c r="Q2753" t="s">
        <v>120</v>
      </c>
      <c r="R2753" s="92" t="s">
        <v>69</v>
      </c>
      <c r="S2753" s="92" t="s">
        <v>123</v>
      </c>
      <c r="V2753" s="95">
        <v>43343</v>
      </c>
      <c r="W2753" s="92">
        <v>2030484</v>
      </c>
      <c r="X2753" s="90"/>
      <c r="Y2753" s="123"/>
      <c r="Z2753" s="30">
        <f t="shared" si="84"/>
        <v>6772.6006943194379</v>
      </c>
      <c r="AA2753" s="30">
        <f t="shared" si="85"/>
        <v>2116.4377169748245</v>
      </c>
      <c r="AB2753" t="s">
        <v>457</v>
      </c>
    </row>
    <row r="2754" spans="1:28">
      <c r="A2754" t="s">
        <v>122</v>
      </c>
      <c r="C2754" s="92">
        <v>4615476931</v>
      </c>
      <c r="D2754" s="93">
        <v>19200</v>
      </c>
      <c r="F2754" s="91">
        <v>16</v>
      </c>
      <c r="G2754" s="96">
        <v>5</v>
      </c>
      <c r="H2754" s="94">
        <v>0</v>
      </c>
      <c r="I2754" s="91">
        <v>0</v>
      </c>
      <c r="J2754" s="41"/>
      <c r="K2754" s="41">
        <v>43343</v>
      </c>
      <c r="L2754" s="69" t="s">
        <v>80</v>
      </c>
      <c r="M2754" s="69" t="s">
        <v>286</v>
      </c>
      <c r="N2754" s="95"/>
      <c r="P2754" t="s">
        <v>95</v>
      </c>
      <c r="Q2754" t="s">
        <v>120</v>
      </c>
      <c r="R2754" s="92" t="s">
        <v>69</v>
      </c>
      <c r="S2754" s="92" t="s">
        <v>123</v>
      </c>
      <c r="V2754" s="95">
        <v>43343</v>
      </c>
      <c r="W2754" s="92">
        <v>2030484</v>
      </c>
      <c r="X2754" s="90"/>
      <c r="Y2754" s="123"/>
      <c r="Z2754" s="30">
        <f t="shared" si="84"/>
        <v>6772.6006943194379</v>
      </c>
      <c r="AA2754" s="30">
        <f t="shared" si="85"/>
        <v>2116.4377169748245</v>
      </c>
      <c r="AB2754" t="s">
        <v>457</v>
      </c>
    </row>
    <row r="2755" spans="1:28">
      <c r="A2755" t="s">
        <v>122</v>
      </c>
      <c r="C2755" s="92">
        <v>4615476931</v>
      </c>
      <c r="D2755" s="93">
        <v>19200</v>
      </c>
      <c r="F2755" s="91">
        <v>16</v>
      </c>
      <c r="G2755" s="96">
        <v>5</v>
      </c>
      <c r="H2755" s="94">
        <v>0</v>
      </c>
      <c r="I2755" s="91">
        <v>0</v>
      </c>
      <c r="J2755" s="41"/>
      <c r="K2755" s="41">
        <v>43343</v>
      </c>
      <c r="L2755" s="69" t="s">
        <v>80</v>
      </c>
      <c r="M2755" s="69" t="s">
        <v>286</v>
      </c>
      <c r="N2755" s="95"/>
      <c r="P2755" t="s">
        <v>95</v>
      </c>
      <c r="Q2755" t="s">
        <v>120</v>
      </c>
      <c r="R2755" s="92" t="s">
        <v>69</v>
      </c>
      <c r="S2755" s="92" t="s">
        <v>123</v>
      </c>
      <c r="V2755" s="95">
        <v>43343</v>
      </c>
      <c r="W2755" s="92">
        <v>2030484</v>
      </c>
      <c r="X2755" s="90"/>
      <c r="Y2755" s="123"/>
      <c r="Z2755" s="30">
        <f t="shared" ref="Z2755:Z2818" si="86">CONVERT(D2755,"kg","lbm")*F2755/100</f>
        <v>6772.6006943194379</v>
      </c>
      <c r="AA2755" s="30">
        <f t="shared" ref="AA2755:AA2818" si="87">CONVERT(D2755,"kg","lbm")*G2755/100</f>
        <v>2116.4377169748245</v>
      </c>
      <c r="AB2755" t="s">
        <v>457</v>
      </c>
    </row>
    <row r="2756" spans="1:28">
      <c r="A2756" t="s">
        <v>122</v>
      </c>
      <c r="C2756" s="92">
        <v>4615476931</v>
      </c>
      <c r="D2756" s="93">
        <v>19200</v>
      </c>
      <c r="F2756" s="91">
        <v>16</v>
      </c>
      <c r="G2756" s="96">
        <v>5</v>
      </c>
      <c r="H2756" s="94">
        <v>0</v>
      </c>
      <c r="I2756" s="91">
        <v>0</v>
      </c>
      <c r="J2756" s="41"/>
      <c r="K2756" s="41">
        <v>43343</v>
      </c>
      <c r="L2756" s="69" t="s">
        <v>80</v>
      </c>
      <c r="M2756" s="69" t="s">
        <v>286</v>
      </c>
      <c r="N2756" s="95"/>
      <c r="P2756" t="s">
        <v>95</v>
      </c>
      <c r="Q2756" t="s">
        <v>120</v>
      </c>
      <c r="R2756" s="92" t="s">
        <v>69</v>
      </c>
      <c r="S2756" s="92" t="s">
        <v>123</v>
      </c>
      <c r="V2756" s="95">
        <v>43343</v>
      </c>
      <c r="W2756" s="92">
        <v>2030484</v>
      </c>
      <c r="X2756" s="90"/>
      <c r="Y2756" s="123"/>
      <c r="Z2756" s="30">
        <f t="shared" si="86"/>
        <v>6772.6006943194379</v>
      </c>
      <c r="AA2756" s="30">
        <f t="shared" si="87"/>
        <v>2116.4377169748245</v>
      </c>
      <c r="AB2756" t="s">
        <v>457</v>
      </c>
    </row>
    <row r="2757" spans="1:28">
      <c r="A2757" t="s">
        <v>122</v>
      </c>
      <c r="C2757" s="92">
        <v>4615476931</v>
      </c>
      <c r="D2757" s="93">
        <v>19200</v>
      </c>
      <c r="F2757" s="91">
        <v>16</v>
      </c>
      <c r="G2757" s="96">
        <v>5</v>
      </c>
      <c r="H2757" s="94">
        <v>0</v>
      </c>
      <c r="I2757" s="91">
        <v>0</v>
      </c>
      <c r="J2757" s="41"/>
      <c r="K2757" s="41">
        <v>43343</v>
      </c>
      <c r="L2757" s="69" t="s">
        <v>80</v>
      </c>
      <c r="M2757" s="69" t="s">
        <v>286</v>
      </c>
      <c r="N2757" s="95"/>
      <c r="P2757" t="s">
        <v>95</v>
      </c>
      <c r="Q2757" t="s">
        <v>120</v>
      </c>
      <c r="R2757" s="92" t="s">
        <v>69</v>
      </c>
      <c r="S2757" s="92" t="s">
        <v>123</v>
      </c>
      <c r="V2757" s="95">
        <v>43343</v>
      </c>
      <c r="W2757" s="92">
        <v>2030484</v>
      </c>
      <c r="X2757" s="90"/>
      <c r="Y2757" s="123"/>
      <c r="Z2757" s="30">
        <f t="shared" si="86"/>
        <v>6772.6006943194379</v>
      </c>
      <c r="AA2757" s="30">
        <f t="shared" si="87"/>
        <v>2116.4377169748245</v>
      </c>
      <c r="AB2757" t="s">
        <v>457</v>
      </c>
    </row>
    <row r="2758" spans="1:28">
      <c r="A2758" t="s">
        <v>122</v>
      </c>
      <c r="C2758" s="92">
        <v>4615496667</v>
      </c>
      <c r="D2758" s="93">
        <v>19200</v>
      </c>
      <c r="F2758" s="91">
        <v>16</v>
      </c>
      <c r="G2758" s="96">
        <v>5</v>
      </c>
      <c r="H2758" s="94">
        <v>0</v>
      </c>
      <c r="I2758" s="91">
        <v>0</v>
      </c>
      <c r="J2758" s="41"/>
      <c r="K2758" s="41">
        <v>43343</v>
      </c>
      <c r="L2758" s="69" t="s">
        <v>80</v>
      </c>
      <c r="M2758" s="69" t="s">
        <v>286</v>
      </c>
      <c r="N2758" s="95"/>
      <c r="P2758" t="s">
        <v>95</v>
      </c>
      <c r="Q2758" t="s">
        <v>120</v>
      </c>
      <c r="R2758" s="92" t="s">
        <v>69</v>
      </c>
      <c r="S2758" s="92" t="s">
        <v>123</v>
      </c>
      <c r="V2758" s="95">
        <v>43343</v>
      </c>
      <c r="W2758" s="92">
        <v>2030495</v>
      </c>
      <c r="X2758" s="90"/>
      <c r="Y2758" s="123"/>
      <c r="Z2758" s="30">
        <f t="shared" si="86"/>
        <v>6772.6006943194379</v>
      </c>
      <c r="AA2758" s="30">
        <f t="shared" si="87"/>
        <v>2116.4377169748245</v>
      </c>
      <c r="AB2758" t="s">
        <v>457</v>
      </c>
    </row>
    <row r="2759" spans="1:28">
      <c r="A2759" t="s">
        <v>122</v>
      </c>
      <c r="C2759" s="92">
        <v>4615496667</v>
      </c>
      <c r="D2759" s="93">
        <v>19200</v>
      </c>
      <c r="F2759" s="91">
        <v>16</v>
      </c>
      <c r="G2759" s="96">
        <v>5</v>
      </c>
      <c r="H2759" s="94">
        <v>0</v>
      </c>
      <c r="I2759" s="91">
        <v>0</v>
      </c>
      <c r="J2759" s="41"/>
      <c r="K2759" s="41">
        <v>43343</v>
      </c>
      <c r="L2759" s="69" t="s">
        <v>80</v>
      </c>
      <c r="M2759" s="69" t="s">
        <v>286</v>
      </c>
      <c r="N2759" s="95"/>
      <c r="P2759" t="s">
        <v>95</v>
      </c>
      <c r="Q2759" t="s">
        <v>120</v>
      </c>
      <c r="R2759" s="92" t="s">
        <v>69</v>
      </c>
      <c r="S2759" s="92" t="s">
        <v>123</v>
      </c>
      <c r="V2759" s="95">
        <v>43343</v>
      </c>
      <c r="W2759" s="92">
        <v>2030495</v>
      </c>
      <c r="X2759" s="90"/>
      <c r="Y2759" s="123"/>
      <c r="Z2759" s="30">
        <f t="shared" si="86"/>
        <v>6772.6006943194379</v>
      </c>
      <c r="AA2759" s="30">
        <f t="shared" si="87"/>
        <v>2116.4377169748245</v>
      </c>
      <c r="AB2759" t="s">
        <v>457</v>
      </c>
    </row>
    <row r="2760" spans="1:28">
      <c r="A2760" t="s">
        <v>122</v>
      </c>
      <c r="C2760" s="92">
        <v>4615496667</v>
      </c>
      <c r="D2760" s="93">
        <v>19200</v>
      </c>
      <c r="F2760" s="91">
        <v>16</v>
      </c>
      <c r="G2760" s="96">
        <v>5</v>
      </c>
      <c r="H2760" s="94">
        <v>0</v>
      </c>
      <c r="I2760" s="91">
        <v>0</v>
      </c>
      <c r="J2760" s="41"/>
      <c r="K2760" s="41">
        <v>43343</v>
      </c>
      <c r="L2760" s="69" t="s">
        <v>80</v>
      </c>
      <c r="M2760" s="69" t="s">
        <v>286</v>
      </c>
      <c r="N2760" s="95"/>
      <c r="P2760" t="s">
        <v>95</v>
      </c>
      <c r="Q2760" t="s">
        <v>120</v>
      </c>
      <c r="R2760" s="92" t="s">
        <v>69</v>
      </c>
      <c r="S2760" s="92" t="s">
        <v>123</v>
      </c>
      <c r="V2760" s="95">
        <v>43343</v>
      </c>
      <c r="W2760" s="92">
        <v>2030495</v>
      </c>
      <c r="X2760" s="90"/>
      <c r="Y2760" s="123"/>
      <c r="Z2760" s="30">
        <f t="shared" si="86"/>
        <v>6772.6006943194379</v>
      </c>
      <c r="AA2760" s="30">
        <f t="shared" si="87"/>
        <v>2116.4377169748245</v>
      </c>
      <c r="AB2760" t="s">
        <v>457</v>
      </c>
    </row>
    <row r="2761" spans="1:28">
      <c r="A2761" t="s">
        <v>113</v>
      </c>
      <c r="C2761" s="92">
        <v>4615493552</v>
      </c>
      <c r="D2761" s="93">
        <v>19175</v>
      </c>
      <c r="F2761" s="91">
        <v>16</v>
      </c>
      <c r="G2761" s="91">
        <v>0</v>
      </c>
      <c r="H2761" s="94">
        <v>0</v>
      </c>
      <c r="I2761" s="91">
        <v>0</v>
      </c>
      <c r="J2761" s="41"/>
      <c r="K2761" s="41">
        <v>43343</v>
      </c>
      <c r="L2761" s="69" t="s">
        <v>80</v>
      </c>
      <c r="M2761" s="69" t="s">
        <v>286</v>
      </c>
      <c r="N2761" s="95"/>
      <c r="P2761" t="s">
        <v>95</v>
      </c>
      <c r="Q2761" t="s">
        <v>110</v>
      </c>
      <c r="R2761" s="92" t="s">
        <v>69</v>
      </c>
      <c r="S2761" s="92" t="s">
        <v>115</v>
      </c>
      <c r="V2761" s="95">
        <v>43343</v>
      </c>
      <c r="W2761" s="92">
        <v>17070157</v>
      </c>
      <c r="X2761" s="90"/>
      <c r="Y2761" s="123"/>
      <c r="Z2761" s="30">
        <f t="shared" si="86"/>
        <v>6763.7822038320437</v>
      </c>
      <c r="AA2761" s="30">
        <f t="shared" si="87"/>
        <v>0</v>
      </c>
      <c r="AB2761" t="s">
        <v>457</v>
      </c>
    </row>
    <row r="2762" spans="1:28">
      <c r="A2762" t="s">
        <v>113</v>
      </c>
      <c r="C2762" s="92">
        <v>4615493552</v>
      </c>
      <c r="D2762" s="93">
        <v>19175</v>
      </c>
      <c r="F2762" s="91">
        <v>16</v>
      </c>
      <c r="G2762" s="91">
        <v>0</v>
      </c>
      <c r="H2762" s="94">
        <v>0</v>
      </c>
      <c r="I2762" s="91">
        <v>0</v>
      </c>
      <c r="J2762" s="41"/>
      <c r="K2762" s="41">
        <v>43343</v>
      </c>
      <c r="L2762" s="69" t="s">
        <v>80</v>
      </c>
      <c r="M2762" s="69" t="s">
        <v>286</v>
      </c>
      <c r="N2762" s="95"/>
      <c r="P2762" t="s">
        <v>95</v>
      </c>
      <c r="Q2762" t="s">
        <v>110</v>
      </c>
      <c r="R2762" s="92" t="s">
        <v>69</v>
      </c>
      <c r="S2762" s="92" t="s">
        <v>115</v>
      </c>
      <c r="V2762" s="95">
        <v>43343</v>
      </c>
      <c r="W2762" s="92">
        <v>17070157</v>
      </c>
      <c r="X2762" s="90"/>
      <c r="Y2762" s="123"/>
      <c r="Z2762" s="30">
        <f t="shared" si="86"/>
        <v>6763.7822038320437</v>
      </c>
      <c r="AA2762" s="30">
        <f t="shared" si="87"/>
        <v>0</v>
      </c>
      <c r="AB2762" t="s">
        <v>457</v>
      </c>
    </row>
    <row r="2763" spans="1:28">
      <c r="A2763" t="s">
        <v>113</v>
      </c>
      <c r="C2763" s="92">
        <v>4615493552</v>
      </c>
      <c r="D2763" s="93">
        <v>19175</v>
      </c>
      <c r="F2763" s="91">
        <v>16</v>
      </c>
      <c r="G2763" s="91">
        <v>0</v>
      </c>
      <c r="H2763" s="94">
        <v>0</v>
      </c>
      <c r="I2763" s="91">
        <v>0</v>
      </c>
      <c r="J2763" s="41"/>
      <c r="K2763" s="41">
        <v>43343</v>
      </c>
      <c r="L2763" s="69" t="s">
        <v>80</v>
      </c>
      <c r="M2763" s="69" t="s">
        <v>286</v>
      </c>
      <c r="N2763" s="95"/>
      <c r="P2763" t="s">
        <v>95</v>
      </c>
      <c r="Q2763" t="s">
        <v>110</v>
      </c>
      <c r="R2763" s="92" t="s">
        <v>69</v>
      </c>
      <c r="S2763" s="92" t="s">
        <v>115</v>
      </c>
      <c r="V2763" s="95">
        <v>43343</v>
      </c>
      <c r="W2763" s="92">
        <v>17070157</v>
      </c>
      <c r="X2763" s="90"/>
      <c r="Y2763" s="123"/>
      <c r="Z2763" s="30">
        <f t="shared" si="86"/>
        <v>6763.7822038320437</v>
      </c>
      <c r="AA2763" s="30">
        <f t="shared" si="87"/>
        <v>0</v>
      </c>
      <c r="AB2763" t="s">
        <v>457</v>
      </c>
    </row>
    <row r="2764" spans="1:28">
      <c r="A2764" t="s">
        <v>113</v>
      </c>
      <c r="C2764" s="92">
        <v>4615493552</v>
      </c>
      <c r="D2764" s="93">
        <v>19175</v>
      </c>
      <c r="F2764" s="91">
        <v>16</v>
      </c>
      <c r="G2764" s="91">
        <v>0</v>
      </c>
      <c r="H2764" s="94">
        <v>0</v>
      </c>
      <c r="I2764" s="91">
        <v>0</v>
      </c>
      <c r="J2764" s="41"/>
      <c r="K2764" s="41">
        <v>43343</v>
      </c>
      <c r="L2764" s="69" t="s">
        <v>80</v>
      </c>
      <c r="M2764" s="69" t="s">
        <v>286</v>
      </c>
      <c r="N2764" s="95"/>
      <c r="P2764" t="s">
        <v>95</v>
      </c>
      <c r="Q2764" t="s">
        <v>110</v>
      </c>
      <c r="R2764" s="92" t="s">
        <v>69</v>
      </c>
      <c r="S2764" s="92" t="s">
        <v>115</v>
      </c>
      <c r="V2764" s="95">
        <v>43343</v>
      </c>
      <c r="W2764" s="92">
        <v>17070157</v>
      </c>
      <c r="X2764" s="90"/>
      <c r="Y2764" s="123"/>
      <c r="Z2764" s="30">
        <f t="shared" si="86"/>
        <v>6763.7822038320437</v>
      </c>
      <c r="AA2764" s="30">
        <f t="shared" si="87"/>
        <v>0</v>
      </c>
      <c r="AB2764" t="s">
        <v>457</v>
      </c>
    </row>
    <row r="2765" spans="1:28">
      <c r="A2765" t="s">
        <v>113</v>
      </c>
      <c r="C2765" s="92">
        <v>4615493552</v>
      </c>
      <c r="D2765" s="93">
        <v>19175</v>
      </c>
      <c r="F2765" s="91">
        <v>16</v>
      </c>
      <c r="G2765" s="91">
        <v>0</v>
      </c>
      <c r="H2765" s="94">
        <v>0</v>
      </c>
      <c r="I2765" s="91">
        <v>0</v>
      </c>
      <c r="J2765" s="41"/>
      <c r="K2765" s="41">
        <v>43343</v>
      </c>
      <c r="L2765" s="69" t="s">
        <v>80</v>
      </c>
      <c r="M2765" s="69" t="s">
        <v>286</v>
      </c>
      <c r="N2765" s="95"/>
      <c r="P2765" t="s">
        <v>95</v>
      </c>
      <c r="Q2765" t="s">
        <v>110</v>
      </c>
      <c r="R2765" s="92" t="s">
        <v>69</v>
      </c>
      <c r="S2765" s="92" t="s">
        <v>115</v>
      </c>
      <c r="V2765" s="95">
        <v>43343</v>
      </c>
      <c r="W2765" s="92">
        <v>17070157</v>
      </c>
      <c r="X2765" s="90"/>
      <c r="Y2765" s="123"/>
      <c r="Z2765" s="30">
        <f t="shared" si="86"/>
        <v>6763.7822038320437</v>
      </c>
      <c r="AA2765" s="30">
        <f t="shared" si="87"/>
        <v>0</v>
      </c>
      <c r="AB2765" t="s">
        <v>457</v>
      </c>
    </row>
    <row r="2766" spans="1:28">
      <c r="A2766" t="s">
        <v>113</v>
      </c>
      <c r="C2766" s="92">
        <v>4615493552</v>
      </c>
      <c r="D2766" s="93">
        <v>19175</v>
      </c>
      <c r="F2766" s="91">
        <v>16</v>
      </c>
      <c r="G2766" s="91">
        <v>0</v>
      </c>
      <c r="H2766" s="94">
        <v>0</v>
      </c>
      <c r="I2766" s="91">
        <v>0</v>
      </c>
      <c r="J2766" s="41"/>
      <c r="K2766" s="41">
        <v>43343</v>
      </c>
      <c r="L2766" s="69" t="s">
        <v>80</v>
      </c>
      <c r="M2766" s="69" t="s">
        <v>286</v>
      </c>
      <c r="N2766" s="95"/>
      <c r="P2766" t="s">
        <v>95</v>
      </c>
      <c r="Q2766" t="s">
        <v>110</v>
      </c>
      <c r="R2766" s="92" t="s">
        <v>69</v>
      </c>
      <c r="S2766" s="92" t="s">
        <v>115</v>
      </c>
      <c r="V2766" s="95">
        <v>43343</v>
      </c>
      <c r="W2766" s="92">
        <v>17070157</v>
      </c>
      <c r="X2766" s="90"/>
      <c r="Y2766" s="123"/>
      <c r="Z2766" s="30">
        <f t="shared" si="86"/>
        <v>6763.7822038320437</v>
      </c>
      <c r="AA2766" s="30">
        <f t="shared" si="87"/>
        <v>0</v>
      </c>
      <c r="AB2766" t="s">
        <v>457</v>
      </c>
    </row>
    <row r="2767" spans="1:28">
      <c r="A2767" t="s">
        <v>113</v>
      </c>
      <c r="C2767" s="92">
        <v>4615493552</v>
      </c>
      <c r="D2767" s="93">
        <v>19175</v>
      </c>
      <c r="F2767" s="91">
        <v>16</v>
      </c>
      <c r="G2767" s="91">
        <v>0</v>
      </c>
      <c r="H2767" s="94">
        <v>0</v>
      </c>
      <c r="I2767" s="91">
        <v>0</v>
      </c>
      <c r="J2767" s="41"/>
      <c r="K2767" s="41">
        <v>43343</v>
      </c>
      <c r="L2767" s="69" t="s">
        <v>80</v>
      </c>
      <c r="M2767" s="69" t="s">
        <v>286</v>
      </c>
      <c r="N2767" s="95"/>
      <c r="P2767" t="s">
        <v>95</v>
      </c>
      <c r="Q2767" t="s">
        <v>110</v>
      </c>
      <c r="R2767" s="92" t="s">
        <v>69</v>
      </c>
      <c r="S2767" s="92" t="s">
        <v>115</v>
      </c>
      <c r="V2767" s="95">
        <v>43343</v>
      </c>
      <c r="W2767" s="92">
        <v>17070157</v>
      </c>
      <c r="X2767" s="90"/>
      <c r="Y2767" s="123"/>
      <c r="Z2767" s="30">
        <f t="shared" si="86"/>
        <v>6763.7822038320437</v>
      </c>
      <c r="AA2767" s="30">
        <f t="shared" si="87"/>
        <v>0</v>
      </c>
      <c r="AB2767" t="s">
        <v>457</v>
      </c>
    </row>
    <row r="2768" spans="1:28">
      <c r="A2768" t="s">
        <v>113</v>
      </c>
      <c r="C2768" s="92">
        <v>4615493552</v>
      </c>
      <c r="D2768" s="93">
        <v>19175</v>
      </c>
      <c r="F2768" s="91">
        <v>16</v>
      </c>
      <c r="G2768" s="91">
        <v>0</v>
      </c>
      <c r="H2768" s="94">
        <v>0</v>
      </c>
      <c r="I2768" s="91">
        <v>0</v>
      </c>
      <c r="J2768" s="41"/>
      <c r="K2768" s="41">
        <v>43343</v>
      </c>
      <c r="L2768" s="69" t="s">
        <v>80</v>
      </c>
      <c r="M2768" s="69" t="s">
        <v>286</v>
      </c>
      <c r="N2768" s="95"/>
      <c r="P2768" t="s">
        <v>95</v>
      </c>
      <c r="Q2768" t="s">
        <v>110</v>
      </c>
      <c r="R2768" s="92" t="s">
        <v>69</v>
      </c>
      <c r="S2768" s="92" t="s">
        <v>115</v>
      </c>
      <c r="V2768" s="95">
        <v>43343</v>
      </c>
      <c r="W2768" s="92">
        <v>17070157</v>
      </c>
      <c r="X2768" s="90"/>
      <c r="Y2768" s="123"/>
      <c r="Z2768" s="30">
        <f t="shared" si="86"/>
        <v>6763.7822038320437</v>
      </c>
      <c r="AA2768" s="30">
        <f t="shared" si="87"/>
        <v>0</v>
      </c>
      <c r="AB2768" t="s">
        <v>457</v>
      </c>
    </row>
    <row r="2769" spans="1:28">
      <c r="A2769" t="s">
        <v>113</v>
      </c>
      <c r="C2769" s="92">
        <v>4615493552</v>
      </c>
      <c r="D2769" s="93">
        <v>19175</v>
      </c>
      <c r="F2769" s="91">
        <v>16</v>
      </c>
      <c r="G2769" s="91">
        <v>0</v>
      </c>
      <c r="H2769" s="94">
        <v>0</v>
      </c>
      <c r="I2769" s="91">
        <v>0</v>
      </c>
      <c r="J2769" s="41"/>
      <c r="K2769" s="41">
        <v>43343</v>
      </c>
      <c r="L2769" s="69" t="s">
        <v>80</v>
      </c>
      <c r="M2769" s="69" t="s">
        <v>286</v>
      </c>
      <c r="N2769" s="95"/>
      <c r="P2769" t="s">
        <v>95</v>
      </c>
      <c r="Q2769" t="s">
        <v>110</v>
      </c>
      <c r="R2769" s="92" t="s">
        <v>69</v>
      </c>
      <c r="S2769" s="92" t="s">
        <v>115</v>
      </c>
      <c r="V2769" s="95">
        <v>43343</v>
      </c>
      <c r="W2769" s="92">
        <v>17070157</v>
      </c>
      <c r="X2769" s="90"/>
      <c r="Y2769" s="123"/>
      <c r="Z2769" s="30">
        <f t="shared" si="86"/>
        <v>6763.7822038320437</v>
      </c>
      <c r="AA2769" s="30">
        <f t="shared" si="87"/>
        <v>0</v>
      </c>
      <c r="AB2769" t="s">
        <v>457</v>
      </c>
    </row>
    <row r="2770" spans="1:28">
      <c r="A2770" t="s">
        <v>113</v>
      </c>
      <c r="C2770" s="92">
        <v>4615493552</v>
      </c>
      <c r="D2770" s="93">
        <v>19175</v>
      </c>
      <c r="F2770" s="91">
        <v>16</v>
      </c>
      <c r="G2770" s="91">
        <v>0</v>
      </c>
      <c r="H2770" s="94">
        <v>0</v>
      </c>
      <c r="I2770" s="91">
        <v>0</v>
      </c>
      <c r="J2770" s="41"/>
      <c r="K2770" s="41">
        <v>43343</v>
      </c>
      <c r="L2770" s="69" t="s">
        <v>80</v>
      </c>
      <c r="M2770" s="69" t="s">
        <v>286</v>
      </c>
      <c r="N2770" s="95"/>
      <c r="P2770" t="s">
        <v>95</v>
      </c>
      <c r="Q2770" t="s">
        <v>110</v>
      </c>
      <c r="R2770" s="92" t="s">
        <v>69</v>
      </c>
      <c r="S2770" s="92" t="s">
        <v>115</v>
      </c>
      <c r="V2770" s="95">
        <v>43343</v>
      </c>
      <c r="W2770" s="92">
        <v>17070157</v>
      </c>
      <c r="X2770" s="90"/>
      <c r="Y2770" s="123"/>
      <c r="Z2770" s="30">
        <f t="shared" si="86"/>
        <v>6763.7822038320437</v>
      </c>
      <c r="AA2770" s="30">
        <f t="shared" si="87"/>
        <v>0</v>
      </c>
      <c r="AB2770" t="s">
        <v>457</v>
      </c>
    </row>
    <row r="2771" spans="1:28">
      <c r="A2771" t="s">
        <v>113</v>
      </c>
      <c r="C2771" s="92">
        <v>4615493552</v>
      </c>
      <c r="D2771" s="93">
        <v>19175</v>
      </c>
      <c r="F2771" s="91">
        <v>16</v>
      </c>
      <c r="G2771" s="91">
        <v>0</v>
      </c>
      <c r="H2771" s="94">
        <v>0</v>
      </c>
      <c r="I2771" s="91">
        <v>0</v>
      </c>
      <c r="J2771" s="41"/>
      <c r="K2771" s="41">
        <v>43343</v>
      </c>
      <c r="L2771" s="69" t="s">
        <v>80</v>
      </c>
      <c r="M2771" s="69" t="s">
        <v>286</v>
      </c>
      <c r="N2771" s="95"/>
      <c r="P2771" t="s">
        <v>95</v>
      </c>
      <c r="Q2771" t="s">
        <v>110</v>
      </c>
      <c r="R2771" s="92" t="s">
        <v>69</v>
      </c>
      <c r="S2771" s="92" t="s">
        <v>115</v>
      </c>
      <c r="V2771" s="95">
        <v>43343</v>
      </c>
      <c r="W2771" s="92">
        <v>17070157</v>
      </c>
      <c r="X2771" s="90"/>
      <c r="Y2771" s="123"/>
      <c r="Z2771" s="30">
        <f t="shared" si="86"/>
        <v>6763.7822038320437</v>
      </c>
      <c r="AA2771" s="30">
        <f t="shared" si="87"/>
        <v>0</v>
      </c>
      <c r="AB2771" t="s">
        <v>457</v>
      </c>
    </row>
    <row r="2772" spans="1:28">
      <c r="A2772" t="s">
        <v>113</v>
      </c>
      <c r="C2772" s="92">
        <v>4615493552</v>
      </c>
      <c r="D2772" s="93">
        <v>19175</v>
      </c>
      <c r="F2772" s="91">
        <v>16</v>
      </c>
      <c r="G2772" s="91">
        <v>0</v>
      </c>
      <c r="H2772" s="94">
        <v>0</v>
      </c>
      <c r="I2772" s="91">
        <v>0</v>
      </c>
      <c r="J2772" s="41"/>
      <c r="K2772" s="41">
        <v>43343</v>
      </c>
      <c r="L2772" s="69" t="s">
        <v>80</v>
      </c>
      <c r="M2772" s="69" t="s">
        <v>286</v>
      </c>
      <c r="N2772" s="95"/>
      <c r="P2772" t="s">
        <v>95</v>
      </c>
      <c r="Q2772" t="s">
        <v>110</v>
      </c>
      <c r="R2772" s="92" t="s">
        <v>69</v>
      </c>
      <c r="S2772" s="92" t="s">
        <v>115</v>
      </c>
      <c r="V2772" s="95">
        <v>43343</v>
      </c>
      <c r="W2772" s="92">
        <v>17070157</v>
      </c>
      <c r="X2772" s="90"/>
      <c r="Y2772" s="123"/>
      <c r="Z2772" s="30">
        <f t="shared" si="86"/>
        <v>6763.7822038320437</v>
      </c>
      <c r="AA2772" s="30">
        <f t="shared" si="87"/>
        <v>0</v>
      </c>
      <c r="AB2772" t="s">
        <v>457</v>
      </c>
    </row>
    <row r="2773" spans="1:28">
      <c r="A2773" t="s">
        <v>113</v>
      </c>
      <c r="C2773" s="92">
        <v>4615493552</v>
      </c>
      <c r="D2773" s="93">
        <v>19175</v>
      </c>
      <c r="F2773" s="91">
        <v>16</v>
      </c>
      <c r="G2773" s="91">
        <v>0</v>
      </c>
      <c r="H2773" s="94">
        <v>0</v>
      </c>
      <c r="I2773" s="91">
        <v>0</v>
      </c>
      <c r="J2773" s="41"/>
      <c r="K2773" s="41">
        <v>43343</v>
      </c>
      <c r="L2773" s="69" t="s">
        <v>80</v>
      </c>
      <c r="M2773" s="69" t="s">
        <v>286</v>
      </c>
      <c r="N2773" s="95"/>
      <c r="P2773" t="s">
        <v>95</v>
      </c>
      <c r="Q2773" t="s">
        <v>110</v>
      </c>
      <c r="R2773" s="92" t="s">
        <v>69</v>
      </c>
      <c r="S2773" s="92" t="s">
        <v>115</v>
      </c>
      <c r="V2773" s="95">
        <v>43343</v>
      </c>
      <c r="W2773" s="92">
        <v>17070157</v>
      </c>
      <c r="X2773" s="90"/>
      <c r="Y2773" s="123"/>
      <c r="Z2773" s="30">
        <f t="shared" si="86"/>
        <v>6763.7822038320437</v>
      </c>
      <c r="AA2773" s="30">
        <f t="shared" si="87"/>
        <v>0</v>
      </c>
      <c r="AB2773" t="s">
        <v>457</v>
      </c>
    </row>
    <row r="2774" spans="1:28">
      <c r="A2774" t="s">
        <v>113</v>
      </c>
      <c r="C2774" s="92">
        <v>4615493552</v>
      </c>
      <c r="D2774" s="93">
        <v>19175</v>
      </c>
      <c r="F2774" s="91">
        <v>16</v>
      </c>
      <c r="G2774" s="91">
        <v>0</v>
      </c>
      <c r="H2774" s="94">
        <v>0</v>
      </c>
      <c r="I2774" s="91">
        <v>0</v>
      </c>
      <c r="J2774" s="41"/>
      <c r="K2774" s="41">
        <v>43343</v>
      </c>
      <c r="L2774" s="69" t="s">
        <v>80</v>
      </c>
      <c r="M2774" s="69" t="s">
        <v>286</v>
      </c>
      <c r="N2774" s="95"/>
      <c r="P2774" t="s">
        <v>95</v>
      </c>
      <c r="Q2774" t="s">
        <v>110</v>
      </c>
      <c r="R2774" s="92" t="s">
        <v>69</v>
      </c>
      <c r="S2774" s="92" t="s">
        <v>115</v>
      </c>
      <c r="V2774" s="95">
        <v>43343</v>
      </c>
      <c r="W2774" s="92">
        <v>17070157</v>
      </c>
      <c r="X2774" s="90"/>
      <c r="Y2774" s="123"/>
      <c r="Z2774" s="30">
        <f t="shared" si="86"/>
        <v>6763.7822038320437</v>
      </c>
      <c r="AA2774" s="30">
        <f t="shared" si="87"/>
        <v>0</v>
      </c>
      <c r="AB2774" t="s">
        <v>457</v>
      </c>
    </row>
    <row r="2775" spans="1:28">
      <c r="A2775" t="s">
        <v>113</v>
      </c>
      <c r="C2775" s="92">
        <v>4615493552</v>
      </c>
      <c r="D2775" s="93">
        <v>19175</v>
      </c>
      <c r="F2775" s="91">
        <v>16</v>
      </c>
      <c r="G2775" s="91">
        <v>0</v>
      </c>
      <c r="H2775" s="94">
        <v>0</v>
      </c>
      <c r="I2775" s="91">
        <v>0</v>
      </c>
      <c r="J2775" s="41"/>
      <c r="K2775" s="41">
        <v>43343</v>
      </c>
      <c r="L2775" s="69" t="s">
        <v>80</v>
      </c>
      <c r="M2775" s="69" t="s">
        <v>286</v>
      </c>
      <c r="N2775" s="95"/>
      <c r="P2775" t="s">
        <v>95</v>
      </c>
      <c r="Q2775" t="s">
        <v>110</v>
      </c>
      <c r="R2775" s="92" t="s">
        <v>69</v>
      </c>
      <c r="S2775" s="92" t="s">
        <v>115</v>
      </c>
      <c r="V2775" s="95">
        <v>43343</v>
      </c>
      <c r="W2775" s="92">
        <v>17070157</v>
      </c>
      <c r="X2775" s="90"/>
      <c r="Y2775" s="123"/>
      <c r="Z2775" s="30">
        <f t="shared" si="86"/>
        <v>6763.7822038320437</v>
      </c>
      <c r="AA2775" s="30">
        <f t="shared" si="87"/>
        <v>0</v>
      </c>
      <c r="AB2775" t="s">
        <v>457</v>
      </c>
    </row>
    <row r="2776" spans="1:28">
      <c r="A2776" t="s">
        <v>113</v>
      </c>
      <c r="C2776" s="92">
        <v>4615493552</v>
      </c>
      <c r="D2776" s="93">
        <v>19175</v>
      </c>
      <c r="F2776" s="91">
        <v>16</v>
      </c>
      <c r="G2776" s="91">
        <v>0</v>
      </c>
      <c r="H2776" s="94">
        <v>0</v>
      </c>
      <c r="I2776" s="91">
        <v>0</v>
      </c>
      <c r="J2776" s="41"/>
      <c r="K2776" s="41">
        <v>43343</v>
      </c>
      <c r="L2776" s="69" t="s">
        <v>80</v>
      </c>
      <c r="M2776" s="69" t="s">
        <v>286</v>
      </c>
      <c r="N2776" s="95"/>
      <c r="P2776" t="s">
        <v>95</v>
      </c>
      <c r="Q2776" t="s">
        <v>110</v>
      </c>
      <c r="R2776" s="92" t="s">
        <v>69</v>
      </c>
      <c r="S2776" s="92" t="s">
        <v>115</v>
      </c>
      <c r="V2776" s="95">
        <v>43343</v>
      </c>
      <c r="W2776" s="92">
        <v>17070157</v>
      </c>
      <c r="X2776" s="90"/>
      <c r="Y2776" s="123"/>
      <c r="Z2776" s="30">
        <f t="shared" si="86"/>
        <v>6763.7822038320437</v>
      </c>
      <c r="AA2776" s="30">
        <f t="shared" si="87"/>
        <v>0</v>
      </c>
      <c r="AB2776" t="s">
        <v>457</v>
      </c>
    </row>
    <row r="2777" spans="1:28">
      <c r="A2777" t="s">
        <v>113</v>
      </c>
      <c r="C2777" s="92">
        <v>4615493552</v>
      </c>
      <c r="D2777" s="93">
        <v>19175</v>
      </c>
      <c r="F2777" s="91">
        <v>16</v>
      </c>
      <c r="G2777" s="91">
        <v>0</v>
      </c>
      <c r="H2777" s="94">
        <v>0</v>
      </c>
      <c r="I2777" s="91">
        <v>0</v>
      </c>
      <c r="J2777" s="41"/>
      <c r="K2777" s="41">
        <v>43343</v>
      </c>
      <c r="L2777" s="69" t="s">
        <v>80</v>
      </c>
      <c r="M2777" s="69" t="s">
        <v>286</v>
      </c>
      <c r="N2777" s="95"/>
      <c r="P2777" t="s">
        <v>95</v>
      </c>
      <c r="Q2777" t="s">
        <v>110</v>
      </c>
      <c r="R2777" s="92" t="s">
        <v>69</v>
      </c>
      <c r="S2777" s="92" t="s">
        <v>115</v>
      </c>
      <c r="V2777" s="95">
        <v>43343</v>
      </c>
      <c r="W2777" s="92">
        <v>17070157</v>
      </c>
      <c r="X2777" s="90"/>
      <c r="Y2777" s="123"/>
      <c r="Z2777" s="30">
        <f t="shared" si="86"/>
        <v>6763.7822038320437</v>
      </c>
      <c r="AA2777" s="30">
        <f t="shared" si="87"/>
        <v>0</v>
      </c>
      <c r="AB2777" t="s">
        <v>457</v>
      </c>
    </row>
    <row r="2778" spans="1:28">
      <c r="A2778" t="s">
        <v>113</v>
      </c>
      <c r="C2778" s="92">
        <v>4615493552</v>
      </c>
      <c r="D2778" s="93">
        <v>19175</v>
      </c>
      <c r="F2778" s="91">
        <v>16</v>
      </c>
      <c r="G2778" s="91">
        <v>0</v>
      </c>
      <c r="H2778" s="94">
        <v>0</v>
      </c>
      <c r="I2778" s="91">
        <v>0</v>
      </c>
      <c r="J2778" s="41"/>
      <c r="K2778" s="41">
        <v>43343</v>
      </c>
      <c r="L2778" s="69" t="s">
        <v>80</v>
      </c>
      <c r="M2778" s="69" t="s">
        <v>286</v>
      </c>
      <c r="N2778" s="95"/>
      <c r="P2778" t="s">
        <v>95</v>
      </c>
      <c r="Q2778" t="s">
        <v>110</v>
      </c>
      <c r="R2778" s="92" t="s">
        <v>69</v>
      </c>
      <c r="S2778" s="92" t="s">
        <v>115</v>
      </c>
      <c r="V2778" s="95">
        <v>43343</v>
      </c>
      <c r="W2778" s="92">
        <v>17070157</v>
      </c>
      <c r="X2778" s="90"/>
      <c r="Y2778" s="123"/>
      <c r="Z2778" s="30">
        <f t="shared" si="86"/>
        <v>6763.7822038320437</v>
      </c>
      <c r="AA2778" s="30">
        <f t="shared" si="87"/>
        <v>0</v>
      </c>
      <c r="AB2778" t="s">
        <v>457</v>
      </c>
    </row>
    <row r="2779" spans="1:28">
      <c r="A2779" t="s">
        <v>113</v>
      </c>
      <c r="C2779" s="92">
        <v>4615493552</v>
      </c>
      <c r="D2779" s="93">
        <v>19175</v>
      </c>
      <c r="F2779" s="91">
        <v>16</v>
      </c>
      <c r="G2779" s="91">
        <v>0</v>
      </c>
      <c r="H2779" s="94">
        <v>0</v>
      </c>
      <c r="I2779" s="91">
        <v>0</v>
      </c>
      <c r="J2779" s="41"/>
      <c r="K2779" s="41">
        <v>43343</v>
      </c>
      <c r="L2779" s="69" t="s">
        <v>80</v>
      </c>
      <c r="M2779" s="69" t="s">
        <v>286</v>
      </c>
      <c r="N2779" s="95"/>
      <c r="P2779" t="s">
        <v>95</v>
      </c>
      <c r="Q2779" t="s">
        <v>110</v>
      </c>
      <c r="R2779" s="92" t="s">
        <v>69</v>
      </c>
      <c r="S2779" s="92" t="s">
        <v>115</v>
      </c>
      <c r="V2779" s="95">
        <v>43343</v>
      </c>
      <c r="W2779" s="92">
        <v>17070157</v>
      </c>
      <c r="X2779" s="90"/>
      <c r="Y2779" s="123"/>
      <c r="Z2779" s="30">
        <f t="shared" si="86"/>
        <v>6763.7822038320437</v>
      </c>
      <c r="AA2779" s="30">
        <f t="shared" si="87"/>
        <v>0</v>
      </c>
      <c r="AB2779" t="s">
        <v>457</v>
      </c>
    </row>
    <row r="2780" spans="1:28">
      <c r="A2780" t="s">
        <v>113</v>
      </c>
      <c r="C2780" s="92">
        <v>4615493552</v>
      </c>
      <c r="D2780" s="93">
        <v>19175</v>
      </c>
      <c r="F2780" s="91">
        <v>16</v>
      </c>
      <c r="G2780" s="91">
        <v>0</v>
      </c>
      <c r="H2780" s="94">
        <v>0</v>
      </c>
      <c r="I2780" s="91">
        <v>0</v>
      </c>
      <c r="J2780" s="41"/>
      <c r="K2780" s="41">
        <v>43343</v>
      </c>
      <c r="L2780" s="69" t="s">
        <v>80</v>
      </c>
      <c r="M2780" s="69" t="s">
        <v>286</v>
      </c>
      <c r="N2780" s="95"/>
      <c r="P2780" t="s">
        <v>95</v>
      </c>
      <c r="Q2780" t="s">
        <v>110</v>
      </c>
      <c r="R2780" s="92" t="s">
        <v>69</v>
      </c>
      <c r="S2780" s="92" t="s">
        <v>115</v>
      </c>
      <c r="V2780" s="95">
        <v>43343</v>
      </c>
      <c r="W2780" s="92">
        <v>17070157</v>
      </c>
      <c r="X2780" s="90"/>
      <c r="Y2780" s="123"/>
      <c r="Z2780" s="30">
        <f t="shared" si="86"/>
        <v>6763.7822038320437</v>
      </c>
      <c r="AA2780" s="30">
        <f t="shared" si="87"/>
        <v>0</v>
      </c>
      <c r="AB2780" t="s">
        <v>457</v>
      </c>
    </row>
    <row r="2781" spans="1:28">
      <c r="A2781" t="s">
        <v>113</v>
      </c>
      <c r="C2781" s="92">
        <v>4615462610</v>
      </c>
      <c r="D2781" s="93">
        <v>19175</v>
      </c>
      <c r="F2781" s="91">
        <v>16</v>
      </c>
      <c r="G2781" s="91">
        <v>0</v>
      </c>
      <c r="H2781" s="91">
        <v>0</v>
      </c>
      <c r="I2781" s="91">
        <v>0</v>
      </c>
      <c r="J2781" s="41"/>
      <c r="K2781" s="41">
        <v>43343</v>
      </c>
      <c r="L2781" s="69" t="s">
        <v>80</v>
      </c>
      <c r="M2781" s="69" t="s">
        <v>286</v>
      </c>
      <c r="N2781" s="95"/>
      <c r="P2781" t="s">
        <v>95</v>
      </c>
      <c r="Q2781" t="s">
        <v>110</v>
      </c>
      <c r="R2781" s="92" t="s">
        <v>69</v>
      </c>
      <c r="S2781" s="92" t="s">
        <v>115</v>
      </c>
      <c r="V2781" s="95">
        <v>43343</v>
      </c>
      <c r="W2781" s="92" t="s">
        <v>370</v>
      </c>
      <c r="X2781" s="90"/>
      <c r="Y2781" s="123"/>
      <c r="Z2781" s="30">
        <f t="shared" si="86"/>
        <v>6763.7822038320437</v>
      </c>
      <c r="AA2781" s="30">
        <f t="shared" si="87"/>
        <v>0</v>
      </c>
      <c r="AB2781" t="s">
        <v>457</v>
      </c>
    </row>
    <row r="2782" spans="1:28">
      <c r="A2782" t="s">
        <v>113</v>
      </c>
      <c r="C2782" s="92">
        <v>4615462610</v>
      </c>
      <c r="D2782" s="93">
        <v>19175</v>
      </c>
      <c r="F2782" s="91">
        <v>16</v>
      </c>
      <c r="G2782" s="91">
        <v>0</v>
      </c>
      <c r="H2782" s="91">
        <v>0</v>
      </c>
      <c r="I2782" s="91">
        <v>0</v>
      </c>
      <c r="J2782" s="41"/>
      <c r="K2782" s="41">
        <v>43343</v>
      </c>
      <c r="L2782" s="69" t="s">
        <v>80</v>
      </c>
      <c r="M2782" s="69" t="s">
        <v>286</v>
      </c>
      <c r="N2782" s="95"/>
      <c r="P2782" t="s">
        <v>95</v>
      </c>
      <c r="Q2782" t="s">
        <v>110</v>
      </c>
      <c r="R2782" s="92" t="s">
        <v>69</v>
      </c>
      <c r="S2782" s="92" t="s">
        <v>115</v>
      </c>
      <c r="V2782" s="95">
        <v>43343</v>
      </c>
      <c r="W2782" s="92" t="s">
        <v>370</v>
      </c>
      <c r="X2782" s="90"/>
      <c r="Y2782" s="123"/>
      <c r="Z2782" s="30">
        <f t="shared" si="86"/>
        <v>6763.7822038320437</v>
      </c>
      <c r="AA2782" s="30">
        <f t="shared" si="87"/>
        <v>0</v>
      </c>
      <c r="AB2782" t="s">
        <v>457</v>
      </c>
    </row>
    <row r="2783" spans="1:28">
      <c r="A2783" t="s">
        <v>113</v>
      </c>
      <c r="C2783" s="92">
        <v>4615462610</v>
      </c>
      <c r="D2783" s="93">
        <v>19175</v>
      </c>
      <c r="F2783" s="91">
        <v>16</v>
      </c>
      <c r="G2783" s="91">
        <v>0</v>
      </c>
      <c r="H2783" s="91">
        <v>0</v>
      </c>
      <c r="I2783" s="91">
        <v>0</v>
      </c>
      <c r="J2783" s="41"/>
      <c r="K2783" s="41">
        <v>43343</v>
      </c>
      <c r="L2783" s="69" t="s">
        <v>80</v>
      </c>
      <c r="M2783" s="69" t="s">
        <v>286</v>
      </c>
      <c r="N2783" s="95"/>
      <c r="P2783" t="s">
        <v>95</v>
      </c>
      <c r="Q2783" t="s">
        <v>110</v>
      </c>
      <c r="R2783" s="92" t="s">
        <v>69</v>
      </c>
      <c r="S2783" s="92" t="s">
        <v>115</v>
      </c>
      <c r="V2783" s="95">
        <v>43343</v>
      </c>
      <c r="W2783" s="92" t="s">
        <v>370</v>
      </c>
      <c r="X2783" s="90"/>
      <c r="Y2783" s="123"/>
      <c r="Z2783" s="30">
        <f t="shared" si="86"/>
        <v>6763.7822038320437</v>
      </c>
      <c r="AA2783" s="30">
        <f t="shared" si="87"/>
        <v>0</v>
      </c>
      <c r="AB2783" t="s">
        <v>457</v>
      </c>
    </row>
    <row r="2784" spans="1:28">
      <c r="A2784" t="s">
        <v>113</v>
      </c>
      <c r="C2784" s="92">
        <v>4615462610</v>
      </c>
      <c r="D2784" s="93">
        <v>19175</v>
      </c>
      <c r="F2784" s="91">
        <v>16</v>
      </c>
      <c r="G2784" s="91">
        <v>0</v>
      </c>
      <c r="H2784" s="91">
        <v>0</v>
      </c>
      <c r="I2784" s="91">
        <v>0</v>
      </c>
      <c r="J2784" s="41"/>
      <c r="K2784" s="41">
        <v>43343</v>
      </c>
      <c r="L2784" s="69" t="s">
        <v>80</v>
      </c>
      <c r="M2784" s="69" t="s">
        <v>286</v>
      </c>
      <c r="N2784" s="95"/>
      <c r="P2784" t="s">
        <v>95</v>
      </c>
      <c r="Q2784" t="s">
        <v>110</v>
      </c>
      <c r="R2784" s="92" t="s">
        <v>69</v>
      </c>
      <c r="S2784" s="92" t="s">
        <v>115</v>
      </c>
      <c r="V2784" s="95">
        <v>43343</v>
      </c>
      <c r="W2784" s="92" t="s">
        <v>370</v>
      </c>
      <c r="X2784" s="90"/>
      <c r="Y2784" s="123"/>
      <c r="Z2784" s="30">
        <f t="shared" si="86"/>
        <v>6763.7822038320437</v>
      </c>
      <c r="AA2784" s="30">
        <f t="shared" si="87"/>
        <v>0</v>
      </c>
      <c r="AB2784" t="s">
        <v>457</v>
      </c>
    </row>
    <row r="2785" spans="1:28">
      <c r="A2785" t="s">
        <v>113</v>
      </c>
      <c r="C2785" s="92">
        <v>4615462610</v>
      </c>
      <c r="D2785" s="93">
        <v>19175</v>
      </c>
      <c r="F2785" s="91">
        <v>16</v>
      </c>
      <c r="G2785" s="91">
        <v>0</v>
      </c>
      <c r="H2785" s="91">
        <v>0</v>
      </c>
      <c r="I2785" s="91">
        <v>0</v>
      </c>
      <c r="J2785" s="41"/>
      <c r="K2785" s="41">
        <v>43343</v>
      </c>
      <c r="L2785" s="69" t="s">
        <v>80</v>
      </c>
      <c r="M2785" s="69" t="s">
        <v>286</v>
      </c>
      <c r="N2785" s="95"/>
      <c r="P2785" t="s">
        <v>95</v>
      </c>
      <c r="Q2785" t="s">
        <v>110</v>
      </c>
      <c r="R2785" s="92" t="s">
        <v>69</v>
      </c>
      <c r="S2785" s="92" t="s">
        <v>115</v>
      </c>
      <c r="V2785" s="95">
        <v>43343</v>
      </c>
      <c r="W2785" s="92" t="s">
        <v>370</v>
      </c>
      <c r="X2785" s="90"/>
      <c r="Y2785" s="123"/>
      <c r="Z2785" s="30">
        <f t="shared" si="86"/>
        <v>6763.7822038320437</v>
      </c>
      <c r="AA2785" s="30">
        <f t="shared" si="87"/>
        <v>0</v>
      </c>
      <c r="AB2785" t="s">
        <v>457</v>
      </c>
    </row>
    <row r="2786" spans="1:28">
      <c r="A2786" t="s">
        <v>113</v>
      </c>
      <c r="C2786" s="92">
        <v>4615462610</v>
      </c>
      <c r="D2786" s="93">
        <v>19175</v>
      </c>
      <c r="F2786" s="91">
        <v>16</v>
      </c>
      <c r="G2786" s="91">
        <v>0</v>
      </c>
      <c r="H2786" s="91">
        <v>0</v>
      </c>
      <c r="I2786" s="91">
        <v>0</v>
      </c>
      <c r="J2786" s="41"/>
      <c r="K2786" s="41">
        <v>43343</v>
      </c>
      <c r="L2786" s="69" t="s">
        <v>80</v>
      </c>
      <c r="M2786" s="69" t="s">
        <v>286</v>
      </c>
      <c r="N2786" s="95"/>
      <c r="P2786" t="s">
        <v>95</v>
      </c>
      <c r="Q2786" t="s">
        <v>110</v>
      </c>
      <c r="R2786" s="92" t="s">
        <v>69</v>
      </c>
      <c r="S2786" s="92" t="s">
        <v>115</v>
      </c>
      <c r="V2786" s="95">
        <v>43343</v>
      </c>
      <c r="W2786" s="92" t="s">
        <v>370</v>
      </c>
      <c r="X2786" s="90"/>
      <c r="Y2786" s="123"/>
      <c r="Z2786" s="30">
        <f t="shared" si="86"/>
        <v>6763.7822038320437</v>
      </c>
      <c r="AA2786" s="30">
        <f t="shared" si="87"/>
        <v>0</v>
      </c>
      <c r="AB2786" t="s">
        <v>457</v>
      </c>
    </row>
    <row r="2787" spans="1:28">
      <c r="A2787" t="s">
        <v>113</v>
      </c>
      <c r="C2787" s="92">
        <v>4615462610</v>
      </c>
      <c r="D2787" s="93">
        <v>19175</v>
      </c>
      <c r="F2787" s="91">
        <v>16</v>
      </c>
      <c r="G2787" s="91">
        <v>0</v>
      </c>
      <c r="H2787" s="91">
        <v>0</v>
      </c>
      <c r="I2787" s="91">
        <v>0</v>
      </c>
      <c r="J2787" s="41"/>
      <c r="K2787" s="41">
        <v>43343</v>
      </c>
      <c r="L2787" s="69" t="s">
        <v>80</v>
      </c>
      <c r="M2787" s="69" t="s">
        <v>286</v>
      </c>
      <c r="N2787" s="95"/>
      <c r="P2787" t="s">
        <v>95</v>
      </c>
      <c r="Q2787" t="s">
        <v>110</v>
      </c>
      <c r="R2787" s="92" t="s">
        <v>69</v>
      </c>
      <c r="S2787" s="92" t="s">
        <v>115</v>
      </c>
      <c r="V2787" s="95">
        <v>43343</v>
      </c>
      <c r="W2787" s="92" t="s">
        <v>370</v>
      </c>
      <c r="X2787" s="90"/>
      <c r="Y2787" s="123"/>
      <c r="Z2787" s="30">
        <f t="shared" si="86"/>
        <v>6763.7822038320437</v>
      </c>
      <c r="AA2787" s="30">
        <f t="shared" si="87"/>
        <v>0</v>
      </c>
      <c r="AB2787" t="s">
        <v>457</v>
      </c>
    </row>
    <row r="2788" spans="1:28">
      <c r="A2788" t="s">
        <v>113</v>
      </c>
      <c r="C2788" s="92">
        <v>4615462610</v>
      </c>
      <c r="D2788" s="93">
        <v>19175</v>
      </c>
      <c r="F2788" s="91">
        <v>16</v>
      </c>
      <c r="G2788" s="91">
        <v>0</v>
      </c>
      <c r="H2788" s="91">
        <v>0</v>
      </c>
      <c r="I2788" s="91">
        <v>0</v>
      </c>
      <c r="J2788" s="41"/>
      <c r="K2788" s="41">
        <v>43343</v>
      </c>
      <c r="L2788" s="69" t="s">
        <v>80</v>
      </c>
      <c r="M2788" s="69" t="s">
        <v>286</v>
      </c>
      <c r="N2788" s="95"/>
      <c r="P2788" t="s">
        <v>95</v>
      </c>
      <c r="Q2788" t="s">
        <v>110</v>
      </c>
      <c r="R2788" s="92" t="s">
        <v>69</v>
      </c>
      <c r="S2788" s="92" t="s">
        <v>115</v>
      </c>
      <c r="V2788" s="95">
        <v>43343</v>
      </c>
      <c r="W2788" s="92" t="s">
        <v>370</v>
      </c>
      <c r="X2788" s="90"/>
      <c r="Y2788" s="123"/>
      <c r="Z2788" s="30">
        <f t="shared" si="86"/>
        <v>6763.7822038320437</v>
      </c>
      <c r="AA2788" s="30">
        <f t="shared" si="87"/>
        <v>0</v>
      </c>
      <c r="AB2788" t="s">
        <v>457</v>
      </c>
    </row>
    <row r="2789" spans="1:28">
      <c r="A2789" t="s">
        <v>113</v>
      </c>
      <c r="C2789" s="92">
        <v>4615462610</v>
      </c>
      <c r="D2789" s="93">
        <v>19175</v>
      </c>
      <c r="F2789" s="91">
        <v>16</v>
      </c>
      <c r="G2789" s="91">
        <v>0</v>
      </c>
      <c r="H2789" s="91">
        <v>0</v>
      </c>
      <c r="I2789" s="91">
        <v>0</v>
      </c>
      <c r="J2789" s="41"/>
      <c r="K2789" s="41">
        <v>43343</v>
      </c>
      <c r="L2789" s="69" t="s">
        <v>80</v>
      </c>
      <c r="M2789" s="69" t="s">
        <v>286</v>
      </c>
      <c r="N2789" s="95"/>
      <c r="P2789" t="s">
        <v>95</v>
      </c>
      <c r="Q2789" t="s">
        <v>110</v>
      </c>
      <c r="R2789" s="92" t="s">
        <v>69</v>
      </c>
      <c r="S2789" s="92" t="s">
        <v>115</v>
      </c>
      <c r="V2789" s="95">
        <v>43343</v>
      </c>
      <c r="W2789" s="92" t="s">
        <v>370</v>
      </c>
      <c r="X2789" s="90"/>
      <c r="Y2789" s="123"/>
      <c r="Z2789" s="30">
        <f t="shared" si="86"/>
        <v>6763.7822038320437</v>
      </c>
      <c r="AA2789" s="30">
        <f t="shared" si="87"/>
        <v>0</v>
      </c>
      <c r="AB2789" t="s">
        <v>457</v>
      </c>
    </row>
    <row r="2790" spans="1:28">
      <c r="A2790" t="s">
        <v>113</v>
      </c>
      <c r="C2790" s="92">
        <v>4615462610</v>
      </c>
      <c r="D2790" s="93">
        <v>19175</v>
      </c>
      <c r="F2790" s="91">
        <v>16</v>
      </c>
      <c r="G2790" s="91">
        <v>0</v>
      </c>
      <c r="H2790" s="91">
        <v>0</v>
      </c>
      <c r="I2790" s="91">
        <v>0</v>
      </c>
      <c r="J2790" s="41"/>
      <c r="K2790" s="41">
        <v>43343</v>
      </c>
      <c r="L2790" s="69" t="s">
        <v>80</v>
      </c>
      <c r="M2790" s="69" t="s">
        <v>286</v>
      </c>
      <c r="N2790" s="95"/>
      <c r="P2790" t="s">
        <v>95</v>
      </c>
      <c r="Q2790" t="s">
        <v>110</v>
      </c>
      <c r="R2790" s="92" t="s">
        <v>69</v>
      </c>
      <c r="S2790" s="92" t="s">
        <v>115</v>
      </c>
      <c r="V2790" s="95">
        <v>43343</v>
      </c>
      <c r="W2790" s="92" t="s">
        <v>370</v>
      </c>
      <c r="X2790" s="90"/>
      <c r="Y2790" s="123"/>
      <c r="Z2790" s="30">
        <f t="shared" si="86"/>
        <v>6763.7822038320437</v>
      </c>
      <c r="AA2790" s="30">
        <f t="shared" si="87"/>
        <v>0</v>
      </c>
      <c r="AB2790" t="s">
        <v>457</v>
      </c>
    </row>
    <row r="2791" spans="1:28">
      <c r="A2791" t="s">
        <v>113</v>
      </c>
      <c r="C2791" s="92">
        <v>4615506653</v>
      </c>
      <c r="D2791" s="93">
        <v>19175</v>
      </c>
      <c r="F2791" s="106">
        <v>16</v>
      </c>
      <c r="G2791" s="96">
        <v>0</v>
      </c>
      <c r="H2791" s="94">
        <v>0</v>
      </c>
      <c r="I2791" s="91">
        <v>0</v>
      </c>
      <c r="J2791" s="41"/>
      <c r="K2791" s="41">
        <v>43343</v>
      </c>
      <c r="L2791" s="69" t="s">
        <v>80</v>
      </c>
      <c r="M2791" s="69" t="s">
        <v>286</v>
      </c>
      <c r="N2791" s="95"/>
      <c r="P2791" t="s">
        <v>95</v>
      </c>
      <c r="Q2791" t="s">
        <v>110</v>
      </c>
      <c r="R2791" s="92" t="s">
        <v>69</v>
      </c>
      <c r="S2791" s="92" t="s">
        <v>115</v>
      </c>
      <c r="V2791" s="95">
        <v>43343</v>
      </c>
      <c r="W2791" s="92" t="s">
        <v>371</v>
      </c>
      <c r="X2791" s="90"/>
      <c r="Y2791" s="123"/>
      <c r="Z2791" s="30">
        <f t="shared" si="86"/>
        <v>6763.7822038320437</v>
      </c>
      <c r="AA2791" s="30">
        <f t="shared" si="87"/>
        <v>0</v>
      </c>
      <c r="AB2791" t="s">
        <v>457</v>
      </c>
    </row>
    <row r="2792" spans="1:28">
      <c r="A2792" t="s">
        <v>113</v>
      </c>
      <c r="C2792" s="92">
        <v>4615506653</v>
      </c>
      <c r="D2792" s="93">
        <v>19175</v>
      </c>
      <c r="F2792" s="106">
        <v>16</v>
      </c>
      <c r="G2792" s="96">
        <v>0</v>
      </c>
      <c r="H2792" s="94">
        <v>0</v>
      </c>
      <c r="I2792" s="91">
        <v>0</v>
      </c>
      <c r="J2792" s="41"/>
      <c r="K2792" s="41">
        <v>43343</v>
      </c>
      <c r="L2792" s="69" t="s">
        <v>80</v>
      </c>
      <c r="M2792" s="69" t="s">
        <v>286</v>
      </c>
      <c r="N2792" s="95"/>
      <c r="P2792" t="s">
        <v>95</v>
      </c>
      <c r="Q2792" t="s">
        <v>110</v>
      </c>
      <c r="R2792" s="92" t="s">
        <v>69</v>
      </c>
      <c r="S2792" s="92" t="s">
        <v>115</v>
      </c>
      <c r="V2792" s="95">
        <v>43343</v>
      </c>
      <c r="W2792" s="92" t="s">
        <v>371</v>
      </c>
      <c r="X2792" s="90"/>
      <c r="Y2792" s="123"/>
      <c r="Z2792" s="30">
        <f t="shared" si="86"/>
        <v>6763.7822038320437</v>
      </c>
      <c r="AA2792" s="30">
        <f t="shared" si="87"/>
        <v>0</v>
      </c>
      <c r="AB2792" t="s">
        <v>457</v>
      </c>
    </row>
    <row r="2793" spans="1:28">
      <c r="A2793" t="s">
        <v>113</v>
      </c>
      <c r="C2793" s="92">
        <v>4615506653</v>
      </c>
      <c r="D2793" s="93">
        <v>19175</v>
      </c>
      <c r="F2793" s="106">
        <v>16</v>
      </c>
      <c r="G2793" s="96">
        <v>0</v>
      </c>
      <c r="H2793" s="94">
        <v>0</v>
      </c>
      <c r="I2793" s="91">
        <v>0</v>
      </c>
      <c r="J2793" s="41"/>
      <c r="K2793" s="41">
        <v>43343</v>
      </c>
      <c r="L2793" s="69" t="s">
        <v>80</v>
      </c>
      <c r="M2793" s="69" t="s">
        <v>286</v>
      </c>
      <c r="N2793" s="95"/>
      <c r="P2793" t="s">
        <v>95</v>
      </c>
      <c r="Q2793" t="s">
        <v>110</v>
      </c>
      <c r="R2793" s="92" t="s">
        <v>69</v>
      </c>
      <c r="S2793" s="92" t="s">
        <v>115</v>
      </c>
      <c r="V2793" s="95">
        <v>43343</v>
      </c>
      <c r="W2793" s="92" t="s">
        <v>371</v>
      </c>
      <c r="X2793" s="90"/>
      <c r="Y2793" s="123"/>
      <c r="Z2793" s="30">
        <f t="shared" si="86"/>
        <v>6763.7822038320437</v>
      </c>
      <c r="AA2793" s="30">
        <f t="shared" si="87"/>
        <v>0</v>
      </c>
      <c r="AB2793" t="s">
        <v>457</v>
      </c>
    </row>
    <row r="2794" spans="1:28">
      <c r="A2794" t="s">
        <v>113</v>
      </c>
      <c r="C2794" s="92">
        <v>4615506653</v>
      </c>
      <c r="D2794" s="93">
        <v>19175</v>
      </c>
      <c r="F2794" s="106">
        <v>16</v>
      </c>
      <c r="G2794" s="96">
        <v>0</v>
      </c>
      <c r="H2794" s="94">
        <v>0</v>
      </c>
      <c r="I2794" s="91">
        <v>0</v>
      </c>
      <c r="J2794" s="41"/>
      <c r="K2794" s="41">
        <v>43343</v>
      </c>
      <c r="L2794" s="69" t="s">
        <v>80</v>
      </c>
      <c r="M2794" s="69" t="s">
        <v>286</v>
      </c>
      <c r="N2794" s="95"/>
      <c r="P2794" t="s">
        <v>95</v>
      </c>
      <c r="Q2794" t="s">
        <v>110</v>
      </c>
      <c r="R2794" s="92" t="s">
        <v>69</v>
      </c>
      <c r="S2794" s="92" t="s">
        <v>115</v>
      </c>
      <c r="V2794" s="95">
        <v>43343</v>
      </c>
      <c r="W2794" s="92" t="s">
        <v>371</v>
      </c>
      <c r="X2794" s="90"/>
      <c r="Y2794" s="123"/>
      <c r="Z2794" s="30">
        <f t="shared" si="86"/>
        <v>6763.7822038320437</v>
      </c>
      <c r="AA2794" s="30">
        <f t="shared" si="87"/>
        <v>0</v>
      </c>
      <c r="AB2794" t="s">
        <v>457</v>
      </c>
    </row>
    <row r="2795" spans="1:28">
      <c r="A2795" t="s">
        <v>113</v>
      </c>
      <c r="C2795" s="92">
        <v>4615506653</v>
      </c>
      <c r="D2795" s="93">
        <v>19175</v>
      </c>
      <c r="F2795" s="106">
        <v>16</v>
      </c>
      <c r="G2795" s="96">
        <v>0</v>
      </c>
      <c r="H2795" s="94">
        <v>0</v>
      </c>
      <c r="I2795" s="91">
        <v>0</v>
      </c>
      <c r="J2795" s="41"/>
      <c r="K2795" s="41">
        <v>43343</v>
      </c>
      <c r="L2795" s="69" t="s">
        <v>80</v>
      </c>
      <c r="M2795" s="69" t="s">
        <v>286</v>
      </c>
      <c r="N2795" s="95"/>
      <c r="P2795" t="s">
        <v>95</v>
      </c>
      <c r="Q2795" t="s">
        <v>110</v>
      </c>
      <c r="R2795" s="92" t="s">
        <v>69</v>
      </c>
      <c r="S2795" s="92" t="s">
        <v>115</v>
      </c>
      <c r="V2795" s="95">
        <v>43343</v>
      </c>
      <c r="W2795" s="92" t="s">
        <v>371</v>
      </c>
      <c r="X2795" s="90"/>
      <c r="Y2795" s="123"/>
      <c r="Z2795" s="30">
        <f t="shared" si="86"/>
        <v>6763.7822038320437</v>
      </c>
      <c r="AA2795" s="30">
        <f t="shared" si="87"/>
        <v>0</v>
      </c>
      <c r="AB2795" t="s">
        <v>457</v>
      </c>
    </row>
    <row r="2796" spans="1:28">
      <c r="A2796" t="s">
        <v>113</v>
      </c>
      <c r="C2796" s="92">
        <v>4615506653</v>
      </c>
      <c r="D2796" s="93">
        <v>19175</v>
      </c>
      <c r="F2796" s="106">
        <v>16</v>
      </c>
      <c r="G2796" s="96">
        <v>0</v>
      </c>
      <c r="H2796" s="94">
        <v>0</v>
      </c>
      <c r="I2796" s="91">
        <v>0</v>
      </c>
      <c r="J2796" s="41"/>
      <c r="K2796" s="41">
        <v>43343</v>
      </c>
      <c r="L2796" s="69" t="s">
        <v>80</v>
      </c>
      <c r="M2796" s="69" t="s">
        <v>286</v>
      </c>
      <c r="N2796" s="95"/>
      <c r="P2796" t="s">
        <v>95</v>
      </c>
      <c r="Q2796" t="s">
        <v>110</v>
      </c>
      <c r="R2796" s="92" t="s">
        <v>69</v>
      </c>
      <c r="S2796" s="92" t="s">
        <v>115</v>
      </c>
      <c r="V2796" s="95">
        <v>43343</v>
      </c>
      <c r="W2796" s="92" t="s">
        <v>371</v>
      </c>
      <c r="X2796" s="90"/>
      <c r="Y2796" s="123"/>
      <c r="Z2796" s="30">
        <f t="shared" si="86"/>
        <v>6763.7822038320437</v>
      </c>
      <c r="AA2796" s="30">
        <f t="shared" si="87"/>
        <v>0</v>
      </c>
      <c r="AB2796" t="s">
        <v>457</v>
      </c>
    </row>
    <row r="2797" spans="1:28">
      <c r="A2797" t="s">
        <v>113</v>
      </c>
      <c r="C2797" s="92">
        <v>4615506653</v>
      </c>
      <c r="D2797" s="93">
        <v>19175</v>
      </c>
      <c r="F2797" s="106">
        <v>16</v>
      </c>
      <c r="G2797" s="96">
        <v>0</v>
      </c>
      <c r="H2797" s="94">
        <v>0</v>
      </c>
      <c r="I2797" s="91">
        <v>0</v>
      </c>
      <c r="J2797" s="41"/>
      <c r="K2797" s="41">
        <v>43343</v>
      </c>
      <c r="L2797" s="69" t="s">
        <v>80</v>
      </c>
      <c r="M2797" s="69" t="s">
        <v>286</v>
      </c>
      <c r="N2797" s="95"/>
      <c r="P2797" t="s">
        <v>95</v>
      </c>
      <c r="Q2797" t="s">
        <v>110</v>
      </c>
      <c r="R2797" s="92" t="s">
        <v>69</v>
      </c>
      <c r="S2797" s="92" t="s">
        <v>115</v>
      </c>
      <c r="V2797" s="95">
        <v>43343</v>
      </c>
      <c r="W2797" s="92" t="s">
        <v>371</v>
      </c>
      <c r="X2797" s="90"/>
      <c r="Y2797" s="123"/>
      <c r="Z2797" s="30">
        <f t="shared" si="86"/>
        <v>6763.7822038320437</v>
      </c>
      <c r="AA2797" s="30">
        <f t="shared" si="87"/>
        <v>0</v>
      </c>
      <c r="AB2797" t="s">
        <v>457</v>
      </c>
    </row>
    <row r="2798" spans="1:28">
      <c r="A2798" t="s">
        <v>113</v>
      </c>
      <c r="C2798" s="92">
        <v>4615506653</v>
      </c>
      <c r="D2798" s="93">
        <v>19175</v>
      </c>
      <c r="F2798" s="106">
        <v>16</v>
      </c>
      <c r="G2798" s="96">
        <v>0</v>
      </c>
      <c r="H2798" s="94">
        <v>0</v>
      </c>
      <c r="I2798" s="91">
        <v>0</v>
      </c>
      <c r="J2798" s="41"/>
      <c r="K2798" s="41">
        <v>43343</v>
      </c>
      <c r="L2798" s="69" t="s">
        <v>80</v>
      </c>
      <c r="M2798" s="69" t="s">
        <v>286</v>
      </c>
      <c r="N2798" s="95"/>
      <c r="P2798" t="s">
        <v>95</v>
      </c>
      <c r="Q2798" t="s">
        <v>110</v>
      </c>
      <c r="R2798" s="92" t="s">
        <v>69</v>
      </c>
      <c r="S2798" s="92" t="s">
        <v>115</v>
      </c>
      <c r="V2798" s="95">
        <v>43343</v>
      </c>
      <c r="W2798" s="92" t="s">
        <v>371</v>
      </c>
      <c r="X2798" s="90"/>
      <c r="Y2798" s="123"/>
      <c r="Z2798" s="30">
        <f t="shared" si="86"/>
        <v>6763.7822038320437</v>
      </c>
      <c r="AA2798" s="30">
        <f t="shared" si="87"/>
        <v>0</v>
      </c>
      <c r="AB2798" t="s">
        <v>457</v>
      </c>
    </row>
    <row r="2799" spans="1:28">
      <c r="A2799" t="s">
        <v>113</v>
      </c>
      <c r="C2799" s="92">
        <v>4615506653</v>
      </c>
      <c r="D2799" s="93">
        <v>19175</v>
      </c>
      <c r="F2799" s="106">
        <v>16</v>
      </c>
      <c r="G2799" s="96">
        <v>0</v>
      </c>
      <c r="H2799" s="94">
        <v>0</v>
      </c>
      <c r="I2799" s="91">
        <v>0</v>
      </c>
      <c r="J2799" s="41"/>
      <c r="K2799" s="41">
        <v>43343</v>
      </c>
      <c r="L2799" s="69" t="s">
        <v>80</v>
      </c>
      <c r="M2799" s="69" t="s">
        <v>286</v>
      </c>
      <c r="N2799" s="95"/>
      <c r="P2799" t="s">
        <v>95</v>
      </c>
      <c r="Q2799" t="s">
        <v>110</v>
      </c>
      <c r="R2799" s="92" t="s">
        <v>69</v>
      </c>
      <c r="S2799" s="92" t="s">
        <v>115</v>
      </c>
      <c r="V2799" s="95">
        <v>43343</v>
      </c>
      <c r="W2799" s="92" t="s">
        <v>371</v>
      </c>
      <c r="X2799" s="90"/>
      <c r="Y2799" s="123"/>
      <c r="Z2799" s="30">
        <f t="shared" si="86"/>
        <v>6763.7822038320437</v>
      </c>
      <c r="AA2799" s="30">
        <f t="shared" si="87"/>
        <v>0</v>
      </c>
      <c r="AB2799" t="s">
        <v>457</v>
      </c>
    </row>
    <row r="2800" spans="1:28">
      <c r="A2800" t="s">
        <v>113</v>
      </c>
      <c r="C2800" s="92">
        <v>4615506653</v>
      </c>
      <c r="D2800" s="93">
        <v>19175</v>
      </c>
      <c r="F2800" s="106">
        <v>16</v>
      </c>
      <c r="G2800" s="96">
        <v>0</v>
      </c>
      <c r="H2800" s="94">
        <v>0</v>
      </c>
      <c r="I2800" s="91">
        <v>0</v>
      </c>
      <c r="J2800" s="41"/>
      <c r="K2800" s="41">
        <v>43343</v>
      </c>
      <c r="L2800" s="69" t="s">
        <v>80</v>
      </c>
      <c r="M2800" s="69" t="s">
        <v>286</v>
      </c>
      <c r="N2800" s="95"/>
      <c r="P2800" t="s">
        <v>95</v>
      </c>
      <c r="Q2800" t="s">
        <v>110</v>
      </c>
      <c r="R2800" s="92" t="s">
        <v>69</v>
      </c>
      <c r="S2800" s="92" t="s">
        <v>115</v>
      </c>
      <c r="V2800" s="95">
        <v>43343</v>
      </c>
      <c r="W2800" s="92" t="s">
        <v>371</v>
      </c>
      <c r="X2800" s="90"/>
      <c r="Y2800" s="123"/>
      <c r="Z2800" s="30">
        <f t="shared" si="86"/>
        <v>6763.7822038320437</v>
      </c>
      <c r="AA2800" s="30">
        <f t="shared" si="87"/>
        <v>0</v>
      </c>
      <c r="AB2800" t="s">
        <v>457</v>
      </c>
    </row>
    <row r="2801" spans="1:28">
      <c r="A2801" t="s">
        <v>113</v>
      </c>
      <c r="C2801" s="92">
        <v>4615488272</v>
      </c>
      <c r="D2801" s="93">
        <v>19175</v>
      </c>
      <c r="F2801" s="91">
        <v>16</v>
      </c>
      <c r="G2801" s="91">
        <v>0</v>
      </c>
      <c r="H2801" s="91">
        <v>0</v>
      </c>
      <c r="I2801" s="91">
        <v>0</v>
      </c>
      <c r="J2801" s="41"/>
      <c r="K2801" s="41">
        <v>43343</v>
      </c>
      <c r="L2801" s="69" t="s">
        <v>80</v>
      </c>
      <c r="M2801" s="69" t="s">
        <v>286</v>
      </c>
      <c r="N2801" s="95"/>
      <c r="P2801" t="s">
        <v>95</v>
      </c>
      <c r="Q2801" t="s">
        <v>133</v>
      </c>
      <c r="R2801" s="92" t="s">
        <v>69</v>
      </c>
      <c r="S2801" s="92" t="s">
        <v>115</v>
      </c>
      <c r="V2801" s="95">
        <v>43343</v>
      </c>
      <c r="W2801" s="92">
        <v>2088623</v>
      </c>
      <c r="X2801" s="90"/>
      <c r="Y2801" s="123"/>
      <c r="Z2801" s="30">
        <f t="shared" si="86"/>
        <v>6763.7822038320437</v>
      </c>
      <c r="AA2801" s="30">
        <f t="shared" si="87"/>
        <v>0</v>
      </c>
      <c r="AB2801" t="s">
        <v>457</v>
      </c>
    </row>
    <row r="2802" spans="1:28">
      <c r="A2802" t="s">
        <v>113</v>
      </c>
      <c r="C2802" s="92">
        <v>4615488272</v>
      </c>
      <c r="D2802" s="93">
        <v>19175</v>
      </c>
      <c r="F2802" s="91">
        <v>16</v>
      </c>
      <c r="G2802" s="91">
        <v>0</v>
      </c>
      <c r="H2802" s="91">
        <v>0</v>
      </c>
      <c r="I2802" s="91">
        <v>0</v>
      </c>
      <c r="J2802" s="41"/>
      <c r="K2802" s="41">
        <v>43343</v>
      </c>
      <c r="L2802" s="69" t="s">
        <v>80</v>
      </c>
      <c r="M2802" s="69" t="s">
        <v>286</v>
      </c>
      <c r="N2802" s="95"/>
      <c r="P2802" t="s">
        <v>95</v>
      </c>
      <c r="Q2802" t="s">
        <v>133</v>
      </c>
      <c r="R2802" s="92" t="s">
        <v>69</v>
      </c>
      <c r="S2802" s="92" t="s">
        <v>115</v>
      </c>
      <c r="V2802" s="95">
        <v>43343</v>
      </c>
      <c r="W2802" s="92">
        <v>2088623</v>
      </c>
      <c r="X2802" s="90"/>
      <c r="Y2802" s="123"/>
      <c r="Z2802" s="30">
        <f t="shared" si="86"/>
        <v>6763.7822038320437</v>
      </c>
      <c r="AA2802" s="30">
        <f t="shared" si="87"/>
        <v>0</v>
      </c>
      <c r="AB2802" t="s">
        <v>457</v>
      </c>
    </row>
    <row r="2803" spans="1:28">
      <c r="A2803" t="s">
        <v>113</v>
      </c>
      <c r="C2803" s="92">
        <v>4615488272</v>
      </c>
      <c r="D2803" s="93">
        <v>19175</v>
      </c>
      <c r="F2803" s="91">
        <v>16</v>
      </c>
      <c r="G2803" s="91">
        <v>0</v>
      </c>
      <c r="H2803" s="91">
        <v>0</v>
      </c>
      <c r="I2803" s="91">
        <v>0</v>
      </c>
      <c r="J2803" s="41"/>
      <c r="K2803" s="41">
        <v>43343</v>
      </c>
      <c r="L2803" s="69" t="s">
        <v>80</v>
      </c>
      <c r="M2803" s="69" t="s">
        <v>286</v>
      </c>
      <c r="N2803" s="95"/>
      <c r="P2803" t="s">
        <v>95</v>
      </c>
      <c r="Q2803" t="s">
        <v>133</v>
      </c>
      <c r="R2803" s="92" t="s">
        <v>69</v>
      </c>
      <c r="S2803" s="92" t="s">
        <v>115</v>
      </c>
      <c r="V2803" s="95">
        <v>43343</v>
      </c>
      <c r="W2803" s="92">
        <v>2088623</v>
      </c>
      <c r="X2803" s="90"/>
      <c r="Y2803" s="123"/>
      <c r="Z2803" s="30">
        <f t="shared" si="86"/>
        <v>6763.7822038320437</v>
      </c>
      <c r="AA2803" s="30">
        <f t="shared" si="87"/>
        <v>0</v>
      </c>
      <c r="AB2803" t="s">
        <v>457</v>
      </c>
    </row>
    <row r="2804" spans="1:28">
      <c r="A2804" t="s">
        <v>113</v>
      </c>
      <c r="C2804" s="92">
        <v>4615488272</v>
      </c>
      <c r="D2804" s="93">
        <v>19175</v>
      </c>
      <c r="F2804" s="91">
        <v>16</v>
      </c>
      <c r="G2804" s="91">
        <v>0</v>
      </c>
      <c r="H2804" s="91">
        <v>0</v>
      </c>
      <c r="I2804" s="91">
        <v>0</v>
      </c>
      <c r="J2804" s="41"/>
      <c r="K2804" s="41">
        <v>43343</v>
      </c>
      <c r="L2804" s="69" t="s">
        <v>80</v>
      </c>
      <c r="M2804" s="69" t="s">
        <v>286</v>
      </c>
      <c r="N2804" s="95"/>
      <c r="P2804" t="s">
        <v>95</v>
      </c>
      <c r="Q2804" t="s">
        <v>133</v>
      </c>
      <c r="R2804" s="92" t="s">
        <v>69</v>
      </c>
      <c r="S2804" s="92" t="s">
        <v>115</v>
      </c>
      <c r="V2804" s="95">
        <v>43343</v>
      </c>
      <c r="W2804" s="92">
        <v>2088623</v>
      </c>
      <c r="X2804" s="90"/>
      <c r="Y2804" s="123"/>
      <c r="Z2804" s="30">
        <f t="shared" si="86"/>
        <v>6763.7822038320437</v>
      </c>
      <c r="AA2804" s="30">
        <f t="shared" si="87"/>
        <v>0</v>
      </c>
      <c r="AB2804" t="s">
        <v>457</v>
      </c>
    </row>
    <row r="2805" spans="1:28">
      <c r="A2805" t="s">
        <v>113</v>
      </c>
      <c r="C2805" s="92">
        <v>4615488272</v>
      </c>
      <c r="D2805" s="93">
        <v>19175</v>
      </c>
      <c r="F2805" s="91">
        <v>16</v>
      </c>
      <c r="G2805" s="91">
        <v>0</v>
      </c>
      <c r="H2805" s="91">
        <v>0</v>
      </c>
      <c r="I2805" s="91">
        <v>0</v>
      </c>
      <c r="J2805" s="41"/>
      <c r="K2805" s="41">
        <v>43343</v>
      </c>
      <c r="L2805" s="69" t="s">
        <v>80</v>
      </c>
      <c r="M2805" s="69" t="s">
        <v>286</v>
      </c>
      <c r="N2805" s="95"/>
      <c r="P2805" t="s">
        <v>95</v>
      </c>
      <c r="Q2805" t="s">
        <v>133</v>
      </c>
      <c r="R2805" s="92" t="s">
        <v>69</v>
      </c>
      <c r="S2805" s="92" t="s">
        <v>115</v>
      </c>
      <c r="V2805" s="95">
        <v>43343</v>
      </c>
      <c r="W2805" s="92">
        <v>2088623</v>
      </c>
      <c r="X2805" s="90"/>
      <c r="Y2805" s="123"/>
      <c r="Z2805" s="30">
        <f t="shared" si="86"/>
        <v>6763.7822038320437</v>
      </c>
      <c r="AA2805" s="30">
        <f t="shared" si="87"/>
        <v>0</v>
      </c>
      <c r="AB2805" t="s">
        <v>457</v>
      </c>
    </row>
    <row r="2806" spans="1:28">
      <c r="A2806" t="s">
        <v>113</v>
      </c>
      <c r="C2806" s="92">
        <v>4615488272</v>
      </c>
      <c r="D2806" s="93">
        <v>19175</v>
      </c>
      <c r="F2806" s="91">
        <v>16</v>
      </c>
      <c r="G2806" s="91">
        <v>0</v>
      </c>
      <c r="H2806" s="91">
        <v>0</v>
      </c>
      <c r="I2806" s="91">
        <v>0</v>
      </c>
      <c r="J2806" s="41"/>
      <c r="K2806" s="41">
        <v>43343</v>
      </c>
      <c r="L2806" s="69" t="s">
        <v>80</v>
      </c>
      <c r="M2806" s="69" t="s">
        <v>286</v>
      </c>
      <c r="N2806" s="95"/>
      <c r="P2806" t="s">
        <v>95</v>
      </c>
      <c r="Q2806" t="s">
        <v>133</v>
      </c>
      <c r="R2806" s="92" t="s">
        <v>69</v>
      </c>
      <c r="S2806" s="92" t="s">
        <v>115</v>
      </c>
      <c r="V2806" s="95">
        <v>43343</v>
      </c>
      <c r="W2806" s="92">
        <v>2088623</v>
      </c>
      <c r="X2806" s="90"/>
      <c r="Y2806" s="123"/>
      <c r="Z2806" s="30">
        <f t="shared" si="86"/>
        <v>6763.7822038320437</v>
      </c>
      <c r="AA2806" s="30">
        <f t="shared" si="87"/>
        <v>0</v>
      </c>
      <c r="AB2806" t="s">
        <v>457</v>
      </c>
    </row>
    <row r="2807" spans="1:28">
      <c r="A2807" t="s">
        <v>113</v>
      </c>
      <c r="C2807" s="92">
        <v>4615488272</v>
      </c>
      <c r="D2807" s="93">
        <v>19175</v>
      </c>
      <c r="F2807" s="91">
        <v>16</v>
      </c>
      <c r="G2807" s="91">
        <v>0</v>
      </c>
      <c r="H2807" s="91">
        <v>0</v>
      </c>
      <c r="I2807" s="91">
        <v>0</v>
      </c>
      <c r="J2807" s="41"/>
      <c r="K2807" s="41">
        <v>43343</v>
      </c>
      <c r="L2807" s="69" t="s">
        <v>80</v>
      </c>
      <c r="M2807" s="69" t="s">
        <v>286</v>
      </c>
      <c r="N2807" s="95"/>
      <c r="P2807" t="s">
        <v>95</v>
      </c>
      <c r="Q2807" t="s">
        <v>133</v>
      </c>
      <c r="R2807" s="92" t="s">
        <v>69</v>
      </c>
      <c r="S2807" s="92" t="s">
        <v>115</v>
      </c>
      <c r="V2807" s="95">
        <v>43343</v>
      </c>
      <c r="W2807" s="92">
        <v>2088623</v>
      </c>
      <c r="X2807" s="90"/>
      <c r="Y2807" s="123"/>
      <c r="Z2807" s="30">
        <f t="shared" si="86"/>
        <v>6763.7822038320437</v>
      </c>
      <c r="AA2807" s="30">
        <f t="shared" si="87"/>
        <v>0</v>
      </c>
      <c r="AB2807" t="s">
        <v>457</v>
      </c>
    </row>
    <row r="2808" spans="1:28">
      <c r="A2808" t="s">
        <v>113</v>
      </c>
      <c r="C2808" s="92">
        <v>4615488272</v>
      </c>
      <c r="D2808" s="93">
        <v>19175</v>
      </c>
      <c r="F2808" s="91">
        <v>16</v>
      </c>
      <c r="G2808" s="91">
        <v>0</v>
      </c>
      <c r="H2808" s="91">
        <v>0</v>
      </c>
      <c r="I2808" s="91">
        <v>0</v>
      </c>
      <c r="J2808" s="41"/>
      <c r="K2808" s="41">
        <v>43343</v>
      </c>
      <c r="L2808" s="69" t="s">
        <v>80</v>
      </c>
      <c r="M2808" s="69" t="s">
        <v>286</v>
      </c>
      <c r="N2808" s="95"/>
      <c r="P2808" t="s">
        <v>95</v>
      </c>
      <c r="Q2808" t="s">
        <v>133</v>
      </c>
      <c r="R2808" s="92" t="s">
        <v>69</v>
      </c>
      <c r="S2808" s="92" t="s">
        <v>115</v>
      </c>
      <c r="V2808" s="95">
        <v>43343</v>
      </c>
      <c r="W2808" s="92">
        <v>2088623</v>
      </c>
      <c r="X2808" s="90"/>
      <c r="Y2808" s="123"/>
      <c r="Z2808" s="30">
        <f t="shared" si="86"/>
        <v>6763.7822038320437</v>
      </c>
      <c r="AA2808" s="30">
        <f t="shared" si="87"/>
        <v>0</v>
      </c>
      <c r="AB2808" t="s">
        <v>457</v>
      </c>
    </row>
    <row r="2809" spans="1:28">
      <c r="A2809" t="s">
        <v>113</v>
      </c>
      <c r="C2809" s="92">
        <v>4615488272</v>
      </c>
      <c r="D2809" s="93">
        <v>19175</v>
      </c>
      <c r="F2809" s="91">
        <v>16</v>
      </c>
      <c r="G2809" s="91">
        <v>0</v>
      </c>
      <c r="H2809" s="91">
        <v>0</v>
      </c>
      <c r="I2809" s="91">
        <v>0</v>
      </c>
      <c r="J2809" s="41"/>
      <c r="K2809" s="41">
        <v>43343</v>
      </c>
      <c r="L2809" s="69" t="s">
        <v>80</v>
      </c>
      <c r="M2809" s="69" t="s">
        <v>286</v>
      </c>
      <c r="N2809" s="95"/>
      <c r="P2809" t="s">
        <v>95</v>
      </c>
      <c r="Q2809" t="s">
        <v>133</v>
      </c>
      <c r="R2809" s="92" t="s">
        <v>69</v>
      </c>
      <c r="S2809" s="92" t="s">
        <v>115</v>
      </c>
      <c r="V2809" s="95">
        <v>43343</v>
      </c>
      <c r="W2809" s="92">
        <v>2088623</v>
      </c>
      <c r="X2809" s="90"/>
      <c r="Y2809" s="123"/>
      <c r="Z2809" s="30">
        <f t="shared" si="86"/>
        <v>6763.7822038320437</v>
      </c>
      <c r="AA2809" s="30">
        <f t="shared" si="87"/>
        <v>0</v>
      </c>
      <c r="AB2809" t="s">
        <v>457</v>
      </c>
    </row>
    <row r="2810" spans="1:28">
      <c r="A2810" t="s">
        <v>113</v>
      </c>
      <c r="C2810" s="92">
        <v>4615488272</v>
      </c>
      <c r="D2810" s="93">
        <v>19175</v>
      </c>
      <c r="F2810" s="91">
        <v>16</v>
      </c>
      <c r="G2810" s="91">
        <v>0</v>
      </c>
      <c r="H2810" s="91">
        <v>0</v>
      </c>
      <c r="I2810" s="91">
        <v>0</v>
      </c>
      <c r="J2810" s="41"/>
      <c r="K2810" s="41">
        <v>43343</v>
      </c>
      <c r="L2810" s="69" t="s">
        <v>80</v>
      </c>
      <c r="M2810" s="69" t="s">
        <v>286</v>
      </c>
      <c r="N2810" s="95"/>
      <c r="P2810" t="s">
        <v>95</v>
      </c>
      <c r="Q2810" t="s">
        <v>133</v>
      </c>
      <c r="R2810" s="92" t="s">
        <v>69</v>
      </c>
      <c r="S2810" s="92" t="s">
        <v>115</v>
      </c>
      <c r="V2810" s="95">
        <v>43343</v>
      </c>
      <c r="W2810" s="92">
        <v>2088623</v>
      </c>
      <c r="X2810" s="90"/>
      <c r="Y2810" s="123"/>
      <c r="Z2810" s="30">
        <f t="shared" si="86"/>
        <v>6763.7822038320437</v>
      </c>
      <c r="AA2810" s="30">
        <f t="shared" si="87"/>
        <v>0</v>
      </c>
      <c r="AB2810" t="s">
        <v>457</v>
      </c>
    </row>
    <row r="2811" spans="1:28">
      <c r="A2811" t="s">
        <v>113</v>
      </c>
      <c r="C2811" s="92">
        <v>4615489502</v>
      </c>
      <c r="D2811" s="93">
        <v>19175</v>
      </c>
      <c r="F2811" s="94">
        <v>16</v>
      </c>
      <c r="G2811" s="96">
        <v>5</v>
      </c>
      <c r="H2811" s="91">
        <v>0</v>
      </c>
      <c r="I2811" s="91">
        <v>0</v>
      </c>
      <c r="J2811" s="41"/>
      <c r="K2811" s="41">
        <v>43343</v>
      </c>
      <c r="L2811" s="69" t="s">
        <v>80</v>
      </c>
      <c r="M2811" s="69" t="s">
        <v>286</v>
      </c>
      <c r="N2811" s="98"/>
      <c r="P2811" t="s">
        <v>95</v>
      </c>
      <c r="Q2811" t="s">
        <v>133</v>
      </c>
      <c r="R2811" s="92" t="s">
        <v>69</v>
      </c>
      <c r="S2811" s="92" t="s">
        <v>115</v>
      </c>
      <c r="V2811" s="95">
        <v>43343</v>
      </c>
      <c r="W2811" s="92" t="s">
        <v>372</v>
      </c>
      <c r="X2811" s="90"/>
      <c r="Y2811" s="123"/>
      <c r="Z2811" s="30">
        <f t="shared" si="86"/>
        <v>6763.7822038320437</v>
      </c>
      <c r="AA2811" s="30">
        <f t="shared" si="87"/>
        <v>2113.6819386975139</v>
      </c>
      <c r="AB2811" t="s">
        <v>457</v>
      </c>
    </row>
    <row r="2812" spans="1:28">
      <c r="A2812" t="s">
        <v>113</v>
      </c>
      <c r="C2812" s="92">
        <v>4615489502</v>
      </c>
      <c r="D2812" s="93">
        <v>19175</v>
      </c>
      <c r="F2812" s="94">
        <v>16</v>
      </c>
      <c r="G2812" s="96">
        <v>5</v>
      </c>
      <c r="H2812" s="91">
        <v>0</v>
      </c>
      <c r="I2812" s="91">
        <v>0</v>
      </c>
      <c r="J2812" s="41"/>
      <c r="K2812" s="41">
        <v>43343</v>
      </c>
      <c r="L2812" s="69" t="s">
        <v>80</v>
      </c>
      <c r="M2812" s="69" t="s">
        <v>286</v>
      </c>
      <c r="N2812" s="98"/>
      <c r="P2812" t="s">
        <v>95</v>
      </c>
      <c r="Q2812" t="s">
        <v>133</v>
      </c>
      <c r="R2812" s="92" t="s">
        <v>69</v>
      </c>
      <c r="S2812" s="92" t="s">
        <v>115</v>
      </c>
      <c r="V2812" s="95">
        <v>43343</v>
      </c>
      <c r="W2812" s="92" t="s">
        <v>372</v>
      </c>
      <c r="X2812" s="90"/>
      <c r="Y2812" s="123"/>
      <c r="Z2812" s="30">
        <f t="shared" si="86"/>
        <v>6763.7822038320437</v>
      </c>
      <c r="AA2812" s="30">
        <f t="shared" si="87"/>
        <v>2113.6819386975139</v>
      </c>
      <c r="AB2812" t="s">
        <v>457</v>
      </c>
    </row>
    <row r="2813" spans="1:28">
      <c r="A2813" t="s">
        <v>113</v>
      </c>
      <c r="C2813" s="92">
        <v>4615489502</v>
      </c>
      <c r="D2813" s="93">
        <v>19175</v>
      </c>
      <c r="F2813" s="94">
        <v>16</v>
      </c>
      <c r="G2813" s="96">
        <v>5</v>
      </c>
      <c r="H2813" s="91">
        <v>0</v>
      </c>
      <c r="I2813" s="91">
        <v>0</v>
      </c>
      <c r="J2813" s="41"/>
      <c r="K2813" s="41">
        <v>43343</v>
      </c>
      <c r="L2813" s="69" t="s">
        <v>80</v>
      </c>
      <c r="M2813" s="69" t="s">
        <v>286</v>
      </c>
      <c r="N2813" s="98"/>
      <c r="P2813" t="s">
        <v>95</v>
      </c>
      <c r="Q2813" t="s">
        <v>133</v>
      </c>
      <c r="R2813" s="92" t="s">
        <v>69</v>
      </c>
      <c r="S2813" s="92" t="s">
        <v>115</v>
      </c>
      <c r="V2813" s="95">
        <v>43343</v>
      </c>
      <c r="W2813" s="92" t="s">
        <v>372</v>
      </c>
      <c r="X2813" s="90"/>
      <c r="Y2813" s="123"/>
      <c r="Z2813" s="30">
        <f t="shared" si="86"/>
        <v>6763.7822038320437</v>
      </c>
      <c r="AA2813" s="30">
        <f t="shared" si="87"/>
        <v>2113.6819386975139</v>
      </c>
      <c r="AB2813" t="s">
        <v>457</v>
      </c>
    </row>
    <row r="2814" spans="1:28">
      <c r="A2814" t="s">
        <v>113</v>
      </c>
      <c r="C2814" s="92">
        <v>4615489502</v>
      </c>
      <c r="D2814" s="93">
        <v>19175</v>
      </c>
      <c r="F2814" s="94">
        <v>16</v>
      </c>
      <c r="G2814" s="96">
        <v>5</v>
      </c>
      <c r="H2814" s="91">
        <v>0</v>
      </c>
      <c r="I2814" s="91">
        <v>0</v>
      </c>
      <c r="J2814" s="41"/>
      <c r="K2814" s="41">
        <v>43343</v>
      </c>
      <c r="L2814" s="69" t="s">
        <v>80</v>
      </c>
      <c r="M2814" s="69" t="s">
        <v>286</v>
      </c>
      <c r="N2814" s="98"/>
      <c r="P2814" t="s">
        <v>95</v>
      </c>
      <c r="Q2814" t="s">
        <v>133</v>
      </c>
      <c r="R2814" s="92" t="s">
        <v>69</v>
      </c>
      <c r="S2814" s="92" t="s">
        <v>115</v>
      </c>
      <c r="V2814" s="95">
        <v>43343</v>
      </c>
      <c r="W2814" s="92" t="s">
        <v>372</v>
      </c>
      <c r="X2814" s="90"/>
      <c r="Y2814" s="123"/>
      <c r="Z2814" s="30">
        <f t="shared" si="86"/>
        <v>6763.7822038320437</v>
      </c>
      <c r="AA2814" s="30">
        <f t="shared" si="87"/>
        <v>2113.6819386975139</v>
      </c>
      <c r="AB2814" t="s">
        <v>457</v>
      </c>
    </row>
    <row r="2815" spans="1:28">
      <c r="A2815" t="s">
        <v>113</v>
      </c>
      <c r="C2815" s="92">
        <v>4615489502</v>
      </c>
      <c r="D2815" s="93">
        <v>19175</v>
      </c>
      <c r="F2815" s="94">
        <v>16</v>
      </c>
      <c r="G2815" s="96">
        <v>5</v>
      </c>
      <c r="H2815" s="91">
        <v>0</v>
      </c>
      <c r="I2815" s="91">
        <v>0</v>
      </c>
      <c r="J2815" s="41"/>
      <c r="K2815" s="41">
        <v>43343</v>
      </c>
      <c r="L2815" s="69" t="s">
        <v>80</v>
      </c>
      <c r="M2815" s="69" t="s">
        <v>286</v>
      </c>
      <c r="N2815" s="98"/>
      <c r="P2815" t="s">
        <v>95</v>
      </c>
      <c r="Q2815" t="s">
        <v>133</v>
      </c>
      <c r="R2815" s="92" t="s">
        <v>69</v>
      </c>
      <c r="S2815" s="92" t="s">
        <v>115</v>
      </c>
      <c r="V2815" s="95">
        <v>43343</v>
      </c>
      <c r="W2815" s="92" t="s">
        <v>372</v>
      </c>
      <c r="X2815" s="90"/>
      <c r="Y2815" s="123"/>
      <c r="Z2815" s="30">
        <f t="shared" si="86"/>
        <v>6763.7822038320437</v>
      </c>
      <c r="AA2815" s="30">
        <f t="shared" si="87"/>
        <v>2113.6819386975139</v>
      </c>
      <c r="AB2815" t="s">
        <v>457</v>
      </c>
    </row>
    <row r="2816" spans="1:28">
      <c r="A2816" t="s">
        <v>113</v>
      </c>
      <c r="C2816" s="92">
        <v>4615489502</v>
      </c>
      <c r="D2816" s="93">
        <v>19175</v>
      </c>
      <c r="F2816" s="94">
        <v>16</v>
      </c>
      <c r="G2816" s="96">
        <v>5</v>
      </c>
      <c r="H2816" s="91">
        <v>0</v>
      </c>
      <c r="I2816" s="91">
        <v>0</v>
      </c>
      <c r="J2816" s="41"/>
      <c r="K2816" s="41">
        <v>43343</v>
      </c>
      <c r="L2816" s="69" t="s">
        <v>80</v>
      </c>
      <c r="M2816" s="69" t="s">
        <v>286</v>
      </c>
      <c r="N2816" s="98"/>
      <c r="P2816" t="s">
        <v>95</v>
      </c>
      <c r="Q2816" t="s">
        <v>133</v>
      </c>
      <c r="R2816" s="92" t="s">
        <v>69</v>
      </c>
      <c r="S2816" s="92" t="s">
        <v>115</v>
      </c>
      <c r="V2816" s="95">
        <v>43343</v>
      </c>
      <c r="W2816" s="92" t="s">
        <v>372</v>
      </c>
      <c r="X2816" s="90"/>
      <c r="Y2816" s="123"/>
      <c r="Z2816" s="30">
        <f t="shared" si="86"/>
        <v>6763.7822038320437</v>
      </c>
      <c r="AA2816" s="30">
        <f t="shared" si="87"/>
        <v>2113.6819386975139</v>
      </c>
      <c r="AB2816" t="s">
        <v>457</v>
      </c>
    </row>
    <row r="2817" spans="1:28">
      <c r="A2817" t="s">
        <v>113</v>
      </c>
      <c r="C2817" s="92">
        <v>4615489502</v>
      </c>
      <c r="D2817" s="93">
        <v>19175</v>
      </c>
      <c r="F2817" s="94">
        <v>16</v>
      </c>
      <c r="G2817" s="96">
        <v>5</v>
      </c>
      <c r="H2817" s="91">
        <v>0</v>
      </c>
      <c r="I2817" s="91">
        <v>0</v>
      </c>
      <c r="J2817" s="41"/>
      <c r="K2817" s="41">
        <v>43343</v>
      </c>
      <c r="L2817" s="69" t="s">
        <v>80</v>
      </c>
      <c r="M2817" s="69" t="s">
        <v>286</v>
      </c>
      <c r="N2817" s="98"/>
      <c r="P2817" t="s">
        <v>95</v>
      </c>
      <c r="Q2817" t="s">
        <v>133</v>
      </c>
      <c r="R2817" s="92" t="s">
        <v>69</v>
      </c>
      <c r="S2817" s="92" t="s">
        <v>115</v>
      </c>
      <c r="V2817" s="95">
        <v>43343</v>
      </c>
      <c r="W2817" s="92" t="s">
        <v>372</v>
      </c>
      <c r="X2817" s="90"/>
      <c r="Y2817" s="123"/>
      <c r="Z2817" s="30">
        <f t="shared" si="86"/>
        <v>6763.7822038320437</v>
      </c>
      <c r="AA2817" s="30">
        <f t="shared" si="87"/>
        <v>2113.6819386975139</v>
      </c>
      <c r="AB2817" t="s">
        <v>457</v>
      </c>
    </row>
    <row r="2818" spans="1:28">
      <c r="A2818" t="s">
        <v>113</v>
      </c>
      <c r="C2818" s="92">
        <v>4615489502</v>
      </c>
      <c r="D2818" s="93">
        <v>19175</v>
      </c>
      <c r="F2818" s="94">
        <v>16</v>
      </c>
      <c r="G2818" s="96">
        <v>5</v>
      </c>
      <c r="H2818" s="91">
        <v>0</v>
      </c>
      <c r="I2818" s="91">
        <v>0</v>
      </c>
      <c r="J2818" s="41"/>
      <c r="K2818" s="41">
        <v>43343</v>
      </c>
      <c r="L2818" s="69" t="s">
        <v>80</v>
      </c>
      <c r="M2818" s="69" t="s">
        <v>286</v>
      </c>
      <c r="N2818" s="98"/>
      <c r="P2818" t="s">
        <v>95</v>
      </c>
      <c r="Q2818" t="s">
        <v>133</v>
      </c>
      <c r="R2818" s="92" t="s">
        <v>69</v>
      </c>
      <c r="S2818" s="92" t="s">
        <v>115</v>
      </c>
      <c r="V2818" s="95">
        <v>43343</v>
      </c>
      <c r="W2818" s="92" t="s">
        <v>372</v>
      </c>
      <c r="X2818" s="90"/>
      <c r="Y2818" s="123"/>
      <c r="Z2818" s="30">
        <f t="shared" si="86"/>
        <v>6763.7822038320437</v>
      </c>
      <c r="AA2818" s="30">
        <f t="shared" si="87"/>
        <v>2113.6819386975139</v>
      </c>
      <c r="AB2818" t="s">
        <v>457</v>
      </c>
    </row>
    <row r="2819" spans="1:28">
      <c r="A2819" t="s">
        <v>113</v>
      </c>
      <c r="C2819" s="92">
        <v>4615489502</v>
      </c>
      <c r="D2819" s="93">
        <v>19175</v>
      </c>
      <c r="F2819" s="94">
        <v>16</v>
      </c>
      <c r="G2819" s="96">
        <v>5</v>
      </c>
      <c r="H2819" s="91">
        <v>0</v>
      </c>
      <c r="I2819" s="91">
        <v>0</v>
      </c>
      <c r="J2819" s="41"/>
      <c r="K2819" s="41">
        <v>43343</v>
      </c>
      <c r="L2819" s="69" t="s">
        <v>80</v>
      </c>
      <c r="M2819" s="69" t="s">
        <v>286</v>
      </c>
      <c r="N2819" s="98"/>
      <c r="P2819" t="s">
        <v>95</v>
      </c>
      <c r="Q2819" t="s">
        <v>133</v>
      </c>
      <c r="R2819" s="92" t="s">
        <v>69</v>
      </c>
      <c r="S2819" s="92" t="s">
        <v>115</v>
      </c>
      <c r="V2819" s="95">
        <v>43343</v>
      </c>
      <c r="W2819" s="92" t="s">
        <v>372</v>
      </c>
      <c r="X2819" s="90"/>
      <c r="Y2819" s="123"/>
      <c r="Z2819" s="30">
        <f t="shared" ref="Z2819:Z2882" si="88">CONVERT(D2819,"kg","lbm")*F2819/100</f>
        <v>6763.7822038320437</v>
      </c>
      <c r="AA2819" s="30">
        <f t="shared" ref="AA2819:AA2882" si="89">CONVERT(D2819,"kg","lbm")*G2819/100</f>
        <v>2113.6819386975139</v>
      </c>
      <c r="AB2819" t="s">
        <v>457</v>
      </c>
    </row>
    <row r="2820" spans="1:28">
      <c r="A2820" t="s">
        <v>113</v>
      </c>
      <c r="C2820" s="92">
        <v>4615489502</v>
      </c>
      <c r="D2820" s="93">
        <v>19175</v>
      </c>
      <c r="F2820" s="94">
        <v>16</v>
      </c>
      <c r="G2820" s="96">
        <v>5</v>
      </c>
      <c r="H2820" s="91">
        <v>0</v>
      </c>
      <c r="I2820" s="91">
        <v>0</v>
      </c>
      <c r="J2820" s="41"/>
      <c r="K2820" s="41">
        <v>43343</v>
      </c>
      <c r="L2820" s="69" t="s">
        <v>80</v>
      </c>
      <c r="M2820" s="69" t="s">
        <v>286</v>
      </c>
      <c r="N2820" s="98"/>
      <c r="P2820" t="s">
        <v>95</v>
      </c>
      <c r="Q2820" t="s">
        <v>133</v>
      </c>
      <c r="R2820" s="92" t="s">
        <v>69</v>
      </c>
      <c r="S2820" s="92" t="s">
        <v>115</v>
      </c>
      <c r="V2820" s="95">
        <v>43343</v>
      </c>
      <c r="W2820" s="92" t="s">
        <v>372</v>
      </c>
      <c r="X2820" s="90"/>
      <c r="Y2820" s="123"/>
      <c r="Z2820" s="30">
        <f t="shared" si="88"/>
        <v>6763.7822038320437</v>
      </c>
      <c r="AA2820" s="30">
        <f t="shared" si="89"/>
        <v>2113.6819386975139</v>
      </c>
      <c r="AB2820" t="s">
        <v>457</v>
      </c>
    </row>
    <row r="2821" spans="1:28">
      <c r="A2821" t="s">
        <v>113</v>
      </c>
      <c r="C2821" s="92">
        <v>4615452645</v>
      </c>
      <c r="D2821" s="93">
        <v>19175</v>
      </c>
      <c r="F2821" s="94">
        <v>16</v>
      </c>
      <c r="G2821" s="94">
        <v>0</v>
      </c>
      <c r="H2821" s="91">
        <v>0</v>
      </c>
      <c r="I2821" s="91">
        <v>0</v>
      </c>
      <c r="J2821" s="41"/>
      <c r="K2821" s="41">
        <v>43343</v>
      </c>
      <c r="L2821" s="69" t="s">
        <v>80</v>
      </c>
      <c r="M2821" s="69" t="s">
        <v>286</v>
      </c>
      <c r="N2821" s="98"/>
      <c r="P2821" t="s">
        <v>95</v>
      </c>
      <c r="Q2821" t="s">
        <v>133</v>
      </c>
      <c r="R2821" s="92" t="s">
        <v>69</v>
      </c>
      <c r="S2821" s="92" t="s">
        <v>115</v>
      </c>
      <c r="V2821" s="95">
        <v>43343</v>
      </c>
      <c r="W2821" s="92" t="s">
        <v>373</v>
      </c>
      <c r="X2821" s="90"/>
      <c r="Y2821" s="123"/>
      <c r="Z2821" s="30">
        <f t="shared" si="88"/>
        <v>6763.7822038320437</v>
      </c>
      <c r="AA2821" s="30">
        <f t="shared" si="89"/>
        <v>0</v>
      </c>
      <c r="AB2821" t="s">
        <v>457</v>
      </c>
    </row>
    <row r="2822" spans="1:28">
      <c r="A2822" t="s">
        <v>113</v>
      </c>
      <c r="C2822" s="92">
        <v>4615452645</v>
      </c>
      <c r="D2822" s="93">
        <v>19175</v>
      </c>
      <c r="F2822" s="94">
        <v>16</v>
      </c>
      <c r="G2822" s="94">
        <v>0</v>
      </c>
      <c r="H2822" s="91">
        <v>0</v>
      </c>
      <c r="I2822" s="91">
        <v>0</v>
      </c>
      <c r="J2822" s="41"/>
      <c r="K2822" s="41">
        <v>43343</v>
      </c>
      <c r="L2822" s="69" t="s">
        <v>80</v>
      </c>
      <c r="M2822" s="69" t="s">
        <v>286</v>
      </c>
      <c r="N2822" s="98"/>
      <c r="P2822" t="s">
        <v>95</v>
      </c>
      <c r="Q2822" t="s">
        <v>133</v>
      </c>
      <c r="R2822" s="92" t="s">
        <v>69</v>
      </c>
      <c r="S2822" s="92" t="s">
        <v>115</v>
      </c>
      <c r="V2822" s="95">
        <v>43343</v>
      </c>
      <c r="W2822" s="92" t="s">
        <v>373</v>
      </c>
      <c r="X2822" s="90"/>
      <c r="Y2822" s="123"/>
      <c r="Z2822" s="30">
        <f t="shared" si="88"/>
        <v>6763.7822038320437</v>
      </c>
      <c r="AA2822" s="30">
        <f t="shared" si="89"/>
        <v>0</v>
      </c>
      <c r="AB2822" t="s">
        <v>457</v>
      </c>
    </row>
    <row r="2823" spans="1:28">
      <c r="A2823" t="s">
        <v>113</v>
      </c>
      <c r="C2823" s="92">
        <v>4615452645</v>
      </c>
      <c r="D2823" s="93">
        <v>19175</v>
      </c>
      <c r="F2823" s="94">
        <v>16</v>
      </c>
      <c r="G2823" s="94">
        <v>0</v>
      </c>
      <c r="H2823" s="91">
        <v>0</v>
      </c>
      <c r="I2823" s="91">
        <v>0</v>
      </c>
      <c r="J2823" s="41"/>
      <c r="K2823" s="41">
        <v>43343</v>
      </c>
      <c r="L2823" s="69" t="s">
        <v>80</v>
      </c>
      <c r="M2823" s="69" t="s">
        <v>286</v>
      </c>
      <c r="N2823" s="98"/>
      <c r="P2823" t="s">
        <v>95</v>
      </c>
      <c r="Q2823" t="s">
        <v>133</v>
      </c>
      <c r="R2823" s="92" t="s">
        <v>69</v>
      </c>
      <c r="S2823" s="92" t="s">
        <v>115</v>
      </c>
      <c r="V2823" s="95">
        <v>43343</v>
      </c>
      <c r="W2823" s="92" t="s">
        <v>373</v>
      </c>
      <c r="X2823" s="90"/>
      <c r="Y2823" s="123"/>
      <c r="Z2823" s="30">
        <f t="shared" si="88"/>
        <v>6763.7822038320437</v>
      </c>
      <c r="AA2823" s="30">
        <f t="shared" si="89"/>
        <v>0</v>
      </c>
      <c r="AB2823" t="s">
        <v>457</v>
      </c>
    </row>
    <row r="2824" spans="1:28">
      <c r="A2824" t="s">
        <v>113</v>
      </c>
      <c r="C2824" s="92">
        <v>4615452645</v>
      </c>
      <c r="D2824" s="93">
        <v>19175</v>
      </c>
      <c r="F2824" s="94">
        <v>16</v>
      </c>
      <c r="G2824" s="94">
        <v>0</v>
      </c>
      <c r="H2824" s="91">
        <v>0</v>
      </c>
      <c r="I2824" s="91">
        <v>0</v>
      </c>
      <c r="J2824" s="41"/>
      <c r="K2824" s="41">
        <v>43343</v>
      </c>
      <c r="L2824" s="69" t="s">
        <v>80</v>
      </c>
      <c r="M2824" s="69" t="s">
        <v>286</v>
      </c>
      <c r="N2824" s="98"/>
      <c r="P2824" t="s">
        <v>95</v>
      </c>
      <c r="Q2824" t="s">
        <v>133</v>
      </c>
      <c r="R2824" s="92" t="s">
        <v>69</v>
      </c>
      <c r="S2824" s="92" t="s">
        <v>115</v>
      </c>
      <c r="V2824" s="95">
        <v>43343</v>
      </c>
      <c r="W2824" s="92" t="s">
        <v>373</v>
      </c>
      <c r="X2824" s="90"/>
      <c r="Y2824" s="123"/>
      <c r="Z2824" s="30">
        <f t="shared" si="88"/>
        <v>6763.7822038320437</v>
      </c>
      <c r="AA2824" s="30">
        <f t="shared" si="89"/>
        <v>0</v>
      </c>
      <c r="AB2824" t="s">
        <v>457</v>
      </c>
    </row>
    <row r="2825" spans="1:28">
      <c r="A2825" t="s">
        <v>113</v>
      </c>
      <c r="C2825" s="92">
        <v>4615452645</v>
      </c>
      <c r="D2825" s="93">
        <v>19175</v>
      </c>
      <c r="F2825" s="94">
        <v>16</v>
      </c>
      <c r="G2825" s="94">
        <v>0</v>
      </c>
      <c r="H2825" s="91">
        <v>0</v>
      </c>
      <c r="I2825" s="91">
        <v>0</v>
      </c>
      <c r="J2825" s="41"/>
      <c r="K2825" s="41">
        <v>43343</v>
      </c>
      <c r="L2825" s="69" t="s">
        <v>80</v>
      </c>
      <c r="M2825" s="69" t="s">
        <v>286</v>
      </c>
      <c r="N2825" s="98"/>
      <c r="P2825" t="s">
        <v>95</v>
      </c>
      <c r="Q2825" t="s">
        <v>133</v>
      </c>
      <c r="R2825" s="92" t="s">
        <v>69</v>
      </c>
      <c r="S2825" s="92" t="s">
        <v>115</v>
      </c>
      <c r="V2825" s="95">
        <v>43343</v>
      </c>
      <c r="W2825" s="92" t="s">
        <v>373</v>
      </c>
      <c r="X2825" s="90"/>
      <c r="Y2825" s="123"/>
      <c r="Z2825" s="30">
        <f t="shared" si="88"/>
        <v>6763.7822038320437</v>
      </c>
      <c r="AA2825" s="30">
        <f t="shared" si="89"/>
        <v>0</v>
      </c>
      <c r="AB2825" t="s">
        <v>457</v>
      </c>
    </row>
    <row r="2826" spans="1:28">
      <c r="A2826" t="s">
        <v>113</v>
      </c>
      <c r="C2826" s="92">
        <v>4615452645</v>
      </c>
      <c r="D2826" s="93">
        <v>19175</v>
      </c>
      <c r="F2826" s="94">
        <v>16</v>
      </c>
      <c r="G2826" s="94">
        <v>0</v>
      </c>
      <c r="H2826" s="91">
        <v>0</v>
      </c>
      <c r="I2826" s="91">
        <v>0</v>
      </c>
      <c r="J2826" s="41"/>
      <c r="K2826" s="41">
        <v>43343</v>
      </c>
      <c r="L2826" s="69" t="s">
        <v>80</v>
      </c>
      <c r="M2826" s="69" t="s">
        <v>286</v>
      </c>
      <c r="N2826" s="98"/>
      <c r="P2826" t="s">
        <v>95</v>
      </c>
      <c r="Q2826" t="s">
        <v>133</v>
      </c>
      <c r="R2826" s="92" t="s">
        <v>69</v>
      </c>
      <c r="S2826" s="92" t="s">
        <v>115</v>
      </c>
      <c r="V2826" s="95">
        <v>43343</v>
      </c>
      <c r="W2826" s="92" t="s">
        <v>373</v>
      </c>
      <c r="X2826" s="90"/>
      <c r="Y2826" s="123"/>
      <c r="Z2826" s="30">
        <f t="shared" si="88"/>
        <v>6763.7822038320437</v>
      </c>
      <c r="AA2826" s="30">
        <f t="shared" si="89"/>
        <v>0</v>
      </c>
      <c r="AB2826" t="s">
        <v>457</v>
      </c>
    </row>
    <row r="2827" spans="1:28">
      <c r="A2827" t="s">
        <v>113</v>
      </c>
      <c r="C2827" s="92">
        <v>4615452645</v>
      </c>
      <c r="D2827" s="93">
        <v>19175</v>
      </c>
      <c r="F2827" s="94">
        <v>16</v>
      </c>
      <c r="G2827" s="94">
        <v>0</v>
      </c>
      <c r="H2827" s="91">
        <v>0</v>
      </c>
      <c r="I2827" s="91">
        <v>0</v>
      </c>
      <c r="J2827" s="41"/>
      <c r="K2827" s="41">
        <v>43343</v>
      </c>
      <c r="L2827" s="69" t="s">
        <v>80</v>
      </c>
      <c r="M2827" s="69" t="s">
        <v>286</v>
      </c>
      <c r="N2827" s="98"/>
      <c r="P2827" t="s">
        <v>95</v>
      </c>
      <c r="Q2827" t="s">
        <v>133</v>
      </c>
      <c r="R2827" s="92" t="s">
        <v>69</v>
      </c>
      <c r="S2827" s="92" t="s">
        <v>115</v>
      </c>
      <c r="V2827" s="95">
        <v>43343</v>
      </c>
      <c r="W2827" s="92" t="s">
        <v>373</v>
      </c>
      <c r="X2827" s="90"/>
      <c r="Y2827" s="123"/>
      <c r="Z2827" s="30">
        <f t="shared" si="88"/>
        <v>6763.7822038320437</v>
      </c>
      <c r="AA2827" s="30">
        <f t="shared" si="89"/>
        <v>0</v>
      </c>
      <c r="AB2827" t="s">
        <v>457</v>
      </c>
    </row>
    <row r="2828" spans="1:28">
      <c r="A2828" t="s">
        <v>113</v>
      </c>
      <c r="C2828" s="92">
        <v>4615452645</v>
      </c>
      <c r="D2828" s="93">
        <v>19175</v>
      </c>
      <c r="F2828" s="94">
        <v>16</v>
      </c>
      <c r="G2828" s="94">
        <v>0</v>
      </c>
      <c r="H2828" s="91">
        <v>0</v>
      </c>
      <c r="I2828" s="91">
        <v>0</v>
      </c>
      <c r="J2828" s="41"/>
      <c r="K2828" s="41">
        <v>43343</v>
      </c>
      <c r="L2828" s="69" t="s">
        <v>80</v>
      </c>
      <c r="M2828" s="69" t="s">
        <v>286</v>
      </c>
      <c r="N2828" s="98"/>
      <c r="P2828" t="s">
        <v>95</v>
      </c>
      <c r="Q2828" t="s">
        <v>133</v>
      </c>
      <c r="R2828" s="92" t="s">
        <v>69</v>
      </c>
      <c r="S2828" s="92" t="s">
        <v>115</v>
      </c>
      <c r="V2828" s="95">
        <v>43343</v>
      </c>
      <c r="W2828" s="92" t="s">
        <v>373</v>
      </c>
      <c r="X2828" s="90"/>
      <c r="Y2828" s="123"/>
      <c r="Z2828" s="30">
        <f t="shared" si="88"/>
        <v>6763.7822038320437</v>
      </c>
      <c r="AA2828" s="30">
        <f t="shared" si="89"/>
        <v>0</v>
      </c>
      <c r="AB2828" t="s">
        <v>457</v>
      </c>
    </row>
    <row r="2829" spans="1:28">
      <c r="A2829" t="s">
        <v>113</v>
      </c>
      <c r="C2829" s="92">
        <v>4615452645</v>
      </c>
      <c r="D2829" s="93">
        <v>19175</v>
      </c>
      <c r="F2829" s="94">
        <v>16</v>
      </c>
      <c r="G2829" s="94">
        <v>0</v>
      </c>
      <c r="H2829" s="91">
        <v>0</v>
      </c>
      <c r="I2829" s="91">
        <v>0</v>
      </c>
      <c r="J2829" s="41"/>
      <c r="K2829" s="41">
        <v>43343</v>
      </c>
      <c r="L2829" s="69" t="s">
        <v>80</v>
      </c>
      <c r="M2829" s="69" t="s">
        <v>286</v>
      </c>
      <c r="N2829" s="98"/>
      <c r="P2829" t="s">
        <v>95</v>
      </c>
      <c r="Q2829" t="s">
        <v>133</v>
      </c>
      <c r="R2829" s="92" t="s">
        <v>69</v>
      </c>
      <c r="S2829" s="92" t="s">
        <v>115</v>
      </c>
      <c r="V2829" s="95">
        <v>43343</v>
      </c>
      <c r="W2829" s="92" t="s">
        <v>373</v>
      </c>
      <c r="X2829" s="90"/>
      <c r="Y2829" s="123"/>
      <c r="Z2829" s="30">
        <f t="shared" si="88"/>
        <v>6763.7822038320437</v>
      </c>
      <c r="AA2829" s="30">
        <f t="shared" si="89"/>
        <v>0</v>
      </c>
      <c r="AB2829" t="s">
        <v>457</v>
      </c>
    </row>
    <row r="2830" spans="1:28">
      <c r="A2830" t="s">
        <v>113</v>
      </c>
      <c r="C2830" s="92">
        <v>4615452645</v>
      </c>
      <c r="D2830" s="93">
        <v>19175</v>
      </c>
      <c r="F2830" s="94">
        <v>16</v>
      </c>
      <c r="G2830" s="94">
        <v>0</v>
      </c>
      <c r="H2830" s="91">
        <v>0</v>
      </c>
      <c r="I2830" s="91">
        <v>0</v>
      </c>
      <c r="J2830" s="41"/>
      <c r="K2830" s="41">
        <v>43343</v>
      </c>
      <c r="L2830" s="69" t="s">
        <v>80</v>
      </c>
      <c r="M2830" s="69" t="s">
        <v>286</v>
      </c>
      <c r="N2830" s="98"/>
      <c r="P2830" t="s">
        <v>95</v>
      </c>
      <c r="Q2830" t="s">
        <v>133</v>
      </c>
      <c r="R2830" s="92" t="s">
        <v>69</v>
      </c>
      <c r="S2830" s="92" t="s">
        <v>115</v>
      </c>
      <c r="V2830" s="95">
        <v>43343</v>
      </c>
      <c r="W2830" s="92" t="s">
        <v>373</v>
      </c>
      <c r="X2830" s="90"/>
      <c r="Y2830" s="123"/>
      <c r="Z2830" s="30">
        <f t="shared" si="88"/>
        <v>6763.7822038320437</v>
      </c>
      <c r="AA2830" s="30">
        <f t="shared" si="89"/>
        <v>0</v>
      </c>
      <c r="AB2830" t="s">
        <v>457</v>
      </c>
    </row>
    <row r="2831" spans="1:28">
      <c r="A2831" t="s">
        <v>113</v>
      </c>
      <c r="C2831" s="104" t="s">
        <v>161</v>
      </c>
      <c r="D2831" s="105">
        <v>21600</v>
      </c>
      <c r="F2831" s="91">
        <v>16</v>
      </c>
      <c r="G2831" s="96">
        <v>5</v>
      </c>
      <c r="H2831" s="94">
        <v>0</v>
      </c>
      <c r="I2831" s="91">
        <v>0</v>
      </c>
      <c r="J2831" s="41"/>
      <c r="K2831" s="41">
        <v>43343</v>
      </c>
      <c r="L2831" s="69" t="s">
        <v>80</v>
      </c>
      <c r="M2831" s="69" t="s">
        <v>286</v>
      </c>
      <c r="N2831" s="95"/>
      <c r="P2831" t="s">
        <v>95</v>
      </c>
      <c r="Q2831" t="s">
        <v>133</v>
      </c>
      <c r="R2831" s="92" t="s">
        <v>69</v>
      </c>
      <c r="S2831" s="92" t="s">
        <v>115</v>
      </c>
      <c r="V2831" s="95">
        <v>43343</v>
      </c>
      <c r="W2831" s="104" t="s">
        <v>374</v>
      </c>
      <c r="X2831" s="90" t="s">
        <v>196</v>
      </c>
      <c r="Y2831" s="123"/>
      <c r="Z2831" s="30">
        <f t="shared" si="88"/>
        <v>7619.1757811093694</v>
      </c>
      <c r="AA2831" s="30">
        <f t="shared" si="89"/>
        <v>2380.9924315966778</v>
      </c>
      <c r="AB2831" t="s">
        <v>457</v>
      </c>
    </row>
    <row r="2832" spans="1:28">
      <c r="A2832" t="s">
        <v>113</v>
      </c>
      <c r="C2832" s="104" t="s">
        <v>161</v>
      </c>
      <c r="D2832" s="105">
        <v>21600</v>
      </c>
      <c r="F2832" s="91">
        <v>16</v>
      </c>
      <c r="G2832" s="96">
        <v>5</v>
      </c>
      <c r="H2832" s="94">
        <v>0</v>
      </c>
      <c r="I2832" s="91">
        <v>0</v>
      </c>
      <c r="J2832" s="41"/>
      <c r="K2832" s="41">
        <v>43343</v>
      </c>
      <c r="L2832" s="69" t="s">
        <v>80</v>
      </c>
      <c r="M2832" s="69" t="s">
        <v>286</v>
      </c>
      <c r="N2832" s="95"/>
      <c r="P2832" t="s">
        <v>95</v>
      </c>
      <c r="Q2832" t="s">
        <v>133</v>
      </c>
      <c r="R2832" s="92" t="s">
        <v>69</v>
      </c>
      <c r="S2832" s="92" t="s">
        <v>115</v>
      </c>
      <c r="V2832" s="95">
        <v>43343</v>
      </c>
      <c r="W2832" s="104" t="s">
        <v>374</v>
      </c>
      <c r="X2832" s="90" t="s">
        <v>196</v>
      </c>
      <c r="Y2832" s="123"/>
      <c r="Z2832" s="30">
        <f t="shared" si="88"/>
        <v>7619.1757811093694</v>
      </c>
      <c r="AA2832" s="30">
        <f t="shared" si="89"/>
        <v>2380.9924315966778</v>
      </c>
      <c r="AB2832" t="s">
        <v>457</v>
      </c>
    </row>
    <row r="2833" spans="1:28">
      <c r="A2833" t="s">
        <v>113</v>
      </c>
      <c r="C2833" s="104" t="s">
        <v>161</v>
      </c>
      <c r="D2833" s="105">
        <v>21600</v>
      </c>
      <c r="F2833" s="91">
        <v>16</v>
      </c>
      <c r="G2833" s="96">
        <v>5</v>
      </c>
      <c r="H2833" s="94">
        <v>0</v>
      </c>
      <c r="I2833" s="91">
        <v>0</v>
      </c>
      <c r="J2833" s="41"/>
      <c r="K2833" s="41">
        <v>43343</v>
      </c>
      <c r="L2833" s="69" t="s">
        <v>80</v>
      </c>
      <c r="M2833" s="69" t="s">
        <v>286</v>
      </c>
      <c r="N2833" s="95"/>
      <c r="P2833" t="s">
        <v>95</v>
      </c>
      <c r="Q2833" t="s">
        <v>133</v>
      </c>
      <c r="R2833" s="92" t="s">
        <v>69</v>
      </c>
      <c r="S2833" s="92" t="s">
        <v>115</v>
      </c>
      <c r="V2833" s="95">
        <v>43343</v>
      </c>
      <c r="W2833" s="104" t="s">
        <v>374</v>
      </c>
      <c r="X2833" s="90" t="s">
        <v>196</v>
      </c>
      <c r="Y2833" s="123"/>
      <c r="Z2833" s="30">
        <f t="shared" si="88"/>
        <v>7619.1757811093694</v>
      </c>
      <c r="AA2833" s="30">
        <f t="shared" si="89"/>
        <v>2380.9924315966778</v>
      </c>
      <c r="AB2833" t="s">
        <v>457</v>
      </c>
    </row>
    <row r="2834" spans="1:28">
      <c r="A2834" t="s">
        <v>113</v>
      </c>
      <c r="C2834" s="104" t="s">
        <v>161</v>
      </c>
      <c r="D2834" s="105">
        <v>21600</v>
      </c>
      <c r="F2834" s="91">
        <v>16</v>
      </c>
      <c r="G2834" s="96">
        <v>5</v>
      </c>
      <c r="H2834" s="94">
        <v>0</v>
      </c>
      <c r="I2834" s="91">
        <v>0</v>
      </c>
      <c r="J2834" s="41"/>
      <c r="K2834" s="41">
        <v>43343</v>
      </c>
      <c r="L2834" s="69" t="s">
        <v>80</v>
      </c>
      <c r="M2834" s="69" t="s">
        <v>286</v>
      </c>
      <c r="N2834" s="95"/>
      <c r="P2834" t="s">
        <v>95</v>
      </c>
      <c r="Q2834" t="s">
        <v>133</v>
      </c>
      <c r="R2834" s="92" t="s">
        <v>69</v>
      </c>
      <c r="S2834" s="92" t="s">
        <v>115</v>
      </c>
      <c r="V2834" s="95">
        <v>43343</v>
      </c>
      <c r="W2834" s="104" t="s">
        <v>374</v>
      </c>
      <c r="X2834" s="90" t="s">
        <v>196</v>
      </c>
      <c r="Y2834" s="123"/>
      <c r="Z2834" s="30">
        <f t="shared" si="88"/>
        <v>7619.1757811093694</v>
      </c>
      <c r="AA2834" s="30">
        <f t="shared" si="89"/>
        <v>2380.9924315966778</v>
      </c>
      <c r="AB2834" t="s">
        <v>457</v>
      </c>
    </row>
    <row r="2835" spans="1:28">
      <c r="A2835" t="s">
        <v>113</v>
      </c>
      <c r="C2835" s="104" t="s">
        <v>161</v>
      </c>
      <c r="D2835" s="105">
        <v>21600</v>
      </c>
      <c r="F2835" s="91">
        <v>16</v>
      </c>
      <c r="G2835" s="96">
        <v>5</v>
      </c>
      <c r="H2835" s="94">
        <v>0</v>
      </c>
      <c r="I2835" s="91">
        <v>0</v>
      </c>
      <c r="J2835" s="41"/>
      <c r="K2835" s="41">
        <v>43343</v>
      </c>
      <c r="L2835" s="69" t="s">
        <v>80</v>
      </c>
      <c r="M2835" s="69" t="s">
        <v>286</v>
      </c>
      <c r="N2835" s="95"/>
      <c r="P2835" t="s">
        <v>95</v>
      </c>
      <c r="Q2835" t="s">
        <v>133</v>
      </c>
      <c r="R2835" s="92" t="s">
        <v>69</v>
      </c>
      <c r="S2835" s="92" t="s">
        <v>115</v>
      </c>
      <c r="V2835" s="95">
        <v>43343</v>
      </c>
      <c r="W2835" s="104" t="s">
        <v>374</v>
      </c>
      <c r="X2835" s="90" t="s">
        <v>196</v>
      </c>
      <c r="Y2835" s="123"/>
      <c r="Z2835" s="30">
        <f t="shared" si="88"/>
        <v>7619.1757811093694</v>
      </c>
      <c r="AA2835" s="30">
        <f t="shared" si="89"/>
        <v>2380.9924315966778</v>
      </c>
      <c r="AB2835" t="s">
        <v>457</v>
      </c>
    </row>
    <row r="2836" spans="1:28">
      <c r="A2836" t="s">
        <v>113</v>
      </c>
      <c r="C2836" s="104" t="s">
        <v>161</v>
      </c>
      <c r="D2836" s="105">
        <v>21600</v>
      </c>
      <c r="F2836" s="91">
        <v>16</v>
      </c>
      <c r="G2836" s="96">
        <v>5</v>
      </c>
      <c r="H2836" s="94">
        <v>0</v>
      </c>
      <c r="I2836" s="91">
        <v>0</v>
      </c>
      <c r="J2836" s="41"/>
      <c r="K2836" s="41">
        <v>43343</v>
      </c>
      <c r="L2836" s="69" t="s">
        <v>80</v>
      </c>
      <c r="M2836" s="69" t="s">
        <v>286</v>
      </c>
      <c r="N2836" s="95"/>
      <c r="P2836" t="s">
        <v>95</v>
      </c>
      <c r="Q2836" t="s">
        <v>133</v>
      </c>
      <c r="R2836" s="92" t="s">
        <v>69</v>
      </c>
      <c r="S2836" s="92" t="s">
        <v>115</v>
      </c>
      <c r="V2836" s="95">
        <v>43343</v>
      </c>
      <c r="W2836" s="104" t="s">
        <v>374</v>
      </c>
      <c r="X2836" s="90" t="s">
        <v>196</v>
      </c>
      <c r="Y2836" s="123"/>
      <c r="Z2836" s="30">
        <f t="shared" si="88"/>
        <v>7619.1757811093694</v>
      </c>
      <c r="AA2836" s="30">
        <f t="shared" si="89"/>
        <v>2380.9924315966778</v>
      </c>
      <c r="AB2836" t="s">
        <v>457</v>
      </c>
    </row>
    <row r="2837" spans="1:28">
      <c r="A2837" t="s">
        <v>113</v>
      </c>
      <c r="C2837" s="104" t="s">
        <v>161</v>
      </c>
      <c r="D2837" s="105">
        <v>21600</v>
      </c>
      <c r="F2837" s="91">
        <v>16</v>
      </c>
      <c r="G2837" s="96">
        <v>5</v>
      </c>
      <c r="H2837" s="94">
        <v>0</v>
      </c>
      <c r="I2837" s="91">
        <v>0</v>
      </c>
      <c r="J2837" s="41"/>
      <c r="K2837" s="41">
        <v>43343</v>
      </c>
      <c r="L2837" s="69" t="s">
        <v>80</v>
      </c>
      <c r="M2837" s="69" t="s">
        <v>286</v>
      </c>
      <c r="N2837" s="95"/>
      <c r="P2837" t="s">
        <v>95</v>
      </c>
      <c r="Q2837" t="s">
        <v>133</v>
      </c>
      <c r="R2837" s="92" t="s">
        <v>69</v>
      </c>
      <c r="S2837" s="92" t="s">
        <v>115</v>
      </c>
      <c r="V2837" s="95">
        <v>43343</v>
      </c>
      <c r="W2837" s="104" t="s">
        <v>374</v>
      </c>
      <c r="X2837" s="90" t="s">
        <v>196</v>
      </c>
      <c r="Y2837" s="123"/>
      <c r="Z2837" s="30">
        <f t="shared" si="88"/>
        <v>7619.1757811093694</v>
      </c>
      <c r="AA2837" s="30">
        <f t="shared" si="89"/>
        <v>2380.9924315966778</v>
      </c>
      <c r="AB2837" t="s">
        <v>457</v>
      </c>
    </row>
    <row r="2838" spans="1:28">
      <c r="A2838" t="s">
        <v>113</v>
      </c>
      <c r="C2838" s="104" t="s">
        <v>161</v>
      </c>
      <c r="D2838" s="105">
        <v>21600</v>
      </c>
      <c r="F2838" s="91">
        <v>16</v>
      </c>
      <c r="G2838" s="96">
        <v>5</v>
      </c>
      <c r="H2838" s="94">
        <v>0</v>
      </c>
      <c r="I2838" s="91">
        <v>0</v>
      </c>
      <c r="J2838" s="41"/>
      <c r="K2838" s="41">
        <v>43343</v>
      </c>
      <c r="L2838" s="69" t="s">
        <v>80</v>
      </c>
      <c r="M2838" s="69" t="s">
        <v>286</v>
      </c>
      <c r="N2838" s="95"/>
      <c r="P2838" t="s">
        <v>95</v>
      </c>
      <c r="Q2838" t="s">
        <v>133</v>
      </c>
      <c r="R2838" s="92" t="s">
        <v>69</v>
      </c>
      <c r="S2838" s="92" t="s">
        <v>115</v>
      </c>
      <c r="V2838" s="95">
        <v>43343</v>
      </c>
      <c r="W2838" s="104" t="s">
        <v>374</v>
      </c>
      <c r="X2838" s="90" t="s">
        <v>196</v>
      </c>
      <c r="Y2838" s="123"/>
      <c r="Z2838" s="30">
        <f t="shared" si="88"/>
        <v>7619.1757811093694</v>
      </c>
      <c r="AA2838" s="30">
        <f t="shared" si="89"/>
        <v>2380.9924315966778</v>
      </c>
      <c r="AB2838" t="s">
        <v>457</v>
      </c>
    </row>
    <row r="2839" spans="1:28">
      <c r="A2839" t="s">
        <v>113</v>
      </c>
      <c r="C2839" s="104" t="s">
        <v>161</v>
      </c>
      <c r="D2839" s="105">
        <v>21600</v>
      </c>
      <c r="F2839" s="91">
        <v>16</v>
      </c>
      <c r="G2839" s="96">
        <v>5</v>
      </c>
      <c r="H2839" s="94">
        <v>0</v>
      </c>
      <c r="I2839" s="91">
        <v>0</v>
      </c>
      <c r="J2839" s="41"/>
      <c r="K2839" s="41">
        <v>43343</v>
      </c>
      <c r="L2839" s="69" t="s">
        <v>80</v>
      </c>
      <c r="M2839" s="69" t="s">
        <v>286</v>
      </c>
      <c r="N2839" s="95"/>
      <c r="P2839" t="s">
        <v>95</v>
      </c>
      <c r="Q2839" t="s">
        <v>133</v>
      </c>
      <c r="R2839" s="92" t="s">
        <v>69</v>
      </c>
      <c r="S2839" s="92" t="s">
        <v>115</v>
      </c>
      <c r="V2839" s="95">
        <v>43343</v>
      </c>
      <c r="W2839" s="104" t="s">
        <v>374</v>
      </c>
      <c r="X2839" s="90" t="s">
        <v>196</v>
      </c>
      <c r="Y2839" s="123"/>
      <c r="Z2839" s="30">
        <f t="shared" si="88"/>
        <v>7619.1757811093694</v>
      </c>
      <c r="AA2839" s="30">
        <f t="shared" si="89"/>
        <v>2380.9924315966778</v>
      </c>
      <c r="AB2839" t="s">
        <v>457</v>
      </c>
    </row>
    <row r="2840" spans="1:28">
      <c r="A2840" t="s">
        <v>113</v>
      </c>
      <c r="C2840" s="104" t="s">
        <v>161</v>
      </c>
      <c r="D2840" s="105">
        <v>21600</v>
      </c>
      <c r="F2840" s="91">
        <v>16</v>
      </c>
      <c r="G2840" s="96">
        <v>5</v>
      </c>
      <c r="H2840" s="94">
        <v>0</v>
      </c>
      <c r="I2840" s="91">
        <v>0</v>
      </c>
      <c r="J2840" s="41"/>
      <c r="K2840" s="41">
        <v>43343</v>
      </c>
      <c r="L2840" s="69" t="s">
        <v>80</v>
      </c>
      <c r="M2840" s="69" t="s">
        <v>286</v>
      </c>
      <c r="N2840" s="95"/>
      <c r="P2840" t="s">
        <v>95</v>
      </c>
      <c r="Q2840" t="s">
        <v>133</v>
      </c>
      <c r="R2840" s="92" t="s">
        <v>69</v>
      </c>
      <c r="S2840" s="92" t="s">
        <v>115</v>
      </c>
      <c r="V2840" s="95">
        <v>43343</v>
      </c>
      <c r="W2840" s="104" t="s">
        <v>374</v>
      </c>
      <c r="X2840" s="90" t="s">
        <v>196</v>
      </c>
      <c r="Y2840" s="123"/>
      <c r="Z2840" s="30">
        <f t="shared" si="88"/>
        <v>7619.1757811093694</v>
      </c>
      <c r="AA2840" s="30">
        <f t="shared" si="89"/>
        <v>2380.9924315966778</v>
      </c>
      <c r="AB2840" t="s">
        <v>457</v>
      </c>
    </row>
    <row r="2841" spans="1:28">
      <c r="A2841" t="s">
        <v>113</v>
      </c>
      <c r="C2841" s="104" t="s">
        <v>161</v>
      </c>
      <c r="D2841" s="105">
        <v>21600</v>
      </c>
      <c r="F2841" s="91">
        <v>16</v>
      </c>
      <c r="G2841" s="96">
        <v>5</v>
      </c>
      <c r="H2841" s="94">
        <v>0</v>
      </c>
      <c r="I2841" s="91">
        <v>0</v>
      </c>
      <c r="J2841" s="41"/>
      <c r="K2841" s="41">
        <v>43343</v>
      </c>
      <c r="L2841" s="69" t="s">
        <v>80</v>
      </c>
      <c r="M2841" s="69" t="s">
        <v>286</v>
      </c>
      <c r="N2841" s="95"/>
      <c r="P2841" t="s">
        <v>95</v>
      </c>
      <c r="Q2841" t="s">
        <v>133</v>
      </c>
      <c r="R2841" s="92" t="s">
        <v>69</v>
      </c>
      <c r="S2841" s="92" t="s">
        <v>115</v>
      </c>
      <c r="V2841" s="95">
        <v>43343</v>
      </c>
      <c r="W2841" s="104" t="s">
        <v>374</v>
      </c>
      <c r="X2841" s="90" t="s">
        <v>196</v>
      </c>
      <c r="Y2841" s="123"/>
      <c r="Z2841" s="30">
        <f t="shared" si="88"/>
        <v>7619.1757811093694</v>
      </c>
      <c r="AA2841" s="30">
        <f t="shared" si="89"/>
        <v>2380.9924315966778</v>
      </c>
      <c r="AB2841" t="s">
        <v>457</v>
      </c>
    </row>
    <row r="2842" spans="1:28">
      <c r="A2842" t="s">
        <v>113</v>
      </c>
      <c r="C2842" s="104" t="s">
        <v>161</v>
      </c>
      <c r="D2842" s="105">
        <v>21600</v>
      </c>
      <c r="F2842" s="91">
        <v>16</v>
      </c>
      <c r="G2842" s="96">
        <v>5</v>
      </c>
      <c r="H2842" s="94">
        <v>0</v>
      </c>
      <c r="I2842" s="91">
        <v>0</v>
      </c>
      <c r="J2842" s="41"/>
      <c r="K2842" s="41">
        <v>43343</v>
      </c>
      <c r="L2842" s="69" t="s">
        <v>80</v>
      </c>
      <c r="M2842" s="69" t="s">
        <v>286</v>
      </c>
      <c r="N2842" s="95"/>
      <c r="P2842" t="s">
        <v>95</v>
      </c>
      <c r="Q2842" t="s">
        <v>133</v>
      </c>
      <c r="R2842" s="92" t="s">
        <v>69</v>
      </c>
      <c r="S2842" s="92" t="s">
        <v>115</v>
      </c>
      <c r="V2842" s="95">
        <v>43343</v>
      </c>
      <c r="W2842" s="104" t="s">
        <v>374</v>
      </c>
      <c r="X2842" s="90" t="s">
        <v>196</v>
      </c>
      <c r="Y2842" s="123"/>
      <c r="Z2842" s="30">
        <f t="shared" si="88"/>
        <v>7619.1757811093694</v>
      </c>
      <c r="AA2842" s="30">
        <f t="shared" si="89"/>
        <v>2380.9924315966778</v>
      </c>
      <c r="AB2842" t="s">
        <v>457</v>
      </c>
    </row>
    <row r="2843" spans="1:28">
      <c r="A2843" t="s">
        <v>118</v>
      </c>
      <c r="C2843" s="92">
        <v>4615460519</v>
      </c>
      <c r="D2843" s="93">
        <v>19175</v>
      </c>
      <c r="F2843" s="91">
        <v>10</v>
      </c>
      <c r="G2843" s="96">
        <v>5</v>
      </c>
      <c r="H2843" s="94">
        <v>0</v>
      </c>
      <c r="I2843" s="91">
        <v>0</v>
      </c>
      <c r="J2843" s="41"/>
      <c r="K2843" s="41">
        <v>43373</v>
      </c>
      <c r="L2843" s="69" t="s">
        <v>80</v>
      </c>
      <c r="M2843" s="69" t="s">
        <v>286</v>
      </c>
      <c r="N2843" s="95"/>
      <c r="P2843" t="s">
        <v>95</v>
      </c>
      <c r="Q2843" t="s">
        <v>120</v>
      </c>
      <c r="R2843" s="92" t="s">
        <v>69</v>
      </c>
      <c r="S2843" s="92" t="s">
        <v>121</v>
      </c>
      <c r="V2843" s="95">
        <v>43373</v>
      </c>
      <c r="W2843" s="92">
        <v>2030534</v>
      </c>
      <c r="X2843" s="90"/>
      <c r="Y2843" s="123"/>
      <c r="Z2843" s="30">
        <f t="shared" si="88"/>
        <v>4227.3638773950279</v>
      </c>
      <c r="AA2843" s="30">
        <f t="shared" si="89"/>
        <v>2113.6819386975139</v>
      </c>
      <c r="AB2843" t="s">
        <v>457</v>
      </c>
    </row>
    <row r="2844" spans="1:28">
      <c r="A2844" t="s">
        <v>118</v>
      </c>
      <c r="C2844" s="92">
        <v>4615460519</v>
      </c>
      <c r="D2844" s="93">
        <v>19175</v>
      </c>
      <c r="F2844" s="91">
        <v>10</v>
      </c>
      <c r="G2844" s="96">
        <v>5</v>
      </c>
      <c r="H2844" s="94">
        <v>0</v>
      </c>
      <c r="I2844" s="91">
        <v>0</v>
      </c>
      <c r="J2844" s="41"/>
      <c r="K2844" s="41">
        <v>43373</v>
      </c>
      <c r="L2844" s="69" t="s">
        <v>80</v>
      </c>
      <c r="M2844" s="69" t="s">
        <v>286</v>
      </c>
      <c r="N2844" s="95"/>
      <c r="P2844" t="s">
        <v>95</v>
      </c>
      <c r="Q2844" t="s">
        <v>120</v>
      </c>
      <c r="R2844" s="92" t="s">
        <v>69</v>
      </c>
      <c r="S2844" s="92" t="s">
        <v>121</v>
      </c>
      <c r="V2844" s="95">
        <v>43373</v>
      </c>
      <c r="W2844" s="92">
        <v>2030534</v>
      </c>
      <c r="X2844" s="90"/>
      <c r="Y2844" s="123"/>
      <c r="Z2844" s="30">
        <f t="shared" si="88"/>
        <v>4227.3638773950279</v>
      </c>
      <c r="AA2844" s="30">
        <f t="shared" si="89"/>
        <v>2113.6819386975139</v>
      </c>
      <c r="AB2844" t="s">
        <v>457</v>
      </c>
    </row>
    <row r="2845" spans="1:28">
      <c r="A2845" t="s">
        <v>118</v>
      </c>
      <c r="C2845" s="92">
        <v>4615460519</v>
      </c>
      <c r="D2845" s="93">
        <v>19175</v>
      </c>
      <c r="F2845" s="91">
        <v>10</v>
      </c>
      <c r="G2845" s="96">
        <v>5</v>
      </c>
      <c r="H2845" s="94">
        <v>0</v>
      </c>
      <c r="I2845" s="91">
        <v>0</v>
      </c>
      <c r="J2845" s="41"/>
      <c r="K2845" s="41">
        <v>43373</v>
      </c>
      <c r="L2845" s="69" t="s">
        <v>80</v>
      </c>
      <c r="M2845" s="69" t="s">
        <v>286</v>
      </c>
      <c r="N2845" s="95"/>
      <c r="P2845" t="s">
        <v>95</v>
      </c>
      <c r="Q2845" t="s">
        <v>120</v>
      </c>
      <c r="R2845" s="92" t="s">
        <v>69</v>
      </c>
      <c r="S2845" s="92" t="s">
        <v>121</v>
      </c>
      <c r="V2845" s="95">
        <v>43373</v>
      </c>
      <c r="W2845" s="92">
        <v>2030534</v>
      </c>
      <c r="X2845" s="90"/>
      <c r="Y2845" s="123"/>
      <c r="Z2845" s="30">
        <f t="shared" si="88"/>
        <v>4227.3638773950279</v>
      </c>
      <c r="AA2845" s="30">
        <f t="shared" si="89"/>
        <v>2113.6819386975139</v>
      </c>
      <c r="AB2845" t="s">
        <v>457</v>
      </c>
    </row>
    <row r="2846" spans="1:28">
      <c r="A2846" t="s">
        <v>118</v>
      </c>
      <c r="C2846" s="92">
        <v>4615460519</v>
      </c>
      <c r="D2846" s="93">
        <v>19175</v>
      </c>
      <c r="F2846" s="91">
        <v>10</v>
      </c>
      <c r="G2846" s="96">
        <v>5</v>
      </c>
      <c r="H2846" s="94">
        <v>0</v>
      </c>
      <c r="I2846" s="91">
        <v>0</v>
      </c>
      <c r="J2846" s="41"/>
      <c r="K2846" s="41">
        <v>43373</v>
      </c>
      <c r="L2846" s="69" t="s">
        <v>80</v>
      </c>
      <c r="M2846" s="69" t="s">
        <v>286</v>
      </c>
      <c r="N2846" s="95"/>
      <c r="P2846" t="s">
        <v>95</v>
      </c>
      <c r="Q2846" t="s">
        <v>120</v>
      </c>
      <c r="R2846" s="92" t="s">
        <v>69</v>
      </c>
      <c r="S2846" s="92" t="s">
        <v>121</v>
      </c>
      <c r="V2846" s="95">
        <v>43373</v>
      </c>
      <c r="W2846" s="92">
        <v>2030534</v>
      </c>
      <c r="X2846" s="90"/>
      <c r="Y2846" s="123"/>
      <c r="Z2846" s="30">
        <f t="shared" si="88"/>
        <v>4227.3638773950279</v>
      </c>
      <c r="AA2846" s="30">
        <f t="shared" si="89"/>
        <v>2113.6819386975139</v>
      </c>
      <c r="AB2846" t="s">
        <v>457</v>
      </c>
    </row>
    <row r="2847" spans="1:28">
      <c r="A2847" t="s">
        <v>118</v>
      </c>
      <c r="C2847" s="92">
        <v>4615460519</v>
      </c>
      <c r="D2847" s="93">
        <v>19175</v>
      </c>
      <c r="F2847" s="91">
        <v>10</v>
      </c>
      <c r="G2847" s="96">
        <v>5</v>
      </c>
      <c r="H2847" s="94">
        <v>0</v>
      </c>
      <c r="I2847" s="91">
        <v>0</v>
      </c>
      <c r="J2847" s="41"/>
      <c r="K2847" s="41">
        <v>43373</v>
      </c>
      <c r="L2847" s="69" t="s">
        <v>80</v>
      </c>
      <c r="M2847" s="69" t="s">
        <v>286</v>
      </c>
      <c r="N2847" s="95"/>
      <c r="P2847" t="s">
        <v>95</v>
      </c>
      <c r="Q2847" t="s">
        <v>120</v>
      </c>
      <c r="R2847" s="92" t="s">
        <v>69</v>
      </c>
      <c r="S2847" s="92" t="s">
        <v>121</v>
      </c>
      <c r="V2847" s="95">
        <v>43373</v>
      </c>
      <c r="W2847" s="92">
        <v>2030534</v>
      </c>
      <c r="X2847" s="90"/>
      <c r="Y2847" s="123"/>
      <c r="Z2847" s="30">
        <f t="shared" si="88"/>
        <v>4227.3638773950279</v>
      </c>
      <c r="AA2847" s="30">
        <f t="shared" si="89"/>
        <v>2113.6819386975139</v>
      </c>
      <c r="AB2847" t="s">
        <v>457</v>
      </c>
    </row>
    <row r="2848" spans="1:28">
      <c r="A2848" t="s">
        <v>118</v>
      </c>
      <c r="C2848" s="92">
        <v>4615460519</v>
      </c>
      <c r="D2848" s="93">
        <v>19175</v>
      </c>
      <c r="F2848" s="91">
        <v>10</v>
      </c>
      <c r="G2848" s="96">
        <v>5</v>
      </c>
      <c r="H2848" s="94">
        <v>0</v>
      </c>
      <c r="I2848" s="91">
        <v>0</v>
      </c>
      <c r="J2848" s="41"/>
      <c r="K2848" s="41">
        <v>43373</v>
      </c>
      <c r="L2848" s="69" t="s">
        <v>80</v>
      </c>
      <c r="M2848" s="69" t="s">
        <v>286</v>
      </c>
      <c r="N2848" s="95"/>
      <c r="P2848" t="s">
        <v>95</v>
      </c>
      <c r="Q2848" t="s">
        <v>120</v>
      </c>
      <c r="R2848" s="92" t="s">
        <v>69</v>
      </c>
      <c r="S2848" s="92" t="s">
        <v>121</v>
      </c>
      <c r="V2848" s="95">
        <v>43373</v>
      </c>
      <c r="W2848" s="92">
        <v>2030534</v>
      </c>
      <c r="X2848" s="90"/>
      <c r="Y2848" s="123"/>
      <c r="Z2848" s="30">
        <f t="shared" si="88"/>
        <v>4227.3638773950279</v>
      </c>
      <c r="AA2848" s="30">
        <f t="shared" si="89"/>
        <v>2113.6819386975139</v>
      </c>
      <c r="AB2848" t="s">
        <v>457</v>
      </c>
    </row>
    <row r="2849" spans="1:28">
      <c r="A2849" t="s">
        <v>118</v>
      </c>
      <c r="C2849" s="92">
        <v>4615460519</v>
      </c>
      <c r="D2849" s="93">
        <v>19175</v>
      </c>
      <c r="F2849" s="91">
        <v>10</v>
      </c>
      <c r="G2849" s="96">
        <v>5</v>
      </c>
      <c r="H2849" s="94">
        <v>0</v>
      </c>
      <c r="I2849" s="91">
        <v>0</v>
      </c>
      <c r="J2849" s="41"/>
      <c r="K2849" s="41">
        <v>43373</v>
      </c>
      <c r="L2849" s="69" t="s">
        <v>80</v>
      </c>
      <c r="M2849" s="69" t="s">
        <v>286</v>
      </c>
      <c r="N2849" s="95"/>
      <c r="P2849" t="s">
        <v>95</v>
      </c>
      <c r="Q2849" t="s">
        <v>120</v>
      </c>
      <c r="R2849" s="92" t="s">
        <v>69</v>
      </c>
      <c r="S2849" s="92" t="s">
        <v>121</v>
      </c>
      <c r="V2849" s="95">
        <v>43373</v>
      </c>
      <c r="W2849" s="92">
        <v>2030534</v>
      </c>
      <c r="X2849" s="90"/>
      <c r="Y2849" s="123"/>
      <c r="Z2849" s="30">
        <f t="shared" si="88"/>
        <v>4227.3638773950279</v>
      </c>
      <c r="AA2849" s="30">
        <f t="shared" si="89"/>
        <v>2113.6819386975139</v>
      </c>
      <c r="AB2849" t="s">
        <v>457</v>
      </c>
    </row>
    <row r="2850" spans="1:28">
      <c r="A2850" t="s">
        <v>118</v>
      </c>
      <c r="C2850" s="92">
        <v>4615460519</v>
      </c>
      <c r="D2850" s="93">
        <v>19175</v>
      </c>
      <c r="F2850" s="91">
        <v>10</v>
      </c>
      <c r="G2850" s="96">
        <v>5</v>
      </c>
      <c r="H2850" s="94">
        <v>0</v>
      </c>
      <c r="I2850" s="91">
        <v>0</v>
      </c>
      <c r="J2850" s="41"/>
      <c r="K2850" s="41">
        <v>43373</v>
      </c>
      <c r="L2850" s="69" t="s">
        <v>80</v>
      </c>
      <c r="M2850" s="69" t="s">
        <v>286</v>
      </c>
      <c r="N2850" s="95"/>
      <c r="P2850" t="s">
        <v>95</v>
      </c>
      <c r="Q2850" t="s">
        <v>120</v>
      </c>
      <c r="R2850" s="92" t="s">
        <v>69</v>
      </c>
      <c r="S2850" s="92" t="s">
        <v>121</v>
      </c>
      <c r="V2850" s="95">
        <v>43373</v>
      </c>
      <c r="W2850" s="92">
        <v>2030534</v>
      </c>
      <c r="X2850" s="90"/>
      <c r="Y2850" s="123"/>
      <c r="Z2850" s="30">
        <f t="shared" si="88"/>
        <v>4227.3638773950279</v>
      </c>
      <c r="AA2850" s="30">
        <f t="shared" si="89"/>
        <v>2113.6819386975139</v>
      </c>
      <c r="AB2850" t="s">
        <v>457</v>
      </c>
    </row>
    <row r="2851" spans="1:28">
      <c r="A2851" t="s">
        <v>118</v>
      </c>
      <c r="C2851" s="92">
        <v>4615460519</v>
      </c>
      <c r="D2851" s="93">
        <v>19175</v>
      </c>
      <c r="F2851" s="91">
        <v>10</v>
      </c>
      <c r="G2851" s="96">
        <v>5</v>
      </c>
      <c r="H2851" s="94">
        <v>0</v>
      </c>
      <c r="I2851" s="91">
        <v>0</v>
      </c>
      <c r="J2851" s="41"/>
      <c r="K2851" s="41">
        <v>43373</v>
      </c>
      <c r="L2851" s="69" t="s">
        <v>80</v>
      </c>
      <c r="M2851" s="69" t="s">
        <v>286</v>
      </c>
      <c r="N2851" s="95"/>
      <c r="P2851" t="s">
        <v>95</v>
      </c>
      <c r="Q2851" t="s">
        <v>120</v>
      </c>
      <c r="R2851" s="92" t="s">
        <v>69</v>
      </c>
      <c r="S2851" s="92" t="s">
        <v>121</v>
      </c>
      <c r="V2851" s="95">
        <v>43373</v>
      </c>
      <c r="W2851" s="92">
        <v>2030534</v>
      </c>
      <c r="X2851" s="90"/>
      <c r="Y2851" s="123"/>
      <c r="Z2851" s="30">
        <f t="shared" si="88"/>
        <v>4227.3638773950279</v>
      </c>
      <c r="AA2851" s="30">
        <f t="shared" si="89"/>
        <v>2113.6819386975139</v>
      </c>
      <c r="AB2851" t="s">
        <v>457</v>
      </c>
    </row>
    <row r="2852" spans="1:28">
      <c r="A2852" t="s">
        <v>136</v>
      </c>
      <c r="C2852" s="92">
        <v>4615503159</v>
      </c>
      <c r="D2852" s="93">
        <v>19175</v>
      </c>
      <c r="F2852" s="91">
        <v>10</v>
      </c>
      <c r="G2852" s="91">
        <v>0</v>
      </c>
      <c r="H2852" s="94">
        <v>0</v>
      </c>
      <c r="I2852" s="91">
        <v>0</v>
      </c>
      <c r="J2852" s="41"/>
      <c r="K2852" s="41">
        <v>43373</v>
      </c>
      <c r="L2852" s="69" t="s">
        <v>80</v>
      </c>
      <c r="M2852" s="69" t="s">
        <v>286</v>
      </c>
      <c r="N2852" s="95"/>
      <c r="P2852" t="s">
        <v>95</v>
      </c>
      <c r="Q2852" t="s">
        <v>129</v>
      </c>
      <c r="R2852" s="92" t="s">
        <v>69</v>
      </c>
      <c r="S2852" s="92" t="s">
        <v>138</v>
      </c>
      <c r="V2852" s="95">
        <v>43373</v>
      </c>
      <c r="W2852" s="92">
        <v>415580162</v>
      </c>
      <c r="X2852" s="90"/>
      <c r="Y2852" s="123"/>
      <c r="Z2852" s="30">
        <f t="shared" si="88"/>
        <v>4227.3638773950279</v>
      </c>
      <c r="AA2852" s="30">
        <f t="shared" si="89"/>
        <v>0</v>
      </c>
      <c r="AB2852" t="s">
        <v>457</v>
      </c>
    </row>
    <row r="2853" spans="1:28">
      <c r="A2853" t="s">
        <v>136</v>
      </c>
      <c r="C2853" s="92">
        <v>4615503159</v>
      </c>
      <c r="D2853" s="93">
        <v>19175</v>
      </c>
      <c r="F2853" s="91">
        <v>10</v>
      </c>
      <c r="G2853" s="91">
        <v>0</v>
      </c>
      <c r="H2853" s="94">
        <v>0</v>
      </c>
      <c r="I2853" s="91">
        <v>0</v>
      </c>
      <c r="J2853" s="41"/>
      <c r="K2853" s="41">
        <v>43373</v>
      </c>
      <c r="L2853" s="69" t="s">
        <v>80</v>
      </c>
      <c r="M2853" s="69" t="s">
        <v>286</v>
      </c>
      <c r="N2853" s="95"/>
      <c r="P2853" t="s">
        <v>95</v>
      </c>
      <c r="Q2853" t="s">
        <v>129</v>
      </c>
      <c r="R2853" s="92" t="s">
        <v>69</v>
      </c>
      <c r="S2853" s="92" t="s">
        <v>138</v>
      </c>
      <c r="V2853" s="95">
        <v>43373</v>
      </c>
      <c r="W2853" s="92">
        <v>415580162</v>
      </c>
      <c r="X2853" s="90"/>
      <c r="Y2853" s="123"/>
      <c r="Z2853" s="30">
        <f t="shared" si="88"/>
        <v>4227.3638773950279</v>
      </c>
      <c r="AA2853" s="30">
        <f t="shared" si="89"/>
        <v>0</v>
      </c>
      <c r="AB2853" t="s">
        <v>457</v>
      </c>
    </row>
    <row r="2854" spans="1:28">
      <c r="A2854" t="s">
        <v>136</v>
      </c>
      <c r="C2854" s="92">
        <v>4615503159</v>
      </c>
      <c r="D2854" s="93">
        <v>19175</v>
      </c>
      <c r="F2854" s="91">
        <v>10</v>
      </c>
      <c r="G2854" s="91">
        <v>0</v>
      </c>
      <c r="H2854" s="94">
        <v>0</v>
      </c>
      <c r="I2854" s="91">
        <v>0</v>
      </c>
      <c r="J2854" s="41"/>
      <c r="K2854" s="41">
        <v>43373</v>
      </c>
      <c r="L2854" s="69" t="s">
        <v>80</v>
      </c>
      <c r="M2854" s="69" t="s">
        <v>286</v>
      </c>
      <c r="N2854" s="95"/>
      <c r="P2854" t="s">
        <v>95</v>
      </c>
      <c r="Q2854" t="s">
        <v>129</v>
      </c>
      <c r="R2854" s="92" t="s">
        <v>69</v>
      </c>
      <c r="S2854" s="92" t="s">
        <v>138</v>
      </c>
      <c r="V2854" s="95">
        <v>43373</v>
      </c>
      <c r="W2854" s="92">
        <v>415580162</v>
      </c>
      <c r="X2854" s="90"/>
      <c r="Y2854" s="123"/>
      <c r="Z2854" s="30">
        <f t="shared" si="88"/>
        <v>4227.3638773950279</v>
      </c>
      <c r="AA2854" s="30">
        <f t="shared" si="89"/>
        <v>0</v>
      </c>
      <c r="AB2854" t="s">
        <v>457</v>
      </c>
    </row>
    <row r="2855" spans="1:28">
      <c r="A2855" t="s">
        <v>136</v>
      </c>
      <c r="C2855" s="92">
        <v>4615503159</v>
      </c>
      <c r="D2855" s="93">
        <v>19175</v>
      </c>
      <c r="F2855" s="91">
        <v>10</v>
      </c>
      <c r="G2855" s="91">
        <v>0</v>
      </c>
      <c r="H2855" s="94">
        <v>0</v>
      </c>
      <c r="I2855" s="91">
        <v>0</v>
      </c>
      <c r="J2855" s="41"/>
      <c r="K2855" s="41">
        <v>43373</v>
      </c>
      <c r="L2855" s="69" t="s">
        <v>80</v>
      </c>
      <c r="M2855" s="69" t="s">
        <v>286</v>
      </c>
      <c r="N2855" s="95"/>
      <c r="P2855" t="s">
        <v>95</v>
      </c>
      <c r="Q2855" t="s">
        <v>129</v>
      </c>
      <c r="R2855" s="92" t="s">
        <v>69</v>
      </c>
      <c r="S2855" s="92" t="s">
        <v>138</v>
      </c>
      <c r="V2855" s="95">
        <v>43373</v>
      </c>
      <c r="W2855" s="92">
        <v>415580162</v>
      </c>
      <c r="X2855" s="90"/>
      <c r="Y2855" s="123"/>
      <c r="Z2855" s="30">
        <f t="shared" si="88"/>
        <v>4227.3638773950279</v>
      </c>
      <c r="AA2855" s="30">
        <f t="shared" si="89"/>
        <v>0</v>
      </c>
      <c r="AB2855" t="s">
        <v>457</v>
      </c>
    </row>
    <row r="2856" spans="1:28">
      <c r="A2856" t="s">
        <v>136</v>
      </c>
      <c r="C2856" s="92">
        <v>4615503159</v>
      </c>
      <c r="D2856" s="93">
        <v>19175</v>
      </c>
      <c r="F2856" s="91">
        <v>10</v>
      </c>
      <c r="G2856" s="91">
        <v>0</v>
      </c>
      <c r="H2856" s="94">
        <v>0</v>
      </c>
      <c r="I2856" s="91">
        <v>0</v>
      </c>
      <c r="J2856" s="41"/>
      <c r="K2856" s="41">
        <v>43373</v>
      </c>
      <c r="L2856" s="69" t="s">
        <v>80</v>
      </c>
      <c r="M2856" s="69" t="s">
        <v>286</v>
      </c>
      <c r="N2856" s="95"/>
      <c r="P2856" t="s">
        <v>95</v>
      </c>
      <c r="Q2856" t="s">
        <v>129</v>
      </c>
      <c r="R2856" s="92" t="s">
        <v>69</v>
      </c>
      <c r="S2856" s="92" t="s">
        <v>138</v>
      </c>
      <c r="V2856" s="95">
        <v>43373</v>
      </c>
      <c r="W2856" s="92">
        <v>415580162</v>
      </c>
      <c r="X2856" s="90"/>
      <c r="Y2856" s="123"/>
      <c r="Z2856" s="30">
        <f t="shared" si="88"/>
        <v>4227.3638773950279</v>
      </c>
      <c r="AA2856" s="30">
        <f t="shared" si="89"/>
        <v>0</v>
      </c>
      <c r="AB2856" t="s">
        <v>457</v>
      </c>
    </row>
    <row r="2857" spans="1:28">
      <c r="A2857" t="s">
        <v>122</v>
      </c>
      <c r="C2857" s="92">
        <v>4615494897</v>
      </c>
      <c r="D2857" s="93">
        <v>19175</v>
      </c>
      <c r="F2857" s="91">
        <v>16</v>
      </c>
      <c r="G2857" s="96">
        <v>5</v>
      </c>
      <c r="H2857" s="94">
        <v>0</v>
      </c>
      <c r="I2857" s="91">
        <v>0</v>
      </c>
      <c r="J2857" s="41"/>
      <c r="K2857" s="41">
        <v>43373</v>
      </c>
      <c r="L2857" s="69" t="s">
        <v>80</v>
      </c>
      <c r="M2857" s="69" t="s">
        <v>286</v>
      </c>
      <c r="N2857" s="95"/>
      <c r="P2857" t="s">
        <v>95</v>
      </c>
      <c r="Q2857" t="s">
        <v>120</v>
      </c>
      <c r="R2857" s="92" t="s">
        <v>69</v>
      </c>
      <c r="S2857" s="92" t="s">
        <v>123</v>
      </c>
      <c r="V2857" s="95">
        <v>43373</v>
      </c>
      <c r="W2857" s="92">
        <v>2030474</v>
      </c>
      <c r="X2857" s="90"/>
      <c r="Y2857" s="123"/>
      <c r="Z2857" s="30">
        <f t="shared" si="88"/>
        <v>6763.7822038320437</v>
      </c>
      <c r="AA2857" s="30">
        <f t="shared" si="89"/>
        <v>2113.6819386975139</v>
      </c>
      <c r="AB2857" t="s">
        <v>457</v>
      </c>
    </row>
    <row r="2858" spans="1:28">
      <c r="A2858" t="s">
        <v>122</v>
      </c>
      <c r="C2858" s="92">
        <v>4615494897</v>
      </c>
      <c r="D2858" s="93">
        <v>19175</v>
      </c>
      <c r="F2858" s="91">
        <v>16</v>
      </c>
      <c r="G2858" s="96">
        <v>5</v>
      </c>
      <c r="H2858" s="94">
        <v>0</v>
      </c>
      <c r="I2858" s="91">
        <v>0</v>
      </c>
      <c r="J2858" s="41"/>
      <c r="K2858" s="41">
        <v>43373</v>
      </c>
      <c r="L2858" s="69" t="s">
        <v>80</v>
      </c>
      <c r="M2858" s="69" t="s">
        <v>286</v>
      </c>
      <c r="N2858" s="95"/>
      <c r="P2858" t="s">
        <v>95</v>
      </c>
      <c r="Q2858" t="s">
        <v>120</v>
      </c>
      <c r="R2858" s="92" t="s">
        <v>69</v>
      </c>
      <c r="S2858" s="92" t="s">
        <v>123</v>
      </c>
      <c r="V2858" s="95">
        <v>43373</v>
      </c>
      <c r="W2858" s="92">
        <v>2030474</v>
      </c>
      <c r="X2858" s="90"/>
      <c r="Y2858" s="123"/>
      <c r="Z2858" s="30">
        <f t="shared" si="88"/>
        <v>6763.7822038320437</v>
      </c>
      <c r="AA2858" s="30">
        <f t="shared" si="89"/>
        <v>2113.6819386975139</v>
      </c>
      <c r="AB2858" t="s">
        <v>457</v>
      </c>
    </row>
    <row r="2859" spans="1:28">
      <c r="A2859" t="s">
        <v>122</v>
      </c>
      <c r="C2859" s="92">
        <v>4615494897</v>
      </c>
      <c r="D2859" s="93">
        <v>19175</v>
      </c>
      <c r="F2859" s="91">
        <v>16</v>
      </c>
      <c r="G2859" s="96">
        <v>5</v>
      </c>
      <c r="H2859" s="94">
        <v>0</v>
      </c>
      <c r="I2859" s="91">
        <v>0</v>
      </c>
      <c r="J2859" s="41"/>
      <c r="K2859" s="41">
        <v>43373</v>
      </c>
      <c r="L2859" s="69" t="s">
        <v>80</v>
      </c>
      <c r="M2859" s="69" t="s">
        <v>286</v>
      </c>
      <c r="N2859" s="95"/>
      <c r="P2859" t="s">
        <v>95</v>
      </c>
      <c r="Q2859" t="s">
        <v>120</v>
      </c>
      <c r="R2859" s="92" t="s">
        <v>69</v>
      </c>
      <c r="S2859" s="92" t="s">
        <v>123</v>
      </c>
      <c r="V2859" s="95">
        <v>43373</v>
      </c>
      <c r="W2859" s="92">
        <v>2030474</v>
      </c>
      <c r="X2859" s="90"/>
      <c r="Y2859" s="123"/>
      <c r="Z2859" s="30">
        <f t="shared" si="88"/>
        <v>6763.7822038320437</v>
      </c>
      <c r="AA2859" s="30">
        <f t="shared" si="89"/>
        <v>2113.6819386975139</v>
      </c>
      <c r="AB2859" t="s">
        <v>457</v>
      </c>
    </row>
    <row r="2860" spans="1:28">
      <c r="A2860" t="s">
        <v>122</v>
      </c>
      <c r="C2860" s="92">
        <v>4615494897</v>
      </c>
      <c r="D2860" s="93">
        <v>19175</v>
      </c>
      <c r="F2860" s="91">
        <v>16</v>
      </c>
      <c r="G2860" s="96">
        <v>5</v>
      </c>
      <c r="H2860" s="94">
        <v>0</v>
      </c>
      <c r="I2860" s="91">
        <v>0</v>
      </c>
      <c r="J2860" s="41"/>
      <c r="K2860" s="41">
        <v>43373</v>
      </c>
      <c r="L2860" s="69" t="s">
        <v>80</v>
      </c>
      <c r="M2860" s="69" t="s">
        <v>286</v>
      </c>
      <c r="N2860" s="95"/>
      <c r="P2860" t="s">
        <v>95</v>
      </c>
      <c r="Q2860" t="s">
        <v>120</v>
      </c>
      <c r="R2860" s="92" t="s">
        <v>69</v>
      </c>
      <c r="S2860" s="92" t="s">
        <v>123</v>
      </c>
      <c r="V2860" s="95">
        <v>43373</v>
      </c>
      <c r="W2860" s="92">
        <v>2030474</v>
      </c>
      <c r="X2860" s="90"/>
      <c r="Y2860" s="123"/>
      <c r="Z2860" s="30">
        <f t="shared" si="88"/>
        <v>6763.7822038320437</v>
      </c>
      <c r="AA2860" s="30">
        <f t="shared" si="89"/>
        <v>2113.6819386975139</v>
      </c>
      <c r="AB2860" t="s">
        <v>457</v>
      </c>
    </row>
    <row r="2861" spans="1:28">
      <c r="A2861" t="s">
        <v>122</v>
      </c>
      <c r="C2861" s="92">
        <v>4615494897</v>
      </c>
      <c r="D2861" s="93">
        <v>19175</v>
      </c>
      <c r="F2861" s="91">
        <v>16</v>
      </c>
      <c r="G2861" s="96">
        <v>5</v>
      </c>
      <c r="H2861" s="94">
        <v>0</v>
      </c>
      <c r="I2861" s="91">
        <v>0</v>
      </c>
      <c r="J2861" s="41"/>
      <c r="K2861" s="41">
        <v>43373</v>
      </c>
      <c r="L2861" s="69" t="s">
        <v>80</v>
      </c>
      <c r="M2861" s="69" t="s">
        <v>286</v>
      </c>
      <c r="N2861" s="95"/>
      <c r="P2861" t="s">
        <v>95</v>
      </c>
      <c r="Q2861" t="s">
        <v>120</v>
      </c>
      <c r="R2861" s="92" t="s">
        <v>69</v>
      </c>
      <c r="S2861" s="92" t="s">
        <v>123</v>
      </c>
      <c r="V2861" s="95">
        <v>43373</v>
      </c>
      <c r="W2861" s="92">
        <v>2030474</v>
      </c>
      <c r="X2861" s="90"/>
      <c r="Y2861" s="123"/>
      <c r="Z2861" s="30">
        <f t="shared" si="88"/>
        <v>6763.7822038320437</v>
      </c>
      <c r="AA2861" s="30">
        <f t="shared" si="89"/>
        <v>2113.6819386975139</v>
      </c>
      <c r="AB2861" t="s">
        <v>457</v>
      </c>
    </row>
    <row r="2862" spans="1:28">
      <c r="A2862" t="s">
        <v>122</v>
      </c>
      <c r="C2862" s="92">
        <v>4615494897</v>
      </c>
      <c r="D2862" s="93">
        <v>19175</v>
      </c>
      <c r="F2862" s="91">
        <v>16</v>
      </c>
      <c r="G2862" s="96">
        <v>5</v>
      </c>
      <c r="H2862" s="94">
        <v>0</v>
      </c>
      <c r="I2862" s="91">
        <v>0</v>
      </c>
      <c r="J2862" s="41"/>
      <c r="K2862" s="41">
        <v>43373</v>
      </c>
      <c r="L2862" s="69" t="s">
        <v>80</v>
      </c>
      <c r="M2862" s="69" t="s">
        <v>286</v>
      </c>
      <c r="N2862" s="95"/>
      <c r="P2862" t="s">
        <v>95</v>
      </c>
      <c r="Q2862" t="s">
        <v>120</v>
      </c>
      <c r="R2862" s="92" t="s">
        <v>69</v>
      </c>
      <c r="S2862" s="92" t="s">
        <v>123</v>
      </c>
      <c r="V2862" s="95">
        <v>43373</v>
      </c>
      <c r="W2862" s="92">
        <v>2030474</v>
      </c>
      <c r="X2862" s="90"/>
      <c r="Y2862" s="123"/>
      <c r="Z2862" s="30">
        <f t="shared" si="88"/>
        <v>6763.7822038320437</v>
      </c>
      <c r="AA2862" s="30">
        <f t="shared" si="89"/>
        <v>2113.6819386975139</v>
      </c>
      <c r="AB2862" t="s">
        <v>457</v>
      </c>
    </row>
    <row r="2863" spans="1:28">
      <c r="A2863" t="s">
        <v>122</v>
      </c>
      <c r="C2863" s="92">
        <v>4615451281</v>
      </c>
      <c r="D2863" s="93">
        <v>19200</v>
      </c>
      <c r="F2863" s="91">
        <v>16</v>
      </c>
      <c r="G2863" s="96">
        <v>5</v>
      </c>
      <c r="H2863" s="94">
        <v>0</v>
      </c>
      <c r="I2863" s="91">
        <v>0</v>
      </c>
      <c r="J2863" s="41"/>
      <c r="K2863" s="41">
        <v>43373</v>
      </c>
      <c r="L2863" s="69" t="s">
        <v>80</v>
      </c>
      <c r="M2863" s="69" t="s">
        <v>286</v>
      </c>
      <c r="N2863" s="95"/>
      <c r="P2863" t="s">
        <v>95</v>
      </c>
      <c r="Q2863" t="s">
        <v>120</v>
      </c>
      <c r="R2863" s="92" t="s">
        <v>69</v>
      </c>
      <c r="S2863" s="92" t="s">
        <v>123</v>
      </c>
      <c r="V2863" s="95">
        <v>43373</v>
      </c>
      <c r="W2863" s="92">
        <v>2030507</v>
      </c>
      <c r="X2863" s="90"/>
      <c r="Y2863" s="123"/>
      <c r="Z2863" s="30">
        <f t="shared" si="88"/>
        <v>6772.6006943194379</v>
      </c>
      <c r="AA2863" s="30">
        <f t="shared" si="89"/>
        <v>2116.4377169748245</v>
      </c>
      <c r="AB2863" t="s">
        <v>457</v>
      </c>
    </row>
    <row r="2864" spans="1:28">
      <c r="A2864" t="s">
        <v>122</v>
      </c>
      <c r="C2864" s="92">
        <v>4615451281</v>
      </c>
      <c r="D2864" s="93">
        <v>19200</v>
      </c>
      <c r="F2864" s="91">
        <v>16</v>
      </c>
      <c r="G2864" s="96">
        <v>5</v>
      </c>
      <c r="H2864" s="94">
        <v>0</v>
      </c>
      <c r="I2864" s="91">
        <v>0</v>
      </c>
      <c r="J2864" s="41"/>
      <c r="K2864" s="41">
        <v>43373</v>
      </c>
      <c r="L2864" s="69" t="s">
        <v>80</v>
      </c>
      <c r="M2864" s="69" t="s">
        <v>286</v>
      </c>
      <c r="N2864" s="95"/>
      <c r="P2864" t="s">
        <v>95</v>
      </c>
      <c r="Q2864" t="s">
        <v>120</v>
      </c>
      <c r="R2864" s="92" t="s">
        <v>69</v>
      </c>
      <c r="S2864" s="92" t="s">
        <v>123</v>
      </c>
      <c r="V2864" s="95">
        <v>43373</v>
      </c>
      <c r="W2864" s="92">
        <v>2030507</v>
      </c>
      <c r="X2864" s="90"/>
      <c r="Y2864" s="123"/>
      <c r="Z2864" s="30">
        <f t="shared" si="88"/>
        <v>6772.6006943194379</v>
      </c>
      <c r="AA2864" s="30">
        <f t="shared" si="89"/>
        <v>2116.4377169748245</v>
      </c>
      <c r="AB2864" t="s">
        <v>457</v>
      </c>
    </row>
    <row r="2865" spans="1:28">
      <c r="A2865" t="s">
        <v>122</v>
      </c>
      <c r="C2865" s="92">
        <v>4615451281</v>
      </c>
      <c r="D2865" s="93">
        <v>19200</v>
      </c>
      <c r="F2865" s="91">
        <v>16</v>
      </c>
      <c r="G2865" s="96">
        <v>5</v>
      </c>
      <c r="H2865" s="94">
        <v>0</v>
      </c>
      <c r="I2865" s="91">
        <v>0</v>
      </c>
      <c r="J2865" s="41"/>
      <c r="K2865" s="41">
        <v>43373</v>
      </c>
      <c r="L2865" s="69" t="s">
        <v>80</v>
      </c>
      <c r="M2865" s="69" t="s">
        <v>286</v>
      </c>
      <c r="N2865" s="95"/>
      <c r="P2865" t="s">
        <v>95</v>
      </c>
      <c r="Q2865" t="s">
        <v>120</v>
      </c>
      <c r="R2865" s="92" t="s">
        <v>69</v>
      </c>
      <c r="S2865" s="92" t="s">
        <v>123</v>
      </c>
      <c r="V2865" s="95">
        <v>43373</v>
      </c>
      <c r="W2865" s="92">
        <v>2030507</v>
      </c>
      <c r="X2865" s="90"/>
      <c r="Y2865" s="123"/>
      <c r="Z2865" s="30">
        <f t="shared" si="88"/>
        <v>6772.6006943194379</v>
      </c>
      <c r="AA2865" s="30">
        <f t="shared" si="89"/>
        <v>2116.4377169748245</v>
      </c>
      <c r="AB2865" t="s">
        <v>457</v>
      </c>
    </row>
    <row r="2866" spans="1:28">
      <c r="A2866" t="s">
        <v>122</v>
      </c>
      <c r="C2866" s="92">
        <v>4615451281</v>
      </c>
      <c r="D2866" s="93">
        <v>19200</v>
      </c>
      <c r="F2866" s="91">
        <v>16</v>
      </c>
      <c r="G2866" s="96">
        <v>5</v>
      </c>
      <c r="H2866" s="94">
        <v>0</v>
      </c>
      <c r="I2866" s="91">
        <v>0</v>
      </c>
      <c r="J2866" s="41"/>
      <c r="K2866" s="41">
        <v>43373</v>
      </c>
      <c r="L2866" s="69" t="s">
        <v>80</v>
      </c>
      <c r="M2866" s="69" t="s">
        <v>286</v>
      </c>
      <c r="N2866" s="95"/>
      <c r="P2866" t="s">
        <v>95</v>
      </c>
      <c r="Q2866" t="s">
        <v>120</v>
      </c>
      <c r="R2866" s="92" t="s">
        <v>69</v>
      </c>
      <c r="S2866" s="92" t="s">
        <v>123</v>
      </c>
      <c r="V2866" s="95">
        <v>43373</v>
      </c>
      <c r="W2866" s="92">
        <v>2030507</v>
      </c>
      <c r="X2866" s="90"/>
      <c r="Y2866" s="123"/>
      <c r="Z2866" s="30">
        <f t="shared" si="88"/>
        <v>6772.6006943194379</v>
      </c>
      <c r="AA2866" s="30">
        <f t="shared" si="89"/>
        <v>2116.4377169748245</v>
      </c>
      <c r="AB2866" t="s">
        <v>457</v>
      </c>
    </row>
    <row r="2867" spans="1:28">
      <c r="A2867" t="s">
        <v>122</v>
      </c>
      <c r="C2867" s="92">
        <v>4615451281</v>
      </c>
      <c r="D2867" s="93">
        <v>19200</v>
      </c>
      <c r="F2867" s="91">
        <v>16</v>
      </c>
      <c r="G2867" s="96">
        <v>5</v>
      </c>
      <c r="H2867" s="94">
        <v>0</v>
      </c>
      <c r="I2867" s="91">
        <v>0</v>
      </c>
      <c r="J2867" s="41"/>
      <c r="K2867" s="41">
        <v>43373</v>
      </c>
      <c r="L2867" s="69" t="s">
        <v>80</v>
      </c>
      <c r="M2867" s="69" t="s">
        <v>286</v>
      </c>
      <c r="N2867" s="95"/>
      <c r="P2867" t="s">
        <v>95</v>
      </c>
      <c r="Q2867" t="s">
        <v>120</v>
      </c>
      <c r="R2867" s="92" t="s">
        <v>69</v>
      </c>
      <c r="S2867" s="92" t="s">
        <v>123</v>
      </c>
      <c r="V2867" s="95">
        <v>43373</v>
      </c>
      <c r="W2867" s="92">
        <v>2030507</v>
      </c>
      <c r="X2867" s="90"/>
      <c r="Y2867" s="123"/>
      <c r="Z2867" s="30">
        <f t="shared" si="88"/>
        <v>6772.6006943194379</v>
      </c>
      <c r="AA2867" s="30">
        <f t="shared" si="89"/>
        <v>2116.4377169748245</v>
      </c>
      <c r="AB2867" t="s">
        <v>457</v>
      </c>
    </row>
    <row r="2868" spans="1:28">
      <c r="A2868" t="s">
        <v>122</v>
      </c>
      <c r="C2868" s="92">
        <v>4615451281</v>
      </c>
      <c r="D2868" s="93">
        <v>19200</v>
      </c>
      <c r="F2868" s="91">
        <v>16</v>
      </c>
      <c r="G2868" s="96">
        <v>5</v>
      </c>
      <c r="H2868" s="94">
        <v>0</v>
      </c>
      <c r="I2868" s="91">
        <v>0</v>
      </c>
      <c r="J2868" s="41"/>
      <c r="K2868" s="41">
        <v>43373</v>
      </c>
      <c r="L2868" s="69" t="s">
        <v>80</v>
      </c>
      <c r="M2868" s="69" t="s">
        <v>286</v>
      </c>
      <c r="N2868" s="95"/>
      <c r="P2868" t="s">
        <v>95</v>
      </c>
      <c r="Q2868" t="s">
        <v>120</v>
      </c>
      <c r="R2868" s="92" t="s">
        <v>69</v>
      </c>
      <c r="S2868" s="92" t="s">
        <v>123</v>
      </c>
      <c r="V2868" s="95">
        <v>43373</v>
      </c>
      <c r="W2868" s="92">
        <v>2030507</v>
      </c>
      <c r="X2868" s="90"/>
      <c r="Y2868" s="123"/>
      <c r="Z2868" s="30">
        <f t="shared" si="88"/>
        <v>6772.6006943194379</v>
      </c>
      <c r="AA2868" s="30">
        <f t="shared" si="89"/>
        <v>2116.4377169748245</v>
      </c>
      <c r="AB2868" t="s">
        <v>457</v>
      </c>
    </row>
    <row r="2869" spans="1:28">
      <c r="A2869" t="s">
        <v>122</v>
      </c>
      <c r="C2869" s="92">
        <v>4615451281</v>
      </c>
      <c r="D2869" s="93">
        <v>19200</v>
      </c>
      <c r="F2869" s="91">
        <v>16</v>
      </c>
      <c r="G2869" s="96">
        <v>5</v>
      </c>
      <c r="H2869" s="94">
        <v>0</v>
      </c>
      <c r="I2869" s="91">
        <v>0</v>
      </c>
      <c r="J2869" s="41"/>
      <c r="K2869" s="41">
        <v>43373</v>
      </c>
      <c r="L2869" s="69" t="s">
        <v>80</v>
      </c>
      <c r="M2869" s="69" t="s">
        <v>286</v>
      </c>
      <c r="N2869" s="95"/>
      <c r="P2869" t="s">
        <v>95</v>
      </c>
      <c r="Q2869" t="s">
        <v>120</v>
      </c>
      <c r="R2869" s="92" t="s">
        <v>69</v>
      </c>
      <c r="S2869" s="92" t="s">
        <v>123</v>
      </c>
      <c r="V2869" s="95">
        <v>43373</v>
      </c>
      <c r="W2869" s="92">
        <v>2030507</v>
      </c>
      <c r="X2869" s="90"/>
      <c r="Y2869" s="123"/>
      <c r="Z2869" s="30">
        <f t="shared" si="88"/>
        <v>6772.6006943194379</v>
      </c>
      <c r="AA2869" s="30">
        <f t="shared" si="89"/>
        <v>2116.4377169748245</v>
      </c>
      <c r="AB2869" t="s">
        <v>457</v>
      </c>
    </row>
    <row r="2870" spans="1:28">
      <c r="A2870" t="s">
        <v>122</v>
      </c>
      <c r="C2870" s="92">
        <v>4615451281</v>
      </c>
      <c r="D2870" s="93">
        <v>19200</v>
      </c>
      <c r="F2870" s="91">
        <v>16</v>
      </c>
      <c r="G2870" s="96">
        <v>5</v>
      </c>
      <c r="H2870" s="94">
        <v>0</v>
      </c>
      <c r="I2870" s="91">
        <v>0</v>
      </c>
      <c r="J2870" s="41"/>
      <c r="K2870" s="41">
        <v>43373</v>
      </c>
      <c r="L2870" s="69" t="s">
        <v>80</v>
      </c>
      <c r="M2870" s="69" t="s">
        <v>286</v>
      </c>
      <c r="N2870" s="95"/>
      <c r="P2870" t="s">
        <v>95</v>
      </c>
      <c r="Q2870" t="s">
        <v>120</v>
      </c>
      <c r="R2870" s="92" t="s">
        <v>69</v>
      </c>
      <c r="S2870" s="92" t="s">
        <v>123</v>
      </c>
      <c r="V2870" s="95">
        <v>43373</v>
      </c>
      <c r="W2870" s="92">
        <v>2030507</v>
      </c>
      <c r="X2870" s="90"/>
      <c r="Y2870" s="123"/>
      <c r="Z2870" s="30">
        <f t="shared" si="88"/>
        <v>6772.6006943194379</v>
      </c>
      <c r="AA2870" s="30">
        <f t="shared" si="89"/>
        <v>2116.4377169748245</v>
      </c>
      <c r="AB2870" t="s">
        <v>457</v>
      </c>
    </row>
    <row r="2871" spans="1:28">
      <c r="A2871" t="s">
        <v>122</v>
      </c>
      <c r="C2871" s="92">
        <v>4615451281</v>
      </c>
      <c r="D2871" s="93">
        <v>19200</v>
      </c>
      <c r="F2871" s="91">
        <v>16</v>
      </c>
      <c r="G2871" s="96">
        <v>5</v>
      </c>
      <c r="H2871" s="94">
        <v>0</v>
      </c>
      <c r="I2871" s="91">
        <v>0</v>
      </c>
      <c r="J2871" s="41"/>
      <c r="K2871" s="41">
        <v>43373</v>
      </c>
      <c r="L2871" s="69" t="s">
        <v>80</v>
      </c>
      <c r="M2871" s="69" t="s">
        <v>286</v>
      </c>
      <c r="N2871" s="95"/>
      <c r="P2871" t="s">
        <v>95</v>
      </c>
      <c r="Q2871" t="s">
        <v>120</v>
      </c>
      <c r="R2871" s="92" t="s">
        <v>69</v>
      </c>
      <c r="S2871" s="92" t="s">
        <v>123</v>
      </c>
      <c r="V2871" s="95">
        <v>43373</v>
      </c>
      <c r="W2871" s="92">
        <v>2030507</v>
      </c>
      <c r="X2871" s="90"/>
      <c r="Y2871" s="123"/>
      <c r="Z2871" s="30">
        <f t="shared" si="88"/>
        <v>6772.6006943194379</v>
      </c>
      <c r="AA2871" s="30">
        <f t="shared" si="89"/>
        <v>2116.4377169748245</v>
      </c>
      <c r="AB2871" t="s">
        <v>457</v>
      </c>
    </row>
    <row r="2872" spans="1:28">
      <c r="A2872" t="s">
        <v>122</v>
      </c>
      <c r="C2872" s="92">
        <v>4615451281</v>
      </c>
      <c r="D2872" s="93">
        <v>19200</v>
      </c>
      <c r="F2872" s="91">
        <v>16</v>
      </c>
      <c r="G2872" s="96">
        <v>5</v>
      </c>
      <c r="H2872" s="94">
        <v>0</v>
      </c>
      <c r="I2872" s="91">
        <v>0</v>
      </c>
      <c r="J2872" s="41"/>
      <c r="K2872" s="41">
        <v>43373</v>
      </c>
      <c r="L2872" s="69" t="s">
        <v>80</v>
      </c>
      <c r="M2872" s="69" t="s">
        <v>286</v>
      </c>
      <c r="N2872" s="95"/>
      <c r="P2872" t="s">
        <v>95</v>
      </c>
      <c r="Q2872" t="s">
        <v>120</v>
      </c>
      <c r="R2872" s="92" t="s">
        <v>69</v>
      </c>
      <c r="S2872" s="92" t="s">
        <v>123</v>
      </c>
      <c r="V2872" s="95">
        <v>43373</v>
      </c>
      <c r="W2872" s="92">
        <v>2030507</v>
      </c>
      <c r="X2872" s="90"/>
      <c r="Y2872" s="123"/>
      <c r="Z2872" s="30">
        <f t="shared" si="88"/>
        <v>6772.6006943194379</v>
      </c>
      <c r="AA2872" s="30">
        <f t="shared" si="89"/>
        <v>2116.4377169748245</v>
      </c>
      <c r="AB2872" t="s">
        <v>457</v>
      </c>
    </row>
    <row r="2873" spans="1:28">
      <c r="A2873" t="s">
        <v>122</v>
      </c>
      <c r="C2873" s="92">
        <v>4615451281</v>
      </c>
      <c r="D2873" s="93">
        <v>19200</v>
      </c>
      <c r="F2873" s="91">
        <v>16</v>
      </c>
      <c r="G2873" s="96">
        <v>5</v>
      </c>
      <c r="H2873" s="94">
        <v>0</v>
      </c>
      <c r="I2873" s="91">
        <v>0</v>
      </c>
      <c r="J2873" s="41"/>
      <c r="K2873" s="41">
        <v>43373</v>
      </c>
      <c r="L2873" s="69" t="s">
        <v>80</v>
      </c>
      <c r="M2873" s="69" t="s">
        <v>286</v>
      </c>
      <c r="N2873" s="95"/>
      <c r="P2873" t="s">
        <v>95</v>
      </c>
      <c r="Q2873" t="s">
        <v>120</v>
      </c>
      <c r="R2873" s="92" t="s">
        <v>69</v>
      </c>
      <c r="S2873" s="92" t="s">
        <v>123</v>
      </c>
      <c r="V2873" s="95">
        <v>43373</v>
      </c>
      <c r="W2873" s="92">
        <v>2030507</v>
      </c>
      <c r="X2873" s="90"/>
      <c r="Y2873" s="123"/>
      <c r="Z2873" s="30">
        <f t="shared" si="88"/>
        <v>6772.6006943194379</v>
      </c>
      <c r="AA2873" s="30">
        <f t="shared" si="89"/>
        <v>2116.4377169748245</v>
      </c>
      <c r="AB2873" t="s">
        <v>457</v>
      </c>
    </row>
    <row r="2874" spans="1:28">
      <c r="A2874" t="s">
        <v>122</v>
      </c>
      <c r="C2874" s="92">
        <v>4615461603</v>
      </c>
      <c r="D2874" s="93">
        <v>19200</v>
      </c>
      <c r="F2874" s="91">
        <v>16</v>
      </c>
      <c r="G2874" s="96">
        <v>5</v>
      </c>
      <c r="H2874" s="94">
        <v>0</v>
      </c>
      <c r="I2874" s="91">
        <v>0</v>
      </c>
      <c r="J2874" s="41"/>
      <c r="K2874" s="41">
        <v>43373</v>
      </c>
      <c r="L2874" s="69" t="s">
        <v>80</v>
      </c>
      <c r="M2874" s="69" t="s">
        <v>286</v>
      </c>
      <c r="N2874" s="95"/>
      <c r="P2874" t="s">
        <v>95</v>
      </c>
      <c r="Q2874" t="s">
        <v>120</v>
      </c>
      <c r="R2874" s="92" t="s">
        <v>69</v>
      </c>
      <c r="S2874" s="92" t="s">
        <v>123</v>
      </c>
      <c r="V2874" s="95">
        <v>43373</v>
      </c>
      <c r="W2874" s="92">
        <v>2030517</v>
      </c>
      <c r="X2874" s="90"/>
      <c r="Y2874" s="123"/>
      <c r="Z2874" s="30">
        <f t="shared" si="88"/>
        <v>6772.6006943194379</v>
      </c>
      <c r="AA2874" s="30">
        <f t="shared" si="89"/>
        <v>2116.4377169748245</v>
      </c>
      <c r="AB2874" t="s">
        <v>457</v>
      </c>
    </row>
    <row r="2875" spans="1:28">
      <c r="A2875" t="s">
        <v>122</v>
      </c>
      <c r="C2875" s="92">
        <v>4615461603</v>
      </c>
      <c r="D2875" s="93">
        <v>19200</v>
      </c>
      <c r="F2875" s="91">
        <v>16</v>
      </c>
      <c r="G2875" s="96">
        <v>5</v>
      </c>
      <c r="H2875" s="94">
        <v>0</v>
      </c>
      <c r="I2875" s="91">
        <v>0</v>
      </c>
      <c r="J2875" s="41"/>
      <c r="K2875" s="41">
        <v>43373</v>
      </c>
      <c r="L2875" s="69" t="s">
        <v>80</v>
      </c>
      <c r="M2875" s="69" t="s">
        <v>286</v>
      </c>
      <c r="N2875" s="95"/>
      <c r="P2875" t="s">
        <v>95</v>
      </c>
      <c r="Q2875" t="s">
        <v>120</v>
      </c>
      <c r="R2875" s="92" t="s">
        <v>69</v>
      </c>
      <c r="S2875" s="92" t="s">
        <v>123</v>
      </c>
      <c r="V2875" s="95">
        <v>43373</v>
      </c>
      <c r="W2875" s="92">
        <v>2030517</v>
      </c>
      <c r="X2875" s="90"/>
      <c r="Y2875" s="123"/>
      <c r="Z2875" s="30">
        <f t="shared" si="88"/>
        <v>6772.6006943194379</v>
      </c>
      <c r="AA2875" s="30">
        <f t="shared" si="89"/>
        <v>2116.4377169748245</v>
      </c>
      <c r="AB2875" t="s">
        <v>457</v>
      </c>
    </row>
    <row r="2876" spans="1:28">
      <c r="A2876" t="s">
        <v>122</v>
      </c>
      <c r="C2876" s="92">
        <v>4615461603</v>
      </c>
      <c r="D2876" s="93">
        <v>19200</v>
      </c>
      <c r="F2876" s="91">
        <v>16</v>
      </c>
      <c r="G2876" s="96">
        <v>5</v>
      </c>
      <c r="H2876" s="94">
        <v>0</v>
      </c>
      <c r="I2876" s="91">
        <v>0</v>
      </c>
      <c r="J2876" s="41"/>
      <c r="K2876" s="41">
        <v>43373</v>
      </c>
      <c r="L2876" s="69" t="s">
        <v>80</v>
      </c>
      <c r="M2876" s="69" t="s">
        <v>286</v>
      </c>
      <c r="N2876" s="95"/>
      <c r="P2876" t="s">
        <v>95</v>
      </c>
      <c r="Q2876" t="s">
        <v>120</v>
      </c>
      <c r="R2876" s="92" t="s">
        <v>69</v>
      </c>
      <c r="S2876" s="92" t="s">
        <v>123</v>
      </c>
      <c r="V2876" s="95">
        <v>43373</v>
      </c>
      <c r="W2876" s="92">
        <v>2030517</v>
      </c>
      <c r="X2876" s="90"/>
      <c r="Y2876" s="123"/>
      <c r="Z2876" s="30">
        <f t="shared" si="88"/>
        <v>6772.6006943194379</v>
      </c>
      <c r="AA2876" s="30">
        <f t="shared" si="89"/>
        <v>2116.4377169748245</v>
      </c>
      <c r="AB2876" t="s">
        <v>457</v>
      </c>
    </row>
    <row r="2877" spans="1:28">
      <c r="A2877" t="s">
        <v>122</v>
      </c>
      <c r="C2877" s="92">
        <v>4615461603</v>
      </c>
      <c r="D2877" s="93">
        <v>19200</v>
      </c>
      <c r="F2877" s="91">
        <v>16</v>
      </c>
      <c r="G2877" s="96">
        <v>5</v>
      </c>
      <c r="H2877" s="94">
        <v>0</v>
      </c>
      <c r="I2877" s="91">
        <v>0</v>
      </c>
      <c r="J2877" s="41"/>
      <c r="K2877" s="41">
        <v>43373</v>
      </c>
      <c r="L2877" s="69" t="s">
        <v>80</v>
      </c>
      <c r="M2877" s="69" t="s">
        <v>286</v>
      </c>
      <c r="N2877" s="95"/>
      <c r="P2877" t="s">
        <v>95</v>
      </c>
      <c r="Q2877" t="s">
        <v>120</v>
      </c>
      <c r="R2877" s="92" t="s">
        <v>69</v>
      </c>
      <c r="S2877" s="92" t="s">
        <v>123</v>
      </c>
      <c r="V2877" s="95">
        <v>43373</v>
      </c>
      <c r="W2877" s="92">
        <v>2030517</v>
      </c>
      <c r="X2877" s="90"/>
      <c r="Y2877" s="123"/>
      <c r="Z2877" s="30">
        <f t="shared" si="88"/>
        <v>6772.6006943194379</v>
      </c>
      <c r="AA2877" s="30">
        <f t="shared" si="89"/>
        <v>2116.4377169748245</v>
      </c>
      <c r="AB2877" t="s">
        <v>457</v>
      </c>
    </row>
    <row r="2878" spans="1:28">
      <c r="A2878" t="s">
        <v>122</v>
      </c>
      <c r="C2878" s="92">
        <v>4615461603</v>
      </c>
      <c r="D2878" s="93">
        <v>19200</v>
      </c>
      <c r="F2878" s="91">
        <v>16</v>
      </c>
      <c r="G2878" s="96">
        <v>5</v>
      </c>
      <c r="H2878" s="94">
        <v>0</v>
      </c>
      <c r="I2878" s="91">
        <v>0</v>
      </c>
      <c r="J2878" s="41"/>
      <c r="K2878" s="41">
        <v>43373</v>
      </c>
      <c r="L2878" s="69" t="s">
        <v>80</v>
      </c>
      <c r="M2878" s="69" t="s">
        <v>286</v>
      </c>
      <c r="N2878" s="95"/>
      <c r="P2878" t="s">
        <v>95</v>
      </c>
      <c r="Q2878" t="s">
        <v>120</v>
      </c>
      <c r="R2878" s="92" t="s">
        <v>69</v>
      </c>
      <c r="S2878" s="92" t="s">
        <v>123</v>
      </c>
      <c r="V2878" s="95">
        <v>43373</v>
      </c>
      <c r="W2878" s="92">
        <v>2030517</v>
      </c>
      <c r="X2878" s="90"/>
      <c r="Y2878" s="123"/>
      <c r="Z2878" s="30">
        <f t="shared" si="88"/>
        <v>6772.6006943194379</v>
      </c>
      <c r="AA2878" s="30">
        <f t="shared" si="89"/>
        <v>2116.4377169748245</v>
      </c>
      <c r="AB2878" t="s">
        <v>457</v>
      </c>
    </row>
    <row r="2879" spans="1:28">
      <c r="A2879" t="s">
        <v>122</v>
      </c>
      <c r="C2879" s="92">
        <v>4615461603</v>
      </c>
      <c r="D2879" s="93">
        <v>19200</v>
      </c>
      <c r="F2879" s="91">
        <v>16</v>
      </c>
      <c r="G2879" s="96">
        <v>5</v>
      </c>
      <c r="H2879" s="94">
        <v>0</v>
      </c>
      <c r="I2879" s="91">
        <v>0</v>
      </c>
      <c r="J2879" s="41"/>
      <c r="K2879" s="41">
        <v>43373</v>
      </c>
      <c r="L2879" s="69" t="s">
        <v>80</v>
      </c>
      <c r="M2879" s="69" t="s">
        <v>286</v>
      </c>
      <c r="N2879" s="95"/>
      <c r="P2879" t="s">
        <v>95</v>
      </c>
      <c r="Q2879" t="s">
        <v>120</v>
      </c>
      <c r="R2879" s="92" t="s">
        <v>69</v>
      </c>
      <c r="S2879" s="92" t="s">
        <v>123</v>
      </c>
      <c r="V2879" s="95">
        <v>43373</v>
      </c>
      <c r="W2879" s="92">
        <v>2030517</v>
      </c>
      <c r="X2879" s="90"/>
      <c r="Y2879" s="123"/>
      <c r="Z2879" s="30">
        <f t="shared" si="88"/>
        <v>6772.6006943194379</v>
      </c>
      <c r="AA2879" s="30">
        <f t="shared" si="89"/>
        <v>2116.4377169748245</v>
      </c>
      <c r="AB2879" t="s">
        <v>457</v>
      </c>
    </row>
    <row r="2880" spans="1:28">
      <c r="A2880" t="s">
        <v>122</v>
      </c>
      <c r="C2880" s="92">
        <v>4615461603</v>
      </c>
      <c r="D2880" s="93">
        <v>19200</v>
      </c>
      <c r="F2880" s="91">
        <v>16</v>
      </c>
      <c r="G2880" s="96">
        <v>5</v>
      </c>
      <c r="H2880" s="94">
        <v>0</v>
      </c>
      <c r="I2880" s="91">
        <v>0</v>
      </c>
      <c r="J2880" s="41"/>
      <c r="K2880" s="41">
        <v>43373</v>
      </c>
      <c r="L2880" s="69" t="s">
        <v>80</v>
      </c>
      <c r="M2880" s="69" t="s">
        <v>286</v>
      </c>
      <c r="N2880" s="95"/>
      <c r="P2880" t="s">
        <v>95</v>
      </c>
      <c r="Q2880" t="s">
        <v>120</v>
      </c>
      <c r="R2880" s="92" t="s">
        <v>69</v>
      </c>
      <c r="S2880" s="92" t="s">
        <v>123</v>
      </c>
      <c r="V2880" s="95">
        <v>43373</v>
      </c>
      <c r="W2880" s="92">
        <v>2030517</v>
      </c>
      <c r="X2880" s="90"/>
      <c r="Y2880" s="123"/>
      <c r="Z2880" s="30">
        <f t="shared" si="88"/>
        <v>6772.6006943194379</v>
      </c>
      <c r="AA2880" s="30">
        <f t="shared" si="89"/>
        <v>2116.4377169748245</v>
      </c>
      <c r="AB2880" t="s">
        <v>457</v>
      </c>
    </row>
    <row r="2881" spans="1:28">
      <c r="A2881" t="s">
        <v>122</v>
      </c>
      <c r="C2881" s="92">
        <v>4615461603</v>
      </c>
      <c r="D2881" s="93">
        <v>19200</v>
      </c>
      <c r="F2881" s="91">
        <v>16</v>
      </c>
      <c r="G2881" s="96">
        <v>5</v>
      </c>
      <c r="H2881" s="94">
        <v>0</v>
      </c>
      <c r="I2881" s="91">
        <v>0</v>
      </c>
      <c r="J2881" s="41"/>
      <c r="K2881" s="41">
        <v>43373</v>
      </c>
      <c r="L2881" s="69" t="s">
        <v>80</v>
      </c>
      <c r="M2881" s="69" t="s">
        <v>286</v>
      </c>
      <c r="N2881" s="95"/>
      <c r="P2881" t="s">
        <v>95</v>
      </c>
      <c r="Q2881" t="s">
        <v>120</v>
      </c>
      <c r="R2881" s="92" t="s">
        <v>69</v>
      </c>
      <c r="S2881" s="92" t="s">
        <v>123</v>
      </c>
      <c r="V2881" s="95">
        <v>43373</v>
      </c>
      <c r="W2881" s="92">
        <v>2030517</v>
      </c>
      <c r="X2881" s="90"/>
      <c r="Y2881" s="123"/>
      <c r="Z2881" s="30">
        <f t="shared" si="88"/>
        <v>6772.6006943194379</v>
      </c>
      <c r="AA2881" s="30">
        <f t="shared" si="89"/>
        <v>2116.4377169748245</v>
      </c>
      <c r="AB2881" t="s">
        <v>457</v>
      </c>
    </row>
    <row r="2882" spans="1:28">
      <c r="A2882" t="s">
        <v>122</v>
      </c>
      <c r="C2882" s="92">
        <v>4615461603</v>
      </c>
      <c r="D2882" s="93">
        <v>19200</v>
      </c>
      <c r="F2882" s="91">
        <v>16</v>
      </c>
      <c r="G2882" s="96">
        <v>5</v>
      </c>
      <c r="H2882" s="94">
        <v>0</v>
      </c>
      <c r="I2882" s="91">
        <v>0</v>
      </c>
      <c r="J2882" s="41"/>
      <c r="K2882" s="41">
        <v>43373</v>
      </c>
      <c r="L2882" s="69" t="s">
        <v>80</v>
      </c>
      <c r="M2882" s="69" t="s">
        <v>286</v>
      </c>
      <c r="N2882" s="95"/>
      <c r="P2882" t="s">
        <v>95</v>
      </c>
      <c r="Q2882" t="s">
        <v>120</v>
      </c>
      <c r="R2882" s="92" t="s">
        <v>69</v>
      </c>
      <c r="S2882" s="92" t="s">
        <v>123</v>
      </c>
      <c r="V2882" s="95">
        <v>43373</v>
      </c>
      <c r="W2882" s="92">
        <v>2030517</v>
      </c>
      <c r="X2882" s="90"/>
      <c r="Y2882" s="123"/>
      <c r="Z2882" s="30">
        <f t="shared" si="88"/>
        <v>6772.6006943194379</v>
      </c>
      <c r="AA2882" s="30">
        <f t="shared" si="89"/>
        <v>2116.4377169748245</v>
      </c>
      <c r="AB2882" t="s">
        <v>457</v>
      </c>
    </row>
    <row r="2883" spans="1:28">
      <c r="A2883" t="s">
        <v>122</v>
      </c>
      <c r="C2883" s="92">
        <v>4615461603</v>
      </c>
      <c r="D2883" s="93">
        <v>19200</v>
      </c>
      <c r="F2883" s="91">
        <v>16</v>
      </c>
      <c r="G2883" s="96">
        <v>5</v>
      </c>
      <c r="H2883" s="94">
        <v>0</v>
      </c>
      <c r="I2883" s="91">
        <v>0</v>
      </c>
      <c r="J2883" s="41"/>
      <c r="K2883" s="41">
        <v>43373</v>
      </c>
      <c r="L2883" s="69" t="s">
        <v>80</v>
      </c>
      <c r="M2883" s="69" t="s">
        <v>286</v>
      </c>
      <c r="N2883" s="95"/>
      <c r="P2883" t="s">
        <v>95</v>
      </c>
      <c r="Q2883" t="s">
        <v>120</v>
      </c>
      <c r="R2883" s="92" t="s">
        <v>69</v>
      </c>
      <c r="S2883" s="92" t="s">
        <v>123</v>
      </c>
      <c r="V2883" s="95">
        <v>43373</v>
      </c>
      <c r="W2883" s="92">
        <v>2030517</v>
      </c>
      <c r="X2883" s="90"/>
      <c r="Y2883" s="123"/>
      <c r="Z2883" s="30">
        <f t="shared" ref="Z2883:Z2946" si="90">CONVERT(D2883,"kg","lbm")*F2883/100</f>
        <v>6772.6006943194379</v>
      </c>
      <c r="AA2883" s="30">
        <f t="shared" ref="AA2883:AA2946" si="91">CONVERT(D2883,"kg","lbm")*G2883/100</f>
        <v>2116.4377169748245</v>
      </c>
      <c r="AB2883" t="s">
        <v>457</v>
      </c>
    </row>
    <row r="2884" spans="1:28">
      <c r="A2884" t="s">
        <v>122</v>
      </c>
      <c r="C2884" s="92">
        <v>4615461603</v>
      </c>
      <c r="D2884" s="93">
        <v>19200</v>
      </c>
      <c r="F2884" s="91">
        <v>16</v>
      </c>
      <c r="G2884" s="96">
        <v>5</v>
      </c>
      <c r="H2884" s="94">
        <v>0</v>
      </c>
      <c r="I2884" s="91">
        <v>0</v>
      </c>
      <c r="J2884" s="41"/>
      <c r="K2884" s="41">
        <v>43373</v>
      </c>
      <c r="L2884" s="69" t="s">
        <v>80</v>
      </c>
      <c r="M2884" s="69" t="s">
        <v>286</v>
      </c>
      <c r="N2884" s="95"/>
      <c r="P2884" t="s">
        <v>95</v>
      </c>
      <c r="Q2884" t="s">
        <v>120</v>
      </c>
      <c r="R2884" s="92" t="s">
        <v>69</v>
      </c>
      <c r="S2884" s="92" t="s">
        <v>123</v>
      </c>
      <c r="V2884" s="95">
        <v>43373</v>
      </c>
      <c r="W2884" s="92">
        <v>2030517</v>
      </c>
      <c r="X2884" s="90"/>
      <c r="Y2884" s="123"/>
      <c r="Z2884" s="30">
        <f t="shared" si="90"/>
        <v>6772.6006943194379</v>
      </c>
      <c r="AA2884" s="30">
        <f t="shared" si="91"/>
        <v>2116.4377169748245</v>
      </c>
      <c r="AB2884" t="s">
        <v>457</v>
      </c>
    </row>
    <row r="2885" spans="1:28">
      <c r="A2885" t="s">
        <v>122</v>
      </c>
      <c r="C2885" s="92">
        <v>4615453893</v>
      </c>
      <c r="D2885" s="93">
        <v>19200</v>
      </c>
      <c r="F2885" s="91">
        <v>16</v>
      </c>
      <c r="G2885" s="96">
        <v>5</v>
      </c>
      <c r="H2885" s="94">
        <v>0</v>
      </c>
      <c r="I2885" s="91">
        <v>0</v>
      </c>
      <c r="J2885" s="41"/>
      <c r="K2885" s="41">
        <v>43373</v>
      </c>
      <c r="L2885" s="69" t="s">
        <v>80</v>
      </c>
      <c r="M2885" s="69" t="s">
        <v>286</v>
      </c>
      <c r="N2885" s="95"/>
      <c r="P2885" t="s">
        <v>95</v>
      </c>
      <c r="Q2885" t="s">
        <v>120</v>
      </c>
      <c r="R2885" s="92" t="s">
        <v>69</v>
      </c>
      <c r="S2885" s="92" t="s">
        <v>123</v>
      </c>
      <c r="V2885" s="95">
        <v>43373</v>
      </c>
      <c r="W2885" s="92">
        <v>2030485</v>
      </c>
      <c r="X2885" s="90"/>
      <c r="Y2885" s="123"/>
      <c r="Z2885" s="30">
        <f t="shared" si="90"/>
        <v>6772.6006943194379</v>
      </c>
      <c r="AA2885" s="30">
        <f t="shared" si="91"/>
        <v>2116.4377169748245</v>
      </c>
      <c r="AB2885" t="s">
        <v>457</v>
      </c>
    </row>
    <row r="2886" spans="1:28">
      <c r="A2886" t="s">
        <v>122</v>
      </c>
      <c r="C2886" s="92">
        <v>4615453893</v>
      </c>
      <c r="D2886" s="93">
        <v>19200</v>
      </c>
      <c r="F2886" s="91">
        <v>16</v>
      </c>
      <c r="G2886" s="96">
        <v>5</v>
      </c>
      <c r="H2886" s="94">
        <v>0</v>
      </c>
      <c r="I2886" s="91">
        <v>0</v>
      </c>
      <c r="J2886" s="41"/>
      <c r="K2886" s="41">
        <v>43373</v>
      </c>
      <c r="L2886" s="69" t="s">
        <v>80</v>
      </c>
      <c r="M2886" s="69" t="s">
        <v>286</v>
      </c>
      <c r="N2886" s="95"/>
      <c r="P2886" t="s">
        <v>95</v>
      </c>
      <c r="Q2886" t="s">
        <v>120</v>
      </c>
      <c r="R2886" s="92" t="s">
        <v>69</v>
      </c>
      <c r="S2886" s="92" t="s">
        <v>123</v>
      </c>
      <c r="V2886" s="95">
        <v>43373</v>
      </c>
      <c r="W2886" s="92">
        <v>2030485</v>
      </c>
      <c r="X2886" s="90"/>
      <c r="Y2886" s="123"/>
      <c r="Z2886" s="30">
        <f t="shared" si="90"/>
        <v>6772.6006943194379</v>
      </c>
      <c r="AA2886" s="30">
        <f t="shared" si="91"/>
        <v>2116.4377169748245</v>
      </c>
      <c r="AB2886" t="s">
        <v>457</v>
      </c>
    </row>
    <row r="2887" spans="1:28">
      <c r="A2887" t="s">
        <v>122</v>
      </c>
      <c r="C2887" s="92">
        <v>4615453893</v>
      </c>
      <c r="D2887" s="93">
        <v>19200</v>
      </c>
      <c r="F2887" s="91">
        <v>16</v>
      </c>
      <c r="G2887" s="96">
        <v>5</v>
      </c>
      <c r="H2887" s="94">
        <v>0</v>
      </c>
      <c r="I2887" s="91">
        <v>0</v>
      </c>
      <c r="J2887" s="41"/>
      <c r="K2887" s="41">
        <v>43373</v>
      </c>
      <c r="L2887" s="69" t="s">
        <v>80</v>
      </c>
      <c r="M2887" s="69" t="s">
        <v>286</v>
      </c>
      <c r="N2887" s="95"/>
      <c r="P2887" t="s">
        <v>95</v>
      </c>
      <c r="Q2887" t="s">
        <v>120</v>
      </c>
      <c r="R2887" s="92" t="s">
        <v>69</v>
      </c>
      <c r="S2887" s="92" t="s">
        <v>123</v>
      </c>
      <c r="V2887" s="95">
        <v>43373</v>
      </c>
      <c r="W2887" s="92">
        <v>2030485</v>
      </c>
      <c r="X2887" s="90"/>
      <c r="Y2887" s="123"/>
      <c r="Z2887" s="30">
        <f t="shared" si="90"/>
        <v>6772.6006943194379</v>
      </c>
      <c r="AA2887" s="30">
        <f t="shared" si="91"/>
        <v>2116.4377169748245</v>
      </c>
      <c r="AB2887" t="s">
        <v>457</v>
      </c>
    </row>
    <row r="2888" spans="1:28">
      <c r="A2888" t="s">
        <v>122</v>
      </c>
      <c r="C2888" s="92">
        <v>4615453893</v>
      </c>
      <c r="D2888" s="93">
        <v>19200</v>
      </c>
      <c r="F2888" s="91">
        <v>16</v>
      </c>
      <c r="G2888" s="96">
        <v>5</v>
      </c>
      <c r="H2888" s="94">
        <v>0</v>
      </c>
      <c r="I2888" s="91">
        <v>0</v>
      </c>
      <c r="J2888" s="41"/>
      <c r="K2888" s="41">
        <v>43373</v>
      </c>
      <c r="L2888" s="69" t="s">
        <v>80</v>
      </c>
      <c r="M2888" s="69" t="s">
        <v>286</v>
      </c>
      <c r="N2888" s="95"/>
      <c r="P2888" t="s">
        <v>95</v>
      </c>
      <c r="Q2888" t="s">
        <v>120</v>
      </c>
      <c r="R2888" s="92" t="s">
        <v>69</v>
      </c>
      <c r="S2888" s="92" t="s">
        <v>123</v>
      </c>
      <c r="V2888" s="95">
        <v>43373</v>
      </c>
      <c r="W2888" s="92">
        <v>2030485</v>
      </c>
      <c r="X2888" s="90"/>
      <c r="Y2888" s="123"/>
      <c r="Z2888" s="30">
        <f t="shared" si="90"/>
        <v>6772.6006943194379</v>
      </c>
      <c r="AA2888" s="30">
        <f t="shared" si="91"/>
        <v>2116.4377169748245</v>
      </c>
      <c r="AB2888" t="s">
        <v>457</v>
      </c>
    </row>
    <row r="2889" spans="1:28">
      <c r="A2889" t="s">
        <v>122</v>
      </c>
      <c r="C2889" s="92">
        <v>4615453893</v>
      </c>
      <c r="D2889" s="93">
        <v>19200</v>
      </c>
      <c r="F2889" s="91">
        <v>16</v>
      </c>
      <c r="G2889" s="96">
        <v>5</v>
      </c>
      <c r="H2889" s="94">
        <v>0</v>
      </c>
      <c r="I2889" s="91">
        <v>0</v>
      </c>
      <c r="J2889" s="41"/>
      <c r="K2889" s="41">
        <v>43373</v>
      </c>
      <c r="L2889" s="69" t="s">
        <v>80</v>
      </c>
      <c r="M2889" s="69" t="s">
        <v>286</v>
      </c>
      <c r="N2889" s="95"/>
      <c r="P2889" t="s">
        <v>95</v>
      </c>
      <c r="Q2889" t="s">
        <v>120</v>
      </c>
      <c r="R2889" s="92" t="s">
        <v>69</v>
      </c>
      <c r="S2889" s="92" t="s">
        <v>123</v>
      </c>
      <c r="V2889" s="95">
        <v>43373</v>
      </c>
      <c r="W2889" s="92">
        <v>2030485</v>
      </c>
      <c r="X2889" s="90"/>
      <c r="Y2889" s="123"/>
      <c r="Z2889" s="30">
        <f t="shared" si="90"/>
        <v>6772.6006943194379</v>
      </c>
      <c r="AA2889" s="30">
        <f t="shared" si="91"/>
        <v>2116.4377169748245</v>
      </c>
      <c r="AB2889" t="s">
        <v>457</v>
      </c>
    </row>
    <row r="2890" spans="1:28">
      <c r="A2890" t="s">
        <v>122</v>
      </c>
      <c r="C2890" s="92">
        <v>4615453893</v>
      </c>
      <c r="D2890" s="93">
        <v>19200</v>
      </c>
      <c r="F2890" s="91">
        <v>16</v>
      </c>
      <c r="G2890" s="96">
        <v>5</v>
      </c>
      <c r="H2890" s="94">
        <v>0</v>
      </c>
      <c r="I2890" s="91">
        <v>0</v>
      </c>
      <c r="J2890" s="41"/>
      <c r="K2890" s="41">
        <v>43373</v>
      </c>
      <c r="L2890" s="69" t="s">
        <v>80</v>
      </c>
      <c r="M2890" s="69" t="s">
        <v>286</v>
      </c>
      <c r="N2890" s="95"/>
      <c r="P2890" t="s">
        <v>95</v>
      </c>
      <c r="Q2890" t="s">
        <v>120</v>
      </c>
      <c r="R2890" s="92" t="s">
        <v>69</v>
      </c>
      <c r="S2890" s="92" t="s">
        <v>123</v>
      </c>
      <c r="V2890" s="95">
        <v>43373</v>
      </c>
      <c r="W2890" s="92">
        <v>2030485</v>
      </c>
      <c r="X2890" s="90"/>
      <c r="Y2890" s="123"/>
      <c r="Z2890" s="30">
        <f t="shared" si="90"/>
        <v>6772.6006943194379</v>
      </c>
      <c r="AA2890" s="30">
        <f t="shared" si="91"/>
        <v>2116.4377169748245</v>
      </c>
      <c r="AB2890" t="s">
        <v>457</v>
      </c>
    </row>
    <row r="2891" spans="1:28">
      <c r="A2891" t="s">
        <v>122</v>
      </c>
      <c r="C2891" s="92">
        <v>4615453893</v>
      </c>
      <c r="D2891" s="93">
        <v>19200</v>
      </c>
      <c r="F2891" s="91">
        <v>16</v>
      </c>
      <c r="G2891" s="96">
        <v>5</v>
      </c>
      <c r="H2891" s="94">
        <v>0</v>
      </c>
      <c r="I2891" s="91">
        <v>0</v>
      </c>
      <c r="J2891" s="41"/>
      <c r="K2891" s="41">
        <v>43373</v>
      </c>
      <c r="L2891" s="69" t="s">
        <v>80</v>
      </c>
      <c r="M2891" s="69" t="s">
        <v>286</v>
      </c>
      <c r="N2891" s="95"/>
      <c r="P2891" t="s">
        <v>95</v>
      </c>
      <c r="Q2891" t="s">
        <v>120</v>
      </c>
      <c r="R2891" s="92" t="s">
        <v>69</v>
      </c>
      <c r="S2891" s="92" t="s">
        <v>123</v>
      </c>
      <c r="V2891" s="95">
        <v>43373</v>
      </c>
      <c r="W2891" s="92">
        <v>2030485</v>
      </c>
      <c r="X2891" s="90"/>
      <c r="Y2891" s="123"/>
      <c r="Z2891" s="30">
        <f t="shared" si="90"/>
        <v>6772.6006943194379</v>
      </c>
      <c r="AA2891" s="30">
        <f t="shared" si="91"/>
        <v>2116.4377169748245</v>
      </c>
      <c r="AB2891" t="s">
        <v>457</v>
      </c>
    </row>
    <row r="2892" spans="1:28">
      <c r="A2892" t="s">
        <v>122</v>
      </c>
      <c r="C2892" s="92">
        <v>4615453893</v>
      </c>
      <c r="D2892" s="93">
        <v>19200</v>
      </c>
      <c r="F2892" s="91">
        <v>16</v>
      </c>
      <c r="G2892" s="96">
        <v>5</v>
      </c>
      <c r="H2892" s="94">
        <v>0</v>
      </c>
      <c r="I2892" s="91">
        <v>0</v>
      </c>
      <c r="J2892" s="41"/>
      <c r="K2892" s="41">
        <v>43373</v>
      </c>
      <c r="L2892" s="69" t="s">
        <v>80</v>
      </c>
      <c r="M2892" s="69" t="s">
        <v>286</v>
      </c>
      <c r="N2892" s="95"/>
      <c r="P2892" t="s">
        <v>95</v>
      </c>
      <c r="Q2892" t="s">
        <v>120</v>
      </c>
      <c r="R2892" s="92" t="s">
        <v>69</v>
      </c>
      <c r="S2892" s="92" t="s">
        <v>123</v>
      </c>
      <c r="V2892" s="95">
        <v>43373</v>
      </c>
      <c r="W2892" s="92">
        <v>2030485</v>
      </c>
      <c r="X2892" s="90"/>
      <c r="Y2892" s="123"/>
      <c r="Z2892" s="30">
        <f t="shared" si="90"/>
        <v>6772.6006943194379</v>
      </c>
      <c r="AA2892" s="30">
        <f t="shared" si="91"/>
        <v>2116.4377169748245</v>
      </c>
      <c r="AB2892" t="s">
        <v>457</v>
      </c>
    </row>
    <row r="2893" spans="1:28">
      <c r="A2893" t="s">
        <v>122</v>
      </c>
      <c r="C2893" s="92">
        <v>4615453893</v>
      </c>
      <c r="D2893" s="93">
        <v>19200</v>
      </c>
      <c r="F2893" s="91">
        <v>16</v>
      </c>
      <c r="G2893" s="96">
        <v>5</v>
      </c>
      <c r="H2893" s="94">
        <v>0</v>
      </c>
      <c r="I2893" s="91">
        <v>0</v>
      </c>
      <c r="J2893" s="41"/>
      <c r="K2893" s="41">
        <v>43373</v>
      </c>
      <c r="L2893" s="69" t="s">
        <v>80</v>
      </c>
      <c r="M2893" s="69" t="s">
        <v>286</v>
      </c>
      <c r="N2893" s="95"/>
      <c r="P2893" t="s">
        <v>95</v>
      </c>
      <c r="Q2893" t="s">
        <v>120</v>
      </c>
      <c r="R2893" s="92" t="s">
        <v>69</v>
      </c>
      <c r="S2893" s="92" t="s">
        <v>123</v>
      </c>
      <c r="V2893" s="95">
        <v>43373</v>
      </c>
      <c r="W2893" s="92">
        <v>2030485</v>
      </c>
      <c r="X2893" s="90"/>
      <c r="Y2893" s="123"/>
      <c r="Z2893" s="30">
        <f t="shared" si="90"/>
        <v>6772.6006943194379</v>
      </c>
      <c r="AA2893" s="30">
        <f t="shared" si="91"/>
        <v>2116.4377169748245</v>
      </c>
      <c r="AB2893" t="s">
        <v>457</v>
      </c>
    </row>
    <row r="2894" spans="1:28">
      <c r="A2894" t="s">
        <v>122</v>
      </c>
      <c r="C2894" s="92">
        <v>4615453893</v>
      </c>
      <c r="D2894" s="93">
        <v>19200</v>
      </c>
      <c r="F2894" s="91">
        <v>16</v>
      </c>
      <c r="G2894" s="96">
        <v>5</v>
      </c>
      <c r="H2894" s="94">
        <v>0</v>
      </c>
      <c r="I2894" s="91">
        <v>0</v>
      </c>
      <c r="J2894" s="41"/>
      <c r="K2894" s="41">
        <v>43373</v>
      </c>
      <c r="L2894" s="69" t="s">
        <v>80</v>
      </c>
      <c r="M2894" s="69" t="s">
        <v>286</v>
      </c>
      <c r="N2894" s="95"/>
      <c r="P2894" t="s">
        <v>95</v>
      </c>
      <c r="Q2894" t="s">
        <v>120</v>
      </c>
      <c r="R2894" s="92" t="s">
        <v>69</v>
      </c>
      <c r="S2894" s="92" t="s">
        <v>123</v>
      </c>
      <c r="V2894" s="95">
        <v>43373</v>
      </c>
      <c r="W2894" s="92">
        <v>2030485</v>
      </c>
      <c r="X2894" s="90"/>
      <c r="Y2894" s="123"/>
      <c r="Z2894" s="30">
        <f t="shared" si="90"/>
        <v>6772.6006943194379</v>
      </c>
      <c r="AA2894" s="30">
        <f t="shared" si="91"/>
        <v>2116.4377169748245</v>
      </c>
      <c r="AB2894" t="s">
        <v>457</v>
      </c>
    </row>
    <row r="2895" spans="1:28">
      <c r="A2895" t="s">
        <v>122</v>
      </c>
      <c r="C2895" s="92">
        <v>4615482557</v>
      </c>
      <c r="D2895" s="93">
        <v>19200</v>
      </c>
      <c r="F2895" s="91">
        <v>16</v>
      </c>
      <c r="G2895" s="96">
        <v>5</v>
      </c>
      <c r="H2895" s="94">
        <v>0</v>
      </c>
      <c r="I2895" s="91">
        <v>0</v>
      </c>
      <c r="J2895" s="41"/>
      <c r="K2895" s="41">
        <v>43373</v>
      </c>
      <c r="L2895" s="69" t="s">
        <v>80</v>
      </c>
      <c r="M2895" s="69" t="s">
        <v>286</v>
      </c>
      <c r="N2895" s="95"/>
      <c r="P2895" t="s">
        <v>95</v>
      </c>
      <c r="Q2895" t="s">
        <v>120</v>
      </c>
      <c r="R2895" s="92" t="s">
        <v>69</v>
      </c>
      <c r="S2895" s="92" t="s">
        <v>123</v>
      </c>
      <c r="V2895" s="95">
        <v>43373</v>
      </c>
      <c r="W2895" s="92">
        <v>2030496</v>
      </c>
      <c r="X2895" s="90"/>
      <c r="Y2895" s="123"/>
      <c r="Z2895" s="30">
        <f t="shared" si="90"/>
        <v>6772.6006943194379</v>
      </c>
      <c r="AA2895" s="30">
        <f t="shared" si="91"/>
        <v>2116.4377169748245</v>
      </c>
      <c r="AB2895" t="s">
        <v>457</v>
      </c>
    </row>
    <row r="2896" spans="1:28">
      <c r="A2896" t="s">
        <v>122</v>
      </c>
      <c r="C2896" s="92">
        <v>4615482557</v>
      </c>
      <c r="D2896" s="93">
        <v>19200</v>
      </c>
      <c r="F2896" s="91">
        <v>16</v>
      </c>
      <c r="G2896" s="96">
        <v>5</v>
      </c>
      <c r="H2896" s="94">
        <v>0</v>
      </c>
      <c r="I2896" s="91">
        <v>0</v>
      </c>
      <c r="J2896" s="41"/>
      <c r="K2896" s="41">
        <v>43373</v>
      </c>
      <c r="L2896" s="69" t="s">
        <v>80</v>
      </c>
      <c r="M2896" s="69" t="s">
        <v>286</v>
      </c>
      <c r="N2896" s="95"/>
      <c r="P2896" t="s">
        <v>95</v>
      </c>
      <c r="Q2896" t="s">
        <v>120</v>
      </c>
      <c r="R2896" s="92" t="s">
        <v>69</v>
      </c>
      <c r="S2896" s="92" t="s">
        <v>123</v>
      </c>
      <c r="V2896" s="95">
        <v>43373</v>
      </c>
      <c r="W2896" s="92">
        <v>2030496</v>
      </c>
      <c r="X2896" s="90"/>
      <c r="Y2896" s="123"/>
      <c r="Z2896" s="30">
        <f t="shared" si="90"/>
        <v>6772.6006943194379</v>
      </c>
      <c r="AA2896" s="30">
        <f t="shared" si="91"/>
        <v>2116.4377169748245</v>
      </c>
      <c r="AB2896" t="s">
        <v>457</v>
      </c>
    </row>
    <row r="2897" spans="1:28">
      <c r="A2897" t="s">
        <v>122</v>
      </c>
      <c r="C2897" s="92">
        <v>4615482557</v>
      </c>
      <c r="D2897" s="93">
        <v>19200</v>
      </c>
      <c r="F2897" s="91">
        <v>16</v>
      </c>
      <c r="G2897" s="96">
        <v>5</v>
      </c>
      <c r="H2897" s="94">
        <v>0</v>
      </c>
      <c r="I2897" s="91">
        <v>0</v>
      </c>
      <c r="J2897" s="41"/>
      <c r="K2897" s="41">
        <v>43373</v>
      </c>
      <c r="L2897" s="69" t="s">
        <v>80</v>
      </c>
      <c r="M2897" s="69" t="s">
        <v>286</v>
      </c>
      <c r="N2897" s="95"/>
      <c r="P2897" t="s">
        <v>95</v>
      </c>
      <c r="Q2897" t="s">
        <v>120</v>
      </c>
      <c r="R2897" s="92" t="s">
        <v>69</v>
      </c>
      <c r="S2897" s="92" t="s">
        <v>123</v>
      </c>
      <c r="V2897" s="95">
        <v>43373</v>
      </c>
      <c r="W2897" s="92">
        <v>2030496</v>
      </c>
      <c r="X2897" s="90"/>
      <c r="Y2897" s="123"/>
      <c r="Z2897" s="30">
        <f t="shared" si="90"/>
        <v>6772.6006943194379</v>
      </c>
      <c r="AA2897" s="30">
        <f t="shared" si="91"/>
        <v>2116.4377169748245</v>
      </c>
      <c r="AB2897" t="s">
        <v>457</v>
      </c>
    </row>
    <row r="2898" spans="1:28">
      <c r="A2898" t="s">
        <v>113</v>
      </c>
      <c r="C2898" s="92">
        <v>4615445391</v>
      </c>
      <c r="D2898" s="93">
        <v>19175</v>
      </c>
      <c r="F2898" s="91">
        <v>16</v>
      </c>
      <c r="G2898" s="91">
        <v>0</v>
      </c>
      <c r="H2898" s="91">
        <v>0</v>
      </c>
      <c r="I2898" s="91">
        <v>0</v>
      </c>
      <c r="J2898" s="41"/>
      <c r="K2898" s="41">
        <v>43373</v>
      </c>
      <c r="L2898" s="69" t="s">
        <v>80</v>
      </c>
      <c r="M2898" s="69" t="s">
        <v>286</v>
      </c>
      <c r="N2898" s="95"/>
      <c r="P2898" t="s">
        <v>95</v>
      </c>
      <c r="Q2898" t="s">
        <v>110</v>
      </c>
      <c r="R2898" s="92" t="s">
        <v>69</v>
      </c>
      <c r="S2898" s="92" t="s">
        <v>115</v>
      </c>
      <c r="V2898" s="95">
        <v>43373</v>
      </c>
      <c r="W2898" s="92" t="s">
        <v>375</v>
      </c>
      <c r="X2898" s="90"/>
      <c r="Y2898" s="123"/>
      <c r="Z2898" s="30">
        <f t="shared" si="90"/>
        <v>6763.7822038320437</v>
      </c>
      <c r="AA2898" s="30">
        <f t="shared" si="91"/>
        <v>0</v>
      </c>
      <c r="AB2898" t="s">
        <v>457</v>
      </c>
    </row>
    <row r="2899" spans="1:28">
      <c r="A2899" t="s">
        <v>113</v>
      </c>
      <c r="C2899" s="92">
        <v>4615445391</v>
      </c>
      <c r="D2899" s="93">
        <v>19175</v>
      </c>
      <c r="F2899" s="91">
        <v>16</v>
      </c>
      <c r="G2899" s="91">
        <v>0</v>
      </c>
      <c r="H2899" s="91">
        <v>0</v>
      </c>
      <c r="I2899" s="91">
        <v>0</v>
      </c>
      <c r="J2899" s="41"/>
      <c r="K2899" s="41">
        <v>43373</v>
      </c>
      <c r="L2899" s="69" t="s">
        <v>80</v>
      </c>
      <c r="M2899" s="69" t="s">
        <v>286</v>
      </c>
      <c r="N2899" s="95"/>
      <c r="P2899" t="s">
        <v>95</v>
      </c>
      <c r="Q2899" t="s">
        <v>110</v>
      </c>
      <c r="R2899" s="92" t="s">
        <v>69</v>
      </c>
      <c r="S2899" s="92" t="s">
        <v>115</v>
      </c>
      <c r="V2899" s="95">
        <v>43373</v>
      </c>
      <c r="W2899" s="92" t="s">
        <v>375</v>
      </c>
      <c r="X2899" s="90"/>
      <c r="Y2899" s="123"/>
      <c r="Z2899" s="30">
        <f t="shared" si="90"/>
        <v>6763.7822038320437</v>
      </c>
      <c r="AA2899" s="30">
        <f t="shared" si="91"/>
        <v>0</v>
      </c>
      <c r="AB2899" t="s">
        <v>457</v>
      </c>
    </row>
    <row r="2900" spans="1:28">
      <c r="A2900" t="s">
        <v>113</v>
      </c>
      <c r="C2900" s="92">
        <v>4615445391</v>
      </c>
      <c r="D2900" s="93">
        <v>19175</v>
      </c>
      <c r="F2900" s="91">
        <v>16</v>
      </c>
      <c r="G2900" s="91">
        <v>0</v>
      </c>
      <c r="H2900" s="91">
        <v>0</v>
      </c>
      <c r="I2900" s="91">
        <v>0</v>
      </c>
      <c r="J2900" s="41"/>
      <c r="K2900" s="41">
        <v>43373</v>
      </c>
      <c r="L2900" s="69" t="s">
        <v>80</v>
      </c>
      <c r="M2900" s="69" t="s">
        <v>286</v>
      </c>
      <c r="N2900" s="95"/>
      <c r="P2900" t="s">
        <v>95</v>
      </c>
      <c r="Q2900" t="s">
        <v>110</v>
      </c>
      <c r="R2900" s="92" t="s">
        <v>69</v>
      </c>
      <c r="S2900" s="92" t="s">
        <v>115</v>
      </c>
      <c r="V2900" s="95">
        <v>43373</v>
      </c>
      <c r="W2900" s="92" t="s">
        <v>375</v>
      </c>
      <c r="X2900" s="90"/>
      <c r="Y2900" s="123"/>
      <c r="Z2900" s="30">
        <f t="shared" si="90"/>
        <v>6763.7822038320437</v>
      </c>
      <c r="AA2900" s="30">
        <f t="shared" si="91"/>
        <v>0</v>
      </c>
      <c r="AB2900" t="s">
        <v>457</v>
      </c>
    </row>
    <row r="2901" spans="1:28">
      <c r="A2901" t="s">
        <v>113</v>
      </c>
      <c r="C2901" s="92">
        <v>4615445391</v>
      </c>
      <c r="D2901" s="93">
        <v>19175</v>
      </c>
      <c r="F2901" s="91">
        <v>16</v>
      </c>
      <c r="G2901" s="91">
        <v>0</v>
      </c>
      <c r="H2901" s="91">
        <v>0</v>
      </c>
      <c r="I2901" s="91">
        <v>0</v>
      </c>
      <c r="J2901" s="41"/>
      <c r="K2901" s="41">
        <v>43373</v>
      </c>
      <c r="L2901" s="69" t="s">
        <v>80</v>
      </c>
      <c r="M2901" s="69" t="s">
        <v>286</v>
      </c>
      <c r="N2901" s="95"/>
      <c r="P2901" t="s">
        <v>95</v>
      </c>
      <c r="Q2901" t="s">
        <v>110</v>
      </c>
      <c r="R2901" s="92" t="s">
        <v>69</v>
      </c>
      <c r="S2901" s="92" t="s">
        <v>115</v>
      </c>
      <c r="V2901" s="95">
        <v>43373</v>
      </c>
      <c r="W2901" s="92" t="s">
        <v>375</v>
      </c>
      <c r="X2901" s="90"/>
      <c r="Y2901" s="123"/>
      <c r="Z2901" s="30">
        <f t="shared" si="90"/>
        <v>6763.7822038320437</v>
      </c>
      <c r="AA2901" s="30">
        <f t="shared" si="91"/>
        <v>0</v>
      </c>
      <c r="AB2901" t="s">
        <v>457</v>
      </c>
    </row>
    <row r="2902" spans="1:28">
      <c r="A2902" t="s">
        <v>113</v>
      </c>
      <c r="C2902" s="92">
        <v>4615445391</v>
      </c>
      <c r="D2902" s="93">
        <v>19175</v>
      </c>
      <c r="F2902" s="91">
        <v>16</v>
      </c>
      <c r="G2902" s="91">
        <v>0</v>
      </c>
      <c r="H2902" s="91">
        <v>0</v>
      </c>
      <c r="I2902" s="91">
        <v>0</v>
      </c>
      <c r="J2902" s="41"/>
      <c r="K2902" s="41">
        <v>43373</v>
      </c>
      <c r="L2902" s="69" t="s">
        <v>80</v>
      </c>
      <c r="M2902" s="69" t="s">
        <v>286</v>
      </c>
      <c r="N2902" s="95"/>
      <c r="P2902" t="s">
        <v>95</v>
      </c>
      <c r="Q2902" t="s">
        <v>110</v>
      </c>
      <c r="R2902" s="92" t="s">
        <v>69</v>
      </c>
      <c r="S2902" s="92" t="s">
        <v>115</v>
      </c>
      <c r="V2902" s="95">
        <v>43373</v>
      </c>
      <c r="W2902" s="92" t="s">
        <v>375</v>
      </c>
      <c r="X2902" s="90"/>
      <c r="Y2902" s="123"/>
      <c r="Z2902" s="30">
        <f t="shared" si="90"/>
        <v>6763.7822038320437</v>
      </c>
      <c r="AA2902" s="30">
        <f t="shared" si="91"/>
        <v>0</v>
      </c>
      <c r="AB2902" t="s">
        <v>457</v>
      </c>
    </row>
    <row r="2903" spans="1:28">
      <c r="A2903" t="s">
        <v>113</v>
      </c>
      <c r="C2903" s="92">
        <v>4615445391</v>
      </c>
      <c r="D2903" s="93">
        <v>19175</v>
      </c>
      <c r="F2903" s="91">
        <v>16</v>
      </c>
      <c r="G2903" s="91">
        <v>0</v>
      </c>
      <c r="H2903" s="91">
        <v>0</v>
      </c>
      <c r="I2903" s="91">
        <v>0</v>
      </c>
      <c r="J2903" s="41"/>
      <c r="K2903" s="41">
        <v>43373</v>
      </c>
      <c r="L2903" s="69" t="s">
        <v>80</v>
      </c>
      <c r="M2903" s="69" t="s">
        <v>286</v>
      </c>
      <c r="N2903" s="95"/>
      <c r="P2903" t="s">
        <v>95</v>
      </c>
      <c r="Q2903" t="s">
        <v>110</v>
      </c>
      <c r="R2903" s="92" t="s">
        <v>69</v>
      </c>
      <c r="S2903" s="92" t="s">
        <v>115</v>
      </c>
      <c r="V2903" s="95">
        <v>43373</v>
      </c>
      <c r="W2903" s="92" t="s">
        <v>375</v>
      </c>
      <c r="X2903" s="90"/>
      <c r="Y2903" s="123"/>
      <c r="Z2903" s="30">
        <f t="shared" si="90"/>
        <v>6763.7822038320437</v>
      </c>
      <c r="AA2903" s="30">
        <f t="shared" si="91"/>
        <v>0</v>
      </c>
      <c r="AB2903" t="s">
        <v>457</v>
      </c>
    </row>
    <row r="2904" spans="1:28">
      <c r="A2904" t="s">
        <v>113</v>
      </c>
      <c r="C2904" s="92">
        <v>4615445391</v>
      </c>
      <c r="D2904" s="93">
        <v>19175</v>
      </c>
      <c r="F2904" s="91">
        <v>16</v>
      </c>
      <c r="G2904" s="91">
        <v>0</v>
      </c>
      <c r="H2904" s="91">
        <v>0</v>
      </c>
      <c r="I2904" s="91">
        <v>0</v>
      </c>
      <c r="J2904" s="41"/>
      <c r="K2904" s="41">
        <v>43373</v>
      </c>
      <c r="L2904" s="69" t="s">
        <v>80</v>
      </c>
      <c r="M2904" s="69" t="s">
        <v>286</v>
      </c>
      <c r="N2904" s="95"/>
      <c r="P2904" t="s">
        <v>95</v>
      </c>
      <c r="Q2904" t="s">
        <v>110</v>
      </c>
      <c r="R2904" s="92" t="s">
        <v>69</v>
      </c>
      <c r="S2904" s="92" t="s">
        <v>115</v>
      </c>
      <c r="V2904" s="95">
        <v>43373</v>
      </c>
      <c r="W2904" s="92" t="s">
        <v>375</v>
      </c>
      <c r="X2904" s="90"/>
      <c r="Y2904" s="123"/>
      <c r="Z2904" s="30">
        <f t="shared" si="90"/>
        <v>6763.7822038320437</v>
      </c>
      <c r="AA2904" s="30">
        <f t="shared" si="91"/>
        <v>0</v>
      </c>
      <c r="AB2904" t="s">
        <v>457</v>
      </c>
    </row>
    <row r="2905" spans="1:28">
      <c r="A2905" t="s">
        <v>113</v>
      </c>
      <c r="C2905" s="92">
        <v>4615445391</v>
      </c>
      <c r="D2905" s="93">
        <v>19175</v>
      </c>
      <c r="F2905" s="91">
        <v>16</v>
      </c>
      <c r="G2905" s="91">
        <v>0</v>
      </c>
      <c r="H2905" s="91">
        <v>0</v>
      </c>
      <c r="I2905" s="91">
        <v>0</v>
      </c>
      <c r="J2905" s="41"/>
      <c r="K2905" s="41">
        <v>43373</v>
      </c>
      <c r="L2905" s="69" t="s">
        <v>80</v>
      </c>
      <c r="M2905" s="69" t="s">
        <v>286</v>
      </c>
      <c r="N2905" s="95"/>
      <c r="P2905" t="s">
        <v>95</v>
      </c>
      <c r="Q2905" t="s">
        <v>110</v>
      </c>
      <c r="R2905" s="92" t="s">
        <v>69</v>
      </c>
      <c r="S2905" s="92" t="s">
        <v>115</v>
      </c>
      <c r="V2905" s="95">
        <v>43373</v>
      </c>
      <c r="W2905" s="92" t="s">
        <v>375</v>
      </c>
      <c r="X2905" s="90"/>
      <c r="Y2905" s="123"/>
      <c r="Z2905" s="30">
        <f t="shared" si="90"/>
        <v>6763.7822038320437</v>
      </c>
      <c r="AA2905" s="30">
        <f t="shared" si="91"/>
        <v>0</v>
      </c>
      <c r="AB2905" t="s">
        <v>457</v>
      </c>
    </row>
    <row r="2906" spans="1:28">
      <c r="A2906" t="s">
        <v>113</v>
      </c>
      <c r="C2906" s="92">
        <v>4615445391</v>
      </c>
      <c r="D2906" s="93">
        <v>19175</v>
      </c>
      <c r="F2906" s="91">
        <v>16</v>
      </c>
      <c r="G2906" s="91">
        <v>0</v>
      </c>
      <c r="H2906" s="91">
        <v>0</v>
      </c>
      <c r="I2906" s="91">
        <v>0</v>
      </c>
      <c r="J2906" s="41"/>
      <c r="K2906" s="41">
        <v>43373</v>
      </c>
      <c r="L2906" s="69" t="s">
        <v>80</v>
      </c>
      <c r="M2906" s="69" t="s">
        <v>286</v>
      </c>
      <c r="N2906" s="95"/>
      <c r="P2906" t="s">
        <v>95</v>
      </c>
      <c r="Q2906" t="s">
        <v>110</v>
      </c>
      <c r="R2906" s="92" t="s">
        <v>69</v>
      </c>
      <c r="S2906" s="92" t="s">
        <v>115</v>
      </c>
      <c r="V2906" s="95">
        <v>43373</v>
      </c>
      <c r="W2906" s="92" t="s">
        <v>375</v>
      </c>
      <c r="X2906" s="90"/>
      <c r="Y2906" s="123"/>
      <c r="Z2906" s="30">
        <f t="shared" si="90"/>
        <v>6763.7822038320437</v>
      </c>
      <c r="AA2906" s="30">
        <f t="shared" si="91"/>
        <v>0</v>
      </c>
      <c r="AB2906" t="s">
        <v>457</v>
      </c>
    </row>
    <row r="2907" spans="1:28">
      <c r="A2907" t="s">
        <v>113</v>
      </c>
      <c r="C2907" s="92">
        <v>4615445391</v>
      </c>
      <c r="D2907" s="93">
        <v>19175</v>
      </c>
      <c r="F2907" s="91">
        <v>16</v>
      </c>
      <c r="G2907" s="91">
        <v>0</v>
      </c>
      <c r="H2907" s="91">
        <v>0</v>
      </c>
      <c r="I2907" s="91">
        <v>0</v>
      </c>
      <c r="J2907" s="41"/>
      <c r="K2907" s="41">
        <v>43373</v>
      </c>
      <c r="L2907" s="69" t="s">
        <v>80</v>
      </c>
      <c r="M2907" s="69" t="s">
        <v>286</v>
      </c>
      <c r="N2907" s="95"/>
      <c r="P2907" t="s">
        <v>95</v>
      </c>
      <c r="Q2907" t="s">
        <v>110</v>
      </c>
      <c r="R2907" s="92" t="s">
        <v>69</v>
      </c>
      <c r="S2907" s="92" t="s">
        <v>115</v>
      </c>
      <c r="V2907" s="95">
        <v>43373</v>
      </c>
      <c r="W2907" s="92" t="s">
        <v>375</v>
      </c>
      <c r="X2907" s="90"/>
      <c r="Y2907" s="123"/>
      <c r="Z2907" s="30">
        <f t="shared" si="90"/>
        <v>6763.7822038320437</v>
      </c>
      <c r="AA2907" s="30">
        <f t="shared" si="91"/>
        <v>0</v>
      </c>
      <c r="AB2907" t="s">
        <v>457</v>
      </c>
    </row>
    <row r="2908" spans="1:28">
      <c r="A2908" t="s">
        <v>113</v>
      </c>
      <c r="C2908" s="92">
        <v>4615449841</v>
      </c>
      <c r="D2908" s="93">
        <v>19175</v>
      </c>
      <c r="F2908" s="106">
        <v>16</v>
      </c>
      <c r="G2908" s="96">
        <v>0</v>
      </c>
      <c r="H2908" s="94">
        <v>0</v>
      </c>
      <c r="I2908" s="91">
        <v>0</v>
      </c>
      <c r="J2908" s="41"/>
      <c r="K2908" s="41">
        <v>43373</v>
      </c>
      <c r="L2908" s="69" t="s">
        <v>80</v>
      </c>
      <c r="M2908" s="69" t="s">
        <v>286</v>
      </c>
      <c r="N2908" s="95"/>
      <c r="P2908" t="s">
        <v>95</v>
      </c>
      <c r="Q2908" t="s">
        <v>110</v>
      </c>
      <c r="R2908" s="92" t="s">
        <v>69</v>
      </c>
      <c r="S2908" s="92" t="s">
        <v>115</v>
      </c>
      <c r="V2908" s="95">
        <v>43373</v>
      </c>
      <c r="W2908" s="92" t="s">
        <v>376</v>
      </c>
      <c r="X2908" s="90"/>
      <c r="Y2908" s="123"/>
      <c r="Z2908" s="30">
        <f t="shared" si="90"/>
        <v>6763.7822038320437</v>
      </c>
      <c r="AA2908" s="30">
        <f t="shared" si="91"/>
        <v>0</v>
      </c>
      <c r="AB2908" t="s">
        <v>457</v>
      </c>
    </row>
    <row r="2909" spans="1:28">
      <c r="A2909" t="s">
        <v>113</v>
      </c>
      <c r="C2909" s="92">
        <v>4615449841</v>
      </c>
      <c r="D2909" s="93">
        <v>19175</v>
      </c>
      <c r="F2909" s="106">
        <v>16</v>
      </c>
      <c r="G2909" s="96">
        <v>0</v>
      </c>
      <c r="H2909" s="94">
        <v>0</v>
      </c>
      <c r="I2909" s="91">
        <v>0</v>
      </c>
      <c r="J2909" s="41"/>
      <c r="K2909" s="41">
        <v>43373</v>
      </c>
      <c r="L2909" s="69" t="s">
        <v>80</v>
      </c>
      <c r="M2909" s="69" t="s">
        <v>286</v>
      </c>
      <c r="N2909" s="95"/>
      <c r="P2909" t="s">
        <v>95</v>
      </c>
      <c r="Q2909" t="s">
        <v>110</v>
      </c>
      <c r="R2909" s="92" t="s">
        <v>69</v>
      </c>
      <c r="S2909" s="92" t="s">
        <v>115</v>
      </c>
      <c r="V2909" s="95">
        <v>43373</v>
      </c>
      <c r="W2909" s="92" t="s">
        <v>376</v>
      </c>
      <c r="X2909" s="90"/>
      <c r="Y2909" s="123"/>
      <c r="Z2909" s="30">
        <f t="shared" si="90"/>
        <v>6763.7822038320437</v>
      </c>
      <c r="AA2909" s="30">
        <f t="shared" si="91"/>
        <v>0</v>
      </c>
      <c r="AB2909" t="s">
        <v>457</v>
      </c>
    </row>
    <row r="2910" spans="1:28">
      <c r="A2910" t="s">
        <v>113</v>
      </c>
      <c r="C2910" s="92">
        <v>4615449841</v>
      </c>
      <c r="D2910" s="93">
        <v>19175</v>
      </c>
      <c r="F2910" s="106">
        <v>16</v>
      </c>
      <c r="G2910" s="96">
        <v>0</v>
      </c>
      <c r="H2910" s="94">
        <v>0</v>
      </c>
      <c r="I2910" s="91">
        <v>0</v>
      </c>
      <c r="J2910" s="41"/>
      <c r="K2910" s="41">
        <v>43373</v>
      </c>
      <c r="L2910" s="69" t="s">
        <v>80</v>
      </c>
      <c r="M2910" s="69" t="s">
        <v>286</v>
      </c>
      <c r="N2910" s="95"/>
      <c r="P2910" t="s">
        <v>95</v>
      </c>
      <c r="Q2910" t="s">
        <v>110</v>
      </c>
      <c r="R2910" s="92" t="s">
        <v>69</v>
      </c>
      <c r="S2910" s="92" t="s">
        <v>115</v>
      </c>
      <c r="V2910" s="95">
        <v>43373</v>
      </c>
      <c r="W2910" s="92" t="s">
        <v>376</v>
      </c>
      <c r="X2910" s="90"/>
      <c r="Y2910" s="123"/>
      <c r="Z2910" s="30">
        <f t="shared" si="90"/>
        <v>6763.7822038320437</v>
      </c>
      <c r="AA2910" s="30">
        <f t="shared" si="91"/>
        <v>0</v>
      </c>
      <c r="AB2910" t="s">
        <v>457</v>
      </c>
    </row>
    <row r="2911" spans="1:28">
      <c r="A2911" t="s">
        <v>113</v>
      </c>
      <c r="C2911" s="92">
        <v>4615449841</v>
      </c>
      <c r="D2911" s="93">
        <v>19175</v>
      </c>
      <c r="F2911" s="106">
        <v>16</v>
      </c>
      <c r="G2911" s="96">
        <v>0</v>
      </c>
      <c r="H2911" s="94">
        <v>0</v>
      </c>
      <c r="I2911" s="91">
        <v>0</v>
      </c>
      <c r="J2911" s="41"/>
      <c r="K2911" s="41">
        <v>43373</v>
      </c>
      <c r="L2911" s="69" t="s">
        <v>80</v>
      </c>
      <c r="M2911" s="69" t="s">
        <v>286</v>
      </c>
      <c r="N2911" s="95"/>
      <c r="P2911" t="s">
        <v>95</v>
      </c>
      <c r="Q2911" t="s">
        <v>110</v>
      </c>
      <c r="R2911" s="92" t="s">
        <v>69</v>
      </c>
      <c r="S2911" s="92" t="s">
        <v>115</v>
      </c>
      <c r="V2911" s="95">
        <v>43373</v>
      </c>
      <c r="W2911" s="92" t="s">
        <v>376</v>
      </c>
      <c r="X2911" s="90"/>
      <c r="Y2911" s="123"/>
      <c r="Z2911" s="30">
        <f t="shared" si="90"/>
        <v>6763.7822038320437</v>
      </c>
      <c r="AA2911" s="30">
        <f t="shared" si="91"/>
        <v>0</v>
      </c>
      <c r="AB2911" t="s">
        <v>457</v>
      </c>
    </row>
    <row r="2912" spans="1:28">
      <c r="A2912" t="s">
        <v>113</v>
      </c>
      <c r="C2912" s="92">
        <v>4615449841</v>
      </c>
      <c r="D2912" s="93">
        <v>19175</v>
      </c>
      <c r="F2912" s="106">
        <v>16</v>
      </c>
      <c r="G2912" s="96">
        <v>0</v>
      </c>
      <c r="H2912" s="94">
        <v>0</v>
      </c>
      <c r="I2912" s="91">
        <v>0</v>
      </c>
      <c r="J2912" s="41"/>
      <c r="K2912" s="41">
        <v>43373</v>
      </c>
      <c r="L2912" s="69" t="s">
        <v>80</v>
      </c>
      <c r="M2912" s="69" t="s">
        <v>286</v>
      </c>
      <c r="N2912" s="95"/>
      <c r="P2912" t="s">
        <v>95</v>
      </c>
      <c r="Q2912" t="s">
        <v>110</v>
      </c>
      <c r="R2912" s="92" t="s">
        <v>69</v>
      </c>
      <c r="S2912" s="92" t="s">
        <v>115</v>
      </c>
      <c r="V2912" s="95">
        <v>43373</v>
      </c>
      <c r="W2912" s="92" t="s">
        <v>376</v>
      </c>
      <c r="X2912" s="90"/>
      <c r="Y2912" s="123"/>
      <c r="Z2912" s="30">
        <f t="shared" si="90"/>
        <v>6763.7822038320437</v>
      </c>
      <c r="AA2912" s="30">
        <f t="shared" si="91"/>
        <v>0</v>
      </c>
      <c r="AB2912" t="s">
        <v>457</v>
      </c>
    </row>
    <row r="2913" spans="1:28">
      <c r="A2913" t="s">
        <v>113</v>
      </c>
      <c r="C2913" s="92">
        <v>4615449841</v>
      </c>
      <c r="D2913" s="93">
        <v>19175</v>
      </c>
      <c r="F2913" s="106">
        <v>16</v>
      </c>
      <c r="G2913" s="96">
        <v>0</v>
      </c>
      <c r="H2913" s="94">
        <v>0</v>
      </c>
      <c r="I2913" s="91">
        <v>0</v>
      </c>
      <c r="J2913" s="41"/>
      <c r="K2913" s="41">
        <v>43373</v>
      </c>
      <c r="L2913" s="69" t="s">
        <v>80</v>
      </c>
      <c r="M2913" s="69" t="s">
        <v>286</v>
      </c>
      <c r="N2913" s="95"/>
      <c r="P2913" t="s">
        <v>95</v>
      </c>
      <c r="Q2913" t="s">
        <v>110</v>
      </c>
      <c r="R2913" s="92" t="s">
        <v>69</v>
      </c>
      <c r="S2913" s="92" t="s">
        <v>115</v>
      </c>
      <c r="V2913" s="95">
        <v>43373</v>
      </c>
      <c r="W2913" s="92" t="s">
        <v>376</v>
      </c>
      <c r="X2913" s="90"/>
      <c r="Y2913" s="123"/>
      <c r="Z2913" s="30">
        <f t="shared" si="90"/>
        <v>6763.7822038320437</v>
      </c>
      <c r="AA2913" s="30">
        <f t="shared" si="91"/>
        <v>0</v>
      </c>
      <c r="AB2913" t="s">
        <v>457</v>
      </c>
    </row>
    <row r="2914" spans="1:28">
      <c r="A2914" t="s">
        <v>113</v>
      </c>
      <c r="C2914" s="92">
        <v>4615449841</v>
      </c>
      <c r="D2914" s="93">
        <v>19175</v>
      </c>
      <c r="F2914" s="106">
        <v>16</v>
      </c>
      <c r="G2914" s="96">
        <v>0</v>
      </c>
      <c r="H2914" s="94">
        <v>0</v>
      </c>
      <c r="I2914" s="91">
        <v>0</v>
      </c>
      <c r="J2914" s="41"/>
      <c r="K2914" s="41">
        <v>43373</v>
      </c>
      <c r="L2914" s="69" t="s">
        <v>80</v>
      </c>
      <c r="M2914" s="69" t="s">
        <v>286</v>
      </c>
      <c r="N2914" s="95"/>
      <c r="P2914" t="s">
        <v>95</v>
      </c>
      <c r="Q2914" t="s">
        <v>110</v>
      </c>
      <c r="R2914" s="92" t="s">
        <v>69</v>
      </c>
      <c r="S2914" s="92" t="s">
        <v>115</v>
      </c>
      <c r="V2914" s="95">
        <v>43373</v>
      </c>
      <c r="W2914" s="92" t="s">
        <v>376</v>
      </c>
      <c r="X2914" s="90"/>
      <c r="Y2914" s="123"/>
      <c r="Z2914" s="30">
        <f t="shared" si="90"/>
        <v>6763.7822038320437</v>
      </c>
      <c r="AA2914" s="30">
        <f t="shared" si="91"/>
        <v>0</v>
      </c>
      <c r="AB2914" t="s">
        <v>457</v>
      </c>
    </row>
    <row r="2915" spans="1:28">
      <c r="A2915" t="s">
        <v>113</v>
      </c>
      <c r="C2915" s="92">
        <v>4615449841</v>
      </c>
      <c r="D2915" s="93">
        <v>19175</v>
      </c>
      <c r="F2915" s="106">
        <v>16</v>
      </c>
      <c r="G2915" s="96">
        <v>0</v>
      </c>
      <c r="H2915" s="94">
        <v>0</v>
      </c>
      <c r="I2915" s="91">
        <v>0</v>
      </c>
      <c r="J2915" s="41"/>
      <c r="K2915" s="41">
        <v>43373</v>
      </c>
      <c r="L2915" s="69" t="s">
        <v>80</v>
      </c>
      <c r="M2915" s="69" t="s">
        <v>286</v>
      </c>
      <c r="N2915" s="95"/>
      <c r="P2915" t="s">
        <v>95</v>
      </c>
      <c r="Q2915" t="s">
        <v>110</v>
      </c>
      <c r="R2915" s="92" t="s">
        <v>69</v>
      </c>
      <c r="S2915" s="92" t="s">
        <v>115</v>
      </c>
      <c r="V2915" s="95">
        <v>43373</v>
      </c>
      <c r="W2915" s="92" t="s">
        <v>376</v>
      </c>
      <c r="X2915" s="90"/>
      <c r="Y2915" s="123"/>
      <c r="Z2915" s="30">
        <f t="shared" si="90"/>
        <v>6763.7822038320437</v>
      </c>
      <c r="AA2915" s="30">
        <f t="shared" si="91"/>
        <v>0</v>
      </c>
      <c r="AB2915" t="s">
        <v>457</v>
      </c>
    </row>
    <row r="2916" spans="1:28">
      <c r="A2916" t="s">
        <v>113</v>
      </c>
      <c r="C2916" s="92">
        <v>4615449841</v>
      </c>
      <c r="D2916" s="93">
        <v>19175</v>
      </c>
      <c r="F2916" s="106">
        <v>16</v>
      </c>
      <c r="G2916" s="96">
        <v>0</v>
      </c>
      <c r="H2916" s="94">
        <v>0</v>
      </c>
      <c r="I2916" s="91">
        <v>0</v>
      </c>
      <c r="J2916" s="41"/>
      <c r="K2916" s="41">
        <v>43373</v>
      </c>
      <c r="L2916" s="69" t="s">
        <v>80</v>
      </c>
      <c r="M2916" s="69" t="s">
        <v>286</v>
      </c>
      <c r="N2916" s="95"/>
      <c r="P2916" t="s">
        <v>95</v>
      </c>
      <c r="Q2916" t="s">
        <v>110</v>
      </c>
      <c r="R2916" s="92" t="s">
        <v>69</v>
      </c>
      <c r="S2916" s="92" t="s">
        <v>115</v>
      </c>
      <c r="V2916" s="95">
        <v>43373</v>
      </c>
      <c r="W2916" s="92" t="s">
        <v>376</v>
      </c>
      <c r="X2916" s="90"/>
      <c r="Y2916" s="123"/>
      <c r="Z2916" s="30">
        <f t="shared" si="90"/>
        <v>6763.7822038320437</v>
      </c>
      <c r="AA2916" s="30">
        <f t="shared" si="91"/>
        <v>0</v>
      </c>
      <c r="AB2916" t="s">
        <v>457</v>
      </c>
    </row>
    <row r="2917" spans="1:28">
      <c r="A2917" t="s">
        <v>113</v>
      </c>
      <c r="C2917" s="92">
        <v>4615449841</v>
      </c>
      <c r="D2917" s="93">
        <v>19175</v>
      </c>
      <c r="F2917" s="106">
        <v>16</v>
      </c>
      <c r="G2917" s="96">
        <v>0</v>
      </c>
      <c r="H2917" s="94">
        <v>0</v>
      </c>
      <c r="I2917" s="91">
        <v>0</v>
      </c>
      <c r="J2917" s="41"/>
      <c r="K2917" s="41">
        <v>43373</v>
      </c>
      <c r="L2917" s="69" t="s">
        <v>80</v>
      </c>
      <c r="M2917" s="69" t="s">
        <v>286</v>
      </c>
      <c r="N2917" s="95"/>
      <c r="P2917" t="s">
        <v>95</v>
      </c>
      <c r="Q2917" t="s">
        <v>110</v>
      </c>
      <c r="R2917" s="92" t="s">
        <v>69</v>
      </c>
      <c r="S2917" s="92" t="s">
        <v>115</v>
      </c>
      <c r="V2917" s="95">
        <v>43373</v>
      </c>
      <c r="W2917" s="92" t="s">
        <v>376</v>
      </c>
      <c r="X2917" s="90"/>
      <c r="Y2917" s="123"/>
      <c r="Z2917" s="30">
        <f t="shared" si="90"/>
        <v>6763.7822038320437</v>
      </c>
      <c r="AA2917" s="30">
        <f t="shared" si="91"/>
        <v>0</v>
      </c>
      <c r="AB2917" t="s">
        <v>457</v>
      </c>
    </row>
    <row r="2918" spans="1:28">
      <c r="A2918" t="s">
        <v>113</v>
      </c>
      <c r="C2918" s="92">
        <v>4615454942</v>
      </c>
      <c r="D2918" s="93">
        <v>19175</v>
      </c>
      <c r="F2918" s="106">
        <v>16</v>
      </c>
      <c r="G2918" s="96">
        <v>0</v>
      </c>
      <c r="H2918" s="94">
        <v>0</v>
      </c>
      <c r="I2918" s="91">
        <v>0</v>
      </c>
      <c r="J2918" s="41"/>
      <c r="K2918" s="41">
        <v>43373</v>
      </c>
      <c r="L2918" s="69" t="s">
        <v>80</v>
      </c>
      <c r="M2918" s="69" t="s">
        <v>286</v>
      </c>
      <c r="N2918" s="95"/>
      <c r="P2918" t="s">
        <v>95</v>
      </c>
      <c r="Q2918" t="s">
        <v>110</v>
      </c>
      <c r="R2918" s="92" t="s">
        <v>69</v>
      </c>
      <c r="S2918" s="92" t="s">
        <v>115</v>
      </c>
      <c r="V2918" s="95">
        <v>43373</v>
      </c>
      <c r="W2918" s="92" t="s">
        <v>377</v>
      </c>
      <c r="X2918" s="90"/>
      <c r="Y2918" s="123"/>
      <c r="Z2918" s="30">
        <f t="shared" si="90"/>
        <v>6763.7822038320437</v>
      </c>
      <c r="AA2918" s="30">
        <f t="shared" si="91"/>
        <v>0</v>
      </c>
      <c r="AB2918" t="s">
        <v>457</v>
      </c>
    </row>
    <row r="2919" spans="1:28">
      <c r="A2919" t="s">
        <v>113</v>
      </c>
      <c r="C2919" s="92">
        <v>4615454942</v>
      </c>
      <c r="D2919" s="93">
        <v>19175</v>
      </c>
      <c r="F2919" s="106">
        <v>16</v>
      </c>
      <c r="G2919" s="96">
        <v>0</v>
      </c>
      <c r="H2919" s="94">
        <v>0</v>
      </c>
      <c r="I2919" s="91">
        <v>0</v>
      </c>
      <c r="J2919" s="41"/>
      <c r="K2919" s="41">
        <v>43373</v>
      </c>
      <c r="L2919" s="69" t="s">
        <v>80</v>
      </c>
      <c r="M2919" s="69" t="s">
        <v>286</v>
      </c>
      <c r="N2919" s="95"/>
      <c r="P2919" t="s">
        <v>95</v>
      </c>
      <c r="Q2919" t="s">
        <v>110</v>
      </c>
      <c r="R2919" s="92" t="s">
        <v>69</v>
      </c>
      <c r="S2919" s="92" t="s">
        <v>115</v>
      </c>
      <c r="V2919" s="95">
        <v>43373</v>
      </c>
      <c r="W2919" s="92" t="s">
        <v>377</v>
      </c>
      <c r="X2919" s="90"/>
      <c r="Y2919" s="123"/>
      <c r="Z2919" s="30">
        <f t="shared" si="90"/>
        <v>6763.7822038320437</v>
      </c>
      <c r="AA2919" s="30">
        <f t="shared" si="91"/>
        <v>0</v>
      </c>
      <c r="AB2919" t="s">
        <v>457</v>
      </c>
    </row>
    <row r="2920" spans="1:28">
      <c r="A2920" t="s">
        <v>113</v>
      </c>
      <c r="C2920" s="92">
        <v>4615454942</v>
      </c>
      <c r="D2920" s="93">
        <v>19175</v>
      </c>
      <c r="F2920" s="106">
        <v>16</v>
      </c>
      <c r="G2920" s="96">
        <v>0</v>
      </c>
      <c r="H2920" s="94">
        <v>0</v>
      </c>
      <c r="I2920" s="91">
        <v>0</v>
      </c>
      <c r="J2920" s="41"/>
      <c r="K2920" s="41">
        <v>43373</v>
      </c>
      <c r="L2920" s="69" t="s">
        <v>80</v>
      </c>
      <c r="M2920" s="69" t="s">
        <v>286</v>
      </c>
      <c r="N2920" s="95"/>
      <c r="P2920" t="s">
        <v>95</v>
      </c>
      <c r="Q2920" t="s">
        <v>110</v>
      </c>
      <c r="R2920" s="92" t="s">
        <v>69</v>
      </c>
      <c r="S2920" s="92" t="s">
        <v>115</v>
      </c>
      <c r="V2920" s="95">
        <v>43373</v>
      </c>
      <c r="W2920" s="92" t="s">
        <v>377</v>
      </c>
      <c r="X2920" s="90"/>
      <c r="Y2920" s="123"/>
      <c r="Z2920" s="30">
        <f t="shared" si="90"/>
        <v>6763.7822038320437</v>
      </c>
      <c r="AA2920" s="30">
        <f t="shared" si="91"/>
        <v>0</v>
      </c>
      <c r="AB2920" t="s">
        <v>457</v>
      </c>
    </row>
    <row r="2921" spans="1:28">
      <c r="A2921" t="s">
        <v>113</v>
      </c>
      <c r="C2921" s="92">
        <v>4615454942</v>
      </c>
      <c r="D2921" s="93">
        <v>19175</v>
      </c>
      <c r="F2921" s="106">
        <v>16</v>
      </c>
      <c r="G2921" s="96">
        <v>0</v>
      </c>
      <c r="H2921" s="94">
        <v>0</v>
      </c>
      <c r="I2921" s="91">
        <v>0</v>
      </c>
      <c r="J2921" s="41"/>
      <c r="K2921" s="41">
        <v>43373</v>
      </c>
      <c r="L2921" s="69" t="s">
        <v>80</v>
      </c>
      <c r="M2921" s="69" t="s">
        <v>286</v>
      </c>
      <c r="N2921" s="95"/>
      <c r="P2921" t="s">
        <v>95</v>
      </c>
      <c r="Q2921" t="s">
        <v>110</v>
      </c>
      <c r="R2921" s="92" t="s">
        <v>69</v>
      </c>
      <c r="S2921" s="92" t="s">
        <v>115</v>
      </c>
      <c r="V2921" s="95">
        <v>43373</v>
      </c>
      <c r="W2921" s="92" t="s">
        <v>377</v>
      </c>
      <c r="X2921" s="90"/>
      <c r="Y2921" s="123"/>
      <c r="Z2921" s="30">
        <f t="shared" si="90"/>
        <v>6763.7822038320437</v>
      </c>
      <c r="AA2921" s="30">
        <f t="shared" si="91"/>
        <v>0</v>
      </c>
      <c r="AB2921" t="s">
        <v>457</v>
      </c>
    </row>
    <row r="2922" spans="1:28">
      <c r="A2922" t="s">
        <v>113</v>
      </c>
      <c r="C2922" s="92">
        <v>4615454942</v>
      </c>
      <c r="D2922" s="93">
        <v>19175</v>
      </c>
      <c r="F2922" s="106">
        <v>16</v>
      </c>
      <c r="G2922" s="96">
        <v>0</v>
      </c>
      <c r="H2922" s="94">
        <v>0</v>
      </c>
      <c r="I2922" s="91">
        <v>0</v>
      </c>
      <c r="J2922" s="41"/>
      <c r="K2922" s="41">
        <v>43373</v>
      </c>
      <c r="L2922" s="69" t="s">
        <v>80</v>
      </c>
      <c r="M2922" s="69" t="s">
        <v>286</v>
      </c>
      <c r="N2922" s="95"/>
      <c r="P2922" t="s">
        <v>95</v>
      </c>
      <c r="Q2922" t="s">
        <v>110</v>
      </c>
      <c r="R2922" s="92" t="s">
        <v>69</v>
      </c>
      <c r="S2922" s="92" t="s">
        <v>115</v>
      </c>
      <c r="V2922" s="95">
        <v>43373</v>
      </c>
      <c r="W2922" s="92" t="s">
        <v>377</v>
      </c>
      <c r="X2922" s="90"/>
      <c r="Y2922" s="123"/>
      <c r="Z2922" s="30">
        <f t="shared" si="90"/>
        <v>6763.7822038320437</v>
      </c>
      <c r="AA2922" s="30">
        <f t="shared" si="91"/>
        <v>0</v>
      </c>
      <c r="AB2922" t="s">
        <v>457</v>
      </c>
    </row>
    <row r="2923" spans="1:28">
      <c r="A2923" t="s">
        <v>113</v>
      </c>
      <c r="C2923" s="92">
        <v>4615454942</v>
      </c>
      <c r="D2923" s="93">
        <v>19175</v>
      </c>
      <c r="F2923" s="106">
        <v>16</v>
      </c>
      <c r="G2923" s="96">
        <v>0</v>
      </c>
      <c r="H2923" s="94">
        <v>0</v>
      </c>
      <c r="I2923" s="91">
        <v>0</v>
      </c>
      <c r="J2923" s="41"/>
      <c r="K2923" s="41">
        <v>43373</v>
      </c>
      <c r="L2923" s="69" t="s">
        <v>80</v>
      </c>
      <c r="M2923" s="69" t="s">
        <v>286</v>
      </c>
      <c r="N2923" s="95"/>
      <c r="P2923" t="s">
        <v>95</v>
      </c>
      <c r="Q2923" t="s">
        <v>110</v>
      </c>
      <c r="R2923" s="92" t="s">
        <v>69</v>
      </c>
      <c r="S2923" s="92" t="s">
        <v>115</v>
      </c>
      <c r="V2923" s="95">
        <v>43373</v>
      </c>
      <c r="W2923" s="92" t="s">
        <v>377</v>
      </c>
      <c r="X2923" s="90"/>
      <c r="Y2923" s="123"/>
      <c r="Z2923" s="30">
        <f t="shared" si="90"/>
        <v>6763.7822038320437</v>
      </c>
      <c r="AA2923" s="30">
        <f t="shared" si="91"/>
        <v>0</v>
      </c>
      <c r="AB2923" t="s">
        <v>457</v>
      </c>
    </row>
    <row r="2924" spans="1:28">
      <c r="A2924" t="s">
        <v>113</v>
      </c>
      <c r="C2924" s="92">
        <v>4615454942</v>
      </c>
      <c r="D2924" s="93">
        <v>19175</v>
      </c>
      <c r="F2924" s="106">
        <v>16</v>
      </c>
      <c r="G2924" s="96">
        <v>0</v>
      </c>
      <c r="H2924" s="94">
        <v>0</v>
      </c>
      <c r="I2924" s="91">
        <v>0</v>
      </c>
      <c r="J2924" s="41"/>
      <c r="K2924" s="41">
        <v>43373</v>
      </c>
      <c r="L2924" s="69" t="s">
        <v>80</v>
      </c>
      <c r="M2924" s="69" t="s">
        <v>286</v>
      </c>
      <c r="N2924" s="95"/>
      <c r="P2924" t="s">
        <v>95</v>
      </c>
      <c r="Q2924" t="s">
        <v>110</v>
      </c>
      <c r="R2924" s="92" t="s">
        <v>69</v>
      </c>
      <c r="S2924" s="92" t="s">
        <v>115</v>
      </c>
      <c r="V2924" s="95">
        <v>43373</v>
      </c>
      <c r="W2924" s="92" t="s">
        <v>377</v>
      </c>
      <c r="X2924" s="90"/>
      <c r="Y2924" s="123"/>
      <c r="Z2924" s="30">
        <f t="shared" si="90"/>
        <v>6763.7822038320437</v>
      </c>
      <c r="AA2924" s="30">
        <f t="shared" si="91"/>
        <v>0</v>
      </c>
      <c r="AB2924" t="s">
        <v>457</v>
      </c>
    </row>
    <row r="2925" spans="1:28">
      <c r="A2925" t="s">
        <v>113</v>
      </c>
      <c r="C2925" s="92">
        <v>4615454942</v>
      </c>
      <c r="D2925" s="93">
        <v>19175</v>
      </c>
      <c r="F2925" s="106">
        <v>16</v>
      </c>
      <c r="G2925" s="96">
        <v>0</v>
      </c>
      <c r="H2925" s="94">
        <v>0</v>
      </c>
      <c r="I2925" s="91">
        <v>0</v>
      </c>
      <c r="J2925" s="41"/>
      <c r="K2925" s="41">
        <v>43373</v>
      </c>
      <c r="L2925" s="69" t="s">
        <v>80</v>
      </c>
      <c r="M2925" s="69" t="s">
        <v>286</v>
      </c>
      <c r="N2925" s="95"/>
      <c r="P2925" t="s">
        <v>95</v>
      </c>
      <c r="Q2925" t="s">
        <v>110</v>
      </c>
      <c r="R2925" s="92" t="s">
        <v>69</v>
      </c>
      <c r="S2925" s="92" t="s">
        <v>115</v>
      </c>
      <c r="V2925" s="95">
        <v>43373</v>
      </c>
      <c r="W2925" s="92" t="s">
        <v>377</v>
      </c>
      <c r="X2925" s="90"/>
      <c r="Y2925" s="123"/>
      <c r="Z2925" s="30">
        <f t="shared" si="90"/>
        <v>6763.7822038320437</v>
      </c>
      <c r="AA2925" s="30">
        <f t="shared" si="91"/>
        <v>0</v>
      </c>
      <c r="AB2925" t="s">
        <v>457</v>
      </c>
    </row>
    <row r="2926" spans="1:28">
      <c r="A2926" t="s">
        <v>113</v>
      </c>
      <c r="C2926" s="92">
        <v>4615454942</v>
      </c>
      <c r="D2926" s="93">
        <v>19175</v>
      </c>
      <c r="F2926" s="106">
        <v>16</v>
      </c>
      <c r="G2926" s="96">
        <v>0</v>
      </c>
      <c r="H2926" s="94">
        <v>0</v>
      </c>
      <c r="I2926" s="91">
        <v>0</v>
      </c>
      <c r="J2926" s="41"/>
      <c r="K2926" s="41">
        <v>43373</v>
      </c>
      <c r="L2926" s="69" t="s">
        <v>80</v>
      </c>
      <c r="M2926" s="69" t="s">
        <v>286</v>
      </c>
      <c r="N2926" s="95"/>
      <c r="P2926" t="s">
        <v>95</v>
      </c>
      <c r="Q2926" t="s">
        <v>110</v>
      </c>
      <c r="R2926" s="92" t="s">
        <v>69</v>
      </c>
      <c r="S2926" s="92" t="s">
        <v>115</v>
      </c>
      <c r="V2926" s="95">
        <v>43373</v>
      </c>
      <c r="W2926" s="92" t="s">
        <v>377</v>
      </c>
      <c r="X2926" s="90"/>
      <c r="Y2926" s="123"/>
      <c r="Z2926" s="30">
        <f t="shared" si="90"/>
        <v>6763.7822038320437</v>
      </c>
      <c r="AA2926" s="30">
        <f t="shared" si="91"/>
        <v>0</v>
      </c>
      <c r="AB2926" t="s">
        <v>457</v>
      </c>
    </row>
    <row r="2927" spans="1:28">
      <c r="A2927" t="s">
        <v>113</v>
      </c>
      <c r="C2927" s="92">
        <v>4615454942</v>
      </c>
      <c r="D2927" s="93">
        <v>19175</v>
      </c>
      <c r="F2927" s="106">
        <v>16</v>
      </c>
      <c r="G2927" s="96">
        <v>0</v>
      </c>
      <c r="H2927" s="94">
        <v>0</v>
      </c>
      <c r="I2927" s="91">
        <v>0</v>
      </c>
      <c r="J2927" s="41"/>
      <c r="K2927" s="41">
        <v>43373</v>
      </c>
      <c r="L2927" s="69" t="s">
        <v>80</v>
      </c>
      <c r="M2927" s="69" t="s">
        <v>286</v>
      </c>
      <c r="N2927" s="95"/>
      <c r="P2927" t="s">
        <v>95</v>
      </c>
      <c r="Q2927" t="s">
        <v>110</v>
      </c>
      <c r="R2927" s="92" t="s">
        <v>69</v>
      </c>
      <c r="S2927" s="92" t="s">
        <v>115</v>
      </c>
      <c r="V2927" s="95">
        <v>43373</v>
      </c>
      <c r="W2927" s="92" t="s">
        <v>377</v>
      </c>
      <c r="X2927" s="90"/>
      <c r="Y2927" s="123"/>
      <c r="Z2927" s="30">
        <f t="shared" si="90"/>
        <v>6763.7822038320437</v>
      </c>
      <c r="AA2927" s="30">
        <f t="shared" si="91"/>
        <v>0</v>
      </c>
      <c r="AB2927" t="s">
        <v>457</v>
      </c>
    </row>
    <row r="2928" spans="1:28">
      <c r="A2928" t="s">
        <v>113</v>
      </c>
      <c r="C2928" s="92">
        <v>4615454942</v>
      </c>
      <c r="D2928" s="93">
        <v>19175</v>
      </c>
      <c r="F2928" s="106">
        <v>16</v>
      </c>
      <c r="G2928" s="96">
        <v>0</v>
      </c>
      <c r="H2928" s="94">
        <v>0</v>
      </c>
      <c r="I2928" s="91">
        <v>0</v>
      </c>
      <c r="J2928" s="41"/>
      <c r="K2928" s="41">
        <v>43373</v>
      </c>
      <c r="L2928" s="69" t="s">
        <v>80</v>
      </c>
      <c r="M2928" s="69" t="s">
        <v>286</v>
      </c>
      <c r="N2928" s="95"/>
      <c r="P2928" t="s">
        <v>95</v>
      </c>
      <c r="Q2928" t="s">
        <v>110</v>
      </c>
      <c r="R2928" s="92" t="s">
        <v>69</v>
      </c>
      <c r="S2928" s="92" t="s">
        <v>115</v>
      </c>
      <c r="V2928" s="95">
        <v>43373</v>
      </c>
      <c r="W2928" s="92" t="s">
        <v>377</v>
      </c>
      <c r="X2928" s="90"/>
      <c r="Y2928" s="123"/>
      <c r="Z2928" s="30">
        <f t="shared" si="90"/>
        <v>6763.7822038320437</v>
      </c>
      <c r="AA2928" s="30">
        <f t="shared" si="91"/>
        <v>0</v>
      </c>
      <c r="AB2928" t="s">
        <v>457</v>
      </c>
    </row>
    <row r="2929" spans="1:28">
      <c r="A2929" t="s">
        <v>113</v>
      </c>
      <c r="C2929" s="92">
        <v>4615454942</v>
      </c>
      <c r="D2929" s="93">
        <v>19175</v>
      </c>
      <c r="F2929" s="106">
        <v>16</v>
      </c>
      <c r="G2929" s="96">
        <v>0</v>
      </c>
      <c r="H2929" s="94">
        <v>0</v>
      </c>
      <c r="I2929" s="91">
        <v>0</v>
      </c>
      <c r="J2929" s="41"/>
      <c r="K2929" s="41">
        <v>43373</v>
      </c>
      <c r="L2929" s="69" t="s">
        <v>80</v>
      </c>
      <c r="M2929" s="69" t="s">
        <v>286</v>
      </c>
      <c r="N2929" s="95"/>
      <c r="P2929" t="s">
        <v>95</v>
      </c>
      <c r="Q2929" t="s">
        <v>110</v>
      </c>
      <c r="R2929" s="92" t="s">
        <v>69</v>
      </c>
      <c r="S2929" s="92" t="s">
        <v>115</v>
      </c>
      <c r="V2929" s="95">
        <v>43373</v>
      </c>
      <c r="W2929" s="92" t="s">
        <v>377</v>
      </c>
      <c r="X2929" s="90"/>
      <c r="Y2929" s="123"/>
      <c r="Z2929" s="30">
        <f t="shared" si="90"/>
        <v>6763.7822038320437</v>
      </c>
      <c r="AA2929" s="30">
        <f t="shared" si="91"/>
        <v>0</v>
      </c>
      <c r="AB2929" t="s">
        <v>457</v>
      </c>
    </row>
    <row r="2930" spans="1:28">
      <c r="A2930" t="s">
        <v>113</v>
      </c>
      <c r="C2930" s="92">
        <v>4615454942</v>
      </c>
      <c r="D2930" s="93">
        <v>19175</v>
      </c>
      <c r="F2930" s="106">
        <v>16</v>
      </c>
      <c r="G2930" s="96">
        <v>0</v>
      </c>
      <c r="H2930" s="94">
        <v>0</v>
      </c>
      <c r="I2930" s="91">
        <v>0</v>
      </c>
      <c r="J2930" s="41"/>
      <c r="K2930" s="41">
        <v>43373</v>
      </c>
      <c r="L2930" s="69" t="s">
        <v>80</v>
      </c>
      <c r="M2930" s="69" t="s">
        <v>286</v>
      </c>
      <c r="N2930" s="95"/>
      <c r="P2930" t="s">
        <v>95</v>
      </c>
      <c r="Q2930" t="s">
        <v>110</v>
      </c>
      <c r="R2930" s="92" t="s">
        <v>69</v>
      </c>
      <c r="S2930" s="92" t="s">
        <v>115</v>
      </c>
      <c r="V2930" s="95">
        <v>43373</v>
      </c>
      <c r="W2930" s="92" t="s">
        <v>377</v>
      </c>
      <c r="X2930" s="90"/>
      <c r="Y2930" s="123"/>
      <c r="Z2930" s="30">
        <f t="shared" si="90"/>
        <v>6763.7822038320437</v>
      </c>
      <c r="AA2930" s="30">
        <f t="shared" si="91"/>
        <v>0</v>
      </c>
      <c r="AB2930" t="s">
        <v>457</v>
      </c>
    </row>
    <row r="2931" spans="1:28">
      <c r="A2931" t="s">
        <v>113</v>
      </c>
      <c r="C2931" s="92">
        <v>4615454942</v>
      </c>
      <c r="D2931" s="93">
        <v>19175</v>
      </c>
      <c r="F2931" s="106">
        <v>16</v>
      </c>
      <c r="G2931" s="96">
        <v>0</v>
      </c>
      <c r="H2931" s="94">
        <v>0</v>
      </c>
      <c r="I2931" s="91">
        <v>0</v>
      </c>
      <c r="J2931" s="41"/>
      <c r="K2931" s="41">
        <v>43373</v>
      </c>
      <c r="L2931" s="69" t="s">
        <v>80</v>
      </c>
      <c r="M2931" s="69" t="s">
        <v>286</v>
      </c>
      <c r="N2931" s="95"/>
      <c r="P2931" t="s">
        <v>95</v>
      </c>
      <c r="Q2931" t="s">
        <v>110</v>
      </c>
      <c r="R2931" s="92" t="s">
        <v>69</v>
      </c>
      <c r="S2931" s="92" t="s">
        <v>115</v>
      </c>
      <c r="V2931" s="95">
        <v>43373</v>
      </c>
      <c r="W2931" s="92" t="s">
        <v>377</v>
      </c>
      <c r="X2931" s="90"/>
      <c r="Y2931" s="123"/>
      <c r="Z2931" s="30">
        <f t="shared" si="90"/>
        <v>6763.7822038320437</v>
      </c>
      <c r="AA2931" s="30">
        <f t="shared" si="91"/>
        <v>0</v>
      </c>
      <c r="AB2931" t="s">
        <v>457</v>
      </c>
    </row>
    <row r="2932" spans="1:28">
      <c r="A2932" t="s">
        <v>113</v>
      </c>
      <c r="C2932" s="92">
        <v>4615454942</v>
      </c>
      <c r="D2932" s="93">
        <v>19175</v>
      </c>
      <c r="F2932" s="106">
        <v>16</v>
      </c>
      <c r="G2932" s="96">
        <v>0</v>
      </c>
      <c r="H2932" s="94">
        <v>0</v>
      </c>
      <c r="I2932" s="91">
        <v>0</v>
      </c>
      <c r="J2932" s="41"/>
      <c r="K2932" s="41">
        <v>43373</v>
      </c>
      <c r="L2932" s="69" t="s">
        <v>80</v>
      </c>
      <c r="M2932" s="69" t="s">
        <v>286</v>
      </c>
      <c r="N2932" s="95"/>
      <c r="P2932" t="s">
        <v>95</v>
      </c>
      <c r="Q2932" t="s">
        <v>110</v>
      </c>
      <c r="R2932" s="92" t="s">
        <v>69</v>
      </c>
      <c r="S2932" s="92" t="s">
        <v>115</v>
      </c>
      <c r="V2932" s="95">
        <v>43373</v>
      </c>
      <c r="W2932" s="92" t="s">
        <v>377</v>
      </c>
      <c r="X2932" s="90"/>
      <c r="Y2932" s="123"/>
      <c r="Z2932" s="30">
        <f t="shared" si="90"/>
        <v>6763.7822038320437</v>
      </c>
      <c r="AA2932" s="30">
        <f t="shared" si="91"/>
        <v>0</v>
      </c>
      <c r="AB2932" t="s">
        <v>457</v>
      </c>
    </row>
    <row r="2933" spans="1:28">
      <c r="A2933" t="s">
        <v>113</v>
      </c>
      <c r="C2933" s="92">
        <v>4615454942</v>
      </c>
      <c r="D2933" s="93">
        <v>19175</v>
      </c>
      <c r="F2933" s="106">
        <v>16</v>
      </c>
      <c r="G2933" s="96">
        <v>0</v>
      </c>
      <c r="H2933" s="94">
        <v>0</v>
      </c>
      <c r="I2933" s="91">
        <v>0</v>
      </c>
      <c r="J2933" s="41"/>
      <c r="K2933" s="41">
        <v>43373</v>
      </c>
      <c r="L2933" s="69" t="s">
        <v>80</v>
      </c>
      <c r="M2933" s="69" t="s">
        <v>286</v>
      </c>
      <c r="N2933" s="95"/>
      <c r="P2933" t="s">
        <v>95</v>
      </c>
      <c r="Q2933" t="s">
        <v>110</v>
      </c>
      <c r="R2933" s="92" t="s">
        <v>69</v>
      </c>
      <c r="S2933" s="92" t="s">
        <v>115</v>
      </c>
      <c r="V2933" s="95">
        <v>43373</v>
      </c>
      <c r="W2933" s="92" t="s">
        <v>377</v>
      </c>
      <c r="X2933" s="90"/>
      <c r="Y2933" s="123"/>
      <c r="Z2933" s="30">
        <f t="shared" si="90"/>
        <v>6763.7822038320437</v>
      </c>
      <c r="AA2933" s="30">
        <f t="shared" si="91"/>
        <v>0</v>
      </c>
      <c r="AB2933" t="s">
        <v>457</v>
      </c>
    </row>
    <row r="2934" spans="1:28">
      <c r="A2934" t="s">
        <v>113</v>
      </c>
      <c r="C2934" s="92">
        <v>4615454942</v>
      </c>
      <c r="D2934" s="93">
        <v>19175</v>
      </c>
      <c r="F2934" s="106">
        <v>16</v>
      </c>
      <c r="G2934" s="96">
        <v>0</v>
      </c>
      <c r="H2934" s="94">
        <v>0</v>
      </c>
      <c r="I2934" s="91">
        <v>0</v>
      </c>
      <c r="J2934" s="41"/>
      <c r="K2934" s="41">
        <v>43373</v>
      </c>
      <c r="L2934" s="69" t="s">
        <v>80</v>
      </c>
      <c r="M2934" s="69" t="s">
        <v>286</v>
      </c>
      <c r="N2934" s="95"/>
      <c r="P2934" t="s">
        <v>95</v>
      </c>
      <c r="Q2934" t="s">
        <v>110</v>
      </c>
      <c r="R2934" s="92" t="s">
        <v>69</v>
      </c>
      <c r="S2934" s="92" t="s">
        <v>115</v>
      </c>
      <c r="V2934" s="95">
        <v>43373</v>
      </c>
      <c r="W2934" s="92" t="s">
        <v>377</v>
      </c>
      <c r="X2934" s="90"/>
      <c r="Y2934" s="123"/>
      <c r="Z2934" s="30">
        <f t="shared" si="90"/>
        <v>6763.7822038320437</v>
      </c>
      <c r="AA2934" s="30">
        <f t="shared" si="91"/>
        <v>0</v>
      </c>
      <c r="AB2934" t="s">
        <v>457</v>
      </c>
    </row>
    <row r="2935" spans="1:28">
      <c r="A2935" t="s">
        <v>113</v>
      </c>
      <c r="C2935" s="92">
        <v>4615454942</v>
      </c>
      <c r="D2935" s="93">
        <v>19175</v>
      </c>
      <c r="F2935" s="106">
        <v>16</v>
      </c>
      <c r="G2935" s="96">
        <v>0</v>
      </c>
      <c r="H2935" s="94">
        <v>0</v>
      </c>
      <c r="I2935" s="91">
        <v>0</v>
      </c>
      <c r="J2935" s="41"/>
      <c r="K2935" s="41">
        <v>43373</v>
      </c>
      <c r="L2935" s="69" t="s">
        <v>80</v>
      </c>
      <c r="M2935" s="69" t="s">
        <v>286</v>
      </c>
      <c r="N2935" s="95"/>
      <c r="P2935" t="s">
        <v>95</v>
      </c>
      <c r="Q2935" t="s">
        <v>110</v>
      </c>
      <c r="R2935" s="92" t="s">
        <v>69</v>
      </c>
      <c r="S2935" s="92" t="s">
        <v>115</v>
      </c>
      <c r="V2935" s="95">
        <v>43373</v>
      </c>
      <c r="W2935" s="92" t="s">
        <v>377</v>
      </c>
      <c r="X2935" s="90"/>
      <c r="Y2935" s="123"/>
      <c r="Z2935" s="30">
        <f t="shared" si="90"/>
        <v>6763.7822038320437</v>
      </c>
      <c r="AA2935" s="30">
        <f t="shared" si="91"/>
        <v>0</v>
      </c>
      <c r="AB2935" t="s">
        <v>457</v>
      </c>
    </row>
    <row r="2936" spans="1:28">
      <c r="A2936" t="s">
        <v>113</v>
      </c>
      <c r="C2936" s="92">
        <v>4615446196</v>
      </c>
      <c r="D2936" s="93">
        <v>19175</v>
      </c>
      <c r="F2936" s="91">
        <v>16</v>
      </c>
      <c r="G2936" s="91">
        <v>0</v>
      </c>
      <c r="H2936" s="91">
        <v>0</v>
      </c>
      <c r="I2936" s="91">
        <v>0</v>
      </c>
      <c r="J2936" s="41"/>
      <c r="K2936" s="41">
        <v>43373</v>
      </c>
      <c r="L2936" s="69" t="s">
        <v>80</v>
      </c>
      <c r="M2936" s="69" t="s">
        <v>286</v>
      </c>
      <c r="N2936" s="95"/>
      <c r="P2936" t="s">
        <v>95</v>
      </c>
      <c r="Q2936" t="s">
        <v>133</v>
      </c>
      <c r="R2936" s="92" t="s">
        <v>69</v>
      </c>
      <c r="S2936" s="92" t="s">
        <v>115</v>
      </c>
      <c r="V2936" s="95">
        <v>43373</v>
      </c>
      <c r="W2936" s="92" t="s">
        <v>378</v>
      </c>
      <c r="X2936" s="90"/>
      <c r="Y2936" s="123"/>
      <c r="Z2936" s="30">
        <f t="shared" si="90"/>
        <v>6763.7822038320437</v>
      </c>
      <c r="AA2936" s="30">
        <f t="shared" si="91"/>
        <v>0</v>
      </c>
      <c r="AB2936" t="s">
        <v>457</v>
      </c>
    </row>
    <row r="2937" spans="1:28">
      <c r="A2937" t="s">
        <v>113</v>
      </c>
      <c r="C2937" s="92">
        <v>4615446196</v>
      </c>
      <c r="D2937" s="93">
        <v>19175</v>
      </c>
      <c r="F2937" s="91">
        <v>16</v>
      </c>
      <c r="G2937" s="91">
        <v>0</v>
      </c>
      <c r="H2937" s="91">
        <v>0</v>
      </c>
      <c r="I2937" s="91">
        <v>0</v>
      </c>
      <c r="J2937" s="41"/>
      <c r="K2937" s="41">
        <v>43373</v>
      </c>
      <c r="L2937" s="69" t="s">
        <v>80</v>
      </c>
      <c r="M2937" s="69" t="s">
        <v>286</v>
      </c>
      <c r="N2937" s="95"/>
      <c r="P2937" t="s">
        <v>95</v>
      </c>
      <c r="Q2937" t="s">
        <v>133</v>
      </c>
      <c r="R2937" s="92" t="s">
        <v>69</v>
      </c>
      <c r="S2937" s="92" t="s">
        <v>115</v>
      </c>
      <c r="V2937" s="95">
        <v>43373</v>
      </c>
      <c r="W2937" s="92" t="s">
        <v>378</v>
      </c>
      <c r="X2937" s="90"/>
      <c r="Y2937" s="123"/>
      <c r="Z2937" s="30">
        <f t="shared" si="90"/>
        <v>6763.7822038320437</v>
      </c>
      <c r="AA2937" s="30">
        <f t="shared" si="91"/>
        <v>0</v>
      </c>
      <c r="AB2937" t="s">
        <v>457</v>
      </c>
    </row>
    <row r="2938" spans="1:28">
      <c r="A2938" t="s">
        <v>113</v>
      </c>
      <c r="C2938" s="92">
        <v>4615446196</v>
      </c>
      <c r="D2938" s="93">
        <v>19175</v>
      </c>
      <c r="F2938" s="91">
        <v>16</v>
      </c>
      <c r="G2938" s="91">
        <v>0</v>
      </c>
      <c r="H2938" s="91">
        <v>0</v>
      </c>
      <c r="I2938" s="91">
        <v>0</v>
      </c>
      <c r="J2938" s="41"/>
      <c r="K2938" s="41">
        <v>43373</v>
      </c>
      <c r="L2938" s="69" t="s">
        <v>80</v>
      </c>
      <c r="M2938" s="69" t="s">
        <v>286</v>
      </c>
      <c r="N2938" s="95"/>
      <c r="P2938" t="s">
        <v>95</v>
      </c>
      <c r="Q2938" t="s">
        <v>133</v>
      </c>
      <c r="R2938" s="92" t="s">
        <v>69</v>
      </c>
      <c r="S2938" s="92" t="s">
        <v>115</v>
      </c>
      <c r="V2938" s="95">
        <v>43373</v>
      </c>
      <c r="W2938" s="92" t="s">
        <v>378</v>
      </c>
      <c r="X2938" s="90"/>
      <c r="Y2938" s="123"/>
      <c r="Z2938" s="30">
        <f t="shared" si="90"/>
        <v>6763.7822038320437</v>
      </c>
      <c r="AA2938" s="30">
        <f t="shared" si="91"/>
        <v>0</v>
      </c>
      <c r="AB2938" t="s">
        <v>457</v>
      </c>
    </row>
    <row r="2939" spans="1:28">
      <c r="A2939" t="s">
        <v>113</v>
      </c>
      <c r="C2939" s="92">
        <v>4615446196</v>
      </c>
      <c r="D2939" s="93">
        <v>19175</v>
      </c>
      <c r="F2939" s="91">
        <v>16</v>
      </c>
      <c r="G2939" s="91">
        <v>0</v>
      </c>
      <c r="H2939" s="91">
        <v>0</v>
      </c>
      <c r="I2939" s="91">
        <v>0</v>
      </c>
      <c r="J2939" s="41"/>
      <c r="K2939" s="41">
        <v>43373</v>
      </c>
      <c r="L2939" s="69" t="s">
        <v>80</v>
      </c>
      <c r="M2939" s="69" t="s">
        <v>286</v>
      </c>
      <c r="N2939" s="95"/>
      <c r="P2939" t="s">
        <v>95</v>
      </c>
      <c r="Q2939" t="s">
        <v>133</v>
      </c>
      <c r="R2939" s="92" t="s">
        <v>69</v>
      </c>
      <c r="S2939" s="92" t="s">
        <v>115</v>
      </c>
      <c r="V2939" s="95">
        <v>43373</v>
      </c>
      <c r="W2939" s="92" t="s">
        <v>378</v>
      </c>
      <c r="X2939" s="90"/>
      <c r="Y2939" s="123"/>
      <c r="Z2939" s="30">
        <f t="shared" si="90"/>
        <v>6763.7822038320437</v>
      </c>
      <c r="AA2939" s="30">
        <f t="shared" si="91"/>
        <v>0</v>
      </c>
      <c r="AB2939" t="s">
        <v>457</v>
      </c>
    </row>
    <row r="2940" spans="1:28">
      <c r="A2940" t="s">
        <v>113</v>
      </c>
      <c r="C2940" s="92">
        <v>4615446196</v>
      </c>
      <c r="D2940" s="93">
        <v>19175</v>
      </c>
      <c r="F2940" s="91">
        <v>16</v>
      </c>
      <c r="G2940" s="91">
        <v>0</v>
      </c>
      <c r="H2940" s="91">
        <v>0</v>
      </c>
      <c r="I2940" s="91">
        <v>0</v>
      </c>
      <c r="J2940" s="41"/>
      <c r="K2940" s="41">
        <v>43373</v>
      </c>
      <c r="L2940" s="69" t="s">
        <v>80</v>
      </c>
      <c r="M2940" s="69" t="s">
        <v>286</v>
      </c>
      <c r="N2940" s="95"/>
      <c r="P2940" t="s">
        <v>95</v>
      </c>
      <c r="Q2940" t="s">
        <v>133</v>
      </c>
      <c r="R2940" s="92" t="s">
        <v>69</v>
      </c>
      <c r="S2940" s="92" t="s">
        <v>115</v>
      </c>
      <c r="V2940" s="95">
        <v>43373</v>
      </c>
      <c r="W2940" s="92" t="s">
        <v>378</v>
      </c>
      <c r="X2940" s="90"/>
      <c r="Y2940" s="123"/>
      <c r="Z2940" s="30">
        <f t="shared" si="90"/>
        <v>6763.7822038320437</v>
      </c>
      <c r="AA2940" s="30">
        <f t="shared" si="91"/>
        <v>0</v>
      </c>
      <c r="AB2940" t="s">
        <v>457</v>
      </c>
    </row>
    <row r="2941" spans="1:28">
      <c r="A2941" t="s">
        <v>113</v>
      </c>
      <c r="C2941" s="92">
        <v>4615446196</v>
      </c>
      <c r="D2941" s="93">
        <v>19175</v>
      </c>
      <c r="F2941" s="91">
        <v>16</v>
      </c>
      <c r="G2941" s="91">
        <v>0</v>
      </c>
      <c r="H2941" s="91">
        <v>0</v>
      </c>
      <c r="I2941" s="91">
        <v>0</v>
      </c>
      <c r="J2941" s="41"/>
      <c r="K2941" s="41">
        <v>43373</v>
      </c>
      <c r="L2941" s="69" t="s">
        <v>80</v>
      </c>
      <c r="M2941" s="69" t="s">
        <v>286</v>
      </c>
      <c r="N2941" s="95"/>
      <c r="P2941" t="s">
        <v>95</v>
      </c>
      <c r="Q2941" t="s">
        <v>133</v>
      </c>
      <c r="R2941" s="92" t="s">
        <v>69</v>
      </c>
      <c r="S2941" s="92" t="s">
        <v>115</v>
      </c>
      <c r="V2941" s="95">
        <v>43373</v>
      </c>
      <c r="W2941" s="92" t="s">
        <v>378</v>
      </c>
      <c r="X2941" s="90"/>
      <c r="Y2941" s="123"/>
      <c r="Z2941" s="30">
        <f t="shared" si="90"/>
        <v>6763.7822038320437</v>
      </c>
      <c r="AA2941" s="30">
        <f t="shared" si="91"/>
        <v>0</v>
      </c>
      <c r="AB2941" t="s">
        <v>457</v>
      </c>
    </row>
    <row r="2942" spans="1:28">
      <c r="A2942" t="s">
        <v>113</v>
      </c>
      <c r="C2942" s="92">
        <v>4615446196</v>
      </c>
      <c r="D2942" s="93">
        <v>19175</v>
      </c>
      <c r="F2942" s="91">
        <v>16</v>
      </c>
      <c r="G2942" s="91">
        <v>0</v>
      </c>
      <c r="H2942" s="91">
        <v>0</v>
      </c>
      <c r="I2942" s="91">
        <v>0</v>
      </c>
      <c r="J2942" s="41"/>
      <c r="K2942" s="41">
        <v>43373</v>
      </c>
      <c r="L2942" s="69" t="s">
        <v>80</v>
      </c>
      <c r="M2942" s="69" t="s">
        <v>286</v>
      </c>
      <c r="N2942" s="95"/>
      <c r="P2942" t="s">
        <v>95</v>
      </c>
      <c r="Q2942" t="s">
        <v>133</v>
      </c>
      <c r="R2942" s="92" t="s">
        <v>69</v>
      </c>
      <c r="S2942" s="92" t="s">
        <v>115</v>
      </c>
      <c r="V2942" s="95">
        <v>43373</v>
      </c>
      <c r="W2942" s="92" t="s">
        <v>378</v>
      </c>
      <c r="X2942" s="90"/>
      <c r="Y2942" s="123"/>
      <c r="Z2942" s="30">
        <f t="shared" si="90"/>
        <v>6763.7822038320437</v>
      </c>
      <c r="AA2942" s="30">
        <f t="shared" si="91"/>
        <v>0</v>
      </c>
      <c r="AB2942" t="s">
        <v>457</v>
      </c>
    </row>
    <row r="2943" spans="1:28">
      <c r="A2943" t="s">
        <v>113</v>
      </c>
      <c r="C2943" s="92">
        <v>4615446196</v>
      </c>
      <c r="D2943" s="93">
        <v>19175</v>
      </c>
      <c r="F2943" s="91">
        <v>16</v>
      </c>
      <c r="G2943" s="91">
        <v>0</v>
      </c>
      <c r="H2943" s="91">
        <v>0</v>
      </c>
      <c r="I2943" s="91">
        <v>0</v>
      </c>
      <c r="J2943" s="41"/>
      <c r="K2943" s="41">
        <v>43373</v>
      </c>
      <c r="L2943" s="69" t="s">
        <v>80</v>
      </c>
      <c r="M2943" s="69" t="s">
        <v>286</v>
      </c>
      <c r="N2943" s="95"/>
      <c r="P2943" t="s">
        <v>95</v>
      </c>
      <c r="Q2943" t="s">
        <v>133</v>
      </c>
      <c r="R2943" s="92" t="s">
        <v>69</v>
      </c>
      <c r="S2943" s="92" t="s">
        <v>115</v>
      </c>
      <c r="V2943" s="95">
        <v>43373</v>
      </c>
      <c r="W2943" s="92" t="s">
        <v>378</v>
      </c>
      <c r="X2943" s="90"/>
      <c r="Y2943" s="123"/>
      <c r="Z2943" s="30">
        <f t="shared" si="90"/>
        <v>6763.7822038320437</v>
      </c>
      <c r="AA2943" s="30">
        <f t="shared" si="91"/>
        <v>0</v>
      </c>
      <c r="AB2943" t="s">
        <v>457</v>
      </c>
    </row>
    <row r="2944" spans="1:28">
      <c r="A2944" t="s">
        <v>113</v>
      </c>
      <c r="C2944" s="92">
        <v>4615446196</v>
      </c>
      <c r="D2944" s="93">
        <v>19175</v>
      </c>
      <c r="F2944" s="91">
        <v>16</v>
      </c>
      <c r="G2944" s="91">
        <v>0</v>
      </c>
      <c r="H2944" s="91">
        <v>0</v>
      </c>
      <c r="I2944" s="91">
        <v>0</v>
      </c>
      <c r="J2944" s="41"/>
      <c r="K2944" s="41">
        <v>43373</v>
      </c>
      <c r="L2944" s="69" t="s">
        <v>80</v>
      </c>
      <c r="M2944" s="69" t="s">
        <v>286</v>
      </c>
      <c r="N2944" s="95"/>
      <c r="P2944" t="s">
        <v>95</v>
      </c>
      <c r="Q2944" t="s">
        <v>133</v>
      </c>
      <c r="R2944" s="92" t="s">
        <v>69</v>
      </c>
      <c r="S2944" s="92" t="s">
        <v>115</v>
      </c>
      <c r="V2944" s="95">
        <v>43373</v>
      </c>
      <c r="W2944" s="92" t="s">
        <v>378</v>
      </c>
      <c r="X2944" s="90"/>
      <c r="Y2944" s="123"/>
      <c r="Z2944" s="30">
        <f t="shared" si="90"/>
        <v>6763.7822038320437</v>
      </c>
      <c r="AA2944" s="30">
        <f t="shared" si="91"/>
        <v>0</v>
      </c>
      <c r="AB2944" t="s">
        <v>457</v>
      </c>
    </row>
    <row r="2945" spans="1:28">
      <c r="A2945" t="s">
        <v>113</v>
      </c>
      <c r="C2945" s="92">
        <v>4615446196</v>
      </c>
      <c r="D2945" s="93">
        <v>19175</v>
      </c>
      <c r="F2945" s="91">
        <v>16</v>
      </c>
      <c r="G2945" s="91">
        <v>0</v>
      </c>
      <c r="H2945" s="91">
        <v>0</v>
      </c>
      <c r="I2945" s="91">
        <v>0</v>
      </c>
      <c r="J2945" s="41"/>
      <c r="K2945" s="41">
        <v>43373</v>
      </c>
      <c r="L2945" s="69" t="s">
        <v>80</v>
      </c>
      <c r="M2945" s="69" t="s">
        <v>286</v>
      </c>
      <c r="N2945" s="95"/>
      <c r="P2945" t="s">
        <v>95</v>
      </c>
      <c r="Q2945" t="s">
        <v>133</v>
      </c>
      <c r="R2945" s="92" t="s">
        <v>69</v>
      </c>
      <c r="S2945" s="92" t="s">
        <v>115</v>
      </c>
      <c r="V2945" s="95">
        <v>43373</v>
      </c>
      <c r="W2945" s="92" t="s">
        <v>378</v>
      </c>
      <c r="X2945" s="90"/>
      <c r="Y2945" s="123"/>
      <c r="Z2945" s="30">
        <f t="shared" si="90"/>
        <v>6763.7822038320437</v>
      </c>
      <c r="AA2945" s="30">
        <f t="shared" si="91"/>
        <v>0</v>
      </c>
      <c r="AB2945" t="s">
        <v>457</v>
      </c>
    </row>
    <row r="2946" spans="1:28">
      <c r="A2946" t="s">
        <v>113</v>
      </c>
      <c r="C2946" s="92">
        <v>4615475852</v>
      </c>
      <c r="D2946" s="93">
        <v>19175</v>
      </c>
      <c r="F2946" s="94">
        <v>16</v>
      </c>
      <c r="G2946" s="96">
        <v>5</v>
      </c>
      <c r="H2946" s="91">
        <v>0</v>
      </c>
      <c r="I2946" s="91">
        <v>0</v>
      </c>
      <c r="J2946" s="41"/>
      <c r="K2946" s="41">
        <v>43373</v>
      </c>
      <c r="L2946" s="69" t="s">
        <v>80</v>
      </c>
      <c r="M2946" s="69" t="s">
        <v>286</v>
      </c>
      <c r="N2946" s="98"/>
      <c r="P2946" t="s">
        <v>95</v>
      </c>
      <c r="Q2946" t="s">
        <v>133</v>
      </c>
      <c r="R2946" s="92" t="s">
        <v>69</v>
      </c>
      <c r="S2946" s="92" t="s">
        <v>115</v>
      </c>
      <c r="V2946" s="95">
        <v>43373</v>
      </c>
      <c r="W2946" s="92" t="s">
        <v>379</v>
      </c>
      <c r="X2946" s="90"/>
      <c r="Y2946" s="123"/>
      <c r="Z2946" s="30">
        <f t="shared" si="90"/>
        <v>6763.7822038320437</v>
      </c>
      <c r="AA2946" s="30">
        <f t="shared" si="91"/>
        <v>2113.6819386975139</v>
      </c>
      <c r="AB2946" t="s">
        <v>457</v>
      </c>
    </row>
    <row r="2947" spans="1:28">
      <c r="A2947" t="s">
        <v>113</v>
      </c>
      <c r="C2947" s="92">
        <v>4615475852</v>
      </c>
      <c r="D2947" s="93">
        <v>19175</v>
      </c>
      <c r="F2947" s="94">
        <v>16</v>
      </c>
      <c r="G2947" s="96">
        <v>5</v>
      </c>
      <c r="H2947" s="91">
        <v>0</v>
      </c>
      <c r="I2947" s="91">
        <v>0</v>
      </c>
      <c r="J2947" s="41"/>
      <c r="K2947" s="41">
        <v>43373</v>
      </c>
      <c r="L2947" s="69" t="s">
        <v>80</v>
      </c>
      <c r="M2947" s="69" t="s">
        <v>286</v>
      </c>
      <c r="N2947" s="98"/>
      <c r="P2947" t="s">
        <v>95</v>
      </c>
      <c r="Q2947" t="s">
        <v>133</v>
      </c>
      <c r="R2947" s="92" t="s">
        <v>69</v>
      </c>
      <c r="S2947" s="92" t="s">
        <v>115</v>
      </c>
      <c r="V2947" s="95">
        <v>43373</v>
      </c>
      <c r="W2947" s="92" t="s">
        <v>379</v>
      </c>
      <c r="X2947" s="90"/>
      <c r="Y2947" s="123"/>
      <c r="Z2947" s="30">
        <f t="shared" ref="Z2947:Z3010" si="92">CONVERT(D2947,"kg","lbm")*F2947/100</f>
        <v>6763.7822038320437</v>
      </c>
      <c r="AA2947" s="30">
        <f t="shared" ref="AA2947:AA3010" si="93">CONVERT(D2947,"kg","lbm")*G2947/100</f>
        <v>2113.6819386975139</v>
      </c>
      <c r="AB2947" t="s">
        <v>457</v>
      </c>
    </row>
    <row r="2948" spans="1:28">
      <c r="A2948" t="s">
        <v>113</v>
      </c>
      <c r="C2948" s="92">
        <v>4615475852</v>
      </c>
      <c r="D2948" s="93">
        <v>19175</v>
      </c>
      <c r="F2948" s="94">
        <v>16</v>
      </c>
      <c r="G2948" s="96">
        <v>5</v>
      </c>
      <c r="H2948" s="91">
        <v>0</v>
      </c>
      <c r="I2948" s="91">
        <v>0</v>
      </c>
      <c r="J2948" s="41"/>
      <c r="K2948" s="41">
        <v>43373</v>
      </c>
      <c r="L2948" s="69" t="s">
        <v>80</v>
      </c>
      <c r="M2948" s="69" t="s">
        <v>286</v>
      </c>
      <c r="N2948" s="98"/>
      <c r="P2948" t="s">
        <v>95</v>
      </c>
      <c r="Q2948" t="s">
        <v>133</v>
      </c>
      <c r="R2948" s="92" t="s">
        <v>69</v>
      </c>
      <c r="S2948" s="92" t="s">
        <v>115</v>
      </c>
      <c r="V2948" s="95">
        <v>43373</v>
      </c>
      <c r="W2948" s="92" t="s">
        <v>379</v>
      </c>
      <c r="X2948" s="90"/>
      <c r="Y2948" s="123"/>
      <c r="Z2948" s="30">
        <f t="shared" si="92"/>
        <v>6763.7822038320437</v>
      </c>
      <c r="AA2948" s="30">
        <f t="shared" si="93"/>
        <v>2113.6819386975139</v>
      </c>
      <c r="AB2948" t="s">
        <v>457</v>
      </c>
    </row>
    <row r="2949" spans="1:28">
      <c r="A2949" t="s">
        <v>113</v>
      </c>
      <c r="C2949" s="92">
        <v>4615475852</v>
      </c>
      <c r="D2949" s="93">
        <v>19175</v>
      </c>
      <c r="F2949" s="94">
        <v>16</v>
      </c>
      <c r="G2949" s="96">
        <v>5</v>
      </c>
      <c r="H2949" s="91">
        <v>0</v>
      </c>
      <c r="I2949" s="91">
        <v>0</v>
      </c>
      <c r="J2949" s="41"/>
      <c r="K2949" s="41">
        <v>43373</v>
      </c>
      <c r="L2949" s="69" t="s">
        <v>80</v>
      </c>
      <c r="M2949" s="69" t="s">
        <v>286</v>
      </c>
      <c r="N2949" s="98"/>
      <c r="P2949" t="s">
        <v>95</v>
      </c>
      <c r="Q2949" t="s">
        <v>133</v>
      </c>
      <c r="R2949" s="92" t="s">
        <v>69</v>
      </c>
      <c r="S2949" s="92" t="s">
        <v>115</v>
      </c>
      <c r="V2949" s="95">
        <v>43373</v>
      </c>
      <c r="W2949" s="92" t="s">
        <v>379</v>
      </c>
      <c r="X2949" s="90"/>
      <c r="Y2949" s="123"/>
      <c r="Z2949" s="30">
        <f t="shared" si="92"/>
        <v>6763.7822038320437</v>
      </c>
      <c r="AA2949" s="30">
        <f t="shared" si="93"/>
        <v>2113.6819386975139</v>
      </c>
      <c r="AB2949" t="s">
        <v>457</v>
      </c>
    </row>
    <row r="2950" spans="1:28">
      <c r="A2950" t="s">
        <v>113</v>
      </c>
      <c r="C2950" s="92">
        <v>4615475852</v>
      </c>
      <c r="D2950" s="93">
        <v>19175</v>
      </c>
      <c r="F2950" s="94">
        <v>16</v>
      </c>
      <c r="G2950" s="96">
        <v>5</v>
      </c>
      <c r="H2950" s="91">
        <v>0</v>
      </c>
      <c r="I2950" s="91">
        <v>0</v>
      </c>
      <c r="J2950" s="41"/>
      <c r="K2950" s="41">
        <v>43373</v>
      </c>
      <c r="L2950" s="69" t="s">
        <v>80</v>
      </c>
      <c r="M2950" s="69" t="s">
        <v>286</v>
      </c>
      <c r="N2950" s="98"/>
      <c r="P2950" t="s">
        <v>95</v>
      </c>
      <c r="Q2950" t="s">
        <v>133</v>
      </c>
      <c r="R2950" s="92" t="s">
        <v>69</v>
      </c>
      <c r="S2950" s="92" t="s">
        <v>115</v>
      </c>
      <c r="V2950" s="95">
        <v>43373</v>
      </c>
      <c r="W2950" s="92" t="s">
        <v>379</v>
      </c>
      <c r="X2950" s="90"/>
      <c r="Y2950" s="123"/>
      <c r="Z2950" s="30">
        <f t="shared" si="92"/>
        <v>6763.7822038320437</v>
      </c>
      <c r="AA2950" s="30">
        <f t="shared" si="93"/>
        <v>2113.6819386975139</v>
      </c>
      <c r="AB2950" t="s">
        <v>457</v>
      </c>
    </row>
    <row r="2951" spans="1:28">
      <c r="A2951" t="s">
        <v>113</v>
      </c>
      <c r="C2951" s="92">
        <v>4615475852</v>
      </c>
      <c r="D2951" s="93">
        <v>19175</v>
      </c>
      <c r="F2951" s="94">
        <v>16</v>
      </c>
      <c r="G2951" s="96">
        <v>5</v>
      </c>
      <c r="H2951" s="91">
        <v>0</v>
      </c>
      <c r="I2951" s="91">
        <v>0</v>
      </c>
      <c r="J2951" s="41"/>
      <c r="K2951" s="41">
        <v>43373</v>
      </c>
      <c r="L2951" s="69" t="s">
        <v>80</v>
      </c>
      <c r="M2951" s="69" t="s">
        <v>286</v>
      </c>
      <c r="N2951" s="98"/>
      <c r="P2951" t="s">
        <v>95</v>
      </c>
      <c r="Q2951" t="s">
        <v>133</v>
      </c>
      <c r="R2951" s="92" t="s">
        <v>69</v>
      </c>
      <c r="S2951" s="92" t="s">
        <v>115</v>
      </c>
      <c r="V2951" s="95">
        <v>43373</v>
      </c>
      <c r="W2951" s="92" t="s">
        <v>379</v>
      </c>
      <c r="X2951" s="90"/>
      <c r="Y2951" s="123"/>
      <c r="Z2951" s="30">
        <f t="shared" si="92"/>
        <v>6763.7822038320437</v>
      </c>
      <c r="AA2951" s="30">
        <f t="shared" si="93"/>
        <v>2113.6819386975139</v>
      </c>
      <c r="AB2951" t="s">
        <v>457</v>
      </c>
    </row>
    <row r="2952" spans="1:28">
      <c r="A2952" t="s">
        <v>113</v>
      </c>
      <c r="C2952" s="92">
        <v>4615475852</v>
      </c>
      <c r="D2952" s="93">
        <v>19175</v>
      </c>
      <c r="F2952" s="94">
        <v>16</v>
      </c>
      <c r="G2952" s="96">
        <v>5</v>
      </c>
      <c r="H2952" s="91">
        <v>0</v>
      </c>
      <c r="I2952" s="91">
        <v>0</v>
      </c>
      <c r="J2952" s="41"/>
      <c r="K2952" s="41">
        <v>43373</v>
      </c>
      <c r="L2952" s="69" t="s">
        <v>80</v>
      </c>
      <c r="M2952" s="69" t="s">
        <v>286</v>
      </c>
      <c r="N2952" s="98"/>
      <c r="P2952" t="s">
        <v>95</v>
      </c>
      <c r="Q2952" t="s">
        <v>133</v>
      </c>
      <c r="R2952" s="92" t="s">
        <v>69</v>
      </c>
      <c r="S2952" s="92" t="s">
        <v>115</v>
      </c>
      <c r="V2952" s="95">
        <v>43373</v>
      </c>
      <c r="W2952" s="92" t="s">
        <v>379</v>
      </c>
      <c r="X2952" s="90"/>
      <c r="Y2952" s="123"/>
      <c r="Z2952" s="30">
        <f t="shared" si="92"/>
        <v>6763.7822038320437</v>
      </c>
      <c r="AA2952" s="30">
        <f t="shared" si="93"/>
        <v>2113.6819386975139</v>
      </c>
      <c r="AB2952" t="s">
        <v>457</v>
      </c>
    </row>
    <row r="2953" spans="1:28">
      <c r="A2953" t="s">
        <v>113</v>
      </c>
      <c r="C2953" s="92">
        <v>4615475852</v>
      </c>
      <c r="D2953" s="93">
        <v>19175</v>
      </c>
      <c r="F2953" s="94">
        <v>16</v>
      </c>
      <c r="G2953" s="96">
        <v>5</v>
      </c>
      <c r="H2953" s="91">
        <v>0</v>
      </c>
      <c r="I2953" s="91">
        <v>0</v>
      </c>
      <c r="J2953" s="41"/>
      <c r="K2953" s="41">
        <v>43373</v>
      </c>
      <c r="L2953" s="69" t="s">
        <v>80</v>
      </c>
      <c r="M2953" s="69" t="s">
        <v>286</v>
      </c>
      <c r="N2953" s="98"/>
      <c r="P2953" t="s">
        <v>95</v>
      </c>
      <c r="Q2953" t="s">
        <v>133</v>
      </c>
      <c r="R2953" s="92" t="s">
        <v>69</v>
      </c>
      <c r="S2953" s="92" t="s">
        <v>115</v>
      </c>
      <c r="V2953" s="95">
        <v>43373</v>
      </c>
      <c r="W2953" s="92" t="s">
        <v>379</v>
      </c>
      <c r="X2953" s="90"/>
      <c r="Y2953" s="123"/>
      <c r="Z2953" s="30">
        <f t="shared" si="92"/>
        <v>6763.7822038320437</v>
      </c>
      <c r="AA2953" s="30">
        <f t="shared" si="93"/>
        <v>2113.6819386975139</v>
      </c>
      <c r="AB2953" t="s">
        <v>457</v>
      </c>
    </row>
    <row r="2954" spans="1:28">
      <c r="A2954" t="s">
        <v>113</v>
      </c>
      <c r="C2954" s="92">
        <v>4615475852</v>
      </c>
      <c r="D2954" s="93">
        <v>19175</v>
      </c>
      <c r="F2954" s="94">
        <v>16</v>
      </c>
      <c r="G2954" s="96">
        <v>5</v>
      </c>
      <c r="H2954" s="91">
        <v>0</v>
      </c>
      <c r="I2954" s="91">
        <v>0</v>
      </c>
      <c r="J2954" s="41"/>
      <c r="K2954" s="41">
        <v>43373</v>
      </c>
      <c r="L2954" s="69" t="s">
        <v>80</v>
      </c>
      <c r="M2954" s="69" t="s">
        <v>286</v>
      </c>
      <c r="N2954" s="98"/>
      <c r="P2954" t="s">
        <v>95</v>
      </c>
      <c r="Q2954" t="s">
        <v>133</v>
      </c>
      <c r="R2954" s="92" t="s">
        <v>69</v>
      </c>
      <c r="S2954" s="92" t="s">
        <v>115</v>
      </c>
      <c r="V2954" s="95">
        <v>43373</v>
      </c>
      <c r="W2954" s="92" t="s">
        <v>379</v>
      </c>
      <c r="X2954" s="90"/>
      <c r="Y2954" s="123"/>
      <c r="Z2954" s="30">
        <f t="shared" si="92"/>
        <v>6763.7822038320437</v>
      </c>
      <c r="AA2954" s="30">
        <f t="shared" si="93"/>
        <v>2113.6819386975139</v>
      </c>
      <c r="AB2954" t="s">
        <v>457</v>
      </c>
    </row>
    <row r="2955" spans="1:28">
      <c r="A2955" t="s">
        <v>113</v>
      </c>
      <c r="C2955" s="92">
        <v>4615475852</v>
      </c>
      <c r="D2955" s="93">
        <v>19175</v>
      </c>
      <c r="F2955" s="94">
        <v>16</v>
      </c>
      <c r="G2955" s="96">
        <v>5</v>
      </c>
      <c r="H2955" s="91">
        <v>0</v>
      </c>
      <c r="I2955" s="91">
        <v>0</v>
      </c>
      <c r="J2955" s="41"/>
      <c r="K2955" s="41">
        <v>43373</v>
      </c>
      <c r="L2955" s="69" t="s">
        <v>80</v>
      </c>
      <c r="M2955" s="69" t="s">
        <v>286</v>
      </c>
      <c r="N2955" s="98"/>
      <c r="P2955" t="s">
        <v>95</v>
      </c>
      <c r="Q2955" t="s">
        <v>133</v>
      </c>
      <c r="R2955" s="92" t="s">
        <v>69</v>
      </c>
      <c r="S2955" s="92" t="s">
        <v>115</v>
      </c>
      <c r="V2955" s="95">
        <v>43373</v>
      </c>
      <c r="W2955" s="92" t="s">
        <v>379</v>
      </c>
      <c r="X2955" s="90"/>
      <c r="Y2955" s="123"/>
      <c r="Z2955" s="30">
        <f t="shared" si="92"/>
        <v>6763.7822038320437</v>
      </c>
      <c r="AA2955" s="30">
        <f t="shared" si="93"/>
        <v>2113.6819386975139</v>
      </c>
      <c r="AB2955" t="s">
        <v>457</v>
      </c>
    </row>
    <row r="2956" spans="1:28">
      <c r="A2956" t="s">
        <v>113</v>
      </c>
      <c r="C2956" s="92">
        <v>4615475853</v>
      </c>
      <c r="D2956" s="93">
        <v>19175</v>
      </c>
      <c r="F2956" s="94">
        <v>16</v>
      </c>
      <c r="G2956" s="94">
        <v>0</v>
      </c>
      <c r="H2956" s="91">
        <v>0</v>
      </c>
      <c r="I2956" s="91">
        <v>0</v>
      </c>
      <c r="J2956" s="41"/>
      <c r="K2956" s="41">
        <v>43373</v>
      </c>
      <c r="L2956" s="69" t="s">
        <v>80</v>
      </c>
      <c r="M2956" s="69" t="s">
        <v>286</v>
      </c>
      <c r="N2956" s="98"/>
      <c r="P2956" t="s">
        <v>95</v>
      </c>
      <c r="Q2956" t="s">
        <v>133</v>
      </c>
      <c r="R2956" s="92" t="s">
        <v>69</v>
      </c>
      <c r="S2956" s="92" t="s">
        <v>115</v>
      </c>
      <c r="V2956" s="95">
        <v>43373</v>
      </c>
      <c r="W2956" s="92" t="s">
        <v>380</v>
      </c>
      <c r="X2956" s="90"/>
      <c r="Y2956" s="123"/>
      <c r="Z2956" s="30">
        <f t="shared" si="92"/>
        <v>6763.7822038320437</v>
      </c>
      <c r="AA2956" s="30">
        <f t="shared" si="93"/>
        <v>0</v>
      </c>
      <c r="AB2956" t="s">
        <v>457</v>
      </c>
    </row>
    <row r="2957" spans="1:28">
      <c r="A2957" t="s">
        <v>113</v>
      </c>
      <c r="C2957" s="92">
        <v>4615475853</v>
      </c>
      <c r="D2957" s="93">
        <v>19175</v>
      </c>
      <c r="F2957" s="94">
        <v>16</v>
      </c>
      <c r="G2957" s="94">
        <v>0</v>
      </c>
      <c r="H2957" s="91">
        <v>0</v>
      </c>
      <c r="I2957" s="91">
        <v>0</v>
      </c>
      <c r="J2957" s="41"/>
      <c r="K2957" s="41">
        <v>43373</v>
      </c>
      <c r="L2957" s="69" t="s">
        <v>80</v>
      </c>
      <c r="M2957" s="69" t="s">
        <v>286</v>
      </c>
      <c r="N2957" s="98"/>
      <c r="P2957" t="s">
        <v>95</v>
      </c>
      <c r="Q2957" t="s">
        <v>133</v>
      </c>
      <c r="R2957" s="92" t="s">
        <v>69</v>
      </c>
      <c r="S2957" s="92" t="s">
        <v>115</v>
      </c>
      <c r="V2957" s="95">
        <v>43373</v>
      </c>
      <c r="W2957" s="92" t="s">
        <v>380</v>
      </c>
      <c r="X2957" s="90"/>
      <c r="Y2957" s="123"/>
      <c r="Z2957" s="30">
        <f t="shared" si="92"/>
        <v>6763.7822038320437</v>
      </c>
      <c r="AA2957" s="30">
        <f t="shared" si="93"/>
        <v>0</v>
      </c>
      <c r="AB2957" t="s">
        <v>457</v>
      </c>
    </row>
    <row r="2958" spans="1:28">
      <c r="A2958" t="s">
        <v>113</v>
      </c>
      <c r="C2958" s="92">
        <v>4615475853</v>
      </c>
      <c r="D2958" s="93">
        <v>19175</v>
      </c>
      <c r="F2958" s="94">
        <v>16</v>
      </c>
      <c r="G2958" s="94">
        <v>0</v>
      </c>
      <c r="H2958" s="91">
        <v>0</v>
      </c>
      <c r="I2958" s="91">
        <v>0</v>
      </c>
      <c r="J2958" s="41"/>
      <c r="K2958" s="41">
        <v>43373</v>
      </c>
      <c r="L2958" s="69" t="s">
        <v>80</v>
      </c>
      <c r="M2958" s="69" t="s">
        <v>286</v>
      </c>
      <c r="N2958" s="98"/>
      <c r="P2958" t="s">
        <v>95</v>
      </c>
      <c r="Q2958" t="s">
        <v>133</v>
      </c>
      <c r="R2958" s="92" t="s">
        <v>69</v>
      </c>
      <c r="S2958" s="92" t="s">
        <v>115</v>
      </c>
      <c r="V2958" s="95">
        <v>43373</v>
      </c>
      <c r="W2958" s="92" t="s">
        <v>380</v>
      </c>
      <c r="X2958" s="90"/>
      <c r="Y2958" s="123"/>
      <c r="Z2958" s="30">
        <f t="shared" si="92"/>
        <v>6763.7822038320437</v>
      </c>
      <c r="AA2958" s="30">
        <f t="shared" si="93"/>
        <v>0</v>
      </c>
      <c r="AB2958" t="s">
        <v>457</v>
      </c>
    </row>
    <row r="2959" spans="1:28">
      <c r="A2959" t="s">
        <v>113</v>
      </c>
      <c r="C2959" s="92">
        <v>4615475853</v>
      </c>
      <c r="D2959" s="93">
        <v>19175</v>
      </c>
      <c r="F2959" s="94">
        <v>16</v>
      </c>
      <c r="G2959" s="94">
        <v>0</v>
      </c>
      <c r="H2959" s="91">
        <v>0</v>
      </c>
      <c r="I2959" s="91">
        <v>0</v>
      </c>
      <c r="J2959" s="41"/>
      <c r="K2959" s="41">
        <v>43373</v>
      </c>
      <c r="L2959" s="69" t="s">
        <v>80</v>
      </c>
      <c r="M2959" s="69" t="s">
        <v>286</v>
      </c>
      <c r="N2959" s="98"/>
      <c r="P2959" t="s">
        <v>95</v>
      </c>
      <c r="Q2959" t="s">
        <v>133</v>
      </c>
      <c r="R2959" s="92" t="s">
        <v>69</v>
      </c>
      <c r="S2959" s="92" t="s">
        <v>115</v>
      </c>
      <c r="V2959" s="95">
        <v>43373</v>
      </c>
      <c r="W2959" s="92" t="s">
        <v>380</v>
      </c>
      <c r="X2959" s="90"/>
      <c r="Y2959" s="123"/>
      <c r="Z2959" s="30">
        <f t="shared" si="92"/>
        <v>6763.7822038320437</v>
      </c>
      <c r="AA2959" s="30">
        <f t="shared" si="93"/>
        <v>0</v>
      </c>
      <c r="AB2959" t="s">
        <v>457</v>
      </c>
    </row>
    <row r="2960" spans="1:28">
      <c r="A2960" t="s">
        <v>113</v>
      </c>
      <c r="C2960" s="92">
        <v>4615475853</v>
      </c>
      <c r="D2960" s="93">
        <v>19175</v>
      </c>
      <c r="F2960" s="94">
        <v>16</v>
      </c>
      <c r="G2960" s="94">
        <v>0</v>
      </c>
      <c r="H2960" s="91">
        <v>0</v>
      </c>
      <c r="I2960" s="91">
        <v>0</v>
      </c>
      <c r="J2960" s="41"/>
      <c r="K2960" s="41">
        <v>43373</v>
      </c>
      <c r="L2960" s="69" t="s">
        <v>80</v>
      </c>
      <c r="M2960" s="69" t="s">
        <v>286</v>
      </c>
      <c r="N2960" s="98"/>
      <c r="P2960" t="s">
        <v>95</v>
      </c>
      <c r="Q2960" t="s">
        <v>133</v>
      </c>
      <c r="R2960" s="92" t="s">
        <v>69</v>
      </c>
      <c r="S2960" s="92" t="s">
        <v>115</v>
      </c>
      <c r="V2960" s="95">
        <v>43373</v>
      </c>
      <c r="W2960" s="92" t="s">
        <v>380</v>
      </c>
      <c r="X2960" s="90"/>
      <c r="Y2960" s="123"/>
      <c r="Z2960" s="30">
        <f t="shared" si="92"/>
        <v>6763.7822038320437</v>
      </c>
      <c r="AA2960" s="30">
        <f t="shared" si="93"/>
        <v>0</v>
      </c>
      <c r="AB2960" t="s">
        <v>457</v>
      </c>
    </row>
    <row r="2961" spans="1:28">
      <c r="A2961" t="s">
        <v>113</v>
      </c>
      <c r="C2961" s="92">
        <v>4615475853</v>
      </c>
      <c r="D2961" s="93">
        <v>19175</v>
      </c>
      <c r="F2961" s="94">
        <v>16</v>
      </c>
      <c r="G2961" s="94">
        <v>0</v>
      </c>
      <c r="H2961" s="91">
        <v>0</v>
      </c>
      <c r="I2961" s="91">
        <v>0</v>
      </c>
      <c r="J2961" s="41"/>
      <c r="K2961" s="41">
        <v>43373</v>
      </c>
      <c r="L2961" s="69" t="s">
        <v>80</v>
      </c>
      <c r="M2961" s="69" t="s">
        <v>286</v>
      </c>
      <c r="N2961" s="98"/>
      <c r="P2961" t="s">
        <v>95</v>
      </c>
      <c r="Q2961" t="s">
        <v>133</v>
      </c>
      <c r="R2961" s="92" t="s">
        <v>69</v>
      </c>
      <c r="S2961" s="92" t="s">
        <v>115</v>
      </c>
      <c r="V2961" s="95">
        <v>43373</v>
      </c>
      <c r="W2961" s="92" t="s">
        <v>380</v>
      </c>
      <c r="X2961" s="90"/>
      <c r="Y2961" s="123"/>
      <c r="Z2961" s="30">
        <f t="shared" si="92"/>
        <v>6763.7822038320437</v>
      </c>
      <c r="AA2961" s="30">
        <f t="shared" si="93"/>
        <v>0</v>
      </c>
      <c r="AB2961" t="s">
        <v>457</v>
      </c>
    </row>
    <row r="2962" spans="1:28">
      <c r="A2962" t="s">
        <v>113</v>
      </c>
      <c r="C2962" s="92">
        <v>4615475853</v>
      </c>
      <c r="D2962" s="93">
        <v>19175</v>
      </c>
      <c r="F2962" s="94">
        <v>16</v>
      </c>
      <c r="G2962" s="94">
        <v>0</v>
      </c>
      <c r="H2962" s="91">
        <v>0</v>
      </c>
      <c r="I2962" s="91">
        <v>0</v>
      </c>
      <c r="J2962" s="41"/>
      <c r="K2962" s="41">
        <v>43373</v>
      </c>
      <c r="L2962" s="69" t="s">
        <v>80</v>
      </c>
      <c r="M2962" s="69" t="s">
        <v>286</v>
      </c>
      <c r="N2962" s="98"/>
      <c r="P2962" t="s">
        <v>95</v>
      </c>
      <c r="Q2962" t="s">
        <v>133</v>
      </c>
      <c r="R2962" s="92" t="s">
        <v>69</v>
      </c>
      <c r="S2962" s="92" t="s">
        <v>115</v>
      </c>
      <c r="V2962" s="95">
        <v>43373</v>
      </c>
      <c r="W2962" s="92" t="s">
        <v>380</v>
      </c>
      <c r="X2962" s="90"/>
      <c r="Y2962" s="123"/>
      <c r="Z2962" s="30">
        <f t="shared" si="92"/>
        <v>6763.7822038320437</v>
      </c>
      <c r="AA2962" s="30">
        <f t="shared" si="93"/>
        <v>0</v>
      </c>
      <c r="AB2962" t="s">
        <v>457</v>
      </c>
    </row>
    <row r="2963" spans="1:28">
      <c r="A2963" t="s">
        <v>113</v>
      </c>
      <c r="C2963" s="92">
        <v>4615475853</v>
      </c>
      <c r="D2963" s="93">
        <v>19175</v>
      </c>
      <c r="F2963" s="94">
        <v>16</v>
      </c>
      <c r="G2963" s="94">
        <v>0</v>
      </c>
      <c r="H2963" s="91">
        <v>0</v>
      </c>
      <c r="I2963" s="91">
        <v>0</v>
      </c>
      <c r="J2963" s="41"/>
      <c r="K2963" s="41">
        <v>43373</v>
      </c>
      <c r="L2963" s="69" t="s">
        <v>80</v>
      </c>
      <c r="M2963" s="69" t="s">
        <v>286</v>
      </c>
      <c r="N2963" s="98"/>
      <c r="P2963" t="s">
        <v>95</v>
      </c>
      <c r="Q2963" t="s">
        <v>133</v>
      </c>
      <c r="R2963" s="92" t="s">
        <v>69</v>
      </c>
      <c r="S2963" s="92" t="s">
        <v>115</v>
      </c>
      <c r="V2963" s="95">
        <v>43373</v>
      </c>
      <c r="W2963" s="92" t="s">
        <v>380</v>
      </c>
      <c r="X2963" s="90"/>
      <c r="Y2963" s="123"/>
      <c r="Z2963" s="30">
        <f t="shared" si="92"/>
        <v>6763.7822038320437</v>
      </c>
      <c r="AA2963" s="30">
        <f t="shared" si="93"/>
        <v>0</v>
      </c>
      <c r="AB2963" t="s">
        <v>457</v>
      </c>
    </row>
    <row r="2964" spans="1:28">
      <c r="A2964" t="s">
        <v>113</v>
      </c>
      <c r="C2964" s="92">
        <v>4615475853</v>
      </c>
      <c r="D2964" s="93">
        <v>19175</v>
      </c>
      <c r="F2964" s="94">
        <v>16</v>
      </c>
      <c r="G2964" s="94">
        <v>0</v>
      </c>
      <c r="H2964" s="91">
        <v>0</v>
      </c>
      <c r="I2964" s="91">
        <v>0</v>
      </c>
      <c r="J2964" s="41"/>
      <c r="K2964" s="41">
        <v>43373</v>
      </c>
      <c r="L2964" s="69" t="s">
        <v>80</v>
      </c>
      <c r="M2964" s="69" t="s">
        <v>286</v>
      </c>
      <c r="N2964" s="98"/>
      <c r="P2964" t="s">
        <v>95</v>
      </c>
      <c r="Q2964" t="s">
        <v>133</v>
      </c>
      <c r="R2964" s="92" t="s">
        <v>69</v>
      </c>
      <c r="S2964" s="92" t="s">
        <v>115</v>
      </c>
      <c r="V2964" s="95">
        <v>43373</v>
      </c>
      <c r="W2964" s="92" t="s">
        <v>380</v>
      </c>
      <c r="X2964" s="90"/>
      <c r="Y2964" s="123"/>
      <c r="Z2964" s="30">
        <f t="shared" si="92"/>
        <v>6763.7822038320437</v>
      </c>
      <c r="AA2964" s="30">
        <f t="shared" si="93"/>
        <v>0</v>
      </c>
      <c r="AB2964" t="s">
        <v>457</v>
      </c>
    </row>
    <row r="2965" spans="1:28">
      <c r="A2965" t="s">
        <v>113</v>
      </c>
      <c r="C2965" s="92">
        <v>4615475853</v>
      </c>
      <c r="D2965" s="93">
        <v>19175</v>
      </c>
      <c r="F2965" s="94">
        <v>16</v>
      </c>
      <c r="G2965" s="94">
        <v>0</v>
      </c>
      <c r="H2965" s="91">
        <v>0</v>
      </c>
      <c r="I2965" s="91">
        <v>0</v>
      </c>
      <c r="J2965" s="41"/>
      <c r="K2965" s="41">
        <v>43373</v>
      </c>
      <c r="L2965" s="69" t="s">
        <v>80</v>
      </c>
      <c r="M2965" s="69" t="s">
        <v>286</v>
      </c>
      <c r="N2965" s="98"/>
      <c r="P2965" t="s">
        <v>95</v>
      </c>
      <c r="Q2965" t="s">
        <v>133</v>
      </c>
      <c r="R2965" s="92" t="s">
        <v>69</v>
      </c>
      <c r="S2965" s="92" t="s">
        <v>115</v>
      </c>
      <c r="V2965" s="95">
        <v>43373</v>
      </c>
      <c r="W2965" s="92" t="s">
        <v>380</v>
      </c>
      <c r="X2965" s="90"/>
      <c r="Y2965" s="123"/>
      <c r="Z2965" s="30">
        <f t="shared" si="92"/>
        <v>6763.7822038320437</v>
      </c>
      <c r="AA2965" s="30">
        <f t="shared" si="93"/>
        <v>0</v>
      </c>
      <c r="AB2965" t="s">
        <v>457</v>
      </c>
    </row>
    <row r="2966" spans="1:28">
      <c r="A2966" t="s">
        <v>113</v>
      </c>
      <c r="C2966" s="104" t="s">
        <v>161</v>
      </c>
      <c r="D2966" s="105">
        <v>21600</v>
      </c>
      <c r="F2966" s="91">
        <v>16</v>
      </c>
      <c r="G2966" s="96">
        <v>5</v>
      </c>
      <c r="H2966" s="94">
        <v>0</v>
      </c>
      <c r="I2966" s="91">
        <v>0</v>
      </c>
      <c r="J2966" s="41"/>
      <c r="K2966" s="41">
        <v>43373</v>
      </c>
      <c r="L2966" s="69" t="s">
        <v>80</v>
      </c>
      <c r="M2966" s="69" t="s">
        <v>286</v>
      </c>
      <c r="N2966" s="95"/>
      <c r="P2966" t="s">
        <v>95</v>
      </c>
      <c r="Q2966" t="s">
        <v>133</v>
      </c>
      <c r="R2966" s="92" t="s">
        <v>69</v>
      </c>
      <c r="S2966" s="92" t="s">
        <v>115</v>
      </c>
      <c r="V2966" s="95">
        <v>43373</v>
      </c>
      <c r="W2966" s="104" t="s">
        <v>381</v>
      </c>
      <c r="X2966" s="90" t="s">
        <v>196</v>
      </c>
      <c r="Y2966" s="123"/>
      <c r="Z2966" s="30">
        <f t="shared" si="92"/>
        <v>7619.1757811093694</v>
      </c>
      <c r="AA2966" s="30">
        <f t="shared" si="93"/>
        <v>2380.9924315966778</v>
      </c>
      <c r="AB2966" t="s">
        <v>457</v>
      </c>
    </row>
    <row r="2967" spans="1:28">
      <c r="A2967" t="s">
        <v>113</v>
      </c>
      <c r="C2967" s="104" t="s">
        <v>161</v>
      </c>
      <c r="D2967" s="105">
        <v>21600</v>
      </c>
      <c r="F2967" s="91">
        <v>16</v>
      </c>
      <c r="G2967" s="96">
        <v>5</v>
      </c>
      <c r="H2967" s="94">
        <v>0</v>
      </c>
      <c r="I2967" s="91">
        <v>0</v>
      </c>
      <c r="J2967" s="41"/>
      <c r="K2967" s="41">
        <v>43373</v>
      </c>
      <c r="L2967" s="69" t="s">
        <v>80</v>
      </c>
      <c r="M2967" s="69" t="s">
        <v>286</v>
      </c>
      <c r="N2967" s="95"/>
      <c r="P2967" t="s">
        <v>95</v>
      </c>
      <c r="Q2967" t="s">
        <v>133</v>
      </c>
      <c r="R2967" s="92" t="s">
        <v>69</v>
      </c>
      <c r="S2967" s="92" t="s">
        <v>115</v>
      </c>
      <c r="V2967" s="95">
        <v>43373</v>
      </c>
      <c r="W2967" s="104" t="s">
        <v>381</v>
      </c>
      <c r="X2967" s="90" t="s">
        <v>196</v>
      </c>
      <c r="Y2967" s="123"/>
      <c r="Z2967" s="30">
        <f t="shared" si="92"/>
        <v>7619.1757811093694</v>
      </c>
      <c r="AA2967" s="30">
        <f t="shared" si="93"/>
        <v>2380.9924315966778</v>
      </c>
      <c r="AB2967" t="s">
        <v>457</v>
      </c>
    </row>
    <row r="2968" spans="1:28">
      <c r="A2968" t="s">
        <v>113</v>
      </c>
      <c r="C2968" s="104" t="s">
        <v>161</v>
      </c>
      <c r="D2968" s="105">
        <v>21600</v>
      </c>
      <c r="F2968" s="91">
        <v>16</v>
      </c>
      <c r="G2968" s="96">
        <v>5</v>
      </c>
      <c r="H2968" s="94">
        <v>0</v>
      </c>
      <c r="I2968" s="91">
        <v>0</v>
      </c>
      <c r="J2968" s="41"/>
      <c r="K2968" s="41">
        <v>43373</v>
      </c>
      <c r="L2968" s="69" t="s">
        <v>80</v>
      </c>
      <c r="M2968" s="69" t="s">
        <v>286</v>
      </c>
      <c r="N2968" s="95"/>
      <c r="P2968" t="s">
        <v>95</v>
      </c>
      <c r="Q2968" t="s">
        <v>133</v>
      </c>
      <c r="R2968" s="92" t="s">
        <v>69</v>
      </c>
      <c r="S2968" s="92" t="s">
        <v>115</v>
      </c>
      <c r="V2968" s="95">
        <v>43373</v>
      </c>
      <c r="W2968" s="104" t="s">
        <v>381</v>
      </c>
      <c r="X2968" s="90" t="s">
        <v>196</v>
      </c>
      <c r="Y2968" s="123"/>
      <c r="Z2968" s="30">
        <f t="shared" si="92"/>
        <v>7619.1757811093694</v>
      </c>
      <c r="AA2968" s="30">
        <f t="shared" si="93"/>
        <v>2380.9924315966778</v>
      </c>
      <c r="AB2968" t="s">
        <v>457</v>
      </c>
    </row>
    <row r="2969" spans="1:28">
      <c r="A2969" t="s">
        <v>113</v>
      </c>
      <c r="C2969" s="104" t="s">
        <v>161</v>
      </c>
      <c r="D2969" s="105">
        <v>21600</v>
      </c>
      <c r="F2969" s="91">
        <v>16</v>
      </c>
      <c r="G2969" s="96">
        <v>5</v>
      </c>
      <c r="H2969" s="94">
        <v>0</v>
      </c>
      <c r="I2969" s="91">
        <v>0</v>
      </c>
      <c r="J2969" s="41"/>
      <c r="K2969" s="41">
        <v>43373</v>
      </c>
      <c r="L2969" s="69" t="s">
        <v>80</v>
      </c>
      <c r="M2969" s="69" t="s">
        <v>286</v>
      </c>
      <c r="N2969" s="95"/>
      <c r="P2969" t="s">
        <v>95</v>
      </c>
      <c r="Q2969" t="s">
        <v>133</v>
      </c>
      <c r="R2969" s="92" t="s">
        <v>69</v>
      </c>
      <c r="S2969" s="92" t="s">
        <v>115</v>
      </c>
      <c r="V2969" s="95">
        <v>43373</v>
      </c>
      <c r="W2969" s="104" t="s">
        <v>381</v>
      </c>
      <c r="X2969" s="90" t="s">
        <v>196</v>
      </c>
      <c r="Y2969" s="123"/>
      <c r="Z2969" s="30">
        <f t="shared" si="92"/>
        <v>7619.1757811093694</v>
      </c>
      <c r="AA2969" s="30">
        <f t="shared" si="93"/>
        <v>2380.9924315966778</v>
      </c>
      <c r="AB2969" t="s">
        <v>457</v>
      </c>
    </row>
    <row r="2970" spans="1:28">
      <c r="A2970" t="s">
        <v>113</v>
      </c>
      <c r="C2970" s="104" t="s">
        <v>161</v>
      </c>
      <c r="D2970" s="105">
        <v>21600</v>
      </c>
      <c r="F2970" s="91">
        <v>16</v>
      </c>
      <c r="G2970" s="96">
        <v>5</v>
      </c>
      <c r="H2970" s="94">
        <v>0</v>
      </c>
      <c r="I2970" s="91">
        <v>0</v>
      </c>
      <c r="J2970" s="41"/>
      <c r="K2970" s="41">
        <v>43373</v>
      </c>
      <c r="L2970" s="69" t="s">
        <v>80</v>
      </c>
      <c r="M2970" s="69" t="s">
        <v>286</v>
      </c>
      <c r="N2970" s="95"/>
      <c r="P2970" t="s">
        <v>95</v>
      </c>
      <c r="Q2970" t="s">
        <v>133</v>
      </c>
      <c r="R2970" s="92" t="s">
        <v>69</v>
      </c>
      <c r="S2970" s="92" t="s">
        <v>115</v>
      </c>
      <c r="V2970" s="95">
        <v>43373</v>
      </c>
      <c r="W2970" s="104" t="s">
        <v>381</v>
      </c>
      <c r="X2970" s="90" t="s">
        <v>196</v>
      </c>
      <c r="Y2970" s="123"/>
      <c r="Z2970" s="30">
        <f t="shared" si="92"/>
        <v>7619.1757811093694</v>
      </c>
      <c r="AA2970" s="30">
        <f t="shared" si="93"/>
        <v>2380.9924315966778</v>
      </c>
      <c r="AB2970" t="s">
        <v>457</v>
      </c>
    </row>
    <row r="2971" spans="1:28">
      <c r="A2971" t="s">
        <v>113</v>
      </c>
      <c r="C2971" s="104" t="s">
        <v>161</v>
      </c>
      <c r="D2971" s="105">
        <v>21600</v>
      </c>
      <c r="F2971" s="91">
        <v>16</v>
      </c>
      <c r="G2971" s="96">
        <v>5</v>
      </c>
      <c r="H2971" s="94">
        <v>0</v>
      </c>
      <c r="I2971" s="91">
        <v>0</v>
      </c>
      <c r="J2971" s="41"/>
      <c r="K2971" s="41">
        <v>43373</v>
      </c>
      <c r="L2971" s="69" t="s">
        <v>80</v>
      </c>
      <c r="M2971" s="69" t="s">
        <v>286</v>
      </c>
      <c r="N2971" s="95"/>
      <c r="P2971" t="s">
        <v>95</v>
      </c>
      <c r="Q2971" t="s">
        <v>133</v>
      </c>
      <c r="R2971" s="92" t="s">
        <v>69</v>
      </c>
      <c r="S2971" s="92" t="s">
        <v>115</v>
      </c>
      <c r="V2971" s="95">
        <v>43373</v>
      </c>
      <c r="W2971" s="104" t="s">
        <v>381</v>
      </c>
      <c r="X2971" s="90" t="s">
        <v>196</v>
      </c>
      <c r="Y2971" s="123"/>
      <c r="Z2971" s="30">
        <f t="shared" si="92"/>
        <v>7619.1757811093694</v>
      </c>
      <c r="AA2971" s="30">
        <f t="shared" si="93"/>
        <v>2380.9924315966778</v>
      </c>
      <c r="AB2971" t="s">
        <v>457</v>
      </c>
    </row>
    <row r="2972" spans="1:28">
      <c r="A2972" t="s">
        <v>113</v>
      </c>
      <c r="C2972" s="104" t="s">
        <v>161</v>
      </c>
      <c r="D2972" s="105">
        <v>21600</v>
      </c>
      <c r="F2972" s="91">
        <v>16</v>
      </c>
      <c r="G2972" s="96">
        <v>5</v>
      </c>
      <c r="H2972" s="94">
        <v>0</v>
      </c>
      <c r="I2972" s="91">
        <v>0</v>
      </c>
      <c r="J2972" s="41"/>
      <c r="K2972" s="41">
        <v>43373</v>
      </c>
      <c r="L2972" s="69" t="s">
        <v>80</v>
      </c>
      <c r="M2972" s="69" t="s">
        <v>286</v>
      </c>
      <c r="N2972" s="95"/>
      <c r="P2972" t="s">
        <v>95</v>
      </c>
      <c r="Q2972" t="s">
        <v>133</v>
      </c>
      <c r="R2972" s="92" t="s">
        <v>69</v>
      </c>
      <c r="S2972" s="92" t="s">
        <v>115</v>
      </c>
      <c r="V2972" s="95">
        <v>43373</v>
      </c>
      <c r="W2972" s="104" t="s">
        <v>381</v>
      </c>
      <c r="X2972" s="90" t="s">
        <v>196</v>
      </c>
      <c r="Y2972" s="123"/>
      <c r="Z2972" s="30">
        <f t="shared" si="92"/>
        <v>7619.1757811093694</v>
      </c>
      <c r="AA2972" s="30">
        <f t="shared" si="93"/>
        <v>2380.9924315966778</v>
      </c>
      <c r="AB2972" t="s">
        <v>457</v>
      </c>
    </row>
    <row r="2973" spans="1:28">
      <c r="A2973" t="s">
        <v>113</v>
      </c>
      <c r="C2973" s="104" t="s">
        <v>161</v>
      </c>
      <c r="D2973" s="105">
        <v>21600</v>
      </c>
      <c r="F2973" s="91">
        <v>16</v>
      </c>
      <c r="G2973" s="96">
        <v>5</v>
      </c>
      <c r="H2973" s="94">
        <v>0</v>
      </c>
      <c r="I2973" s="91">
        <v>0</v>
      </c>
      <c r="J2973" s="41"/>
      <c r="K2973" s="41">
        <v>43373</v>
      </c>
      <c r="L2973" s="69" t="s">
        <v>80</v>
      </c>
      <c r="M2973" s="69" t="s">
        <v>286</v>
      </c>
      <c r="N2973" s="95"/>
      <c r="P2973" t="s">
        <v>95</v>
      </c>
      <c r="Q2973" t="s">
        <v>133</v>
      </c>
      <c r="R2973" s="92" t="s">
        <v>69</v>
      </c>
      <c r="S2973" s="92" t="s">
        <v>115</v>
      </c>
      <c r="V2973" s="95">
        <v>43373</v>
      </c>
      <c r="W2973" s="104" t="s">
        <v>381</v>
      </c>
      <c r="X2973" s="90" t="s">
        <v>196</v>
      </c>
      <c r="Y2973" s="123"/>
      <c r="Z2973" s="30">
        <f t="shared" si="92"/>
        <v>7619.1757811093694</v>
      </c>
      <c r="AA2973" s="30">
        <f t="shared" si="93"/>
        <v>2380.9924315966778</v>
      </c>
      <c r="AB2973" t="s">
        <v>457</v>
      </c>
    </row>
    <row r="2974" spans="1:28">
      <c r="A2974" t="s">
        <v>113</v>
      </c>
      <c r="C2974" s="104" t="s">
        <v>161</v>
      </c>
      <c r="D2974" s="105">
        <v>21600</v>
      </c>
      <c r="F2974" s="91">
        <v>16</v>
      </c>
      <c r="G2974" s="96">
        <v>5</v>
      </c>
      <c r="H2974" s="94">
        <v>0</v>
      </c>
      <c r="I2974" s="91">
        <v>0</v>
      </c>
      <c r="J2974" s="41"/>
      <c r="K2974" s="41">
        <v>43373</v>
      </c>
      <c r="L2974" s="69" t="s">
        <v>80</v>
      </c>
      <c r="M2974" s="69" t="s">
        <v>286</v>
      </c>
      <c r="N2974" s="95"/>
      <c r="P2974" t="s">
        <v>95</v>
      </c>
      <c r="Q2974" t="s">
        <v>133</v>
      </c>
      <c r="R2974" s="92" t="s">
        <v>69</v>
      </c>
      <c r="S2974" s="92" t="s">
        <v>115</v>
      </c>
      <c r="V2974" s="95">
        <v>43373</v>
      </c>
      <c r="W2974" s="104" t="s">
        <v>381</v>
      </c>
      <c r="X2974" s="90" t="s">
        <v>196</v>
      </c>
      <c r="Y2974" s="123"/>
      <c r="Z2974" s="30">
        <f t="shared" si="92"/>
        <v>7619.1757811093694</v>
      </c>
      <c r="AA2974" s="30">
        <f t="shared" si="93"/>
        <v>2380.9924315966778</v>
      </c>
      <c r="AB2974" t="s">
        <v>457</v>
      </c>
    </row>
    <row r="2975" spans="1:28">
      <c r="A2975" t="s">
        <v>113</v>
      </c>
      <c r="C2975" s="104" t="s">
        <v>161</v>
      </c>
      <c r="D2975" s="105">
        <v>21600</v>
      </c>
      <c r="F2975" s="91">
        <v>16</v>
      </c>
      <c r="G2975" s="96">
        <v>5</v>
      </c>
      <c r="H2975" s="94">
        <v>0</v>
      </c>
      <c r="I2975" s="91">
        <v>0</v>
      </c>
      <c r="J2975" s="41"/>
      <c r="K2975" s="41">
        <v>43373</v>
      </c>
      <c r="L2975" s="69" t="s">
        <v>80</v>
      </c>
      <c r="M2975" s="69" t="s">
        <v>286</v>
      </c>
      <c r="N2975" s="95"/>
      <c r="P2975" t="s">
        <v>95</v>
      </c>
      <c r="Q2975" t="s">
        <v>133</v>
      </c>
      <c r="R2975" s="92" t="s">
        <v>69</v>
      </c>
      <c r="S2975" s="92" t="s">
        <v>115</v>
      </c>
      <c r="V2975" s="95">
        <v>43373</v>
      </c>
      <c r="W2975" s="104" t="s">
        <v>381</v>
      </c>
      <c r="X2975" s="90" t="s">
        <v>196</v>
      </c>
      <c r="Y2975" s="123"/>
      <c r="Z2975" s="30">
        <f t="shared" si="92"/>
        <v>7619.1757811093694</v>
      </c>
      <c r="AA2975" s="30">
        <f t="shared" si="93"/>
        <v>2380.9924315966778</v>
      </c>
      <c r="AB2975" t="s">
        <v>457</v>
      </c>
    </row>
    <row r="2976" spans="1:28">
      <c r="A2976" t="s">
        <v>113</v>
      </c>
      <c r="C2976" s="104" t="s">
        <v>161</v>
      </c>
      <c r="D2976" s="105">
        <v>21600</v>
      </c>
      <c r="F2976" s="91">
        <v>16</v>
      </c>
      <c r="G2976" s="96">
        <v>5</v>
      </c>
      <c r="H2976" s="94">
        <v>0</v>
      </c>
      <c r="I2976" s="91">
        <v>0</v>
      </c>
      <c r="J2976" s="41"/>
      <c r="K2976" s="41">
        <v>43373</v>
      </c>
      <c r="L2976" s="69" t="s">
        <v>80</v>
      </c>
      <c r="M2976" s="69" t="s">
        <v>286</v>
      </c>
      <c r="N2976" s="95"/>
      <c r="P2976" t="s">
        <v>95</v>
      </c>
      <c r="Q2976" t="s">
        <v>133</v>
      </c>
      <c r="R2976" s="92" t="s">
        <v>69</v>
      </c>
      <c r="S2976" s="92" t="s">
        <v>115</v>
      </c>
      <c r="V2976" s="95">
        <v>43373</v>
      </c>
      <c r="W2976" s="104" t="s">
        <v>381</v>
      </c>
      <c r="X2976" s="90" t="s">
        <v>196</v>
      </c>
      <c r="Y2976" s="123"/>
      <c r="Z2976" s="30">
        <f t="shared" si="92"/>
        <v>7619.1757811093694</v>
      </c>
      <c r="AA2976" s="30">
        <f t="shared" si="93"/>
        <v>2380.9924315966778</v>
      </c>
      <c r="AB2976" t="s">
        <v>457</v>
      </c>
    </row>
    <row r="2977" spans="1:28">
      <c r="A2977" t="s">
        <v>113</v>
      </c>
      <c r="C2977" s="104" t="s">
        <v>161</v>
      </c>
      <c r="D2977" s="105">
        <v>21600</v>
      </c>
      <c r="F2977" s="91">
        <v>16</v>
      </c>
      <c r="G2977" s="96">
        <v>5</v>
      </c>
      <c r="H2977" s="94">
        <v>0</v>
      </c>
      <c r="I2977" s="91">
        <v>0</v>
      </c>
      <c r="J2977" s="41"/>
      <c r="K2977" s="41">
        <v>43373</v>
      </c>
      <c r="L2977" s="69" t="s">
        <v>80</v>
      </c>
      <c r="M2977" s="69" t="s">
        <v>286</v>
      </c>
      <c r="N2977" s="95"/>
      <c r="P2977" t="s">
        <v>95</v>
      </c>
      <c r="Q2977" t="s">
        <v>133</v>
      </c>
      <c r="R2977" s="92" t="s">
        <v>69</v>
      </c>
      <c r="S2977" s="92" t="s">
        <v>115</v>
      </c>
      <c r="V2977" s="95">
        <v>43373</v>
      </c>
      <c r="W2977" s="104" t="s">
        <v>381</v>
      </c>
      <c r="X2977" s="90" t="s">
        <v>196</v>
      </c>
      <c r="Y2977" s="123"/>
      <c r="Z2977" s="30">
        <f t="shared" si="92"/>
        <v>7619.1757811093694</v>
      </c>
      <c r="AA2977" s="30">
        <f t="shared" si="93"/>
        <v>2380.9924315966778</v>
      </c>
      <c r="AB2977" t="s">
        <v>457</v>
      </c>
    </row>
    <row r="2978" spans="1:28">
      <c r="A2978" t="s">
        <v>136</v>
      </c>
      <c r="C2978" s="92">
        <v>4615458453</v>
      </c>
      <c r="D2978" s="93">
        <v>19175</v>
      </c>
      <c r="F2978" s="91">
        <v>10</v>
      </c>
      <c r="G2978" s="91">
        <v>0</v>
      </c>
      <c r="H2978" s="94">
        <v>0</v>
      </c>
      <c r="I2978" s="91">
        <v>0</v>
      </c>
      <c r="J2978" s="41"/>
      <c r="K2978" s="41">
        <v>43404</v>
      </c>
      <c r="L2978" s="69" t="s">
        <v>80</v>
      </c>
      <c r="M2978" s="69" t="s">
        <v>286</v>
      </c>
      <c r="N2978" s="95"/>
      <c r="P2978" t="s">
        <v>95</v>
      </c>
      <c r="Q2978" t="s">
        <v>129</v>
      </c>
      <c r="R2978" s="92" t="s">
        <v>69</v>
      </c>
      <c r="S2978" s="92" t="s">
        <v>138</v>
      </c>
      <c r="V2978" s="95">
        <v>43404</v>
      </c>
      <c r="W2978" s="92">
        <v>415580163</v>
      </c>
      <c r="X2978" s="90"/>
      <c r="Y2978" s="123"/>
      <c r="Z2978" s="30">
        <f t="shared" si="92"/>
        <v>4227.3638773950279</v>
      </c>
      <c r="AA2978" s="30">
        <f t="shared" si="93"/>
        <v>0</v>
      </c>
      <c r="AB2978" t="s">
        <v>457</v>
      </c>
    </row>
    <row r="2979" spans="1:28">
      <c r="A2979" t="s">
        <v>136</v>
      </c>
      <c r="C2979" s="92">
        <v>4615458453</v>
      </c>
      <c r="D2979" s="93">
        <v>19175</v>
      </c>
      <c r="F2979" s="91">
        <v>10</v>
      </c>
      <c r="G2979" s="91">
        <v>0</v>
      </c>
      <c r="H2979" s="94">
        <v>0</v>
      </c>
      <c r="I2979" s="91">
        <v>0</v>
      </c>
      <c r="J2979" s="41"/>
      <c r="K2979" s="41">
        <v>43404</v>
      </c>
      <c r="L2979" s="69" t="s">
        <v>80</v>
      </c>
      <c r="M2979" s="69" t="s">
        <v>286</v>
      </c>
      <c r="N2979" s="95"/>
      <c r="P2979" t="s">
        <v>95</v>
      </c>
      <c r="Q2979" t="s">
        <v>129</v>
      </c>
      <c r="R2979" s="92" t="s">
        <v>69</v>
      </c>
      <c r="S2979" s="92" t="s">
        <v>138</v>
      </c>
      <c r="V2979" s="95">
        <v>43404</v>
      </c>
      <c r="W2979" s="92">
        <v>415580163</v>
      </c>
      <c r="X2979" s="90"/>
      <c r="Y2979" s="123"/>
      <c r="Z2979" s="30">
        <f t="shared" si="92"/>
        <v>4227.3638773950279</v>
      </c>
      <c r="AA2979" s="30">
        <f t="shared" si="93"/>
        <v>0</v>
      </c>
      <c r="AB2979" t="s">
        <v>457</v>
      </c>
    </row>
    <row r="2980" spans="1:28">
      <c r="A2980" t="s">
        <v>136</v>
      </c>
      <c r="C2980" s="92">
        <v>4615458453</v>
      </c>
      <c r="D2980" s="93">
        <v>19175</v>
      </c>
      <c r="F2980" s="91">
        <v>10</v>
      </c>
      <c r="G2980" s="91">
        <v>0</v>
      </c>
      <c r="H2980" s="94">
        <v>0</v>
      </c>
      <c r="I2980" s="91">
        <v>0</v>
      </c>
      <c r="J2980" s="41"/>
      <c r="K2980" s="41">
        <v>43404</v>
      </c>
      <c r="L2980" s="69" t="s">
        <v>80</v>
      </c>
      <c r="M2980" s="69" t="s">
        <v>286</v>
      </c>
      <c r="N2980" s="95"/>
      <c r="P2980" t="s">
        <v>95</v>
      </c>
      <c r="Q2980" t="s">
        <v>129</v>
      </c>
      <c r="R2980" s="92" t="s">
        <v>69</v>
      </c>
      <c r="S2980" s="92" t="s">
        <v>138</v>
      </c>
      <c r="V2980" s="95">
        <v>43404</v>
      </c>
      <c r="W2980" s="92">
        <v>415580163</v>
      </c>
      <c r="X2980" s="90"/>
      <c r="Y2980" s="123"/>
      <c r="Z2980" s="30">
        <f t="shared" si="92"/>
        <v>4227.3638773950279</v>
      </c>
      <c r="AA2980" s="30">
        <f t="shared" si="93"/>
        <v>0</v>
      </c>
      <c r="AB2980" t="s">
        <v>457</v>
      </c>
    </row>
    <row r="2981" spans="1:28">
      <c r="A2981" t="s">
        <v>136</v>
      </c>
      <c r="C2981" s="92">
        <v>4615458453</v>
      </c>
      <c r="D2981" s="93">
        <v>19175</v>
      </c>
      <c r="F2981" s="91">
        <v>10</v>
      </c>
      <c r="G2981" s="91">
        <v>0</v>
      </c>
      <c r="H2981" s="94">
        <v>0</v>
      </c>
      <c r="I2981" s="91">
        <v>0</v>
      </c>
      <c r="J2981" s="41"/>
      <c r="K2981" s="41">
        <v>43404</v>
      </c>
      <c r="L2981" s="69" t="s">
        <v>80</v>
      </c>
      <c r="M2981" s="69" t="s">
        <v>286</v>
      </c>
      <c r="N2981" s="95"/>
      <c r="P2981" t="s">
        <v>95</v>
      </c>
      <c r="Q2981" t="s">
        <v>129</v>
      </c>
      <c r="R2981" s="92" t="s">
        <v>69</v>
      </c>
      <c r="S2981" s="92" t="s">
        <v>138</v>
      </c>
      <c r="V2981" s="95">
        <v>43404</v>
      </c>
      <c r="W2981" s="92">
        <v>415580163</v>
      </c>
      <c r="X2981" s="90"/>
      <c r="Y2981" s="123"/>
      <c r="Z2981" s="30">
        <f t="shared" si="92"/>
        <v>4227.3638773950279</v>
      </c>
      <c r="AA2981" s="30">
        <f t="shared" si="93"/>
        <v>0</v>
      </c>
      <c r="AB2981" t="s">
        <v>457</v>
      </c>
    </row>
    <row r="2982" spans="1:28">
      <c r="A2982" t="s">
        <v>136</v>
      </c>
      <c r="C2982" s="92">
        <v>4615458453</v>
      </c>
      <c r="D2982" s="93">
        <v>19175</v>
      </c>
      <c r="F2982" s="91">
        <v>10</v>
      </c>
      <c r="G2982" s="91">
        <v>0</v>
      </c>
      <c r="H2982" s="94">
        <v>0</v>
      </c>
      <c r="I2982" s="91">
        <v>0</v>
      </c>
      <c r="J2982" s="41"/>
      <c r="K2982" s="41">
        <v>43404</v>
      </c>
      <c r="L2982" s="69" t="s">
        <v>80</v>
      </c>
      <c r="M2982" s="69" t="s">
        <v>286</v>
      </c>
      <c r="N2982" s="95"/>
      <c r="P2982" t="s">
        <v>95</v>
      </c>
      <c r="Q2982" t="s">
        <v>129</v>
      </c>
      <c r="R2982" s="92" t="s">
        <v>69</v>
      </c>
      <c r="S2982" s="92" t="s">
        <v>138</v>
      </c>
      <c r="V2982" s="95">
        <v>43404</v>
      </c>
      <c r="W2982" s="92">
        <v>415580163</v>
      </c>
      <c r="X2982" s="90"/>
      <c r="Y2982" s="123"/>
      <c r="Z2982" s="30">
        <f t="shared" si="92"/>
        <v>4227.3638773950279</v>
      </c>
      <c r="AA2982" s="30">
        <f t="shared" si="93"/>
        <v>0</v>
      </c>
      <c r="AB2982" t="s">
        <v>457</v>
      </c>
    </row>
    <row r="2983" spans="1:28">
      <c r="A2983" t="s">
        <v>122</v>
      </c>
      <c r="C2983" s="92">
        <v>4615450831</v>
      </c>
      <c r="D2983" s="93">
        <v>19175</v>
      </c>
      <c r="F2983" s="91">
        <v>16</v>
      </c>
      <c r="G2983" s="96">
        <v>5</v>
      </c>
      <c r="H2983" s="94">
        <v>0</v>
      </c>
      <c r="I2983" s="91">
        <v>0</v>
      </c>
      <c r="J2983" s="41"/>
      <c r="K2983" s="41">
        <v>43404</v>
      </c>
      <c r="L2983" s="69" t="s">
        <v>80</v>
      </c>
      <c r="M2983" s="69" t="s">
        <v>286</v>
      </c>
      <c r="N2983" s="95"/>
      <c r="P2983" t="s">
        <v>95</v>
      </c>
      <c r="Q2983" t="s">
        <v>120</v>
      </c>
      <c r="R2983" s="92" t="s">
        <v>69</v>
      </c>
      <c r="S2983" s="92" t="s">
        <v>123</v>
      </c>
      <c r="V2983" s="95">
        <v>43404</v>
      </c>
      <c r="W2983" s="92">
        <v>2030475</v>
      </c>
      <c r="X2983" s="90"/>
      <c r="Y2983" s="123"/>
      <c r="Z2983" s="30">
        <f t="shared" si="92"/>
        <v>6763.7822038320437</v>
      </c>
      <c r="AA2983" s="30">
        <f t="shared" si="93"/>
        <v>2113.6819386975139</v>
      </c>
      <c r="AB2983" t="s">
        <v>457</v>
      </c>
    </row>
    <row r="2984" spans="1:28">
      <c r="A2984" t="s">
        <v>122</v>
      </c>
      <c r="C2984" s="92">
        <v>4615450831</v>
      </c>
      <c r="D2984" s="93">
        <v>19175</v>
      </c>
      <c r="F2984" s="91">
        <v>16</v>
      </c>
      <c r="G2984" s="96">
        <v>5</v>
      </c>
      <c r="H2984" s="94">
        <v>0</v>
      </c>
      <c r="I2984" s="91">
        <v>0</v>
      </c>
      <c r="J2984" s="41"/>
      <c r="K2984" s="41">
        <v>43404</v>
      </c>
      <c r="L2984" s="69" t="s">
        <v>80</v>
      </c>
      <c r="M2984" s="69" t="s">
        <v>286</v>
      </c>
      <c r="N2984" s="95"/>
      <c r="P2984" t="s">
        <v>95</v>
      </c>
      <c r="Q2984" t="s">
        <v>120</v>
      </c>
      <c r="R2984" s="92" t="s">
        <v>69</v>
      </c>
      <c r="S2984" s="92" t="s">
        <v>123</v>
      </c>
      <c r="V2984" s="95">
        <v>43404</v>
      </c>
      <c r="W2984" s="92">
        <v>2030475</v>
      </c>
      <c r="X2984" s="90"/>
      <c r="Y2984" s="123"/>
      <c r="Z2984" s="30">
        <f t="shared" si="92"/>
        <v>6763.7822038320437</v>
      </c>
      <c r="AA2984" s="30">
        <f t="shared" si="93"/>
        <v>2113.6819386975139</v>
      </c>
      <c r="AB2984" t="s">
        <v>457</v>
      </c>
    </row>
    <row r="2985" spans="1:28">
      <c r="A2985" t="s">
        <v>122</v>
      </c>
      <c r="C2985" s="92">
        <v>4615450831</v>
      </c>
      <c r="D2985" s="93">
        <v>19175</v>
      </c>
      <c r="F2985" s="91">
        <v>16</v>
      </c>
      <c r="G2985" s="96">
        <v>5</v>
      </c>
      <c r="H2985" s="94">
        <v>0</v>
      </c>
      <c r="I2985" s="91">
        <v>0</v>
      </c>
      <c r="J2985" s="41"/>
      <c r="K2985" s="41">
        <v>43404</v>
      </c>
      <c r="L2985" s="69" t="s">
        <v>80</v>
      </c>
      <c r="M2985" s="69" t="s">
        <v>286</v>
      </c>
      <c r="N2985" s="95"/>
      <c r="P2985" t="s">
        <v>95</v>
      </c>
      <c r="Q2985" t="s">
        <v>120</v>
      </c>
      <c r="R2985" s="92" t="s">
        <v>69</v>
      </c>
      <c r="S2985" s="92" t="s">
        <v>123</v>
      </c>
      <c r="V2985" s="95">
        <v>43404</v>
      </c>
      <c r="W2985" s="92">
        <v>2030475</v>
      </c>
      <c r="X2985" s="90"/>
      <c r="Y2985" s="123"/>
      <c r="Z2985" s="30">
        <f t="shared" si="92"/>
        <v>6763.7822038320437</v>
      </c>
      <c r="AA2985" s="30">
        <f t="shared" si="93"/>
        <v>2113.6819386975139</v>
      </c>
      <c r="AB2985" t="s">
        <v>457</v>
      </c>
    </row>
    <row r="2986" spans="1:28">
      <c r="A2986" t="s">
        <v>122</v>
      </c>
      <c r="C2986" s="92">
        <v>4615450831</v>
      </c>
      <c r="D2986" s="93">
        <v>19175</v>
      </c>
      <c r="F2986" s="91">
        <v>16</v>
      </c>
      <c r="G2986" s="96">
        <v>5</v>
      </c>
      <c r="H2986" s="94">
        <v>0</v>
      </c>
      <c r="I2986" s="91">
        <v>0</v>
      </c>
      <c r="J2986" s="41"/>
      <c r="K2986" s="41">
        <v>43404</v>
      </c>
      <c r="L2986" s="69" t="s">
        <v>80</v>
      </c>
      <c r="M2986" s="69" t="s">
        <v>286</v>
      </c>
      <c r="N2986" s="95"/>
      <c r="P2986" t="s">
        <v>95</v>
      </c>
      <c r="Q2986" t="s">
        <v>120</v>
      </c>
      <c r="R2986" s="92" t="s">
        <v>69</v>
      </c>
      <c r="S2986" s="92" t="s">
        <v>123</v>
      </c>
      <c r="V2986" s="95">
        <v>43404</v>
      </c>
      <c r="W2986" s="92">
        <v>2030475</v>
      </c>
      <c r="X2986" s="90"/>
      <c r="Y2986" s="123"/>
      <c r="Z2986" s="30">
        <f t="shared" si="92"/>
        <v>6763.7822038320437</v>
      </c>
      <c r="AA2986" s="30">
        <f t="shared" si="93"/>
        <v>2113.6819386975139</v>
      </c>
      <c r="AB2986" t="s">
        <v>457</v>
      </c>
    </row>
    <row r="2987" spans="1:28">
      <c r="A2987" t="s">
        <v>122</v>
      </c>
      <c r="C2987" s="92">
        <v>4615450831</v>
      </c>
      <c r="D2987" s="93">
        <v>19175</v>
      </c>
      <c r="F2987" s="91">
        <v>16</v>
      </c>
      <c r="G2987" s="96">
        <v>5</v>
      </c>
      <c r="H2987" s="94">
        <v>0</v>
      </c>
      <c r="I2987" s="91">
        <v>0</v>
      </c>
      <c r="J2987" s="41"/>
      <c r="K2987" s="41">
        <v>43404</v>
      </c>
      <c r="L2987" s="69" t="s">
        <v>80</v>
      </c>
      <c r="M2987" s="69" t="s">
        <v>286</v>
      </c>
      <c r="N2987" s="95"/>
      <c r="P2987" t="s">
        <v>95</v>
      </c>
      <c r="Q2987" t="s">
        <v>120</v>
      </c>
      <c r="R2987" s="92" t="s">
        <v>69</v>
      </c>
      <c r="S2987" s="92" t="s">
        <v>123</v>
      </c>
      <c r="V2987" s="95">
        <v>43404</v>
      </c>
      <c r="W2987" s="92">
        <v>2030475</v>
      </c>
      <c r="X2987" s="90"/>
      <c r="Y2987" s="123"/>
      <c r="Z2987" s="30">
        <f t="shared" si="92"/>
        <v>6763.7822038320437</v>
      </c>
      <c r="AA2987" s="30">
        <f t="shared" si="93"/>
        <v>2113.6819386975139</v>
      </c>
      <c r="AB2987" t="s">
        <v>457</v>
      </c>
    </row>
    <row r="2988" spans="1:28">
      <c r="A2988" t="s">
        <v>122</v>
      </c>
      <c r="C2988" s="92">
        <v>4615450831</v>
      </c>
      <c r="D2988" s="93">
        <v>19175</v>
      </c>
      <c r="F2988" s="91">
        <v>16</v>
      </c>
      <c r="G2988" s="96">
        <v>5</v>
      </c>
      <c r="H2988" s="94">
        <v>0</v>
      </c>
      <c r="I2988" s="91">
        <v>0</v>
      </c>
      <c r="J2988" s="41"/>
      <c r="K2988" s="41">
        <v>43404</v>
      </c>
      <c r="L2988" s="69" t="s">
        <v>80</v>
      </c>
      <c r="M2988" s="69" t="s">
        <v>286</v>
      </c>
      <c r="N2988" s="95"/>
      <c r="P2988" t="s">
        <v>95</v>
      </c>
      <c r="Q2988" t="s">
        <v>120</v>
      </c>
      <c r="R2988" s="92" t="s">
        <v>69</v>
      </c>
      <c r="S2988" s="92" t="s">
        <v>123</v>
      </c>
      <c r="V2988" s="95">
        <v>43404</v>
      </c>
      <c r="W2988" s="92">
        <v>2030475</v>
      </c>
      <c r="X2988" s="90"/>
      <c r="Y2988" s="123"/>
      <c r="Z2988" s="30">
        <f t="shared" si="92"/>
        <v>6763.7822038320437</v>
      </c>
      <c r="AA2988" s="30">
        <f t="shared" si="93"/>
        <v>2113.6819386975139</v>
      </c>
      <c r="AB2988" t="s">
        <v>457</v>
      </c>
    </row>
    <row r="2989" spans="1:28">
      <c r="A2989" t="s">
        <v>122</v>
      </c>
      <c r="C2989" s="92">
        <v>4615458661</v>
      </c>
      <c r="D2989" s="93">
        <v>19200</v>
      </c>
      <c r="F2989" s="91">
        <v>16</v>
      </c>
      <c r="G2989" s="96">
        <v>5</v>
      </c>
      <c r="H2989" s="94">
        <v>0</v>
      </c>
      <c r="I2989" s="91">
        <v>0</v>
      </c>
      <c r="J2989" s="41"/>
      <c r="K2989" s="41">
        <v>43404</v>
      </c>
      <c r="L2989" s="69" t="s">
        <v>80</v>
      </c>
      <c r="M2989" s="69" t="s">
        <v>286</v>
      </c>
      <c r="N2989" s="95"/>
      <c r="P2989" t="s">
        <v>95</v>
      </c>
      <c r="Q2989" t="s">
        <v>120</v>
      </c>
      <c r="R2989" s="92" t="s">
        <v>69</v>
      </c>
      <c r="S2989" s="92" t="s">
        <v>123</v>
      </c>
      <c r="V2989" s="95">
        <v>43404</v>
      </c>
      <c r="W2989" s="92">
        <v>2030518</v>
      </c>
      <c r="X2989" s="90"/>
      <c r="Y2989" s="123"/>
      <c r="Z2989" s="30">
        <f t="shared" si="92"/>
        <v>6772.6006943194379</v>
      </c>
      <c r="AA2989" s="30">
        <f t="shared" si="93"/>
        <v>2116.4377169748245</v>
      </c>
      <c r="AB2989" t="s">
        <v>457</v>
      </c>
    </row>
    <row r="2990" spans="1:28">
      <c r="A2990" t="s">
        <v>122</v>
      </c>
      <c r="C2990" s="92">
        <v>4615458661</v>
      </c>
      <c r="D2990" s="93">
        <v>19200</v>
      </c>
      <c r="F2990" s="91">
        <v>16</v>
      </c>
      <c r="G2990" s="96">
        <v>5</v>
      </c>
      <c r="H2990" s="94">
        <v>0</v>
      </c>
      <c r="I2990" s="91">
        <v>0</v>
      </c>
      <c r="J2990" s="41"/>
      <c r="K2990" s="41">
        <v>43404</v>
      </c>
      <c r="L2990" s="69" t="s">
        <v>80</v>
      </c>
      <c r="M2990" s="69" t="s">
        <v>286</v>
      </c>
      <c r="N2990" s="95"/>
      <c r="P2990" t="s">
        <v>95</v>
      </c>
      <c r="Q2990" t="s">
        <v>120</v>
      </c>
      <c r="R2990" s="92" t="s">
        <v>69</v>
      </c>
      <c r="S2990" s="92" t="s">
        <v>123</v>
      </c>
      <c r="V2990" s="95">
        <v>43404</v>
      </c>
      <c r="W2990" s="92">
        <v>2030518</v>
      </c>
      <c r="X2990" s="90"/>
      <c r="Y2990" s="123"/>
      <c r="Z2990" s="30">
        <f t="shared" si="92"/>
        <v>6772.6006943194379</v>
      </c>
      <c r="AA2990" s="30">
        <f t="shared" si="93"/>
        <v>2116.4377169748245</v>
      </c>
      <c r="AB2990" t="s">
        <v>457</v>
      </c>
    </row>
    <row r="2991" spans="1:28">
      <c r="A2991" t="s">
        <v>122</v>
      </c>
      <c r="C2991" s="92">
        <v>4615458661</v>
      </c>
      <c r="D2991" s="93">
        <v>19200</v>
      </c>
      <c r="F2991" s="91">
        <v>16</v>
      </c>
      <c r="G2991" s="96">
        <v>5</v>
      </c>
      <c r="H2991" s="94">
        <v>0</v>
      </c>
      <c r="I2991" s="91">
        <v>0</v>
      </c>
      <c r="J2991" s="41"/>
      <c r="K2991" s="41">
        <v>43404</v>
      </c>
      <c r="L2991" s="69" t="s">
        <v>80</v>
      </c>
      <c r="M2991" s="69" t="s">
        <v>286</v>
      </c>
      <c r="N2991" s="95"/>
      <c r="P2991" t="s">
        <v>95</v>
      </c>
      <c r="Q2991" t="s">
        <v>120</v>
      </c>
      <c r="R2991" s="92" t="s">
        <v>69</v>
      </c>
      <c r="S2991" s="92" t="s">
        <v>123</v>
      </c>
      <c r="V2991" s="95">
        <v>43404</v>
      </c>
      <c r="W2991" s="92">
        <v>2030518</v>
      </c>
      <c r="X2991" s="90"/>
      <c r="Y2991" s="123"/>
      <c r="Z2991" s="30">
        <f t="shared" si="92"/>
        <v>6772.6006943194379</v>
      </c>
      <c r="AA2991" s="30">
        <f t="shared" si="93"/>
        <v>2116.4377169748245</v>
      </c>
      <c r="AB2991" t="s">
        <v>457</v>
      </c>
    </row>
    <row r="2992" spans="1:28">
      <c r="A2992" t="s">
        <v>122</v>
      </c>
      <c r="C2992" s="92">
        <v>4615458661</v>
      </c>
      <c r="D2992" s="93">
        <v>19200</v>
      </c>
      <c r="F2992" s="91">
        <v>16</v>
      </c>
      <c r="G2992" s="96">
        <v>5</v>
      </c>
      <c r="H2992" s="94">
        <v>0</v>
      </c>
      <c r="I2992" s="91">
        <v>0</v>
      </c>
      <c r="J2992" s="41"/>
      <c r="K2992" s="41">
        <v>43404</v>
      </c>
      <c r="L2992" s="69" t="s">
        <v>80</v>
      </c>
      <c r="M2992" s="69" t="s">
        <v>286</v>
      </c>
      <c r="N2992" s="95"/>
      <c r="P2992" t="s">
        <v>95</v>
      </c>
      <c r="Q2992" t="s">
        <v>120</v>
      </c>
      <c r="R2992" s="92" t="s">
        <v>69</v>
      </c>
      <c r="S2992" s="92" t="s">
        <v>123</v>
      </c>
      <c r="V2992" s="95">
        <v>43404</v>
      </c>
      <c r="W2992" s="92">
        <v>2030518</v>
      </c>
      <c r="X2992" s="90"/>
      <c r="Y2992" s="123"/>
      <c r="Z2992" s="30">
        <f t="shared" si="92"/>
        <v>6772.6006943194379</v>
      </c>
      <c r="AA2992" s="30">
        <f t="shared" si="93"/>
        <v>2116.4377169748245</v>
      </c>
      <c r="AB2992" t="s">
        <v>457</v>
      </c>
    </row>
    <row r="2993" spans="1:28">
      <c r="A2993" t="s">
        <v>122</v>
      </c>
      <c r="C2993" s="92">
        <v>4615458661</v>
      </c>
      <c r="D2993" s="93">
        <v>19200</v>
      </c>
      <c r="F2993" s="91">
        <v>16</v>
      </c>
      <c r="G2993" s="96">
        <v>5</v>
      </c>
      <c r="H2993" s="94">
        <v>0</v>
      </c>
      <c r="I2993" s="91">
        <v>0</v>
      </c>
      <c r="J2993" s="41"/>
      <c r="K2993" s="41">
        <v>43404</v>
      </c>
      <c r="L2993" s="69" t="s">
        <v>80</v>
      </c>
      <c r="M2993" s="69" t="s">
        <v>286</v>
      </c>
      <c r="N2993" s="95"/>
      <c r="P2993" t="s">
        <v>95</v>
      </c>
      <c r="Q2993" t="s">
        <v>120</v>
      </c>
      <c r="R2993" s="92" t="s">
        <v>69</v>
      </c>
      <c r="S2993" s="92" t="s">
        <v>123</v>
      </c>
      <c r="V2993" s="95">
        <v>43404</v>
      </c>
      <c r="W2993" s="92">
        <v>2030518</v>
      </c>
      <c r="X2993" s="90"/>
      <c r="Y2993" s="123"/>
      <c r="Z2993" s="30">
        <f t="shared" si="92"/>
        <v>6772.6006943194379</v>
      </c>
      <c r="AA2993" s="30">
        <f t="shared" si="93"/>
        <v>2116.4377169748245</v>
      </c>
      <c r="AB2993" t="s">
        <v>457</v>
      </c>
    </row>
    <row r="2994" spans="1:28">
      <c r="A2994" t="s">
        <v>122</v>
      </c>
      <c r="C2994" s="92">
        <v>4615458661</v>
      </c>
      <c r="D2994" s="93">
        <v>19200</v>
      </c>
      <c r="F2994" s="91">
        <v>16</v>
      </c>
      <c r="G2994" s="96">
        <v>5</v>
      </c>
      <c r="H2994" s="94">
        <v>0</v>
      </c>
      <c r="I2994" s="91">
        <v>0</v>
      </c>
      <c r="J2994" s="41"/>
      <c r="K2994" s="41">
        <v>43404</v>
      </c>
      <c r="L2994" s="69" t="s">
        <v>80</v>
      </c>
      <c r="M2994" s="69" t="s">
        <v>286</v>
      </c>
      <c r="N2994" s="95"/>
      <c r="P2994" t="s">
        <v>95</v>
      </c>
      <c r="Q2994" t="s">
        <v>120</v>
      </c>
      <c r="R2994" s="92" t="s">
        <v>69</v>
      </c>
      <c r="S2994" s="92" t="s">
        <v>123</v>
      </c>
      <c r="V2994" s="95">
        <v>43404</v>
      </c>
      <c r="W2994" s="92">
        <v>2030518</v>
      </c>
      <c r="X2994" s="90"/>
      <c r="Y2994" s="123"/>
      <c r="Z2994" s="30">
        <f t="shared" si="92"/>
        <v>6772.6006943194379</v>
      </c>
      <c r="AA2994" s="30">
        <f t="shared" si="93"/>
        <v>2116.4377169748245</v>
      </c>
      <c r="AB2994" t="s">
        <v>457</v>
      </c>
    </row>
    <row r="2995" spans="1:28">
      <c r="A2995" t="s">
        <v>122</v>
      </c>
      <c r="C2995" s="92">
        <v>4615458661</v>
      </c>
      <c r="D2995" s="93">
        <v>19200</v>
      </c>
      <c r="F2995" s="91">
        <v>16</v>
      </c>
      <c r="G2995" s="96">
        <v>5</v>
      </c>
      <c r="H2995" s="94">
        <v>0</v>
      </c>
      <c r="I2995" s="91">
        <v>0</v>
      </c>
      <c r="J2995" s="41"/>
      <c r="K2995" s="41">
        <v>43404</v>
      </c>
      <c r="L2995" s="69" t="s">
        <v>80</v>
      </c>
      <c r="M2995" s="69" t="s">
        <v>286</v>
      </c>
      <c r="N2995" s="95"/>
      <c r="P2995" t="s">
        <v>95</v>
      </c>
      <c r="Q2995" t="s">
        <v>120</v>
      </c>
      <c r="R2995" s="92" t="s">
        <v>69</v>
      </c>
      <c r="S2995" s="92" t="s">
        <v>123</v>
      </c>
      <c r="V2995" s="95">
        <v>43404</v>
      </c>
      <c r="W2995" s="92">
        <v>2030518</v>
      </c>
      <c r="X2995" s="90"/>
      <c r="Y2995" s="123"/>
      <c r="Z2995" s="30">
        <f t="shared" si="92"/>
        <v>6772.6006943194379</v>
      </c>
      <c r="AA2995" s="30">
        <f t="shared" si="93"/>
        <v>2116.4377169748245</v>
      </c>
      <c r="AB2995" t="s">
        <v>457</v>
      </c>
    </row>
    <row r="2996" spans="1:28">
      <c r="A2996" t="s">
        <v>122</v>
      </c>
      <c r="C2996" s="92">
        <v>4615458661</v>
      </c>
      <c r="D2996" s="93">
        <v>19200</v>
      </c>
      <c r="F2996" s="91">
        <v>16</v>
      </c>
      <c r="G2996" s="96">
        <v>5</v>
      </c>
      <c r="H2996" s="94">
        <v>0</v>
      </c>
      <c r="I2996" s="91">
        <v>0</v>
      </c>
      <c r="J2996" s="41"/>
      <c r="K2996" s="41">
        <v>43404</v>
      </c>
      <c r="L2996" s="69" t="s">
        <v>80</v>
      </c>
      <c r="M2996" s="69" t="s">
        <v>286</v>
      </c>
      <c r="N2996" s="95"/>
      <c r="P2996" t="s">
        <v>95</v>
      </c>
      <c r="Q2996" t="s">
        <v>120</v>
      </c>
      <c r="R2996" s="92" t="s">
        <v>69</v>
      </c>
      <c r="S2996" s="92" t="s">
        <v>123</v>
      </c>
      <c r="V2996" s="95">
        <v>43404</v>
      </c>
      <c r="W2996" s="92">
        <v>2030518</v>
      </c>
      <c r="X2996" s="90"/>
      <c r="Y2996" s="123"/>
      <c r="Z2996" s="30">
        <f t="shared" si="92"/>
        <v>6772.6006943194379</v>
      </c>
      <c r="AA2996" s="30">
        <f t="shared" si="93"/>
        <v>2116.4377169748245</v>
      </c>
      <c r="AB2996" t="s">
        <v>457</v>
      </c>
    </row>
    <row r="2997" spans="1:28">
      <c r="A2997" t="s">
        <v>122</v>
      </c>
      <c r="C2997" s="92">
        <v>4615458661</v>
      </c>
      <c r="D2997" s="93">
        <v>19200</v>
      </c>
      <c r="F2997" s="91">
        <v>16</v>
      </c>
      <c r="G2997" s="96">
        <v>5</v>
      </c>
      <c r="H2997" s="94">
        <v>0</v>
      </c>
      <c r="I2997" s="91">
        <v>0</v>
      </c>
      <c r="J2997" s="41"/>
      <c r="K2997" s="41">
        <v>43404</v>
      </c>
      <c r="L2997" s="69" t="s">
        <v>80</v>
      </c>
      <c r="M2997" s="69" t="s">
        <v>286</v>
      </c>
      <c r="N2997" s="95"/>
      <c r="P2997" t="s">
        <v>95</v>
      </c>
      <c r="Q2997" t="s">
        <v>120</v>
      </c>
      <c r="R2997" s="92" t="s">
        <v>69</v>
      </c>
      <c r="S2997" s="92" t="s">
        <v>123</v>
      </c>
      <c r="V2997" s="95">
        <v>43404</v>
      </c>
      <c r="W2997" s="92">
        <v>2030518</v>
      </c>
      <c r="X2997" s="90"/>
      <c r="Y2997" s="123"/>
      <c r="Z2997" s="30">
        <f t="shared" si="92"/>
        <v>6772.6006943194379</v>
      </c>
      <c r="AA2997" s="30">
        <f t="shared" si="93"/>
        <v>2116.4377169748245</v>
      </c>
      <c r="AB2997" t="s">
        <v>457</v>
      </c>
    </row>
    <row r="2998" spans="1:28">
      <c r="A2998" t="s">
        <v>122</v>
      </c>
      <c r="C2998" s="92">
        <v>4615458661</v>
      </c>
      <c r="D2998" s="93">
        <v>19200</v>
      </c>
      <c r="F2998" s="91">
        <v>16</v>
      </c>
      <c r="G2998" s="96">
        <v>5</v>
      </c>
      <c r="H2998" s="94">
        <v>0</v>
      </c>
      <c r="I2998" s="91">
        <v>0</v>
      </c>
      <c r="J2998" s="41"/>
      <c r="K2998" s="41">
        <v>43404</v>
      </c>
      <c r="L2998" s="69" t="s">
        <v>80</v>
      </c>
      <c r="M2998" s="69" t="s">
        <v>286</v>
      </c>
      <c r="N2998" s="95"/>
      <c r="P2998" t="s">
        <v>95</v>
      </c>
      <c r="Q2998" t="s">
        <v>120</v>
      </c>
      <c r="R2998" s="92" t="s">
        <v>69</v>
      </c>
      <c r="S2998" s="92" t="s">
        <v>123</v>
      </c>
      <c r="V2998" s="95">
        <v>43404</v>
      </c>
      <c r="W2998" s="92">
        <v>2030518</v>
      </c>
      <c r="X2998" s="90"/>
      <c r="Y2998" s="123"/>
      <c r="Z2998" s="30">
        <f t="shared" si="92"/>
        <v>6772.6006943194379</v>
      </c>
      <c r="AA2998" s="30">
        <f t="shared" si="93"/>
        <v>2116.4377169748245</v>
      </c>
      <c r="AB2998" t="s">
        <v>457</v>
      </c>
    </row>
    <row r="2999" spans="1:28">
      <c r="A2999" t="s">
        <v>122</v>
      </c>
      <c r="C2999" s="92">
        <v>4615458661</v>
      </c>
      <c r="D2999" s="93">
        <v>19200</v>
      </c>
      <c r="F2999" s="91">
        <v>16</v>
      </c>
      <c r="G2999" s="96">
        <v>5</v>
      </c>
      <c r="H2999" s="94">
        <v>0</v>
      </c>
      <c r="I2999" s="91">
        <v>0</v>
      </c>
      <c r="J2999" s="41"/>
      <c r="K2999" s="41">
        <v>43404</v>
      </c>
      <c r="L2999" s="69" t="s">
        <v>80</v>
      </c>
      <c r="M2999" s="69" t="s">
        <v>286</v>
      </c>
      <c r="N2999" s="95"/>
      <c r="P2999" t="s">
        <v>95</v>
      </c>
      <c r="Q2999" t="s">
        <v>120</v>
      </c>
      <c r="R2999" s="92" t="s">
        <v>69</v>
      </c>
      <c r="S2999" s="92" t="s">
        <v>123</v>
      </c>
      <c r="V2999" s="95">
        <v>43404</v>
      </c>
      <c r="W2999" s="92">
        <v>2030518</v>
      </c>
      <c r="X2999" s="90"/>
      <c r="Y2999" s="123"/>
      <c r="Z2999" s="30">
        <f t="shared" si="92"/>
        <v>6772.6006943194379</v>
      </c>
      <c r="AA2999" s="30">
        <f t="shared" si="93"/>
        <v>2116.4377169748245</v>
      </c>
      <c r="AB2999" t="s">
        <v>457</v>
      </c>
    </row>
    <row r="3000" spans="1:28">
      <c r="A3000" t="s">
        <v>122</v>
      </c>
      <c r="C3000" s="92">
        <v>4615497402</v>
      </c>
      <c r="D3000" s="93">
        <v>19200</v>
      </c>
      <c r="F3000" s="91">
        <v>16</v>
      </c>
      <c r="G3000" s="96">
        <v>5</v>
      </c>
      <c r="H3000" s="94">
        <v>0</v>
      </c>
      <c r="I3000" s="91">
        <v>0</v>
      </c>
      <c r="J3000" s="41"/>
      <c r="K3000" s="41">
        <v>43404</v>
      </c>
      <c r="L3000" s="69" t="s">
        <v>80</v>
      </c>
      <c r="M3000" s="69" t="s">
        <v>286</v>
      </c>
      <c r="N3000" s="95"/>
      <c r="P3000" t="s">
        <v>95</v>
      </c>
      <c r="Q3000" t="s">
        <v>120</v>
      </c>
      <c r="R3000" s="92" t="s">
        <v>69</v>
      </c>
      <c r="S3000" s="92" t="s">
        <v>123</v>
      </c>
      <c r="V3000" s="95">
        <v>43404</v>
      </c>
      <c r="W3000" s="92">
        <v>2030486</v>
      </c>
      <c r="X3000" s="90"/>
      <c r="Y3000" s="123"/>
      <c r="Z3000" s="30">
        <f t="shared" si="92"/>
        <v>6772.6006943194379</v>
      </c>
      <c r="AA3000" s="30">
        <f t="shared" si="93"/>
        <v>2116.4377169748245</v>
      </c>
      <c r="AB3000" t="s">
        <v>457</v>
      </c>
    </row>
    <row r="3001" spans="1:28">
      <c r="A3001" t="s">
        <v>122</v>
      </c>
      <c r="C3001" s="92">
        <v>4615497402</v>
      </c>
      <c r="D3001" s="93">
        <v>19200</v>
      </c>
      <c r="F3001" s="91">
        <v>16</v>
      </c>
      <c r="G3001" s="96">
        <v>5</v>
      </c>
      <c r="H3001" s="94">
        <v>0</v>
      </c>
      <c r="I3001" s="91">
        <v>0</v>
      </c>
      <c r="J3001" s="41"/>
      <c r="K3001" s="41">
        <v>43404</v>
      </c>
      <c r="L3001" s="69" t="s">
        <v>80</v>
      </c>
      <c r="M3001" s="69" t="s">
        <v>286</v>
      </c>
      <c r="N3001" s="95"/>
      <c r="P3001" t="s">
        <v>95</v>
      </c>
      <c r="Q3001" t="s">
        <v>120</v>
      </c>
      <c r="R3001" s="92" t="s">
        <v>69</v>
      </c>
      <c r="S3001" s="92" t="s">
        <v>123</v>
      </c>
      <c r="V3001" s="95">
        <v>43404</v>
      </c>
      <c r="W3001" s="92">
        <v>2030486</v>
      </c>
      <c r="X3001" s="90"/>
      <c r="Y3001" s="123"/>
      <c r="Z3001" s="30">
        <f t="shared" si="92"/>
        <v>6772.6006943194379</v>
      </c>
      <c r="AA3001" s="30">
        <f t="shared" si="93"/>
        <v>2116.4377169748245</v>
      </c>
      <c r="AB3001" t="s">
        <v>457</v>
      </c>
    </row>
    <row r="3002" spans="1:28">
      <c r="A3002" t="s">
        <v>122</v>
      </c>
      <c r="C3002" s="92">
        <v>4615476301</v>
      </c>
      <c r="D3002" s="93">
        <v>19200</v>
      </c>
      <c r="F3002" s="91">
        <v>16</v>
      </c>
      <c r="G3002" s="96">
        <v>5</v>
      </c>
      <c r="H3002" s="94">
        <v>0</v>
      </c>
      <c r="I3002" s="91">
        <v>0</v>
      </c>
      <c r="J3002" s="41"/>
      <c r="K3002" s="41">
        <v>43404</v>
      </c>
      <c r="L3002" s="69" t="s">
        <v>80</v>
      </c>
      <c r="M3002" s="69" t="s">
        <v>286</v>
      </c>
      <c r="N3002" s="95"/>
      <c r="P3002" t="s">
        <v>95</v>
      </c>
      <c r="Q3002" t="s">
        <v>120</v>
      </c>
      <c r="R3002" s="92" t="s">
        <v>69</v>
      </c>
      <c r="S3002" s="92" t="s">
        <v>382</v>
      </c>
      <c r="V3002" s="95">
        <v>43404</v>
      </c>
      <c r="W3002" s="92">
        <v>2030887</v>
      </c>
      <c r="X3002" s="90"/>
      <c r="Y3002" s="123"/>
      <c r="Z3002" s="30">
        <f t="shared" si="92"/>
        <v>6772.6006943194379</v>
      </c>
      <c r="AA3002" s="30">
        <f t="shared" si="93"/>
        <v>2116.4377169748245</v>
      </c>
      <c r="AB3002" t="s">
        <v>457</v>
      </c>
    </row>
    <row r="3003" spans="1:28">
      <c r="A3003" t="s">
        <v>122</v>
      </c>
      <c r="C3003" s="92">
        <v>4615476301</v>
      </c>
      <c r="D3003" s="93">
        <v>19200</v>
      </c>
      <c r="F3003" s="91">
        <v>16</v>
      </c>
      <c r="G3003" s="96">
        <v>5</v>
      </c>
      <c r="H3003" s="94">
        <v>0</v>
      </c>
      <c r="I3003" s="91">
        <v>0</v>
      </c>
      <c r="J3003" s="41"/>
      <c r="K3003" s="41">
        <v>43404</v>
      </c>
      <c r="L3003" s="69" t="s">
        <v>80</v>
      </c>
      <c r="M3003" s="69" t="s">
        <v>286</v>
      </c>
      <c r="N3003" s="95"/>
      <c r="P3003" t="s">
        <v>95</v>
      </c>
      <c r="Q3003" t="s">
        <v>120</v>
      </c>
      <c r="R3003" s="92" t="s">
        <v>69</v>
      </c>
      <c r="S3003" s="92" t="s">
        <v>382</v>
      </c>
      <c r="V3003" s="95">
        <v>43404</v>
      </c>
      <c r="W3003" s="92">
        <v>2030887</v>
      </c>
      <c r="X3003" s="90"/>
      <c r="Y3003" s="123"/>
      <c r="Z3003" s="30">
        <f t="shared" si="92"/>
        <v>6772.6006943194379</v>
      </c>
      <c r="AA3003" s="30">
        <f t="shared" si="93"/>
        <v>2116.4377169748245</v>
      </c>
      <c r="AB3003" t="s">
        <v>457</v>
      </c>
    </row>
    <row r="3004" spans="1:28">
      <c r="A3004" t="s">
        <v>122</v>
      </c>
      <c r="C3004" s="92">
        <v>4615476301</v>
      </c>
      <c r="D3004" s="93">
        <v>19200</v>
      </c>
      <c r="F3004" s="91">
        <v>16</v>
      </c>
      <c r="G3004" s="96">
        <v>5</v>
      </c>
      <c r="H3004" s="94">
        <v>0</v>
      </c>
      <c r="I3004" s="91">
        <v>0</v>
      </c>
      <c r="J3004" s="41"/>
      <c r="K3004" s="41">
        <v>43404</v>
      </c>
      <c r="L3004" s="69" t="s">
        <v>80</v>
      </c>
      <c r="M3004" s="69" t="s">
        <v>286</v>
      </c>
      <c r="N3004" s="95"/>
      <c r="P3004" t="s">
        <v>95</v>
      </c>
      <c r="Q3004" t="s">
        <v>120</v>
      </c>
      <c r="R3004" s="92" t="s">
        <v>69</v>
      </c>
      <c r="S3004" s="92" t="s">
        <v>382</v>
      </c>
      <c r="V3004" s="95">
        <v>43404</v>
      </c>
      <c r="W3004" s="92">
        <v>2030887</v>
      </c>
      <c r="X3004" s="90"/>
      <c r="Y3004" s="123"/>
      <c r="Z3004" s="30">
        <f t="shared" si="92"/>
        <v>6772.6006943194379</v>
      </c>
      <c r="AA3004" s="30">
        <f t="shared" si="93"/>
        <v>2116.4377169748245</v>
      </c>
      <c r="AB3004" t="s">
        <v>457</v>
      </c>
    </row>
    <row r="3005" spans="1:28">
      <c r="A3005" t="s">
        <v>122</v>
      </c>
      <c r="C3005" s="92">
        <v>4615476301</v>
      </c>
      <c r="D3005" s="93">
        <v>19200</v>
      </c>
      <c r="F3005" s="91">
        <v>16</v>
      </c>
      <c r="G3005" s="96">
        <v>5</v>
      </c>
      <c r="H3005" s="94">
        <v>0</v>
      </c>
      <c r="I3005" s="91">
        <v>0</v>
      </c>
      <c r="J3005" s="41"/>
      <c r="K3005" s="41">
        <v>43404</v>
      </c>
      <c r="L3005" s="69" t="s">
        <v>80</v>
      </c>
      <c r="M3005" s="69" t="s">
        <v>286</v>
      </c>
      <c r="N3005" s="95"/>
      <c r="P3005" t="s">
        <v>95</v>
      </c>
      <c r="Q3005" t="s">
        <v>120</v>
      </c>
      <c r="R3005" s="92" t="s">
        <v>69</v>
      </c>
      <c r="S3005" s="92" t="s">
        <v>382</v>
      </c>
      <c r="V3005" s="95">
        <v>43404</v>
      </c>
      <c r="W3005" s="92">
        <v>2030887</v>
      </c>
      <c r="X3005" s="90"/>
      <c r="Y3005" s="123"/>
      <c r="Z3005" s="30">
        <f t="shared" si="92"/>
        <v>6772.6006943194379</v>
      </c>
      <c r="AA3005" s="30">
        <f t="shared" si="93"/>
        <v>2116.4377169748245</v>
      </c>
      <c r="AB3005" t="s">
        <v>457</v>
      </c>
    </row>
    <row r="3006" spans="1:28">
      <c r="A3006" t="s">
        <v>122</v>
      </c>
      <c r="C3006" s="92">
        <v>4615476301</v>
      </c>
      <c r="D3006" s="93">
        <v>19200</v>
      </c>
      <c r="F3006" s="91">
        <v>16</v>
      </c>
      <c r="G3006" s="96">
        <v>5</v>
      </c>
      <c r="H3006" s="94">
        <v>0</v>
      </c>
      <c r="I3006" s="91">
        <v>0</v>
      </c>
      <c r="J3006" s="41"/>
      <c r="K3006" s="41">
        <v>43404</v>
      </c>
      <c r="L3006" s="69" t="s">
        <v>80</v>
      </c>
      <c r="M3006" s="69" t="s">
        <v>286</v>
      </c>
      <c r="N3006" s="95"/>
      <c r="P3006" t="s">
        <v>95</v>
      </c>
      <c r="Q3006" t="s">
        <v>120</v>
      </c>
      <c r="R3006" s="92" t="s">
        <v>69</v>
      </c>
      <c r="S3006" s="92" t="s">
        <v>382</v>
      </c>
      <c r="V3006" s="95">
        <v>43404</v>
      </c>
      <c r="W3006" s="92">
        <v>2030887</v>
      </c>
      <c r="X3006" s="90"/>
      <c r="Y3006" s="123"/>
      <c r="Z3006" s="30">
        <f t="shared" si="92"/>
        <v>6772.6006943194379</v>
      </c>
      <c r="AA3006" s="30">
        <f t="shared" si="93"/>
        <v>2116.4377169748245</v>
      </c>
      <c r="AB3006" t="s">
        <v>457</v>
      </c>
    </row>
    <row r="3007" spans="1:28">
      <c r="A3007" t="s">
        <v>122</v>
      </c>
      <c r="C3007" s="92">
        <v>4615476301</v>
      </c>
      <c r="D3007" s="93">
        <v>19200</v>
      </c>
      <c r="F3007" s="91">
        <v>16</v>
      </c>
      <c r="G3007" s="96">
        <v>5</v>
      </c>
      <c r="H3007" s="94">
        <v>0</v>
      </c>
      <c r="I3007" s="91">
        <v>0</v>
      </c>
      <c r="J3007" s="41"/>
      <c r="K3007" s="41">
        <v>43404</v>
      </c>
      <c r="L3007" s="69" t="s">
        <v>80</v>
      </c>
      <c r="M3007" s="69" t="s">
        <v>286</v>
      </c>
      <c r="N3007" s="95"/>
      <c r="P3007" t="s">
        <v>95</v>
      </c>
      <c r="Q3007" t="s">
        <v>120</v>
      </c>
      <c r="R3007" s="92" t="s">
        <v>69</v>
      </c>
      <c r="S3007" s="92" t="s">
        <v>382</v>
      </c>
      <c r="V3007" s="95">
        <v>43404</v>
      </c>
      <c r="W3007" s="92">
        <v>2030887</v>
      </c>
      <c r="X3007" s="90"/>
      <c r="Y3007" s="123"/>
      <c r="Z3007" s="30">
        <f t="shared" si="92"/>
        <v>6772.6006943194379</v>
      </c>
      <c r="AA3007" s="30">
        <f t="shared" si="93"/>
        <v>2116.4377169748245</v>
      </c>
      <c r="AB3007" t="s">
        <v>457</v>
      </c>
    </row>
    <row r="3008" spans="1:28">
      <c r="A3008" t="s">
        <v>122</v>
      </c>
      <c r="C3008" s="92">
        <v>4615476301</v>
      </c>
      <c r="D3008" s="93">
        <v>19200</v>
      </c>
      <c r="F3008" s="91">
        <v>16</v>
      </c>
      <c r="G3008" s="96">
        <v>5</v>
      </c>
      <c r="H3008" s="94">
        <v>0</v>
      </c>
      <c r="I3008" s="91">
        <v>0</v>
      </c>
      <c r="J3008" s="41"/>
      <c r="K3008" s="41">
        <v>43404</v>
      </c>
      <c r="L3008" s="69" t="s">
        <v>80</v>
      </c>
      <c r="M3008" s="69" t="s">
        <v>286</v>
      </c>
      <c r="N3008" s="95"/>
      <c r="P3008" t="s">
        <v>95</v>
      </c>
      <c r="Q3008" t="s">
        <v>120</v>
      </c>
      <c r="R3008" s="92" t="s">
        <v>69</v>
      </c>
      <c r="S3008" s="92" t="s">
        <v>382</v>
      </c>
      <c r="V3008" s="95">
        <v>43404</v>
      </c>
      <c r="W3008" s="92">
        <v>2030887</v>
      </c>
      <c r="X3008" s="90"/>
      <c r="Y3008" s="123"/>
      <c r="Z3008" s="30">
        <f t="shared" si="92"/>
        <v>6772.6006943194379</v>
      </c>
      <c r="AA3008" s="30">
        <f t="shared" si="93"/>
        <v>2116.4377169748245</v>
      </c>
      <c r="AB3008" t="s">
        <v>457</v>
      </c>
    </row>
    <row r="3009" spans="1:28">
      <c r="A3009" t="s">
        <v>122</v>
      </c>
      <c r="C3009" s="92">
        <v>4615476301</v>
      </c>
      <c r="D3009" s="93">
        <v>19200</v>
      </c>
      <c r="F3009" s="91">
        <v>16</v>
      </c>
      <c r="G3009" s="96">
        <v>5</v>
      </c>
      <c r="H3009" s="94">
        <v>0</v>
      </c>
      <c r="I3009" s="91">
        <v>0</v>
      </c>
      <c r="J3009" s="41"/>
      <c r="K3009" s="41">
        <v>43404</v>
      </c>
      <c r="L3009" s="69" t="s">
        <v>80</v>
      </c>
      <c r="M3009" s="69" t="s">
        <v>286</v>
      </c>
      <c r="N3009" s="95"/>
      <c r="P3009" t="s">
        <v>95</v>
      </c>
      <c r="Q3009" t="s">
        <v>120</v>
      </c>
      <c r="R3009" s="92" t="s">
        <v>69</v>
      </c>
      <c r="S3009" s="92" t="s">
        <v>382</v>
      </c>
      <c r="V3009" s="95">
        <v>43404</v>
      </c>
      <c r="W3009" s="92">
        <v>2030887</v>
      </c>
      <c r="X3009" s="90"/>
      <c r="Y3009" s="123"/>
      <c r="Z3009" s="30">
        <f t="shared" si="92"/>
        <v>6772.6006943194379</v>
      </c>
      <c r="AA3009" s="30">
        <f t="shared" si="93"/>
        <v>2116.4377169748245</v>
      </c>
      <c r="AB3009" t="s">
        <v>457</v>
      </c>
    </row>
    <row r="3010" spans="1:28">
      <c r="A3010" t="s">
        <v>122</v>
      </c>
      <c r="C3010" s="92">
        <v>4615476301</v>
      </c>
      <c r="D3010" s="93">
        <v>19200</v>
      </c>
      <c r="F3010" s="91">
        <v>16</v>
      </c>
      <c r="G3010" s="96">
        <v>5</v>
      </c>
      <c r="H3010" s="94">
        <v>0</v>
      </c>
      <c r="I3010" s="91">
        <v>0</v>
      </c>
      <c r="J3010" s="41"/>
      <c r="K3010" s="41">
        <v>43404</v>
      </c>
      <c r="L3010" s="69" t="s">
        <v>80</v>
      </c>
      <c r="M3010" s="69" t="s">
        <v>286</v>
      </c>
      <c r="N3010" s="95"/>
      <c r="P3010" t="s">
        <v>95</v>
      </c>
      <c r="Q3010" t="s">
        <v>120</v>
      </c>
      <c r="R3010" s="92" t="s">
        <v>69</v>
      </c>
      <c r="S3010" s="92" t="s">
        <v>382</v>
      </c>
      <c r="V3010" s="95">
        <v>43404</v>
      </c>
      <c r="W3010" s="92">
        <v>2030887</v>
      </c>
      <c r="X3010" s="90"/>
      <c r="Y3010" s="123"/>
      <c r="Z3010" s="30">
        <f t="shared" si="92"/>
        <v>6772.6006943194379</v>
      </c>
      <c r="AA3010" s="30">
        <f t="shared" si="93"/>
        <v>2116.4377169748245</v>
      </c>
      <c r="AB3010" t="s">
        <v>457</v>
      </c>
    </row>
    <row r="3011" spans="1:28">
      <c r="A3011" t="s">
        <v>122</v>
      </c>
      <c r="C3011" s="92">
        <v>4615476301</v>
      </c>
      <c r="D3011" s="93">
        <v>19200</v>
      </c>
      <c r="F3011" s="91">
        <v>16</v>
      </c>
      <c r="G3011" s="96">
        <v>5</v>
      </c>
      <c r="H3011" s="94">
        <v>0</v>
      </c>
      <c r="I3011" s="91">
        <v>0</v>
      </c>
      <c r="J3011" s="41"/>
      <c r="K3011" s="41">
        <v>43404</v>
      </c>
      <c r="L3011" s="69" t="s">
        <v>80</v>
      </c>
      <c r="M3011" s="69" t="s">
        <v>286</v>
      </c>
      <c r="N3011" s="95"/>
      <c r="P3011" t="s">
        <v>95</v>
      </c>
      <c r="Q3011" t="s">
        <v>120</v>
      </c>
      <c r="R3011" s="92" t="s">
        <v>69</v>
      </c>
      <c r="S3011" s="92" t="s">
        <v>382</v>
      </c>
      <c r="V3011" s="95">
        <v>43404</v>
      </c>
      <c r="W3011" s="92">
        <v>2030887</v>
      </c>
      <c r="X3011" s="90"/>
      <c r="Y3011" s="123"/>
      <c r="Z3011" s="30">
        <f t="shared" ref="Z3011:Z3074" si="94">CONVERT(D3011,"kg","lbm")*F3011/100</f>
        <v>6772.6006943194379</v>
      </c>
      <c r="AA3011" s="30">
        <f t="shared" ref="AA3011:AA3074" si="95">CONVERT(D3011,"kg","lbm")*G3011/100</f>
        <v>2116.4377169748245</v>
      </c>
      <c r="AB3011" t="s">
        <v>457</v>
      </c>
    </row>
    <row r="3012" spans="1:28">
      <c r="A3012" t="s">
        <v>122</v>
      </c>
      <c r="C3012" s="92">
        <v>4615476301</v>
      </c>
      <c r="D3012" s="93">
        <v>19200</v>
      </c>
      <c r="F3012" s="91">
        <v>16</v>
      </c>
      <c r="G3012" s="96">
        <v>5</v>
      </c>
      <c r="H3012" s="94">
        <v>0</v>
      </c>
      <c r="I3012" s="91">
        <v>0</v>
      </c>
      <c r="J3012" s="41"/>
      <c r="K3012" s="41">
        <v>43404</v>
      </c>
      <c r="L3012" s="69" t="s">
        <v>80</v>
      </c>
      <c r="M3012" s="69" t="s">
        <v>286</v>
      </c>
      <c r="N3012" s="95"/>
      <c r="P3012" t="s">
        <v>95</v>
      </c>
      <c r="Q3012" t="s">
        <v>120</v>
      </c>
      <c r="R3012" s="92" t="s">
        <v>69</v>
      </c>
      <c r="S3012" s="92" t="s">
        <v>382</v>
      </c>
      <c r="V3012" s="95">
        <v>43404</v>
      </c>
      <c r="W3012" s="92">
        <v>2030887</v>
      </c>
      <c r="X3012" s="90"/>
      <c r="Y3012" s="123"/>
      <c r="Z3012" s="30">
        <f t="shared" si="94"/>
        <v>6772.6006943194379</v>
      </c>
      <c r="AA3012" s="30">
        <f t="shared" si="95"/>
        <v>2116.4377169748245</v>
      </c>
      <c r="AB3012" t="s">
        <v>457</v>
      </c>
    </row>
    <row r="3013" spans="1:28">
      <c r="A3013" t="s">
        <v>113</v>
      </c>
      <c r="C3013" s="92">
        <v>4615454941</v>
      </c>
      <c r="D3013" s="93">
        <v>19175</v>
      </c>
      <c r="F3013" s="106">
        <v>16</v>
      </c>
      <c r="G3013" s="96">
        <v>0</v>
      </c>
      <c r="H3013" s="94">
        <v>0</v>
      </c>
      <c r="I3013" s="91">
        <v>0</v>
      </c>
      <c r="J3013" s="41"/>
      <c r="K3013" s="41">
        <v>43404</v>
      </c>
      <c r="L3013" s="69" t="s">
        <v>80</v>
      </c>
      <c r="M3013" s="69" t="s">
        <v>286</v>
      </c>
      <c r="N3013" s="95"/>
      <c r="P3013" t="s">
        <v>95</v>
      </c>
      <c r="Q3013" t="s">
        <v>110</v>
      </c>
      <c r="R3013" s="92" t="s">
        <v>69</v>
      </c>
      <c r="S3013" s="92" t="s">
        <v>115</v>
      </c>
      <c r="V3013" s="95">
        <v>43404</v>
      </c>
      <c r="W3013" s="92" t="s">
        <v>383</v>
      </c>
      <c r="X3013" s="90"/>
      <c r="Y3013" s="123"/>
      <c r="Z3013" s="30">
        <f t="shared" si="94"/>
        <v>6763.7822038320437</v>
      </c>
      <c r="AA3013" s="30">
        <f t="shared" si="95"/>
        <v>0</v>
      </c>
      <c r="AB3013" t="s">
        <v>457</v>
      </c>
    </row>
    <row r="3014" spans="1:28">
      <c r="A3014" t="s">
        <v>113</v>
      </c>
      <c r="C3014" s="92">
        <v>4615454941</v>
      </c>
      <c r="D3014" s="93">
        <v>19175</v>
      </c>
      <c r="F3014" s="106">
        <v>16</v>
      </c>
      <c r="G3014" s="96">
        <v>0</v>
      </c>
      <c r="H3014" s="94">
        <v>0</v>
      </c>
      <c r="I3014" s="91">
        <v>0</v>
      </c>
      <c r="J3014" s="41"/>
      <c r="K3014" s="41">
        <v>43404</v>
      </c>
      <c r="L3014" s="69" t="s">
        <v>80</v>
      </c>
      <c r="M3014" s="69" t="s">
        <v>286</v>
      </c>
      <c r="N3014" s="95"/>
      <c r="P3014" t="s">
        <v>95</v>
      </c>
      <c r="Q3014" t="s">
        <v>110</v>
      </c>
      <c r="R3014" s="92" t="s">
        <v>69</v>
      </c>
      <c r="S3014" s="92" t="s">
        <v>115</v>
      </c>
      <c r="V3014" s="95">
        <v>43404</v>
      </c>
      <c r="W3014" s="92" t="s">
        <v>383</v>
      </c>
      <c r="X3014" s="90"/>
      <c r="Y3014" s="123"/>
      <c r="Z3014" s="30">
        <f t="shared" si="94"/>
        <v>6763.7822038320437</v>
      </c>
      <c r="AA3014" s="30">
        <f t="shared" si="95"/>
        <v>0</v>
      </c>
      <c r="AB3014" t="s">
        <v>457</v>
      </c>
    </row>
    <row r="3015" spans="1:28">
      <c r="A3015" t="s">
        <v>113</v>
      </c>
      <c r="C3015" s="92">
        <v>4615454941</v>
      </c>
      <c r="D3015" s="93">
        <v>19175</v>
      </c>
      <c r="F3015" s="106">
        <v>16</v>
      </c>
      <c r="G3015" s="96">
        <v>0</v>
      </c>
      <c r="H3015" s="94">
        <v>0</v>
      </c>
      <c r="I3015" s="91">
        <v>0</v>
      </c>
      <c r="J3015" s="41"/>
      <c r="K3015" s="41">
        <v>43404</v>
      </c>
      <c r="L3015" s="69" t="s">
        <v>80</v>
      </c>
      <c r="M3015" s="69" t="s">
        <v>286</v>
      </c>
      <c r="N3015" s="95"/>
      <c r="P3015" t="s">
        <v>95</v>
      </c>
      <c r="Q3015" t="s">
        <v>110</v>
      </c>
      <c r="R3015" s="92" t="s">
        <v>69</v>
      </c>
      <c r="S3015" s="92" t="s">
        <v>115</v>
      </c>
      <c r="V3015" s="95">
        <v>43404</v>
      </c>
      <c r="W3015" s="92" t="s">
        <v>383</v>
      </c>
      <c r="X3015" s="90"/>
      <c r="Y3015" s="123"/>
      <c r="Z3015" s="30">
        <f t="shared" si="94"/>
        <v>6763.7822038320437</v>
      </c>
      <c r="AA3015" s="30">
        <f t="shared" si="95"/>
        <v>0</v>
      </c>
      <c r="AB3015" t="s">
        <v>457</v>
      </c>
    </row>
    <row r="3016" spans="1:28">
      <c r="A3016" t="s">
        <v>113</v>
      </c>
      <c r="C3016" s="92">
        <v>4615454941</v>
      </c>
      <c r="D3016" s="93">
        <v>19175</v>
      </c>
      <c r="F3016" s="106">
        <v>16</v>
      </c>
      <c r="G3016" s="96">
        <v>0</v>
      </c>
      <c r="H3016" s="94">
        <v>0</v>
      </c>
      <c r="I3016" s="91">
        <v>0</v>
      </c>
      <c r="J3016" s="41"/>
      <c r="K3016" s="41">
        <v>43404</v>
      </c>
      <c r="L3016" s="69" t="s">
        <v>80</v>
      </c>
      <c r="M3016" s="69" t="s">
        <v>286</v>
      </c>
      <c r="N3016" s="95"/>
      <c r="P3016" t="s">
        <v>95</v>
      </c>
      <c r="Q3016" t="s">
        <v>110</v>
      </c>
      <c r="R3016" s="92" t="s">
        <v>69</v>
      </c>
      <c r="S3016" s="92" t="s">
        <v>115</v>
      </c>
      <c r="V3016" s="95">
        <v>43404</v>
      </c>
      <c r="W3016" s="92" t="s">
        <v>383</v>
      </c>
      <c r="X3016" s="90"/>
      <c r="Y3016" s="123"/>
      <c r="Z3016" s="30">
        <f t="shared" si="94"/>
        <v>6763.7822038320437</v>
      </c>
      <c r="AA3016" s="30">
        <f t="shared" si="95"/>
        <v>0</v>
      </c>
      <c r="AB3016" t="s">
        <v>457</v>
      </c>
    </row>
    <row r="3017" spans="1:28">
      <c r="A3017" t="s">
        <v>113</v>
      </c>
      <c r="C3017" s="92">
        <v>4615454941</v>
      </c>
      <c r="D3017" s="93">
        <v>19175</v>
      </c>
      <c r="F3017" s="106">
        <v>16</v>
      </c>
      <c r="G3017" s="96">
        <v>0</v>
      </c>
      <c r="H3017" s="94">
        <v>0</v>
      </c>
      <c r="I3017" s="91">
        <v>0</v>
      </c>
      <c r="J3017" s="41"/>
      <c r="K3017" s="41">
        <v>43404</v>
      </c>
      <c r="L3017" s="69" t="s">
        <v>80</v>
      </c>
      <c r="M3017" s="69" t="s">
        <v>286</v>
      </c>
      <c r="N3017" s="95"/>
      <c r="P3017" t="s">
        <v>95</v>
      </c>
      <c r="Q3017" t="s">
        <v>110</v>
      </c>
      <c r="R3017" s="92" t="s">
        <v>69</v>
      </c>
      <c r="S3017" s="92" t="s">
        <v>115</v>
      </c>
      <c r="V3017" s="95">
        <v>43404</v>
      </c>
      <c r="W3017" s="92" t="s">
        <v>383</v>
      </c>
      <c r="X3017" s="90"/>
      <c r="Y3017" s="123"/>
      <c r="Z3017" s="30">
        <f t="shared" si="94"/>
        <v>6763.7822038320437</v>
      </c>
      <c r="AA3017" s="30">
        <f t="shared" si="95"/>
        <v>0</v>
      </c>
      <c r="AB3017" t="s">
        <v>457</v>
      </c>
    </row>
    <row r="3018" spans="1:28">
      <c r="A3018" t="s">
        <v>113</v>
      </c>
      <c r="C3018" s="92">
        <v>4615454941</v>
      </c>
      <c r="D3018" s="93">
        <v>19175</v>
      </c>
      <c r="F3018" s="106">
        <v>16</v>
      </c>
      <c r="G3018" s="96">
        <v>0</v>
      </c>
      <c r="H3018" s="94">
        <v>0</v>
      </c>
      <c r="I3018" s="91">
        <v>0</v>
      </c>
      <c r="J3018" s="41"/>
      <c r="K3018" s="41">
        <v>43404</v>
      </c>
      <c r="L3018" s="69" t="s">
        <v>80</v>
      </c>
      <c r="M3018" s="69" t="s">
        <v>286</v>
      </c>
      <c r="N3018" s="95"/>
      <c r="P3018" t="s">
        <v>95</v>
      </c>
      <c r="Q3018" t="s">
        <v>110</v>
      </c>
      <c r="R3018" s="92" t="s">
        <v>69</v>
      </c>
      <c r="S3018" s="92" t="s">
        <v>115</v>
      </c>
      <c r="V3018" s="95">
        <v>43404</v>
      </c>
      <c r="W3018" s="92" t="s">
        <v>383</v>
      </c>
      <c r="X3018" s="90"/>
      <c r="Y3018" s="123"/>
      <c r="Z3018" s="30">
        <f t="shared" si="94"/>
        <v>6763.7822038320437</v>
      </c>
      <c r="AA3018" s="30">
        <f t="shared" si="95"/>
        <v>0</v>
      </c>
      <c r="AB3018" t="s">
        <v>457</v>
      </c>
    </row>
    <row r="3019" spans="1:28">
      <c r="A3019" t="s">
        <v>113</v>
      </c>
      <c r="C3019" s="92">
        <v>4615454941</v>
      </c>
      <c r="D3019" s="93">
        <v>19175</v>
      </c>
      <c r="F3019" s="106">
        <v>16</v>
      </c>
      <c r="G3019" s="96">
        <v>0</v>
      </c>
      <c r="H3019" s="94">
        <v>0</v>
      </c>
      <c r="I3019" s="91">
        <v>0</v>
      </c>
      <c r="J3019" s="41"/>
      <c r="K3019" s="41">
        <v>43404</v>
      </c>
      <c r="L3019" s="69" t="s">
        <v>80</v>
      </c>
      <c r="M3019" s="69" t="s">
        <v>286</v>
      </c>
      <c r="N3019" s="95"/>
      <c r="P3019" t="s">
        <v>95</v>
      </c>
      <c r="Q3019" t="s">
        <v>110</v>
      </c>
      <c r="R3019" s="92" t="s">
        <v>69</v>
      </c>
      <c r="S3019" s="92" t="s">
        <v>115</v>
      </c>
      <c r="V3019" s="95">
        <v>43404</v>
      </c>
      <c r="W3019" s="92" t="s">
        <v>383</v>
      </c>
      <c r="X3019" s="90"/>
      <c r="Y3019" s="123"/>
      <c r="Z3019" s="30">
        <f t="shared" si="94"/>
        <v>6763.7822038320437</v>
      </c>
      <c r="AA3019" s="30">
        <f t="shared" si="95"/>
        <v>0</v>
      </c>
      <c r="AB3019" t="s">
        <v>457</v>
      </c>
    </row>
    <row r="3020" spans="1:28">
      <c r="A3020" t="s">
        <v>113</v>
      </c>
      <c r="C3020" s="92">
        <v>4615454941</v>
      </c>
      <c r="D3020" s="93">
        <v>19175</v>
      </c>
      <c r="F3020" s="106">
        <v>16</v>
      </c>
      <c r="G3020" s="96">
        <v>0</v>
      </c>
      <c r="H3020" s="94">
        <v>0</v>
      </c>
      <c r="I3020" s="91">
        <v>0</v>
      </c>
      <c r="J3020" s="41"/>
      <c r="K3020" s="41">
        <v>43404</v>
      </c>
      <c r="L3020" s="69" t="s">
        <v>80</v>
      </c>
      <c r="M3020" s="69" t="s">
        <v>286</v>
      </c>
      <c r="N3020" s="95"/>
      <c r="P3020" t="s">
        <v>95</v>
      </c>
      <c r="Q3020" t="s">
        <v>110</v>
      </c>
      <c r="R3020" s="92" t="s">
        <v>69</v>
      </c>
      <c r="S3020" s="92" t="s">
        <v>115</v>
      </c>
      <c r="V3020" s="95">
        <v>43404</v>
      </c>
      <c r="W3020" s="92" t="s">
        <v>383</v>
      </c>
      <c r="X3020" s="90"/>
      <c r="Y3020" s="123"/>
      <c r="Z3020" s="30">
        <f t="shared" si="94"/>
        <v>6763.7822038320437</v>
      </c>
      <c r="AA3020" s="30">
        <f t="shared" si="95"/>
        <v>0</v>
      </c>
      <c r="AB3020" t="s">
        <v>457</v>
      </c>
    </row>
    <row r="3021" spans="1:28">
      <c r="A3021" t="s">
        <v>113</v>
      </c>
      <c r="C3021" s="92">
        <v>4615454941</v>
      </c>
      <c r="D3021" s="93">
        <v>19175</v>
      </c>
      <c r="F3021" s="106">
        <v>16</v>
      </c>
      <c r="G3021" s="96">
        <v>0</v>
      </c>
      <c r="H3021" s="94">
        <v>0</v>
      </c>
      <c r="I3021" s="91">
        <v>0</v>
      </c>
      <c r="J3021" s="41"/>
      <c r="K3021" s="41">
        <v>43404</v>
      </c>
      <c r="L3021" s="69" t="s">
        <v>80</v>
      </c>
      <c r="M3021" s="69" t="s">
        <v>286</v>
      </c>
      <c r="N3021" s="95"/>
      <c r="P3021" t="s">
        <v>95</v>
      </c>
      <c r="Q3021" t="s">
        <v>110</v>
      </c>
      <c r="R3021" s="92" t="s">
        <v>69</v>
      </c>
      <c r="S3021" s="92" t="s">
        <v>115</v>
      </c>
      <c r="V3021" s="95">
        <v>43404</v>
      </c>
      <c r="W3021" s="92" t="s">
        <v>383</v>
      </c>
      <c r="X3021" s="90"/>
      <c r="Y3021" s="123"/>
      <c r="Z3021" s="30">
        <f t="shared" si="94"/>
        <v>6763.7822038320437</v>
      </c>
      <c r="AA3021" s="30">
        <f t="shared" si="95"/>
        <v>0</v>
      </c>
      <c r="AB3021" t="s">
        <v>457</v>
      </c>
    </row>
    <row r="3022" spans="1:28">
      <c r="A3022" t="s">
        <v>113</v>
      </c>
      <c r="C3022" s="92">
        <v>4615454941</v>
      </c>
      <c r="D3022" s="93">
        <v>19175</v>
      </c>
      <c r="F3022" s="106">
        <v>16</v>
      </c>
      <c r="G3022" s="96">
        <v>0</v>
      </c>
      <c r="H3022" s="94">
        <v>0</v>
      </c>
      <c r="I3022" s="91">
        <v>0</v>
      </c>
      <c r="J3022" s="41"/>
      <c r="K3022" s="41">
        <v>43404</v>
      </c>
      <c r="L3022" s="69" t="s">
        <v>80</v>
      </c>
      <c r="M3022" s="69" t="s">
        <v>286</v>
      </c>
      <c r="N3022" s="95"/>
      <c r="P3022" t="s">
        <v>95</v>
      </c>
      <c r="Q3022" t="s">
        <v>110</v>
      </c>
      <c r="R3022" s="92" t="s">
        <v>69</v>
      </c>
      <c r="S3022" s="92" t="s">
        <v>115</v>
      </c>
      <c r="V3022" s="95">
        <v>43404</v>
      </c>
      <c r="W3022" s="92" t="s">
        <v>383</v>
      </c>
      <c r="X3022" s="90"/>
      <c r="Y3022" s="123"/>
      <c r="Z3022" s="30">
        <f t="shared" si="94"/>
        <v>6763.7822038320437</v>
      </c>
      <c r="AA3022" s="30">
        <f t="shared" si="95"/>
        <v>0</v>
      </c>
      <c r="AB3022" t="s">
        <v>457</v>
      </c>
    </row>
    <row r="3023" spans="1:28">
      <c r="A3023" t="s">
        <v>113</v>
      </c>
      <c r="C3023" s="92">
        <v>4615466522</v>
      </c>
      <c r="D3023" s="93">
        <v>19175</v>
      </c>
      <c r="F3023" s="106">
        <v>16</v>
      </c>
      <c r="G3023" s="96">
        <v>0</v>
      </c>
      <c r="H3023" s="94">
        <v>0</v>
      </c>
      <c r="I3023" s="91">
        <v>0</v>
      </c>
      <c r="J3023" s="41"/>
      <c r="K3023" s="41">
        <v>43404</v>
      </c>
      <c r="L3023" s="69" t="s">
        <v>80</v>
      </c>
      <c r="M3023" s="69" t="s">
        <v>286</v>
      </c>
      <c r="N3023" s="95"/>
      <c r="P3023" t="s">
        <v>95</v>
      </c>
      <c r="Q3023" t="s">
        <v>110</v>
      </c>
      <c r="R3023" s="92" t="s">
        <v>69</v>
      </c>
      <c r="S3023" s="92" t="s">
        <v>115</v>
      </c>
      <c r="V3023" s="95">
        <v>43404</v>
      </c>
      <c r="W3023" s="92" t="s">
        <v>384</v>
      </c>
      <c r="X3023" s="90"/>
      <c r="Y3023" s="123"/>
      <c r="Z3023" s="30">
        <f t="shared" si="94"/>
        <v>6763.7822038320437</v>
      </c>
      <c r="AA3023" s="30">
        <f t="shared" si="95"/>
        <v>0</v>
      </c>
      <c r="AB3023" t="s">
        <v>457</v>
      </c>
    </row>
    <row r="3024" spans="1:28">
      <c r="A3024" t="s">
        <v>113</v>
      </c>
      <c r="C3024" s="92">
        <v>4615466522</v>
      </c>
      <c r="D3024" s="93">
        <v>19175</v>
      </c>
      <c r="F3024" s="106">
        <v>16</v>
      </c>
      <c r="G3024" s="96">
        <v>0</v>
      </c>
      <c r="H3024" s="94">
        <v>0</v>
      </c>
      <c r="I3024" s="91">
        <v>0</v>
      </c>
      <c r="J3024" s="41"/>
      <c r="K3024" s="41">
        <v>43404</v>
      </c>
      <c r="L3024" s="69" t="s">
        <v>80</v>
      </c>
      <c r="M3024" s="69" t="s">
        <v>286</v>
      </c>
      <c r="N3024" s="95"/>
      <c r="P3024" t="s">
        <v>95</v>
      </c>
      <c r="Q3024" t="s">
        <v>110</v>
      </c>
      <c r="R3024" s="92" t="s">
        <v>69</v>
      </c>
      <c r="S3024" s="92" t="s">
        <v>115</v>
      </c>
      <c r="V3024" s="95">
        <v>43404</v>
      </c>
      <c r="W3024" s="92" t="s">
        <v>384</v>
      </c>
      <c r="X3024" s="90"/>
      <c r="Y3024" s="123"/>
      <c r="Z3024" s="30">
        <f t="shared" si="94"/>
        <v>6763.7822038320437</v>
      </c>
      <c r="AA3024" s="30">
        <f t="shared" si="95"/>
        <v>0</v>
      </c>
      <c r="AB3024" t="s">
        <v>457</v>
      </c>
    </row>
    <row r="3025" spans="1:28">
      <c r="A3025" t="s">
        <v>113</v>
      </c>
      <c r="C3025" s="92">
        <v>4615466522</v>
      </c>
      <c r="D3025" s="93">
        <v>19175</v>
      </c>
      <c r="F3025" s="106">
        <v>16</v>
      </c>
      <c r="G3025" s="96">
        <v>0</v>
      </c>
      <c r="H3025" s="94">
        <v>0</v>
      </c>
      <c r="I3025" s="91">
        <v>0</v>
      </c>
      <c r="J3025" s="41"/>
      <c r="K3025" s="41">
        <v>43404</v>
      </c>
      <c r="L3025" s="69" t="s">
        <v>80</v>
      </c>
      <c r="M3025" s="69" t="s">
        <v>286</v>
      </c>
      <c r="N3025" s="95"/>
      <c r="P3025" t="s">
        <v>95</v>
      </c>
      <c r="Q3025" t="s">
        <v>110</v>
      </c>
      <c r="R3025" s="92" t="s">
        <v>69</v>
      </c>
      <c r="S3025" s="92" t="s">
        <v>115</v>
      </c>
      <c r="V3025" s="95">
        <v>43404</v>
      </c>
      <c r="W3025" s="92" t="s">
        <v>384</v>
      </c>
      <c r="X3025" s="90"/>
      <c r="Y3025" s="123"/>
      <c r="Z3025" s="30">
        <f t="shared" si="94"/>
        <v>6763.7822038320437</v>
      </c>
      <c r="AA3025" s="30">
        <f t="shared" si="95"/>
        <v>0</v>
      </c>
      <c r="AB3025" t="s">
        <v>457</v>
      </c>
    </row>
    <row r="3026" spans="1:28">
      <c r="A3026" t="s">
        <v>113</v>
      </c>
      <c r="C3026" s="92">
        <v>4615466522</v>
      </c>
      <c r="D3026" s="93">
        <v>19175</v>
      </c>
      <c r="F3026" s="106">
        <v>16</v>
      </c>
      <c r="G3026" s="96">
        <v>0</v>
      </c>
      <c r="H3026" s="94">
        <v>0</v>
      </c>
      <c r="I3026" s="91">
        <v>0</v>
      </c>
      <c r="J3026" s="41"/>
      <c r="K3026" s="41">
        <v>43404</v>
      </c>
      <c r="L3026" s="69" t="s">
        <v>80</v>
      </c>
      <c r="M3026" s="69" t="s">
        <v>286</v>
      </c>
      <c r="N3026" s="95"/>
      <c r="P3026" t="s">
        <v>95</v>
      </c>
      <c r="Q3026" t="s">
        <v>110</v>
      </c>
      <c r="R3026" s="92" t="s">
        <v>69</v>
      </c>
      <c r="S3026" s="92" t="s">
        <v>115</v>
      </c>
      <c r="V3026" s="95">
        <v>43404</v>
      </c>
      <c r="W3026" s="92" t="s">
        <v>384</v>
      </c>
      <c r="X3026" s="90"/>
      <c r="Y3026" s="123"/>
      <c r="Z3026" s="30">
        <f t="shared" si="94"/>
        <v>6763.7822038320437</v>
      </c>
      <c r="AA3026" s="30">
        <f t="shared" si="95"/>
        <v>0</v>
      </c>
      <c r="AB3026" t="s">
        <v>457</v>
      </c>
    </row>
    <row r="3027" spans="1:28">
      <c r="A3027" t="s">
        <v>113</v>
      </c>
      <c r="C3027" s="92">
        <v>4615466522</v>
      </c>
      <c r="D3027" s="93">
        <v>19175</v>
      </c>
      <c r="F3027" s="106">
        <v>16</v>
      </c>
      <c r="G3027" s="96">
        <v>0</v>
      </c>
      <c r="H3027" s="94">
        <v>0</v>
      </c>
      <c r="I3027" s="91">
        <v>0</v>
      </c>
      <c r="J3027" s="41"/>
      <c r="K3027" s="41">
        <v>43404</v>
      </c>
      <c r="L3027" s="69" t="s">
        <v>80</v>
      </c>
      <c r="M3027" s="69" t="s">
        <v>286</v>
      </c>
      <c r="N3027" s="95"/>
      <c r="P3027" t="s">
        <v>95</v>
      </c>
      <c r="Q3027" t="s">
        <v>110</v>
      </c>
      <c r="R3027" s="92" t="s">
        <v>69</v>
      </c>
      <c r="S3027" s="92" t="s">
        <v>115</v>
      </c>
      <c r="V3027" s="95">
        <v>43404</v>
      </c>
      <c r="W3027" s="92" t="s">
        <v>384</v>
      </c>
      <c r="X3027" s="90"/>
      <c r="Y3027" s="123"/>
      <c r="Z3027" s="30">
        <f t="shared" si="94"/>
        <v>6763.7822038320437</v>
      </c>
      <c r="AA3027" s="30">
        <f t="shared" si="95"/>
        <v>0</v>
      </c>
      <c r="AB3027" t="s">
        <v>457</v>
      </c>
    </row>
    <row r="3028" spans="1:28">
      <c r="A3028" t="s">
        <v>113</v>
      </c>
      <c r="C3028" s="92">
        <v>4615466522</v>
      </c>
      <c r="D3028" s="93">
        <v>19175</v>
      </c>
      <c r="F3028" s="106">
        <v>16</v>
      </c>
      <c r="G3028" s="96">
        <v>0</v>
      </c>
      <c r="H3028" s="94">
        <v>0</v>
      </c>
      <c r="I3028" s="91">
        <v>0</v>
      </c>
      <c r="J3028" s="41"/>
      <c r="K3028" s="41">
        <v>43404</v>
      </c>
      <c r="L3028" s="69" t="s">
        <v>80</v>
      </c>
      <c r="M3028" s="69" t="s">
        <v>286</v>
      </c>
      <c r="N3028" s="95"/>
      <c r="P3028" t="s">
        <v>95</v>
      </c>
      <c r="Q3028" t="s">
        <v>110</v>
      </c>
      <c r="R3028" s="92" t="s">
        <v>69</v>
      </c>
      <c r="S3028" s="92" t="s">
        <v>115</v>
      </c>
      <c r="V3028" s="95">
        <v>43404</v>
      </c>
      <c r="W3028" s="92" t="s">
        <v>384</v>
      </c>
      <c r="X3028" s="90"/>
      <c r="Y3028" s="123"/>
      <c r="Z3028" s="30">
        <f t="shared" si="94"/>
        <v>6763.7822038320437</v>
      </c>
      <c r="AA3028" s="30">
        <f t="shared" si="95"/>
        <v>0</v>
      </c>
      <c r="AB3028" t="s">
        <v>457</v>
      </c>
    </row>
    <row r="3029" spans="1:28">
      <c r="A3029" t="s">
        <v>113</v>
      </c>
      <c r="C3029" s="92">
        <v>4615466522</v>
      </c>
      <c r="D3029" s="93">
        <v>19175</v>
      </c>
      <c r="F3029" s="106">
        <v>16</v>
      </c>
      <c r="G3029" s="96">
        <v>0</v>
      </c>
      <c r="H3029" s="94">
        <v>0</v>
      </c>
      <c r="I3029" s="91">
        <v>0</v>
      </c>
      <c r="J3029" s="41"/>
      <c r="K3029" s="41">
        <v>43404</v>
      </c>
      <c r="L3029" s="69" t="s">
        <v>80</v>
      </c>
      <c r="M3029" s="69" t="s">
        <v>286</v>
      </c>
      <c r="N3029" s="95"/>
      <c r="P3029" t="s">
        <v>95</v>
      </c>
      <c r="Q3029" t="s">
        <v>110</v>
      </c>
      <c r="R3029" s="92" t="s">
        <v>69</v>
      </c>
      <c r="S3029" s="92" t="s">
        <v>115</v>
      </c>
      <c r="V3029" s="95">
        <v>43404</v>
      </c>
      <c r="W3029" s="92" t="s">
        <v>384</v>
      </c>
      <c r="X3029" s="90"/>
      <c r="Y3029" s="123"/>
      <c r="Z3029" s="30">
        <f t="shared" si="94"/>
        <v>6763.7822038320437</v>
      </c>
      <c r="AA3029" s="30">
        <f t="shared" si="95"/>
        <v>0</v>
      </c>
      <c r="AB3029" t="s">
        <v>457</v>
      </c>
    </row>
    <row r="3030" spans="1:28">
      <c r="A3030" t="s">
        <v>113</v>
      </c>
      <c r="C3030" s="92">
        <v>4615466522</v>
      </c>
      <c r="D3030" s="93">
        <v>19175</v>
      </c>
      <c r="F3030" s="106">
        <v>16</v>
      </c>
      <c r="G3030" s="96">
        <v>0</v>
      </c>
      <c r="H3030" s="94">
        <v>0</v>
      </c>
      <c r="I3030" s="91">
        <v>0</v>
      </c>
      <c r="J3030" s="41"/>
      <c r="K3030" s="41">
        <v>43404</v>
      </c>
      <c r="L3030" s="69" t="s">
        <v>80</v>
      </c>
      <c r="M3030" s="69" t="s">
        <v>286</v>
      </c>
      <c r="N3030" s="95"/>
      <c r="P3030" t="s">
        <v>95</v>
      </c>
      <c r="Q3030" t="s">
        <v>110</v>
      </c>
      <c r="R3030" s="92" t="s">
        <v>69</v>
      </c>
      <c r="S3030" s="92" t="s">
        <v>115</v>
      </c>
      <c r="V3030" s="95">
        <v>43404</v>
      </c>
      <c r="W3030" s="92" t="s">
        <v>384</v>
      </c>
      <c r="X3030" s="90"/>
      <c r="Y3030" s="123"/>
      <c r="Z3030" s="30">
        <f t="shared" si="94"/>
        <v>6763.7822038320437</v>
      </c>
      <c r="AA3030" s="30">
        <f t="shared" si="95"/>
        <v>0</v>
      </c>
      <c r="AB3030" t="s">
        <v>457</v>
      </c>
    </row>
    <row r="3031" spans="1:28">
      <c r="A3031" t="s">
        <v>113</v>
      </c>
      <c r="C3031" s="92">
        <v>4615466522</v>
      </c>
      <c r="D3031" s="93">
        <v>19175</v>
      </c>
      <c r="F3031" s="106">
        <v>16</v>
      </c>
      <c r="G3031" s="96">
        <v>0</v>
      </c>
      <c r="H3031" s="94">
        <v>0</v>
      </c>
      <c r="I3031" s="91">
        <v>0</v>
      </c>
      <c r="J3031" s="41"/>
      <c r="K3031" s="41">
        <v>43404</v>
      </c>
      <c r="L3031" s="69" t="s">
        <v>80</v>
      </c>
      <c r="M3031" s="69" t="s">
        <v>286</v>
      </c>
      <c r="N3031" s="95"/>
      <c r="P3031" t="s">
        <v>95</v>
      </c>
      <c r="Q3031" t="s">
        <v>110</v>
      </c>
      <c r="R3031" s="92" t="s">
        <v>69</v>
      </c>
      <c r="S3031" s="92" t="s">
        <v>115</v>
      </c>
      <c r="V3031" s="95">
        <v>43404</v>
      </c>
      <c r="W3031" s="92" t="s">
        <v>384</v>
      </c>
      <c r="X3031" s="90"/>
      <c r="Y3031" s="123"/>
      <c r="Z3031" s="30">
        <f t="shared" si="94"/>
        <v>6763.7822038320437</v>
      </c>
      <c r="AA3031" s="30">
        <f t="shared" si="95"/>
        <v>0</v>
      </c>
      <c r="AB3031" t="s">
        <v>457</v>
      </c>
    </row>
    <row r="3032" spans="1:28">
      <c r="A3032" t="s">
        <v>113</v>
      </c>
      <c r="C3032" s="92">
        <v>4615466522</v>
      </c>
      <c r="D3032" s="93">
        <v>19175</v>
      </c>
      <c r="F3032" s="106">
        <v>16</v>
      </c>
      <c r="G3032" s="96">
        <v>0</v>
      </c>
      <c r="H3032" s="94">
        <v>0</v>
      </c>
      <c r="I3032" s="91">
        <v>0</v>
      </c>
      <c r="J3032" s="41"/>
      <c r="K3032" s="41">
        <v>43404</v>
      </c>
      <c r="L3032" s="69" t="s">
        <v>80</v>
      </c>
      <c r="M3032" s="69" t="s">
        <v>286</v>
      </c>
      <c r="N3032" s="95"/>
      <c r="P3032" t="s">
        <v>95</v>
      </c>
      <c r="Q3032" t="s">
        <v>110</v>
      </c>
      <c r="R3032" s="92" t="s">
        <v>69</v>
      </c>
      <c r="S3032" s="92" t="s">
        <v>115</v>
      </c>
      <c r="V3032" s="95">
        <v>43404</v>
      </c>
      <c r="W3032" s="92" t="s">
        <v>384</v>
      </c>
      <c r="X3032" s="90"/>
      <c r="Y3032" s="123"/>
      <c r="Z3032" s="30">
        <f t="shared" si="94"/>
        <v>6763.7822038320437</v>
      </c>
      <c r="AA3032" s="30">
        <f t="shared" si="95"/>
        <v>0</v>
      </c>
      <c r="AB3032" t="s">
        <v>457</v>
      </c>
    </row>
    <row r="3033" spans="1:28">
      <c r="A3033" t="s">
        <v>113</v>
      </c>
      <c r="C3033" s="92">
        <v>4615466522</v>
      </c>
      <c r="D3033" s="93">
        <v>19175</v>
      </c>
      <c r="F3033" s="106">
        <v>16</v>
      </c>
      <c r="G3033" s="96">
        <v>0</v>
      </c>
      <c r="H3033" s="94">
        <v>0</v>
      </c>
      <c r="I3033" s="91">
        <v>0</v>
      </c>
      <c r="J3033" s="41"/>
      <c r="K3033" s="41">
        <v>43404</v>
      </c>
      <c r="L3033" s="69" t="s">
        <v>80</v>
      </c>
      <c r="M3033" s="69" t="s">
        <v>286</v>
      </c>
      <c r="N3033" s="95"/>
      <c r="P3033" t="s">
        <v>95</v>
      </c>
      <c r="Q3033" t="s">
        <v>110</v>
      </c>
      <c r="R3033" s="92" t="s">
        <v>69</v>
      </c>
      <c r="S3033" s="92" t="s">
        <v>115</v>
      </c>
      <c r="V3033" s="95">
        <v>43404</v>
      </c>
      <c r="W3033" s="92" t="s">
        <v>384</v>
      </c>
      <c r="X3033" s="90"/>
      <c r="Y3033" s="123"/>
      <c r="Z3033" s="30">
        <f t="shared" si="94"/>
        <v>6763.7822038320437</v>
      </c>
      <c r="AA3033" s="30">
        <f t="shared" si="95"/>
        <v>0</v>
      </c>
      <c r="AB3033" t="s">
        <v>457</v>
      </c>
    </row>
    <row r="3034" spans="1:28">
      <c r="A3034" t="s">
        <v>113</v>
      </c>
      <c r="C3034" s="92">
        <v>4615466522</v>
      </c>
      <c r="D3034" s="93">
        <v>19175</v>
      </c>
      <c r="F3034" s="106">
        <v>16</v>
      </c>
      <c r="G3034" s="96">
        <v>0</v>
      </c>
      <c r="H3034" s="94">
        <v>0</v>
      </c>
      <c r="I3034" s="91">
        <v>0</v>
      </c>
      <c r="J3034" s="41"/>
      <c r="K3034" s="41">
        <v>43404</v>
      </c>
      <c r="L3034" s="69" t="s">
        <v>80</v>
      </c>
      <c r="M3034" s="69" t="s">
        <v>286</v>
      </c>
      <c r="N3034" s="95"/>
      <c r="P3034" t="s">
        <v>95</v>
      </c>
      <c r="Q3034" t="s">
        <v>110</v>
      </c>
      <c r="R3034" s="92" t="s">
        <v>69</v>
      </c>
      <c r="S3034" s="92" t="s">
        <v>115</v>
      </c>
      <c r="V3034" s="95">
        <v>43404</v>
      </c>
      <c r="W3034" s="92" t="s">
        <v>384</v>
      </c>
      <c r="X3034" s="90"/>
      <c r="Y3034" s="123"/>
      <c r="Z3034" s="30">
        <f t="shared" si="94"/>
        <v>6763.7822038320437</v>
      </c>
      <c r="AA3034" s="30">
        <f t="shared" si="95"/>
        <v>0</v>
      </c>
      <c r="AB3034" t="s">
        <v>457</v>
      </c>
    </row>
    <row r="3035" spans="1:28">
      <c r="A3035" t="s">
        <v>113</v>
      </c>
      <c r="C3035" s="92">
        <v>4615466522</v>
      </c>
      <c r="D3035" s="93">
        <v>19175</v>
      </c>
      <c r="F3035" s="106">
        <v>16</v>
      </c>
      <c r="G3035" s="96">
        <v>0</v>
      </c>
      <c r="H3035" s="94">
        <v>0</v>
      </c>
      <c r="I3035" s="91">
        <v>0</v>
      </c>
      <c r="J3035" s="41"/>
      <c r="K3035" s="41">
        <v>43404</v>
      </c>
      <c r="L3035" s="69" t="s">
        <v>80</v>
      </c>
      <c r="M3035" s="69" t="s">
        <v>286</v>
      </c>
      <c r="N3035" s="95"/>
      <c r="P3035" t="s">
        <v>95</v>
      </c>
      <c r="Q3035" t="s">
        <v>110</v>
      </c>
      <c r="R3035" s="92" t="s">
        <v>69</v>
      </c>
      <c r="S3035" s="92" t="s">
        <v>115</v>
      </c>
      <c r="V3035" s="95">
        <v>43404</v>
      </c>
      <c r="W3035" s="92" t="s">
        <v>384</v>
      </c>
      <c r="X3035" s="90"/>
      <c r="Y3035" s="123"/>
      <c r="Z3035" s="30">
        <f t="shared" si="94"/>
        <v>6763.7822038320437</v>
      </c>
      <c r="AA3035" s="30">
        <f t="shared" si="95"/>
        <v>0</v>
      </c>
      <c r="AB3035" t="s">
        <v>457</v>
      </c>
    </row>
    <row r="3036" spans="1:28">
      <c r="A3036" t="s">
        <v>113</v>
      </c>
      <c r="C3036" s="92">
        <v>4615466522</v>
      </c>
      <c r="D3036" s="93">
        <v>19175</v>
      </c>
      <c r="F3036" s="106">
        <v>16</v>
      </c>
      <c r="G3036" s="96">
        <v>0</v>
      </c>
      <c r="H3036" s="94">
        <v>0</v>
      </c>
      <c r="I3036" s="91">
        <v>0</v>
      </c>
      <c r="J3036" s="41"/>
      <c r="K3036" s="41">
        <v>43404</v>
      </c>
      <c r="L3036" s="69" t="s">
        <v>80</v>
      </c>
      <c r="M3036" s="69" t="s">
        <v>286</v>
      </c>
      <c r="N3036" s="95"/>
      <c r="P3036" t="s">
        <v>95</v>
      </c>
      <c r="Q3036" t="s">
        <v>110</v>
      </c>
      <c r="R3036" s="92" t="s">
        <v>69</v>
      </c>
      <c r="S3036" s="92" t="s">
        <v>115</v>
      </c>
      <c r="V3036" s="95">
        <v>43404</v>
      </c>
      <c r="W3036" s="92" t="s">
        <v>384</v>
      </c>
      <c r="X3036" s="90"/>
      <c r="Y3036" s="123"/>
      <c r="Z3036" s="30">
        <f t="shared" si="94"/>
        <v>6763.7822038320437</v>
      </c>
      <c r="AA3036" s="30">
        <f t="shared" si="95"/>
        <v>0</v>
      </c>
      <c r="AB3036" t="s">
        <v>457</v>
      </c>
    </row>
    <row r="3037" spans="1:28">
      <c r="A3037" t="s">
        <v>113</v>
      </c>
      <c r="C3037" s="92">
        <v>4615466522</v>
      </c>
      <c r="D3037" s="93">
        <v>19175</v>
      </c>
      <c r="F3037" s="106">
        <v>16</v>
      </c>
      <c r="G3037" s="96">
        <v>0</v>
      </c>
      <c r="H3037" s="94">
        <v>0</v>
      </c>
      <c r="I3037" s="91">
        <v>0</v>
      </c>
      <c r="J3037" s="41"/>
      <c r="K3037" s="41">
        <v>43404</v>
      </c>
      <c r="L3037" s="69" t="s">
        <v>80</v>
      </c>
      <c r="M3037" s="69" t="s">
        <v>286</v>
      </c>
      <c r="N3037" s="95"/>
      <c r="P3037" t="s">
        <v>95</v>
      </c>
      <c r="Q3037" t="s">
        <v>110</v>
      </c>
      <c r="R3037" s="92" t="s">
        <v>69</v>
      </c>
      <c r="S3037" s="92" t="s">
        <v>115</v>
      </c>
      <c r="V3037" s="95">
        <v>43404</v>
      </c>
      <c r="W3037" s="92" t="s">
        <v>384</v>
      </c>
      <c r="X3037" s="90"/>
      <c r="Y3037" s="123"/>
      <c r="Z3037" s="30">
        <f t="shared" si="94"/>
        <v>6763.7822038320437</v>
      </c>
      <c r="AA3037" s="30">
        <f t="shared" si="95"/>
        <v>0</v>
      </c>
      <c r="AB3037" t="s">
        <v>457</v>
      </c>
    </row>
    <row r="3038" spans="1:28">
      <c r="A3038" t="s">
        <v>113</v>
      </c>
      <c r="C3038" s="92">
        <v>4615466522</v>
      </c>
      <c r="D3038" s="93">
        <v>19175</v>
      </c>
      <c r="F3038" s="106">
        <v>16</v>
      </c>
      <c r="G3038" s="96">
        <v>0</v>
      </c>
      <c r="H3038" s="94">
        <v>0</v>
      </c>
      <c r="I3038" s="91">
        <v>0</v>
      </c>
      <c r="J3038" s="41"/>
      <c r="K3038" s="41">
        <v>43404</v>
      </c>
      <c r="L3038" s="69" t="s">
        <v>80</v>
      </c>
      <c r="M3038" s="69" t="s">
        <v>286</v>
      </c>
      <c r="N3038" s="95"/>
      <c r="P3038" t="s">
        <v>95</v>
      </c>
      <c r="Q3038" t="s">
        <v>110</v>
      </c>
      <c r="R3038" s="92" t="s">
        <v>69</v>
      </c>
      <c r="S3038" s="92" t="s">
        <v>115</v>
      </c>
      <c r="V3038" s="95">
        <v>43404</v>
      </c>
      <c r="W3038" s="92" t="s">
        <v>384</v>
      </c>
      <c r="X3038" s="90"/>
      <c r="Y3038" s="123"/>
      <c r="Z3038" s="30">
        <f t="shared" si="94"/>
        <v>6763.7822038320437</v>
      </c>
      <c r="AA3038" s="30">
        <f t="shared" si="95"/>
        <v>0</v>
      </c>
      <c r="AB3038" t="s">
        <v>457</v>
      </c>
    </row>
    <row r="3039" spans="1:28">
      <c r="A3039" t="s">
        <v>113</v>
      </c>
      <c r="C3039" s="92">
        <v>4615466522</v>
      </c>
      <c r="D3039" s="93">
        <v>19175</v>
      </c>
      <c r="F3039" s="106">
        <v>16</v>
      </c>
      <c r="G3039" s="96">
        <v>0</v>
      </c>
      <c r="H3039" s="94">
        <v>0</v>
      </c>
      <c r="I3039" s="91">
        <v>0</v>
      </c>
      <c r="J3039" s="41"/>
      <c r="K3039" s="41">
        <v>43404</v>
      </c>
      <c r="L3039" s="69" t="s">
        <v>80</v>
      </c>
      <c r="M3039" s="69" t="s">
        <v>286</v>
      </c>
      <c r="N3039" s="95"/>
      <c r="P3039" t="s">
        <v>95</v>
      </c>
      <c r="Q3039" t="s">
        <v>110</v>
      </c>
      <c r="R3039" s="92" t="s">
        <v>69</v>
      </c>
      <c r="S3039" s="92" t="s">
        <v>115</v>
      </c>
      <c r="V3039" s="95">
        <v>43404</v>
      </c>
      <c r="W3039" s="92" t="s">
        <v>384</v>
      </c>
      <c r="X3039" s="90"/>
      <c r="Y3039" s="123"/>
      <c r="Z3039" s="30">
        <f t="shared" si="94"/>
        <v>6763.7822038320437</v>
      </c>
      <c r="AA3039" s="30">
        <f t="shared" si="95"/>
        <v>0</v>
      </c>
      <c r="AB3039" t="s">
        <v>457</v>
      </c>
    </row>
    <row r="3040" spans="1:28">
      <c r="A3040" t="s">
        <v>113</v>
      </c>
      <c r="C3040" s="92">
        <v>4615497550</v>
      </c>
      <c r="D3040" s="93">
        <v>19175</v>
      </c>
      <c r="F3040" s="91">
        <v>16</v>
      </c>
      <c r="G3040" s="91">
        <v>0</v>
      </c>
      <c r="H3040" s="91">
        <v>0</v>
      </c>
      <c r="I3040" s="91">
        <v>0</v>
      </c>
      <c r="J3040" s="41"/>
      <c r="K3040" s="41">
        <v>43404</v>
      </c>
      <c r="L3040" s="69" t="s">
        <v>80</v>
      </c>
      <c r="M3040" s="69" t="s">
        <v>286</v>
      </c>
      <c r="N3040" s="95"/>
      <c r="P3040" t="s">
        <v>95</v>
      </c>
      <c r="Q3040" t="s">
        <v>133</v>
      </c>
      <c r="R3040" s="92" t="s">
        <v>69</v>
      </c>
      <c r="S3040" s="92" t="s">
        <v>115</v>
      </c>
      <c r="V3040" s="95">
        <v>43404</v>
      </c>
      <c r="W3040" s="92">
        <v>2088627</v>
      </c>
      <c r="X3040" s="90"/>
      <c r="Y3040" s="123"/>
      <c r="Z3040" s="30">
        <f t="shared" si="94"/>
        <v>6763.7822038320437</v>
      </c>
      <c r="AA3040" s="30">
        <f t="shared" si="95"/>
        <v>0</v>
      </c>
      <c r="AB3040" t="s">
        <v>457</v>
      </c>
    </row>
    <row r="3041" spans="1:28">
      <c r="A3041" t="s">
        <v>113</v>
      </c>
      <c r="C3041" s="92">
        <v>4615497550</v>
      </c>
      <c r="D3041" s="93">
        <v>19175</v>
      </c>
      <c r="F3041" s="91">
        <v>16</v>
      </c>
      <c r="G3041" s="91">
        <v>0</v>
      </c>
      <c r="H3041" s="91">
        <v>0</v>
      </c>
      <c r="I3041" s="91">
        <v>0</v>
      </c>
      <c r="J3041" s="41"/>
      <c r="K3041" s="41">
        <v>43404</v>
      </c>
      <c r="L3041" s="69" t="s">
        <v>80</v>
      </c>
      <c r="M3041" s="69" t="s">
        <v>286</v>
      </c>
      <c r="N3041" s="95"/>
      <c r="P3041" t="s">
        <v>95</v>
      </c>
      <c r="Q3041" t="s">
        <v>133</v>
      </c>
      <c r="R3041" s="92" t="s">
        <v>69</v>
      </c>
      <c r="S3041" s="92" t="s">
        <v>115</v>
      </c>
      <c r="V3041" s="95">
        <v>43404</v>
      </c>
      <c r="W3041" s="92">
        <v>2088627</v>
      </c>
      <c r="X3041" s="90"/>
      <c r="Y3041" s="123"/>
      <c r="Z3041" s="30">
        <f t="shared" si="94"/>
        <v>6763.7822038320437</v>
      </c>
      <c r="AA3041" s="30">
        <f t="shared" si="95"/>
        <v>0</v>
      </c>
      <c r="AB3041" t="s">
        <v>457</v>
      </c>
    </row>
    <row r="3042" spans="1:28">
      <c r="A3042" t="s">
        <v>113</v>
      </c>
      <c r="C3042" s="92">
        <v>4615497550</v>
      </c>
      <c r="D3042" s="93">
        <v>19175</v>
      </c>
      <c r="F3042" s="91">
        <v>16</v>
      </c>
      <c r="G3042" s="91">
        <v>0</v>
      </c>
      <c r="H3042" s="91">
        <v>0</v>
      </c>
      <c r="I3042" s="91">
        <v>0</v>
      </c>
      <c r="J3042" s="41"/>
      <c r="K3042" s="41">
        <v>43404</v>
      </c>
      <c r="L3042" s="69" t="s">
        <v>80</v>
      </c>
      <c r="M3042" s="69" t="s">
        <v>286</v>
      </c>
      <c r="N3042" s="95"/>
      <c r="P3042" t="s">
        <v>95</v>
      </c>
      <c r="Q3042" t="s">
        <v>133</v>
      </c>
      <c r="R3042" s="92" t="s">
        <v>69</v>
      </c>
      <c r="S3042" s="92" t="s">
        <v>115</v>
      </c>
      <c r="V3042" s="95">
        <v>43404</v>
      </c>
      <c r="W3042" s="92">
        <v>2088627</v>
      </c>
      <c r="X3042" s="90"/>
      <c r="Y3042" s="123"/>
      <c r="Z3042" s="30">
        <f t="shared" si="94"/>
        <v>6763.7822038320437</v>
      </c>
      <c r="AA3042" s="30">
        <f t="shared" si="95"/>
        <v>0</v>
      </c>
      <c r="AB3042" t="s">
        <v>457</v>
      </c>
    </row>
    <row r="3043" spans="1:28">
      <c r="A3043" t="s">
        <v>113</v>
      </c>
      <c r="C3043" s="92">
        <v>4615497550</v>
      </c>
      <c r="D3043" s="93">
        <v>19175</v>
      </c>
      <c r="F3043" s="91">
        <v>16</v>
      </c>
      <c r="G3043" s="91">
        <v>0</v>
      </c>
      <c r="H3043" s="91">
        <v>0</v>
      </c>
      <c r="I3043" s="91">
        <v>0</v>
      </c>
      <c r="J3043" s="41"/>
      <c r="K3043" s="41">
        <v>43404</v>
      </c>
      <c r="L3043" s="69" t="s">
        <v>80</v>
      </c>
      <c r="M3043" s="69" t="s">
        <v>286</v>
      </c>
      <c r="N3043" s="95"/>
      <c r="P3043" t="s">
        <v>95</v>
      </c>
      <c r="Q3043" t="s">
        <v>133</v>
      </c>
      <c r="R3043" s="92" t="s">
        <v>69</v>
      </c>
      <c r="S3043" s="92" t="s">
        <v>115</v>
      </c>
      <c r="V3043" s="95">
        <v>43404</v>
      </c>
      <c r="W3043" s="92">
        <v>2088627</v>
      </c>
      <c r="X3043" s="90"/>
      <c r="Y3043" s="123"/>
      <c r="Z3043" s="30">
        <f t="shared" si="94"/>
        <v>6763.7822038320437</v>
      </c>
      <c r="AA3043" s="30">
        <f t="shared" si="95"/>
        <v>0</v>
      </c>
      <c r="AB3043" t="s">
        <v>457</v>
      </c>
    </row>
    <row r="3044" spans="1:28">
      <c r="A3044" t="s">
        <v>113</v>
      </c>
      <c r="C3044" s="92">
        <v>4615497550</v>
      </c>
      <c r="D3044" s="93">
        <v>19175</v>
      </c>
      <c r="F3044" s="91">
        <v>16</v>
      </c>
      <c r="G3044" s="91">
        <v>0</v>
      </c>
      <c r="H3044" s="91">
        <v>0</v>
      </c>
      <c r="I3044" s="91">
        <v>0</v>
      </c>
      <c r="J3044" s="41"/>
      <c r="K3044" s="41">
        <v>43404</v>
      </c>
      <c r="L3044" s="69" t="s">
        <v>80</v>
      </c>
      <c r="M3044" s="69" t="s">
        <v>286</v>
      </c>
      <c r="N3044" s="95"/>
      <c r="P3044" t="s">
        <v>95</v>
      </c>
      <c r="Q3044" t="s">
        <v>133</v>
      </c>
      <c r="R3044" s="92" t="s">
        <v>69</v>
      </c>
      <c r="S3044" s="92" t="s">
        <v>115</v>
      </c>
      <c r="V3044" s="95">
        <v>43404</v>
      </c>
      <c r="W3044" s="92">
        <v>2088627</v>
      </c>
      <c r="X3044" s="90"/>
      <c r="Y3044" s="123"/>
      <c r="Z3044" s="30">
        <f t="shared" si="94"/>
        <v>6763.7822038320437</v>
      </c>
      <c r="AA3044" s="30">
        <f t="shared" si="95"/>
        <v>0</v>
      </c>
      <c r="AB3044" t="s">
        <v>457</v>
      </c>
    </row>
    <row r="3045" spans="1:28">
      <c r="A3045" t="s">
        <v>113</v>
      </c>
      <c r="C3045" s="92">
        <v>4615497550</v>
      </c>
      <c r="D3045" s="93">
        <v>19175</v>
      </c>
      <c r="F3045" s="91">
        <v>16</v>
      </c>
      <c r="G3045" s="91">
        <v>0</v>
      </c>
      <c r="H3045" s="91">
        <v>0</v>
      </c>
      <c r="I3045" s="91">
        <v>0</v>
      </c>
      <c r="J3045" s="41"/>
      <c r="K3045" s="41">
        <v>43404</v>
      </c>
      <c r="L3045" s="69" t="s">
        <v>80</v>
      </c>
      <c r="M3045" s="69" t="s">
        <v>286</v>
      </c>
      <c r="N3045" s="95"/>
      <c r="P3045" t="s">
        <v>95</v>
      </c>
      <c r="Q3045" t="s">
        <v>133</v>
      </c>
      <c r="R3045" s="92" t="s">
        <v>69</v>
      </c>
      <c r="S3045" s="92" t="s">
        <v>115</v>
      </c>
      <c r="V3045" s="95">
        <v>43404</v>
      </c>
      <c r="W3045" s="92">
        <v>2088627</v>
      </c>
      <c r="X3045" s="90"/>
      <c r="Y3045" s="123"/>
      <c r="Z3045" s="30">
        <f t="shared" si="94"/>
        <v>6763.7822038320437</v>
      </c>
      <c r="AA3045" s="30">
        <f t="shared" si="95"/>
        <v>0</v>
      </c>
      <c r="AB3045" t="s">
        <v>457</v>
      </c>
    </row>
    <row r="3046" spans="1:28">
      <c r="A3046" t="s">
        <v>113</v>
      </c>
      <c r="C3046" s="92">
        <v>4615497550</v>
      </c>
      <c r="D3046" s="93">
        <v>19175</v>
      </c>
      <c r="F3046" s="91">
        <v>16</v>
      </c>
      <c r="G3046" s="91">
        <v>0</v>
      </c>
      <c r="H3046" s="91">
        <v>0</v>
      </c>
      <c r="I3046" s="91">
        <v>0</v>
      </c>
      <c r="J3046" s="41"/>
      <c r="K3046" s="41">
        <v>43404</v>
      </c>
      <c r="L3046" s="69" t="s">
        <v>80</v>
      </c>
      <c r="M3046" s="69" t="s">
        <v>286</v>
      </c>
      <c r="N3046" s="95"/>
      <c r="P3046" t="s">
        <v>95</v>
      </c>
      <c r="Q3046" t="s">
        <v>133</v>
      </c>
      <c r="R3046" s="92" t="s">
        <v>69</v>
      </c>
      <c r="S3046" s="92" t="s">
        <v>115</v>
      </c>
      <c r="V3046" s="95">
        <v>43404</v>
      </c>
      <c r="W3046" s="92">
        <v>2088627</v>
      </c>
      <c r="X3046" s="90"/>
      <c r="Y3046" s="123"/>
      <c r="Z3046" s="30">
        <f t="shared" si="94"/>
        <v>6763.7822038320437</v>
      </c>
      <c r="AA3046" s="30">
        <f t="shared" si="95"/>
        <v>0</v>
      </c>
      <c r="AB3046" t="s">
        <v>457</v>
      </c>
    </row>
    <row r="3047" spans="1:28">
      <c r="A3047" t="s">
        <v>113</v>
      </c>
      <c r="C3047" s="92">
        <v>4615497550</v>
      </c>
      <c r="D3047" s="93">
        <v>19175</v>
      </c>
      <c r="F3047" s="91">
        <v>16</v>
      </c>
      <c r="G3047" s="91">
        <v>0</v>
      </c>
      <c r="H3047" s="91">
        <v>0</v>
      </c>
      <c r="I3047" s="91">
        <v>0</v>
      </c>
      <c r="J3047" s="41"/>
      <c r="K3047" s="41">
        <v>43404</v>
      </c>
      <c r="L3047" s="69" t="s">
        <v>80</v>
      </c>
      <c r="M3047" s="69" t="s">
        <v>286</v>
      </c>
      <c r="N3047" s="95"/>
      <c r="P3047" t="s">
        <v>95</v>
      </c>
      <c r="Q3047" t="s">
        <v>133</v>
      </c>
      <c r="R3047" s="92" t="s">
        <v>69</v>
      </c>
      <c r="S3047" s="92" t="s">
        <v>115</v>
      </c>
      <c r="V3047" s="95">
        <v>43404</v>
      </c>
      <c r="W3047" s="92">
        <v>2088627</v>
      </c>
      <c r="X3047" s="90"/>
      <c r="Y3047" s="123"/>
      <c r="Z3047" s="30">
        <f t="shared" si="94"/>
        <v>6763.7822038320437</v>
      </c>
      <c r="AA3047" s="30">
        <f t="shared" si="95"/>
        <v>0</v>
      </c>
      <c r="AB3047" t="s">
        <v>457</v>
      </c>
    </row>
    <row r="3048" spans="1:28">
      <c r="A3048" t="s">
        <v>113</v>
      </c>
      <c r="C3048" s="92">
        <v>4615497550</v>
      </c>
      <c r="D3048" s="93">
        <v>19175</v>
      </c>
      <c r="F3048" s="91">
        <v>16</v>
      </c>
      <c r="G3048" s="91">
        <v>0</v>
      </c>
      <c r="H3048" s="91">
        <v>0</v>
      </c>
      <c r="I3048" s="91">
        <v>0</v>
      </c>
      <c r="J3048" s="41"/>
      <c r="K3048" s="41">
        <v>43404</v>
      </c>
      <c r="L3048" s="69" t="s">
        <v>80</v>
      </c>
      <c r="M3048" s="69" t="s">
        <v>286</v>
      </c>
      <c r="N3048" s="95"/>
      <c r="P3048" t="s">
        <v>95</v>
      </c>
      <c r="Q3048" t="s">
        <v>133</v>
      </c>
      <c r="R3048" s="92" t="s">
        <v>69</v>
      </c>
      <c r="S3048" s="92" t="s">
        <v>115</v>
      </c>
      <c r="V3048" s="95">
        <v>43404</v>
      </c>
      <c r="W3048" s="92">
        <v>2088627</v>
      </c>
      <c r="X3048" s="90"/>
      <c r="Y3048" s="123"/>
      <c r="Z3048" s="30">
        <f t="shared" si="94"/>
        <v>6763.7822038320437</v>
      </c>
      <c r="AA3048" s="30">
        <f t="shared" si="95"/>
        <v>0</v>
      </c>
      <c r="AB3048" t="s">
        <v>457</v>
      </c>
    </row>
    <row r="3049" spans="1:28">
      <c r="A3049" t="s">
        <v>113</v>
      </c>
      <c r="C3049" s="92">
        <v>4615497550</v>
      </c>
      <c r="D3049" s="93">
        <v>19175</v>
      </c>
      <c r="F3049" s="91">
        <v>16</v>
      </c>
      <c r="G3049" s="91">
        <v>0</v>
      </c>
      <c r="H3049" s="91">
        <v>0</v>
      </c>
      <c r="I3049" s="91">
        <v>0</v>
      </c>
      <c r="J3049" s="41"/>
      <c r="K3049" s="41">
        <v>43404</v>
      </c>
      <c r="L3049" s="69" t="s">
        <v>80</v>
      </c>
      <c r="M3049" s="69" t="s">
        <v>286</v>
      </c>
      <c r="N3049" s="95"/>
      <c r="P3049" t="s">
        <v>95</v>
      </c>
      <c r="Q3049" t="s">
        <v>133</v>
      </c>
      <c r="R3049" s="92" t="s">
        <v>69</v>
      </c>
      <c r="S3049" s="92" t="s">
        <v>115</v>
      </c>
      <c r="V3049" s="95">
        <v>43404</v>
      </c>
      <c r="W3049" s="92">
        <v>2088627</v>
      </c>
      <c r="X3049" s="90"/>
      <c r="Y3049" s="123"/>
      <c r="Z3049" s="30">
        <f t="shared" si="94"/>
        <v>6763.7822038320437</v>
      </c>
      <c r="AA3049" s="30">
        <f t="shared" si="95"/>
        <v>0</v>
      </c>
      <c r="AB3049" t="s">
        <v>457</v>
      </c>
    </row>
    <row r="3050" spans="1:28">
      <c r="A3050" t="s">
        <v>113</v>
      </c>
      <c r="C3050" s="92">
        <v>4615496516</v>
      </c>
      <c r="D3050" s="93">
        <v>19175</v>
      </c>
      <c r="F3050" s="94">
        <v>16</v>
      </c>
      <c r="G3050" s="96">
        <v>5</v>
      </c>
      <c r="H3050" s="91">
        <v>0</v>
      </c>
      <c r="I3050" s="91">
        <v>0</v>
      </c>
      <c r="J3050" s="41"/>
      <c r="K3050" s="41">
        <v>43404</v>
      </c>
      <c r="L3050" s="69" t="s">
        <v>80</v>
      </c>
      <c r="M3050" s="69" t="s">
        <v>286</v>
      </c>
      <c r="N3050" s="98"/>
      <c r="P3050" t="s">
        <v>95</v>
      </c>
      <c r="Q3050" t="s">
        <v>133</v>
      </c>
      <c r="R3050" s="92" t="s">
        <v>69</v>
      </c>
      <c r="S3050" s="92" t="s">
        <v>115</v>
      </c>
      <c r="V3050" s="95">
        <v>43404</v>
      </c>
      <c r="W3050" s="92" t="s">
        <v>385</v>
      </c>
      <c r="X3050" s="90"/>
      <c r="Y3050" s="123"/>
      <c r="Z3050" s="30">
        <f t="shared" si="94"/>
        <v>6763.7822038320437</v>
      </c>
      <c r="AA3050" s="30">
        <f t="shared" si="95"/>
        <v>2113.6819386975139</v>
      </c>
      <c r="AB3050" t="s">
        <v>457</v>
      </c>
    </row>
    <row r="3051" spans="1:28">
      <c r="A3051" t="s">
        <v>113</v>
      </c>
      <c r="C3051" s="92">
        <v>4615496516</v>
      </c>
      <c r="D3051" s="93">
        <v>19175</v>
      </c>
      <c r="F3051" s="94">
        <v>16</v>
      </c>
      <c r="G3051" s="96">
        <v>5</v>
      </c>
      <c r="H3051" s="91">
        <v>0</v>
      </c>
      <c r="I3051" s="91">
        <v>0</v>
      </c>
      <c r="J3051" s="41"/>
      <c r="K3051" s="41">
        <v>43404</v>
      </c>
      <c r="L3051" s="69" t="s">
        <v>80</v>
      </c>
      <c r="M3051" s="69" t="s">
        <v>286</v>
      </c>
      <c r="N3051" s="98"/>
      <c r="P3051" t="s">
        <v>95</v>
      </c>
      <c r="Q3051" t="s">
        <v>133</v>
      </c>
      <c r="R3051" s="92" t="s">
        <v>69</v>
      </c>
      <c r="S3051" s="92" t="s">
        <v>115</v>
      </c>
      <c r="V3051" s="95">
        <v>43404</v>
      </c>
      <c r="W3051" s="92" t="s">
        <v>385</v>
      </c>
      <c r="X3051" s="90"/>
      <c r="Y3051" s="123"/>
      <c r="Z3051" s="30">
        <f t="shared" si="94"/>
        <v>6763.7822038320437</v>
      </c>
      <c r="AA3051" s="30">
        <f t="shared" si="95"/>
        <v>2113.6819386975139</v>
      </c>
      <c r="AB3051" t="s">
        <v>457</v>
      </c>
    </row>
    <row r="3052" spans="1:28">
      <c r="A3052" t="s">
        <v>113</v>
      </c>
      <c r="C3052" s="92">
        <v>4615496516</v>
      </c>
      <c r="D3052" s="93">
        <v>19175</v>
      </c>
      <c r="F3052" s="94">
        <v>16</v>
      </c>
      <c r="G3052" s="96">
        <v>5</v>
      </c>
      <c r="H3052" s="91">
        <v>0</v>
      </c>
      <c r="I3052" s="91">
        <v>0</v>
      </c>
      <c r="J3052" s="41"/>
      <c r="K3052" s="41">
        <v>43404</v>
      </c>
      <c r="L3052" s="69" t="s">
        <v>80</v>
      </c>
      <c r="M3052" s="69" t="s">
        <v>286</v>
      </c>
      <c r="N3052" s="98"/>
      <c r="P3052" t="s">
        <v>95</v>
      </c>
      <c r="Q3052" t="s">
        <v>133</v>
      </c>
      <c r="R3052" s="92" t="s">
        <v>69</v>
      </c>
      <c r="S3052" s="92" t="s">
        <v>115</v>
      </c>
      <c r="V3052" s="95">
        <v>43404</v>
      </c>
      <c r="W3052" s="92" t="s">
        <v>385</v>
      </c>
      <c r="X3052" s="90"/>
      <c r="Y3052" s="123"/>
      <c r="Z3052" s="30">
        <f t="shared" si="94"/>
        <v>6763.7822038320437</v>
      </c>
      <c r="AA3052" s="30">
        <f t="shared" si="95"/>
        <v>2113.6819386975139</v>
      </c>
      <c r="AB3052" t="s">
        <v>457</v>
      </c>
    </row>
    <row r="3053" spans="1:28">
      <c r="A3053" t="s">
        <v>113</v>
      </c>
      <c r="C3053" s="92">
        <v>4615496516</v>
      </c>
      <c r="D3053" s="93">
        <v>19175</v>
      </c>
      <c r="F3053" s="94">
        <v>16</v>
      </c>
      <c r="G3053" s="96">
        <v>5</v>
      </c>
      <c r="H3053" s="91">
        <v>0</v>
      </c>
      <c r="I3053" s="91">
        <v>0</v>
      </c>
      <c r="J3053" s="41"/>
      <c r="K3053" s="41">
        <v>43404</v>
      </c>
      <c r="L3053" s="69" t="s">
        <v>80</v>
      </c>
      <c r="M3053" s="69" t="s">
        <v>286</v>
      </c>
      <c r="N3053" s="98"/>
      <c r="P3053" t="s">
        <v>95</v>
      </c>
      <c r="Q3053" t="s">
        <v>133</v>
      </c>
      <c r="R3053" s="92" t="s">
        <v>69</v>
      </c>
      <c r="S3053" s="92" t="s">
        <v>115</v>
      </c>
      <c r="V3053" s="95">
        <v>43404</v>
      </c>
      <c r="W3053" s="92" t="s">
        <v>385</v>
      </c>
      <c r="X3053" s="90"/>
      <c r="Y3053" s="123"/>
      <c r="Z3053" s="30">
        <f t="shared" si="94"/>
        <v>6763.7822038320437</v>
      </c>
      <c r="AA3053" s="30">
        <f t="shared" si="95"/>
        <v>2113.6819386975139</v>
      </c>
      <c r="AB3053" t="s">
        <v>457</v>
      </c>
    </row>
    <row r="3054" spans="1:28">
      <c r="A3054" t="s">
        <v>113</v>
      </c>
      <c r="C3054" s="92">
        <v>4615496516</v>
      </c>
      <c r="D3054" s="93">
        <v>19175</v>
      </c>
      <c r="F3054" s="94">
        <v>16</v>
      </c>
      <c r="G3054" s="96">
        <v>5</v>
      </c>
      <c r="H3054" s="91">
        <v>0</v>
      </c>
      <c r="I3054" s="91">
        <v>0</v>
      </c>
      <c r="J3054" s="41"/>
      <c r="K3054" s="41">
        <v>43404</v>
      </c>
      <c r="L3054" s="69" t="s">
        <v>80</v>
      </c>
      <c r="M3054" s="69" t="s">
        <v>286</v>
      </c>
      <c r="N3054" s="98"/>
      <c r="P3054" t="s">
        <v>95</v>
      </c>
      <c r="Q3054" t="s">
        <v>133</v>
      </c>
      <c r="R3054" s="92" t="s">
        <v>69</v>
      </c>
      <c r="S3054" s="92" t="s">
        <v>115</v>
      </c>
      <c r="V3054" s="95">
        <v>43404</v>
      </c>
      <c r="W3054" s="92" t="s">
        <v>385</v>
      </c>
      <c r="X3054" s="90"/>
      <c r="Y3054" s="123"/>
      <c r="Z3054" s="30">
        <f t="shared" si="94"/>
        <v>6763.7822038320437</v>
      </c>
      <c r="AA3054" s="30">
        <f t="shared" si="95"/>
        <v>2113.6819386975139</v>
      </c>
      <c r="AB3054" t="s">
        <v>457</v>
      </c>
    </row>
    <row r="3055" spans="1:28">
      <c r="A3055" t="s">
        <v>113</v>
      </c>
      <c r="C3055" s="92">
        <v>4615496516</v>
      </c>
      <c r="D3055" s="93">
        <v>19175</v>
      </c>
      <c r="F3055" s="94">
        <v>16</v>
      </c>
      <c r="G3055" s="96">
        <v>5</v>
      </c>
      <c r="H3055" s="91">
        <v>0</v>
      </c>
      <c r="I3055" s="91">
        <v>0</v>
      </c>
      <c r="J3055" s="41"/>
      <c r="K3055" s="41">
        <v>43404</v>
      </c>
      <c r="L3055" s="69" t="s">
        <v>80</v>
      </c>
      <c r="M3055" s="69" t="s">
        <v>286</v>
      </c>
      <c r="N3055" s="98"/>
      <c r="P3055" t="s">
        <v>95</v>
      </c>
      <c r="Q3055" t="s">
        <v>133</v>
      </c>
      <c r="R3055" s="92" t="s">
        <v>69</v>
      </c>
      <c r="S3055" s="92" t="s">
        <v>115</v>
      </c>
      <c r="V3055" s="95">
        <v>43404</v>
      </c>
      <c r="W3055" s="92" t="s">
        <v>385</v>
      </c>
      <c r="X3055" s="90"/>
      <c r="Y3055" s="123"/>
      <c r="Z3055" s="30">
        <f t="shared" si="94"/>
        <v>6763.7822038320437</v>
      </c>
      <c r="AA3055" s="30">
        <f t="shared" si="95"/>
        <v>2113.6819386975139</v>
      </c>
      <c r="AB3055" t="s">
        <v>457</v>
      </c>
    </row>
    <row r="3056" spans="1:28">
      <c r="A3056" t="s">
        <v>113</v>
      </c>
      <c r="C3056" s="92">
        <v>4615496516</v>
      </c>
      <c r="D3056" s="93">
        <v>19175</v>
      </c>
      <c r="F3056" s="94">
        <v>16</v>
      </c>
      <c r="G3056" s="96">
        <v>5</v>
      </c>
      <c r="H3056" s="91">
        <v>0</v>
      </c>
      <c r="I3056" s="91">
        <v>0</v>
      </c>
      <c r="J3056" s="41"/>
      <c r="K3056" s="41">
        <v>43404</v>
      </c>
      <c r="L3056" s="69" t="s">
        <v>80</v>
      </c>
      <c r="M3056" s="69" t="s">
        <v>286</v>
      </c>
      <c r="N3056" s="98"/>
      <c r="P3056" t="s">
        <v>95</v>
      </c>
      <c r="Q3056" t="s">
        <v>133</v>
      </c>
      <c r="R3056" s="92" t="s">
        <v>69</v>
      </c>
      <c r="S3056" s="92" t="s">
        <v>115</v>
      </c>
      <c r="V3056" s="95">
        <v>43404</v>
      </c>
      <c r="W3056" s="92" t="s">
        <v>385</v>
      </c>
      <c r="X3056" s="90"/>
      <c r="Y3056" s="123"/>
      <c r="Z3056" s="30">
        <f t="shared" si="94"/>
        <v>6763.7822038320437</v>
      </c>
      <c r="AA3056" s="30">
        <f t="shared" si="95"/>
        <v>2113.6819386975139</v>
      </c>
      <c r="AB3056" t="s">
        <v>457</v>
      </c>
    </row>
    <row r="3057" spans="1:28">
      <c r="A3057" t="s">
        <v>113</v>
      </c>
      <c r="C3057" s="92">
        <v>4615496516</v>
      </c>
      <c r="D3057" s="93">
        <v>19175</v>
      </c>
      <c r="F3057" s="94">
        <v>16</v>
      </c>
      <c r="G3057" s="96">
        <v>5</v>
      </c>
      <c r="H3057" s="91">
        <v>0</v>
      </c>
      <c r="I3057" s="91">
        <v>0</v>
      </c>
      <c r="J3057" s="41"/>
      <c r="K3057" s="41">
        <v>43404</v>
      </c>
      <c r="L3057" s="69" t="s">
        <v>80</v>
      </c>
      <c r="M3057" s="69" t="s">
        <v>286</v>
      </c>
      <c r="N3057" s="98"/>
      <c r="P3057" t="s">
        <v>95</v>
      </c>
      <c r="Q3057" t="s">
        <v>133</v>
      </c>
      <c r="R3057" s="92" t="s">
        <v>69</v>
      </c>
      <c r="S3057" s="92" t="s">
        <v>115</v>
      </c>
      <c r="V3057" s="95">
        <v>43404</v>
      </c>
      <c r="W3057" s="92" t="s">
        <v>385</v>
      </c>
      <c r="X3057" s="90"/>
      <c r="Y3057" s="123"/>
      <c r="Z3057" s="30">
        <f t="shared" si="94"/>
        <v>6763.7822038320437</v>
      </c>
      <c r="AA3057" s="30">
        <f t="shared" si="95"/>
        <v>2113.6819386975139</v>
      </c>
      <c r="AB3057" t="s">
        <v>457</v>
      </c>
    </row>
    <row r="3058" spans="1:28">
      <c r="A3058" t="s">
        <v>113</v>
      </c>
      <c r="C3058" s="92">
        <v>4615496516</v>
      </c>
      <c r="D3058" s="93">
        <v>19175</v>
      </c>
      <c r="F3058" s="94">
        <v>16</v>
      </c>
      <c r="G3058" s="96">
        <v>5</v>
      </c>
      <c r="H3058" s="91">
        <v>0</v>
      </c>
      <c r="I3058" s="91">
        <v>0</v>
      </c>
      <c r="J3058" s="41"/>
      <c r="K3058" s="41">
        <v>43404</v>
      </c>
      <c r="L3058" s="69" t="s">
        <v>80</v>
      </c>
      <c r="M3058" s="69" t="s">
        <v>286</v>
      </c>
      <c r="N3058" s="98"/>
      <c r="P3058" t="s">
        <v>95</v>
      </c>
      <c r="Q3058" t="s">
        <v>133</v>
      </c>
      <c r="R3058" s="92" t="s">
        <v>69</v>
      </c>
      <c r="S3058" s="92" t="s">
        <v>115</v>
      </c>
      <c r="V3058" s="95">
        <v>43404</v>
      </c>
      <c r="W3058" s="92" t="s">
        <v>385</v>
      </c>
      <c r="X3058" s="90"/>
      <c r="Y3058" s="123"/>
      <c r="Z3058" s="30">
        <f t="shared" si="94"/>
        <v>6763.7822038320437</v>
      </c>
      <c r="AA3058" s="30">
        <f t="shared" si="95"/>
        <v>2113.6819386975139</v>
      </c>
      <c r="AB3058" t="s">
        <v>457</v>
      </c>
    </row>
    <row r="3059" spans="1:28">
      <c r="A3059" t="s">
        <v>113</v>
      </c>
      <c r="C3059" s="92">
        <v>4615496516</v>
      </c>
      <c r="D3059" s="93">
        <v>19175</v>
      </c>
      <c r="F3059" s="94">
        <v>16</v>
      </c>
      <c r="G3059" s="96">
        <v>5</v>
      </c>
      <c r="H3059" s="91">
        <v>0</v>
      </c>
      <c r="I3059" s="91">
        <v>0</v>
      </c>
      <c r="J3059" s="41"/>
      <c r="K3059" s="41">
        <v>43404</v>
      </c>
      <c r="L3059" s="69" t="s">
        <v>80</v>
      </c>
      <c r="M3059" s="69" t="s">
        <v>286</v>
      </c>
      <c r="N3059" s="98"/>
      <c r="P3059" t="s">
        <v>95</v>
      </c>
      <c r="Q3059" t="s">
        <v>133</v>
      </c>
      <c r="R3059" s="92" t="s">
        <v>69</v>
      </c>
      <c r="S3059" s="92" t="s">
        <v>115</v>
      </c>
      <c r="V3059" s="95">
        <v>43404</v>
      </c>
      <c r="W3059" s="92" t="s">
        <v>385</v>
      </c>
      <c r="X3059" s="90"/>
      <c r="Y3059" s="123"/>
      <c r="Z3059" s="30">
        <f t="shared" si="94"/>
        <v>6763.7822038320437</v>
      </c>
      <c r="AA3059" s="30">
        <f t="shared" si="95"/>
        <v>2113.6819386975139</v>
      </c>
      <c r="AB3059" t="s">
        <v>457</v>
      </c>
    </row>
    <row r="3060" spans="1:28">
      <c r="A3060" t="s">
        <v>113</v>
      </c>
      <c r="C3060" s="92">
        <v>4615482844</v>
      </c>
      <c r="D3060" s="93">
        <v>19175</v>
      </c>
      <c r="F3060" s="94">
        <v>16</v>
      </c>
      <c r="G3060" s="94">
        <v>0</v>
      </c>
      <c r="H3060" s="91">
        <v>0</v>
      </c>
      <c r="I3060" s="91">
        <v>0</v>
      </c>
      <c r="J3060" s="41"/>
      <c r="K3060" s="41">
        <v>43404</v>
      </c>
      <c r="L3060" s="69" t="s">
        <v>80</v>
      </c>
      <c r="M3060" s="69" t="s">
        <v>286</v>
      </c>
      <c r="N3060" s="98"/>
      <c r="P3060" t="s">
        <v>95</v>
      </c>
      <c r="Q3060" t="s">
        <v>133</v>
      </c>
      <c r="R3060" s="92" t="s">
        <v>69</v>
      </c>
      <c r="S3060" s="92" t="s">
        <v>115</v>
      </c>
      <c r="V3060" s="95">
        <v>43404</v>
      </c>
      <c r="W3060" s="92" t="s">
        <v>386</v>
      </c>
      <c r="X3060" s="90"/>
      <c r="Y3060" s="123"/>
      <c r="Z3060" s="30">
        <f t="shared" si="94"/>
        <v>6763.7822038320437</v>
      </c>
      <c r="AA3060" s="30">
        <f t="shared" si="95"/>
        <v>0</v>
      </c>
      <c r="AB3060" t="s">
        <v>457</v>
      </c>
    </row>
    <row r="3061" spans="1:28">
      <c r="A3061" t="s">
        <v>113</v>
      </c>
      <c r="C3061" s="92">
        <v>4615482844</v>
      </c>
      <c r="D3061" s="93">
        <v>19175</v>
      </c>
      <c r="F3061" s="94">
        <v>16</v>
      </c>
      <c r="G3061" s="94">
        <v>0</v>
      </c>
      <c r="H3061" s="91">
        <v>0</v>
      </c>
      <c r="I3061" s="91">
        <v>0</v>
      </c>
      <c r="J3061" s="41"/>
      <c r="K3061" s="41">
        <v>43404</v>
      </c>
      <c r="L3061" s="69" t="s">
        <v>80</v>
      </c>
      <c r="M3061" s="69" t="s">
        <v>286</v>
      </c>
      <c r="N3061" s="98"/>
      <c r="P3061" t="s">
        <v>95</v>
      </c>
      <c r="Q3061" t="s">
        <v>133</v>
      </c>
      <c r="R3061" s="92" t="s">
        <v>69</v>
      </c>
      <c r="S3061" s="92" t="s">
        <v>115</v>
      </c>
      <c r="V3061" s="95">
        <v>43404</v>
      </c>
      <c r="W3061" s="92" t="s">
        <v>386</v>
      </c>
      <c r="X3061" s="90"/>
      <c r="Y3061" s="123"/>
      <c r="Z3061" s="30">
        <f t="shared" si="94"/>
        <v>6763.7822038320437</v>
      </c>
      <c r="AA3061" s="30">
        <f t="shared" si="95"/>
        <v>0</v>
      </c>
      <c r="AB3061" t="s">
        <v>457</v>
      </c>
    </row>
    <row r="3062" spans="1:28">
      <c r="A3062" t="s">
        <v>113</v>
      </c>
      <c r="C3062" s="92">
        <v>4615482844</v>
      </c>
      <c r="D3062" s="93">
        <v>19175</v>
      </c>
      <c r="F3062" s="94">
        <v>16</v>
      </c>
      <c r="G3062" s="94">
        <v>0</v>
      </c>
      <c r="H3062" s="91">
        <v>0</v>
      </c>
      <c r="I3062" s="91">
        <v>0</v>
      </c>
      <c r="J3062" s="41"/>
      <c r="K3062" s="41">
        <v>43404</v>
      </c>
      <c r="L3062" s="69" t="s">
        <v>80</v>
      </c>
      <c r="M3062" s="69" t="s">
        <v>286</v>
      </c>
      <c r="N3062" s="98"/>
      <c r="P3062" t="s">
        <v>95</v>
      </c>
      <c r="Q3062" t="s">
        <v>133</v>
      </c>
      <c r="R3062" s="92" t="s">
        <v>69</v>
      </c>
      <c r="S3062" s="92" t="s">
        <v>115</v>
      </c>
      <c r="V3062" s="95">
        <v>43404</v>
      </c>
      <c r="W3062" s="92" t="s">
        <v>386</v>
      </c>
      <c r="X3062" s="90"/>
      <c r="Y3062" s="123"/>
      <c r="Z3062" s="30">
        <f t="shared" si="94"/>
        <v>6763.7822038320437</v>
      </c>
      <c r="AA3062" s="30">
        <f t="shared" si="95"/>
        <v>0</v>
      </c>
      <c r="AB3062" t="s">
        <v>457</v>
      </c>
    </row>
    <row r="3063" spans="1:28">
      <c r="A3063" t="s">
        <v>113</v>
      </c>
      <c r="C3063" s="92">
        <v>4615482844</v>
      </c>
      <c r="D3063" s="93">
        <v>19175</v>
      </c>
      <c r="F3063" s="94">
        <v>16</v>
      </c>
      <c r="G3063" s="94">
        <v>0</v>
      </c>
      <c r="H3063" s="91">
        <v>0</v>
      </c>
      <c r="I3063" s="91">
        <v>0</v>
      </c>
      <c r="J3063" s="41"/>
      <c r="K3063" s="41">
        <v>43404</v>
      </c>
      <c r="L3063" s="69" t="s">
        <v>80</v>
      </c>
      <c r="M3063" s="69" t="s">
        <v>286</v>
      </c>
      <c r="N3063" s="98"/>
      <c r="P3063" t="s">
        <v>95</v>
      </c>
      <c r="Q3063" t="s">
        <v>133</v>
      </c>
      <c r="R3063" s="92" t="s">
        <v>69</v>
      </c>
      <c r="S3063" s="92" t="s">
        <v>115</v>
      </c>
      <c r="V3063" s="95">
        <v>43404</v>
      </c>
      <c r="W3063" s="92" t="s">
        <v>386</v>
      </c>
      <c r="X3063" s="90"/>
      <c r="Y3063" s="123"/>
      <c r="Z3063" s="30">
        <f t="shared" si="94"/>
        <v>6763.7822038320437</v>
      </c>
      <c r="AA3063" s="30">
        <f t="shared" si="95"/>
        <v>0</v>
      </c>
      <c r="AB3063" t="s">
        <v>457</v>
      </c>
    </row>
    <row r="3064" spans="1:28">
      <c r="A3064" t="s">
        <v>113</v>
      </c>
      <c r="C3064" s="92">
        <v>4615482844</v>
      </c>
      <c r="D3064" s="93">
        <v>19175</v>
      </c>
      <c r="F3064" s="94">
        <v>16</v>
      </c>
      <c r="G3064" s="94">
        <v>0</v>
      </c>
      <c r="H3064" s="91">
        <v>0</v>
      </c>
      <c r="I3064" s="91">
        <v>0</v>
      </c>
      <c r="J3064" s="41"/>
      <c r="K3064" s="41">
        <v>43404</v>
      </c>
      <c r="L3064" s="69" t="s">
        <v>80</v>
      </c>
      <c r="M3064" s="69" t="s">
        <v>286</v>
      </c>
      <c r="N3064" s="98"/>
      <c r="P3064" t="s">
        <v>95</v>
      </c>
      <c r="Q3064" t="s">
        <v>133</v>
      </c>
      <c r="R3064" s="92" t="s">
        <v>69</v>
      </c>
      <c r="S3064" s="92" t="s">
        <v>115</v>
      </c>
      <c r="V3064" s="95">
        <v>43404</v>
      </c>
      <c r="W3064" s="92" t="s">
        <v>386</v>
      </c>
      <c r="X3064" s="90"/>
      <c r="Y3064" s="123"/>
      <c r="Z3064" s="30">
        <f t="shared" si="94"/>
        <v>6763.7822038320437</v>
      </c>
      <c r="AA3064" s="30">
        <f t="shared" si="95"/>
        <v>0</v>
      </c>
      <c r="AB3064" t="s">
        <v>457</v>
      </c>
    </row>
    <row r="3065" spans="1:28">
      <c r="A3065" t="s">
        <v>113</v>
      </c>
      <c r="C3065" s="92">
        <v>4615482844</v>
      </c>
      <c r="D3065" s="93">
        <v>19175</v>
      </c>
      <c r="F3065" s="94">
        <v>16</v>
      </c>
      <c r="G3065" s="94">
        <v>0</v>
      </c>
      <c r="H3065" s="91">
        <v>0</v>
      </c>
      <c r="I3065" s="91">
        <v>0</v>
      </c>
      <c r="J3065" s="41"/>
      <c r="K3065" s="41">
        <v>43404</v>
      </c>
      <c r="L3065" s="69" t="s">
        <v>80</v>
      </c>
      <c r="M3065" s="69" t="s">
        <v>286</v>
      </c>
      <c r="N3065" s="98"/>
      <c r="P3065" t="s">
        <v>95</v>
      </c>
      <c r="Q3065" t="s">
        <v>133</v>
      </c>
      <c r="R3065" s="92" t="s">
        <v>69</v>
      </c>
      <c r="S3065" s="92" t="s">
        <v>115</v>
      </c>
      <c r="V3065" s="95">
        <v>43404</v>
      </c>
      <c r="W3065" s="92" t="s">
        <v>386</v>
      </c>
      <c r="X3065" s="90"/>
      <c r="Y3065" s="123"/>
      <c r="Z3065" s="30">
        <f t="shared" si="94"/>
        <v>6763.7822038320437</v>
      </c>
      <c r="AA3065" s="30">
        <f t="shared" si="95"/>
        <v>0</v>
      </c>
      <c r="AB3065" t="s">
        <v>457</v>
      </c>
    </row>
    <row r="3066" spans="1:28">
      <c r="A3066" t="s">
        <v>113</v>
      </c>
      <c r="C3066" s="92">
        <v>4615482844</v>
      </c>
      <c r="D3066" s="93">
        <v>19175</v>
      </c>
      <c r="F3066" s="94">
        <v>16</v>
      </c>
      <c r="G3066" s="94">
        <v>0</v>
      </c>
      <c r="H3066" s="91">
        <v>0</v>
      </c>
      <c r="I3066" s="91">
        <v>0</v>
      </c>
      <c r="J3066" s="41"/>
      <c r="K3066" s="41">
        <v>43404</v>
      </c>
      <c r="L3066" s="69" t="s">
        <v>80</v>
      </c>
      <c r="M3066" s="69" t="s">
        <v>286</v>
      </c>
      <c r="N3066" s="98"/>
      <c r="P3066" t="s">
        <v>95</v>
      </c>
      <c r="Q3066" t="s">
        <v>133</v>
      </c>
      <c r="R3066" s="92" t="s">
        <v>69</v>
      </c>
      <c r="S3066" s="92" t="s">
        <v>115</v>
      </c>
      <c r="V3066" s="95">
        <v>43404</v>
      </c>
      <c r="W3066" s="92" t="s">
        <v>386</v>
      </c>
      <c r="X3066" s="90"/>
      <c r="Y3066" s="123"/>
      <c r="Z3066" s="30">
        <f t="shared" si="94"/>
        <v>6763.7822038320437</v>
      </c>
      <c r="AA3066" s="30">
        <f t="shared" si="95"/>
        <v>0</v>
      </c>
      <c r="AB3066" t="s">
        <v>457</v>
      </c>
    </row>
    <row r="3067" spans="1:28">
      <c r="A3067" t="s">
        <v>113</v>
      </c>
      <c r="C3067" s="92">
        <v>4615482844</v>
      </c>
      <c r="D3067" s="93">
        <v>19175</v>
      </c>
      <c r="F3067" s="94">
        <v>16</v>
      </c>
      <c r="G3067" s="94">
        <v>0</v>
      </c>
      <c r="H3067" s="91">
        <v>0</v>
      </c>
      <c r="I3067" s="91">
        <v>0</v>
      </c>
      <c r="J3067" s="41"/>
      <c r="K3067" s="41">
        <v>43404</v>
      </c>
      <c r="L3067" s="69" t="s">
        <v>80</v>
      </c>
      <c r="M3067" s="69" t="s">
        <v>286</v>
      </c>
      <c r="N3067" s="98"/>
      <c r="P3067" t="s">
        <v>95</v>
      </c>
      <c r="Q3067" t="s">
        <v>133</v>
      </c>
      <c r="R3067" s="92" t="s">
        <v>69</v>
      </c>
      <c r="S3067" s="92" t="s">
        <v>115</v>
      </c>
      <c r="V3067" s="95">
        <v>43404</v>
      </c>
      <c r="W3067" s="92" t="s">
        <v>386</v>
      </c>
      <c r="X3067" s="90"/>
      <c r="Y3067" s="123"/>
      <c r="Z3067" s="30">
        <f t="shared" si="94"/>
        <v>6763.7822038320437</v>
      </c>
      <c r="AA3067" s="30">
        <f t="shared" si="95"/>
        <v>0</v>
      </c>
      <c r="AB3067" t="s">
        <v>457</v>
      </c>
    </row>
    <row r="3068" spans="1:28">
      <c r="A3068" t="s">
        <v>113</v>
      </c>
      <c r="C3068" s="92">
        <v>4615482844</v>
      </c>
      <c r="D3068" s="93">
        <v>19175</v>
      </c>
      <c r="F3068" s="94">
        <v>16</v>
      </c>
      <c r="G3068" s="94">
        <v>0</v>
      </c>
      <c r="H3068" s="91">
        <v>0</v>
      </c>
      <c r="I3068" s="91">
        <v>0</v>
      </c>
      <c r="J3068" s="41"/>
      <c r="K3068" s="41">
        <v>43404</v>
      </c>
      <c r="L3068" s="69" t="s">
        <v>80</v>
      </c>
      <c r="M3068" s="69" t="s">
        <v>286</v>
      </c>
      <c r="N3068" s="98"/>
      <c r="P3068" t="s">
        <v>95</v>
      </c>
      <c r="Q3068" t="s">
        <v>133</v>
      </c>
      <c r="R3068" s="92" t="s">
        <v>69</v>
      </c>
      <c r="S3068" s="92" t="s">
        <v>115</v>
      </c>
      <c r="V3068" s="95">
        <v>43404</v>
      </c>
      <c r="W3068" s="92" t="s">
        <v>386</v>
      </c>
      <c r="X3068" s="90"/>
      <c r="Y3068" s="123"/>
      <c r="Z3068" s="30">
        <f t="shared" si="94"/>
        <v>6763.7822038320437</v>
      </c>
      <c r="AA3068" s="30">
        <f t="shared" si="95"/>
        <v>0</v>
      </c>
      <c r="AB3068" t="s">
        <v>457</v>
      </c>
    </row>
    <row r="3069" spans="1:28">
      <c r="A3069" t="s">
        <v>113</v>
      </c>
      <c r="C3069" s="92">
        <v>4615482844</v>
      </c>
      <c r="D3069" s="93">
        <v>19175</v>
      </c>
      <c r="F3069" s="94">
        <v>16</v>
      </c>
      <c r="G3069" s="94">
        <v>0</v>
      </c>
      <c r="H3069" s="91">
        <v>0</v>
      </c>
      <c r="I3069" s="91">
        <v>0</v>
      </c>
      <c r="J3069" s="41"/>
      <c r="K3069" s="41">
        <v>43404</v>
      </c>
      <c r="L3069" s="69" t="s">
        <v>80</v>
      </c>
      <c r="M3069" s="69" t="s">
        <v>286</v>
      </c>
      <c r="N3069" s="98"/>
      <c r="P3069" t="s">
        <v>95</v>
      </c>
      <c r="Q3069" t="s">
        <v>133</v>
      </c>
      <c r="R3069" s="92" t="s">
        <v>69</v>
      </c>
      <c r="S3069" s="92" t="s">
        <v>115</v>
      </c>
      <c r="V3069" s="95">
        <v>43404</v>
      </c>
      <c r="W3069" s="92" t="s">
        <v>386</v>
      </c>
      <c r="X3069" s="90"/>
      <c r="Y3069" s="123"/>
      <c r="Z3069" s="30">
        <f t="shared" si="94"/>
        <v>6763.7822038320437</v>
      </c>
      <c r="AA3069" s="30">
        <f t="shared" si="95"/>
        <v>0</v>
      </c>
      <c r="AB3069" t="s">
        <v>457</v>
      </c>
    </row>
    <row r="3070" spans="1:28">
      <c r="A3070" t="s">
        <v>113</v>
      </c>
      <c r="C3070" s="104" t="s">
        <v>161</v>
      </c>
      <c r="D3070" s="105">
        <v>21600</v>
      </c>
      <c r="F3070" s="91">
        <v>16</v>
      </c>
      <c r="G3070" s="96">
        <v>5</v>
      </c>
      <c r="H3070" s="94">
        <v>0</v>
      </c>
      <c r="I3070" s="91">
        <v>0</v>
      </c>
      <c r="J3070" s="41"/>
      <c r="K3070" s="41">
        <v>43404</v>
      </c>
      <c r="L3070" s="69" t="s">
        <v>80</v>
      </c>
      <c r="M3070" s="69" t="s">
        <v>286</v>
      </c>
      <c r="N3070" s="95"/>
      <c r="P3070" t="s">
        <v>95</v>
      </c>
      <c r="Q3070" t="s">
        <v>133</v>
      </c>
      <c r="R3070" s="92" t="s">
        <v>69</v>
      </c>
      <c r="S3070" s="92" t="s">
        <v>115</v>
      </c>
      <c r="V3070" s="95">
        <v>43404</v>
      </c>
      <c r="W3070" s="104" t="s">
        <v>387</v>
      </c>
      <c r="X3070" s="90" t="s">
        <v>196</v>
      </c>
      <c r="Y3070" s="123"/>
      <c r="Z3070" s="30">
        <f t="shared" si="94"/>
        <v>7619.1757811093694</v>
      </c>
      <c r="AA3070" s="30">
        <f t="shared" si="95"/>
        <v>2380.9924315966778</v>
      </c>
      <c r="AB3070" t="s">
        <v>457</v>
      </c>
    </row>
    <row r="3071" spans="1:28">
      <c r="A3071" t="s">
        <v>113</v>
      </c>
      <c r="C3071" s="104" t="s">
        <v>161</v>
      </c>
      <c r="D3071" s="105">
        <v>21600</v>
      </c>
      <c r="F3071" s="91">
        <v>16</v>
      </c>
      <c r="G3071" s="96">
        <v>5</v>
      </c>
      <c r="H3071" s="94">
        <v>0</v>
      </c>
      <c r="I3071" s="91">
        <v>0</v>
      </c>
      <c r="J3071" s="41"/>
      <c r="K3071" s="41">
        <v>43404</v>
      </c>
      <c r="L3071" s="69" t="s">
        <v>80</v>
      </c>
      <c r="M3071" s="69" t="s">
        <v>286</v>
      </c>
      <c r="N3071" s="95"/>
      <c r="P3071" t="s">
        <v>95</v>
      </c>
      <c r="Q3071" t="s">
        <v>133</v>
      </c>
      <c r="R3071" s="92" t="s">
        <v>69</v>
      </c>
      <c r="S3071" s="92" t="s">
        <v>115</v>
      </c>
      <c r="V3071" s="95">
        <v>43404</v>
      </c>
      <c r="W3071" s="104" t="s">
        <v>387</v>
      </c>
      <c r="X3071" s="90" t="s">
        <v>196</v>
      </c>
      <c r="Y3071" s="123"/>
      <c r="Z3071" s="30">
        <f t="shared" si="94"/>
        <v>7619.1757811093694</v>
      </c>
      <c r="AA3071" s="30">
        <f t="shared" si="95"/>
        <v>2380.9924315966778</v>
      </c>
      <c r="AB3071" t="s">
        <v>457</v>
      </c>
    </row>
    <row r="3072" spans="1:28">
      <c r="A3072" t="s">
        <v>113</v>
      </c>
      <c r="C3072" s="104" t="s">
        <v>161</v>
      </c>
      <c r="D3072" s="105">
        <v>21600</v>
      </c>
      <c r="F3072" s="91">
        <v>16</v>
      </c>
      <c r="G3072" s="96">
        <v>5</v>
      </c>
      <c r="H3072" s="94">
        <v>0</v>
      </c>
      <c r="I3072" s="91">
        <v>0</v>
      </c>
      <c r="J3072" s="41"/>
      <c r="K3072" s="41">
        <v>43404</v>
      </c>
      <c r="L3072" s="69" t="s">
        <v>80</v>
      </c>
      <c r="M3072" s="69" t="s">
        <v>286</v>
      </c>
      <c r="N3072" s="95"/>
      <c r="P3072" t="s">
        <v>95</v>
      </c>
      <c r="Q3072" t="s">
        <v>133</v>
      </c>
      <c r="R3072" s="92" t="s">
        <v>69</v>
      </c>
      <c r="S3072" s="92" t="s">
        <v>115</v>
      </c>
      <c r="V3072" s="95">
        <v>43404</v>
      </c>
      <c r="W3072" s="104" t="s">
        <v>387</v>
      </c>
      <c r="X3072" s="90" t="s">
        <v>196</v>
      </c>
      <c r="Y3072" s="123"/>
      <c r="Z3072" s="30">
        <f t="shared" si="94"/>
        <v>7619.1757811093694</v>
      </c>
      <c r="AA3072" s="30">
        <f t="shared" si="95"/>
        <v>2380.9924315966778</v>
      </c>
      <c r="AB3072" t="s">
        <v>457</v>
      </c>
    </row>
    <row r="3073" spans="1:28">
      <c r="A3073" t="s">
        <v>113</v>
      </c>
      <c r="C3073" s="104" t="s">
        <v>161</v>
      </c>
      <c r="D3073" s="105">
        <v>21600</v>
      </c>
      <c r="F3073" s="91">
        <v>16</v>
      </c>
      <c r="G3073" s="96">
        <v>5</v>
      </c>
      <c r="H3073" s="94">
        <v>0</v>
      </c>
      <c r="I3073" s="91">
        <v>0</v>
      </c>
      <c r="J3073" s="41"/>
      <c r="K3073" s="41">
        <v>43404</v>
      </c>
      <c r="L3073" s="69" t="s">
        <v>80</v>
      </c>
      <c r="M3073" s="69" t="s">
        <v>286</v>
      </c>
      <c r="N3073" s="95"/>
      <c r="P3073" t="s">
        <v>95</v>
      </c>
      <c r="Q3073" t="s">
        <v>133</v>
      </c>
      <c r="R3073" s="92" t="s">
        <v>69</v>
      </c>
      <c r="S3073" s="92" t="s">
        <v>115</v>
      </c>
      <c r="V3073" s="95">
        <v>43404</v>
      </c>
      <c r="W3073" s="104" t="s">
        <v>387</v>
      </c>
      <c r="X3073" s="90" t="s">
        <v>196</v>
      </c>
      <c r="Y3073" s="123"/>
      <c r="Z3073" s="30">
        <f t="shared" si="94"/>
        <v>7619.1757811093694</v>
      </c>
      <c r="AA3073" s="30">
        <f t="shared" si="95"/>
        <v>2380.9924315966778</v>
      </c>
      <c r="AB3073" t="s">
        <v>457</v>
      </c>
    </row>
    <row r="3074" spans="1:28">
      <c r="A3074" t="s">
        <v>113</v>
      </c>
      <c r="C3074" s="104" t="s">
        <v>161</v>
      </c>
      <c r="D3074" s="105">
        <v>21600</v>
      </c>
      <c r="F3074" s="91">
        <v>16</v>
      </c>
      <c r="G3074" s="96">
        <v>5</v>
      </c>
      <c r="H3074" s="94">
        <v>0</v>
      </c>
      <c r="I3074" s="91">
        <v>0</v>
      </c>
      <c r="J3074" s="41"/>
      <c r="K3074" s="41">
        <v>43404</v>
      </c>
      <c r="L3074" s="69" t="s">
        <v>80</v>
      </c>
      <c r="M3074" s="69" t="s">
        <v>286</v>
      </c>
      <c r="N3074" s="95"/>
      <c r="P3074" t="s">
        <v>95</v>
      </c>
      <c r="Q3074" t="s">
        <v>133</v>
      </c>
      <c r="R3074" s="92" t="s">
        <v>69</v>
      </c>
      <c r="S3074" s="92" t="s">
        <v>115</v>
      </c>
      <c r="V3074" s="95">
        <v>43404</v>
      </c>
      <c r="W3074" s="104" t="s">
        <v>387</v>
      </c>
      <c r="X3074" s="90" t="s">
        <v>196</v>
      </c>
      <c r="Y3074" s="123"/>
      <c r="Z3074" s="30">
        <f t="shared" si="94"/>
        <v>7619.1757811093694</v>
      </c>
      <c r="AA3074" s="30">
        <f t="shared" si="95"/>
        <v>2380.9924315966778</v>
      </c>
      <c r="AB3074" t="s">
        <v>457</v>
      </c>
    </row>
    <row r="3075" spans="1:28">
      <c r="A3075" t="s">
        <v>113</v>
      </c>
      <c r="C3075" s="104" t="s">
        <v>161</v>
      </c>
      <c r="D3075" s="105">
        <v>21600</v>
      </c>
      <c r="F3075" s="91">
        <v>16</v>
      </c>
      <c r="G3075" s="96">
        <v>5</v>
      </c>
      <c r="H3075" s="94">
        <v>0</v>
      </c>
      <c r="I3075" s="91">
        <v>0</v>
      </c>
      <c r="J3075" s="41"/>
      <c r="K3075" s="41">
        <v>43404</v>
      </c>
      <c r="L3075" s="69" t="s">
        <v>80</v>
      </c>
      <c r="M3075" s="69" t="s">
        <v>286</v>
      </c>
      <c r="N3075" s="95"/>
      <c r="P3075" t="s">
        <v>95</v>
      </c>
      <c r="Q3075" t="s">
        <v>133</v>
      </c>
      <c r="R3075" s="92" t="s">
        <v>69</v>
      </c>
      <c r="S3075" s="92" t="s">
        <v>115</v>
      </c>
      <c r="V3075" s="95">
        <v>43404</v>
      </c>
      <c r="W3075" s="104" t="s">
        <v>387</v>
      </c>
      <c r="X3075" s="90" t="s">
        <v>196</v>
      </c>
      <c r="Y3075" s="123"/>
      <c r="Z3075" s="30">
        <f t="shared" ref="Z3075:Z3138" si="96">CONVERT(D3075,"kg","lbm")*F3075/100</f>
        <v>7619.1757811093694</v>
      </c>
      <c r="AA3075" s="30">
        <f t="shared" ref="AA3075:AA3138" si="97">CONVERT(D3075,"kg","lbm")*G3075/100</f>
        <v>2380.9924315966778</v>
      </c>
      <c r="AB3075" t="s">
        <v>457</v>
      </c>
    </row>
    <row r="3076" spans="1:28">
      <c r="A3076" t="s">
        <v>113</v>
      </c>
      <c r="C3076" s="104" t="s">
        <v>161</v>
      </c>
      <c r="D3076" s="105">
        <v>21600</v>
      </c>
      <c r="F3076" s="91">
        <v>16</v>
      </c>
      <c r="G3076" s="96">
        <v>5</v>
      </c>
      <c r="H3076" s="94">
        <v>0</v>
      </c>
      <c r="I3076" s="91">
        <v>0</v>
      </c>
      <c r="J3076" s="41"/>
      <c r="K3076" s="41">
        <v>43404</v>
      </c>
      <c r="L3076" s="69" t="s">
        <v>80</v>
      </c>
      <c r="M3076" s="69" t="s">
        <v>286</v>
      </c>
      <c r="N3076" s="95"/>
      <c r="P3076" t="s">
        <v>95</v>
      </c>
      <c r="Q3076" t="s">
        <v>133</v>
      </c>
      <c r="R3076" s="92" t="s">
        <v>69</v>
      </c>
      <c r="S3076" s="92" t="s">
        <v>115</v>
      </c>
      <c r="V3076" s="95">
        <v>43404</v>
      </c>
      <c r="W3076" s="104" t="s">
        <v>387</v>
      </c>
      <c r="X3076" s="90" t="s">
        <v>196</v>
      </c>
      <c r="Y3076" s="123"/>
      <c r="Z3076" s="30">
        <f t="shared" si="96"/>
        <v>7619.1757811093694</v>
      </c>
      <c r="AA3076" s="30">
        <f t="shared" si="97"/>
        <v>2380.9924315966778</v>
      </c>
      <c r="AB3076" t="s">
        <v>457</v>
      </c>
    </row>
    <row r="3077" spans="1:28">
      <c r="A3077" t="s">
        <v>113</v>
      </c>
      <c r="C3077" s="104" t="s">
        <v>161</v>
      </c>
      <c r="D3077" s="105">
        <v>21600</v>
      </c>
      <c r="F3077" s="91">
        <v>16</v>
      </c>
      <c r="G3077" s="96">
        <v>5</v>
      </c>
      <c r="H3077" s="94">
        <v>0</v>
      </c>
      <c r="I3077" s="91">
        <v>0</v>
      </c>
      <c r="J3077" s="41"/>
      <c r="K3077" s="41">
        <v>43404</v>
      </c>
      <c r="L3077" s="69" t="s">
        <v>80</v>
      </c>
      <c r="M3077" s="69" t="s">
        <v>286</v>
      </c>
      <c r="N3077" s="95"/>
      <c r="P3077" t="s">
        <v>95</v>
      </c>
      <c r="Q3077" t="s">
        <v>133</v>
      </c>
      <c r="R3077" s="92" t="s">
        <v>69</v>
      </c>
      <c r="S3077" s="92" t="s">
        <v>115</v>
      </c>
      <c r="V3077" s="95">
        <v>43404</v>
      </c>
      <c r="W3077" s="104" t="s">
        <v>387</v>
      </c>
      <c r="X3077" s="90" t="s">
        <v>196</v>
      </c>
      <c r="Y3077" s="123"/>
      <c r="Z3077" s="30">
        <f t="shared" si="96"/>
        <v>7619.1757811093694</v>
      </c>
      <c r="AA3077" s="30">
        <f t="shared" si="97"/>
        <v>2380.9924315966778</v>
      </c>
      <c r="AB3077" t="s">
        <v>457</v>
      </c>
    </row>
    <row r="3078" spans="1:28">
      <c r="A3078" t="s">
        <v>113</v>
      </c>
      <c r="C3078" s="104" t="s">
        <v>161</v>
      </c>
      <c r="D3078" s="105">
        <v>21600</v>
      </c>
      <c r="F3078" s="91">
        <v>16</v>
      </c>
      <c r="G3078" s="96">
        <v>5</v>
      </c>
      <c r="H3078" s="94">
        <v>0</v>
      </c>
      <c r="I3078" s="91">
        <v>0</v>
      </c>
      <c r="J3078" s="41"/>
      <c r="K3078" s="41">
        <v>43404</v>
      </c>
      <c r="L3078" s="69" t="s">
        <v>80</v>
      </c>
      <c r="M3078" s="69" t="s">
        <v>286</v>
      </c>
      <c r="N3078" s="95"/>
      <c r="P3078" t="s">
        <v>95</v>
      </c>
      <c r="Q3078" t="s">
        <v>133</v>
      </c>
      <c r="R3078" s="92" t="s">
        <v>69</v>
      </c>
      <c r="S3078" s="92" t="s">
        <v>115</v>
      </c>
      <c r="V3078" s="95">
        <v>43404</v>
      </c>
      <c r="W3078" s="104" t="s">
        <v>387</v>
      </c>
      <c r="X3078" s="90" t="s">
        <v>196</v>
      </c>
      <c r="Y3078" s="123"/>
      <c r="Z3078" s="30">
        <f t="shared" si="96"/>
        <v>7619.1757811093694</v>
      </c>
      <c r="AA3078" s="30">
        <f t="shared" si="97"/>
        <v>2380.9924315966778</v>
      </c>
      <c r="AB3078" t="s">
        <v>457</v>
      </c>
    </row>
    <row r="3079" spans="1:28">
      <c r="A3079" t="s">
        <v>113</v>
      </c>
      <c r="C3079" s="104" t="s">
        <v>161</v>
      </c>
      <c r="D3079" s="105">
        <v>21600</v>
      </c>
      <c r="F3079" s="91">
        <v>16</v>
      </c>
      <c r="G3079" s="96">
        <v>5</v>
      </c>
      <c r="H3079" s="94">
        <v>0</v>
      </c>
      <c r="I3079" s="91">
        <v>0</v>
      </c>
      <c r="J3079" s="41"/>
      <c r="K3079" s="41">
        <v>43404</v>
      </c>
      <c r="L3079" s="69" t="s">
        <v>80</v>
      </c>
      <c r="M3079" s="69" t="s">
        <v>286</v>
      </c>
      <c r="N3079" s="95"/>
      <c r="P3079" t="s">
        <v>95</v>
      </c>
      <c r="Q3079" t="s">
        <v>133</v>
      </c>
      <c r="R3079" s="92" t="s">
        <v>69</v>
      </c>
      <c r="S3079" s="92" t="s">
        <v>115</v>
      </c>
      <c r="V3079" s="95">
        <v>43404</v>
      </c>
      <c r="W3079" s="104" t="s">
        <v>387</v>
      </c>
      <c r="X3079" s="90" t="s">
        <v>196</v>
      </c>
      <c r="Y3079" s="123"/>
      <c r="Z3079" s="30">
        <f t="shared" si="96"/>
        <v>7619.1757811093694</v>
      </c>
      <c r="AA3079" s="30">
        <f t="shared" si="97"/>
        <v>2380.9924315966778</v>
      </c>
      <c r="AB3079" t="s">
        <v>457</v>
      </c>
    </row>
    <row r="3080" spans="1:28">
      <c r="A3080" t="s">
        <v>113</v>
      </c>
      <c r="C3080" s="104" t="s">
        <v>161</v>
      </c>
      <c r="D3080" s="105">
        <v>21600</v>
      </c>
      <c r="F3080" s="91">
        <v>16</v>
      </c>
      <c r="G3080" s="96">
        <v>5</v>
      </c>
      <c r="H3080" s="94">
        <v>0</v>
      </c>
      <c r="I3080" s="91">
        <v>0</v>
      </c>
      <c r="J3080" s="41"/>
      <c r="K3080" s="41">
        <v>43404</v>
      </c>
      <c r="L3080" s="69" t="s">
        <v>80</v>
      </c>
      <c r="M3080" s="69" t="s">
        <v>286</v>
      </c>
      <c r="N3080" s="95"/>
      <c r="P3080" t="s">
        <v>95</v>
      </c>
      <c r="Q3080" t="s">
        <v>133</v>
      </c>
      <c r="R3080" s="92" t="s">
        <v>69</v>
      </c>
      <c r="S3080" s="92" t="s">
        <v>115</v>
      </c>
      <c r="V3080" s="95">
        <v>43404</v>
      </c>
      <c r="W3080" s="104" t="s">
        <v>387</v>
      </c>
      <c r="X3080" s="90" t="s">
        <v>196</v>
      </c>
      <c r="Y3080" s="123"/>
      <c r="Z3080" s="30">
        <f t="shared" si="96"/>
        <v>7619.1757811093694</v>
      </c>
      <c r="AA3080" s="30">
        <f t="shared" si="97"/>
        <v>2380.9924315966778</v>
      </c>
      <c r="AB3080" t="s">
        <v>457</v>
      </c>
    </row>
    <row r="3081" spans="1:28">
      <c r="A3081" t="s">
        <v>113</v>
      </c>
      <c r="C3081" s="104" t="s">
        <v>161</v>
      </c>
      <c r="D3081" s="105">
        <v>21600</v>
      </c>
      <c r="F3081" s="91">
        <v>16</v>
      </c>
      <c r="G3081" s="96">
        <v>5</v>
      </c>
      <c r="H3081" s="94">
        <v>0</v>
      </c>
      <c r="I3081" s="91">
        <v>0</v>
      </c>
      <c r="J3081" s="41"/>
      <c r="K3081" s="41">
        <v>43404</v>
      </c>
      <c r="L3081" s="69" t="s">
        <v>80</v>
      </c>
      <c r="M3081" s="69" t="s">
        <v>286</v>
      </c>
      <c r="N3081" s="95"/>
      <c r="P3081" t="s">
        <v>95</v>
      </c>
      <c r="Q3081" t="s">
        <v>133</v>
      </c>
      <c r="R3081" s="92" t="s">
        <v>69</v>
      </c>
      <c r="S3081" s="92" t="s">
        <v>115</v>
      </c>
      <c r="V3081" s="95">
        <v>43404</v>
      </c>
      <c r="W3081" s="104" t="s">
        <v>387</v>
      </c>
      <c r="X3081" s="90" t="s">
        <v>196</v>
      </c>
      <c r="Y3081" s="123"/>
      <c r="Z3081" s="30">
        <f t="shared" si="96"/>
        <v>7619.1757811093694</v>
      </c>
      <c r="AA3081" s="30">
        <f t="shared" si="97"/>
        <v>2380.9924315966778</v>
      </c>
      <c r="AB3081" t="s">
        <v>457</v>
      </c>
    </row>
    <row r="3082" spans="1:28">
      <c r="A3082" t="s">
        <v>118</v>
      </c>
      <c r="C3082" s="92">
        <v>4615410418</v>
      </c>
      <c r="D3082" s="93">
        <v>19200</v>
      </c>
      <c r="F3082" s="91">
        <v>10</v>
      </c>
      <c r="G3082" s="96">
        <v>5</v>
      </c>
      <c r="H3082" s="107">
        <v>0</v>
      </c>
      <c r="I3082" s="91">
        <v>0</v>
      </c>
      <c r="J3082" s="41"/>
      <c r="K3082" s="41">
        <v>43434</v>
      </c>
      <c r="L3082" s="69" t="s">
        <v>80</v>
      </c>
      <c r="M3082" s="69" t="s">
        <v>286</v>
      </c>
      <c r="N3082" s="98"/>
      <c r="P3082" t="s">
        <v>95</v>
      </c>
      <c r="Q3082" t="s">
        <v>120</v>
      </c>
      <c r="R3082" s="92" t="s">
        <v>69</v>
      </c>
      <c r="S3082" s="92" t="s">
        <v>121</v>
      </c>
      <c r="V3082" s="95">
        <v>43434</v>
      </c>
      <c r="W3082" s="92">
        <v>2025030</v>
      </c>
      <c r="X3082" s="90"/>
      <c r="Y3082" s="123"/>
      <c r="Z3082" s="30">
        <f t="shared" si="96"/>
        <v>4232.8754339496491</v>
      </c>
      <c r="AA3082" s="30">
        <f t="shared" si="97"/>
        <v>2116.4377169748245</v>
      </c>
      <c r="AB3082" t="s">
        <v>457</v>
      </c>
    </row>
    <row r="3083" spans="1:28">
      <c r="A3083" t="s">
        <v>118</v>
      </c>
      <c r="C3083" s="92">
        <v>4615410418</v>
      </c>
      <c r="D3083" s="93">
        <v>19200</v>
      </c>
      <c r="F3083" s="91">
        <v>10</v>
      </c>
      <c r="G3083" s="96">
        <v>5</v>
      </c>
      <c r="H3083" s="107">
        <v>0</v>
      </c>
      <c r="I3083" s="91">
        <v>0</v>
      </c>
      <c r="J3083" s="41"/>
      <c r="K3083" s="41">
        <v>43434</v>
      </c>
      <c r="L3083" s="69" t="s">
        <v>80</v>
      </c>
      <c r="M3083" s="69" t="s">
        <v>286</v>
      </c>
      <c r="N3083" s="98"/>
      <c r="P3083" t="s">
        <v>95</v>
      </c>
      <c r="Q3083" t="s">
        <v>120</v>
      </c>
      <c r="R3083" s="92" t="s">
        <v>69</v>
      </c>
      <c r="S3083" s="92" t="s">
        <v>121</v>
      </c>
      <c r="V3083" s="95">
        <v>43434</v>
      </c>
      <c r="W3083" s="92">
        <v>2025030</v>
      </c>
      <c r="X3083" s="90"/>
      <c r="Y3083" s="123"/>
      <c r="Z3083" s="30">
        <f t="shared" si="96"/>
        <v>4232.8754339496491</v>
      </c>
      <c r="AA3083" s="30">
        <f t="shared" si="97"/>
        <v>2116.4377169748245</v>
      </c>
      <c r="AB3083" t="s">
        <v>457</v>
      </c>
    </row>
    <row r="3084" spans="1:28">
      <c r="A3084" t="s">
        <v>118</v>
      </c>
      <c r="C3084" s="92">
        <v>4615410418</v>
      </c>
      <c r="D3084" s="93">
        <v>19200</v>
      </c>
      <c r="F3084" s="91">
        <v>10</v>
      </c>
      <c r="G3084" s="96">
        <v>5</v>
      </c>
      <c r="H3084" s="107">
        <v>0</v>
      </c>
      <c r="I3084" s="91">
        <v>0</v>
      </c>
      <c r="J3084" s="41"/>
      <c r="K3084" s="41">
        <v>43434</v>
      </c>
      <c r="L3084" s="69" t="s">
        <v>80</v>
      </c>
      <c r="M3084" s="69" t="s">
        <v>286</v>
      </c>
      <c r="N3084" s="98"/>
      <c r="P3084" t="s">
        <v>95</v>
      </c>
      <c r="Q3084" t="s">
        <v>120</v>
      </c>
      <c r="R3084" s="92" t="s">
        <v>69</v>
      </c>
      <c r="S3084" s="92" t="s">
        <v>121</v>
      </c>
      <c r="V3084" s="95">
        <v>43434</v>
      </c>
      <c r="W3084" s="92">
        <v>2025030</v>
      </c>
      <c r="X3084" s="90"/>
      <c r="Y3084" s="123"/>
      <c r="Z3084" s="30">
        <f t="shared" si="96"/>
        <v>4232.8754339496491</v>
      </c>
      <c r="AA3084" s="30">
        <f t="shared" si="97"/>
        <v>2116.4377169748245</v>
      </c>
      <c r="AB3084" t="s">
        <v>457</v>
      </c>
    </row>
    <row r="3085" spans="1:28">
      <c r="A3085" t="s">
        <v>118</v>
      </c>
      <c r="C3085" s="92">
        <v>4615410418</v>
      </c>
      <c r="D3085" s="93">
        <v>19200</v>
      </c>
      <c r="F3085" s="91">
        <v>10</v>
      </c>
      <c r="G3085" s="96">
        <v>5</v>
      </c>
      <c r="H3085" s="107">
        <v>0</v>
      </c>
      <c r="I3085" s="91">
        <v>0</v>
      </c>
      <c r="J3085" s="41"/>
      <c r="K3085" s="41">
        <v>43434</v>
      </c>
      <c r="L3085" s="69" t="s">
        <v>80</v>
      </c>
      <c r="M3085" s="69" t="s">
        <v>286</v>
      </c>
      <c r="N3085" s="98"/>
      <c r="P3085" t="s">
        <v>95</v>
      </c>
      <c r="Q3085" t="s">
        <v>120</v>
      </c>
      <c r="R3085" s="92" t="s">
        <v>69</v>
      </c>
      <c r="S3085" s="92" t="s">
        <v>121</v>
      </c>
      <c r="V3085" s="95">
        <v>43434</v>
      </c>
      <c r="W3085" s="92">
        <v>2025030</v>
      </c>
      <c r="X3085" s="90"/>
      <c r="Y3085" s="123"/>
      <c r="Z3085" s="30">
        <f t="shared" si="96"/>
        <v>4232.8754339496491</v>
      </c>
      <c r="AA3085" s="30">
        <f t="shared" si="97"/>
        <v>2116.4377169748245</v>
      </c>
      <c r="AB3085" t="s">
        <v>457</v>
      </c>
    </row>
    <row r="3086" spans="1:28">
      <c r="A3086" t="s">
        <v>122</v>
      </c>
      <c r="C3086" s="92">
        <v>4615475716</v>
      </c>
      <c r="D3086" s="93">
        <v>19200</v>
      </c>
      <c r="F3086" s="91">
        <v>16</v>
      </c>
      <c r="G3086" s="96">
        <v>5</v>
      </c>
      <c r="H3086" s="91">
        <v>0</v>
      </c>
      <c r="I3086" s="91">
        <v>0</v>
      </c>
      <c r="J3086" s="41"/>
      <c r="K3086" s="41">
        <v>43465</v>
      </c>
      <c r="L3086" s="69" t="s">
        <v>80</v>
      </c>
      <c r="M3086" s="69" t="s">
        <v>286</v>
      </c>
      <c r="N3086" s="95"/>
      <c r="P3086" t="s">
        <v>95</v>
      </c>
      <c r="Q3086" t="s">
        <v>120</v>
      </c>
      <c r="R3086" s="92" t="s">
        <v>69</v>
      </c>
      <c r="S3086" s="92" t="s">
        <v>123</v>
      </c>
      <c r="V3086" s="95">
        <v>43465</v>
      </c>
      <c r="W3086" s="92" t="s">
        <v>388</v>
      </c>
      <c r="X3086" s="90" t="s">
        <v>389</v>
      </c>
      <c r="Y3086" s="123"/>
      <c r="Z3086" s="30">
        <f t="shared" si="96"/>
        <v>6772.6006943194379</v>
      </c>
      <c r="AA3086" s="30">
        <f t="shared" si="97"/>
        <v>2116.4377169748245</v>
      </c>
      <c r="AB3086" t="s">
        <v>457</v>
      </c>
    </row>
    <row r="3087" spans="1:28">
      <c r="A3087" t="s">
        <v>122</v>
      </c>
      <c r="C3087" s="92">
        <v>4615490971</v>
      </c>
      <c r="D3087" s="93">
        <v>19200</v>
      </c>
      <c r="F3087" s="91">
        <v>16</v>
      </c>
      <c r="G3087" s="96">
        <v>5</v>
      </c>
      <c r="H3087" s="91">
        <v>0</v>
      </c>
      <c r="I3087" s="91">
        <v>0</v>
      </c>
      <c r="J3087" s="41"/>
      <c r="K3087" s="41">
        <v>43465</v>
      </c>
      <c r="L3087" s="69" t="s">
        <v>80</v>
      </c>
      <c r="M3087" s="69" t="s">
        <v>286</v>
      </c>
      <c r="N3087" s="95"/>
      <c r="P3087" t="s">
        <v>95</v>
      </c>
      <c r="Q3087" t="s">
        <v>120</v>
      </c>
      <c r="R3087" s="92" t="s">
        <v>69</v>
      </c>
      <c r="S3087" s="92" t="s">
        <v>123</v>
      </c>
      <c r="V3087" s="95">
        <v>43465</v>
      </c>
      <c r="W3087" s="92">
        <v>2023111</v>
      </c>
      <c r="X3087" s="90" t="s">
        <v>390</v>
      </c>
      <c r="Y3087" s="123"/>
      <c r="Z3087" s="30">
        <f t="shared" si="96"/>
        <v>6772.6006943194379</v>
      </c>
      <c r="AA3087" s="30">
        <f t="shared" si="97"/>
        <v>2116.4377169748245</v>
      </c>
      <c r="AB3087" t="s">
        <v>457</v>
      </c>
    </row>
    <row r="3088" spans="1:28">
      <c r="A3088" t="s">
        <v>122</v>
      </c>
      <c r="C3088" s="92">
        <v>4615476709</v>
      </c>
      <c r="D3088" s="93">
        <v>19200</v>
      </c>
      <c r="F3088" s="91">
        <v>16</v>
      </c>
      <c r="G3088" s="96">
        <v>5</v>
      </c>
      <c r="H3088" s="94">
        <v>0</v>
      </c>
      <c r="I3088" s="91">
        <v>0</v>
      </c>
      <c r="J3088" s="41"/>
      <c r="K3088" s="41">
        <v>43465</v>
      </c>
      <c r="L3088" s="69" t="s">
        <v>80</v>
      </c>
      <c r="M3088" s="89" t="s">
        <v>282</v>
      </c>
      <c r="N3088" s="89"/>
      <c r="P3088" t="s">
        <v>95</v>
      </c>
      <c r="Q3088" t="s">
        <v>120</v>
      </c>
      <c r="R3088" s="92" t="s">
        <v>69</v>
      </c>
      <c r="S3088" s="92" t="s">
        <v>123</v>
      </c>
      <c r="V3088" s="95">
        <v>43465</v>
      </c>
      <c r="W3088" s="92">
        <v>2023111</v>
      </c>
      <c r="X3088" s="90" t="s">
        <v>391</v>
      </c>
      <c r="Y3088" s="123"/>
      <c r="Z3088" s="30">
        <f t="shared" si="96"/>
        <v>6772.6006943194379</v>
      </c>
      <c r="AA3088" s="30">
        <f t="shared" si="97"/>
        <v>2116.4377169748245</v>
      </c>
      <c r="AB3088" t="s">
        <v>457</v>
      </c>
    </row>
    <row r="3089" spans="1:28">
      <c r="A3089" t="s">
        <v>122</v>
      </c>
      <c r="C3089" s="92">
        <v>4615505088</v>
      </c>
      <c r="D3089" s="93">
        <v>21000</v>
      </c>
      <c r="F3089" s="91">
        <v>16</v>
      </c>
      <c r="G3089" s="96">
        <v>5</v>
      </c>
      <c r="H3089" s="94">
        <v>0</v>
      </c>
      <c r="I3089" s="91">
        <v>0</v>
      </c>
      <c r="J3089" s="41"/>
      <c r="K3089" s="41">
        <v>43465</v>
      </c>
      <c r="L3089" s="69" t="s">
        <v>80</v>
      </c>
      <c r="M3089" s="69" t="s">
        <v>286</v>
      </c>
      <c r="N3089" s="95"/>
      <c r="P3089" t="s">
        <v>95</v>
      </c>
      <c r="Q3089" t="s">
        <v>120</v>
      </c>
      <c r="R3089" s="92" t="s">
        <v>69</v>
      </c>
      <c r="S3089" s="92" t="s">
        <v>123</v>
      </c>
      <c r="V3089" s="95">
        <v>43465</v>
      </c>
      <c r="W3089" s="92">
        <v>2030477</v>
      </c>
      <c r="X3089" s="90" t="s">
        <v>392</v>
      </c>
      <c r="Y3089" s="123"/>
      <c r="Z3089" s="30">
        <f t="shared" si="96"/>
        <v>7407.5320094118861</v>
      </c>
      <c r="AA3089" s="30">
        <f t="shared" si="97"/>
        <v>2314.8537529412147</v>
      </c>
      <c r="AB3089" t="s">
        <v>457</v>
      </c>
    </row>
    <row r="3090" spans="1:28">
      <c r="A3090" t="s">
        <v>122</v>
      </c>
      <c r="C3090" s="92">
        <v>4615479981</v>
      </c>
      <c r="D3090" s="93">
        <v>21000</v>
      </c>
      <c r="F3090" s="91">
        <v>16</v>
      </c>
      <c r="G3090" s="96">
        <v>5</v>
      </c>
      <c r="H3090" s="94">
        <v>0</v>
      </c>
      <c r="I3090" s="91">
        <v>0</v>
      </c>
      <c r="J3090" s="41"/>
      <c r="K3090" s="41">
        <v>43465</v>
      </c>
      <c r="L3090" s="69" t="s">
        <v>80</v>
      </c>
      <c r="M3090" s="69" t="s">
        <v>286</v>
      </c>
      <c r="N3090" s="95"/>
      <c r="P3090" t="s">
        <v>95</v>
      </c>
      <c r="Q3090" t="s">
        <v>120</v>
      </c>
      <c r="R3090" s="92" t="s">
        <v>69</v>
      </c>
      <c r="S3090" s="92" t="s">
        <v>123</v>
      </c>
      <c r="V3090" s="95">
        <v>43465</v>
      </c>
      <c r="W3090" s="92">
        <v>2030479</v>
      </c>
      <c r="X3090" s="90" t="s">
        <v>393</v>
      </c>
      <c r="Y3090" s="123"/>
      <c r="Z3090" s="30">
        <f t="shared" si="96"/>
        <v>7407.5320094118861</v>
      </c>
      <c r="AA3090" s="30">
        <f t="shared" si="97"/>
        <v>2314.8537529412147</v>
      </c>
      <c r="AB3090" t="s">
        <v>457</v>
      </c>
    </row>
    <row r="3091" spans="1:28">
      <c r="A3091" t="s">
        <v>122</v>
      </c>
      <c r="C3091" s="92">
        <v>4615472164</v>
      </c>
      <c r="D3091" s="93">
        <v>19200</v>
      </c>
      <c r="F3091" s="94">
        <v>16</v>
      </c>
      <c r="G3091" s="94">
        <v>5</v>
      </c>
      <c r="H3091" s="91">
        <v>0</v>
      </c>
      <c r="I3091" s="91">
        <v>0</v>
      </c>
      <c r="J3091" s="41"/>
      <c r="K3091" s="41">
        <v>43496</v>
      </c>
      <c r="L3091" s="69" t="s">
        <v>80</v>
      </c>
      <c r="M3091" s="69" t="s">
        <v>286</v>
      </c>
      <c r="N3091" s="95"/>
      <c r="P3091" t="s">
        <v>95</v>
      </c>
      <c r="Q3091" t="s">
        <v>120</v>
      </c>
      <c r="R3091" s="92" t="s">
        <v>69</v>
      </c>
      <c r="S3091" s="92" t="s">
        <v>394</v>
      </c>
      <c r="V3091" s="95">
        <v>43496</v>
      </c>
      <c r="W3091" s="92">
        <v>2033912</v>
      </c>
      <c r="X3091" s="90"/>
      <c r="Y3091" s="123"/>
      <c r="Z3091" s="30">
        <f t="shared" si="96"/>
        <v>6772.6006943194379</v>
      </c>
      <c r="AA3091" s="30">
        <f t="shared" si="97"/>
        <v>2116.4377169748245</v>
      </c>
      <c r="AB3091" t="s">
        <v>457</v>
      </c>
    </row>
    <row r="3092" spans="1:28">
      <c r="A3092" t="s">
        <v>122</v>
      </c>
      <c r="C3092" s="92">
        <v>4615472164</v>
      </c>
      <c r="D3092" s="93">
        <v>19200</v>
      </c>
      <c r="F3092" s="94">
        <v>16</v>
      </c>
      <c r="G3092" s="94">
        <v>5</v>
      </c>
      <c r="H3092" s="91">
        <v>0</v>
      </c>
      <c r="I3092" s="91">
        <v>0</v>
      </c>
      <c r="J3092" s="41"/>
      <c r="K3092" s="41">
        <v>43496</v>
      </c>
      <c r="L3092" s="69" t="s">
        <v>80</v>
      </c>
      <c r="M3092" s="69" t="s">
        <v>286</v>
      </c>
      <c r="N3092" s="95"/>
      <c r="P3092" t="s">
        <v>95</v>
      </c>
      <c r="Q3092" t="s">
        <v>120</v>
      </c>
      <c r="R3092" s="92" t="s">
        <v>69</v>
      </c>
      <c r="S3092" s="92" t="s">
        <v>394</v>
      </c>
      <c r="V3092" s="95">
        <v>43496</v>
      </c>
      <c r="W3092" s="92">
        <v>2033912</v>
      </c>
      <c r="X3092" s="90"/>
      <c r="Y3092" s="123"/>
      <c r="Z3092" s="30">
        <f t="shared" si="96"/>
        <v>6772.6006943194379</v>
      </c>
      <c r="AA3092" s="30">
        <f t="shared" si="97"/>
        <v>2116.4377169748245</v>
      </c>
      <c r="AB3092" t="s">
        <v>457</v>
      </c>
    </row>
    <row r="3093" spans="1:28">
      <c r="A3093" t="s">
        <v>122</v>
      </c>
      <c r="C3093" s="92">
        <v>4615472164</v>
      </c>
      <c r="D3093" s="93">
        <v>19200</v>
      </c>
      <c r="F3093" s="94">
        <v>16</v>
      </c>
      <c r="G3093" s="94">
        <v>5</v>
      </c>
      <c r="H3093" s="91">
        <v>0</v>
      </c>
      <c r="I3093" s="91">
        <v>0</v>
      </c>
      <c r="J3093" s="41"/>
      <c r="K3093" s="41">
        <v>43496</v>
      </c>
      <c r="L3093" s="69" t="s">
        <v>80</v>
      </c>
      <c r="M3093" s="69" t="s">
        <v>286</v>
      </c>
      <c r="N3093" s="95"/>
      <c r="P3093" t="s">
        <v>95</v>
      </c>
      <c r="Q3093" t="s">
        <v>120</v>
      </c>
      <c r="R3093" s="92" t="s">
        <v>69</v>
      </c>
      <c r="S3093" s="92" t="s">
        <v>394</v>
      </c>
      <c r="V3093" s="95">
        <v>43496</v>
      </c>
      <c r="W3093" s="92">
        <v>2033912</v>
      </c>
      <c r="X3093" s="90"/>
      <c r="Y3093" s="123"/>
      <c r="Z3093" s="30">
        <f t="shared" si="96"/>
        <v>6772.6006943194379</v>
      </c>
      <c r="AA3093" s="30">
        <f t="shared" si="97"/>
        <v>2116.4377169748245</v>
      </c>
      <c r="AB3093" t="s">
        <v>457</v>
      </c>
    </row>
    <row r="3094" spans="1:28">
      <c r="A3094" t="s">
        <v>122</v>
      </c>
      <c r="C3094" s="92">
        <v>4615472164</v>
      </c>
      <c r="D3094" s="93">
        <v>19200</v>
      </c>
      <c r="F3094" s="94">
        <v>16</v>
      </c>
      <c r="G3094" s="94">
        <v>5</v>
      </c>
      <c r="H3094" s="91">
        <v>0</v>
      </c>
      <c r="I3094" s="91">
        <v>0</v>
      </c>
      <c r="J3094" s="41"/>
      <c r="K3094" s="41">
        <v>43496</v>
      </c>
      <c r="L3094" s="69" t="s">
        <v>80</v>
      </c>
      <c r="M3094" s="69" t="s">
        <v>286</v>
      </c>
      <c r="N3094" s="95"/>
      <c r="P3094" t="s">
        <v>95</v>
      </c>
      <c r="Q3094" t="s">
        <v>120</v>
      </c>
      <c r="R3094" s="92" t="s">
        <v>69</v>
      </c>
      <c r="S3094" s="92" t="s">
        <v>394</v>
      </c>
      <c r="V3094" s="95">
        <v>43496</v>
      </c>
      <c r="W3094" s="92">
        <v>2033912</v>
      </c>
      <c r="X3094" s="90"/>
      <c r="Y3094" s="123"/>
      <c r="Z3094" s="30">
        <f t="shared" si="96"/>
        <v>6772.6006943194379</v>
      </c>
      <c r="AA3094" s="30">
        <f t="shared" si="97"/>
        <v>2116.4377169748245</v>
      </c>
      <c r="AB3094" t="s">
        <v>457</v>
      </c>
    </row>
    <row r="3095" spans="1:28">
      <c r="A3095" t="s">
        <v>122</v>
      </c>
      <c r="C3095" s="92">
        <v>4615472164</v>
      </c>
      <c r="D3095" s="93">
        <v>19200</v>
      </c>
      <c r="F3095" s="94">
        <v>16</v>
      </c>
      <c r="G3095" s="94">
        <v>5</v>
      </c>
      <c r="H3095" s="91">
        <v>0</v>
      </c>
      <c r="I3095" s="91">
        <v>0</v>
      </c>
      <c r="J3095" s="41"/>
      <c r="K3095" s="41">
        <v>43496</v>
      </c>
      <c r="L3095" s="69" t="s">
        <v>80</v>
      </c>
      <c r="M3095" s="69" t="s">
        <v>286</v>
      </c>
      <c r="N3095" s="95"/>
      <c r="P3095" t="s">
        <v>95</v>
      </c>
      <c r="Q3095" t="s">
        <v>120</v>
      </c>
      <c r="R3095" s="92" t="s">
        <v>69</v>
      </c>
      <c r="S3095" s="92" t="s">
        <v>394</v>
      </c>
      <c r="V3095" s="95">
        <v>43496</v>
      </c>
      <c r="W3095" s="92">
        <v>2033912</v>
      </c>
      <c r="X3095" s="90"/>
      <c r="Y3095" s="123"/>
      <c r="Z3095" s="30">
        <f t="shared" si="96"/>
        <v>6772.6006943194379</v>
      </c>
      <c r="AA3095" s="30">
        <f t="shared" si="97"/>
        <v>2116.4377169748245</v>
      </c>
      <c r="AB3095" t="s">
        <v>457</v>
      </c>
    </row>
    <row r="3096" spans="1:28">
      <c r="A3096" t="s">
        <v>122</v>
      </c>
      <c r="C3096" s="92">
        <v>4615472164</v>
      </c>
      <c r="D3096" s="93">
        <v>19200</v>
      </c>
      <c r="F3096" s="94">
        <v>16</v>
      </c>
      <c r="G3096" s="94">
        <v>5</v>
      </c>
      <c r="H3096" s="91">
        <v>0</v>
      </c>
      <c r="I3096" s="91">
        <v>0</v>
      </c>
      <c r="J3096" s="41"/>
      <c r="K3096" s="41">
        <v>43496</v>
      </c>
      <c r="L3096" s="69" t="s">
        <v>80</v>
      </c>
      <c r="M3096" s="69" t="s">
        <v>286</v>
      </c>
      <c r="N3096" s="95"/>
      <c r="P3096" t="s">
        <v>95</v>
      </c>
      <c r="Q3096" t="s">
        <v>120</v>
      </c>
      <c r="R3096" s="92" t="s">
        <v>69</v>
      </c>
      <c r="S3096" s="92" t="s">
        <v>394</v>
      </c>
      <c r="V3096" s="95">
        <v>43496</v>
      </c>
      <c r="W3096" s="92">
        <v>2033912</v>
      </c>
      <c r="X3096" s="90"/>
      <c r="Y3096" s="123"/>
      <c r="Z3096" s="30">
        <f t="shared" si="96"/>
        <v>6772.6006943194379</v>
      </c>
      <c r="AA3096" s="30">
        <f t="shared" si="97"/>
        <v>2116.4377169748245</v>
      </c>
      <c r="AB3096" t="s">
        <v>457</v>
      </c>
    </row>
    <row r="3097" spans="1:28">
      <c r="A3097" t="s">
        <v>122</v>
      </c>
      <c r="C3097" s="92">
        <v>4615472164</v>
      </c>
      <c r="D3097" s="93">
        <v>19200</v>
      </c>
      <c r="F3097" s="94">
        <v>16</v>
      </c>
      <c r="G3097" s="94">
        <v>5</v>
      </c>
      <c r="H3097" s="91">
        <v>0</v>
      </c>
      <c r="I3097" s="91">
        <v>0</v>
      </c>
      <c r="J3097" s="41"/>
      <c r="K3097" s="41">
        <v>43496</v>
      </c>
      <c r="L3097" s="69" t="s">
        <v>80</v>
      </c>
      <c r="M3097" s="69" t="s">
        <v>286</v>
      </c>
      <c r="N3097" s="95"/>
      <c r="P3097" t="s">
        <v>95</v>
      </c>
      <c r="Q3097" t="s">
        <v>120</v>
      </c>
      <c r="R3097" s="92" t="s">
        <v>69</v>
      </c>
      <c r="S3097" s="92" t="s">
        <v>394</v>
      </c>
      <c r="V3097" s="95">
        <v>43496</v>
      </c>
      <c r="W3097" s="92">
        <v>2033912</v>
      </c>
      <c r="X3097" s="90"/>
      <c r="Y3097" s="123"/>
      <c r="Z3097" s="30">
        <f t="shared" si="96"/>
        <v>6772.6006943194379</v>
      </c>
      <c r="AA3097" s="30">
        <f t="shared" si="97"/>
        <v>2116.4377169748245</v>
      </c>
      <c r="AB3097" t="s">
        <v>457</v>
      </c>
    </row>
    <row r="3098" spans="1:28">
      <c r="A3098" t="s">
        <v>122</v>
      </c>
      <c r="C3098" s="92">
        <v>4615472164</v>
      </c>
      <c r="D3098" s="93">
        <v>19200</v>
      </c>
      <c r="F3098" s="94">
        <v>16</v>
      </c>
      <c r="G3098" s="94">
        <v>5</v>
      </c>
      <c r="H3098" s="91">
        <v>0</v>
      </c>
      <c r="I3098" s="91">
        <v>0</v>
      </c>
      <c r="J3098" s="41"/>
      <c r="K3098" s="41">
        <v>43496</v>
      </c>
      <c r="L3098" s="69" t="s">
        <v>80</v>
      </c>
      <c r="M3098" s="69" t="s">
        <v>286</v>
      </c>
      <c r="N3098" s="95"/>
      <c r="P3098" t="s">
        <v>95</v>
      </c>
      <c r="Q3098" t="s">
        <v>120</v>
      </c>
      <c r="R3098" s="92" t="s">
        <v>69</v>
      </c>
      <c r="S3098" s="92" t="s">
        <v>394</v>
      </c>
      <c r="V3098" s="95">
        <v>43496</v>
      </c>
      <c r="W3098" s="92">
        <v>2033912</v>
      </c>
      <c r="X3098" s="90"/>
      <c r="Y3098" s="123"/>
      <c r="Z3098" s="30">
        <f t="shared" si="96"/>
        <v>6772.6006943194379</v>
      </c>
      <c r="AA3098" s="30">
        <f t="shared" si="97"/>
        <v>2116.4377169748245</v>
      </c>
      <c r="AB3098" t="s">
        <v>457</v>
      </c>
    </row>
    <row r="3099" spans="1:28">
      <c r="A3099" t="s">
        <v>122</v>
      </c>
      <c r="C3099" s="92">
        <v>4615472164</v>
      </c>
      <c r="D3099" s="93">
        <v>19200</v>
      </c>
      <c r="F3099" s="94">
        <v>16</v>
      </c>
      <c r="G3099" s="94">
        <v>5</v>
      </c>
      <c r="H3099" s="91">
        <v>0</v>
      </c>
      <c r="I3099" s="91">
        <v>0</v>
      </c>
      <c r="J3099" s="41"/>
      <c r="K3099" s="41">
        <v>43496</v>
      </c>
      <c r="L3099" s="69" t="s">
        <v>80</v>
      </c>
      <c r="M3099" s="69" t="s">
        <v>286</v>
      </c>
      <c r="N3099" s="95"/>
      <c r="P3099" t="s">
        <v>95</v>
      </c>
      <c r="Q3099" t="s">
        <v>120</v>
      </c>
      <c r="R3099" s="92" t="s">
        <v>69</v>
      </c>
      <c r="S3099" s="92" t="s">
        <v>394</v>
      </c>
      <c r="V3099" s="95">
        <v>43496</v>
      </c>
      <c r="W3099" s="92">
        <v>2033912</v>
      </c>
      <c r="X3099" s="90"/>
      <c r="Y3099" s="123"/>
      <c r="Z3099" s="30">
        <f t="shared" si="96"/>
        <v>6772.6006943194379</v>
      </c>
      <c r="AA3099" s="30">
        <f t="shared" si="97"/>
        <v>2116.4377169748245</v>
      </c>
      <c r="AB3099" t="s">
        <v>457</v>
      </c>
    </row>
    <row r="3100" spans="1:28">
      <c r="A3100" t="s">
        <v>122</v>
      </c>
      <c r="C3100" s="92">
        <v>4615472164</v>
      </c>
      <c r="D3100" s="93">
        <v>19200</v>
      </c>
      <c r="F3100" s="94">
        <v>16</v>
      </c>
      <c r="G3100" s="94">
        <v>5</v>
      </c>
      <c r="H3100" s="91">
        <v>0</v>
      </c>
      <c r="I3100" s="91">
        <v>0</v>
      </c>
      <c r="J3100" s="41"/>
      <c r="K3100" s="41">
        <v>43496</v>
      </c>
      <c r="L3100" s="69" t="s">
        <v>80</v>
      </c>
      <c r="M3100" s="69" t="s">
        <v>286</v>
      </c>
      <c r="N3100" s="95"/>
      <c r="P3100" t="s">
        <v>95</v>
      </c>
      <c r="Q3100" t="s">
        <v>120</v>
      </c>
      <c r="R3100" s="92" t="s">
        <v>69</v>
      </c>
      <c r="S3100" s="92" t="s">
        <v>394</v>
      </c>
      <c r="V3100" s="95">
        <v>43496</v>
      </c>
      <c r="W3100" s="92">
        <v>2033912</v>
      </c>
      <c r="X3100" s="90"/>
      <c r="Y3100" s="123"/>
      <c r="Z3100" s="30">
        <f t="shared" si="96"/>
        <v>6772.6006943194379</v>
      </c>
      <c r="AA3100" s="30">
        <f t="shared" si="97"/>
        <v>2116.4377169748245</v>
      </c>
      <c r="AB3100" t="s">
        <v>457</v>
      </c>
    </row>
    <row r="3101" spans="1:28">
      <c r="A3101" t="s">
        <v>122</v>
      </c>
      <c r="C3101" s="92">
        <v>4615472164</v>
      </c>
      <c r="D3101" s="93">
        <v>19200</v>
      </c>
      <c r="F3101" s="94">
        <v>16</v>
      </c>
      <c r="G3101" s="94">
        <v>5</v>
      </c>
      <c r="H3101" s="91">
        <v>0</v>
      </c>
      <c r="I3101" s="91">
        <v>0</v>
      </c>
      <c r="J3101" s="41"/>
      <c r="K3101" s="41">
        <v>43496</v>
      </c>
      <c r="L3101" s="69" t="s">
        <v>80</v>
      </c>
      <c r="M3101" s="69" t="s">
        <v>286</v>
      </c>
      <c r="N3101" s="95"/>
      <c r="P3101" t="s">
        <v>95</v>
      </c>
      <c r="Q3101" t="s">
        <v>120</v>
      </c>
      <c r="R3101" s="92" t="s">
        <v>69</v>
      </c>
      <c r="S3101" s="92" t="s">
        <v>394</v>
      </c>
      <c r="V3101" s="95">
        <v>43496</v>
      </c>
      <c r="W3101" s="92">
        <v>2033912</v>
      </c>
      <c r="X3101" s="90"/>
      <c r="Y3101" s="123"/>
      <c r="Z3101" s="30">
        <f t="shared" si="96"/>
        <v>6772.6006943194379</v>
      </c>
      <c r="AA3101" s="30">
        <f t="shared" si="97"/>
        <v>2116.4377169748245</v>
      </c>
      <c r="AB3101" t="s">
        <v>457</v>
      </c>
    </row>
    <row r="3102" spans="1:28">
      <c r="A3102" t="s">
        <v>122</v>
      </c>
      <c r="C3102" s="92">
        <v>4615472164</v>
      </c>
      <c r="D3102" s="93">
        <v>19200</v>
      </c>
      <c r="F3102" s="94">
        <v>16</v>
      </c>
      <c r="G3102" s="94">
        <v>5</v>
      </c>
      <c r="H3102" s="91">
        <v>0</v>
      </c>
      <c r="I3102" s="91">
        <v>0</v>
      </c>
      <c r="J3102" s="41"/>
      <c r="K3102" s="41">
        <v>43496</v>
      </c>
      <c r="L3102" s="69" t="s">
        <v>80</v>
      </c>
      <c r="M3102" s="69" t="s">
        <v>286</v>
      </c>
      <c r="N3102" s="95"/>
      <c r="P3102" t="s">
        <v>95</v>
      </c>
      <c r="Q3102" t="s">
        <v>120</v>
      </c>
      <c r="R3102" s="92" t="s">
        <v>69</v>
      </c>
      <c r="S3102" s="92" t="s">
        <v>394</v>
      </c>
      <c r="V3102" s="95">
        <v>43496</v>
      </c>
      <c r="W3102" s="92">
        <v>2033912</v>
      </c>
      <c r="X3102" s="90"/>
      <c r="Y3102" s="123"/>
      <c r="Z3102" s="30">
        <f t="shared" si="96"/>
        <v>6772.6006943194379</v>
      </c>
      <c r="AA3102" s="30">
        <f t="shared" si="97"/>
        <v>2116.4377169748245</v>
      </c>
      <c r="AB3102" t="s">
        <v>457</v>
      </c>
    </row>
    <row r="3103" spans="1:28">
      <c r="A3103" t="s">
        <v>122</v>
      </c>
      <c r="C3103" s="92">
        <v>4615519238</v>
      </c>
      <c r="D3103" s="93">
        <v>19200</v>
      </c>
      <c r="F3103" s="91">
        <v>16</v>
      </c>
      <c r="G3103" s="96">
        <v>5</v>
      </c>
      <c r="H3103" s="94">
        <v>0</v>
      </c>
      <c r="I3103" s="91">
        <v>0</v>
      </c>
      <c r="J3103" s="41"/>
      <c r="K3103" s="41">
        <v>43496</v>
      </c>
      <c r="L3103" s="69" t="s">
        <v>80</v>
      </c>
      <c r="M3103" s="69" t="s">
        <v>286</v>
      </c>
      <c r="N3103" s="95"/>
      <c r="P3103" t="s">
        <v>95</v>
      </c>
      <c r="Q3103" t="s">
        <v>120</v>
      </c>
      <c r="R3103" s="92" t="s">
        <v>69</v>
      </c>
      <c r="S3103" s="92" t="s">
        <v>395</v>
      </c>
      <c r="V3103" s="95">
        <v>43496</v>
      </c>
      <c r="W3103" s="92">
        <v>2033922</v>
      </c>
      <c r="X3103" s="90"/>
      <c r="Y3103" s="123"/>
      <c r="Z3103" s="30">
        <f t="shared" si="96"/>
        <v>6772.6006943194379</v>
      </c>
      <c r="AA3103" s="30">
        <f t="shared" si="97"/>
        <v>2116.4377169748245</v>
      </c>
      <c r="AB3103" t="s">
        <v>457</v>
      </c>
    </row>
    <row r="3104" spans="1:28">
      <c r="A3104" t="s">
        <v>122</v>
      </c>
      <c r="C3104" s="92">
        <v>4615519238</v>
      </c>
      <c r="D3104" s="93">
        <v>19200</v>
      </c>
      <c r="F3104" s="91">
        <v>16</v>
      </c>
      <c r="G3104" s="96">
        <v>5</v>
      </c>
      <c r="H3104" s="94">
        <v>0</v>
      </c>
      <c r="I3104" s="91">
        <v>0</v>
      </c>
      <c r="J3104" s="41"/>
      <c r="K3104" s="41">
        <v>43496</v>
      </c>
      <c r="L3104" s="69" t="s">
        <v>80</v>
      </c>
      <c r="M3104" s="69" t="s">
        <v>286</v>
      </c>
      <c r="N3104" s="95"/>
      <c r="P3104" t="s">
        <v>95</v>
      </c>
      <c r="Q3104" t="s">
        <v>120</v>
      </c>
      <c r="R3104" s="92" t="s">
        <v>69</v>
      </c>
      <c r="S3104" s="92" t="s">
        <v>395</v>
      </c>
      <c r="V3104" s="95">
        <v>43496</v>
      </c>
      <c r="W3104" s="92">
        <v>2033922</v>
      </c>
      <c r="X3104" s="90"/>
      <c r="Y3104" s="123"/>
      <c r="Z3104" s="30">
        <f t="shared" si="96"/>
        <v>6772.6006943194379</v>
      </c>
      <c r="AA3104" s="30">
        <f t="shared" si="97"/>
        <v>2116.4377169748245</v>
      </c>
      <c r="AB3104" t="s">
        <v>457</v>
      </c>
    </row>
    <row r="3105" spans="1:28">
      <c r="A3105" t="s">
        <v>122</v>
      </c>
      <c r="C3105" s="92">
        <v>4615519238</v>
      </c>
      <c r="D3105" s="93">
        <v>19200</v>
      </c>
      <c r="F3105" s="91">
        <v>16</v>
      </c>
      <c r="G3105" s="96">
        <v>5</v>
      </c>
      <c r="H3105" s="94">
        <v>0</v>
      </c>
      <c r="I3105" s="91">
        <v>0</v>
      </c>
      <c r="J3105" s="41"/>
      <c r="K3105" s="41">
        <v>43496</v>
      </c>
      <c r="L3105" s="69" t="s">
        <v>80</v>
      </c>
      <c r="M3105" s="69" t="s">
        <v>286</v>
      </c>
      <c r="N3105" s="95"/>
      <c r="P3105" t="s">
        <v>95</v>
      </c>
      <c r="Q3105" t="s">
        <v>120</v>
      </c>
      <c r="R3105" s="92" t="s">
        <v>69</v>
      </c>
      <c r="S3105" s="92" t="s">
        <v>395</v>
      </c>
      <c r="V3105" s="95">
        <v>43496</v>
      </c>
      <c r="W3105" s="92">
        <v>2033922</v>
      </c>
      <c r="X3105" s="90"/>
      <c r="Y3105" s="123"/>
      <c r="Z3105" s="30">
        <f t="shared" si="96"/>
        <v>6772.6006943194379</v>
      </c>
      <c r="AA3105" s="30">
        <f t="shared" si="97"/>
        <v>2116.4377169748245</v>
      </c>
      <c r="AB3105" t="s">
        <v>457</v>
      </c>
    </row>
    <row r="3106" spans="1:28">
      <c r="A3106" t="s">
        <v>122</v>
      </c>
      <c r="C3106" s="92">
        <v>4615519238</v>
      </c>
      <c r="D3106" s="93">
        <v>19200</v>
      </c>
      <c r="F3106" s="91">
        <v>16</v>
      </c>
      <c r="G3106" s="96">
        <v>5</v>
      </c>
      <c r="H3106" s="94">
        <v>0</v>
      </c>
      <c r="I3106" s="91">
        <v>0</v>
      </c>
      <c r="J3106" s="41"/>
      <c r="K3106" s="41">
        <v>43496</v>
      </c>
      <c r="L3106" s="69" t="s">
        <v>80</v>
      </c>
      <c r="M3106" s="69" t="s">
        <v>286</v>
      </c>
      <c r="N3106" s="95"/>
      <c r="P3106" t="s">
        <v>95</v>
      </c>
      <c r="Q3106" t="s">
        <v>120</v>
      </c>
      <c r="R3106" s="92" t="s">
        <v>69</v>
      </c>
      <c r="S3106" s="92" t="s">
        <v>395</v>
      </c>
      <c r="V3106" s="95">
        <v>43496</v>
      </c>
      <c r="W3106" s="92">
        <v>2033922</v>
      </c>
      <c r="X3106" s="90"/>
      <c r="Y3106" s="123"/>
      <c r="Z3106" s="30">
        <f t="shared" si="96"/>
        <v>6772.6006943194379</v>
      </c>
      <c r="AA3106" s="30">
        <f t="shared" si="97"/>
        <v>2116.4377169748245</v>
      </c>
      <c r="AB3106" t="s">
        <v>457</v>
      </c>
    </row>
    <row r="3107" spans="1:28">
      <c r="A3107" t="s">
        <v>122</v>
      </c>
      <c r="C3107" s="92">
        <v>4615519238</v>
      </c>
      <c r="D3107" s="93">
        <v>19200</v>
      </c>
      <c r="F3107" s="91">
        <v>16</v>
      </c>
      <c r="G3107" s="96">
        <v>5</v>
      </c>
      <c r="H3107" s="94">
        <v>0</v>
      </c>
      <c r="I3107" s="91">
        <v>0</v>
      </c>
      <c r="J3107" s="41"/>
      <c r="K3107" s="41">
        <v>43496</v>
      </c>
      <c r="L3107" s="69" t="s">
        <v>80</v>
      </c>
      <c r="M3107" s="69" t="s">
        <v>286</v>
      </c>
      <c r="N3107" s="95"/>
      <c r="P3107" t="s">
        <v>95</v>
      </c>
      <c r="Q3107" t="s">
        <v>120</v>
      </c>
      <c r="R3107" s="92" t="s">
        <v>69</v>
      </c>
      <c r="S3107" s="92" t="s">
        <v>395</v>
      </c>
      <c r="V3107" s="95">
        <v>43496</v>
      </c>
      <c r="W3107" s="92">
        <v>2033922</v>
      </c>
      <c r="X3107" s="90"/>
      <c r="Y3107" s="123"/>
      <c r="Z3107" s="30">
        <f t="shared" si="96"/>
        <v>6772.6006943194379</v>
      </c>
      <c r="AA3107" s="30">
        <f t="shared" si="97"/>
        <v>2116.4377169748245</v>
      </c>
      <c r="AB3107" t="s">
        <v>457</v>
      </c>
    </row>
    <row r="3108" spans="1:28">
      <c r="A3108" t="s">
        <v>122</v>
      </c>
      <c r="C3108" s="92">
        <v>4615519238</v>
      </c>
      <c r="D3108" s="93">
        <v>19200</v>
      </c>
      <c r="F3108" s="91">
        <v>16</v>
      </c>
      <c r="G3108" s="96">
        <v>5</v>
      </c>
      <c r="H3108" s="94">
        <v>0</v>
      </c>
      <c r="I3108" s="91">
        <v>0</v>
      </c>
      <c r="J3108" s="41"/>
      <c r="K3108" s="41">
        <v>43496</v>
      </c>
      <c r="L3108" s="69" t="s">
        <v>80</v>
      </c>
      <c r="M3108" s="69" t="s">
        <v>286</v>
      </c>
      <c r="N3108" s="95"/>
      <c r="P3108" t="s">
        <v>95</v>
      </c>
      <c r="Q3108" t="s">
        <v>120</v>
      </c>
      <c r="R3108" s="92" t="s">
        <v>69</v>
      </c>
      <c r="S3108" s="92" t="s">
        <v>395</v>
      </c>
      <c r="V3108" s="95">
        <v>43496</v>
      </c>
      <c r="W3108" s="92">
        <v>2033922</v>
      </c>
      <c r="X3108" s="90"/>
      <c r="Y3108" s="123"/>
      <c r="Z3108" s="30">
        <f t="shared" si="96"/>
        <v>6772.6006943194379</v>
      </c>
      <c r="AA3108" s="30">
        <f t="shared" si="97"/>
        <v>2116.4377169748245</v>
      </c>
      <c r="AB3108" t="s">
        <v>457</v>
      </c>
    </row>
    <row r="3109" spans="1:28">
      <c r="A3109" t="s">
        <v>122</v>
      </c>
      <c r="C3109" s="92">
        <v>4615519238</v>
      </c>
      <c r="D3109" s="93">
        <v>19200</v>
      </c>
      <c r="F3109" s="91">
        <v>16</v>
      </c>
      <c r="G3109" s="96">
        <v>5</v>
      </c>
      <c r="H3109" s="94">
        <v>0</v>
      </c>
      <c r="I3109" s="91">
        <v>0</v>
      </c>
      <c r="J3109" s="41"/>
      <c r="K3109" s="41">
        <v>43496</v>
      </c>
      <c r="L3109" s="69" t="s">
        <v>80</v>
      </c>
      <c r="M3109" s="69" t="s">
        <v>286</v>
      </c>
      <c r="N3109" s="95"/>
      <c r="P3109" t="s">
        <v>95</v>
      </c>
      <c r="Q3109" t="s">
        <v>120</v>
      </c>
      <c r="R3109" s="92" t="s">
        <v>69</v>
      </c>
      <c r="S3109" s="92" t="s">
        <v>395</v>
      </c>
      <c r="V3109" s="95">
        <v>43496</v>
      </c>
      <c r="W3109" s="92">
        <v>2033922</v>
      </c>
      <c r="X3109" s="90"/>
      <c r="Y3109" s="123"/>
      <c r="Z3109" s="30">
        <f t="shared" si="96"/>
        <v>6772.6006943194379</v>
      </c>
      <c r="AA3109" s="30">
        <f t="shared" si="97"/>
        <v>2116.4377169748245</v>
      </c>
      <c r="AB3109" t="s">
        <v>457</v>
      </c>
    </row>
    <row r="3110" spans="1:28">
      <c r="A3110" t="s">
        <v>122</v>
      </c>
      <c r="C3110" s="92">
        <v>4615519238</v>
      </c>
      <c r="D3110" s="93">
        <v>19200</v>
      </c>
      <c r="F3110" s="91">
        <v>16</v>
      </c>
      <c r="G3110" s="96">
        <v>5</v>
      </c>
      <c r="H3110" s="94">
        <v>0</v>
      </c>
      <c r="I3110" s="91">
        <v>0</v>
      </c>
      <c r="J3110" s="41"/>
      <c r="K3110" s="41">
        <v>43496</v>
      </c>
      <c r="L3110" s="69" t="s">
        <v>80</v>
      </c>
      <c r="M3110" s="69" t="s">
        <v>286</v>
      </c>
      <c r="N3110" s="95"/>
      <c r="P3110" t="s">
        <v>95</v>
      </c>
      <c r="Q3110" t="s">
        <v>120</v>
      </c>
      <c r="R3110" s="92" t="s">
        <v>69</v>
      </c>
      <c r="S3110" s="92" t="s">
        <v>395</v>
      </c>
      <c r="V3110" s="95">
        <v>43496</v>
      </c>
      <c r="W3110" s="92">
        <v>2033922</v>
      </c>
      <c r="X3110" s="90"/>
      <c r="Y3110" s="123"/>
      <c r="Z3110" s="30">
        <f t="shared" si="96"/>
        <v>6772.6006943194379</v>
      </c>
      <c r="AA3110" s="30">
        <f t="shared" si="97"/>
        <v>2116.4377169748245</v>
      </c>
      <c r="AB3110" t="s">
        <v>457</v>
      </c>
    </row>
    <row r="3111" spans="1:28">
      <c r="A3111" t="s">
        <v>122</v>
      </c>
      <c r="C3111" s="92">
        <v>4615519238</v>
      </c>
      <c r="D3111" s="93">
        <v>19200</v>
      </c>
      <c r="F3111" s="91">
        <v>16</v>
      </c>
      <c r="G3111" s="96">
        <v>5</v>
      </c>
      <c r="H3111" s="94">
        <v>0</v>
      </c>
      <c r="I3111" s="91">
        <v>0</v>
      </c>
      <c r="J3111" s="41"/>
      <c r="K3111" s="41">
        <v>43496</v>
      </c>
      <c r="L3111" s="69" t="s">
        <v>80</v>
      </c>
      <c r="M3111" s="69" t="s">
        <v>286</v>
      </c>
      <c r="N3111" s="95"/>
      <c r="P3111" t="s">
        <v>95</v>
      </c>
      <c r="Q3111" t="s">
        <v>120</v>
      </c>
      <c r="R3111" s="92" t="s">
        <v>69</v>
      </c>
      <c r="S3111" s="92" t="s">
        <v>395</v>
      </c>
      <c r="V3111" s="95">
        <v>43496</v>
      </c>
      <c r="W3111" s="92">
        <v>2033922</v>
      </c>
      <c r="X3111" s="90"/>
      <c r="Y3111" s="123"/>
      <c r="Z3111" s="30">
        <f t="shared" si="96"/>
        <v>6772.6006943194379</v>
      </c>
      <c r="AA3111" s="30">
        <f t="shared" si="97"/>
        <v>2116.4377169748245</v>
      </c>
      <c r="AB3111" t="s">
        <v>457</v>
      </c>
    </row>
    <row r="3112" spans="1:28">
      <c r="A3112" t="s">
        <v>122</v>
      </c>
      <c r="C3112" s="92">
        <v>4615519238</v>
      </c>
      <c r="D3112" s="93">
        <v>19200</v>
      </c>
      <c r="F3112" s="91">
        <v>16</v>
      </c>
      <c r="G3112" s="96">
        <v>5</v>
      </c>
      <c r="H3112" s="94">
        <v>0</v>
      </c>
      <c r="I3112" s="91">
        <v>0</v>
      </c>
      <c r="J3112" s="41"/>
      <c r="K3112" s="41">
        <v>43496</v>
      </c>
      <c r="L3112" s="69" t="s">
        <v>80</v>
      </c>
      <c r="M3112" s="69" t="s">
        <v>286</v>
      </c>
      <c r="N3112" s="95"/>
      <c r="P3112" t="s">
        <v>95</v>
      </c>
      <c r="Q3112" t="s">
        <v>120</v>
      </c>
      <c r="R3112" s="92" t="s">
        <v>69</v>
      </c>
      <c r="S3112" s="92" t="s">
        <v>395</v>
      </c>
      <c r="V3112" s="95">
        <v>43496</v>
      </c>
      <c r="W3112" s="92">
        <v>2033922</v>
      </c>
      <c r="X3112" s="90"/>
      <c r="Y3112" s="123"/>
      <c r="Z3112" s="30">
        <f t="shared" si="96"/>
        <v>6772.6006943194379</v>
      </c>
      <c r="AA3112" s="30">
        <f t="shared" si="97"/>
        <v>2116.4377169748245</v>
      </c>
      <c r="AB3112" t="s">
        <v>457</v>
      </c>
    </row>
    <row r="3113" spans="1:28">
      <c r="A3113" t="s">
        <v>122</v>
      </c>
      <c r="C3113" s="92">
        <v>4615519238</v>
      </c>
      <c r="D3113" s="93">
        <v>19200</v>
      </c>
      <c r="F3113" s="91">
        <v>16</v>
      </c>
      <c r="G3113" s="96">
        <v>5</v>
      </c>
      <c r="H3113" s="94">
        <v>0</v>
      </c>
      <c r="I3113" s="91">
        <v>0</v>
      </c>
      <c r="J3113" s="41"/>
      <c r="K3113" s="41">
        <v>43496</v>
      </c>
      <c r="L3113" s="69" t="s">
        <v>80</v>
      </c>
      <c r="M3113" s="69" t="s">
        <v>286</v>
      </c>
      <c r="N3113" s="95"/>
      <c r="P3113" t="s">
        <v>95</v>
      </c>
      <c r="Q3113" t="s">
        <v>120</v>
      </c>
      <c r="R3113" s="92" t="s">
        <v>69</v>
      </c>
      <c r="S3113" s="92" t="s">
        <v>395</v>
      </c>
      <c r="V3113" s="95">
        <v>43496</v>
      </c>
      <c r="W3113" s="92">
        <v>2033922</v>
      </c>
      <c r="X3113" s="90"/>
      <c r="Y3113" s="123"/>
      <c r="Z3113" s="30">
        <f t="shared" si="96"/>
        <v>6772.6006943194379</v>
      </c>
      <c r="AA3113" s="30">
        <f t="shared" si="97"/>
        <v>2116.4377169748245</v>
      </c>
      <c r="AB3113" t="s">
        <v>457</v>
      </c>
    </row>
    <row r="3114" spans="1:28">
      <c r="A3114" t="s">
        <v>118</v>
      </c>
      <c r="C3114" s="92">
        <v>4615479119</v>
      </c>
      <c r="D3114" s="93">
        <v>19175</v>
      </c>
      <c r="F3114" s="91">
        <v>16</v>
      </c>
      <c r="G3114" s="96">
        <v>5</v>
      </c>
      <c r="H3114" s="94">
        <v>0</v>
      </c>
      <c r="I3114" s="91">
        <v>0</v>
      </c>
      <c r="J3114" s="41"/>
      <c r="K3114" s="41">
        <v>43496</v>
      </c>
      <c r="L3114" s="69" t="s">
        <v>80</v>
      </c>
      <c r="M3114" s="69" t="s">
        <v>286</v>
      </c>
      <c r="N3114" s="95"/>
      <c r="P3114" t="s">
        <v>95</v>
      </c>
      <c r="Q3114" t="s">
        <v>120</v>
      </c>
      <c r="R3114" s="92" t="s">
        <v>69</v>
      </c>
      <c r="S3114" s="92" t="s">
        <v>396</v>
      </c>
      <c r="V3114" s="95">
        <v>43496</v>
      </c>
      <c r="W3114" s="92">
        <v>2033932</v>
      </c>
      <c r="X3114" s="90"/>
      <c r="Y3114" s="123"/>
      <c r="Z3114" s="30">
        <f t="shared" si="96"/>
        <v>6763.7822038320437</v>
      </c>
      <c r="AA3114" s="30">
        <f t="shared" si="97"/>
        <v>2113.6819386975139</v>
      </c>
      <c r="AB3114" t="s">
        <v>457</v>
      </c>
    </row>
    <row r="3115" spans="1:28">
      <c r="A3115" t="s">
        <v>118</v>
      </c>
      <c r="C3115" s="92">
        <v>4615479119</v>
      </c>
      <c r="D3115" s="93">
        <v>19175</v>
      </c>
      <c r="F3115" s="91">
        <v>16</v>
      </c>
      <c r="G3115" s="96">
        <v>5</v>
      </c>
      <c r="H3115" s="94">
        <v>0</v>
      </c>
      <c r="I3115" s="91">
        <v>0</v>
      </c>
      <c r="J3115" s="41"/>
      <c r="K3115" s="41">
        <v>43496</v>
      </c>
      <c r="L3115" s="69" t="s">
        <v>80</v>
      </c>
      <c r="M3115" s="69" t="s">
        <v>286</v>
      </c>
      <c r="N3115" s="95"/>
      <c r="P3115" t="s">
        <v>95</v>
      </c>
      <c r="Q3115" t="s">
        <v>120</v>
      </c>
      <c r="R3115" s="92" t="s">
        <v>69</v>
      </c>
      <c r="S3115" s="92" t="s">
        <v>396</v>
      </c>
      <c r="V3115" s="95">
        <v>43496</v>
      </c>
      <c r="W3115" s="92">
        <v>2033932</v>
      </c>
      <c r="X3115" s="90"/>
      <c r="Y3115" s="123"/>
      <c r="Z3115" s="30">
        <f t="shared" si="96"/>
        <v>6763.7822038320437</v>
      </c>
      <c r="AA3115" s="30">
        <f t="shared" si="97"/>
        <v>2113.6819386975139</v>
      </c>
      <c r="AB3115" t="s">
        <v>457</v>
      </c>
    </row>
    <row r="3116" spans="1:28">
      <c r="A3116" t="s">
        <v>118</v>
      </c>
      <c r="C3116" s="92">
        <v>4615479119</v>
      </c>
      <c r="D3116" s="93">
        <v>19175</v>
      </c>
      <c r="F3116" s="91">
        <v>16</v>
      </c>
      <c r="G3116" s="96">
        <v>5</v>
      </c>
      <c r="H3116" s="94">
        <v>0</v>
      </c>
      <c r="I3116" s="91">
        <v>0</v>
      </c>
      <c r="J3116" s="41"/>
      <c r="K3116" s="41">
        <v>43496</v>
      </c>
      <c r="L3116" s="69" t="s">
        <v>80</v>
      </c>
      <c r="M3116" s="69" t="s">
        <v>286</v>
      </c>
      <c r="N3116" s="95"/>
      <c r="P3116" t="s">
        <v>95</v>
      </c>
      <c r="Q3116" t="s">
        <v>120</v>
      </c>
      <c r="R3116" s="92" t="s">
        <v>69</v>
      </c>
      <c r="S3116" s="92" t="s">
        <v>396</v>
      </c>
      <c r="V3116" s="95">
        <v>43496</v>
      </c>
      <c r="W3116" s="92">
        <v>2033932</v>
      </c>
      <c r="X3116" s="90"/>
      <c r="Y3116" s="123"/>
      <c r="Z3116" s="30">
        <f t="shared" si="96"/>
        <v>6763.7822038320437</v>
      </c>
      <c r="AA3116" s="30">
        <f t="shared" si="97"/>
        <v>2113.6819386975139</v>
      </c>
      <c r="AB3116" t="s">
        <v>457</v>
      </c>
    </row>
    <row r="3117" spans="1:28">
      <c r="A3117" t="s">
        <v>118</v>
      </c>
      <c r="C3117" s="92">
        <v>4615479119</v>
      </c>
      <c r="D3117" s="93">
        <v>19175</v>
      </c>
      <c r="F3117" s="91">
        <v>16</v>
      </c>
      <c r="G3117" s="96">
        <v>5</v>
      </c>
      <c r="H3117" s="94">
        <v>0</v>
      </c>
      <c r="I3117" s="91">
        <v>0</v>
      </c>
      <c r="J3117" s="41"/>
      <c r="K3117" s="41">
        <v>43496</v>
      </c>
      <c r="L3117" s="69" t="s">
        <v>80</v>
      </c>
      <c r="M3117" s="69" t="s">
        <v>286</v>
      </c>
      <c r="N3117" s="95"/>
      <c r="P3117" t="s">
        <v>95</v>
      </c>
      <c r="Q3117" t="s">
        <v>120</v>
      </c>
      <c r="R3117" s="92" t="s">
        <v>69</v>
      </c>
      <c r="S3117" s="92" t="s">
        <v>396</v>
      </c>
      <c r="V3117" s="95">
        <v>43496</v>
      </c>
      <c r="W3117" s="92">
        <v>2033932</v>
      </c>
      <c r="X3117" s="90"/>
      <c r="Y3117" s="123"/>
      <c r="Z3117" s="30">
        <f t="shared" si="96"/>
        <v>6763.7822038320437</v>
      </c>
      <c r="AA3117" s="30">
        <f t="shared" si="97"/>
        <v>2113.6819386975139</v>
      </c>
      <c r="AB3117" t="s">
        <v>457</v>
      </c>
    </row>
    <row r="3118" spans="1:28">
      <c r="A3118" t="s">
        <v>118</v>
      </c>
      <c r="C3118" s="92">
        <v>4615479119</v>
      </c>
      <c r="D3118" s="93">
        <v>19175</v>
      </c>
      <c r="F3118" s="91">
        <v>16</v>
      </c>
      <c r="G3118" s="96">
        <v>5</v>
      </c>
      <c r="H3118" s="94">
        <v>0</v>
      </c>
      <c r="I3118" s="91">
        <v>0</v>
      </c>
      <c r="J3118" s="41"/>
      <c r="K3118" s="41">
        <v>43496</v>
      </c>
      <c r="L3118" s="69" t="s">
        <v>80</v>
      </c>
      <c r="M3118" s="69" t="s">
        <v>286</v>
      </c>
      <c r="N3118" s="95"/>
      <c r="P3118" t="s">
        <v>95</v>
      </c>
      <c r="Q3118" t="s">
        <v>120</v>
      </c>
      <c r="R3118" s="92" t="s">
        <v>69</v>
      </c>
      <c r="S3118" s="92" t="s">
        <v>396</v>
      </c>
      <c r="V3118" s="95">
        <v>43496</v>
      </c>
      <c r="W3118" s="92">
        <v>2033932</v>
      </c>
      <c r="X3118" s="90"/>
      <c r="Y3118" s="123"/>
      <c r="Z3118" s="30">
        <f t="shared" si="96"/>
        <v>6763.7822038320437</v>
      </c>
      <c r="AA3118" s="30">
        <f t="shared" si="97"/>
        <v>2113.6819386975139</v>
      </c>
      <c r="AB3118" t="s">
        <v>457</v>
      </c>
    </row>
    <row r="3119" spans="1:28">
      <c r="A3119" t="s">
        <v>118</v>
      </c>
      <c r="C3119" s="92">
        <v>4615479119</v>
      </c>
      <c r="D3119" s="93">
        <v>19175</v>
      </c>
      <c r="F3119" s="91">
        <v>16</v>
      </c>
      <c r="G3119" s="96">
        <v>5</v>
      </c>
      <c r="H3119" s="94">
        <v>0</v>
      </c>
      <c r="I3119" s="91">
        <v>0</v>
      </c>
      <c r="J3119" s="41"/>
      <c r="K3119" s="41">
        <v>43496</v>
      </c>
      <c r="L3119" s="69" t="s">
        <v>80</v>
      </c>
      <c r="M3119" s="69" t="s">
        <v>286</v>
      </c>
      <c r="N3119" s="95"/>
      <c r="P3119" t="s">
        <v>95</v>
      </c>
      <c r="Q3119" t="s">
        <v>120</v>
      </c>
      <c r="R3119" s="92" t="s">
        <v>69</v>
      </c>
      <c r="S3119" s="92" t="s">
        <v>396</v>
      </c>
      <c r="V3119" s="95">
        <v>43496</v>
      </c>
      <c r="W3119" s="92">
        <v>2033932</v>
      </c>
      <c r="X3119" s="90"/>
      <c r="Y3119" s="123"/>
      <c r="Z3119" s="30">
        <f t="shared" si="96"/>
        <v>6763.7822038320437</v>
      </c>
      <c r="AA3119" s="30">
        <f t="shared" si="97"/>
        <v>2113.6819386975139</v>
      </c>
      <c r="AB3119" t="s">
        <v>457</v>
      </c>
    </row>
    <row r="3120" spans="1:28">
      <c r="A3120" t="s">
        <v>122</v>
      </c>
      <c r="C3120" s="92">
        <v>4615506646</v>
      </c>
      <c r="D3120" s="93">
        <v>19200</v>
      </c>
      <c r="F3120" s="91">
        <v>16</v>
      </c>
      <c r="G3120" s="96">
        <v>5</v>
      </c>
      <c r="H3120" s="94">
        <v>0</v>
      </c>
      <c r="I3120" s="91">
        <v>0</v>
      </c>
      <c r="J3120" s="41"/>
      <c r="K3120" s="41">
        <v>43496</v>
      </c>
      <c r="L3120" s="69" t="s">
        <v>80</v>
      </c>
      <c r="M3120" s="69" t="s">
        <v>286</v>
      </c>
      <c r="N3120" s="95"/>
      <c r="P3120" t="s">
        <v>95</v>
      </c>
      <c r="Q3120" t="s">
        <v>120</v>
      </c>
      <c r="R3120" s="92" t="s">
        <v>69</v>
      </c>
      <c r="S3120" s="92" t="s">
        <v>397</v>
      </c>
      <c r="V3120" s="95">
        <v>43496</v>
      </c>
      <c r="W3120" s="92">
        <v>2033942</v>
      </c>
      <c r="X3120" s="90"/>
      <c r="Y3120" s="123"/>
      <c r="Z3120" s="30">
        <f t="shared" si="96"/>
        <v>6772.6006943194379</v>
      </c>
      <c r="AA3120" s="30">
        <f t="shared" si="97"/>
        <v>2116.4377169748245</v>
      </c>
      <c r="AB3120" t="s">
        <v>457</v>
      </c>
    </row>
    <row r="3121" spans="1:28">
      <c r="A3121" t="s">
        <v>122</v>
      </c>
      <c r="C3121" s="92">
        <v>4615506646</v>
      </c>
      <c r="D3121" s="93">
        <v>19200</v>
      </c>
      <c r="F3121" s="91">
        <v>16</v>
      </c>
      <c r="G3121" s="96">
        <v>5</v>
      </c>
      <c r="H3121" s="94">
        <v>0</v>
      </c>
      <c r="I3121" s="91">
        <v>0</v>
      </c>
      <c r="J3121" s="41"/>
      <c r="K3121" s="41">
        <v>43496</v>
      </c>
      <c r="L3121" s="69" t="s">
        <v>80</v>
      </c>
      <c r="M3121" s="69" t="s">
        <v>286</v>
      </c>
      <c r="N3121" s="95"/>
      <c r="P3121" t="s">
        <v>95</v>
      </c>
      <c r="Q3121" t="s">
        <v>120</v>
      </c>
      <c r="R3121" s="92" t="s">
        <v>69</v>
      </c>
      <c r="S3121" s="92" t="s">
        <v>397</v>
      </c>
      <c r="V3121" s="95">
        <v>43496</v>
      </c>
      <c r="W3121" s="92">
        <v>2033942</v>
      </c>
      <c r="X3121" s="90"/>
      <c r="Y3121" s="123"/>
      <c r="Z3121" s="30">
        <f t="shared" si="96"/>
        <v>6772.6006943194379</v>
      </c>
      <c r="AA3121" s="30">
        <f t="shared" si="97"/>
        <v>2116.4377169748245</v>
      </c>
      <c r="AB3121" t="s">
        <v>457</v>
      </c>
    </row>
    <row r="3122" spans="1:28">
      <c r="A3122" t="s">
        <v>122</v>
      </c>
      <c r="C3122" s="92">
        <v>4615506646</v>
      </c>
      <c r="D3122" s="93">
        <v>19200</v>
      </c>
      <c r="F3122" s="91">
        <v>16</v>
      </c>
      <c r="G3122" s="96">
        <v>5</v>
      </c>
      <c r="H3122" s="94">
        <v>0</v>
      </c>
      <c r="I3122" s="91">
        <v>0</v>
      </c>
      <c r="J3122" s="41"/>
      <c r="K3122" s="41">
        <v>43496</v>
      </c>
      <c r="L3122" s="69" t="s">
        <v>80</v>
      </c>
      <c r="M3122" s="69" t="s">
        <v>286</v>
      </c>
      <c r="N3122" s="95"/>
      <c r="P3122" t="s">
        <v>95</v>
      </c>
      <c r="Q3122" t="s">
        <v>120</v>
      </c>
      <c r="R3122" s="92" t="s">
        <v>69</v>
      </c>
      <c r="S3122" s="92" t="s">
        <v>397</v>
      </c>
      <c r="V3122" s="95">
        <v>43496</v>
      </c>
      <c r="W3122" s="92">
        <v>2033942</v>
      </c>
      <c r="X3122" s="90"/>
      <c r="Y3122" s="123"/>
      <c r="Z3122" s="30">
        <f t="shared" si="96"/>
        <v>6772.6006943194379</v>
      </c>
      <c r="AA3122" s="30">
        <f t="shared" si="97"/>
        <v>2116.4377169748245</v>
      </c>
      <c r="AB3122" t="s">
        <v>457</v>
      </c>
    </row>
    <row r="3123" spans="1:28">
      <c r="A3123" t="s">
        <v>122</v>
      </c>
      <c r="C3123" s="92">
        <v>4615506646</v>
      </c>
      <c r="D3123" s="93">
        <v>19200</v>
      </c>
      <c r="F3123" s="91">
        <v>16</v>
      </c>
      <c r="G3123" s="96">
        <v>5</v>
      </c>
      <c r="H3123" s="94">
        <v>0</v>
      </c>
      <c r="I3123" s="91">
        <v>0</v>
      </c>
      <c r="J3123" s="41"/>
      <c r="K3123" s="41">
        <v>43496</v>
      </c>
      <c r="L3123" s="69" t="s">
        <v>80</v>
      </c>
      <c r="M3123" s="69" t="s">
        <v>286</v>
      </c>
      <c r="N3123" s="95"/>
      <c r="P3123" t="s">
        <v>95</v>
      </c>
      <c r="Q3123" t="s">
        <v>120</v>
      </c>
      <c r="R3123" s="92" t="s">
        <v>69</v>
      </c>
      <c r="S3123" s="92" t="s">
        <v>397</v>
      </c>
      <c r="V3123" s="95">
        <v>43496</v>
      </c>
      <c r="W3123" s="92">
        <v>2033942</v>
      </c>
      <c r="X3123" s="90"/>
      <c r="Y3123" s="123"/>
      <c r="Z3123" s="30">
        <f t="shared" si="96"/>
        <v>6772.6006943194379</v>
      </c>
      <c r="AA3123" s="30">
        <f t="shared" si="97"/>
        <v>2116.4377169748245</v>
      </c>
      <c r="AB3123" t="s">
        <v>457</v>
      </c>
    </row>
    <row r="3124" spans="1:28">
      <c r="A3124" t="s">
        <v>122</v>
      </c>
      <c r="C3124" s="92">
        <v>4615506646</v>
      </c>
      <c r="D3124" s="93">
        <v>19200</v>
      </c>
      <c r="F3124" s="91">
        <v>16</v>
      </c>
      <c r="G3124" s="96">
        <v>5</v>
      </c>
      <c r="H3124" s="94">
        <v>0</v>
      </c>
      <c r="I3124" s="91">
        <v>0</v>
      </c>
      <c r="J3124" s="41"/>
      <c r="K3124" s="41">
        <v>43496</v>
      </c>
      <c r="L3124" s="69" t="s">
        <v>80</v>
      </c>
      <c r="M3124" s="69" t="s">
        <v>286</v>
      </c>
      <c r="N3124" s="95"/>
      <c r="P3124" t="s">
        <v>95</v>
      </c>
      <c r="Q3124" t="s">
        <v>120</v>
      </c>
      <c r="R3124" s="92" t="s">
        <v>69</v>
      </c>
      <c r="S3124" s="92" t="s">
        <v>397</v>
      </c>
      <c r="V3124" s="95">
        <v>43496</v>
      </c>
      <c r="W3124" s="92">
        <v>2033942</v>
      </c>
      <c r="X3124" s="90"/>
      <c r="Y3124" s="123"/>
      <c r="Z3124" s="30">
        <f t="shared" si="96"/>
        <v>6772.6006943194379</v>
      </c>
      <c r="AA3124" s="30">
        <f t="shared" si="97"/>
        <v>2116.4377169748245</v>
      </c>
      <c r="AB3124" t="s">
        <v>457</v>
      </c>
    </row>
    <row r="3125" spans="1:28">
      <c r="A3125" t="s">
        <v>122</v>
      </c>
      <c r="C3125" s="92">
        <v>4615506646</v>
      </c>
      <c r="D3125" s="93">
        <v>19200</v>
      </c>
      <c r="F3125" s="91">
        <v>16</v>
      </c>
      <c r="G3125" s="96">
        <v>5</v>
      </c>
      <c r="H3125" s="94">
        <v>0</v>
      </c>
      <c r="I3125" s="91">
        <v>0</v>
      </c>
      <c r="J3125" s="41"/>
      <c r="K3125" s="41">
        <v>43496</v>
      </c>
      <c r="L3125" s="69" t="s">
        <v>80</v>
      </c>
      <c r="M3125" s="69" t="s">
        <v>286</v>
      </c>
      <c r="N3125" s="95"/>
      <c r="P3125" t="s">
        <v>95</v>
      </c>
      <c r="Q3125" t="s">
        <v>120</v>
      </c>
      <c r="R3125" s="92" t="s">
        <v>69</v>
      </c>
      <c r="S3125" s="92" t="s">
        <v>397</v>
      </c>
      <c r="V3125" s="95">
        <v>43496</v>
      </c>
      <c r="W3125" s="92">
        <v>2033942</v>
      </c>
      <c r="X3125" s="90"/>
      <c r="Y3125" s="123"/>
      <c r="Z3125" s="30">
        <f t="shared" si="96"/>
        <v>6772.6006943194379</v>
      </c>
      <c r="AA3125" s="30">
        <f t="shared" si="97"/>
        <v>2116.4377169748245</v>
      </c>
      <c r="AB3125" t="s">
        <v>457</v>
      </c>
    </row>
    <row r="3126" spans="1:28">
      <c r="A3126" t="s">
        <v>122</v>
      </c>
      <c r="C3126" s="92">
        <v>4615506646</v>
      </c>
      <c r="D3126" s="93">
        <v>19200</v>
      </c>
      <c r="F3126" s="91">
        <v>16</v>
      </c>
      <c r="G3126" s="96">
        <v>5</v>
      </c>
      <c r="H3126" s="94">
        <v>0</v>
      </c>
      <c r="I3126" s="91">
        <v>0</v>
      </c>
      <c r="J3126" s="41"/>
      <c r="K3126" s="41">
        <v>43496</v>
      </c>
      <c r="L3126" s="69" t="s">
        <v>80</v>
      </c>
      <c r="M3126" s="69" t="s">
        <v>286</v>
      </c>
      <c r="N3126" s="95"/>
      <c r="P3126" t="s">
        <v>95</v>
      </c>
      <c r="Q3126" t="s">
        <v>120</v>
      </c>
      <c r="R3126" s="92" t="s">
        <v>69</v>
      </c>
      <c r="S3126" s="92" t="s">
        <v>397</v>
      </c>
      <c r="V3126" s="95">
        <v>43496</v>
      </c>
      <c r="W3126" s="92">
        <v>2033942</v>
      </c>
      <c r="X3126" s="90"/>
      <c r="Y3126" s="123"/>
      <c r="Z3126" s="30">
        <f t="shared" si="96"/>
        <v>6772.6006943194379</v>
      </c>
      <c r="AA3126" s="30">
        <f t="shared" si="97"/>
        <v>2116.4377169748245</v>
      </c>
      <c r="AB3126" t="s">
        <v>457</v>
      </c>
    </row>
    <row r="3127" spans="1:28">
      <c r="A3127" t="s">
        <v>122</v>
      </c>
      <c r="C3127" s="92">
        <v>4615506646</v>
      </c>
      <c r="D3127" s="93">
        <v>19200</v>
      </c>
      <c r="F3127" s="91">
        <v>16</v>
      </c>
      <c r="G3127" s="96">
        <v>5</v>
      </c>
      <c r="H3127" s="94">
        <v>0</v>
      </c>
      <c r="I3127" s="91">
        <v>0</v>
      </c>
      <c r="J3127" s="41"/>
      <c r="K3127" s="41">
        <v>43496</v>
      </c>
      <c r="L3127" s="69" t="s">
        <v>80</v>
      </c>
      <c r="M3127" s="69" t="s">
        <v>286</v>
      </c>
      <c r="N3127" s="95"/>
      <c r="P3127" t="s">
        <v>95</v>
      </c>
      <c r="Q3127" t="s">
        <v>120</v>
      </c>
      <c r="R3127" s="92" t="s">
        <v>69</v>
      </c>
      <c r="S3127" s="92" t="s">
        <v>397</v>
      </c>
      <c r="V3127" s="95">
        <v>43496</v>
      </c>
      <c r="W3127" s="92">
        <v>2033942</v>
      </c>
      <c r="X3127" s="90"/>
      <c r="Y3127" s="123"/>
      <c r="Z3127" s="30">
        <f t="shared" si="96"/>
        <v>6772.6006943194379</v>
      </c>
      <c r="AA3127" s="30">
        <f t="shared" si="97"/>
        <v>2116.4377169748245</v>
      </c>
      <c r="AB3127" t="s">
        <v>457</v>
      </c>
    </row>
    <row r="3128" spans="1:28">
      <c r="A3128" t="s">
        <v>122</v>
      </c>
      <c r="C3128" s="92">
        <v>4615506646</v>
      </c>
      <c r="D3128" s="93">
        <v>19200</v>
      </c>
      <c r="F3128" s="91">
        <v>16</v>
      </c>
      <c r="G3128" s="96">
        <v>5</v>
      </c>
      <c r="H3128" s="94">
        <v>0</v>
      </c>
      <c r="I3128" s="91">
        <v>0</v>
      </c>
      <c r="J3128" s="41"/>
      <c r="K3128" s="41">
        <v>43496</v>
      </c>
      <c r="L3128" s="69" t="s">
        <v>80</v>
      </c>
      <c r="M3128" s="69" t="s">
        <v>286</v>
      </c>
      <c r="N3128" s="95"/>
      <c r="P3128" t="s">
        <v>95</v>
      </c>
      <c r="Q3128" t="s">
        <v>120</v>
      </c>
      <c r="R3128" s="92" t="s">
        <v>69</v>
      </c>
      <c r="S3128" s="92" t="s">
        <v>397</v>
      </c>
      <c r="V3128" s="95">
        <v>43496</v>
      </c>
      <c r="W3128" s="92">
        <v>2033942</v>
      </c>
      <c r="X3128" s="90"/>
      <c r="Y3128" s="123"/>
      <c r="Z3128" s="30">
        <f t="shared" si="96"/>
        <v>6772.6006943194379</v>
      </c>
      <c r="AA3128" s="30">
        <f t="shared" si="97"/>
        <v>2116.4377169748245</v>
      </c>
      <c r="AB3128" t="s">
        <v>457</v>
      </c>
    </row>
    <row r="3129" spans="1:28">
      <c r="A3129" t="s">
        <v>122</v>
      </c>
      <c r="C3129" s="92">
        <v>4615506646</v>
      </c>
      <c r="D3129" s="93">
        <v>19200</v>
      </c>
      <c r="F3129" s="91">
        <v>16</v>
      </c>
      <c r="G3129" s="96">
        <v>5</v>
      </c>
      <c r="H3129" s="94">
        <v>0</v>
      </c>
      <c r="I3129" s="91">
        <v>0</v>
      </c>
      <c r="J3129" s="41"/>
      <c r="K3129" s="41">
        <v>43496</v>
      </c>
      <c r="L3129" s="69" t="s">
        <v>80</v>
      </c>
      <c r="M3129" s="69" t="s">
        <v>286</v>
      </c>
      <c r="N3129" s="95"/>
      <c r="P3129" t="s">
        <v>95</v>
      </c>
      <c r="Q3129" t="s">
        <v>120</v>
      </c>
      <c r="R3129" s="92" t="s">
        <v>69</v>
      </c>
      <c r="S3129" s="92" t="s">
        <v>397</v>
      </c>
      <c r="V3129" s="95">
        <v>43496</v>
      </c>
      <c r="W3129" s="92">
        <v>2033942</v>
      </c>
      <c r="X3129" s="90"/>
      <c r="Y3129" s="123"/>
      <c r="Z3129" s="30">
        <f t="shared" si="96"/>
        <v>6772.6006943194379</v>
      </c>
      <c r="AA3129" s="30">
        <f t="shared" si="97"/>
        <v>2116.4377169748245</v>
      </c>
      <c r="AB3129" t="s">
        <v>457</v>
      </c>
    </row>
    <row r="3130" spans="1:28">
      <c r="A3130" t="s">
        <v>122</v>
      </c>
      <c r="C3130" s="92">
        <v>4615507616</v>
      </c>
      <c r="D3130" s="93">
        <v>19200</v>
      </c>
      <c r="F3130" s="91">
        <v>16</v>
      </c>
      <c r="G3130" s="96">
        <v>5</v>
      </c>
      <c r="H3130" s="94">
        <v>0</v>
      </c>
      <c r="I3130" s="91">
        <v>0</v>
      </c>
      <c r="J3130" s="41"/>
      <c r="K3130" s="41">
        <v>43496</v>
      </c>
      <c r="L3130" s="69" t="s">
        <v>80</v>
      </c>
      <c r="M3130" s="69" t="s">
        <v>286</v>
      </c>
      <c r="N3130" s="95"/>
      <c r="P3130" t="s">
        <v>95</v>
      </c>
      <c r="Q3130" t="s">
        <v>120</v>
      </c>
      <c r="R3130" s="92" t="s">
        <v>69</v>
      </c>
      <c r="S3130" s="92" t="s">
        <v>293</v>
      </c>
      <c r="V3130" s="95">
        <v>43496</v>
      </c>
      <c r="W3130" s="92">
        <v>2033952</v>
      </c>
      <c r="X3130" s="90"/>
      <c r="Y3130" s="123"/>
      <c r="Z3130" s="30">
        <f t="shared" si="96"/>
        <v>6772.6006943194379</v>
      </c>
      <c r="AA3130" s="30">
        <f t="shared" si="97"/>
        <v>2116.4377169748245</v>
      </c>
      <c r="AB3130" t="s">
        <v>457</v>
      </c>
    </row>
    <row r="3131" spans="1:28">
      <c r="A3131" t="s">
        <v>122</v>
      </c>
      <c r="C3131" s="92">
        <v>4615507616</v>
      </c>
      <c r="D3131" s="93">
        <v>19200</v>
      </c>
      <c r="F3131" s="91">
        <v>16</v>
      </c>
      <c r="G3131" s="96">
        <v>5</v>
      </c>
      <c r="H3131" s="94">
        <v>0</v>
      </c>
      <c r="I3131" s="91">
        <v>0</v>
      </c>
      <c r="J3131" s="41"/>
      <c r="K3131" s="41">
        <v>43496</v>
      </c>
      <c r="L3131" s="69" t="s">
        <v>80</v>
      </c>
      <c r="M3131" s="69" t="s">
        <v>286</v>
      </c>
      <c r="N3131" s="95"/>
      <c r="P3131" t="s">
        <v>95</v>
      </c>
      <c r="Q3131" t="s">
        <v>120</v>
      </c>
      <c r="R3131" s="92" t="s">
        <v>69</v>
      </c>
      <c r="S3131" s="92" t="s">
        <v>293</v>
      </c>
      <c r="V3131" s="95">
        <v>43496</v>
      </c>
      <c r="W3131" s="92">
        <v>2033952</v>
      </c>
      <c r="X3131" s="90"/>
      <c r="Y3131" s="123"/>
      <c r="Z3131" s="30">
        <f t="shared" si="96"/>
        <v>6772.6006943194379</v>
      </c>
      <c r="AA3131" s="30">
        <f t="shared" si="97"/>
        <v>2116.4377169748245</v>
      </c>
      <c r="AB3131" t="s">
        <v>457</v>
      </c>
    </row>
    <row r="3132" spans="1:28">
      <c r="A3132" t="s">
        <v>122</v>
      </c>
      <c r="C3132" s="92">
        <v>4615507616</v>
      </c>
      <c r="D3132" s="93">
        <v>19200</v>
      </c>
      <c r="F3132" s="91">
        <v>16</v>
      </c>
      <c r="G3132" s="96">
        <v>5</v>
      </c>
      <c r="H3132" s="94">
        <v>0</v>
      </c>
      <c r="I3132" s="91">
        <v>0</v>
      </c>
      <c r="J3132" s="41"/>
      <c r="K3132" s="41">
        <v>43496</v>
      </c>
      <c r="L3132" s="69" t="s">
        <v>80</v>
      </c>
      <c r="M3132" s="69" t="s">
        <v>286</v>
      </c>
      <c r="N3132" s="95"/>
      <c r="P3132" t="s">
        <v>95</v>
      </c>
      <c r="Q3132" t="s">
        <v>120</v>
      </c>
      <c r="R3132" s="92" t="s">
        <v>69</v>
      </c>
      <c r="S3132" s="92" t="s">
        <v>293</v>
      </c>
      <c r="V3132" s="95">
        <v>43496</v>
      </c>
      <c r="W3132" s="92">
        <v>2033952</v>
      </c>
      <c r="X3132" s="90"/>
      <c r="Y3132" s="123"/>
      <c r="Z3132" s="30">
        <f t="shared" si="96"/>
        <v>6772.6006943194379</v>
      </c>
      <c r="AA3132" s="30">
        <f t="shared" si="97"/>
        <v>2116.4377169748245</v>
      </c>
      <c r="AB3132" t="s">
        <v>457</v>
      </c>
    </row>
    <row r="3133" spans="1:28">
      <c r="A3133" t="s">
        <v>122</v>
      </c>
      <c r="C3133" s="92">
        <v>4615507616</v>
      </c>
      <c r="D3133" s="93">
        <v>19200</v>
      </c>
      <c r="F3133" s="91">
        <v>16</v>
      </c>
      <c r="G3133" s="96">
        <v>5</v>
      </c>
      <c r="H3133" s="94">
        <v>0</v>
      </c>
      <c r="I3133" s="91">
        <v>0</v>
      </c>
      <c r="J3133" s="41"/>
      <c r="K3133" s="41">
        <v>43496</v>
      </c>
      <c r="L3133" s="69" t="s">
        <v>80</v>
      </c>
      <c r="M3133" s="69" t="s">
        <v>286</v>
      </c>
      <c r="N3133" s="95"/>
      <c r="P3133" t="s">
        <v>95</v>
      </c>
      <c r="Q3133" t="s">
        <v>120</v>
      </c>
      <c r="R3133" s="92" t="s">
        <v>69</v>
      </c>
      <c r="S3133" s="92" t="s">
        <v>293</v>
      </c>
      <c r="V3133" s="95">
        <v>43496</v>
      </c>
      <c r="W3133" s="92">
        <v>2033952</v>
      </c>
      <c r="X3133" s="90"/>
      <c r="Y3133" s="123"/>
      <c r="Z3133" s="30">
        <f t="shared" si="96"/>
        <v>6772.6006943194379</v>
      </c>
      <c r="AA3133" s="30">
        <f t="shared" si="97"/>
        <v>2116.4377169748245</v>
      </c>
      <c r="AB3133" t="s">
        <v>457</v>
      </c>
    </row>
    <row r="3134" spans="1:28">
      <c r="A3134" t="s">
        <v>113</v>
      </c>
      <c r="C3134" s="104">
        <v>4615480457</v>
      </c>
      <c r="D3134" s="105">
        <v>19175</v>
      </c>
      <c r="F3134" s="97">
        <v>16</v>
      </c>
      <c r="G3134" s="91">
        <v>0</v>
      </c>
      <c r="H3134" s="94">
        <v>0</v>
      </c>
      <c r="I3134" s="91">
        <v>0</v>
      </c>
      <c r="J3134" s="41"/>
      <c r="K3134" s="41">
        <v>43496</v>
      </c>
      <c r="L3134" s="69" t="s">
        <v>80</v>
      </c>
      <c r="M3134" s="69" t="s">
        <v>286</v>
      </c>
      <c r="N3134" s="95"/>
      <c r="P3134" t="s">
        <v>95</v>
      </c>
      <c r="Q3134" t="s">
        <v>110</v>
      </c>
      <c r="R3134" s="92" t="s">
        <v>69</v>
      </c>
      <c r="S3134" s="92" t="s">
        <v>115</v>
      </c>
      <c r="V3134" s="95">
        <v>43496</v>
      </c>
      <c r="W3134" s="104" t="s">
        <v>398</v>
      </c>
      <c r="X3134" s="90"/>
      <c r="Y3134" s="123"/>
      <c r="Z3134" s="30">
        <f t="shared" si="96"/>
        <v>6763.7822038320437</v>
      </c>
      <c r="AA3134" s="30">
        <f t="shared" si="97"/>
        <v>0</v>
      </c>
      <c r="AB3134" t="s">
        <v>457</v>
      </c>
    </row>
    <row r="3135" spans="1:28">
      <c r="A3135" t="s">
        <v>113</v>
      </c>
      <c r="C3135" s="104">
        <v>4615480457</v>
      </c>
      <c r="D3135" s="105">
        <v>19175</v>
      </c>
      <c r="F3135" s="97">
        <v>16</v>
      </c>
      <c r="G3135" s="91">
        <v>0</v>
      </c>
      <c r="H3135" s="94">
        <v>0</v>
      </c>
      <c r="I3135" s="91">
        <v>0</v>
      </c>
      <c r="J3135" s="41"/>
      <c r="K3135" s="41">
        <v>43496</v>
      </c>
      <c r="L3135" s="69" t="s">
        <v>80</v>
      </c>
      <c r="M3135" s="69" t="s">
        <v>286</v>
      </c>
      <c r="N3135" s="95"/>
      <c r="P3135" t="s">
        <v>95</v>
      </c>
      <c r="Q3135" t="s">
        <v>110</v>
      </c>
      <c r="R3135" s="92" t="s">
        <v>69</v>
      </c>
      <c r="S3135" s="92" t="s">
        <v>115</v>
      </c>
      <c r="V3135" s="95">
        <v>43496</v>
      </c>
      <c r="W3135" s="104" t="s">
        <v>398</v>
      </c>
      <c r="X3135" s="90"/>
      <c r="Y3135" s="123"/>
      <c r="Z3135" s="30">
        <f t="shared" si="96"/>
        <v>6763.7822038320437</v>
      </c>
      <c r="AA3135" s="30">
        <f t="shared" si="97"/>
        <v>0</v>
      </c>
      <c r="AB3135" t="s">
        <v>457</v>
      </c>
    </row>
    <row r="3136" spans="1:28">
      <c r="A3136" t="s">
        <v>113</v>
      </c>
      <c r="C3136" s="104">
        <v>4615480457</v>
      </c>
      <c r="D3136" s="105">
        <v>19175</v>
      </c>
      <c r="F3136" s="97">
        <v>16</v>
      </c>
      <c r="G3136" s="91">
        <v>0</v>
      </c>
      <c r="H3136" s="94">
        <v>0</v>
      </c>
      <c r="I3136" s="91">
        <v>0</v>
      </c>
      <c r="J3136" s="41"/>
      <c r="K3136" s="41">
        <v>43496</v>
      </c>
      <c r="L3136" s="69" t="s">
        <v>80</v>
      </c>
      <c r="M3136" s="69" t="s">
        <v>286</v>
      </c>
      <c r="N3136" s="95"/>
      <c r="P3136" t="s">
        <v>95</v>
      </c>
      <c r="Q3136" t="s">
        <v>110</v>
      </c>
      <c r="R3136" s="92" t="s">
        <v>69</v>
      </c>
      <c r="S3136" s="92" t="s">
        <v>115</v>
      </c>
      <c r="V3136" s="95">
        <v>43496</v>
      </c>
      <c r="W3136" s="104" t="s">
        <v>398</v>
      </c>
      <c r="X3136" s="90"/>
      <c r="Y3136" s="123"/>
      <c r="Z3136" s="30">
        <f t="shared" si="96"/>
        <v>6763.7822038320437</v>
      </c>
      <c r="AA3136" s="30">
        <f t="shared" si="97"/>
        <v>0</v>
      </c>
      <c r="AB3136" t="s">
        <v>457</v>
      </c>
    </row>
    <row r="3137" spans="1:28">
      <c r="A3137" t="s">
        <v>113</v>
      </c>
      <c r="C3137" s="104">
        <v>4615480457</v>
      </c>
      <c r="D3137" s="105">
        <v>19175</v>
      </c>
      <c r="F3137" s="97">
        <v>16</v>
      </c>
      <c r="G3137" s="91">
        <v>0</v>
      </c>
      <c r="H3137" s="94">
        <v>0</v>
      </c>
      <c r="I3137" s="91">
        <v>0</v>
      </c>
      <c r="J3137" s="41"/>
      <c r="K3137" s="41">
        <v>43496</v>
      </c>
      <c r="L3137" s="69" t="s">
        <v>80</v>
      </c>
      <c r="M3137" s="69" t="s">
        <v>286</v>
      </c>
      <c r="N3137" s="95"/>
      <c r="P3137" t="s">
        <v>95</v>
      </c>
      <c r="Q3137" t="s">
        <v>110</v>
      </c>
      <c r="R3137" s="92" t="s">
        <v>69</v>
      </c>
      <c r="S3137" s="92" t="s">
        <v>115</v>
      </c>
      <c r="V3137" s="95">
        <v>43496</v>
      </c>
      <c r="W3137" s="104" t="s">
        <v>398</v>
      </c>
      <c r="X3137" s="90"/>
      <c r="Y3137" s="123"/>
      <c r="Z3137" s="30">
        <f t="shared" si="96"/>
        <v>6763.7822038320437</v>
      </c>
      <c r="AA3137" s="30">
        <f t="shared" si="97"/>
        <v>0</v>
      </c>
      <c r="AB3137" t="s">
        <v>457</v>
      </c>
    </row>
    <row r="3138" spans="1:28">
      <c r="A3138" t="s">
        <v>113</v>
      </c>
      <c r="C3138" s="104">
        <v>4615480457</v>
      </c>
      <c r="D3138" s="105">
        <v>19175</v>
      </c>
      <c r="F3138" s="97">
        <v>16</v>
      </c>
      <c r="G3138" s="91">
        <v>0</v>
      </c>
      <c r="H3138" s="94">
        <v>0</v>
      </c>
      <c r="I3138" s="91">
        <v>0</v>
      </c>
      <c r="J3138" s="41"/>
      <c r="K3138" s="41">
        <v>43496</v>
      </c>
      <c r="L3138" s="69" t="s">
        <v>80</v>
      </c>
      <c r="M3138" s="69" t="s">
        <v>286</v>
      </c>
      <c r="N3138" s="95"/>
      <c r="P3138" t="s">
        <v>95</v>
      </c>
      <c r="Q3138" t="s">
        <v>110</v>
      </c>
      <c r="R3138" s="92" t="s">
        <v>69</v>
      </c>
      <c r="S3138" s="92" t="s">
        <v>115</v>
      </c>
      <c r="V3138" s="95">
        <v>43496</v>
      </c>
      <c r="W3138" s="104" t="s">
        <v>398</v>
      </c>
      <c r="X3138" s="90"/>
      <c r="Y3138" s="123"/>
      <c r="Z3138" s="30">
        <f t="shared" si="96"/>
        <v>6763.7822038320437</v>
      </c>
      <c r="AA3138" s="30">
        <f t="shared" si="97"/>
        <v>0</v>
      </c>
      <c r="AB3138" t="s">
        <v>457</v>
      </c>
    </row>
    <row r="3139" spans="1:28">
      <c r="A3139" t="s">
        <v>113</v>
      </c>
      <c r="C3139" s="104">
        <v>4615480457</v>
      </c>
      <c r="D3139" s="105">
        <v>19175</v>
      </c>
      <c r="F3139" s="97">
        <v>16</v>
      </c>
      <c r="G3139" s="91">
        <v>0</v>
      </c>
      <c r="H3139" s="94">
        <v>0</v>
      </c>
      <c r="I3139" s="91">
        <v>0</v>
      </c>
      <c r="J3139" s="41"/>
      <c r="K3139" s="41">
        <v>43496</v>
      </c>
      <c r="L3139" s="69" t="s">
        <v>80</v>
      </c>
      <c r="M3139" s="69" t="s">
        <v>286</v>
      </c>
      <c r="N3139" s="95"/>
      <c r="P3139" t="s">
        <v>95</v>
      </c>
      <c r="Q3139" t="s">
        <v>110</v>
      </c>
      <c r="R3139" s="92" t="s">
        <v>69</v>
      </c>
      <c r="S3139" s="92" t="s">
        <v>115</v>
      </c>
      <c r="V3139" s="95">
        <v>43496</v>
      </c>
      <c r="W3139" s="104" t="s">
        <v>398</v>
      </c>
      <c r="X3139" s="90"/>
      <c r="Y3139" s="123"/>
      <c r="Z3139" s="30">
        <f t="shared" ref="Z3139:Z3202" si="98">CONVERT(D3139,"kg","lbm")*F3139/100</f>
        <v>6763.7822038320437</v>
      </c>
      <c r="AA3139" s="30">
        <f t="shared" ref="AA3139:AA3202" si="99">CONVERT(D3139,"kg","lbm")*G3139/100</f>
        <v>0</v>
      </c>
      <c r="AB3139" t="s">
        <v>457</v>
      </c>
    </row>
    <row r="3140" spans="1:28">
      <c r="A3140" t="s">
        <v>113</v>
      </c>
      <c r="C3140" s="104">
        <v>4615480457</v>
      </c>
      <c r="D3140" s="105">
        <v>19175</v>
      </c>
      <c r="F3140" s="97">
        <v>16</v>
      </c>
      <c r="G3140" s="91">
        <v>0</v>
      </c>
      <c r="H3140" s="94">
        <v>0</v>
      </c>
      <c r="I3140" s="91">
        <v>0</v>
      </c>
      <c r="J3140" s="41"/>
      <c r="K3140" s="41">
        <v>43496</v>
      </c>
      <c r="L3140" s="69" t="s">
        <v>80</v>
      </c>
      <c r="M3140" s="69" t="s">
        <v>286</v>
      </c>
      <c r="N3140" s="95"/>
      <c r="P3140" t="s">
        <v>95</v>
      </c>
      <c r="Q3140" t="s">
        <v>110</v>
      </c>
      <c r="R3140" s="92" t="s">
        <v>69</v>
      </c>
      <c r="S3140" s="92" t="s">
        <v>115</v>
      </c>
      <c r="V3140" s="95">
        <v>43496</v>
      </c>
      <c r="W3140" s="104" t="s">
        <v>398</v>
      </c>
      <c r="X3140" s="90"/>
      <c r="Y3140" s="123"/>
      <c r="Z3140" s="30">
        <f t="shared" si="98"/>
        <v>6763.7822038320437</v>
      </c>
      <c r="AA3140" s="30">
        <f t="shared" si="99"/>
        <v>0</v>
      </c>
      <c r="AB3140" t="s">
        <v>457</v>
      </c>
    </row>
    <row r="3141" spans="1:28">
      <c r="A3141" t="s">
        <v>113</v>
      </c>
      <c r="C3141" s="104">
        <v>4615480457</v>
      </c>
      <c r="D3141" s="105">
        <v>19175</v>
      </c>
      <c r="F3141" s="97">
        <v>16</v>
      </c>
      <c r="G3141" s="91">
        <v>0</v>
      </c>
      <c r="H3141" s="94">
        <v>0</v>
      </c>
      <c r="I3141" s="91">
        <v>0</v>
      </c>
      <c r="J3141" s="41"/>
      <c r="K3141" s="41">
        <v>43496</v>
      </c>
      <c r="L3141" s="69" t="s">
        <v>80</v>
      </c>
      <c r="M3141" s="69" t="s">
        <v>286</v>
      </c>
      <c r="N3141" s="95"/>
      <c r="P3141" t="s">
        <v>95</v>
      </c>
      <c r="Q3141" t="s">
        <v>110</v>
      </c>
      <c r="R3141" s="92" t="s">
        <v>69</v>
      </c>
      <c r="S3141" s="92" t="s">
        <v>115</v>
      </c>
      <c r="V3141" s="95">
        <v>43496</v>
      </c>
      <c r="W3141" s="104" t="s">
        <v>398</v>
      </c>
      <c r="X3141" s="90"/>
      <c r="Y3141" s="123"/>
      <c r="Z3141" s="30">
        <f t="shared" si="98"/>
        <v>6763.7822038320437</v>
      </c>
      <c r="AA3141" s="30">
        <f t="shared" si="99"/>
        <v>0</v>
      </c>
      <c r="AB3141" t="s">
        <v>457</v>
      </c>
    </row>
    <row r="3142" spans="1:28">
      <c r="A3142" t="s">
        <v>113</v>
      </c>
      <c r="C3142" s="104">
        <v>4615480457</v>
      </c>
      <c r="D3142" s="105">
        <v>19175</v>
      </c>
      <c r="F3142" s="97">
        <v>16</v>
      </c>
      <c r="G3142" s="91">
        <v>0</v>
      </c>
      <c r="H3142" s="94">
        <v>0</v>
      </c>
      <c r="I3142" s="91">
        <v>0</v>
      </c>
      <c r="J3142" s="41"/>
      <c r="K3142" s="41">
        <v>43496</v>
      </c>
      <c r="L3142" s="69" t="s">
        <v>80</v>
      </c>
      <c r="M3142" s="69" t="s">
        <v>286</v>
      </c>
      <c r="N3142" s="95"/>
      <c r="P3142" t="s">
        <v>95</v>
      </c>
      <c r="Q3142" t="s">
        <v>110</v>
      </c>
      <c r="R3142" s="92" t="s">
        <v>69</v>
      </c>
      <c r="S3142" s="92" t="s">
        <v>115</v>
      </c>
      <c r="V3142" s="95">
        <v>43496</v>
      </c>
      <c r="W3142" s="104" t="s">
        <v>398</v>
      </c>
      <c r="X3142" s="90"/>
      <c r="Y3142" s="123"/>
      <c r="Z3142" s="30">
        <f t="shared" si="98"/>
        <v>6763.7822038320437</v>
      </c>
      <c r="AA3142" s="30">
        <f t="shared" si="99"/>
        <v>0</v>
      </c>
      <c r="AB3142" t="s">
        <v>457</v>
      </c>
    </row>
    <row r="3143" spans="1:28">
      <c r="A3143" t="s">
        <v>113</v>
      </c>
      <c r="C3143" s="104">
        <v>4615480457</v>
      </c>
      <c r="D3143" s="105">
        <v>19175</v>
      </c>
      <c r="F3143" s="97">
        <v>16</v>
      </c>
      <c r="G3143" s="91">
        <v>0</v>
      </c>
      <c r="H3143" s="94">
        <v>0</v>
      </c>
      <c r="I3143" s="91">
        <v>0</v>
      </c>
      <c r="J3143" s="41"/>
      <c r="K3143" s="41">
        <v>43496</v>
      </c>
      <c r="L3143" s="69" t="s">
        <v>80</v>
      </c>
      <c r="M3143" s="69" t="s">
        <v>286</v>
      </c>
      <c r="N3143" s="95"/>
      <c r="P3143" t="s">
        <v>95</v>
      </c>
      <c r="Q3143" t="s">
        <v>110</v>
      </c>
      <c r="R3143" s="92" t="s">
        <v>69</v>
      </c>
      <c r="S3143" s="92" t="s">
        <v>115</v>
      </c>
      <c r="V3143" s="95">
        <v>43496</v>
      </c>
      <c r="W3143" s="104" t="s">
        <v>398</v>
      </c>
      <c r="X3143" s="90"/>
      <c r="Y3143" s="123"/>
      <c r="Z3143" s="30">
        <f t="shared" si="98"/>
        <v>6763.7822038320437</v>
      </c>
      <c r="AA3143" s="30">
        <f t="shared" si="99"/>
        <v>0</v>
      </c>
      <c r="AB3143" t="s">
        <v>457</v>
      </c>
    </row>
    <row r="3144" spans="1:28">
      <c r="A3144" t="s">
        <v>113</v>
      </c>
      <c r="C3144" s="104">
        <v>4615480457</v>
      </c>
      <c r="D3144" s="105">
        <v>19175</v>
      </c>
      <c r="F3144" s="97">
        <v>16</v>
      </c>
      <c r="G3144" s="91">
        <v>0</v>
      </c>
      <c r="H3144" s="94">
        <v>0</v>
      </c>
      <c r="I3144" s="91">
        <v>0</v>
      </c>
      <c r="J3144" s="41"/>
      <c r="K3144" s="41">
        <v>43496</v>
      </c>
      <c r="L3144" s="69" t="s">
        <v>80</v>
      </c>
      <c r="M3144" s="69" t="s">
        <v>286</v>
      </c>
      <c r="N3144" s="95"/>
      <c r="P3144" t="s">
        <v>95</v>
      </c>
      <c r="Q3144" t="s">
        <v>110</v>
      </c>
      <c r="R3144" s="92" t="s">
        <v>69</v>
      </c>
      <c r="S3144" s="92" t="s">
        <v>115</v>
      </c>
      <c r="V3144" s="95">
        <v>43496</v>
      </c>
      <c r="W3144" s="104" t="s">
        <v>398</v>
      </c>
      <c r="X3144" s="90"/>
      <c r="Y3144" s="123"/>
      <c r="Z3144" s="30">
        <f t="shared" si="98"/>
        <v>6763.7822038320437</v>
      </c>
      <c r="AA3144" s="30">
        <f t="shared" si="99"/>
        <v>0</v>
      </c>
      <c r="AB3144" t="s">
        <v>457</v>
      </c>
    </row>
    <row r="3145" spans="1:28">
      <c r="A3145" t="s">
        <v>113</v>
      </c>
      <c r="C3145" s="104">
        <v>4615480457</v>
      </c>
      <c r="D3145" s="105">
        <v>19175</v>
      </c>
      <c r="F3145" s="97">
        <v>16</v>
      </c>
      <c r="G3145" s="91">
        <v>0</v>
      </c>
      <c r="H3145" s="94">
        <v>0</v>
      </c>
      <c r="I3145" s="91">
        <v>0</v>
      </c>
      <c r="J3145" s="41"/>
      <c r="K3145" s="41">
        <v>43496</v>
      </c>
      <c r="L3145" s="69" t="s">
        <v>80</v>
      </c>
      <c r="M3145" s="69" t="s">
        <v>286</v>
      </c>
      <c r="N3145" s="95"/>
      <c r="P3145" t="s">
        <v>95</v>
      </c>
      <c r="Q3145" t="s">
        <v>110</v>
      </c>
      <c r="R3145" s="92" t="s">
        <v>69</v>
      </c>
      <c r="S3145" s="92" t="s">
        <v>115</v>
      </c>
      <c r="V3145" s="95">
        <v>43496</v>
      </c>
      <c r="W3145" s="104" t="s">
        <v>398</v>
      </c>
      <c r="X3145" s="90"/>
      <c r="Y3145" s="123"/>
      <c r="Z3145" s="30">
        <f t="shared" si="98"/>
        <v>6763.7822038320437</v>
      </c>
      <c r="AA3145" s="30">
        <f t="shared" si="99"/>
        <v>0</v>
      </c>
      <c r="AB3145" t="s">
        <v>457</v>
      </c>
    </row>
    <row r="3146" spans="1:28">
      <c r="A3146" t="s">
        <v>113</v>
      </c>
      <c r="C3146" s="104">
        <v>4615480457</v>
      </c>
      <c r="D3146" s="105">
        <v>19175</v>
      </c>
      <c r="F3146" s="97">
        <v>16</v>
      </c>
      <c r="G3146" s="91">
        <v>0</v>
      </c>
      <c r="H3146" s="94">
        <v>0</v>
      </c>
      <c r="I3146" s="91">
        <v>0</v>
      </c>
      <c r="J3146" s="41"/>
      <c r="K3146" s="41">
        <v>43496</v>
      </c>
      <c r="L3146" s="69" t="s">
        <v>80</v>
      </c>
      <c r="M3146" s="69" t="s">
        <v>286</v>
      </c>
      <c r="N3146" s="95"/>
      <c r="P3146" t="s">
        <v>95</v>
      </c>
      <c r="Q3146" t="s">
        <v>110</v>
      </c>
      <c r="R3146" s="92" t="s">
        <v>69</v>
      </c>
      <c r="S3146" s="92" t="s">
        <v>115</v>
      </c>
      <c r="V3146" s="95">
        <v>43496</v>
      </c>
      <c r="W3146" s="104" t="s">
        <v>398</v>
      </c>
      <c r="X3146" s="90"/>
      <c r="Y3146" s="123"/>
      <c r="Z3146" s="30">
        <f t="shared" si="98"/>
        <v>6763.7822038320437</v>
      </c>
      <c r="AA3146" s="30">
        <f t="shared" si="99"/>
        <v>0</v>
      </c>
      <c r="AB3146" t="s">
        <v>457</v>
      </c>
    </row>
    <row r="3147" spans="1:28">
      <c r="A3147" t="s">
        <v>113</v>
      </c>
      <c r="C3147" s="104">
        <v>4615480457</v>
      </c>
      <c r="D3147" s="105">
        <v>19175</v>
      </c>
      <c r="F3147" s="97">
        <v>16</v>
      </c>
      <c r="G3147" s="91">
        <v>0</v>
      </c>
      <c r="H3147" s="94">
        <v>0</v>
      </c>
      <c r="I3147" s="91">
        <v>0</v>
      </c>
      <c r="J3147" s="41"/>
      <c r="K3147" s="41">
        <v>43496</v>
      </c>
      <c r="L3147" s="69" t="s">
        <v>80</v>
      </c>
      <c r="M3147" s="69" t="s">
        <v>286</v>
      </c>
      <c r="N3147" s="95"/>
      <c r="P3147" t="s">
        <v>95</v>
      </c>
      <c r="Q3147" t="s">
        <v>110</v>
      </c>
      <c r="R3147" s="92" t="s">
        <v>69</v>
      </c>
      <c r="S3147" s="92" t="s">
        <v>115</v>
      </c>
      <c r="V3147" s="95">
        <v>43496</v>
      </c>
      <c r="W3147" s="104" t="s">
        <v>398</v>
      </c>
      <c r="X3147" s="90"/>
      <c r="Y3147" s="123"/>
      <c r="Z3147" s="30">
        <f t="shared" si="98"/>
        <v>6763.7822038320437</v>
      </c>
      <c r="AA3147" s="30">
        <f t="shared" si="99"/>
        <v>0</v>
      </c>
      <c r="AB3147" t="s">
        <v>457</v>
      </c>
    </row>
    <row r="3148" spans="1:28">
      <c r="A3148" t="s">
        <v>113</v>
      </c>
      <c r="C3148" s="104">
        <v>4615480457</v>
      </c>
      <c r="D3148" s="105">
        <v>19175</v>
      </c>
      <c r="F3148" s="97">
        <v>16</v>
      </c>
      <c r="G3148" s="91">
        <v>0</v>
      </c>
      <c r="H3148" s="94">
        <v>0</v>
      </c>
      <c r="I3148" s="91">
        <v>0</v>
      </c>
      <c r="J3148" s="41"/>
      <c r="K3148" s="41">
        <v>43496</v>
      </c>
      <c r="L3148" s="69" t="s">
        <v>80</v>
      </c>
      <c r="M3148" s="69" t="s">
        <v>286</v>
      </c>
      <c r="N3148" s="95"/>
      <c r="P3148" t="s">
        <v>95</v>
      </c>
      <c r="Q3148" t="s">
        <v>110</v>
      </c>
      <c r="R3148" s="92" t="s">
        <v>69</v>
      </c>
      <c r="S3148" s="92" t="s">
        <v>115</v>
      </c>
      <c r="V3148" s="95">
        <v>43496</v>
      </c>
      <c r="W3148" s="104" t="s">
        <v>398</v>
      </c>
      <c r="X3148" s="90"/>
      <c r="Y3148" s="123"/>
      <c r="Z3148" s="30">
        <f t="shared" si="98"/>
        <v>6763.7822038320437</v>
      </c>
      <c r="AA3148" s="30">
        <f t="shared" si="99"/>
        <v>0</v>
      </c>
      <c r="AB3148" t="s">
        <v>457</v>
      </c>
    </row>
    <row r="3149" spans="1:28">
      <c r="A3149" t="s">
        <v>113</v>
      </c>
      <c r="C3149" s="104">
        <v>4615480457</v>
      </c>
      <c r="D3149" s="105">
        <v>19175</v>
      </c>
      <c r="F3149" s="97">
        <v>16</v>
      </c>
      <c r="G3149" s="91">
        <v>0</v>
      </c>
      <c r="H3149" s="94">
        <v>0</v>
      </c>
      <c r="I3149" s="91">
        <v>0</v>
      </c>
      <c r="J3149" s="41"/>
      <c r="K3149" s="41">
        <v>43496</v>
      </c>
      <c r="L3149" s="69" t="s">
        <v>80</v>
      </c>
      <c r="M3149" s="69" t="s">
        <v>286</v>
      </c>
      <c r="N3149" s="95"/>
      <c r="P3149" t="s">
        <v>95</v>
      </c>
      <c r="Q3149" t="s">
        <v>110</v>
      </c>
      <c r="R3149" s="92" t="s">
        <v>69</v>
      </c>
      <c r="S3149" s="92" t="s">
        <v>115</v>
      </c>
      <c r="V3149" s="95">
        <v>43496</v>
      </c>
      <c r="W3149" s="104" t="s">
        <v>398</v>
      </c>
      <c r="X3149" s="90"/>
      <c r="Y3149" s="123"/>
      <c r="Z3149" s="30">
        <f t="shared" si="98"/>
        <v>6763.7822038320437</v>
      </c>
      <c r="AA3149" s="30">
        <f t="shared" si="99"/>
        <v>0</v>
      </c>
      <c r="AB3149" t="s">
        <v>457</v>
      </c>
    </row>
    <row r="3150" spans="1:28">
      <c r="A3150" t="s">
        <v>113</v>
      </c>
      <c r="C3150" s="104">
        <v>4615480457</v>
      </c>
      <c r="D3150" s="105">
        <v>19175</v>
      </c>
      <c r="F3150" s="97">
        <v>16</v>
      </c>
      <c r="G3150" s="91">
        <v>0</v>
      </c>
      <c r="H3150" s="94">
        <v>0</v>
      </c>
      <c r="I3150" s="91">
        <v>0</v>
      </c>
      <c r="J3150" s="41"/>
      <c r="K3150" s="41">
        <v>43496</v>
      </c>
      <c r="L3150" s="69" t="s">
        <v>80</v>
      </c>
      <c r="M3150" s="69" t="s">
        <v>286</v>
      </c>
      <c r="N3150" s="95"/>
      <c r="P3150" t="s">
        <v>95</v>
      </c>
      <c r="Q3150" t="s">
        <v>110</v>
      </c>
      <c r="R3150" s="92" t="s">
        <v>69</v>
      </c>
      <c r="S3150" s="92" t="s">
        <v>115</v>
      </c>
      <c r="V3150" s="95">
        <v>43496</v>
      </c>
      <c r="W3150" s="104" t="s">
        <v>398</v>
      </c>
      <c r="X3150" s="90"/>
      <c r="Y3150" s="123"/>
      <c r="Z3150" s="30">
        <f t="shared" si="98"/>
        <v>6763.7822038320437</v>
      </c>
      <c r="AA3150" s="30">
        <f t="shared" si="99"/>
        <v>0</v>
      </c>
      <c r="AB3150" t="s">
        <v>457</v>
      </c>
    </row>
    <row r="3151" spans="1:28">
      <c r="A3151" t="s">
        <v>113</v>
      </c>
      <c r="C3151" s="104">
        <v>4615480457</v>
      </c>
      <c r="D3151" s="105">
        <v>19175</v>
      </c>
      <c r="F3151" s="97">
        <v>16</v>
      </c>
      <c r="G3151" s="91">
        <v>0</v>
      </c>
      <c r="H3151" s="94">
        <v>0</v>
      </c>
      <c r="I3151" s="91">
        <v>0</v>
      </c>
      <c r="J3151" s="41"/>
      <c r="K3151" s="41">
        <v>43496</v>
      </c>
      <c r="L3151" s="69" t="s">
        <v>80</v>
      </c>
      <c r="M3151" s="69" t="s">
        <v>286</v>
      </c>
      <c r="N3151" s="95"/>
      <c r="P3151" t="s">
        <v>95</v>
      </c>
      <c r="Q3151" t="s">
        <v>110</v>
      </c>
      <c r="R3151" s="92" t="s">
        <v>69</v>
      </c>
      <c r="S3151" s="92" t="s">
        <v>115</v>
      </c>
      <c r="V3151" s="95">
        <v>43496</v>
      </c>
      <c r="W3151" s="104" t="s">
        <v>398</v>
      </c>
      <c r="X3151" s="90"/>
      <c r="Y3151" s="123"/>
      <c r="Z3151" s="30">
        <f t="shared" si="98"/>
        <v>6763.7822038320437</v>
      </c>
      <c r="AA3151" s="30">
        <f t="shared" si="99"/>
        <v>0</v>
      </c>
      <c r="AB3151" t="s">
        <v>457</v>
      </c>
    </row>
    <row r="3152" spans="1:28">
      <c r="A3152" t="s">
        <v>113</v>
      </c>
      <c r="C3152" s="104">
        <v>4615480457</v>
      </c>
      <c r="D3152" s="105">
        <v>19175</v>
      </c>
      <c r="F3152" s="97">
        <v>16</v>
      </c>
      <c r="G3152" s="91">
        <v>0</v>
      </c>
      <c r="H3152" s="94">
        <v>0</v>
      </c>
      <c r="I3152" s="91">
        <v>0</v>
      </c>
      <c r="J3152" s="41"/>
      <c r="K3152" s="41">
        <v>43496</v>
      </c>
      <c r="L3152" s="69" t="s">
        <v>80</v>
      </c>
      <c r="M3152" s="69" t="s">
        <v>286</v>
      </c>
      <c r="N3152" s="95"/>
      <c r="P3152" t="s">
        <v>95</v>
      </c>
      <c r="Q3152" t="s">
        <v>110</v>
      </c>
      <c r="R3152" s="92" t="s">
        <v>69</v>
      </c>
      <c r="S3152" s="92" t="s">
        <v>115</v>
      </c>
      <c r="V3152" s="95">
        <v>43496</v>
      </c>
      <c r="W3152" s="104" t="s">
        <v>398</v>
      </c>
      <c r="X3152" s="90"/>
      <c r="Y3152" s="123"/>
      <c r="Z3152" s="30">
        <f t="shared" si="98"/>
        <v>6763.7822038320437</v>
      </c>
      <c r="AA3152" s="30">
        <f t="shared" si="99"/>
        <v>0</v>
      </c>
      <c r="AB3152" t="s">
        <v>457</v>
      </c>
    </row>
    <row r="3153" spans="1:28">
      <c r="A3153" t="s">
        <v>113</v>
      </c>
      <c r="C3153" s="104">
        <v>4615480457</v>
      </c>
      <c r="D3153" s="105">
        <v>19175</v>
      </c>
      <c r="F3153" s="97">
        <v>16</v>
      </c>
      <c r="G3153" s="91">
        <v>0</v>
      </c>
      <c r="H3153" s="94">
        <v>0</v>
      </c>
      <c r="I3153" s="91">
        <v>0</v>
      </c>
      <c r="J3153" s="41"/>
      <c r="K3153" s="41">
        <v>43496</v>
      </c>
      <c r="L3153" s="69" t="s">
        <v>80</v>
      </c>
      <c r="M3153" s="69" t="s">
        <v>286</v>
      </c>
      <c r="N3153" s="95"/>
      <c r="P3153" t="s">
        <v>95</v>
      </c>
      <c r="Q3153" t="s">
        <v>110</v>
      </c>
      <c r="R3153" s="92" t="s">
        <v>69</v>
      </c>
      <c r="S3153" s="92" t="s">
        <v>115</v>
      </c>
      <c r="V3153" s="95">
        <v>43496</v>
      </c>
      <c r="W3153" s="104" t="s">
        <v>398</v>
      </c>
      <c r="X3153" s="90"/>
      <c r="Y3153" s="123"/>
      <c r="Z3153" s="30">
        <f t="shared" si="98"/>
        <v>6763.7822038320437</v>
      </c>
      <c r="AA3153" s="30">
        <f t="shared" si="99"/>
        <v>0</v>
      </c>
      <c r="AB3153" t="s">
        <v>457</v>
      </c>
    </row>
    <row r="3154" spans="1:28">
      <c r="A3154" t="s">
        <v>113</v>
      </c>
      <c r="C3154" s="92">
        <v>4615466871</v>
      </c>
      <c r="D3154" s="93">
        <v>19175</v>
      </c>
      <c r="F3154" s="91">
        <v>16</v>
      </c>
      <c r="G3154" s="91">
        <v>0</v>
      </c>
      <c r="H3154" s="91">
        <v>0</v>
      </c>
      <c r="I3154" s="91">
        <v>0</v>
      </c>
      <c r="J3154" s="41"/>
      <c r="K3154" s="41">
        <v>43496</v>
      </c>
      <c r="L3154" s="69" t="s">
        <v>80</v>
      </c>
      <c r="M3154" s="69" t="s">
        <v>286</v>
      </c>
      <c r="N3154" s="95"/>
      <c r="P3154" t="s">
        <v>95</v>
      </c>
      <c r="Q3154" t="s">
        <v>110</v>
      </c>
      <c r="R3154" s="92" t="s">
        <v>69</v>
      </c>
      <c r="S3154" s="92" t="s">
        <v>115</v>
      </c>
      <c r="V3154" s="95">
        <v>43496</v>
      </c>
      <c r="W3154" s="92" t="s">
        <v>399</v>
      </c>
      <c r="X3154" s="90"/>
      <c r="Y3154" s="123"/>
      <c r="Z3154" s="30">
        <f t="shared" si="98"/>
        <v>6763.7822038320437</v>
      </c>
      <c r="AA3154" s="30">
        <f t="shared" si="99"/>
        <v>0</v>
      </c>
      <c r="AB3154" t="s">
        <v>457</v>
      </c>
    </row>
    <row r="3155" spans="1:28">
      <c r="A3155" t="s">
        <v>113</v>
      </c>
      <c r="C3155" s="92">
        <v>4615466871</v>
      </c>
      <c r="D3155" s="93">
        <v>19175</v>
      </c>
      <c r="F3155" s="91">
        <v>16</v>
      </c>
      <c r="G3155" s="91">
        <v>0</v>
      </c>
      <c r="H3155" s="91">
        <v>0</v>
      </c>
      <c r="I3155" s="91">
        <v>0</v>
      </c>
      <c r="J3155" s="41"/>
      <c r="K3155" s="41">
        <v>43496</v>
      </c>
      <c r="L3155" s="69" t="s">
        <v>80</v>
      </c>
      <c r="M3155" s="69" t="s">
        <v>286</v>
      </c>
      <c r="N3155" s="95"/>
      <c r="P3155" t="s">
        <v>95</v>
      </c>
      <c r="Q3155" t="s">
        <v>110</v>
      </c>
      <c r="R3155" s="92" t="s">
        <v>69</v>
      </c>
      <c r="S3155" s="92" t="s">
        <v>115</v>
      </c>
      <c r="V3155" s="95">
        <v>43496</v>
      </c>
      <c r="W3155" s="92" t="s">
        <v>399</v>
      </c>
      <c r="X3155" s="90"/>
      <c r="Y3155" s="123"/>
      <c r="Z3155" s="30">
        <f t="shared" si="98"/>
        <v>6763.7822038320437</v>
      </c>
      <c r="AA3155" s="30">
        <f t="shared" si="99"/>
        <v>0</v>
      </c>
      <c r="AB3155" t="s">
        <v>457</v>
      </c>
    </row>
    <row r="3156" spans="1:28">
      <c r="A3156" t="s">
        <v>113</v>
      </c>
      <c r="C3156" s="92">
        <v>4615466871</v>
      </c>
      <c r="D3156" s="93">
        <v>19175</v>
      </c>
      <c r="F3156" s="91">
        <v>16</v>
      </c>
      <c r="G3156" s="91">
        <v>0</v>
      </c>
      <c r="H3156" s="91">
        <v>0</v>
      </c>
      <c r="I3156" s="91">
        <v>0</v>
      </c>
      <c r="J3156" s="41"/>
      <c r="K3156" s="41">
        <v>43496</v>
      </c>
      <c r="L3156" s="69" t="s">
        <v>80</v>
      </c>
      <c r="M3156" s="69" t="s">
        <v>286</v>
      </c>
      <c r="N3156" s="95"/>
      <c r="P3156" t="s">
        <v>95</v>
      </c>
      <c r="Q3156" t="s">
        <v>110</v>
      </c>
      <c r="R3156" s="92" t="s">
        <v>69</v>
      </c>
      <c r="S3156" s="92" t="s">
        <v>115</v>
      </c>
      <c r="V3156" s="95">
        <v>43496</v>
      </c>
      <c r="W3156" s="92" t="s">
        <v>399</v>
      </c>
      <c r="X3156" s="90"/>
      <c r="Y3156" s="123"/>
      <c r="Z3156" s="30">
        <f t="shared" si="98"/>
        <v>6763.7822038320437</v>
      </c>
      <c r="AA3156" s="30">
        <f t="shared" si="99"/>
        <v>0</v>
      </c>
      <c r="AB3156" t="s">
        <v>457</v>
      </c>
    </row>
    <row r="3157" spans="1:28">
      <c r="A3157" t="s">
        <v>113</v>
      </c>
      <c r="C3157" s="92">
        <v>4615466871</v>
      </c>
      <c r="D3157" s="93">
        <v>19175</v>
      </c>
      <c r="F3157" s="91">
        <v>16</v>
      </c>
      <c r="G3157" s="91">
        <v>0</v>
      </c>
      <c r="H3157" s="91">
        <v>0</v>
      </c>
      <c r="I3157" s="91">
        <v>0</v>
      </c>
      <c r="J3157" s="41"/>
      <c r="K3157" s="41">
        <v>43496</v>
      </c>
      <c r="L3157" s="69" t="s">
        <v>80</v>
      </c>
      <c r="M3157" s="69" t="s">
        <v>286</v>
      </c>
      <c r="N3157" s="95"/>
      <c r="P3157" t="s">
        <v>95</v>
      </c>
      <c r="Q3157" t="s">
        <v>110</v>
      </c>
      <c r="R3157" s="92" t="s">
        <v>69</v>
      </c>
      <c r="S3157" s="92" t="s">
        <v>115</v>
      </c>
      <c r="V3157" s="95">
        <v>43496</v>
      </c>
      <c r="W3157" s="92" t="s">
        <v>399</v>
      </c>
      <c r="X3157" s="90"/>
      <c r="Y3157" s="123"/>
      <c r="Z3157" s="30">
        <f t="shared" si="98"/>
        <v>6763.7822038320437</v>
      </c>
      <c r="AA3157" s="30">
        <f t="shared" si="99"/>
        <v>0</v>
      </c>
      <c r="AB3157" t="s">
        <v>457</v>
      </c>
    </row>
    <row r="3158" spans="1:28">
      <c r="A3158" t="s">
        <v>113</v>
      </c>
      <c r="C3158" s="92">
        <v>4615466871</v>
      </c>
      <c r="D3158" s="93">
        <v>19175</v>
      </c>
      <c r="F3158" s="91">
        <v>16</v>
      </c>
      <c r="G3158" s="91">
        <v>0</v>
      </c>
      <c r="H3158" s="91">
        <v>0</v>
      </c>
      <c r="I3158" s="91">
        <v>0</v>
      </c>
      <c r="J3158" s="41"/>
      <c r="K3158" s="41">
        <v>43496</v>
      </c>
      <c r="L3158" s="69" t="s">
        <v>80</v>
      </c>
      <c r="M3158" s="69" t="s">
        <v>286</v>
      </c>
      <c r="N3158" s="95"/>
      <c r="P3158" t="s">
        <v>95</v>
      </c>
      <c r="Q3158" t="s">
        <v>110</v>
      </c>
      <c r="R3158" s="92" t="s">
        <v>69</v>
      </c>
      <c r="S3158" s="92" t="s">
        <v>115</v>
      </c>
      <c r="V3158" s="95">
        <v>43496</v>
      </c>
      <c r="W3158" s="92" t="s">
        <v>399</v>
      </c>
      <c r="X3158" s="90"/>
      <c r="Y3158" s="123"/>
      <c r="Z3158" s="30">
        <f t="shared" si="98"/>
        <v>6763.7822038320437</v>
      </c>
      <c r="AA3158" s="30">
        <f t="shared" si="99"/>
        <v>0</v>
      </c>
      <c r="AB3158" t="s">
        <v>457</v>
      </c>
    </row>
    <row r="3159" spans="1:28">
      <c r="A3159" t="s">
        <v>113</v>
      </c>
      <c r="C3159" s="92">
        <v>4615466871</v>
      </c>
      <c r="D3159" s="93">
        <v>19175</v>
      </c>
      <c r="F3159" s="91">
        <v>16</v>
      </c>
      <c r="G3159" s="91">
        <v>0</v>
      </c>
      <c r="H3159" s="91">
        <v>0</v>
      </c>
      <c r="I3159" s="91">
        <v>0</v>
      </c>
      <c r="J3159" s="41"/>
      <c r="K3159" s="41">
        <v>43496</v>
      </c>
      <c r="L3159" s="69" t="s">
        <v>80</v>
      </c>
      <c r="M3159" s="69" t="s">
        <v>286</v>
      </c>
      <c r="N3159" s="95"/>
      <c r="P3159" t="s">
        <v>95</v>
      </c>
      <c r="Q3159" t="s">
        <v>110</v>
      </c>
      <c r="R3159" s="92" t="s">
        <v>69</v>
      </c>
      <c r="S3159" s="92" t="s">
        <v>115</v>
      </c>
      <c r="V3159" s="95">
        <v>43496</v>
      </c>
      <c r="W3159" s="92" t="s">
        <v>399</v>
      </c>
      <c r="X3159" s="90"/>
      <c r="Y3159" s="123"/>
      <c r="Z3159" s="30">
        <f t="shared" si="98"/>
        <v>6763.7822038320437</v>
      </c>
      <c r="AA3159" s="30">
        <f t="shared" si="99"/>
        <v>0</v>
      </c>
      <c r="AB3159" t="s">
        <v>457</v>
      </c>
    </row>
    <row r="3160" spans="1:28">
      <c r="A3160" t="s">
        <v>113</v>
      </c>
      <c r="C3160" s="92">
        <v>4615466871</v>
      </c>
      <c r="D3160" s="93">
        <v>19175</v>
      </c>
      <c r="F3160" s="91">
        <v>16</v>
      </c>
      <c r="G3160" s="91">
        <v>0</v>
      </c>
      <c r="H3160" s="91">
        <v>0</v>
      </c>
      <c r="I3160" s="91">
        <v>0</v>
      </c>
      <c r="J3160" s="41"/>
      <c r="K3160" s="41">
        <v>43496</v>
      </c>
      <c r="L3160" s="69" t="s">
        <v>80</v>
      </c>
      <c r="M3160" s="69" t="s">
        <v>286</v>
      </c>
      <c r="N3160" s="95"/>
      <c r="P3160" t="s">
        <v>95</v>
      </c>
      <c r="Q3160" t="s">
        <v>110</v>
      </c>
      <c r="R3160" s="92" t="s">
        <v>69</v>
      </c>
      <c r="S3160" s="92" t="s">
        <v>115</v>
      </c>
      <c r="V3160" s="95">
        <v>43496</v>
      </c>
      <c r="W3160" s="92" t="s">
        <v>399</v>
      </c>
      <c r="X3160" s="90"/>
      <c r="Y3160" s="123"/>
      <c r="Z3160" s="30">
        <f t="shared" si="98"/>
        <v>6763.7822038320437</v>
      </c>
      <c r="AA3160" s="30">
        <f t="shared" si="99"/>
        <v>0</v>
      </c>
      <c r="AB3160" t="s">
        <v>457</v>
      </c>
    </row>
    <row r="3161" spans="1:28">
      <c r="A3161" t="s">
        <v>113</v>
      </c>
      <c r="C3161" s="92">
        <v>4615466871</v>
      </c>
      <c r="D3161" s="93">
        <v>19175</v>
      </c>
      <c r="F3161" s="91">
        <v>16</v>
      </c>
      <c r="G3161" s="91">
        <v>0</v>
      </c>
      <c r="H3161" s="91">
        <v>0</v>
      </c>
      <c r="I3161" s="91">
        <v>0</v>
      </c>
      <c r="J3161" s="41"/>
      <c r="K3161" s="41">
        <v>43496</v>
      </c>
      <c r="L3161" s="69" t="s">
        <v>80</v>
      </c>
      <c r="M3161" s="69" t="s">
        <v>286</v>
      </c>
      <c r="N3161" s="95"/>
      <c r="P3161" t="s">
        <v>95</v>
      </c>
      <c r="Q3161" t="s">
        <v>110</v>
      </c>
      <c r="R3161" s="92" t="s">
        <v>69</v>
      </c>
      <c r="S3161" s="92" t="s">
        <v>115</v>
      </c>
      <c r="V3161" s="95">
        <v>43496</v>
      </c>
      <c r="W3161" s="92" t="s">
        <v>399</v>
      </c>
      <c r="X3161" s="90"/>
      <c r="Y3161" s="123"/>
      <c r="Z3161" s="30">
        <f t="shared" si="98"/>
        <v>6763.7822038320437</v>
      </c>
      <c r="AA3161" s="30">
        <f t="shared" si="99"/>
        <v>0</v>
      </c>
      <c r="AB3161" t="s">
        <v>457</v>
      </c>
    </row>
    <row r="3162" spans="1:28">
      <c r="A3162" t="s">
        <v>113</v>
      </c>
      <c r="C3162" s="92">
        <v>4615466871</v>
      </c>
      <c r="D3162" s="93">
        <v>19175</v>
      </c>
      <c r="F3162" s="91">
        <v>16</v>
      </c>
      <c r="G3162" s="91">
        <v>0</v>
      </c>
      <c r="H3162" s="91">
        <v>0</v>
      </c>
      <c r="I3162" s="91">
        <v>0</v>
      </c>
      <c r="J3162" s="41"/>
      <c r="K3162" s="41">
        <v>43496</v>
      </c>
      <c r="L3162" s="69" t="s">
        <v>80</v>
      </c>
      <c r="M3162" s="69" t="s">
        <v>286</v>
      </c>
      <c r="N3162" s="95"/>
      <c r="P3162" t="s">
        <v>95</v>
      </c>
      <c r="Q3162" t="s">
        <v>110</v>
      </c>
      <c r="R3162" s="92" t="s">
        <v>69</v>
      </c>
      <c r="S3162" s="92" t="s">
        <v>115</v>
      </c>
      <c r="V3162" s="95">
        <v>43496</v>
      </c>
      <c r="W3162" s="92" t="s">
        <v>399</v>
      </c>
      <c r="X3162" s="90"/>
      <c r="Y3162" s="123"/>
      <c r="Z3162" s="30">
        <f t="shared" si="98"/>
        <v>6763.7822038320437</v>
      </c>
      <c r="AA3162" s="30">
        <f t="shared" si="99"/>
        <v>0</v>
      </c>
      <c r="AB3162" t="s">
        <v>457</v>
      </c>
    </row>
    <row r="3163" spans="1:28">
      <c r="A3163" t="s">
        <v>113</v>
      </c>
      <c r="C3163" s="92">
        <v>4615466871</v>
      </c>
      <c r="D3163" s="93">
        <v>19175</v>
      </c>
      <c r="F3163" s="91">
        <v>16</v>
      </c>
      <c r="G3163" s="91">
        <v>0</v>
      </c>
      <c r="H3163" s="91">
        <v>0</v>
      </c>
      <c r="I3163" s="91">
        <v>0</v>
      </c>
      <c r="J3163" s="41"/>
      <c r="K3163" s="41">
        <v>43496</v>
      </c>
      <c r="L3163" s="69" t="s">
        <v>80</v>
      </c>
      <c r="M3163" s="69" t="s">
        <v>286</v>
      </c>
      <c r="N3163" s="95"/>
      <c r="P3163" t="s">
        <v>95</v>
      </c>
      <c r="Q3163" t="s">
        <v>110</v>
      </c>
      <c r="R3163" s="92" t="s">
        <v>69</v>
      </c>
      <c r="S3163" s="92" t="s">
        <v>115</v>
      </c>
      <c r="V3163" s="95">
        <v>43496</v>
      </c>
      <c r="W3163" s="92" t="s">
        <v>399</v>
      </c>
      <c r="X3163" s="90"/>
      <c r="Y3163" s="123"/>
      <c r="Z3163" s="30">
        <f t="shared" si="98"/>
        <v>6763.7822038320437</v>
      </c>
      <c r="AA3163" s="30">
        <f t="shared" si="99"/>
        <v>0</v>
      </c>
      <c r="AB3163" t="s">
        <v>457</v>
      </c>
    </row>
    <row r="3164" spans="1:28">
      <c r="A3164" t="s">
        <v>113</v>
      </c>
      <c r="C3164" s="92">
        <v>4615466871</v>
      </c>
      <c r="D3164" s="93">
        <v>19175</v>
      </c>
      <c r="F3164" s="91">
        <v>16</v>
      </c>
      <c r="G3164" s="91">
        <v>0</v>
      </c>
      <c r="H3164" s="91">
        <v>0</v>
      </c>
      <c r="I3164" s="91">
        <v>0</v>
      </c>
      <c r="J3164" s="41"/>
      <c r="K3164" s="41">
        <v>43496</v>
      </c>
      <c r="L3164" s="69" t="s">
        <v>80</v>
      </c>
      <c r="M3164" s="69" t="s">
        <v>286</v>
      </c>
      <c r="N3164" s="95"/>
      <c r="P3164" t="s">
        <v>95</v>
      </c>
      <c r="Q3164" t="s">
        <v>110</v>
      </c>
      <c r="R3164" s="92" t="s">
        <v>69</v>
      </c>
      <c r="S3164" s="92" t="s">
        <v>115</v>
      </c>
      <c r="V3164" s="95">
        <v>43496</v>
      </c>
      <c r="W3164" s="92" t="s">
        <v>399</v>
      </c>
      <c r="X3164" s="90"/>
      <c r="Y3164" s="123"/>
      <c r="Z3164" s="30">
        <f t="shared" si="98"/>
        <v>6763.7822038320437</v>
      </c>
      <c r="AA3164" s="30">
        <f t="shared" si="99"/>
        <v>0</v>
      </c>
      <c r="AB3164" t="s">
        <v>457</v>
      </c>
    </row>
    <row r="3165" spans="1:28">
      <c r="A3165" t="s">
        <v>113</v>
      </c>
      <c r="C3165" s="92">
        <v>4615466871</v>
      </c>
      <c r="D3165" s="93">
        <v>19175</v>
      </c>
      <c r="F3165" s="91">
        <v>16</v>
      </c>
      <c r="G3165" s="91">
        <v>0</v>
      </c>
      <c r="H3165" s="91">
        <v>0</v>
      </c>
      <c r="I3165" s="91">
        <v>0</v>
      </c>
      <c r="J3165" s="41"/>
      <c r="K3165" s="41">
        <v>43496</v>
      </c>
      <c r="L3165" s="69" t="s">
        <v>80</v>
      </c>
      <c r="M3165" s="69" t="s">
        <v>286</v>
      </c>
      <c r="N3165" s="95"/>
      <c r="P3165" t="s">
        <v>95</v>
      </c>
      <c r="Q3165" t="s">
        <v>110</v>
      </c>
      <c r="R3165" s="92" t="s">
        <v>69</v>
      </c>
      <c r="S3165" s="92" t="s">
        <v>115</v>
      </c>
      <c r="V3165" s="95">
        <v>43496</v>
      </c>
      <c r="W3165" s="92" t="s">
        <v>399</v>
      </c>
      <c r="X3165" s="90"/>
      <c r="Y3165" s="123"/>
      <c r="Z3165" s="30">
        <f t="shared" si="98"/>
        <v>6763.7822038320437</v>
      </c>
      <c r="AA3165" s="30">
        <f t="shared" si="99"/>
        <v>0</v>
      </c>
      <c r="AB3165" t="s">
        <v>457</v>
      </c>
    </row>
    <row r="3166" spans="1:28">
      <c r="A3166" t="s">
        <v>113</v>
      </c>
      <c r="C3166" s="92">
        <v>4615466871</v>
      </c>
      <c r="D3166" s="93">
        <v>19175</v>
      </c>
      <c r="F3166" s="91">
        <v>16</v>
      </c>
      <c r="G3166" s="91">
        <v>0</v>
      </c>
      <c r="H3166" s="91">
        <v>0</v>
      </c>
      <c r="I3166" s="91">
        <v>0</v>
      </c>
      <c r="J3166" s="41"/>
      <c r="K3166" s="41">
        <v>43496</v>
      </c>
      <c r="L3166" s="69" t="s">
        <v>80</v>
      </c>
      <c r="M3166" s="69" t="s">
        <v>286</v>
      </c>
      <c r="N3166" s="95"/>
      <c r="P3166" t="s">
        <v>95</v>
      </c>
      <c r="Q3166" t="s">
        <v>110</v>
      </c>
      <c r="R3166" s="92" t="s">
        <v>69</v>
      </c>
      <c r="S3166" s="92" t="s">
        <v>115</v>
      </c>
      <c r="V3166" s="95">
        <v>43496</v>
      </c>
      <c r="W3166" s="92" t="s">
        <v>399</v>
      </c>
      <c r="X3166" s="90"/>
      <c r="Y3166" s="123"/>
      <c r="Z3166" s="30">
        <f t="shared" si="98"/>
        <v>6763.7822038320437</v>
      </c>
      <c r="AA3166" s="30">
        <f t="shared" si="99"/>
        <v>0</v>
      </c>
      <c r="AB3166" t="s">
        <v>457</v>
      </c>
    </row>
    <row r="3167" spans="1:28">
      <c r="A3167" t="s">
        <v>113</v>
      </c>
      <c r="C3167" s="92">
        <v>4615466871</v>
      </c>
      <c r="D3167" s="93">
        <v>19175</v>
      </c>
      <c r="F3167" s="91">
        <v>16</v>
      </c>
      <c r="G3167" s="91">
        <v>0</v>
      </c>
      <c r="H3167" s="91">
        <v>0</v>
      </c>
      <c r="I3167" s="91">
        <v>0</v>
      </c>
      <c r="J3167" s="41"/>
      <c r="K3167" s="41">
        <v>43496</v>
      </c>
      <c r="L3167" s="69" t="s">
        <v>80</v>
      </c>
      <c r="M3167" s="69" t="s">
        <v>286</v>
      </c>
      <c r="N3167" s="95"/>
      <c r="P3167" t="s">
        <v>95</v>
      </c>
      <c r="Q3167" t="s">
        <v>110</v>
      </c>
      <c r="R3167" s="92" t="s">
        <v>69</v>
      </c>
      <c r="S3167" s="92" t="s">
        <v>115</v>
      </c>
      <c r="V3167" s="95">
        <v>43496</v>
      </c>
      <c r="W3167" s="92" t="s">
        <v>399</v>
      </c>
      <c r="X3167" s="90"/>
      <c r="Y3167" s="123"/>
      <c r="Z3167" s="30">
        <f t="shared" si="98"/>
        <v>6763.7822038320437</v>
      </c>
      <c r="AA3167" s="30">
        <f t="shared" si="99"/>
        <v>0</v>
      </c>
      <c r="AB3167" t="s">
        <v>457</v>
      </c>
    </row>
    <row r="3168" spans="1:28">
      <c r="A3168" t="s">
        <v>113</v>
      </c>
      <c r="C3168" s="92">
        <v>4615466871</v>
      </c>
      <c r="D3168" s="93">
        <v>19175</v>
      </c>
      <c r="F3168" s="91">
        <v>16</v>
      </c>
      <c r="G3168" s="91">
        <v>0</v>
      </c>
      <c r="H3168" s="91">
        <v>0</v>
      </c>
      <c r="I3168" s="91">
        <v>0</v>
      </c>
      <c r="J3168" s="41"/>
      <c r="K3168" s="41">
        <v>43496</v>
      </c>
      <c r="L3168" s="69" t="s">
        <v>80</v>
      </c>
      <c r="M3168" s="69" t="s">
        <v>286</v>
      </c>
      <c r="N3168" s="95"/>
      <c r="P3168" t="s">
        <v>95</v>
      </c>
      <c r="Q3168" t="s">
        <v>110</v>
      </c>
      <c r="R3168" s="92" t="s">
        <v>69</v>
      </c>
      <c r="S3168" s="92" t="s">
        <v>115</v>
      </c>
      <c r="V3168" s="95">
        <v>43496</v>
      </c>
      <c r="W3168" s="92" t="s">
        <v>399</v>
      </c>
      <c r="X3168" s="90"/>
      <c r="Y3168" s="123"/>
      <c r="Z3168" s="30">
        <f t="shared" si="98"/>
        <v>6763.7822038320437</v>
      </c>
      <c r="AA3168" s="30">
        <f t="shared" si="99"/>
        <v>0</v>
      </c>
      <c r="AB3168" t="s">
        <v>457</v>
      </c>
    </row>
    <row r="3169" spans="1:28">
      <c r="A3169" t="s">
        <v>113</v>
      </c>
      <c r="C3169" s="92">
        <v>4615466871</v>
      </c>
      <c r="D3169" s="93">
        <v>19175</v>
      </c>
      <c r="F3169" s="91">
        <v>16</v>
      </c>
      <c r="G3169" s="91">
        <v>0</v>
      </c>
      <c r="H3169" s="91">
        <v>0</v>
      </c>
      <c r="I3169" s="91">
        <v>0</v>
      </c>
      <c r="J3169" s="41"/>
      <c r="K3169" s="41">
        <v>43496</v>
      </c>
      <c r="L3169" s="69" t="s">
        <v>80</v>
      </c>
      <c r="M3169" s="69" t="s">
        <v>286</v>
      </c>
      <c r="N3169" s="95"/>
      <c r="P3169" t="s">
        <v>95</v>
      </c>
      <c r="Q3169" t="s">
        <v>110</v>
      </c>
      <c r="R3169" s="92" t="s">
        <v>69</v>
      </c>
      <c r="S3169" s="92" t="s">
        <v>115</v>
      </c>
      <c r="V3169" s="95">
        <v>43496</v>
      </c>
      <c r="W3169" s="92" t="s">
        <v>399</v>
      </c>
      <c r="X3169" s="90"/>
      <c r="Y3169" s="123"/>
      <c r="Z3169" s="30">
        <f t="shared" si="98"/>
        <v>6763.7822038320437</v>
      </c>
      <c r="AA3169" s="30">
        <f t="shared" si="99"/>
        <v>0</v>
      </c>
      <c r="AB3169" t="s">
        <v>457</v>
      </c>
    </row>
    <row r="3170" spans="1:28">
      <c r="A3170" t="s">
        <v>113</v>
      </c>
      <c r="C3170" s="92">
        <v>4615466871</v>
      </c>
      <c r="D3170" s="93">
        <v>19175</v>
      </c>
      <c r="F3170" s="91">
        <v>16</v>
      </c>
      <c r="G3170" s="91">
        <v>0</v>
      </c>
      <c r="H3170" s="91">
        <v>0</v>
      </c>
      <c r="I3170" s="91">
        <v>0</v>
      </c>
      <c r="J3170" s="41"/>
      <c r="K3170" s="41">
        <v>43496</v>
      </c>
      <c r="L3170" s="69" t="s">
        <v>80</v>
      </c>
      <c r="M3170" s="69" t="s">
        <v>286</v>
      </c>
      <c r="N3170" s="95"/>
      <c r="P3170" t="s">
        <v>95</v>
      </c>
      <c r="Q3170" t="s">
        <v>110</v>
      </c>
      <c r="R3170" s="92" t="s">
        <v>69</v>
      </c>
      <c r="S3170" s="92" t="s">
        <v>115</v>
      </c>
      <c r="V3170" s="95">
        <v>43496</v>
      </c>
      <c r="W3170" s="92" t="s">
        <v>399</v>
      </c>
      <c r="X3170" s="90"/>
      <c r="Y3170" s="123"/>
      <c r="Z3170" s="30">
        <f t="shared" si="98"/>
        <v>6763.7822038320437</v>
      </c>
      <c r="AA3170" s="30">
        <f t="shared" si="99"/>
        <v>0</v>
      </c>
      <c r="AB3170" t="s">
        <v>457</v>
      </c>
    </row>
    <row r="3171" spans="1:28">
      <c r="A3171" t="s">
        <v>113</v>
      </c>
      <c r="C3171" s="92">
        <v>4615466871</v>
      </c>
      <c r="D3171" s="93">
        <v>19175</v>
      </c>
      <c r="F3171" s="91">
        <v>16</v>
      </c>
      <c r="G3171" s="91">
        <v>0</v>
      </c>
      <c r="H3171" s="91">
        <v>0</v>
      </c>
      <c r="I3171" s="91">
        <v>0</v>
      </c>
      <c r="J3171" s="41"/>
      <c r="K3171" s="41">
        <v>43496</v>
      </c>
      <c r="L3171" s="69" t="s">
        <v>80</v>
      </c>
      <c r="M3171" s="69" t="s">
        <v>286</v>
      </c>
      <c r="N3171" s="95"/>
      <c r="P3171" t="s">
        <v>95</v>
      </c>
      <c r="Q3171" t="s">
        <v>110</v>
      </c>
      <c r="R3171" s="92" t="s">
        <v>69</v>
      </c>
      <c r="S3171" s="92" t="s">
        <v>115</v>
      </c>
      <c r="V3171" s="95">
        <v>43496</v>
      </c>
      <c r="W3171" s="92" t="s">
        <v>399</v>
      </c>
      <c r="X3171" s="90"/>
      <c r="Y3171" s="123"/>
      <c r="Z3171" s="30">
        <f t="shared" si="98"/>
        <v>6763.7822038320437</v>
      </c>
      <c r="AA3171" s="30">
        <f t="shared" si="99"/>
        <v>0</v>
      </c>
      <c r="AB3171" t="s">
        <v>457</v>
      </c>
    </row>
    <row r="3172" spans="1:28">
      <c r="A3172" t="s">
        <v>113</v>
      </c>
      <c r="C3172" s="92">
        <v>4615466871</v>
      </c>
      <c r="D3172" s="93">
        <v>19175</v>
      </c>
      <c r="F3172" s="91">
        <v>16</v>
      </c>
      <c r="G3172" s="91">
        <v>0</v>
      </c>
      <c r="H3172" s="91">
        <v>0</v>
      </c>
      <c r="I3172" s="91">
        <v>0</v>
      </c>
      <c r="J3172" s="41"/>
      <c r="K3172" s="41">
        <v>43496</v>
      </c>
      <c r="L3172" s="69" t="s">
        <v>80</v>
      </c>
      <c r="M3172" s="69" t="s">
        <v>286</v>
      </c>
      <c r="N3172" s="95"/>
      <c r="P3172" t="s">
        <v>95</v>
      </c>
      <c r="Q3172" t="s">
        <v>110</v>
      </c>
      <c r="R3172" s="92" t="s">
        <v>69</v>
      </c>
      <c r="S3172" s="92" t="s">
        <v>115</v>
      </c>
      <c r="V3172" s="95">
        <v>43496</v>
      </c>
      <c r="W3172" s="92" t="s">
        <v>399</v>
      </c>
      <c r="X3172" s="90"/>
      <c r="Y3172" s="123"/>
      <c r="Z3172" s="30">
        <f t="shared" si="98"/>
        <v>6763.7822038320437</v>
      </c>
      <c r="AA3172" s="30">
        <f t="shared" si="99"/>
        <v>0</v>
      </c>
      <c r="AB3172" t="s">
        <v>457</v>
      </c>
    </row>
    <row r="3173" spans="1:28">
      <c r="A3173" t="s">
        <v>113</v>
      </c>
      <c r="C3173" s="92">
        <v>4615466871</v>
      </c>
      <c r="D3173" s="93">
        <v>19175</v>
      </c>
      <c r="F3173" s="91">
        <v>16</v>
      </c>
      <c r="G3173" s="91">
        <v>0</v>
      </c>
      <c r="H3173" s="91">
        <v>0</v>
      </c>
      <c r="I3173" s="91">
        <v>0</v>
      </c>
      <c r="J3173" s="41"/>
      <c r="K3173" s="41">
        <v>43496</v>
      </c>
      <c r="L3173" s="69" t="s">
        <v>80</v>
      </c>
      <c r="M3173" s="69" t="s">
        <v>286</v>
      </c>
      <c r="N3173" s="95"/>
      <c r="P3173" t="s">
        <v>95</v>
      </c>
      <c r="Q3173" t="s">
        <v>110</v>
      </c>
      <c r="R3173" s="92" t="s">
        <v>69</v>
      </c>
      <c r="S3173" s="92" t="s">
        <v>115</v>
      </c>
      <c r="V3173" s="95">
        <v>43496</v>
      </c>
      <c r="W3173" s="92" t="s">
        <v>399</v>
      </c>
      <c r="X3173" s="90"/>
      <c r="Y3173" s="123"/>
      <c r="Z3173" s="30">
        <f t="shared" si="98"/>
        <v>6763.7822038320437</v>
      </c>
      <c r="AA3173" s="30">
        <f t="shared" si="99"/>
        <v>0</v>
      </c>
      <c r="AB3173" t="s">
        <v>457</v>
      </c>
    </row>
    <row r="3174" spans="1:28">
      <c r="A3174" t="s">
        <v>113</v>
      </c>
      <c r="C3174" s="92">
        <v>4615466871</v>
      </c>
      <c r="D3174" s="93">
        <v>19175</v>
      </c>
      <c r="F3174" s="91">
        <v>16</v>
      </c>
      <c r="G3174" s="91">
        <v>0</v>
      </c>
      <c r="H3174" s="91">
        <v>0</v>
      </c>
      <c r="I3174" s="91">
        <v>0</v>
      </c>
      <c r="J3174" s="41"/>
      <c r="K3174" s="41">
        <v>43496</v>
      </c>
      <c r="L3174" s="69" t="s">
        <v>80</v>
      </c>
      <c r="M3174" s="69" t="s">
        <v>286</v>
      </c>
      <c r="N3174" s="95"/>
      <c r="P3174" t="s">
        <v>95</v>
      </c>
      <c r="Q3174" t="s">
        <v>110</v>
      </c>
      <c r="R3174" s="92" t="s">
        <v>69</v>
      </c>
      <c r="S3174" s="92" t="s">
        <v>115</v>
      </c>
      <c r="V3174" s="95">
        <v>43496</v>
      </c>
      <c r="W3174" s="92" t="s">
        <v>399</v>
      </c>
      <c r="X3174" s="90"/>
      <c r="Y3174" s="123"/>
      <c r="Z3174" s="30">
        <f t="shared" si="98"/>
        <v>6763.7822038320437</v>
      </c>
      <c r="AA3174" s="30">
        <f t="shared" si="99"/>
        <v>0</v>
      </c>
      <c r="AB3174" t="s">
        <v>457</v>
      </c>
    </row>
    <row r="3175" spans="1:28">
      <c r="A3175" t="s">
        <v>113</v>
      </c>
      <c r="C3175" s="92">
        <v>4615466871</v>
      </c>
      <c r="D3175" s="93">
        <v>19175</v>
      </c>
      <c r="F3175" s="91">
        <v>16</v>
      </c>
      <c r="G3175" s="91">
        <v>0</v>
      </c>
      <c r="H3175" s="91">
        <v>0</v>
      </c>
      <c r="I3175" s="91">
        <v>0</v>
      </c>
      <c r="J3175" s="41"/>
      <c r="K3175" s="41">
        <v>43496</v>
      </c>
      <c r="L3175" s="69" t="s">
        <v>80</v>
      </c>
      <c r="M3175" s="69" t="s">
        <v>286</v>
      </c>
      <c r="N3175" s="95"/>
      <c r="P3175" t="s">
        <v>95</v>
      </c>
      <c r="Q3175" t="s">
        <v>110</v>
      </c>
      <c r="R3175" s="92" t="s">
        <v>69</v>
      </c>
      <c r="S3175" s="92" t="s">
        <v>115</v>
      </c>
      <c r="V3175" s="95">
        <v>43496</v>
      </c>
      <c r="W3175" s="92" t="s">
        <v>399</v>
      </c>
      <c r="X3175" s="90"/>
      <c r="Y3175" s="123"/>
      <c r="Z3175" s="30">
        <f t="shared" si="98"/>
        <v>6763.7822038320437</v>
      </c>
      <c r="AA3175" s="30">
        <f t="shared" si="99"/>
        <v>0</v>
      </c>
      <c r="AB3175" t="s">
        <v>457</v>
      </c>
    </row>
    <row r="3176" spans="1:28">
      <c r="A3176" t="s">
        <v>113</v>
      </c>
      <c r="C3176" s="92">
        <v>4615466871</v>
      </c>
      <c r="D3176" s="93">
        <v>19175</v>
      </c>
      <c r="F3176" s="91">
        <v>16</v>
      </c>
      <c r="G3176" s="91">
        <v>0</v>
      </c>
      <c r="H3176" s="91">
        <v>0</v>
      </c>
      <c r="I3176" s="91">
        <v>0</v>
      </c>
      <c r="J3176" s="41"/>
      <c r="K3176" s="41">
        <v>43496</v>
      </c>
      <c r="L3176" s="69" t="s">
        <v>80</v>
      </c>
      <c r="M3176" s="69" t="s">
        <v>286</v>
      </c>
      <c r="N3176" s="95"/>
      <c r="P3176" t="s">
        <v>95</v>
      </c>
      <c r="Q3176" t="s">
        <v>110</v>
      </c>
      <c r="R3176" s="92" t="s">
        <v>69</v>
      </c>
      <c r="S3176" s="92" t="s">
        <v>115</v>
      </c>
      <c r="V3176" s="95">
        <v>43496</v>
      </c>
      <c r="W3176" s="92" t="s">
        <v>399</v>
      </c>
      <c r="X3176" s="90"/>
      <c r="Y3176" s="123"/>
      <c r="Z3176" s="30">
        <f t="shared" si="98"/>
        <v>6763.7822038320437</v>
      </c>
      <c r="AA3176" s="30">
        <f t="shared" si="99"/>
        <v>0</v>
      </c>
      <c r="AB3176" t="s">
        <v>457</v>
      </c>
    </row>
    <row r="3177" spans="1:28">
      <c r="A3177" t="s">
        <v>113</v>
      </c>
      <c r="C3177" s="92">
        <v>4615487175</v>
      </c>
      <c r="D3177" s="93">
        <v>19175</v>
      </c>
      <c r="F3177" s="91">
        <v>16</v>
      </c>
      <c r="G3177" s="91">
        <v>5</v>
      </c>
      <c r="H3177" s="91">
        <v>0</v>
      </c>
      <c r="I3177" s="91">
        <v>0</v>
      </c>
      <c r="J3177" s="41"/>
      <c r="K3177" s="41">
        <v>43496</v>
      </c>
      <c r="L3177" s="69" t="s">
        <v>80</v>
      </c>
      <c r="M3177" s="69" t="s">
        <v>286</v>
      </c>
      <c r="N3177" s="95"/>
      <c r="P3177" t="s">
        <v>95</v>
      </c>
      <c r="Q3177" t="s">
        <v>110</v>
      </c>
      <c r="R3177" s="92" t="s">
        <v>69</v>
      </c>
      <c r="S3177" s="92" t="s">
        <v>115</v>
      </c>
      <c r="V3177" s="95">
        <v>43496</v>
      </c>
      <c r="W3177" s="92" t="s">
        <v>400</v>
      </c>
      <c r="X3177" s="90"/>
      <c r="Y3177" s="123"/>
      <c r="Z3177" s="30">
        <f t="shared" si="98"/>
        <v>6763.7822038320437</v>
      </c>
      <c r="AA3177" s="30">
        <f t="shared" si="99"/>
        <v>2113.6819386975139</v>
      </c>
      <c r="AB3177" t="s">
        <v>457</v>
      </c>
    </row>
    <row r="3178" spans="1:28">
      <c r="A3178" t="s">
        <v>113</v>
      </c>
      <c r="C3178" s="92">
        <v>4615487175</v>
      </c>
      <c r="D3178" s="93">
        <v>19175</v>
      </c>
      <c r="F3178" s="91">
        <v>16</v>
      </c>
      <c r="G3178" s="91">
        <v>5</v>
      </c>
      <c r="H3178" s="91">
        <v>0</v>
      </c>
      <c r="I3178" s="91">
        <v>0</v>
      </c>
      <c r="J3178" s="41"/>
      <c r="K3178" s="41">
        <v>43496</v>
      </c>
      <c r="L3178" s="69" t="s">
        <v>80</v>
      </c>
      <c r="M3178" s="69" t="s">
        <v>286</v>
      </c>
      <c r="N3178" s="95"/>
      <c r="P3178" t="s">
        <v>95</v>
      </c>
      <c r="Q3178" t="s">
        <v>110</v>
      </c>
      <c r="R3178" s="92" t="s">
        <v>69</v>
      </c>
      <c r="S3178" s="92" t="s">
        <v>115</v>
      </c>
      <c r="V3178" s="95">
        <v>43496</v>
      </c>
      <c r="W3178" s="92" t="s">
        <v>400</v>
      </c>
      <c r="X3178" s="90"/>
      <c r="Y3178" s="123"/>
      <c r="Z3178" s="30">
        <f t="shared" si="98"/>
        <v>6763.7822038320437</v>
      </c>
      <c r="AA3178" s="30">
        <f t="shared" si="99"/>
        <v>2113.6819386975139</v>
      </c>
      <c r="AB3178" t="s">
        <v>457</v>
      </c>
    </row>
    <row r="3179" spans="1:28">
      <c r="A3179" t="s">
        <v>113</v>
      </c>
      <c r="C3179" s="92">
        <v>4615487175</v>
      </c>
      <c r="D3179" s="93">
        <v>19175</v>
      </c>
      <c r="F3179" s="91">
        <v>16</v>
      </c>
      <c r="G3179" s="91">
        <v>5</v>
      </c>
      <c r="H3179" s="91">
        <v>0</v>
      </c>
      <c r="I3179" s="91">
        <v>0</v>
      </c>
      <c r="J3179" s="41"/>
      <c r="K3179" s="41">
        <v>43496</v>
      </c>
      <c r="L3179" s="69" t="s">
        <v>80</v>
      </c>
      <c r="M3179" s="69" t="s">
        <v>286</v>
      </c>
      <c r="N3179" s="95"/>
      <c r="P3179" t="s">
        <v>95</v>
      </c>
      <c r="Q3179" t="s">
        <v>110</v>
      </c>
      <c r="R3179" s="92" t="s">
        <v>69</v>
      </c>
      <c r="S3179" s="92" t="s">
        <v>115</v>
      </c>
      <c r="V3179" s="95">
        <v>43496</v>
      </c>
      <c r="W3179" s="92" t="s">
        <v>400</v>
      </c>
      <c r="X3179" s="90"/>
      <c r="Y3179" s="123"/>
      <c r="Z3179" s="30">
        <f t="shared" si="98"/>
        <v>6763.7822038320437</v>
      </c>
      <c r="AA3179" s="30">
        <f t="shared" si="99"/>
        <v>2113.6819386975139</v>
      </c>
      <c r="AB3179" t="s">
        <v>457</v>
      </c>
    </row>
    <row r="3180" spans="1:28">
      <c r="A3180" t="s">
        <v>113</v>
      </c>
      <c r="C3180" s="92">
        <v>4615487175</v>
      </c>
      <c r="D3180" s="93">
        <v>19175</v>
      </c>
      <c r="F3180" s="91">
        <v>16</v>
      </c>
      <c r="G3180" s="91">
        <v>5</v>
      </c>
      <c r="H3180" s="91">
        <v>0</v>
      </c>
      <c r="I3180" s="91">
        <v>0</v>
      </c>
      <c r="J3180" s="41"/>
      <c r="K3180" s="41">
        <v>43496</v>
      </c>
      <c r="L3180" s="69" t="s">
        <v>80</v>
      </c>
      <c r="M3180" s="69" t="s">
        <v>286</v>
      </c>
      <c r="N3180" s="95"/>
      <c r="P3180" t="s">
        <v>95</v>
      </c>
      <c r="Q3180" t="s">
        <v>110</v>
      </c>
      <c r="R3180" s="92" t="s">
        <v>69</v>
      </c>
      <c r="S3180" s="92" t="s">
        <v>115</v>
      </c>
      <c r="V3180" s="95">
        <v>43496</v>
      </c>
      <c r="W3180" s="92" t="s">
        <v>400</v>
      </c>
      <c r="X3180" s="90"/>
      <c r="Y3180" s="123"/>
      <c r="Z3180" s="30">
        <f t="shared" si="98"/>
        <v>6763.7822038320437</v>
      </c>
      <c r="AA3180" s="30">
        <f t="shared" si="99"/>
        <v>2113.6819386975139</v>
      </c>
      <c r="AB3180" t="s">
        <v>457</v>
      </c>
    </row>
    <row r="3181" spans="1:28">
      <c r="A3181" t="s">
        <v>113</v>
      </c>
      <c r="C3181" s="92">
        <v>4615487175</v>
      </c>
      <c r="D3181" s="93">
        <v>19175</v>
      </c>
      <c r="F3181" s="91">
        <v>16</v>
      </c>
      <c r="G3181" s="91">
        <v>5</v>
      </c>
      <c r="H3181" s="91">
        <v>0</v>
      </c>
      <c r="I3181" s="91">
        <v>0</v>
      </c>
      <c r="J3181" s="41"/>
      <c r="K3181" s="41">
        <v>43496</v>
      </c>
      <c r="L3181" s="69" t="s">
        <v>80</v>
      </c>
      <c r="M3181" s="69" t="s">
        <v>286</v>
      </c>
      <c r="N3181" s="95"/>
      <c r="P3181" t="s">
        <v>95</v>
      </c>
      <c r="Q3181" t="s">
        <v>110</v>
      </c>
      <c r="R3181" s="92" t="s">
        <v>69</v>
      </c>
      <c r="S3181" s="92" t="s">
        <v>115</v>
      </c>
      <c r="V3181" s="95">
        <v>43496</v>
      </c>
      <c r="W3181" s="92" t="s">
        <v>400</v>
      </c>
      <c r="X3181" s="90"/>
      <c r="Y3181" s="123"/>
      <c r="Z3181" s="30">
        <f t="shared" si="98"/>
        <v>6763.7822038320437</v>
      </c>
      <c r="AA3181" s="30">
        <f t="shared" si="99"/>
        <v>2113.6819386975139</v>
      </c>
      <c r="AB3181" t="s">
        <v>457</v>
      </c>
    </row>
    <row r="3182" spans="1:28">
      <c r="A3182" t="s">
        <v>113</v>
      </c>
      <c r="C3182" s="92">
        <v>4615487175</v>
      </c>
      <c r="D3182" s="93">
        <v>19175</v>
      </c>
      <c r="F3182" s="91">
        <v>16</v>
      </c>
      <c r="G3182" s="91">
        <v>5</v>
      </c>
      <c r="H3182" s="91">
        <v>0</v>
      </c>
      <c r="I3182" s="91">
        <v>0</v>
      </c>
      <c r="J3182" s="41"/>
      <c r="K3182" s="41">
        <v>43496</v>
      </c>
      <c r="L3182" s="69" t="s">
        <v>80</v>
      </c>
      <c r="M3182" s="69" t="s">
        <v>286</v>
      </c>
      <c r="N3182" s="95"/>
      <c r="P3182" t="s">
        <v>95</v>
      </c>
      <c r="Q3182" t="s">
        <v>110</v>
      </c>
      <c r="R3182" s="92" t="s">
        <v>69</v>
      </c>
      <c r="S3182" s="92" t="s">
        <v>115</v>
      </c>
      <c r="V3182" s="95">
        <v>43496</v>
      </c>
      <c r="W3182" s="92" t="s">
        <v>400</v>
      </c>
      <c r="X3182" s="90"/>
      <c r="Y3182" s="123"/>
      <c r="Z3182" s="30">
        <f t="shared" si="98"/>
        <v>6763.7822038320437</v>
      </c>
      <c r="AA3182" s="30">
        <f t="shared" si="99"/>
        <v>2113.6819386975139</v>
      </c>
      <c r="AB3182" t="s">
        <v>457</v>
      </c>
    </row>
    <row r="3183" spans="1:28">
      <c r="A3183" t="s">
        <v>113</v>
      </c>
      <c r="C3183" s="92">
        <v>4615487175</v>
      </c>
      <c r="D3183" s="93">
        <v>19175</v>
      </c>
      <c r="F3183" s="91">
        <v>16</v>
      </c>
      <c r="G3183" s="91">
        <v>5</v>
      </c>
      <c r="H3183" s="91">
        <v>0</v>
      </c>
      <c r="I3183" s="91">
        <v>0</v>
      </c>
      <c r="J3183" s="41"/>
      <c r="K3183" s="41">
        <v>43496</v>
      </c>
      <c r="L3183" s="69" t="s">
        <v>80</v>
      </c>
      <c r="M3183" s="69" t="s">
        <v>286</v>
      </c>
      <c r="N3183" s="95"/>
      <c r="P3183" t="s">
        <v>95</v>
      </c>
      <c r="Q3183" t="s">
        <v>110</v>
      </c>
      <c r="R3183" s="92" t="s">
        <v>69</v>
      </c>
      <c r="S3183" s="92" t="s">
        <v>115</v>
      </c>
      <c r="V3183" s="95">
        <v>43496</v>
      </c>
      <c r="W3183" s="92" t="s">
        <v>400</v>
      </c>
      <c r="X3183" s="90"/>
      <c r="Y3183" s="123"/>
      <c r="Z3183" s="30">
        <f t="shared" si="98"/>
        <v>6763.7822038320437</v>
      </c>
      <c r="AA3183" s="30">
        <f t="shared" si="99"/>
        <v>2113.6819386975139</v>
      </c>
      <c r="AB3183" t="s">
        <v>457</v>
      </c>
    </row>
    <row r="3184" spans="1:28">
      <c r="A3184" t="s">
        <v>113</v>
      </c>
      <c r="C3184" s="92">
        <v>4615487175</v>
      </c>
      <c r="D3184" s="93">
        <v>19175</v>
      </c>
      <c r="F3184" s="91">
        <v>16</v>
      </c>
      <c r="G3184" s="91">
        <v>5</v>
      </c>
      <c r="H3184" s="91">
        <v>0</v>
      </c>
      <c r="I3184" s="91">
        <v>0</v>
      </c>
      <c r="J3184" s="41"/>
      <c r="K3184" s="41">
        <v>43496</v>
      </c>
      <c r="L3184" s="69" t="s">
        <v>80</v>
      </c>
      <c r="M3184" s="69" t="s">
        <v>286</v>
      </c>
      <c r="N3184" s="95"/>
      <c r="P3184" t="s">
        <v>95</v>
      </c>
      <c r="Q3184" t="s">
        <v>110</v>
      </c>
      <c r="R3184" s="92" t="s">
        <v>69</v>
      </c>
      <c r="S3184" s="92" t="s">
        <v>115</v>
      </c>
      <c r="V3184" s="95">
        <v>43496</v>
      </c>
      <c r="W3184" s="92" t="s">
        <v>400</v>
      </c>
      <c r="X3184" s="90"/>
      <c r="Y3184" s="123"/>
      <c r="Z3184" s="30">
        <f t="shared" si="98"/>
        <v>6763.7822038320437</v>
      </c>
      <c r="AA3184" s="30">
        <f t="shared" si="99"/>
        <v>2113.6819386975139</v>
      </c>
      <c r="AB3184" t="s">
        <v>457</v>
      </c>
    </row>
    <row r="3185" spans="1:28">
      <c r="A3185" t="s">
        <v>113</v>
      </c>
      <c r="C3185" s="92">
        <v>4615487175</v>
      </c>
      <c r="D3185" s="93">
        <v>19175</v>
      </c>
      <c r="F3185" s="91">
        <v>16</v>
      </c>
      <c r="G3185" s="91">
        <v>5</v>
      </c>
      <c r="H3185" s="91">
        <v>0</v>
      </c>
      <c r="I3185" s="91">
        <v>0</v>
      </c>
      <c r="J3185" s="41"/>
      <c r="K3185" s="41">
        <v>43496</v>
      </c>
      <c r="L3185" s="69" t="s">
        <v>80</v>
      </c>
      <c r="M3185" s="69" t="s">
        <v>286</v>
      </c>
      <c r="N3185" s="95"/>
      <c r="P3185" t="s">
        <v>95</v>
      </c>
      <c r="Q3185" t="s">
        <v>110</v>
      </c>
      <c r="R3185" s="92" t="s">
        <v>69</v>
      </c>
      <c r="S3185" s="92" t="s">
        <v>115</v>
      </c>
      <c r="V3185" s="95">
        <v>43496</v>
      </c>
      <c r="W3185" s="92" t="s">
        <v>400</v>
      </c>
      <c r="X3185" s="90"/>
      <c r="Y3185" s="123"/>
      <c r="Z3185" s="30">
        <f t="shared" si="98"/>
        <v>6763.7822038320437</v>
      </c>
      <c r="AA3185" s="30">
        <f t="shared" si="99"/>
        <v>2113.6819386975139</v>
      </c>
      <c r="AB3185" t="s">
        <v>457</v>
      </c>
    </row>
    <row r="3186" spans="1:28">
      <c r="A3186" t="s">
        <v>113</v>
      </c>
      <c r="C3186" s="92">
        <v>4615487175</v>
      </c>
      <c r="D3186" s="93">
        <v>19175</v>
      </c>
      <c r="F3186" s="91">
        <v>16</v>
      </c>
      <c r="G3186" s="91">
        <v>5</v>
      </c>
      <c r="H3186" s="91">
        <v>0</v>
      </c>
      <c r="I3186" s="91">
        <v>0</v>
      </c>
      <c r="J3186" s="41"/>
      <c r="K3186" s="41">
        <v>43496</v>
      </c>
      <c r="L3186" s="69" t="s">
        <v>80</v>
      </c>
      <c r="M3186" s="69" t="s">
        <v>286</v>
      </c>
      <c r="N3186" s="95"/>
      <c r="P3186" t="s">
        <v>95</v>
      </c>
      <c r="Q3186" t="s">
        <v>110</v>
      </c>
      <c r="R3186" s="92" t="s">
        <v>69</v>
      </c>
      <c r="S3186" s="92" t="s">
        <v>115</v>
      </c>
      <c r="V3186" s="95">
        <v>43496</v>
      </c>
      <c r="W3186" s="92" t="s">
        <v>400</v>
      </c>
      <c r="X3186" s="90"/>
      <c r="Y3186" s="123"/>
      <c r="Z3186" s="30">
        <f t="shared" si="98"/>
        <v>6763.7822038320437</v>
      </c>
      <c r="AA3186" s="30">
        <f t="shared" si="99"/>
        <v>2113.6819386975139</v>
      </c>
      <c r="AB3186" t="s">
        <v>457</v>
      </c>
    </row>
    <row r="3187" spans="1:28">
      <c r="A3187" t="s">
        <v>113</v>
      </c>
      <c r="C3187" s="92">
        <v>4615492203</v>
      </c>
      <c r="D3187" s="93">
        <v>19175</v>
      </c>
      <c r="F3187" s="91">
        <v>16</v>
      </c>
      <c r="G3187" s="96">
        <v>5</v>
      </c>
      <c r="H3187" s="91">
        <v>0</v>
      </c>
      <c r="I3187" s="91">
        <v>0</v>
      </c>
      <c r="J3187" s="41"/>
      <c r="K3187" s="41">
        <v>43496</v>
      </c>
      <c r="L3187" s="69" t="s">
        <v>80</v>
      </c>
      <c r="M3187" s="69" t="s">
        <v>286</v>
      </c>
      <c r="N3187" s="95"/>
      <c r="P3187" t="s">
        <v>95</v>
      </c>
      <c r="Q3187" t="s">
        <v>133</v>
      </c>
      <c r="R3187" s="92" t="s">
        <v>69</v>
      </c>
      <c r="S3187" s="92" t="s">
        <v>115</v>
      </c>
      <c r="V3187" s="95">
        <v>43496</v>
      </c>
      <c r="W3187" s="92" t="s">
        <v>401</v>
      </c>
      <c r="X3187" s="90"/>
      <c r="Y3187" s="123"/>
      <c r="Z3187" s="30">
        <f t="shared" si="98"/>
        <v>6763.7822038320437</v>
      </c>
      <c r="AA3187" s="30">
        <f t="shared" si="99"/>
        <v>2113.6819386975139</v>
      </c>
      <c r="AB3187" t="s">
        <v>457</v>
      </c>
    </row>
    <row r="3188" spans="1:28">
      <c r="A3188" t="s">
        <v>113</v>
      </c>
      <c r="C3188" s="92">
        <v>4615492203</v>
      </c>
      <c r="D3188" s="93">
        <v>19175</v>
      </c>
      <c r="F3188" s="91">
        <v>16</v>
      </c>
      <c r="G3188" s="96">
        <v>5</v>
      </c>
      <c r="H3188" s="91">
        <v>0</v>
      </c>
      <c r="I3188" s="91">
        <v>0</v>
      </c>
      <c r="J3188" s="41"/>
      <c r="K3188" s="41">
        <v>43496</v>
      </c>
      <c r="L3188" s="69" t="s">
        <v>80</v>
      </c>
      <c r="M3188" s="69" t="s">
        <v>286</v>
      </c>
      <c r="N3188" s="95"/>
      <c r="P3188" t="s">
        <v>95</v>
      </c>
      <c r="Q3188" t="s">
        <v>133</v>
      </c>
      <c r="R3188" s="92" t="s">
        <v>69</v>
      </c>
      <c r="S3188" s="92" t="s">
        <v>115</v>
      </c>
      <c r="V3188" s="95">
        <v>43496</v>
      </c>
      <c r="W3188" s="92" t="s">
        <v>401</v>
      </c>
      <c r="X3188" s="90"/>
      <c r="Y3188" s="123"/>
      <c r="Z3188" s="30">
        <f t="shared" si="98"/>
        <v>6763.7822038320437</v>
      </c>
      <c r="AA3188" s="30">
        <f t="shared" si="99"/>
        <v>2113.6819386975139</v>
      </c>
      <c r="AB3188" t="s">
        <v>457</v>
      </c>
    </row>
    <row r="3189" spans="1:28">
      <c r="A3189" t="s">
        <v>113</v>
      </c>
      <c r="C3189" s="92">
        <v>4615492203</v>
      </c>
      <c r="D3189" s="93">
        <v>19175</v>
      </c>
      <c r="F3189" s="91">
        <v>16</v>
      </c>
      <c r="G3189" s="96">
        <v>5</v>
      </c>
      <c r="H3189" s="91">
        <v>0</v>
      </c>
      <c r="I3189" s="91">
        <v>0</v>
      </c>
      <c r="J3189" s="41"/>
      <c r="K3189" s="41">
        <v>43496</v>
      </c>
      <c r="L3189" s="69" t="s">
        <v>80</v>
      </c>
      <c r="M3189" s="69" t="s">
        <v>286</v>
      </c>
      <c r="N3189" s="95"/>
      <c r="P3189" t="s">
        <v>95</v>
      </c>
      <c r="Q3189" t="s">
        <v>133</v>
      </c>
      <c r="R3189" s="92" t="s">
        <v>69</v>
      </c>
      <c r="S3189" s="92" t="s">
        <v>115</v>
      </c>
      <c r="V3189" s="95">
        <v>43496</v>
      </c>
      <c r="W3189" s="92" t="s">
        <v>401</v>
      </c>
      <c r="X3189" s="90"/>
      <c r="Y3189" s="123"/>
      <c r="Z3189" s="30">
        <f t="shared" si="98"/>
        <v>6763.7822038320437</v>
      </c>
      <c r="AA3189" s="30">
        <f t="shared" si="99"/>
        <v>2113.6819386975139</v>
      </c>
      <c r="AB3189" t="s">
        <v>457</v>
      </c>
    </row>
    <row r="3190" spans="1:28">
      <c r="A3190" t="s">
        <v>113</v>
      </c>
      <c r="C3190" s="92">
        <v>4615492203</v>
      </c>
      <c r="D3190" s="93">
        <v>19175</v>
      </c>
      <c r="F3190" s="91">
        <v>16</v>
      </c>
      <c r="G3190" s="96">
        <v>5</v>
      </c>
      <c r="H3190" s="91">
        <v>0</v>
      </c>
      <c r="I3190" s="91">
        <v>0</v>
      </c>
      <c r="J3190" s="41"/>
      <c r="K3190" s="41">
        <v>43496</v>
      </c>
      <c r="L3190" s="69" t="s">
        <v>80</v>
      </c>
      <c r="M3190" s="69" t="s">
        <v>286</v>
      </c>
      <c r="N3190" s="95"/>
      <c r="P3190" t="s">
        <v>95</v>
      </c>
      <c r="Q3190" t="s">
        <v>133</v>
      </c>
      <c r="R3190" s="92" t="s">
        <v>69</v>
      </c>
      <c r="S3190" s="92" t="s">
        <v>115</v>
      </c>
      <c r="V3190" s="95">
        <v>43496</v>
      </c>
      <c r="W3190" s="92" t="s">
        <v>401</v>
      </c>
      <c r="X3190" s="90"/>
      <c r="Y3190" s="123"/>
      <c r="Z3190" s="30">
        <f t="shared" si="98"/>
        <v>6763.7822038320437</v>
      </c>
      <c r="AA3190" s="30">
        <f t="shared" si="99"/>
        <v>2113.6819386975139</v>
      </c>
      <c r="AB3190" t="s">
        <v>457</v>
      </c>
    </row>
    <row r="3191" spans="1:28">
      <c r="A3191" t="s">
        <v>113</v>
      </c>
      <c r="C3191" s="92">
        <v>4615492203</v>
      </c>
      <c r="D3191" s="93">
        <v>19175</v>
      </c>
      <c r="F3191" s="91">
        <v>16</v>
      </c>
      <c r="G3191" s="96">
        <v>5</v>
      </c>
      <c r="H3191" s="91">
        <v>0</v>
      </c>
      <c r="I3191" s="91">
        <v>0</v>
      </c>
      <c r="J3191" s="41"/>
      <c r="K3191" s="41">
        <v>43496</v>
      </c>
      <c r="L3191" s="69" t="s">
        <v>80</v>
      </c>
      <c r="M3191" s="69" t="s">
        <v>286</v>
      </c>
      <c r="N3191" s="95"/>
      <c r="P3191" t="s">
        <v>95</v>
      </c>
      <c r="Q3191" t="s">
        <v>133</v>
      </c>
      <c r="R3191" s="92" t="s">
        <v>69</v>
      </c>
      <c r="S3191" s="92" t="s">
        <v>115</v>
      </c>
      <c r="V3191" s="95">
        <v>43496</v>
      </c>
      <c r="W3191" s="92" t="s">
        <v>401</v>
      </c>
      <c r="X3191" s="90"/>
      <c r="Y3191" s="123"/>
      <c r="Z3191" s="30">
        <f t="shared" si="98"/>
        <v>6763.7822038320437</v>
      </c>
      <c r="AA3191" s="30">
        <f t="shared" si="99"/>
        <v>2113.6819386975139</v>
      </c>
      <c r="AB3191" t="s">
        <v>457</v>
      </c>
    </row>
    <row r="3192" spans="1:28">
      <c r="A3192" t="s">
        <v>113</v>
      </c>
      <c r="C3192" s="92">
        <v>4615492203</v>
      </c>
      <c r="D3192" s="93">
        <v>19175</v>
      </c>
      <c r="F3192" s="91">
        <v>16</v>
      </c>
      <c r="G3192" s="96">
        <v>5</v>
      </c>
      <c r="H3192" s="91">
        <v>0</v>
      </c>
      <c r="I3192" s="91">
        <v>0</v>
      </c>
      <c r="J3192" s="41"/>
      <c r="K3192" s="41">
        <v>43496</v>
      </c>
      <c r="L3192" s="69" t="s">
        <v>80</v>
      </c>
      <c r="M3192" s="69" t="s">
        <v>286</v>
      </c>
      <c r="N3192" s="95"/>
      <c r="P3192" t="s">
        <v>95</v>
      </c>
      <c r="Q3192" t="s">
        <v>133</v>
      </c>
      <c r="R3192" s="92" t="s">
        <v>69</v>
      </c>
      <c r="S3192" s="92" t="s">
        <v>115</v>
      </c>
      <c r="V3192" s="95">
        <v>43496</v>
      </c>
      <c r="W3192" s="92" t="s">
        <v>401</v>
      </c>
      <c r="X3192" s="90"/>
      <c r="Y3192" s="123"/>
      <c r="Z3192" s="30">
        <f t="shared" si="98"/>
        <v>6763.7822038320437</v>
      </c>
      <c r="AA3192" s="30">
        <f t="shared" si="99"/>
        <v>2113.6819386975139</v>
      </c>
      <c r="AB3192" t="s">
        <v>457</v>
      </c>
    </row>
    <row r="3193" spans="1:28">
      <c r="A3193" t="s">
        <v>113</v>
      </c>
      <c r="C3193" s="92">
        <v>4615492203</v>
      </c>
      <c r="D3193" s="93">
        <v>19175</v>
      </c>
      <c r="F3193" s="91">
        <v>16</v>
      </c>
      <c r="G3193" s="96">
        <v>5</v>
      </c>
      <c r="H3193" s="91">
        <v>0</v>
      </c>
      <c r="I3193" s="91">
        <v>0</v>
      </c>
      <c r="J3193" s="41"/>
      <c r="K3193" s="41">
        <v>43496</v>
      </c>
      <c r="L3193" s="69" t="s">
        <v>80</v>
      </c>
      <c r="M3193" s="69" t="s">
        <v>286</v>
      </c>
      <c r="N3193" s="95"/>
      <c r="P3193" t="s">
        <v>95</v>
      </c>
      <c r="Q3193" t="s">
        <v>133</v>
      </c>
      <c r="R3193" s="92" t="s">
        <v>69</v>
      </c>
      <c r="S3193" s="92" t="s">
        <v>115</v>
      </c>
      <c r="V3193" s="95">
        <v>43496</v>
      </c>
      <c r="W3193" s="92" t="s">
        <v>401</v>
      </c>
      <c r="X3193" s="90"/>
      <c r="Y3193" s="123"/>
      <c r="Z3193" s="30">
        <f t="shared" si="98"/>
        <v>6763.7822038320437</v>
      </c>
      <c r="AA3193" s="30">
        <f t="shared" si="99"/>
        <v>2113.6819386975139</v>
      </c>
      <c r="AB3193" t="s">
        <v>457</v>
      </c>
    </row>
    <row r="3194" spans="1:28">
      <c r="A3194" t="s">
        <v>113</v>
      </c>
      <c r="C3194" s="92">
        <v>4615492203</v>
      </c>
      <c r="D3194" s="93">
        <v>19175</v>
      </c>
      <c r="F3194" s="91">
        <v>16</v>
      </c>
      <c r="G3194" s="96">
        <v>5</v>
      </c>
      <c r="H3194" s="91">
        <v>0</v>
      </c>
      <c r="I3194" s="91">
        <v>0</v>
      </c>
      <c r="J3194" s="41"/>
      <c r="K3194" s="41">
        <v>43496</v>
      </c>
      <c r="L3194" s="69" t="s">
        <v>80</v>
      </c>
      <c r="M3194" s="69" t="s">
        <v>286</v>
      </c>
      <c r="N3194" s="95"/>
      <c r="P3194" t="s">
        <v>95</v>
      </c>
      <c r="Q3194" t="s">
        <v>133</v>
      </c>
      <c r="R3194" s="92" t="s">
        <v>69</v>
      </c>
      <c r="S3194" s="92" t="s">
        <v>115</v>
      </c>
      <c r="V3194" s="95">
        <v>43496</v>
      </c>
      <c r="W3194" s="92" t="s">
        <v>401</v>
      </c>
      <c r="X3194" s="90"/>
      <c r="Y3194" s="123"/>
      <c r="Z3194" s="30">
        <f t="shared" si="98"/>
        <v>6763.7822038320437</v>
      </c>
      <c r="AA3194" s="30">
        <f t="shared" si="99"/>
        <v>2113.6819386975139</v>
      </c>
      <c r="AB3194" t="s">
        <v>457</v>
      </c>
    </row>
    <row r="3195" spans="1:28">
      <c r="A3195" t="s">
        <v>113</v>
      </c>
      <c r="C3195" s="92">
        <v>4615492203</v>
      </c>
      <c r="D3195" s="93">
        <v>19175</v>
      </c>
      <c r="F3195" s="91">
        <v>16</v>
      </c>
      <c r="G3195" s="96">
        <v>5</v>
      </c>
      <c r="H3195" s="91">
        <v>0</v>
      </c>
      <c r="I3195" s="91">
        <v>0</v>
      </c>
      <c r="J3195" s="41"/>
      <c r="K3195" s="41">
        <v>43496</v>
      </c>
      <c r="L3195" s="69" t="s">
        <v>80</v>
      </c>
      <c r="M3195" s="69" t="s">
        <v>286</v>
      </c>
      <c r="N3195" s="95"/>
      <c r="P3195" t="s">
        <v>95</v>
      </c>
      <c r="Q3195" t="s">
        <v>133</v>
      </c>
      <c r="R3195" s="92" t="s">
        <v>69</v>
      </c>
      <c r="S3195" s="92" t="s">
        <v>115</v>
      </c>
      <c r="V3195" s="95">
        <v>43496</v>
      </c>
      <c r="W3195" s="92" t="s">
        <v>401</v>
      </c>
      <c r="X3195" s="90"/>
      <c r="Y3195" s="123"/>
      <c r="Z3195" s="30">
        <f t="shared" si="98"/>
        <v>6763.7822038320437</v>
      </c>
      <c r="AA3195" s="30">
        <f t="shared" si="99"/>
        <v>2113.6819386975139</v>
      </c>
      <c r="AB3195" t="s">
        <v>457</v>
      </c>
    </row>
    <row r="3196" spans="1:28">
      <c r="A3196" t="s">
        <v>113</v>
      </c>
      <c r="C3196" s="92">
        <v>4615492203</v>
      </c>
      <c r="D3196" s="93">
        <v>19175</v>
      </c>
      <c r="F3196" s="91">
        <v>16</v>
      </c>
      <c r="G3196" s="96">
        <v>5</v>
      </c>
      <c r="H3196" s="91">
        <v>0</v>
      </c>
      <c r="I3196" s="91">
        <v>0</v>
      </c>
      <c r="J3196" s="41"/>
      <c r="K3196" s="41">
        <v>43496</v>
      </c>
      <c r="L3196" s="69" t="s">
        <v>80</v>
      </c>
      <c r="M3196" s="69" t="s">
        <v>286</v>
      </c>
      <c r="N3196" s="95"/>
      <c r="P3196" t="s">
        <v>95</v>
      </c>
      <c r="Q3196" t="s">
        <v>133</v>
      </c>
      <c r="R3196" s="92" t="s">
        <v>69</v>
      </c>
      <c r="S3196" s="92" t="s">
        <v>115</v>
      </c>
      <c r="V3196" s="95">
        <v>43496</v>
      </c>
      <c r="W3196" s="92" t="s">
        <v>401</v>
      </c>
      <c r="X3196" s="90"/>
      <c r="Y3196" s="123"/>
      <c r="Z3196" s="30">
        <f t="shared" si="98"/>
        <v>6763.7822038320437</v>
      </c>
      <c r="AA3196" s="30">
        <f t="shared" si="99"/>
        <v>2113.6819386975139</v>
      </c>
      <c r="AB3196" t="s">
        <v>457</v>
      </c>
    </row>
    <row r="3197" spans="1:28">
      <c r="A3197" t="s">
        <v>122</v>
      </c>
      <c r="C3197" s="92">
        <v>4615447785</v>
      </c>
      <c r="D3197" s="93">
        <v>19200</v>
      </c>
      <c r="F3197" s="94">
        <v>16</v>
      </c>
      <c r="G3197" s="94">
        <v>5</v>
      </c>
      <c r="H3197" s="91">
        <v>0</v>
      </c>
      <c r="I3197" s="91">
        <v>0</v>
      </c>
      <c r="J3197" s="41"/>
      <c r="K3197" s="41">
        <v>43524</v>
      </c>
      <c r="L3197" s="69" t="s">
        <v>80</v>
      </c>
      <c r="M3197" s="69" t="s">
        <v>286</v>
      </c>
      <c r="N3197" s="95"/>
      <c r="P3197" t="s">
        <v>95</v>
      </c>
      <c r="Q3197" t="s">
        <v>120</v>
      </c>
      <c r="R3197" s="92" t="s">
        <v>69</v>
      </c>
      <c r="S3197" s="92" t="s">
        <v>394</v>
      </c>
      <c r="V3197" s="95">
        <v>43524</v>
      </c>
      <c r="W3197" s="92">
        <v>2033913</v>
      </c>
      <c r="X3197" s="90"/>
      <c r="Y3197" s="123"/>
      <c r="Z3197" s="30">
        <f t="shared" si="98"/>
        <v>6772.6006943194379</v>
      </c>
      <c r="AA3197" s="30">
        <f t="shared" si="99"/>
        <v>2116.4377169748245</v>
      </c>
      <c r="AB3197" t="s">
        <v>457</v>
      </c>
    </row>
    <row r="3198" spans="1:28">
      <c r="A3198" t="s">
        <v>122</v>
      </c>
      <c r="C3198" s="92">
        <v>4615447785</v>
      </c>
      <c r="D3198" s="93">
        <v>19200</v>
      </c>
      <c r="F3198" s="94">
        <v>16</v>
      </c>
      <c r="G3198" s="94">
        <v>5</v>
      </c>
      <c r="H3198" s="91">
        <v>0</v>
      </c>
      <c r="I3198" s="91">
        <v>0</v>
      </c>
      <c r="J3198" s="41"/>
      <c r="K3198" s="41">
        <v>43524</v>
      </c>
      <c r="L3198" s="69" t="s">
        <v>80</v>
      </c>
      <c r="M3198" s="69" t="s">
        <v>286</v>
      </c>
      <c r="N3198" s="95"/>
      <c r="P3198" t="s">
        <v>95</v>
      </c>
      <c r="Q3198" t="s">
        <v>120</v>
      </c>
      <c r="R3198" s="92" t="s">
        <v>69</v>
      </c>
      <c r="S3198" s="92" t="s">
        <v>394</v>
      </c>
      <c r="V3198" s="95">
        <v>43524</v>
      </c>
      <c r="W3198" s="92">
        <v>2033913</v>
      </c>
      <c r="X3198" s="90"/>
      <c r="Y3198" s="123"/>
      <c r="Z3198" s="30">
        <f t="shared" si="98"/>
        <v>6772.6006943194379</v>
      </c>
      <c r="AA3198" s="30">
        <f t="shared" si="99"/>
        <v>2116.4377169748245</v>
      </c>
      <c r="AB3198" t="s">
        <v>457</v>
      </c>
    </row>
    <row r="3199" spans="1:28">
      <c r="A3199" t="s">
        <v>122</v>
      </c>
      <c r="C3199" s="92">
        <v>4615447785</v>
      </c>
      <c r="D3199" s="93">
        <v>19200</v>
      </c>
      <c r="F3199" s="94">
        <v>16</v>
      </c>
      <c r="G3199" s="94">
        <v>5</v>
      </c>
      <c r="H3199" s="91">
        <v>0</v>
      </c>
      <c r="I3199" s="91">
        <v>0</v>
      </c>
      <c r="J3199" s="41"/>
      <c r="K3199" s="41">
        <v>43524</v>
      </c>
      <c r="L3199" s="69" t="s">
        <v>80</v>
      </c>
      <c r="M3199" s="69" t="s">
        <v>286</v>
      </c>
      <c r="N3199" s="95"/>
      <c r="P3199" t="s">
        <v>95</v>
      </c>
      <c r="Q3199" t="s">
        <v>120</v>
      </c>
      <c r="R3199" s="92" t="s">
        <v>69</v>
      </c>
      <c r="S3199" s="92" t="s">
        <v>394</v>
      </c>
      <c r="V3199" s="95">
        <v>43524</v>
      </c>
      <c r="W3199" s="92">
        <v>2033913</v>
      </c>
      <c r="X3199" s="90"/>
      <c r="Y3199" s="123"/>
      <c r="Z3199" s="30">
        <f t="shared" si="98"/>
        <v>6772.6006943194379</v>
      </c>
      <c r="AA3199" s="30">
        <f t="shared" si="99"/>
        <v>2116.4377169748245</v>
      </c>
      <c r="AB3199" t="s">
        <v>457</v>
      </c>
    </row>
    <row r="3200" spans="1:28">
      <c r="A3200" t="s">
        <v>122</v>
      </c>
      <c r="C3200" s="92">
        <v>4615447785</v>
      </c>
      <c r="D3200" s="93">
        <v>19200</v>
      </c>
      <c r="F3200" s="94">
        <v>16</v>
      </c>
      <c r="G3200" s="94">
        <v>5</v>
      </c>
      <c r="H3200" s="91">
        <v>0</v>
      </c>
      <c r="I3200" s="91">
        <v>0</v>
      </c>
      <c r="J3200" s="41"/>
      <c r="K3200" s="41">
        <v>43524</v>
      </c>
      <c r="L3200" s="69" t="s">
        <v>80</v>
      </c>
      <c r="M3200" s="69" t="s">
        <v>286</v>
      </c>
      <c r="N3200" s="95"/>
      <c r="P3200" t="s">
        <v>95</v>
      </c>
      <c r="Q3200" t="s">
        <v>120</v>
      </c>
      <c r="R3200" s="92" t="s">
        <v>69</v>
      </c>
      <c r="S3200" s="92" t="s">
        <v>394</v>
      </c>
      <c r="V3200" s="95">
        <v>43524</v>
      </c>
      <c r="W3200" s="92">
        <v>2033913</v>
      </c>
      <c r="X3200" s="90"/>
      <c r="Y3200" s="123"/>
      <c r="Z3200" s="30">
        <f t="shared" si="98"/>
        <v>6772.6006943194379</v>
      </c>
      <c r="AA3200" s="30">
        <f t="shared" si="99"/>
        <v>2116.4377169748245</v>
      </c>
      <c r="AB3200" t="s">
        <v>457</v>
      </c>
    </row>
    <row r="3201" spans="1:28">
      <c r="A3201" t="s">
        <v>122</v>
      </c>
      <c r="C3201" s="92">
        <v>4615447785</v>
      </c>
      <c r="D3201" s="93">
        <v>19200</v>
      </c>
      <c r="F3201" s="94">
        <v>16</v>
      </c>
      <c r="G3201" s="94">
        <v>5</v>
      </c>
      <c r="H3201" s="91">
        <v>0</v>
      </c>
      <c r="I3201" s="91">
        <v>0</v>
      </c>
      <c r="J3201" s="41"/>
      <c r="K3201" s="41">
        <v>43524</v>
      </c>
      <c r="L3201" s="69" t="s">
        <v>80</v>
      </c>
      <c r="M3201" s="69" t="s">
        <v>286</v>
      </c>
      <c r="N3201" s="95"/>
      <c r="P3201" t="s">
        <v>95</v>
      </c>
      <c r="Q3201" t="s">
        <v>120</v>
      </c>
      <c r="R3201" s="92" t="s">
        <v>69</v>
      </c>
      <c r="S3201" s="92" t="s">
        <v>394</v>
      </c>
      <c r="V3201" s="95">
        <v>43524</v>
      </c>
      <c r="W3201" s="92">
        <v>2033913</v>
      </c>
      <c r="X3201" s="90"/>
      <c r="Y3201" s="123"/>
      <c r="Z3201" s="30">
        <f t="shared" si="98"/>
        <v>6772.6006943194379</v>
      </c>
      <c r="AA3201" s="30">
        <f t="shared" si="99"/>
        <v>2116.4377169748245</v>
      </c>
      <c r="AB3201" t="s">
        <v>457</v>
      </c>
    </row>
    <row r="3202" spans="1:28">
      <c r="A3202" t="s">
        <v>122</v>
      </c>
      <c r="C3202" s="92">
        <v>4615447785</v>
      </c>
      <c r="D3202" s="93">
        <v>19200</v>
      </c>
      <c r="F3202" s="94">
        <v>16</v>
      </c>
      <c r="G3202" s="94">
        <v>5</v>
      </c>
      <c r="H3202" s="91">
        <v>0</v>
      </c>
      <c r="I3202" s="91">
        <v>0</v>
      </c>
      <c r="J3202" s="41"/>
      <c r="K3202" s="41">
        <v>43524</v>
      </c>
      <c r="L3202" s="69" t="s">
        <v>80</v>
      </c>
      <c r="M3202" s="69" t="s">
        <v>286</v>
      </c>
      <c r="N3202" s="95"/>
      <c r="P3202" t="s">
        <v>95</v>
      </c>
      <c r="Q3202" t="s">
        <v>120</v>
      </c>
      <c r="R3202" s="92" t="s">
        <v>69</v>
      </c>
      <c r="S3202" s="92" t="s">
        <v>394</v>
      </c>
      <c r="V3202" s="95">
        <v>43524</v>
      </c>
      <c r="W3202" s="92">
        <v>2033913</v>
      </c>
      <c r="X3202" s="90"/>
      <c r="Y3202" s="123"/>
      <c r="Z3202" s="30">
        <f t="shared" si="98"/>
        <v>6772.6006943194379</v>
      </c>
      <c r="AA3202" s="30">
        <f t="shared" si="99"/>
        <v>2116.4377169748245</v>
      </c>
      <c r="AB3202" t="s">
        <v>457</v>
      </c>
    </row>
    <row r="3203" spans="1:28">
      <c r="A3203" t="s">
        <v>122</v>
      </c>
      <c r="C3203" s="92">
        <v>4615447785</v>
      </c>
      <c r="D3203" s="93">
        <v>19200</v>
      </c>
      <c r="F3203" s="94">
        <v>16</v>
      </c>
      <c r="G3203" s="94">
        <v>5</v>
      </c>
      <c r="H3203" s="91">
        <v>0</v>
      </c>
      <c r="I3203" s="91">
        <v>0</v>
      </c>
      <c r="J3203" s="41"/>
      <c r="K3203" s="41">
        <v>43524</v>
      </c>
      <c r="L3203" s="69" t="s">
        <v>80</v>
      </c>
      <c r="M3203" s="69" t="s">
        <v>286</v>
      </c>
      <c r="N3203" s="95"/>
      <c r="P3203" t="s">
        <v>95</v>
      </c>
      <c r="Q3203" t="s">
        <v>120</v>
      </c>
      <c r="R3203" s="92" t="s">
        <v>69</v>
      </c>
      <c r="S3203" s="92" t="s">
        <v>394</v>
      </c>
      <c r="V3203" s="95">
        <v>43524</v>
      </c>
      <c r="W3203" s="92">
        <v>2033913</v>
      </c>
      <c r="X3203" s="90"/>
      <c r="Y3203" s="123"/>
      <c r="Z3203" s="30">
        <f t="shared" ref="Z3203:Z3266" si="100">CONVERT(D3203,"kg","lbm")*F3203/100</f>
        <v>6772.6006943194379</v>
      </c>
      <c r="AA3203" s="30">
        <f t="shared" ref="AA3203:AA3266" si="101">CONVERT(D3203,"kg","lbm")*G3203/100</f>
        <v>2116.4377169748245</v>
      </c>
      <c r="AB3203" t="s">
        <v>457</v>
      </c>
    </row>
    <row r="3204" spans="1:28">
      <c r="A3204" t="s">
        <v>122</v>
      </c>
      <c r="C3204" s="92">
        <v>4615447785</v>
      </c>
      <c r="D3204" s="93">
        <v>19200</v>
      </c>
      <c r="F3204" s="94">
        <v>16</v>
      </c>
      <c r="G3204" s="94">
        <v>5</v>
      </c>
      <c r="H3204" s="91">
        <v>0</v>
      </c>
      <c r="I3204" s="91">
        <v>0</v>
      </c>
      <c r="J3204" s="41"/>
      <c r="K3204" s="41">
        <v>43524</v>
      </c>
      <c r="L3204" s="69" t="s">
        <v>80</v>
      </c>
      <c r="M3204" s="69" t="s">
        <v>286</v>
      </c>
      <c r="N3204" s="95"/>
      <c r="P3204" t="s">
        <v>95</v>
      </c>
      <c r="Q3204" t="s">
        <v>120</v>
      </c>
      <c r="R3204" s="92" t="s">
        <v>69</v>
      </c>
      <c r="S3204" s="92" t="s">
        <v>394</v>
      </c>
      <c r="V3204" s="95">
        <v>43524</v>
      </c>
      <c r="W3204" s="92">
        <v>2033913</v>
      </c>
      <c r="X3204" s="90"/>
      <c r="Y3204" s="123"/>
      <c r="Z3204" s="30">
        <f t="shared" si="100"/>
        <v>6772.6006943194379</v>
      </c>
      <c r="AA3204" s="30">
        <f t="shared" si="101"/>
        <v>2116.4377169748245</v>
      </c>
      <c r="AB3204" t="s">
        <v>457</v>
      </c>
    </row>
    <row r="3205" spans="1:28">
      <c r="A3205" t="s">
        <v>122</v>
      </c>
      <c r="C3205" s="92">
        <v>4615447785</v>
      </c>
      <c r="D3205" s="93">
        <v>19200</v>
      </c>
      <c r="F3205" s="94">
        <v>16</v>
      </c>
      <c r="G3205" s="94">
        <v>5</v>
      </c>
      <c r="H3205" s="91">
        <v>0</v>
      </c>
      <c r="I3205" s="91">
        <v>0</v>
      </c>
      <c r="J3205" s="41"/>
      <c r="K3205" s="41">
        <v>43524</v>
      </c>
      <c r="L3205" s="69" t="s">
        <v>80</v>
      </c>
      <c r="M3205" s="69" t="s">
        <v>286</v>
      </c>
      <c r="N3205" s="95"/>
      <c r="P3205" t="s">
        <v>95</v>
      </c>
      <c r="Q3205" t="s">
        <v>120</v>
      </c>
      <c r="R3205" s="92" t="s">
        <v>69</v>
      </c>
      <c r="S3205" s="92" t="s">
        <v>394</v>
      </c>
      <c r="V3205" s="95">
        <v>43524</v>
      </c>
      <c r="W3205" s="92">
        <v>2033913</v>
      </c>
      <c r="X3205" s="90"/>
      <c r="Y3205" s="123"/>
      <c r="Z3205" s="30">
        <f t="shared" si="100"/>
        <v>6772.6006943194379</v>
      </c>
      <c r="AA3205" s="30">
        <f t="shared" si="101"/>
        <v>2116.4377169748245</v>
      </c>
      <c r="AB3205" t="s">
        <v>457</v>
      </c>
    </row>
    <row r="3206" spans="1:28">
      <c r="A3206" t="s">
        <v>122</v>
      </c>
      <c r="C3206" s="92">
        <v>4615447785</v>
      </c>
      <c r="D3206" s="93">
        <v>19200</v>
      </c>
      <c r="F3206" s="94">
        <v>16</v>
      </c>
      <c r="G3206" s="94">
        <v>5</v>
      </c>
      <c r="H3206" s="91">
        <v>0</v>
      </c>
      <c r="I3206" s="91">
        <v>0</v>
      </c>
      <c r="J3206" s="41"/>
      <c r="K3206" s="41">
        <v>43524</v>
      </c>
      <c r="L3206" s="69" t="s">
        <v>80</v>
      </c>
      <c r="M3206" s="69" t="s">
        <v>286</v>
      </c>
      <c r="N3206" s="95"/>
      <c r="P3206" t="s">
        <v>95</v>
      </c>
      <c r="Q3206" t="s">
        <v>120</v>
      </c>
      <c r="R3206" s="92" t="s">
        <v>69</v>
      </c>
      <c r="S3206" s="92" t="s">
        <v>394</v>
      </c>
      <c r="V3206" s="95">
        <v>43524</v>
      </c>
      <c r="W3206" s="92">
        <v>2033913</v>
      </c>
      <c r="X3206" s="90"/>
      <c r="Y3206" s="123"/>
      <c r="Z3206" s="30">
        <f t="shared" si="100"/>
        <v>6772.6006943194379</v>
      </c>
      <c r="AA3206" s="30">
        <f t="shared" si="101"/>
        <v>2116.4377169748245</v>
      </c>
      <c r="AB3206" t="s">
        <v>457</v>
      </c>
    </row>
    <row r="3207" spans="1:28">
      <c r="A3207" t="s">
        <v>122</v>
      </c>
      <c r="C3207" s="92">
        <v>4615447785</v>
      </c>
      <c r="D3207" s="93">
        <v>19200</v>
      </c>
      <c r="F3207" s="94">
        <v>16</v>
      </c>
      <c r="G3207" s="94">
        <v>5</v>
      </c>
      <c r="H3207" s="91">
        <v>0</v>
      </c>
      <c r="I3207" s="91">
        <v>0</v>
      </c>
      <c r="J3207" s="41"/>
      <c r="K3207" s="41">
        <v>43524</v>
      </c>
      <c r="L3207" s="69" t="s">
        <v>80</v>
      </c>
      <c r="M3207" s="69" t="s">
        <v>286</v>
      </c>
      <c r="N3207" s="95"/>
      <c r="P3207" t="s">
        <v>95</v>
      </c>
      <c r="Q3207" t="s">
        <v>120</v>
      </c>
      <c r="R3207" s="92" t="s">
        <v>69</v>
      </c>
      <c r="S3207" s="92" t="s">
        <v>394</v>
      </c>
      <c r="V3207" s="95">
        <v>43524</v>
      </c>
      <c r="W3207" s="92">
        <v>2033913</v>
      </c>
      <c r="X3207" s="90"/>
      <c r="Y3207" s="123"/>
      <c r="Z3207" s="30">
        <f t="shared" si="100"/>
        <v>6772.6006943194379</v>
      </c>
      <c r="AA3207" s="30">
        <f t="shared" si="101"/>
        <v>2116.4377169748245</v>
      </c>
      <c r="AB3207" t="s">
        <v>457</v>
      </c>
    </row>
    <row r="3208" spans="1:28">
      <c r="A3208" t="s">
        <v>122</v>
      </c>
      <c r="C3208" s="92">
        <v>4615447785</v>
      </c>
      <c r="D3208" s="93">
        <v>19200</v>
      </c>
      <c r="F3208" s="94">
        <v>16</v>
      </c>
      <c r="G3208" s="94">
        <v>5</v>
      </c>
      <c r="H3208" s="91">
        <v>0</v>
      </c>
      <c r="I3208" s="91">
        <v>0</v>
      </c>
      <c r="J3208" s="41"/>
      <c r="K3208" s="41">
        <v>43524</v>
      </c>
      <c r="L3208" s="69" t="s">
        <v>80</v>
      </c>
      <c r="M3208" s="69" t="s">
        <v>286</v>
      </c>
      <c r="N3208" s="95"/>
      <c r="P3208" t="s">
        <v>95</v>
      </c>
      <c r="Q3208" t="s">
        <v>120</v>
      </c>
      <c r="R3208" s="92" t="s">
        <v>69</v>
      </c>
      <c r="S3208" s="92" t="s">
        <v>394</v>
      </c>
      <c r="V3208" s="95">
        <v>43524</v>
      </c>
      <c r="W3208" s="92">
        <v>2033913</v>
      </c>
      <c r="X3208" s="90"/>
      <c r="Y3208" s="123"/>
      <c r="Z3208" s="30">
        <f t="shared" si="100"/>
        <v>6772.6006943194379</v>
      </c>
      <c r="AA3208" s="30">
        <f t="shared" si="101"/>
        <v>2116.4377169748245</v>
      </c>
      <c r="AB3208" t="s">
        <v>457</v>
      </c>
    </row>
    <row r="3209" spans="1:28">
      <c r="A3209" t="s">
        <v>122</v>
      </c>
      <c r="C3209" s="92">
        <v>4615518759</v>
      </c>
      <c r="D3209" s="93">
        <v>19200</v>
      </c>
      <c r="F3209" s="91">
        <v>16</v>
      </c>
      <c r="G3209" s="96">
        <v>5</v>
      </c>
      <c r="H3209" s="94">
        <v>0</v>
      </c>
      <c r="I3209" s="91">
        <v>0</v>
      </c>
      <c r="J3209" s="41"/>
      <c r="K3209" s="41">
        <v>43524</v>
      </c>
      <c r="L3209" s="69" t="s">
        <v>80</v>
      </c>
      <c r="M3209" s="69" t="s">
        <v>286</v>
      </c>
      <c r="N3209" s="95"/>
      <c r="P3209" t="s">
        <v>95</v>
      </c>
      <c r="Q3209" t="s">
        <v>120</v>
      </c>
      <c r="R3209" s="92" t="s">
        <v>69</v>
      </c>
      <c r="S3209" s="92" t="s">
        <v>395</v>
      </c>
      <c r="V3209" s="95">
        <v>43524</v>
      </c>
      <c r="W3209" s="92">
        <v>2033923</v>
      </c>
      <c r="X3209" s="90"/>
      <c r="Y3209" s="123"/>
      <c r="Z3209" s="30">
        <f t="shared" si="100"/>
        <v>6772.6006943194379</v>
      </c>
      <c r="AA3209" s="30">
        <f t="shared" si="101"/>
        <v>2116.4377169748245</v>
      </c>
      <c r="AB3209" t="s">
        <v>457</v>
      </c>
    </row>
    <row r="3210" spans="1:28">
      <c r="A3210" t="s">
        <v>122</v>
      </c>
      <c r="C3210" s="92">
        <v>4615518759</v>
      </c>
      <c r="D3210" s="93">
        <v>19200</v>
      </c>
      <c r="F3210" s="91">
        <v>16</v>
      </c>
      <c r="G3210" s="96">
        <v>5</v>
      </c>
      <c r="H3210" s="94">
        <v>0</v>
      </c>
      <c r="I3210" s="91">
        <v>0</v>
      </c>
      <c r="J3210" s="41"/>
      <c r="K3210" s="41">
        <v>43524</v>
      </c>
      <c r="L3210" s="69" t="s">
        <v>80</v>
      </c>
      <c r="M3210" s="69" t="s">
        <v>286</v>
      </c>
      <c r="N3210" s="95"/>
      <c r="P3210" t="s">
        <v>95</v>
      </c>
      <c r="Q3210" t="s">
        <v>120</v>
      </c>
      <c r="R3210" s="92" t="s">
        <v>69</v>
      </c>
      <c r="S3210" s="92" t="s">
        <v>395</v>
      </c>
      <c r="V3210" s="95">
        <v>43524</v>
      </c>
      <c r="W3210" s="92">
        <v>2033923</v>
      </c>
      <c r="X3210" s="90"/>
      <c r="Y3210" s="123"/>
      <c r="Z3210" s="30">
        <f t="shared" si="100"/>
        <v>6772.6006943194379</v>
      </c>
      <c r="AA3210" s="30">
        <f t="shared" si="101"/>
        <v>2116.4377169748245</v>
      </c>
      <c r="AB3210" t="s">
        <v>457</v>
      </c>
    </row>
    <row r="3211" spans="1:28">
      <c r="A3211" t="s">
        <v>122</v>
      </c>
      <c r="C3211" s="92">
        <v>4615518759</v>
      </c>
      <c r="D3211" s="93">
        <v>19200</v>
      </c>
      <c r="F3211" s="91">
        <v>16</v>
      </c>
      <c r="G3211" s="96">
        <v>5</v>
      </c>
      <c r="H3211" s="94">
        <v>0</v>
      </c>
      <c r="I3211" s="91">
        <v>0</v>
      </c>
      <c r="J3211" s="41"/>
      <c r="K3211" s="41">
        <v>43524</v>
      </c>
      <c r="L3211" s="69" t="s">
        <v>80</v>
      </c>
      <c r="M3211" s="69" t="s">
        <v>286</v>
      </c>
      <c r="N3211" s="95"/>
      <c r="P3211" t="s">
        <v>95</v>
      </c>
      <c r="Q3211" t="s">
        <v>120</v>
      </c>
      <c r="R3211" s="92" t="s">
        <v>69</v>
      </c>
      <c r="S3211" s="92" t="s">
        <v>395</v>
      </c>
      <c r="V3211" s="95">
        <v>43524</v>
      </c>
      <c r="W3211" s="92">
        <v>2033923</v>
      </c>
      <c r="X3211" s="90"/>
      <c r="Y3211" s="123"/>
      <c r="Z3211" s="30">
        <f t="shared" si="100"/>
        <v>6772.6006943194379</v>
      </c>
      <c r="AA3211" s="30">
        <f t="shared" si="101"/>
        <v>2116.4377169748245</v>
      </c>
      <c r="AB3211" t="s">
        <v>457</v>
      </c>
    </row>
    <row r="3212" spans="1:28">
      <c r="A3212" t="s">
        <v>122</v>
      </c>
      <c r="C3212" s="92">
        <v>4615518759</v>
      </c>
      <c r="D3212" s="93">
        <v>19200</v>
      </c>
      <c r="F3212" s="91">
        <v>16</v>
      </c>
      <c r="G3212" s="96">
        <v>5</v>
      </c>
      <c r="H3212" s="94">
        <v>0</v>
      </c>
      <c r="I3212" s="91">
        <v>0</v>
      </c>
      <c r="J3212" s="41"/>
      <c r="K3212" s="41">
        <v>43524</v>
      </c>
      <c r="L3212" s="69" t="s">
        <v>80</v>
      </c>
      <c r="M3212" s="69" t="s">
        <v>286</v>
      </c>
      <c r="N3212" s="95"/>
      <c r="P3212" t="s">
        <v>95</v>
      </c>
      <c r="Q3212" t="s">
        <v>120</v>
      </c>
      <c r="R3212" s="92" t="s">
        <v>69</v>
      </c>
      <c r="S3212" s="92" t="s">
        <v>395</v>
      </c>
      <c r="V3212" s="95">
        <v>43524</v>
      </c>
      <c r="W3212" s="92">
        <v>2033923</v>
      </c>
      <c r="X3212" s="90"/>
      <c r="Y3212" s="123"/>
      <c r="Z3212" s="30">
        <f t="shared" si="100"/>
        <v>6772.6006943194379</v>
      </c>
      <c r="AA3212" s="30">
        <f t="shared" si="101"/>
        <v>2116.4377169748245</v>
      </c>
      <c r="AB3212" t="s">
        <v>457</v>
      </c>
    </row>
    <row r="3213" spans="1:28">
      <c r="A3213" t="s">
        <v>122</v>
      </c>
      <c r="C3213" s="92">
        <v>4615518759</v>
      </c>
      <c r="D3213" s="93">
        <v>19200</v>
      </c>
      <c r="F3213" s="91">
        <v>16</v>
      </c>
      <c r="G3213" s="96">
        <v>5</v>
      </c>
      <c r="H3213" s="94">
        <v>0</v>
      </c>
      <c r="I3213" s="91">
        <v>0</v>
      </c>
      <c r="J3213" s="41"/>
      <c r="K3213" s="41">
        <v>43524</v>
      </c>
      <c r="L3213" s="69" t="s">
        <v>80</v>
      </c>
      <c r="M3213" s="69" t="s">
        <v>286</v>
      </c>
      <c r="N3213" s="95"/>
      <c r="P3213" t="s">
        <v>95</v>
      </c>
      <c r="Q3213" t="s">
        <v>120</v>
      </c>
      <c r="R3213" s="92" t="s">
        <v>69</v>
      </c>
      <c r="S3213" s="92" t="s">
        <v>395</v>
      </c>
      <c r="V3213" s="95">
        <v>43524</v>
      </c>
      <c r="W3213" s="92">
        <v>2033923</v>
      </c>
      <c r="X3213" s="90"/>
      <c r="Y3213" s="123"/>
      <c r="Z3213" s="30">
        <f t="shared" si="100"/>
        <v>6772.6006943194379</v>
      </c>
      <c r="AA3213" s="30">
        <f t="shared" si="101"/>
        <v>2116.4377169748245</v>
      </c>
      <c r="AB3213" t="s">
        <v>457</v>
      </c>
    </row>
    <row r="3214" spans="1:28">
      <c r="A3214" t="s">
        <v>122</v>
      </c>
      <c r="C3214" s="92">
        <v>4615518759</v>
      </c>
      <c r="D3214" s="93">
        <v>19200</v>
      </c>
      <c r="F3214" s="91">
        <v>16</v>
      </c>
      <c r="G3214" s="96">
        <v>5</v>
      </c>
      <c r="H3214" s="94">
        <v>0</v>
      </c>
      <c r="I3214" s="91">
        <v>0</v>
      </c>
      <c r="J3214" s="41"/>
      <c r="K3214" s="41">
        <v>43524</v>
      </c>
      <c r="L3214" s="69" t="s">
        <v>80</v>
      </c>
      <c r="M3214" s="69" t="s">
        <v>286</v>
      </c>
      <c r="N3214" s="95"/>
      <c r="P3214" t="s">
        <v>95</v>
      </c>
      <c r="Q3214" t="s">
        <v>120</v>
      </c>
      <c r="R3214" s="92" t="s">
        <v>69</v>
      </c>
      <c r="S3214" s="92" t="s">
        <v>395</v>
      </c>
      <c r="V3214" s="95">
        <v>43524</v>
      </c>
      <c r="W3214" s="92">
        <v>2033923</v>
      </c>
      <c r="X3214" s="90"/>
      <c r="Y3214" s="123"/>
      <c r="Z3214" s="30">
        <f t="shared" si="100"/>
        <v>6772.6006943194379</v>
      </c>
      <c r="AA3214" s="30">
        <f t="shared" si="101"/>
        <v>2116.4377169748245</v>
      </c>
      <c r="AB3214" t="s">
        <v>457</v>
      </c>
    </row>
    <row r="3215" spans="1:28">
      <c r="A3215" t="s">
        <v>122</v>
      </c>
      <c r="C3215" s="92">
        <v>4615518759</v>
      </c>
      <c r="D3215" s="93">
        <v>19200</v>
      </c>
      <c r="F3215" s="91">
        <v>16</v>
      </c>
      <c r="G3215" s="96">
        <v>5</v>
      </c>
      <c r="H3215" s="94">
        <v>0</v>
      </c>
      <c r="I3215" s="91">
        <v>0</v>
      </c>
      <c r="J3215" s="41"/>
      <c r="K3215" s="41">
        <v>43524</v>
      </c>
      <c r="L3215" s="69" t="s">
        <v>80</v>
      </c>
      <c r="M3215" s="69" t="s">
        <v>286</v>
      </c>
      <c r="N3215" s="95"/>
      <c r="P3215" t="s">
        <v>95</v>
      </c>
      <c r="Q3215" t="s">
        <v>120</v>
      </c>
      <c r="R3215" s="92" t="s">
        <v>69</v>
      </c>
      <c r="S3215" s="92" t="s">
        <v>395</v>
      </c>
      <c r="V3215" s="95">
        <v>43524</v>
      </c>
      <c r="W3215" s="92">
        <v>2033923</v>
      </c>
      <c r="X3215" s="90"/>
      <c r="Y3215" s="123"/>
      <c r="Z3215" s="30">
        <f t="shared" si="100"/>
        <v>6772.6006943194379</v>
      </c>
      <c r="AA3215" s="30">
        <f t="shared" si="101"/>
        <v>2116.4377169748245</v>
      </c>
      <c r="AB3215" t="s">
        <v>457</v>
      </c>
    </row>
    <row r="3216" spans="1:28">
      <c r="A3216" t="s">
        <v>122</v>
      </c>
      <c r="C3216" s="92">
        <v>4615518759</v>
      </c>
      <c r="D3216" s="93">
        <v>19200</v>
      </c>
      <c r="F3216" s="91">
        <v>16</v>
      </c>
      <c r="G3216" s="96">
        <v>5</v>
      </c>
      <c r="H3216" s="94">
        <v>0</v>
      </c>
      <c r="I3216" s="91">
        <v>0</v>
      </c>
      <c r="J3216" s="41"/>
      <c r="K3216" s="41">
        <v>43524</v>
      </c>
      <c r="L3216" s="69" t="s">
        <v>80</v>
      </c>
      <c r="M3216" s="69" t="s">
        <v>286</v>
      </c>
      <c r="N3216" s="95"/>
      <c r="P3216" t="s">
        <v>95</v>
      </c>
      <c r="Q3216" t="s">
        <v>120</v>
      </c>
      <c r="R3216" s="92" t="s">
        <v>69</v>
      </c>
      <c r="S3216" s="92" t="s">
        <v>395</v>
      </c>
      <c r="V3216" s="95">
        <v>43524</v>
      </c>
      <c r="W3216" s="92">
        <v>2033923</v>
      </c>
      <c r="X3216" s="90"/>
      <c r="Y3216" s="123"/>
      <c r="Z3216" s="30">
        <f t="shared" si="100"/>
        <v>6772.6006943194379</v>
      </c>
      <c r="AA3216" s="30">
        <f t="shared" si="101"/>
        <v>2116.4377169748245</v>
      </c>
      <c r="AB3216" t="s">
        <v>457</v>
      </c>
    </row>
    <row r="3217" spans="1:28">
      <c r="A3217" t="s">
        <v>122</v>
      </c>
      <c r="C3217" s="92">
        <v>4615518759</v>
      </c>
      <c r="D3217" s="93">
        <v>19200</v>
      </c>
      <c r="F3217" s="91">
        <v>16</v>
      </c>
      <c r="G3217" s="96">
        <v>5</v>
      </c>
      <c r="H3217" s="94">
        <v>0</v>
      </c>
      <c r="I3217" s="91">
        <v>0</v>
      </c>
      <c r="J3217" s="41"/>
      <c r="K3217" s="41">
        <v>43524</v>
      </c>
      <c r="L3217" s="69" t="s">
        <v>80</v>
      </c>
      <c r="M3217" s="69" t="s">
        <v>286</v>
      </c>
      <c r="N3217" s="95"/>
      <c r="P3217" t="s">
        <v>95</v>
      </c>
      <c r="Q3217" t="s">
        <v>120</v>
      </c>
      <c r="R3217" s="92" t="s">
        <v>69</v>
      </c>
      <c r="S3217" s="92" t="s">
        <v>395</v>
      </c>
      <c r="V3217" s="95">
        <v>43524</v>
      </c>
      <c r="W3217" s="92">
        <v>2033923</v>
      </c>
      <c r="X3217" s="90"/>
      <c r="Y3217" s="123"/>
      <c r="Z3217" s="30">
        <f t="shared" si="100"/>
        <v>6772.6006943194379</v>
      </c>
      <c r="AA3217" s="30">
        <f t="shared" si="101"/>
        <v>2116.4377169748245</v>
      </c>
      <c r="AB3217" t="s">
        <v>457</v>
      </c>
    </row>
    <row r="3218" spans="1:28">
      <c r="A3218" t="s">
        <v>122</v>
      </c>
      <c r="C3218" s="92">
        <v>4615518759</v>
      </c>
      <c r="D3218" s="93">
        <v>19200</v>
      </c>
      <c r="F3218" s="91">
        <v>16</v>
      </c>
      <c r="G3218" s="96">
        <v>5</v>
      </c>
      <c r="H3218" s="94">
        <v>0</v>
      </c>
      <c r="I3218" s="91">
        <v>0</v>
      </c>
      <c r="J3218" s="41"/>
      <c r="K3218" s="41">
        <v>43524</v>
      </c>
      <c r="L3218" s="69" t="s">
        <v>80</v>
      </c>
      <c r="M3218" s="69" t="s">
        <v>286</v>
      </c>
      <c r="N3218" s="95"/>
      <c r="P3218" t="s">
        <v>95</v>
      </c>
      <c r="Q3218" t="s">
        <v>120</v>
      </c>
      <c r="R3218" s="92" t="s">
        <v>69</v>
      </c>
      <c r="S3218" s="92" t="s">
        <v>395</v>
      </c>
      <c r="V3218" s="95">
        <v>43524</v>
      </c>
      <c r="W3218" s="92">
        <v>2033923</v>
      </c>
      <c r="X3218" s="90"/>
      <c r="Y3218" s="123"/>
      <c r="Z3218" s="30">
        <f t="shared" si="100"/>
        <v>6772.6006943194379</v>
      </c>
      <c r="AA3218" s="30">
        <f t="shared" si="101"/>
        <v>2116.4377169748245</v>
      </c>
      <c r="AB3218" t="s">
        <v>457</v>
      </c>
    </row>
    <row r="3219" spans="1:28">
      <c r="A3219" t="s">
        <v>122</v>
      </c>
      <c r="C3219" s="92">
        <v>4615518759</v>
      </c>
      <c r="D3219" s="93">
        <v>19200</v>
      </c>
      <c r="F3219" s="91">
        <v>16</v>
      </c>
      <c r="G3219" s="96">
        <v>5</v>
      </c>
      <c r="H3219" s="94">
        <v>0</v>
      </c>
      <c r="I3219" s="91">
        <v>0</v>
      </c>
      <c r="J3219" s="41"/>
      <c r="K3219" s="41">
        <v>43524</v>
      </c>
      <c r="L3219" s="69" t="s">
        <v>80</v>
      </c>
      <c r="M3219" s="69" t="s">
        <v>286</v>
      </c>
      <c r="N3219" s="95"/>
      <c r="P3219" t="s">
        <v>95</v>
      </c>
      <c r="Q3219" t="s">
        <v>120</v>
      </c>
      <c r="R3219" s="92" t="s">
        <v>69</v>
      </c>
      <c r="S3219" s="92" t="s">
        <v>395</v>
      </c>
      <c r="V3219" s="95">
        <v>43524</v>
      </c>
      <c r="W3219" s="92">
        <v>2033923</v>
      </c>
      <c r="X3219" s="90"/>
      <c r="Y3219" s="123"/>
      <c r="Z3219" s="30">
        <f t="shared" si="100"/>
        <v>6772.6006943194379</v>
      </c>
      <c r="AA3219" s="30">
        <f t="shared" si="101"/>
        <v>2116.4377169748245</v>
      </c>
      <c r="AB3219" t="s">
        <v>457</v>
      </c>
    </row>
    <row r="3220" spans="1:28">
      <c r="A3220" t="s">
        <v>118</v>
      </c>
      <c r="C3220" s="92">
        <v>4615446109</v>
      </c>
      <c r="D3220" s="93">
        <v>19175</v>
      </c>
      <c r="F3220" s="91">
        <v>16</v>
      </c>
      <c r="G3220" s="96">
        <v>5</v>
      </c>
      <c r="H3220" s="94">
        <v>0</v>
      </c>
      <c r="I3220" s="91">
        <v>0</v>
      </c>
      <c r="J3220" s="41"/>
      <c r="K3220" s="41">
        <v>43524</v>
      </c>
      <c r="L3220" s="69" t="s">
        <v>80</v>
      </c>
      <c r="M3220" s="69" t="s">
        <v>286</v>
      </c>
      <c r="N3220" s="95"/>
      <c r="P3220" t="s">
        <v>95</v>
      </c>
      <c r="Q3220" t="s">
        <v>120</v>
      </c>
      <c r="R3220" s="92" t="s">
        <v>69</v>
      </c>
      <c r="S3220" s="92" t="s">
        <v>396</v>
      </c>
      <c r="V3220" s="95">
        <v>43524</v>
      </c>
      <c r="W3220" s="92">
        <v>2033933</v>
      </c>
      <c r="X3220" s="90"/>
      <c r="Y3220" s="123"/>
      <c r="Z3220" s="30">
        <f t="shared" si="100"/>
        <v>6763.7822038320437</v>
      </c>
      <c r="AA3220" s="30">
        <f t="shared" si="101"/>
        <v>2113.6819386975139</v>
      </c>
      <c r="AB3220" t="s">
        <v>457</v>
      </c>
    </row>
    <row r="3221" spans="1:28">
      <c r="A3221" t="s">
        <v>118</v>
      </c>
      <c r="C3221" s="92">
        <v>4615446109</v>
      </c>
      <c r="D3221" s="93">
        <v>19175</v>
      </c>
      <c r="F3221" s="91">
        <v>16</v>
      </c>
      <c r="G3221" s="96">
        <v>5</v>
      </c>
      <c r="H3221" s="94">
        <v>0</v>
      </c>
      <c r="I3221" s="91">
        <v>0</v>
      </c>
      <c r="J3221" s="41"/>
      <c r="K3221" s="41">
        <v>43524</v>
      </c>
      <c r="L3221" s="69" t="s">
        <v>80</v>
      </c>
      <c r="M3221" s="69" t="s">
        <v>286</v>
      </c>
      <c r="N3221" s="95"/>
      <c r="P3221" t="s">
        <v>95</v>
      </c>
      <c r="Q3221" t="s">
        <v>120</v>
      </c>
      <c r="R3221" s="92" t="s">
        <v>69</v>
      </c>
      <c r="S3221" s="92" t="s">
        <v>396</v>
      </c>
      <c r="V3221" s="95">
        <v>43524</v>
      </c>
      <c r="W3221" s="92">
        <v>2033933</v>
      </c>
      <c r="X3221" s="90"/>
      <c r="Y3221" s="123"/>
      <c r="Z3221" s="30">
        <f t="shared" si="100"/>
        <v>6763.7822038320437</v>
      </c>
      <c r="AA3221" s="30">
        <f t="shared" si="101"/>
        <v>2113.6819386975139</v>
      </c>
      <c r="AB3221" t="s">
        <v>457</v>
      </c>
    </row>
    <row r="3222" spans="1:28">
      <c r="A3222" t="s">
        <v>118</v>
      </c>
      <c r="C3222" s="92">
        <v>4615446109</v>
      </c>
      <c r="D3222" s="93">
        <v>19175</v>
      </c>
      <c r="F3222" s="91">
        <v>16</v>
      </c>
      <c r="G3222" s="96">
        <v>5</v>
      </c>
      <c r="H3222" s="94">
        <v>0</v>
      </c>
      <c r="I3222" s="91">
        <v>0</v>
      </c>
      <c r="J3222" s="41"/>
      <c r="K3222" s="41">
        <v>43524</v>
      </c>
      <c r="L3222" s="69" t="s">
        <v>80</v>
      </c>
      <c r="M3222" s="69" t="s">
        <v>286</v>
      </c>
      <c r="N3222" s="95"/>
      <c r="P3222" t="s">
        <v>95</v>
      </c>
      <c r="Q3222" t="s">
        <v>120</v>
      </c>
      <c r="R3222" s="92" t="s">
        <v>69</v>
      </c>
      <c r="S3222" s="92" t="s">
        <v>396</v>
      </c>
      <c r="V3222" s="95">
        <v>43524</v>
      </c>
      <c r="W3222" s="92">
        <v>2033933</v>
      </c>
      <c r="X3222" s="90"/>
      <c r="Y3222" s="123"/>
      <c r="Z3222" s="30">
        <f t="shared" si="100"/>
        <v>6763.7822038320437</v>
      </c>
      <c r="AA3222" s="30">
        <f t="shared" si="101"/>
        <v>2113.6819386975139</v>
      </c>
      <c r="AB3222" t="s">
        <v>457</v>
      </c>
    </row>
    <row r="3223" spans="1:28">
      <c r="A3223" t="s">
        <v>118</v>
      </c>
      <c r="C3223" s="92">
        <v>4615446109</v>
      </c>
      <c r="D3223" s="93">
        <v>19175</v>
      </c>
      <c r="F3223" s="91">
        <v>16</v>
      </c>
      <c r="G3223" s="96">
        <v>5</v>
      </c>
      <c r="H3223" s="94">
        <v>0</v>
      </c>
      <c r="I3223" s="91">
        <v>0</v>
      </c>
      <c r="J3223" s="41"/>
      <c r="K3223" s="41">
        <v>43524</v>
      </c>
      <c r="L3223" s="69" t="s">
        <v>80</v>
      </c>
      <c r="M3223" s="69" t="s">
        <v>286</v>
      </c>
      <c r="N3223" s="95"/>
      <c r="P3223" t="s">
        <v>95</v>
      </c>
      <c r="Q3223" t="s">
        <v>120</v>
      </c>
      <c r="R3223" s="92" t="s">
        <v>69</v>
      </c>
      <c r="S3223" s="92" t="s">
        <v>396</v>
      </c>
      <c r="V3223" s="95">
        <v>43524</v>
      </c>
      <c r="W3223" s="92">
        <v>2033933</v>
      </c>
      <c r="X3223" s="90"/>
      <c r="Y3223" s="123"/>
      <c r="Z3223" s="30">
        <f t="shared" si="100"/>
        <v>6763.7822038320437</v>
      </c>
      <c r="AA3223" s="30">
        <f t="shared" si="101"/>
        <v>2113.6819386975139</v>
      </c>
      <c r="AB3223" t="s">
        <v>457</v>
      </c>
    </row>
    <row r="3224" spans="1:28">
      <c r="A3224" t="s">
        <v>118</v>
      </c>
      <c r="C3224" s="92">
        <v>4615446109</v>
      </c>
      <c r="D3224" s="93">
        <v>19175</v>
      </c>
      <c r="F3224" s="91">
        <v>16</v>
      </c>
      <c r="G3224" s="96">
        <v>5</v>
      </c>
      <c r="H3224" s="94">
        <v>0</v>
      </c>
      <c r="I3224" s="91">
        <v>0</v>
      </c>
      <c r="J3224" s="41"/>
      <c r="K3224" s="41">
        <v>43524</v>
      </c>
      <c r="L3224" s="69" t="s">
        <v>80</v>
      </c>
      <c r="M3224" s="69" t="s">
        <v>286</v>
      </c>
      <c r="N3224" s="95"/>
      <c r="P3224" t="s">
        <v>95</v>
      </c>
      <c r="Q3224" t="s">
        <v>120</v>
      </c>
      <c r="R3224" s="92" t="s">
        <v>69</v>
      </c>
      <c r="S3224" s="92" t="s">
        <v>396</v>
      </c>
      <c r="V3224" s="95">
        <v>43524</v>
      </c>
      <c r="W3224" s="92">
        <v>2033933</v>
      </c>
      <c r="X3224" s="90"/>
      <c r="Y3224" s="123"/>
      <c r="Z3224" s="30">
        <f t="shared" si="100"/>
        <v>6763.7822038320437</v>
      </c>
      <c r="AA3224" s="30">
        <f t="shared" si="101"/>
        <v>2113.6819386975139</v>
      </c>
      <c r="AB3224" t="s">
        <v>457</v>
      </c>
    </row>
    <row r="3225" spans="1:28">
      <c r="A3225" t="s">
        <v>118</v>
      </c>
      <c r="C3225" s="92">
        <v>4615446109</v>
      </c>
      <c r="D3225" s="93">
        <v>19175</v>
      </c>
      <c r="F3225" s="91">
        <v>16</v>
      </c>
      <c r="G3225" s="96">
        <v>5</v>
      </c>
      <c r="H3225" s="94">
        <v>0</v>
      </c>
      <c r="I3225" s="91">
        <v>0</v>
      </c>
      <c r="J3225" s="41"/>
      <c r="K3225" s="41">
        <v>43524</v>
      </c>
      <c r="L3225" s="69" t="s">
        <v>80</v>
      </c>
      <c r="M3225" s="69" t="s">
        <v>286</v>
      </c>
      <c r="N3225" s="95"/>
      <c r="P3225" t="s">
        <v>95</v>
      </c>
      <c r="Q3225" t="s">
        <v>120</v>
      </c>
      <c r="R3225" s="92" t="s">
        <v>69</v>
      </c>
      <c r="S3225" s="92" t="s">
        <v>396</v>
      </c>
      <c r="V3225" s="95">
        <v>43524</v>
      </c>
      <c r="W3225" s="92">
        <v>2033933</v>
      </c>
      <c r="X3225" s="90"/>
      <c r="Y3225" s="123"/>
      <c r="Z3225" s="30">
        <f t="shared" si="100"/>
        <v>6763.7822038320437</v>
      </c>
      <c r="AA3225" s="30">
        <f t="shared" si="101"/>
        <v>2113.6819386975139</v>
      </c>
      <c r="AB3225" t="s">
        <v>457</v>
      </c>
    </row>
    <row r="3226" spans="1:28">
      <c r="A3226" t="s">
        <v>122</v>
      </c>
      <c r="C3226" s="92">
        <v>4615452562</v>
      </c>
      <c r="D3226" s="93">
        <v>19200</v>
      </c>
      <c r="F3226" s="91">
        <v>16</v>
      </c>
      <c r="G3226" s="96">
        <v>5</v>
      </c>
      <c r="H3226" s="94">
        <v>0</v>
      </c>
      <c r="I3226" s="91">
        <v>0</v>
      </c>
      <c r="J3226" s="41"/>
      <c r="K3226" s="41">
        <v>43524</v>
      </c>
      <c r="L3226" s="69" t="s">
        <v>80</v>
      </c>
      <c r="M3226" s="69" t="s">
        <v>286</v>
      </c>
      <c r="N3226" s="95"/>
      <c r="P3226" t="s">
        <v>95</v>
      </c>
      <c r="Q3226" t="s">
        <v>120</v>
      </c>
      <c r="R3226" s="92" t="s">
        <v>69</v>
      </c>
      <c r="S3226" s="92" t="s">
        <v>397</v>
      </c>
      <c r="V3226" s="95">
        <v>43524</v>
      </c>
      <c r="W3226" s="92">
        <v>2033943</v>
      </c>
      <c r="X3226" s="90"/>
      <c r="Y3226" s="123"/>
      <c r="Z3226" s="30">
        <f t="shared" si="100"/>
        <v>6772.6006943194379</v>
      </c>
      <c r="AA3226" s="30">
        <f t="shared" si="101"/>
        <v>2116.4377169748245</v>
      </c>
      <c r="AB3226" t="s">
        <v>457</v>
      </c>
    </row>
    <row r="3227" spans="1:28">
      <c r="A3227" t="s">
        <v>122</v>
      </c>
      <c r="C3227" s="92">
        <v>4615452562</v>
      </c>
      <c r="D3227" s="93">
        <v>19200</v>
      </c>
      <c r="F3227" s="91">
        <v>16</v>
      </c>
      <c r="G3227" s="96">
        <v>5</v>
      </c>
      <c r="H3227" s="94">
        <v>0</v>
      </c>
      <c r="I3227" s="91">
        <v>0</v>
      </c>
      <c r="J3227" s="41"/>
      <c r="K3227" s="41">
        <v>43524</v>
      </c>
      <c r="L3227" s="69" t="s">
        <v>80</v>
      </c>
      <c r="M3227" s="69" t="s">
        <v>286</v>
      </c>
      <c r="N3227" s="95"/>
      <c r="P3227" t="s">
        <v>95</v>
      </c>
      <c r="Q3227" t="s">
        <v>120</v>
      </c>
      <c r="R3227" s="92" t="s">
        <v>69</v>
      </c>
      <c r="S3227" s="92" t="s">
        <v>397</v>
      </c>
      <c r="V3227" s="95">
        <v>43524</v>
      </c>
      <c r="W3227" s="92">
        <v>2033943</v>
      </c>
      <c r="X3227" s="90"/>
      <c r="Y3227" s="123"/>
      <c r="Z3227" s="30">
        <f t="shared" si="100"/>
        <v>6772.6006943194379</v>
      </c>
      <c r="AA3227" s="30">
        <f t="shared" si="101"/>
        <v>2116.4377169748245</v>
      </c>
      <c r="AB3227" t="s">
        <v>457</v>
      </c>
    </row>
    <row r="3228" spans="1:28">
      <c r="A3228" t="s">
        <v>122</v>
      </c>
      <c r="C3228" s="92">
        <v>4615452562</v>
      </c>
      <c r="D3228" s="93">
        <v>19200</v>
      </c>
      <c r="F3228" s="91">
        <v>16</v>
      </c>
      <c r="G3228" s="96">
        <v>5</v>
      </c>
      <c r="H3228" s="94">
        <v>0</v>
      </c>
      <c r="I3228" s="91">
        <v>0</v>
      </c>
      <c r="J3228" s="41"/>
      <c r="K3228" s="41">
        <v>43524</v>
      </c>
      <c r="L3228" s="69" t="s">
        <v>80</v>
      </c>
      <c r="M3228" s="69" t="s">
        <v>286</v>
      </c>
      <c r="N3228" s="95"/>
      <c r="P3228" t="s">
        <v>95</v>
      </c>
      <c r="Q3228" t="s">
        <v>120</v>
      </c>
      <c r="R3228" s="92" t="s">
        <v>69</v>
      </c>
      <c r="S3228" s="92" t="s">
        <v>397</v>
      </c>
      <c r="V3228" s="95">
        <v>43524</v>
      </c>
      <c r="W3228" s="92">
        <v>2033943</v>
      </c>
      <c r="X3228" s="90"/>
      <c r="Y3228" s="123"/>
      <c r="Z3228" s="30">
        <f t="shared" si="100"/>
        <v>6772.6006943194379</v>
      </c>
      <c r="AA3228" s="30">
        <f t="shared" si="101"/>
        <v>2116.4377169748245</v>
      </c>
      <c r="AB3228" t="s">
        <v>457</v>
      </c>
    </row>
    <row r="3229" spans="1:28">
      <c r="A3229" t="s">
        <v>122</v>
      </c>
      <c r="C3229" s="92">
        <v>4615452562</v>
      </c>
      <c r="D3229" s="93">
        <v>19200</v>
      </c>
      <c r="F3229" s="91">
        <v>16</v>
      </c>
      <c r="G3229" s="96">
        <v>5</v>
      </c>
      <c r="H3229" s="94">
        <v>0</v>
      </c>
      <c r="I3229" s="91">
        <v>0</v>
      </c>
      <c r="J3229" s="41"/>
      <c r="K3229" s="41">
        <v>43524</v>
      </c>
      <c r="L3229" s="69" t="s">
        <v>80</v>
      </c>
      <c r="M3229" s="69" t="s">
        <v>286</v>
      </c>
      <c r="N3229" s="95"/>
      <c r="P3229" t="s">
        <v>95</v>
      </c>
      <c r="Q3229" t="s">
        <v>120</v>
      </c>
      <c r="R3229" s="92" t="s">
        <v>69</v>
      </c>
      <c r="S3229" s="92" t="s">
        <v>397</v>
      </c>
      <c r="V3229" s="95">
        <v>43524</v>
      </c>
      <c r="W3229" s="92">
        <v>2033943</v>
      </c>
      <c r="X3229" s="90"/>
      <c r="Y3229" s="123"/>
      <c r="Z3229" s="30">
        <f t="shared" si="100"/>
        <v>6772.6006943194379</v>
      </c>
      <c r="AA3229" s="30">
        <f t="shared" si="101"/>
        <v>2116.4377169748245</v>
      </c>
      <c r="AB3229" t="s">
        <v>457</v>
      </c>
    </row>
    <row r="3230" spans="1:28">
      <c r="A3230" t="s">
        <v>122</v>
      </c>
      <c r="C3230" s="92">
        <v>4615452562</v>
      </c>
      <c r="D3230" s="93">
        <v>19200</v>
      </c>
      <c r="F3230" s="91">
        <v>16</v>
      </c>
      <c r="G3230" s="96">
        <v>5</v>
      </c>
      <c r="H3230" s="94">
        <v>0</v>
      </c>
      <c r="I3230" s="91">
        <v>0</v>
      </c>
      <c r="J3230" s="41"/>
      <c r="K3230" s="41">
        <v>43524</v>
      </c>
      <c r="L3230" s="69" t="s">
        <v>80</v>
      </c>
      <c r="M3230" s="69" t="s">
        <v>286</v>
      </c>
      <c r="N3230" s="95"/>
      <c r="P3230" t="s">
        <v>95</v>
      </c>
      <c r="Q3230" t="s">
        <v>120</v>
      </c>
      <c r="R3230" s="92" t="s">
        <v>69</v>
      </c>
      <c r="S3230" s="92" t="s">
        <v>397</v>
      </c>
      <c r="V3230" s="95">
        <v>43524</v>
      </c>
      <c r="W3230" s="92">
        <v>2033943</v>
      </c>
      <c r="X3230" s="90"/>
      <c r="Y3230" s="123"/>
      <c r="Z3230" s="30">
        <f t="shared" si="100"/>
        <v>6772.6006943194379</v>
      </c>
      <c r="AA3230" s="30">
        <f t="shared" si="101"/>
        <v>2116.4377169748245</v>
      </c>
      <c r="AB3230" t="s">
        <v>457</v>
      </c>
    </row>
    <row r="3231" spans="1:28">
      <c r="A3231" t="s">
        <v>122</v>
      </c>
      <c r="C3231" s="92">
        <v>4615452562</v>
      </c>
      <c r="D3231" s="93">
        <v>19200</v>
      </c>
      <c r="F3231" s="91">
        <v>16</v>
      </c>
      <c r="G3231" s="96">
        <v>5</v>
      </c>
      <c r="H3231" s="94">
        <v>0</v>
      </c>
      <c r="I3231" s="91">
        <v>0</v>
      </c>
      <c r="J3231" s="41"/>
      <c r="K3231" s="41">
        <v>43524</v>
      </c>
      <c r="L3231" s="69" t="s">
        <v>80</v>
      </c>
      <c r="M3231" s="69" t="s">
        <v>286</v>
      </c>
      <c r="N3231" s="95"/>
      <c r="P3231" t="s">
        <v>95</v>
      </c>
      <c r="Q3231" t="s">
        <v>120</v>
      </c>
      <c r="R3231" s="92" t="s">
        <v>69</v>
      </c>
      <c r="S3231" s="92" t="s">
        <v>397</v>
      </c>
      <c r="V3231" s="95">
        <v>43524</v>
      </c>
      <c r="W3231" s="92">
        <v>2033943</v>
      </c>
      <c r="X3231" s="90"/>
      <c r="Y3231" s="123"/>
      <c r="Z3231" s="30">
        <f t="shared" si="100"/>
        <v>6772.6006943194379</v>
      </c>
      <c r="AA3231" s="30">
        <f t="shared" si="101"/>
        <v>2116.4377169748245</v>
      </c>
      <c r="AB3231" t="s">
        <v>457</v>
      </c>
    </row>
    <row r="3232" spans="1:28">
      <c r="A3232" t="s">
        <v>122</v>
      </c>
      <c r="C3232" s="92">
        <v>4615452562</v>
      </c>
      <c r="D3232" s="93">
        <v>19200</v>
      </c>
      <c r="F3232" s="91">
        <v>16</v>
      </c>
      <c r="G3232" s="96">
        <v>5</v>
      </c>
      <c r="H3232" s="94">
        <v>0</v>
      </c>
      <c r="I3232" s="91">
        <v>0</v>
      </c>
      <c r="J3232" s="41"/>
      <c r="K3232" s="41">
        <v>43524</v>
      </c>
      <c r="L3232" s="69" t="s">
        <v>80</v>
      </c>
      <c r="M3232" s="69" t="s">
        <v>286</v>
      </c>
      <c r="N3232" s="95"/>
      <c r="P3232" t="s">
        <v>95</v>
      </c>
      <c r="Q3232" t="s">
        <v>120</v>
      </c>
      <c r="R3232" s="92" t="s">
        <v>69</v>
      </c>
      <c r="S3232" s="92" t="s">
        <v>397</v>
      </c>
      <c r="V3232" s="95">
        <v>43524</v>
      </c>
      <c r="W3232" s="92">
        <v>2033943</v>
      </c>
      <c r="X3232" s="90"/>
      <c r="Y3232" s="123"/>
      <c r="Z3232" s="30">
        <f t="shared" si="100"/>
        <v>6772.6006943194379</v>
      </c>
      <c r="AA3232" s="30">
        <f t="shared" si="101"/>
        <v>2116.4377169748245</v>
      </c>
      <c r="AB3232" t="s">
        <v>457</v>
      </c>
    </row>
    <row r="3233" spans="1:28">
      <c r="A3233" t="s">
        <v>122</v>
      </c>
      <c r="C3233" s="92">
        <v>4615452562</v>
      </c>
      <c r="D3233" s="93">
        <v>19200</v>
      </c>
      <c r="F3233" s="91">
        <v>16</v>
      </c>
      <c r="G3233" s="96">
        <v>5</v>
      </c>
      <c r="H3233" s="94">
        <v>0</v>
      </c>
      <c r="I3233" s="91">
        <v>0</v>
      </c>
      <c r="J3233" s="41"/>
      <c r="K3233" s="41">
        <v>43524</v>
      </c>
      <c r="L3233" s="69" t="s">
        <v>80</v>
      </c>
      <c r="M3233" s="69" t="s">
        <v>286</v>
      </c>
      <c r="N3233" s="95"/>
      <c r="P3233" t="s">
        <v>95</v>
      </c>
      <c r="Q3233" t="s">
        <v>120</v>
      </c>
      <c r="R3233" s="92" t="s">
        <v>69</v>
      </c>
      <c r="S3233" s="92" t="s">
        <v>397</v>
      </c>
      <c r="V3233" s="95">
        <v>43524</v>
      </c>
      <c r="W3233" s="92">
        <v>2033943</v>
      </c>
      <c r="X3233" s="90"/>
      <c r="Y3233" s="123"/>
      <c r="Z3233" s="30">
        <f t="shared" si="100"/>
        <v>6772.6006943194379</v>
      </c>
      <c r="AA3233" s="30">
        <f t="shared" si="101"/>
        <v>2116.4377169748245</v>
      </c>
      <c r="AB3233" t="s">
        <v>457</v>
      </c>
    </row>
    <row r="3234" spans="1:28">
      <c r="A3234" t="s">
        <v>122</v>
      </c>
      <c r="C3234" s="92">
        <v>4615452562</v>
      </c>
      <c r="D3234" s="93">
        <v>19200</v>
      </c>
      <c r="F3234" s="91">
        <v>16</v>
      </c>
      <c r="G3234" s="96">
        <v>5</v>
      </c>
      <c r="H3234" s="94">
        <v>0</v>
      </c>
      <c r="I3234" s="91">
        <v>0</v>
      </c>
      <c r="J3234" s="41"/>
      <c r="K3234" s="41">
        <v>43524</v>
      </c>
      <c r="L3234" s="69" t="s">
        <v>80</v>
      </c>
      <c r="M3234" s="69" t="s">
        <v>286</v>
      </c>
      <c r="N3234" s="95"/>
      <c r="P3234" t="s">
        <v>95</v>
      </c>
      <c r="Q3234" t="s">
        <v>120</v>
      </c>
      <c r="R3234" s="92" t="s">
        <v>69</v>
      </c>
      <c r="S3234" s="92" t="s">
        <v>397</v>
      </c>
      <c r="V3234" s="95">
        <v>43524</v>
      </c>
      <c r="W3234" s="92">
        <v>2033943</v>
      </c>
      <c r="X3234" s="90"/>
      <c r="Y3234" s="123"/>
      <c r="Z3234" s="30">
        <f t="shared" si="100"/>
        <v>6772.6006943194379</v>
      </c>
      <c r="AA3234" s="30">
        <f t="shared" si="101"/>
        <v>2116.4377169748245</v>
      </c>
      <c r="AB3234" t="s">
        <v>457</v>
      </c>
    </row>
    <row r="3235" spans="1:28">
      <c r="A3235" t="s">
        <v>122</v>
      </c>
      <c r="C3235" s="92">
        <v>4615452562</v>
      </c>
      <c r="D3235" s="93">
        <v>19200</v>
      </c>
      <c r="F3235" s="91">
        <v>16</v>
      </c>
      <c r="G3235" s="96">
        <v>5</v>
      </c>
      <c r="H3235" s="94">
        <v>0</v>
      </c>
      <c r="I3235" s="91">
        <v>0</v>
      </c>
      <c r="J3235" s="41"/>
      <c r="K3235" s="41">
        <v>43524</v>
      </c>
      <c r="L3235" s="69" t="s">
        <v>80</v>
      </c>
      <c r="M3235" s="69" t="s">
        <v>286</v>
      </c>
      <c r="N3235" s="95"/>
      <c r="P3235" t="s">
        <v>95</v>
      </c>
      <c r="Q3235" t="s">
        <v>120</v>
      </c>
      <c r="R3235" s="92" t="s">
        <v>69</v>
      </c>
      <c r="S3235" s="92" t="s">
        <v>397</v>
      </c>
      <c r="V3235" s="95">
        <v>43524</v>
      </c>
      <c r="W3235" s="92">
        <v>2033943</v>
      </c>
      <c r="X3235" s="90"/>
      <c r="Y3235" s="123"/>
      <c r="Z3235" s="30">
        <f t="shared" si="100"/>
        <v>6772.6006943194379</v>
      </c>
      <c r="AA3235" s="30">
        <f t="shared" si="101"/>
        <v>2116.4377169748245</v>
      </c>
      <c r="AB3235" t="s">
        <v>457</v>
      </c>
    </row>
    <row r="3236" spans="1:28">
      <c r="A3236" t="s">
        <v>122</v>
      </c>
      <c r="C3236" s="92">
        <v>4615481766</v>
      </c>
      <c r="D3236" s="93">
        <v>19200</v>
      </c>
      <c r="F3236" s="91">
        <v>16</v>
      </c>
      <c r="G3236" s="96">
        <v>5</v>
      </c>
      <c r="H3236" s="94">
        <v>0</v>
      </c>
      <c r="I3236" s="91">
        <v>0</v>
      </c>
      <c r="J3236" s="41"/>
      <c r="K3236" s="41">
        <v>43524</v>
      </c>
      <c r="L3236" s="69" t="s">
        <v>80</v>
      </c>
      <c r="M3236" s="69" t="s">
        <v>286</v>
      </c>
      <c r="N3236" s="95"/>
      <c r="P3236" t="s">
        <v>95</v>
      </c>
      <c r="Q3236" t="s">
        <v>120</v>
      </c>
      <c r="R3236" s="92" t="s">
        <v>69</v>
      </c>
      <c r="S3236" s="92" t="s">
        <v>293</v>
      </c>
      <c r="V3236" s="95">
        <v>43524</v>
      </c>
      <c r="W3236" s="92">
        <v>2033953</v>
      </c>
      <c r="X3236" s="90"/>
      <c r="Y3236" s="123"/>
      <c r="Z3236" s="30">
        <f t="shared" si="100"/>
        <v>6772.6006943194379</v>
      </c>
      <c r="AA3236" s="30">
        <f t="shared" si="101"/>
        <v>2116.4377169748245</v>
      </c>
      <c r="AB3236" t="s">
        <v>457</v>
      </c>
    </row>
    <row r="3237" spans="1:28">
      <c r="A3237" t="s">
        <v>122</v>
      </c>
      <c r="C3237" s="92">
        <v>4615481766</v>
      </c>
      <c r="D3237" s="93">
        <v>19200</v>
      </c>
      <c r="F3237" s="91">
        <v>16</v>
      </c>
      <c r="G3237" s="96">
        <v>5</v>
      </c>
      <c r="H3237" s="94">
        <v>0</v>
      </c>
      <c r="I3237" s="91">
        <v>0</v>
      </c>
      <c r="J3237" s="41"/>
      <c r="K3237" s="41">
        <v>43524</v>
      </c>
      <c r="L3237" s="69" t="s">
        <v>80</v>
      </c>
      <c r="M3237" s="69" t="s">
        <v>286</v>
      </c>
      <c r="N3237" s="95"/>
      <c r="P3237" t="s">
        <v>95</v>
      </c>
      <c r="Q3237" t="s">
        <v>120</v>
      </c>
      <c r="R3237" s="92" t="s">
        <v>69</v>
      </c>
      <c r="S3237" s="92" t="s">
        <v>293</v>
      </c>
      <c r="V3237" s="95">
        <v>43524</v>
      </c>
      <c r="W3237" s="92">
        <v>2033953</v>
      </c>
      <c r="X3237" s="90"/>
      <c r="Y3237" s="123"/>
      <c r="Z3237" s="30">
        <f t="shared" si="100"/>
        <v>6772.6006943194379</v>
      </c>
      <c r="AA3237" s="30">
        <f t="shared" si="101"/>
        <v>2116.4377169748245</v>
      </c>
      <c r="AB3237" t="s">
        <v>457</v>
      </c>
    </row>
    <row r="3238" spans="1:28">
      <c r="A3238" t="s">
        <v>122</v>
      </c>
      <c r="C3238" s="92">
        <v>4615481766</v>
      </c>
      <c r="D3238" s="93">
        <v>19200</v>
      </c>
      <c r="F3238" s="91">
        <v>16</v>
      </c>
      <c r="G3238" s="96">
        <v>5</v>
      </c>
      <c r="H3238" s="94">
        <v>0</v>
      </c>
      <c r="I3238" s="91">
        <v>0</v>
      </c>
      <c r="J3238" s="41"/>
      <c r="K3238" s="41">
        <v>43524</v>
      </c>
      <c r="L3238" s="69" t="s">
        <v>80</v>
      </c>
      <c r="M3238" s="69" t="s">
        <v>286</v>
      </c>
      <c r="N3238" s="95"/>
      <c r="P3238" t="s">
        <v>95</v>
      </c>
      <c r="Q3238" t="s">
        <v>120</v>
      </c>
      <c r="R3238" s="92" t="s">
        <v>69</v>
      </c>
      <c r="S3238" s="92" t="s">
        <v>293</v>
      </c>
      <c r="V3238" s="95">
        <v>43524</v>
      </c>
      <c r="W3238" s="92">
        <v>2033953</v>
      </c>
      <c r="X3238" s="90"/>
      <c r="Y3238" s="123"/>
      <c r="Z3238" s="30">
        <f t="shared" si="100"/>
        <v>6772.6006943194379</v>
      </c>
      <c r="AA3238" s="30">
        <f t="shared" si="101"/>
        <v>2116.4377169748245</v>
      </c>
      <c r="AB3238" t="s">
        <v>457</v>
      </c>
    </row>
    <row r="3239" spans="1:28">
      <c r="A3239" t="s">
        <v>122</v>
      </c>
      <c r="C3239" s="92">
        <v>4615481766</v>
      </c>
      <c r="D3239" s="93">
        <v>19200</v>
      </c>
      <c r="F3239" s="91">
        <v>16</v>
      </c>
      <c r="G3239" s="96">
        <v>5</v>
      </c>
      <c r="H3239" s="94">
        <v>0</v>
      </c>
      <c r="I3239" s="91">
        <v>0</v>
      </c>
      <c r="J3239" s="41"/>
      <c r="K3239" s="41">
        <v>43524</v>
      </c>
      <c r="L3239" s="69" t="s">
        <v>80</v>
      </c>
      <c r="M3239" s="69" t="s">
        <v>286</v>
      </c>
      <c r="N3239" s="95"/>
      <c r="P3239" t="s">
        <v>95</v>
      </c>
      <c r="Q3239" t="s">
        <v>120</v>
      </c>
      <c r="R3239" s="92" t="s">
        <v>69</v>
      </c>
      <c r="S3239" s="92" t="s">
        <v>293</v>
      </c>
      <c r="V3239" s="95">
        <v>43524</v>
      </c>
      <c r="W3239" s="92">
        <v>2033953</v>
      </c>
      <c r="X3239" s="90"/>
      <c r="Y3239" s="123"/>
      <c r="Z3239" s="30">
        <f t="shared" si="100"/>
        <v>6772.6006943194379</v>
      </c>
      <c r="AA3239" s="30">
        <f t="shared" si="101"/>
        <v>2116.4377169748245</v>
      </c>
      <c r="AB3239" t="s">
        <v>457</v>
      </c>
    </row>
    <row r="3240" spans="1:28">
      <c r="A3240" t="s">
        <v>113</v>
      </c>
      <c r="C3240" s="104">
        <v>4615488366</v>
      </c>
      <c r="D3240" s="105">
        <v>19175</v>
      </c>
      <c r="F3240" s="97">
        <v>16</v>
      </c>
      <c r="G3240" s="91">
        <v>0</v>
      </c>
      <c r="H3240" s="94">
        <v>0</v>
      </c>
      <c r="I3240" s="91">
        <v>0</v>
      </c>
      <c r="J3240" s="41"/>
      <c r="K3240" s="41">
        <v>43524</v>
      </c>
      <c r="L3240" s="69" t="s">
        <v>80</v>
      </c>
      <c r="M3240" s="69" t="s">
        <v>286</v>
      </c>
      <c r="N3240" s="95"/>
      <c r="P3240" t="s">
        <v>95</v>
      </c>
      <c r="Q3240" t="s">
        <v>110</v>
      </c>
      <c r="R3240" s="92" t="s">
        <v>69</v>
      </c>
      <c r="S3240" s="92" t="s">
        <v>115</v>
      </c>
      <c r="V3240" s="95">
        <v>43524</v>
      </c>
      <c r="W3240" s="104" t="s">
        <v>402</v>
      </c>
      <c r="X3240" s="90"/>
      <c r="Y3240" s="123"/>
      <c r="Z3240" s="30">
        <f t="shared" si="100"/>
        <v>6763.7822038320437</v>
      </c>
      <c r="AA3240" s="30">
        <f t="shared" si="101"/>
        <v>0</v>
      </c>
      <c r="AB3240" t="s">
        <v>457</v>
      </c>
    </row>
    <row r="3241" spans="1:28">
      <c r="A3241" t="s">
        <v>113</v>
      </c>
      <c r="C3241" s="104">
        <v>4615488366</v>
      </c>
      <c r="D3241" s="105">
        <v>19175</v>
      </c>
      <c r="F3241" s="97">
        <v>16</v>
      </c>
      <c r="G3241" s="91">
        <v>0</v>
      </c>
      <c r="H3241" s="94">
        <v>0</v>
      </c>
      <c r="I3241" s="91">
        <v>0</v>
      </c>
      <c r="J3241" s="41"/>
      <c r="K3241" s="41">
        <v>43524</v>
      </c>
      <c r="L3241" s="69" t="s">
        <v>80</v>
      </c>
      <c r="M3241" s="69" t="s">
        <v>286</v>
      </c>
      <c r="N3241" s="95"/>
      <c r="P3241" t="s">
        <v>95</v>
      </c>
      <c r="Q3241" t="s">
        <v>110</v>
      </c>
      <c r="R3241" s="92" t="s">
        <v>69</v>
      </c>
      <c r="S3241" s="92" t="s">
        <v>115</v>
      </c>
      <c r="V3241" s="95">
        <v>43524</v>
      </c>
      <c r="W3241" s="104" t="s">
        <v>402</v>
      </c>
      <c r="X3241" s="90"/>
      <c r="Y3241" s="123"/>
      <c r="Z3241" s="30">
        <f t="shared" si="100"/>
        <v>6763.7822038320437</v>
      </c>
      <c r="AA3241" s="30">
        <f t="shared" si="101"/>
        <v>0</v>
      </c>
      <c r="AB3241" t="s">
        <v>457</v>
      </c>
    </row>
    <row r="3242" spans="1:28">
      <c r="A3242" t="s">
        <v>113</v>
      </c>
      <c r="C3242" s="104">
        <v>4615488366</v>
      </c>
      <c r="D3242" s="105">
        <v>19175</v>
      </c>
      <c r="F3242" s="97">
        <v>16</v>
      </c>
      <c r="G3242" s="91">
        <v>0</v>
      </c>
      <c r="H3242" s="94">
        <v>0</v>
      </c>
      <c r="I3242" s="91">
        <v>0</v>
      </c>
      <c r="J3242" s="41"/>
      <c r="K3242" s="41">
        <v>43524</v>
      </c>
      <c r="L3242" s="69" t="s">
        <v>80</v>
      </c>
      <c r="M3242" s="69" t="s">
        <v>286</v>
      </c>
      <c r="N3242" s="95"/>
      <c r="P3242" t="s">
        <v>95</v>
      </c>
      <c r="Q3242" t="s">
        <v>110</v>
      </c>
      <c r="R3242" s="92" t="s">
        <v>69</v>
      </c>
      <c r="S3242" s="92" t="s">
        <v>115</v>
      </c>
      <c r="V3242" s="95">
        <v>43524</v>
      </c>
      <c r="W3242" s="104" t="s">
        <v>402</v>
      </c>
      <c r="X3242" s="90"/>
      <c r="Y3242" s="123"/>
      <c r="Z3242" s="30">
        <f t="shared" si="100"/>
        <v>6763.7822038320437</v>
      </c>
      <c r="AA3242" s="30">
        <f t="shared" si="101"/>
        <v>0</v>
      </c>
      <c r="AB3242" t="s">
        <v>457</v>
      </c>
    </row>
    <row r="3243" spans="1:28">
      <c r="A3243" t="s">
        <v>113</v>
      </c>
      <c r="C3243" s="104">
        <v>4615488366</v>
      </c>
      <c r="D3243" s="105">
        <v>19175</v>
      </c>
      <c r="F3243" s="97">
        <v>16</v>
      </c>
      <c r="G3243" s="91">
        <v>0</v>
      </c>
      <c r="H3243" s="94">
        <v>0</v>
      </c>
      <c r="I3243" s="91">
        <v>0</v>
      </c>
      <c r="J3243" s="41"/>
      <c r="K3243" s="41">
        <v>43524</v>
      </c>
      <c r="L3243" s="69" t="s">
        <v>80</v>
      </c>
      <c r="M3243" s="69" t="s">
        <v>286</v>
      </c>
      <c r="N3243" s="95"/>
      <c r="P3243" t="s">
        <v>95</v>
      </c>
      <c r="Q3243" t="s">
        <v>110</v>
      </c>
      <c r="R3243" s="92" t="s">
        <v>69</v>
      </c>
      <c r="S3243" s="92" t="s">
        <v>115</v>
      </c>
      <c r="V3243" s="95">
        <v>43524</v>
      </c>
      <c r="W3243" s="104" t="s">
        <v>402</v>
      </c>
      <c r="X3243" s="90"/>
      <c r="Y3243" s="123"/>
      <c r="Z3243" s="30">
        <f t="shared" si="100"/>
        <v>6763.7822038320437</v>
      </c>
      <c r="AA3243" s="30">
        <f t="shared" si="101"/>
        <v>0</v>
      </c>
      <c r="AB3243" t="s">
        <v>457</v>
      </c>
    </row>
    <row r="3244" spans="1:28">
      <c r="A3244" t="s">
        <v>113</v>
      </c>
      <c r="C3244" s="104">
        <v>4615488366</v>
      </c>
      <c r="D3244" s="105">
        <v>19175</v>
      </c>
      <c r="F3244" s="97">
        <v>16</v>
      </c>
      <c r="G3244" s="91">
        <v>0</v>
      </c>
      <c r="H3244" s="94">
        <v>0</v>
      </c>
      <c r="I3244" s="91">
        <v>0</v>
      </c>
      <c r="J3244" s="41"/>
      <c r="K3244" s="41">
        <v>43524</v>
      </c>
      <c r="L3244" s="69" t="s">
        <v>80</v>
      </c>
      <c r="M3244" s="69" t="s">
        <v>286</v>
      </c>
      <c r="N3244" s="95"/>
      <c r="P3244" t="s">
        <v>95</v>
      </c>
      <c r="Q3244" t="s">
        <v>110</v>
      </c>
      <c r="R3244" s="92" t="s">
        <v>69</v>
      </c>
      <c r="S3244" s="92" t="s">
        <v>115</v>
      </c>
      <c r="V3244" s="95">
        <v>43524</v>
      </c>
      <c r="W3244" s="104" t="s">
        <v>402</v>
      </c>
      <c r="X3244" s="90"/>
      <c r="Y3244" s="123"/>
      <c r="Z3244" s="30">
        <f t="shared" si="100"/>
        <v>6763.7822038320437</v>
      </c>
      <c r="AA3244" s="30">
        <f t="shared" si="101"/>
        <v>0</v>
      </c>
      <c r="AB3244" t="s">
        <v>457</v>
      </c>
    </row>
    <row r="3245" spans="1:28">
      <c r="A3245" t="s">
        <v>113</v>
      </c>
      <c r="C3245" s="104">
        <v>4615488366</v>
      </c>
      <c r="D3245" s="105">
        <v>19175</v>
      </c>
      <c r="F3245" s="97">
        <v>16</v>
      </c>
      <c r="G3245" s="91">
        <v>0</v>
      </c>
      <c r="H3245" s="94">
        <v>0</v>
      </c>
      <c r="I3245" s="91">
        <v>0</v>
      </c>
      <c r="J3245" s="41"/>
      <c r="K3245" s="41">
        <v>43524</v>
      </c>
      <c r="L3245" s="69" t="s">
        <v>80</v>
      </c>
      <c r="M3245" s="69" t="s">
        <v>286</v>
      </c>
      <c r="N3245" s="95"/>
      <c r="P3245" t="s">
        <v>95</v>
      </c>
      <c r="Q3245" t="s">
        <v>110</v>
      </c>
      <c r="R3245" s="92" t="s">
        <v>69</v>
      </c>
      <c r="S3245" s="92" t="s">
        <v>115</v>
      </c>
      <c r="V3245" s="95">
        <v>43524</v>
      </c>
      <c r="W3245" s="104" t="s">
        <v>402</v>
      </c>
      <c r="X3245" s="90"/>
      <c r="Y3245" s="123"/>
      <c r="Z3245" s="30">
        <f t="shared" si="100"/>
        <v>6763.7822038320437</v>
      </c>
      <c r="AA3245" s="30">
        <f t="shared" si="101"/>
        <v>0</v>
      </c>
      <c r="AB3245" t="s">
        <v>457</v>
      </c>
    </row>
    <row r="3246" spans="1:28">
      <c r="A3246" t="s">
        <v>113</v>
      </c>
      <c r="C3246" s="104">
        <v>4615488366</v>
      </c>
      <c r="D3246" s="105">
        <v>19175</v>
      </c>
      <c r="F3246" s="97">
        <v>16</v>
      </c>
      <c r="G3246" s="91">
        <v>0</v>
      </c>
      <c r="H3246" s="94">
        <v>0</v>
      </c>
      <c r="I3246" s="91">
        <v>0</v>
      </c>
      <c r="J3246" s="41"/>
      <c r="K3246" s="41">
        <v>43524</v>
      </c>
      <c r="L3246" s="69" t="s">
        <v>80</v>
      </c>
      <c r="M3246" s="69" t="s">
        <v>286</v>
      </c>
      <c r="N3246" s="95"/>
      <c r="P3246" t="s">
        <v>95</v>
      </c>
      <c r="Q3246" t="s">
        <v>110</v>
      </c>
      <c r="R3246" s="92" t="s">
        <v>69</v>
      </c>
      <c r="S3246" s="92" t="s">
        <v>115</v>
      </c>
      <c r="V3246" s="95">
        <v>43524</v>
      </c>
      <c r="W3246" s="104" t="s">
        <v>402</v>
      </c>
      <c r="X3246" s="90"/>
      <c r="Y3246" s="123"/>
      <c r="Z3246" s="30">
        <f t="shared" si="100"/>
        <v>6763.7822038320437</v>
      </c>
      <c r="AA3246" s="30">
        <f t="shared" si="101"/>
        <v>0</v>
      </c>
      <c r="AB3246" t="s">
        <v>457</v>
      </c>
    </row>
    <row r="3247" spans="1:28">
      <c r="A3247" t="s">
        <v>113</v>
      </c>
      <c r="C3247" s="104">
        <v>4615488366</v>
      </c>
      <c r="D3247" s="105">
        <v>19175</v>
      </c>
      <c r="F3247" s="97">
        <v>16</v>
      </c>
      <c r="G3247" s="91">
        <v>0</v>
      </c>
      <c r="H3247" s="94">
        <v>0</v>
      </c>
      <c r="I3247" s="91">
        <v>0</v>
      </c>
      <c r="J3247" s="41"/>
      <c r="K3247" s="41">
        <v>43524</v>
      </c>
      <c r="L3247" s="69" t="s">
        <v>80</v>
      </c>
      <c r="M3247" s="69" t="s">
        <v>286</v>
      </c>
      <c r="N3247" s="95"/>
      <c r="P3247" t="s">
        <v>95</v>
      </c>
      <c r="Q3247" t="s">
        <v>110</v>
      </c>
      <c r="R3247" s="92" t="s">
        <v>69</v>
      </c>
      <c r="S3247" s="92" t="s">
        <v>115</v>
      </c>
      <c r="V3247" s="95">
        <v>43524</v>
      </c>
      <c r="W3247" s="104" t="s">
        <v>402</v>
      </c>
      <c r="X3247" s="90"/>
      <c r="Y3247" s="123"/>
      <c r="Z3247" s="30">
        <f t="shared" si="100"/>
        <v>6763.7822038320437</v>
      </c>
      <c r="AA3247" s="30">
        <f t="shared" si="101"/>
        <v>0</v>
      </c>
      <c r="AB3247" t="s">
        <v>457</v>
      </c>
    </row>
    <row r="3248" spans="1:28">
      <c r="A3248" t="s">
        <v>113</v>
      </c>
      <c r="C3248" s="104">
        <v>4615488366</v>
      </c>
      <c r="D3248" s="105">
        <v>19175</v>
      </c>
      <c r="F3248" s="97">
        <v>16</v>
      </c>
      <c r="G3248" s="91">
        <v>0</v>
      </c>
      <c r="H3248" s="94">
        <v>0</v>
      </c>
      <c r="I3248" s="91">
        <v>0</v>
      </c>
      <c r="J3248" s="41"/>
      <c r="K3248" s="41">
        <v>43524</v>
      </c>
      <c r="L3248" s="69" t="s">
        <v>80</v>
      </c>
      <c r="M3248" s="69" t="s">
        <v>286</v>
      </c>
      <c r="N3248" s="95"/>
      <c r="P3248" t="s">
        <v>95</v>
      </c>
      <c r="Q3248" t="s">
        <v>110</v>
      </c>
      <c r="R3248" s="92" t="s">
        <v>69</v>
      </c>
      <c r="S3248" s="92" t="s">
        <v>115</v>
      </c>
      <c r="V3248" s="95">
        <v>43524</v>
      </c>
      <c r="W3248" s="104" t="s">
        <v>402</v>
      </c>
      <c r="X3248" s="90"/>
      <c r="Y3248" s="123"/>
      <c r="Z3248" s="30">
        <f t="shared" si="100"/>
        <v>6763.7822038320437</v>
      </c>
      <c r="AA3248" s="30">
        <f t="shared" si="101"/>
        <v>0</v>
      </c>
      <c r="AB3248" t="s">
        <v>457</v>
      </c>
    </row>
    <row r="3249" spans="1:28">
      <c r="A3249" t="s">
        <v>113</v>
      </c>
      <c r="C3249" s="104">
        <v>4615488366</v>
      </c>
      <c r="D3249" s="105">
        <v>19175</v>
      </c>
      <c r="F3249" s="97">
        <v>16</v>
      </c>
      <c r="G3249" s="91">
        <v>0</v>
      </c>
      <c r="H3249" s="94">
        <v>0</v>
      </c>
      <c r="I3249" s="91">
        <v>0</v>
      </c>
      <c r="J3249" s="41"/>
      <c r="K3249" s="41">
        <v>43524</v>
      </c>
      <c r="L3249" s="69" t="s">
        <v>80</v>
      </c>
      <c r="M3249" s="69" t="s">
        <v>286</v>
      </c>
      <c r="N3249" s="95"/>
      <c r="P3249" t="s">
        <v>95</v>
      </c>
      <c r="Q3249" t="s">
        <v>110</v>
      </c>
      <c r="R3249" s="92" t="s">
        <v>69</v>
      </c>
      <c r="S3249" s="92" t="s">
        <v>115</v>
      </c>
      <c r="V3249" s="95">
        <v>43524</v>
      </c>
      <c r="W3249" s="104" t="s">
        <v>402</v>
      </c>
      <c r="X3249" s="90"/>
      <c r="Y3249" s="123"/>
      <c r="Z3249" s="30">
        <f t="shared" si="100"/>
        <v>6763.7822038320437</v>
      </c>
      <c r="AA3249" s="30">
        <f t="shared" si="101"/>
        <v>0</v>
      </c>
      <c r="AB3249" t="s">
        <v>457</v>
      </c>
    </row>
    <row r="3250" spans="1:28">
      <c r="A3250" t="s">
        <v>113</v>
      </c>
      <c r="C3250" s="104">
        <v>4615488366</v>
      </c>
      <c r="D3250" s="105">
        <v>19175</v>
      </c>
      <c r="F3250" s="97">
        <v>16</v>
      </c>
      <c r="G3250" s="91">
        <v>0</v>
      </c>
      <c r="H3250" s="94">
        <v>0</v>
      </c>
      <c r="I3250" s="91">
        <v>0</v>
      </c>
      <c r="J3250" s="41"/>
      <c r="K3250" s="41">
        <v>43524</v>
      </c>
      <c r="L3250" s="69" t="s">
        <v>80</v>
      </c>
      <c r="M3250" s="69" t="s">
        <v>286</v>
      </c>
      <c r="N3250" s="95"/>
      <c r="P3250" t="s">
        <v>95</v>
      </c>
      <c r="Q3250" t="s">
        <v>110</v>
      </c>
      <c r="R3250" s="92" t="s">
        <v>69</v>
      </c>
      <c r="S3250" s="92" t="s">
        <v>115</v>
      </c>
      <c r="V3250" s="95">
        <v>43524</v>
      </c>
      <c r="W3250" s="104" t="s">
        <v>402</v>
      </c>
      <c r="X3250" s="90"/>
      <c r="Y3250" s="123"/>
      <c r="Z3250" s="30">
        <f t="shared" si="100"/>
        <v>6763.7822038320437</v>
      </c>
      <c r="AA3250" s="30">
        <f t="shared" si="101"/>
        <v>0</v>
      </c>
      <c r="AB3250" t="s">
        <v>457</v>
      </c>
    </row>
    <row r="3251" spans="1:28">
      <c r="A3251" t="s">
        <v>113</v>
      </c>
      <c r="C3251" s="104">
        <v>4615488366</v>
      </c>
      <c r="D3251" s="105">
        <v>19175</v>
      </c>
      <c r="F3251" s="97">
        <v>16</v>
      </c>
      <c r="G3251" s="91">
        <v>0</v>
      </c>
      <c r="H3251" s="94">
        <v>0</v>
      </c>
      <c r="I3251" s="91">
        <v>0</v>
      </c>
      <c r="J3251" s="41"/>
      <c r="K3251" s="41">
        <v>43524</v>
      </c>
      <c r="L3251" s="69" t="s">
        <v>80</v>
      </c>
      <c r="M3251" s="69" t="s">
        <v>286</v>
      </c>
      <c r="N3251" s="95"/>
      <c r="P3251" t="s">
        <v>95</v>
      </c>
      <c r="Q3251" t="s">
        <v>110</v>
      </c>
      <c r="R3251" s="92" t="s">
        <v>69</v>
      </c>
      <c r="S3251" s="92" t="s">
        <v>115</v>
      </c>
      <c r="V3251" s="95">
        <v>43524</v>
      </c>
      <c r="W3251" s="104" t="s">
        <v>402</v>
      </c>
      <c r="X3251" s="90"/>
      <c r="Y3251" s="123"/>
      <c r="Z3251" s="30">
        <f t="shared" si="100"/>
        <v>6763.7822038320437</v>
      </c>
      <c r="AA3251" s="30">
        <f t="shared" si="101"/>
        <v>0</v>
      </c>
      <c r="AB3251" t="s">
        <v>457</v>
      </c>
    </row>
    <row r="3252" spans="1:28">
      <c r="A3252" t="s">
        <v>113</v>
      </c>
      <c r="C3252" s="104">
        <v>4615488366</v>
      </c>
      <c r="D3252" s="105">
        <v>19175</v>
      </c>
      <c r="F3252" s="97">
        <v>16</v>
      </c>
      <c r="G3252" s="91">
        <v>0</v>
      </c>
      <c r="H3252" s="94">
        <v>0</v>
      </c>
      <c r="I3252" s="91">
        <v>0</v>
      </c>
      <c r="J3252" s="41"/>
      <c r="K3252" s="41">
        <v>43524</v>
      </c>
      <c r="L3252" s="69" t="s">
        <v>80</v>
      </c>
      <c r="M3252" s="69" t="s">
        <v>286</v>
      </c>
      <c r="N3252" s="95"/>
      <c r="P3252" t="s">
        <v>95</v>
      </c>
      <c r="Q3252" t="s">
        <v>110</v>
      </c>
      <c r="R3252" s="92" t="s">
        <v>69</v>
      </c>
      <c r="S3252" s="92" t="s">
        <v>115</v>
      </c>
      <c r="V3252" s="95">
        <v>43524</v>
      </c>
      <c r="W3252" s="104" t="s">
        <v>402</v>
      </c>
      <c r="X3252" s="90"/>
      <c r="Y3252" s="123"/>
      <c r="Z3252" s="30">
        <f t="shared" si="100"/>
        <v>6763.7822038320437</v>
      </c>
      <c r="AA3252" s="30">
        <f t="shared" si="101"/>
        <v>0</v>
      </c>
      <c r="AB3252" t="s">
        <v>457</v>
      </c>
    </row>
    <row r="3253" spans="1:28">
      <c r="A3253" t="s">
        <v>113</v>
      </c>
      <c r="C3253" s="104">
        <v>4615488366</v>
      </c>
      <c r="D3253" s="105">
        <v>19175</v>
      </c>
      <c r="F3253" s="97">
        <v>16</v>
      </c>
      <c r="G3253" s="91">
        <v>0</v>
      </c>
      <c r="H3253" s="94">
        <v>0</v>
      </c>
      <c r="I3253" s="91">
        <v>0</v>
      </c>
      <c r="J3253" s="41"/>
      <c r="K3253" s="41">
        <v>43524</v>
      </c>
      <c r="L3253" s="69" t="s">
        <v>80</v>
      </c>
      <c r="M3253" s="69" t="s">
        <v>286</v>
      </c>
      <c r="N3253" s="95"/>
      <c r="P3253" t="s">
        <v>95</v>
      </c>
      <c r="Q3253" t="s">
        <v>110</v>
      </c>
      <c r="R3253" s="92" t="s">
        <v>69</v>
      </c>
      <c r="S3253" s="92" t="s">
        <v>115</v>
      </c>
      <c r="V3253" s="95">
        <v>43524</v>
      </c>
      <c r="W3253" s="104" t="s">
        <v>402</v>
      </c>
      <c r="X3253" s="90"/>
      <c r="Y3253" s="123"/>
      <c r="Z3253" s="30">
        <f t="shared" si="100"/>
        <v>6763.7822038320437</v>
      </c>
      <c r="AA3253" s="30">
        <f t="shared" si="101"/>
        <v>0</v>
      </c>
      <c r="AB3253" t="s">
        <v>457</v>
      </c>
    </row>
    <row r="3254" spans="1:28">
      <c r="A3254" t="s">
        <v>113</v>
      </c>
      <c r="C3254" s="104">
        <v>4615488366</v>
      </c>
      <c r="D3254" s="105">
        <v>19175</v>
      </c>
      <c r="F3254" s="97">
        <v>16</v>
      </c>
      <c r="G3254" s="91">
        <v>0</v>
      </c>
      <c r="H3254" s="94">
        <v>0</v>
      </c>
      <c r="I3254" s="91">
        <v>0</v>
      </c>
      <c r="J3254" s="41"/>
      <c r="K3254" s="41">
        <v>43524</v>
      </c>
      <c r="L3254" s="69" t="s">
        <v>80</v>
      </c>
      <c r="M3254" s="69" t="s">
        <v>286</v>
      </c>
      <c r="N3254" s="95"/>
      <c r="P3254" t="s">
        <v>95</v>
      </c>
      <c r="Q3254" t="s">
        <v>110</v>
      </c>
      <c r="R3254" s="92" t="s">
        <v>69</v>
      </c>
      <c r="S3254" s="92" t="s">
        <v>115</v>
      </c>
      <c r="V3254" s="95">
        <v>43524</v>
      </c>
      <c r="W3254" s="104" t="s">
        <v>402</v>
      </c>
      <c r="X3254" s="90"/>
      <c r="Y3254" s="123"/>
      <c r="Z3254" s="30">
        <f t="shared" si="100"/>
        <v>6763.7822038320437</v>
      </c>
      <c r="AA3254" s="30">
        <f t="shared" si="101"/>
        <v>0</v>
      </c>
      <c r="AB3254" t="s">
        <v>457</v>
      </c>
    </row>
    <row r="3255" spans="1:28">
      <c r="A3255" t="s">
        <v>113</v>
      </c>
      <c r="C3255" s="104">
        <v>4615488366</v>
      </c>
      <c r="D3255" s="105">
        <v>19175</v>
      </c>
      <c r="F3255" s="97">
        <v>16</v>
      </c>
      <c r="G3255" s="91">
        <v>0</v>
      </c>
      <c r="H3255" s="94">
        <v>0</v>
      </c>
      <c r="I3255" s="91">
        <v>0</v>
      </c>
      <c r="J3255" s="41"/>
      <c r="K3255" s="41">
        <v>43524</v>
      </c>
      <c r="L3255" s="69" t="s">
        <v>80</v>
      </c>
      <c r="M3255" s="69" t="s">
        <v>286</v>
      </c>
      <c r="N3255" s="95"/>
      <c r="P3255" t="s">
        <v>95</v>
      </c>
      <c r="Q3255" t="s">
        <v>110</v>
      </c>
      <c r="R3255" s="92" t="s">
        <v>69</v>
      </c>
      <c r="S3255" s="92" t="s">
        <v>115</v>
      </c>
      <c r="V3255" s="95">
        <v>43524</v>
      </c>
      <c r="W3255" s="104" t="s">
        <v>402</v>
      </c>
      <c r="X3255" s="90"/>
      <c r="Y3255" s="123"/>
      <c r="Z3255" s="30">
        <f t="shared" si="100"/>
        <v>6763.7822038320437</v>
      </c>
      <c r="AA3255" s="30">
        <f t="shared" si="101"/>
        <v>0</v>
      </c>
      <c r="AB3255" t="s">
        <v>457</v>
      </c>
    </row>
    <row r="3256" spans="1:28">
      <c r="A3256" t="s">
        <v>113</v>
      </c>
      <c r="C3256" s="104">
        <v>4615488366</v>
      </c>
      <c r="D3256" s="105">
        <v>19175</v>
      </c>
      <c r="F3256" s="97">
        <v>16</v>
      </c>
      <c r="G3256" s="91">
        <v>0</v>
      </c>
      <c r="H3256" s="94">
        <v>0</v>
      </c>
      <c r="I3256" s="91">
        <v>0</v>
      </c>
      <c r="J3256" s="41"/>
      <c r="K3256" s="41">
        <v>43524</v>
      </c>
      <c r="L3256" s="69" t="s">
        <v>80</v>
      </c>
      <c r="M3256" s="69" t="s">
        <v>286</v>
      </c>
      <c r="N3256" s="95"/>
      <c r="P3256" t="s">
        <v>95</v>
      </c>
      <c r="Q3256" t="s">
        <v>110</v>
      </c>
      <c r="R3256" s="92" t="s">
        <v>69</v>
      </c>
      <c r="S3256" s="92" t="s">
        <v>115</v>
      </c>
      <c r="V3256" s="95">
        <v>43524</v>
      </c>
      <c r="W3256" s="104" t="s">
        <v>402</v>
      </c>
      <c r="X3256" s="90"/>
      <c r="Y3256" s="123"/>
      <c r="Z3256" s="30">
        <f t="shared" si="100"/>
        <v>6763.7822038320437</v>
      </c>
      <c r="AA3256" s="30">
        <f t="shared" si="101"/>
        <v>0</v>
      </c>
      <c r="AB3256" t="s">
        <v>457</v>
      </c>
    </row>
    <row r="3257" spans="1:28">
      <c r="A3257" t="s">
        <v>113</v>
      </c>
      <c r="C3257" s="104">
        <v>4615488366</v>
      </c>
      <c r="D3257" s="105">
        <v>19175</v>
      </c>
      <c r="F3257" s="97">
        <v>16</v>
      </c>
      <c r="G3257" s="91">
        <v>0</v>
      </c>
      <c r="H3257" s="94">
        <v>0</v>
      </c>
      <c r="I3257" s="91">
        <v>0</v>
      </c>
      <c r="J3257" s="41"/>
      <c r="K3257" s="41">
        <v>43524</v>
      </c>
      <c r="L3257" s="69" t="s">
        <v>80</v>
      </c>
      <c r="M3257" s="69" t="s">
        <v>286</v>
      </c>
      <c r="N3257" s="95"/>
      <c r="P3257" t="s">
        <v>95</v>
      </c>
      <c r="Q3257" t="s">
        <v>110</v>
      </c>
      <c r="R3257" s="92" t="s">
        <v>69</v>
      </c>
      <c r="S3257" s="92" t="s">
        <v>115</v>
      </c>
      <c r="V3257" s="95">
        <v>43524</v>
      </c>
      <c r="W3257" s="104" t="s">
        <v>402</v>
      </c>
      <c r="X3257" s="90"/>
      <c r="Y3257" s="123"/>
      <c r="Z3257" s="30">
        <f t="shared" si="100"/>
        <v>6763.7822038320437</v>
      </c>
      <c r="AA3257" s="30">
        <f t="shared" si="101"/>
        <v>0</v>
      </c>
      <c r="AB3257" t="s">
        <v>457</v>
      </c>
    </row>
    <row r="3258" spans="1:28">
      <c r="A3258" t="s">
        <v>113</v>
      </c>
      <c r="C3258" s="104">
        <v>4615488366</v>
      </c>
      <c r="D3258" s="105">
        <v>19175</v>
      </c>
      <c r="F3258" s="97">
        <v>16</v>
      </c>
      <c r="G3258" s="91">
        <v>0</v>
      </c>
      <c r="H3258" s="94">
        <v>0</v>
      </c>
      <c r="I3258" s="91">
        <v>0</v>
      </c>
      <c r="J3258" s="41"/>
      <c r="K3258" s="41">
        <v>43524</v>
      </c>
      <c r="L3258" s="69" t="s">
        <v>80</v>
      </c>
      <c r="M3258" s="69" t="s">
        <v>286</v>
      </c>
      <c r="N3258" s="95"/>
      <c r="P3258" t="s">
        <v>95</v>
      </c>
      <c r="Q3258" t="s">
        <v>110</v>
      </c>
      <c r="R3258" s="92" t="s">
        <v>69</v>
      </c>
      <c r="S3258" s="92" t="s">
        <v>115</v>
      </c>
      <c r="V3258" s="95">
        <v>43524</v>
      </c>
      <c r="W3258" s="104" t="s">
        <v>402</v>
      </c>
      <c r="X3258" s="90"/>
      <c r="Y3258" s="123"/>
      <c r="Z3258" s="30">
        <f t="shared" si="100"/>
        <v>6763.7822038320437</v>
      </c>
      <c r="AA3258" s="30">
        <f t="shared" si="101"/>
        <v>0</v>
      </c>
      <c r="AB3258" t="s">
        <v>457</v>
      </c>
    </row>
    <row r="3259" spans="1:28">
      <c r="A3259" t="s">
        <v>113</v>
      </c>
      <c r="C3259" s="104">
        <v>4615488366</v>
      </c>
      <c r="D3259" s="105">
        <v>19175</v>
      </c>
      <c r="F3259" s="97">
        <v>16</v>
      </c>
      <c r="G3259" s="91">
        <v>0</v>
      </c>
      <c r="H3259" s="94">
        <v>0</v>
      </c>
      <c r="I3259" s="91">
        <v>0</v>
      </c>
      <c r="J3259" s="41"/>
      <c r="K3259" s="41">
        <v>43524</v>
      </c>
      <c r="L3259" s="69" t="s">
        <v>80</v>
      </c>
      <c r="M3259" s="69" t="s">
        <v>286</v>
      </c>
      <c r="N3259" s="95"/>
      <c r="P3259" t="s">
        <v>95</v>
      </c>
      <c r="Q3259" t="s">
        <v>110</v>
      </c>
      <c r="R3259" s="92" t="s">
        <v>69</v>
      </c>
      <c r="S3259" s="92" t="s">
        <v>115</v>
      </c>
      <c r="V3259" s="95">
        <v>43524</v>
      </c>
      <c r="W3259" s="104" t="s">
        <v>402</v>
      </c>
      <c r="X3259" s="90"/>
      <c r="Y3259" s="123"/>
      <c r="Z3259" s="30">
        <f t="shared" si="100"/>
        <v>6763.7822038320437</v>
      </c>
      <c r="AA3259" s="30">
        <f t="shared" si="101"/>
        <v>0</v>
      </c>
      <c r="AB3259" t="s">
        <v>457</v>
      </c>
    </row>
    <row r="3260" spans="1:28">
      <c r="A3260" t="s">
        <v>113</v>
      </c>
      <c r="C3260" s="92">
        <v>4615506161</v>
      </c>
      <c r="D3260" s="93">
        <v>19175</v>
      </c>
      <c r="F3260" s="91">
        <v>16</v>
      </c>
      <c r="G3260" s="91">
        <v>0</v>
      </c>
      <c r="H3260" s="91">
        <v>0</v>
      </c>
      <c r="I3260" s="91">
        <v>0</v>
      </c>
      <c r="J3260" s="41"/>
      <c r="K3260" s="41">
        <v>43524</v>
      </c>
      <c r="L3260" s="69" t="s">
        <v>80</v>
      </c>
      <c r="M3260" s="69" t="s">
        <v>286</v>
      </c>
      <c r="N3260" s="95"/>
      <c r="P3260" t="s">
        <v>95</v>
      </c>
      <c r="Q3260" t="s">
        <v>110</v>
      </c>
      <c r="R3260" s="92" t="s">
        <v>69</v>
      </c>
      <c r="S3260" s="92" t="s">
        <v>115</v>
      </c>
      <c r="V3260" s="95">
        <v>43524</v>
      </c>
      <c r="W3260" s="92" t="s">
        <v>403</v>
      </c>
      <c r="X3260" s="90"/>
      <c r="Y3260" s="123"/>
      <c r="Z3260" s="30">
        <f t="shared" si="100"/>
        <v>6763.7822038320437</v>
      </c>
      <c r="AA3260" s="30">
        <f t="shared" si="101"/>
        <v>0</v>
      </c>
      <c r="AB3260" t="s">
        <v>457</v>
      </c>
    </row>
    <row r="3261" spans="1:28">
      <c r="A3261" t="s">
        <v>113</v>
      </c>
      <c r="C3261" s="92">
        <v>4615506161</v>
      </c>
      <c r="D3261" s="93">
        <v>19175</v>
      </c>
      <c r="F3261" s="91">
        <v>16</v>
      </c>
      <c r="G3261" s="91">
        <v>0</v>
      </c>
      <c r="H3261" s="91">
        <v>0</v>
      </c>
      <c r="I3261" s="91">
        <v>0</v>
      </c>
      <c r="J3261" s="41"/>
      <c r="K3261" s="41">
        <v>43524</v>
      </c>
      <c r="L3261" s="69" t="s">
        <v>80</v>
      </c>
      <c r="M3261" s="69" t="s">
        <v>286</v>
      </c>
      <c r="N3261" s="95"/>
      <c r="P3261" t="s">
        <v>95</v>
      </c>
      <c r="Q3261" t="s">
        <v>110</v>
      </c>
      <c r="R3261" s="92" t="s">
        <v>69</v>
      </c>
      <c r="S3261" s="92" t="s">
        <v>115</v>
      </c>
      <c r="V3261" s="95">
        <v>43524</v>
      </c>
      <c r="W3261" s="92" t="s">
        <v>403</v>
      </c>
      <c r="X3261" s="90"/>
      <c r="Y3261" s="123"/>
      <c r="Z3261" s="30">
        <f t="shared" si="100"/>
        <v>6763.7822038320437</v>
      </c>
      <c r="AA3261" s="30">
        <f t="shared" si="101"/>
        <v>0</v>
      </c>
      <c r="AB3261" t="s">
        <v>457</v>
      </c>
    </row>
    <row r="3262" spans="1:28">
      <c r="A3262" t="s">
        <v>113</v>
      </c>
      <c r="C3262" s="92">
        <v>4615506161</v>
      </c>
      <c r="D3262" s="93">
        <v>19175</v>
      </c>
      <c r="F3262" s="91">
        <v>16</v>
      </c>
      <c r="G3262" s="91">
        <v>0</v>
      </c>
      <c r="H3262" s="91">
        <v>0</v>
      </c>
      <c r="I3262" s="91">
        <v>0</v>
      </c>
      <c r="J3262" s="41"/>
      <c r="K3262" s="41">
        <v>43524</v>
      </c>
      <c r="L3262" s="69" t="s">
        <v>80</v>
      </c>
      <c r="M3262" s="69" t="s">
        <v>286</v>
      </c>
      <c r="N3262" s="95"/>
      <c r="P3262" t="s">
        <v>95</v>
      </c>
      <c r="Q3262" t="s">
        <v>110</v>
      </c>
      <c r="R3262" s="92" t="s">
        <v>69</v>
      </c>
      <c r="S3262" s="92" t="s">
        <v>115</v>
      </c>
      <c r="V3262" s="95">
        <v>43524</v>
      </c>
      <c r="W3262" s="92" t="s">
        <v>403</v>
      </c>
      <c r="X3262" s="90"/>
      <c r="Y3262" s="123"/>
      <c r="Z3262" s="30">
        <f t="shared" si="100"/>
        <v>6763.7822038320437</v>
      </c>
      <c r="AA3262" s="30">
        <f t="shared" si="101"/>
        <v>0</v>
      </c>
      <c r="AB3262" t="s">
        <v>457</v>
      </c>
    </row>
    <row r="3263" spans="1:28">
      <c r="A3263" t="s">
        <v>113</v>
      </c>
      <c r="C3263" s="92">
        <v>4615506161</v>
      </c>
      <c r="D3263" s="93">
        <v>19175</v>
      </c>
      <c r="F3263" s="91">
        <v>16</v>
      </c>
      <c r="G3263" s="91">
        <v>0</v>
      </c>
      <c r="H3263" s="91">
        <v>0</v>
      </c>
      <c r="I3263" s="91">
        <v>0</v>
      </c>
      <c r="J3263" s="41"/>
      <c r="K3263" s="41">
        <v>43524</v>
      </c>
      <c r="L3263" s="69" t="s">
        <v>80</v>
      </c>
      <c r="M3263" s="69" t="s">
        <v>286</v>
      </c>
      <c r="N3263" s="95"/>
      <c r="P3263" t="s">
        <v>95</v>
      </c>
      <c r="Q3263" t="s">
        <v>110</v>
      </c>
      <c r="R3263" s="92" t="s">
        <v>69</v>
      </c>
      <c r="S3263" s="92" t="s">
        <v>115</v>
      </c>
      <c r="V3263" s="95">
        <v>43524</v>
      </c>
      <c r="W3263" s="92" t="s">
        <v>403</v>
      </c>
      <c r="X3263" s="90"/>
      <c r="Y3263" s="123"/>
      <c r="Z3263" s="30">
        <f t="shared" si="100"/>
        <v>6763.7822038320437</v>
      </c>
      <c r="AA3263" s="30">
        <f t="shared" si="101"/>
        <v>0</v>
      </c>
      <c r="AB3263" t="s">
        <v>457</v>
      </c>
    </row>
    <row r="3264" spans="1:28">
      <c r="A3264" t="s">
        <v>113</v>
      </c>
      <c r="C3264" s="92">
        <v>4615506161</v>
      </c>
      <c r="D3264" s="93">
        <v>19175</v>
      </c>
      <c r="F3264" s="91">
        <v>16</v>
      </c>
      <c r="G3264" s="91">
        <v>0</v>
      </c>
      <c r="H3264" s="91">
        <v>0</v>
      </c>
      <c r="I3264" s="91">
        <v>0</v>
      </c>
      <c r="J3264" s="41"/>
      <c r="K3264" s="41">
        <v>43524</v>
      </c>
      <c r="L3264" s="69" t="s">
        <v>80</v>
      </c>
      <c r="M3264" s="69" t="s">
        <v>286</v>
      </c>
      <c r="N3264" s="95"/>
      <c r="P3264" t="s">
        <v>95</v>
      </c>
      <c r="Q3264" t="s">
        <v>110</v>
      </c>
      <c r="R3264" s="92" t="s">
        <v>69</v>
      </c>
      <c r="S3264" s="92" t="s">
        <v>115</v>
      </c>
      <c r="V3264" s="95">
        <v>43524</v>
      </c>
      <c r="W3264" s="92" t="s">
        <v>403</v>
      </c>
      <c r="X3264" s="90"/>
      <c r="Y3264" s="123"/>
      <c r="Z3264" s="30">
        <f t="shared" si="100"/>
        <v>6763.7822038320437</v>
      </c>
      <c r="AA3264" s="30">
        <f t="shared" si="101"/>
        <v>0</v>
      </c>
      <c r="AB3264" t="s">
        <v>457</v>
      </c>
    </row>
    <row r="3265" spans="1:28">
      <c r="A3265" t="s">
        <v>113</v>
      </c>
      <c r="C3265" s="92">
        <v>4615506161</v>
      </c>
      <c r="D3265" s="93">
        <v>19175</v>
      </c>
      <c r="F3265" s="91">
        <v>16</v>
      </c>
      <c r="G3265" s="91">
        <v>0</v>
      </c>
      <c r="H3265" s="91">
        <v>0</v>
      </c>
      <c r="I3265" s="91">
        <v>0</v>
      </c>
      <c r="J3265" s="41"/>
      <c r="K3265" s="41">
        <v>43524</v>
      </c>
      <c r="L3265" s="69" t="s">
        <v>80</v>
      </c>
      <c r="M3265" s="69" t="s">
        <v>286</v>
      </c>
      <c r="N3265" s="95"/>
      <c r="P3265" t="s">
        <v>95</v>
      </c>
      <c r="Q3265" t="s">
        <v>110</v>
      </c>
      <c r="R3265" s="92" t="s">
        <v>69</v>
      </c>
      <c r="S3265" s="92" t="s">
        <v>115</v>
      </c>
      <c r="V3265" s="95">
        <v>43524</v>
      </c>
      <c r="W3265" s="92" t="s">
        <v>403</v>
      </c>
      <c r="X3265" s="90"/>
      <c r="Y3265" s="123"/>
      <c r="Z3265" s="30">
        <f t="shared" si="100"/>
        <v>6763.7822038320437</v>
      </c>
      <c r="AA3265" s="30">
        <f t="shared" si="101"/>
        <v>0</v>
      </c>
      <c r="AB3265" t="s">
        <v>457</v>
      </c>
    </row>
    <row r="3266" spans="1:28">
      <c r="A3266" t="s">
        <v>113</v>
      </c>
      <c r="C3266" s="92">
        <v>4615506161</v>
      </c>
      <c r="D3266" s="93">
        <v>19175</v>
      </c>
      <c r="F3266" s="91">
        <v>16</v>
      </c>
      <c r="G3266" s="91">
        <v>0</v>
      </c>
      <c r="H3266" s="91">
        <v>0</v>
      </c>
      <c r="I3266" s="91">
        <v>0</v>
      </c>
      <c r="J3266" s="41"/>
      <c r="K3266" s="41">
        <v>43524</v>
      </c>
      <c r="L3266" s="69" t="s">
        <v>80</v>
      </c>
      <c r="M3266" s="69" t="s">
        <v>286</v>
      </c>
      <c r="N3266" s="95"/>
      <c r="P3266" t="s">
        <v>95</v>
      </c>
      <c r="Q3266" t="s">
        <v>110</v>
      </c>
      <c r="R3266" s="92" t="s">
        <v>69</v>
      </c>
      <c r="S3266" s="92" t="s">
        <v>115</v>
      </c>
      <c r="V3266" s="95">
        <v>43524</v>
      </c>
      <c r="W3266" s="92" t="s">
        <v>403</v>
      </c>
      <c r="X3266" s="90"/>
      <c r="Y3266" s="123"/>
      <c r="Z3266" s="30">
        <f t="shared" si="100"/>
        <v>6763.7822038320437</v>
      </c>
      <c r="AA3266" s="30">
        <f t="shared" si="101"/>
        <v>0</v>
      </c>
      <c r="AB3266" t="s">
        <v>457</v>
      </c>
    </row>
    <row r="3267" spans="1:28">
      <c r="A3267" t="s">
        <v>113</v>
      </c>
      <c r="C3267" s="92">
        <v>4615506161</v>
      </c>
      <c r="D3267" s="93">
        <v>19175</v>
      </c>
      <c r="F3267" s="91">
        <v>16</v>
      </c>
      <c r="G3267" s="91">
        <v>0</v>
      </c>
      <c r="H3267" s="91">
        <v>0</v>
      </c>
      <c r="I3267" s="91">
        <v>0</v>
      </c>
      <c r="J3267" s="41"/>
      <c r="K3267" s="41">
        <v>43524</v>
      </c>
      <c r="L3267" s="69" t="s">
        <v>80</v>
      </c>
      <c r="M3267" s="69" t="s">
        <v>286</v>
      </c>
      <c r="N3267" s="95"/>
      <c r="P3267" t="s">
        <v>95</v>
      </c>
      <c r="Q3267" t="s">
        <v>110</v>
      </c>
      <c r="R3267" s="92" t="s">
        <v>69</v>
      </c>
      <c r="S3267" s="92" t="s">
        <v>115</v>
      </c>
      <c r="V3267" s="95">
        <v>43524</v>
      </c>
      <c r="W3267" s="92" t="s">
        <v>403</v>
      </c>
      <c r="X3267" s="90"/>
      <c r="Y3267" s="123"/>
      <c r="Z3267" s="30">
        <f t="shared" ref="Z3267:Z3330" si="102">CONVERT(D3267,"kg","lbm")*F3267/100</f>
        <v>6763.7822038320437</v>
      </c>
      <c r="AA3267" s="30">
        <f t="shared" ref="AA3267:AA3330" si="103">CONVERT(D3267,"kg","lbm")*G3267/100</f>
        <v>0</v>
      </c>
      <c r="AB3267" t="s">
        <v>457</v>
      </c>
    </row>
    <row r="3268" spans="1:28">
      <c r="A3268" t="s">
        <v>113</v>
      </c>
      <c r="C3268" s="92">
        <v>4615506161</v>
      </c>
      <c r="D3268" s="93">
        <v>19175</v>
      </c>
      <c r="F3268" s="91">
        <v>16</v>
      </c>
      <c r="G3268" s="91">
        <v>0</v>
      </c>
      <c r="H3268" s="91">
        <v>0</v>
      </c>
      <c r="I3268" s="91">
        <v>0</v>
      </c>
      <c r="J3268" s="41"/>
      <c r="K3268" s="41">
        <v>43524</v>
      </c>
      <c r="L3268" s="69" t="s">
        <v>80</v>
      </c>
      <c r="M3268" s="69" t="s">
        <v>286</v>
      </c>
      <c r="N3268" s="95"/>
      <c r="P3268" t="s">
        <v>95</v>
      </c>
      <c r="Q3268" t="s">
        <v>110</v>
      </c>
      <c r="R3268" s="92" t="s">
        <v>69</v>
      </c>
      <c r="S3268" s="92" t="s">
        <v>115</v>
      </c>
      <c r="V3268" s="95">
        <v>43524</v>
      </c>
      <c r="W3268" s="92" t="s">
        <v>403</v>
      </c>
      <c r="X3268" s="90"/>
      <c r="Y3268" s="123"/>
      <c r="Z3268" s="30">
        <f t="shared" si="102"/>
        <v>6763.7822038320437</v>
      </c>
      <c r="AA3268" s="30">
        <f t="shared" si="103"/>
        <v>0</v>
      </c>
      <c r="AB3268" t="s">
        <v>457</v>
      </c>
    </row>
    <row r="3269" spans="1:28">
      <c r="A3269" t="s">
        <v>113</v>
      </c>
      <c r="C3269" s="92">
        <v>4615506161</v>
      </c>
      <c r="D3269" s="93">
        <v>19175</v>
      </c>
      <c r="F3269" s="91">
        <v>16</v>
      </c>
      <c r="G3269" s="91">
        <v>0</v>
      </c>
      <c r="H3269" s="91">
        <v>0</v>
      </c>
      <c r="I3269" s="91">
        <v>0</v>
      </c>
      <c r="J3269" s="41"/>
      <c r="K3269" s="41">
        <v>43524</v>
      </c>
      <c r="L3269" s="69" t="s">
        <v>80</v>
      </c>
      <c r="M3269" s="69" t="s">
        <v>286</v>
      </c>
      <c r="N3269" s="95"/>
      <c r="P3269" t="s">
        <v>95</v>
      </c>
      <c r="Q3269" t="s">
        <v>110</v>
      </c>
      <c r="R3269" s="92" t="s">
        <v>69</v>
      </c>
      <c r="S3269" s="92" t="s">
        <v>115</v>
      </c>
      <c r="V3269" s="95">
        <v>43524</v>
      </c>
      <c r="W3269" s="92" t="s">
        <v>403</v>
      </c>
      <c r="X3269" s="90"/>
      <c r="Y3269" s="123"/>
      <c r="Z3269" s="30">
        <f t="shared" si="102"/>
        <v>6763.7822038320437</v>
      </c>
      <c r="AA3269" s="30">
        <f t="shared" si="103"/>
        <v>0</v>
      </c>
      <c r="AB3269" t="s">
        <v>457</v>
      </c>
    </row>
    <row r="3270" spans="1:28">
      <c r="A3270" t="s">
        <v>113</v>
      </c>
      <c r="C3270" s="92">
        <v>4615506161</v>
      </c>
      <c r="D3270" s="93">
        <v>19175</v>
      </c>
      <c r="F3270" s="91">
        <v>16</v>
      </c>
      <c r="G3270" s="91">
        <v>0</v>
      </c>
      <c r="H3270" s="91">
        <v>0</v>
      </c>
      <c r="I3270" s="91">
        <v>0</v>
      </c>
      <c r="J3270" s="41"/>
      <c r="K3270" s="41">
        <v>43524</v>
      </c>
      <c r="L3270" s="69" t="s">
        <v>80</v>
      </c>
      <c r="M3270" s="69" t="s">
        <v>286</v>
      </c>
      <c r="N3270" s="95"/>
      <c r="P3270" t="s">
        <v>95</v>
      </c>
      <c r="Q3270" t="s">
        <v>110</v>
      </c>
      <c r="R3270" s="92" t="s">
        <v>69</v>
      </c>
      <c r="S3270" s="92" t="s">
        <v>115</v>
      </c>
      <c r="V3270" s="95">
        <v>43524</v>
      </c>
      <c r="W3270" s="92" t="s">
        <v>403</v>
      </c>
      <c r="X3270" s="90"/>
      <c r="Y3270" s="123"/>
      <c r="Z3270" s="30">
        <f t="shared" si="102"/>
        <v>6763.7822038320437</v>
      </c>
      <c r="AA3270" s="30">
        <f t="shared" si="103"/>
        <v>0</v>
      </c>
      <c r="AB3270" t="s">
        <v>457</v>
      </c>
    </row>
    <row r="3271" spans="1:28">
      <c r="A3271" t="s">
        <v>113</v>
      </c>
      <c r="C3271" s="92">
        <v>4615506161</v>
      </c>
      <c r="D3271" s="93">
        <v>19175</v>
      </c>
      <c r="F3271" s="91">
        <v>16</v>
      </c>
      <c r="G3271" s="91">
        <v>0</v>
      </c>
      <c r="H3271" s="91">
        <v>0</v>
      </c>
      <c r="I3271" s="91">
        <v>0</v>
      </c>
      <c r="J3271" s="41"/>
      <c r="K3271" s="41">
        <v>43524</v>
      </c>
      <c r="L3271" s="69" t="s">
        <v>80</v>
      </c>
      <c r="M3271" s="69" t="s">
        <v>286</v>
      </c>
      <c r="N3271" s="95"/>
      <c r="P3271" t="s">
        <v>95</v>
      </c>
      <c r="Q3271" t="s">
        <v>110</v>
      </c>
      <c r="R3271" s="92" t="s">
        <v>69</v>
      </c>
      <c r="S3271" s="92" t="s">
        <v>115</v>
      </c>
      <c r="V3271" s="95">
        <v>43524</v>
      </c>
      <c r="W3271" s="92" t="s">
        <v>403</v>
      </c>
      <c r="X3271" s="90"/>
      <c r="Y3271" s="123"/>
      <c r="Z3271" s="30">
        <f t="shared" si="102"/>
        <v>6763.7822038320437</v>
      </c>
      <c r="AA3271" s="30">
        <f t="shared" si="103"/>
        <v>0</v>
      </c>
      <c r="AB3271" t="s">
        <v>457</v>
      </c>
    </row>
    <row r="3272" spans="1:28">
      <c r="A3272" t="s">
        <v>113</v>
      </c>
      <c r="C3272" s="92">
        <v>4615506161</v>
      </c>
      <c r="D3272" s="93">
        <v>19175</v>
      </c>
      <c r="F3272" s="91">
        <v>16</v>
      </c>
      <c r="G3272" s="91">
        <v>0</v>
      </c>
      <c r="H3272" s="91">
        <v>0</v>
      </c>
      <c r="I3272" s="91">
        <v>0</v>
      </c>
      <c r="J3272" s="41"/>
      <c r="K3272" s="41">
        <v>43524</v>
      </c>
      <c r="L3272" s="69" t="s">
        <v>80</v>
      </c>
      <c r="M3272" s="69" t="s">
        <v>286</v>
      </c>
      <c r="N3272" s="95"/>
      <c r="P3272" t="s">
        <v>95</v>
      </c>
      <c r="Q3272" t="s">
        <v>110</v>
      </c>
      <c r="R3272" s="92" t="s">
        <v>69</v>
      </c>
      <c r="S3272" s="92" t="s">
        <v>115</v>
      </c>
      <c r="V3272" s="95">
        <v>43524</v>
      </c>
      <c r="W3272" s="92" t="s">
        <v>403</v>
      </c>
      <c r="X3272" s="90"/>
      <c r="Y3272" s="123"/>
      <c r="Z3272" s="30">
        <f t="shared" si="102"/>
        <v>6763.7822038320437</v>
      </c>
      <c r="AA3272" s="30">
        <f t="shared" si="103"/>
        <v>0</v>
      </c>
      <c r="AB3272" t="s">
        <v>457</v>
      </c>
    </row>
    <row r="3273" spans="1:28">
      <c r="A3273" t="s">
        <v>113</v>
      </c>
      <c r="C3273" s="92">
        <v>4615506161</v>
      </c>
      <c r="D3273" s="93">
        <v>19175</v>
      </c>
      <c r="F3273" s="91">
        <v>16</v>
      </c>
      <c r="G3273" s="91">
        <v>0</v>
      </c>
      <c r="H3273" s="91">
        <v>0</v>
      </c>
      <c r="I3273" s="91">
        <v>0</v>
      </c>
      <c r="J3273" s="41"/>
      <c r="K3273" s="41">
        <v>43524</v>
      </c>
      <c r="L3273" s="69" t="s">
        <v>80</v>
      </c>
      <c r="M3273" s="69" t="s">
        <v>286</v>
      </c>
      <c r="N3273" s="95"/>
      <c r="P3273" t="s">
        <v>95</v>
      </c>
      <c r="Q3273" t="s">
        <v>110</v>
      </c>
      <c r="R3273" s="92" t="s">
        <v>69</v>
      </c>
      <c r="S3273" s="92" t="s">
        <v>115</v>
      </c>
      <c r="V3273" s="95">
        <v>43524</v>
      </c>
      <c r="W3273" s="92" t="s">
        <v>403</v>
      </c>
      <c r="X3273" s="90"/>
      <c r="Y3273" s="123"/>
      <c r="Z3273" s="30">
        <f t="shared" si="102"/>
        <v>6763.7822038320437</v>
      </c>
      <c r="AA3273" s="30">
        <f t="shared" si="103"/>
        <v>0</v>
      </c>
      <c r="AB3273" t="s">
        <v>457</v>
      </c>
    </row>
    <row r="3274" spans="1:28">
      <c r="A3274" t="s">
        <v>113</v>
      </c>
      <c r="C3274" s="92">
        <v>4615506161</v>
      </c>
      <c r="D3274" s="93">
        <v>19175</v>
      </c>
      <c r="F3274" s="91">
        <v>16</v>
      </c>
      <c r="G3274" s="91">
        <v>0</v>
      </c>
      <c r="H3274" s="91">
        <v>0</v>
      </c>
      <c r="I3274" s="91">
        <v>0</v>
      </c>
      <c r="J3274" s="41"/>
      <c r="K3274" s="41">
        <v>43524</v>
      </c>
      <c r="L3274" s="69" t="s">
        <v>80</v>
      </c>
      <c r="M3274" s="69" t="s">
        <v>286</v>
      </c>
      <c r="N3274" s="95"/>
      <c r="P3274" t="s">
        <v>95</v>
      </c>
      <c r="Q3274" t="s">
        <v>110</v>
      </c>
      <c r="R3274" s="92" t="s">
        <v>69</v>
      </c>
      <c r="S3274" s="92" t="s">
        <v>115</v>
      </c>
      <c r="V3274" s="95">
        <v>43524</v>
      </c>
      <c r="W3274" s="92" t="s">
        <v>403</v>
      </c>
      <c r="X3274" s="90"/>
      <c r="Y3274" s="123"/>
      <c r="Z3274" s="30">
        <f t="shared" si="102"/>
        <v>6763.7822038320437</v>
      </c>
      <c r="AA3274" s="30">
        <f t="shared" si="103"/>
        <v>0</v>
      </c>
      <c r="AB3274" t="s">
        <v>457</v>
      </c>
    </row>
    <row r="3275" spans="1:28">
      <c r="A3275" t="s">
        <v>113</v>
      </c>
      <c r="C3275" s="92">
        <v>4615506161</v>
      </c>
      <c r="D3275" s="93">
        <v>19175</v>
      </c>
      <c r="F3275" s="91">
        <v>16</v>
      </c>
      <c r="G3275" s="91">
        <v>0</v>
      </c>
      <c r="H3275" s="91">
        <v>0</v>
      </c>
      <c r="I3275" s="91">
        <v>0</v>
      </c>
      <c r="J3275" s="41"/>
      <c r="K3275" s="41">
        <v>43524</v>
      </c>
      <c r="L3275" s="69" t="s">
        <v>80</v>
      </c>
      <c r="M3275" s="69" t="s">
        <v>286</v>
      </c>
      <c r="N3275" s="95"/>
      <c r="P3275" t="s">
        <v>95</v>
      </c>
      <c r="Q3275" t="s">
        <v>110</v>
      </c>
      <c r="R3275" s="92" t="s">
        <v>69</v>
      </c>
      <c r="S3275" s="92" t="s">
        <v>115</v>
      </c>
      <c r="V3275" s="95">
        <v>43524</v>
      </c>
      <c r="W3275" s="92" t="s">
        <v>403</v>
      </c>
      <c r="X3275" s="90"/>
      <c r="Y3275" s="123"/>
      <c r="Z3275" s="30">
        <f t="shared" si="102"/>
        <v>6763.7822038320437</v>
      </c>
      <c r="AA3275" s="30">
        <f t="shared" si="103"/>
        <v>0</v>
      </c>
      <c r="AB3275" t="s">
        <v>457</v>
      </c>
    </row>
    <row r="3276" spans="1:28">
      <c r="A3276" t="s">
        <v>113</v>
      </c>
      <c r="C3276" s="92">
        <v>4615506161</v>
      </c>
      <c r="D3276" s="93">
        <v>19175</v>
      </c>
      <c r="F3276" s="91">
        <v>16</v>
      </c>
      <c r="G3276" s="91">
        <v>0</v>
      </c>
      <c r="H3276" s="91">
        <v>0</v>
      </c>
      <c r="I3276" s="91">
        <v>0</v>
      </c>
      <c r="J3276" s="41"/>
      <c r="K3276" s="41">
        <v>43524</v>
      </c>
      <c r="L3276" s="69" t="s">
        <v>80</v>
      </c>
      <c r="M3276" s="69" t="s">
        <v>286</v>
      </c>
      <c r="N3276" s="95"/>
      <c r="P3276" t="s">
        <v>95</v>
      </c>
      <c r="Q3276" t="s">
        <v>110</v>
      </c>
      <c r="R3276" s="92" t="s">
        <v>69</v>
      </c>
      <c r="S3276" s="92" t="s">
        <v>115</v>
      </c>
      <c r="V3276" s="95">
        <v>43524</v>
      </c>
      <c r="W3276" s="92" t="s">
        <v>403</v>
      </c>
      <c r="X3276" s="90"/>
      <c r="Y3276" s="123"/>
      <c r="Z3276" s="30">
        <f t="shared" si="102"/>
        <v>6763.7822038320437</v>
      </c>
      <c r="AA3276" s="30">
        <f t="shared" si="103"/>
        <v>0</v>
      </c>
      <c r="AB3276" t="s">
        <v>457</v>
      </c>
    </row>
    <row r="3277" spans="1:28">
      <c r="A3277" t="s">
        <v>113</v>
      </c>
      <c r="C3277" s="92">
        <v>4615506161</v>
      </c>
      <c r="D3277" s="93">
        <v>19175</v>
      </c>
      <c r="F3277" s="91">
        <v>16</v>
      </c>
      <c r="G3277" s="91">
        <v>0</v>
      </c>
      <c r="H3277" s="91">
        <v>0</v>
      </c>
      <c r="I3277" s="91">
        <v>0</v>
      </c>
      <c r="J3277" s="41"/>
      <c r="K3277" s="41">
        <v>43524</v>
      </c>
      <c r="L3277" s="69" t="s">
        <v>80</v>
      </c>
      <c r="M3277" s="69" t="s">
        <v>286</v>
      </c>
      <c r="N3277" s="95"/>
      <c r="P3277" t="s">
        <v>95</v>
      </c>
      <c r="Q3277" t="s">
        <v>110</v>
      </c>
      <c r="R3277" s="92" t="s">
        <v>69</v>
      </c>
      <c r="S3277" s="92" t="s">
        <v>115</v>
      </c>
      <c r="V3277" s="95">
        <v>43524</v>
      </c>
      <c r="W3277" s="92" t="s">
        <v>403</v>
      </c>
      <c r="X3277" s="90"/>
      <c r="Y3277" s="123"/>
      <c r="Z3277" s="30">
        <f t="shared" si="102"/>
        <v>6763.7822038320437</v>
      </c>
      <c r="AA3277" s="30">
        <f t="shared" si="103"/>
        <v>0</v>
      </c>
      <c r="AB3277" t="s">
        <v>457</v>
      </c>
    </row>
    <row r="3278" spans="1:28">
      <c r="A3278" t="s">
        <v>113</v>
      </c>
      <c r="C3278" s="92">
        <v>4615506161</v>
      </c>
      <c r="D3278" s="93">
        <v>19175</v>
      </c>
      <c r="F3278" s="91">
        <v>16</v>
      </c>
      <c r="G3278" s="91">
        <v>0</v>
      </c>
      <c r="H3278" s="91">
        <v>0</v>
      </c>
      <c r="I3278" s="91">
        <v>0</v>
      </c>
      <c r="J3278" s="41"/>
      <c r="K3278" s="41">
        <v>43524</v>
      </c>
      <c r="L3278" s="69" t="s">
        <v>80</v>
      </c>
      <c r="M3278" s="69" t="s">
        <v>286</v>
      </c>
      <c r="N3278" s="95"/>
      <c r="P3278" t="s">
        <v>95</v>
      </c>
      <c r="Q3278" t="s">
        <v>110</v>
      </c>
      <c r="R3278" s="92" t="s">
        <v>69</v>
      </c>
      <c r="S3278" s="92" t="s">
        <v>115</v>
      </c>
      <c r="V3278" s="95">
        <v>43524</v>
      </c>
      <c r="W3278" s="92" t="s">
        <v>403</v>
      </c>
      <c r="X3278" s="90"/>
      <c r="Y3278" s="123"/>
      <c r="Z3278" s="30">
        <f t="shared" si="102"/>
        <v>6763.7822038320437</v>
      </c>
      <c r="AA3278" s="30">
        <f t="shared" si="103"/>
        <v>0</v>
      </c>
      <c r="AB3278" t="s">
        <v>457</v>
      </c>
    </row>
    <row r="3279" spans="1:28">
      <c r="A3279" t="s">
        <v>113</v>
      </c>
      <c r="C3279" s="92">
        <v>4615506161</v>
      </c>
      <c r="D3279" s="93">
        <v>19175</v>
      </c>
      <c r="F3279" s="91">
        <v>16</v>
      </c>
      <c r="G3279" s="91">
        <v>0</v>
      </c>
      <c r="H3279" s="91">
        <v>0</v>
      </c>
      <c r="I3279" s="91">
        <v>0</v>
      </c>
      <c r="J3279" s="41"/>
      <c r="K3279" s="41">
        <v>43524</v>
      </c>
      <c r="L3279" s="69" t="s">
        <v>80</v>
      </c>
      <c r="M3279" s="69" t="s">
        <v>286</v>
      </c>
      <c r="N3279" s="95"/>
      <c r="P3279" t="s">
        <v>95</v>
      </c>
      <c r="Q3279" t="s">
        <v>110</v>
      </c>
      <c r="R3279" s="92" t="s">
        <v>69</v>
      </c>
      <c r="S3279" s="92" t="s">
        <v>115</v>
      </c>
      <c r="V3279" s="95">
        <v>43524</v>
      </c>
      <c r="W3279" s="92" t="s">
        <v>403</v>
      </c>
      <c r="X3279" s="90"/>
      <c r="Y3279" s="123"/>
      <c r="Z3279" s="30">
        <f t="shared" si="102"/>
        <v>6763.7822038320437</v>
      </c>
      <c r="AA3279" s="30">
        <f t="shared" si="103"/>
        <v>0</v>
      </c>
      <c r="AB3279" t="s">
        <v>457</v>
      </c>
    </row>
    <row r="3280" spans="1:28">
      <c r="A3280" t="s">
        <v>113</v>
      </c>
      <c r="C3280" s="92">
        <v>4615506161</v>
      </c>
      <c r="D3280" s="93">
        <v>19175</v>
      </c>
      <c r="F3280" s="91">
        <v>16</v>
      </c>
      <c r="G3280" s="91">
        <v>0</v>
      </c>
      <c r="H3280" s="91">
        <v>0</v>
      </c>
      <c r="I3280" s="91">
        <v>0</v>
      </c>
      <c r="J3280" s="41"/>
      <c r="K3280" s="41">
        <v>43524</v>
      </c>
      <c r="L3280" s="69" t="s">
        <v>80</v>
      </c>
      <c r="M3280" s="69" t="s">
        <v>286</v>
      </c>
      <c r="N3280" s="95"/>
      <c r="P3280" t="s">
        <v>95</v>
      </c>
      <c r="Q3280" t="s">
        <v>110</v>
      </c>
      <c r="R3280" s="92" t="s">
        <v>69</v>
      </c>
      <c r="S3280" s="92" t="s">
        <v>115</v>
      </c>
      <c r="V3280" s="95">
        <v>43524</v>
      </c>
      <c r="W3280" s="92" t="s">
        <v>403</v>
      </c>
      <c r="X3280" s="90"/>
      <c r="Y3280" s="123"/>
      <c r="Z3280" s="30">
        <f t="shared" si="102"/>
        <v>6763.7822038320437</v>
      </c>
      <c r="AA3280" s="30">
        <f t="shared" si="103"/>
        <v>0</v>
      </c>
      <c r="AB3280" t="s">
        <v>457</v>
      </c>
    </row>
    <row r="3281" spans="1:28">
      <c r="A3281" t="s">
        <v>113</v>
      </c>
      <c r="C3281" s="92">
        <v>4615506161</v>
      </c>
      <c r="D3281" s="93">
        <v>19175</v>
      </c>
      <c r="F3281" s="91">
        <v>16</v>
      </c>
      <c r="G3281" s="91">
        <v>0</v>
      </c>
      <c r="H3281" s="91">
        <v>0</v>
      </c>
      <c r="I3281" s="91">
        <v>0</v>
      </c>
      <c r="J3281" s="41"/>
      <c r="K3281" s="41">
        <v>43524</v>
      </c>
      <c r="L3281" s="69" t="s">
        <v>80</v>
      </c>
      <c r="M3281" s="69" t="s">
        <v>286</v>
      </c>
      <c r="N3281" s="95"/>
      <c r="P3281" t="s">
        <v>95</v>
      </c>
      <c r="Q3281" t="s">
        <v>110</v>
      </c>
      <c r="R3281" s="92" t="s">
        <v>69</v>
      </c>
      <c r="S3281" s="92" t="s">
        <v>115</v>
      </c>
      <c r="V3281" s="95">
        <v>43524</v>
      </c>
      <c r="W3281" s="92" t="s">
        <v>403</v>
      </c>
      <c r="X3281" s="90"/>
      <c r="Y3281" s="123"/>
      <c r="Z3281" s="30">
        <f t="shared" si="102"/>
        <v>6763.7822038320437</v>
      </c>
      <c r="AA3281" s="30">
        <f t="shared" si="103"/>
        <v>0</v>
      </c>
      <c r="AB3281" t="s">
        <v>457</v>
      </c>
    </row>
    <row r="3282" spans="1:28">
      <c r="A3282" t="s">
        <v>113</v>
      </c>
      <c r="C3282" s="92">
        <v>4615506161</v>
      </c>
      <c r="D3282" s="93">
        <v>19175</v>
      </c>
      <c r="F3282" s="91">
        <v>16</v>
      </c>
      <c r="G3282" s="91">
        <v>0</v>
      </c>
      <c r="H3282" s="91">
        <v>0</v>
      </c>
      <c r="I3282" s="91">
        <v>0</v>
      </c>
      <c r="J3282" s="41"/>
      <c r="K3282" s="41">
        <v>43524</v>
      </c>
      <c r="L3282" s="69" t="s">
        <v>80</v>
      </c>
      <c r="M3282" s="69" t="s">
        <v>286</v>
      </c>
      <c r="N3282" s="95"/>
      <c r="P3282" t="s">
        <v>95</v>
      </c>
      <c r="Q3282" t="s">
        <v>110</v>
      </c>
      <c r="R3282" s="92" t="s">
        <v>69</v>
      </c>
      <c r="S3282" s="92" t="s">
        <v>115</v>
      </c>
      <c r="V3282" s="95">
        <v>43524</v>
      </c>
      <c r="W3282" s="92" t="s">
        <v>403</v>
      </c>
      <c r="X3282" s="90"/>
      <c r="Y3282" s="123"/>
      <c r="Z3282" s="30">
        <f t="shared" si="102"/>
        <v>6763.7822038320437</v>
      </c>
      <c r="AA3282" s="30">
        <f t="shared" si="103"/>
        <v>0</v>
      </c>
      <c r="AB3282" t="s">
        <v>457</v>
      </c>
    </row>
    <row r="3283" spans="1:28">
      <c r="A3283" t="s">
        <v>113</v>
      </c>
      <c r="C3283" s="92">
        <v>4615487176</v>
      </c>
      <c r="D3283" s="93">
        <v>19175</v>
      </c>
      <c r="F3283" s="91">
        <v>16</v>
      </c>
      <c r="G3283" s="91">
        <v>5</v>
      </c>
      <c r="H3283" s="91">
        <v>0</v>
      </c>
      <c r="I3283" s="91">
        <v>0</v>
      </c>
      <c r="J3283" s="41"/>
      <c r="K3283" s="41">
        <v>43524</v>
      </c>
      <c r="L3283" s="69" t="s">
        <v>80</v>
      </c>
      <c r="M3283" s="69" t="s">
        <v>286</v>
      </c>
      <c r="N3283" s="95"/>
      <c r="P3283" t="s">
        <v>95</v>
      </c>
      <c r="Q3283" t="s">
        <v>110</v>
      </c>
      <c r="R3283" s="92" t="s">
        <v>69</v>
      </c>
      <c r="S3283" s="92" t="s">
        <v>115</v>
      </c>
      <c r="V3283" s="95">
        <v>43524</v>
      </c>
      <c r="W3283" s="92" t="s">
        <v>404</v>
      </c>
      <c r="X3283" s="90"/>
      <c r="Y3283" s="123"/>
      <c r="Z3283" s="30">
        <f t="shared" si="102"/>
        <v>6763.7822038320437</v>
      </c>
      <c r="AA3283" s="30">
        <f t="shared" si="103"/>
        <v>2113.6819386975139</v>
      </c>
      <c r="AB3283" t="s">
        <v>457</v>
      </c>
    </row>
    <row r="3284" spans="1:28">
      <c r="A3284" t="s">
        <v>113</v>
      </c>
      <c r="C3284" s="92">
        <v>4615487176</v>
      </c>
      <c r="D3284" s="93">
        <v>19175</v>
      </c>
      <c r="F3284" s="91">
        <v>16</v>
      </c>
      <c r="G3284" s="91">
        <v>5</v>
      </c>
      <c r="H3284" s="91">
        <v>0</v>
      </c>
      <c r="I3284" s="91">
        <v>0</v>
      </c>
      <c r="J3284" s="41"/>
      <c r="K3284" s="41">
        <v>43524</v>
      </c>
      <c r="L3284" s="69" t="s">
        <v>80</v>
      </c>
      <c r="M3284" s="69" t="s">
        <v>286</v>
      </c>
      <c r="N3284" s="95"/>
      <c r="P3284" t="s">
        <v>95</v>
      </c>
      <c r="Q3284" t="s">
        <v>110</v>
      </c>
      <c r="R3284" s="92" t="s">
        <v>69</v>
      </c>
      <c r="S3284" s="92" t="s">
        <v>115</v>
      </c>
      <c r="V3284" s="95">
        <v>43524</v>
      </c>
      <c r="W3284" s="92" t="s">
        <v>404</v>
      </c>
      <c r="X3284" s="90"/>
      <c r="Y3284" s="123"/>
      <c r="Z3284" s="30">
        <f t="shared" si="102"/>
        <v>6763.7822038320437</v>
      </c>
      <c r="AA3284" s="30">
        <f t="shared" si="103"/>
        <v>2113.6819386975139</v>
      </c>
      <c r="AB3284" t="s">
        <v>457</v>
      </c>
    </row>
    <row r="3285" spans="1:28">
      <c r="A3285" t="s">
        <v>113</v>
      </c>
      <c r="C3285" s="92">
        <v>4615487176</v>
      </c>
      <c r="D3285" s="93">
        <v>19175</v>
      </c>
      <c r="F3285" s="91">
        <v>16</v>
      </c>
      <c r="G3285" s="91">
        <v>5</v>
      </c>
      <c r="H3285" s="91">
        <v>0</v>
      </c>
      <c r="I3285" s="91">
        <v>0</v>
      </c>
      <c r="J3285" s="41"/>
      <c r="K3285" s="41">
        <v>43524</v>
      </c>
      <c r="L3285" s="69" t="s">
        <v>80</v>
      </c>
      <c r="M3285" s="69" t="s">
        <v>286</v>
      </c>
      <c r="N3285" s="95"/>
      <c r="P3285" t="s">
        <v>95</v>
      </c>
      <c r="Q3285" t="s">
        <v>110</v>
      </c>
      <c r="R3285" s="92" t="s">
        <v>69</v>
      </c>
      <c r="S3285" s="92" t="s">
        <v>115</v>
      </c>
      <c r="V3285" s="95">
        <v>43524</v>
      </c>
      <c r="W3285" s="92" t="s">
        <v>404</v>
      </c>
      <c r="X3285" s="90"/>
      <c r="Y3285" s="123"/>
      <c r="Z3285" s="30">
        <f t="shared" si="102"/>
        <v>6763.7822038320437</v>
      </c>
      <c r="AA3285" s="30">
        <f t="shared" si="103"/>
        <v>2113.6819386975139</v>
      </c>
      <c r="AB3285" t="s">
        <v>457</v>
      </c>
    </row>
    <row r="3286" spans="1:28">
      <c r="A3286" t="s">
        <v>113</v>
      </c>
      <c r="C3286" s="92">
        <v>4615487176</v>
      </c>
      <c r="D3286" s="93">
        <v>19175</v>
      </c>
      <c r="F3286" s="91">
        <v>16</v>
      </c>
      <c r="G3286" s="91">
        <v>5</v>
      </c>
      <c r="H3286" s="91">
        <v>0</v>
      </c>
      <c r="I3286" s="91">
        <v>0</v>
      </c>
      <c r="J3286" s="41"/>
      <c r="K3286" s="41">
        <v>43524</v>
      </c>
      <c r="L3286" s="69" t="s">
        <v>80</v>
      </c>
      <c r="M3286" s="69" t="s">
        <v>286</v>
      </c>
      <c r="N3286" s="95"/>
      <c r="P3286" t="s">
        <v>95</v>
      </c>
      <c r="Q3286" t="s">
        <v>110</v>
      </c>
      <c r="R3286" s="92" t="s">
        <v>69</v>
      </c>
      <c r="S3286" s="92" t="s">
        <v>115</v>
      </c>
      <c r="V3286" s="95">
        <v>43524</v>
      </c>
      <c r="W3286" s="92" t="s">
        <v>404</v>
      </c>
      <c r="X3286" s="90"/>
      <c r="Y3286" s="123"/>
      <c r="Z3286" s="30">
        <f t="shared" si="102"/>
        <v>6763.7822038320437</v>
      </c>
      <c r="AA3286" s="30">
        <f t="shared" si="103"/>
        <v>2113.6819386975139</v>
      </c>
      <c r="AB3286" t="s">
        <v>457</v>
      </c>
    </row>
    <row r="3287" spans="1:28">
      <c r="A3287" t="s">
        <v>113</v>
      </c>
      <c r="C3287" s="92">
        <v>4615487176</v>
      </c>
      <c r="D3287" s="93">
        <v>19175</v>
      </c>
      <c r="F3287" s="91">
        <v>16</v>
      </c>
      <c r="G3287" s="91">
        <v>5</v>
      </c>
      <c r="H3287" s="91">
        <v>0</v>
      </c>
      <c r="I3287" s="91">
        <v>0</v>
      </c>
      <c r="J3287" s="41"/>
      <c r="K3287" s="41">
        <v>43524</v>
      </c>
      <c r="L3287" s="69" t="s">
        <v>80</v>
      </c>
      <c r="M3287" s="69" t="s">
        <v>286</v>
      </c>
      <c r="N3287" s="95"/>
      <c r="P3287" t="s">
        <v>95</v>
      </c>
      <c r="Q3287" t="s">
        <v>110</v>
      </c>
      <c r="R3287" s="92" t="s">
        <v>69</v>
      </c>
      <c r="S3287" s="92" t="s">
        <v>115</v>
      </c>
      <c r="V3287" s="95">
        <v>43524</v>
      </c>
      <c r="W3287" s="92" t="s">
        <v>404</v>
      </c>
      <c r="X3287" s="90"/>
      <c r="Y3287" s="123"/>
      <c r="Z3287" s="30">
        <f t="shared" si="102"/>
        <v>6763.7822038320437</v>
      </c>
      <c r="AA3287" s="30">
        <f t="shared" si="103"/>
        <v>2113.6819386975139</v>
      </c>
      <c r="AB3287" t="s">
        <v>457</v>
      </c>
    </row>
    <row r="3288" spans="1:28">
      <c r="A3288" t="s">
        <v>113</v>
      </c>
      <c r="C3288" s="92">
        <v>4615487176</v>
      </c>
      <c r="D3288" s="93">
        <v>19175</v>
      </c>
      <c r="F3288" s="91">
        <v>16</v>
      </c>
      <c r="G3288" s="91">
        <v>5</v>
      </c>
      <c r="H3288" s="91">
        <v>0</v>
      </c>
      <c r="I3288" s="91">
        <v>0</v>
      </c>
      <c r="J3288" s="41"/>
      <c r="K3288" s="41">
        <v>43524</v>
      </c>
      <c r="L3288" s="69" t="s">
        <v>80</v>
      </c>
      <c r="M3288" s="69" t="s">
        <v>286</v>
      </c>
      <c r="N3288" s="95"/>
      <c r="P3288" t="s">
        <v>95</v>
      </c>
      <c r="Q3288" t="s">
        <v>110</v>
      </c>
      <c r="R3288" s="92" t="s">
        <v>69</v>
      </c>
      <c r="S3288" s="92" t="s">
        <v>115</v>
      </c>
      <c r="V3288" s="95">
        <v>43524</v>
      </c>
      <c r="W3288" s="92" t="s">
        <v>404</v>
      </c>
      <c r="X3288" s="90"/>
      <c r="Y3288" s="123"/>
      <c r="Z3288" s="30">
        <f t="shared" si="102"/>
        <v>6763.7822038320437</v>
      </c>
      <c r="AA3288" s="30">
        <f t="shared" si="103"/>
        <v>2113.6819386975139</v>
      </c>
      <c r="AB3288" t="s">
        <v>457</v>
      </c>
    </row>
    <row r="3289" spans="1:28">
      <c r="A3289" t="s">
        <v>113</v>
      </c>
      <c r="C3289" s="92">
        <v>4615487176</v>
      </c>
      <c r="D3289" s="93">
        <v>19175</v>
      </c>
      <c r="F3289" s="91">
        <v>16</v>
      </c>
      <c r="G3289" s="91">
        <v>5</v>
      </c>
      <c r="H3289" s="91">
        <v>0</v>
      </c>
      <c r="I3289" s="91">
        <v>0</v>
      </c>
      <c r="J3289" s="41"/>
      <c r="K3289" s="41">
        <v>43524</v>
      </c>
      <c r="L3289" s="69" t="s">
        <v>80</v>
      </c>
      <c r="M3289" s="69" t="s">
        <v>286</v>
      </c>
      <c r="N3289" s="95"/>
      <c r="P3289" t="s">
        <v>95</v>
      </c>
      <c r="Q3289" t="s">
        <v>110</v>
      </c>
      <c r="R3289" s="92" t="s">
        <v>69</v>
      </c>
      <c r="S3289" s="92" t="s">
        <v>115</v>
      </c>
      <c r="V3289" s="95">
        <v>43524</v>
      </c>
      <c r="W3289" s="92" t="s">
        <v>404</v>
      </c>
      <c r="X3289" s="90"/>
      <c r="Y3289" s="123"/>
      <c r="Z3289" s="30">
        <f t="shared" si="102"/>
        <v>6763.7822038320437</v>
      </c>
      <c r="AA3289" s="30">
        <f t="shared" si="103"/>
        <v>2113.6819386975139</v>
      </c>
      <c r="AB3289" t="s">
        <v>457</v>
      </c>
    </row>
    <row r="3290" spans="1:28">
      <c r="A3290" t="s">
        <v>113</v>
      </c>
      <c r="C3290" s="92">
        <v>4615487176</v>
      </c>
      <c r="D3290" s="93">
        <v>19175</v>
      </c>
      <c r="F3290" s="91">
        <v>16</v>
      </c>
      <c r="G3290" s="91">
        <v>5</v>
      </c>
      <c r="H3290" s="91">
        <v>0</v>
      </c>
      <c r="I3290" s="91">
        <v>0</v>
      </c>
      <c r="J3290" s="41"/>
      <c r="K3290" s="41">
        <v>43524</v>
      </c>
      <c r="L3290" s="69" t="s">
        <v>80</v>
      </c>
      <c r="M3290" s="69" t="s">
        <v>286</v>
      </c>
      <c r="N3290" s="95"/>
      <c r="P3290" t="s">
        <v>95</v>
      </c>
      <c r="Q3290" t="s">
        <v>110</v>
      </c>
      <c r="R3290" s="92" t="s">
        <v>69</v>
      </c>
      <c r="S3290" s="92" t="s">
        <v>115</v>
      </c>
      <c r="V3290" s="95">
        <v>43524</v>
      </c>
      <c r="W3290" s="92" t="s">
        <v>404</v>
      </c>
      <c r="X3290" s="90"/>
      <c r="Y3290" s="123"/>
      <c r="Z3290" s="30">
        <f t="shared" si="102"/>
        <v>6763.7822038320437</v>
      </c>
      <c r="AA3290" s="30">
        <f t="shared" si="103"/>
        <v>2113.6819386975139</v>
      </c>
      <c r="AB3290" t="s">
        <v>457</v>
      </c>
    </row>
    <row r="3291" spans="1:28">
      <c r="A3291" t="s">
        <v>113</v>
      </c>
      <c r="C3291" s="92">
        <v>4615487176</v>
      </c>
      <c r="D3291" s="93">
        <v>19175</v>
      </c>
      <c r="F3291" s="91">
        <v>16</v>
      </c>
      <c r="G3291" s="91">
        <v>5</v>
      </c>
      <c r="H3291" s="91">
        <v>0</v>
      </c>
      <c r="I3291" s="91">
        <v>0</v>
      </c>
      <c r="J3291" s="41"/>
      <c r="K3291" s="41">
        <v>43524</v>
      </c>
      <c r="L3291" s="69" t="s">
        <v>80</v>
      </c>
      <c r="M3291" s="69" t="s">
        <v>286</v>
      </c>
      <c r="N3291" s="95"/>
      <c r="P3291" t="s">
        <v>95</v>
      </c>
      <c r="Q3291" t="s">
        <v>110</v>
      </c>
      <c r="R3291" s="92" t="s">
        <v>69</v>
      </c>
      <c r="S3291" s="92" t="s">
        <v>115</v>
      </c>
      <c r="V3291" s="95">
        <v>43524</v>
      </c>
      <c r="W3291" s="92" t="s">
        <v>404</v>
      </c>
      <c r="X3291" s="90"/>
      <c r="Y3291" s="123"/>
      <c r="Z3291" s="30">
        <f t="shared" si="102"/>
        <v>6763.7822038320437</v>
      </c>
      <c r="AA3291" s="30">
        <f t="shared" si="103"/>
        <v>2113.6819386975139</v>
      </c>
      <c r="AB3291" t="s">
        <v>457</v>
      </c>
    </row>
    <row r="3292" spans="1:28">
      <c r="A3292" t="s">
        <v>113</v>
      </c>
      <c r="C3292" s="92">
        <v>4615487176</v>
      </c>
      <c r="D3292" s="93">
        <v>19175</v>
      </c>
      <c r="F3292" s="91">
        <v>16</v>
      </c>
      <c r="G3292" s="91">
        <v>5</v>
      </c>
      <c r="H3292" s="91">
        <v>0</v>
      </c>
      <c r="I3292" s="91">
        <v>0</v>
      </c>
      <c r="J3292" s="41"/>
      <c r="K3292" s="41">
        <v>43524</v>
      </c>
      <c r="L3292" s="69" t="s">
        <v>80</v>
      </c>
      <c r="M3292" s="69" t="s">
        <v>286</v>
      </c>
      <c r="N3292" s="95"/>
      <c r="P3292" t="s">
        <v>95</v>
      </c>
      <c r="Q3292" t="s">
        <v>110</v>
      </c>
      <c r="R3292" s="92" t="s">
        <v>69</v>
      </c>
      <c r="S3292" s="92" t="s">
        <v>115</v>
      </c>
      <c r="V3292" s="95">
        <v>43524</v>
      </c>
      <c r="W3292" s="92" t="s">
        <v>404</v>
      </c>
      <c r="X3292" s="90"/>
      <c r="Y3292" s="123"/>
      <c r="Z3292" s="30">
        <f t="shared" si="102"/>
        <v>6763.7822038320437</v>
      </c>
      <c r="AA3292" s="30">
        <f t="shared" si="103"/>
        <v>2113.6819386975139</v>
      </c>
      <c r="AB3292" t="s">
        <v>457</v>
      </c>
    </row>
    <row r="3293" spans="1:28">
      <c r="A3293" t="s">
        <v>113</v>
      </c>
      <c r="C3293" s="92">
        <v>4615492548</v>
      </c>
      <c r="D3293" s="93">
        <v>19175</v>
      </c>
      <c r="F3293" s="91">
        <v>16</v>
      </c>
      <c r="G3293" s="96">
        <v>5</v>
      </c>
      <c r="H3293" s="91">
        <v>0</v>
      </c>
      <c r="I3293" s="91">
        <v>0</v>
      </c>
      <c r="J3293" s="41"/>
      <c r="K3293" s="41">
        <v>43524</v>
      </c>
      <c r="L3293" s="69" t="s">
        <v>80</v>
      </c>
      <c r="M3293" s="69" t="s">
        <v>286</v>
      </c>
      <c r="N3293" s="95"/>
      <c r="P3293" t="s">
        <v>95</v>
      </c>
      <c r="Q3293" t="s">
        <v>133</v>
      </c>
      <c r="R3293" s="92" t="s">
        <v>69</v>
      </c>
      <c r="S3293" s="92" t="s">
        <v>115</v>
      </c>
      <c r="V3293" s="95">
        <v>43524</v>
      </c>
      <c r="W3293" s="92" t="s">
        <v>405</v>
      </c>
      <c r="X3293" s="90"/>
      <c r="Y3293" s="123"/>
      <c r="Z3293" s="30">
        <f t="shared" si="102"/>
        <v>6763.7822038320437</v>
      </c>
      <c r="AA3293" s="30">
        <f t="shared" si="103"/>
        <v>2113.6819386975139</v>
      </c>
      <c r="AB3293" t="s">
        <v>457</v>
      </c>
    </row>
    <row r="3294" spans="1:28">
      <c r="A3294" t="s">
        <v>113</v>
      </c>
      <c r="C3294" s="92">
        <v>4615492548</v>
      </c>
      <c r="D3294" s="93">
        <v>19175</v>
      </c>
      <c r="F3294" s="91">
        <v>16</v>
      </c>
      <c r="G3294" s="96">
        <v>5</v>
      </c>
      <c r="H3294" s="91">
        <v>0</v>
      </c>
      <c r="I3294" s="91">
        <v>0</v>
      </c>
      <c r="J3294" s="41"/>
      <c r="K3294" s="41">
        <v>43524</v>
      </c>
      <c r="L3294" s="69" t="s">
        <v>80</v>
      </c>
      <c r="M3294" s="69" t="s">
        <v>286</v>
      </c>
      <c r="N3294" s="95"/>
      <c r="P3294" t="s">
        <v>95</v>
      </c>
      <c r="Q3294" t="s">
        <v>133</v>
      </c>
      <c r="R3294" s="92" t="s">
        <v>69</v>
      </c>
      <c r="S3294" s="92" t="s">
        <v>115</v>
      </c>
      <c r="V3294" s="95">
        <v>43524</v>
      </c>
      <c r="W3294" s="92" t="s">
        <v>405</v>
      </c>
      <c r="X3294" s="90"/>
      <c r="Y3294" s="123"/>
      <c r="Z3294" s="30">
        <f t="shared" si="102"/>
        <v>6763.7822038320437</v>
      </c>
      <c r="AA3294" s="30">
        <f t="shared" si="103"/>
        <v>2113.6819386975139</v>
      </c>
      <c r="AB3294" t="s">
        <v>457</v>
      </c>
    </row>
    <row r="3295" spans="1:28">
      <c r="A3295" t="s">
        <v>113</v>
      </c>
      <c r="C3295" s="92">
        <v>4615492548</v>
      </c>
      <c r="D3295" s="93">
        <v>19175</v>
      </c>
      <c r="F3295" s="91">
        <v>16</v>
      </c>
      <c r="G3295" s="96">
        <v>5</v>
      </c>
      <c r="H3295" s="91">
        <v>0</v>
      </c>
      <c r="I3295" s="91">
        <v>0</v>
      </c>
      <c r="J3295" s="41"/>
      <c r="K3295" s="41">
        <v>43524</v>
      </c>
      <c r="L3295" s="69" t="s">
        <v>80</v>
      </c>
      <c r="M3295" s="69" t="s">
        <v>286</v>
      </c>
      <c r="N3295" s="95"/>
      <c r="P3295" t="s">
        <v>95</v>
      </c>
      <c r="Q3295" t="s">
        <v>133</v>
      </c>
      <c r="R3295" s="92" t="s">
        <v>69</v>
      </c>
      <c r="S3295" s="92" t="s">
        <v>115</v>
      </c>
      <c r="V3295" s="95">
        <v>43524</v>
      </c>
      <c r="W3295" s="92" t="s">
        <v>405</v>
      </c>
      <c r="X3295" s="90"/>
      <c r="Y3295" s="123"/>
      <c r="Z3295" s="30">
        <f t="shared" si="102"/>
        <v>6763.7822038320437</v>
      </c>
      <c r="AA3295" s="30">
        <f t="shared" si="103"/>
        <v>2113.6819386975139</v>
      </c>
      <c r="AB3295" t="s">
        <v>457</v>
      </c>
    </row>
    <row r="3296" spans="1:28">
      <c r="A3296" t="s">
        <v>113</v>
      </c>
      <c r="C3296" s="92">
        <v>4615492548</v>
      </c>
      <c r="D3296" s="93">
        <v>19175</v>
      </c>
      <c r="F3296" s="91">
        <v>16</v>
      </c>
      <c r="G3296" s="96">
        <v>5</v>
      </c>
      <c r="H3296" s="91">
        <v>0</v>
      </c>
      <c r="I3296" s="91">
        <v>0</v>
      </c>
      <c r="J3296" s="41"/>
      <c r="K3296" s="41">
        <v>43524</v>
      </c>
      <c r="L3296" s="69" t="s">
        <v>80</v>
      </c>
      <c r="M3296" s="69" t="s">
        <v>286</v>
      </c>
      <c r="N3296" s="95"/>
      <c r="P3296" t="s">
        <v>95</v>
      </c>
      <c r="Q3296" t="s">
        <v>133</v>
      </c>
      <c r="R3296" s="92" t="s">
        <v>69</v>
      </c>
      <c r="S3296" s="92" t="s">
        <v>115</v>
      </c>
      <c r="V3296" s="95">
        <v>43524</v>
      </c>
      <c r="W3296" s="92" t="s">
        <v>405</v>
      </c>
      <c r="X3296" s="90"/>
      <c r="Y3296" s="123"/>
      <c r="Z3296" s="30">
        <f t="shared" si="102"/>
        <v>6763.7822038320437</v>
      </c>
      <c r="AA3296" s="30">
        <f t="shared" si="103"/>
        <v>2113.6819386975139</v>
      </c>
      <c r="AB3296" t="s">
        <v>457</v>
      </c>
    </row>
    <row r="3297" spans="1:28">
      <c r="A3297" t="s">
        <v>113</v>
      </c>
      <c r="C3297" s="92">
        <v>4615492548</v>
      </c>
      <c r="D3297" s="93">
        <v>19175</v>
      </c>
      <c r="F3297" s="91">
        <v>16</v>
      </c>
      <c r="G3297" s="96">
        <v>5</v>
      </c>
      <c r="H3297" s="91">
        <v>0</v>
      </c>
      <c r="I3297" s="91">
        <v>0</v>
      </c>
      <c r="J3297" s="41"/>
      <c r="K3297" s="41">
        <v>43524</v>
      </c>
      <c r="L3297" s="69" t="s">
        <v>80</v>
      </c>
      <c r="M3297" s="69" t="s">
        <v>286</v>
      </c>
      <c r="N3297" s="95"/>
      <c r="P3297" t="s">
        <v>95</v>
      </c>
      <c r="Q3297" t="s">
        <v>133</v>
      </c>
      <c r="R3297" s="92" t="s">
        <v>69</v>
      </c>
      <c r="S3297" s="92" t="s">
        <v>115</v>
      </c>
      <c r="V3297" s="95">
        <v>43524</v>
      </c>
      <c r="W3297" s="92" t="s">
        <v>405</v>
      </c>
      <c r="X3297" s="90"/>
      <c r="Y3297" s="123"/>
      <c r="Z3297" s="30">
        <f t="shared" si="102"/>
        <v>6763.7822038320437</v>
      </c>
      <c r="AA3297" s="30">
        <f t="shared" si="103"/>
        <v>2113.6819386975139</v>
      </c>
      <c r="AB3297" t="s">
        <v>457</v>
      </c>
    </row>
    <row r="3298" spans="1:28">
      <c r="A3298" t="s">
        <v>113</v>
      </c>
      <c r="C3298" s="92">
        <v>4615492548</v>
      </c>
      <c r="D3298" s="93">
        <v>19175</v>
      </c>
      <c r="F3298" s="91">
        <v>16</v>
      </c>
      <c r="G3298" s="96">
        <v>5</v>
      </c>
      <c r="H3298" s="91">
        <v>0</v>
      </c>
      <c r="I3298" s="91">
        <v>0</v>
      </c>
      <c r="J3298" s="41"/>
      <c r="K3298" s="41">
        <v>43524</v>
      </c>
      <c r="L3298" s="69" t="s">
        <v>80</v>
      </c>
      <c r="M3298" s="69" t="s">
        <v>286</v>
      </c>
      <c r="N3298" s="95"/>
      <c r="P3298" t="s">
        <v>95</v>
      </c>
      <c r="Q3298" t="s">
        <v>133</v>
      </c>
      <c r="R3298" s="92" t="s">
        <v>69</v>
      </c>
      <c r="S3298" s="92" t="s">
        <v>115</v>
      </c>
      <c r="V3298" s="95">
        <v>43524</v>
      </c>
      <c r="W3298" s="92" t="s">
        <v>405</v>
      </c>
      <c r="X3298" s="90"/>
      <c r="Y3298" s="123"/>
      <c r="Z3298" s="30">
        <f t="shared" si="102"/>
        <v>6763.7822038320437</v>
      </c>
      <c r="AA3298" s="30">
        <f t="shared" si="103"/>
        <v>2113.6819386975139</v>
      </c>
      <c r="AB3298" t="s">
        <v>457</v>
      </c>
    </row>
    <row r="3299" spans="1:28">
      <c r="A3299" t="s">
        <v>113</v>
      </c>
      <c r="C3299" s="92">
        <v>4615492548</v>
      </c>
      <c r="D3299" s="93">
        <v>19175</v>
      </c>
      <c r="F3299" s="91">
        <v>16</v>
      </c>
      <c r="G3299" s="96">
        <v>5</v>
      </c>
      <c r="H3299" s="91">
        <v>0</v>
      </c>
      <c r="I3299" s="91">
        <v>0</v>
      </c>
      <c r="J3299" s="41"/>
      <c r="K3299" s="41">
        <v>43524</v>
      </c>
      <c r="L3299" s="69" t="s">
        <v>80</v>
      </c>
      <c r="M3299" s="69" t="s">
        <v>286</v>
      </c>
      <c r="N3299" s="95"/>
      <c r="P3299" t="s">
        <v>95</v>
      </c>
      <c r="Q3299" t="s">
        <v>133</v>
      </c>
      <c r="R3299" s="92" t="s">
        <v>69</v>
      </c>
      <c r="S3299" s="92" t="s">
        <v>115</v>
      </c>
      <c r="V3299" s="95">
        <v>43524</v>
      </c>
      <c r="W3299" s="92" t="s">
        <v>405</v>
      </c>
      <c r="X3299" s="90"/>
      <c r="Y3299" s="123"/>
      <c r="Z3299" s="30">
        <f t="shared" si="102"/>
        <v>6763.7822038320437</v>
      </c>
      <c r="AA3299" s="30">
        <f t="shared" si="103"/>
        <v>2113.6819386975139</v>
      </c>
      <c r="AB3299" t="s">
        <v>457</v>
      </c>
    </row>
    <row r="3300" spans="1:28">
      <c r="A3300" t="s">
        <v>113</v>
      </c>
      <c r="C3300" s="92">
        <v>4615492548</v>
      </c>
      <c r="D3300" s="93">
        <v>19175</v>
      </c>
      <c r="F3300" s="91">
        <v>16</v>
      </c>
      <c r="G3300" s="96">
        <v>5</v>
      </c>
      <c r="H3300" s="91">
        <v>0</v>
      </c>
      <c r="I3300" s="91">
        <v>0</v>
      </c>
      <c r="J3300" s="41"/>
      <c r="K3300" s="41">
        <v>43524</v>
      </c>
      <c r="L3300" s="69" t="s">
        <v>80</v>
      </c>
      <c r="M3300" s="69" t="s">
        <v>286</v>
      </c>
      <c r="N3300" s="95"/>
      <c r="P3300" t="s">
        <v>95</v>
      </c>
      <c r="Q3300" t="s">
        <v>133</v>
      </c>
      <c r="R3300" s="92" t="s">
        <v>69</v>
      </c>
      <c r="S3300" s="92" t="s">
        <v>115</v>
      </c>
      <c r="V3300" s="95">
        <v>43524</v>
      </c>
      <c r="W3300" s="92" t="s">
        <v>405</v>
      </c>
      <c r="X3300" s="90"/>
      <c r="Y3300" s="123"/>
      <c r="Z3300" s="30">
        <f t="shared" si="102"/>
        <v>6763.7822038320437</v>
      </c>
      <c r="AA3300" s="30">
        <f t="shared" si="103"/>
        <v>2113.6819386975139</v>
      </c>
      <c r="AB3300" t="s">
        <v>457</v>
      </c>
    </row>
    <row r="3301" spans="1:28">
      <c r="A3301" t="s">
        <v>113</v>
      </c>
      <c r="C3301" s="92">
        <v>4615492548</v>
      </c>
      <c r="D3301" s="93">
        <v>19175</v>
      </c>
      <c r="F3301" s="91">
        <v>16</v>
      </c>
      <c r="G3301" s="96">
        <v>5</v>
      </c>
      <c r="H3301" s="91">
        <v>0</v>
      </c>
      <c r="I3301" s="91">
        <v>0</v>
      </c>
      <c r="J3301" s="41"/>
      <c r="K3301" s="41">
        <v>43524</v>
      </c>
      <c r="L3301" s="69" t="s">
        <v>80</v>
      </c>
      <c r="M3301" s="69" t="s">
        <v>286</v>
      </c>
      <c r="N3301" s="95"/>
      <c r="P3301" t="s">
        <v>95</v>
      </c>
      <c r="Q3301" t="s">
        <v>133</v>
      </c>
      <c r="R3301" s="92" t="s">
        <v>69</v>
      </c>
      <c r="S3301" s="92" t="s">
        <v>115</v>
      </c>
      <c r="V3301" s="95">
        <v>43524</v>
      </c>
      <c r="W3301" s="92" t="s">
        <v>405</v>
      </c>
      <c r="X3301" s="90"/>
      <c r="Y3301" s="123"/>
      <c r="Z3301" s="30">
        <f t="shared" si="102"/>
        <v>6763.7822038320437</v>
      </c>
      <c r="AA3301" s="30">
        <f t="shared" si="103"/>
        <v>2113.6819386975139</v>
      </c>
      <c r="AB3301" t="s">
        <v>457</v>
      </c>
    </row>
    <row r="3302" spans="1:28">
      <c r="A3302" t="s">
        <v>113</v>
      </c>
      <c r="C3302" s="92">
        <v>4615492548</v>
      </c>
      <c r="D3302" s="93">
        <v>19175</v>
      </c>
      <c r="F3302" s="91">
        <v>16</v>
      </c>
      <c r="G3302" s="96">
        <v>5</v>
      </c>
      <c r="H3302" s="91">
        <v>0</v>
      </c>
      <c r="I3302" s="91">
        <v>0</v>
      </c>
      <c r="J3302" s="41"/>
      <c r="K3302" s="41">
        <v>43524</v>
      </c>
      <c r="L3302" s="69" t="s">
        <v>80</v>
      </c>
      <c r="M3302" s="69" t="s">
        <v>286</v>
      </c>
      <c r="N3302" s="95"/>
      <c r="P3302" t="s">
        <v>95</v>
      </c>
      <c r="Q3302" t="s">
        <v>133</v>
      </c>
      <c r="R3302" s="92" t="s">
        <v>69</v>
      </c>
      <c r="S3302" s="92" t="s">
        <v>115</v>
      </c>
      <c r="V3302" s="95">
        <v>43524</v>
      </c>
      <c r="W3302" s="92" t="s">
        <v>405</v>
      </c>
      <c r="X3302" s="90"/>
      <c r="Y3302" s="123"/>
      <c r="Z3302" s="30">
        <f t="shared" si="102"/>
        <v>6763.7822038320437</v>
      </c>
      <c r="AA3302" s="30">
        <f t="shared" si="103"/>
        <v>2113.6819386975139</v>
      </c>
      <c r="AB3302" t="s">
        <v>457</v>
      </c>
    </row>
    <row r="3303" spans="1:28">
      <c r="A3303" t="s">
        <v>122</v>
      </c>
      <c r="C3303" s="92">
        <v>4615491302</v>
      </c>
      <c r="D3303" s="93">
        <v>19200</v>
      </c>
      <c r="F3303" s="94">
        <v>16</v>
      </c>
      <c r="G3303" s="94">
        <v>5</v>
      </c>
      <c r="H3303" s="91">
        <v>0</v>
      </c>
      <c r="I3303" s="91">
        <v>0</v>
      </c>
      <c r="J3303" s="41"/>
      <c r="K3303" s="41">
        <v>43555</v>
      </c>
      <c r="L3303" s="69" t="s">
        <v>80</v>
      </c>
      <c r="M3303" s="69" t="s">
        <v>286</v>
      </c>
      <c r="N3303" s="95"/>
      <c r="P3303" t="s">
        <v>95</v>
      </c>
      <c r="Q3303" t="s">
        <v>120</v>
      </c>
      <c r="R3303" s="92" t="s">
        <v>69</v>
      </c>
      <c r="S3303" s="92" t="s">
        <v>394</v>
      </c>
      <c r="V3303" s="95">
        <v>43555</v>
      </c>
      <c r="W3303" s="92">
        <v>2033914</v>
      </c>
      <c r="X3303" s="90"/>
      <c r="Y3303" s="123"/>
      <c r="Z3303" s="30">
        <f t="shared" si="102"/>
        <v>6772.6006943194379</v>
      </c>
      <c r="AA3303" s="30">
        <f t="shared" si="103"/>
        <v>2116.4377169748245</v>
      </c>
      <c r="AB3303" t="s">
        <v>457</v>
      </c>
    </row>
    <row r="3304" spans="1:28">
      <c r="A3304" t="s">
        <v>122</v>
      </c>
      <c r="C3304" s="92">
        <v>4615491302</v>
      </c>
      <c r="D3304" s="93">
        <v>19200</v>
      </c>
      <c r="F3304" s="94">
        <v>16</v>
      </c>
      <c r="G3304" s="94">
        <v>5</v>
      </c>
      <c r="H3304" s="91">
        <v>0</v>
      </c>
      <c r="I3304" s="91">
        <v>0</v>
      </c>
      <c r="J3304" s="41"/>
      <c r="K3304" s="41">
        <v>43555</v>
      </c>
      <c r="L3304" s="69" t="s">
        <v>80</v>
      </c>
      <c r="M3304" s="69" t="s">
        <v>286</v>
      </c>
      <c r="N3304" s="95"/>
      <c r="P3304" t="s">
        <v>95</v>
      </c>
      <c r="Q3304" t="s">
        <v>120</v>
      </c>
      <c r="R3304" s="92" t="s">
        <v>69</v>
      </c>
      <c r="S3304" s="92" t="s">
        <v>394</v>
      </c>
      <c r="V3304" s="95">
        <v>43555</v>
      </c>
      <c r="W3304" s="92">
        <v>2033914</v>
      </c>
      <c r="X3304" s="90"/>
      <c r="Y3304" s="123"/>
      <c r="Z3304" s="30">
        <f t="shared" si="102"/>
        <v>6772.6006943194379</v>
      </c>
      <c r="AA3304" s="30">
        <f t="shared" si="103"/>
        <v>2116.4377169748245</v>
      </c>
      <c r="AB3304" t="s">
        <v>457</v>
      </c>
    </row>
    <row r="3305" spans="1:28">
      <c r="A3305" t="s">
        <v>122</v>
      </c>
      <c r="C3305" s="92">
        <v>4615491302</v>
      </c>
      <c r="D3305" s="93">
        <v>19200</v>
      </c>
      <c r="F3305" s="94">
        <v>16</v>
      </c>
      <c r="G3305" s="94">
        <v>5</v>
      </c>
      <c r="H3305" s="91">
        <v>0</v>
      </c>
      <c r="I3305" s="91">
        <v>0</v>
      </c>
      <c r="J3305" s="41"/>
      <c r="K3305" s="41">
        <v>43555</v>
      </c>
      <c r="L3305" s="69" t="s">
        <v>80</v>
      </c>
      <c r="M3305" s="69" t="s">
        <v>286</v>
      </c>
      <c r="N3305" s="95"/>
      <c r="P3305" t="s">
        <v>95</v>
      </c>
      <c r="Q3305" t="s">
        <v>120</v>
      </c>
      <c r="R3305" s="92" t="s">
        <v>69</v>
      </c>
      <c r="S3305" s="92" t="s">
        <v>394</v>
      </c>
      <c r="V3305" s="95">
        <v>43555</v>
      </c>
      <c r="W3305" s="92">
        <v>2033914</v>
      </c>
      <c r="X3305" s="90"/>
      <c r="Y3305" s="123"/>
      <c r="Z3305" s="30">
        <f t="shared" si="102"/>
        <v>6772.6006943194379</v>
      </c>
      <c r="AA3305" s="30">
        <f t="shared" si="103"/>
        <v>2116.4377169748245</v>
      </c>
      <c r="AB3305" t="s">
        <v>457</v>
      </c>
    </row>
    <row r="3306" spans="1:28">
      <c r="A3306" t="s">
        <v>122</v>
      </c>
      <c r="C3306" s="92">
        <v>4615491302</v>
      </c>
      <c r="D3306" s="93">
        <v>19200</v>
      </c>
      <c r="F3306" s="94">
        <v>16</v>
      </c>
      <c r="G3306" s="94">
        <v>5</v>
      </c>
      <c r="H3306" s="91">
        <v>0</v>
      </c>
      <c r="I3306" s="91">
        <v>0</v>
      </c>
      <c r="J3306" s="41"/>
      <c r="K3306" s="41">
        <v>43555</v>
      </c>
      <c r="L3306" s="69" t="s">
        <v>80</v>
      </c>
      <c r="M3306" s="69" t="s">
        <v>286</v>
      </c>
      <c r="N3306" s="95"/>
      <c r="P3306" t="s">
        <v>95</v>
      </c>
      <c r="Q3306" t="s">
        <v>120</v>
      </c>
      <c r="R3306" s="92" t="s">
        <v>69</v>
      </c>
      <c r="S3306" s="92" t="s">
        <v>394</v>
      </c>
      <c r="V3306" s="95">
        <v>43555</v>
      </c>
      <c r="W3306" s="92">
        <v>2033914</v>
      </c>
      <c r="X3306" s="90"/>
      <c r="Y3306" s="123"/>
      <c r="Z3306" s="30">
        <f t="shared" si="102"/>
        <v>6772.6006943194379</v>
      </c>
      <c r="AA3306" s="30">
        <f t="shared" si="103"/>
        <v>2116.4377169748245</v>
      </c>
      <c r="AB3306" t="s">
        <v>457</v>
      </c>
    </row>
    <row r="3307" spans="1:28">
      <c r="A3307" t="s">
        <v>122</v>
      </c>
      <c r="C3307" s="92">
        <v>4615491302</v>
      </c>
      <c r="D3307" s="93">
        <v>19200</v>
      </c>
      <c r="F3307" s="94">
        <v>16</v>
      </c>
      <c r="G3307" s="94">
        <v>5</v>
      </c>
      <c r="H3307" s="91">
        <v>0</v>
      </c>
      <c r="I3307" s="91">
        <v>0</v>
      </c>
      <c r="J3307" s="41"/>
      <c r="K3307" s="41">
        <v>43555</v>
      </c>
      <c r="L3307" s="69" t="s">
        <v>80</v>
      </c>
      <c r="M3307" s="69" t="s">
        <v>286</v>
      </c>
      <c r="N3307" s="95"/>
      <c r="P3307" t="s">
        <v>95</v>
      </c>
      <c r="Q3307" t="s">
        <v>120</v>
      </c>
      <c r="R3307" s="92" t="s">
        <v>69</v>
      </c>
      <c r="S3307" s="92" t="s">
        <v>394</v>
      </c>
      <c r="V3307" s="95">
        <v>43555</v>
      </c>
      <c r="W3307" s="92">
        <v>2033914</v>
      </c>
      <c r="X3307" s="90"/>
      <c r="Y3307" s="123"/>
      <c r="Z3307" s="30">
        <f t="shared" si="102"/>
        <v>6772.6006943194379</v>
      </c>
      <c r="AA3307" s="30">
        <f t="shared" si="103"/>
        <v>2116.4377169748245</v>
      </c>
      <c r="AB3307" t="s">
        <v>457</v>
      </c>
    </row>
    <row r="3308" spans="1:28">
      <c r="A3308" t="s">
        <v>122</v>
      </c>
      <c r="C3308" s="92">
        <v>4615491302</v>
      </c>
      <c r="D3308" s="93">
        <v>19200</v>
      </c>
      <c r="F3308" s="94">
        <v>16</v>
      </c>
      <c r="G3308" s="94">
        <v>5</v>
      </c>
      <c r="H3308" s="91">
        <v>0</v>
      </c>
      <c r="I3308" s="91">
        <v>0</v>
      </c>
      <c r="J3308" s="41"/>
      <c r="K3308" s="41">
        <v>43555</v>
      </c>
      <c r="L3308" s="69" t="s">
        <v>80</v>
      </c>
      <c r="M3308" s="69" t="s">
        <v>286</v>
      </c>
      <c r="N3308" s="95"/>
      <c r="P3308" t="s">
        <v>95</v>
      </c>
      <c r="Q3308" t="s">
        <v>120</v>
      </c>
      <c r="R3308" s="92" t="s">
        <v>69</v>
      </c>
      <c r="S3308" s="92" t="s">
        <v>394</v>
      </c>
      <c r="V3308" s="95">
        <v>43555</v>
      </c>
      <c r="W3308" s="92">
        <v>2033914</v>
      </c>
      <c r="X3308" s="90"/>
      <c r="Y3308" s="123"/>
      <c r="Z3308" s="30">
        <f t="shared" si="102"/>
        <v>6772.6006943194379</v>
      </c>
      <c r="AA3308" s="30">
        <f t="shared" si="103"/>
        <v>2116.4377169748245</v>
      </c>
      <c r="AB3308" t="s">
        <v>457</v>
      </c>
    </row>
    <row r="3309" spans="1:28">
      <c r="A3309" t="s">
        <v>122</v>
      </c>
      <c r="C3309" s="92">
        <v>4615491302</v>
      </c>
      <c r="D3309" s="93">
        <v>19200</v>
      </c>
      <c r="F3309" s="94">
        <v>16</v>
      </c>
      <c r="G3309" s="94">
        <v>5</v>
      </c>
      <c r="H3309" s="91">
        <v>0</v>
      </c>
      <c r="I3309" s="91">
        <v>0</v>
      </c>
      <c r="J3309" s="41"/>
      <c r="K3309" s="41">
        <v>43555</v>
      </c>
      <c r="L3309" s="69" t="s">
        <v>80</v>
      </c>
      <c r="M3309" s="69" t="s">
        <v>286</v>
      </c>
      <c r="N3309" s="95"/>
      <c r="P3309" t="s">
        <v>95</v>
      </c>
      <c r="Q3309" t="s">
        <v>120</v>
      </c>
      <c r="R3309" s="92" t="s">
        <v>69</v>
      </c>
      <c r="S3309" s="92" t="s">
        <v>394</v>
      </c>
      <c r="V3309" s="95">
        <v>43555</v>
      </c>
      <c r="W3309" s="92">
        <v>2033914</v>
      </c>
      <c r="X3309" s="90"/>
      <c r="Y3309" s="123"/>
      <c r="Z3309" s="30">
        <f t="shared" si="102"/>
        <v>6772.6006943194379</v>
      </c>
      <c r="AA3309" s="30">
        <f t="shared" si="103"/>
        <v>2116.4377169748245</v>
      </c>
      <c r="AB3309" t="s">
        <v>457</v>
      </c>
    </row>
    <row r="3310" spans="1:28">
      <c r="A3310" t="s">
        <v>122</v>
      </c>
      <c r="C3310" s="92">
        <v>4615491302</v>
      </c>
      <c r="D3310" s="93">
        <v>19200</v>
      </c>
      <c r="F3310" s="94">
        <v>16</v>
      </c>
      <c r="G3310" s="94">
        <v>5</v>
      </c>
      <c r="H3310" s="91">
        <v>0</v>
      </c>
      <c r="I3310" s="91">
        <v>0</v>
      </c>
      <c r="J3310" s="41"/>
      <c r="K3310" s="41">
        <v>43555</v>
      </c>
      <c r="L3310" s="69" t="s">
        <v>80</v>
      </c>
      <c r="M3310" s="69" t="s">
        <v>286</v>
      </c>
      <c r="N3310" s="95"/>
      <c r="P3310" t="s">
        <v>95</v>
      </c>
      <c r="Q3310" t="s">
        <v>120</v>
      </c>
      <c r="R3310" s="92" t="s">
        <v>69</v>
      </c>
      <c r="S3310" s="92" t="s">
        <v>394</v>
      </c>
      <c r="V3310" s="95">
        <v>43555</v>
      </c>
      <c r="W3310" s="92">
        <v>2033914</v>
      </c>
      <c r="X3310" s="90"/>
      <c r="Y3310" s="123"/>
      <c r="Z3310" s="30">
        <f t="shared" si="102"/>
        <v>6772.6006943194379</v>
      </c>
      <c r="AA3310" s="30">
        <f t="shared" si="103"/>
        <v>2116.4377169748245</v>
      </c>
      <c r="AB3310" t="s">
        <v>457</v>
      </c>
    </row>
    <row r="3311" spans="1:28">
      <c r="A3311" t="s">
        <v>122</v>
      </c>
      <c r="C3311" s="92">
        <v>4615491302</v>
      </c>
      <c r="D3311" s="93">
        <v>19200</v>
      </c>
      <c r="F3311" s="94">
        <v>16</v>
      </c>
      <c r="G3311" s="94">
        <v>5</v>
      </c>
      <c r="H3311" s="91">
        <v>0</v>
      </c>
      <c r="I3311" s="91">
        <v>0</v>
      </c>
      <c r="J3311" s="41"/>
      <c r="K3311" s="41">
        <v>43555</v>
      </c>
      <c r="L3311" s="69" t="s">
        <v>80</v>
      </c>
      <c r="M3311" s="69" t="s">
        <v>286</v>
      </c>
      <c r="N3311" s="95"/>
      <c r="P3311" t="s">
        <v>95</v>
      </c>
      <c r="Q3311" t="s">
        <v>120</v>
      </c>
      <c r="R3311" s="92" t="s">
        <v>69</v>
      </c>
      <c r="S3311" s="92" t="s">
        <v>394</v>
      </c>
      <c r="V3311" s="95">
        <v>43555</v>
      </c>
      <c r="W3311" s="92">
        <v>2033914</v>
      </c>
      <c r="X3311" s="90"/>
      <c r="Y3311" s="123"/>
      <c r="Z3311" s="30">
        <f t="shared" si="102"/>
        <v>6772.6006943194379</v>
      </c>
      <c r="AA3311" s="30">
        <f t="shared" si="103"/>
        <v>2116.4377169748245</v>
      </c>
      <c r="AB3311" t="s">
        <v>457</v>
      </c>
    </row>
    <row r="3312" spans="1:28">
      <c r="A3312" t="s">
        <v>122</v>
      </c>
      <c r="C3312" s="92">
        <v>4615491302</v>
      </c>
      <c r="D3312" s="93">
        <v>19200</v>
      </c>
      <c r="F3312" s="94">
        <v>16</v>
      </c>
      <c r="G3312" s="94">
        <v>5</v>
      </c>
      <c r="H3312" s="91">
        <v>0</v>
      </c>
      <c r="I3312" s="91">
        <v>0</v>
      </c>
      <c r="J3312" s="41"/>
      <c r="K3312" s="41">
        <v>43555</v>
      </c>
      <c r="L3312" s="69" t="s">
        <v>80</v>
      </c>
      <c r="M3312" s="69" t="s">
        <v>286</v>
      </c>
      <c r="N3312" s="95"/>
      <c r="P3312" t="s">
        <v>95</v>
      </c>
      <c r="Q3312" t="s">
        <v>120</v>
      </c>
      <c r="R3312" s="92" t="s">
        <v>69</v>
      </c>
      <c r="S3312" s="92" t="s">
        <v>394</v>
      </c>
      <c r="V3312" s="95">
        <v>43555</v>
      </c>
      <c r="W3312" s="92">
        <v>2033914</v>
      </c>
      <c r="X3312" s="90"/>
      <c r="Y3312" s="123"/>
      <c r="Z3312" s="30">
        <f t="shared" si="102"/>
        <v>6772.6006943194379</v>
      </c>
      <c r="AA3312" s="30">
        <f t="shared" si="103"/>
        <v>2116.4377169748245</v>
      </c>
      <c r="AB3312" t="s">
        <v>457</v>
      </c>
    </row>
    <row r="3313" spans="1:28">
      <c r="A3313" t="s">
        <v>122</v>
      </c>
      <c r="C3313" s="92">
        <v>4615491302</v>
      </c>
      <c r="D3313" s="93">
        <v>19200</v>
      </c>
      <c r="F3313" s="94">
        <v>16</v>
      </c>
      <c r="G3313" s="94">
        <v>5</v>
      </c>
      <c r="H3313" s="91">
        <v>0</v>
      </c>
      <c r="I3313" s="91">
        <v>0</v>
      </c>
      <c r="J3313" s="41"/>
      <c r="K3313" s="41">
        <v>43555</v>
      </c>
      <c r="L3313" s="69" t="s">
        <v>80</v>
      </c>
      <c r="M3313" s="69" t="s">
        <v>286</v>
      </c>
      <c r="N3313" s="95"/>
      <c r="P3313" t="s">
        <v>95</v>
      </c>
      <c r="Q3313" t="s">
        <v>120</v>
      </c>
      <c r="R3313" s="92" t="s">
        <v>69</v>
      </c>
      <c r="S3313" s="92" t="s">
        <v>394</v>
      </c>
      <c r="V3313" s="95">
        <v>43555</v>
      </c>
      <c r="W3313" s="92">
        <v>2033914</v>
      </c>
      <c r="X3313" s="90"/>
      <c r="Y3313" s="123"/>
      <c r="Z3313" s="30">
        <f t="shared" si="102"/>
        <v>6772.6006943194379</v>
      </c>
      <c r="AA3313" s="30">
        <f t="shared" si="103"/>
        <v>2116.4377169748245</v>
      </c>
      <c r="AB3313" t="s">
        <v>457</v>
      </c>
    </row>
    <row r="3314" spans="1:28">
      <c r="A3314" t="s">
        <v>122</v>
      </c>
      <c r="C3314" s="92">
        <v>4615491302</v>
      </c>
      <c r="D3314" s="93">
        <v>19200</v>
      </c>
      <c r="F3314" s="94">
        <v>16</v>
      </c>
      <c r="G3314" s="94">
        <v>5</v>
      </c>
      <c r="H3314" s="91">
        <v>0</v>
      </c>
      <c r="I3314" s="91">
        <v>0</v>
      </c>
      <c r="J3314" s="41"/>
      <c r="K3314" s="41">
        <v>43555</v>
      </c>
      <c r="L3314" s="69" t="s">
        <v>80</v>
      </c>
      <c r="M3314" s="69" t="s">
        <v>286</v>
      </c>
      <c r="N3314" s="95"/>
      <c r="P3314" t="s">
        <v>95</v>
      </c>
      <c r="Q3314" t="s">
        <v>120</v>
      </c>
      <c r="R3314" s="92" t="s">
        <v>69</v>
      </c>
      <c r="S3314" s="92" t="s">
        <v>394</v>
      </c>
      <c r="V3314" s="95">
        <v>43555</v>
      </c>
      <c r="W3314" s="92">
        <v>2033914</v>
      </c>
      <c r="X3314" s="90"/>
      <c r="Y3314" s="123"/>
      <c r="Z3314" s="30">
        <f t="shared" si="102"/>
        <v>6772.6006943194379</v>
      </c>
      <c r="AA3314" s="30">
        <f t="shared" si="103"/>
        <v>2116.4377169748245</v>
      </c>
      <c r="AB3314" t="s">
        <v>457</v>
      </c>
    </row>
    <row r="3315" spans="1:28">
      <c r="A3315" t="s">
        <v>122</v>
      </c>
      <c r="C3315" s="92">
        <v>4615445902</v>
      </c>
      <c r="D3315" s="93">
        <v>19200</v>
      </c>
      <c r="F3315" s="91">
        <v>16</v>
      </c>
      <c r="G3315" s="96">
        <v>5</v>
      </c>
      <c r="H3315" s="94">
        <v>0</v>
      </c>
      <c r="I3315" s="91">
        <v>0</v>
      </c>
      <c r="J3315" s="41"/>
      <c r="K3315" s="41">
        <v>43555</v>
      </c>
      <c r="L3315" s="69" t="s">
        <v>80</v>
      </c>
      <c r="M3315" s="69" t="s">
        <v>286</v>
      </c>
      <c r="N3315" s="95"/>
      <c r="P3315" t="s">
        <v>95</v>
      </c>
      <c r="Q3315" t="s">
        <v>120</v>
      </c>
      <c r="R3315" s="92" t="s">
        <v>69</v>
      </c>
      <c r="S3315" s="92" t="s">
        <v>395</v>
      </c>
      <c r="V3315" s="95">
        <v>43555</v>
      </c>
      <c r="W3315" s="92">
        <v>2033924</v>
      </c>
      <c r="X3315" s="90"/>
      <c r="Y3315" s="123"/>
      <c r="Z3315" s="30">
        <f t="shared" si="102"/>
        <v>6772.6006943194379</v>
      </c>
      <c r="AA3315" s="30">
        <f t="shared" si="103"/>
        <v>2116.4377169748245</v>
      </c>
      <c r="AB3315" t="s">
        <v>457</v>
      </c>
    </row>
    <row r="3316" spans="1:28">
      <c r="A3316" t="s">
        <v>122</v>
      </c>
      <c r="C3316" s="92">
        <v>4615445902</v>
      </c>
      <c r="D3316" s="93">
        <v>19200</v>
      </c>
      <c r="F3316" s="91">
        <v>16</v>
      </c>
      <c r="G3316" s="96">
        <v>5</v>
      </c>
      <c r="H3316" s="94">
        <v>0</v>
      </c>
      <c r="I3316" s="91">
        <v>0</v>
      </c>
      <c r="J3316" s="41"/>
      <c r="K3316" s="41">
        <v>43555</v>
      </c>
      <c r="L3316" s="69" t="s">
        <v>80</v>
      </c>
      <c r="M3316" s="69" t="s">
        <v>286</v>
      </c>
      <c r="N3316" s="95"/>
      <c r="P3316" t="s">
        <v>95</v>
      </c>
      <c r="Q3316" t="s">
        <v>120</v>
      </c>
      <c r="R3316" s="92" t="s">
        <v>69</v>
      </c>
      <c r="S3316" s="92" t="s">
        <v>395</v>
      </c>
      <c r="V3316" s="95">
        <v>43555</v>
      </c>
      <c r="W3316" s="92">
        <v>2033924</v>
      </c>
      <c r="X3316" s="90"/>
      <c r="Y3316" s="123"/>
      <c r="Z3316" s="30">
        <f t="shared" si="102"/>
        <v>6772.6006943194379</v>
      </c>
      <c r="AA3316" s="30">
        <f t="shared" si="103"/>
        <v>2116.4377169748245</v>
      </c>
      <c r="AB3316" t="s">
        <v>457</v>
      </c>
    </row>
    <row r="3317" spans="1:28">
      <c r="A3317" t="s">
        <v>122</v>
      </c>
      <c r="C3317" s="92">
        <v>4615445902</v>
      </c>
      <c r="D3317" s="93">
        <v>19200</v>
      </c>
      <c r="F3317" s="91">
        <v>16</v>
      </c>
      <c r="G3317" s="96">
        <v>5</v>
      </c>
      <c r="H3317" s="94">
        <v>0</v>
      </c>
      <c r="I3317" s="91">
        <v>0</v>
      </c>
      <c r="J3317" s="41"/>
      <c r="K3317" s="41">
        <v>43555</v>
      </c>
      <c r="L3317" s="69" t="s">
        <v>80</v>
      </c>
      <c r="M3317" s="69" t="s">
        <v>286</v>
      </c>
      <c r="N3317" s="95"/>
      <c r="P3317" t="s">
        <v>95</v>
      </c>
      <c r="Q3317" t="s">
        <v>120</v>
      </c>
      <c r="R3317" s="92" t="s">
        <v>69</v>
      </c>
      <c r="S3317" s="92" t="s">
        <v>395</v>
      </c>
      <c r="V3317" s="95">
        <v>43555</v>
      </c>
      <c r="W3317" s="92">
        <v>2033924</v>
      </c>
      <c r="X3317" s="90"/>
      <c r="Y3317" s="123"/>
      <c r="Z3317" s="30">
        <f t="shared" si="102"/>
        <v>6772.6006943194379</v>
      </c>
      <c r="AA3317" s="30">
        <f t="shared" si="103"/>
        <v>2116.4377169748245</v>
      </c>
      <c r="AB3317" t="s">
        <v>457</v>
      </c>
    </row>
    <row r="3318" spans="1:28">
      <c r="A3318" t="s">
        <v>122</v>
      </c>
      <c r="C3318" s="92">
        <v>4615445902</v>
      </c>
      <c r="D3318" s="93">
        <v>19200</v>
      </c>
      <c r="F3318" s="91">
        <v>16</v>
      </c>
      <c r="G3318" s="96">
        <v>5</v>
      </c>
      <c r="H3318" s="94">
        <v>0</v>
      </c>
      <c r="I3318" s="91">
        <v>0</v>
      </c>
      <c r="J3318" s="41"/>
      <c r="K3318" s="41">
        <v>43555</v>
      </c>
      <c r="L3318" s="69" t="s">
        <v>80</v>
      </c>
      <c r="M3318" s="69" t="s">
        <v>286</v>
      </c>
      <c r="N3318" s="95"/>
      <c r="P3318" t="s">
        <v>95</v>
      </c>
      <c r="Q3318" t="s">
        <v>120</v>
      </c>
      <c r="R3318" s="92" t="s">
        <v>69</v>
      </c>
      <c r="S3318" s="92" t="s">
        <v>395</v>
      </c>
      <c r="V3318" s="95">
        <v>43555</v>
      </c>
      <c r="W3318" s="92">
        <v>2033924</v>
      </c>
      <c r="X3318" s="90"/>
      <c r="Y3318" s="123"/>
      <c r="Z3318" s="30">
        <f t="shared" si="102"/>
        <v>6772.6006943194379</v>
      </c>
      <c r="AA3318" s="30">
        <f t="shared" si="103"/>
        <v>2116.4377169748245</v>
      </c>
      <c r="AB3318" t="s">
        <v>457</v>
      </c>
    </row>
    <row r="3319" spans="1:28">
      <c r="A3319" t="s">
        <v>122</v>
      </c>
      <c r="C3319" s="92">
        <v>4615445902</v>
      </c>
      <c r="D3319" s="93">
        <v>19200</v>
      </c>
      <c r="F3319" s="91">
        <v>16</v>
      </c>
      <c r="G3319" s="96">
        <v>5</v>
      </c>
      <c r="H3319" s="94">
        <v>0</v>
      </c>
      <c r="I3319" s="91">
        <v>0</v>
      </c>
      <c r="J3319" s="41"/>
      <c r="K3319" s="41">
        <v>43555</v>
      </c>
      <c r="L3319" s="69" t="s">
        <v>80</v>
      </c>
      <c r="M3319" s="69" t="s">
        <v>286</v>
      </c>
      <c r="N3319" s="95"/>
      <c r="P3319" t="s">
        <v>95</v>
      </c>
      <c r="Q3319" t="s">
        <v>120</v>
      </c>
      <c r="R3319" s="92" t="s">
        <v>69</v>
      </c>
      <c r="S3319" s="92" t="s">
        <v>395</v>
      </c>
      <c r="V3319" s="95">
        <v>43555</v>
      </c>
      <c r="W3319" s="92">
        <v>2033924</v>
      </c>
      <c r="X3319" s="90"/>
      <c r="Y3319" s="123"/>
      <c r="Z3319" s="30">
        <f t="shared" si="102"/>
        <v>6772.6006943194379</v>
      </c>
      <c r="AA3319" s="30">
        <f t="shared" si="103"/>
        <v>2116.4377169748245</v>
      </c>
      <c r="AB3319" t="s">
        <v>457</v>
      </c>
    </row>
    <row r="3320" spans="1:28">
      <c r="A3320" t="s">
        <v>122</v>
      </c>
      <c r="C3320" s="92">
        <v>4615445902</v>
      </c>
      <c r="D3320" s="93">
        <v>19200</v>
      </c>
      <c r="F3320" s="91">
        <v>16</v>
      </c>
      <c r="G3320" s="96">
        <v>5</v>
      </c>
      <c r="H3320" s="94">
        <v>0</v>
      </c>
      <c r="I3320" s="91">
        <v>0</v>
      </c>
      <c r="J3320" s="41"/>
      <c r="K3320" s="41">
        <v>43555</v>
      </c>
      <c r="L3320" s="69" t="s">
        <v>80</v>
      </c>
      <c r="M3320" s="69" t="s">
        <v>286</v>
      </c>
      <c r="N3320" s="95"/>
      <c r="P3320" t="s">
        <v>95</v>
      </c>
      <c r="Q3320" t="s">
        <v>120</v>
      </c>
      <c r="R3320" s="92" t="s">
        <v>69</v>
      </c>
      <c r="S3320" s="92" t="s">
        <v>395</v>
      </c>
      <c r="V3320" s="95">
        <v>43555</v>
      </c>
      <c r="W3320" s="92">
        <v>2033924</v>
      </c>
      <c r="X3320" s="90"/>
      <c r="Y3320" s="123"/>
      <c r="Z3320" s="30">
        <f t="shared" si="102"/>
        <v>6772.6006943194379</v>
      </c>
      <c r="AA3320" s="30">
        <f t="shared" si="103"/>
        <v>2116.4377169748245</v>
      </c>
      <c r="AB3320" t="s">
        <v>457</v>
      </c>
    </row>
    <row r="3321" spans="1:28">
      <c r="A3321" t="s">
        <v>122</v>
      </c>
      <c r="C3321" s="92">
        <v>4615445902</v>
      </c>
      <c r="D3321" s="93">
        <v>19200</v>
      </c>
      <c r="F3321" s="91">
        <v>16</v>
      </c>
      <c r="G3321" s="96">
        <v>5</v>
      </c>
      <c r="H3321" s="94">
        <v>0</v>
      </c>
      <c r="I3321" s="91">
        <v>0</v>
      </c>
      <c r="J3321" s="41"/>
      <c r="K3321" s="41">
        <v>43555</v>
      </c>
      <c r="L3321" s="69" t="s">
        <v>80</v>
      </c>
      <c r="M3321" s="69" t="s">
        <v>286</v>
      </c>
      <c r="N3321" s="95"/>
      <c r="P3321" t="s">
        <v>95</v>
      </c>
      <c r="Q3321" t="s">
        <v>120</v>
      </c>
      <c r="R3321" s="92" t="s">
        <v>69</v>
      </c>
      <c r="S3321" s="92" t="s">
        <v>395</v>
      </c>
      <c r="V3321" s="95">
        <v>43555</v>
      </c>
      <c r="W3321" s="92">
        <v>2033924</v>
      </c>
      <c r="X3321" s="90"/>
      <c r="Y3321" s="123"/>
      <c r="Z3321" s="30">
        <f t="shared" si="102"/>
        <v>6772.6006943194379</v>
      </c>
      <c r="AA3321" s="30">
        <f t="shared" si="103"/>
        <v>2116.4377169748245</v>
      </c>
      <c r="AB3321" t="s">
        <v>457</v>
      </c>
    </row>
    <row r="3322" spans="1:28">
      <c r="A3322" t="s">
        <v>122</v>
      </c>
      <c r="C3322" s="92">
        <v>4615445902</v>
      </c>
      <c r="D3322" s="93">
        <v>19200</v>
      </c>
      <c r="F3322" s="91">
        <v>16</v>
      </c>
      <c r="G3322" s="96">
        <v>5</v>
      </c>
      <c r="H3322" s="94">
        <v>0</v>
      </c>
      <c r="I3322" s="91">
        <v>0</v>
      </c>
      <c r="J3322" s="41"/>
      <c r="K3322" s="41">
        <v>43555</v>
      </c>
      <c r="L3322" s="69" t="s">
        <v>80</v>
      </c>
      <c r="M3322" s="69" t="s">
        <v>286</v>
      </c>
      <c r="N3322" s="95"/>
      <c r="P3322" t="s">
        <v>95</v>
      </c>
      <c r="Q3322" t="s">
        <v>120</v>
      </c>
      <c r="R3322" s="92" t="s">
        <v>69</v>
      </c>
      <c r="S3322" s="92" t="s">
        <v>395</v>
      </c>
      <c r="V3322" s="95">
        <v>43555</v>
      </c>
      <c r="W3322" s="92">
        <v>2033924</v>
      </c>
      <c r="X3322" s="90"/>
      <c r="Y3322" s="123"/>
      <c r="Z3322" s="30">
        <f t="shared" si="102"/>
        <v>6772.6006943194379</v>
      </c>
      <c r="AA3322" s="30">
        <f t="shared" si="103"/>
        <v>2116.4377169748245</v>
      </c>
      <c r="AB3322" t="s">
        <v>457</v>
      </c>
    </row>
    <row r="3323" spans="1:28">
      <c r="A3323" t="s">
        <v>122</v>
      </c>
      <c r="C3323" s="92">
        <v>4615445902</v>
      </c>
      <c r="D3323" s="93">
        <v>19200</v>
      </c>
      <c r="F3323" s="91">
        <v>16</v>
      </c>
      <c r="G3323" s="96">
        <v>5</v>
      </c>
      <c r="H3323" s="94">
        <v>0</v>
      </c>
      <c r="I3323" s="91">
        <v>0</v>
      </c>
      <c r="J3323" s="41"/>
      <c r="K3323" s="41">
        <v>43555</v>
      </c>
      <c r="L3323" s="69" t="s">
        <v>80</v>
      </c>
      <c r="M3323" s="69" t="s">
        <v>286</v>
      </c>
      <c r="N3323" s="95"/>
      <c r="P3323" t="s">
        <v>95</v>
      </c>
      <c r="Q3323" t="s">
        <v>120</v>
      </c>
      <c r="R3323" s="92" t="s">
        <v>69</v>
      </c>
      <c r="S3323" s="92" t="s">
        <v>395</v>
      </c>
      <c r="V3323" s="95">
        <v>43555</v>
      </c>
      <c r="W3323" s="92">
        <v>2033924</v>
      </c>
      <c r="X3323" s="90"/>
      <c r="Y3323" s="123"/>
      <c r="Z3323" s="30">
        <f t="shared" si="102"/>
        <v>6772.6006943194379</v>
      </c>
      <c r="AA3323" s="30">
        <f t="shared" si="103"/>
        <v>2116.4377169748245</v>
      </c>
      <c r="AB3323" t="s">
        <v>457</v>
      </c>
    </row>
    <row r="3324" spans="1:28">
      <c r="A3324" t="s">
        <v>122</v>
      </c>
      <c r="C3324" s="92">
        <v>4615445902</v>
      </c>
      <c r="D3324" s="93">
        <v>19200</v>
      </c>
      <c r="F3324" s="91">
        <v>16</v>
      </c>
      <c r="G3324" s="96">
        <v>5</v>
      </c>
      <c r="H3324" s="94">
        <v>0</v>
      </c>
      <c r="I3324" s="91">
        <v>0</v>
      </c>
      <c r="J3324" s="41"/>
      <c r="K3324" s="41">
        <v>43555</v>
      </c>
      <c r="L3324" s="69" t="s">
        <v>80</v>
      </c>
      <c r="M3324" s="69" t="s">
        <v>286</v>
      </c>
      <c r="N3324" s="95"/>
      <c r="P3324" t="s">
        <v>95</v>
      </c>
      <c r="Q3324" t="s">
        <v>120</v>
      </c>
      <c r="R3324" s="92" t="s">
        <v>69</v>
      </c>
      <c r="S3324" s="92" t="s">
        <v>395</v>
      </c>
      <c r="V3324" s="95">
        <v>43555</v>
      </c>
      <c r="W3324" s="92">
        <v>2033924</v>
      </c>
      <c r="X3324" s="90"/>
      <c r="Y3324" s="123"/>
      <c r="Z3324" s="30">
        <f t="shared" si="102"/>
        <v>6772.6006943194379</v>
      </c>
      <c r="AA3324" s="30">
        <f t="shared" si="103"/>
        <v>2116.4377169748245</v>
      </c>
      <c r="AB3324" t="s">
        <v>457</v>
      </c>
    </row>
    <row r="3325" spans="1:28">
      <c r="A3325" t="s">
        <v>122</v>
      </c>
      <c r="C3325" s="92">
        <v>4615445902</v>
      </c>
      <c r="D3325" s="93">
        <v>19200</v>
      </c>
      <c r="F3325" s="91">
        <v>16</v>
      </c>
      <c r="G3325" s="96">
        <v>5</v>
      </c>
      <c r="H3325" s="94">
        <v>0</v>
      </c>
      <c r="I3325" s="91">
        <v>0</v>
      </c>
      <c r="J3325" s="41"/>
      <c r="K3325" s="41">
        <v>43555</v>
      </c>
      <c r="L3325" s="69" t="s">
        <v>80</v>
      </c>
      <c r="M3325" s="69" t="s">
        <v>286</v>
      </c>
      <c r="N3325" s="95"/>
      <c r="P3325" t="s">
        <v>95</v>
      </c>
      <c r="Q3325" t="s">
        <v>120</v>
      </c>
      <c r="R3325" s="92" t="s">
        <v>69</v>
      </c>
      <c r="S3325" s="92" t="s">
        <v>395</v>
      </c>
      <c r="V3325" s="95">
        <v>43555</v>
      </c>
      <c r="W3325" s="92">
        <v>2033924</v>
      </c>
      <c r="X3325" s="90"/>
      <c r="Y3325" s="123"/>
      <c r="Z3325" s="30">
        <f t="shared" si="102"/>
        <v>6772.6006943194379</v>
      </c>
      <c r="AA3325" s="30">
        <f t="shared" si="103"/>
        <v>2116.4377169748245</v>
      </c>
      <c r="AB3325" t="s">
        <v>457</v>
      </c>
    </row>
    <row r="3326" spans="1:28">
      <c r="A3326" t="s">
        <v>118</v>
      </c>
      <c r="C3326" s="92">
        <v>4615479106</v>
      </c>
      <c r="D3326" s="93">
        <v>19175</v>
      </c>
      <c r="F3326" s="91">
        <v>16</v>
      </c>
      <c r="G3326" s="96">
        <v>5</v>
      </c>
      <c r="H3326" s="94">
        <v>0</v>
      </c>
      <c r="I3326" s="91">
        <v>0</v>
      </c>
      <c r="J3326" s="41"/>
      <c r="K3326" s="41">
        <v>43555</v>
      </c>
      <c r="L3326" s="69" t="s">
        <v>80</v>
      </c>
      <c r="M3326" s="69" t="s">
        <v>286</v>
      </c>
      <c r="N3326" s="95"/>
      <c r="P3326" t="s">
        <v>95</v>
      </c>
      <c r="Q3326" t="s">
        <v>120</v>
      </c>
      <c r="R3326" s="92" t="s">
        <v>69</v>
      </c>
      <c r="S3326" s="92" t="s">
        <v>396</v>
      </c>
      <c r="V3326" s="95">
        <v>43555</v>
      </c>
      <c r="W3326" s="92">
        <v>2033934</v>
      </c>
      <c r="X3326" s="90"/>
      <c r="Y3326" s="123"/>
      <c r="Z3326" s="30">
        <f t="shared" si="102"/>
        <v>6763.7822038320437</v>
      </c>
      <c r="AA3326" s="30">
        <f t="shared" si="103"/>
        <v>2113.6819386975139</v>
      </c>
      <c r="AB3326" t="s">
        <v>457</v>
      </c>
    </row>
    <row r="3327" spans="1:28">
      <c r="A3327" t="s">
        <v>118</v>
      </c>
      <c r="C3327" s="92">
        <v>4615479106</v>
      </c>
      <c r="D3327" s="93">
        <v>19175</v>
      </c>
      <c r="F3327" s="91">
        <v>16</v>
      </c>
      <c r="G3327" s="96">
        <v>5</v>
      </c>
      <c r="H3327" s="94">
        <v>0</v>
      </c>
      <c r="I3327" s="91">
        <v>0</v>
      </c>
      <c r="J3327" s="41"/>
      <c r="K3327" s="41">
        <v>43555</v>
      </c>
      <c r="L3327" s="69" t="s">
        <v>80</v>
      </c>
      <c r="M3327" s="69" t="s">
        <v>286</v>
      </c>
      <c r="N3327" s="95"/>
      <c r="P3327" t="s">
        <v>95</v>
      </c>
      <c r="Q3327" t="s">
        <v>120</v>
      </c>
      <c r="R3327" s="92" t="s">
        <v>69</v>
      </c>
      <c r="S3327" s="92" t="s">
        <v>396</v>
      </c>
      <c r="V3327" s="95">
        <v>43555</v>
      </c>
      <c r="W3327" s="92">
        <v>2033934</v>
      </c>
      <c r="X3327" s="90"/>
      <c r="Y3327" s="123"/>
      <c r="Z3327" s="30">
        <f t="shared" si="102"/>
        <v>6763.7822038320437</v>
      </c>
      <c r="AA3327" s="30">
        <f t="shared" si="103"/>
        <v>2113.6819386975139</v>
      </c>
      <c r="AB3327" t="s">
        <v>457</v>
      </c>
    </row>
    <row r="3328" spans="1:28">
      <c r="A3328" t="s">
        <v>118</v>
      </c>
      <c r="C3328" s="92">
        <v>4615479106</v>
      </c>
      <c r="D3328" s="93">
        <v>19175</v>
      </c>
      <c r="F3328" s="91">
        <v>16</v>
      </c>
      <c r="G3328" s="96">
        <v>5</v>
      </c>
      <c r="H3328" s="94">
        <v>0</v>
      </c>
      <c r="I3328" s="91">
        <v>0</v>
      </c>
      <c r="J3328" s="41"/>
      <c r="K3328" s="41">
        <v>43555</v>
      </c>
      <c r="L3328" s="69" t="s">
        <v>80</v>
      </c>
      <c r="M3328" s="69" t="s">
        <v>286</v>
      </c>
      <c r="N3328" s="95"/>
      <c r="P3328" t="s">
        <v>95</v>
      </c>
      <c r="Q3328" t="s">
        <v>120</v>
      </c>
      <c r="R3328" s="92" t="s">
        <v>69</v>
      </c>
      <c r="S3328" s="92" t="s">
        <v>396</v>
      </c>
      <c r="V3328" s="95">
        <v>43555</v>
      </c>
      <c r="W3328" s="92">
        <v>2033934</v>
      </c>
      <c r="X3328" s="90"/>
      <c r="Y3328" s="123"/>
      <c r="Z3328" s="30">
        <f t="shared" si="102"/>
        <v>6763.7822038320437</v>
      </c>
      <c r="AA3328" s="30">
        <f t="shared" si="103"/>
        <v>2113.6819386975139</v>
      </c>
      <c r="AB3328" t="s">
        <v>457</v>
      </c>
    </row>
    <row r="3329" spans="1:28">
      <c r="A3329" t="s">
        <v>118</v>
      </c>
      <c r="C3329" s="92">
        <v>4615479106</v>
      </c>
      <c r="D3329" s="93">
        <v>19175</v>
      </c>
      <c r="F3329" s="91">
        <v>16</v>
      </c>
      <c r="G3329" s="96">
        <v>5</v>
      </c>
      <c r="H3329" s="94">
        <v>0</v>
      </c>
      <c r="I3329" s="91">
        <v>0</v>
      </c>
      <c r="J3329" s="41"/>
      <c r="K3329" s="41">
        <v>43555</v>
      </c>
      <c r="L3329" s="69" t="s">
        <v>80</v>
      </c>
      <c r="M3329" s="69" t="s">
        <v>286</v>
      </c>
      <c r="N3329" s="95"/>
      <c r="P3329" t="s">
        <v>95</v>
      </c>
      <c r="Q3329" t="s">
        <v>120</v>
      </c>
      <c r="R3329" s="92" t="s">
        <v>69</v>
      </c>
      <c r="S3329" s="92" t="s">
        <v>396</v>
      </c>
      <c r="V3329" s="95">
        <v>43555</v>
      </c>
      <c r="W3329" s="92">
        <v>2033934</v>
      </c>
      <c r="X3329" s="90"/>
      <c r="Y3329" s="123"/>
      <c r="Z3329" s="30">
        <f t="shared" si="102"/>
        <v>6763.7822038320437</v>
      </c>
      <c r="AA3329" s="30">
        <f t="shared" si="103"/>
        <v>2113.6819386975139</v>
      </c>
      <c r="AB3329" t="s">
        <v>457</v>
      </c>
    </row>
    <row r="3330" spans="1:28">
      <c r="A3330" t="s">
        <v>118</v>
      </c>
      <c r="C3330" s="92">
        <v>4615479106</v>
      </c>
      <c r="D3330" s="93">
        <v>19175</v>
      </c>
      <c r="F3330" s="91">
        <v>16</v>
      </c>
      <c r="G3330" s="96">
        <v>5</v>
      </c>
      <c r="H3330" s="94">
        <v>0</v>
      </c>
      <c r="I3330" s="91">
        <v>0</v>
      </c>
      <c r="J3330" s="41"/>
      <c r="K3330" s="41">
        <v>43555</v>
      </c>
      <c r="L3330" s="69" t="s">
        <v>80</v>
      </c>
      <c r="M3330" s="69" t="s">
        <v>286</v>
      </c>
      <c r="N3330" s="95"/>
      <c r="P3330" t="s">
        <v>95</v>
      </c>
      <c r="Q3330" t="s">
        <v>120</v>
      </c>
      <c r="R3330" s="92" t="s">
        <v>69</v>
      </c>
      <c r="S3330" s="92" t="s">
        <v>396</v>
      </c>
      <c r="V3330" s="95">
        <v>43555</v>
      </c>
      <c r="W3330" s="92">
        <v>2033934</v>
      </c>
      <c r="X3330" s="90"/>
      <c r="Y3330" s="123"/>
      <c r="Z3330" s="30">
        <f t="shared" si="102"/>
        <v>6763.7822038320437</v>
      </c>
      <c r="AA3330" s="30">
        <f t="shared" si="103"/>
        <v>2113.6819386975139</v>
      </c>
      <c r="AB3330" t="s">
        <v>457</v>
      </c>
    </row>
    <row r="3331" spans="1:28">
      <c r="A3331" t="s">
        <v>118</v>
      </c>
      <c r="C3331" s="92">
        <v>4615479106</v>
      </c>
      <c r="D3331" s="93">
        <v>19175</v>
      </c>
      <c r="F3331" s="91">
        <v>16</v>
      </c>
      <c r="G3331" s="96">
        <v>5</v>
      </c>
      <c r="H3331" s="94">
        <v>0</v>
      </c>
      <c r="I3331" s="91">
        <v>0</v>
      </c>
      <c r="J3331" s="41"/>
      <c r="K3331" s="41">
        <v>43555</v>
      </c>
      <c r="L3331" s="69" t="s">
        <v>80</v>
      </c>
      <c r="M3331" s="69" t="s">
        <v>286</v>
      </c>
      <c r="N3331" s="95"/>
      <c r="P3331" t="s">
        <v>95</v>
      </c>
      <c r="Q3331" t="s">
        <v>120</v>
      </c>
      <c r="R3331" s="92" t="s">
        <v>69</v>
      </c>
      <c r="S3331" s="92" t="s">
        <v>396</v>
      </c>
      <c r="V3331" s="95">
        <v>43555</v>
      </c>
      <c r="W3331" s="92">
        <v>2033934</v>
      </c>
      <c r="X3331" s="90"/>
      <c r="Y3331" s="123"/>
      <c r="Z3331" s="30">
        <f t="shared" ref="Z3331:Z3394" si="104">CONVERT(D3331,"kg","lbm")*F3331/100</f>
        <v>6763.7822038320437</v>
      </c>
      <c r="AA3331" s="30">
        <f t="shared" ref="AA3331:AA3394" si="105">CONVERT(D3331,"kg","lbm")*G3331/100</f>
        <v>2113.6819386975139</v>
      </c>
      <c r="AB3331" t="s">
        <v>457</v>
      </c>
    </row>
    <row r="3332" spans="1:28">
      <c r="A3332" t="s">
        <v>122</v>
      </c>
      <c r="C3332" s="92">
        <v>4615451407</v>
      </c>
      <c r="D3332" s="93">
        <v>19200</v>
      </c>
      <c r="F3332" s="91">
        <v>16</v>
      </c>
      <c r="G3332" s="96">
        <v>5</v>
      </c>
      <c r="H3332" s="94">
        <v>0</v>
      </c>
      <c r="I3332" s="91">
        <v>0</v>
      </c>
      <c r="J3332" s="41"/>
      <c r="K3332" s="41">
        <v>43555</v>
      </c>
      <c r="L3332" s="69" t="s">
        <v>80</v>
      </c>
      <c r="M3332" s="69" t="s">
        <v>286</v>
      </c>
      <c r="N3332" s="95"/>
      <c r="P3332" t="s">
        <v>95</v>
      </c>
      <c r="Q3332" t="s">
        <v>120</v>
      </c>
      <c r="R3332" s="92" t="s">
        <v>69</v>
      </c>
      <c r="S3332" s="92" t="s">
        <v>397</v>
      </c>
      <c r="V3332" s="95">
        <v>43555</v>
      </c>
      <c r="W3332" s="92">
        <v>2033944</v>
      </c>
      <c r="X3332" s="90"/>
      <c r="Y3332" s="123"/>
      <c r="Z3332" s="30">
        <f t="shared" si="104"/>
        <v>6772.6006943194379</v>
      </c>
      <c r="AA3332" s="30">
        <f t="shared" si="105"/>
        <v>2116.4377169748245</v>
      </c>
      <c r="AB3332" t="s">
        <v>457</v>
      </c>
    </row>
    <row r="3333" spans="1:28">
      <c r="A3333" t="s">
        <v>122</v>
      </c>
      <c r="C3333" s="92">
        <v>4615451407</v>
      </c>
      <c r="D3333" s="93">
        <v>19200</v>
      </c>
      <c r="F3333" s="91">
        <v>16</v>
      </c>
      <c r="G3333" s="96">
        <v>5</v>
      </c>
      <c r="H3333" s="94">
        <v>0</v>
      </c>
      <c r="I3333" s="91">
        <v>0</v>
      </c>
      <c r="J3333" s="41"/>
      <c r="K3333" s="41">
        <v>43555</v>
      </c>
      <c r="L3333" s="69" t="s">
        <v>80</v>
      </c>
      <c r="M3333" s="69" t="s">
        <v>286</v>
      </c>
      <c r="N3333" s="95"/>
      <c r="P3333" t="s">
        <v>95</v>
      </c>
      <c r="Q3333" t="s">
        <v>120</v>
      </c>
      <c r="R3333" s="92" t="s">
        <v>69</v>
      </c>
      <c r="S3333" s="92" t="s">
        <v>397</v>
      </c>
      <c r="V3333" s="95">
        <v>43555</v>
      </c>
      <c r="W3333" s="92">
        <v>2033944</v>
      </c>
      <c r="X3333" s="90"/>
      <c r="Y3333" s="123"/>
      <c r="Z3333" s="30">
        <f t="shared" si="104"/>
        <v>6772.6006943194379</v>
      </c>
      <c r="AA3333" s="30">
        <f t="shared" si="105"/>
        <v>2116.4377169748245</v>
      </c>
      <c r="AB3333" t="s">
        <v>457</v>
      </c>
    </row>
    <row r="3334" spans="1:28">
      <c r="A3334" t="s">
        <v>122</v>
      </c>
      <c r="C3334" s="92">
        <v>4615451407</v>
      </c>
      <c r="D3334" s="93">
        <v>19200</v>
      </c>
      <c r="F3334" s="91">
        <v>16</v>
      </c>
      <c r="G3334" s="96">
        <v>5</v>
      </c>
      <c r="H3334" s="94">
        <v>0</v>
      </c>
      <c r="I3334" s="91">
        <v>0</v>
      </c>
      <c r="J3334" s="41"/>
      <c r="K3334" s="41">
        <v>43555</v>
      </c>
      <c r="L3334" s="69" t="s">
        <v>80</v>
      </c>
      <c r="M3334" s="69" t="s">
        <v>286</v>
      </c>
      <c r="N3334" s="95"/>
      <c r="P3334" t="s">
        <v>95</v>
      </c>
      <c r="Q3334" t="s">
        <v>120</v>
      </c>
      <c r="R3334" s="92" t="s">
        <v>69</v>
      </c>
      <c r="S3334" s="92" t="s">
        <v>397</v>
      </c>
      <c r="V3334" s="95">
        <v>43555</v>
      </c>
      <c r="W3334" s="92">
        <v>2033944</v>
      </c>
      <c r="X3334" s="90"/>
      <c r="Y3334" s="123"/>
      <c r="Z3334" s="30">
        <f t="shared" si="104"/>
        <v>6772.6006943194379</v>
      </c>
      <c r="AA3334" s="30">
        <f t="shared" si="105"/>
        <v>2116.4377169748245</v>
      </c>
      <c r="AB3334" t="s">
        <v>457</v>
      </c>
    </row>
    <row r="3335" spans="1:28">
      <c r="A3335" t="s">
        <v>122</v>
      </c>
      <c r="C3335" s="92">
        <v>4615451407</v>
      </c>
      <c r="D3335" s="93">
        <v>19200</v>
      </c>
      <c r="F3335" s="91">
        <v>16</v>
      </c>
      <c r="G3335" s="96">
        <v>5</v>
      </c>
      <c r="H3335" s="94">
        <v>0</v>
      </c>
      <c r="I3335" s="91">
        <v>0</v>
      </c>
      <c r="J3335" s="41"/>
      <c r="K3335" s="41">
        <v>43555</v>
      </c>
      <c r="L3335" s="69" t="s">
        <v>80</v>
      </c>
      <c r="M3335" s="69" t="s">
        <v>286</v>
      </c>
      <c r="N3335" s="95"/>
      <c r="P3335" t="s">
        <v>95</v>
      </c>
      <c r="Q3335" t="s">
        <v>120</v>
      </c>
      <c r="R3335" s="92" t="s">
        <v>69</v>
      </c>
      <c r="S3335" s="92" t="s">
        <v>397</v>
      </c>
      <c r="V3335" s="95">
        <v>43555</v>
      </c>
      <c r="W3335" s="92">
        <v>2033944</v>
      </c>
      <c r="X3335" s="90"/>
      <c r="Y3335" s="123"/>
      <c r="Z3335" s="30">
        <f t="shared" si="104"/>
        <v>6772.6006943194379</v>
      </c>
      <c r="AA3335" s="30">
        <f t="shared" si="105"/>
        <v>2116.4377169748245</v>
      </c>
      <c r="AB3335" t="s">
        <v>457</v>
      </c>
    </row>
    <row r="3336" spans="1:28">
      <c r="A3336" t="s">
        <v>122</v>
      </c>
      <c r="C3336" s="92">
        <v>4615451407</v>
      </c>
      <c r="D3336" s="93">
        <v>19200</v>
      </c>
      <c r="F3336" s="91">
        <v>16</v>
      </c>
      <c r="G3336" s="96">
        <v>5</v>
      </c>
      <c r="H3336" s="94">
        <v>0</v>
      </c>
      <c r="I3336" s="91">
        <v>0</v>
      </c>
      <c r="J3336" s="41"/>
      <c r="K3336" s="41">
        <v>43555</v>
      </c>
      <c r="L3336" s="69" t="s">
        <v>80</v>
      </c>
      <c r="M3336" s="69" t="s">
        <v>286</v>
      </c>
      <c r="N3336" s="95"/>
      <c r="P3336" t="s">
        <v>95</v>
      </c>
      <c r="Q3336" t="s">
        <v>120</v>
      </c>
      <c r="R3336" s="92" t="s">
        <v>69</v>
      </c>
      <c r="S3336" s="92" t="s">
        <v>397</v>
      </c>
      <c r="V3336" s="95">
        <v>43555</v>
      </c>
      <c r="W3336" s="92">
        <v>2033944</v>
      </c>
      <c r="X3336" s="90"/>
      <c r="Y3336" s="123"/>
      <c r="Z3336" s="30">
        <f t="shared" si="104"/>
        <v>6772.6006943194379</v>
      </c>
      <c r="AA3336" s="30">
        <f t="shared" si="105"/>
        <v>2116.4377169748245</v>
      </c>
      <c r="AB3336" t="s">
        <v>457</v>
      </c>
    </row>
    <row r="3337" spans="1:28">
      <c r="A3337" t="s">
        <v>122</v>
      </c>
      <c r="C3337" s="92">
        <v>4615451407</v>
      </c>
      <c r="D3337" s="93">
        <v>19200</v>
      </c>
      <c r="F3337" s="91">
        <v>16</v>
      </c>
      <c r="G3337" s="96">
        <v>5</v>
      </c>
      <c r="H3337" s="94">
        <v>0</v>
      </c>
      <c r="I3337" s="91">
        <v>0</v>
      </c>
      <c r="J3337" s="41"/>
      <c r="K3337" s="41">
        <v>43555</v>
      </c>
      <c r="L3337" s="69" t="s">
        <v>80</v>
      </c>
      <c r="M3337" s="69" t="s">
        <v>286</v>
      </c>
      <c r="N3337" s="95"/>
      <c r="P3337" t="s">
        <v>95</v>
      </c>
      <c r="Q3337" t="s">
        <v>120</v>
      </c>
      <c r="R3337" s="92" t="s">
        <v>69</v>
      </c>
      <c r="S3337" s="92" t="s">
        <v>397</v>
      </c>
      <c r="V3337" s="95">
        <v>43555</v>
      </c>
      <c r="W3337" s="92">
        <v>2033944</v>
      </c>
      <c r="X3337" s="90"/>
      <c r="Y3337" s="123"/>
      <c r="Z3337" s="30">
        <f t="shared" si="104"/>
        <v>6772.6006943194379</v>
      </c>
      <c r="AA3337" s="30">
        <f t="shared" si="105"/>
        <v>2116.4377169748245</v>
      </c>
      <c r="AB3337" t="s">
        <v>457</v>
      </c>
    </row>
    <row r="3338" spans="1:28">
      <c r="A3338" t="s">
        <v>122</v>
      </c>
      <c r="C3338" s="92">
        <v>4615451407</v>
      </c>
      <c r="D3338" s="93">
        <v>19200</v>
      </c>
      <c r="F3338" s="91">
        <v>16</v>
      </c>
      <c r="G3338" s="96">
        <v>5</v>
      </c>
      <c r="H3338" s="94">
        <v>0</v>
      </c>
      <c r="I3338" s="91">
        <v>0</v>
      </c>
      <c r="J3338" s="41"/>
      <c r="K3338" s="41">
        <v>43555</v>
      </c>
      <c r="L3338" s="69" t="s">
        <v>80</v>
      </c>
      <c r="M3338" s="69" t="s">
        <v>286</v>
      </c>
      <c r="N3338" s="95"/>
      <c r="P3338" t="s">
        <v>95</v>
      </c>
      <c r="Q3338" t="s">
        <v>120</v>
      </c>
      <c r="R3338" s="92" t="s">
        <v>69</v>
      </c>
      <c r="S3338" s="92" t="s">
        <v>397</v>
      </c>
      <c r="V3338" s="95">
        <v>43555</v>
      </c>
      <c r="W3338" s="92">
        <v>2033944</v>
      </c>
      <c r="X3338" s="90"/>
      <c r="Y3338" s="123"/>
      <c r="Z3338" s="30">
        <f t="shared" si="104"/>
        <v>6772.6006943194379</v>
      </c>
      <c r="AA3338" s="30">
        <f t="shared" si="105"/>
        <v>2116.4377169748245</v>
      </c>
      <c r="AB3338" t="s">
        <v>457</v>
      </c>
    </row>
    <row r="3339" spans="1:28">
      <c r="A3339" t="s">
        <v>122</v>
      </c>
      <c r="C3339" s="92">
        <v>4615451407</v>
      </c>
      <c r="D3339" s="93">
        <v>19200</v>
      </c>
      <c r="F3339" s="91">
        <v>16</v>
      </c>
      <c r="G3339" s="96">
        <v>5</v>
      </c>
      <c r="H3339" s="94">
        <v>0</v>
      </c>
      <c r="I3339" s="91">
        <v>0</v>
      </c>
      <c r="J3339" s="41"/>
      <c r="K3339" s="41">
        <v>43555</v>
      </c>
      <c r="L3339" s="69" t="s">
        <v>80</v>
      </c>
      <c r="M3339" s="69" t="s">
        <v>286</v>
      </c>
      <c r="N3339" s="95"/>
      <c r="P3339" t="s">
        <v>95</v>
      </c>
      <c r="Q3339" t="s">
        <v>120</v>
      </c>
      <c r="R3339" s="92" t="s">
        <v>69</v>
      </c>
      <c r="S3339" s="92" t="s">
        <v>397</v>
      </c>
      <c r="V3339" s="95">
        <v>43555</v>
      </c>
      <c r="W3339" s="92">
        <v>2033944</v>
      </c>
      <c r="X3339" s="90"/>
      <c r="Y3339" s="123"/>
      <c r="Z3339" s="30">
        <f t="shared" si="104"/>
        <v>6772.6006943194379</v>
      </c>
      <c r="AA3339" s="30">
        <f t="shared" si="105"/>
        <v>2116.4377169748245</v>
      </c>
      <c r="AB3339" t="s">
        <v>457</v>
      </c>
    </row>
    <row r="3340" spans="1:28">
      <c r="A3340" t="s">
        <v>122</v>
      </c>
      <c r="C3340" s="92">
        <v>4615451407</v>
      </c>
      <c r="D3340" s="93">
        <v>19200</v>
      </c>
      <c r="F3340" s="91">
        <v>16</v>
      </c>
      <c r="G3340" s="96">
        <v>5</v>
      </c>
      <c r="H3340" s="94">
        <v>0</v>
      </c>
      <c r="I3340" s="91">
        <v>0</v>
      </c>
      <c r="J3340" s="41"/>
      <c r="K3340" s="41">
        <v>43555</v>
      </c>
      <c r="L3340" s="69" t="s">
        <v>80</v>
      </c>
      <c r="M3340" s="69" t="s">
        <v>286</v>
      </c>
      <c r="N3340" s="95"/>
      <c r="P3340" t="s">
        <v>95</v>
      </c>
      <c r="Q3340" t="s">
        <v>120</v>
      </c>
      <c r="R3340" s="92" t="s">
        <v>69</v>
      </c>
      <c r="S3340" s="92" t="s">
        <v>397</v>
      </c>
      <c r="V3340" s="95">
        <v>43555</v>
      </c>
      <c r="W3340" s="92">
        <v>2033944</v>
      </c>
      <c r="X3340" s="90"/>
      <c r="Y3340" s="123"/>
      <c r="Z3340" s="30">
        <f t="shared" si="104"/>
        <v>6772.6006943194379</v>
      </c>
      <c r="AA3340" s="30">
        <f t="shared" si="105"/>
        <v>2116.4377169748245</v>
      </c>
      <c r="AB3340" t="s">
        <v>457</v>
      </c>
    </row>
    <row r="3341" spans="1:28">
      <c r="A3341" t="s">
        <v>122</v>
      </c>
      <c r="C3341" s="92">
        <v>4615451407</v>
      </c>
      <c r="D3341" s="93">
        <v>19200</v>
      </c>
      <c r="F3341" s="91">
        <v>16</v>
      </c>
      <c r="G3341" s="96">
        <v>5</v>
      </c>
      <c r="H3341" s="94">
        <v>0</v>
      </c>
      <c r="I3341" s="91">
        <v>0</v>
      </c>
      <c r="J3341" s="41"/>
      <c r="K3341" s="41">
        <v>43555</v>
      </c>
      <c r="L3341" s="69" t="s">
        <v>80</v>
      </c>
      <c r="M3341" s="69" t="s">
        <v>286</v>
      </c>
      <c r="N3341" s="95"/>
      <c r="P3341" t="s">
        <v>95</v>
      </c>
      <c r="Q3341" t="s">
        <v>120</v>
      </c>
      <c r="R3341" s="92" t="s">
        <v>69</v>
      </c>
      <c r="S3341" s="92" t="s">
        <v>397</v>
      </c>
      <c r="V3341" s="95">
        <v>43555</v>
      </c>
      <c r="W3341" s="92">
        <v>2033944</v>
      </c>
      <c r="X3341" s="90"/>
      <c r="Y3341" s="123"/>
      <c r="Z3341" s="30">
        <f t="shared" si="104"/>
        <v>6772.6006943194379</v>
      </c>
      <c r="AA3341" s="30">
        <f t="shared" si="105"/>
        <v>2116.4377169748245</v>
      </c>
      <c r="AB3341" t="s">
        <v>457</v>
      </c>
    </row>
    <row r="3342" spans="1:28">
      <c r="A3342" t="s">
        <v>122</v>
      </c>
      <c r="C3342" s="92">
        <v>4615477636</v>
      </c>
      <c r="D3342" s="93">
        <v>19200</v>
      </c>
      <c r="F3342" s="91">
        <v>16</v>
      </c>
      <c r="G3342" s="96">
        <v>5</v>
      </c>
      <c r="H3342" s="94">
        <v>0</v>
      </c>
      <c r="I3342" s="91">
        <v>0</v>
      </c>
      <c r="J3342" s="41"/>
      <c r="K3342" s="41">
        <v>43555</v>
      </c>
      <c r="L3342" s="69" t="s">
        <v>80</v>
      </c>
      <c r="M3342" s="69" t="s">
        <v>286</v>
      </c>
      <c r="N3342" s="95"/>
      <c r="P3342" t="s">
        <v>95</v>
      </c>
      <c r="Q3342" t="s">
        <v>120</v>
      </c>
      <c r="R3342" s="92" t="s">
        <v>69</v>
      </c>
      <c r="S3342" s="92" t="s">
        <v>293</v>
      </c>
      <c r="V3342" s="95">
        <v>43555</v>
      </c>
      <c r="W3342" s="92">
        <v>2033954</v>
      </c>
      <c r="X3342" s="90"/>
      <c r="Y3342" s="123"/>
      <c r="Z3342" s="30">
        <f t="shared" si="104"/>
        <v>6772.6006943194379</v>
      </c>
      <c r="AA3342" s="30">
        <f t="shared" si="105"/>
        <v>2116.4377169748245</v>
      </c>
      <c r="AB3342" t="s">
        <v>457</v>
      </c>
    </row>
    <row r="3343" spans="1:28">
      <c r="A3343" t="s">
        <v>122</v>
      </c>
      <c r="C3343" s="92">
        <v>4615477636</v>
      </c>
      <c r="D3343" s="93">
        <v>19200</v>
      </c>
      <c r="F3343" s="91">
        <v>16</v>
      </c>
      <c r="G3343" s="96">
        <v>5</v>
      </c>
      <c r="H3343" s="94">
        <v>0</v>
      </c>
      <c r="I3343" s="91">
        <v>0</v>
      </c>
      <c r="J3343" s="41"/>
      <c r="K3343" s="41">
        <v>43555</v>
      </c>
      <c r="L3343" s="69" t="s">
        <v>80</v>
      </c>
      <c r="M3343" s="69" t="s">
        <v>286</v>
      </c>
      <c r="N3343" s="95"/>
      <c r="P3343" t="s">
        <v>95</v>
      </c>
      <c r="Q3343" t="s">
        <v>120</v>
      </c>
      <c r="R3343" s="92" t="s">
        <v>69</v>
      </c>
      <c r="S3343" s="92" t="s">
        <v>293</v>
      </c>
      <c r="V3343" s="95">
        <v>43555</v>
      </c>
      <c r="W3343" s="92">
        <v>2033954</v>
      </c>
      <c r="X3343" s="90"/>
      <c r="Y3343" s="123"/>
      <c r="Z3343" s="30">
        <f t="shared" si="104"/>
        <v>6772.6006943194379</v>
      </c>
      <c r="AA3343" s="30">
        <f t="shared" si="105"/>
        <v>2116.4377169748245</v>
      </c>
      <c r="AB3343" t="s">
        <v>457</v>
      </c>
    </row>
    <row r="3344" spans="1:28">
      <c r="A3344" t="s">
        <v>122</v>
      </c>
      <c r="C3344" s="92">
        <v>4615477636</v>
      </c>
      <c r="D3344" s="93">
        <v>19200</v>
      </c>
      <c r="F3344" s="91">
        <v>16</v>
      </c>
      <c r="G3344" s="96">
        <v>5</v>
      </c>
      <c r="H3344" s="94">
        <v>0</v>
      </c>
      <c r="I3344" s="91">
        <v>0</v>
      </c>
      <c r="J3344" s="41"/>
      <c r="K3344" s="41">
        <v>43555</v>
      </c>
      <c r="L3344" s="69" t="s">
        <v>80</v>
      </c>
      <c r="M3344" s="69" t="s">
        <v>286</v>
      </c>
      <c r="N3344" s="95"/>
      <c r="P3344" t="s">
        <v>95</v>
      </c>
      <c r="Q3344" t="s">
        <v>120</v>
      </c>
      <c r="R3344" s="92" t="s">
        <v>69</v>
      </c>
      <c r="S3344" s="92" t="s">
        <v>293</v>
      </c>
      <c r="V3344" s="95">
        <v>43555</v>
      </c>
      <c r="W3344" s="92">
        <v>2033954</v>
      </c>
      <c r="X3344" s="90"/>
      <c r="Y3344" s="123"/>
      <c r="Z3344" s="30">
        <f t="shared" si="104"/>
        <v>6772.6006943194379</v>
      </c>
      <c r="AA3344" s="30">
        <f t="shared" si="105"/>
        <v>2116.4377169748245</v>
      </c>
      <c r="AB3344" t="s">
        <v>457</v>
      </c>
    </row>
    <row r="3345" spans="1:28">
      <c r="A3345" t="s">
        <v>122</v>
      </c>
      <c r="C3345" s="92">
        <v>4615477636</v>
      </c>
      <c r="D3345" s="93">
        <v>19200</v>
      </c>
      <c r="F3345" s="91">
        <v>16</v>
      </c>
      <c r="G3345" s="96">
        <v>5</v>
      </c>
      <c r="H3345" s="94">
        <v>0</v>
      </c>
      <c r="I3345" s="91">
        <v>0</v>
      </c>
      <c r="J3345" s="41"/>
      <c r="K3345" s="41">
        <v>43555</v>
      </c>
      <c r="L3345" s="69" t="s">
        <v>80</v>
      </c>
      <c r="M3345" s="69" t="s">
        <v>286</v>
      </c>
      <c r="N3345" s="95"/>
      <c r="P3345" t="s">
        <v>95</v>
      </c>
      <c r="Q3345" t="s">
        <v>120</v>
      </c>
      <c r="R3345" s="92" t="s">
        <v>69</v>
      </c>
      <c r="S3345" s="92" t="s">
        <v>293</v>
      </c>
      <c r="V3345" s="95">
        <v>43555</v>
      </c>
      <c r="W3345" s="92">
        <v>2033954</v>
      </c>
      <c r="X3345" s="90"/>
      <c r="Y3345" s="123"/>
      <c r="Z3345" s="30">
        <f t="shared" si="104"/>
        <v>6772.6006943194379</v>
      </c>
      <c r="AA3345" s="30">
        <f t="shared" si="105"/>
        <v>2116.4377169748245</v>
      </c>
      <c r="AB3345" t="s">
        <v>457</v>
      </c>
    </row>
    <row r="3346" spans="1:28">
      <c r="A3346" t="s">
        <v>113</v>
      </c>
      <c r="C3346" s="104">
        <v>4615497854</v>
      </c>
      <c r="D3346" s="105">
        <v>19175</v>
      </c>
      <c r="F3346" s="97">
        <v>16</v>
      </c>
      <c r="G3346" s="91">
        <v>0</v>
      </c>
      <c r="H3346" s="94">
        <v>0</v>
      </c>
      <c r="I3346" s="91">
        <v>0</v>
      </c>
      <c r="J3346" s="41"/>
      <c r="K3346" s="41">
        <v>43555</v>
      </c>
      <c r="L3346" s="69" t="s">
        <v>80</v>
      </c>
      <c r="M3346" s="69" t="s">
        <v>286</v>
      </c>
      <c r="N3346" s="95"/>
      <c r="P3346" t="s">
        <v>95</v>
      </c>
      <c r="Q3346" t="s">
        <v>110</v>
      </c>
      <c r="R3346" s="92" t="s">
        <v>69</v>
      </c>
      <c r="S3346" s="92" t="s">
        <v>115</v>
      </c>
      <c r="V3346" s="95">
        <v>43555</v>
      </c>
      <c r="W3346" s="104" t="s">
        <v>406</v>
      </c>
      <c r="X3346" s="90"/>
      <c r="Y3346" s="123"/>
      <c r="Z3346" s="30">
        <f t="shared" si="104"/>
        <v>6763.7822038320437</v>
      </c>
      <c r="AA3346" s="30">
        <f t="shared" si="105"/>
        <v>0</v>
      </c>
      <c r="AB3346" t="s">
        <v>457</v>
      </c>
    </row>
    <row r="3347" spans="1:28">
      <c r="A3347" t="s">
        <v>113</v>
      </c>
      <c r="C3347" s="104">
        <v>4615497854</v>
      </c>
      <c r="D3347" s="105">
        <v>19175</v>
      </c>
      <c r="F3347" s="97">
        <v>16</v>
      </c>
      <c r="G3347" s="91">
        <v>0</v>
      </c>
      <c r="H3347" s="94">
        <v>0</v>
      </c>
      <c r="I3347" s="91">
        <v>0</v>
      </c>
      <c r="J3347" s="41"/>
      <c r="K3347" s="41">
        <v>43555</v>
      </c>
      <c r="L3347" s="69" t="s">
        <v>80</v>
      </c>
      <c r="M3347" s="69" t="s">
        <v>286</v>
      </c>
      <c r="N3347" s="95"/>
      <c r="P3347" t="s">
        <v>95</v>
      </c>
      <c r="Q3347" t="s">
        <v>110</v>
      </c>
      <c r="R3347" s="92" t="s">
        <v>69</v>
      </c>
      <c r="S3347" s="92" t="s">
        <v>115</v>
      </c>
      <c r="V3347" s="95">
        <v>43555</v>
      </c>
      <c r="W3347" s="104" t="s">
        <v>406</v>
      </c>
      <c r="X3347" s="90"/>
      <c r="Y3347" s="123"/>
      <c r="Z3347" s="30">
        <f t="shared" si="104"/>
        <v>6763.7822038320437</v>
      </c>
      <c r="AA3347" s="30">
        <f t="shared" si="105"/>
        <v>0</v>
      </c>
      <c r="AB3347" t="s">
        <v>457</v>
      </c>
    </row>
    <row r="3348" spans="1:28">
      <c r="A3348" t="s">
        <v>113</v>
      </c>
      <c r="C3348" s="104">
        <v>4615497854</v>
      </c>
      <c r="D3348" s="105">
        <v>19175</v>
      </c>
      <c r="F3348" s="97">
        <v>16</v>
      </c>
      <c r="G3348" s="91">
        <v>0</v>
      </c>
      <c r="H3348" s="94">
        <v>0</v>
      </c>
      <c r="I3348" s="91">
        <v>0</v>
      </c>
      <c r="J3348" s="41"/>
      <c r="K3348" s="41">
        <v>43555</v>
      </c>
      <c r="L3348" s="69" t="s">
        <v>80</v>
      </c>
      <c r="M3348" s="69" t="s">
        <v>286</v>
      </c>
      <c r="N3348" s="95"/>
      <c r="P3348" t="s">
        <v>95</v>
      </c>
      <c r="Q3348" t="s">
        <v>110</v>
      </c>
      <c r="R3348" s="92" t="s">
        <v>69</v>
      </c>
      <c r="S3348" s="92" t="s">
        <v>115</v>
      </c>
      <c r="V3348" s="95">
        <v>43555</v>
      </c>
      <c r="W3348" s="104" t="s">
        <v>406</v>
      </c>
      <c r="X3348" s="90"/>
      <c r="Y3348" s="123"/>
      <c r="Z3348" s="30">
        <f t="shared" si="104"/>
        <v>6763.7822038320437</v>
      </c>
      <c r="AA3348" s="30">
        <f t="shared" si="105"/>
        <v>0</v>
      </c>
      <c r="AB3348" t="s">
        <v>457</v>
      </c>
    </row>
    <row r="3349" spans="1:28">
      <c r="A3349" t="s">
        <v>113</v>
      </c>
      <c r="C3349" s="104">
        <v>4615497854</v>
      </c>
      <c r="D3349" s="105">
        <v>19175</v>
      </c>
      <c r="F3349" s="97">
        <v>16</v>
      </c>
      <c r="G3349" s="91">
        <v>0</v>
      </c>
      <c r="H3349" s="94">
        <v>0</v>
      </c>
      <c r="I3349" s="91">
        <v>0</v>
      </c>
      <c r="J3349" s="41"/>
      <c r="K3349" s="41">
        <v>43555</v>
      </c>
      <c r="L3349" s="69" t="s">
        <v>80</v>
      </c>
      <c r="M3349" s="69" t="s">
        <v>286</v>
      </c>
      <c r="N3349" s="95"/>
      <c r="P3349" t="s">
        <v>95</v>
      </c>
      <c r="Q3349" t="s">
        <v>110</v>
      </c>
      <c r="R3349" s="92" t="s">
        <v>69</v>
      </c>
      <c r="S3349" s="92" t="s">
        <v>115</v>
      </c>
      <c r="V3349" s="95">
        <v>43555</v>
      </c>
      <c r="W3349" s="104" t="s">
        <v>406</v>
      </c>
      <c r="X3349" s="90"/>
      <c r="Y3349" s="123"/>
      <c r="Z3349" s="30">
        <f t="shared" si="104"/>
        <v>6763.7822038320437</v>
      </c>
      <c r="AA3349" s="30">
        <f t="shared" si="105"/>
        <v>0</v>
      </c>
      <c r="AB3349" t="s">
        <v>457</v>
      </c>
    </row>
    <row r="3350" spans="1:28">
      <c r="A3350" t="s">
        <v>113</v>
      </c>
      <c r="C3350" s="104">
        <v>4615497854</v>
      </c>
      <c r="D3350" s="105">
        <v>19175</v>
      </c>
      <c r="F3350" s="97">
        <v>16</v>
      </c>
      <c r="G3350" s="91">
        <v>0</v>
      </c>
      <c r="H3350" s="94">
        <v>0</v>
      </c>
      <c r="I3350" s="91">
        <v>0</v>
      </c>
      <c r="J3350" s="41"/>
      <c r="K3350" s="41">
        <v>43555</v>
      </c>
      <c r="L3350" s="69" t="s">
        <v>80</v>
      </c>
      <c r="M3350" s="69" t="s">
        <v>286</v>
      </c>
      <c r="N3350" s="95"/>
      <c r="P3350" t="s">
        <v>95</v>
      </c>
      <c r="Q3350" t="s">
        <v>110</v>
      </c>
      <c r="R3350" s="92" t="s">
        <v>69</v>
      </c>
      <c r="S3350" s="92" t="s">
        <v>115</v>
      </c>
      <c r="V3350" s="95">
        <v>43555</v>
      </c>
      <c r="W3350" s="104" t="s">
        <v>406</v>
      </c>
      <c r="X3350" s="90"/>
      <c r="Y3350" s="123"/>
      <c r="Z3350" s="30">
        <f t="shared" si="104"/>
        <v>6763.7822038320437</v>
      </c>
      <c r="AA3350" s="30">
        <f t="shared" si="105"/>
        <v>0</v>
      </c>
      <c r="AB3350" t="s">
        <v>457</v>
      </c>
    </row>
    <row r="3351" spans="1:28">
      <c r="A3351" t="s">
        <v>113</v>
      </c>
      <c r="C3351" s="104">
        <v>4615497854</v>
      </c>
      <c r="D3351" s="105">
        <v>19175</v>
      </c>
      <c r="F3351" s="97">
        <v>16</v>
      </c>
      <c r="G3351" s="91">
        <v>0</v>
      </c>
      <c r="H3351" s="94">
        <v>0</v>
      </c>
      <c r="I3351" s="91">
        <v>0</v>
      </c>
      <c r="J3351" s="41"/>
      <c r="K3351" s="41">
        <v>43555</v>
      </c>
      <c r="L3351" s="69" t="s">
        <v>80</v>
      </c>
      <c r="M3351" s="69" t="s">
        <v>286</v>
      </c>
      <c r="N3351" s="95"/>
      <c r="P3351" t="s">
        <v>95</v>
      </c>
      <c r="Q3351" t="s">
        <v>110</v>
      </c>
      <c r="R3351" s="92" t="s">
        <v>69</v>
      </c>
      <c r="S3351" s="92" t="s">
        <v>115</v>
      </c>
      <c r="V3351" s="95">
        <v>43555</v>
      </c>
      <c r="W3351" s="104" t="s">
        <v>406</v>
      </c>
      <c r="X3351" s="90"/>
      <c r="Y3351" s="123"/>
      <c r="Z3351" s="30">
        <f t="shared" si="104"/>
        <v>6763.7822038320437</v>
      </c>
      <c r="AA3351" s="30">
        <f t="shared" si="105"/>
        <v>0</v>
      </c>
      <c r="AB3351" t="s">
        <v>457</v>
      </c>
    </row>
    <row r="3352" spans="1:28">
      <c r="A3352" t="s">
        <v>113</v>
      </c>
      <c r="C3352" s="104">
        <v>4615497854</v>
      </c>
      <c r="D3352" s="105">
        <v>19175</v>
      </c>
      <c r="F3352" s="97">
        <v>16</v>
      </c>
      <c r="G3352" s="91">
        <v>0</v>
      </c>
      <c r="H3352" s="94">
        <v>0</v>
      </c>
      <c r="I3352" s="91">
        <v>0</v>
      </c>
      <c r="J3352" s="41"/>
      <c r="K3352" s="41">
        <v>43555</v>
      </c>
      <c r="L3352" s="69" t="s">
        <v>80</v>
      </c>
      <c r="M3352" s="69" t="s">
        <v>286</v>
      </c>
      <c r="N3352" s="95"/>
      <c r="P3352" t="s">
        <v>95</v>
      </c>
      <c r="Q3352" t="s">
        <v>110</v>
      </c>
      <c r="R3352" s="92" t="s">
        <v>69</v>
      </c>
      <c r="S3352" s="92" t="s">
        <v>115</v>
      </c>
      <c r="V3352" s="95">
        <v>43555</v>
      </c>
      <c r="W3352" s="104" t="s">
        <v>406</v>
      </c>
      <c r="X3352" s="90"/>
      <c r="Y3352" s="123"/>
      <c r="Z3352" s="30">
        <f t="shared" si="104"/>
        <v>6763.7822038320437</v>
      </c>
      <c r="AA3352" s="30">
        <f t="shared" si="105"/>
        <v>0</v>
      </c>
      <c r="AB3352" t="s">
        <v>457</v>
      </c>
    </row>
    <row r="3353" spans="1:28">
      <c r="A3353" t="s">
        <v>113</v>
      </c>
      <c r="C3353" s="104">
        <v>4615497854</v>
      </c>
      <c r="D3353" s="105">
        <v>19175</v>
      </c>
      <c r="F3353" s="97">
        <v>16</v>
      </c>
      <c r="G3353" s="91">
        <v>0</v>
      </c>
      <c r="H3353" s="94">
        <v>0</v>
      </c>
      <c r="I3353" s="91">
        <v>0</v>
      </c>
      <c r="J3353" s="41"/>
      <c r="K3353" s="41">
        <v>43555</v>
      </c>
      <c r="L3353" s="69" t="s">
        <v>80</v>
      </c>
      <c r="M3353" s="69" t="s">
        <v>286</v>
      </c>
      <c r="N3353" s="95"/>
      <c r="P3353" t="s">
        <v>95</v>
      </c>
      <c r="Q3353" t="s">
        <v>110</v>
      </c>
      <c r="R3353" s="92" t="s">
        <v>69</v>
      </c>
      <c r="S3353" s="92" t="s">
        <v>115</v>
      </c>
      <c r="V3353" s="95">
        <v>43555</v>
      </c>
      <c r="W3353" s="104" t="s">
        <v>406</v>
      </c>
      <c r="X3353" s="90"/>
      <c r="Y3353" s="123"/>
      <c r="Z3353" s="30">
        <f t="shared" si="104"/>
        <v>6763.7822038320437</v>
      </c>
      <c r="AA3353" s="30">
        <f t="shared" si="105"/>
        <v>0</v>
      </c>
      <c r="AB3353" t="s">
        <v>457</v>
      </c>
    </row>
    <row r="3354" spans="1:28">
      <c r="A3354" t="s">
        <v>113</v>
      </c>
      <c r="C3354" s="104">
        <v>4615497854</v>
      </c>
      <c r="D3354" s="105">
        <v>19175</v>
      </c>
      <c r="F3354" s="97">
        <v>16</v>
      </c>
      <c r="G3354" s="91">
        <v>0</v>
      </c>
      <c r="H3354" s="94">
        <v>0</v>
      </c>
      <c r="I3354" s="91">
        <v>0</v>
      </c>
      <c r="J3354" s="41"/>
      <c r="K3354" s="41">
        <v>43555</v>
      </c>
      <c r="L3354" s="69" t="s">
        <v>80</v>
      </c>
      <c r="M3354" s="69" t="s">
        <v>286</v>
      </c>
      <c r="N3354" s="95"/>
      <c r="P3354" t="s">
        <v>95</v>
      </c>
      <c r="Q3354" t="s">
        <v>110</v>
      </c>
      <c r="R3354" s="92" t="s">
        <v>69</v>
      </c>
      <c r="S3354" s="92" t="s">
        <v>115</v>
      </c>
      <c r="V3354" s="95">
        <v>43555</v>
      </c>
      <c r="W3354" s="104" t="s">
        <v>406</v>
      </c>
      <c r="X3354" s="90"/>
      <c r="Y3354" s="123"/>
      <c r="Z3354" s="30">
        <f t="shared" si="104"/>
        <v>6763.7822038320437</v>
      </c>
      <c r="AA3354" s="30">
        <f t="shared" si="105"/>
        <v>0</v>
      </c>
      <c r="AB3354" t="s">
        <v>457</v>
      </c>
    </row>
    <row r="3355" spans="1:28">
      <c r="A3355" t="s">
        <v>113</v>
      </c>
      <c r="C3355" s="104">
        <v>4615497854</v>
      </c>
      <c r="D3355" s="105">
        <v>19175</v>
      </c>
      <c r="F3355" s="97">
        <v>16</v>
      </c>
      <c r="G3355" s="91">
        <v>0</v>
      </c>
      <c r="H3355" s="94">
        <v>0</v>
      </c>
      <c r="I3355" s="91">
        <v>0</v>
      </c>
      <c r="J3355" s="41"/>
      <c r="K3355" s="41">
        <v>43555</v>
      </c>
      <c r="L3355" s="69" t="s">
        <v>80</v>
      </c>
      <c r="M3355" s="69" t="s">
        <v>286</v>
      </c>
      <c r="N3355" s="95"/>
      <c r="P3355" t="s">
        <v>95</v>
      </c>
      <c r="Q3355" t="s">
        <v>110</v>
      </c>
      <c r="R3355" s="92" t="s">
        <v>69</v>
      </c>
      <c r="S3355" s="92" t="s">
        <v>115</v>
      </c>
      <c r="V3355" s="95">
        <v>43555</v>
      </c>
      <c r="W3355" s="104" t="s">
        <v>406</v>
      </c>
      <c r="X3355" s="90"/>
      <c r="Y3355" s="123"/>
      <c r="Z3355" s="30">
        <f t="shared" si="104"/>
        <v>6763.7822038320437</v>
      </c>
      <c r="AA3355" s="30">
        <f t="shared" si="105"/>
        <v>0</v>
      </c>
      <c r="AB3355" t="s">
        <v>457</v>
      </c>
    </row>
    <row r="3356" spans="1:28">
      <c r="A3356" t="s">
        <v>113</v>
      </c>
      <c r="C3356" s="104">
        <v>4615497854</v>
      </c>
      <c r="D3356" s="105">
        <v>19175</v>
      </c>
      <c r="F3356" s="97">
        <v>16</v>
      </c>
      <c r="G3356" s="91">
        <v>0</v>
      </c>
      <c r="H3356" s="94">
        <v>0</v>
      </c>
      <c r="I3356" s="91">
        <v>0</v>
      </c>
      <c r="J3356" s="41"/>
      <c r="K3356" s="41">
        <v>43555</v>
      </c>
      <c r="L3356" s="69" t="s">
        <v>80</v>
      </c>
      <c r="M3356" s="69" t="s">
        <v>286</v>
      </c>
      <c r="N3356" s="95"/>
      <c r="P3356" t="s">
        <v>95</v>
      </c>
      <c r="Q3356" t="s">
        <v>110</v>
      </c>
      <c r="R3356" s="92" t="s">
        <v>69</v>
      </c>
      <c r="S3356" s="92" t="s">
        <v>115</v>
      </c>
      <c r="V3356" s="95">
        <v>43555</v>
      </c>
      <c r="W3356" s="104" t="s">
        <v>406</v>
      </c>
      <c r="X3356" s="90"/>
      <c r="Y3356" s="123"/>
      <c r="Z3356" s="30">
        <f t="shared" si="104"/>
        <v>6763.7822038320437</v>
      </c>
      <c r="AA3356" s="30">
        <f t="shared" si="105"/>
        <v>0</v>
      </c>
      <c r="AB3356" t="s">
        <v>457</v>
      </c>
    </row>
    <row r="3357" spans="1:28">
      <c r="A3357" t="s">
        <v>113</v>
      </c>
      <c r="C3357" s="104">
        <v>4615497854</v>
      </c>
      <c r="D3357" s="105">
        <v>19175</v>
      </c>
      <c r="F3357" s="97">
        <v>16</v>
      </c>
      <c r="G3357" s="91">
        <v>0</v>
      </c>
      <c r="H3357" s="94">
        <v>0</v>
      </c>
      <c r="I3357" s="91">
        <v>0</v>
      </c>
      <c r="J3357" s="41"/>
      <c r="K3357" s="41">
        <v>43555</v>
      </c>
      <c r="L3357" s="69" t="s">
        <v>80</v>
      </c>
      <c r="M3357" s="69" t="s">
        <v>286</v>
      </c>
      <c r="N3357" s="95"/>
      <c r="P3357" t="s">
        <v>95</v>
      </c>
      <c r="Q3357" t="s">
        <v>110</v>
      </c>
      <c r="R3357" s="92" t="s">
        <v>69</v>
      </c>
      <c r="S3357" s="92" t="s">
        <v>115</v>
      </c>
      <c r="V3357" s="95">
        <v>43555</v>
      </c>
      <c r="W3357" s="104" t="s">
        <v>406</v>
      </c>
      <c r="X3357" s="90"/>
      <c r="Y3357" s="123"/>
      <c r="Z3357" s="30">
        <f t="shared" si="104"/>
        <v>6763.7822038320437</v>
      </c>
      <c r="AA3357" s="30">
        <f t="shared" si="105"/>
        <v>0</v>
      </c>
      <c r="AB3357" t="s">
        <v>457</v>
      </c>
    </row>
    <row r="3358" spans="1:28">
      <c r="A3358" t="s">
        <v>113</v>
      </c>
      <c r="C3358" s="104">
        <v>4615497854</v>
      </c>
      <c r="D3358" s="105">
        <v>19175</v>
      </c>
      <c r="F3358" s="97">
        <v>16</v>
      </c>
      <c r="G3358" s="91">
        <v>0</v>
      </c>
      <c r="H3358" s="94">
        <v>0</v>
      </c>
      <c r="I3358" s="91">
        <v>0</v>
      </c>
      <c r="J3358" s="41"/>
      <c r="K3358" s="41">
        <v>43555</v>
      </c>
      <c r="L3358" s="69" t="s">
        <v>80</v>
      </c>
      <c r="M3358" s="69" t="s">
        <v>286</v>
      </c>
      <c r="N3358" s="95"/>
      <c r="P3358" t="s">
        <v>95</v>
      </c>
      <c r="Q3358" t="s">
        <v>110</v>
      </c>
      <c r="R3358" s="92" t="s">
        <v>69</v>
      </c>
      <c r="S3358" s="92" t="s">
        <v>115</v>
      </c>
      <c r="V3358" s="95">
        <v>43555</v>
      </c>
      <c r="W3358" s="104" t="s">
        <v>406</v>
      </c>
      <c r="X3358" s="90"/>
      <c r="Y3358" s="123"/>
      <c r="Z3358" s="30">
        <f t="shared" si="104"/>
        <v>6763.7822038320437</v>
      </c>
      <c r="AA3358" s="30">
        <f t="shared" si="105"/>
        <v>0</v>
      </c>
      <c r="AB3358" t="s">
        <v>457</v>
      </c>
    </row>
    <row r="3359" spans="1:28">
      <c r="A3359" t="s">
        <v>113</v>
      </c>
      <c r="C3359" s="104">
        <v>4615497854</v>
      </c>
      <c r="D3359" s="105">
        <v>19175</v>
      </c>
      <c r="F3359" s="97">
        <v>16</v>
      </c>
      <c r="G3359" s="91">
        <v>0</v>
      </c>
      <c r="H3359" s="94">
        <v>0</v>
      </c>
      <c r="I3359" s="91">
        <v>0</v>
      </c>
      <c r="J3359" s="41"/>
      <c r="K3359" s="41">
        <v>43555</v>
      </c>
      <c r="L3359" s="69" t="s">
        <v>80</v>
      </c>
      <c r="M3359" s="69" t="s">
        <v>286</v>
      </c>
      <c r="N3359" s="95"/>
      <c r="P3359" t="s">
        <v>95</v>
      </c>
      <c r="Q3359" t="s">
        <v>110</v>
      </c>
      <c r="R3359" s="92" t="s">
        <v>69</v>
      </c>
      <c r="S3359" s="92" t="s">
        <v>115</v>
      </c>
      <c r="V3359" s="95">
        <v>43555</v>
      </c>
      <c r="W3359" s="104" t="s">
        <v>406</v>
      </c>
      <c r="X3359" s="90"/>
      <c r="Y3359" s="123"/>
      <c r="Z3359" s="30">
        <f t="shared" si="104"/>
        <v>6763.7822038320437</v>
      </c>
      <c r="AA3359" s="30">
        <f t="shared" si="105"/>
        <v>0</v>
      </c>
      <c r="AB3359" t="s">
        <v>457</v>
      </c>
    </row>
    <row r="3360" spans="1:28">
      <c r="A3360" t="s">
        <v>113</v>
      </c>
      <c r="C3360" s="104">
        <v>4615497854</v>
      </c>
      <c r="D3360" s="105">
        <v>19175</v>
      </c>
      <c r="F3360" s="97">
        <v>16</v>
      </c>
      <c r="G3360" s="91">
        <v>0</v>
      </c>
      <c r="H3360" s="94">
        <v>0</v>
      </c>
      <c r="I3360" s="91">
        <v>0</v>
      </c>
      <c r="J3360" s="41"/>
      <c r="K3360" s="41">
        <v>43555</v>
      </c>
      <c r="L3360" s="69" t="s">
        <v>80</v>
      </c>
      <c r="M3360" s="69" t="s">
        <v>286</v>
      </c>
      <c r="N3360" s="95"/>
      <c r="P3360" t="s">
        <v>95</v>
      </c>
      <c r="Q3360" t="s">
        <v>110</v>
      </c>
      <c r="R3360" s="92" t="s">
        <v>69</v>
      </c>
      <c r="S3360" s="92" t="s">
        <v>115</v>
      </c>
      <c r="V3360" s="95">
        <v>43555</v>
      </c>
      <c r="W3360" s="104" t="s">
        <v>406</v>
      </c>
      <c r="X3360" s="90"/>
      <c r="Y3360" s="123"/>
      <c r="Z3360" s="30">
        <f t="shared" si="104"/>
        <v>6763.7822038320437</v>
      </c>
      <c r="AA3360" s="30">
        <f t="shared" si="105"/>
        <v>0</v>
      </c>
      <c r="AB3360" t="s">
        <v>457</v>
      </c>
    </row>
    <row r="3361" spans="1:28">
      <c r="A3361" t="s">
        <v>113</v>
      </c>
      <c r="C3361" s="104">
        <v>4615497854</v>
      </c>
      <c r="D3361" s="105">
        <v>19175</v>
      </c>
      <c r="F3361" s="97">
        <v>16</v>
      </c>
      <c r="G3361" s="91">
        <v>0</v>
      </c>
      <c r="H3361" s="94">
        <v>0</v>
      </c>
      <c r="I3361" s="91">
        <v>0</v>
      </c>
      <c r="J3361" s="41"/>
      <c r="K3361" s="41">
        <v>43555</v>
      </c>
      <c r="L3361" s="69" t="s">
        <v>80</v>
      </c>
      <c r="M3361" s="69" t="s">
        <v>286</v>
      </c>
      <c r="N3361" s="95"/>
      <c r="P3361" t="s">
        <v>95</v>
      </c>
      <c r="Q3361" t="s">
        <v>110</v>
      </c>
      <c r="R3361" s="92" t="s">
        <v>69</v>
      </c>
      <c r="S3361" s="92" t="s">
        <v>115</v>
      </c>
      <c r="V3361" s="95">
        <v>43555</v>
      </c>
      <c r="W3361" s="104" t="s">
        <v>406</v>
      </c>
      <c r="X3361" s="90"/>
      <c r="Y3361" s="123"/>
      <c r="Z3361" s="30">
        <f t="shared" si="104"/>
        <v>6763.7822038320437</v>
      </c>
      <c r="AA3361" s="30">
        <f t="shared" si="105"/>
        <v>0</v>
      </c>
      <c r="AB3361" t="s">
        <v>457</v>
      </c>
    </row>
    <row r="3362" spans="1:28">
      <c r="A3362" t="s">
        <v>113</v>
      </c>
      <c r="C3362" s="104">
        <v>4615497854</v>
      </c>
      <c r="D3362" s="105">
        <v>19175</v>
      </c>
      <c r="F3362" s="97">
        <v>16</v>
      </c>
      <c r="G3362" s="91">
        <v>0</v>
      </c>
      <c r="H3362" s="94">
        <v>0</v>
      </c>
      <c r="I3362" s="91">
        <v>0</v>
      </c>
      <c r="J3362" s="41"/>
      <c r="K3362" s="41">
        <v>43555</v>
      </c>
      <c r="L3362" s="69" t="s">
        <v>80</v>
      </c>
      <c r="M3362" s="69" t="s">
        <v>286</v>
      </c>
      <c r="N3362" s="95"/>
      <c r="P3362" t="s">
        <v>95</v>
      </c>
      <c r="Q3362" t="s">
        <v>110</v>
      </c>
      <c r="R3362" s="92" t="s">
        <v>69</v>
      </c>
      <c r="S3362" s="92" t="s">
        <v>115</v>
      </c>
      <c r="V3362" s="95">
        <v>43555</v>
      </c>
      <c r="W3362" s="104" t="s">
        <v>406</v>
      </c>
      <c r="X3362" s="90"/>
      <c r="Y3362" s="123"/>
      <c r="Z3362" s="30">
        <f t="shared" si="104"/>
        <v>6763.7822038320437</v>
      </c>
      <c r="AA3362" s="30">
        <f t="shared" si="105"/>
        <v>0</v>
      </c>
      <c r="AB3362" t="s">
        <v>457</v>
      </c>
    </row>
    <row r="3363" spans="1:28">
      <c r="A3363" t="s">
        <v>113</v>
      </c>
      <c r="C3363" s="104">
        <v>4615497854</v>
      </c>
      <c r="D3363" s="105">
        <v>19175</v>
      </c>
      <c r="F3363" s="97">
        <v>16</v>
      </c>
      <c r="G3363" s="91">
        <v>0</v>
      </c>
      <c r="H3363" s="94">
        <v>0</v>
      </c>
      <c r="I3363" s="91">
        <v>0</v>
      </c>
      <c r="J3363" s="41"/>
      <c r="K3363" s="41">
        <v>43555</v>
      </c>
      <c r="L3363" s="69" t="s">
        <v>80</v>
      </c>
      <c r="M3363" s="69" t="s">
        <v>286</v>
      </c>
      <c r="N3363" s="95"/>
      <c r="P3363" t="s">
        <v>95</v>
      </c>
      <c r="Q3363" t="s">
        <v>110</v>
      </c>
      <c r="R3363" s="92" t="s">
        <v>69</v>
      </c>
      <c r="S3363" s="92" t="s">
        <v>115</v>
      </c>
      <c r="V3363" s="95">
        <v>43555</v>
      </c>
      <c r="W3363" s="104" t="s">
        <v>406</v>
      </c>
      <c r="X3363" s="90"/>
      <c r="Y3363" s="123"/>
      <c r="Z3363" s="30">
        <f t="shared" si="104"/>
        <v>6763.7822038320437</v>
      </c>
      <c r="AA3363" s="30">
        <f t="shared" si="105"/>
        <v>0</v>
      </c>
      <c r="AB3363" t="s">
        <v>457</v>
      </c>
    </row>
    <row r="3364" spans="1:28">
      <c r="A3364" t="s">
        <v>113</v>
      </c>
      <c r="C3364" s="104">
        <v>4615497854</v>
      </c>
      <c r="D3364" s="105">
        <v>19175</v>
      </c>
      <c r="F3364" s="97">
        <v>16</v>
      </c>
      <c r="G3364" s="91">
        <v>0</v>
      </c>
      <c r="H3364" s="94">
        <v>0</v>
      </c>
      <c r="I3364" s="91">
        <v>0</v>
      </c>
      <c r="J3364" s="41"/>
      <c r="K3364" s="41">
        <v>43555</v>
      </c>
      <c r="L3364" s="69" t="s">
        <v>80</v>
      </c>
      <c r="M3364" s="69" t="s">
        <v>286</v>
      </c>
      <c r="N3364" s="95"/>
      <c r="P3364" t="s">
        <v>95</v>
      </c>
      <c r="Q3364" t="s">
        <v>110</v>
      </c>
      <c r="R3364" s="92" t="s">
        <v>69</v>
      </c>
      <c r="S3364" s="92" t="s">
        <v>115</v>
      </c>
      <c r="V3364" s="95">
        <v>43555</v>
      </c>
      <c r="W3364" s="104" t="s">
        <v>406</v>
      </c>
      <c r="X3364" s="90"/>
      <c r="Y3364" s="123"/>
      <c r="Z3364" s="30">
        <f t="shared" si="104"/>
        <v>6763.7822038320437</v>
      </c>
      <c r="AA3364" s="30">
        <f t="shared" si="105"/>
        <v>0</v>
      </c>
      <c r="AB3364" t="s">
        <v>457</v>
      </c>
    </row>
    <row r="3365" spans="1:28">
      <c r="A3365" t="s">
        <v>113</v>
      </c>
      <c r="C3365" s="104">
        <v>4615497854</v>
      </c>
      <c r="D3365" s="105">
        <v>19175</v>
      </c>
      <c r="F3365" s="97">
        <v>16</v>
      </c>
      <c r="G3365" s="91">
        <v>0</v>
      </c>
      <c r="H3365" s="94">
        <v>0</v>
      </c>
      <c r="I3365" s="91">
        <v>0</v>
      </c>
      <c r="J3365" s="41"/>
      <c r="K3365" s="41">
        <v>43555</v>
      </c>
      <c r="L3365" s="69" t="s">
        <v>80</v>
      </c>
      <c r="M3365" s="69" t="s">
        <v>286</v>
      </c>
      <c r="N3365" s="95"/>
      <c r="P3365" t="s">
        <v>95</v>
      </c>
      <c r="Q3365" t="s">
        <v>110</v>
      </c>
      <c r="R3365" s="92" t="s">
        <v>69</v>
      </c>
      <c r="S3365" s="92" t="s">
        <v>115</v>
      </c>
      <c r="V3365" s="95">
        <v>43555</v>
      </c>
      <c r="W3365" s="104" t="s">
        <v>406</v>
      </c>
      <c r="X3365" s="90"/>
      <c r="Y3365" s="123"/>
      <c r="Z3365" s="30">
        <f t="shared" si="104"/>
        <v>6763.7822038320437</v>
      </c>
      <c r="AA3365" s="30">
        <f t="shared" si="105"/>
        <v>0</v>
      </c>
      <c r="AB3365" t="s">
        <v>457</v>
      </c>
    </row>
    <row r="3366" spans="1:28">
      <c r="A3366" t="s">
        <v>113</v>
      </c>
      <c r="C3366" s="92">
        <v>4615475511</v>
      </c>
      <c r="D3366" s="93">
        <v>19175</v>
      </c>
      <c r="F3366" s="91">
        <v>16</v>
      </c>
      <c r="G3366" s="91">
        <v>0</v>
      </c>
      <c r="H3366" s="91">
        <v>0</v>
      </c>
      <c r="I3366" s="91">
        <v>0</v>
      </c>
      <c r="J3366" s="41"/>
      <c r="K3366" s="41">
        <v>43555</v>
      </c>
      <c r="L3366" s="69" t="s">
        <v>80</v>
      </c>
      <c r="M3366" s="69" t="s">
        <v>286</v>
      </c>
      <c r="N3366" s="95"/>
      <c r="P3366" t="s">
        <v>95</v>
      </c>
      <c r="Q3366" t="s">
        <v>110</v>
      </c>
      <c r="R3366" s="92" t="s">
        <v>69</v>
      </c>
      <c r="S3366" s="92" t="s">
        <v>115</v>
      </c>
      <c r="V3366" s="95">
        <v>43555</v>
      </c>
      <c r="W3366" s="92" t="s">
        <v>407</v>
      </c>
      <c r="X3366" s="90"/>
      <c r="Y3366" s="123"/>
      <c r="Z3366" s="30">
        <f t="shared" si="104"/>
        <v>6763.7822038320437</v>
      </c>
      <c r="AA3366" s="30">
        <f t="shared" si="105"/>
        <v>0</v>
      </c>
      <c r="AB3366" t="s">
        <v>457</v>
      </c>
    </row>
    <row r="3367" spans="1:28">
      <c r="A3367" t="s">
        <v>113</v>
      </c>
      <c r="C3367" s="92">
        <v>4615475511</v>
      </c>
      <c r="D3367" s="93">
        <v>19175</v>
      </c>
      <c r="F3367" s="91">
        <v>16</v>
      </c>
      <c r="G3367" s="91">
        <v>0</v>
      </c>
      <c r="H3367" s="91">
        <v>0</v>
      </c>
      <c r="I3367" s="91">
        <v>0</v>
      </c>
      <c r="J3367" s="41"/>
      <c r="K3367" s="41">
        <v>43555</v>
      </c>
      <c r="L3367" s="69" t="s">
        <v>80</v>
      </c>
      <c r="M3367" s="69" t="s">
        <v>286</v>
      </c>
      <c r="N3367" s="95"/>
      <c r="P3367" t="s">
        <v>95</v>
      </c>
      <c r="Q3367" t="s">
        <v>110</v>
      </c>
      <c r="R3367" s="92" t="s">
        <v>69</v>
      </c>
      <c r="S3367" s="92" t="s">
        <v>115</v>
      </c>
      <c r="V3367" s="95">
        <v>43555</v>
      </c>
      <c r="W3367" s="92" t="s">
        <v>407</v>
      </c>
      <c r="X3367" s="90"/>
      <c r="Y3367" s="123"/>
      <c r="Z3367" s="30">
        <f t="shared" si="104"/>
        <v>6763.7822038320437</v>
      </c>
      <c r="AA3367" s="30">
        <f t="shared" si="105"/>
        <v>0</v>
      </c>
      <c r="AB3367" t="s">
        <v>457</v>
      </c>
    </row>
    <row r="3368" spans="1:28">
      <c r="A3368" t="s">
        <v>113</v>
      </c>
      <c r="C3368" s="92">
        <v>4615475511</v>
      </c>
      <c r="D3368" s="93">
        <v>19175</v>
      </c>
      <c r="F3368" s="91">
        <v>16</v>
      </c>
      <c r="G3368" s="91">
        <v>0</v>
      </c>
      <c r="H3368" s="91">
        <v>0</v>
      </c>
      <c r="I3368" s="91">
        <v>0</v>
      </c>
      <c r="J3368" s="41"/>
      <c r="K3368" s="41">
        <v>43555</v>
      </c>
      <c r="L3368" s="69" t="s">
        <v>80</v>
      </c>
      <c r="M3368" s="69" t="s">
        <v>286</v>
      </c>
      <c r="N3368" s="95"/>
      <c r="P3368" t="s">
        <v>95</v>
      </c>
      <c r="Q3368" t="s">
        <v>110</v>
      </c>
      <c r="R3368" s="92" t="s">
        <v>69</v>
      </c>
      <c r="S3368" s="92" t="s">
        <v>115</v>
      </c>
      <c r="V3368" s="95">
        <v>43555</v>
      </c>
      <c r="W3368" s="92" t="s">
        <v>407</v>
      </c>
      <c r="X3368" s="90"/>
      <c r="Y3368" s="123"/>
      <c r="Z3368" s="30">
        <f t="shared" si="104"/>
        <v>6763.7822038320437</v>
      </c>
      <c r="AA3368" s="30">
        <f t="shared" si="105"/>
        <v>0</v>
      </c>
      <c r="AB3368" t="s">
        <v>457</v>
      </c>
    </row>
    <row r="3369" spans="1:28">
      <c r="A3369" t="s">
        <v>113</v>
      </c>
      <c r="C3369" s="92">
        <v>4615475511</v>
      </c>
      <c r="D3369" s="93">
        <v>19175</v>
      </c>
      <c r="F3369" s="91">
        <v>16</v>
      </c>
      <c r="G3369" s="91">
        <v>0</v>
      </c>
      <c r="H3369" s="91">
        <v>0</v>
      </c>
      <c r="I3369" s="91">
        <v>0</v>
      </c>
      <c r="J3369" s="41"/>
      <c r="K3369" s="41">
        <v>43555</v>
      </c>
      <c r="L3369" s="69" t="s">
        <v>80</v>
      </c>
      <c r="M3369" s="69" t="s">
        <v>286</v>
      </c>
      <c r="N3369" s="95"/>
      <c r="P3369" t="s">
        <v>95</v>
      </c>
      <c r="Q3369" t="s">
        <v>110</v>
      </c>
      <c r="R3369" s="92" t="s">
        <v>69</v>
      </c>
      <c r="S3369" s="92" t="s">
        <v>115</v>
      </c>
      <c r="V3369" s="95">
        <v>43555</v>
      </c>
      <c r="W3369" s="92" t="s">
        <v>407</v>
      </c>
      <c r="X3369" s="90"/>
      <c r="Y3369" s="123"/>
      <c r="Z3369" s="30">
        <f t="shared" si="104"/>
        <v>6763.7822038320437</v>
      </c>
      <c r="AA3369" s="30">
        <f t="shared" si="105"/>
        <v>0</v>
      </c>
      <c r="AB3369" t="s">
        <v>457</v>
      </c>
    </row>
    <row r="3370" spans="1:28">
      <c r="A3370" t="s">
        <v>113</v>
      </c>
      <c r="C3370" s="92">
        <v>4615475511</v>
      </c>
      <c r="D3370" s="93">
        <v>19175</v>
      </c>
      <c r="F3370" s="91">
        <v>16</v>
      </c>
      <c r="G3370" s="91">
        <v>0</v>
      </c>
      <c r="H3370" s="91">
        <v>0</v>
      </c>
      <c r="I3370" s="91">
        <v>0</v>
      </c>
      <c r="J3370" s="41"/>
      <c r="K3370" s="41">
        <v>43555</v>
      </c>
      <c r="L3370" s="69" t="s">
        <v>80</v>
      </c>
      <c r="M3370" s="69" t="s">
        <v>286</v>
      </c>
      <c r="N3370" s="95"/>
      <c r="P3370" t="s">
        <v>95</v>
      </c>
      <c r="Q3370" t="s">
        <v>110</v>
      </c>
      <c r="R3370" s="92" t="s">
        <v>69</v>
      </c>
      <c r="S3370" s="92" t="s">
        <v>115</v>
      </c>
      <c r="V3370" s="95">
        <v>43555</v>
      </c>
      <c r="W3370" s="92" t="s">
        <v>407</v>
      </c>
      <c r="X3370" s="90"/>
      <c r="Y3370" s="123"/>
      <c r="Z3370" s="30">
        <f t="shared" si="104"/>
        <v>6763.7822038320437</v>
      </c>
      <c r="AA3370" s="30">
        <f t="shared" si="105"/>
        <v>0</v>
      </c>
      <c r="AB3370" t="s">
        <v>457</v>
      </c>
    </row>
    <row r="3371" spans="1:28">
      <c r="A3371" t="s">
        <v>113</v>
      </c>
      <c r="C3371" s="92">
        <v>4615475511</v>
      </c>
      <c r="D3371" s="93">
        <v>19175</v>
      </c>
      <c r="F3371" s="91">
        <v>16</v>
      </c>
      <c r="G3371" s="91">
        <v>0</v>
      </c>
      <c r="H3371" s="91">
        <v>0</v>
      </c>
      <c r="I3371" s="91">
        <v>0</v>
      </c>
      <c r="J3371" s="41"/>
      <c r="K3371" s="41">
        <v>43555</v>
      </c>
      <c r="L3371" s="69" t="s">
        <v>80</v>
      </c>
      <c r="M3371" s="69" t="s">
        <v>286</v>
      </c>
      <c r="N3371" s="95"/>
      <c r="P3371" t="s">
        <v>95</v>
      </c>
      <c r="Q3371" t="s">
        <v>110</v>
      </c>
      <c r="R3371" s="92" t="s">
        <v>69</v>
      </c>
      <c r="S3371" s="92" t="s">
        <v>115</v>
      </c>
      <c r="V3371" s="95">
        <v>43555</v>
      </c>
      <c r="W3371" s="92" t="s">
        <v>407</v>
      </c>
      <c r="X3371" s="90"/>
      <c r="Y3371" s="123"/>
      <c r="Z3371" s="30">
        <f t="shared" si="104"/>
        <v>6763.7822038320437</v>
      </c>
      <c r="AA3371" s="30">
        <f t="shared" si="105"/>
        <v>0</v>
      </c>
      <c r="AB3371" t="s">
        <v>457</v>
      </c>
    </row>
    <row r="3372" spans="1:28">
      <c r="A3372" t="s">
        <v>113</v>
      </c>
      <c r="C3372" s="92">
        <v>4615475511</v>
      </c>
      <c r="D3372" s="93">
        <v>19175</v>
      </c>
      <c r="F3372" s="91">
        <v>16</v>
      </c>
      <c r="G3372" s="91">
        <v>0</v>
      </c>
      <c r="H3372" s="91">
        <v>0</v>
      </c>
      <c r="I3372" s="91">
        <v>0</v>
      </c>
      <c r="J3372" s="41"/>
      <c r="K3372" s="41">
        <v>43555</v>
      </c>
      <c r="L3372" s="69" t="s">
        <v>80</v>
      </c>
      <c r="M3372" s="69" t="s">
        <v>286</v>
      </c>
      <c r="N3372" s="95"/>
      <c r="P3372" t="s">
        <v>95</v>
      </c>
      <c r="Q3372" t="s">
        <v>110</v>
      </c>
      <c r="R3372" s="92" t="s">
        <v>69</v>
      </c>
      <c r="S3372" s="92" t="s">
        <v>115</v>
      </c>
      <c r="V3372" s="95">
        <v>43555</v>
      </c>
      <c r="W3372" s="92" t="s">
        <v>407</v>
      </c>
      <c r="X3372" s="90"/>
      <c r="Y3372" s="123"/>
      <c r="Z3372" s="30">
        <f t="shared" si="104"/>
        <v>6763.7822038320437</v>
      </c>
      <c r="AA3372" s="30">
        <f t="shared" si="105"/>
        <v>0</v>
      </c>
      <c r="AB3372" t="s">
        <v>457</v>
      </c>
    </row>
    <row r="3373" spans="1:28">
      <c r="A3373" t="s">
        <v>113</v>
      </c>
      <c r="C3373" s="92">
        <v>4615475511</v>
      </c>
      <c r="D3373" s="93">
        <v>19175</v>
      </c>
      <c r="F3373" s="91">
        <v>16</v>
      </c>
      <c r="G3373" s="91">
        <v>0</v>
      </c>
      <c r="H3373" s="91">
        <v>0</v>
      </c>
      <c r="I3373" s="91">
        <v>0</v>
      </c>
      <c r="J3373" s="41"/>
      <c r="K3373" s="41">
        <v>43555</v>
      </c>
      <c r="L3373" s="69" t="s">
        <v>80</v>
      </c>
      <c r="M3373" s="69" t="s">
        <v>286</v>
      </c>
      <c r="N3373" s="95"/>
      <c r="P3373" t="s">
        <v>95</v>
      </c>
      <c r="Q3373" t="s">
        <v>110</v>
      </c>
      <c r="R3373" s="92" t="s">
        <v>69</v>
      </c>
      <c r="S3373" s="92" t="s">
        <v>115</v>
      </c>
      <c r="V3373" s="95">
        <v>43555</v>
      </c>
      <c r="W3373" s="92" t="s">
        <v>407</v>
      </c>
      <c r="X3373" s="90"/>
      <c r="Y3373" s="123"/>
      <c r="Z3373" s="30">
        <f t="shared" si="104"/>
        <v>6763.7822038320437</v>
      </c>
      <c r="AA3373" s="30">
        <f t="shared" si="105"/>
        <v>0</v>
      </c>
      <c r="AB3373" t="s">
        <v>457</v>
      </c>
    </row>
    <row r="3374" spans="1:28">
      <c r="A3374" t="s">
        <v>113</v>
      </c>
      <c r="C3374" s="92">
        <v>4615475511</v>
      </c>
      <c r="D3374" s="93">
        <v>19175</v>
      </c>
      <c r="F3374" s="91">
        <v>16</v>
      </c>
      <c r="G3374" s="91">
        <v>0</v>
      </c>
      <c r="H3374" s="91">
        <v>0</v>
      </c>
      <c r="I3374" s="91">
        <v>0</v>
      </c>
      <c r="J3374" s="41"/>
      <c r="K3374" s="41">
        <v>43555</v>
      </c>
      <c r="L3374" s="69" t="s">
        <v>80</v>
      </c>
      <c r="M3374" s="69" t="s">
        <v>286</v>
      </c>
      <c r="N3374" s="95"/>
      <c r="P3374" t="s">
        <v>95</v>
      </c>
      <c r="Q3374" t="s">
        <v>110</v>
      </c>
      <c r="R3374" s="92" t="s">
        <v>69</v>
      </c>
      <c r="S3374" s="92" t="s">
        <v>115</v>
      </c>
      <c r="V3374" s="95">
        <v>43555</v>
      </c>
      <c r="W3374" s="92" t="s">
        <v>407</v>
      </c>
      <c r="X3374" s="90"/>
      <c r="Y3374" s="123"/>
      <c r="Z3374" s="30">
        <f t="shared" si="104"/>
        <v>6763.7822038320437</v>
      </c>
      <c r="AA3374" s="30">
        <f t="shared" si="105"/>
        <v>0</v>
      </c>
      <c r="AB3374" t="s">
        <v>457</v>
      </c>
    </row>
    <row r="3375" spans="1:28">
      <c r="A3375" t="s">
        <v>113</v>
      </c>
      <c r="C3375" s="92">
        <v>4615475511</v>
      </c>
      <c r="D3375" s="93">
        <v>19175</v>
      </c>
      <c r="F3375" s="91">
        <v>16</v>
      </c>
      <c r="G3375" s="91">
        <v>0</v>
      </c>
      <c r="H3375" s="91">
        <v>0</v>
      </c>
      <c r="I3375" s="91">
        <v>0</v>
      </c>
      <c r="J3375" s="41"/>
      <c r="K3375" s="41">
        <v>43555</v>
      </c>
      <c r="L3375" s="69" t="s">
        <v>80</v>
      </c>
      <c r="M3375" s="69" t="s">
        <v>286</v>
      </c>
      <c r="N3375" s="95"/>
      <c r="P3375" t="s">
        <v>95</v>
      </c>
      <c r="Q3375" t="s">
        <v>110</v>
      </c>
      <c r="R3375" s="92" t="s">
        <v>69</v>
      </c>
      <c r="S3375" s="92" t="s">
        <v>115</v>
      </c>
      <c r="V3375" s="95">
        <v>43555</v>
      </c>
      <c r="W3375" s="92" t="s">
        <v>407</v>
      </c>
      <c r="X3375" s="90"/>
      <c r="Y3375" s="123"/>
      <c r="Z3375" s="30">
        <f t="shared" si="104"/>
        <v>6763.7822038320437</v>
      </c>
      <c r="AA3375" s="30">
        <f t="shared" si="105"/>
        <v>0</v>
      </c>
      <c r="AB3375" t="s">
        <v>457</v>
      </c>
    </row>
    <row r="3376" spans="1:28">
      <c r="A3376" t="s">
        <v>113</v>
      </c>
      <c r="C3376" s="92">
        <v>4615475511</v>
      </c>
      <c r="D3376" s="93">
        <v>19175</v>
      </c>
      <c r="F3376" s="91">
        <v>16</v>
      </c>
      <c r="G3376" s="91">
        <v>0</v>
      </c>
      <c r="H3376" s="91">
        <v>0</v>
      </c>
      <c r="I3376" s="91">
        <v>0</v>
      </c>
      <c r="J3376" s="41"/>
      <c r="K3376" s="41">
        <v>43555</v>
      </c>
      <c r="L3376" s="69" t="s">
        <v>80</v>
      </c>
      <c r="M3376" s="69" t="s">
        <v>286</v>
      </c>
      <c r="N3376" s="95"/>
      <c r="P3376" t="s">
        <v>95</v>
      </c>
      <c r="Q3376" t="s">
        <v>110</v>
      </c>
      <c r="R3376" s="92" t="s">
        <v>69</v>
      </c>
      <c r="S3376" s="92" t="s">
        <v>115</v>
      </c>
      <c r="V3376" s="95">
        <v>43555</v>
      </c>
      <c r="W3376" s="92" t="s">
        <v>407</v>
      </c>
      <c r="X3376" s="90"/>
      <c r="Y3376" s="123"/>
      <c r="Z3376" s="30">
        <f t="shared" si="104"/>
        <v>6763.7822038320437</v>
      </c>
      <c r="AA3376" s="30">
        <f t="shared" si="105"/>
        <v>0</v>
      </c>
      <c r="AB3376" t="s">
        <v>457</v>
      </c>
    </row>
    <row r="3377" spans="1:28">
      <c r="A3377" t="s">
        <v>113</v>
      </c>
      <c r="C3377" s="92">
        <v>4615475511</v>
      </c>
      <c r="D3377" s="93">
        <v>19175</v>
      </c>
      <c r="F3377" s="91">
        <v>16</v>
      </c>
      <c r="G3377" s="91">
        <v>0</v>
      </c>
      <c r="H3377" s="91">
        <v>0</v>
      </c>
      <c r="I3377" s="91">
        <v>0</v>
      </c>
      <c r="J3377" s="41"/>
      <c r="K3377" s="41">
        <v>43555</v>
      </c>
      <c r="L3377" s="69" t="s">
        <v>80</v>
      </c>
      <c r="M3377" s="69" t="s">
        <v>286</v>
      </c>
      <c r="N3377" s="95"/>
      <c r="P3377" t="s">
        <v>95</v>
      </c>
      <c r="Q3377" t="s">
        <v>110</v>
      </c>
      <c r="R3377" s="92" t="s">
        <v>69</v>
      </c>
      <c r="S3377" s="92" t="s">
        <v>115</v>
      </c>
      <c r="V3377" s="95">
        <v>43555</v>
      </c>
      <c r="W3377" s="92" t="s">
        <v>407</v>
      </c>
      <c r="X3377" s="90"/>
      <c r="Y3377" s="123"/>
      <c r="Z3377" s="30">
        <f t="shared" si="104"/>
        <v>6763.7822038320437</v>
      </c>
      <c r="AA3377" s="30">
        <f t="shared" si="105"/>
        <v>0</v>
      </c>
      <c r="AB3377" t="s">
        <v>457</v>
      </c>
    </row>
    <row r="3378" spans="1:28">
      <c r="A3378" t="s">
        <v>113</v>
      </c>
      <c r="C3378" s="92">
        <v>4615475511</v>
      </c>
      <c r="D3378" s="93">
        <v>19175</v>
      </c>
      <c r="F3378" s="91">
        <v>16</v>
      </c>
      <c r="G3378" s="91">
        <v>0</v>
      </c>
      <c r="H3378" s="91">
        <v>0</v>
      </c>
      <c r="I3378" s="91">
        <v>0</v>
      </c>
      <c r="J3378" s="41"/>
      <c r="K3378" s="41">
        <v>43555</v>
      </c>
      <c r="L3378" s="69" t="s">
        <v>80</v>
      </c>
      <c r="M3378" s="69" t="s">
        <v>286</v>
      </c>
      <c r="N3378" s="95"/>
      <c r="P3378" t="s">
        <v>95</v>
      </c>
      <c r="Q3378" t="s">
        <v>110</v>
      </c>
      <c r="R3378" s="92" t="s">
        <v>69</v>
      </c>
      <c r="S3378" s="92" t="s">
        <v>115</v>
      </c>
      <c r="V3378" s="95">
        <v>43555</v>
      </c>
      <c r="W3378" s="92" t="s">
        <v>407</v>
      </c>
      <c r="X3378" s="90"/>
      <c r="Y3378" s="123"/>
      <c r="Z3378" s="30">
        <f t="shared" si="104"/>
        <v>6763.7822038320437</v>
      </c>
      <c r="AA3378" s="30">
        <f t="shared" si="105"/>
        <v>0</v>
      </c>
      <c r="AB3378" t="s">
        <v>457</v>
      </c>
    </row>
    <row r="3379" spans="1:28">
      <c r="A3379" t="s">
        <v>113</v>
      </c>
      <c r="C3379" s="92">
        <v>4615475511</v>
      </c>
      <c r="D3379" s="93">
        <v>19175</v>
      </c>
      <c r="F3379" s="91">
        <v>16</v>
      </c>
      <c r="G3379" s="91">
        <v>0</v>
      </c>
      <c r="H3379" s="91">
        <v>0</v>
      </c>
      <c r="I3379" s="91">
        <v>0</v>
      </c>
      <c r="J3379" s="41"/>
      <c r="K3379" s="41">
        <v>43555</v>
      </c>
      <c r="L3379" s="69" t="s">
        <v>80</v>
      </c>
      <c r="M3379" s="69" t="s">
        <v>286</v>
      </c>
      <c r="N3379" s="95"/>
      <c r="P3379" t="s">
        <v>95</v>
      </c>
      <c r="Q3379" t="s">
        <v>110</v>
      </c>
      <c r="R3379" s="92" t="s">
        <v>69</v>
      </c>
      <c r="S3379" s="92" t="s">
        <v>115</v>
      </c>
      <c r="V3379" s="95">
        <v>43555</v>
      </c>
      <c r="W3379" s="92" t="s">
        <v>407</v>
      </c>
      <c r="X3379" s="90"/>
      <c r="Y3379" s="123"/>
      <c r="Z3379" s="30">
        <f t="shared" si="104"/>
        <v>6763.7822038320437</v>
      </c>
      <c r="AA3379" s="30">
        <f t="shared" si="105"/>
        <v>0</v>
      </c>
      <c r="AB3379" t="s">
        <v>457</v>
      </c>
    </row>
    <row r="3380" spans="1:28">
      <c r="A3380" t="s">
        <v>113</v>
      </c>
      <c r="C3380" s="92">
        <v>4615475511</v>
      </c>
      <c r="D3380" s="93">
        <v>19175</v>
      </c>
      <c r="F3380" s="91">
        <v>16</v>
      </c>
      <c r="G3380" s="91">
        <v>0</v>
      </c>
      <c r="H3380" s="91">
        <v>0</v>
      </c>
      <c r="I3380" s="91">
        <v>0</v>
      </c>
      <c r="J3380" s="41"/>
      <c r="K3380" s="41">
        <v>43555</v>
      </c>
      <c r="L3380" s="69" t="s">
        <v>80</v>
      </c>
      <c r="M3380" s="69" t="s">
        <v>286</v>
      </c>
      <c r="N3380" s="95"/>
      <c r="P3380" t="s">
        <v>95</v>
      </c>
      <c r="Q3380" t="s">
        <v>110</v>
      </c>
      <c r="R3380" s="92" t="s">
        <v>69</v>
      </c>
      <c r="S3380" s="92" t="s">
        <v>115</v>
      </c>
      <c r="V3380" s="95">
        <v>43555</v>
      </c>
      <c r="W3380" s="92" t="s">
        <v>407</v>
      </c>
      <c r="X3380" s="90"/>
      <c r="Y3380" s="123"/>
      <c r="Z3380" s="30">
        <f t="shared" si="104"/>
        <v>6763.7822038320437</v>
      </c>
      <c r="AA3380" s="30">
        <f t="shared" si="105"/>
        <v>0</v>
      </c>
      <c r="AB3380" t="s">
        <v>457</v>
      </c>
    </row>
    <row r="3381" spans="1:28">
      <c r="A3381" t="s">
        <v>113</v>
      </c>
      <c r="C3381" s="92">
        <v>4615475511</v>
      </c>
      <c r="D3381" s="93">
        <v>19175</v>
      </c>
      <c r="F3381" s="91">
        <v>16</v>
      </c>
      <c r="G3381" s="91">
        <v>0</v>
      </c>
      <c r="H3381" s="91">
        <v>0</v>
      </c>
      <c r="I3381" s="91">
        <v>0</v>
      </c>
      <c r="J3381" s="41"/>
      <c r="K3381" s="41">
        <v>43555</v>
      </c>
      <c r="L3381" s="69" t="s">
        <v>80</v>
      </c>
      <c r="M3381" s="69" t="s">
        <v>286</v>
      </c>
      <c r="N3381" s="95"/>
      <c r="P3381" t="s">
        <v>95</v>
      </c>
      <c r="Q3381" t="s">
        <v>110</v>
      </c>
      <c r="R3381" s="92" t="s">
        <v>69</v>
      </c>
      <c r="S3381" s="92" t="s">
        <v>115</v>
      </c>
      <c r="V3381" s="95">
        <v>43555</v>
      </c>
      <c r="W3381" s="92" t="s">
        <v>407</v>
      </c>
      <c r="X3381" s="90"/>
      <c r="Y3381" s="123"/>
      <c r="Z3381" s="30">
        <f t="shared" si="104"/>
        <v>6763.7822038320437</v>
      </c>
      <c r="AA3381" s="30">
        <f t="shared" si="105"/>
        <v>0</v>
      </c>
      <c r="AB3381" t="s">
        <v>457</v>
      </c>
    </row>
    <row r="3382" spans="1:28">
      <c r="A3382" t="s">
        <v>113</v>
      </c>
      <c r="C3382" s="92">
        <v>4615475511</v>
      </c>
      <c r="D3382" s="93">
        <v>19175</v>
      </c>
      <c r="F3382" s="91">
        <v>16</v>
      </c>
      <c r="G3382" s="91">
        <v>0</v>
      </c>
      <c r="H3382" s="91">
        <v>0</v>
      </c>
      <c r="I3382" s="91">
        <v>0</v>
      </c>
      <c r="J3382" s="41"/>
      <c r="K3382" s="41">
        <v>43555</v>
      </c>
      <c r="L3382" s="69" t="s">
        <v>80</v>
      </c>
      <c r="M3382" s="69" t="s">
        <v>286</v>
      </c>
      <c r="N3382" s="95"/>
      <c r="P3382" t="s">
        <v>95</v>
      </c>
      <c r="Q3382" t="s">
        <v>110</v>
      </c>
      <c r="R3382" s="92" t="s">
        <v>69</v>
      </c>
      <c r="S3382" s="92" t="s">
        <v>115</v>
      </c>
      <c r="V3382" s="95">
        <v>43555</v>
      </c>
      <c r="W3382" s="92" t="s">
        <v>407</v>
      </c>
      <c r="X3382" s="90"/>
      <c r="Y3382" s="123"/>
      <c r="Z3382" s="30">
        <f t="shared" si="104"/>
        <v>6763.7822038320437</v>
      </c>
      <c r="AA3382" s="30">
        <f t="shared" si="105"/>
        <v>0</v>
      </c>
      <c r="AB3382" t="s">
        <v>457</v>
      </c>
    </row>
    <row r="3383" spans="1:28">
      <c r="A3383" t="s">
        <v>113</v>
      </c>
      <c r="C3383" s="92">
        <v>4615475511</v>
      </c>
      <c r="D3383" s="93">
        <v>19175</v>
      </c>
      <c r="F3383" s="91">
        <v>16</v>
      </c>
      <c r="G3383" s="91">
        <v>0</v>
      </c>
      <c r="H3383" s="91">
        <v>0</v>
      </c>
      <c r="I3383" s="91">
        <v>0</v>
      </c>
      <c r="J3383" s="41"/>
      <c r="K3383" s="41">
        <v>43555</v>
      </c>
      <c r="L3383" s="69" t="s">
        <v>80</v>
      </c>
      <c r="M3383" s="69" t="s">
        <v>286</v>
      </c>
      <c r="N3383" s="95"/>
      <c r="P3383" t="s">
        <v>95</v>
      </c>
      <c r="Q3383" t="s">
        <v>110</v>
      </c>
      <c r="R3383" s="92" t="s">
        <v>69</v>
      </c>
      <c r="S3383" s="92" t="s">
        <v>115</v>
      </c>
      <c r="V3383" s="95">
        <v>43555</v>
      </c>
      <c r="W3383" s="92" t="s">
        <v>407</v>
      </c>
      <c r="X3383" s="90"/>
      <c r="Y3383" s="123"/>
      <c r="Z3383" s="30">
        <f t="shared" si="104"/>
        <v>6763.7822038320437</v>
      </c>
      <c r="AA3383" s="30">
        <f t="shared" si="105"/>
        <v>0</v>
      </c>
      <c r="AB3383" t="s">
        <v>457</v>
      </c>
    </row>
    <row r="3384" spans="1:28">
      <c r="A3384" t="s">
        <v>113</v>
      </c>
      <c r="C3384" s="92">
        <v>4615475511</v>
      </c>
      <c r="D3384" s="93">
        <v>19175</v>
      </c>
      <c r="F3384" s="91">
        <v>16</v>
      </c>
      <c r="G3384" s="91">
        <v>0</v>
      </c>
      <c r="H3384" s="91">
        <v>0</v>
      </c>
      <c r="I3384" s="91">
        <v>0</v>
      </c>
      <c r="J3384" s="41"/>
      <c r="K3384" s="41">
        <v>43555</v>
      </c>
      <c r="L3384" s="69" t="s">
        <v>80</v>
      </c>
      <c r="M3384" s="69" t="s">
        <v>286</v>
      </c>
      <c r="N3384" s="95"/>
      <c r="P3384" t="s">
        <v>95</v>
      </c>
      <c r="Q3384" t="s">
        <v>110</v>
      </c>
      <c r="R3384" s="92" t="s">
        <v>69</v>
      </c>
      <c r="S3384" s="92" t="s">
        <v>115</v>
      </c>
      <c r="V3384" s="95">
        <v>43555</v>
      </c>
      <c r="W3384" s="92" t="s">
        <v>407</v>
      </c>
      <c r="X3384" s="90"/>
      <c r="Y3384" s="123"/>
      <c r="Z3384" s="30">
        <f t="shared" si="104"/>
        <v>6763.7822038320437</v>
      </c>
      <c r="AA3384" s="30">
        <f t="shared" si="105"/>
        <v>0</v>
      </c>
      <c r="AB3384" t="s">
        <v>457</v>
      </c>
    </row>
    <row r="3385" spans="1:28">
      <c r="A3385" t="s">
        <v>113</v>
      </c>
      <c r="C3385" s="92">
        <v>4615475511</v>
      </c>
      <c r="D3385" s="93">
        <v>19175</v>
      </c>
      <c r="F3385" s="91">
        <v>16</v>
      </c>
      <c r="G3385" s="91">
        <v>0</v>
      </c>
      <c r="H3385" s="91">
        <v>0</v>
      </c>
      <c r="I3385" s="91">
        <v>0</v>
      </c>
      <c r="J3385" s="41"/>
      <c r="K3385" s="41">
        <v>43555</v>
      </c>
      <c r="L3385" s="69" t="s">
        <v>80</v>
      </c>
      <c r="M3385" s="69" t="s">
        <v>286</v>
      </c>
      <c r="N3385" s="95"/>
      <c r="P3385" t="s">
        <v>95</v>
      </c>
      <c r="Q3385" t="s">
        <v>110</v>
      </c>
      <c r="R3385" s="92" t="s">
        <v>69</v>
      </c>
      <c r="S3385" s="92" t="s">
        <v>115</v>
      </c>
      <c r="V3385" s="95">
        <v>43555</v>
      </c>
      <c r="W3385" s="92" t="s">
        <v>407</v>
      </c>
      <c r="X3385" s="90"/>
      <c r="Y3385" s="123"/>
      <c r="Z3385" s="30">
        <f t="shared" si="104"/>
        <v>6763.7822038320437</v>
      </c>
      <c r="AA3385" s="30">
        <f t="shared" si="105"/>
        <v>0</v>
      </c>
      <c r="AB3385" t="s">
        <v>457</v>
      </c>
    </row>
    <row r="3386" spans="1:28">
      <c r="A3386" t="s">
        <v>113</v>
      </c>
      <c r="C3386" s="92">
        <v>4615475511</v>
      </c>
      <c r="D3386" s="93">
        <v>19175</v>
      </c>
      <c r="F3386" s="91">
        <v>16</v>
      </c>
      <c r="G3386" s="91">
        <v>0</v>
      </c>
      <c r="H3386" s="91">
        <v>0</v>
      </c>
      <c r="I3386" s="91">
        <v>0</v>
      </c>
      <c r="J3386" s="41"/>
      <c r="K3386" s="41">
        <v>43555</v>
      </c>
      <c r="L3386" s="69" t="s">
        <v>80</v>
      </c>
      <c r="M3386" s="69" t="s">
        <v>286</v>
      </c>
      <c r="N3386" s="95"/>
      <c r="P3386" t="s">
        <v>95</v>
      </c>
      <c r="Q3386" t="s">
        <v>110</v>
      </c>
      <c r="R3386" s="92" t="s">
        <v>69</v>
      </c>
      <c r="S3386" s="92" t="s">
        <v>115</v>
      </c>
      <c r="V3386" s="95">
        <v>43555</v>
      </c>
      <c r="W3386" s="92" t="s">
        <v>407</v>
      </c>
      <c r="X3386" s="90"/>
      <c r="Y3386" s="123"/>
      <c r="Z3386" s="30">
        <f t="shared" si="104"/>
        <v>6763.7822038320437</v>
      </c>
      <c r="AA3386" s="30">
        <f t="shared" si="105"/>
        <v>0</v>
      </c>
      <c r="AB3386" t="s">
        <v>457</v>
      </c>
    </row>
    <row r="3387" spans="1:28">
      <c r="A3387" t="s">
        <v>113</v>
      </c>
      <c r="C3387" s="92">
        <v>4615475511</v>
      </c>
      <c r="D3387" s="93">
        <v>19175</v>
      </c>
      <c r="F3387" s="91">
        <v>16</v>
      </c>
      <c r="G3387" s="91">
        <v>0</v>
      </c>
      <c r="H3387" s="91">
        <v>0</v>
      </c>
      <c r="I3387" s="91">
        <v>0</v>
      </c>
      <c r="J3387" s="41"/>
      <c r="K3387" s="41">
        <v>43555</v>
      </c>
      <c r="L3387" s="69" t="s">
        <v>80</v>
      </c>
      <c r="M3387" s="69" t="s">
        <v>286</v>
      </c>
      <c r="N3387" s="95"/>
      <c r="P3387" t="s">
        <v>95</v>
      </c>
      <c r="Q3387" t="s">
        <v>110</v>
      </c>
      <c r="R3387" s="92" t="s">
        <v>69</v>
      </c>
      <c r="S3387" s="92" t="s">
        <v>115</v>
      </c>
      <c r="V3387" s="95">
        <v>43555</v>
      </c>
      <c r="W3387" s="92" t="s">
        <v>407</v>
      </c>
      <c r="X3387" s="90"/>
      <c r="Y3387" s="123"/>
      <c r="Z3387" s="30">
        <f t="shared" si="104"/>
        <v>6763.7822038320437</v>
      </c>
      <c r="AA3387" s="30">
        <f t="shared" si="105"/>
        <v>0</v>
      </c>
      <c r="AB3387" t="s">
        <v>457</v>
      </c>
    </row>
    <row r="3388" spans="1:28">
      <c r="A3388" t="s">
        <v>113</v>
      </c>
      <c r="C3388" s="92">
        <v>4615475511</v>
      </c>
      <c r="D3388" s="93">
        <v>19175</v>
      </c>
      <c r="F3388" s="91">
        <v>16</v>
      </c>
      <c r="G3388" s="91">
        <v>0</v>
      </c>
      <c r="H3388" s="91">
        <v>0</v>
      </c>
      <c r="I3388" s="91">
        <v>0</v>
      </c>
      <c r="J3388" s="41"/>
      <c r="K3388" s="41">
        <v>43555</v>
      </c>
      <c r="L3388" s="69" t="s">
        <v>80</v>
      </c>
      <c r="M3388" s="69" t="s">
        <v>286</v>
      </c>
      <c r="N3388" s="95"/>
      <c r="P3388" t="s">
        <v>95</v>
      </c>
      <c r="Q3388" t="s">
        <v>110</v>
      </c>
      <c r="R3388" s="92" t="s">
        <v>69</v>
      </c>
      <c r="S3388" s="92" t="s">
        <v>115</v>
      </c>
      <c r="V3388" s="95">
        <v>43555</v>
      </c>
      <c r="W3388" s="92" t="s">
        <v>407</v>
      </c>
      <c r="X3388" s="90"/>
      <c r="Y3388" s="123"/>
      <c r="Z3388" s="30">
        <f t="shared" si="104"/>
        <v>6763.7822038320437</v>
      </c>
      <c r="AA3388" s="30">
        <f t="shared" si="105"/>
        <v>0</v>
      </c>
      <c r="AB3388" t="s">
        <v>457</v>
      </c>
    </row>
    <row r="3389" spans="1:28">
      <c r="A3389" t="s">
        <v>113</v>
      </c>
      <c r="C3389" s="92">
        <v>4615507571</v>
      </c>
      <c r="D3389" s="93">
        <v>19175</v>
      </c>
      <c r="F3389" s="91">
        <v>16</v>
      </c>
      <c r="G3389" s="91">
        <v>5</v>
      </c>
      <c r="H3389" s="91">
        <v>0</v>
      </c>
      <c r="I3389" s="91">
        <v>0</v>
      </c>
      <c r="J3389" s="41"/>
      <c r="K3389" s="41">
        <v>43555</v>
      </c>
      <c r="L3389" s="69" t="s">
        <v>80</v>
      </c>
      <c r="M3389" s="69" t="s">
        <v>286</v>
      </c>
      <c r="N3389" s="95"/>
      <c r="P3389" t="s">
        <v>95</v>
      </c>
      <c r="Q3389" t="s">
        <v>110</v>
      </c>
      <c r="R3389" s="92" t="s">
        <v>69</v>
      </c>
      <c r="S3389" s="92" t="s">
        <v>115</v>
      </c>
      <c r="V3389" s="95">
        <v>43555</v>
      </c>
      <c r="W3389" s="92" t="s">
        <v>408</v>
      </c>
      <c r="X3389" s="90"/>
      <c r="Y3389" s="123"/>
      <c r="Z3389" s="30">
        <f t="shared" si="104"/>
        <v>6763.7822038320437</v>
      </c>
      <c r="AA3389" s="30">
        <f t="shared" si="105"/>
        <v>2113.6819386975139</v>
      </c>
      <c r="AB3389" t="s">
        <v>457</v>
      </c>
    </row>
    <row r="3390" spans="1:28">
      <c r="A3390" t="s">
        <v>113</v>
      </c>
      <c r="C3390" s="92">
        <v>4615507571</v>
      </c>
      <c r="D3390" s="93">
        <v>19175</v>
      </c>
      <c r="F3390" s="91">
        <v>16</v>
      </c>
      <c r="G3390" s="91">
        <v>5</v>
      </c>
      <c r="H3390" s="91">
        <v>0</v>
      </c>
      <c r="I3390" s="91">
        <v>0</v>
      </c>
      <c r="J3390" s="41"/>
      <c r="K3390" s="41">
        <v>43555</v>
      </c>
      <c r="L3390" s="69" t="s">
        <v>80</v>
      </c>
      <c r="M3390" s="69" t="s">
        <v>286</v>
      </c>
      <c r="N3390" s="95"/>
      <c r="P3390" t="s">
        <v>95</v>
      </c>
      <c r="Q3390" t="s">
        <v>110</v>
      </c>
      <c r="R3390" s="92" t="s">
        <v>69</v>
      </c>
      <c r="S3390" s="92" t="s">
        <v>115</v>
      </c>
      <c r="V3390" s="95">
        <v>43555</v>
      </c>
      <c r="W3390" s="92" t="s">
        <v>408</v>
      </c>
      <c r="X3390" s="90"/>
      <c r="Y3390" s="123"/>
      <c r="Z3390" s="30">
        <f t="shared" si="104"/>
        <v>6763.7822038320437</v>
      </c>
      <c r="AA3390" s="30">
        <f t="shared" si="105"/>
        <v>2113.6819386975139</v>
      </c>
      <c r="AB3390" t="s">
        <v>457</v>
      </c>
    </row>
    <row r="3391" spans="1:28">
      <c r="A3391" t="s">
        <v>113</v>
      </c>
      <c r="C3391" s="92">
        <v>4615507571</v>
      </c>
      <c r="D3391" s="93">
        <v>19175</v>
      </c>
      <c r="F3391" s="91">
        <v>16</v>
      </c>
      <c r="G3391" s="91">
        <v>5</v>
      </c>
      <c r="H3391" s="91">
        <v>0</v>
      </c>
      <c r="I3391" s="91">
        <v>0</v>
      </c>
      <c r="J3391" s="41"/>
      <c r="K3391" s="41">
        <v>43555</v>
      </c>
      <c r="L3391" s="69" t="s">
        <v>80</v>
      </c>
      <c r="M3391" s="69" t="s">
        <v>286</v>
      </c>
      <c r="N3391" s="95"/>
      <c r="P3391" t="s">
        <v>95</v>
      </c>
      <c r="Q3391" t="s">
        <v>110</v>
      </c>
      <c r="R3391" s="92" t="s">
        <v>69</v>
      </c>
      <c r="S3391" s="92" t="s">
        <v>115</v>
      </c>
      <c r="V3391" s="95">
        <v>43555</v>
      </c>
      <c r="W3391" s="92" t="s">
        <v>408</v>
      </c>
      <c r="X3391" s="90"/>
      <c r="Y3391" s="123"/>
      <c r="Z3391" s="30">
        <f t="shared" si="104"/>
        <v>6763.7822038320437</v>
      </c>
      <c r="AA3391" s="30">
        <f t="shared" si="105"/>
        <v>2113.6819386975139</v>
      </c>
      <c r="AB3391" t="s">
        <v>457</v>
      </c>
    </row>
    <row r="3392" spans="1:28">
      <c r="A3392" t="s">
        <v>113</v>
      </c>
      <c r="C3392" s="92">
        <v>4615507571</v>
      </c>
      <c r="D3392" s="93">
        <v>19175</v>
      </c>
      <c r="F3392" s="91">
        <v>16</v>
      </c>
      <c r="G3392" s="91">
        <v>5</v>
      </c>
      <c r="H3392" s="91">
        <v>0</v>
      </c>
      <c r="I3392" s="91">
        <v>0</v>
      </c>
      <c r="J3392" s="41"/>
      <c r="K3392" s="41">
        <v>43555</v>
      </c>
      <c r="L3392" s="69" t="s">
        <v>80</v>
      </c>
      <c r="M3392" s="69" t="s">
        <v>286</v>
      </c>
      <c r="N3392" s="95"/>
      <c r="P3392" t="s">
        <v>95</v>
      </c>
      <c r="Q3392" t="s">
        <v>110</v>
      </c>
      <c r="R3392" s="92" t="s">
        <v>69</v>
      </c>
      <c r="S3392" s="92" t="s">
        <v>115</v>
      </c>
      <c r="V3392" s="95">
        <v>43555</v>
      </c>
      <c r="W3392" s="92" t="s">
        <v>408</v>
      </c>
      <c r="X3392" s="90"/>
      <c r="Y3392" s="123"/>
      <c r="Z3392" s="30">
        <f t="shared" si="104"/>
        <v>6763.7822038320437</v>
      </c>
      <c r="AA3392" s="30">
        <f t="shared" si="105"/>
        <v>2113.6819386975139</v>
      </c>
      <c r="AB3392" t="s">
        <v>457</v>
      </c>
    </row>
    <row r="3393" spans="1:28">
      <c r="A3393" t="s">
        <v>113</v>
      </c>
      <c r="C3393" s="92">
        <v>4615507571</v>
      </c>
      <c r="D3393" s="93">
        <v>19175</v>
      </c>
      <c r="F3393" s="91">
        <v>16</v>
      </c>
      <c r="G3393" s="91">
        <v>5</v>
      </c>
      <c r="H3393" s="91">
        <v>0</v>
      </c>
      <c r="I3393" s="91">
        <v>0</v>
      </c>
      <c r="J3393" s="41"/>
      <c r="K3393" s="41">
        <v>43555</v>
      </c>
      <c r="L3393" s="69" t="s">
        <v>80</v>
      </c>
      <c r="M3393" s="69" t="s">
        <v>286</v>
      </c>
      <c r="N3393" s="95"/>
      <c r="P3393" t="s">
        <v>95</v>
      </c>
      <c r="Q3393" t="s">
        <v>110</v>
      </c>
      <c r="R3393" s="92" t="s">
        <v>69</v>
      </c>
      <c r="S3393" s="92" t="s">
        <v>115</v>
      </c>
      <c r="V3393" s="95">
        <v>43555</v>
      </c>
      <c r="W3393" s="92" t="s">
        <v>408</v>
      </c>
      <c r="X3393" s="90"/>
      <c r="Y3393" s="123"/>
      <c r="Z3393" s="30">
        <f t="shared" si="104"/>
        <v>6763.7822038320437</v>
      </c>
      <c r="AA3393" s="30">
        <f t="shared" si="105"/>
        <v>2113.6819386975139</v>
      </c>
      <c r="AB3393" t="s">
        <v>457</v>
      </c>
    </row>
    <row r="3394" spans="1:28">
      <c r="A3394" t="s">
        <v>113</v>
      </c>
      <c r="C3394" s="92">
        <v>4615507571</v>
      </c>
      <c r="D3394" s="93">
        <v>19175</v>
      </c>
      <c r="F3394" s="91">
        <v>16</v>
      </c>
      <c r="G3394" s="91">
        <v>5</v>
      </c>
      <c r="H3394" s="91">
        <v>0</v>
      </c>
      <c r="I3394" s="91">
        <v>0</v>
      </c>
      <c r="J3394" s="41"/>
      <c r="K3394" s="41">
        <v>43555</v>
      </c>
      <c r="L3394" s="69" t="s">
        <v>80</v>
      </c>
      <c r="M3394" s="69" t="s">
        <v>286</v>
      </c>
      <c r="N3394" s="95"/>
      <c r="P3394" t="s">
        <v>95</v>
      </c>
      <c r="Q3394" t="s">
        <v>110</v>
      </c>
      <c r="R3394" s="92" t="s">
        <v>69</v>
      </c>
      <c r="S3394" s="92" t="s">
        <v>115</v>
      </c>
      <c r="V3394" s="95">
        <v>43555</v>
      </c>
      <c r="W3394" s="92" t="s">
        <v>408</v>
      </c>
      <c r="X3394" s="90"/>
      <c r="Y3394" s="123"/>
      <c r="Z3394" s="30">
        <f t="shared" si="104"/>
        <v>6763.7822038320437</v>
      </c>
      <c r="AA3394" s="30">
        <f t="shared" si="105"/>
        <v>2113.6819386975139</v>
      </c>
      <c r="AB3394" t="s">
        <v>457</v>
      </c>
    </row>
    <row r="3395" spans="1:28">
      <c r="A3395" t="s">
        <v>113</v>
      </c>
      <c r="C3395" s="92">
        <v>4615507571</v>
      </c>
      <c r="D3395" s="93">
        <v>19175</v>
      </c>
      <c r="F3395" s="91">
        <v>16</v>
      </c>
      <c r="G3395" s="91">
        <v>5</v>
      </c>
      <c r="H3395" s="91">
        <v>0</v>
      </c>
      <c r="I3395" s="91">
        <v>0</v>
      </c>
      <c r="J3395" s="41"/>
      <c r="K3395" s="41">
        <v>43555</v>
      </c>
      <c r="L3395" s="69" t="s">
        <v>80</v>
      </c>
      <c r="M3395" s="69" t="s">
        <v>286</v>
      </c>
      <c r="N3395" s="95"/>
      <c r="P3395" t="s">
        <v>95</v>
      </c>
      <c r="Q3395" t="s">
        <v>110</v>
      </c>
      <c r="R3395" s="92" t="s">
        <v>69</v>
      </c>
      <c r="S3395" s="92" t="s">
        <v>115</v>
      </c>
      <c r="V3395" s="95">
        <v>43555</v>
      </c>
      <c r="W3395" s="92" t="s">
        <v>408</v>
      </c>
      <c r="X3395" s="90"/>
      <c r="Y3395" s="123"/>
      <c r="Z3395" s="30">
        <f t="shared" ref="Z3395:Z3458" si="106">CONVERT(D3395,"kg","lbm")*F3395/100</f>
        <v>6763.7822038320437</v>
      </c>
      <c r="AA3395" s="30">
        <f t="shared" ref="AA3395:AA3458" si="107">CONVERT(D3395,"kg","lbm")*G3395/100</f>
        <v>2113.6819386975139</v>
      </c>
      <c r="AB3395" t="s">
        <v>457</v>
      </c>
    </row>
    <row r="3396" spans="1:28">
      <c r="A3396" t="s">
        <v>113</v>
      </c>
      <c r="C3396" s="92">
        <v>4615507571</v>
      </c>
      <c r="D3396" s="93">
        <v>19175</v>
      </c>
      <c r="F3396" s="91">
        <v>16</v>
      </c>
      <c r="G3396" s="91">
        <v>5</v>
      </c>
      <c r="H3396" s="91">
        <v>0</v>
      </c>
      <c r="I3396" s="91">
        <v>0</v>
      </c>
      <c r="J3396" s="41"/>
      <c r="K3396" s="41">
        <v>43555</v>
      </c>
      <c r="L3396" s="69" t="s">
        <v>80</v>
      </c>
      <c r="M3396" s="69" t="s">
        <v>286</v>
      </c>
      <c r="N3396" s="95"/>
      <c r="P3396" t="s">
        <v>95</v>
      </c>
      <c r="Q3396" t="s">
        <v>110</v>
      </c>
      <c r="R3396" s="92" t="s">
        <v>69</v>
      </c>
      <c r="S3396" s="92" t="s">
        <v>115</v>
      </c>
      <c r="V3396" s="95">
        <v>43555</v>
      </c>
      <c r="W3396" s="92" t="s">
        <v>408</v>
      </c>
      <c r="X3396" s="90"/>
      <c r="Y3396" s="123"/>
      <c r="Z3396" s="30">
        <f t="shared" si="106"/>
        <v>6763.7822038320437</v>
      </c>
      <c r="AA3396" s="30">
        <f t="shared" si="107"/>
        <v>2113.6819386975139</v>
      </c>
      <c r="AB3396" t="s">
        <v>457</v>
      </c>
    </row>
    <row r="3397" spans="1:28">
      <c r="A3397" t="s">
        <v>113</v>
      </c>
      <c r="C3397" s="92">
        <v>4615507571</v>
      </c>
      <c r="D3397" s="93">
        <v>19175</v>
      </c>
      <c r="F3397" s="91">
        <v>16</v>
      </c>
      <c r="G3397" s="91">
        <v>5</v>
      </c>
      <c r="H3397" s="91">
        <v>0</v>
      </c>
      <c r="I3397" s="91">
        <v>0</v>
      </c>
      <c r="J3397" s="41"/>
      <c r="K3397" s="41">
        <v>43555</v>
      </c>
      <c r="L3397" s="69" t="s">
        <v>80</v>
      </c>
      <c r="M3397" s="69" t="s">
        <v>286</v>
      </c>
      <c r="N3397" s="95"/>
      <c r="P3397" t="s">
        <v>95</v>
      </c>
      <c r="Q3397" t="s">
        <v>110</v>
      </c>
      <c r="R3397" s="92" t="s">
        <v>69</v>
      </c>
      <c r="S3397" s="92" t="s">
        <v>115</v>
      </c>
      <c r="V3397" s="95">
        <v>43555</v>
      </c>
      <c r="W3397" s="92" t="s">
        <v>408</v>
      </c>
      <c r="X3397" s="90"/>
      <c r="Y3397" s="123"/>
      <c r="Z3397" s="30">
        <f t="shared" si="106"/>
        <v>6763.7822038320437</v>
      </c>
      <c r="AA3397" s="30">
        <f t="shared" si="107"/>
        <v>2113.6819386975139</v>
      </c>
      <c r="AB3397" t="s">
        <v>457</v>
      </c>
    </row>
    <row r="3398" spans="1:28">
      <c r="A3398" t="s">
        <v>113</v>
      </c>
      <c r="C3398" s="92">
        <v>4615507571</v>
      </c>
      <c r="D3398" s="93">
        <v>19175</v>
      </c>
      <c r="F3398" s="91">
        <v>16</v>
      </c>
      <c r="G3398" s="91">
        <v>5</v>
      </c>
      <c r="H3398" s="91">
        <v>0</v>
      </c>
      <c r="I3398" s="91">
        <v>0</v>
      </c>
      <c r="J3398" s="41"/>
      <c r="K3398" s="41">
        <v>43555</v>
      </c>
      <c r="L3398" s="69" t="s">
        <v>80</v>
      </c>
      <c r="M3398" s="69" t="s">
        <v>286</v>
      </c>
      <c r="N3398" s="95"/>
      <c r="P3398" t="s">
        <v>95</v>
      </c>
      <c r="Q3398" t="s">
        <v>110</v>
      </c>
      <c r="R3398" s="92" t="s">
        <v>69</v>
      </c>
      <c r="S3398" s="92" t="s">
        <v>115</v>
      </c>
      <c r="V3398" s="95">
        <v>43555</v>
      </c>
      <c r="W3398" s="92" t="s">
        <v>408</v>
      </c>
      <c r="X3398" s="90"/>
      <c r="Y3398" s="123"/>
      <c r="Z3398" s="30">
        <f t="shared" si="106"/>
        <v>6763.7822038320437</v>
      </c>
      <c r="AA3398" s="30">
        <f t="shared" si="107"/>
        <v>2113.6819386975139</v>
      </c>
      <c r="AB3398" t="s">
        <v>457</v>
      </c>
    </row>
    <row r="3399" spans="1:28">
      <c r="A3399" t="s">
        <v>113</v>
      </c>
      <c r="C3399" s="92">
        <v>4615509176</v>
      </c>
      <c r="D3399" s="93">
        <v>19175</v>
      </c>
      <c r="F3399" s="91">
        <v>16</v>
      </c>
      <c r="G3399" s="96">
        <v>5</v>
      </c>
      <c r="H3399" s="91">
        <v>0</v>
      </c>
      <c r="I3399" s="91">
        <v>0</v>
      </c>
      <c r="J3399" s="41"/>
      <c r="K3399" s="41">
        <v>43555</v>
      </c>
      <c r="L3399" s="69" t="s">
        <v>80</v>
      </c>
      <c r="M3399" s="69" t="s">
        <v>286</v>
      </c>
      <c r="N3399" s="95"/>
      <c r="P3399" t="s">
        <v>95</v>
      </c>
      <c r="Q3399" t="s">
        <v>133</v>
      </c>
      <c r="R3399" s="92" t="s">
        <v>69</v>
      </c>
      <c r="S3399" s="92" t="s">
        <v>115</v>
      </c>
      <c r="V3399" s="95">
        <v>43555</v>
      </c>
      <c r="W3399" s="92" t="s">
        <v>409</v>
      </c>
      <c r="X3399" s="90"/>
      <c r="Y3399" s="123"/>
      <c r="Z3399" s="30">
        <f t="shared" si="106"/>
        <v>6763.7822038320437</v>
      </c>
      <c r="AA3399" s="30">
        <f t="shared" si="107"/>
        <v>2113.6819386975139</v>
      </c>
      <c r="AB3399" t="s">
        <v>457</v>
      </c>
    </row>
    <row r="3400" spans="1:28">
      <c r="A3400" t="s">
        <v>113</v>
      </c>
      <c r="C3400" s="92">
        <v>4615509176</v>
      </c>
      <c r="D3400" s="93">
        <v>19175</v>
      </c>
      <c r="F3400" s="91">
        <v>16</v>
      </c>
      <c r="G3400" s="96">
        <v>5</v>
      </c>
      <c r="H3400" s="91">
        <v>0</v>
      </c>
      <c r="I3400" s="91">
        <v>0</v>
      </c>
      <c r="J3400" s="41"/>
      <c r="K3400" s="41">
        <v>43555</v>
      </c>
      <c r="L3400" s="69" t="s">
        <v>80</v>
      </c>
      <c r="M3400" s="69" t="s">
        <v>286</v>
      </c>
      <c r="N3400" s="95"/>
      <c r="P3400" t="s">
        <v>95</v>
      </c>
      <c r="Q3400" t="s">
        <v>133</v>
      </c>
      <c r="R3400" s="92" t="s">
        <v>69</v>
      </c>
      <c r="S3400" s="92" t="s">
        <v>115</v>
      </c>
      <c r="V3400" s="95">
        <v>43555</v>
      </c>
      <c r="W3400" s="92" t="s">
        <v>409</v>
      </c>
      <c r="X3400" s="90"/>
      <c r="Y3400" s="123"/>
      <c r="Z3400" s="30">
        <f t="shared" si="106"/>
        <v>6763.7822038320437</v>
      </c>
      <c r="AA3400" s="30">
        <f t="shared" si="107"/>
        <v>2113.6819386975139</v>
      </c>
      <c r="AB3400" t="s">
        <v>457</v>
      </c>
    </row>
    <row r="3401" spans="1:28">
      <c r="A3401" t="s">
        <v>113</v>
      </c>
      <c r="C3401" s="92">
        <v>4615509176</v>
      </c>
      <c r="D3401" s="93">
        <v>19175</v>
      </c>
      <c r="F3401" s="91">
        <v>16</v>
      </c>
      <c r="G3401" s="96">
        <v>5</v>
      </c>
      <c r="H3401" s="91">
        <v>0</v>
      </c>
      <c r="I3401" s="91">
        <v>0</v>
      </c>
      <c r="J3401" s="41"/>
      <c r="K3401" s="41">
        <v>43555</v>
      </c>
      <c r="L3401" s="69" t="s">
        <v>80</v>
      </c>
      <c r="M3401" s="69" t="s">
        <v>286</v>
      </c>
      <c r="N3401" s="95"/>
      <c r="P3401" t="s">
        <v>95</v>
      </c>
      <c r="Q3401" t="s">
        <v>133</v>
      </c>
      <c r="R3401" s="92" t="s">
        <v>69</v>
      </c>
      <c r="S3401" s="92" t="s">
        <v>115</v>
      </c>
      <c r="V3401" s="95">
        <v>43555</v>
      </c>
      <c r="W3401" s="92" t="s">
        <v>409</v>
      </c>
      <c r="X3401" s="90"/>
      <c r="Y3401" s="123"/>
      <c r="Z3401" s="30">
        <f t="shared" si="106"/>
        <v>6763.7822038320437</v>
      </c>
      <c r="AA3401" s="30">
        <f t="shared" si="107"/>
        <v>2113.6819386975139</v>
      </c>
      <c r="AB3401" t="s">
        <v>457</v>
      </c>
    </row>
    <row r="3402" spans="1:28">
      <c r="A3402" t="s">
        <v>113</v>
      </c>
      <c r="C3402" s="92">
        <v>4615509176</v>
      </c>
      <c r="D3402" s="93">
        <v>19175</v>
      </c>
      <c r="F3402" s="91">
        <v>16</v>
      </c>
      <c r="G3402" s="96">
        <v>5</v>
      </c>
      <c r="H3402" s="91">
        <v>0</v>
      </c>
      <c r="I3402" s="91">
        <v>0</v>
      </c>
      <c r="J3402" s="41"/>
      <c r="K3402" s="41">
        <v>43555</v>
      </c>
      <c r="L3402" s="69" t="s">
        <v>80</v>
      </c>
      <c r="M3402" s="69" t="s">
        <v>286</v>
      </c>
      <c r="N3402" s="95"/>
      <c r="P3402" t="s">
        <v>95</v>
      </c>
      <c r="Q3402" t="s">
        <v>133</v>
      </c>
      <c r="R3402" s="92" t="s">
        <v>69</v>
      </c>
      <c r="S3402" s="92" t="s">
        <v>115</v>
      </c>
      <c r="V3402" s="95">
        <v>43555</v>
      </c>
      <c r="W3402" s="92" t="s">
        <v>409</v>
      </c>
      <c r="X3402" s="90"/>
      <c r="Y3402" s="123"/>
      <c r="Z3402" s="30">
        <f t="shared" si="106"/>
        <v>6763.7822038320437</v>
      </c>
      <c r="AA3402" s="30">
        <f t="shared" si="107"/>
        <v>2113.6819386975139</v>
      </c>
      <c r="AB3402" t="s">
        <v>457</v>
      </c>
    </row>
    <row r="3403" spans="1:28">
      <c r="A3403" t="s">
        <v>113</v>
      </c>
      <c r="C3403" s="92">
        <v>4615509176</v>
      </c>
      <c r="D3403" s="93">
        <v>19175</v>
      </c>
      <c r="F3403" s="91">
        <v>16</v>
      </c>
      <c r="G3403" s="96">
        <v>5</v>
      </c>
      <c r="H3403" s="91">
        <v>0</v>
      </c>
      <c r="I3403" s="91">
        <v>0</v>
      </c>
      <c r="J3403" s="41"/>
      <c r="K3403" s="41">
        <v>43555</v>
      </c>
      <c r="L3403" s="69" t="s">
        <v>80</v>
      </c>
      <c r="M3403" s="69" t="s">
        <v>286</v>
      </c>
      <c r="N3403" s="95"/>
      <c r="P3403" t="s">
        <v>95</v>
      </c>
      <c r="Q3403" t="s">
        <v>133</v>
      </c>
      <c r="R3403" s="92" t="s">
        <v>69</v>
      </c>
      <c r="S3403" s="92" t="s">
        <v>115</v>
      </c>
      <c r="V3403" s="95">
        <v>43555</v>
      </c>
      <c r="W3403" s="92" t="s">
        <v>409</v>
      </c>
      <c r="X3403" s="90"/>
      <c r="Y3403" s="123"/>
      <c r="Z3403" s="30">
        <f t="shared" si="106"/>
        <v>6763.7822038320437</v>
      </c>
      <c r="AA3403" s="30">
        <f t="shared" si="107"/>
        <v>2113.6819386975139</v>
      </c>
      <c r="AB3403" t="s">
        <v>457</v>
      </c>
    </row>
    <row r="3404" spans="1:28">
      <c r="A3404" t="s">
        <v>113</v>
      </c>
      <c r="C3404" s="92">
        <v>4615509176</v>
      </c>
      <c r="D3404" s="93">
        <v>19175</v>
      </c>
      <c r="F3404" s="91">
        <v>16</v>
      </c>
      <c r="G3404" s="96">
        <v>5</v>
      </c>
      <c r="H3404" s="91">
        <v>0</v>
      </c>
      <c r="I3404" s="91">
        <v>0</v>
      </c>
      <c r="J3404" s="41"/>
      <c r="K3404" s="41">
        <v>43555</v>
      </c>
      <c r="L3404" s="69" t="s">
        <v>80</v>
      </c>
      <c r="M3404" s="69" t="s">
        <v>286</v>
      </c>
      <c r="N3404" s="95"/>
      <c r="P3404" t="s">
        <v>95</v>
      </c>
      <c r="Q3404" t="s">
        <v>133</v>
      </c>
      <c r="R3404" s="92" t="s">
        <v>69</v>
      </c>
      <c r="S3404" s="92" t="s">
        <v>115</v>
      </c>
      <c r="V3404" s="95">
        <v>43555</v>
      </c>
      <c r="W3404" s="92" t="s">
        <v>409</v>
      </c>
      <c r="X3404" s="90"/>
      <c r="Y3404" s="123"/>
      <c r="Z3404" s="30">
        <f t="shared" si="106"/>
        <v>6763.7822038320437</v>
      </c>
      <c r="AA3404" s="30">
        <f t="shared" si="107"/>
        <v>2113.6819386975139</v>
      </c>
      <c r="AB3404" t="s">
        <v>457</v>
      </c>
    </row>
    <row r="3405" spans="1:28">
      <c r="A3405" t="s">
        <v>113</v>
      </c>
      <c r="C3405" s="92">
        <v>4615509176</v>
      </c>
      <c r="D3405" s="93">
        <v>19175</v>
      </c>
      <c r="F3405" s="91">
        <v>16</v>
      </c>
      <c r="G3405" s="96">
        <v>5</v>
      </c>
      <c r="H3405" s="91">
        <v>0</v>
      </c>
      <c r="I3405" s="91">
        <v>0</v>
      </c>
      <c r="J3405" s="41"/>
      <c r="K3405" s="41">
        <v>43555</v>
      </c>
      <c r="L3405" s="69" t="s">
        <v>80</v>
      </c>
      <c r="M3405" s="69" t="s">
        <v>286</v>
      </c>
      <c r="N3405" s="95"/>
      <c r="P3405" t="s">
        <v>95</v>
      </c>
      <c r="Q3405" t="s">
        <v>133</v>
      </c>
      <c r="R3405" s="92" t="s">
        <v>69</v>
      </c>
      <c r="S3405" s="92" t="s">
        <v>115</v>
      </c>
      <c r="V3405" s="95">
        <v>43555</v>
      </c>
      <c r="W3405" s="92" t="s">
        <v>409</v>
      </c>
      <c r="X3405" s="90"/>
      <c r="Y3405" s="123"/>
      <c r="Z3405" s="30">
        <f t="shared" si="106"/>
        <v>6763.7822038320437</v>
      </c>
      <c r="AA3405" s="30">
        <f t="shared" si="107"/>
        <v>2113.6819386975139</v>
      </c>
      <c r="AB3405" t="s">
        <v>457</v>
      </c>
    </row>
    <row r="3406" spans="1:28">
      <c r="A3406" t="s">
        <v>113</v>
      </c>
      <c r="C3406" s="92">
        <v>4615509176</v>
      </c>
      <c r="D3406" s="93">
        <v>19175</v>
      </c>
      <c r="F3406" s="91">
        <v>16</v>
      </c>
      <c r="G3406" s="96">
        <v>5</v>
      </c>
      <c r="H3406" s="91">
        <v>0</v>
      </c>
      <c r="I3406" s="91">
        <v>0</v>
      </c>
      <c r="J3406" s="41"/>
      <c r="K3406" s="41">
        <v>43555</v>
      </c>
      <c r="L3406" s="69" t="s">
        <v>80</v>
      </c>
      <c r="M3406" s="69" t="s">
        <v>286</v>
      </c>
      <c r="N3406" s="95"/>
      <c r="P3406" t="s">
        <v>95</v>
      </c>
      <c r="Q3406" t="s">
        <v>133</v>
      </c>
      <c r="R3406" s="92" t="s">
        <v>69</v>
      </c>
      <c r="S3406" s="92" t="s">
        <v>115</v>
      </c>
      <c r="V3406" s="95">
        <v>43555</v>
      </c>
      <c r="W3406" s="92" t="s">
        <v>409</v>
      </c>
      <c r="X3406" s="90"/>
      <c r="Y3406" s="123"/>
      <c r="Z3406" s="30">
        <f t="shared" si="106"/>
        <v>6763.7822038320437</v>
      </c>
      <c r="AA3406" s="30">
        <f t="shared" si="107"/>
        <v>2113.6819386975139</v>
      </c>
      <c r="AB3406" t="s">
        <v>457</v>
      </c>
    </row>
    <row r="3407" spans="1:28">
      <c r="A3407" t="s">
        <v>113</v>
      </c>
      <c r="C3407" s="92">
        <v>4615509176</v>
      </c>
      <c r="D3407" s="93">
        <v>19175</v>
      </c>
      <c r="F3407" s="91">
        <v>16</v>
      </c>
      <c r="G3407" s="96">
        <v>5</v>
      </c>
      <c r="H3407" s="91">
        <v>0</v>
      </c>
      <c r="I3407" s="91">
        <v>0</v>
      </c>
      <c r="J3407" s="41"/>
      <c r="K3407" s="41">
        <v>43555</v>
      </c>
      <c r="L3407" s="69" t="s">
        <v>80</v>
      </c>
      <c r="M3407" s="69" t="s">
        <v>286</v>
      </c>
      <c r="N3407" s="95"/>
      <c r="P3407" t="s">
        <v>95</v>
      </c>
      <c r="Q3407" t="s">
        <v>133</v>
      </c>
      <c r="R3407" s="92" t="s">
        <v>69</v>
      </c>
      <c r="S3407" s="92" t="s">
        <v>115</v>
      </c>
      <c r="V3407" s="95">
        <v>43555</v>
      </c>
      <c r="W3407" s="92" t="s">
        <v>409</v>
      </c>
      <c r="X3407" s="90"/>
      <c r="Y3407" s="123"/>
      <c r="Z3407" s="30">
        <f t="shared" si="106"/>
        <v>6763.7822038320437</v>
      </c>
      <c r="AA3407" s="30">
        <f t="shared" si="107"/>
        <v>2113.6819386975139</v>
      </c>
      <c r="AB3407" t="s">
        <v>457</v>
      </c>
    </row>
    <row r="3408" spans="1:28">
      <c r="A3408" t="s">
        <v>113</v>
      </c>
      <c r="C3408" s="92">
        <v>4615509176</v>
      </c>
      <c r="D3408" s="93">
        <v>19175</v>
      </c>
      <c r="F3408" s="91">
        <v>16</v>
      </c>
      <c r="G3408" s="96">
        <v>5</v>
      </c>
      <c r="H3408" s="91">
        <v>0</v>
      </c>
      <c r="I3408" s="91">
        <v>0</v>
      </c>
      <c r="J3408" s="41"/>
      <c r="K3408" s="41">
        <v>43555</v>
      </c>
      <c r="L3408" s="69" t="s">
        <v>80</v>
      </c>
      <c r="M3408" s="69" t="s">
        <v>286</v>
      </c>
      <c r="N3408" s="95"/>
      <c r="P3408" t="s">
        <v>95</v>
      </c>
      <c r="Q3408" t="s">
        <v>133</v>
      </c>
      <c r="R3408" s="92" t="s">
        <v>69</v>
      </c>
      <c r="S3408" s="92" t="s">
        <v>115</v>
      </c>
      <c r="V3408" s="95">
        <v>43555</v>
      </c>
      <c r="W3408" s="92" t="s">
        <v>409</v>
      </c>
      <c r="X3408" s="90"/>
      <c r="Y3408" s="123"/>
      <c r="Z3408" s="30">
        <f t="shared" si="106"/>
        <v>6763.7822038320437</v>
      </c>
      <c r="AA3408" s="30">
        <f t="shared" si="107"/>
        <v>2113.6819386975139</v>
      </c>
      <c r="AB3408" t="s">
        <v>457</v>
      </c>
    </row>
    <row r="3409" spans="1:28">
      <c r="A3409" t="s">
        <v>122</v>
      </c>
      <c r="C3409" s="92">
        <v>4615491303</v>
      </c>
      <c r="D3409" s="93">
        <v>19200</v>
      </c>
      <c r="F3409" s="94">
        <v>16</v>
      </c>
      <c r="G3409" s="94">
        <v>5</v>
      </c>
      <c r="H3409" s="91">
        <v>0</v>
      </c>
      <c r="I3409" s="91">
        <v>0</v>
      </c>
      <c r="J3409" s="41"/>
      <c r="K3409" s="41">
        <v>43585</v>
      </c>
      <c r="L3409" s="69" t="s">
        <v>80</v>
      </c>
      <c r="M3409" s="69" t="s">
        <v>286</v>
      </c>
      <c r="N3409" s="95"/>
      <c r="P3409" t="s">
        <v>95</v>
      </c>
      <c r="Q3409" t="s">
        <v>120</v>
      </c>
      <c r="R3409" s="92" t="s">
        <v>69</v>
      </c>
      <c r="S3409" s="92" t="s">
        <v>394</v>
      </c>
      <c r="V3409" s="95">
        <v>43585</v>
      </c>
      <c r="W3409" s="92">
        <v>2033915</v>
      </c>
      <c r="X3409" s="90"/>
      <c r="Y3409" s="123"/>
      <c r="Z3409" s="30">
        <f t="shared" si="106"/>
        <v>6772.6006943194379</v>
      </c>
      <c r="AA3409" s="30">
        <f t="shared" si="107"/>
        <v>2116.4377169748245</v>
      </c>
      <c r="AB3409" t="s">
        <v>457</v>
      </c>
    </row>
    <row r="3410" spans="1:28">
      <c r="A3410" t="s">
        <v>122</v>
      </c>
      <c r="C3410" s="92">
        <v>4615491303</v>
      </c>
      <c r="D3410" s="93">
        <v>19200</v>
      </c>
      <c r="F3410" s="94">
        <v>16</v>
      </c>
      <c r="G3410" s="94">
        <v>5</v>
      </c>
      <c r="H3410" s="91">
        <v>0</v>
      </c>
      <c r="I3410" s="91">
        <v>0</v>
      </c>
      <c r="J3410" s="41"/>
      <c r="K3410" s="41">
        <v>43585</v>
      </c>
      <c r="L3410" s="69" t="s">
        <v>80</v>
      </c>
      <c r="M3410" s="69" t="s">
        <v>286</v>
      </c>
      <c r="N3410" s="95"/>
      <c r="P3410" t="s">
        <v>95</v>
      </c>
      <c r="Q3410" t="s">
        <v>120</v>
      </c>
      <c r="R3410" s="92" t="s">
        <v>69</v>
      </c>
      <c r="S3410" s="92" t="s">
        <v>394</v>
      </c>
      <c r="V3410" s="95">
        <v>43585</v>
      </c>
      <c r="W3410" s="92">
        <v>2033915</v>
      </c>
      <c r="X3410" s="90"/>
      <c r="Y3410" s="123"/>
      <c r="Z3410" s="30">
        <f t="shared" si="106"/>
        <v>6772.6006943194379</v>
      </c>
      <c r="AA3410" s="30">
        <f t="shared" si="107"/>
        <v>2116.4377169748245</v>
      </c>
      <c r="AB3410" t="s">
        <v>457</v>
      </c>
    </row>
    <row r="3411" spans="1:28">
      <c r="A3411" t="s">
        <v>122</v>
      </c>
      <c r="C3411" s="92">
        <v>4615491303</v>
      </c>
      <c r="D3411" s="93">
        <v>19200</v>
      </c>
      <c r="F3411" s="94">
        <v>16</v>
      </c>
      <c r="G3411" s="94">
        <v>5</v>
      </c>
      <c r="H3411" s="91">
        <v>0</v>
      </c>
      <c r="I3411" s="91">
        <v>0</v>
      </c>
      <c r="J3411" s="41"/>
      <c r="K3411" s="41">
        <v>43585</v>
      </c>
      <c r="L3411" s="69" t="s">
        <v>80</v>
      </c>
      <c r="M3411" s="69" t="s">
        <v>286</v>
      </c>
      <c r="N3411" s="95"/>
      <c r="P3411" t="s">
        <v>95</v>
      </c>
      <c r="Q3411" t="s">
        <v>120</v>
      </c>
      <c r="R3411" s="92" t="s">
        <v>69</v>
      </c>
      <c r="S3411" s="92" t="s">
        <v>394</v>
      </c>
      <c r="V3411" s="95">
        <v>43585</v>
      </c>
      <c r="W3411" s="92">
        <v>2033915</v>
      </c>
      <c r="X3411" s="90"/>
      <c r="Y3411" s="123"/>
      <c r="Z3411" s="30">
        <f t="shared" si="106"/>
        <v>6772.6006943194379</v>
      </c>
      <c r="AA3411" s="30">
        <f t="shared" si="107"/>
        <v>2116.4377169748245</v>
      </c>
      <c r="AB3411" t="s">
        <v>457</v>
      </c>
    </row>
    <row r="3412" spans="1:28">
      <c r="A3412" t="s">
        <v>122</v>
      </c>
      <c r="C3412" s="92">
        <v>4615491303</v>
      </c>
      <c r="D3412" s="93">
        <v>19200</v>
      </c>
      <c r="F3412" s="94">
        <v>16</v>
      </c>
      <c r="G3412" s="94">
        <v>5</v>
      </c>
      <c r="H3412" s="91">
        <v>0</v>
      </c>
      <c r="I3412" s="91">
        <v>0</v>
      </c>
      <c r="J3412" s="41"/>
      <c r="K3412" s="41">
        <v>43585</v>
      </c>
      <c r="L3412" s="69" t="s">
        <v>80</v>
      </c>
      <c r="M3412" s="69" t="s">
        <v>286</v>
      </c>
      <c r="N3412" s="95"/>
      <c r="P3412" t="s">
        <v>95</v>
      </c>
      <c r="Q3412" t="s">
        <v>120</v>
      </c>
      <c r="R3412" s="92" t="s">
        <v>69</v>
      </c>
      <c r="S3412" s="92" t="s">
        <v>394</v>
      </c>
      <c r="V3412" s="95">
        <v>43585</v>
      </c>
      <c r="W3412" s="92">
        <v>2033915</v>
      </c>
      <c r="X3412" s="90"/>
      <c r="Y3412" s="123"/>
      <c r="Z3412" s="30">
        <f t="shared" si="106"/>
        <v>6772.6006943194379</v>
      </c>
      <c r="AA3412" s="30">
        <f t="shared" si="107"/>
        <v>2116.4377169748245</v>
      </c>
      <c r="AB3412" t="s">
        <v>457</v>
      </c>
    </row>
    <row r="3413" spans="1:28">
      <c r="A3413" t="s">
        <v>122</v>
      </c>
      <c r="C3413" s="92">
        <v>4615491303</v>
      </c>
      <c r="D3413" s="93">
        <v>19200</v>
      </c>
      <c r="F3413" s="94">
        <v>16</v>
      </c>
      <c r="G3413" s="94">
        <v>5</v>
      </c>
      <c r="H3413" s="91">
        <v>0</v>
      </c>
      <c r="I3413" s="91">
        <v>0</v>
      </c>
      <c r="J3413" s="41"/>
      <c r="K3413" s="41">
        <v>43585</v>
      </c>
      <c r="L3413" s="69" t="s">
        <v>80</v>
      </c>
      <c r="M3413" s="69" t="s">
        <v>286</v>
      </c>
      <c r="N3413" s="95"/>
      <c r="P3413" t="s">
        <v>95</v>
      </c>
      <c r="Q3413" t="s">
        <v>120</v>
      </c>
      <c r="R3413" s="92" t="s">
        <v>69</v>
      </c>
      <c r="S3413" s="92" t="s">
        <v>394</v>
      </c>
      <c r="V3413" s="95">
        <v>43585</v>
      </c>
      <c r="W3413" s="92">
        <v>2033915</v>
      </c>
      <c r="X3413" s="90"/>
      <c r="Y3413" s="123"/>
      <c r="Z3413" s="30">
        <f t="shared" si="106"/>
        <v>6772.6006943194379</v>
      </c>
      <c r="AA3413" s="30">
        <f t="shared" si="107"/>
        <v>2116.4377169748245</v>
      </c>
      <c r="AB3413" t="s">
        <v>457</v>
      </c>
    </row>
    <row r="3414" spans="1:28">
      <c r="A3414" t="s">
        <v>122</v>
      </c>
      <c r="C3414" s="92">
        <v>4615491303</v>
      </c>
      <c r="D3414" s="93">
        <v>19200</v>
      </c>
      <c r="F3414" s="94">
        <v>16</v>
      </c>
      <c r="G3414" s="94">
        <v>5</v>
      </c>
      <c r="H3414" s="91">
        <v>0</v>
      </c>
      <c r="I3414" s="91">
        <v>0</v>
      </c>
      <c r="J3414" s="41"/>
      <c r="K3414" s="41">
        <v>43585</v>
      </c>
      <c r="L3414" s="69" t="s">
        <v>80</v>
      </c>
      <c r="M3414" s="69" t="s">
        <v>286</v>
      </c>
      <c r="N3414" s="95"/>
      <c r="P3414" t="s">
        <v>95</v>
      </c>
      <c r="Q3414" t="s">
        <v>120</v>
      </c>
      <c r="R3414" s="92" t="s">
        <v>69</v>
      </c>
      <c r="S3414" s="92" t="s">
        <v>394</v>
      </c>
      <c r="V3414" s="95">
        <v>43585</v>
      </c>
      <c r="W3414" s="92">
        <v>2033915</v>
      </c>
      <c r="X3414" s="90"/>
      <c r="Y3414" s="123"/>
      <c r="Z3414" s="30">
        <f t="shared" si="106"/>
        <v>6772.6006943194379</v>
      </c>
      <c r="AA3414" s="30">
        <f t="shared" si="107"/>
        <v>2116.4377169748245</v>
      </c>
      <c r="AB3414" t="s">
        <v>457</v>
      </c>
    </row>
    <row r="3415" spans="1:28">
      <c r="A3415" t="s">
        <v>122</v>
      </c>
      <c r="C3415" s="92">
        <v>4615491303</v>
      </c>
      <c r="D3415" s="93">
        <v>19200</v>
      </c>
      <c r="F3415" s="94">
        <v>16</v>
      </c>
      <c r="G3415" s="94">
        <v>5</v>
      </c>
      <c r="H3415" s="91">
        <v>0</v>
      </c>
      <c r="I3415" s="91">
        <v>0</v>
      </c>
      <c r="J3415" s="41"/>
      <c r="K3415" s="41">
        <v>43585</v>
      </c>
      <c r="L3415" s="69" t="s">
        <v>80</v>
      </c>
      <c r="M3415" s="69" t="s">
        <v>286</v>
      </c>
      <c r="N3415" s="95"/>
      <c r="P3415" t="s">
        <v>95</v>
      </c>
      <c r="Q3415" t="s">
        <v>120</v>
      </c>
      <c r="R3415" s="92" t="s">
        <v>69</v>
      </c>
      <c r="S3415" s="92" t="s">
        <v>394</v>
      </c>
      <c r="V3415" s="95">
        <v>43585</v>
      </c>
      <c r="W3415" s="92">
        <v>2033915</v>
      </c>
      <c r="X3415" s="90"/>
      <c r="Y3415" s="123"/>
      <c r="Z3415" s="30">
        <f t="shared" si="106"/>
        <v>6772.6006943194379</v>
      </c>
      <c r="AA3415" s="30">
        <f t="shared" si="107"/>
        <v>2116.4377169748245</v>
      </c>
      <c r="AB3415" t="s">
        <v>457</v>
      </c>
    </row>
    <row r="3416" spans="1:28">
      <c r="A3416" t="s">
        <v>122</v>
      </c>
      <c r="C3416" s="92">
        <v>4615491303</v>
      </c>
      <c r="D3416" s="93">
        <v>19200</v>
      </c>
      <c r="F3416" s="94">
        <v>16</v>
      </c>
      <c r="G3416" s="94">
        <v>5</v>
      </c>
      <c r="H3416" s="91">
        <v>0</v>
      </c>
      <c r="I3416" s="91">
        <v>0</v>
      </c>
      <c r="J3416" s="41"/>
      <c r="K3416" s="41">
        <v>43585</v>
      </c>
      <c r="L3416" s="69" t="s">
        <v>80</v>
      </c>
      <c r="M3416" s="69" t="s">
        <v>286</v>
      </c>
      <c r="N3416" s="95"/>
      <c r="P3416" t="s">
        <v>95</v>
      </c>
      <c r="Q3416" t="s">
        <v>120</v>
      </c>
      <c r="R3416" s="92" t="s">
        <v>69</v>
      </c>
      <c r="S3416" s="92" t="s">
        <v>394</v>
      </c>
      <c r="V3416" s="95">
        <v>43585</v>
      </c>
      <c r="W3416" s="92">
        <v>2033915</v>
      </c>
      <c r="X3416" s="90"/>
      <c r="Y3416" s="123"/>
      <c r="Z3416" s="30">
        <f t="shared" si="106"/>
        <v>6772.6006943194379</v>
      </c>
      <c r="AA3416" s="30">
        <f t="shared" si="107"/>
        <v>2116.4377169748245</v>
      </c>
      <c r="AB3416" t="s">
        <v>457</v>
      </c>
    </row>
    <row r="3417" spans="1:28">
      <c r="A3417" t="s">
        <v>122</v>
      </c>
      <c r="C3417" s="92">
        <v>4615491303</v>
      </c>
      <c r="D3417" s="93">
        <v>19200</v>
      </c>
      <c r="F3417" s="94">
        <v>16</v>
      </c>
      <c r="G3417" s="94">
        <v>5</v>
      </c>
      <c r="H3417" s="91">
        <v>0</v>
      </c>
      <c r="I3417" s="91">
        <v>0</v>
      </c>
      <c r="J3417" s="41"/>
      <c r="K3417" s="41">
        <v>43585</v>
      </c>
      <c r="L3417" s="69" t="s">
        <v>80</v>
      </c>
      <c r="M3417" s="69" t="s">
        <v>286</v>
      </c>
      <c r="N3417" s="95"/>
      <c r="P3417" t="s">
        <v>95</v>
      </c>
      <c r="Q3417" t="s">
        <v>120</v>
      </c>
      <c r="R3417" s="92" t="s">
        <v>69</v>
      </c>
      <c r="S3417" s="92" t="s">
        <v>394</v>
      </c>
      <c r="V3417" s="95">
        <v>43585</v>
      </c>
      <c r="W3417" s="92">
        <v>2033915</v>
      </c>
      <c r="X3417" s="90"/>
      <c r="Y3417" s="123"/>
      <c r="Z3417" s="30">
        <f t="shared" si="106"/>
        <v>6772.6006943194379</v>
      </c>
      <c r="AA3417" s="30">
        <f t="shared" si="107"/>
        <v>2116.4377169748245</v>
      </c>
      <c r="AB3417" t="s">
        <v>457</v>
      </c>
    </row>
    <row r="3418" spans="1:28">
      <c r="A3418" t="s">
        <v>122</v>
      </c>
      <c r="C3418" s="92">
        <v>4615491303</v>
      </c>
      <c r="D3418" s="93">
        <v>19200</v>
      </c>
      <c r="F3418" s="94">
        <v>16</v>
      </c>
      <c r="G3418" s="94">
        <v>5</v>
      </c>
      <c r="H3418" s="91">
        <v>0</v>
      </c>
      <c r="I3418" s="91">
        <v>0</v>
      </c>
      <c r="J3418" s="41"/>
      <c r="K3418" s="41">
        <v>43585</v>
      </c>
      <c r="L3418" s="69" t="s">
        <v>80</v>
      </c>
      <c r="M3418" s="69" t="s">
        <v>286</v>
      </c>
      <c r="N3418" s="95"/>
      <c r="P3418" t="s">
        <v>95</v>
      </c>
      <c r="Q3418" t="s">
        <v>120</v>
      </c>
      <c r="R3418" s="92" t="s">
        <v>69</v>
      </c>
      <c r="S3418" s="92" t="s">
        <v>394</v>
      </c>
      <c r="V3418" s="95">
        <v>43585</v>
      </c>
      <c r="W3418" s="92">
        <v>2033915</v>
      </c>
      <c r="X3418" s="90"/>
      <c r="Y3418" s="123"/>
      <c r="Z3418" s="30">
        <f t="shared" si="106"/>
        <v>6772.6006943194379</v>
      </c>
      <c r="AA3418" s="30">
        <f t="shared" si="107"/>
        <v>2116.4377169748245</v>
      </c>
      <c r="AB3418" t="s">
        <v>457</v>
      </c>
    </row>
    <row r="3419" spans="1:28">
      <c r="A3419" t="s">
        <v>122</v>
      </c>
      <c r="C3419" s="92">
        <v>4615491303</v>
      </c>
      <c r="D3419" s="93">
        <v>19200</v>
      </c>
      <c r="F3419" s="94">
        <v>16</v>
      </c>
      <c r="G3419" s="94">
        <v>5</v>
      </c>
      <c r="H3419" s="91">
        <v>0</v>
      </c>
      <c r="I3419" s="91">
        <v>0</v>
      </c>
      <c r="J3419" s="41"/>
      <c r="K3419" s="41">
        <v>43585</v>
      </c>
      <c r="L3419" s="69" t="s">
        <v>80</v>
      </c>
      <c r="M3419" s="69" t="s">
        <v>286</v>
      </c>
      <c r="N3419" s="95"/>
      <c r="P3419" t="s">
        <v>95</v>
      </c>
      <c r="Q3419" t="s">
        <v>120</v>
      </c>
      <c r="R3419" s="92" t="s">
        <v>69</v>
      </c>
      <c r="S3419" s="92" t="s">
        <v>394</v>
      </c>
      <c r="V3419" s="95">
        <v>43585</v>
      </c>
      <c r="W3419" s="92">
        <v>2033915</v>
      </c>
      <c r="X3419" s="90"/>
      <c r="Y3419" s="123"/>
      <c r="Z3419" s="30">
        <f t="shared" si="106"/>
        <v>6772.6006943194379</v>
      </c>
      <c r="AA3419" s="30">
        <f t="shared" si="107"/>
        <v>2116.4377169748245</v>
      </c>
      <c r="AB3419" t="s">
        <v>457</v>
      </c>
    </row>
    <row r="3420" spans="1:28">
      <c r="A3420" t="s">
        <v>122</v>
      </c>
      <c r="C3420" s="92">
        <v>4615491303</v>
      </c>
      <c r="D3420" s="93">
        <v>19200</v>
      </c>
      <c r="F3420" s="94">
        <v>16</v>
      </c>
      <c r="G3420" s="94">
        <v>5</v>
      </c>
      <c r="H3420" s="91">
        <v>0</v>
      </c>
      <c r="I3420" s="91">
        <v>0</v>
      </c>
      <c r="J3420" s="41"/>
      <c r="K3420" s="41">
        <v>43585</v>
      </c>
      <c r="L3420" s="69" t="s">
        <v>80</v>
      </c>
      <c r="M3420" s="69" t="s">
        <v>286</v>
      </c>
      <c r="N3420" s="95"/>
      <c r="P3420" t="s">
        <v>95</v>
      </c>
      <c r="Q3420" t="s">
        <v>120</v>
      </c>
      <c r="R3420" s="92" t="s">
        <v>69</v>
      </c>
      <c r="S3420" s="92" t="s">
        <v>394</v>
      </c>
      <c r="V3420" s="95">
        <v>43585</v>
      </c>
      <c r="W3420" s="92">
        <v>2033915</v>
      </c>
      <c r="X3420" s="90"/>
      <c r="Y3420" s="123"/>
      <c r="Z3420" s="30">
        <f t="shared" si="106"/>
        <v>6772.6006943194379</v>
      </c>
      <c r="AA3420" s="30">
        <f t="shared" si="107"/>
        <v>2116.4377169748245</v>
      </c>
      <c r="AB3420" t="s">
        <v>457</v>
      </c>
    </row>
    <row r="3421" spans="1:28">
      <c r="A3421" t="s">
        <v>122</v>
      </c>
      <c r="C3421" s="92">
        <v>4615446412</v>
      </c>
      <c r="D3421" s="93">
        <v>19200</v>
      </c>
      <c r="F3421" s="91">
        <v>16</v>
      </c>
      <c r="G3421" s="96">
        <v>5</v>
      </c>
      <c r="H3421" s="94">
        <v>0</v>
      </c>
      <c r="I3421" s="91">
        <v>0</v>
      </c>
      <c r="J3421" s="41"/>
      <c r="K3421" s="41">
        <v>43585</v>
      </c>
      <c r="L3421" s="69" t="s">
        <v>80</v>
      </c>
      <c r="M3421" s="69" t="s">
        <v>286</v>
      </c>
      <c r="N3421" s="95"/>
      <c r="P3421" t="s">
        <v>95</v>
      </c>
      <c r="Q3421" t="s">
        <v>120</v>
      </c>
      <c r="R3421" s="92" t="s">
        <v>69</v>
      </c>
      <c r="S3421" s="92" t="s">
        <v>395</v>
      </c>
      <c r="V3421" s="95">
        <v>43585</v>
      </c>
      <c r="W3421" s="92">
        <v>2033925</v>
      </c>
      <c r="X3421" s="90"/>
      <c r="Y3421" s="123"/>
      <c r="Z3421" s="30">
        <f t="shared" si="106"/>
        <v>6772.6006943194379</v>
      </c>
      <c r="AA3421" s="30">
        <f t="shared" si="107"/>
        <v>2116.4377169748245</v>
      </c>
      <c r="AB3421" t="s">
        <v>457</v>
      </c>
    </row>
    <row r="3422" spans="1:28">
      <c r="A3422" t="s">
        <v>122</v>
      </c>
      <c r="C3422" s="92">
        <v>4615446412</v>
      </c>
      <c r="D3422" s="93">
        <v>19200</v>
      </c>
      <c r="F3422" s="91">
        <v>16</v>
      </c>
      <c r="G3422" s="96">
        <v>5</v>
      </c>
      <c r="H3422" s="94">
        <v>0</v>
      </c>
      <c r="I3422" s="91">
        <v>0</v>
      </c>
      <c r="J3422" s="41"/>
      <c r="K3422" s="41">
        <v>43585</v>
      </c>
      <c r="L3422" s="69" t="s">
        <v>80</v>
      </c>
      <c r="M3422" s="69" t="s">
        <v>286</v>
      </c>
      <c r="N3422" s="95"/>
      <c r="P3422" t="s">
        <v>95</v>
      </c>
      <c r="Q3422" t="s">
        <v>120</v>
      </c>
      <c r="R3422" s="92" t="s">
        <v>69</v>
      </c>
      <c r="S3422" s="92" t="s">
        <v>395</v>
      </c>
      <c r="V3422" s="95">
        <v>43585</v>
      </c>
      <c r="W3422" s="92">
        <v>2033925</v>
      </c>
      <c r="X3422" s="90"/>
      <c r="Y3422" s="123"/>
      <c r="Z3422" s="30">
        <f t="shared" si="106"/>
        <v>6772.6006943194379</v>
      </c>
      <c r="AA3422" s="30">
        <f t="shared" si="107"/>
        <v>2116.4377169748245</v>
      </c>
      <c r="AB3422" t="s">
        <v>457</v>
      </c>
    </row>
    <row r="3423" spans="1:28">
      <c r="A3423" t="s">
        <v>122</v>
      </c>
      <c r="C3423" s="92">
        <v>4615446412</v>
      </c>
      <c r="D3423" s="93">
        <v>19200</v>
      </c>
      <c r="F3423" s="91">
        <v>16</v>
      </c>
      <c r="G3423" s="96">
        <v>5</v>
      </c>
      <c r="H3423" s="94">
        <v>0</v>
      </c>
      <c r="I3423" s="91">
        <v>0</v>
      </c>
      <c r="J3423" s="41"/>
      <c r="K3423" s="41">
        <v>43585</v>
      </c>
      <c r="L3423" s="69" t="s">
        <v>80</v>
      </c>
      <c r="M3423" s="69" t="s">
        <v>286</v>
      </c>
      <c r="N3423" s="95"/>
      <c r="P3423" t="s">
        <v>95</v>
      </c>
      <c r="Q3423" t="s">
        <v>120</v>
      </c>
      <c r="R3423" s="92" t="s">
        <v>69</v>
      </c>
      <c r="S3423" s="92" t="s">
        <v>395</v>
      </c>
      <c r="V3423" s="95">
        <v>43585</v>
      </c>
      <c r="W3423" s="92">
        <v>2033925</v>
      </c>
      <c r="X3423" s="90"/>
      <c r="Y3423" s="123"/>
      <c r="Z3423" s="30">
        <f t="shared" si="106"/>
        <v>6772.6006943194379</v>
      </c>
      <c r="AA3423" s="30">
        <f t="shared" si="107"/>
        <v>2116.4377169748245</v>
      </c>
      <c r="AB3423" t="s">
        <v>457</v>
      </c>
    </row>
    <row r="3424" spans="1:28">
      <c r="A3424" t="s">
        <v>122</v>
      </c>
      <c r="C3424" s="92">
        <v>4615446412</v>
      </c>
      <c r="D3424" s="93">
        <v>19200</v>
      </c>
      <c r="F3424" s="91">
        <v>16</v>
      </c>
      <c r="G3424" s="96">
        <v>5</v>
      </c>
      <c r="H3424" s="94">
        <v>0</v>
      </c>
      <c r="I3424" s="91">
        <v>0</v>
      </c>
      <c r="J3424" s="41"/>
      <c r="K3424" s="41">
        <v>43585</v>
      </c>
      <c r="L3424" s="69" t="s">
        <v>80</v>
      </c>
      <c r="M3424" s="69" t="s">
        <v>286</v>
      </c>
      <c r="N3424" s="95"/>
      <c r="P3424" t="s">
        <v>95</v>
      </c>
      <c r="Q3424" t="s">
        <v>120</v>
      </c>
      <c r="R3424" s="92" t="s">
        <v>69</v>
      </c>
      <c r="S3424" s="92" t="s">
        <v>395</v>
      </c>
      <c r="V3424" s="95">
        <v>43585</v>
      </c>
      <c r="W3424" s="92">
        <v>2033925</v>
      </c>
      <c r="X3424" s="90"/>
      <c r="Y3424" s="123"/>
      <c r="Z3424" s="30">
        <f t="shared" si="106"/>
        <v>6772.6006943194379</v>
      </c>
      <c r="AA3424" s="30">
        <f t="shared" si="107"/>
        <v>2116.4377169748245</v>
      </c>
      <c r="AB3424" t="s">
        <v>457</v>
      </c>
    </row>
    <row r="3425" spans="1:28">
      <c r="A3425" t="s">
        <v>122</v>
      </c>
      <c r="C3425" s="92">
        <v>4615446412</v>
      </c>
      <c r="D3425" s="93">
        <v>19200</v>
      </c>
      <c r="F3425" s="91">
        <v>16</v>
      </c>
      <c r="G3425" s="96">
        <v>5</v>
      </c>
      <c r="H3425" s="94">
        <v>0</v>
      </c>
      <c r="I3425" s="91">
        <v>0</v>
      </c>
      <c r="J3425" s="41"/>
      <c r="K3425" s="41">
        <v>43585</v>
      </c>
      <c r="L3425" s="69" t="s">
        <v>80</v>
      </c>
      <c r="M3425" s="69" t="s">
        <v>286</v>
      </c>
      <c r="N3425" s="95"/>
      <c r="P3425" t="s">
        <v>95</v>
      </c>
      <c r="Q3425" t="s">
        <v>120</v>
      </c>
      <c r="R3425" s="92" t="s">
        <v>69</v>
      </c>
      <c r="S3425" s="92" t="s">
        <v>395</v>
      </c>
      <c r="V3425" s="95">
        <v>43585</v>
      </c>
      <c r="W3425" s="92">
        <v>2033925</v>
      </c>
      <c r="X3425" s="90"/>
      <c r="Y3425" s="123"/>
      <c r="Z3425" s="30">
        <f t="shared" si="106"/>
        <v>6772.6006943194379</v>
      </c>
      <c r="AA3425" s="30">
        <f t="shared" si="107"/>
        <v>2116.4377169748245</v>
      </c>
      <c r="AB3425" t="s">
        <v>457</v>
      </c>
    </row>
    <row r="3426" spans="1:28">
      <c r="A3426" t="s">
        <v>122</v>
      </c>
      <c r="C3426" s="92">
        <v>4615446412</v>
      </c>
      <c r="D3426" s="93">
        <v>19200</v>
      </c>
      <c r="F3426" s="91">
        <v>16</v>
      </c>
      <c r="G3426" s="96">
        <v>5</v>
      </c>
      <c r="H3426" s="94">
        <v>0</v>
      </c>
      <c r="I3426" s="91">
        <v>0</v>
      </c>
      <c r="J3426" s="41"/>
      <c r="K3426" s="41">
        <v>43585</v>
      </c>
      <c r="L3426" s="69" t="s">
        <v>80</v>
      </c>
      <c r="M3426" s="69" t="s">
        <v>286</v>
      </c>
      <c r="N3426" s="95"/>
      <c r="P3426" t="s">
        <v>95</v>
      </c>
      <c r="Q3426" t="s">
        <v>120</v>
      </c>
      <c r="R3426" s="92" t="s">
        <v>69</v>
      </c>
      <c r="S3426" s="92" t="s">
        <v>395</v>
      </c>
      <c r="V3426" s="95">
        <v>43585</v>
      </c>
      <c r="W3426" s="92">
        <v>2033925</v>
      </c>
      <c r="X3426" s="90"/>
      <c r="Y3426" s="123"/>
      <c r="Z3426" s="30">
        <f t="shared" si="106"/>
        <v>6772.6006943194379</v>
      </c>
      <c r="AA3426" s="30">
        <f t="shared" si="107"/>
        <v>2116.4377169748245</v>
      </c>
      <c r="AB3426" t="s">
        <v>457</v>
      </c>
    </row>
    <row r="3427" spans="1:28">
      <c r="A3427" t="s">
        <v>122</v>
      </c>
      <c r="C3427" s="92">
        <v>4615446412</v>
      </c>
      <c r="D3427" s="93">
        <v>19200</v>
      </c>
      <c r="F3427" s="91">
        <v>16</v>
      </c>
      <c r="G3427" s="96">
        <v>5</v>
      </c>
      <c r="H3427" s="94">
        <v>0</v>
      </c>
      <c r="I3427" s="91">
        <v>0</v>
      </c>
      <c r="J3427" s="41"/>
      <c r="K3427" s="41">
        <v>43585</v>
      </c>
      <c r="L3427" s="69" t="s">
        <v>80</v>
      </c>
      <c r="M3427" s="69" t="s">
        <v>286</v>
      </c>
      <c r="N3427" s="95"/>
      <c r="P3427" t="s">
        <v>95</v>
      </c>
      <c r="Q3427" t="s">
        <v>120</v>
      </c>
      <c r="R3427" s="92" t="s">
        <v>69</v>
      </c>
      <c r="S3427" s="92" t="s">
        <v>395</v>
      </c>
      <c r="V3427" s="95">
        <v>43585</v>
      </c>
      <c r="W3427" s="92">
        <v>2033925</v>
      </c>
      <c r="X3427" s="90"/>
      <c r="Y3427" s="123"/>
      <c r="Z3427" s="30">
        <f t="shared" si="106"/>
        <v>6772.6006943194379</v>
      </c>
      <c r="AA3427" s="30">
        <f t="shared" si="107"/>
        <v>2116.4377169748245</v>
      </c>
      <c r="AB3427" t="s">
        <v>457</v>
      </c>
    </row>
    <row r="3428" spans="1:28">
      <c r="A3428" t="s">
        <v>122</v>
      </c>
      <c r="C3428" s="92">
        <v>4615446412</v>
      </c>
      <c r="D3428" s="93">
        <v>19200</v>
      </c>
      <c r="F3428" s="91">
        <v>16</v>
      </c>
      <c r="G3428" s="96">
        <v>5</v>
      </c>
      <c r="H3428" s="94">
        <v>0</v>
      </c>
      <c r="I3428" s="91">
        <v>0</v>
      </c>
      <c r="J3428" s="41"/>
      <c r="K3428" s="41">
        <v>43585</v>
      </c>
      <c r="L3428" s="69" t="s">
        <v>80</v>
      </c>
      <c r="M3428" s="69" t="s">
        <v>286</v>
      </c>
      <c r="N3428" s="95"/>
      <c r="P3428" t="s">
        <v>95</v>
      </c>
      <c r="Q3428" t="s">
        <v>120</v>
      </c>
      <c r="R3428" s="92" t="s">
        <v>69</v>
      </c>
      <c r="S3428" s="92" t="s">
        <v>395</v>
      </c>
      <c r="V3428" s="95">
        <v>43585</v>
      </c>
      <c r="W3428" s="92">
        <v>2033925</v>
      </c>
      <c r="X3428" s="90"/>
      <c r="Y3428" s="123"/>
      <c r="Z3428" s="30">
        <f t="shared" si="106"/>
        <v>6772.6006943194379</v>
      </c>
      <c r="AA3428" s="30">
        <f t="shared" si="107"/>
        <v>2116.4377169748245</v>
      </c>
      <c r="AB3428" t="s">
        <v>457</v>
      </c>
    </row>
    <row r="3429" spans="1:28">
      <c r="A3429" t="s">
        <v>122</v>
      </c>
      <c r="C3429" s="92">
        <v>4615446412</v>
      </c>
      <c r="D3429" s="93">
        <v>19200</v>
      </c>
      <c r="F3429" s="91">
        <v>16</v>
      </c>
      <c r="G3429" s="96">
        <v>5</v>
      </c>
      <c r="H3429" s="94">
        <v>0</v>
      </c>
      <c r="I3429" s="91">
        <v>0</v>
      </c>
      <c r="J3429" s="41"/>
      <c r="K3429" s="41">
        <v>43585</v>
      </c>
      <c r="L3429" s="69" t="s">
        <v>80</v>
      </c>
      <c r="M3429" s="69" t="s">
        <v>286</v>
      </c>
      <c r="N3429" s="95"/>
      <c r="P3429" t="s">
        <v>95</v>
      </c>
      <c r="Q3429" t="s">
        <v>120</v>
      </c>
      <c r="R3429" s="92" t="s">
        <v>69</v>
      </c>
      <c r="S3429" s="92" t="s">
        <v>395</v>
      </c>
      <c r="V3429" s="95">
        <v>43585</v>
      </c>
      <c r="W3429" s="92">
        <v>2033925</v>
      </c>
      <c r="X3429" s="90"/>
      <c r="Y3429" s="123"/>
      <c r="Z3429" s="30">
        <f t="shared" si="106"/>
        <v>6772.6006943194379</v>
      </c>
      <c r="AA3429" s="30">
        <f t="shared" si="107"/>
        <v>2116.4377169748245</v>
      </c>
      <c r="AB3429" t="s">
        <v>457</v>
      </c>
    </row>
    <row r="3430" spans="1:28">
      <c r="A3430" t="s">
        <v>122</v>
      </c>
      <c r="C3430" s="92">
        <v>4615446412</v>
      </c>
      <c r="D3430" s="93">
        <v>19200</v>
      </c>
      <c r="F3430" s="91">
        <v>16</v>
      </c>
      <c r="G3430" s="96">
        <v>5</v>
      </c>
      <c r="H3430" s="94">
        <v>0</v>
      </c>
      <c r="I3430" s="91">
        <v>0</v>
      </c>
      <c r="J3430" s="41"/>
      <c r="K3430" s="41">
        <v>43585</v>
      </c>
      <c r="L3430" s="69" t="s">
        <v>80</v>
      </c>
      <c r="M3430" s="69" t="s">
        <v>286</v>
      </c>
      <c r="N3430" s="95"/>
      <c r="P3430" t="s">
        <v>95</v>
      </c>
      <c r="Q3430" t="s">
        <v>120</v>
      </c>
      <c r="R3430" s="92" t="s">
        <v>69</v>
      </c>
      <c r="S3430" s="92" t="s">
        <v>395</v>
      </c>
      <c r="V3430" s="95">
        <v>43585</v>
      </c>
      <c r="W3430" s="92">
        <v>2033925</v>
      </c>
      <c r="X3430" s="90"/>
      <c r="Y3430" s="123"/>
      <c r="Z3430" s="30">
        <f t="shared" si="106"/>
        <v>6772.6006943194379</v>
      </c>
      <c r="AA3430" s="30">
        <f t="shared" si="107"/>
        <v>2116.4377169748245</v>
      </c>
      <c r="AB3430" t="s">
        <v>457</v>
      </c>
    </row>
    <row r="3431" spans="1:28">
      <c r="A3431" t="s">
        <v>122</v>
      </c>
      <c r="C3431" s="92">
        <v>4615446412</v>
      </c>
      <c r="D3431" s="93">
        <v>19200</v>
      </c>
      <c r="F3431" s="91">
        <v>16</v>
      </c>
      <c r="G3431" s="96">
        <v>5</v>
      </c>
      <c r="H3431" s="94">
        <v>0</v>
      </c>
      <c r="I3431" s="91">
        <v>0</v>
      </c>
      <c r="J3431" s="41"/>
      <c r="K3431" s="41">
        <v>43585</v>
      </c>
      <c r="L3431" s="69" t="s">
        <v>80</v>
      </c>
      <c r="M3431" s="69" t="s">
        <v>286</v>
      </c>
      <c r="N3431" s="95"/>
      <c r="P3431" t="s">
        <v>95</v>
      </c>
      <c r="Q3431" t="s">
        <v>120</v>
      </c>
      <c r="R3431" s="92" t="s">
        <v>69</v>
      </c>
      <c r="S3431" s="92" t="s">
        <v>395</v>
      </c>
      <c r="V3431" s="95">
        <v>43585</v>
      </c>
      <c r="W3431" s="92">
        <v>2033925</v>
      </c>
      <c r="X3431" s="90"/>
      <c r="Y3431" s="123"/>
      <c r="Z3431" s="30">
        <f t="shared" si="106"/>
        <v>6772.6006943194379</v>
      </c>
      <c r="AA3431" s="30">
        <f t="shared" si="107"/>
        <v>2116.4377169748245</v>
      </c>
      <c r="AB3431" t="s">
        <v>457</v>
      </c>
    </row>
    <row r="3432" spans="1:28">
      <c r="A3432" t="s">
        <v>118</v>
      </c>
      <c r="C3432" s="92">
        <v>4615519253</v>
      </c>
      <c r="D3432" s="93">
        <v>19175</v>
      </c>
      <c r="F3432" s="91">
        <v>16</v>
      </c>
      <c r="G3432" s="96">
        <v>5</v>
      </c>
      <c r="H3432" s="94">
        <v>0</v>
      </c>
      <c r="I3432" s="91">
        <v>0</v>
      </c>
      <c r="J3432" s="41"/>
      <c r="K3432" s="41">
        <v>43585</v>
      </c>
      <c r="L3432" s="69" t="s">
        <v>80</v>
      </c>
      <c r="M3432" s="69" t="s">
        <v>286</v>
      </c>
      <c r="N3432" s="95"/>
      <c r="P3432" t="s">
        <v>95</v>
      </c>
      <c r="Q3432" t="s">
        <v>120</v>
      </c>
      <c r="R3432" s="92" t="s">
        <v>69</v>
      </c>
      <c r="S3432" s="92" t="s">
        <v>396</v>
      </c>
      <c r="V3432" s="95">
        <v>43585</v>
      </c>
      <c r="W3432" s="92">
        <v>2033935</v>
      </c>
      <c r="X3432" s="90"/>
      <c r="Y3432" s="123"/>
      <c r="Z3432" s="30">
        <f t="shared" si="106"/>
        <v>6763.7822038320437</v>
      </c>
      <c r="AA3432" s="30">
        <f t="shared" si="107"/>
        <v>2113.6819386975139</v>
      </c>
      <c r="AB3432" t="s">
        <v>457</v>
      </c>
    </row>
    <row r="3433" spans="1:28">
      <c r="A3433" t="s">
        <v>118</v>
      </c>
      <c r="C3433" s="92">
        <v>4615519253</v>
      </c>
      <c r="D3433" s="93">
        <v>19175</v>
      </c>
      <c r="F3433" s="91">
        <v>16</v>
      </c>
      <c r="G3433" s="96">
        <v>5</v>
      </c>
      <c r="H3433" s="94">
        <v>0</v>
      </c>
      <c r="I3433" s="91">
        <v>0</v>
      </c>
      <c r="J3433" s="41"/>
      <c r="K3433" s="41">
        <v>43585</v>
      </c>
      <c r="L3433" s="69" t="s">
        <v>80</v>
      </c>
      <c r="M3433" s="69" t="s">
        <v>286</v>
      </c>
      <c r="N3433" s="95"/>
      <c r="P3433" t="s">
        <v>95</v>
      </c>
      <c r="Q3433" t="s">
        <v>120</v>
      </c>
      <c r="R3433" s="92" t="s">
        <v>69</v>
      </c>
      <c r="S3433" s="92" t="s">
        <v>396</v>
      </c>
      <c r="V3433" s="95">
        <v>43585</v>
      </c>
      <c r="W3433" s="92">
        <v>2033935</v>
      </c>
      <c r="X3433" s="90"/>
      <c r="Y3433" s="123"/>
      <c r="Z3433" s="30">
        <f t="shared" si="106"/>
        <v>6763.7822038320437</v>
      </c>
      <c r="AA3433" s="30">
        <f t="shared" si="107"/>
        <v>2113.6819386975139</v>
      </c>
      <c r="AB3433" t="s">
        <v>457</v>
      </c>
    </row>
    <row r="3434" spans="1:28">
      <c r="A3434" t="s">
        <v>118</v>
      </c>
      <c r="C3434" s="92">
        <v>4615519253</v>
      </c>
      <c r="D3434" s="93">
        <v>19175</v>
      </c>
      <c r="F3434" s="91">
        <v>16</v>
      </c>
      <c r="G3434" s="96">
        <v>5</v>
      </c>
      <c r="H3434" s="94">
        <v>0</v>
      </c>
      <c r="I3434" s="91">
        <v>0</v>
      </c>
      <c r="J3434" s="41"/>
      <c r="K3434" s="41">
        <v>43585</v>
      </c>
      <c r="L3434" s="69" t="s">
        <v>80</v>
      </c>
      <c r="M3434" s="69" t="s">
        <v>286</v>
      </c>
      <c r="N3434" s="95"/>
      <c r="P3434" t="s">
        <v>95</v>
      </c>
      <c r="Q3434" t="s">
        <v>120</v>
      </c>
      <c r="R3434" s="92" t="s">
        <v>69</v>
      </c>
      <c r="S3434" s="92" t="s">
        <v>396</v>
      </c>
      <c r="V3434" s="95">
        <v>43585</v>
      </c>
      <c r="W3434" s="92">
        <v>2033935</v>
      </c>
      <c r="X3434" s="90"/>
      <c r="Y3434" s="123"/>
      <c r="Z3434" s="30">
        <f t="shared" si="106"/>
        <v>6763.7822038320437</v>
      </c>
      <c r="AA3434" s="30">
        <f t="shared" si="107"/>
        <v>2113.6819386975139</v>
      </c>
      <c r="AB3434" t="s">
        <v>457</v>
      </c>
    </row>
    <row r="3435" spans="1:28">
      <c r="A3435" t="s">
        <v>118</v>
      </c>
      <c r="C3435" s="92">
        <v>4615519253</v>
      </c>
      <c r="D3435" s="93">
        <v>19175</v>
      </c>
      <c r="F3435" s="91">
        <v>16</v>
      </c>
      <c r="G3435" s="96">
        <v>5</v>
      </c>
      <c r="H3435" s="94">
        <v>0</v>
      </c>
      <c r="I3435" s="91">
        <v>0</v>
      </c>
      <c r="J3435" s="41"/>
      <c r="K3435" s="41">
        <v>43585</v>
      </c>
      <c r="L3435" s="69" t="s">
        <v>80</v>
      </c>
      <c r="M3435" s="69" t="s">
        <v>286</v>
      </c>
      <c r="N3435" s="95"/>
      <c r="P3435" t="s">
        <v>95</v>
      </c>
      <c r="Q3435" t="s">
        <v>120</v>
      </c>
      <c r="R3435" s="92" t="s">
        <v>69</v>
      </c>
      <c r="S3435" s="92" t="s">
        <v>396</v>
      </c>
      <c r="V3435" s="95">
        <v>43585</v>
      </c>
      <c r="W3435" s="92">
        <v>2033935</v>
      </c>
      <c r="X3435" s="90"/>
      <c r="Y3435" s="123"/>
      <c r="Z3435" s="30">
        <f t="shared" si="106"/>
        <v>6763.7822038320437</v>
      </c>
      <c r="AA3435" s="30">
        <f t="shared" si="107"/>
        <v>2113.6819386975139</v>
      </c>
      <c r="AB3435" t="s">
        <v>457</v>
      </c>
    </row>
    <row r="3436" spans="1:28">
      <c r="A3436" t="s">
        <v>118</v>
      </c>
      <c r="C3436" s="92">
        <v>4615519253</v>
      </c>
      <c r="D3436" s="93">
        <v>19175</v>
      </c>
      <c r="F3436" s="91">
        <v>16</v>
      </c>
      <c r="G3436" s="96">
        <v>5</v>
      </c>
      <c r="H3436" s="94">
        <v>0</v>
      </c>
      <c r="I3436" s="91">
        <v>0</v>
      </c>
      <c r="J3436" s="41"/>
      <c r="K3436" s="41">
        <v>43585</v>
      </c>
      <c r="L3436" s="69" t="s">
        <v>80</v>
      </c>
      <c r="M3436" s="69" t="s">
        <v>286</v>
      </c>
      <c r="N3436" s="95"/>
      <c r="P3436" t="s">
        <v>95</v>
      </c>
      <c r="Q3436" t="s">
        <v>120</v>
      </c>
      <c r="R3436" s="92" t="s">
        <v>69</v>
      </c>
      <c r="S3436" s="92" t="s">
        <v>396</v>
      </c>
      <c r="V3436" s="95">
        <v>43585</v>
      </c>
      <c r="W3436" s="92">
        <v>2033935</v>
      </c>
      <c r="X3436" s="90"/>
      <c r="Y3436" s="123"/>
      <c r="Z3436" s="30">
        <f t="shared" si="106"/>
        <v>6763.7822038320437</v>
      </c>
      <c r="AA3436" s="30">
        <f t="shared" si="107"/>
        <v>2113.6819386975139</v>
      </c>
      <c r="AB3436" t="s">
        <v>457</v>
      </c>
    </row>
    <row r="3437" spans="1:28">
      <c r="A3437" t="s">
        <v>118</v>
      </c>
      <c r="C3437" s="92">
        <v>4615519253</v>
      </c>
      <c r="D3437" s="93">
        <v>19175</v>
      </c>
      <c r="F3437" s="91">
        <v>16</v>
      </c>
      <c r="G3437" s="96">
        <v>5</v>
      </c>
      <c r="H3437" s="94">
        <v>0</v>
      </c>
      <c r="I3437" s="91">
        <v>0</v>
      </c>
      <c r="J3437" s="41"/>
      <c r="K3437" s="41">
        <v>43585</v>
      </c>
      <c r="L3437" s="69" t="s">
        <v>80</v>
      </c>
      <c r="M3437" s="69" t="s">
        <v>286</v>
      </c>
      <c r="N3437" s="95"/>
      <c r="P3437" t="s">
        <v>95</v>
      </c>
      <c r="Q3437" t="s">
        <v>120</v>
      </c>
      <c r="R3437" s="92" t="s">
        <v>69</v>
      </c>
      <c r="S3437" s="92" t="s">
        <v>396</v>
      </c>
      <c r="V3437" s="95">
        <v>43585</v>
      </c>
      <c r="W3437" s="92">
        <v>2033935</v>
      </c>
      <c r="X3437" s="90"/>
      <c r="Y3437" s="123"/>
      <c r="Z3437" s="30">
        <f t="shared" si="106"/>
        <v>6763.7822038320437</v>
      </c>
      <c r="AA3437" s="30">
        <f t="shared" si="107"/>
        <v>2113.6819386975139</v>
      </c>
      <c r="AB3437" t="s">
        <v>457</v>
      </c>
    </row>
    <row r="3438" spans="1:28">
      <c r="A3438" t="s">
        <v>122</v>
      </c>
      <c r="C3438" s="92">
        <v>4615507139</v>
      </c>
      <c r="D3438" s="93">
        <v>19200</v>
      </c>
      <c r="F3438" s="91">
        <v>16</v>
      </c>
      <c r="G3438" s="96">
        <v>5</v>
      </c>
      <c r="H3438" s="94">
        <v>0</v>
      </c>
      <c r="I3438" s="91">
        <v>0</v>
      </c>
      <c r="J3438" s="41"/>
      <c r="K3438" s="41">
        <v>43585</v>
      </c>
      <c r="L3438" s="69" t="s">
        <v>80</v>
      </c>
      <c r="M3438" s="69" t="s">
        <v>286</v>
      </c>
      <c r="N3438" s="95"/>
      <c r="P3438" t="s">
        <v>95</v>
      </c>
      <c r="Q3438" t="s">
        <v>120</v>
      </c>
      <c r="R3438" s="92" t="s">
        <v>69</v>
      </c>
      <c r="S3438" s="92" t="s">
        <v>397</v>
      </c>
      <c r="V3438" s="95">
        <v>43585</v>
      </c>
      <c r="W3438" s="92">
        <v>2033945</v>
      </c>
      <c r="X3438" s="90"/>
      <c r="Y3438" s="123"/>
      <c r="Z3438" s="30">
        <f t="shared" si="106"/>
        <v>6772.6006943194379</v>
      </c>
      <c r="AA3438" s="30">
        <f t="shared" si="107"/>
        <v>2116.4377169748245</v>
      </c>
      <c r="AB3438" t="s">
        <v>457</v>
      </c>
    </row>
    <row r="3439" spans="1:28">
      <c r="A3439" t="s">
        <v>122</v>
      </c>
      <c r="C3439" s="92">
        <v>4615507139</v>
      </c>
      <c r="D3439" s="93">
        <v>19200</v>
      </c>
      <c r="F3439" s="91">
        <v>16</v>
      </c>
      <c r="G3439" s="96">
        <v>5</v>
      </c>
      <c r="H3439" s="94">
        <v>0</v>
      </c>
      <c r="I3439" s="91">
        <v>0</v>
      </c>
      <c r="J3439" s="41"/>
      <c r="K3439" s="41">
        <v>43585</v>
      </c>
      <c r="L3439" s="69" t="s">
        <v>80</v>
      </c>
      <c r="M3439" s="69" t="s">
        <v>286</v>
      </c>
      <c r="N3439" s="95"/>
      <c r="P3439" t="s">
        <v>95</v>
      </c>
      <c r="Q3439" t="s">
        <v>120</v>
      </c>
      <c r="R3439" s="92" t="s">
        <v>69</v>
      </c>
      <c r="S3439" s="92" t="s">
        <v>397</v>
      </c>
      <c r="V3439" s="95">
        <v>43585</v>
      </c>
      <c r="W3439" s="92">
        <v>2033945</v>
      </c>
      <c r="X3439" s="90"/>
      <c r="Y3439" s="123"/>
      <c r="Z3439" s="30">
        <f t="shared" si="106"/>
        <v>6772.6006943194379</v>
      </c>
      <c r="AA3439" s="30">
        <f t="shared" si="107"/>
        <v>2116.4377169748245</v>
      </c>
      <c r="AB3439" t="s">
        <v>457</v>
      </c>
    </row>
    <row r="3440" spans="1:28">
      <c r="A3440" t="s">
        <v>122</v>
      </c>
      <c r="C3440" s="92">
        <v>4615507139</v>
      </c>
      <c r="D3440" s="93">
        <v>19200</v>
      </c>
      <c r="F3440" s="91">
        <v>16</v>
      </c>
      <c r="G3440" s="96">
        <v>5</v>
      </c>
      <c r="H3440" s="94">
        <v>0</v>
      </c>
      <c r="I3440" s="91">
        <v>0</v>
      </c>
      <c r="J3440" s="41"/>
      <c r="K3440" s="41">
        <v>43585</v>
      </c>
      <c r="L3440" s="69" t="s">
        <v>80</v>
      </c>
      <c r="M3440" s="69" t="s">
        <v>286</v>
      </c>
      <c r="N3440" s="95"/>
      <c r="P3440" t="s">
        <v>95</v>
      </c>
      <c r="Q3440" t="s">
        <v>120</v>
      </c>
      <c r="R3440" s="92" t="s">
        <v>69</v>
      </c>
      <c r="S3440" s="92" t="s">
        <v>397</v>
      </c>
      <c r="V3440" s="95">
        <v>43585</v>
      </c>
      <c r="W3440" s="92">
        <v>2033945</v>
      </c>
      <c r="X3440" s="90"/>
      <c r="Y3440" s="123"/>
      <c r="Z3440" s="30">
        <f t="shared" si="106"/>
        <v>6772.6006943194379</v>
      </c>
      <c r="AA3440" s="30">
        <f t="shared" si="107"/>
        <v>2116.4377169748245</v>
      </c>
      <c r="AB3440" t="s">
        <v>457</v>
      </c>
    </row>
    <row r="3441" spans="1:28">
      <c r="A3441" t="s">
        <v>122</v>
      </c>
      <c r="C3441" s="92">
        <v>4615507139</v>
      </c>
      <c r="D3441" s="93">
        <v>19200</v>
      </c>
      <c r="F3441" s="91">
        <v>16</v>
      </c>
      <c r="G3441" s="96">
        <v>5</v>
      </c>
      <c r="H3441" s="94">
        <v>0</v>
      </c>
      <c r="I3441" s="91">
        <v>0</v>
      </c>
      <c r="J3441" s="41"/>
      <c r="K3441" s="41">
        <v>43585</v>
      </c>
      <c r="L3441" s="69" t="s">
        <v>80</v>
      </c>
      <c r="M3441" s="69" t="s">
        <v>286</v>
      </c>
      <c r="N3441" s="95"/>
      <c r="P3441" t="s">
        <v>95</v>
      </c>
      <c r="Q3441" t="s">
        <v>120</v>
      </c>
      <c r="R3441" s="92" t="s">
        <v>69</v>
      </c>
      <c r="S3441" s="92" t="s">
        <v>397</v>
      </c>
      <c r="V3441" s="95">
        <v>43585</v>
      </c>
      <c r="W3441" s="92">
        <v>2033945</v>
      </c>
      <c r="X3441" s="90"/>
      <c r="Y3441" s="123"/>
      <c r="Z3441" s="30">
        <f t="shared" si="106"/>
        <v>6772.6006943194379</v>
      </c>
      <c r="AA3441" s="30">
        <f t="shared" si="107"/>
        <v>2116.4377169748245</v>
      </c>
      <c r="AB3441" t="s">
        <v>457</v>
      </c>
    </row>
    <row r="3442" spans="1:28">
      <c r="A3442" t="s">
        <v>122</v>
      </c>
      <c r="C3442" s="92">
        <v>4615507139</v>
      </c>
      <c r="D3442" s="93">
        <v>19200</v>
      </c>
      <c r="F3442" s="91">
        <v>16</v>
      </c>
      <c r="G3442" s="96">
        <v>5</v>
      </c>
      <c r="H3442" s="94">
        <v>0</v>
      </c>
      <c r="I3442" s="91">
        <v>0</v>
      </c>
      <c r="J3442" s="41"/>
      <c r="K3442" s="41">
        <v>43585</v>
      </c>
      <c r="L3442" s="69" t="s">
        <v>80</v>
      </c>
      <c r="M3442" s="69" t="s">
        <v>286</v>
      </c>
      <c r="N3442" s="95"/>
      <c r="P3442" t="s">
        <v>95</v>
      </c>
      <c r="Q3442" t="s">
        <v>120</v>
      </c>
      <c r="R3442" s="92" t="s">
        <v>69</v>
      </c>
      <c r="S3442" s="92" t="s">
        <v>397</v>
      </c>
      <c r="V3442" s="95">
        <v>43585</v>
      </c>
      <c r="W3442" s="92">
        <v>2033945</v>
      </c>
      <c r="X3442" s="90"/>
      <c r="Y3442" s="123"/>
      <c r="Z3442" s="30">
        <f t="shared" si="106"/>
        <v>6772.6006943194379</v>
      </c>
      <c r="AA3442" s="30">
        <f t="shared" si="107"/>
        <v>2116.4377169748245</v>
      </c>
      <c r="AB3442" t="s">
        <v>457</v>
      </c>
    </row>
    <row r="3443" spans="1:28">
      <c r="A3443" t="s">
        <v>122</v>
      </c>
      <c r="C3443" s="92">
        <v>4615507139</v>
      </c>
      <c r="D3443" s="93">
        <v>19200</v>
      </c>
      <c r="F3443" s="91">
        <v>16</v>
      </c>
      <c r="G3443" s="96">
        <v>5</v>
      </c>
      <c r="H3443" s="94">
        <v>0</v>
      </c>
      <c r="I3443" s="91">
        <v>0</v>
      </c>
      <c r="J3443" s="41"/>
      <c r="K3443" s="41">
        <v>43585</v>
      </c>
      <c r="L3443" s="69" t="s">
        <v>80</v>
      </c>
      <c r="M3443" s="69" t="s">
        <v>286</v>
      </c>
      <c r="N3443" s="95"/>
      <c r="P3443" t="s">
        <v>95</v>
      </c>
      <c r="Q3443" t="s">
        <v>120</v>
      </c>
      <c r="R3443" s="92" t="s">
        <v>69</v>
      </c>
      <c r="S3443" s="92" t="s">
        <v>397</v>
      </c>
      <c r="V3443" s="95">
        <v>43585</v>
      </c>
      <c r="W3443" s="92">
        <v>2033945</v>
      </c>
      <c r="X3443" s="90"/>
      <c r="Y3443" s="123"/>
      <c r="Z3443" s="30">
        <f t="shared" si="106"/>
        <v>6772.6006943194379</v>
      </c>
      <c r="AA3443" s="30">
        <f t="shared" si="107"/>
        <v>2116.4377169748245</v>
      </c>
      <c r="AB3443" t="s">
        <v>457</v>
      </c>
    </row>
    <row r="3444" spans="1:28">
      <c r="A3444" t="s">
        <v>122</v>
      </c>
      <c r="C3444" s="92">
        <v>4615507139</v>
      </c>
      <c r="D3444" s="93">
        <v>19200</v>
      </c>
      <c r="F3444" s="91">
        <v>16</v>
      </c>
      <c r="G3444" s="96">
        <v>5</v>
      </c>
      <c r="H3444" s="94">
        <v>0</v>
      </c>
      <c r="I3444" s="91">
        <v>0</v>
      </c>
      <c r="J3444" s="41"/>
      <c r="K3444" s="41">
        <v>43585</v>
      </c>
      <c r="L3444" s="69" t="s">
        <v>80</v>
      </c>
      <c r="M3444" s="69" t="s">
        <v>286</v>
      </c>
      <c r="N3444" s="95"/>
      <c r="P3444" t="s">
        <v>95</v>
      </c>
      <c r="Q3444" t="s">
        <v>120</v>
      </c>
      <c r="R3444" s="92" t="s">
        <v>69</v>
      </c>
      <c r="S3444" s="92" t="s">
        <v>397</v>
      </c>
      <c r="V3444" s="95">
        <v>43585</v>
      </c>
      <c r="W3444" s="92">
        <v>2033945</v>
      </c>
      <c r="X3444" s="90"/>
      <c r="Y3444" s="123"/>
      <c r="Z3444" s="30">
        <f t="shared" si="106"/>
        <v>6772.6006943194379</v>
      </c>
      <c r="AA3444" s="30">
        <f t="shared" si="107"/>
        <v>2116.4377169748245</v>
      </c>
      <c r="AB3444" t="s">
        <v>457</v>
      </c>
    </row>
    <row r="3445" spans="1:28">
      <c r="A3445" t="s">
        <v>122</v>
      </c>
      <c r="C3445" s="92">
        <v>4615507139</v>
      </c>
      <c r="D3445" s="93">
        <v>19200</v>
      </c>
      <c r="F3445" s="91">
        <v>16</v>
      </c>
      <c r="G3445" s="96">
        <v>5</v>
      </c>
      <c r="H3445" s="94">
        <v>0</v>
      </c>
      <c r="I3445" s="91">
        <v>0</v>
      </c>
      <c r="J3445" s="41"/>
      <c r="K3445" s="41">
        <v>43585</v>
      </c>
      <c r="L3445" s="69" t="s">
        <v>80</v>
      </c>
      <c r="M3445" s="69" t="s">
        <v>286</v>
      </c>
      <c r="N3445" s="95"/>
      <c r="P3445" t="s">
        <v>95</v>
      </c>
      <c r="Q3445" t="s">
        <v>120</v>
      </c>
      <c r="R3445" s="92" t="s">
        <v>69</v>
      </c>
      <c r="S3445" s="92" t="s">
        <v>397</v>
      </c>
      <c r="V3445" s="95">
        <v>43585</v>
      </c>
      <c r="W3445" s="92">
        <v>2033945</v>
      </c>
      <c r="X3445" s="90"/>
      <c r="Y3445" s="123"/>
      <c r="Z3445" s="30">
        <f t="shared" si="106"/>
        <v>6772.6006943194379</v>
      </c>
      <c r="AA3445" s="30">
        <f t="shared" si="107"/>
        <v>2116.4377169748245</v>
      </c>
      <c r="AB3445" t="s">
        <v>457</v>
      </c>
    </row>
    <row r="3446" spans="1:28">
      <c r="A3446" t="s">
        <v>122</v>
      </c>
      <c r="C3446" s="92">
        <v>4615507139</v>
      </c>
      <c r="D3446" s="93">
        <v>19200</v>
      </c>
      <c r="F3446" s="91">
        <v>16</v>
      </c>
      <c r="G3446" s="96">
        <v>5</v>
      </c>
      <c r="H3446" s="94">
        <v>0</v>
      </c>
      <c r="I3446" s="91">
        <v>0</v>
      </c>
      <c r="J3446" s="41"/>
      <c r="K3446" s="41">
        <v>43585</v>
      </c>
      <c r="L3446" s="69" t="s">
        <v>80</v>
      </c>
      <c r="M3446" s="69" t="s">
        <v>286</v>
      </c>
      <c r="N3446" s="95"/>
      <c r="P3446" t="s">
        <v>95</v>
      </c>
      <c r="Q3446" t="s">
        <v>120</v>
      </c>
      <c r="R3446" s="92" t="s">
        <v>69</v>
      </c>
      <c r="S3446" s="92" t="s">
        <v>397</v>
      </c>
      <c r="V3446" s="95">
        <v>43585</v>
      </c>
      <c r="W3446" s="92">
        <v>2033945</v>
      </c>
      <c r="X3446" s="90"/>
      <c r="Y3446" s="123"/>
      <c r="Z3446" s="30">
        <f t="shared" si="106"/>
        <v>6772.6006943194379</v>
      </c>
      <c r="AA3446" s="30">
        <f t="shared" si="107"/>
        <v>2116.4377169748245</v>
      </c>
      <c r="AB3446" t="s">
        <v>457</v>
      </c>
    </row>
    <row r="3447" spans="1:28">
      <c r="A3447" t="s">
        <v>122</v>
      </c>
      <c r="C3447" s="92">
        <v>4615507139</v>
      </c>
      <c r="D3447" s="93">
        <v>19200</v>
      </c>
      <c r="F3447" s="91">
        <v>16</v>
      </c>
      <c r="G3447" s="96">
        <v>5</v>
      </c>
      <c r="H3447" s="94">
        <v>0</v>
      </c>
      <c r="I3447" s="91">
        <v>0</v>
      </c>
      <c r="J3447" s="41"/>
      <c r="K3447" s="41">
        <v>43585</v>
      </c>
      <c r="L3447" s="69" t="s">
        <v>80</v>
      </c>
      <c r="M3447" s="69" t="s">
        <v>286</v>
      </c>
      <c r="N3447" s="95"/>
      <c r="P3447" t="s">
        <v>95</v>
      </c>
      <c r="Q3447" t="s">
        <v>120</v>
      </c>
      <c r="R3447" s="92" t="s">
        <v>69</v>
      </c>
      <c r="S3447" s="92" t="s">
        <v>397</v>
      </c>
      <c r="V3447" s="95">
        <v>43585</v>
      </c>
      <c r="W3447" s="92">
        <v>2033945</v>
      </c>
      <c r="X3447" s="90"/>
      <c r="Y3447" s="123"/>
      <c r="Z3447" s="30">
        <f t="shared" si="106"/>
        <v>6772.6006943194379</v>
      </c>
      <c r="AA3447" s="30">
        <f t="shared" si="107"/>
        <v>2116.4377169748245</v>
      </c>
      <c r="AB3447" t="s">
        <v>457</v>
      </c>
    </row>
    <row r="3448" spans="1:28">
      <c r="A3448" t="s">
        <v>122</v>
      </c>
      <c r="C3448" s="92">
        <v>4615492685</v>
      </c>
      <c r="D3448" s="93">
        <v>19200</v>
      </c>
      <c r="F3448" s="91">
        <v>16</v>
      </c>
      <c r="G3448" s="96">
        <v>5</v>
      </c>
      <c r="H3448" s="94">
        <v>0</v>
      </c>
      <c r="I3448" s="91">
        <v>0</v>
      </c>
      <c r="J3448" s="41"/>
      <c r="K3448" s="41">
        <v>43585</v>
      </c>
      <c r="L3448" s="69" t="s">
        <v>80</v>
      </c>
      <c r="M3448" s="69" t="s">
        <v>286</v>
      </c>
      <c r="N3448" s="95"/>
      <c r="P3448" t="s">
        <v>95</v>
      </c>
      <c r="Q3448" t="s">
        <v>120</v>
      </c>
      <c r="R3448" s="92" t="s">
        <v>69</v>
      </c>
      <c r="S3448" s="92" t="s">
        <v>293</v>
      </c>
      <c r="V3448" s="95">
        <v>43585</v>
      </c>
      <c r="W3448" s="92">
        <v>2033955</v>
      </c>
      <c r="X3448" s="90"/>
      <c r="Y3448" s="123"/>
      <c r="Z3448" s="30">
        <f t="shared" si="106"/>
        <v>6772.6006943194379</v>
      </c>
      <c r="AA3448" s="30">
        <f t="shared" si="107"/>
        <v>2116.4377169748245</v>
      </c>
      <c r="AB3448" t="s">
        <v>457</v>
      </c>
    </row>
    <row r="3449" spans="1:28">
      <c r="A3449" t="s">
        <v>122</v>
      </c>
      <c r="C3449" s="92">
        <v>4615492685</v>
      </c>
      <c r="D3449" s="93">
        <v>19200</v>
      </c>
      <c r="F3449" s="91">
        <v>16</v>
      </c>
      <c r="G3449" s="96">
        <v>5</v>
      </c>
      <c r="H3449" s="94">
        <v>0</v>
      </c>
      <c r="I3449" s="91">
        <v>0</v>
      </c>
      <c r="J3449" s="41"/>
      <c r="K3449" s="41">
        <v>43585</v>
      </c>
      <c r="L3449" s="69" t="s">
        <v>80</v>
      </c>
      <c r="M3449" s="69" t="s">
        <v>286</v>
      </c>
      <c r="N3449" s="95"/>
      <c r="P3449" t="s">
        <v>95</v>
      </c>
      <c r="Q3449" t="s">
        <v>120</v>
      </c>
      <c r="R3449" s="92" t="s">
        <v>69</v>
      </c>
      <c r="S3449" s="92" t="s">
        <v>293</v>
      </c>
      <c r="V3449" s="95">
        <v>43585</v>
      </c>
      <c r="W3449" s="92">
        <v>2033955</v>
      </c>
      <c r="X3449" s="90"/>
      <c r="Y3449" s="123"/>
      <c r="Z3449" s="30">
        <f t="shared" si="106"/>
        <v>6772.6006943194379</v>
      </c>
      <c r="AA3449" s="30">
        <f t="shared" si="107"/>
        <v>2116.4377169748245</v>
      </c>
      <c r="AB3449" t="s">
        <v>457</v>
      </c>
    </row>
    <row r="3450" spans="1:28">
      <c r="A3450" t="s">
        <v>122</v>
      </c>
      <c r="C3450" s="92">
        <v>4615492685</v>
      </c>
      <c r="D3450" s="93">
        <v>19200</v>
      </c>
      <c r="F3450" s="91">
        <v>16</v>
      </c>
      <c r="G3450" s="96">
        <v>5</v>
      </c>
      <c r="H3450" s="94">
        <v>0</v>
      </c>
      <c r="I3450" s="91">
        <v>0</v>
      </c>
      <c r="J3450" s="41"/>
      <c r="K3450" s="41">
        <v>43585</v>
      </c>
      <c r="L3450" s="69" t="s">
        <v>80</v>
      </c>
      <c r="M3450" s="69" t="s">
        <v>286</v>
      </c>
      <c r="N3450" s="95"/>
      <c r="P3450" t="s">
        <v>95</v>
      </c>
      <c r="Q3450" t="s">
        <v>120</v>
      </c>
      <c r="R3450" s="92" t="s">
        <v>69</v>
      </c>
      <c r="S3450" s="92" t="s">
        <v>293</v>
      </c>
      <c r="V3450" s="95">
        <v>43585</v>
      </c>
      <c r="W3450" s="92">
        <v>2033955</v>
      </c>
      <c r="X3450" s="90"/>
      <c r="Y3450" s="123"/>
      <c r="Z3450" s="30">
        <f t="shared" si="106"/>
        <v>6772.6006943194379</v>
      </c>
      <c r="AA3450" s="30">
        <f t="shared" si="107"/>
        <v>2116.4377169748245</v>
      </c>
      <c r="AB3450" t="s">
        <v>457</v>
      </c>
    </row>
    <row r="3451" spans="1:28">
      <c r="A3451" t="s">
        <v>122</v>
      </c>
      <c r="C3451" s="92">
        <v>4615492685</v>
      </c>
      <c r="D3451" s="93">
        <v>19200</v>
      </c>
      <c r="F3451" s="91">
        <v>16</v>
      </c>
      <c r="G3451" s="96">
        <v>5</v>
      </c>
      <c r="H3451" s="94">
        <v>0</v>
      </c>
      <c r="I3451" s="91">
        <v>0</v>
      </c>
      <c r="J3451" s="41"/>
      <c r="K3451" s="41">
        <v>43585</v>
      </c>
      <c r="L3451" s="69" t="s">
        <v>80</v>
      </c>
      <c r="M3451" s="69" t="s">
        <v>286</v>
      </c>
      <c r="N3451" s="95"/>
      <c r="P3451" t="s">
        <v>95</v>
      </c>
      <c r="Q3451" t="s">
        <v>120</v>
      </c>
      <c r="R3451" s="92" t="s">
        <v>69</v>
      </c>
      <c r="S3451" s="92" t="s">
        <v>293</v>
      </c>
      <c r="V3451" s="95">
        <v>43585</v>
      </c>
      <c r="W3451" s="92">
        <v>2033955</v>
      </c>
      <c r="X3451" s="90"/>
      <c r="Y3451" s="123"/>
      <c r="Z3451" s="30">
        <f t="shared" si="106"/>
        <v>6772.6006943194379</v>
      </c>
      <c r="AA3451" s="30">
        <f t="shared" si="107"/>
        <v>2116.4377169748245</v>
      </c>
      <c r="AB3451" t="s">
        <v>457</v>
      </c>
    </row>
    <row r="3452" spans="1:28">
      <c r="A3452" t="s">
        <v>113</v>
      </c>
      <c r="C3452" s="92">
        <v>4615475512</v>
      </c>
      <c r="D3452" s="93">
        <v>19175</v>
      </c>
      <c r="F3452" s="91">
        <v>16</v>
      </c>
      <c r="G3452" s="91">
        <v>0</v>
      </c>
      <c r="H3452" s="91">
        <v>0</v>
      </c>
      <c r="I3452" s="91">
        <v>0</v>
      </c>
      <c r="J3452" s="41"/>
      <c r="K3452" s="41">
        <v>43585</v>
      </c>
      <c r="L3452" s="69" t="s">
        <v>80</v>
      </c>
      <c r="M3452" s="69" t="s">
        <v>286</v>
      </c>
      <c r="N3452" s="95"/>
      <c r="P3452" t="s">
        <v>95</v>
      </c>
      <c r="Q3452" t="s">
        <v>110</v>
      </c>
      <c r="R3452" s="92" t="s">
        <v>69</v>
      </c>
      <c r="S3452" s="92" t="s">
        <v>115</v>
      </c>
      <c r="V3452" s="95">
        <v>43585</v>
      </c>
      <c r="W3452" s="92" t="s">
        <v>410</v>
      </c>
      <c r="X3452" s="90"/>
      <c r="Y3452" s="123"/>
      <c r="Z3452" s="30">
        <f t="shared" si="106"/>
        <v>6763.7822038320437</v>
      </c>
      <c r="AA3452" s="30">
        <f t="shared" si="107"/>
        <v>0</v>
      </c>
      <c r="AB3452" t="s">
        <v>457</v>
      </c>
    </row>
    <row r="3453" spans="1:28">
      <c r="A3453" t="s">
        <v>113</v>
      </c>
      <c r="C3453" s="92">
        <v>4615475512</v>
      </c>
      <c r="D3453" s="93">
        <v>19175</v>
      </c>
      <c r="F3453" s="91">
        <v>16</v>
      </c>
      <c r="G3453" s="91">
        <v>0</v>
      </c>
      <c r="H3453" s="91">
        <v>0</v>
      </c>
      <c r="I3453" s="91">
        <v>0</v>
      </c>
      <c r="J3453" s="41"/>
      <c r="K3453" s="41">
        <v>43585</v>
      </c>
      <c r="L3453" s="69" t="s">
        <v>80</v>
      </c>
      <c r="M3453" s="69" t="s">
        <v>286</v>
      </c>
      <c r="N3453" s="95"/>
      <c r="P3453" t="s">
        <v>95</v>
      </c>
      <c r="Q3453" t="s">
        <v>110</v>
      </c>
      <c r="R3453" s="92" t="s">
        <v>69</v>
      </c>
      <c r="S3453" s="92" t="s">
        <v>115</v>
      </c>
      <c r="V3453" s="95">
        <v>43585</v>
      </c>
      <c r="W3453" s="92" t="s">
        <v>410</v>
      </c>
      <c r="X3453" s="90"/>
      <c r="Y3453" s="123"/>
      <c r="Z3453" s="30">
        <f t="shared" si="106"/>
        <v>6763.7822038320437</v>
      </c>
      <c r="AA3453" s="30">
        <f t="shared" si="107"/>
        <v>0</v>
      </c>
      <c r="AB3453" t="s">
        <v>457</v>
      </c>
    </row>
    <row r="3454" spans="1:28">
      <c r="A3454" t="s">
        <v>113</v>
      </c>
      <c r="C3454" s="92">
        <v>4615475512</v>
      </c>
      <c r="D3454" s="93">
        <v>19175</v>
      </c>
      <c r="F3454" s="91">
        <v>16</v>
      </c>
      <c r="G3454" s="91">
        <v>0</v>
      </c>
      <c r="H3454" s="91">
        <v>0</v>
      </c>
      <c r="I3454" s="91">
        <v>0</v>
      </c>
      <c r="J3454" s="41"/>
      <c r="K3454" s="41">
        <v>43585</v>
      </c>
      <c r="L3454" s="69" t="s">
        <v>80</v>
      </c>
      <c r="M3454" s="69" t="s">
        <v>286</v>
      </c>
      <c r="N3454" s="95"/>
      <c r="P3454" t="s">
        <v>95</v>
      </c>
      <c r="Q3454" t="s">
        <v>110</v>
      </c>
      <c r="R3454" s="92" t="s">
        <v>69</v>
      </c>
      <c r="S3454" s="92" t="s">
        <v>115</v>
      </c>
      <c r="V3454" s="95">
        <v>43585</v>
      </c>
      <c r="W3454" s="92" t="s">
        <v>410</v>
      </c>
      <c r="X3454" s="90"/>
      <c r="Y3454" s="123"/>
      <c r="Z3454" s="30">
        <f t="shared" si="106"/>
        <v>6763.7822038320437</v>
      </c>
      <c r="AA3454" s="30">
        <f t="shared" si="107"/>
        <v>0</v>
      </c>
      <c r="AB3454" t="s">
        <v>457</v>
      </c>
    </row>
    <row r="3455" spans="1:28">
      <c r="A3455" t="s">
        <v>113</v>
      </c>
      <c r="C3455" s="92">
        <v>4615475512</v>
      </c>
      <c r="D3455" s="93">
        <v>19175</v>
      </c>
      <c r="F3455" s="91">
        <v>16</v>
      </c>
      <c r="G3455" s="91">
        <v>0</v>
      </c>
      <c r="H3455" s="91">
        <v>0</v>
      </c>
      <c r="I3455" s="91">
        <v>0</v>
      </c>
      <c r="J3455" s="41"/>
      <c r="K3455" s="41">
        <v>43585</v>
      </c>
      <c r="L3455" s="69" t="s">
        <v>80</v>
      </c>
      <c r="M3455" s="69" t="s">
        <v>286</v>
      </c>
      <c r="N3455" s="95"/>
      <c r="P3455" t="s">
        <v>95</v>
      </c>
      <c r="Q3455" t="s">
        <v>110</v>
      </c>
      <c r="R3455" s="92" t="s">
        <v>69</v>
      </c>
      <c r="S3455" s="92" t="s">
        <v>115</v>
      </c>
      <c r="V3455" s="95">
        <v>43585</v>
      </c>
      <c r="W3455" s="92" t="s">
        <v>410</v>
      </c>
      <c r="X3455" s="90"/>
      <c r="Y3455" s="123"/>
      <c r="Z3455" s="30">
        <f t="shared" si="106"/>
        <v>6763.7822038320437</v>
      </c>
      <c r="AA3455" s="30">
        <f t="shared" si="107"/>
        <v>0</v>
      </c>
      <c r="AB3455" t="s">
        <v>457</v>
      </c>
    </row>
    <row r="3456" spans="1:28">
      <c r="A3456" t="s">
        <v>113</v>
      </c>
      <c r="C3456" s="92">
        <v>4615475512</v>
      </c>
      <c r="D3456" s="93">
        <v>19175</v>
      </c>
      <c r="F3456" s="91">
        <v>16</v>
      </c>
      <c r="G3456" s="91">
        <v>0</v>
      </c>
      <c r="H3456" s="91">
        <v>0</v>
      </c>
      <c r="I3456" s="91">
        <v>0</v>
      </c>
      <c r="J3456" s="41"/>
      <c r="K3456" s="41">
        <v>43585</v>
      </c>
      <c r="L3456" s="69" t="s">
        <v>80</v>
      </c>
      <c r="M3456" s="69" t="s">
        <v>286</v>
      </c>
      <c r="N3456" s="95"/>
      <c r="P3456" t="s">
        <v>95</v>
      </c>
      <c r="Q3456" t="s">
        <v>110</v>
      </c>
      <c r="R3456" s="92" t="s">
        <v>69</v>
      </c>
      <c r="S3456" s="92" t="s">
        <v>115</v>
      </c>
      <c r="V3456" s="95">
        <v>43585</v>
      </c>
      <c r="W3456" s="92" t="s">
        <v>410</v>
      </c>
      <c r="X3456" s="90"/>
      <c r="Y3456" s="123"/>
      <c r="Z3456" s="30">
        <f t="shared" si="106"/>
        <v>6763.7822038320437</v>
      </c>
      <c r="AA3456" s="30">
        <f t="shared" si="107"/>
        <v>0</v>
      </c>
      <c r="AB3456" t="s">
        <v>457</v>
      </c>
    </row>
    <row r="3457" spans="1:28">
      <c r="A3457" t="s">
        <v>113</v>
      </c>
      <c r="C3457" s="92">
        <v>4615475512</v>
      </c>
      <c r="D3457" s="93">
        <v>19175</v>
      </c>
      <c r="F3457" s="91">
        <v>16</v>
      </c>
      <c r="G3457" s="91">
        <v>0</v>
      </c>
      <c r="H3457" s="91">
        <v>0</v>
      </c>
      <c r="I3457" s="91">
        <v>0</v>
      </c>
      <c r="J3457" s="41"/>
      <c r="K3457" s="41">
        <v>43585</v>
      </c>
      <c r="L3457" s="69" t="s">
        <v>80</v>
      </c>
      <c r="M3457" s="69" t="s">
        <v>286</v>
      </c>
      <c r="N3457" s="95"/>
      <c r="P3457" t="s">
        <v>95</v>
      </c>
      <c r="Q3457" t="s">
        <v>110</v>
      </c>
      <c r="R3457" s="92" t="s">
        <v>69</v>
      </c>
      <c r="S3457" s="92" t="s">
        <v>115</v>
      </c>
      <c r="V3457" s="95">
        <v>43585</v>
      </c>
      <c r="W3457" s="92" t="s">
        <v>410</v>
      </c>
      <c r="X3457" s="90"/>
      <c r="Y3457" s="123"/>
      <c r="Z3457" s="30">
        <f t="shared" si="106"/>
        <v>6763.7822038320437</v>
      </c>
      <c r="AA3457" s="30">
        <f t="shared" si="107"/>
        <v>0</v>
      </c>
      <c r="AB3457" t="s">
        <v>457</v>
      </c>
    </row>
    <row r="3458" spans="1:28">
      <c r="A3458" t="s">
        <v>113</v>
      </c>
      <c r="C3458" s="92">
        <v>4615475512</v>
      </c>
      <c r="D3458" s="93">
        <v>19175</v>
      </c>
      <c r="F3458" s="91">
        <v>16</v>
      </c>
      <c r="G3458" s="91">
        <v>0</v>
      </c>
      <c r="H3458" s="91">
        <v>0</v>
      </c>
      <c r="I3458" s="91">
        <v>0</v>
      </c>
      <c r="J3458" s="41"/>
      <c r="K3458" s="41">
        <v>43585</v>
      </c>
      <c r="L3458" s="69" t="s">
        <v>80</v>
      </c>
      <c r="M3458" s="69" t="s">
        <v>286</v>
      </c>
      <c r="N3458" s="95"/>
      <c r="P3458" t="s">
        <v>95</v>
      </c>
      <c r="Q3458" t="s">
        <v>110</v>
      </c>
      <c r="R3458" s="92" t="s">
        <v>69</v>
      </c>
      <c r="S3458" s="92" t="s">
        <v>115</v>
      </c>
      <c r="V3458" s="95">
        <v>43585</v>
      </c>
      <c r="W3458" s="92" t="s">
        <v>410</v>
      </c>
      <c r="X3458" s="90"/>
      <c r="Y3458" s="123"/>
      <c r="Z3458" s="30">
        <f t="shared" si="106"/>
        <v>6763.7822038320437</v>
      </c>
      <c r="AA3458" s="30">
        <f t="shared" si="107"/>
        <v>0</v>
      </c>
      <c r="AB3458" t="s">
        <v>457</v>
      </c>
    </row>
    <row r="3459" spans="1:28">
      <c r="A3459" t="s">
        <v>113</v>
      </c>
      <c r="C3459" s="92">
        <v>4615475512</v>
      </c>
      <c r="D3459" s="93">
        <v>19175</v>
      </c>
      <c r="F3459" s="91">
        <v>16</v>
      </c>
      <c r="G3459" s="91">
        <v>0</v>
      </c>
      <c r="H3459" s="91">
        <v>0</v>
      </c>
      <c r="I3459" s="91">
        <v>0</v>
      </c>
      <c r="J3459" s="41"/>
      <c r="K3459" s="41">
        <v>43585</v>
      </c>
      <c r="L3459" s="69" t="s">
        <v>80</v>
      </c>
      <c r="M3459" s="69" t="s">
        <v>286</v>
      </c>
      <c r="N3459" s="95"/>
      <c r="P3459" t="s">
        <v>95</v>
      </c>
      <c r="Q3459" t="s">
        <v>110</v>
      </c>
      <c r="R3459" s="92" t="s">
        <v>69</v>
      </c>
      <c r="S3459" s="92" t="s">
        <v>115</v>
      </c>
      <c r="V3459" s="95">
        <v>43585</v>
      </c>
      <c r="W3459" s="92" t="s">
        <v>410</v>
      </c>
      <c r="X3459" s="90"/>
      <c r="Y3459" s="123"/>
      <c r="Z3459" s="30">
        <f t="shared" ref="Z3459:Z3522" si="108">CONVERT(D3459,"kg","lbm")*F3459/100</f>
        <v>6763.7822038320437</v>
      </c>
      <c r="AA3459" s="30">
        <f t="shared" ref="AA3459:AA3522" si="109">CONVERT(D3459,"kg","lbm")*G3459/100</f>
        <v>0</v>
      </c>
      <c r="AB3459" t="s">
        <v>457</v>
      </c>
    </row>
    <row r="3460" spans="1:28">
      <c r="A3460" t="s">
        <v>113</v>
      </c>
      <c r="C3460" s="92">
        <v>4615475512</v>
      </c>
      <c r="D3460" s="93">
        <v>19175</v>
      </c>
      <c r="F3460" s="91">
        <v>16</v>
      </c>
      <c r="G3460" s="91">
        <v>0</v>
      </c>
      <c r="H3460" s="91">
        <v>0</v>
      </c>
      <c r="I3460" s="91">
        <v>0</v>
      </c>
      <c r="J3460" s="41"/>
      <c r="K3460" s="41">
        <v>43585</v>
      </c>
      <c r="L3460" s="69" t="s">
        <v>80</v>
      </c>
      <c r="M3460" s="69" t="s">
        <v>286</v>
      </c>
      <c r="N3460" s="95"/>
      <c r="P3460" t="s">
        <v>95</v>
      </c>
      <c r="Q3460" t="s">
        <v>110</v>
      </c>
      <c r="R3460" s="92" t="s">
        <v>69</v>
      </c>
      <c r="S3460" s="92" t="s">
        <v>115</v>
      </c>
      <c r="V3460" s="95">
        <v>43585</v>
      </c>
      <c r="W3460" s="92" t="s">
        <v>410</v>
      </c>
      <c r="X3460" s="90"/>
      <c r="Y3460" s="123"/>
      <c r="Z3460" s="30">
        <f t="shared" si="108"/>
        <v>6763.7822038320437</v>
      </c>
      <c r="AA3460" s="30">
        <f t="shared" si="109"/>
        <v>0</v>
      </c>
      <c r="AB3460" t="s">
        <v>457</v>
      </c>
    </row>
    <row r="3461" spans="1:28">
      <c r="A3461" t="s">
        <v>113</v>
      </c>
      <c r="C3461" s="92">
        <v>4615475512</v>
      </c>
      <c r="D3461" s="93">
        <v>19175</v>
      </c>
      <c r="F3461" s="91">
        <v>16</v>
      </c>
      <c r="G3461" s="91">
        <v>0</v>
      </c>
      <c r="H3461" s="91">
        <v>0</v>
      </c>
      <c r="I3461" s="91">
        <v>0</v>
      </c>
      <c r="J3461" s="41"/>
      <c r="K3461" s="41">
        <v>43585</v>
      </c>
      <c r="L3461" s="69" t="s">
        <v>80</v>
      </c>
      <c r="M3461" s="69" t="s">
        <v>286</v>
      </c>
      <c r="N3461" s="95"/>
      <c r="P3461" t="s">
        <v>95</v>
      </c>
      <c r="Q3461" t="s">
        <v>110</v>
      </c>
      <c r="R3461" s="92" t="s">
        <v>69</v>
      </c>
      <c r="S3461" s="92" t="s">
        <v>115</v>
      </c>
      <c r="V3461" s="95">
        <v>43585</v>
      </c>
      <c r="W3461" s="92" t="s">
        <v>410</v>
      </c>
      <c r="X3461" s="90"/>
      <c r="Y3461" s="123"/>
      <c r="Z3461" s="30">
        <f t="shared" si="108"/>
        <v>6763.7822038320437</v>
      </c>
      <c r="AA3461" s="30">
        <f t="shared" si="109"/>
        <v>0</v>
      </c>
      <c r="AB3461" t="s">
        <v>457</v>
      </c>
    </row>
    <row r="3462" spans="1:28">
      <c r="A3462" t="s">
        <v>113</v>
      </c>
      <c r="C3462" s="92">
        <v>4615475512</v>
      </c>
      <c r="D3462" s="93">
        <v>19175</v>
      </c>
      <c r="F3462" s="91">
        <v>16</v>
      </c>
      <c r="G3462" s="91">
        <v>0</v>
      </c>
      <c r="H3462" s="91">
        <v>0</v>
      </c>
      <c r="I3462" s="91">
        <v>0</v>
      </c>
      <c r="J3462" s="41"/>
      <c r="K3462" s="41">
        <v>43585</v>
      </c>
      <c r="L3462" s="69" t="s">
        <v>80</v>
      </c>
      <c r="M3462" s="69" t="s">
        <v>286</v>
      </c>
      <c r="N3462" s="95"/>
      <c r="P3462" t="s">
        <v>95</v>
      </c>
      <c r="Q3462" t="s">
        <v>110</v>
      </c>
      <c r="R3462" s="92" t="s">
        <v>69</v>
      </c>
      <c r="S3462" s="92" t="s">
        <v>115</v>
      </c>
      <c r="V3462" s="95">
        <v>43585</v>
      </c>
      <c r="W3462" s="92" t="s">
        <v>410</v>
      </c>
      <c r="X3462" s="90"/>
      <c r="Y3462" s="123"/>
      <c r="Z3462" s="30">
        <f t="shared" si="108"/>
        <v>6763.7822038320437</v>
      </c>
      <c r="AA3462" s="30">
        <f t="shared" si="109"/>
        <v>0</v>
      </c>
      <c r="AB3462" t="s">
        <v>457</v>
      </c>
    </row>
    <row r="3463" spans="1:28">
      <c r="A3463" t="s">
        <v>113</v>
      </c>
      <c r="C3463" s="92">
        <v>4615475512</v>
      </c>
      <c r="D3463" s="93">
        <v>19175</v>
      </c>
      <c r="F3463" s="91">
        <v>16</v>
      </c>
      <c r="G3463" s="91">
        <v>0</v>
      </c>
      <c r="H3463" s="91">
        <v>0</v>
      </c>
      <c r="I3463" s="91">
        <v>0</v>
      </c>
      <c r="J3463" s="41"/>
      <c r="K3463" s="41">
        <v>43585</v>
      </c>
      <c r="L3463" s="69" t="s">
        <v>80</v>
      </c>
      <c r="M3463" s="69" t="s">
        <v>286</v>
      </c>
      <c r="N3463" s="95"/>
      <c r="P3463" t="s">
        <v>95</v>
      </c>
      <c r="Q3463" t="s">
        <v>110</v>
      </c>
      <c r="R3463" s="92" t="s">
        <v>69</v>
      </c>
      <c r="S3463" s="92" t="s">
        <v>115</v>
      </c>
      <c r="V3463" s="95">
        <v>43585</v>
      </c>
      <c r="W3463" s="92" t="s">
        <v>410</v>
      </c>
      <c r="X3463" s="90"/>
      <c r="Y3463" s="123"/>
      <c r="Z3463" s="30">
        <f t="shared" si="108"/>
        <v>6763.7822038320437</v>
      </c>
      <c r="AA3463" s="30">
        <f t="shared" si="109"/>
        <v>0</v>
      </c>
      <c r="AB3463" t="s">
        <v>457</v>
      </c>
    </row>
    <row r="3464" spans="1:28">
      <c r="A3464" t="s">
        <v>113</v>
      </c>
      <c r="C3464" s="92">
        <v>4615475512</v>
      </c>
      <c r="D3464" s="93">
        <v>19175</v>
      </c>
      <c r="F3464" s="91">
        <v>16</v>
      </c>
      <c r="G3464" s="91">
        <v>0</v>
      </c>
      <c r="H3464" s="91">
        <v>0</v>
      </c>
      <c r="I3464" s="91">
        <v>0</v>
      </c>
      <c r="J3464" s="41"/>
      <c r="K3464" s="41">
        <v>43585</v>
      </c>
      <c r="L3464" s="69" t="s">
        <v>80</v>
      </c>
      <c r="M3464" s="69" t="s">
        <v>286</v>
      </c>
      <c r="N3464" s="95"/>
      <c r="P3464" t="s">
        <v>95</v>
      </c>
      <c r="Q3464" t="s">
        <v>110</v>
      </c>
      <c r="R3464" s="92" t="s">
        <v>69</v>
      </c>
      <c r="S3464" s="92" t="s">
        <v>115</v>
      </c>
      <c r="V3464" s="95">
        <v>43585</v>
      </c>
      <c r="W3464" s="92" t="s">
        <v>410</v>
      </c>
      <c r="X3464" s="90"/>
      <c r="Y3464" s="123"/>
      <c r="Z3464" s="30">
        <f t="shared" si="108"/>
        <v>6763.7822038320437</v>
      </c>
      <c r="AA3464" s="30">
        <f t="shared" si="109"/>
        <v>0</v>
      </c>
      <c r="AB3464" t="s">
        <v>457</v>
      </c>
    </row>
    <row r="3465" spans="1:28">
      <c r="A3465" t="s">
        <v>113</v>
      </c>
      <c r="C3465" s="92">
        <v>4615475512</v>
      </c>
      <c r="D3465" s="93">
        <v>19175</v>
      </c>
      <c r="F3465" s="91">
        <v>16</v>
      </c>
      <c r="G3465" s="91">
        <v>0</v>
      </c>
      <c r="H3465" s="91">
        <v>0</v>
      </c>
      <c r="I3465" s="91">
        <v>0</v>
      </c>
      <c r="J3465" s="41"/>
      <c r="K3465" s="41">
        <v>43585</v>
      </c>
      <c r="L3465" s="69" t="s">
        <v>80</v>
      </c>
      <c r="M3465" s="69" t="s">
        <v>286</v>
      </c>
      <c r="N3465" s="95"/>
      <c r="P3465" t="s">
        <v>95</v>
      </c>
      <c r="Q3465" t="s">
        <v>110</v>
      </c>
      <c r="R3465" s="92" t="s">
        <v>69</v>
      </c>
      <c r="S3465" s="92" t="s">
        <v>115</v>
      </c>
      <c r="V3465" s="95">
        <v>43585</v>
      </c>
      <c r="W3465" s="92" t="s">
        <v>410</v>
      </c>
      <c r="X3465" s="90"/>
      <c r="Y3465" s="123"/>
      <c r="Z3465" s="30">
        <f t="shared" si="108"/>
        <v>6763.7822038320437</v>
      </c>
      <c r="AA3465" s="30">
        <f t="shared" si="109"/>
        <v>0</v>
      </c>
      <c r="AB3465" t="s">
        <v>457</v>
      </c>
    </row>
    <row r="3466" spans="1:28">
      <c r="A3466" t="s">
        <v>113</v>
      </c>
      <c r="C3466" s="92">
        <v>4615475512</v>
      </c>
      <c r="D3466" s="93">
        <v>19175</v>
      </c>
      <c r="F3466" s="91">
        <v>16</v>
      </c>
      <c r="G3466" s="91">
        <v>0</v>
      </c>
      <c r="H3466" s="91">
        <v>0</v>
      </c>
      <c r="I3466" s="91">
        <v>0</v>
      </c>
      <c r="J3466" s="41"/>
      <c r="K3466" s="41">
        <v>43585</v>
      </c>
      <c r="L3466" s="69" t="s">
        <v>80</v>
      </c>
      <c r="M3466" s="69" t="s">
        <v>286</v>
      </c>
      <c r="N3466" s="95"/>
      <c r="P3466" t="s">
        <v>95</v>
      </c>
      <c r="Q3466" t="s">
        <v>110</v>
      </c>
      <c r="R3466" s="92" t="s">
        <v>69</v>
      </c>
      <c r="S3466" s="92" t="s">
        <v>115</v>
      </c>
      <c r="V3466" s="95">
        <v>43585</v>
      </c>
      <c r="W3466" s="92" t="s">
        <v>410</v>
      </c>
      <c r="X3466" s="90"/>
      <c r="Y3466" s="123"/>
      <c r="Z3466" s="30">
        <f t="shared" si="108"/>
        <v>6763.7822038320437</v>
      </c>
      <c r="AA3466" s="30">
        <f t="shared" si="109"/>
        <v>0</v>
      </c>
      <c r="AB3466" t="s">
        <v>457</v>
      </c>
    </row>
    <row r="3467" spans="1:28">
      <c r="A3467" t="s">
        <v>113</v>
      </c>
      <c r="C3467" s="92">
        <v>4615475512</v>
      </c>
      <c r="D3467" s="93">
        <v>19175</v>
      </c>
      <c r="F3467" s="91">
        <v>16</v>
      </c>
      <c r="G3467" s="91">
        <v>0</v>
      </c>
      <c r="H3467" s="91">
        <v>0</v>
      </c>
      <c r="I3467" s="91">
        <v>0</v>
      </c>
      <c r="J3467" s="41"/>
      <c r="K3467" s="41">
        <v>43585</v>
      </c>
      <c r="L3467" s="69" t="s">
        <v>80</v>
      </c>
      <c r="M3467" s="69" t="s">
        <v>286</v>
      </c>
      <c r="N3467" s="95"/>
      <c r="P3467" t="s">
        <v>95</v>
      </c>
      <c r="Q3467" t="s">
        <v>110</v>
      </c>
      <c r="R3467" s="92" t="s">
        <v>69</v>
      </c>
      <c r="S3467" s="92" t="s">
        <v>115</v>
      </c>
      <c r="V3467" s="95">
        <v>43585</v>
      </c>
      <c r="W3467" s="92" t="s">
        <v>410</v>
      </c>
      <c r="X3467" s="90"/>
      <c r="Y3467" s="123"/>
      <c r="Z3467" s="30">
        <f t="shared" si="108"/>
        <v>6763.7822038320437</v>
      </c>
      <c r="AA3467" s="30">
        <f t="shared" si="109"/>
        <v>0</v>
      </c>
      <c r="AB3467" t="s">
        <v>457</v>
      </c>
    </row>
    <row r="3468" spans="1:28">
      <c r="A3468" t="s">
        <v>113</v>
      </c>
      <c r="C3468" s="92">
        <v>4615475512</v>
      </c>
      <c r="D3468" s="93">
        <v>19175</v>
      </c>
      <c r="F3468" s="91">
        <v>16</v>
      </c>
      <c r="G3468" s="91">
        <v>0</v>
      </c>
      <c r="H3468" s="91">
        <v>0</v>
      </c>
      <c r="I3468" s="91">
        <v>0</v>
      </c>
      <c r="J3468" s="41"/>
      <c r="K3468" s="41">
        <v>43585</v>
      </c>
      <c r="L3468" s="69" t="s">
        <v>80</v>
      </c>
      <c r="M3468" s="69" t="s">
        <v>286</v>
      </c>
      <c r="N3468" s="95"/>
      <c r="P3468" t="s">
        <v>95</v>
      </c>
      <c r="Q3468" t="s">
        <v>110</v>
      </c>
      <c r="R3468" s="92" t="s">
        <v>69</v>
      </c>
      <c r="S3468" s="92" t="s">
        <v>115</v>
      </c>
      <c r="V3468" s="95">
        <v>43585</v>
      </c>
      <c r="W3468" s="92" t="s">
        <v>410</v>
      </c>
      <c r="X3468" s="90"/>
      <c r="Y3468" s="123"/>
      <c r="Z3468" s="30">
        <f t="shared" si="108"/>
        <v>6763.7822038320437</v>
      </c>
      <c r="AA3468" s="30">
        <f t="shared" si="109"/>
        <v>0</v>
      </c>
      <c r="AB3468" t="s">
        <v>457</v>
      </c>
    </row>
    <row r="3469" spans="1:28">
      <c r="A3469" t="s">
        <v>113</v>
      </c>
      <c r="C3469" s="92">
        <v>4615475512</v>
      </c>
      <c r="D3469" s="93">
        <v>19175</v>
      </c>
      <c r="F3469" s="91">
        <v>16</v>
      </c>
      <c r="G3469" s="91">
        <v>0</v>
      </c>
      <c r="H3469" s="91">
        <v>0</v>
      </c>
      <c r="I3469" s="91">
        <v>0</v>
      </c>
      <c r="J3469" s="41"/>
      <c r="K3469" s="41">
        <v>43585</v>
      </c>
      <c r="L3469" s="69" t="s">
        <v>80</v>
      </c>
      <c r="M3469" s="69" t="s">
        <v>286</v>
      </c>
      <c r="N3469" s="95"/>
      <c r="P3469" t="s">
        <v>95</v>
      </c>
      <c r="Q3469" t="s">
        <v>110</v>
      </c>
      <c r="R3469" s="92" t="s">
        <v>69</v>
      </c>
      <c r="S3469" s="92" t="s">
        <v>115</v>
      </c>
      <c r="V3469" s="95">
        <v>43585</v>
      </c>
      <c r="W3469" s="92" t="s">
        <v>410</v>
      </c>
      <c r="X3469" s="90"/>
      <c r="Y3469" s="123"/>
      <c r="Z3469" s="30">
        <f t="shared" si="108"/>
        <v>6763.7822038320437</v>
      </c>
      <c r="AA3469" s="30">
        <f t="shared" si="109"/>
        <v>0</v>
      </c>
      <c r="AB3469" t="s">
        <v>457</v>
      </c>
    </row>
    <row r="3470" spans="1:28">
      <c r="A3470" t="s">
        <v>113</v>
      </c>
      <c r="C3470" s="92">
        <v>4615475512</v>
      </c>
      <c r="D3470" s="93">
        <v>19175</v>
      </c>
      <c r="F3470" s="91">
        <v>16</v>
      </c>
      <c r="G3470" s="91">
        <v>0</v>
      </c>
      <c r="H3470" s="91">
        <v>0</v>
      </c>
      <c r="I3470" s="91">
        <v>0</v>
      </c>
      <c r="J3470" s="41"/>
      <c r="K3470" s="41">
        <v>43585</v>
      </c>
      <c r="L3470" s="69" t="s">
        <v>80</v>
      </c>
      <c r="M3470" s="69" t="s">
        <v>286</v>
      </c>
      <c r="N3470" s="95"/>
      <c r="P3470" t="s">
        <v>95</v>
      </c>
      <c r="Q3470" t="s">
        <v>110</v>
      </c>
      <c r="R3470" s="92" t="s">
        <v>69</v>
      </c>
      <c r="S3470" s="92" t="s">
        <v>115</v>
      </c>
      <c r="V3470" s="95">
        <v>43585</v>
      </c>
      <c r="W3470" s="92" t="s">
        <v>410</v>
      </c>
      <c r="X3470" s="90"/>
      <c r="Y3470" s="123"/>
      <c r="Z3470" s="30">
        <f t="shared" si="108"/>
        <v>6763.7822038320437</v>
      </c>
      <c r="AA3470" s="30">
        <f t="shared" si="109"/>
        <v>0</v>
      </c>
      <c r="AB3470" t="s">
        <v>457</v>
      </c>
    </row>
    <row r="3471" spans="1:28">
      <c r="A3471" t="s">
        <v>113</v>
      </c>
      <c r="C3471" s="92">
        <v>4615475512</v>
      </c>
      <c r="D3471" s="93">
        <v>19175</v>
      </c>
      <c r="F3471" s="91">
        <v>16</v>
      </c>
      <c r="G3471" s="91">
        <v>0</v>
      </c>
      <c r="H3471" s="91">
        <v>0</v>
      </c>
      <c r="I3471" s="91">
        <v>0</v>
      </c>
      <c r="J3471" s="41"/>
      <c r="K3471" s="41">
        <v>43585</v>
      </c>
      <c r="L3471" s="69" t="s">
        <v>80</v>
      </c>
      <c r="M3471" s="69" t="s">
        <v>286</v>
      </c>
      <c r="N3471" s="95"/>
      <c r="P3471" t="s">
        <v>95</v>
      </c>
      <c r="Q3471" t="s">
        <v>110</v>
      </c>
      <c r="R3471" s="92" t="s">
        <v>69</v>
      </c>
      <c r="S3471" s="92" t="s">
        <v>115</v>
      </c>
      <c r="V3471" s="95">
        <v>43585</v>
      </c>
      <c r="W3471" s="92" t="s">
        <v>410</v>
      </c>
      <c r="X3471" s="90"/>
      <c r="Y3471" s="123"/>
      <c r="Z3471" s="30">
        <f t="shared" si="108"/>
        <v>6763.7822038320437</v>
      </c>
      <c r="AA3471" s="30">
        <f t="shared" si="109"/>
        <v>0</v>
      </c>
      <c r="AB3471" t="s">
        <v>457</v>
      </c>
    </row>
    <row r="3472" spans="1:28">
      <c r="A3472" t="s">
        <v>113</v>
      </c>
      <c r="C3472" s="92">
        <v>4615475512</v>
      </c>
      <c r="D3472" s="93">
        <v>19175</v>
      </c>
      <c r="F3472" s="91">
        <v>16</v>
      </c>
      <c r="G3472" s="91">
        <v>0</v>
      </c>
      <c r="H3472" s="91">
        <v>0</v>
      </c>
      <c r="I3472" s="91">
        <v>0</v>
      </c>
      <c r="J3472" s="41"/>
      <c r="K3472" s="41">
        <v>43585</v>
      </c>
      <c r="L3472" s="69" t="s">
        <v>80</v>
      </c>
      <c r="M3472" s="69" t="s">
        <v>286</v>
      </c>
      <c r="N3472" s="95"/>
      <c r="P3472" t="s">
        <v>95</v>
      </c>
      <c r="Q3472" t="s">
        <v>110</v>
      </c>
      <c r="R3472" s="92" t="s">
        <v>69</v>
      </c>
      <c r="S3472" s="92" t="s">
        <v>115</v>
      </c>
      <c r="V3472" s="95">
        <v>43585</v>
      </c>
      <c r="W3472" s="92" t="s">
        <v>410</v>
      </c>
      <c r="X3472" s="90"/>
      <c r="Y3472" s="123"/>
      <c r="Z3472" s="30">
        <f t="shared" si="108"/>
        <v>6763.7822038320437</v>
      </c>
      <c r="AA3472" s="30">
        <f t="shared" si="109"/>
        <v>0</v>
      </c>
      <c r="AB3472" t="s">
        <v>457</v>
      </c>
    </row>
    <row r="3473" spans="1:28">
      <c r="A3473" t="s">
        <v>113</v>
      </c>
      <c r="C3473" s="92">
        <v>4615475512</v>
      </c>
      <c r="D3473" s="93">
        <v>19175</v>
      </c>
      <c r="F3473" s="91">
        <v>16</v>
      </c>
      <c r="G3473" s="91">
        <v>0</v>
      </c>
      <c r="H3473" s="91">
        <v>0</v>
      </c>
      <c r="I3473" s="91">
        <v>0</v>
      </c>
      <c r="J3473" s="41"/>
      <c r="K3473" s="41">
        <v>43585</v>
      </c>
      <c r="L3473" s="69" t="s">
        <v>80</v>
      </c>
      <c r="M3473" s="69" t="s">
        <v>286</v>
      </c>
      <c r="N3473" s="95"/>
      <c r="P3473" t="s">
        <v>95</v>
      </c>
      <c r="Q3473" t="s">
        <v>110</v>
      </c>
      <c r="R3473" s="92" t="s">
        <v>69</v>
      </c>
      <c r="S3473" s="92" t="s">
        <v>115</v>
      </c>
      <c r="V3473" s="95">
        <v>43585</v>
      </c>
      <c r="W3473" s="92" t="s">
        <v>410</v>
      </c>
      <c r="X3473" s="90"/>
      <c r="Y3473" s="123"/>
      <c r="Z3473" s="30">
        <f t="shared" si="108"/>
        <v>6763.7822038320437</v>
      </c>
      <c r="AA3473" s="30">
        <f t="shared" si="109"/>
        <v>0</v>
      </c>
      <c r="AB3473" t="s">
        <v>457</v>
      </c>
    </row>
    <row r="3474" spans="1:28">
      <c r="A3474" t="s">
        <v>113</v>
      </c>
      <c r="C3474" s="92">
        <v>4615475512</v>
      </c>
      <c r="D3474" s="93">
        <v>19175</v>
      </c>
      <c r="F3474" s="91">
        <v>16</v>
      </c>
      <c r="G3474" s="91">
        <v>0</v>
      </c>
      <c r="H3474" s="91">
        <v>0</v>
      </c>
      <c r="I3474" s="91">
        <v>0</v>
      </c>
      <c r="J3474" s="41"/>
      <c r="K3474" s="41">
        <v>43585</v>
      </c>
      <c r="L3474" s="69" t="s">
        <v>80</v>
      </c>
      <c r="M3474" s="69" t="s">
        <v>286</v>
      </c>
      <c r="N3474" s="95"/>
      <c r="P3474" t="s">
        <v>95</v>
      </c>
      <c r="Q3474" t="s">
        <v>110</v>
      </c>
      <c r="R3474" s="92" t="s">
        <v>69</v>
      </c>
      <c r="S3474" s="92" t="s">
        <v>115</v>
      </c>
      <c r="V3474" s="95">
        <v>43585</v>
      </c>
      <c r="W3474" s="92" t="s">
        <v>410</v>
      </c>
      <c r="X3474" s="90"/>
      <c r="Y3474" s="123"/>
      <c r="Z3474" s="30">
        <f t="shared" si="108"/>
        <v>6763.7822038320437</v>
      </c>
      <c r="AA3474" s="30">
        <f t="shared" si="109"/>
        <v>0</v>
      </c>
      <c r="AB3474" t="s">
        <v>457</v>
      </c>
    </row>
    <row r="3475" spans="1:28">
      <c r="A3475" t="s">
        <v>113</v>
      </c>
      <c r="C3475" s="92">
        <v>4615504935</v>
      </c>
      <c r="D3475" s="93">
        <v>19175</v>
      </c>
      <c r="F3475" s="91">
        <v>16</v>
      </c>
      <c r="G3475" s="91">
        <v>5</v>
      </c>
      <c r="H3475" s="91">
        <v>0</v>
      </c>
      <c r="I3475" s="91">
        <v>0</v>
      </c>
      <c r="J3475" s="41"/>
      <c r="K3475" s="41">
        <v>43585</v>
      </c>
      <c r="L3475" s="69" t="s">
        <v>80</v>
      </c>
      <c r="M3475" s="69" t="s">
        <v>286</v>
      </c>
      <c r="N3475" s="95"/>
      <c r="P3475" t="s">
        <v>95</v>
      </c>
      <c r="Q3475" t="s">
        <v>110</v>
      </c>
      <c r="R3475" s="92" t="s">
        <v>69</v>
      </c>
      <c r="S3475" s="92" t="s">
        <v>115</v>
      </c>
      <c r="V3475" s="95">
        <v>43585</v>
      </c>
      <c r="W3475" s="92" t="s">
        <v>411</v>
      </c>
      <c r="X3475" s="90"/>
      <c r="Y3475" s="123"/>
      <c r="Z3475" s="30">
        <f t="shared" si="108"/>
        <v>6763.7822038320437</v>
      </c>
      <c r="AA3475" s="30">
        <f t="shared" si="109"/>
        <v>2113.6819386975139</v>
      </c>
      <c r="AB3475" t="s">
        <v>457</v>
      </c>
    </row>
    <row r="3476" spans="1:28">
      <c r="A3476" t="s">
        <v>113</v>
      </c>
      <c r="C3476" s="92">
        <v>4615504935</v>
      </c>
      <c r="D3476" s="93">
        <v>19175</v>
      </c>
      <c r="F3476" s="91">
        <v>16</v>
      </c>
      <c r="G3476" s="91">
        <v>5</v>
      </c>
      <c r="H3476" s="91">
        <v>0</v>
      </c>
      <c r="I3476" s="91">
        <v>0</v>
      </c>
      <c r="J3476" s="41"/>
      <c r="K3476" s="41">
        <v>43585</v>
      </c>
      <c r="L3476" s="69" t="s">
        <v>80</v>
      </c>
      <c r="M3476" s="69" t="s">
        <v>286</v>
      </c>
      <c r="N3476" s="95"/>
      <c r="P3476" t="s">
        <v>95</v>
      </c>
      <c r="Q3476" t="s">
        <v>110</v>
      </c>
      <c r="R3476" s="92" t="s">
        <v>69</v>
      </c>
      <c r="S3476" s="92" t="s">
        <v>115</v>
      </c>
      <c r="V3476" s="95">
        <v>43585</v>
      </c>
      <c r="W3476" s="92" t="s">
        <v>411</v>
      </c>
      <c r="X3476" s="90"/>
      <c r="Y3476" s="123"/>
      <c r="Z3476" s="30">
        <f t="shared" si="108"/>
        <v>6763.7822038320437</v>
      </c>
      <c r="AA3476" s="30">
        <f t="shared" si="109"/>
        <v>2113.6819386975139</v>
      </c>
      <c r="AB3476" t="s">
        <v>457</v>
      </c>
    </row>
    <row r="3477" spans="1:28">
      <c r="A3477" t="s">
        <v>113</v>
      </c>
      <c r="C3477" s="92">
        <v>4615504935</v>
      </c>
      <c r="D3477" s="93">
        <v>19175</v>
      </c>
      <c r="F3477" s="91">
        <v>16</v>
      </c>
      <c r="G3477" s="91">
        <v>5</v>
      </c>
      <c r="H3477" s="91">
        <v>0</v>
      </c>
      <c r="I3477" s="91">
        <v>0</v>
      </c>
      <c r="J3477" s="41"/>
      <c r="K3477" s="41">
        <v>43585</v>
      </c>
      <c r="L3477" s="69" t="s">
        <v>80</v>
      </c>
      <c r="M3477" s="69" t="s">
        <v>286</v>
      </c>
      <c r="N3477" s="95"/>
      <c r="P3477" t="s">
        <v>95</v>
      </c>
      <c r="Q3477" t="s">
        <v>110</v>
      </c>
      <c r="R3477" s="92" t="s">
        <v>69</v>
      </c>
      <c r="S3477" s="92" t="s">
        <v>115</v>
      </c>
      <c r="V3477" s="95">
        <v>43585</v>
      </c>
      <c r="W3477" s="92" t="s">
        <v>411</v>
      </c>
      <c r="X3477" s="90"/>
      <c r="Y3477" s="123"/>
      <c r="Z3477" s="30">
        <f t="shared" si="108"/>
        <v>6763.7822038320437</v>
      </c>
      <c r="AA3477" s="30">
        <f t="shared" si="109"/>
        <v>2113.6819386975139</v>
      </c>
      <c r="AB3477" t="s">
        <v>457</v>
      </c>
    </row>
    <row r="3478" spans="1:28">
      <c r="A3478" t="s">
        <v>113</v>
      </c>
      <c r="C3478" s="92">
        <v>4615504935</v>
      </c>
      <c r="D3478" s="93">
        <v>19175</v>
      </c>
      <c r="F3478" s="91">
        <v>16</v>
      </c>
      <c r="G3478" s="91">
        <v>5</v>
      </c>
      <c r="H3478" s="91">
        <v>0</v>
      </c>
      <c r="I3478" s="91">
        <v>0</v>
      </c>
      <c r="J3478" s="41"/>
      <c r="K3478" s="41">
        <v>43585</v>
      </c>
      <c r="L3478" s="69" t="s">
        <v>80</v>
      </c>
      <c r="M3478" s="69" t="s">
        <v>286</v>
      </c>
      <c r="N3478" s="95"/>
      <c r="P3478" t="s">
        <v>95</v>
      </c>
      <c r="Q3478" t="s">
        <v>110</v>
      </c>
      <c r="R3478" s="92" t="s">
        <v>69</v>
      </c>
      <c r="S3478" s="92" t="s">
        <v>115</v>
      </c>
      <c r="V3478" s="95">
        <v>43585</v>
      </c>
      <c r="W3478" s="92" t="s">
        <v>411</v>
      </c>
      <c r="X3478" s="90"/>
      <c r="Y3478" s="123"/>
      <c r="Z3478" s="30">
        <f t="shared" si="108"/>
        <v>6763.7822038320437</v>
      </c>
      <c r="AA3478" s="30">
        <f t="shared" si="109"/>
        <v>2113.6819386975139</v>
      </c>
      <c r="AB3478" t="s">
        <v>457</v>
      </c>
    </row>
    <row r="3479" spans="1:28">
      <c r="A3479" t="s">
        <v>113</v>
      </c>
      <c r="C3479" s="92">
        <v>4615504935</v>
      </c>
      <c r="D3479" s="93">
        <v>19175</v>
      </c>
      <c r="F3479" s="91">
        <v>16</v>
      </c>
      <c r="G3479" s="91">
        <v>5</v>
      </c>
      <c r="H3479" s="91">
        <v>0</v>
      </c>
      <c r="I3479" s="91">
        <v>0</v>
      </c>
      <c r="J3479" s="41"/>
      <c r="K3479" s="41">
        <v>43585</v>
      </c>
      <c r="L3479" s="69" t="s">
        <v>80</v>
      </c>
      <c r="M3479" s="69" t="s">
        <v>286</v>
      </c>
      <c r="N3479" s="95"/>
      <c r="P3479" t="s">
        <v>95</v>
      </c>
      <c r="Q3479" t="s">
        <v>110</v>
      </c>
      <c r="R3479" s="92" t="s">
        <v>69</v>
      </c>
      <c r="S3479" s="92" t="s">
        <v>115</v>
      </c>
      <c r="V3479" s="95">
        <v>43585</v>
      </c>
      <c r="W3479" s="92" t="s">
        <v>411</v>
      </c>
      <c r="X3479" s="90"/>
      <c r="Y3479" s="123"/>
      <c r="Z3479" s="30">
        <f t="shared" si="108"/>
        <v>6763.7822038320437</v>
      </c>
      <c r="AA3479" s="30">
        <f t="shared" si="109"/>
        <v>2113.6819386975139</v>
      </c>
      <c r="AB3479" t="s">
        <v>457</v>
      </c>
    </row>
    <row r="3480" spans="1:28">
      <c r="A3480" t="s">
        <v>113</v>
      </c>
      <c r="C3480" s="92">
        <v>4615504935</v>
      </c>
      <c r="D3480" s="93">
        <v>19175</v>
      </c>
      <c r="F3480" s="91">
        <v>16</v>
      </c>
      <c r="G3480" s="91">
        <v>5</v>
      </c>
      <c r="H3480" s="91">
        <v>0</v>
      </c>
      <c r="I3480" s="91">
        <v>0</v>
      </c>
      <c r="J3480" s="41"/>
      <c r="K3480" s="41">
        <v>43585</v>
      </c>
      <c r="L3480" s="69" t="s">
        <v>80</v>
      </c>
      <c r="M3480" s="69" t="s">
        <v>286</v>
      </c>
      <c r="N3480" s="95"/>
      <c r="P3480" t="s">
        <v>95</v>
      </c>
      <c r="Q3480" t="s">
        <v>110</v>
      </c>
      <c r="R3480" s="92" t="s">
        <v>69</v>
      </c>
      <c r="S3480" s="92" t="s">
        <v>115</v>
      </c>
      <c r="V3480" s="95">
        <v>43585</v>
      </c>
      <c r="W3480" s="92" t="s">
        <v>411</v>
      </c>
      <c r="X3480" s="90"/>
      <c r="Y3480" s="123"/>
      <c r="Z3480" s="30">
        <f t="shared" si="108"/>
        <v>6763.7822038320437</v>
      </c>
      <c r="AA3480" s="30">
        <f t="shared" si="109"/>
        <v>2113.6819386975139</v>
      </c>
      <c r="AB3480" t="s">
        <v>457</v>
      </c>
    </row>
    <row r="3481" spans="1:28">
      <c r="A3481" t="s">
        <v>113</v>
      </c>
      <c r="C3481" s="92">
        <v>4615504935</v>
      </c>
      <c r="D3481" s="93">
        <v>19175</v>
      </c>
      <c r="F3481" s="91">
        <v>16</v>
      </c>
      <c r="G3481" s="91">
        <v>5</v>
      </c>
      <c r="H3481" s="91">
        <v>0</v>
      </c>
      <c r="I3481" s="91">
        <v>0</v>
      </c>
      <c r="J3481" s="41"/>
      <c r="K3481" s="41">
        <v>43585</v>
      </c>
      <c r="L3481" s="69" t="s">
        <v>80</v>
      </c>
      <c r="M3481" s="69" t="s">
        <v>286</v>
      </c>
      <c r="N3481" s="95"/>
      <c r="P3481" t="s">
        <v>95</v>
      </c>
      <c r="Q3481" t="s">
        <v>110</v>
      </c>
      <c r="R3481" s="92" t="s">
        <v>69</v>
      </c>
      <c r="S3481" s="92" t="s">
        <v>115</v>
      </c>
      <c r="V3481" s="95">
        <v>43585</v>
      </c>
      <c r="W3481" s="92" t="s">
        <v>411</v>
      </c>
      <c r="X3481" s="90"/>
      <c r="Y3481" s="123"/>
      <c r="Z3481" s="30">
        <f t="shared" si="108"/>
        <v>6763.7822038320437</v>
      </c>
      <c r="AA3481" s="30">
        <f t="shared" si="109"/>
        <v>2113.6819386975139</v>
      </c>
      <c r="AB3481" t="s">
        <v>457</v>
      </c>
    </row>
    <row r="3482" spans="1:28">
      <c r="A3482" t="s">
        <v>113</v>
      </c>
      <c r="C3482" s="92">
        <v>4615504935</v>
      </c>
      <c r="D3482" s="93">
        <v>19175</v>
      </c>
      <c r="F3482" s="91">
        <v>16</v>
      </c>
      <c r="G3482" s="91">
        <v>5</v>
      </c>
      <c r="H3482" s="91">
        <v>0</v>
      </c>
      <c r="I3482" s="91">
        <v>0</v>
      </c>
      <c r="J3482" s="41"/>
      <c r="K3482" s="41">
        <v>43585</v>
      </c>
      <c r="L3482" s="69" t="s">
        <v>80</v>
      </c>
      <c r="M3482" s="69" t="s">
        <v>286</v>
      </c>
      <c r="N3482" s="95"/>
      <c r="P3482" t="s">
        <v>95</v>
      </c>
      <c r="Q3482" t="s">
        <v>110</v>
      </c>
      <c r="R3482" s="92" t="s">
        <v>69</v>
      </c>
      <c r="S3482" s="92" t="s">
        <v>115</v>
      </c>
      <c r="V3482" s="95">
        <v>43585</v>
      </c>
      <c r="W3482" s="92" t="s">
        <v>411</v>
      </c>
      <c r="X3482" s="90"/>
      <c r="Y3482" s="123"/>
      <c r="Z3482" s="30">
        <f t="shared" si="108"/>
        <v>6763.7822038320437</v>
      </c>
      <c r="AA3482" s="30">
        <f t="shared" si="109"/>
        <v>2113.6819386975139</v>
      </c>
      <c r="AB3482" t="s">
        <v>457</v>
      </c>
    </row>
    <row r="3483" spans="1:28">
      <c r="A3483" t="s">
        <v>113</v>
      </c>
      <c r="C3483" s="92">
        <v>4615504935</v>
      </c>
      <c r="D3483" s="93">
        <v>19175</v>
      </c>
      <c r="F3483" s="91">
        <v>16</v>
      </c>
      <c r="G3483" s="91">
        <v>5</v>
      </c>
      <c r="H3483" s="91">
        <v>0</v>
      </c>
      <c r="I3483" s="91">
        <v>0</v>
      </c>
      <c r="J3483" s="41"/>
      <c r="K3483" s="41">
        <v>43585</v>
      </c>
      <c r="L3483" s="69" t="s">
        <v>80</v>
      </c>
      <c r="M3483" s="69" t="s">
        <v>286</v>
      </c>
      <c r="N3483" s="95"/>
      <c r="P3483" t="s">
        <v>95</v>
      </c>
      <c r="Q3483" t="s">
        <v>110</v>
      </c>
      <c r="R3483" s="92" t="s">
        <v>69</v>
      </c>
      <c r="S3483" s="92" t="s">
        <v>115</v>
      </c>
      <c r="V3483" s="95">
        <v>43585</v>
      </c>
      <c r="W3483" s="92" t="s">
        <v>411</v>
      </c>
      <c r="X3483" s="90"/>
      <c r="Y3483" s="123"/>
      <c r="Z3483" s="30">
        <f t="shared" si="108"/>
        <v>6763.7822038320437</v>
      </c>
      <c r="AA3483" s="30">
        <f t="shared" si="109"/>
        <v>2113.6819386975139</v>
      </c>
      <c r="AB3483" t="s">
        <v>457</v>
      </c>
    </row>
    <row r="3484" spans="1:28">
      <c r="A3484" t="s">
        <v>113</v>
      </c>
      <c r="C3484" s="92">
        <v>4615504935</v>
      </c>
      <c r="D3484" s="93">
        <v>19175</v>
      </c>
      <c r="F3484" s="91">
        <v>16</v>
      </c>
      <c r="G3484" s="91">
        <v>5</v>
      </c>
      <c r="H3484" s="91">
        <v>0</v>
      </c>
      <c r="I3484" s="91">
        <v>0</v>
      </c>
      <c r="J3484" s="41"/>
      <c r="K3484" s="41">
        <v>43585</v>
      </c>
      <c r="L3484" s="69" t="s">
        <v>80</v>
      </c>
      <c r="M3484" s="69" t="s">
        <v>286</v>
      </c>
      <c r="N3484" s="95"/>
      <c r="P3484" t="s">
        <v>95</v>
      </c>
      <c r="Q3484" t="s">
        <v>110</v>
      </c>
      <c r="R3484" s="92" t="s">
        <v>69</v>
      </c>
      <c r="S3484" s="92" t="s">
        <v>115</v>
      </c>
      <c r="V3484" s="95">
        <v>43585</v>
      </c>
      <c r="W3484" s="92" t="s">
        <v>411</v>
      </c>
      <c r="X3484" s="90"/>
      <c r="Y3484" s="123"/>
      <c r="Z3484" s="30">
        <f t="shared" si="108"/>
        <v>6763.7822038320437</v>
      </c>
      <c r="AA3484" s="30">
        <f t="shared" si="109"/>
        <v>2113.6819386975139</v>
      </c>
      <c r="AB3484" t="s">
        <v>457</v>
      </c>
    </row>
    <row r="3485" spans="1:28">
      <c r="A3485" t="s">
        <v>122</v>
      </c>
      <c r="C3485" s="92">
        <v>4615463601</v>
      </c>
      <c r="D3485" s="93">
        <v>19200</v>
      </c>
      <c r="F3485" s="94">
        <v>16</v>
      </c>
      <c r="G3485" s="94">
        <v>5</v>
      </c>
      <c r="H3485" s="91">
        <v>0</v>
      </c>
      <c r="I3485" s="91">
        <v>0</v>
      </c>
      <c r="J3485" s="41"/>
      <c r="K3485" s="41">
        <v>43616</v>
      </c>
      <c r="L3485" s="69" t="s">
        <v>80</v>
      </c>
      <c r="M3485" s="69" t="s">
        <v>286</v>
      </c>
      <c r="N3485" s="95"/>
      <c r="P3485" t="s">
        <v>95</v>
      </c>
      <c r="Q3485" t="s">
        <v>120</v>
      </c>
      <c r="R3485" s="92" t="s">
        <v>69</v>
      </c>
      <c r="S3485" s="92" t="s">
        <v>394</v>
      </c>
      <c r="V3485" s="95">
        <v>43616</v>
      </c>
      <c r="W3485" s="92">
        <v>2033916</v>
      </c>
      <c r="X3485" s="90"/>
      <c r="Y3485" s="123"/>
      <c r="Z3485" s="30">
        <f t="shared" si="108"/>
        <v>6772.6006943194379</v>
      </c>
      <c r="AA3485" s="30">
        <f t="shared" si="109"/>
        <v>2116.4377169748245</v>
      </c>
      <c r="AB3485" t="s">
        <v>457</v>
      </c>
    </row>
    <row r="3486" spans="1:28">
      <c r="A3486" t="s">
        <v>122</v>
      </c>
      <c r="C3486" s="92">
        <v>4615463601</v>
      </c>
      <c r="D3486" s="93">
        <v>19200</v>
      </c>
      <c r="F3486" s="94">
        <v>16</v>
      </c>
      <c r="G3486" s="94">
        <v>5</v>
      </c>
      <c r="H3486" s="91">
        <v>0</v>
      </c>
      <c r="I3486" s="91">
        <v>0</v>
      </c>
      <c r="J3486" s="41"/>
      <c r="K3486" s="41">
        <v>43616</v>
      </c>
      <c r="L3486" s="69" t="s">
        <v>80</v>
      </c>
      <c r="M3486" s="69" t="s">
        <v>286</v>
      </c>
      <c r="N3486" s="95"/>
      <c r="P3486" t="s">
        <v>95</v>
      </c>
      <c r="Q3486" t="s">
        <v>120</v>
      </c>
      <c r="R3486" s="92" t="s">
        <v>69</v>
      </c>
      <c r="S3486" s="92" t="s">
        <v>394</v>
      </c>
      <c r="V3486" s="95">
        <v>43616</v>
      </c>
      <c r="W3486" s="92">
        <v>2033916</v>
      </c>
      <c r="X3486" s="90"/>
      <c r="Y3486" s="123"/>
      <c r="Z3486" s="30">
        <f t="shared" si="108"/>
        <v>6772.6006943194379</v>
      </c>
      <c r="AA3486" s="30">
        <f t="shared" si="109"/>
        <v>2116.4377169748245</v>
      </c>
      <c r="AB3486" t="s">
        <v>457</v>
      </c>
    </row>
    <row r="3487" spans="1:28">
      <c r="A3487" t="s">
        <v>122</v>
      </c>
      <c r="C3487" s="92">
        <v>4615463601</v>
      </c>
      <c r="D3487" s="93">
        <v>19200</v>
      </c>
      <c r="F3487" s="94">
        <v>16</v>
      </c>
      <c r="G3487" s="94">
        <v>5</v>
      </c>
      <c r="H3487" s="91">
        <v>0</v>
      </c>
      <c r="I3487" s="91">
        <v>0</v>
      </c>
      <c r="J3487" s="41"/>
      <c r="K3487" s="41">
        <v>43616</v>
      </c>
      <c r="L3487" s="69" t="s">
        <v>80</v>
      </c>
      <c r="M3487" s="69" t="s">
        <v>286</v>
      </c>
      <c r="N3487" s="95"/>
      <c r="P3487" t="s">
        <v>95</v>
      </c>
      <c r="Q3487" t="s">
        <v>120</v>
      </c>
      <c r="R3487" s="92" t="s">
        <v>69</v>
      </c>
      <c r="S3487" s="92" t="s">
        <v>394</v>
      </c>
      <c r="V3487" s="95">
        <v>43616</v>
      </c>
      <c r="W3487" s="92">
        <v>2033916</v>
      </c>
      <c r="X3487" s="90"/>
      <c r="Y3487" s="123"/>
      <c r="Z3487" s="30">
        <f t="shared" si="108"/>
        <v>6772.6006943194379</v>
      </c>
      <c r="AA3487" s="30">
        <f t="shared" si="109"/>
        <v>2116.4377169748245</v>
      </c>
      <c r="AB3487" t="s">
        <v>457</v>
      </c>
    </row>
    <row r="3488" spans="1:28">
      <c r="A3488" t="s">
        <v>122</v>
      </c>
      <c r="C3488" s="92">
        <v>4615463601</v>
      </c>
      <c r="D3488" s="93">
        <v>19200</v>
      </c>
      <c r="F3488" s="94">
        <v>16</v>
      </c>
      <c r="G3488" s="94">
        <v>5</v>
      </c>
      <c r="H3488" s="91">
        <v>0</v>
      </c>
      <c r="I3488" s="91">
        <v>0</v>
      </c>
      <c r="J3488" s="41"/>
      <c r="K3488" s="41">
        <v>43616</v>
      </c>
      <c r="L3488" s="69" t="s">
        <v>80</v>
      </c>
      <c r="M3488" s="69" t="s">
        <v>286</v>
      </c>
      <c r="N3488" s="95"/>
      <c r="P3488" t="s">
        <v>95</v>
      </c>
      <c r="Q3488" t="s">
        <v>120</v>
      </c>
      <c r="R3488" s="92" t="s">
        <v>69</v>
      </c>
      <c r="S3488" s="92" t="s">
        <v>394</v>
      </c>
      <c r="V3488" s="95">
        <v>43616</v>
      </c>
      <c r="W3488" s="92">
        <v>2033916</v>
      </c>
      <c r="X3488" s="90"/>
      <c r="Y3488" s="123"/>
      <c r="Z3488" s="30">
        <f t="shared" si="108"/>
        <v>6772.6006943194379</v>
      </c>
      <c r="AA3488" s="30">
        <f t="shared" si="109"/>
        <v>2116.4377169748245</v>
      </c>
      <c r="AB3488" t="s">
        <v>457</v>
      </c>
    </row>
    <row r="3489" spans="1:28">
      <c r="A3489" t="s">
        <v>122</v>
      </c>
      <c r="C3489" s="92">
        <v>4615463601</v>
      </c>
      <c r="D3489" s="93">
        <v>19200</v>
      </c>
      <c r="F3489" s="94">
        <v>16</v>
      </c>
      <c r="G3489" s="94">
        <v>5</v>
      </c>
      <c r="H3489" s="91">
        <v>0</v>
      </c>
      <c r="I3489" s="91">
        <v>0</v>
      </c>
      <c r="J3489" s="41"/>
      <c r="K3489" s="41">
        <v>43616</v>
      </c>
      <c r="L3489" s="69" t="s">
        <v>80</v>
      </c>
      <c r="M3489" s="69" t="s">
        <v>286</v>
      </c>
      <c r="N3489" s="95"/>
      <c r="P3489" t="s">
        <v>95</v>
      </c>
      <c r="Q3489" t="s">
        <v>120</v>
      </c>
      <c r="R3489" s="92" t="s">
        <v>69</v>
      </c>
      <c r="S3489" s="92" t="s">
        <v>394</v>
      </c>
      <c r="V3489" s="95">
        <v>43616</v>
      </c>
      <c r="W3489" s="92">
        <v>2033916</v>
      </c>
      <c r="X3489" s="90"/>
      <c r="Y3489" s="123"/>
      <c r="Z3489" s="30">
        <f t="shared" si="108"/>
        <v>6772.6006943194379</v>
      </c>
      <c r="AA3489" s="30">
        <f t="shared" si="109"/>
        <v>2116.4377169748245</v>
      </c>
      <c r="AB3489" t="s">
        <v>457</v>
      </c>
    </row>
    <row r="3490" spans="1:28">
      <c r="A3490" t="s">
        <v>122</v>
      </c>
      <c r="C3490" s="92">
        <v>4615463601</v>
      </c>
      <c r="D3490" s="93">
        <v>19200</v>
      </c>
      <c r="F3490" s="94">
        <v>16</v>
      </c>
      <c r="G3490" s="94">
        <v>5</v>
      </c>
      <c r="H3490" s="91">
        <v>0</v>
      </c>
      <c r="I3490" s="91">
        <v>0</v>
      </c>
      <c r="J3490" s="41"/>
      <c r="K3490" s="41">
        <v>43616</v>
      </c>
      <c r="L3490" s="69" t="s">
        <v>80</v>
      </c>
      <c r="M3490" s="69" t="s">
        <v>286</v>
      </c>
      <c r="N3490" s="95"/>
      <c r="P3490" t="s">
        <v>95</v>
      </c>
      <c r="Q3490" t="s">
        <v>120</v>
      </c>
      <c r="R3490" s="92" t="s">
        <v>69</v>
      </c>
      <c r="S3490" s="92" t="s">
        <v>394</v>
      </c>
      <c r="V3490" s="95">
        <v>43616</v>
      </c>
      <c r="W3490" s="92">
        <v>2033916</v>
      </c>
      <c r="X3490" s="90"/>
      <c r="Y3490" s="123"/>
      <c r="Z3490" s="30">
        <f t="shared" si="108"/>
        <v>6772.6006943194379</v>
      </c>
      <c r="AA3490" s="30">
        <f t="shared" si="109"/>
        <v>2116.4377169748245</v>
      </c>
      <c r="AB3490" t="s">
        <v>457</v>
      </c>
    </row>
    <row r="3491" spans="1:28">
      <c r="A3491" t="s">
        <v>122</v>
      </c>
      <c r="C3491" s="92">
        <v>4615463601</v>
      </c>
      <c r="D3491" s="93">
        <v>19200</v>
      </c>
      <c r="F3491" s="94">
        <v>16</v>
      </c>
      <c r="G3491" s="94">
        <v>5</v>
      </c>
      <c r="H3491" s="91">
        <v>0</v>
      </c>
      <c r="I3491" s="91">
        <v>0</v>
      </c>
      <c r="J3491" s="41"/>
      <c r="K3491" s="41">
        <v>43616</v>
      </c>
      <c r="L3491" s="69" t="s">
        <v>80</v>
      </c>
      <c r="M3491" s="69" t="s">
        <v>286</v>
      </c>
      <c r="N3491" s="95"/>
      <c r="P3491" t="s">
        <v>95</v>
      </c>
      <c r="Q3491" t="s">
        <v>120</v>
      </c>
      <c r="R3491" s="92" t="s">
        <v>69</v>
      </c>
      <c r="S3491" s="92" t="s">
        <v>394</v>
      </c>
      <c r="V3491" s="95">
        <v>43616</v>
      </c>
      <c r="W3491" s="92">
        <v>2033916</v>
      </c>
      <c r="X3491" s="90"/>
      <c r="Y3491" s="123"/>
      <c r="Z3491" s="30">
        <f t="shared" si="108"/>
        <v>6772.6006943194379</v>
      </c>
      <c r="AA3491" s="30">
        <f t="shared" si="109"/>
        <v>2116.4377169748245</v>
      </c>
      <c r="AB3491" t="s">
        <v>457</v>
      </c>
    </row>
    <row r="3492" spans="1:28">
      <c r="A3492" t="s">
        <v>122</v>
      </c>
      <c r="C3492" s="92">
        <v>4615463601</v>
      </c>
      <c r="D3492" s="93">
        <v>19200</v>
      </c>
      <c r="F3492" s="94">
        <v>16</v>
      </c>
      <c r="G3492" s="94">
        <v>5</v>
      </c>
      <c r="H3492" s="91">
        <v>0</v>
      </c>
      <c r="I3492" s="91">
        <v>0</v>
      </c>
      <c r="J3492" s="41"/>
      <c r="K3492" s="41">
        <v>43616</v>
      </c>
      <c r="L3492" s="69" t="s">
        <v>80</v>
      </c>
      <c r="M3492" s="69" t="s">
        <v>286</v>
      </c>
      <c r="N3492" s="95"/>
      <c r="P3492" t="s">
        <v>95</v>
      </c>
      <c r="Q3492" t="s">
        <v>120</v>
      </c>
      <c r="R3492" s="92" t="s">
        <v>69</v>
      </c>
      <c r="S3492" s="92" t="s">
        <v>394</v>
      </c>
      <c r="V3492" s="95">
        <v>43616</v>
      </c>
      <c r="W3492" s="92">
        <v>2033916</v>
      </c>
      <c r="X3492" s="90"/>
      <c r="Y3492" s="123"/>
      <c r="Z3492" s="30">
        <f t="shared" si="108"/>
        <v>6772.6006943194379</v>
      </c>
      <c r="AA3492" s="30">
        <f t="shared" si="109"/>
        <v>2116.4377169748245</v>
      </c>
      <c r="AB3492" t="s">
        <v>457</v>
      </c>
    </row>
    <row r="3493" spans="1:28">
      <c r="A3493" t="s">
        <v>122</v>
      </c>
      <c r="C3493" s="92">
        <v>4615463601</v>
      </c>
      <c r="D3493" s="93">
        <v>19200</v>
      </c>
      <c r="F3493" s="94">
        <v>16</v>
      </c>
      <c r="G3493" s="94">
        <v>5</v>
      </c>
      <c r="H3493" s="91">
        <v>0</v>
      </c>
      <c r="I3493" s="91">
        <v>0</v>
      </c>
      <c r="J3493" s="41"/>
      <c r="K3493" s="41">
        <v>43616</v>
      </c>
      <c r="L3493" s="69" t="s">
        <v>80</v>
      </c>
      <c r="M3493" s="69" t="s">
        <v>286</v>
      </c>
      <c r="N3493" s="95"/>
      <c r="P3493" t="s">
        <v>95</v>
      </c>
      <c r="Q3493" t="s">
        <v>120</v>
      </c>
      <c r="R3493" s="92" t="s">
        <v>69</v>
      </c>
      <c r="S3493" s="92" t="s">
        <v>394</v>
      </c>
      <c r="V3493" s="95">
        <v>43616</v>
      </c>
      <c r="W3493" s="92">
        <v>2033916</v>
      </c>
      <c r="X3493" s="90"/>
      <c r="Y3493" s="123"/>
      <c r="Z3493" s="30">
        <f t="shared" si="108"/>
        <v>6772.6006943194379</v>
      </c>
      <c r="AA3493" s="30">
        <f t="shared" si="109"/>
        <v>2116.4377169748245</v>
      </c>
      <c r="AB3493" t="s">
        <v>457</v>
      </c>
    </row>
    <row r="3494" spans="1:28">
      <c r="A3494" t="s">
        <v>122</v>
      </c>
      <c r="C3494" s="92">
        <v>4615463601</v>
      </c>
      <c r="D3494" s="93">
        <v>19200</v>
      </c>
      <c r="F3494" s="94">
        <v>16</v>
      </c>
      <c r="G3494" s="94">
        <v>5</v>
      </c>
      <c r="H3494" s="91">
        <v>0</v>
      </c>
      <c r="I3494" s="91">
        <v>0</v>
      </c>
      <c r="J3494" s="41"/>
      <c r="K3494" s="41">
        <v>43616</v>
      </c>
      <c r="L3494" s="69" t="s">
        <v>80</v>
      </c>
      <c r="M3494" s="69" t="s">
        <v>286</v>
      </c>
      <c r="N3494" s="95"/>
      <c r="P3494" t="s">
        <v>95</v>
      </c>
      <c r="Q3494" t="s">
        <v>120</v>
      </c>
      <c r="R3494" s="92" t="s">
        <v>69</v>
      </c>
      <c r="S3494" s="92" t="s">
        <v>394</v>
      </c>
      <c r="V3494" s="95">
        <v>43616</v>
      </c>
      <c r="W3494" s="92">
        <v>2033916</v>
      </c>
      <c r="X3494" s="90"/>
      <c r="Y3494" s="123"/>
      <c r="Z3494" s="30">
        <f t="shared" si="108"/>
        <v>6772.6006943194379</v>
      </c>
      <c r="AA3494" s="30">
        <f t="shared" si="109"/>
        <v>2116.4377169748245</v>
      </c>
      <c r="AB3494" t="s">
        <v>457</v>
      </c>
    </row>
    <row r="3495" spans="1:28">
      <c r="A3495" t="s">
        <v>122</v>
      </c>
      <c r="C3495" s="92">
        <v>4615463601</v>
      </c>
      <c r="D3495" s="93">
        <v>19200</v>
      </c>
      <c r="F3495" s="94">
        <v>16</v>
      </c>
      <c r="G3495" s="94">
        <v>5</v>
      </c>
      <c r="H3495" s="91">
        <v>0</v>
      </c>
      <c r="I3495" s="91">
        <v>0</v>
      </c>
      <c r="J3495" s="41"/>
      <c r="K3495" s="41">
        <v>43616</v>
      </c>
      <c r="L3495" s="69" t="s">
        <v>80</v>
      </c>
      <c r="M3495" s="69" t="s">
        <v>286</v>
      </c>
      <c r="N3495" s="95"/>
      <c r="P3495" t="s">
        <v>95</v>
      </c>
      <c r="Q3495" t="s">
        <v>120</v>
      </c>
      <c r="R3495" s="92" t="s">
        <v>69</v>
      </c>
      <c r="S3495" s="92" t="s">
        <v>394</v>
      </c>
      <c r="V3495" s="95">
        <v>43616</v>
      </c>
      <c r="W3495" s="92">
        <v>2033916</v>
      </c>
      <c r="X3495" s="90"/>
      <c r="Y3495" s="123"/>
      <c r="Z3495" s="30">
        <f t="shared" si="108"/>
        <v>6772.6006943194379</v>
      </c>
      <c r="AA3495" s="30">
        <f t="shared" si="109"/>
        <v>2116.4377169748245</v>
      </c>
      <c r="AB3495" t="s">
        <v>457</v>
      </c>
    </row>
    <row r="3496" spans="1:28">
      <c r="A3496" t="s">
        <v>122</v>
      </c>
      <c r="C3496" s="92">
        <v>4615463601</v>
      </c>
      <c r="D3496" s="93">
        <v>19200</v>
      </c>
      <c r="F3496" s="94">
        <v>16</v>
      </c>
      <c r="G3496" s="94">
        <v>5</v>
      </c>
      <c r="H3496" s="91">
        <v>0</v>
      </c>
      <c r="I3496" s="91">
        <v>0</v>
      </c>
      <c r="J3496" s="41"/>
      <c r="K3496" s="41">
        <v>43616</v>
      </c>
      <c r="L3496" s="69" t="s">
        <v>80</v>
      </c>
      <c r="M3496" s="69" t="s">
        <v>286</v>
      </c>
      <c r="N3496" s="95"/>
      <c r="P3496" t="s">
        <v>95</v>
      </c>
      <c r="Q3496" t="s">
        <v>120</v>
      </c>
      <c r="R3496" s="92" t="s">
        <v>69</v>
      </c>
      <c r="S3496" s="92" t="s">
        <v>394</v>
      </c>
      <c r="V3496" s="95">
        <v>43616</v>
      </c>
      <c r="W3496" s="92">
        <v>2033916</v>
      </c>
      <c r="X3496" s="90"/>
      <c r="Y3496" s="123"/>
      <c r="Z3496" s="30">
        <f t="shared" si="108"/>
        <v>6772.6006943194379</v>
      </c>
      <c r="AA3496" s="30">
        <f t="shared" si="109"/>
        <v>2116.4377169748245</v>
      </c>
      <c r="AB3496" t="s">
        <v>457</v>
      </c>
    </row>
    <row r="3497" spans="1:28">
      <c r="A3497" t="s">
        <v>122</v>
      </c>
      <c r="C3497" s="92">
        <v>4615515700</v>
      </c>
      <c r="D3497" s="93">
        <v>19200</v>
      </c>
      <c r="F3497" s="91">
        <v>16</v>
      </c>
      <c r="G3497" s="96">
        <v>5</v>
      </c>
      <c r="H3497" s="94">
        <v>0</v>
      </c>
      <c r="I3497" s="91">
        <v>0</v>
      </c>
      <c r="J3497" s="41"/>
      <c r="K3497" s="41">
        <v>43616</v>
      </c>
      <c r="L3497" s="69" t="s">
        <v>80</v>
      </c>
      <c r="M3497" s="69" t="s">
        <v>286</v>
      </c>
      <c r="N3497" s="95"/>
      <c r="P3497" t="s">
        <v>95</v>
      </c>
      <c r="Q3497" t="s">
        <v>120</v>
      </c>
      <c r="R3497" s="92" t="s">
        <v>69</v>
      </c>
      <c r="S3497" s="92" t="s">
        <v>395</v>
      </c>
      <c r="V3497" s="95">
        <v>43616</v>
      </c>
      <c r="W3497" s="92">
        <v>2033926</v>
      </c>
      <c r="X3497" s="90"/>
      <c r="Y3497" s="123"/>
      <c r="Z3497" s="30">
        <f t="shared" si="108"/>
        <v>6772.6006943194379</v>
      </c>
      <c r="AA3497" s="30">
        <f t="shared" si="109"/>
        <v>2116.4377169748245</v>
      </c>
      <c r="AB3497" t="s">
        <v>457</v>
      </c>
    </row>
    <row r="3498" spans="1:28">
      <c r="A3498" t="s">
        <v>122</v>
      </c>
      <c r="C3498" s="92">
        <v>4615515700</v>
      </c>
      <c r="D3498" s="93">
        <v>19200</v>
      </c>
      <c r="F3498" s="91">
        <v>16</v>
      </c>
      <c r="G3498" s="96">
        <v>5</v>
      </c>
      <c r="H3498" s="94">
        <v>0</v>
      </c>
      <c r="I3498" s="91">
        <v>0</v>
      </c>
      <c r="J3498" s="41"/>
      <c r="K3498" s="41">
        <v>43616</v>
      </c>
      <c r="L3498" s="69" t="s">
        <v>80</v>
      </c>
      <c r="M3498" s="69" t="s">
        <v>286</v>
      </c>
      <c r="N3498" s="95"/>
      <c r="P3498" t="s">
        <v>95</v>
      </c>
      <c r="Q3498" t="s">
        <v>120</v>
      </c>
      <c r="R3498" s="92" t="s">
        <v>69</v>
      </c>
      <c r="S3498" s="92" t="s">
        <v>395</v>
      </c>
      <c r="V3498" s="95">
        <v>43616</v>
      </c>
      <c r="W3498" s="92">
        <v>2033926</v>
      </c>
      <c r="X3498" s="90"/>
      <c r="Y3498" s="123"/>
      <c r="Z3498" s="30">
        <f t="shared" si="108"/>
        <v>6772.6006943194379</v>
      </c>
      <c r="AA3498" s="30">
        <f t="shared" si="109"/>
        <v>2116.4377169748245</v>
      </c>
      <c r="AB3498" t="s">
        <v>457</v>
      </c>
    </row>
    <row r="3499" spans="1:28">
      <c r="A3499" t="s">
        <v>122</v>
      </c>
      <c r="C3499" s="92">
        <v>4615515700</v>
      </c>
      <c r="D3499" s="93">
        <v>19200</v>
      </c>
      <c r="F3499" s="91">
        <v>16</v>
      </c>
      <c r="G3499" s="96">
        <v>5</v>
      </c>
      <c r="H3499" s="94">
        <v>0</v>
      </c>
      <c r="I3499" s="91">
        <v>0</v>
      </c>
      <c r="J3499" s="41"/>
      <c r="K3499" s="41">
        <v>43616</v>
      </c>
      <c r="L3499" s="69" t="s">
        <v>80</v>
      </c>
      <c r="M3499" s="69" t="s">
        <v>286</v>
      </c>
      <c r="N3499" s="95"/>
      <c r="P3499" t="s">
        <v>95</v>
      </c>
      <c r="Q3499" t="s">
        <v>120</v>
      </c>
      <c r="R3499" s="92" t="s">
        <v>69</v>
      </c>
      <c r="S3499" s="92" t="s">
        <v>395</v>
      </c>
      <c r="V3499" s="95">
        <v>43616</v>
      </c>
      <c r="W3499" s="92">
        <v>2033926</v>
      </c>
      <c r="X3499" s="90"/>
      <c r="Y3499" s="123"/>
      <c r="Z3499" s="30">
        <f t="shared" si="108"/>
        <v>6772.6006943194379</v>
      </c>
      <c r="AA3499" s="30">
        <f t="shared" si="109"/>
        <v>2116.4377169748245</v>
      </c>
      <c r="AB3499" t="s">
        <v>457</v>
      </c>
    </row>
    <row r="3500" spans="1:28">
      <c r="A3500" t="s">
        <v>122</v>
      </c>
      <c r="C3500" s="92">
        <v>4615515700</v>
      </c>
      <c r="D3500" s="93">
        <v>19200</v>
      </c>
      <c r="F3500" s="91">
        <v>16</v>
      </c>
      <c r="G3500" s="96">
        <v>5</v>
      </c>
      <c r="H3500" s="94">
        <v>0</v>
      </c>
      <c r="I3500" s="91">
        <v>0</v>
      </c>
      <c r="J3500" s="41"/>
      <c r="K3500" s="41">
        <v>43616</v>
      </c>
      <c r="L3500" s="69" t="s">
        <v>80</v>
      </c>
      <c r="M3500" s="69" t="s">
        <v>286</v>
      </c>
      <c r="N3500" s="95"/>
      <c r="P3500" t="s">
        <v>95</v>
      </c>
      <c r="Q3500" t="s">
        <v>120</v>
      </c>
      <c r="R3500" s="92" t="s">
        <v>69</v>
      </c>
      <c r="S3500" s="92" t="s">
        <v>395</v>
      </c>
      <c r="V3500" s="95">
        <v>43616</v>
      </c>
      <c r="W3500" s="92">
        <v>2033926</v>
      </c>
      <c r="X3500" s="90"/>
      <c r="Y3500" s="123"/>
      <c r="Z3500" s="30">
        <f t="shared" si="108"/>
        <v>6772.6006943194379</v>
      </c>
      <c r="AA3500" s="30">
        <f t="shared" si="109"/>
        <v>2116.4377169748245</v>
      </c>
      <c r="AB3500" t="s">
        <v>457</v>
      </c>
    </row>
    <row r="3501" spans="1:28">
      <c r="A3501" t="s">
        <v>122</v>
      </c>
      <c r="C3501" s="92">
        <v>4615515700</v>
      </c>
      <c r="D3501" s="93">
        <v>19200</v>
      </c>
      <c r="F3501" s="91">
        <v>16</v>
      </c>
      <c r="G3501" s="96">
        <v>5</v>
      </c>
      <c r="H3501" s="94">
        <v>0</v>
      </c>
      <c r="I3501" s="91">
        <v>0</v>
      </c>
      <c r="J3501" s="41"/>
      <c r="K3501" s="41">
        <v>43616</v>
      </c>
      <c r="L3501" s="69" t="s">
        <v>80</v>
      </c>
      <c r="M3501" s="69" t="s">
        <v>286</v>
      </c>
      <c r="N3501" s="95"/>
      <c r="P3501" t="s">
        <v>95</v>
      </c>
      <c r="Q3501" t="s">
        <v>120</v>
      </c>
      <c r="R3501" s="92" t="s">
        <v>69</v>
      </c>
      <c r="S3501" s="92" t="s">
        <v>395</v>
      </c>
      <c r="V3501" s="95">
        <v>43616</v>
      </c>
      <c r="W3501" s="92">
        <v>2033926</v>
      </c>
      <c r="X3501" s="90"/>
      <c r="Y3501" s="123"/>
      <c r="Z3501" s="30">
        <f t="shared" si="108"/>
        <v>6772.6006943194379</v>
      </c>
      <c r="AA3501" s="30">
        <f t="shared" si="109"/>
        <v>2116.4377169748245</v>
      </c>
      <c r="AB3501" t="s">
        <v>457</v>
      </c>
    </row>
    <row r="3502" spans="1:28">
      <c r="A3502" t="s">
        <v>122</v>
      </c>
      <c r="C3502" s="92">
        <v>4615515700</v>
      </c>
      <c r="D3502" s="93">
        <v>19200</v>
      </c>
      <c r="F3502" s="91">
        <v>16</v>
      </c>
      <c r="G3502" s="96">
        <v>5</v>
      </c>
      <c r="H3502" s="94">
        <v>0</v>
      </c>
      <c r="I3502" s="91">
        <v>0</v>
      </c>
      <c r="J3502" s="41"/>
      <c r="K3502" s="41">
        <v>43616</v>
      </c>
      <c r="L3502" s="69" t="s">
        <v>80</v>
      </c>
      <c r="M3502" s="69" t="s">
        <v>286</v>
      </c>
      <c r="N3502" s="95"/>
      <c r="P3502" t="s">
        <v>95</v>
      </c>
      <c r="Q3502" t="s">
        <v>120</v>
      </c>
      <c r="R3502" s="92" t="s">
        <v>69</v>
      </c>
      <c r="S3502" s="92" t="s">
        <v>395</v>
      </c>
      <c r="V3502" s="95">
        <v>43616</v>
      </c>
      <c r="W3502" s="92">
        <v>2033926</v>
      </c>
      <c r="X3502" s="90"/>
      <c r="Y3502" s="123"/>
      <c r="Z3502" s="30">
        <f t="shared" si="108"/>
        <v>6772.6006943194379</v>
      </c>
      <c r="AA3502" s="30">
        <f t="shared" si="109"/>
        <v>2116.4377169748245</v>
      </c>
      <c r="AB3502" t="s">
        <v>457</v>
      </c>
    </row>
    <row r="3503" spans="1:28">
      <c r="A3503" t="s">
        <v>122</v>
      </c>
      <c r="C3503" s="92">
        <v>4615515700</v>
      </c>
      <c r="D3503" s="93">
        <v>19200</v>
      </c>
      <c r="F3503" s="91">
        <v>16</v>
      </c>
      <c r="G3503" s="96">
        <v>5</v>
      </c>
      <c r="H3503" s="94">
        <v>0</v>
      </c>
      <c r="I3503" s="91">
        <v>0</v>
      </c>
      <c r="J3503" s="41"/>
      <c r="K3503" s="41">
        <v>43616</v>
      </c>
      <c r="L3503" s="69" t="s">
        <v>80</v>
      </c>
      <c r="M3503" s="69" t="s">
        <v>286</v>
      </c>
      <c r="N3503" s="95"/>
      <c r="P3503" t="s">
        <v>95</v>
      </c>
      <c r="Q3503" t="s">
        <v>120</v>
      </c>
      <c r="R3503" s="92" t="s">
        <v>69</v>
      </c>
      <c r="S3503" s="92" t="s">
        <v>395</v>
      </c>
      <c r="V3503" s="95">
        <v>43616</v>
      </c>
      <c r="W3503" s="92">
        <v>2033926</v>
      </c>
      <c r="X3503" s="90"/>
      <c r="Y3503" s="123"/>
      <c r="Z3503" s="30">
        <f t="shared" si="108"/>
        <v>6772.6006943194379</v>
      </c>
      <c r="AA3503" s="30">
        <f t="shared" si="109"/>
        <v>2116.4377169748245</v>
      </c>
      <c r="AB3503" t="s">
        <v>457</v>
      </c>
    </row>
    <row r="3504" spans="1:28">
      <c r="A3504" t="s">
        <v>122</v>
      </c>
      <c r="C3504" s="92">
        <v>4615515700</v>
      </c>
      <c r="D3504" s="93">
        <v>19200</v>
      </c>
      <c r="F3504" s="91">
        <v>16</v>
      </c>
      <c r="G3504" s="96">
        <v>5</v>
      </c>
      <c r="H3504" s="94">
        <v>0</v>
      </c>
      <c r="I3504" s="91">
        <v>0</v>
      </c>
      <c r="J3504" s="41"/>
      <c r="K3504" s="41">
        <v>43616</v>
      </c>
      <c r="L3504" s="69" t="s">
        <v>80</v>
      </c>
      <c r="M3504" s="69" t="s">
        <v>286</v>
      </c>
      <c r="N3504" s="95"/>
      <c r="P3504" t="s">
        <v>95</v>
      </c>
      <c r="Q3504" t="s">
        <v>120</v>
      </c>
      <c r="R3504" s="92" t="s">
        <v>69</v>
      </c>
      <c r="S3504" s="92" t="s">
        <v>395</v>
      </c>
      <c r="V3504" s="95">
        <v>43616</v>
      </c>
      <c r="W3504" s="92">
        <v>2033926</v>
      </c>
      <c r="X3504" s="90"/>
      <c r="Y3504" s="123"/>
      <c r="Z3504" s="30">
        <f t="shared" si="108"/>
        <v>6772.6006943194379</v>
      </c>
      <c r="AA3504" s="30">
        <f t="shared" si="109"/>
        <v>2116.4377169748245</v>
      </c>
      <c r="AB3504" t="s">
        <v>457</v>
      </c>
    </row>
    <row r="3505" spans="1:28">
      <c r="A3505" t="s">
        <v>122</v>
      </c>
      <c r="C3505" s="92">
        <v>4615515700</v>
      </c>
      <c r="D3505" s="93">
        <v>19200</v>
      </c>
      <c r="F3505" s="91">
        <v>16</v>
      </c>
      <c r="G3505" s="96">
        <v>5</v>
      </c>
      <c r="H3505" s="94">
        <v>0</v>
      </c>
      <c r="I3505" s="91">
        <v>0</v>
      </c>
      <c r="J3505" s="41"/>
      <c r="K3505" s="41">
        <v>43616</v>
      </c>
      <c r="L3505" s="69" t="s">
        <v>80</v>
      </c>
      <c r="M3505" s="69" t="s">
        <v>286</v>
      </c>
      <c r="N3505" s="95"/>
      <c r="P3505" t="s">
        <v>95</v>
      </c>
      <c r="Q3505" t="s">
        <v>120</v>
      </c>
      <c r="R3505" s="92" t="s">
        <v>69</v>
      </c>
      <c r="S3505" s="92" t="s">
        <v>395</v>
      </c>
      <c r="V3505" s="95">
        <v>43616</v>
      </c>
      <c r="W3505" s="92">
        <v>2033926</v>
      </c>
      <c r="X3505" s="90"/>
      <c r="Y3505" s="123"/>
      <c r="Z3505" s="30">
        <f t="shared" si="108"/>
        <v>6772.6006943194379</v>
      </c>
      <c r="AA3505" s="30">
        <f t="shared" si="109"/>
        <v>2116.4377169748245</v>
      </c>
      <c r="AB3505" t="s">
        <v>457</v>
      </c>
    </row>
    <row r="3506" spans="1:28">
      <c r="A3506" t="s">
        <v>122</v>
      </c>
      <c r="C3506" s="92">
        <v>4615515700</v>
      </c>
      <c r="D3506" s="93">
        <v>19200</v>
      </c>
      <c r="F3506" s="91">
        <v>16</v>
      </c>
      <c r="G3506" s="96">
        <v>5</v>
      </c>
      <c r="H3506" s="94">
        <v>0</v>
      </c>
      <c r="I3506" s="91">
        <v>0</v>
      </c>
      <c r="J3506" s="41"/>
      <c r="K3506" s="41">
        <v>43616</v>
      </c>
      <c r="L3506" s="69" t="s">
        <v>80</v>
      </c>
      <c r="M3506" s="69" t="s">
        <v>286</v>
      </c>
      <c r="N3506" s="95"/>
      <c r="P3506" t="s">
        <v>95</v>
      </c>
      <c r="Q3506" t="s">
        <v>120</v>
      </c>
      <c r="R3506" s="92" t="s">
        <v>69</v>
      </c>
      <c r="S3506" s="92" t="s">
        <v>395</v>
      </c>
      <c r="V3506" s="95">
        <v>43616</v>
      </c>
      <c r="W3506" s="92">
        <v>2033926</v>
      </c>
      <c r="X3506" s="90"/>
      <c r="Y3506" s="123"/>
      <c r="Z3506" s="30">
        <f t="shared" si="108"/>
        <v>6772.6006943194379</v>
      </c>
      <c r="AA3506" s="30">
        <f t="shared" si="109"/>
        <v>2116.4377169748245</v>
      </c>
      <c r="AB3506" t="s">
        <v>457</v>
      </c>
    </row>
    <row r="3507" spans="1:28">
      <c r="A3507" t="s">
        <v>122</v>
      </c>
      <c r="C3507" s="92">
        <v>4615515700</v>
      </c>
      <c r="D3507" s="93">
        <v>19200</v>
      </c>
      <c r="F3507" s="91">
        <v>16</v>
      </c>
      <c r="G3507" s="96">
        <v>5</v>
      </c>
      <c r="H3507" s="94">
        <v>0</v>
      </c>
      <c r="I3507" s="91">
        <v>0</v>
      </c>
      <c r="J3507" s="41"/>
      <c r="K3507" s="41">
        <v>43616</v>
      </c>
      <c r="L3507" s="69" t="s">
        <v>80</v>
      </c>
      <c r="M3507" s="69" t="s">
        <v>286</v>
      </c>
      <c r="N3507" s="95"/>
      <c r="P3507" t="s">
        <v>95</v>
      </c>
      <c r="Q3507" t="s">
        <v>120</v>
      </c>
      <c r="R3507" s="92" t="s">
        <v>69</v>
      </c>
      <c r="S3507" s="92" t="s">
        <v>395</v>
      </c>
      <c r="V3507" s="95">
        <v>43616</v>
      </c>
      <c r="W3507" s="92">
        <v>2033926</v>
      </c>
      <c r="X3507" s="90"/>
      <c r="Y3507" s="123"/>
      <c r="Z3507" s="30">
        <f t="shared" si="108"/>
        <v>6772.6006943194379</v>
      </c>
      <c r="AA3507" s="30">
        <f t="shared" si="109"/>
        <v>2116.4377169748245</v>
      </c>
      <c r="AB3507" t="s">
        <v>457</v>
      </c>
    </row>
    <row r="3508" spans="1:28">
      <c r="A3508" t="s">
        <v>118</v>
      </c>
      <c r="C3508" s="92">
        <v>4615467307</v>
      </c>
      <c r="D3508" s="93">
        <v>19175</v>
      </c>
      <c r="F3508" s="91">
        <v>16</v>
      </c>
      <c r="G3508" s="96">
        <v>5</v>
      </c>
      <c r="H3508" s="94">
        <v>0</v>
      </c>
      <c r="I3508" s="91">
        <v>0</v>
      </c>
      <c r="J3508" s="41"/>
      <c r="K3508" s="41">
        <v>43616</v>
      </c>
      <c r="L3508" s="69" t="s">
        <v>80</v>
      </c>
      <c r="M3508" s="69" t="s">
        <v>286</v>
      </c>
      <c r="N3508" s="95"/>
      <c r="P3508" t="s">
        <v>95</v>
      </c>
      <c r="Q3508" t="s">
        <v>120</v>
      </c>
      <c r="R3508" s="92" t="s">
        <v>69</v>
      </c>
      <c r="S3508" s="92" t="s">
        <v>396</v>
      </c>
      <c r="V3508" s="95">
        <v>43616</v>
      </c>
      <c r="W3508" s="92">
        <v>2033936</v>
      </c>
      <c r="X3508" s="90"/>
      <c r="Y3508" s="123"/>
      <c r="Z3508" s="30">
        <f t="shared" si="108"/>
        <v>6763.7822038320437</v>
      </c>
      <c r="AA3508" s="30">
        <f t="shared" si="109"/>
        <v>2113.6819386975139</v>
      </c>
      <c r="AB3508" t="s">
        <v>457</v>
      </c>
    </row>
    <row r="3509" spans="1:28">
      <c r="A3509" t="s">
        <v>118</v>
      </c>
      <c r="C3509" s="92">
        <v>4615467307</v>
      </c>
      <c r="D3509" s="93">
        <v>19175</v>
      </c>
      <c r="F3509" s="91">
        <v>16</v>
      </c>
      <c r="G3509" s="96">
        <v>5</v>
      </c>
      <c r="H3509" s="94">
        <v>0</v>
      </c>
      <c r="I3509" s="91">
        <v>0</v>
      </c>
      <c r="J3509" s="41"/>
      <c r="K3509" s="41">
        <v>43616</v>
      </c>
      <c r="L3509" s="69" t="s">
        <v>80</v>
      </c>
      <c r="M3509" s="69" t="s">
        <v>286</v>
      </c>
      <c r="N3509" s="95"/>
      <c r="P3509" t="s">
        <v>95</v>
      </c>
      <c r="Q3509" t="s">
        <v>120</v>
      </c>
      <c r="R3509" s="92" t="s">
        <v>69</v>
      </c>
      <c r="S3509" s="92" t="s">
        <v>396</v>
      </c>
      <c r="V3509" s="95">
        <v>43616</v>
      </c>
      <c r="W3509" s="92">
        <v>2033936</v>
      </c>
      <c r="X3509" s="90"/>
      <c r="Y3509" s="123"/>
      <c r="Z3509" s="30">
        <f t="shared" si="108"/>
        <v>6763.7822038320437</v>
      </c>
      <c r="AA3509" s="30">
        <f t="shared" si="109"/>
        <v>2113.6819386975139</v>
      </c>
      <c r="AB3509" t="s">
        <v>457</v>
      </c>
    </row>
    <row r="3510" spans="1:28">
      <c r="A3510" t="s">
        <v>118</v>
      </c>
      <c r="C3510" s="92">
        <v>4615467307</v>
      </c>
      <c r="D3510" s="93">
        <v>19175</v>
      </c>
      <c r="F3510" s="91">
        <v>16</v>
      </c>
      <c r="G3510" s="96">
        <v>5</v>
      </c>
      <c r="H3510" s="94">
        <v>0</v>
      </c>
      <c r="I3510" s="91">
        <v>0</v>
      </c>
      <c r="J3510" s="41"/>
      <c r="K3510" s="41">
        <v>43616</v>
      </c>
      <c r="L3510" s="69" t="s">
        <v>80</v>
      </c>
      <c r="M3510" s="69" t="s">
        <v>286</v>
      </c>
      <c r="N3510" s="95"/>
      <c r="P3510" t="s">
        <v>95</v>
      </c>
      <c r="Q3510" t="s">
        <v>120</v>
      </c>
      <c r="R3510" s="92" t="s">
        <v>69</v>
      </c>
      <c r="S3510" s="92" t="s">
        <v>396</v>
      </c>
      <c r="V3510" s="95">
        <v>43616</v>
      </c>
      <c r="W3510" s="92">
        <v>2033936</v>
      </c>
      <c r="X3510" s="90"/>
      <c r="Y3510" s="123"/>
      <c r="Z3510" s="30">
        <f t="shared" si="108"/>
        <v>6763.7822038320437</v>
      </c>
      <c r="AA3510" s="30">
        <f t="shared" si="109"/>
        <v>2113.6819386975139</v>
      </c>
      <c r="AB3510" t="s">
        <v>457</v>
      </c>
    </row>
    <row r="3511" spans="1:28">
      <c r="A3511" t="s">
        <v>118</v>
      </c>
      <c r="C3511" s="92">
        <v>4615467307</v>
      </c>
      <c r="D3511" s="93">
        <v>19175</v>
      </c>
      <c r="F3511" s="91">
        <v>16</v>
      </c>
      <c r="G3511" s="96">
        <v>5</v>
      </c>
      <c r="H3511" s="94">
        <v>0</v>
      </c>
      <c r="I3511" s="91">
        <v>0</v>
      </c>
      <c r="J3511" s="41"/>
      <c r="K3511" s="41">
        <v>43616</v>
      </c>
      <c r="L3511" s="69" t="s">
        <v>80</v>
      </c>
      <c r="M3511" s="69" t="s">
        <v>286</v>
      </c>
      <c r="N3511" s="95"/>
      <c r="P3511" t="s">
        <v>95</v>
      </c>
      <c r="Q3511" t="s">
        <v>120</v>
      </c>
      <c r="R3511" s="92" t="s">
        <v>69</v>
      </c>
      <c r="S3511" s="92" t="s">
        <v>396</v>
      </c>
      <c r="V3511" s="95">
        <v>43616</v>
      </c>
      <c r="W3511" s="92">
        <v>2033936</v>
      </c>
      <c r="X3511" s="90"/>
      <c r="Y3511" s="123"/>
      <c r="Z3511" s="30">
        <f t="shared" si="108"/>
        <v>6763.7822038320437</v>
      </c>
      <c r="AA3511" s="30">
        <f t="shared" si="109"/>
        <v>2113.6819386975139</v>
      </c>
      <c r="AB3511" t="s">
        <v>457</v>
      </c>
    </row>
    <row r="3512" spans="1:28">
      <c r="A3512" t="s">
        <v>118</v>
      </c>
      <c r="C3512" s="92">
        <v>4615467307</v>
      </c>
      <c r="D3512" s="93">
        <v>19175</v>
      </c>
      <c r="F3512" s="91">
        <v>16</v>
      </c>
      <c r="G3512" s="96">
        <v>5</v>
      </c>
      <c r="H3512" s="94">
        <v>0</v>
      </c>
      <c r="I3512" s="91">
        <v>0</v>
      </c>
      <c r="J3512" s="41"/>
      <c r="K3512" s="41">
        <v>43616</v>
      </c>
      <c r="L3512" s="69" t="s">
        <v>80</v>
      </c>
      <c r="M3512" s="69" t="s">
        <v>286</v>
      </c>
      <c r="N3512" s="95"/>
      <c r="P3512" t="s">
        <v>95</v>
      </c>
      <c r="Q3512" t="s">
        <v>120</v>
      </c>
      <c r="R3512" s="92" t="s">
        <v>69</v>
      </c>
      <c r="S3512" s="92" t="s">
        <v>396</v>
      </c>
      <c r="V3512" s="95">
        <v>43616</v>
      </c>
      <c r="W3512" s="92">
        <v>2033936</v>
      </c>
      <c r="X3512" s="90"/>
      <c r="Y3512" s="123"/>
      <c r="Z3512" s="30">
        <f t="shared" si="108"/>
        <v>6763.7822038320437</v>
      </c>
      <c r="AA3512" s="30">
        <f t="shared" si="109"/>
        <v>2113.6819386975139</v>
      </c>
      <c r="AB3512" t="s">
        <v>457</v>
      </c>
    </row>
    <row r="3513" spans="1:28">
      <c r="A3513" t="s">
        <v>118</v>
      </c>
      <c r="C3513" s="92">
        <v>4615467307</v>
      </c>
      <c r="D3513" s="93">
        <v>19175</v>
      </c>
      <c r="F3513" s="91">
        <v>16</v>
      </c>
      <c r="G3513" s="96">
        <v>5</v>
      </c>
      <c r="H3513" s="94">
        <v>0</v>
      </c>
      <c r="I3513" s="91">
        <v>0</v>
      </c>
      <c r="J3513" s="41"/>
      <c r="K3513" s="41">
        <v>43616</v>
      </c>
      <c r="L3513" s="69" t="s">
        <v>80</v>
      </c>
      <c r="M3513" s="69" t="s">
        <v>286</v>
      </c>
      <c r="N3513" s="95"/>
      <c r="P3513" t="s">
        <v>95</v>
      </c>
      <c r="Q3513" t="s">
        <v>120</v>
      </c>
      <c r="R3513" s="92" t="s">
        <v>69</v>
      </c>
      <c r="S3513" s="92" t="s">
        <v>396</v>
      </c>
      <c r="V3513" s="95">
        <v>43616</v>
      </c>
      <c r="W3513" s="92">
        <v>2033936</v>
      </c>
      <c r="X3513" s="90"/>
      <c r="Y3513" s="123"/>
      <c r="Z3513" s="30">
        <f t="shared" si="108"/>
        <v>6763.7822038320437</v>
      </c>
      <c r="AA3513" s="30">
        <f t="shared" si="109"/>
        <v>2113.6819386975139</v>
      </c>
      <c r="AB3513" t="s">
        <v>457</v>
      </c>
    </row>
    <row r="3514" spans="1:28">
      <c r="A3514" t="s">
        <v>122</v>
      </c>
      <c r="C3514" s="92">
        <v>4615507169</v>
      </c>
      <c r="D3514" s="93">
        <v>19200</v>
      </c>
      <c r="F3514" s="91">
        <v>16</v>
      </c>
      <c r="G3514" s="96">
        <v>5</v>
      </c>
      <c r="H3514" s="94">
        <v>0</v>
      </c>
      <c r="I3514" s="91">
        <v>0</v>
      </c>
      <c r="J3514" s="41"/>
      <c r="K3514" s="41">
        <v>43616</v>
      </c>
      <c r="L3514" s="69" t="s">
        <v>80</v>
      </c>
      <c r="M3514" s="69" t="s">
        <v>286</v>
      </c>
      <c r="N3514" s="95"/>
      <c r="P3514" t="s">
        <v>95</v>
      </c>
      <c r="Q3514" t="s">
        <v>120</v>
      </c>
      <c r="R3514" s="92" t="s">
        <v>69</v>
      </c>
      <c r="S3514" s="92" t="s">
        <v>397</v>
      </c>
      <c r="V3514" s="95">
        <v>43616</v>
      </c>
      <c r="W3514" s="92">
        <v>2033946</v>
      </c>
      <c r="X3514" s="90"/>
      <c r="Y3514" s="123"/>
      <c r="Z3514" s="30">
        <f t="shared" si="108"/>
        <v>6772.6006943194379</v>
      </c>
      <c r="AA3514" s="30">
        <f t="shared" si="109"/>
        <v>2116.4377169748245</v>
      </c>
      <c r="AB3514" t="s">
        <v>457</v>
      </c>
    </row>
    <row r="3515" spans="1:28">
      <c r="A3515" t="s">
        <v>122</v>
      </c>
      <c r="C3515" s="92">
        <v>4615507169</v>
      </c>
      <c r="D3515" s="93">
        <v>19200</v>
      </c>
      <c r="F3515" s="91">
        <v>16</v>
      </c>
      <c r="G3515" s="96">
        <v>5</v>
      </c>
      <c r="H3515" s="94">
        <v>0</v>
      </c>
      <c r="I3515" s="91">
        <v>0</v>
      </c>
      <c r="J3515" s="41"/>
      <c r="K3515" s="41">
        <v>43616</v>
      </c>
      <c r="L3515" s="69" t="s">
        <v>80</v>
      </c>
      <c r="M3515" s="69" t="s">
        <v>286</v>
      </c>
      <c r="N3515" s="95"/>
      <c r="P3515" t="s">
        <v>95</v>
      </c>
      <c r="Q3515" t="s">
        <v>120</v>
      </c>
      <c r="R3515" s="92" t="s">
        <v>69</v>
      </c>
      <c r="S3515" s="92" t="s">
        <v>397</v>
      </c>
      <c r="V3515" s="95">
        <v>43616</v>
      </c>
      <c r="W3515" s="92">
        <v>2033946</v>
      </c>
      <c r="X3515" s="90"/>
      <c r="Y3515" s="123"/>
      <c r="Z3515" s="30">
        <f t="shared" si="108"/>
        <v>6772.6006943194379</v>
      </c>
      <c r="AA3515" s="30">
        <f t="shared" si="109"/>
        <v>2116.4377169748245</v>
      </c>
      <c r="AB3515" t="s">
        <v>457</v>
      </c>
    </row>
    <row r="3516" spans="1:28">
      <c r="A3516" t="s">
        <v>122</v>
      </c>
      <c r="C3516" s="92">
        <v>4615507169</v>
      </c>
      <c r="D3516" s="93">
        <v>19200</v>
      </c>
      <c r="F3516" s="91">
        <v>16</v>
      </c>
      <c r="G3516" s="96">
        <v>5</v>
      </c>
      <c r="H3516" s="94">
        <v>0</v>
      </c>
      <c r="I3516" s="91">
        <v>0</v>
      </c>
      <c r="J3516" s="41"/>
      <c r="K3516" s="41">
        <v>43616</v>
      </c>
      <c r="L3516" s="69" t="s">
        <v>80</v>
      </c>
      <c r="M3516" s="69" t="s">
        <v>286</v>
      </c>
      <c r="N3516" s="95"/>
      <c r="P3516" t="s">
        <v>95</v>
      </c>
      <c r="Q3516" t="s">
        <v>120</v>
      </c>
      <c r="R3516" s="92" t="s">
        <v>69</v>
      </c>
      <c r="S3516" s="92" t="s">
        <v>397</v>
      </c>
      <c r="V3516" s="95">
        <v>43616</v>
      </c>
      <c r="W3516" s="92">
        <v>2033946</v>
      </c>
      <c r="X3516" s="90"/>
      <c r="Y3516" s="123"/>
      <c r="Z3516" s="30">
        <f t="shared" si="108"/>
        <v>6772.6006943194379</v>
      </c>
      <c r="AA3516" s="30">
        <f t="shared" si="109"/>
        <v>2116.4377169748245</v>
      </c>
      <c r="AB3516" t="s">
        <v>457</v>
      </c>
    </row>
    <row r="3517" spans="1:28">
      <c r="A3517" t="s">
        <v>122</v>
      </c>
      <c r="C3517" s="92">
        <v>4615507169</v>
      </c>
      <c r="D3517" s="93">
        <v>19200</v>
      </c>
      <c r="F3517" s="91">
        <v>16</v>
      </c>
      <c r="G3517" s="96">
        <v>5</v>
      </c>
      <c r="H3517" s="94">
        <v>0</v>
      </c>
      <c r="I3517" s="91">
        <v>0</v>
      </c>
      <c r="J3517" s="41"/>
      <c r="K3517" s="41">
        <v>43616</v>
      </c>
      <c r="L3517" s="69" t="s">
        <v>80</v>
      </c>
      <c r="M3517" s="69" t="s">
        <v>286</v>
      </c>
      <c r="N3517" s="95"/>
      <c r="P3517" t="s">
        <v>95</v>
      </c>
      <c r="Q3517" t="s">
        <v>120</v>
      </c>
      <c r="R3517" s="92" t="s">
        <v>69</v>
      </c>
      <c r="S3517" s="92" t="s">
        <v>397</v>
      </c>
      <c r="V3517" s="95">
        <v>43616</v>
      </c>
      <c r="W3517" s="92">
        <v>2033946</v>
      </c>
      <c r="X3517" s="90"/>
      <c r="Y3517" s="123"/>
      <c r="Z3517" s="30">
        <f t="shared" si="108"/>
        <v>6772.6006943194379</v>
      </c>
      <c r="AA3517" s="30">
        <f t="shared" si="109"/>
        <v>2116.4377169748245</v>
      </c>
      <c r="AB3517" t="s">
        <v>457</v>
      </c>
    </row>
    <row r="3518" spans="1:28">
      <c r="A3518" t="s">
        <v>122</v>
      </c>
      <c r="C3518" s="92">
        <v>4615507169</v>
      </c>
      <c r="D3518" s="93">
        <v>19200</v>
      </c>
      <c r="F3518" s="91">
        <v>16</v>
      </c>
      <c r="G3518" s="96">
        <v>5</v>
      </c>
      <c r="H3518" s="94">
        <v>0</v>
      </c>
      <c r="I3518" s="91">
        <v>0</v>
      </c>
      <c r="J3518" s="41"/>
      <c r="K3518" s="41">
        <v>43616</v>
      </c>
      <c r="L3518" s="69" t="s">
        <v>80</v>
      </c>
      <c r="M3518" s="69" t="s">
        <v>286</v>
      </c>
      <c r="N3518" s="95"/>
      <c r="P3518" t="s">
        <v>95</v>
      </c>
      <c r="Q3518" t="s">
        <v>120</v>
      </c>
      <c r="R3518" s="92" t="s">
        <v>69</v>
      </c>
      <c r="S3518" s="92" t="s">
        <v>397</v>
      </c>
      <c r="V3518" s="95">
        <v>43616</v>
      </c>
      <c r="W3518" s="92">
        <v>2033946</v>
      </c>
      <c r="X3518" s="90"/>
      <c r="Y3518" s="123"/>
      <c r="Z3518" s="30">
        <f t="shared" si="108"/>
        <v>6772.6006943194379</v>
      </c>
      <c r="AA3518" s="30">
        <f t="shared" si="109"/>
        <v>2116.4377169748245</v>
      </c>
      <c r="AB3518" t="s">
        <v>457</v>
      </c>
    </row>
    <row r="3519" spans="1:28">
      <c r="A3519" t="s">
        <v>122</v>
      </c>
      <c r="C3519" s="92">
        <v>4615507169</v>
      </c>
      <c r="D3519" s="93">
        <v>19200</v>
      </c>
      <c r="F3519" s="91">
        <v>16</v>
      </c>
      <c r="G3519" s="96">
        <v>5</v>
      </c>
      <c r="H3519" s="94">
        <v>0</v>
      </c>
      <c r="I3519" s="91">
        <v>0</v>
      </c>
      <c r="J3519" s="41"/>
      <c r="K3519" s="41">
        <v>43616</v>
      </c>
      <c r="L3519" s="69" t="s">
        <v>80</v>
      </c>
      <c r="M3519" s="69" t="s">
        <v>286</v>
      </c>
      <c r="N3519" s="95"/>
      <c r="P3519" t="s">
        <v>95</v>
      </c>
      <c r="Q3519" t="s">
        <v>120</v>
      </c>
      <c r="R3519" s="92" t="s">
        <v>69</v>
      </c>
      <c r="S3519" s="92" t="s">
        <v>397</v>
      </c>
      <c r="V3519" s="95">
        <v>43616</v>
      </c>
      <c r="W3519" s="92">
        <v>2033946</v>
      </c>
      <c r="X3519" s="90"/>
      <c r="Y3519" s="123"/>
      <c r="Z3519" s="30">
        <f t="shared" si="108"/>
        <v>6772.6006943194379</v>
      </c>
      <c r="AA3519" s="30">
        <f t="shared" si="109"/>
        <v>2116.4377169748245</v>
      </c>
      <c r="AB3519" t="s">
        <v>457</v>
      </c>
    </row>
    <row r="3520" spans="1:28">
      <c r="A3520" t="s">
        <v>122</v>
      </c>
      <c r="C3520" s="92">
        <v>4615507169</v>
      </c>
      <c r="D3520" s="93">
        <v>19200</v>
      </c>
      <c r="F3520" s="91">
        <v>16</v>
      </c>
      <c r="G3520" s="96">
        <v>5</v>
      </c>
      <c r="H3520" s="94">
        <v>0</v>
      </c>
      <c r="I3520" s="91">
        <v>0</v>
      </c>
      <c r="J3520" s="41"/>
      <c r="K3520" s="41">
        <v>43616</v>
      </c>
      <c r="L3520" s="69" t="s">
        <v>80</v>
      </c>
      <c r="M3520" s="69" t="s">
        <v>286</v>
      </c>
      <c r="N3520" s="95"/>
      <c r="P3520" t="s">
        <v>95</v>
      </c>
      <c r="Q3520" t="s">
        <v>120</v>
      </c>
      <c r="R3520" s="92" t="s">
        <v>69</v>
      </c>
      <c r="S3520" s="92" t="s">
        <v>397</v>
      </c>
      <c r="V3520" s="95">
        <v>43616</v>
      </c>
      <c r="W3520" s="92">
        <v>2033946</v>
      </c>
      <c r="X3520" s="90"/>
      <c r="Y3520" s="123"/>
      <c r="Z3520" s="30">
        <f t="shared" si="108"/>
        <v>6772.6006943194379</v>
      </c>
      <c r="AA3520" s="30">
        <f t="shared" si="109"/>
        <v>2116.4377169748245</v>
      </c>
      <c r="AB3520" t="s">
        <v>457</v>
      </c>
    </row>
    <row r="3521" spans="1:28">
      <c r="A3521" t="s">
        <v>122</v>
      </c>
      <c r="C3521" s="92">
        <v>4615507169</v>
      </c>
      <c r="D3521" s="93">
        <v>19200</v>
      </c>
      <c r="F3521" s="91">
        <v>16</v>
      </c>
      <c r="G3521" s="96">
        <v>5</v>
      </c>
      <c r="H3521" s="94">
        <v>0</v>
      </c>
      <c r="I3521" s="91">
        <v>0</v>
      </c>
      <c r="J3521" s="41"/>
      <c r="K3521" s="41">
        <v>43616</v>
      </c>
      <c r="L3521" s="69" t="s">
        <v>80</v>
      </c>
      <c r="M3521" s="69" t="s">
        <v>286</v>
      </c>
      <c r="N3521" s="95"/>
      <c r="P3521" t="s">
        <v>95</v>
      </c>
      <c r="Q3521" t="s">
        <v>120</v>
      </c>
      <c r="R3521" s="92" t="s">
        <v>69</v>
      </c>
      <c r="S3521" s="92" t="s">
        <v>397</v>
      </c>
      <c r="V3521" s="95">
        <v>43616</v>
      </c>
      <c r="W3521" s="92">
        <v>2033946</v>
      </c>
      <c r="X3521" s="90"/>
      <c r="Y3521" s="123"/>
      <c r="Z3521" s="30">
        <f t="shared" si="108"/>
        <v>6772.6006943194379</v>
      </c>
      <c r="AA3521" s="30">
        <f t="shared" si="109"/>
        <v>2116.4377169748245</v>
      </c>
      <c r="AB3521" t="s">
        <v>457</v>
      </c>
    </row>
    <row r="3522" spans="1:28">
      <c r="A3522" t="s">
        <v>122</v>
      </c>
      <c r="C3522" s="92">
        <v>4615507169</v>
      </c>
      <c r="D3522" s="93">
        <v>19200</v>
      </c>
      <c r="F3522" s="91">
        <v>16</v>
      </c>
      <c r="G3522" s="96">
        <v>5</v>
      </c>
      <c r="H3522" s="94">
        <v>0</v>
      </c>
      <c r="I3522" s="91">
        <v>0</v>
      </c>
      <c r="J3522" s="41"/>
      <c r="K3522" s="41">
        <v>43616</v>
      </c>
      <c r="L3522" s="69" t="s">
        <v>80</v>
      </c>
      <c r="M3522" s="69" t="s">
        <v>286</v>
      </c>
      <c r="N3522" s="95"/>
      <c r="P3522" t="s">
        <v>95</v>
      </c>
      <c r="Q3522" t="s">
        <v>120</v>
      </c>
      <c r="R3522" s="92" t="s">
        <v>69</v>
      </c>
      <c r="S3522" s="92" t="s">
        <v>397</v>
      </c>
      <c r="V3522" s="95">
        <v>43616</v>
      </c>
      <c r="W3522" s="92">
        <v>2033946</v>
      </c>
      <c r="X3522" s="90"/>
      <c r="Y3522" s="123"/>
      <c r="Z3522" s="30">
        <f t="shared" si="108"/>
        <v>6772.6006943194379</v>
      </c>
      <c r="AA3522" s="30">
        <f t="shared" si="109"/>
        <v>2116.4377169748245</v>
      </c>
      <c r="AB3522" t="s">
        <v>457</v>
      </c>
    </row>
    <row r="3523" spans="1:28">
      <c r="A3523" t="s">
        <v>122</v>
      </c>
      <c r="C3523" s="92">
        <v>4615507169</v>
      </c>
      <c r="D3523" s="93">
        <v>19200</v>
      </c>
      <c r="F3523" s="91">
        <v>16</v>
      </c>
      <c r="G3523" s="96">
        <v>5</v>
      </c>
      <c r="H3523" s="94">
        <v>0</v>
      </c>
      <c r="I3523" s="91">
        <v>0</v>
      </c>
      <c r="J3523" s="41"/>
      <c r="K3523" s="41">
        <v>43616</v>
      </c>
      <c r="L3523" s="69" t="s">
        <v>80</v>
      </c>
      <c r="M3523" s="69" t="s">
        <v>286</v>
      </c>
      <c r="N3523" s="95"/>
      <c r="P3523" t="s">
        <v>95</v>
      </c>
      <c r="Q3523" t="s">
        <v>120</v>
      </c>
      <c r="R3523" s="92" t="s">
        <v>69</v>
      </c>
      <c r="S3523" s="92" t="s">
        <v>397</v>
      </c>
      <c r="V3523" s="95">
        <v>43616</v>
      </c>
      <c r="W3523" s="92">
        <v>2033946</v>
      </c>
      <c r="X3523" s="90"/>
      <c r="Y3523" s="123"/>
      <c r="Z3523" s="30">
        <f t="shared" ref="Z3523:Z3586" si="110">CONVERT(D3523,"kg","lbm")*F3523/100</f>
        <v>6772.6006943194379</v>
      </c>
      <c r="AA3523" s="30">
        <f t="shared" ref="AA3523:AA3586" si="111">CONVERT(D3523,"kg","lbm")*G3523/100</f>
        <v>2116.4377169748245</v>
      </c>
      <c r="AB3523" t="s">
        <v>457</v>
      </c>
    </row>
    <row r="3524" spans="1:28">
      <c r="A3524" t="s">
        <v>122</v>
      </c>
      <c r="C3524" s="92">
        <v>4615498702</v>
      </c>
      <c r="D3524" s="93">
        <v>19200</v>
      </c>
      <c r="F3524" s="91">
        <v>16</v>
      </c>
      <c r="G3524" s="96">
        <v>5</v>
      </c>
      <c r="H3524" s="94">
        <v>0</v>
      </c>
      <c r="I3524" s="91">
        <v>0</v>
      </c>
      <c r="J3524" s="41"/>
      <c r="K3524" s="41">
        <v>43616</v>
      </c>
      <c r="L3524" s="69" t="s">
        <v>80</v>
      </c>
      <c r="M3524" s="69" t="s">
        <v>286</v>
      </c>
      <c r="N3524" s="95"/>
      <c r="P3524" t="s">
        <v>95</v>
      </c>
      <c r="Q3524" t="s">
        <v>120</v>
      </c>
      <c r="R3524" s="92" t="s">
        <v>69</v>
      </c>
      <c r="S3524" s="92" t="s">
        <v>293</v>
      </c>
      <c r="V3524" s="95">
        <v>43616</v>
      </c>
      <c r="W3524" s="92">
        <v>2033956</v>
      </c>
      <c r="X3524" s="90"/>
      <c r="Y3524" s="123"/>
      <c r="Z3524" s="30">
        <f t="shared" si="110"/>
        <v>6772.6006943194379</v>
      </c>
      <c r="AA3524" s="30">
        <f t="shared" si="111"/>
        <v>2116.4377169748245</v>
      </c>
      <c r="AB3524" t="s">
        <v>457</v>
      </c>
    </row>
    <row r="3525" spans="1:28">
      <c r="A3525" t="s">
        <v>122</v>
      </c>
      <c r="C3525" s="92">
        <v>4615498702</v>
      </c>
      <c r="D3525" s="93">
        <v>19200</v>
      </c>
      <c r="F3525" s="91">
        <v>16</v>
      </c>
      <c r="G3525" s="96">
        <v>5</v>
      </c>
      <c r="H3525" s="94">
        <v>0</v>
      </c>
      <c r="I3525" s="91">
        <v>0</v>
      </c>
      <c r="J3525" s="41"/>
      <c r="K3525" s="41">
        <v>43616</v>
      </c>
      <c r="L3525" s="69" t="s">
        <v>80</v>
      </c>
      <c r="M3525" s="69" t="s">
        <v>286</v>
      </c>
      <c r="N3525" s="95"/>
      <c r="P3525" t="s">
        <v>95</v>
      </c>
      <c r="Q3525" t="s">
        <v>120</v>
      </c>
      <c r="R3525" s="92" t="s">
        <v>69</v>
      </c>
      <c r="S3525" s="92" t="s">
        <v>293</v>
      </c>
      <c r="V3525" s="95">
        <v>43616</v>
      </c>
      <c r="W3525" s="92">
        <v>2033956</v>
      </c>
      <c r="X3525" s="90"/>
      <c r="Y3525" s="123"/>
      <c r="Z3525" s="30">
        <f t="shared" si="110"/>
        <v>6772.6006943194379</v>
      </c>
      <c r="AA3525" s="30">
        <f t="shared" si="111"/>
        <v>2116.4377169748245</v>
      </c>
      <c r="AB3525" t="s">
        <v>457</v>
      </c>
    </row>
    <row r="3526" spans="1:28">
      <c r="A3526" t="s">
        <v>122</v>
      </c>
      <c r="C3526" s="92">
        <v>4615498702</v>
      </c>
      <c r="D3526" s="93">
        <v>19200</v>
      </c>
      <c r="F3526" s="91">
        <v>16</v>
      </c>
      <c r="G3526" s="96">
        <v>5</v>
      </c>
      <c r="H3526" s="94">
        <v>0</v>
      </c>
      <c r="I3526" s="91">
        <v>0</v>
      </c>
      <c r="J3526" s="41"/>
      <c r="K3526" s="41">
        <v>43616</v>
      </c>
      <c r="L3526" s="69" t="s">
        <v>80</v>
      </c>
      <c r="M3526" s="69" t="s">
        <v>286</v>
      </c>
      <c r="N3526" s="95"/>
      <c r="P3526" t="s">
        <v>95</v>
      </c>
      <c r="Q3526" t="s">
        <v>120</v>
      </c>
      <c r="R3526" s="92" t="s">
        <v>69</v>
      </c>
      <c r="S3526" s="92" t="s">
        <v>293</v>
      </c>
      <c r="V3526" s="95">
        <v>43616</v>
      </c>
      <c r="W3526" s="92">
        <v>2033956</v>
      </c>
      <c r="X3526" s="90"/>
      <c r="Y3526" s="123"/>
      <c r="Z3526" s="30">
        <f t="shared" si="110"/>
        <v>6772.6006943194379</v>
      </c>
      <c r="AA3526" s="30">
        <f t="shared" si="111"/>
        <v>2116.4377169748245</v>
      </c>
      <c r="AB3526" t="s">
        <v>457</v>
      </c>
    </row>
    <row r="3527" spans="1:28">
      <c r="A3527" t="s">
        <v>122</v>
      </c>
      <c r="C3527" s="92">
        <v>4615498702</v>
      </c>
      <c r="D3527" s="93">
        <v>19200</v>
      </c>
      <c r="F3527" s="91">
        <v>16</v>
      </c>
      <c r="G3527" s="96">
        <v>5</v>
      </c>
      <c r="H3527" s="94">
        <v>0</v>
      </c>
      <c r="I3527" s="91">
        <v>0</v>
      </c>
      <c r="J3527" s="41"/>
      <c r="K3527" s="41">
        <v>43616</v>
      </c>
      <c r="L3527" s="69" t="s">
        <v>80</v>
      </c>
      <c r="M3527" s="69" t="s">
        <v>286</v>
      </c>
      <c r="N3527" s="95"/>
      <c r="P3527" t="s">
        <v>95</v>
      </c>
      <c r="Q3527" t="s">
        <v>120</v>
      </c>
      <c r="R3527" s="92" t="s">
        <v>69</v>
      </c>
      <c r="S3527" s="92" t="s">
        <v>293</v>
      </c>
      <c r="V3527" s="95">
        <v>43616</v>
      </c>
      <c r="W3527" s="92">
        <v>2033956</v>
      </c>
      <c r="X3527" s="90"/>
      <c r="Y3527" s="123"/>
      <c r="Z3527" s="30">
        <f t="shared" si="110"/>
        <v>6772.6006943194379</v>
      </c>
      <c r="AA3527" s="30">
        <f t="shared" si="111"/>
        <v>2116.4377169748245</v>
      </c>
      <c r="AB3527" t="s">
        <v>457</v>
      </c>
    </row>
    <row r="3528" spans="1:28">
      <c r="A3528" t="s">
        <v>113</v>
      </c>
      <c r="C3528" s="92">
        <v>4615519073</v>
      </c>
      <c r="D3528" s="93">
        <v>19175</v>
      </c>
      <c r="F3528" s="91">
        <v>16</v>
      </c>
      <c r="G3528" s="91">
        <v>0</v>
      </c>
      <c r="H3528" s="91">
        <v>0</v>
      </c>
      <c r="I3528" s="91">
        <v>0</v>
      </c>
      <c r="J3528" s="41"/>
      <c r="K3528" s="41">
        <v>43616</v>
      </c>
      <c r="L3528" s="69" t="s">
        <v>80</v>
      </c>
      <c r="M3528" s="69" t="s">
        <v>286</v>
      </c>
      <c r="N3528" s="95"/>
      <c r="P3528" t="s">
        <v>95</v>
      </c>
      <c r="Q3528" t="s">
        <v>110</v>
      </c>
      <c r="R3528" s="92" t="s">
        <v>69</v>
      </c>
      <c r="S3528" s="92" t="s">
        <v>115</v>
      </c>
      <c r="V3528" s="95">
        <v>43616</v>
      </c>
      <c r="W3528" s="92" t="s">
        <v>412</v>
      </c>
      <c r="X3528" s="90"/>
      <c r="Y3528" s="123"/>
      <c r="Z3528" s="30">
        <f t="shared" si="110"/>
        <v>6763.7822038320437</v>
      </c>
      <c r="AA3528" s="30">
        <f t="shared" si="111"/>
        <v>0</v>
      </c>
      <c r="AB3528" t="s">
        <v>457</v>
      </c>
    </row>
    <row r="3529" spans="1:28">
      <c r="A3529" t="s">
        <v>113</v>
      </c>
      <c r="C3529" s="92">
        <v>4615519073</v>
      </c>
      <c r="D3529" s="93">
        <v>19175</v>
      </c>
      <c r="F3529" s="91">
        <v>16</v>
      </c>
      <c r="G3529" s="91">
        <v>0</v>
      </c>
      <c r="H3529" s="91">
        <v>0</v>
      </c>
      <c r="I3529" s="91">
        <v>0</v>
      </c>
      <c r="J3529" s="41"/>
      <c r="K3529" s="41">
        <v>43616</v>
      </c>
      <c r="L3529" s="69" t="s">
        <v>80</v>
      </c>
      <c r="M3529" s="69" t="s">
        <v>286</v>
      </c>
      <c r="N3529" s="95"/>
      <c r="P3529" t="s">
        <v>95</v>
      </c>
      <c r="Q3529" t="s">
        <v>110</v>
      </c>
      <c r="R3529" s="92" t="s">
        <v>69</v>
      </c>
      <c r="S3529" s="92" t="s">
        <v>115</v>
      </c>
      <c r="V3529" s="95">
        <v>43616</v>
      </c>
      <c r="W3529" s="92" t="s">
        <v>412</v>
      </c>
      <c r="X3529" s="90"/>
      <c r="Y3529" s="123"/>
      <c r="Z3529" s="30">
        <f t="shared" si="110"/>
        <v>6763.7822038320437</v>
      </c>
      <c r="AA3529" s="30">
        <f t="shared" si="111"/>
        <v>0</v>
      </c>
      <c r="AB3529" t="s">
        <v>457</v>
      </c>
    </row>
    <row r="3530" spans="1:28">
      <c r="A3530" t="s">
        <v>113</v>
      </c>
      <c r="C3530" s="92">
        <v>4615519073</v>
      </c>
      <c r="D3530" s="93">
        <v>19175</v>
      </c>
      <c r="F3530" s="91">
        <v>16</v>
      </c>
      <c r="G3530" s="91">
        <v>0</v>
      </c>
      <c r="H3530" s="91">
        <v>0</v>
      </c>
      <c r="I3530" s="91">
        <v>0</v>
      </c>
      <c r="J3530" s="41"/>
      <c r="K3530" s="41">
        <v>43616</v>
      </c>
      <c r="L3530" s="69" t="s">
        <v>80</v>
      </c>
      <c r="M3530" s="69" t="s">
        <v>286</v>
      </c>
      <c r="N3530" s="95"/>
      <c r="P3530" t="s">
        <v>95</v>
      </c>
      <c r="Q3530" t="s">
        <v>110</v>
      </c>
      <c r="R3530" s="92" t="s">
        <v>69</v>
      </c>
      <c r="S3530" s="92" t="s">
        <v>115</v>
      </c>
      <c r="V3530" s="95">
        <v>43616</v>
      </c>
      <c r="W3530" s="92" t="s">
        <v>412</v>
      </c>
      <c r="X3530" s="90"/>
      <c r="Y3530" s="123"/>
      <c r="Z3530" s="30">
        <f t="shared" si="110"/>
        <v>6763.7822038320437</v>
      </c>
      <c r="AA3530" s="30">
        <f t="shared" si="111"/>
        <v>0</v>
      </c>
      <c r="AB3530" t="s">
        <v>457</v>
      </c>
    </row>
    <row r="3531" spans="1:28">
      <c r="A3531" t="s">
        <v>113</v>
      </c>
      <c r="C3531" s="92">
        <v>4615519073</v>
      </c>
      <c r="D3531" s="93">
        <v>19175</v>
      </c>
      <c r="F3531" s="91">
        <v>16</v>
      </c>
      <c r="G3531" s="91">
        <v>0</v>
      </c>
      <c r="H3531" s="91">
        <v>0</v>
      </c>
      <c r="I3531" s="91">
        <v>0</v>
      </c>
      <c r="J3531" s="41"/>
      <c r="K3531" s="41">
        <v>43616</v>
      </c>
      <c r="L3531" s="69" t="s">
        <v>80</v>
      </c>
      <c r="M3531" s="69" t="s">
        <v>286</v>
      </c>
      <c r="N3531" s="95"/>
      <c r="P3531" t="s">
        <v>95</v>
      </c>
      <c r="Q3531" t="s">
        <v>110</v>
      </c>
      <c r="R3531" s="92" t="s">
        <v>69</v>
      </c>
      <c r="S3531" s="92" t="s">
        <v>115</v>
      </c>
      <c r="V3531" s="95">
        <v>43616</v>
      </c>
      <c r="W3531" s="92" t="s">
        <v>412</v>
      </c>
      <c r="X3531" s="90"/>
      <c r="Y3531" s="123"/>
      <c r="Z3531" s="30">
        <f t="shared" si="110"/>
        <v>6763.7822038320437</v>
      </c>
      <c r="AA3531" s="30">
        <f t="shared" si="111"/>
        <v>0</v>
      </c>
      <c r="AB3531" t="s">
        <v>457</v>
      </c>
    </row>
    <row r="3532" spans="1:28">
      <c r="A3532" t="s">
        <v>113</v>
      </c>
      <c r="C3532" s="92">
        <v>4615519073</v>
      </c>
      <c r="D3532" s="93">
        <v>19175</v>
      </c>
      <c r="F3532" s="91">
        <v>16</v>
      </c>
      <c r="G3532" s="91">
        <v>0</v>
      </c>
      <c r="H3532" s="91">
        <v>0</v>
      </c>
      <c r="I3532" s="91">
        <v>0</v>
      </c>
      <c r="J3532" s="41"/>
      <c r="K3532" s="41">
        <v>43616</v>
      </c>
      <c r="L3532" s="69" t="s">
        <v>80</v>
      </c>
      <c r="M3532" s="69" t="s">
        <v>286</v>
      </c>
      <c r="N3532" s="95"/>
      <c r="P3532" t="s">
        <v>95</v>
      </c>
      <c r="Q3532" t="s">
        <v>110</v>
      </c>
      <c r="R3532" s="92" t="s">
        <v>69</v>
      </c>
      <c r="S3532" s="92" t="s">
        <v>115</v>
      </c>
      <c r="V3532" s="95">
        <v>43616</v>
      </c>
      <c r="W3532" s="92" t="s">
        <v>412</v>
      </c>
      <c r="X3532" s="90"/>
      <c r="Y3532" s="123"/>
      <c r="Z3532" s="30">
        <f t="shared" si="110"/>
        <v>6763.7822038320437</v>
      </c>
      <c r="AA3532" s="30">
        <f t="shared" si="111"/>
        <v>0</v>
      </c>
      <c r="AB3532" t="s">
        <v>457</v>
      </c>
    </row>
    <row r="3533" spans="1:28">
      <c r="A3533" t="s">
        <v>113</v>
      </c>
      <c r="C3533" s="92">
        <v>4615519073</v>
      </c>
      <c r="D3533" s="93">
        <v>19175</v>
      </c>
      <c r="F3533" s="91">
        <v>16</v>
      </c>
      <c r="G3533" s="91">
        <v>0</v>
      </c>
      <c r="H3533" s="91">
        <v>0</v>
      </c>
      <c r="I3533" s="91">
        <v>0</v>
      </c>
      <c r="J3533" s="41"/>
      <c r="K3533" s="41">
        <v>43616</v>
      </c>
      <c r="L3533" s="69" t="s">
        <v>80</v>
      </c>
      <c r="M3533" s="69" t="s">
        <v>286</v>
      </c>
      <c r="N3533" s="95"/>
      <c r="P3533" t="s">
        <v>95</v>
      </c>
      <c r="Q3533" t="s">
        <v>110</v>
      </c>
      <c r="R3533" s="92" t="s">
        <v>69</v>
      </c>
      <c r="S3533" s="92" t="s">
        <v>115</v>
      </c>
      <c r="V3533" s="95">
        <v>43616</v>
      </c>
      <c r="W3533" s="92" t="s">
        <v>412</v>
      </c>
      <c r="X3533" s="90"/>
      <c r="Y3533" s="123"/>
      <c r="Z3533" s="30">
        <f t="shared" si="110"/>
        <v>6763.7822038320437</v>
      </c>
      <c r="AA3533" s="30">
        <f t="shared" si="111"/>
        <v>0</v>
      </c>
      <c r="AB3533" t="s">
        <v>457</v>
      </c>
    </row>
    <row r="3534" spans="1:28">
      <c r="A3534" t="s">
        <v>113</v>
      </c>
      <c r="C3534" s="92">
        <v>4615519073</v>
      </c>
      <c r="D3534" s="93">
        <v>19175</v>
      </c>
      <c r="F3534" s="91">
        <v>16</v>
      </c>
      <c r="G3534" s="91">
        <v>0</v>
      </c>
      <c r="H3534" s="91">
        <v>0</v>
      </c>
      <c r="I3534" s="91">
        <v>0</v>
      </c>
      <c r="J3534" s="41"/>
      <c r="K3534" s="41">
        <v>43616</v>
      </c>
      <c r="L3534" s="69" t="s">
        <v>80</v>
      </c>
      <c r="M3534" s="69" t="s">
        <v>286</v>
      </c>
      <c r="N3534" s="95"/>
      <c r="P3534" t="s">
        <v>95</v>
      </c>
      <c r="Q3534" t="s">
        <v>110</v>
      </c>
      <c r="R3534" s="92" t="s">
        <v>69</v>
      </c>
      <c r="S3534" s="92" t="s">
        <v>115</v>
      </c>
      <c r="V3534" s="95">
        <v>43616</v>
      </c>
      <c r="W3534" s="92" t="s">
        <v>412</v>
      </c>
      <c r="X3534" s="90"/>
      <c r="Y3534" s="123"/>
      <c r="Z3534" s="30">
        <f t="shared" si="110"/>
        <v>6763.7822038320437</v>
      </c>
      <c r="AA3534" s="30">
        <f t="shared" si="111"/>
        <v>0</v>
      </c>
      <c r="AB3534" t="s">
        <v>457</v>
      </c>
    </row>
    <row r="3535" spans="1:28">
      <c r="A3535" t="s">
        <v>113</v>
      </c>
      <c r="C3535" s="92">
        <v>4615519073</v>
      </c>
      <c r="D3535" s="93">
        <v>19175</v>
      </c>
      <c r="F3535" s="91">
        <v>16</v>
      </c>
      <c r="G3535" s="91">
        <v>0</v>
      </c>
      <c r="H3535" s="91">
        <v>0</v>
      </c>
      <c r="I3535" s="91">
        <v>0</v>
      </c>
      <c r="J3535" s="41"/>
      <c r="K3535" s="41">
        <v>43616</v>
      </c>
      <c r="L3535" s="69" t="s">
        <v>80</v>
      </c>
      <c r="M3535" s="69" t="s">
        <v>286</v>
      </c>
      <c r="N3535" s="95"/>
      <c r="P3535" t="s">
        <v>95</v>
      </c>
      <c r="Q3535" t="s">
        <v>110</v>
      </c>
      <c r="R3535" s="92" t="s">
        <v>69</v>
      </c>
      <c r="S3535" s="92" t="s">
        <v>115</v>
      </c>
      <c r="V3535" s="95">
        <v>43616</v>
      </c>
      <c r="W3535" s="92" t="s">
        <v>412</v>
      </c>
      <c r="X3535" s="90"/>
      <c r="Y3535" s="123"/>
      <c r="Z3535" s="30">
        <f t="shared" si="110"/>
        <v>6763.7822038320437</v>
      </c>
      <c r="AA3535" s="30">
        <f t="shared" si="111"/>
        <v>0</v>
      </c>
      <c r="AB3535" t="s">
        <v>457</v>
      </c>
    </row>
    <row r="3536" spans="1:28">
      <c r="A3536" t="s">
        <v>113</v>
      </c>
      <c r="C3536" s="92">
        <v>4615519073</v>
      </c>
      <c r="D3536" s="93">
        <v>19175</v>
      </c>
      <c r="F3536" s="91">
        <v>16</v>
      </c>
      <c r="G3536" s="91">
        <v>0</v>
      </c>
      <c r="H3536" s="91">
        <v>0</v>
      </c>
      <c r="I3536" s="91">
        <v>0</v>
      </c>
      <c r="J3536" s="41"/>
      <c r="K3536" s="41">
        <v>43616</v>
      </c>
      <c r="L3536" s="69" t="s">
        <v>80</v>
      </c>
      <c r="M3536" s="69" t="s">
        <v>286</v>
      </c>
      <c r="N3536" s="95"/>
      <c r="P3536" t="s">
        <v>95</v>
      </c>
      <c r="Q3536" t="s">
        <v>110</v>
      </c>
      <c r="R3536" s="92" t="s">
        <v>69</v>
      </c>
      <c r="S3536" s="92" t="s">
        <v>115</v>
      </c>
      <c r="V3536" s="95">
        <v>43616</v>
      </c>
      <c r="W3536" s="92" t="s">
        <v>412</v>
      </c>
      <c r="X3536" s="90"/>
      <c r="Y3536" s="123"/>
      <c r="Z3536" s="30">
        <f t="shared" si="110"/>
        <v>6763.7822038320437</v>
      </c>
      <c r="AA3536" s="30">
        <f t="shared" si="111"/>
        <v>0</v>
      </c>
      <c r="AB3536" t="s">
        <v>457</v>
      </c>
    </row>
    <row r="3537" spans="1:28">
      <c r="A3537" t="s">
        <v>113</v>
      </c>
      <c r="C3537" s="92">
        <v>4615519073</v>
      </c>
      <c r="D3537" s="93">
        <v>19175</v>
      </c>
      <c r="F3537" s="91">
        <v>16</v>
      </c>
      <c r="G3537" s="91">
        <v>0</v>
      </c>
      <c r="H3537" s="91">
        <v>0</v>
      </c>
      <c r="I3537" s="91">
        <v>0</v>
      </c>
      <c r="J3537" s="41"/>
      <c r="K3537" s="41">
        <v>43616</v>
      </c>
      <c r="L3537" s="69" t="s">
        <v>80</v>
      </c>
      <c r="M3537" s="69" t="s">
        <v>286</v>
      </c>
      <c r="N3537" s="95"/>
      <c r="P3537" t="s">
        <v>95</v>
      </c>
      <c r="Q3537" t="s">
        <v>110</v>
      </c>
      <c r="R3537" s="92" t="s">
        <v>69</v>
      </c>
      <c r="S3537" s="92" t="s">
        <v>115</v>
      </c>
      <c r="V3537" s="95">
        <v>43616</v>
      </c>
      <c r="W3537" s="92" t="s">
        <v>412</v>
      </c>
      <c r="X3537" s="90"/>
      <c r="Y3537" s="123"/>
      <c r="Z3537" s="30">
        <f t="shared" si="110"/>
        <v>6763.7822038320437</v>
      </c>
      <c r="AA3537" s="30">
        <f t="shared" si="111"/>
        <v>0</v>
      </c>
      <c r="AB3537" t="s">
        <v>457</v>
      </c>
    </row>
    <row r="3538" spans="1:28">
      <c r="A3538" t="s">
        <v>113</v>
      </c>
      <c r="C3538" s="92">
        <v>4615519073</v>
      </c>
      <c r="D3538" s="93">
        <v>19175</v>
      </c>
      <c r="F3538" s="91">
        <v>16</v>
      </c>
      <c r="G3538" s="91">
        <v>0</v>
      </c>
      <c r="H3538" s="91">
        <v>0</v>
      </c>
      <c r="I3538" s="91">
        <v>0</v>
      </c>
      <c r="J3538" s="41"/>
      <c r="K3538" s="41">
        <v>43616</v>
      </c>
      <c r="L3538" s="69" t="s">
        <v>80</v>
      </c>
      <c r="M3538" s="69" t="s">
        <v>286</v>
      </c>
      <c r="N3538" s="95"/>
      <c r="P3538" t="s">
        <v>95</v>
      </c>
      <c r="Q3538" t="s">
        <v>110</v>
      </c>
      <c r="R3538" s="92" t="s">
        <v>69</v>
      </c>
      <c r="S3538" s="92" t="s">
        <v>115</v>
      </c>
      <c r="V3538" s="95">
        <v>43616</v>
      </c>
      <c r="W3538" s="92" t="s">
        <v>412</v>
      </c>
      <c r="X3538" s="90"/>
      <c r="Y3538" s="123"/>
      <c r="Z3538" s="30">
        <f t="shared" si="110"/>
        <v>6763.7822038320437</v>
      </c>
      <c r="AA3538" s="30">
        <f t="shared" si="111"/>
        <v>0</v>
      </c>
      <c r="AB3538" t="s">
        <v>457</v>
      </c>
    </row>
    <row r="3539" spans="1:28">
      <c r="A3539" t="s">
        <v>113</v>
      </c>
      <c r="C3539" s="92">
        <v>4615519073</v>
      </c>
      <c r="D3539" s="93">
        <v>19175</v>
      </c>
      <c r="F3539" s="91">
        <v>16</v>
      </c>
      <c r="G3539" s="91">
        <v>0</v>
      </c>
      <c r="H3539" s="91">
        <v>0</v>
      </c>
      <c r="I3539" s="91">
        <v>0</v>
      </c>
      <c r="J3539" s="41"/>
      <c r="K3539" s="41">
        <v>43616</v>
      </c>
      <c r="L3539" s="69" t="s">
        <v>80</v>
      </c>
      <c r="M3539" s="69" t="s">
        <v>286</v>
      </c>
      <c r="N3539" s="95"/>
      <c r="P3539" t="s">
        <v>95</v>
      </c>
      <c r="Q3539" t="s">
        <v>110</v>
      </c>
      <c r="R3539" s="92" t="s">
        <v>69</v>
      </c>
      <c r="S3539" s="92" t="s">
        <v>115</v>
      </c>
      <c r="V3539" s="95">
        <v>43616</v>
      </c>
      <c r="W3539" s="92" t="s">
        <v>412</v>
      </c>
      <c r="X3539" s="90"/>
      <c r="Y3539" s="123"/>
      <c r="Z3539" s="30">
        <f t="shared" si="110"/>
        <v>6763.7822038320437</v>
      </c>
      <c r="AA3539" s="30">
        <f t="shared" si="111"/>
        <v>0</v>
      </c>
      <c r="AB3539" t="s">
        <v>457</v>
      </c>
    </row>
    <row r="3540" spans="1:28">
      <c r="A3540" t="s">
        <v>113</v>
      </c>
      <c r="C3540" s="92">
        <v>4615519073</v>
      </c>
      <c r="D3540" s="93">
        <v>19175</v>
      </c>
      <c r="F3540" s="91">
        <v>16</v>
      </c>
      <c r="G3540" s="91">
        <v>0</v>
      </c>
      <c r="H3540" s="91">
        <v>0</v>
      </c>
      <c r="I3540" s="91">
        <v>0</v>
      </c>
      <c r="J3540" s="41"/>
      <c r="K3540" s="41">
        <v>43616</v>
      </c>
      <c r="L3540" s="69" t="s">
        <v>80</v>
      </c>
      <c r="M3540" s="69" t="s">
        <v>286</v>
      </c>
      <c r="N3540" s="95"/>
      <c r="P3540" t="s">
        <v>95</v>
      </c>
      <c r="Q3540" t="s">
        <v>110</v>
      </c>
      <c r="R3540" s="92" t="s">
        <v>69</v>
      </c>
      <c r="S3540" s="92" t="s">
        <v>115</v>
      </c>
      <c r="V3540" s="95">
        <v>43616</v>
      </c>
      <c r="W3540" s="92" t="s">
        <v>412</v>
      </c>
      <c r="X3540" s="90"/>
      <c r="Y3540" s="123"/>
      <c r="Z3540" s="30">
        <f t="shared" si="110"/>
        <v>6763.7822038320437</v>
      </c>
      <c r="AA3540" s="30">
        <f t="shared" si="111"/>
        <v>0</v>
      </c>
      <c r="AB3540" t="s">
        <v>457</v>
      </c>
    </row>
    <row r="3541" spans="1:28">
      <c r="A3541" t="s">
        <v>113</v>
      </c>
      <c r="C3541" s="92">
        <v>4615519073</v>
      </c>
      <c r="D3541" s="93">
        <v>19175</v>
      </c>
      <c r="F3541" s="91">
        <v>16</v>
      </c>
      <c r="G3541" s="91">
        <v>0</v>
      </c>
      <c r="H3541" s="91">
        <v>0</v>
      </c>
      <c r="I3541" s="91">
        <v>0</v>
      </c>
      <c r="J3541" s="41"/>
      <c r="K3541" s="41">
        <v>43616</v>
      </c>
      <c r="L3541" s="69" t="s">
        <v>80</v>
      </c>
      <c r="M3541" s="69" t="s">
        <v>286</v>
      </c>
      <c r="N3541" s="95"/>
      <c r="P3541" t="s">
        <v>95</v>
      </c>
      <c r="Q3541" t="s">
        <v>110</v>
      </c>
      <c r="R3541" s="92" t="s">
        <v>69</v>
      </c>
      <c r="S3541" s="92" t="s">
        <v>115</v>
      </c>
      <c r="V3541" s="95">
        <v>43616</v>
      </c>
      <c r="W3541" s="92" t="s">
        <v>412</v>
      </c>
      <c r="X3541" s="90"/>
      <c r="Y3541" s="123"/>
      <c r="Z3541" s="30">
        <f t="shared" si="110"/>
        <v>6763.7822038320437</v>
      </c>
      <c r="AA3541" s="30">
        <f t="shared" si="111"/>
        <v>0</v>
      </c>
      <c r="AB3541" t="s">
        <v>457</v>
      </c>
    </row>
    <row r="3542" spans="1:28">
      <c r="A3542" t="s">
        <v>113</v>
      </c>
      <c r="C3542" s="92">
        <v>4615519073</v>
      </c>
      <c r="D3542" s="93">
        <v>19175</v>
      </c>
      <c r="F3542" s="91">
        <v>16</v>
      </c>
      <c r="G3542" s="91">
        <v>0</v>
      </c>
      <c r="H3542" s="91">
        <v>0</v>
      </c>
      <c r="I3542" s="91">
        <v>0</v>
      </c>
      <c r="J3542" s="41"/>
      <c r="K3542" s="41">
        <v>43616</v>
      </c>
      <c r="L3542" s="69" t="s">
        <v>80</v>
      </c>
      <c r="M3542" s="69" t="s">
        <v>286</v>
      </c>
      <c r="N3542" s="95"/>
      <c r="P3542" t="s">
        <v>95</v>
      </c>
      <c r="Q3542" t="s">
        <v>110</v>
      </c>
      <c r="R3542" s="92" t="s">
        <v>69</v>
      </c>
      <c r="S3542" s="92" t="s">
        <v>115</v>
      </c>
      <c r="V3542" s="95">
        <v>43616</v>
      </c>
      <c r="W3542" s="92" t="s">
        <v>412</v>
      </c>
      <c r="X3542" s="90"/>
      <c r="Y3542" s="123"/>
      <c r="Z3542" s="30">
        <f t="shared" si="110"/>
        <v>6763.7822038320437</v>
      </c>
      <c r="AA3542" s="30">
        <f t="shared" si="111"/>
        <v>0</v>
      </c>
      <c r="AB3542" t="s">
        <v>457</v>
      </c>
    </row>
    <row r="3543" spans="1:28">
      <c r="A3543" t="s">
        <v>113</v>
      </c>
      <c r="C3543" s="92">
        <v>4615519073</v>
      </c>
      <c r="D3543" s="93">
        <v>19175</v>
      </c>
      <c r="F3543" s="91">
        <v>16</v>
      </c>
      <c r="G3543" s="91">
        <v>0</v>
      </c>
      <c r="H3543" s="91">
        <v>0</v>
      </c>
      <c r="I3543" s="91">
        <v>0</v>
      </c>
      <c r="J3543" s="41"/>
      <c r="K3543" s="41">
        <v>43616</v>
      </c>
      <c r="L3543" s="69" t="s">
        <v>80</v>
      </c>
      <c r="M3543" s="69" t="s">
        <v>286</v>
      </c>
      <c r="N3543" s="95"/>
      <c r="P3543" t="s">
        <v>95</v>
      </c>
      <c r="Q3543" t="s">
        <v>110</v>
      </c>
      <c r="R3543" s="92" t="s">
        <v>69</v>
      </c>
      <c r="S3543" s="92" t="s">
        <v>115</v>
      </c>
      <c r="V3543" s="95">
        <v>43616</v>
      </c>
      <c r="W3543" s="92" t="s">
        <v>412</v>
      </c>
      <c r="X3543" s="90"/>
      <c r="Y3543" s="123"/>
      <c r="Z3543" s="30">
        <f t="shared" si="110"/>
        <v>6763.7822038320437</v>
      </c>
      <c r="AA3543" s="30">
        <f t="shared" si="111"/>
        <v>0</v>
      </c>
      <c r="AB3543" t="s">
        <v>457</v>
      </c>
    </row>
    <row r="3544" spans="1:28">
      <c r="A3544" t="s">
        <v>113</v>
      </c>
      <c r="C3544" s="92">
        <v>4615519073</v>
      </c>
      <c r="D3544" s="93">
        <v>19175</v>
      </c>
      <c r="F3544" s="91">
        <v>16</v>
      </c>
      <c r="G3544" s="91">
        <v>0</v>
      </c>
      <c r="H3544" s="91">
        <v>0</v>
      </c>
      <c r="I3544" s="91">
        <v>0</v>
      </c>
      <c r="J3544" s="41"/>
      <c r="K3544" s="41">
        <v>43616</v>
      </c>
      <c r="L3544" s="69" t="s">
        <v>80</v>
      </c>
      <c r="M3544" s="69" t="s">
        <v>286</v>
      </c>
      <c r="N3544" s="95"/>
      <c r="P3544" t="s">
        <v>95</v>
      </c>
      <c r="Q3544" t="s">
        <v>110</v>
      </c>
      <c r="R3544" s="92" t="s">
        <v>69</v>
      </c>
      <c r="S3544" s="92" t="s">
        <v>115</v>
      </c>
      <c r="V3544" s="95">
        <v>43616</v>
      </c>
      <c r="W3544" s="92" t="s">
        <v>412</v>
      </c>
      <c r="X3544" s="90"/>
      <c r="Y3544" s="123"/>
      <c r="Z3544" s="30">
        <f t="shared" si="110"/>
        <v>6763.7822038320437</v>
      </c>
      <c r="AA3544" s="30">
        <f t="shared" si="111"/>
        <v>0</v>
      </c>
      <c r="AB3544" t="s">
        <v>457</v>
      </c>
    </row>
    <row r="3545" spans="1:28">
      <c r="A3545" t="s">
        <v>113</v>
      </c>
      <c r="C3545" s="92">
        <v>4615519073</v>
      </c>
      <c r="D3545" s="93">
        <v>19175</v>
      </c>
      <c r="F3545" s="91">
        <v>16</v>
      </c>
      <c r="G3545" s="91">
        <v>0</v>
      </c>
      <c r="H3545" s="91">
        <v>0</v>
      </c>
      <c r="I3545" s="91">
        <v>0</v>
      </c>
      <c r="J3545" s="41"/>
      <c r="K3545" s="41">
        <v>43616</v>
      </c>
      <c r="L3545" s="69" t="s">
        <v>80</v>
      </c>
      <c r="M3545" s="69" t="s">
        <v>286</v>
      </c>
      <c r="N3545" s="95"/>
      <c r="P3545" t="s">
        <v>95</v>
      </c>
      <c r="Q3545" t="s">
        <v>110</v>
      </c>
      <c r="R3545" s="92" t="s">
        <v>69</v>
      </c>
      <c r="S3545" s="92" t="s">
        <v>115</v>
      </c>
      <c r="V3545" s="95">
        <v>43616</v>
      </c>
      <c r="W3545" s="92" t="s">
        <v>412</v>
      </c>
      <c r="X3545" s="90"/>
      <c r="Y3545" s="123"/>
      <c r="Z3545" s="30">
        <f t="shared" si="110"/>
        <v>6763.7822038320437</v>
      </c>
      <c r="AA3545" s="30">
        <f t="shared" si="111"/>
        <v>0</v>
      </c>
      <c r="AB3545" t="s">
        <v>457</v>
      </c>
    </row>
    <row r="3546" spans="1:28">
      <c r="A3546" t="s">
        <v>113</v>
      </c>
      <c r="C3546" s="92">
        <v>4615519073</v>
      </c>
      <c r="D3546" s="93">
        <v>19175</v>
      </c>
      <c r="F3546" s="91">
        <v>16</v>
      </c>
      <c r="G3546" s="91">
        <v>0</v>
      </c>
      <c r="H3546" s="91">
        <v>0</v>
      </c>
      <c r="I3546" s="91">
        <v>0</v>
      </c>
      <c r="J3546" s="41"/>
      <c r="K3546" s="41">
        <v>43616</v>
      </c>
      <c r="L3546" s="69" t="s">
        <v>80</v>
      </c>
      <c r="M3546" s="69" t="s">
        <v>286</v>
      </c>
      <c r="N3546" s="95"/>
      <c r="P3546" t="s">
        <v>95</v>
      </c>
      <c r="Q3546" t="s">
        <v>110</v>
      </c>
      <c r="R3546" s="92" t="s">
        <v>69</v>
      </c>
      <c r="S3546" s="92" t="s">
        <v>115</v>
      </c>
      <c r="V3546" s="95">
        <v>43616</v>
      </c>
      <c r="W3546" s="92" t="s">
        <v>412</v>
      </c>
      <c r="X3546" s="90"/>
      <c r="Y3546" s="123"/>
      <c r="Z3546" s="30">
        <f t="shared" si="110"/>
        <v>6763.7822038320437</v>
      </c>
      <c r="AA3546" s="30">
        <f t="shared" si="111"/>
        <v>0</v>
      </c>
      <c r="AB3546" t="s">
        <v>457</v>
      </c>
    </row>
    <row r="3547" spans="1:28">
      <c r="A3547" t="s">
        <v>113</v>
      </c>
      <c r="C3547" s="92">
        <v>4615519073</v>
      </c>
      <c r="D3547" s="93">
        <v>19175</v>
      </c>
      <c r="F3547" s="91">
        <v>16</v>
      </c>
      <c r="G3547" s="91">
        <v>0</v>
      </c>
      <c r="H3547" s="91">
        <v>0</v>
      </c>
      <c r="I3547" s="91">
        <v>0</v>
      </c>
      <c r="J3547" s="41"/>
      <c r="K3547" s="41">
        <v>43616</v>
      </c>
      <c r="L3547" s="69" t="s">
        <v>80</v>
      </c>
      <c r="M3547" s="69" t="s">
        <v>286</v>
      </c>
      <c r="N3547" s="95"/>
      <c r="P3547" t="s">
        <v>95</v>
      </c>
      <c r="Q3547" t="s">
        <v>110</v>
      </c>
      <c r="R3547" s="92" t="s">
        <v>69</v>
      </c>
      <c r="S3547" s="92" t="s">
        <v>115</v>
      </c>
      <c r="V3547" s="95">
        <v>43616</v>
      </c>
      <c r="W3547" s="92" t="s">
        <v>412</v>
      </c>
      <c r="X3547" s="90"/>
      <c r="Y3547" s="123"/>
      <c r="Z3547" s="30">
        <f t="shared" si="110"/>
        <v>6763.7822038320437</v>
      </c>
      <c r="AA3547" s="30">
        <f t="shared" si="111"/>
        <v>0</v>
      </c>
      <c r="AB3547" t="s">
        <v>457</v>
      </c>
    </row>
    <row r="3548" spans="1:28">
      <c r="A3548" t="s">
        <v>113</v>
      </c>
      <c r="C3548" s="92">
        <v>4615519073</v>
      </c>
      <c r="D3548" s="93">
        <v>19175</v>
      </c>
      <c r="F3548" s="91">
        <v>16</v>
      </c>
      <c r="G3548" s="91">
        <v>0</v>
      </c>
      <c r="H3548" s="91">
        <v>0</v>
      </c>
      <c r="I3548" s="91">
        <v>0</v>
      </c>
      <c r="J3548" s="41"/>
      <c r="K3548" s="41">
        <v>43616</v>
      </c>
      <c r="L3548" s="69" t="s">
        <v>80</v>
      </c>
      <c r="M3548" s="69" t="s">
        <v>286</v>
      </c>
      <c r="N3548" s="95"/>
      <c r="P3548" t="s">
        <v>95</v>
      </c>
      <c r="Q3548" t="s">
        <v>110</v>
      </c>
      <c r="R3548" s="92" t="s">
        <v>69</v>
      </c>
      <c r="S3548" s="92" t="s">
        <v>115</v>
      </c>
      <c r="V3548" s="95">
        <v>43616</v>
      </c>
      <c r="W3548" s="92" t="s">
        <v>412</v>
      </c>
      <c r="X3548" s="90"/>
      <c r="Y3548" s="123"/>
      <c r="Z3548" s="30">
        <f t="shared" si="110"/>
        <v>6763.7822038320437</v>
      </c>
      <c r="AA3548" s="30">
        <f t="shared" si="111"/>
        <v>0</v>
      </c>
      <c r="AB3548" t="s">
        <v>457</v>
      </c>
    </row>
    <row r="3549" spans="1:28">
      <c r="A3549" t="s">
        <v>113</v>
      </c>
      <c r="C3549" s="92">
        <v>4615519073</v>
      </c>
      <c r="D3549" s="93">
        <v>19175</v>
      </c>
      <c r="F3549" s="91">
        <v>16</v>
      </c>
      <c r="G3549" s="91">
        <v>0</v>
      </c>
      <c r="H3549" s="91">
        <v>0</v>
      </c>
      <c r="I3549" s="91">
        <v>0</v>
      </c>
      <c r="J3549" s="41"/>
      <c r="K3549" s="41">
        <v>43616</v>
      </c>
      <c r="L3549" s="69" t="s">
        <v>80</v>
      </c>
      <c r="M3549" s="69" t="s">
        <v>286</v>
      </c>
      <c r="N3549" s="95"/>
      <c r="P3549" t="s">
        <v>95</v>
      </c>
      <c r="Q3549" t="s">
        <v>110</v>
      </c>
      <c r="R3549" s="92" t="s">
        <v>69</v>
      </c>
      <c r="S3549" s="92" t="s">
        <v>115</v>
      </c>
      <c r="V3549" s="95">
        <v>43616</v>
      </c>
      <c r="W3549" s="92" t="s">
        <v>412</v>
      </c>
      <c r="X3549" s="90"/>
      <c r="Y3549" s="123"/>
      <c r="Z3549" s="30">
        <f t="shared" si="110"/>
        <v>6763.7822038320437</v>
      </c>
      <c r="AA3549" s="30">
        <f t="shared" si="111"/>
        <v>0</v>
      </c>
      <c r="AB3549" t="s">
        <v>457</v>
      </c>
    </row>
    <row r="3550" spans="1:28">
      <c r="A3550" t="s">
        <v>113</v>
      </c>
      <c r="C3550" s="92">
        <v>4615519073</v>
      </c>
      <c r="D3550" s="93">
        <v>19175</v>
      </c>
      <c r="F3550" s="91">
        <v>16</v>
      </c>
      <c r="G3550" s="91">
        <v>0</v>
      </c>
      <c r="H3550" s="91">
        <v>0</v>
      </c>
      <c r="I3550" s="91">
        <v>0</v>
      </c>
      <c r="J3550" s="41"/>
      <c r="K3550" s="41">
        <v>43616</v>
      </c>
      <c r="L3550" s="69" t="s">
        <v>80</v>
      </c>
      <c r="M3550" s="69" t="s">
        <v>286</v>
      </c>
      <c r="N3550" s="95"/>
      <c r="P3550" t="s">
        <v>95</v>
      </c>
      <c r="Q3550" t="s">
        <v>110</v>
      </c>
      <c r="R3550" s="92" t="s">
        <v>69</v>
      </c>
      <c r="S3550" s="92" t="s">
        <v>115</v>
      </c>
      <c r="V3550" s="95">
        <v>43616</v>
      </c>
      <c r="W3550" s="92" t="s">
        <v>412</v>
      </c>
      <c r="X3550" s="90"/>
      <c r="Y3550" s="123"/>
      <c r="Z3550" s="30">
        <f t="shared" si="110"/>
        <v>6763.7822038320437</v>
      </c>
      <c r="AA3550" s="30">
        <f t="shared" si="111"/>
        <v>0</v>
      </c>
      <c r="AB3550" t="s">
        <v>457</v>
      </c>
    </row>
    <row r="3551" spans="1:28">
      <c r="A3551" t="s">
        <v>113</v>
      </c>
      <c r="C3551" s="92">
        <v>4615507572</v>
      </c>
      <c r="D3551" s="93">
        <v>19175</v>
      </c>
      <c r="F3551" s="91">
        <v>16</v>
      </c>
      <c r="G3551" s="91">
        <v>5</v>
      </c>
      <c r="H3551" s="91">
        <v>0</v>
      </c>
      <c r="I3551" s="91">
        <v>0</v>
      </c>
      <c r="J3551" s="41"/>
      <c r="K3551" s="41">
        <v>43616</v>
      </c>
      <c r="L3551" s="69" t="s">
        <v>80</v>
      </c>
      <c r="M3551" s="69" t="s">
        <v>286</v>
      </c>
      <c r="N3551" s="95"/>
      <c r="P3551" t="s">
        <v>95</v>
      </c>
      <c r="Q3551" t="s">
        <v>110</v>
      </c>
      <c r="R3551" s="92" t="s">
        <v>69</v>
      </c>
      <c r="S3551" s="92" t="s">
        <v>115</v>
      </c>
      <c r="V3551" s="95">
        <v>43616</v>
      </c>
      <c r="W3551" s="92" t="s">
        <v>413</v>
      </c>
      <c r="X3551" s="90"/>
      <c r="Y3551" s="123"/>
      <c r="Z3551" s="30">
        <f t="shared" si="110"/>
        <v>6763.7822038320437</v>
      </c>
      <c r="AA3551" s="30">
        <f t="shared" si="111"/>
        <v>2113.6819386975139</v>
      </c>
      <c r="AB3551" t="s">
        <v>457</v>
      </c>
    </row>
    <row r="3552" spans="1:28">
      <c r="A3552" t="s">
        <v>113</v>
      </c>
      <c r="C3552" s="92">
        <v>4615507572</v>
      </c>
      <c r="D3552" s="93">
        <v>19175</v>
      </c>
      <c r="F3552" s="91">
        <v>16</v>
      </c>
      <c r="G3552" s="91">
        <v>5</v>
      </c>
      <c r="H3552" s="91">
        <v>0</v>
      </c>
      <c r="I3552" s="91">
        <v>0</v>
      </c>
      <c r="J3552" s="41"/>
      <c r="K3552" s="41">
        <v>43616</v>
      </c>
      <c r="L3552" s="69" t="s">
        <v>80</v>
      </c>
      <c r="M3552" s="69" t="s">
        <v>286</v>
      </c>
      <c r="N3552" s="95"/>
      <c r="P3552" t="s">
        <v>95</v>
      </c>
      <c r="Q3552" t="s">
        <v>110</v>
      </c>
      <c r="R3552" s="92" t="s">
        <v>69</v>
      </c>
      <c r="S3552" s="92" t="s">
        <v>115</v>
      </c>
      <c r="V3552" s="95">
        <v>43616</v>
      </c>
      <c r="W3552" s="92" t="s">
        <v>413</v>
      </c>
      <c r="X3552" s="90"/>
      <c r="Y3552" s="123"/>
      <c r="Z3552" s="30">
        <f t="shared" si="110"/>
        <v>6763.7822038320437</v>
      </c>
      <c r="AA3552" s="30">
        <f t="shared" si="111"/>
        <v>2113.6819386975139</v>
      </c>
      <c r="AB3552" t="s">
        <v>457</v>
      </c>
    </row>
    <row r="3553" spans="1:28">
      <c r="A3553" t="s">
        <v>113</v>
      </c>
      <c r="C3553" s="92">
        <v>4615507572</v>
      </c>
      <c r="D3553" s="93">
        <v>19175</v>
      </c>
      <c r="F3553" s="91">
        <v>16</v>
      </c>
      <c r="G3553" s="91">
        <v>5</v>
      </c>
      <c r="H3553" s="91">
        <v>0</v>
      </c>
      <c r="I3553" s="91">
        <v>0</v>
      </c>
      <c r="J3553" s="41"/>
      <c r="K3553" s="41">
        <v>43616</v>
      </c>
      <c r="L3553" s="69" t="s">
        <v>80</v>
      </c>
      <c r="M3553" s="69" t="s">
        <v>286</v>
      </c>
      <c r="N3553" s="95"/>
      <c r="P3553" t="s">
        <v>95</v>
      </c>
      <c r="Q3553" t="s">
        <v>110</v>
      </c>
      <c r="R3553" s="92" t="s">
        <v>69</v>
      </c>
      <c r="S3553" s="92" t="s">
        <v>115</v>
      </c>
      <c r="V3553" s="95">
        <v>43616</v>
      </c>
      <c r="W3553" s="92" t="s">
        <v>413</v>
      </c>
      <c r="X3553" s="90"/>
      <c r="Y3553" s="123"/>
      <c r="Z3553" s="30">
        <f t="shared" si="110"/>
        <v>6763.7822038320437</v>
      </c>
      <c r="AA3553" s="30">
        <f t="shared" si="111"/>
        <v>2113.6819386975139</v>
      </c>
      <c r="AB3553" t="s">
        <v>457</v>
      </c>
    </row>
    <row r="3554" spans="1:28">
      <c r="A3554" t="s">
        <v>113</v>
      </c>
      <c r="C3554" s="92">
        <v>4615507572</v>
      </c>
      <c r="D3554" s="93">
        <v>19175</v>
      </c>
      <c r="F3554" s="91">
        <v>16</v>
      </c>
      <c r="G3554" s="91">
        <v>5</v>
      </c>
      <c r="H3554" s="91">
        <v>0</v>
      </c>
      <c r="I3554" s="91">
        <v>0</v>
      </c>
      <c r="J3554" s="41"/>
      <c r="K3554" s="41">
        <v>43616</v>
      </c>
      <c r="L3554" s="69" t="s">
        <v>80</v>
      </c>
      <c r="M3554" s="69" t="s">
        <v>286</v>
      </c>
      <c r="N3554" s="95"/>
      <c r="P3554" t="s">
        <v>95</v>
      </c>
      <c r="Q3554" t="s">
        <v>110</v>
      </c>
      <c r="R3554" s="92" t="s">
        <v>69</v>
      </c>
      <c r="S3554" s="92" t="s">
        <v>115</v>
      </c>
      <c r="V3554" s="95">
        <v>43616</v>
      </c>
      <c r="W3554" s="92" t="s">
        <v>413</v>
      </c>
      <c r="X3554" s="90"/>
      <c r="Y3554" s="123"/>
      <c r="Z3554" s="30">
        <f t="shared" si="110"/>
        <v>6763.7822038320437</v>
      </c>
      <c r="AA3554" s="30">
        <f t="shared" si="111"/>
        <v>2113.6819386975139</v>
      </c>
      <c r="AB3554" t="s">
        <v>457</v>
      </c>
    </row>
    <row r="3555" spans="1:28">
      <c r="A3555" t="s">
        <v>113</v>
      </c>
      <c r="C3555" s="92">
        <v>4615507572</v>
      </c>
      <c r="D3555" s="93">
        <v>19175</v>
      </c>
      <c r="F3555" s="91">
        <v>16</v>
      </c>
      <c r="G3555" s="91">
        <v>5</v>
      </c>
      <c r="H3555" s="91">
        <v>0</v>
      </c>
      <c r="I3555" s="91">
        <v>0</v>
      </c>
      <c r="J3555" s="41"/>
      <c r="K3555" s="41">
        <v>43616</v>
      </c>
      <c r="L3555" s="69" t="s">
        <v>80</v>
      </c>
      <c r="M3555" s="69" t="s">
        <v>286</v>
      </c>
      <c r="N3555" s="95"/>
      <c r="P3555" t="s">
        <v>95</v>
      </c>
      <c r="Q3555" t="s">
        <v>110</v>
      </c>
      <c r="R3555" s="92" t="s">
        <v>69</v>
      </c>
      <c r="S3555" s="92" t="s">
        <v>115</v>
      </c>
      <c r="V3555" s="95">
        <v>43616</v>
      </c>
      <c r="W3555" s="92" t="s">
        <v>413</v>
      </c>
      <c r="X3555" s="90"/>
      <c r="Y3555" s="123"/>
      <c r="Z3555" s="30">
        <f t="shared" si="110"/>
        <v>6763.7822038320437</v>
      </c>
      <c r="AA3555" s="30">
        <f t="shared" si="111"/>
        <v>2113.6819386975139</v>
      </c>
      <c r="AB3555" t="s">
        <v>457</v>
      </c>
    </row>
    <row r="3556" spans="1:28">
      <c r="A3556" t="s">
        <v>113</v>
      </c>
      <c r="C3556" s="92">
        <v>4615507572</v>
      </c>
      <c r="D3556" s="93">
        <v>19175</v>
      </c>
      <c r="F3556" s="91">
        <v>16</v>
      </c>
      <c r="G3556" s="91">
        <v>5</v>
      </c>
      <c r="H3556" s="91">
        <v>0</v>
      </c>
      <c r="I3556" s="91">
        <v>0</v>
      </c>
      <c r="J3556" s="41"/>
      <c r="K3556" s="41">
        <v>43616</v>
      </c>
      <c r="L3556" s="69" t="s">
        <v>80</v>
      </c>
      <c r="M3556" s="69" t="s">
        <v>286</v>
      </c>
      <c r="N3556" s="95"/>
      <c r="P3556" t="s">
        <v>95</v>
      </c>
      <c r="Q3556" t="s">
        <v>110</v>
      </c>
      <c r="R3556" s="92" t="s">
        <v>69</v>
      </c>
      <c r="S3556" s="92" t="s">
        <v>115</v>
      </c>
      <c r="V3556" s="95">
        <v>43616</v>
      </c>
      <c r="W3556" s="92" t="s">
        <v>413</v>
      </c>
      <c r="X3556" s="90"/>
      <c r="Y3556" s="123"/>
      <c r="Z3556" s="30">
        <f t="shared" si="110"/>
        <v>6763.7822038320437</v>
      </c>
      <c r="AA3556" s="30">
        <f t="shared" si="111"/>
        <v>2113.6819386975139</v>
      </c>
      <c r="AB3556" t="s">
        <v>457</v>
      </c>
    </row>
    <row r="3557" spans="1:28">
      <c r="A3557" t="s">
        <v>113</v>
      </c>
      <c r="C3557" s="92">
        <v>4615507572</v>
      </c>
      <c r="D3557" s="93">
        <v>19175</v>
      </c>
      <c r="F3557" s="91">
        <v>16</v>
      </c>
      <c r="G3557" s="91">
        <v>5</v>
      </c>
      <c r="H3557" s="91">
        <v>0</v>
      </c>
      <c r="I3557" s="91">
        <v>0</v>
      </c>
      <c r="J3557" s="41"/>
      <c r="K3557" s="41">
        <v>43616</v>
      </c>
      <c r="L3557" s="69" t="s">
        <v>80</v>
      </c>
      <c r="M3557" s="69" t="s">
        <v>286</v>
      </c>
      <c r="N3557" s="95"/>
      <c r="P3557" t="s">
        <v>95</v>
      </c>
      <c r="Q3557" t="s">
        <v>110</v>
      </c>
      <c r="R3557" s="92" t="s">
        <v>69</v>
      </c>
      <c r="S3557" s="92" t="s">
        <v>115</v>
      </c>
      <c r="V3557" s="95">
        <v>43616</v>
      </c>
      <c r="W3557" s="92" t="s">
        <v>413</v>
      </c>
      <c r="X3557" s="90"/>
      <c r="Y3557" s="123"/>
      <c r="Z3557" s="30">
        <f t="shared" si="110"/>
        <v>6763.7822038320437</v>
      </c>
      <c r="AA3557" s="30">
        <f t="shared" si="111"/>
        <v>2113.6819386975139</v>
      </c>
      <c r="AB3557" t="s">
        <v>457</v>
      </c>
    </row>
    <row r="3558" spans="1:28">
      <c r="A3558" t="s">
        <v>113</v>
      </c>
      <c r="C3558" s="92">
        <v>4615507572</v>
      </c>
      <c r="D3558" s="93">
        <v>19175</v>
      </c>
      <c r="F3558" s="91">
        <v>16</v>
      </c>
      <c r="G3558" s="91">
        <v>5</v>
      </c>
      <c r="H3558" s="91">
        <v>0</v>
      </c>
      <c r="I3558" s="91">
        <v>0</v>
      </c>
      <c r="J3558" s="41"/>
      <c r="K3558" s="41">
        <v>43616</v>
      </c>
      <c r="L3558" s="69" t="s">
        <v>80</v>
      </c>
      <c r="M3558" s="69" t="s">
        <v>286</v>
      </c>
      <c r="N3558" s="95"/>
      <c r="P3558" t="s">
        <v>95</v>
      </c>
      <c r="Q3558" t="s">
        <v>110</v>
      </c>
      <c r="R3558" s="92" t="s">
        <v>69</v>
      </c>
      <c r="S3558" s="92" t="s">
        <v>115</v>
      </c>
      <c r="V3558" s="95">
        <v>43616</v>
      </c>
      <c r="W3558" s="92" t="s">
        <v>413</v>
      </c>
      <c r="X3558" s="90"/>
      <c r="Y3558" s="123"/>
      <c r="Z3558" s="30">
        <f t="shared" si="110"/>
        <v>6763.7822038320437</v>
      </c>
      <c r="AA3558" s="30">
        <f t="shared" si="111"/>
        <v>2113.6819386975139</v>
      </c>
      <c r="AB3558" t="s">
        <v>457</v>
      </c>
    </row>
    <row r="3559" spans="1:28">
      <c r="A3559" t="s">
        <v>113</v>
      </c>
      <c r="C3559" s="92">
        <v>4615507572</v>
      </c>
      <c r="D3559" s="93">
        <v>19175</v>
      </c>
      <c r="F3559" s="91">
        <v>16</v>
      </c>
      <c r="G3559" s="91">
        <v>5</v>
      </c>
      <c r="H3559" s="91">
        <v>0</v>
      </c>
      <c r="I3559" s="91">
        <v>0</v>
      </c>
      <c r="J3559" s="41"/>
      <c r="K3559" s="41">
        <v>43616</v>
      </c>
      <c r="L3559" s="69" t="s">
        <v>80</v>
      </c>
      <c r="M3559" s="69" t="s">
        <v>286</v>
      </c>
      <c r="N3559" s="95"/>
      <c r="P3559" t="s">
        <v>95</v>
      </c>
      <c r="Q3559" t="s">
        <v>110</v>
      </c>
      <c r="R3559" s="92" t="s">
        <v>69</v>
      </c>
      <c r="S3559" s="92" t="s">
        <v>115</v>
      </c>
      <c r="V3559" s="95">
        <v>43616</v>
      </c>
      <c r="W3559" s="92" t="s">
        <v>413</v>
      </c>
      <c r="X3559" s="90"/>
      <c r="Y3559" s="123"/>
      <c r="Z3559" s="30">
        <f t="shared" si="110"/>
        <v>6763.7822038320437</v>
      </c>
      <c r="AA3559" s="30">
        <f t="shared" si="111"/>
        <v>2113.6819386975139</v>
      </c>
      <c r="AB3559" t="s">
        <v>457</v>
      </c>
    </row>
    <row r="3560" spans="1:28">
      <c r="A3560" t="s">
        <v>113</v>
      </c>
      <c r="C3560" s="92">
        <v>4615507572</v>
      </c>
      <c r="D3560" s="93">
        <v>19175</v>
      </c>
      <c r="F3560" s="91">
        <v>16</v>
      </c>
      <c r="G3560" s="91">
        <v>5</v>
      </c>
      <c r="H3560" s="91">
        <v>0</v>
      </c>
      <c r="I3560" s="91">
        <v>0</v>
      </c>
      <c r="J3560" s="41"/>
      <c r="K3560" s="41">
        <v>43616</v>
      </c>
      <c r="L3560" s="69" t="s">
        <v>80</v>
      </c>
      <c r="M3560" s="69" t="s">
        <v>286</v>
      </c>
      <c r="N3560" s="95"/>
      <c r="P3560" t="s">
        <v>95</v>
      </c>
      <c r="Q3560" t="s">
        <v>110</v>
      </c>
      <c r="R3560" s="92" t="s">
        <v>69</v>
      </c>
      <c r="S3560" s="92" t="s">
        <v>115</v>
      </c>
      <c r="V3560" s="95">
        <v>43616</v>
      </c>
      <c r="W3560" s="92" t="s">
        <v>413</v>
      </c>
      <c r="X3560" s="90"/>
      <c r="Y3560" s="123"/>
      <c r="Z3560" s="30">
        <f t="shared" si="110"/>
        <v>6763.7822038320437</v>
      </c>
      <c r="AA3560" s="30">
        <f t="shared" si="111"/>
        <v>2113.6819386975139</v>
      </c>
      <c r="AB3560" t="s">
        <v>457</v>
      </c>
    </row>
    <row r="3561" spans="1:28">
      <c r="A3561" t="s">
        <v>122</v>
      </c>
      <c r="C3561" s="92">
        <v>4615472165</v>
      </c>
      <c r="D3561" s="93">
        <v>19200</v>
      </c>
      <c r="F3561" s="94">
        <v>16</v>
      </c>
      <c r="G3561" s="94">
        <v>5</v>
      </c>
      <c r="H3561" s="91">
        <v>0</v>
      </c>
      <c r="I3561" s="91">
        <v>0</v>
      </c>
      <c r="J3561" s="41"/>
      <c r="K3561" s="41">
        <v>43646</v>
      </c>
      <c r="L3561" s="69" t="s">
        <v>80</v>
      </c>
      <c r="M3561" s="69" t="s">
        <v>286</v>
      </c>
      <c r="N3561" s="95"/>
      <c r="P3561" t="s">
        <v>95</v>
      </c>
      <c r="Q3561" t="s">
        <v>120</v>
      </c>
      <c r="R3561" s="92" t="s">
        <v>69</v>
      </c>
      <c r="S3561" s="92" t="s">
        <v>394</v>
      </c>
      <c r="V3561" s="95">
        <v>43646</v>
      </c>
      <c r="W3561" s="92">
        <v>2033917</v>
      </c>
      <c r="X3561" s="90"/>
      <c r="Y3561" s="123"/>
      <c r="Z3561" s="30">
        <f t="shared" si="110"/>
        <v>6772.6006943194379</v>
      </c>
      <c r="AA3561" s="30">
        <f t="shared" si="111"/>
        <v>2116.4377169748245</v>
      </c>
      <c r="AB3561" t="s">
        <v>457</v>
      </c>
    </row>
    <row r="3562" spans="1:28">
      <c r="A3562" t="s">
        <v>122</v>
      </c>
      <c r="C3562" s="92">
        <v>4615472165</v>
      </c>
      <c r="D3562" s="93">
        <v>19200</v>
      </c>
      <c r="F3562" s="94">
        <v>16</v>
      </c>
      <c r="G3562" s="94">
        <v>5</v>
      </c>
      <c r="H3562" s="91">
        <v>0</v>
      </c>
      <c r="I3562" s="91">
        <v>0</v>
      </c>
      <c r="J3562" s="41"/>
      <c r="K3562" s="41">
        <v>43646</v>
      </c>
      <c r="L3562" s="69" t="s">
        <v>80</v>
      </c>
      <c r="M3562" s="69" t="s">
        <v>286</v>
      </c>
      <c r="N3562" s="95"/>
      <c r="P3562" t="s">
        <v>95</v>
      </c>
      <c r="Q3562" t="s">
        <v>120</v>
      </c>
      <c r="R3562" s="92" t="s">
        <v>69</v>
      </c>
      <c r="S3562" s="92" t="s">
        <v>394</v>
      </c>
      <c r="V3562" s="95">
        <v>43646</v>
      </c>
      <c r="W3562" s="92">
        <v>2033917</v>
      </c>
      <c r="X3562" s="90"/>
      <c r="Y3562" s="123"/>
      <c r="Z3562" s="30">
        <f t="shared" si="110"/>
        <v>6772.6006943194379</v>
      </c>
      <c r="AA3562" s="30">
        <f t="shared" si="111"/>
        <v>2116.4377169748245</v>
      </c>
      <c r="AB3562" t="s">
        <v>457</v>
      </c>
    </row>
    <row r="3563" spans="1:28">
      <c r="A3563" t="s">
        <v>122</v>
      </c>
      <c r="C3563" s="92">
        <v>4615472165</v>
      </c>
      <c r="D3563" s="93">
        <v>19200</v>
      </c>
      <c r="F3563" s="94">
        <v>16</v>
      </c>
      <c r="G3563" s="94">
        <v>5</v>
      </c>
      <c r="H3563" s="91">
        <v>0</v>
      </c>
      <c r="I3563" s="91">
        <v>0</v>
      </c>
      <c r="J3563" s="41"/>
      <c r="K3563" s="41">
        <v>43646</v>
      </c>
      <c r="L3563" s="69" t="s">
        <v>80</v>
      </c>
      <c r="M3563" s="69" t="s">
        <v>286</v>
      </c>
      <c r="N3563" s="95"/>
      <c r="P3563" t="s">
        <v>95</v>
      </c>
      <c r="Q3563" t="s">
        <v>120</v>
      </c>
      <c r="R3563" s="92" t="s">
        <v>69</v>
      </c>
      <c r="S3563" s="92" t="s">
        <v>394</v>
      </c>
      <c r="V3563" s="95">
        <v>43646</v>
      </c>
      <c r="W3563" s="92">
        <v>2033917</v>
      </c>
      <c r="X3563" s="90"/>
      <c r="Y3563" s="123"/>
      <c r="Z3563" s="30">
        <f t="shared" si="110"/>
        <v>6772.6006943194379</v>
      </c>
      <c r="AA3563" s="30">
        <f t="shared" si="111"/>
        <v>2116.4377169748245</v>
      </c>
      <c r="AB3563" t="s">
        <v>457</v>
      </c>
    </row>
    <row r="3564" spans="1:28">
      <c r="A3564" t="s">
        <v>122</v>
      </c>
      <c r="C3564" s="92">
        <v>4615472165</v>
      </c>
      <c r="D3564" s="93">
        <v>19200</v>
      </c>
      <c r="F3564" s="94">
        <v>16</v>
      </c>
      <c r="G3564" s="94">
        <v>5</v>
      </c>
      <c r="H3564" s="91">
        <v>0</v>
      </c>
      <c r="I3564" s="91">
        <v>0</v>
      </c>
      <c r="J3564" s="41"/>
      <c r="K3564" s="41">
        <v>43646</v>
      </c>
      <c r="L3564" s="69" t="s">
        <v>80</v>
      </c>
      <c r="M3564" s="69" t="s">
        <v>286</v>
      </c>
      <c r="N3564" s="95"/>
      <c r="P3564" t="s">
        <v>95</v>
      </c>
      <c r="Q3564" t="s">
        <v>120</v>
      </c>
      <c r="R3564" s="92" t="s">
        <v>69</v>
      </c>
      <c r="S3564" s="92" t="s">
        <v>394</v>
      </c>
      <c r="V3564" s="95">
        <v>43646</v>
      </c>
      <c r="W3564" s="92">
        <v>2033917</v>
      </c>
      <c r="X3564" s="90"/>
      <c r="Y3564" s="123"/>
      <c r="Z3564" s="30">
        <f t="shared" si="110"/>
        <v>6772.6006943194379</v>
      </c>
      <c r="AA3564" s="30">
        <f t="shared" si="111"/>
        <v>2116.4377169748245</v>
      </c>
      <c r="AB3564" t="s">
        <v>457</v>
      </c>
    </row>
    <row r="3565" spans="1:28">
      <c r="A3565" t="s">
        <v>122</v>
      </c>
      <c r="C3565" s="92">
        <v>4615472165</v>
      </c>
      <c r="D3565" s="93">
        <v>19200</v>
      </c>
      <c r="F3565" s="94">
        <v>16</v>
      </c>
      <c r="G3565" s="94">
        <v>5</v>
      </c>
      <c r="H3565" s="91">
        <v>0</v>
      </c>
      <c r="I3565" s="91">
        <v>0</v>
      </c>
      <c r="J3565" s="41"/>
      <c r="K3565" s="41">
        <v>43646</v>
      </c>
      <c r="L3565" s="69" t="s">
        <v>80</v>
      </c>
      <c r="M3565" s="69" t="s">
        <v>286</v>
      </c>
      <c r="N3565" s="95"/>
      <c r="P3565" t="s">
        <v>95</v>
      </c>
      <c r="Q3565" t="s">
        <v>120</v>
      </c>
      <c r="R3565" s="92" t="s">
        <v>69</v>
      </c>
      <c r="S3565" s="92" t="s">
        <v>394</v>
      </c>
      <c r="V3565" s="95">
        <v>43646</v>
      </c>
      <c r="W3565" s="92">
        <v>2033917</v>
      </c>
      <c r="X3565" s="90"/>
      <c r="Y3565" s="123"/>
      <c r="Z3565" s="30">
        <f t="shared" si="110"/>
        <v>6772.6006943194379</v>
      </c>
      <c r="AA3565" s="30">
        <f t="shared" si="111"/>
        <v>2116.4377169748245</v>
      </c>
      <c r="AB3565" t="s">
        <v>457</v>
      </c>
    </row>
    <row r="3566" spans="1:28">
      <c r="A3566" t="s">
        <v>122</v>
      </c>
      <c r="C3566" s="92">
        <v>4615472165</v>
      </c>
      <c r="D3566" s="93">
        <v>19200</v>
      </c>
      <c r="F3566" s="94">
        <v>16</v>
      </c>
      <c r="G3566" s="94">
        <v>5</v>
      </c>
      <c r="H3566" s="91">
        <v>0</v>
      </c>
      <c r="I3566" s="91">
        <v>0</v>
      </c>
      <c r="J3566" s="41"/>
      <c r="K3566" s="41">
        <v>43646</v>
      </c>
      <c r="L3566" s="69" t="s">
        <v>80</v>
      </c>
      <c r="M3566" s="69" t="s">
        <v>286</v>
      </c>
      <c r="N3566" s="95"/>
      <c r="P3566" t="s">
        <v>95</v>
      </c>
      <c r="Q3566" t="s">
        <v>120</v>
      </c>
      <c r="R3566" s="92" t="s">
        <v>69</v>
      </c>
      <c r="S3566" s="92" t="s">
        <v>394</v>
      </c>
      <c r="V3566" s="95">
        <v>43646</v>
      </c>
      <c r="W3566" s="92">
        <v>2033917</v>
      </c>
      <c r="X3566" s="90"/>
      <c r="Y3566" s="123"/>
      <c r="Z3566" s="30">
        <f t="shared" si="110"/>
        <v>6772.6006943194379</v>
      </c>
      <c r="AA3566" s="30">
        <f t="shared" si="111"/>
        <v>2116.4377169748245</v>
      </c>
      <c r="AB3566" t="s">
        <v>457</v>
      </c>
    </row>
    <row r="3567" spans="1:28">
      <c r="A3567" t="s">
        <v>122</v>
      </c>
      <c r="C3567" s="92">
        <v>4615472165</v>
      </c>
      <c r="D3567" s="93">
        <v>19200</v>
      </c>
      <c r="F3567" s="94">
        <v>16</v>
      </c>
      <c r="G3567" s="94">
        <v>5</v>
      </c>
      <c r="H3567" s="91">
        <v>0</v>
      </c>
      <c r="I3567" s="91">
        <v>0</v>
      </c>
      <c r="J3567" s="41"/>
      <c r="K3567" s="41">
        <v>43646</v>
      </c>
      <c r="L3567" s="69" t="s">
        <v>80</v>
      </c>
      <c r="M3567" s="69" t="s">
        <v>286</v>
      </c>
      <c r="N3567" s="95"/>
      <c r="P3567" t="s">
        <v>95</v>
      </c>
      <c r="Q3567" t="s">
        <v>120</v>
      </c>
      <c r="R3567" s="92" t="s">
        <v>69</v>
      </c>
      <c r="S3567" s="92" t="s">
        <v>394</v>
      </c>
      <c r="V3567" s="95">
        <v>43646</v>
      </c>
      <c r="W3567" s="92">
        <v>2033917</v>
      </c>
      <c r="X3567" s="90"/>
      <c r="Y3567" s="123"/>
      <c r="Z3567" s="30">
        <f t="shared" si="110"/>
        <v>6772.6006943194379</v>
      </c>
      <c r="AA3567" s="30">
        <f t="shared" si="111"/>
        <v>2116.4377169748245</v>
      </c>
      <c r="AB3567" t="s">
        <v>457</v>
      </c>
    </row>
    <row r="3568" spans="1:28">
      <c r="A3568" t="s">
        <v>122</v>
      </c>
      <c r="C3568" s="92">
        <v>4615472165</v>
      </c>
      <c r="D3568" s="93">
        <v>19200</v>
      </c>
      <c r="F3568" s="94">
        <v>16</v>
      </c>
      <c r="G3568" s="94">
        <v>5</v>
      </c>
      <c r="H3568" s="91">
        <v>0</v>
      </c>
      <c r="I3568" s="91">
        <v>0</v>
      </c>
      <c r="J3568" s="41"/>
      <c r="K3568" s="41">
        <v>43646</v>
      </c>
      <c r="L3568" s="69" t="s">
        <v>80</v>
      </c>
      <c r="M3568" s="69" t="s">
        <v>286</v>
      </c>
      <c r="N3568" s="95"/>
      <c r="P3568" t="s">
        <v>95</v>
      </c>
      <c r="Q3568" t="s">
        <v>120</v>
      </c>
      <c r="R3568" s="92" t="s">
        <v>69</v>
      </c>
      <c r="S3568" s="92" t="s">
        <v>394</v>
      </c>
      <c r="V3568" s="95">
        <v>43646</v>
      </c>
      <c r="W3568" s="92">
        <v>2033917</v>
      </c>
      <c r="X3568" s="90"/>
      <c r="Y3568" s="123"/>
      <c r="Z3568" s="30">
        <f t="shared" si="110"/>
        <v>6772.6006943194379</v>
      </c>
      <c r="AA3568" s="30">
        <f t="shared" si="111"/>
        <v>2116.4377169748245</v>
      </c>
      <c r="AB3568" t="s">
        <v>457</v>
      </c>
    </row>
    <row r="3569" spans="1:28">
      <c r="A3569" t="s">
        <v>122</v>
      </c>
      <c r="C3569" s="92">
        <v>4615472165</v>
      </c>
      <c r="D3569" s="93">
        <v>19200</v>
      </c>
      <c r="F3569" s="94">
        <v>16</v>
      </c>
      <c r="G3569" s="94">
        <v>5</v>
      </c>
      <c r="H3569" s="91">
        <v>0</v>
      </c>
      <c r="I3569" s="91">
        <v>0</v>
      </c>
      <c r="J3569" s="41"/>
      <c r="K3569" s="41">
        <v>43646</v>
      </c>
      <c r="L3569" s="69" t="s">
        <v>80</v>
      </c>
      <c r="M3569" s="69" t="s">
        <v>286</v>
      </c>
      <c r="N3569" s="95"/>
      <c r="P3569" t="s">
        <v>95</v>
      </c>
      <c r="Q3569" t="s">
        <v>120</v>
      </c>
      <c r="R3569" s="92" t="s">
        <v>69</v>
      </c>
      <c r="S3569" s="92" t="s">
        <v>394</v>
      </c>
      <c r="V3569" s="95">
        <v>43646</v>
      </c>
      <c r="W3569" s="92">
        <v>2033917</v>
      </c>
      <c r="X3569" s="90"/>
      <c r="Y3569" s="123"/>
      <c r="Z3569" s="30">
        <f t="shared" si="110"/>
        <v>6772.6006943194379</v>
      </c>
      <c r="AA3569" s="30">
        <f t="shared" si="111"/>
        <v>2116.4377169748245</v>
      </c>
      <c r="AB3569" t="s">
        <v>457</v>
      </c>
    </row>
    <row r="3570" spans="1:28">
      <c r="A3570" t="s">
        <v>122</v>
      </c>
      <c r="C3570" s="92">
        <v>4615472165</v>
      </c>
      <c r="D3570" s="93">
        <v>19200</v>
      </c>
      <c r="F3570" s="94">
        <v>16</v>
      </c>
      <c r="G3570" s="94">
        <v>5</v>
      </c>
      <c r="H3570" s="91">
        <v>0</v>
      </c>
      <c r="I3570" s="91">
        <v>0</v>
      </c>
      <c r="J3570" s="41"/>
      <c r="K3570" s="41">
        <v>43646</v>
      </c>
      <c r="L3570" s="69" t="s">
        <v>80</v>
      </c>
      <c r="M3570" s="69" t="s">
        <v>286</v>
      </c>
      <c r="N3570" s="95"/>
      <c r="P3570" t="s">
        <v>95</v>
      </c>
      <c r="Q3570" t="s">
        <v>120</v>
      </c>
      <c r="R3570" s="92" t="s">
        <v>69</v>
      </c>
      <c r="S3570" s="92" t="s">
        <v>394</v>
      </c>
      <c r="V3570" s="95">
        <v>43646</v>
      </c>
      <c r="W3570" s="92">
        <v>2033917</v>
      </c>
      <c r="X3570" s="90"/>
      <c r="Y3570" s="123"/>
      <c r="Z3570" s="30">
        <f t="shared" si="110"/>
        <v>6772.6006943194379</v>
      </c>
      <c r="AA3570" s="30">
        <f t="shared" si="111"/>
        <v>2116.4377169748245</v>
      </c>
      <c r="AB3570" t="s">
        <v>457</v>
      </c>
    </row>
    <row r="3571" spans="1:28">
      <c r="A3571" t="s">
        <v>122</v>
      </c>
      <c r="C3571" s="92">
        <v>4615472165</v>
      </c>
      <c r="D3571" s="93">
        <v>19200</v>
      </c>
      <c r="F3571" s="94">
        <v>16</v>
      </c>
      <c r="G3571" s="94">
        <v>5</v>
      </c>
      <c r="H3571" s="91">
        <v>0</v>
      </c>
      <c r="I3571" s="91">
        <v>0</v>
      </c>
      <c r="J3571" s="41"/>
      <c r="K3571" s="41">
        <v>43646</v>
      </c>
      <c r="L3571" s="69" t="s">
        <v>80</v>
      </c>
      <c r="M3571" s="69" t="s">
        <v>286</v>
      </c>
      <c r="N3571" s="95"/>
      <c r="P3571" t="s">
        <v>95</v>
      </c>
      <c r="Q3571" t="s">
        <v>120</v>
      </c>
      <c r="R3571" s="92" t="s">
        <v>69</v>
      </c>
      <c r="S3571" s="92" t="s">
        <v>394</v>
      </c>
      <c r="V3571" s="95">
        <v>43646</v>
      </c>
      <c r="W3571" s="92">
        <v>2033917</v>
      </c>
      <c r="X3571" s="90"/>
      <c r="Y3571" s="123"/>
      <c r="Z3571" s="30">
        <f t="shared" si="110"/>
        <v>6772.6006943194379</v>
      </c>
      <c r="AA3571" s="30">
        <f t="shared" si="111"/>
        <v>2116.4377169748245</v>
      </c>
      <c r="AB3571" t="s">
        <v>457</v>
      </c>
    </row>
    <row r="3572" spans="1:28">
      <c r="A3572" t="s">
        <v>122</v>
      </c>
      <c r="C3572" s="92">
        <v>4615472165</v>
      </c>
      <c r="D3572" s="93">
        <v>19200</v>
      </c>
      <c r="F3572" s="94">
        <v>16</v>
      </c>
      <c r="G3572" s="94">
        <v>5</v>
      </c>
      <c r="H3572" s="91">
        <v>0</v>
      </c>
      <c r="I3572" s="91">
        <v>0</v>
      </c>
      <c r="J3572" s="41"/>
      <c r="K3572" s="41">
        <v>43646</v>
      </c>
      <c r="L3572" s="69" t="s">
        <v>80</v>
      </c>
      <c r="M3572" s="69" t="s">
        <v>286</v>
      </c>
      <c r="N3572" s="95"/>
      <c r="P3572" t="s">
        <v>95</v>
      </c>
      <c r="Q3572" t="s">
        <v>120</v>
      </c>
      <c r="R3572" s="92" t="s">
        <v>69</v>
      </c>
      <c r="S3572" s="92" t="s">
        <v>394</v>
      </c>
      <c r="V3572" s="95">
        <v>43646</v>
      </c>
      <c r="W3572" s="92">
        <v>2033917</v>
      </c>
      <c r="X3572" s="90"/>
      <c r="Y3572" s="123"/>
      <c r="Z3572" s="30">
        <f t="shared" si="110"/>
        <v>6772.6006943194379</v>
      </c>
      <c r="AA3572" s="30">
        <f t="shared" si="111"/>
        <v>2116.4377169748245</v>
      </c>
      <c r="AB3572" t="s">
        <v>457</v>
      </c>
    </row>
    <row r="3573" spans="1:28">
      <c r="A3573" t="s">
        <v>122</v>
      </c>
      <c r="C3573" s="92">
        <v>4615462579</v>
      </c>
      <c r="D3573" s="93">
        <v>19200</v>
      </c>
      <c r="F3573" s="91">
        <v>16</v>
      </c>
      <c r="G3573" s="96">
        <v>5</v>
      </c>
      <c r="H3573" s="94">
        <v>0</v>
      </c>
      <c r="I3573" s="91">
        <v>0</v>
      </c>
      <c r="J3573" s="41"/>
      <c r="K3573" s="41">
        <v>43646</v>
      </c>
      <c r="L3573" s="69" t="s">
        <v>80</v>
      </c>
      <c r="M3573" s="69" t="s">
        <v>286</v>
      </c>
      <c r="N3573" s="95"/>
      <c r="P3573" t="s">
        <v>95</v>
      </c>
      <c r="Q3573" t="s">
        <v>120</v>
      </c>
      <c r="R3573" s="92" t="s">
        <v>69</v>
      </c>
      <c r="S3573" s="92" t="s">
        <v>395</v>
      </c>
      <c r="V3573" s="95">
        <v>43646</v>
      </c>
      <c r="W3573" s="92">
        <v>2033927</v>
      </c>
      <c r="X3573" s="90"/>
      <c r="Y3573" s="123"/>
      <c r="Z3573" s="30">
        <f t="shared" si="110"/>
        <v>6772.6006943194379</v>
      </c>
      <c r="AA3573" s="30">
        <f t="shared" si="111"/>
        <v>2116.4377169748245</v>
      </c>
      <c r="AB3573" t="s">
        <v>457</v>
      </c>
    </row>
    <row r="3574" spans="1:28">
      <c r="A3574" t="s">
        <v>122</v>
      </c>
      <c r="C3574" s="92">
        <v>4615462579</v>
      </c>
      <c r="D3574" s="93">
        <v>19200</v>
      </c>
      <c r="F3574" s="91">
        <v>16</v>
      </c>
      <c r="G3574" s="96">
        <v>5</v>
      </c>
      <c r="H3574" s="94">
        <v>0</v>
      </c>
      <c r="I3574" s="91">
        <v>0</v>
      </c>
      <c r="J3574" s="41"/>
      <c r="K3574" s="41">
        <v>43646</v>
      </c>
      <c r="L3574" s="69" t="s">
        <v>80</v>
      </c>
      <c r="M3574" s="69" t="s">
        <v>286</v>
      </c>
      <c r="N3574" s="95"/>
      <c r="P3574" t="s">
        <v>95</v>
      </c>
      <c r="Q3574" t="s">
        <v>120</v>
      </c>
      <c r="R3574" s="92" t="s">
        <v>69</v>
      </c>
      <c r="S3574" s="92" t="s">
        <v>395</v>
      </c>
      <c r="V3574" s="95">
        <v>43646</v>
      </c>
      <c r="W3574" s="92">
        <v>2033927</v>
      </c>
      <c r="X3574" s="90"/>
      <c r="Y3574" s="123"/>
      <c r="Z3574" s="30">
        <f t="shared" si="110"/>
        <v>6772.6006943194379</v>
      </c>
      <c r="AA3574" s="30">
        <f t="shared" si="111"/>
        <v>2116.4377169748245</v>
      </c>
      <c r="AB3574" t="s">
        <v>457</v>
      </c>
    </row>
    <row r="3575" spans="1:28">
      <c r="A3575" t="s">
        <v>122</v>
      </c>
      <c r="C3575" s="92">
        <v>4615462579</v>
      </c>
      <c r="D3575" s="93">
        <v>19200</v>
      </c>
      <c r="F3575" s="91">
        <v>16</v>
      </c>
      <c r="G3575" s="96">
        <v>5</v>
      </c>
      <c r="H3575" s="94">
        <v>0</v>
      </c>
      <c r="I3575" s="91">
        <v>0</v>
      </c>
      <c r="J3575" s="41"/>
      <c r="K3575" s="41">
        <v>43646</v>
      </c>
      <c r="L3575" s="69" t="s">
        <v>80</v>
      </c>
      <c r="M3575" s="69" t="s">
        <v>286</v>
      </c>
      <c r="N3575" s="95"/>
      <c r="P3575" t="s">
        <v>95</v>
      </c>
      <c r="Q3575" t="s">
        <v>120</v>
      </c>
      <c r="R3575" s="92" t="s">
        <v>69</v>
      </c>
      <c r="S3575" s="92" t="s">
        <v>395</v>
      </c>
      <c r="V3575" s="95">
        <v>43646</v>
      </c>
      <c r="W3575" s="92">
        <v>2033927</v>
      </c>
      <c r="X3575" s="90"/>
      <c r="Y3575" s="123"/>
      <c r="Z3575" s="30">
        <f t="shared" si="110"/>
        <v>6772.6006943194379</v>
      </c>
      <c r="AA3575" s="30">
        <f t="shared" si="111"/>
        <v>2116.4377169748245</v>
      </c>
      <c r="AB3575" t="s">
        <v>457</v>
      </c>
    </row>
    <row r="3576" spans="1:28">
      <c r="A3576" t="s">
        <v>122</v>
      </c>
      <c r="C3576" s="92">
        <v>4615462579</v>
      </c>
      <c r="D3576" s="93">
        <v>19200</v>
      </c>
      <c r="F3576" s="91">
        <v>16</v>
      </c>
      <c r="G3576" s="96">
        <v>5</v>
      </c>
      <c r="H3576" s="94">
        <v>0</v>
      </c>
      <c r="I3576" s="91">
        <v>0</v>
      </c>
      <c r="J3576" s="41"/>
      <c r="K3576" s="41">
        <v>43646</v>
      </c>
      <c r="L3576" s="69" t="s">
        <v>80</v>
      </c>
      <c r="M3576" s="69" t="s">
        <v>286</v>
      </c>
      <c r="N3576" s="95"/>
      <c r="P3576" t="s">
        <v>95</v>
      </c>
      <c r="Q3576" t="s">
        <v>120</v>
      </c>
      <c r="R3576" s="92" t="s">
        <v>69</v>
      </c>
      <c r="S3576" s="92" t="s">
        <v>395</v>
      </c>
      <c r="V3576" s="95">
        <v>43646</v>
      </c>
      <c r="W3576" s="92">
        <v>2033927</v>
      </c>
      <c r="X3576" s="90"/>
      <c r="Y3576" s="123"/>
      <c r="Z3576" s="30">
        <f t="shared" si="110"/>
        <v>6772.6006943194379</v>
      </c>
      <c r="AA3576" s="30">
        <f t="shared" si="111"/>
        <v>2116.4377169748245</v>
      </c>
      <c r="AB3576" t="s">
        <v>457</v>
      </c>
    </row>
    <row r="3577" spans="1:28">
      <c r="A3577" t="s">
        <v>122</v>
      </c>
      <c r="C3577" s="92">
        <v>4615462579</v>
      </c>
      <c r="D3577" s="93">
        <v>19200</v>
      </c>
      <c r="F3577" s="91">
        <v>16</v>
      </c>
      <c r="G3577" s="96">
        <v>5</v>
      </c>
      <c r="H3577" s="94">
        <v>0</v>
      </c>
      <c r="I3577" s="91">
        <v>0</v>
      </c>
      <c r="J3577" s="41"/>
      <c r="K3577" s="41">
        <v>43646</v>
      </c>
      <c r="L3577" s="69" t="s">
        <v>80</v>
      </c>
      <c r="M3577" s="69" t="s">
        <v>286</v>
      </c>
      <c r="N3577" s="95"/>
      <c r="P3577" t="s">
        <v>95</v>
      </c>
      <c r="Q3577" t="s">
        <v>120</v>
      </c>
      <c r="R3577" s="92" t="s">
        <v>69</v>
      </c>
      <c r="S3577" s="92" t="s">
        <v>395</v>
      </c>
      <c r="V3577" s="95">
        <v>43646</v>
      </c>
      <c r="W3577" s="92">
        <v>2033927</v>
      </c>
      <c r="X3577" s="90"/>
      <c r="Y3577" s="123"/>
      <c r="Z3577" s="30">
        <f t="shared" si="110"/>
        <v>6772.6006943194379</v>
      </c>
      <c r="AA3577" s="30">
        <f t="shared" si="111"/>
        <v>2116.4377169748245</v>
      </c>
      <c r="AB3577" t="s">
        <v>457</v>
      </c>
    </row>
    <row r="3578" spans="1:28">
      <c r="A3578" t="s">
        <v>122</v>
      </c>
      <c r="C3578" s="92">
        <v>4615462579</v>
      </c>
      <c r="D3578" s="93">
        <v>19200</v>
      </c>
      <c r="F3578" s="91">
        <v>16</v>
      </c>
      <c r="G3578" s="96">
        <v>5</v>
      </c>
      <c r="H3578" s="94">
        <v>0</v>
      </c>
      <c r="I3578" s="91">
        <v>0</v>
      </c>
      <c r="J3578" s="41"/>
      <c r="K3578" s="41">
        <v>43646</v>
      </c>
      <c r="L3578" s="69" t="s">
        <v>80</v>
      </c>
      <c r="M3578" s="69" t="s">
        <v>286</v>
      </c>
      <c r="N3578" s="95"/>
      <c r="P3578" t="s">
        <v>95</v>
      </c>
      <c r="Q3578" t="s">
        <v>120</v>
      </c>
      <c r="R3578" s="92" t="s">
        <v>69</v>
      </c>
      <c r="S3578" s="92" t="s">
        <v>395</v>
      </c>
      <c r="V3578" s="95">
        <v>43646</v>
      </c>
      <c r="W3578" s="92">
        <v>2033927</v>
      </c>
      <c r="X3578" s="90"/>
      <c r="Y3578" s="123"/>
      <c r="Z3578" s="30">
        <f t="shared" si="110"/>
        <v>6772.6006943194379</v>
      </c>
      <c r="AA3578" s="30">
        <f t="shared" si="111"/>
        <v>2116.4377169748245</v>
      </c>
      <c r="AB3578" t="s">
        <v>457</v>
      </c>
    </row>
    <row r="3579" spans="1:28">
      <c r="A3579" t="s">
        <v>122</v>
      </c>
      <c r="C3579" s="92">
        <v>4615462579</v>
      </c>
      <c r="D3579" s="93">
        <v>19200</v>
      </c>
      <c r="F3579" s="91">
        <v>16</v>
      </c>
      <c r="G3579" s="96">
        <v>5</v>
      </c>
      <c r="H3579" s="94">
        <v>0</v>
      </c>
      <c r="I3579" s="91">
        <v>0</v>
      </c>
      <c r="J3579" s="41"/>
      <c r="K3579" s="41">
        <v>43646</v>
      </c>
      <c r="L3579" s="69" t="s">
        <v>80</v>
      </c>
      <c r="M3579" s="69" t="s">
        <v>286</v>
      </c>
      <c r="N3579" s="95"/>
      <c r="P3579" t="s">
        <v>95</v>
      </c>
      <c r="Q3579" t="s">
        <v>120</v>
      </c>
      <c r="R3579" s="92" t="s">
        <v>69</v>
      </c>
      <c r="S3579" s="92" t="s">
        <v>395</v>
      </c>
      <c r="V3579" s="95">
        <v>43646</v>
      </c>
      <c r="W3579" s="92">
        <v>2033927</v>
      </c>
      <c r="X3579" s="90"/>
      <c r="Y3579" s="123"/>
      <c r="Z3579" s="30">
        <f t="shared" si="110"/>
        <v>6772.6006943194379</v>
      </c>
      <c r="AA3579" s="30">
        <f t="shared" si="111"/>
        <v>2116.4377169748245</v>
      </c>
      <c r="AB3579" t="s">
        <v>457</v>
      </c>
    </row>
    <row r="3580" spans="1:28">
      <c r="A3580" t="s">
        <v>122</v>
      </c>
      <c r="C3580" s="92">
        <v>4615462579</v>
      </c>
      <c r="D3580" s="93">
        <v>19200</v>
      </c>
      <c r="F3580" s="91">
        <v>16</v>
      </c>
      <c r="G3580" s="96">
        <v>5</v>
      </c>
      <c r="H3580" s="94">
        <v>0</v>
      </c>
      <c r="I3580" s="91">
        <v>0</v>
      </c>
      <c r="J3580" s="41"/>
      <c r="K3580" s="41">
        <v>43646</v>
      </c>
      <c r="L3580" s="69" t="s">
        <v>80</v>
      </c>
      <c r="M3580" s="69" t="s">
        <v>286</v>
      </c>
      <c r="N3580" s="95"/>
      <c r="P3580" t="s">
        <v>95</v>
      </c>
      <c r="Q3580" t="s">
        <v>120</v>
      </c>
      <c r="R3580" s="92" t="s">
        <v>69</v>
      </c>
      <c r="S3580" s="92" t="s">
        <v>395</v>
      </c>
      <c r="V3580" s="95">
        <v>43646</v>
      </c>
      <c r="W3580" s="92">
        <v>2033927</v>
      </c>
      <c r="X3580" s="90"/>
      <c r="Y3580" s="123"/>
      <c r="Z3580" s="30">
        <f t="shared" si="110"/>
        <v>6772.6006943194379</v>
      </c>
      <c r="AA3580" s="30">
        <f t="shared" si="111"/>
        <v>2116.4377169748245</v>
      </c>
      <c r="AB3580" t="s">
        <v>457</v>
      </c>
    </row>
    <row r="3581" spans="1:28">
      <c r="A3581" t="s">
        <v>122</v>
      </c>
      <c r="C3581" s="92">
        <v>4615462579</v>
      </c>
      <c r="D3581" s="93">
        <v>19200</v>
      </c>
      <c r="F3581" s="91">
        <v>16</v>
      </c>
      <c r="G3581" s="96">
        <v>5</v>
      </c>
      <c r="H3581" s="94">
        <v>0</v>
      </c>
      <c r="I3581" s="91">
        <v>0</v>
      </c>
      <c r="J3581" s="41"/>
      <c r="K3581" s="41">
        <v>43646</v>
      </c>
      <c r="L3581" s="69" t="s">
        <v>80</v>
      </c>
      <c r="M3581" s="69" t="s">
        <v>286</v>
      </c>
      <c r="N3581" s="95"/>
      <c r="P3581" t="s">
        <v>95</v>
      </c>
      <c r="Q3581" t="s">
        <v>120</v>
      </c>
      <c r="R3581" s="92" t="s">
        <v>69</v>
      </c>
      <c r="S3581" s="92" t="s">
        <v>395</v>
      </c>
      <c r="V3581" s="95">
        <v>43646</v>
      </c>
      <c r="W3581" s="92">
        <v>2033927</v>
      </c>
      <c r="X3581" s="90"/>
      <c r="Y3581" s="123"/>
      <c r="Z3581" s="30">
        <f t="shared" si="110"/>
        <v>6772.6006943194379</v>
      </c>
      <c r="AA3581" s="30">
        <f t="shared" si="111"/>
        <v>2116.4377169748245</v>
      </c>
      <c r="AB3581" t="s">
        <v>457</v>
      </c>
    </row>
    <row r="3582" spans="1:28">
      <c r="A3582" t="s">
        <v>122</v>
      </c>
      <c r="C3582" s="92">
        <v>4615462579</v>
      </c>
      <c r="D3582" s="93">
        <v>19200</v>
      </c>
      <c r="F3582" s="91">
        <v>16</v>
      </c>
      <c r="G3582" s="96">
        <v>5</v>
      </c>
      <c r="H3582" s="94">
        <v>0</v>
      </c>
      <c r="I3582" s="91">
        <v>0</v>
      </c>
      <c r="J3582" s="41"/>
      <c r="K3582" s="41">
        <v>43646</v>
      </c>
      <c r="L3582" s="69" t="s">
        <v>80</v>
      </c>
      <c r="M3582" s="69" t="s">
        <v>286</v>
      </c>
      <c r="N3582" s="95"/>
      <c r="P3582" t="s">
        <v>95</v>
      </c>
      <c r="Q3582" t="s">
        <v>120</v>
      </c>
      <c r="R3582" s="92" t="s">
        <v>69</v>
      </c>
      <c r="S3582" s="92" t="s">
        <v>395</v>
      </c>
      <c r="V3582" s="95">
        <v>43646</v>
      </c>
      <c r="W3582" s="92">
        <v>2033927</v>
      </c>
      <c r="X3582" s="90"/>
      <c r="Y3582" s="123"/>
      <c r="Z3582" s="30">
        <f t="shared" si="110"/>
        <v>6772.6006943194379</v>
      </c>
      <c r="AA3582" s="30">
        <f t="shared" si="111"/>
        <v>2116.4377169748245</v>
      </c>
      <c r="AB3582" t="s">
        <v>457</v>
      </c>
    </row>
    <row r="3583" spans="1:28">
      <c r="A3583" t="s">
        <v>122</v>
      </c>
      <c r="C3583" s="92">
        <v>4615462579</v>
      </c>
      <c r="D3583" s="93">
        <v>19200</v>
      </c>
      <c r="F3583" s="91">
        <v>16</v>
      </c>
      <c r="G3583" s="96">
        <v>5</v>
      </c>
      <c r="H3583" s="94">
        <v>0</v>
      </c>
      <c r="I3583" s="91">
        <v>0</v>
      </c>
      <c r="J3583" s="41"/>
      <c r="K3583" s="41">
        <v>43646</v>
      </c>
      <c r="L3583" s="69" t="s">
        <v>80</v>
      </c>
      <c r="M3583" s="69" t="s">
        <v>286</v>
      </c>
      <c r="N3583" s="95"/>
      <c r="P3583" t="s">
        <v>95</v>
      </c>
      <c r="Q3583" t="s">
        <v>120</v>
      </c>
      <c r="R3583" s="92" t="s">
        <v>69</v>
      </c>
      <c r="S3583" s="92" t="s">
        <v>395</v>
      </c>
      <c r="V3583" s="95">
        <v>43646</v>
      </c>
      <c r="W3583" s="92">
        <v>2033927</v>
      </c>
      <c r="X3583" s="90"/>
      <c r="Y3583" s="123"/>
      <c r="Z3583" s="30">
        <f t="shared" si="110"/>
        <v>6772.6006943194379</v>
      </c>
      <c r="AA3583" s="30">
        <f t="shared" si="111"/>
        <v>2116.4377169748245</v>
      </c>
      <c r="AB3583" t="s">
        <v>457</v>
      </c>
    </row>
    <row r="3584" spans="1:28">
      <c r="A3584" t="s">
        <v>118</v>
      </c>
      <c r="C3584" s="92">
        <v>4615478852</v>
      </c>
      <c r="D3584" s="93">
        <v>19175</v>
      </c>
      <c r="F3584" s="91">
        <v>16</v>
      </c>
      <c r="G3584" s="96">
        <v>5</v>
      </c>
      <c r="H3584" s="94">
        <v>0</v>
      </c>
      <c r="I3584" s="91">
        <v>0</v>
      </c>
      <c r="J3584" s="41"/>
      <c r="K3584" s="41">
        <v>43646</v>
      </c>
      <c r="L3584" s="69" t="s">
        <v>80</v>
      </c>
      <c r="M3584" s="69" t="s">
        <v>286</v>
      </c>
      <c r="N3584" s="95"/>
      <c r="P3584" t="s">
        <v>95</v>
      </c>
      <c r="Q3584" t="s">
        <v>120</v>
      </c>
      <c r="R3584" s="92" t="s">
        <v>69</v>
      </c>
      <c r="S3584" s="92" t="s">
        <v>396</v>
      </c>
      <c r="V3584" s="95">
        <v>43646</v>
      </c>
      <c r="W3584" s="92">
        <v>2033937</v>
      </c>
      <c r="X3584" s="90"/>
      <c r="Y3584" s="123"/>
      <c r="Z3584" s="30">
        <f t="shared" si="110"/>
        <v>6763.7822038320437</v>
      </c>
      <c r="AA3584" s="30">
        <f t="shared" si="111"/>
        <v>2113.6819386975139</v>
      </c>
      <c r="AB3584" t="s">
        <v>457</v>
      </c>
    </row>
    <row r="3585" spans="1:28">
      <c r="A3585" t="s">
        <v>118</v>
      </c>
      <c r="C3585" s="92">
        <v>4615478852</v>
      </c>
      <c r="D3585" s="93">
        <v>19175</v>
      </c>
      <c r="F3585" s="91">
        <v>16</v>
      </c>
      <c r="G3585" s="96">
        <v>5</v>
      </c>
      <c r="H3585" s="94">
        <v>0</v>
      </c>
      <c r="I3585" s="91">
        <v>0</v>
      </c>
      <c r="J3585" s="41"/>
      <c r="K3585" s="41">
        <v>43646</v>
      </c>
      <c r="L3585" s="69" t="s">
        <v>80</v>
      </c>
      <c r="M3585" s="69" t="s">
        <v>286</v>
      </c>
      <c r="N3585" s="95"/>
      <c r="P3585" t="s">
        <v>95</v>
      </c>
      <c r="Q3585" t="s">
        <v>120</v>
      </c>
      <c r="R3585" s="92" t="s">
        <v>69</v>
      </c>
      <c r="S3585" s="92" t="s">
        <v>396</v>
      </c>
      <c r="V3585" s="95">
        <v>43646</v>
      </c>
      <c r="W3585" s="92">
        <v>2033937</v>
      </c>
      <c r="X3585" s="90"/>
      <c r="Y3585" s="123"/>
      <c r="Z3585" s="30">
        <f t="shared" si="110"/>
        <v>6763.7822038320437</v>
      </c>
      <c r="AA3585" s="30">
        <f t="shared" si="111"/>
        <v>2113.6819386975139</v>
      </c>
      <c r="AB3585" t="s">
        <v>457</v>
      </c>
    </row>
    <row r="3586" spans="1:28">
      <c r="A3586" t="s">
        <v>118</v>
      </c>
      <c r="C3586" s="92">
        <v>4615478852</v>
      </c>
      <c r="D3586" s="93">
        <v>19175</v>
      </c>
      <c r="F3586" s="91">
        <v>16</v>
      </c>
      <c r="G3586" s="96">
        <v>5</v>
      </c>
      <c r="H3586" s="94">
        <v>0</v>
      </c>
      <c r="I3586" s="91">
        <v>0</v>
      </c>
      <c r="J3586" s="41"/>
      <c r="K3586" s="41">
        <v>43646</v>
      </c>
      <c r="L3586" s="69" t="s">
        <v>80</v>
      </c>
      <c r="M3586" s="69" t="s">
        <v>286</v>
      </c>
      <c r="N3586" s="95"/>
      <c r="P3586" t="s">
        <v>95</v>
      </c>
      <c r="Q3586" t="s">
        <v>120</v>
      </c>
      <c r="R3586" s="92" t="s">
        <v>69</v>
      </c>
      <c r="S3586" s="92" t="s">
        <v>396</v>
      </c>
      <c r="V3586" s="95">
        <v>43646</v>
      </c>
      <c r="W3586" s="92">
        <v>2033937</v>
      </c>
      <c r="X3586" s="90"/>
      <c r="Y3586" s="123"/>
      <c r="Z3586" s="30">
        <f t="shared" si="110"/>
        <v>6763.7822038320437</v>
      </c>
      <c r="AA3586" s="30">
        <f t="shared" si="111"/>
        <v>2113.6819386975139</v>
      </c>
      <c r="AB3586" t="s">
        <v>457</v>
      </c>
    </row>
    <row r="3587" spans="1:28">
      <c r="A3587" t="s">
        <v>118</v>
      </c>
      <c r="C3587" s="92">
        <v>4615478852</v>
      </c>
      <c r="D3587" s="93">
        <v>19175</v>
      </c>
      <c r="F3587" s="91">
        <v>16</v>
      </c>
      <c r="G3587" s="96">
        <v>5</v>
      </c>
      <c r="H3587" s="94">
        <v>0</v>
      </c>
      <c r="I3587" s="91">
        <v>0</v>
      </c>
      <c r="J3587" s="41"/>
      <c r="K3587" s="41">
        <v>43646</v>
      </c>
      <c r="L3587" s="69" t="s">
        <v>80</v>
      </c>
      <c r="M3587" s="69" t="s">
        <v>286</v>
      </c>
      <c r="N3587" s="95"/>
      <c r="P3587" t="s">
        <v>95</v>
      </c>
      <c r="Q3587" t="s">
        <v>120</v>
      </c>
      <c r="R3587" s="92" t="s">
        <v>69</v>
      </c>
      <c r="S3587" s="92" t="s">
        <v>396</v>
      </c>
      <c r="V3587" s="95">
        <v>43646</v>
      </c>
      <c r="W3587" s="92">
        <v>2033937</v>
      </c>
      <c r="X3587" s="90"/>
      <c r="Y3587" s="123"/>
      <c r="Z3587" s="30">
        <f t="shared" ref="Z3587:Z3650" si="112">CONVERT(D3587,"kg","lbm")*F3587/100</f>
        <v>6763.7822038320437</v>
      </c>
      <c r="AA3587" s="30">
        <f t="shared" ref="AA3587:AA3650" si="113">CONVERT(D3587,"kg","lbm")*G3587/100</f>
        <v>2113.6819386975139</v>
      </c>
      <c r="AB3587" t="s">
        <v>457</v>
      </c>
    </row>
    <row r="3588" spans="1:28">
      <c r="A3588" t="s">
        <v>118</v>
      </c>
      <c r="C3588" s="92">
        <v>4615478852</v>
      </c>
      <c r="D3588" s="93">
        <v>19175</v>
      </c>
      <c r="F3588" s="91">
        <v>16</v>
      </c>
      <c r="G3588" s="96">
        <v>5</v>
      </c>
      <c r="H3588" s="94">
        <v>0</v>
      </c>
      <c r="I3588" s="91">
        <v>0</v>
      </c>
      <c r="J3588" s="41"/>
      <c r="K3588" s="41">
        <v>43646</v>
      </c>
      <c r="L3588" s="69" t="s">
        <v>80</v>
      </c>
      <c r="M3588" s="69" t="s">
        <v>286</v>
      </c>
      <c r="N3588" s="95"/>
      <c r="P3588" t="s">
        <v>95</v>
      </c>
      <c r="Q3588" t="s">
        <v>120</v>
      </c>
      <c r="R3588" s="92" t="s">
        <v>69</v>
      </c>
      <c r="S3588" s="92" t="s">
        <v>396</v>
      </c>
      <c r="V3588" s="95">
        <v>43646</v>
      </c>
      <c r="W3588" s="92">
        <v>2033937</v>
      </c>
      <c r="X3588" s="90"/>
      <c r="Y3588" s="123"/>
      <c r="Z3588" s="30">
        <f t="shared" si="112"/>
        <v>6763.7822038320437</v>
      </c>
      <c r="AA3588" s="30">
        <f t="shared" si="113"/>
        <v>2113.6819386975139</v>
      </c>
      <c r="AB3588" t="s">
        <v>457</v>
      </c>
    </row>
    <row r="3589" spans="1:28">
      <c r="A3589" t="s">
        <v>118</v>
      </c>
      <c r="C3589" s="92">
        <v>4615478852</v>
      </c>
      <c r="D3589" s="93">
        <v>19175</v>
      </c>
      <c r="F3589" s="91">
        <v>16</v>
      </c>
      <c r="G3589" s="96">
        <v>5</v>
      </c>
      <c r="H3589" s="94">
        <v>0</v>
      </c>
      <c r="I3589" s="91">
        <v>0</v>
      </c>
      <c r="J3589" s="41"/>
      <c r="K3589" s="41">
        <v>43646</v>
      </c>
      <c r="L3589" s="69" t="s">
        <v>80</v>
      </c>
      <c r="M3589" s="69" t="s">
        <v>286</v>
      </c>
      <c r="N3589" s="95"/>
      <c r="P3589" t="s">
        <v>95</v>
      </c>
      <c r="Q3589" t="s">
        <v>120</v>
      </c>
      <c r="R3589" s="92" t="s">
        <v>69</v>
      </c>
      <c r="S3589" s="92" t="s">
        <v>396</v>
      </c>
      <c r="V3589" s="95">
        <v>43646</v>
      </c>
      <c r="W3589" s="92">
        <v>2033937</v>
      </c>
      <c r="X3589" s="90"/>
      <c r="Y3589" s="123"/>
      <c r="Z3589" s="30">
        <f t="shared" si="112"/>
        <v>6763.7822038320437</v>
      </c>
      <c r="AA3589" s="30">
        <f t="shared" si="113"/>
        <v>2113.6819386975139</v>
      </c>
      <c r="AB3589" t="s">
        <v>457</v>
      </c>
    </row>
    <row r="3590" spans="1:28">
      <c r="A3590" t="s">
        <v>122</v>
      </c>
      <c r="C3590" s="92">
        <v>4615519268</v>
      </c>
      <c r="D3590" s="93">
        <v>19200</v>
      </c>
      <c r="F3590" s="91">
        <v>16</v>
      </c>
      <c r="G3590" s="96">
        <v>5</v>
      </c>
      <c r="H3590" s="94">
        <v>0</v>
      </c>
      <c r="I3590" s="91">
        <v>0</v>
      </c>
      <c r="J3590" s="41"/>
      <c r="K3590" s="41">
        <v>43646</v>
      </c>
      <c r="L3590" s="69" t="s">
        <v>80</v>
      </c>
      <c r="M3590" s="69" t="s">
        <v>286</v>
      </c>
      <c r="N3590" s="95"/>
      <c r="P3590" t="s">
        <v>95</v>
      </c>
      <c r="Q3590" t="s">
        <v>120</v>
      </c>
      <c r="R3590" s="92" t="s">
        <v>69</v>
      </c>
      <c r="S3590" s="92" t="s">
        <v>397</v>
      </c>
      <c r="V3590" s="95">
        <v>43646</v>
      </c>
      <c r="W3590" s="92">
        <v>2033947</v>
      </c>
      <c r="X3590" s="90"/>
      <c r="Y3590" s="123"/>
      <c r="Z3590" s="30">
        <f t="shared" si="112"/>
        <v>6772.6006943194379</v>
      </c>
      <c r="AA3590" s="30">
        <f t="shared" si="113"/>
        <v>2116.4377169748245</v>
      </c>
      <c r="AB3590" t="s">
        <v>457</v>
      </c>
    </row>
    <row r="3591" spans="1:28">
      <c r="A3591" t="s">
        <v>122</v>
      </c>
      <c r="C3591" s="92">
        <v>4615519268</v>
      </c>
      <c r="D3591" s="93">
        <v>19200</v>
      </c>
      <c r="F3591" s="91">
        <v>16</v>
      </c>
      <c r="G3591" s="96">
        <v>5</v>
      </c>
      <c r="H3591" s="94">
        <v>0</v>
      </c>
      <c r="I3591" s="91">
        <v>0</v>
      </c>
      <c r="J3591" s="41"/>
      <c r="K3591" s="41">
        <v>43646</v>
      </c>
      <c r="L3591" s="69" t="s">
        <v>80</v>
      </c>
      <c r="M3591" s="69" t="s">
        <v>286</v>
      </c>
      <c r="N3591" s="95"/>
      <c r="P3591" t="s">
        <v>95</v>
      </c>
      <c r="Q3591" t="s">
        <v>120</v>
      </c>
      <c r="R3591" s="92" t="s">
        <v>69</v>
      </c>
      <c r="S3591" s="92" t="s">
        <v>397</v>
      </c>
      <c r="V3591" s="95">
        <v>43646</v>
      </c>
      <c r="W3591" s="92">
        <v>2033947</v>
      </c>
      <c r="X3591" s="90"/>
      <c r="Y3591" s="123"/>
      <c r="Z3591" s="30">
        <f t="shared" si="112"/>
        <v>6772.6006943194379</v>
      </c>
      <c r="AA3591" s="30">
        <f t="shared" si="113"/>
        <v>2116.4377169748245</v>
      </c>
      <c r="AB3591" t="s">
        <v>457</v>
      </c>
    </row>
    <row r="3592" spans="1:28">
      <c r="A3592" t="s">
        <v>122</v>
      </c>
      <c r="C3592" s="92">
        <v>4615519268</v>
      </c>
      <c r="D3592" s="93">
        <v>19200</v>
      </c>
      <c r="F3592" s="91">
        <v>16</v>
      </c>
      <c r="G3592" s="96">
        <v>5</v>
      </c>
      <c r="H3592" s="94">
        <v>0</v>
      </c>
      <c r="I3592" s="91">
        <v>0</v>
      </c>
      <c r="J3592" s="41"/>
      <c r="K3592" s="41">
        <v>43646</v>
      </c>
      <c r="L3592" s="69" t="s">
        <v>80</v>
      </c>
      <c r="M3592" s="69" t="s">
        <v>286</v>
      </c>
      <c r="N3592" s="95"/>
      <c r="P3592" t="s">
        <v>95</v>
      </c>
      <c r="Q3592" t="s">
        <v>120</v>
      </c>
      <c r="R3592" s="92" t="s">
        <v>69</v>
      </c>
      <c r="S3592" s="92" t="s">
        <v>397</v>
      </c>
      <c r="V3592" s="95">
        <v>43646</v>
      </c>
      <c r="W3592" s="92">
        <v>2033947</v>
      </c>
      <c r="X3592" s="90"/>
      <c r="Y3592" s="123"/>
      <c r="Z3592" s="30">
        <f t="shared" si="112"/>
        <v>6772.6006943194379</v>
      </c>
      <c r="AA3592" s="30">
        <f t="shared" si="113"/>
        <v>2116.4377169748245</v>
      </c>
      <c r="AB3592" t="s">
        <v>457</v>
      </c>
    </row>
    <row r="3593" spans="1:28">
      <c r="A3593" t="s">
        <v>122</v>
      </c>
      <c r="C3593" s="92">
        <v>4615519268</v>
      </c>
      <c r="D3593" s="93">
        <v>19200</v>
      </c>
      <c r="F3593" s="91">
        <v>16</v>
      </c>
      <c r="G3593" s="96">
        <v>5</v>
      </c>
      <c r="H3593" s="94">
        <v>0</v>
      </c>
      <c r="I3593" s="91">
        <v>0</v>
      </c>
      <c r="J3593" s="41"/>
      <c r="K3593" s="41">
        <v>43646</v>
      </c>
      <c r="L3593" s="69" t="s">
        <v>80</v>
      </c>
      <c r="M3593" s="69" t="s">
        <v>286</v>
      </c>
      <c r="N3593" s="95"/>
      <c r="P3593" t="s">
        <v>95</v>
      </c>
      <c r="Q3593" t="s">
        <v>120</v>
      </c>
      <c r="R3593" s="92" t="s">
        <v>69</v>
      </c>
      <c r="S3593" s="92" t="s">
        <v>397</v>
      </c>
      <c r="V3593" s="95">
        <v>43646</v>
      </c>
      <c r="W3593" s="92">
        <v>2033947</v>
      </c>
      <c r="X3593" s="90"/>
      <c r="Y3593" s="123"/>
      <c r="Z3593" s="30">
        <f t="shared" si="112"/>
        <v>6772.6006943194379</v>
      </c>
      <c r="AA3593" s="30">
        <f t="shared" si="113"/>
        <v>2116.4377169748245</v>
      </c>
      <c r="AB3593" t="s">
        <v>457</v>
      </c>
    </row>
    <row r="3594" spans="1:28">
      <c r="A3594" t="s">
        <v>122</v>
      </c>
      <c r="C3594" s="92">
        <v>4615519268</v>
      </c>
      <c r="D3594" s="93">
        <v>19200</v>
      </c>
      <c r="F3594" s="91">
        <v>16</v>
      </c>
      <c r="G3594" s="96">
        <v>5</v>
      </c>
      <c r="H3594" s="94">
        <v>0</v>
      </c>
      <c r="I3594" s="91">
        <v>0</v>
      </c>
      <c r="J3594" s="41"/>
      <c r="K3594" s="41">
        <v>43646</v>
      </c>
      <c r="L3594" s="69" t="s">
        <v>80</v>
      </c>
      <c r="M3594" s="69" t="s">
        <v>286</v>
      </c>
      <c r="N3594" s="95"/>
      <c r="P3594" t="s">
        <v>95</v>
      </c>
      <c r="Q3594" t="s">
        <v>120</v>
      </c>
      <c r="R3594" s="92" t="s">
        <v>69</v>
      </c>
      <c r="S3594" s="92" t="s">
        <v>397</v>
      </c>
      <c r="V3594" s="95">
        <v>43646</v>
      </c>
      <c r="W3594" s="92">
        <v>2033947</v>
      </c>
      <c r="X3594" s="90"/>
      <c r="Y3594" s="123"/>
      <c r="Z3594" s="30">
        <f t="shared" si="112"/>
        <v>6772.6006943194379</v>
      </c>
      <c r="AA3594" s="30">
        <f t="shared" si="113"/>
        <v>2116.4377169748245</v>
      </c>
      <c r="AB3594" t="s">
        <v>457</v>
      </c>
    </row>
    <row r="3595" spans="1:28">
      <c r="A3595" t="s">
        <v>122</v>
      </c>
      <c r="C3595" s="92">
        <v>4615519268</v>
      </c>
      <c r="D3595" s="93">
        <v>19200</v>
      </c>
      <c r="F3595" s="91">
        <v>16</v>
      </c>
      <c r="G3595" s="96">
        <v>5</v>
      </c>
      <c r="H3595" s="94">
        <v>0</v>
      </c>
      <c r="I3595" s="91">
        <v>0</v>
      </c>
      <c r="J3595" s="41"/>
      <c r="K3595" s="41">
        <v>43646</v>
      </c>
      <c r="L3595" s="69" t="s">
        <v>80</v>
      </c>
      <c r="M3595" s="69" t="s">
        <v>286</v>
      </c>
      <c r="N3595" s="95"/>
      <c r="P3595" t="s">
        <v>95</v>
      </c>
      <c r="Q3595" t="s">
        <v>120</v>
      </c>
      <c r="R3595" s="92" t="s">
        <v>69</v>
      </c>
      <c r="S3595" s="92" t="s">
        <v>397</v>
      </c>
      <c r="V3595" s="95">
        <v>43646</v>
      </c>
      <c r="W3595" s="92">
        <v>2033947</v>
      </c>
      <c r="X3595" s="90"/>
      <c r="Y3595" s="123"/>
      <c r="Z3595" s="30">
        <f t="shared" si="112"/>
        <v>6772.6006943194379</v>
      </c>
      <c r="AA3595" s="30">
        <f t="shared" si="113"/>
        <v>2116.4377169748245</v>
      </c>
      <c r="AB3595" t="s">
        <v>457</v>
      </c>
    </row>
    <row r="3596" spans="1:28">
      <c r="A3596" t="s">
        <v>122</v>
      </c>
      <c r="C3596" s="92">
        <v>4615519268</v>
      </c>
      <c r="D3596" s="93">
        <v>19200</v>
      </c>
      <c r="F3596" s="91">
        <v>16</v>
      </c>
      <c r="G3596" s="96">
        <v>5</v>
      </c>
      <c r="H3596" s="94">
        <v>0</v>
      </c>
      <c r="I3596" s="91">
        <v>0</v>
      </c>
      <c r="J3596" s="41"/>
      <c r="K3596" s="41">
        <v>43646</v>
      </c>
      <c r="L3596" s="69" t="s">
        <v>80</v>
      </c>
      <c r="M3596" s="69" t="s">
        <v>286</v>
      </c>
      <c r="N3596" s="95"/>
      <c r="P3596" t="s">
        <v>95</v>
      </c>
      <c r="Q3596" t="s">
        <v>120</v>
      </c>
      <c r="R3596" s="92" t="s">
        <v>69</v>
      </c>
      <c r="S3596" s="92" t="s">
        <v>397</v>
      </c>
      <c r="V3596" s="95">
        <v>43646</v>
      </c>
      <c r="W3596" s="92">
        <v>2033947</v>
      </c>
      <c r="X3596" s="90"/>
      <c r="Y3596" s="123"/>
      <c r="Z3596" s="30">
        <f t="shared" si="112"/>
        <v>6772.6006943194379</v>
      </c>
      <c r="AA3596" s="30">
        <f t="shared" si="113"/>
        <v>2116.4377169748245</v>
      </c>
      <c r="AB3596" t="s">
        <v>457</v>
      </c>
    </row>
    <row r="3597" spans="1:28">
      <c r="A3597" t="s">
        <v>122</v>
      </c>
      <c r="C3597" s="92">
        <v>4615519268</v>
      </c>
      <c r="D3597" s="93">
        <v>19200</v>
      </c>
      <c r="F3597" s="91">
        <v>16</v>
      </c>
      <c r="G3597" s="96">
        <v>5</v>
      </c>
      <c r="H3597" s="94">
        <v>0</v>
      </c>
      <c r="I3597" s="91">
        <v>0</v>
      </c>
      <c r="J3597" s="41"/>
      <c r="K3597" s="41">
        <v>43646</v>
      </c>
      <c r="L3597" s="69" t="s">
        <v>80</v>
      </c>
      <c r="M3597" s="69" t="s">
        <v>286</v>
      </c>
      <c r="N3597" s="95"/>
      <c r="P3597" t="s">
        <v>95</v>
      </c>
      <c r="Q3597" t="s">
        <v>120</v>
      </c>
      <c r="R3597" s="92" t="s">
        <v>69</v>
      </c>
      <c r="S3597" s="92" t="s">
        <v>397</v>
      </c>
      <c r="V3597" s="95">
        <v>43646</v>
      </c>
      <c r="W3597" s="92">
        <v>2033947</v>
      </c>
      <c r="X3597" s="90"/>
      <c r="Y3597" s="123"/>
      <c r="Z3597" s="30">
        <f t="shared" si="112"/>
        <v>6772.6006943194379</v>
      </c>
      <c r="AA3597" s="30">
        <f t="shared" si="113"/>
        <v>2116.4377169748245</v>
      </c>
      <c r="AB3597" t="s">
        <v>457</v>
      </c>
    </row>
    <row r="3598" spans="1:28">
      <c r="A3598" t="s">
        <v>122</v>
      </c>
      <c r="C3598" s="92">
        <v>4615519268</v>
      </c>
      <c r="D3598" s="93">
        <v>19200</v>
      </c>
      <c r="F3598" s="91">
        <v>16</v>
      </c>
      <c r="G3598" s="96">
        <v>5</v>
      </c>
      <c r="H3598" s="94">
        <v>0</v>
      </c>
      <c r="I3598" s="91">
        <v>0</v>
      </c>
      <c r="J3598" s="41"/>
      <c r="K3598" s="41">
        <v>43646</v>
      </c>
      <c r="L3598" s="69" t="s">
        <v>80</v>
      </c>
      <c r="M3598" s="69" t="s">
        <v>286</v>
      </c>
      <c r="N3598" s="95"/>
      <c r="P3598" t="s">
        <v>95</v>
      </c>
      <c r="Q3598" t="s">
        <v>120</v>
      </c>
      <c r="R3598" s="92" t="s">
        <v>69</v>
      </c>
      <c r="S3598" s="92" t="s">
        <v>397</v>
      </c>
      <c r="V3598" s="95">
        <v>43646</v>
      </c>
      <c r="W3598" s="92">
        <v>2033947</v>
      </c>
      <c r="X3598" s="90"/>
      <c r="Y3598" s="123"/>
      <c r="Z3598" s="30">
        <f t="shared" si="112"/>
        <v>6772.6006943194379</v>
      </c>
      <c r="AA3598" s="30">
        <f t="shared" si="113"/>
        <v>2116.4377169748245</v>
      </c>
      <c r="AB3598" t="s">
        <v>457</v>
      </c>
    </row>
    <row r="3599" spans="1:28">
      <c r="A3599" t="s">
        <v>122</v>
      </c>
      <c r="C3599" s="92">
        <v>4615519268</v>
      </c>
      <c r="D3599" s="93">
        <v>19200</v>
      </c>
      <c r="F3599" s="91">
        <v>16</v>
      </c>
      <c r="G3599" s="96">
        <v>5</v>
      </c>
      <c r="H3599" s="94">
        <v>0</v>
      </c>
      <c r="I3599" s="91">
        <v>0</v>
      </c>
      <c r="J3599" s="41"/>
      <c r="K3599" s="41">
        <v>43646</v>
      </c>
      <c r="L3599" s="69" t="s">
        <v>80</v>
      </c>
      <c r="M3599" s="69" t="s">
        <v>286</v>
      </c>
      <c r="N3599" s="95"/>
      <c r="P3599" t="s">
        <v>95</v>
      </c>
      <c r="Q3599" t="s">
        <v>120</v>
      </c>
      <c r="R3599" s="92" t="s">
        <v>69</v>
      </c>
      <c r="S3599" s="92" t="s">
        <v>397</v>
      </c>
      <c r="V3599" s="95">
        <v>43646</v>
      </c>
      <c r="W3599" s="92">
        <v>2033947</v>
      </c>
      <c r="X3599" s="90"/>
      <c r="Y3599" s="123"/>
      <c r="Z3599" s="30">
        <f t="shared" si="112"/>
        <v>6772.6006943194379</v>
      </c>
      <c r="AA3599" s="30">
        <f t="shared" si="113"/>
        <v>2116.4377169748245</v>
      </c>
      <c r="AB3599" t="s">
        <v>457</v>
      </c>
    </row>
    <row r="3600" spans="1:28">
      <c r="A3600" t="s">
        <v>122</v>
      </c>
      <c r="C3600" s="92">
        <v>4615507364</v>
      </c>
      <c r="D3600" s="93">
        <v>19200</v>
      </c>
      <c r="F3600" s="91">
        <v>16</v>
      </c>
      <c r="G3600" s="96">
        <v>5</v>
      </c>
      <c r="H3600" s="94">
        <v>0</v>
      </c>
      <c r="I3600" s="91">
        <v>0</v>
      </c>
      <c r="J3600" s="41"/>
      <c r="K3600" s="41">
        <v>43646</v>
      </c>
      <c r="L3600" s="69" t="s">
        <v>80</v>
      </c>
      <c r="M3600" s="69" t="s">
        <v>286</v>
      </c>
      <c r="N3600" s="95"/>
      <c r="P3600" t="s">
        <v>95</v>
      </c>
      <c r="Q3600" t="s">
        <v>120</v>
      </c>
      <c r="R3600" s="92" t="s">
        <v>69</v>
      </c>
      <c r="S3600" s="92" t="s">
        <v>293</v>
      </c>
      <c r="V3600" s="95">
        <v>43646</v>
      </c>
      <c r="W3600" s="92">
        <v>2033957</v>
      </c>
      <c r="X3600" s="90"/>
      <c r="Y3600" s="123"/>
      <c r="Z3600" s="30">
        <f t="shared" si="112"/>
        <v>6772.6006943194379</v>
      </c>
      <c r="AA3600" s="30">
        <f t="shared" si="113"/>
        <v>2116.4377169748245</v>
      </c>
      <c r="AB3600" t="s">
        <v>457</v>
      </c>
    </row>
    <row r="3601" spans="1:28">
      <c r="A3601" t="s">
        <v>122</v>
      </c>
      <c r="C3601" s="92">
        <v>4615507364</v>
      </c>
      <c r="D3601" s="93">
        <v>19200</v>
      </c>
      <c r="F3601" s="91">
        <v>16</v>
      </c>
      <c r="G3601" s="96">
        <v>5</v>
      </c>
      <c r="H3601" s="94">
        <v>0</v>
      </c>
      <c r="I3601" s="91">
        <v>0</v>
      </c>
      <c r="J3601" s="41"/>
      <c r="K3601" s="41">
        <v>43646</v>
      </c>
      <c r="L3601" s="69" t="s">
        <v>80</v>
      </c>
      <c r="M3601" s="69" t="s">
        <v>286</v>
      </c>
      <c r="N3601" s="95"/>
      <c r="P3601" t="s">
        <v>95</v>
      </c>
      <c r="Q3601" t="s">
        <v>120</v>
      </c>
      <c r="R3601" s="92" t="s">
        <v>69</v>
      </c>
      <c r="S3601" s="92" t="s">
        <v>293</v>
      </c>
      <c r="V3601" s="95">
        <v>43646</v>
      </c>
      <c r="W3601" s="92">
        <v>2033957</v>
      </c>
      <c r="X3601" s="90"/>
      <c r="Y3601" s="123"/>
      <c r="Z3601" s="30">
        <f t="shared" si="112"/>
        <v>6772.6006943194379</v>
      </c>
      <c r="AA3601" s="30">
        <f t="shared" si="113"/>
        <v>2116.4377169748245</v>
      </c>
      <c r="AB3601" t="s">
        <v>457</v>
      </c>
    </row>
    <row r="3602" spans="1:28">
      <c r="A3602" t="s">
        <v>122</v>
      </c>
      <c r="C3602" s="92">
        <v>4615507364</v>
      </c>
      <c r="D3602" s="93">
        <v>19200</v>
      </c>
      <c r="F3602" s="91">
        <v>16</v>
      </c>
      <c r="G3602" s="96">
        <v>5</v>
      </c>
      <c r="H3602" s="94">
        <v>0</v>
      </c>
      <c r="I3602" s="91">
        <v>0</v>
      </c>
      <c r="J3602" s="41"/>
      <c r="K3602" s="41">
        <v>43646</v>
      </c>
      <c r="L3602" s="69" t="s">
        <v>80</v>
      </c>
      <c r="M3602" s="69" t="s">
        <v>286</v>
      </c>
      <c r="N3602" s="95"/>
      <c r="P3602" t="s">
        <v>95</v>
      </c>
      <c r="Q3602" t="s">
        <v>120</v>
      </c>
      <c r="R3602" s="92" t="s">
        <v>69</v>
      </c>
      <c r="S3602" s="92" t="s">
        <v>293</v>
      </c>
      <c r="V3602" s="95">
        <v>43646</v>
      </c>
      <c r="W3602" s="92">
        <v>2033957</v>
      </c>
      <c r="X3602" s="90"/>
      <c r="Y3602" s="123"/>
      <c r="Z3602" s="30">
        <f t="shared" si="112"/>
        <v>6772.6006943194379</v>
      </c>
      <c r="AA3602" s="30">
        <f t="shared" si="113"/>
        <v>2116.4377169748245</v>
      </c>
      <c r="AB3602" t="s">
        <v>457</v>
      </c>
    </row>
    <row r="3603" spans="1:28">
      <c r="A3603" t="s">
        <v>122</v>
      </c>
      <c r="C3603" s="92">
        <v>4615507364</v>
      </c>
      <c r="D3603" s="93">
        <v>19200</v>
      </c>
      <c r="F3603" s="91">
        <v>16</v>
      </c>
      <c r="G3603" s="96">
        <v>5</v>
      </c>
      <c r="H3603" s="94">
        <v>0</v>
      </c>
      <c r="I3603" s="91">
        <v>0</v>
      </c>
      <c r="J3603" s="41"/>
      <c r="K3603" s="41">
        <v>43646</v>
      </c>
      <c r="L3603" s="69" t="s">
        <v>80</v>
      </c>
      <c r="M3603" s="69" t="s">
        <v>286</v>
      </c>
      <c r="N3603" s="95"/>
      <c r="P3603" t="s">
        <v>95</v>
      </c>
      <c r="Q3603" t="s">
        <v>120</v>
      </c>
      <c r="R3603" s="92" t="s">
        <v>69</v>
      </c>
      <c r="S3603" s="92" t="s">
        <v>293</v>
      </c>
      <c r="V3603" s="95">
        <v>43646</v>
      </c>
      <c r="W3603" s="92">
        <v>2033957</v>
      </c>
      <c r="X3603" s="90"/>
      <c r="Y3603" s="123"/>
      <c r="Z3603" s="30">
        <f t="shared" si="112"/>
        <v>6772.6006943194379</v>
      </c>
      <c r="AA3603" s="30">
        <f t="shared" si="113"/>
        <v>2116.4377169748245</v>
      </c>
      <c r="AB3603" t="s">
        <v>457</v>
      </c>
    </row>
    <row r="3604" spans="1:28">
      <c r="A3604" t="s">
        <v>113</v>
      </c>
      <c r="C3604" s="92">
        <v>4615511696</v>
      </c>
      <c r="D3604" s="93">
        <v>19175</v>
      </c>
      <c r="F3604" s="91">
        <v>16</v>
      </c>
      <c r="G3604" s="91">
        <v>0</v>
      </c>
      <c r="H3604" s="91">
        <v>0</v>
      </c>
      <c r="I3604" s="91">
        <v>0</v>
      </c>
      <c r="J3604" s="41"/>
      <c r="K3604" s="41">
        <v>43646</v>
      </c>
      <c r="L3604" s="69" t="s">
        <v>80</v>
      </c>
      <c r="M3604" s="69" t="s">
        <v>286</v>
      </c>
      <c r="N3604" s="95"/>
      <c r="P3604" t="s">
        <v>95</v>
      </c>
      <c r="Q3604" t="s">
        <v>110</v>
      </c>
      <c r="R3604" s="92" t="s">
        <v>69</v>
      </c>
      <c r="S3604" s="92" t="s">
        <v>115</v>
      </c>
      <c r="V3604" s="95">
        <v>43646</v>
      </c>
      <c r="W3604" s="92" t="s">
        <v>414</v>
      </c>
      <c r="X3604" s="90"/>
      <c r="Y3604" s="123"/>
      <c r="Z3604" s="30">
        <f t="shared" si="112"/>
        <v>6763.7822038320437</v>
      </c>
      <c r="AA3604" s="30">
        <f t="shared" si="113"/>
        <v>0</v>
      </c>
      <c r="AB3604" t="s">
        <v>457</v>
      </c>
    </row>
    <row r="3605" spans="1:28">
      <c r="A3605" t="s">
        <v>113</v>
      </c>
      <c r="C3605" s="92">
        <v>4615511696</v>
      </c>
      <c r="D3605" s="93">
        <v>19175</v>
      </c>
      <c r="F3605" s="91">
        <v>16</v>
      </c>
      <c r="G3605" s="91">
        <v>0</v>
      </c>
      <c r="H3605" s="91">
        <v>0</v>
      </c>
      <c r="I3605" s="91">
        <v>0</v>
      </c>
      <c r="J3605" s="41"/>
      <c r="K3605" s="41">
        <v>43646</v>
      </c>
      <c r="L3605" s="69" t="s">
        <v>80</v>
      </c>
      <c r="M3605" s="69" t="s">
        <v>286</v>
      </c>
      <c r="N3605" s="95"/>
      <c r="P3605" t="s">
        <v>95</v>
      </c>
      <c r="Q3605" t="s">
        <v>110</v>
      </c>
      <c r="R3605" s="92" t="s">
        <v>69</v>
      </c>
      <c r="S3605" s="92" t="s">
        <v>115</v>
      </c>
      <c r="V3605" s="95">
        <v>43646</v>
      </c>
      <c r="W3605" s="92" t="s">
        <v>414</v>
      </c>
      <c r="X3605" s="90"/>
      <c r="Y3605" s="123"/>
      <c r="Z3605" s="30">
        <f t="shared" si="112"/>
        <v>6763.7822038320437</v>
      </c>
      <c r="AA3605" s="30">
        <f t="shared" si="113"/>
        <v>0</v>
      </c>
      <c r="AB3605" t="s">
        <v>457</v>
      </c>
    </row>
    <row r="3606" spans="1:28">
      <c r="A3606" t="s">
        <v>113</v>
      </c>
      <c r="C3606" s="92">
        <v>4615511696</v>
      </c>
      <c r="D3606" s="93">
        <v>19175</v>
      </c>
      <c r="F3606" s="91">
        <v>16</v>
      </c>
      <c r="G3606" s="91">
        <v>0</v>
      </c>
      <c r="H3606" s="91">
        <v>0</v>
      </c>
      <c r="I3606" s="91">
        <v>0</v>
      </c>
      <c r="J3606" s="41"/>
      <c r="K3606" s="41">
        <v>43646</v>
      </c>
      <c r="L3606" s="69" t="s">
        <v>80</v>
      </c>
      <c r="M3606" s="69" t="s">
        <v>286</v>
      </c>
      <c r="N3606" s="95"/>
      <c r="P3606" t="s">
        <v>95</v>
      </c>
      <c r="Q3606" t="s">
        <v>110</v>
      </c>
      <c r="R3606" s="92" t="s">
        <v>69</v>
      </c>
      <c r="S3606" s="92" t="s">
        <v>115</v>
      </c>
      <c r="V3606" s="95">
        <v>43646</v>
      </c>
      <c r="W3606" s="92" t="s">
        <v>414</v>
      </c>
      <c r="X3606" s="90"/>
      <c r="Y3606" s="123"/>
      <c r="Z3606" s="30">
        <f t="shared" si="112"/>
        <v>6763.7822038320437</v>
      </c>
      <c r="AA3606" s="30">
        <f t="shared" si="113"/>
        <v>0</v>
      </c>
      <c r="AB3606" t="s">
        <v>457</v>
      </c>
    </row>
    <row r="3607" spans="1:28">
      <c r="A3607" t="s">
        <v>113</v>
      </c>
      <c r="C3607" s="92">
        <v>4615511696</v>
      </c>
      <c r="D3607" s="93">
        <v>19175</v>
      </c>
      <c r="F3607" s="91">
        <v>16</v>
      </c>
      <c r="G3607" s="91">
        <v>0</v>
      </c>
      <c r="H3607" s="91">
        <v>0</v>
      </c>
      <c r="I3607" s="91">
        <v>0</v>
      </c>
      <c r="J3607" s="41"/>
      <c r="K3607" s="41">
        <v>43646</v>
      </c>
      <c r="L3607" s="69" t="s">
        <v>80</v>
      </c>
      <c r="M3607" s="69" t="s">
        <v>286</v>
      </c>
      <c r="N3607" s="95"/>
      <c r="P3607" t="s">
        <v>95</v>
      </c>
      <c r="Q3607" t="s">
        <v>110</v>
      </c>
      <c r="R3607" s="92" t="s">
        <v>69</v>
      </c>
      <c r="S3607" s="92" t="s">
        <v>115</v>
      </c>
      <c r="V3607" s="95">
        <v>43646</v>
      </c>
      <c r="W3607" s="92" t="s">
        <v>414</v>
      </c>
      <c r="X3607" s="90"/>
      <c r="Y3607" s="123"/>
      <c r="Z3607" s="30">
        <f t="shared" si="112"/>
        <v>6763.7822038320437</v>
      </c>
      <c r="AA3607" s="30">
        <f t="shared" si="113"/>
        <v>0</v>
      </c>
      <c r="AB3607" t="s">
        <v>457</v>
      </c>
    </row>
    <row r="3608" spans="1:28">
      <c r="A3608" t="s">
        <v>113</v>
      </c>
      <c r="C3608" s="92">
        <v>4615511696</v>
      </c>
      <c r="D3608" s="93">
        <v>19175</v>
      </c>
      <c r="F3608" s="91">
        <v>16</v>
      </c>
      <c r="G3608" s="91">
        <v>0</v>
      </c>
      <c r="H3608" s="91">
        <v>0</v>
      </c>
      <c r="I3608" s="91">
        <v>0</v>
      </c>
      <c r="J3608" s="41"/>
      <c r="K3608" s="41">
        <v>43646</v>
      </c>
      <c r="L3608" s="69" t="s">
        <v>80</v>
      </c>
      <c r="M3608" s="69" t="s">
        <v>286</v>
      </c>
      <c r="N3608" s="95"/>
      <c r="P3608" t="s">
        <v>95</v>
      </c>
      <c r="Q3608" t="s">
        <v>110</v>
      </c>
      <c r="R3608" s="92" t="s">
        <v>69</v>
      </c>
      <c r="S3608" s="92" t="s">
        <v>115</v>
      </c>
      <c r="V3608" s="95">
        <v>43646</v>
      </c>
      <c r="W3608" s="92" t="s">
        <v>414</v>
      </c>
      <c r="X3608" s="90"/>
      <c r="Y3608" s="123"/>
      <c r="Z3608" s="30">
        <f t="shared" si="112"/>
        <v>6763.7822038320437</v>
      </c>
      <c r="AA3608" s="30">
        <f t="shared" si="113"/>
        <v>0</v>
      </c>
      <c r="AB3608" t="s">
        <v>457</v>
      </c>
    </row>
    <row r="3609" spans="1:28">
      <c r="A3609" t="s">
        <v>113</v>
      </c>
      <c r="C3609" s="92">
        <v>4615511696</v>
      </c>
      <c r="D3609" s="93">
        <v>19175</v>
      </c>
      <c r="F3609" s="91">
        <v>16</v>
      </c>
      <c r="G3609" s="91">
        <v>0</v>
      </c>
      <c r="H3609" s="91">
        <v>0</v>
      </c>
      <c r="I3609" s="91">
        <v>0</v>
      </c>
      <c r="J3609" s="41"/>
      <c r="K3609" s="41">
        <v>43646</v>
      </c>
      <c r="L3609" s="69" t="s">
        <v>80</v>
      </c>
      <c r="M3609" s="69" t="s">
        <v>286</v>
      </c>
      <c r="N3609" s="95"/>
      <c r="P3609" t="s">
        <v>95</v>
      </c>
      <c r="Q3609" t="s">
        <v>110</v>
      </c>
      <c r="R3609" s="92" t="s">
        <v>69</v>
      </c>
      <c r="S3609" s="92" t="s">
        <v>115</v>
      </c>
      <c r="V3609" s="95">
        <v>43646</v>
      </c>
      <c r="W3609" s="92" t="s">
        <v>414</v>
      </c>
      <c r="X3609" s="90"/>
      <c r="Y3609" s="123"/>
      <c r="Z3609" s="30">
        <f t="shared" si="112"/>
        <v>6763.7822038320437</v>
      </c>
      <c r="AA3609" s="30">
        <f t="shared" si="113"/>
        <v>0</v>
      </c>
      <c r="AB3609" t="s">
        <v>457</v>
      </c>
    </row>
    <row r="3610" spans="1:28">
      <c r="A3610" t="s">
        <v>113</v>
      </c>
      <c r="C3610" s="92">
        <v>4615511696</v>
      </c>
      <c r="D3610" s="93">
        <v>19175</v>
      </c>
      <c r="F3610" s="91">
        <v>16</v>
      </c>
      <c r="G3610" s="91">
        <v>0</v>
      </c>
      <c r="H3610" s="91">
        <v>0</v>
      </c>
      <c r="I3610" s="91">
        <v>0</v>
      </c>
      <c r="J3610" s="41"/>
      <c r="K3610" s="41">
        <v>43646</v>
      </c>
      <c r="L3610" s="69" t="s">
        <v>80</v>
      </c>
      <c r="M3610" s="69" t="s">
        <v>286</v>
      </c>
      <c r="N3610" s="95"/>
      <c r="P3610" t="s">
        <v>95</v>
      </c>
      <c r="Q3610" t="s">
        <v>110</v>
      </c>
      <c r="R3610" s="92" t="s">
        <v>69</v>
      </c>
      <c r="S3610" s="92" t="s">
        <v>115</v>
      </c>
      <c r="V3610" s="95">
        <v>43646</v>
      </c>
      <c r="W3610" s="92" t="s">
        <v>414</v>
      </c>
      <c r="X3610" s="90"/>
      <c r="Y3610" s="123"/>
      <c r="Z3610" s="30">
        <f t="shared" si="112"/>
        <v>6763.7822038320437</v>
      </c>
      <c r="AA3610" s="30">
        <f t="shared" si="113"/>
        <v>0</v>
      </c>
      <c r="AB3610" t="s">
        <v>457</v>
      </c>
    </row>
    <row r="3611" spans="1:28">
      <c r="A3611" t="s">
        <v>113</v>
      </c>
      <c r="C3611" s="92">
        <v>4615511696</v>
      </c>
      <c r="D3611" s="93">
        <v>19175</v>
      </c>
      <c r="F3611" s="91">
        <v>16</v>
      </c>
      <c r="G3611" s="91">
        <v>0</v>
      </c>
      <c r="H3611" s="91">
        <v>0</v>
      </c>
      <c r="I3611" s="91">
        <v>0</v>
      </c>
      <c r="J3611" s="41"/>
      <c r="K3611" s="41">
        <v>43646</v>
      </c>
      <c r="L3611" s="69" t="s">
        <v>80</v>
      </c>
      <c r="M3611" s="69" t="s">
        <v>286</v>
      </c>
      <c r="N3611" s="95"/>
      <c r="P3611" t="s">
        <v>95</v>
      </c>
      <c r="Q3611" t="s">
        <v>110</v>
      </c>
      <c r="R3611" s="92" t="s">
        <v>69</v>
      </c>
      <c r="S3611" s="92" t="s">
        <v>115</v>
      </c>
      <c r="V3611" s="95">
        <v>43646</v>
      </c>
      <c r="W3611" s="92" t="s">
        <v>414</v>
      </c>
      <c r="X3611" s="90"/>
      <c r="Y3611" s="123"/>
      <c r="Z3611" s="30">
        <f t="shared" si="112"/>
        <v>6763.7822038320437</v>
      </c>
      <c r="AA3611" s="30">
        <f t="shared" si="113"/>
        <v>0</v>
      </c>
      <c r="AB3611" t="s">
        <v>457</v>
      </c>
    </row>
    <row r="3612" spans="1:28">
      <c r="A3612" t="s">
        <v>113</v>
      </c>
      <c r="C3612" s="92">
        <v>4615511696</v>
      </c>
      <c r="D3612" s="93">
        <v>19175</v>
      </c>
      <c r="F3612" s="91">
        <v>16</v>
      </c>
      <c r="G3612" s="91">
        <v>0</v>
      </c>
      <c r="H3612" s="91">
        <v>0</v>
      </c>
      <c r="I3612" s="91">
        <v>0</v>
      </c>
      <c r="J3612" s="41"/>
      <c r="K3612" s="41">
        <v>43646</v>
      </c>
      <c r="L3612" s="69" t="s">
        <v>80</v>
      </c>
      <c r="M3612" s="69" t="s">
        <v>286</v>
      </c>
      <c r="N3612" s="95"/>
      <c r="P3612" t="s">
        <v>95</v>
      </c>
      <c r="Q3612" t="s">
        <v>110</v>
      </c>
      <c r="R3612" s="92" t="s">
        <v>69</v>
      </c>
      <c r="S3612" s="92" t="s">
        <v>115</v>
      </c>
      <c r="V3612" s="95">
        <v>43646</v>
      </c>
      <c r="W3612" s="92" t="s">
        <v>414</v>
      </c>
      <c r="X3612" s="90"/>
      <c r="Y3612" s="123"/>
      <c r="Z3612" s="30">
        <f t="shared" si="112"/>
        <v>6763.7822038320437</v>
      </c>
      <c r="AA3612" s="30">
        <f t="shared" si="113"/>
        <v>0</v>
      </c>
      <c r="AB3612" t="s">
        <v>457</v>
      </c>
    </row>
    <row r="3613" spans="1:28">
      <c r="A3613" t="s">
        <v>113</v>
      </c>
      <c r="C3613" s="92">
        <v>4615511696</v>
      </c>
      <c r="D3613" s="93">
        <v>19175</v>
      </c>
      <c r="F3613" s="91">
        <v>16</v>
      </c>
      <c r="G3613" s="91">
        <v>0</v>
      </c>
      <c r="H3613" s="91">
        <v>0</v>
      </c>
      <c r="I3613" s="91">
        <v>0</v>
      </c>
      <c r="J3613" s="41"/>
      <c r="K3613" s="41">
        <v>43646</v>
      </c>
      <c r="L3613" s="69" t="s">
        <v>80</v>
      </c>
      <c r="M3613" s="69" t="s">
        <v>286</v>
      </c>
      <c r="N3613" s="95"/>
      <c r="P3613" t="s">
        <v>95</v>
      </c>
      <c r="Q3613" t="s">
        <v>110</v>
      </c>
      <c r="R3613" s="92" t="s">
        <v>69</v>
      </c>
      <c r="S3613" s="92" t="s">
        <v>115</v>
      </c>
      <c r="V3613" s="95">
        <v>43646</v>
      </c>
      <c r="W3613" s="92" t="s">
        <v>414</v>
      </c>
      <c r="X3613" s="90"/>
      <c r="Y3613" s="123"/>
      <c r="Z3613" s="30">
        <f t="shared" si="112"/>
        <v>6763.7822038320437</v>
      </c>
      <c r="AA3613" s="30">
        <f t="shared" si="113"/>
        <v>0</v>
      </c>
      <c r="AB3613" t="s">
        <v>457</v>
      </c>
    </row>
    <row r="3614" spans="1:28">
      <c r="A3614" t="s">
        <v>113</v>
      </c>
      <c r="C3614" s="92">
        <v>4615511696</v>
      </c>
      <c r="D3614" s="93">
        <v>19175</v>
      </c>
      <c r="F3614" s="91">
        <v>16</v>
      </c>
      <c r="G3614" s="91">
        <v>0</v>
      </c>
      <c r="H3614" s="91">
        <v>0</v>
      </c>
      <c r="I3614" s="91">
        <v>0</v>
      </c>
      <c r="J3614" s="41"/>
      <c r="K3614" s="41">
        <v>43646</v>
      </c>
      <c r="L3614" s="69" t="s">
        <v>80</v>
      </c>
      <c r="M3614" s="69" t="s">
        <v>286</v>
      </c>
      <c r="N3614" s="95"/>
      <c r="P3614" t="s">
        <v>95</v>
      </c>
      <c r="Q3614" t="s">
        <v>110</v>
      </c>
      <c r="R3614" s="92" t="s">
        <v>69</v>
      </c>
      <c r="S3614" s="92" t="s">
        <v>115</v>
      </c>
      <c r="V3614" s="95">
        <v>43646</v>
      </c>
      <c r="W3614" s="92" t="s">
        <v>414</v>
      </c>
      <c r="X3614" s="90"/>
      <c r="Y3614" s="123"/>
      <c r="Z3614" s="30">
        <f t="shared" si="112"/>
        <v>6763.7822038320437</v>
      </c>
      <c r="AA3614" s="30">
        <f t="shared" si="113"/>
        <v>0</v>
      </c>
      <c r="AB3614" t="s">
        <v>457</v>
      </c>
    </row>
    <row r="3615" spans="1:28">
      <c r="A3615" t="s">
        <v>113</v>
      </c>
      <c r="C3615" s="92">
        <v>4615511696</v>
      </c>
      <c r="D3615" s="93">
        <v>19175</v>
      </c>
      <c r="F3615" s="91">
        <v>16</v>
      </c>
      <c r="G3615" s="91">
        <v>0</v>
      </c>
      <c r="H3615" s="91">
        <v>0</v>
      </c>
      <c r="I3615" s="91">
        <v>0</v>
      </c>
      <c r="J3615" s="41"/>
      <c r="K3615" s="41">
        <v>43646</v>
      </c>
      <c r="L3615" s="69" t="s">
        <v>80</v>
      </c>
      <c r="M3615" s="69" t="s">
        <v>286</v>
      </c>
      <c r="N3615" s="95"/>
      <c r="P3615" t="s">
        <v>95</v>
      </c>
      <c r="Q3615" t="s">
        <v>110</v>
      </c>
      <c r="R3615" s="92" t="s">
        <v>69</v>
      </c>
      <c r="S3615" s="92" t="s">
        <v>115</v>
      </c>
      <c r="V3615" s="95">
        <v>43646</v>
      </c>
      <c r="W3615" s="92" t="s">
        <v>414</v>
      </c>
      <c r="X3615" s="90"/>
      <c r="Y3615" s="123"/>
      <c r="Z3615" s="30">
        <f t="shared" si="112"/>
        <v>6763.7822038320437</v>
      </c>
      <c r="AA3615" s="30">
        <f t="shared" si="113"/>
        <v>0</v>
      </c>
      <c r="AB3615" t="s">
        <v>457</v>
      </c>
    </row>
    <row r="3616" spans="1:28">
      <c r="A3616" t="s">
        <v>113</v>
      </c>
      <c r="C3616" s="92">
        <v>4615511696</v>
      </c>
      <c r="D3616" s="93">
        <v>19175</v>
      </c>
      <c r="F3616" s="91">
        <v>16</v>
      </c>
      <c r="G3616" s="91">
        <v>0</v>
      </c>
      <c r="H3616" s="91">
        <v>0</v>
      </c>
      <c r="I3616" s="91">
        <v>0</v>
      </c>
      <c r="J3616" s="41"/>
      <c r="K3616" s="41">
        <v>43646</v>
      </c>
      <c r="L3616" s="69" t="s">
        <v>80</v>
      </c>
      <c r="M3616" s="69" t="s">
        <v>286</v>
      </c>
      <c r="N3616" s="95"/>
      <c r="P3616" t="s">
        <v>95</v>
      </c>
      <c r="Q3616" t="s">
        <v>110</v>
      </c>
      <c r="R3616" s="92" t="s">
        <v>69</v>
      </c>
      <c r="S3616" s="92" t="s">
        <v>115</v>
      </c>
      <c r="V3616" s="95">
        <v>43646</v>
      </c>
      <c r="W3616" s="92" t="s">
        <v>414</v>
      </c>
      <c r="X3616" s="90"/>
      <c r="Y3616" s="123"/>
      <c r="Z3616" s="30">
        <f t="shared" si="112"/>
        <v>6763.7822038320437</v>
      </c>
      <c r="AA3616" s="30">
        <f t="shared" si="113"/>
        <v>0</v>
      </c>
      <c r="AB3616" t="s">
        <v>457</v>
      </c>
    </row>
    <row r="3617" spans="1:28">
      <c r="A3617" t="s">
        <v>113</v>
      </c>
      <c r="C3617" s="92">
        <v>4615511696</v>
      </c>
      <c r="D3617" s="93">
        <v>19175</v>
      </c>
      <c r="F3617" s="91">
        <v>16</v>
      </c>
      <c r="G3617" s="91">
        <v>0</v>
      </c>
      <c r="H3617" s="91">
        <v>0</v>
      </c>
      <c r="I3617" s="91">
        <v>0</v>
      </c>
      <c r="J3617" s="41"/>
      <c r="K3617" s="41">
        <v>43646</v>
      </c>
      <c r="L3617" s="69" t="s">
        <v>80</v>
      </c>
      <c r="M3617" s="69" t="s">
        <v>286</v>
      </c>
      <c r="N3617" s="95"/>
      <c r="P3617" t="s">
        <v>95</v>
      </c>
      <c r="Q3617" t="s">
        <v>110</v>
      </c>
      <c r="R3617" s="92" t="s">
        <v>69</v>
      </c>
      <c r="S3617" s="92" t="s">
        <v>115</v>
      </c>
      <c r="V3617" s="95">
        <v>43646</v>
      </c>
      <c r="W3617" s="92" t="s">
        <v>414</v>
      </c>
      <c r="X3617" s="90"/>
      <c r="Y3617" s="123"/>
      <c r="Z3617" s="30">
        <f t="shared" si="112"/>
        <v>6763.7822038320437</v>
      </c>
      <c r="AA3617" s="30">
        <f t="shared" si="113"/>
        <v>0</v>
      </c>
      <c r="AB3617" t="s">
        <v>457</v>
      </c>
    </row>
    <row r="3618" spans="1:28">
      <c r="A3618" t="s">
        <v>113</v>
      </c>
      <c r="C3618" s="92">
        <v>4615511696</v>
      </c>
      <c r="D3618" s="93">
        <v>19175</v>
      </c>
      <c r="F3618" s="91">
        <v>16</v>
      </c>
      <c r="G3618" s="91">
        <v>0</v>
      </c>
      <c r="H3618" s="91">
        <v>0</v>
      </c>
      <c r="I3618" s="91">
        <v>0</v>
      </c>
      <c r="J3618" s="41"/>
      <c r="K3618" s="41">
        <v>43646</v>
      </c>
      <c r="L3618" s="69" t="s">
        <v>80</v>
      </c>
      <c r="M3618" s="69" t="s">
        <v>286</v>
      </c>
      <c r="N3618" s="95"/>
      <c r="P3618" t="s">
        <v>95</v>
      </c>
      <c r="Q3618" t="s">
        <v>110</v>
      </c>
      <c r="R3618" s="92" t="s">
        <v>69</v>
      </c>
      <c r="S3618" s="92" t="s">
        <v>115</v>
      </c>
      <c r="V3618" s="95">
        <v>43646</v>
      </c>
      <c r="W3618" s="92" t="s">
        <v>414</v>
      </c>
      <c r="X3618" s="90"/>
      <c r="Y3618" s="123"/>
      <c r="Z3618" s="30">
        <f t="shared" si="112"/>
        <v>6763.7822038320437</v>
      </c>
      <c r="AA3618" s="30">
        <f t="shared" si="113"/>
        <v>0</v>
      </c>
      <c r="AB3618" t="s">
        <v>457</v>
      </c>
    </row>
    <row r="3619" spans="1:28">
      <c r="A3619" t="s">
        <v>113</v>
      </c>
      <c r="C3619" s="92">
        <v>4615511696</v>
      </c>
      <c r="D3619" s="93">
        <v>19175</v>
      </c>
      <c r="F3619" s="91">
        <v>16</v>
      </c>
      <c r="G3619" s="91">
        <v>0</v>
      </c>
      <c r="H3619" s="91">
        <v>0</v>
      </c>
      <c r="I3619" s="91">
        <v>0</v>
      </c>
      <c r="J3619" s="41"/>
      <c r="K3619" s="41">
        <v>43646</v>
      </c>
      <c r="L3619" s="69" t="s">
        <v>80</v>
      </c>
      <c r="M3619" s="69" t="s">
        <v>286</v>
      </c>
      <c r="N3619" s="95"/>
      <c r="P3619" t="s">
        <v>95</v>
      </c>
      <c r="Q3619" t="s">
        <v>110</v>
      </c>
      <c r="R3619" s="92" t="s">
        <v>69</v>
      </c>
      <c r="S3619" s="92" t="s">
        <v>115</v>
      </c>
      <c r="V3619" s="95">
        <v>43646</v>
      </c>
      <c r="W3619" s="92" t="s">
        <v>414</v>
      </c>
      <c r="X3619" s="90"/>
      <c r="Y3619" s="123"/>
      <c r="Z3619" s="30">
        <f t="shared" si="112"/>
        <v>6763.7822038320437</v>
      </c>
      <c r="AA3619" s="30">
        <f t="shared" si="113"/>
        <v>0</v>
      </c>
      <c r="AB3619" t="s">
        <v>457</v>
      </c>
    </row>
    <row r="3620" spans="1:28">
      <c r="A3620" t="s">
        <v>113</v>
      </c>
      <c r="C3620" s="92">
        <v>4615511696</v>
      </c>
      <c r="D3620" s="93">
        <v>19175</v>
      </c>
      <c r="F3620" s="91">
        <v>16</v>
      </c>
      <c r="G3620" s="91">
        <v>0</v>
      </c>
      <c r="H3620" s="91">
        <v>0</v>
      </c>
      <c r="I3620" s="91">
        <v>0</v>
      </c>
      <c r="J3620" s="41"/>
      <c r="K3620" s="41">
        <v>43646</v>
      </c>
      <c r="L3620" s="69" t="s">
        <v>80</v>
      </c>
      <c r="M3620" s="69" t="s">
        <v>286</v>
      </c>
      <c r="N3620" s="95"/>
      <c r="P3620" t="s">
        <v>95</v>
      </c>
      <c r="Q3620" t="s">
        <v>110</v>
      </c>
      <c r="R3620" s="92" t="s">
        <v>69</v>
      </c>
      <c r="S3620" s="92" t="s">
        <v>115</v>
      </c>
      <c r="V3620" s="95">
        <v>43646</v>
      </c>
      <c r="W3620" s="92" t="s">
        <v>414</v>
      </c>
      <c r="X3620" s="90"/>
      <c r="Y3620" s="123"/>
      <c r="Z3620" s="30">
        <f t="shared" si="112"/>
        <v>6763.7822038320437</v>
      </c>
      <c r="AA3620" s="30">
        <f t="shared" si="113"/>
        <v>0</v>
      </c>
      <c r="AB3620" t="s">
        <v>457</v>
      </c>
    </row>
    <row r="3621" spans="1:28">
      <c r="A3621" t="s">
        <v>113</v>
      </c>
      <c r="C3621" s="92">
        <v>4615511696</v>
      </c>
      <c r="D3621" s="93">
        <v>19175</v>
      </c>
      <c r="F3621" s="91">
        <v>16</v>
      </c>
      <c r="G3621" s="91">
        <v>0</v>
      </c>
      <c r="H3621" s="91">
        <v>0</v>
      </c>
      <c r="I3621" s="91">
        <v>0</v>
      </c>
      <c r="J3621" s="41"/>
      <c r="K3621" s="41">
        <v>43646</v>
      </c>
      <c r="L3621" s="69" t="s">
        <v>80</v>
      </c>
      <c r="M3621" s="69" t="s">
        <v>286</v>
      </c>
      <c r="N3621" s="95"/>
      <c r="P3621" t="s">
        <v>95</v>
      </c>
      <c r="Q3621" t="s">
        <v>110</v>
      </c>
      <c r="R3621" s="92" t="s">
        <v>69</v>
      </c>
      <c r="S3621" s="92" t="s">
        <v>115</v>
      </c>
      <c r="V3621" s="95">
        <v>43646</v>
      </c>
      <c r="W3621" s="92" t="s">
        <v>414</v>
      </c>
      <c r="X3621" s="90"/>
      <c r="Y3621" s="123"/>
      <c r="Z3621" s="30">
        <f t="shared" si="112"/>
        <v>6763.7822038320437</v>
      </c>
      <c r="AA3621" s="30">
        <f t="shared" si="113"/>
        <v>0</v>
      </c>
      <c r="AB3621" t="s">
        <v>457</v>
      </c>
    </row>
    <row r="3622" spans="1:28">
      <c r="A3622" t="s">
        <v>113</v>
      </c>
      <c r="C3622" s="92">
        <v>4615511696</v>
      </c>
      <c r="D3622" s="93">
        <v>19175</v>
      </c>
      <c r="F3622" s="91">
        <v>16</v>
      </c>
      <c r="G3622" s="91">
        <v>0</v>
      </c>
      <c r="H3622" s="91">
        <v>0</v>
      </c>
      <c r="I3622" s="91">
        <v>0</v>
      </c>
      <c r="J3622" s="41"/>
      <c r="K3622" s="41">
        <v>43646</v>
      </c>
      <c r="L3622" s="69" t="s">
        <v>80</v>
      </c>
      <c r="M3622" s="69" t="s">
        <v>286</v>
      </c>
      <c r="N3622" s="95"/>
      <c r="P3622" t="s">
        <v>95</v>
      </c>
      <c r="Q3622" t="s">
        <v>110</v>
      </c>
      <c r="R3622" s="92" t="s">
        <v>69</v>
      </c>
      <c r="S3622" s="92" t="s">
        <v>115</v>
      </c>
      <c r="V3622" s="95">
        <v>43646</v>
      </c>
      <c r="W3622" s="92" t="s">
        <v>414</v>
      </c>
      <c r="X3622" s="90"/>
      <c r="Y3622" s="123"/>
      <c r="Z3622" s="30">
        <f t="shared" si="112"/>
        <v>6763.7822038320437</v>
      </c>
      <c r="AA3622" s="30">
        <f t="shared" si="113"/>
        <v>0</v>
      </c>
      <c r="AB3622" t="s">
        <v>457</v>
      </c>
    </row>
    <row r="3623" spans="1:28">
      <c r="A3623" t="s">
        <v>113</v>
      </c>
      <c r="C3623" s="92">
        <v>4615511696</v>
      </c>
      <c r="D3623" s="93">
        <v>19175</v>
      </c>
      <c r="F3623" s="91">
        <v>16</v>
      </c>
      <c r="G3623" s="91">
        <v>0</v>
      </c>
      <c r="H3623" s="91">
        <v>0</v>
      </c>
      <c r="I3623" s="91">
        <v>0</v>
      </c>
      <c r="J3623" s="41"/>
      <c r="K3623" s="41">
        <v>43646</v>
      </c>
      <c r="L3623" s="69" t="s">
        <v>80</v>
      </c>
      <c r="M3623" s="69" t="s">
        <v>286</v>
      </c>
      <c r="N3623" s="95"/>
      <c r="P3623" t="s">
        <v>95</v>
      </c>
      <c r="Q3623" t="s">
        <v>110</v>
      </c>
      <c r="R3623" s="92" t="s">
        <v>69</v>
      </c>
      <c r="S3623" s="92" t="s">
        <v>115</v>
      </c>
      <c r="V3623" s="95">
        <v>43646</v>
      </c>
      <c r="W3623" s="92" t="s">
        <v>414</v>
      </c>
      <c r="X3623" s="90"/>
      <c r="Y3623" s="123"/>
      <c r="Z3623" s="30">
        <f t="shared" si="112"/>
        <v>6763.7822038320437</v>
      </c>
      <c r="AA3623" s="30">
        <f t="shared" si="113"/>
        <v>0</v>
      </c>
      <c r="AB3623" t="s">
        <v>457</v>
      </c>
    </row>
    <row r="3624" spans="1:28">
      <c r="A3624" t="s">
        <v>113</v>
      </c>
      <c r="C3624" s="92">
        <v>4615511696</v>
      </c>
      <c r="D3624" s="93">
        <v>19175</v>
      </c>
      <c r="F3624" s="91">
        <v>16</v>
      </c>
      <c r="G3624" s="91">
        <v>0</v>
      </c>
      <c r="H3624" s="91">
        <v>0</v>
      </c>
      <c r="I3624" s="91">
        <v>0</v>
      </c>
      <c r="J3624" s="41"/>
      <c r="K3624" s="41">
        <v>43646</v>
      </c>
      <c r="L3624" s="69" t="s">
        <v>80</v>
      </c>
      <c r="M3624" s="69" t="s">
        <v>286</v>
      </c>
      <c r="N3624" s="95"/>
      <c r="P3624" t="s">
        <v>95</v>
      </c>
      <c r="Q3624" t="s">
        <v>110</v>
      </c>
      <c r="R3624" s="92" t="s">
        <v>69</v>
      </c>
      <c r="S3624" s="92" t="s">
        <v>115</v>
      </c>
      <c r="V3624" s="95">
        <v>43646</v>
      </c>
      <c r="W3624" s="92" t="s">
        <v>414</v>
      </c>
      <c r="X3624" s="90"/>
      <c r="Y3624" s="123"/>
      <c r="Z3624" s="30">
        <f t="shared" si="112"/>
        <v>6763.7822038320437</v>
      </c>
      <c r="AA3624" s="30">
        <f t="shared" si="113"/>
        <v>0</v>
      </c>
      <c r="AB3624" t="s">
        <v>457</v>
      </c>
    </row>
    <row r="3625" spans="1:28">
      <c r="A3625" t="s">
        <v>113</v>
      </c>
      <c r="C3625" s="92">
        <v>4615511696</v>
      </c>
      <c r="D3625" s="93">
        <v>19175</v>
      </c>
      <c r="F3625" s="91">
        <v>16</v>
      </c>
      <c r="G3625" s="91">
        <v>0</v>
      </c>
      <c r="H3625" s="91">
        <v>0</v>
      </c>
      <c r="I3625" s="91">
        <v>0</v>
      </c>
      <c r="J3625" s="41"/>
      <c r="K3625" s="41">
        <v>43646</v>
      </c>
      <c r="L3625" s="69" t="s">
        <v>80</v>
      </c>
      <c r="M3625" s="69" t="s">
        <v>286</v>
      </c>
      <c r="N3625" s="95"/>
      <c r="P3625" t="s">
        <v>95</v>
      </c>
      <c r="Q3625" t="s">
        <v>110</v>
      </c>
      <c r="R3625" s="92" t="s">
        <v>69</v>
      </c>
      <c r="S3625" s="92" t="s">
        <v>115</v>
      </c>
      <c r="V3625" s="95">
        <v>43646</v>
      </c>
      <c r="W3625" s="92" t="s">
        <v>414</v>
      </c>
      <c r="X3625" s="90"/>
      <c r="Y3625" s="123"/>
      <c r="Z3625" s="30">
        <f t="shared" si="112"/>
        <v>6763.7822038320437</v>
      </c>
      <c r="AA3625" s="30">
        <f t="shared" si="113"/>
        <v>0</v>
      </c>
      <c r="AB3625" t="s">
        <v>457</v>
      </c>
    </row>
    <row r="3626" spans="1:28">
      <c r="A3626" t="s">
        <v>113</v>
      </c>
      <c r="C3626" s="92">
        <v>4615511696</v>
      </c>
      <c r="D3626" s="93">
        <v>19175</v>
      </c>
      <c r="F3626" s="91">
        <v>16</v>
      </c>
      <c r="G3626" s="91">
        <v>0</v>
      </c>
      <c r="H3626" s="91">
        <v>0</v>
      </c>
      <c r="I3626" s="91">
        <v>0</v>
      </c>
      <c r="J3626" s="41"/>
      <c r="K3626" s="41">
        <v>43646</v>
      </c>
      <c r="L3626" s="69" t="s">
        <v>80</v>
      </c>
      <c r="M3626" s="69" t="s">
        <v>286</v>
      </c>
      <c r="N3626" s="95"/>
      <c r="P3626" t="s">
        <v>95</v>
      </c>
      <c r="Q3626" t="s">
        <v>110</v>
      </c>
      <c r="R3626" s="92" t="s">
        <v>69</v>
      </c>
      <c r="S3626" s="92" t="s">
        <v>115</v>
      </c>
      <c r="V3626" s="95">
        <v>43646</v>
      </c>
      <c r="W3626" s="92" t="s">
        <v>414</v>
      </c>
      <c r="X3626" s="90"/>
      <c r="Y3626" s="123"/>
      <c r="Z3626" s="30">
        <f t="shared" si="112"/>
        <v>6763.7822038320437</v>
      </c>
      <c r="AA3626" s="30">
        <f t="shared" si="113"/>
        <v>0</v>
      </c>
      <c r="AB3626" t="s">
        <v>457</v>
      </c>
    </row>
    <row r="3627" spans="1:28">
      <c r="A3627" t="s">
        <v>113</v>
      </c>
      <c r="C3627" s="92">
        <v>4615516194</v>
      </c>
      <c r="D3627" s="93">
        <v>19175</v>
      </c>
      <c r="F3627" s="91">
        <v>16</v>
      </c>
      <c r="G3627" s="91">
        <v>5</v>
      </c>
      <c r="H3627" s="91">
        <v>0</v>
      </c>
      <c r="I3627" s="91">
        <v>0</v>
      </c>
      <c r="J3627" s="41"/>
      <c r="K3627" s="41">
        <v>43646</v>
      </c>
      <c r="L3627" s="69" t="s">
        <v>80</v>
      </c>
      <c r="M3627" s="69" t="s">
        <v>286</v>
      </c>
      <c r="N3627" s="95"/>
      <c r="P3627" t="s">
        <v>95</v>
      </c>
      <c r="Q3627" t="s">
        <v>110</v>
      </c>
      <c r="R3627" s="92" t="s">
        <v>69</v>
      </c>
      <c r="S3627" s="92" t="s">
        <v>115</v>
      </c>
      <c r="V3627" s="95">
        <v>43646</v>
      </c>
      <c r="W3627" s="92" t="s">
        <v>415</v>
      </c>
      <c r="X3627" s="90"/>
      <c r="Y3627" s="123"/>
      <c r="Z3627" s="30">
        <f t="shared" si="112"/>
        <v>6763.7822038320437</v>
      </c>
      <c r="AA3627" s="30">
        <f t="shared" si="113"/>
        <v>2113.6819386975139</v>
      </c>
      <c r="AB3627" t="s">
        <v>457</v>
      </c>
    </row>
    <row r="3628" spans="1:28">
      <c r="A3628" t="s">
        <v>113</v>
      </c>
      <c r="C3628" s="92">
        <v>4615516194</v>
      </c>
      <c r="D3628" s="93">
        <v>19175</v>
      </c>
      <c r="F3628" s="91">
        <v>16</v>
      </c>
      <c r="G3628" s="91">
        <v>5</v>
      </c>
      <c r="H3628" s="91">
        <v>0</v>
      </c>
      <c r="I3628" s="91">
        <v>0</v>
      </c>
      <c r="J3628" s="41"/>
      <c r="K3628" s="41">
        <v>43646</v>
      </c>
      <c r="L3628" s="69" t="s">
        <v>80</v>
      </c>
      <c r="M3628" s="69" t="s">
        <v>286</v>
      </c>
      <c r="N3628" s="95"/>
      <c r="P3628" t="s">
        <v>95</v>
      </c>
      <c r="Q3628" t="s">
        <v>110</v>
      </c>
      <c r="R3628" s="92" t="s">
        <v>69</v>
      </c>
      <c r="S3628" s="92" t="s">
        <v>115</v>
      </c>
      <c r="V3628" s="95">
        <v>43646</v>
      </c>
      <c r="W3628" s="92" t="s">
        <v>415</v>
      </c>
      <c r="X3628" s="90"/>
      <c r="Y3628" s="123"/>
      <c r="Z3628" s="30">
        <f t="shared" si="112"/>
        <v>6763.7822038320437</v>
      </c>
      <c r="AA3628" s="30">
        <f t="shared" si="113"/>
        <v>2113.6819386975139</v>
      </c>
      <c r="AB3628" t="s">
        <v>457</v>
      </c>
    </row>
    <row r="3629" spans="1:28">
      <c r="A3629" t="s">
        <v>113</v>
      </c>
      <c r="C3629" s="92">
        <v>4615516194</v>
      </c>
      <c r="D3629" s="93">
        <v>19175</v>
      </c>
      <c r="F3629" s="91">
        <v>16</v>
      </c>
      <c r="G3629" s="91">
        <v>5</v>
      </c>
      <c r="H3629" s="91">
        <v>0</v>
      </c>
      <c r="I3629" s="91">
        <v>0</v>
      </c>
      <c r="J3629" s="41"/>
      <c r="K3629" s="41">
        <v>43646</v>
      </c>
      <c r="L3629" s="69" t="s">
        <v>80</v>
      </c>
      <c r="M3629" s="69" t="s">
        <v>286</v>
      </c>
      <c r="N3629" s="95"/>
      <c r="P3629" t="s">
        <v>95</v>
      </c>
      <c r="Q3629" t="s">
        <v>110</v>
      </c>
      <c r="R3629" s="92" t="s">
        <v>69</v>
      </c>
      <c r="S3629" s="92" t="s">
        <v>115</v>
      </c>
      <c r="V3629" s="95">
        <v>43646</v>
      </c>
      <c r="W3629" s="92" t="s">
        <v>415</v>
      </c>
      <c r="X3629" s="90"/>
      <c r="Y3629" s="123"/>
      <c r="Z3629" s="30">
        <f t="shared" si="112"/>
        <v>6763.7822038320437</v>
      </c>
      <c r="AA3629" s="30">
        <f t="shared" si="113"/>
        <v>2113.6819386975139</v>
      </c>
      <c r="AB3629" t="s">
        <v>457</v>
      </c>
    </row>
    <row r="3630" spans="1:28">
      <c r="A3630" t="s">
        <v>113</v>
      </c>
      <c r="C3630" s="92">
        <v>4615516194</v>
      </c>
      <c r="D3630" s="93">
        <v>19175</v>
      </c>
      <c r="F3630" s="91">
        <v>16</v>
      </c>
      <c r="G3630" s="91">
        <v>5</v>
      </c>
      <c r="H3630" s="91">
        <v>0</v>
      </c>
      <c r="I3630" s="91">
        <v>0</v>
      </c>
      <c r="J3630" s="41"/>
      <c r="K3630" s="41">
        <v>43646</v>
      </c>
      <c r="L3630" s="69" t="s">
        <v>80</v>
      </c>
      <c r="M3630" s="69" t="s">
        <v>286</v>
      </c>
      <c r="N3630" s="95"/>
      <c r="P3630" t="s">
        <v>95</v>
      </c>
      <c r="Q3630" t="s">
        <v>110</v>
      </c>
      <c r="R3630" s="92" t="s">
        <v>69</v>
      </c>
      <c r="S3630" s="92" t="s">
        <v>115</v>
      </c>
      <c r="V3630" s="95">
        <v>43646</v>
      </c>
      <c r="W3630" s="92" t="s">
        <v>415</v>
      </c>
      <c r="X3630" s="90"/>
      <c r="Y3630" s="123"/>
      <c r="Z3630" s="30">
        <f t="shared" si="112"/>
        <v>6763.7822038320437</v>
      </c>
      <c r="AA3630" s="30">
        <f t="shared" si="113"/>
        <v>2113.6819386975139</v>
      </c>
      <c r="AB3630" t="s">
        <v>457</v>
      </c>
    </row>
    <row r="3631" spans="1:28">
      <c r="A3631" t="s">
        <v>113</v>
      </c>
      <c r="C3631" s="92">
        <v>4615516194</v>
      </c>
      <c r="D3631" s="93">
        <v>19175</v>
      </c>
      <c r="F3631" s="91">
        <v>16</v>
      </c>
      <c r="G3631" s="91">
        <v>5</v>
      </c>
      <c r="H3631" s="91">
        <v>0</v>
      </c>
      <c r="I3631" s="91">
        <v>0</v>
      </c>
      <c r="J3631" s="41"/>
      <c r="K3631" s="41">
        <v>43646</v>
      </c>
      <c r="L3631" s="69" t="s">
        <v>80</v>
      </c>
      <c r="M3631" s="69" t="s">
        <v>286</v>
      </c>
      <c r="N3631" s="95"/>
      <c r="P3631" t="s">
        <v>95</v>
      </c>
      <c r="Q3631" t="s">
        <v>110</v>
      </c>
      <c r="R3631" s="92" t="s">
        <v>69</v>
      </c>
      <c r="S3631" s="92" t="s">
        <v>115</v>
      </c>
      <c r="V3631" s="95">
        <v>43646</v>
      </c>
      <c r="W3631" s="92" t="s">
        <v>415</v>
      </c>
      <c r="X3631" s="90"/>
      <c r="Y3631" s="123"/>
      <c r="Z3631" s="30">
        <f t="shared" si="112"/>
        <v>6763.7822038320437</v>
      </c>
      <c r="AA3631" s="30">
        <f t="shared" si="113"/>
        <v>2113.6819386975139</v>
      </c>
      <c r="AB3631" t="s">
        <v>457</v>
      </c>
    </row>
    <row r="3632" spans="1:28">
      <c r="A3632" t="s">
        <v>113</v>
      </c>
      <c r="C3632" s="92">
        <v>4615516194</v>
      </c>
      <c r="D3632" s="93">
        <v>19175</v>
      </c>
      <c r="F3632" s="91">
        <v>16</v>
      </c>
      <c r="G3632" s="91">
        <v>5</v>
      </c>
      <c r="H3632" s="91">
        <v>0</v>
      </c>
      <c r="I3632" s="91">
        <v>0</v>
      </c>
      <c r="J3632" s="41"/>
      <c r="K3632" s="41">
        <v>43646</v>
      </c>
      <c r="L3632" s="69" t="s">
        <v>80</v>
      </c>
      <c r="M3632" s="69" t="s">
        <v>286</v>
      </c>
      <c r="N3632" s="95"/>
      <c r="P3632" t="s">
        <v>95</v>
      </c>
      <c r="Q3632" t="s">
        <v>110</v>
      </c>
      <c r="R3632" s="92" t="s">
        <v>69</v>
      </c>
      <c r="S3632" s="92" t="s">
        <v>115</v>
      </c>
      <c r="V3632" s="95">
        <v>43646</v>
      </c>
      <c r="W3632" s="92" t="s">
        <v>415</v>
      </c>
      <c r="X3632" s="90"/>
      <c r="Y3632" s="123"/>
      <c r="Z3632" s="30">
        <f t="shared" si="112"/>
        <v>6763.7822038320437</v>
      </c>
      <c r="AA3632" s="30">
        <f t="shared" si="113"/>
        <v>2113.6819386975139</v>
      </c>
      <c r="AB3632" t="s">
        <v>457</v>
      </c>
    </row>
    <row r="3633" spans="1:28">
      <c r="A3633" t="s">
        <v>113</v>
      </c>
      <c r="C3633" s="92">
        <v>4615516194</v>
      </c>
      <c r="D3633" s="93">
        <v>19175</v>
      </c>
      <c r="F3633" s="91">
        <v>16</v>
      </c>
      <c r="G3633" s="91">
        <v>5</v>
      </c>
      <c r="H3633" s="91">
        <v>0</v>
      </c>
      <c r="I3633" s="91">
        <v>0</v>
      </c>
      <c r="J3633" s="41"/>
      <c r="K3633" s="41">
        <v>43646</v>
      </c>
      <c r="L3633" s="69" t="s">
        <v>80</v>
      </c>
      <c r="M3633" s="69" t="s">
        <v>286</v>
      </c>
      <c r="N3633" s="95"/>
      <c r="P3633" t="s">
        <v>95</v>
      </c>
      <c r="Q3633" t="s">
        <v>110</v>
      </c>
      <c r="R3633" s="92" t="s">
        <v>69</v>
      </c>
      <c r="S3633" s="92" t="s">
        <v>115</v>
      </c>
      <c r="V3633" s="95">
        <v>43646</v>
      </c>
      <c r="W3633" s="92" t="s">
        <v>415</v>
      </c>
      <c r="X3633" s="90"/>
      <c r="Y3633" s="123"/>
      <c r="Z3633" s="30">
        <f t="shared" si="112"/>
        <v>6763.7822038320437</v>
      </c>
      <c r="AA3633" s="30">
        <f t="shared" si="113"/>
        <v>2113.6819386975139</v>
      </c>
      <c r="AB3633" t="s">
        <v>457</v>
      </c>
    </row>
    <row r="3634" spans="1:28">
      <c r="A3634" t="s">
        <v>113</v>
      </c>
      <c r="C3634" s="92">
        <v>4615516194</v>
      </c>
      <c r="D3634" s="93">
        <v>19175</v>
      </c>
      <c r="F3634" s="91">
        <v>16</v>
      </c>
      <c r="G3634" s="91">
        <v>5</v>
      </c>
      <c r="H3634" s="91">
        <v>0</v>
      </c>
      <c r="I3634" s="91">
        <v>0</v>
      </c>
      <c r="J3634" s="41"/>
      <c r="K3634" s="41">
        <v>43646</v>
      </c>
      <c r="L3634" s="69" t="s">
        <v>80</v>
      </c>
      <c r="M3634" s="69" t="s">
        <v>286</v>
      </c>
      <c r="N3634" s="95"/>
      <c r="P3634" t="s">
        <v>95</v>
      </c>
      <c r="Q3634" t="s">
        <v>110</v>
      </c>
      <c r="R3634" s="92" t="s">
        <v>69</v>
      </c>
      <c r="S3634" s="92" t="s">
        <v>115</v>
      </c>
      <c r="V3634" s="95">
        <v>43646</v>
      </c>
      <c r="W3634" s="92" t="s">
        <v>415</v>
      </c>
      <c r="X3634" s="90"/>
      <c r="Y3634" s="123"/>
      <c r="Z3634" s="30">
        <f t="shared" si="112"/>
        <v>6763.7822038320437</v>
      </c>
      <c r="AA3634" s="30">
        <f t="shared" si="113"/>
        <v>2113.6819386975139</v>
      </c>
      <c r="AB3634" t="s">
        <v>457</v>
      </c>
    </row>
    <row r="3635" spans="1:28">
      <c r="A3635" t="s">
        <v>113</v>
      </c>
      <c r="C3635" s="92">
        <v>4615516194</v>
      </c>
      <c r="D3635" s="93">
        <v>19175</v>
      </c>
      <c r="F3635" s="91">
        <v>16</v>
      </c>
      <c r="G3635" s="91">
        <v>5</v>
      </c>
      <c r="H3635" s="91">
        <v>0</v>
      </c>
      <c r="I3635" s="91">
        <v>0</v>
      </c>
      <c r="J3635" s="41"/>
      <c r="K3635" s="41">
        <v>43646</v>
      </c>
      <c r="L3635" s="69" t="s">
        <v>80</v>
      </c>
      <c r="M3635" s="69" t="s">
        <v>286</v>
      </c>
      <c r="N3635" s="95"/>
      <c r="P3635" t="s">
        <v>95</v>
      </c>
      <c r="Q3635" t="s">
        <v>110</v>
      </c>
      <c r="R3635" s="92" t="s">
        <v>69</v>
      </c>
      <c r="S3635" s="92" t="s">
        <v>115</v>
      </c>
      <c r="V3635" s="95">
        <v>43646</v>
      </c>
      <c r="W3635" s="92" t="s">
        <v>415</v>
      </c>
      <c r="X3635" s="90"/>
      <c r="Y3635" s="123"/>
      <c r="Z3635" s="30">
        <f t="shared" si="112"/>
        <v>6763.7822038320437</v>
      </c>
      <c r="AA3635" s="30">
        <f t="shared" si="113"/>
        <v>2113.6819386975139</v>
      </c>
      <c r="AB3635" t="s">
        <v>457</v>
      </c>
    </row>
    <row r="3636" spans="1:28">
      <c r="A3636" t="s">
        <v>113</v>
      </c>
      <c r="C3636" s="92">
        <v>4615516194</v>
      </c>
      <c r="D3636" s="93">
        <v>19175</v>
      </c>
      <c r="F3636" s="91">
        <v>16</v>
      </c>
      <c r="G3636" s="91">
        <v>5</v>
      </c>
      <c r="H3636" s="91">
        <v>0</v>
      </c>
      <c r="I3636" s="91">
        <v>0</v>
      </c>
      <c r="J3636" s="41"/>
      <c r="K3636" s="41">
        <v>43646</v>
      </c>
      <c r="L3636" s="69" t="s">
        <v>80</v>
      </c>
      <c r="M3636" s="69" t="s">
        <v>286</v>
      </c>
      <c r="N3636" s="95"/>
      <c r="P3636" t="s">
        <v>95</v>
      </c>
      <c r="Q3636" t="s">
        <v>110</v>
      </c>
      <c r="R3636" s="92" t="s">
        <v>69</v>
      </c>
      <c r="S3636" s="92" t="s">
        <v>115</v>
      </c>
      <c r="V3636" s="95">
        <v>43646</v>
      </c>
      <c r="W3636" s="92" t="s">
        <v>415</v>
      </c>
      <c r="X3636" s="90"/>
      <c r="Y3636" s="123"/>
      <c r="Z3636" s="30">
        <f t="shared" si="112"/>
        <v>6763.7822038320437</v>
      </c>
      <c r="AA3636" s="30">
        <f t="shared" si="113"/>
        <v>2113.6819386975139</v>
      </c>
      <c r="AB3636" t="s">
        <v>457</v>
      </c>
    </row>
    <row r="3637" spans="1:28">
      <c r="A3637" t="s">
        <v>122</v>
      </c>
      <c r="C3637" s="92">
        <v>4615510543</v>
      </c>
      <c r="D3637" s="93">
        <v>19200</v>
      </c>
      <c r="F3637" s="94">
        <v>16</v>
      </c>
      <c r="G3637" s="94">
        <v>5</v>
      </c>
      <c r="H3637" s="91">
        <v>0</v>
      </c>
      <c r="I3637" s="91">
        <v>0</v>
      </c>
      <c r="J3637" s="41"/>
      <c r="K3637" s="41">
        <v>43677</v>
      </c>
      <c r="L3637" s="69" t="s">
        <v>80</v>
      </c>
      <c r="M3637" s="69" t="s">
        <v>286</v>
      </c>
      <c r="N3637" s="95"/>
      <c r="P3637" t="s">
        <v>95</v>
      </c>
      <c r="Q3637" t="s">
        <v>120</v>
      </c>
      <c r="R3637" s="92" t="s">
        <v>69</v>
      </c>
      <c r="S3637" s="92" t="s">
        <v>394</v>
      </c>
      <c r="V3637" s="95">
        <v>43677</v>
      </c>
      <c r="W3637" s="92">
        <v>2033918</v>
      </c>
      <c r="X3637" s="90"/>
      <c r="Y3637" s="123"/>
      <c r="Z3637" s="30">
        <f t="shared" si="112"/>
        <v>6772.6006943194379</v>
      </c>
      <c r="AA3637" s="30">
        <f t="shared" si="113"/>
        <v>2116.4377169748245</v>
      </c>
      <c r="AB3637" t="s">
        <v>457</v>
      </c>
    </row>
    <row r="3638" spans="1:28">
      <c r="A3638" t="s">
        <v>122</v>
      </c>
      <c r="C3638" s="92">
        <v>4615510543</v>
      </c>
      <c r="D3638" s="93">
        <v>19200</v>
      </c>
      <c r="F3638" s="94">
        <v>16</v>
      </c>
      <c r="G3638" s="94">
        <v>5</v>
      </c>
      <c r="H3638" s="91">
        <v>0</v>
      </c>
      <c r="I3638" s="91">
        <v>0</v>
      </c>
      <c r="J3638" s="41"/>
      <c r="K3638" s="41">
        <v>43677</v>
      </c>
      <c r="L3638" s="69" t="s">
        <v>80</v>
      </c>
      <c r="M3638" s="69" t="s">
        <v>286</v>
      </c>
      <c r="N3638" s="95"/>
      <c r="P3638" t="s">
        <v>95</v>
      </c>
      <c r="Q3638" t="s">
        <v>120</v>
      </c>
      <c r="R3638" s="92" t="s">
        <v>69</v>
      </c>
      <c r="S3638" s="92" t="s">
        <v>394</v>
      </c>
      <c r="V3638" s="95">
        <v>43677</v>
      </c>
      <c r="W3638" s="92">
        <v>2033918</v>
      </c>
      <c r="X3638" s="90"/>
      <c r="Y3638" s="123"/>
      <c r="Z3638" s="30">
        <f t="shared" si="112"/>
        <v>6772.6006943194379</v>
      </c>
      <c r="AA3638" s="30">
        <f t="shared" si="113"/>
        <v>2116.4377169748245</v>
      </c>
      <c r="AB3638" t="s">
        <v>457</v>
      </c>
    </row>
    <row r="3639" spans="1:28">
      <c r="A3639" t="s">
        <v>122</v>
      </c>
      <c r="C3639" s="92">
        <v>4615510543</v>
      </c>
      <c r="D3639" s="93">
        <v>19200</v>
      </c>
      <c r="F3639" s="94">
        <v>16</v>
      </c>
      <c r="G3639" s="94">
        <v>5</v>
      </c>
      <c r="H3639" s="91">
        <v>0</v>
      </c>
      <c r="I3639" s="91">
        <v>0</v>
      </c>
      <c r="J3639" s="41"/>
      <c r="K3639" s="41">
        <v>43677</v>
      </c>
      <c r="L3639" s="69" t="s">
        <v>80</v>
      </c>
      <c r="M3639" s="69" t="s">
        <v>286</v>
      </c>
      <c r="N3639" s="95"/>
      <c r="P3639" t="s">
        <v>95</v>
      </c>
      <c r="Q3639" t="s">
        <v>120</v>
      </c>
      <c r="R3639" s="92" t="s">
        <v>69</v>
      </c>
      <c r="S3639" s="92" t="s">
        <v>394</v>
      </c>
      <c r="V3639" s="95">
        <v>43677</v>
      </c>
      <c r="W3639" s="92">
        <v>2033918</v>
      </c>
      <c r="X3639" s="90"/>
      <c r="Y3639" s="123"/>
      <c r="Z3639" s="30">
        <f t="shared" si="112"/>
        <v>6772.6006943194379</v>
      </c>
      <c r="AA3639" s="30">
        <f t="shared" si="113"/>
        <v>2116.4377169748245</v>
      </c>
      <c r="AB3639" t="s">
        <v>457</v>
      </c>
    </row>
    <row r="3640" spans="1:28">
      <c r="A3640" t="s">
        <v>122</v>
      </c>
      <c r="C3640" s="92">
        <v>4615510543</v>
      </c>
      <c r="D3640" s="93">
        <v>19200</v>
      </c>
      <c r="F3640" s="94">
        <v>16</v>
      </c>
      <c r="G3640" s="94">
        <v>5</v>
      </c>
      <c r="H3640" s="91">
        <v>0</v>
      </c>
      <c r="I3640" s="91">
        <v>0</v>
      </c>
      <c r="J3640" s="41"/>
      <c r="K3640" s="41">
        <v>43677</v>
      </c>
      <c r="L3640" s="69" t="s">
        <v>80</v>
      </c>
      <c r="M3640" s="69" t="s">
        <v>286</v>
      </c>
      <c r="N3640" s="95"/>
      <c r="P3640" t="s">
        <v>95</v>
      </c>
      <c r="Q3640" t="s">
        <v>120</v>
      </c>
      <c r="R3640" s="92" t="s">
        <v>69</v>
      </c>
      <c r="S3640" s="92" t="s">
        <v>394</v>
      </c>
      <c r="V3640" s="95">
        <v>43677</v>
      </c>
      <c r="W3640" s="92">
        <v>2033918</v>
      </c>
      <c r="X3640" s="90"/>
      <c r="Y3640" s="123"/>
      <c r="Z3640" s="30">
        <f t="shared" si="112"/>
        <v>6772.6006943194379</v>
      </c>
      <c r="AA3640" s="30">
        <f t="shared" si="113"/>
        <v>2116.4377169748245</v>
      </c>
      <c r="AB3640" t="s">
        <v>457</v>
      </c>
    </row>
    <row r="3641" spans="1:28">
      <c r="A3641" t="s">
        <v>122</v>
      </c>
      <c r="C3641" s="92">
        <v>4615510543</v>
      </c>
      <c r="D3641" s="93">
        <v>19200</v>
      </c>
      <c r="F3641" s="94">
        <v>16</v>
      </c>
      <c r="G3641" s="94">
        <v>5</v>
      </c>
      <c r="H3641" s="91">
        <v>0</v>
      </c>
      <c r="I3641" s="91">
        <v>0</v>
      </c>
      <c r="J3641" s="41"/>
      <c r="K3641" s="41">
        <v>43677</v>
      </c>
      <c r="L3641" s="69" t="s">
        <v>80</v>
      </c>
      <c r="M3641" s="69" t="s">
        <v>286</v>
      </c>
      <c r="N3641" s="95"/>
      <c r="P3641" t="s">
        <v>95</v>
      </c>
      <c r="Q3641" t="s">
        <v>120</v>
      </c>
      <c r="R3641" s="92" t="s">
        <v>69</v>
      </c>
      <c r="S3641" s="92" t="s">
        <v>394</v>
      </c>
      <c r="V3641" s="95">
        <v>43677</v>
      </c>
      <c r="W3641" s="92">
        <v>2033918</v>
      </c>
      <c r="X3641" s="90"/>
      <c r="Y3641" s="123"/>
      <c r="Z3641" s="30">
        <f t="shared" si="112"/>
        <v>6772.6006943194379</v>
      </c>
      <c r="AA3641" s="30">
        <f t="shared" si="113"/>
        <v>2116.4377169748245</v>
      </c>
      <c r="AB3641" t="s">
        <v>457</v>
      </c>
    </row>
    <row r="3642" spans="1:28">
      <c r="A3642" t="s">
        <v>122</v>
      </c>
      <c r="C3642" s="92">
        <v>4615510543</v>
      </c>
      <c r="D3642" s="93">
        <v>19200</v>
      </c>
      <c r="F3642" s="94">
        <v>16</v>
      </c>
      <c r="G3642" s="94">
        <v>5</v>
      </c>
      <c r="H3642" s="91">
        <v>0</v>
      </c>
      <c r="I3642" s="91">
        <v>0</v>
      </c>
      <c r="J3642" s="41"/>
      <c r="K3642" s="41">
        <v>43677</v>
      </c>
      <c r="L3642" s="69" t="s">
        <v>80</v>
      </c>
      <c r="M3642" s="69" t="s">
        <v>286</v>
      </c>
      <c r="N3642" s="95"/>
      <c r="P3642" t="s">
        <v>95</v>
      </c>
      <c r="Q3642" t="s">
        <v>120</v>
      </c>
      <c r="R3642" s="92" t="s">
        <v>69</v>
      </c>
      <c r="S3642" s="92" t="s">
        <v>394</v>
      </c>
      <c r="V3642" s="95">
        <v>43677</v>
      </c>
      <c r="W3642" s="92">
        <v>2033918</v>
      </c>
      <c r="X3642" s="90"/>
      <c r="Y3642" s="123"/>
      <c r="Z3642" s="30">
        <f t="shared" si="112"/>
        <v>6772.6006943194379</v>
      </c>
      <c r="AA3642" s="30">
        <f t="shared" si="113"/>
        <v>2116.4377169748245</v>
      </c>
      <c r="AB3642" t="s">
        <v>457</v>
      </c>
    </row>
    <row r="3643" spans="1:28">
      <c r="A3643" t="s">
        <v>122</v>
      </c>
      <c r="C3643" s="92">
        <v>4615510543</v>
      </c>
      <c r="D3643" s="93">
        <v>19200</v>
      </c>
      <c r="F3643" s="94">
        <v>16</v>
      </c>
      <c r="G3643" s="94">
        <v>5</v>
      </c>
      <c r="H3643" s="91">
        <v>0</v>
      </c>
      <c r="I3643" s="91">
        <v>0</v>
      </c>
      <c r="J3643" s="41"/>
      <c r="K3643" s="41">
        <v>43677</v>
      </c>
      <c r="L3643" s="69" t="s">
        <v>80</v>
      </c>
      <c r="M3643" s="69" t="s">
        <v>286</v>
      </c>
      <c r="N3643" s="95"/>
      <c r="P3643" t="s">
        <v>95</v>
      </c>
      <c r="Q3643" t="s">
        <v>120</v>
      </c>
      <c r="R3643" s="92" t="s">
        <v>69</v>
      </c>
      <c r="S3643" s="92" t="s">
        <v>394</v>
      </c>
      <c r="V3643" s="95">
        <v>43677</v>
      </c>
      <c r="W3643" s="92">
        <v>2033918</v>
      </c>
      <c r="X3643" s="90"/>
      <c r="Y3643" s="123"/>
      <c r="Z3643" s="30">
        <f t="shared" si="112"/>
        <v>6772.6006943194379</v>
      </c>
      <c r="AA3643" s="30">
        <f t="shared" si="113"/>
        <v>2116.4377169748245</v>
      </c>
      <c r="AB3643" t="s">
        <v>457</v>
      </c>
    </row>
    <row r="3644" spans="1:28">
      <c r="A3644" t="s">
        <v>122</v>
      </c>
      <c r="C3644" s="92">
        <v>4615510543</v>
      </c>
      <c r="D3644" s="93">
        <v>19200</v>
      </c>
      <c r="F3644" s="94">
        <v>16</v>
      </c>
      <c r="G3644" s="94">
        <v>5</v>
      </c>
      <c r="H3644" s="91">
        <v>0</v>
      </c>
      <c r="I3644" s="91">
        <v>0</v>
      </c>
      <c r="J3644" s="41"/>
      <c r="K3644" s="41">
        <v>43677</v>
      </c>
      <c r="L3644" s="69" t="s">
        <v>80</v>
      </c>
      <c r="M3644" s="69" t="s">
        <v>286</v>
      </c>
      <c r="N3644" s="95"/>
      <c r="P3644" t="s">
        <v>95</v>
      </c>
      <c r="Q3644" t="s">
        <v>120</v>
      </c>
      <c r="R3644" s="92" t="s">
        <v>69</v>
      </c>
      <c r="S3644" s="92" t="s">
        <v>394</v>
      </c>
      <c r="V3644" s="95">
        <v>43677</v>
      </c>
      <c r="W3644" s="92">
        <v>2033918</v>
      </c>
      <c r="X3644" s="90"/>
      <c r="Y3644" s="123"/>
      <c r="Z3644" s="30">
        <f t="shared" si="112"/>
        <v>6772.6006943194379</v>
      </c>
      <c r="AA3644" s="30">
        <f t="shared" si="113"/>
        <v>2116.4377169748245</v>
      </c>
      <c r="AB3644" t="s">
        <v>457</v>
      </c>
    </row>
    <row r="3645" spans="1:28">
      <c r="A3645" t="s">
        <v>122</v>
      </c>
      <c r="C3645" s="92">
        <v>4615510543</v>
      </c>
      <c r="D3645" s="93">
        <v>19200</v>
      </c>
      <c r="F3645" s="94">
        <v>16</v>
      </c>
      <c r="G3645" s="94">
        <v>5</v>
      </c>
      <c r="H3645" s="91">
        <v>0</v>
      </c>
      <c r="I3645" s="91">
        <v>0</v>
      </c>
      <c r="J3645" s="41"/>
      <c r="K3645" s="41">
        <v>43677</v>
      </c>
      <c r="L3645" s="69" t="s">
        <v>80</v>
      </c>
      <c r="M3645" s="69" t="s">
        <v>286</v>
      </c>
      <c r="N3645" s="95"/>
      <c r="P3645" t="s">
        <v>95</v>
      </c>
      <c r="Q3645" t="s">
        <v>120</v>
      </c>
      <c r="R3645" s="92" t="s">
        <v>69</v>
      </c>
      <c r="S3645" s="92" t="s">
        <v>394</v>
      </c>
      <c r="V3645" s="95">
        <v>43677</v>
      </c>
      <c r="W3645" s="92">
        <v>2033918</v>
      </c>
      <c r="X3645" s="90"/>
      <c r="Y3645" s="123"/>
      <c r="Z3645" s="30">
        <f t="shared" si="112"/>
        <v>6772.6006943194379</v>
      </c>
      <c r="AA3645" s="30">
        <f t="shared" si="113"/>
        <v>2116.4377169748245</v>
      </c>
      <c r="AB3645" t="s">
        <v>457</v>
      </c>
    </row>
    <row r="3646" spans="1:28">
      <c r="A3646" t="s">
        <v>122</v>
      </c>
      <c r="C3646" s="92">
        <v>4615510543</v>
      </c>
      <c r="D3646" s="93">
        <v>19200</v>
      </c>
      <c r="F3646" s="94">
        <v>16</v>
      </c>
      <c r="G3646" s="94">
        <v>5</v>
      </c>
      <c r="H3646" s="91">
        <v>0</v>
      </c>
      <c r="I3646" s="91">
        <v>0</v>
      </c>
      <c r="J3646" s="41"/>
      <c r="K3646" s="41">
        <v>43677</v>
      </c>
      <c r="L3646" s="69" t="s">
        <v>80</v>
      </c>
      <c r="M3646" s="69" t="s">
        <v>286</v>
      </c>
      <c r="N3646" s="95"/>
      <c r="P3646" t="s">
        <v>95</v>
      </c>
      <c r="Q3646" t="s">
        <v>120</v>
      </c>
      <c r="R3646" s="92" t="s">
        <v>69</v>
      </c>
      <c r="S3646" s="92" t="s">
        <v>394</v>
      </c>
      <c r="V3646" s="95">
        <v>43677</v>
      </c>
      <c r="W3646" s="92">
        <v>2033918</v>
      </c>
      <c r="X3646" s="90"/>
      <c r="Y3646" s="123"/>
      <c r="Z3646" s="30">
        <f t="shared" si="112"/>
        <v>6772.6006943194379</v>
      </c>
      <c r="AA3646" s="30">
        <f t="shared" si="113"/>
        <v>2116.4377169748245</v>
      </c>
      <c r="AB3646" t="s">
        <v>457</v>
      </c>
    </row>
    <row r="3647" spans="1:28">
      <c r="A3647" t="s">
        <v>122</v>
      </c>
      <c r="C3647" s="92">
        <v>4615510543</v>
      </c>
      <c r="D3647" s="93">
        <v>19200</v>
      </c>
      <c r="F3647" s="94">
        <v>16</v>
      </c>
      <c r="G3647" s="94">
        <v>5</v>
      </c>
      <c r="H3647" s="91">
        <v>0</v>
      </c>
      <c r="I3647" s="91">
        <v>0</v>
      </c>
      <c r="J3647" s="41"/>
      <c r="K3647" s="41">
        <v>43677</v>
      </c>
      <c r="L3647" s="69" t="s">
        <v>80</v>
      </c>
      <c r="M3647" s="69" t="s">
        <v>286</v>
      </c>
      <c r="N3647" s="95"/>
      <c r="P3647" t="s">
        <v>95</v>
      </c>
      <c r="Q3647" t="s">
        <v>120</v>
      </c>
      <c r="R3647" s="92" t="s">
        <v>69</v>
      </c>
      <c r="S3647" s="92" t="s">
        <v>394</v>
      </c>
      <c r="V3647" s="95">
        <v>43677</v>
      </c>
      <c r="W3647" s="92">
        <v>2033918</v>
      </c>
      <c r="X3647" s="90"/>
      <c r="Y3647" s="123"/>
      <c r="Z3647" s="30">
        <f t="shared" si="112"/>
        <v>6772.6006943194379</v>
      </c>
      <c r="AA3647" s="30">
        <f t="shared" si="113"/>
        <v>2116.4377169748245</v>
      </c>
      <c r="AB3647" t="s">
        <v>457</v>
      </c>
    </row>
    <row r="3648" spans="1:28">
      <c r="A3648" t="s">
        <v>122</v>
      </c>
      <c r="C3648" s="92">
        <v>4615510543</v>
      </c>
      <c r="D3648" s="93">
        <v>19200</v>
      </c>
      <c r="F3648" s="94">
        <v>16</v>
      </c>
      <c r="G3648" s="94">
        <v>5</v>
      </c>
      <c r="H3648" s="91">
        <v>0</v>
      </c>
      <c r="I3648" s="91">
        <v>0</v>
      </c>
      <c r="J3648" s="41"/>
      <c r="K3648" s="41">
        <v>43677</v>
      </c>
      <c r="L3648" s="69" t="s">
        <v>80</v>
      </c>
      <c r="M3648" s="69" t="s">
        <v>286</v>
      </c>
      <c r="N3648" s="95"/>
      <c r="P3648" t="s">
        <v>95</v>
      </c>
      <c r="Q3648" t="s">
        <v>120</v>
      </c>
      <c r="R3648" s="92" t="s">
        <v>69</v>
      </c>
      <c r="S3648" s="92" t="s">
        <v>394</v>
      </c>
      <c r="V3648" s="95">
        <v>43677</v>
      </c>
      <c r="W3648" s="92">
        <v>2033918</v>
      </c>
      <c r="X3648" s="90"/>
      <c r="Y3648" s="123"/>
      <c r="Z3648" s="30">
        <f t="shared" si="112"/>
        <v>6772.6006943194379</v>
      </c>
      <c r="AA3648" s="30">
        <f t="shared" si="113"/>
        <v>2116.4377169748245</v>
      </c>
      <c r="AB3648" t="s">
        <v>457</v>
      </c>
    </row>
    <row r="3649" spans="1:28">
      <c r="A3649" t="s">
        <v>122</v>
      </c>
      <c r="C3649" s="92">
        <v>4615515701</v>
      </c>
      <c r="D3649" s="93">
        <v>19200</v>
      </c>
      <c r="F3649" s="91">
        <v>16</v>
      </c>
      <c r="G3649" s="96">
        <v>5</v>
      </c>
      <c r="H3649" s="94">
        <v>0</v>
      </c>
      <c r="I3649" s="91">
        <v>0</v>
      </c>
      <c r="J3649" s="41"/>
      <c r="K3649" s="41">
        <v>43677</v>
      </c>
      <c r="L3649" s="69" t="s">
        <v>80</v>
      </c>
      <c r="M3649" s="69" t="s">
        <v>286</v>
      </c>
      <c r="N3649" s="95"/>
      <c r="P3649" t="s">
        <v>95</v>
      </c>
      <c r="Q3649" t="s">
        <v>120</v>
      </c>
      <c r="R3649" s="92" t="s">
        <v>69</v>
      </c>
      <c r="S3649" s="92" t="s">
        <v>395</v>
      </c>
      <c r="V3649" s="95">
        <v>43677</v>
      </c>
      <c r="W3649" s="92">
        <v>2033928</v>
      </c>
      <c r="X3649" s="90"/>
      <c r="Y3649" s="123"/>
      <c r="Z3649" s="30">
        <f t="shared" si="112"/>
        <v>6772.6006943194379</v>
      </c>
      <c r="AA3649" s="30">
        <f t="shared" si="113"/>
        <v>2116.4377169748245</v>
      </c>
      <c r="AB3649" t="s">
        <v>457</v>
      </c>
    </row>
    <row r="3650" spans="1:28">
      <c r="A3650" t="s">
        <v>122</v>
      </c>
      <c r="C3650" s="92">
        <v>4615515701</v>
      </c>
      <c r="D3650" s="93">
        <v>19200</v>
      </c>
      <c r="F3650" s="91">
        <v>16</v>
      </c>
      <c r="G3650" s="96">
        <v>5</v>
      </c>
      <c r="H3650" s="94">
        <v>0</v>
      </c>
      <c r="I3650" s="91">
        <v>0</v>
      </c>
      <c r="J3650" s="41"/>
      <c r="K3650" s="41">
        <v>43677</v>
      </c>
      <c r="L3650" s="69" t="s">
        <v>80</v>
      </c>
      <c r="M3650" s="69" t="s">
        <v>286</v>
      </c>
      <c r="N3650" s="95"/>
      <c r="P3650" t="s">
        <v>95</v>
      </c>
      <c r="Q3650" t="s">
        <v>120</v>
      </c>
      <c r="R3650" s="92" t="s">
        <v>69</v>
      </c>
      <c r="S3650" s="92" t="s">
        <v>395</v>
      </c>
      <c r="V3650" s="95">
        <v>43677</v>
      </c>
      <c r="W3650" s="92">
        <v>2033928</v>
      </c>
      <c r="X3650" s="90"/>
      <c r="Y3650" s="123"/>
      <c r="Z3650" s="30">
        <f t="shared" si="112"/>
        <v>6772.6006943194379</v>
      </c>
      <c r="AA3650" s="30">
        <f t="shared" si="113"/>
        <v>2116.4377169748245</v>
      </c>
      <c r="AB3650" t="s">
        <v>457</v>
      </c>
    </row>
    <row r="3651" spans="1:28">
      <c r="A3651" t="s">
        <v>122</v>
      </c>
      <c r="C3651" s="92">
        <v>4615515701</v>
      </c>
      <c r="D3651" s="93">
        <v>19200</v>
      </c>
      <c r="F3651" s="91">
        <v>16</v>
      </c>
      <c r="G3651" s="96">
        <v>5</v>
      </c>
      <c r="H3651" s="94">
        <v>0</v>
      </c>
      <c r="I3651" s="91">
        <v>0</v>
      </c>
      <c r="J3651" s="41"/>
      <c r="K3651" s="41">
        <v>43677</v>
      </c>
      <c r="L3651" s="69" t="s">
        <v>80</v>
      </c>
      <c r="M3651" s="69" t="s">
        <v>286</v>
      </c>
      <c r="N3651" s="95"/>
      <c r="P3651" t="s">
        <v>95</v>
      </c>
      <c r="Q3651" t="s">
        <v>120</v>
      </c>
      <c r="R3651" s="92" t="s">
        <v>69</v>
      </c>
      <c r="S3651" s="92" t="s">
        <v>395</v>
      </c>
      <c r="V3651" s="95">
        <v>43677</v>
      </c>
      <c r="W3651" s="92">
        <v>2033928</v>
      </c>
      <c r="X3651" s="90"/>
      <c r="Y3651" s="123"/>
      <c r="Z3651" s="30">
        <f t="shared" ref="Z3651:Z3714" si="114">CONVERT(D3651,"kg","lbm")*F3651/100</f>
        <v>6772.6006943194379</v>
      </c>
      <c r="AA3651" s="30">
        <f t="shared" ref="AA3651:AA3714" si="115">CONVERT(D3651,"kg","lbm")*G3651/100</f>
        <v>2116.4377169748245</v>
      </c>
      <c r="AB3651" t="s">
        <v>457</v>
      </c>
    </row>
    <row r="3652" spans="1:28">
      <c r="A3652" t="s">
        <v>122</v>
      </c>
      <c r="C3652" s="92">
        <v>4615515701</v>
      </c>
      <c r="D3652" s="93">
        <v>19200</v>
      </c>
      <c r="F3652" s="91">
        <v>16</v>
      </c>
      <c r="G3652" s="96">
        <v>5</v>
      </c>
      <c r="H3652" s="94">
        <v>0</v>
      </c>
      <c r="I3652" s="91">
        <v>0</v>
      </c>
      <c r="J3652" s="41"/>
      <c r="K3652" s="41">
        <v>43677</v>
      </c>
      <c r="L3652" s="69" t="s">
        <v>80</v>
      </c>
      <c r="M3652" s="69" t="s">
        <v>286</v>
      </c>
      <c r="N3652" s="95"/>
      <c r="P3652" t="s">
        <v>95</v>
      </c>
      <c r="Q3652" t="s">
        <v>120</v>
      </c>
      <c r="R3652" s="92" t="s">
        <v>69</v>
      </c>
      <c r="S3652" s="92" t="s">
        <v>395</v>
      </c>
      <c r="V3652" s="95">
        <v>43677</v>
      </c>
      <c r="W3652" s="92">
        <v>2033928</v>
      </c>
      <c r="X3652" s="90"/>
      <c r="Y3652" s="123"/>
      <c r="Z3652" s="30">
        <f t="shared" si="114"/>
        <v>6772.6006943194379</v>
      </c>
      <c r="AA3652" s="30">
        <f t="shared" si="115"/>
        <v>2116.4377169748245</v>
      </c>
      <c r="AB3652" t="s">
        <v>457</v>
      </c>
    </row>
    <row r="3653" spans="1:28">
      <c r="A3653" t="s">
        <v>122</v>
      </c>
      <c r="C3653" s="92">
        <v>4615515701</v>
      </c>
      <c r="D3653" s="93">
        <v>19200</v>
      </c>
      <c r="F3653" s="91">
        <v>16</v>
      </c>
      <c r="G3653" s="96">
        <v>5</v>
      </c>
      <c r="H3653" s="94">
        <v>0</v>
      </c>
      <c r="I3653" s="91">
        <v>0</v>
      </c>
      <c r="J3653" s="41"/>
      <c r="K3653" s="41">
        <v>43677</v>
      </c>
      <c r="L3653" s="69" t="s">
        <v>80</v>
      </c>
      <c r="M3653" s="69" t="s">
        <v>286</v>
      </c>
      <c r="N3653" s="95"/>
      <c r="P3653" t="s">
        <v>95</v>
      </c>
      <c r="Q3653" t="s">
        <v>120</v>
      </c>
      <c r="R3653" s="92" t="s">
        <v>69</v>
      </c>
      <c r="S3653" s="92" t="s">
        <v>395</v>
      </c>
      <c r="V3653" s="95">
        <v>43677</v>
      </c>
      <c r="W3653" s="92">
        <v>2033928</v>
      </c>
      <c r="X3653" s="90"/>
      <c r="Y3653" s="123"/>
      <c r="Z3653" s="30">
        <f t="shared" si="114"/>
        <v>6772.6006943194379</v>
      </c>
      <c r="AA3653" s="30">
        <f t="shared" si="115"/>
        <v>2116.4377169748245</v>
      </c>
      <c r="AB3653" t="s">
        <v>457</v>
      </c>
    </row>
    <row r="3654" spans="1:28">
      <c r="A3654" t="s">
        <v>122</v>
      </c>
      <c r="C3654" s="92">
        <v>4615515701</v>
      </c>
      <c r="D3654" s="93">
        <v>19200</v>
      </c>
      <c r="F3654" s="91">
        <v>16</v>
      </c>
      <c r="G3654" s="96">
        <v>5</v>
      </c>
      <c r="H3654" s="94">
        <v>0</v>
      </c>
      <c r="I3654" s="91">
        <v>0</v>
      </c>
      <c r="J3654" s="41"/>
      <c r="K3654" s="41">
        <v>43677</v>
      </c>
      <c r="L3654" s="69" t="s">
        <v>80</v>
      </c>
      <c r="M3654" s="69" t="s">
        <v>286</v>
      </c>
      <c r="N3654" s="95"/>
      <c r="P3654" t="s">
        <v>95</v>
      </c>
      <c r="Q3654" t="s">
        <v>120</v>
      </c>
      <c r="R3654" s="92" t="s">
        <v>69</v>
      </c>
      <c r="S3654" s="92" t="s">
        <v>395</v>
      </c>
      <c r="V3654" s="95">
        <v>43677</v>
      </c>
      <c r="W3654" s="92">
        <v>2033928</v>
      </c>
      <c r="X3654" s="90"/>
      <c r="Y3654" s="123"/>
      <c r="Z3654" s="30">
        <f t="shared" si="114"/>
        <v>6772.6006943194379</v>
      </c>
      <c r="AA3654" s="30">
        <f t="shared" si="115"/>
        <v>2116.4377169748245</v>
      </c>
      <c r="AB3654" t="s">
        <v>457</v>
      </c>
    </row>
    <row r="3655" spans="1:28">
      <c r="A3655" t="s">
        <v>122</v>
      </c>
      <c r="C3655" s="92">
        <v>4615515701</v>
      </c>
      <c r="D3655" s="93">
        <v>19200</v>
      </c>
      <c r="F3655" s="91">
        <v>16</v>
      </c>
      <c r="G3655" s="96">
        <v>5</v>
      </c>
      <c r="H3655" s="94">
        <v>0</v>
      </c>
      <c r="I3655" s="91">
        <v>0</v>
      </c>
      <c r="J3655" s="41"/>
      <c r="K3655" s="41">
        <v>43677</v>
      </c>
      <c r="L3655" s="69" t="s">
        <v>80</v>
      </c>
      <c r="M3655" s="69" t="s">
        <v>286</v>
      </c>
      <c r="N3655" s="95"/>
      <c r="P3655" t="s">
        <v>95</v>
      </c>
      <c r="Q3655" t="s">
        <v>120</v>
      </c>
      <c r="R3655" s="92" t="s">
        <v>69</v>
      </c>
      <c r="S3655" s="92" t="s">
        <v>395</v>
      </c>
      <c r="V3655" s="95">
        <v>43677</v>
      </c>
      <c r="W3655" s="92">
        <v>2033928</v>
      </c>
      <c r="X3655" s="90"/>
      <c r="Y3655" s="123"/>
      <c r="Z3655" s="30">
        <f t="shared" si="114"/>
        <v>6772.6006943194379</v>
      </c>
      <c r="AA3655" s="30">
        <f t="shared" si="115"/>
        <v>2116.4377169748245</v>
      </c>
      <c r="AB3655" t="s">
        <v>457</v>
      </c>
    </row>
    <row r="3656" spans="1:28">
      <c r="A3656" t="s">
        <v>122</v>
      </c>
      <c r="C3656" s="92">
        <v>4615515701</v>
      </c>
      <c r="D3656" s="93">
        <v>19200</v>
      </c>
      <c r="F3656" s="91">
        <v>16</v>
      </c>
      <c r="G3656" s="96">
        <v>5</v>
      </c>
      <c r="H3656" s="94">
        <v>0</v>
      </c>
      <c r="I3656" s="91">
        <v>0</v>
      </c>
      <c r="J3656" s="41"/>
      <c r="K3656" s="41">
        <v>43677</v>
      </c>
      <c r="L3656" s="69" t="s">
        <v>80</v>
      </c>
      <c r="M3656" s="69" t="s">
        <v>286</v>
      </c>
      <c r="N3656" s="95"/>
      <c r="P3656" t="s">
        <v>95</v>
      </c>
      <c r="Q3656" t="s">
        <v>120</v>
      </c>
      <c r="R3656" s="92" t="s">
        <v>69</v>
      </c>
      <c r="S3656" s="92" t="s">
        <v>395</v>
      </c>
      <c r="V3656" s="95">
        <v>43677</v>
      </c>
      <c r="W3656" s="92">
        <v>2033928</v>
      </c>
      <c r="X3656" s="90"/>
      <c r="Y3656" s="123"/>
      <c r="Z3656" s="30">
        <f t="shared" si="114"/>
        <v>6772.6006943194379</v>
      </c>
      <c r="AA3656" s="30">
        <f t="shared" si="115"/>
        <v>2116.4377169748245</v>
      </c>
      <c r="AB3656" t="s">
        <v>457</v>
      </c>
    </row>
    <row r="3657" spans="1:28">
      <c r="A3657" t="s">
        <v>122</v>
      </c>
      <c r="C3657" s="92">
        <v>4615515701</v>
      </c>
      <c r="D3657" s="93">
        <v>19200</v>
      </c>
      <c r="F3657" s="91">
        <v>16</v>
      </c>
      <c r="G3657" s="96">
        <v>5</v>
      </c>
      <c r="H3657" s="94">
        <v>0</v>
      </c>
      <c r="I3657" s="91">
        <v>0</v>
      </c>
      <c r="J3657" s="41"/>
      <c r="K3657" s="41">
        <v>43677</v>
      </c>
      <c r="L3657" s="69" t="s">
        <v>80</v>
      </c>
      <c r="M3657" s="69" t="s">
        <v>286</v>
      </c>
      <c r="N3657" s="95"/>
      <c r="P3657" t="s">
        <v>95</v>
      </c>
      <c r="Q3657" t="s">
        <v>120</v>
      </c>
      <c r="R3657" s="92" t="s">
        <v>69</v>
      </c>
      <c r="S3657" s="92" t="s">
        <v>395</v>
      </c>
      <c r="V3657" s="95">
        <v>43677</v>
      </c>
      <c r="W3657" s="92">
        <v>2033928</v>
      </c>
      <c r="X3657" s="90"/>
      <c r="Y3657" s="123"/>
      <c r="Z3657" s="30">
        <f t="shared" si="114"/>
        <v>6772.6006943194379</v>
      </c>
      <c r="AA3657" s="30">
        <f t="shared" si="115"/>
        <v>2116.4377169748245</v>
      </c>
      <c r="AB3657" t="s">
        <v>457</v>
      </c>
    </row>
    <row r="3658" spans="1:28">
      <c r="A3658" t="s">
        <v>122</v>
      </c>
      <c r="C3658" s="92">
        <v>4615515701</v>
      </c>
      <c r="D3658" s="93">
        <v>19200</v>
      </c>
      <c r="F3658" s="91">
        <v>16</v>
      </c>
      <c r="G3658" s="96">
        <v>5</v>
      </c>
      <c r="H3658" s="94">
        <v>0</v>
      </c>
      <c r="I3658" s="91">
        <v>0</v>
      </c>
      <c r="J3658" s="41"/>
      <c r="K3658" s="41">
        <v>43677</v>
      </c>
      <c r="L3658" s="69" t="s">
        <v>80</v>
      </c>
      <c r="M3658" s="69" t="s">
        <v>286</v>
      </c>
      <c r="N3658" s="95"/>
      <c r="P3658" t="s">
        <v>95</v>
      </c>
      <c r="Q3658" t="s">
        <v>120</v>
      </c>
      <c r="R3658" s="92" t="s">
        <v>69</v>
      </c>
      <c r="S3658" s="92" t="s">
        <v>395</v>
      </c>
      <c r="V3658" s="95">
        <v>43677</v>
      </c>
      <c r="W3658" s="92">
        <v>2033928</v>
      </c>
      <c r="X3658" s="90"/>
      <c r="Y3658" s="123"/>
      <c r="Z3658" s="30">
        <f t="shared" si="114"/>
        <v>6772.6006943194379</v>
      </c>
      <c r="AA3658" s="30">
        <f t="shared" si="115"/>
        <v>2116.4377169748245</v>
      </c>
      <c r="AB3658" t="s">
        <v>457</v>
      </c>
    </row>
    <row r="3659" spans="1:28">
      <c r="A3659" t="s">
        <v>122</v>
      </c>
      <c r="C3659" s="92">
        <v>4615515701</v>
      </c>
      <c r="D3659" s="93">
        <v>19200</v>
      </c>
      <c r="F3659" s="91">
        <v>16</v>
      </c>
      <c r="G3659" s="96">
        <v>5</v>
      </c>
      <c r="H3659" s="94">
        <v>0</v>
      </c>
      <c r="I3659" s="91">
        <v>0</v>
      </c>
      <c r="J3659" s="41"/>
      <c r="K3659" s="41">
        <v>43677</v>
      </c>
      <c r="L3659" s="69" t="s">
        <v>80</v>
      </c>
      <c r="M3659" s="69" t="s">
        <v>286</v>
      </c>
      <c r="N3659" s="95"/>
      <c r="P3659" t="s">
        <v>95</v>
      </c>
      <c r="Q3659" t="s">
        <v>120</v>
      </c>
      <c r="R3659" s="92" t="s">
        <v>69</v>
      </c>
      <c r="S3659" s="92" t="s">
        <v>395</v>
      </c>
      <c r="V3659" s="95">
        <v>43677</v>
      </c>
      <c r="W3659" s="92">
        <v>2033928</v>
      </c>
      <c r="X3659" s="90"/>
      <c r="Y3659" s="123"/>
      <c r="Z3659" s="30">
        <f t="shared" si="114"/>
        <v>6772.6006943194379</v>
      </c>
      <c r="AA3659" s="30">
        <f t="shared" si="115"/>
        <v>2116.4377169748245</v>
      </c>
      <c r="AB3659" t="s">
        <v>457</v>
      </c>
    </row>
    <row r="3660" spans="1:28">
      <c r="A3660" t="s">
        <v>118</v>
      </c>
      <c r="C3660" s="92">
        <v>4615511653</v>
      </c>
      <c r="D3660" s="93">
        <v>19175</v>
      </c>
      <c r="F3660" s="91">
        <v>16</v>
      </c>
      <c r="G3660" s="96">
        <v>5</v>
      </c>
      <c r="H3660" s="94">
        <v>0</v>
      </c>
      <c r="I3660" s="91">
        <v>0</v>
      </c>
      <c r="J3660" s="41"/>
      <c r="K3660" s="41">
        <v>43677</v>
      </c>
      <c r="L3660" s="69" t="s">
        <v>80</v>
      </c>
      <c r="M3660" s="69" t="s">
        <v>286</v>
      </c>
      <c r="N3660" s="95"/>
      <c r="P3660" t="s">
        <v>95</v>
      </c>
      <c r="Q3660" t="s">
        <v>120</v>
      </c>
      <c r="R3660" s="92" t="s">
        <v>69</v>
      </c>
      <c r="S3660" s="92" t="s">
        <v>396</v>
      </c>
      <c r="V3660" s="95">
        <v>43677</v>
      </c>
      <c r="W3660" s="92">
        <v>2033938</v>
      </c>
      <c r="X3660" s="90"/>
      <c r="Y3660" s="123"/>
      <c r="Z3660" s="30">
        <f t="shared" si="114"/>
        <v>6763.7822038320437</v>
      </c>
      <c r="AA3660" s="30">
        <f t="shared" si="115"/>
        <v>2113.6819386975139</v>
      </c>
      <c r="AB3660" t="s">
        <v>457</v>
      </c>
    </row>
    <row r="3661" spans="1:28">
      <c r="A3661" t="s">
        <v>118</v>
      </c>
      <c r="C3661" s="92">
        <v>4615511653</v>
      </c>
      <c r="D3661" s="93">
        <v>19175</v>
      </c>
      <c r="F3661" s="91">
        <v>16</v>
      </c>
      <c r="G3661" s="96">
        <v>5</v>
      </c>
      <c r="H3661" s="94">
        <v>0</v>
      </c>
      <c r="I3661" s="91">
        <v>0</v>
      </c>
      <c r="J3661" s="41"/>
      <c r="K3661" s="41">
        <v>43677</v>
      </c>
      <c r="L3661" s="69" t="s">
        <v>80</v>
      </c>
      <c r="M3661" s="69" t="s">
        <v>286</v>
      </c>
      <c r="N3661" s="95"/>
      <c r="P3661" t="s">
        <v>95</v>
      </c>
      <c r="Q3661" t="s">
        <v>120</v>
      </c>
      <c r="R3661" s="92" t="s">
        <v>69</v>
      </c>
      <c r="S3661" s="92" t="s">
        <v>396</v>
      </c>
      <c r="V3661" s="95">
        <v>43677</v>
      </c>
      <c r="W3661" s="92">
        <v>2033938</v>
      </c>
      <c r="X3661" s="90"/>
      <c r="Y3661" s="123"/>
      <c r="Z3661" s="30">
        <f t="shared" si="114"/>
        <v>6763.7822038320437</v>
      </c>
      <c r="AA3661" s="30">
        <f t="shared" si="115"/>
        <v>2113.6819386975139</v>
      </c>
      <c r="AB3661" t="s">
        <v>457</v>
      </c>
    </row>
    <row r="3662" spans="1:28">
      <c r="A3662" t="s">
        <v>118</v>
      </c>
      <c r="C3662" s="92">
        <v>4615511653</v>
      </c>
      <c r="D3662" s="93">
        <v>19175</v>
      </c>
      <c r="F3662" s="91">
        <v>16</v>
      </c>
      <c r="G3662" s="96">
        <v>5</v>
      </c>
      <c r="H3662" s="94">
        <v>0</v>
      </c>
      <c r="I3662" s="91">
        <v>0</v>
      </c>
      <c r="J3662" s="41"/>
      <c r="K3662" s="41">
        <v>43677</v>
      </c>
      <c r="L3662" s="69" t="s">
        <v>80</v>
      </c>
      <c r="M3662" s="69" t="s">
        <v>286</v>
      </c>
      <c r="N3662" s="95"/>
      <c r="P3662" t="s">
        <v>95</v>
      </c>
      <c r="Q3662" t="s">
        <v>120</v>
      </c>
      <c r="R3662" s="92" t="s">
        <v>69</v>
      </c>
      <c r="S3662" s="92" t="s">
        <v>396</v>
      </c>
      <c r="V3662" s="95">
        <v>43677</v>
      </c>
      <c r="W3662" s="92">
        <v>2033938</v>
      </c>
      <c r="X3662" s="90"/>
      <c r="Y3662" s="123"/>
      <c r="Z3662" s="30">
        <f t="shared" si="114"/>
        <v>6763.7822038320437</v>
      </c>
      <c r="AA3662" s="30">
        <f t="shared" si="115"/>
        <v>2113.6819386975139</v>
      </c>
      <c r="AB3662" t="s">
        <v>457</v>
      </c>
    </row>
    <row r="3663" spans="1:28">
      <c r="A3663" t="s">
        <v>118</v>
      </c>
      <c r="C3663" s="92">
        <v>4615511653</v>
      </c>
      <c r="D3663" s="93">
        <v>19175</v>
      </c>
      <c r="F3663" s="91">
        <v>16</v>
      </c>
      <c r="G3663" s="96">
        <v>5</v>
      </c>
      <c r="H3663" s="94">
        <v>0</v>
      </c>
      <c r="I3663" s="91">
        <v>0</v>
      </c>
      <c r="J3663" s="41"/>
      <c r="K3663" s="41">
        <v>43677</v>
      </c>
      <c r="L3663" s="69" t="s">
        <v>80</v>
      </c>
      <c r="M3663" s="69" t="s">
        <v>286</v>
      </c>
      <c r="N3663" s="95"/>
      <c r="P3663" t="s">
        <v>95</v>
      </c>
      <c r="Q3663" t="s">
        <v>120</v>
      </c>
      <c r="R3663" s="92" t="s">
        <v>69</v>
      </c>
      <c r="S3663" s="92" t="s">
        <v>396</v>
      </c>
      <c r="V3663" s="95">
        <v>43677</v>
      </c>
      <c r="W3663" s="92">
        <v>2033938</v>
      </c>
      <c r="X3663" s="90"/>
      <c r="Y3663" s="123"/>
      <c r="Z3663" s="30">
        <f t="shared" si="114"/>
        <v>6763.7822038320437</v>
      </c>
      <c r="AA3663" s="30">
        <f t="shared" si="115"/>
        <v>2113.6819386975139</v>
      </c>
      <c r="AB3663" t="s">
        <v>457</v>
      </c>
    </row>
    <row r="3664" spans="1:28">
      <c r="A3664" t="s">
        <v>118</v>
      </c>
      <c r="C3664" s="92">
        <v>4615511653</v>
      </c>
      <c r="D3664" s="93">
        <v>19175</v>
      </c>
      <c r="F3664" s="91">
        <v>16</v>
      </c>
      <c r="G3664" s="96">
        <v>5</v>
      </c>
      <c r="H3664" s="94">
        <v>0</v>
      </c>
      <c r="I3664" s="91">
        <v>0</v>
      </c>
      <c r="J3664" s="41"/>
      <c r="K3664" s="41">
        <v>43677</v>
      </c>
      <c r="L3664" s="69" t="s">
        <v>80</v>
      </c>
      <c r="M3664" s="69" t="s">
        <v>286</v>
      </c>
      <c r="N3664" s="95"/>
      <c r="P3664" t="s">
        <v>95</v>
      </c>
      <c r="Q3664" t="s">
        <v>120</v>
      </c>
      <c r="R3664" s="92" t="s">
        <v>69</v>
      </c>
      <c r="S3664" s="92" t="s">
        <v>396</v>
      </c>
      <c r="V3664" s="95">
        <v>43677</v>
      </c>
      <c r="W3664" s="92">
        <v>2033938</v>
      </c>
      <c r="X3664" s="90"/>
      <c r="Y3664" s="123"/>
      <c r="Z3664" s="30">
        <f t="shared" si="114"/>
        <v>6763.7822038320437</v>
      </c>
      <c r="AA3664" s="30">
        <f t="shared" si="115"/>
        <v>2113.6819386975139</v>
      </c>
      <c r="AB3664" t="s">
        <v>457</v>
      </c>
    </row>
    <row r="3665" spans="1:28">
      <c r="A3665" t="s">
        <v>118</v>
      </c>
      <c r="C3665" s="92">
        <v>4615511653</v>
      </c>
      <c r="D3665" s="93">
        <v>19175</v>
      </c>
      <c r="F3665" s="91">
        <v>16</v>
      </c>
      <c r="G3665" s="96">
        <v>5</v>
      </c>
      <c r="H3665" s="94">
        <v>0</v>
      </c>
      <c r="I3665" s="91">
        <v>0</v>
      </c>
      <c r="J3665" s="41"/>
      <c r="K3665" s="41">
        <v>43677</v>
      </c>
      <c r="L3665" s="69" t="s">
        <v>80</v>
      </c>
      <c r="M3665" s="69" t="s">
        <v>286</v>
      </c>
      <c r="N3665" s="95"/>
      <c r="P3665" t="s">
        <v>95</v>
      </c>
      <c r="Q3665" t="s">
        <v>120</v>
      </c>
      <c r="R3665" s="92" t="s">
        <v>69</v>
      </c>
      <c r="S3665" s="92" t="s">
        <v>396</v>
      </c>
      <c r="V3665" s="95">
        <v>43677</v>
      </c>
      <c r="W3665" s="92">
        <v>2033938</v>
      </c>
      <c r="X3665" s="90"/>
      <c r="Y3665" s="123"/>
      <c r="Z3665" s="30">
        <f t="shared" si="114"/>
        <v>6763.7822038320437</v>
      </c>
      <c r="AA3665" s="30">
        <f t="shared" si="115"/>
        <v>2113.6819386975139</v>
      </c>
      <c r="AB3665" t="s">
        <v>457</v>
      </c>
    </row>
    <row r="3666" spans="1:28">
      <c r="A3666" t="s">
        <v>122</v>
      </c>
      <c r="C3666" s="92">
        <v>4615519283</v>
      </c>
      <c r="D3666" s="93">
        <v>19200</v>
      </c>
      <c r="F3666" s="91">
        <v>16</v>
      </c>
      <c r="G3666" s="96">
        <v>5</v>
      </c>
      <c r="H3666" s="94">
        <v>0</v>
      </c>
      <c r="I3666" s="91">
        <v>0</v>
      </c>
      <c r="J3666" s="41"/>
      <c r="K3666" s="41">
        <v>43677</v>
      </c>
      <c r="L3666" s="69" t="s">
        <v>80</v>
      </c>
      <c r="M3666" s="69" t="s">
        <v>286</v>
      </c>
      <c r="N3666" s="95"/>
      <c r="P3666" t="s">
        <v>95</v>
      </c>
      <c r="Q3666" t="s">
        <v>120</v>
      </c>
      <c r="R3666" s="92" t="s">
        <v>69</v>
      </c>
      <c r="S3666" s="92" t="s">
        <v>397</v>
      </c>
      <c r="V3666" s="95">
        <v>43677</v>
      </c>
      <c r="W3666" s="92">
        <v>2033948</v>
      </c>
      <c r="X3666" s="90"/>
      <c r="Y3666" s="123"/>
      <c r="Z3666" s="30">
        <f t="shared" si="114"/>
        <v>6772.6006943194379</v>
      </c>
      <c r="AA3666" s="30">
        <f t="shared" si="115"/>
        <v>2116.4377169748245</v>
      </c>
      <c r="AB3666" t="s">
        <v>457</v>
      </c>
    </row>
    <row r="3667" spans="1:28">
      <c r="A3667" t="s">
        <v>122</v>
      </c>
      <c r="C3667" s="92">
        <v>4615519283</v>
      </c>
      <c r="D3667" s="93">
        <v>19200</v>
      </c>
      <c r="F3667" s="91">
        <v>16</v>
      </c>
      <c r="G3667" s="96">
        <v>5</v>
      </c>
      <c r="H3667" s="94">
        <v>0</v>
      </c>
      <c r="I3667" s="91">
        <v>0</v>
      </c>
      <c r="J3667" s="41"/>
      <c r="K3667" s="41">
        <v>43677</v>
      </c>
      <c r="L3667" s="69" t="s">
        <v>80</v>
      </c>
      <c r="M3667" s="69" t="s">
        <v>286</v>
      </c>
      <c r="N3667" s="95"/>
      <c r="P3667" t="s">
        <v>95</v>
      </c>
      <c r="Q3667" t="s">
        <v>120</v>
      </c>
      <c r="R3667" s="92" t="s">
        <v>69</v>
      </c>
      <c r="S3667" s="92" t="s">
        <v>397</v>
      </c>
      <c r="V3667" s="95">
        <v>43677</v>
      </c>
      <c r="W3667" s="92">
        <v>2033948</v>
      </c>
      <c r="X3667" s="90"/>
      <c r="Y3667" s="123"/>
      <c r="Z3667" s="30">
        <f t="shared" si="114"/>
        <v>6772.6006943194379</v>
      </c>
      <c r="AA3667" s="30">
        <f t="shared" si="115"/>
        <v>2116.4377169748245</v>
      </c>
      <c r="AB3667" t="s">
        <v>457</v>
      </c>
    </row>
    <row r="3668" spans="1:28">
      <c r="A3668" t="s">
        <v>122</v>
      </c>
      <c r="C3668" s="92">
        <v>4615519283</v>
      </c>
      <c r="D3668" s="93">
        <v>19200</v>
      </c>
      <c r="F3668" s="91">
        <v>16</v>
      </c>
      <c r="G3668" s="96">
        <v>5</v>
      </c>
      <c r="H3668" s="94">
        <v>0</v>
      </c>
      <c r="I3668" s="91">
        <v>0</v>
      </c>
      <c r="J3668" s="41"/>
      <c r="K3668" s="41">
        <v>43677</v>
      </c>
      <c r="L3668" s="69" t="s">
        <v>80</v>
      </c>
      <c r="M3668" s="69" t="s">
        <v>286</v>
      </c>
      <c r="N3668" s="95"/>
      <c r="P3668" t="s">
        <v>95</v>
      </c>
      <c r="Q3668" t="s">
        <v>120</v>
      </c>
      <c r="R3668" s="92" t="s">
        <v>69</v>
      </c>
      <c r="S3668" s="92" t="s">
        <v>397</v>
      </c>
      <c r="V3668" s="95">
        <v>43677</v>
      </c>
      <c r="W3668" s="92">
        <v>2033948</v>
      </c>
      <c r="X3668" s="90"/>
      <c r="Y3668" s="123"/>
      <c r="Z3668" s="30">
        <f t="shared" si="114"/>
        <v>6772.6006943194379</v>
      </c>
      <c r="AA3668" s="30">
        <f t="shared" si="115"/>
        <v>2116.4377169748245</v>
      </c>
      <c r="AB3668" t="s">
        <v>457</v>
      </c>
    </row>
    <row r="3669" spans="1:28">
      <c r="A3669" t="s">
        <v>122</v>
      </c>
      <c r="C3669" s="92">
        <v>4615519283</v>
      </c>
      <c r="D3669" s="93">
        <v>19200</v>
      </c>
      <c r="F3669" s="91">
        <v>16</v>
      </c>
      <c r="G3669" s="96">
        <v>5</v>
      </c>
      <c r="H3669" s="94">
        <v>0</v>
      </c>
      <c r="I3669" s="91">
        <v>0</v>
      </c>
      <c r="J3669" s="41"/>
      <c r="K3669" s="41">
        <v>43677</v>
      </c>
      <c r="L3669" s="69" t="s">
        <v>80</v>
      </c>
      <c r="M3669" s="69" t="s">
        <v>286</v>
      </c>
      <c r="N3669" s="95"/>
      <c r="P3669" t="s">
        <v>95</v>
      </c>
      <c r="Q3669" t="s">
        <v>120</v>
      </c>
      <c r="R3669" s="92" t="s">
        <v>69</v>
      </c>
      <c r="S3669" s="92" t="s">
        <v>397</v>
      </c>
      <c r="V3669" s="95">
        <v>43677</v>
      </c>
      <c r="W3669" s="92">
        <v>2033948</v>
      </c>
      <c r="X3669" s="90"/>
      <c r="Y3669" s="123"/>
      <c r="Z3669" s="30">
        <f t="shared" si="114"/>
        <v>6772.6006943194379</v>
      </c>
      <c r="AA3669" s="30">
        <f t="shared" si="115"/>
        <v>2116.4377169748245</v>
      </c>
      <c r="AB3669" t="s">
        <v>457</v>
      </c>
    </row>
    <row r="3670" spans="1:28">
      <c r="A3670" t="s">
        <v>122</v>
      </c>
      <c r="C3670" s="92">
        <v>4615519283</v>
      </c>
      <c r="D3670" s="93">
        <v>19200</v>
      </c>
      <c r="F3670" s="91">
        <v>16</v>
      </c>
      <c r="G3670" s="96">
        <v>5</v>
      </c>
      <c r="H3670" s="94">
        <v>0</v>
      </c>
      <c r="I3670" s="91">
        <v>0</v>
      </c>
      <c r="J3670" s="41"/>
      <c r="K3670" s="41">
        <v>43677</v>
      </c>
      <c r="L3670" s="69" t="s">
        <v>80</v>
      </c>
      <c r="M3670" s="69" t="s">
        <v>286</v>
      </c>
      <c r="N3670" s="95"/>
      <c r="P3670" t="s">
        <v>95</v>
      </c>
      <c r="Q3670" t="s">
        <v>120</v>
      </c>
      <c r="R3670" s="92" t="s">
        <v>69</v>
      </c>
      <c r="S3670" s="92" t="s">
        <v>397</v>
      </c>
      <c r="V3670" s="95">
        <v>43677</v>
      </c>
      <c r="W3670" s="92">
        <v>2033948</v>
      </c>
      <c r="X3670" s="90"/>
      <c r="Y3670" s="123"/>
      <c r="Z3670" s="30">
        <f t="shared" si="114"/>
        <v>6772.6006943194379</v>
      </c>
      <c r="AA3670" s="30">
        <f t="shared" si="115"/>
        <v>2116.4377169748245</v>
      </c>
      <c r="AB3670" t="s">
        <v>457</v>
      </c>
    </row>
    <row r="3671" spans="1:28">
      <c r="A3671" t="s">
        <v>122</v>
      </c>
      <c r="C3671" s="92">
        <v>4615519283</v>
      </c>
      <c r="D3671" s="93">
        <v>19200</v>
      </c>
      <c r="F3671" s="91">
        <v>16</v>
      </c>
      <c r="G3671" s="96">
        <v>5</v>
      </c>
      <c r="H3671" s="94">
        <v>0</v>
      </c>
      <c r="I3671" s="91">
        <v>0</v>
      </c>
      <c r="J3671" s="41"/>
      <c r="K3671" s="41">
        <v>43677</v>
      </c>
      <c r="L3671" s="69" t="s">
        <v>80</v>
      </c>
      <c r="M3671" s="69" t="s">
        <v>286</v>
      </c>
      <c r="N3671" s="95"/>
      <c r="P3671" t="s">
        <v>95</v>
      </c>
      <c r="Q3671" t="s">
        <v>120</v>
      </c>
      <c r="R3671" s="92" t="s">
        <v>69</v>
      </c>
      <c r="S3671" s="92" t="s">
        <v>397</v>
      </c>
      <c r="V3671" s="95">
        <v>43677</v>
      </c>
      <c r="W3671" s="92">
        <v>2033948</v>
      </c>
      <c r="X3671" s="90"/>
      <c r="Y3671" s="123"/>
      <c r="Z3671" s="30">
        <f t="shared" si="114"/>
        <v>6772.6006943194379</v>
      </c>
      <c r="AA3671" s="30">
        <f t="shared" si="115"/>
        <v>2116.4377169748245</v>
      </c>
      <c r="AB3671" t="s">
        <v>457</v>
      </c>
    </row>
    <row r="3672" spans="1:28">
      <c r="A3672" t="s">
        <v>122</v>
      </c>
      <c r="C3672" s="92">
        <v>4615519283</v>
      </c>
      <c r="D3672" s="93">
        <v>19200</v>
      </c>
      <c r="F3672" s="91">
        <v>16</v>
      </c>
      <c r="G3672" s="96">
        <v>5</v>
      </c>
      <c r="H3672" s="94">
        <v>0</v>
      </c>
      <c r="I3672" s="91">
        <v>0</v>
      </c>
      <c r="J3672" s="41"/>
      <c r="K3672" s="41">
        <v>43677</v>
      </c>
      <c r="L3672" s="69" t="s">
        <v>80</v>
      </c>
      <c r="M3672" s="69" t="s">
        <v>286</v>
      </c>
      <c r="N3672" s="95"/>
      <c r="P3672" t="s">
        <v>95</v>
      </c>
      <c r="Q3672" t="s">
        <v>120</v>
      </c>
      <c r="R3672" s="92" t="s">
        <v>69</v>
      </c>
      <c r="S3672" s="92" t="s">
        <v>397</v>
      </c>
      <c r="V3672" s="95">
        <v>43677</v>
      </c>
      <c r="W3672" s="92">
        <v>2033948</v>
      </c>
      <c r="X3672" s="90"/>
      <c r="Y3672" s="123"/>
      <c r="Z3672" s="30">
        <f t="shared" si="114"/>
        <v>6772.6006943194379</v>
      </c>
      <c r="AA3672" s="30">
        <f t="shared" si="115"/>
        <v>2116.4377169748245</v>
      </c>
      <c r="AB3672" t="s">
        <v>457</v>
      </c>
    </row>
    <row r="3673" spans="1:28">
      <c r="A3673" t="s">
        <v>122</v>
      </c>
      <c r="C3673" s="92">
        <v>4615519283</v>
      </c>
      <c r="D3673" s="93">
        <v>19200</v>
      </c>
      <c r="F3673" s="91">
        <v>16</v>
      </c>
      <c r="G3673" s="96">
        <v>5</v>
      </c>
      <c r="H3673" s="94">
        <v>0</v>
      </c>
      <c r="I3673" s="91">
        <v>0</v>
      </c>
      <c r="J3673" s="41"/>
      <c r="K3673" s="41">
        <v>43677</v>
      </c>
      <c r="L3673" s="69" t="s">
        <v>80</v>
      </c>
      <c r="M3673" s="69" t="s">
        <v>286</v>
      </c>
      <c r="N3673" s="95"/>
      <c r="P3673" t="s">
        <v>95</v>
      </c>
      <c r="Q3673" t="s">
        <v>120</v>
      </c>
      <c r="R3673" s="92" t="s">
        <v>69</v>
      </c>
      <c r="S3673" s="92" t="s">
        <v>397</v>
      </c>
      <c r="V3673" s="95">
        <v>43677</v>
      </c>
      <c r="W3673" s="92">
        <v>2033948</v>
      </c>
      <c r="X3673" s="90"/>
      <c r="Y3673" s="123"/>
      <c r="Z3673" s="30">
        <f t="shared" si="114"/>
        <v>6772.6006943194379</v>
      </c>
      <c r="AA3673" s="30">
        <f t="shared" si="115"/>
        <v>2116.4377169748245</v>
      </c>
      <c r="AB3673" t="s">
        <v>457</v>
      </c>
    </row>
    <row r="3674" spans="1:28">
      <c r="A3674" t="s">
        <v>122</v>
      </c>
      <c r="C3674" s="92">
        <v>4615519283</v>
      </c>
      <c r="D3674" s="93">
        <v>19200</v>
      </c>
      <c r="F3674" s="91">
        <v>16</v>
      </c>
      <c r="G3674" s="96">
        <v>5</v>
      </c>
      <c r="H3674" s="94">
        <v>0</v>
      </c>
      <c r="I3674" s="91">
        <v>0</v>
      </c>
      <c r="J3674" s="41"/>
      <c r="K3674" s="41">
        <v>43677</v>
      </c>
      <c r="L3674" s="69" t="s">
        <v>80</v>
      </c>
      <c r="M3674" s="69" t="s">
        <v>286</v>
      </c>
      <c r="N3674" s="95"/>
      <c r="P3674" t="s">
        <v>95</v>
      </c>
      <c r="Q3674" t="s">
        <v>120</v>
      </c>
      <c r="R3674" s="92" t="s">
        <v>69</v>
      </c>
      <c r="S3674" s="92" t="s">
        <v>397</v>
      </c>
      <c r="V3674" s="95">
        <v>43677</v>
      </c>
      <c r="W3674" s="92">
        <v>2033948</v>
      </c>
      <c r="X3674" s="90"/>
      <c r="Y3674" s="123"/>
      <c r="Z3674" s="30">
        <f t="shared" si="114"/>
        <v>6772.6006943194379</v>
      </c>
      <c r="AA3674" s="30">
        <f t="shared" si="115"/>
        <v>2116.4377169748245</v>
      </c>
      <c r="AB3674" t="s">
        <v>457</v>
      </c>
    </row>
    <row r="3675" spans="1:28">
      <c r="A3675" t="s">
        <v>122</v>
      </c>
      <c r="C3675" s="92">
        <v>4615519283</v>
      </c>
      <c r="D3675" s="93">
        <v>19200</v>
      </c>
      <c r="F3675" s="91">
        <v>16</v>
      </c>
      <c r="G3675" s="96">
        <v>5</v>
      </c>
      <c r="H3675" s="94">
        <v>0</v>
      </c>
      <c r="I3675" s="91">
        <v>0</v>
      </c>
      <c r="J3675" s="41"/>
      <c r="K3675" s="41">
        <v>43677</v>
      </c>
      <c r="L3675" s="69" t="s">
        <v>80</v>
      </c>
      <c r="M3675" s="69" t="s">
        <v>286</v>
      </c>
      <c r="N3675" s="95"/>
      <c r="P3675" t="s">
        <v>95</v>
      </c>
      <c r="Q3675" t="s">
        <v>120</v>
      </c>
      <c r="R3675" s="92" t="s">
        <v>69</v>
      </c>
      <c r="S3675" s="92" t="s">
        <v>397</v>
      </c>
      <c r="V3675" s="95">
        <v>43677</v>
      </c>
      <c r="W3675" s="92">
        <v>2033948</v>
      </c>
      <c r="X3675" s="90"/>
      <c r="Y3675" s="123"/>
      <c r="Z3675" s="30">
        <f t="shared" si="114"/>
        <v>6772.6006943194379</v>
      </c>
      <c r="AA3675" s="30">
        <f t="shared" si="115"/>
        <v>2116.4377169748245</v>
      </c>
      <c r="AB3675" t="s">
        <v>457</v>
      </c>
    </row>
    <row r="3676" spans="1:28">
      <c r="A3676" t="s">
        <v>122</v>
      </c>
      <c r="C3676" s="92">
        <v>4615519328</v>
      </c>
      <c r="D3676" s="93">
        <v>19200</v>
      </c>
      <c r="F3676" s="91">
        <v>16</v>
      </c>
      <c r="G3676" s="96">
        <v>5</v>
      </c>
      <c r="H3676" s="94">
        <v>0</v>
      </c>
      <c r="I3676" s="91">
        <v>0</v>
      </c>
      <c r="J3676" s="41"/>
      <c r="K3676" s="41">
        <v>43677</v>
      </c>
      <c r="L3676" s="69" t="s">
        <v>80</v>
      </c>
      <c r="M3676" s="69" t="s">
        <v>286</v>
      </c>
      <c r="N3676" s="95"/>
      <c r="P3676" t="s">
        <v>95</v>
      </c>
      <c r="Q3676" t="s">
        <v>120</v>
      </c>
      <c r="R3676" s="92" t="s">
        <v>69</v>
      </c>
      <c r="S3676" s="92" t="s">
        <v>293</v>
      </c>
      <c r="V3676" s="95">
        <v>43677</v>
      </c>
      <c r="W3676" s="92">
        <v>2033958</v>
      </c>
      <c r="X3676" s="90"/>
      <c r="Y3676" s="123"/>
      <c r="Z3676" s="30">
        <f t="shared" si="114"/>
        <v>6772.6006943194379</v>
      </c>
      <c r="AA3676" s="30">
        <f t="shared" si="115"/>
        <v>2116.4377169748245</v>
      </c>
      <c r="AB3676" t="s">
        <v>457</v>
      </c>
    </row>
    <row r="3677" spans="1:28">
      <c r="A3677" t="s">
        <v>122</v>
      </c>
      <c r="C3677" s="92">
        <v>4615519328</v>
      </c>
      <c r="D3677" s="93">
        <v>19200</v>
      </c>
      <c r="F3677" s="91">
        <v>16</v>
      </c>
      <c r="G3677" s="96">
        <v>5</v>
      </c>
      <c r="H3677" s="94">
        <v>0</v>
      </c>
      <c r="I3677" s="91">
        <v>0</v>
      </c>
      <c r="J3677" s="41"/>
      <c r="K3677" s="41">
        <v>43677</v>
      </c>
      <c r="L3677" s="69" t="s">
        <v>80</v>
      </c>
      <c r="M3677" s="69" t="s">
        <v>286</v>
      </c>
      <c r="N3677" s="95"/>
      <c r="P3677" t="s">
        <v>95</v>
      </c>
      <c r="Q3677" t="s">
        <v>120</v>
      </c>
      <c r="R3677" s="92" t="s">
        <v>69</v>
      </c>
      <c r="S3677" s="92" t="s">
        <v>293</v>
      </c>
      <c r="V3677" s="95">
        <v>43677</v>
      </c>
      <c r="W3677" s="92">
        <v>2033958</v>
      </c>
      <c r="X3677" s="90"/>
      <c r="Y3677" s="123"/>
      <c r="Z3677" s="30">
        <f t="shared" si="114"/>
        <v>6772.6006943194379</v>
      </c>
      <c r="AA3677" s="30">
        <f t="shared" si="115"/>
        <v>2116.4377169748245</v>
      </c>
      <c r="AB3677" t="s">
        <v>457</v>
      </c>
    </row>
    <row r="3678" spans="1:28">
      <c r="A3678" t="s">
        <v>122</v>
      </c>
      <c r="C3678" s="92">
        <v>4615519328</v>
      </c>
      <c r="D3678" s="93">
        <v>19200</v>
      </c>
      <c r="F3678" s="91">
        <v>16</v>
      </c>
      <c r="G3678" s="96">
        <v>5</v>
      </c>
      <c r="H3678" s="94">
        <v>0</v>
      </c>
      <c r="I3678" s="91">
        <v>0</v>
      </c>
      <c r="J3678" s="41"/>
      <c r="K3678" s="41">
        <v>43677</v>
      </c>
      <c r="L3678" s="69" t="s">
        <v>80</v>
      </c>
      <c r="M3678" s="69" t="s">
        <v>286</v>
      </c>
      <c r="N3678" s="95"/>
      <c r="P3678" t="s">
        <v>95</v>
      </c>
      <c r="Q3678" t="s">
        <v>120</v>
      </c>
      <c r="R3678" s="92" t="s">
        <v>69</v>
      </c>
      <c r="S3678" s="92" t="s">
        <v>293</v>
      </c>
      <c r="V3678" s="95">
        <v>43677</v>
      </c>
      <c r="W3678" s="92">
        <v>2033958</v>
      </c>
      <c r="X3678" s="90"/>
      <c r="Y3678" s="123"/>
      <c r="Z3678" s="30">
        <f t="shared" si="114"/>
        <v>6772.6006943194379</v>
      </c>
      <c r="AA3678" s="30">
        <f t="shared" si="115"/>
        <v>2116.4377169748245</v>
      </c>
      <c r="AB3678" t="s">
        <v>457</v>
      </c>
    </row>
    <row r="3679" spans="1:28">
      <c r="A3679" t="s">
        <v>122</v>
      </c>
      <c r="C3679" s="92">
        <v>4615519328</v>
      </c>
      <c r="D3679" s="93">
        <v>19200</v>
      </c>
      <c r="F3679" s="91">
        <v>16</v>
      </c>
      <c r="G3679" s="96">
        <v>5</v>
      </c>
      <c r="H3679" s="94">
        <v>0</v>
      </c>
      <c r="I3679" s="91">
        <v>0</v>
      </c>
      <c r="J3679" s="41"/>
      <c r="K3679" s="41">
        <v>43677</v>
      </c>
      <c r="L3679" s="69" t="s">
        <v>80</v>
      </c>
      <c r="M3679" s="69" t="s">
        <v>286</v>
      </c>
      <c r="N3679" s="95"/>
      <c r="P3679" t="s">
        <v>95</v>
      </c>
      <c r="Q3679" t="s">
        <v>120</v>
      </c>
      <c r="R3679" s="92" t="s">
        <v>69</v>
      </c>
      <c r="S3679" s="92" t="s">
        <v>293</v>
      </c>
      <c r="V3679" s="95">
        <v>43677</v>
      </c>
      <c r="W3679" s="92">
        <v>2033958</v>
      </c>
      <c r="X3679" s="90"/>
      <c r="Y3679" s="123"/>
      <c r="Z3679" s="30">
        <f t="shared" si="114"/>
        <v>6772.6006943194379</v>
      </c>
      <c r="AA3679" s="30">
        <f t="shared" si="115"/>
        <v>2116.4377169748245</v>
      </c>
      <c r="AB3679" t="s">
        <v>457</v>
      </c>
    </row>
    <row r="3680" spans="1:28">
      <c r="A3680" t="s">
        <v>113</v>
      </c>
      <c r="C3680" s="92">
        <v>4615496808</v>
      </c>
      <c r="D3680" s="93">
        <v>19175</v>
      </c>
      <c r="F3680" s="91">
        <v>16</v>
      </c>
      <c r="G3680" s="91">
        <v>0</v>
      </c>
      <c r="H3680" s="91">
        <v>0</v>
      </c>
      <c r="I3680" s="91">
        <v>0</v>
      </c>
      <c r="J3680" s="41"/>
      <c r="K3680" s="41">
        <v>43677</v>
      </c>
      <c r="L3680" s="69" t="s">
        <v>80</v>
      </c>
      <c r="M3680" s="69" t="s">
        <v>286</v>
      </c>
      <c r="N3680" s="95"/>
      <c r="P3680" t="s">
        <v>95</v>
      </c>
      <c r="Q3680" t="s">
        <v>110</v>
      </c>
      <c r="R3680" s="92" t="s">
        <v>69</v>
      </c>
      <c r="S3680" s="92" t="s">
        <v>115</v>
      </c>
      <c r="V3680" s="95">
        <v>43677</v>
      </c>
      <c r="W3680" s="92" t="s">
        <v>416</v>
      </c>
      <c r="X3680" s="90"/>
      <c r="Y3680" s="123"/>
      <c r="Z3680" s="30">
        <f t="shared" si="114"/>
        <v>6763.7822038320437</v>
      </c>
      <c r="AA3680" s="30">
        <f t="shared" si="115"/>
        <v>0</v>
      </c>
      <c r="AB3680" t="s">
        <v>457</v>
      </c>
    </row>
    <row r="3681" spans="1:28">
      <c r="A3681" t="s">
        <v>113</v>
      </c>
      <c r="C3681" s="92">
        <v>4615496808</v>
      </c>
      <c r="D3681" s="93">
        <v>19175</v>
      </c>
      <c r="F3681" s="91">
        <v>16</v>
      </c>
      <c r="G3681" s="91">
        <v>0</v>
      </c>
      <c r="H3681" s="91">
        <v>0</v>
      </c>
      <c r="I3681" s="91">
        <v>0</v>
      </c>
      <c r="J3681" s="41"/>
      <c r="K3681" s="41">
        <v>43677</v>
      </c>
      <c r="L3681" s="69" t="s">
        <v>80</v>
      </c>
      <c r="M3681" s="69" t="s">
        <v>286</v>
      </c>
      <c r="N3681" s="95"/>
      <c r="P3681" t="s">
        <v>95</v>
      </c>
      <c r="Q3681" t="s">
        <v>110</v>
      </c>
      <c r="R3681" s="92" t="s">
        <v>69</v>
      </c>
      <c r="S3681" s="92" t="s">
        <v>115</v>
      </c>
      <c r="V3681" s="95">
        <v>43677</v>
      </c>
      <c r="W3681" s="92" t="s">
        <v>416</v>
      </c>
      <c r="X3681" s="90"/>
      <c r="Y3681" s="123"/>
      <c r="Z3681" s="30">
        <f t="shared" si="114"/>
        <v>6763.7822038320437</v>
      </c>
      <c r="AA3681" s="30">
        <f t="shared" si="115"/>
        <v>0</v>
      </c>
      <c r="AB3681" t="s">
        <v>457</v>
      </c>
    </row>
    <row r="3682" spans="1:28">
      <c r="A3682" t="s">
        <v>113</v>
      </c>
      <c r="C3682" s="92">
        <v>4615496808</v>
      </c>
      <c r="D3682" s="93">
        <v>19175</v>
      </c>
      <c r="F3682" s="91">
        <v>16</v>
      </c>
      <c r="G3682" s="91">
        <v>0</v>
      </c>
      <c r="H3682" s="91">
        <v>0</v>
      </c>
      <c r="I3682" s="91">
        <v>0</v>
      </c>
      <c r="J3682" s="41"/>
      <c r="K3682" s="41">
        <v>43677</v>
      </c>
      <c r="L3682" s="69" t="s">
        <v>80</v>
      </c>
      <c r="M3682" s="69" t="s">
        <v>286</v>
      </c>
      <c r="N3682" s="95"/>
      <c r="P3682" t="s">
        <v>95</v>
      </c>
      <c r="Q3682" t="s">
        <v>110</v>
      </c>
      <c r="R3682" s="92" t="s">
        <v>69</v>
      </c>
      <c r="S3682" s="92" t="s">
        <v>115</v>
      </c>
      <c r="V3682" s="95">
        <v>43677</v>
      </c>
      <c r="W3682" s="92" t="s">
        <v>416</v>
      </c>
      <c r="X3682" s="90"/>
      <c r="Y3682" s="123"/>
      <c r="Z3682" s="30">
        <f t="shared" si="114"/>
        <v>6763.7822038320437</v>
      </c>
      <c r="AA3682" s="30">
        <f t="shared" si="115"/>
        <v>0</v>
      </c>
      <c r="AB3682" t="s">
        <v>457</v>
      </c>
    </row>
    <row r="3683" spans="1:28">
      <c r="A3683" t="s">
        <v>113</v>
      </c>
      <c r="C3683" s="92">
        <v>4615496808</v>
      </c>
      <c r="D3683" s="93">
        <v>19175</v>
      </c>
      <c r="F3683" s="91">
        <v>16</v>
      </c>
      <c r="G3683" s="91">
        <v>0</v>
      </c>
      <c r="H3683" s="91">
        <v>0</v>
      </c>
      <c r="I3683" s="91">
        <v>0</v>
      </c>
      <c r="J3683" s="41"/>
      <c r="K3683" s="41">
        <v>43677</v>
      </c>
      <c r="L3683" s="69" t="s">
        <v>80</v>
      </c>
      <c r="M3683" s="69" t="s">
        <v>286</v>
      </c>
      <c r="N3683" s="95"/>
      <c r="P3683" t="s">
        <v>95</v>
      </c>
      <c r="Q3683" t="s">
        <v>110</v>
      </c>
      <c r="R3683" s="92" t="s">
        <v>69</v>
      </c>
      <c r="S3683" s="92" t="s">
        <v>115</v>
      </c>
      <c r="V3683" s="95">
        <v>43677</v>
      </c>
      <c r="W3683" s="92" t="s">
        <v>416</v>
      </c>
      <c r="X3683" s="90"/>
      <c r="Y3683" s="123"/>
      <c r="Z3683" s="30">
        <f t="shared" si="114"/>
        <v>6763.7822038320437</v>
      </c>
      <c r="AA3683" s="30">
        <f t="shared" si="115"/>
        <v>0</v>
      </c>
      <c r="AB3683" t="s">
        <v>457</v>
      </c>
    </row>
    <row r="3684" spans="1:28">
      <c r="A3684" t="s">
        <v>113</v>
      </c>
      <c r="C3684" s="92">
        <v>4615496808</v>
      </c>
      <c r="D3684" s="93">
        <v>19175</v>
      </c>
      <c r="F3684" s="91">
        <v>16</v>
      </c>
      <c r="G3684" s="91">
        <v>0</v>
      </c>
      <c r="H3684" s="91">
        <v>0</v>
      </c>
      <c r="I3684" s="91">
        <v>0</v>
      </c>
      <c r="J3684" s="41"/>
      <c r="K3684" s="41">
        <v>43677</v>
      </c>
      <c r="L3684" s="69" t="s">
        <v>80</v>
      </c>
      <c r="M3684" s="69" t="s">
        <v>286</v>
      </c>
      <c r="N3684" s="95"/>
      <c r="P3684" t="s">
        <v>95</v>
      </c>
      <c r="Q3684" t="s">
        <v>110</v>
      </c>
      <c r="R3684" s="92" t="s">
        <v>69</v>
      </c>
      <c r="S3684" s="92" t="s">
        <v>115</v>
      </c>
      <c r="V3684" s="95">
        <v>43677</v>
      </c>
      <c r="W3684" s="92" t="s">
        <v>416</v>
      </c>
      <c r="X3684" s="90"/>
      <c r="Y3684" s="123"/>
      <c r="Z3684" s="30">
        <f t="shared" si="114"/>
        <v>6763.7822038320437</v>
      </c>
      <c r="AA3684" s="30">
        <f t="shared" si="115"/>
        <v>0</v>
      </c>
      <c r="AB3684" t="s">
        <v>457</v>
      </c>
    </row>
    <row r="3685" spans="1:28">
      <c r="A3685" t="s">
        <v>113</v>
      </c>
      <c r="C3685" s="92">
        <v>4615496808</v>
      </c>
      <c r="D3685" s="93">
        <v>19175</v>
      </c>
      <c r="F3685" s="91">
        <v>16</v>
      </c>
      <c r="G3685" s="91">
        <v>0</v>
      </c>
      <c r="H3685" s="91">
        <v>0</v>
      </c>
      <c r="I3685" s="91">
        <v>0</v>
      </c>
      <c r="J3685" s="41"/>
      <c r="K3685" s="41">
        <v>43677</v>
      </c>
      <c r="L3685" s="69" t="s">
        <v>80</v>
      </c>
      <c r="M3685" s="69" t="s">
        <v>286</v>
      </c>
      <c r="N3685" s="95"/>
      <c r="P3685" t="s">
        <v>95</v>
      </c>
      <c r="Q3685" t="s">
        <v>110</v>
      </c>
      <c r="R3685" s="92" t="s">
        <v>69</v>
      </c>
      <c r="S3685" s="92" t="s">
        <v>115</v>
      </c>
      <c r="V3685" s="95">
        <v>43677</v>
      </c>
      <c r="W3685" s="92" t="s">
        <v>416</v>
      </c>
      <c r="X3685" s="90"/>
      <c r="Y3685" s="123"/>
      <c r="Z3685" s="30">
        <f t="shared" si="114"/>
        <v>6763.7822038320437</v>
      </c>
      <c r="AA3685" s="30">
        <f t="shared" si="115"/>
        <v>0</v>
      </c>
      <c r="AB3685" t="s">
        <v>457</v>
      </c>
    </row>
    <row r="3686" spans="1:28">
      <c r="A3686" t="s">
        <v>113</v>
      </c>
      <c r="C3686" s="92">
        <v>4615496808</v>
      </c>
      <c r="D3686" s="93">
        <v>19175</v>
      </c>
      <c r="F3686" s="91">
        <v>16</v>
      </c>
      <c r="G3686" s="91">
        <v>0</v>
      </c>
      <c r="H3686" s="91">
        <v>0</v>
      </c>
      <c r="I3686" s="91">
        <v>0</v>
      </c>
      <c r="J3686" s="41"/>
      <c r="K3686" s="41">
        <v>43677</v>
      </c>
      <c r="L3686" s="69" t="s">
        <v>80</v>
      </c>
      <c r="M3686" s="69" t="s">
        <v>286</v>
      </c>
      <c r="N3686" s="95"/>
      <c r="P3686" t="s">
        <v>95</v>
      </c>
      <c r="Q3686" t="s">
        <v>110</v>
      </c>
      <c r="R3686" s="92" t="s">
        <v>69</v>
      </c>
      <c r="S3686" s="92" t="s">
        <v>115</v>
      </c>
      <c r="V3686" s="95">
        <v>43677</v>
      </c>
      <c r="W3686" s="92" t="s">
        <v>416</v>
      </c>
      <c r="X3686" s="90"/>
      <c r="Y3686" s="123"/>
      <c r="Z3686" s="30">
        <f t="shared" si="114"/>
        <v>6763.7822038320437</v>
      </c>
      <c r="AA3686" s="30">
        <f t="shared" si="115"/>
        <v>0</v>
      </c>
      <c r="AB3686" t="s">
        <v>457</v>
      </c>
    </row>
    <row r="3687" spans="1:28">
      <c r="A3687" t="s">
        <v>113</v>
      </c>
      <c r="C3687" s="92">
        <v>4615496808</v>
      </c>
      <c r="D3687" s="93">
        <v>19175</v>
      </c>
      <c r="F3687" s="91">
        <v>16</v>
      </c>
      <c r="G3687" s="91">
        <v>0</v>
      </c>
      <c r="H3687" s="91">
        <v>0</v>
      </c>
      <c r="I3687" s="91">
        <v>0</v>
      </c>
      <c r="J3687" s="41"/>
      <c r="K3687" s="41">
        <v>43677</v>
      </c>
      <c r="L3687" s="69" t="s">
        <v>80</v>
      </c>
      <c r="M3687" s="69" t="s">
        <v>286</v>
      </c>
      <c r="N3687" s="95"/>
      <c r="P3687" t="s">
        <v>95</v>
      </c>
      <c r="Q3687" t="s">
        <v>110</v>
      </c>
      <c r="R3687" s="92" t="s">
        <v>69</v>
      </c>
      <c r="S3687" s="92" t="s">
        <v>115</v>
      </c>
      <c r="V3687" s="95">
        <v>43677</v>
      </c>
      <c r="W3687" s="92" t="s">
        <v>416</v>
      </c>
      <c r="X3687" s="90"/>
      <c r="Y3687" s="123"/>
      <c r="Z3687" s="30">
        <f t="shared" si="114"/>
        <v>6763.7822038320437</v>
      </c>
      <c r="AA3687" s="30">
        <f t="shared" si="115"/>
        <v>0</v>
      </c>
      <c r="AB3687" t="s">
        <v>457</v>
      </c>
    </row>
    <row r="3688" spans="1:28">
      <c r="A3688" t="s">
        <v>113</v>
      </c>
      <c r="C3688" s="92">
        <v>4615496808</v>
      </c>
      <c r="D3688" s="93">
        <v>19175</v>
      </c>
      <c r="F3688" s="91">
        <v>16</v>
      </c>
      <c r="G3688" s="91">
        <v>0</v>
      </c>
      <c r="H3688" s="91">
        <v>0</v>
      </c>
      <c r="I3688" s="91">
        <v>0</v>
      </c>
      <c r="J3688" s="41"/>
      <c r="K3688" s="41">
        <v>43677</v>
      </c>
      <c r="L3688" s="69" t="s">
        <v>80</v>
      </c>
      <c r="M3688" s="69" t="s">
        <v>286</v>
      </c>
      <c r="N3688" s="95"/>
      <c r="P3688" t="s">
        <v>95</v>
      </c>
      <c r="Q3688" t="s">
        <v>110</v>
      </c>
      <c r="R3688" s="92" t="s">
        <v>69</v>
      </c>
      <c r="S3688" s="92" t="s">
        <v>115</v>
      </c>
      <c r="V3688" s="95">
        <v>43677</v>
      </c>
      <c r="W3688" s="92" t="s">
        <v>416</v>
      </c>
      <c r="X3688" s="90"/>
      <c r="Y3688" s="123"/>
      <c r="Z3688" s="30">
        <f t="shared" si="114"/>
        <v>6763.7822038320437</v>
      </c>
      <c r="AA3688" s="30">
        <f t="shared" si="115"/>
        <v>0</v>
      </c>
      <c r="AB3688" t="s">
        <v>457</v>
      </c>
    </row>
    <row r="3689" spans="1:28">
      <c r="A3689" t="s">
        <v>113</v>
      </c>
      <c r="C3689" s="92">
        <v>4615496808</v>
      </c>
      <c r="D3689" s="93">
        <v>19175</v>
      </c>
      <c r="F3689" s="91">
        <v>16</v>
      </c>
      <c r="G3689" s="91">
        <v>0</v>
      </c>
      <c r="H3689" s="91">
        <v>0</v>
      </c>
      <c r="I3689" s="91">
        <v>0</v>
      </c>
      <c r="J3689" s="41"/>
      <c r="K3689" s="41">
        <v>43677</v>
      </c>
      <c r="L3689" s="69" t="s">
        <v>80</v>
      </c>
      <c r="M3689" s="69" t="s">
        <v>286</v>
      </c>
      <c r="N3689" s="95"/>
      <c r="P3689" t="s">
        <v>95</v>
      </c>
      <c r="Q3689" t="s">
        <v>110</v>
      </c>
      <c r="R3689" s="92" t="s">
        <v>69</v>
      </c>
      <c r="S3689" s="92" t="s">
        <v>115</v>
      </c>
      <c r="V3689" s="95">
        <v>43677</v>
      </c>
      <c r="W3689" s="92" t="s">
        <v>416</v>
      </c>
      <c r="X3689" s="90"/>
      <c r="Y3689" s="123"/>
      <c r="Z3689" s="30">
        <f t="shared" si="114"/>
        <v>6763.7822038320437</v>
      </c>
      <c r="AA3689" s="30">
        <f t="shared" si="115"/>
        <v>0</v>
      </c>
      <c r="AB3689" t="s">
        <v>457</v>
      </c>
    </row>
    <row r="3690" spans="1:28">
      <c r="A3690" t="s">
        <v>113</v>
      </c>
      <c r="C3690" s="92">
        <v>4615496808</v>
      </c>
      <c r="D3690" s="93">
        <v>19175</v>
      </c>
      <c r="F3690" s="91">
        <v>16</v>
      </c>
      <c r="G3690" s="91">
        <v>0</v>
      </c>
      <c r="H3690" s="91">
        <v>0</v>
      </c>
      <c r="I3690" s="91">
        <v>0</v>
      </c>
      <c r="J3690" s="41"/>
      <c r="K3690" s="41">
        <v>43677</v>
      </c>
      <c r="L3690" s="69" t="s">
        <v>80</v>
      </c>
      <c r="M3690" s="69" t="s">
        <v>286</v>
      </c>
      <c r="N3690" s="95"/>
      <c r="P3690" t="s">
        <v>95</v>
      </c>
      <c r="Q3690" t="s">
        <v>110</v>
      </c>
      <c r="R3690" s="92" t="s">
        <v>69</v>
      </c>
      <c r="S3690" s="92" t="s">
        <v>115</v>
      </c>
      <c r="V3690" s="95">
        <v>43677</v>
      </c>
      <c r="W3690" s="92" t="s">
        <v>416</v>
      </c>
      <c r="X3690" s="90"/>
      <c r="Y3690" s="123"/>
      <c r="Z3690" s="30">
        <f t="shared" si="114"/>
        <v>6763.7822038320437</v>
      </c>
      <c r="AA3690" s="30">
        <f t="shared" si="115"/>
        <v>0</v>
      </c>
      <c r="AB3690" t="s">
        <v>457</v>
      </c>
    </row>
    <row r="3691" spans="1:28">
      <c r="A3691" t="s">
        <v>113</v>
      </c>
      <c r="C3691" s="92">
        <v>4615496808</v>
      </c>
      <c r="D3691" s="93">
        <v>19175</v>
      </c>
      <c r="F3691" s="91">
        <v>16</v>
      </c>
      <c r="G3691" s="91">
        <v>0</v>
      </c>
      <c r="H3691" s="91">
        <v>0</v>
      </c>
      <c r="I3691" s="91">
        <v>0</v>
      </c>
      <c r="J3691" s="41"/>
      <c r="K3691" s="41">
        <v>43677</v>
      </c>
      <c r="L3691" s="69" t="s">
        <v>80</v>
      </c>
      <c r="M3691" s="69" t="s">
        <v>286</v>
      </c>
      <c r="N3691" s="95"/>
      <c r="P3691" t="s">
        <v>95</v>
      </c>
      <c r="Q3691" t="s">
        <v>110</v>
      </c>
      <c r="R3691" s="92" t="s">
        <v>69</v>
      </c>
      <c r="S3691" s="92" t="s">
        <v>115</v>
      </c>
      <c r="V3691" s="95">
        <v>43677</v>
      </c>
      <c r="W3691" s="92" t="s">
        <v>416</v>
      </c>
      <c r="X3691" s="90"/>
      <c r="Y3691" s="123"/>
      <c r="Z3691" s="30">
        <f t="shared" si="114"/>
        <v>6763.7822038320437</v>
      </c>
      <c r="AA3691" s="30">
        <f t="shared" si="115"/>
        <v>0</v>
      </c>
      <c r="AB3691" t="s">
        <v>457</v>
      </c>
    </row>
    <row r="3692" spans="1:28">
      <c r="A3692" t="s">
        <v>113</v>
      </c>
      <c r="C3692" s="92">
        <v>4615496808</v>
      </c>
      <c r="D3692" s="93">
        <v>19175</v>
      </c>
      <c r="F3692" s="91">
        <v>16</v>
      </c>
      <c r="G3692" s="91">
        <v>0</v>
      </c>
      <c r="H3692" s="91">
        <v>0</v>
      </c>
      <c r="I3692" s="91">
        <v>0</v>
      </c>
      <c r="J3692" s="41"/>
      <c r="K3692" s="41">
        <v>43677</v>
      </c>
      <c r="L3692" s="69" t="s">
        <v>80</v>
      </c>
      <c r="M3692" s="69" t="s">
        <v>286</v>
      </c>
      <c r="N3692" s="95"/>
      <c r="P3692" t="s">
        <v>95</v>
      </c>
      <c r="Q3692" t="s">
        <v>110</v>
      </c>
      <c r="R3692" s="92" t="s">
        <v>69</v>
      </c>
      <c r="S3692" s="92" t="s">
        <v>115</v>
      </c>
      <c r="V3692" s="95">
        <v>43677</v>
      </c>
      <c r="W3692" s="92" t="s">
        <v>416</v>
      </c>
      <c r="X3692" s="90"/>
      <c r="Y3692" s="123"/>
      <c r="Z3692" s="30">
        <f t="shared" si="114"/>
        <v>6763.7822038320437</v>
      </c>
      <c r="AA3692" s="30">
        <f t="shared" si="115"/>
        <v>0</v>
      </c>
      <c r="AB3692" t="s">
        <v>457</v>
      </c>
    </row>
    <row r="3693" spans="1:28">
      <c r="A3693" t="s">
        <v>113</v>
      </c>
      <c r="C3693" s="92">
        <v>4615496808</v>
      </c>
      <c r="D3693" s="93">
        <v>19175</v>
      </c>
      <c r="F3693" s="91">
        <v>16</v>
      </c>
      <c r="G3693" s="91">
        <v>0</v>
      </c>
      <c r="H3693" s="91">
        <v>0</v>
      </c>
      <c r="I3693" s="91">
        <v>0</v>
      </c>
      <c r="J3693" s="41"/>
      <c r="K3693" s="41">
        <v>43677</v>
      </c>
      <c r="L3693" s="69" t="s">
        <v>80</v>
      </c>
      <c r="M3693" s="69" t="s">
        <v>286</v>
      </c>
      <c r="N3693" s="95"/>
      <c r="P3693" t="s">
        <v>95</v>
      </c>
      <c r="Q3693" t="s">
        <v>110</v>
      </c>
      <c r="R3693" s="92" t="s">
        <v>69</v>
      </c>
      <c r="S3693" s="92" t="s">
        <v>115</v>
      </c>
      <c r="V3693" s="95">
        <v>43677</v>
      </c>
      <c r="W3693" s="92" t="s">
        <v>416</v>
      </c>
      <c r="X3693" s="90"/>
      <c r="Y3693" s="123"/>
      <c r="Z3693" s="30">
        <f t="shared" si="114"/>
        <v>6763.7822038320437</v>
      </c>
      <c r="AA3693" s="30">
        <f t="shared" si="115"/>
        <v>0</v>
      </c>
      <c r="AB3693" t="s">
        <v>457</v>
      </c>
    </row>
    <row r="3694" spans="1:28">
      <c r="A3694" t="s">
        <v>113</v>
      </c>
      <c r="C3694" s="92">
        <v>4615496808</v>
      </c>
      <c r="D3694" s="93">
        <v>19175</v>
      </c>
      <c r="F3694" s="91">
        <v>16</v>
      </c>
      <c r="G3694" s="91">
        <v>0</v>
      </c>
      <c r="H3694" s="91">
        <v>0</v>
      </c>
      <c r="I3694" s="91">
        <v>0</v>
      </c>
      <c r="J3694" s="41"/>
      <c r="K3694" s="41">
        <v>43677</v>
      </c>
      <c r="L3694" s="69" t="s">
        <v>80</v>
      </c>
      <c r="M3694" s="69" t="s">
        <v>286</v>
      </c>
      <c r="N3694" s="95"/>
      <c r="P3694" t="s">
        <v>95</v>
      </c>
      <c r="Q3694" t="s">
        <v>110</v>
      </c>
      <c r="R3694" s="92" t="s">
        <v>69</v>
      </c>
      <c r="S3694" s="92" t="s">
        <v>115</v>
      </c>
      <c r="V3694" s="95">
        <v>43677</v>
      </c>
      <c r="W3694" s="92" t="s">
        <v>416</v>
      </c>
      <c r="X3694" s="90"/>
      <c r="Y3694" s="123"/>
      <c r="Z3694" s="30">
        <f t="shared" si="114"/>
        <v>6763.7822038320437</v>
      </c>
      <c r="AA3694" s="30">
        <f t="shared" si="115"/>
        <v>0</v>
      </c>
      <c r="AB3694" t="s">
        <v>457</v>
      </c>
    </row>
    <row r="3695" spans="1:28">
      <c r="A3695" t="s">
        <v>113</v>
      </c>
      <c r="C3695" s="92">
        <v>4615496808</v>
      </c>
      <c r="D3695" s="93">
        <v>19175</v>
      </c>
      <c r="F3695" s="91">
        <v>16</v>
      </c>
      <c r="G3695" s="91">
        <v>0</v>
      </c>
      <c r="H3695" s="91">
        <v>0</v>
      </c>
      <c r="I3695" s="91">
        <v>0</v>
      </c>
      <c r="J3695" s="41"/>
      <c r="K3695" s="41">
        <v>43677</v>
      </c>
      <c r="L3695" s="69" t="s">
        <v>80</v>
      </c>
      <c r="M3695" s="69" t="s">
        <v>286</v>
      </c>
      <c r="N3695" s="95"/>
      <c r="P3695" t="s">
        <v>95</v>
      </c>
      <c r="Q3695" t="s">
        <v>110</v>
      </c>
      <c r="R3695" s="92" t="s">
        <v>69</v>
      </c>
      <c r="S3695" s="92" t="s">
        <v>115</v>
      </c>
      <c r="V3695" s="95">
        <v>43677</v>
      </c>
      <c r="W3695" s="92" t="s">
        <v>416</v>
      </c>
      <c r="X3695" s="90"/>
      <c r="Y3695" s="123"/>
      <c r="Z3695" s="30">
        <f t="shared" si="114"/>
        <v>6763.7822038320437</v>
      </c>
      <c r="AA3695" s="30">
        <f t="shared" si="115"/>
        <v>0</v>
      </c>
      <c r="AB3695" t="s">
        <v>457</v>
      </c>
    </row>
    <row r="3696" spans="1:28">
      <c r="A3696" t="s">
        <v>113</v>
      </c>
      <c r="C3696" s="92">
        <v>4615496808</v>
      </c>
      <c r="D3696" s="93">
        <v>19175</v>
      </c>
      <c r="F3696" s="91">
        <v>16</v>
      </c>
      <c r="G3696" s="91">
        <v>0</v>
      </c>
      <c r="H3696" s="91">
        <v>0</v>
      </c>
      <c r="I3696" s="91">
        <v>0</v>
      </c>
      <c r="J3696" s="41"/>
      <c r="K3696" s="41">
        <v>43677</v>
      </c>
      <c r="L3696" s="69" t="s">
        <v>80</v>
      </c>
      <c r="M3696" s="69" t="s">
        <v>286</v>
      </c>
      <c r="N3696" s="95"/>
      <c r="P3696" t="s">
        <v>95</v>
      </c>
      <c r="Q3696" t="s">
        <v>110</v>
      </c>
      <c r="R3696" s="92" t="s">
        <v>69</v>
      </c>
      <c r="S3696" s="92" t="s">
        <v>115</v>
      </c>
      <c r="V3696" s="95">
        <v>43677</v>
      </c>
      <c r="W3696" s="92" t="s">
        <v>416</v>
      </c>
      <c r="X3696" s="90"/>
      <c r="Y3696" s="123"/>
      <c r="Z3696" s="30">
        <f t="shared" si="114"/>
        <v>6763.7822038320437</v>
      </c>
      <c r="AA3696" s="30">
        <f t="shared" si="115"/>
        <v>0</v>
      </c>
      <c r="AB3696" t="s">
        <v>457</v>
      </c>
    </row>
    <row r="3697" spans="1:28">
      <c r="A3697" t="s">
        <v>113</v>
      </c>
      <c r="C3697" s="92">
        <v>4615496808</v>
      </c>
      <c r="D3697" s="93">
        <v>19175</v>
      </c>
      <c r="F3697" s="91">
        <v>16</v>
      </c>
      <c r="G3697" s="91">
        <v>0</v>
      </c>
      <c r="H3697" s="91">
        <v>0</v>
      </c>
      <c r="I3697" s="91">
        <v>0</v>
      </c>
      <c r="J3697" s="41"/>
      <c r="K3697" s="41">
        <v>43677</v>
      </c>
      <c r="L3697" s="69" t="s">
        <v>80</v>
      </c>
      <c r="M3697" s="69" t="s">
        <v>286</v>
      </c>
      <c r="N3697" s="95"/>
      <c r="P3697" t="s">
        <v>95</v>
      </c>
      <c r="Q3697" t="s">
        <v>110</v>
      </c>
      <c r="R3697" s="92" t="s">
        <v>69</v>
      </c>
      <c r="S3697" s="92" t="s">
        <v>115</v>
      </c>
      <c r="V3697" s="95">
        <v>43677</v>
      </c>
      <c r="W3697" s="92" t="s">
        <v>416</v>
      </c>
      <c r="X3697" s="90"/>
      <c r="Y3697" s="123"/>
      <c r="Z3697" s="30">
        <f t="shared" si="114"/>
        <v>6763.7822038320437</v>
      </c>
      <c r="AA3697" s="30">
        <f t="shared" si="115"/>
        <v>0</v>
      </c>
      <c r="AB3697" t="s">
        <v>457</v>
      </c>
    </row>
    <row r="3698" spans="1:28">
      <c r="A3698" t="s">
        <v>113</v>
      </c>
      <c r="C3698" s="92">
        <v>4615496808</v>
      </c>
      <c r="D3698" s="93">
        <v>19175</v>
      </c>
      <c r="F3698" s="91">
        <v>16</v>
      </c>
      <c r="G3698" s="91">
        <v>0</v>
      </c>
      <c r="H3698" s="91">
        <v>0</v>
      </c>
      <c r="I3698" s="91">
        <v>0</v>
      </c>
      <c r="J3698" s="41"/>
      <c r="K3698" s="41">
        <v>43677</v>
      </c>
      <c r="L3698" s="69" t="s">
        <v>80</v>
      </c>
      <c r="M3698" s="69" t="s">
        <v>286</v>
      </c>
      <c r="N3698" s="95"/>
      <c r="P3698" t="s">
        <v>95</v>
      </c>
      <c r="Q3698" t="s">
        <v>110</v>
      </c>
      <c r="R3698" s="92" t="s">
        <v>69</v>
      </c>
      <c r="S3698" s="92" t="s">
        <v>115</v>
      </c>
      <c r="V3698" s="95">
        <v>43677</v>
      </c>
      <c r="W3698" s="92" t="s">
        <v>416</v>
      </c>
      <c r="X3698" s="90"/>
      <c r="Y3698" s="123"/>
      <c r="Z3698" s="30">
        <f t="shared" si="114"/>
        <v>6763.7822038320437</v>
      </c>
      <c r="AA3698" s="30">
        <f t="shared" si="115"/>
        <v>0</v>
      </c>
      <c r="AB3698" t="s">
        <v>457</v>
      </c>
    </row>
    <row r="3699" spans="1:28">
      <c r="A3699" t="s">
        <v>113</v>
      </c>
      <c r="C3699" s="92">
        <v>4615496808</v>
      </c>
      <c r="D3699" s="93">
        <v>19175</v>
      </c>
      <c r="F3699" s="91">
        <v>16</v>
      </c>
      <c r="G3699" s="91">
        <v>0</v>
      </c>
      <c r="H3699" s="91">
        <v>0</v>
      </c>
      <c r="I3699" s="91">
        <v>0</v>
      </c>
      <c r="J3699" s="41"/>
      <c r="K3699" s="41">
        <v>43677</v>
      </c>
      <c r="L3699" s="69" t="s">
        <v>80</v>
      </c>
      <c r="M3699" s="69" t="s">
        <v>286</v>
      </c>
      <c r="N3699" s="95"/>
      <c r="P3699" t="s">
        <v>95</v>
      </c>
      <c r="Q3699" t="s">
        <v>110</v>
      </c>
      <c r="R3699" s="92" t="s">
        <v>69</v>
      </c>
      <c r="S3699" s="92" t="s">
        <v>115</v>
      </c>
      <c r="V3699" s="95">
        <v>43677</v>
      </c>
      <c r="W3699" s="92" t="s">
        <v>416</v>
      </c>
      <c r="X3699" s="90"/>
      <c r="Y3699" s="123"/>
      <c r="Z3699" s="30">
        <f t="shared" si="114"/>
        <v>6763.7822038320437</v>
      </c>
      <c r="AA3699" s="30">
        <f t="shared" si="115"/>
        <v>0</v>
      </c>
      <c r="AB3699" t="s">
        <v>457</v>
      </c>
    </row>
    <row r="3700" spans="1:28">
      <c r="A3700" t="s">
        <v>113</v>
      </c>
      <c r="C3700" s="92">
        <v>4615496808</v>
      </c>
      <c r="D3700" s="93">
        <v>19175</v>
      </c>
      <c r="F3700" s="91">
        <v>16</v>
      </c>
      <c r="G3700" s="91">
        <v>0</v>
      </c>
      <c r="H3700" s="91">
        <v>0</v>
      </c>
      <c r="I3700" s="91">
        <v>0</v>
      </c>
      <c r="J3700" s="41"/>
      <c r="K3700" s="41">
        <v>43677</v>
      </c>
      <c r="L3700" s="69" t="s">
        <v>80</v>
      </c>
      <c r="M3700" s="69" t="s">
        <v>286</v>
      </c>
      <c r="N3700" s="95"/>
      <c r="P3700" t="s">
        <v>95</v>
      </c>
      <c r="Q3700" t="s">
        <v>110</v>
      </c>
      <c r="R3700" s="92" t="s">
        <v>69</v>
      </c>
      <c r="S3700" s="92" t="s">
        <v>115</v>
      </c>
      <c r="V3700" s="95">
        <v>43677</v>
      </c>
      <c r="W3700" s="92" t="s">
        <v>416</v>
      </c>
      <c r="X3700" s="90"/>
      <c r="Y3700" s="123"/>
      <c r="Z3700" s="30">
        <f t="shared" si="114"/>
        <v>6763.7822038320437</v>
      </c>
      <c r="AA3700" s="30">
        <f t="shared" si="115"/>
        <v>0</v>
      </c>
      <c r="AB3700" t="s">
        <v>457</v>
      </c>
    </row>
    <row r="3701" spans="1:28">
      <c r="A3701" t="s">
        <v>113</v>
      </c>
      <c r="C3701" s="92">
        <v>4615496808</v>
      </c>
      <c r="D3701" s="93">
        <v>19175</v>
      </c>
      <c r="F3701" s="91">
        <v>16</v>
      </c>
      <c r="G3701" s="91">
        <v>0</v>
      </c>
      <c r="H3701" s="91">
        <v>0</v>
      </c>
      <c r="I3701" s="91">
        <v>0</v>
      </c>
      <c r="J3701" s="41"/>
      <c r="K3701" s="41">
        <v>43677</v>
      </c>
      <c r="L3701" s="69" t="s">
        <v>80</v>
      </c>
      <c r="M3701" s="69" t="s">
        <v>286</v>
      </c>
      <c r="N3701" s="95"/>
      <c r="P3701" t="s">
        <v>95</v>
      </c>
      <c r="Q3701" t="s">
        <v>110</v>
      </c>
      <c r="R3701" s="92" t="s">
        <v>69</v>
      </c>
      <c r="S3701" s="92" t="s">
        <v>115</v>
      </c>
      <c r="V3701" s="95">
        <v>43677</v>
      </c>
      <c r="W3701" s="92" t="s">
        <v>416</v>
      </c>
      <c r="X3701" s="90"/>
      <c r="Y3701" s="123"/>
      <c r="Z3701" s="30">
        <f t="shared" si="114"/>
        <v>6763.7822038320437</v>
      </c>
      <c r="AA3701" s="30">
        <f t="shared" si="115"/>
        <v>0</v>
      </c>
      <c r="AB3701" t="s">
        <v>457</v>
      </c>
    </row>
    <row r="3702" spans="1:28">
      <c r="A3702" t="s">
        <v>113</v>
      </c>
      <c r="C3702" s="92">
        <v>4615496808</v>
      </c>
      <c r="D3702" s="93">
        <v>19175</v>
      </c>
      <c r="F3702" s="91">
        <v>16</v>
      </c>
      <c r="G3702" s="91">
        <v>0</v>
      </c>
      <c r="H3702" s="91">
        <v>0</v>
      </c>
      <c r="I3702" s="91">
        <v>0</v>
      </c>
      <c r="J3702" s="41"/>
      <c r="K3702" s="41">
        <v>43677</v>
      </c>
      <c r="L3702" s="69" t="s">
        <v>80</v>
      </c>
      <c r="M3702" s="69" t="s">
        <v>286</v>
      </c>
      <c r="N3702" s="95"/>
      <c r="P3702" t="s">
        <v>95</v>
      </c>
      <c r="Q3702" t="s">
        <v>110</v>
      </c>
      <c r="R3702" s="92" t="s">
        <v>69</v>
      </c>
      <c r="S3702" s="92" t="s">
        <v>115</v>
      </c>
      <c r="V3702" s="95">
        <v>43677</v>
      </c>
      <c r="W3702" s="92" t="s">
        <v>416</v>
      </c>
      <c r="X3702" s="90"/>
      <c r="Y3702" s="123"/>
      <c r="Z3702" s="30">
        <f t="shared" si="114"/>
        <v>6763.7822038320437</v>
      </c>
      <c r="AA3702" s="30">
        <f t="shared" si="115"/>
        <v>0</v>
      </c>
      <c r="AB3702" t="s">
        <v>457</v>
      </c>
    </row>
    <row r="3703" spans="1:28">
      <c r="A3703" t="s">
        <v>113</v>
      </c>
      <c r="C3703" s="92">
        <v>4615507573</v>
      </c>
      <c r="D3703" s="93">
        <v>19175</v>
      </c>
      <c r="F3703" s="91">
        <v>16</v>
      </c>
      <c r="G3703" s="91">
        <v>5</v>
      </c>
      <c r="H3703" s="91">
        <v>0</v>
      </c>
      <c r="I3703" s="91">
        <v>0</v>
      </c>
      <c r="J3703" s="41"/>
      <c r="K3703" s="41">
        <v>43677</v>
      </c>
      <c r="L3703" s="69" t="s">
        <v>80</v>
      </c>
      <c r="M3703" s="69" t="s">
        <v>286</v>
      </c>
      <c r="N3703" s="95"/>
      <c r="P3703" t="s">
        <v>95</v>
      </c>
      <c r="Q3703" t="s">
        <v>110</v>
      </c>
      <c r="R3703" s="92" t="s">
        <v>69</v>
      </c>
      <c r="S3703" s="92" t="s">
        <v>115</v>
      </c>
      <c r="V3703" s="95">
        <v>43677</v>
      </c>
      <c r="W3703" s="92" t="s">
        <v>417</v>
      </c>
      <c r="X3703" s="90"/>
      <c r="Y3703" s="123"/>
      <c r="Z3703" s="30">
        <f t="shared" si="114"/>
        <v>6763.7822038320437</v>
      </c>
      <c r="AA3703" s="30">
        <f t="shared" si="115"/>
        <v>2113.6819386975139</v>
      </c>
      <c r="AB3703" t="s">
        <v>457</v>
      </c>
    </row>
    <row r="3704" spans="1:28">
      <c r="A3704" t="s">
        <v>113</v>
      </c>
      <c r="C3704" s="92">
        <v>4615507573</v>
      </c>
      <c r="D3704" s="93">
        <v>19175</v>
      </c>
      <c r="F3704" s="91">
        <v>16</v>
      </c>
      <c r="G3704" s="91">
        <v>5</v>
      </c>
      <c r="H3704" s="91">
        <v>0</v>
      </c>
      <c r="I3704" s="91">
        <v>0</v>
      </c>
      <c r="J3704" s="41"/>
      <c r="K3704" s="41">
        <v>43677</v>
      </c>
      <c r="L3704" s="69" t="s">
        <v>80</v>
      </c>
      <c r="M3704" s="69" t="s">
        <v>286</v>
      </c>
      <c r="N3704" s="95"/>
      <c r="P3704" t="s">
        <v>95</v>
      </c>
      <c r="Q3704" t="s">
        <v>110</v>
      </c>
      <c r="R3704" s="92" t="s">
        <v>69</v>
      </c>
      <c r="S3704" s="92" t="s">
        <v>115</v>
      </c>
      <c r="V3704" s="95">
        <v>43677</v>
      </c>
      <c r="W3704" s="92" t="s">
        <v>417</v>
      </c>
      <c r="X3704" s="90"/>
      <c r="Y3704" s="123"/>
      <c r="Z3704" s="30">
        <f t="shared" si="114"/>
        <v>6763.7822038320437</v>
      </c>
      <c r="AA3704" s="30">
        <f t="shared" si="115"/>
        <v>2113.6819386975139</v>
      </c>
      <c r="AB3704" t="s">
        <v>457</v>
      </c>
    </row>
    <row r="3705" spans="1:28">
      <c r="A3705" t="s">
        <v>113</v>
      </c>
      <c r="C3705" s="92">
        <v>4615507573</v>
      </c>
      <c r="D3705" s="93">
        <v>19175</v>
      </c>
      <c r="F3705" s="91">
        <v>16</v>
      </c>
      <c r="G3705" s="91">
        <v>5</v>
      </c>
      <c r="H3705" s="91">
        <v>0</v>
      </c>
      <c r="I3705" s="91">
        <v>0</v>
      </c>
      <c r="J3705" s="41"/>
      <c r="K3705" s="41">
        <v>43677</v>
      </c>
      <c r="L3705" s="69" t="s">
        <v>80</v>
      </c>
      <c r="M3705" s="69" t="s">
        <v>286</v>
      </c>
      <c r="N3705" s="95"/>
      <c r="P3705" t="s">
        <v>95</v>
      </c>
      <c r="Q3705" t="s">
        <v>110</v>
      </c>
      <c r="R3705" s="92" t="s">
        <v>69</v>
      </c>
      <c r="S3705" s="92" t="s">
        <v>115</v>
      </c>
      <c r="V3705" s="95">
        <v>43677</v>
      </c>
      <c r="W3705" s="92" t="s">
        <v>417</v>
      </c>
      <c r="X3705" s="90"/>
      <c r="Y3705" s="123"/>
      <c r="Z3705" s="30">
        <f t="shared" si="114"/>
        <v>6763.7822038320437</v>
      </c>
      <c r="AA3705" s="30">
        <f t="shared" si="115"/>
        <v>2113.6819386975139</v>
      </c>
      <c r="AB3705" t="s">
        <v>457</v>
      </c>
    </row>
    <row r="3706" spans="1:28">
      <c r="A3706" t="s">
        <v>113</v>
      </c>
      <c r="C3706" s="92">
        <v>4615507573</v>
      </c>
      <c r="D3706" s="93">
        <v>19175</v>
      </c>
      <c r="F3706" s="91">
        <v>16</v>
      </c>
      <c r="G3706" s="91">
        <v>5</v>
      </c>
      <c r="H3706" s="91">
        <v>0</v>
      </c>
      <c r="I3706" s="91">
        <v>0</v>
      </c>
      <c r="J3706" s="41"/>
      <c r="K3706" s="41">
        <v>43677</v>
      </c>
      <c r="L3706" s="69" t="s">
        <v>80</v>
      </c>
      <c r="M3706" s="69" t="s">
        <v>286</v>
      </c>
      <c r="N3706" s="95"/>
      <c r="P3706" t="s">
        <v>95</v>
      </c>
      <c r="Q3706" t="s">
        <v>110</v>
      </c>
      <c r="R3706" s="92" t="s">
        <v>69</v>
      </c>
      <c r="S3706" s="92" t="s">
        <v>115</v>
      </c>
      <c r="V3706" s="95">
        <v>43677</v>
      </c>
      <c r="W3706" s="92" t="s">
        <v>417</v>
      </c>
      <c r="X3706" s="90"/>
      <c r="Y3706" s="123"/>
      <c r="Z3706" s="30">
        <f t="shared" si="114"/>
        <v>6763.7822038320437</v>
      </c>
      <c r="AA3706" s="30">
        <f t="shared" si="115"/>
        <v>2113.6819386975139</v>
      </c>
      <c r="AB3706" t="s">
        <v>457</v>
      </c>
    </row>
    <row r="3707" spans="1:28">
      <c r="A3707" t="s">
        <v>113</v>
      </c>
      <c r="C3707" s="92">
        <v>4615507573</v>
      </c>
      <c r="D3707" s="93">
        <v>19175</v>
      </c>
      <c r="F3707" s="91">
        <v>16</v>
      </c>
      <c r="G3707" s="91">
        <v>5</v>
      </c>
      <c r="H3707" s="91">
        <v>0</v>
      </c>
      <c r="I3707" s="91">
        <v>0</v>
      </c>
      <c r="J3707" s="41"/>
      <c r="K3707" s="41">
        <v>43677</v>
      </c>
      <c r="L3707" s="69" t="s">
        <v>80</v>
      </c>
      <c r="M3707" s="69" t="s">
        <v>286</v>
      </c>
      <c r="N3707" s="95"/>
      <c r="P3707" t="s">
        <v>95</v>
      </c>
      <c r="Q3707" t="s">
        <v>110</v>
      </c>
      <c r="R3707" s="92" t="s">
        <v>69</v>
      </c>
      <c r="S3707" s="92" t="s">
        <v>115</v>
      </c>
      <c r="V3707" s="95">
        <v>43677</v>
      </c>
      <c r="W3707" s="92" t="s">
        <v>417</v>
      </c>
      <c r="X3707" s="90"/>
      <c r="Y3707" s="123"/>
      <c r="Z3707" s="30">
        <f t="shared" si="114"/>
        <v>6763.7822038320437</v>
      </c>
      <c r="AA3707" s="30">
        <f t="shared" si="115"/>
        <v>2113.6819386975139</v>
      </c>
      <c r="AB3707" t="s">
        <v>457</v>
      </c>
    </row>
    <row r="3708" spans="1:28">
      <c r="A3708" t="s">
        <v>113</v>
      </c>
      <c r="C3708" s="92">
        <v>4615507573</v>
      </c>
      <c r="D3708" s="93">
        <v>19175</v>
      </c>
      <c r="F3708" s="91">
        <v>16</v>
      </c>
      <c r="G3708" s="91">
        <v>5</v>
      </c>
      <c r="H3708" s="91">
        <v>0</v>
      </c>
      <c r="I3708" s="91">
        <v>0</v>
      </c>
      <c r="J3708" s="41"/>
      <c r="K3708" s="41">
        <v>43677</v>
      </c>
      <c r="L3708" s="69" t="s">
        <v>80</v>
      </c>
      <c r="M3708" s="69" t="s">
        <v>286</v>
      </c>
      <c r="N3708" s="95"/>
      <c r="P3708" t="s">
        <v>95</v>
      </c>
      <c r="Q3708" t="s">
        <v>110</v>
      </c>
      <c r="R3708" s="92" t="s">
        <v>69</v>
      </c>
      <c r="S3708" s="92" t="s">
        <v>115</v>
      </c>
      <c r="V3708" s="95">
        <v>43677</v>
      </c>
      <c r="W3708" s="92" t="s">
        <v>417</v>
      </c>
      <c r="X3708" s="90"/>
      <c r="Y3708" s="123"/>
      <c r="Z3708" s="30">
        <f t="shared" si="114"/>
        <v>6763.7822038320437</v>
      </c>
      <c r="AA3708" s="30">
        <f t="shared" si="115"/>
        <v>2113.6819386975139</v>
      </c>
      <c r="AB3708" t="s">
        <v>457</v>
      </c>
    </row>
    <row r="3709" spans="1:28">
      <c r="A3709" t="s">
        <v>113</v>
      </c>
      <c r="C3709" s="92">
        <v>4615507573</v>
      </c>
      <c r="D3709" s="93">
        <v>19175</v>
      </c>
      <c r="F3709" s="91">
        <v>16</v>
      </c>
      <c r="G3709" s="91">
        <v>5</v>
      </c>
      <c r="H3709" s="91">
        <v>0</v>
      </c>
      <c r="I3709" s="91">
        <v>0</v>
      </c>
      <c r="J3709" s="41"/>
      <c r="K3709" s="41">
        <v>43677</v>
      </c>
      <c r="L3709" s="69" t="s">
        <v>80</v>
      </c>
      <c r="M3709" s="69" t="s">
        <v>286</v>
      </c>
      <c r="N3709" s="95"/>
      <c r="P3709" t="s">
        <v>95</v>
      </c>
      <c r="Q3709" t="s">
        <v>110</v>
      </c>
      <c r="R3709" s="92" t="s">
        <v>69</v>
      </c>
      <c r="S3709" s="92" t="s">
        <v>115</v>
      </c>
      <c r="V3709" s="95">
        <v>43677</v>
      </c>
      <c r="W3709" s="92" t="s">
        <v>417</v>
      </c>
      <c r="X3709" s="90"/>
      <c r="Y3709" s="123"/>
      <c r="Z3709" s="30">
        <f t="shared" si="114"/>
        <v>6763.7822038320437</v>
      </c>
      <c r="AA3709" s="30">
        <f t="shared" si="115"/>
        <v>2113.6819386975139</v>
      </c>
      <c r="AB3709" t="s">
        <v>457</v>
      </c>
    </row>
    <row r="3710" spans="1:28">
      <c r="A3710" t="s">
        <v>113</v>
      </c>
      <c r="C3710" s="92">
        <v>4615507573</v>
      </c>
      <c r="D3710" s="93">
        <v>19175</v>
      </c>
      <c r="F3710" s="91">
        <v>16</v>
      </c>
      <c r="G3710" s="91">
        <v>5</v>
      </c>
      <c r="H3710" s="91">
        <v>0</v>
      </c>
      <c r="I3710" s="91">
        <v>0</v>
      </c>
      <c r="J3710" s="41"/>
      <c r="K3710" s="41">
        <v>43677</v>
      </c>
      <c r="L3710" s="69" t="s">
        <v>80</v>
      </c>
      <c r="M3710" s="69" t="s">
        <v>286</v>
      </c>
      <c r="N3710" s="95"/>
      <c r="P3710" t="s">
        <v>95</v>
      </c>
      <c r="Q3710" t="s">
        <v>110</v>
      </c>
      <c r="R3710" s="92" t="s">
        <v>69</v>
      </c>
      <c r="S3710" s="92" t="s">
        <v>115</v>
      </c>
      <c r="V3710" s="95">
        <v>43677</v>
      </c>
      <c r="W3710" s="92" t="s">
        <v>417</v>
      </c>
      <c r="X3710" s="90"/>
      <c r="Y3710" s="123"/>
      <c r="Z3710" s="30">
        <f t="shared" si="114"/>
        <v>6763.7822038320437</v>
      </c>
      <c r="AA3710" s="30">
        <f t="shared" si="115"/>
        <v>2113.6819386975139</v>
      </c>
      <c r="AB3710" t="s">
        <v>457</v>
      </c>
    </row>
    <row r="3711" spans="1:28">
      <c r="A3711" t="s">
        <v>113</v>
      </c>
      <c r="C3711" s="92">
        <v>4615507573</v>
      </c>
      <c r="D3711" s="93">
        <v>19175</v>
      </c>
      <c r="F3711" s="91">
        <v>16</v>
      </c>
      <c r="G3711" s="91">
        <v>5</v>
      </c>
      <c r="H3711" s="91">
        <v>0</v>
      </c>
      <c r="I3711" s="91">
        <v>0</v>
      </c>
      <c r="J3711" s="41"/>
      <c r="K3711" s="41">
        <v>43677</v>
      </c>
      <c r="L3711" s="69" t="s">
        <v>80</v>
      </c>
      <c r="M3711" s="69" t="s">
        <v>286</v>
      </c>
      <c r="N3711" s="95"/>
      <c r="P3711" t="s">
        <v>95</v>
      </c>
      <c r="Q3711" t="s">
        <v>110</v>
      </c>
      <c r="R3711" s="92" t="s">
        <v>69</v>
      </c>
      <c r="S3711" s="92" t="s">
        <v>115</v>
      </c>
      <c r="V3711" s="95">
        <v>43677</v>
      </c>
      <c r="W3711" s="92" t="s">
        <v>417</v>
      </c>
      <c r="X3711" s="90"/>
      <c r="Y3711" s="123"/>
      <c r="Z3711" s="30">
        <f t="shared" si="114"/>
        <v>6763.7822038320437</v>
      </c>
      <c r="AA3711" s="30">
        <f t="shared" si="115"/>
        <v>2113.6819386975139</v>
      </c>
      <c r="AB3711" t="s">
        <v>457</v>
      </c>
    </row>
    <row r="3712" spans="1:28">
      <c r="A3712" t="s">
        <v>113</v>
      </c>
      <c r="C3712" s="92">
        <v>4615507573</v>
      </c>
      <c r="D3712" s="93">
        <v>19175</v>
      </c>
      <c r="F3712" s="91">
        <v>16</v>
      </c>
      <c r="G3712" s="91">
        <v>5</v>
      </c>
      <c r="H3712" s="91">
        <v>0</v>
      </c>
      <c r="I3712" s="91">
        <v>0</v>
      </c>
      <c r="J3712" s="41"/>
      <c r="K3712" s="41">
        <v>43677</v>
      </c>
      <c r="L3712" s="69" t="s">
        <v>80</v>
      </c>
      <c r="M3712" s="69" t="s">
        <v>286</v>
      </c>
      <c r="N3712" s="95"/>
      <c r="P3712" t="s">
        <v>95</v>
      </c>
      <c r="Q3712" t="s">
        <v>110</v>
      </c>
      <c r="R3712" s="92" t="s">
        <v>69</v>
      </c>
      <c r="S3712" s="92" t="s">
        <v>115</v>
      </c>
      <c r="V3712" s="95">
        <v>43677</v>
      </c>
      <c r="W3712" s="92" t="s">
        <v>417</v>
      </c>
      <c r="X3712" s="90"/>
      <c r="Y3712" s="123"/>
      <c r="Z3712" s="30">
        <f t="shared" si="114"/>
        <v>6763.7822038320437</v>
      </c>
      <c r="AA3712" s="30">
        <f t="shared" si="115"/>
        <v>2113.6819386975139</v>
      </c>
      <c r="AB3712" t="s">
        <v>457</v>
      </c>
    </row>
    <row r="3713" spans="1:28">
      <c r="A3713" t="s">
        <v>122</v>
      </c>
      <c r="C3713" s="92">
        <v>4615489021</v>
      </c>
      <c r="D3713" s="93">
        <v>19200</v>
      </c>
      <c r="F3713" s="94">
        <v>16</v>
      </c>
      <c r="G3713" s="94">
        <v>5</v>
      </c>
      <c r="H3713" s="91">
        <v>0</v>
      </c>
      <c r="I3713" s="91">
        <v>0</v>
      </c>
      <c r="J3713" s="41"/>
      <c r="K3713" s="41">
        <v>43708</v>
      </c>
      <c r="L3713" s="69" t="s">
        <v>80</v>
      </c>
      <c r="M3713" s="69" t="s">
        <v>286</v>
      </c>
      <c r="N3713" s="95"/>
      <c r="P3713" t="s">
        <v>95</v>
      </c>
      <c r="Q3713" t="s">
        <v>120</v>
      </c>
      <c r="R3713" s="92" t="s">
        <v>69</v>
      </c>
      <c r="S3713" s="92" t="s">
        <v>394</v>
      </c>
      <c r="V3713" s="95">
        <v>43708</v>
      </c>
      <c r="W3713" s="92">
        <v>2033919</v>
      </c>
      <c r="X3713" s="90"/>
      <c r="Y3713" s="123"/>
      <c r="Z3713" s="30">
        <f t="shared" si="114"/>
        <v>6772.6006943194379</v>
      </c>
      <c r="AA3713" s="30">
        <f t="shared" si="115"/>
        <v>2116.4377169748245</v>
      </c>
      <c r="AB3713" t="s">
        <v>457</v>
      </c>
    </row>
    <row r="3714" spans="1:28">
      <c r="A3714" t="s">
        <v>122</v>
      </c>
      <c r="C3714" s="92">
        <v>4615489021</v>
      </c>
      <c r="D3714" s="93">
        <v>19200</v>
      </c>
      <c r="F3714" s="94">
        <v>16</v>
      </c>
      <c r="G3714" s="94">
        <v>5</v>
      </c>
      <c r="H3714" s="91">
        <v>0</v>
      </c>
      <c r="I3714" s="91">
        <v>0</v>
      </c>
      <c r="J3714" s="41"/>
      <c r="K3714" s="41">
        <v>43708</v>
      </c>
      <c r="L3714" s="69" t="s">
        <v>80</v>
      </c>
      <c r="M3714" s="69" t="s">
        <v>286</v>
      </c>
      <c r="N3714" s="95"/>
      <c r="P3714" t="s">
        <v>95</v>
      </c>
      <c r="Q3714" t="s">
        <v>120</v>
      </c>
      <c r="R3714" s="92" t="s">
        <v>69</v>
      </c>
      <c r="S3714" s="92" t="s">
        <v>394</v>
      </c>
      <c r="V3714" s="95">
        <v>43708</v>
      </c>
      <c r="W3714" s="92">
        <v>2033919</v>
      </c>
      <c r="X3714" s="90"/>
      <c r="Y3714" s="123"/>
      <c r="Z3714" s="30">
        <f t="shared" si="114"/>
        <v>6772.6006943194379</v>
      </c>
      <c r="AA3714" s="30">
        <f t="shared" si="115"/>
        <v>2116.4377169748245</v>
      </c>
      <c r="AB3714" t="s">
        <v>457</v>
      </c>
    </row>
    <row r="3715" spans="1:28">
      <c r="A3715" t="s">
        <v>122</v>
      </c>
      <c r="C3715" s="92">
        <v>4615489021</v>
      </c>
      <c r="D3715" s="93">
        <v>19200</v>
      </c>
      <c r="F3715" s="94">
        <v>16</v>
      </c>
      <c r="G3715" s="94">
        <v>5</v>
      </c>
      <c r="H3715" s="91">
        <v>0</v>
      </c>
      <c r="I3715" s="91">
        <v>0</v>
      </c>
      <c r="J3715" s="41"/>
      <c r="K3715" s="41">
        <v>43708</v>
      </c>
      <c r="L3715" s="69" t="s">
        <v>80</v>
      </c>
      <c r="M3715" s="69" t="s">
        <v>286</v>
      </c>
      <c r="N3715" s="95"/>
      <c r="P3715" t="s">
        <v>95</v>
      </c>
      <c r="Q3715" t="s">
        <v>120</v>
      </c>
      <c r="R3715" s="92" t="s">
        <v>69</v>
      </c>
      <c r="S3715" s="92" t="s">
        <v>394</v>
      </c>
      <c r="V3715" s="95">
        <v>43708</v>
      </c>
      <c r="W3715" s="92">
        <v>2033919</v>
      </c>
      <c r="X3715" s="90"/>
      <c r="Y3715" s="123"/>
      <c r="Z3715" s="30">
        <f t="shared" ref="Z3715:Z3778" si="116">CONVERT(D3715,"kg","lbm")*F3715/100</f>
        <v>6772.6006943194379</v>
      </c>
      <c r="AA3715" s="30">
        <f t="shared" ref="AA3715:AA3778" si="117">CONVERT(D3715,"kg","lbm")*G3715/100</f>
        <v>2116.4377169748245</v>
      </c>
      <c r="AB3715" t="s">
        <v>457</v>
      </c>
    </row>
    <row r="3716" spans="1:28">
      <c r="A3716" t="s">
        <v>122</v>
      </c>
      <c r="C3716" s="92">
        <v>4615489021</v>
      </c>
      <c r="D3716" s="93">
        <v>19200</v>
      </c>
      <c r="F3716" s="94">
        <v>16</v>
      </c>
      <c r="G3716" s="94">
        <v>5</v>
      </c>
      <c r="H3716" s="91">
        <v>0</v>
      </c>
      <c r="I3716" s="91">
        <v>0</v>
      </c>
      <c r="J3716" s="41"/>
      <c r="K3716" s="41">
        <v>43708</v>
      </c>
      <c r="L3716" s="69" t="s">
        <v>80</v>
      </c>
      <c r="M3716" s="69" t="s">
        <v>286</v>
      </c>
      <c r="N3716" s="95"/>
      <c r="P3716" t="s">
        <v>95</v>
      </c>
      <c r="Q3716" t="s">
        <v>120</v>
      </c>
      <c r="R3716" s="92" t="s">
        <v>69</v>
      </c>
      <c r="S3716" s="92" t="s">
        <v>394</v>
      </c>
      <c r="V3716" s="95">
        <v>43708</v>
      </c>
      <c r="W3716" s="92">
        <v>2033919</v>
      </c>
      <c r="X3716" s="90"/>
      <c r="Y3716" s="123"/>
      <c r="Z3716" s="30">
        <f t="shared" si="116"/>
        <v>6772.6006943194379</v>
      </c>
      <c r="AA3716" s="30">
        <f t="shared" si="117"/>
        <v>2116.4377169748245</v>
      </c>
      <c r="AB3716" t="s">
        <v>457</v>
      </c>
    </row>
    <row r="3717" spans="1:28">
      <c r="A3717" t="s">
        <v>122</v>
      </c>
      <c r="C3717" s="92">
        <v>4615489021</v>
      </c>
      <c r="D3717" s="93">
        <v>19200</v>
      </c>
      <c r="F3717" s="94">
        <v>16</v>
      </c>
      <c r="G3717" s="94">
        <v>5</v>
      </c>
      <c r="H3717" s="91">
        <v>0</v>
      </c>
      <c r="I3717" s="91">
        <v>0</v>
      </c>
      <c r="J3717" s="41"/>
      <c r="K3717" s="41">
        <v>43708</v>
      </c>
      <c r="L3717" s="69" t="s">
        <v>80</v>
      </c>
      <c r="M3717" s="69" t="s">
        <v>286</v>
      </c>
      <c r="N3717" s="95"/>
      <c r="P3717" t="s">
        <v>95</v>
      </c>
      <c r="Q3717" t="s">
        <v>120</v>
      </c>
      <c r="R3717" s="92" t="s">
        <v>69</v>
      </c>
      <c r="S3717" s="92" t="s">
        <v>394</v>
      </c>
      <c r="V3717" s="95">
        <v>43708</v>
      </c>
      <c r="W3717" s="92">
        <v>2033919</v>
      </c>
      <c r="X3717" s="90"/>
      <c r="Y3717" s="123"/>
      <c r="Z3717" s="30">
        <f t="shared" si="116"/>
        <v>6772.6006943194379</v>
      </c>
      <c r="AA3717" s="30">
        <f t="shared" si="117"/>
        <v>2116.4377169748245</v>
      </c>
      <c r="AB3717" t="s">
        <v>457</v>
      </c>
    </row>
    <row r="3718" spans="1:28">
      <c r="A3718" t="s">
        <v>122</v>
      </c>
      <c r="C3718" s="92">
        <v>4615489021</v>
      </c>
      <c r="D3718" s="93">
        <v>19200</v>
      </c>
      <c r="F3718" s="94">
        <v>16</v>
      </c>
      <c r="G3718" s="94">
        <v>5</v>
      </c>
      <c r="H3718" s="91">
        <v>0</v>
      </c>
      <c r="I3718" s="91">
        <v>0</v>
      </c>
      <c r="J3718" s="41"/>
      <c r="K3718" s="41">
        <v>43708</v>
      </c>
      <c r="L3718" s="69" t="s">
        <v>80</v>
      </c>
      <c r="M3718" s="69" t="s">
        <v>286</v>
      </c>
      <c r="N3718" s="95"/>
      <c r="P3718" t="s">
        <v>95</v>
      </c>
      <c r="Q3718" t="s">
        <v>120</v>
      </c>
      <c r="R3718" s="92" t="s">
        <v>69</v>
      </c>
      <c r="S3718" s="92" t="s">
        <v>394</v>
      </c>
      <c r="V3718" s="95">
        <v>43708</v>
      </c>
      <c r="W3718" s="92">
        <v>2033919</v>
      </c>
      <c r="X3718" s="90"/>
      <c r="Y3718" s="123"/>
      <c r="Z3718" s="30">
        <f t="shared" si="116"/>
        <v>6772.6006943194379</v>
      </c>
      <c r="AA3718" s="30">
        <f t="shared" si="117"/>
        <v>2116.4377169748245</v>
      </c>
      <c r="AB3718" t="s">
        <v>457</v>
      </c>
    </row>
    <row r="3719" spans="1:28">
      <c r="A3719" t="s">
        <v>122</v>
      </c>
      <c r="C3719" s="92">
        <v>4615489021</v>
      </c>
      <c r="D3719" s="93">
        <v>19200</v>
      </c>
      <c r="F3719" s="94">
        <v>16</v>
      </c>
      <c r="G3719" s="94">
        <v>5</v>
      </c>
      <c r="H3719" s="91">
        <v>0</v>
      </c>
      <c r="I3719" s="91">
        <v>0</v>
      </c>
      <c r="J3719" s="41"/>
      <c r="K3719" s="41">
        <v>43708</v>
      </c>
      <c r="L3719" s="69" t="s">
        <v>80</v>
      </c>
      <c r="M3719" s="69" t="s">
        <v>286</v>
      </c>
      <c r="N3719" s="95"/>
      <c r="P3719" t="s">
        <v>95</v>
      </c>
      <c r="Q3719" t="s">
        <v>120</v>
      </c>
      <c r="R3719" s="92" t="s">
        <v>69</v>
      </c>
      <c r="S3719" s="92" t="s">
        <v>394</v>
      </c>
      <c r="V3719" s="95">
        <v>43708</v>
      </c>
      <c r="W3719" s="92">
        <v>2033919</v>
      </c>
      <c r="X3719" s="90"/>
      <c r="Y3719" s="123"/>
      <c r="Z3719" s="30">
        <f t="shared" si="116"/>
        <v>6772.6006943194379</v>
      </c>
      <c r="AA3719" s="30">
        <f t="shared" si="117"/>
        <v>2116.4377169748245</v>
      </c>
      <c r="AB3719" t="s">
        <v>457</v>
      </c>
    </row>
    <row r="3720" spans="1:28">
      <c r="A3720" t="s">
        <v>122</v>
      </c>
      <c r="C3720" s="92">
        <v>4615489021</v>
      </c>
      <c r="D3720" s="93">
        <v>19200</v>
      </c>
      <c r="F3720" s="94">
        <v>16</v>
      </c>
      <c r="G3720" s="94">
        <v>5</v>
      </c>
      <c r="H3720" s="91">
        <v>0</v>
      </c>
      <c r="I3720" s="91">
        <v>0</v>
      </c>
      <c r="J3720" s="41"/>
      <c r="K3720" s="41">
        <v>43708</v>
      </c>
      <c r="L3720" s="69" t="s">
        <v>80</v>
      </c>
      <c r="M3720" s="69" t="s">
        <v>286</v>
      </c>
      <c r="N3720" s="95"/>
      <c r="P3720" t="s">
        <v>95</v>
      </c>
      <c r="Q3720" t="s">
        <v>120</v>
      </c>
      <c r="R3720" s="92" t="s">
        <v>69</v>
      </c>
      <c r="S3720" s="92" t="s">
        <v>394</v>
      </c>
      <c r="V3720" s="95">
        <v>43708</v>
      </c>
      <c r="W3720" s="92">
        <v>2033919</v>
      </c>
      <c r="X3720" s="90"/>
      <c r="Y3720" s="123"/>
      <c r="Z3720" s="30">
        <f t="shared" si="116"/>
        <v>6772.6006943194379</v>
      </c>
      <c r="AA3720" s="30">
        <f t="shared" si="117"/>
        <v>2116.4377169748245</v>
      </c>
      <c r="AB3720" t="s">
        <v>457</v>
      </c>
    </row>
    <row r="3721" spans="1:28">
      <c r="A3721" t="s">
        <v>122</v>
      </c>
      <c r="C3721" s="92">
        <v>4615489021</v>
      </c>
      <c r="D3721" s="93">
        <v>19200</v>
      </c>
      <c r="F3721" s="94">
        <v>16</v>
      </c>
      <c r="G3721" s="94">
        <v>5</v>
      </c>
      <c r="H3721" s="91">
        <v>0</v>
      </c>
      <c r="I3721" s="91">
        <v>0</v>
      </c>
      <c r="J3721" s="41"/>
      <c r="K3721" s="41">
        <v>43708</v>
      </c>
      <c r="L3721" s="69" t="s">
        <v>80</v>
      </c>
      <c r="M3721" s="69" t="s">
        <v>286</v>
      </c>
      <c r="N3721" s="95"/>
      <c r="P3721" t="s">
        <v>95</v>
      </c>
      <c r="Q3721" t="s">
        <v>120</v>
      </c>
      <c r="R3721" s="92" t="s">
        <v>69</v>
      </c>
      <c r="S3721" s="92" t="s">
        <v>394</v>
      </c>
      <c r="V3721" s="95">
        <v>43708</v>
      </c>
      <c r="W3721" s="92">
        <v>2033919</v>
      </c>
      <c r="X3721" s="90"/>
      <c r="Y3721" s="123"/>
      <c r="Z3721" s="30">
        <f t="shared" si="116"/>
        <v>6772.6006943194379</v>
      </c>
      <c r="AA3721" s="30">
        <f t="shared" si="117"/>
        <v>2116.4377169748245</v>
      </c>
      <c r="AB3721" t="s">
        <v>457</v>
      </c>
    </row>
    <row r="3722" spans="1:28">
      <c r="A3722" t="s">
        <v>122</v>
      </c>
      <c r="C3722" s="92">
        <v>4615489021</v>
      </c>
      <c r="D3722" s="93">
        <v>19200</v>
      </c>
      <c r="F3722" s="94">
        <v>16</v>
      </c>
      <c r="G3722" s="94">
        <v>5</v>
      </c>
      <c r="H3722" s="91">
        <v>0</v>
      </c>
      <c r="I3722" s="91">
        <v>0</v>
      </c>
      <c r="J3722" s="41"/>
      <c r="K3722" s="41">
        <v>43708</v>
      </c>
      <c r="L3722" s="69" t="s">
        <v>80</v>
      </c>
      <c r="M3722" s="69" t="s">
        <v>286</v>
      </c>
      <c r="N3722" s="95"/>
      <c r="P3722" t="s">
        <v>95</v>
      </c>
      <c r="Q3722" t="s">
        <v>120</v>
      </c>
      <c r="R3722" s="92" t="s">
        <v>69</v>
      </c>
      <c r="S3722" s="92" t="s">
        <v>394</v>
      </c>
      <c r="V3722" s="95">
        <v>43708</v>
      </c>
      <c r="W3722" s="92">
        <v>2033919</v>
      </c>
      <c r="X3722" s="90"/>
      <c r="Y3722" s="123"/>
      <c r="Z3722" s="30">
        <f t="shared" si="116"/>
        <v>6772.6006943194379</v>
      </c>
      <c r="AA3722" s="30">
        <f t="shared" si="117"/>
        <v>2116.4377169748245</v>
      </c>
      <c r="AB3722" t="s">
        <v>457</v>
      </c>
    </row>
    <row r="3723" spans="1:28">
      <c r="A3723" t="s">
        <v>122</v>
      </c>
      <c r="C3723" s="92">
        <v>4615489021</v>
      </c>
      <c r="D3723" s="93">
        <v>19200</v>
      </c>
      <c r="F3723" s="94">
        <v>16</v>
      </c>
      <c r="G3723" s="94">
        <v>5</v>
      </c>
      <c r="H3723" s="91">
        <v>0</v>
      </c>
      <c r="I3723" s="91">
        <v>0</v>
      </c>
      <c r="J3723" s="41"/>
      <c r="K3723" s="41">
        <v>43708</v>
      </c>
      <c r="L3723" s="69" t="s">
        <v>80</v>
      </c>
      <c r="M3723" s="69" t="s">
        <v>286</v>
      </c>
      <c r="N3723" s="95"/>
      <c r="P3723" t="s">
        <v>95</v>
      </c>
      <c r="Q3723" t="s">
        <v>120</v>
      </c>
      <c r="R3723" s="92" t="s">
        <v>69</v>
      </c>
      <c r="S3723" s="92" t="s">
        <v>394</v>
      </c>
      <c r="V3723" s="95">
        <v>43708</v>
      </c>
      <c r="W3723" s="92">
        <v>2033919</v>
      </c>
      <c r="X3723" s="90"/>
      <c r="Y3723" s="123"/>
      <c r="Z3723" s="30">
        <f t="shared" si="116"/>
        <v>6772.6006943194379</v>
      </c>
      <c r="AA3723" s="30">
        <f t="shared" si="117"/>
        <v>2116.4377169748245</v>
      </c>
      <c r="AB3723" t="s">
        <v>457</v>
      </c>
    </row>
    <row r="3724" spans="1:28">
      <c r="A3724" t="s">
        <v>122</v>
      </c>
      <c r="C3724" s="92">
        <v>4615489021</v>
      </c>
      <c r="D3724" s="93">
        <v>19200</v>
      </c>
      <c r="F3724" s="94">
        <v>16</v>
      </c>
      <c r="G3724" s="94">
        <v>5</v>
      </c>
      <c r="H3724" s="91">
        <v>0</v>
      </c>
      <c r="I3724" s="91">
        <v>0</v>
      </c>
      <c r="J3724" s="41"/>
      <c r="K3724" s="41">
        <v>43708</v>
      </c>
      <c r="L3724" s="69" t="s">
        <v>80</v>
      </c>
      <c r="M3724" s="69" t="s">
        <v>286</v>
      </c>
      <c r="N3724" s="95"/>
      <c r="P3724" t="s">
        <v>95</v>
      </c>
      <c r="Q3724" t="s">
        <v>120</v>
      </c>
      <c r="R3724" s="92" t="s">
        <v>69</v>
      </c>
      <c r="S3724" s="92" t="s">
        <v>394</v>
      </c>
      <c r="V3724" s="95">
        <v>43708</v>
      </c>
      <c r="W3724" s="92">
        <v>2033919</v>
      </c>
      <c r="X3724" s="90"/>
      <c r="Y3724" s="123"/>
      <c r="Z3724" s="30">
        <f t="shared" si="116"/>
        <v>6772.6006943194379</v>
      </c>
      <c r="AA3724" s="30">
        <f t="shared" si="117"/>
        <v>2116.4377169748245</v>
      </c>
      <c r="AB3724" t="s">
        <v>457</v>
      </c>
    </row>
    <row r="3725" spans="1:28">
      <c r="A3725" t="s">
        <v>122</v>
      </c>
      <c r="C3725" s="92">
        <v>4615500302</v>
      </c>
      <c r="D3725" s="93">
        <v>19200</v>
      </c>
      <c r="F3725" s="91">
        <v>16</v>
      </c>
      <c r="G3725" s="96">
        <v>5</v>
      </c>
      <c r="H3725" s="94">
        <v>0</v>
      </c>
      <c r="I3725" s="91">
        <v>0</v>
      </c>
      <c r="J3725" s="41"/>
      <c r="K3725" s="41">
        <v>43708</v>
      </c>
      <c r="L3725" s="69" t="s">
        <v>80</v>
      </c>
      <c r="M3725" s="69" t="s">
        <v>286</v>
      </c>
      <c r="N3725" s="95"/>
      <c r="P3725" t="s">
        <v>95</v>
      </c>
      <c r="Q3725" t="s">
        <v>120</v>
      </c>
      <c r="R3725" s="92" t="s">
        <v>69</v>
      </c>
      <c r="S3725" s="92" t="s">
        <v>395</v>
      </c>
      <c r="V3725" s="95">
        <v>43708</v>
      </c>
      <c r="W3725" s="92">
        <v>2033929</v>
      </c>
      <c r="X3725" s="90"/>
      <c r="Y3725" s="123"/>
      <c r="Z3725" s="30">
        <f t="shared" si="116"/>
        <v>6772.6006943194379</v>
      </c>
      <c r="AA3725" s="30">
        <f t="shared" si="117"/>
        <v>2116.4377169748245</v>
      </c>
      <c r="AB3725" t="s">
        <v>457</v>
      </c>
    </row>
    <row r="3726" spans="1:28">
      <c r="A3726" t="s">
        <v>122</v>
      </c>
      <c r="C3726" s="92">
        <v>4615500302</v>
      </c>
      <c r="D3726" s="93">
        <v>19200</v>
      </c>
      <c r="F3726" s="91">
        <v>16</v>
      </c>
      <c r="G3726" s="96">
        <v>5</v>
      </c>
      <c r="H3726" s="94">
        <v>0</v>
      </c>
      <c r="I3726" s="91">
        <v>0</v>
      </c>
      <c r="J3726" s="41"/>
      <c r="K3726" s="41">
        <v>43708</v>
      </c>
      <c r="L3726" s="69" t="s">
        <v>80</v>
      </c>
      <c r="M3726" s="69" t="s">
        <v>286</v>
      </c>
      <c r="N3726" s="95"/>
      <c r="P3726" t="s">
        <v>95</v>
      </c>
      <c r="Q3726" t="s">
        <v>120</v>
      </c>
      <c r="R3726" s="92" t="s">
        <v>69</v>
      </c>
      <c r="S3726" s="92" t="s">
        <v>395</v>
      </c>
      <c r="V3726" s="95">
        <v>43708</v>
      </c>
      <c r="W3726" s="92">
        <v>2033929</v>
      </c>
      <c r="X3726" s="90"/>
      <c r="Y3726" s="123"/>
      <c r="Z3726" s="30">
        <f t="shared" si="116"/>
        <v>6772.6006943194379</v>
      </c>
      <c r="AA3726" s="30">
        <f t="shared" si="117"/>
        <v>2116.4377169748245</v>
      </c>
      <c r="AB3726" t="s">
        <v>457</v>
      </c>
    </row>
    <row r="3727" spans="1:28">
      <c r="A3727" t="s">
        <v>122</v>
      </c>
      <c r="C3727" s="92">
        <v>4615500302</v>
      </c>
      <c r="D3727" s="93">
        <v>19200</v>
      </c>
      <c r="F3727" s="91">
        <v>16</v>
      </c>
      <c r="G3727" s="96">
        <v>5</v>
      </c>
      <c r="H3727" s="94">
        <v>0</v>
      </c>
      <c r="I3727" s="91">
        <v>0</v>
      </c>
      <c r="J3727" s="41"/>
      <c r="K3727" s="41">
        <v>43708</v>
      </c>
      <c r="L3727" s="69" t="s">
        <v>80</v>
      </c>
      <c r="M3727" s="69" t="s">
        <v>286</v>
      </c>
      <c r="N3727" s="95"/>
      <c r="P3727" t="s">
        <v>95</v>
      </c>
      <c r="Q3727" t="s">
        <v>120</v>
      </c>
      <c r="R3727" s="92" t="s">
        <v>69</v>
      </c>
      <c r="S3727" s="92" t="s">
        <v>395</v>
      </c>
      <c r="V3727" s="95">
        <v>43708</v>
      </c>
      <c r="W3727" s="92">
        <v>2033929</v>
      </c>
      <c r="X3727" s="90"/>
      <c r="Y3727" s="123"/>
      <c r="Z3727" s="30">
        <f t="shared" si="116"/>
        <v>6772.6006943194379</v>
      </c>
      <c r="AA3727" s="30">
        <f t="shared" si="117"/>
        <v>2116.4377169748245</v>
      </c>
      <c r="AB3727" t="s">
        <v>457</v>
      </c>
    </row>
    <row r="3728" spans="1:28">
      <c r="A3728" t="s">
        <v>122</v>
      </c>
      <c r="C3728" s="92">
        <v>4615500302</v>
      </c>
      <c r="D3728" s="93">
        <v>19200</v>
      </c>
      <c r="F3728" s="91">
        <v>16</v>
      </c>
      <c r="G3728" s="96">
        <v>5</v>
      </c>
      <c r="H3728" s="94">
        <v>0</v>
      </c>
      <c r="I3728" s="91">
        <v>0</v>
      </c>
      <c r="J3728" s="41"/>
      <c r="K3728" s="41">
        <v>43708</v>
      </c>
      <c r="L3728" s="69" t="s">
        <v>80</v>
      </c>
      <c r="M3728" s="69" t="s">
        <v>286</v>
      </c>
      <c r="N3728" s="95"/>
      <c r="P3728" t="s">
        <v>95</v>
      </c>
      <c r="Q3728" t="s">
        <v>120</v>
      </c>
      <c r="R3728" s="92" t="s">
        <v>69</v>
      </c>
      <c r="S3728" s="92" t="s">
        <v>395</v>
      </c>
      <c r="V3728" s="95">
        <v>43708</v>
      </c>
      <c r="W3728" s="92">
        <v>2033929</v>
      </c>
      <c r="X3728" s="90"/>
      <c r="Y3728" s="123"/>
      <c r="Z3728" s="30">
        <f t="shared" si="116"/>
        <v>6772.6006943194379</v>
      </c>
      <c r="AA3728" s="30">
        <f t="shared" si="117"/>
        <v>2116.4377169748245</v>
      </c>
      <c r="AB3728" t="s">
        <v>457</v>
      </c>
    </row>
    <row r="3729" spans="1:28">
      <c r="A3729" t="s">
        <v>122</v>
      </c>
      <c r="C3729" s="92">
        <v>4615500302</v>
      </c>
      <c r="D3729" s="93">
        <v>19200</v>
      </c>
      <c r="F3729" s="91">
        <v>16</v>
      </c>
      <c r="G3729" s="96">
        <v>5</v>
      </c>
      <c r="H3729" s="94">
        <v>0</v>
      </c>
      <c r="I3729" s="91">
        <v>0</v>
      </c>
      <c r="J3729" s="41"/>
      <c r="K3729" s="41">
        <v>43708</v>
      </c>
      <c r="L3729" s="69" t="s">
        <v>80</v>
      </c>
      <c r="M3729" s="69" t="s">
        <v>286</v>
      </c>
      <c r="N3729" s="95"/>
      <c r="P3729" t="s">
        <v>95</v>
      </c>
      <c r="Q3729" t="s">
        <v>120</v>
      </c>
      <c r="R3729" s="92" t="s">
        <v>69</v>
      </c>
      <c r="S3729" s="92" t="s">
        <v>395</v>
      </c>
      <c r="V3729" s="95">
        <v>43708</v>
      </c>
      <c r="W3729" s="92">
        <v>2033929</v>
      </c>
      <c r="X3729" s="90"/>
      <c r="Y3729" s="123"/>
      <c r="Z3729" s="30">
        <f t="shared" si="116"/>
        <v>6772.6006943194379</v>
      </c>
      <c r="AA3729" s="30">
        <f t="shared" si="117"/>
        <v>2116.4377169748245</v>
      </c>
      <c r="AB3729" t="s">
        <v>457</v>
      </c>
    </row>
    <row r="3730" spans="1:28">
      <c r="A3730" t="s">
        <v>122</v>
      </c>
      <c r="C3730" s="92">
        <v>4615500302</v>
      </c>
      <c r="D3730" s="93">
        <v>19200</v>
      </c>
      <c r="F3730" s="91">
        <v>16</v>
      </c>
      <c r="G3730" s="96">
        <v>5</v>
      </c>
      <c r="H3730" s="94">
        <v>0</v>
      </c>
      <c r="I3730" s="91">
        <v>0</v>
      </c>
      <c r="J3730" s="41"/>
      <c r="K3730" s="41">
        <v>43708</v>
      </c>
      <c r="L3730" s="69" t="s">
        <v>80</v>
      </c>
      <c r="M3730" s="69" t="s">
        <v>286</v>
      </c>
      <c r="N3730" s="95"/>
      <c r="P3730" t="s">
        <v>95</v>
      </c>
      <c r="Q3730" t="s">
        <v>120</v>
      </c>
      <c r="R3730" s="92" t="s">
        <v>69</v>
      </c>
      <c r="S3730" s="92" t="s">
        <v>395</v>
      </c>
      <c r="V3730" s="95">
        <v>43708</v>
      </c>
      <c r="W3730" s="92">
        <v>2033929</v>
      </c>
      <c r="X3730" s="90"/>
      <c r="Y3730" s="123"/>
      <c r="Z3730" s="30">
        <f t="shared" si="116"/>
        <v>6772.6006943194379</v>
      </c>
      <c r="AA3730" s="30">
        <f t="shared" si="117"/>
        <v>2116.4377169748245</v>
      </c>
      <c r="AB3730" t="s">
        <v>457</v>
      </c>
    </row>
    <row r="3731" spans="1:28">
      <c r="A3731" t="s">
        <v>122</v>
      </c>
      <c r="C3731" s="92">
        <v>4615500302</v>
      </c>
      <c r="D3731" s="93">
        <v>19200</v>
      </c>
      <c r="F3731" s="91">
        <v>16</v>
      </c>
      <c r="G3731" s="96">
        <v>5</v>
      </c>
      <c r="H3731" s="94">
        <v>0</v>
      </c>
      <c r="I3731" s="91">
        <v>0</v>
      </c>
      <c r="J3731" s="41"/>
      <c r="K3731" s="41">
        <v>43708</v>
      </c>
      <c r="L3731" s="69" t="s">
        <v>80</v>
      </c>
      <c r="M3731" s="69" t="s">
        <v>286</v>
      </c>
      <c r="N3731" s="95"/>
      <c r="P3731" t="s">
        <v>95</v>
      </c>
      <c r="Q3731" t="s">
        <v>120</v>
      </c>
      <c r="R3731" s="92" t="s">
        <v>69</v>
      </c>
      <c r="S3731" s="92" t="s">
        <v>395</v>
      </c>
      <c r="V3731" s="95">
        <v>43708</v>
      </c>
      <c r="W3731" s="92">
        <v>2033929</v>
      </c>
      <c r="X3731" s="90"/>
      <c r="Y3731" s="123"/>
      <c r="Z3731" s="30">
        <f t="shared" si="116"/>
        <v>6772.6006943194379</v>
      </c>
      <c r="AA3731" s="30">
        <f t="shared" si="117"/>
        <v>2116.4377169748245</v>
      </c>
      <c r="AB3731" t="s">
        <v>457</v>
      </c>
    </row>
    <row r="3732" spans="1:28">
      <c r="A3732" t="s">
        <v>122</v>
      </c>
      <c r="C3732" s="92">
        <v>4615500302</v>
      </c>
      <c r="D3732" s="93">
        <v>19200</v>
      </c>
      <c r="F3732" s="91">
        <v>16</v>
      </c>
      <c r="G3732" s="96">
        <v>5</v>
      </c>
      <c r="H3732" s="94">
        <v>0</v>
      </c>
      <c r="I3732" s="91">
        <v>0</v>
      </c>
      <c r="J3732" s="41"/>
      <c r="K3732" s="41">
        <v>43708</v>
      </c>
      <c r="L3732" s="69" t="s">
        <v>80</v>
      </c>
      <c r="M3732" s="69" t="s">
        <v>286</v>
      </c>
      <c r="N3732" s="95"/>
      <c r="P3732" t="s">
        <v>95</v>
      </c>
      <c r="Q3732" t="s">
        <v>120</v>
      </c>
      <c r="R3732" s="92" t="s">
        <v>69</v>
      </c>
      <c r="S3732" s="92" t="s">
        <v>395</v>
      </c>
      <c r="V3732" s="95">
        <v>43708</v>
      </c>
      <c r="W3732" s="92">
        <v>2033929</v>
      </c>
      <c r="X3732" s="90"/>
      <c r="Y3732" s="123"/>
      <c r="Z3732" s="30">
        <f t="shared" si="116"/>
        <v>6772.6006943194379</v>
      </c>
      <c r="AA3732" s="30">
        <f t="shared" si="117"/>
        <v>2116.4377169748245</v>
      </c>
      <c r="AB3732" t="s">
        <v>457</v>
      </c>
    </row>
    <row r="3733" spans="1:28">
      <c r="A3733" t="s">
        <v>122</v>
      </c>
      <c r="C3733" s="92">
        <v>4615500302</v>
      </c>
      <c r="D3733" s="93">
        <v>19200</v>
      </c>
      <c r="F3733" s="91">
        <v>16</v>
      </c>
      <c r="G3733" s="96">
        <v>5</v>
      </c>
      <c r="H3733" s="94">
        <v>0</v>
      </c>
      <c r="I3733" s="91">
        <v>0</v>
      </c>
      <c r="J3733" s="41"/>
      <c r="K3733" s="41">
        <v>43708</v>
      </c>
      <c r="L3733" s="69" t="s">
        <v>80</v>
      </c>
      <c r="M3733" s="69" t="s">
        <v>286</v>
      </c>
      <c r="N3733" s="95"/>
      <c r="P3733" t="s">
        <v>95</v>
      </c>
      <c r="Q3733" t="s">
        <v>120</v>
      </c>
      <c r="R3733" s="92" t="s">
        <v>69</v>
      </c>
      <c r="S3733" s="92" t="s">
        <v>395</v>
      </c>
      <c r="V3733" s="95">
        <v>43708</v>
      </c>
      <c r="W3733" s="92">
        <v>2033929</v>
      </c>
      <c r="X3733" s="90"/>
      <c r="Y3733" s="123"/>
      <c r="Z3733" s="30">
        <f t="shared" si="116"/>
        <v>6772.6006943194379</v>
      </c>
      <c r="AA3733" s="30">
        <f t="shared" si="117"/>
        <v>2116.4377169748245</v>
      </c>
      <c r="AB3733" t="s">
        <v>457</v>
      </c>
    </row>
    <row r="3734" spans="1:28">
      <c r="A3734" t="s">
        <v>122</v>
      </c>
      <c r="C3734" s="92">
        <v>4615500302</v>
      </c>
      <c r="D3734" s="93">
        <v>19200</v>
      </c>
      <c r="F3734" s="91">
        <v>16</v>
      </c>
      <c r="G3734" s="96">
        <v>5</v>
      </c>
      <c r="H3734" s="94">
        <v>0</v>
      </c>
      <c r="I3734" s="91">
        <v>0</v>
      </c>
      <c r="J3734" s="41"/>
      <c r="K3734" s="41">
        <v>43708</v>
      </c>
      <c r="L3734" s="69" t="s">
        <v>80</v>
      </c>
      <c r="M3734" s="69" t="s">
        <v>286</v>
      </c>
      <c r="N3734" s="95"/>
      <c r="P3734" t="s">
        <v>95</v>
      </c>
      <c r="Q3734" t="s">
        <v>120</v>
      </c>
      <c r="R3734" s="92" t="s">
        <v>69</v>
      </c>
      <c r="S3734" s="92" t="s">
        <v>395</v>
      </c>
      <c r="V3734" s="95">
        <v>43708</v>
      </c>
      <c r="W3734" s="92">
        <v>2033929</v>
      </c>
      <c r="X3734" s="90"/>
      <c r="Y3734" s="123"/>
      <c r="Z3734" s="30">
        <f t="shared" si="116"/>
        <v>6772.6006943194379</v>
      </c>
      <c r="AA3734" s="30">
        <f t="shared" si="117"/>
        <v>2116.4377169748245</v>
      </c>
      <c r="AB3734" t="s">
        <v>457</v>
      </c>
    </row>
    <row r="3735" spans="1:28">
      <c r="A3735" t="s">
        <v>122</v>
      </c>
      <c r="C3735" s="92">
        <v>4615500302</v>
      </c>
      <c r="D3735" s="93">
        <v>19200</v>
      </c>
      <c r="F3735" s="91">
        <v>16</v>
      </c>
      <c r="G3735" s="96">
        <v>5</v>
      </c>
      <c r="H3735" s="94">
        <v>0</v>
      </c>
      <c r="I3735" s="91">
        <v>0</v>
      </c>
      <c r="J3735" s="41"/>
      <c r="K3735" s="41">
        <v>43708</v>
      </c>
      <c r="L3735" s="69" t="s">
        <v>80</v>
      </c>
      <c r="M3735" s="69" t="s">
        <v>286</v>
      </c>
      <c r="N3735" s="95"/>
      <c r="P3735" t="s">
        <v>95</v>
      </c>
      <c r="Q3735" t="s">
        <v>120</v>
      </c>
      <c r="R3735" s="92" t="s">
        <v>69</v>
      </c>
      <c r="S3735" s="92" t="s">
        <v>395</v>
      </c>
      <c r="V3735" s="95">
        <v>43708</v>
      </c>
      <c r="W3735" s="92">
        <v>2033929</v>
      </c>
      <c r="X3735" s="90"/>
      <c r="Y3735" s="123"/>
      <c r="Z3735" s="30">
        <f t="shared" si="116"/>
        <v>6772.6006943194379</v>
      </c>
      <c r="AA3735" s="30">
        <f t="shared" si="117"/>
        <v>2116.4377169748245</v>
      </c>
      <c r="AB3735" t="s">
        <v>457</v>
      </c>
    </row>
    <row r="3736" spans="1:28">
      <c r="A3736" t="s">
        <v>118</v>
      </c>
      <c r="C3736" s="92">
        <v>4615507706</v>
      </c>
      <c r="D3736" s="93">
        <v>19175</v>
      </c>
      <c r="F3736" s="91">
        <v>16</v>
      </c>
      <c r="G3736" s="96">
        <v>5</v>
      </c>
      <c r="H3736" s="94">
        <v>0</v>
      </c>
      <c r="I3736" s="91">
        <v>0</v>
      </c>
      <c r="J3736" s="41"/>
      <c r="K3736" s="41">
        <v>43708</v>
      </c>
      <c r="L3736" s="69" t="s">
        <v>80</v>
      </c>
      <c r="M3736" s="69" t="s">
        <v>286</v>
      </c>
      <c r="N3736" s="95"/>
      <c r="P3736" t="s">
        <v>95</v>
      </c>
      <c r="Q3736" t="s">
        <v>120</v>
      </c>
      <c r="R3736" s="92" t="s">
        <v>69</v>
      </c>
      <c r="S3736" s="92" t="s">
        <v>396</v>
      </c>
      <c r="V3736" s="95">
        <v>43708</v>
      </c>
      <c r="W3736" s="92">
        <v>2033939</v>
      </c>
      <c r="X3736" s="90"/>
      <c r="Y3736" s="123"/>
      <c r="Z3736" s="30">
        <f t="shared" si="116"/>
        <v>6763.7822038320437</v>
      </c>
      <c r="AA3736" s="30">
        <f t="shared" si="117"/>
        <v>2113.6819386975139</v>
      </c>
      <c r="AB3736" t="s">
        <v>457</v>
      </c>
    </row>
    <row r="3737" spans="1:28">
      <c r="A3737" t="s">
        <v>118</v>
      </c>
      <c r="C3737" s="92">
        <v>4615507706</v>
      </c>
      <c r="D3737" s="93">
        <v>19175</v>
      </c>
      <c r="F3737" s="91">
        <v>16</v>
      </c>
      <c r="G3737" s="96">
        <v>5</v>
      </c>
      <c r="H3737" s="94">
        <v>0</v>
      </c>
      <c r="I3737" s="91">
        <v>0</v>
      </c>
      <c r="J3737" s="41"/>
      <c r="K3737" s="41">
        <v>43708</v>
      </c>
      <c r="L3737" s="69" t="s">
        <v>80</v>
      </c>
      <c r="M3737" s="69" t="s">
        <v>286</v>
      </c>
      <c r="N3737" s="95"/>
      <c r="P3737" t="s">
        <v>95</v>
      </c>
      <c r="Q3737" t="s">
        <v>120</v>
      </c>
      <c r="R3737" s="92" t="s">
        <v>69</v>
      </c>
      <c r="S3737" s="92" t="s">
        <v>396</v>
      </c>
      <c r="V3737" s="95">
        <v>43708</v>
      </c>
      <c r="W3737" s="92">
        <v>2033939</v>
      </c>
      <c r="X3737" s="90"/>
      <c r="Y3737" s="123"/>
      <c r="Z3737" s="30">
        <f t="shared" si="116"/>
        <v>6763.7822038320437</v>
      </c>
      <c r="AA3737" s="30">
        <f t="shared" si="117"/>
        <v>2113.6819386975139</v>
      </c>
      <c r="AB3737" t="s">
        <v>457</v>
      </c>
    </row>
    <row r="3738" spans="1:28">
      <c r="A3738" t="s">
        <v>118</v>
      </c>
      <c r="C3738" s="92">
        <v>4615507706</v>
      </c>
      <c r="D3738" s="93">
        <v>19175</v>
      </c>
      <c r="F3738" s="91">
        <v>16</v>
      </c>
      <c r="G3738" s="96">
        <v>5</v>
      </c>
      <c r="H3738" s="94">
        <v>0</v>
      </c>
      <c r="I3738" s="91">
        <v>0</v>
      </c>
      <c r="J3738" s="41"/>
      <c r="K3738" s="41">
        <v>43708</v>
      </c>
      <c r="L3738" s="69" t="s">
        <v>80</v>
      </c>
      <c r="M3738" s="69" t="s">
        <v>286</v>
      </c>
      <c r="N3738" s="95"/>
      <c r="P3738" t="s">
        <v>95</v>
      </c>
      <c r="Q3738" t="s">
        <v>120</v>
      </c>
      <c r="R3738" s="92" t="s">
        <v>69</v>
      </c>
      <c r="S3738" s="92" t="s">
        <v>396</v>
      </c>
      <c r="V3738" s="95">
        <v>43708</v>
      </c>
      <c r="W3738" s="92">
        <v>2033939</v>
      </c>
      <c r="X3738" s="90"/>
      <c r="Y3738" s="123"/>
      <c r="Z3738" s="30">
        <f t="shared" si="116"/>
        <v>6763.7822038320437</v>
      </c>
      <c r="AA3738" s="30">
        <f t="shared" si="117"/>
        <v>2113.6819386975139</v>
      </c>
      <c r="AB3738" t="s">
        <v>457</v>
      </c>
    </row>
    <row r="3739" spans="1:28">
      <c r="A3739" t="s">
        <v>118</v>
      </c>
      <c r="C3739" s="92">
        <v>4615507706</v>
      </c>
      <c r="D3739" s="93">
        <v>19175</v>
      </c>
      <c r="F3739" s="91">
        <v>16</v>
      </c>
      <c r="G3739" s="96">
        <v>5</v>
      </c>
      <c r="H3739" s="94">
        <v>0</v>
      </c>
      <c r="I3739" s="91">
        <v>0</v>
      </c>
      <c r="J3739" s="41"/>
      <c r="K3739" s="41">
        <v>43708</v>
      </c>
      <c r="L3739" s="69" t="s">
        <v>80</v>
      </c>
      <c r="M3739" s="69" t="s">
        <v>286</v>
      </c>
      <c r="N3739" s="95"/>
      <c r="P3739" t="s">
        <v>95</v>
      </c>
      <c r="Q3739" t="s">
        <v>120</v>
      </c>
      <c r="R3739" s="92" t="s">
        <v>69</v>
      </c>
      <c r="S3739" s="92" t="s">
        <v>396</v>
      </c>
      <c r="V3739" s="95">
        <v>43708</v>
      </c>
      <c r="W3739" s="92">
        <v>2033939</v>
      </c>
      <c r="X3739" s="90"/>
      <c r="Y3739" s="123"/>
      <c r="Z3739" s="30">
        <f t="shared" si="116"/>
        <v>6763.7822038320437</v>
      </c>
      <c r="AA3739" s="30">
        <f t="shared" si="117"/>
        <v>2113.6819386975139</v>
      </c>
      <c r="AB3739" t="s">
        <v>457</v>
      </c>
    </row>
    <row r="3740" spans="1:28">
      <c r="A3740" t="s">
        <v>118</v>
      </c>
      <c r="C3740" s="92">
        <v>4615507706</v>
      </c>
      <c r="D3740" s="93">
        <v>19175</v>
      </c>
      <c r="F3740" s="91">
        <v>16</v>
      </c>
      <c r="G3740" s="96">
        <v>5</v>
      </c>
      <c r="H3740" s="94">
        <v>0</v>
      </c>
      <c r="I3740" s="91">
        <v>0</v>
      </c>
      <c r="J3740" s="41"/>
      <c r="K3740" s="41">
        <v>43708</v>
      </c>
      <c r="L3740" s="69" t="s">
        <v>80</v>
      </c>
      <c r="M3740" s="69" t="s">
        <v>286</v>
      </c>
      <c r="N3740" s="95"/>
      <c r="P3740" t="s">
        <v>95</v>
      </c>
      <c r="Q3740" t="s">
        <v>120</v>
      </c>
      <c r="R3740" s="92" t="s">
        <v>69</v>
      </c>
      <c r="S3740" s="92" t="s">
        <v>396</v>
      </c>
      <c r="V3740" s="95">
        <v>43708</v>
      </c>
      <c r="W3740" s="92">
        <v>2033939</v>
      </c>
      <c r="X3740" s="90"/>
      <c r="Y3740" s="123"/>
      <c r="Z3740" s="30">
        <f t="shared" si="116"/>
        <v>6763.7822038320437</v>
      </c>
      <c r="AA3740" s="30">
        <f t="shared" si="117"/>
        <v>2113.6819386975139</v>
      </c>
      <c r="AB3740" t="s">
        <v>457</v>
      </c>
    </row>
    <row r="3741" spans="1:28">
      <c r="A3741" t="s">
        <v>118</v>
      </c>
      <c r="C3741" s="92">
        <v>4615507706</v>
      </c>
      <c r="D3741" s="93">
        <v>19175</v>
      </c>
      <c r="F3741" s="91">
        <v>16</v>
      </c>
      <c r="G3741" s="96">
        <v>5</v>
      </c>
      <c r="H3741" s="94">
        <v>0</v>
      </c>
      <c r="I3741" s="91">
        <v>0</v>
      </c>
      <c r="J3741" s="41"/>
      <c r="K3741" s="41">
        <v>43708</v>
      </c>
      <c r="L3741" s="69" t="s">
        <v>80</v>
      </c>
      <c r="M3741" s="69" t="s">
        <v>286</v>
      </c>
      <c r="N3741" s="95"/>
      <c r="P3741" t="s">
        <v>95</v>
      </c>
      <c r="Q3741" t="s">
        <v>120</v>
      </c>
      <c r="R3741" s="92" t="s">
        <v>69</v>
      </c>
      <c r="S3741" s="92" t="s">
        <v>396</v>
      </c>
      <c r="V3741" s="95">
        <v>43708</v>
      </c>
      <c r="W3741" s="92">
        <v>2033939</v>
      </c>
      <c r="X3741" s="90"/>
      <c r="Y3741" s="123"/>
      <c r="Z3741" s="30">
        <f t="shared" si="116"/>
        <v>6763.7822038320437</v>
      </c>
      <c r="AA3741" s="30">
        <f t="shared" si="117"/>
        <v>2113.6819386975139</v>
      </c>
      <c r="AB3741" t="s">
        <v>457</v>
      </c>
    </row>
    <row r="3742" spans="1:28">
      <c r="A3742" t="s">
        <v>122</v>
      </c>
      <c r="C3742" s="92">
        <v>4615447562</v>
      </c>
      <c r="D3742" s="93">
        <v>19200</v>
      </c>
      <c r="F3742" s="91">
        <v>16</v>
      </c>
      <c r="G3742" s="96">
        <v>5</v>
      </c>
      <c r="H3742" s="94">
        <v>0</v>
      </c>
      <c r="I3742" s="91">
        <v>0</v>
      </c>
      <c r="J3742" s="41"/>
      <c r="K3742" s="41">
        <v>43708</v>
      </c>
      <c r="L3742" s="69" t="s">
        <v>80</v>
      </c>
      <c r="M3742" s="69" t="s">
        <v>286</v>
      </c>
      <c r="N3742" s="95"/>
      <c r="P3742" t="s">
        <v>95</v>
      </c>
      <c r="Q3742" t="s">
        <v>120</v>
      </c>
      <c r="R3742" s="92" t="s">
        <v>69</v>
      </c>
      <c r="S3742" s="92" t="s">
        <v>397</v>
      </c>
      <c r="V3742" s="95">
        <v>43708</v>
      </c>
      <c r="W3742" s="92">
        <v>2033949</v>
      </c>
      <c r="X3742" s="90"/>
      <c r="Y3742" s="123"/>
      <c r="Z3742" s="30">
        <f t="shared" si="116"/>
        <v>6772.6006943194379</v>
      </c>
      <c r="AA3742" s="30">
        <f t="shared" si="117"/>
        <v>2116.4377169748245</v>
      </c>
      <c r="AB3742" t="s">
        <v>457</v>
      </c>
    </row>
    <row r="3743" spans="1:28">
      <c r="A3743" t="s">
        <v>122</v>
      </c>
      <c r="C3743" s="92">
        <v>4615447562</v>
      </c>
      <c r="D3743" s="93">
        <v>19200</v>
      </c>
      <c r="F3743" s="91">
        <v>16</v>
      </c>
      <c r="G3743" s="96">
        <v>5</v>
      </c>
      <c r="H3743" s="94">
        <v>0</v>
      </c>
      <c r="I3743" s="91">
        <v>0</v>
      </c>
      <c r="J3743" s="41"/>
      <c r="K3743" s="41">
        <v>43708</v>
      </c>
      <c r="L3743" s="69" t="s">
        <v>80</v>
      </c>
      <c r="M3743" s="69" t="s">
        <v>286</v>
      </c>
      <c r="N3743" s="95"/>
      <c r="P3743" t="s">
        <v>95</v>
      </c>
      <c r="Q3743" t="s">
        <v>120</v>
      </c>
      <c r="R3743" s="92" t="s">
        <v>69</v>
      </c>
      <c r="S3743" s="92" t="s">
        <v>397</v>
      </c>
      <c r="V3743" s="95">
        <v>43708</v>
      </c>
      <c r="W3743" s="92">
        <v>2033949</v>
      </c>
      <c r="X3743" s="90"/>
      <c r="Y3743" s="123"/>
      <c r="Z3743" s="30">
        <f t="shared" si="116"/>
        <v>6772.6006943194379</v>
      </c>
      <c r="AA3743" s="30">
        <f t="shared" si="117"/>
        <v>2116.4377169748245</v>
      </c>
      <c r="AB3743" t="s">
        <v>457</v>
      </c>
    </row>
    <row r="3744" spans="1:28">
      <c r="A3744" t="s">
        <v>122</v>
      </c>
      <c r="C3744" s="92">
        <v>4615447562</v>
      </c>
      <c r="D3744" s="93">
        <v>19200</v>
      </c>
      <c r="F3744" s="91">
        <v>16</v>
      </c>
      <c r="G3744" s="96">
        <v>5</v>
      </c>
      <c r="H3744" s="94">
        <v>0</v>
      </c>
      <c r="I3744" s="91">
        <v>0</v>
      </c>
      <c r="J3744" s="41"/>
      <c r="K3744" s="41">
        <v>43708</v>
      </c>
      <c r="L3744" s="69" t="s">
        <v>80</v>
      </c>
      <c r="M3744" s="69" t="s">
        <v>286</v>
      </c>
      <c r="N3744" s="95"/>
      <c r="P3744" t="s">
        <v>95</v>
      </c>
      <c r="Q3744" t="s">
        <v>120</v>
      </c>
      <c r="R3744" s="92" t="s">
        <v>69</v>
      </c>
      <c r="S3744" s="92" t="s">
        <v>397</v>
      </c>
      <c r="V3744" s="95">
        <v>43708</v>
      </c>
      <c r="W3744" s="92">
        <v>2033949</v>
      </c>
      <c r="X3744" s="90"/>
      <c r="Y3744" s="123"/>
      <c r="Z3744" s="30">
        <f t="shared" si="116"/>
        <v>6772.6006943194379</v>
      </c>
      <c r="AA3744" s="30">
        <f t="shared" si="117"/>
        <v>2116.4377169748245</v>
      </c>
      <c r="AB3744" t="s">
        <v>457</v>
      </c>
    </row>
    <row r="3745" spans="1:28">
      <c r="A3745" t="s">
        <v>122</v>
      </c>
      <c r="C3745" s="92">
        <v>4615447562</v>
      </c>
      <c r="D3745" s="93">
        <v>19200</v>
      </c>
      <c r="F3745" s="91">
        <v>16</v>
      </c>
      <c r="G3745" s="96">
        <v>5</v>
      </c>
      <c r="H3745" s="94">
        <v>0</v>
      </c>
      <c r="I3745" s="91">
        <v>0</v>
      </c>
      <c r="J3745" s="41"/>
      <c r="K3745" s="41">
        <v>43708</v>
      </c>
      <c r="L3745" s="69" t="s">
        <v>80</v>
      </c>
      <c r="M3745" s="69" t="s">
        <v>286</v>
      </c>
      <c r="N3745" s="95"/>
      <c r="P3745" t="s">
        <v>95</v>
      </c>
      <c r="Q3745" t="s">
        <v>120</v>
      </c>
      <c r="R3745" s="92" t="s">
        <v>69</v>
      </c>
      <c r="S3745" s="92" t="s">
        <v>397</v>
      </c>
      <c r="V3745" s="95">
        <v>43708</v>
      </c>
      <c r="W3745" s="92">
        <v>2033949</v>
      </c>
      <c r="X3745" s="90"/>
      <c r="Y3745" s="123"/>
      <c r="Z3745" s="30">
        <f t="shared" si="116"/>
        <v>6772.6006943194379</v>
      </c>
      <c r="AA3745" s="30">
        <f t="shared" si="117"/>
        <v>2116.4377169748245</v>
      </c>
      <c r="AB3745" t="s">
        <v>457</v>
      </c>
    </row>
    <row r="3746" spans="1:28">
      <c r="A3746" t="s">
        <v>122</v>
      </c>
      <c r="C3746" s="92">
        <v>4615447562</v>
      </c>
      <c r="D3746" s="93">
        <v>19200</v>
      </c>
      <c r="F3746" s="91">
        <v>16</v>
      </c>
      <c r="G3746" s="96">
        <v>5</v>
      </c>
      <c r="H3746" s="94">
        <v>0</v>
      </c>
      <c r="I3746" s="91">
        <v>0</v>
      </c>
      <c r="J3746" s="41"/>
      <c r="K3746" s="41">
        <v>43708</v>
      </c>
      <c r="L3746" s="69" t="s">
        <v>80</v>
      </c>
      <c r="M3746" s="69" t="s">
        <v>286</v>
      </c>
      <c r="N3746" s="95"/>
      <c r="P3746" t="s">
        <v>95</v>
      </c>
      <c r="Q3746" t="s">
        <v>120</v>
      </c>
      <c r="R3746" s="92" t="s">
        <v>69</v>
      </c>
      <c r="S3746" s="92" t="s">
        <v>397</v>
      </c>
      <c r="V3746" s="95">
        <v>43708</v>
      </c>
      <c r="W3746" s="92">
        <v>2033949</v>
      </c>
      <c r="X3746" s="90"/>
      <c r="Y3746" s="123"/>
      <c r="Z3746" s="30">
        <f t="shared" si="116"/>
        <v>6772.6006943194379</v>
      </c>
      <c r="AA3746" s="30">
        <f t="shared" si="117"/>
        <v>2116.4377169748245</v>
      </c>
      <c r="AB3746" t="s">
        <v>457</v>
      </c>
    </row>
    <row r="3747" spans="1:28">
      <c r="A3747" t="s">
        <v>122</v>
      </c>
      <c r="C3747" s="92">
        <v>4615447562</v>
      </c>
      <c r="D3747" s="93">
        <v>19200</v>
      </c>
      <c r="F3747" s="91">
        <v>16</v>
      </c>
      <c r="G3747" s="96">
        <v>5</v>
      </c>
      <c r="H3747" s="94">
        <v>0</v>
      </c>
      <c r="I3747" s="91">
        <v>0</v>
      </c>
      <c r="J3747" s="41"/>
      <c r="K3747" s="41">
        <v>43708</v>
      </c>
      <c r="L3747" s="69" t="s">
        <v>80</v>
      </c>
      <c r="M3747" s="69" t="s">
        <v>286</v>
      </c>
      <c r="N3747" s="95"/>
      <c r="P3747" t="s">
        <v>95</v>
      </c>
      <c r="Q3747" t="s">
        <v>120</v>
      </c>
      <c r="R3747" s="92" t="s">
        <v>69</v>
      </c>
      <c r="S3747" s="92" t="s">
        <v>397</v>
      </c>
      <c r="V3747" s="95">
        <v>43708</v>
      </c>
      <c r="W3747" s="92">
        <v>2033949</v>
      </c>
      <c r="X3747" s="90"/>
      <c r="Y3747" s="123"/>
      <c r="Z3747" s="30">
        <f t="shared" si="116"/>
        <v>6772.6006943194379</v>
      </c>
      <c r="AA3747" s="30">
        <f t="shared" si="117"/>
        <v>2116.4377169748245</v>
      </c>
      <c r="AB3747" t="s">
        <v>457</v>
      </c>
    </row>
    <row r="3748" spans="1:28">
      <c r="A3748" t="s">
        <v>122</v>
      </c>
      <c r="C3748" s="92">
        <v>4615447562</v>
      </c>
      <c r="D3748" s="93">
        <v>19200</v>
      </c>
      <c r="F3748" s="91">
        <v>16</v>
      </c>
      <c r="G3748" s="96">
        <v>5</v>
      </c>
      <c r="H3748" s="94">
        <v>0</v>
      </c>
      <c r="I3748" s="91">
        <v>0</v>
      </c>
      <c r="J3748" s="41"/>
      <c r="K3748" s="41">
        <v>43708</v>
      </c>
      <c r="L3748" s="69" t="s">
        <v>80</v>
      </c>
      <c r="M3748" s="69" t="s">
        <v>286</v>
      </c>
      <c r="N3748" s="95"/>
      <c r="P3748" t="s">
        <v>95</v>
      </c>
      <c r="Q3748" t="s">
        <v>120</v>
      </c>
      <c r="R3748" s="92" t="s">
        <v>69</v>
      </c>
      <c r="S3748" s="92" t="s">
        <v>397</v>
      </c>
      <c r="V3748" s="95">
        <v>43708</v>
      </c>
      <c r="W3748" s="92">
        <v>2033949</v>
      </c>
      <c r="X3748" s="90"/>
      <c r="Y3748" s="123"/>
      <c r="Z3748" s="30">
        <f t="shared" si="116"/>
        <v>6772.6006943194379</v>
      </c>
      <c r="AA3748" s="30">
        <f t="shared" si="117"/>
        <v>2116.4377169748245</v>
      </c>
      <c r="AB3748" t="s">
        <v>457</v>
      </c>
    </row>
    <row r="3749" spans="1:28">
      <c r="A3749" t="s">
        <v>122</v>
      </c>
      <c r="C3749" s="92">
        <v>4615447562</v>
      </c>
      <c r="D3749" s="93">
        <v>19200</v>
      </c>
      <c r="F3749" s="91">
        <v>16</v>
      </c>
      <c r="G3749" s="96">
        <v>5</v>
      </c>
      <c r="H3749" s="94">
        <v>0</v>
      </c>
      <c r="I3749" s="91">
        <v>0</v>
      </c>
      <c r="J3749" s="41"/>
      <c r="K3749" s="41">
        <v>43708</v>
      </c>
      <c r="L3749" s="69" t="s">
        <v>80</v>
      </c>
      <c r="M3749" s="69" t="s">
        <v>286</v>
      </c>
      <c r="N3749" s="95"/>
      <c r="P3749" t="s">
        <v>95</v>
      </c>
      <c r="Q3749" t="s">
        <v>120</v>
      </c>
      <c r="R3749" s="92" t="s">
        <v>69</v>
      </c>
      <c r="S3749" s="92" t="s">
        <v>397</v>
      </c>
      <c r="V3749" s="95">
        <v>43708</v>
      </c>
      <c r="W3749" s="92">
        <v>2033949</v>
      </c>
      <c r="X3749" s="90"/>
      <c r="Y3749" s="123"/>
      <c r="Z3749" s="30">
        <f t="shared" si="116"/>
        <v>6772.6006943194379</v>
      </c>
      <c r="AA3749" s="30">
        <f t="shared" si="117"/>
        <v>2116.4377169748245</v>
      </c>
      <c r="AB3749" t="s">
        <v>457</v>
      </c>
    </row>
    <row r="3750" spans="1:28">
      <c r="A3750" t="s">
        <v>122</v>
      </c>
      <c r="C3750" s="92">
        <v>4615447562</v>
      </c>
      <c r="D3750" s="93">
        <v>19200</v>
      </c>
      <c r="F3750" s="91">
        <v>16</v>
      </c>
      <c r="G3750" s="96">
        <v>5</v>
      </c>
      <c r="H3750" s="94">
        <v>0</v>
      </c>
      <c r="I3750" s="91">
        <v>0</v>
      </c>
      <c r="J3750" s="41"/>
      <c r="K3750" s="41">
        <v>43708</v>
      </c>
      <c r="L3750" s="69" t="s">
        <v>80</v>
      </c>
      <c r="M3750" s="69" t="s">
        <v>286</v>
      </c>
      <c r="N3750" s="95"/>
      <c r="P3750" t="s">
        <v>95</v>
      </c>
      <c r="Q3750" t="s">
        <v>120</v>
      </c>
      <c r="R3750" s="92" t="s">
        <v>69</v>
      </c>
      <c r="S3750" s="92" t="s">
        <v>397</v>
      </c>
      <c r="V3750" s="95">
        <v>43708</v>
      </c>
      <c r="W3750" s="92">
        <v>2033949</v>
      </c>
      <c r="X3750" s="90"/>
      <c r="Y3750" s="123"/>
      <c r="Z3750" s="30">
        <f t="shared" si="116"/>
        <v>6772.6006943194379</v>
      </c>
      <c r="AA3750" s="30">
        <f t="shared" si="117"/>
        <v>2116.4377169748245</v>
      </c>
      <c r="AB3750" t="s">
        <v>457</v>
      </c>
    </row>
    <row r="3751" spans="1:28">
      <c r="A3751" t="s">
        <v>122</v>
      </c>
      <c r="C3751" s="92">
        <v>4615447562</v>
      </c>
      <c r="D3751" s="93">
        <v>19200</v>
      </c>
      <c r="F3751" s="91">
        <v>16</v>
      </c>
      <c r="G3751" s="96">
        <v>5</v>
      </c>
      <c r="H3751" s="94">
        <v>0</v>
      </c>
      <c r="I3751" s="91">
        <v>0</v>
      </c>
      <c r="J3751" s="41"/>
      <c r="K3751" s="41">
        <v>43708</v>
      </c>
      <c r="L3751" s="69" t="s">
        <v>80</v>
      </c>
      <c r="M3751" s="69" t="s">
        <v>286</v>
      </c>
      <c r="N3751" s="95"/>
      <c r="P3751" t="s">
        <v>95</v>
      </c>
      <c r="Q3751" t="s">
        <v>120</v>
      </c>
      <c r="R3751" s="92" t="s">
        <v>69</v>
      </c>
      <c r="S3751" s="92" t="s">
        <v>397</v>
      </c>
      <c r="V3751" s="95">
        <v>43708</v>
      </c>
      <c r="W3751" s="92">
        <v>2033949</v>
      </c>
      <c r="X3751" s="90"/>
      <c r="Y3751" s="123"/>
      <c r="Z3751" s="30">
        <f t="shared" si="116"/>
        <v>6772.6006943194379</v>
      </c>
      <c r="AA3751" s="30">
        <f t="shared" si="117"/>
        <v>2116.4377169748245</v>
      </c>
      <c r="AB3751" t="s">
        <v>457</v>
      </c>
    </row>
    <row r="3752" spans="1:28">
      <c r="A3752" t="s">
        <v>122</v>
      </c>
      <c r="C3752" s="92">
        <v>4615486130</v>
      </c>
      <c r="D3752" s="93">
        <v>19200</v>
      </c>
      <c r="F3752" s="91">
        <v>16</v>
      </c>
      <c r="G3752" s="96">
        <v>5</v>
      </c>
      <c r="H3752" s="94">
        <v>0</v>
      </c>
      <c r="I3752" s="91">
        <v>0</v>
      </c>
      <c r="J3752" s="41"/>
      <c r="K3752" s="41">
        <v>43708</v>
      </c>
      <c r="L3752" s="69" t="s">
        <v>80</v>
      </c>
      <c r="M3752" s="69" t="s">
        <v>286</v>
      </c>
      <c r="N3752" s="95"/>
      <c r="P3752" t="s">
        <v>95</v>
      </c>
      <c r="Q3752" t="s">
        <v>120</v>
      </c>
      <c r="R3752" s="92" t="s">
        <v>69</v>
      </c>
      <c r="S3752" s="92" t="s">
        <v>293</v>
      </c>
      <c r="V3752" s="95">
        <v>43708</v>
      </c>
      <c r="W3752" s="92">
        <v>2033959</v>
      </c>
      <c r="X3752" s="90"/>
      <c r="Y3752" s="123"/>
      <c r="Z3752" s="30">
        <f t="shared" si="116"/>
        <v>6772.6006943194379</v>
      </c>
      <c r="AA3752" s="30">
        <f t="shared" si="117"/>
        <v>2116.4377169748245</v>
      </c>
      <c r="AB3752" t="s">
        <v>457</v>
      </c>
    </row>
    <row r="3753" spans="1:28">
      <c r="A3753" t="s">
        <v>122</v>
      </c>
      <c r="C3753" s="92">
        <v>4615486130</v>
      </c>
      <c r="D3753" s="93">
        <v>19200</v>
      </c>
      <c r="F3753" s="91">
        <v>16</v>
      </c>
      <c r="G3753" s="96">
        <v>5</v>
      </c>
      <c r="H3753" s="94">
        <v>0</v>
      </c>
      <c r="I3753" s="91">
        <v>0</v>
      </c>
      <c r="J3753" s="41"/>
      <c r="K3753" s="41">
        <v>43708</v>
      </c>
      <c r="L3753" s="69" t="s">
        <v>80</v>
      </c>
      <c r="M3753" s="69" t="s">
        <v>286</v>
      </c>
      <c r="N3753" s="95"/>
      <c r="P3753" t="s">
        <v>95</v>
      </c>
      <c r="Q3753" t="s">
        <v>120</v>
      </c>
      <c r="R3753" s="92" t="s">
        <v>69</v>
      </c>
      <c r="S3753" s="92" t="s">
        <v>293</v>
      </c>
      <c r="V3753" s="95">
        <v>43708</v>
      </c>
      <c r="W3753" s="92">
        <v>2033959</v>
      </c>
      <c r="X3753" s="90"/>
      <c r="Y3753" s="123"/>
      <c r="Z3753" s="30">
        <f t="shared" si="116"/>
        <v>6772.6006943194379</v>
      </c>
      <c r="AA3753" s="30">
        <f t="shared" si="117"/>
        <v>2116.4377169748245</v>
      </c>
      <c r="AB3753" t="s">
        <v>457</v>
      </c>
    </row>
    <row r="3754" spans="1:28">
      <c r="A3754" t="s">
        <v>122</v>
      </c>
      <c r="C3754" s="92">
        <v>4615486130</v>
      </c>
      <c r="D3754" s="93">
        <v>19200</v>
      </c>
      <c r="F3754" s="91">
        <v>16</v>
      </c>
      <c r="G3754" s="96">
        <v>5</v>
      </c>
      <c r="H3754" s="94">
        <v>0</v>
      </c>
      <c r="I3754" s="91">
        <v>0</v>
      </c>
      <c r="J3754" s="41"/>
      <c r="K3754" s="41">
        <v>43708</v>
      </c>
      <c r="L3754" s="69" t="s">
        <v>80</v>
      </c>
      <c r="M3754" s="69" t="s">
        <v>286</v>
      </c>
      <c r="N3754" s="95"/>
      <c r="P3754" t="s">
        <v>95</v>
      </c>
      <c r="Q3754" t="s">
        <v>120</v>
      </c>
      <c r="R3754" s="92" t="s">
        <v>69</v>
      </c>
      <c r="S3754" s="92" t="s">
        <v>293</v>
      </c>
      <c r="V3754" s="95">
        <v>43708</v>
      </c>
      <c r="W3754" s="92">
        <v>2033959</v>
      </c>
      <c r="X3754" s="90"/>
      <c r="Y3754" s="123"/>
      <c r="Z3754" s="30">
        <f t="shared" si="116"/>
        <v>6772.6006943194379</v>
      </c>
      <c r="AA3754" s="30">
        <f t="shared" si="117"/>
        <v>2116.4377169748245</v>
      </c>
      <c r="AB3754" t="s">
        <v>457</v>
      </c>
    </row>
    <row r="3755" spans="1:28">
      <c r="A3755" t="s">
        <v>122</v>
      </c>
      <c r="C3755" s="92">
        <v>4615486130</v>
      </c>
      <c r="D3755" s="93">
        <v>19200</v>
      </c>
      <c r="F3755" s="91">
        <v>16</v>
      </c>
      <c r="G3755" s="96">
        <v>5</v>
      </c>
      <c r="H3755" s="94">
        <v>0</v>
      </c>
      <c r="I3755" s="91">
        <v>0</v>
      </c>
      <c r="J3755" s="41"/>
      <c r="K3755" s="41">
        <v>43708</v>
      </c>
      <c r="L3755" s="69" t="s">
        <v>80</v>
      </c>
      <c r="M3755" s="69" t="s">
        <v>286</v>
      </c>
      <c r="N3755" s="95"/>
      <c r="P3755" t="s">
        <v>95</v>
      </c>
      <c r="Q3755" t="s">
        <v>120</v>
      </c>
      <c r="R3755" s="92" t="s">
        <v>69</v>
      </c>
      <c r="S3755" s="92" t="s">
        <v>293</v>
      </c>
      <c r="V3755" s="95">
        <v>43708</v>
      </c>
      <c r="W3755" s="92">
        <v>2033959</v>
      </c>
      <c r="X3755" s="90"/>
      <c r="Y3755" s="123"/>
      <c r="Z3755" s="30">
        <f t="shared" si="116"/>
        <v>6772.6006943194379</v>
      </c>
      <c r="AA3755" s="30">
        <f t="shared" si="117"/>
        <v>2116.4377169748245</v>
      </c>
      <c r="AB3755" t="s">
        <v>457</v>
      </c>
    </row>
    <row r="3756" spans="1:28">
      <c r="A3756" t="s">
        <v>113</v>
      </c>
      <c r="C3756" s="92">
        <v>4615507783</v>
      </c>
      <c r="D3756" s="93">
        <v>19175</v>
      </c>
      <c r="F3756" s="91">
        <v>16</v>
      </c>
      <c r="G3756" s="91">
        <v>0</v>
      </c>
      <c r="H3756" s="91">
        <v>0</v>
      </c>
      <c r="I3756" s="91">
        <v>0</v>
      </c>
      <c r="J3756" s="41"/>
      <c r="K3756" s="41">
        <v>43708</v>
      </c>
      <c r="L3756" s="69" t="s">
        <v>80</v>
      </c>
      <c r="M3756" s="69" t="s">
        <v>286</v>
      </c>
      <c r="N3756" s="95"/>
      <c r="P3756" t="s">
        <v>95</v>
      </c>
      <c r="Q3756" t="s">
        <v>110</v>
      </c>
      <c r="R3756" s="92" t="s">
        <v>69</v>
      </c>
      <c r="S3756" s="92" t="s">
        <v>115</v>
      </c>
      <c r="V3756" s="95">
        <v>43708</v>
      </c>
      <c r="W3756" s="92" t="s">
        <v>418</v>
      </c>
      <c r="X3756" s="90"/>
      <c r="Y3756" s="123"/>
      <c r="Z3756" s="30">
        <f t="shared" si="116"/>
        <v>6763.7822038320437</v>
      </c>
      <c r="AA3756" s="30">
        <f t="shared" si="117"/>
        <v>0</v>
      </c>
      <c r="AB3756" t="s">
        <v>457</v>
      </c>
    </row>
    <row r="3757" spans="1:28">
      <c r="A3757" t="s">
        <v>113</v>
      </c>
      <c r="C3757" s="92">
        <v>4615507783</v>
      </c>
      <c r="D3757" s="93">
        <v>19175</v>
      </c>
      <c r="F3757" s="91">
        <v>16</v>
      </c>
      <c r="G3757" s="91">
        <v>0</v>
      </c>
      <c r="H3757" s="91">
        <v>0</v>
      </c>
      <c r="I3757" s="91">
        <v>0</v>
      </c>
      <c r="J3757" s="41"/>
      <c r="K3757" s="41">
        <v>43708</v>
      </c>
      <c r="L3757" s="69" t="s">
        <v>80</v>
      </c>
      <c r="M3757" s="69" t="s">
        <v>286</v>
      </c>
      <c r="N3757" s="95"/>
      <c r="P3757" t="s">
        <v>95</v>
      </c>
      <c r="Q3757" t="s">
        <v>110</v>
      </c>
      <c r="R3757" s="92" t="s">
        <v>69</v>
      </c>
      <c r="S3757" s="92" t="s">
        <v>115</v>
      </c>
      <c r="V3757" s="95">
        <v>43708</v>
      </c>
      <c r="W3757" s="92" t="s">
        <v>418</v>
      </c>
      <c r="X3757" s="90"/>
      <c r="Y3757" s="123"/>
      <c r="Z3757" s="30">
        <f t="shared" si="116"/>
        <v>6763.7822038320437</v>
      </c>
      <c r="AA3757" s="30">
        <f t="shared" si="117"/>
        <v>0</v>
      </c>
      <c r="AB3757" t="s">
        <v>457</v>
      </c>
    </row>
    <row r="3758" spans="1:28">
      <c r="A3758" t="s">
        <v>113</v>
      </c>
      <c r="C3758" s="92">
        <v>4615507783</v>
      </c>
      <c r="D3758" s="93">
        <v>19175</v>
      </c>
      <c r="F3758" s="91">
        <v>16</v>
      </c>
      <c r="G3758" s="91">
        <v>0</v>
      </c>
      <c r="H3758" s="91">
        <v>0</v>
      </c>
      <c r="I3758" s="91">
        <v>0</v>
      </c>
      <c r="J3758" s="41"/>
      <c r="K3758" s="41">
        <v>43708</v>
      </c>
      <c r="L3758" s="69" t="s">
        <v>80</v>
      </c>
      <c r="M3758" s="69" t="s">
        <v>286</v>
      </c>
      <c r="N3758" s="95"/>
      <c r="P3758" t="s">
        <v>95</v>
      </c>
      <c r="Q3758" t="s">
        <v>110</v>
      </c>
      <c r="R3758" s="92" t="s">
        <v>69</v>
      </c>
      <c r="S3758" s="92" t="s">
        <v>115</v>
      </c>
      <c r="V3758" s="95">
        <v>43708</v>
      </c>
      <c r="W3758" s="92" t="s">
        <v>418</v>
      </c>
      <c r="X3758" s="90"/>
      <c r="Y3758" s="123"/>
      <c r="Z3758" s="30">
        <f t="shared" si="116"/>
        <v>6763.7822038320437</v>
      </c>
      <c r="AA3758" s="30">
        <f t="shared" si="117"/>
        <v>0</v>
      </c>
      <c r="AB3758" t="s">
        <v>457</v>
      </c>
    </row>
    <row r="3759" spans="1:28">
      <c r="A3759" t="s">
        <v>113</v>
      </c>
      <c r="C3759" s="92">
        <v>4615507783</v>
      </c>
      <c r="D3759" s="93">
        <v>19175</v>
      </c>
      <c r="F3759" s="91">
        <v>16</v>
      </c>
      <c r="G3759" s="91">
        <v>0</v>
      </c>
      <c r="H3759" s="91">
        <v>0</v>
      </c>
      <c r="I3759" s="91">
        <v>0</v>
      </c>
      <c r="J3759" s="41"/>
      <c r="K3759" s="41">
        <v>43708</v>
      </c>
      <c r="L3759" s="69" t="s">
        <v>80</v>
      </c>
      <c r="M3759" s="69" t="s">
        <v>286</v>
      </c>
      <c r="N3759" s="95"/>
      <c r="P3759" t="s">
        <v>95</v>
      </c>
      <c r="Q3759" t="s">
        <v>110</v>
      </c>
      <c r="R3759" s="92" t="s">
        <v>69</v>
      </c>
      <c r="S3759" s="92" t="s">
        <v>115</v>
      </c>
      <c r="V3759" s="95">
        <v>43708</v>
      </c>
      <c r="W3759" s="92" t="s">
        <v>418</v>
      </c>
      <c r="X3759" s="90"/>
      <c r="Y3759" s="123"/>
      <c r="Z3759" s="30">
        <f t="shared" si="116"/>
        <v>6763.7822038320437</v>
      </c>
      <c r="AA3759" s="30">
        <f t="shared" si="117"/>
        <v>0</v>
      </c>
      <c r="AB3759" t="s">
        <v>457</v>
      </c>
    </row>
    <row r="3760" spans="1:28">
      <c r="A3760" t="s">
        <v>113</v>
      </c>
      <c r="C3760" s="92">
        <v>4615507783</v>
      </c>
      <c r="D3760" s="93">
        <v>19175</v>
      </c>
      <c r="F3760" s="91">
        <v>16</v>
      </c>
      <c r="G3760" s="91">
        <v>0</v>
      </c>
      <c r="H3760" s="91">
        <v>0</v>
      </c>
      <c r="I3760" s="91">
        <v>0</v>
      </c>
      <c r="J3760" s="41"/>
      <c r="K3760" s="41">
        <v>43708</v>
      </c>
      <c r="L3760" s="69" t="s">
        <v>80</v>
      </c>
      <c r="M3760" s="69" t="s">
        <v>286</v>
      </c>
      <c r="N3760" s="95"/>
      <c r="P3760" t="s">
        <v>95</v>
      </c>
      <c r="Q3760" t="s">
        <v>110</v>
      </c>
      <c r="R3760" s="92" t="s">
        <v>69</v>
      </c>
      <c r="S3760" s="92" t="s">
        <v>115</v>
      </c>
      <c r="V3760" s="95">
        <v>43708</v>
      </c>
      <c r="W3760" s="92" t="s">
        <v>418</v>
      </c>
      <c r="X3760" s="90"/>
      <c r="Y3760" s="123"/>
      <c r="Z3760" s="30">
        <f t="shared" si="116"/>
        <v>6763.7822038320437</v>
      </c>
      <c r="AA3760" s="30">
        <f t="shared" si="117"/>
        <v>0</v>
      </c>
      <c r="AB3760" t="s">
        <v>457</v>
      </c>
    </row>
    <row r="3761" spans="1:28">
      <c r="A3761" t="s">
        <v>113</v>
      </c>
      <c r="C3761" s="92">
        <v>4615507783</v>
      </c>
      <c r="D3761" s="93">
        <v>19175</v>
      </c>
      <c r="F3761" s="91">
        <v>16</v>
      </c>
      <c r="G3761" s="91">
        <v>0</v>
      </c>
      <c r="H3761" s="91">
        <v>0</v>
      </c>
      <c r="I3761" s="91">
        <v>0</v>
      </c>
      <c r="J3761" s="41"/>
      <c r="K3761" s="41">
        <v>43708</v>
      </c>
      <c r="L3761" s="69" t="s">
        <v>80</v>
      </c>
      <c r="M3761" s="69" t="s">
        <v>286</v>
      </c>
      <c r="N3761" s="95"/>
      <c r="P3761" t="s">
        <v>95</v>
      </c>
      <c r="Q3761" t="s">
        <v>110</v>
      </c>
      <c r="R3761" s="92" t="s">
        <v>69</v>
      </c>
      <c r="S3761" s="92" t="s">
        <v>115</v>
      </c>
      <c r="V3761" s="95">
        <v>43708</v>
      </c>
      <c r="W3761" s="92" t="s">
        <v>418</v>
      </c>
      <c r="X3761" s="90"/>
      <c r="Y3761" s="123"/>
      <c r="Z3761" s="30">
        <f t="shared" si="116"/>
        <v>6763.7822038320437</v>
      </c>
      <c r="AA3761" s="30">
        <f t="shared" si="117"/>
        <v>0</v>
      </c>
      <c r="AB3761" t="s">
        <v>457</v>
      </c>
    </row>
    <row r="3762" spans="1:28">
      <c r="A3762" t="s">
        <v>113</v>
      </c>
      <c r="C3762" s="92">
        <v>4615507783</v>
      </c>
      <c r="D3762" s="93">
        <v>19175</v>
      </c>
      <c r="F3762" s="91">
        <v>16</v>
      </c>
      <c r="G3762" s="91">
        <v>0</v>
      </c>
      <c r="H3762" s="91">
        <v>0</v>
      </c>
      <c r="I3762" s="91">
        <v>0</v>
      </c>
      <c r="J3762" s="41"/>
      <c r="K3762" s="41">
        <v>43708</v>
      </c>
      <c r="L3762" s="69" t="s">
        <v>80</v>
      </c>
      <c r="M3762" s="69" t="s">
        <v>286</v>
      </c>
      <c r="N3762" s="95"/>
      <c r="P3762" t="s">
        <v>95</v>
      </c>
      <c r="Q3762" t="s">
        <v>110</v>
      </c>
      <c r="R3762" s="92" t="s">
        <v>69</v>
      </c>
      <c r="S3762" s="92" t="s">
        <v>115</v>
      </c>
      <c r="V3762" s="95">
        <v>43708</v>
      </c>
      <c r="W3762" s="92" t="s">
        <v>418</v>
      </c>
      <c r="X3762" s="90"/>
      <c r="Y3762" s="123"/>
      <c r="Z3762" s="30">
        <f t="shared" si="116"/>
        <v>6763.7822038320437</v>
      </c>
      <c r="AA3762" s="30">
        <f t="shared" si="117"/>
        <v>0</v>
      </c>
      <c r="AB3762" t="s">
        <v>457</v>
      </c>
    </row>
    <row r="3763" spans="1:28">
      <c r="A3763" t="s">
        <v>113</v>
      </c>
      <c r="C3763" s="92">
        <v>4615507783</v>
      </c>
      <c r="D3763" s="93">
        <v>19175</v>
      </c>
      <c r="F3763" s="91">
        <v>16</v>
      </c>
      <c r="G3763" s="91">
        <v>0</v>
      </c>
      <c r="H3763" s="91">
        <v>0</v>
      </c>
      <c r="I3763" s="91">
        <v>0</v>
      </c>
      <c r="J3763" s="41"/>
      <c r="K3763" s="41">
        <v>43708</v>
      </c>
      <c r="L3763" s="69" t="s">
        <v>80</v>
      </c>
      <c r="M3763" s="69" t="s">
        <v>286</v>
      </c>
      <c r="N3763" s="95"/>
      <c r="P3763" t="s">
        <v>95</v>
      </c>
      <c r="Q3763" t="s">
        <v>110</v>
      </c>
      <c r="R3763" s="92" t="s">
        <v>69</v>
      </c>
      <c r="S3763" s="92" t="s">
        <v>115</v>
      </c>
      <c r="V3763" s="95">
        <v>43708</v>
      </c>
      <c r="W3763" s="92" t="s">
        <v>418</v>
      </c>
      <c r="X3763" s="90"/>
      <c r="Y3763" s="123"/>
      <c r="Z3763" s="30">
        <f t="shared" si="116"/>
        <v>6763.7822038320437</v>
      </c>
      <c r="AA3763" s="30">
        <f t="shared" si="117"/>
        <v>0</v>
      </c>
      <c r="AB3763" t="s">
        <v>457</v>
      </c>
    </row>
    <row r="3764" spans="1:28">
      <c r="A3764" t="s">
        <v>113</v>
      </c>
      <c r="C3764" s="92">
        <v>4615507783</v>
      </c>
      <c r="D3764" s="93">
        <v>19175</v>
      </c>
      <c r="F3764" s="91">
        <v>16</v>
      </c>
      <c r="G3764" s="91">
        <v>0</v>
      </c>
      <c r="H3764" s="91">
        <v>0</v>
      </c>
      <c r="I3764" s="91">
        <v>0</v>
      </c>
      <c r="J3764" s="41"/>
      <c r="K3764" s="41">
        <v>43708</v>
      </c>
      <c r="L3764" s="69" t="s">
        <v>80</v>
      </c>
      <c r="M3764" s="69" t="s">
        <v>286</v>
      </c>
      <c r="N3764" s="95"/>
      <c r="P3764" t="s">
        <v>95</v>
      </c>
      <c r="Q3764" t="s">
        <v>110</v>
      </c>
      <c r="R3764" s="92" t="s">
        <v>69</v>
      </c>
      <c r="S3764" s="92" t="s">
        <v>115</v>
      </c>
      <c r="V3764" s="95">
        <v>43708</v>
      </c>
      <c r="W3764" s="92" t="s">
        <v>418</v>
      </c>
      <c r="X3764" s="90"/>
      <c r="Y3764" s="123"/>
      <c r="Z3764" s="30">
        <f t="shared" si="116"/>
        <v>6763.7822038320437</v>
      </c>
      <c r="AA3764" s="30">
        <f t="shared" si="117"/>
        <v>0</v>
      </c>
      <c r="AB3764" t="s">
        <v>457</v>
      </c>
    </row>
    <row r="3765" spans="1:28">
      <c r="A3765" t="s">
        <v>113</v>
      </c>
      <c r="C3765" s="92">
        <v>4615507783</v>
      </c>
      <c r="D3765" s="93">
        <v>19175</v>
      </c>
      <c r="F3765" s="91">
        <v>16</v>
      </c>
      <c r="G3765" s="91">
        <v>0</v>
      </c>
      <c r="H3765" s="91">
        <v>0</v>
      </c>
      <c r="I3765" s="91">
        <v>0</v>
      </c>
      <c r="J3765" s="41"/>
      <c r="K3765" s="41">
        <v>43708</v>
      </c>
      <c r="L3765" s="69" t="s">
        <v>80</v>
      </c>
      <c r="M3765" s="69" t="s">
        <v>286</v>
      </c>
      <c r="N3765" s="95"/>
      <c r="P3765" t="s">
        <v>95</v>
      </c>
      <c r="Q3765" t="s">
        <v>110</v>
      </c>
      <c r="R3765" s="92" t="s">
        <v>69</v>
      </c>
      <c r="S3765" s="92" t="s">
        <v>115</v>
      </c>
      <c r="V3765" s="95">
        <v>43708</v>
      </c>
      <c r="W3765" s="92" t="s">
        <v>418</v>
      </c>
      <c r="X3765" s="90"/>
      <c r="Y3765" s="123"/>
      <c r="Z3765" s="30">
        <f t="shared" si="116"/>
        <v>6763.7822038320437</v>
      </c>
      <c r="AA3765" s="30">
        <f t="shared" si="117"/>
        <v>0</v>
      </c>
      <c r="AB3765" t="s">
        <v>457</v>
      </c>
    </row>
    <row r="3766" spans="1:28">
      <c r="A3766" t="s">
        <v>113</v>
      </c>
      <c r="C3766" s="92">
        <v>4615507783</v>
      </c>
      <c r="D3766" s="93">
        <v>19175</v>
      </c>
      <c r="F3766" s="91">
        <v>16</v>
      </c>
      <c r="G3766" s="91">
        <v>0</v>
      </c>
      <c r="H3766" s="91">
        <v>0</v>
      </c>
      <c r="I3766" s="91">
        <v>0</v>
      </c>
      <c r="J3766" s="41"/>
      <c r="K3766" s="41">
        <v>43708</v>
      </c>
      <c r="L3766" s="69" t="s">
        <v>80</v>
      </c>
      <c r="M3766" s="69" t="s">
        <v>286</v>
      </c>
      <c r="N3766" s="95"/>
      <c r="P3766" t="s">
        <v>95</v>
      </c>
      <c r="Q3766" t="s">
        <v>110</v>
      </c>
      <c r="R3766" s="92" t="s">
        <v>69</v>
      </c>
      <c r="S3766" s="92" t="s">
        <v>115</v>
      </c>
      <c r="V3766" s="95">
        <v>43708</v>
      </c>
      <c r="W3766" s="92" t="s">
        <v>418</v>
      </c>
      <c r="X3766" s="90"/>
      <c r="Y3766" s="123"/>
      <c r="Z3766" s="30">
        <f t="shared" si="116"/>
        <v>6763.7822038320437</v>
      </c>
      <c r="AA3766" s="30">
        <f t="shared" si="117"/>
        <v>0</v>
      </c>
      <c r="AB3766" t="s">
        <v>457</v>
      </c>
    </row>
    <row r="3767" spans="1:28">
      <c r="A3767" t="s">
        <v>113</v>
      </c>
      <c r="C3767" s="92">
        <v>4615507783</v>
      </c>
      <c r="D3767" s="93">
        <v>19175</v>
      </c>
      <c r="F3767" s="91">
        <v>16</v>
      </c>
      <c r="G3767" s="91">
        <v>0</v>
      </c>
      <c r="H3767" s="91">
        <v>0</v>
      </c>
      <c r="I3767" s="91">
        <v>0</v>
      </c>
      <c r="J3767" s="41"/>
      <c r="K3767" s="41">
        <v>43708</v>
      </c>
      <c r="L3767" s="69" t="s">
        <v>80</v>
      </c>
      <c r="M3767" s="69" t="s">
        <v>286</v>
      </c>
      <c r="N3767" s="95"/>
      <c r="P3767" t="s">
        <v>95</v>
      </c>
      <c r="Q3767" t="s">
        <v>110</v>
      </c>
      <c r="R3767" s="92" t="s">
        <v>69</v>
      </c>
      <c r="S3767" s="92" t="s">
        <v>115</v>
      </c>
      <c r="V3767" s="95">
        <v>43708</v>
      </c>
      <c r="W3767" s="92" t="s">
        <v>418</v>
      </c>
      <c r="X3767" s="90"/>
      <c r="Y3767" s="123"/>
      <c r="Z3767" s="30">
        <f t="shared" si="116"/>
        <v>6763.7822038320437</v>
      </c>
      <c r="AA3767" s="30">
        <f t="shared" si="117"/>
        <v>0</v>
      </c>
      <c r="AB3767" t="s">
        <v>457</v>
      </c>
    </row>
    <row r="3768" spans="1:28">
      <c r="A3768" t="s">
        <v>113</v>
      </c>
      <c r="C3768" s="92">
        <v>4615507783</v>
      </c>
      <c r="D3768" s="93">
        <v>19175</v>
      </c>
      <c r="F3768" s="91">
        <v>16</v>
      </c>
      <c r="G3768" s="91">
        <v>0</v>
      </c>
      <c r="H3768" s="91">
        <v>0</v>
      </c>
      <c r="I3768" s="91">
        <v>0</v>
      </c>
      <c r="J3768" s="41"/>
      <c r="K3768" s="41">
        <v>43708</v>
      </c>
      <c r="L3768" s="69" t="s">
        <v>80</v>
      </c>
      <c r="M3768" s="69" t="s">
        <v>286</v>
      </c>
      <c r="N3768" s="95"/>
      <c r="P3768" t="s">
        <v>95</v>
      </c>
      <c r="Q3768" t="s">
        <v>110</v>
      </c>
      <c r="R3768" s="92" t="s">
        <v>69</v>
      </c>
      <c r="S3768" s="92" t="s">
        <v>115</v>
      </c>
      <c r="V3768" s="95">
        <v>43708</v>
      </c>
      <c r="W3768" s="92" t="s">
        <v>418</v>
      </c>
      <c r="X3768" s="90"/>
      <c r="Y3768" s="123"/>
      <c r="Z3768" s="30">
        <f t="shared" si="116"/>
        <v>6763.7822038320437</v>
      </c>
      <c r="AA3768" s="30">
        <f t="shared" si="117"/>
        <v>0</v>
      </c>
      <c r="AB3768" t="s">
        <v>457</v>
      </c>
    </row>
    <row r="3769" spans="1:28">
      <c r="A3769" t="s">
        <v>113</v>
      </c>
      <c r="C3769" s="92">
        <v>4615507783</v>
      </c>
      <c r="D3769" s="93">
        <v>19175</v>
      </c>
      <c r="F3769" s="91">
        <v>16</v>
      </c>
      <c r="G3769" s="91">
        <v>0</v>
      </c>
      <c r="H3769" s="91">
        <v>0</v>
      </c>
      <c r="I3769" s="91">
        <v>0</v>
      </c>
      <c r="J3769" s="41"/>
      <c r="K3769" s="41">
        <v>43708</v>
      </c>
      <c r="L3769" s="69" t="s">
        <v>80</v>
      </c>
      <c r="M3769" s="69" t="s">
        <v>286</v>
      </c>
      <c r="N3769" s="95"/>
      <c r="P3769" t="s">
        <v>95</v>
      </c>
      <c r="Q3769" t="s">
        <v>110</v>
      </c>
      <c r="R3769" s="92" t="s">
        <v>69</v>
      </c>
      <c r="S3769" s="92" t="s">
        <v>115</v>
      </c>
      <c r="V3769" s="95">
        <v>43708</v>
      </c>
      <c r="W3769" s="92" t="s">
        <v>418</v>
      </c>
      <c r="X3769" s="90"/>
      <c r="Y3769" s="123"/>
      <c r="Z3769" s="30">
        <f t="shared" si="116"/>
        <v>6763.7822038320437</v>
      </c>
      <c r="AA3769" s="30">
        <f t="shared" si="117"/>
        <v>0</v>
      </c>
      <c r="AB3769" t="s">
        <v>457</v>
      </c>
    </row>
    <row r="3770" spans="1:28">
      <c r="A3770" t="s">
        <v>113</v>
      </c>
      <c r="C3770" s="92">
        <v>4615507783</v>
      </c>
      <c r="D3770" s="93">
        <v>19175</v>
      </c>
      <c r="F3770" s="91">
        <v>16</v>
      </c>
      <c r="G3770" s="91">
        <v>0</v>
      </c>
      <c r="H3770" s="91">
        <v>0</v>
      </c>
      <c r="I3770" s="91">
        <v>0</v>
      </c>
      <c r="J3770" s="41"/>
      <c r="K3770" s="41">
        <v>43708</v>
      </c>
      <c r="L3770" s="69" t="s">
        <v>80</v>
      </c>
      <c r="M3770" s="69" t="s">
        <v>286</v>
      </c>
      <c r="N3770" s="95"/>
      <c r="P3770" t="s">
        <v>95</v>
      </c>
      <c r="Q3770" t="s">
        <v>110</v>
      </c>
      <c r="R3770" s="92" t="s">
        <v>69</v>
      </c>
      <c r="S3770" s="92" t="s">
        <v>115</v>
      </c>
      <c r="V3770" s="95">
        <v>43708</v>
      </c>
      <c r="W3770" s="92" t="s">
        <v>418</v>
      </c>
      <c r="X3770" s="90"/>
      <c r="Y3770" s="123"/>
      <c r="Z3770" s="30">
        <f t="shared" si="116"/>
        <v>6763.7822038320437</v>
      </c>
      <c r="AA3770" s="30">
        <f t="shared" si="117"/>
        <v>0</v>
      </c>
      <c r="AB3770" t="s">
        <v>457</v>
      </c>
    </row>
    <row r="3771" spans="1:28">
      <c r="A3771" t="s">
        <v>113</v>
      </c>
      <c r="C3771" s="92">
        <v>4615507783</v>
      </c>
      <c r="D3771" s="93">
        <v>19175</v>
      </c>
      <c r="F3771" s="91">
        <v>16</v>
      </c>
      <c r="G3771" s="91">
        <v>0</v>
      </c>
      <c r="H3771" s="91">
        <v>0</v>
      </c>
      <c r="I3771" s="91">
        <v>0</v>
      </c>
      <c r="J3771" s="41"/>
      <c r="K3771" s="41">
        <v>43708</v>
      </c>
      <c r="L3771" s="69" t="s">
        <v>80</v>
      </c>
      <c r="M3771" s="69" t="s">
        <v>286</v>
      </c>
      <c r="N3771" s="95"/>
      <c r="P3771" t="s">
        <v>95</v>
      </c>
      <c r="Q3771" t="s">
        <v>110</v>
      </c>
      <c r="R3771" s="92" t="s">
        <v>69</v>
      </c>
      <c r="S3771" s="92" t="s">
        <v>115</v>
      </c>
      <c r="V3771" s="95">
        <v>43708</v>
      </c>
      <c r="W3771" s="92" t="s">
        <v>418</v>
      </c>
      <c r="X3771" s="90"/>
      <c r="Y3771" s="123"/>
      <c r="Z3771" s="30">
        <f t="shared" si="116"/>
        <v>6763.7822038320437</v>
      </c>
      <c r="AA3771" s="30">
        <f t="shared" si="117"/>
        <v>0</v>
      </c>
      <c r="AB3771" t="s">
        <v>457</v>
      </c>
    </row>
    <row r="3772" spans="1:28">
      <c r="A3772" t="s">
        <v>113</v>
      </c>
      <c r="C3772" s="92">
        <v>4615507783</v>
      </c>
      <c r="D3772" s="93">
        <v>19175</v>
      </c>
      <c r="F3772" s="91">
        <v>16</v>
      </c>
      <c r="G3772" s="91">
        <v>0</v>
      </c>
      <c r="H3772" s="91">
        <v>0</v>
      </c>
      <c r="I3772" s="91">
        <v>0</v>
      </c>
      <c r="J3772" s="41"/>
      <c r="K3772" s="41">
        <v>43708</v>
      </c>
      <c r="L3772" s="69" t="s">
        <v>80</v>
      </c>
      <c r="M3772" s="69" t="s">
        <v>286</v>
      </c>
      <c r="N3772" s="95"/>
      <c r="P3772" t="s">
        <v>95</v>
      </c>
      <c r="Q3772" t="s">
        <v>110</v>
      </c>
      <c r="R3772" s="92" t="s">
        <v>69</v>
      </c>
      <c r="S3772" s="92" t="s">
        <v>115</v>
      </c>
      <c r="V3772" s="95">
        <v>43708</v>
      </c>
      <c r="W3772" s="92" t="s">
        <v>418</v>
      </c>
      <c r="X3772" s="90"/>
      <c r="Y3772" s="123"/>
      <c r="Z3772" s="30">
        <f t="shared" si="116"/>
        <v>6763.7822038320437</v>
      </c>
      <c r="AA3772" s="30">
        <f t="shared" si="117"/>
        <v>0</v>
      </c>
      <c r="AB3772" t="s">
        <v>457</v>
      </c>
    </row>
    <row r="3773" spans="1:28">
      <c r="A3773" t="s">
        <v>113</v>
      </c>
      <c r="C3773" s="92">
        <v>4615507783</v>
      </c>
      <c r="D3773" s="93">
        <v>19175</v>
      </c>
      <c r="F3773" s="91">
        <v>16</v>
      </c>
      <c r="G3773" s="91">
        <v>0</v>
      </c>
      <c r="H3773" s="91">
        <v>0</v>
      </c>
      <c r="I3773" s="91">
        <v>0</v>
      </c>
      <c r="J3773" s="41"/>
      <c r="K3773" s="41">
        <v>43708</v>
      </c>
      <c r="L3773" s="69" t="s">
        <v>80</v>
      </c>
      <c r="M3773" s="69" t="s">
        <v>286</v>
      </c>
      <c r="N3773" s="95"/>
      <c r="P3773" t="s">
        <v>95</v>
      </c>
      <c r="Q3773" t="s">
        <v>110</v>
      </c>
      <c r="R3773" s="92" t="s">
        <v>69</v>
      </c>
      <c r="S3773" s="92" t="s">
        <v>115</v>
      </c>
      <c r="V3773" s="95">
        <v>43708</v>
      </c>
      <c r="W3773" s="92" t="s">
        <v>418</v>
      </c>
      <c r="X3773" s="90"/>
      <c r="Y3773" s="123"/>
      <c r="Z3773" s="30">
        <f t="shared" si="116"/>
        <v>6763.7822038320437</v>
      </c>
      <c r="AA3773" s="30">
        <f t="shared" si="117"/>
        <v>0</v>
      </c>
      <c r="AB3773" t="s">
        <v>457</v>
      </c>
    </row>
    <row r="3774" spans="1:28">
      <c r="A3774" t="s">
        <v>113</v>
      </c>
      <c r="C3774" s="92">
        <v>4615507783</v>
      </c>
      <c r="D3774" s="93">
        <v>19175</v>
      </c>
      <c r="F3774" s="91">
        <v>16</v>
      </c>
      <c r="G3774" s="91">
        <v>0</v>
      </c>
      <c r="H3774" s="91">
        <v>0</v>
      </c>
      <c r="I3774" s="91">
        <v>0</v>
      </c>
      <c r="J3774" s="41"/>
      <c r="K3774" s="41">
        <v>43708</v>
      </c>
      <c r="L3774" s="69" t="s">
        <v>80</v>
      </c>
      <c r="M3774" s="69" t="s">
        <v>286</v>
      </c>
      <c r="N3774" s="95"/>
      <c r="P3774" t="s">
        <v>95</v>
      </c>
      <c r="Q3774" t="s">
        <v>110</v>
      </c>
      <c r="R3774" s="92" t="s">
        <v>69</v>
      </c>
      <c r="S3774" s="92" t="s">
        <v>115</v>
      </c>
      <c r="V3774" s="95">
        <v>43708</v>
      </c>
      <c r="W3774" s="92" t="s">
        <v>418</v>
      </c>
      <c r="X3774" s="90"/>
      <c r="Y3774" s="123"/>
      <c r="Z3774" s="30">
        <f t="shared" si="116"/>
        <v>6763.7822038320437</v>
      </c>
      <c r="AA3774" s="30">
        <f t="shared" si="117"/>
        <v>0</v>
      </c>
      <c r="AB3774" t="s">
        <v>457</v>
      </c>
    </row>
    <row r="3775" spans="1:28">
      <c r="A3775" t="s">
        <v>113</v>
      </c>
      <c r="C3775" s="92">
        <v>4615507783</v>
      </c>
      <c r="D3775" s="93">
        <v>19175</v>
      </c>
      <c r="F3775" s="91">
        <v>16</v>
      </c>
      <c r="G3775" s="91">
        <v>0</v>
      </c>
      <c r="H3775" s="91">
        <v>0</v>
      </c>
      <c r="I3775" s="91">
        <v>0</v>
      </c>
      <c r="J3775" s="41"/>
      <c r="K3775" s="41">
        <v>43708</v>
      </c>
      <c r="L3775" s="69" t="s">
        <v>80</v>
      </c>
      <c r="M3775" s="69" t="s">
        <v>286</v>
      </c>
      <c r="N3775" s="95"/>
      <c r="P3775" t="s">
        <v>95</v>
      </c>
      <c r="Q3775" t="s">
        <v>110</v>
      </c>
      <c r="R3775" s="92" t="s">
        <v>69</v>
      </c>
      <c r="S3775" s="92" t="s">
        <v>115</v>
      </c>
      <c r="V3775" s="95">
        <v>43708</v>
      </c>
      <c r="W3775" s="92" t="s">
        <v>418</v>
      </c>
      <c r="X3775" s="90"/>
      <c r="Y3775" s="123"/>
      <c r="Z3775" s="30">
        <f t="shared" si="116"/>
        <v>6763.7822038320437</v>
      </c>
      <c r="AA3775" s="30">
        <f t="shared" si="117"/>
        <v>0</v>
      </c>
      <c r="AB3775" t="s">
        <v>457</v>
      </c>
    </row>
    <row r="3776" spans="1:28">
      <c r="A3776" t="s">
        <v>113</v>
      </c>
      <c r="C3776" s="92">
        <v>4615507783</v>
      </c>
      <c r="D3776" s="93">
        <v>19175</v>
      </c>
      <c r="F3776" s="91">
        <v>16</v>
      </c>
      <c r="G3776" s="91">
        <v>0</v>
      </c>
      <c r="H3776" s="91">
        <v>0</v>
      </c>
      <c r="I3776" s="91">
        <v>0</v>
      </c>
      <c r="J3776" s="41"/>
      <c r="K3776" s="41">
        <v>43708</v>
      </c>
      <c r="L3776" s="69" t="s">
        <v>80</v>
      </c>
      <c r="M3776" s="69" t="s">
        <v>286</v>
      </c>
      <c r="N3776" s="95"/>
      <c r="P3776" t="s">
        <v>95</v>
      </c>
      <c r="Q3776" t="s">
        <v>110</v>
      </c>
      <c r="R3776" s="92" t="s">
        <v>69</v>
      </c>
      <c r="S3776" s="92" t="s">
        <v>115</v>
      </c>
      <c r="V3776" s="95">
        <v>43708</v>
      </c>
      <c r="W3776" s="92" t="s">
        <v>418</v>
      </c>
      <c r="X3776" s="90"/>
      <c r="Y3776" s="123"/>
      <c r="Z3776" s="30">
        <f t="shared" si="116"/>
        <v>6763.7822038320437</v>
      </c>
      <c r="AA3776" s="30">
        <f t="shared" si="117"/>
        <v>0</v>
      </c>
      <c r="AB3776" t="s">
        <v>457</v>
      </c>
    </row>
    <row r="3777" spans="1:28">
      <c r="A3777" t="s">
        <v>113</v>
      </c>
      <c r="C3777" s="92">
        <v>4615507783</v>
      </c>
      <c r="D3777" s="93">
        <v>19175</v>
      </c>
      <c r="F3777" s="91">
        <v>16</v>
      </c>
      <c r="G3777" s="91">
        <v>0</v>
      </c>
      <c r="H3777" s="91">
        <v>0</v>
      </c>
      <c r="I3777" s="91">
        <v>0</v>
      </c>
      <c r="J3777" s="41"/>
      <c r="K3777" s="41">
        <v>43708</v>
      </c>
      <c r="L3777" s="69" t="s">
        <v>80</v>
      </c>
      <c r="M3777" s="69" t="s">
        <v>286</v>
      </c>
      <c r="N3777" s="95"/>
      <c r="P3777" t="s">
        <v>95</v>
      </c>
      <c r="Q3777" t="s">
        <v>110</v>
      </c>
      <c r="R3777" s="92" t="s">
        <v>69</v>
      </c>
      <c r="S3777" s="92" t="s">
        <v>115</v>
      </c>
      <c r="V3777" s="95">
        <v>43708</v>
      </c>
      <c r="W3777" s="92" t="s">
        <v>418</v>
      </c>
      <c r="X3777" s="90"/>
      <c r="Y3777" s="123"/>
      <c r="Z3777" s="30">
        <f t="shared" si="116"/>
        <v>6763.7822038320437</v>
      </c>
      <c r="AA3777" s="30">
        <f t="shared" si="117"/>
        <v>0</v>
      </c>
      <c r="AB3777" t="s">
        <v>457</v>
      </c>
    </row>
    <row r="3778" spans="1:28">
      <c r="A3778" t="s">
        <v>113</v>
      </c>
      <c r="C3778" s="92">
        <v>4615507783</v>
      </c>
      <c r="D3778" s="93">
        <v>19175</v>
      </c>
      <c r="F3778" s="91">
        <v>16</v>
      </c>
      <c r="G3778" s="91">
        <v>0</v>
      </c>
      <c r="H3778" s="91">
        <v>0</v>
      </c>
      <c r="I3778" s="91">
        <v>0</v>
      </c>
      <c r="J3778" s="41"/>
      <c r="K3778" s="41">
        <v>43708</v>
      </c>
      <c r="L3778" s="69" t="s">
        <v>80</v>
      </c>
      <c r="M3778" s="69" t="s">
        <v>286</v>
      </c>
      <c r="N3778" s="95"/>
      <c r="P3778" t="s">
        <v>95</v>
      </c>
      <c r="Q3778" t="s">
        <v>110</v>
      </c>
      <c r="R3778" s="92" t="s">
        <v>69</v>
      </c>
      <c r="S3778" s="92" t="s">
        <v>115</v>
      </c>
      <c r="V3778" s="95">
        <v>43708</v>
      </c>
      <c r="W3778" s="92" t="s">
        <v>418</v>
      </c>
      <c r="X3778" s="90"/>
      <c r="Y3778" s="123"/>
      <c r="Z3778" s="30">
        <f t="shared" si="116"/>
        <v>6763.7822038320437</v>
      </c>
      <c r="AA3778" s="30">
        <f t="shared" si="117"/>
        <v>0</v>
      </c>
      <c r="AB3778" t="s">
        <v>457</v>
      </c>
    </row>
    <row r="3779" spans="1:28">
      <c r="A3779" t="s">
        <v>113</v>
      </c>
      <c r="C3779" s="92">
        <v>4615519103</v>
      </c>
      <c r="D3779" s="93">
        <v>19175</v>
      </c>
      <c r="F3779" s="91">
        <v>16</v>
      </c>
      <c r="G3779" s="91">
        <v>5</v>
      </c>
      <c r="H3779" s="91">
        <v>0</v>
      </c>
      <c r="I3779" s="91">
        <v>0</v>
      </c>
      <c r="J3779" s="41"/>
      <c r="K3779" s="41">
        <v>43708</v>
      </c>
      <c r="L3779" s="69" t="s">
        <v>80</v>
      </c>
      <c r="M3779" s="69" t="s">
        <v>286</v>
      </c>
      <c r="N3779" s="95"/>
      <c r="P3779" t="s">
        <v>95</v>
      </c>
      <c r="Q3779" t="s">
        <v>110</v>
      </c>
      <c r="R3779" s="92" t="s">
        <v>69</v>
      </c>
      <c r="S3779" s="92" t="s">
        <v>115</v>
      </c>
      <c r="V3779" s="95">
        <v>43708</v>
      </c>
      <c r="W3779" s="92" t="s">
        <v>419</v>
      </c>
      <c r="X3779" s="90"/>
      <c r="Y3779" s="123"/>
      <c r="Z3779" s="30">
        <f t="shared" ref="Z3779:Z3842" si="118">CONVERT(D3779,"kg","lbm")*F3779/100</f>
        <v>6763.7822038320437</v>
      </c>
      <c r="AA3779" s="30">
        <f t="shared" ref="AA3779:AA3842" si="119">CONVERT(D3779,"kg","lbm")*G3779/100</f>
        <v>2113.6819386975139</v>
      </c>
      <c r="AB3779" t="s">
        <v>457</v>
      </c>
    </row>
    <row r="3780" spans="1:28">
      <c r="A3780" t="s">
        <v>113</v>
      </c>
      <c r="C3780" s="92">
        <v>4615519103</v>
      </c>
      <c r="D3780" s="93">
        <v>19175</v>
      </c>
      <c r="F3780" s="91">
        <v>16</v>
      </c>
      <c r="G3780" s="91">
        <v>5</v>
      </c>
      <c r="H3780" s="91">
        <v>0</v>
      </c>
      <c r="I3780" s="91">
        <v>0</v>
      </c>
      <c r="J3780" s="41"/>
      <c r="K3780" s="41">
        <v>43708</v>
      </c>
      <c r="L3780" s="69" t="s">
        <v>80</v>
      </c>
      <c r="M3780" s="69" t="s">
        <v>286</v>
      </c>
      <c r="N3780" s="95"/>
      <c r="P3780" t="s">
        <v>95</v>
      </c>
      <c r="Q3780" t="s">
        <v>110</v>
      </c>
      <c r="R3780" s="92" t="s">
        <v>69</v>
      </c>
      <c r="S3780" s="92" t="s">
        <v>115</v>
      </c>
      <c r="V3780" s="95">
        <v>43708</v>
      </c>
      <c r="W3780" s="92" t="s">
        <v>419</v>
      </c>
      <c r="X3780" s="90"/>
      <c r="Y3780" s="123"/>
      <c r="Z3780" s="30">
        <f t="shared" si="118"/>
        <v>6763.7822038320437</v>
      </c>
      <c r="AA3780" s="30">
        <f t="shared" si="119"/>
        <v>2113.6819386975139</v>
      </c>
      <c r="AB3780" t="s">
        <v>457</v>
      </c>
    </row>
    <row r="3781" spans="1:28">
      <c r="A3781" t="s">
        <v>113</v>
      </c>
      <c r="C3781" s="92">
        <v>4615519103</v>
      </c>
      <c r="D3781" s="93">
        <v>19175</v>
      </c>
      <c r="F3781" s="91">
        <v>16</v>
      </c>
      <c r="G3781" s="91">
        <v>5</v>
      </c>
      <c r="H3781" s="91">
        <v>0</v>
      </c>
      <c r="I3781" s="91">
        <v>0</v>
      </c>
      <c r="J3781" s="41"/>
      <c r="K3781" s="41">
        <v>43708</v>
      </c>
      <c r="L3781" s="69" t="s">
        <v>80</v>
      </c>
      <c r="M3781" s="69" t="s">
        <v>286</v>
      </c>
      <c r="N3781" s="95"/>
      <c r="P3781" t="s">
        <v>95</v>
      </c>
      <c r="Q3781" t="s">
        <v>110</v>
      </c>
      <c r="R3781" s="92" t="s">
        <v>69</v>
      </c>
      <c r="S3781" s="92" t="s">
        <v>115</v>
      </c>
      <c r="V3781" s="95">
        <v>43708</v>
      </c>
      <c r="W3781" s="92" t="s">
        <v>419</v>
      </c>
      <c r="X3781" s="90"/>
      <c r="Y3781" s="123"/>
      <c r="Z3781" s="30">
        <f t="shared" si="118"/>
        <v>6763.7822038320437</v>
      </c>
      <c r="AA3781" s="30">
        <f t="shared" si="119"/>
        <v>2113.6819386975139</v>
      </c>
      <c r="AB3781" t="s">
        <v>457</v>
      </c>
    </row>
    <row r="3782" spans="1:28">
      <c r="A3782" t="s">
        <v>113</v>
      </c>
      <c r="C3782" s="92">
        <v>4615519103</v>
      </c>
      <c r="D3782" s="93">
        <v>19175</v>
      </c>
      <c r="F3782" s="91">
        <v>16</v>
      </c>
      <c r="G3782" s="91">
        <v>5</v>
      </c>
      <c r="H3782" s="91">
        <v>0</v>
      </c>
      <c r="I3782" s="91">
        <v>0</v>
      </c>
      <c r="J3782" s="41"/>
      <c r="K3782" s="41">
        <v>43708</v>
      </c>
      <c r="L3782" s="69" t="s">
        <v>80</v>
      </c>
      <c r="M3782" s="69" t="s">
        <v>286</v>
      </c>
      <c r="N3782" s="95"/>
      <c r="P3782" t="s">
        <v>95</v>
      </c>
      <c r="Q3782" t="s">
        <v>110</v>
      </c>
      <c r="R3782" s="92" t="s">
        <v>69</v>
      </c>
      <c r="S3782" s="92" t="s">
        <v>115</v>
      </c>
      <c r="V3782" s="95">
        <v>43708</v>
      </c>
      <c r="W3782" s="92" t="s">
        <v>419</v>
      </c>
      <c r="X3782" s="90"/>
      <c r="Y3782" s="123"/>
      <c r="Z3782" s="30">
        <f t="shared" si="118"/>
        <v>6763.7822038320437</v>
      </c>
      <c r="AA3782" s="30">
        <f t="shared" si="119"/>
        <v>2113.6819386975139</v>
      </c>
      <c r="AB3782" t="s">
        <v>457</v>
      </c>
    </row>
    <row r="3783" spans="1:28">
      <c r="A3783" t="s">
        <v>113</v>
      </c>
      <c r="C3783" s="92">
        <v>4615519103</v>
      </c>
      <c r="D3783" s="93">
        <v>19175</v>
      </c>
      <c r="F3783" s="91">
        <v>16</v>
      </c>
      <c r="G3783" s="91">
        <v>5</v>
      </c>
      <c r="H3783" s="91">
        <v>0</v>
      </c>
      <c r="I3783" s="91">
        <v>0</v>
      </c>
      <c r="J3783" s="41"/>
      <c r="K3783" s="41">
        <v>43708</v>
      </c>
      <c r="L3783" s="69" t="s">
        <v>80</v>
      </c>
      <c r="M3783" s="69" t="s">
        <v>286</v>
      </c>
      <c r="N3783" s="95"/>
      <c r="P3783" t="s">
        <v>95</v>
      </c>
      <c r="Q3783" t="s">
        <v>110</v>
      </c>
      <c r="R3783" s="92" t="s">
        <v>69</v>
      </c>
      <c r="S3783" s="92" t="s">
        <v>115</v>
      </c>
      <c r="V3783" s="95">
        <v>43708</v>
      </c>
      <c r="W3783" s="92" t="s">
        <v>419</v>
      </c>
      <c r="X3783" s="90"/>
      <c r="Y3783" s="123"/>
      <c r="Z3783" s="30">
        <f t="shared" si="118"/>
        <v>6763.7822038320437</v>
      </c>
      <c r="AA3783" s="30">
        <f t="shared" si="119"/>
        <v>2113.6819386975139</v>
      </c>
      <c r="AB3783" t="s">
        <v>457</v>
      </c>
    </row>
    <row r="3784" spans="1:28">
      <c r="A3784" t="s">
        <v>113</v>
      </c>
      <c r="C3784" s="92">
        <v>4615519103</v>
      </c>
      <c r="D3784" s="93">
        <v>19175</v>
      </c>
      <c r="F3784" s="91">
        <v>16</v>
      </c>
      <c r="G3784" s="91">
        <v>5</v>
      </c>
      <c r="H3784" s="91">
        <v>0</v>
      </c>
      <c r="I3784" s="91">
        <v>0</v>
      </c>
      <c r="J3784" s="41"/>
      <c r="K3784" s="41">
        <v>43708</v>
      </c>
      <c r="L3784" s="69" t="s">
        <v>80</v>
      </c>
      <c r="M3784" s="69" t="s">
        <v>286</v>
      </c>
      <c r="N3784" s="95"/>
      <c r="P3784" t="s">
        <v>95</v>
      </c>
      <c r="Q3784" t="s">
        <v>110</v>
      </c>
      <c r="R3784" s="92" t="s">
        <v>69</v>
      </c>
      <c r="S3784" s="92" t="s">
        <v>115</v>
      </c>
      <c r="V3784" s="95">
        <v>43708</v>
      </c>
      <c r="W3784" s="92" t="s">
        <v>419</v>
      </c>
      <c r="X3784" s="90"/>
      <c r="Y3784" s="123"/>
      <c r="Z3784" s="30">
        <f t="shared" si="118"/>
        <v>6763.7822038320437</v>
      </c>
      <c r="AA3784" s="30">
        <f t="shared" si="119"/>
        <v>2113.6819386975139</v>
      </c>
      <c r="AB3784" t="s">
        <v>457</v>
      </c>
    </row>
    <row r="3785" spans="1:28">
      <c r="A3785" t="s">
        <v>113</v>
      </c>
      <c r="C3785" s="92">
        <v>4615519103</v>
      </c>
      <c r="D3785" s="93">
        <v>19175</v>
      </c>
      <c r="F3785" s="91">
        <v>16</v>
      </c>
      <c r="G3785" s="91">
        <v>5</v>
      </c>
      <c r="H3785" s="91">
        <v>0</v>
      </c>
      <c r="I3785" s="91">
        <v>0</v>
      </c>
      <c r="J3785" s="41"/>
      <c r="K3785" s="41">
        <v>43708</v>
      </c>
      <c r="L3785" s="69" t="s">
        <v>80</v>
      </c>
      <c r="M3785" s="69" t="s">
        <v>286</v>
      </c>
      <c r="N3785" s="95"/>
      <c r="P3785" t="s">
        <v>95</v>
      </c>
      <c r="Q3785" t="s">
        <v>110</v>
      </c>
      <c r="R3785" s="92" t="s">
        <v>69</v>
      </c>
      <c r="S3785" s="92" t="s">
        <v>115</v>
      </c>
      <c r="V3785" s="95">
        <v>43708</v>
      </c>
      <c r="W3785" s="92" t="s">
        <v>419</v>
      </c>
      <c r="X3785" s="90"/>
      <c r="Y3785" s="123"/>
      <c r="Z3785" s="30">
        <f t="shared" si="118"/>
        <v>6763.7822038320437</v>
      </c>
      <c r="AA3785" s="30">
        <f t="shared" si="119"/>
        <v>2113.6819386975139</v>
      </c>
      <c r="AB3785" t="s">
        <v>457</v>
      </c>
    </row>
    <row r="3786" spans="1:28">
      <c r="A3786" t="s">
        <v>113</v>
      </c>
      <c r="C3786" s="92">
        <v>4615519103</v>
      </c>
      <c r="D3786" s="93">
        <v>19175</v>
      </c>
      <c r="F3786" s="91">
        <v>16</v>
      </c>
      <c r="G3786" s="91">
        <v>5</v>
      </c>
      <c r="H3786" s="91">
        <v>0</v>
      </c>
      <c r="I3786" s="91">
        <v>0</v>
      </c>
      <c r="J3786" s="41"/>
      <c r="K3786" s="41">
        <v>43708</v>
      </c>
      <c r="L3786" s="69" t="s">
        <v>80</v>
      </c>
      <c r="M3786" s="69" t="s">
        <v>286</v>
      </c>
      <c r="N3786" s="95"/>
      <c r="P3786" t="s">
        <v>95</v>
      </c>
      <c r="Q3786" t="s">
        <v>110</v>
      </c>
      <c r="R3786" s="92" t="s">
        <v>69</v>
      </c>
      <c r="S3786" s="92" t="s">
        <v>115</v>
      </c>
      <c r="V3786" s="95">
        <v>43708</v>
      </c>
      <c r="W3786" s="92" t="s">
        <v>419</v>
      </c>
      <c r="X3786" s="90"/>
      <c r="Y3786" s="123"/>
      <c r="Z3786" s="30">
        <f t="shared" si="118"/>
        <v>6763.7822038320437</v>
      </c>
      <c r="AA3786" s="30">
        <f t="shared" si="119"/>
        <v>2113.6819386975139</v>
      </c>
      <c r="AB3786" t="s">
        <v>457</v>
      </c>
    </row>
    <row r="3787" spans="1:28">
      <c r="A3787" t="s">
        <v>113</v>
      </c>
      <c r="C3787" s="92">
        <v>4615519103</v>
      </c>
      <c r="D3787" s="93">
        <v>19175</v>
      </c>
      <c r="F3787" s="91">
        <v>16</v>
      </c>
      <c r="G3787" s="91">
        <v>5</v>
      </c>
      <c r="H3787" s="91">
        <v>0</v>
      </c>
      <c r="I3787" s="91">
        <v>0</v>
      </c>
      <c r="J3787" s="41"/>
      <c r="K3787" s="41">
        <v>43708</v>
      </c>
      <c r="L3787" s="69" t="s">
        <v>80</v>
      </c>
      <c r="M3787" s="69" t="s">
        <v>286</v>
      </c>
      <c r="N3787" s="95"/>
      <c r="P3787" t="s">
        <v>95</v>
      </c>
      <c r="Q3787" t="s">
        <v>110</v>
      </c>
      <c r="R3787" s="92" t="s">
        <v>69</v>
      </c>
      <c r="S3787" s="92" t="s">
        <v>115</v>
      </c>
      <c r="V3787" s="95">
        <v>43708</v>
      </c>
      <c r="W3787" s="92" t="s">
        <v>419</v>
      </c>
      <c r="X3787" s="90"/>
      <c r="Y3787" s="123"/>
      <c r="Z3787" s="30">
        <f t="shared" si="118"/>
        <v>6763.7822038320437</v>
      </c>
      <c r="AA3787" s="30">
        <f t="shared" si="119"/>
        <v>2113.6819386975139</v>
      </c>
      <c r="AB3787" t="s">
        <v>457</v>
      </c>
    </row>
    <row r="3788" spans="1:28">
      <c r="A3788" t="s">
        <v>113</v>
      </c>
      <c r="C3788" s="92">
        <v>4615519103</v>
      </c>
      <c r="D3788" s="93">
        <v>19175</v>
      </c>
      <c r="F3788" s="91">
        <v>16</v>
      </c>
      <c r="G3788" s="91">
        <v>5</v>
      </c>
      <c r="H3788" s="91">
        <v>0</v>
      </c>
      <c r="I3788" s="91">
        <v>0</v>
      </c>
      <c r="J3788" s="41"/>
      <c r="K3788" s="41">
        <v>43708</v>
      </c>
      <c r="L3788" s="69" t="s">
        <v>80</v>
      </c>
      <c r="M3788" s="69" t="s">
        <v>286</v>
      </c>
      <c r="N3788" s="95"/>
      <c r="P3788" t="s">
        <v>95</v>
      </c>
      <c r="Q3788" t="s">
        <v>110</v>
      </c>
      <c r="R3788" s="92" t="s">
        <v>69</v>
      </c>
      <c r="S3788" s="92" t="s">
        <v>115</v>
      </c>
      <c r="V3788" s="95">
        <v>43708</v>
      </c>
      <c r="W3788" s="92" t="s">
        <v>419</v>
      </c>
      <c r="X3788" s="90"/>
      <c r="Y3788" s="123"/>
      <c r="Z3788" s="30">
        <f t="shared" si="118"/>
        <v>6763.7822038320437</v>
      </c>
      <c r="AA3788" s="30">
        <f t="shared" si="119"/>
        <v>2113.6819386975139</v>
      </c>
      <c r="AB3788" t="s">
        <v>457</v>
      </c>
    </row>
    <row r="3789" spans="1:28">
      <c r="A3789" t="s">
        <v>122</v>
      </c>
      <c r="C3789" s="92">
        <v>4615507737</v>
      </c>
      <c r="D3789" s="93">
        <v>19200</v>
      </c>
      <c r="F3789" s="94">
        <v>16</v>
      </c>
      <c r="G3789" s="94">
        <v>5</v>
      </c>
      <c r="H3789" s="91">
        <v>0</v>
      </c>
      <c r="I3789" s="91">
        <v>0</v>
      </c>
      <c r="J3789" s="41"/>
      <c r="K3789" s="41">
        <v>43738</v>
      </c>
      <c r="L3789" s="69" t="s">
        <v>80</v>
      </c>
      <c r="M3789" s="69" t="s">
        <v>286</v>
      </c>
      <c r="N3789" s="95"/>
      <c r="P3789" t="s">
        <v>95</v>
      </c>
      <c r="Q3789" t="s">
        <v>120</v>
      </c>
      <c r="R3789" s="92" t="s">
        <v>69</v>
      </c>
      <c r="S3789" s="92" t="s">
        <v>394</v>
      </c>
      <c r="V3789" s="95">
        <v>43738</v>
      </c>
      <c r="W3789" s="92">
        <v>2033920</v>
      </c>
      <c r="X3789" s="90"/>
      <c r="Y3789" s="123"/>
      <c r="Z3789" s="30">
        <f t="shared" si="118"/>
        <v>6772.6006943194379</v>
      </c>
      <c r="AA3789" s="30">
        <f t="shared" si="119"/>
        <v>2116.4377169748245</v>
      </c>
      <c r="AB3789" t="s">
        <v>457</v>
      </c>
    </row>
    <row r="3790" spans="1:28">
      <c r="A3790" t="s">
        <v>122</v>
      </c>
      <c r="C3790" s="92">
        <v>4615507737</v>
      </c>
      <c r="D3790" s="93">
        <v>19200</v>
      </c>
      <c r="F3790" s="94">
        <v>16</v>
      </c>
      <c r="G3790" s="94">
        <v>5</v>
      </c>
      <c r="H3790" s="91">
        <v>0</v>
      </c>
      <c r="I3790" s="91">
        <v>0</v>
      </c>
      <c r="J3790" s="41"/>
      <c r="K3790" s="41">
        <v>43738</v>
      </c>
      <c r="L3790" s="69" t="s">
        <v>80</v>
      </c>
      <c r="M3790" s="69" t="s">
        <v>286</v>
      </c>
      <c r="N3790" s="95"/>
      <c r="P3790" t="s">
        <v>95</v>
      </c>
      <c r="Q3790" t="s">
        <v>120</v>
      </c>
      <c r="R3790" s="92" t="s">
        <v>69</v>
      </c>
      <c r="S3790" s="92" t="s">
        <v>394</v>
      </c>
      <c r="V3790" s="95">
        <v>43738</v>
      </c>
      <c r="W3790" s="92">
        <v>2033920</v>
      </c>
      <c r="X3790" s="90"/>
      <c r="Y3790" s="123"/>
      <c r="Z3790" s="30">
        <f t="shared" si="118"/>
        <v>6772.6006943194379</v>
      </c>
      <c r="AA3790" s="30">
        <f t="shared" si="119"/>
        <v>2116.4377169748245</v>
      </c>
      <c r="AB3790" t="s">
        <v>457</v>
      </c>
    </row>
    <row r="3791" spans="1:28">
      <c r="A3791" t="s">
        <v>122</v>
      </c>
      <c r="C3791" s="92">
        <v>4615507737</v>
      </c>
      <c r="D3791" s="93">
        <v>19200</v>
      </c>
      <c r="F3791" s="94">
        <v>16</v>
      </c>
      <c r="G3791" s="94">
        <v>5</v>
      </c>
      <c r="H3791" s="91">
        <v>0</v>
      </c>
      <c r="I3791" s="91">
        <v>0</v>
      </c>
      <c r="J3791" s="41"/>
      <c r="K3791" s="41">
        <v>43738</v>
      </c>
      <c r="L3791" s="69" t="s">
        <v>80</v>
      </c>
      <c r="M3791" s="69" t="s">
        <v>286</v>
      </c>
      <c r="N3791" s="95"/>
      <c r="P3791" t="s">
        <v>95</v>
      </c>
      <c r="Q3791" t="s">
        <v>120</v>
      </c>
      <c r="R3791" s="92" t="s">
        <v>69</v>
      </c>
      <c r="S3791" s="92" t="s">
        <v>394</v>
      </c>
      <c r="V3791" s="95">
        <v>43738</v>
      </c>
      <c r="W3791" s="92">
        <v>2033920</v>
      </c>
      <c r="X3791" s="90"/>
      <c r="Y3791" s="123"/>
      <c r="Z3791" s="30">
        <f t="shared" si="118"/>
        <v>6772.6006943194379</v>
      </c>
      <c r="AA3791" s="30">
        <f t="shared" si="119"/>
        <v>2116.4377169748245</v>
      </c>
      <c r="AB3791" t="s">
        <v>457</v>
      </c>
    </row>
    <row r="3792" spans="1:28">
      <c r="A3792" t="s">
        <v>122</v>
      </c>
      <c r="C3792" s="92">
        <v>4615507737</v>
      </c>
      <c r="D3792" s="93">
        <v>19200</v>
      </c>
      <c r="F3792" s="94">
        <v>16</v>
      </c>
      <c r="G3792" s="94">
        <v>5</v>
      </c>
      <c r="H3792" s="91">
        <v>0</v>
      </c>
      <c r="I3792" s="91">
        <v>0</v>
      </c>
      <c r="J3792" s="41"/>
      <c r="K3792" s="41">
        <v>43738</v>
      </c>
      <c r="L3792" s="69" t="s">
        <v>80</v>
      </c>
      <c r="M3792" s="69" t="s">
        <v>286</v>
      </c>
      <c r="N3792" s="95"/>
      <c r="P3792" t="s">
        <v>95</v>
      </c>
      <c r="Q3792" t="s">
        <v>120</v>
      </c>
      <c r="R3792" s="92" t="s">
        <v>69</v>
      </c>
      <c r="S3792" s="92" t="s">
        <v>394</v>
      </c>
      <c r="V3792" s="95">
        <v>43738</v>
      </c>
      <c r="W3792" s="92">
        <v>2033920</v>
      </c>
      <c r="X3792" s="90"/>
      <c r="Y3792" s="123"/>
      <c r="Z3792" s="30">
        <f t="shared" si="118"/>
        <v>6772.6006943194379</v>
      </c>
      <c r="AA3792" s="30">
        <f t="shared" si="119"/>
        <v>2116.4377169748245</v>
      </c>
      <c r="AB3792" t="s">
        <v>457</v>
      </c>
    </row>
    <row r="3793" spans="1:28">
      <c r="A3793" t="s">
        <v>122</v>
      </c>
      <c r="C3793" s="92">
        <v>4615507737</v>
      </c>
      <c r="D3793" s="93">
        <v>19200</v>
      </c>
      <c r="F3793" s="94">
        <v>16</v>
      </c>
      <c r="G3793" s="94">
        <v>5</v>
      </c>
      <c r="H3793" s="91">
        <v>0</v>
      </c>
      <c r="I3793" s="91">
        <v>0</v>
      </c>
      <c r="J3793" s="41"/>
      <c r="K3793" s="41">
        <v>43738</v>
      </c>
      <c r="L3793" s="69" t="s">
        <v>80</v>
      </c>
      <c r="M3793" s="69" t="s">
        <v>286</v>
      </c>
      <c r="N3793" s="95"/>
      <c r="P3793" t="s">
        <v>95</v>
      </c>
      <c r="Q3793" t="s">
        <v>120</v>
      </c>
      <c r="R3793" s="92" t="s">
        <v>69</v>
      </c>
      <c r="S3793" s="92" t="s">
        <v>394</v>
      </c>
      <c r="V3793" s="95">
        <v>43738</v>
      </c>
      <c r="W3793" s="92">
        <v>2033920</v>
      </c>
      <c r="X3793" s="90"/>
      <c r="Y3793" s="123"/>
      <c r="Z3793" s="30">
        <f t="shared" si="118"/>
        <v>6772.6006943194379</v>
      </c>
      <c r="AA3793" s="30">
        <f t="shared" si="119"/>
        <v>2116.4377169748245</v>
      </c>
      <c r="AB3793" t="s">
        <v>457</v>
      </c>
    </row>
    <row r="3794" spans="1:28">
      <c r="A3794" t="s">
        <v>122</v>
      </c>
      <c r="C3794" s="92">
        <v>4615507737</v>
      </c>
      <c r="D3794" s="93">
        <v>19200</v>
      </c>
      <c r="F3794" s="94">
        <v>16</v>
      </c>
      <c r="G3794" s="94">
        <v>5</v>
      </c>
      <c r="H3794" s="91">
        <v>0</v>
      </c>
      <c r="I3794" s="91">
        <v>0</v>
      </c>
      <c r="J3794" s="41"/>
      <c r="K3794" s="41">
        <v>43738</v>
      </c>
      <c r="L3794" s="69" t="s">
        <v>80</v>
      </c>
      <c r="M3794" s="69" t="s">
        <v>286</v>
      </c>
      <c r="N3794" s="95"/>
      <c r="P3794" t="s">
        <v>95</v>
      </c>
      <c r="Q3794" t="s">
        <v>120</v>
      </c>
      <c r="R3794" s="92" t="s">
        <v>69</v>
      </c>
      <c r="S3794" s="92" t="s">
        <v>394</v>
      </c>
      <c r="V3794" s="95">
        <v>43738</v>
      </c>
      <c r="W3794" s="92">
        <v>2033920</v>
      </c>
      <c r="X3794" s="90"/>
      <c r="Y3794" s="123"/>
      <c r="Z3794" s="30">
        <f t="shared" si="118"/>
        <v>6772.6006943194379</v>
      </c>
      <c r="AA3794" s="30">
        <f t="shared" si="119"/>
        <v>2116.4377169748245</v>
      </c>
      <c r="AB3794" t="s">
        <v>457</v>
      </c>
    </row>
    <row r="3795" spans="1:28">
      <c r="A3795" t="s">
        <v>122</v>
      </c>
      <c r="C3795" s="92">
        <v>4615507737</v>
      </c>
      <c r="D3795" s="93">
        <v>19200</v>
      </c>
      <c r="F3795" s="94">
        <v>16</v>
      </c>
      <c r="G3795" s="94">
        <v>5</v>
      </c>
      <c r="H3795" s="91">
        <v>0</v>
      </c>
      <c r="I3795" s="91">
        <v>0</v>
      </c>
      <c r="J3795" s="41"/>
      <c r="K3795" s="41">
        <v>43738</v>
      </c>
      <c r="L3795" s="69" t="s">
        <v>80</v>
      </c>
      <c r="M3795" s="69" t="s">
        <v>286</v>
      </c>
      <c r="N3795" s="95"/>
      <c r="P3795" t="s">
        <v>95</v>
      </c>
      <c r="Q3795" t="s">
        <v>120</v>
      </c>
      <c r="R3795" s="92" t="s">
        <v>69</v>
      </c>
      <c r="S3795" s="92" t="s">
        <v>394</v>
      </c>
      <c r="V3795" s="95">
        <v>43738</v>
      </c>
      <c r="W3795" s="92">
        <v>2033920</v>
      </c>
      <c r="X3795" s="90"/>
      <c r="Y3795" s="123"/>
      <c r="Z3795" s="30">
        <f t="shared" si="118"/>
        <v>6772.6006943194379</v>
      </c>
      <c r="AA3795" s="30">
        <f t="shared" si="119"/>
        <v>2116.4377169748245</v>
      </c>
      <c r="AB3795" t="s">
        <v>457</v>
      </c>
    </row>
    <row r="3796" spans="1:28">
      <c r="A3796" t="s">
        <v>122</v>
      </c>
      <c r="C3796" s="92">
        <v>4615507737</v>
      </c>
      <c r="D3796" s="93">
        <v>19200</v>
      </c>
      <c r="F3796" s="94">
        <v>16</v>
      </c>
      <c r="G3796" s="94">
        <v>5</v>
      </c>
      <c r="H3796" s="91">
        <v>0</v>
      </c>
      <c r="I3796" s="91">
        <v>0</v>
      </c>
      <c r="J3796" s="41"/>
      <c r="K3796" s="41">
        <v>43738</v>
      </c>
      <c r="L3796" s="69" t="s">
        <v>80</v>
      </c>
      <c r="M3796" s="69" t="s">
        <v>286</v>
      </c>
      <c r="N3796" s="95"/>
      <c r="P3796" t="s">
        <v>95</v>
      </c>
      <c r="Q3796" t="s">
        <v>120</v>
      </c>
      <c r="R3796" s="92" t="s">
        <v>69</v>
      </c>
      <c r="S3796" s="92" t="s">
        <v>394</v>
      </c>
      <c r="V3796" s="95">
        <v>43738</v>
      </c>
      <c r="W3796" s="92">
        <v>2033920</v>
      </c>
      <c r="X3796" s="90"/>
      <c r="Y3796" s="123"/>
      <c r="Z3796" s="30">
        <f t="shared" si="118"/>
        <v>6772.6006943194379</v>
      </c>
      <c r="AA3796" s="30">
        <f t="shared" si="119"/>
        <v>2116.4377169748245</v>
      </c>
      <c r="AB3796" t="s">
        <v>457</v>
      </c>
    </row>
    <row r="3797" spans="1:28">
      <c r="A3797" t="s">
        <v>122</v>
      </c>
      <c r="C3797" s="92">
        <v>4615507737</v>
      </c>
      <c r="D3797" s="93">
        <v>19200</v>
      </c>
      <c r="F3797" s="94">
        <v>16</v>
      </c>
      <c r="G3797" s="94">
        <v>5</v>
      </c>
      <c r="H3797" s="91">
        <v>0</v>
      </c>
      <c r="I3797" s="91">
        <v>0</v>
      </c>
      <c r="J3797" s="41"/>
      <c r="K3797" s="41">
        <v>43738</v>
      </c>
      <c r="L3797" s="69" t="s">
        <v>80</v>
      </c>
      <c r="M3797" s="69" t="s">
        <v>286</v>
      </c>
      <c r="N3797" s="95"/>
      <c r="P3797" t="s">
        <v>95</v>
      </c>
      <c r="Q3797" t="s">
        <v>120</v>
      </c>
      <c r="R3797" s="92" t="s">
        <v>69</v>
      </c>
      <c r="S3797" s="92" t="s">
        <v>394</v>
      </c>
      <c r="V3797" s="95">
        <v>43738</v>
      </c>
      <c r="W3797" s="92">
        <v>2033920</v>
      </c>
      <c r="X3797" s="90"/>
      <c r="Y3797" s="123"/>
      <c r="Z3797" s="30">
        <f t="shared" si="118"/>
        <v>6772.6006943194379</v>
      </c>
      <c r="AA3797" s="30">
        <f t="shared" si="119"/>
        <v>2116.4377169748245</v>
      </c>
      <c r="AB3797" t="s">
        <v>457</v>
      </c>
    </row>
    <row r="3798" spans="1:28">
      <c r="A3798" t="s">
        <v>122</v>
      </c>
      <c r="C3798" s="92">
        <v>4615507737</v>
      </c>
      <c r="D3798" s="93">
        <v>19200</v>
      </c>
      <c r="F3798" s="94">
        <v>16</v>
      </c>
      <c r="G3798" s="94">
        <v>5</v>
      </c>
      <c r="H3798" s="91">
        <v>0</v>
      </c>
      <c r="I3798" s="91">
        <v>0</v>
      </c>
      <c r="J3798" s="41"/>
      <c r="K3798" s="41">
        <v>43738</v>
      </c>
      <c r="L3798" s="69" t="s">
        <v>80</v>
      </c>
      <c r="M3798" s="69" t="s">
        <v>286</v>
      </c>
      <c r="N3798" s="95"/>
      <c r="P3798" t="s">
        <v>95</v>
      </c>
      <c r="Q3798" t="s">
        <v>120</v>
      </c>
      <c r="R3798" s="92" t="s">
        <v>69</v>
      </c>
      <c r="S3798" s="92" t="s">
        <v>394</v>
      </c>
      <c r="V3798" s="95">
        <v>43738</v>
      </c>
      <c r="W3798" s="92">
        <v>2033920</v>
      </c>
      <c r="X3798" s="90"/>
      <c r="Y3798" s="123"/>
      <c r="Z3798" s="30">
        <f t="shared" si="118"/>
        <v>6772.6006943194379</v>
      </c>
      <c r="AA3798" s="30">
        <f t="shared" si="119"/>
        <v>2116.4377169748245</v>
      </c>
      <c r="AB3798" t="s">
        <v>457</v>
      </c>
    </row>
    <row r="3799" spans="1:28">
      <c r="A3799" t="s">
        <v>122</v>
      </c>
      <c r="C3799" s="92">
        <v>4615507737</v>
      </c>
      <c r="D3799" s="93">
        <v>19200</v>
      </c>
      <c r="F3799" s="94">
        <v>16</v>
      </c>
      <c r="G3799" s="94">
        <v>5</v>
      </c>
      <c r="H3799" s="91">
        <v>0</v>
      </c>
      <c r="I3799" s="91">
        <v>0</v>
      </c>
      <c r="J3799" s="41"/>
      <c r="K3799" s="41">
        <v>43738</v>
      </c>
      <c r="L3799" s="69" t="s">
        <v>80</v>
      </c>
      <c r="M3799" s="69" t="s">
        <v>286</v>
      </c>
      <c r="N3799" s="95"/>
      <c r="P3799" t="s">
        <v>95</v>
      </c>
      <c r="Q3799" t="s">
        <v>120</v>
      </c>
      <c r="R3799" s="92" t="s">
        <v>69</v>
      </c>
      <c r="S3799" s="92" t="s">
        <v>394</v>
      </c>
      <c r="V3799" s="95">
        <v>43738</v>
      </c>
      <c r="W3799" s="92">
        <v>2033920</v>
      </c>
      <c r="X3799" s="90"/>
      <c r="Y3799" s="123"/>
      <c r="Z3799" s="30">
        <f t="shared" si="118"/>
        <v>6772.6006943194379</v>
      </c>
      <c r="AA3799" s="30">
        <f t="shared" si="119"/>
        <v>2116.4377169748245</v>
      </c>
      <c r="AB3799" t="s">
        <v>457</v>
      </c>
    </row>
    <row r="3800" spans="1:28">
      <c r="A3800" t="s">
        <v>122</v>
      </c>
      <c r="C3800" s="92">
        <v>4615507737</v>
      </c>
      <c r="D3800" s="93">
        <v>19200</v>
      </c>
      <c r="F3800" s="94">
        <v>16</v>
      </c>
      <c r="G3800" s="94">
        <v>5</v>
      </c>
      <c r="H3800" s="91">
        <v>0</v>
      </c>
      <c r="I3800" s="91">
        <v>0</v>
      </c>
      <c r="J3800" s="41"/>
      <c r="K3800" s="41">
        <v>43738</v>
      </c>
      <c r="L3800" s="69" t="s">
        <v>80</v>
      </c>
      <c r="M3800" s="69" t="s">
        <v>286</v>
      </c>
      <c r="N3800" s="95"/>
      <c r="P3800" t="s">
        <v>95</v>
      </c>
      <c r="Q3800" t="s">
        <v>120</v>
      </c>
      <c r="R3800" s="92" t="s">
        <v>69</v>
      </c>
      <c r="S3800" s="92" t="s">
        <v>394</v>
      </c>
      <c r="V3800" s="95">
        <v>43738</v>
      </c>
      <c r="W3800" s="92">
        <v>2033920</v>
      </c>
      <c r="X3800" s="90"/>
      <c r="Y3800" s="123"/>
      <c r="Z3800" s="30">
        <f t="shared" si="118"/>
        <v>6772.6006943194379</v>
      </c>
      <c r="AA3800" s="30">
        <f t="shared" si="119"/>
        <v>2116.4377169748245</v>
      </c>
      <c r="AB3800" t="s">
        <v>457</v>
      </c>
    </row>
    <row r="3801" spans="1:28">
      <c r="A3801" t="s">
        <v>122</v>
      </c>
      <c r="C3801" s="92">
        <v>4615499178</v>
      </c>
      <c r="D3801" s="93">
        <v>19200</v>
      </c>
      <c r="F3801" s="91">
        <v>16</v>
      </c>
      <c r="G3801" s="96">
        <v>5</v>
      </c>
      <c r="H3801" s="94">
        <v>0</v>
      </c>
      <c r="I3801" s="91">
        <v>0</v>
      </c>
      <c r="J3801" s="41"/>
      <c r="K3801" s="41">
        <v>43738</v>
      </c>
      <c r="L3801" s="69" t="s">
        <v>80</v>
      </c>
      <c r="M3801" s="69" t="s">
        <v>286</v>
      </c>
      <c r="N3801" s="95"/>
      <c r="P3801" t="s">
        <v>95</v>
      </c>
      <c r="Q3801" t="s">
        <v>120</v>
      </c>
      <c r="R3801" s="92" t="s">
        <v>69</v>
      </c>
      <c r="S3801" s="92" t="s">
        <v>395</v>
      </c>
      <c r="V3801" s="95">
        <v>43738</v>
      </c>
      <c r="W3801" s="92">
        <v>2033930</v>
      </c>
      <c r="X3801" s="90"/>
      <c r="Y3801" s="123"/>
      <c r="Z3801" s="30">
        <f t="shared" si="118"/>
        <v>6772.6006943194379</v>
      </c>
      <c r="AA3801" s="30">
        <f t="shared" si="119"/>
        <v>2116.4377169748245</v>
      </c>
      <c r="AB3801" t="s">
        <v>457</v>
      </c>
    </row>
    <row r="3802" spans="1:28">
      <c r="A3802" t="s">
        <v>122</v>
      </c>
      <c r="C3802" s="92">
        <v>4615499178</v>
      </c>
      <c r="D3802" s="93">
        <v>19200</v>
      </c>
      <c r="F3802" s="91">
        <v>16</v>
      </c>
      <c r="G3802" s="96">
        <v>5</v>
      </c>
      <c r="H3802" s="94">
        <v>0</v>
      </c>
      <c r="I3802" s="91">
        <v>0</v>
      </c>
      <c r="J3802" s="41"/>
      <c r="K3802" s="41">
        <v>43738</v>
      </c>
      <c r="L3802" s="69" t="s">
        <v>80</v>
      </c>
      <c r="M3802" s="69" t="s">
        <v>286</v>
      </c>
      <c r="N3802" s="95"/>
      <c r="P3802" t="s">
        <v>95</v>
      </c>
      <c r="Q3802" t="s">
        <v>120</v>
      </c>
      <c r="R3802" s="92" t="s">
        <v>69</v>
      </c>
      <c r="S3802" s="92" t="s">
        <v>395</v>
      </c>
      <c r="V3802" s="95">
        <v>43738</v>
      </c>
      <c r="W3802" s="92">
        <v>2033930</v>
      </c>
      <c r="X3802" s="90"/>
      <c r="Y3802" s="123"/>
      <c r="Z3802" s="30">
        <f t="shared" si="118"/>
        <v>6772.6006943194379</v>
      </c>
      <c r="AA3802" s="30">
        <f t="shared" si="119"/>
        <v>2116.4377169748245</v>
      </c>
      <c r="AB3802" t="s">
        <v>457</v>
      </c>
    </row>
    <row r="3803" spans="1:28">
      <c r="A3803" t="s">
        <v>122</v>
      </c>
      <c r="C3803" s="92">
        <v>4615499178</v>
      </c>
      <c r="D3803" s="93">
        <v>19200</v>
      </c>
      <c r="F3803" s="91">
        <v>16</v>
      </c>
      <c r="G3803" s="96">
        <v>5</v>
      </c>
      <c r="H3803" s="94">
        <v>0</v>
      </c>
      <c r="I3803" s="91">
        <v>0</v>
      </c>
      <c r="J3803" s="41"/>
      <c r="K3803" s="41">
        <v>43738</v>
      </c>
      <c r="L3803" s="69" t="s">
        <v>80</v>
      </c>
      <c r="M3803" s="69" t="s">
        <v>286</v>
      </c>
      <c r="N3803" s="95"/>
      <c r="P3803" t="s">
        <v>95</v>
      </c>
      <c r="Q3803" t="s">
        <v>120</v>
      </c>
      <c r="R3803" s="92" t="s">
        <v>69</v>
      </c>
      <c r="S3803" s="92" t="s">
        <v>395</v>
      </c>
      <c r="V3803" s="95">
        <v>43738</v>
      </c>
      <c r="W3803" s="92">
        <v>2033930</v>
      </c>
      <c r="X3803" s="90"/>
      <c r="Y3803" s="123"/>
      <c r="Z3803" s="30">
        <f t="shared" si="118"/>
        <v>6772.6006943194379</v>
      </c>
      <c r="AA3803" s="30">
        <f t="shared" si="119"/>
        <v>2116.4377169748245</v>
      </c>
      <c r="AB3803" t="s">
        <v>457</v>
      </c>
    </row>
    <row r="3804" spans="1:28">
      <c r="A3804" t="s">
        <v>122</v>
      </c>
      <c r="C3804" s="92">
        <v>4615499178</v>
      </c>
      <c r="D3804" s="93">
        <v>19200</v>
      </c>
      <c r="F3804" s="91">
        <v>16</v>
      </c>
      <c r="G3804" s="96">
        <v>5</v>
      </c>
      <c r="H3804" s="94">
        <v>0</v>
      </c>
      <c r="I3804" s="91">
        <v>0</v>
      </c>
      <c r="J3804" s="41"/>
      <c r="K3804" s="41">
        <v>43738</v>
      </c>
      <c r="L3804" s="69" t="s">
        <v>80</v>
      </c>
      <c r="M3804" s="69" t="s">
        <v>286</v>
      </c>
      <c r="N3804" s="95"/>
      <c r="P3804" t="s">
        <v>95</v>
      </c>
      <c r="Q3804" t="s">
        <v>120</v>
      </c>
      <c r="R3804" s="92" t="s">
        <v>69</v>
      </c>
      <c r="S3804" s="92" t="s">
        <v>395</v>
      </c>
      <c r="V3804" s="95">
        <v>43738</v>
      </c>
      <c r="W3804" s="92">
        <v>2033930</v>
      </c>
      <c r="X3804" s="90"/>
      <c r="Y3804" s="123"/>
      <c r="Z3804" s="30">
        <f t="shared" si="118"/>
        <v>6772.6006943194379</v>
      </c>
      <c r="AA3804" s="30">
        <f t="shared" si="119"/>
        <v>2116.4377169748245</v>
      </c>
      <c r="AB3804" t="s">
        <v>457</v>
      </c>
    </row>
    <row r="3805" spans="1:28">
      <c r="A3805" t="s">
        <v>122</v>
      </c>
      <c r="C3805" s="92">
        <v>4615499178</v>
      </c>
      <c r="D3805" s="93">
        <v>19200</v>
      </c>
      <c r="F3805" s="91">
        <v>16</v>
      </c>
      <c r="G3805" s="96">
        <v>5</v>
      </c>
      <c r="H3805" s="94">
        <v>0</v>
      </c>
      <c r="I3805" s="91">
        <v>0</v>
      </c>
      <c r="J3805" s="41"/>
      <c r="K3805" s="41">
        <v>43738</v>
      </c>
      <c r="L3805" s="69" t="s">
        <v>80</v>
      </c>
      <c r="M3805" s="69" t="s">
        <v>286</v>
      </c>
      <c r="N3805" s="95"/>
      <c r="P3805" t="s">
        <v>95</v>
      </c>
      <c r="Q3805" t="s">
        <v>120</v>
      </c>
      <c r="R3805" s="92" t="s">
        <v>69</v>
      </c>
      <c r="S3805" s="92" t="s">
        <v>395</v>
      </c>
      <c r="V3805" s="95">
        <v>43738</v>
      </c>
      <c r="W3805" s="92">
        <v>2033930</v>
      </c>
      <c r="X3805" s="90"/>
      <c r="Y3805" s="123"/>
      <c r="Z3805" s="30">
        <f t="shared" si="118"/>
        <v>6772.6006943194379</v>
      </c>
      <c r="AA3805" s="30">
        <f t="shared" si="119"/>
        <v>2116.4377169748245</v>
      </c>
      <c r="AB3805" t="s">
        <v>457</v>
      </c>
    </row>
    <row r="3806" spans="1:28">
      <c r="A3806" t="s">
        <v>122</v>
      </c>
      <c r="C3806" s="92">
        <v>4615499178</v>
      </c>
      <c r="D3806" s="93">
        <v>19200</v>
      </c>
      <c r="F3806" s="91">
        <v>16</v>
      </c>
      <c r="G3806" s="96">
        <v>5</v>
      </c>
      <c r="H3806" s="94">
        <v>0</v>
      </c>
      <c r="I3806" s="91">
        <v>0</v>
      </c>
      <c r="J3806" s="41"/>
      <c r="K3806" s="41">
        <v>43738</v>
      </c>
      <c r="L3806" s="69" t="s">
        <v>80</v>
      </c>
      <c r="M3806" s="69" t="s">
        <v>286</v>
      </c>
      <c r="N3806" s="95"/>
      <c r="P3806" t="s">
        <v>95</v>
      </c>
      <c r="Q3806" t="s">
        <v>120</v>
      </c>
      <c r="R3806" s="92" t="s">
        <v>69</v>
      </c>
      <c r="S3806" s="92" t="s">
        <v>395</v>
      </c>
      <c r="V3806" s="95">
        <v>43738</v>
      </c>
      <c r="W3806" s="92">
        <v>2033930</v>
      </c>
      <c r="X3806" s="90"/>
      <c r="Y3806" s="123"/>
      <c r="Z3806" s="30">
        <f t="shared" si="118"/>
        <v>6772.6006943194379</v>
      </c>
      <c r="AA3806" s="30">
        <f t="shared" si="119"/>
        <v>2116.4377169748245</v>
      </c>
      <c r="AB3806" t="s">
        <v>457</v>
      </c>
    </row>
    <row r="3807" spans="1:28">
      <c r="A3807" t="s">
        <v>122</v>
      </c>
      <c r="C3807" s="92">
        <v>4615499178</v>
      </c>
      <c r="D3807" s="93">
        <v>19200</v>
      </c>
      <c r="F3807" s="91">
        <v>16</v>
      </c>
      <c r="G3807" s="96">
        <v>5</v>
      </c>
      <c r="H3807" s="94">
        <v>0</v>
      </c>
      <c r="I3807" s="91">
        <v>0</v>
      </c>
      <c r="J3807" s="41"/>
      <c r="K3807" s="41">
        <v>43738</v>
      </c>
      <c r="L3807" s="69" t="s">
        <v>80</v>
      </c>
      <c r="M3807" s="69" t="s">
        <v>286</v>
      </c>
      <c r="N3807" s="95"/>
      <c r="P3807" t="s">
        <v>95</v>
      </c>
      <c r="Q3807" t="s">
        <v>120</v>
      </c>
      <c r="R3807" s="92" t="s">
        <v>69</v>
      </c>
      <c r="S3807" s="92" t="s">
        <v>395</v>
      </c>
      <c r="V3807" s="95">
        <v>43738</v>
      </c>
      <c r="W3807" s="92">
        <v>2033930</v>
      </c>
      <c r="X3807" s="90"/>
      <c r="Y3807" s="123"/>
      <c r="Z3807" s="30">
        <f t="shared" si="118"/>
        <v>6772.6006943194379</v>
      </c>
      <c r="AA3807" s="30">
        <f t="shared" si="119"/>
        <v>2116.4377169748245</v>
      </c>
      <c r="AB3807" t="s">
        <v>457</v>
      </c>
    </row>
    <row r="3808" spans="1:28">
      <c r="A3808" t="s">
        <v>122</v>
      </c>
      <c r="C3808" s="92">
        <v>4615499178</v>
      </c>
      <c r="D3808" s="93">
        <v>19200</v>
      </c>
      <c r="F3808" s="91">
        <v>16</v>
      </c>
      <c r="G3808" s="96">
        <v>5</v>
      </c>
      <c r="H3808" s="94">
        <v>0</v>
      </c>
      <c r="I3808" s="91">
        <v>0</v>
      </c>
      <c r="J3808" s="41"/>
      <c r="K3808" s="41">
        <v>43738</v>
      </c>
      <c r="L3808" s="69" t="s">
        <v>80</v>
      </c>
      <c r="M3808" s="69" t="s">
        <v>286</v>
      </c>
      <c r="N3808" s="95"/>
      <c r="P3808" t="s">
        <v>95</v>
      </c>
      <c r="Q3808" t="s">
        <v>120</v>
      </c>
      <c r="R3808" s="92" t="s">
        <v>69</v>
      </c>
      <c r="S3808" s="92" t="s">
        <v>395</v>
      </c>
      <c r="V3808" s="95">
        <v>43738</v>
      </c>
      <c r="W3808" s="92">
        <v>2033930</v>
      </c>
      <c r="X3808" s="90"/>
      <c r="Y3808" s="123"/>
      <c r="Z3808" s="30">
        <f t="shared" si="118"/>
        <v>6772.6006943194379</v>
      </c>
      <c r="AA3808" s="30">
        <f t="shared" si="119"/>
        <v>2116.4377169748245</v>
      </c>
      <c r="AB3808" t="s">
        <v>457</v>
      </c>
    </row>
    <row r="3809" spans="1:28">
      <c r="A3809" t="s">
        <v>122</v>
      </c>
      <c r="C3809" s="92">
        <v>4615499178</v>
      </c>
      <c r="D3809" s="93">
        <v>19200</v>
      </c>
      <c r="F3809" s="91">
        <v>16</v>
      </c>
      <c r="G3809" s="96">
        <v>5</v>
      </c>
      <c r="H3809" s="94">
        <v>0</v>
      </c>
      <c r="I3809" s="91">
        <v>0</v>
      </c>
      <c r="J3809" s="41"/>
      <c r="K3809" s="41">
        <v>43738</v>
      </c>
      <c r="L3809" s="69" t="s">
        <v>80</v>
      </c>
      <c r="M3809" s="69" t="s">
        <v>286</v>
      </c>
      <c r="N3809" s="95"/>
      <c r="P3809" t="s">
        <v>95</v>
      </c>
      <c r="Q3809" t="s">
        <v>120</v>
      </c>
      <c r="R3809" s="92" t="s">
        <v>69</v>
      </c>
      <c r="S3809" s="92" t="s">
        <v>395</v>
      </c>
      <c r="V3809" s="95">
        <v>43738</v>
      </c>
      <c r="W3809" s="92">
        <v>2033930</v>
      </c>
      <c r="X3809" s="90"/>
      <c r="Y3809" s="123"/>
      <c r="Z3809" s="30">
        <f t="shared" si="118"/>
        <v>6772.6006943194379</v>
      </c>
      <c r="AA3809" s="30">
        <f t="shared" si="119"/>
        <v>2116.4377169748245</v>
      </c>
      <c r="AB3809" t="s">
        <v>457</v>
      </c>
    </row>
    <row r="3810" spans="1:28">
      <c r="A3810" t="s">
        <v>122</v>
      </c>
      <c r="C3810" s="92">
        <v>4615499178</v>
      </c>
      <c r="D3810" s="93">
        <v>19200</v>
      </c>
      <c r="F3810" s="91">
        <v>16</v>
      </c>
      <c r="G3810" s="96">
        <v>5</v>
      </c>
      <c r="H3810" s="94">
        <v>0</v>
      </c>
      <c r="I3810" s="91">
        <v>0</v>
      </c>
      <c r="J3810" s="41"/>
      <c r="K3810" s="41">
        <v>43738</v>
      </c>
      <c r="L3810" s="69" t="s">
        <v>80</v>
      </c>
      <c r="M3810" s="69" t="s">
        <v>286</v>
      </c>
      <c r="N3810" s="95"/>
      <c r="P3810" t="s">
        <v>95</v>
      </c>
      <c r="Q3810" t="s">
        <v>120</v>
      </c>
      <c r="R3810" s="92" t="s">
        <v>69</v>
      </c>
      <c r="S3810" s="92" t="s">
        <v>395</v>
      </c>
      <c r="V3810" s="95">
        <v>43738</v>
      </c>
      <c r="W3810" s="92">
        <v>2033930</v>
      </c>
      <c r="X3810" s="90"/>
      <c r="Y3810" s="123"/>
      <c r="Z3810" s="30">
        <f t="shared" si="118"/>
        <v>6772.6006943194379</v>
      </c>
      <c r="AA3810" s="30">
        <f t="shared" si="119"/>
        <v>2116.4377169748245</v>
      </c>
      <c r="AB3810" t="s">
        <v>457</v>
      </c>
    </row>
    <row r="3811" spans="1:28">
      <c r="A3811" t="s">
        <v>122</v>
      </c>
      <c r="C3811" s="92">
        <v>4615499178</v>
      </c>
      <c r="D3811" s="93">
        <v>19200</v>
      </c>
      <c r="F3811" s="91">
        <v>16</v>
      </c>
      <c r="G3811" s="96">
        <v>5</v>
      </c>
      <c r="H3811" s="94">
        <v>0</v>
      </c>
      <c r="I3811" s="91">
        <v>0</v>
      </c>
      <c r="J3811" s="41"/>
      <c r="K3811" s="41">
        <v>43738</v>
      </c>
      <c r="L3811" s="69" t="s">
        <v>80</v>
      </c>
      <c r="M3811" s="69" t="s">
        <v>286</v>
      </c>
      <c r="N3811" s="95"/>
      <c r="P3811" t="s">
        <v>95</v>
      </c>
      <c r="Q3811" t="s">
        <v>120</v>
      </c>
      <c r="R3811" s="92" t="s">
        <v>69</v>
      </c>
      <c r="S3811" s="92" t="s">
        <v>395</v>
      </c>
      <c r="V3811" s="95">
        <v>43738</v>
      </c>
      <c r="W3811" s="92">
        <v>2033930</v>
      </c>
      <c r="X3811" s="90"/>
      <c r="Y3811" s="123"/>
      <c r="Z3811" s="30">
        <f t="shared" si="118"/>
        <v>6772.6006943194379</v>
      </c>
      <c r="AA3811" s="30">
        <f t="shared" si="119"/>
        <v>2116.4377169748245</v>
      </c>
      <c r="AB3811" t="s">
        <v>457</v>
      </c>
    </row>
    <row r="3812" spans="1:28">
      <c r="A3812" t="s">
        <v>118</v>
      </c>
      <c r="C3812" s="92">
        <v>4615458844</v>
      </c>
      <c r="D3812" s="93">
        <v>19175</v>
      </c>
      <c r="F3812" s="91">
        <v>16</v>
      </c>
      <c r="G3812" s="96">
        <v>5</v>
      </c>
      <c r="H3812" s="94">
        <v>0</v>
      </c>
      <c r="I3812" s="91">
        <v>0</v>
      </c>
      <c r="J3812" s="41"/>
      <c r="K3812" s="41">
        <v>43738</v>
      </c>
      <c r="L3812" s="69" t="s">
        <v>80</v>
      </c>
      <c r="M3812" s="69" t="s">
        <v>286</v>
      </c>
      <c r="N3812" s="95"/>
      <c r="P3812" t="s">
        <v>95</v>
      </c>
      <c r="Q3812" t="s">
        <v>120</v>
      </c>
      <c r="R3812" s="92" t="s">
        <v>69</v>
      </c>
      <c r="S3812" s="92" t="s">
        <v>396</v>
      </c>
      <c r="V3812" s="95">
        <v>43738</v>
      </c>
      <c r="W3812" s="92">
        <v>2033940</v>
      </c>
      <c r="X3812" s="90"/>
      <c r="Y3812" s="123"/>
      <c r="Z3812" s="30">
        <f t="shared" si="118"/>
        <v>6763.7822038320437</v>
      </c>
      <c r="AA3812" s="30">
        <f t="shared" si="119"/>
        <v>2113.6819386975139</v>
      </c>
      <c r="AB3812" t="s">
        <v>457</v>
      </c>
    </row>
    <row r="3813" spans="1:28">
      <c r="A3813" t="s">
        <v>118</v>
      </c>
      <c r="C3813" s="92">
        <v>4615458844</v>
      </c>
      <c r="D3813" s="93">
        <v>19175</v>
      </c>
      <c r="F3813" s="91">
        <v>16</v>
      </c>
      <c r="G3813" s="96">
        <v>5</v>
      </c>
      <c r="H3813" s="94">
        <v>0</v>
      </c>
      <c r="I3813" s="91">
        <v>0</v>
      </c>
      <c r="J3813" s="41"/>
      <c r="K3813" s="41">
        <v>43738</v>
      </c>
      <c r="L3813" s="69" t="s">
        <v>80</v>
      </c>
      <c r="M3813" s="69" t="s">
        <v>286</v>
      </c>
      <c r="N3813" s="95"/>
      <c r="P3813" t="s">
        <v>95</v>
      </c>
      <c r="Q3813" t="s">
        <v>120</v>
      </c>
      <c r="R3813" s="92" t="s">
        <v>69</v>
      </c>
      <c r="S3813" s="92" t="s">
        <v>396</v>
      </c>
      <c r="V3813" s="95">
        <v>43738</v>
      </c>
      <c r="W3813" s="92">
        <v>2033940</v>
      </c>
      <c r="X3813" s="90"/>
      <c r="Y3813" s="123"/>
      <c r="Z3813" s="30">
        <f t="shared" si="118"/>
        <v>6763.7822038320437</v>
      </c>
      <c r="AA3813" s="30">
        <f t="shared" si="119"/>
        <v>2113.6819386975139</v>
      </c>
      <c r="AB3813" t="s">
        <v>457</v>
      </c>
    </row>
    <row r="3814" spans="1:28">
      <c r="A3814" t="s">
        <v>118</v>
      </c>
      <c r="C3814" s="92">
        <v>4615458844</v>
      </c>
      <c r="D3814" s="93">
        <v>19175</v>
      </c>
      <c r="F3814" s="91">
        <v>16</v>
      </c>
      <c r="G3814" s="96">
        <v>5</v>
      </c>
      <c r="H3814" s="94">
        <v>0</v>
      </c>
      <c r="I3814" s="91">
        <v>0</v>
      </c>
      <c r="J3814" s="41"/>
      <c r="K3814" s="41">
        <v>43738</v>
      </c>
      <c r="L3814" s="69" t="s">
        <v>80</v>
      </c>
      <c r="M3814" s="69" t="s">
        <v>286</v>
      </c>
      <c r="N3814" s="95"/>
      <c r="P3814" t="s">
        <v>95</v>
      </c>
      <c r="Q3814" t="s">
        <v>120</v>
      </c>
      <c r="R3814" s="92" t="s">
        <v>69</v>
      </c>
      <c r="S3814" s="92" t="s">
        <v>396</v>
      </c>
      <c r="V3814" s="95">
        <v>43738</v>
      </c>
      <c r="W3814" s="92">
        <v>2033940</v>
      </c>
      <c r="X3814" s="90"/>
      <c r="Y3814" s="123"/>
      <c r="Z3814" s="30">
        <f t="shared" si="118"/>
        <v>6763.7822038320437</v>
      </c>
      <c r="AA3814" s="30">
        <f t="shared" si="119"/>
        <v>2113.6819386975139</v>
      </c>
      <c r="AB3814" t="s">
        <v>457</v>
      </c>
    </row>
    <row r="3815" spans="1:28">
      <c r="A3815" t="s">
        <v>118</v>
      </c>
      <c r="C3815" s="92">
        <v>4615458844</v>
      </c>
      <c r="D3815" s="93">
        <v>19175</v>
      </c>
      <c r="F3815" s="91">
        <v>16</v>
      </c>
      <c r="G3815" s="96">
        <v>5</v>
      </c>
      <c r="H3815" s="94">
        <v>0</v>
      </c>
      <c r="I3815" s="91">
        <v>0</v>
      </c>
      <c r="J3815" s="41"/>
      <c r="K3815" s="41">
        <v>43738</v>
      </c>
      <c r="L3815" s="69" t="s">
        <v>80</v>
      </c>
      <c r="M3815" s="69" t="s">
        <v>286</v>
      </c>
      <c r="N3815" s="95"/>
      <c r="P3815" t="s">
        <v>95</v>
      </c>
      <c r="Q3815" t="s">
        <v>120</v>
      </c>
      <c r="R3815" s="92" t="s">
        <v>69</v>
      </c>
      <c r="S3815" s="92" t="s">
        <v>396</v>
      </c>
      <c r="V3815" s="95">
        <v>43738</v>
      </c>
      <c r="W3815" s="92">
        <v>2033940</v>
      </c>
      <c r="X3815" s="90"/>
      <c r="Y3815" s="123"/>
      <c r="Z3815" s="30">
        <f t="shared" si="118"/>
        <v>6763.7822038320437</v>
      </c>
      <c r="AA3815" s="30">
        <f t="shared" si="119"/>
        <v>2113.6819386975139</v>
      </c>
      <c r="AB3815" t="s">
        <v>457</v>
      </c>
    </row>
    <row r="3816" spans="1:28">
      <c r="A3816" t="s">
        <v>118</v>
      </c>
      <c r="C3816" s="92">
        <v>4615458844</v>
      </c>
      <c r="D3816" s="93">
        <v>19175</v>
      </c>
      <c r="F3816" s="91">
        <v>16</v>
      </c>
      <c r="G3816" s="96">
        <v>5</v>
      </c>
      <c r="H3816" s="94">
        <v>0</v>
      </c>
      <c r="I3816" s="91">
        <v>0</v>
      </c>
      <c r="J3816" s="41"/>
      <c r="K3816" s="41">
        <v>43738</v>
      </c>
      <c r="L3816" s="69" t="s">
        <v>80</v>
      </c>
      <c r="M3816" s="69" t="s">
        <v>286</v>
      </c>
      <c r="N3816" s="95"/>
      <c r="P3816" t="s">
        <v>95</v>
      </c>
      <c r="Q3816" t="s">
        <v>120</v>
      </c>
      <c r="R3816" s="92" t="s">
        <v>69</v>
      </c>
      <c r="S3816" s="92" t="s">
        <v>396</v>
      </c>
      <c r="V3816" s="95">
        <v>43738</v>
      </c>
      <c r="W3816" s="92">
        <v>2033940</v>
      </c>
      <c r="X3816" s="90"/>
      <c r="Y3816" s="123"/>
      <c r="Z3816" s="30">
        <f t="shared" si="118"/>
        <v>6763.7822038320437</v>
      </c>
      <c r="AA3816" s="30">
        <f t="shared" si="119"/>
        <v>2113.6819386975139</v>
      </c>
      <c r="AB3816" t="s">
        <v>457</v>
      </c>
    </row>
    <row r="3817" spans="1:28">
      <c r="A3817" t="s">
        <v>118</v>
      </c>
      <c r="C3817" s="92">
        <v>4615458844</v>
      </c>
      <c r="D3817" s="93">
        <v>19175</v>
      </c>
      <c r="F3817" s="91">
        <v>16</v>
      </c>
      <c r="G3817" s="96">
        <v>5</v>
      </c>
      <c r="H3817" s="94">
        <v>0</v>
      </c>
      <c r="I3817" s="91">
        <v>0</v>
      </c>
      <c r="J3817" s="41"/>
      <c r="K3817" s="41">
        <v>43738</v>
      </c>
      <c r="L3817" s="69" t="s">
        <v>80</v>
      </c>
      <c r="M3817" s="69" t="s">
        <v>286</v>
      </c>
      <c r="N3817" s="95"/>
      <c r="P3817" t="s">
        <v>95</v>
      </c>
      <c r="Q3817" t="s">
        <v>120</v>
      </c>
      <c r="R3817" s="92" t="s">
        <v>69</v>
      </c>
      <c r="S3817" s="92" t="s">
        <v>396</v>
      </c>
      <c r="V3817" s="95">
        <v>43738</v>
      </c>
      <c r="W3817" s="92">
        <v>2033940</v>
      </c>
      <c r="X3817" s="90"/>
      <c r="Y3817" s="123"/>
      <c r="Z3817" s="30">
        <f t="shared" si="118"/>
        <v>6763.7822038320437</v>
      </c>
      <c r="AA3817" s="30">
        <f t="shared" si="119"/>
        <v>2113.6819386975139</v>
      </c>
      <c r="AB3817" t="s">
        <v>457</v>
      </c>
    </row>
    <row r="3818" spans="1:28">
      <c r="A3818" t="s">
        <v>122</v>
      </c>
      <c r="C3818" s="92">
        <v>4615519284</v>
      </c>
      <c r="D3818" s="93">
        <v>19200</v>
      </c>
      <c r="F3818" s="91">
        <v>16</v>
      </c>
      <c r="G3818" s="96">
        <v>5</v>
      </c>
      <c r="H3818" s="94">
        <v>0</v>
      </c>
      <c r="I3818" s="91">
        <v>0</v>
      </c>
      <c r="J3818" s="41"/>
      <c r="K3818" s="41">
        <v>43738</v>
      </c>
      <c r="L3818" s="69" t="s">
        <v>80</v>
      </c>
      <c r="M3818" s="69" t="s">
        <v>286</v>
      </c>
      <c r="N3818" s="95"/>
      <c r="P3818" t="s">
        <v>95</v>
      </c>
      <c r="Q3818" t="s">
        <v>120</v>
      </c>
      <c r="R3818" s="92" t="s">
        <v>69</v>
      </c>
      <c r="S3818" s="92" t="s">
        <v>397</v>
      </c>
      <c r="V3818" s="95">
        <v>43738</v>
      </c>
      <c r="W3818" s="92">
        <v>2033950</v>
      </c>
      <c r="X3818" s="90"/>
      <c r="Y3818" s="123"/>
      <c r="Z3818" s="30">
        <f t="shared" si="118"/>
        <v>6772.6006943194379</v>
      </c>
      <c r="AA3818" s="30">
        <f t="shared" si="119"/>
        <v>2116.4377169748245</v>
      </c>
      <c r="AB3818" t="s">
        <v>457</v>
      </c>
    </row>
    <row r="3819" spans="1:28">
      <c r="A3819" t="s">
        <v>122</v>
      </c>
      <c r="C3819" s="92">
        <v>4615519284</v>
      </c>
      <c r="D3819" s="93">
        <v>19200</v>
      </c>
      <c r="F3819" s="91">
        <v>16</v>
      </c>
      <c r="G3819" s="96">
        <v>5</v>
      </c>
      <c r="H3819" s="94">
        <v>0</v>
      </c>
      <c r="I3819" s="91">
        <v>0</v>
      </c>
      <c r="J3819" s="41"/>
      <c r="K3819" s="41">
        <v>43738</v>
      </c>
      <c r="L3819" s="69" t="s">
        <v>80</v>
      </c>
      <c r="M3819" s="69" t="s">
        <v>286</v>
      </c>
      <c r="N3819" s="95"/>
      <c r="P3819" t="s">
        <v>95</v>
      </c>
      <c r="Q3819" t="s">
        <v>120</v>
      </c>
      <c r="R3819" s="92" t="s">
        <v>69</v>
      </c>
      <c r="S3819" s="92" t="s">
        <v>397</v>
      </c>
      <c r="V3819" s="95">
        <v>43738</v>
      </c>
      <c r="W3819" s="92">
        <v>2033950</v>
      </c>
      <c r="X3819" s="90"/>
      <c r="Y3819" s="123"/>
      <c r="Z3819" s="30">
        <f t="shared" si="118"/>
        <v>6772.6006943194379</v>
      </c>
      <c r="AA3819" s="30">
        <f t="shared" si="119"/>
        <v>2116.4377169748245</v>
      </c>
      <c r="AB3819" t="s">
        <v>457</v>
      </c>
    </row>
    <row r="3820" spans="1:28">
      <c r="A3820" t="s">
        <v>122</v>
      </c>
      <c r="C3820" s="92">
        <v>4615519284</v>
      </c>
      <c r="D3820" s="93">
        <v>19200</v>
      </c>
      <c r="F3820" s="91">
        <v>16</v>
      </c>
      <c r="G3820" s="96">
        <v>5</v>
      </c>
      <c r="H3820" s="94">
        <v>0</v>
      </c>
      <c r="I3820" s="91">
        <v>0</v>
      </c>
      <c r="J3820" s="41"/>
      <c r="K3820" s="41">
        <v>43738</v>
      </c>
      <c r="L3820" s="69" t="s">
        <v>80</v>
      </c>
      <c r="M3820" s="69" t="s">
        <v>286</v>
      </c>
      <c r="N3820" s="95"/>
      <c r="P3820" t="s">
        <v>95</v>
      </c>
      <c r="Q3820" t="s">
        <v>120</v>
      </c>
      <c r="R3820" s="92" t="s">
        <v>69</v>
      </c>
      <c r="S3820" s="92" t="s">
        <v>397</v>
      </c>
      <c r="V3820" s="95">
        <v>43738</v>
      </c>
      <c r="W3820" s="92">
        <v>2033950</v>
      </c>
      <c r="X3820" s="90"/>
      <c r="Y3820" s="123"/>
      <c r="Z3820" s="30">
        <f t="shared" si="118"/>
        <v>6772.6006943194379</v>
      </c>
      <c r="AA3820" s="30">
        <f t="shared" si="119"/>
        <v>2116.4377169748245</v>
      </c>
      <c r="AB3820" t="s">
        <v>457</v>
      </c>
    </row>
    <row r="3821" spans="1:28">
      <c r="A3821" t="s">
        <v>122</v>
      </c>
      <c r="C3821" s="92">
        <v>4615519284</v>
      </c>
      <c r="D3821" s="93">
        <v>19200</v>
      </c>
      <c r="F3821" s="91">
        <v>16</v>
      </c>
      <c r="G3821" s="96">
        <v>5</v>
      </c>
      <c r="H3821" s="94">
        <v>0</v>
      </c>
      <c r="I3821" s="91">
        <v>0</v>
      </c>
      <c r="J3821" s="41"/>
      <c r="K3821" s="41">
        <v>43738</v>
      </c>
      <c r="L3821" s="69" t="s">
        <v>80</v>
      </c>
      <c r="M3821" s="69" t="s">
        <v>286</v>
      </c>
      <c r="N3821" s="95"/>
      <c r="P3821" t="s">
        <v>95</v>
      </c>
      <c r="Q3821" t="s">
        <v>120</v>
      </c>
      <c r="R3821" s="92" t="s">
        <v>69</v>
      </c>
      <c r="S3821" s="92" t="s">
        <v>397</v>
      </c>
      <c r="V3821" s="95">
        <v>43738</v>
      </c>
      <c r="W3821" s="92">
        <v>2033950</v>
      </c>
      <c r="X3821" s="90"/>
      <c r="Y3821" s="123"/>
      <c r="Z3821" s="30">
        <f t="shared" si="118"/>
        <v>6772.6006943194379</v>
      </c>
      <c r="AA3821" s="30">
        <f t="shared" si="119"/>
        <v>2116.4377169748245</v>
      </c>
      <c r="AB3821" t="s">
        <v>457</v>
      </c>
    </row>
    <row r="3822" spans="1:28">
      <c r="A3822" t="s">
        <v>122</v>
      </c>
      <c r="C3822" s="92">
        <v>4615519284</v>
      </c>
      <c r="D3822" s="93">
        <v>19200</v>
      </c>
      <c r="F3822" s="91">
        <v>16</v>
      </c>
      <c r="G3822" s="96">
        <v>5</v>
      </c>
      <c r="H3822" s="94">
        <v>0</v>
      </c>
      <c r="I3822" s="91">
        <v>0</v>
      </c>
      <c r="J3822" s="41"/>
      <c r="K3822" s="41">
        <v>43738</v>
      </c>
      <c r="L3822" s="69" t="s">
        <v>80</v>
      </c>
      <c r="M3822" s="69" t="s">
        <v>286</v>
      </c>
      <c r="N3822" s="95"/>
      <c r="P3822" t="s">
        <v>95</v>
      </c>
      <c r="Q3822" t="s">
        <v>120</v>
      </c>
      <c r="R3822" s="92" t="s">
        <v>69</v>
      </c>
      <c r="S3822" s="92" t="s">
        <v>397</v>
      </c>
      <c r="V3822" s="95">
        <v>43738</v>
      </c>
      <c r="W3822" s="92">
        <v>2033950</v>
      </c>
      <c r="X3822" s="90"/>
      <c r="Y3822" s="123"/>
      <c r="Z3822" s="30">
        <f t="shared" si="118"/>
        <v>6772.6006943194379</v>
      </c>
      <c r="AA3822" s="30">
        <f t="shared" si="119"/>
        <v>2116.4377169748245</v>
      </c>
      <c r="AB3822" t="s">
        <v>457</v>
      </c>
    </row>
    <row r="3823" spans="1:28">
      <c r="A3823" t="s">
        <v>122</v>
      </c>
      <c r="C3823" s="92">
        <v>4615519284</v>
      </c>
      <c r="D3823" s="93">
        <v>19200</v>
      </c>
      <c r="F3823" s="91">
        <v>16</v>
      </c>
      <c r="G3823" s="96">
        <v>5</v>
      </c>
      <c r="H3823" s="94">
        <v>0</v>
      </c>
      <c r="I3823" s="91">
        <v>0</v>
      </c>
      <c r="J3823" s="41"/>
      <c r="K3823" s="41">
        <v>43738</v>
      </c>
      <c r="L3823" s="69" t="s">
        <v>80</v>
      </c>
      <c r="M3823" s="69" t="s">
        <v>286</v>
      </c>
      <c r="N3823" s="95"/>
      <c r="P3823" t="s">
        <v>95</v>
      </c>
      <c r="Q3823" t="s">
        <v>120</v>
      </c>
      <c r="R3823" s="92" t="s">
        <v>69</v>
      </c>
      <c r="S3823" s="92" t="s">
        <v>397</v>
      </c>
      <c r="V3823" s="95">
        <v>43738</v>
      </c>
      <c r="W3823" s="92">
        <v>2033950</v>
      </c>
      <c r="X3823" s="90"/>
      <c r="Y3823" s="123"/>
      <c r="Z3823" s="30">
        <f t="shared" si="118"/>
        <v>6772.6006943194379</v>
      </c>
      <c r="AA3823" s="30">
        <f t="shared" si="119"/>
        <v>2116.4377169748245</v>
      </c>
      <c r="AB3823" t="s">
        <v>457</v>
      </c>
    </row>
    <row r="3824" spans="1:28">
      <c r="A3824" t="s">
        <v>122</v>
      </c>
      <c r="C3824" s="92">
        <v>4615519284</v>
      </c>
      <c r="D3824" s="93">
        <v>19200</v>
      </c>
      <c r="F3824" s="91">
        <v>16</v>
      </c>
      <c r="G3824" s="96">
        <v>5</v>
      </c>
      <c r="H3824" s="94">
        <v>0</v>
      </c>
      <c r="I3824" s="91">
        <v>0</v>
      </c>
      <c r="J3824" s="41"/>
      <c r="K3824" s="41">
        <v>43738</v>
      </c>
      <c r="L3824" s="69" t="s">
        <v>80</v>
      </c>
      <c r="M3824" s="69" t="s">
        <v>286</v>
      </c>
      <c r="N3824" s="95"/>
      <c r="P3824" t="s">
        <v>95</v>
      </c>
      <c r="Q3824" t="s">
        <v>120</v>
      </c>
      <c r="R3824" s="92" t="s">
        <v>69</v>
      </c>
      <c r="S3824" s="92" t="s">
        <v>397</v>
      </c>
      <c r="V3824" s="95">
        <v>43738</v>
      </c>
      <c r="W3824" s="92">
        <v>2033950</v>
      </c>
      <c r="X3824" s="90"/>
      <c r="Y3824" s="123"/>
      <c r="Z3824" s="30">
        <f t="shared" si="118"/>
        <v>6772.6006943194379</v>
      </c>
      <c r="AA3824" s="30">
        <f t="shared" si="119"/>
        <v>2116.4377169748245</v>
      </c>
      <c r="AB3824" t="s">
        <v>457</v>
      </c>
    </row>
    <row r="3825" spans="1:28">
      <c r="A3825" t="s">
        <v>122</v>
      </c>
      <c r="C3825" s="92">
        <v>4615519284</v>
      </c>
      <c r="D3825" s="93">
        <v>19200</v>
      </c>
      <c r="F3825" s="91">
        <v>16</v>
      </c>
      <c r="G3825" s="96">
        <v>5</v>
      </c>
      <c r="H3825" s="94">
        <v>0</v>
      </c>
      <c r="I3825" s="91">
        <v>0</v>
      </c>
      <c r="J3825" s="41"/>
      <c r="K3825" s="41">
        <v>43738</v>
      </c>
      <c r="L3825" s="69" t="s">
        <v>80</v>
      </c>
      <c r="M3825" s="69" t="s">
        <v>286</v>
      </c>
      <c r="N3825" s="95"/>
      <c r="P3825" t="s">
        <v>95</v>
      </c>
      <c r="Q3825" t="s">
        <v>120</v>
      </c>
      <c r="R3825" s="92" t="s">
        <v>69</v>
      </c>
      <c r="S3825" s="92" t="s">
        <v>397</v>
      </c>
      <c r="V3825" s="95">
        <v>43738</v>
      </c>
      <c r="W3825" s="92">
        <v>2033950</v>
      </c>
      <c r="X3825" s="90"/>
      <c r="Y3825" s="123"/>
      <c r="Z3825" s="30">
        <f t="shared" si="118"/>
        <v>6772.6006943194379</v>
      </c>
      <c r="AA3825" s="30">
        <f t="shared" si="119"/>
        <v>2116.4377169748245</v>
      </c>
      <c r="AB3825" t="s">
        <v>457</v>
      </c>
    </row>
    <row r="3826" spans="1:28">
      <c r="A3826" t="s">
        <v>122</v>
      </c>
      <c r="C3826" s="92">
        <v>4615519284</v>
      </c>
      <c r="D3826" s="93">
        <v>19200</v>
      </c>
      <c r="F3826" s="91">
        <v>16</v>
      </c>
      <c r="G3826" s="96">
        <v>5</v>
      </c>
      <c r="H3826" s="94">
        <v>0</v>
      </c>
      <c r="I3826" s="91">
        <v>0</v>
      </c>
      <c r="J3826" s="41"/>
      <c r="K3826" s="41">
        <v>43738</v>
      </c>
      <c r="L3826" s="69" t="s">
        <v>80</v>
      </c>
      <c r="M3826" s="69" t="s">
        <v>286</v>
      </c>
      <c r="N3826" s="95"/>
      <c r="P3826" t="s">
        <v>95</v>
      </c>
      <c r="Q3826" t="s">
        <v>120</v>
      </c>
      <c r="R3826" s="92" t="s">
        <v>69</v>
      </c>
      <c r="S3826" s="92" t="s">
        <v>397</v>
      </c>
      <c r="V3826" s="95">
        <v>43738</v>
      </c>
      <c r="W3826" s="92">
        <v>2033950</v>
      </c>
      <c r="X3826" s="90"/>
      <c r="Y3826" s="123"/>
      <c r="Z3826" s="30">
        <f t="shared" si="118"/>
        <v>6772.6006943194379</v>
      </c>
      <c r="AA3826" s="30">
        <f t="shared" si="119"/>
        <v>2116.4377169748245</v>
      </c>
      <c r="AB3826" t="s">
        <v>457</v>
      </c>
    </row>
    <row r="3827" spans="1:28">
      <c r="A3827" t="s">
        <v>122</v>
      </c>
      <c r="C3827" s="92">
        <v>4615519284</v>
      </c>
      <c r="D3827" s="93">
        <v>19200</v>
      </c>
      <c r="F3827" s="91">
        <v>16</v>
      </c>
      <c r="G3827" s="96">
        <v>5</v>
      </c>
      <c r="H3827" s="94">
        <v>0</v>
      </c>
      <c r="I3827" s="91">
        <v>0</v>
      </c>
      <c r="J3827" s="41"/>
      <c r="K3827" s="41">
        <v>43738</v>
      </c>
      <c r="L3827" s="69" t="s">
        <v>80</v>
      </c>
      <c r="M3827" s="69" t="s">
        <v>286</v>
      </c>
      <c r="N3827" s="95"/>
      <c r="P3827" t="s">
        <v>95</v>
      </c>
      <c r="Q3827" t="s">
        <v>120</v>
      </c>
      <c r="R3827" s="92" t="s">
        <v>69</v>
      </c>
      <c r="S3827" s="92" t="s">
        <v>397</v>
      </c>
      <c r="V3827" s="95">
        <v>43738</v>
      </c>
      <c r="W3827" s="92">
        <v>2033950</v>
      </c>
      <c r="X3827" s="90"/>
      <c r="Y3827" s="123"/>
      <c r="Z3827" s="30">
        <f t="shared" si="118"/>
        <v>6772.6006943194379</v>
      </c>
      <c r="AA3827" s="30">
        <f t="shared" si="119"/>
        <v>2116.4377169748245</v>
      </c>
      <c r="AB3827" t="s">
        <v>457</v>
      </c>
    </row>
    <row r="3828" spans="1:28">
      <c r="A3828" t="s">
        <v>122</v>
      </c>
      <c r="C3828" s="92">
        <v>4615487970</v>
      </c>
      <c r="D3828" s="93">
        <v>19200</v>
      </c>
      <c r="F3828" s="91">
        <v>16</v>
      </c>
      <c r="G3828" s="96">
        <v>5</v>
      </c>
      <c r="H3828" s="94">
        <v>0</v>
      </c>
      <c r="I3828" s="91">
        <v>0</v>
      </c>
      <c r="J3828" s="41"/>
      <c r="K3828" s="41">
        <v>43738</v>
      </c>
      <c r="L3828" s="69" t="s">
        <v>80</v>
      </c>
      <c r="M3828" s="69" t="s">
        <v>286</v>
      </c>
      <c r="N3828" s="95"/>
      <c r="P3828" t="s">
        <v>95</v>
      </c>
      <c r="Q3828" t="s">
        <v>120</v>
      </c>
      <c r="R3828" s="92" t="s">
        <v>69</v>
      </c>
      <c r="S3828" s="92" t="s">
        <v>293</v>
      </c>
      <c r="V3828" s="95">
        <v>43738</v>
      </c>
      <c r="W3828" s="92">
        <v>2033960</v>
      </c>
      <c r="X3828" s="90"/>
      <c r="Y3828" s="123"/>
      <c r="Z3828" s="30">
        <f t="shared" si="118"/>
        <v>6772.6006943194379</v>
      </c>
      <c r="AA3828" s="30">
        <f t="shared" si="119"/>
        <v>2116.4377169748245</v>
      </c>
      <c r="AB3828" t="s">
        <v>457</v>
      </c>
    </row>
    <row r="3829" spans="1:28">
      <c r="A3829" t="s">
        <v>122</v>
      </c>
      <c r="C3829" s="92">
        <v>4615487970</v>
      </c>
      <c r="D3829" s="93">
        <v>19200</v>
      </c>
      <c r="F3829" s="91">
        <v>16</v>
      </c>
      <c r="G3829" s="96">
        <v>5</v>
      </c>
      <c r="H3829" s="94">
        <v>0</v>
      </c>
      <c r="I3829" s="91">
        <v>0</v>
      </c>
      <c r="J3829" s="41"/>
      <c r="K3829" s="41">
        <v>43738</v>
      </c>
      <c r="L3829" s="69" t="s">
        <v>80</v>
      </c>
      <c r="M3829" s="69" t="s">
        <v>286</v>
      </c>
      <c r="N3829" s="95"/>
      <c r="P3829" t="s">
        <v>95</v>
      </c>
      <c r="Q3829" t="s">
        <v>120</v>
      </c>
      <c r="R3829" s="92" t="s">
        <v>69</v>
      </c>
      <c r="S3829" s="92" t="s">
        <v>293</v>
      </c>
      <c r="V3829" s="95">
        <v>43738</v>
      </c>
      <c r="W3829" s="92">
        <v>2033960</v>
      </c>
      <c r="X3829" s="90"/>
      <c r="Y3829" s="123"/>
      <c r="Z3829" s="30">
        <f t="shared" si="118"/>
        <v>6772.6006943194379</v>
      </c>
      <c r="AA3829" s="30">
        <f t="shared" si="119"/>
        <v>2116.4377169748245</v>
      </c>
      <c r="AB3829" t="s">
        <v>457</v>
      </c>
    </row>
    <row r="3830" spans="1:28">
      <c r="A3830" t="s">
        <v>122</v>
      </c>
      <c r="C3830" s="92">
        <v>4615487970</v>
      </c>
      <c r="D3830" s="93">
        <v>19200</v>
      </c>
      <c r="F3830" s="91">
        <v>16</v>
      </c>
      <c r="G3830" s="96">
        <v>5</v>
      </c>
      <c r="H3830" s="94">
        <v>0</v>
      </c>
      <c r="I3830" s="91">
        <v>0</v>
      </c>
      <c r="J3830" s="41"/>
      <c r="K3830" s="41">
        <v>43738</v>
      </c>
      <c r="L3830" s="69" t="s">
        <v>80</v>
      </c>
      <c r="M3830" s="69" t="s">
        <v>286</v>
      </c>
      <c r="N3830" s="95"/>
      <c r="P3830" t="s">
        <v>95</v>
      </c>
      <c r="Q3830" t="s">
        <v>120</v>
      </c>
      <c r="R3830" s="92" t="s">
        <v>69</v>
      </c>
      <c r="S3830" s="92" t="s">
        <v>293</v>
      </c>
      <c r="V3830" s="95">
        <v>43738</v>
      </c>
      <c r="W3830" s="92">
        <v>2033960</v>
      </c>
      <c r="X3830" s="90"/>
      <c r="Y3830" s="123"/>
      <c r="Z3830" s="30">
        <f t="shared" si="118"/>
        <v>6772.6006943194379</v>
      </c>
      <c r="AA3830" s="30">
        <f t="shared" si="119"/>
        <v>2116.4377169748245</v>
      </c>
      <c r="AB3830" t="s">
        <v>457</v>
      </c>
    </row>
    <row r="3831" spans="1:28">
      <c r="A3831" t="s">
        <v>122</v>
      </c>
      <c r="C3831" s="92">
        <v>4615487970</v>
      </c>
      <c r="D3831" s="93">
        <v>19200</v>
      </c>
      <c r="F3831" s="91">
        <v>16</v>
      </c>
      <c r="G3831" s="96">
        <v>5</v>
      </c>
      <c r="H3831" s="94">
        <v>0</v>
      </c>
      <c r="I3831" s="91">
        <v>0</v>
      </c>
      <c r="J3831" s="41"/>
      <c r="K3831" s="41">
        <v>43738</v>
      </c>
      <c r="L3831" s="69" t="s">
        <v>80</v>
      </c>
      <c r="M3831" s="69" t="s">
        <v>286</v>
      </c>
      <c r="N3831" s="95"/>
      <c r="P3831" t="s">
        <v>95</v>
      </c>
      <c r="Q3831" t="s">
        <v>120</v>
      </c>
      <c r="R3831" s="92" t="s">
        <v>69</v>
      </c>
      <c r="S3831" s="92" t="s">
        <v>293</v>
      </c>
      <c r="V3831" s="95">
        <v>43738</v>
      </c>
      <c r="W3831" s="92">
        <v>2033960</v>
      </c>
      <c r="X3831" s="90"/>
      <c r="Y3831" s="123"/>
      <c r="Z3831" s="30">
        <f t="shared" si="118"/>
        <v>6772.6006943194379</v>
      </c>
      <c r="AA3831" s="30">
        <f t="shared" si="119"/>
        <v>2116.4377169748245</v>
      </c>
      <c r="AB3831" t="s">
        <v>457</v>
      </c>
    </row>
    <row r="3832" spans="1:28">
      <c r="A3832" t="s">
        <v>113</v>
      </c>
      <c r="C3832" s="92">
        <v>4615480966</v>
      </c>
      <c r="D3832" s="93">
        <v>19175</v>
      </c>
      <c r="F3832" s="91">
        <v>16</v>
      </c>
      <c r="G3832" s="91">
        <v>0</v>
      </c>
      <c r="H3832" s="91">
        <v>0</v>
      </c>
      <c r="I3832" s="91">
        <v>0</v>
      </c>
      <c r="J3832" s="41"/>
      <c r="K3832" s="41">
        <v>43738</v>
      </c>
      <c r="L3832" s="69" t="s">
        <v>80</v>
      </c>
      <c r="M3832" s="69" t="s">
        <v>286</v>
      </c>
      <c r="N3832" s="95"/>
      <c r="P3832" t="s">
        <v>95</v>
      </c>
      <c r="Q3832" t="s">
        <v>110</v>
      </c>
      <c r="R3832" s="92" t="s">
        <v>69</v>
      </c>
      <c r="S3832" s="92" t="s">
        <v>115</v>
      </c>
      <c r="V3832" s="95">
        <v>43738</v>
      </c>
      <c r="W3832" s="92" t="s">
        <v>420</v>
      </c>
      <c r="X3832" s="90"/>
      <c r="Y3832" s="123"/>
      <c r="Z3832" s="30">
        <f t="shared" si="118"/>
        <v>6763.7822038320437</v>
      </c>
      <c r="AA3832" s="30">
        <f t="shared" si="119"/>
        <v>0</v>
      </c>
      <c r="AB3832" t="s">
        <v>457</v>
      </c>
    </row>
    <row r="3833" spans="1:28">
      <c r="A3833" t="s">
        <v>113</v>
      </c>
      <c r="C3833" s="92">
        <v>4615480966</v>
      </c>
      <c r="D3833" s="93">
        <v>19175</v>
      </c>
      <c r="F3833" s="91">
        <v>16</v>
      </c>
      <c r="G3833" s="91">
        <v>0</v>
      </c>
      <c r="H3833" s="91">
        <v>0</v>
      </c>
      <c r="I3833" s="91">
        <v>0</v>
      </c>
      <c r="J3833" s="41"/>
      <c r="K3833" s="41">
        <v>43738</v>
      </c>
      <c r="L3833" s="69" t="s">
        <v>80</v>
      </c>
      <c r="M3833" s="69" t="s">
        <v>286</v>
      </c>
      <c r="N3833" s="95"/>
      <c r="P3833" t="s">
        <v>95</v>
      </c>
      <c r="Q3833" t="s">
        <v>110</v>
      </c>
      <c r="R3833" s="92" t="s">
        <v>69</v>
      </c>
      <c r="S3833" s="92" t="s">
        <v>115</v>
      </c>
      <c r="V3833" s="95">
        <v>43738</v>
      </c>
      <c r="W3833" s="92" t="s">
        <v>420</v>
      </c>
      <c r="X3833" s="90"/>
      <c r="Y3833" s="123"/>
      <c r="Z3833" s="30">
        <f t="shared" si="118"/>
        <v>6763.7822038320437</v>
      </c>
      <c r="AA3833" s="30">
        <f t="shared" si="119"/>
        <v>0</v>
      </c>
      <c r="AB3833" t="s">
        <v>457</v>
      </c>
    </row>
    <row r="3834" spans="1:28">
      <c r="A3834" t="s">
        <v>113</v>
      </c>
      <c r="C3834" s="92">
        <v>4615480966</v>
      </c>
      <c r="D3834" s="93">
        <v>19175</v>
      </c>
      <c r="F3834" s="91">
        <v>16</v>
      </c>
      <c r="G3834" s="91">
        <v>0</v>
      </c>
      <c r="H3834" s="91">
        <v>0</v>
      </c>
      <c r="I3834" s="91">
        <v>0</v>
      </c>
      <c r="J3834" s="41"/>
      <c r="K3834" s="41">
        <v>43738</v>
      </c>
      <c r="L3834" s="69" t="s">
        <v>80</v>
      </c>
      <c r="M3834" s="69" t="s">
        <v>286</v>
      </c>
      <c r="N3834" s="95"/>
      <c r="P3834" t="s">
        <v>95</v>
      </c>
      <c r="Q3834" t="s">
        <v>110</v>
      </c>
      <c r="R3834" s="92" t="s">
        <v>69</v>
      </c>
      <c r="S3834" s="92" t="s">
        <v>115</v>
      </c>
      <c r="V3834" s="95">
        <v>43738</v>
      </c>
      <c r="W3834" s="92" t="s">
        <v>420</v>
      </c>
      <c r="X3834" s="90"/>
      <c r="Y3834" s="123"/>
      <c r="Z3834" s="30">
        <f t="shared" si="118"/>
        <v>6763.7822038320437</v>
      </c>
      <c r="AA3834" s="30">
        <f t="shared" si="119"/>
        <v>0</v>
      </c>
      <c r="AB3834" t="s">
        <v>457</v>
      </c>
    </row>
    <row r="3835" spans="1:28">
      <c r="A3835" t="s">
        <v>113</v>
      </c>
      <c r="C3835" s="92">
        <v>4615480966</v>
      </c>
      <c r="D3835" s="93">
        <v>19175</v>
      </c>
      <c r="F3835" s="91">
        <v>16</v>
      </c>
      <c r="G3835" s="91">
        <v>0</v>
      </c>
      <c r="H3835" s="91">
        <v>0</v>
      </c>
      <c r="I3835" s="91">
        <v>0</v>
      </c>
      <c r="J3835" s="41"/>
      <c r="K3835" s="41">
        <v>43738</v>
      </c>
      <c r="L3835" s="69" t="s">
        <v>80</v>
      </c>
      <c r="M3835" s="69" t="s">
        <v>286</v>
      </c>
      <c r="N3835" s="95"/>
      <c r="P3835" t="s">
        <v>95</v>
      </c>
      <c r="Q3835" t="s">
        <v>110</v>
      </c>
      <c r="R3835" s="92" t="s">
        <v>69</v>
      </c>
      <c r="S3835" s="92" t="s">
        <v>115</v>
      </c>
      <c r="V3835" s="95">
        <v>43738</v>
      </c>
      <c r="W3835" s="92" t="s">
        <v>420</v>
      </c>
      <c r="X3835" s="90"/>
      <c r="Y3835" s="123"/>
      <c r="Z3835" s="30">
        <f t="shared" si="118"/>
        <v>6763.7822038320437</v>
      </c>
      <c r="AA3835" s="30">
        <f t="shared" si="119"/>
        <v>0</v>
      </c>
      <c r="AB3835" t="s">
        <v>457</v>
      </c>
    </row>
    <row r="3836" spans="1:28">
      <c r="A3836" t="s">
        <v>113</v>
      </c>
      <c r="C3836" s="92">
        <v>4615480966</v>
      </c>
      <c r="D3836" s="93">
        <v>19175</v>
      </c>
      <c r="F3836" s="91">
        <v>16</v>
      </c>
      <c r="G3836" s="91">
        <v>0</v>
      </c>
      <c r="H3836" s="91">
        <v>0</v>
      </c>
      <c r="I3836" s="91">
        <v>0</v>
      </c>
      <c r="J3836" s="41"/>
      <c r="K3836" s="41">
        <v>43738</v>
      </c>
      <c r="L3836" s="69" t="s">
        <v>80</v>
      </c>
      <c r="M3836" s="69" t="s">
        <v>286</v>
      </c>
      <c r="N3836" s="95"/>
      <c r="P3836" t="s">
        <v>95</v>
      </c>
      <c r="Q3836" t="s">
        <v>110</v>
      </c>
      <c r="R3836" s="92" t="s">
        <v>69</v>
      </c>
      <c r="S3836" s="92" t="s">
        <v>115</v>
      </c>
      <c r="V3836" s="95">
        <v>43738</v>
      </c>
      <c r="W3836" s="92" t="s">
        <v>420</v>
      </c>
      <c r="X3836" s="90"/>
      <c r="Y3836" s="123"/>
      <c r="Z3836" s="30">
        <f t="shared" si="118"/>
        <v>6763.7822038320437</v>
      </c>
      <c r="AA3836" s="30">
        <f t="shared" si="119"/>
        <v>0</v>
      </c>
      <c r="AB3836" t="s">
        <v>457</v>
      </c>
    </row>
    <row r="3837" spans="1:28">
      <c r="A3837" t="s">
        <v>113</v>
      </c>
      <c r="C3837" s="92">
        <v>4615480966</v>
      </c>
      <c r="D3837" s="93">
        <v>19175</v>
      </c>
      <c r="F3837" s="91">
        <v>16</v>
      </c>
      <c r="G3837" s="91">
        <v>0</v>
      </c>
      <c r="H3837" s="91">
        <v>0</v>
      </c>
      <c r="I3837" s="91">
        <v>0</v>
      </c>
      <c r="J3837" s="41"/>
      <c r="K3837" s="41">
        <v>43738</v>
      </c>
      <c r="L3837" s="69" t="s">
        <v>80</v>
      </c>
      <c r="M3837" s="69" t="s">
        <v>286</v>
      </c>
      <c r="N3837" s="95"/>
      <c r="P3837" t="s">
        <v>95</v>
      </c>
      <c r="Q3837" t="s">
        <v>110</v>
      </c>
      <c r="R3837" s="92" t="s">
        <v>69</v>
      </c>
      <c r="S3837" s="92" t="s">
        <v>115</v>
      </c>
      <c r="V3837" s="95">
        <v>43738</v>
      </c>
      <c r="W3837" s="92" t="s">
        <v>420</v>
      </c>
      <c r="X3837" s="90"/>
      <c r="Y3837" s="123"/>
      <c r="Z3837" s="30">
        <f t="shared" si="118"/>
        <v>6763.7822038320437</v>
      </c>
      <c r="AA3837" s="30">
        <f t="shared" si="119"/>
        <v>0</v>
      </c>
      <c r="AB3837" t="s">
        <v>457</v>
      </c>
    </row>
    <row r="3838" spans="1:28">
      <c r="A3838" t="s">
        <v>113</v>
      </c>
      <c r="C3838" s="92">
        <v>4615480966</v>
      </c>
      <c r="D3838" s="93">
        <v>19175</v>
      </c>
      <c r="F3838" s="91">
        <v>16</v>
      </c>
      <c r="G3838" s="91">
        <v>0</v>
      </c>
      <c r="H3838" s="91">
        <v>0</v>
      </c>
      <c r="I3838" s="91">
        <v>0</v>
      </c>
      <c r="J3838" s="41"/>
      <c r="K3838" s="41">
        <v>43738</v>
      </c>
      <c r="L3838" s="69" t="s">
        <v>80</v>
      </c>
      <c r="M3838" s="69" t="s">
        <v>286</v>
      </c>
      <c r="N3838" s="95"/>
      <c r="P3838" t="s">
        <v>95</v>
      </c>
      <c r="Q3838" t="s">
        <v>110</v>
      </c>
      <c r="R3838" s="92" t="s">
        <v>69</v>
      </c>
      <c r="S3838" s="92" t="s">
        <v>115</v>
      </c>
      <c r="V3838" s="95">
        <v>43738</v>
      </c>
      <c r="W3838" s="92" t="s">
        <v>420</v>
      </c>
      <c r="X3838" s="90"/>
      <c r="Y3838" s="123"/>
      <c r="Z3838" s="30">
        <f t="shared" si="118"/>
        <v>6763.7822038320437</v>
      </c>
      <c r="AA3838" s="30">
        <f t="shared" si="119"/>
        <v>0</v>
      </c>
      <c r="AB3838" t="s">
        <v>457</v>
      </c>
    </row>
    <row r="3839" spans="1:28">
      <c r="A3839" t="s">
        <v>113</v>
      </c>
      <c r="C3839" s="92">
        <v>4615480966</v>
      </c>
      <c r="D3839" s="93">
        <v>19175</v>
      </c>
      <c r="F3839" s="91">
        <v>16</v>
      </c>
      <c r="G3839" s="91">
        <v>0</v>
      </c>
      <c r="H3839" s="91">
        <v>0</v>
      </c>
      <c r="I3839" s="91">
        <v>0</v>
      </c>
      <c r="J3839" s="41"/>
      <c r="K3839" s="41">
        <v>43738</v>
      </c>
      <c r="L3839" s="69" t="s">
        <v>80</v>
      </c>
      <c r="M3839" s="69" t="s">
        <v>286</v>
      </c>
      <c r="N3839" s="95"/>
      <c r="P3839" t="s">
        <v>95</v>
      </c>
      <c r="Q3839" t="s">
        <v>110</v>
      </c>
      <c r="R3839" s="92" t="s">
        <v>69</v>
      </c>
      <c r="S3839" s="92" t="s">
        <v>115</v>
      </c>
      <c r="V3839" s="95">
        <v>43738</v>
      </c>
      <c r="W3839" s="92" t="s">
        <v>420</v>
      </c>
      <c r="X3839" s="90"/>
      <c r="Y3839" s="123"/>
      <c r="Z3839" s="30">
        <f t="shared" si="118"/>
        <v>6763.7822038320437</v>
      </c>
      <c r="AA3839" s="30">
        <f t="shared" si="119"/>
        <v>0</v>
      </c>
      <c r="AB3839" t="s">
        <v>457</v>
      </c>
    </row>
    <row r="3840" spans="1:28">
      <c r="A3840" t="s">
        <v>113</v>
      </c>
      <c r="C3840" s="92">
        <v>4615480966</v>
      </c>
      <c r="D3840" s="93">
        <v>19175</v>
      </c>
      <c r="F3840" s="91">
        <v>16</v>
      </c>
      <c r="G3840" s="91">
        <v>0</v>
      </c>
      <c r="H3840" s="91">
        <v>0</v>
      </c>
      <c r="I3840" s="91">
        <v>0</v>
      </c>
      <c r="J3840" s="41"/>
      <c r="K3840" s="41">
        <v>43738</v>
      </c>
      <c r="L3840" s="69" t="s">
        <v>80</v>
      </c>
      <c r="M3840" s="69" t="s">
        <v>286</v>
      </c>
      <c r="N3840" s="95"/>
      <c r="P3840" t="s">
        <v>95</v>
      </c>
      <c r="Q3840" t="s">
        <v>110</v>
      </c>
      <c r="R3840" s="92" t="s">
        <v>69</v>
      </c>
      <c r="S3840" s="92" t="s">
        <v>115</v>
      </c>
      <c r="V3840" s="95">
        <v>43738</v>
      </c>
      <c r="W3840" s="92" t="s">
        <v>420</v>
      </c>
      <c r="X3840" s="90"/>
      <c r="Y3840" s="123"/>
      <c r="Z3840" s="30">
        <f t="shared" si="118"/>
        <v>6763.7822038320437</v>
      </c>
      <c r="AA3840" s="30">
        <f t="shared" si="119"/>
        <v>0</v>
      </c>
      <c r="AB3840" t="s">
        <v>457</v>
      </c>
    </row>
    <row r="3841" spans="1:28">
      <c r="A3841" t="s">
        <v>113</v>
      </c>
      <c r="C3841" s="92">
        <v>4615480966</v>
      </c>
      <c r="D3841" s="93">
        <v>19175</v>
      </c>
      <c r="F3841" s="91">
        <v>16</v>
      </c>
      <c r="G3841" s="91">
        <v>0</v>
      </c>
      <c r="H3841" s="91">
        <v>0</v>
      </c>
      <c r="I3841" s="91">
        <v>0</v>
      </c>
      <c r="J3841" s="41"/>
      <c r="K3841" s="41">
        <v>43738</v>
      </c>
      <c r="L3841" s="69" t="s">
        <v>80</v>
      </c>
      <c r="M3841" s="69" t="s">
        <v>286</v>
      </c>
      <c r="N3841" s="95"/>
      <c r="P3841" t="s">
        <v>95</v>
      </c>
      <c r="Q3841" t="s">
        <v>110</v>
      </c>
      <c r="R3841" s="92" t="s">
        <v>69</v>
      </c>
      <c r="S3841" s="92" t="s">
        <v>115</v>
      </c>
      <c r="V3841" s="95">
        <v>43738</v>
      </c>
      <c r="W3841" s="92" t="s">
        <v>420</v>
      </c>
      <c r="X3841" s="90"/>
      <c r="Y3841" s="123"/>
      <c r="Z3841" s="30">
        <f t="shared" si="118"/>
        <v>6763.7822038320437</v>
      </c>
      <c r="AA3841" s="30">
        <f t="shared" si="119"/>
        <v>0</v>
      </c>
      <c r="AB3841" t="s">
        <v>457</v>
      </c>
    </row>
    <row r="3842" spans="1:28">
      <c r="A3842" t="s">
        <v>113</v>
      </c>
      <c r="C3842" s="92">
        <v>4615480966</v>
      </c>
      <c r="D3842" s="93">
        <v>19175</v>
      </c>
      <c r="F3842" s="91">
        <v>16</v>
      </c>
      <c r="G3842" s="91">
        <v>0</v>
      </c>
      <c r="H3842" s="91">
        <v>0</v>
      </c>
      <c r="I3842" s="91">
        <v>0</v>
      </c>
      <c r="J3842" s="41"/>
      <c r="K3842" s="41">
        <v>43738</v>
      </c>
      <c r="L3842" s="69" t="s">
        <v>80</v>
      </c>
      <c r="M3842" s="69" t="s">
        <v>286</v>
      </c>
      <c r="N3842" s="95"/>
      <c r="P3842" t="s">
        <v>95</v>
      </c>
      <c r="Q3842" t="s">
        <v>110</v>
      </c>
      <c r="R3842" s="92" t="s">
        <v>69</v>
      </c>
      <c r="S3842" s="92" t="s">
        <v>115</v>
      </c>
      <c r="V3842" s="95">
        <v>43738</v>
      </c>
      <c r="W3842" s="92" t="s">
        <v>420</v>
      </c>
      <c r="X3842" s="90"/>
      <c r="Y3842" s="123"/>
      <c r="Z3842" s="30">
        <f t="shared" si="118"/>
        <v>6763.7822038320437</v>
      </c>
      <c r="AA3842" s="30">
        <f t="shared" si="119"/>
        <v>0</v>
      </c>
      <c r="AB3842" t="s">
        <v>457</v>
      </c>
    </row>
    <row r="3843" spans="1:28">
      <c r="A3843" t="s">
        <v>113</v>
      </c>
      <c r="C3843" s="92">
        <v>4615480966</v>
      </c>
      <c r="D3843" s="93">
        <v>19175</v>
      </c>
      <c r="F3843" s="91">
        <v>16</v>
      </c>
      <c r="G3843" s="91">
        <v>0</v>
      </c>
      <c r="H3843" s="91">
        <v>0</v>
      </c>
      <c r="I3843" s="91">
        <v>0</v>
      </c>
      <c r="J3843" s="41"/>
      <c r="K3843" s="41">
        <v>43738</v>
      </c>
      <c r="L3843" s="69" t="s">
        <v>80</v>
      </c>
      <c r="M3843" s="69" t="s">
        <v>286</v>
      </c>
      <c r="N3843" s="95"/>
      <c r="P3843" t="s">
        <v>95</v>
      </c>
      <c r="Q3843" t="s">
        <v>110</v>
      </c>
      <c r="R3843" s="92" t="s">
        <v>69</v>
      </c>
      <c r="S3843" s="92" t="s">
        <v>115</v>
      </c>
      <c r="V3843" s="95">
        <v>43738</v>
      </c>
      <c r="W3843" s="92" t="s">
        <v>420</v>
      </c>
      <c r="X3843" s="90"/>
      <c r="Y3843" s="123"/>
      <c r="Z3843" s="30">
        <f t="shared" ref="Z3843:Z3906" si="120">CONVERT(D3843,"kg","lbm")*F3843/100</f>
        <v>6763.7822038320437</v>
      </c>
      <c r="AA3843" s="30">
        <f t="shared" ref="AA3843:AA3906" si="121">CONVERT(D3843,"kg","lbm")*G3843/100</f>
        <v>0</v>
      </c>
      <c r="AB3843" t="s">
        <v>457</v>
      </c>
    </row>
    <row r="3844" spans="1:28">
      <c r="A3844" t="s">
        <v>113</v>
      </c>
      <c r="C3844" s="92">
        <v>4615480966</v>
      </c>
      <c r="D3844" s="93">
        <v>19175</v>
      </c>
      <c r="F3844" s="91">
        <v>16</v>
      </c>
      <c r="G3844" s="91">
        <v>0</v>
      </c>
      <c r="H3844" s="91">
        <v>0</v>
      </c>
      <c r="I3844" s="91">
        <v>0</v>
      </c>
      <c r="J3844" s="41"/>
      <c r="K3844" s="41">
        <v>43738</v>
      </c>
      <c r="L3844" s="69" t="s">
        <v>80</v>
      </c>
      <c r="M3844" s="69" t="s">
        <v>286</v>
      </c>
      <c r="N3844" s="95"/>
      <c r="P3844" t="s">
        <v>95</v>
      </c>
      <c r="Q3844" t="s">
        <v>110</v>
      </c>
      <c r="R3844" s="92" t="s">
        <v>69</v>
      </c>
      <c r="S3844" s="92" t="s">
        <v>115</v>
      </c>
      <c r="V3844" s="95">
        <v>43738</v>
      </c>
      <c r="W3844" s="92" t="s">
        <v>420</v>
      </c>
      <c r="X3844" s="90"/>
      <c r="Y3844" s="123"/>
      <c r="Z3844" s="30">
        <f t="shared" si="120"/>
        <v>6763.7822038320437</v>
      </c>
      <c r="AA3844" s="30">
        <f t="shared" si="121"/>
        <v>0</v>
      </c>
      <c r="AB3844" t="s">
        <v>457</v>
      </c>
    </row>
    <row r="3845" spans="1:28">
      <c r="A3845" t="s">
        <v>113</v>
      </c>
      <c r="C3845" s="92">
        <v>4615480966</v>
      </c>
      <c r="D3845" s="93">
        <v>19175</v>
      </c>
      <c r="F3845" s="91">
        <v>16</v>
      </c>
      <c r="G3845" s="91">
        <v>0</v>
      </c>
      <c r="H3845" s="91">
        <v>0</v>
      </c>
      <c r="I3845" s="91">
        <v>0</v>
      </c>
      <c r="J3845" s="41"/>
      <c r="K3845" s="41">
        <v>43738</v>
      </c>
      <c r="L3845" s="69" t="s">
        <v>80</v>
      </c>
      <c r="M3845" s="69" t="s">
        <v>286</v>
      </c>
      <c r="N3845" s="95"/>
      <c r="P3845" t="s">
        <v>95</v>
      </c>
      <c r="Q3845" t="s">
        <v>110</v>
      </c>
      <c r="R3845" s="92" t="s">
        <v>69</v>
      </c>
      <c r="S3845" s="92" t="s">
        <v>115</v>
      </c>
      <c r="V3845" s="95">
        <v>43738</v>
      </c>
      <c r="W3845" s="92" t="s">
        <v>420</v>
      </c>
      <c r="X3845" s="90"/>
      <c r="Y3845" s="123"/>
      <c r="Z3845" s="30">
        <f t="shared" si="120"/>
        <v>6763.7822038320437</v>
      </c>
      <c r="AA3845" s="30">
        <f t="shared" si="121"/>
        <v>0</v>
      </c>
      <c r="AB3845" t="s">
        <v>457</v>
      </c>
    </row>
    <row r="3846" spans="1:28">
      <c r="A3846" t="s">
        <v>113</v>
      </c>
      <c r="C3846" s="92">
        <v>4615480966</v>
      </c>
      <c r="D3846" s="93">
        <v>19175</v>
      </c>
      <c r="F3846" s="91">
        <v>16</v>
      </c>
      <c r="G3846" s="91">
        <v>0</v>
      </c>
      <c r="H3846" s="91">
        <v>0</v>
      </c>
      <c r="I3846" s="91">
        <v>0</v>
      </c>
      <c r="J3846" s="41"/>
      <c r="K3846" s="41">
        <v>43738</v>
      </c>
      <c r="L3846" s="69" t="s">
        <v>80</v>
      </c>
      <c r="M3846" s="69" t="s">
        <v>286</v>
      </c>
      <c r="N3846" s="95"/>
      <c r="P3846" t="s">
        <v>95</v>
      </c>
      <c r="Q3846" t="s">
        <v>110</v>
      </c>
      <c r="R3846" s="92" t="s">
        <v>69</v>
      </c>
      <c r="S3846" s="92" t="s">
        <v>115</v>
      </c>
      <c r="V3846" s="95">
        <v>43738</v>
      </c>
      <c r="W3846" s="92" t="s">
        <v>420</v>
      </c>
      <c r="X3846" s="90"/>
      <c r="Y3846" s="123"/>
      <c r="Z3846" s="30">
        <f t="shared" si="120"/>
        <v>6763.7822038320437</v>
      </c>
      <c r="AA3846" s="30">
        <f t="shared" si="121"/>
        <v>0</v>
      </c>
      <c r="AB3846" t="s">
        <v>457</v>
      </c>
    </row>
    <row r="3847" spans="1:28">
      <c r="A3847" t="s">
        <v>113</v>
      </c>
      <c r="C3847" s="92">
        <v>4615480966</v>
      </c>
      <c r="D3847" s="93">
        <v>19175</v>
      </c>
      <c r="F3847" s="91">
        <v>16</v>
      </c>
      <c r="G3847" s="91">
        <v>0</v>
      </c>
      <c r="H3847" s="91">
        <v>0</v>
      </c>
      <c r="I3847" s="91">
        <v>0</v>
      </c>
      <c r="J3847" s="41"/>
      <c r="K3847" s="41">
        <v>43738</v>
      </c>
      <c r="L3847" s="69" t="s">
        <v>80</v>
      </c>
      <c r="M3847" s="69" t="s">
        <v>286</v>
      </c>
      <c r="N3847" s="95"/>
      <c r="P3847" t="s">
        <v>95</v>
      </c>
      <c r="Q3847" t="s">
        <v>110</v>
      </c>
      <c r="R3847" s="92" t="s">
        <v>69</v>
      </c>
      <c r="S3847" s="92" t="s">
        <v>115</v>
      </c>
      <c r="V3847" s="95">
        <v>43738</v>
      </c>
      <c r="W3847" s="92" t="s">
        <v>420</v>
      </c>
      <c r="X3847" s="90"/>
      <c r="Y3847" s="123"/>
      <c r="Z3847" s="30">
        <f t="shared" si="120"/>
        <v>6763.7822038320437</v>
      </c>
      <c r="AA3847" s="30">
        <f t="shared" si="121"/>
        <v>0</v>
      </c>
      <c r="AB3847" t="s">
        <v>457</v>
      </c>
    </row>
    <row r="3848" spans="1:28">
      <c r="A3848" t="s">
        <v>113</v>
      </c>
      <c r="C3848" s="92">
        <v>4615480966</v>
      </c>
      <c r="D3848" s="93">
        <v>19175</v>
      </c>
      <c r="F3848" s="91">
        <v>16</v>
      </c>
      <c r="G3848" s="91">
        <v>0</v>
      </c>
      <c r="H3848" s="91">
        <v>0</v>
      </c>
      <c r="I3848" s="91">
        <v>0</v>
      </c>
      <c r="J3848" s="41"/>
      <c r="K3848" s="41">
        <v>43738</v>
      </c>
      <c r="L3848" s="69" t="s">
        <v>80</v>
      </c>
      <c r="M3848" s="69" t="s">
        <v>286</v>
      </c>
      <c r="N3848" s="95"/>
      <c r="P3848" t="s">
        <v>95</v>
      </c>
      <c r="Q3848" t="s">
        <v>110</v>
      </c>
      <c r="R3848" s="92" t="s">
        <v>69</v>
      </c>
      <c r="S3848" s="92" t="s">
        <v>115</v>
      </c>
      <c r="V3848" s="95">
        <v>43738</v>
      </c>
      <c r="W3848" s="92" t="s">
        <v>420</v>
      </c>
      <c r="X3848" s="90"/>
      <c r="Y3848" s="123"/>
      <c r="Z3848" s="30">
        <f t="shared" si="120"/>
        <v>6763.7822038320437</v>
      </c>
      <c r="AA3848" s="30">
        <f t="shared" si="121"/>
        <v>0</v>
      </c>
      <c r="AB3848" t="s">
        <v>457</v>
      </c>
    </row>
    <row r="3849" spans="1:28">
      <c r="A3849" t="s">
        <v>113</v>
      </c>
      <c r="C3849" s="92">
        <v>4615480966</v>
      </c>
      <c r="D3849" s="93">
        <v>19175</v>
      </c>
      <c r="F3849" s="91">
        <v>16</v>
      </c>
      <c r="G3849" s="91">
        <v>0</v>
      </c>
      <c r="H3849" s="91">
        <v>0</v>
      </c>
      <c r="I3849" s="91">
        <v>0</v>
      </c>
      <c r="J3849" s="41"/>
      <c r="K3849" s="41">
        <v>43738</v>
      </c>
      <c r="L3849" s="69" t="s">
        <v>80</v>
      </c>
      <c r="M3849" s="69" t="s">
        <v>286</v>
      </c>
      <c r="N3849" s="95"/>
      <c r="P3849" t="s">
        <v>95</v>
      </c>
      <c r="Q3849" t="s">
        <v>110</v>
      </c>
      <c r="R3849" s="92" t="s">
        <v>69</v>
      </c>
      <c r="S3849" s="92" t="s">
        <v>115</v>
      </c>
      <c r="V3849" s="95">
        <v>43738</v>
      </c>
      <c r="W3849" s="92" t="s">
        <v>420</v>
      </c>
      <c r="X3849" s="90"/>
      <c r="Y3849" s="123"/>
      <c r="Z3849" s="30">
        <f t="shared" si="120"/>
        <v>6763.7822038320437</v>
      </c>
      <c r="AA3849" s="30">
        <f t="shared" si="121"/>
        <v>0</v>
      </c>
      <c r="AB3849" t="s">
        <v>457</v>
      </c>
    </row>
    <row r="3850" spans="1:28">
      <c r="A3850" t="s">
        <v>113</v>
      </c>
      <c r="C3850" s="92">
        <v>4615480966</v>
      </c>
      <c r="D3850" s="93">
        <v>19175</v>
      </c>
      <c r="F3850" s="91">
        <v>16</v>
      </c>
      <c r="G3850" s="91">
        <v>0</v>
      </c>
      <c r="H3850" s="91">
        <v>0</v>
      </c>
      <c r="I3850" s="91">
        <v>0</v>
      </c>
      <c r="J3850" s="41"/>
      <c r="K3850" s="41">
        <v>43738</v>
      </c>
      <c r="L3850" s="69" t="s">
        <v>80</v>
      </c>
      <c r="M3850" s="69" t="s">
        <v>286</v>
      </c>
      <c r="N3850" s="95"/>
      <c r="P3850" t="s">
        <v>95</v>
      </c>
      <c r="Q3850" t="s">
        <v>110</v>
      </c>
      <c r="R3850" s="92" t="s">
        <v>69</v>
      </c>
      <c r="S3850" s="92" t="s">
        <v>115</v>
      </c>
      <c r="V3850" s="95">
        <v>43738</v>
      </c>
      <c r="W3850" s="92" t="s">
        <v>420</v>
      </c>
      <c r="X3850" s="90"/>
      <c r="Y3850" s="123"/>
      <c r="Z3850" s="30">
        <f t="shared" si="120"/>
        <v>6763.7822038320437</v>
      </c>
      <c r="AA3850" s="30">
        <f t="shared" si="121"/>
        <v>0</v>
      </c>
      <c r="AB3850" t="s">
        <v>457</v>
      </c>
    </row>
    <row r="3851" spans="1:28">
      <c r="A3851" t="s">
        <v>113</v>
      </c>
      <c r="C3851" s="92">
        <v>4615480966</v>
      </c>
      <c r="D3851" s="93">
        <v>19175</v>
      </c>
      <c r="F3851" s="91">
        <v>16</v>
      </c>
      <c r="G3851" s="91">
        <v>0</v>
      </c>
      <c r="H3851" s="91">
        <v>0</v>
      </c>
      <c r="I3851" s="91">
        <v>0</v>
      </c>
      <c r="J3851" s="41"/>
      <c r="K3851" s="41">
        <v>43738</v>
      </c>
      <c r="L3851" s="69" t="s">
        <v>80</v>
      </c>
      <c r="M3851" s="69" t="s">
        <v>286</v>
      </c>
      <c r="N3851" s="95"/>
      <c r="P3851" t="s">
        <v>95</v>
      </c>
      <c r="Q3851" t="s">
        <v>110</v>
      </c>
      <c r="R3851" s="92" t="s">
        <v>69</v>
      </c>
      <c r="S3851" s="92" t="s">
        <v>115</v>
      </c>
      <c r="V3851" s="95">
        <v>43738</v>
      </c>
      <c r="W3851" s="92" t="s">
        <v>420</v>
      </c>
      <c r="X3851" s="90"/>
      <c r="Y3851" s="123"/>
      <c r="Z3851" s="30">
        <f t="shared" si="120"/>
        <v>6763.7822038320437</v>
      </c>
      <c r="AA3851" s="30">
        <f t="shared" si="121"/>
        <v>0</v>
      </c>
      <c r="AB3851" t="s">
        <v>457</v>
      </c>
    </row>
    <row r="3852" spans="1:28">
      <c r="A3852" t="s">
        <v>113</v>
      </c>
      <c r="C3852" s="92">
        <v>4615480966</v>
      </c>
      <c r="D3852" s="93">
        <v>19175</v>
      </c>
      <c r="F3852" s="91">
        <v>16</v>
      </c>
      <c r="G3852" s="91">
        <v>0</v>
      </c>
      <c r="H3852" s="91">
        <v>0</v>
      </c>
      <c r="I3852" s="91">
        <v>0</v>
      </c>
      <c r="J3852" s="41"/>
      <c r="K3852" s="41">
        <v>43738</v>
      </c>
      <c r="L3852" s="69" t="s">
        <v>80</v>
      </c>
      <c r="M3852" s="69" t="s">
        <v>286</v>
      </c>
      <c r="N3852" s="95"/>
      <c r="P3852" t="s">
        <v>95</v>
      </c>
      <c r="Q3852" t="s">
        <v>110</v>
      </c>
      <c r="R3852" s="92" t="s">
        <v>69</v>
      </c>
      <c r="S3852" s="92" t="s">
        <v>115</v>
      </c>
      <c r="V3852" s="95">
        <v>43738</v>
      </c>
      <c r="W3852" s="92" t="s">
        <v>420</v>
      </c>
      <c r="X3852" s="90"/>
      <c r="Y3852" s="123"/>
      <c r="Z3852" s="30">
        <f t="shared" si="120"/>
        <v>6763.7822038320437</v>
      </c>
      <c r="AA3852" s="30">
        <f t="shared" si="121"/>
        <v>0</v>
      </c>
      <c r="AB3852" t="s">
        <v>457</v>
      </c>
    </row>
    <row r="3853" spans="1:28">
      <c r="A3853" t="s">
        <v>113</v>
      </c>
      <c r="C3853" s="92">
        <v>4615480966</v>
      </c>
      <c r="D3853" s="93">
        <v>19175</v>
      </c>
      <c r="F3853" s="91">
        <v>16</v>
      </c>
      <c r="G3853" s="91">
        <v>0</v>
      </c>
      <c r="H3853" s="91">
        <v>0</v>
      </c>
      <c r="I3853" s="91">
        <v>0</v>
      </c>
      <c r="J3853" s="41"/>
      <c r="K3853" s="41">
        <v>43738</v>
      </c>
      <c r="L3853" s="69" t="s">
        <v>80</v>
      </c>
      <c r="M3853" s="69" t="s">
        <v>286</v>
      </c>
      <c r="N3853" s="95"/>
      <c r="P3853" t="s">
        <v>95</v>
      </c>
      <c r="Q3853" t="s">
        <v>110</v>
      </c>
      <c r="R3853" s="92" t="s">
        <v>69</v>
      </c>
      <c r="S3853" s="92" t="s">
        <v>115</v>
      </c>
      <c r="V3853" s="95">
        <v>43738</v>
      </c>
      <c r="W3853" s="92" t="s">
        <v>420</v>
      </c>
      <c r="X3853" s="90"/>
      <c r="Y3853" s="123"/>
      <c r="Z3853" s="30">
        <f t="shared" si="120"/>
        <v>6763.7822038320437</v>
      </c>
      <c r="AA3853" s="30">
        <f t="shared" si="121"/>
        <v>0</v>
      </c>
      <c r="AB3853" t="s">
        <v>457</v>
      </c>
    </row>
    <row r="3854" spans="1:28">
      <c r="A3854" t="s">
        <v>113</v>
      </c>
      <c r="C3854" s="92">
        <v>4615480966</v>
      </c>
      <c r="D3854" s="93">
        <v>19175</v>
      </c>
      <c r="F3854" s="91">
        <v>16</v>
      </c>
      <c r="G3854" s="91">
        <v>0</v>
      </c>
      <c r="H3854" s="91">
        <v>0</v>
      </c>
      <c r="I3854" s="91">
        <v>0</v>
      </c>
      <c r="J3854" s="41"/>
      <c r="K3854" s="41">
        <v>43738</v>
      </c>
      <c r="L3854" s="69" t="s">
        <v>80</v>
      </c>
      <c r="M3854" s="69" t="s">
        <v>286</v>
      </c>
      <c r="N3854" s="95"/>
      <c r="P3854" t="s">
        <v>95</v>
      </c>
      <c r="Q3854" t="s">
        <v>110</v>
      </c>
      <c r="R3854" s="92" t="s">
        <v>69</v>
      </c>
      <c r="S3854" s="92" t="s">
        <v>115</v>
      </c>
      <c r="V3854" s="95">
        <v>43738</v>
      </c>
      <c r="W3854" s="92" t="s">
        <v>420</v>
      </c>
      <c r="X3854" s="90"/>
      <c r="Y3854" s="123"/>
      <c r="Z3854" s="30">
        <f t="shared" si="120"/>
        <v>6763.7822038320437</v>
      </c>
      <c r="AA3854" s="30">
        <f t="shared" si="121"/>
        <v>0</v>
      </c>
      <c r="AB3854" t="s">
        <v>457</v>
      </c>
    </row>
    <row r="3855" spans="1:28">
      <c r="A3855" t="s">
        <v>113</v>
      </c>
      <c r="C3855" s="92">
        <v>4615491987</v>
      </c>
      <c r="D3855" s="93">
        <v>19175</v>
      </c>
      <c r="F3855" s="91">
        <v>16</v>
      </c>
      <c r="G3855" s="91">
        <v>5</v>
      </c>
      <c r="H3855" s="91">
        <v>0</v>
      </c>
      <c r="I3855" s="91">
        <v>0</v>
      </c>
      <c r="J3855" s="41"/>
      <c r="K3855" s="41">
        <v>43738</v>
      </c>
      <c r="L3855" s="69" t="s">
        <v>80</v>
      </c>
      <c r="M3855" s="69" t="s">
        <v>286</v>
      </c>
      <c r="N3855" s="95"/>
      <c r="P3855" t="s">
        <v>95</v>
      </c>
      <c r="Q3855" t="s">
        <v>110</v>
      </c>
      <c r="R3855" s="92" t="s">
        <v>69</v>
      </c>
      <c r="S3855" s="92" t="s">
        <v>115</v>
      </c>
      <c r="V3855" s="95">
        <v>43738</v>
      </c>
      <c r="W3855" s="92" t="s">
        <v>421</v>
      </c>
      <c r="X3855" s="90"/>
      <c r="Y3855" s="123"/>
      <c r="Z3855" s="30">
        <f t="shared" si="120"/>
        <v>6763.7822038320437</v>
      </c>
      <c r="AA3855" s="30">
        <f t="shared" si="121"/>
        <v>2113.6819386975139</v>
      </c>
      <c r="AB3855" t="s">
        <v>457</v>
      </c>
    </row>
    <row r="3856" spans="1:28">
      <c r="A3856" t="s">
        <v>113</v>
      </c>
      <c r="C3856" s="92">
        <v>4615491987</v>
      </c>
      <c r="D3856" s="93">
        <v>19175</v>
      </c>
      <c r="F3856" s="91">
        <v>16</v>
      </c>
      <c r="G3856" s="91">
        <v>5</v>
      </c>
      <c r="H3856" s="91">
        <v>0</v>
      </c>
      <c r="I3856" s="91">
        <v>0</v>
      </c>
      <c r="J3856" s="41"/>
      <c r="K3856" s="41">
        <v>43738</v>
      </c>
      <c r="L3856" s="69" t="s">
        <v>80</v>
      </c>
      <c r="M3856" s="69" t="s">
        <v>286</v>
      </c>
      <c r="N3856" s="95"/>
      <c r="P3856" t="s">
        <v>95</v>
      </c>
      <c r="Q3856" t="s">
        <v>110</v>
      </c>
      <c r="R3856" s="92" t="s">
        <v>69</v>
      </c>
      <c r="S3856" s="92" t="s">
        <v>115</v>
      </c>
      <c r="V3856" s="95">
        <v>43738</v>
      </c>
      <c r="W3856" s="92" t="s">
        <v>421</v>
      </c>
      <c r="X3856" s="90"/>
      <c r="Y3856" s="123"/>
      <c r="Z3856" s="30">
        <f t="shared" si="120"/>
        <v>6763.7822038320437</v>
      </c>
      <c r="AA3856" s="30">
        <f t="shared" si="121"/>
        <v>2113.6819386975139</v>
      </c>
      <c r="AB3856" t="s">
        <v>457</v>
      </c>
    </row>
    <row r="3857" spans="1:28">
      <c r="A3857" t="s">
        <v>113</v>
      </c>
      <c r="C3857" s="92">
        <v>4615491987</v>
      </c>
      <c r="D3857" s="93">
        <v>19175</v>
      </c>
      <c r="F3857" s="91">
        <v>16</v>
      </c>
      <c r="G3857" s="91">
        <v>5</v>
      </c>
      <c r="H3857" s="91">
        <v>0</v>
      </c>
      <c r="I3857" s="91">
        <v>0</v>
      </c>
      <c r="J3857" s="41"/>
      <c r="K3857" s="41">
        <v>43738</v>
      </c>
      <c r="L3857" s="69" t="s">
        <v>80</v>
      </c>
      <c r="M3857" s="69" t="s">
        <v>286</v>
      </c>
      <c r="N3857" s="95"/>
      <c r="P3857" t="s">
        <v>95</v>
      </c>
      <c r="Q3857" t="s">
        <v>110</v>
      </c>
      <c r="R3857" s="92" t="s">
        <v>69</v>
      </c>
      <c r="S3857" s="92" t="s">
        <v>115</v>
      </c>
      <c r="V3857" s="95">
        <v>43738</v>
      </c>
      <c r="W3857" s="92" t="s">
        <v>421</v>
      </c>
      <c r="X3857" s="90"/>
      <c r="Y3857" s="123"/>
      <c r="Z3857" s="30">
        <f t="shared" si="120"/>
        <v>6763.7822038320437</v>
      </c>
      <c r="AA3857" s="30">
        <f t="shared" si="121"/>
        <v>2113.6819386975139</v>
      </c>
      <c r="AB3857" t="s">
        <v>457</v>
      </c>
    </row>
    <row r="3858" spans="1:28">
      <c r="A3858" t="s">
        <v>113</v>
      </c>
      <c r="C3858" s="92">
        <v>4615491987</v>
      </c>
      <c r="D3858" s="93">
        <v>19175</v>
      </c>
      <c r="F3858" s="91">
        <v>16</v>
      </c>
      <c r="G3858" s="91">
        <v>5</v>
      </c>
      <c r="H3858" s="91">
        <v>0</v>
      </c>
      <c r="I3858" s="91">
        <v>0</v>
      </c>
      <c r="J3858" s="41"/>
      <c r="K3858" s="41">
        <v>43738</v>
      </c>
      <c r="L3858" s="69" t="s">
        <v>80</v>
      </c>
      <c r="M3858" s="69" t="s">
        <v>286</v>
      </c>
      <c r="N3858" s="95"/>
      <c r="P3858" t="s">
        <v>95</v>
      </c>
      <c r="Q3858" t="s">
        <v>110</v>
      </c>
      <c r="R3858" s="92" t="s">
        <v>69</v>
      </c>
      <c r="S3858" s="92" t="s">
        <v>115</v>
      </c>
      <c r="V3858" s="95">
        <v>43738</v>
      </c>
      <c r="W3858" s="92" t="s">
        <v>421</v>
      </c>
      <c r="X3858" s="90"/>
      <c r="Y3858" s="123"/>
      <c r="Z3858" s="30">
        <f t="shared" si="120"/>
        <v>6763.7822038320437</v>
      </c>
      <c r="AA3858" s="30">
        <f t="shared" si="121"/>
        <v>2113.6819386975139</v>
      </c>
      <c r="AB3858" t="s">
        <v>457</v>
      </c>
    </row>
    <row r="3859" spans="1:28">
      <c r="A3859" t="s">
        <v>113</v>
      </c>
      <c r="C3859" s="92">
        <v>4615491987</v>
      </c>
      <c r="D3859" s="93">
        <v>19175</v>
      </c>
      <c r="F3859" s="91">
        <v>16</v>
      </c>
      <c r="G3859" s="91">
        <v>5</v>
      </c>
      <c r="H3859" s="91">
        <v>0</v>
      </c>
      <c r="I3859" s="91">
        <v>0</v>
      </c>
      <c r="J3859" s="41"/>
      <c r="K3859" s="41">
        <v>43738</v>
      </c>
      <c r="L3859" s="69" t="s">
        <v>80</v>
      </c>
      <c r="M3859" s="69" t="s">
        <v>286</v>
      </c>
      <c r="N3859" s="95"/>
      <c r="P3859" t="s">
        <v>95</v>
      </c>
      <c r="Q3859" t="s">
        <v>110</v>
      </c>
      <c r="R3859" s="92" t="s">
        <v>69</v>
      </c>
      <c r="S3859" s="92" t="s">
        <v>115</v>
      </c>
      <c r="V3859" s="95">
        <v>43738</v>
      </c>
      <c r="W3859" s="92" t="s">
        <v>421</v>
      </c>
      <c r="X3859" s="90"/>
      <c r="Y3859" s="123"/>
      <c r="Z3859" s="30">
        <f t="shared" si="120"/>
        <v>6763.7822038320437</v>
      </c>
      <c r="AA3859" s="30">
        <f t="shared" si="121"/>
        <v>2113.6819386975139</v>
      </c>
      <c r="AB3859" t="s">
        <v>457</v>
      </c>
    </row>
    <row r="3860" spans="1:28">
      <c r="A3860" t="s">
        <v>113</v>
      </c>
      <c r="C3860" s="92">
        <v>4615491987</v>
      </c>
      <c r="D3860" s="93">
        <v>19175</v>
      </c>
      <c r="F3860" s="91">
        <v>16</v>
      </c>
      <c r="G3860" s="91">
        <v>5</v>
      </c>
      <c r="H3860" s="91">
        <v>0</v>
      </c>
      <c r="I3860" s="91">
        <v>0</v>
      </c>
      <c r="J3860" s="41"/>
      <c r="K3860" s="41">
        <v>43738</v>
      </c>
      <c r="L3860" s="69" t="s">
        <v>80</v>
      </c>
      <c r="M3860" s="69" t="s">
        <v>286</v>
      </c>
      <c r="N3860" s="95"/>
      <c r="P3860" t="s">
        <v>95</v>
      </c>
      <c r="Q3860" t="s">
        <v>110</v>
      </c>
      <c r="R3860" s="92" t="s">
        <v>69</v>
      </c>
      <c r="S3860" s="92" t="s">
        <v>115</v>
      </c>
      <c r="V3860" s="95">
        <v>43738</v>
      </c>
      <c r="W3860" s="92" t="s">
        <v>421</v>
      </c>
      <c r="X3860" s="90"/>
      <c r="Y3860" s="123"/>
      <c r="Z3860" s="30">
        <f t="shared" si="120"/>
        <v>6763.7822038320437</v>
      </c>
      <c r="AA3860" s="30">
        <f t="shared" si="121"/>
        <v>2113.6819386975139</v>
      </c>
      <c r="AB3860" t="s">
        <v>457</v>
      </c>
    </row>
    <row r="3861" spans="1:28">
      <c r="A3861" t="s">
        <v>113</v>
      </c>
      <c r="C3861" s="92">
        <v>4615491987</v>
      </c>
      <c r="D3861" s="93">
        <v>19175</v>
      </c>
      <c r="F3861" s="91">
        <v>16</v>
      </c>
      <c r="G3861" s="91">
        <v>5</v>
      </c>
      <c r="H3861" s="91">
        <v>0</v>
      </c>
      <c r="I3861" s="91">
        <v>0</v>
      </c>
      <c r="J3861" s="41"/>
      <c r="K3861" s="41">
        <v>43738</v>
      </c>
      <c r="L3861" s="69" t="s">
        <v>80</v>
      </c>
      <c r="M3861" s="69" t="s">
        <v>286</v>
      </c>
      <c r="N3861" s="95"/>
      <c r="P3861" t="s">
        <v>95</v>
      </c>
      <c r="Q3861" t="s">
        <v>110</v>
      </c>
      <c r="R3861" s="92" t="s">
        <v>69</v>
      </c>
      <c r="S3861" s="92" t="s">
        <v>115</v>
      </c>
      <c r="V3861" s="95">
        <v>43738</v>
      </c>
      <c r="W3861" s="92" t="s">
        <v>421</v>
      </c>
      <c r="X3861" s="90"/>
      <c r="Y3861" s="123"/>
      <c r="Z3861" s="30">
        <f t="shared" si="120"/>
        <v>6763.7822038320437</v>
      </c>
      <c r="AA3861" s="30">
        <f t="shared" si="121"/>
        <v>2113.6819386975139</v>
      </c>
      <c r="AB3861" t="s">
        <v>457</v>
      </c>
    </row>
    <row r="3862" spans="1:28">
      <c r="A3862" t="s">
        <v>113</v>
      </c>
      <c r="C3862" s="92">
        <v>4615491987</v>
      </c>
      <c r="D3862" s="93">
        <v>19175</v>
      </c>
      <c r="F3862" s="91">
        <v>16</v>
      </c>
      <c r="G3862" s="91">
        <v>5</v>
      </c>
      <c r="H3862" s="91">
        <v>0</v>
      </c>
      <c r="I3862" s="91">
        <v>0</v>
      </c>
      <c r="J3862" s="41"/>
      <c r="K3862" s="41">
        <v>43738</v>
      </c>
      <c r="L3862" s="69" t="s">
        <v>80</v>
      </c>
      <c r="M3862" s="69" t="s">
        <v>286</v>
      </c>
      <c r="N3862" s="95"/>
      <c r="P3862" t="s">
        <v>95</v>
      </c>
      <c r="Q3862" t="s">
        <v>110</v>
      </c>
      <c r="R3862" s="92" t="s">
        <v>69</v>
      </c>
      <c r="S3862" s="92" t="s">
        <v>115</v>
      </c>
      <c r="V3862" s="95">
        <v>43738</v>
      </c>
      <c r="W3862" s="92" t="s">
        <v>421</v>
      </c>
      <c r="X3862" s="90"/>
      <c r="Y3862" s="123"/>
      <c r="Z3862" s="30">
        <f t="shared" si="120"/>
        <v>6763.7822038320437</v>
      </c>
      <c r="AA3862" s="30">
        <f t="shared" si="121"/>
        <v>2113.6819386975139</v>
      </c>
      <c r="AB3862" t="s">
        <v>457</v>
      </c>
    </row>
    <row r="3863" spans="1:28">
      <c r="A3863" t="s">
        <v>113</v>
      </c>
      <c r="C3863" s="92">
        <v>4615491987</v>
      </c>
      <c r="D3863" s="93">
        <v>19175</v>
      </c>
      <c r="F3863" s="91">
        <v>16</v>
      </c>
      <c r="G3863" s="91">
        <v>5</v>
      </c>
      <c r="H3863" s="91">
        <v>0</v>
      </c>
      <c r="I3863" s="91">
        <v>0</v>
      </c>
      <c r="J3863" s="41"/>
      <c r="K3863" s="41">
        <v>43738</v>
      </c>
      <c r="L3863" s="69" t="s">
        <v>80</v>
      </c>
      <c r="M3863" s="69" t="s">
        <v>286</v>
      </c>
      <c r="N3863" s="95"/>
      <c r="P3863" t="s">
        <v>95</v>
      </c>
      <c r="Q3863" t="s">
        <v>110</v>
      </c>
      <c r="R3863" s="92" t="s">
        <v>69</v>
      </c>
      <c r="S3863" s="92" t="s">
        <v>115</v>
      </c>
      <c r="V3863" s="95">
        <v>43738</v>
      </c>
      <c r="W3863" s="92" t="s">
        <v>421</v>
      </c>
      <c r="X3863" s="90"/>
      <c r="Y3863" s="123"/>
      <c r="Z3863" s="30">
        <f t="shared" si="120"/>
        <v>6763.7822038320437</v>
      </c>
      <c r="AA3863" s="30">
        <f t="shared" si="121"/>
        <v>2113.6819386975139</v>
      </c>
      <c r="AB3863" t="s">
        <v>457</v>
      </c>
    </row>
    <row r="3864" spans="1:28">
      <c r="A3864" t="s">
        <v>113</v>
      </c>
      <c r="C3864" s="92">
        <v>4615491987</v>
      </c>
      <c r="D3864" s="93">
        <v>19175</v>
      </c>
      <c r="F3864" s="91">
        <v>16</v>
      </c>
      <c r="G3864" s="91">
        <v>5</v>
      </c>
      <c r="H3864" s="91">
        <v>0</v>
      </c>
      <c r="I3864" s="91">
        <v>0</v>
      </c>
      <c r="J3864" s="41"/>
      <c r="K3864" s="41">
        <v>43738</v>
      </c>
      <c r="L3864" s="69" t="s">
        <v>80</v>
      </c>
      <c r="M3864" s="69" t="s">
        <v>286</v>
      </c>
      <c r="N3864" s="95"/>
      <c r="P3864" t="s">
        <v>95</v>
      </c>
      <c r="Q3864" t="s">
        <v>110</v>
      </c>
      <c r="R3864" s="92" t="s">
        <v>69</v>
      </c>
      <c r="S3864" s="92" t="s">
        <v>115</v>
      </c>
      <c r="V3864" s="95">
        <v>43738</v>
      </c>
      <c r="W3864" s="92" t="s">
        <v>421</v>
      </c>
      <c r="X3864" s="90"/>
      <c r="Y3864" s="123"/>
      <c r="Z3864" s="30">
        <f t="shared" si="120"/>
        <v>6763.7822038320437</v>
      </c>
      <c r="AA3864" s="30">
        <f t="shared" si="121"/>
        <v>2113.6819386975139</v>
      </c>
      <c r="AB3864" t="s">
        <v>457</v>
      </c>
    </row>
    <row r="3865" spans="1:28">
      <c r="A3865" t="s">
        <v>122</v>
      </c>
      <c r="C3865" s="92">
        <v>4615507738</v>
      </c>
      <c r="D3865" s="93">
        <v>19200</v>
      </c>
      <c r="F3865" s="94">
        <v>16</v>
      </c>
      <c r="G3865" s="94">
        <v>5</v>
      </c>
      <c r="H3865" s="91">
        <v>0</v>
      </c>
      <c r="I3865" s="91">
        <v>0</v>
      </c>
      <c r="J3865" s="41"/>
      <c r="K3865" s="41">
        <v>43769</v>
      </c>
      <c r="L3865" s="69" t="s">
        <v>80</v>
      </c>
      <c r="M3865" s="69" t="s">
        <v>286</v>
      </c>
      <c r="N3865" s="95"/>
      <c r="P3865" t="s">
        <v>95</v>
      </c>
      <c r="Q3865" t="s">
        <v>120</v>
      </c>
      <c r="R3865" s="92" t="s">
        <v>69</v>
      </c>
      <c r="S3865" s="92" t="s">
        <v>394</v>
      </c>
      <c r="V3865" s="95">
        <v>43769</v>
      </c>
      <c r="W3865" s="92">
        <v>2033921</v>
      </c>
      <c r="X3865" s="90"/>
      <c r="Y3865" s="123"/>
      <c r="Z3865" s="30">
        <f t="shared" si="120"/>
        <v>6772.6006943194379</v>
      </c>
      <c r="AA3865" s="30">
        <f t="shared" si="121"/>
        <v>2116.4377169748245</v>
      </c>
      <c r="AB3865" t="s">
        <v>457</v>
      </c>
    </row>
    <row r="3866" spans="1:28">
      <c r="A3866" t="s">
        <v>122</v>
      </c>
      <c r="C3866" s="92">
        <v>4615507738</v>
      </c>
      <c r="D3866" s="93">
        <v>19200</v>
      </c>
      <c r="F3866" s="94">
        <v>16</v>
      </c>
      <c r="G3866" s="94">
        <v>5</v>
      </c>
      <c r="H3866" s="91">
        <v>0</v>
      </c>
      <c r="I3866" s="91">
        <v>0</v>
      </c>
      <c r="J3866" s="41"/>
      <c r="K3866" s="41">
        <v>43769</v>
      </c>
      <c r="L3866" s="69" t="s">
        <v>80</v>
      </c>
      <c r="M3866" s="69" t="s">
        <v>286</v>
      </c>
      <c r="N3866" s="95"/>
      <c r="P3866" t="s">
        <v>95</v>
      </c>
      <c r="Q3866" t="s">
        <v>120</v>
      </c>
      <c r="R3866" s="92" t="s">
        <v>69</v>
      </c>
      <c r="S3866" s="92" t="s">
        <v>394</v>
      </c>
      <c r="V3866" s="95">
        <v>43769</v>
      </c>
      <c r="W3866" s="92">
        <v>2033921</v>
      </c>
      <c r="X3866" s="90"/>
      <c r="Y3866" s="123"/>
      <c r="Z3866" s="30">
        <f t="shared" si="120"/>
        <v>6772.6006943194379</v>
      </c>
      <c r="AA3866" s="30">
        <f t="shared" si="121"/>
        <v>2116.4377169748245</v>
      </c>
      <c r="AB3866" t="s">
        <v>457</v>
      </c>
    </row>
    <row r="3867" spans="1:28">
      <c r="A3867" t="s">
        <v>122</v>
      </c>
      <c r="C3867" s="92">
        <v>4615507738</v>
      </c>
      <c r="D3867" s="93">
        <v>19200</v>
      </c>
      <c r="F3867" s="94">
        <v>16</v>
      </c>
      <c r="G3867" s="94">
        <v>5</v>
      </c>
      <c r="H3867" s="91">
        <v>0</v>
      </c>
      <c r="I3867" s="91">
        <v>0</v>
      </c>
      <c r="J3867" s="41"/>
      <c r="K3867" s="41">
        <v>43769</v>
      </c>
      <c r="L3867" s="69" t="s">
        <v>80</v>
      </c>
      <c r="M3867" s="69" t="s">
        <v>286</v>
      </c>
      <c r="N3867" s="95"/>
      <c r="P3867" t="s">
        <v>95</v>
      </c>
      <c r="Q3867" t="s">
        <v>120</v>
      </c>
      <c r="R3867" s="92" t="s">
        <v>69</v>
      </c>
      <c r="S3867" s="92" t="s">
        <v>394</v>
      </c>
      <c r="V3867" s="95">
        <v>43769</v>
      </c>
      <c r="W3867" s="92">
        <v>2033921</v>
      </c>
      <c r="X3867" s="90"/>
      <c r="Y3867" s="123"/>
      <c r="Z3867" s="30">
        <f t="shared" si="120"/>
        <v>6772.6006943194379</v>
      </c>
      <c r="AA3867" s="30">
        <f t="shared" si="121"/>
        <v>2116.4377169748245</v>
      </c>
      <c r="AB3867" t="s">
        <v>457</v>
      </c>
    </row>
    <row r="3868" spans="1:28">
      <c r="A3868" t="s">
        <v>122</v>
      </c>
      <c r="C3868" s="92">
        <v>4615507738</v>
      </c>
      <c r="D3868" s="93">
        <v>19200</v>
      </c>
      <c r="F3868" s="94">
        <v>16</v>
      </c>
      <c r="G3868" s="94">
        <v>5</v>
      </c>
      <c r="H3868" s="91">
        <v>0</v>
      </c>
      <c r="I3868" s="91">
        <v>0</v>
      </c>
      <c r="J3868" s="41"/>
      <c r="K3868" s="41">
        <v>43769</v>
      </c>
      <c r="L3868" s="69" t="s">
        <v>80</v>
      </c>
      <c r="M3868" s="69" t="s">
        <v>286</v>
      </c>
      <c r="N3868" s="95"/>
      <c r="P3868" t="s">
        <v>95</v>
      </c>
      <c r="Q3868" t="s">
        <v>120</v>
      </c>
      <c r="R3868" s="92" t="s">
        <v>69</v>
      </c>
      <c r="S3868" s="92" t="s">
        <v>394</v>
      </c>
      <c r="V3868" s="95">
        <v>43769</v>
      </c>
      <c r="W3868" s="92">
        <v>2033921</v>
      </c>
      <c r="X3868" s="90"/>
      <c r="Y3868" s="123"/>
      <c r="Z3868" s="30">
        <f t="shared" si="120"/>
        <v>6772.6006943194379</v>
      </c>
      <c r="AA3868" s="30">
        <f t="shared" si="121"/>
        <v>2116.4377169748245</v>
      </c>
      <c r="AB3868" t="s">
        <v>457</v>
      </c>
    </row>
    <row r="3869" spans="1:28">
      <c r="A3869" t="s">
        <v>122</v>
      </c>
      <c r="C3869" s="92">
        <v>4615507738</v>
      </c>
      <c r="D3869" s="93">
        <v>19200</v>
      </c>
      <c r="F3869" s="94">
        <v>16</v>
      </c>
      <c r="G3869" s="94">
        <v>5</v>
      </c>
      <c r="H3869" s="91">
        <v>0</v>
      </c>
      <c r="I3869" s="91">
        <v>0</v>
      </c>
      <c r="J3869" s="41"/>
      <c r="K3869" s="41">
        <v>43769</v>
      </c>
      <c r="L3869" s="69" t="s">
        <v>80</v>
      </c>
      <c r="M3869" s="69" t="s">
        <v>286</v>
      </c>
      <c r="N3869" s="95"/>
      <c r="P3869" t="s">
        <v>95</v>
      </c>
      <c r="Q3869" t="s">
        <v>120</v>
      </c>
      <c r="R3869" s="92" t="s">
        <v>69</v>
      </c>
      <c r="S3869" s="92" t="s">
        <v>394</v>
      </c>
      <c r="V3869" s="95">
        <v>43769</v>
      </c>
      <c r="W3869" s="92">
        <v>2033921</v>
      </c>
      <c r="X3869" s="90"/>
      <c r="Y3869" s="123"/>
      <c r="Z3869" s="30">
        <f t="shared" si="120"/>
        <v>6772.6006943194379</v>
      </c>
      <c r="AA3869" s="30">
        <f t="shared" si="121"/>
        <v>2116.4377169748245</v>
      </c>
      <c r="AB3869" t="s">
        <v>457</v>
      </c>
    </row>
    <row r="3870" spans="1:28">
      <c r="A3870" t="s">
        <v>122</v>
      </c>
      <c r="C3870" s="92">
        <v>4615507738</v>
      </c>
      <c r="D3870" s="93">
        <v>19200</v>
      </c>
      <c r="F3870" s="94">
        <v>16</v>
      </c>
      <c r="G3870" s="94">
        <v>5</v>
      </c>
      <c r="H3870" s="91">
        <v>0</v>
      </c>
      <c r="I3870" s="91">
        <v>0</v>
      </c>
      <c r="J3870" s="41"/>
      <c r="K3870" s="41">
        <v>43769</v>
      </c>
      <c r="L3870" s="69" t="s">
        <v>80</v>
      </c>
      <c r="M3870" s="69" t="s">
        <v>286</v>
      </c>
      <c r="N3870" s="95"/>
      <c r="P3870" t="s">
        <v>95</v>
      </c>
      <c r="Q3870" t="s">
        <v>120</v>
      </c>
      <c r="R3870" s="92" t="s">
        <v>69</v>
      </c>
      <c r="S3870" s="92" t="s">
        <v>394</v>
      </c>
      <c r="V3870" s="95">
        <v>43769</v>
      </c>
      <c r="W3870" s="92">
        <v>2033921</v>
      </c>
      <c r="X3870" s="90"/>
      <c r="Y3870" s="123"/>
      <c r="Z3870" s="30">
        <f t="shared" si="120"/>
        <v>6772.6006943194379</v>
      </c>
      <c r="AA3870" s="30">
        <f t="shared" si="121"/>
        <v>2116.4377169748245</v>
      </c>
      <c r="AB3870" t="s">
        <v>457</v>
      </c>
    </row>
    <row r="3871" spans="1:28">
      <c r="A3871" t="s">
        <v>122</v>
      </c>
      <c r="C3871" s="92">
        <v>4615507738</v>
      </c>
      <c r="D3871" s="93">
        <v>19200</v>
      </c>
      <c r="F3871" s="94">
        <v>16</v>
      </c>
      <c r="G3871" s="94">
        <v>5</v>
      </c>
      <c r="H3871" s="91">
        <v>0</v>
      </c>
      <c r="I3871" s="91">
        <v>0</v>
      </c>
      <c r="J3871" s="41"/>
      <c r="K3871" s="41">
        <v>43769</v>
      </c>
      <c r="L3871" s="69" t="s">
        <v>80</v>
      </c>
      <c r="M3871" s="69" t="s">
        <v>286</v>
      </c>
      <c r="N3871" s="95"/>
      <c r="P3871" t="s">
        <v>95</v>
      </c>
      <c r="Q3871" t="s">
        <v>120</v>
      </c>
      <c r="R3871" s="92" t="s">
        <v>69</v>
      </c>
      <c r="S3871" s="92" t="s">
        <v>394</v>
      </c>
      <c r="V3871" s="95">
        <v>43769</v>
      </c>
      <c r="W3871" s="92">
        <v>2033921</v>
      </c>
      <c r="X3871" s="90"/>
      <c r="Y3871" s="123"/>
      <c r="Z3871" s="30">
        <f t="shared" si="120"/>
        <v>6772.6006943194379</v>
      </c>
      <c r="AA3871" s="30">
        <f t="shared" si="121"/>
        <v>2116.4377169748245</v>
      </c>
      <c r="AB3871" t="s">
        <v>457</v>
      </c>
    </row>
    <row r="3872" spans="1:28">
      <c r="A3872" t="s">
        <v>122</v>
      </c>
      <c r="C3872" s="92">
        <v>4615507738</v>
      </c>
      <c r="D3872" s="93">
        <v>19200</v>
      </c>
      <c r="F3872" s="94">
        <v>16</v>
      </c>
      <c r="G3872" s="94">
        <v>5</v>
      </c>
      <c r="H3872" s="91">
        <v>0</v>
      </c>
      <c r="I3872" s="91">
        <v>0</v>
      </c>
      <c r="J3872" s="41"/>
      <c r="K3872" s="41">
        <v>43769</v>
      </c>
      <c r="L3872" s="69" t="s">
        <v>80</v>
      </c>
      <c r="M3872" s="69" t="s">
        <v>286</v>
      </c>
      <c r="N3872" s="95"/>
      <c r="P3872" t="s">
        <v>95</v>
      </c>
      <c r="Q3872" t="s">
        <v>120</v>
      </c>
      <c r="R3872" s="92" t="s">
        <v>69</v>
      </c>
      <c r="S3872" s="92" t="s">
        <v>394</v>
      </c>
      <c r="V3872" s="95">
        <v>43769</v>
      </c>
      <c r="W3872" s="92">
        <v>2033921</v>
      </c>
      <c r="X3872" s="90"/>
      <c r="Y3872" s="123"/>
      <c r="Z3872" s="30">
        <f t="shared" si="120"/>
        <v>6772.6006943194379</v>
      </c>
      <c r="AA3872" s="30">
        <f t="shared" si="121"/>
        <v>2116.4377169748245</v>
      </c>
      <c r="AB3872" t="s">
        <v>457</v>
      </c>
    </row>
    <row r="3873" spans="1:28">
      <c r="A3873" t="s">
        <v>122</v>
      </c>
      <c r="C3873" s="92">
        <v>4615507738</v>
      </c>
      <c r="D3873" s="93">
        <v>19200</v>
      </c>
      <c r="F3873" s="94">
        <v>16</v>
      </c>
      <c r="G3873" s="94">
        <v>5</v>
      </c>
      <c r="H3873" s="91">
        <v>0</v>
      </c>
      <c r="I3873" s="91">
        <v>0</v>
      </c>
      <c r="J3873" s="41"/>
      <c r="K3873" s="41">
        <v>43769</v>
      </c>
      <c r="L3873" s="69" t="s">
        <v>80</v>
      </c>
      <c r="M3873" s="69" t="s">
        <v>286</v>
      </c>
      <c r="N3873" s="95"/>
      <c r="P3873" t="s">
        <v>95</v>
      </c>
      <c r="Q3873" t="s">
        <v>120</v>
      </c>
      <c r="R3873" s="92" t="s">
        <v>69</v>
      </c>
      <c r="S3873" s="92" t="s">
        <v>394</v>
      </c>
      <c r="V3873" s="95">
        <v>43769</v>
      </c>
      <c r="W3873" s="92">
        <v>2033921</v>
      </c>
      <c r="X3873" s="90"/>
      <c r="Y3873" s="123"/>
      <c r="Z3873" s="30">
        <f t="shared" si="120"/>
        <v>6772.6006943194379</v>
      </c>
      <c r="AA3873" s="30">
        <f t="shared" si="121"/>
        <v>2116.4377169748245</v>
      </c>
      <c r="AB3873" t="s">
        <v>457</v>
      </c>
    </row>
    <row r="3874" spans="1:28">
      <c r="A3874" t="s">
        <v>122</v>
      </c>
      <c r="C3874" s="92">
        <v>4615507738</v>
      </c>
      <c r="D3874" s="93">
        <v>19200</v>
      </c>
      <c r="F3874" s="94">
        <v>16</v>
      </c>
      <c r="G3874" s="94">
        <v>5</v>
      </c>
      <c r="H3874" s="91">
        <v>0</v>
      </c>
      <c r="I3874" s="91">
        <v>0</v>
      </c>
      <c r="J3874" s="41"/>
      <c r="K3874" s="41">
        <v>43769</v>
      </c>
      <c r="L3874" s="69" t="s">
        <v>80</v>
      </c>
      <c r="M3874" s="69" t="s">
        <v>286</v>
      </c>
      <c r="N3874" s="95"/>
      <c r="P3874" t="s">
        <v>95</v>
      </c>
      <c r="Q3874" t="s">
        <v>120</v>
      </c>
      <c r="R3874" s="92" t="s">
        <v>69</v>
      </c>
      <c r="S3874" s="92" t="s">
        <v>394</v>
      </c>
      <c r="V3874" s="95">
        <v>43769</v>
      </c>
      <c r="W3874" s="92">
        <v>2033921</v>
      </c>
      <c r="X3874" s="90"/>
      <c r="Y3874" s="123"/>
      <c r="Z3874" s="30">
        <f t="shared" si="120"/>
        <v>6772.6006943194379</v>
      </c>
      <c r="AA3874" s="30">
        <f t="shared" si="121"/>
        <v>2116.4377169748245</v>
      </c>
      <c r="AB3874" t="s">
        <v>457</v>
      </c>
    </row>
    <row r="3875" spans="1:28">
      <c r="A3875" t="s">
        <v>122</v>
      </c>
      <c r="C3875" s="92">
        <v>4615507738</v>
      </c>
      <c r="D3875" s="93">
        <v>19200</v>
      </c>
      <c r="F3875" s="94">
        <v>16</v>
      </c>
      <c r="G3875" s="94">
        <v>5</v>
      </c>
      <c r="H3875" s="91">
        <v>0</v>
      </c>
      <c r="I3875" s="91">
        <v>0</v>
      </c>
      <c r="J3875" s="41"/>
      <c r="K3875" s="41">
        <v>43769</v>
      </c>
      <c r="L3875" s="69" t="s">
        <v>80</v>
      </c>
      <c r="M3875" s="69" t="s">
        <v>286</v>
      </c>
      <c r="N3875" s="95"/>
      <c r="P3875" t="s">
        <v>95</v>
      </c>
      <c r="Q3875" t="s">
        <v>120</v>
      </c>
      <c r="R3875" s="92" t="s">
        <v>69</v>
      </c>
      <c r="S3875" s="92" t="s">
        <v>394</v>
      </c>
      <c r="V3875" s="95">
        <v>43769</v>
      </c>
      <c r="W3875" s="92">
        <v>2033921</v>
      </c>
      <c r="X3875" s="90"/>
      <c r="Y3875" s="123"/>
      <c r="Z3875" s="30">
        <f t="shared" si="120"/>
        <v>6772.6006943194379</v>
      </c>
      <c r="AA3875" s="30">
        <f t="shared" si="121"/>
        <v>2116.4377169748245</v>
      </c>
      <c r="AB3875" t="s">
        <v>457</v>
      </c>
    </row>
    <row r="3876" spans="1:28">
      <c r="A3876" t="s">
        <v>122</v>
      </c>
      <c r="C3876" s="92">
        <v>4615507738</v>
      </c>
      <c r="D3876" s="93">
        <v>19200</v>
      </c>
      <c r="F3876" s="94">
        <v>16</v>
      </c>
      <c r="G3876" s="94">
        <v>5</v>
      </c>
      <c r="H3876" s="91">
        <v>0</v>
      </c>
      <c r="I3876" s="91">
        <v>0</v>
      </c>
      <c r="J3876" s="41"/>
      <c r="K3876" s="41">
        <v>43769</v>
      </c>
      <c r="L3876" s="69" t="s">
        <v>80</v>
      </c>
      <c r="M3876" s="69" t="s">
        <v>286</v>
      </c>
      <c r="N3876" s="95"/>
      <c r="P3876" t="s">
        <v>95</v>
      </c>
      <c r="Q3876" t="s">
        <v>120</v>
      </c>
      <c r="R3876" s="92" t="s">
        <v>69</v>
      </c>
      <c r="S3876" s="92" t="s">
        <v>394</v>
      </c>
      <c r="V3876" s="95">
        <v>43769</v>
      </c>
      <c r="W3876" s="92">
        <v>2033921</v>
      </c>
      <c r="X3876" s="90"/>
      <c r="Y3876" s="123"/>
      <c r="Z3876" s="30">
        <f t="shared" si="120"/>
        <v>6772.6006943194379</v>
      </c>
      <c r="AA3876" s="30">
        <f t="shared" si="121"/>
        <v>2116.4377169748245</v>
      </c>
      <c r="AB3876" t="s">
        <v>457</v>
      </c>
    </row>
    <row r="3877" spans="1:28">
      <c r="A3877" t="s">
        <v>122</v>
      </c>
      <c r="C3877" s="92">
        <v>4615519239</v>
      </c>
      <c r="D3877" s="93">
        <v>19200</v>
      </c>
      <c r="F3877" s="91">
        <v>16</v>
      </c>
      <c r="G3877" s="96">
        <v>5</v>
      </c>
      <c r="H3877" s="94">
        <v>0</v>
      </c>
      <c r="I3877" s="91">
        <v>0</v>
      </c>
      <c r="J3877" s="41"/>
      <c r="K3877" s="41">
        <v>43769</v>
      </c>
      <c r="L3877" s="69" t="s">
        <v>80</v>
      </c>
      <c r="M3877" s="69" t="s">
        <v>286</v>
      </c>
      <c r="N3877" s="95"/>
      <c r="P3877" t="s">
        <v>95</v>
      </c>
      <c r="Q3877" t="s">
        <v>120</v>
      </c>
      <c r="R3877" s="92" t="s">
        <v>69</v>
      </c>
      <c r="S3877" s="92" t="s">
        <v>395</v>
      </c>
      <c r="V3877" s="95">
        <v>43769</v>
      </c>
      <c r="W3877" s="92">
        <v>2033931</v>
      </c>
      <c r="X3877" s="90"/>
      <c r="Y3877" s="123"/>
      <c r="Z3877" s="30">
        <f t="shared" si="120"/>
        <v>6772.6006943194379</v>
      </c>
      <c r="AA3877" s="30">
        <f t="shared" si="121"/>
        <v>2116.4377169748245</v>
      </c>
      <c r="AB3877" t="s">
        <v>457</v>
      </c>
    </row>
    <row r="3878" spans="1:28">
      <c r="A3878" t="s">
        <v>122</v>
      </c>
      <c r="C3878" s="92">
        <v>4615519239</v>
      </c>
      <c r="D3878" s="93">
        <v>19200</v>
      </c>
      <c r="F3878" s="91">
        <v>16</v>
      </c>
      <c r="G3878" s="96">
        <v>5</v>
      </c>
      <c r="H3878" s="94">
        <v>0</v>
      </c>
      <c r="I3878" s="91">
        <v>0</v>
      </c>
      <c r="J3878" s="41"/>
      <c r="K3878" s="41">
        <v>43769</v>
      </c>
      <c r="L3878" s="69" t="s">
        <v>80</v>
      </c>
      <c r="M3878" s="69" t="s">
        <v>286</v>
      </c>
      <c r="N3878" s="95"/>
      <c r="P3878" t="s">
        <v>95</v>
      </c>
      <c r="Q3878" t="s">
        <v>120</v>
      </c>
      <c r="R3878" s="92" t="s">
        <v>69</v>
      </c>
      <c r="S3878" s="92" t="s">
        <v>395</v>
      </c>
      <c r="V3878" s="95">
        <v>43769</v>
      </c>
      <c r="W3878" s="92">
        <v>2033931</v>
      </c>
      <c r="X3878" s="90"/>
      <c r="Y3878" s="123"/>
      <c r="Z3878" s="30">
        <f t="shared" si="120"/>
        <v>6772.6006943194379</v>
      </c>
      <c r="AA3878" s="30">
        <f t="shared" si="121"/>
        <v>2116.4377169748245</v>
      </c>
      <c r="AB3878" t="s">
        <v>457</v>
      </c>
    </row>
    <row r="3879" spans="1:28">
      <c r="A3879" t="s">
        <v>122</v>
      </c>
      <c r="C3879" s="92">
        <v>4615519239</v>
      </c>
      <c r="D3879" s="93">
        <v>19200</v>
      </c>
      <c r="F3879" s="91">
        <v>16</v>
      </c>
      <c r="G3879" s="96">
        <v>5</v>
      </c>
      <c r="H3879" s="94">
        <v>0</v>
      </c>
      <c r="I3879" s="91">
        <v>0</v>
      </c>
      <c r="J3879" s="41"/>
      <c r="K3879" s="41">
        <v>43769</v>
      </c>
      <c r="L3879" s="69" t="s">
        <v>80</v>
      </c>
      <c r="M3879" s="69" t="s">
        <v>286</v>
      </c>
      <c r="N3879" s="95"/>
      <c r="P3879" t="s">
        <v>95</v>
      </c>
      <c r="Q3879" t="s">
        <v>120</v>
      </c>
      <c r="R3879" s="92" t="s">
        <v>69</v>
      </c>
      <c r="S3879" s="92" t="s">
        <v>395</v>
      </c>
      <c r="V3879" s="95">
        <v>43769</v>
      </c>
      <c r="W3879" s="92">
        <v>2033931</v>
      </c>
      <c r="X3879" s="90"/>
      <c r="Y3879" s="123"/>
      <c r="Z3879" s="30">
        <f t="shared" si="120"/>
        <v>6772.6006943194379</v>
      </c>
      <c r="AA3879" s="30">
        <f t="shared" si="121"/>
        <v>2116.4377169748245</v>
      </c>
      <c r="AB3879" t="s">
        <v>457</v>
      </c>
    </row>
    <row r="3880" spans="1:28">
      <c r="A3880" t="s">
        <v>122</v>
      </c>
      <c r="C3880" s="92">
        <v>4615519239</v>
      </c>
      <c r="D3880" s="93">
        <v>19200</v>
      </c>
      <c r="F3880" s="91">
        <v>16</v>
      </c>
      <c r="G3880" s="96">
        <v>5</v>
      </c>
      <c r="H3880" s="94">
        <v>0</v>
      </c>
      <c r="I3880" s="91">
        <v>0</v>
      </c>
      <c r="J3880" s="41"/>
      <c r="K3880" s="41">
        <v>43769</v>
      </c>
      <c r="L3880" s="69" t="s">
        <v>80</v>
      </c>
      <c r="M3880" s="69" t="s">
        <v>286</v>
      </c>
      <c r="N3880" s="95"/>
      <c r="P3880" t="s">
        <v>95</v>
      </c>
      <c r="Q3880" t="s">
        <v>120</v>
      </c>
      <c r="R3880" s="92" t="s">
        <v>69</v>
      </c>
      <c r="S3880" s="92" t="s">
        <v>395</v>
      </c>
      <c r="V3880" s="95">
        <v>43769</v>
      </c>
      <c r="W3880" s="92">
        <v>2033931</v>
      </c>
      <c r="X3880" s="90"/>
      <c r="Y3880" s="123"/>
      <c r="Z3880" s="30">
        <f t="shared" si="120"/>
        <v>6772.6006943194379</v>
      </c>
      <c r="AA3880" s="30">
        <f t="shared" si="121"/>
        <v>2116.4377169748245</v>
      </c>
      <c r="AB3880" t="s">
        <v>457</v>
      </c>
    </row>
    <row r="3881" spans="1:28">
      <c r="A3881" t="s">
        <v>122</v>
      </c>
      <c r="C3881" s="92">
        <v>4615519239</v>
      </c>
      <c r="D3881" s="93">
        <v>19200</v>
      </c>
      <c r="F3881" s="91">
        <v>16</v>
      </c>
      <c r="G3881" s="96">
        <v>5</v>
      </c>
      <c r="H3881" s="94">
        <v>0</v>
      </c>
      <c r="I3881" s="91">
        <v>0</v>
      </c>
      <c r="J3881" s="41"/>
      <c r="K3881" s="41">
        <v>43769</v>
      </c>
      <c r="L3881" s="69" t="s">
        <v>80</v>
      </c>
      <c r="M3881" s="69" t="s">
        <v>286</v>
      </c>
      <c r="N3881" s="95"/>
      <c r="P3881" t="s">
        <v>95</v>
      </c>
      <c r="Q3881" t="s">
        <v>120</v>
      </c>
      <c r="R3881" s="92" t="s">
        <v>69</v>
      </c>
      <c r="S3881" s="92" t="s">
        <v>395</v>
      </c>
      <c r="V3881" s="95">
        <v>43769</v>
      </c>
      <c r="W3881" s="92">
        <v>2033931</v>
      </c>
      <c r="X3881" s="90"/>
      <c r="Y3881" s="123"/>
      <c r="Z3881" s="30">
        <f t="shared" si="120"/>
        <v>6772.6006943194379</v>
      </c>
      <c r="AA3881" s="30">
        <f t="shared" si="121"/>
        <v>2116.4377169748245</v>
      </c>
      <c r="AB3881" t="s">
        <v>457</v>
      </c>
    </row>
    <row r="3882" spans="1:28">
      <c r="A3882" t="s">
        <v>122</v>
      </c>
      <c r="C3882" s="92">
        <v>4615519239</v>
      </c>
      <c r="D3882" s="93">
        <v>19200</v>
      </c>
      <c r="F3882" s="91">
        <v>16</v>
      </c>
      <c r="G3882" s="96">
        <v>5</v>
      </c>
      <c r="H3882" s="94">
        <v>0</v>
      </c>
      <c r="I3882" s="91">
        <v>0</v>
      </c>
      <c r="J3882" s="41"/>
      <c r="K3882" s="41">
        <v>43769</v>
      </c>
      <c r="L3882" s="69" t="s">
        <v>80</v>
      </c>
      <c r="M3882" s="69" t="s">
        <v>286</v>
      </c>
      <c r="N3882" s="95"/>
      <c r="P3882" t="s">
        <v>95</v>
      </c>
      <c r="Q3882" t="s">
        <v>120</v>
      </c>
      <c r="R3882" s="92" t="s">
        <v>69</v>
      </c>
      <c r="S3882" s="92" t="s">
        <v>395</v>
      </c>
      <c r="V3882" s="95">
        <v>43769</v>
      </c>
      <c r="W3882" s="92">
        <v>2033931</v>
      </c>
      <c r="X3882" s="90"/>
      <c r="Y3882" s="123"/>
      <c r="Z3882" s="30">
        <f t="shared" si="120"/>
        <v>6772.6006943194379</v>
      </c>
      <c r="AA3882" s="30">
        <f t="shared" si="121"/>
        <v>2116.4377169748245</v>
      </c>
      <c r="AB3882" t="s">
        <v>457</v>
      </c>
    </row>
    <row r="3883" spans="1:28">
      <c r="A3883" t="s">
        <v>122</v>
      </c>
      <c r="C3883" s="92">
        <v>4615519239</v>
      </c>
      <c r="D3883" s="93">
        <v>19200</v>
      </c>
      <c r="F3883" s="91">
        <v>16</v>
      </c>
      <c r="G3883" s="96">
        <v>5</v>
      </c>
      <c r="H3883" s="94">
        <v>0</v>
      </c>
      <c r="I3883" s="91">
        <v>0</v>
      </c>
      <c r="J3883" s="41"/>
      <c r="K3883" s="41">
        <v>43769</v>
      </c>
      <c r="L3883" s="69" t="s">
        <v>80</v>
      </c>
      <c r="M3883" s="69" t="s">
        <v>286</v>
      </c>
      <c r="N3883" s="95"/>
      <c r="P3883" t="s">
        <v>95</v>
      </c>
      <c r="Q3883" t="s">
        <v>120</v>
      </c>
      <c r="R3883" s="92" t="s">
        <v>69</v>
      </c>
      <c r="S3883" s="92" t="s">
        <v>395</v>
      </c>
      <c r="V3883" s="95">
        <v>43769</v>
      </c>
      <c r="W3883" s="92">
        <v>2033931</v>
      </c>
      <c r="X3883" s="90"/>
      <c r="Y3883" s="123"/>
      <c r="Z3883" s="30">
        <f t="shared" si="120"/>
        <v>6772.6006943194379</v>
      </c>
      <c r="AA3883" s="30">
        <f t="shared" si="121"/>
        <v>2116.4377169748245</v>
      </c>
      <c r="AB3883" t="s">
        <v>457</v>
      </c>
    </row>
    <row r="3884" spans="1:28">
      <c r="A3884" t="s">
        <v>122</v>
      </c>
      <c r="C3884" s="92">
        <v>4615519239</v>
      </c>
      <c r="D3884" s="93">
        <v>19200</v>
      </c>
      <c r="F3884" s="91">
        <v>16</v>
      </c>
      <c r="G3884" s="96">
        <v>5</v>
      </c>
      <c r="H3884" s="94">
        <v>0</v>
      </c>
      <c r="I3884" s="91">
        <v>0</v>
      </c>
      <c r="J3884" s="41"/>
      <c r="K3884" s="41">
        <v>43769</v>
      </c>
      <c r="L3884" s="69" t="s">
        <v>80</v>
      </c>
      <c r="M3884" s="69" t="s">
        <v>286</v>
      </c>
      <c r="N3884" s="95"/>
      <c r="P3884" t="s">
        <v>95</v>
      </c>
      <c r="Q3884" t="s">
        <v>120</v>
      </c>
      <c r="R3884" s="92" t="s">
        <v>69</v>
      </c>
      <c r="S3884" s="92" t="s">
        <v>395</v>
      </c>
      <c r="V3884" s="95">
        <v>43769</v>
      </c>
      <c r="W3884" s="92">
        <v>2033931</v>
      </c>
      <c r="X3884" s="90"/>
      <c r="Y3884" s="123"/>
      <c r="Z3884" s="30">
        <f t="shared" si="120"/>
        <v>6772.6006943194379</v>
      </c>
      <c r="AA3884" s="30">
        <f t="shared" si="121"/>
        <v>2116.4377169748245</v>
      </c>
      <c r="AB3884" t="s">
        <v>457</v>
      </c>
    </row>
    <row r="3885" spans="1:28">
      <c r="A3885" t="s">
        <v>122</v>
      </c>
      <c r="C3885" s="92">
        <v>4615519239</v>
      </c>
      <c r="D3885" s="93">
        <v>19200</v>
      </c>
      <c r="F3885" s="91">
        <v>16</v>
      </c>
      <c r="G3885" s="96">
        <v>5</v>
      </c>
      <c r="H3885" s="94">
        <v>0</v>
      </c>
      <c r="I3885" s="91">
        <v>0</v>
      </c>
      <c r="J3885" s="41"/>
      <c r="K3885" s="41">
        <v>43769</v>
      </c>
      <c r="L3885" s="69" t="s">
        <v>80</v>
      </c>
      <c r="M3885" s="69" t="s">
        <v>286</v>
      </c>
      <c r="N3885" s="95"/>
      <c r="P3885" t="s">
        <v>95</v>
      </c>
      <c r="Q3885" t="s">
        <v>120</v>
      </c>
      <c r="R3885" s="92" t="s">
        <v>69</v>
      </c>
      <c r="S3885" s="92" t="s">
        <v>395</v>
      </c>
      <c r="V3885" s="95">
        <v>43769</v>
      </c>
      <c r="W3885" s="92">
        <v>2033931</v>
      </c>
      <c r="X3885" s="90"/>
      <c r="Y3885" s="123"/>
      <c r="Z3885" s="30">
        <f t="shared" si="120"/>
        <v>6772.6006943194379</v>
      </c>
      <c r="AA3885" s="30">
        <f t="shared" si="121"/>
        <v>2116.4377169748245</v>
      </c>
      <c r="AB3885" t="s">
        <v>457</v>
      </c>
    </row>
    <row r="3886" spans="1:28">
      <c r="A3886" t="s">
        <v>122</v>
      </c>
      <c r="C3886" s="92">
        <v>4615519239</v>
      </c>
      <c r="D3886" s="93">
        <v>19200</v>
      </c>
      <c r="F3886" s="91">
        <v>16</v>
      </c>
      <c r="G3886" s="96">
        <v>5</v>
      </c>
      <c r="H3886" s="94">
        <v>0</v>
      </c>
      <c r="I3886" s="91">
        <v>0</v>
      </c>
      <c r="J3886" s="41"/>
      <c r="K3886" s="41">
        <v>43769</v>
      </c>
      <c r="L3886" s="69" t="s">
        <v>80</v>
      </c>
      <c r="M3886" s="69" t="s">
        <v>286</v>
      </c>
      <c r="N3886" s="95"/>
      <c r="P3886" t="s">
        <v>95</v>
      </c>
      <c r="Q3886" t="s">
        <v>120</v>
      </c>
      <c r="R3886" s="92" t="s">
        <v>69</v>
      </c>
      <c r="S3886" s="92" t="s">
        <v>395</v>
      </c>
      <c r="V3886" s="95">
        <v>43769</v>
      </c>
      <c r="W3886" s="92">
        <v>2033931</v>
      </c>
      <c r="X3886" s="90"/>
      <c r="Y3886" s="123"/>
      <c r="Z3886" s="30">
        <f t="shared" si="120"/>
        <v>6772.6006943194379</v>
      </c>
      <c r="AA3886" s="30">
        <f t="shared" si="121"/>
        <v>2116.4377169748245</v>
      </c>
      <c r="AB3886" t="s">
        <v>457</v>
      </c>
    </row>
    <row r="3887" spans="1:28">
      <c r="A3887" t="s">
        <v>122</v>
      </c>
      <c r="C3887" s="92">
        <v>4615519239</v>
      </c>
      <c r="D3887" s="93">
        <v>19200</v>
      </c>
      <c r="F3887" s="91">
        <v>16</v>
      </c>
      <c r="G3887" s="96">
        <v>5</v>
      </c>
      <c r="H3887" s="94">
        <v>0</v>
      </c>
      <c r="I3887" s="91">
        <v>0</v>
      </c>
      <c r="J3887" s="41"/>
      <c r="K3887" s="41">
        <v>43769</v>
      </c>
      <c r="L3887" s="69" t="s">
        <v>80</v>
      </c>
      <c r="M3887" s="69" t="s">
        <v>286</v>
      </c>
      <c r="N3887" s="95"/>
      <c r="P3887" t="s">
        <v>95</v>
      </c>
      <c r="Q3887" t="s">
        <v>120</v>
      </c>
      <c r="R3887" s="92" t="s">
        <v>69</v>
      </c>
      <c r="S3887" s="92" t="s">
        <v>395</v>
      </c>
      <c r="V3887" s="95">
        <v>43769</v>
      </c>
      <c r="W3887" s="92">
        <v>2033931</v>
      </c>
      <c r="X3887" s="90"/>
      <c r="Y3887" s="123"/>
      <c r="Z3887" s="30">
        <f t="shared" si="120"/>
        <v>6772.6006943194379</v>
      </c>
      <c r="AA3887" s="30">
        <f t="shared" si="121"/>
        <v>2116.4377169748245</v>
      </c>
      <c r="AB3887" t="s">
        <v>457</v>
      </c>
    </row>
    <row r="3888" spans="1:28">
      <c r="A3888" t="s">
        <v>118</v>
      </c>
      <c r="C3888" s="92">
        <v>4615517819</v>
      </c>
      <c r="D3888" s="93">
        <v>19175</v>
      </c>
      <c r="F3888" s="91">
        <v>16</v>
      </c>
      <c r="G3888" s="96">
        <v>5</v>
      </c>
      <c r="H3888" s="94">
        <v>0</v>
      </c>
      <c r="I3888" s="91">
        <v>0</v>
      </c>
      <c r="J3888" s="41"/>
      <c r="K3888" s="41">
        <v>43769</v>
      </c>
      <c r="L3888" s="69" t="s">
        <v>80</v>
      </c>
      <c r="M3888" s="69" t="s">
        <v>286</v>
      </c>
      <c r="N3888" s="95"/>
      <c r="P3888" t="s">
        <v>95</v>
      </c>
      <c r="Q3888" t="s">
        <v>120</v>
      </c>
      <c r="R3888" s="92" t="s">
        <v>69</v>
      </c>
      <c r="S3888" s="92" t="s">
        <v>396</v>
      </c>
      <c r="V3888" s="95">
        <v>43769</v>
      </c>
      <c r="W3888" s="92">
        <v>2033941</v>
      </c>
      <c r="X3888" s="90"/>
      <c r="Y3888" s="123"/>
      <c r="Z3888" s="30">
        <f t="shared" si="120"/>
        <v>6763.7822038320437</v>
      </c>
      <c r="AA3888" s="30">
        <f t="shared" si="121"/>
        <v>2113.6819386975139</v>
      </c>
      <c r="AB3888" t="s">
        <v>457</v>
      </c>
    </row>
    <row r="3889" spans="1:28">
      <c r="A3889" t="s">
        <v>118</v>
      </c>
      <c r="C3889" s="92">
        <v>4615517819</v>
      </c>
      <c r="D3889" s="93">
        <v>19175</v>
      </c>
      <c r="F3889" s="91">
        <v>16</v>
      </c>
      <c r="G3889" s="96">
        <v>5</v>
      </c>
      <c r="H3889" s="94">
        <v>0</v>
      </c>
      <c r="I3889" s="91">
        <v>0</v>
      </c>
      <c r="J3889" s="41"/>
      <c r="K3889" s="41">
        <v>43769</v>
      </c>
      <c r="L3889" s="69" t="s">
        <v>80</v>
      </c>
      <c r="M3889" s="69" t="s">
        <v>286</v>
      </c>
      <c r="N3889" s="95"/>
      <c r="P3889" t="s">
        <v>95</v>
      </c>
      <c r="Q3889" t="s">
        <v>120</v>
      </c>
      <c r="R3889" s="92" t="s">
        <v>69</v>
      </c>
      <c r="S3889" s="92" t="s">
        <v>396</v>
      </c>
      <c r="V3889" s="95">
        <v>43769</v>
      </c>
      <c r="W3889" s="92">
        <v>2033941</v>
      </c>
      <c r="X3889" s="90"/>
      <c r="Y3889" s="123"/>
      <c r="Z3889" s="30">
        <f t="shared" si="120"/>
        <v>6763.7822038320437</v>
      </c>
      <c r="AA3889" s="30">
        <f t="shared" si="121"/>
        <v>2113.6819386975139</v>
      </c>
      <c r="AB3889" t="s">
        <v>457</v>
      </c>
    </row>
    <row r="3890" spans="1:28">
      <c r="A3890" t="s">
        <v>118</v>
      </c>
      <c r="C3890" s="92">
        <v>4615517819</v>
      </c>
      <c r="D3890" s="93">
        <v>19175</v>
      </c>
      <c r="F3890" s="91">
        <v>16</v>
      </c>
      <c r="G3890" s="96">
        <v>5</v>
      </c>
      <c r="H3890" s="94">
        <v>0</v>
      </c>
      <c r="I3890" s="91">
        <v>0</v>
      </c>
      <c r="J3890" s="41"/>
      <c r="K3890" s="41">
        <v>43769</v>
      </c>
      <c r="L3890" s="69" t="s">
        <v>80</v>
      </c>
      <c r="M3890" s="69" t="s">
        <v>286</v>
      </c>
      <c r="N3890" s="95"/>
      <c r="P3890" t="s">
        <v>95</v>
      </c>
      <c r="Q3890" t="s">
        <v>120</v>
      </c>
      <c r="R3890" s="92" t="s">
        <v>69</v>
      </c>
      <c r="S3890" s="92" t="s">
        <v>396</v>
      </c>
      <c r="V3890" s="95">
        <v>43769</v>
      </c>
      <c r="W3890" s="92">
        <v>2033941</v>
      </c>
      <c r="X3890" s="90"/>
      <c r="Y3890" s="123"/>
      <c r="Z3890" s="30">
        <f t="shared" si="120"/>
        <v>6763.7822038320437</v>
      </c>
      <c r="AA3890" s="30">
        <f t="shared" si="121"/>
        <v>2113.6819386975139</v>
      </c>
      <c r="AB3890" t="s">
        <v>457</v>
      </c>
    </row>
    <row r="3891" spans="1:28">
      <c r="A3891" t="s">
        <v>118</v>
      </c>
      <c r="C3891" s="92">
        <v>4615517819</v>
      </c>
      <c r="D3891" s="93">
        <v>19175</v>
      </c>
      <c r="F3891" s="91">
        <v>16</v>
      </c>
      <c r="G3891" s="96">
        <v>5</v>
      </c>
      <c r="H3891" s="94">
        <v>0</v>
      </c>
      <c r="I3891" s="91">
        <v>0</v>
      </c>
      <c r="J3891" s="41"/>
      <c r="K3891" s="41">
        <v>43769</v>
      </c>
      <c r="L3891" s="69" t="s">
        <v>80</v>
      </c>
      <c r="M3891" s="69" t="s">
        <v>286</v>
      </c>
      <c r="N3891" s="95"/>
      <c r="P3891" t="s">
        <v>95</v>
      </c>
      <c r="Q3891" t="s">
        <v>120</v>
      </c>
      <c r="R3891" s="92" t="s">
        <v>69</v>
      </c>
      <c r="S3891" s="92" t="s">
        <v>396</v>
      </c>
      <c r="V3891" s="95">
        <v>43769</v>
      </c>
      <c r="W3891" s="92">
        <v>2033941</v>
      </c>
      <c r="X3891" s="90"/>
      <c r="Y3891" s="123"/>
      <c r="Z3891" s="30">
        <f t="shared" si="120"/>
        <v>6763.7822038320437</v>
      </c>
      <c r="AA3891" s="30">
        <f t="shared" si="121"/>
        <v>2113.6819386975139</v>
      </c>
      <c r="AB3891" t="s">
        <v>457</v>
      </c>
    </row>
    <row r="3892" spans="1:28">
      <c r="A3892" t="s">
        <v>118</v>
      </c>
      <c r="C3892" s="92">
        <v>4615517819</v>
      </c>
      <c r="D3892" s="93">
        <v>19175</v>
      </c>
      <c r="F3892" s="91">
        <v>16</v>
      </c>
      <c r="G3892" s="96">
        <v>5</v>
      </c>
      <c r="H3892" s="94">
        <v>0</v>
      </c>
      <c r="I3892" s="91">
        <v>0</v>
      </c>
      <c r="J3892" s="41"/>
      <c r="K3892" s="41">
        <v>43769</v>
      </c>
      <c r="L3892" s="69" t="s">
        <v>80</v>
      </c>
      <c r="M3892" s="69" t="s">
        <v>286</v>
      </c>
      <c r="N3892" s="95"/>
      <c r="P3892" t="s">
        <v>95</v>
      </c>
      <c r="Q3892" t="s">
        <v>120</v>
      </c>
      <c r="R3892" s="92" t="s">
        <v>69</v>
      </c>
      <c r="S3892" s="92" t="s">
        <v>396</v>
      </c>
      <c r="V3892" s="95">
        <v>43769</v>
      </c>
      <c r="W3892" s="92">
        <v>2033941</v>
      </c>
      <c r="X3892" s="90"/>
      <c r="Y3892" s="123"/>
      <c r="Z3892" s="30">
        <f t="shared" si="120"/>
        <v>6763.7822038320437</v>
      </c>
      <c r="AA3892" s="30">
        <f t="shared" si="121"/>
        <v>2113.6819386975139</v>
      </c>
      <c r="AB3892" t="s">
        <v>457</v>
      </c>
    </row>
    <row r="3893" spans="1:28">
      <c r="A3893" t="s">
        <v>118</v>
      </c>
      <c r="C3893" s="92">
        <v>4615517819</v>
      </c>
      <c r="D3893" s="93">
        <v>19175</v>
      </c>
      <c r="F3893" s="91">
        <v>16</v>
      </c>
      <c r="G3893" s="96">
        <v>5</v>
      </c>
      <c r="H3893" s="94">
        <v>0</v>
      </c>
      <c r="I3893" s="91">
        <v>0</v>
      </c>
      <c r="J3893" s="41"/>
      <c r="K3893" s="41">
        <v>43769</v>
      </c>
      <c r="L3893" s="69" t="s">
        <v>80</v>
      </c>
      <c r="M3893" s="69" t="s">
        <v>286</v>
      </c>
      <c r="N3893" s="95"/>
      <c r="P3893" t="s">
        <v>95</v>
      </c>
      <c r="Q3893" t="s">
        <v>120</v>
      </c>
      <c r="R3893" s="92" t="s">
        <v>69</v>
      </c>
      <c r="S3893" s="92" t="s">
        <v>396</v>
      </c>
      <c r="V3893" s="95">
        <v>43769</v>
      </c>
      <c r="W3893" s="92">
        <v>2033941</v>
      </c>
      <c r="X3893" s="90"/>
      <c r="Y3893" s="123"/>
      <c r="Z3893" s="30">
        <f t="shared" si="120"/>
        <v>6763.7822038320437</v>
      </c>
      <c r="AA3893" s="30">
        <f t="shared" si="121"/>
        <v>2113.6819386975139</v>
      </c>
      <c r="AB3893" t="s">
        <v>457</v>
      </c>
    </row>
    <row r="3894" spans="1:28">
      <c r="A3894" t="s">
        <v>122</v>
      </c>
      <c r="C3894" s="92">
        <v>4615519298</v>
      </c>
      <c r="D3894" s="93">
        <v>19200</v>
      </c>
      <c r="F3894" s="91">
        <v>16</v>
      </c>
      <c r="G3894" s="96">
        <v>5</v>
      </c>
      <c r="H3894" s="94">
        <v>0</v>
      </c>
      <c r="I3894" s="91">
        <v>0</v>
      </c>
      <c r="J3894" s="41"/>
      <c r="K3894" s="41">
        <v>43769</v>
      </c>
      <c r="L3894" s="69" t="s">
        <v>80</v>
      </c>
      <c r="M3894" s="69" t="s">
        <v>286</v>
      </c>
      <c r="N3894" s="95"/>
      <c r="P3894" t="s">
        <v>95</v>
      </c>
      <c r="Q3894" t="s">
        <v>120</v>
      </c>
      <c r="R3894" s="92" t="s">
        <v>69</v>
      </c>
      <c r="S3894" s="92" t="s">
        <v>397</v>
      </c>
      <c r="V3894" s="95">
        <v>43769</v>
      </c>
      <c r="W3894" s="92">
        <v>2033951</v>
      </c>
      <c r="X3894" s="90"/>
      <c r="Y3894" s="123"/>
      <c r="Z3894" s="30">
        <f t="shared" si="120"/>
        <v>6772.6006943194379</v>
      </c>
      <c r="AA3894" s="30">
        <f t="shared" si="121"/>
        <v>2116.4377169748245</v>
      </c>
      <c r="AB3894" t="s">
        <v>457</v>
      </c>
    </row>
    <row r="3895" spans="1:28">
      <c r="A3895" t="s">
        <v>122</v>
      </c>
      <c r="C3895" s="92">
        <v>4615519298</v>
      </c>
      <c r="D3895" s="93">
        <v>19200</v>
      </c>
      <c r="F3895" s="91">
        <v>16</v>
      </c>
      <c r="G3895" s="96">
        <v>5</v>
      </c>
      <c r="H3895" s="94">
        <v>0</v>
      </c>
      <c r="I3895" s="91">
        <v>0</v>
      </c>
      <c r="J3895" s="41"/>
      <c r="K3895" s="41">
        <v>43769</v>
      </c>
      <c r="L3895" s="69" t="s">
        <v>80</v>
      </c>
      <c r="M3895" s="69" t="s">
        <v>286</v>
      </c>
      <c r="N3895" s="95"/>
      <c r="P3895" t="s">
        <v>95</v>
      </c>
      <c r="Q3895" t="s">
        <v>120</v>
      </c>
      <c r="R3895" s="92" t="s">
        <v>69</v>
      </c>
      <c r="S3895" s="92" t="s">
        <v>397</v>
      </c>
      <c r="V3895" s="95">
        <v>43769</v>
      </c>
      <c r="W3895" s="92">
        <v>2033951</v>
      </c>
      <c r="X3895" s="90"/>
      <c r="Y3895" s="123"/>
      <c r="Z3895" s="30">
        <f t="shared" si="120"/>
        <v>6772.6006943194379</v>
      </c>
      <c r="AA3895" s="30">
        <f t="shared" si="121"/>
        <v>2116.4377169748245</v>
      </c>
      <c r="AB3895" t="s">
        <v>457</v>
      </c>
    </row>
    <row r="3896" spans="1:28">
      <c r="A3896" t="s">
        <v>122</v>
      </c>
      <c r="C3896" s="92">
        <v>4615519298</v>
      </c>
      <c r="D3896" s="93">
        <v>19200</v>
      </c>
      <c r="F3896" s="91">
        <v>16</v>
      </c>
      <c r="G3896" s="96">
        <v>5</v>
      </c>
      <c r="H3896" s="94">
        <v>0</v>
      </c>
      <c r="I3896" s="91">
        <v>0</v>
      </c>
      <c r="J3896" s="41"/>
      <c r="K3896" s="41">
        <v>43769</v>
      </c>
      <c r="L3896" s="69" t="s">
        <v>80</v>
      </c>
      <c r="M3896" s="69" t="s">
        <v>286</v>
      </c>
      <c r="N3896" s="95"/>
      <c r="P3896" t="s">
        <v>95</v>
      </c>
      <c r="Q3896" t="s">
        <v>120</v>
      </c>
      <c r="R3896" s="92" t="s">
        <v>69</v>
      </c>
      <c r="S3896" s="92" t="s">
        <v>397</v>
      </c>
      <c r="V3896" s="95">
        <v>43769</v>
      </c>
      <c r="W3896" s="92">
        <v>2033951</v>
      </c>
      <c r="X3896" s="90"/>
      <c r="Y3896" s="123"/>
      <c r="Z3896" s="30">
        <f t="shared" si="120"/>
        <v>6772.6006943194379</v>
      </c>
      <c r="AA3896" s="30">
        <f t="shared" si="121"/>
        <v>2116.4377169748245</v>
      </c>
      <c r="AB3896" t="s">
        <v>457</v>
      </c>
    </row>
    <row r="3897" spans="1:28">
      <c r="A3897" t="s">
        <v>122</v>
      </c>
      <c r="C3897" s="92">
        <v>4615519298</v>
      </c>
      <c r="D3897" s="93">
        <v>19200</v>
      </c>
      <c r="F3897" s="91">
        <v>16</v>
      </c>
      <c r="G3897" s="96">
        <v>5</v>
      </c>
      <c r="H3897" s="94">
        <v>0</v>
      </c>
      <c r="I3897" s="91">
        <v>0</v>
      </c>
      <c r="J3897" s="41"/>
      <c r="K3897" s="41">
        <v>43769</v>
      </c>
      <c r="L3897" s="69" t="s">
        <v>80</v>
      </c>
      <c r="M3897" s="69" t="s">
        <v>286</v>
      </c>
      <c r="N3897" s="95"/>
      <c r="P3897" t="s">
        <v>95</v>
      </c>
      <c r="Q3897" t="s">
        <v>120</v>
      </c>
      <c r="R3897" s="92" t="s">
        <v>69</v>
      </c>
      <c r="S3897" s="92" t="s">
        <v>397</v>
      </c>
      <c r="V3897" s="95">
        <v>43769</v>
      </c>
      <c r="W3897" s="92">
        <v>2033951</v>
      </c>
      <c r="X3897" s="90"/>
      <c r="Y3897" s="123"/>
      <c r="Z3897" s="30">
        <f t="shared" si="120"/>
        <v>6772.6006943194379</v>
      </c>
      <c r="AA3897" s="30">
        <f t="shared" si="121"/>
        <v>2116.4377169748245</v>
      </c>
      <c r="AB3897" t="s">
        <v>457</v>
      </c>
    </row>
    <row r="3898" spans="1:28">
      <c r="A3898" t="s">
        <v>122</v>
      </c>
      <c r="C3898" s="92">
        <v>4615519298</v>
      </c>
      <c r="D3898" s="93">
        <v>19200</v>
      </c>
      <c r="F3898" s="91">
        <v>16</v>
      </c>
      <c r="G3898" s="96">
        <v>5</v>
      </c>
      <c r="H3898" s="94">
        <v>0</v>
      </c>
      <c r="I3898" s="91">
        <v>0</v>
      </c>
      <c r="J3898" s="41"/>
      <c r="K3898" s="41">
        <v>43769</v>
      </c>
      <c r="L3898" s="69" t="s">
        <v>80</v>
      </c>
      <c r="M3898" s="69" t="s">
        <v>286</v>
      </c>
      <c r="N3898" s="95"/>
      <c r="P3898" t="s">
        <v>95</v>
      </c>
      <c r="Q3898" t="s">
        <v>120</v>
      </c>
      <c r="R3898" s="92" t="s">
        <v>69</v>
      </c>
      <c r="S3898" s="92" t="s">
        <v>397</v>
      </c>
      <c r="V3898" s="95">
        <v>43769</v>
      </c>
      <c r="W3898" s="92">
        <v>2033951</v>
      </c>
      <c r="X3898" s="90"/>
      <c r="Y3898" s="123"/>
      <c r="Z3898" s="30">
        <f t="shared" si="120"/>
        <v>6772.6006943194379</v>
      </c>
      <c r="AA3898" s="30">
        <f t="shared" si="121"/>
        <v>2116.4377169748245</v>
      </c>
      <c r="AB3898" t="s">
        <v>457</v>
      </c>
    </row>
    <row r="3899" spans="1:28">
      <c r="A3899" t="s">
        <v>122</v>
      </c>
      <c r="C3899" s="92">
        <v>4615519298</v>
      </c>
      <c r="D3899" s="93">
        <v>19200</v>
      </c>
      <c r="F3899" s="91">
        <v>16</v>
      </c>
      <c r="G3899" s="96">
        <v>5</v>
      </c>
      <c r="H3899" s="94">
        <v>0</v>
      </c>
      <c r="I3899" s="91">
        <v>0</v>
      </c>
      <c r="J3899" s="41"/>
      <c r="K3899" s="41">
        <v>43769</v>
      </c>
      <c r="L3899" s="69" t="s">
        <v>80</v>
      </c>
      <c r="M3899" s="69" t="s">
        <v>286</v>
      </c>
      <c r="N3899" s="95"/>
      <c r="P3899" t="s">
        <v>95</v>
      </c>
      <c r="Q3899" t="s">
        <v>120</v>
      </c>
      <c r="R3899" s="92" t="s">
        <v>69</v>
      </c>
      <c r="S3899" s="92" t="s">
        <v>397</v>
      </c>
      <c r="V3899" s="95">
        <v>43769</v>
      </c>
      <c r="W3899" s="92">
        <v>2033951</v>
      </c>
      <c r="X3899" s="90"/>
      <c r="Y3899" s="123"/>
      <c r="Z3899" s="30">
        <f t="shared" si="120"/>
        <v>6772.6006943194379</v>
      </c>
      <c r="AA3899" s="30">
        <f t="shared" si="121"/>
        <v>2116.4377169748245</v>
      </c>
      <c r="AB3899" t="s">
        <v>457</v>
      </c>
    </row>
    <row r="3900" spans="1:28">
      <c r="A3900" t="s">
        <v>122</v>
      </c>
      <c r="C3900" s="92">
        <v>4615519298</v>
      </c>
      <c r="D3900" s="93">
        <v>19200</v>
      </c>
      <c r="F3900" s="91">
        <v>16</v>
      </c>
      <c r="G3900" s="96">
        <v>5</v>
      </c>
      <c r="H3900" s="94">
        <v>0</v>
      </c>
      <c r="I3900" s="91">
        <v>0</v>
      </c>
      <c r="J3900" s="41"/>
      <c r="K3900" s="41">
        <v>43769</v>
      </c>
      <c r="L3900" s="69" t="s">
        <v>80</v>
      </c>
      <c r="M3900" s="69" t="s">
        <v>286</v>
      </c>
      <c r="N3900" s="95"/>
      <c r="P3900" t="s">
        <v>95</v>
      </c>
      <c r="Q3900" t="s">
        <v>120</v>
      </c>
      <c r="R3900" s="92" t="s">
        <v>69</v>
      </c>
      <c r="S3900" s="92" t="s">
        <v>397</v>
      </c>
      <c r="V3900" s="95">
        <v>43769</v>
      </c>
      <c r="W3900" s="92">
        <v>2033951</v>
      </c>
      <c r="X3900" s="90"/>
      <c r="Y3900" s="123"/>
      <c r="Z3900" s="30">
        <f t="shared" si="120"/>
        <v>6772.6006943194379</v>
      </c>
      <c r="AA3900" s="30">
        <f t="shared" si="121"/>
        <v>2116.4377169748245</v>
      </c>
      <c r="AB3900" t="s">
        <v>457</v>
      </c>
    </row>
    <row r="3901" spans="1:28">
      <c r="A3901" t="s">
        <v>122</v>
      </c>
      <c r="C3901" s="92">
        <v>4615519298</v>
      </c>
      <c r="D3901" s="93">
        <v>19200</v>
      </c>
      <c r="F3901" s="91">
        <v>16</v>
      </c>
      <c r="G3901" s="96">
        <v>5</v>
      </c>
      <c r="H3901" s="94">
        <v>0</v>
      </c>
      <c r="I3901" s="91">
        <v>0</v>
      </c>
      <c r="J3901" s="41"/>
      <c r="K3901" s="41">
        <v>43769</v>
      </c>
      <c r="L3901" s="69" t="s">
        <v>80</v>
      </c>
      <c r="M3901" s="69" t="s">
        <v>286</v>
      </c>
      <c r="N3901" s="95"/>
      <c r="P3901" t="s">
        <v>95</v>
      </c>
      <c r="Q3901" t="s">
        <v>120</v>
      </c>
      <c r="R3901" s="92" t="s">
        <v>69</v>
      </c>
      <c r="S3901" s="92" t="s">
        <v>397</v>
      </c>
      <c r="V3901" s="95">
        <v>43769</v>
      </c>
      <c r="W3901" s="92">
        <v>2033951</v>
      </c>
      <c r="X3901" s="90"/>
      <c r="Y3901" s="123"/>
      <c r="Z3901" s="30">
        <f t="shared" si="120"/>
        <v>6772.6006943194379</v>
      </c>
      <c r="AA3901" s="30">
        <f t="shared" si="121"/>
        <v>2116.4377169748245</v>
      </c>
      <c r="AB3901" t="s">
        <v>457</v>
      </c>
    </row>
    <row r="3902" spans="1:28">
      <c r="A3902" t="s">
        <v>122</v>
      </c>
      <c r="C3902" s="92">
        <v>4615519298</v>
      </c>
      <c r="D3902" s="93">
        <v>19200</v>
      </c>
      <c r="F3902" s="91">
        <v>16</v>
      </c>
      <c r="G3902" s="96">
        <v>5</v>
      </c>
      <c r="H3902" s="94">
        <v>0</v>
      </c>
      <c r="I3902" s="91">
        <v>0</v>
      </c>
      <c r="J3902" s="41"/>
      <c r="K3902" s="41">
        <v>43769</v>
      </c>
      <c r="L3902" s="69" t="s">
        <v>80</v>
      </c>
      <c r="M3902" s="69" t="s">
        <v>286</v>
      </c>
      <c r="N3902" s="95"/>
      <c r="P3902" t="s">
        <v>95</v>
      </c>
      <c r="Q3902" t="s">
        <v>120</v>
      </c>
      <c r="R3902" s="92" t="s">
        <v>69</v>
      </c>
      <c r="S3902" s="92" t="s">
        <v>397</v>
      </c>
      <c r="V3902" s="95">
        <v>43769</v>
      </c>
      <c r="W3902" s="92">
        <v>2033951</v>
      </c>
      <c r="X3902" s="90"/>
      <c r="Y3902" s="123"/>
      <c r="Z3902" s="30">
        <f t="shared" si="120"/>
        <v>6772.6006943194379</v>
      </c>
      <c r="AA3902" s="30">
        <f t="shared" si="121"/>
        <v>2116.4377169748245</v>
      </c>
      <c r="AB3902" t="s">
        <v>457</v>
      </c>
    </row>
    <row r="3903" spans="1:28">
      <c r="A3903" t="s">
        <v>122</v>
      </c>
      <c r="C3903" s="92">
        <v>4615519298</v>
      </c>
      <c r="D3903" s="93">
        <v>19200</v>
      </c>
      <c r="F3903" s="91">
        <v>16</v>
      </c>
      <c r="G3903" s="96">
        <v>5</v>
      </c>
      <c r="H3903" s="94">
        <v>0</v>
      </c>
      <c r="I3903" s="91">
        <v>0</v>
      </c>
      <c r="J3903" s="41"/>
      <c r="K3903" s="41">
        <v>43769</v>
      </c>
      <c r="L3903" s="69" t="s">
        <v>80</v>
      </c>
      <c r="M3903" s="69" t="s">
        <v>286</v>
      </c>
      <c r="N3903" s="95"/>
      <c r="P3903" t="s">
        <v>95</v>
      </c>
      <c r="Q3903" t="s">
        <v>120</v>
      </c>
      <c r="R3903" s="92" t="s">
        <v>69</v>
      </c>
      <c r="S3903" s="92" t="s">
        <v>397</v>
      </c>
      <c r="V3903" s="95">
        <v>43769</v>
      </c>
      <c r="W3903" s="92">
        <v>2033951</v>
      </c>
      <c r="X3903" s="90"/>
      <c r="Y3903" s="123"/>
      <c r="Z3903" s="30">
        <f t="shared" si="120"/>
        <v>6772.6006943194379</v>
      </c>
      <c r="AA3903" s="30">
        <f t="shared" si="121"/>
        <v>2116.4377169748245</v>
      </c>
      <c r="AB3903" t="s">
        <v>457</v>
      </c>
    </row>
    <row r="3904" spans="1:28">
      <c r="A3904" t="s">
        <v>122</v>
      </c>
      <c r="C3904" s="92">
        <v>4615517499</v>
      </c>
      <c r="D3904" s="93">
        <v>19200</v>
      </c>
      <c r="F3904" s="91">
        <v>16</v>
      </c>
      <c r="G3904" s="96">
        <v>5</v>
      </c>
      <c r="H3904" s="94">
        <v>0</v>
      </c>
      <c r="I3904" s="91">
        <v>0</v>
      </c>
      <c r="J3904" s="41"/>
      <c r="K3904" s="41">
        <v>43769</v>
      </c>
      <c r="L3904" s="69" t="s">
        <v>80</v>
      </c>
      <c r="M3904" s="69" t="s">
        <v>286</v>
      </c>
      <c r="N3904" s="95"/>
      <c r="P3904" t="s">
        <v>95</v>
      </c>
      <c r="Q3904" t="s">
        <v>120</v>
      </c>
      <c r="R3904" s="92" t="s">
        <v>69</v>
      </c>
      <c r="S3904" s="92" t="s">
        <v>293</v>
      </c>
      <c r="V3904" s="95">
        <v>43769</v>
      </c>
      <c r="W3904" s="92">
        <v>2033961</v>
      </c>
      <c r="X3904" s="90"/>
      <c r="Y3904" s="123"/>
      <c r="Z3904" s="30">
        <f t="shared" si="120"/>
        <v>6772.6006943194379</v>
      </c>
      <c r="AA3904" s="30">
        <f t="shared" si="121"/>
        <v>2116.4377169748245</v>
      </c>
      <c r="AB3904" t="s">
        <v>457</v>
      </c>
    </row>
    <row r="3905" spans="1:28">
      <c r="A3905" t="s">
        <v>122</v>
      </c>
      <c r="C3905" s="92">
        <v>4615517499</v>
      </c>
      <c r="D3905" s="93">
        <v>19200</v>
      </c>
      <c r="F3905" s="91">
        <v>16</v>
      </c>
      <c r="G3905" s="96">
        <v>5</v>
      </c>
      <c r="H3905" s="94">
        <v>0</v>
      </c>
      <c r="I3905" s="91">
        <v>0</v>
      </c>
      <c r="J3905" s="41"/>
      <c r="K3905" s="41">
        <v>43769</v>
      </c>
      <c r="L3905" s="69" t="s">
        <v>80</v>
      </c>
      <c r="M3905" s="69" t="s">
        <v>286</v>
      </c>
      <c r="N3905" s="95"/>
      <c r="P3905" t="s">
        <v>95</v>
      </c>
      <c r="Q3905" t="s">
        <v>120</v>
      </c>
      <c r="R3905" s="92" t="s">
        <v>69</v>
      </c>
      <c r="S3905" s="92" t="s">
        <v>293</v>
      </c>
      <c r="V3905" s="95">
        <v>43769</v>
      </c>
      <c r="W3905" s="92">
        <v>2033961</v>
      </c>
      <c r="X3905" s="90"/>
      <c r="Y3905" s="123"/>
      <c r="Z3905" s="30">
        <f t="shared" si="120"/>
        <v>6772.6006943194379</v>
      </c>
      <c r="AA3905" s="30">
        <f t="shared" si="121"/>
        <v>2116.4377169748245</v>
      </c>
      <c r="AB3905" t="s">
        <v>457</v>
      </c>
    </row>
    <row r="3906" spans="1:28">
      <c r="A3906" t="s">
        <v>122</v>
      </c>
      <c r="C3906" s="92">
        <v>4615517499</v>
      </c>
      <c r="D3906" s="93">
        <v>19200</v>
      </c>
      <c r="F3906" s="91">
        <v>16</v>
      </c>
      <c r="G3906" s="96">
        <v>5</v>
      </c>
      <c r="H3906" s="94">
        <v>0</v>
      </c>
      <c r="I3906" s="91">
        <v>0</v>
      </c>
      <c r="J3906" s="41"/>
      <c r="K3906" s="41">
        <v>43769</v>
      </c>
      <c r="L3906" s="69" t="s">
        <v>80</v>
      </c>
      <c r="M3906" s="69" t="s">
        <v>286</v>
      </c>
      <c r="N3906" s="95"/>
      <c r="P3906" t="s">
        <v>95</v>
      </c>
      <c r="Q3906" t="s">
        <v>120</v>
      </c>
      <c r="R3906" s="92" t="s">
        <v>69</v>
      </c>
      <c r="S3906" s="92" t="s">
        <v>293</v>
      </c>
      <c r="V3906" s="95">
        <v>43769</v>
      </c>
      <c r="W3906" s="92">
        <v>2033961</v>
      </c>
      <c r="X3906" s="90"/>
      <c r="Y3906" s="123"/>
      <c r="Z3906" s="30">
        <f t="shared" si="120"/>
        <v>6772.6006943194379</v>
      </c>
      <c r="AA3906" s="30">
        <f t="shared" si="121"/>
        <v>2116.4377169748245</v>
      </c>
      <c r="AB3906" t="s">
        <v>457</v>
      </c>
    </row>
    <row r="3907" spans="1:28">
      <c r="A3907" t="s">
        <v>122</v>
      </c>
      <c r="C3907" s="92">
        <v>4615517499</v>
      </c>
      <c r="D3907" s="93">
        <v>19200</v>
      </c>
      <c r="F3907" s="91">
        <v>16</v>
      </c>
      <c r="G3907" s="96">
        <v>5</v>
      </c>
      <c r="H3907" s="94">
        <v>0</v>
      </c>
      <c r="I3907" s="91">
        <v>0</v>
      </c>
      <c r="J3907" s="41"/>
      <c r="K3907" s="41">
        <v>43769</v>
      </c>
      <c r="L3907" s="69" t="s">
        <v>80</v>
      </c>
      <c r="M3907" s="69" t="s">
        <v>286</v>
      </c>
      <c r="N3907" s="95"/>
      <c r="P3907" t="s">
        <v>95</v>
      </c>
      <c r="Q3907" t="s">
        <v>120</v>
      </c>
      <c r="R3907" s="92" t="s">
        <v>69</v>
      </c>
      <c r="S3907" s="92" t="s">
        <v>293</v>
      </c>
      <c r="V3907" s="95">
        <v>43769</v>
      </c>
      <c r="W3907" s="92">
        <v>2033961</v>
      </c>
      <c r="X3907" s="90"/>
      <c r="Y3907" s="123"/>
      <c r="Z3907" s="30">
        <f t="shared" ref="Z3907:Z3944" si="122">CONVERT(D3907,"kg","lbm")*F3907/100</f>
        <v>6772.6006943194379</v>
      </c>
      <c r="AA3907" s="30">
        <f t="shared" ref="AA3907:AA3944" si="123">CONVERT(D3907,"kg","lbm")*G3907/100</f>
        <v>2116.4377169748245</v>
      </c>
      <c r="AB3907" t="s">
        <v>457</v>
      </c>
    </row>
    <row r="3908" spans="1:28">
      <c r="A3908" t="s">
        <v>113</v>
      </c>
      <c r="C3908" s="92">
        <v>4615507826</v>
      </c>
      <c r="D3908" s="93">
        <v>19175</v>
      </c>
      <c r="F3908" s="91">
        <v>16</v>
      </c>
      <c r="G3908" s="91">
        <v>0</v>
      </c>
      <c r="H3908" s="91">
        <v>0</v>
      </c>
      <c r="I3908" s="91">
        <v>0</v>
      </c>
      <c r="J3908" s="41"/>
      <c r="K3908" s="41">
        <v>43769</v>
      </c>
      <c r="L3908" s="69" t="s">
        <v>80</v>
      </c>
      <c r="M3908" s="69" t="s">
        <v>286</v>
      </c>
      <c r="N3908" s="95"/>
      <c r="P3908" t="s">
        <v>95</v>
      </c>
      <c r="Q3908" t="s">
        <v>110</v>
      </c>
      <c r="R3908" s="92" t="s">
        <v>69</v>
      </c>
      <c r="S3908" s="92" t="s">
        <v>115</v>
      </c>
      <c r="V3908" s="95">
        <v>43769</v>
      </c>
      <c r="W3908" s="92" t="s">
        <v>422</v>
      </c>
      <c r="X3908" s="90"/>
      <c r="Y3908" s="123"/>
      <c r="Z3908" s="30">
        <f t="shared" si="122"/>
        <v>6763.7822038320437</v>
      </c>
      <c r="AA3908" s="30">
        <f t="shared" si="123"/>
        <v>0</v>
      </c>
      <c r="AB3908" t="s">
        <v>457</v>
      </c>
    </row>
    <row r="3909" spans="1:28">
      <c r="A3909" t="s">
        <v>113</v>
      </c>
      <c r="C3909" s="92">
        <v>4615507826</v>
      </c>
      <c r="D3909" s="93">
        <v>19175</v>
      </c>
      <c r="F3909" s="91">
        <v>16</v>
      </c>
      <c r="G3909" s="91">
        <v>0</v>
      </c>
      <c r="H3909" s="91">
        <v>0</v>
      </c>
      <c r="I3909" s="91">
        <v>0</v>
      </c>
      <c r="J3909" s="41"/>
      <c r="K3909" s="41">
        <v>43769</v>
      </c>
      <c r="L3909" s="69" t="s">
        <v>80</v>
      </c>
      <c r="M3909" s="69" t="s">
        <v>286</v>
      </c>
      <c r="N3909" s="95"/>
      <c r="P3909" t="s">
        <v>95</v>
      </c>
      <c r="Q3909" t="s">
        <v>110</v>
      </c>
      <c r="R3909" s="92" t="s">
        <v>69</v>
      </c>
      <c r="S3909" s="92" t="s">
        <v>115</v>
      </c>
      <c r="V3909" s="95">
        <v>43769</v>
      </c>
      <c r="W3909" s="92" t="s">
        <v>422</v>
      </c>
      <c r="X3909" s="90"/>
      <c r="Y3909" s="123"/>
      <c r="Z3909" s="30">
        <f t="shared" si="122"/>
        <v>6763.7822038320437</v>
      </c>
      <c r="AA3909" s="30">
        <f t="shared" si="123"/>
        <v>0</v>
      </c>
      <c r="AB3909" t="s">
        <v>457</v>
      </c>
    </row>
    <row r="3910" spans="1:28">
      <c r="A3910" t="s">
        <v>113</v>
      </c>
      <c r="C3910" s="92">
        <v>4615507826</v>
      </c>
      <c r="D3910" s="93">
        <v>19175</v>
      </c>
      <c r="F3910" s="91">
        <v>16</v>
      </c>
      <c r="G3910" s="91">
        <v>0</v>
      </c>
      <c r="H3910" s="91">
        <v>0</v>
      </c>
      <c r="I3910" s="91">
        <v>0</v>
      </c>
      <c r="J3910" s="41"/>
      <c r="K3910" s="41">
        <v>43769</v>
      </c>
      <c r="L3910" s="69" t="s">
        <v>80</v>
      </c>
      <c r="M3910" s="69" t="s">
        <v>286</v>
      </c>
      <c r="N3910" s="95"/>
      <c r="P3910" t="s">
        <v>95</v>
      </c>
      <c r="Q3910" t="s">
        <v>110</v>
      </c>
      <c r="R3910" s="92" t="s">
        <v>69</v>
      </c>
      <c r="S3910" s="92" t="s">
        <v>115</v>
      </c>
      <c r="V3910" s="95">
        <v>43769</v>
      </c>
      <c r="W3910" s="92" t="s">
        <v>422</v>
      </c>
      <c r="X3910" s="90"/>
      <c r="Y3910" s="123"/>
      <c r="Z3910" s="30">
        <f t="shared" si="122"/>
        <v>6763.7822038320437</v>
      </c>
      <c r="AA3910" s="30">
        <f t="shared" si="123"/>
        <v>0</v>
      </c>
      <c r="AB3910" t="s">
        <v>457</v>
      </c>
    </row>
    <row r="3911" spans="1:28">
      <c r="A3911" t="s">
        <v>113</v>
      </c>
      <c r="C3911" s="92">
        <v>4615507826</v>
      </c>
      <c r="D3911" s="93">
        <v>19175</v>
      </c>
      <c r="F3911" s="91">
        <v>16</v>
      </c>
      <c r="G3911" s="91">
        <v>0</v>
      </c>
      <c r="H3911" s="91">
        <v>0</v>
      </c>
      <c r="I3911" s="91">
        <v>0</v>
      </c>
      <c r="J3911" s="41"/>
      <c r="K3911" s="41">
        <v>43769</v>
      </c>
      <c r="L3911" s="69" t="s">
        <v>80</v>
      </c>
      <c r="M3911" s="69" t="s">
        <v>286</v>
      </c>
      <c r="N3911" s="95"/>
      <c r="P3911" t="s">
        <v>95</v>
      </c>
      <c r="Q3911" t="s">
        <v>110</v>
      </c>
      <c r="R3911" s="92" t="s">
        <v>69</v>
      </c>
      <c r="S3911" s="92" t="s">
        <v>115</v>
      </c>
      <c r="V3911" s="95">
        <v>43769</v>
      </c>
      <c r="W3911" s="92" t="s">
        <v>422</v>
      </c>
      <c r="X3911" s="90"/>
      <c r="Y3911" s="123"/>
      <c r="Z3911" s="30">
        <f t="shared" si="122"/>
        <v>6763.7822038320437</v>
      </c>
      <c r="AA3911" s="30">
        <f t="shared" si="123"/>
        <v>0</v>
      </c>
      <c r="AB3911" t="s">
        <v>457</v>
      </c>
    </row>
    <row r="3912" spans="1:28">
      <c r="A3912" t="s">
        <v>113</v>
      </c>
      <c r="C3912" s="92">
        <v>4615507826</v>
      </c>
      <c r="D3912" s="93">
        <v>19175</v>
      </c>
      <c r="F3912" s="91">
        <v>16</v>
      </c>
      <c r="G3912" s="91">
        <v>0</v>
      </c>
      <c r="H3912" s="91">
        <v>0</v>
      </c>
      <c r="I3912" s="91">
        <v>0</v>
      </c>
      <c r="J3912" s="41"/>
      <c r="K3912" s="41">
        <v>43769</v>
      </c>
      <c r="L3912" s="69" t="s">
        <v>80</v>
      </c>
      <c r="M3912" s="69" t="s">
        <v>286</v>
      </c>
      <c r="N3912" s="95"/>
      <c r="P3912" t="s">
        <v>95</v>
      </c>
      <c r="Q3912" t="s">
        <v>110</v>
      </c>
      <c r="R3912" s="92" t="s">
        <v>69</v>
      </c>
      <c r="S3912" s="92" t="s">
        <v>115</v>
      </c>
      <c r="V3912" s="95">
        <v>43769</v>
      </c>
      <c r="W3912" s="92" t="s">
        <v>422</v>
      </c>
      <c r="X3912" s="90"/>
      <c r="Y3912" s="123"/>
      <c r="Z3912" s="30">
        <f t="shared" si="122"/>
        <v>6763.7822038320437</v>
      </c>
      <c r="AA3912" s="30">
        <f t="shared" si="123"/>
        <v>0</v>
      </c>
      <c r="AB3912" t="s">
        <v>457</v>
      </c>
    </row>
    <row r="3913" spans="1:28">
      <c r="A3913" t="s">
        <v>113</v>
      </c>
      <c r="C3913" s="92">
        <v>4615507826</v>
      </c>
      <c r="D3913" s="93">
        <v>19175</v>
      </c>
      <c r="F3913" s="91">
        <v>16</v>
      </c>
      <c r="G3913" s="91">
        <v>0</v>
      </c>
      <c r="H3913" s="91">
        <v>0</v>
      </c>
      <c r="I3913" s="91">
        <v>0</v>
      </c>
      <c r="J3913" s="41"/>
      <c r="K3913" s="41">
        <v>43769</v>
      </c>
      <c r="L3913" s="69" t="s">
        <v>80</v>
      </c>
      <c r="M3913" s="69" t="s">
        <v>286</v>
      </c>
      <c r="N3913" s="95"/>
      <c r="P3913" t="s">
        <v>95</v>
      </c>
      <c r="Q3913" t="s">
        <v>110</v>
      </c>
      <c r="R3913" s="92" t="s">
        <v>69</v>
      </c>
      <c r="S3913" s="92" t="s">
        <v>115</v>
      </c>
      <c r="V3913" s="95">
        <v>43769</v>
      </c>
      <c r="W3913" s="92" t="s">
        <v>422</v>
      </c>
      <c r="X3913" s="90"/>
      <c r="Y3913" s="123"/>
      <c r="Z3913" s="30">
        <f t="shared" si="122"/>
        <v>6763.7822038320437</v>
      </c>
      <c r="AA3913" s="30">
        <f t="shared" si="123"/>
        <v>0</v>
      </c>
      <c r="AB3913" t="s">
        <v>457</v>
      </c>
    </row>
    <row r="3914" spans="1:28">
      <c r="A3914" t="s">
        <v>113</v>
      </c>
      <c r="C3914" s="92">
        <v>4615507826</v>
      </c>
      <c r="D3914" s="93">
        <v>19175</v>
      </c>
      <c r="F3914" s="91">
        <v>16</v>
      </c>
      <c r="G3914" s="91">
        <v>0</v>
      </c>
      <c r="H3914" s="91">
        <v>0</v>
      </c>
      <c r="I3914" s="91">
        <v>0</v>
      </c>
      <c r="J3914" s="41"/>
      <c r="K3914" s="41">
        <v>43769</v>
      </c>
      <c r="L3914" s="69" t="s">
        <v>80</v>
      </c>
      <c r="M3914" s="69" t="s">
        <v>286</v>
      </c>
      <c r="N3914" s="95"/>
      <c r="P3914" t="s">
        <v>95</v>
      </c>
      <c r="Q3914" t="s">
        <v>110</v>
      </c>
      <c r="R3914" s="92" t="s">
        <v>69</v>
      </c>
      <c r="S3914" s="92" t="s">
        <v>115</v>
      </c>
      <c r="V3914" s="95">
        <v>43769</v>
      </c>
      <c r="W3914" s="92" t="s">
        <v>422</v>
      </c>
      <c r="X3914" s="90"/>
      <c r="Y3914" s="123"/>
      <c r="Z3914" s="30">
        <f t="shared" si="122"/>
        <v>6763.7822038320437</v>
      </c>
      <c r="AA3914" s="30">
        <f t="shared" si="123"/>
        <v>0</v>
      </c>
      <c r="AB3914" t="s">
        <v>457</v>
      </c>
    </row>
    <row r="3915" spans="1:28">
      <c r="A3915" t="s">
        <v>113</v>
      </c>
      <c r="C3915" s="92">
        <v>4615507826</v>
      </c>
      <c r="D3915" s="93">
        <v>19175</v>
      </c>
      <c r="F3915" s="91">
        <v>16</v>
      </c>
      <c r="G3915" s="91">
        <v>0</v>
      </c>
      <c r="H3915" s="91">
        <v>0</v>
      </c>
      <c r="I3915" s="91">
        <v>0</v>
      </c>
      <c r="J3915" s="41"/>
      <c r="K3915" s="41">
        <v>43769</v>
      </c>
      <c r="L3915" s="69" t="s">
        <v>80</v>
      </c>
      <c r="M3915" s="69" t="s">
        <v>286</v>
      </c>
      <c r="N3915" s="95"/>
      <c r="P3915" t="s">
        <v>95</v>
      </c>
      <c r="Q3915" t="s">
        <v>110</v>
      </c>
      <c r="R3915" s="92" t="s">
        <v>69</v>
      </c>
      <c r="S3915" s="92" t="s">
        <v>115</v>
      </c>
      <c r="V3915" s="95">
        <v>43769</v>
      </c>
      <c r="W3915" s="92" t="s">
        <v>422</v>
      </c>
      <c r="X3915" s="90"/>
      <c r="Y3915" s="123"/>
      <c r="Z3915" s="30">
        <f t="shared" si="122"/>
        <v>6763.7822038320437</v>
      </c>
      <c r="AA3915" s="30">
        <f t="shared" si="123"/>
        <v>0</v>
      </c>
      <c r="AB3915" t="s">
        <v>457</v>
      </c>
    </row>
    <row r="3916" spans="1:28">
      <c r="A3916" t="s">
        <v>113</v>
      </c>
      <c r="C3916" s="92">
        <v>4615507826</v>
      </c>
      <c r="D3916" s="93">
        <v>19175</v>
      </c>
      <c r="F3916" s="91">
        <v>16</v>
      </c>
      <c r="G3916" s="91">
        <v>0</v>
      </c>
      <c r="H3916" s="91">
        <v>0</v>
      </c>
      <c r="I3916" s="91">
        <v>0</v>
      </c>
      <c r="J3916" s="41"/>
      <c r="K3916" s="41">
        <v>43769</v>
      </c>
      <c r="L3916" s="69" t="s">
        <v>80</v>
      </c>
      <c r="M3916" s="69" t="s">
        <v>286</v>
      </c>
      <c r="N3916" s="95"/>
      <c r="P3916" t="s">
        <v>95</v>
      </c>
      <c r="Q3916" t="s">
        <v>110</v>
      </c>
      <c r="R3916" s="92" t="s">
        <v>69</v>
      </c>
      <c r="S3916" s="92" t="s">
        <v>115</v>
      </c>
      <c r="V3916" s="95">
        <v>43769</v>
      </c>
      <c r="W3916" s="92" t="s">
        <v>422</v>
      </c>
      <c r="X3916" s="90"/>
      <c r="Y3916" s="123"/>
      <c r="Z3916" s="30">
        <f t="shared" si="122"/>
        <v>6763.7822038320437</v>
      </c>
      <c r="AA3916" s="30">
        <f t="shared" si="123"/>
        <v>0</v>
      </c>
      <c r="AB3916" t="s">
        <v>457</v>
      </c>
    </row>
    <row r="3917" spans="1:28">
      <c r="A3917" t="s">
        <v>113</v>
      </c>
      <c r="C3917" s="92">
        <v>4615507826</v>
      </c>
      <c r="D3917" s="93">
        <v>19175</v>
      </c>
      <c r="F3917" s="91">
        <v>16</v>
      </c>
      <c r="G3917" s="91">
        <v>0</v>
      </c>
      <c r="H3917" s="91">
        <v>0</v>
      </c>
      <c r="I3917" s="91">
        <v>0</v>
      </c>
      <c r="J3917" s="41"/>
      <c r="K3917" s="41">
        <v>43769</v>
      </c>
      <c r="L3917" s="69" t="s">
        <v>80</v>
      </c>
      <c r="M3917" s="69" t="s">
        <v>286</v>
      </c>
      <c r="N3917" s="95"/>
      <c r="P3917" t="s">
        <v>95</v>
      </c>
      <c r="Q3917" t="s">
        <v>110</v>
      </c>
      <c r="R3917" s="92" t="s">
        <v>69</v>
      </c>
      <c r="S3917" s="92" t="s">
        <v>115</v>
      </c>
      <c r="V3917" s="95">
        <v>43769</v>
      </c>
      <c r="W3917" s="92" t="s">
        <v>422</v>
      </c>
      <c r="X3917" s="90"/>
      <c r="Y3917" s="123"/>
      <c r="Z3917" s="30">
        <f t="shared" si="122"/>
        <v>6763.7822038320437</v>
      </c>
      <c r="AA3917" s="30">
        <f t="shared" si="123"/>
        <v>0</v>
      </c>
      <c r="AB3917" t="s">
        <v>457</v>
      </c>
    </row>
    <row r="3918" spans="1:28">
      <c r="A3918" t="s">
        <v>113</v>
      </c>
      <c r="C3918" s="92">
        <v>4615507826</v>
      </c>
      <c r="D3918" s="93">
        <v>19175</v>
      </c>
      <c r="F3918" s="91">
        <v>16</v>
      </c>
      <c r="G3918" s="91">
        <v>0</v>
      </c>
      <c r="H3918" s="91">
        <v>0</v>
      </c>
      <c r="I3918" s="91">
        <v>0</v>
      </c>
      <c r="J3918" s="41"/>
      <c r="K3918" s="41">
        <v>43769</v>
      </c>
      <c r="L3918" s="69" t="s">
        <v>80</v>
      </c>
      <c r="M3918" s="69" t="s">
        <v>286</v>
      </c>
      <c r="N3918" s="95"/>
      <c r="P3918" t="s">
        <v>95</v>
      </c>
      <c r="Q3918" t="s">
        <v>110</v>
      </c>
      <c r="R3918" s="92" t="s">
        <v>69</v>
      </c>
      <c r="S3918" s="92" t="s">
        <v>115</v>
      </c>
      <c r="V3918" s="95">
        <v>43769</v>
      </c>
      <c r="W3918" s="92" t="s">
        <v>422</v>
      </c>
      <c r="X3918" s="90"/>
      <c r="Y3918" s="123"/>
      <c r="Z3918" s="30">
        <f t="shared" si="122"/>
        <v>6763.7822038320437</v>
      </c>
      <c r="AA3918" s="30">
        <f t="shared" si="123"/>
        <v>0</v>
      </c>
      <c r="AB3918" t="s">
        <v>457</v>
      </c>
    </row>
    <row r="3919" spans="1:28">
      <c r="A3919" t="s">
        <v>113</v>
      </c>
      <c r="C3919" s="92">
        <v>4615507826</v>
      </c>
      <c r="D3919" s="93">
        <v>19175</v>
      </c>
      <c r="F3919" s="91">
        <v>16</v>
      </c>
      <c r="G3919" s="91">
        <v>0</v>
      </c>
      <c r="H3919" s="91">
        <v>0</v>
      </c>
      <c r="I3919" s="91">
        <v>0</v>
      </c>
      <c r="J3919" s="41"/>
      <c r="K3919" s="41">
        <v>43769</v>
      </c>
      <c r="L3919" s="69" t="s">
        <v>80</v>
      </c>
      <c r="M3919" s="69" t="s">
        <v>286</v>
      </c>
      <c r="N3919" s="95"/>
      <c r="P3919" t="s">
        <v>95</v>
      </c>
      <c r="Q3919" t="s">
        <v>110</v>
      </c>
      <c r="R3919" s="92" t="s">
        <v>69</v>
      </c>
      <c r="S3919" s="92" t="s">
        <v>115</v>
      </c>
      <c r="V3919" s="95">
        <v>43769</v>
      </c>
      <c r="W3919" s="92" t="s">
        <v>422</v>
      </c>
      <c r="X3919" s="90"/>
      <c r="Y3919" s="123"/>
      <c r="Z3919" s="30">
        <f t="shared" si="122"/>
        <v>6763.7822038320437</v>
      </c>
      <c r="AA3919" s="30">
        <f t="shared" si="123"/>
        <v>0</v>
      </c>
      <c r="AB3919" t="s">
        <v>457</v>
      </c>
    </row>
    <row r="3920" spans="1:28">
      <c r="A3920" t="s">
        <v>113</v>
      </c>
      <c r="C3920" s="92">
        <v>4615507826</v>
      </c>
      <c r="D3920" s="93">
        <v>19175</v>
      </c>
      <c r="F3920" s="91">
        <v>16</v>
      </c>
      <c r="G3920" s="91">
        <v>0</v>
      </c>
      <c r="H3920" s="91">
        <v>0</v>
      </c>
      <c r="I3920" s="91">
        <v>0</v>
      </c>
      <c r="J3920" s="41"/>
      <c r="K3920" s="41">
        <v>43769</v>
      </c>
      <c r="L3920" s="69" t="s">
        <v>80</v>
      </c>
      <c r="M3920" s="69" t="s">
        <v>286</v>
      </c>
      <c r="N3920" s="95"/>
      <c r="P3920" t="s">
        <v>95</v>
      </c>
      <c r="Q3920" t="s">
        <v>110</v>
      </c>
      <c r="R3920" s="92" t="s">
        <v>69</v>
      </c>
      <c r="S3920" s="92" t="s">
        <v>115</v>
      </c>
      <c r="V3920" s="95">
        <v>43769</v>
      </c>
      <c r="W3920" s="92" t="s">
        <v>422</v>
      </c>
      <c r="X3920" s="90"/>
      <c r="Y3920" s="123"/>
      <c r="Z3920" s="30">
        <f t="shared" si="122"/>
        <v>6763.7822038320437</v>
      </c>
      <c r="AA3920" s="30">
        <f t="shared" si="123"/>
        <v>0</v>
      </c>
      <c r="AB3920" t="s">
        <v>457</v>
      </c>
    </row>
    <row r="3921" spans="1:28">
      <c r="A3921" t="s">
        <v>113</v>
      </c>
      <c r="C3921" s="92">
        <v>4615507826</v>
      </c>
      <c r="D3921" s="93">
        <v>19175</v>
      </c>
      <c r="F3921" s="91">
        <v>16</v>
      </c>
      <c r="G3921" s="91">
        <v>0</v>
      </c>
      <c r="H3921" s="91">
        <v>0</v>
      </c>
      <c r="I3921" s="91">
        <v>0</v>
      </c>
      <c r="J3921" s="41"/>
      <c r="K3921" s="41">
        <v>43769</v>
      </c>
      <c r="L3921" s="69" t="s">
        <v>80</v>
      </c>
      <c r="M3921" s="69" t="s">
        <v>286</v>
      </c>
      <c r="N3921" s="95"/>
      <c r="P3921" t="s">
        <v>95</v>
      </c>
      <c r="Q3921" t="s">
        <v>110</v>
      </c>
      <c r="R3921" s="92" t="s">
        <v>69</v>
      </c>
      <c r="S3921" s="92" t="s">
        <v>115</v>
      </c>
      <c r="V3921" s="95">
        <v>43769</v>
      </c>
      <c r="W3921" s="92" t="s">
        <v>422</v>
      </c>
      <c r="X3921" s="90"/>
      <c r="Y3921" s="123"/>
      <c r="Z3921" s="30">
        <f t="shared" si="122"/>
        <v>6763.7822038320437</v>
      </c>
      <c r="AA3921" s="30">
        <f t="shared" si="123"/>
        <v>0</v>
      </c>
      <c r="AB3921" t="s">
        <v>457</v>
      </c>
    </row>
    <row r="3922" spans="1:28">
      <c r="A3922" t="s">
        <v>113</v>
      </c>
      <c r="C3922" s="92">
        <v>4615507826</v>
      </c>
      <c r="D3922" s="93">
        <v>19175</v>
      </c>
      <c r="F3922" s="91">
        <v>16</v>
      </c>
      <c r="G3922" s="91">
        <v>0</v>
      </c>
      <c r="H3922" s="91">
        <v>0</v>
      </c>
      <c r="I3922" s="91">
        <v>0</v>
      </c>
      <c r="J3922" s="41"/>
      <c r="K3922" s="41">
        <v>43769</v>
      </c>
      <c r="L3922" s="69" t="s">
        <v>80</v>
      </c>
      <c r="M3922" s="69" t="s">
        <v>286</v>
      </c>
      <c r="N3922" s="95"/>
      <c r="P3922" t="s">
        <v>95</v>
      </c>
      <c r="Q3922" t="s">
        <v>110</v>
      </c>
      <c r="R3922" s="92" t="s">
        <v>69</v>
      </c>
      <c r="S3922" s="92" t="s">
        <v>115</v>
      </c>
      <c r="V3922" s="95">
        <v>43769</v>
      </c>
      <c r="W3922" s="92" t="s">
        <v>422</v>
      </c>
      <c r="X3922" s="90"/>
      <c r="Y3922" s="123"/>
      <c r="Z3922" s="30">
        <f t="shared" si="122"/>
        <v>6763.7822038320437</v>
      </c>
      <c r="AA3922" s="30">
        <f t="shared" si="123"/>
        <v>0</v>
      </c>
      <c r="AB3922" t="s">
        <v>457</v>
      </c>
    </row>
    <row r="3923" spans="1:28">
      <c r="A3923" t="s">
        <v>113</v>
      </c>
      <c r="C3923" s="92">
        <v>4615507826</v>
      </c>
      <c r="D3923" s="93">
        <v>19175</v>
      </c>
      <c r="F3923" s="91">
        <v>16</v>
      </c>
      <c r="G3923" s="91">
        <v>0</v>
      </c>
      <c r="H3923" s="91">
        <v>0</v>
      </c>
      <c r="I3923" s="91">
        <v>0</v>
      </c>
      <c r="J3923" s="41"/>
      <c r="K3923" s="41">
        <v>43769</v>
      </c>
      <c r="L3923" s="69" t="s">
        <v>80</v>
      </c>
      <c r="M3923" s="69" t="s">
        <v>286</v>
      </c>
      <c r="N3923" s="95"/>
      <c r="P3923" t="s">
        <v>95</v>
      </c>
      <c r="Q3923" t="s">
        <v>110</v>
      </c>
      <c r="R3923" s="92" t="s">
        <v>69</v>
      </c>
      <c r="S3923" s="92" t="s">
        <v>115</v>
      </c>
      <c r="V3923" s="95">
        <v>43769</v>
      </c>
      <c r="W3923" s="92" t="s">
        <v>422</v>
      </c>
      <c r="X3923" s="90"/>
      <c r="Y3923" s="123"/>
      <c r="Z3923" s="30">
        <f t="shared" si="122"/>
        <v>6763.7822038320437</v>
      </c>
      <c r="AA3923" s="30">
        <f t="shared" si="123"/>
        <v>0</v>
      </c>
      <c r="AB3923" t="s">
        <v>457</v>
      </c>
    </row>
    <row r="3924" spans="1:28">
      <c r="A3924" t="s">
        <v>113</v>
      </c>
      <c r="C3924" s="92">
        <v>4615507826</v>
      </c>
      <c r="D3924" s="93">
        <v>19175</v>
      </c>
      <c r="F3924" s="91">
        <v>16</v>
      </c>
      <c r="G3924" s="91">
        <v>0</v>
      </c>
      <c r="H3924" s="91">
        <v>0</v>
      </c>
      <c r="I3924" s="91">
        <v>0</v>
      </c>
      <c r="J3924" s="41"/>
      <c r="K3924" s="41">
        <v>43769</v>
      </c>
      <c r="L3924" s="69" t="s">
        <v>80</v>
      </c>
      <c r="M3924" s="69" t="s">
        <v>286</v>
      </c>
      <c r="N3924" s="95"/>
      <c r="P3924" t="s">
        <v>95</v>
      </c>
      <c r="Q3924" t="s">
        <v>110</v>
      </c>
      <c r="R3924" s="92" t="s">
        <v>69</v>
      </c>
      <c r="S3924" s="92" t="s">
        <v>115</v>
      </c>
      <c r="V3924" s="95">
        <v>43769</v>
      </c>
      <c r="W3924" s="92" t="s">
        <v>422</v>
      </c>
      <c r="X3924" s="90"/>
      <c r="Y3924" s="123"/>
      <c r="Z3924" s="30">
        <f t="shared" si="122"/>
        <v>6763.7822038320437</v>
      </c>
      <c r="AA3924" s="30">
        <f t="shared" si="123"/>
        <v>0</v>
      </c>
      <c r="AB3924" t="s">
        <v>457</v>
      </c>
    </row>
    <row r="3925" spans="1:28">
      <c r="A3925" t="s">
        <v>113</v>
      </c>
      <c r="C3925" s="92">
        <v>4615507826</v>
      </c>
      <c r="D3925" s="93">
        <v>19175</v>
      </c>
      <c r="F3925" s="91">
        <v>16</v>
      </c>
      <c r="G3925" s="91">
        <v>0</v>
      </c>
      <c r="H3925" s="91">
        <v>0</v>
      </c>
      <c r="I3925" s="91">
        <v>0</v>
      </c>
      <c r="J3925" s="41"/>
      <c r="K3925" s="41">
        <v>43769</v>
      </c>
      <c r="L3925" s="69" t="s">
        <v>80</v>
      </c>
      <c r="M3925" s="69" t="s">
        <v>286</v>
      </c>
      <c r="N3925" s="95"/>
      <c r="P3925" t="s">
        <v>95</v>
      </c>
      <c r="Q3925" t="s">
        <v>110</v>
      </c>
      <c r="R3925" s="92" t="s">
        <v>69</v>
      </c>
      <c r="S3925" s="92" t="s">
        <v>115</v>
      </c>
      <c r="V3925" s="95">
        <v>43769</v>
      </c>
      <c r="W3925" s="92" t="s">
        <v>422</v>
      </c>
      <c r="X3925" s="90"/>
      <c r="Y3925" s="123"/>
      <c r="Z3925" s="30">
        <f t="shared" si="122"/>
        <v>6763.7822038320437</v>
      </c>
      <c r="AA3925" s="30">
        <f t="shared" si="123"/>
        <v>0</v>
      </c>
      <c r="AB3925" t="s">
        <v>457</v>
      </c>
    </row>
    <row r="3926" spans="1:28">
      <c r="A3926" t="s">
        <v>113</v>
      </c>
      <c r="C3926" s="92">
        <v>4615507826</v>
      </c>
      <c r="D3926" s="93">
        <v>19175</v>
      </c>
      <c r="F3926" s="91">
        <v>16</v>
      </c>
      <c r="G3926" s="91">
        <v>0</v>
      </c>
      <c r="H3926" s="91">
        <v>0</v>
      </c>
      <c r="I3926" s="91">
        <v>0</v>
      </c>
      <c r="J3926" s="41"/>
      <c r="K3926" s="41">
        <v>43769</v>
      </c>
      <c r="L3926" s="69" t="s">
        <v>80</v>
      </c>
      <c r="M3926" s="69" t="s">
        <v>286</v>
      </c>
      <c r="N3926" s="95"/>
      <c r="P3926" t="s">
        <v>95</v>
      </c>
      <c r="Q3926" t="s">
        <v>110</v>
      </c>
      <c r="R3926" s="92" t="s">
        <v>69</v>
      </c>
      <c r="S3926" s="92" t="s">
        <v>115</v>
      </c>
      <c r="V3926" s="95">
        <v>43769</v>
      </c>
      <c r="W3926" s="92" t="s">
        <v>422</v>
      </c>
      <c r="X3926" s="90"/>
      <c r="Y3926" s="123"/>
      <c r="Z3926" s="30">
        <f t="shared" si="122"/>
        <v>6763.7822038320437</v>
      </c>
      <c r="AA3926" s="30">
        <f t="shared" si="123"/>
        <v>0</v>
      </c>
      <c r="AB3926" t="s">
        <v>457</v>
      </c>
    </row>
    <row r="3927" spans="1:28">
      <c r="A3927" t="s">
        <v>113</v>
      </c>
      <c r="C3927" s="92">
        <v>4615507826</v>
      </c>
      <c r="D3927" s="93">
        <v>19175</v>
      </c>
      <c r="F3927" s="91">
        <v>16</v>
      </c>
      <c r="G3927" s="91">
        <v>0</v>
      </c>
      <c r="H3927" s="91">
        <v>0</v>
      </c>
      <c r="I3927" s="91">
        <v>0</v>
      </c>
      <c r="J3927" s="41"/>
      <c r="K3927" s="41">
        <v>43769</v>
      </c>
      <c r="L3927" s="69" t="s">
        <v>80</v>
      </c>
      <c r="M3927" s="69" t="s">
        <v>286</v>
      </c>
      <c r="N3927" s="95"/>
      <c r="P3927" t="s">
        <v>95</v>
      </c>
      <c r="Q3927" t="s">
        <v>110</v>
      </c>
      <c r="R3927" s="92" t="s">
        <v>69</v>
      </c>
      <c r="S3927" s="92" t="s">
        <v>115</v>
      </c>
      <c r="V3927" s="95">
        <v>43769</v>
      </c>
      <c r="W3927" s="92" t="s">
        <v>422</v>
      </c>
      <c r="X3927" s="90"/>
      <c r="Y3927" s="123"/>
      <c r="Z3927" s="30">
        <f t="shared" si="122"/>
        <v>6763.7822038320437</v>
      </c>
      <c r="AA3927" s="30">
        <f t="shared" si="123"/>
        <v>0</v>
      </c>
      <c r="AB3927" t="s">
        <v>457</v>
      </c>
    </row>
    <row r="3928" spans="1:28">
      <c r="A3928" t="s">
        <v>113</v>
      </c>
      <c r="C3928" s="92">
        <v>4615507826</v>
      </c>
      <c r="D3928" s="93">
        <v>19175</v>
      </c>
      <c r="F3928" s="91">
        <v>16</v>
      </c>
      <c r="G3928" s="91">
        <v>0</v>
      </c>
      <c r="H3928" s="91">
        <v>0</v>
      </c>
      <c r="I3928" s="91">
        <v>0</v>
      </c>
      <c r="J3928" s="41"/>
      <c r="K3928" s="41">
        <v>43769</v>
      </c>
      <c r="L3928" s="69" t="s">
        <v>80</v>
      </c>
      <c r="M3928" s="69" t="s">
        <v>286</v>
      </c>
      <c r="N3928" s="95"/>
      <c r="P3928" t="s">
        <v>95</v>
      </c>
      <c r="Q3928" t="s">
        <v>110</v>
      </c>
      <c r="R3928" s="92" t="s">
        <v>69</v>
      </c>
      <c r="S3928" s="92" t="s">
        <v>115</v>
      </c>
      <c r="V3928" s="95">
        <v>43769</v>
      </c>
      <c r="W3928" s="92" t="s">
        <v>422</v>
      </c>
      <c r="X3928" s="90"/>
      <c r="Y3928" s="123"/>
      <c r="Z3928" s="30">
        <f t="shared" si="122"/>
        <v>6763.7822038320437</v>
      </c>
      <c r="AA3928" s="30">
        <f t="shared" si="123"/>
        <v>0</v>
      </c>
      <c r="AB3928" t="s">
        <v>457</v>
      </c>
    </row>
    <row r="3929" spans="1:28">
      <c r="A3929" t="s">
        <v>113</v>
      </c>
      <c r="C3929" s="92">
        <v>4615507826</v>
      </c>
      <c r="D3929" s="93">
        <v>19175</v>
      </c>
      <c r="F3929" s="91">
        <v>16</v>
      </c>
      <c r="G3929" s="91">
        <v>0</v>
      </c>
      <c r="H3929" s="91">
        <v>0</v>
      </c>
      <c r="I3929" s="91">
        <v>0</v>
      </c>
      <c r="J3929" s="41"/>
      <c r="K3929" s="41">
        <v>43769</v>
      </c>
      <c r="L3929" s="69" t="s">
        <v>80</v>
      </c>
      <c r="M3929" s="69" t="s">
        <v>286</v>
      </c>
      <c r="N3929" s="95"/>
      <c r="P3929" t="s">
        <v>95</v>
      </c>
      <c r="Q3929" t="s">
        <v>110</v>
      </c>
      <c r="R3929" s="92" t="s">
        <v>69</v>
      </c>
      <c r="S3929" s="92" t="s">
        <v>115</v>
      </c>
      <c r="V3929" s="95">
        <v>43769</v>
      </c>
      <c r="W3929" s="92" t="s">
        <v>422</v>
      </c>
      <c r="X3929" s="90"/>
      <c r="Y3929" s="123"/>
      <c r="Z3929" s="30">
        <f t="shared" si="122"/>
        <v>6763.7822038320437</v>
      </c>
      <c r="AA3929" s="30">
        <f t="shared" si="123"/>
        <v>0</v>
      </c>
      <c r="AB3929" t="s">
        <v>457</v>
      </c>
    </row>
    <row r="3930" spans="1:28">
      <c r="A3930" t="s">
        <v>113</v>
      </c>
      <c r="C3930" s="92">
        <v>4615507826</v>
      </c>
      <c r="D3930" s="93">
        <v>19175</v>
      </c>
      <c r="F3930" s="91">
        <v>16</v>
      </c>
      <c r="G3930" s="91">
        <v>0</v>
      </c>
      <c r="H3930" s="91">
        <v>0</v>
      </c>
      <c r="I3930" s="91">
        <v>0</v>
      </c>
      <c r="J3930" s="41"/>
      <c r="K3930" s="41">
        <v>43769</v>
      </c>
      <c r="L3930" s="69" t="s">
        <v>80</v>
      </c>
      <c r="M3930" s="69" t="s">
        <v>286</v>
      </c>
      <c r="N3930" s="95"/>
      <c r="P3930" t="s">
        <v>95</v>
      </c>
      <c r="Q3930" t="s">
        <v>110</v>
      </c>
      <c r="R3930" s="92" t="s">
        <v>69</v>
      </c>
      <c r="S3930" s="92" t="s">
        <v>115</v>
      </c>
      <c r="V3930" s="95">
        <v>43769</v>
      </c>
      <c r="W3930" s="92" t="s">
        <v>422</v>
      </c>
      <c r="X3930" s="90"/>
      <c r="Y3930" s="123"/>
      <c r="Z3930" s="30">
        <f t="shared" si="122"/>
        <v>6763.7822038320437</v>
      </c>
      <c r="AA3930" s="30">
        <f t="shared" si="123"/>
        <v>0</v>
      </c>
      <c r="AB3930" t="s">
        <v>457</v>
      </c>
    </row>
    <row r="3931" spans="1:28">
      <c r="A3931" t="s">
        <v>113</v>
      </c>
      <c r="C3931" s="92">
        <v>4615512040</v>
      </c>
      <c r="D3931" s="93">
        <v>19175</v>
      </c>
      <c r="F3931" s="91">
        <v>16</v>
      </c>
      <c r="G3931" s="91">
        <v>5</v>
      </c>
      <c r="H3931" s="91">
        <v>0</v>
      </c>
      <c r="I3931" s="91">
        <v>0</v>
      </c>
      <c r="J3931" s="41"/>
      <c r="K3931" s="41">
        <v>43769</v>
      </c>
      <c r="L3931" s="69" t="s">
        <v>80</v>
      </c>
      <c r="M3931" s="69" t="s">
        <v>286</v>
      </c>
      <c r="N3931" s="95"/>
      <c r="P3931" t="s">
        <v>95</v>
      </c>
      <c r="Q3931" t="s">
        <v>110</v>
      </c>
      <c r="R3931" s="92" t="s">
        <v>69</v>
      </c>
      <c r="S3931" s="92" t="s">
        <v>115</v>
      </c>
      <c r="V3931" s="95">
        <v>43769</v>
      </c>
      <c r="W3931" s="92" t="s">
        <v>423</v>
      </c>
      <c r="X3931" s="90"/>
      <c r="Y3931" s="123"/>
      <c r="Z3931" s="30">
        <f t="shared" si="122"/>
        <v>6763.7822038320437</v>
      </c>
      <c r="AA3931" s="30">
        <f t="shared" si="123"/>
        <v>2113.6819386975139</v>
      </c>
      <c r="AB3931" t="s">
        <v>457</v>
      </c>
    </row>
    <row r="3932" spans="1:28">
      <c r="A3932" t="s">
        <v>113</v>
      </c>
      <c r="C3932" s="92">
        <v>4615512040</v>
      </c>
      <c r="D3932" s="93">
        <v>19175</v>
      </c>
      <c r="F3932" s="91">
        <v>16</v>
      </c>
      <c r="G3932" s="91">
        <v>5</v>
      </c>
      <c r="H3932" s="91">
        <v>0</v>
      </c>
      <c r="I3932" s="91">
        <v>0</v>
      </c>
      <c r="J3932" s="41"/>
      <c r="K3932" s="41">
        <v>43769</v>
      </c>
      <c r="L3932" s="69" t="s">
        <v>80</v>
      </c>
      <c r="M3932" s="69" t="s">
        <v>286</v>
      </c>
      <c r="N3932" s="95"/>
      <c r="P3932" t="s">
        <v>95</v>
      </c>
      <c r="Q3932" t="s">
        <v>110</v>
      </c>
      <c r="R3932" s="92" t="s">
        <v>69</v>
      </c>
      <c r="S3932" s="92" t="s">
        <v>115</v>
      </c>
      <c r="V3932" s="95">
        <v>43769</v>
      </c>
      <c r="W3932" s="92" t="s">
        <v>423</v>
      </c>
      <c r="X3932" s="90"/>
      <c r="Y3932" s="123"/>
      <c r="Z3932" s="30">
        <f t="shared" si="122"/>
        <v>6763.7822038320437</v>
      </c>
      <c r="AA3932" s="30">
        <f t="shared" si="123"/>
        <v>2113.6819386975139</v>
      </c>
      <c r="AB3932" t="s">
        <v>457</v>
      </c>
    </row>
    <row r="3933" spans="1:28">
      <c r="A3933" t="s">
        <v>113</v>
      </c>
      <c r="C3933" s="92">
        <v>4615512040</v>
      </c>
      <c r="D3933" s="93">
        <v>19175</v>
      </c>
      <c r="F3933" s="91">
        <v>16</v>
      </c>
      <c r="G3933" s="91">
        <v>5</v>
      </c>
      <c r="H3933" s="91">
        <v>0</v>
      </c>
      <c r="I3933" s="91">
        <v>0</v>
      </c>
      <c r="J3933" s="41"/>
      <c r="K3933" s="41">
        <v>43769</v>
      </c>
      <c r="L3933" s="69" t="s">
        <v>80</v>
      </c>
      <c r="M3933" s="69" t="s">
        <v>286</v>
      </c>
      <c r="N3933" s="95"/>
      <c r="P3933" t="s">
        <v>95</v>
      </c>
      <c r="Q3933" t="s">
        <v>110</v>
      </c>
      <c r="R3933" s="92" t="s">
        <v>69</v>
      </c>
      <c r="S3933" s="92" t="s">
        <v>115</v>
      </c>
      <c r="V3933" s="95">
        <v>43769</v>
      </c>
      <c r="W3933" s="92" t="s">
        <v>423</v>
      </c>
      <c r="X3933" s="90"/>
      <c r="Y3933" s="123"/>
      <c r="Z3933" s="30">
        <f t="shared" si="122"/>
        <v>6763.7822038320437</v>
      </c>
      <c r="AA3933" s="30">
        <f t="shared" si="123"/>
        <v>2113.6819386975139</v>
      </c>
      <c r="AB3933" t="s">
        <v>457</v>
      </c>
    </row>
    <row r="3934" spans="1:28">
      <c r="A3934" t="s">
        <v>113</v>
      </c>
      <c r="C3934" s="92">
        <v>4615512040</v>
      </c>
      <c r="D3934" s="93">
        <v>19175</v>
      </c>
      <c r="F3934" s="91">
        <v>16</v>
      </c>
      <c r="G3934" s="91">
        <v>5</v>
      </c>
      <c r="H3934" s="91">
        <v>0</v>
      </c>
      <c r="I3934" s="91">
        <v>0</v>
      </c>
      <c r="J3934" s="41"/>
      <c r="K3934" s="41">
        <v>43769</v>
      </c>
      <c r="L3934" s="69" t="s">
        <v>80</v>
      </c>
      <c r="M3934" s="69" t="s">
        <v>286</v>
      </c>
      <c r="N3934" s="95"/>
      <c r="P3934" t="s">
        <v>95</v>
      </c>
      <c r="Q3934" t="s">
        <v>110</v>
      </c>
      <c r="R3934" s="92" t="s">
        <v>69</v>
      </c>
      <c r="S3934" s="92" t="s">
        <v>115</v>
      </c>
      <c r="V3934" s="95">
        <v>43769</v>
      </c>
      <c r="W3934" s="92" t="s">
        <v>423</v>
      </c>
      <c r="X3934" s="90"/>
      <c r="Y3934" s="123"/>
      <c r="Z3934" s="30">
        <f t="shared" si="122"/>
        <v>6763.7822038320437</v>
      </c>
      <c r="AA3934" s="30">
        <f t="shared" si="123"/>
        <v>2113.6819386975139</v>
      </c>
      <c r="AB3934" t="s">
        <v>457</v>
      </c>
    </row>
    <row r="3935" spans="1:28">
      <c r="A3935" t="s">
        <v>113</v>
      </c>
      <c r="C3935" s="92">
        <v>4615512040</v>
      </c>
      <c r="D3935" s="93">
        <v>19175</v>
      </c>
      <c r="F3935" s="91">
        <v>16</v>
      </c>
      <c r="G3935" s="91">
        <v>5</v>
      </c>
      <c r="H3935" s="91">
        <v>0</v>
      </c>
      <c r="I3935" s="91">
        <v>0</v>
      </c>
      <c r="J3935" s="41"/>
      <c r="K3935" s="41">
        <v>43769</v>
      </c>
      <c r="L3935" s="69" t="s">
        <v>80</v>
      </c>
      <c r="M3935" s="69" t="s">
        <v>286</v>
      </c>
      <c r="N3935" s="95"/>
      <c r="P3935" t="s">
        <v>95</v>
      </c>
      <c r="Q3935" t="s">
        <v>110</v>
      </c>
      <c r="R3935" s="92" t="s">
        <v>69</v>
      </c>
      <c r="S3935" s="92" t="s">
        <v>115</v>
      </c>
      <c r="V3935" s="95">
        <v>43769</v>
      </c>
      <c r="W3935" s="92" t="s">
        <v>423</v>
      </c>
      <c r="X3935" s="90"/>
      <c r="Y3935" s="123"/>
      <c r="Z3935" s="30">
        <f t="shared" si="122"/>
        <v>6763.7822038320437</v>
      </c>
      <c r="AA3935" s="30">
        <f t="shared" si="123"/>
        <v>2113.6819386975139</v>
      </c>
      <c r="AB3935" t="s">
        <v>457</v>
      </c>
    </row>
    <row r="3936" spans="1:28">
      <c r="A3936" t="s">
        <v>113</v>
      </c>
      <c r="C3936" s="92">
        <v>4615512040</v>
      </c>
      <c r="D3936" s="93">
        <v>19175</v>
      </c>
      <c r="F3936" s="91">
        <v>16</v>
      </c>
      <c r="G3936" s="91">
        <v>5</v>
      </c>
      <c r="H3936" s="91">
        <v>0</v>
      </c>
      <c r="I3936" s="91">
        <v>0</v>
      </c>
      <c r="J3936" s="41"/>
      <c r="K3936" s="41">
        <v>43769</v>
      </c>
      <c r="L3936" s="69" t="s">
        <v>80</v>
      </c>
      <c r="M3936" s="69" t="s">
        <v>286</v>
      </c>
      <c r="N3936" s="95"/>
      <c r="P3936" t="s">
        <v>95</v>
      </c>
      <c r="Q3936" t="s">
        <v>110</v>
      </c>
      <c r="R3936" s="92" t="s">
        <v>69</v>
      </c>
      <c r="S3936" s="92" t="s">
        <v>115</v>
      </c>
      <c r="V3936" s="95">
        <v>43769</v>
      </c>
      <c r="W3936" s="92" t="s">
        <v>423</v>
      </c>
      <c r="X3936" s="90"/>
      <c r="Y3936" s="123"/>
      <c r="Z3936" s="30">
        <f t="shared" si="122"/>
        <v>6763.7822038320437</v>
      </c>
      <c r="AA3936" s="30">
        <f t="shared" si="123"/>
        <v>2113.6819386975139</v>
      </c>
      <c r="AB3936" t="s">
        <v>457</v>
      </c>
    </row>
    <row r="3937" spans="1:28">
      <c r="A3937" t="s">
        <v>113</v>
      </c>
      <c r="C3937" s="92">
        <v>4615512040</v>
      </c>
      <c r="D3937" s="93">
        <v>19175</v>
      </c>
      <c r="F3937" s="91">
        <v>16</v>
      </c>
      <c r="G3937" s="91">
        <v>5</v>
      </c>
      <c r="H3937" s="91">
        <v>0</v>
      </c>
      <c r="I3937" s="91">
        <v>0</v>
      </c>
      <c r="J3937" s="41"/>
      <c r="K3937" s="41">
        <v>43769</v>
      </c>
      <c r="L3937" s="69" t="s">
        <v>80</v>
      </c>
      <c r="M3937" s="69" t="s">
        <v>286</v>
      </c>
      <c r="N3937" s="95"/>
      <c r="P3937" t="s">
        <v>95</v>
      </c>
      <c r="Q3937" t="s">
        <v>110</v>
      </c>
      <c r="R3937" s="92" t="s">
        <v>69</v>
      </c>
      <c r="S3937" s="92" t="s">
        <v>115</v>
      </c>
      <c r="V3937" s="95">
        <v>43769</v>
      </c>
      <c r="W3937" s="92" t="s">
        <v>423</v>
      </c>
      <c r="X3937" s="90"/>
      <c r="Y3937" s="123"/>
      <c r="Z3937" s="30">
        <f t="shared" si="122"/>
        <v>6763.7822038320437</v>
      </c>
      <c r="AA3937" s="30">
        <f t="shared" si="123"/>
        <v>2113.6819386975139</v>
      </c>
      <c r="AB3937" t="s">
        <v>457</v>
      </c>
    </row>
    <row r="3938" spans="1:28">
      <c r="A3938" t="s">
        <v>113</v>
      </c>
      <c r="C3938" s="92">
        <v>4615512040</v>
      </c>
      <c r="D3938" s="93">
        <v>19175</v>
      </c>
      <c r="F3938" s="91">
        <v>16</v>
      </c>
      <c r="G3938" s="91">
        <v>5</v>
      </c>
      <c r="H3938" s="91">
        <v>0</v>
      </c>
      <c r="I3938" s="91">
        <v>0</v>
      </c>
      <c r="J3938" s="41"/>
      <c r="K3938" s="41">
        <v>43769</v>
      </c>
      <c r="L3938" s="69" t="s">
        <v>80</v>
      </c>
      <c r="M3938" s="69" t="s">
        <v>286</v>
      </c>
      <c r="N3938" s="95"/>
      <c r="P3938" t="s">
        <v>95</v>
      </c>
      <c r="Q3938" t="s">
        <v>110</v>
      </c>
      <c r="R3938" s="92" t="s">
        <v>69</v>
      </c>
      <c r="S3938" s="92" t="s">
        <v>115</v>
      </c>
      <c r="V3938" s="95">
        <v>43769</v>
      </c>
      <c r="W3938" s="92" t="s">
        <v>423</v>
      </c>
      <c r="X3938" s="90"/>
      <c r="Y3938" s="123"/>
      <c r="Z3938" s="30">
        <f t="shared" si="122"/>
        <v>6763.7822038320437</v>
      </c>
      <c r="AA3938" s="30">
        <f t="shared" si="123"/>
        <v>2113.6819386975139</v>
      </c>
      <c r="AB3938" t="s">
        <v>457</v>
      </c>
    </row>
    <row r="3939" spans="1:28">
      <c r="A3939" t="s">
        <v>113</v>
      </c>
      <c r="C3939" s="92">
        <v>4615512040</v>
      </c>
      <c r="D3939" s="93">
        <v>19175</v>
      </c>
      <c r="F3939" s="91">
        <v>16</v>
      </c>
      <c r="G3939" s="91">
        <v>5</v>
      </c>
      <c r="H3939" s="91">
        <v>0</v>
      </c>
      <c r="I3939" s="91">
        <v>0</v>
      </c>
      <c r="J3939" s="41"/>
      <c r="K3939" s="41">
        <v>43769</v>
      </c>
      <c r="L3939" s="69" t="s">
        <v>80</v>
      </c>
      <c r="M3939" s="69" t="s">
        <v>286</v>
      </c>
      <c r="N3939" s="95"/>
      <c r="P3939" t="s">
        <v>95</v>
      </c>
      <c r="Q3939" t="s">
        <v>110</v>
      </c>
      <c r="R3939" s="92" t="s">
        <v>69</v>
      </c>
      <c r="S3939" s="92" t="s">
        <v>115</v>
      </c>
      <c r="V3939" s="95">
        <v>43769</v>
      </c>
      <c r="W3939" s="92" t="s">
        <v>423</v>
      </c>
      <c r="X3939" s="90"/>
      <c r="Y3939" s="123"/>
      <c r="Z3939" s="30">
        <f t="shared" si="122"/>
        <v>6763.7822038320437</v>
      </c>
      <c r="AA3939" s="30">
        <f t="shared" si="123"/>
        <v>2113.6819386975139</v>
      </c>
      <c r="AB3939" t="s">
        <v>457</v>
      </c>
    </row>
    <row r="3940" spans="1:28">
      <c r="A3940" t="s">
        <v>113</v>
      </c>
      <c r="C3940" s="92">
        <v>4615512040</v>
      </c>
      <c r="D3940" s="93">
        <v>19175</v>
      </c>
      <c r="F3940" s="91">
        <v>16</v>
      </c>
      <c r="G3940" s="91">
        <v>5</v>
      </c>
      <c r="H3940" s="91">
        <v>0</v>
      </c>
      <c r="I3940" s="91">
        <v>0</v>
      </c>
      <c r="J3940" s="41"/>
      <c r="K3940" s="41">
        <v>43769</v>
      </c>
      <c r="L3940" s="69" t="s">
        <v>80</v>
      </c>
      <c r="M3940" s="69" t="s">
        <v>286</v>
      </c>
      <c r="N3940" s="95"/>
      <c r="P3940" t="s">
        <v>95</v>
      </c>
      <c r="Q3940" t="s">
        <v>110</v>
      </c>
      <c r="R3940" s="92" t="s">
        <v>69</v>
      </c>
      <c r="S3940" s="92" t="s">
        <v>115</v>
      </c>
      <c r="V3940" s="95">
        <v>43769</v>
      </c>
      <c r="W3940" s="92" t="s">
        <v>423</v>
      </c>
      <c r="X3940" s="90"/>
      <c r="Y3940" s="123"/>
      <c r="Z3940" s="30">
        <f t="shared" si="122"/>
        <v>6763.7822038320437</v>
      </c>
      <c r="AA3940" s="30">
        <f t="shared" si="123"/>
        <v>2113.6819386975139</v>
      </c>
      <c r="AB3940" t="s">
        <v>457</v>
      </c>
    </row>
    <row r="3941" spans="1:28">
      <c r="A3941" t="s">
        <v>118</v>
      </c>
      <c r="C3941" s="92">
        <v>4615412048</v>
      </c>
      <c r="D3941" s="93">
        <v>19200</v>
      </c>
      <c r="F3941" s="91">
        <v>10</v>
      </c>
      <c r="G3941" s="96">
        <v>5</v>
      </c>
      <c r="H3941" s="107">
        <v>0</v>
      </c>
      <c r="I3941" s="91">
        <v>0</v>
      </c>
      <c r="J3941" s="41"/>
      <c r="K3941" s="41">
        <v>43799</v>
      </c>
      <c r="L3941" s="69" t="s">
        <v>80</v>
      </c>
      <c r="M3941" s="69" t="s">
        <v>286</v>
      </c>
      <c r="N3941" s="98"/>
      <c r="P3941" t="s">
        <v>95</v>
      </c>
      <c r="Q3941" t="s">
        <v>120</v>
      </c>
      <c r="R3941" s="92" t="s">
        <v>69</v>
      </c>
      <c r="S3941" s="92" t="s">
        <v>121</v>
      </c>
      <c r="V3941" s="95">
        <v>43799</v>
      </c>
      <c r="W3941" s="92">
        <v>2025031</v>
      </c>
      <c r="X3941" s="90"/>
      <c r="Y3941" s="123"/>
      <c r="Z3941" s="30">
        <f t="shared" si="122"/>
        <v>4232.8754339496491</v>
      </c>
      <c r="AA3941" s="30">
        <f t="shared" si="123"/>
        <v>2116.4377169748245</v>
      </c>
      <c r="AB3941" t="s">
        <v>457</v>
      </c>
    </row>
    <row r="3942" spans="1:28">
      <c r="A3942" t="s">
        <v>118</v>
      </c>
      <c r="C3942" s="92">
        <v>4615412048</v>
      </c>
      <c r="D3942" s="93">
        <v>19200</v>
      </c>
      <c r="F3942" s="91">
        <v>10</v>
      </c>
      <c r="G3942" s="96">
        <v>5</v>
      </c>
      <c r="H3942" s="107">
        <v>0</v>
      </c>
      <c r="I3942" s="91">
        <v>0</v>
      </c>
      <c r="J3942" s="41"/>
      <c r="K3942" s="41">
        <v>43799</v>
      </c>
      <c r="L3942" s="69" t="s">
        <v>80</v>
      </c>
      <c r="M3942" s="69" t="s">
        <v>286</v>
      </c>
      <c r="N3942" s="98"/>
      <c r="P3942" t="s">
        <v>95</v>
      </c>
      <c r="Q3942" t="s">
        <v>120</v>
      </c>
      <c r="R3942" s="92" t="s">
        <v>69</v>
      </c>
      <c r="S3942" s="92" t="s">
        <v>121</v>
      </c>
      <c r="V3942" s="95">
        <v>43799</v>
      </c>
      <c r="W3942" s="92">
        <v>2025031</v>
      </c>
      <c r="X3942" s="90"/>
      <c r="Y3942" s="123"/>
      <c r="Z3942" s="30">
        <f t="shared" si="122"/>
        <v>4232.8754339496491</v>
      </c>
      <c r="AA3942" s="30">
        <f t="shared" si="123"/>
        <v>2116.4377169748245</v>
      </c>
      <c r="AB3942" t="s">
        <v>457</v>
      </c>
    </row>
    <row r="3943" spans="1:28">
      <c r="A3943" t="s">
        <v>118</v>
      </c>
      <c r="C3943" s="92">
        <v>4615412048</v>
      </c>
      <c r="D3943" s="93">
        <v>19200</v>
      </c>
      <c r="F3943" s="91">
        <v>10</v>
      </c>
      <c r="G3943" s="96">
        <v>5</v>
      </c>
      <c r="H3943" s="107">
        <v>0</v>
      </c>
      <c r="I3943" s="91">
        <v>0</v>
      </c>
      <c r="J3943" s="41"/>
      <c r="K3943" s="41">
        <v>43799</v>
      </c>
      <c r="L3943" s="69" t="s">
        <v>80</v>
      </c>
      <c r="M3943" s="69" t="s">
        <v>286</v>
      </c>
      <c r="N3943" s="108"/>
      <c r="P3943" t="s">
        <v>95</v>
      </c>
      <c r="Q3943" t="s">
        <v>120</v>
      </c>
      <c r="R3943" s="92" t="s">
        <v>69</v>
      </c>
      <c r="S3943" s="92" t="s">
        <v>121</v>
      </c>
      <c r="V3943" s="95">
        <v>43799</v>
      </c>
      <c r="W3943" s="92">
        <v>2025031</v>
      </c>
      <c r="X3943" s="90"/>
      <c r="Y3943" s="123"/>
      <c r="Z3943" s="30">
        <f t="shared" si="122"/>
        <v>4232.8754339496491</v>
      </c>
      <c r="AA3943" s="30">
        <f t="shared" si="123"/>
        <v>2116.4377169748245</v>
      </c>
      <c r="AB3943" t="s">
        <v>457</v>
      </c>
    </row>
    <row r="3944" spans="1:28">
      <c r="A3944" t="s">
        <v>118</v>
      </c>
      <c r="C3944" s="92">
        <v>4615412048</v>
      </c>
      <c r="D3944" s="93">
        <v>19200</v>
      </c>
      <c r="F3944" s="91">
        <v>10</v>
      </c>
      <c r="G3944" s="96">
        <v>5</v>
      </c>
      <c r="H3944" s="107">
        <v>0</v>
      </c>
      <c r="I3944" s="91">
        <v>0</v>
      </c>
      <c r="J3944" s="41"/>
      <c r="K3944" s="41">
        <v>43799</v>
      </c>
      <c r="L3944" s="69" t="s">
        <v>80</v>
      </c>
      <c r="M3944" s="69" t="s">
        <v>286</v>
      </c>
      <c r="N3944" s="108"/>
      <c r="P3944" t="s">
        <v>95</v>
      </c>
      <c r="Q3944" t="s">
        <v>120</v>
      </c>
      <c r="R3944" s="92" t="s">
        <v>69</v>
      </c>
      <c r="S3944" s="92" t="s">
        <v>121</v>
      </c>
      <c r="V3944" s="95">
        <v>43799</v>
      </c>
      <c r="W3944" s="92">
        <v>2025031</v>
      </c>
      <c r="X3944" s="90"/>
      <c r="Y3944" s="123"/>
      <c r="Z3944" s="30">
        <f t="shared" si="122"/>
        <v>4232.8754339496491</v>
      </c>
      <c r="AA3944" s="30">
        <f t="shared" si="123"/>
        <v>2116.4377169748245</v>
      </c>
      <c r="AB3944" t="s">
        <v>457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>
    <tabColor theme="0" tint="-0.499984740745262"/>
  </sheetPr>
  <dimension ref="A1:X2173"/>
  <sheetViews>
    <sheetView showGridLines="0" workbookViewId="0">
      <pane ySplit="1" topLeftCell="A2" activePane="bottomLeft" state="frozen"/>
      <selection pane="bottomLeft" activeCell="A10" sqref="A10"/>
    </sheetView>
  </sheetViews>
  <sheetFormatPr defaultRowHeight="15"/>
  <cols>
    <col min="1" max="1" width="17" customWidth="1"/>
    <col min="6" max="6" width="5.7109375" customWidth="1"/>
    <col min="7" max="7" width="3.5703125" bestFit="1" customWidth="1"/>
    <col min="8" max="8" width="5.42578125" customWidth="1"/>
    <col min="9" max="9" width="16.140625" style="41" customWidth="1"/>
    <col min="10" max="10" width="8" style="38" bestFit="1" customWidth="1"/>
    <col min="11" max="11" width="5.42578125" style="16" bestFit="1" customWidth="1"/>
    <col min="12" max="12" width="5.7109375" style="17" bestFit="1" customWidth="1"/>
    <col min="13" max="13" width="6.140625" style="18" bestFit="1" customWidth="1"/>
    <col min="14" max="14" width="5.42578125" style="17" bestFit="1" customWidth="1"/>
    <col min="15" max="15" width="5.7109375" style="17" bestFit="1" customWidth="1"/>
    <col min="16" max="16" width="8.5703125" style="16" customWidth="1"/>
    <col min="17" max="17" width="8.5703125" style="19" customWidth="1"/>
    <col min="18" max="18" width="9.85546875" style="16" customWidth="1"/>
    <col min="21" max="21" width="19.5703125" customWidth="1"/>
    <col min="22" max="22" width="14.7109375" customWidth="1"/>
    <col min="23" max="23" width="13.42578125" customWidth="1"/>
    <col min="24" max="24" width="13.140625" style="46" customWidth="1"/>
    <col min="25" max="16384" width="9.140625" style="9"/>
  </cols>
  <sheetData>
    <row r="1" spans="1:24">
      <c r="A1" s="7" t="s">
        <v>33</v>
      </c>
      <c r="B1" s="8" t="s">
        <v>34</v>
      </c>
      <c r="C1" s="8" t="s">
        <v>35</v>
      </c>
      <c r="F1" s="46" t="s">
        <v>36</v>
      </c>
      <c r="G1" s="46" t="s">
        <v>37</v>
      </c>
      <c r="H1" s="46" t="s">
        <v>38</v>
      </c>
      <c r="I1" s="47" t="s">
        <v>39</v>
      </c>
      <c r="J1" s="48" t="s">
        <v>40</v>
      </c>
      <c r="K1" s="10" t="s">
        <v>41</v>
      </c>
      <c r="L1" s="11" t="s">
        <v>42</v>
      </c>
      <c r="M1" s="12" t="s">
        <v>43</v>
      </c>
      <c r="N1" s="11" t="s">
        <v>44</v>
      </c>
      <c r="O1" s="11" t="s">
        <v>45</v>
      </c>
      <c r="P1" s="13" t="s">
        <v>46</v>
      </c>
      <c r="Q1" s="13" t="s">
        <v>47</v>
      </c>
      <c r="R1" s="13"/>
      <c r="U1" s="133" t="s">
        <v>48</v>
      </c>
      <c r="V1" s="133" t="s">
        <v>49</v>
      </c>
      <c r="W1" s="133" t="s">
        <v>50</v>
      </c>
      <c r="X1" s="134" t="s">
        <v>51</v>
      </c>
    </row>
    <row r="2" spans="1:24" s="16" customFormat="1">
      <c r="A2" s="14">
        <v>40182</v>
      </c>
      <c r="B2" s="15">
        <v>136</v>
      </c>
      <c r="C2" s="15">
        <v>141.85</v>
      </c>
      <c r="D2"/>
      <c r="E2"/>
      <c r="F2" s="46"/>
      <c r="G2" s="46"/>
      <c r="H2" s="46"/>
      <c r="I2" s="31">
        <v>1</v>
      </c>
      <c r="J2" s="31">
        <v>2</v>
      </c>
      <c r="K2" s="31">
        <v>3</v>
      </c>
      <c r="L2" s="31">
        <v>4</v>
      </c>
      <c r="M2" s="31">
        <v>5</v>
      </c>
      <c r="N2" s="31">
        <v>6</v>
      </c>
      <c r="O2" s="31">
        <v>7</v>
      </c>
      <c r="P2" s="31">
        <v>8</v>
      </c>
      <c r="Q2" s="31">
        <v>9</v>
      </c>
      <c r="S2"/>
      <c r="T2"/>
      <c r="U2" t="str">
        <f>CONCATENATE(V2,W2)</f>
        <v>ArabicaFresh Cherry</v>
      </c>
      <c r="V2" t="s">
        <v>52</v>
      </c>
      <c r="W2" t="s">
        <v>53</v>
      </c>
      <c r="X2" s="46">
        <v>0.184</v>
      </c>
    </row>
    <row r="3" spans="1:24" s="16" customFormat="1">
      <c r="A3" s="14">
        <v>40183</v>
      </c>
      <c r="B3" s="15">
        <v>140.4</v>
      </c>
      <c r="C3" s="15">
        <v>141</v>
      </c>
      <c r="D3"/>
      <c r="E3"/>
      <c r="F3"/>
      <c r="G3"/>
      <c r="H3"/>
      <c r="I3" s="41">
        <v>40439</v>
      </c>
      <c r="J3" s="38"/>
      <c r="L3" s="17"/>
      <c r="M3" s="18"/>
      <c r="N3" s="17"/>
      <c r="O3" s="17">
        <v>1.7327999999999999</v>
      </c>
      <c r="Q3" s="19"/>
      <c r="S3"/>
      <c r="T3"/>
      <c r="U3" t="str">
        <f t="shared" ref="U3:U11" si="0">CONCATENATE(V3,W3)</f>
        <v>ArabicaDry Cherry</v>
      </c>
      <c r="V3" t="s">
        <v>52</v>
      </c>
      <c r="W3" t="s">
        <v>54</v>
      </c>
      <c r="X3" s="46">
        <v>0.55000000000000004</v>
      </c>
    </row>
    <row r="4" spans="1:24" s="16" customFormat="1">
      <c r="A4" s="14">
        <v>40184</v>
      </c>
      <c r="B4" s="15">
        <v>140.05000000000001</v>
      </c>
      <c r="C4" s="15">
        <v>141.6</v>
      </c>
      <c r="D4"/>
      <c r="E4"/>
      <c r="F4"/>
      <c r="G4"/>
      <c r="H4"/>
      <c r="I4" s="41">
        <v>40617</v>
      </c>
      <c r="J4" s="38"/>
      <c r="L4" s="17"/>
      <c r="M4" s="18"/>
      <c r="N4" s="17"/>
      <c r="O4" s="17">
        <v>1.669</v>
      </c>
      <c r="Q4" s="19"/>
      <c r="S4"/>
      <c r="T4"/>
      <c r="U4" t="str">
        <f t="shared" si="0"/>
        <v>ArabicaWet Pachment</v>
      </c>
      <c r="V4" t="s">
        <v>52</v>
      </c>
      <c r="W4" t="s">
        <v>55</v>
      </c>
      <c r="X4" s="46"/>
    </row>
    <row r="5" spans="1:24" s="16" customFormat="1">
      <c r="A5" s="14">
        <v>40185</v>
      </c>
      <c r="B5" s="15">
        <v>139.85</v>
      </c>
      <c r="C5" s="15">
        <v>141.9</v>
      </c>
      <c r="D5"/>
      <c r="E5"/>
      <c r="F5"/>
      <c r="G5"/>
      <c r="H5"/>
      <c r="I5" s="41">
        <v>40620</v>
      </c>
      <c r="J5" s="38"/>
      <c r="L5" s="17"/>
      <c r="M5" s="18"/>
      <c r="N5" s="17"/>
      <c r="O5" s="17">
        <v>1.6628000000000001</v>
      </c>
      <c r="Q5" s="19"/>
      <c r="S5"/>
      <c r="T5"/>
      <c r="U5" t="str">
        <f t="shared" si="0"/>
        <v>ArabicaParchment</v>
      </c>
      <c r="V5" t="s">
        <v>52</v>
      </c>
      <c r="W5" t="s">
        <v>56</v>
      </c>
      <c r="X5" s="46">
        <v>0.8</v>
      </c>
    </row>
    <row r="6" spans="1:24" s="16" customFormat="1">
      <c r="A6" s="14">
        <v>40186</v>
      </c>
      <c r="B6" s="15">
        <v>141.94999999999999</v>
      </c>
      <c r="C6" s="15">
        <v>145.35</v>
      </c>
      <c r="D6"/>
      <c r="E6"/>
      <c r="F6"/>
      <c r="G6"/>
      <c r="H6"/>
      <c r="I6" s="41">
        <v>40745</v>
      </c>
      <c r="J6" s="38"/>
      <c r="L6" s="17"/>
      <c r="M6" s="18"/>
      <c r="N6" s="17"/>
      <c r="O6" s="17">
        <v>1.5527</v>
      </c>
      <c r="Q6" s="19"/>
      <c r="S6"/>
      <c r="T6"/>
      <c r="U6" s="49" t="str">
        <f t="shared" si="0"/>
        <v>ARÁBICACafé Verde</v>
      </c>
      <c r="V6" s="49" t="s">
        <v>439</v>
      </c>
      <c r="W6" s="49" t="s">
        <v>455</v>
      </c>
      <c r="X6" s="127">
        <v>1</v>
      </c>
    </row>
    <row r="7" spans="1:24" s="16" customFormat="1">
      <c r="A7" s="14">
        <v>40189</v>
      </c>
      <c r="B7" s="15">
        <v>142.55000000000001</v>
      </c>
      <c r="C7" s="15">
        <v>143.69999999999999</v>
      </c>
      <c r="D7"/>
      <c r="E7"/>
      <c r="F7"/>
      <c r="G7"/>
      <c r="H7"/>
      <c r="I7" s="41">
        <v>40803</v>
      </c>
      <c r="J7" s="38"/>
      <c r="L7" s="17"/>
      <c r="M7" s="18"/>
      <c r="N7" s="17"/>
      <c r="O7" s="17">
        <v>1.7326999999999999</v>
      </c>
      <c r="Q7" s="19"/>
      <c r="S7"/>
      <c r="T7"/>
      <c r="U7" s="49" t="str">
        <f t="shared" si="0"/>
        <v>ArabicaCafé Verde</v>
      </c>
      <c r="V7" s="49" t="s">
        <v>52</v>
      </c>
      <c r="W7" s="49" t="s">
        <v>455</v>
      </c>
      <c r="X7" s="127">
        <v>1</v>
      </c>
    </row>
    <row r="8" spans="1:24" s="16" customFormat="1">
      <c r="A8" s="14">
        <v>40190</v>
      </c>
      <c r="B8" s="15">
        <v>142.5</v>
      </c>
      <c r="C8" s="15">
        <v>143.1</v>
      </c>
      <c r="D8"/>
      <c r="E8"/>
      <c r="F8"/>
      <c r="G8"/>
      <c r="H8"/>
      <c r="I8" s="41">
        <v>40812</v>
      </c>
      <c r="J8" s="38"/>
      <c r="L8" s="17"/>
      <c r="M8" s="18"/>
      <c r="N8" s="17"/>
      <c r="O8" s="17">
        <v>1.8225</v>
      </c>
      <c r="Q8" s="19"/>
      <c r="S8"/>
      <c r="T8"/>
      <c r="U8" t="str">
        <f t="shared" si="0"/>
        <v>RobustaFresh Cherry</v>
      </c>
      <c r="V8" t="s">
        <v>57</v>
      </c>
      <c r="W8" t="s">
        <v>53</v>
      </c>
      <c r="X8" s="46">
        <v>0.184</v>
      </c>
    </row>
    <row r="9" spans="1:24" s="16" customFormat="1">
      <c r="A9" s="14">
        <v>40191</v>
      </c>
      <c r="B9" s="15">
        <v>142.75</v>
      </c>
      <c r="C9" s="15">
        <v>145.15</v>
      </c>
      <c r="D9"/>
      <c r="E9"/>
      <c r="F9"/>
      <c r="G9"/>
      <c r="H9"/>
      <c r="I9" s="41">
        <v>40962</v>
      </c>
      <c r="J9" s="38"/>
      <c r="L9" s="17"/>
      <c r="M9" s="18"/>
      <c r="N9" s="17"/>
      <c r="O9" s="17">
        <v>1.7137</v>
      </c>
      <c r="Q9" s="19"/>
      <c r="S9"/>
      <c r="T9"/>
      <c r="U9" t="str">
        <f t="shared" si="0"/>
        <v>RobustaDry Cherry</v>
      </c>
      <c r="V9" t="s">
        <v>57</v>
      </c>
      <c r="W9" t="s">
        <v>54</v>
      </c>
      <c r="X9" s="46">
        <v>0.5</v>
      </c>
    </row>
    <row r="10" spans="1:24" s="16" customFormat="1">
      <c r="A10" s="14">
        <v>40192</v>
      </c>
      <c r="B10" s="15">
        <v>143.55000000000001</v>
      </c>
      <c r="C10" s="15">
        <v>144.35</v>
      </c>
      <c r="D10"/>
      <c r="E10"/>
      <c r="F10"/>
      <c r="G10"/>
      <c r="H10"/>
      <c r="I10" s="41">
        <v>40965</v>
      </c>
      <c r="J10" s="38"/>
      <c r="L10" s="17"/>
      <c r="M10" s="18"/>
      <c r="N10" s="17"/>
      <c r="O10" s="17">
        <v>1.7094</v>
      </c>
      <c r="Q10" s="19"/>
      <c r="S10"/>
      <c r="T10"/>
      <c r="U10" t="s">
        <v>58</v>
      </c>
      <c r="V10" t="s">
        <v>57</v>
      </c>
      <c r="W10" t="s">
        <v>56</v>
      </c>
      <c r="X10" s="46">
        <v>0.8</v>
      </c>
    </row>
    <row r="11" spans="1:24" s="16" customFormat="1" ht="15.75" thickBot="1">
      <c r="A11" s="14">
        <v>40193</v>
      </c>
      <c r="B11" s="15">
        <v>140.4</v>
      </c>
      <c r="C11" s="15">
        <v>140.75</v>
      </c>
      <c r="D11"/>
      <c r="E11"/>
      <c r="F11"/>
      <c r="G11"/>
      <c r="H11"/>
      <c r="I11" s="41">
        <v>40984</v>
      </c>
      <c r="J11" s="38"/>
      <c r="L11" s="17"/>
      <c r="M11" s="18"/>
      <c r="N11" s="17"/>
      <c r="O11" s="17">
        <v>1.8003</v>
      </c>
      <c r="Q11" s="19"/>
      <c r="S11"/>
      <c r="T11"/>
      <c r="U11" s="50" t="str">
        <f t="shared" si="0"/>
        <v>RobustaCafé Verde</v>
      </c>
      <c r="V11" s="50" t="s">
        <v>57</v>
      </c>
      <c r="W11" s="50" t="s">
        <v>455</v>
      </c>
      <c r="X11" s="128">
        <v>1</v>
      </c>
    </row>
    <row r="12" spans="1:24" s="16" customFormat="1">
      <c r="A12" s="14">
        <v>40197</v>
      </c>
      <c r="B12" s="15">
        <v>140.15</v>
      </c>
      <c r="C12" s="15">
        <v>140.9</v>
      </c>
      <c r="D12"/>
      <c r="E12"/>
      <c r="F12">
        <v>6</v>
      </c>
      <c r="G12">
        <v>2</v>
      </c>
      <c r="H12">
        <v>2012</v>
      </c>
      <c r="I12" s="41">
        <v>41062</v>
      </c>
      <c r="J12" s="38"/>
      <c r="L12" s="17"/>
      <c r="M12" s="18"/>
      <c r="N12" s="17"/>
      <c r="O12" s="17">
        <v>2.04</v>
      </c>
      <c r="Q12" s="19"/>
      <c r="S12"/>
      <c r="T12"/>
      <c r="U12" s="52" t="s">
        <v>59</v>
      </c>
      <c r="V12" s="52"/>
      <c r="W12" s="52"/>
      <c r="X12" s="129">
        <v>45.36</v>
      </c>
    </row>
    <row r="13" spans="1:24" s="16" customFormat="1">
      <c r="A13" s="14">
        <v>40198</v>
      </c>
      <c r="B13" s="15">
        <v>138.44999999999999</v>
      </c>
      <c r="C13" s="15">
        <v>139.19999999999999</v>
      </c>
      <c r="D13"/>
      <c r="E13"/>
      <c r="F13">
        <v>1</v>
      </c>
      <c r="G13">
        <v>1</v>
      </c>
      <c r="H13">
        <v>2013</v>
      </c>
      <c r="I13" s="41">
        <v>41275</v>
      </c>
      <c r="J13" s="38"/>
      <c r="K13" s="38"/>
      <c r="L13" s="17"/>
      <c r="M13" s="18"/>
      <c r="N13" s="17"/>
      <c r="O13" s="38">
        <v>2.0485000000000002</v>
      </c>
      <c r="Q13" s="20">
        <v>54.685000000000002</v>
      </c>
      <c r="S13"/>
      <c r="T13"/>
      <c r="U13" t="s">
        <v>60</v>
      </c>
      <c r="V13"/>
      <c r="W13"/>
      <c r="X13" s="46">
        <v>12.9</v>
      </c>
    </row>
    <row r="14" spans="1:24" s="16" customFormat="1">
      <c r="A14" s="14">
        <v>40199</v>
      </c>
      <c r="B14" s="15">
        <v>137.55000000000001</v>
      </c>
      <c r="C14" s="15">
        <v>138.69999999999999</v>
      </c>
      <c r="D14"/>
      <c r="E14"/>
      <c r="F14">
        <v>1</v>
      </c>
      <c r="G14">
        <v>2</v>
      </c>
      <c r="H14">
        <v>2013</v>
      </c>
      <c r="I14" s="41">
        <v>41276</v>
      </c>
      <c r="J14" s="38"/>
      <c r="K14" s="38"/>
      <c r="L14" s="17"/>
      <c r="M14" s="18"/>
      <c r="N14" s="17"/>
      <c r="O14" s="38">
        <v>2.0451999999999999</v>
      </c>
      <c r="Q14" s="20">
        <v>54.24</v>
      </c>
      <c r="S14"/>
      <c r="T14"/>
      <c r="U14" t="s">
        <v>61</v>
      </c>
      <c r="V14"/>
      <c r="W14"/>
      <c r="X14" s="46">
        <v>1</v>
      </c>
    </row>
    <row r="15" spans="1:24" s="16" customFormat="1">
      <c r="A15" s="14">
        <v>40200</v>
      </c>
      <c r="B15" s="15">
        <v>137.30000000000001</v>
      </c>
      <c r="C15" s="15">
        <v>139.6</v>
      </c>
      <c r="D15"/>
      <c r="E15"/>
      <c r="F15">
        <v>1</v>
      </c>
      <c r="G15">
        <v>3</v>
      </c>
      <c r="H15">
        <v>2013</v>
      </c>
      <c r="I15" s="41">
        <v>41277</v>
      </c>
      <c r="J15" s="38"/>
      <c r="K15" s="38"/>
      <c r="L15" s="17"/>
      <c r="M15" s="18"/>
      <c r="N15" s="17"/>
      <c r="O15" s="38">
        <v>2.0459000000000001</v>
      </c>
      <c r="Q15" s="20">
        <v>54.505000000000003</v>
      </c>
      <c r="S15"/>
      <c r="T15"/>
      <c r="U15"/>
      <c r="V15"/>
      <c r="W15"/>
      <c r="X15" s="46"/>
    </row>
    <row r="16" spans="1:24" s="16" customFormat="1">
      <c r="A16" s="14">
        <v>40203</v>
      </c>
      <c r="B16" s="15">
        <v>138.55000000000001</v>
      </c>
      <c r="C16" s="15">
        <v>139.4</v>
      </c>
      <c r="D16"/>
      <c r="E16"/>
      <c r="F16">
        <v>1</v>
      </c>
      <c r="G16">
        <v>4</v>
      </c>
      <c r="H16">
        <v>2013</v>
      </c>
      <c r="I16" s="41">
        <v>41278</v>
      </c>
      <c r="J16" s="38"/>
      <c r="K16" s="38"/>
      <c r="L16" s="17"/>
      <c r="M16" s="18"/>
      <c r="N16" s="17"/>
      <c r="O16" s="38">
        <v>2.0347</v>
      </c>
      <c r="Q16" s="20">
        <v>54.94</v>
      </c>
      <c r="S16"/>
      <c r="T16"/>
      <c r="U16"/>
      <c r="V16"/>
      <c r="W16"/>
      <c r="X16" s="46"/>
    </row>
    <row r="17" spans="1:24" s="16" customFormat="1">
      <c r="A17" s="14">
        <v>40204</v>
      </c>
      <c r="B17" s="15">
        <v>137</v>
      </c>
      <c r="C17" s="15">
        <v>138.25</v>
      </c>
      <c r="D17"/>
      <c r="E17"/>
      <c r="F17">
        <v>1</v>
      </c>
      <c r="G17">
        <v>7</v>
      </c>
      <c r="H17">
        <v>2013</v>
      </c>
      <c r="I17" s="41">
        <v>41281</v>
      </c>
      <c r="J17" s="38"/>
      <c r="K17" s="38"/>
      <c r="L17" s="17"/>
      <c r="M17" s="18"/>
      <c r="N17" s="17"/>
      <c r="O17" s="38">
        <v>2.0266999999999999</v>
      </c>
      <c r="Q17" s="20">
        <v>55.225000000000001</v>
      </c>
      <c r="S17"/>
      <c r="T17"/>
      <c r="U17"/>
      <c r="V17"/>
      <c r="W17"/>
      <c r="X17" s="46"/>
    </row>
    <row r="18" spans="1:24" s="16" customFormat="1">
      <c r="A18" s="14">
        <v>40205</v>
      </c>
      <c r="B18" s="15">
        <v>133.35</v>
      </c>
      <c r="C18" s="15">
        <v>133.55000000000001</v>
      </c>
      <c r="D18"/>
      <c r="E18"/>
      <c r="F18">
        <v>1</v>
      </c>
      <c r="G18">
        <v>8</v>
      </c>
      <c r="H18">
        <v>2013</v>
      </c>
      <c r="I18" s="41">
        <v>41282</v>
      </c>
      <c r="J18" s="38"/>
      <c r="K18" s="38"/>
      <c r="L18" s="17"/>
      <c r="M18" s="18"/>
      <c r="N18" s="17"/>
      <c r="O18" s="38">
        <v>2.0415000000000001</v>
      </c>
      <c r="Q18" s="20">
        <v>54.965000000000003</v>
      </c>
      <c r="S18"/>
      <c r="T18"/>
      <c r="U18"/>
      <c r="V18"/>
      <c r="W18"/>
      <c r="X18" s="46"/>
    </row>
    <row r="19" spans="1:24" s="16" customFormat="1">
      <c r="A19" s="14">
        <v>40206</v>
      </c>
      <c r="B19" s="15">
        <v>132.05000000000001</v>
      </c>
      <c r="C19" s="15">
        <v>132.94999999999999</v>
      </c>
      <c r="D19"/>
      <c r="E19"/>
      <c r="F19">
        <v>1</v>
      </c>
      <c r="G19">
        <v>9</v>
      </c>
      <c r="H19">
        <v>2013</v>
      </c>
      <c r="I19" s="41">
        <v>41283</v>
      </c>
      <c r="J19" s="38"/>
      <c r="K19" s="38"/>
      <c r="L19" s="17"/>
      <c r="M19" s="18"/>
      <c r="N19" s="17"/>
      <c r="O19" s="38">
        <v>2.0381</v>
      </c>
      <c r="Q19" s="20">
        <v>54.81</v>
      </c>
      <c r="S19"/>
      <c r="T19"/>
      <c r="U19"/>
      <c r="V19"/>
      <c r="W19"/>
      <c r="X19" s="46"/>
    </row>
    <row r="20" spans="1:24" s="16" customFormat="1">
      <c r="A20" s="14">
        <v>40207</v>
      </c>
      <c r="B20" s="15">
        <v>131.6</v>
      </c>
      <c r="C20" s="15">
        <v>131.69999999999999</v>
      </c>
      <c r="D20"/>
      <c r="E20"/>
      <c r="F20">
        <v>1</v>
      </c>
      <c r="G20">
        <v>10</v>
      </c>
      <c r="H20">
        <v>2013</v>
      </c>
      <c r="I20" s="41">
        <v>41284</v>
      </c>
      <c r="J20" s="38"/>
      <c r="K20" s="38"/>
      <c r="L20" s="17"/>
      <c r="M20" s="18"/>
      <c r="N20" s="17"/>
      <c r="O20" s="38">
        <v>2.0289999999999999</v>
      </c>
      <c r="Q20" s="20">
        <v>54.424999999999997</v>
      </c>
      <c r="S20"/>
      <c r="T20"/>
      <c r="U20"/>
      <c r="V20"/>
      <c r="W20"/>
      <c r="X20" s="46"/>
    </row>
    <row r="21" spans="1:24" s="16" customFormat="1">
      <c r="A21" s="14">
        <v>40210</v>
      </c>
      <c r="B21" s="15">
        <v>131.19999999999999</v>
      </c>
      <c r="C21" s="15">
        <v>132.55000000000001</v>
      </c>
      <c r="D21"/>
      <c r="E21"/>
      <c r="F21">
        <v>1</v>
      </c>
      <c r="G21">
        <v>11</v>
      </c>
      <c r="H21">
        <v>2013</v>
      </c>
      <c r="I21" s="41">
        <v>41285</v>
      </c>
      <c r="J21" s="38"/>
      <c r="K21" s="38"/>
      <c r="L21" s="17"/>
      <c r="M21" s="18"/>
      <c r="N21" s="17"/>
      <c r="O21" s="38">
        <v>2.0331999999999999</v>
      </c>
      <c r="Q21" s="20">
        <v>54.875</v>
      </c>
      <c r="S21"/>
      <c r="T21"/>
      <c r="U21"/>
      <c r="V21"/>
      <c r="W21"/>
      <c r="X21" s="46"/>
    </row>
    <row r="22" spans="1:24" s="16" customFormat="1">
      <c r="A22" s="14">
        <v>40211</v>
      </c>
      <c r="B22" s="15">
        <v>132.19999999999999</v>
      </c>
      <c r="C22" s="15">
        <v>135.05000000000001</v>
      </c>
      <c r="D22"/>
      <c r="E22"/>
      <c r="F22">
        <v>1</v>
      </c>
      <c r="G22">
        <v>14</v>
      </c>
      <c r="H22">
        <v>2013</v>
      </c>
      <c r="I22" s="41">
        <v>41288</v>
      </c>
      <c r="J22" s="38"/>
      <c r="K22" s="38"/>
      <c r="L22" s="17"/>
      <c r="M22" s="18"/>
      <c r="N22" s="17"/>
      <c r="O22" s="38">
        <v>2.0318000000000001</v>
      </c>
      <c r="Q22" s="20">
        <v>54.524999999999999</v>
      </c>
      <c r="S22"/>
      <c r="T22"/>
      <c r="U22"/>
      <c r="V22"/>
      <c r="W22"/>
      <c r="X22" s="46"/>
    </row>
    <row r="23" spans="1:24" s="16" customFormat="1">
      <c r="A23" s="14">
        <v>40212</v>
      </c>
      <c r="B23" s="15">
        <v>132.4</v>
      </c>
      <c r="C23" s="15">
        <v>133</v>
      </c>
      <c r="D23"/>
      <c r="E23"/>
      <c r="F23">
        <v>1</v>
      </c>
      <c r="G23">
        <v>15</v>
      </c>
      <c r="H23">
        <v>2013</v>
      </c>
      <c r="I23" s="41">
        <v>41289</v>
      </c>
      <c r="J23" s="38"/>
      <c r="K23" s="38"/>
      <c r="L23" s="17"/>
      <c r="M23" s="18"/>
      <c r="N23" s="17"/>
      <c r="O23" s="38">
        <v>2.0358000000000001</v>
      </c>
      <c r="Q23" s="20">
        <v>54.604999999999997</v>
      </c>
      <c r="S23"/>
      <c r="T23"/>
      <c r="U23"/>
      <c r="V23"/>
      <c r="W23"/>
      <c r="X23" s="46"/>
    </row>
    <row r="24" spans="1:24" s="16" customFormat="1">
      <c r="A24" s="14">
        <v>40213</v>
      </c>
      <c r="B24" s="15">
        <v>130.05000000000001</v>
      </c>
      <c r="C24" s="15">
        <v>131.55000000000001</v>
      </c>
      <c r="D24"/>
      <c r="E24"/>
      <c r="F24">
        <v>1</v>
      </c>
      <c r="G24">
        <v>16</v>
      </c>
      <c r="H24">
        <v>2013</v>
      </c>
      <c r="I24" s="41">
        <v>41290</v>
      </c>
      <c r="J24" s="38"/>
      <c r="K24" s="38"/>
      <c r="L24" s="17"/>
      <c r="M24" s="18"/>
      <c r="N24" s="17"/>
      <c r="O24" s="38">
        <v>2.0424000000000002</v>
      </c>
      <c r="Q24" s="20">
        <v>54.664999999999999</v>
      </c>
      <c r="S24"/>
      <c r="T24"/>
      <c r="U24"/>
      <c r="V24"/>
      <c r="W24"/>
      <c r="X24" s="46"/>
    </row>
    <row r="25" spans="1:24" s="16" customFormat="1">
      <c r="A25" s="14">
        <v>40214</v>
      </c>
      <c r="B25" s="15">
        <v>128.5</v>
      </c>
      <c r="C25" s="15">
        <v>128.80000000000001</v>
      </c>
      <c r="D25"/>
      <c r="E25"/>
      <c r="F25">
        <v>1</v>
      </c>
      <c r="G25">
        <v>17</v>
      </c>
      <c r="H25">
        <v>2013</v>
      </c>
      <c r="I25" s="41">
        <v>41291</v>
      </c>
      <c r="J25" s="38"/>
      <c r="K25" s="38"/>
      <c r="L25" s="17"/>
      <c r="M25" s="18"/>
      <c r="N25" s="17"/>
      <c r="O25" s="38">
        <v>2.0385</v>
      </c>
      <c r="Q25" s="20">
        <v>54.354999999999997</v>
      </c>
      <c r="S25"/>
      <c r="T25"/>
      <c r="U25"/>
      <c r="V25"/>
      <c r="W25"/>
      <c r="X25" s="46"/>
    </row>
    <row r="26" spans="1:24" s="16" customFormat="1">
      <c r="A26" s="14">
        <v>40217</v>
      </c>
      <c r="B26" s="15">
        <v>128.5</v>
      </c>
      <c r="C26" s="15">
        <v>130.65</v>
      </c>
      <c r="D26"/>
      <c r="E26"/>
      <c r="F26">
        <v>1</v>
      </c>
      <c r="G26">
        <v>18</v>
      </c>
      <c r="H26">
        <v>2013</v>
      </c>
      <c r="I26" s="41">
        <v>41292</v>
      </c>
      <c r="J26" s="38"/>
      <c r="K26" s="38"/>
      <c r="L26" s="17"/>
      <c r="M26" s="18"/>
      <c r="N26" s="17"/>
      <c r="O26" s="38">
        <v>2.0407999999999999</v>
      </c>
      <c r="Q26" s="20">
        <v>53.744999999999997</v>
      </c>
      <c r="S26"/>
      <c r="T26"/>
      <c r="U26"/>
      <c r="V26"/>
      <c r="W26"/>
      <c r="X26" s="46"/>
    </row>
    <row r="27" spans="1:24" s="16" customFormat="1">
      <c r="A27" s="14">
        <v>40218</v>
      </c>
      <c r="B27" s="15">
        <v>129.44999999999999</v>
      </c>
      <c r="C27" s="15">
        <v>130.4</v>
      </c>
      <c r="D27"/>
      <c r="E27"/>
      <c r="F27">
        <v>1</v>
      </c>
      <c r="G27">
        <v>21</v>
      </c>
      <c r="H27">
        <v>2013</v>
      </c>
      <c r="I27" s="41">
        <v>41295</v>
      </c>
      <c r="J27" s="38"/>
      <c r="K27" s="38"/>
      <c r="L27" s="17"/>
      <c r="M27" s="18"/>
      <c r="N27" s="17"/>
      <c r="O27" s="38">
        <v>2.0417999999999998</v>
      </c>
      <c r="Q27" s="20">
        <v>53.774999999999999</v>
      </c>
      <c r="S27"/>
      <c r="T27"/>
      <c r="U27"/>
      <c r="V27"/>
      <c r="W27"/>
      <c r="X27" s="46"/>
    </row>
    <row r="28" spans="1:24" s="16" customFormat="1">
      <c r="A28" s="14">
        <v>40219</v>
      </c>
      <c r="B28" s="15">
        <v>129.4</v>
      </c>
      <c r="C28" s="15">
        <v>132.19999999999999</v>
      </c>
      <c r="D28"/>
      <c r="E28"/>
      <c r="F28">
        <v>1</v>
      </c>
      <c r="G28">
        <v>22</v>
      </c>
      <c r="H28">
        <v>2013</v>
      </c>
      <c r="I28" s="41">
        <v>41296</v>
      </c>
      <c r="J28" s="38"/>
      <c r="K28" s="38"/>
      <c r="L28" s="17"/>
      <c r="M28" s="18"/>
      <c r="N28" s="17"/>
      <c r="O28" s="38">
        <v>2.0428999999999999</v>
      </c>
      <c r="Q28" s="20">
        <v>53.725000000000001</v>
      </c>
      <c r="S28"/>
      <c r="T28"/>
      <c r="U28"/>
      <c r="V28"/>
      <c r="W28"/>
      <c r="X28" s="46"/>
    </row>
    <row r="29" spans="1:24" s="16" customFormat="1">
      <c r="A29" s="14">
        <v>40220</v>
      </c>
      <c r="B29" s="15">
        <v>131.65</v>
      </c>
      <c r="C29" s="15">
        <v>132.19999999999999</v>
      </c>
      <c r="D29"/>
      <c r="E29"/>
      <c r="F29">
        <v>1</v>
      </c>
      <c r="G29">
        <v>23</v>
      </c>
      <c r="H29">
        <v>2013</v>
      </c>
      <c r="I29" s="41">
        <v>41297</v>
      </c>
      <c r="J29" s="38"/>
      <c r="K29" s="38"/>
      <c r="L29" s="17"/>
      <c r="M29" s="18"/>
      <c r="N29" s="17"/>
      <c r="O29" s="38">
        <v>2.0354000000000001</v>
      </c>
      <c r="Q29" s="20">
        <v>53.674999999999997</v>
      </c>
      <c r="S29"/>
      <c r="T29"/>
      <c r="U29"/>
      <c r="V29"/>
      <c r="W29"/>
      <c r="X29" s="46"/>
    </row>
    <row r="30" spans="1:24" s="16" customFormat="1">
      <c r="A30" s="14">
        <v>40221</v>
      </c>
      <c r="B30" s="15">
        <v>130</v>
      </c>
      <c r="C30" s="15">
        <v>132.75</v>
      </c>
      <c r="D30"/>
      <c r="E30"/>
      <c r="F30">
        <v>1</v>
      </c>
      <c r="G30">
        <v>24</v>
      </c>
      <c r="H30">
        <v>2013</v>
      </c>
      <c r="I30" s="41">
        <v>41298</v>
      </c>
      <c r="J30" s="38"/>
      <c r="K30" s="38"/>
      <c r="L30" s="17"/>
      <c r="M30" s="18"/>
      <c r="N30" s="17"/>
      <c r="O30" s="38">
        <v>2.0299999999999998</v>
      </c>
      <c r="Q30" s="20">
        <v>53.71</v>
      </c>
      <c r="S30"/>
      <c r="T30"/>
      <c r="U30"/>
      <c r="V30"/>
      <c r="W30"/>
      <c r="X30" s="46"/>
    </row>
    <row r="31" spans="1:24" s="16" customFormat="1">
      <c r="A31" s="14">
        <v>40225</v>
      </c>
      <c r="B31" s="15">
        <v>132</v>
      </c>
      <c r="C31" s="15">
        <v>133.44999999999999</v>
      </c>
      <c r="D31"/>
      <c r="E31"/>
      <c r="F31">
        <v>1</v>
      </c>
      <c r="G31">
        <v>25</v>
      </c>
      <c r="H31">
        <v>2013</v>
      </c>
      <c r="I31" s="41">
        <v>41299</v>
      </c>
      <c r="J31" s="38"/>
      <c r="K31" s="38"/>
      <c r="L31" s="17"/>
      <c r="M31" s="18"/>
      <c r="N31" s="17"/>
      <c r="O31" s="38">
        <v>2.0299999999999998</v>
      </c>
      <c r="Q31" s="20">
        <v>53.8</v>
      </c>
      <c r="S31"/>
      <c r="T31"/>
      <c r="U31"/>
      <c r="V31"/>
      <c r="W31"/>
      <c r="X31" s="46"/>
    </row>
    <row r="32" spans="1:24" s="16" customFormat="1">
      <c r="A32" s="14">
        <v>40226</v>
      </c>
      <c r="B32" s="15">
        <v>131.55000000000001</v>
      </c>
      <c r="C32" s="15">
        <v>132.25</v>
      </c>
      <c r="D32"/>
      <c r="E32"/>
      <c r="F32">
        <v>1</v>
      </c>
      <c r="G32">
        <v>28</v>
      </c>
      <c r="H32">
        <v>2013</v>
      </c>
      <c r="I32" s="41">
        <v>41302</v>
      </c>
      <c r="J32" s="38"/>
      <c r="K32" s="38"/>
      <c r="L32" s="17"/>
      <c r="M32" s="18"/>
      <c r="N32" s="17"/>
      <c r="O32" s="38">
        <v>1.9958</v>
      </c>
      <c r="Q32" s="20">
        <v>54.055</v>
      </c>
      <c r="S32"/>
      <c r="T32"/>
      <c r="U32"/>
      <c r="V32"/>
      <c r="W32"/>
      <c r="X32" s="46"/>
    </row>
    <row r="33" spans="1:24" s="16" customFormat="1">
      <c r="A33" s="14">
        <v>40227</v>
      </c>
      <c r="B33" s="15">
        <v>131.9</v>
      </c>
      <c r="C33" s="15">
        <v>134.1</v>
      </c>
      <c r="D33"/>
      <c r="E33"/>
      <c r="F33">
        <v>1</v>
      </c>
      <c r="G33">
        <v>29</v>
      </c>
      <c r="H33">
        <v>2013</v>
      </c>
      <c r="I33" s="41">
        <v>41303</v>
      </c>
      <c r="J33" s="38"/>
      <c r="K33" s="38"/>
      <c r="L33" s="17"/>
      <c r="M33" s="18"/>
      <c r="N33" s="17"/>
      <c r="O33" s="38">
        <v>1.9859</v>
      </c>
      <c r="Q33" s="20">
        <v>53.655000000000001</v>
      </c>
      <c r="S33"/>
      <c r="T33"/>
      <c r="U33"/>
      <c r="V33"/>
      <c r="W33"/>
      <c r="X33" s="46"/>
    </row>
    <row r="34" spans="1:24" s="16" customFormat="1">
      <c r="A34" s="14">
        <v>40228</v>
      </c>
      <c r="B34" s="15">
        <v>132.55000000000001</v>
      </c>
      <c r="C34" s="15">
        <v>134.75</v>
      </c>
      <c r="D34"/>
      <c r="E34"/>
      <c r="F34">
        <v>1</v>
      </c>
      <c r="G34">
        <v>30</v>
      </c>
      <c r="H34">
        <v>2013</v>
      </c>
      <c r="I34" s="41">
        <v>41304</v>
      </c>
      <c r="J34" s="38"/>
      <c r="K34" s="38"/>
      <c r="L34" s="17"/>
      <c r="M34" s="18"/>
      <c r="N34" s="17"/>
      <c r="O34" s="38">
        <v>1.9914000000000001</v>
      </c>
      <c r="Q34" s="20">
        <v>53.244999999999997</v>
      </c>
      <c r="S34"/>
      <c r="T34"/>
      <c r="U34"/>
      <c r="V34"/>
      <c r="W34"/>
      <c r="X34" s="46"/>
    </row>
    <row r="35" spans="1:24" s="16" customFormat="1">
      <c r="A35" s="14">
        <v>40231</v>
      </c>
      <c r="B35" s="15">
        <v>129.4</v>
      </c>
      <c r="C35" s="15">
        <v>129.85</v>
      </c>
      <c r="D35"/>
      <c r="E35"/>
      <c r="F35">
        <v>1</v>
      </c>
      <c r="G35">
        <v>31</v>
      </c>
      <c r="H35">
        <v>2013</v>
      </c>
      <c r="I35" s="41">
        <v>41305</v>
      </c>
      <c r="J35" s="38"/>
      <c r="K35" s="38"/>
      <c r="L35" s="17"/>
      <c r="M35" s="18"/>
      <c r="N35" s="17"/>
      <c r="O35" s="38">
        <v>1.9907999999999999</v>
      </c>
      <c r="Q35" s="20">
        <v>53.274999999999999</v>
      </c>
      <c r="S35"/>
      <c r="T35"/>
      <c r="U35"/>
      <c r="V35"/>
      <c r="W35"/>
      <c r="X35" s="46"/>
    </row>
    <row r="36" spans="1:24" s="16" customFormat="1">
      <c r="A36" s="14">
        <v>40232</v>
      </c>
      <c r="B36" s="15">
        <v>129.75</v>
      </c>
      <c r="C36" s="15">
        <v>130.35</v>
      </c>
      <c r="D36"/>
      <c r="E36"/>
      <c r="F36">
        <v>2</v>
      </c>
      <c r="G36">
        <v>1</v>
      </c>
      <c r="H36">
        <v>2013</v>
      </c>
      <c r="I36" s="41">
        <v>41306</v>
      </c>
      <c r="J36" s="38"/>
      <c r="K36" s="38"/>
      <c r="L36" s="17"/>
      <c r="M36" s="18"/>
      <c r="N36" s="17"/>
      <c r="O36" s="38">
        <v>1.9878</v>
      </c>
      <c r="Q36" s="20">
        <v>53.17</v>
      </c>
      <c r="S36"/>
      <c r="T36"/>
      <c r="U36"/>
      <c r="V36"/>
      <c r="W36"/>
      <c r="X36" s="46"/>
    </row>
    <row r="37" spans="1:24" s="16" customFormat="1">
      <c r="A37" s="14">
        <v>40233</v>
      </c>
      <c r="B37" s="15">
        <v>129.69999999999999</v>
      </c>
      <c r="C37" s="15">
        <v>130.44999999999999</v>
      </c>
      <c r="D37"/>
      <c r="E37"/>
      <c r="F37">
        <v>2</v>
      </c>
      <c r="G37">
        <v>4</v>
      </c>
      <c r="H37">
        <v>2013</v>
      </c>
      <c r="I37" s="41">
        <v>41309</v>
      </c>
      <c r="J37" s="38"/>
      <c r="K37" s="38"/>
      <c r="L37" s="17"/>
      <c r="M37" s="18"/>
      <c r="N37" s="17"/>
      <c r="O37" s="38">
        <v>1.996</v>
      </c>
      <c r="Q37" s="20">
        <v>53.29</v>
      </c>
      <c r="S37"/>
      <c r="T37"/>
      <c r="U37"/>
      <c r="V37"/>
      <c r="W37"/>
      <c r="X37" s="46"/>
    </row>
    <row r="38" spans="1:24" s="16" customFormat="1">
      <c r="A38" s="14">
        <v>40234</v>
      </c>
      <c r="B38" s="15">
        <v>126.6</v>
      </c>
      <c r="C38" s="15">
        <v>127.7</v>
      </c>
      <c r="D38"/>
      <c r="E38"/>
      <c r="F38">
        <v>2</v>
      </c>
      <c r="G38">
        <v>5</v>
      </c>
      <c r="H38">
        <v>2013</v>
      </c>
      <c r="I38" s="41">
        <v>41310</v>
      </c>
      <c r="J38" s="38"/>
      <c r="K38" s="38"/>
      <c r="L38" s="17"/>
      <c r="M38" s="18"/>
      <c r="N38" s="17"/>
      <c r="O38" s="38">
        <v>1.9844999999999999</v>
      </c>
      <c r="Q38" s="20">
        <v>53.034999999999997</v>
      </c>
      <c r="S38"/>
      <c r="T38"/>
      <c r="U38"/>
      <c r="V38"/>
      <c r="W38"/>
      <c r="X38" s="46"/>
    </row>
    <row r="39" spans="1:24" s="16" customFormat="1">
      <c r="A39" s="14">
        <v>40235</v>
      </c>
      <c r="B39" s="15">
        <v>128.6</v>
      </c>
      <c r="C39" s="15">
        <v>129.05000000000001</v>
      </c>
      <c r="D39"/>
      <c r="E39"/>
      <c r="F39">
        <v>2</v>
      </c>
      <c r="G39">
        <v>6</v>
      </c>
      <c r="H39">
        <v>2013</v>
      </c>
      <c r="I39" s="41">
        <v>41311</v>
      </c>
      <c r="J39" s="38"/>
      <c r="K39" s="38"/>
      <c r="L39" s="17"/>
      <c r="M39" s="18"/>
      <c r="N39" s="17"/>
      <c r="O39" s="38">
        <v>1.9903</v>
      </c>
      <c r="Q39" s="20">
        <v>53.16</v>
      </c>
      <c r="S39"/>
      <c r="T39"/>
      <c r="U39"/>
      <c r="V39"/>
      <c r="W39"/>
      <c r="X39" s="46"/>
    </row>
    <row r="40" spans="1:24" s="16" customFormat="1">
      <c r="A40" s="14">
        <v>40238</v>
      </c>
      <c r="B40" s="15">
        <v>129.05000000000001</v>
      </c>
      <c r="C40" s="15">
        <v>129.55000000000001</v>
      </c>
      <c r="D40"/>
      <c r="E40"/>
      <c r="F40">
        <v>2</v>
      </c>
      <c r="G40">
        <v>7</v>
      </c>
      <c r="H40">
        <v>2013</v>
      </c>
      <c r="I40" s="41">
        <v>41312</v>
      </c>
      <c r="J40" s="38"/>
      <c r="K40" s="38"/>
      <c r="L40" s="17"/>
      <c r="M40" s="18"/>
      <c r="N40" s="17"/>
      <c r="O40" s="38">
        <v>1.9666999999999999</v>
      </c>
      <c r="Q40" s="20">
        <v>53.225000000000001</v>
      </c>
      <c r="S40"/>
      <c r="T40"/>
      <c r="U40"/>
      <c r="V40"/>
      <c r="W40"/>
      <c r="X40" s="46"/>
    </row>
    <row r="41" spans="1:24" s="16" customFormat="1">
      <c r="A41" s="14">
        <v>40239</v>
      </c>
      <c r="B41" s="15">
        <v>129</v>
      </c>
      <c r="C41" s="15">
        <v>130.19999999999999</v>
      </c>
      <c r="D41"/>
      <c r="E41"/>
      <c r="F41">
        <v>2</v>
      </c>
      <c r="G41">
        <v>8</v>
      </c>
      <c r="H41">
        <v>2013</v>
      </c>
      <c r="I41" s="41">
        <v>41313</v>
      </c>
      <c r="J41" s="38"/>
      <c r="K41" s="38"/>
      <c r="L41" s="17"/>
      <c r="M41" s="18"/>
      <c r="N41" s="17"/>
      <c r="O41" s="38">
        <v>1.9732000000000001</v>
      </c>
      <c r="Q41" s="20">
        <v>53.594999999999999</v>
      </c>
      <c r="S41"/>
      <c r="T41"/>
      <c r="U41"/>
      <c r="V41"/>
      <c r="W41"/>
      <c r="X41" s="46"/>
    </row>
    <row r="42" spans="1:24" s="16" customFormat="1">
      <c r="A42" s="14">
        <v>40240</v>
      </c>
      <c r="B42" s="15">
        <v>129.15</v>
      </c>
      <c r="C42" s="15">
        <v>129.69999999999999</v>
      </c>
      <c r="D42"/>
      <c r="E42"/>
      <c r="F42">
        <v>2</v>
      </c>
      <c r="G42">
        <v>11</v>
      </c>
      <c r="H42">
        <v>2013</v>
      </c>
      <c r="I42" s="41">
        <v>41316</v>
      </c>
      <c r="J42" s="38"/>
      <c r="K42" s="38"/>
      <c r="L42" s="17"/>
      <c r="M42" s="18"/>
      <c r="N42" s="17"/>
      <c r="O42" s="38">
        <v>1.9728000000000001</v>
      </c>
      <c r="Q42" s="20">
        <v>53.965000000000003</v>
      </c>
      <c r="S42"/>
      <c r="T42"/>
      <c r="U42"/>
      <c r="V42"/>
      <c r="W42"/>
      <c r="X42" s="46"/>
    </row>
    <row r="43" spans="1:24" s="16" customFormat="1">
      <c r="A43" s="14">
        <v>40241</v>
      </c>
      <c r="B43" s="15">
        <v>126.55</v>
      </c>
      <c r="C43" s="15">
        <v>127.85</v>
      </c>
      <c r="D43"/>
      <c r="E43"/>
      <c r="F43">
        <v>2</v>
      </c>
      <c r="G43">
        <v>12</v>
      </c>
      <c r="H43">
        <v>2013</v>
      </c>
      <c r="I43" s="41">
        <v>41317</v>
      </c>
      <c r="J43" s="38"/>
      <c r="K43" s="38"/>
      <c r="L43" s="17"/>
      <c r="M43" s="18"/>
      <c r="N43" s="17"/>
      <c r="O43" s="38">
        <v>1.9690000000000001</v>
      </c>
      <c r="Q43" s="20">
        <v>53.795000000000002</v>
      </c>
      <c r="S43"/>
      <c r="T43"/>
      <c r="U43"/>
      <c r="V43"/>
      <c r="W43"/>
      <c r="X43" s="46"/>
    </row>
    <row r="44" spans="1:24" s="16" customFormat="1">
      <c r="A44" s="14">
        <v>40242</v>
      </c>
      <c r="B44" s="15">
        <v>128</v>
      </c>
      <c r="C44" s="15">
        <v>128</v>
      </c>
      <c r="D44"/>
      <c r="E44"/>
      <c r="F44">
        <v>2</v>
      </c>
      <c r="G44">
        <v>13</v>
      </c>
      <c r="H44">
        <v>2013</v>
      </c>
      <c r="I44" s="41">
        <v>41318</v>
      </c>
      <c r="J44" s="38"/>
      <c r="K44" s="38"/>
      <c r="L44" s="17"/>
      <c r="M44" s="18"/>
      <c r="N44" s="17"/>
      <c r="O44" s="38">
        <v>1.9646999999999999</v>
      </c>
      <c r="Q44" s="20">
        <v>53.825000000000003</v>
      </c>
      <c r="S44"/>
      <c r="T44"/>
      <c r="U44"/>
      <c r="V44"/>
      <c r="W44"/>
      <c r="X44" s="46"/>
    </row>
    <row r="45" spans="1:24" s="16" customFormat="1">
      <c r="A45" s="14">
        <v>40245</v>
      </c>
      <c r="B45" s="15">
        <v>127.55</v>
      </c>
      <c r="C45" s="15">
        <v>128.69999999999999</v>
      </c>
      <c r="D45"/>
      <c r="E45"/>
      <c r="F45">
        <v>2</v>
      </c>
      <c r="G45">
        <v>14</v>
      </c>
      <c r="H45">
        <v>2013</v>
      </c>
      <c r="I45" s="41">
        <v>41319</v>
      </c>
      <c r="J45" s="38"/>
      <c r="K45" s="38"/>
      <c r="L45" s="17"/>
      <c r="M45" s="18"/>
      <c r="N45" s="17"/>
      <c r="O45" s="38">
        <v>1.9577</v>
      </c>
      <c r="Q45" s="20">
        <v>53.994999999999997</v>
      </c>
      <c r="S45"/>
      <c r="T45"/>
      <c r="U45"/>
      <c r="V45"/>
      <c r="W45"/>
      <c r="X45" s="46"/>
    </row>
    <row r="46" spans="1:24" s="16" customFormat="1">
      <c r="A46" s="14">
        <v>40246</v>
      </c>
      <c r="B46" s="15">
        <v>131.1</v>
      </c>
      <c r="C46" s="15">
        <v>130.25</v>
      </c>
      <c r="D46"/>
      <c r="E46"/>
      <c r="F46">
        <v>2</v>
      </c>
      <c r="G46">
        <v>15</v>
      </c>
      <c r="H46">
        <v>2013</v>
      </c>
      <c r="I46" s="41">
        <v>41320</v>
      </c>
      <c r="J46" s="38"/>
      <c r="K46" s="38"/>
      <c r="L46" s="17"/>
      <c r="M46" s="18"/>
      <c r="N46" s="17"/>
      <c r="O46" s="38">
        <v>1.9688000000000001</v>
      </c>
      <c r="Q46" s="20">
        <v>54.325000000000003</v>
      </c>
      <c r="S46"/>
      <c r="T46"/>
      <c r="U46"/>
      <c r="V46"/>
      <c r="W46"/>
      <c r="X46" s="46"/>
    </row>
    <row r="47" spans="1:24" s="16" customFormat="1">
      <c r="A47" s="14">
        <v>40247</v>
      </c>
      <c r="B47" s="15">
        <v>130.44999999999999</v>
      </c>
      <c r="C47" s="15">
        <v>130.5</v>
      </c>
      <c r="D47"/>
      <c r="E47"/>
      <c r="F47">
        <v>2</v>
      </c>
      <c r="G47">
        <v>18</v>
      </c>
      <c r="H47">
        <v>2013</v>
      </c>
      <c r="I47" s="41">
        <v>41323</v>
      </c>
      <c r="J47" s="38"/>
      <c r="K47" s="38"/>
      <c r="L47" s="17"/>
      <c r="M47" s="18"/>
      <c r="N47" s="17"/>
      <c r="O47" s="38">
        <v>1.9634</v>
      </c>
      <c r="Q47" s="20">
        <v>54.265000000000001</v>
      </c>
      <c r="S47"/>
      <c r="T47"/>
      <c r="U47"/>
      <c r="V47"/>
      <c r="W47"/>
      <c r="X47" s="46"/>
    </row>
    <row r="48" spans="1:24" s="16" customFormat="1">
      <c r="A48" s="14">
        <v>40248</v>
      </c>
      <c r="B48" s="15">
        <v>130.9</v>
      </c>
      <c r="C48" s="15">
        <v>131.44999999999999</v>
      </c>
      <c r="D48"/>
      <c r="E48"/>
      <c r="F48">
        <v>2</v>
      </c>
      <c r="G48">
        <v>19</v>
      </c>
      <c r="H48">
        <v>2013</v>
      </c>
      <c r="I48" s="41">
        <v>41324</v>
      </c>
      <c r="J48" s="38"/>
      <c r="K48" s="38"/>
      <c r="L48" s="17"/>
      <c r="M48" s="18"/>
      <c r="N48" s="17"/>
      <c r="O48" s="38">
        <v>1.9542999999999999</v>
      </c>
      <c r="Q48" s="20">
        <v>54.13</v>
      </c>
      <c r="S48"/>
      <c r="T48"/>
      <c r="U48"/>
      <c r="V48"/>
      <c r="W48"/>
      <c r="X48" s="46"/>
    </row>
    <row r="49" spans="1:24" s="16" customFormat="1">
      <c r="A49" s="14">
        <v>40249</v>
      </c>
      <c r="B49" s="15">
        <v>130.05000000000001</v>
      </c>
      <c r="C49" s="15">
        <v>130.15</v>
      </c>
      <c r="D49"/>
      <c r="E49"/>
      <c r="F49">
        <v>2</v>
      </c>
      <c r="G49">
        <v>20</v>
      </c>
      <c r="H49">
        <v>2013</v>
      </c>
      <c r="I49" s="41">
        <v>41325</v>
      </c>
      <c r="J49" s="38"/>
      <c r="K49" s="38"/>
      <c r="L49" s="17"/>
      <c r="M49" s="18"/>
      <c r="N49" s="17"/>
      <c r="O49" s="38">
        <v>1.9611000000000001</v>
      </c>
      <c r="Q49" s="20">
        <v>54.075000000000003</v>
      </c>
      <c r="S49"/>
      <c r="T49"/>
      <c r="U49"/>
      <c r="V49"/>
      <c r="W49"/>
      <c r="X49" s="46"/>
    </row>
    <row r="50" spans="1:24" s="16" customFormat="1">
      <c r="A50" s="14">
        <v>40252</v>
      </c>
      <c r="B50" s="15">
        <v>0</v>
      </c>
      <c r="C50" s="15">
        <v>128.65</v>
      </c>
      <c r="D50"/>
      <c r="E50"/>
      <c r="F50">
        <v>2</v>
      </c>
      <c r="G50">
        <v>21</v>
      </c>
      <c r="H50">
        <v>2013</v>
      </c>
      <c r="I50" s="41">
        <v>41326</v>
      </c>
      <c r="J50" s="38"/>
      <c r="K50" s="38"/>
      <c r="L50" s="17"/>
      <c r="M50" s="18"/>
      <c r="N50" s="17"/>
      <c r="O50" s="38">
        <v>1.9735</v>
      </c>
      <c r="Q50" s="20">
        <v>54.475000000000001</v>
      </c>
      <c r="S50"/>
      <c r="T50"/>
      <c r="U50"/>
      <c r="V50"/>
      <c r="W50"/>
      <c r="X50" s="46"/>
    </row>
    <row r="51" spans="1:24" s="16" customFormat="1">
      <c r="A51" s="14">
        <v>40253</v>
      </c>
      <c r="B51" s="15">
        <v>129</v>
      </c>
      <c r="C51" s="15">
        <v>130.35</v>
      </c>
      <c r="D51"/>
      <c r="E51"/>
      <c r="F51">
        <v>2</v>
      </c>
      <c r="G51">
        <v>22</v>
      </c>
      <c r="H51">
        <v>2013</v>
      </c>
      <c r="I51" s="41">
        <v>41327</v>
      </c>
      <c r="J51" s="38"/>
      <c r="K51" s="38"/>
      <c r="L51" s="17"/>
      <c r="M51" s="18"/>
      <c r="N51" s="17"/>
      <c r="O51" s="38">
        <v>1.9726999999999999</v>
      </c>
      <c r="Q51" s="20">
        <v>54.28</v>
      </c>
      <c r="S51"/>
      <c r="T51"/>
      <c r="U51"/>
      <c r="V51"/>
      <c r="W51"/>
      <c r="X51" s="46"/>
    </row>
    <row r="52" spans="1:24" s="16" customFormat="1">
      <c r="A52" s="14">
        <v>40254</v>
      </c>
      <c r="B52" s="15">
        <v>130.5</v>
      </c>
      <c r="C52" s="15">
        <v>131.19999999999999</v>
      </c>
      <c r="D52"/>
      <c r="E52"/>
      <c r="F52">
        <v>2</v>
      </c>
      <c r="G52">
        <v>25</v>
      </c>
      <c r="H52">
        <v>2013</v>
      </c>
      <c r="I52" s="41">
        <v>41330</v>
      </c>
      <c r="J52" s="38"/>
      <c r="K52" s="38"/>
      <c r="L52" s="17"/>
      <c r="M52" s="18"/>
      <c r="N52" s="17"/>
      <c r="O52" s="38">
        <v>1.9830000000000001</v>
      </c>
      <c r="Q52" s="20">
        <v>54</v>
      </c>
      <c r="S52"/>
      <c r="T52"/>
      <c r="U52"/>
      <c r="V52"/>
      <c r="W52"/>
      <c r="X52" s="46"/>
    </row>
    <row r="53" spans="1:24" s="16" customFormat="1">
      <c r="A53" s="14">
        <v>40255</v>
      </c>
      <c r="B53" s="15">
        <v>130.55000000000001</v>
      </c>
      <c r="C53" s="15">
        <v>133.15</v>
      </c>
      <c r="D53"/>
      <c r="E53"/>
      <c r="F53">
        <v>2</v>
      </c>
      <c r="G53">
        <v>26</v>
      </c>
      <c r="H53">
        <v>2013</v>
      </c>
      <c r="I53" s="41">
        <v>41331</v>
      </c>
      <c r="J53" s="38"/>
      <c r="K53" s="38"/>
      <c r="L53" s="17"/>
      <c r="M53" s="18"/>
      <c r="N53" s="17"/>
      <c r="O53" s="38">
        <v>1.9824999999999999</v>
      </c>
      <c r="Q53" s="20">
        <v>54.1</v>
      </c>
      <c r="S53"/>
      <c r="T53"/>
      <c r="U53"/>
      <c r="V53"/>
      <c r="W53"/>
      <c r="X53" s="46"/>
    </row>
    <row r="54" spans="1:24" s="16" customFormat="1">
      <c r="A54" s="14">
        <v>40256</v>
      </c>
      <c r="B54" s="15">
        <v>132.44999999999999</v>
      </c>
      <c r="C54" s="15">
        <v>130.30000000000001</v>
      </c>
      <c r="D54"/>
      <c r="E54"/>
      <c r="F54">
        <v>2</v>
      </c>
      <c r="G54">
        <v>27</v>
      </c>
      <c r="H54">
        <v>2013</v>
      </c>
      <c r="I54" s="41">
        <v>41332</v>
      </c>
      <c r="J54" s="38"/>
      <c r="K54" s="38"/>
      <c r="L54" s="17"/>
      <c r="M54" s="18"/>
      <c r="N54" s="17"/>
      <c r="O54" s="38">
        <v>1.9732000000000001</v>
      </c>
      <c r="Q54" s="20">
        <v>53.865000000000002</v>
      </c>
      <c r="S54"/>
      <c r="T54"/>
      <c r="U54"/>
      <c r="V54"/>
      <c r="W54"/>
      <c r="X54" s="46"/>
    </row>
    <row r="55" spans="1:24" s="16" customFormat="1">
      <c r="A55" s="14">
        <v>40259</v>
      </c>
      <c r="B55" s="15">
        <v>130.85</v>
      </c>
      <c r="C55" s="15">
        <v>133</v>
      </c>
      <c r="D55"/>
      <c r="E55"/>
      <c r="F55">
        <v>2</v>
      </c>
      <c r="G55">
        <v>28</v>
      </c>
      <c r="H55">
        <v>2013</v>
      </c>
      <c r="I55" s="41">
        <v>41333</v>
      </c>
      <c r="J55" s="38"/>
      <c r="K55" s="38"/>
      <c r="L55" s="17"/>
      <c r="M55" s="18"/>
      <c r="N55" s="17"/>
      <c r="O55" s="38">
        <v>1.9802999999999999</v>
      </c>
      <c r="Q55" s="20">
        <v>54.37</v>
      </c>
      <c r="S55"/>
      <c r="T55"/>
      <c r="U55"/>
      <c r="V55"/>
      <c r="W55"/>
      <c r="X55" s="46"/>
    </row>
    <row r="56" spans="1:24" s="16" customFormat="1">
      <c r="A56" s="14">
        <v>40260</v>
      </c>
      <c r="B56" s="15">
        <v>132.4</v>
      </c>
      <c r="C56" s="15">
        <v>134.75</v>
      </c>
      <c r="D56"/>
      <c r="E56"/>
      <c r="F56">
        <v>3</v>
      </c>
      <c r="G56">
        <v>1</v>
      </c>
      <c r="H56">
        <v>2013</v>
      </c>
      <c r="I56" s="41">
        <v>41334</v>
      </c>
      <c r="J56" s="38"/>
      <c r="K56" s="38"/>
      <c r="L56" s="17"/>
      <c r="M56" s="18"/>
      <c r="N56" s="17"/>
      <c r="O56" s="38">
        <v>1.9792000000000001</v>
      </c>
      <c r="Q56" s="20">
        <v>54.905000000000001</v>
      </c>
      <c r="S56"/>
      <c r="T56"/>
      <c r="U56"/>
      <c r="V56"/>
      <c r="W56"/>
      <c r="X56" s="46"/>
    </row>
    <row r="57" spans="1:24" s="16" customFormat="1">
      <c r="A57" s="14">
        <v>40261</v>
      </c>
      <c r="B57" s="15">
        <v>133.30000000000001</v>
      </c>
      <c r="C57" s="15">
        <v>134.30000000000001</v>
      </c>
      <c r="D57"/>
      <c r="E57"/>
      <c r="F57">
        <v>3</v>
      </c>
      <c r="G57">
        <v>4</v>
      </c>
      <c r="H57">
        <v>2013</v>
      </c>
      <c r="I57" s="41">
        <v>41337</v>
      </c>
      <c r="J57" s="38"/>
      <c r="K57" s="38"/>
      <c r="L57" s="17"/>
      <c r="M57" s="18"/>
      <c r="N57" s="17"/>
      <c r="O57" s="38">
        <v>1.9708000000000001</v>
      </c>
      <c r="Q57" s="20">
        <v>54.96</v>
      </c>
      <c r="S57"/>
      <c r="T57"/>
      <c r="U57"/>
      <c r="V57"/>
      <c r="W57"/>
      <c r="X57" s="46"/>
    </row>
    <row r="58" spans="1:24" s="16" customFormat="1">
      <c r="A58" s="14">
        <v>40262</v>
      </c>
      <c r="B58" s="15">
        <v>134.15</v>
      </c>
      <c r="C58" s="15">
        <v>137</v>
      </c>
      <c r="D58"/>
      <c r="E58"/>
      <c r="F58">
        <v>3</v>
      </c>
      <c r="G58">
        <v>5</v>
      </c>
      <c r="H58">
        <v>2013</v>
      </c>
      <c r="I58" s="41">
        <v>41338</v>
      </c>
      <c r="J58" s="38"/>
      <c r="K58" s="38"/>
      <c r="L58" s="17"/>
      <c r="M58" s="18"/>
      <c r="N58" s="17"/>
      <c r="O58" s="38">
        <v>1.9643999999999999</v>
      </c>
      <c r="Q58" s="20">
        <v>54.954999999999998</v>
      </c>
      <c r="S58"/>
      <c r="T58"/>
      <c r="U58"/>
      <c r="V58"/>
      <c r="W58"/>
      <c r="X58" s="46"/>
    </row>
    <row r="59" spans="1:24" s="16" customFormat="1">
      <c r="A59" s="14">
        <v>40263</v>
      </c>
      <c r="B59" s="15">
        <v>135.35</v>
      </c>
      <c r="C59" s="15">
        <v>135.85</v>
      </c>
      <c r="D59"/>
      <c r="E59"/>
      <c r="F59">
        <v>3</v>
      </c>
      <c r="G59">
        <v>6</v>
      </c>
      <c r="H59">
        <v>2013</v>
      </c>
      <c r="I59" s="41">
        <v>41339</v>
      </c>
      <c r="J59" s="38"/>
      <c r="K59" s="38"/>
      <c r="L59" s="17"/>
      <c r="M59" s="18"/>
      <c r="N59" s="17"/>
      <c r="O59" s="38">
        <v>1.9708000000000001</v>
      </c>
      <c r="Q59" s="20">
        <v>54.81</v>
      </c>
      <c r="S59"/>
      <c r="T59"/>
      <c r="U59"/>
      <c r="V59"/>
      <c r="W59"/>
      <c r="X59" s="46"/>
    </row>
    <row r="60" spans="1:24" s="16" customFormat="1">
      <c r="A60" s="14">
        <v>40266</v>
      </c>
      <c r="B60" s="15">
        <v>135.85</v>
      </c>
      <c r="C60" s="15">
        <v>138.15</v>
      </c>
      <c r="D60"/>
      <c r="E60"/>
      <c r="F60">
        <v>3</v>
      </c>
      <c r="G60">
        <v>7</v>
      </c>
      <c r="H60">
        <v>2013</v>
      </c>
      <c r="I60" s="41">
        <v>41340</v>
      </c>
      <c r="J60" s="38"/>
      <c r="K60" s="38"/>
      <c r="L60" s="17"/>
      <c r="M60" s="18"/>
      <c r="N60" s="17"/>
      <c r="O60" s="38">
        <v>1.9607000000000001</v>
      </c>
      <c r="Q60" s="20">
        <v>54.46</v>
      </c>
      <c r="S60"/>
      <c r="T60"/>
      <c r="U60"/>
      <c r="V60"/>
      <c r="W60"/>
      <c r="X60" s="46"/>
    </row>
    <row r="61" spans="1:24" s="16" customFormat="1">
      <c r="A61" s="14">
        <v>40267</v>
      </c>
      <c r="B61" s="15">
        <v>137.30000000000001</v>
      </c>
      <c r="C61" s="15">
        <v>138.94999999999999</v>
      </c>
      <c r="D61"/>
      <c r="E61"/>
      <c r="F61">
        <v>3</v>
      </c>
      <c r="G61">
        <v>8</v>
      </c>
      <c r="H61">
        <v>2013</v>
      </c>
      <c r="I61" s="41">
        <v>41341</v>
      </c>
      <c r="J61" s="38"/>
      <c r="K61" s="38"/>
      <c r="L61" s="17"/>
      <c r="M61" s="18"/>
      <c r="N61" s="17"/>
      <c r="O61" s="38">
        <v>1.9447000000000001</v>
      </c>
      <c r="Q61" s="20">
        <v>54.35</v>
      </c>
      <c r="S61"/>
      <c r="T61"/>
      <c r="U61"/>
      <c r="V61"/>
      <c r="W61"/>
      <c r="X61" s="46"/>
    </row>
    <row r="62" spans="1:24" s="16" customFormat="1">
      <c r="A62" s="14">
        <v>40268</v>
      </c>
      <c r="B62" s="15">
        <v>134.69999999999999</v>
      </c>
      <c r="C62" s="15">
        <v>136.15</v>
      </c>
      <c r="D62"/>
      <c r="E62"/>
      <c r="F62">
        <v>3</v>
      </c>
      <c r="G62">
        <v>11</v>
      </c>
      <c r="H62">
        <v>2013</v>
      </c>
      <c r="I62" s="41">
        <v>41344</v>
      </c>
      <c r="J62" s="38"/>
      <c r="K62" s="38"/>
      <c r="L62" s="17"/>
      <c r="M62" s="18"/>
      <c r="N62" s="17"/>
      <c r="O62" s="38">
        <v>1.9567000000000001</v>
      </c>
      <c r="Q62" s="20">
        <v>54.34</v>
      </c>
      <c r="S62"/>
      <c r="T62"/>
      <c r="U62"/>
      <c r="V62"/>
      <c r="W62"/>
      <c r="X62" s="46"/>
    </row>
    <row r="63" spans="1:24" s="16" customFormat="1">
      <c r="A63" s="14">
        <v>40269</v>
      </c>
      <c r="B63" s="15">
        <v>136.30000000000001</v>
      </c>
      <c r="C63" s="15">
        <v>137.4</v>
      </c>
      <c r="D63"/>
      <c r="E63"/>
      <c r="F63">
        <v>3</v>
      </c>
      <c r="G63">
        <v>12</v>
      </c>
      <c r="H63">
        <v>2013</v>
      </c>
      <c r="I63" s="41">
        <v>41345</v>
      </c>
      <c r="J63" s="38"/>
      <c r="K63" s="38"/>
      <c r="L63" s="17"/>
      <c r="M63" s="18"/>
      <c r="N63" s="17"/>
      <c r="O63" s="38">
        <v>1.9646999999999999</v>
      </c>
      <c r="Q63" s="20">
        <v>54.15</v>
      </c>
      <c r="S63"/>
      <c r="T63"/>
      <c r="U63"/>
      <c r="V63"/>
      <c r="W63"/>
      <c r="X63" s="46"/>
    </row>
    <row r="64" spans="1:24" s="16" customFormat="1">
      <c r="A64" s="14">
        <v>40273</v>
      </c>
      <c r="B64" s="15">
        <v>137.30000000000001</v>
      </c>
      <c r="C64" s="15">
        <v>139.65</v>
      </c>
      <c r="D64"/>
      <c r="E64"/>
      <c r="F64">
        <v>3</v>
      </c>
      <c r="G64">
        <v>13</v>
      </c>
      <c r="H64">
        <v>2013</v>
      </c>
      <c r="I64" s="41">
        <v>41346</v>
      </c>
      <c r="J64" s="38"/>
      <c r="K64" s="38"/>
      <c r="L64" s="17"/>
      <c r="M64" s="18"/>
      <c r="N64" s="17"/>
      <c r="O64" s="38">
        <v>1.9722999999999999</v>
      </c>
      <c r="Q64" s="20">
        <v>54.37</v>
      </c>
      <c r="S64"/>
      <c r="T64"/>
      <c r="U64"/>
      <c r="V64"/>
      <c r="W64"/>
      <c r="X64" s="46"/>
    </row>
    <row r="65" spans="1:24" s="16" customFormat="1">
      <c r="A65" s="14">
        <v>40274</v>
      </c>
      <c r="B65" s="15">
        <v>137.75</v>
      </c>
      <c r="C65" s="15">
        <v>139.19999999999999</v>
      </c>
      <c r="D65"/>
      <c r="E65"/>
      <c r="F65">
        <v>3</v>
      </c>
      <c r="G65">
        <v>14</v>
      </c>
      <c r="H65">
        <v>2013</v>
      </c>
      <c r="I65" s="41">
        <v>41347</v>
      </c>
      <c r="J65" s="38"/>
      <c r="K65" s="38"/>
      <c r="L65" s="17"/>
      <c r="M65" s="18"/>
      <c r="N65" s="17"/>
      <c r="O65" s="38">
        <v>1.9717</v>
      </c>
      <c r="Q65" s="20">
        <v>54.185000000000002</v>
      </c>
      <c r="S65"/>
      <c r="T65"/>
      <c r="U65"/>
      <c r="V65"/>
      <c r="W65"/>
      <c r="X65" s="46"/>
    </row>
    <row r="66" spans="1:24" s="16" customFormat="1">
      <c r="A66" s="14">
        <v>40275</v>
      </c>
      <c r="B66" s="15">
        <v>136.5</v>
      </c>
      <c r="C66" s="15">
        <v>137.55000000000001</v>
      </c>
      <c r="D66"/>
      <c r="E66"/>
      <c r="F66">
        <v>3</v>
      </c>
      <c r="G66">
        <v>15</v>
      </c>
      <c r="H66">
        <v>2013</v>
      </c>
      <c r="I66" s="41">
        <v>41348</v>
      </c>
      <c r="J66" s="38"/>
      <c r="K66" s="38"/>
      <c r="L66" s="17"/>
      <c r="M66" s="18"/>
      <c r="N66" s="17"/>
      <c r="O66" s="38">
        <v>1.9817</v>
      </c>
      <c r="Q66" s="20">
        <v>54.03</v>
      </c>
      <c r="S66"/>
      <c r="T66"/>
      <c r="U66"/>
      <c r="V66"/>
      <c r="W66"/>
      <c r="X66" s="46"/>
    </row>
    <row r="67" spans="1:24" s="16" customFormat="1">
      <c r="A67" s="14">
        <v>40276</v>
      </c>
      <c r="B67" s="15">
        <v>133.80000000000001</v>
      </c>
      <c r="C67" s="15">
        <v>134.69999999999999</v>
      </c>
      <c r="D67"/>
      <c r="E67"/>
      <c r="F67">
        <v>3</v>
      </c>
      <c r="G67">
        <v>18</v>
      </c>
      <c r="H67">
        <v>2013</v>
      </c>
      <c r="I67" s="41">
        <v>41351</v>
      </c>
      <c r="J67" s="38"/>
      <c r="K67" s="38"/>
      <c r="L67" s="17"/>
      <c r="M67" s="18"/>
      <c r="N67" s="17"/>
      <c r="O67" s="38">
        <v>1.982</v>
      </c>
      <c r="Q67" s="20">
        <v>54.08</v>
      </c>
      <c r="S67"/>
      <c r="T67"/>
      <c r="U67"/>
      <c r="V67"/>
      <c r="W67"/>
      <c r="X67" s="46"/>
    </row>
    <row r="68" spans="1:24" s="16" customFormat="1">
      <c r="A68" s="14">
        <v>40277</v>
      </c>
      <c r="B68" s="15">
        <v>132.5</v>
      </c>
      <c r="C68" s="15">
        <v>132.69999999999999</v>
      </c>
      <c r="D68"/>
      <c r="E68"/>
      <c r="F68">
        <v>3</v>
      </c>
      <c r="G68">
        <v>19</v>
      </c>
      <c r="H68">
        <v>2013</v>
      </c>
      <c r="I68" s="41">
        <v>41352</v>
      </c>
      <c r="J68" s="38"/>
      <c r="K68" s="38"/>
      <c r="L68" s="17"/>
      <c r="M68" s="18"/>
      <c r="N68" s="17"/>
      <c r="O68" s="38">
        <v>1.9855</v>
      </c>
      <c r="Q68" s="20">
        <v>54.5</v>
      </c>
      <c r="S68"/>
      <c r="T68"/>
      <c r="U68"/>
      <c r="V68"/>
      <c r="W68"/>
      <c r="X68" s="46"/>
    </row>
    <row r="69" spans="1:24" s="16" customFormat="1">
      <c r="A69" s="14">
        <v>40280</v>
      </c>
      <c r="B69" s="15">
        <v>133.05000000000001</v>
      </c>
      <c r="C69" s="15">
        <v>133.55000000000001</v>
      </c>
      <c r="D69"/>
      <c r="E69"/>
      <c r="F69">
        <v>3</v>
      </c>
      <c r="G69">
        <v>20</v>
      </c>
      <c r="H69">
        <v>2013</v>
      </c>
      <c r="I69" s="41">
        <v>41353</v>
      </c>
      <c r="J69" s="38"/>
      <c r="K69" s="38"/>
      <c r="L69" s="17"/>
      <c r="M69" s="18"/>
      <c r="N69" s="17"/>
      <c r="O69" s="38">
        <v>1.9903</v>
      </c>
      <c r="Q69" s="20">
        <v>54.33</v>
      </c>
      <c r="S69"/>
      <c r="T69"/>
      <c r="U69"/>
      <c r="V69"/>
      <c r="W69"/>
      <c r="X69" s="46"/>
    </row>
    <row r="70" spans="1:24" s="16" customFormat="1">
      <c r="A70" s="14">
        <v>40281</v>
      </c>
      <c r="B70" s="15">
        <v>131.9</v>
      </c>
      <c r="C70" s="15">
        <v>132.19999999999999</v>
      </c>
      <c r="D70"/>
      <c r="E70"/>
      <c r="F70">
        <v>3</v>
      </c>
      <c r="G70">
        <v>21</v>
      </c>
      <c r="H70">
        <v>2013</v>
      </c>
      <c r="I70" s="41">
        <v>41354</v>
      </c>
      <c r="J70" s="38"/>
      <c r="K70" s="38"/>
      <c r="L70" s="17"/>
      <c r="M70" s="18"/>
      <c r="N70" s="17"/>
      <c r="O70" s="38">
        <v>2.0082</v>
      </c>
      <c r="Q70" s="20">
        <v>54.45</v>
      </c>
      <c r="S70"/>
      <c r="T70"/>
      <c r="U70"/>
      <c r="V70"/>
      <c r="W70"/>
      <c r="X70" s="46"/>
    </row>
    <row r="71" spans="1:24" s="16" customFormat="1">
      <c r="A71" s="14">
        <v>40282</v>
      </c>
      <c r="B71" s="15">
        <v>131.69999999999999</v>
      </c>
      <c r="C71" s="15">
        <v>131.85</v>
      </c>
      <c r="D71"/>
      <c r="E71"/>
      <c r="F71">
        <v>3</v>
      </c>
      <c r="G71">
        <v>22</v>
      </c>
      <c r="H71">
        <v>2013</v>
      </c>
      <c r="I71" s="41">
        <v>41355</v>
      </c>
      <c r="J71" s="38"/>
      <c r="K71" s="38"/>
      <c r="L71" s="17"/>
      <c r="M71" s="18"/>
      <c r="N71" s="17"/>
      <c r="O71" s="38">
        <v>2.0091000000000001</v>
      </c>
      <c r="Q71" s="20">
        <v>54.35</v>
      </c>
      <c r="S71"/>
      <c r="T71"/>
      <c r="U71"/>
      <c r="V71"/>
      <c r="W71"/>
      <c r="X71" s="46"/>
    </row>
    <row r="72" spans="1:24" s="16" customFormat="1">
      <c r="A72" s="14">
        <v>40283</v>
      </c>
      <c r="B72" s="15">
        <v>130.05000000000001</v>
      </c>
      <c r="C72" s="15">
        <v>131.75</v>
      </c>
      <c r="D72"/>
      <c r="E72"/>
      <c r="F72">
        <v>3</v>
      </c>
      <c r="G72">
        <v>25</v>
      </c>
      <c r="H72">
        <v>2013</v>
      </c>
      <c r="I72" s="41">
        <v>41358</v>
      </c>
      <c r="J72" s="38"/>
      <c r="K72" s="38"/>
      <c r="L72" s="17"/>
      <c r="M72" s="18"/>
      <c r="N72" s="17"/>
      <c r="O72" s="38">
        <v>2.0123000000000002</v>
      </c>
      <c r="Q72" s="20">
        <v>54.3</v>
      </c>
      <c r="S72"/>
      <c r="T72"/>
      <c r="U72"/>
      <c r="V72"/>
      <c r="W72"/>
      <c r="X72" s="46"/>
    </row>
    <row r="73" spans="1:24" s="16" customFormat="1">
      <c r="A73" s="14">
        <v>40284</v>
      </c>
      <c r="B73" s="15">
        <v>129</v>
      </c>
      <c r="C73" s="15">
        <v>129.1</v>
      </c>
      <c r="D73"/>
      <c r="E73"/>
      <c r="F73">
        <v>3</v>
      </c>
      <c r="G73">
        <v>26</v>
      </c>
      <c r="H73">
        <v>2013</v>
      </c>
      <c r="I73" s="41">
        <v>41359</v>
      </c>
      <c r="J73" s="38"/>
      <c r="K73" s="38"/>
      <c r="L73" s="17"/>
      <c r="M73" s="18"/>
      <c r="N73" s="17"/>
      <c r="O73" s="38">
        <v>2.0173000000000001</v>
      </c>
      <c r="Q73" s="20">
        <v>54.48</v>
      </c>
      <c r="S73"/>
      <c r="T73"/>
      <c r="U73"/>
      <c r="V73"/>
      <c r="W73"/>
      <c r="X73" s="46"/>
    </row>
    <row r="74" spans="1:24" s="16" customFormat="1">
      <c r="A74" s="14">
        <v>40287</v>
      </c>
      <c r="B74" s="15">
        <v>128.85</v>
      </c>
      <c r="C74" s="15">
        <v>129</v>
      </c>
      <c r="D74"/>
      <c r="E74"/>
      <c r="F74">
        <v>3</v>
      </c>
      <c r="G74">
        <v>27</v>
      </c>
      <c r="H74">
        <v>2013</v>
      </c>
      <c r="I74" s="41">
        <v>41360</v>
      </c>
      <c r="J74" s="38"/>
      <c r="K74" s="38"/>
      <c r="L74" s="17"/>
      <c r="M74" s="18"/>
      <c r="N74" s="17"/>
      <c r="O74" s="38">
        <v>2.0110000000000001</v>
      </c>
      <c r="Q74" s="20">
        <v>54.43</v>
      </c>
      <c r="S74"/>
      <c r="T74"/>
      <c r="U74"/>
      <c r="V74"/>
      <c r="W74"/>
      <c r="X74" s="46"/>
    </row>
    <row r="75" spans="1:24" s="16" customFormat="1">
      <c r="A75" s="14">
        <v>40288</v>
      </c>
      <c r="B75" s="15">
        <v>129</v>
      </c>
      <c r="C75" s="15">
        <v>129.15</v>
      </c>
      <c r="D75"/>
      <c r="E75"/>
      <c r="F75">
        <v>3</v>
      </c>
      <c r="G75">
        <v>28</v>
      </c>
      <c r="H75">
        <v>2013</v>
      </c>
      <c r="I75" s="41">
        <v>41361</v>
      </c>
      <c r="J75" s="38"/>
      <c r="K75" s="38"/>
      <c r="L75" s="17"/>
      <c r="M75" s="18"/>
      <c r="N75" s="17"/>
      <c r="O75" s="38">
        <v>2.0224000000000002</v>
      </c>
      <c r="Q75" s="20">
        <v>54.284999999999997</v>
      </c>
      <c r="S75"/>
      <c r="T75"/>
      <c r="U75"/>
      <c r="V75"/>
      <c r="W75"/>
      <c r="X75" s="46"/>
    </row>
    <row r="76" spans="1:24" s="16" customFormat="1">
      <c r="A76" s="14">
        <v>40289</v>
      </c>
      <c r="B76" s="15">
        <v>128.6</v>
      </c>
      <c r="C76" s="15">
        <v>129.69999999999999</v>
      </c>
      <c r="D76"/>
      <c r="E76"/>
      <c r="F76">
        <v>3</v>
      </c>
      <c r="G76">
        <v>29</v>
      </c>
      <c r="H76">
        <v>2013</v>
      </c>
      <c r="I76" s="41">
        <v>41362</v>
      </c>
      <c r="J76" s="38"/>
      <c r="K76" s="38"/>
      <c r="L76" s="17"/>
      <c r="M76" s="18"/>
      <c r="N76" s="17"/>
      <c r="O76" s="38">
        <v>2.0242</v>
      </c>
      <c r="Q76" s="20">
        <v>54.284999999999997</v>
      </c>
      <c r="S76"/>
      <c r="T76"/>
      <c r="U76"/>
      <c r="V76"/>
      <c r="W76"/>
      <c r="X76" s="46"/>
    </row>
    <row r="77" spans="1:24" s="16" customFormat="1">
      <c r="A77" s="14">
        <v>40290</v>
      </c>
      <c r="B77" s="15">
        <v>129.5</v>
      </c>
      <c r="C77" s="15">
        <v>131.1</v>
      </c>
      <c r="D77"/>
      <c r="E77"/>
      <c r="F77">
        <v>4</v>
      </c>
      <c r="G77">
        <v>1</v>
      </c>
      <c r="H77">
        <v>2013</v>
      </c>
      <c r="I77" s="41">
        <v>41365</v>
      </c>
      <c r="J77" s="38"/>
      <c r="K77" s="38"/>
      <c r="L77" s="17"/>
      <c r="M77" s="18"/>
      <c r="N77" s="17"/>
      <c r="O77" s="38">
        <v>2.0205000000000002</v>
      </c>
      <c r="Q77" s="20">
        <v>54.17</v>
      </c>
      <c r="S77"/>
      <c r="T77"/>
      <c r="U77"/>
      <c r="V77"/>
      <c r="W77"/>
      <c r="X77" s="46"/>
    </row>
    <row r="78" spans="1:24" s="16" customFormat="1">
      <c r="A78" s="14">
        <v>40291</v>
      </c>
      <c r="B78" s="15">
        <v>130.94999999999999</v>
      </c>
      <c r="C78" s="15">
        <v>131.80000000000001</v>
      </c>
      <c r="D78"/>
      <c r="E78"/>
      <c r="F78">
        <v>4</v>
      </c>
      <c r="G78">
        <v>2</v>
      </c>
      <c r="H78">
        <v>2013</v>
      </c>
      <c r="I78" s="41">
        <v>41366</v>
      </c>
      <c r="J78" s="38"/>
      <c r="K78" s="38"/>
      <c r="L78" s="17"/>
      <c r="M78" s="18"/>
      <c r="N78" s="17"/>
      <c r="O78" s="38">
        <v>2.0190000000000001</v>
      </c>
      <c r="Q78" s="20">
        <v>54.43</v>
      </c>
      <c r="S78"/>
      <c r="T78"/>
      <c r="U78"/>
      <c r="V78"/>
      <c r="W78"/>
      <c r="X78" s="46"/>
    </row>
    <row r="79" spans="1:24" s="16" customFormat="1">
      <c r="A79" s="14">
        <v>40294</v>
      </c>
      <c r="B79" s="15">
        <v>131.80000000000001</v>
      </c>
      <c r="C79" s="15">
        <v>132.55000000000001</v>
      </c>
      <c r="D79"/>
      <c r="E79"/>
      <c r="F79">
        <v>4</v>
      </c>
      <c r="G79">
        <v>3</v>
      </c>
      <c r="H79">
        <v>2013</v>
      </c>
      <c r="I79" s="41">
        <v>41367</v>
      </c>
      <c r="J79" s="38"/>
      <c r="K79" s="38"/>
      <c r="L79" s="17"/>
      <c r="M79" s="18"/>
      <c r="N79" s="17"/>
      <c r="O79" s="38">
        <v>2.0245000000000002</v>
      </c>
      <c r="Q79" s="20">
        <v>54.53</v>
      </c>
      <c r="S79"/>
      <c r="T79"/>
      <c r="U79"/>
      <c r="V79"/>
      <c r="W79"/>
      <c r="X79" s="46"/>
    </row>
    <row r="80" spans="1:24" s="16" customFormat="1">
      <c r="A80" s="14">
        <v>40295</v>
      </c>
      <c r="B80" s="15">
        <v>130.35</v>
      </c>
      <c r="C80" s="15">
        <v>130.80000000000001</v>
      </c>
      <c r="D80"/>
      <c r="E80"/>
      <c r="F80">
        <v>4</v>
      </c>
      <c r="G80">
        <v>4</v>
      </c>
      <c r="H80">
        <v>2013</v>
      </c>
      <c r="I80" s="41">
        <v>41368</v>
      </c>
      <c r="J80" s="38"/>
      <c r="K80" s="38"/>
      <c r="L80" s="17"/>
      <c r="M80" s="18"/>
      <c r="N80" s="17"/>
      <c r="O80" s="38">
        <v>2.0137</v>
      </c>
      <c r="Q80" s="20">
        <v>54.89</v>
      </c>
      <c r="S80"/>
      <c r="T80"/>
      <c r="U80"/>
      <c r="V80"/>
      <c r="W80"/>
      <c r="X80" s="46"/>
    </row>
    <row r="81" spans="1:24" s="16" customFormat="1">
      <c r="A81" s="14">
        <v>40296</v>
      </c>
      <c r="B81" s="15">
        <v>130.75</v>
      </c>
      <c r="C81" s="15">
        <v>133.85</v>
      </c>
      <c r="D81"/>
      <c r="E81"/>
      <c r="F81">
        <v>4</v>
      </c>
      <c r="G81">
        <v>5</v>
      </c>
      <c r="H81">
        <v>2013</v>
      </c>
      <c r="I81" s="41">
        <v>41369</v>
      </c>
      <c r="J81" s="38"/>
      <c r="K81" s="38"/>
      <c r="L81" s="17"/>
      <c r="M81" s="18"/>
      <c r="N81" s="17"/>
      <c r="O81" s="38">
        <v>1.986</v>
      </c>
      <c r="Q81" s="20">
        <v>54.81</v>
      </c>
      <c r="S81"/>
      <c r="T81"/>
      <c r="U81"/>
      <c r="V81"/>
      <c r="W81"/>
      <c r="X81" s="46"/>
    </row>
    <row r="82" spans="1:24" s="16" customFormat="1">
      <c r="A82" s="14">
        <v>40297</v>
      </c>
      <c r="B82" s="15">
        <v>133.5</v>
      </c>
      <c r="C82" s="15">
        <v>134.5</v>
      </c>
      <c r="D82"/>
      <c r="E82"/>
      <c r="F82">
        <v>4</v>
      </c>
      <c r="G82">
        <v>8</v>
      </c>
      <c r="H82">
        <v>2013</v>
      </c>
      <c r="I82" s="41">
        <v>41372</v>
      </c>
      <c r="J82" s="38"/>
      <c r="K82" s="38"/>
      <c r="L82" s="17"/>
      <c r="M82" s="18"/>
      <c r="N82" s="17"/>
      <c r="O82" s="38">
        <v>1.9922</v>
      </c>
      <c r="Q82" s="20">
        <v>54.61</v>
      </c>
      <c r="S82"/>
      <c r="T82"/>
      <c r="U82"/>
      <c r="V82"/>
      <c r="W82"/>
      <c r="X82" s="46"/>
    </row>
    <row r="83" spans="1:24" s="16" customFormat="1">
      <c r="A83" s="14">
        <v>40298</v>
      </c>
      <c r="B83" s="15">
        <v>134.35</v>
      </c>
      <c r="C83" s="15">
        <v>135.19999999999999</v>
      </c>
      <c r="D83"/>
      <c r="E83"/>
      <c r="F83">
        <v>4</v>
      </c>
      <c r="G83">
        <v>9</v>
      </c>
      <c r="H83">
        <v>2013</v>
      </c>
      <c r="I83" s="41">
        <v>41373</v>
      </c>
      <c r="J83" s="38"/>
      <c r="K83" s="38"/>
      <c r="L83" s="17"/>
      <c r="M83" s="18"/>
      <c r="N83" s="17"/>
      <c r="O83" s="38">
        <v>1.9811000000000001</v>
      </c>
      <c r="Q83" s="20">
        <v>54.48</v>
      </c>
      <c r="S83"/>
      <c r="T83"/>
      <c r="U83"/>
      <c r="V83"/>
      <c r="W83"/>
      <c r="X83" s="46"/>
    </row>
    <row r="84" spans="1:24" s="16" customFormat="1">
      <c r="A84" s="14">
        <v>40301</v>
      </c>
      <c r="B84" s="15">
        <v>136.19999999999999</v>
      </c>
      <c r="C84" s="15">
        <v>138.4</v>
      </c>
      <c r="D84"/>
      <c r="E84"/>
      <c r="F84">
        <v>4</v>
      </c>
      <c r="G84">
        <v>10</v>
      </c>
      <c r="H84">
        <v>2013</v>
      </c>
      <c r="I84" s="41">
        <v>41374</v>
      </c>
      <c r="J84" s="38"/>
      <c r="K84" s="38"/>
      <c r="L84" s="17"/>
      <c r="M84" s="18"/>
      <c r="N84" s="17"/>
      <c r="O84" s="38">
        <v>1.9742999999999999</v>
      </c>
      <c r="Q84" s="20">
        <v>54.42</v>
      </c>
      <c r="S84"/>
      <c r="T84"/>
      <c r="U84"/>
      <c r="V84"/>
      <c r="W84"/>
      <c r="X84" s="46"/>
    </row>
    <row r="85" spans="1:24" s="16" customFormat="1">
      <c r="A85" s="14">
        <v>40302</v>
      </c>
      <c r="B85" s="15">
        <v>136.35</v>
      </c>
      <c r="C85" s="15">
        <v>137.4</v>
      </c>
      <c r="D85"/>
      <c r="E85"/>
      <c r="F85">
        <v>4</v>
      </c>
      <c r="G85">
        <v>11</v>
      </c>
      <c r="H85">
        <v>2013</v>
      </c>
      <c r="I85" s="41">
        <v>41375</v>
      </c>
      <c r="J85" s="38"/>
      <c r="K85" s="38"/>
      <c r="L85" s="17"/>
      <c r="M85" s="18"/>
      <c r="N85" s="17"/>
      <c r="O85" s="38">
        <v>1.9737</v>
      </c>
      <c r="Q85" s="20">
        <v>54.305</v>
      </c>
      <c r="S85"/>
      <c r="T85"/>
      <c r="U85"/>
      <c r="V85"/>
      <c r="W85"/>
      <c r="X85" s="46"/>
    </row>
    <row r="86" spans="1:24" s="16" customFormat="1">
      <c r="A86" s="14">
        <v>40303</v>
      </c>
      <c r="B86" s="15">
        <v>136.75</v>
      </c>
      <c r="C86" s="15">
        <v>137.25</v>
      </c>
      <c r="D86"/>
      <c r="E86"/>
      <c r="F86">
        <v>4</v>
      </c>
      <c r="G86">
        <v>12</v>
      </c>
      <c r="H86">
        <v>2013</v>
      </c>
      <c r="I86" s="41">
        <v>41376</v>
      </c>
      <c r="J86" s="38"/>
      <c r="K86" s="38"/>
      <c r="L86" s="17"/>
      <c r="M86" s="18"/>
      <c r="N86" s="17"/>
      <c r="O86" s="38">
        <v>1.9695</v>
      </c>
      <c r="Q86" s="20">
        <v>54.52</v>
      </c>
      <c r="S86"/>
      <c r="T86"/>
      <c r="U86"/>
      <c r="V86"/>
      <c r="W86"/>
      <c r="X86" s="46"/>
    </row>
    <row r="87" spans="1:24" s="16" customFormat="1">
      <c r="A87" s="14">
        <v>40304</v>
      </c>
      <c r="B87" s="15">
        <v>133</v>
      </c>
      <c r="C87" s="15">
        <v>133.15</v>
      </c>
      <c r="D87"/>
      <c r="E87"/>
      <c r="F87">
        <v>4</v>
      </c>
      <c r="G87">
        <v>15</v>
      </c>
      <c r="H87">
        <v>2013</v>
      </c>
      <c r="I87" s="41">
        <v>41379</v>
      </c>
      <c r="J87" s="38"/>
      <c r="K87" s="38"/>
      <c r="L87" s="17"/>
      <c r="M87" s="18"/>
      <c r="N87" s="17"/>
      <c r="O87" s="38">
        <v>2.0011999999999999</v>
      </c>
      <c r="Q87" s="20">
        <v>54.55</v>
      </c>
      <c r="S87"/>
      <c r="T87"/>
      <c r="U87"/>
      <c r="V87"/>
      <c r="W87"/>
      <c r="X87" s="46"/>
    </row>
    <row r="88" spans="1:24" s="16" customFormat="1">
      <c r="A88" s="14">
        <v>40305</v>
      </c>
      <c r="B88" s="15">
        <v>131.25</v>
      </c>
      <c r="C88" s="15">
        <v>133</v>
      </c>
      <c r="D88"/>
      <c r="E88"/>
      <c r="F88">
        <v>4</v>
      </c>
      <c r="G88">
        <v>16</v>
      </c>
      <c r="H88">
        <v>2013</v>
      </c>
      <c r="I88" s="41">
        <v>41380</v>
      </c>
      <c r="J88" s="38"/>
      <c r="K88" s="38"/>
      <c r="L88" s="17"/>
      <c r="M88" s="18"/>
      <c r="N88" s="17"/>
      <c r="O88" s="38">
        <v>1.9870000000000001</v>
      </c>
      <c r="Q88" s="20">
        <v>53.97</v>
      </c>
      <c r="S88"/>
      <c r="T88"/>
      <c r="U88"/>
      <c r="V88"/>
      <c r="W88"/>
      <c r="X88" s="46"/>
    </row>
    <row r="89" spans="1:24" s="16" customFormat="1">
      <c r="A89" s="14">
        <v>40308</v>
      </c>
      <c r="B89" s="15">
        <v>134</v>
      </c>
      <c r="C89" s="15">
        <v>133.55000000000001</v>
      </c>
      <c r="D89"/>
      <c r="E89"/>
      <c r="F89">
        <v>4</v>
      </c>
      <c r="G89">
        <v>17</v>
      </c>
      <c r="H89">
        <v>2013</v>
      </c>
      <c r="I89" s="41">
        <v>41381</v>
      </c>
      <c r="J89" s="38"/>
      <c r="K89" s="38"/>
      <c r="L89" s="17"/>
      <c r="M89" s="18"/>
      <c r="N89" s="17"/>
      <c r="O89" s="38">
        <v>2.0011999999999999</v>
      </c>
      <c r="Q89" s="20">
        <v>54.18</v>
      </c>
      <c r="S89"/>
      <c r="T89"/>
      <c r="U89"/>
      <c r="V89"/>
      <c r="W89"/>
      <c r="X89" s="46"/>
    </row>
    <row r="90" spans="1:24" s="16" customFormat="1">
      <c r="A90" s="14">
        <v>40309</v>
      </c>
      <c r="B90" s="15">
        <v>134.05000000000001</v>
      </c>
      <c r="C90" s="15">
        <v>135.25</v>
      </c>
      <c r="D90"/>
      <c r="E90"/>
      <c r="F90">
        <v>4</v>
      </c>
      <c r="G90">
        <v>18</v>
      </c>
      <c r="H90">
        <v>2013</v>
      </c>
      <c r="I90" s="41">
        <v>41382</v>
      </c>
      <c r="J90" s="38"/>
      <c r="K90" s="38"/>
      <c r="L90" s="17"/>
      <c r="M90" s="18"/>
      <c r="N90" s="17"/>
      <c r="O90" s="38">
        <v>2.0186999999999999</v>
      </c>
      <c r="Q90" s="20">
        <v>54.03</v>
      </c>
      <c r="S90"/>
      <c r="T90"/>
      <c r="U90"/>
      <c r="V90"/>
      <c r="W90"/>
      <c r="X90" s="46"/>
    </row>
    <row r="91" spans="1:24" s="16" customFormat="1">
      <c r="A91" s="14">
        <v>40310</v>
      </c>
      <c r="B91" s="15">
        <v>137.75</v>
      </c>
      <c r="C91" s="15">
        <v>136.80000000000001</v>
      </c>
      <c r="D91"/>
      <c r="E91"/>
      <c r="F91">
        <v>4</v>
      </c>
      <c r="G91">
        <v>19</v>
      </c>
      <c r="H91">
        <v>2013</v>
      </c>
      <c r="I91" s="41">
        <v>41383</v>
      </c>
      <c r="J91" s="38"/>
      <c r="K91" s="38"/>
      <c r="L91" s="17"/>
      <c r="M91" s="18"/>
      <c r="N91" s="17"/>
      <c r="O91" s="38">
        <v>2.0108000000000001</v>
      </c>
      <c r="Q91" s="20">
        <v>53.94</v>
      </c>
      <c r="S91"/>
      <c r="T91"/>
      <c r="U91"/>
      <c r="V91"/>
      <c r="W91"/>
      <c r="X91" s="46"/>
    </row>
    <row r="92" spans="1:24" s="16" customFormat="1">
      <c r="A92" s="14">
        <v>40311</v>
      </c>
      <c r="B92" s="15">
        <v>137.4</v>
      </c>
      <c r="C92" s="15">
        <v>137.05000000000001</v>
      </c>
      <c r="D92"/>
      <c r="E92"/>
      <c r="F92">
        <v>4</v>
      </c>
      <c r="G92">
        <v>22</v>
      </c>
      <c r="H92">
        <v>2013</v>
      </c>
      <c r="I92" s="41">
        <v>41386</v>
      </c>
      <c r="J92" s="38"/>
      <c r="K92" s="38"/>
      <c r="L92" s="17"/>
      <c r="M92" s="18"/>
      <c r="N92" s="17"/>
      <c r="O92" s="38">
        <v>2.0213000000000001</v>
      </c>
      <c r="Q92" s="20">
        <v>54.21</v>
      </c>
      <c r="S92"/>
      <c r="T92"/>
      <c r="U92"/>
      <c r="V92"/>
      <c r="W92"/>
      <c r="X92" s="46"/>
    </row>
    <row r="93" spans="1:24" s="16" customFormat="1">
      <c r="A93" s="14">
        <v>40312</v>
      </c>
      <c r="B93" s="15">
        <v>133.25</v>
      </c>
      <c r="C93" s="15">
        <v>134.25</v>
      </c>
      <c r="D93"/>
      <c r="E93"/>
      <c r="F93">
        <v>4</v>
      </c>
      <c r="G93">
        <v>23</v>
      </c>
      <c r="H93">
        <v>2013</v>
      </c>
      <c r="I93" s="41">
        <v>41387</v>
      </c>
      <c r="J93" s="38"/>
      <c r="K93" s="38"/>
      <c r="L93" s="17"/>
      <c r="M93" s="18"/>
      <c r="N93" s="17"/>
      <c r="O93" s="38">
        <v>2.0247999999999999</v>
      </c>
      <c r="Q93" s="20">
        <v>54.31</v>
      </c>
      <c r="S93"/>
      <c r="T93"/>
      <c r="U93"/>
      <c r="V93"/>
      <c r="W93"/>
      <c r="X93" s="46"/>
    </row>
    <row r="94" spans="1:24" s="16" customFormat="1">
      <c r="A94" s="14">
        <v>40315</v>
      </c>
      <c r="B94" s="15">
        <v>133</v>
      </c>
      <c r="C94" s="15">
        <v>134.55000000000001</v>
      </c>
      <c r="D94"/>
      <c r="E94"/>
      <c r="F94">
        <v>4</v>
      </c>
      <c r="G94">
        <v>24</v>
      </c>
      <c r="H94">
        <v>2013</v>
      </c>
      <c r="I94" s="41">
        <v>41388</v>
      </c>
      <c r="J94" s="38"/>
      <c r="K94" s="38"/>
      <c r="L94" s="17"/>
      <c r="M94" s="18"/>
      <c r="N94" s="17"/>
      <c r="O94" s="38">
        <v>2.0108999999999999</v>
      </c>
      <c r="Q94" s="20">
        <v>54.26</v>
      </c>
      <c r="S94"/>
      <c r="T94"/>
      <c r="U94"/>
      <c r="V94"/>
      <c r="W94"/>
      <c r="X94" s="46"/>
    </row>
    <row r="95" spans="1:24" s="16" customFormat="1">
      <c r="A95" s="14">
        <v>40316</v>
      </c>
      <c r="B95" s="15">
        <v>132.44999999999999</v>
      </c>
      <c r="C95" s="15">
        <v>136.25</v>
      </c>
      <c r="D95"/>
      <c r="E95"/>
      <c r="F95">
        <v>4</v>
      </c>
      <c r="G95">
        <v>25</v>
      </c>
      <c r="H95">
        <v>2013</v>
      </c>
      <c r="I95" s="41">
        <v>41389</v>
      </c>
      <c r="J95" s="38"/>
      <c r="K95" s="38"/>
      <c r="L95" s="17"/>
      <c r="M95" s="18"/>
      <c r="N95" s="17"/>
      <c r="O95" s="38">
        <v>2.0017</v>
      </c>
      <c r="Q95" s="20">
        <v>54.104999999999997</v>
      </c>
      <c r="S95"/>
      <c r="T95"/>
      <c r="U95"/>
      <c r="V95"/>
      <c r="W95"/>
      <c r="X95" s="46"/>
    </row>
    <row r="96" spans="1:24" s="16" customFormat="1">
      <c r="A96" s="14">
        <v>40317</v>
      </c>
      <c r="B96" s="15">
        <v>132.19999999999999</v>
      </c>
      <c r="C96" s="15">
        <v>132.5</v>
      </c>
      <c r="D96"/>
      <c r="E96"/>
      <c r="F96">
        <v>4</v>
      </c>
      <c r="G96">
        <v>26</v>
      </c>
      <c r="H96">
        <v>2013</v>
      </c>
      <c r="I96" s="41">
        <v>41390</v>
      </c>
      <c r="J96" s="38"/>
      <c r="K96" s="38"/>
      <c r="L96" s="17"/>
      <c r="M96" s="18"/>
      <c r="N96" s="17"/>
      <c r="O96" s="38">
        <v>1.9987999999999999</v>
      </c>
      <c r="Q96" s="20">
        <v>54.38</v>
      </c>
      <c r="S96"/>
      <c r="T96"/>
      <c r="U96"/>
      <c r="V96"/>
      <c r="W96"/>
      <c r="X96" s="46"/>
    </row>
    <row r="97" spans="1:24" s="16" customFormat="1">
      <c r="A97" s="14">
        <v>40318</v>
      </c>
      <c r="B97" s="15">
        <v>130.25</v>
      </c>
      <c r="C97" s="15">
        <v>131.65</v>
      </c>
      <c r="D97"/>
      <c r="E97"/>
      <c r="F97">
        <v>4</v>
      </c>
      <c r="G97">
        <v>29</v>
      </c>
      <c r="H97">
        <v>2013</v>
      </c>
      <c r="I97" s="41">
        <v>41393</v>
      </c>
      <c r="J97" s="38"/>
      <c r="K97" s="38"/>
      <c r="L97" s="17"/>
      <c r="M97" s="18"/>
      <c r="N97" s="17"/>
      <c r="O97" s="38">
        <v>2.0082</v>
      </c>
      <c r="Q97" s="20">
        <v>54.195</v>
      </c>
      <c r="S97"/>
      <c r="T97"/>
      <c r="U97"/>
      <c r="V97"/>
      <c r="W97"/>
      <c r="X97" s="46"/>
    </row>
    <row r="98" spans="1:24" s="16" customFormat="1">
      <c r="A98" s="14">
        <v>40319</v>
      </c>
      <c r="B98" s="15">
        <v>131.1</v>
      </c>
      <c r="C98" s="15">
        <v>132.4</v>
      </c>
      <c r="D98"/>
      <c r="E98"/>
      <c r="F98">
        <v>4</v>
      </c>
      <c r="G98">
        <v>30</v>
      </c>
      <c r="H98">
        <v>2013</v>
      </c>
      <c r="I98" s="41">
        <v>41394</v>
      </c>
      <c r="J98" s="38"/>
      <c r="K98" s="38"/>
      <c r="L98" s="17"/>
      <c r="M98" s="18"/>
      <c r="N98" s="17"/>
      <c r="O98" s="38">
        <v>2.0017</v>
      </c>
      <c r="Q98" s="20">
        <v>53.685000000000002</v>
      </c>
      <c r="S98"/>
      <c r="T98"/>
      <c r="U98"/>
      <c r="V98"/>
      <c r="W98"/>
      <c r="X98" s="46"/>
    </row>
    <row r="99" spans="1:24" s="16" customFormat="1">
      <c r="A99" s="14">
        <v>40322</v>
      </c>
      <c r="B99" s="15">
        <v>131.6</v>
      </c>
      <c r="C99" s="15">
        <v>132.25</v>
      </c>
      <c r="D99"/>
      <c r="E99"/>
      <c r="F99">
        <v>5</v>
      </c>
      <c r="G99">
        <v>1</v>
      </c>
      <c r="H99">
        <v>2013</v>
      </c>
      <c r="I99" s="41">
        <v>41395</v>
      </c>
      <c r="J99" s="38"/>
      <c r="K99" s="38"/>
      <c r="L99" s="17"/>
      <c r="M99" s="18"/>
      <c r="N99" s="17"/>
      <c r="O99" s="38">
        <v>2.0015000000000001</v>
      </c>
      <c r="Q99" s="20">
        <v>53.664999999999999</v>
      </c>
      <c r="S99"/>
      <c r="T99"/>
      <c r="U99"/>
      <c r="V99"/>
      <c r="W99"/>
      <c r="X99" s="46"/>
    </row>
    <row r="100" spans="1:24" s="16" customFormat="1">
      <c r="A100" s="14">
        <v>40323</v>
      </c>
      <c r="B100" s="15">
        <v>130.6</v>
      </c>
      <c r="C100" s="15">
        <v>132.75</v>
      </c>
      <c r="D100"/>
      <c r="E100"/>
      <c r="F100">
        <v>5</v>
      </c>
      <c r="G100">
        <v>2</v>
      </c>
      <c r="H100">
        <v>2013</v>
      </c>
      <c r="I100" s="41">
        <v>41396</v>
      </c>
      <c r="J100" s="38"/>
      <c r="K100" s="38"/>
      <c r="L100" s="17"/>
      <c r="M100" s="18"/>
      <c r="N100" s="17"/>
      <c r="O100" s="38">
        <v>2.0097</v>
      </c>
      <c r="Q100" s="20">
        <v>53.835000000000001</v>
      </c>
      <c r="S100"/>
      <c r="T100"/>
      <c r="U100"/>
      <c r="V100"/>
      <c r="W100"/>
      <c r="X100" s="46"/>
    </row>
    <row r="101" spans="1:24" s="16" customFormat="1">
      <c r="A101" s="14">
        <v>40324</v>
      </c>
      <c r="B101" s="15">
        <v>132.6</v>
      </c>
      <c r="C101" s="15">
        <v>133.69999999999999</v>
      </c>
      <c r="D101"/>
      <c r="E101"/>
      <c r="F101">
        <v>5</v>
      </c>
      <c r="G101">
        <v>3</v>
      </c>
      <c r="H101">
        <v>2013</v>
      </c>
      <c r="I101" s="41">
        <v>41397</v>
      </c>
      <c r="J101" s="38"/>
      <c r="K101" s="38"/>
      <c r="L101" s="17"/>
      <c r="M101" s="18"/>
      <c r="N101" s="17"/>
      <c r="O101" s="38">
        <v>2.0091000000000001</v>
      </c>
      <c r="Q101" s="20">
        <v>53.81</v>
      </c>
      <c r="S101"/>
      <c r="T101"/>
      <c r="U101"/>
      <c r="V101"/>
      <c r="W101"/>
      <c r="X101" s="46"/>
    </row>
    <row r="102" spans="1:24" s="16" customFormat="1">
      <c r="A102" s="14">
        <v>40325</v>
      </c>
      <c r="B102" s="15">
        <v>133.55000000000001</v>
      </c>
      <c r="C102" s="15">
        <v>134.75</v>
      </c>
      <c r="D102"/>
      <c r="E102"/>
      <c r="F102">
        <v>5</v>
      </c>
      <c r="G102">
        <v>6</v>
      </c>
      <c r="H102">
        <v>2013</v>
      </c>
      <c r="I102" s="41">
        <v>41400</v>
      </c>
      <c r="J102" s="38"/>
      <c r="K102" s="38"/>
      <c r="L102" s="17"/>
      <c r="M102" s="18"/>
      <c r="N102" s="17"/>
      <c r="O102" s="38">
        <v>2.0095999999999998</v>
      </c>
      <c r="Q102" s="20">
        <v>54.134999999999998</v>
      </c>
      <c r="S102"/>
      <c r="T102"/>
      <c r="U102"/>
      <c r="V102"/>
      <c r="W102"/>
      <c r="X102" s="46"/>
    </row>
    <row r="103" spans="1:24" s="16" customFormat="1">
      <c r="A103" s="14">
        <v>40326</v>
      </c>
      <c r="B103" s="15">
        <v>133.9</v>
      </c>
      <c r="C103" s="15">
        <v>134.25</v>
      </c>
      <c r="D103"/>
      <c r="E103"/>
      <c r="F103">
        <v>5</v>
      </c>
      <c r="G103">
        <v>7</v>
      </c>
      <c r="H103">
        <v>2013</v>
      </c>
      <c r="I103" s="41">
        <v>41401</v>
      </c>
      <c r="J103" s="38"/>
      <c r="K103" s="38"/>
      <c r="L103" s="17"/>
      <c r="M103" s="18"/>
      <c r="N103" s="17"/>
      <c r="O103" s="38">
        <v>2.0078999999999998</v>
      </c>
      <c r="Q103" s="20">
        <v>54.064999999999998</v>
      </c>
      <c r="S103"/>
      <c r="T103"/>
      <c r="U103"/>
      <c r="V103"/>
      <c r="W103"/>
      <c r="X103" s="46"/>
    </row>
    <row r="104" spans="1:24" s="16" customFormat="1">
      <c r="A104" s="14">
        <v>40330</v>
      </c>
      <c r="B104" s="15">
        <v>133.15</v>
      </c>
      <c r="C104" s="15">
        <v>136.55000000000001</v>
      </c>
      <c r="D104"/>
      <c r="E104"/>
      <c r="F104">
        <v>5</v>
      </c>
      <c r="G104">
        <v>8</v>
      </c>
      <c r="H104">
        <v>2013</v>
      </c>
      <c r="I104" s="41">
        <v>41402</v>
      </c>
      <c r="J104" s="38"/>
      <c r="K104" s="38"/>
      <c r="L104" s="17"/>
      <c r="M104" s="18"/>
      <c r="N104" s="17"/>
      <c r="O104" s="38">
        <v>2.0055000000000001</v>
      </c>
      <c r="Q104" s="20">
        <v>54.085000000000001</v>
      </c>
      <c r="S104"/>
      <c r="T104"/>
      <c r="U104"/>
      <c r="V104"/>
      <c r="W104"/>
      <c r="X104" s="46"/>
    </row>
    <row r="105" spans="1:24" s="16" customFormat="1">
      <c r="A105" s="14">
        <v>40331</v>
      </c>
      <c r="B105" s="15">
        <v>135.19999999999999</v>
      </c>
      <c r="C105" s="15">
        <v>135.4</v>
      </c>
      <c r="D105"/>
      <c r="E105"/>
      <c r="F105">
        <v>5</v>
      </c>
      <c r="G105">
        <v>9</v>
      </c>
      <c r="H105">
        <v>2013</v>
      </c>
      <c r="I105" s="41">
        <v>41403</v>
      </c>
      <c r="J105" s="38"/>
      <c r="K105" s="38"/>
      <c r="L105" s="17"/>
      <c r="M105" s="18"/>
      <c r="N105" s="17"/>
      <c r="O105" s="38">
        <v>2.0137</v>
      </c>
      <c r="Q105" s="20">
        <v>54.365000000000002</v>
      </c>
      <c r="S105"/>
      <c r="T105"/>
      <c r="U105"/>
      <c r="V105"/>
      <c r="W105"/>
      <c r="X105" s="46"/>
    </row>
    <row r="106" spans="1:24" s="16" customFormat="1">
      <c r="A106" s="14">
        <v>40332</v>
      </c>
      <c r="B106" s="15">
        <v>135</v>
      </c>
      <c r="C106" s="15">
        <v>135.6</v>
      </c>
      <c r="D106"/>
      <c r="E106"/>
      <c r="F106">
        <v>5</v>
      </c>
      <c r="G106">
        <v>10</v>
      </c>
      <c r="H106">
        <v>2013</v>
      </c>
      <c r="I106" s="41">
        <v>41404</v>
      </c>
      <c r="J106" s="38"/>
      <c r="K106" s="38"/>
      <c r="L106" s="17"/>
      <c r="M106" s="18"/>
      <c r="N106" s="17"/>
      <c r="O106" s="38">
        <v>2.0200999999999998</v>
      </c>
      <c r="Q106" s="20">
        <v>54.81</v>
      </c>
      <c r="S106"/>
      <c r="T106"/>
      <c r="U106"/>
      <c r="V106"/>
      <c r="W106"/>
      <c r="X106" s="46"/>
    </row>
    <row r="107" spans="1:24" s="16" customFormat="1">
      <c r="A107" s="14">
        <v>40333</v>
      </c>
      <c r="B107" s="15">
        <v>133.4</v>
      </c>
      <c r="C107" s="15">
        <v>133.75</v>
      </c>
      <c r="D107"/>
      <c r="E107"/>
      <c r="F107">
        <v>5</v>
      </c>
      <c r="G107">
        <v>13</v>
      </c>
      <c r="H107">
        <v>2013</v>
      </c>
      <c r="I107" s="41">
        <v>41407</v>
      </c>
      <c r="J107" s="38"/>
      <c r="K107" s="38"/>
      <c r="L107" s="17"/>
      <c r="M107" s="18"/>
      <c r="N107" s="17"/>
      <c r="O107" s="38">
        <v>2.0074000000000001</v>
      </c>
      <c r="Q107" s="20">
        <v>54.835000000000001</v>
      </c>
      <c r="S107"/>
      <c r="T107"/>
      <c r="U107"/>
      <c r="V107"/>
      <c r="W107"/>
      <c r="X107" s="46"/>
    </row>
    <row r="108" spans="1:24" s="16" customFormat="1">
      <c r="A108" s="14">
        <v>40336</v>
      </c>
      <c r="B108" s="15">
        <v>132.55000000000001</v>
      </c>
      <c r="C108" s="15">
        <v>133.1</v>
      </c>
      <c r="D108"/>
      <c r="E108"/>
      <c r="F108">
        <v>5</v>
      </c>
      <c r="G108">
        <v>14</v>
      </c>
      <c r="H108">
        <v>2013</v>
      </c>
      <c r="I108" s="41">
        <v>41408</v>
      </c>
      <c r="J108" s="38"/>
      <c r="K108" s="38"/>
      <c r="L108" s="17"/>
      <c r="M108" s="18"/>
      <c r="N108" s="17"/>
      <c r="O108" s="38">
        <v>2.0204</v>
      </c>
      <c r="Q108" s="20">
        <v>54.805</v>
      </c>
      <c r="S108"/>
      <c r="T108"/>
      <c r="U108"/>
      <c r="V108"/>
      <c r="W108"/>
      <c r="X108" s="46"/>
    </row>
    <row r="109" spans="1:24" s="16" customFormat="1">
      <c r="A109" s="14">
        <v>40337</v>
      </c>
      <c r="B109" s="15">
        <v>132.80000000000001</v>
      </c>
      <c r="C109" s="15">
        <v>133.55000000000001</v>
      </c>
      <c r="D109"/>
      <c r="E109"/>
      <c r="F109">
        <v>5</v>
      </c>
      <c r="G109">
        <v>15</v>
      </c>
      <c r="H109">
        <v>2013</v>
      </c>
      <c r="I109" s="41">
        <v>41409</v>
      </c>
      <c r="J109" s="38"/>
      <c r="K109" s="38"/>
      <c r="L109" s="17"/>
      <c r="M109" s="18"/>
      <c r="N109" s="17"/>
      <c r="O109" s="38">
        <v>2.0228999999999999</v>
      </c>
      <c r="Q109" s="20">
        <v>54.784999999999997</v>
      </c>
      <c r="S109"/>
      <c r="T109"/>
      <c r="U109"/>
      <c r="V109"/>
      <c r="W109"/>
      <c r="X109" s="46"/>
    </row>
    <row r="110" spans="1:24" s="16" customFormat="1">
      <c r="A110" s="14">
        <v>40338</v>
      </c>
      <c r="B110" s="15">
        <v>133.25</v>
      </c>
      <c r="C110" s="15">
        <v>134.44999999999999</v>
      </c>
      <c r="D110"/>
      <c r="E110"/>
      <c r="F110">
        <v>5</v>
      </c>
      <c r="G110">
        <v>16</v>
      </c>
      <c r="H110">
        <v>2013</v>
      </c>
      <c r="I110" s="41">
        <v>41410</v>
      </c>
      <c r="J110" s="38"/>
      <c r="K110" s="38"/>
      <c r="L110" s="17"/>
      <c r="M110" s="18"/>
      <c r="N110" s="17"/>
      <c r="O110" s="38">
        <v>2.0268000000000002</v>
      </c>
      <c r="Q110" s="20">
        <v>54.784999999999997</v>
      </c>
      <c r="S110"/>
      <c r="T110"/>
      <c r="U110"/>
      <c r="V110"/>
      <c r="W110"/>
      <c r="X110" s="46"/>
    </row>
    <row r="111" spans="1:24" s="16" customFormat="1">
      <c r="A111" s="14">
        <v>40339</v>
      </c>
      <c r="B111" s="15">
        <v>133.80000000000001</v>
      </c>
      <c r="C111" s="15">
        <v>137</v>
      </c>
      <c r="D111"/>
      <c r="E111"/>
      <c r="F111">
        <v>5</v>
      </c>
      <c r="G111">
        <v>17</v>
      </c>
      <c r="H111">
        <v>2013</v>
      </c>
      <c r="I111" s="41">
        <v>41411</v>
      </c>
      <c r="J111" s="38"/>
      <c r="K111" s="38"/>
      <c r="L111" s="17"/>
      <c r="M111" s="18"/>
      <c r="N111" s="17"/>
      <c r="O111" s="38">
        <v>2.0352999999999999</v>
      </c>
      <c r="Q111" s="20">
        <v>54.895000000000003</v>
      </c>
      <c r="S111"/>
      <c r="T111"/>
      <c r="U111"/>
      <c r="V111"/>
      <c r="W111"/>
      <c r="X111" s="46"/>
    </row>
    <row r="112" spans="1:24" s="16" customFormat="1">
      <c r="A112" s="14">
        <v>40340</v>
      </c>
      <c r="B112" s="15">
        <v>137</v>
      </c>
      <c r="C112" s="15">
        <v>144.94999999999999</v>
      </c>
      <c r="D112"/>
      <c r="E112"/>
      <c r="F112">
        <v>5</v>
      </c>
      <c r="G112">
        <v>20</v>
      </c>
      <c r="H112">
        <v>2013</v>
      </c>
      <c r="I112" s="41">
        <v>41414</v>
      </c>
      <c r="J112" s="38"/>
      <c r="K112" s="38"/>
      <c r="L112" s="17"/>
      <c r="M112" s="18"/>
      <c r="N112" s="17"/>
      <c r="O112" s="38">
        <v>2.0398000000000001</v>
      </c>
      <c r="Q112" s="20">
        <v>55.04</v>
      </c>
      <c r="S112"/>
      <c r="T112"/>
      <c r="U112"/>
      <c r="V112"/>
      <c r="W112"/>
      <c r="X112" s="46"/>
    </row>
    <row r="113" spans="1:24" s="16" customFormat="1">
      <c r="A113" s="14">
        <v>40343</v>
      </c>
      <c r="B113" s="15">
        <v>144.65</v>
      </c>
      <c r="C113" s="15">
        <v>150.94999999999999</v>
      </c>
      <c r="D113"/>
      <c r="E113"/>
      <c r="F113">
        <v>5</v>
      </c>
      <c r="G113">
        <v>21</v>
      </c>
      <c r="H113">
        <v>2013</v>
      </c>
      <c r="I113" s="41">
        <v>41415</v>
      </c>
      <c r="J113" s="38"/>
      <c r="K113" s="38"/>
      <c r="L113" s="17"/>
      <c r="M113" s="18"/>
      <c r="N113" s="17"/>
      <c r="O113" s="38">
        <v>2.0413000000000001</v>
      </c>
      <c r="Q113" s="20">
        <v>55.435000000000002</v>
      </c>
      <c r="S113"/>
      <c r="T113"/>
      <c r="U113"/>
      <c r="V113"/>
      <c r="W113"/>
      <c r="X113" s="46"/>
    </row>
    <row r="114" spans="1:24" s="16" customFormat="1">
      <c r="A114" s="14">
        <v>40344</v>
      </c>
      <c r="B114" s="15">
        <v>148</v>
      </c>
      <c r="C114" s="15">
        <v>159.35</v>
      </c>
      <c r="D114"/>
      <c r="E114"/>
      <c r="F114">
        <v>5</v>
      </c>
      <c r="G114">
        <v>22</v>
      </c>
      <c r="H114">
        <v>2013</v>
      </c>
      <c r="I114" s="41">
        <v>41416</v>
      </c>
      <c r="J114" s="38"/>
      <c r="K114" s="38"/>
      <c r="L114" s="17"/>
      <c r="M114" s="18"/>
      <c r="N114" s="17"/>
      <c r="O114" s="38">
        <v>2.0489999999999999</v>
      </c>
      <c r="Q114" s="20">
        <v>55.66</v>
      </c>
      <c r="S114"/>
      <c r="T114"/>
      <c r="U114"/>
      <c r="V114"/>
      <c r="W114"/>
      <c r="X114" s="46"/>
    </row>
    <row r="115" spans="1:24" s="16" customFormat="1">
      <c r="A115" s="14">
        <v>40345</v>
      </c>
      <c r="B115" s="15">
        <v>156.65</v>
      </c>
      <c r="C115" s="15">
        <v>158.75</v>
      </c>
      <c r="D115"/>
      <c r="E115"/>
      <c r="F115">
        <v>5</v>
      </c>
      <c r="G115">
        <v>23</v>
      </c>
      <c r="H115">
        <v>2013</v>
      </c>
      <c r="I115" s="41">
        <v>41417</v>
      </c>
      <c r="J115" s="38"/>
      <c r="K115" s="38"/>
      <c r="L115" s="17"/>
      <c r="M115" s="18"/>
      <c r="N115" s="17"/>
      <c r="O115" s="38">
        <v>2.0442</v>
      </c>
      <c r="Q115" s="20">
        <v>55.715000000000003</v>
      </c>
      <c r="S115"/>
      <c r="T115"/>
      <c r="U115"/>
      <c r="V115"/>
      <c r="W115"/>
      <c r="X115" s="46"/>
    </row>
    <row r="116" spans="1:24" s="16" customFormat="1">
      <c r="A116" s="14">
        <v>40346</v>
      </c>
      <c r="B116" s="15">
        <v>155.4</v>
      </c>
      <c r="C116" s="15">
        <v>156.35</v>
      </c>
      <c r="D116"/>
      <c r="E116"/>
      <c r="F116">
        <v>5</v>
      </c>
      <c r="G116">
        <v>24</v>
      </c>
      <c r="H116">
        <v>2013</v>
      </c>
      <c r="I116" s="41">
        <v>41418</v>
      </c>
      <c r="J116" s="38"/>
      <c r="K116" s="38"/>
      <c r="L116" s="17"/>
      <c r="M116" s="18"/>
      <c r="N116" s="17"/>
      <c r="O116" s="38">
        <v>2.0518000000000001</v>
      </c>
      <c r="Q116" s="20">
        <v>55.82</v>
      </c>
      <c r="S116"/>
      <c r="T116"/>
      <c r="U116"/>
      <c r="V116"/>
      <c r="W116"/>
      <c r="X116" s="46"/>
    </row>
    <row r="117" spans="1:24" s="16" customFormat="1">
      <c r="A117" s="14">
        <v>40347</v>
      </c>
      <c r="B117" s="15">
        <v>154.1</v>
      </c>
      <c r="C117" s="15">
        <v>160.25</v>
      </c>
      <c r="D117"/>
      <c r="E117"/>
      <c r="F117">
        <v>5</v>
      </c>
      <c r="G117">
        <v>27</v>
      </c>
      <c r="H117">
        <v>2013</v>
      </c>
      <c r="I117" s="41">
        <v>41421</v>
      </c>
      <c r="J117" s="38"/>
      <c r="K117" s="38"/>
      <c r="L117" s="17"/>
      <c r="M117" s="18"/>
      <c r="N117" s="17"/>
      <c r="O117" s="38">
        <v>2.0545</v>
      </c>
      <c r="Q117" s="20">
        <v>55.573</v>
      </c>
      <c r="S117"/>
      <c r="T117"/>
      <c r="U117"/>
      <c r="V117"/>
      <c r="W117"/>
      <c r="X117" s="46"/>
    </row>
    <row r="118" spans="1:24" s="16" customFormat="1">
      <c r="A118" s="14">
        <v>40350</v>
      </c>
      <c r="B118" s="15">
        <v>156.1</v>
      </c>
      <c r="C118" s="15">
        <v>158.94999999999999</v>
      </c>
      <c r="D118"/>
      <c r="E118"/>
      <c r="F118">
        <v>5</v>
      </c>
      <c r="G118">
        <v>28</v>
      </c>
      <c r="H118">
        <v>2013</v>
      </c>
      <c r="I118" s="41">
        <v>41422</v>
      </c>
      <c r="J118" s="38"/>
      <c r="K118" s="38"/>
      <c r="L118" s="17"/>
      <c r="M118" s="18"/>
      <c r="N118" s="17"/>
      <c r="O118" s="38">
        <v>2.0756999999999999</v>
      </c>
      <c r="Q118" s="20">
        <v>56.115000000000002</v>
      </c>
      <c r="S118"/>
      <c r="T118"/>
      <c r="U118"/>
      <c r="V118"/>
      <c r="W118"/>
      <c r="X118" s="46"/>
    </row>
    <row r="119" spans="1:24" s="16" customFormat="1">
      <c r="A119" s="14">
        <v>40351</v>
      </c>
      <c r="B119" s="15">
        <v>157.19999999999999</v>
      </c>
      <c r="C119" s="15">
        <v>159.1</v>
      </c>
      <c r="D119"/>
      <c r="E119"/>
      <c r="F119">
        <v>5</v>
      </c>
      <c r="G119">
        <v>29</v>
      </c>
      <c r="H119">
        <v>2013</v>
      </c>
      <c r="I119" s="41">
        <v>41423</v>
      </c>
      <c r="J119" s="38"/>
      <c r="K119" s="38"/>
      <c r="L119" s="17"/>
      <c r="M119" s="18"/>
      <c r="N119" s="17"/>
      <c r="O119" s="38">
        <v>2.1105999999999998</v>
      </c>
      <c r="Q119" s="20">
        <v>56.305</v>
      </c>
      <c r="S119"/>
      <c r="T119"/>
      <c r="U119"/>
      <c r="V119"/>
      <c r="W119"/>
      <c r="X119" s="46"/>
    </row>
    <row r="120" spans="1:24" s="16" customFormat="1">
      <c r="A120" s="14">
        <v>40352</v>
      </c>
      <c r="B120" s="15">
        <v>157.5</v>
      </c>
      <c r="C120" s="15">
        <v>158.6</v>
      </c>
      <c r="D120"/>
      <c r="E120"/>
      <c r="F120">
        <v>5</v>
      </c>
      <c r="G120">
        <v>30</v>
      </c>
      <c r="H120">
        <v>2013</v>
      </c>
      <c r="I120" s="41">
        <v>41424</v>
      </c>
      <c r="J120" s="38"/>
      <c r="K120" s="38"/>
      <c r="L120" s="17"/>
      <c r="M120" s="18"/>
      <c r="N120" s="17"/>
      <c r="O120" s="38">
        <v>2.1103000000000001</v>
      </c>
      <c r="Q120" s="20">
        <v>56.384999999999998</v>
      </c>
      <c r="S120"/>
      <c r="T120"/>
      <c r="U120"/>
      <c r="V120"/>
      <c r="W120"/>
      <c r="X120" s="46"/>
    </row>
    <row r="121" spans="1:24" s="16" customFormat="1">
      <c r="A121" s="14">
        <v>40353</v>
      </c>
      <c r="B121" s="15">
        <v>160.15</v>
      </c>
      <c r="C121" s="15">
        <v>166.75</v>
      </c>
      <c r="D121"/>
      <c r="E121"/>
      <c r="F121">
        <v>5</v>
      </c>
      <c r="G121">
        <v>31</v>
      </c>
      <c r="H121">
        <v>2013</v>
      </c>
      <c r="I121" s="41">
        <v>41425</v>
      </c>
      <c r="J121" s="38"/>
      <c r="K121" s="38"/>
      <c r="L121" s="17"/>
      <c r="M121" s="18"/>
      <c r="N121" s="17"/>
      <c r="O121" s="38">
        <v>2.1423000000000001</v>
      </c>
      <c r="Q121" s="20">
        <v>56.58</v>
      </c>
      <c r="S121"/>
      <c r="T121"/>
      <c r="U121"/>
      <c r="V121"/>
      <c r="W121"/>
      <c r="X121" s="46"/>
    </row>
    <row r="122" spans="1:24" s="16" customFormat="1">
      <c r="A122" s="14">
        <v>40354</v>
      </c>
      <c r="B122" s="15">
        <v>164.5</v>
      </c>
      <c r="C122" s="15">
        <v>167</v>
      </c>
      <c r="D122"/>
      <c r="E122"/>
      <c r="F122">
        <v>6</v>
      </c>
      <c r="G122">
        <v>3</v>
      </c>
      <c r="H122">
        <v>2013</v>
      </c>
      <c r="I122" s="41">
        <v>41428</v>
      </c>
      <c r="J122" s="38"/>
      <c r="K122" s="38"/>
      <c r="L122" s="17"/>
      <c r="M122" s="18"/>
      <c r="N122" s="17"/>
      <c r="O122" s="38">
        <v>2.1242999999999999</v>
      </c>
      <c r="Q122" s="20">
        <v>56.674999999999997</v>
      </c>
      <c r="S122"/>
      <c r="T122"/>
      <c r="U122"/>
      <c r="V122"/>
      <c r="W122"/>
      <c r="X122" s="46"/>
    </row>
    <row r="123" spans="1:24" s="16" customFormat="1">
      <c r="A123" s="14">
        <v>40357</v>
      </c>
      <c r="B123" s="15">
        <v>166</v>
      </c>
      <c r="C123" s="15">
        <v>166.3</v>
      </c>
      <c r="D123"/>
      <c r="E123"/>
      <c r="F123">
        <v>6</v>
      </c>
      <c r="G123">
        <v>4</v>
      </c>
      <c r="H123">
        <v>2013</v>
      </c>
      <c r="I123" s="41">
        <v>41429</v>
      </c>
      <c r="J123" s="38"/>
      <c r="K123" s="38"/>
      <c r="L123" s="17"/>
      <c r="M123" s="18"/>
      <c r="N123" s="17"/>
      <c r="O123" s="38">
        <v>2.1257999999999999</v>
      </c>
      <c r="Q123" s="20">
        <v>56.494999999999997</v>
      </c>
      <c r="S123"/>
      <c r="T123"/>
      <c r="U123"/>
      <c r="V123"/>
      <c r="W123"/>
      <c r="X123" s="46"/>
    </row>
    <row r="124" spans="1:24" s="16" customFormat="1">
      <c r="A124" s="14">
        <v>40358</v>
      </c>
      <c r="B124" s="15">
        <v>158.85</v>
      </c>
      <c r="C124" s="15">
        <v>161.5</v>
      </c>
      <c r="D124"/>
      <c r="E124"/>
      <c r="F124">
        <v>6</v>
      </c>
      <c r="G124">
        <v>5</v>
      </c>
      <c r="H124">
        <v>2013</v>
      </c>
      <c r="I124" s="41">
        <v>41430</v>
      </c>
      <c r="J124" s="38"/>
      <c r="K124" s="38"/>
      <c r="L124" s="17"/>
      <c r="M124" s="18"/>
      <c r="N124" s="17"/>
      <c r="O124" s="38">
        <v>2.1288</v>
      </c>
      <c r="Q124" s="20">
        <v>56.854999999999997</v>
      </c>
      <c r="S124"/>
      <c r="T124"/>
      <c r="U124"/>
      <c r="V124"/>
      <c r="W124"/>
      <c r="X124" s="46"/>
    </row>
    <row r="125" spans="1:24" s="16" customFormat="1">
      <c r="A125" s="14">
        <v>40359</v>
      </c>
      <c r="B125" s="15">
        <v>160</v>
      </c>
      <c r="C125" s="15">
        <v>164.2</v>
      </c>
      <c r="D125"/>
      <c r="E125"/>
      <c r="F125">
        <v>6</v>
      </c>
      <c r="G125">
        <v>6</v>
      </c>
      <c r="H125">
        <v>2013</v>
      </c>
      <c r="I125" s="41">
        <v>41431</v>
      </c>
      <c r="J125" s="38"/>
      <c r="K125" s="38"/>
      <c r="L125" s="17"/>
      <c r="M125" s="18"/>
      <c r="N125" s="17"/>
      <c r="O125" s="38">
        <v>2.1303999999999998</v>
      </c>
      <c r="Q125" s="20">
        <v>56.93</v>
      </c>
      <c r="S125"/>
      <c r="T125"/>
      <c r="U125"/>
      <c r="V125"/>
      <c r="W125"/>
      <c r="X125" s="46"/>
    </row>
    <row r="126" spans="1:24" s="16" customFormat="1">
      <c r="A126" s="14">
        <v>40360</v>
      </c>
      <c r="B126" s="15">
        <v>163.69999999999999</v>
      </c>
      <c r="C126" s="15">
        <v>166.2</v>
      </c>
      <c r="D126"/>
      <c r="E126"/>
      <c r="F126">
        <v>6</v>
      </c>
      <c r="G126">
        <v>7</v>
      </c>
      <c r="H126">
        <v>2013</v>
      </c>
      <c r="I126" s="41">
        <v>41432</v>
      </c>
      <c r="J126" s="38"/>
      <c r="K126" s="38"/>
      <c r="L126" s="17"/>
      <c r="M126" s="18"/>
      <c r="N126" s="17"/>
      <c r="O126" s="38">
        <v>2.1320999999999999</v>
      </c>
      <c r="Q126" s="20">
        <v>57.064999999999998</v>
      </c>
      <c r="S126"/>
      <c r="T126"/>
      <c r="U126"/>
      <c r="V126"/>
      <c r="W126"/>
      <c r="X126" s="46"/>
    </row>
    <row r="127" spans="1:24" s="16" customFormat="1">
      <c r="A127" s="14">
        <v>40361</v>
      </c>
      <c r="B127" s="15">
        <v>164.5</v>
      </c>
      <c r="C127" s="15">
        <v>162.30000000000001</v>
      </c>
      <c r="D127"/>
      <c r="E127"/>
      <c r="F127">
        <v>6</v>
      </c>
      <c r="G127">
        <v>10</v>
      </c>
      <c r="H127">
        <v>2013</v>
      </c>
      <c r="I127" s="41">
        <v>41435</v>
      </c>
      <c r="J127" s="38"/>
      <c r="K127" s="38"/>
      <c r="L127" s="17"/>
      <c r="M127" s="18"/>
      <c r="N127" s="17"/>
      <c r="O127" s="38">
        <v>2.1465999999999998</v>
      </c>
      <c r="Q127" s="20">
        <v>58.155000000000001</v>
      </c>
      <c r="S127"/>
      <c r="T127"/>
      <c r="U127"/>
      <c r="V127"/>
      <c r="W127"/>
      <c r="X127" s="46"/>
    </row>
    <row r="128" spans="1:24" s="16" customFormat="1">
      <c r="A128" s="14">
        <v>40365</v>
      </c>
      <c r="B128" s="15">
        <v>155</v>
      </c>
      <c r="C128" s="15">
        <v>155.5</v>
      </c>
      <c r="D128"/>
      <c r="E128"/>
      <c r="F128">
        <v>6</v>
      </c>
      <c r="G128">
        <v>11</v>
      </c>
      <c r="H128">
        <v>2013</v>
      </c>
      <c r="I128" s="41">
        <v>41436</v>
      </c>
      <c r="J128" s="38"/>
      <c r="K128" s="38"/>
      <c r="L128" s="17"/>
      <c r="M128" s="18"/>
      <c r="N128" s="17"/>
      <c r="O128" s="38">
        <v>2.1322999999999999</v>
      </c>
      <c r="Q128" s="20">
        <v>58.34</v>
      </c>
      <c r="S128"/>
      <c r="T128"/>
      <c r="U128"/>
      <c r="V128"/>
      <c r="W128"/>
      <c r="X128" s="46"/>
    </row>
    <row r="129" spans="1:24" s="16" customFormat="1">
      <c r="A129" s="14">
        <v>40366</v>
      </c>
      <c r="B129" s="15">
        <v>155.5</v>
      </c>
      <c r="C129" s="15">
        <v>160.65</v>
      </c>
      <c r="D129"/>
      <c r="E129"/>
      <c r="F129">
        <v>6</v>
      </c>
      <c r="G129">
        <v>12</v>
      </c>
      <c r="H129">
        <v>2013</v>
      </c>
      <c r="I129" s="41">
        <v>41437</v>
      </c>
      <c r="J129" s="38"/>
      <c r="K129" s="38"/>
      <c r="L129" s="17"/>
      <c r="M129" s="18"/>
      <c r="N129" s="17"/>
      <c r="O129" s="38">
        <v>2.1560000000000001</v>
      </c>
      <c r="Q129" s="20">
        <v>57.835000000000001</v>
      </c>
      <c r="S129"/>
      <c r="T129"/>
      <c r="U129"/>
      <c r="V129"/>
      <c r="W129"/>
      <c r="X129" s="46"/>
    </row>
    <row r="130" spans="1:24" s="16" customFormat="1">
      <c r="A130" s="14">
        <v>40367</v>
      </c>
      <c r="B130" s="15">
        <v>159.1</v>
      </c>
      <c r="C130" s="15">
        <v>159.65</v>
      </c>
      <c r="D130"/>
      <c r="E130"/>
      <c r="F130">
        <v>6</v>
      </c>
      <c r="G130">
        <v>13</v>
      </c>
      <c r="H130">
        <v>2013</v>
      </c>
      <c r="I130" s="41">
        <v>41438</v>
      </c>
      <c r="J130" s="38"/>
      <c r="K130" s="38"/>
      <c r="L130" s="17"/>
      <c r="M130" s="18"/>
      <c r="N130" s="17"/>
      <c r="O130" s="38">
        <v>2.1217999999999999</v>
      </c>
      <c r="Q130" s="20">
        <v>58.005000000000003</v>
      </c>
      <c r="S130"/>
      <c r="T130"/>
      <c r="U130"/>
      <c r="V130"/>
      <c r="W130"/>
      <c r="X130" s="46"/>
    </row>
    <row r="131" spans="1:24" s="16" customFormat="1">
      <c r="A131" s="14">
        <v>40368</v>
      </c>
      <c r="B131" s="15">
        <v>161.9</v>
      </c>
      <c r="C131" s="15">
        <v>161.19999999999999</v>
      </c>
      <c r="D131"/>
      <c r="E131"/>
      <c r="F131">
        <v>6</v>
      </c>
      <c r="G131">
        <v>14</v>
      </c>
      <c r="H131">
        <v>2013</v>
      </c>
      <c r="I131" s="41">
        <v>41439</v>
      </c>
      <c r="J131" s="38"/>
      <c r="K131" s="38"/>
      <c r="L131" s="17"/>
      <c r="M131" s="18"/>
      <c r="N131" s="17"/>
      <c r="O131" s="38">
        <v>2.1528</v>
      </c>
      <c r="Q131" s="20">
        <v>57.505000000000003</v>
      </c>
      <c r="S131"/>
      <c r="T131"/>
      <c r="U131"/>
      <c r="V131"/>
      <c r="W131"/>
      <c r="X131" s="46"/>
    </row>
    <row r="132" spans="1:24" s="16" customFormat="1">
      <c r="A132" s="14">
        <v>40371</v>
      </c>
      <c r="B132" s="15">
        <v>159.65</v>
      </c>
      <c r="C132" s="15">
        <v>161.15</v>
      </c>
      <c r="D132"/>
      <c r="E132"/>
      <c r="F132">
        <v>6</v>
      </c>
      <c r="G132">
        <v>17</v>
      </c>
      <c r="H132">
        <v>2013</v>
      </c>
      <c r="I132" s="41">
        <v>41442</v>
      </c>
      <c r="J132" s="38"/>
      <c r="K132" s="38"/>
      <c r="L132" s="17"/>
      <c r="M132" s="18"/>
      <c r="N132" s="17"/>
      <c r="O132" s="38">
        <v>2.1705000000000001</v>
      </c>
      <c r="Q132" s="20">
        <v>58.11</v>
      </c>
      <c r="S132"/>
      <c r="T132"/>
      <c r="U132"/>
      <c r="V132"/>
      <c r="W132"/>
      <c r="X132" s="46"/>
    </row>
    <row r="133" spans="1:24" s="16" customFormat="1">
      <c r="A133" s="14">
        <v>40372</v>
      </c>
      <c r="B133" s="15">
        <v>164.5</v>
      </c>
      <c r="C133" s="15">
        <v>163.25</v>
      </c>
      <c r="D133"/>
      <c r="E133"/>
      <c r="F133">
        <v>6</v>
      </c>
      <c r="G133">
        <v>18</v>
      </c>
      <c r="H133">
        <v>2013</v>
      </c>
      <c r="I133" s="41">
        <v>41443</v>
      </c>
      <c r="J133" s="38"/>
      <c r="K133" s="38"/>
      <c r="L133" s="17"/>
      <c r="M133" s="18"/>
      <c r="N133" s="17"/>
      <c r="O133" s="38">
        <v>2.181</v>
      </c>
      <c r="Q133" s="20">
        <v>58.844999999999999</v>
      </c>
      <c r="S133"/>
      <c r="T133"/>
      <c r="U133"/>
      <c r="V133"/>
      <c r="W133"/>
      <c r="X133" s="46"/>
    </row>
    <row r="134" spans="1:24" s="16" customFormat="1">
      <c r="A134" s="14">
        <v>40373</v>
      </c>
      <c r="B134" s="15">
        <v>163</v>
      </c>
      <c r="C134" s="15">
        <v>162.6</v>
      </c>
      <c r="D134"/>
      <c r="E134"/>
      <c r="F134">
        <v>6</v>
      </c>
      <c r="G134">
        <v>19</v>
      </c>
      <c r="H134">
        <v>2013</v>
      </c>
      <c r="I134" s="41">
        <v>41444</v>
      </c>
      <c r="J134" s="38"/>
      <c r="K134" s="38"/>
      <c r="L134" s="17"/>
      <c r="M134" s="18"/>
      <c r="N134" s="17"/>
      <c r="O134" s="38">
        <v>2.2250000000000001</v>
      </c>
      <c r="Q134" s="20">
        <v>58.72</v>
      </c>
      <c r="S134"/>
      <c r="T134"/>
      <c r="U134"/>
      <c r="V134"/>
      <c r="W134"/>
      <c r="X134" s="46"/>
    </row>
    <row r="135" spans="1:24" s="16" customFormat="1">
      <c r="A135" s="14">
        <v>40374</v>
      </c>
      <c r="B135" s="15">
        <v>164.35</v>
      </c>
      <c r="C135" s="15">
        <v>164.8</v>
      </c>
      <c r="D135"/>
      <c r="E135"/>
      <c r="F135">
        <v>6</v>
      </c>
      <c r="G135">
        <v>20</v>
      </c>
      <c r="H135">
        <v>2013</v>
      </c>
      <c r="I135" s="41">
        <v>41445</v>
      </c>
      <c r="J135" s="38"/>
      <c r="K135" s="38"/>
      <c r="L135" s="17"/>
      <c r="M135" s="18"/>
      <c r="N135" s="17"/>
      <c r="O135" s="38">
        <v>2.2585999999999999</v>
      </c>
      <c r="Q135" s="20">
        <v>59.575000000000003</v>
      </c>
      <c r="S135"/>
      <c r="T135"/>
      <c r="U135"/>
      <c r="V135"/>
      <c r="W135"/>
      <c r="X135" s="46"/>
    </row>
    <row r="136" spans="1:24" s="16" customFormat="1">
      <c r="A136" s="14">
        <v>40375</v>
      </c>
      <c r="B136" s="15">
        <v>164.65</v>
      </c>
      <c r="C136" s="15">
        <v>164.8</v>
      </c>
      <c r="D136"/>
      <c r="E136"/>
      <c r="F136">
        <v>6</v>
      </c>
      <c r="G136">
        <v>21</v>
      </c>
      <c r="H136">
        <v>2013</v>
      </c>
      <c r="I136" s="41">
        <v>41446</v>
      </c>
      <c r="J136" s="38"/>
      <c r="K136" s="38"/>
      <c r="L136" s="17"/>
      <c r="M136" s="18"/>
      <c r="N136" s="17"/>
      <c r="O136" s="38">
        <v>2.242</v>
      </c>
      <c r="Q136" s="20">
        <v>59.274999999999999</v>
      </c>
      <c r="S136"/>
      <c r="T136"/>
      <c r="U136"/>
      <c r="V136"/>
      <c r="W136"/>
      <c r="X136" s="46"/>
    </row>
    <row r="137" spans="1:24" s="16" customFormat="1">
      <c r="A137" s="14">
        <v>40378</v>
      </c>
      <c r="B137" s="15">
        <v>161.75</v>
      </c>
      <c r="C137" s="15">
        <v>162</v>
      </c>
      <c r="D137"/>
      <c r="E137"/>
      <c r="F137">
        <v>6</v>
      </c>
      <c r="G137">
        <v>24</v>
      </c>
      <c r="H137">
        <v>2013</v>
      </c>
      <c r="I137" s="41">
        <v>41449</v>
      </c>
      <c r="J137" s="38"/>
      <c r="K137" s="38"/>
      <c r="L137" s="17"/>
      <c r="M137" s="18"/>
      <c r="N137" s="17"/>
      <c r="O137" s="38">
        <v>2.226</v>
      </c>
      <c r="Q137" s="20">
        <v>59.814999999999998</v>
      </c>
      <c r="S137"/>
      <c r="T137"/>
      <c r="U137"/>
      <c r="V137"/>
      <c r="W137"/>
      <c r="X137" s="46"/>
    </row>
    <row r="138" spans="1:24" s="16" customFormat="1">
      <c r="A138" s="14">
        <v>40379</v>
      </c>
      <c r="B138" s="15">
        <v>159.80000000000001</v>
      </c>
      <c r="C138" s="15">
        <v>156.44999999999999</v>
      </c>
      <c r="D138"/>
      <c r="E138"/>
      <c r="F138">
        <v>6</v>
      </c>
      <c r="G138">
        <v>25</v>
      </c>
      <c r="H138">
        <v>2013</v>
      </c>
      <c r="I138" s="41">
        <v>41450</v>
      </c>
      <c r="J138" s="38"/>
      <c r="K138" s="38"/>
      <c r="L138" s="17"/>
      <c r="M138" s="18"/>
      <c r="N138" s="17"/>
      <c r="O138" s="38">
        <v>2.2139000000000002</v>
      </c>
      <c r="Q138" s="20">
        <v>59.664999999999999</v>
      </c>
      <c r="S138"/>
      <c r="T138"/>
      <c r="U138"/>
      <c r="V138"/>
      <c r="W138"/>
      <c r="X138" s="46"/>
    </row>
    <row r="139" spans="1:24" s="16" customFormat="1">
      <c r="A139" s="14">
        <v>40380</v>
      </c>
      <c r="B139" s="15">
        <v>155.80000000000001</v>
      </c>
      <c r="C139" s="15">
        <v>157.30000000000001</v>
      </c>
      <c r="D139"/>
      <c r="E139"/>
      <c r="F139">
        <v>6</v>
      </c>
      <c r="G139">
        <v>26</v>
      </c>
      <c r="H139">
        <v>2013</v>
      </c>
      <c r="I139" s="41">
        <v>41451</v>
      </c>
      <c r="J139" s="38"/>
      <c r="K139" s="38"/>
      <c r="L139" s="17"/>
      <c r="M139" s="18"/>
      <c r="N139" s="17"/>
      <c r="O139" s="38">
        <v>2.1869999999999998</v>
      </c>
      <c r="Q139" s="20">
        <v>60.72</v>
      </c>
      <c r="S139"/>
      <c r="T139"/>
      <c r="U139"/>
      <c r="V139"/>
      <c r="W139"/>
      <c r="X139" s="46"/>
    </row>
    <row r="140" spans="1:24" s="16" customFormat="1">
      <c r="A140" s="14">
        <v>40381</v>
      </c>
      <c r="B140" s="15">
        <v>157.6</v>
      </c>
      <c r="C140" s="15">
        <v>161.69999999999999</v>
      </c>
      <c r="D140"/>
      <c r="E140"/>
      <c r="F140">
        <v>6</v>
      </c>
      <c r="G140">
        <v>27</v>
      </c>
      <c r="H140">
        <v>2013</v>
      </c>
      <c r="I140" s="41">
        <v>41452</v>
      </c>
      <c r="J140" s="38"/>
      <c r="K140" s="38"/>
      <c r="L140" s="17"/>
      <c r="M140" s="18"/>
      <c r="N140" s="17"/>
      <c r="O140" s="38">
        <v>2.1989000000000001</v>
      </c>
      <c r="Q140" s="20">
        <v>60.195</v>
      </c>
      <c r="S140"/>
      <c r="T140"/>
      <c r="U140"/>
      <c r="V140"/>
      <c r="W140"/>
      <c r="X140" s="46"/>
    </row>
    <row r="141" spans="1:24" s="16" customFormat="1">
      <c r="A141" s="14">
        <v>40382</v>
      </c>
      <c r="B141" s="15">
        <v>160.44999999999999</v>
      </c>
      <c r="C141" s="15">
        <v>166</v>
      </c>
      <c r="D141"/>
      <c r="E141"/>
      <c r="F141">
        <v>6</v>
      </c>
      <c r="G141">
        <v>28</v>
      </c>
      <c r="H141">
        <v>2013</v>
      </c>
      <c r="I141" s="41">
        <v>41453</v>
      </c>
      <c r="J141" s="38"/>
      <c r="K141" s="38"/>
      <c r="L141" s="17"/>
      <c r="M141" s="18"/>
      <c r="N141" s="17"/>
      <c r="O141" s="38">
        <v>2.2321</v>
      </c>
      <c r="Q141" s="20">
        <v>59.533000000000001</v>
      </c>
      <c r="S141"/>
      <c r="T141"/>
      <c r="U141"/>
      <c r="V141"/>
      <c r="W141"/>
      <c r="X141" s="46"/>
    </row>
    <row r="142" spans="1:24" s="16" customFormat="1">
      <c r="A142" s="14">
        <v>40385</v>
      </c>
      <c r="B142" s="15">
        <v>164.25</v>
      </c>
      <c r="C142" s="15">
        <v>165.6</v>
      </c>
      <c r="D142"/>
      <c r="E142"/>
      <c r="F142">
        <v>7</v>
      </c>
      <c r="G142">
        <v>1</v>
      </c>
      <c r="H142">
        <v>2013</v>
      </c>
      <c r="I142" s="41">
        <v>41456</v>
      </c>
      <c r="J142" s="38"/>
      <c r="K142" s="38"/>
      <c r="L142" s="17"/>
      <c r="M142" s="18"/>
      <c r="N142" s="17"/>
      <c r="O142" s="38">
        <v>2.2282999999999999</v>
      </c>
      <c r="Q142" s="20">
        <v>59.384999999999998</v>
      </c>
      <c r="S142"/>
      <c r="T142"/>
      <c r="U142"/>
      <c r="V142"/>
      <c r="W142"/>
      <c r="X142" s="46"/>
    </row>
    <row r="143" spans="1:24" s="16" customFormat="1">
      <c r="A143" s="14">
        <v>40386</v>
      </c>
      <c r="B143" s="15">
        <v>163.19999999999999</v>
      </c>
      <c r="C143" s="15">
        <v>163.75</v>
      </c>
      <c r="D143"/>
      <c r="E143"/>
      <c r="F143">
        <v>7</v>
      </c>
      <c r="G143">
        <v>2</v>
      </c>
      <c r="H143">
        <v>2013</v>
      </c>
      <c r="I143" s="41">
        <v>41457</v>
      </c>
      <c r="J143" s="38"/>
      <c r="K143" s="38"/>
      <c r="L143" s="17"/>
      <c r="M143" s="18"/>
      <c r="N143" s="17"/>
      <c r="O143" s="38">
        <v>2.2545999999999999</v>
      </c>
      <c r="Q143" s="20">
        <v>59.555</v>
      </c>
      <c r="S143"/>
      <c r="T143"/>
      <c r="U143"/>
      <c r="V143"/>
      <c r="W143"/>
      <c r="X143" s="46"/>
    </row>
    <row r="144" spans="1:24" s="16" customFormat="1">
      <c r="A144" s="14">
        <v>40387</v>
      </c>
      <c r="B144" s="15">
        <v>163.65</v>
      </c>
      <c r="C144" s="15">
        <v>167.4</v>
      </c>
      <c r="D144"/>
      <c r="E144"/>
      <c r="F144">
        <v>7</v>
      </c>
      <c r="G144">
        <v>3</v>
      </c>
      <c r="H144">
        <v>2013</v>
      </c>
      <c r="I144" s="41">
        <v>41458</v>
      </c>
      <c r="J144" s="38"/>
      <c r="K144" s="38"/>
      <c r="L144" s="17"/>
      <c r="M144" s="18"/>
      <c r="N144" s="17"/>
      <c r="O144" s="38">
        <v>2.2681</v>
      </c>
      <c r="Q144" s="20">
        <v>60.225999999999999</v>
      </c>
      <c r="S144"/>
      <c r="T144"/>
      <c r="U144"/>
      <c r="V144"/>
      <c r="W144"/>
      <c r="X144" s="46"/>
    </row>
    <row r="145" spans="1:24" s="16" customFormat="1">
      <c r="A145" s="14">
        <v>40388</v>
      </c>
      <c r="B145" s="15">
        <v>166.45</v>
      </c>
      <c r="C145" s="15">
        <v>173.05</v>
      </c>
      <c r="D145"/>
      <c r="E145"/>
      <c r="F145">
        <v>7</v>
      </c>
      <c r="G145">
        <v>4</v>
      </c>
      <c r="H145">
        <v>2013</v>
      </c>
      <c r="I145" s="41">
        <v>41459</v>
      </c>
      <c r="J145" s="38"/>
      <c r="K145" s="38"/>
      <c r="L145" s="17"/>
      <c r="M145" s="18"/>
      <c r="N145" s="17"/>
      <c r="O145" s="38">
        <v>2.2480000000000002</v>
      </c>
      <c r="Q145" s="20">
        <v>60.075000000000003</v>
      </c>
      <c r="S145"/>
      <c r="T145"/>
      <c r="U145"/>
      <c r="V145"/>
      <c r="W145"/>
      <c r="X145" s="46"/>
    </row>
    <row r="146" spans="1:24" s="16" customFormat="1">
      <c r="A146" s="14">
        <v>40389</v>
      </c>
      <c r="B146" s="15">
        <v>172.65</v>
      </c>
      <c r="C146" s="15">
        <v>176.3</v>
      </c>
      <c r="D146"/>
      <c r="E146"/>
      <c r="F146">
        <v>7</v>
      </c>
      <c r="G146">
        <v>5</v>
      </c>
      <c r="H146">
        <v>2013</v>
      </c>
      <c r="I146" s="41">
        <v>41460</v>
      </c>
      <c r="J146" s="38"/>
      <c r="K146" s="38"/>
      <c r="L146" s="17"/>
      <c r="M146" s="18"/>
      <c r="N146" s="17"/>
      <c r="O146" s="38">
        <v>2.2524999999999999</v>
      </c>
      <c r="Q146" s="20">
        <v>60.23</v>
      </c>
      <c r="S146"/>
      <c r="T146"/>
      <c r="U146"/>
      <c r="V146"/>
      <c r="W146"/>
      <c r="X146" s="46"/>
    </row>
    <row r="147" spans="1:24" s="16" customFormat="1">
      <c r="A147" s="14">
        <v>40392</v>
      </c>
      <c r="B147" s="15">
        <v>172.05</v>
      </c>
      <c r="C147" s="15">
        <v>172.5</v>
      </c>
      <c r="D147"/>
      <c r="E147"/>
      <c r="F147">
        <v>7</v>
      </c>
      <c r="G147">
        <v>8</v>
      </c>
      <c r="H147">
        <v>2013</v>
      </c>
      <c r="I147" s="41">
        <v>41463</v>
      </c>
      <c r="J147" s="38"/>
      <c r="K147" s="38"/>
      <c r="L147" s="17"/>
      <c r="M147" s="18"/>
      <c r="N147" s="17"/>
      <c r="O147" s="38">
        <v>2.2642000000000002</v>
      </c>
      <c r="Q147" s="20">
        <v>60.695</v>
      </c>
      <c r="S147"/>
      <c r="T147"/>
      <c r="U147"/>
      <c r="V147"/>
      <c r="W147"/>
      <c r="X147" s="46"/>
    </row>
    <row r="148" spans="1:24" s="16" customFormat="1">
      <c r="A148" s="14">
        <v>40393</v>
      </c>
      <c r="B148" s="15">
        <v>165.15</v>
      </c>
      <c r="C148" s="15">
        <v>166.65</v>
      </c>
      <c r="D148"/>
      <c r="E148"/>
      <c r="F148">
        <v>7</v>
      </c>
      <c r="G148">
        <v>9</v>
      </c>
      <c r="H148">
        <v>2013</v>
      </c>
      <c r="I148" s="41">
        <v>41464</v>
      </c>
      <c r="J148" s="38"/>
      <c r="K148" s="38"/>
      <c r="L148" s="17"/>
      <c r="M148" s="18"/>
      <c r="N148" s="17"/>
      <c r="O148" s="38">
        <v>2.2570999999999999</v>
      </c>
      <c r="Q148" s="20">
        <v>60.101999999999997</v>
      </c>
      <c r="S148"/>
      <c r="T148"/>
      <c r="U148"/>
      <c r="V148"/>
      <c r="W148"/>
      <c r="X148" s="46"/>
    </row>
    <row r="149" spans="1:24" s="16" customFormat="1">
      <c r="A149" s="14">
        <v>40394</v>
      </c>
      <c r="B149" s="15">
        <v>167.6</v>
      </c>
      <c r="C149" s="15">
        <v>169.75</v>
      </c>
      <c r="D149"/>
      <c r="E149"/>
      <c r="F149">
        <v>7</v>
      </c>
      <c r="G149">
        <v>10</v>
      </c>
      <c r="H149">
        <v>2013</v>
      </c>
      <c r="I149" s="41">
        <v>41465</v>
      </c>
      <c r="J149" s="38"/>
      <c r="K149" s="38"/>
      <c r="L149" s="17"/>
      <c r="M149" s="18"/>
      <c r="N149" s="17"/>
      <c r="O149" s="38">
        <v>2.2643</v>
      </c>
      <c r="Q149" s="20">
        <v>59.895000000000003</v>
      </c>
      <c r="S149"/>
      <c r="T149"/>
      <c r="U149"/>
      <c r="V149"/>
      <c r="W149"/>
      <c r="X149" s="46"/>
    </row>
    <row r="150" spans="1:24" s="16" customFormat="1">
      <c r="A150" s="14">
        <v>40395</v>
      </c>
      <c r="B150" s="15">
        <v>169.1</v>
      </c>
      <c r="C150" s="15">
        <v>169.85</v>
      </c>
      <c r="D150"/>
      <c r="E150"/>
      <c r="F150">
        <v>7</v>
      </c>
      <c r="G150">
        <v>11</v>
      </c>
      <c r="H150">
        <v>2013</v>
      </c>
      <c r="I150" s="41">
        <v>41466</v>
      </c>
      <c r="J150" s="38"/>
      <c r="K150" s="38"/>
      <c r="L150" s="17"/>
      <c r="M150" s="18"/>
      <c r="N150" s="17"/>
      <c r="O150" s="38">
        <v>2.2538</v>
      </c>
      <c r="Q150" s="20">
        <v>59.834000000000003</v>
      </c>
      <c r="S150"/>
      <c r="T150"/>
      <c r="U150"/>
      <c r="V150"/>
      <c r="W150"/>
      <c r="X150" s="46"/>
    </row>
    <row r="151" spans="1:24" s="16" customFormat="1">
      <c r="A151" s="14">
        <v>40396</v>
      </c>
      <c r="B151" s="15">
        <v>165.25</v>
      </c>
      <c r="C151" s="15">
        <v>167.4</v>
      </c>
      <c r="D151"/>
      <c r="E151"/>
      <c r="F151">
        <v>7</v>
      </c>
      <c r="G151">
        <v>12</v>
      </c>
      <c r="H151">
        <v>2013</v>
      </c>
      <c r="I151" s="41">
        <v>41467</v>
      </c>
      <c r="J151" s="38"/>
      <c r="K151" s="38"/>
      <c r="L151" s="17"/>
      <c r="M151" s="18"/>
      <c r="N151" s="17"/>
      <c r="O151" s="38">
        <v>2.2673000000000001</v>
      </c>
      <c r="Q151" s="20">
        <v>59.890999999999998</v>
      </c>
      <c r="S151"/>
      <c r="T151"/>
      <c r="U151"/>
      <c r="V151"/>
      <c r="W151"/>
      <c r="X151" s="46"/>
    </row>
    <row r="152" spans="1:24" s="16" customFormat="1">
      <c r="A152" s="14">
        <v>40399</v>
      </c>
      <c r="B152" s="15">
        <v>166.25</v>
      </c>
      <c r="C152" s="15">
        <v>169.6</v>
      </c>
      <c r="D152"/>
      <c r="E152"/>
      <c r="F152">
        <v>7</v>
      </c>
      <c r="G152">
        <v>15</v>
      </c>
      <c r="H152">
        <v>2013</v>
      </c>
      <c r="I152" s="41">
        <v>41470</v>
      </c>
      <c r="J152" s="38"/>
      <c r="K152" s="38"/>
      <c r="L152" s="17"/>
      <c r="M152" s="18"/>
      <c r="N152" s="17"/>
      <c r="O152" s="38">
        <v>2.2193000000000001</v>
      </c>
      <c r="Q152" s="20">
        <v>59.814999999999998</v>
      </c>
      <c r="S152"/>
      <c r="T152"/>
      <c r="U152"/>
      <c r="V152"/>
      <c r="W152"/>
      <c r="X152" s="46"/>
    </row>
    <row r="153" spans="1:24" s="16" customFormat="1">
      <c r="A153" s="14">
        <v>40400</v>
      </c>
      <c r="B153" s="15">
        <v>167.3</v>
      </c>
      <c r="C153" s="15">
        <v>169.65</v>
      </c>
      <c r="D153"/>
      <c r="E153"/>
      <c r="F153">
        <v>7</v>
      </c>
      <c r="G153">
        <v>16</v>
      </c>
      <c r="H153">
        <v>2013</v>
      </c>
      <c r="I153" s="41">
        <v>41471</v>
      </c>
      <c r="J153" s="38"/>
      <c r="K153" s="38"/>
      <c r="L153" s="17"/>
      <c r="M153" s="18"/>
      <c r="N153" s="17"/>
      <c r="O153" s="38">
        <v>2.2530999999999999</v>
      </c>
      <c r="Q153" s="20">
        <v>59.3</v>
      </c>
      <c r="S153"/>
      <c r="T153"/>
      <c r="U153"/>
      <c r="V153"/>
      <c r="W153"/>
      <c r="X153" s="46"/>
    </row>
    <row r="154" spans="1:24" s="16" customFormat="1">
      <c r="A154" s="14">
        <v>40401</v>
      </c>
      <c r="B154" s="15">
        <v>169.1</v>
      </c>
      <c r="C154" s="15">
        <v>170.6</v>
      </c>
      <c r="D154"/>
      <c r="E154"/>
      <c r="F154">
        <v>7</v>
      </c>
      <c r="G154">
        <v>17</v>
      </c>
      <c r="H154">
        <v>2013</v>
      </c>
      <c r="I154" s="41">
        <v>41472</v>
      </c>
      <c r="J154" s="38"/>
      <c r="K154" s="38"/>
      <c r="L154" s="17"/>
      <c r="M154" s="18"/>
      <c r="N154" s="17"/>
      <c r="O154" s="38">
        <v>2.2256999999999998</v>
      </c>
      <c r="Q154" s="20">
        <v>59.33</v>
      </c>
      <c r="S154"/>
      <c r="T154"/>
      <c r="U154"/>
      <c r="V154"/>
      <c r="W154"/>
      <c r="X154" s="46"/>
    </row>
    <row r="155" spans="1:24" s="16" customFormat="1">
      <c r="A155" s="14">
        <v>40402</v>
      </c>
      <c r="B155" s="15">
        <v>169.9</v>
      </c>
      <c r="C155" s="15">
        <v>175.55</v>
      </c>
      <c r="D155"/>
      <c r="E155"/>
      <c r="F155">
        <v>7</v>
      </c>
      <c r="G155">
        <v>18</v>
      </c>
      <c r="H155">
        <v>2013</v>
      </c>
      <c r="I155" s="41">
        <v>41473</v>
      </c>
      <c r="J155" s="38"/>
      <c r="K155" s="38"/>
      <c r="L155" s="17"/>
      <c r="M155" s="18"/>
      <c r="N155" s="17"/>
      <c r="O155" s="38">
        <v>2.2271000000000001</v>
      </c>
      <c r="Q155" s="20">
        <v>59.744999999999997</v>
      </c>
      <c r="S155"/>
      <c r="T155"/>
      <c r="U155"/>
      <c r="V155"/>
      <c r="W155"/>
      <c r="X155" s="46"/>
    </row>
    <row r="156" spans="1:24" s="16" customFormat="1">
      <c r="A156" s="14">
        <v>40403</v>
      </c>
      <c r="B156" s="15">
        <v>173.3</v>
      </c>
      <c r="C156" s="15">
        <v>175.5</v>
      </c>
      <c r="D156"/>
      <c r="E156"/>
      <c r="F156">
        <v>7</v>
      </c>
      <c r="G156">
        <v>19</v>
      </c>
      <c r="H156">
        <v>2013</v>
      </c>
      <c r="I156" s="41">
        <v>41474</v>
      </c>
      <c r="J156" s="38"/>
      <c r="K156" s="38"/>
      <c r="L156" s="17"/>
      <c r="M156" s="18"/>
      <c r="N156" s="17"/>
      <c r="O156" s="38">
        <v>2.2467000000000001</v>
      </c>
      <c r="Q156" s="20">
        <v>59.34</v>
      </c>
      <c r="S156"/>
      <c r="T156"/>
      <c r="U156"/>
      <c r="V156"/>
      <c r="W156"/>
      <c r="X156" s="46"/>
    </row>
    <row r="157" spans="1:24" s="16" customFormat="1">
      <c r="A157" s="14">
        <v>40406</v>
      </c>
      <c r="B157" s="15">
        <v>173.45</v>
      </c>
      <c r="C157" s="15">
        <v>178.7</v>
      </c>
      <c r="D157"/>
      <c r="E157"/>
      <c r="F157">
        <v>7</v>
      </c>
      <c r="G157">
        <v>22</v>
      </c>
      <c r="H157">
        <v>2013</v>
      </c>
      <c r="I157" s="41">
        <v>41477</v>
      </c>
      <c r="J157" s="38"/>
      <c r="K157" s="38"/>
      <c r="L157" s="17"/>
      <c r="M157" s="18"/>
      <c r="N157" s="17"/>
      <c r="O157" s="38">
        <v>2.2328000000000001</v>
      </c>
      <c r="Q157" s="20">
        <v>59.725000000000001</v>
      </c>
      <c r="S157"/>
      <c r="T157"/>
      <c r="U157"/>
      <c r="V157"/>
      <c r="W157"/>
      <c r="X157" s="46"/>
    </row>
    <row r="158" spans="1:24" s="16" customFormat="1">
      <c r="A158" s="14">
        <v>40407</v>
      </c>
      <c r="B158" s="15">
        <v>174.9</v>
      </c>
      <c r="C158" s="15">
        <v>175.5</v>
      </c>
      <c r="D158"/>
      <c r="E158"/>
      <c r="F158">
        <v>7</v>
      </c>
      <c r="G158">
        <v>23</v>
      </c>
      <c r="H158">
        <v>2013</v>
      </c>
      <c r="I158" s="41">
        <v>41478</v>
      </c>
      <c r="J158" s="38"/>
      <c r="K158" s="38"/>
      <c r="L158" s="17"/>
      <c r="M158" s="18"/>
      <c r="N158" s="17"/>
      <c r="O158" s="38">
        <v>2.2134</v>
      </c>
      <c r="Q158" s="20">
        <v>59.76</v>
      </c>
      <c r="S158"/>
      <c r="T158"/>
      <c r="U158"/>
      <c r="V158"/>
      <c r="W158"/>
      <c r="X158" s="46"/>
    </row>
    <row r="159" spans="1:24" s="16" customFormat="1">
      <c r="A159" s="14">
        <v>40408</v>
      </c>
      <c r="B159" s="15">
        <v>174.4</v>
      </c>
      <c r="C159" s="15">
        <v>175.15</v>
      </c>
      <c r="D159"/>
      <c r="E159"/>
      <c r="F159">
        <v>7</v>
      </c>
      <c r="G159">
        <v>24</v>
      </c>
      <c r="H159">
        <v>2013</v>
      </c>
      <c r="I159" s="41">
        <v>41479</v>
      </c>
      <c r="J159" s="38"/>
      <c r="K159" s="38"/>
      <c r="L159" s="17"/>
      <c r="M159" s="18"/>
      <c r="N159" s="17"/>
      <c r="O159" s="38">
        <v>2.2513000000000001</v>
      </c>
      <c r="Q159" s="20">
        <v>59.255000000000003</v>
      </c>
      <c r="S159"/>
      <c r="T159"/>
      <c r="U159"/>
      <c r="V159"/>
      <c r="W159"/>
      <c r="X159" s="46"/>
    </row>
    <row r="160" spans="1:24" s="16" customFormat="1">
      <c r="A160" s="14">
        <v>40409</v>
      </c>
      <c r="B160" s="15">
        <v>174.9</v>
      </c>
      <c r="C160" s="15">
        <v>177.3</v>
      </c>
      <c r="D160"/>
      <c r="E160"/>
      <c r="F160">
        <v>7</v>
      </c>
      <c r="G160">
        <v>25</v>
      </c>
      <c r="H160">
        <v>2013</v>
      </c>
      <c r="I160" s="41">
        <v>41480</v>
      </c>
      <c r="J160" s="38"/>
      <c r="K160" s="38"/>
      <c r="L160" s="17"/>
      <c r="M160" s="18"/>
      <c r="N160" s="17"/>
      <c r="O160" s="38">
        <v>2.2427999999999999</v>
      </c>
      <c r="Q160" s="20">
        <v>58.965000000000003</v>
      </c>
      <c r="S160"/>
      <c r="T160"/>
      <c r="U160"/>
      <c r="V160"/>
      <c r="W160"/>
      <c r="X160" s="46"/>
    </row>
    <row r="161" spans="1:17">
      <c r="A161" s="14">
        <v>40410</v>
      </c>
      <c r="B161" s="15">
        <v>177.4</v>
      </c>
      <c r="C161" s="15">
        <v>181.55</v>
      </c>
      <c r="F161">
        <v>7</v>
      </c>
      <c r="G161">
        <v>26</v>
      </c>
      <c r="H161">
        <v>2013</v>
      </c>
      <c r="I161" s="41">
        <v>41481</v>
      </c>
      <c r="K161" s="38"/>
      <c r="O161" s="38">
        <v>2.2568000000000001</v>
      </c>
      <c r="Q161" s="20">
        <v>59.045999999999999</v>
      </c>
    </row>
    <row r="162" spans="1:17">
      <c r="A162" s="14">
        <v>40413</v>
      </c>
      <c r="B162" s="15">
        <v>180.6</v>
      </c>
      <c r="C162" s="15">
        <v>181.5</v>
      </c>
      <c r="F162">
        <v>7</v>
      </c>
      <c r="G162">
        <v>29</v>
      </c>
      <c r="H162">
        <v>2013</v>
      </c>
      <c r="I162" s="41">
        <v>41484</v>
      </c>
      <c r="K162" s="38"/>
      <c r="O162" s="38">
        <v>2.2686999999999999</v>
      </c>
      <c r="Q162" s="20">
        <v>59.555</v>
      </c>
    </row>
    <row r="163" spans="1:17">
      <c r="A163" s="14">
        <v>40414</v>
      </c>
      <c r="B163" s="15">
        <v>166.5</v>
      </c>
      <c r="C163" s="15">
        <v>166.85</v>
      </c>
      <c r="F163">
        <v>7</v>
      </c>
      <c r="G163">
        <v>30</v>
      </c>
      <c r="H163">
        <v>2013</v>
      </c>
      <c r="I163" s="41">
        <v>41485</v>
      </c>
      <c r="K163" s="38"/>
      <c r="O163" s="38">
        <v>2.2831999999999999</v>
      </c>
      <c r="Q163" s="20">
        <v>60.814999999999998</v>
      </c>
    </row>
    <row r="164" spans="1:17">
      <c r="A164" s="14">
        <v>40415</v>
      </c>
      <c r="B164" s="15">
        <v>163.5</v>
      </c>
      <c r="C164" s="15">
        <v>164.1</v>
      </c>
      <c r="F164">
        <v>7</v>
      </c>
      <c r="G164">
        <v>31</v>
      </c>
      <c r="H164">
        <v>2013</v>
      </c>
      <c r="I164" s="41">
        <v>41486</v>
      </c>
      <c r="K164" s="38"/>
      <c r="O164" s="38">
        <v>2.2770999999999999</v>
      </c>
      <c r="Q164" s="20">
        <v>60.854999999999997</v>
      </c>
    </row>
    <row r="165" spans="1:17">
      <c r="A165" s="14">
        <v>40416</v>
      </c>
      <c r="B165" s="15">
        <v>165.55</v>
      </c>
      <c r="C165" s="15">
        <v>169.95</v>
      </c>
      <c r="F165">
        <v>8</v>
      </c>
      <c r="G165">
        <v>1</v>
      </c>
      <c r="H165">
        <v>2013</v>
      </c>
      <c r="I165" s="41">
        <v>41487</v>
      </c>
      <c r="K165" s="38"/>
      <c r="O165" s="38">
        <v>2.3045</v>
      </c>
      <c r="Q165" s="20">
        <v>60.564999999999998</v>
      </c>
    </row>
    <row r="166" spans="1:17">
      <c r="A166" s="14">
        <v>40417</v>
      </c>
      <c r="B166" s="15">
        <v>171</v>
      </c>
      <c r="C166" s="15">
        <v>177.05</v>
      </c>
      <c r="F166">
        <v>8</v>
      </c>
      <c r="G166">
        <v>2</v>
      </c>
      <c r="H166">
        <v>2013</v>
      </c>
      <c r="I166" s="41">
        <v>41488</v>
      </c>
      <c r="K166" s="38"/>
      <c r="O166" s="38">
        <v>2.2875999999999999</v>
      </c>
      <c r="Q166" s="20">
        <v>61.104999999999997</v>
      </c>
    </row>
    <row r="167" spans="1:17">
      <c r="A167" s="14">
        <v>40420</v>
      </c>
      <c r="B167" s="15">
        <v>176.5</v>
      </c>
      <c r="C167" s="15">
        <v>179.55</v>
      </c>
      <c r="F167">
        <v>8</v>
      </c>
      <c r="G167">
        <v>5</v>
      </c>
      <c r="H167">
        <v>2013</v>
      </c>
      <c r="I167" s="41">
        <v>41491</v>
      </c>
      <c r="K167" s="38"/>
      <c r="O167" s="38">
        <v>2.3058000000000001</v>
      </c>
      <c r="Q167" s="20">
        <v>60.86</v>
      </c>
    </row>
    <row r="168" spans="1:17">
      <c r="A168" s="14">
        <v>40421</v>
      </c>
      <c r="B168" s="15">
        <v>177.3</v>
      </c>
      <c r="C168" s="15">
        <v>176.8</v>
      </c>
      <c r="F168">
        <v>8</v>
      </c>
      <c r="G168">
        <v>6</v>
      </c>
      <c r="H168">
        <v>2013</v>
      </c>
      <c r="I168" s="41">
        <v>41492</v>
      </c>
      <c r="K168" s="38"/>
      <c r="O168" s="38">
        <v>2.2991000000000001</v>
      </c>
      <c r="Q168" s="20">
        <v>60.79</v>
      </c>
    </row>
    <row r="169" spans="1:17">
      <c r="A169" s="14">
        <v>40422</v>
      </c>
      <c r="B169" s="15">
        <v>180</v>
      </c>
      <c r="C169" s="15">
        <v>180.5</v>
      </c>
      <c r="F169">
        <v>8</v>
      </c>
      <c r="G169">
        <v>7</v>
      </c>
      <c r="H169">
        <v>2013</v>
      </c>
      <c r="I169" s="41">
        <v>41493</v>
      </c>
      <c r="K169" s="38"/>
      <c r="O169" s="38">
        <v>2.3140000000000001</v>
      </c>
      <c r="Q169" s="20">
        <v>61.21</v>
      </c>
    </row>
    <row r="170" spans="1:17">
      <c r="A170" s="14">
        <v>40423</v>
      </c>
      <c r="B170" s="15">
        <v>180.9</v>
      </c>
      <c r="C170" s="15">
        <v>183.2</v>
      </c>
      <c r="F170">
        <v>8</v>
      </c>
      <c r="G170">
        <v>8</v>
      </c>
      <c r="H170">
        <v>2013</v>
      </c>
      <c r="I170" s="41">
        <v>41494</v>
      </c>
      <c r="K170" s="38"/>
      <c r="O170" s="38">
        <v>2.2844000000000002</v>
      </c>
      <c r="Q170" s="20">
        <v>60.731000000000002</v>
      </c>
    </row>
    <row r="171" spans="1:17">
      <c r="A171" s="14">
        <v>40424</v>
      </c>
      <c r="B171" s="15">
        <v>184.9</v>
      </c>
      <c r="C171" s="15">
        <v>185.05</v>
      </c>
      <c r="F171">
        <v>8</v>
      </c>
      <c r="G171">
        <v>9</v>
      </c>
      <c r="H171">
        <v>2013</v>
      </c>
      <c r="I171" s="41">
        <v>41495</v>
      </c>
      <c r="K171" s="38"/>
      <c r="O171" s="38">
        <v>2.2717000000000001</v>
      </c>
      <c r="Q171" s="20">
        <v>60.68</v>
      </c>
    </row>
    <row r="172" spans="1:17">
      <c r="A172" s="14">
        <v>40428</v>
      </c>
      <c r="B172" s="15">
        <v>183.5</v>
      </c>
      <c r="C172" s="15">
        <v>190.7</v>
      </c>
      <c r="F172">
        <v>8</v>
      </c>
      <c r="G172">
        <v>12</v>
      </c>
      <c r="H172">
        <v>2013</v>
      </c>
      <c r="I172" s="41">
        <v>41498</v>
      </c>
      <c r="K172" s="38"/>
      <c r="O172" s="38">
        <v>2.2873000000000001</v>
      </c>
      <c r="Q172" s="20">
        <v>61.125</v>
      </c>
    </row>
    <row r="173" spans="1:17">
      <c r="A173" s="14">
        <v>40429</v>
      </c>
      <c r="B173" s="15">
        <v>190.7</v>
      </c>
      <c r="C173" s="15">
        <v>193.1</v>
      </c>
      <c r="F173">
        <v>8</v>
      </c>
      <c r="G173">
        <v>13</v>
      </c>
      <c r="H173">
        <v>2013</v>
      </c>
      <c r="I173" s="41">
        <v>41499</v>
      </c>
      <c r="K173" s="38"/>
      <c r="O173" s="38">
        <v>2.3138000000000001</v>
      </c>
      <c r="Q173" s="20">
        <v>61.337000000000003</v>
      </c>
    </row>
    <row r="174" spans="1:17">
      <c r="A174" s="14">
        <v>40430</v>
      </c>
      <c r="B174" s="15">
        <v>191</v>
      </c>
      <c r="C174" s="15">
        <v>189.15</v>
      </c>
      <c r="F174">
        <v>8</v>
      </c>
      <c r="G174">
        <v>14</v>
      </c>
      <c r="H174">
        <v>2013</v>
      </c>
      <c r="I174" s="41">
        <v>41500</v>
      </c>
      <c r="K174" s="38"/>
      <c r="O174" s="38">
        <v>2.3243999999999998</v>
      </c>
      <c r="Q174" s="20">
        <v>61.283999999999999</v>
      </c>
    </row>
    <row r="175" spans="1:17">
      <c r="A175" s="14">
        <v>40431</v>
      </c>
      <c r="B175" s="15">
        <v>187</v>
      </c>
      <c r="C175" s="15">
        <v>188.25</v>
      </c>
      <c r="F175">
        <v>8</v>
      </c>
      <c r="G175">
        <v>15</v>
      </c>
      <c r="H175">
        <v>2013</v>
      </c>
      <c r="I175" s="41">
        <v>41501</v>
      </c>
      <c r="K175" s="38"/>
      <c r="O175" s="38">
        <v>2.3407</v>
      </c>
      <c r="Q175" s="20">
        <v>61.424999999999997</v>
      </c>
    </row>
    <row r="176" spans="1:17">
      <c r="A176" s="14">
        <v>40434</v>
      </c>
      <c r="B176" s="15">
        <v>187.3</v>
      </c>
      <c r="C176" s="15">
        <v>187.5</v>
      </c>
      <c r="F176">
        <v>8</v>
      </c>
      <c r="G176">
        <v>16</v>
      </c>
      <c r="H176">
        <v>2013</v>
      </c>
      <c r="I176" s="41">
        <v>41502</v>
      </c>
      <c r="K176" s="38"/>
      <c r="O176" s="38">
        <v>2.3925000000000001</v>
      </c>
      <c r="Q176" s="20">
        <v>61.664999999999999</v>
      </c>
    </row>
    <row r="177" spans="1:18">
      <c r="A177" s="14">
        <v>40435</v>
      </c>
      <c r="B177" s="15">
        <v>192.6</v>
      </c>
      <c r="C177" s="15">
        <v>193.7</v>
      </c>
      <c r="F177">
        <v>8</v>
      </c>
      <c r="G177">
        <v>19</v>
      </c>
      <c r="H177">
        <v>2013</v>
      </c>
      <c r="I177" s="41">
        <v>41505</v>
      </c>
      <c r="K177" s="38"/>
      <c r="O177" s="38">
        <v>2.4129</v>
      </c>
      <c r="Q177" s="20">
        <v>63.14</v>
      </c>
    </row>
    <row r="178" spans="1:18">
      <c r="A178" s="14">
        <v>40436</v>
      </c>
      <c r="B178" s="15">
        <v>192</v>
      </c>
      <c r="C178" s="15">
        <v>192.65</v>
      </c>
      <c r="F178">
        <v>8</v>
      </c>
      <c r="G178">
        <v>20</v>
      </c>
      <c r="H178">
        <v>2013</v>
      </c>
      <c r="I178" s="41">
        <v>41506</v>
      </c>
      <c r="K178" s="38"/>
      <c r="O178" s="38">
        <v>2.3936000000000002</v>
      </c>
      <c r="Q178" s="20">
        <v>63.125</v>
      </c>
    </row>
    <row r="179" spans="1:18">
      <c r="A179" s="14">
        <v>40437</v>
      </c>
      <c r="B179" s="15">
        <v>189.5</v>
      </c>
      <c r="C179" s="15">
        <v>190.35</v>
      </c>
      <c r="F179">
        <v>8</v>
      </c>
      <c r="G179">
        <v>21</v>
      </c>
      <c r="H179">
        <v>2013</v>
      </c>
      <c r="I179" s="41">
        <v>41507</v>
      </c>
      <c r="K179" s="38"/>
      <c r="O179" s="38">
        <v>2.4523999999999999</v>
      </c>
      <c r="Q179" s="20">
        <v>64.114999999999995</v>
      </c>
    </row>
    <row r="180" spans="1:18">
      <c r="A180" s="14">
        <v>40438</v>
      </c>
      <c r="B180" s="15">
        <v>186.5</v>
      </c>
      <c r="C180" s="15">
        <v>187.85</v>
      </c>
      <c r="F180">
        <v>8</v>
      </c>
      <c r="G180">
        <v>22</v>
      </c>
      <c r="H180">
        <v>2013</v>
      </c>
      <c r="I180" s="41">
        <v>41508</v>
      </c>
      <c r="K180" s="38"/>
      <c r="O180" s="38">
        <v>2.4348000000000001</v>
      </c>
      <c r="Q180" s="20">
        <v>64.555000000000007</v>
      </c>
    </row>
    <row r="181" spans="1:18">
      <c r="A181" s="14">
        <v>40441</v>
      </c>
      <c r="B181" s="15">
        <v>182.7</v>
      </c>
      <c r="C181" s="15">
        <v>180.55</v>
      </c>
      <c r="F181">
        <v>8</v>
      </c>
      <c r="G181">
        <v>23</v>
      </c>
      <c r="H181">
        <v>2013</v>
      </c>
      <c r="I181" s="41">
        <v>41509</v>
      </c>
      <c r="K181" s="38"/>
      <c r="O181" s="38">
        <v>2.3485999999999998</v>
      </c>
      <c r="Q181" s="20">
        <v>63.204999999999998</v>
      </c>
    </row>
    <row r="182" spans="1:18">
      <c r="A182" s="14">
        <v>40442</v>
      </c>
      <c r="B182" s="15">
        <v>181.2</v>
      </c>
      <c r="C182" s="15">
        <v>182.9</v>
      </c>
      <c r="F182">
        <v>8</v>
      </c>
      <c r="G182">
        <v>26</v>
      </c>
      <c r="H182">
        <v>2013</v>
      </c>
      <c r="I182" s="41">
        <v>41512</v>
      </c>
      <c r="K182" s="38"/>
      <c r="O182" s="38">
        <v>2.3792</v>
      </c>
      <c r="Q182" s="20">
        <v>64.3</v>
      </c>
    </row>
    <row r="183" spans="1:18">
      <c r="A183" s="14">
        <v>40443</v>
      </c>
      <c r="B183" s="15">
        <v>179.35</v>
      </c>
      <c r="C183" s="15">
        <v>179.95</v>
      </c>
      <c r="F183">
        <v>8</v>
      </c>
      <c r="G183">
        <v>27</v>
      </c>
      <c r="H183">
        <v>2013</v>
      </c>
      <c r="I183" s="41">
        <v>41513</v>
      </c>
      <c r="K183" s="38"/>
      <c r="O183" s="38">
        <v>2.3719999999999999</v>
      </c>
      <c r="Q183" s="20">
        <v>66.31</v>
      </c>
    </row>
    <row r="184" spans="1:18">
      <c r="A184" s="14">
        <v>40444</v>
      </c>
      <c r="B184" s="15">
        <v>179.6</v>
      </c>
      <c r="C184" s="15">
        <v>181.65</v>
      </c>
      <c r="F184">
        <v>8</v>
      </c>
      <c r="G184">
        <v>28</v>
      </c>
      <c r="H184">
        <v>2013</v>
      </c>
      <c r="I184" s="41">
        <v>41514</v>
      </c>
      <c r="K184" s="38"/>
      <c r="O184" s="38">
        <v>2.3441999999999998</v>
      </c>
      <c r="Q184" s="20">
        <v>68.805000000000007</v>
      </c>
    </row>
    <row r="185" spans="1:18">
      <c r="A185" s="14">
        <v>40445</v>
      </c>
      <c r="B185" s="15">
        <v>178.25</v>
      </c>
      <c r="C185" s="15">
        <v>180.6</v>
      </c>
      <c r="F185">
        <v>8</v>
      </c>
      <c r="G185">
        <v>29</v>
      </c>
      <c r="H185">
        <v>2013</v>
      </c>
      <c r="I185" s="41">
        <v>41515</v>
      </c>
      <c r="K185" s="38"/>
      <c r="O185" s="38">
        <v>2.3597999999999999</v>
      </c>
      <c r="Q185" s="20">
        <v>66.555000000000007</v>
      </c>
    </row>
    <row r="186" spans="1:18">
      <c r="A186" s="14">
        <v>40448</v>
      </c>
      <c r="B186" s="15">
        <v>179.55</v>
      </c>
      <c r="C186" s="15">
        <v>182.25</v>
      </c>
      <c r="F186">
        <v>8</v>
      </c>
      <c r="G186">
        <v>30</v>
      </c>
      <c r="H186">
        <v>2013</v>
      </c>
      <c r="I186" s="41">
        <v>41516</v>
      </c>
      <c r="K186" s="38"/>
      <c r="O186" s="38">
        <v>2.3862000000000001</v>
      </c>
      <c r="Q186" s="20">
        <v>65.704999999999998</v>
      </c>
      <c r="R186" s="21"/>
    </row>
    <row r="187" spans="1:18">
      <c r="A187" s="14">
        <v>40449</v>
      </c>
      <c r="B187" s="15">
        <v>181.55</v>
      </c>
      <c r="C187" s="15">
        <v>188.95</v>
      </c>
      <c r="F187">
        <v>9</v>
      </c>
      <c r="G187">
        <v>2</v>
      </c>
      <c r="H187">
        <v>2013</v>
      </c>
      <c r="I187" s="41">
        <v>41519</v>
      </c>
      <c r="J187" s="39">
        <v>1938</v>
      </c>
      <c r="K187" s="21">
        <v>507.3</v>
      </c>
      <c r="L187" s="22">
        <v>7.9535</v>
      </c>
      <c r="M187" s="23">
        <v>13.335000000000001</v>
      </c>
      <c r="N187" s="22">
        <v>2.8065000000000002</v>
      </c>
      <c r="O187" s="22">
        <v>2.3780000000000001</v>
      </c>
      <c r="P187" s="21">
        <v>10977.5</v>
      </c>
      <c r="Q187" s="20">
        <v>66.004999999999995</v>
      </c>
      <c r="R187" s="21"/>
    </row>
    <row r="188" spans="1:18">
      <c r="A188" s="14">
        <v>40450</v>
      </c>
      <c r="B188" s="15">
        <v>183.25</v>
      </c>
      <c r="C188" s="15">
        <v>185.75</v>
      </c>
      <c r="F188">
        <v>9</v>
      </c>
      <c r="G188">
        <v>3</v>
      </c>
      <c r="H188">
        <v>2013</v>
      </c>
      <c r="I188" s="41">
        <v>41520</v>
      </c>
      <c r="J188" s="39">
        <v>1945.25</v>
      </c>
      <c r="K188" s="21">
        <v>511</v>
      </c>
      <c r="L188" s="22">
        <v>7.9695</v>
      </c>
      <c r="M188" s="23">
        <v>13.3855</v>
      </c>
      <c r="N188" s="22">
        <v>2.81</v>
      </c>
      <c r="O188" s="22">
        <v>2.3584999999999998</v>
      </c>
      <c r="P188" s="21">
        <v>11065</v>
      </c>
      <c r="Q188" s="20">
        <v>67.635000000000005</v>
      </c>
      <c r="R188" s="21"/>
    </row>
    <row r="189" spans="1:18">
      <c r="A189" s="14">
        <v>40451</v>
      </c>
      <c r="B189" s="15">
        <v>180.1</v>
      </c>
      <c r="C189" s="15">
        <v>183.05</v>
      </c>
      <c r="F189">
        <v>9</v>
      </c>
      <c r="G189">
        <v>4</v>
      </c>
      <c r="H189">
        <v>2013</v>
      </c>
      <c r="I189" s="41">
        <v>41521</v>
      </c>
      <c r="J189" s="39">
        <v>1940.3</v>
      </c>
      <c r="K189" s="21">
        <v>504.25</v>
      </c>
      <c r="L189" s="22">
        <v>7.9874999999999998</v>
      </c>
      <c r="M189" s="23">
        <v>13.308199999999999</v>
      </c>
      <c r="N189" s="22">
        <v>2.8075000000000001</v>
      </c>
      <c r="O189" s="22">
        <v>2.3605</v>
      </c>
      <c r="P189" s="21">
        <v>11125</v>
      </c>
      <c r="Q189" s="20">
        <v>67.069999999999993</v>
      </c>
      <c r="R189" s="21"/>
    </row>
    <row r="190" spans="1:18">
      <c r="A190" s="14">
        <v>40452</v>
      </c>
      <c r="B190" s="15">
        <v>180.5</v>
      </c>
      <c r="C190" s="15">
        <v>181.1</v>
      </c>
      <c r="F190">
        <v>9</v>
      </c>
      <c r="G190">
        <v>5</v>
      </c>
      <c r="H190">
        <v>2013</v>
      </c>
      <c r="I190" s="41">
        <v>41522</v>
      </c>
      <c r="J190" s="39">
        <v>1957.38</v>
      </c>
      <c r="K190" s="21">
        <v>508.5</v>
      </c>
      <c r="L190" s="22">
        <v>7.9995000000000003</v>
      </c>
      <c r="M190" s="23">
        <v>13.382999999999999</v>
      </c>
      <c r="N190" s="22">
        <v>2.8094999999999999</v>
      </c>
      <c r="O190" s="22">
        <v>2.3249</v>
      </c>
      <c r="P190" s="21">
        <v>11125</v>
      </c>
      <c r="Q190" s="20">
        <v>66.015000000000001</v>
      </c>
      <c r="R190" s="21"/>
    </row>
    <row r="191" spans="1:18">
      <c r="A191" s="14">
        <v>40455</v>
      </c>
      <c r="B191" s="15">
        <v>171.8</v>
      </c>
      <c r="C191" s="15">
        <v>172.5</v>
      </c>
      <c r="F191">
        <v>9</v>
      </c>
      <c r="G191">
        <v>6</v>
      </c>
      <c r="H191">
        <v>2013</v>
      </c>
      <c r="I191" s="41">
        <v>41523</v>
      </c>
      <c r="J191" s="39">
        <v>1950.28</v>
      </c>
      <c r="K191" s="21">
        <v>507</v>
      </c>
      <c r="L191" s="22">
        <v>7.9885000000000002</v>
      </c>
      <c r="M191" s="23">
        <v>13.1723</v>
      </c>
      <c r="N191" s="22">
        <v>2.8050000000000002</v>
      </c>
      <c r="O191" s="22">
        <v>2.3066</v>
      </c>
      <c r="P191" s="21">
        <v>11175</v>
      </c>
      <c r="Q191" s="20">
        <v>65.245000000000005</v>
      </c>
      <c r="R191" s="21"/>
    </row>
    <row r="192" spans="1:18">
      <c r="A192" s="14">
        <v>40456</v>
      </c>
      <c r="B192" s="15">
        <v>171.6</v>
      </c>
      <c r="C192" s="15">
        <v>177</v>
      </c>
      <c r="F192">
        <v>9</v>
      </c>
      <c r="G192">
        <v>9</v>
      </c>
      <c r="H192">
        <v>2013</v>
      </c>
      <c r="I192" s="41">
        <v>41526</v>
      </c>
      <c r="J192" s="39">
        <v>1944.66</v>
      </c>
      <c r="K192" s="21">
        <v>512.70000000000005</v>
      </c>
      <c r="L192" s="22">
        <v>7.9744999999999999</v>
      </c>
      <c r="M192" s="23">
        <v>13.1053</v>
      </c>
      <c r="N192" s="22">
        <v>2.7995000000000001</v>
      </c>
      <c r="O192" s="22">
        <v>2.2763</v>
      </c>
      <c r="P192" s="21">
        <v>11160</v>
      </c>
      <c r="Q192" s="20">
        <v>65.245000000000005</v>
      </c>
      <c r="R192" s="21"/>
    </row>
    <row r="193" spans="1:18">
      <c r="A193" s="14">
        <v>40457</v>
      </c>
      <c r="B193" s="15">
        <v>175.05</v>
      </c>
      <c r="C193" s="15">
        <v>175.55</v>
      </c>
      <c r="F193">
        <v>9</v>
      </c>
      <c r="G193">
        <v>10</v>
      </c>
      <c r="H193">
        <v>2013</v>
      </c>
      <c r="I193" s="41">
        <v>41527</v>
      </c>
      <c r="J193" s="39">
        <v>1936.6</v>
      </c>
      <c r="K193" s="21">
        <v>507.1</v>
      </c>
      <c r="L193" s="22">
        <v>7.9625000000000004</v>
      </c>
      <c r="M193" s="23">
        <v>13.089700000000001</v>
      </c>
      <c r="N193" s="22">
        <v>2.7972999999999999</v>
      </c>
      <c r="O193" s="22">
        <v>2.2835999999999999</v>
      </c>
      <c r="P193" s="21">
        <v>11235</v>
      </c>
      <c r="Q193" s="20">
        <v>63.844999999999999</v>
      </c>
      <c r="R193" s="21"/>
    </row>
    <row r="194" spans="1:18">
      <c r="A194" s="14">
        <v>40458</v>
      </c>
      <c r="B194" s="15">
        <v>173.25</v>
      </c>
      <c r="C194" s="15">
        <v>173.45</v>
      </c>
      <c r="F194">
        <v>9</v>
      </c>
      <c r="G194">
        <v>11</v>
      </c>
      <c r="H194">
        <v>2013</v>
      </c>
      <c r="I194" s="41">
        <v>41528</v>
      </c>
      <c r="J194" s="39">
        <v>1919.41</v>
      </c>
      <c r="K194" s="21">
        <v>507</v>
      </c>
      <c r="L194" s="22">
        <v>7.9414999999999996</v>
      </c>
      <c r="M194" s="23">
        <v>13.0518</v>
      </c>
      <c r="N194" s="22">
        <v>2.7755000000000001</v>
      </c>
      <c r="O194" s="22">
        <v>2.2772000000000001</v>
      </c>
      <c r="P194" s="21">
        <v>11345</v>
      </c>
      <c r="Q194" s="20">
        <v>63.274999999999999</v>
      </c>
      <c r="R194" s="21"/>
    </row>
    <row r="195" spans="1:18">
      <c r="A195" s="14">
        <v>40459</v>
      </c>
      <c r="B195" s="15">
        <v>171.9</v>
      </c>
      <c r="C195" s="15">
        <v>182.15</v>
      </c>
      <c r="F195">
        <v>9</v>
      </c>
      <c r="G195">
        <v>12</v>
      </c>
      <c r="H195">
        <v>2013</v>
      </c>
      <c r="I195" s="41">
        <v>41529</v>
      </c>
      <c r="J195" s="39">
        <v>1920.64</v>
      </c>
      <c r="K195" s="21">
        <v>504.6</v>
      </c>
      <c r="L195" s="22">
        <v>7.9414999999999996</v>
      </c>
      <c r="M195" s="23">
        <v>13.06</v>
      </c>
      <c r="N195" s="22">
        <v>2.7745000000000002</v>
      </c>
      <c r="O195" s="22">
        <v>2.2751999999999999</v>
      </c>
      <c r="P195" s="21">
        <v>11350</v>
      </c>
      <c r="Q195" s="20">
        <v>63.43</v>
      </c>
      <c r="R195" s="21"/>
    </row>
    <row r="196" spans="1:18">
      <c r="A196" s="14">
        <v>40462</v>
      </c>
      <c r="B196" s="15">
        <v>176.35</v>
      </c>
      <c r="C196" s="15">
        <v>178.65</v>
      </c>
      <c r="F196">
        <v>9</v>
      </c>
      <c r="G196">
        <v>13</v>
      </c>
      <c r="H196">
        <v>2013</v>
      </c>
      <c r="I196" s="41">
        <v>41530</v>
      </c>
      <c r="J196" s="39">
        <v>1923.37</v>
      </c>
      <c r="K196" s="21">
        <v>501.12</v>
      </c>
      <c r="L196" s="22">
        <v>7.9095000000000004</v>
      </c>
      <c r="M196" s="23">
        <v>13.0425</v>
      </c>
      <c r="N196" s="22">
        <v>2.774</v>
      </c>
      <c r="O196" s="22">
        <v>2.2803</v>
      </c>
      <c r="P196" s="21">
        <v>11410</v>
      </c>
      <c r="Q196" s="20">
        <v>63.38</v>
      </c>
      <c r="R196" s="21"/>
    </row>
    <row r="197" spans="1:18">
      <c r="A197" s="14">
        <v>40463</v>
      </c>
      <c r="B197" s="15">
        <v>178.55</v>
      </c>
      <c r="C197" s="15">
        <v>185.7</v>
      </c>
      <c r="F197">
        <v>9</v>
      </c>
      <c r="G197">
        <v>16</v>
      </c>
      <c r="H197">
        <v>2013</v>
      </c>
      <c r="I197" s="41">
        <v>41533</v>
      </c>
      <c r="J197" s="39">
        <v>1919.71</v>
      </c>
      <c r="K197" s="21">
        <v>504.6</v>
      </c>
      <c r="L197" s="22">
        <v>7.9095000000000004</v>
      </c>
      <c r="M197" s="23">
        <v>12.9313</v>
      </c>
      <c r="N197" s="22">
        <v>2.7749999999999999</v>
      </c>
      <c r="O197" s="22">
        <v>2.2843</v>
      </c>
      <c r="P197" s="21">
        <v>11377.5</v>
      </c>
      <c r="Q197" s="20">
        <v>62.835000000000001</v>
      </c>
      <c r="R197" s="21"/>
    </row>
    <row r="198" spans="1:18">
      <c r="A198" s="14">
        <v>40464</v>
      </c>
      <c r="B198" s="15">
        <v>184.6</v>
      </c>
      <c r="C198" s="15">
        <v>186.15</v>
      </c>
      <c r="F198">
        <v>9</v>
      </c>
      <c r="G198">
        <v>17</v>
      </c>
      <c r="H198">
        <v>2013</v>
      </c>
      <c r="I198" s="41">
        <v>41534</v>
      </c>
      <c r="J198" s="39">
        <v>1916.5</v>
      </c>
      <c r="K198" s="21">
        <v>504.5</v>
      </c>
      <c r="L198" s="22">
        <v>7.9074999999999998</v>
      </c>
      <c r="M198" s="23">
        <v>12.9245</v>
      </c>
      <c r="N198" s="22">
        <v>2.7725</v>
      </c>
      <c r="O198" s="22">
        <v>2.2559999999999998</v>
      </c>
      <c r="P198" s="21">
        <v>11445</v>
      </c>
      <c r="Q198" s="20">
        <v>63.375</v>
      </c>
      <c r="R198" s="21"/>
    </row>
    <row r="199" spans="1:18">
      <c r="A199" s="14">
        <v>40465</v>
      </c>
      <c r="B199" s="15">
        <v>185.3</v>
      </c>
      <c r="C199" s="15">
        <v>187.6</v>
      </c>
      <c r="F199">
        <v>9</v>
      </c>
      <c r="G199">
        <v>18</v>
      </c>
      <c r="H199">
        <v>2013</v>
      </c>
      <c r="I199" s="41">
        <v>41535</v>
      </c>
      <c r="J199" s="39">
        <v>1906.59</v>
      </c>
      <c r="K199" s="21">
        <v>501.3</v>
      </c>
      <c r="L199" s="22">
        <v>7.9145000000000003</v>
      </c>
      <c r="M199" s="23">
        <v>12.6593</v>
      </c>
      <c r="N199" s="22">
        <v>2.7519999999999998</v>
      </c>
      <c r="O199" s="22">
        <v>2.1865000000000001</v>
      </c>
      <c r="P199" s="21">
        <v>11475</v>
      </c>
      <c r="Q199" s="20">
        <v>63.384999999999998</v>
      </c>
      <c r="R199" s="21"/>
    </row>
    <row r="200" spans="1:18">
      <c r="A200" s="14">
        <v>40466</v>
      </c>
      <c r="B200" s="15">
        <v>183.25</v>
      </c>
      <c r="C200" s="15">
        <v>186.4</v>
      </c>
      <c r="F200">
        <v>9</v>
      </c>
      <c r="G200">
        <v>19</v>
      </c>
      <c r="H200">
        <v>2013</v>
      </c>
      <c r="I200" s="41">
        <v>41536</v>
      </c>
      <c r="J200" s="39">
        <v>1888.45</v>
      </c>
      <c r="K200" s="21">
        <v>505.1</v>
      </c>
      <c r="L200" s="22">
        <v>7.8559999999999999</v>
      </c>
      <c r="M200" s="23">
        <v>12.702199999999999</v>
      </c>
      <c r="N200" s="22">
        <v>2.7349999999999999</v>
      </c>
      <c r="O200" s="22">
        <v>2.2025999999999999</v>
      </c>
      <c r="P200" s="21">
        <v>11282.5</v>
      </c>
      <c r="Q200" s="20">
        <v>61.774999999999999</v>
      </c>
      <c r="R200" s="21"/>
    </row>
    <row r="201" spans="1:18">
      <c r="A201" s="14">
        <v>40469</v>
      </c>
      <c r="B201" s="15">
        <v>183.75</v>
      </c>
      <c r="C201" s="15">
        <v>185.6</v>
      </c>
      <c r="F201">
        <v>9</v>
      </c>
      <c r="G201">
        <v>20</v>
      </c>
      <c r="H201">
        <v>2013</v>
      </c>
      <c r="I201" s="41">
        <v>41537</v>
      </c>
      <c r="J201" s="39">
        <v>1895.97</v>
      </c>
      <c r="K201" s="21">
        <v>499.82</v>
      </c>
      <c r="L201" s="22">
        <v>7.87</v>
      </c>
      <c r="M201" s="23">
        <v>12.8575</v>
      </c>
      <c r="N201" s="22">
        <v>2.7494999999999998</v>
      </c>
      <c r="O201" s="22">
        <v>2.2101999999999999</v>
      </c>
      <c r="P201" s="21">
        <v>11350</v>
      </c>
      <c r="Q201" s="20">
        <v>62.234999999999999</v>
      </c>
      <c r="R201" s="21"/>
    </row>
    <row r="202" spans="1:18">
      <c r="A202" s="14">
        <v>40470</v>
      </c>
      <c r="B202" s="15">
        <v>184.55</v>
      </c>
      <c r="C202" s="15">
        <v>190.9</v>
      </c>
      <c r="F202">
        <v>9</v>
      </c>
      <c r="G202">
        <v>23</v>
      </c>
      <c r="H202">
        <v>2013</v>
      </c>
      <c r="I202" s="41">
        <v>41540</v>
      </c>
      <c r="J202" s="39">
        <v>1891.29</v>
      </c>
      <c r="K202" s="21">
        <v>504.4</v>
      </c>
      <c r="L202" s="22">
        <v>7.9414999999999996</v>
      </c>
      <c r="M202" s="23">
        <v>12.8065</v>
      </c>
      <c r="N202" s="22">
        <v>2.75</v>
      </c>
      <c r="O202" s="22">
        <v>2.1985999999999999</v>
      </c>
      <c r="P202" s="21">
        <v>11445</v>
      </c>
      <c r="Q202" s="20">
        <v>62.604999999999997</v>
      </c>
      <c r="R202" s="21"/>
    </row>
    <row r="203" spans="1:18">
      <c r="A203" s="14">
        <v>40471</v>
      </c>
      <c r="B203" s="15">
        <v>189.9</v>
      </c>
      <c r="C203" s="15">
        <v>196.75</v>
      </c>
      <c r="F203">
        <v>9</v>
      </c>
      <c r="G203">
        <v>24</v>
      </c>
      <c r="H203">
        <v>2013</v>
      </c>
      <c r="I203" s="41">
        <v>41541</v>
      </c>
      <c r="J203" s="39">
        <v>1890</v>
      </c>
      <c r="K203" s="21">
        <v>504.3</v>
      </c>
      <c r="L203" s="22">
        <v>7.9424999999999999</v>
      </c>
      <c r="M203" s="23">
        <v>12.948399999999999</v>
      </c>
      <c r="N203" s="22">
        <v>2.7623000000000002</v>
      </c>
      <c r="O203" s="22">
        <v>2.2010000000000001</v>
      </c>
      <c r="P203" s="21">
        <v>11470</v>
      </c>
      <c r="Q203" s="20">
        <v>62.79</v>
      </c>
      <c r="R203" s="21"/>
    </row>
    <row r="204" spans="1:18">
      <c r="A204" s="14">
        <v>40472</v>
      </c>
      <c r="B204" s="15">
        <v>195.5</v>
      </c>
      <c r="C204" s="15">
        <v>201</v>
      </c>
      <c r="F204">
        <v>9</v>
      </c>
      <c r="G204">
        <v>25</v>
      </c>
      <c r="H204">
        <v>2013</v>
      </c>
      <c r="I204" s="41">
        <v>41542</v>
      </c>
      <c r="J204" s="39">
        <v>1893.49</v>
      </c>
      <c r="K204" s="21">
        <v>506.6</v>
      </c>
      <c r="L204" s="22">
        <v>7.9355000000000002</v>
      </c>
      <c r="M204" s="23">
        <v>13.010300000000001</v>
      </c>
      <c r="N204" s="22">
        <v>2.7635000000000001</v>
      </c>
      <c r="O204" s="22">
        <v>2.2324000000000002</v>
      </c>
      <c r="P204" s="21">
        <v>11485</v>
      </c>
      <c r="Q204" s="20">
        <v>62.445</v>
      </c>
      <c r="R204" s="21"/>
    </row>
    <row r="205" spans="1:18">
      <c r="A205" s="14">
        <v>40473</v>
      </c>
      <c r="B205" s="15">
        <v>196</v>
      </c>
      <c r="C205" s="15">
        <v>198.85</v>
      </c>
      <c r="F205">
        <v>9</v>
      </c>
      <c r="G205">
        <v>26</v>
      </c>
      <c r="H205">
        <v>2013</v>
      </c>
      <c r="I205" s="41">
        <v>41543</v>
      </c>
      <c r="J205" s="39">
        <v>1905.5</v>
      </c>
      <c r="K205" s="21">
        <v>504.55</v>
      </c>
      <c r="L205" s="22">
        <v>7.9314999999999998</v>
      </c>
      <c r="M205" s="23">
        <v>13.066000000000001</v>
      </c>
      <c r="N205" s="22">
        <v>2.7694999999999999</v>
      </c>
      <c r="O205" s="22">
        <v>2.2458999999999998</v>
      </c>
      <c r="P205" s="21">
        <v>11457.5</v>
      </c>
      <c r="Q205" s="20">
        <v>62.075000000000003</v>
      </c>
      <c r="R205" s="21"/>
    </row>
    <row r="206" spans="1:18">
      <c r="A206" s="14">
        <v>40476</v>
      </c>
      <c r="B206" s="15">
        <v>198.9</v>
      </c>
      <c r="C206" s="15">
        <v>200.5</v>
      </c>
      <c r="F206">
        <v>9</v>
      </c>
      <c r="G206">
        <v>27</v>
      </c>
      <c r="H206">
        <v>2013</v>
      </c>
      <c r="I206" s="41">
        <v>41544</v>
      </c>
      <c r="J206" s="39">
        <v>1908.5</v>
      </c>
      <c r="K206" s="21">
        <v>504.6</v>
      </c>
      <c r="L206" s="22">
        <v>7.8810000000000002</v>
      </c>
      <c r="M206" s="23">
        <v>13.139699999999999</v>
      </c>
      <c r="N206" s="22">
        <v>2.7829999999999999</v>
      </c>
      <c r="O206" s="22">
        <v>2.2523</v>
      </c>
      <c r="P206" s="21">
        <v>11537.5</v>
      </c>
      <c r="Q206" s="20">
        <v>62.515000000000001</v>
      </c>
      <c r="R206" s="21"/>
    </row>
    <row r="207" spans="1:18">
      <c r="A207" s="14">
        <v>40477</v>
      </c>
      <c r="B207" s="15">
        <v>199.1</v>
      </c>
      <c r="C207" s="15">
        <v>201.75</v>
      </c>
      <c r="F207">
        <v>9</v>
      </c>
      <c r="G207">
        <v>30</v>
      </c>
      <c r="H207">
        <v>2013</v>
      </c>
      <c r="I207" s="41">
        <v>41547</v>
      </c>
      <c r="J207" s="39">
        <v>1911.8</v>
      </c>
      <c r="K207" s="21">
        <v>504.55</v>
      </c>
      <c r="L207" s="22">
        <v>7.9355000000000002</v>
      </c>
      <c r="M207" s="23">
        <v>13.0915</v>
      </c>
      <c r="N207" s="22">
        <v>2.7850000000000001</v>
      </c>
      <c r="O207" s="22">
        <v>2.2162000000000002</v>
      </c>
      <c r="P207" s="21">
        <v>11580</v>
      </c>
      <c r="Q207" s="20">
        <v>62.59</v>
      </c>
      <c r="R207" s="21"/>
    </row>
    <row r="208" spans="1:18">
      <c r="A208" s="14">
        <v>40478</v>
      </c>
      <c r="B208" s="15">
        <v>199.25</v>
      </c>
      <c r="C208" s="15">
        <v>200.3</v>
      </c>
      <c r="F208">
        <v>10</v>
      </c>
      <c r="G208">
        <v>1</v>
      </c>
      <c r="H208">
        <v>2013</v>
      </c>
      <c r="I208" s="41">
        <v>41548</v>
      </c>
      <c r="J208" s="39">
        <v>1897.45</v>
      </c>
      <c r="K208" s="21">
        <v>504.55</v>
      </c>
      <c r="L208" s="22">
        <v>7.9465000000000003</v>
      </c>
      <c r="M208" s="23">
        <v>13.154999999999999</v>
      </c>
      <c r="N208" s="22">
        <v>2.7810000000000001</v>
      </c>
      <c r="O208" s="22">
        <v>2.2157</v>
      </c>
      <c r="P208" s="21">
        <v>11505</v>
      </c>
      <c r="Q208" s="20">
        <v>62.46</v>
      </c>
      <c r="R208" s="21"/>
    </row>
    <row r="209" spans="1:18">
      <c r="A209" s="14">
        <v>40479</v>
      </c>
      <c r="B209" s="15">
        <v>196.3</v>
      </c>
      <c r="C209" s="15">
        <v>196.6</v>
      </c>
      <c r="F209">
        <v>10</v>
      </c>
      <c r="G209">
        <v>2</v>
      </c>
      <c r="H209">
        <v>2013</v>
      </c>
      <c r="I209" s="41">
        <v>41549</v>
      </c>
      <c r="J209" s="39">
        <v>1888.2</v>
      </c>
      <c r="K209" s="21">
        <v>506.1</v>
      </c>
      <c r="L209" s="22">
        <v>7.9634999999999998</v>
      </c>
      <c r="M209" s="23">
        <v>13.114000000000001</v>
      </c>
      <c r="N209" s="22">
        <v>2.7839999999999998</v>
      </c>
      <c r="O209" s="22">
        <v>2.1913999999999998</v>
      </c>
      <c r="P209" s="21">
        <v>11530</v>
      </c>
      <c r="Q209" s="20">
        <v>62.46</v>
      </c>
      <c r="R209" s="21"/>
    </row>
    <row r="210" spans="1:18">
      <c r="A210" s="14">
        <v>40480</v>
      </c>
      <c r="B210" s="15">
        <v>197.05</v>
      </c>
      <c r="C210" s="15">
        <v>203.45</v>
      </c>
      <c r="F210">
        <v>10</v>
      </c>
      <c r="G210">
        <v>3</v>
      </c>
      <c r="H210">
        <v>2013</v>
      </c>
      <c r="I210" s="41">
        <v>41550</v>
      </c>
      <c r="J210" s="39">
        <v>1890.95</v>
      </c>
      <c r="K210" s="21">
        <v>501.5</v>
      </c>
      <c r="L210" s="22">
        <v>7.9604999999999997</v>
      </c>
      <c r="M210" s="23">
        <v>13.1585</v>
      </c>
      <c r="N210" s="22">
        <v>2.7783000000000002</v>
      </c>
      <c r="O210" s="22">
        <v>2.2069999999999999</v>
      </c>
      <c r="P210" s="21">
        <v>11527.5</v>
      </c>
      <c r="Q210" s="20">
        <v>61.734999999999999</v>
      </c>
      <c r="R210" s="21"/>
    </row>
    <row r="211" spans="1:18">
      <c r="A211" s="14">
        <v>40483</v>
      </c>
      <c r="B211" s="15">
        <v>197.65</v>
      </c>
      <c r="C211" s="15">
        <v>197.7</v>
      </c>
      <c r="F211">
        <v>10</v>
      </c>
      <c r="G211">
        <v>4</v>
      </c>
      <c r="H211">
        <v>2013</v>
      </c>
      <c r="I211" s="41">
        <v>41551</v>
      </c>
      <c r="J211" s="39">
        <v>1886.83</v>
      </c>
      <c r="K211" s="21">
        <v>505</v>
      </c>
      <c r="L211" s="22">
        <v>7.9009999999999998</v>
      </c>
      <c r="M211" s="23">
        <v>13.0845</v>
      </c>
      <c r="N211" s="22">
        <v>2.778</v>
      </c>
      <c r="O211" s="22">
        <v>2.2120000000000002</v>
      </c>
      <c r="P211" s="21">
        <v>11522.5</v>
      </c>
      <c r="Q211" s="20">
        <v>61.435000000000002</v>
      </c>
      <c r="R211" s="21"/>
    </row>
    <row r="212" spans="1:18">
      <c r="A212" s="14">
        <v>40484</v>
      </c>
      <c r="B212" s="15">
        <v>197.7</v>
      </c>
      <c r="C212" s="15">
        <v>199.4</v>
      </c>
      <c r="F212">
        <v>10</v>
      </c>
      <c r="G212">
        <v>7</v>
      </c>
      <c r="H212">
        <v>2013</v>
      </c>
      <c r="I212" s="41">
        <v>41554</v>
      </c>
      <c r="J212" s="39">
        <v>1887.12</v>
      </c>
      <c r="K212" s="21">
        <v>499</v>
      </c>
      <c r="L212" s="22">
        <v>7.9675000000000002</v>
      </c>
      <c r="M212" s="23">
        <v>13.1387</v>
      </c>
      <c r="N212" s="22">
        <v>2.778</v>
      </c>
      <c r="O212" s="22">
        <v>2.2046999999999999</v>
      </c>
      <c r="P212" s="21">
        <v>11525</v>
      </c>
      <c r="Q212" s="20">
        <v>61.795000000000002</v>
      </c>
      <c r="R212" s="21"/>
    </row>
    <row r="213" spans="1:18">
      <c r="A213" s="14">
        <v>40485</v>
      </c>
      <c r="B213" s="15">
        <v>192.8</v>
      </c>
      <c r="C213" s="15">
        <v>196.15</v>
      </c>
      <c r="F213">
        <v>10</v>
      </c>
      <c r="G213">
        <v>8</v>
      </c>
      <c r="H213">
        <v>2013</v>
      </c>
      <c r="I213" s="41">
        <v>41555</v>
      </c>
      <c r="J213" s="39">
        <v>1889.6</v>
      </c>
      <c r="K213" s="21">
        <v>502.95</v>
      </c>
      <c r="L213" s="22">
        <v>7.9160000000000004</v>
      </c>
      <c r="M213" s="23">
        <v>13.224500000000001</v>
      </c>
      <c r="N213" s="22">
        <v>2.7814999999999999</v>
      </c>
      <c r="O213" s="22">
        <v>2.2115</v>
      </c>
      <c r="P213" s="21">
        <v>11516</v>
      </c>
      <c r="Q213" s="20">
        <v>61.954999999999998</v>
      </c>
      <c r="R213" s="21"/>
    </row>
    <row r="214" spans="1:18">
      <c r="A214" s="14">
        <v>40486</v>
      </c>
      <c r="B214" s="15">
        <v>197.25</v>
      </c>
      <c r="C214" s="15">
        <v>205.8</v>
      </c>
      <c r="F214">
        <v>10</v>
      </c>
      <c r="G214">
        <v>9</v>
      </c>
      <c r="H214">
        <v>2013</v>
      </c>
      <c r="I214" s="41">
        <v>41556</v>
      </c>
      <c r="J214" s="39">
        <v>1891.8</v>
      </c>
      <c r="K214" s="21">
        <v>507.1</v>
      </c>
      <c r="L214" s="22">
        <v>7.9160000000000004</v>
      </c>
      <c r="M214" s="23">
        <v>13.186500000000001</v>
      </c>
      <c r="N214" s="22">
        <v>2.7894999999999999</v>
      </c>
      <c r="O214" s="22">
        <v>2.2075</v>
      </c>
      <c r="P214" s="21">
        <v>11532.5</v>
      </c>
      <c r="Q214" s="20">
        <v>61.88</v>
      </c>
      <c r="R214" s="21"/>
    </row>
    <row r="215" spans="1:18">
      <c r="A215" s="14">
        <v>40487</v>
      </c>
      <c r="B215" s="15">
        <v>203.3</v>
      </c>
      <c r="C215" s="15">
        <v>205.15</v>
      </c>
      <c r="F215">
        <v>10</v>
      </c>
      <c r="G215">
        <v>10</v>
      </c>
      <c r="H215">
        <v>2013</v>
      </c>
      <c r="I215" s="41">
        <v>41557</v>
      </c>
      <c r="J215" s="39">
        <v>1886.66</v>
      </c>
      <c r="K215" s="21">
        <v>507</v>
      </c>
      <c r="L215" s="22">
        <v>7.9725000000000001</v>
      </c>
      <c r="M215" s="23">
        <v>13.0943</v>
      </c>
      <c r="N215" s="22">
        <v>2.7709999999999999</v>
      </c>
      <c r="O215" s="22">
        <v>2.1798999999999999</v>
      </c>
      <c r="P215" s="21">
        <v>11490</v>
      </c>
      <c r="Q215" s="20">
        <v>61.36</v>
      </c>
      <c r="R215" s="21"/>
    </row>
    <row r="216" spans="1:18">
      <c r="A216" s="14">
        <v>40490</v>
      </c>
      <c r="B216" s="15">
        <v>203.85</v>
      </c>
      <c r="C216" s="15">
        <v>208.1</v>
      </c>
      <c r="F216">
        <v>10</v>
      </c>
      <c r="G216">
        <v>11</v>
      </c>
      <c r="H216">
        <v>2013</v>
      </c>
      <c r="I216" s="41">
        <v>41558</v>
      </c>
      <c r="J216" s="39">
        <v>1881.26</v>
      </c>
      <c r="K216" s="21">
        <v>507.1</v>
      </c>
      <c r="L216" s="22">
        <v>7.9684999999999997</v>
      </c>
      <c r="M216" s="23">
        <v>12.991300000000001</v>
      </c>
      <c r="N216" s="22">
        <v>2.774</v>
      </c>
      <c r="O216" s="22">
        <v>2.1739999999999999</v>
      </c>
      <c r="P216" s="21">
        <v>11365</v>
      </c>
      <c r="Q216" s="20">
        <v>61.02</v>
      </c>
      <c r="R216" s="21"/>
    </row>
    <row r="217" spans="1:18">
      <c r="A217" s="14">
        <v>40491</v>
      </c>
      <c r="B217" s="15">
        <v>207.45</v>
      </c>
      <c r="C217" s="15">
        <v>217.05</v>
      </c>
      <c r="F217">
        <v>10</v>
      </c>
      <c r="G217">
        <v>14</v>
      </c>
      <c r="H217">
        <v>2013</v>
      </c>
      <c r="I217" s="41">
        <v>41561</v>
      </c>
      <c r="J217" s="39">
        <v>1883.25</v>
      </c>
      <c r="K217" s="21">
        <v>500.76</v>
      </c>
      <c r="L217" s="22">
        <v>7.9684999999999997</v>
      </c>
      <c r="M217" s="23">
        <v>12.993399999999999</v>
      </c>
      <c r="N217" s="22">
        <v>2.7694999999999999</v>
      </c>
      <c r="O217" s="22">
        <v>2.1816</v>
      </c>
      <c r="P217" s="21">
        <v>11365</v>
      </c>
      <c r="Q217" s="20">
        <v>61.555</v>
      </c>
      <c r="R217" s="21"/>
    </row>
    <row r="218" spans="1:18">
      <c r="A218" s="14">
        <v>40492</v>
      </c>
      <c r="B218" s="15">
        <v>211.35</v>
      </c>
      <c r="C218" s="15">
        <v>212.25</v>
      </c>
      <c r="F218">
        <v>10</v>
      </c>
      <c r="G218">
        <v>15</v>
      </c>
      <c r="H218">
        <v>2013</v>
      </c>
      <c r="I218" s="41">
        <v>41562</v>
      </c>
      <c r="J218" s="39">
        <v>1882.89</v>
      </c>
      <c r="K218" s="21">
        <v>499.35</v>
      </c>
      <c r="L218" s="22">
        <v>7.9595000000000002</v>
      </c>
      <c r="M218" s="23">
        <v>12.9925</v>
      </c>
      <c r="N218" s="22">
        <v>2.7690000000000001</v>
      </c>
      <c r="O218" s="22">
        <v>2.1777000000000002</v>
      </c>
      <c r="P218" s="21">
        <v>11365</v>
      </c>
      <c r="Q218" s="20">
        <v>61.84</v>
      </c>
      <c r="R218" s="21"/>
    </row>
    <row r="219" spans="1:18">
      <c r="A219" s="14">
        <v>40493</v>
      </c>
      <c r="B219" s="15">
        <v>205.8</v>
      </c>
      <c r="C219" s="15">
        <v>206.65</v>
      </c>
      <c r="F219">
        <v>10</v>
      </c>
      <c r="G219">
        <v>16</v>
      </c>
      <c r="H219">
        <v>2013</v>
      </c>
      <c r="I219" s="41">
        <v>41563</v>
      </c>
      <c r="J219" s="39">
        <v>1884.27</v>
      </c>
      <c r="K219" s="21">
        <v>499</v>
      </c>
      <c r="L219" s="22">
        <v>7.8869999999999996</v>
      </c>
      <c r="M219" s="23">
        <v>12.843400000000001</v>
      </c>
      <c r="N219" s="22">
        <v>2.7610000000000001</v>
      </c>
      <c r="O219" s="22">
        <v>2.1806000000000001</v>
      </c>
      <c r="P219" s="21">
        <v>11365</v>
      </c>
      <c r="Q219" s="20">
        <v>61.734999999999999</v>
      </c>
      <c r="R219" s="21"/>
    </row>
    <row r="220" spans="1:18">
      <c r="A220" s="14">
        <v>40494</v>
      </c>
      <c r="B220" s="15">
        <v>199.2</v>
      </c>
      <c r="C220" s="15">
        <v>200.45</v>
      </c>
      <c r="F220">
        <v>10</v>
      </c>
      <c r="G220">
        <v>17</v>
      </c>
      <c r="H220">
        <v>2013</v>
      </c>
      <c r="I220" s="41">
        <v>41564</v>
      </c>
      <c r="J220" s="39">
        <v>1878.21</v>
      </c>
      <c r="K220" s="21">
        <v>499</v>
      </c>
      <c r="L220" s="22">
        <v>7.8869999999999996</v>
      </c>
      <c r="M220" s="23">
        <v>12.7797</v>
      </c>
      <c r="N220" s="22">
        <v>2.7565</v>
      </c>
      <c r="O220" s="22">
        <v>2.1524999999999999</v>
      </c>
      <c r="P220" s="21">
        <v>11330</v>
      </c>
      <c r="Q220" s="20">
        <v>61.14</v>
      </c>
      <c r="R220" s="21"/>
    </row>
    <row r="221" spans="1:18">
      <c r="A221" s="14">
        <v>40497</v>
      </c>
      <c r="B221" s="15">
        <v>201.6</v>
      </c>
      <c r="C221" s="15">
        <v>204.45</v>
      </c>
      <c r="F221">
        <v>10</v>
      </c>
      <c r="G221">
        <v>18</v>
      </c>
      <c r="H221">
        <v>2013</v>
      </c>
      <c r="I221" s="41">
        <v>41565</v>
      </c>
      <c r="J221" s="39">
        <v>1880.5</v>
      </c>
      <c r="K221" s="21">
        <v>498.9</v>
      </c>
      <c r="L221" s="22">
        <v>7.9634999999999998</v>
      </c>
      <c r="M221" s="23">
        <v>12.8558</v>
      </c>
      <c r="N221" s="22">
        <v>2.7589999999999999</v>
      </c>
      <c r="O221" s="22">
        <v>2.1688999999999998</v>
      </c>
      <c r="P221" s="21">
        <v>11322.5</v>
      </c>
      <c r="Q221" s="20">
        <v>61.24</v>
      </c>
      <c r="R221" s="21"/>
    </row>
    <row r="222" spans="1:18">
      <c r="A222" s="14">
        <v>40498</v>
      </c>
      <c r="B222" s="15">
        <v>196.7</v>
      </c>
      <c r="C222" s="15">
        <v>197.8</v>
      </c>
      <c r="F222">
        <v>10</v>
      </c>
      <c r="G222">
        <v>21</v>
      </c>
      <c r="H222">
        <v>2013</v>
      </c>
      <c r="I222" s="41">
        <v>41568</v>
      </c>
      <c r="J222" s="39">
        <v>1884.49</v>
      </c>
      <c r="K222" s="21">
        <v>498.5</v>
      </c>
      <c r="L222" s="22">
        <v>7.9634999999999998</v>
      </c>
      <c r="M222" s="23">
        <v>12.9895</v>
      </c>
      <c r="N222" s="22">
        <v>2.766</v>
      </c>
      <c r="O222" s="22">
        <v>2.1735000000000002</v>
      </c>
      <c r="P222" s="21">
        <v>11335</v>
      </c>
      <c r="Q222" s="20">
        <v>61.58</v>
      </c>
      <c r="R222" s="21"/>
    </row>
    <row r="223" spans="1:18">
      <c r="A223" s="14">
        <v>40499</v>
      </c>
      <c r="B223" s="15">
        <v>195.65</v>
      </c>
      <c r="C223" s="15">
        <v>199.45</v>
      </c>
      <c r="F223">
        <v>10</v>
      </c>
      <c r="G223">
        <v>22</v>
      </c>
      <c r="H223">
        <v>2013</v>
      </c>
      <c r="I223" s="41">
        <v>41569</v>
      </c>
      <c r="J223" s="39">
        <v>1880</v>
      </c>
      <c r="K223" s="21">
        <v>505</v>
      </c>
      <c r="L223" s="22">
        <v>7.915</v>
      </c>
      <c r="M223" s="23">
        <v>12.843500000000001</v>
      </c>
      <c r="N223" s="22">
        <v>2.7669999999999999</v>
      </c>
      <c r="O223" s="22">
        <v>2.1724999999999999</v>
      </c>
      <c r="P223" s="21">
        <v>11291.5</v>
      </c>
      <c r="Q223" s="20">
        <v>61.655000000000001</v>
      </c>
      <c r="R223" s="21"/>
    </row>
    <row r="224" spans="1:18">
      <c r="A224" s="14">
        <v>40500</v>
      </c>
      <c r="B224" s="15">
        <v>200</v>
      </c>
      <c r="C224" s="15">
        <v>208.65</v>
      </c>
      <c r="F224">
        <v>10</v>
      </c>
      <c r="G224">
        <v>23</v>
      </c>
      <c r="H224">
        <v>2013</v>
      </c>
      <c r="I224" s="41">
        <v>41570</v>
      </c>
      <c r="J224" s="39">
        <v>1882.5</v>
      </c>
      <c r="K224" s="21">
        <v>505</v>
      </c>
      <c r="L224" s="22">
        <v>7.9189999999999996</v>
      </c>
      <c r="M224" s="23">
        <v>12.993</v>
      </c>
      <c r="N224" s="22">
        <v>2.7574999999999998</v>
      </c>
      <c r="O224" s="22">
        <v>2.1880999999999999</v>
      </c>
      <c r="P224" s="21">
        <v>11269</v>
      </c>
      <c r="Q224" s="20">
        <v>61.63</v>
      </c>
      <c r="R224" s="21"/>
    </row>
    <row r="225" spans="1:18">
      <c r="A225" s="14">
        <v>40501</v>
      </c>
      <c r="B225" s="15">
        <v>205.6</v>
      </c>
      <c r="C225" s="15">
        <v>209.85</v>
      </c>
      <c r="F225">
        <v>10</v>
      </c>
      <c r="G225">
        <v>24</v>
      </c>
      <c r="H225">
        <v>2013</v>
      </c>
      <c r="I225" s="41">
        <v>41571</v>
      </c>
      <c r="J225" s="39">
        <v>1881.19</v>
      </c>
      <c r="K225" s="21">
        <v>505</v>
      </c>
      <c r="L225" s="22">
        <v>7.9189999999999996</v>
      </c>
      <c r="M225" s="23">
        <v>12.964</v>
      </c>
      <c r="N225" s="22">
        <v>2.7690000000000001</v>
      </c>
      <c r="O225" s="22">
        <v>2.2040000000000002</v>
      </c>
      <c r="P225" s="21">
        <v>11155</v>
      </c>
      <c r="Q225" s="20">
        <v>61.47</v>
      </c>
      <c r="R225" s="21"/>
    </row>
    <row r="226" spans="1:18">
      <c r="A226" s="14">
        <v>40504</v>
      </c>
      <c r="B226" s="15">
        <v>205</v>
      </c>
      <c r="C226" s="15">
        <v>206.15</v>
      </c>
      <c r="F226">
        <v>10</v>
      </c>
      <c r="G226">
        <v>25</v>
      </c>
      <c r="H226">
        <v>2013</v>
      </c>
      <c r="I226" s="41">
        <v>41572</v>
      </c>
      <c r="J226" s="39">
        <v>1882.79</v>
      </c>
      <c r="K226" s="21">
        <v>504.8</v>
      </c>
      <c r="L226" s="22">
        <v>7.91</v>
      </c>
      <c r="M226" s="23">
        <v>12.881500000000001</v>
      </c>
      <c r="N226" s="22">
        <v>2.76</v>
      </c>
      <c r="O226" s="22">
        <v>2.1877</v>
      </c>
      <c r="P226" s="21">
        <v>11015</v>
      </c>
      <c r="Q226" s="20">
        <v>61.465000000000003</v>
      </c>
      <c r="R226" s="21"/>
    </row>
    <row r="227" spans="1:18">
      <c r="A227" s="14">
        <v>40505</v>
      </c>
      <c r="B227" s="15">
        <v>201.4</v>
      </c>
      <c r="C227" s="15">
        <v>210.35</v>
      </c>
      <c r="F227">
        <v>10</v>
      </c>
      <c r="G227">
        <v>28</v>
      </c>
      <c r="H227">
        <v>2013</v>
      </c>
      <c r="I227" s="41">
        <v>41575</v>
      </c>
      <c r="J227" s="39">
        <v>1884.41</v>
      </c>
      <c r="K227" s="21">
        <v>504.7</v>
      </c>
      <c r="L227" s="22">
        <v>7.91</v>
      </c>
      <c r="M227" s="23">
        <v>12.876799999999999</v>
      </c>
      <c r="N227" s="22">
        <v>2.7654999999999998</v>
      </c>
      <c r="O227" s="22">
        <v>2.1804999999999999</v>
      </c>
      <c r="P227" s="21">
        <v>11053</v>
      </c>
      <c r="Q227" s="20">
        <v>61.445</v>
      </c>
      <c r="R227" s="21"/>
    </row>
    <row r="228" spans="1:18">
      <c r="A228" s="14">
        <v>40506</v>
      </c>
      <c r="B228" s="15">
        <v>207</v>
      </c>
      <c r="C228" s="15">
        <v>207.15</v>
      </c>
      <c r="F228">
        <v>10</v>
      </c>
      <c r="G228">
        <v>29</v>
      </c>
      <c r="H228">
        <v>2013</v>
      </c>
      <c r="I228" s="41">
        <v>41576</v>
      </c>
      <c r="J228" s="39">
        <v>1883.28</v>
      </c>
      <c r="K228" s="21">
        <v>504.5</v>
      </c>
      <c r="L228" s="22">
        <v>7.91</v>
      </c>
      <c r="M228" s="23">
        <v>12.9184</v>
      </c>
      <c r="N228" s="22">
        <v>2.7629999999999999</v>
      </c>
      <c r="O228" s="22">
        <v>2.1850000000000001</v>
      </c>
      <c r="P228" s="21">
        <v>11102.5</v>
      </c>
      <c r="Q228" s="20">
        <v>61.43</v>
      </c>
      <c r="R228" s="21"/>
    </row>
    <row r="229" spans="1:18">
      <c r="A229" s="14">
        <v>40508</v>
      </c>
      <c r="B229" s="15">
        <v>201</v>
      </c>
      <c r="C229" s="15">
        <v>202.15</v>
      </c>
      <c r="F229">
        <v>10</v>
      </c>
      <c r="G229">
        <v>30</v>
      </c>
      <c r="H229">
        <v>2013</v>
      </c>
      <c r="I229" s="41">
        <v>41577</v>
      </c>
      <c r="J229" s="39">
        <v>1883.1</v>
      </c>
      <c r="K229" s="21">
        <v>504.5</v>
      </c>
      <c r="L229" s="22">
        <v>7.91</v>
      </c>
      <c r="M229" s="23">
        <v>12.9351</v>
      </c>
      <c r="N229" s="22">
        <v>2.7555000000000001</v>
      </c>
      <c r="O229" s="22">
        <v>2.1840000000000002</v>
      </c>
      <c r="P229" s="21">
        <v>11175</v>
      </c>
      <c r="Q229" s="20">
        <v>61.26</v>
      </c>
      <c r="R229" s="21"/>
    </row>
    <row r="230" spans="1:18">
      <c r="A230" s="14">
        <v>40511</v>
      </c>
      <c r="B230" s="15">
        <v>199</v>
      </c>
      <c r="C230" s="15">
        <v>202.4</v>
      </c>
      <c r="F230">
        <v>10</v>
      </c>
      <c r="G230">
        <v>31</v>
      </c>
      <c r="H230">
        <v>2013</v>
      </c>
      <c r="I230" s="41">
        <v>41578</v>
      </c>
      <c r="J230" s="39">
        <v>1892.3</v>
      </c>
      <c r="K230" s="21">
        <v>505.1</v>
      </c>
      <c r="L230" s="22">
        <v>7.9405000000000001</v>
      </c>
      <c r="M230" s="23">
        <v>13.0198</v>
      </c>
      <c r="N230" s="22">
        <v>2.7755000000000001</v>
      </c>
      <c r="O230" s="22">
        <v>2.2401</v>
      </c>
      <c r="P230" s="21">
        <v>11272.5</v>
      </c>
      <c r="Q230" s="20">
        <v>61.624000000000002</v>
      </c>
      <c r="R230" s="21"/>
    </row>
    <row r="231" spans="1:18">
      <c r="A231" s="14">
        <v>40512</v>
      </c>
      <c r="B231" s="15">
        <v>200</v>
      </c>
      <c r="C231" s="15">
        <v>200.95</v>
      </c>
      <c r="F231">
        <v>11</v>
      </c>
      <c r="G231">
        <v>1</v>
      </c>
      <c r="H231">
        <v>2013</v>
      </c>
      <c r="I231" s="41">
        <v>41579</v>
      </c>
      <c r="J231" s="39">
        <v>1903.5</v>
      </c>
      <c r="K231" s="21">
        <v>505</v>
      </c>
      <c r="L231" s="22">
        <v>7.8639999999999999</v>
      </c>
      <c r="M231" s="23">
        <v>13.061500000000001</v>
      </c>
      <c r="N231" s="22">
        <v>2.7755000000000001</v>
      </c>
      <c r="O231" s="22">
        <v>2.2566999999999999</v>
      </c>
      <c r="P231" s="21">
        <v>11332.5</v>
      </c>
      <c r="Q231" s="20">
        <v>61.75</v>
      </c>
      <c r="R231" s="21"/>
    </row>
    <row r="232" spans="1:18">
      <c r="A232" s="14">
        <v>40513</v>
      </c>
      <c r="B232" s="15">
        <v>200</v>
      </c>
      <c r="C232" s="15">
        <v>203.3</v>
      </c>
      <c r="F232">
        <v>11</v>
      </c>
      <c r="G232">
        <v>4</v>
      </c>
      <c r="H232">
        <v>2013</v>
      </c>
      <c r="I232" s="41">
        <v>41582</v>
      </c>
      <c r="J232" s="39">
        <v>1900.5</v>
      </c>
      <c r="K232" s="21">
        <v>505</v>
      </c>
      <c r="L232" s="22">
        <v>7.9175000000000004</v>
      </c>
      <c r="M232" s="23">
        <v>12.9975</v>
      </c>
      <c r="N232" s="22">
        <v>2.7810000000000001</v>
      </c>
      <c r="O232" s="22">
        <v>2.2458</v>
      </c>
      <c r="P232" s="21">
        <v>11355</v>
      </c>
      <c r="Q232" s="20">
        <v>61.75</v>
      </c>
      <c r="R232" s="21"/>
    </row>
    <row r="233" spans="1:18">
      <c r="A233" s="14">
        <v>40514</v>
      </c>
      <c r="B233" s="15">
        <v>203</v>
      </c>
      <c r="C233" s="15">
        <v>203.4</v>
      </c>
      <c r="F233">
        <v>11</v>
      </c>
      <c r="G233">
        <v>5</v>
      </c>
      <c r="H233">
        <v>2013</v>
      </c>
      <c r="I233" s="41">
        <v>41583</v>
      </c>
      <c r="J233" s="39">
        <v>1921.4</v>
      </c>
      <c r="K233" s="21">
        <v>504.8</v>
      </c>
      <c r="L233" s="22">
        <v>7.9095000000000004</v>
      </c>
      <c r="M233" s="23">
        <v>13.1625</v>
      </c>
      <c r="N233" s="22">
        <v>2.7949999999999999</v>
      </c>
      <c r="O233" s="22">
        <v>2.2823000000000002</v>
      </c>
      <c r="P233" s="21">
        <v>11355</v>
      </c>
      <c r="Q233" s="20">
        <v>61.634999999999998</v>
      </c>
      <c r="R233" s="21"/>
    </row>
    <row r="234" spans="1:18">
      <c r="A234" s="14">
        <v>40515</v>
      </c>
      <c r="B234" s="15">
        <v>204.85</v>
      </c>
      <c r="C234" s="15">
        <v>204.5</v>
      </c>
      <c r="F234">
        <v>11</v>
      </c>
      <c r="G234">
        <v>6</v>
      </c>
      <c r="H234">
        <v>2013</v>
      </c>
      <c r="I234" s="41">
        <v>41584</v>
      </c>
      <c r="J234" s="39">
        <v>1918.23</v>
      </c>
      <c r="K234" s="21">
        <v>504.7</v>
      </c>
      <c r="L234" s="22">
        <v>7.9005000000000001</v>
      </c>
      <c r="M234" s="23">
        <v>13.178000000000001</v>
      </c>
      <c r="N234" s="22">
        <v>2.7890000000000001</v>
      </c>
      <c r="O234" s="22">
        <v>2.2854999999999999</v>
      </c>
      <c r="P234" s="21">
        <v>11407.5</v>
      </c>
      <c r="Q234" s="20">
        <v>62.4</v>
      </c>
      <c r="R234" s="21"/>
    </row>
    <row r="235" spans="1:18">
      <c r="A235" s="14">
        <v>40518</v>
      </c>
      <c r="B235" s="15">
        <v>206.4</v>
      </c>
      <c r="C235" s="15">
        <v>208.65</v>
      </c>
      <c r="F235">
        <v>11</v>
      </c>
      <c r="G235">
        <v>7</v>
      </c>
      <c r="H235">
        <v>2013</v>
      </c>
      <c r="I235" s="41">
        <v>41585</v>
      </c>
      <c r="J235" s="39">
        <v>1928.82</v>
      </c>
      <c r="K235" s="21">
        <v>504.55</v>
      </c>
      <c r="L235" s="22">
        <v>7.8905000000000003</v>
      </c>
      <c r="M235" s="23">
        <v>13.2247</v>
      </c>
      <c r="N235" s="22">
        <v>2.7959999999999998</v>
      </c>
      <c r="O235" s="22">
        <v>2.3058000000000001</v>
      </c>
      <c r="P235" s="21">
        <v>11390</v>
      </c>
      <c r="Q235" s="20">
        <v>62.42</v>
      </c>
      <c r="R235" s="21"/>
    </row>
    <row r="236" spans="1:18">
      <c r="A236" s="14">
        <v>40519</v>
      </c>
      <c r="B236" s="15">
        <v>207.3</v>
      </c>
      <c r="C236" s="15">
        <v>207.6</v>
      </c>
      <c r="F236">
        <v>11</v>
      </c>
      <c r="G236">
        <v>8</v>
      </c>
      <c r="H236">
        <v>2013</v>
      </c>
      <c r="I236" s="41">
        <v>41586</v>
      </c>
      <c r="J236" s="39">
        <v>1923</v>
      </c>
      <c r="K236" s="21">
        <v>504.5</v>
      </c>
      <c r="L236" s="22">
        <v>7.8715000000000002</v>
      </c>
      <c r="M236" s="23">
        <v>13.1698</v>
      </c>
      <c r="N236" s="22">
        <v>2.8005</v>
      </c>
      <c r="O236" s="22">
        <v>2.3142</v>
      </c>
      <c r="P236" s="21">
        <v>11410</v>
      </c>
      <c r="Q236" s="20">
        <v>62.48</v>
      </c>
      <c r="R236" s="21"/>
    </row>
    <row r="237" spans="1:18">
      <c r="A237" s="14">
        <v>40520</v>
      </c>
      <c r="B237" s="15">
        <v>201.5</v>
      </c>
      <c r="C237" s="15">
        <v>204.25</v>
      </c>
      <c r="F237">
        <v>11</v>
      </c>
      <c r="G237">
        <v>11</v>
      </c>
      <c r="H237">
        <v>2013</v>
      </c>
      <c r="I237" s="41">
        <v>41589</v>
      </c>
      <c r="J237" s="39">
        <v>1923</v>
      </c>
      <c r="K237" s="21">
        <v>504.5</v>
      </c>
      <c r="L237" s="22">
        <v>7.8635000000000002</v>
      </c>
      <c r="M237" s="23">
        <v>13.2165</v>
      </c>
      <c r="N237" s="22">
        <v>2.8010000000000002</v>
      </c>
      <c r="O237" s="22">
        <v>2.3308</v>
      </c>
      <c r="P237" s="21">
        <v>11560</v>
      </c>
      <c r="Q237" s="20">
        <v>63.244999999999997</v>
      </c>
      <c r="R237" s="21"/>
    </row>
    <row r="238" spans="1:18">
      <c r="A238" s="14">
        <v>40521</v>
      </c>
      <c r="B238" s="15">
        <v>204.45</v>
      </c>
      <c r="C238" s="15">
        <v>204.3</v>
      </c>
      <c r="F238">
        <v>11</v>
      </c>
      <c r="G238">
        <v>12</v>
      </c>
      <c r="H238">
        <v>2013</v>
      </c>
      <c r="I238" s="41">
        <v>41590</v>
      </c>
      <c r="J238" s="39">
        <v>1934.59</v>
      </c>
      <c r="K238" s="21">
        <v>500</v>
      </c>
      <c r="L238" s="22">
        <v>7.83</v>
      </c>
      <c r="M238" s="23">
        <v>13.1774</v>
      </c>
      <c r="N238" s="22">
        <v>2.798</v>
      </c>
      <c r="O238" s="22">
        <v>2.3332999999999999</v>
      </c>
      <c r="P238" s="21">
        <v>11592.5</v>
      </c>
      <c r="Q238" s="20">
        <v>63.72</v>
      </c>
      <c r="R238" s="21"/>
    </row>
    <row r="239" spans="1:18">
      <c r="A239" s="14">
        <v>40522</v>
      </c>
      <c r="B239" s="15">
        <v>0</v>
      </c>
      <c r="C239" s="15">
        <v>209.35</v>
      </c>
      <c r="F239">
        <v>11</v>
      </c>
      <c r="G239">
        <v>13</v>
      </c>
      <c r="H239">
        <v>2013</v>
      </c>
      <c r="I239" s="41">
        <v>41591</v>
      </c>
      <c r="J239" s="39">
        <v>1934.45</v>
      </c>
      <c r="K239" s="21">
        <v>504.5</v>
      </c>
      <c r="L239" s="22">
        <v>7.83</v>
      </c>
      <c r="M239" s="23">
        <v>13.0214</v>
      </c>
      <c r="N239" s="22">
        <v>2.8025000000000002</v>
      </c>
      <c r="O239" s="22">
        <v>2.3334999999999999</v>
      </c>
      <c r="P239" s="21">
        <v>11605</v>
      </c>
      <c r="Q239" s="20">
        <v>63.31</v>
      </c>
      <c r="R239" s="21"/>
    </row>
    <row r="240" spans="1:18">
      <c r="A240" s="14">
        <v>40525</v>
      </c>
      <c r="B240" s="15">
        <v>213.1</v>
      </c>
      <c r="C240" s="15">
        <v>217.2</v>
      </c>
      <c r="F240">
        <v>11</v>
      </c>
      <c r="G240">
        <v>14</v>
      </c>
      <c r="H240">
        <v>2013</v>
      </c>
      <c r="I240" s="41">
        <v>41592</v>
      </c>
      <c r="J240" s="39">
        <v>1925.49</v>
      </c>
      <c r="K240" s="21">
        <v>504.5</v>
      </c>
      <c r="L240" s="22">
        <v>7.9124999999999996</v>
      </c>
      <c r="M240" s="23">
        <v>12.964700000000001</v>
      </c>
      <c r="N240" s="22">
        <v>2.7970000000000002</v>
      </c>
      <c r="O240" s="22">
        <v>2.3136999999999999</v>
      </c>
      <c r="P240" s="21">
        <v>11542.5</v>
      </c>
      <c r="Q240" s="20">
        <v>63.12</v>
      </c>
      <c r="R240" s="21"/>
    </row>
    <row r="241" spans="1:18">
      <c r="A241" s="14">
        <v>40526</v>
      </c>
      <c r="B241" s="15">
        <v>215.6</v>
      </c>
      <c r="C241" s="15">
        <v>216.35</v>
      </c>
      <c r="F241">
        <v>11</v>
      </c>
      <c r="G241">
        <v>15</v>
      </c>
      <c r="H241">
        <v>2013</v>
      </c>
      <c r="I241" s="41">
        <v>41593</v>
      </c>
      <c r="J241" s="39">
        <v>1917.28</v>
      </c>
      <c r="K241" s="21">
        <v>497.9</v>
      </c>
      <c r="L241" s="22">
        <v>7.9154999999999998</v>
      </c>
      <c r="M241" s="23">
        <v>12.935</v>
      </c>
      <c r="N241" s="22">
        <v>2.7995000000000001</v>
      </c>
      <c r="O241" s="22">
        <v>2.319</v>
      </c>
      <c r="P241" s="21">
        <v>11620</v>
      </c>
      <c r="Q241" s="20">
        <v>62.98</v>
      </c>
      <c r="R241" s="21"/>
    </row>
    <row r="242" spans="1:18">
      <c r="A242" s="14">
        <v>40527</v>
      </c>
      <c r="B242" s="15">
        <v>216.9</v>
      </c>
      <c r="C242" s="15">
        <v>216.9</v>
      </c>
      <c r="F242">
        <v>11</v>
      </c>
      <c r="G242">
        <v>18</v>
      </c>
      <c r="H242">
        <v>2013</v>
      </c>
      <c r="I242" s="41">
        <v>41596</v>
      </c>
      <c r="J242" s="39">
        <v>1917.83</v>
      </c>
      <c r="K242" s="21">
        <v>497.7</v>
      </c>
      <c r="L242" s="22">
        <v>7.9015000000000004</v>
      </c>
      <c r="M242" s="23">
        <v>12.893599999999999</v>
      </c>
      <c r="N242" s="22">
        <v>2.7989999999999999</v>
      </c>
      <c r="O242" s="22">
        <v>2.2633000000000001</v>
      </c>
      <c r="P242" s="21">
        <v>11632.5</v>
      </c>
      <c r="Q242" s="20">
        <v>62.42</v>
      </c>
      <c r="R242" s="21"/>
    </row>
    <row r="243" spans="1:18">
      <c r="A243" s="14">
        <v>40528</v>
      </c>
      <c r="B243" s="15">
        <v>214.35</v>
      </c>
      <c r="C243" s="15">
        <v>216.15</v>
      </c>
      <c r="F243">
        <v>11</v>
      </c>
      <c r="G243">
        <v>19</v>
      </c>
      <c r="H243">
        <v>2013</v>
      </c>
      <c r="I243" s="41">
        <v>41597</v>
      </c>
      <c r="J243" s="39">
        <v>1920.4</v>
      </c>
      <c r="K243" s="21">
        <v>498.9</v>
      </c>
      <c r="L243" s="22">
        <v>7.9085000000000001</v>
      </c>
      <c r="M243" s="23">
        <v>12.970499999999999</v>
      </c>
      <c r="N243" s="22">
        <v>2.8054999999999999</v>
      </c>
      <c r="O243" s="22">
        <v>2.2713000000000001</v>
      </c>
      <c r="P243" s="21">
        <v>11597.5</v>
      </c>
      <c r="Q243" s="20">
        <v>62.37</v>
      </c>
      <c r="R243" s="21"/>
    </row>
    <row r="244" spans="1:18">
      <c r="A244" s="14">
        <v>40529</v>
      </c>
      <c r="B244" s="15">
        <v>217.75</v>
      </c>
      <c r="C244" s="15">
        <v>225.25</v>
      </c>
      <c r="F244">
        <v>11</v>
      </c>
      <c r="G244">
        <v>20</v>
      </c>
      <c r="H244">
        <v>2013</v>
      </c>
      <c r="I244" s="41">
        <v>41598</v>
      </c>
      <c r="J244" s="39">
        <v>1928.3</v>
      </c>
      <c r="K244" s="21">
        <v>498.8</v>
      </c>
      <c r="L244" s="22">
        <v>7.9204999999999997</v>
      </c>
      <c r="M244" s="23">
        <v>13.092599999999999</v>
      </c>
      <c r="N244" s="22">
        <v>2.8045</v>
      </c>
      <c r="O244" s="22">
        <v>2.2717000000000001</v>
      </c>
      <c r="P244" s="21">
        <v>11657.5</v>
      </c>
      <c r="Q244" s="20">
        <v>62.58</v>
      </c>
      <c r="R244" s="21"/>
    </row>
    <row r="245" spans="1:18">
      <c r="A245" s="14">
        <v>40532</v>
      </c>
      <c r="B245" s="15">
        <v>223.85</v>
      </c>
      <c r="C245" s="15">
        <v>224.65</v>
      </c>
      <c r="F245">
        <v>11</v>
      </c>
      <c r="G245">
        <v>21</v>
      </c>
      <c r="H245">
        <v>2013</v>
      </c>
      <c r="I245" s="41">
        <v>41599</v>
      </c>
      <c r="J245" s="39">
        <v>1930.17</v>
      </c>
      <c r="K245" s="21">
        <v>498.6</v>
      </c>
      <c r="L245" s="22">
        <v>7.9204999999999997</v>
      </c>
      <c r="M245" s="23">
        <v>13.0265</v>
      </c>
      <c r="N245" s="22">
        <v>2.8035000000000001</v>
      </c>
      <c r="O245" s="22">
        <v>2.3062</v>
      </c>
      <c r="P245" s="21">
        <v>11702.5</v>
      </c>
      <c r="Q245" s="20">
        <v>62.94</v>
      </c>
      <c r="R245" s="21"/>
    </row>
    <row r="246" spans="1:18">
      <c r="A246" s="14">
        <v>40533</v>
      </c>
      <c r="B246" s="15">
        <v>223.6</v>
      </c>
      <c r="C246" s="15">
        <v>233.85</v>
      </c>
      <c r="F246">
        <v>11</v>
      </c>
      <c r="G246">
        <v>22</v>
      </c>
      <c r="H246">
        <v>2013</v>
      </c>
      <c r="I246" s="41">
        <v>41600</v>
      </c>
      <c r="J246" s="39">
        <v>1929.09</v>
      </c>
      <c r="K246" s="21">
        <v>498.5</v>
      </c>
      <c r="L246" s="22">
        <v>7.9044999999999996</v>
      </c>
      <c r="M246" s="23">
        <v>12.966699999999999</v>
      </c>
      <c r="N246" s="22">
        <v>2.8039999999999998</v>
      </c>
      <c r="O246" s="22">
        <v>2.2787999999999999</v>
      </c>
      <c r="P246" s="21">
        <v>11695</v>
      </c>
      <c r="Q246" s="20">
        <v>62.732999999999997</v>
      </c>
      <c r="R246" s="21"/>
    </row>
    <row r="247" spans="1:18">
      <c r="A247" s="14">
        <v>40534</v>
      </c>
      <c r="B247" s="15">
        <v>228.65</v>
      </c>
      <c r="C247" s="15">
        <v>230.2</v>
      </c>
      <c r="F247">
        <v>11</v>
      </c>
      <c r="G247">
        <v>25</v>
      </c>
      <c r="H247">
        <v>2013</v>
      </c>
      <c r="I247" s="41">
        <v>41603</v>
      </c>
      <c r="J247" s="39">
        <v>1925</v>
      </c>
      <c r="K247" s="21">
        <v>498.4</v>
      </c>
      <c r="L247" s="22">
        <v>7.8855000000000004</v>
      </c>
      <c r="M247" s="23">
        <v>13.047000000000001</v>
      </c>
      <c r="N247" s="22">
        <v>2.8050000000000002</v>
      </c>
      <c r="O247" s="22">
        <v>2.2837000000000001</v>
      </c>
      <c r="P247" s="21">
        <v>11747.5</v>
      </c>
      <c r="Q247" s="20">
        <v>62.51</v>
      </c>
      <c r="R247" s="21"/>
    </row>
    <row r="248" spans="1:18">
      <c r="A248" s="14">
        <v>40535</v>
      </c>
      <c r="B248" s="15">
        <v>229.35</v>
      </c>
      <c r="C248" s="15">
        <v>235.9</v>
      </c>
      <c r="F248">
        <v>11</v>
      </c>
      <c r="G248">
        <v>26</v>
      </c>
      <c r="H248">
        <v>2013</v>
      </c>
      <c r="I248" s="41">
        <v>41604</v>
      </c>
      <c r="J248" s="39">
        <v>1926.77</v>
      </c>
      <c r="K248" s="21">
        <v>498.3</v>
      </c>
      <c r="L248" s="22">
        <v>7.8875000000000002</v>
      </c>
      <c r="M248" s="23">
        <v>13.052</v>
      </c>
      <c r="N248" s="22">
        <v>2.8045</v>
      </c>
      <c r="O248" s="22">
        <v>2.2967</v>
      </c>
      <c r="P248" s="21">
        <v>11762.5</v>
      </c>
      <c r="Q248" s="20">
        <v>62.51</v>
      </c>
      <c r="R248" s="21"/>
    </row>
    <row r="249" spans="1:18">
      <c r="A249" s="14">
        <v>40539</v>
      </c>
      <c r="B249" s="15">
        <v>232.6</v>
      </c>
      <c r="C249" s="15">
        <v>237.45</v>
      </c>
      <c r="F249">
        <v>11</v>
      </c>
      <c r="G249">
        <v>27</v>
      </c>
      <c r="H249">
        <v>2013</v>
      </c>
      <c r="I249" s="41">
        <v>41605</v>
      </c>
      <c r="J249" s="39">
        <v>1927.33</v>
      </c>
      <c r="K249" s="21">
        <v>498.8</v>
      </c>
      <c r="L249" s="22">
        <v>7.8855000000000004</v>
      </c>
      <c r="M249" s="23">
        <v>13.122</v>
      </c>
      <c r="N249" s="22">
        <v>2.8010000000000002</v>
      </c>
      <c r="O249" s="22">
        <v>2.33</v>
      </c>
      <c r="P249" s="21">
        <v>11885</v>
      </c>
      <c r="Q249" s="20">
        <v>62.15</v>
      </c>
      <c r="R249" s="21"/>
    </row>
    <row r="250" spans="1:18">
      <c r="A250" s="14">
        <v>40540</v>
      </c>
      <c r="B250" s="15">
        <v>236.1</v>
      </c>
      <c r="C250" s="15">
        <v>239.3</v>
      </c>
      <c r="F250">
        <v>11</v>
      </c>
      <c r="G250">
        <v>28</v>
      </c>
      <c r="H250">
        <v>2013</v>
      </c>
      <c r="I250" s="41">
        <v>41606</v>
      </c>
      <c r="J250" s="39">
        <v>1927.52</v>
      </c>
      <c r="K250" s="21">
        <v>488.95</v>
      </c>
      <c r="L250" s="22">
        <v>7.8855000000000004</v>
      </c>
      <c r="M250" s="23">
        <v>13.079499999999999</v>
      </c>
      <c r="N250" s="22">
        <v>2.8010000000000002</v>
      </c>
      <c r="O250" s="22">
        <v>2.3176000000000001</v>
      </c>
      <c r="P250" s="21">
        <v>12015</v>
      </c>
      <c r="Q250" s="20">
        <v>62.281999999999996</v>
      </c>
      <c r="R250" s="21"/>
    </row>
    <row r="251" spans="1:18">
      <c r="A251" s="14">
        <v>40541</v>
      </c>
      <c r="B251" s="15">
        <v>235.15</v>
      </c>
      <c r="C251" s="15">
        <v>239.65</v>
      </c>
      <c r="F251">
        <v>11</v>
      </c>
      <c r="G251">
        <v>29</v>
      </c>
      <c r="H251">
        <v>2013</v>
      </c>
      <c r="I251" s="41">
        <v>41607</v>
      </c>
      <c r="J251" s="39">
        <v>1931.75</v>
      </c>
      <c r="K251" s="21">
        <v>498.4</v>
      </c>
      <c r="L251" s="22">
        <v>7.9024999999999999</v>
      </c>
      <c r="M251" s="23">
        <v>13.102499999999999</v>
      </c>
      <c r="N251" s="22">
        <v>2.8025000000000002</v>
      </c>
      <c r="O251" s="22">
        <v>2.3357999999999999</v>
      </c>
      <c r="P251" s="21">
        <v>11962.5</v>
      </c>
      <c r="Q251" s="20">
        <v>62.399000000000001</v>
      </c>
      <c r="R251" s="21"/>
    </row>
    <row r="252" spans="1:18">
      <c r="A252" s="14">
        <v>40542</v>
      </c>
      <c r="B252" s="15">
        <v>235.2</v>
      </c>
      <c r="C252" s="15">
        <v>236.3</v>
      </c>
      <c r="F252">
        <v>12</v>
      </c>
      <c r="G252">
        <v>2</v>
      </c>
      <c r="H252">
        <v>2013</v>
      </c>
      <c r="I252" s="41">
        <v>41610</v>
      </c>
      <c r="J252" s="39">
        <v>1933.63</v>
      </c>
      <c r="K252" s="21">
        <v>498.3</v>
      </c>
      <c r="L252" s="22">
        <v>7.8964999999999996</v>
      </c>
      <c r="M252" s="23">
        <v>13.2155</v>
      </c>
      <c r="N252" s="22">
        <v>2.7995000000000001</v>
      </c>
      <c r="O252" s="22">
        <v>2.3559000000000001</v>
      </c>
      <c r="P252" s="21">
        <v>11770</v>
      </c>
      <c r="Q252" s="20">
        <v>62.325000000000003</v>
      </c>
      <c r="R252" s="21"/>
    </row>
    <row r="253" spans="1:18">
      <c r="A253" s="14">
        <v>40543</v>
      </c>
      <c r="B253" s="15">
        <v>236.3</v>
      </c>
      <c r="C253" s="15">
        <v>240.5</v>
      </c>
      <c r="F253">
        <v>12</v>
      </c>
      <c r="G253">
        <v>3</v>
      </c>
      <c r="H253">
        <v>2013</v>
      </c>
      <c r="I253" s="41">
        <v>41611</v>
      </c>
      <c r="J253" s="39">
        <v>1944.58</v>
      </c>
      <c r="K253" s="21">
        <v>498.25</v>
      </c>
      <c r="L253" s="22">
        <v>7.8875000000000002</v>
      </c>
      <c r="M253" s="23">
        <v>13.1084</v>
      </c>
      <c r="N253" s="22">
        <v>2.8050000000000002</v>
      </c>
      <c r="O253" s="22">
        <v>2.3757999999999999</v>
      </c>
      <c r="P253" s="21">
        <v>11885</v>
      </c>
      <c r="Q253" s="20">
        <v>62.37</v>
      </c>
      <c r="R253" s="21"/>
    </row>
    <row r="254" spans="1:18">
      <c r="A254" s="14">
        <v>40547</v>
      </c>
      <c r="B254" s="15">
        <v>232</v>
      </c>
      <c r="C254" s="15">
        <v>234.95</v>
      </c>
      <c r="F254">
        <v>12</v>
      </c>
      <c r="G254">
        <v>4</v>
      </c>
      <c r="H254">
        <v>2013</v>
      </c>
      <c r="I254" s="41">
        <v>41612</v>
      </c>
      <c r="J254" s="39">
        <v>1949.12</v>
      </c>
      <c r="K254" s="21">
        <v>498</v>
      </c>
      <c r="L254" s="22">
        <v>7.8734999999999999</v>
      </c>
      <c r="M254" s="23">
        <v>13.0418</v>
      </c>
      <c r="N254" s="22">
        <v>2.8025000000000002</v>
      </c>
      <c r="O254" s="22">
        <v>2.3914</v>
      </c>
      <c r="P254" s="21">
        <v>11985</v>
      </c>
      <c r="Q254" s="20">
        <v>62.06</v>
      </c>
      <c r="R254" s="21"/>
    </row>
    <row r="255" spans="1:18">
      <c r="A255" s="14">
        <v>40548</v>
      </c>
      <c r="B255" s="15">
        <v>230</v>
      </c>
      <c r="C255" s="15">
        <v>233</v>
      </c>
      <c r="F255">
        <v>12</v>
      </c>
      <c r="G255">
        <v>5</v>
      </c>
      <c r="H255">
        <v>2013</v>
      </c>
      <c r="I255" s="41">
        <v>41613</v>
      </c>
      <c r="J255" s="39">
        <v>1940.19</v>
      </c>
      <c r="K255" s="21">
        <v>497.8</v>
      </c>
      <c r="L255" s="22">
        <v>7.8615000000000004</v>
      </c>
      <c r="M255" s="23">
        <v>13.0907</v>
      </c>
      <c r="N255" s="22">
        <v>2.8043</v>
      </c>
      <c r="O255" s="22">
        <v>2.3612000000000002</v>
      </c>
      <c r="P255" s="21">
        <v>11962.5</v>
      </c>
      <c r="Q255" s="20">
        <v>61.762999999999998</v>
      </c>
      <c r="R255" s="21"/>
    </row>
    <row r="256" spans="1:18">
      <c r="A256" s="14">
        <v>40549</v>
      </c>
      <c r="B256" s="15">
        <v>232.1</v>
      </c>
      <c r="C256" s="15">
        <v>233</v>
      </c>
      <c r="F256">
        <v>12</v>
      </c>
      <c r="G256">
        <v>6</v>
      </c>
      <c r="H256">
        <v>2013</v>
      </c>
      <c r="I256" s="41">
        <v>41614</v>
      </c>
      <c r="J256" s="39">
        <v>1932.3</v>
      </c>
      <c r="K256" s="21">
        <v>497.6</v>
      </c>
      <c r="L256" s="22">
        <v>7.8615000000000004</v>
      </c>
      <c r="M256" s="23">
        <v>12.935499999999999</v>
      </c>
      <c r="N256" s="22">
        <v>2.8005</v>
      </c>
      <c r="O256" s="22">
        <v>2.3267000000000002</v>
      </c>
      <c r="P256" s="21">
        <v>11962.5</v>
      </c>
      <c r="Q256" s="20">
        <v>61.435000000000002</v>
      </c>
      <c r="R256" s="21"/>
    </row>
    <row r="257" spans="1:18">
      <c r="A257" s="14">
        <v>40550</v>
      </c>
      <c r="B257" s="15">
        <v>230.3</v>
      </c>
      <c r="C257" s="15">
        <v>230.7</v>
      </c>
      <c r="F257">
        <v>12</v>
      </c>
      <c r="G257">
        <v>9</v>
      </c>
      <c r="H257">
        <v>2013</v>
      </c>
      <c r="I257" s="41">
        <v>41617</v>
      </c>
      <c r="J257" s="39">
        <v>1933.8</v>
      </c>
      <c r="K257" s="21">
        <v>497.55</v>
      </c>
      <c r="L257" s="22">
        <v>7.8624999999999998</v>
      </c>
      <c r="M257" s="23">
        <v>12.856</v>
      </c>
      <c r="N257" s="22">
        <v>2.7965</v>
      </c>
      <c r="O257" s="22">
        <v>2.3197000000000001</v>
      </c>
      <c r="P257" s="21">
        <v>11972.5</v>
      </c>
      <c r="Q257" s="20">
        <v>61.14</v>
      </c>
      <c r="R257" s="21"/>
    </row>
    <row r="258" spans="1:18">
      <c r="A258" s="14">
        <v>40553</v>
      </c>
      <c r="B258" s="15">
        <v>230.55</v>
      </c>
      <c r="C258" s="15">
        <v>231.25</v>
      </c>
      <c r="F258">
        <v>12</v>
      </c>
      <c r="G258">
        <v>10</v>
      </c>
      <c r="H258">
        <v>2013</v>
      </c>
      <c r="I258" s="41">
        <v>41618</v>
      </c>
      <c r="J258" s="39">
        <v>1934.22</v>
      </c>
      <c r="K258" s="21">
        <v>497.5</v>
      </c>
      <c r="L258" s="22">
        <v>7.8544999999999998</v>
      </c>
      <c r="M258" s="23">
        <v>12.861000000000001</v>
      </c>
      <c r="N258" s="22">
        <v>2.8010000000000002</v>
      </c>
      <c r="O258" s="22">
        <v>2.3090000000000002</v>
      </c>
      <c r="P258" s="21">
        <v>11985</v>
      </c>
      <c r="Q258" s="20">
        <v>61.05</v>
      </c>
      <c r="R258" s="21"/>
    </row>
    <row r="259" spans="1:18">
      <c r="A259" s="14">
        <v>40554</v>
      </c>
      <c r="B259" s="15">
        <v>230.85</v>
      </c>
      <c r="C259" s="15">
        <v>234.7</v>
      </c>
      <c r="F259">
        <v>12</v>
      </c>
      <c r="G259">
        <v>11</v>
      </c>
      <c r="H259">
        <v>2013</v>
      </c>
      <c r="I259" s="41">
        <v>41619</v>
      </c>
      <c r="J259" s="39">
        <v>1933.4</v>
      </c>
      <c r="K259" s="21">
        <v>497.3</v>
      </c>
      <c r="L259" s="22">
        <v>7.8574999999999999</v>
      </c>
      <c r="M259" s="23">
        <v>13.040100000000001</v>
      </c>
      <c r="N259" s="22">
        <v>2.7925</v>
      </c>
      <c r="O259" s="22">
        <v>2.3412999999999999</v>
      </c>
      <c r="P259" s="21">
        <v>11990</v>
      </c>
      <c r="Q259" s="20">
        <v>61.255000000000003</v>
      </c>
      <c r="R259" s="21"/>
    </row>
    <row r="260" spans="1:18">
      <c r="A260" s="14">
        <v>40555</v>
      </c>
      <c r="B260" s="15">
        <v>235.7</v>
      </c>
      <c r="C260" s="15">
        <v>240.6</v>
      </c>
      <c r="F260">
        <v>12</v>
      </c>
      <c r="G260">
        <v>12</v>
      </c>
      <c r="H260">
        <v>2013</v>
      </c>
      <c r="I260" s="41">
        <v>41620</v>
      </c>
      <c r="J260" s="39">
        <v>1933.87</v>
      </c>
      <c r="K260" s="21">
        <v>497.2</v>
      </c>
      <c r="L260" s="22">
        <v>7.8734999999999999</v>
      </c>
      <c r="M260" s="23">
        <v>12.9678</v>
      </c>
      <c r="N260" s="22">
        <v>2.7765</v>
      </c>
      <c r="O260" s="22">
        <v>2.3327</v>
      </c>
      <c r="P260" s="21">
        <v>12022.5</v>
      </c>
      <c r="Q260" s="20">
        <v>61.82</v>
      </c>
      <c r="R260" s="21"/>
    </row>
    <row r="261" spans="1:18">
      <c r="A261" s="14">
        <v>40556</v>
      </c>
      <c r="B261" s="15">
        <v>236.6</v>
      </c>
      <c r="C261" s="15">
        <v>237.5</v>
      </c>
      <c r="F261">
        <v>12</v>
      </c>
      <c r="G261">
        <v>13</v>
      </c>
      <c r="H261">
        <v>2013</v>
      </c>
      <c r="I261" s="41">
        <v>41621</v>
      </c>
      <c r="J261" s="39">
        <v>1931.78</v>
      </c>
      <c r="K261" s="21">
        <v>497</v>
      </c>
      <c r="L261" s="22">
        <v>7.8745000000000003</v>
      </c>
      <c r="M261" s="23">
        <v>12.8805</v>
      </c>
      <c r="N261" s="22">
        <v>2.7713000000000001</v>
      </c>
      <c r="O261" s="22">
        <v>2.33</v>
      </c>
      <c r="P261" s="21">
        <v>12117.5</v>
      </c>
      <c r="Q261" s="20">
        <v>62.195</v>
      </c>
      <c r="R261" s="21"/>
    </row>
    <row r="262" spans="1:18">
      <c r="A262" s="14">
        <v>40557</v>
      </c>
      <c r="B262" s="15">
        <v>231.55</v>
      </c>
      <c r="C262" s="15">
        <v>234.6</v>
      </c>
      <c r="F262">
        <v>12</v>
      </c>
      <c r="G262">
        <v>16</v>
      </c>
      <c r="H262">
        <v>2013</v>
      </c>
      <c r="I262" s="41">
        <v>41624</v>
      </c>
      <c r="J262" s="39">
        <v>1933.75</v>
      </c>
      <c r="K262" s="21">
        <v>496.88</v>
      </c>
      <c r="L262" s="22">
        <v>7.8795000000000002</v>
      </c>
      <c r="M262" s="23">
        <v>12.9275</v>
      </c>
      <c r="N262" s="22">
        <v>2.7570000000000001</v>
      </c>
      <c r="O262" s="22">
        <v>2.3277999999999999</v>
      </c>
      <c r="P262" s="21">
        <v>12105</v>
      </c>
      <c r="Q262" s="20">
        <v>61.74</v>
      </c>
      <c r="R262" s="21"/>
    </row>
    <row r="263" spans="1:18">
      <c r="A263" s="14">
        <v>40561</v>
      </c>
      <c r="B263" s="15">
        <v>234.35</v>
      </c>
      <c r="C263" s="15">
        <v>235.35</v>
      </c>
      <c r="F263">
        <v>12</v>
      </c>
      <c r="G263">
        <v>17</v>
      </c>
      <c r="H263">
        <v>2013</v>
      </c>
      <c r="I263" s="41">
        <v>41625</v>
      </c>
      <c r="J263" s="39">
        <v>1941.97</v>
      </c>
      <c r="K263" s="21">
        <v>496.8</v>
      </c>
      <c r="L263" s="22">
        <v>7.8795000000000002</v>
      </c>
      <c r="M263" s="23">
        <v>12.952</v>
      </c>
      <c r="N263" s="22">
        <v>2.77</v>
      </c>
      <c r="O263" s="22">
        <v>2.3193999999999999</v>
      </c>
      <c r="P263" s="21">
        <v>12122.5</v>
      </c>
      <c r="Q263" s="20">
        <v>62.02</v>
      </c>
      <c r="R263" s="21"/>
    </row>
    <row r="264" spans="1:18">
      <c r="A264" s="14">
        <v>40562</v>
      </c>
      <c r="B264" s="15">
        <v>231.1</v>
      </c>
      <c r="C264" s="15">
        <v>232.5</v>
      </c>
      <c r="F264">
        <v>12</v>
      </c>
      <c r="G264">
        <v>18</v>
      </c>
      <c r="H264">
        <v>2013</v>
      </c>
      <c r="I264" s="41">
        <v>41626</v>
      </c>
      <c r="J264" s="39">
        <v>1943.24</v>
      </c>
      <c r="K264" s="21">
        <v>496.55</v>
      </c>
      <c r="L264" s="22">
        <v>7.8784999999999998</v>
      </c>
      <c r="M264" s="23">
        <v>12.8803</v>
      </c>
      <c r="N264" s="22">
        <v>2.7865000000000002</v>
      </c>
      <c r="O264" s="22">
        <v>2.3262</v>
      </c>
      <c r="P264" s="21">
        <v>12165</v>
      </c>
      <c r="Q264" s="20">
        <v>62.1</v>
      </c>
      <c r="R264" s="21"/>
    </row>
    <row r="265" spans="1:18">
      <c r="A265" s="14">
        <v>40563</v>
      </c>
      <c r="B265" s="15">
        <v>226.5</v>
      </c>
      <c r="C265" s="15">
        <v>231.8</v>
      </c>
      <c r="F265">
        <v>12</v>
      </c>
      <c r="G265">
        <v>19</v>
      </c>
      <c r="H265">
        <v>2013</v>
      </c>
      <c r="I265" s="41">
        <v>41627</v>
      </c>
      <c r="J265" s="39">
        <v>1938.97</v>
      </c>
      <c r="K265" s="21">
        <v>496.4</v>
      </c>
      <c r="L265" s="22">
        <v>7.8784999999999998</v>
      </c>
      <c r="M265" s="23">
        <v>12.9605</v>
      </c>
      <c r="N265" s="22">
        <v>2.7715000000000001</v>
      </c>
      <c r="O265" s="22">
        <v>2.3534999999999999</v>
      </c>
      <c r="P265" s="21">
        <v>12207.5</v>
      </c>
      <c r="Q265" s="20">
        <v>62.15</v>
      </c>
      <c r="R265" s="21"/>
    </row>
    <row r="266" spans="1:18">
      <c r="A266" s="14">
        <v>40564</v>
      </c>
      <c r="B266" s="15">
        <v>232.85</v>
      </c>
      <c r="C266" s="15">
        <v>240.4</v>
      </c>
      <c r="F266">
        <v>12</v>
      </c>
      <c r="G266">
        <v>20</v>
      </c>
      <c r="H266">
        <v>2013</v>
      </c>
      <c r="I266" s="41">
        <v>41628</v>
      </c>
      <c r="J266" s="39">
        <v>1933</v>
      </c>
      <c r="K266" s="21">
        <v>496.2</v>
      </c>
      <c r="L266" s="22">
        <v>7.8745000000000003</v>
      </c>
      <c r="M266" s="23">
        <v>12.974500000000001</v>
      </c>
      <c r="N266" s="22">
        <v>2.7654999999999998</v>
      </c>
      <c r="O266" s="22">
        <v>2.3875999999999999</v>
      </c>
      <c r="P266" s="21">
        <v>12212.5</v>
      </c>
      <c r="Q266" s="20">
        <v>62</v>
      </c>
      <c r="R266" s="21"/>
    </row>
    <row r="267" spans="1:18">
      <c r="A267" s="14">
        <v>40567</v>
      </c>
      <c r="B267" s="15">
        <v>236.4</v>
      </c>
      <c r="C267" s="15">
        <v>237.3</v>
      </c>
      <c r="F267">
        <v>12</v>
      </c>
      <c r="G267">
        <v>23</v>
      </c>
      <c r="H267">
        <v>2013</v>
      </c>
      <c r="I267" s="41">
        <v>41631</v>
      </c>
      <c r="J267" s="39">
        <v>1925.72</v>
      </c>
      <c r="K267" s="21">
        <v>496</v>
      </c>
      <c r="L267" s="22">
        <v>7.8535000000000004</v>
      </c>
      <c r="M267" s="23">
        <v>12.993499999999999</v>
      </c>
      <c r="N267" s="22">
        <v>2.7749999999999999</v>
      </c>
      <c r="O267" s="22">
        <v>2.3571</v>
      </c>
      <c r="P267" s="21">
        <v>12192.5</v>
      </c>
      <c r="Q267" s="20">
        <v>61.963000000000001</v>
      </c>
      <c r="R267" s="21"/>
    </row>
    <row r="268" spans="1:18">
      <c r="A268" s="14">
        <v>40568</v>
      </c>
      <c r="B268" s="15">
        <v>230.3</v>
      </c>
      <c r="C268" s="15">
        <v>231.25</v>
      </c>
      <c r="F268">
        <v>12</v>
      </c>
      <c r="G268">
        <v>24</v>
      </c>
      <c r="H268">
        <v>2013</v>
      </c>
      <c r="I268" s="41">
        <v>41632</v>
      </c>
      <c r="J268" s="39">
        <v>1921.39</v>
      </c>
      <c r="K268" s="21">
        <v>495.9</v>
      </c>
      <c r="L268" s="22">
        <v>7.8455000000000004</v>
      </c>
      <c r="M268" s="23">
        <v>13.033799999999999</v>
      </c>
      <c r="N268" s="22">
        <v>2.7829999999999999</v>
      </c>
      <c r="O268" s="22">
        <v>2.3573</v>
      </c>
      <c r="P268" s="21">
        <v>12200</v>
      </c>
      <c r="Q268" s="20">
        <v>61.755000000000003</v>
      </c>
      <c r="R268" s="21"/>
    </row>
    <row r="269" spans="1:18">
      <c r="A269" s="14">
        <v>40569</v>
      </c>
      <c r="B269" s="15">
        <v>231.8</v>
      </c>
      <c r="C269" s="15">
        <v>237.5</v>
      </c>
      <c r="F269">
        <v>12</v>
      </c>
      <c r="G269">
        <v>25</v>
      </c>
      <c r="H269">
        <v>2013</v>
      </c>
      <c r="I269" s="41">
        <v>41633</v>
      </c>
      <c r="J269" s="39">
        <v>1921.39</v>
      </c>
      <c r="K269" s="21">
        <v>495.9</v>
      </c>
      <c r="L269" s="22">
        <v>7.8455000000000004</v>
      </c>
      <c r="M269" s="23">
        <v>13.0145</v>
      </c>
      <c r="N269" s="22">
        <v>2.7829999999999999</v>
      </c>
      <c r="O269" s="22">
        <v>2.3571</v>
      </c>
      <c r="P269" s="21">
        <v>12200</v>
      </c>
      <c r="Q269" s="20">
        <v>61.8</v>
      </c>
      <c r="R269" s="21"/>
    </row>
    <row r="270" spans="1:18">
      <c r="A270" s="14">
        <v>40570</v>
      </c>
      <c r="B270" s="15">
        <v>234.7</v>
      </c>
      <c r="C270" s="15">
        <v>236.95</v>
      </c>
      <c r="F270">
        <v>12</v>
      </c>
      <c r="G270">
        <v>26</v>
      </c>
      <c r="H270">
        <v>2013</v>
      </c>
      <c r="I270" s="41">
        <v>41634</v>
      </c>
      <c r="J270" s="39">
        <v>1918.67</v>
      </c>
      <c r="K270" s="21">
        <v>500.9</v>
      </c>
      <c r="L270" s="22">
        <v>7.8484999999999996</v>
      </c>
      <c r="M270" s="23">
        <v>13.080500000000001</v>
      </c>
      <c r="N270" s="22">
        <v>2.7869999999999999</v>
      </c>
      <c r="O270" s="22">
        <v>2.3517999999999999</v>
      </c>
      <c r="P270" s="21">
        <v>12200</v>
      </c>
      <c r="Q270" s="20">
        <v>62.17</v>
      </c>
      <c r="R270" s="21"/>
    </row>
    <row r="271" spans="1:18">
      <c r="A271" s="14">
        <v>40571</v>
      </c>
      <c r="B271" s="15">
        <v>235.85</v>
      </c>
      <c r="C271" s="15">
        <v>245</v>
      </c>
      <c r="F271">
        <v>12</v>
      </c>
      <c r="G271">
        <v>27</v>
      </c>
      <c r="H271">
        <v>2013</v>
      </c>
      <c r="I271" s="41">
        <v>41635</v>
      </c>
      <c r="J271" s="39">
        <v>1929.12</v>
      </c>
      <c r="K271" s="21">
        <v>500.75</v>
      </c>
      <c r="L271" s="22">
        <v>7.8354999999999997</v>
      </c>
      <c r="M271" s="23">
        <v>13.057</v>
      </c>
      <c r="N271" s="22">
        <v>2.7963</v>
      </c>
      <c r="O271" s="22">
        <v>2.3384</v>
      </c>
      <c r="P271" s="21">
        <v>12260</v>
      </c>
      <c r="Q271" s="20">
        <v>61.94</v>
      </c>
      <c r="R271" s="21"/>
    </row>
    <row r="272" spans="1:18">
      <c r="A272" s="14">
        <v>40574</v>
      </c>
      <c r="B272" s="15">
        <v>243.25</v>
      </c>
      <c r="C272" s="15">
        <v>244.8</v>
      </c>
      <c r="F272">
        <v>12</v>
      </c>
      <c r="G272">
        <v>30</v>
      </c>
      <c r="H272">
        <v>2013</v>
      </c>
      <c r="I272" s="41">
        <v>41638</v>
      </c>
      <c r="J272" s="39">
        <v>1928.62</v>
      </c>
      <c r="K272" s="21">
        <v>500.7</v>
      </c>
      <c r="L272" s="22">
        <v>7.8425000000000002</v>
      </c>
      <c r="M272" s="23">
        <v>13.0685</v>
      </c>
      <c r="N272" s="22">
        <v>2.7970000000000002</v>
      </c>
      <c r="O272" s="22">
        <v>2.3620999999999999</v>
      </c>
      <c r="P272" s="21">
        <v>12210</v>
      </c>
      <c r="Q272" s="20">
        <v>61.92</v>
      </c>
      <c r="R272" s="21"/>
    </row>
    <row r="273" spans="1:18">
      <c r="A273" s="14">
        <v>40575</v>
      </c>
      <c r="B273" s="15">
        <v>245.35</v>
      </c>
      <c r="C273" s="15">
        <v>249.4</v>
      </c>
      <c r="F273">
        <v>12</v>
      </c>
      <c r="G273">
        <v>31</v>
      </c>
      <c r="H273">
        <v>2013</v>
      </c>
      <c r="I273" s="41">
        <v>41639</v>
      </c>
      <c r="J273" s="39">
        <v>1930</v>
      </c>
      <c r="K273" s="21">
        <v>500.65</v>
      </c>
      <c r="L273" s="22">
        <v>7.8425000000000002</v>
      </c>
      <c r="M273" s="23">
        <v>13.0365</v>
      </c>
      <c r="N273" s="22">
        <v>2.7949999999999999</v>
      </c>
      <c r="O273" s="22">
        <v>2.3620999999999999</v>
      </c>
      <c r="P273" s="21">
        <v>12170</v>
      </c>
      <c r="Q273" s="20">
        <v>61.81</v>
      </c>
      <c r="R273" s="21"/>
    </row>
    <row r="274" spans="1:18">
      <c r="A274" s="14">
        <v>40576</v>
      </c>
      <c r="B274" s="15">
        <v>247.1</v>
      </c>
      <c r="C274" s="15">
        <v>250.4</v>
      </c>
      <c r="F274" s="53">
        <v>1</v>
      </c>
      <c r="G274">
        <v>1</v>
      </c>
      <c r="H274">
        <v>2014</v>
      </c>
      <c r="I274" s="41">
        <v>41640</v>
      </c>
      <c r="J274" s="54">
        <v>1930</v>
      </c>
      <c r="K274" s="21">
        <v>500.65</v>
      </c>
      <c r="L274" s="22">
        <v>7.8425000000000002</v>
      </c>
      <c r="M274" s="23">
        <v>13.0398</v>
      </c>
      <c r="N274" s="22">
        <v>2.7967</v>
      </c>
      <c r="O274" s="22">
        <v>2.3620999999999999</v>
      </c>
      <c r="P274" s="21">
        <v>12170</v>
      </c>
      <c r="Q274" s="20">
        <v>61.91</v>
      </c>
      <c r="R274" s="21"/>
    </row>
    <row r="275" spans="1:18">
      <c r="A275" s="14">
        <v>40577</v>
      </c>
      <c r="B275" s="15">
        <v>250.1</v>
      </c>
      <c r="C275" s="15">
        <v>251.35</v>
      </c>
      <c r="F275" s="53">
        <v>1</v>
      </c>
      <c r="G275">
        <v>2</v>
      </c>
      <c r="H275">
        <v>2014</v>
      </c>
      <c r="I275" s="41">
        <v>41641</v>
      </c>
      <c r="J275" s="54">
        <v>1941.29</v>
      </c>
      <c r="K275" s="21">
        <v>500.5</v>
      </c>
      <c r="L275" s="22">
        <v>7.8585000000000003</v>
      </c>
      <c r="M275" s="23">
        <v>13.1538</v>
      </c>
      <c r="N275" s="22">
        <v>2.806</v>
      </c>
      <c r="O275" s="22">
        <v>2.3875999999999999</v>
      </c>
      <c r="P275" s="21">
        <v>12160</v>
      </c>
      <c r="Q275" s="20">
        <v>62.27</v>
      </c>
      <c r="R275" s="21"/>
    </row>
    <row r="276" spans="1:18">
      <c r="A276" s="14">
        <v>40578</v>
      </c>
      <c r="B276" s="15">
        <v>247.3</v>
      </c>
      <c r="C276" s="15">
        <v>249.3</v>
      </c>
      <c r="F276" s="53">
        <v>1</v>
      </c>
      <c r="G276">
        <v>3</v>
      </c>
      <c r="H276">
        <v>2014</v>
      </c>
      <c r="I276" s="41">
        <v>41642</v>
      </c>
      <c r="J276" s="54">
        <v>1937.97</v>
      </c>
      <c r="K276" s="21">
        <v>500.3</v>
      </c>
      <c r="L276" s="22">
        <v>7.8624999999999998</v>
      </c>
      <c r="M276" s="23">
        <v>13.1035</v>
      </c>
      <c r="N276" s="22">
        <v>2.8085</v>
      </c>
      <c r="O276" s="22">
        <v>2.3765000000000001</v>
      </c>
      <c r="P276" s="21">
        <v>12170</v>
      </c>
      <c r="Q276" s="20">
        <v>62.19</v>
      </c>
      <c r="R276" s="21"/>
    </row>
    <row r="277" spans="1:18">
      <c r="A277" s="14">
        <v>40581</v>
      </c>
      <c r="B277" s="15">
        <v>249.15</v>
      </c>
      <c r="C277" s="15">
        <v>249.75</v>
      </c>
      <c r="F277" s="53">
        <v>1</v>
      </c>
      <c r="G277">
        <v>6</v>
      </c>
      <c r="H277">
        <v>2014</v>
      </c>
      <c r="I277" s="41">
        <v>41645</v>
      </c>
      <c r="J277" s="54">
        <v>1937.8</v>
      </c>
      <c r="K277" s="21">
        <v>500.8</v>
      </c>
      <c r="L277" s="22">
        <v>7.8665000000000003</v>
      </c>
      <c r="M277" s="23">
        <v>13.086499999999999</v>
      </c>
      <c r="N277" s="22">
        <v>2.8045</v>
      </c>
      <c r="O277" s="22">
        <v>2.3761000000000001</v>
      </c>
      <c r="P277" s="21">
        <v>12180</v>
      </c>
      <c r="Q277" s="20">
        <v>62.314999999999998</v>
      </c>
      <c r="R277" s="21"/>
    </row>
    <row r="278" spans="1:18">
      <c r="A278" s="14">
        <v>40582</v>
      </c>
      <c r="B278" s="15">
        <v>246.7</v>
      </c>
      <c r="C278" s="15">
        <v>247.6</v>
      </c>
      <c r="F278" s="53">
        <v>1</v>
      </c>
      <c r="G278">
        <v>7</v>
      </c>
      <c r="H278">
        <v>2014</v>
      </c>
      <c r="I278" s="41">
        <v>41646</v>
      </c>
      <c r="J278" s="54">
        <v>1929.5</v>
      </c>
      <c r="K278" s="21">
        <v>500.6</v>
      </c>
      <c r="L278" s="22">
        <v>7.8825000000000003</v>
      </c>
      <c r="M278" s="23">
        <v>13.0145</v>
      </c>
      <c r="N278" s="22">
        <v>2.8022999999999998</v>
      </c>
      <c r="O278" s="22">
        <v>2.3725000000000001</v>
      </c>
      <c r="P278" s="21">
        <v>12237.5</v>
      </c>
      <c r="Q278" s="20">
        <v>62.305</v>
      </c>
      <c r="R278" s="21"/>
    </row>
    <row r="279" spans="1:18">
      <c r="A279" s="14">
        <v>40583</v>
      </c>
      <c r="B279" s="15">
        <v>247.8</v>
      </c>
      <c r="C279" s="15">
        <v>253.6</v>
      </c>
      <c r="F279" s="53">
        <v>1</v>
      </c>
      <c r="G279">
        <v>8</v>
      </c>
      <c r="H279">
        <v>2014</v>
      </c>
      <c r="I279" s="41">
        <v>41647</v>
      </c>
      <c r="J279" s="54">
        <v>1934.84</v>
      </c>
      <c r="K279" s="21">
        <v>500.5</v>
      </c>
      <c r="L279" s="22">
        <v>7.8884999999999996</v>
      </c>
      <c r="M279" s="23">
        <v>13.131500000000001</v>
      </c>
      <c r="N279" s="22">
        <v>2.806</v>
      </c>
      <c r="O279" s="22">
        <v>2.3967000000000001</v>
      </c>
      <c r="P279" s="21">
        <v>12235</v>
      </c>
      <c r="Q279" s="20">
        <v>62.164999999999999</v>
      </c>
      <c r="R279" s="21"/>
    </row>
    <row r="280" spans="1:18">
      <c r="A280" s="14">
        <v>40584</v>
      </c>
      <c r="B280" s="15">
        <v>251.5</v>
      </c>
      <c r="C280" s="15">
        <v>255.6</v>
      </c>
      <c r="F280" s="53">
        <v>1</v>
      </c>
      <c r="G280">
        <v>9</v>
      </c>
      <c r="H280">
        <v>2014</v>
      </c>
      <c r="I280" s="41">
        <v>41648</v>
      </c>
      <c r="J280" s="54">
        <v>1932.5</v>
      </c>
      <c r="K280" s="21">
        <v>500.4</v>
      </c>
      <c r="L280" s="22">
        <v>7.8895</v>
      </c>
      <c r="M280" s="23">
        <v>13.086</v>
      </c>
      <c r="N280" s="22">
        <v>2.8050000000000002</v>
      </c>
      <c r="O280" s="22">
        <v>2.3904000000000001</v>
      </c>
      <c r="P280" s="21">
        <v>12190</v>
      </c>
      <c r="Q280" s="20">
        <v>62.094999999999999</v>
      </c>
      <c r="R280" s="21"/>
    </row>
    <row r="281" spans="1:18">
      <c r="A281" s="14">
        <v>40585</v>
      </c>
      <c r="B281" s="15">
        <v>251.15</v>
      </c>
      <c r="C281" s="15">
        <v>251.95</v>
      </c>
      <c r="F281" s="53">
        <v>1</v>
      </c>
      <c r="G281">
        <v>10</v>
      </c>
      <c r="H281">
        <v>2014</v>
      </c>
      <c r="I281" s="41">
        <v>41649</v>
      </c>
      <c r="J281" s="54">
        <v>1924.59</v>
      </c>
      <c r="K281" s="21">
        <v>500.3</v>
      </c>
      <c r="L281" s="22">
        <v>7.8815</v>
      </c>
      <c r="M281" s="23">
        <v>12.962999999999999</v>
      </c>
      <c r="N281" s="22">
        <v>2.7974999999999999</v>
      </c>
      <c r="O281" s="22">
        <v>2.3584000000000001</v>
      </c>
      <c r="P281" s="21">
        <v>12161.5</v>
      </c>
      <c r="Q281" s="20">
        <v>61.906999999999996</v>
      </c>
      <c r="R281" s="21"/>
    </row>
    <row r="282" spans="1:18">
      <c r="A282" s="14">
        <v>40588</v>
      </c>
      <c r="B282" s="15">
        <v>251.5</v>
      </c>
      <c r="C282" s="15">
        <v>258.64999999999998</v>
      </c>
      <c r="F282" s="53">
        <v>1</v>
      </c>
      <c r="G282">
        <v>13</v>
      </c>
      <c r="H282">
        <v>2014</v>
      </c>
      <c r="I282" s="41">
        <v>41652</v>
      </c>
      <c r="J282" s="54">
        <v>1928.66</v>
      </c>
      <c r="K282" s="21">
        <v>500</v>
      </c>
      <c r="L282" s="22">
        <v>7.8615000000000004</v>
      </c>
      <c r="M282" s="23">
        <v>13.082000000000001</v>
      </c>
      <c r="N282" s="22">
        <v>2.7965</v>
      </c>
      <c r="O282" s="22">
        <v>2.3597999999999999</v>
      </c>
      <c r="P282" s="21">
        <v>12050</v>
      </c>
      <c r="Q282" s="20">
        <v>61.524999999999999</v>
      </c>
      <c r="R282" s="21"/>
    </row>
    <row r="283" spans="1:18">
      <c r="A283" s="14">
        <v>40589</v>
      </c>
      <c r="B283" s="15">
        <v>255.7</v>
      </c>
      <c r="C283" s="15">
        <v>258.05</v>
      </c>
      <c r="F283" s="53">
        <v>1</v>
      </c>
      <c r="G283">
        <v>14</v>
      </c>
      <c r="H283">
        <v>2014</v>
      </c>
      <c r="I283" s="41">
        <v>41653</v>
      </c>
      <c r="J283" s="54">
        <v>1937</v>
      </c>
      <c r="K283" s="21">
        <v>499.8</v>
      </c>
      <c r="L283" s="22">
        <v>7.8414999999999999</v>
      </c>
      <c r="M283" s="23">
        <v>13.089</v>
      </c>
      <c r="N283" s="22">
        <v>2.802</v>
      </c>
      <c r="O283" s="22">
        <v>2.3502999999999998</v>
      </c>
      <c r="P283" s="21">
        <v>12050</v>
      </c>
      <c r="Q283" s="20">
        <v>61.49</v>
      </c>
      <c r="R283" s="21"/>
    </row>
    <row r="284" spans="1:18">
      <c r="A284" s="14">
        <v>40590</v>
      </c>
      <c r="B284" s="15">
        <v>255.1</v>
      </c>
      <c r="C284" s="15">
        <v>258.64999999999998</v>
      </c>
      <c r="F284" s="53">
        <v>1</v>
      </c>
      <c r="G284">
        <v>15</v>
      </c>
      <c r="H284">
        <v>2014</v>
      </c>
      <c r="I284" s="41">
        <v>41654</v>
      </c>
      <c r="J284" s="54">
        <v>1942.72</v>
      </c>
      <c r="K284" s="21">
        <v>499.6</v>
      </c>
      <c r="L284" s="22">
        <v>7.8304999999999998</v>
      </c>
      <c r="M284" s="23">
        <v>13.1945</v>
      </c>
      <c r="N284" s="22">
        <v>2.8090000000000002</v>
      </c>
      <c r="O284" s="22">
        <v>2.3605</v>
      </c>
      <c r="P284" s="21">
        <v>12085</v>
      </c>
      <c r="Q284" s="20">
        <v>61.58</v>
      </c>
      <c r="R284" s="21"/>
    </row>
    <row r="285" spans="1:18">
      <c r="A285" s="14">
        <v>40591</v>
      </c>
      <c r="B285" s="15">
        <v>258.85000000000002</v>
      </c>
      <c r="C285" s="15">
        <v>267.35000000000002</v>
      </c>
      <c r="F285" s="53">
        <v>1</v>
      </c>
      <c r="G285">
        <v>16</v>
      </c>
      <c r="H285">
        <v>2014</v>
      </c>
      <c r="I285" s="41">
        <v>41655</v>
      </c>
      <c r="J285" s="54">
        <v>1949.49</v>
      </c>
      <c r="K285" s="21">
        <v>499.5</v>
      </c>
      <c r="L285" s="22">
        <v>7.8324999999999996</v>
      </c>
      <c r="M285" s="23">
        <v>13.273999999999999</v>
      </c>
      <c r="N285" s="22">
        <v>2.8105000000000002</v>
      </c>
      <c r="O285" s="22">
        <v>2.3635999999999999</v>
      </c>
      <c r="P285" s="21">
        <v>12117.5</v>
      </c>
      <c r="Q285" s="20">
        <v>61.54</v>
      </c>
      <c r="R285" s="21"/>
    </row>
    <row r="286" spans="1:18">
      <c r="A286" s="14">
        <v>40592</v>
      </c>
      <c r="B286" s="15">
        <v>266.45</v>
      </c>
      <c r="C286" s="15">
        <v>271.64999999999998</v>
      </c>
      <c r="F286" s="53">
        <v>1</v>
      </c>
      <c r="G286">
        <v>17</v>
      </c>
      <c r="H286">
        <v>2014</v>
      </c>
      <c r="I286" s="41">
        <v>41656</v>
      </c>
      <c r="J286" s="54">
        <v>1964.16</v>
      </c>
      <c r="K286" s="21">
        <v>499</v>
      </c>
      <c r="L286" s="22">
        <v>7.8324999999999996</v>
      </c>
      <c r="M286" s="23">
        <v>13.244999999999999</v>
      </c>
      <c r="N286" s="22">
        <v>2.8083</v>
      </c>
      <c r="O286" s="22">
        <v>2.3426</v>
      </c>
      <c r="P286" s="21">
        <v>12090</v>
      </c>
      <c r="Q286" s="20">
        <v>61.545000000000002</v>
      </c>
      <c r="R286" s="21"/>
    </row>
    <row r="287" spans="1:18">
      <c r="A287" s="14">
        <v>40596</v>
      </c>
      <c r="B287" s="15">
        <v>269.89999999999998</v>
      </c>
      <c r="C287" s="15">
        <v>273.60000000000002</v>
      </c>
      <c r="F287" s="53">
        <v>1</v>
      </c>
      <c r="G287">
        <v>20</v>
      </c>
      <c r="H287">
        <v>2014</v>
      </c>
      <c r="I287" s="41">
        <v>41659</v>
      </c>
      <c r="J287" s="54">
        <v>1964.17</v>
      </c>
      <c r="K287" s="21">
        <v>500.2</v>
      </c>
      <c r="L287" s="22">
        <v>7.8265000000000002</v>
      </c>
      <c r="M287" s="23">
        <v>13.2378</v>
      </c>
      <c r="N287" s="22">
        <v>2.8109999999999999</v>
      </c>
      <c r="O287" s="22">
        <v>2.3441999999999998</v>
      </c>
      <c r="P287" s="21">
        <v>12110</v>
      </c>
      <c r="Q287" s="20">
        <v>61.625</v>
      </c>
      <c r="R287" s="21"/>
    </row>
    <row r="288" spans="1:18">
      <c r="A288" s="14">
        <v>40597</v>
      </c>
      <c r="B288" s="15">
        <v>268</v>
      </c>
      <c r="C288" s="15">
        <v>268.75</v>
      </c>
      <c r="F288" s="53">
        <v>1</v>
      </c>
      <c r="G288">
        <v>21</v>
      </c>
      <c r="H288">
        <v>2014</v>
      </c>
      <c r="I288" s="41">
        <v>41660</v>
      </c>
      <c r="J288" s="54">
        <v>1985.99</v>
      </c>
      <c r="K288" s="21">
        <v>499.9</v>
      </c>
      <c r="L288" s="22">
        <v>7.8334999999999999</v>
      </c>
      <c r="M288" s="23">
        <v>13.2767</v>
      </c>
      <c r="N288" s="22">
        <v>2.8079999999999998</v>
      </c>
      <c r="O288" s="22">
        <v>2.3574999999999999</v>
      </c>
      <c r="P288" s="21">
        <v>12132.5</v>
      </c>
      <c r="Q288" s="20">
        <v>61.884999999999998</v>
      </c>
      <c r="R288" s="21"/>
    </row>
    <row r="289" spans="1:18">
      <c r="A289" s="14">
        <v>40598</v>
      </c>
      <c r="B289" s="15">
        <v>262</v>
      </c>
      <c r="C289" s="15">
        <v>264.2</v>
      </c>
      <c r="F289" s="53">
        <v>1</v>
      </c>
      <c r="G289">
        <v>22</v>
      </c>
      <c r="H289">
        <v>2014</v>
      </c>
      <c r="I289" s="41">
        <v>41661</v>
      </c>
      <c r="J289" s="54">
        <v>1988.62</v>
      </c>
      <c r="K289" s="21">
        <v>501.02</v>
      </c>
      <c r="L289" s="22">
        <v>7.7770000000000001</v>
      </c>
      <c r="M289" s="23">
        <v>13.3088</v>
      </c>
      <c r="N289" s="22">
        <v>2.8090000000000002</v>
      </c>
      <c r="O289" s="22">
        <v>2.3731</v>
      </c>
      <c r="P289" s="21">
        <v>12140</v>
      </c>
      <c r="Q289" s="20">
        <v>61.82</v>
      </c>
      <c r="R289" s="21"/>
    </row>
    <row r="290" spans="1:18">
      <c r="A290" s="14">
        <v>40599</v>
      </c>
      <c r="B290" s="15">
        <v>264.8</v>
      </c>
      <c r="C290" s="15">
        <v>267.7</v>
      </c>
      <c r="F290" s="53">
        <v>1</v>
      </c>
      <c r="G290">
        <v>23</v>
      </c>
      <c r="H290">
        <v>2014</v>
      </c>
      <c r="I290" s="41">
        <v>41662</v>
      </c>
      <c r="J290" s="54">
        <v>1997.82</v>
      </c>
      <c r="K290" s="21">
        <v>500.7</v>
      </c>
      <c r="L290" s="22">
        <v>7.7729999999999997</v>
      </c>
      <c r="M290" s="23">
        <v>13.401199999999999</v>
      </c>
      <c r="N290" s="22">
        <v>2.8134999999999999</v>
      </c>
      <c r="O290" s="22">
        <v>2.3959000000000001</v>
      </c>
      <c r="P290" s="21">
        <v>12165</v>
      </c>
      <c r="Q290" s="20">
        <v>61.933</v>
      </c>
      <c r="R290" s="21"/>
    </row>
    <row r="291" spans="1:18">
      <c r="A291" s="14">
        <v>40602</v>
      </c>
      <c r="B291" s="15">
        <v>267.55</v>
      </c>
      <c r="C291" s="15">
        <v>271.7</v>
      </c>
      <c r="F291" s="53">
        <v>1</v>
      </c>
      <c r="G291">
        <v>24</v>
      </c>
      <c r="H291">
        <v>2014</v>
      </c>
      <c r="I291" s="41">
        <v>41663</v>
      </c>
      <c r="J291" s="54">
        <v>1994.68</v>
      </c>
      <c r="K291" s="21">
        <v>500.5</v>
      </c>
      <c r="L291" s="22">
        <v>7.8535000000000004</v>
      </c>
      <c r="M291" s="23">
        <v>13.458</v>
      </c>
      <c r="N291" s="22">
        <v>2.8235000000000001</v>
      </c>
      <c r="O291" s="22">
        <v>2.3982000000000001</v>
      </c>
      <c r="P291" s="21">
        <v>12180</v>
      </c>
      <c r="Q291" s="20">
        <v>62.695</v>
      </c>
      <c r="R291" s="21"/>
    </row>
    <row r="292" spans="1:18">
      <c r="A292" s="14">
        <v>40603</v>
      </c>
      <c r="B292" s="15">
        <v>265.55</v>
      </c>
      <c r="C292" s="15">
        <v>269.3</v>
      </c>
      <c r="F292" s="53">
        <v>1</v>
      </c>
      <c r="G292">
        <v>27</v>
      </c>
      <c r="H292">
        <v>2014</v>
      </c>
      <c r="I292" s="41">
        <v>41666</v>
      </c>
      <c r="J292" s="54">
        <v>2008</v>
      </c>
      <c r="K292" s="21">
        <v>503.4</v>
      </c>
      <c r="L292" s="22">
        <v>7.8525</v>
      </c>
      <c r="M292" s="23">
        <v>13.366</v>
      </c>
      <c r="N292" s="22">
        <v>2.8224999999999998</v>
      </c>
      <c r="O292" s="22">
        <v>2.4215</v>
      </c>
      <c r="P292" s="21">
        <v>12230</v>
      </c>
      <c r="Q292" s="20">
        <v>63.104999999999997</v>
      </c>
      <c r="R292" s="21"/>
    </row>
    <row r="293" spans="1:18">
      <c r="A293" s="14">
        <v>40604</v>
      </c>
      <c r="B293" s="15">
        <v>266</v>
      </c>
      <c r="C293" s="15">
        <v>269.5</v>
      </c>
      <c r="F293" s="53">
        <v>1</v>
      </c>
      <c r="G293">
        <v>28</v>
      </c>
      <c r="H293">
        <v>2014</v>
      </c>
      <c r="I293" s="41">
        <v>41667</v>
      </c>
      <c r="J293" s="54">
        <v>2002.34</v>
      </c>
      <c r="K293" s="21">
        <v>503.1</v>
      </c>
      <c r="L293" s="22">
        <v>7.8414999999999999</v>
      </c>
      <c r="M293" s="23">
        <v>13.255100000000001</v>
      </c>
      <c r="N293" s="22">
        <v>2.8250000000000002</v>
      </c>
      <c r="O293" s="22">
        <v>2.4262999999999999</v>
      </c>
      <c r="P293" s="21">
        <v>12190</v>
      </c>
      <c r="Q293" s="20">
        <v>62.575000000000003</v>
      </c>
      <c r="R293" s="21"/>
    </row>
    <row r="294" spans="1:18">
      <c r="A294" s="14">
        <v>40605</v>
      </c>
      <c r="B294" s="15">
        <v>268.64999999999998</v>
      </c>
      <c r="C294" s="15">
        <v>274.5</v>
      </c>
      <c r="F294" s="53">
        <v>1</v>
      </c>
      <c r="G294">
        <v>29</v>
      </c>
      <c r="H294">
        <v>2014</v>
      </c>
      <c r="I294" s="41">
        <v>41668</v>
      </c>
      <c r="J294" s="54">
        <v>2007</v>
      </c>
      <c r="K294" s="21">
        <v>504</v>
      </c>
      <c r="L294" s="22">
        <v>7.8295000000000003</v>
      </c>
      <c r="M294" s="23">
        <v>13.3985</v>
      </c>
      <c r="N294" s="22">
        <v>2.8250000000000002</v>
      </c>
      <c r="O294" s="22">
        <v>2.4352</v>
      </c>
      <c r="P294" s="21">
        <v>12165</v>
      </c>
      <c r="Q294" s="20">
        <v>62.475000000000001</v>
      </c>
      <c r="R294" s="21"/>
    </row>
    <row r="295" spans="1:18">
      <c r="A295" s="14">
        <v>40606</v>
      </c>
      <c r="B295" s="15">
        <v>273.35000000000002</v>
      </c>
      <c r="C295" s="15">
        <v>272.89999999999998</v>
      </c>
      <c r="F295" s="53">
        <v>1</v>
      </c>
      <c r="G295">
        <v>30</v>
      </c>
      <c r="H295">
        <v>2014</v>
      </c>
      <c r="I295" s="41">
        <v>41669</v>
      </c>
      <c r="J295" s="54">
        <v>2011</v>
      </c>
      <c r="K295" s="21">
        <v>510.5</v>
      </c>
      <c r="L295" s="22">
        <v>7.8174999999999999</v>
      </c>
      <c r="M295" s="23">
        <v>13.3652</v>
      </c>
      <c r="N295" s="22">
        <v>2.8170000000000002</v>
      </c>
      <c r="O295" s="22">
        <v>2.4117999999999999</v>
      </c>
      <c r="P295" s="21">
        <v>12210</v>
      </c>
      <c r="Q295" s="20">
        <v>62.564999999999998</v>
      </c>
      <c r="R295" s="21"/>
    </row>
    <row r="296" spans="1:18">
      <c r="A296" s="14">
        <v>40609</v>
      </c>
      <c r="B296" s="15">
        <v>275</v>
      </c>
      <c r="C296" s="15">
        <v>280.95</v>
      </c>
      <c r="F296" s="53">
        <v>1</v>
      </c>
      <c r="G296">
        <v>31</v>
      </c>
      <c r="H296">
        <v>2014</v>
      </c>
      <c r="I296" s="41">
        <v>41670</v>
      </c>
      <c r="J296" s="54">
        <v>2015.92</v>
      </c>
      <c r="K296" s="21">
        <v>510.3</v>
      </c>
      <c r="L296" s="22">
        <v>7.7809999999999997</v>
      </c>
      <c r="M296" s="23">
        <v>13.356199999999999</v>
      </c>
      <c r="N296" s="22">
        <v>2.823</v>
      </c>
      <c r="O296" s="22">
        <v>2.4127000000000001</v>
      </c>
      <c r="P296" s="21">
        <v>12210</v>
      </c>
      <c r="Q296" s="20">
        <v>62.685000000000002</v>
      </c>
      <c r="R296" s="21"/>
    </row>
    <row r="297" spans="1:18">
      <c r="A297" s="14">
        <v>40610</v>
      </c>
      <c r="B297" s="15">
        <v>282.55</v>
      </c>
      <c r="C297" s="15">
        <v>287.14999999999998</v>
      </c>
      <c r="F297" s="53">
        <v>2</v>
      </c>
      <c r="G297">
        <v>3</v>
      </c>
      <c r="H297">
        <v>2014</v>
      </c>
      <c r="I297" s="41">
        <v>41673</v>
      </c>
      <c r="J297" s="54">
        <v>2046.5</v>
      </c>
      <c r="K297" s="21">
        <v>510.2</v>
      </c>
      <c r="L297" s="22">
        <v>7.8005000000000004</v>
      </c>
      <c r="M297" s="23">
        <v>13.541499999999999</v>
      </c>
      <c r="N297" s="22">
        <v>2.8260000000000001</v>
      </c>
      <c r="O297" s="22">
        <v>2.4401999999999999</v>
      </c>
      <c r="P297" s="21">
        <v>12240</v>
      </c>
      <c r="Q297" s="20">
        <v>62.564999999999998</v>
      </c>
      <c r="R297" s="21"/>
    </row>
    <row r="298" spans="1:18">
      <c r="A298" s="14">
        <v>40611</v>
      </c>
      <c r="B298" s="15">
        <v>289</v>
      </c>
      <c r="C298" s="15">
        <v>294.39999999999998</v>
      </c>
      <c r="F298" s="53">
        <v>2</v>
      </c>
      <c r="G298">
        <v>4</v>
      </c>
      <c r="H298">
        <v>2014</v>
      </c>
      <c r="I298" s="41">
        <v>41674</v>
      </c>
      <c r="J298" s="54">
        <v>2035.2</v>
      </c>
      <c r="K298" s="21">
        <v>510.05</v>
      </c>
      <c r="L298" s="22">
        <v>7.7945000000000002</v>
      </c>
      <c r="M298" s="23">
        <v>13.3223</v>
      </c>
      <c r="N298" s="22">
        <v>2.8260000000000001</v>
      </c>
      <c r="O298" s="22">
        <v>2.4055</v>
      </c>
      <c r="P298" s="21">
        <v>12202.5</v>
      </c>
      <c r="Q298" s="20">
        <v>62.53</v>
      </c>
      <c r="R298" s="21"/>
    </row>
    <row r="299" spans="1:18">
      <c r="A299" s="14">
        <v>40612</v>
      </c>
      <c r="B299" s="15">
        <v>279.85000000000002</v>
      </c>
      <c r="C299" s="15">
        <v>280.3</v>
      </c>
      <c r="F299" s="53">
        <v>2</v>
      </c>
      <c r="G299">
        <v>5</v>
      </c>
      <c r="H299">
        <v>2014</v>
      </c>
      <c r="I299" s="41">
        <v>41675</v>
      </c>
      <c r="J299" s="54">
        <v>2050</v>
      </c>
      <c r="K299" s="21">
        <v>510</v>
      </c>
      <c r="L299" s="22">
        <v>7.7220000000000004</v>
      </c>
      <c r="M299" s="23">
        <v>13.2918</v>
      </c>
      <c r="N299" s="22">
        <v>2.8260000000000001</v>
      </c>
      <c r="O299" s="22">
        <v>2.3986000000000001</v>
      </c>
      <c r="P299" s="21">
        <v>12192.5</v>
      </c>
      <c r="Q299" s="20">
        <v>62.6</v>
      </c>
      <c r="R299" s="21"/>
    </row>
    <row r="300" spans="1:18">
      <c r="A300" s="14">
        <v>40613</v>
      </c>
      <c r="B300" s="15">
        <v>273.75</v>
      </c>
      <c r="C300" s="15">
        <v>273.7</v>
      </c>
      <c r="F300" s="53">
        <v>2</v>
      </c>
      <c r="G300">
        <v>6</v>
      </c>
      <c r="H300">
        <v>2014</v>
      </c>
      <c r="I300" s="41">
        <v>41676</v>
      </c>
      <c r="J300" s="54">
        <v>2044</v>
      </c>
      <c r="K300" s="21">
        <v>509.9</v>
      </c>
      <c r="L300" s="22">
        <v>7.7965</v>
      </c>
      <c r="M300" s="23">
        <v>13.2773</v>
      </c>
      <c r="N300" s="22">
        <v>2.823</v>
      </c>
      <c r="O300" s="22">
        <v>2.3824999999999998</v>
      </c>
      <c r="P300" s="21">
        <v>12185</v>
      </c>
      <c r="Q300" s="20">
        <v>62.38</v>
      </c>
      <c r="R300" s="21"/>
    </row>
    <row r="301" spans="1:18">
      <c r="A301" s="14">
        <v>40616</v>
      </c>
      <c r="B301" s="15">
        <v>271.45</v>
      </c>
      <c r="C301" s="15">
        <v>273.14999999999998</v>
      </c>
      <c r="F301" s="53">
        <v>2</v>
      </c>
      <c r="G301">
        <v>7</v>
      </c>
      <c r="H301">
        <v>2014</v>
      </c>
      <c r="I301" s="41">
        <v>41677</v>
      </c>
      <c r="J301" s="54">
        <v>2048</v>
      </c>
      <c r="K301" s="21">
        <v>509.6</v>
      </c>
      <c r="L301" s="22">
        <v>7.7370000000000001</v>
      </c>
      <c r="M301" s="23">
        <v>13.285299999999999</v>
      </c>
      <c r="N301" s="22">
        <v>2.82</v>
      </c>
      <c r="O301" s="22">
        <v>2.3801999999999999</v>
      </c>
      <c r="P301" s="21">
        <v>12160</v>
      </c>
      <c r="Q301" s="20">
        <v>62.305</v>
      </c>
      <c r="R301" s="21"/>
    </row>
    <row r="302" spans="1:18">
      <c r="A302" s="14">
        <v>40617</v>
      </c>
      <c r="B302" s="15">
        <v>261.60000000000002</v>
      </c>
      <c r="C302" s="15">
        <v>262.45</v>
      </c>
      <c r="F302" s="53">
        <v>2</v>
      </c>
      <c r="G302">
        <v>10</v>
      </c>
      <c r="H302">
        <v>2014</v>
      </c>
      <c r="I302" s="41">
        <v>41680</v>
      </c>
      <c r="J302" s="54">
        <v>2049.88</v>
      </c>
      <c r="K302" s="21">
        <v>509.5</v>
      </c>
      <c r="L302" s="22">
        <v>7.7664999999999997</v>
      </c>
      <c r="M302" s="23">
        <v>13.3262</v>
      </c>
      <c r="N302" s="22">
        <v>2.8210000000000002</v>
      </c>
      <c r="O302" s="22">
        <v>2.4089999999999998</v>
      </c>
      <c r="P302" s="21">
        <v>12172.5</v>
      </c>
      <c r="Q302" s="20">
        <v>62.454999999999998</v>
      </c>
      <c r="R302" s="21"/>
    </row>
    <row r="303" spans="1:18">
      <c r="A303" s="14">
        <v>40618</v>
      </c>
      <c r="B303" s="15">
        <v>263</v>
      </c>
      <c r="C303" s="15">
        <v>264.55</v>
      </c>
      <c r="F303" s="53">
        <v>2</v>
      </c>
      <c r="G303">
        <v>11</v>
      </c>
      <c r="H303">
        <v>2014</v>
      </c>
      <c r="I303" s="41">
        <v>41681</v>
      </c>
      <c r="J303" s="54">
        <v>2036.54</v>
      </c>
      <c r="K303" s="21">
        <v>509.4</v>
      </c>
      <c r="L303" s="22">
        <v>7.71</v>
      </c>
      <c r="M303" s="23">
        <v>13.2845</v>
      </c>
      <c r="N303" s="22">
        <v>2.82</v>
      </c>
      <c r="O303" s="22">
        <v>2.4005000000000001</v>
      </c>
      <c r="P303" s="21">
        <v>12145</v>
      </c>
      <c r="Q303" s="20">
        <v>62.225000000000001</v>
      </c>
      <c r="R303" s="21"/>
    </row>
    <row r="304" spans="1:18">
      <c r="A304" s="14">
        <v>40619</v>
      </c>
      <c r="B304" s="15">
        <v>269.14999999999998</v>
      </c>
      <c r="C304" s="15">
        <v>271.39999999999998</v>
      </c>
      <c r="F304" s="53">
        <v>2</v>
      </c>
      <c r="G304">
        <v>12</v>
      </c>
      <c r="H304">
        <v>2014</v>
      </c>
      <c r="I304" s="41">
        <v>41682</v>
      </c>
      <c r="J304" s="54">
        <v>2030.5</v>
      </c>
      <c r="K304" s="21">
        <v>509.2</v>
      </c>
      <c r="L304" s="22">
        <v>7.7685000000000004</v>
      </c>
      <c r="M304" s="23">
        <v>13.322699999999999</v>
      </c>
      <c r="N304" s="22">
        <v>2.8170000000000002</v>
      </c>
      <c r="O304" s="22">
        <v>2.4255</v>
      </c>
      <c r="P304" s="21">
        <v>12085</v>
      </c>
      <c r="Q304" s="20">
        <v>62.094999999999999</v>
      </c>
      <c r="R304" s="21"/>
    </row>
    <row r="305" spans="1:18">
      <c r="A305" s="14">
        <v>40620</v>
      </c>
      <c r="B305" s="15">
        <v>275</v>
      </c>
      <c r="C305" s="15">
        <v>276.8</v>
      </c>
      <c r="F305" s="53">
        <v>2</v>
      </c>
      <c r="G305">
        <v>13</v>
      </c>
      <c r="H305">
        <v>2014</v>
      </c>
      <c r="I305" s="41">
        <v>41683</v>
      </c>
      <c r="J305" s="54">
        <v>2030.27</v>
      </c>
      <c r="K305" s="21">
        <v>508.95</v>
      </c>
      <c r="L305" s="22">
        <v>7.7554999999999996</v>
      </c>
      <c r="M305" s="23">
        <v>13.262</v>
      </c>
      <c r="N305" s="22">
        <v>2.8165</v>
      </c>
      <c r="O305" s="22">
        <v>2.3938000000000001</v>
      </c>
      <c r="P305" s="21">
        <v>11975</v>
      </c>
      <c r="Q305" s="20">
        <v>62.424999999999997</v>
      </c>
      <c r="R305" s="21"/>
    </row>
    <row r="306" spans="1:18">
      <c r="A306" s="14">
        <v>40623</v>
      </c>
      <c r="B306" s="15">
        <v>278.3</v>
      </c>
      <c r="C306" s="15">
        <v>275.75</v>
      </c>
      <c r="F306" s="53">
        <v>2</v>
      </c>
      <c r="G306">
        <v>14</v>
      </c>
      <c r="H306">
        <v>2014</v>
      </c>
      <c r="I306" s="41">
        <v>41684</v>
      </c>
      <c r="J306" s="54">
        <v>2016.75</v>
      </c>
      <c r="K306" s="21">
        <v>508.9</v>
      </c>
      <c r="L306" s="22">
        <v>7.7554999999999996</v>
      </c>
      <c r="M306" s="23">
        <v>13.2415</v>
      </c>
      <c r="N306" s="22">
        <v>2.8149999999999999</v>
      </c>
      <c r="O306" s="22">
        <v>2.3891</v>
      </c>
      <c r="P306" s="21">
        <v>11825</v>
      </c>
      <c r="Q306" s="20">
        <v>61.854999999999997</v>
      </c>
      <c r="R306" s="21"/>
    </row>
    <row r="307" spans="1:18">
      <c r="A307" s="14">
        <v>40624</v>
      </c>
      <c r="B307" s="15">
        <v>268.14999999999998</v>
      </c>
      <c r="C307" s="15">
        <v>273.45</v>
      </c>
      <c r="F307" s="53">
        <v>2</v>
      </c>
      <c r="G307">
        <v>17</v>
      </c>
      <c r="H307">
        <v>2014</v>
      </c>
      <c r="I307" s="41">
        <v>41687</v>
      </c>
      <c r="J307" s="54">
        <v>2017</v>
      </c>
      <c r="K307" s="21">
        <v>508.7</v>
      </c>
      <c r="L307" s="22">
        <v>7.7404999999999999</v>
      </c>
      <c r="M307" s="23">
        <v>13.2103</v>
      </c>
      <c r="N307" s="22">
        <v>2.8069999999999999</v>
      </c>
      <c r="O307" s="22">
        <v>2.39</v>
      </c>
      <c r="P307" s="21">
        <v>11785</v>
      </c>
      <c r="Q307" s="20">
        <v>61.844999999999999</v>
      </c>
      <c r="R307" s="21"/>
    </row>
    <row r="308" spans="1:18">
      <c r="A308" s="14">
        <v>40625</v>
      </c>
      <c r="B308" s="15">
        <v>268.39999999999998</v>
      </c>
      <c r="C308" s="15">
        <v>268.60000000000002</v>
      </c>
      <c r="F308" s="53">
        <v>2</v>
      </c>
      <c r="G308">
        <v>18</v>
      </c>
      <c r="H308">
        <v>2014</v>
      </c>
      <c r="I308" s="41">
        <v>41688</v>
      </c>
      <c r="J308" s="54">
        <v>2028.3</v>
      </c>
      <c r="K308" s="21">
        <v>508.45</v>
      </c>
      <c r="L308" s="22">
        <v>7.7525000000000004</v>
      </c>
      <c r="M308" s="23">
        <v>13.236499999999999</v>
      </c>
      <c r="N308" s="22">
        <v>2.8054999999999999</v>
      </c>
      <c r="O308" s="22">
        <v>2.3955000000000002</v>
      </c>
      <c r="P308" s="21">
        <v>11835</v>
      </c>
      <c r="Q308" s="20">
        <v>62.18</v>
      </c>
      <c r="R308" s="21"/>
    </row>
    <row r="309" spans="1:18">
      <c r="A309" s="14">
        <v>40626</v>
      </c>
      <c r="B309" s="15">
        <v>260.55</v>
      </c>
      <c r="C309" s="15">
        <v>265.8</v>
      </c>
      <c r="F309" s="53">
        <v>2</v>
      </c>
      <c r="G309">
        <v>19</v>
      </c>
      <c r="H309">
        <v>2014</v>
      </c>
      <c r="I309" s="41">
        <v>41689</v>
      </c>
      <c r="J309" s="54">
        <v>2049.12</v>
      </c>
      <c r="K309" s="21">
        <v>508.3</v>
      </c>
      <c r="L309" s="22">
        <v>7.7545000000000002</v>
      </c>
      <c r="M309" s="23">
        <v>13.3271</v>
      </c>
      <c r="N309" s="22">
        <v>2.8115000000000001</v>
      </c>
      <c r="O309" s="22">
        <v>2.3942000000000001</v>
      </c>
      <c r="P309" s="21">
        <v>11770</v>
      </c>
      <c r="Q309" s="20">
        <v>62.24</v>
      </c>
      <c r="R309" s="21"/>
    </row>
    <row r="310" spans="1:18">
      <c r="A310" s="14">
        <v>40627</v>
      </c>
      <c r="B310" s="15">
        <v>266.14999999999998</v>
      </c>
      <c r="C310" s="15">
        <v>268.60000000000002</v>
      </c>
      <c r="F310" s="53">
        <v>2</v>
      </c>
      <c r="G310">
        <v>20</v>
      </c>
      <c r="H310">
        <v>2014</v>
      </c>
      <c r="I310" s="41">
        <v>41690</v>
      </c>
      <c r="J310" s="54">
        <v>2044.92</v>
      </c>
      <c r="K310" s="21">
        <v>508</v>
      </c>
      <c r="L310" s="22">
        <v>7.7575000000000003</v>
      </c>
      <c r="M310" s="23">
        <v>13.278499999999999</v>
      </c>
      <c r="N310" s="22">
        <v>2.8075000000000001</v>
      </c>
      <c r="O310" s="22">
        <v>2.3704000000000001</v>
      </c>
      <c r="P310" s="21">
        <v>11812.5</v>
      </c>
      <c r="Q310" s="20">
        <v>62.24</v>
      </c>
      <c r="R310" s="21"/>
    </row>
    <row r="311" spans="1:18">
      <c r="A311" s="14">
        <v>40630</v>
      </c>
      <c r="B311" s="15">
        <v>263.05</v>
      </c>
      <c r="C311" s="15">
        <v>263.95</v>
      </c>
      <c r="F311" s="53">
        <v>2</v>
      </c>
      <c r="G311">
        <v>21</v>
      </c>
      <c r="H311">
        <v>2014</v>
      </c>
      <c r="I311" s="41">
        <v>41691</v>
      </c>
      <c r="J311" s="54">
        <v>2044.5</v>
      </c>
      <c r="K311" s="21">
        <v>507.7</v>
      </c>
      <c r="L311" s="22">
        <v>7.7445000000000004</v>
      </c>
      <c r="M311" s="23">
        <v>13.2615</v>
      </c>
      <c r="N311" s="22">
        <v>2.8065000000000002</v>
      </c>
      <c r="O311" s="22">
        <v>2.3456000000000001</v>
      </c>
      <c r="P311" s="21">
        <v>11740</v>
      </c>
      <c r="Q311" s="20">
        <v>62.14</v>
      </c>
      <c r="R311" s="21"/>
    </row>
    <row r="312" spans="1:18">
      <c r="A312" s="14">
        <v>40631</v>
      </c>
      <c r="B312" s="15">
        <v>257.8</v>
      </c>
      <c r="C312" s="15">
        <v>261.45</v>
      </c>
      <c r="F312" s="53">
        <v>2</v>
      </c>
      <c r="G312">
        <v>24</v>
      </c>
      <c r="H312">
        <v>2014</v>
      </c>
      <c r="I312" s="41">
        <v>41694</v>
      </c>
      <c r="J312" s="54">
        <v>2042.99</v>
      </c>
      <c r="K312" s="21">
        <v>507.5</v>
      </c>
      <c r="L312" s="22">
        <v>7.7374999999999998</v>
      </c>
      <c r="M312" s="23">
        <v>13.259</v>
      </c>
      <c r="N312" s="22">
        <v>2.8094999999999999</v>
      </c>
      <c r="O312" s="22">
        <v>2.3391999999999999</v>
      </c>
      <c r="P312" s="21">
        <v>11647.5</v>
      </c>
      <c r="Q312" s="20">
        <v>62.075000000000003</v>
      </c>
      <c r="R312" s="21"/>
    </row>
    <row r="313" spans="1:18">
      <c r="A313" s="14">
        <v>40632</v>
      </c>
      <c r="B313" s="15">
        <v>259.10000000000002</v>
      </c>
      <c r="C313" s="15">
        <v>264.8</v>
      </c>
      <c r="F313" s="53">
        <v>2</v>
      </c>
      <c r="G313">
        <v>25</v>
      </c>
      <c r="H313">
        <v>2014</v>
      </c>
      <c r="I313" s="41">
        <v>41695</v>
      </c>
      <c r="J313" s="54">
        <v>2043.5</v>
      </c>
      <c r="K313" s="21">
        <v>507.5</v>
      </c>
      <c r="L313" s="22">
        <v>7.7454999999999998</v>
      </c>
      <c r="M313" s="23">
        <v>13.2295</v>
      </c>
      <c r="N313" s="22">
        <v>2.8090000000000002</v>
      </c>
      <c r="O313" s="22">
        <v>2.3411</v>
      </c>
      <c r="P313" s="21">
        <v>11667.5</v>
      </c>
      <c r="Q313" s="20">
        <v>61.984999999999999</v>
      </c>
      <c r="R313" s="21"/>
    </row>
    <row r="314" spans="1:18">
      <c r="A314" s="14">
        <v>40633</v>
      </c>
      <c r="B314" s="15">
        <v>262.05</v>
      </c>
      <c r="C314" s="15">
        <v>264.14999999999998</v>
      </c>
      <c r="F314" s="53">
        <v>2</v>
      </c>
      <c r="G314">
        <v>26</v>
      </c>
      <c r="H314">
        <v>2014</v>
      </c>
      <c r="I314" s="41">
        <v>41696</v>
      </c>
      <c r="J314" s="54">
        <v>2053.5</v>
      </c>
      <c r="K314" s="21">
        <v>507.5</v>
      </c>
      <c r="L314" s="22">
        <v>7.6859999999999999</v>
      </c>
      <c r="M314" s="23">
        <v>13.332000000000001</v>
      </c>
      <c r="N314" s="22">
        <v>2.8119999999999998</v>
      </c>
      <c r="O314" s="22">
        <v>2.3496999999999999</v>
      </c>
      <c r="P314" s="21">
        <v>11640</v>
      </c>
      <c r="Q314" s="20">
        <v>61.984999999999999</v>
      </c>
      <c r="R314" s="21"/>
    </row>
    <row r="315" spans="1:18">
      <c r="A315" s="14">
        <v>40634</v>
      </c>
      <c r="B315" s="15">
        <v>258.8</v>
      </c>
      <c r="C315" s="15">
        <v>259.89999999999998</v>
      </c>
      <c r="F315" s="53">
        <v>2</v>
      </c>
      <c r="G315">
        <v>27</v>
      </c>
      <c r="H315">
        <v>2014</v>
      </c>
      <c r="I315" s="41">
        <v>41697</v>
      </c>
      <c r="J315" s="54">
        <v>2053.23</v>
      </c>
      <c r="K315" s="21">
        <v>507.5</v>
      </c>
      <c r="L315" s="22">
        <v>7.6859999999999999</v>
      </c>
      <c r="M315" s="23">
        <v>13.262</v>
      </c>
      <c r="N315" s="22">
        <v>2.8090000000000002</v>
      </c>
      <c r="O315" s="22">
        <v>2.3220000000000001</v>
      </c>
      <c r="P315" s="21">
        <v>11665</v>
      </c>
      <c r="Q315" s="20">
        <v>61.994999999999997</v>
      </c>
      <c r="R315" s="21"/>
    </row>
    <row r="316" spans="1:18">
      <c r="A316" s="14">
        <v>40637</v>
      </c>
      <c r="B316" s="15">
        <v>255.65</v>
      </c>
      <c r="C316" s="15">
        <v>256.05</v>
      </c>
      <c r="F316" s="53">
        <v>2</v>
      </c>
      <c r="G316">
        <v>28</v>
      </c>
      <c r="H316">
        <v>2014</v>
      </c>
      <c r="I316" s="41">
        <v>41698</v>
      </c>
      <c r="J316" s="54">
        <v>2044</v>
      </c>
      <c r="K316" s="21">
        <v>507.5</v>
      </c>
      <c r="L316" s="22">
        <v>7.7454999999999998</v>
      </c>
      <c r="M316" s="23">
        <v>13.244999999999999</v>
      </c>
      <c r="N316" s="22">
        <v>2.798</v>
      </c>
      <c r="O316" s="22">
        <v>2.3384</v>
      </c>
      <c r="P316" s="21">
        <v>11609</v>
      </c>
      <c r="Q316" s="20">
        <v>61.795000000000002</v>
      </c>
      <c r="R316" s="21"/>
    </row>
    <row r="317" spans="1:18">
      <c r="A317" s="14">
        <v>40638</v>
      </c>
      <c r="B317" s="15">
        <v>254.05</v>
      </c>
      <c r="C317" s="15">
        <v>268.25</v>
      </c>
      <c r="F317" s="53">
        <v>3</v>
      </c>
      <c r="G317">
        <v>3</v>
      </c>
      <c r="H317">
        <v>2014</v>
      </c>
      <c r="I317" s="41">
        <v>41701</v>
      </c>
      <c r="J317" s="54">
        <v>2053.6</v>
      </c>
      <c r="K317" s="21">
        <v>543.5</v>
      </c>
      <c r="L317" s="22">
        <v>7.6669999999999998</v>
      </c>
      <c r="M317" s="23">
        <v>13.333</v>
      </c>
      <c r="N317" s="22">
        <v>2.8054999999999999</v>
      </c>
      <c r="O317" s="22">
        <v>2.3441000000000001</v>
      </c>
      <c r="P317" s="21">
        <v>11589.5</v>
      </c>
      <c r="Q317" s="20">
        <v>62.045000000000002</v>
      </c>
      <c r="R317" s="21"/>
    </row>
    <row r="318" spans="1:18">
      <c r="A318" s="14">
        <v>40639</v>
      </c>
      <c r="B318" s="15">
        <v>264.25</v>
      </c>
      <c r="C318" s="15">
        <v>265.14999999999998</v>
      </c>
      <c r="F318" s="53">
        <v>3</v>
      </c>
      <c r="G318">
        <v>4</v>
      </c>
      <c r="H318">
        <v>2014</v>
      </c>
      <c r="I318" s="41">
        <v>41702</v>
      </c>
      <c r="J318" s="54">
        <v>2048.31</v>
      </c>
      <c r="K318" s="21">
        <v>545</v>
      </c>
      <c r="L318" s="22">
        <v>7.7294999999999998</v>
      </c>
      <c r="M318" s="23">
        <v>13.281700000000001</v>
      </c>
      <c r="N318" s="22">
        <v>2.8029999999999999</v>
      </c>
      <c r="O318" s="22">
        <v>2.3412000000000002</v>
      </c>
      <c r="P318" s="21">
        <v>11595</v>
      </c>
      <c r="Q318" s="20">
        <v>61.905000000000001</v>
      </c>
      <c r="R318" s="21"/>
    </row>
    <row r="319" spans="1:18">
      <c r="A319" s="14">
        <v>40640</v>
      </c>
      <c r="B319" s="15">
        <v>265.10000000000002</v>
      </c>
      <c r="C319" s="15">
        <v>272.8</v>
      </c>
      <c r="F319" s="53">
        <v>3</v>
      </c>
      <c r="G319">
        <v>5</v>
      </c>
      <c r="H319">
        <v>2014</v>
      </c>
      <c r="I319" s="41">
        <v>41703</v>
      </c>
      <c r="J319" s="54">
        <v>2039.54</v>
      </c>
      <c r="K319" s="21">
        <v>545</v>
      </c>
      <c r="L319" s="22">
        <v>7.7305000000000001</v>
      </c>
      <c r="M319" s="23">
        <v>13.238300000000001</v>
      </c>
      <c r="N319" s="22">
        <v>2.8</v>
      </c>
      <c r="O319" s="22">
        <v>2.3180999999999998</v>
      </c>
      <c r="P319" s="21">
        <v>11581.5</v>
      </c>
      <c r="Q319" s="20">
        <v>61.755000000000003</v>
      </c>
      <c r="R319" s="21"/>
    </row>
    <row r="320" spans="1:18">
      <c r="A320" s="14">
        <v>40641</v>
      </c>
      <c r="B320" s="15">
        <v>272.10000000000002</v>
      </c>
      <c r="C320" s="15">
        <v>274.95</v>
      </c>
      <c r="F320" s="53">
        <v>3</v>
      </c>
      <c r="G320">
        <v>6</v>
      </c>
      <c r="H320">
        <v>2014</v>
      </c>
      <c r="I320" s="41">
        <v>41704</v>
      </c>
      <c r="J320" s="54">
        <v>2032.63</v>
      </c>
      <c r="K320" s="21">
        <v>545</v>
      </c>
      <c r="L320" s="22">
        <v>7.7355</v>
      </c>
      <c r="M320" s="23">
        <v>13.152200000000001</v>
      </c>
      <c r="N320" s="22">
        <v>2.8</v>
      </c>
      <c r="O320" s="22">
        <v>2.3231999999999999</v>
      </c>
      <c r="P320" s="21">
        <v>11472.5</v>
      </c>
      <c r="Q320" s="20">
        <v>61.115000000000002</v>
      </c>
      <c r="R320" s="21"/>
    </row>
    <row r="321" spans="1:18">
      <c r="A321" s="14">
        <v>40644</v>
      </c>
      <c r="B321" s="15">
        <v>269.85000000000002</v>
      </c>
      <c r="C321" s="15">
        <v>274.60000000000002</v>
      </c>
      <c r="F321" s="53">
        <v>3</v>
      </c>
      <c r="G321">
        <v>7</v>
      </c>
      <c r="H321">
        <v>2014</v>
      </c>
      <c r="I321" s="41">
        <v>41705</v>
      </c>
      <c r="J321" s="54">
        <v>2037.15</v>
      </c>
      <c r="K321" s="21">
        <v>554</v>
      </c>
      <c r="L321" s="22">
        <v>7.7435</v>
      </c>
      <c r="M321" s="23">
        <v>13.1922</v>
      </c>
      <c r="N321" s="22">
        <v>2.8025000000000002</v>
      </c>
      <c r="O321" s="22">
        <v>2.3405999999999998</v>
      </c>
      <c r="P321" s="21">
        <v>11439.5</v>
      </c>
      <c r="Q321" s="20">
        <v>61.085000000000001</v>
      </c>
      <c r="R321" s="21"/>
    </row>
    <row r="322" spans="1:18">
      <c r="A322" s="14">
        <v>40645</v>
      </c>
      <c r="B322" s="15">
        <v>270.2</v>
      </c>
      <c r="C322" s="15">
        <v>273.8</v>
      </c>
      <c r="F322" s="53">
        <v>3</v>
      </c>
      <c r="G322">
        <v>10</v>
      </c>
      <c r="H322">
        <v>2014</v>
      </c>
      <c r="I322" s="41">
        <v>41708</v>
      </c>
      <c r="J322" s="54">
        <v>2041.6</v>
      </c>
      <c r="K322" s="21">
        <v>559.5</v>
      </c>
      <c r="L322" s="22">
        <v>7.7504999999999997</v>
      </c>
      <c r="M322" s="23">
        <v>13.215</v>
      </c>
      <c r="N322" s="22">
        <v>2.8050000000000002</v>
      </c>
      <c r="O322" s="22">
        <v>2.3498000000000001</v>
      </c>
      <c r="P322" s="21">
        <v>11365</v>
      </c>
      <c r="Q322" s="20">
        <v>60.844999999999999</v>
      </c>
      <c r="R322" s="21"/>
    </row>
    <row r="323" spans="1:18">
      <c r="A323" s="14">
        <v>40646</v>
      </c>
      <c r="B323" s="15">
        <v>272.35000000000002</v>
      </c>
      <c r="C323" s="15">
        <v>280.7</v>
      </c>
      <c r="F323" s="53">
        <v>3</v>
      </c>
      <c r="G323">
        <v>11</v>
      </c>
      <c r="H323">
        <v>2014</v>
      </c>
      <c r="I323" s="41">
        <v>41709</v>
      </c>
      <c r="J323" s="54">
        <v>2044.8</v>
      </c>
      <c r="K323" s="21">
        <v>558.5</v>
      </c>
      <c r="L323" s="22">
        <v>7.665</v>
      </c>
      <c r="M323" s="23">
        <v>13.28</v>
      </c>
      <c r="N323" s="22">
        <v>2.8012999999999999</v>
      </c>
      <c r="O323" s="22">
        <v>2.3641999999999999</v>
      </c>
      <c r="P323" s="21">
        <v>11395</v>
      </c>
      <c r="Q323" s="20">
        <v>60.945</v>
      </c>
      <c r="R323" s="21"/>
    </row>
    <row r="324" spans="1:18">
      <c r="A324" s="14">
        <v>40647</v>
      </c>
      <c r="B324" s="15">
        <v>279.14999999999998</v>
      </c>
      <c r="C324" s="15">
        <v>282.39999999999998</v>
      </c>
      <c r="F324" s="53">
        <v>3</v>
      </c>
      <c r="G324">
        <v>12</v>
      </c>
      <c r="H324">
        <v>2014</v>
      </c>
      <c r="I324" s="41">
        <v>41710</v>
      </c>
      <c r="J324" s="54">
        <v>2046.56</v>
      </c>
      <c r="K324" s="21">
        <v>558.29999999999995</v>
      </c>
      <c r="L324" s="22">
        <v>7.7374999999999998</v>
      </c>
      <c r="M324" s="23">
        <v>13.2432</v>
      </c>
      <c r="N324" s="22">
        <v>2.8079999999999998</v>
      </c>
      <c r="O324" s="22">
        <v>2.3525</v>
      </c>
      <c r="P324" s="21">
        <v>11425</v>
      </c>
      <c r="Q324" s="20">
        <v>61.22</v>
      </c>
      <c r="R324" s="21"/>
    </row>
    <row r="325" spans="1:18">
      <c r="A325" s="14">
        <v>40648</v>
      </c>
      <c r="B325" s="15">
        <v>282.39999999999998</v>
      </c>
      <c r="C325" s="15">
        <v>288.10000000000002</v>
      </c>
      <c r="F325" s="53">
        <v>3</v>
      </c>
      <c r="G325">
        <v>13</v>
      </c>
      <c r="H325">
        <v>2014</v>
      </c>
      <c r="I325" s="41">
        <v>41711</v>
      </c>
      <c r="J325" s="54">
        <v>2048.62</v>
      </c>
      <c r="K325" s="21">
        <v>558.1</v>
      </c>
      <c r="L325" s="22">
        <v>7.7294999999999998</v>
      </c>
      <c r="M325" s="23">
        <v>13.291700000000001</v>
      </c>
      <c r="N325" s="22">
        <v>2.806</v>
      </c>
      <c r="O325" s="22">
        <v>2.3641000000000001</v>
      </c>
      <c r="P325" s="21">
        <v>11382.5</v>
      </c>
      <c r="Q325" s="20">
        <v>61.174999999999997</v>
      </c>
      <c r="R325" s="21"/>
    </row>
    <row r="326" spans="1:18">
      <c r="A326" s="14">
        <v>40651</v>
      </c>
      <c r="B326" s="15">
        <v>282.8</v>
      </c>
      <c r="C326" s="15">
        <v>284.45</v>
      </c>
      <c r="F326" s="53">
        <v>3</v>
      </c>
      <c r="G326">
        <v>14</v>
      </c>
      <c r="H326">
        <v>2014</v>
      </c>
      <c r="I326" s="41">
        <v>41712</v>
      </c>
      <c r="J326" s="54">
        <v>2041.91</v>
      </c>
      <c r="K326" s="21">
        <v>558</v>
      </c>
      <c r="L326" s="22">
        <v>7.6429999999999998</v>
      </c>
      <c r="M326" s="23">
        <v>13.2088</v>
      </c>
      <c r="N326" s="22">
        <v>2.8039999999999998</v>
      </c>
      <c r="O326" s="22">
        <v>2.3464999999999998</v>
      </c>
      <c r="P326" s="21">
        <v>11355</v>
      </c>
      <c r="Q326" s="20">
        <v>61.204999999999998</v>
      </c>
      <c r="R326" s="21"/>
    </row>
    <row r="327" spans="1:18">
      <c r="A327" s="14">
        <v>40652</v>
      </c>
      <c r="B327" s="15">
        <v>283.35000000000002</v>
      </c>
      <c r="C327" s="15">
        <v>291.2</v>
      </c>
      <c r="F327" s="53">
        <v>3</v>
      </c>
      <c r="G327">
        <v>17</v>
      </c>
      <c r="H327">
        <v>2014</v>
      </c>
      <c r="I327" s="41">
        <v>41715</v>
      </c>
      <c r="J327" s="54">
        <v>2034</v>
      </c>
      <c r="K327" s="21">
        <v>538.5</v>
      </c>
      <c r="L327" s="22">
        <v>7.7154999999999996</v>
      </c>
      <c r="M327" s="23">
        <v>13.155799999999999</v>
      </c>
      <c r="N327" s="22">
        <v>2.8045</v>
      </c>
      <c r="O327" s="22">
        <v>2.3494999999999999</v>
      </c>
      <c r="P327" s="21">
        <v>11292.5</v>
      </c>
      <c r="Q327" s="20">
        <v>61.09</v>
      </c>
      <c r="R327" s="21"/>
    </row>
    <row r="328" spans="1:18">
      <c r="A328" s="14">
        <v>40653</v>
      </c>
      <c r="B328" s="15">
        <v>291.39999999999998</v>
      </c>
      <c r="C328" s="15">
        <v>294.39999999999998</v>
      </c>
      <c r="F328" s="53">
        <v>3</v>
      </c>
      <c r="G328">
        <v>18</v>
      </c>
      <c r="H328">
        <v>2014</v>
      </c>
      <c r="I328" s="41">
        <v>41716</v>
      </c>
      <c r="J328" s="54">
        <v>2031</v>
      </c>
      <c r="K328" s="21">
        <v>537.5</v>
      </c>
      <c r="L328" s="22">
        <v>7.7154999999999996</v>
      </c>
      <c r="M328" s="23">
        <v>13.1555</v>
      </c>
      <c r="N328" s="22">
        <v>2.8113000000000001</v>
      </c>
      <c r="O328" s="22">
        <v>2.3342000000000001</v>
      </c>
      <c r="P328" s="21">
        <v>11320</v>
      </c>
      <c r="Q328" s="20">
        <v>61.115000000000002</v>
      </c>
      <c r="R328" s="21"/>
    </row>
    <row r="329" spans="1:18">
      <c r="A329" s="14">
        <v>40654</v>
      </c>
      <c r="B329" s="15">
        <v>291.2</v>
      </c>
      <c r="C329" s="15">
        <v>291.3</v>
      </c>
      <c r="F329" s="53">
        <v>3</v>
      </c>
      <c r="G329">
        <v>19</v>
      </c>
      <c r="H329">
        <v>2014</v>
      </c>
      <c r="I329" s="41">
        <v>41717</v>
      </c>
      <c r="J329" s="54">
        <v>2009.67</v>
      </c>
      <c r="K329" s="21">
        <v>537.5</v>
      </c>
      <c r="L329" s="22">
        <v>7.7184999999999997</v>
      </c>
      <c r="M329" s="23">
        <v>13.286</v>
      </c>
      <c r="N329" s="22">
        <v>2.8170000000000002</v>
      </c>
      <c r="O329" s="22">
        <v>2.3477999999999999</v>
      </c>
      <c r="P329" s="21">
        <v>11314</v>
      </c>
      <c r="Q329" s="20">
        <v>60.975000000000001</v>
      </c>
      <c r="R329" s="21"/>
    </row>
    <row r="330" spans="1:18">
      <c r="A330" s="14">
        <v>40658</v>
      </c>
      <c r="B330" s="15">
        <v>286.60000000000002</v>
      </c>
      <c r="C330" s="15">
        <v>287.89999999999998</v>
      </c>
      <c r="F330" s="53">
        <v>3</v>
      </c>
      <c r="G330">
        <v>20</v>
      </c>
      <c r="H330">
        <v>2014</v>
      </c>
      <c r="I330" s="41">
        <v>41718</v>
      </c>
      <c r="J330" s="54">
        <v>1993</v>
      </c>
      <c r="K330" s="21">
        <v>537.35</v>
      </c>
      <c r="L330" s="22">
        <v>7.7214999999999998</v>
      </c>
      <c r="M330" s="23">
        <v>13.259399999999999</v>
      </c>
      <c r="N330" s="22">
        <v>2.8134999999999999</v>
      </c>
      <c r="O330" s="22">
        <v>2.3281000000000001</v>
      </c>
      <c r="P330" s="21">
        <v>11445</v>
      </c>
      <c r="Q330" s="20">
        <v>61.34</v>
      </c>
      <c r="R330" s="21"/>
    </row>
    <row r="331" spans="1:18">
      <c r="A331" s="14">
        <v>40659</v>
      </c>
      <c r="B331" s="15">
        <v>284.5</v>
      </c>
      <c r="C331" s="15">
        <v>294.95</v>
      </c>
      <c r="F331" s="53">
        <v>3</v>
      </c>
      <c r="G331">
        <v>21</v>
      </c>
      <c r="H331">
        <v>2014</v>
      </c>
      <c r="I331" s="41">
        <v>41719</v>
      </c>
      <c r="J331" s="54">
        <v>1995.04</v>
      </c>
      <c r="K331" s="21">
        <v>537.25</v>
      </c>
      <c r="L331" s="22">
        <v>7.7264999999999997</v>
      </c>
      <c r="M331" s="23">
        <v>13.228</v>
      </c>
      <c r="N331" s="22">
        <v>2.8105000000000002</v>
      </c>
      <c r="O331" s="22">
        <v>2.3246000000000002</v>
      </c>
      <c r="P331" s="21">
        <v>11422.5</v>
      </c>
      <c r="Q331" s="20">
        <v>60.9</v>
      </c>
      <c r="R331" s="21"/>
    </row>
    <row r="332" spans="1:18">
      <c r="A332" s="14">
        <v>40660</v>
      </c>
      <c r="B332" s="15">
        <v>292.25</v>
      </c>
      <c r="C332" s="15">
        <v>295.55</v>
      </c>
      <c r="F332" s="53">
        <v>3</v>
      </c>
      <c r="G332">
        <v>24</v>
      </c>
      <c r="H332">
        <v>2014</v>
      </c>
      <c r="I332" s="41">
        <v>41722</v>
      </c>
      <c r="J332" s="54">
        <v>1996</v>
      </c>
      <c r="K332" s="21">
        <v>536.5</v>
      </c>
      <c r="L332" s="22">
        <v>7.7305000000000001</v>
      </c>
      <c r="M332" s="23">
        <v>13.1785</v>
      </c>
      <c r="N332" s="22">
        <v>2.8113000000000001</v>
      </c>
      <c r="O332" s="22">
        <v>2.3224999999999998</v>
      </c>
      <c r="P332" s="21">
        <v>11380</v>
      </c>
      <c r="Q332" s="20">
        <v>60.78</v>
      </c>
      <c r="R332" s="21"/>
    </row>
    <row r="333" spans="1:18">
      <c r="A333" s="14">
        <v>40661</v>
      </c>
      <c r="B333" s="15">
        <v>295.8</v>
      </c>
      <c r="C333" s="15">
        <v>298.60000000000002</v>
      </c>
      <c r="F333" s="53">
        <v>3</v>
      </c>
      <c r="G333">
        <v>25</v>
      </c>
      <c r="H333">
        <v>2014</v>
      </c>
      <c r="I333" s="41">
        <v>41723</v>
      </c>
      <c r="J333" s="54">
        <v>1978.5</v>
      </c>
      <c r="K333" s="21">
        <v>535.9</v>
      </c>
      <c r="L333" s="22">
        <v>7.7355</v>
      </c>
      <c r="M333" s="23">
        <v>13.1145</v>
      </c>
      <c r="N333" s="22">
        <v>2.8147000000000002</v>
      </c>
      <c r="O333" s="22">
        <v>2.3113999999999999</v>
      </c>
      <c r="P333" s="21">
        <v>11392.5</v>
      </c>
      <c r="Q333" s="20">
        <v>60.484999999999999</v>
      </c>
      <c r="R333" s="21"/>
    </row>
    <row r="334" spans="1:18">
      <c r="A334" s="14">
        <v>40662</v>
      </c>
      <c r="B334" s="15">
        <v>294.60000000000002</v>
      </c>
      <c r="C334" s="15">
        <v>299.35000000000002</v>
      </c>
      <c r="F334" s="53">
        <v>3</v>
      </c>
      <c r="G334">
        <v>26</v>
      </c>
      <c r="H334">
        <v>2014</v>
      </c>
      <c r="I334" s="41">
        <v>41724</v>
      </c>
      <c r="J334" s="54">
        <v>1973.5</v>
      </c>
      <c r="K334" s="21">
        <v>535.70000000000005</v>
      </c>
      <c r="L334" s="22">
        <v>7.7355</v>
      </c>
      <c r="M334" s="23">
        <v>13.1288</v>
      </c>
      <c r="N334" s="22">
        <v>2.8132000000000001</v>
      </c>
      <c r="O334" s="22">
        <v>2.3041</v>
      </c>
      <c r="P334" s="21">
        <v>11410</v>
      </c>
      <c r="Q334" s="20">
        <v>60.145000000000003</v>
      </c>
      <c r="R334" s="21"/>
    </row>
    <row r="335" spans="1:18">
      <c r="A335" s="14">
        <v>40665</v>
      </c>
      <c r="B335" s="15">
        <v>298.35000000000002</v>
      </c>
      <c r="C335" s="15">
        <v>304.55</v>
      </c>
      <c r="F335" s="53">
        <v>3</v>
      </c>
      <c r="G335">
        <v>27</v>
      </c>
      <c r="H335">
        <v>2014</v>
      </c>
      <c r="I335" s="41">
        <v>41725</v>
      </c>
      <c r="J335" s="54">
        <v>1964.49</v>
      </c>
      <c r="K335" s="21">
        <v>535.54999999999995</v>
      </c>
      <c r="L335" s="22">
        <v>7.7324999999999999</v>
      </c>
      <c r="M335" s="23">
        <v>13.0855</v>
      </c>
      <c r="N335" s="22">
        <v>2.8130000000000002</v>
      </c>
      <c r="O335" s="22">
        <v>2.2593000000000001</v>
      </c>
      <c r="P335" s="21">
        <v>11447.5</v>
      </c>
      <c r="Q335" s="20">
        <v>60.244999999999997</v>
      </c>
      <c r="R335" s="21"/>
    </row>
    <row r="336" spans="1:18">
      <c r="A336" s="14">
        <v>40666</v>
      </c>
      <c r="B336" s="15">
        <v>304</v>
      </c>
      <c r="C336" s="15">
        <v>304.89999999999998</v>
      </c>
      <c r="F336" s="53">
        <v>3</v>
      </c>
      <c r="G336">
        <v>28</v>
      </c>
      <c r="H336">
        <v>2014</v>
      </c>
      <c r="I336" s="41">
        <v>41726</v>
      </c>
      <c r="J336" s="54">
        <v>1965.53</v>
      </c>
      <c r="K336" s="21">
        <v>545.5</v>
      </c>
      <c r="L336" s="22">
        <v>7.7275</v>
      </c>
      <c r="M336" s="23">
        <v>13.073499999999999</v>
      </c>
      <c r="N336" s="22">
        <v>2.8132999999999999</v>
      </c>
      <c r="O336" s="22">
        <v>2.2618</v>
      </c>
      <c r="P336" s="21">
        <v>11360</v>
      </c>
      <c r="Q336" s="20">
        <v>59.89</v>
      </c>
      <c r="R336" s="21"/>
    </row>
    <row r="337" spans="1:18">
      <c r="A337" s="14">
        <v>40667</v>
      </c>
      <c r="B337" s="15">
        <v>291.8</v>
      </c>
      <c r="C337" s="15">
        <v>293.75</v>
      </c>
      <c r="F337" s="53">
        <v>3</v>
      </c>
      <c r="G337">
        <v>31</v>
      </c>
      <c r="H337">
        <v>2014</v>
      </c>
      <c r="I337" s="41">
        <v>41729</v>
      </c>
      <c r="J337" s="54">
        <v>1971.94</v>
      </c>
      <c r="K337" s="21">
        <v>545.79999999999995</v>
      </c>
      <c r="L337" s="22">
        <v>7.7294999999999998</v>
      </c>
      <c r="M337" s="23">
        <v>13.0578</v>
      </c>
      <c r="N337" s="22">
        <v>2.8113000000000001</v>
      </c>
      <c r="O337" s="22">
        <v>2.2721</v>
      </c>
      <c r="P337" s="21">
        <v>11360</v>
      </c>
      <c r="Q337" s="20">
        <v>60.015000000000001</v>
      </c>
      <c r="R337" s="21"/>
    </row>
    <row r="338" spans="1:18">
      <c r="A338" s="14">
        <v>40668</v>
      </c>
      <c r="B338" s="15">
        <v>284.14999999999998</v>
      </c>
      <c r="C338" s="15">
        <v>287.5</v>
      </c>
      <c r="F338" s="53">
        <v>4</v>
      </c>
      <c r="G338">
        <v>1</v>
      </c>
      <c r="H338">
        <v>2014</v>
      </c>
      <c r="I338" s="41">
        <v>41730</v>
      </c>
      <c r="J338" s="54">
        <v>1960.75</v>
      </c>
      <c r="K338" s="21">
        <v>545.6</v>
      </c>
      <c r="L338" s="22">
        <v>7.7314999999999996</v>
      </c>
      <c r="M338" s="23">
        <v>13.051</v>
      </c>
      <c r="N338" s="22">
        <v>2.8075000000000001</v>
      </c>
      <c r="O338" s="22">
        <v>2.2606999999999999</v>
      </c>
      <c r="P338" s="21">
        <v>11312.5</v>
      </c>
      <c r="Q338" s="20">
        <v>60.015000000000001</v>
      </c>
      <c r="R338" s="21"/>
    </row>
    <row r="339" spans="1:18">
      <c r="A339" s="14">
        <v>40669</v>
      </c>
      <c r="B339" s="15">
        <v>287</v>
      </c>
      <c r="C339" s="15">
        <v>287.05</v>
      </c>
      <c r="F339" s="53">
        <v>4</v>
      </c>
      <c r="G339">
        <v>2</v>
      </c>
      <c r="H339">
        <v>2014</v>
      </c>
      <c r="I339" s="41">
        <v>41731</v>
      </c>
      <c r="J339" s="54">
        <v>1964.45</v>
      </c>
      <c r="K339" s="21">
        <v>545.5</v>
      </c>
      <c r="L339" s="22">
        <v>7.7415000000000003</v>
      </c>
      <c r="M339" s="23">
        <v>13.089499999999999</v>
      </c>
      <c r="N339" s="22">
        <v>2.8094999999999999</v>
      </c>
      <c r="O339" s="22">
        <v>2.2690999999999999</v>
      </c>
      <c r="P339" s="21">
        <v>11292.5</v>
      </c>
      <c r="Q339" s="20">
        <v>59.905000000000001</v>
      </c>
      <c r="R339" s="21"/>
    </row>
    <row r="340" spans="1:18">
      <c r="A340" s="14">
        <v>40672</v>
      </c>
      <c r="B340" s="15">
        <v>289.75</v>
      </c>
      <c r="C340" s="15">
        <v>287.05</v>
      </c>
      <c r="F340" s="53">
        <v>4</v>
      </c>
      <c r="G340">
        <v>3</v>
      </c>
      <c r="H340">
        <v>2014</v>
      </c>
      <c r="I340" s="41">
        <v>41732</v>
      </c>
      <c r="J340" s="54">
        <v>1967.61</v>
      </c>
      <c r="K340" s="21">
        <v>545.4</v>
      </c>
      <c r="L340" s="22">
        <v>7.7634999999999996</v>
      </c>
      <c r="M340" s="23">
        <v>13.1167</v>
      </c>
      <c r="N340" s="22">
        <v>2.8130000000000002</v>
      </c>
      <c r="O340" s="22">
        <v>2.2793000000000001</v>
      </c>
      <c r="P340" s="21">
        <v>11321</v>
      </c>
      <c r="Q340" s="20">
        <v>60.17</v>
      </c>
      <c r="R340" s="21"/>
    </row>
    <row r="341" spans="1:18">
      <c r="A341" s="14">
        <v>40673</v>
      </c>
      <c r="B341" s="15">
        <v>283.75</v>
      </c>
      <c r="C341" s="15">
        <v>281.7</v>
      </c>
      <c r="F341" s="53">
        <v>4</v>
      </c>
      <c r="G341">
        <v>4</v>
      </c>
      <c r="H341">
        <v>2014</v>
      </c>
      <c r="I341" s="41">
        <v>41733</v>
      </c>
      <c r="J341" s="54">
        <v>1951</v>
      </c>
      <c r="K341" s="21">
        <v>545</v>
      </c>
      <c r="L341" s="22">
        <v>7.7735000000000003</v>
      </c>
      <c r="M341" s="23">
        <v>13.0029</v>
      </c>
      <c r="N341" s="22">
        <v>2.8140000000000001</v>
      </c>
      <c r="O341" s="22">
        <v>2.2360000000000002</v>
      </c>
      <c r="P341" s="21">
        <v>11316.5</v>
      </c>
      <c r="Q341" s="20">
        <v>60.085000000000001</v>
      </c>
      <c r="R341" s="21"/>
    </row>
    <row r="342" spans="1:18">
      <c r="A342" s="14">
        <v>40674</v>
      </c>
      <c r="B342" s="15">
        <v>273.75</v>
      </c>
      <c r="C342" s="15">
        <v>272.5</v>
      </c>
      <c r="F342" s="53">
        <v>4</v>
      </c>
      <c r="G342">
        <v>7</v>
      </c>
      <c r="H342">
        <v>2014</v>
      </c>
      <c r="I342" s="41">
        <v>41736</v>
      </c>
      <c r="J342" s="54">
        <v>1933.54</v>
      </c>
      <c r="K342" s="21">
        <v>551.95000000000005</v>
      </c>
      <c r="L342" s="22">
        <v>7.7625000000000002</v>
      </c>
      <c r="M342" s="23">
        <v>13.0083</v>
      </c>
      <c r="N342" s="22">
        <v>2.8035000000000001</v>
      </c>
      <c r="O342" s="22">
        <v>2.2189000000000001</v>
      </c>
      <c r="P342" s="21">
        <v>11305</v>
      </c>
      <c r="Q342" s="20">
        <v>60.115000000000002</v>
      </c>
      <c r="R342" s="21"/>
    </row>
    <row r="343" spans="1:18">
      <c r="A343" s="14">
        <v>40675</v>
      </c>
      <c r="B343" s="15">
        <v>271.10000000000002</v>
      </c>
      <c r="C343" s="15">
        <v>273.95</v>
      </c>
      <c r="F343" s="53">
        <v>4</v>
      </c>
      <c r="G343">
        <v>8</v>
      </c>
      <c r="H343">
        <v>2014</v>
      </c>
      <c r="I343" s="41">
        <v>41737</v>
      </c>
      <c r="J343" s="54">
        <v>1933.22</v>
      </c>
      <c r="K343" s="21">
        <v>551.79999999999995</v>
      </c>
      <c r="L343" s="22">
        <v>7.7575000000000003</v>
      </c>
      <c r="M343" s="23">
        <v>13.051299999999999</v>
      </c>
      <c r="N343" s="22">
        <v>2.7913000000000001</v>
      </c>
      <c r="O343" s="22">
        <v>2.2012</v>
      </c>
      <c r="P343" s="21">
        <v>11288.5</v>
      </c>
      <c r="Q343" s="20">
        <v>60.09</v>
      </c>
      <c r="R343" s="21"/>
    </row>
    <row r="344" spans="1:18">
      <c r="A344" s="14">
        <v>40676</v>
      </c>
      <c r="B344" s="15">
        <v>270</v>
      </c>
      <c r="C344" s="15">
        <v>269.3</v>
      </c>
      <c r="F344" s="53">
        <v>4</v>
      </c>
      <c r="G344">
        <v>9</v>
      </c>
      <c r="H344">
        <v>2014</v>
      </c>
      <c r="I344" s="41">
        <v>41738</v>
      </c>
      <c r="J344" s="54">
        <v>1928.41</v>
      </c>
      <c r="K344" s="21">
        <v>550</v>
      </c>
      <c r="L344" s="22">
        <v>7.7629999999999999</v>
      </c>
      <c r="M344" s="23">
        <v>12.98</v>
      </c>
      <c r="N344" s="22">
        <v>2.7894999999999999</v>
      </c>
      <c r="O344" s="22">
        <v>2.1856</v>
      </c>
      <c r="P344" s="21">
        <v>11288.5</v>
      </c>
      <c r="Q344" s="20">
        <v>60.145000000000003</v>
      </c>
      <c r="R344" s="21"/>
    </row>
    <row r="345" spans="1:18">
      <c r="A345" s="14">
        <v>40679</v>
      </c>
      <c r="B345" s="15">
        <v>263.60000000000002</v>
      </c>
      <c r="C345" s="15">
        <v>264</v>
      </c>
      <c r="F345" s="53">
        <v>4</v>
      </c>
      <c r="G345">
        <v>10</v>
      </c>
      <c r="H345">
        <v>2014</v>
      </c>
      <c r="I345" s="41">
        <v>41739</v>
      </c>
      <c r="J345" s="54">
        <v>1918</v>
      </c>
      <c r="K345" s="21">
        <v>549.9</v>
      </c>
      <c r="L345" s="22">
        <v>7.7725</v>
      </c>
      <c r="M345" s="23">
        <v>13.0626</v>
      </c>
      <c r="N345" s="22">
        <v>2.8216000000000001</v>
      </c>
      <c r="O345" s="22">
        <v>2.2067000000000001</v>
      </c>
      <c r="P345" s="21">
        <v>11354</v>
      </c>
      <c r="Q345" s="20">
        <v>60.075000000000003</v>
      </c>
      <c r="R345" s="21"/>
    </row>
    <row r="346" spans="1:18">
      <c r="A346" s="14">
        <v>40680</v>
      </c>
      <c r="B346" s="15">
        <v>265</v>
      </c>
      <c r="C346" s="15">
        <v>265.10000000000002</v>
      </c>
      <c r="F346" s="53">
        <v>4</v>
      </c>
      <c r="G346">
        <v>11</v>
      </c>
      <c r="H346">
        <v>2014</v>
      </c>
      <c r="I346" s="41">
        <v>41740</v>
      </c>
      <c r="J346" s="54">
        <v>1927.25</v>
      </c>
      <c r="K346" s="21">
        <v>549.6</v>
      </c>
      <c r="L346" s="22">
        <v>7.7675000000000001</v>
      </c>
      <c r="M346" s="23">
        <v>13.0425</v>
      </c>
      <c r="N346" s="22">
        <v>2.7839999999999998</v>
      </c>
      <c r="O346" s="22">
        <v>2.2183999999999999</v>
      </c>
      <c r="P346" s="21">
        <v>11412.5</v>
      </c>
      <c r="Q346" s="20">
        <v>60.18</v>
      </c>
      <c r="R346" s="21"/>
    </row>
    <row r="347" spans="1:18">
      <c r="A347" s="14">
        <v>40681</v>
      </c>
      <c r="B347" s="15">
        <v>268</v>
      </c>
      <c r="C347" s="15">
        <v>268.45</v>
      </c>
      <c r="F347" s="53">
        <v>4</v>
      </c>
      <c r="G347">
        <v>14</v>
      </c>
      <c r="H347">
        <v>2014</v>
      </c>
      <c r="I347" s="41">
        <v>41743</v>
      </c>
      <c r="J347" s="54">
        <v>1925.84</v>
      </c>
      <c r="K347" s="21">
        <v>549.5</v>
      </c>
      <c r="L347" s="22">
        <v>7.7595000000000001</v>
      </c>
      <c r="M347" s="23">
        <v>13.023999999999999</v>
      </c>
      <c r="N347" s="22">
        <v>2.7875000000000001</v>
      </c>
      <c r="O347" s="22">
        <v>2.214</v>
      </c>
      <c r="P347" s="21">
        <v>11440</v>
      </c>
      <c r="Q347" s="20">
        <v>60.255000000000003</v>
      </c>
      <c r="R347" s="21"/>
    </row>
    <row r="348" spans="1:18">
      <c r="A348" s="14">
        <v>40682</v>
      </c>
      <c r="B348" s="15">
        <v>262.45</v>
      </c>
      <c r="C348" s="15">
        <v>263.7</v>
      </c>
      <c r="F348" s="53">
        <v>4</v>
      </c>
      <c r="G348">
        <v>15</v>
      </c>
      <c r="H348">
        <v>2014</v>
      </c>
      <c r="I348" s="41">
        <v>41744</v>
      </c>
      <c r="J348" s="54">
        <v>1935.02</v>
      </c>
      <c r="K348" s="21">
        <v>549.5</v>
      </c>
      <c r="L348" s="22">
        <v>7.7595000000000001</v>
      </c>
      <c r="M348" s="23">
        <v>13.0961</v>
      </c>
      <c r="N348" s="22">
        <v>2.7789999999999999</v>
      </c>
      <c r="O348" s="22">
        <v>2.2328999999999999</v>
      </c>
      <c r="P348" s="21">
        <v>11430</v>
      </c>
      <c r="Q348" s="20">
        <v>60.234999999999999</v>
      </c>
      <c r="R348" s="21"/>
    </row>
    <row r="349" spans="1:18">
      <c r="A349" s="14">
        <v>40683</v>
      </c>
      <c r="B349" s="15">
        <v>258.60000000000002</v>
      </c>
      <c r="C349" s="15">
        <v>259.14999999999998</v>
      </c>
      <c r="F349" s="53">
        <v>4</v>
      </c>
      <c r="G349">
        <v>16</v>
      </c>
      <c r="H349">
        <v>2014</v>
      </c>
      <c r="I349" s="41">
        <v>41745</v>
      </c>
      <c r="J349" s="54">
        <v>1931.5</v>
      </c>
      <c r="K349" s="21">
        <v>549.5</v>
      </c>
      <c r="L349" s="22">
        <v>7.7504999999999997</v>
      </c>
      <c r="M349" s="23">
        <v>13.064500000000001</v>
      </c>
      <c r="N349" s="22">
        <v>2.7715000000000001</v>
      </c>
      <c r="O349" s="22">
        <v>2.2435999999999998</v>
      </c>
      <c r="P349" s="21">
        <v>11434.5</v>
      </c>
      <c r="Q349" s="20">
        <v>60.375</v>
      </c>
      <c r="R349" s="21"/>
    </row>
    <row r="350" spans="1:18">
      <c r="A350" s="14">
        <v>40686</v>
      </c>
      <c r="B350" s="15">
        <v>258.89999999999998</v>
      </c>
      <c r="C350" s="15">
        <v>262.55</v>
      </c>
      <c r="F350" s="53">
        <v>4</v>
      </c>
      <c r="G350">
        <v>17</v>
      </c>
      <c r="H350">
        <v>2014</v>
      </c>
      <c r="I350" s="41">
        <v>41746</v>
      </c>
      <c r="J350" s="54">
        <v>1929.5</v>
      </c>
      <c r="K350" s="21">
        <v>549.5</v>
      </c>
      <c r="L350" s="22">
        <v>7.7504999999999997</v>
      </c>
      <c r="M350" s="23">
        <v>13.0472</v>
      </c>
      <c r="N350" s="22">
        <v>2.7725</v>
      </c>
      <c r="O350" s="22">
        <v>2.2376</v>
      </c>
      <c r="P350" s="21">
        <v>11420</v>
      </c>
      <c r="Q350" s="20">
        <v>60.295000000000002</v>
      </c>
      <c r="R350" s="21"/>
    </row>
    <row r="351" spans="1:18">
      <c r="A351" s="14">
        <v>40687</v>
      </c>
      <c r="B351" s="15">
        <v>260.7</v>
      </c>
      <c r="C351" s="15">
        <v>261.2</v>
      </c>
      <c r="F351" s="53">
        <v>4</v>
      </c>
      <c r="G351">
        <v>18</v>
      </c>
      <c r="H351">
        <v>2014</v>
      </c>
      <c r="I351" s="41">
        <v>41747</v>
      </c>
      <c r="J351" s="54">
        <v>1929.5</v>
      </c>
      <c r="K351" s="21">
        <v>549.29999999999995</v>
      </c>
      <c r="L351" s="22">
        <v>7.7504999999999997</v>
      </c>
      <c r="M351" s="23">
        <v>13.041499999999999</v>
      </c>
      <c r="N351" s="22">
        <v>2.7725</v>
      </c>
      <c r="O351" s="22">
        <v>2.2372000000000001</v>
      </c>
      <c r="P351" s="21">
        <v>11420</v>
      </c>
      <c r="Q351" s="20">
        <v>60.295000000000002</v>
      </c>
      <c r="R351" s="21"/>
    </row>
    <row r="352" spans="1:18">
      <c r="A352" s="14">
        <v>40688</v>
      </c>
      <c r="B352" s="15">
        <v>259</v>
      </c>
      <c r="C352" s="15">
        <v>264.85000000000002</v>
      </c>
      <c r="F352" s="53">
        <v>4</v>
      </c>
      <c r="G352">
        <v>21</v>
      </c>
      <c r="H352">
        <v>2014</v>
      </c>
      <c r="I352" s="41">
        <v>41750</v>
      </c>
      <c r="J352" s="54">
        <v>1918.8</v>
      </c>
      <c r="K352" s="21">
        <v>549.25</v>
      </c>
      <c r="L352" s="22">
        <v>7.7534999999999998</v>
      </c>
      <c r="M352" s="23">
        <v>13.031000000000001</v>
      </c>
      <c r="N352" s="22">
        <v>2.7730000000000001</v>
      </c>
      <c r="O352" s="22">
        <v>2.2370000000000001</v>
      </c>
      <c r="P352" s="21">
        <v>11445</v>
      </c>
      <c r="Q352" s="20">
        <v>60.594999999999999</v>
      </c>
      <c r="R352" s="21"/>
    </row>
    <row r="353" spans="1:18">
      <c r="A353" s="14">
        <v>40689</v>
      </c>
      <c r="B353" s="15">
        <v>262.14999999999998</v>
      </c>
      <c r="C353" s="15">
        <v>265.60000000000002</v>
      </c>
      <c r="F353" s="53">
        <v>4</v>
      </c>
      <c r="G353">
        <v>22</v>
      </c>
      <c r="H353">
        <v>2014</v>
      </c>
      <c r="I353" s="41">
        <v>41751</v>
      </c>
      <c r="J353" s="54">
        <v>1934</v>
      </c>
      <c r="K353" s="21">
        <v>548.5</v>
      </c>
      <c r="L353" s="22">
        <v>7.7525000000000004</v>
      </c>
      <c r="M353" s="23">
        <v>13.058199999999999</v>
      </c>
      <c r="N353" s="22">
        <v>2.7852999999999999</v>
      </c>
      <c r="O353" s="22">
        <v>2.238</v>
      </c>
      <c r="P353" s="21">
        <v>11520</v>
      </c>
      <c r="Q353" s="20">
        <v>60.765000000000001</v>
      </c>
      <c r="R353" s="21"/>
    </row>
    <row r="354" spans="1:18">
      <c r="A354" s="14">
        <v>40690</v>
      </c>
      <c r="B354" s="15">
        <v>262.35000000000002</v>
      </c>
      <c r="C354" s="15">
        <v>263.7</v>
      </c>
      <c r="F354" s="53">
        <v>4</v>
      </c>
      <c r="G354">
        <v>23</v>
      </c>
      <c r="H354">
        <v>2014</v>
      </c>
      <c r="I354" s="41">
        <v>41752</v>
      </c>
      <c r="J354" s="54">
        <v>1936.5</v>
      </c>
      <c r="K354" s="21">
        <v>548.5</v>
      </c>
      <c r="L354" s="22">
        <v>7.7504999999999997</v>
      </c>
      <c r="M354" s="23">
        <v>13.065300000000001</v>
      </c>
      <c r="N354" s="22">
        <v>2.7869999999999999</v>
      </c>
      <c r="O354" s="22">
        <v>2.2212000000000001</v>
      </c>
      <c r="P354" s="21">
        <v>11630</v>
      </c>
      <c r="Q354" s="20">
        <v>61.094999999999999</v>
      </c>
      <c r="R354" s="21"/>
    </row>
    <row r="355" spans="1:18">
      <c r="A355" s="14">
        <v>40694</v>
      </c>
      <c r="B355" s="15">
        <v>263.5</v>
      </c>
      <c r="C355" s="15">
        <v>264.60000000000002</v>
      </c>
      <c r="F355" s="53">
        <v>4</v>
      </c>
      <c r="G355">
        <v>24</v>
      </c>
      <c r="H355">
        <v>2014</v>
      </c>
      <c r="I355" s="41">
        <v>41753</v>
      </c>
      <c r="J355" s="54">
        <v>1937.4</v>
      </c>
      <c r="K355" s="21">
        <v>548.5</v>
      </c>
      <c r="L355" s="22">
        <v>7.7445000000000004</v>
      </c>
      <c r="M355" s="23">
        <v>13.0938</v>
      </c>
      <c r="N355" s="22">
        <v>2.7930000000000001</v>
      </c>
      <c r="O355" s="22">
        <v>2.2138</v>
      </c>
      <c r="P355" s="21">
        <v>11600</v>
      </c>
      <c r="Q355" s="20">
        <v>61.11</v>
      </c>
      <c r="R355" s="21"/>
    </row>
    <row r="356" spans="1:18">
      <c r="A356" s="14">
        <v>40695</v>
      </c>
      <c r="B356" s="15">
        <v>255.25</v>
      </c>
      <c r="C356" s="15">
        <v>255.95</v>
      </c>
      <c r="F356" s="53">
        <v>4</v>
      </c>
      <c r="G356">
        <v>25</v>
      </c>
      <c r="H356">
        <v>2014</v>
      </c>
      <c r="I356" s="41">
        <v>41754</v>
      </c>
      <c r="J356" s="54">
        <v>1942.75</v>
      </c>
      <c r="K356" s="21">
        <v>548.5</v>
      </c>
      <c r="L356" s="22">
        <v>7.7404999999999999</v>
      </c>
      <c r="M356" s="23">
        <v>13.1305</v>
      </c>
      <c r="N356" s="22">
        <v>2.8029999999999999</v>
      </c>
      <c r="O356" s="22">
        <v>2.2444999999999999</v>
      </c>
      <c r="P356" s="21">
        <v>11564.5</v>
      </c>
      <c r="Q356" s="20">
        <v>60.645000000000003</v>
      </c>
      <c r="R356" s="21"/>
    </row>
    <row r="357" spans="1:18">
      <c r="A357" s="14">
        <v>40696</v>
      </c>
      <c r="B357" s="15">
        <v>253.3</v>
      </c>
      <c r="C357" s="15">
        <v>261.25</v>
      </c>
      <c r="F357" s="53">
        <v>4</v>
      </c>
      <c r="G357">
        <v>28</v>
      </c>
      <c r="H357">
        <v>2014</v>
      </c>
      <c r="I357" s="41">
        <v>41757</v>
      </c>
      <c r="J357" s="54">
        <v>1938.8</v>
      </c>
      <c r="K357" s="21">
        <v>548.1</v>
      </c>
      <c r="L357" s="22">
        <v>7.7365000000000004</v>
      </c>
      <c r="M357" s="23">
        <v>13.123100000000001</v>
      </c>
      <c r="N357" s="22">
        <v>2.8105000000000002</v>
      </c>
      <c r="O357" s="22">
        <v>2.2237</v>
      </c>
      <c r="P357" s="21">
        <v>11580</v>
      </c>
      <c r="Q357" s="20">
        <v>60.65</v>
      </c>
      <c r="R357" s="21"/>
    </row>
    <row r="358" spans="1:18">
      <c r="A358" s="14">
        <v>40697</v>
      </c>
      <c r="B358" s="15">
        <v>256.85000000000002</v>
      </c>
      <c r="C358" s="15">
        <v>270.95</v>
      </c>
      <c r="F358" s="53">
        <v>4</v>
      </c>
      <c r="G358">
        <v>29</v>
      </c>
      <c r="H358">
        <v>2014</v>
      </c>
      <c r="I358" s="41">
        <v>41758</v>
      </c>
      <c r="J358" s="54">
        <v>1933.17</v>
      </c>
      <c r="K358" s="21">
        <v>548.04999999999995</v>
      </c>
      <c r="L358" s="22">
        <v>7.7335000000000003</v>
      </c>
      <c r="M358" s="23">
        <v>13.101699999999999</v>
      </c>
      <c r="N358" s="22">
        <v>2.8079999999999998</v>
      </c>
      <c r="O358" s="22">
        <v>2.2359</v>
      </c>
      <c r="P358" s="21">
        <v>11547.5</v>
      </c>
      <c r="Q358" s="20">
        <v>60.424999999999997</v>
      </c>
      <c r="R358" s="21"/>
    </row>
    <row r="359" spans="1:18">
      <c r="A359" s="14">
        <v>40700</v>
      </c>
      <c r="B359" s="15">
        <v>259.5</v>
      </c>
      <c r="C359" s="15">
        <v>260.5</v>
      </c>
      <c r="F359" s="53">
        <v>4</v>
      </c>
      <c r="G359">
        <v>30</v>
      </c>
      <c r="H359">
        <v>2014</v>
      </c>
      <c r="I359" s="41">
        <v>41759</v>
      </c>
      <c r="J359" s="54">
        <v>1936</v>
      </c>
      <c r="K359" s="21">
        <v>548</v>
      </c>
      <c r="L359" s="22">
        <v>7.7264999999999997</v>
      </c>
      <c r="M359" s="23">
        <v>13.0792</v>
      </c>
      <c r="N359" s="22">
        <v>2.8079999999999998</v>
      </c>
      <c r="O359" s="22">
        <v>2.2330000000000001</v>
      </c>
      <c r="P359" s="21">
        <v>11561.5</v>
      </c>
      <c r="Q359" s="20">
        <v>60.344999999999999</v>
      </c>
      <c r="R359" s="21"/>
    </row>
    <row r="360" spans="1:18">
      <c r="A360" s="14">
        <v>40701</v>
      </c>
      <c r="B360" s="15">
        <v>260</v>
      </c>
      <c r="C360" s="15">
        <v>263</v>
      </c>
      <c r="F360" s="53">
        <v>5</v>
      </c>
      <c r="G360">
        <v>1</v>
      </c>
      <c r="H360">
        <v>2014</v>
      </c>
      <c r="I360" s="41">
        <v>41760</v>
      </c>
      <c r="J360" s="54">
        <v>1934.5</v>
      </c>
      <c r="K360" s="21">
        <v>552.15</v>
      </c>
      <c r="L360" s="22">
        <v>7.7264999999999997</v>
      </c>
      <c r="M360" s="23">
        <v>13.0436</v>
      </c>
      <c r="N360" s="22">
        <v>2.8079999999999998</v>
      </c>
      <c r="O360" s="22">
        <v>2.2334999999999998</v>
      </c>
      <c r="P360" s="21">
        <v>11561.5</v>
      </c>
      <c r="Q360" s="20">
        <v>60.27</v>
      </c>
      <c r="R360" s="21"/>
    </row>
    <row r="361" spans="1:18">
      <c r="A361" s="14">
        <v>40702</v>
      </c>
      <c r="B361" s="15">
        <v>258</v>
      </c>
      <c r="C361" s="15">
        <v>263.85000000000002</v>
      </c>
      <c r="F361" s="53">
        <v>5</v>
      </c>
      <c r="G361">
        <v>2</v>
      </c>
      <c r="H361">
        <v>2014</v>
      </c>
      <c r="I361" s="41">
        <v>41761</v>
      </c>
      <c r="J361" s="54">
        <v>1923.43</v>
      </c>
      <c r="K361" s="21">
        <v>552</v>
      </c>
      <c r="L361" s="22">
        <v>7.7214999999999998</v>
      </c>
      <c r="M361" s="23">
        <v>13.015000000000001</v>
      </c>
      <c r="N361" s="22">
        <v>2.802</v>
      </c>
      <c r="O361" s="22">
        <v>2.2200000000000002</v>
      </c>
      <c r="P361" s="21">
        <v>11522.5</v>
      </c>
      <c r="Q361" s="20">
        <v>60.185000000000002</v>
      </c>
      <c r="R361" s="21"/>
    </row>
    <row r="362" spans="1:18">
      <c r="A362" s="14">
        <v>40703</v>
      </c>
      <c r="B362" s="15">
        <v>264.39999999999998</v>
      </c>
      <c r="C362" s="15">
        <v>266.8</v>
      </c>
      <c r="F362" s="53">
        <v>5</v>
      </c>
      <c r="G362">
        <v>5</v>
      </c>
      <c r="H362">
        <v>2014</v>
      </c>
      <c r="I362" s="41">
        <v>41764</v>
      </c>
      <c r="J362" s="54">
        <v>1924.62</v>
      </c>
      <c r="K362" s="21">
        <v>552.29999999999995</v>
      </c>
      <c r="L362" s="22">
        <v>7.7359999999999998</v>
      </c>
      <c r="M362" s="23">
        <v>13.057499999999999</v>
      </c>
      <c r="N362" s="22">
        <v>2.8090000000000002</v>
      </c>
      <c r="O362" s="22">
        <v>2.2431000000000001</v>
      </c>
      <c r="P362" s="21">
        <v>11517.5</v>
      </c>
      <c r="Q362" s="20">
        <v>60.24</v>
      </c>
      <c r="R362" s="21"/>
    </row>
    <row r="363" spans="1:18">
      <c r="A363" s="14">
        <v>40704</v>
      </c>
      <c r="B363" s="15">
        <v>261.55</v>
      </c>
      <c r="C363" s="15">
        <v>264.95</v>
      </c>
      <c r="F363" s="53">
        <v>5</v>
      </c>
      <c r="G363">
        <v>6</v>
      </c>
      <c r="H363">
        <v>2014</v>
      </c>
      <c r="I363" s="41">
        <v>41765</v>
      </c>
      <c r="J363" s="54">
        <v>1918.12</v>
      </c>
      <c r="K363" s="21">
        <v>553.70000000000005</v>
      </c>
      <c r="L363" s="22">
        <v>7.7134999999999998</v>
      </c>
      <c r="M363" s="23">
        <v>13.029</v>
      </c>
      <c r="N363" s="22">
        <v>2.8014999999999999</v>
      </c>
      <c r="O363" s="22">
        <v>2.2292000000000001</v>
      </c>
      <c r="P363" s="21">
        <v>11517</v>
      </c>
      <c r="Q363" s="20">
        <v>59.984999999999999</v>
      </c>
      <c r="R363" s="21"/>
    </row>
    <row r="364" spans="1:18">
      <c r="A364" s="14">
        <v>40707</v>
      </c>
      <c r="B364" s="15">
        <v>261.05</v>
      </c>
      <c r="C364" s="15">
        <v>267.45</v>
      </c>
      <c r="F364" s="53">
        <v>5</v>
      </c>
      <c r="G364">
        <v>7</v>
      </c>
      <c r="H364">
        <v>2014</v>
      </c>
      <c r="I364" s="41">
        <v>41766</v>
      </c>
      <c r="J364" s="54">
        <v>1910.66</v>
      </c>
      <c r="K364" s="21">
        <v>554.35</v>
      </c>
      <c r="L364" s="22">
        <v>7.7104999999999997</v>
      </c>
      <c r="M364" s="23">
        <v>12.965999999999999</v>
      </c>
      <c r="N364" s="22">
        <v>2.7989999999999999</v>
      </c>
      <c r="O364" s="22">
        <v>2.2166000000000001</v>
      </c>
      <c r="P364" s="21">
        <v>11575</v>
      </c>
      <c r="Q364" s="20">
        <v>60.024999999999999</v>
      </c>
      <c r="R364" s="21"/>
    </row>
    <row r="365" spans="1:18">
      <c r="A365" s="14">
        <v>40708</v>
      </c>
      <c r="B365" s="15">
        <v>265</v>
      </c>
      <c r="C365" s="15">
        <v>269.25</v>
      </c>
      <c r="F365" s="53">
        <v>5</v>
      </c>
      <c r="G365">
        <v>8</v>
      </c>
      <c r="H365">
        <v>2014</v>
      </c>
      <c r="I365" s="41">
        <v>41767</v>
      </c>
      <c r="J365" s="54">
        <v>1901.1</v>
      </c>
      <c r="K365" s="21">
        <v>554.20000000000005</v>
      </c>
      <c r="L365" s="22">
        <v>7.7084999999999999</v>
      </c>
      <c r="M365" s="23">
        <v>12.9475</v>
      </c>
      <c r="N365" s="22">
        <v>2.8039000000000001</v>
      </c>
      <c r="O365" s="22">
        <v>2.2153</v>
      </c>
      <c r="P365" s="21">
        <v>11560</v>
      </c>
      <c r="Q365" s="20">
        <v>59.9</v>
      </c>
      <c r="R365" s="21"/>
    </row>
    <row r="366" spans="1:18">
      <c r="A366" s="14">
        <v>40709</v>
      </c>
      <c r="B366" s="15">
        <v>260.35000000000002</v>
      </c>
      <c r="C366" s="15">
        <v>262.64999999999998</v>
      </c>
      <c r="F366" s="53">
        <v>5</v>
      </c>
      <c r="G366">
        <v>9</v>
      </c>
      <c r="H366">
        <v>2014</v>
      </c>
      <c r="I366" s="41">
        <v>41768</v>
      </c>
      <c r="J366" s="54">
        <v>1904.15</v>
      </c>
      <c r="K366" s="21">
        <v>554.1</v>
      </c>
      <c r="L366" s="22">
        <v>7.7175000000000002</v>
      </c>
      <c r="M366" s="23">
        <v>12.9472</v>
      </c>
      <c r="N366" s="22">
        <v>2.7890000000000001</v>
      </c>
      <c r="O366" s="22">
        <v>2.2128000000000001</v>
      </c>
      <c r="P366" s="21">
        <v>11530</v>
      </c>
      <c r="Q366" s="20">
        <v>59.965000000000003</v>
      </c>
      <c r="R366" s="21"/>
    </row>
    <row r="367" spans="1:18">
      <c r="A367" s="14">
        <v>40710</v>
      </c>
      <c r="B367" s="15">
        <v>257.5</v>
      </c>
      <c r="C367" s="15">
        <v>257.89999999999998</v>
      </c>
      <c r="F367" s="53">
        <v>5</v>
      </c>
      <c r="G367">
        <v>12</v>
      </c>
      <c r="H367">
        <v>2014</v>
      </c>
      <c r="I367" s="41">
        <v>41771</v>
      </c>
      <c r="J367" s="54">
        <v>1914.09</v>
      </c>
      <c r="K367" s="21">
        <v>554.1</v>
      </c>
      <c r="L367" s="22">
        <v>7.7184999999999997</v>
      </c>
      <c r="M367" s="23">
        <v>12.9537</v>
      </c>
      <c r="N367" s="22">
        <v>2.7875000000000001</v>
      </c>
      <c r="O367" s="22">
        <v>2.2145000000000001</v>
      </c>
      <c r="P367" s="21">
        <v>11521</v>
      </c>
      <c r="Q367" s="20">
        <v>60.055</v>
      </c>
      <c r="R367" s="21"/>
    </row>
    <row r="368" spans="1:18">
      <c r="A368" s="14">
        <v>40711</v>
      </c>
      <c r="B368" s="15">
        <v>249.1</v>
      </c>
      <c r="C368" s="15">
        <v>249.55</v>
      </c>
      <c r="F368" s="53">
        <v>5</v>
      </c>
      <c r="G368">
        <v>13</v>
      </c>
      <c r="H368">
        <v>2014</v>
      </c>
      <c r="I368" s="41">
        <v>41772</v>
      </c>
      <c r="J368" s="54">
        <v>1923.64</v>
      </c>
      <c r="K368" s="21">
        <v>554.1</v>
      </c>
      <c r="L368" s="22">
        <v>7.7205000000000004</v>
      </c>
      <c r="M368" s="23">
        <v>12.907500000000001</v>
      </c>
      <c r="N368" s="22">
        <v>2.7825000000000002</v>
      </c>
      <c r="O368" s="22">
        <v>2.2151000000000001</v>
      </c>
      <c r="P368" s="21">
        <v>11536.5</v>
      </c>
      <c r="Q368" s="20">
        <v>59.465000000000003</v>
      </c>
      <c r="R368" s="21"/>
    </row>
    <row r="369" spans="1:18">
      <c r="A369" s="14">
        <v>40714</v>
      </c>
      <c r="B369" s="15">
        <v>243.45</v>
      </c>
      <c r="C369" s="15">
        <v>243.6</v>
      </c>
      <c r="F369" s="53">
        <v>5</v>
      </c>
      <c r="G369">
        <v>14</v>
      </c>
      <c r="H369">
        <v>2014</v>
      </c>
      <c r="I369" s="41">
        <v>41773</v>
      </c>
      <c r="J369" s="54">
        <v>1921.5</v>
      </c>
      <c r="K369" s="21">
        <v>553.1</v>
      </c>
      <c r="L369" s="22">
        <v>7.7184999999999997</v>
      </c>
      <c r="M369" s="23">
        <v>12.8977</v>
      </c>
      <c r="N369" s="22">
        <v>2.782</v>
      </c>
      <c r="O369" s="22">
        <v>2.2025000000000001</v>
      </c>
      <c r="P369" s="21">
        <v>11445.5</v>
      </c>
      <c r="Q369" s="20">
        <v>59.484999999999999</v>
      </c>
      <c r="R369" s="21"/>
    </row>
    <row r="370" spans="1:18">
      <c r="A370" s="14">
        <v>40715</v>
      </c>
      <c r="B370" s="15">
        <v>242.8</v>
      </c>
      <c r="C370" s="15">
        <v>243.5</v>
      </c>
      <c r="F370" s="53">
        <v>5</v>
      </c>
      <c r="G370">
        <v>15</v>
      </c>
      <c r="H370">
        <v>2014</v>
      </c>
      <c r="I370" s="41">
        <v>41774</v>
      </c>
      <c r="J370" s="54">
        <v>1926.28</v>
      </c>
      <c r="K370" s="21">
        <v>552.79999999999995</v>
      </c>
      <c r="L370" s="22">
        <v>7.7195</v>
      </c>
      <c r="M370" s="23">
        <v>12.958</v>
      </c>
      <c r="N370" s="22">
        <v>2.7865000000000002</v>
      </c>
      <c r="O370" s="22">
        <v>2.2202999999999999</v>
      </c>
      <c r="P370" s="21">
        <v>11445.5</v>
      </c>
      <c r="Q370" s="20">
        <v>59.465000000000003</v>
      </c>
      <c r="R370" s="21"/>
    </row>
    <row r="371" spans="1:18">
      <c r="A371" s="14">
        <v>40716</v>
      </c>
      <c r="B371" s="15">
        <v>242.3</v>
      </c>
      <c r="C371" s="15">
        <v>243.75</v>
      </c>
      <c r="F371" s="53">
        <v>5</v>
      </c>
      <c r="G371">
        <v>16</v>
      </c>
      <c r="H371">
        <v>2014</v>
      </c>
      <c r="I371" s="41">
        <v>41775</v>
      </c>
      <c r="J371" s="54">
        <v>1925.86</v>
      </c>
      <c r="K371" s="21">
        <v>551.79999999999995</v>
      </c>
      <c r="L371" s="22">
        <v>7.7164999999999999</v>
      </c>
      <c r="M371" s="23">
        <v>12.906499999999999</v>
      </c>
      <c r="N371" s="22">
        <v>2.7879999999999998</v>
      </c>
      <c r="O371" s="22">
        <v>2.2145999999999999</v>
      </c>
      <c r="P371" s="21">
        <v>11412.5</v>
      </c>
      <c r="Q371" s="20">
        <v>58.585000000000001</v>
      </c>
      <c r="R371" s="21"/>
    </row>
    <row r="372" spans="1:18">
      <c r="A372" s="14">
        <v>40717</v>
      </c>
      <c r="B372" s="15">
        <v>239.65</v>
      </c>
      <c r="C372" s="15">
        <v>247.7</v>
      </c>
      <c r="F372" s="53">
        <v>5</v>
      </c>
      <c r="G372">
        <v>19</v>
      </c>
      <c r="H372">
        <v>2014</v>
      </c>
      <c r="I372" s="41">
        <v>41778</v>
      </c>
      <c r="J372" s="54">
        <v>1918.5</v>
      </c>
      <c r="K372" s="21">
        <v>551.9</v>
      </c>
      <c r="L372" s="22">
        <v>7.7205000000000004</v>
      </c>
      <c r="M372" s="23">
        <v>12.9002</v>
      </c>
      <c r="N372" s="22">
        <v>2.7885</v>
      </c>
      <c r="O372" s="22">
        <v>2.2058</v>
      </c>
      <c r="P372" s="21">
        <v>11417.5</v>
      </c>
      <c r="Q372" s="20">
        <v>58.375</v>
      </c>
      <c r="R372" s="21"/>
    </row>
    <row r="373" spans="1:18">
      <c r="A373" s="14">
        <v>40718</v>
      </c>
      <c r="B373" s="15">
        <v>245.5</v>
      </c>
      <c r="C373" s="15">
        <v>249</v>
      </c>
      <c r="F373" s="53">
        <v>5</v>
      </c>
      <c r="G373">
        <v>20</v>
      </c>
      <c r="H373">
        <v>2014</v>
      </c>
      <c r="I373" s="41">
        <v>41779</v>
      </c>
      <c r="J373" s="54">
        <v>1921.41</v>
      </c>
      <c r="K373" s="21">
        <v>552.1</v>
      </c>
      <c r="L373" s="22">
        <v>7.7255000000000003</v>
      </c>
      <c r="M373" s="23">
        <v>12.9093</v>
      </c>
      <c r="N373" s="22">
        <v>2.7894999999999999</v>
      </c>
      <c r="O373" s="22">
        <v>2.2164999999999999</v>
      </c>
      <c r="P373" s="21">
        <v>11487.5</v>
      </c>
      <c r="Q373" s="20">
        <v>58.59</v>
      </c>
      <c r="R373" s="21"/>
    </row>
    <row r="374" spans="1:18">
      <c r="A374" s="14">
        <v>40721</v>
      </c>
      <c r="B374" s="15">
        <v>249.1</v>
      </c>
      <c r="C374" s="15">
        <v>250.15</v>
      </c>
      <c r="F374" s="53">
        <v>5</v>
      </c>
      <c r="G374">
        <v>21</v>
      </c>
      <c r="H374">
        <v>2014</v>
      </c>
      <c r="I374" s="41">
        <v>41780</v>
      </c>
      <c r="J374" s="54">
        <v>1910.62</v>
      </c>
      <c r="K374" s="21">
        <v>552.9</v>
      </c>
      <c r="L374" s="22">
        <v>7.7394999999999996</v>
      </c>
      <c r="M374" s="23">
        <v>12.928000000000001</v>
      </c>
      <c r="N374" s="22">
        <v>2.7894999999999999</v>
      </c>
      <c r="O374" s="22">
        <v>2.2075</v>
      </c>
      <c r="P374" s="21">
        <v>11507.5</v>
      </c>
      <c r="Q374" s="20">
        <v>58.695</v>
      </c>
      <c r="R374" s="21"/>
    </row>
    <row r="375" spans="1:18">
      <c r="A375" s="14">
        <v>40722</v>
      </c>
      <c r="B375" s="15">
        <v>250</v>
      </c>
      <c r="C375" s="15">
        <v>257.89999999999998</v>
      </c>
      <c r="F375" s="53">
        <v>5</v>
      </c>
      <c r="G375">
        <v>22</v>
      </c>
      <c r="H375">
        <v>2014</v>
      </c>
      <c r="I375" s="41">
        <v>41781</v>
      </c>
      <c r="J375" s="54">
        <v>1905.35</v>
      </c>
      <c r="K375" s="21">
        <v>552.5</v>
      </c>
      <c r="L375" s="22">
        <v>7.7495000000000003</v>
      </c>
      <c r="M375" s="23">
        <v>12.8809</v>
      </c>
      <c r="N375" s="22">
        <v>2.7885</v>
      </c>
      <c r="O375" s="22">
        <v>2.2153</v>
      </c>
      <c r="P375" s="21">
        <v>11530.5</v>
      </c>
      <c r="Q375" s="20">
        <v>58.284999999999997</v>
      </c>
      <c r="R375" s="21"/>
    </row>
    <row r="376" spans="1:18">
      <c r="A376" s="14">
        <v>40723</v>
      </c>
      <c r="B376" s="15">
        <v>254</v>
      </c>
      <c r="C376" s="15">
        <v>260.25</v>
      </c>
      <c r="F376" s="53">
        <v>5</v>
      </c>
      <c r="G376">
        <v>23</v>
      </c>
      <c r="H376">
        <v>2014</v>
      </c>
      <c r="I376" s="41">
        <v>41782</v>
      </c>
      <c r="J376" s="54">
        <v>1910.35</v>
      </c>
      <c r="K376" s="21">
        <v>552.5</v>
      </c>
      <c r="L376" s="22">
        <v>7.7525000000000004</v>
      </c>
      <c r="M376" s="23">
        <v>12.8575</v>
      </c>
      <c r="N376" s="22">
        <v>2.7894999999999999</v>
      </c>
      <c r="O376" s="22">
        <v>2.2235</v>
      </c>
      <c r="P376" s="21">
        <v>11610</v>
      </c>
      <c r="Q376" s="20">
        <v>58.524999999999999</v>
      </c>
      <c r="R376" s="21"/>
    </row>
    <row r="377" spans="1:18">
      <c r="A377" s="14">
        <v>40724</v>
      </c>
      <c r="B377" s="15">
        <v>264.39999999999998</v>
      </c>
      <c r="C377" s="15">
        <v>265.35000000000002</v>
      </c>
      <c r="F377" s="53">
        <v>5</v>
      </c>
      <c r="G377">
        <v>26</v>
      </c>
      <c r="H377">
        <v>2014</v>
      </c>
      <c r="I377" s="41">
        <v>41785</v>
      </c>
      <c r="J377" s="54">
        <v>1910.8</v>
      </c>
      <c r="K377" s="21">
        <v>552.5</v>
      </c>
      <c r="L377" s="22">
        <v>7.7525000000000004</v>
      </c>
      <c r="M377" s="23">
        <v>12.871499999999999</v>
      </c>
      <c r="N377" s="22">
        <v>2.7890000000000001</v>
      </c>
      <c r="O377" s="22">
        <v>2.2239</v>
      </c>
      <c r="P377" s="21">
        <v>11577.5</v>
      </c>
      <c r="Q377" s="20">
        <v>58.715000000000003</v>
      </c>
      <c r="R377" s="21"/>
    </row>
    <row r="378" spans="1:18">
      <c r="A378" s="14">
        <v>40725</v>
      </c>
      <c r="B378" s="15">
        <v>261.10000000000002</v>
      </c>
      <c r="C378" s="15">
        <v>263.45</v>
      </c>
      <c r="F378" s="53">
        <v>5</v>
      </c>
      <c r="G378">
        <v>27</v>
      </c>
      <c r="H378">
        <v>2014</v>
      </c>
      <c r="I378" s="41">
        <v>41786</v>
      </c>
      <c r="J378" s="54">
        <v>1916.5</v>
      </c>
      <c r="K378" s="21">
        <v>552.70000000000005</v>
      </c>
      <c r="L378" s="22">
        <v>7.7625000000000002</v>
      </c>
      <c r="M378" s="23">
        <v>12.856999999999999</v>
      </c>
      <c r="N378" s="22">
        <v>2.7894999999999999</v>
      </c>
      <c r="O378" s="22">
        <v>2.2378</v>
      </c>
      <c r="P378" s="21">
        <v>11577.5</v>
      </c>
      <c r="Q378" s="20">
        <v>59.045000000000002</v>
      </c>
      <c r="R378" s="21"/>
    </row>
    <row r="379" spans="1:18">
      <c r="A379" s="14">
        <v>40729</v>
      </c>
      <c r="B379" s="15">
        <v>263.5</v>
      </c>
      <c r="C379" s="15">
        <v>268.95</v>
      </c>
      <c r="F379" s="53">
        <v>5</v>
      </c>
      <c r="G379">
        <v>28</v>
      </c>
      <c r="H379">
        <v>2014</v>
      </c>
      <c r="I379" s="41">
        <v>41787</v>
      </c>
      <c r="J379" s="54">
        <v>1910</v>
      </c>
      <c r="K379" s="21">
        <v>552.5</v>
      </c>
      <c r="L379" s="22">
        <v>7.7614999999999998</v>
      </c>
      <c r="M379" s="23">
        <v>12.874599999999999</v>
      </c>
      <c r="N379" s="22">
        <v>2.7690000000000001</v>
      </c>
      <c r="O379" s="22">
        <v>2.2324999999999999</v>
      </c>
      <c r="P379" s="21">
        <v>11630</v>
      </c>
      <c r="Q379" s="20">
        <v>58.945</v>
      </c>
      <c r="R379" s="21"/>
    </row>
    <row r="380" spans="1:18">
      <c r="A380" s="14">
        <v>40730</v>
      </c>
      <c r="B380" s="15">
        <v>265.75</v>
      </c>
      <c r="C380" s="15">
        <v>266.85000000000002</v>
      </c>
      <c r="F380" s="53">
        <v>5</v>
      </c>
      <c r="G380">
        <v>29</v>
      </c>
      <c r="H380">
        <v>2014</v>
      </c>
      <c r="I380" s="41">
        <v>41788</v>
      </c>
      <c r="J380" s="54">
        <v>1906.5</v>
      </c>
      <c r="K380" s="21">
        <v>552.5</v>
      </c>
      <c r="L380" s="22">
        <v>7.7774999999999999</v>
      </c>
      <c r="M380" s="23">
        <v>12.840400000000001</v>
      </c>
      <c r="N380" s="22">
        <v>2.7635000000000001</v>
      </c>
      <c r="O380" s="22">
        <v>2.2252000000000001</v>
      </c>
      <c r="P380" s="21">
        <v>11630</v>
      </c>
      <c r="Q380" s="20">
        <v>58.92</v>
      </c>
      <c r="R380" s="21"/>
    </row>
    <row r="381" spans="1:18">
      <c r="A381" s="14">
        <v>40731</v>
      </c>
      <c r="B381" s="15">
        <v>267.35000000000002</v>
      </c>
      <c r="C381" s="15">
        <v>267.75</v>
      </c>
      <c r="F381" s="53">
        <v>5</v>
      </c>
      <c r="G381">
        <v>30</v>
      </c>
      <c r="H381">
        <v>2014</v>
      </c>
      <c r="I381" s="41">
        <v>41789</v>
      </c>
      <c r="J381" s="54">
        <v>1897</v>
      </c>
      <c r="K381" s="21">
        <v>553.29999999999995</v>
      </c>
      <c r="L381" s="22">
        <v>7.7865000000000002</v>
      </c>
      <c r="M381" s="23">
        <v>12.858700000000001</v>
      </c>
      <c r="N381" s="22">
        <v>2.7645</v>
      </c>
      <c r="O381" s="22">
        <v>2.2408000000000001</v>
      </c>
      <c r="P381" s="21">
        <v>11675</v>
      </c>
      <c r="Q381" s="20">
        <v>59.195</v>
      </c>
      <c r="R381" s="21"/>
    </row>
    <row r="382" spans="1:18">
      <c r="A382" s="14">
        <v>40732</v>
      </c>
      <c r="B382" s="15">
        <v>262.95</v>
      </c>
      <c r="C382" s="15">
        <v>263.14999999999998</v>
      </c>
      <c r="F382" s="53">
        <v>6</v>
      </c>
      <c r="G382">
        <v>2</v>
      </c>
      <c r="H382">
        <v>2014</v>
      </c>
      <c r="I382" s="41">
        <v>41792</v>
      </c>
      <c r="J382" s="54">
        <v>1903</v>
      </c>
      <c r="K382" s="21">
        <v>552.95000000000005</v>
      </c>
      <c r="L382" s="22">
        <v>7.7854999999999999</v>
      </c>
      <c r="M382" s="23">
        <v>12.913500000000001</v>
      </c>
      <c r="N382" s="22">
        <v>2.7683</v>
      </c>
      <c r="O382" s="22">
        <v>2.2768999999999999</v>
      </c>
      <c r="P382" s="21">
        <v>11765</v>
      </c>
      <c r="Q382" s="20">
        <v>59.155000000000001</v>
      </c>
      <c r="R382" s="21"/>
    </row>
    <row r="383" spans="1:18">
      <c r="A383" s="14">
        <v>40735</v>
      </c>
      <c r="B383" s="15">
        <v>0</v>
      </c>
      <c r="C383" s="15">
        <v>257.89999999999998</v>
      </c>
      <c r="F383" s="53">
        <v>6</v>
      </c>
      <c r="G383">
        <v>3</v>
      </c>
      <c r="H383">
        <v>2014</v>
      </c>
      <c r="I383" s="41">
        <v>41793</v>
      </c>
      <c r="J383" s="54">
        <v>1897.78</v>
      </c>
      <c r="K383" s="21">
        <v>554.1</v>
      </c>
      <c r="L383" s="22">
        <v>7.7815000000000003</v>
      </c>
      <c r="M383" s="23">
        <v>12.939500000000001</v>
      </c>
      <c r="N383" s="22">
        <v>2.7814999999999999</v>
      </c>
      <c r="O383" s="22">
        <v>2.2805</v>
      </c>
      <c r="P383" s="21">
        <v>11784</v>
      </c>
      <c r="Q383" s="20">
        <v>59.34</v>
      </c>
      <c r="R383" s="21"/>
    </row>
    <row r="384" spans="1:18">
      <c r="A384" s="14">
        <v>40736</v>
      </c>
      <c r="B384" s="15">
        <v>0</v>
      </c>
      <c r="C384" s="15">
        <v>256.7</v>
      </c>
      <c r="F384" s="53">
        <v>6</v>
      </c>
      <c r="G384">
        <v>4</v>
      </c>
      <c r="H384">
        <v>2014</v>
      </c>
      <c r="I384" s="41">
        <v>41794</v>
      </c>
      <c r="J384" s="54">
        <v>1898.25</v>
      </c>
      <c r="K384" s="21">
        <v>554.29999999999995</v>
      </c>
      <c r="L384" s="22">
        <v>7.7945000000000002</v>
      </c>
      <c r="M384" s="23">
        <v>12.9215</v>
      </c>
      <c r="N384" s="22">
        <v>2.7894999999999999</v>
      </c>
      <c r="O384" s="22">
        <v>2.2780999999999998</v>
      </c>
      <c r="P384" s="21">
        <v>11890</v>
      </c>
      <c r="Q384" s="20">
        <v>59.28</v>
      </c>
      <c r="R384" s="21"/>
    </row>
    <row r="385" spans="1:18">
      <c r="A385" s="14">
        <v>40737</v>
      </c>
      <c r="B385" s="15">
        <v>257.8</v>
      </c>
      <c r="C385" s="15">
        <v>262.8</v>
      </c>
      <c r="F385" s="53">
        <v>6</v>
      </c>
      <c r="G385">
        <v>5</v>
      </c>
      <c r="H385">
        <v>2014</v>
      </c>
      <c r="I385" s="41">
        <v>41795</v>
      </c>
      <c r="J385" s="54">
        <v>1891.8</v>
      </c>
      <c r="K385" s="21">
        <v>554.45000000000005</v>
      </c>
      <c r="L385" s="22">
        <v>7.8144999999999998</v>
      </c>
      <c r="M385" s="23">
        <v>12.867000000000001</v>
      </c>
      <c r="N385" s="22">
        <v>2.7894999999999999</v>
      </c>
      <c r="O385" s="22">
        <v>2.2616999999999998</v>
      </c>
      <c r="P385" s="21">
        <v>11855</v>
      </c>
      <c r="Q385" s="20">
        <v>59.26</v>
      </c>
      <c r="R385" s="21"/>
    </row>
    <row r="386" spans="1:18">
      <c r="A386" s="14">
        <v>40738</v>
      </c>
      <c r="B386" s="15">
        <v>258.35000000000002</v>
      </c>
      <c r="C386" s="15">
        <v>257.35000000000002</v>
      </c>
      <c r="F386" s="53">
        <v>6</v>
      </c>
      <c r="G386">
        <v>6</v>
      </c>
      <c r="H386">
        <v>2014</v>
      </c>
      <c r="I386" s="41">
        <v>41796</v>
      </c>
      <c r="J386" s="54">
        <v>1883.85</v>
      </c>
      <c r="K386" s="21">
        <v>554.29999999999995</v>
      </c>
      <c r="L386" s="22">
        <v>7.8375000000000004</v>
      </c>
      <c r="M386" s="23">
        <v>12.929</v>
      </c>
      <c r="N386" s="22">
        <v>2.7894999999999999</v>
      </c>
      <c r="O386" s="22">
        <v>2.2475000000000001</v>
      </c>
      <c r="P386" s="21">
        <v>11835</v>
      </c>
      <c r="Q386" s="20">
        <v>59.174999999999997</v>
      </c>
      <c r="R386" s="21"/>
    </row>
    <row r="387" spans="1:18">
      <c r="A387" s="14">
        <v>40739</v>
      </c>
      <c r="B387" s="15">
        <v>255</v>
      </c>
      <c r="C387" s="15">
        <v>252.55</v>
      </c>
      <c r="F387" s="53">
        <v>6</v>
      </c>
      <c r="G387">
        <v>9</v>
      </c>
      <c r="H387">
        <v>2014</v>
      </c>
      <c r="I387" s="41">
        <v>41799</v>
      </c>
      <c r="J387" s="54">
        <v>1889</v>
      </c>
      <c r="K387" s="21">
        <v>554.20000000000005</v>
      </c>
      <c r="L387" s="22">
        <v>7.8395000000000001</v>
      </c>
      <c r="M387" s="23">
        <v>13.032</v>
      </c>
      <c r="N387" s="22">
        <v>2.7850000000000001</v>
      </c>
      <c r="O387" s="22">
        <v>2.2277</v>
      </c>
      <c r="P387" s="21">
        <v>11775.5</v>
      </c>
      <c r="Q387" s="20">
        <v>59.204999999999998</v>
      </c>
      <c r="R387" s="21"/>
    </row>
    <row r="388" spans="1:18">
      <c r="A388" s="14">
        <v>40742</v>
      </c>
      <c r="B388" s="15">
        <v>249</v>
      </c>
      <c r="C388" s="15">
        <v>248.2</v>
      </c>
      <c r="F388" s="53">
        <v>6</v>
      </c>
      <c r="G388">
        <v>10</v>
      </c>
      <c r="H388">
        <v>2014</v>
      </c>
      <c r="I388" s="41">
        <v>41800</v>
      </c>
      <c r="J388" s="54">
        <v>1882.85</v>
      </c>
      <c r="K388" s="21">
        <v>554.5</v>
      </c>
      <c r="L388" s="22">
        <v>7.8324999999999996</v>
      </c>
      <c r="M388" s="23">
        <v>13.018800000000001</v>
      </c>
      <c r="N388" s="22">
        <v>2.7894999999999999</v>
      </c>
      <c r="O388" s="22">
        <v>2.2225000000000001</v>
      </c>
      <c r="P388" s="21">
        <v>11810</v>
      </c>
      <c r="Q388" s="20">
        <v>59.215000000000003</v>
      </c>
      <c r="R388" s="21"/>
    </row>
    <row r="389" spans="1:18">
      <c r="A389" s="14">
        <v>40743</v>
      </c>
      <c r="B389" s="15">
        <v>243.75</v>
      </c>
      <c r="C389" s="15">
        <v>243.85</v>
      </c>
      <c r="F389" s="53">
        <v>6</v>
      </c>
      <c r="G389">
        <v>11</v>
      </c>
      <c r="H389">
        <v>2014</v>
      </c>
      <c r="I389" s="41">
        <v>41801</v>
      </c>
      <c r="J389" s="54">
        <v>1883.2</v>
      </c>
      <c r="K389" s="21">
        <v>555.4</v>
      </c>
      <c r="L389" s="22">
        <v>7.8215000000000003</v>
      </c>
      <c r="M389" s="23">
        <v>13.0101</v>
      </c>
      <c r="N389" s="22">
        <v>2.7985000000000002</v>
      </c>
      <c r="O389" s="22">
        <v>2.2334999999999998</v>
      </c>
      <c r="P389" s="21">
        <v>11810</v>
      </c>
      <c r="Q389" s="20">
        <v>59.34</v>
      </c>
      <c r="R389" s="21"/>
    </row>
    <row r="390" spans="1:18">
      <c r="A390" s="14">
        <v>40744</v>
      </c>
      <c r="B390" s="15">
        <v>240.1</v>
      </c>
      <c r="C390" s="15">
        <v>243.4</v>
      </c>
      <c r="F390" s="53">
        <v>6</v>
      </c>
      <c r="G390">
        <v>12</v>
      </c>
      <c r="H390">
        <v>2014</v>
      </c>
      <c r="I390" s="41">
        <v>41802</v>
      </c>
      <c r="J390" s="54">
        <v>1873.6</v>
      </c>
      <c r="K390" s="21">
        <v>557.54999999999995</v>
      </c>
      <c r="L390" s="22">
        <v>7.8144999999999998</v>
      </c>
      <c r="M390" s="23">
        <v>12.978199999999999</v>
      </c>
      <c r="N390" s="22">
        <v>2.7945000000000002</v>
      </c>
      <c r="O390" s="22">
        <v>2.23</v>
      </c>
      <c r="P390" s="21">
        <v>11788</v>
      </c>
      <c r="Q390" s="20">
        <v>59.295000000000002</v>
      </c>
      <c r="R390" s="21"/>
    </row>
    <row r="391" spans="1:18">
      <c r="A391" s="14">
        <v>40745</v>
      </c>
      <c r="B391" s="15">
        <v>239.5</v>
      </c>
      <c r="C391" s="15">
        <v>240.8</v>
      </c>
      <c r="F391" s="53">
        <v>6</v>
      </c>
      <c r="G391">
        <v>13</v>
      </c>
      <c r="H391">
        <v>2014</v>
      </c>
      <c r="I391" s="41">
        <v>41803</v>
      </c>
      <c r="J391" s="54">
        <v>1881.8</v>
      </c>
      <c r="K391" s="21">
        <v>557.29999999999995</v>
      </c>
      <c r="L391" s="22">
        <v>7.8164999999999996</v>
      </c>
      <c r="M391" s="23">
        <v>13.009600000000001</v>
      </c>
      <c r="N391" s="22">
        <v>2.7879999999999998</v>
      </c>
      <c r="O391" s="22">
        <v>2.2241</v>
      </c>
      <c r="P391" s="21">
        <v>11794.5</v>
      </c>
      <c r="Q391" s="20">
        <v>59.71</v>
      </c>
      <c r="R391" s="21"/>
    </row>
    <row r="392" spans="1:18">
      <c r="A392" s="14">
        <v>40746</v>
      </c>
      <c r="B392" s="15">
        <v>238</v>
      </c>
      <c r="C392" s="15">
        <v>241.5</v>
      </c>
      <c r="F392" s="53">
        <v>6</v>
      </c>
      <c r="G392">
        <v>16</v>
      </c>
      <c r="H392">
        <v>2014</v>
      </c>
      <c r="I392" s="41">
        <v>41806</v>
      </c>
      <c r="J392" s="54">
        <v>1889.5</v>
      </c>
      <c r="K392" s="21">
        <v>557.25</v>
      </c>
      <c r="L392" s="22">
        <v>7.8135000000000003</v>
      </c>
      <c r="M392" s="23">
        <v>13.0465</v>
      </c>
      <c r="N392" s="22">
        <v>2.7970000000000002</v>
      </c>
      <c r="O392" s="22">
        <v>2.2343000000000002</v>
      </c>
      <c r="P392" s="21">
        <v>11817.5</v>
      </c>
      <c r="Q392" s="20">
        <v>60.185000000000002</v>
      </c>
      <c r="R392" s="21"/>
    </row>
    <row r="393" spans="1:18">
      <c r="A393" s="14">
        <v>40749</v>
      </c>
      <c r="B393" s="15">
        <v>241.05</v>
      </c>
      <c r="C393" s="15">
        <v>242.9</v>
      </c>
      <c r="F393" s="53">
        <v>6</v>
      </c>
      <c r="G393">
        <v>17</v>
      </c>
      <c r="H393">
        <v>2014</v>
      </c>
      <c r="I393" s="41">
        <v>41807</v>
      </c>
      <c r="J393" s="54">
        <v>1902.3</v>
      </c>
      <c r="K393" s="21">
        <v>554.9</v>
      </c>
      <c r="L393" s="22">
        <v>7.8144999999999998</v>
      </c>
      <c r="M393" s="23">
        <v>13.114699999999999</v>
      </c>
      <c r="N393" s="22">
        <v>2.8010000000000002</v>
      </c>
      <c r="O393" s="22">
        <v>2.2618</v>
      </c>
      <c r="P393" s="21">
        <v>11892.5</v>
      </c>
      <c r="Q393" s="20">
        <v>60.33</v>
      </c>
      <c r="R393" s="21"/>
    </row>
    <row r="394" spans="1:18">
      <c r="A394" s="14">
        <v>40750</v>
      </c>
      <c r="B394" s="15">
        <v>242.8</v>
      </c>
      <c r="C394" s="15">
        <v>244.95</v>
      </c>
      <c r="F394" s="53">
        <v>6</v>
      </c>
      <c r="G394">
        <v>18</v>
      </c>
      <c r="H394">
        <v>2014</v>
      </c>
      <c r="I394" s="41">
        <v>41808</v>
      </c>
      <c r="J394" s="54">
        <v>1890.5</v>
      </c>
      <c r="K394" s="21">
        <v>555</v>
      </c>
      <c r="L394" s="22">
        <v>7.8174999999999999</v>
      </c>
      <c r="M394" s="23">
        <v>12.9787</v>
      </c>
      <c r="N394" s="22">
        <v>2.8</v>
      </c>
      <c r="O394" s="22">
        <v>2.2280000000000002</v>
      </c>
      <c r="P394" s="21">
        <v>11996.5</v>
      </c>
      <c r="Q394" s="20">
        <v>60.3</v>
      </c>
      <c r="R394" s="21"/>
    </row>
    <row r="395" spans="1:18">
      <c r="A395" s="14">
        <v>40751</v>
      </c>
      <c r="B395" s="15">
        <v>238.6</v>
      </c>
      <c r="C395" s="15">
        <v>241.2</v>
      </c>
      <c r="F395" s="53">
        <v>6</v>
      </c>
      <c r="G395">
        <v>19</v>
      </c>
      <c r="H395">
        <v>2014</v>
      </c>
      <c r="I395" s="41">
        <v>41809</v>
      </c>
      <c r="J395" s="54">
        <v>1882.4</v>
      </c>
      <c r="K395" s="21">
        <v>553.6</v>
      </c>
      <c r="L395" s="22">
        <v>7.8194999999999997</v>
      </c>
      <c r="M395" s="23">
        <v>13.0235</v>
      </c>
      <c r="N395" s="22">
        <v>2.8045</v>
      </c>
      <c r="O395" s="22">
        <v>2.2225000000000001</v>
      </c>
      <c r="P395" s="21">
        <v>11934</v>
      </c>
      <c r="Q395" s="20">
        <v>60.094999999999999</v>
      </c>
      <c r="R395" s="21"/>
    </row>
    <row r="396" spans="1:18">
      <c r="A396" s="14">
        <v>40752</v>
      </c>
      <c r="B396" s="15">
        <v>237.2</v>
      </c>
      <c r="C396" s="15">
        <v>238.65</v>
      </c>
      <c r="F396" s="53">
        <v>6</v>
      </c>
      <c r="G396">
        <v>20</v>
      </c>
      <c r="H396">
        <v>2014</v>
      </c>
      <c r="I396" s="41">
        <v>41810</v>
      </c>
      <c r="J396" s="54">
        <v>1882.85</v>
      </c>
      <c r="K396" s="21">
        <v>553.23</v>
      </c>
      <c r="L396" s="22">
        <v>7.8155000000000001</v>
      </c>
      <c r="M396" s="23">
        <v>12.988799999999999</v>
      </c>
      <c r="N396" s="22">
        <v>2.8052999999999999</v>
      </c>
      <c r="O396" s="22">
        <v>2.2294999999999998</v>
      </c>
      <c r="P396" s="21">
        <v>11971.5</v>
      </c>
      <c r="Q396" s="20">
        <v>60.174999999999997</v>
      </c>
      <c r="R396" s="21"/>
    </row>
    <row r="397" spans="1:18">
      <c r="A397" s="14">
        <v>40753</v>
      </c>
      <c r="B397" s="15">
        <v>238.3</v>
      </c>
      <c r="C397" s="15">
        <v>239.55</v>
      </c>
      <c r="F397" s="53">
        <v>6</v>
      </c>
      <c r="G397">
        <v>23</v>
      </c>
      <c r="H397">
        <v>2014</v>
      </c>
      <c r="I397" s="41">
        <v>41813</v>
      </c>
      <c r="J397" s="54">
        <v>1883</v>
      </c>
      <c r="K397" s="21">
        <v>547.6</v>
      </c>
      <c r="L397" s="22">
        <v>7.8055000000000003</v>
      </c>
      <c r="M397" s="23">
        <v>13.0291</v>
      </c>
      <c r="N397" s="22">
        <v>2.8039999999999998</v>
      </c>
      <c r="O397" s="22">
        <v>2.218</v>
      </c>
      <c r="P397" s="21">
        <v>11990</v>
      </c>
      <c r="Q397" s="20">
        <v>60.16</v>
      </c>
      <c r="R397" s="21"/>
    </row>
    <row r="398" spans="1:18">
      <c r="A398" s="14">
        <v>40756</v>
      </c>
      <c r="B398" s="15">
        <v>239.7</v>
      </c>
      <c r="C398" s="15">
        <v>241.35</v>
      </c>
      <c r="F398" s="53">
        <v>6</v>
      </c>
      <c r="G398">
        <v>24</v>
      </c>
      <c r="H398">
        <v>2014</v>
      </c>
      <c r="I398" s="41">
        <v>41814</v>
      </c>
      <c r="J398" s="54">
        <v>1889.85</v>
      </c>
      <c r="K398" s="21">
        <v>547.5</v>
      </c>
      <c r="L398" s="22">
        <v>7.7965</v>
      </c>
      <c r="M398" s="23">
        <v>13.061199999999999</v>
      </c>
      <c r="N398" s="22">
        <v>2.8039999999999998</v>
      </c>
      <c r="O398" s="22">
        <v>2.2252000000000001</v>
      </c>
      <c r="P398" s="21">
        <v>11987.5</v>
      </c>
      <c r="Q398" s="20">
        <v>60.16</v>
      </c>
      <c r="R398" s="21"/>
    </row>
    <row r="399" spans="1:18">
      <c r="A399" s="14">
        <v>40757</v>
      </c>
      <c r="B399" s="15">
        <v>240.65</v>
      </c>
      <c r="C399" s="15">
        <v>243.2</v>
      </c>
      <c r="F399" s="53">
        <v>6</v>
      </c>
      <c r="G399">
        <v>25</v>
      </c>
      <c r="H399">
        <v>2014</v>
      </c>
      <c r="I399" s="41">
        <v>41815</v>
      </c>
      <c r="J399" s="54">
        <v>1881.25</v>
      </c>
      <c r="K399" s="21">
        <v>547.5</v>
      </c>
      <c r="L399" s="22">
        <v>7.7925000000000004</v>
      </c>
      <c r="M399" s="23">
        <v>13.005800000000001</v>
      </c>
      <c r="N399" s="22">
        <v>2.8045</v>
      </c>
      <c r="O399" s="22">
        <v>2.2078000000000002</v>
      </c>
      <c r="P399" s="21">
        <v>12090</v>
      </c>
      <c r="Q399" s="20">
        <v>60.085000000000001</v>
      </c>
      <c r="R399" s="21"/>
    </row>
    <row r="400" spans="1:18">
      <c r="A400" s="14">
        <v>40758</v>
      </c>
      <c r="B400" s="15">
        <v>240.35</v>
      </c>
      <c r="C400" s="15">
        <v>241.9</v>
      </c>
      <c r="F400" s="53">
        <v>6</v>
      </c>
      <c r="G400">
        <v>26</v>
      </c>
      <c r="H400">
        <v>2014</v>
      </c>
      <c r="I400" s="41">
        <v>41816</v>
      </c>
      <c r="J400" s="54">
        <v>1883.5</v>
      </c>
      <c r="K400" s="21">
        <v>544.51</v>
      </c>
      <c r="L400" s="22">
        <v>7.7865000000000002</v>
      </c>
      <c r="M400" s="23">
        <v>13.017899999999999</v>
      </c>
      <c r="N400" s="22">
        <v>2.8045</v>
      </c>
      <c r="O400" s="22">
        <v>2.1968999999999999</v>
      </c>
      <c r="P400" s="21">
        <v>12099</v>
      </c>
      <c r="Q400" s="20">
        <v>60.21</v>
      </c>
      <c r="R400" s="21"/>
    </row>
    <row r="401" spans="1:18">
      <c r="A401" s="14">
        <v>40759</v>
      </c>
      <c r="B401" s="15">
        <v>234.75</v>
      </c>
      <c r="C401" s="15">
        <v>235.85</v>
      </c>
      <c r="F401" s="53">
        <v>6</v>
      </c>
      <c r="G401">
        <v>27</v>
      </c>
      <c r="H401">
        <v>2014</v>
      </c>
      <c r="I401" s="41">
        <v>41817</v>
      </c>
      <c r="J401" s="54">
        <v>1879.83</v>
      </c>
      <c r="K401" s="21">
        <v>544.51</v>
      </c>
      <c r="L401" s="22">
        <v>7.7805</v>
      </c>
      <c r="M401" s="23">
        <v>12.9625</v>
      </c>
      <c r="N401" s="22">
        <v>2.7959999999999998</v>
      </c>
      <c r="O401" s="22">
        <v>2.194</v>
      </c>
      <c r="P401" s="21">
        <v>11995</v>
      </c>
      <c r="Q401" s="20">
        <v>60.045000000000002</v>
      </c>
      <c r="R401" s="21"/>
    </row>
    <row r="402" spans="1:18">
      <c r="A402" s="14">
        <v>40760</v>
      </c>
      <c r="B402" s="15">
        <v>233.5</v>
      </c>
      <c r="C402" s="15">
        <v>238</v>
      </c>
      <c r="F402" s="53">
        <v>6</v>
      </c>
      <c r="G402">
        <v>30</v>
      </c>
      <c r="H402">
        <v>2014</v>
      </c>
      <c r="I402" s="41">
        <v>41820</v>
      </c>
      <c r="J402" s="54">
        <v>1879.75</v>
      </c>
      <c r="K402" s="21">
        <v>543.12</v>
      </c>
      <c r="L402" s="22">
        <v>7.7805</v>
      </c>
      <c r="M402" s="23">
        <v>12.9682</v>
      </c>
      <c r="N402" s="22">
        <v>2.7985000000000002</v>
      </c>
      <c r="O402" s="22">
        <v>2.2143000000000002</v>
      </c>
      <c r="P402" s="21">
        <v>11855</v>
      </c>
      <c r="Q402" s="20">
        <v>60.06</v>
      </c>
      <c r="R402" s="21"/>
    </row>
    <row r="403" spans="1:18">
      <c r="A403" s="14">
        <v>40763</v>
      </c>
      <c r="B403" s="15">
        <v>231.35</v>
      </c>
      <c r="C403" s="15">
        <v>234.2</v>
      </c>
      <c r="F403" s="53">
        <v>7</v>
      </c>
      <c r="G403">
        <v>1</v>
      </c>
      <c r="H403">
        <v>2014</v>
      </c>
      <c r="I403" s="41">
        <v>41821</v>
      </c>
      <c r="J403" s="54">
        <v>1860.99</v>
      </c>
      <c r="K403" s="21">
        <v>542.97</v>
      </c>
      <c r="L403" s="22">
        <v>7.7805</v>
      </c>
      <c r="M403" s="23">
        <v>12.943099999999999</v>
      </c>
      <c r="N403" s="22">
        <v>2.7970000000000002</v>
      </c>
      <c r="O403" s="22">
        <v>2.2018</v>
      </c>
      <c r="P403" s="21">
        <v>11855</v>
      </c>
      <c r="Q403" s="20">
        <v>60.06</v>
      </c>
      <c r="R403" s="21"/>
    </row>
    <row r="404" spans="1:18">
      <c r="A404" s="14">
        <v>40764</v>
      </c>
      <c r="B404" s="15">
        <v>232.6</v>
      </c>
      <c r="C404" s="15">
        <v>234.75</v>
      </c>
      <c r="F404" s="53">
        <v>7</v>
      </c>
      <c r="G404">
        <v>2</v>
      </c>
      <c r="H404">
        <v>2014</v>
      </c>
      <c r="I404" s="41">
        <v>41822</v>
      </c>
      <c r="J404" s="54">
        <v>1857.17</v>
      </c>
      <c r="K404" s="21">
        <v>541.76</v>
      </c>
      <c r="L404" s="22">
        <v>7.7744999999999997</v>
      </c>
      <c r="M404" s="23">
        <v>12.996499999999999</v>
      </c>
      <c r="N404" s="22">
        <v>2.7949999999999999</v>
      </c>
      <c r="O404" s="22">
        <v>2.2252000000000001</v>
      </c>
      <c r="P404" s="21">
        <v>11910</v>
      </c>
      <c r="Q404" s="20">
        <v>59.692</v>
      </c>
      <c r="R404" s="21"/>
    </row>
    <row r="405" spans="1:18">
      <c r="A405" s="14">
        <v>40765</v>
      </c>
      <c r="B405" s="15">
        <v>233.8</v>
      </c>
      <c r="C405" s="15">
        <v>234.85</v>
      </c>
      <c r="F405" s="53">
        <v>7</v>
      </c>
      <c r="G405">
        <v>3</v>
      </c>
      <c r="H405">
        <v>2014</v>
      </c>
      <c r="I405" s="41">
        <v>41823</v>
      </c>
      <c r="J405" s="54">
        <v>1843.85</v>
      </c>
      <c r="K405" s="21">
        <v>540.38</v>
      </c>
      <c r="L405" s="22">
        <v>7.7655000000000003</v>
      </c>
      <c r="M405" s="23">
        <v>12.956</v>
      </c>
      <c r="N405" s="22">
        <v>2.7759999999999998</v>
      </c>
      <c r="O405" s="22">
        <v>2.2103000000000002</v>
      </c>
      <c r="P405" s="21">
        <v>11917.5</v>
      </c>
      <c r="Q405" s="20">
        <v>59.74</v>
      </c>
      <c r="R405" s="21"/>
    </row>
    <row r="406" spans="1:18">
      <c r="A406" s="14">
        <v>40766</v>
      </c>
      <c r="B406" s="15">
        <v>234.25</v>
      </c>
      <c r="C406" s="15">
        <v>240.85</v>
      </c>
      <c r="F406" s="53">
        <v>7</v>
      </c>
      <c r="G406">
        <v>4</v>
      </c>
      <c r="H406">
        <v>2014</v>
      </c>
      <c r="I406" s="41">
        <v>41824</v>
      </c>
      <c r="J406" s="54">
        <v>1843</v>
      </c>
      <c r="K406" s="21">
        <v>539.52</v>
      </c>
      <c r="L406" s="22">
        <v>7.7655000000000003</v>
      </c>
      <c r="M406" s="23">
        <v>12.9764</v>
      </c>
      <c r="N406" s="22">
        <v>2.7694999999999999</v>
      </c>
      <c r="O406" s="22">
        <v>2.2132000000000001</v>
      </c>
      <c r="P406" s="21">
        <v>11872.5</v>
      </c>
      <c r="Q406" s="20">
        <v>59.725000000000001</v>
      </c>
      <c r="R406" s="21"/>
    </row>
    <row r="407" spans="1:18">
      <c r="A407" s="14">
        <v>40767</v>
      </c>
      <c r="B407" s="15">
        <v>239.4</v>
      </c>
      <c r="C407" s="15">
        <v>240.35</v>
      </c>
      <c r="F407" s="53">
        <v>7</v>
      </c>
      <c r="G407">
        <v>7</v>
      </c>
      <c r="H407">
        <v>2014</v>
      </c>
      <c r="I407" s="41">
        <v>41827</v>
      </c>
      <c r="J407" s="54">
        <v>1854.9</v>
      </c>
      <c r="K407" s="21">
        <v>539.52</v>
      </c>
      <c r="L407" s="22">
        <v>7.7525000000000004</v>
      </c>
      <c r="M407" s="23">
        <v>13.022500000000001</v>
      </c>
      <c r="N407" s="22">
        <v>2.7755000000000001</v>
      </c>
      <c r="O407" s="22">
        <v>2.2240000000000002</v>
      </c>
      <c r="P407" s="21">
        <v>11700</v>
      </c>
      <c r="Q407" s="20">
        <v>59.954999999999998</v>
      </c>
      <c r="R407" s="21"/>
    </row>
    <row r="408" spans="1:18">
      <c r="A408" s="14">
        <v>40770</v>
      </c>
      <c r="B408" s="15">
        <v>240.1</v>
      </c>
      <c r="C408" s="15">
        <v>245.7</v>
      </c>
      <c r="F408" s="53">
        <v>7</v>
      </c>
      <c r="G408">
        <v>8</v>
      </c>
      <c r="H408">
        <v>2014</v>
      </c>
      <c r="I408" s="41">
        <v>41828</v>
      </c>
      <c r="J408" s="54">
        <v>1854.25</v>
      </c>
      <c r="K408" s="21">
        <v>539.58000000000004</v>
      </c>
      <c r="L408" s="22">
        <v>7.7545000000000002</v>
      </c>
      <c r="M408" s="23">
        <v>12.986000000000001</v>
      </c>
      <c r="N408" s="22">
        <v>2.7865000000000002</v>
      </c>
      <c r="O408" s="22">
        <v>2.2122999999999999</v>
      </c>
      <c r="P408" s="21">
        <v>11625</v>
      </c>
      <c r="Q408" s="20">
        <v>59.755000000000003</v>
      </c>
      <c r="R408" s="21"/>
    </row>
    <row r="409" spans="1:18">
      <c r="A409" s="14">
        <v>40771</v>
      </c>
      <c r="B409" s="15">
        <v>242</v>
      </c>
      <c r="C409" s="15">
        <v>251.55</v>
      </c>
      <c r="F409" s="53">
        <v>7</v>
      </c>
      <c r="G409">
        <v>9</v>
      </c>
      <c r="H409">
        <v>2014</v>
      </c>
      <c r="I409" s="41">
        <v>41829</v>
      </c>
      <c r="J409" s="54">
        <v>1859.1</v>
      </c>
      <c r="K409" s="21">
        <v>539.51</v>
      </c>
      <c r="L409" s="22">
        <v>7.7534999999999998</v>
      </c>
      <c r="M409" s="23">
        <v>12.9697</v>
      </c>
      <c r="N409" s="22">
        <v>2.78</v>
      </c>
      <c r="O409" s="22">
        <v>2.2122999999999999</v>
      </c>
      <c r="P409" s="21">
        <v>11625</v>
      </c>
      <c r="Q409" s="20">
        <v>59.765000000000001</v>
      </c>
      <c r="R409" s="21"/>
    </row>
    <row r="410" spans="1:18">
      <c r="A410" s="14">
        <v>40772</v>
      </c>
      <c r="B410" s="15">
        <v>250.65</v>
      </c>
      <c r="C410" s="15">
        <v>263.2</v>
      </c>
      <c r="F410" s="53">
        <v>7</v>
      </c>
      <c r="G410">
        <v>10</v>
      </c>
      <c r="H410">
        <v>2014</v>
      </c>
      <c r="I410" s="41">
        <v>41830</v>
      </c>
      <c r="J410" s="54">
        <v>1856.5</v>
      </c>
      <c r="K410" s="21">
        <v>539.5</v>
      </c>
      <c r="L410" s="22">
        <v>7.7534999999999998</v>
      </c>
      <c r="M410" s="23">
        <v>12.9916</v>
      </c>
      <c r="N410" s="22">
        <v>2.7763</v>
      </c>
      <c r="O410" s="22">
        <v>2.2191999999999998</v>
      </c>
      <c r="P410" s="21">
        <v>11575</v>
      </c>
      <c r="Q410" s="20">
        <v>60.195</v>
      </c>
      <c r="R410" s="21"/>
    </row>
    <row r="411" spans="1:18">
      <c r="A411" s="14">
        <v>40773</v>
      </c>
      <c r="B411" s="15">
        <v>256.85000000000002</v>
      </c>
      <c r="C411" s="15">
        <v>264.8</v>
      </c>
      <c r="F411" s="53">
        <v>7</v>
      </c>
      <c r="G411">
        <v>11</v>
      </c>
      <c r="H411">
        <v>2014</v>
      </c>
      <c r="I411" s="41">
        <v>41831</v>
      </c>
      <c r="J411" s="54">
        <v>1857.83</v>
      </c>
      <c r="K411" s="21">
        <v>539.5</v>
      </c>
      <c r="L411" s="22">
        <v>7.7504999999999997</v>
      </c>
      <c r="M411" s="23">
        <v>12.995900000000001</v>
      </c>
      <c r="N411" s="22">
        <v>2.7879999999999998</v>
      </c>
      <c r="O411" s="22">
        <v>2.2208000000000001</v>
      </c>
      <c r="P411" s="21">
        <v>11585</v>
      </c>
      <c r="Q411" s="20">
        <v>60.094999999999999</v>
      </c>
      <c r="R411" s="21"/>
    </row>
    <row r="412" spans="1:18">
      <c r="A412" s="14">
        <v>40774</v>
      </c>
      <c r="B412" s="15">
        <v>261.64999999999998</v>
      </c>
      <c r="C412" s="15">
        <v>266.14999999999998</v>
      </c>
      <c r="F412" s="53">
        <v>7</v>
      </c>
      <c r="G412">
        <v>14</v>
      </c>
      <c r="H412">
        <v>2014</v>
      </c>
      <c r="I412" s="41">
        <v>41834</v>
      </c>
      <c r="J412" s="54">
        <v>1860.6</v>
      </c>
      <c r="K412" s="21">
        <v>541.5</v>
      </c>
      <c r="L412" s="22">
        <v>7.7454999999999998</v>
      </c>
      <c r="M412" s="23">
        <v>12.9536</v>
      </c>
      <c r="N412" s="22">
        <v>2.7814999999999999</v>
      </c>
      <c r="O412" s="22">
        <v>2.2107000000000001</v>
      </c>
      <c r="P412" s="21">
        <v>11661.5</v>
      </c>
      <c r="Q412" s="20">
        <v>60.125</v>
      </c>
      <c r="R412" s="21"/>
    </row>
    <row r="413" spans="1:18">
      <c r="A413" s="14">
        <v>40777</v>
      </c>
      <c r="B413" s="15">
        <v>263.39999999999998</v>
      </c>
      <c r="C413" s="15">
        <v>264.7</v>
      </c>
      <c r="F413" s="53">
        <v>7</v>
      </c>
      <c r="G413">
        <v>15</v>
      </c>
      <c r="H413">
        <v>2014</v>
      </c>
      <c r="I413" s="41">
        <v>41835</v>
      </c>
      <c r="J413" s="54">
        <v>1868.6</v>
      </c>
      <c r="K413" s="21">
        <v>537.28</v>
      </c>
      <c r="L413" s="22">
        <v>7.7454999999999998</v>
      </c>
      <c r="M413" s="23">
        <v>12.9468</v>
      </c>
      <c r="N413" s="22">
        <v>2.7829999999999999</v>
      </c>
      <c r="O413" s="22">
        <v>2.2199</v>
      </c>
      <c r="P413" s="21">
        <v>11735</v>
      </c>
      <c r="Q413" s="20">
        <v>60.125</v>
      </c>
      <c r="R413" s="21"/>
    </row>
    <row r="414" spans="1:18">
      <c r="A414" s="14">
        <v>40778</v>
      </c>
      <c r="B414" s="15">
        <v>264.10000000000002</v>
      </c>
      <c r="C414" s="15">
        <v>268.85000000000002</v>
      </c>
      <c r="F414" s="53">
        <v>7</v>
      </c>
      <c r="G414">
        <v>16</v>
      </c>
      <c r="H414">
        <v>2014</v>
      </c>
      <c r="I414" s="41">
        <v>41836</v>
      </c>
      <c r="J414" s="54">
        <v>1867.95</v>
      </c>
      <c r="K414" s="21">
        <v>541.96</v>
      </c>
      <c r="L414" s="22">
        <v>7.7465000000000002</v>
      </c>
      <c r="M414" s="23">
        <v>12.9147</v>
      </c>
      <c r="N414" s="22">
        <v>2.786</v>
      </c>
      <c r="O414" s="22">
        <v>2.2238000000000002</v>
      </c>
      <c r="P414" s="21">
        <v>11695</v>
      </c>
      <c r="Q414" s="20">
        <v>60.125</v>
      </c>
      <c r="R414" s="21"/>
    </row>
    <row r="415" spans="1:18">
      <c r="A415" s="14">
        <v>40779</v>
      </c>
      <c r="B415" s="15">
        <v>270.10000000000002</v>
      </c>
      <c r="C415" s="15">
        <v>272.5</v>
      </c>
      <c r="F415" s="53">
        <v>7</v>
      </c>
      <c r="G415">
        <v>17</v>
      </c>
      <c r="H415">
        <v>2014</v>
      </c>
      <c r="I415" s="41">
        <v>41837</v>
      </c>
      <c r="J415" s="54">
        <v>1875.15</v>
      </c>
      <c r="K415" s="21">
        <v>537.25</v>
      </c>
      <c r="L415" s="22">
        <v>7.7474999999999996</v>
      </c>
      <c r="M415" s="23">
        <v>12.9999</v>
      </c>
      <c r="N415" s="22">
        <v>2.7890000000000001</v>
      </c>
      <c r="O415" s="22">
        <v>2.2582</v>
      </c>
      <c r="P415" s="21">
        <v>11685</v>
      </c>
      <c r="Q415" s="20">
        <v>60.185000000000002</v>
      </c>
      <c r="R415" s="21"/>
    </row>
    <row r="416" spans="1:18">
      <c r="A416" s="14">
        <v>40780</v>
      </c>
      <c r="B416" s="15">
        <v>273.25</v>
      </c>
      <c r="C416" s="15">
        <v>274.64999999999998</v>
      </c>
      <c r="F416" s="53">
        <v>7</v>
      </c>
      <c r="G416">
        <v>18</v>
      </c>
      <c r="H416">
        <v>2014</v>
      </c>
      <c r="I416" s="41">
        <v>41838</v>
      </c>
      <c r="J416" s="54">
        <v>1868.81</v>
      </c>
      <c r="K416" s="21">
        <v>537.24</v>
      </c>
      <c r="L416" s="22">
        <v>7.7584999999999997</v>
      </c>
      <c r="M416" s="23">
        <v>12.9483</v>
      </c>
      <c r="N416" s="22">
        <v>2.7909999999999999</v>
      </c>
      <c r="O416" s="22">
        <v>2.2254999999999998</v>
      </c>
      <c r="P416" s="21">
        <v>11615</v>
      </c>
      <c r="Q416" s="20">
        <v>60.284999999999997</v>
      </c>
      <c r="R416" s="21"/>
    </row>
    <row r="417" spans="1:18">
      <c r="A417" s="14">
        <v>40781</v>
      </c>
      <c r="B417" s="15">
        <v>275.7</v>
      </c>
      <c r="C417" s="15">
        <v>278.89999999999998</v>
      </c>
      <c r="F417" s="53">
        <v>7</v>
      </c>
      <c r="G417">
        <v>21</v>
      </c>
      <c r="H417">
        <v>2014</v>
      </c>
      <c r="I417" s="41">
        <v>41841</v>
      </c>
      <c r="J417" s="54">
        <v>1857.09</v>
      </c>
      <c r="K417" s="21">
        <v>537.32000000000005</v>
      </c>
      <c r="L417" s="22">
        <v>7.7584999999999997</v>
      </c>
      <c r="M417" s="23">
        <v>12.971</v>
      </c>
      <c r="N417" s="22">
        <v>2.79</v>
      </c>
      <c r="O417" s="22">
        <v>2.2200000000000002</v>
      </c>
      <c r="P417" s="21">
        <v>11570</v>
      </c>
      <c r="Q417" s="20">
        <v>60.244999999999997</v>
      </c>
      <c r="R417" s="21"/>
    </row>
    <row r="418" spans="1:18">
      <c r="A418" s="14">
        <v>40784</v>
      </c>
      <c r="B418" s="15">
        <v>280</v>
      </c>
      <c r="C418" s="15">
        <v>284.95</v>
      </c>
      <c r="F418" s="53">
        <v>7</v>
      </c>
      <c r="G418">
        <v>22</v>
      </c>
      <c r="H418">
        <v>2014</v>
      </c>
      <c r="I418" s="41">
        <v>41842</v>
      </c>
      <c r="J418" s="54">
        <v>1845.67</v>
      </c>
      <c r="K418" s="21">
        <v>537.37</v>
      </c>
      <c r="L418" s="22">
        <v>7.7774999999999999</v>
      </c>
      <c r="M418" s="23">
        <v>12.945</v>
      </c>
      <c r="N418" s="22">
        <v>2.7919999999999998</v>
      </c>
      <c r="O418" s="22">
        <v>2.2130000000000001</v>
      </c>
      <c r="P418" s="21">
        <v>11605</v>
      </c>
      <c r="Q418" s="20">
        <v>60.104999999999997</v>
      </c>
      <c r="R418" s="21"/>
    </row>
    <row r="419" spans="1:18">
      <c r="A419" s="14">
        <v>40785</v>
      </c>
      <c r="B419" s="15">
        <v>279.85000000000002</v>
      </c>
      <c r="C419" s="15">
        <v>287.45</v>
      </c>
      <c r="F419" s="53">
        <v>7</v>
      </c>
      <c r="G419">
        <v>23</v>
      </c>
      <c r="H419">
        <v>2014</v>
      </c>
      <c r="I419" s="41">
        <v>41843</v>
      </c>
      <c r="J419" s="54">
        <v>1846.99</v>
      </c>
      <c r="K419" s="21">
        <v>537.29999999999995</v>
      </c>
      <c r="L419" s="22">
        <v>7.7975000000000003</v>
      </c>
      <c r="M419" s="23">
        <v>12.935</v>
      </c>
      <c r="N419" s="22">
        <v>2.786</v>
      </c>
      <c r="O419" s="22">
        <v>2.2181999999999999</v>
      </c>
      <c r="P419" s="21">
        <v>11500</v>
      </c>
      <c r="Q419" s="20">
        <v>60.02</v>
      </c>
      <c r="R419" s="21"/>
    </row>
    <row r="420" spans="1:18">
      <c r="A420" s="14">
        <v>40786</v>
      </c>
      <c r="B420" s="15">
        <v>286.10000000000002</v>
      </c>
      <c r="C420" s="15">
        <v>289.10000000000002</v>
      </c>
      <c r="F420" s="53">
        <v>7</v>
      </c>
      <c r="G420">
        <v>24</v>
      </c>
      <c r="H420">
        <v>2014</v>
      </c>
      <c r="I420" s="41">
        <v>41844</v>
      </c>
      <c r="J420" s="54">
        <v>1846.5</v>
      </c>
      <c r="K420" s="21">
        <v>537.97</v>
      </c>
      <c r="L420" s="22">
        <v>7.7984999999999998</v>
      </c>
      <c r="M420" s="23">
        <v>12.9613</v>
      </c>
      <c r="N420" s="22">
        <v>2.7854999999999999</v>
      </c>
      <c r="O420" s="22">
        <v>2.2227999999999999</v>
      </c>
      <c r="P420" s="21">
        <v>11567.5</v>
      </c>
      <c r="Q420" s="20">
        <v>60.125</v>
      </c>
      <c r="R420" s="21"/>
    </row>
    <row r="421" spans="1:18">
      <c r="A421" s="14">
        <v>40787</v>
      </c>
      <c r="B421" s="15">
        <v>285.85000000000002</v>
      </c>
      <c r="C421" s="15">
        <v>290.7</v>
      </c>
      <c r="F421" s="53">
        <v>7</v>
      </c>
      <c r="G421">
        <v>25</v>
      </c>
      <c r="H421">
        <v>2014</v>
      </c>
      <c r="I421" s="41">
        <v>41845</v>
      </c>
      <c r="J421" s="54">
        <v>1849.78</v>
      </c>
      <c r="K421" s="21">
        <v>537.95000000000005</v>
      </c>
      <c r="L421" s="22">
        <v>7.8005000000000004</v>
      </c>
      <c r="M421" s="23">
        <v>12.943300000000001</v>
      </c>
      <c r="N421" s="22">
        <v>2.7890000000000001</v>
      </c>
      <c r="O421" s="22">
        <v>2.2290000000000001</v>
      </c>
      <c r="P421" s="21">
        <v>11577.5</v>
      </c>
      <c r="Q421" s="20">
        <v>60.06</v>
      </c>
      <c r="R421" s="21"/>
    </row>
    <row r="422" spans="1:18">
      <c r="A422" s="14">
        <v>40788</v>
      </c>
      <c r="B422" s="15">
        <v>287.75</v>
      </c>
      <c r="C422" s="15">
        <v>289.2</v>
      </c>
      <c r="F422" s="53">
        <v>7</v>
      </c>
      <c r="G422">
        <v>28</v>
      </c>
      <c r="H422">
        <v>2014</v>
      </c>
      <c r="I422" s="41">
        <v>41848</v>
      </c>
      <c r="J422" s="54">
        <v>1850.5</v>
      </c>
      <c r="K422" s="21">
        <v>537.9</v>
      </c>
      <c r="L422" s="22">
        <v>7.8005000000000004</v>
      </c>
      <c r="M422" s="23">
        <v>13.0053</v>
      </c>
      <c r="N422" s="22">
        <v>2.7854999999999999</v>
      </c>
      <c r="O422" s="22">
        <v>2.2222</v>
      </c>
      <c r="P422" s="21">
        <v>11577.5</v>
      </c>
      <c r="Q422" s="20">
        <v>60.09</v>
      </c>
      <c r="R422" s="21"/>
    </row>
    <row r="423" spans="1:18">
      <c r="A423" s="14">
        <v>40792</v>
      </c>
      <c r="B423" s="15">
        <v>278.10000000000002</v>
      </c>
      <c r="C423" s="15">
        <v>282.39999999999998</v>
      </c>
      <c r="F423" s="53">
        <v>7</v>
      </c>
      <c r="G423">
        <v>29</v>
      </c>
      <c r="H423">
        <v>2014</v>
      </c>
      <c r="I423" s="41">
        <v>41849</v>
      </c>
      <c r="J423" s="54">
        <v>1859.13</v>
      </c>
      <c r="K423" s="21">
        <v>537.9</v>
      </c>
      <c r="L423" s="22">
        <v>7.8164999999999996</v>
      </c>
      <c r="M423" s="23">
        <v>13.067399999999999</v>
      </c>
      <c r="N423" s="22">
        <v>2.7894999999999999</v>
      </c>
      <c r="O423" s="22">
        <v>2.2305000000000001</v>
      </c>
      <c r="P423" s="21">
        <v>11577.5</v>
      </c>
      <c r="Q423" s="20">
        <v>60.13</v>
      </c>
      <c r="R423" s="21"/>
    </row>
    <row r="424" spans="1:18">
      <c r="A424" s="14">
        <v>40793</v>
      </c>
      <c r="B424" s="15">
        <v>282.5</v>
      </c>
      <c r="C424" s="15">
        <v>285.8</v>
      </c>
      <c r="F424" s="53">
        <v>7</v>
      </c>
      <c r="G424">
        <v>30</v>
      </c>
      <c r="H424">
        <v>2014</v>
      </c>
      <c r="I424" s="41">
        <v>41850</v>
      </c>
      <c r="J424" s="54">
        <v>1881.64</v>
      </c>
      <c r="K424" s="21">
        <v>538.58000000000004</v>
      </c>
      <c r="L424" s="22">
        <v>7.8164999999999996</v>
      </c>
      <c r="M424" s="23">
        <v>13.1538</v>
      </c>
      <c r="N424" s="22">
        <v>2.7875000000000001</v>
      </c>
      <c r="O424" s="22">
        <v>2.2454000000000001</v>
      </c>
      <c r="P424" s="21">
        <v>11577.5</v>
      </c>
      <c r="Q424" s="20">
        <v>60.064999999999998</v>
      </c>
      <c r="R424" s="21"/>
    </row>
    <row r="425" spans="1:18">
      <c r="A425" s="14">
        <v>40794</v>
      </c>
      <c r="B425" s="15">
        <v>284.85000000000002</v>
      </c>
      <c r="C425" s="15">
        <v>285.39999999999998</v>
      </c>
      <c r="F425" s="53">
        <v>7</v>
      </c>
      <c r="G425">
        <v>31</v>
      </c>
      <c r="H425">
        <v>2014</v>
      </c>
      <c r="I425" s="41">
        <v>41851</v>
      </c>
      <c r="J425" s="54">
        <v>1876.74</v>
      </c>
      <c r="K425" s="21">
        <v>542.46</v>
      </c>
      <c r="L425" s="22">
        <v>7.8174999999999999</v>
      </c>
      <c r="M425" s="23">
        <v>13.217700000000001</v>
      </c>
      <c r="N425" s="22">
        <v>2.8010000000000002</v>
      </c>
      <c r="O425" s="22">
        <v>2.2639</v>
      </c>
      <c r="P425" s="21">
        <v>11577.5</v>
      </c>
      <c r="Q425" s="20">
        <v>60.555</v>
      </c>
      <c r="R425" s="21"/>
    </row>
    <row r="426" spans="1:18">
      <c r="A426" s="14">
        <v>40795</v>
      </c>
      <c r="B426" s="15">
        <v>270.25</v>
      </c>
      <c r="C426" s="15">
        <v>271.25</v>
      </c>
      <c r="F426" s="53">
        <v>8</v>
      </c>
      <c r="G426">
        <v>1</v>
      </c>
      <c r="H426">
        <v>2014</v>
      </c>
      <c r="I426" s="41">
        <v>41852</v>
      </c>
      <c r="J426" s="54">
        <v>1876.94</v>
      </c>
      <c r="K426" s="21">
        <v>542.42999999999995</v>
      </c>
      <c r="L426" s="22">
        <v>7.8025000000000002</v>
      </c>
      <c r="M426" s="23">
        <v>13.1815</v>
      </c>
      <c r="N426" s="22">
        <v>2.798</v>
      </c>
      <c r="O426" s="22">
        <v>2.2574000000000001</v>
      </c>
      <c r="P426" s="21">
        <v>11800</v>
      </c>
      <c r="Q426" s="20">
        <v>61.215000000000003</v>
      </c>
      <c r="R426" s="21"/>
    </row>
    <row r="427" spans="1:18">
      <c r="A427" s="14">
        <v>40798</v>
      </c>
      <c r="B427" s="15">
        <v>272.5</v>
      </c>
      <c r="C427" s="15">
        <v>273.7</v>
      </c>
      <c r="F427" s="53">
        <v>8</v>
      </c>
      <c r="G427">
        <v>4</v>
      </c>
      <c r="H427">
        <v>2014</v>
      </c>
      <c r="I427" s="41">
        <v>41855</v>
      </c>
      <c r="J427" s="54">
        <v>1882.96</v>
      </c>
      <c r="K427" s="21">
        <v>542.48</v>
      </c>
      <c r="L427" s="22">
        <v>7.8014999999999999</v>
      </c>
      <c r="M427" s="23">
        <v>13.1952</v>
      </c>
      <c r="N427" s="22">
        <v>2.8069999999999999</v>
      </c>
      <c r="O427" s="22">
        <v>2.2584</v>
      </c>
      <c r="P427" s="21">
        <v>11758</v>
      </c>
      <c r="Q427" s="20">
        <v>60.945</v>
      </c>
      <c r="R427" s="21"/>
    </row>
    <row r="428" spans="1:18">
      <c r="A428" s="14">
        <v>40799</v>
      </c>
      <c r="B428" s="15">
        <v>272.35000000000002</v>
      </c>
      <c r="C428" s="15">
        <v>272.85000000000002</v>
      </c>
      <c r="F428" s="53">
        <v>8</v>
      </c>
      <c r="G428">
        <v>5</v>
      </c>
      <c r="H428">
        <v>2014</v>
      </c>
      <c r="I428" s="41">
        <v>41856</v>
      </c>
      <c r="J428" s="54">
        <v>1893.54</v>
      </c>
      <c r="K428" s="21">
        <v>542.87</v>
      </c>
      <c r="L428" s="22">
        <v>7.8014999999999999</v>
      </c>
      <c r="M428" s="23">
        <v>13.291499999999999</v>
      </c>
      <c r="N428" s="22">
        <v>2.8134999999999999</v>
      </c>
      <c r="O428" s="22">
        <v>2.2818000000000001</v>
      </c>
      <c r="P428" s="21">
        <v>11697</v>
      </c>
      <c r="Q428" s="20">
        <v>60.85</v>
      </c>
      <c r="R428" s="21"/>
    </row>
    <row r="429" spans="1:18">
      <c r="A429" s="14">
        <v>40800</v>
      </c>
      <c r="B429" s="15">
        <v>268.89999999999998</v>
      </c>
      <c r="C429" s="15">
        <v>268.35000000000002</v>
      </c>
      <c r="F429" s="53">
        <v>8</v>
      </c>
      <c r="G429">
        <v>6</v>
      </c>
      <c r="H429">
        <v>2014</v>
      </c>
      <c r="I429" s="41">
        <v>41857</v>
      </c>
      <c r="J429" s="54">
        <v>1886.14</v>
      </c>
      <c r="K429" s="21">
        <v>543.09</v>
      </c>
      <c r="L429" s="22">
        <v>7.8114999999999997</v>
      </c>
      <c r="M429" s="23">
        <v>13.2325</v>
      </c>
      <c r="N429" s="22">
        <v>2.8109999999999999</v>
      </c>
      <c r="O429" s="22">
        <v>2.2738</v>
      </c>
      <c r="P429" s="21">
        <v>11750</v>
      </c>
      <c r="Q429" s="20">
        <v>61.5</v>
      </c>
      <c r="R429" s="21"/>
    </row>
    <row r="430" spans="1:18">
      <c r="A430" s="14">
        <v>40801</v>
      </c>
      <c r="B430" s="15">
        <v>263.7</v>
      </c>
      <c r="C430" s="15">
        <v>263.35000000000002</v>
      </c>
      <c r="F430" s="53">
        <v>8</v>
      </c>
      <c r="G430">
        <v>7</v>
      </c>
      <c r="H430">
        <v>2014</v>
      </c>
      <c r="I430" s="41">
        <v>41858</v>
      </c>
      <c r="J430" s="54">
        <v>1886.5</v>
      </c>
      <c r="K430" s="21">
        <v>540.03</v>
      </c>
      <c r="L430" s="22">
        <v>7.8135000000000003</v>
      </c>
      <c r="M430" s="23">
        <v>13.278700000000001</v>
      </c>
      <c r="N430" s="22">
        <v>2.8134999999999999</v>
      </c>
      <c r="O430" s="22">
        <v>2.2957000000000001</v>
      </c>
      <c r="P430" s="21">
        <v>11795</v>
      </c>
      <c r="Q430" s="20">
        <v>61.244999999999997</v>
      </c>
      <c r="R430" s="21"/>
    </row>
    <row r="431" spans="1:18">
      <c r="A431" s="14">
        <v>40802</v>
      </c>
      <c r="B431" s="15">
        <v>258.45</v>
      </c>
      <c r="C431" s="15">
        <v>263</v>
      </c>
      <c r="F431" s="53">
        <v>8</v>
      </c>
      <c r="G431">
        <v>8</v>
      </c>
      <c r="H431">
        <v>2014</v>
      </c>
      <c r="I431" s="41">
        <v>41859</v>
      </c>
      <c r="J431" s="54">
        <v>1890.24</v>
      </c>
      <c r="K431" s="21">
        <v>543.20000000000005</v>
      </c>
      <c r="L431" s="22">
        <v>7.8285</v>
      </c>
      <c r="M431" s="23">
        <v>13.248699999999999</v>
      </c>
      <c r="N431" s="22">
        <v>2.7974999999999999</v>
      </c>
      <c r="O431" s="22">
        <v>2.2812000000000001</v>
      </c>
      <c r="P431" s="21">
        <v>11777.5</v>
      </c>
      <c r="Q431" s="20">
        <v>61.145000000000003</v>
      </c>
      <c r="R431" s="21"/>
    </row>
    <row r="432" spans="1:18">
      <c r="A432" s="14">
        <v>40805</v>
      </c>
      <c r="B432" s="15">
        <v>259.95</v>
      </c>
      <c r="C432" s="15">
        <v>262.8</v>
      </c>
      <c r="F432" s="53">
        <v>8</v>
      </c>
      <c r="G432">
        <v>11</v>
      </c>
      <c r="H432">
        <v>2014</v>
      </c>
      <c r="I432" s="41">
        <v>41862</v>
      </c>
      <c r="J432" s="54">
        <v>1882.12</v>
      </c>
      <c r="K432" s="21">
        <v>539.82000000000005</v>
      </c>
      <c r="L432" s="22">
        <v>7.8345000000000002</v>
      </c>
      <c r="M432" s="23">
        <v>13.1806</v>
      </c>
      <c r="N432" s="22">
        <v>2.7915000000000001</v>
      </c>
      <c r="O432" s="22">
        <v>2.2755000000000001</v>
      </c>
      <c r="P432" s="21">
        <v>11670</v>
      </c>
      <c r="Q432" s="20">
        <v>61.174999999999997</v>
      </c>
      <c r="R432" s="21"/>
    </row>
    <row r="433" spans="1:18">
      <c r="A433" s="14">
        <v>40806</v>
      </c>
      <c r="B433" s="15">
        <v>264.64999999999998</v>
      </c>
      <c r="C433" s="15">
        <v>259.45</v>
      </c>
      <c r="F433" s="53">
        <v>8</v>
      </c>
      <c r="G433">
        <v>12</v>
      </c>
      <c r="H433">
        <v>2014</v>
      </c>
      <c r="I433" s="41">
        <v>41863</v>
      </c>
      <c r="J433" s="54">
        <v>1876.35</v>
      </c>
      <c r="K433" s="21">
        <v>539.73</v>
      </c>
      <c r="L433" s="22">
        <v>7.8404999999999996</v>
      </c>
      <c r="M433" s="23">
        <v>13.135999999999999</v>
      </c>
      <c r="N433" s="22">
        <v>2.7909999999999999</v>
      </c>
      <c r="O433" s="22">
        <v>2.2766999999999999</v>
      </c>
      <c r="P433" s="21">
        <v>11687.5</v>
      </c>
      <c r="Q433" s="20">
        <v>61.085000000000001</v>
      </c>
      <c r="R433" s="21"/>
    </row>
    <row r="434" spans="1:18">
      <c r="A434" s="14">
        <v>40807</v>
      </c>
      <c r="B434" s="15">
        <v>251.35</v>
      </c>
      <c r="C434" s="15">
        <v>251.95</v>
      </c>
      <c r="F434" s="53">
        <v>8</v>
      </c>
      <c r="G434">
        <v>13</v>
      </c>
      <c r="H434">
        <v>2014</v>
      </c>
      <c r="I434" s="41">
        <v>41864</v>
      </c>
      <c r="J434" s="54">
        <v>1881.17</v>
      </c>
      <c r="K434" s="21">
        <v>539.65</v>
      </c>
      <c r="L434" s="22">
        <v>7.8375000000000004</v>
      </c>
      <c r="M434" s="23">
        <v>13.1363</v>
      </c>
      <c r="N434" s="22">
        <v>2.794</v>
      </c>
      <c r="O434" s="22">
        <v>2.2803</v>
      </c>
      <c r="P434" s="21">
        <v>11691</v>
      </c>
      <c r="Q434" s="20">
        <v>61.094999999999999</v>
      </c>
      <c r="R434" s="21"/>
    </row>
    <row r="435" spans="1:18">
      <c r="A435" s="14">
        <v>40808</v>
      </c>
      <c r="B435" s="15">
        <v>235.65</v>
      </c>
      <c r="C435" s="15">
        <v>239.25</v>
      </c>
      <c r="F435" s="53">
        <v>8</v>
      </c>
      <c r="G435">
        <v>14</v>
      </c>
      <c r="H435">
        <v>2014</v>
      </c>
      <c r="I435" s="41">
        <v>41865</v>
      </c>
      <c r="J435" s="54">
        <v>1882.25</v>
      </c>
      <c r="K435" s="21">
        <v>539.66</v>
      </c>
      <c r="L435" s="22">
        <v>7.8345000000000002</v>
      </c>
      <c r="M435" s="23">
        <v>13.071199999999999</v>
      </c>
      <c r="N435" s="22">
        <v>2.7949999999999999</v>
      </c>
      <c r="O435" s="22">
        <v>2.2665999999999999</v>
      </c>
      <c r="P435" s="21">
        <v>11672.5</v>
      </c>
      <c r="Q435" s="20">
        <v>60.765000000000001</v>
      </c>
      <c r="R435" s="21"/>
    </row>
    <row r="436" spans="1:18">
      <c r="A436" s="14">
        <v>40809</v>
      </c>
      <c r="B436" s="15">
        <v>230.8</v>
      </c>
      <c r="C436" s="15">
        <v>231.45</v>
      </c>
      <c r="F436" s="53">
        <v>8</v>
      </c>
      <c r="G436">
        <v>15</v>
      </c>
      <c r="H436">
        <v>2014</v>
      </c>
      <c r="I436" s="41">
        <v>41866</v>
      </c>
      <c r="J436" s="54">
        <v>1885</v>
      </c>
      <c r="K436" s="21">
        <v>539.72</v>
      </c>
      <c r="L436" s="22">
        <v>7.8345000000000002</v>
      </c>
      <c r="M436" s="23">
        <v>13.0745</v>
      </c>
      <c r="N436" s="22">
        <v>2.8045</v>
      </c>
      <c r="O436" s="22">
        <v>2.2597999999999998</v>
      </c>
      <c r="P436" s="21">
        <v>11675</v>
      </c>
      <c r="Q436" s="20">
        <v>60.78</v>
      </c>
      <c r="R436" s="21"/>
    </row>
    <row r="437" spans="1:18">
      <c r="A437" s="14">
        <v>40812</v>
      </c>
      <c r="B437" s="15">
        <v>232</v>
      </c>
      <c r="C437" s="15">
        <v>235.95</v>
      </c>
      <c r="F437" s="53">
        <v>8</v>
      </c>
      <c r="G437">
        <v>18</v>
      </c>
      <c r="H437">
        <v>2014</v>
      </c>
      <c r="I437" s="41">
        <v>41869</v>
      </c>
      <c r="J437" s="54">
        <v>1885.15</v>
      </c>
      <c r="K437" s="21">
        <v>543.04999999999995</v>
      </c>
      <c r="L437" s="22">
        <v>7.8265000000000002</v>
      </c>
      <c r="M437" s="23">
        <v>13.047800000000001</v>
      </c>
      <c r="N437" s="22">
        <v>2.8165</v>
      </c>
      <c r="O437" s="22">
        <v>2.2576000000000001</v>
      </c>
      <c r="P437" s="21">
        <v>11684.5</v>
      </c>
      <c r="Q437" s="20">
        <v>60.78</v>
      </c>
      <c r="R437" s="21"/>
    </row>
    <row r="438" spans="1:18">
      <c r="A438" s="14">
        <v>40813</v>
      </c>
      <c r="B438" s="15">
        <v>237.35</v>
      </c>
      <c r="C438" s="15">
        <v>240.85</v>
      </c>
      <c r="F438" s="53">
        <v>8</v>
      </c>
      <c r="G438">
        <v>19</v>
      </c>
      <c r="H438">
        <v>2014</v>
      </c>
      <c r="I438" s="41">
        <v>41870</v>
      </c>
      <c r="J438" s="54">
        <v>1901.45</v>
      </c>
      <c r="K438" s="21">
        <v>543.04999999999995</v>
      </c>
      <c r="L438" s="22">
        <v>7.8215000000000003</v>
      </c>
      <c r="M438" s="23">
        <v>13.047499999999999</v>
      </c>
      <c r="N438" s="22">
        <v>2.827</v>
      </c>
      <c r="O438" s="22">
        <v>2.2467000000000001</v>
      </c>
      <c r="P438" s="21">
        <v>11679</v>
      </c>
      <c r="Q438" s="20">
        <v>60.674999999999997</v>
      </c>
      <c r="R438" s="21"/>
    </row>
    <row r="439" spans="1:18">
      <c r="A439" s="14">
        <v>40814</v>
      </c>
      <c r="B439" s="15">
        <v>232.85</v>
      </c>
      <c r="C439" s="15">
        <v>233.5</v>
      </c>
      <c r="F439" s="53">
        <v>8</v>
      </c>
      <c r="G439">
        <v>20</v>
      </c>
      <c r="H439">
        <v>2014</v>
      </c>
      <c r="I439" s="41">
        <v>41871</v>
      </c>
      <c r="J439" s="54">
        <v>1917.03</v>
      </c>
      <c r="K439" s="21">
        <v>539.69000000000005</v>
      </c>
      <c r="L439" s="22">
        <v>7.8235000000000001</v>
      </c>
      <c r="M439" s="23">
        <v>13.136100000000001</v>
      </c>
      <c r="N439" s="22">
        <v>2.8275000000000001</v>
      </c>
      <c r="O439" s="22">
        <v>2.2623000000000002</v>
      </c>
      <c r="P439" s="21">
        <v>11700</v>
      </c>
      <c r="Q439" s="20">
        <v>60.615000000000002</v>
      </c>
      <c r="R439" s="21"/>
    </row>
    <row r="440" spans="1:18">
      <c r="A440" s="14">
        <v>40815</v>
      </c>
      <c r="B440" s="15">
        <v>230.15</v>
      </c>
      <c r="C440" s="15">
        <v>231.15</v>
      </c>
      <c r="F440" s="53">
        <v>8</v>
      </c>
      <c r="G440">
        <v>21</v>
      </c>
      <c r="H440">
        <v>2014</v>
      </c>
      <c r="I440" s="41">
        <v>41872</v>
      </c>
      <c r="J440" s="54">
        <v>1918.74</v>
      </c>
      <c r="K440" s="21">
        <v>543.07000000000005</v>
      </c>
      <c r="L440" s="22">
        <v>7.8114999999999997</v>
      </c>
      <c r="M440" s="23">
        <v>13.107699999999999</v>
      </c>
      <c r="N440" s="22">
        <v>2.8220000000000001</v>
      </c>
      <c r="O440" s="22">
        <v>2.2686999999999999</v>
      </c>
      <c r="P440" s="21">
        <v>11690</v>
      </c>
      <c r="Q440" s="20">
        <v>60.674999999999997</v>
      </c>
      <c r="R440" s="21"/>
    </row>
    <row r="441" spans="1:18">
      <c r="A441" s="14">
        <v>40816</v>
      </c>
      <c r="B441" s="15">
        <v>228.5</v>
      </c>
      <c r="C441" s="15">
        <v>228.9</v>
      </c>
      <c r="F441" s="53">
        <v>8</v>
      </c>
      <c r="G441">
        <v>22</v>
      </c>
      <c r="H441">
        <v>2014</v>
      </c>
      <c r="I441" s="41">
        <v>41873</v>
      </c>
      <c r="J441" s="54">
        <v>1924.57</v>
      </c>
      <c r="K441" s="21">
        <v>543.16999999999996</v>
      </c>
      <c r="L441" s="22">
        <v>7.8014999999999999</v>
      </c>
      <c r="M441" s="23">
        <v>13.1395</v>
      </c>
      <c r="N441" s="22">
        <v>2.8315000000000001</v>
      </c>
      <c r="O441" s="22">
        <v>2.2778</v>
      </c>
      <c r="P441" s="21">
        <v>11678.5</v>
      </c>
      <c r="Q441" s="20">
        <v>60.47</v>
      </c>
      <c r="R441" s="21"/>
    </row>
    <row r="442" spans="1:18">
      <c r="A442" s="14">
        <v>40819</v>
      </c>
      <c r="B442" s="15">
        <v>219.8</v>
      </c>
      <c r="C442" s="15">
        <v>223.45</v>
      </c>
      <c r="F442" s="53">
        <v>8</v>
      </c>
      <c r="G442">
        <v>25</v>
      </c>
      <c r="H442">
        <v>2014</v>
      </c>
      <c r="I442" s="41">
        <v>41876</v>
      </c>
      <c r="J442" s="54">
        <v>1935.3</v>
      </c>
      <c r="K442" s="21">
        <v>543.19000000000005</v>
      </c>
      <c r="L442" s="22">
        <v>7.7865000000000002</v>
      </c>
      <c r="M442" s="23">
        <v>13.151</v>
      </c>
      <c r="N442" s="22">
        <v>2.8340000000000001</v>
      </c>
      <c r="O442" s="22">
        <v>2.2883</v>
      </c>
      <c r="P442" s="21">
        <v>11718</v>
      </c>
      <c r="Q442" s="20">
        <v>60.57</v>
      </c>
      <c r="R442" s="21"/>
    </row>
    <row r="443" spans="1:18">
      <c r="A443" s="14">
        <v>40820</v>
      </c>
      <c r="B443" s="15">
        <v>221.7</v>
      </c>
      <c r="C443" s="15">
        <v>226.55</v>
      </c>
      <c r="F443" s="53">
        <v>8</v>
      </c>
      <c r="G443">
        <v>26</v>
      </c>
      <c r="H443">
        <v>2014</v>
      </c>
      <c r="I443" s="41">
        <v>41877</v>
      </c>
      <c r="J443" s="54">
        <v>1932.5</v>
      </c>
      <c r="K443" s="21">
        <v>539.9</v>
      </c>
      <c r="L443" s="22">
        <v>7.7755000000000001</v>
      </c>
      <c r="M443" s="23">
        <v>13.0976</v>
      </c>
      <c r="N443" s="22">
        <v>2.8359999999999999</v>
      </c>
      <c r="O443" s="22">
        <v>2.2618</v>
      </c>
      <c r="P443" s="21">
        <v>11713</v>
      </c>
      <c r="Q443" s="20">
        <v>60.435000000000002</v>
      </c>
      <c r="R443" s="21"/>
    </row>
    <row r="444" spans="1:18">
      <c r="A444" s="14">
        <v>40821</v>
      </c>
      <c r="B444" s="15">
        <v>226.15</v>
      </c>
      <c r="C444" s="15">
        <v>227.7</v>
      </c>
      <c r="F444" s="53">
        <v>8</v>
      </c>
      <c r="G444">
        <v>27</v>
      </c>
      <c r="H444">
        <v>2014</v>
      </c>
      <c r="I444" s="41">
        <v>41878</v>
      </c>
      <c r="J444" s="54">
        <v>1931.28</v>
      </c>
      <c r="K444" s="21">
        <v>543.15</v>
      </c>
      <c r="L444" s="22">
        <v>7.7714999999999996</v>
      </c>
      <c r="M444" s="23">
        <v>13.0844</v>
      </c>
      <c r="N444" s="22">
        <v>2.8479999999999999</v>
      </c>
      <c r="O444" s="22">
        <v>2.2471000000000001</v>
      </c>
      <c r="P444" s="21">
        <v>11681.5</v>
      </c>
      <c r="Q444" s="20">
        <v>60.454999999999998</v>
      </c>
      <c r="R444" s="21"/>
    </row>
    <row r="445" spans="1:18">
      <c r="A445" s="14">
        <v>40822</v>
      </c>
      <c r="B445" s="15">
        <v>228.05</v>
      </c>
      <c r="C445" s="15">
        <v>234.4</v>
      </c>
      <c r="F445" s="53">
        <v>8</v>
      </c>
      <c r="G445">
        <v>28</v>
      </c>
      <c r="H445">
        <v>2014</v>
      </c>
      <c r="I445" s="41">
        <v>41879</v>
      </c>
      <c r="J445" s="54">
        <v>1927.03</v>
      </c>
      <c r="K445" s="21">
        <v>539.80999999999995</v>
      </c>
      <c r="L445" s="22">
        <v>7.7714999999999996</v>
      </c>
      <c r="M445" s="23">
        <v>13.086</v>
      </c>
      <c r="N445" s="22">
        <v>2.8445</v>
      </c>
      <c r="O445" s="22">
        <v>2.2414999999999998</v>
      </c>
      <c r="P445" s="21">
        <v>11700.5</v>
      </c>
      <c r="Q445" s="20">
        <v>60.5</v>
      </c>
      <c r="R445" s="21"/>
    </row>
    <row r="446" spans="1:18">
      <c r="A446" s="14">
        <v>40823</v>
      </c>
      <c r="B446" s="15">
        <v>223.65</v>
      </c>
      <c r="C446" s="15">
        <v>224.35</v>
      </c>
      <c r="F446" s="53">
        <v>8</v>
      </c>
      <c r="G446">
        <v>29</v>
      </c>
      <c r="H446">
        <v>2014</v>
      </c>
      <c r="I446" s="41">
        <v>41880</v>
      </c>
      <c r="J446" s="54">
        <v>1920.73</v>
      </c>
      <c r="K446" s="21">
        <v>543.16</v>
      </c>
      <c r="L446" s="22">
        <v>7.7685000000000004</v>
      </c>
      <c r="M446" s="23">
        <v>13.0878</v>
      </c>
      <c r="N446" s="22">
        <v>2.8445</v>
      </c>
      <c r="O446" s="22">
        <v>2.2360000000000002</v>
      </c>
      <c r="P446" s="21">
        <v>11690</v>
      </c>
      <c r="Q446" s="20">
        <v>60.52</v>
      </c>
      <c r="R446" s="21"/>
    </row>
    <row r="447" spans="1:18">
      <c r="A447" s="14">
        <v>40826</v>
      </c>
      <c r="B447" s="15">
        <v>225.1</v>
      </c>
      <c r="C447" s="15">
        <v>226.3</v>
      </c>
      <c r="F447" s="53">
        <v>9</v>
      </c>
      <c r="G447">
        <v>1</v>
      </c>
      <c r="H447">
        <v>2014</v>
      </c>
      <c r="I447" s="41">
        <v>41883</v>
      </c>
      <c r="J447" s="54">
        <v>1921.25</v>
      </c>
      <c r="K447" s="21">
        <v>539.80999999999995</v>
      </c>
      <c r="L447" s="22">
        <v>7.7545000000000002</v>
      </c>
      <c r="M447" s="23">
        <v>13.099500000000001</v>
      </c>
      <c r="N447" s="22">
        <v>2.8530000000000002</v>
      </c>
      <c r="O447" s="22">
        <v>2.2458</v>
      </c>
      <c r="P447" s="21">
        <v>11716</v>
      </c>
      <c r="Q447" s="20">
        <v>60.53</v>
      </c>
      <c r="R447" s="21"/>
    </row>
    <row r="448" spans="1:18">
      <c r="A448" s="14">
        <v>40827</v>
      </c>
      <c r="B448" s="15">
        <v>221.65</v>
      </c>
      <c r="C448" s="15">
        <v>223.4</v>
      </c>
      <c r="F448" s="53">
        <v>9</v>
      </c>
      <c r="G448">
        <v>2</v>
      </c>
      <c r="H448">
        <v>2014</v>
      </c>
      <c r="I448" s="41">
        <v>41884</v>
      </c>
      <c r="J448" s="54">
        <v>1931.2</v>
      </c>
      <c r="K448" s="21">
        <v>543.16</v>
      </c>
      <c r="L448" s="22">
        <v>7.7525000000000004</v>
      </c>
      <c r="M448" s="23">
        <v>13.110300000000001</v>
      </c>
      <c r="N448" s="22">
        <v>2.8485</v>
      </c>
      <c r="O448" s="22">
        <v>2.2435</v>
      </c>
      <c r="P448" s="21">
        <v>11747.5</v>
      </c>
      <c r="Q448" s="20">
        <v>60.685000000000002</v>
      </c>
      <c r="R448" s="21"/>
    </row>
    <row r="449" spans="1:18">
      <c r="A449" s="14">
        <v>40828</v>
      </c>
      <c r="B449" s="15">
        <v>223.6</v>
      </c>
      <c r="C449" s="15">
        <v>229.45</v>
      </c>
      <c r="F449" s="53">
        <v>9</v>
      </c>
      <c r="G449">
        <v>3</v>
      </c>
      <c r="H449">
        <v>2014</v>
      </c>
      <c r="I449" s="41">
        <v>41885</v>
      </c>
      <c r="J449" s="54">
        <v>1923.65</v>
      </c>
      <c r="K449" s="21">
        <v>543.16999999999996</v>
      </c>
      <c r="L449" s="22">
        <v>7.7495000000000003</v>
      </c>
      <c r="M449" s="23">
        <v>13.0985</v>
      </c>
      <c r="N449" s="22">
        <v>2.8540000000000001</v>
      </c>
      <c r="O449" s="22">
        <v>2.2370000000000001</v>
      </c>
      <c r="P449" s="21">
        <v>11765</v>
      </c>
      <c r="Q449" s="20">
        <v>60.49</v>
      </c>
      <c r="R449" s="21"/>
    </row>
    <row r="450" spans="1:18">
      <c r="A450" s="14">
        <v>40829</v>
      </c>
      <c r="B450" s="15">
        <v>228.1</v>
      </c>
      <c r="C450" s="15">
        <v>237.65</v>
      </c>
      <c r="F450" s="53">
        <v>9</v>
      </c>
      <c r="G450">
        <v>4</v>
      </c>
      <c r="H450">
        <v>2014</v>
      </c>
      <c r="I450" s="41">
        <v>41886</v>
      </c>
      <c r="J450" s="54">
        <v>1935.63</v>
      </c>
      <c r="K450" s="21">
        <v>543.16</v>
      </c>
      <c r="L450" s="22">
        <v>7.7365000000000004</v>
      </c>
      <c r="M450" s="23">
        <v>13.147500000000001</v>
      </c>
      <c r="N450" s="22">
        <v>2.855</v>
      </c>
      <c r="O450" s="22">
        <v>2.2431000000000001</v>
      </c>
      <c r="P450" s="21">
        <v>11764</v>
      </c>
      <c r="Q450" s="20">
        <v>60.36</v>
      </c>
      <c r="R450" s="21"/>
    </row>
    <row r="451" spans="1:18">
      <c r="A451" s="14">
        <v>40830</v>
      </c>
      <c r="B451" s="15">
        <v>234.25</v>
      </c>
      <c r="C451" s="15">
        <v>239.55</v>
      </c>
      <c r="F451" s="53">
        <v>9</v>
      </c>
      <c r="G451">
        <v>5</v>
      </c>
      <c r="H451">
        <v>2014</v>
      </c>
      <c r="I451" s="41">
        <v>41887</v>
      </c>
      <c r="J451" s="54">
        <v>1938</v>
      </c>
      <c r="K451" s="21">
        <v>539.89</v>
      </c>
      <c r="L451" s="22">
        <v>7.7244999999999999</v>
      </c>
      <c r="M451" s="23">
        <v>13.0305</v>
      </c>
      <c r="N451" s="22">
        <v>2.8504999999999998</v>
      </c>
      <c r="O451" s="22">
        <v>2.2404999999999999</v>
      </c>
      <c r="P451" s="21">
        <v>11755</v>
      </c>
      <c r="Q451" s="20">
        <v>60.395000000000003</v>
      </c>
      <c r="R451" s="21"/>
    </row>
    <row r="452" spans="1:18">
      <c r="A452" s="14">
        <v>40833</v>
      </c>
      <c r="B452" s="15">
        <v>228.35</v>
      </c>
      <c r="C452" s="15">
        <v>234</v>
      </c>
      <c r="F452" s="53">
        <v>9</v>
      </c>
      <c r="G452">
        <v>8</v>
      </c>
      <c r="H452">
        <v>2014</v>
      </c>
      <c r="I452" s="41">
        <v>41890</v>
      </c>
      <c r="J452" s="54">
        <v>1947.25</v>
      </c>
      <c r="K452" s="21">
        <v>543.17999999999995</v>
      </c>
      <c r="L452" s="22">
        <v>7.7255000000000003</v>
      </c>
      <c r="M452" s="23">
        <v>13.138500000000001</v>
      </c>
      <c r="N452" s="22">
        <v>2.8559999999999999</v>
      </c>
      <c r="O452" s="22">
        <v>2.2677</v>
      </c>
      <c r="P452" s="21">
        <v>11729.5</v>
      </c>
      <c r="Q452" s="20">
        <v>60.274999999999999</v>
      </c>
      <c r="R452" s="21"/>
    </row>
    <row r="453" spans="1:18">
      <c r="A453" s="14">
        <v>40834</v>
      </c>
      <c r="B453" s="15">
        <v>229.4</v>
      </c>
      <c r="C453" s="15">
        <v>231.5</v>
      </c>
      <c r="F453" s="53">
        <v>9</v>
      </c>
      <c r="G453">
        <v>9</v>
      </c>
      <c r="H453">
        <v>2014</v>
      </c>
      <c r="I453" s="41">
        <v>41891</v>
      </c>
      <c r="J453" s="54">
        <v>1968</v>
      </c>
      <c r="K453" s="21">
        <v>543.16999999999996</v>
      </c>
      <c r="L453" s="22">
        <v>7.7404999999999999</v>
      </c>
      <c r="M453" s="23">
        <v>13.202</v>
      </c>
      <c r="N453" s="22">
        <v>2.8570000000000002</v>
      </c>
      <c r="O453" s="22">
        <v>2.2867999999999999</v>
      </c>
      <c r="P453" s="21">
        <v>11766.5</v>
      </c>
      <c r="Q453" s="20">
        <v>60.604999999999997</v>
      </c>
      <c r="R453" s="21"/>
    </row>
    <row r="454" spans="1:18">
      <c r="A454" s="14">
        <v>40835</v>
      </c>
      <c r="B454" s="15">
        <v>230.9</v>
      </c>
      <c r="C454" s="15">
        <v>236.15</v>
      </c>
      <c r="F454" s="53">
        <v>9</v>
      </c>
      <c r="G454">
        <v>10</v>
      </c>
      <c r="H454">
        <v>2014</v>
      </c>
      <c r="I454" s="41">
        <v>41892</v>
      </c>
      <c r="J454" s="54">
        <v>1973.88</v>
      </c>
      <c r="K454" s="21">
        <v>543.17999999999995</v>
      </c>
      <c r="L454" s="22">
        <v>7.7625000000000002</v>
      </c>
      <c r="M454" s="23">
        <v>13.193199999999999</v>
      </c>
      <c r="N454" s="22">
        <v>2.8544999999999998</v>
      </c>
      <c r="O454" s="22">
        <v>2.2885</v>
      </c>
      <c r="P454" s="21">
        <v>11812</v>
      </c>
      <c r="Q454" s="20">
        <v>60.93</v>
      </c>
      <c r="R454" s="21"/>
    </row>
    <row r="455" spans="1:18">
      <c r="A455" s="14">
        <v>40836</v>
      </c>
      <c r="B455" s="15">
        <v>229.7</v>
      </c>
      <c r="C455" s="15">
        <v>231.65</v>
      </c>
      <c r="F455" s="53">
        <v>9</v>
      </c>
      <c r="G455">
        <v>11</v>
      </c>
      <c r="H455">
        <v>2014</v>
      </c>
      <c r="I455" s="41">
        <v>41893</v>
      </c>
      <c r="J455" s="54">
        <v>1982.25</v>
      </c>
      <c r="K455" s="21">
        <v>539.86</v>
      </c>
      <c r="L455" s="22">
        <v>7.7584999999999997</v>
      </c>
      <c r="M455" s="23">
        <v>13.2295</v>
      </c>
      <c r="N455" s="22">
        <v>2.8574999999999999</v>
      </c>
      <c r="O455" s="22">
        <v>2.298</v>
      </c>
      <c r="P455" s="21">
        <v>11825</v>
      </c>
      <c r="Q455" s="20">
        <v>60.93</v>
      </c>
      <c r="R455" s="21"/>
    </row>
    <row r="456" spans="1:18">
      <c r="A456" s="14">
        <v>40837</v>
      </c>
      <c r="B456" s="15">
        <v>233.2</v>
      </c>
      <c r="C456" s="15">
        <v>244.85</v>
      </c>
      <c r="F456" s="53">
        <v>9</v>
      </c>
      <c r="G456">
        <v>12</v>
      </c>
      <c r="H456">
        <v>2014</v>
      </c>
      <c r="I456" s="41">
        <v>41894</v>
      </c>
      <c r="J456" s="54">
        <v>1997</v>
      </c>
      <c r="K456" s="21">
        <v>539.82000000000005</v>
      </c>
      <c r="L456" s="22">
        <v>7.7394999999999996</v>
      </c>
      <c r="M456" s="23">
        <v>13.253500000000001</v>
      </c>
      <c r="N456" s="22">
        <v>2.8580000000000001</v>
      </c>
      <c r="O456" s="22">
        <v>2.3391999999999999</v>
      </c>
      <c r="P456" s="21">
        <v>11820</v>
      </c>
      <c r="Q456" s="20">
        <v>60.655000000000001</v>
      </c>
      <c r="R456" s="21"/>
    </row>
    <row r="457" spans="1:18">
      <c r="A457" s="14">
        <v>40840</v>
      </c>
      <c r="B457" s="15">
        <v>243.1</v>
      </c>
      <c r="C457" s="15">
        <v>250.8</v>
      </c>
      <c r="F457" s="53">
        <v>9</v>
      </c>
      <c r="G457">
        <v>15</v>
      </c>
      <c r="H457">
        <v>2014</v>
      </c>
      <c r="I457" s="41">
        <v>41897</v>
      </c>
      <c r="J457" s="54">
        <v>1990</v>
      </c>
      <c r="K457" s="21">
        <v>539.87</v>
      </c>
      <c r="L457" s="22">
        <v>7.7380000000000004</v>
      </c>
      <c r="M457" s="23">
        <v>13.2362</v>
      </c>
      <c r="N457" s="22">
        <v>2.8595000000000002</v>
      </c>
      <c r="O457" s="22">
        <v>2.3426999999999998</v>
      </c>
      <c r="P457" s="21">
        <v>11927.5</v>
      </c>
      <c r="Q457" s="20">
        <v>61.104999999999997</v>
      </c>
      <c r="R457" s="21"/>
    </row>
    <row r="458" spans="1:18">
      <c r="A458" s="14">
        <v>40841</v>
      </c>
      <c r="B458" s="15">
        <v>235.6</v>
      </c>
      <c r="C458" s="15">
        <v>236.55</v>
      </c>
      <c r="F458" s="53">
        <v>9</v>
      </c>
      <c r="G458">
        <v>16</v>
      </c>
      <c r="H458">
        <v>2014</v>
      </c>
      <c r="I458" s="41">
        <v>41898</v>
      </c>
      <c r="J458" s="54">
        <v>1974</v>
      </c>
      <c r="K458" s="21">
        <v>539.87</v>
      </c>
      <c r="L458" s="22">
        <v>7.7294999999999998</v>
      </c>
      <c r="M458" s="23">
        <v>13.1595</v>
      </c>
      <c r="N458" s="22">
        <v>2.8574999999999999</v>
      </c>
      <c r="O458" s="22">
        <v>2.3325</v>
      </c>
      <c r="P458" s="21">
        <v>11965</v>
      </c>
      <c r="Q458" s="20">
        <v>61.06</v>
      </c>
      <c r="R458" s="21"/>
    </row>
    <row r="459" spans="1:18">
      <c r="A459" s="14">
        <v>40842</v>
      </c>
      <c r="B459" s="15">
        <v>231.9</v>
      </c>
      <c r="C459" s="15">
        <v>233.7</v>
      </c>
      <c r="F459" s="53">
        <v>9</v>
      </c>
      <c r="G459">
        <v>17</v>
      </c>
      <c r="H459">
        <v>2014</v>
      </c>
      <c r="I459" s="41">
        <v>41899</v>
      </c>
      <c r="J459" s="54">
        <v>1974.8</v>
      </c>
      <c r="K459" s="21">
        <v>539.87</v>
      </c>
      <c r="L459" s="22">
        <v>7.7225000000000001</v>
      </c>
      <c r="M459" s="23">
        <v>13.244999999999999</v>
      </c>
      <c r="N459" s="22">
        <v>2.8614999999999999</v>
      </c>
      <c r="O459" s="22">
        <v>2.3582999999999998</v>
      </c>
      <c r="P459" s="21">
        <v>11955</v>
      </c>
      <c r="Q459" s="20">
        <v>60.914999999999999</v>
      </c>
      <c r="R459" s="21"/>
    </row>
    <row r="460" spans="1:18">
      <c r="A460" s="14">
        <v>40843</v>
      </c>
      <c r="B460" s="15">
        <v>234</v>
      </c>
      <c r="C460" s="15">
        <v>234.6</v>
      </c>
      <c r="F460" s="53">
        <v>9</v>
      </c>
      <c r="G460">
        <v>18</v>
      </c>
      <c r="H460">
        <v>2014</v>
      </c>
      <c r="I460" s="41">
        <v>41900</v>
      </c>
      <c r="J460" s="54">
        <v>1970.7</v>
      </c>
      <c r="K460" s="21">
        <v>539.89</v>
      </c>
      <c r="L460" s="22">
        <v>7.7195</v>
      </c>
      <c r="M460" s="23">
        <v>13.236000000000001</v>
      </c>
      <c r="N460" s="22">
        <v>2.8620000000000001</v>
      </c>
      <c r="O460" s="22">
        <v>2.3645999999999998</v>
      </c>
      <c r="P460" s="21">
        <v>11980</v>
      </c>
      <c r="Q460" s="20">
        <v>60.74</v>
      </c>
      <c r="R460" s="21"/>
    </row>
    <row r="461" spans="1:18">
      <c r="A461" s="14">
        <v>40844</v>
      </c>
      <c r="B461" s="15">
        <v>232.1</v>
      </c>
      <c r="C461" s="15">
        <v>235.15</v>
      </c>
      <c r="F461" s="53">
        <v>9</v>
      </c>
      <c r="G461">
        <v>19</v>
      </c>
      <c r="H461">
        <v>2014</v>
      </c>
      <c r="I461" s="41">
        <v>41901</v>
      </c>
      <c r="J461" s="54">
        <v>1972.03</v>
      </c>
      <c r="K461" s="21">
        <v>539.83000000000004</v>
      </c>
      <c r="L461" s="22">
        <v>7.7154999999999996</v>
      </c>
      <c r="M461" s="23">
        <v>13.211</v>
      </c>
      <c r="N461" s="22">
        <v>2.8654999999999999</v>
      </c>
      <c r="O461" s="22">
        <v>2.3681999999999999</v>
      </c>
      <c r="P461" s="21">
        <v>11967.5</v>
      </c>
      <c r="Q461" s="20">
        <v>60.86</v>
      </c>
      <c r="R461" s="21"/>
    </row>
    <row r="462" spans="1:18">
      <c r="A462" s="14">
        <v>40847</v>
      </c>
      <c r="B462" s="15">
        <v>225.35</v>
      </c>
      <c r="C462" s="15">
        <v>226.95</v>
      </c>
      <c r="F462" s="53">
        <v>9</v>
      </c>
      <c r="G462">
        <v>22</v>
      </c>
      <c r="H462">
        <v>2014</v>
      </c>
      <c r="I462" s="41">
        <v>41904</v>
      </c>
      <c r="J462" s="54">
        <v>1996.4</v>
      </c>
      <c r="K462" s="21">
        <v>539.83000000000004</v>
      </c>
      <c r="L462" s="22">
        <v>7.7184999999999997</v>
      </c>
      <c r="M462" s="23">
        <v>13.278</v>
      </c>
      <c r="N462" s="22">
        <v>2.8719999999999999</v>
      </c>
      <c r="O462" s="22">
        <v>2.3984000000000001</v>
      </c>
      <c r="P462" s="21">
        <v>11973.5</v>
      </c>
      <c r="Q462" s="20">
        <v>60.945</v>
      </c>
      <c r="R462" s="21"/>
    </row>
    <row r="463" spans="1:18">
      <c r="A463" s="14">
        <v>40848</v>
      </c>
      <c r="B463" s="15">
        <v>220.45</v>
      </c>
      <c r="C463" s="15">
        <v>223.65</v>
      </c>
      <c r="F463" s="53">
        <v>9</v>
      </c>
      <c r="G463">
        <v>23</v>
      </c>
      <c r="H463">
        <v>2014</v>
      </c>
      <c r="I463" s="41">
        <v>41905</v>
      </c>
      <c r="J463" s="54">
        <v>1997.15</v>
      </c>
      <c r="K463" s="21">
        <v>539.83000000000004</v>
      </c>
      <c r="L463" s="22">
        <v>7.7184999999999997</v>
      </c>
      <c r="M463" s="23">
        <v>13.317500000000001</v>
      </c>
      <c r="N463" s="22">
        <v>2.8740000000000001</v>
      </c>
      <c r="O463" s="22">
        <v>2.4117999999999999</v>
      </c>
      <c r="P463" s="21">
        <v>11972.5</v>
      </c>
      <c r="Q463" s="20">
        <v>61.055</v>
      </c>
      <c r="R463" s="21"/>
    </row>
    <row r="464" spans="1:18">
      <c r="A464" s="14">
        <v>40849</v>
      </c>
      <c r="B464" s="15">
        <v>223</v>
      </c>
      <c r="C464" s="15">
        <v>224</v>
      </c>
      <c r="F464" s="53">
        <v>9</v>
      </c>
      <c r="G464">
        <v>24</v>
      </c>
      <c r="H464">
        <v>2014</v>
      </c>
      <c r="I464" s="41">
        <v>41906</v>
      </c>
      <c r="J464" s="54">
        <v>2009.6</v>
      </c>
      <c r="K464" s="21">
        <v>539.77</v>
      </c>
      <c r="L464" s="22">
        <v>7.7184999999999997</v>
      </c>
      <c r="M464" s="23">
        <v>13.279500000000001</v>
      </c>
      <c r="N464" s="22">
        <v>2.8734999999999999</v>
      </c>
      <c r="O464" s="22">
        <v>2.3835999999999999</v>
      </c>
      <c r="P464" s="21">
        <v>11952.5</v>
      </c>
      <c r="Q464" s="20">
        <v>60.945</v>
      </c>
      <c r="R464" s="21"/>
    </row>
    <row r="465" spans="1:18">
      <c r="A465" s="14">
        <v>40850</v>
      </c>
      <c r="B465" s="15">
        <v>223.25</v>
      </c>
      <c r="C465" s="15">
        <v>226.8</v>
      </c>
      <c r="F465" s="53">
        <v>9</v>
      </c>
      <c r="G465">
        <v>25</v>
      </c>
      <c r="H465">
        <v>2014</v>
      </c>
      <c r="I465" s="41">
        <v>41907</v>
      </c>
      <c r="J465" s="54">
        <v>2019.7</v>
      </c>
      <c r="K465" s="21">
        <v>538.76</v>
      </c>
      <c r="L465" s="22">
        <v>7.7190000000000003</v>
      </c>
      <c r="M465" s="23">
        <v>13.386799999999999</v>
      </c>
      <c r="N465" s="22">
        <v>2.8925000000000001</v>
      </c>
      <c r="O465" s="22">
        <v>2.4283000000000001</v>
      </c>
      <c r="P465" s="21">
        <v>11978.5</v>
      </c>
      <c r="Q465" s="20">
        <v>61.335000000000001</v>
      </c>
      <c r="R465" s="21"/>
    </row>
    <row r="466" spans="1:18">
      <c r="A466" s="14">
        <v>40851</v>
      </c>
      <c r="B466" s="15">
        <v>224.25</v>
      </c>
      <c r="C466" s="15">
        <v>230.2</v>
      </c>
      <c r="F466" s="53">
        <v>9</v>
      </c>
      <c r="G466">
        <v>26</v>
      </c>
      <c r="H466">
        <v>2014</v>
      </c>
      <c r="I466" s="41">
        <v>41908</v>
      </c>
      <c r="J466" s="54">
        <v>2018.05</v>
      </c>
      <c r="K466" s="21">
        <v>538.74</v>
      </c>
      <c r="L466" s="22">
        <v>7.7140000000000004</v>
      </c>
      <c r="M466" s="23">
        <v>13.446999999999999</v>
      </c>
      <c r="N466" s="22">
        <v>2.8864999999999998</v>
      </c>
      <c r="O466" s="22">
        <v>2.42</v>
      </c>
      <c r="P466" s="21">
        <v>12022.5</v>
      </c>
      <c r="Q466" s="20">
        <v>61.145000000000003</v>
      </c>
      <c r="R466" s="21"/>
    </row>
    <row r="467" spans="1:18">
      <c r="A467" s="14">
        <v>40854</v>
      </c>
      <c r="B467" s="15">
        <v>228.65</v>
      </c>
      <c r="C467" s="15">
        <v>233</v>
      </c>
      <c r="F467" s="53">
        <v>9</v>
      </c>
      <c r="G467">
        <v>29</v>
      </c>
      <c r="H467">
        <v>2014</v>
      </c>
      <c r="I467" s="41">
        <v>41911</v>
      </c>
      <c r="J467" s="54">
        <v>2026.5</v>
      </c>
      <c r="K467" s="21">
        <v>539.72</v>
      </c>
      <c r="L467" s="22">
        <v>7.6905000000000001</v>
      </c>
      <c r="M467" s="23">
        <v>13.499000000000001</v>
      </c>
      <c r="N467" s="22">
        <v>2.8965000000000001</v>
      </c>
      <c r="O467" s="22">
        <v>2.4470000000000001</v>
      </c>
      <c r="P467" s="21">
        <v>12170</v>
      </c>
      <c r="Q467" s="20">
        <v>61.56</v>
      </c>
      <c r="R467" s="21"/>
    </row>
    <row r="468" spans="1:18">
      <c r="A468" s="14">
        <v>40855</v>
      </c>
      <c r="B468" s="15">
        <v>228.7</v>
      </c>
      <c r="C468" s="15">
        <v>229.6</v>
      </c>
      <c r="F468" s="53">
        <v>9</v>
      </c>
      <c r="G468">
        <v>30</v>
      </c>
      <c r="H468">
        <v>2014</v>
      </c>
      <c r="I468" s="41">
        <v>41912</v>
      </c>
      <c r="J468" s="54">
        <v>2024.95</v>
      </c>
      <c r="K468" s="21">
        <v>538.76</v>
      </c>
      <c r="L468" s="22">
        <v>7.6725000000000003</v>
      </c>
      <c r="M468" s="23">
        <v>13.4277</v>
      </c>
      <c r="N468" s="22">
        <v>2.8895</v>
      </c>
      <c r="O468" s="22">
        <v>2.4462000000000002</v>
      </c>
      <c r="P468" s="21">
        <v>12185</v>
      </c>
      <c r="Q468" s="20">
        <v>61.94</v>
      </c>
      <c r="R468" s="21"/>
    </row>
    <row r="469" spans="1:18">
      <c r="A469" s="14">
        <v>40856</v>
      </c>
      <c r="B469" s="15">
        <v>226.95</v>
      </c>
      <c r="C469" s="15">
        <v>230.2</v>
      </c>
      <c r="F469" s="53">
        <v>10</v>
      </c>
      <c r="G469">
        <v>1</v>
      </c>
      <c r="H469">
        <v>2014</v>
      </c>
      <c r="I469" s="41">
        <v>41913</v>
      </c>
      <c r="J469" s="54">
        <v>2026.92</v>
      </c>
      <c r="K469" s="21">
        <v>538.76</v>
      </c>
      <c r="L469" s="22">
        <v>7.6604999999999999</v>
      </c>
      <c r="M469" s="23">
        <v>13.455</v>
      </c>
      <c r="N469" s="22">
        <v>2.8935</v>
      </c>
      <c r="O469" s="22">
        <v>2.4815</v>
      </c>
      <c r="P469" s="21">
        <v>12127.5</v>
      </c>
      <c r="Q469" s="20">
        <v>61.725000000000001</v>
      </c>
      <c r="R469" s="21"/>
    </row>
    <row r="470" spans="1:18">
      <c r="A470" s="14">
        <v>40857</v>
      </c>
      <c r="B470" s="15">
        <v>227.75</v>
      </c>
      <c r="C470" s="15">
        <v>230</v>
      </c>
      <c r="F470" s="53">
        <v>10</v>
      </c>
      <c r="G470">
        <v>2</v>
      </c>
      <c r="H470">
        <v>2014</v>
      </c>
      <c r="I470" s="41">
        <v>41914</v>
      </c>
      <c r="J470" s="54">
        <v>2013</v>
      </c>
      <c r="K470" s="21">
        <v>539.83000000000004</v>
      </c>
      <c r="L470" s="22">
        <v>7.6624999999999996</v>
      </c>
      <c r="M470" s="23">
        <v>13.382</v>
      </c>
      <c r="N470" s="22">
        <v>2.899</v>
      </c>
      <c r="O470" s="22">
        <v>2.4952000000000001</v>
      </c>
      <c r="P470" s="21">
        <v>12150</v>
      </c>
      <c r="Q470" s="20">
        <v>61.545000000000002</v>
      </c>
      <c r="R470" s="21"/>
    </row>
    <row r="471" spans="1:18">
      <c r="A471" s="14">
        <v>40858</v>
      </c>
      <c r="B471" s="15">
        <v>229.25</v>
      </c>
      <c r="C471" s="15">
        <v>233.95</v>
      </c>
      <c r="F471" s="53">
        <v>10</v>
      </c>
      <c r="G471">
        <v>3</v>
      </c>
      <c r="H471">
        <v>2014</v>
      </c>
      <c r="I471" s="41">
        <v>41915</v>
      </c>
      <c r="J471" s="54">
        <v>2027.89</v>
      </c>
      <c r="K471" s="21">
        <v>539.79999999999995</v>
      </c>
      <c r="L471" s="22">
        <v>7.6885000000000003</v>
      </c>
      <c r="M471" s="23">
        <v>13.4862</v>
      </c>
      <c r="N471" s="22">
        <v>2.9020000000000001</v>
      </c>
      <c r="O471" s="22">
        <v>2.4588000000000001</v>
      </c>
      <c r="P471" s="21">
        <v>12176.5</v>
      </c>
      <c r="Q471" s="20">
        <v>61.545000000000002</v>
      </c>
      <c r="R471" s="21"/>
    </row>
    <row r="472" spans="1:18">
      <c r="A472" s="14">
        <v>40861</v>
      </c>
      <c r="B472" s="15">
        <v>228.1</v>
      </c>
      <c r="C472" s="15">
        <v>230.95</v>
      </c>
      <c r="F472" s="53">
        <v>10</v>
      </c>
      <c r="G472">
        <v>6</v>
      </c>
      <c r="H472">
        <v>2014</v>
      </c>
      <c r="I472" s="41">
        <v>41918</v>
      </c>
      <c r="J472" s="54">
        <v>2028.75</v>
      </c>
      <c r="K472" s="21">
        <v>539.79999999999995</v>
      </c>
      <c r="L472" s="22">
        <v>7.6965000000000003</v>
      </c>
      <c r="M472" s="23">
        <v>13.3977</v>
      </c>
      <c r="N472" s="22">
        <v>2.9035000000000002</v>
      </c>
      <c r="O472" s="22">
        <v>2.4238</v>
      </c>
      <c r="P472" s="21">
        <v>12210</v>
      </c>
      <c r="Q472" s="20">
        <v>61.545000000000002</v>
      </c>
      <c r="R472" s="21"/>
    </row>
    <row r="473" spans="1:18">
      <c r="A473" s="14">
        <v>40862</v>
      </c>
      <c r="B473" s="15">
        <v>230.4</v>
      </c>
      <c r="C473" s="15">
        <v>239.5</v>
      </c>
      <c r="F473" s="53">
        <v>10</v>
      </c>
      <c r="G473">
        <v>7</v>
      </c>
      <c r="H473">
        <v>2014</v>
      </c>
      <c r="I473" s="41">
        <v>41919</v>
      </c>
      <c r="J473" s="54">
        <v>2028</v>
      </c>
      <c r="K473" s="21">
        <v>539.79</v>
      </c>
      <c r="L473" s="22">
        <v>7.6935000000000002</v>
      </c>
      <c r="M473" s="23">
        <v>13.475300000000001</v>
      </c>
      <c r="N473" s="22">
        <v>2.9064999999999999</v>
      </c>
      <c r="O473" s="22">
        <v>2.3961000000000001</v>
      </c>
      <c r="P473" s="21">
        <v>12202.5</v>
      </c>
      <c r="Q473" s="20">
        <v>61.305</v>
      </c>
      <c r="R473" s="21"/>
    </row>
    <row r="474" spans="1:18">
      <c r="A474" s="14">
        <v>40863</v>
      </c>
      <c r="B474" s="15">
        <v>235.1</v>
      </c>
      <c r="C474" s="15">
        <v>235.75</v>
      </c>
      <c r="F474" s="53">
        <v>10</v>
      </c>
      <c r="G474">
        <v>8</v>
      </c>
      <c r="H474">
        <v>2014</v>
      </c>
      <c r="I474" s="41">
        <v>41920</v>
      </c>
      <c r="J474" s="54">
        <v>2048.4</v>
      </c>
      <c r="K474" s="21">
        <v>539.75</v>
      </c>
      <c r="L474" s="22">
        <v>7.6825000000000001</v>
      </c>
      <c r="M474" s="23">
        <v>13.337300000000001</v>
      </c>
      <c r="N474" s="22">
        <v>2.9079999999999999</v>
      </c>
      <c r="O474" s="22">
        <v>2.3769</v>
      </c>
      <c r="P474" s="21">
        <v>12240</v>
      </c>
      <c r="Q474" s="20">
        <v>61.36</v>
      </c>
      <c r="R474" s="21"/>
    </row>
    <row r="475" spans="1:18">
      <c r="A475" s="14">
        <v>40864</v>
      </c>
      <c r="B475" s="15">
        <v>231.3</v>
      </c>
      <c r="C475" s="15">
        <v>232.15</v>
      </c>
      <c r="F475" s="53">
        <v>10</v>
      </c>
      <c r="G475">
        <v>9</v>
      </c>
      <c r="H475">
        <v>2014</v>
      </c>
      <c r="I475" s="41">
        <v>41921</v>
      </c>
      <c r="J475" s="54">
        <v>2045.43</v>
      </c>
      <c r="K475" s="21">
        <v>539.73</v>
      </c>
      <c r="L475" s="22">
        <v>7.6654999999999998</v>
      </c>
      <c r="M475" s="23">
        <v>13.436500000000001</v>
      </c>
      <c r="N475" s="22">
        <v>2.907</v>
      </c>
      <c r="O475" s="22">
        <v>2.3982000000000001</v>
      </c>
      <c r="P475" s="21">
        <v>12185</v>
      </c>
      <c r="Q475" s="20">
        <v>61.055</v>
      </c>
      <c r="R475" s="21"/>
    </row>
    <row r="476" spans="1:18">
      <c r="A476" s="14">
        <v>40865</v>
      </c>
      <c r="B476" s="15">
        <v>231.6</v>
      </c>
      <c r="C476" s="15">
        <v>234.2</v>
      </c>
      <c r="F476" s="53">
        <v>10</v>
      </c>
      <c r="G476">
        <v>10</v>
      </c>
      <c r="H476">
        <v>2014</v>
      </c>
      <c r="I476" s="41">
        <v>41922</v>
      </c>
      <c r="J476" s="54">
        <v>2049.5</v>
      </c>
      <c r="K476" s="21">
        <v>539.71</v>
      </c>
      <c r="L476" s="22">
        <v>7.6565000000000003</v>
      </c>
      <c r="M476" s="23">
        <v>13.4825</v>
      </c>
      <c r="N476" s="22">
        <v>2.9060000000000001</v>
      </c>
      <c r="O476" s="22">
        <v>2.4295</v>
      </c>
      <c r="P476" s="21">
        <v>12220</v>
      </c>
      <c r="Q476" s="20">
        <v>61.284999999999997</v>
      </c>
      <c r="R476" s="21"/>
    </row>
    <row r="477" spans="1:18">
      <c r="A477" s="14">
        <v>40868</v>
      </c>
      <c r="B477" s="15">
        <v>231.95</v>
      </c>
      <c r="C477" s="15">
        <v>232.2</v>
      </c>
      <c r="F477" s="53">
        <v>10</v>
      </c>
      <c r="G477">
        <v>13</v>
      </c>
      <c r="H477">
        <v>2014</v>
      </c>
      <c r="I477" s="41">
        <v>41925</v>
      </c>
      <c r="J477" s="54">
        <v>2048.5</v>
      </c>
      <c r="K477" s="21">
        <v>539.73</v>
      </c>
      <c r="L477" s="22">
        <v>7.6565000000000003</v>
      </c>
      <c r="M477" s="23">
        <v>13.4475</v>
      </c>
      <c r="N477" s="22">
        <v>2.9049999999999998</v>
      </c>
      <c r="O477" s="22">
        <v>2.3942000000000001</v>
      </c>
      <c r="P477" s="21">
        <v>12216</v>
      </c>
      <c r="Q477" s="20">
        <v>61.01</v>
      </c>
      <c r="R477" s="21"/>
    </row>
    <row r="478" spans="1:18">
      <c r="A478" s="14">
        <v>40869</v>
      </c>
      <c r="B478" s="15">
        <v>230.85</v>
      </c>
      <c r="C478" s="15">
        <v>232.9</v>
      </c>
      <c r="F478" s="53">
        <v>10</v>
      </c>
      <c r="G478">
        <v>14</v>
      </c>
      <c r="H478">
        <v>2014</v>
      </c>
      <c r="I478" s="41">
        <v>41926</v>
      </c>
      <c r="J478" s="54">
        <v>2048.88</v>
      </c>
      <c r="K478" s="21">
        <v>539.76</v>
      </c>
      <c r="L478" s="22">
        <v>7.6425000000000001</v>
      </c>
      <c r="M478" s="23">
        <v>13.445499999999999</v>
      </c>
      <c r="N478" s="22">
        <v>2.9045000000000001</v>
      </c>
      <c r="O478" s="22">
        <v>2.4001999999999999</v>
      </c>
      <c r="P478" s="21">
        <v>12207.5</v>
      </c>
      <c r="Q478" s="20">
        <v>61.4</v>
      </c>
      <c r="R478" s="21"/>
    </row>
    <row r="479" spans="1:18">
      <c r="A479" s="14">
        <v>40870</v>
      </c>
      <c r="B479" s="15">
        <v>230.25</v>
      </c>
      <c r="C479" s="15">
        <v>231.6</v>
      </c>
      <c r="F479" s="53">
        <v>10</v>
      </c>
      <c r="G479">
        <v>15</v>
      </c>
      <c r="H479">
        <v>2014</v>
      </c>
      <c r="I479" s="41">
        <v>41927</v>
      </c>
      <c r="J479" s="54">
        <v>2068.6</v>
      </c>
      <c r="K479" s="21">
        <v>538.78</v>
      </c>
      <c r="L479" s="22">
        <v>7.6405000000000003</v>
      </c>
      <c r="M479" s="23">
        <v>13.5307</v>
      </c>
      <c r="N479" s="22">
        <v>2.907</v>
      </c>
      <c r="O479" s="22">
        <v>2.4582999999999999</v>
      </c>
      <c r="P479" s="21">
        <v>12225</v>
      </c>
      <c r="Q479" s="20">
        <v>61.38</v>
      </c>
      <c r="R479" s="21"/>
    </row>
    <row r="480" spans="1:18">
      <c r="A480" s="14">
        <v>40872</v>
      </c>
      <c r="B480" s="15">
        <v>229.5</v>
      </c>
      <c r="C480" s="15">
        <v>229.6</v>
      </c>
      <c r="F480" s="53">
        <v>10</v>
      </c>
      <c r="G480">
        <v>16</v>
      </c>
      <c r="H480">
        <v>2014</v>
      </c>
      <c r="I480" s="41">
        <v>41928</v>
      </c>
      <c r="J480" s="54">
        <v>2069.38</v>
      </c>
      <c r="K480" s="21">
        <v>539.76</v>
      </c>
      <c r="L480" s="22">
        <v>7.6355000000000004</v>
      </c>
      <c r="M480" s="23">
        <v>13.5587</v>
      </c>
      <c r="N480" s="22">
        <v>2.9049999999999998</v>
      </c>
      <c r="O480" s="22">
        <v>2.4727999999999999</v>
      </c>
      <c r="P480" s="21">
        <v>12247.5</v>
      </c>
      <c r="Q480" s="20">
        <v>61.84</v>
      </c>
      <c r="R480" s="21"/>
    </row>
    <row r="481" spans="1:18">
      <c r="A481" s="14">
        <v>40875</v>
      </c>
      <c r="B481" s="15">
        <v>224.4</v>
      </c>
      <c r="C481" s="15">
        <v>224.7</v>
      </c>
      <c r="F481" s="53">
        <v>10</v>
      </c>
      <c r="G481">
        <v>17</v>
      </c>
      <c r="H481">
        <v>2014</v>
      </c>
      <c r="I481" s="41">
        <v>41929</v>
      </c>
      <c r="J481" s="54">
        <v>2064.3200000000002</v>
      </c>
      <c r="K481" s="21">
        <v>538.79999999999995</v>
      </c>
      <c r="L481" s="22">
        <v>7.6304999999999996</v>
      </c>
      <c r="M481" s="23">
        <v>13.522</v>
      </c>
      <c r="N481" s="22">
        <v>2.9045000000000001</v>
      </c>
      <c r="O481" s="22">
        <v>2.4356</v>
      </c>
      <c r="P481" s="21">
        <v>12106.5</v>
      </c>
      <c r="Q481" s="20">
        <v>61.365000000000002</v>
      </c>
      <c r="R481" s="21"/>
    </row>
    <row r="482" spans="1:18">
      <c r="A482" s="14">
        <v>40876</v>
      </c>
      <c r="B482" s="15">
        <v>224.2</v>
      </c>
      <c r="C482" s="15">
        <v>225.25</v>
      </c>
      <c r="F482" s="53">
        <v>10</v>
      </c>
      <c r="G482">
        <v>20</v>
      </c>
      <c r="H482">
        <v>2014</v>
      </c>
      <c r="I482" s="41">
        <v>41932</v>
      </c>
      <c r="J482" s="54">
        <v>2063.3000000000002</v>
      </c>
      <c r="K482" s="21">
        <v>538.79</v>
      </c>
      <c r="L482" s="22">
        <v>7.6315</v>
      </c>
      <c r="M482" s="23">
        <v>13.5335</v>
      </c>
      <c r="N482" s="22">
        <v>2.9020000000000001</v>
      </c>
      <c r="O482" s="22">
        <v>2.4651999999999998</v>
      </c>
      <c r="P482" s="21">
        <v>12032.5</v>
      </c>
      <c r="Q482" s="20">
        <v>61.234999999999999</v>
      </c>
      <c r="R482" s="21"/>
    </row>
    <row r="483" spans="1:18">
      <c r="A483" s="14">
        <v>40877</v>
      </c>
      <c r="B483" s="15">
        <v>225</v>
      </c>
      <c r="C483" s="15">
        <v>233.8</v>
      </c>
      <c r="F483" s="53">
        <v>10</v>
      </c>
      <c r="G483">
        <v>21</v>
      </c>
      <c r="H483">
        <v>2014</v>
      </c>
      <c r="I483" s="41">
        <v>41933</v>
      </c>
      <c r="J483" s="54">
        <v>2043.99</v>
      </c>
      <c r="K483" s="21">
        <v>543.26</v>
      </c>
      <c r="L483" s="22">
        <v>7.6384999999999996</v>
      </c>
      <c r="M483" s="23">
        <v>13.5395</v>
      </c>
      <c r="N483" s="22">
        <v>2.9024999999999999</v>
      </c>
      <c r="O483" s="22">
        <v>2.4809000000000001</v>
      </c>
      <c r="P483" s="21">
        <v>12000</v>
      </c>
      <c r="Q483" s="20">
        <v>61.15</v>
      </c>
      <c r="R483" s="21"/>
    </row>
    <row r="484" spans="1:18">
      <c r="A484" s="14">
        <v>40878</v>
      </c>
      <c r="B484" s="15">
        <v>231.55</v>
      </c>
      <c r="C484" s="15">
        <v>233.2</v>
      </c>
      <c r="F484" s="53">
        <v>10</v>
      </c>
      <c r="G484">
        <v>22</v>
      </c>
      <c r="H484">
        <v>2014</v>
      </c>
      <c r="I484" s="41">
        <v>41934</v>
      </c>
      <c r="J484" s="54">
        <v>2053.4499999999998</v>
      </c>
      <c r="K484" s="21">
        <v>539.75</v>
      </c>
      <c r="L484" s="22">
        <v>7.6455000000000002</v>
      </c>
      <c r="M484" s="23">
        <v>13.5565</v>
      </c>
      <c r="N484" s="22">
        <v>2.9075000000000002</v>
      </c>
      <c r="O484" s="22">
        <v>2.4872999999999998</v>
      </c>
      <c r="P484" s="21">
        <v>12012.5</v>
      </c>
      <c r="Q484" s="20">
        <v>61.2</v>
      </c>
      <c r="R484" s="21"/>
    </row>
    <row r="485" spans="1:18">
      <c r="A485" s="14">
        <v>40879</v>
      </c>
      <c r="B485" s="15">
        <v>223.9</v>
      </c>
      <c r="C485" s="15">
        <v>227.15</v>
      </c>
      <c r="F485" s="53">
        <v>10</v>
      </c>
      <c r="G485">
        <v>23</v>
      </c>
      <c r="H485">
        <v>2014</v>
      </c>
      <c r="I485" s="41">
        <v>41935</v>
      </c>
      <c r="J485" s="54">
        <v>2057.25</v>
      </c>
      <c r="K485" s="21">
        <v>539.75</v>
      </c>
      <c r="L485" s="22">
        <v>7.6485000000000003</v>
      </c>
      <c r="M485" s="23">
        <v>13.5625</v>
      </c>
      <c r="N485" s="22">
        <v>2.9079999999999999</v>
      </c>
      <c r="O485" s="22">
        <v>2.4988000000000001</v>
      </c>
      <c r="P485" s="21">
        <v>12060</v>
      </c>
      <c r="Q485" s="20">
        <v>61.17</v>
      </c>
      <c r="R485" s="21"/>
    </row>
    <row r="486" spans="1:18">
      <c r="A486" s="14">
        <v>40882</v>
      </c>
      <c r="B486" s="15">
        <v>228.5</v>
      </c>
      <c r="C486" s="15">
        <v>233.95</v>
      </c>
      <c r="F486" s="53">
        <v>10</v>
      </c>
      <c r="G486">
        <v>24</v>
      </c>
      <c r="H486">
        <v>2014</v>
      </c>
      <c r="I486" s="41">
        <v>41936</v>
      </c>
      <c r="J486" s="54">
        <v>2065.77</v>
      </c>
      <c r="K486" s="21">
        <v>539.63</v>
      </c>
      <c r="L486" s="22">
        <v>7.6395</v>
      </c>
      <c r="M486" s="23">
        <v>13.5587</v>
      </c>
      <c r="N486" s="22">
        <v>2.911</v>
      </c>
      <c r="O486" s="22">
        <v>2.4739</v>
      </c>
      <c r="P486" s="21">
        <v>12066</v>
      </c>
      <c r="Q486" s="20">
        <v>61.17</v>
      </c>
      <c r="R486" s="21"/>
    </row>
    <row r="487" spans="1:18">
      <c r="A487" s="14">
        <v>40883</v>
      </c>
      <c r="B487" s="15">
        <v>230.1</v>
      </c>
      <c r="C487" s="15">
        <v>232.85</v>
      </c>
      <c r="F487" s="53">
        <v>10</v>
      </c>
      <c r="G487">
        <v>27</v>
      </c>
      <c r="H487">
        <v>2014</v>
      </c>
      <c r="I487" s="41">
        <v>41939</v>
      </c>
      <c r="J487" s="54">
        <v>2068.08</v>
      </c>
      <c r="K487" s="21">
        <v>543.01</v>
      </c>
      <c r="L487" s="22">
        <v>7.6135000000000002</v>
      </c>
      <c r="M487" s="23">
        <v>13.54</v>
      </c>
      <c r="N487" s="22">
        <v>2.9169999999999998</v>
      </c>
      <c r="O487" s="22">
        <v>2.5226000000000002</v>
      </c>
      <c r="P487" s="21">
        <v>12112.5</v>
      </c>
      <c r="Q487" s="20">
        <v>61.305</v>
      </c>
      <c r="R487" s="21"/>
    </row>
    <row r="488" spans="1:18">
      <c r="A488" s="14">
        <v>40884</v>
      </c>
      <c r="B488" s="15">
        <v>226.9</v>
      </c>
      <c r="C488" s="15">
        <v>226.75</v>
      </c>
      <c r="F488" s="53">
        <v>10</v>
      </c>
      <c r="G488">
        <v>28</v>
      </c>
      <c r="H488">
        <v>2014</v>
      </c>
      <c r="I488" s="41">
        <v>41940</v>
      </c>
      <c r="J488" s="54">
        <v>2055.5500000000002</v>
      </c>
      <c r="K488" s="21">
        <v>540.6</v>
      </c>
      <c r="L488" s="22">
        <v>7.6105</v>
      </c>
      <c r="M488" s="23">
        <v>13.4415</v>
      </c>
      <c r="N488" s="22">
        <v>2.9119999999999999</v>
      </c>
      <c r="O488" s="22">
        <v>2.4613</v>
      </c>
      <c r="P488" s="21">
        <v>12170</v>
      </c>
      <c r="Q488" s="20">
        <v>61.188000000000002</v>
      </c>
      <c r="R488" s="21"/>
    </row>
    <row r="489" spans="1:18">
      <c r="A489" s="14">
        <v>40885</v>
      </c>
      <c r="B489" s="15">
        <v>225.4</v>
      </c>
      <c r="C489" s="15">
        <v>225.7</v>
      </c>
      <c r="F489" s="53">
        <v>10</v>
      </c>
      <c r="G489">
        <v>29</v>
      </c>
      <c r="H489">
        <v>2014</v>
      </c>
      <c r="I489" s="41">
        <v>41941</v>
      </c>
      <c r="J489" s="54">
        <v>2046.45</v>
      </c>
      <c r="K489" s="21">
        <v>540.5</v>
      </c>
      <c r="L489" s="22">
        <v>7.6185</v>
      </c>
      <c r="M489" s="23">
        <v>13.4978</v>
      </c>
      <c r="N489" s="22">
        <v>2.9165000000000001</v>
      </c>
      <c r="O489" s="22">
        <v>2.4611999999999998</v>
      </c>
      <c r="P489" s="21">
        <v>12080</v>
      </c>
      <c r="Q489" s="20">
        <v>61.29</v>
      </c>
      <c r="R489" s="21"/>
    </row>
    <row r="490" spans="1:18">
      <c r="A490" s="14">
        <v>40886</v>
      </c>
      <c r="B490" s="15">
        <v>225.5</v>
      </c>
      <c r="C490" s="15">
        <v>224.65</v>
      </c>
      <c r="F490" s="53">
        <v>10</v>
      </c>
      <c r="G490">
        <v>30</v>
      </c>
      <c r="H490">
        <v>2014</v>
      </c>
      <c r="I490" s="41">
        <v>41942</v>
      </c>
      <c r="J490" s="54">
        <v>2050.1799999999998</v>
      </c>
      <c r="K490" s="21">
        <v>540.70000000000005</v>
      </c>
      <c r="L490" s="22">
        <v>7.6135000000000002</v>
      </c>
      <c r="M490" s="23">
        <v>13.441800000000001</v>
      </c>
      <c r="N490" s="22">
        <v>2.9180000000000001</v>
      </c>
      <c r="O490" s="22">
        <v>2.4036</v>
      </c>
      <c r="P490" s="21">
        <v>12125</v>
      </c>
      <c r="Q490" s="20">
        <v>61.44</v>
      </c>
      <c r="R490" s="21"/>
    </row>
    <row r="491" spans="1:18">
      <c r="A491" s="14">
        <v>40889</v>
      </c>
      <c r="B491" s="15">
        <v>218</v>
      </c>
      <c r="C491" s="15">
        <v>218.5</v>
      </c>
      <c r="F491" s="53">
        <v>10</v>
      </c>
      <c r="G491">
        <v>31</v>
      </c>
      <c r="H491">
        <v>2014</v>
      </c>
      <c r="I491" s="41">
        <v>41943</v>
      </c>
      <c r="J491" s="54">
        <v>2058</v>
      </c>
      <c r="K491" s="21">
        <v>540.54999999999995</v>
      </c>
      <c r="L491" s="22">
        <v>7.6105</v>
      </c>
      <c r="M491" s="23">
        <v>13.4772</v>
      </c>
      <c r="N491" s="22">
        <v>2.923</v>
      </c>
      <c r="O491" s="22">
        <v>2.4782999999999999</v>
      </c>
      <c r="P491" s="21">
        <v>12085</v>
      </c>
      <c r="Q491" s="20">
        <v>61.405000000000001</v>
      </c>
      <c r="R491" s="21"/>
    </row>
    <row r="492" spans="1:18">
      <c r="A492" s="14">
        <v>40890</v>
      </c>
      <c r="B492" s="15">
        <v>219.15</v>
      </c>
      <c r="C492" s="15">
        <v>218.65</v>
      </c>
      <c r="F492" s="53">
        <v>11</v>
      </c>
      <c r="G492">
        <v>3</v>
      </c>
      <c r="H492">
        <v>2014</v>
      </c>
      <c r="I492" s="41">
        <v>41946</v>
      </c>
      <c r="J492" s="54">
        <v>2063.5</v>
      </c>
      <c r="K492" s="21">
        <v>540.70000000000005</v>
      </c>
      <c r="L492" s="22">
        <v>7.6105</v>
      </c>
      <c r="M492" s="23">
        <v>13.6075</v>
      </c>
      <c r="N492" s="22">
        <v>2.9249999999999998</v>
      </c>
      <c r="O492" s="22">
        <v>2.4965999999999999</v>
      </c>
      <c r="P492" s="21">
        <v>12107.5</v>
      </c>
      <c r="Q492" s="20">
        <v>61.42</v>
      </c>
      <c r="R492" s="21"/>
    </row>
    <row r="493" spans="1:18">
      <c r="A493" s="14">
        <v>40891</v>
      </c>
      <c r="B493" s="15">
        <v>213.5</v>
      </c>
      <c r="C493" s="15">
        <v>215.1</v>
      </c>
      <c r="F493" s="53">
        <v>11</v>
      </c>
      <c r="G493">
        <v>4</v>
      </c>
      <c r="H493">
        <v>2014</v>
      </c>
      <c r="I493" s="41">
        <v>41947</v>
      </c>
      <c r="J493" s="54">
        <v>2076.4</v>
      </c>
      <c r="K493" s="21">
        <v>540.79999999999995</v>
      </c>
      <c r="L493" s="22">
        <v>7.6035000000000004</v>
      </c>
      <c r="M493" s="23">
        <v>13.555300000000001</v>
      </c>
      <c r="N493" s="22">
        <v>2.9279999999999999</v>
      </c>
      <c r="O493" s="22">
        <v>2.4969999999999999</v>
      </c>
      <c r="P493" s="21">
        <v>12107.5</v>
      </c>
      <c r="Q493" s="20">
        <v>61.395000000000003</v>
      </c>
      <c r="R493" s="21"/>
    </row>
    <row r="494" spans="1:18">
      <c r="A494" s="14">
        <v>40892</v>
      </c>
      <c r="B494" s="15">
        <v>215</v>
      </c>
      <c r="C494" s="15">
        <v>213.75</v>
      </c>
      <c r="F494" s="53">
        <v>11</v>
      </c>
      <c r="G494">
        <v>5</v>
      </c>
      <c r="H494">
        <v>2014</v>
      </c>
      <c r="I494" s="41">
        <v>41948</v>
      </c>
      <c r="J494" s="54">
        <v>2074.9</v>
      </c>
      <c r="K494" s="21">
        <v>540.5</v>
      </c>
      <c r="L494" s="22">
        <v>7.6094999999999997</v>
      </c>
      <c r="M494" s="23">
        <v>13.574</v>
      </c>
      <c r="N494" s="22">
        <v>2.9275000000000002</v>
      </c>
      <c r="O494" s="22">
        <v>2.5049000000000001</v>
      </c>
      <c r="P494" s="21">
        <v>12142.5</v>
      </c>
      <c r="Q494" s="20">
        <v>61.435000000000002</v>
      </c>
      <c r="R494" s="21"/>
    </row>
    <row r="495" spans="1:18">
      <c r="A495" s="14">
        <v>40893</v>
      </c>
      <c r="B495" s="15">
        <v>213.4</v>
      </c>
      <c r="C495" s="15">
        <v>210.95</v>
      </c>
      <c r="F495" s="53">
        <v>11</v>
      </c>
      <c r="G495">
        <v>6</v>
      </c>
      <c r="H495">
        <v>2014</v>
      </c>
      <c r="I495" s="41">
        <v>41949</v>
      </c>
      <c r="J495" s="54">
        <v>2099.1999999999998</v>
      </c>
      <c r="K495" s="21">
        <v>540.85</v>
      </c>
      <c r="L495" s="22">
        <v>7.6074999999999999</v>
      </c>
      <c r="M495" s="23">
        <v>13.636699999999999</v>
      </c>
      <c r="N495" s="22">
        <v>2.9325000000000001</v>
      </c>
      <c r="O495" s="22">
        <v>2.5697000000000001</v>
      </c>
      <c r="P495" s="21">
        <v>12140</v>
      </c>
      <c r="Q495" s="20">
        <v>61.5</v>
      </c>
      <c r="R495" s="21"/>
    </row>
    <row r="496" spans="1:18">
      <c r="A496" s="14">
        <v>40896</v>
      </c>
      <c r="B496" s="15">
        <v>0</v>
      </c>
      <c r="C496" s="15">
        <v>215.3</v>
      </c>
      <c r="F496" s="53">
        <v>11</v>
      </c>
      <c r="G496">
        <v>7</v>
      </c>
      <c r="H496">
        <v>2014</v>
      </c>
      <c r="I496" s="41">
        <v>41950</v>
      </c>
      <c r="J496" s="54">
        <v>2099.2399999999998</v>
      </c>
      <c r="K496" s="21">
        <v>539.9</v>
      </c>
      <c r="L496" s="22">
        <v>7.6025</v>
      </c>
      <c r="M496" s="23">
        <v>13.5405</v>
      </c>
      <c r="N496" s="22">
        <v>2.9275000000000002</v>
      </c>
      <c r="O496" s="22">
        <v>2.5587</v>
      </c>
      <c r="P496" s="21">
        <v>12172.5</v>
      </c>
      <c r="Q496" s="20">
        <v>61.52</v>
      </c>
      <c r="R496" s="21"/>
    </row>
    <row r="497" spans="1:18">
      <c r="A497" s="14">
        <v>40897</v>
      </c>
      <c r="B497" s="15">
        <v>219</v>
      </c>
      <c r="C497" s="15">
        <v>222.8</v>
      </c>
      <c r="F497" s="53">
        <v>11</v>
      </c>
      <c r="G497">
        <v>10</v>
      </c>
      <c r="H497">
        <v>2014</v>
      </c>
      <c r="I497" s="41">
        <v>41953</v>
      </c>
      <c r="J497" s="54">
        <v>2108.5</v>
      </c>
      <c r="K497" s="21">
        <v>539.5</v>
      </c>
      <c r="L497" s="22">
        <v>7.5984999999999996</v>
      </c>
      <c r="M497" s="23">
        <v>13.6075</v>
      </c>
      <c r="N497" s="22">
        <v>2.93</v>
      </c>
      <c r="O497" s="22">
        <v>2.5528</v>
      </c>
      <c r="P497" s="21">
        <v>12152.5</v>
      </c>
      <c r="Q497" s="20">
        <v>61.484999999999999</v>
      </c>
      <c r="R497" s="21"/>
    </row>
    <row r="498" spans="1:18">
      <c r="A498" s="14">
        <v>40898</v>
      </c>
      <c r="B498" s="15">
        <v>218.5</v>
      </c>
      <c r="C498" s="15">
        <v>219.9</v>
      </c>
      <c r="F498" s="53">
        <v>11</v>
      </c>
      <c r="G498">
        <v>11</v>
      </c>
      <c r="H498">
        <v>2014</v>
      </c>
      <c r="I498" s="41">
        <v>41954</v>
      </c>
      <c r="J498" s="54">
        <v>2115.75</v>
      </c>
      <c r="K498" s="21">
        <v>539.45000000000005</v>
      </c>
      <c r="L498" s="22">
        <v>7.6044999999999998</v>
      </c>
      <c r="M498" s="23">
        <v>13.602</v>
      </c>
      <c r="N498" s="22">
        <v>2.9304999999999999</v>
      </c>
      <c r="O498" s="22">
        <v>2.5575000000000001</v>
      </c>
      <c r="P498" s="21">
        <v>12205</v>
      </c>
      <c r="Q498" s="20">
        <v>61.515000000000001</v>
      </c>
      <c r="R498" s="21"/>
    </row>
    <row r="499" spans="1:18">
      <c r="A499" s="14">
        <v>40899</v>
      </c>
      <c r="B499" s="15">
        <v>218.65</v>
      </c>
      <c r="C499" s="15">
        <v>221.4</v>
      </c>
      <c r="F499" s="53">
        <v>11</v>
      </c>
      <c r="G499">
        <v>12</v>
      </c>
      <c r="H499">
        <v>2014</v>
      </c>
      <c r="I499" s="41">
        <v>41955</v>
      </c>
      <c r="J499" s="54">
        <v>2123.52</v>
      </c>
      <c r="K499" s="21">
        <v>539.25</v>
      </c>
      <c r="L499" s="22">
        <v>7.6074999999999999</v>
      </c>
      <c r="M499" s="23">
        <v>13.556699999999999</v>
      </c>
      <c r="N499" s="22">
        <v>2.9344999999999999</v>
      </c>
      <c r="O499" s="22">
        <v>2.5665</v>
      </c>
      <c r="P499" s="21">
        <v>12198.5</v>
      </c>
      <c r="Q499" s="20">
        <v>61.375</v>
      </c>
      <c r="R499" s="21"/>
    </row>
    <row r="500" spans="1:18">
      <c r="A500" s="14">
        <v>40900</v>
      </c>
      <c r="B500" s="15">
        <v>217.4</v>
      </c>
      <c r="C500" s="15">
        <v>219.65</v>
      </c>
      <c r="F500" s="53">
        <v>11</v>
      </c>
      <c r="G500">
        <v>13</v>
      </c>
      <c r="H500">
        <v>2014</v>
      </c>
      <c r="I500" s="41">
        <v>41956</v>
      </c>
      <c r="J500" s="54">
        <v>2147.12</v>
      </c>
      <c r="K500" s="21">
        <v>539.35</v>
      </c>
      <c r="L500" s="22">
        <v>7.6064999999999996</v>
      </c>
      <c r="M500" s="23">
        <v>13.603999999999999</v>
      </c>
      <c r="N500" s="22">
        <v>2.9340000000000002</v>
      </c>
      <c r="O500" s="22">
        <v>2.5889000000000002</v>
      </c>
      <c r="P500" s="21">
        <v>12202.5</v>
      </c>
      <c r="Q500" s="20">
        <v>61.6</v>
      </c>
      <c r="R500" s="21"/>
    </row>
    <row r="501" spans="1:18">
      <c r="A501" s="14">
        <v>40904</v>
      </c>
      <c r="B501" s="15">
        <v>218.35</v>
      </c>
      <c r="C501" s="15">
        <v>222.85</v>
      </c>
      <c r="F501" s="53">
        <v>11</v>
      </c>
      <c r="G501">
        <v>14</v>
      </c>
      <c r="H501">
        <v>2014</v>
      </c>
      <c r="I501" s="41">
        <v>41957</v>
      </c>
      <c r="J501" s="54">
        <v>2159</v>
      </c>
      <c r="K501" s="21">
        <v>539.32000000000005</v>
      </c>
      <c r="L501" s="22">
        <v>7.6135000000000002</v>
      </c>
      <c r="M501" s="23">
        <v>13.534000000000001</v>
      </c>
      <c r="N501" s="22">
        <v>2.9319999999999999</v>
      </c>
      <c r="O501" s="22">
        <v>2.6017999999999999</v>
      </c>
      <c r="P501" s="21">
        <v>12211</v>
      </c>
      <c r="Q501" s="20">
        <v>61.715000000000003</v>
      </c>
      <c r="R501" s="21"/>
    </row>
    <row r="502" spans="1:18">
      <c r="A502" s="14">
        <v>40905</v>
      </c>
      <c r="B502" s="15">
        <v>221</v>
      </c>
      <c r="C502" s="15">
        <v>226.75</v>
      </c>
      <c r="F502" s="53">
        <v>11</v>
      </c>
      <c r="G502">
        <v>17</v>
      </c>
      <c r="H502">
        <v>2014</v>
      </c>
      <c r="I502" s="41">
        <v>41960</v>
      </c>
      <c r="J502" s="54">
        <v>2159.5</v>
      </c>
      <c r="K502" s="21">
        <v>538.54999999999995</v>
      </c>
      <c r="L502" s="22">
        <v>7.6154999999999999</v>
      </c>
      <c r="M502" s="23">
        <v>13.59</v>
      </c>
      <c r="N502" s="22">
        <v>2.93</v>
      </c>
      <c r="O502" s="22">
        <v>2.6080999999999999</v>
      </c>
      <c r="P502" s="21">
        <v>12204.5</v>
      </c>
      <c r="Q502" s="20">
        <v>61.83</v>
      </c>
      <c r="R502" s="21"/>
    </row>
    <row r="503" spans="1:18">
      <c r="A503" s="14">
        <v>40906</v>
      </c>
      <c r="B503" s="15">
        <v>224.1</v>
      </c>
      <c r="C503" s="15">
        <v>224.25</v>
      </c>
      <c r="F503" s="53">
        <v>11</v>
      </c>
      <c r="G503">
        <v>18</v>
      </c>
      <c r="H503">
        <v>2014</v>
      </c>
      <c r="I503" s="41">
        <v>41961</v>
      </c>
      <c r="J503" s="54">
        <v>2150.0300000000002</v>
      </c>
      <c r="K503" s="21">
        <v>538.29999999999995</v>
      </c>
      <c r="L503" s="22">
        <v>7.6234999999999999</v>
      </c>
      <c r="M503" s="23">
        <v>13.555999999999999</v>
      </c>
      <c r="N503" s="22">
        <v>2.9275000000000002</v>
      </c>
      <c r="O503" s="22">
        <v>2.5825</v>
      </c>
      <c r="P503" s="21">
        <v>12150</v>
      </c>
      <c r="Q503" s="20">
        <v>61.725000000000001</v>
      </c>
      <c r="R503" s="21"/>
    </row>
    <row r="504" spans="1:18">
      <c r="A504" s="14">
        <v>40907</v>
      </c>
      <c r="B504" s="15">
        <v>224.2</v>
      </c>
      <c r="C504" s="15">
        <v>226.85</v>
      </c>
      <c r="F504" s="53">
        <v>11</v>
      </c>
      <c r="G504">
        <v>19</v>
      </c>
      <c r="H504">
        <v>2014</v>
      </c>
      <c r="I504" s="41">
        <v>41962</v>
      </c>
      <c r="J504" s="54">
        <v>2159.2600000000002</v>
      </c>
      <c r="K504" s="21">
        <v>537.85</v>
      </c>
      <c r="L504" s="22">
        <v>7.6215000000000002</v>
      </c>
      <c r="M504" s="23">
        <v>13.619300000000001</v>
      </c>
      <c r="N504" s="22">
        <v>2.9264999999999999</v>
      </c>
      <c r="O504" s="22">
        <v>2.5720000000000001</v>
      </c>
      <c r="P504" s="21">
        <v>12147.5</v>
      </c>
      <c r="Q504" s="20">
        <v>61.945</v>
      </c>
      <c r="R504" s="21"/>
    </row>
    <row r="505" spans="1:18">
      <c r="A505" s="14">
        <v>40911</v>
      </c>
      <c r="B505" s="15">
        <v>222.4</v>
      </c>
      <c r="C505" s="15">
        <v>227.2</v>
      </c>
      <c r="F505" s="53">
        <v>11</v>
      </c>
      <c r="G505">
        <v>20</v>
      </c>
      <c r="H505">
        <v>2014</v>
      </c>
      <c r="I505" s="41">
        <v>41963</v>
      </c>
      <c r="J505" s="54">
        <v>2157</v>
      </c>
      <c r="K505" s="21">
        <v>537.85</v>
      </c>
      <c r="L505" s="22">
        <v>7.6195000000000004</v>
      </c>
      <c r="M505" s="23">
        <v>13.6509</v>
      </c>
      <c r="N505" s="22">
        <v>2.9235000000000002</v>
      </c>
      <c r="O505" s="22">
        <v>2.5731000000000002</v>
      </c>
      <c r="P505" s="21">
        <v>12175</v>
      </c>
      <c r="Q505" s="20">
        <v>61.93</v>
      </c>
      <c r="R505" s="21"/>
    </row>
    <row r="506" spans="1:18">
      <c r="A506" s="14">
        <v>40912</v>
      </c>
      <c r="B506" s="15">
        <v>224.4</v>
      </c>
      <c r="C506" s="15">
        <v>226.7</v>
      </c>
      <c r="F506" s="53">
        <v>11</v>
      </c>
      <c r="G506">
        <v>21</v>
      </c>
      <c r="H506">
        <v>2014</v>
      </c>
      <c r="I506" s="41">
        <v>41964</v>
      </c>
      <c r="J506" s="54">
        <v>2145.75</v>
      </c>
      <c r="K506" s="21">
        <v>537.79999999999995</v>
      </c>
      <c r="L506" s="22">
        <v>7.6195000000000004</v>
      </c>
      <c r="M506" s="23">
        <v>13.62</v>
      </c>
      <c r="N506" s="22">
        <v>2.9129999999999998</v>
      </c>
      <c r="O506" s="22">
        <v>2.5152999999999999</v>
      </c>
      <c r="P506" s="21">
        <v>12148.5</v>
      </c>
      <c r="Q506" s="20">
        <v>61.767000000000003</v>
      </c>
      <c r="R506" s="21"/>
    </row>
    <row r="507" spans="1:18">
      <c r="A507" s="14">
        <v>40913</v>
      </c>
      <c r="B507" s="15">
        <v>217.55</v>
      </c>
      <c r="C507" s="15">
        <v>219.55</v>
      </c>
      <c r="F507" s="53">
        <v>11</v>
      </c>
      <c r="G507">
        <v>24</v>
      </c>
      <c r="H507">
        <v>2014</v>
      </c>
      <c r="I507" s="41">
        <v>41967</v>
      </c>
      <c r="J507" s="54">
        <v>2161.0500000000002</v>
      </c>
      <c r="K507" s="21">
        <v>537.79999999999995</v>
      </c>
      <c r="L507" s="22">
        <v>7.6245000000000003</v>
      </c>
      <c r="M507" s="23">
        <v>13.658200000000001</v>
      </c>
      <c r="N507" s="22">
        <v>2.915</v>
      </c>
      <c r="O507" s="22">
        <v>2.5457000000000001</v>
      </c>
      <c r="P507" s="21">
        <v>12151.5</v>
      </c>
      <c r="Q507" s="20">
        <v>61.86</v>
      </c>
      <c r="R507" s="21"/>
    </row>
    <row r="508" spans="1:18">
      <c r="A508" s="14">
        <v>40914</v>
      </c>
      <c r="B508" s="15">
        <v>216.6</v>
      </c>
      <c r="C508" s="15">
        <v>221.75</v>
      </c>
      <c r="F508" s="53">
        <v>11</v>
      </c>
      <c r="G508">
        <v>25</v>
      </c>
      <c r="H508">
        <v>2014</v>
      </c>
      <c r="I508" s="41">
        <v>41968</v>
      </c>
      <c r="J508" s="54">
        <v>2158.59</v>
      </c>
      <c r="K508" s="21">
        <v>537.79999999999995</v>
      </c>
      <c r="L508" s="22">
        <v>7.6254999999999997</v>
      </c>
      <c r="M508" s="23">
        <v>13.674200000000001</v>
      </c>
      <c r="N508" s="22">
        <v>2.9144999999999999</v>
      </c>
      <c r="O508" s="22">
        <v>2.5303</v>
      </c>
      <c r="P508" s="21">
        <v>12164</v>
      </c>
      <c r="Q508" s="20">
        <v>61.865000000000002</v>
      </c>
      <c r="R508" s="21"/>
    </row>
    <row r="509" spans="1:18">
      <c r="A509" s="14">
        <v>40917</v>
      </c>
      <c r="B509" s="15">
        <v>217.6</v>
      </c>
      <c r="C509" s="15">
        <v>221.85</v>
      </c>
      <c r="F509" s="53">
        <v>11</v>
      </c>
      <c r="G509">
        <v>26</v>
      </c>
      <c r="H509">
        <v>2014</v>
      </c>
      <c r="I509" s="41">
        <v>41969</v>
      </c>
      <c r="J509" s="54">
        <v>2162.9499999999998</v>
      </c>
      <c r="K509" s="21">
        <v>537.5</v>
      </c>
      <c r="L509" s="22">
        <v>7.6254999999999997</v>
      </c>
      <c r="M509" s="23">
        <v>13.7265</v>
      </c>
      <c r="N509" s="22">
        <v>2.9125000000000001</v>
      </c>
      <c r="O509" s="22">
        <v>2.5011000000000001</v>
      </c>
      <c r="P509" s="21">
        <v>12175</v>
      </c>
      <c r="Q509" s="20">
        <v>61.795000000000002</v>
      </c>
      <c r="R509" s="21"/>
    </row>
    <row r="510" spans="1:18">
      <c r="A510" s="14">
        <v>40918</v>
      </c>
      <c r="B510" s="15">
        <v>221.15</v>
      </c>
      <c r="C510" s="15">
        <v>225.95</v>
      </c>
      <c r="F510" s="53">
        <v>11</v>
      </c>
      <c r="G510">
        <v>27</v>
      </c>
      <c r="H510">
        <v>2014</v>
      </c>
      <c r="I510" s="41">
        <v>41970</v>
      </c>
      <c r="J510" s="54">
        <v>2162.7199999999998</v>
      </c>
      <c r="K510" s="21">
        <v>537.5</v>
      </c>
      <c r="L510" s="22">
        <v>7.6254999999999997</v>
      </c>
      <c r="M510" s="23">
        <v>13.763</v>
      </c>
      <c r="N510" s="22">
        <v>2.9115000000000002</v>
      </c>
      <c r="O510" s="22">
        <v>2.5304000000000002</v>
      </c>
      <c r="P510" s="21">
        <v>12177</v>
      </c>
      <c r="Q510" s="20">
        <v>61.86</v>
      </c>
      <c r="R510" s="21"/>
    </row>
    <row r="511" spans="1:18">
      <c r="A511" s="14">
        <v>40919</v>
      </c>
      <c r="B511" s="15">
        <v>224.15</v>
      </c>
      <c r="C511" s="15">
        <v>234.9</v>
      </c>
      <c r="F511" s="53">
        <v>11</v>
      </c>
      <c r="G511">
        <v>28</v>
      </c>
      <c r="H511">
        <v>2014</v>
      </c>
      <c r="I511" s="41">
        <v>41971</v>
      </c>
      <c r="J511" s="54">
        <v>2217</v>
      </c>
      <c r="K511" s="21">
        <v>537.35</v>
      </c>
      <c r="L511" s="22">
        <v>7.6485000000000003</v>
      </c>
      <c r="M511" s="23">
        <v>13.9367</v>
      </c>
      <c r="N511" s="22">
        <v>2.9239999999999999</v>
      </c>
      <c r="O511" s="22">
        <v>2.5659000000000001</v>
      </c>
      <c r="P511" s="21">
        <v>12204</v>
      </c>
      <c r="Q511" s="20">
        <v>62.21</v>
      </c>
      <c r="R511" s="21"/>
    </row>
    <row r="512" spans="1:18">
      <c r="A512" s="14">
        <v>40920</v>
      </c>
      <c r="B512" s="15">
        <v>231.85</v>
      </c>
      <c r="C512" s="15">
        <v>233.9</v>
      </c>
      <c r="F512" s="53">
        <v>12</v>
      </c>
      <c r="G512">
        <v>1</v>
      </c>
      <c r="H512">
        <v>2014</v>
      </c>
      <c r="I512" s="41">
        <v>41974</v>
      </c>
      <c r="J512" s="54">
        <v>2265.5</v>
      </c>
      <c r="K512" s="21">
        <v>537.04999999999995</v>
      </c>
      <c r="L512" s="22">
        <v>7.6505000000000001</v>
      </c>
      <c r="M512" s="23">
        <v>13.9945</v>
      </c>
      <c r="N512" s="22">
        <v>2.9319999999999999</v>
      </c>
      <c r="O512" s="22">
        <v>2.56</v>
      </c>
      <c r="P512" s="21">
        <v>12272.5</v>
      </c>
      <c r="Q512" s="20">
        <v>61.954999999999998</v>
      </c>
      <c r="R512" s="21"/>
    </row>
    <row r="513" spans="1:18">
      <c r="A513" s="14">
        <v>40921</v>
      </c>
      <c r="B513" s="15">
        <v>224.5</v>
      </c>
      <c r="C513" s="15">
        <v>225.25</v>
      </c>
      <c r="F513" s="53">
        <v>12</v>
      </c>
      <c r="G513">
        <v>2</v>
      </c>
      <c r="H513">
        <v>2014</v>
      </c>
      <c r="I513" s="41">
        <v>41975</v>
      </c>
      <c r="J513" s="54">
        <v>2296.5</v>
      </c>
      <c r="K513" s="21">
        <v>536.15</v>
      </c>
      <c r="L513" s="22">
        <v>7.6464999999999996</v>
      </c>
      <c r="M513" s="23">
        <v>14.1005</v>
      </c>
      <c r="N513" s="22">
        <v>2.9430000000000001</v>
      </c>
      <c r="O513" s="22">
        <v>2.5682</v>
      </c>
      <c r="P513" s="21">
        <v>12270</v>
      </c>
      <c r="Q513" s="20">
        <v>61.795000000000002</v>
      </c>
      <c r="R513" s="21"/>
    </row>
    <row r="514" spans="1:18">
      <c r="A514" s="14">
        <v>40925</v>
      </c>
      <c r="B514" s="15">
        <v>221.1</v>
      </c>
      <c r="C514" s="15">
        <v>225.15</v>
      </c>
      <c r="F514" s="53">
        <v>12</v>
      </c>
      <c r="G514">
        <v>3</v>
      </c>
      <c r="H514">
        <v>2014</v>
      </c>
      <c r="I514" s="41">
        <v>41976</v>
      </c>
      <c r="J514" s="54">
        <v>2288.75</v>
      </c>
      <c r="K514" s="21">
        <v>535.75</v>
      </c>
      <c r="L514" s="22">
        <v>7.6455000000000002</v>
      </c>
      <c r="M514" s="23">
        <v>14.1007</v>
      </c>
      <c r="N514" s="22">
        <v>2.9449999999999998</v>
      </c>
      <c r="O514" s="22">
        <v>2.5525000000000002</v>
      </c>
      <c r="P514" s="21">
        <v>12298.5</v>
      </c>
      <c r="Q514" s="20">
        <v>61.863</v>
      </c>
      <c r="R514" s="21"/>
    </row>
    <row r="515" spans="1:18">
      <c r="A515" s="14">
        <v>40926</v>
      </c>
      <c r="B515" s="15">
        <v>222.25</v>
      </c>
      <c r="C515" s="15">
        <v>224.85</v>
      </c>
      <c r="F515" s="53">
        <v>12</v>
      </c>
      <c r="G515">
        <v>4</v>
      </c>
      <c r="H515">
        <v>2014</v>
      </c>
      <c r="I515" s="41">
        <v>41977</v>
      </c>
      <c r="J515" s="54">
        <v>2279</v>
      </c>
      <c r="K515" s="21">
        <v>535.6</v>
      </c>
      <c r="L515" s="22">
        <v>7.6395</v>
      </c>
      <c r="M515" s="23">
        <v>14.156000000000001</v>
      </c>
      <c r="N515" s="22">
        <v>2.9470000000000001</v>
      </c>
      <c r="O515" s="22">
        <v>2.5914999999999999</v>
      </c>
      <c r="P515" s="21">
        <v>12307.5</v>
      </c>
      <c r="Q515" s="20">
        <v>61.79</v>
      </c>
      <c r="R515" s="21"/>
    </row>
    <row r="516" spans="1:18">
      <c r="A516" s="14">
        <v>40927</v>
      </c>
      <c r="B516" s="15">
        <v>223.35</v>
      </c>
      <c r="C516" s="15">
        <v>226.65</v>
      </c>
      <c r="F516" s="53">
        <v>12</v>
      </c>
      <c r="G516">
        <v>5</v>
      </c>
      <c r="H516">
        <v>2014</v>
      </c>
      <c r="I516" s="41">
        <v>41978</v>
      </c>
      <c r="J516" s="54">
        <v>2318.84</v>
      </c>
      <c r="K516" s="21">
        <v>535.5</v>
      </c>
      <c r="L516" s="22">
        <v>7.6334999999999997</v>
      </c>
      <c r="M516" s="23">
        <v>14.359</v>
      </c>
      <c r="N516" s="22">
        <v>2.9569999999999999</v>
      </c>
      <c r="O516" s="22">
        <v>2.5895000000000001</v>
      </c>
      <c r="P516" s="21">
        <v>12296.5</v>
      </c>
      <c r="Q516" s="20">
        <v>61.917999999999999</v>
      </c>
      <c r="R516" s="21"/>
    </row>
    <row r="517" spans="1:18">
      <c r="A517" s="14">
        <v>40928</v>
      </c>
      <c r="B517" s="15">
        <v>224.1</v>
      </c>
      <c r="C517" s="15">
        <v>225.4</v>
      </c>
      <c r="F517" s="53">
        <v>12</v>
      </c>
      <c r="G517">
        <v>8</v>
      </c>
      <c r="H517">
        <v>2014</v>
      </c>
      <c r="I517" s="41">
        <v>41981</v>
      </c>
      <c r="J517" s="54">
        <v>2317.5</v>
      </c>
      <c r="K517" s="21">
        <v>535.29999999999995</v>
      </c>
      <c r="L517" s="22">
        <v>7.6395</v>
      </c>
      <c r="M517" s="23">
        <v>14.3818</v>
      </c>
      <c r="N517" s="22">
        <v>2.9620000000000002</v>
      </c>
      <c r="O517" s="22">
        <v>2.6004</v>
      </c>
      <c r="P517" s="21">
        <v>12348.5</v>
      </c>
      <c r="Q517" s="20">
        <v>61.825000000000003</v>
      </c>
      <c r="R517" s="21"/>
    </row>
    <row r="518" spans="1:18">
      <c r="A518" s="14">
        <v>40931</v>
      </c>
      <c r="B518" s="15">
        <v>217.85</v>
      </c>
      <c r="C518" s="15">
        <v>219.45</v>
      </c>
      <c r="F518" s="53">
        <v>12</v>
      </c>
      <c r="G518">
        <v>9</v>
      </c>
      <c r="H518">
        <v>2014</v>
      </c>
      <c r="I518" s="41">
        <v>41982</v>
      </c>
      <c r="J518" s="54">
        <v>2347.5</v>
      </c>
      <c r="K518" s="21">
        <v>535.20000000000005</v>
      </c>
      <c r="L518" s="22">
        <v>7.6395</v>
      </c>
      <c r="M518" s="23">
        <v>14.422499999999999</v>
      </c>
      <c r="N518" s="22">
        <v>2.9565000000000001</v>
      </c>
      <c r="O518" s="22">
        <v>2.593</v>
      </c>
      <c r="P518" s="21">
        <v>12329.5</v>
      </c>
      <c r="Q518" s="20">
        <v>61.88</v>
      </c>
      <c r="R518" s="21"/>
    </row>
    <row r="519" spans="1:18">
      <c r="A519" s="14">
        <v>40932</v>
      </c>
      <c r="B519" s="15">
        <v>217.55</v>
      </c>
      <c r="C519" s="15">
        <v>220.45</v>
      </c>
      <c r="F519" s="53">
        <v>12</v>
      </c>
      <c r="G519">
        <v>10</v>
      </c>
      <c r="H519">
        <v>2014</v>
      </c>
      <c r="I519" s="41">
        <v>41983</v>
      </c>
      <c r="J519" s="54">
        <v>2397</v>
      </c>
      <c r="K519" s="21">
        <v>535.6</v>
      </c>
      <c r="L519" s="22">
        <v>7.6375000000000002</v>
      </c>
      <c r="M519" s="23">
        <v>14.5585</v>
      </c>
      <c r="N519" s="22">
        <v>2.98</v>
      </c>
      <c r="O519" s="22">
        <v>2.6162000000000001</v>
      </c>
      <c r="P519" s="21">
        <v>12336.5</v>
      </c>
      <c r="Q519" s="20">
        <v>62.115000000000002</v>
      </c>
      <c r="R519" s="21"/>
    </row>
    <row r="520" spans="1:18">
      <c r="A520" s="14">
        <v>40933</v>
      </c>
      <c r="B520" s="15">
        <v>216.8</v>
      </c>
      <c r="C520" s="15">
        <v>217.2</v>
      </c>
      <c r="F520" s="53">
        <v>12</v>
      </c>
      <c r="G520">
        <v>11</v>
      </c>
      <c r="H520">
        <v>2014</v>
      </c>
      <c r="I520" s="41">
        <v>41984</v>
      </c>
      <c r="J520" s="54">
        <v>2409.7399999999998</v>
      </c>
      <c r="K520" s="21">
        <v>535.70000000000005</v>
      </c>
      <c r="L520" s="22">
        <v>7.6384999999999996</v>
      </c>
      <c r="M520" s="23">
        <v>14.776199999999999</v>
      </c>
      <c r="N520" s="22">
        <v>2.9704999999999999</v>
      </c>
      <c r="O520" s="22">
        <v>2.6497999999999999</v>
      </c>
      <c r="P520" s="21">
        <v>12348.5</v>
      </c>
      <c r="Q520" s="20">
        <v>62.48</v>
      </c>
      <c r="R520" s="21"/>
    </row>
    <row r="521" spans="1:18">
      <c r="A521" s="14">
        <v>40934</v>
      </c>
      <c r="B521" s="15">
        <v>217.25</v>
      </c>
      <c r="C521" s="15">
        <v>219.7</v>
      </c>
      <c r="F521" s="53">
        <v>12</v>
      </c>
      <c r="G521">
        <v>12</v>
      </c>
      <c r="H521">
        <v>2014</v>
      </c>
      <c r="I521" s="41">
        <v>41985</v>
      </c>
      <c r="J521" s="54">
        <v>2404.69</v>
      </c>
      <c r="K521" s="21">
        <v>535.65</v>
      </c>
      <c r="L521" s="22">
        <v>7.6334999999999997</v>
      </c>
      <c r="M521" s="23">
        <v>14.7628</v>
      </c>
      <c r="N521" s="22">
        <v>2.9624999999999999</v>
      </c>
      <c r="O521" s="22">
        <v>2.6545000000000001</v>
      </c>
      <c r="P521" s="21">
        <v>12457.5</v>
      </c>
      <c r="Q521" s="20">
        <v>62.524999999999999</v>
      </c>
      <c r="R521" s="21"/>
    </row>
    <row r="522" spans="1:18">
      <c r="A522" s="14">
        <v>40935</v>
      </c>
      <c r="B522" s="15">
        <v>216.9</v>
      </c>
      <c r="C522" s="15">
        <v>217.35</v>
      </c>
      <c r="F522" s="53">
        <v>12</v>
      </c>
      <c r="G522">
        <v>15</v>
      </c>
      <c r="H522">
        <v>2014</v>
      </c>
      <c r="I522" s="41">
        <v>41988</v>
      </c>
      <c r="J522" s="54">
        <v>2428.5</v>
      </c>
      <c r="K522" s="21">
        <v>535.65</v>
      </c>
      <c r="L522" s="22">
        <v>7.6315</v>
      </c>
      <c r="M522" s="23">
        <v>14.7585</v>
      </c>
      <c r="N522" s="22">
        <v>2.9655</v>
      </c>
      <c r="O522" s="22">
        <v>2.6955</v>
      </c>
      <c r="P522" s="21">
        <v>12697.5</v>
      </c>
      <c r="Q522" s="20">
        <v>63.174999999999997</v>
      </c>
      <c r="R522" s="21"/>
    </row>
    <row r="523" spans="1:18">
      <c r="A523" s="14">
        <v>40938</v>
      </c>
      <c r="B523" s="15">
        <v>215</v>
      </c>
      <c r="C523" s="15">
        <v>216.6</v>
      </c>
      <c r="F523" s="53">
        <v>12</v>
      </c>
      <c r="G523">
        <v>16</v>
      </c>
      <c r="H523">
        <v>2014</v>
      </c>
      <c r="I523" s="41">
        <v>41989</v>
      </c>
      <c r="J523" s="54">
        <v>2427.5</v>
      </c>
      <c r="K523" s="21">
        <v>535.65</v>
      </c>
      <c r="L523" s="22">
        <v>7.6254999999999997</v>
      </c>
      <c r="M523" s="23">
        <v>14.749499999999999</v>
      </c>
      <c r="N523" s="22">
        <v>2.9695</v>
      </c>
      <c r="O523" s="22">
        <v>2.7383999999999999</v>
      </c>
      <c r="P523" s="21">
        <v>12680</v>
      </c>
      <c r="Q523" s="20">
        <v>63.66</v>
      </c>
      <c r="R523" s="21"/>
    </row>
    <row r="524" spans="1:18">
      <c r="A524" s="14">
        <v>40939</v>
      </c>
      <c r="B524" s="15">
        <v>213.1</v>
      </c>
      <c r="C524" s="15">
        <v>215.05</v>
      </c>
      <c r="F524" s="53">
        <v>12</v>
      </c>
      <c r="G524">
        <v>17</v>
      </c>
      <c r="H524">
        <v>2014</v>
      </c>
      <c r="I524" s="41">
        <v>41990</v>
      </c>
      <c r="J524" s="54">
        <v>2399.15</v>
      </c>
      <c r="K524" s="21">
        <v>535.6</v>
      </c>
      <c r="L524" s="22">
        <v>7.6185</v>
      </c>
      <c r="M524" s="23">
        <v>14.5642</v>
      </c>
      <c r="N524" s="22">
        <v>2.9525000000000001</v>
      </c>
      <c r="O524" s="22">
        <v>2.7153999999999998</v>
      </c>
      <c r="P524" s="21">
        <v>12657.5</v>
      </c>
      <c r="Q524" s="20">
        <v>63.524999999999999</v>
      </c>
      <c r="R524" s="21"/>
    </row>
    <row r="525" spans="1:18">
      <c r="A525" s="14">
        <v>40940</v>
      </c>
      <c r="B525" s="15">
        <v>213.2</v>
      </c>
      <c r="C525" s="15">
        <v>214.1</v>
      </c>
      <c r="F525" s="53">
        <v>12</v>
      </c>
      <c r="G525">
        <v>18</v>
      </c>
      <c r="H525">
        <v>2014</v>
      </c>
      <c r="I525" s="41">
        <v>41991</v>
      </c>
      <c r="J525" s="54">
        <v>2318.15</v>
      </c>
      <c r="K525" s="21">
        <v>534.6</v>
      </c>
      <c r="L525" s="22">
        <v>7.6124999999999998</v>
      </c>
      <c r="M525" s="23">
        <v>14.576499999999999</v>
      </c>
      <c r="N525" s="22">
        <v>2.9394999999999998</v>
      </c>
      <c r="O525" s="22">
        <v>2.6625000000000001</v>
      </c>
      <c r="P525" s="21">
        <v>12562.5</v>
      </c>
      <c r="Q525" s="20">
        <v>62.99</v>
      </c>
      <c r="R525" s="21"/>
    </row>
    <row r="526" spans="1:18">
      <c r="A526" s="14">
        <v>40941</v>
      </c>
      <c r="B526" s="15">
        <v>210.95</v>
      </c>
      <c r="C526" s="15">
        <v>215.6</v>
      </c>
      <c r="F526" s="53">
        <v>12</v>
      </c>
      <c r="G526">
        <v>19</v>
      </c>
      <c r="H526">
        <v>2014</v>
      </c>
      <c r="I526" s="41">
        <v>41992</v>
      </c>
      <c r="J526" s="54">
        <v>2295.9899999999998</v>
      </c>
      <c r="K526" s="21">
        <v>534.6</v>
      </c>
      <c r="L526" s="22">
        <v>7.6165000000000003</v>
      </c>
      <c r="M526" s="23">
        <v>14.604699999999999</v>
      </c>
      <c r="N526" s="22">
        <v>2.9735</v>
      </c>
      <c r="O526" s="22">
        <v>2.6598000000000002</v>
      </c>
      <c r="P526" s="21">
        <v>12485</v>
      </c>
      <c r="Q526" s="20">
        <v>63.244999999999997</v>
      </c>
      <c r="R526" s="21"/>
    </row>
    <row r="527" spans="1:18">
      <c r="A527" s="14">
        <v>40942</v>
      </c>
      <c r="B527" s="15">
        <v>214.6</v>
      </c>
      <c r="C527" s="15">
        <v>215.95</v>
      </c>
      <c r="F527" s="53">
        <v>12</v>
      </c>
      <c r="G527">
        <v>22</v>
      </c>
      <c r="H527">
        <v>2014</v>
      </c>
      <c r="I527" s="41">
        <v>41995</v>
      </c>
      <c r="J527" s="54">
        <v>2328.5</v>
      </c>
      <c r="K527" s="21">
        <v>534.54999999999995</v>
      </c>
      <c r="L527" s="22">
        <v>7.6154999999999999</v>
      </c>
      <c r="M527" s="23">
        <v>14.657500000000001</v>
      </c>
      <c r="N527" s="22">
        <v>2.9704999999999999</v>
      </c>
      <c r="O527" s="22">
        <v>2.6644999999999999</v>
      </c>
      <c r="P527" s="21">
        <v>12439</v>
      </c>
      <c r="Q527" s="20">
        <v>63.23</v>
      </c>
      <c r="R527" s="21"/>
    </row>
    <row r="528" spans="1:18">
      <c r="A528" s="14">
        <v>40945</v>
      </c>
      <c r="B528" s="15">
        <v>213.05</v>
      </c>
      <c r="C528" s="15">
        <v>218.8</v>
      </c>
      <c r="F528" s="53">
        <v>12</v>
      </c>
      <c r="G528">
        <v>23</v>
      </c>
      <c r="H528">
        <v>2014</v>
      </c>
      <c r="I528" s="41">
        <v>41996</v>
      </c>
      <c r="J528" s="54">
        <v>2346.5</v>
      </c>
      <c r="K528" s="21">
        <v>537.9</v>
      </c>
      <c r="L528" s="22">
        <v>7.6154999999999999</v>
      </c>
      <c r="M528" s="23">
        <v>14.7592</v>
      </c>
      <c r="N528" s="22">
        <v>2.9780000000000002</v>
      </c>
      <c r="O528" s="22">
        <v>2.6945999999999999</v>
      </c>
      <c r="P528" s="21">
        <v>12450</v>
      </c>
      <c r="Q528" s="20">
        <v>63.44</v>
      </c>
      <c r="R528" s="21"/>
    </row>
    <row r="529" spans="1:18">
      <c r="A529" s="14">
        <v>40946</v>
      </c>
      <c r="B529" s="15">
        <v>215.8</v>
      </c>
      <c r="C529" s="15">
        <v>220.95</v>
      </c>
      <c r="F529" s="53">
        <v>12</v>
      </c>
      <c r="G529">
        <v>24</v>
      </c>
      <c r="H529">
        <v>2014</v>
      </c>
      <c r="I529" s="41">
        <v>41997</v>
      </c>
      <c r="J529" s="54">
        <v>2356.91</v>
      </c>
      <c r="K529" s="21">
        <v>540.25</v>
      </c>
      <c r="L529" s="22">
        <v>7.6135000000000002</v>
      </c>
      <c r="M529" s="23">
        <v>14.715</v>
      </c>
      <c r="N529" s="22">
        <v>2.9744999999999999</v>
      </c>
      <c r="O529" s="22">
        <v>2.6955</v>
      </c>
      <c r="P529" s="21">
        <v>12467.5</v>
      </c>
      <c r="Q529" s="20">
        <v>63.52</v>
      </c>
      <c r="R529" s="21"/>
    </row>
    <row r="530" spans="1:18">
      <c r="A530" s="14">
        <v>40947</v>
      </c>
      <c r="B530" s="15">
        <v>219.15</v>
      </c>
      <c r="C530" s="15">
        <v>220.05</v>
      </c>
      <c r="F530" s="53">
        <v>12</v>
      </c>
      <c r="G530">
        <v>25</v>
      </c>
      <c r="H530">
        <v>2014</v>
      </c>
      <c r="I530" s="41">
        <v>41998</v>
      </c>
      <c r="J530" s="54">
        <v>2353.5</v>
      </c>
      <c r="K530" s="21">
        <v>540.25</v>
      </c>
      <c r="L530" s="22">
        <v>7.6135000000000002</v>
      </c>
      <c r="M530" s="23">
        <v>14.716900000000001</v>
      </c>
      <c r="N530" s="22">
        <v>2.9750000000000001</v>
      </c>
      <c r="O530" s="22">
        <v>2.6957</v>
      </c>
      <c r="P530" s="21">
        <v>12467.5</v>
      </c>
      <c r="Q530" s="20">
        <v>63.52</v>
      </c>
      <c r="R530" s="21"/>
    </row>
    <row r="531" spans="1:18">
      <c r="A531" s="14">
        <v>40948</v>
      </c>
      <c r="B531" s="15">
        <v>214.75</v>
      </c>
      <c r="C531" s="15">
        <v>216</v>
      </c>
      <c r="F531" s="53">
        <v>12</v>
      </c>
      <c r="G531">
        <v>26</v>
      </c>
      <c r="H531">
        <v>2014</v>
      </c>
      <c r="I531" s="41">
        <v>41999</v>
      </c>
      <c r="J531" s="54">
        <v>2371.2399999999998</v>
      </c>
      <c r="K531" s="21">
        <v>540.15</v>
      </c>
      <c r="L531" s="22">
        <v>7.6055000000000001</v>
      </c>
      <c r="M531" s="23">
        <v>14.7075</v>
      </c>
      <c r="N531" s="22">
        <v>2.98</v>
      </c>
      <c r="O531" s="22">
        <v>2.6684999999999999</v>
      </c>
      <c r="P531" s="21">
        <v>12467.5</v>
      </c>
      <c r="Q531" s="20">
        <v>63.561999999999998</v>
      </c>
      <c r="R531" s="21"/>
    </row>
    <row r="532" spans="1:18">
      <c r="A532" s="14">
        <v>40949</v>
      </c>
      <c r="B532" s="15">
        <v>214.45</v>
      </c>
      <c r="C532" s="15">
        <v>215.3</v>
      </c>
      <c r="F532" s="53">
        <v>12</v>
      </c>
      <c r="G532">
        <v>29</v>
      </c>
      <c r="H532">
        <v>2014</v>
      </c>
      <c r="I532" s="41">
        <v>42002</v>
      </c>
      <c r="J532" s="54">
        <v>2382.27</v>
      </c>
      <c r="K532" s="21">
        <v>540.25</v>
      </c>
      <c r="L532" s="22">
        <v>7.6014999999999997</v>
      </c>
      <c r="M532" s="23">
        <v>14.773999999999999</v>
      </c>
      <c r="N532" s="22">
        <v>2.9895</v>
      </c>
      <c r="O532" s="22">
        <v>2.7027000000000001</v>
      </c>
      <c r="P532" s="21">
        <v>12447</v>
      </c>
      <c r="Q532" s="20">
        <v>63.67</v>
      </c>
      <c r="R532" s="21"/>
    </row>
    <row r="533" spans="1:18">
      <c r="A533" s="14">
        <v>40952</v>
      </c>
      <c r="B533" s="15">
        <v>210</v>
      </c>
      <c r="C533" s="15">
        <v>212.3</v>
      </c>
      <c r="F533" s="53">
        <v>12</v>
      </c>
      <c r="G533">
        <v>30</v>
      </c>
      <c r="H533">
        <v>2014</v>
      </c>
      <c r="I533" s="41">
        <v>42003</v>
      </c>
      <c r="J533" s="54">
        <v>2375.3000000000002</v>
      </c>
      <c r="K533" s="21">
        <v>544.62</v>
      </c>
      <c r="L533" s="22">
        <v>7.5984999999999996</v>
      </c>
      <c r="M533" s="23">
        <v>14.733499999999999</v>
      </c>
      <c r="N533" s="22">
        <v>2.9940000000000002</v>
      </c>
      <c r="O533" s="22">
        <v>2.6575000000000002</v>
      </c>
      <c r="P533" s="21">
        <v>12446.5</v>
      </c>
      <c r="Q533" s="20">
        <v>63.384999999999998</v>
      </c>
      <c r="R533" s="21"/>
    </row>
    <row r="534" spans="1:18">
      <c r="A534" s="14">
        <v>40953</v>
      </c>
      <c r="B534" s="15">
        <v>203.25</v>
      </c>
      <c r="C534" s="15">
        <v>204.2</v>
      </c>
      <c r="F534" s="53">
        <v>12</v>
      </c>
      <c r="G534">
        <v>31</v>
      </c>
      <c r="H534">
        <v>2014</v>
      </c>
      <c r="I534" s="41">
        <v>42004</v>
      </c>
      <c r="J534" s="54">
        <v>2388.5</v>
      </c>
      <c r="K534" s="21">
        <v>540.79999999999995</v>
      </c>
      <c r="L534" s="22">
        <v>7.5984999999999996</v>
      </c>
      <c r="M534" s="23">
        <v>14.749000000000001</v>
      </c>
      <c r="N534" s="22">
        <v>2.9895</v>
      </c>
      <c r="O534" s="22">
        <v>2.6575000000000002</v>
      </c>
      <c r="P534" s="21">
        <v>12385</v>
      </c>
      <c r="Q534" s="20">
        <v>63.034999999999997</v>
      </c>
      <c r="R534" s="21"/>
    </row>
    <row r="535" spans="1:18">
      <c r="A535" s="14">
        <v>40954</v>
      </c>
      <c r="B535" s="15">
        <v>198.3</v>
      </c>
      <c r="C535" s="15">
        <v>200.4</v>
      </c>
      <c r="F535">
        <v>1</v>
      </c>
      <c r="G535">
        <v>1</v>
      </c>
      <c r="H535">
        <v>2015</v>
      </c>
      <c r="I535" s="41">
        <v>42005</v>
      </c>
      <c r="J535" s="38">
        <v>2388.5</v>
      </c>
      <c r="K535" s="21">
        <v>540.79999999999995</v>
      </c>
      <c r="L535" s="22">
        <v>7.5984999999999996</v>
      </c>
      <c r="M535" s="23">
        <v>14.753500000000001</v>
      </c>
      <c r="N535" s="22">
        <v>2.9895</v>
      </c>
      <c r="O535" s="22">
        <v>2.6575000000000002</v>
      </c>
      <c r="P535" s="21">
        <v>12385</v>
      </c>
      <c r="Q535" s="20">
        <v>63.354999999999997</v>
      </c>
      <c r="R535" s="21"/>
    </row>
    <row r="536" spans="1:18">
      <c r="A536" s="14">
        <v>40955</v>
      </c>
      <c r="B536" s="15">
        <v>195.9</v>
      </c>
      <c r="C536" s="15">
        <v>199.3</v>
      </c>
      <c r="F536">
        <v>1</v>
      </c>
      <c r="G536">
        <v>2</v>
      </c>
      <c r="H536">
        <v>2015</v>
      </c>
      <c r="I536" s="41">
        <v>42006</v>
      </c>
      <c r="J536" s="38">
        <v>2376.73</v>
      </c>
      <c r="K536" s="21">
        <v>547.5</v>
      </c>
      <c r="L536" s="22">
        <v>7.5984999999999996</v>
      </c>
      <c r="M536" s="23">
        <v>14.833500000000001</v>
      </c>
      <c r="N536" s="22">
        <v>2.9643999999999999</v>
      </c>
      <c r="O536" s="22">
        <v>2.6941000000000002</v>
      </c>
      <c r="P536" s="21">
        <v>12542.5</v>
      </c>
      <c r="Q536" s="20">
        <v>63.284999999999997</v>
      </c>
      <c r="R536" s="21"/>
    </row>
    <row r="537" spans="1:18">
      <c r="A537" s="14">
        <v>40956</v>
      </c>
      <c r="B537" s="15">
        <v>198.5</v>
      </c>
      <c r="C537" s="15">
        <v>200.05</v>
      </c>
      <c r="F537">
        <v>1</v>
      </c>
      <c r="G537">
        <v>5</v>
      </c>
      <c r="H537">
        <v>2015</v>
      </c>
      <c r="I537" s="41">
        <v>42009</v>
      </c>
      <c r="J537" s="38">
        <v>2430.6999999999998</v>
      </c>
      <c r="K537" s="21">
        <v>540.70000000000005</v>
      </c>
      <c r="L537" s="22">
        <v>7.5925000000000002</v>
      </c>
      <c r="M537" s="23">
        <v>14.9415</v>
      </c>
      <c r="N537" s="22">
        <v>2.9904999999999999</v>
      </c>
      <c r="O537" s="22">
        <v>2.7063999999999999</v>
      </c>
      <c r="P537" s="21">
        <v>12627.5</v>
      </c>
      <c r="Q537" s="20">
        <v>63.344999999999999</v>
      </c>
      <c r="R537" s="21"/>
    </row>
    <row r="538" spans="1:18">
      <c r="A538" s="14">
        <v>40960</v>
      </c>
      <c r="B538" s="15">
        <v>199</v>
      </c>
      <c r="C538" s="15">
        <v>204.65</v>
      </c>
      <c r="F538">
        <v>1</v>
      </c>
      <c r="G538">
        <v>6</v>
      </c>
      <c r="H538">
        <v>2015</v>
      </c>
      <c r="I538" s="41">
        <v>42010</v>
      </c>
      <c r="J538" s="38">
        <v>2448.9699999999998</v>
      </c>
      <c r="K538" s="21">
        <v>540.54999999999995</v>
      </c>
      <c r="L538" s="22">
        <v>7.5934999999999997</v>
      </c>
      <c r="M538" s="23">
        <v>14.8948</v>
      </c>
      <c r="N538" s="22">
        <v>2.9860000000000002</v>
      </c>
      <c r="O538" s="22">
        <v>2.7000999999999999</v>
      </c>
      <c r="P538" s="21">
        <v>12657.5</v>
      </c>
      <c r="Q538" s="20">
        <v>63.575000000000003</v>
      </c>
      <c r="R538" s="21"/>
    </row>
    <row r="539" spans="1:18">
      <c r="A539" s="14">
        <v>40961</v>
      </c>
      <c r="B539" s="15">
        <v>200.35</v>
      </c>
      <c r="C539" s="15">
        <v>200.75</v>
      </c>
      <c r="F539">
        <v>1</v>
      </c>
      <c r="G539">
        <v>7</v>
      </c>
      <c r="H539">
        <v>2015</v>
      </c>
      <c r="I539" s="41">
        <v>42011</v>
      </c>
      <c r="J539" s="38">
        <v>2429.9</v>
      </c>
      <c r="K539" s="21">
        <v>540.25</v>
      </c>
      <c r="L539" s="22">
        <v>7.5945</v>
      </c>
      <c r="M539" s="23">
        <v>14.712999999999999</v>
      </c>
      <c r="N539" s="22">
        <v>2.9910000000000001</v>
      </c>
      <c r="O539" s="22">
        <v>2.6835</v>
      </c>
      <c r="P539" s="21">
        <v>12738.5</v>
      </c>
      <c r="Q539" s="20">
        <v>63.28</v>
      </c>
      <c r="R539" s="21"/>
    </row>
    <row r="540" spans="1:18">
      <c r="A540" s="14">
        <v>40962</v>
      </c>
      <c r="B540" s="15">
        <v>200.85</v>
      </c>
      <c r="C540" s="15">
        <v>202</v>
      </c>
      <c r="F540">
        <v>1</v>
      </c>
      <c r="G540">
        <v>8</v>
      </c>
      <c r="H540">
        <v>2015</v>
      </c>
      <c r="I540" s="41">
        <v>42012</v>
      </c>
      <c r="J540" s="38">
        <v>2397.65</v>
      </c>
      <c r="K540" s="21">
        <v>540.5</v>
      </c>
      <c r="L540" s="22">
        <v>7.6124999999999998</v>
      </c>
      <c r="M540" s="23">
        <v>14.666499999999999</v>
      </c>
      <c r="N540" s="22">
        <v>2.9815</v>
      </c>
      <c r="O540" s="22">
        <v>2.6629999999999998</v>
      </c>
      <c r="P540" s="21">
        <v>12680</v>
      </c>
      <c r="Q540" s="20">
        <v>62.674999999999997</v>
      </c>
      <c r="R540" s="21"/>
    </row>
    <row r="541" spans="1:18">
      <c r="A541" s="14">
        <v>40963</v>
      </c>
      <c r="B541" s="15">
        <v>202</v>
      </c>
      <c r="C541" s="15">
        <v>203.25</v>
      </c>
      <c r="F541">
        <v>1</v>
      </c>
      <c r="G541">
        <v>9</v>
      </c>
      <c r="H541">
        <v>2015</v>
      </c>
      <c r="I541" s="41">
        <v>42013</v>
      </c>
      <c r="J541" s="38">
        <v>2416.77</v>
      </c>
      <c r="K541" s="21">
        <v>540.5</v>
      </c>
      <c r="L541" s="22">
        <v>7.6364999999999998</v>
      </c>
      <c r="M541" s="23">
        <v>14.6015</v>
      </c>
      <c r="N541" s="22">
        <v>2.988</v>
      </c>
      <c r="O541" s="22">
        <v>2.6301000000000001</v>
      </c>
      <c r="P541" s="21">
        <v>12651.5</v>
      </c>
      <c r="Q541" s="20">
        <v>62.354999999999997</v>
      </c>
      <c r="R541" s="21"/>
    </row>
    <row r="542" spans="1:18">
      <c r="A542" s="14">
        <v>40966</v>
      </c>
      <c r="B542" s="15">
        <v>201.5</v>
      </c>
      <c r="C542" s="15">
        <v>204.45</v>
      </c>
      <c r="F542">
        <v>1</v>
      </c>
      <c r="G542">
        <v>12</v>
      </c>
      <c r="H542">
        <v>2015</v>
      </c>
      <c r="I542" s="41">
        <v>42016</v>
      </c>
      <c r="J542" s="38">
        <v>2416.6</v>
      </c>
      <c r="K542" s="21">
        <v>540.6</v>
      </c>
      <c r="L542" s="22">
        <v>7.6574999999999998</v>
      </c>
      <c r="M542" s="23">
        <v>14.650499999999999</v>
      </c>
      <c r="N542" s="22">
        <v>2.9855</v>
      </c>
      <c r="O542" s="22">
        <v>2.6734</v>
      </c>
      <c r="P542" s="21">
        <v>12597.5</v>
      </c>
      <c r="Q542" s="20">
        <v>62.075000000000003</v>
      </c>
      <c r="R542" s="21"/>
    </row>
    <row r="543" spans="1:18">
      <c r="A543" s="14">
        <v>40967</v>
      </c>
      <c r="B543" s="15">
        <v>202.35</v>
      </c>
      <c r="C543" s="15">
        <v>206.15</v>
      </c>
      <c r="F543">
        <v>1</v>
      </c>
      <c r="G543">
        <v>13</v>
      </c>
      <c r="H543">
        <v>2015</v>
      </c>
      <c r="I543" s="41">
        <v>42017</v>
      </c>
      <c r="J543" s="38">
        <v>2442.1999999999998</v>
      </c>
      <c r="K543" s="21">
        <v>540.54999999999995</v>
      </c>
      <c r="L543" s="22">
        <v>7.6734999999999998</v>
      </c>
      <c r="M543" s="23">
        <v>14.614000000000001</v>
      </c>
      <c r="N543" s="22">
        <v>2.988</v>
      </c>
      <c r="O543" s="22">
        <v>2.6429999999999998</v>
      </c>
      <c r="P543" s="21">
        <v>12597.5</v>
      </c>
      <c r="Q543" s="20">
        <v>61.98</v>
      </c>
      <c r="R543" s="21"/>
    </row>
    <row r="544" spans="1:18">
      <c r="A544" s="14">
        <v>40968</v>
      </c>
      <c r="B544" s="15">
        <v>201.55</v>
      </c>
      <c r="C544" s="15">
        <v>203.15</v>
      </c>
      <c r="F544">
        <v>1</v>
      </c>
      <c r="G544">
        <v>14</v>
      </c>
      <c r="H544">
        <v>2015</v>
      </c>
      <c r="I544" s="41">
        <v>42018</v>
      </c>
      <c r="J544" s="38">
        <v>2426.04</v>
      </c>
      <c r="K544" s="21">
        <v>540.54999999999995</v>
      </c>
      <c r="L544" s="22">
        <v>7.6675000000000004</v>
      </c>
      <c r="M544" s="23">
        <v>14.484999999999999</v>
      </c>
      <c r="N544" s="22">
        <v>2.9980000000000002</v>
      </c>
      <c r="O544" s="22">
        <v>2.6158999999999999</v>
      </c>
      <c r="P544" s="21">
        <v>12613</v>
      </c>
      <c r="Q544" s="20">
        <v>62.094999999999999</v>
      </c>
      <c r="R544" s="21"/>
    </row>
    <row r="545" spans="1:18">
      <c r="A545" s="14">
        <v>40969</v>
      </c>
      <c r="B545" s="15">
        <v>202.25</v>
      </c>
      <c r="C545" s="15">
        <v>204</v>
      </c>
      <c r="F545">
        <v>1</v>
      </c>
      <c r="G545">
        <v>15</v>
      </c>
      <c r="H545">
        <v>2015</v>
      </c>
      <c r="I545" s="41">
        <v>42019</v>
      </c>
      <c r="J545" s="38">
        <v>2411.38</v>
      </c>
      <c r="K545" s="21">
        <v>538</v>
      </c>
      <c r="L545" s="22">
        <v>7.6515000000000004</v>
      </c>
      <c r="M545" s="23">
        <v>14.664199999999999</v>
      </c>
      <c r="N545" s="22">
        <v>3.0019999999999998</v>
      </c>
      <c r="O545" s="22">
        <v>2.6421999999999999</v>
      </c>
      <c r="P545" s="21">
        <v>12560</v>
      </c>
      <c r="Q545" s="20">
        <v>62.064999999999998</v>
      </c>
      <c r="R545" s="21"/>
    </row>
    <row r="546" spans="1:18">
      <c r="A546" s="14">
        <v>40970</v>
      </c>
      <c r="B546" s="15">
        <v>200.9</v>
      </c>
      <c r="C546" s="15">
        <v>201.65</v>
      </c>
      <c r="F546">
        <v>1</v>
      </c>
      <c r="G546">
        <v>16</v>
      </c>
      <c r="H546">
        <v>2015</v>
      </c>
      <c r="I546" s="41">
        <v>42020</v>
      </c>
      <c r="J546" s="38">
        <v>2368.63</v>
      </c>
      <c r="K546" s="21">
        <v>537.5</v>
      </c>
      <c r="L546" s="22">
        <v>7.6494999999999997</v>
      </c>
      <c r="M546" s="23">
        <v>14.557600000000001</v>
      </c>
      <c r="N546" s="22">
        <v>3.016</v>
      </c>
      <c r="O546" s="22">
        <v>2.621</v>
      </c>
      <c r="P546" s="21">
        <v>12587.5</v>
      </c>
      <c r="Q546" s="20">
        <v>61.87</v>
      </c>
      <c r="R546" s="21"/>
    </row>
    <row r="547" spans="1:18">
      <c r="A547" s="14">
        <v>40973</v>
      </c>
      <c r="B547" s="15">
        <v>198.05</v>
      </c>
      <c r="C547" s="15">
        <v>201.5</v>
      </c>
      <c r="F547">
        <v>1</v>
      </c>
      <c r="G547">
        <v>19</v>
      </c>
      <c r="H547">
        <v>2015</v>
      </c>
      <c r="I547" s="41">
        <v>42023</v>
      </c>
      <c r="J547" s="38">
        <v>2354.5</v>
      </c>
      <c r="K547" s="21">
        <v>537.5</v>
      </c>
      <c r="L547" s="22">
        <v>7.6475</v>
      </c>
      <c r="M547" s="23">
        <v>14.618</v>
      </c>
      <c r="N547" s="22">
        <v>3.016</v>
      </c>
      <c r="O547" s="22">
        <v>2.6516999999999999</v>
      </c>
      <c r="P547" s="21">
        <v>12618.5</v>
      </c>
      <c r="Q547" s="20">
        <v>61.645000000000003</v>
      </c>
      <c r="R547" s="21"/>
    </row>
    <row r="548" spans="1:18">
      <c r="A548" s="14">
        <v>40974</v>
      </c>
      <c r="B548" s="15">
        <v>195.5</v>
      </c>
      <c r="C548" s="15">
        <v>192.95</v>
      </c>
      <c r="F548">
        <v>1</v>
      </c>
      <c r="G548">
        <v>20</v>
      </c>
      <c r="H548">
        <v>2015</v>
      </c>
      <c r="I548" s="41">
        <v>42024</v>
      </c>
      <c r="J548" s="38">
        <v>2376.4</v>
      </c>
      <c r="K548" s="21">
        <v>537.65</v>
      </c>
      <c r="L548" s="22">
        <v>7.6444999999999999</v>
      </c>
      <c r="M548" s="23">
        <v>14.6608</v>
      </c>
      <c r="N548" s="22">
        <v>3.0114999999999998</v>
      </c>
      <c r="O548" s="22">
        <v>2.6137999999999999</v>
      </c>
      <c r="P548" s="21">
        <v>12584</v>
      </c>
      <c r="Q548" s="20">
        <v>61.655000000000001</v>
      </c>
      <c r="R548" s="21"/>
    </row>
    <row r="549" spans="1:18">
      <c r="A549" s="14">
        <v>40975</v>
      </c>
      <c r="B549" s="15">
        <v>186.4</v>
      </c>
      <c r="C549" s="15">
        <v>188.4</v>
      </c>
      <c r="F549">
        <v>1</v>
      </c>
      <c r="G549">
        <v>21</v>
      </c>
      <c r="H549">
        <v>2015</v>
      </c>
      <c r="I549" s="41">
        <v>42025</v>
      </c>
      <c r="J549" s="38">
        <v>2376.6999999999998</v>
      </c>
      <c r="K549" s="21">
        <v>537.65</v>
      </c>
      <c r="L549" s="22">
        <v>7.6444999999999999</v>
      </c>
      <c r="M549" s="23">
        <v>14.754300000000001</v>
      </c>
      <c r="N549" s="22">
        <v>3.0070000000000001</v>
      </c>
      <c r="O549" s="22">
        <v>2.6004999999999998</v>
      </c>
      <c r="P549" s="21">
        <v>12480</v>
      </c>
      <c r="Q549" s="20">
        <v>61.56</v>
      </c>
      <c r="R549" s="21"/>
    </row>
    <row r="550" spans="1:18">
      <c r="A550" s="14">
        <v>40976</v>
      </c>
      <c r="B550" s="15">
        <v>186.7</v>
      </c>
      <c r="C550" s="15">
        <v>189.35</v>
      </c>
      <c r="F550">
        <v>1</v>
      </c>
      <c r="G550">
        <v>22</v>
      </c>
      <c r="H550">
        <v>2015</v>
      </c>
      <c r="I550" s="41">
        <v>42026</v>
      </c>
      <c r="J550" s="38">
        <v>2372.64</v>
      </c>
      <c r="K550" s="21">
        <v>537.5</v>
      </c>
      <c r="L550" s="22">
        <v>7.6435000000000004</v>
      </c>
      <c r="M550" s="23">
        <v>14.6311</v>
      </c>
      <c r="N550" s="22">
        <v>3.0055000000000001</v>
      </c>
      <c r="O550" s="22">
        <v>2.5745</v>
      </c>
      <c r="P550" s="21">
        <v>12487.5</v>
      </c>
      <c r="Q550" s="20">
        <v>61.604999999999997</v>
      </c>
      <c r="R550" s="21"/>
    </row>
    <row r="551" spans="1:18">
      <c r="A551" s="14">
        <v>40977</v>
      </c>
      <c r="B551" s="15">
        <v>186</v>
      </c>
      <c r="C551" s="15">
        <v>185.6</v>
      </c>
      <c r="F551">
        <v>1</v>
      </c>
      <c r="G551">
        <v>23</v>
      </c>
      <c r="H551">
        <v>2015</v>
      </c>
      <c r="I551" s="41">
        <v>42027</v>
      </c>
      <c r="J551" s="38">
        <v>2385</v>
      </c>
      <c r="K551" s="21">
        <v>537.54999999999995</v>
      </c>
      <c r="L551" s="22">
        <v>7.6435000000000004</v>
      </c>
      <c r="M551" s="23">
        <v>14.653</v>
      </c>
      <c r="N551" s="22">
        <v>3.0194999999999999</v>
      </c>
      <c r="O551" s="22">
        <v>2.5796999999999999</v>
      </c>
      <c r="P551" s="21">
        <v>12472.5</v>
      </c>
      <c r="Q551" s="20">
        <v>61.44</v>
      </c>
      <c r="R551" s="21"/>
    </row>
    <row r="552" spans="1:18">
      <c r="A552" s="14">
        <v>40980</v>
      </c>
      <c r="B552" s="15">
        <v>181.8</v>
      </c>
      <c r="C552" s="15">
        <v>182.6</v>
      </c>
      <c r="F552">
        <v>1</v>
      </c>
      <c r="G552">
        <v>26</v>
      </c>
      <c r="H552">
        <v>2015</v>
      </c>
      <c r="I552" s="41">
        <v>42030</v>
      </c>
      <c r="J552" s="38">
        <v>2389.75</v>
      </c>
      <c r="K552" s="21">
        <v>537.29999999999995</v>
      </c>
      <c r="L552" s="22">
        <v>7.6505000000000001</v>
      </c>
      <c r="M552" s="23">
        <v>14.5738</v>
      </c>
      <c r="N552" s="22">
        <v>3.0190000000000001</v>
      </c>
      <c r="O552" s="22">
        <v>2.5834999999999999</v>
      </c>
      <c r="P552" s="21">
        <v>12510</v>
      </c>
      <c r="Q552" s="20">
        <v>61.48</v>
      </c>
      <c r="R552" s="21"/>
    </row>
    <row r="553" spans="1:18">
      <c r="A553" s="14">
        <v>40981</v>
      </c>
      <c r="B553" s="15">
        <v>183</v>
      </c>
      <c r="C553" s="15">
        <v>185.35</v>
      </c>
      <c r="F553">
        <v>1</v>
      </c>
      <c r="G553">
        <v>27</v>
      </c>
      <c r="H553">
        <v>2015</v>
      </c>
      <c r="I553" s="41">
        <v>42031</v>
      </c>
      <c r="J553" s="38">
        <v>2389.5</v>
      </c>
      <c r="K553" s="21">
        <v>537.4</v>
      </c>
      <c r="L553" s="22">
        <v>7.6544999999999996</v>
      </c>
      <c r="M553" s="23">
        <v>14.619</v>
      </c>
      <c r="N553" s="22">
        <v>3.0230000000000001</v>
      </c>
      <c r="O553" s="22">
        <v>2.5724</v>
      </c>
      <c r="P553" s="21">
        <v>12476.5</v>
      </c>
      <c r="Q553" s="20">
        <v>61.41</v>
      </c>
      <c r="R553" s="21"/>
    </row>
    <row r="554" spans="1:18">
      <c r="A554" s="14">
        <v>40982</v>
      </c>
      <c r="B554" s="15">
        <v>0</v>
      </c>
      <c r="C554" s="15">
        <v>182.75</v>
      </c>
      <c r="F554">
        <v>1</v>
      </c>
      <c r="G554">
        <v>28</v>
      </c>
      <c r="H554">
        <v>2015</v>
      </c>
      <c r="I554" s="41">
        <v>42032</v>
      </c>
      <c r="J554" s="38">
        <v>2364.5</v>
      </c>
      <c r="K554" s="21">
        <v>548.25</v>
      </c>
      <c r="L554" s="22">
        <v>7.6544999999999996</v>
      </c>
      <c r="M554" s="23">
        <v>14.755000000000001</v>
      </c>
      <c r="N554" s="22">
        <v>3.032</v>
      </c>
      <c r="O554" s="22">
        <v>2.5764</v>
      </c>
      <c r="P554" s="21">
        <v>12486</v>
      </c>
      <c r="Q554" s="20">
        <v>61.357999999999997</v>
      </c>
      <c r="R554" s="21"/>
    </row>
    <row r="555" spans="1:18">
      <c r="A555" s="14">
        <v>40983</v>
      </c>
      <c r="B555" s="15">
        <v>184.25</v>
      </c>
      <c r="C555" s="15">
        <v>184.45</v>
      </c>
      <c r="F555">
        <v>1</v>
      </c>
      <c r="G555">
        <v>29</v>
      </c>
      <c r="H555">
        <v>2015</v>
      </c>
      <c r="I555" s="41">
        <v>42033</v>
      </c>
      <c r="J555" s="38">
        <v>2412</v>
      </c>
      <c r="K555" s="21">
        <v>537.25</v>
      </c>
      <c r="L555" s="22">
        <v>7.6544999999999996</v>
      </c>
      <c r="M555" s="23">
        <v>14.802</v>
      </c>
      <c r="N555" s="22">
        <v>3.044</v>
      </c>
      <c r="O555" s="22">
        <v>2.6034999999999999</v>
      </c>
      <c r="P555" s="21">
        <v>12567.5</v>
      </c>
      <c r="Q555" s="20">
        <v>61.801000000000002</v>
      </c>
      <c r="R555" s="21"/>
    </row>
    <row r="556" spans="1:18">
      <c r="A556" s="14">
        <v>40984</v>
      </c>
      <c r="B556" s="15">
        <v>0</v>
      </c>
      <c r="C556" s="15">
        <v>181.35</v>
      </c>
      <c r="F556">
        <v>1</v>
      </c>
      <c r="G556">
        <v>30</v>
      </c>
      <c r="H556">
        <v>2015</v>
      </c>
      <c r="I556" s="41">
        <v>42034</v>
      </c>
      <c r="J556" s="38">
        <v>2440</v>
      </c>
      <c r="K556" s="21">
        <v>537.9</v>
      </c>
      <c r="L556" s="22">
        <v>7.6565000000000003</v>
      </c>
      <c r="M556" s="23">
        <v>14.989000000000001</v>
      </c>
      <c r="N556" s="22">
        <v>3.0630000000000002</v>
      </c>
      <c r="O556" s="22">
        <v>2.6823999999999999</v>
      </c>
      <c r="P556" s="21">
        <v>12667.5</v>
      </c>
      <c r="Q556" s="20">
        <v>62.02</v>
      </c>
      <c r="R556" s="21"/>
    </row>
    <row r="557" spans="1:18">
      <c r="A557" s="14">
        <v>40987</v>
      </c>
      <c r="B557" s="15">
        <v>183.05</v>
      </c>
      <c r="C557" s="15">
        <v>182.5</v>
      </c>
      <c r="F557">
        <v>2</v>
      </c>
      <c r="G557">
        <v>2</v>
      </c>
      <c r="H557">
        <v>2015</v>
      </c>
      <c r="I557" s="41">
        <v>42037</v>
      </c>
      <c r="J557" s="38">
        <v>2406.5</v>
      </c>
      <c r="K557" s="21">
        <v>538.35</v>
      </c>
      <c r="L557" s="22">
        <v>7.6535000000000002</v>
      </c>
      <c r="M557" s="23">
        <v>14.8672</v>
      </c>
      <c r="N557" s="22">
        <v>3.0630000000000002</v>
      </c>
      <c r="O557" s="22">
        <v>2.7271000000000001</v>
      </c>
      <c r="P557" s="21">
        <v>12685</v>
      </c>
      <c r="Q557" s="20">
        <v>61.719000000000001</v>
      </c>
      <c r="R557" s="21"/>
    </row>
    <row r="558" spans="1:18">
      <c r="A558" s="14">
        <v>40988</v>
      </c>
      <c r="B558" s="15">
        <v>182.75</v>
      </c>
      <c r="C558" s="15">
        <v>183.1</v>
      </c>
      <c r="F558">
        <v>2</v>
      </c>
      <c r="G558">
        <v>3</v>
      </c>
      <c r="H558">
        <v>2015</v>
      </c>
      <c r="I558" s="41">
        <v>42038</v>
      </c>
      <c r="J558" s="38">
        <v>2357.6</v>
      </c>
      <c r="K558" s="21">
        <v>538.45000000000005</v>
      </c>
      <c r="L558" s="22">
        <v>7.6505000000000001</v>
      </c>
      <c r="M558" s="23">
        <v>14.652699999999999</v>
      </c>
      <c r="N558" s="22">
        <v>3.0545</v>
      </c>
      <c r="O558" s="22">
        <v>2.6945000000000001</v>
      </c>
      <c r="P558" s="21">
        <v>12654</v>
      </c>
      <c r="Q558" s="20">
        <v>61.595999999999997</v>
      </c>
      <c r="R558" s="21"/>
    </row>
    <row r="559" spans="1:18">
      <c r="A559" s="14">
        <v>40989</v>
      </c>
      <c r="B559" s="15">
        <v>182.5</v>
      </c>
      <c r="C559" s="15">
        <v>184.7</v>
      </c>
      <c r="F559">
        <v>2</v>
      </c>
      <c r="G559">
        <v>4</v>
      </c>
      <c r="H559">
        <v>2015</v>
      </c>
      <c r="I559" s="41">
        <v>42039</v>
      </c>
      <c r="J559" s="38">
        <v>2392.85</v>
      </c>
      <c r="K559" s="21">
        <v>538.29999999999995</v>
      </c>
      <c r="L559" s="22">
        <v>7.6515000000000004</v>
      </c>
      <c r="M559" s="23">
        <v>14.891500000000001</v>
      </c>
      <c r="N559" s="22">
        <v>3.0575000000000001</v>
      </c>
      <c r="O559" s="22">
        <v>2.7418</v>
      </c>
      <c r="P559" s="21">
        <v>12625</v>
      </c>
      <c r="Q559" s="20">
        <v>61.841999999999999</v>
      </c>
      <c r="R559" s="21"/>
    </row>
    <row r="560" spans="1:18">
      <c r="A560" s="14">
        <v>40990</v>
      </c>
      <c r="B560" s="15">
        <v>174.45</v>
      </c>
      <c r="C560" s="15">
        <v>176.95</v>
      </c>
      <c r="F560">
        <v>2</v>
      </c>
      <c r="G560">
        <v>5</v>
      </c>
      <c r="H560">
        <v>2015</v>
      </c>
      <c r="I560" s="41">
        <v>42040</v>
      </c>
      <c r="J560" s="38">
        <v>2378</v>
      </c>
      <c r="K560" s="21">
        <v>539</v>
      </c>
      <c r="L560" s="22">
        <v>7.6535000000000002</v>
      </c>
      <c r="M560" s="23">
        <v>14.7895</v>
      </c>
      <c r="N560" s="22">
        <v>3.0579999999999998</v>
      </c>
      <c r="O560" s="22">
        <v>2.7450999999999999</v>
      </c>
      <c r="P560" s="21">
        <v>12632.5</v>
      </c>
      <c r="Q560" s="20">
        <v>61.709000000000003</v>
      </c>
      <c r="R560" s="21"/>
    </row>
    <row r="561" spans="1:18">
      <c r="A561" s="14">
        <v>40991</v>
      </c>
      <c r="B561" s="15">
        <v>175.25</v>
      </c>
      <c r="C561" s="15">
        <v>178.75</v>
      </c>
      <c r="F561">
        <v>2</v>
      </c>
      <c r="G561">
        <v>6</v>
      </c>
      <c r="H561">
        <v>2015</v>
      </c>
      <c r="I561" s="41">
        <v>42041</v>
      </c>
      <c r="J561" s="38">
        <v>2380.5</v>
      </c>
      <c r="K561" s="21">
        <v>539.95000000000005</v>
      </c>
      <c r="L561" s="22">
        <v>7.6544999999999996</v>
      </c>
      <c r="M561" s="23">
        <v>14.8483</v>
      </c>
      <c r="N561" s="22">
        <v>3.0710000000000002</v>
      </c>
      <c r="O561" s="22">
        <v>2.7825000000000002</v>
      </c>
      <c r="P561" s="21">
        <v>12614.5</v>
      </c>
      <c r="Q561" s="20">
        <v>61.97</v>
      </c>
      <c r="R561" s="21"/>
    </row>
    <row r="562" spans="1:18">
      <c r="A562" s="14">
        <v>40994</v>
      </c>
      <c r="B562" s="15">
        <v>177.7</v>
      </c>
      <c r="C562" s="15">
        <v>178.8</v>
      </c>
      <c r="F562">
        <v>2</v>
      </c>
      <c r="G562">
        <v>9</v>
      </c>
      <c r="H562">
        <v>2015</v>
      </c>
      <c r="I562" s="41">
        <v>42044</v>
      </c>
      <c r="J562" s="38">
        <v>2366.1</v>
      </c>
      <c r="K562" s="21">
        <v>539.9</v>
      </c>
      <c r="L562" s="22">
        <v>7.6515000000000004</v>
      </c>
      <c r="M562" s="23">
        <v>14.8338</v>
      </c>
      <c r="N562" s="22">
        <v>3.0665</v>
      </c>
      <c r="O562" s="22">
        <v>2.7698</v>
      </c>
      <c r="P562" s="21">
        <v>12647.5</v>
      </c>
      <c r="Q562" s="20">
        <v>62.149000000000001</v>
      </c>
      <c r="R562" s="21"/>
    </row>
    <row r="563" spans="1:18">
      <c r="A563" s="14">
        <v>40995</v>
      </c>
      <c r="B563" s="15">
        <v>178.8</v>
      </c>
      <c r="C563" s="15">
        <v>187.35</v>
      </c>
      <c r="F563">
        <v>2</v>
      </c>
      <c r="G563">
        <v>10</v>
      </c>
      <c r="H563">
        <v>2015</v>
      </c>
      <c r="I563" s="41">
        <v>42045</v>
      </c>
      <c r="J563" s="38">
        <v>2382.15</v>
      </c>
      <c r="K563" s="21">
        <v>544.15</v>
      </c>
      <c r="L563" s="22">
        <v>7.6515000000000004</v>
      </c>
      <c r="M563" s="23">
        <v>14.9565</v>
      </c>
      <c r="N563" s="22">
        <v>3.0855000000000001</v>
      </c>
      <c r="O563" s="22">
        <v>2.8342999999999998</v>
      </c>
      <c r="P563" s="21">
        <v>12672.5</v>
      </c>
      <c r="Q563" s="20">
        <v>62.326999999999998</v>
      </c>
      <c r="R563" s="21"/>
    </row>
    <row r="564" spans="1:18">
      <c r="A564" s="14">
        <v>40996</v>
      </c>
      <c r="B564" s="15">
        <v>181.25</v>
      </c>
      <c r="C564" s="15">
        <v>182</v>
      </c>
      <c r="F564">
        <v>2</v>
      </c>
      <c r="G564">
        <v>11</v>
      </c>
      <c r="H564">
        <v>2015</v>
      </c>
      <c r="I564" s="41">
        <v>42046</v>
      </c>
      <c r="J564" s="38">
        <v>2424.89</v>
      </c>
      <c r="K564" s="21">
        <v>544.04999999999995</v>
      </c>
      <c r="L564" s="22">
        <v>7.6555</v>
      </c>
      <c r="M564" s="23">
        <v>15.073499999999999</v>
      </c>
      <c r="N564" s="22">
        <v>3.0830000000000002</v>
      </c>
      <c r="O564" s="22">
        <v>2.8693</v>
      </c>
      <c r="P564" s="21">
        <v>12715</v>
      </c>
      <c r="Q564" s="20">
        <v>62.381999999999998</v>
      </c>
      <c r="R564" s="21"/>
    </row>
    <row r="565" spans="1:18">
      <c r="A565" s="14">
        <v>40997</v>
      </c>
      <c r="B565" s="15">
        <v>175.9</v>
      </c>
      <c r="C565" s="15">
        <v>176.45</v>
      </c>
      <c r="F565">
        <v>2</v>
      </c>
      <c r="G565">
        <v>12</v>
      </c>
      <c r="H565">
        <v>2015</v>
      </c>
      <c r="I565" s="41">
        <v>42047</v>
      </c>
      <c r="J565" s="38">
        <v>2388.9699999999998</v>
      </c>
      <c r="K565" s="21">
        <v>539.54999999999995</v>
      </c>
      <c r="L565" s="22">
        <v>7.6555</v>
      </c>
      <c r="M565" s="23">
        <v>14.9213</v>
      </c>
      <c r="N565" s="22">
        <v>3.0684999999999998</v>
      </c>
      <c r="O565" s="22">
        <v>2.8210000000000002</v>
      </c>
      <c r="P565" s="21">
        <v>12792.5</v>
      </c>
      <c r="Q565" s="20">
        <v>62.15</v>
      </c>
      <c r="R565" s="21"/>
    </row>
    <row r="566" spans="1:18">
      <c r="A566" s="14">
        <v>40998</v>
      </c>
      <c r="B566" s="15">
        <v>177.1</v>
      </c>
      <c r="C566" s="15">
        <v>182.45</v>
      </c>
      <c r="F566">
        <v>2</v>
      </c>
      <c r="G566">
        <v>13</v>
      </c>
      <c r="H566">
        <v>2015</v>
      </c>
      <c r="I566" s="41">
        <v>42048</v>
      </c>
      <c r="J566" s="38">
        <v>2387.38</v>
      </c>
      <c r="K566" s="21">
        <v>538.70000000000005</v>
      </c>
      <c r="L566" s="22">
        <v>7.6515000000000004</v>
      </c>
      <c r="M566" s="23">
        <v>14.885199999999999</v>
      </c>
      <c r="N566" s="22">
        <v>3.081</v>
      </c>
      <c r="O566" s="22">
        <v>2.8346</v>
      </c>
      <c r="P566" s="21">
        <v>12787.5</v>
      </c>
      <c r="Q566" s="20">
        <v>62.076000000000001</v>
      </c>
      <c r="R566" s="21"/>
    </row>
    <row r="567" spans="1:18">
      <c r="A567" s="14">
        <v>41001</v>
      </c>
      <c r="B567" s="15">
        <v>180.3</v>
      </c>
      <c r="C567" s="15">
        <v>186.2</v>
      </c>
      <c r="F567">
        <v>2</v>
      </c>
      <c r="G567">
        <v>16</v>
      </c>
      <c r="H567">
        <v>2015</v>
      </c>
      <c r="I567" s="41">
        <v>42051</v>
      </c>
      <c r="J567" s="38">
        <v>2390.5</v>
      </c>
      <c r="K567" s="21">
        <v>538.54999999999995</v>
      </c>
      <c r="L567" s="22">
        <v>7.6565000000000003</v>
      </c>
      <c r="M567" s="23">
        <v>14.925000000000001</v>
      </c>
      <c r="N567" s="22">
        <v>3.0855000000000001</v>
      </c>
      <c r="O567" s="22">
        <v>2.8346</v>
      </c>
      <c r="P567" s="21">
        <v>12752.5</v>
      </c>
      <c r="Q567" s="20">
        <v>62.104999999999997</v>
      </c>
      <c r="R567" s="21"/>
    </row>
    <row r="568" spans="1:18">
      <c r="A568" s="14">
        <v>41002</v>
      </c>
      <c r="B568" s="15">
        <v>182.35</v>
      </c>
      <c r="C568" s="15">
        <v>185.35</v>
      </c>
      <c r="F568">
        <v>2</v>
      </c>
      <c r="G568">
        <v>17</v>
      </c>
      <c r="H568">
        <v>2015</v>
      </c>
      <c r="I568" s="41">
        <v>42052</v>
      </c>
      <c r="J568" s="38">
        <v>2415.85</v>
      </c>
      <c r="K568" s="21">
        <v>538.29999999999995</v>
      </c>
      <c r="L568" s="22">
        <v>7.6524999999999999</v>
      </c>
      <c r="M568" s="23">
        <v>14.9155</v>
      </c>
      <c r="N568" s="22">
        <v>3.0840000000000001</v>
      </c>
      <c r="O568" s="22">
        <v>2.8296000000000001</v>
      </c>
      <c r="P568" s="21">
        <v>12769.5</v>
      </c>
      <c r="Q568" s="20">
        <v>62.156999999999996</v>
      </c>
      <c r="R568" s="21"/>
    </row>
    <row r="569" spans="1:18">
      <c r="A569" s="14">
        <v>41003</v>
      </c>
      <c r="B569" s="15">
        <v>178.7</v>
      </c>
      <c r="C569" s="15">
        <v>184.75</v>
      </c>
      <c r="F569">
        <v>2</v>
      </c>
      <c r="G569">
        <v>18</v>
      </c>
      <c r="H569">
        <v>2015</v>
      </c>
      <c r="I569" s="41">
        <v>42053</v>
      </c>
      <c r="J569" s="38">
        <v>2430.65</v>
      </c>
      <c r="K569" s="21">
        <v>538.25</v>
      </c>
      <c r="L569" s="22">
        <v>7.6464999999999996</v>
      </c>
      <c r="M569" s="23">
        <v>14.863200000000001</v>
      </c>
      <c r="N569" s="22">
        <v>3.0855000000000001</v>
      </c>
      <c r="O569" s="22">
        <v>2.8374000000000001</v>
      </c>
      <c r="P569" s="21">
        <v>12842.5</v>
      </c>
      <c r="Q569" s="20">
        <v>62.057000000000002</v>
      </c>
      <c r="R569" s="21"/>
    </row>
    <row r="570" spans="1:18">
      <c r="A570" s="14">
        <v>41004</v>
      </c>
      <c r="B570" s="15">
        <v>180.95</v>
      </c>
      <c r="C570" s="15">
        <v>183</v>
      </c>
      <c r="F570">
        <v>2</v>
      </c>
      <c r="G570">
        <v>19</v>
      </c>
      <c r="H570">
        <v>2015</v>
      </c>
      <c r="I570" s="41">
        <v>42054</v>
      </c>
      <c r="J570" s="38">
        <v>2444.9499999999998</v>
      </c>
      <c r="K570" s="21">
        <v>537.95000000000005</v>
      </c>
      <c r="L570" s="22">
        <v>7.6414999999999997</v>
      </c>
      <c r="M570" s="23">
        <v>15.0022</v>
      </c>
      <c r="N570" s="22">
        <v>3.0865</v>
      </c>
      <c r="O570" s="22">
        <v>2.8664999999999998</v>
      </c>
      <c r="P570" s="21">
        <v>12842.5</v>
      </c>
      <c r="Q570" s="20">
        <v>62.137999999999998</v>
      </c>
      <c r="R570" s="21"/>
    </row>
    <row r="571" spans="1:18">
      <c r="A571" s="14">
        <v>41008</v>
      </c>
      <c r="B571" s="15">
        <v>177.55</v>
      </c>
      <c r="C571" s="15">
        <v>178.05</v>
      </c>
      <c r="F571">
        <v>2</v>
      </c>
      <c r="G571">
        <v>20</v>
      </c>
      <c r="H571">
        <v>2015</v>
      </c>
      <c r="I571" s="41">
        <v>42055</v>
      </c>
      <c r="J571" s="38">
        <v>2459.42</v>
      </c>
      <c r="K571" s="21">
        <v>537.75</v>
      </c>
      <c r="L571" s="22">
        <v>7.6405000000000003</v>
      </c>
      <c r="M571" s="23">
        <v>15.029299999999999</v>
      </c>
      <c r="N571" s="22">
        <v>3.0859999999999999</v>
      </c>
      <c r="O571" s="22">
        <v>2.8679999999999999</v>
      </c>
      <c r="P571" s="21">
        <v>12812.5</v>
      </c>
      <c r="Q571" s="20">
        <v>62.109000000000002</v>
      </c>
      <c r="R571" s="21"/>
    </row>
    <row r="572" spans="1:18">
      <c r="A572" s="14">
        <v>41009</v>
      </c>
      <c r="B572" s="15">
        <v>177.75</v>
      </c>
      <c r="C572" s="15">
        <v>178.15</v>
      </c>
      <c r="F572">
        <v>2</v>
      </c>
      <c r="G572">
        <v>23</v>
      </c>
      <c r="H572">
        <v>2015</v>
      </c>
      <c r="I572" s="41">
        <v>42058</v>
      </c>
      <c r="J572" s="38">
        <v>2499.2600000000002</v>
      </c>
      <c r="K572" s="21">
        <v>537.29999999999995</v>
      </c>
      <c r="L572" s="22">
        <v>7.6355000000000004</v>
      </c>
      <c r="M572" s="23">
        <v>15.0892</v>
      </c>
      <c r="N572" s="22">
        <v>3.0924999999999998</v>
      </c>
      <c r="O572" s="22">
        <v>2.8788</v>
      </c>
      <c r="P572" s="21">
        <v>12834.5</v>
      </c>
      <c r="Q572" s="20">
        <v>62.162999999999997</v>
      </c>
      <c r="R572" s="21"/>
    </row>
    <row r="573" spans="1:18">
      <c r="A573" s="14">
        <v>41010</v>
      </c>
      <c r="B573" s="15">
        <v>177.9</v>
      </c>
      <c r="C573" s="15">
        <v>180.65</v>
      </c>
      <c r="F573">
        <v>2</v>
      </c>
      <c r="G573">
        <v>24</v>
      </c>
      <c r="H573">
        <v>2015</v>
      </c>
      <c r="I573" s="41">
        <v>42059</v>
      </c>
      <c r="J573" s="38">
        <v>2486</v>
      </c>
      <c r="K573" s="21">
        <v>537.25</v>
      </c>
      <c r="L573" s="22">
        <v>7.6375000000000002</v>
      </c>
      <c r="M573" s="23">
        <v>14.912000000000001</v>
      </c>
      <c r="N573" s="22">
        <v>3.093</v>
      </c>
      <c r="O573" s="22">
        <v>2.8330000000000002</v>
      </c>
      <c r="P573" s="21">
        <v>12897.5</v>
      </c>
      <c r="Q573" s="20">
        <v>62.17</v>
      </c>
      <c r="R573" s="21"/>
    </row>
    <row r="574" spans="1:18">
      <c r="A574" s="14">
        <v>41011</v>
      </c>
      <c r="B574" s="15">
        <v>178.9</v>
      </c>
      <c r="C574" s="15">
        <v>182.9</v>
      </c>
      <c r="F574">
        <v>2</v>
      </c>
      <c r="G574">
        <v>25</v>
      </c>
      <c r="H574">
        <v>2015</v>
      </c>
      <c r="I574" s="41">
        <v>42060</v>
      </c>
      <c r="J574" s="38">
        <v>2485.5</v>
      </c>
      <c r="K574" s="21">
        <v>537.20000000000005</v>
      </c>
      <c r="L574" s="22">
        <v>7.6355000000000004</v>
      </c>
      <c r="M574" s="23">
        <v>14.930199999999999</v>
      </c>
      <c r="N574" s="22">
        <v>3.093</v>
      </c>
      <c r="O574" s="22">
        <v>2.875</v>
      </c>
      <c r="P574" s="21">
        <v>12873.5</v>
      </c>
      <c r="Q574" s="20">
        <v>61.862000000000002</v>
      </c>
      <c r="R574" s="21"/>
    </row>
    <row r="575" spans="1:18">
      <c r="A575" s="14">
        <v>41012</v>
      </c>
      <c r="B575" s="15">
        <v>178.15</v>
      </c>
      <c r="C575" s="15">
        <v>179.2</v>
      </c>
      <c r="F575">
        <v>2</v>
      </c>
      <c r="G575">
        <v>26</v>
      </c>
      <c r="H575">
        <v>2015</v>
      </c>
      <c r="I575" s="41">
        <v>42061</v>
      </c>
      <c r="J575" s="38">
        <v>2491.9499999999998</v>
      </c>
      <c r="K575" s="21">
        <v>537.1</v>
      </c>
      <c r="L575" s="22">
        <v>7.6325000000000003</v>
      </c>
      <c r="M575" s="23">
        <v>14.9948</v>
      </c>
      <c r="N575" s="22">
        <v>3.0920000000000001</v>
      </c>
      <c r="O575" s="22">
        <v>2.9085000000000001</v>
      </c>
      <c r="P575" s="21">
        <v>12837.5</v>
      </c>
      <c r="Q575" s="20">
        <v>61.731000000000002</v>
      </c>
      <c r="R575" s="21"/>
    </row>
    <row r="576" spans="1:18">
      <c r="A576" s="14">
        <v>41015</v>
      </c>
      <c r="B576" s="15">
        <v>172.65</v>
      </c>
      <c r="C576" s="15">
        <v>174.7</v>
      </c>
      <c r="F576">
        <v>2</v>
      </c>
      <c r="G576">
        <v>27</v>
      </c>
      <c r="H576">
        <v>2015</v>
      </c>
      <c r="I576" s="41">
        <v>42062</v>
      </c>
      <c r="J576" s="38">
        <v>2499.9699999999998</v>
      </c>
      <c r="K576" s="21">
        <v>537</v>
      </c>
      <c r="L576" s="22">
        <v>7.6275000000000004</v>
      </c>
      <c r="M576" s="23">
        <v>14.950699999999999</v>
      </c>
      <c r="N576" s="22">
        <v>3.0935000000000001</v>
      </c>
      <c r="O576" s="22">
        <v>2.839</v>
      </c>
      <c r="P576" s="21">
        <v>12925</v>
      </c>
      <c r="Q576" s="20">
        <v>61.658999999999999</v>
      </c>
      <c r="R576" s="21"/>
    </row>
    <row r="577" spans="1:18">
      <c r="A577" s="14">
        <v>41016</v>
      </c>
      <c r="B577" s="15">
        <v>172.45</v>
      </c>
      <c r="C577" s="15">
        <v>173.05</v>
      </c>
      <c r="F577">
        <v>3</v>
      </c>
      <c r="G577">
        <v>2</v>
      </c>
      <c r="H577">
        <v>2015</v>
      </c>
      <c r="I577" s="41">
        <v>42065</v>
      </c>
      <c r="J577" s="38">
        <v>2535.6</v>
      </c>
      <c r="K577" s="21">
        <v>536.15</v>
      </c>
      <c r="L577" s="22">
        <v>7.6275000000000004</v>
      </c>
      <c r="M577" s="23">
        <v>15.015499999999999</v>
      </c>
      <c r="N577" s="22">
        <v>3.0935000000000001</v>
      </c>
      <c r="O577" s="22">
        <v>2.8965000000000001</v>
      </c>
      <c r="P577" s="21">
        <v>12970</v>
      </c>
      <c r="Q577" s="20">
        <v>61.862000000000002</v>
      </c>
      <c r="R577" s="21"/>
    </row>
    <row r="578" spans="1:18">
      <c r="A578" s="14">
        <v>41017</v>
      </c>
      <c r="B578" s="15">
        <v>171.9</v>
      </c>
      <c r="C578" s="15">
        <v>172.65</v>
      </c>
      <c r="F578">
        <v>3</v>
      </c>
      <c r="G578">
        <v>3</v>
      </c>
      <c r="H578">
        <v>2015</v>
      </c>
      <c r="I578" s="41">
        <v>42066</v>
      </c>
      <c r="J578" s="38">
        <v>2554.75</v>
      </c>
      <c r="K578" s="21">
        <v>536.04999999999995</v>
      </c>
      <c r="L578" s="22">
        <v>7.6265000000000001</v>
      </c>
      <c r="M578" s="23">
        <v>14.994999999999999</v>
      </c>
      <c r="N578" s="22">
        <v>3.0920000000000001</v>
      </c>
      <c r="O578" s="22">
        <v>2.9310999999999998</v>
      </c>
      <c r="P578" s="21">
        <v>12965</v>
      </c>
      <c r="Q578" s="20">
        <v>61.819000000000003</v>
      </c>
      <c r="R578" s="21"/>
    </row>
    <row r="579" spans="1:18">
      <c r="A579" s="14">
        <v>41018</v>
      </c>
      <c r="B579" s="15">
        <v>172.05</v>
      </c>
      <c r="C579" s="15">
        <v>173.65</v>
      </c>
      <c r="F579">
        <v>3</v>
      </c>
      <c r="G579">
        <v>4</v>
      </c>
      <c r="H579">
        <v>2015</v>
      </c>
      <c r="I579" s="41">
        <v>42067</v>
      </c>
      <c r="J579" s="38">
        <v>2541.6</v>
      </c>
      <c r="K579" s="21">
        <v>534.70000000000005</v>
      </c>
      <c r="L579" s="22">
        <v>7.6254999999999997</v>
      </c>
      <c r="M579" s="23">
        <v>15.0547</v>
      </c>
      <c r="N579" s="22">
        <v>3.0935000000000001</v>
      </c>
      <c r="O579" s="22">
        <v>2.9765999999999999</v>
      </c>
      <c r="P579" s="21">
        <v>12982.5</v>
      </c>
      <c r="Q579" s="20">
        <v>62.308999999999997</v>
      </c>
      <c r="R579" s="21"/>
    </row>
    <row r="580" spans="1:18">
      <c r="A580" s="14">
        <v>41019</v>
      </c>
      <c r="B580" s="15">
        <v>173.55</v>
      </c>
      <c r="C580" s="15">
        <v>177.7</v>
      </c>
      <c r="F580">
        <v>3</v>
      </c>
      <c r="G580">
        <v>5</v>
      </c>
      <c r="H580">
        <v>2015</v>
      </c>
      <c r="I580" s="41">
        <v>42068</v>
      </c>
      <c r="J580" s="38">
        <v>2547.0500000000002</v>
      </c>
      <c r="K580" s="21">
        <v>536</v>
      </c>
      <c r="L580" s="22">
        <v>7.6245000000000003</v>
      </c>
      <c r="M580" s="23">
        <v>15.1945</v>
      </c>
      <c r="N580" s="22">
        <v>3.0945</v>
      </c>
      <c r="O580" s="22">
        <v>3.0034999999999998</v>
      </c>
      <c r="P580" s="21">
        <v>12990</v>
      </c>
      <c r="Q580" s="20">
        <v>62.381</v>
      </c>
      <c r="R580" s="21"/>
    </row>
    <row r="581" spans="1:18">
      <c r="A581" s="14">
        <v>41022</v>
      </c>
      <c r="B581" s="15">
        <v>176.1</v>
      </c>
      <c r="C581" s="15">
        <v>177.7</v>
      </c>
      <c r="F581">
        <v>3</v>
      </c>
      <c r="G581">
        <v>6</v>
      </c>
      <c r="H581">
        <v>2015</v>
      </c>
      <c r="I581" s="41">
        <v>42069</v>
      </c>
      <c r="J581" s="38">
        <v>2582.65</v>
      </c>
      <c r="K581" s="21">
        <v>535.9</v>
      </c>
      <c r="L581" s="22">
        <v>7.6245000000000003</v>
      </c>
      <c r="M581" s="23">
        <v>15.4983</v>
      </c>
      <c r="N581" s="22">
        <v>3.0964999999999998</v>
      </c>
      <c r="O581" s="22">
        <v>3.0617000000000001</v>
      </c>
      <c r="P581" s="21">
        <v>12980</v>
      </c>
      <c r="Q581" s="20">
        <v>62.46</v>
      </c>
      <c r="R581" s="21"/>
    </row>
    <row r="582" spans="1:18">
      <c r="A582" s="14">
        <v>41023</v>
      </c>
      <c r="B582" s="15">
        <v>178.45</v>
      </c>
      <c r="C582" s="15">
        <v>182.5</v>
      </c>
      <c r="F582">
        <v>3</v>
      </c>
      <c r="G582">
        <v>9</v>
      </c>
      <c r="H582">
        <v>2015</v>
      </c>
      <c r="I582" s="41">
        <v>42072</v>
      </c>
      <c r="J582" s="38">
        <v>2608.1</v>
      </c>
      <c r="K582" s="21">
        <v>536.15</v>
      </c>
      <c r="L582" s="22">
        <v>7.6245000000000003</v>
      </c>
      <c r="M582" s="23">
        <v>15.4742</v>
      </c>
      <c r="N582" s="22">
        <v>3.0975000000000001</v>
      </c>
      <c r="O582" s="22">
        <v>3.1223000000000001</v>
      </c>
      <c r="P582" s="21">
        <v>13050</v>
      </c>
      <c r="Q582" s="20">
        <v>62.634</v>
      </c>
      <c r="R582" s="21"/>
    </row>
    <row r="583" spans="1:18">
      <c r="A583" s="14">
        <v>41024</v>
      </c>
      <c r="B583" s="15">
        <v>174.9</v>
      </c>
      <c r="C583" s="15">
        <v>175.95</v>
      </c>
      <c r="F583">
        <v>3</v>
      </c>
      <c r="G583">
        <v>10</v>
      </c>
      <c r="H583">
        <v>2015</v>
      </c>
      <c r="I583" s="41">
        <v>42073</v>
      </c>
      <c r="J583" s="38">
        <v>2631.11</v>
      </c>
      <c r="K583" s="21">
        <v>536.25</v>
      </c>
      <c r="L583" s="22">
        <v>7.6215000000000002</v>
      </c>
      <c r="M583" s="23">
        <v>15.625500000000001</v>
      </c>
      <c r="N583" s="22">
        <v>3.0991</v>
      </c>
      <c r="O583" s="22">
        <v>3.1021999999999998</v>
      </c>
      <c r="P583" s="21">
        <v>13091.5</v>
      </c>
      <c r="Q583" s="20">
        <v>62.72</v>
      </c>
      <c r="R583" s="21"/>
    </row>
    <row r="584" spans="1:18">
      <c r="A584" s="14">
        <v>41025</v>
      </c>
      <c r="B584" s="15">
        <v>174.75</v>
      </c>
      <c r="C584" s="15">
        <v>174.7</v>
      </c>
      <c r="F584">
        <v>3</v>
      </c>
      <c r="G584">
        <v>11</v>
      </c>
      <c r="H584">
        <v>2015</v>
      </c>
      <c r="I584" s="41">
        <v>42074</v>
      </c>
      <c r="J584" s="38">
        <v>2625</v>
      </c>
      <c r="K584" s="21">
        <v>536.15</v>
      </c>
      <c r="L584" s="22">
        <v>7.6224999999999996</v>
      </c>
      <c r="M584" s="23">
        <v>15.4945</v>
      </c>
      <c r="N584" s="22">
        <v>3.0969000000000002</v>
      </c>
      <c r="O584" s="22">
        <v>3.1257000000000001</v>
      </c>
      <c r="P584" s="21">
        <v>13190.5</v>
      </c>
      <c r="Q584" s="20">
        <v>62.780999999999999</v>
      </c>
      <c r="R584" s="21"/>
    </row>
    <row r="585" spans="1:18">
      <c r="A585" s="14">
        <v>41026</v>
      </c>
      <c r="B585" s="15">
        <v>174.7</v>
      </c>
      <c r="C585" s="15">
        <v>175</v>
      </c>
      <c r="F585">
        <v>3</v>
      </c>
      <c r="G585">
        <v>12</v>
      </c>
      <c r="H585">
        <v>2015</v>
      </c>
      <c r="I585" s="41">
        <v>42075</v>
      </c>
      <c r="J585" s="38">
        <v>2628.25</v>
      </c>
      <c r="K585" s="21">
        <v>536.04999999999995</v>
      </c>
      <c r="L585" s="22">
        <v>7.6204999999999998</v>
      </c>
      <c r="M585" s="23">
        <v>15.390499999999999</v>
      </c>
      <c r="N585" s="22">
        <v>3.1</v>
      </c>
      <c r="O585" s="22">
        <v>3.1661000000000001</v>
      </c>
      <c r="P585" s="21">
        <v>13182.5</v>
      </c>
      <c r="Q585" s="20">
        <v>62.542000000000002</v>
      </c>
      <c r="R585" s="21"/>
    </row>
    <row r="586" spans="1:18">
      <c r="A586" s="14">
        <v>41029</v>
      </c>
      <c r="B586" s="15">
        <v>174.75</v>
      </c>
      <c r="C586" s="15">
        <v>177.95</v>
      </c>
      <c r="F586">
        <v>3</v>
      </c>
      <c r="G586">
        <v>13</v>
      </c>
      <c r="H586">
        <v>2015</v>
      </c>
      <c r="I586" s="41">
        <v>42076</v>
      </c>
      <c r="J586" s="38">
        <v>2668.88</v>
      </c>
      <c r="K586" s="21">
        <v>535.04999999999995</v>
      </c>
      <c r="L586" s="22">
        <v>7.6154999999999999</v>
      </c>
      <c r="M586" s="23">
        <v>15.485900000000001</v>
      </c>
      <c r="N586" s="22">
        <v>3.0972</v>
      </c>
      <c r="O586" s="22">
        <v>3.2492000000000001</v>
      </c>
      <c r="P586" s="21">
        <v>13195</v>
      </c>
      <c r="Q586" s="20">
        <v>63.082999999999998</v>
      </c>
      <c r="R586" s="21"/>
    </row>
    <row r="587" spans="1:18">
      <c r="A587" s="14">
        <v>41030</v>
      </c>
      <c r="B587" s="15">
        <v>176</v>
      </c>
      <c r="C587" s="15">
        <v>182.85</v>
      </c>
      <c r="F587">
        <v>3</v>
      </c>
      <c r="G587">
        <v>16</v>
      </c>
      <c r="H587">
        <v>2015</v>
      </c>
      <c r="I587" s="41">
        <v>42079</v>
      </c>
      <c r="J587" s="38">
        <v>2687.25</v>
      </c>
      <c r="K587" s="21">
        <v>534.29999999999995</v>
      </c>
      <c r="L587" s="22">
        <v>7.6124999999999998</v>
      </c>
      <c r="M587" s="23">
        <v>15.4177</v>
      </c>
      <c r="N587" s="22">
        <v>3.0973000000000002</v>
      </c>
      <c r="O587" s="22">
        <v>3.2488000000000001</v>
      </c>
      <c r="P587" s="21">
        <v>13242</v>
      </c>
      <c r="Q587" s="20">
        <v>62.78</v>
      </c>
      <c r="R587" s="21"/>
    </row>
    <row r="588" spans="1:18">
      <c r="A588" s="14">
        <v>41031</v>
      </c>
      <c r="B588" s="15">
        <v>182.45</v>
      </c>
      <c r="C588" s="15">
        <v>181.3</v>
      </c>
      <c r="F588">
        <v>3</v>
      </c>
      <c r="G588">
        <v>17</v>
      </c>
      <c r="H588">
        <v>2015</v>
      </c>
      <c r="I588" s="41">
        <v>42080</v>
      </c>
      <c r="J588" s="38">
        <v>2660</v>
      </c>
      <c r="K588" s="21">
        <v>534.35</v>
      </c>
      <c r="L588" s="22">
        <v>7.6135000000000002</v>
      </c>
      <c r="M588" s="23">
        <v>15.371700000000001</v>
      </c>
      <c r="N588" s="22">
        <v>3.0990000000000002</v>
      </c>
      <c r="O588" s="22">
        <v>3.2395</v>
      </c>
      <c r="P588" s="21">
        <v>13167.5</v>
      </c>
      <c r="Q588" s="20">
        <v>62.622999999999998</v>
      </c>
      <c r="R588" s="21"/>
    </row>
    <row r="589" spans="1:18">
      <c r="A589" s="14">
        <v>41032</v>
      </c>
      <c r="B589" s="15">
        <v>174.65</v>
      </c>
      <c r="C589" s="15">
        <v>174.3</v>
      </c>
      <c r="F589">
        <v>3</v>
      </c>
      <c r="G589">
        <v>18</v>
      </c>
      <c r="H589">
        <v>2015</v>
      </c>
      <c r="I589" s="41">
        <v>42081</v>
      </c>
      <c r="J589" s="38">
        <v>2628.5</v>
      </c>
      <c r="K589" s="21">
        <v>541.29999999999995</v>
      </c>
      <c r="L589" s="22">
        <v>7.6174999999999997</v>
      </c>
      <c r="M589" s="23">
        <v>15.092499999999999</v>
      </c>
      <c r="N589" s="22">
        <v>3.0851000000000002</v>
      </c>
      <c r="O589" s="22">
        <v>3.2097000000000002</v>
      </c>
      <c r="P589" s="21">
        <v>13170</v>
      </c>
      <c r="Q589" s="20">
        <v>62.701000000000001</v>
      </c>
      <c r="R589" s="21"/>
    </row>
    <row r="590" spans="1:18">
      <c r="A590" s="14">
        <v>41033</v>
      </c>
      <c r="B590" s="15">
        <v>173.4</v>
      </c>
      <c r="C590" s="15">
        <v>173.5</v>
      </c>
      <c r="F590">
        <v>3</v>
      </c>
      <c r="G590">
        <v>19</v>
      </c>
      <c r="H590">
        <v>2015</v>
      </c>
      <c r="I590" s="41">
        <v>42082</v>
      </c>
      <c r="J590" s="38">
        <v>2631</v>
      </c>
      <c r="K590" s="21">
        <v>534.1</v>
      </c>
      <c r="L590" s="22">
        <v>7.6195000000000004</v>
      </c>
      <c r="M590" s="23">
        <v>15.2775</v>
      </c>
      <c r="N590" s="22">
        <v>3.0994999999999999</v>
      </c>
      <c r="O590" s="22">
        <v>3.2921</v>
      </c>
      <c r="P590" s="21">
        <v>13035</v>
      </c>
      <c r="Q590" s="20">
        <v>62.49</v>
      </c>
      <c r="R590" s="21"/>
    </row>
    <row r="591" spans="1:18">
      <c r="A591" s="14">
        <v>41036</v>
      </c>
      <c r="B591" s="15">
        <v>173.5</v>
      </c>
      <c r="C591" s="15">
        <v>174.15</v>
      </c>
      <c r="F591">
        <v>3</v>
      </c>
      <c r="G591">
        <v>20</v>
      </c>
      <c r="H591">
        <v>2015</v>
      </c>
      <c r="I591" s="41">
        <v>42083</v>
      </c>
      <c r="J591" s="38">
        <v>2574.4299999999998</v>
      </c>
      <c r="K591" s="21">
        <v>534.04999999999995</v>
      </c>
      <c r="L591" s="22">
        <v>7.6295000000000002</v>
      </c>
      <c r="M591" s="23">
        <v>15.055</v>
      </c>
      <c r="N591" s="22">
        <v>3.0840000000000001</v>
      </c>
      <c r="O591" s="22">
        <v>3.2292999999999998</v>
      </c>
      <c r="P591" s="21">
        <v>13116</v>
      </c>
      <c r="Q591" s="20">
        <v>62.41</v>
      </c>
      <c r="R591" s="21"/>
    </row>
    <row r="592" spans="1:18">
      <c r="A592" s="14">
        <v>41037</v>
      </c>
      <c r="B592" s="15">
        <v>173.5</v>
      </c>
      <c r="C592" s="15">
        <v>175.15</v>
      </c>
      <c r="F592">
        <v>3</v>
      </c>
      <c r="G592">
        <v>23</v>
      </c>
      <c r="H592">
        <v>2015</v>
      </c>
      <c r="I592" s="41">
        <v>42086</v>
      </c>
      <c r="J592" s="38">
        <v>2561.5</v>
      </c>
      <c r="K592" s="21">
        <v>533.85</v>
      </c>
      <c r="L592" s="22">
        <v>7.6345000000000001</v>
      </c>
      <c r="M592" s="23">
        <v>14.93</v>
      </c>
      <c r="N592" s="22">
        <v>3.0754999999999999</v>
      </c>
      <c r="O592" s="22">
        <v>3.1322000000000001</v>
      </c>
      <c r="P592" s="21">
        <v>13019.5</v>
      </c>
      <c r="Q592" s="20">
        <v>62.23</v>
      </c>
      <c r="R592" s="21"/>
    </row>
    <row r="593" spans="1:18">
      <c r="A593" s="14">
        <v>41038</v>
      </c>
      <c r="B593" s="15">
        <v>172.9</v>
      </c>
      <c r="C593" s="15">
        <v>175.15</v>
      </c>
      <c r="F593">
        <v>3</v>
      </c>
      <c r="G593">
        <v>24</v>
      </c>
      <c r="H593">
        <v>2015</v>
      </c>
      <c r="I593" s="41">
        <v>42087</v>
      </c>
      <c r="J593" s="38">
        <v>2511.5</v>
      </c>
      <c r="K593" s="21">
        <v>533.70000000000005</v>
      </c>
      <c r="L593" s="22">
        <v>7.6334999999999997</v>
      </c>
      <c r="M593" s="23">
        <v>14.941000000000001</v>
      </c>
      <c r="N593" s="22">
        <v>3.0680000000000001</v>
      </c>
      <c r="O593" s="22">
        <v>3.1398000000000001</v>
      </c>
      <c r="P593" s="21">
        <v>12905</v>
      </c>
      <c r="Q593" s="20">
        <v>62.347999999999999</v>
      </c>
      <c r="R593" s="21"/>
    </row>
    <row r="594" spans="1:18">
      <c r="A594" s="14">
        <v>41039</v>
      </c>
      <c r="B594" s="15">
        <v>0</v>
      </c>
      <c r="C594" s="15">
        <v>178.5</v>
      </c>
      <c r="F594">
        <v>3</v>
      </c>
      <c r="G594">
        <v>25</v>
      </c>
      <c r="H594">
        <v>2015</v>
      </c>
      <c r="I594" s="41">
        <v>42088</v>
      </c>
      <c r="J594" s="38">
        <v>2542</v>
      </c>
      <c r="K594" s="21">
        <v>533.9</v>
      </c>
      <c r="L594" s="22">
        <v>7.6364999999999998</v>
      </c>
      <c r="M594" s="23">
        <v>14.991300000000001</v>
      </c>
      <c r="N594" s="22">
        <v>3.0674999999999999</v>
      </c>
      <c r="O594" s="22">
        <v>3.2012</v>
      </c>
      <c r="P594" s="21">
        <v>12986</v>
      </c>
      <c r="Q594" s="20">
        <v>62.411999999999999</v>
      </c>
      <c r="R594" s="21"/>
    </row>
    <row r="595" spans="1:18">
      <c r="A595" s="14">
        <v>41040</v>
      </c>
      <c r="B595" s="15">
        <v>179</v>
      </c>
      <c r="C595" s="15">
        <v>176.55</v>
      </c>
      <c r="F595">
        <v>3</v>
      </c>
      <c r="G595">
        <v>26</v>
      </c>
      <c r="H595">
        <v>2015</v>
      </c>
      <c r="I595" s="41">
        <v>42089</v>
      </c>
      <c r="J595" s="38">
        <v>2561</v>
      </c>
      <c r="K595" s="21">
        <v>533.85</v>
      </c>
      <c r="L595" s="22">
        <v>7.6405000000000003</v>
      </c>
      <c r="M595" s="23">
        <v>15.1395</v>
      </c>
      <c r="N595" s="22">
        <v>3.0834999999999999</v>
      </c>
      <c r="O595" s="22">
        <v>3.1827999999999999</v>
      </c>
      <c r="P595" s="21">
        <v>13019</v>
      </c>
      <c r="Q595" s="20">
        <v>62.835999999999999</v>
      </c>
      <c r="R595" s="21"/>
    </row>
    <row r="596" spans="1:18">
      <c r="A596" s="14">
        <v>41043</v>
      </c>
      <c r="B596" s="15">
        <v>173.6</v>
      </c>
      <c r="C596" s="15">
        <v>177.4</v>
      </c>
      <c r="F596">
        <v>3</v>
      </c>
      <c r="G596">
        <v>27</v>
      </c>
      <c r="H596">
        <v>2015</v>
      </c>
      <c r="I596" s="41">
        <v>42090</v>
      </c>
      <c r="J596" s="38">
        <v>2558.5</v>
      </c>
      <c r="K596" s="21">
        <v>533.9</v>
      </c>
      <c r="L596" s="22">
        <v>7.6464999999999996</v>
      </c>
      <c r="M596" s="23">
        <v>15.234999999999999</v>
      </c>
      <c r="N596" s="22">
        <v>3.0926</v>
      </c>
      <c r="O596" s="22">
        <v>3.2496</v>
      </c>
      <c r="P596" s="21">
        <v>13065</v>
      </c>
      <c r="Q596" s="20">
        <v>62.523000000000003</v>
      </c>
      <c r="R596" s="21"/>
    </row>
    <row r="597" spans="1:18">
      <c r="A597" s="14">
        <v>41044</v>
      </c>
      <c r="B597" s="15">
        <v>0</v>
      </c>
      <c r="C597" s="15">
        <v>177.05</v>
      </c>
      <c r="F597">
        <v>3</v>
      </c>
      <c r="G597">
        <v>30</v>
      </c>
      <c r="H597">
        <v>2015</v>
      </c>
      <c r="I597" s="41">
        <v>42093</v>
      </c>
      <c r="J597" s="38">
        <v>2576</v>
      </c>
      <c r="K597" s="21">
        <v>533.9</v>
      </c>
      <c r="L597" s="22">
        <v>7.6475</v>
      </c>
      <c r="M597" s="23">
        <v>15.262</v>
      </c>
      <c r="N597" s="22">
        <v>3.097</v>
      </c>
      <c r="O597" s="22">
        <v>3.2305999999999999</v>
      </c>
      <c r="P597" s="21">
        <v>13075</v>
      </c>
      <c r="Q597" s="20">
        <v>62.51</v>
      </c>
      <c r="R597" s="21"/>
    </row>
    <row r="598" spans="1:18">
      <c r="A598" s="14">
        <v>41045</v>
      </c>
      <c r="B598" s="15">
        <v>178.8</v>
      </c>
      <c r="C598" s="15">
        <v>177.4</v>
      </c>
      <c r="F598">
        <v>3</v>
      </c>
      <c r="G598">
        <v>31</v>
      </c>
      <c r="H598">
        <v>2015</v>
      </c>
      <c r="I598" s="41">
        <v>42094</v>
      </c>
      <c r="J598" s="38">
        <v>2600</v>
      </c>
      <c r="K598" s="21">
        <v>534.79999999999995</v>
      </c>
      <c r="L598" s="22">
        <v>7.6475</v>
      </c>
      <c r="M598" s="23">
        <v>15.261799999999999</v>
      </c>
      <c r="N598" s="22">
        <v>3.0931999999999999</v>
      </c>
      <c r="O598" s="22">
        <v>3.1958000000000002</v>
      </c>
      <c r="P598" s="21">
        <v>13075</v>
      </c>
      <c r="Q598" s="20">
        <v>62.290999999999997</v>
      </c>
      <c r="R598" s="21"/>
    </row>
    <row r="599" spans="1:18">
      <c r="A599" s="14">
        <v>41046</v>
      </c>
      <c r="B599" s="15">
        <v>177.1</v>
      </c>
      <c r="C599" s="15">
        <v>178.65</v>
      </c>
      <c r="F599">
        <v>4</v>
      </c>
      <c r="G599">
        <v>1</v>
      </c>
      <c r="H599">
        <v>2015</v>
      </c>
      <c r="I599" s="41">
        <v>42095</v>
      </c>
      <c r="J599" s="38">
        <v>2574.2600000000002</v>
      </c>
      <c r="K599" s="21">
        <v>534.79999999999995</v>
      </c>
      <c r="L599" s="22">
        <v>7.6414999999999997</v>
      </c>
      <c r="M599" s="23">
        <v>15.15</v>
      </c>
      <c r="N599" s="22">
        <v>3.0964999999999998</v>
      </c>
      <c r="O599" s="22">
        <v>3.1655000000000002</v>
      </c>
      <c r="P599" s="21">
        <v>13042.5</v>
      </c>
      <c r="Q599" s="20">
        <v>62.142000000000003</v>
      </c>
      <c r="R599" s="21"/>
    </row>
    <row r="600" spans="1:18">
      <c r="A600" s="14">
        <v>41047</v>
      </c>
      <c r="B600" s="15">
        <v>0</v>
      </c>
      <c r="C600" s="15">
        <v>177.7</v>
      </c>
      <c r="F600">
        <v>4</v>
      </c>
      <c r="G600">
        <v>2</v>
      </c>
      <c r="H600">
        <v>2015</v>
      </c>
      <c r="I600" s="41">
        <v>42096</v>
      </c>
      <c r="J600" s="38">
        <v>2574.25</v>
      </c>
      <c r="K600" s="21">
        <v>534.70000000000005</v>
      </c>
      <c r="L600" s="22">
        <v>7.6405000000000003</v>
      </c>
      <c r="M600" s="23">
        <v>15.001300000000001</v>
      </c>
      <c r="N600" s="22">
        <v>3.0975000000000001</v>
      </c>
      <c r="O600" s="22">
        <v>3.1204999999999998</v>
      </c>
      <c r="P600" s="21">
        <v>13002.5</v>
      </c>
      <c r="Q600" s="20">
        <v>62.067</v>
      </c>
      <c r="R600" s="21"/>
    </row>
    <row r="601" spans="1:18">
      <c r="A601" s="14">
        <v>41050</v>
      </c>
      <c r="B601" s="15">
        <v>174.3</v>
      </c>
      <c r="C601" s="15">
        <v>175.15</v>
      </c>
      <c r="F601">
        <v>4</v>
      </c>
      <c r="G601">
        <v>3</v>
      </c>
      <c r="H601">
        <v>2015</v>
      </c>
      <c r="I601" s="41">
        <v>42097</v>
      </c>
      <c r="J601" s="38">
        <v>2566</v>
      </c>
      <c r="K601" s="21">
        <v>534.6</v>
      </c>
      <c r="L601" s="22">
        <v>7.6414999999999997</v>
      </c>
      <c r="M601" s="23">
        <v>14.8111</v>
      </c>
      <c r="N601" s="22">
        <v>3.0924999999999998</v>
      </c>
      <c r="O601" s="22">
        <v>3.121</v>
      </c>
      <c r="P601" s="21">
        <v>13002.5</v>
      </c>
      <c r="Q601" s="20">
        <v>61.96</v>
      </c>
      <c r="R601" s="21"/>
    </row>
    <row r="602" spans="1:18">
      <c r="A602" s="14">
        <v>41051</v>
      </c>
      <c r="B602" s="15">
        <v>172.85</v>
      </c>
      <c r="C602" s="15">
        <v>174.5</v>
      </c>
      <c r="F602">
        <v>4</v>
      </c>
      <c r="G602">
        <v>6</v>
      </c>
      <c r="H602">
        <v>2015</v>
      </c>
      <c r="I602" s="41">
        <v>42100</v>
      </c>
      <c r="J602" s="38">
        <v>2533.6</v>
      </c>
      <c r="K602" s="21">
        <v>534.15</v>
      </c>
      <c r="L602" s="22">
        <v>7.6384999999999996</v>
      </c>
      <c r="M602" s="23">
        <v>14.917899999999999</v>
      </c>
      <c r="N602" s="22">
        <v>3.0897000000000001</v>
      </c>
      <c r="O602" s="22">
        <v>3.1263000000000001</v>
      </c>
      <c r="P602" s="21">
        <v>12958.5</v>
      </c>
      <c r="Q602" s="20">
        <v>62.207000000000001</v>
      </c>
      <c r="R602" s="21"/>
    </row>
    <row r="603" spans="1:18">
      <c r="A603" s="14">
        <v>41052</v>
      </c>
      <c r="B603" s="15">
        <v>165.1</v>
      </c>
      <c r="C603" s="15">
        <v>166.9</v>
      </c>
      <c r="F603">
        <v>4</v>
      </c>
      <c r="G603">
        <v>7</v>
      </c>
      <c r="H603">
        <v>2015</v>
      </c>
      <c r="I603" s="41">
        <v>42101</v>
      </c>
      <c r="J603" s="38">
        <v>2514</v>
      </c>
      <c r="K603" s="21">
        <v>534.04999999999995</v>
      </c>
      <c r="L603" s="22">
        <v>7.6405000000000003</v>
      </c>
      <c r="M603" s="23">
        <v>14.9305</v>
      </c>
      <c r="N603" s="22">
        <v>3.1</v>
      </c>
      <c r="O603" s="22">
        <v>3.1288</v>
      </c>
      <c r="P603" s="21">
        <v>12985</v>
      </c>
      <c r="Q603" s="20">
        <v>62.295999999999999</v>
      </c>
      <c r="R603" s="21"/>
    </row>
    <row r="604" spans="1:18">
      <c r="A604" s="14">
        <v>41053</v>
      </c>
      <c r="B604" s="15">
        <v>165.3</v>
      </c>
      <c r="C604" s="15">
        <v>166.9</v>
      </c>
      <c r="F604">
        <v>4</v>
      </c>
      <c r="G604">
        <v>8</v>
      </c>
      <c r="H604">
        <v>2015</v>
      </c>
      <c r="I604" s="41">
        <v>42102</v>
      </c>
      <c r="J604" s="38">
        <v>2491.86</v>
      </c>
      <c r="K604" s="21">
        <v>533.95000000000005</v>
      </c>
      <c r="L604" s="22">
        <v>7.6414999999999997</v>
      </c>
      <c r="M604" s="23">
        <v>14.908899999999999</v>
      </c>
      <c r="N604" s="22">
        <v>3.1036000000000001</v>
      </c>
      <c r="O604" s="22">
        <v>3.0495000000000001</v>
      </c>
      <c r="P604" s="21">
        <v>12955</v>
      </c>
      <c r="Q604" s="20">
        <v>62.192</v>
      </c>
      <c r="R604" s="21"/>
    </row>
    <row r="605" spans="1:18">
      <c r="A605" s="14">
        <v>41054</v>
      </c>
      <c r="B605" s="15">
        <v>165.45</v>
      </c>
      <c r="C605" s="15">
        <v>167.8</v>
      </c>
      <c r="F605">
        <v>4</v>
      </c>
      <c r="G605">
        <v>9</v>
      </c>
      <c r="H605">
        <v>2015</v>
      </c>
      <c r="I605" s="41">
        <v>42103</v>
      </c>
      <c r="J605" s="38">
        <v>2498.75</v>
      </c>
      <c r="K605" s="21">
        <v>533.9</v>
      </c>
      <c r="L605" s="22">
        <v>7.6455000000000002</v>
      </c>
      <c r="M605" s="23">
        <v>15.087999999999999</v>
      </c>
      <c r="N605" s="22">
        <v>3.1164999999999998</v>
      </c>
      <c r="O605" s="22">
        <v>3.0590999999999999</v>
      </c>
      <c r="P605" s="21">
        <v>12898</v>
      </c>
      <c r="Q605" s="20">
        <v>62.305999999999997</v>
      </c>
      <c r="R605" s="21"/>
    </row>
    <row r="606" spans="1:18">
      <c r="A606" s="14">
        <v>41058</v>
      </c>
      <c r="B606" s="15">
        <v>164.75</v>
      </c>
      <c r="C606" s="15">
        <v>165.4</v>
      </c>
      <c r="F606">
        <v>4</v>
      </c>
      <c r="G606">
        <v>10</v>
      </c>
      <c r="H606">
        <v>2015</v>
      </c>
      <c r="I606" s="41">
        <v>42104</v>
      </c>
      <c r="J606" s="38">
        <v>2508.5500000000002</v>
      </c>
      <c r="K606" s="21">
        <v>533.95000000000005</v>
      </c>
      <c r="L606" s="22">
        <v>7.6565000000000003</v>
      </c>
      <c r="M606" s="23">
        <v>15.2262</v>
      </c>
      <c r="N606" s="22">
        <v>3.1194999999999999</v>
      </c>
      <c r="O606" s="22">
        <v>3.0756000000000001</v>
      </c>
      <c r="P606" s="21">
        <v>12915</v>
      </c>
      <c r="Q606" s="20">
        <v>62.276000000000003</v>
      </c>
      <c r="R606" s="21"/>
    </row>
    <row r="607" spans="1:18">
      <c r="A607" s="14">
        <v>41059</v>
      </c>
      <c r="B607" s="15">
        <v>162.30000000000001</v>
      </c>
      <c r="C607" s="15">
        <v>164.4</v>
      </c>
      <c r="F607">
        <v>4</v>
      </c>
      <c r="G607">
        <v>13</v>
      </c>
      <c r="H607">
        <v>2015</v>
      </c>
      <c r="I607" s="41">
        <v>42107</v>
      </c>
      <c r="J607" s="38">
        <v>2558</v>
      </c>
      <c r="K607" s="21">
        <v>533.75</v>
      </c>
      <c r="L607" s="22">
        <v>7.6604999999999999</v>
      </c>
      <c r="M607" s="23">
        <v>15.3803</v>
      </c>
      <c r="N607" s="22">
        <v>3.1177000000000001</v>
      </c>
      <c r="O607" s="22">
        <v>3.1212</v>
      </c>
      <c r="P607" s="21">
        <v>12985</v>
      </c>
      <c r="Q607" s="20">
        <v>62.406999999999996</v>
      </c>
      <c r="R607" s="21"/>
    </row>
    <row r="608" spans="1:18">
      <c r="A608" s="14">
        <v>41060</v>
      </c>
      <c r="B608" s="15">
        <v>160.15</v>
      </c>
      <c r="C608" s="15">
        <v>160.65</v>
      </c>
      <c r="F608">
        <v>4</v>
      </c>
      <c r="G608">
        <v>14</v>
      </c>
      <c r="H608">
        <v>2015</v>
      </c>
      <c r="I608" s="41">
        <v>42108</v>
      </c>
      <c r="J608" s="38">
        <v>2556</v>
      </c>
      <c r="K608" s="21">
        <v>534.65</v>
      </c>
      <c r="L608" s="22">
        <v>7.6630000000000003</v>
      </c>
      <c r="M608" s="23">
        <v>15.2624</v>
      </c>
      <c r="N608" s="22">
        <v>3.12</v>
      </c>
      <c r="O608" s="22">
        <v>3.0634000000000001</v>
      </c>
      <c r="P608" s="21">
        <v>12980.5</v>
      </c>
      <c r="Q608" s="20">
        <v>62.268000000000001</v>
      </c>
      <c r="R608" s="21"/>
    </row>
    <row r="609" spans="1:18">
      <c r="A609" s="14">
        <v>41061</v>
      </c>
      <c r="B609" s="15">
        <v>156.5</v>
      </c>
      <c r="C609" s="15">
        <v>157.5</v>
      </c>
      <c r="F609">
        <v>4</v>
      </c>
      <c r="G609">
        <v>15</v>
      </c>
      <c r="H609">
        <v>2015</v>
      </c>
      <c r="I609" s="41">
        <v>42109</v>
      </c>
      <c r="J609" s="38">
        <v>2507.5</v>
      </c>
      <c r="K609" s="21">
        <v>531</v>
      </c>
      <c r="L609" s="22">
        <v>7.6715</v>
      </c>
      <c r="M609" s="23">
        <v>15.266500000000001</v>
      </c>
      <c r="N609" s="22">
        <v>3.1244999999999998</v>
      </c>
      <c r="O609" s="22">
        <v>3.0293999999999999</v>
      </c>
      <c r="P609" s="21">
        <v>12900.5</v>
      </c>
      <c r="Q609" s="20">
        <v>62.36</v>
      </c>
      <c r="R609" s="21"/>
    </row>
    <row r="610" spans="1:18">
      <c r="A610" s="14">
        <v>41064</v>
      </c>
      <c r="B610" s="15">
        <v>154.65</v>
      </c>
      <c r="C610" s="15">
        <v>158.44999999999999</v>
      </c>
      <c r="F610">
        <v>4</v>
      </c>
      <c r="G610">
        <v>16</v>
      </c>
      <c r="H610">
        <v>2015</v>
      </c>
      <c r="I610" s="41">
        <v>42110</v>
      </c>
      <c r="J610" s="38">
        <v>2483.5</v>
      </c>
      <c r="K610" s="21">
        <v>530.75</v>
      </c>
      <c r="L610" s="22">
        <v>7.6734999999999998</v>
      </c>
      <c r="M610" s="23">
        <v>15.1709</v>
      </c>
      <c r="N610" s="22">
        <v>3.1233</v>
      </c>
      <c r="O610" s="22">
        <v>3.0221</v>
      </c>
      <c r="P610" s="21">
        <v>12856</v>
      </c>
      <c r="Q610" s="20">
        <v>62.317</v>
      </c>
      <c r="R610" s="21"/>
    </row>
    <row r="611" spans="1:18">
      <c r="A611" s="14">
        <v>41065</v>
      </c>
      <c r="B611" s="15">
        <v>155.9</v>
      </c>
      <c r="C611" s="15">
        <v>156.19999999999999</v>
      </c>
      <c r="F611">
        <v>4</v>
      </c>
      <c r="G611">
        <v>17</v>
      </c>
      <c r="H611">
        <v>2015</v>
      </c>
      <c r="I611" s="41">
        <v>42111</v>
      </c>
      <c r="J611" s="38">
        <v>2500.1</v>
      </c>
      <c r="K611" s="21">
        <v>530.4</v>
      </c>
      <c r="L611" s="22">
        <v>7.6844999999999999</v>
      </c>
      <c r="M611" s="23">
        <v>15.3284</v>
      </c>
      <c r="N611" s="22">
        <v>3.1248999999999998</v>
      </c>
      <c r="O611" s="22">
        <v>3.0409000000000002</v>
      </c>
      <c r="P611" s="21">
        <v>12850</v>
      </c>
      <c r="Q611" s="20">
        <v>62.55</v>
      </c>
      <c r="R611" s="21"/>
    </row>
    <row r="612" spans="1:18">
      <c r="A612" s="14">
        <v>41066</v>
      </c>
      <c r="B612" s="15">
        <v>155.5</v>
      </c>
      <c r="C612" s="15">
        <v>155.9</v>
      </c>
      <c r="F612">
        <v>4</v>
      </c>
      <c r="G612">
        <v>20</v>
      </c>
      <c r="H612">
        <v>2015</v>
      </c>
      <c r="I612" s="41">
        <v>42114</v>
      </c>
      <c r="J612" s="38">
        <v>2486.25</v>
      </c>
      <c r="K612" s="21">
        <v>530.29999999999995</v>
      </c>
      <c r="L612" s="22">
        <v>7.7004999999999999</v>
      </c>
      <c r="M612" s="23">
        <v>15.4503</v>
      </c>
      <c r="N612" s="22">
        <v>3.1292</v>
      </c>
      <c r="O612" s="22">
        <v>3.0329999999999999</v>
      </c>
      <c r="P612" s="21">
        <v>12890</v>
      </c>
      <c r="Q612" s="20">
        <v>63.137</v>
      </c>
      <c r="R612" s="21"/>
    </row>
    <row r="613" spans="1:18">
      <c r="A613" s="14">
        <v>41067</v>
      </c>
      <c r="B613" s="15">
        <v>154.25</v>
      </c>
      <c r="C613" s="15">
        <v>156.65</v>
      </c>
      <c r="F613">
        <v>4</v>
      </c>
      <c r="G613">
        <v>21</v>
      </c>
      <c r="H613">
        <v>2015</v>
      </c>
      <c r="I613" s="41">
        <v>42115</v>
      </c>
      <c r="J613" s="38">
        <v>2472.5</v>
      </c>
      <c r="K613" s="21">
        <v>530.25</v>
      </c>
      <c r="L613" s="22">
        <v>7.7074999999999996</v>
      </c>
      <c r="M613" s="23">
        <v>15.435</v>
      </c>
      <c r="N613" s="22">
        <v>3.1324000000000001</v>
      </c>
      <c r="O613" s="22">
        <v>3.0339999999999998</v>
      </c>
      <c r="P613" s="21">
        <v>12957.5</v>
      </c>
      <c r="Q613" s="20">
        <v>62.853999999999999</v>
      </c>
      <c r="R613" s="21"/>
    </row>
    <row r="614" spans="1:18">
      <c r="A614" s="14">
        <v>41068</v>
      </c>
      <c r="B614" s="15">
        <v>154.6</v>
      </c>
      <c r="C614" s="15">
        <v>155.6</v>
      </c>
      <c r="F614">
        <v>4</v>
      </c>
      <c r="G614">
        <v>22</v>
      </c>
      <c r="H614">
        <v>2015</v>
      </c>
      <c r="I614" s="41">
        <v>42116</v>
      </c>
      <c r="J614" s="38">
        <v>2491.5</v>
      </c>
      <c r="K614" s="21">
        <v>530.20000000000005</v>
      </c>
      <c r="L614" s="22">
        <v>7.7205000000000004</v>
      </c>
      <c r="M614" s="23">
        <v>15.442</v>
      </c>
      <c r="N614" s="22">
        <v>3.1322999999999999</v>
      </c>
      <c r="O614" s="22">
        <v>3.0112999999999999</v>
      </c>
      <c r="P614" s="21">
        <v>12900</v>
      </c>
      <c r="Q614" s="20">
        <v>62.98</v>
      </c>
      <c r="R614" s="21"/>
    </row>
    <row r="615" spans="1:18">
      <c r="A615" s="14">
        <v>41071</v>
      </c>
      <c r="B615" s="15">
        <v>153.69999999999999</v>
      </c>
      <c r="C615" s="15">
        <v>155.1</v>
      </c>
      <c r="F615">
        <v>4</v>
      </c>
      <c r="G615">
        <v>23</v>
      </c>
      <c r="H615">
        <v>2015</v>
      </c>
      <c r="I615" s="41">
        <v>42117</v>
      </c>
      <c r="J615" s="38">
        <v>2468.14</v>
      </c>
      <c r="K615" s="21">
        <v>530.1</v>
      </c>
      <c r="L615" s="22">
        <v>7.7344999999999997</v>
      </c>
      <c r="M615" s="23">
        <v>15.353999999999999</v>
      </c>
      <c r="N615" s="22">
        <v>3.1351</v>
      </c>
      <c r="O615" s="22">
        <v>2.9706999999999999</v>
      </c>
      <c r="P615" s="21">
        <v>12955</v>
      </c>
      <c r="Q615" s="20">
        <v>63.277000000000001</v>
      </c>
      <c r="R615" s="21"/>
    </row>
    <row r="616" spans="1:18">
      <c r="A616" s="14">
        <v>41072</v>
      </c>
      <c r="B616" s="15">
        <v>153.30000000000001</v>
      </c>
      <c r="C616" s="15">
        <v>154.19999999999999</v>
      </c>
      <c r="F616">
        <v>4</v>
      </c>
      <c r="G616">
        <v>24</v>
      </c>
      <c r="H616">
        <v>2015</v>
      </c>
      <c r="I616" s="41">
        <v>42118</v>
      </c>
      <c r="J616" s="38">
        <v>2452.5</v>
      </c>
      <c r="K616" s="21">
        <v>530.88</v>
      </c>
      <c r="L616" s="22">
        <v>7.7474999999999996</v>
      </c>
      <c r="M616" s="23">
        <v>15.388</v>
      </c>
      <c r="N616" s="22">
        <v>3.1354000000000002</v>
      </c>
      <c r="O616" s="22">
        <v>2.9517000000000002</v>
      </c>
      <c r="P616" s="21">
        <v>12919.5</v>
      </c>
      <c r="Q616" s="20">
        <v>63.661999999999999</v>
      </c>
      <c r="R616" s="21"/>
    </row>
    <row r="617" spans="1:18">
      <c r="A617" s="14">
        <v>41073</v>
      </c>
      <c r="B617" s="15">
        <v>151.85</v>
      </c>
      <c r="C617" s="15">
        <v>152.5</v>
      </c>
      <c r="F617">
        <v>4</v>
      </c>
      <c r="G617">
        <v>27</v>
      </c>
      <c r="H617">
        <v>2015</v>
      </c>
      <c r="I617" s="41">
        <v>42121</v>
      </c>
      <c r="J617" s="38">
        <v>2412</v>
      </c>
      <c r="K617" s="21">
        <v>531.91999999999996</v>
      </c>
      <c r="L617" s="22">
        <v>7.7694999999999999</v>
      </c>
      <c r="M617" s="23">
        <v>15.3514</v>
      </c>
      <c r="N617" s="22">
        <v>3.1356999999999999</v>
      </c>
      <c r="O617" s="22">
        <v>2.9173</v>
      </c>
      <c r="P617" s="21">
        <v>12980</v>
      </c>
      <c r="Q617" s="20">
        <v>63.345999999999997</v>
      </c>
      <c r="R617" s="21"/>
    </row>
    <row r="618" spans="1:18">
      <c r="A618" s="14">
        <v>41074</v>
      </c>
      <c r="B618" s="15">
        <v>148.85</v>
      </c>
      <c r="C618" s="15">
        <v>149.19999999999999</v>
      </c>
      <c r="F618">
        <v>4</v>
      </c>
      <c r="G618">
        <v>28</v>
      </c>
      <c r="H618">
        <v>2015</v>
      </c>
      <c r="I618" s="41">
        <v>42122</v>
      </c>
      <c r="J618" s="38">
        <v>2400</v>
      </c>
      <c r="K618" s="21">
        <v>531.20000000000005</v>
      </c>
      <c r="L618" s="22">
        <v>7.7744999999999997</v>
      </c>
      <c r="M618" s="23">
        <v>15.2545</v>
      </c>
      <c r="N618" s="22">
        <v>3.1240999999999999</v>
      </c>
      <c r="O618" s="22">
        <v>2.9363999999999999</v>
      </c>
      <c r="P618" s="21">
        <v>12980</v>
      </c>
      <c r="Q618" s="20">
        <v>63.052999999999997</v>
      </c>
      <c r="R618" s="21"/>
    </row>
    <row r="619" spans="1:18">
      <c r="A619" s="14">
        <v>41075</v>
      </c>
      <c r="B619" s="15">
        <v>149.25</v>
      </c>
      <c r="C619" s="15">
        <v>150.05000000000001</v>
      </c>
      <c r="F619">
        <v>4</v>
      </c>
      <c r="G619">
        <v>29</v>
      </c>
      <c r="H619">
        <v>2015</v>
      </c>
      <c r="I619" s="41">
        <v>42123</v>
      </c>
      <c r="J619" s="38">
        <v>2377</v>
      </c>
      <c r="K619" s="21">
        <v>531.20000000000005</v>
      </c>
      <c r="L619" s="22">
        <v>7.7714999999999996</v>
      </c>
      <c r="M619" s="23">
        <v>15.2195</v>
      </c>
      <c r="N619" s="22">
        <v>3.1208999999999998</v>
      </c>
      <c r="O619" s="22">
        <v>2.9611999999999998</v>
      </c>
      <c r="P619" s="21">
        <v>12940</v>
      </c>
      <c r="Q619" s="20">
        <v>63.46</v>
      </c>
      <c r="R619" s="21"/>
    </row>
    <row r="620" spans="1:18">
      <c r="A620" s="14">
        <v>41078</v>
      </c>
      <c r="B620" s="15">
        <v>148.19999999999999</v>
      </c>
      <c r="C620" s="15">
        <v>149.55000000000001</v>
      </c>
      <c r="F620">
        <v>4</v>
      </c>
      <c r="G620">
        <v>30</v>
      </c>
      <c r="H620">
        <v>2015</v>
      </c>
      <c r="I620" s="41">
        <v>42124</v>
      </c>
      <c r="J620" s="38">
        <v>2382</v>
      </c>
      <c r="K620" s="21">
        <v>532.08000000000004</v>
      </c>
      <c r="L620" s="22">
        <v>7.7584999999999997</v>
      </c>
      <c r="M620" s="23">
        <v>15.348800000000001</v>
      </c>
      <c r="N620" s="22">
        <v>3.1309999999999998</v>
      </c>
      <c r="O620" s="22">
        <v>3.0145</v>
      </c>
      <c r="P620" s="21">
        <v>12962.5</v>
      </c>
      <c r="Q620" s="20">
        <v>63.529000000000003</v>
      </c>
      <c r="R620" s="21"/>
    </row>
    <row r="621" spans="1:18">
      <c r="A621" s="14">
        <v>41079</v>
      </c>
      <c r="B621" s="15">
        <v>148.55000000000001</v>
      </c>
      <c r="C621" s="15">
        <v>156.6</v>
      </c>
      <c r="F621">
        <v>5</v>
      </c>
      <c r="G621">
        <v>1</v>
      </c>
      <c r="H621">
        <v>2015</v>
      </c>
      <c r="I621" s="41">
        <v>42125</v>
      </c>
      <c r="J621" s="38">
        <v>2391.5</v>
      </c>
      <c r="K621" s="21">
        <v>531.29999999999995</v>
      </c>
      <c r="L621" s="22">
        <v>7.7584999999999997</v>
      </c>
      <c r="M621" s="23">
        <v>15.5784</v>
      </c>
      <c r="N621" s="22">
        <v>3.1301000000000001</v>
      </c>
      <c r="O621" s="22">
        <v>3.0146000000000002</v>
      </c>
      <c r="P621" s="21">
        <v>12962.5</v>
      </c>
      <c r="Q621" s="20">
        <v>63.719000000000001</v>
      </c>
      <c r="R621" s="21"/>
    </row>
    <row r="622" spans="1:18">
      <c r="A622" s="14">
        <v>41080</v>
      </c>
      <c r="B622" s="15">
        <v>150</v>
      </c>
      <c r="C622" s="15">
        <v>150.75</v>
      </c>
      <c r="F622">
        <v>5</v>
      </c>
      <c r="G622">
        <v>4</v>
      </c>
      <c r="H622">
        <v>2015</v>
      </c>
      <c r="I622" s="41">
        <v>42128</v>
      </c>
      <c r="J622" s="38">
        <v>2409.5</v>
      </c>
      <c r="K622" s="21">
        <v>531.25</v>
      </c>
      <c r="L622" s="22">
        <v>7.7465000000000002</v>
      </c>
      <c r="M622" s="23">
        <v>15.454700000000001</v>
      </c>
      <c r="N622" s="22">
        <v>3.1413000000000002</v>
      </c>
      <c r="O622" s="22">
        <v>3.0863999999999998</v>
      </c>
      <c r="P622" s="21">
        <v>12980</v>
      </c>
      <c r="Q622" s="20">
        <v>63.515999999999998</v>
      </c>
      <c r="R622" s="21"/>
    </row>
    <row r="623" spans="1:18">
      <c r="A623" s="14">
        <v>41081</v>
      </c>
      <c r="B623" s="15">
        <v>150</v>
      </c>
      <c r="C623" s="15">
        <v>157.75</v>
      </c>
      <c r="F623">
        <v>5</v>
      </c>
      <c r="G623">
        <v>5</v>
      </c>
      <c r="H623">
        <v>2015</v>
      </c>
      <c r="I623" s="41">
        <v>42129</v>
      </c>
      <c r="J623" s="38">
        <v>2390.25</v>
      </c>
      <c r="K623" s="21">
        <v>531.25</v>
      </c>
      <c r="L623" s="22">
        <v>7.7415000000000003</v>
      </c>
      <c r="M623" s="23">
        <v>15.3414</v>
      </c>
      <c r="N623" s="22">
        <v>3.1467999999999998</v>
      </c>
      <c r="O623" s="22">
        <v>3.0535999999999999</v>
      </c>
      <c r="P623" s="21">
        <v>13047.5</v>
      </c>
      <c r="Q623" s="20">
        <v>63.369</v>
      </c>
      <c r="R623" s="21"/>
    </row>
    <row r="624" spans="1:18">
      <c r="A624" s="14">
        <v>41082</v>
      </c>
      <c r="B624" s="15">
        <v>152.5</v>
      </c>
      <c r="C624" s="15">
        <v>155.15</v>
      </c>
      <c r="F624">
        <v>5</v>
      </c>
      <c r="G624">
        <v>6</v>
      </c>
      <c r="H624">
        <v>2015</v>
      </c>
      <c r="I624" s="41">
        <v>42130</v>
      </c>
      <c r="J624" s="38">
        <v>2361</v>
      </c>
      <c r="K624" s="21">
        <v>531.20000000000005</v>
      </c>
      <c r="L624" s="22">
        <v>7.7394999999999996</v>
      </c>
      <c r="M624" s="23">
        <v>15.3573</v>
      </c>
      <c r="N624" s="22">
        <v>3.1499000000000001</v>
      </c>
      <c r="O624" s="22">
        <v>3.0333000000000001</v>
      </c>
      <c r="P624" s="21">
        <v>13035</v>
      </c>
      <c r="Q624" s="20">
        <v>63.621000000000002</v>
      </c>
      <c r="R624" s="21"/>
    </row>
    <row r="625" spans="1:18">
      <c r="A625" s="14">
        <v>41085</v>
      </c>
      <c r="B625" s="15">
        <v>153.75</v>
      </c>
      <c r="C625" s="15">
        <v>158.69999999999999</v>
      </c>
      <c r="F625">
        <v>5</v>
      </c>
      <c r="G625">
        <v>7</v>
      </c>
      <c r="H625">
        <v>2015</v>
      </c>
      <c r="I625" s="41">
        <v>42131</v>
      </c>
      <c r="J625" s="38">
        <v>2371.15</v>
      </c>
      <c r="K625" s="21">
        <v>531.20000000000005</v>
      </c>
      <c r="L625" s="22">
        <v>7.7335000000000003</v>
      </c>
      <c r="M625" s="23">
        <v>15.318099999999999</v>
      </c>
      <c r="N625" s="22">
        <v>3.1509999999999998</v>
      </c>
      <c r="O625" s="22">
        <v>3.0259999999999998</v>
      </c>
      <c r="P625" s="21">
        <v>13145</v>
      </c>
      <c r="Q625" s="20">
        <v>64.072999999999993</v>
      </c>
      <c r="R625" s="21"/>
    </row>
    <row r="626" spans="1:18">
      <c r="A626" s="14">
        <v>41086</v>
      </c>
      <c r="B626" s="15">
        <v>157.35</v>
      </c>
      <c r="C626" s="15">
        <v>165.4</v>
      </c>
      <c r="F626">
        <v>5</v>
      </c>
      <c r="G626">
        <v>8</v>
      </c>
      <c r="H626">
        <v>2015</v>
      </c>
      <c r="I626" s="41">
        <v>42132</v>
      </c>
      <c r="J626" s="38">
        <v>2355.3200000000002</v>
      </c>
      <c r="K626" s="21">
        <v>531.17999999999995</v>
      </c>
      <c r="L626" s="22">
        <v>7.7234999999999996</v>
      </c>
      <c r="M626" s="23">
        <v>15.1173</v>
      </c>
      <c r="N626" s="22">
        <v>3.1440000000000001</v>
      </c>
      <c r="O626" s="22">
        <v>2.9733000000000001</v>
      </c>
      <c r="P626" s="21">
        <v>13127.5</v>
      </c>
      <c r="Q626" s="20">
        <v>63.710999999999999</v>
      </c>
      <c r="R626" s="21"/>
    </row>
    <row r="627" spans="1:18">
      <c r="A627" s="14">
        <v>41087</v>
      </c>
      <c r="B627" s="15">
        <v>163.4</v>
      </c>
      <c r="C627" s="15">
        <v>164.5</v>
      </c>
      <c r="F627">
        <v>5</v>
      </c>
      <c r="G627">
        <v>11</v>
      </c>
      <c r="H627">
        <v>2015</v>
      </c>
      <c r="I627" s="41">
        <v>42135</v>
      </c>
      <c r="J627" s="38">
        <v>2386.5</v>
      </c>
      <c r="K627" s="21">
        <v>531.6</v>
      </c>
      <c r="L627" s="22">
        <v>7.7065000000000001</v>
      </c>
      <c r="M627" s="23">
        <v>15.3597</v>
      </c>
      <c r="N627" s="22">
        <v>3.1524999999999999</v>
      </c>
      <c r="O627" s="22">
        <v>3.0613999999999999</v>
      </c>
      <c r="P627" s="21">
        <v>13155</v>
      </c>
      <c r="Q627" s="20">
        <v>64.007000000000005</v>
      </c>
      <c r="R627" s="21"/>
    </row>
    <row r="628" spans="1:18">
      <c r="A628" s="14">
        <v>41088</v>
      </c>
      <c r="B628" s="15">
        <v>161</v>
      </c>
      <c r="C628" s="15">
        <v>163</v>
      </c>
      <c r="F628">
        <v>5</v>
      </c>
      <c r="G628">
        <v>12</v>
      </c>
      <c r="H628">
        <v>2015</v>
      </c>
      <c r="I628" s="41">
        <v>42136</v>
      </c>
      <c r="J628" s="38">
        <v>2383.5</v>
      </c>
      <c r="K628" s="21">
        <v>531.75</v>
      </c>
      <c r="L628" s="22">
        <v>7.6955</v>
      </c>
      <c r="M628" s="23">
        <v>15.3421</v>
      </c>
      <c r="N628" s="22">
        <v>3.1526999999999998</v>
      </c>
      <c r="O628" s="22">
        <v>3.0206</v>
      </c>
      <c r="P628" s="21">
        <v>13198</v>
      </c>
      <c r="Q628" s="20">
        <v>64.147000000000006</v>
      </c>
      <c r="R628" s="21"/>
    </row>
    <row r="629" spans="1:18">
      <c r="A629" s="14">
        <v>41089</v>
      </c>
      <c r="B629" s="15">
        <v>164</v>
      </c>
      <c r="C629" s="15">
        <v>170.1</v>
      </c>
      <c r="F629">
        <v>5</v>
      </c>
      <c r="G629">
        <v>13</v>
      </c>
      <c r="H629">
        <v>2015</v>
      </c>
      <c r="I629" s="41">
        <v>42137</v>
      </c>
      <c r="J629" s="38">
        <v>2387.5</v>
      </c>
      <c r="K629" s="21">
        <v>531.70000000000005</v>
      </c>
      <c r="L629" s="22">
        <v>7.6894999999999998</v>
      </c>
      <c r="M629" s="23">
        <v>15.2645</v>
      </c>
      <c r="N629" s="22">
        <v>3.1515</v>
      </c>
      <c r="O629" s="22">
        <v>3.0402999999999998</v>
      </c>
      <c r="P629" s="21">
        <v>13137.5</v>
      </c>
      <c r="Q629" s="20">
        <v>64.013000000000005</v>
      </c>
      <c r="R629" s="21"/>
    </row>
    <row r="630" spans="1:18">
      <c r="A630" s="14">
        <v>41092</v>
      </c>
      <c r="B630" s="15">
        <v>172.5</v>
      </c>
      <c r="C630" s="15">
        <v>174.3</v>
      </c>
      <c r="F630">
        <v>5</v>
      </c>
      <c r="G630">
        <v>14</v>
      </c>
      <c r="H630">
        <v>2015</v>
      </c>
      <c r="I630" s="41">
        <v>42138</v>
      </c>
      <c r="J630" s="38">
        <v>2390.4299999999998</v>
      </c>
      <c r="K630" s="21">
        <v>531.6</v>
      </c>
      <c r="L630" s="22">
        <v>7.6725000000000003</v>
      </c>
      <c r="M630" s="23">
        <v>15.101699999999999</v>
      </c>
      <c r="N630" s="22">
        <v>3.1486000000000001</v>
      </c>
      <c r="O630" s="22">
        <v>2.9935</v>
      </c>
      <c r="P630" s="21">
        <v>13137.5</v>
      </c>
      <c r="Q630" s="20">
        <v>63.383000000000003</v>
      </c>
      <c r="R630" s="21"/>
    </row>
    <row r="631" spans="1:18">
      <c r="A631" s="14">
        <v>41093</v>
      </c>
      <c r="B631" s="15">
        <v>174.8</v>
      </c>
      <c r="C631" s="15">
        <v>180.1</v>
      </c>
      <c r="F631">
        <v>5</v>
      </c>
      <c r="G631">
        <v>15</v>
      </c>
      <c r="H631">
        <v>2015</v>
      </c>
      <c r="I631" s="41">
        <v>42139</v>
      </c>
      <c r="J631" s="38">
        <v>2416</v>
      </c>
      <c r="K631" s="21">
        <v>531.75</v>
      </c>
      <c r="L631" s="22">
        <v>7.6405000000000003</v>
      </c>
      <c r="M631" s="23">
        <v>15.0053</v>
      </c>
      <c r="N631" s="22">
        <v>3.1453000000000002</v>
      </c>
      <c r="O631" s="22">
        <v>2.9971999999999999</v>
      </c>
      <c r="P631" s="21">
        <v>13091</v>
      </c>
      <c r="Q631" s="20">
        <v>63.44</v>
      </c>
      <c r="R631" s="21"/>
    </row>
    <row r="632" spans="1:18">
      <c r="A632" s="14">
        <v>41095</v>
      </c>
      <c r="B632" s="15">
        <v>178.25</v>
      </c>
      <c r="C632" s="15">
        <v>179.25</v>
      </c>
      <c r="F632">
        <v>5</v>
      </c>
      <c r="G632">
        <v>18</v>
      </c>
      <c r="H632">
        <v>2015</v>
      </c>
      <c r="I632" s="41">
        <v>42142</v>
      </c>
      <c r="J632" s="38">
        <v>2433.5</v>
      </c>
      <c r="K632" s="21">
        <v>531.75</v>
      </c>
      <c r="L632" s="22">
        <v>7.6325000000000003</v>
      </c>
      <c r="M632" s="23">
        <v>15.1158</v>
      </c>
      <c r="N632" s="22">
        <v>3.1526000000000001</v>
      </c>
      <c r="O632" s="22">
        <v>3.0076000000000001</v>
      </c>
      <c r="P632" s="21">
        <v>13137</v>
      </c>
      <c r="Q632" s="20">
        <v>63.707999999999998</v>
      </c>
      <c r="R632" s="21"/>
    </row>
    <row r="633" spans="1:18">
      <c r="A633" s="14">
        <v>41096</v>
      </c>
      <c r="B633" s="15">
        <v>177.15</v>
      </c>
      <c r="C633" s="15">
        <v>175.9</v>
      </c>
      <c r="F633">
        <v>5</v>
      </c>
      <c r="G633">
        <v>19</v>
      </c>
      <c r="H633">
        <v>2015</v>
      </c>
      <c r="I633" s="41">
        <v>42143</v>
      </c>
      <c r="J633" s="38">
        <v>2485</v>
      </c>
      <c r="K633" s="21">
        <v>531.79999999999995</v>
      </c>
      <c r="L633" s="22">
        <v>7.6325000000000003</v>
      </c>
      <c r="M633" s="23">
        <v>15.1823</v>
      </c>
      <c r="N633" s="22">
        <v>3.1554000000000002</v>
      </c>
      <c r="O633" s="22">
        <v>3.0394000000000001</v>
      </c>
      <c r="P633" s="21">
        <v>13115.5</v>
      </c>
      <c r="Q633" s="20">
        <v>63.762999999999998</v>
      </c>
      <c r="R633" s="21"/>
    </row>
    <row r="634" spans="1:18">
      <c r="A634" s="14">
        <v>41099</v>
      </c>
      <c r="B634" s="15">
        <v>176.9</v>
      </c>
      <c r="C634" s="15">
        <v>181.75</v>
      </c>
      <c r="F634">
        <v>5</v>
      </c>
      <c r="G634">
        <v>20</v>
      </c>
      <c r="H634">
        <v>2015</v>
      </c>
      <c r="I634" s="41">
        <v>42144</v>
      </c>
      <c r="J634" s="38">
        <v>2488</v>
      </c>
      <c r="K634" s="21">
        <v>531.75</v>
      </c>
      <c r="L634" s="22">
        <v>7.6455000000000002</v>
      </c>
      <c r="M634" s="23">
        <v>15.189</v>
      </c>
      <c r="N634" s="22">
        <v>3.1474000000000002</v>
      </c>
      <c r="O634" s="22">
        <v>3.0026999999999999</v>
      </c>
      <c r="P634" s="21">
        <v>13175</v>
      </c>
      <c r="Q634" s="20">
        <v>63.597999999999999</v>
      </c>
      <c r="R634" s="21"/>
    </row>
    <row r="635" spans="1:18">
      <c r="A635" s="14">
        <v>41100</v>
      </c>
      <c r="B635" s="15">
        <v>181.05</v>
      </c>
      <c r="C635" s="15">
        <v>183.75</v>
      </c>
      <c r="F635">
        <v>5</v>
      </c>
      <c r="G635">
        <v>21</v>
      </c>
      <c r="H635">
        <v>2015</v>
      </c>
      <c r="I635" s="41">
        <v>42145</v>
      </c>
      <c r="J635" s="38">
        <v>2480.8000000000002</v>
      </c>
      <c r="K635" s="21">
        <v>531.70000000000005</v>
      </c>
      <c r="L635" s="22">
        <v>7.6604999999999999</v>
      </c>
      <c r="M635" s="23">
        <v>15.2239</v>
      </c>
      <c r="N635" s="22">
        <v>3.1307</v>
      </c>
      <c r="O635" s="22">
        <v>3.0379</v>
      </c>
      <c r="P635" s="21">
        <v>13129.5</v>
      </c>
      <c r="Q635" s="20">
        <v>63.58</v>
      </c>
      <c r="R635" s="21"/>
    </row>
    <row r="636" spans="1:18">
      <c r="A636" s="14">
        <v>41101</v>
      </c>
      <c r="B636" s="15">
        <v>183.6</v>
      </c>
      <c r="C636" s="15">
        <v>182.7</v>
      </c>
      <c r="F636">
        <v>5</v>
      </c>
      <c r="G636">
        <v>22</v>
      </c>
      <c r="H636">
        <v>2015</v>
      </c>
      <c r="I636" s="41">
        <v>42146</v>
      </c>
      <c r="J636" s="38">
        <v>2502.5</v>
      </c>
      <c r="K636" s="21">
        <v>531.67999999999995</v>
      </c>
      <c r="L636" s="22">
        <v>7.6734999999999998</v>
      </c>
      <c r="M636" s="23">
        <v>15.260899999999999</v>
      </c>
      <c r="N636" s="22">
        <v>3.1455000000000002</v>
      </c>
      <c r="O636" s="22">
        <v>3.0949</v>
      </c>
      <c r="P636" s="21">
        <v>13155</v>
      </c>
      <c r="Q636" s="20">
        <v>63.49</v>
      </c>
      <c r="R636" s="21"/>
    </row>
    <row r="637" spans="1:18">
      <c r="A637" s="14">
        <v>41102</v>
      </c>
      <c r="B637" s="15">
        <v>179.05</v>
      </c>
      <c r="C637" s="15">
        <v>181.15</v>
      </c>
      <c r="F637">
        <v>5</v>
      </c>
      <c r="G637">
        <v>25</v>
      </c>
      <c r="H637">
        <v>2015</v>
      </c>
      <c r="I637" s="41">
        <v>42149</v>
      </c>
      <c r="J637" s="38">
        <v>2489.5</v>
      </c>
      <c r="K637" s="21">
        <v>531.67999999999995</v>
      </c>
      <c r="L637" s="22">
        <v>7.6734999999999998</v>
      </c>
      <c r="M637" s="23">
        <v>15.2568</v>
      </c>
      <c r="N637" s="22">
        <v>3.1524000000000001</v>
      </c>
      <c r="O637" s="22">
        <v>3.0968</v>
      </c>
      <c r="P637" s="21">
        <v>13186.5</v>
      </c>
      <c r="Q637" s="20">
        <v>63.496000000000002</v>
      </c>
      <c r="R637" s="21"/>
    </row>
    <row r="638" spans="1:18">
      <c r="A638" s="14">
        <v>41103</v>
      </c>
      <c r="B638" s="15">
        <v>184.15</v>
      </c>
      <c r="C638" s="15">
        <v>184.45</v>
      </c>
      <c r="F638">
        <v>5</v>
      </c>
      <c r="G638">
        <v>26</v>
      </c>
      <c r="H638">
        <v>2015</v>
      </c>
      <c r="I638" s="41">
        <v>42150</v>
      </c>
      <c r="J638" s="38">
        <v>2545.9</v>
      </c>
      <c r="K638" s="21">
        <v>531.65</v>
      </c>
      <c r="L638" s="22">
        <v>7.6855000000000002</v>
      </c>
      <c r="M638" s="23">
        <v>15.297000000000001</v>
      </c>
      <c r="N638" s="22">
        <v>3.1520000000000001</v>
      </c>
      <c r="O638" s="22">
        <v>3.1536</v>
      </c>
      <c r="P638" s="21">
        <v>13210</v>
      </c>
      <c r="Q638" s="20">
        <v>63.972000000000001</v>
      </c>
      <c r="R638" s="21"/>
    </row>
    <row r="639" spans="1:18">
      <c r="A639" s="14">
        <v>41106</v>
      </c>
      <c r="B639" s="15">
        <v>180.6</v>
      </c>
      <c r="C639" s="15">
        <v>182.55</v>
      </c>
      <c r="F639">
        <v>5</v>
      </c>
      <c r="G639">
        <v>27</v>
      </c>
      <c r="H639">
        <v>2015</v>
      </c>
      <c r="I639" s="41">
        <v>42151</v>
      </c>
      <c r="J639" s="38">
        <v>2535.4</v>
      </c>
      <c r="K639" s="21">
        <v>531.6</v>
      </c>
      <c r="L639" s="22">
        <v>7.6894999999999998</v>
      </c>
      <c r="M639" s="23">
        <v>15.2828</v>
      </c>
      <c r="N639" s="22">
        <v>3.1545000000000001</v>
      </c>
      <c r="O639" s="22">
        <v>3.1408999999999998</v>
      </c>
      <c r="P639" s="21">
        <v>13202</v>
      </c>
      <c r="Q639" s="20">
        <v>63.826000000000001</v>
      </c>
      <c r="R639" s="21"/>
    </row>
    <row r="640" spans="1:18">
      <c r="A640" s="14">
        <v>41107</v>
      </c>
      <c r="B640" s="15">
        <v>180.7</v>
      </c>
      <c r="C640" s="15">
        <v>180.75</v>
      </c>
      <c r="F640">
        <v>5</v>
      </c>
      <c r="G640">
        <v>28</v>
      </c>
      <c r="H640">
        <v>2015</v>
      </c>
      <c r="I640" s="41">
        <v>42152</v>
      </c>
      <c r="J640" s="38">
        <v>2536.75</v>
      </c>
      <c r="K640" s="21">
        <v>531.5</v>
      </c>
      <c r="L640" s="22">
        <v>7.6835000000000004</v>
      </c>
      <c r="M640" s="23">
        <v>15.313800000000001</v>
      </c>
      <c r="N640" s="22">
        <v>3.1579000000000002</v>
      </c>
      <c r="O640" s="22">
        <v>3.1623999999999999</v>
      </c>
      <c r="P640" s="21">
        <v>13221.5</v>
      </c>
      <c r="Q640" s="20">
        <v>63.762999999999998</v>
      </c>
      <c r="R640" s="21"/>
    </row>
    <row r="641" spans="1:18">
      <c r="A641" s="14">
        <v>41108</v>
      </c>
      <c r="B641" s="15">
        <v>179.9</v>
      </c>
      <c r="C641" s="15">
        <v>181.4</v>
      </c>
      <c r="F641">
        <v>5</v>
      </c>
      <c r="G641">
        <v>29</v>
      </c>
      <c r="H641">
        <v>2015</v>
      </c>
      <c r="I641" s="41">
        <v>42153</v>
      </c>
      <c r="J641" s="38">
        <v>2531</v>
      </c>
      <c r="K641" s="21">
        <v>531.4</v>
      </c>
      <c r="L641" s="22">
        <v>7.6684999999999999</v>
      </c>
      <c r="M641" s="23">
        <v>15.3775</v>
      </c>
      <c r="N641" s="22">
        <v>3.1534</v>
      </c>
      <c r="O641" s="22">
        <v>3.1798000000000002</v>
      </c>
      <c r="P641" s="21">
        <v>13224</v>
      </c>
      <c r="Q641" s="20">
        <v>63.743000000000002</v>
      </c>
      <c r="R641" s="21"/>
    </row>
    <row r="642" spans="1:18">
      <c r="A642" s="14">
        <v>41109</v>
      </c>
      <c r="B642" s="15">
        <v>0</v>
      </c>
      <c r="C642" s="15">
        <v>188.2</v>
      </c>
      <c r="F642">
        <v>6</v>
      </c>
      <c r="G642">
        <v>1</v>
      </c>
      <c r="H642">
        <v>2015</v>
      </c>
      <c r="I642" s="41">
        <v>42156</v>
      </c>
      <c r="J642" s="38">
        <v>2562.1</v>
      </c>
      <c r="K642" s="21">
        <v>535.20000000000005</v>
      </c>
      <c r="L642" s="22">
        <v>7.6695000000000002</v>
      </c>
      <c r="M642" s="23">
        <v>15.4838</v>
      </c>
      <c r="N642" s="22">
        <v>3.157</v>
      </c>
      <c r="O642" s="22">
        <v>3.1718000000000002</v>
      </c>
      <c r="P642" s="21">
        <v>13222.5</v>
      </c>
      <c r="Q642" s="20">
        <v>63.594000000000001</v>
      </c>
      <c r="R642" s="21"/>
    </row>
    <row r="643" spans="1:18">
      <c r="A643" s="14">
        <v>41110</v>
      </c>
      <c r="B643" s="15">
        <v>186.1</v>
      </c>
      <c r="C643" s="15">
        <v>186.95</v>
      </c>
      <c r="F643">
        <v>6</v>
      </c>
      <c r="G643">
        <v>2</v>
      </c>
      <c r="H643">
        <v>2015</v>
      </c>
      <c r="I643" s="41">
        <v>42157</v>
      </c>
      <c r="J643" s="38">
        <v>2556.65</v>
      </c>
      <c r="K643" s="21">
        <v>535.04999999999995</v>
      </c>
      <c r="L643" s="22">
        <v>7.6665000000000001</v>
      </c>
      <c r="M643" s="23">
        <v>15.431699999999999</v>
      </c>
      <c r="N643" s="22">
        <v>3.1574</v>
      </c>
      <c r="O643" s="22">
        <v>3.1305999999999998</v>
      </c>
      <c r="P643" s="21">
        <v>13222.5</v>
      </c>
      <c r="Q643" s="20">
        <v>63.689</v>
      </c>
      <c r="R643" s="21"/>
    </row>
    <row r="644" spans="1:18">
      <c r="A644" s="14">
        <v>41113</v>
      </c>
      <c r="B644" s="15">
        <v>183.1</v>
      </c>
      <c r="C644" s="15">
        <v>185.1</v>
      </c>
      <c r="F644">
        <v>6</v>
      </c>
      <c r="G644">
        <v>3</v>
      </c>
      <c r="H644">
        <v>2015</v>
      </c>
      <c r="I644" s="41">
        <v>42158</v>
      </c>
      <c r="J644" s="38">
        <v>2578.5</v>
      </c>
      <c r="K644" s="21">
        <v>535.4</v>
      </c>
      <c r="L644" s="22">
        <v>7.6695000000000002</v>
      </c>
      <c r="M644" s="23">
        <v>15.516299999999999</v>
      </c>
      <c r="N644" s="22">
        <v>3.1505999999999998</v>
      </c>
      <c r="O644" s="22">
        <v>3.1345000000000001</v>
      </c>
      <c r="P644" s="21">
        <v>13221</v>
      </c>
      <c r="Q644" s="20">
        <v>63.997</v>
      </c>
      <c r="R644" s="21"/>
    </row>
    <row r="645" spans="1:18">
      <c r="A645" s="14">
        <v>41114</v>
      </c>
      <c r="B645" s="15">
        <v>173.7</v>
      </c>
      <c r="C645" s="15">
        <v>175.45</v>
      </c>
      <c r="F645">
        <v>6</v>
      </c>
      <c r="G645">
        <v>4</v>
      </c>
      <c r="H645">
        <v>2015</v>
      </c>
      <c r="I645" s="41">
        <v>42159</v>
      </c>
      <c r="J645" s="38">
        <v>2591.9699999999998</v>
      </c>
      <c r="K645" s="21">
        <v>535.35</v>
      </c>
      <c r="L645" s="22">
        <v>7.6825000000000001</v>
      </c>
      <c r="M645" s="23">
        <v>15.537000000000001</v>
      </c>
      <c r="N645" s="22">
        <v>3.1434000000000002</v>
      </c>
      <c r="O645" s="22">
        <v>3.1417999999999999</v>
      </c>
      <c r="P645" s="21">
        <v>13282</v>
      </c>
      <c r="Q645" s="20">
        <v>63.963999999999999</v>
      </c>
      <c r="R645" s="21"/>
    </row>
    <row r="646" spans="1:18">
      <c r="A646" s="14">
        <v>41115</v>
      </c>
      <c r="B646" s="15">
        <v>174</v>
      </c>
      <c r="C646" s="15">
        <v>176.3</v>
      </c>
      <c r="F646">
        <v>6</v>
      </c>
      <c r="G646">
        <v>5</v>
      </c>
      <c r="H646">
        <v>2015</v>
      </c>
      <c r="I646" s="41">
        <v>42160</v>
      </c>
      <c r="J646" s="38">
        <v>2622.5</v>
      </c>
      <c r="K646" s="21">
        <v>535.25</v>
      </c>
      <c r="L646" s="22">
        <v>7.6905000000000001</v>
      </c>
      <c r="M646" s="23">
        <v>15.709</v>
      </c>
      <c r="N646" s="22">
        <v>3.1634000000000002</v>
      </c>
      <c r="O646" s="22">
        <v>3.1438999999999999</v>
      </c>
      <c r="P646" s="21">
        <v>13275.5</v>
      </c>
      <c r="Q646" s="20">
        <v>63.77</v>
      </c>
      <c r="R646" s="21"/>
    </row>
    <row r="647" spans="1:18">
      <c r="A647" s="14">
        <v>41116</v>
      </c>
      <c r="B647" s="15">
        <v>173.1</v>
      </c>
      <c r="C647" s="15">
        <v>174.05</v>
      </c>
      <c r="F647">
        <v>6</v>
      </c>
      <c r="G647">
        <v>8</v>
      </c>
      <c r="H647">
        <v>2015</v>
      </c>
      <c r="I647" s="41">
        <v>42163</v>
      </c>
      <c r="J647" s="38">
        <v>2610</v>
      </c>
      <c r="K647" s="21">
        <v>536.5</v>
      </c>
      <c r="L647" s="22">
        <v>7.6924999999999999</v>
      </c>
      <c r="M647" s="23">
        <v>15.6295</v>
      </c>
      <c r="N647" s="22">
        <v>3.1549999999999998</v>
      </c>
      <c r="O647" s="22">
        <v>3.1132</v>
      </c>
      <c r="P647" s="21">
        <v>13379.5</v>
      </c>
      <c r="Q647" s="20">
        <v>63.947000000000003</v>
      </c>
      <c r="R647" s="21"/>
    </row>
    <row r="648" spans="1:18">
      <c r="A648" s="14">
        <v>41117</v>
      </c>
      <c r="B648" s="15">
        <v>173.05</v>
      </c>
      <c r="C648" s="15">
        <v>173.7</v>
      </c>
      <c r="F648">
        <v>6</v>
      </c>
      <c r="G648">
        <v>9</v>
      </c>
      <c r="H648">
        <v>2015</v>
      </c>
      <c r="I648" s="41">
        <v>42164</v>
      </c>
      <c r="J648" s="38">
        <v>2556.5</v>
      </c>
      <c r="K648" s="21">
        <v>535.38</v>
      </c>
      <c r="L648" s="22">
        <v>7.6935000000000002</v>
      </c>
      <c r="M648" s="23">
        <v>15.5777</v>
      </c>
      <c r="N648" s="22">
        <v>3.1549</v>
      </c>
      <c r="O648" s="22">
        <v>3.0966</v>
      </c>
      <c r="P648" s="21">
        <v>13302.5</v>
      </c>
      <c r="Q648" s="20">
        <v>64.010000000000005</v>
      </c>
      <c r="R648" s="21"/>
    </row>
    <row r="649" spans="1:18">
      <c r="A649" s="14">
        <v>41120</v>
      </c>
      <c r="B649" s="15">
        <v>173.15</v>
      </c>
      <c r="C649" s="15">
        <v>178.35</v>
      </c>
      <c r="F649">
        <v>6</v>
      </c>
      <c r="G649">
        <v>10</v>
      </c>
      <c r="H649">
        <v>2015</v>
      </c>
      <c r="I649" s="41">
        <v>42165</v>
      </c>
      <c r="J649" s="38">
        <v>2526.5</v>
      </c>
      <c r="K649" s="21">
        <v>535</v>
      </c>
      <c r="L649" s="22">
        <v>7.6835000000000004</v>
      </c>
      <c r="M649" s="23">
        <v>15.4308</v>
      </c>
      <c r="N649" s="22">
        <v>3.1545000000000001</v>
      </c>
      <c r="O649" s="22">
        <v>3.1187</v>
      </c>
      <c r="P649" s="21">
        <v>13312.5</v>
      </c>
      <c r="Q649" s="20">
        <v>63.765999999999998</v>
      </c>
      <c r="R649" s="21"/>
    </row>
    <row r="650" spans="1:18">
      <c r="A650" s="14">
        <v>41121</v>
      </c>
      <c r="B650" s="15">
        <v>172.7</v>
      </c>
      <c r="C650" s="15">
        <v>174.4</v>
      </c>
      <c r="F650">
        <v>6</v>
      </c>
      <c r="G650">
        <v>11</v>
      </c>
      <c r="H650">
        <v>2015</v>
      </c>
      <c r="I650" s="41">
        <v>42166</v>
      </c>
      <c r="J650" s="38">
        <v>2532</v>
      </c>
      <c r="K650" s="21">
        <v>536</v>
      </c>
      <c r="L650" s="22">
        <v>7.6675000000000004</v>
      </c>
      <c r="M650" s="23">
        <v>15.3491</v>
      </c>
      <c r="N650" s="22">
        <v>3.1539000000000001</v>
      </c>
      <c r="O650" s="22">
        <v>3.0895999999999999</v>
      </c>
      <c r="P650" s="21">
        <v>13320.5</v>
      </c>
      <c r="Q650" s="20">
        <v>63.959000000000003</v>
      </c>
      <c r="R650" s="21"/>
    </row>
    <row r="651" spans="1:18">
      <c r="A651" s="14">
        <v>41122</v>
      </c>
      <c r="B651" s="15">
        <v>170.6</v>
      </c>
      <c r="C651" s="15">
        <v>174.6</v>
      </c>
      <c r="F651">
        <v>6</v>
      </c>
      <c r="G651">
        <v>12</v>
      </c>
      <c r="H651">
        <v>2015</v>
      </c>
      <c r="I651" s="41">
        <v>42167</v>
      </c>
      <c r="J651" s="38">
        <v>2526</v>
      </c>
      <c r="K651" s="21">
        <v>534.9</v>
      </c>
      <c r="L651" s="22">
        <v>7.6604999999999999</v>
      </c>
      <c r="M651" s="23">
        <v>15.402200000000001</v>
      </c>
      <c r="N651" s="22">
        <v>3.1547999999999998</v>
      </c>
      <c r="O651" s="22">
        <v>3.1185</v>
      </c>
      <c r="P651" s="21">
        <v>13332.5</v>
      </c>
      <c r="Q651" s="20">
        <v>64.099999999999994</v>
      </c>
      <c r="R651" s="21"/>
    </row>
    <row r="652" spans="1:18">
      <c r="A652" s="14">
        <v>41123</v>
      </c>
      <c r="B652" s="15">
        <v>171.25</v>
      </c>
      <c r="C652" s="15">
        <v>171.65</v>
      </c>
      <c r="F652">
        <v>6</v>
      </c>
      <c r="G652">
        <v>15</v>
      </c>
      <c r="H652">
        <v>2015</v>
      </c>
      <c r="I652" s="41">
        <v>42170</v>
      </c>
      <c r="J652" s="38">
        <v>2538</v>
      </c>
      <c r="K652" s="21">
        <v>534.88</v>
      </c>
      <c r="L652" s="22">
        <v>7.6555</v>
      </c>
      <c r="M652" s="23">
        <v>15.4343</v>
      </c>
      <c r="N652" s="22">
        <v>3.1619999999999999</v>
      </c>
      <c r="O652" s="22">
        <v>3.13</v>
      </c>
      <c r="P652" s="21">
        <v>13335</v>
      </c>
      <c r="Q652" s="20">
        <v>64.084999999999994</v>
      </c>
      <c r="R652" s="21"/>
    </row>
    <row r="653" spans="1:18">
      <c r="A653" s="14">
        <v>41124</v>
      </c>
      <c r="B653" s="15">
        <v>171.3</v>
      </c>
      <c r="C653" s="15">
        <v>173.8</v>
      </c>
      <c r="F653">
        <v>6</v>
      </c>
      <c r="G653">
        <v>16</v>
      </c>
      <c r="H653">
        <v>2015</v>
      </c>
      <c r="I653" s="41">
        <v>42171</v>
      </c>
      <c r="J653" s="38">
        <v>2538.6799999999998</v>
      </c>
      <c r="K653" s="21">
        <v>534.85</v>
      </c>
      <c r="L653" s="22">
        <v>7.6485000000000003</v>
      </c>
      <c r="M653" s="23">
        <v>15.3904</v>
      </c>
      <c r="N653" s="22">
        <v>3.1635</v>
      </c>
      <c r="O653" s="22">
        <v>3.0884999999999998</v>
      </c>
      <c r="P653" s="21">
        <v>13353</v>
      </c>
      <c r="Q653" s="20">
        <v>64.165999999999997</v>
      </c>
      <c r="R653" s="21"/>
    </row>
    <row r="654" spans="1:18">
      <c r="A654" s="14">
        <v>41127</v>
      </c>
      <c r="B654" s="15">
        <v>173</v>
      </c>
      <c r="C654" s="15">
        <v>175.5</v>
      </c>
      <c r="F654">
        <v>6</v>
      </c>
      <c r="G654">
        <v>17</v>
      </c>
      <c r="H654">
        <v>2015</v>
      </c>
      <c r="I654" s="41">
        <v>42172</v>
      </c>
      <c r="J654" s="38">
        <v>2550.5</v>
      </c>
      <c r="K654" s="21">
        <v>535.75</v>
      </c>
      <c r="L654" s="22">
        <v>7.6375000000000002</v>
      </c>
      <c r="M654" s="23">
        <v>15.257899999999999</v>
      </c>
      <c r="N654" s="22">
        <v>3.1646000000000001</v>
      </c>
      <c r="O654" s="22">
        <v>3.0569999999999999</v>
      </c>
      <c r="P654" s="21">
        <v>13367.5</v>
      </c>
      <c r="Q654" s="20">
        <v>64.010999999999996</v>
      </c>
      <c r="R654" s="21"/>
    </row>
    <row r="655" spans="1:18">
      <c r="A655" s="14">
        <v>41128</v>
      </c>
      <c r="B655" s="15">
        <v>172.4</v>
      </c>
      <c r="C655" s="15">
        <v>172.65</v>
      </c>
      <c r="F655">
        <v>6</v>
      </c>
      <c r="G655">
        <v>18</v>
      </c>
      <c r="H655">
        <v>2015</v>
      </c>
      <c r="I655" s="41">
        <v>42173</v>
      </c>
      <c r="J655" s="38">
        <v>2542.63</v>
      </c>
      <c r="K655" s="21">
        <v>534.87</v>
      </c>
      <c r="L655" s="22">
        <v>7.6375000000000002</v>
      </c>
      <c r="M655" s="23">
        <v>15.3423</v>
      </c>
      <c r="N655" s="22">
        <v>3.1558999999999999</v>
      </c>
      <c r="O655" s="22">
        <v>3.0605000000000002</v>
      </c>
      <c r="P655" s="21">
        <v>13305</v>
      </c>
      <c r="Q655" s="20">
        <v>63.576999999999998</v>
      </c>
      <c r="R655" s="21"/>
    </row>
    <row r="656" spans="1:18">
      <c r="A656" s="14">
        <v>41129</v>
      </c>
      <c r="B656" s="15">
        <v>169.9</v>
      </c>
      <c r="C656" s="15">
        <v>170.5</v>
      </c>
      <c r="F656">
        <v>6</v>
      </c>
      <c r="G656">
        <v>19</v>
      </c>
      <c r="H656">
        <v>2015</v>
      </c>
      <c r="I656" s="41">
        <v>42174</v>
      </c>
      <c r="J656" s="38">
        <v>2554.5</v>
      </c>
      <c r="K656" s="21">
        <v>534.38</v>
      </c>
      <c r="L656" s="22">
        <v>7.6375000000000002</v>
      </c>
      <c r="M656" s="23">
        <v>15.3467</v>
      </c>
      <c r="N656" s="22">
        <v>3.1669999999999998</v>
      </c>
      <c r="O656" s="22">
        <v>3.0975999999999999</v>
      </c>
      <c r="P656" s="21">
        <v>13331.5</v>
      </c>
      <c r="Q656" s="20">
        <v>63.5</v>
      </c>
      <c r="R656" s="21"/>
    </row>
    <row r="657" spans="1:18">
      <c r="A657" s="14">
        <v>41130</v>
      </c>
      <c r="B657" s="15">
        <v>166.25</v>
      </c>
      <c r="C657" s="15">
        <v>166.45</v>
      </c>
      <c r="F657">
        <v>6</v>
      </c>
      <c r="G657">
        <v>22</v>
      </c>
      <c r="H657">
        <v>2015</v>
      </c>
      <c r="I657" s="41">
        <v>42177</v>
      </c>
      <c r="J657" s="38">
        <v>2535.12</v>
      </c>
      <c r="K657" s="21">
        <v>538.12</v>
      </c>
      <c r="L657" s="22">
        <v>7.6375000000000002</v>
      </c>
      <c r="M657" s="23">
        <v>15.3415</v>
      </c>
      <c r="N657" s="22">
        <v>3.1736</v>
      </c>
      <c r="O657" s="22">
        <v>3.0813999999999999</v>
      </c>
      <c r="P657" s="21">
        <v>13310</v>
      </c>
      <c r="Q657" s="20">
        <v>63.523000000000003</v>
      </c>
      <c r="R657" s="21"/>
    </row>
    <row r="658" spans="1:18">
      <c r="A658" s="14">
        <v>41131</v>
      </c>
      <c r="B658" s="15">
        <v>164.2</v>
      </c>
      <c r="C658" s="15">
        <v>166.25</v>
      </c>
      <c r="F658">
        <v>6</v>
      </c>
      <c r="G658">
        <v>23</v>
      </c>
      <c r="H658">
        <v>2015</v>
      </c>
      <c r="I658" s="41">
        <v>42178</v>
      </c>
      <c r="J658" s="38">
        <v>2552.3200000000002</v>
      </c>
      <c r="K658" s="21">
        <v>533.87</v>
      </c>
      <c r="L658" s="22">
        <v>7.6265000000000001</v>
      </c>
      <c r="M658" s="23">
        <v>15.4003</v>
      </c>
      <c r="N658" s="22">
        <v>3.1802000000000001</v>
      </c>
      <c r="O658" s="22">
        <v>3.0760000000000001</v>
      </c>
      <c r="P658" s="21">
        <v>13255</v>
      </c>
      <c r="Q658" s="20">
        <v>63.606999999999999</v>
      </c>
      <c r="R658" s="21"/>
    </row>
    <row r="659" spans="1:18">
      <c r="A659" s="14">
        <v>41134</v>
      </c>
      <c r="B659" s="15">
        <v>162.94999999999999</v>
      </c>
      <c r="C659" s="15">
        <v>164.1</v>
      </c>
      <c r="F659">
        <v>6</v>
      </c>
      <c r="G659">
        <v>24</v>
      </c>
      <c r="H659">
        <v>2015</v>
      </c>
      <c r="I659" s="41">
        <v>42179</v>
      </c>
      <c r="J659" s="38">
        <v>2558.67</v>
      </c>
      <c r="K659" s="21">
        <v>533.75</v>
      </c>
      <c r="L659" s="22">
        <v>7.6204999999999998</v>
      </c>
      <c r="M659" s="23">
        <v>15.4999</v>
      </c>
      <c r="N659" s="22">
        <v>3.1724000000000001</v>
      </c>
      <c r="O659" s="22">
        <v>3.0979000000000001</v>
      </c>
      <c r="P659" s="21">
        <v>13303.5</v>
      </c>
      <c r="Q659" s="20">
        <v>63.526000000000003</v>
      </c>
      <c r="R659" s="21"/>
    </row>
    <row r="660" spans="1:18">
      <c r="A660" s="14">
        <v>41135</v>
      </c>
      <c r="B660" s="15">
        <v>162.4</v>
      </c>
      <c r="C660" s="15">
        <v>163.05000000000001</v>
      </c>
      <c r="F660">
        <v>6</v>
      </c>
      <c r="G660">
        <v>25</v>
      </c>
      <c r="H660">
        <v>2015</v>
      </c>
      <c r="I660" s="41">
        <v>42180</v>
      </c>
      <c r="J660" s="38">
        <v>2560.5700000000002</v>
      </c>
      <c r="K660" s="21">
        <v>533.77</v>
      </c>
      <c r="L660" s="22">
        <v>7.6185</v>
      </c>
      <c r="M660" s="23">
        <v>15.481999999999999</v>
      </c>
      <c r="N660" s="22">
        <v>3.1692</v>
      </c>
      <c r="O660" s="22">
        <v>3.1276999999999999</v>
      </c>
      <c r="P660" s="21">
        <v>13327.5</v>
      </c>
      <c r="Q660" s="20">
        <v>63.518000000000001</v>
      </c>
      <c r="R660" s="21"/>
    </row>
    <row r="661" spans="1:18">
      <c r="A661" s="14">
        <v>41136</v>
      </c>
      <c r="B661" s="15">
        <v>158.80000000000001</v>
      </c>
      <c r="C661" s="15">
        <v>161.9</v>
      </c>
      <c r="F661">
        <v>6</v>
      </c>
      <c r="G661">
        <v>26</v>
      </c>
      <c r="H661">
        <v>2015</v>
      </c>
      <c r="I661" s="41">
        <v>42181</v>
      </c>
      <c r="J661" s="38">
        <v>2584.37</v>
      </c>
      <c r="K661" s="21">
        <v>533.78</v>
      </c>
      <c r="L661" s="22">
        <v>7.6265000000000001</v>
      </c>
      <c r="M661" s="23">
        <v>15.555199999999999</v>
      </c>
      <c r="N661" s="22">
        <v>3.1677</v>
      </c>
      <c r="O661" s="22">
        <v>3.1295000000000002</v>
      </c>
      <c r="P661" s="21">
        <v>13310</v>
      </c>
      <c r="Q661" s="20">
        <v>63.451999999999998</v>
      </c>
      <c r="R661" s="21"/>
    </row>
    <row r="662" spans="1:18">
      <c r="A662" s="14">
        <v>41137</v>
      </c>
      <c r="B662" s="15">
        <v>157.80000000000001</v>
      </c>
      <c r="C662" s="15">
        <v>158.85</v>
      </c>
      <c r="F662">
        <v>6</v>
      </c>
      <c r="G662">
        <v>29</v>
      </c>
      <c r="H662">
        <v>2015</v>
      </c>
      <c r="I662" s="41">
        <v>42184</v>
      </c>
      <c r="J662" s="38">
        <v>2589.3200000000002</v>
      </c>
      <c r="K662" s="21">
        <v>533.6</v>
      </c>
      <c r="L662" s="22">
        <v>7.6265000000000001</v>
      </c>
      <c r="M662" s="23">
        <v>15.6884</v>
      </c>
      <c r="N662" s="22">
        <v>3.1779999999999999</v>
      </c>
      <c r="O662" s="22">
        <v>3.1177999999999999</v>
      </c>
      <c r="P662" s="21">
        <v>13345</v>
      </c>
      <c r="Q662" s="20">
        <v>63.707000000000001</v>
      </c>
      <c r="R662" s="21"/>
    </row>
    <row r="663" spans="1:18">
      <c r="A663" s="14">
        <v>41138</v>
      </c>
      <c r="B663" s="15">
        <v>157.4</v>
      </c>
      <c r="C663" s="15">
        <v>160.30000000000001</v>
      </c>
      <c r="F663">
        <v>6</v>
      </c>
      <c r="G663">
        <v>30</v>
      </c>
      <c r="H663">
        <v>2015</v>
      </c>
      <c r="I663" s="41">
        <v>42185</v>
      </c>
      <c r="J663" s="38">
        <v>2605.2199999999998</v>
      </c>
      <c r="K663" s="21">
        <v>533.70000000000005</v>
      </c>
      <c r="L663" s="22">
        <v>7.6265000000000001</v>
      </c>
      <c r="M663" s="23">
        <v>15.738899999999999</v>
      </c>
      <c r="N663" s="22">
        <v>3.1766000000000001</v>
      </c>
      <c r="O663" s="22">
        <v>3.1030000000000002</v>
      </c>
      <c r="P663" s="21">
        <v>13332.5</v>
      </c>
      <c r="Q663" s="20">
        <v>63.603999999999999</v>
      </c>
      <c r="R663" s="21"/>
    </row>
    <row r="664" spans="1:18">
      <c r="A664" s="14">
        <v>41141</v>
      </c>
      <c r="B664" s="15">
        <v>160.30000000000001</v>
      </c>
      <c r="C664" s="15">
        <v>161.19999999999999</v>
      </c>
      <c r="F664">
        <v>7</v>
      </c>
      <c r="G664">
        <v>1</v>
      </c>
      <c r="H664">
        <v>2015</v>
      </c>
      <c r="I664" s="41">
        <v>42186</v>
      </c>
      <c r="J664" s="38">
        <v>2639.78</v>
      </c>
      <c r="K664" s="21">
        <v>536.5</v>
      </c>
      <c r="L664" s="22">
        <v>7.6275000000000004</v>
      </c>
      <c r="M664" s="23">
        <v>15.781499999999999</v>
      </c>
      <c r="N664" s="22">
        <v>3.1775000000000002</v>
      </c>
      <c r="O664" s="22">
        <v>3.1497999999999999</v>
      </c>
      <c r="P664" s="21">
        <v>13326</v>
      </c>
      <c r="Q664" s="20">
        <v>63.55</v>
      </c>
      <c r="R664" s="21"/>
    </row>
    <row r="665" spans="1:18">
      <c r="A665" s="14">
        <v>41142</v>
      </c>
      <c r="B665" s="15">
        <v>160.55000000000001</v>
      </c>
      <c r="C665" s="15">
        <v>160.65</v>
      </c>
      <c r="F665">
        <v>7</v>
      </c>
      <c r="G665">
        <v>2</v>
      </c>
      <c r="H665">
        <v>2015</v>
      </c>
      <c r="I665" s="41">
        <v>42187</v>
      </c>
      <c r="J665" s="38">
        <v>2633.5</v>
      </c>
      <c r="K665" s="21">
        <v>533.48</v>
      </c>
      <c r="L665" s="22">
        <v>7.6254999999999997</v>
      </c>
      <c r="M665" s="23">
        <v>15.661799999999999</v>
      </c>
      <c r="N665" s="22">
        <v>3.1715</v>
      </c>
      <c r="O665" s="22">
        <v>3.0966999999999998</v>
      </c>
      <c r="P665" s="21">
        <v>13337.5</v>
      </c>
      <c r="Q665" s="20">
        <v>63.298999999999999</v>
      </c>
      <c r="R665" s="21"/>
    </row>
    <row r="666" spans="1:18">
      <c r="A666" s="14">
        <v>41143</v>
      </c>
      <c r="B666" s="15">
        <v>157.6</v>
      </c>
      <c r="C666" s="15">
        <v>158.94999999999999</v>
      </c>
      <c r="F666">
        <v>7</v>
      </c>
      <c r="G666">
        <v>3</v>
      </c>
      <c r="H666">
        <v>2015</v>
      </c>
      <c r="I666" s="41">
        <v>42188</v>
      </c>
      <c r="J666" s="38">
        <v>2636.5</v>
      </c>
      <c r="K666" s="21">
        <v>533.48</v>
      </c>
      <c r="L666" s="22">
        <v>7.6224999999999996</v>
      </c>
      <c r="M666" s="23">
        <v>15.7311</v>
      </c>
      <c r="N666" s="22">
        <v>3.1764999999999999</v>
      </c>
      <c r="O666" s="22">
        <v>3.1347</v>
      </c>
      <c r="P666" s="21">
        <v>13320</v>
      </c>
      <c r="Q666" s="20">
        <v>63.411000000000001</v>
      </c>
      <c r="R666" s="21"/>
    </row>
    <row r="667" spans="1:18">
      <c r="A667" s="14">
        <v>41144</v>
      </c>
      <c r="B667" s="15">
        <v>158.9</v>
      </c>
      <c r="C667" s="15">
        <v>160.25</v>
      </c>
      <c r="F667">
        <v>7</v>
      </c>
      <c r="G667">
        <v>6</v>
      </c>
      <c r="H667">
        <v>2015</v>
      </c>
      <c r="I667" s="41">
        <v>42191</v>
      </c>
      <c r="J667" s="38">
        <v>2672.5</v>
      </c>
      <c r="K667" s="21">
        <v>534.16999999999996</v>
      </c>
      <c r="L667" s="22">
        <v>7.6204999999999998</v>
      </c>
      <c r="M667" s="23">
        <v>15.712199999999999</v>
      </c>
      <c r="N667" s="22">
        <v>3.1701999999999999</v>
      </c>
      <c r="O667" s="22">
        <v>3.1391</v>
      </c>
      <c r="P667" s="21">
        <v>13349.5</v>
      </c>
      <c r="Q667" s="20">
        <v>63.264000000000003</v>
      </c>
      <c r="R667" s="21"/>
    </row>
    <row r="668" spans="1:18">
      <c r="A668" s="14">
        <v>41145</v>
      </c>
      <c r="B668" s="15">
        <v>160</v>
      </c>
      <c r="C668" s="15">
        <v>162.6</v>
      </c>
      <c r="F668">
        <v>7</v>
      </c>
      <c r="G668">
        <v>7</v>
      </c>
      <c r="H668">
        <v>2015</v>
      </c>
      <c r="I668" s="41">
        <v>42192</v>
      </c>
      <c r="J668" s="38">
        <v>2692.72</v>
      </c>
      <c r="K668" s="21">
        <v>533.42999999999995</v>
      </c>
      <c r="L668" s="22">
        <v>7.6275000000000004</v>
      </c>
      <c r="M668" s="23">
        <v>15.787800000000001</v>
      </c>
      <c r="N668" s="22">
        <v>3.1875</v>
      </c>
      <c r="O668" s="22">
        <v>3.1867000000000001</v>
      </c>
      <c r="P668" s="21">
        <v>13327.5</v>
      </c>
      <c r="Q668" s="20">
        <v>63.475999999999999</v>
      </c>
      <c r="R668" s="21"/>
    </row>
    <row r="669" spans="1:18">
      <c r="A669" s="14">
        <v>41148</v>
      </c>
      <c r="B669" s="15">
        <v>165</v>
      </c>
      <c r="C669" s="15">
        <v>167.05</v>
      </c>
      <c r="F669">
        <v>7</v>
      </c>
      <c r="G669">
        <v>8</v>
      </c>
      <c r="H669">
        <v>2015</v>
      </c>
      <c r="I669" s="41">
        <v>42193</v>
      </c>
      <c r="J669" s="38">
        <v>2683.47</v>
      </c>
      <c r="K669" s="21">
        <v>537.85</v>
      </c>
      <c r="L669" s="22">
        <v>7.65</v>
      </c>
      <c r="M669" s="23">
        <v>15.8482</v>
      </c>
      <c r="N669" s="22">
        <v>3.1846000000000001</v>
      </c>
      <c r="O669" s="22">
        <v>3.2345999999999999</v>
      </c>
      <c r="P669" s="21">
        <v>13345</v>
      </c>
      <c r="Q669" s="20">
        <v>63.459000000000003</v>
      </c>
      <c r="R669" s="21"/>
    </row>
    <row r="670" spans="1:18">
      <c r="A670" s="14">
        <v>41149</v>
      </c>
      <c r="B670" s="15">
        <v>165.75</v>
      </c>
      <c r="C670" s="15">
        <v>167.75</v>
      </c>
      <c r="F670">
        <v>7</v>
      </c>
      <c r="G670">
        <v>9</v>
      </c>
      <c r="H670">
        <v>2015</v>
      </c>
      <c r="I670" s="41">
        <v>42194</v>
      </c>
      <c r="J670" s="38">
        <v>2674.86</v>
      </c>
      <c r="K670" s="21">
        <v>536.45000000000005</v>
      </c>
      <c r="L670" s="22">
        <v>7.6425000000000001</v>
      </c>
      <c r="M670" s="23">
        <v>15.816000000000001</v>
      </c>
      <c r="N670" s="22">
        <v>3.1657999999999999</v>
      </c>
      <c r="O670" s="22">
        <v>3.2202999999999999</v>
      </c>
      <c r="P670" s="21">
        <v>13336</v>
      </c>
      <c r="Q670" s="20">
        <v>63.317999999999998</v>
      </c>
      <c r="R670" s="21"/>
    </row>
    <row r="671" spans="1:18">
      <c r="A671" s="14">
        <v>41150</v>
      </c>
      <c r="B671" s="15">
        <v>166.25</v>
      </c>
      <c r="C671" s="15">
        <v>166.4</v>
      </c>
      <c r="F671">
        <v>7</v>
      </c>
      <c r="G671">
        <v>10</v>
      </c>
      <c r="H671">
        <v>2015</v>
      </c>
      <c r="I671" s="41">
        <v>42195</v>
      </c>
      <c r="J671" s="38">
        <v>2673.5</v>
      </c>
      <c r="K671" s="21">
        <v>533.25</v>
      </c>
      <c r="L671" s="22">
        <v>7.6464999999999996</v>
      </c>
      <c r="M671" s="23">
        <v>15.714</v>
      </c>
      <c r="N671" s="22">
        <v>3.1793999999999998</v>
      </c>
      <c r="O671" s="22">
        <v>3.1593</v>
      </c>
      <c r="P671" s="21">
        <v>13313.5</v>
      </c>
      <c r="Q671" s="20">
        <v>63.357999999999997</v>
      </c>
      <c r="R671" s="21"/>
    </row>
    <row r="672" spans="1:18">
      <c r="A672" s="14">
        <v>41151</v>
      </c>
      <c r="B672" s="15">
        <v>162.5</v>
      </c>
      <c r="C672" s="15">
        <v>163</v>
      </c>
      <c r="F672">
        <v>7</v>
      </c>
      <c r="G672">
        <v>13</v>
      </c>
      <c r="H672">
        <v>2015</v>
      </c>
      <c r="I672" s="41">
        <v>42198</v>
      </c>
      <c r="J672" s="38">
        <v>2686</v>
      </c>
      <c r="K672" s="21">
        <v>533.22</v>
      </c>
      <c r="L672" s="22">
        <v>7.6574999999999998</v>
      </c>
      <c r="M672" s="23">
        <v>15.702299999999999</v>
      </c>
      <c r="N672" s="22">
        <v>3.1736</v>
      </c>
      <c r="O672" s="22">
        <v>3.1347999999999998</v>
      </c>
      <c r="P672" s="21">
        <v>13300</v>
      </c>
      <c r="Q672" s="20">
        <v>63.45</v>
      </c>
      <c r="R672" s="21"/>
    </row>
    <row r="673" spans="1:18">
      <c r="A673" s="14">
        <v>41152</v>
      </c>
      <c r="B673" s="15">
        <v>162.80000000000001</v>
      </c>
      <c r="C673" s="15">
        <v>164.55</v>
      </c>
      <c r="F673">
        <v>7</v>
      </c>
      <c r="G673">
        <v>14</v>
      </c>
      <c r="H673">
        <v>2015</v>
      </c>
      <c r="I673" s="41">
        <v>42199</v>
      </c>
      <c r="J673" s="38">
        <v>2684.5</v>
      </c>
      <c r="K673" s="21">
        <v>533.29999999999995</v>
      </c>
      <c r="L673" s="22">
        <v>7.6654999999999998</v>
      </c>
      <c r="M673" s="23">
        <v>15.6655</v>
      </c>
      <c r="N673" s="22">
        <v>3.1775000000000002</v>
      </c>
      <c r="O673" s="22">
        <v>3.1398999999999999</v>
      </c>
      <c r="P673" s="21">
        <v>13335</v>
      </c>
      <c r="Q673" s="20">
        <v>63.280999999999999</v>
      </c>
      <c r="R673" s="21"/>
    </row>
    <row r="674" spans="1:18">
      <c r="A674" s="14">
        <v>41156</v>
      </c>
      <c r="B674" s="15">
        <v>164.45</v>
      </c>
      <c r="C674" s="15">
        <v>164.9</v>
      </c>
      <c r="F674">
        <v>7</v>
      </c>
      <c r="G674">
        <v>15</v>
      </c>
      <c r="H674">
        <v>2015</v>
      </c>
      <c r="I674" s="41">
        <v>42200</v>
      </c>
      <c r="J674" s="38">
        <v>2716.32</v>
      </c>
      <c r="K674" s="21">
        <v>533.29999999999995</v>
      </c>
      <c r="L674" s="22">
        <v>7.6615000000000002</v>
      </c>
      <c r="M674" s="23">
        <v>15.782</v>
      </c>
      <c r="N674" s="22">
        <v>3.1842000000000001</v>
      </c>
      <c r="O674" s="22">
        <v>3.1391</v>
      </c>
      <c r="P674" s="21">
        <v>13344.5</v>
      </c>
      <c r="Q674" s="20">
        <v>63.506999999999998</v>
      </c>
      <c r="R674" s="21"/>
    </row>
    <row r="675" spans="1:18">
      <c r="A675" s="14">
        <v>41157</v>
      </c>
      <c r="B675" s="15">
        <v>160.80000000000001</v>
      </c>
      <c r="C675" s="15">
        <v>160.44999999999999</v>
      </c>
      <c r="F675">
        <v>7</v>
      </c>
      <c r="G675">
        <v>16</v>
      </c>
      <c r="H675">
        <v>2015</v>
      </c>
      <c r="I675" s="41">
        <v>42201</v>
      </c>
      <c r="J675" s="38">
        <v>2738.88</v>
      </c>
      <c r="K675" s="21">
        <v>533.29999999999995</v>
      </c>
      <c r="L675" s="22">
        <v>7.6535000000000002</v>
      </c>
      <c r="M675" s="23">
        <v>15.8323</v>
      </c>
      <c r="N675" s="22">
        <v>3.1770999999999998</v>
      </c>
      <c r="O675" s="22">
        <v>3.1587000000000001</v>
      </c>
      <c r="P675" s="21">
        <v>13344.5</v>
      </c>
      <c r="Q675" s="20">
        <v>63.463000000000001</v>
      </c>
      <c r="R675" s="21"/>
    </row>
    <row r="676" spans="1:18">
      <c r="A676" s="14">
        <v>41158</v>
      </c>
      <c r="B676" s="15">
        <v>157.1</v>
      </c>
      <c r="C676" s="15">
        <v>157.9</v>
      </c>
      <c r="F676">
        <v>7</v>
      </c>
      <c r="G676">
        <v>17</v>
      </c>
      <c r="H676">
        <v>2015</v>
      </c>
      <c r="I676" s="41">
        <v>42202</v>
      </c>
      <c r="J676" s="38">
        <v>2759.3</v>
      </c>
      <c r="K676" s="21">
        <v>533.29999999999995</v>
      </c>
      <c r="L676" s="22">
        <v>7.6475</v>
      </c>
      <c r="M676" s="23">
        <v>15.928800000000001</v>
      </c>
      <c r="N676" s="22">
        <v>3.1831</v>
      </c>
      <c r="O676" s="22">
        <v>3.1880999999999999</v>
      </c>
      <c r="P676" s="21">
        <v>13344.5</v>
      </c>
      <c r="Q676" s="20">
        <v>63.491999999999997</v>
      </c>
      <c r="R676" s="21"/>
    </row>
    <row r="677" spans="1:18">
      <c r="A677" s="14">
        <v>41159</v>
      </c>
      <c r="B677" s="15">
        <v>161.75</v>
      </c>
      <c r="C677" s="15">
        <v>162.69999999999999</v>
      </c>
      <c r="F677">
        <v>7</v>
      </c>
      <c r="G677">
        <v>20</v>
      </c>
      <c r="H677">
        <v>2015</v>
      </c>
      <c r="I677" s="41">
        <v>42205</v>
      </c>
      <c r="J677" s="38">
        <v>2761.78</v>
      </c>
      <c r="K677" s="21">
        <v>533.25</v>
      </c>
      <c r="L677" s="22">
        <v>7.6494999999999997</v>
      </c>
      <c r="M677" s="23">
        <v>16.007999999999999</v>
      </c>
      <c r="N677" s="22">
        <v>3.1793</v>
      </c>
      <c r="O677" s="22">
        <v>3.1981000000000002</v>
      </c>
      <c r="P677" s="21">
        <v>13344.5</v>
      </c>
      <c r="Q677" s="20">
        <v>63.6</v>
      </c>
      <c r="R677" s="21"/>
    </row>
    <row r="678" spans="1:18">
      <c r="A678" s="14">
        <v>41162</v>
      </c>
      <c r="B678" s="15">
        <v>173.5</v>
      </c>
      <c r="C678" s="15">
        <v>173.4</v>
      </c>
      <c r="F678">
        <v>7</v>
      </c>
      <c r="G678">
        <v>21</v>
      </c>
      <c r="H678">
        <v>2015</v>
      </c>
      <c r="I678" s="41">
        <v>42206</v>
      </c>
      <c r="J678" s="38">
        <v>2769.5</v>
      </c>
      <c r="K678" s="21">
        <v>533.35</v>
      </c>
      <c r="L678" s="22">
        <v>7.6565000000000003</v>
      </c>
      <c r="M678" s="23">
        <v>16.004799999999999</v>
      </c>
      <c r="N678" s="22">
        <v>3.1821000000000002</v>
      </c>
      <c r="O678" s="22">
        <v>3.1717</v>
      </c>
      <c r="P678" s="21">
        <v>13344.5</v>
      </c>
      <c r="Q678" s="20">
        <v>63.582999999999998</v>
      </c>
      <c r="R678" s="21"/>
    </row>
    <row r="679" spans="1:18">
      <c r="A679" s="14">
        <v>41163</v>
      </c>
      <c r="B679" s="15">
        <v>176.7</v>
      </c>
      <c r="C679" s="15">
        <v>177.25</v>
      </c>
      <c r="F679">
        <v>7</v>
      </c>
      <c r="G679">
        <v>22</v>
      </c>
      <c r="H679">
        <v>2015</v>
      </c>
      <c r="I679" s="41">
        <v>42207</v>
      </c>
      <c r="J679" s="38">
        <v>2790</v>
      </c>
      <c r="K679" s="21">
        <v>535.4</v>
      </c>
      <c r="L679" s="22">
        <v>7.6615000000000002</v>
      </c>
      <c r="M679" s="23">
        <v>16.094999999999999</v>
      </c>
      <c r="N679" s="22">
        <v>3.1875</v>
      </c>
      <c r="O679" s="22">
        <v>3.2239</v>
      </c>
      <c r="P679" s="21">
        <v>13377.5</v>
      </c>
      <c r="Q679" s="20">
        <v>63.570999999999998</v>
      </c>
      <c r="R679" s="21"/>
    </row>
    <row r="680" spans="1:18">
      <c r="A680" s="14">
        <v>41164</v>
      </c>
      <c r="B680" s="15">
        <v>178.05</v>
      </c>
      <c r="C680" s="15">
        <v>177.15</v>
      </c>
      <c r="F680">
        <v>7</v>
      </c>
      <c r="G680">
        <v>23</v>
      </c>
      <c r="H680">
        <v>2015</v>
      </c>
      <c r="I680" s="41">
        <v>42208</v>
      </c>
      <c r="J680" s="38">
        <v>2833.82</v>
      </c>
      <c r="K680" s="21">
        <v>535.38</v>
      </c>
      <c r="L680" s="22">
        <v>7.6615000000000002</v>
      </c>
      <c r="M680" s="23">
        <v>16.216200000000001</v>
      </c>
      <c r="N680" s="22">
        <v>3.1945000000000001</v>
      </c>
      <c r="O680" s="22">
        <v>3.286</v>
      </c>
      <c r="P680" s="21">
        <v>13422.5</v>
      </c>
      <c r="Q680" s="20">
        <v>63.920999999999999</v>
      </c>
      <c r="R680" s="21"/>
    </row>
    <row r="681" spans="1:18">
      <c r="A681" s="14">
        <v>41165</v>
      </c>
      <c r="B681" s="15">
        <v>177.5</v>
      </c>
      <c r="C681" s="15">
        <v>178.5</v>
      </c>
      <c r="F681">
        <v>7</v>
      </c>
      <c r="G681">
        <v>24</v>
      </c>
      <c r="H681">
        <v>2015</v>
      </c>
      <c r="I681" s="41">
        <v>42209</v>
      </c>
      <c r="J681" s="38">
        <v>2852.72</v>
      </c>
      <c r="K681" s="21">
        <v>536.25</v>
      </c>
      <c r="L681" s="22">
        <v>7.6695000000000002</v>
      </c>
      <c r="M681" s="23">
        <v>16.269500000000001</v>
      </c>
      <c r="N681" s="22">
        <v>3.1856</v>
      </c>
      <c r="O681" s="22">
        <v>3.3555999999999999</v>
      </c>
      <c r="P681" s="21">
        <v>13445</v>
      </c>
      <c r="Q681" s="20">
        <v>64.105999999999995</v>
      </c>
      <c r="R681" s="21"/>
    </row>
    <row r="682" spans="1:18">
      <c r="A682" s="14">
        <v>41166</v>
      </c>
      <c r="B682" s="15">
        <v>180.05</v>
      </c>
      <c r="C682" s="15">
        <v>180.8</v>
      </c>
      <c r="F682">
        <v>7</v>
      </c>
      <c r="G682">
        <v>27</v>
      </c>
      <c r="H682">
        <v>2015</v>
      </c>
      <c r="I682" s="41">
        <v>42212</v>
      </c>
      <c r="J682" s="38">
        <v>2859.71</v>
      </c>
      <c r="K682" s="21">
        <v>538.16</v>
      </c>
      <c r="L682" s="22">
        <v>7.6684999999999999</v>
      </c>
      <c r="M682" s="23">
        <v>16.291699999999999</v>
      </c>
      <c r="N682" s="22">
        <v>3.1785000000000001</v>
      </c>
      <c r="O682" s="22">
        <v>3.3639999999999999</v>
      </c>
      <c r="P682" s="21">
        <v>13459</v>
      </c>
      <c r="Q682" s="20">
        <v>64.201999999999998</v>
      </c>
      <c r="R682" s="21"/>
    </row>
    <row r="683" spans="1:18">
      <c r="A683" s="14">
        <v>41169</v>
      </c>
      <c r="B683" s="15">
        <v>174.2</v>
      </c>
      <c r="C683" s="15">
        <v>175.05</v>
      </c>
      <c r="F683">
        <v>7</v>
      </c>
      <c r="G683">
        <v>28</v>
      </c>
      <c r="H683">
        <v>2015</v>
      </c>
      <c r="I683" s="41">
        <v>42213</v>
      </c>
      <c r="J683" s="38">
        <v>2862.5</v>
      </c>
      <c r="K683" s="21">
        <v>533.29999999999995</v>
      </c>
      <c r="L683" s="22">
        <v>7.6704999999999997</v>
      </c>
      <c r="M683" s="23">
        <v>16.273499999999999</v>
      </c>
      <c r="N683" s="22">
        <v>3.1863000000000001</v>
      </c>
      <c r="O683" s="22">
        <v>3.3576999999999999</v>
      </c>
      <c r="P683" s="21">
        <v>13462.5</v>
      </c>
      <c r="Q683" s="20">
        <v>63.798999999999999</v>
      </c>
      <c r="R683" s="21"/>
    </row>
    <row r="684" spans="1:18">
      <c r="A684" s="14">
        <v>41170</v>
      </c>
      <c r="B684" s="15">
        <v>172</v>
      </c>
      <c r="C684" s="15">
        <v>177.4</v>
      </c>
      <c r="F684">
        <v>7</v>
      </c>
      <c r="G684">
        <v>29</v>
      </c>
      <c r="H684">
        <v>2015</v>
      </c>
      <c r="I684" s="41">
        <v>42214</v>
      </c>
      <c r="J684" s="38">
        <v>2849.86</v>
      </c>
      <c r="K684" s="21">
        <v>536.15</v>
      </c>
      <c r="L684" s="22">
        <v>7.6695000000000002</v>
      </c>
      <c r="M684" s="23">
        <v>16.289000000000001</v>
      </c>
      <c r="N684" s="22">
        <v>3.1880000000000002</v>
      </c>
      <c r="O684" s="22">
        <v>3.3308</v>
      </c>
      <c r="P684" s="21">
        <v>13456</v>
      </c>
      <c r="Q684" s="20">
        <v>63.820999999999998</v>
      </c>
      <c r="R684" s="21"/>
    </row>
    <row r="685" spans="1:18">
      <c r="A685" s="14">
        <v>41171</v>
      </c>
      <c r="B685" s="15">
        <v>172.35</v>
      </c>
      <c r="C685" s="15">
        <v>174.4</v>
      </c>
      <c r="F685">
        <v>7</v>
      </c>
      <c r="G685">
        <v>30</v>
      </c>
      <c r="H685">
        <v>2015</v>
      </c>
      <c r="I685" s="41">
        <v>42215</v>
      </c>
      <c r="J685" s="38">
        <v>2877.33</v>
      </c>
      <c r="K685" s="21">
        <v>533.38</v>
      </c>
      <c r="L685" s="22">
        <v>7.6585000000000001</v>
      </c>
      <c r="M685" s="23">
        <v>16.2681</v>
      </c>
      <c r="N685" s="22">
        <v>3.1983999999999999</v>
      </c>
      <c r="O685" s="22">
        <v>3.3715000000000002</v>
      </c>
      <c r="P685" s="21">
        <v>13467.5</v>
      </c>
      <c r="Q685" s="20">
        <v>64.138000000000005</v>
      </c>
      <c r="R685" s="21"/>
    </row>
    <row r="686" spans="1:18">
      <c r="A686" s="14">
        <v>41172</v>
      </c>
      <c r="B686" s="15">
        <v>168.3</v>
      </c>
      <c r="C686" s="15">
        <v>168.6</v>
      </c>
      <c r="F686">
        <v>7</v>
      </c>
      <c r="G686">
        <v>31</v>
      </c>
      <c r="H686">
        <v>2015</v>
      </c>
      <c r="I686" s="41">
        <v>42216</v>
      </c>
      <c r="J686" s="38">
        <v>2880</v>
      </c>
      <c r="K686" s="21">
        <v>533.4</v>
      </c>
      <c r="L686" s="22">
        <v>7.6505000000000001</v>
      </c>
      <c r="M686" s="23">
        <v>16.110600000000002</v>
      </c>
      <c r="N686" s="22">
        <v>3.1861999999999999</v>
      </c>
      <c r="O686" s="22">
        <v>3.4211999999999998</v>
      </c>
      <c r="P686" s="21">
        <v>13527.5</v>
      </c>
      <c r="Q686" s="20">
        <v>63.988</v>
      </c>
      <c r="R686" s="21"/>
    </row>
    <row r="687" spans="1:18">
      <c r="A687" s="14">
        <v>41173</v>
      </c>
      <c r="B687" s="15">
        <v>168.6</v>
      </c>
      <c r="C687" s="15">
        <v>173.3</v>
      </c>
      <c r="F687">
        <v>8</v>
      </c>
      <c r="G687">
        <v>3</v>
      </c>
      <c r="H687">
        <v>2015</v>
      </c>
      <c r="I687" s="41">
        <v>42219</v>
      </c>
      <c r="J687" s="38">
        <v>2918</v>
      </c>
      <c r="K687" s="21">
        <v>533.29999999999995</v>
      </c>
      <c r="L687" s="22">
        <v>7.6444999999999999</v>
      </c>
      <c r="M687" s="23">
        <v>16.1797</v>
      </c>
      <c r="N687" s="22">
        <v>3.1867999999999999</v>
      </c>
      <c r="O687" s="22">
        <v>3.4514</v>
      </c>
      <c r="P687" s="21">
        <v>13500</v>
      </c>
      <c r="Q687" s="20">
        <v>64.177000000000007</v>
      </c>
      <c r="R687" s="21"/>
    </row>
    <row r="688" spans="1:18">
      <c r="A688" s="14">
        <v>41176</v>
      </c>
      <c r="B688" s="15">
        <v>167.65</v>
      </c>
      <c r="C688" s="15">
        <v>172.3</v>
      </c>
      <c r="F688">
        <v>8</v>
      </c>
      <c r="G688">
        <v>4</v>
      </c>
      <c r="H688">
        <v>2015</v>
      </c>
      <c r="I688" s="41">
        <v>42220</v>
      </c>
      <c r="J688" s="38">
        <v>2924.5</v>
      </c>
      <c r="K688" s="21">
        <v>533.38</v>
      </c>
      <c r="L688" s="22">
        <v>7.6464999999999996</v>
      </c>
      <c r="M688" s="23">
        <v>16.2958</v>
      </c>
      <c r="N688" s="22">
        <v>3.19</v>
      </c>
      <c r="O688" s="22">
        <v>3.4712000000000001</v>
      </c>
      <c r="P688" s="21">
        <v>13485.5</v>
      </c>
      <c r="Q688" s="20">
        <v>63.798000000000002</v>
      </c>
      <c r="R688" s="21"/>
    </row>
    <row r="689" spans="1:18">
      <c r="A689" s="14">
        <v>41177</v>
      </c>
      <c r="B689" s="15">
        <v>171.55</v>
      </c>
      <c r="C689" s="15">
        <v>173.65</v>
      </c>
      <c r="F689">
        <v>8</v>
      </c>
      <c r="G689">
        <v>5</v>
      </c>
      <c r="H689">
        <v>2015</v>
      </c>
      <c r="I689" s="41">
        <v>42221</v>
      </c>
      <c r="J689" s="38">
        <v>2951.35</v>
      </c>
      <c r="K689" s="21">
        <v>533.29999999999995</v>
      </c>
      <c r="L689" s="22">
        <v>7.6464999999999996</v>
      </c>
      <c r="M689" s="23">
        <v>16.375800000000002</v>
      </c>
      <c r="N689" s="22">
        <v>3.2067000000000001</v>
      </c>
      <c r="O689" s="22">
        <v>3.4866999999999999</v>
      </c>
      <c r="P689" s="21">
        <v>13514</v>
      </c>
      <c r="Q689" s="20">
        <v>63.692</v>
      </c>
      <c r="R689" s="21"/>
    </row>
    <row r="690" spans="1:18">
      <c r="A690" s="14">
        <v>41178</v>
      </c>
      <c r="B690" s="15">
        <v>169</v>
      </c>
      <c r="C690" s="15">
        <v>169.45</v>
      </c>
      <c r="F690">
        <v>8</v>
      </c>
      <c r="G690">
        <v>6</v>
      </c>
      <c r="H690">
        <v>2015</v>
      </c>
      <c r="I690" s="41">
        <v>42222</v>
      </c>
      <c r="J690" s="38">
        <v>2939.32</v>
      </c>
      <c r="K690" s="21">
        <v>536.35</v>
      </c>
      <c r="L690" s="22">
        <v>7.6425000000000001</v>
      </c>
      <c r="M690" s="23">
        <v>16.324000000000002</v>
      </c>
      <c r="N690" s="22">
        <v>3.2046999999999999</v>
      </c>
      <c r="O690" s="22">
        <v>3.5360999999999998</v>
      </c>
      <c r="P690" s="21">
        <v>13541.5</v>
      </c>
      <c r="Q690" s="20">
        <v>63.722000000000001</v>
      </c>
      <c r="R690" s="21"/>
    </row>
    <row r="691" spans="1:18">
      <c r="A691" s="14">
        <v>41179</v>
      </c>
      <c r="B691" s="15">
        <v>169.45</v>
      </c>
      <c r="C691" s="15">
        <v>174.3</v>
      </c>
      <c r="F691">
        <v>8</v>
      </c>
      <c r="G691">
        <v>7</v>
      </c>
      <c r="H691">
        <v>2015</v>
      </c>
      <c r="I691" s="41">
        <v>42223</v>
      </c>
      <c r="J691" s="38">
        <v>2938.36</v>
      </c>
      <c r="K691" s="21">
        <v>535.95000000000005</v>
      </c>
      <c r="L691" s="22">
        <v>7.6395</v>
      </c>
      <c r="M691" s="23">
        <v>16.1538</v>
      </c>
      <c r="N691" s="22">
        <v>3.2017000000000002</v>
      </c>
      <c r="O691" s="22">
        <v>3.5070999999999999</v>
      </c>
      <c r="P691" s="21">
        <v>13539.5</v>
      </c>
      <c r="Q691" s="20">
        <v>63.738999999999997</v>
      </c>
      <c r="R691" s="21"/>
    </row>
    <row r="692" spans="1:18">
      <c r="A692" s="14">
        <v>41180</v>
      </c>
      <c r="B692" s="15">
        <v>170.25</v>
      </c>
      <c r="C692" s="15">
        <v>173.5</v>
      </c>
      <c r="F692">
        <v>8</v>
      </c>
      <c r="G692">
        <v>10</v>
      </c>
      <c r="H692">
        <v>2015</v>
      </c>
      <c r="I692" s="41">
        <v>42226</v>
      </c>
      <c r="J692" s="38">
        <v>2908.05</v>
      </c>
      <c r="K692" s="21">
        <v>533.29999999999995</v>
      </c>
      <c r="L692" s="22">
        <v>7.6395</v>
      </c>
      <c r="M692" s="23">
        <v>16.162400000000002</v>
      </c>
      <c r="N692" s="22">
        <v>3.2035</v>
      </c>
      <c r="O692" s="22">
        <v>3.4344999999999999</v>
      </c>
      <c r="P692" s="21">
        <v>13549</v>
      </c>
      <c r="Q692" s="20">
        <v>63.773000000000003</v>
      </c>
      <c r="R692" s="21"/>
    </row>
    <row r="693" spans="1:18">
      <c r="A693" s="14">
        <v>41183</v>
      </c>
      <c r="B693" s="15">
        <v>172.15</v>
      </c>
      <c r="C693" s="15">
        <v>178.05</v>
      </c>
      <c r="F693">
        <v>8</v>
      </c>
      <c r="G693">
        <v>11</v>
      </c>
      <c r="H693">
        <v>2015</v>
      </c>
      <c r="I693" s="41">
        <v>42227</v>
      </c>
      <c r="J693" s="38">
        <v>2943.07</v>
      </c>
      <c r="K693" s="21">
        <v>535.87</v>
      </c>
      <c r="L693" s="22">
        <v>7.6544999999999996</v>
      </c>
      <c r="M693" s="23">
        <v>16.314499999999999</v>
      </c>
      <c r="N693" s="22">
        <v>3.2191999999999998</v>
      </c>
      <c r="O693" s="22">
        <v>3.4750000000000001</v>
      </c>
      <c r="P693" s="21">
        <v>13600</v>
      </c>
      <c r="Q693" s="20">
        <v>64.331999999999994</v>
      </c>
      <c r="R693" s="21"/>
    </row>
    <row r="694" spans="1:18">
      <c r="A694" s="14">
        <v>41184</v>
      </c>
      <c r="B694" s="15">
        <v>177.95</v>
      </c>
      <c r="C694" s="15">
        <v>183.65</v>
      </c>
      <c r="F694">
        <v>8</v>
      </c>
      <c r="G694">
        <v>12</v>
      </c>
      <c r="H694">
        <v>2015</v>
      </c>
      <c r="I694" s="41">
        <v>42228</v>
      </c>
      <c r="J694" s="38">
        <v>2940.5</v>
      </c>
      <c r="K694" s="21">
        <v>533.29999999999995</v>
      </c>
      <c r="L694" s="22">
        <v>7.6555</v>
      </c>
      <c r="M694" s="23">
        <v>16.282299999999999</v>
      </c>
      <c r="N694" s="22">
        <v>3.2254999999999998</v>
      </c>
      <c r="O694" s="22">
        <v>3.4809999999999999</v>
      </c>
      <c r="P694" s="21">
        <v>13785</v>
      </c>
      <c r="Q694" s="20">
        <v>64.855000000000004</v>
      </c>
      <c r="R694" s="21"/>
    </row>
    <row r="695" spans="1:18">
      <c r="A695" s="14">
        <v>41185</v>
      </c>
      <c r="B695" s="15">
        <v>180.5</v>
      </c>
      <c r="C695" s="15">
        <v>181.05</v>
      </c>
      <c r="F695">
        <v>8</v>
      </c>
      <c r="G695">
        <v>13</v>
      </c>
      <c r="H695">
        <v>2015</v>
      </c>
      <c r="I695" s="41">
        <v>42229</v>
      </c>
      <c r="J695" s="38">
        <v>2983.03</v>
      </c>
      <c r="K695" s="21">
        <v>533.4</v>
      </c>
      <c r="L695" s="22">
        <v>7.6494999999999997</v>
      </c>
      <c r="M695" s="23">
        <v>16.4026</v>
      </c>
      <c r="N695" s="22">
        <v>3.2311999999999999</v>
      </c>
      <c r="O695" s="22">
        <v>3.5194000000000001</v>
      </c>
      <c r="P695" s="21">
        <v>13745</v>
      </c>
      <c r="Q695" s="20">
        <v>65.203000000000003</v>
      </c>
      <c r="R695" s="21"/>
    </row>
    <row r="696" spans="1:18">
      <c r="A696" s="14">
        <v>41186</v>
      </c>
      <c r="B696" s="15">
        <v>173.4</v>
      </c>
      <c r="C696" s="15">
        <v>175.05</v>
      </c>
      <c r="F696">
        <v>8</v>
      </c>
      <c r="G696">
        <v>14</v>
      </c>
      <c r="H696">
        <v>2015</v>
      </c>
      <c r="I696" s="41">
        <v>42230</v>
      </c>
      <c r="J696" s="38">
        <v>2991.75</v>
      </c>
      <c r="K696" s="21">
        <v>533.33000000000004</v>
      </c>
      <c r="L696" s="22">
        <v>7.6444999999999999</v>
      </c>
      <c r="M696" s="23">
        <v>16.375599999999999</v>
      </c>
      <c r="N696" s="22">
        <v>3.2414000000000001</v>
      </c>
      <c r="O696" s="22">
        <v>3.4845000000000002</v>
      </c>
      <c r="P696" s="21">
        <v>13787.5</v>
      </c>
      <c r="Q696" s="20">
        <v>65.129000000000005</v>
      </c>
      <c r="R696" s="21"/>
    </row>
    <row r="697" spans="1:18">
      <c r="A697" s="14">
        <v>41187</v>
      </c>
      <c r="B697" s="15">
        <v>167.7</v>
      </c>
      <c r="C697" s="15">
        <v>168.1</v>
      </c>
      <c r="F697">
        <v>8</v>
      </c>
      <c r="G697">
        <v>17</v>
      </c>
      <c r="H697">
        <v>2015</v>
      </c>
      <c r="I697" s="41">
        <v>42233</v>
      </c>
      <c r="J697" s="38">
        <v>2997.85</v>
      </c>
      <c r="K697" s="21">
        <v>532.25</v>
      </c>
      <c r="L697" s="22">
        <v>7.6444999999999999</v>
      </c>
      <c r="M697" s="23">
        <v>16.427199999999999</v>
      </c>
      <c r="N697" s="22">
        <v>3.2435999999999998</v>
      </c>
      <c r="O697" s="22">
        <v>3.4811999999999999</v>
      </c>
      <c r="P697" s="21">
        <v>13787.5</v>
      </c>
      <c r="Q697" s="20">
        <v>65.436000000000007</v>
      </c>
      <c r="R697" s="21"/>
    </row>
    <row r="698" spans="1:18">
      <c r="A698" s="14">
        <v>41190</v>
      </c>
      <c r="B698" s="15">
        <v>166.35</v>
      </c>
      <c r="C698" s="15">
        <v>169.1</v>
      </c>
      <c r="F698">
        <v>8</v>
      </c>
      <c r="G698">
        <v>18</v>
      </c>
      <c r="H698">
        <v>2015</v>
      </c>
      <c r="I698" s="41">
        <v>42234</v>
      </c>
      <c r="J698" s="38">
        <v>3003.8</v>
      </c>
      <c r="K698" s="21">
        <v>532.5</v>
      </c>
      <c r="L698" s="22">
        <v>7.6375000000000002</v>
      </c>
      <c r="M698" s="23">
        <v>16.400200000000002</v>
      </c>
      <c r="N698" s="22">
        <v>3.2509000000000001</v>
      </c>
      <c r="O698" s="22">
        <v>3.4681000000000002</v>
      </c>
      <c r="P698" s="21">
        <v>13818</v>
      </c>
      <c r="Q698" s="20">
        <v>65.453999999999994</v>
      </c>
      <c r="R698" s="21"/>
    </row>
    <row r="699" spans="1:18">
      <c r="A699" s="14">
        <v>41191</v>
      </c>
      <c r="B699" s="15">
        <v>164.1</v>
      </c>
      <c r="C699" s="15">
        <v>165.3</v>
      </c>
      <c r="F699">
        <v>8</v>
      </c>
      <c r="G699">
        <v>19</v>
      </c>
      <c r="H699">
        <v>2015</v>
      </c>
      <c r="I699" s="41">
        <v>42235</v>
      </c>
      <c r="J699" s="38">
        <v>3024.6</v>
      </c>
      <c r="K699" s="21">
        <v>532.35</v>
      </c>
      <c r="L699" s="22">
        <v>7.6345000000000001</v>
      </c>
      <c r="M699" s="23">
        <v>16.6188</v>
      </c>
      <c r="N699" s="22">
        <v>3.2614999999999998</v>
      </c>
      <c r="O699" s="22">
        <v>3.4931999999999999</v>
      </c>
      <c r="P699" s="21">
        <v>13842.5</v>
      </c>
      <c r="Q699" s="20">
        <v>65.108999999999995</v>
      </c>
      <c r="R699" s="21"/>
    </row>
    <row r="700" spans="1:18">
      <c r="A700" s="14">
        <v>41192</v>
      </c>
      <c r="B700" s="15">
        <v>163.30000000000001</v>
      </c>
      <c r="C700" s="15">
        <v>163.44999999999999</v>
      </c>
      <c r="F700">
        <v>8</v>
      </c>
      <c r="G700">
        <v>20</v>
      </c>
      <c r="H700">
        <v>2015</v>
      </c>
      <c r="I700" s="41">
        <v>42236</v>
      </c>
      <c r="J700" s="38">
        <v>3061.99</v>
      </c>
      <c r="K700" s="21">
        <v>534.73</v>
      </c>
      <c r="L700" s="22">
        <v>7.6325000000000003</v>
      </c>
      <c r="M700" s="23">
        <v>16.802299999999999</v>
      </c>
      <c r="N700" s="22">
        <v>3.2685</v>
      </c>
      <c r="O700" s="22">
        <v>3.4569999999999999</v>
      </c>
      <c r="P700" s="21">
        <v>13870</v>
      </c>
      <c r="Q700" s="20">
        <v>65.433000000000007</v>
      </c>
      <c r="R700" s="21"/>
    </row>
    <row r="701" spans="1:18">
      <c r="A701" s="14">
        <v>41193</v>
      </c>
      <c r="B701" s="15">
        <v>160.30000000000001</v>
      </c>
      <c r="C701" s="15">
        <v>160.75</v>
      </c>
      <c r="F701">
        <v>8</v>
      </c>
      <c r="G701">
        <v>21</v>
      </c>
      <c r="H701">
        <v>2015</v>
      </c>
      <c r="I701" s="41">
        <v>42237</v>
      </c>
      <c r="J701" s="38">
        <v>3107.65</v>
      </c>
      <c r="K701" s="21">
        <v>532.29999999999995</v>
      </c>
      <c r="L701" s="22">
        <v>7.6304999999999996</v>
      </c>
      <c r="M701" s="23">
        <v>16.9877</v>
      </c>
      <c r="N701" s="22">
        <v>3.2742</v>
      </c>
      <c r="O701" s="22">
        <v>3.5007000000000001</v>
      </c>
      <c r="P701" s="21">
        <v>13942.5</v>
      </c>
      <c r="Q701" s="20">
        <v>66.034000000000006</v>
      </c>
      <c r="R701" s="21"/>
    </row>
    <row r="702" spans="1:18">
      <c r="A702" s="14">
        <v>41194</v>
      </c>
      <c r="B702" s="15">
        <v>159.69999999999999</v>
      </c>
      <c r="C702" s="15">
        <v>161.69999999999999</v>
      </c>
      <c r="F702">
        <v>8</v>
      </c>
      <c r="G702">
        <v>24</v>
      </c>
      <c r="H702">
        <v>2015</v>
      </c>
      <c r="I702" s="41">
        <v>42240</v>
      </c>
      <c r="J702" s="38">
        <v>3238.66</v>
      </c>
      <c r="K702" s="21">
        <v>532.28</v>
      </c>
      <c r="L702" s="22">
        <v>7.6295000000000002</v>
      </c>
      <c r="M702" s="23">
        <v>17.203199999999999</v>
      </c>
      <c r="N702" s="22">
        <v>3.2856999999999998</v>
      </c>
      <c r="O702" s="22">
        <v>3.5533999999999999</v>
      </c>
      <c r="P702" s="21">
        <v>14047</v>
      </c>
      <c r="Q702" s="20">
        <v>66.813999999999993</v>
      </c>
      <c r="R702" s="21"/>
    </row>
    <row r="703" spans="1:18">
      <c r="A703" s="14">
        <v>41197</v>
      </c>
      <c r="B703" s="15">
        <v>159.5</v>
      </c>
      <c r="C703" s="15">
        <v>160.85</v>
      </c>
      <c r="F703">
        <v>8</v>
      </c>
      <c r="G703">
        <v>25</v>
      </c>
      <c r="H703">
        <v>2015</v>
      </c>
      <c r="I703" s="41">
        <v>42241</v>
      </c>
      <c r="J703" s="38">
        <v>3208.49</v>
      </c>
      <c r="K703" s="21">
        <v>532.29999999999995</v>
      </c>
      <c r="L703" s="22">
        <v>7.6395</v>
      </c>
      <c r="M703" s="23">
        <v>17.207999999999998</v>
      </c>
      <c r="N703" s="22">
        <v>3.2887</v>
      </c>
      <c r="O703" s="22">
        <v>3.6175000000000002</v>
      </c>
      <c r="P703" s="21">
        <v>14065</v>
      </c>
      <c r="Q703" s="20">
        <v>66.28</v>
      </c>
      <c r="R703" s="21"/>
    </row>
    <row r="704" spans="1:18">
      <c r="A704" s="14">
        <v>41198</v>
      </c>
      <c r="B704" s="15">
        <v>160.35</v>
      </c>
      <c r="C704" s="15">
        <v>162.80000000000001</v>
      </c>
      <c r="F704">
        <v>8</v>
      </c>
      <c r="G704">
        <v>26</v>
      </c>
      <c r="H704">
        <v>2015</v>
      </c>
      <c r="I704" s="41">
        <v>42242</v>
      </c>
      <c r="J704" s="38">
        <v>3261.5</v>
      </c>
      <c r="K704" s="21">
        <v>532.33000000000004</v>
      </c>
      <c r="L704" s="22">
        <v>7.6555</v>
      </c>
      <c r="M704" s="23">
        <v>17.005800000000001</v>
      </c>
      <c r="N704" s="22">
        <v>3.306</v>
      </c>
      <c r="O704" s="22">
        <v>3.5962999999999998</v>
      </c>
      <c r="P704" s="21">
        <v>14122.5</v>
      </c>
      <c r="Q704" s="20">
        <v>66.004000000000005</v>
      </c>
      <c r="R704" s="21"/>
    </row>
    <row r="705" spans="1:18">
      <c r="A705" s="14">
        <v>41199</v>
      </c>
      <c r="B705" s="15">
        <v>159.6</v>
      </c>
      <c r="C705" s="15">
        <v>161.5</v>
      </c>
      <c r="F705">
        <v>8</v>
      </c>
      <c r="G705">
        <v>27</v>
      </c>
      <c r="H705">
        <v>2015</v>
      </c>
      <c r="I705" s="41">
        <v>42243</v>
      </c>
      <c r="J705" s="38">
        <v>3162</v>
      </c>
      <c r="K705" s="21">
        <v>532.38</v>
      </c>
      <c r="L705" s="22">
        <v>7.6725000000000003</v>
      </c>
      <c r="M705" s="23">
        <v>16.877600000000001</v>
      </c>
      <c r="N705" s="22">
        <v>3.2772999999999999</v>
      </c>
      <c r="O705" s="22">
        <v>3.5510000000000002</v>
      </c>
      <c r="P705" s="21">
        <v>13992.5</v>
      </c>
      <c r="Q705" s="20">
        <v>65.968000000000004</v>
      </c>
      <c r="R705" s="21"/>
    </row>
    <row r="706" spans="1:18">
      <c r="A706" s="14">
        <v>41200</v>
      </c>
      <c r="B706" s="15">
        <v>157.15</v>
      </c>
      <c r="C706" s="15">
        <v>158.6</v>
      </c>
      <c r="F706">
        <v>8</v>
      </c>
      <c r="G706">
        <v>28</v>
      </c>
      <c r="H706">
        <v>2015</v>
      </c>
      <c r="I706" s="41">
        <v>42244</v>
      </c>
      <c r="J706" s="38">
        <v>3075</v>
      </c>
      <c r="K706" s="21">
        <v>532.4</v>
      </c>
      <c r="L706" s="22">
        <v>7.6795</v>
      </c>
      <c r="M706" s="23">
        <v>16.751899999999999</v>
      </c>
      <c r="N706" s="22">
        <v>3.226</v>
      </c>
      <c r="O706" s="22">
        <v>3.5823</v>
      </c>
      <c r="P706" s="21">
        <v>13982.5</v>
      </c>
      <c r="Q706" s="20">
        <v>66.150000000000006</v>
      </c>
      <c r="R706" s="21"/>
    </row>
    <row r="707" spans="1:18">
      <c r="A707" s="14">
        <v>41201</v>
      </c>
      <c r="B707" s="15">
        <v>158.15</v>
      </c>
      <c r="C707" s="15">
        <v>161.65</v>
      </c>
      <c r="F707">
        <v>8</v>
      </c>
      <c r="G707">
        <v>31</v>
      </c>
      <c r="H707">
        <v>2015</v>
      </c>
      <c r="I707" s="41">
        <v>42247</v>
      </c>
      <c r="J707" s="38">
        <v>3054.6</v>
      </c>
      <c r="K707" s="21">
        <v>534</v>
      </c>
      <c r="L707" s="22">
        <v>7.6814999999999998</v>
      </c>
      <c r="M707" s="23">
        <v>16.752199999999998</v>
      </c>
      <c r="N707" s="22">
        <v>3.2366999999999999</v>
      </c>
      <c r="O707" s="22">
        <v>3.6193</v>
      </c>
      <c r="P707" s="21">
        <v>14050</v>
      </c>
      <c r="Q707" s="20">
        <v>66.412000000000006</v>
      </c>
      <c r="R707" s="21"/>
    </row>
    <row r="708" spans="1:18">
      <c r="A708" s="14">
        <v>41204</v>
      </c>
      <c r="B708" s="15">
        <v>161.4</v>
      </c>
      <c r="C708" s="15">
        <v>164.5</v>
      </c>
      <c r="F708">
        <v>9</v>
      </c>
      <c r="G708">
        <v>1</v>
      </c>
      <c r="H708">
        <v>2015</v>
      </c>
      <c r="I708" s="41">
        <v>42248</v>
      </c>
      <c r="J708" s="38">
        <v>3115.5</v>
      </c>
      <c r="K708" s="21">
        <v>534.12</v>
      </c>
      <c r="L708" s="22">
        <v>7.6935000000000002</v>
      </c>
      <c r="M708" s="23">
        <v>16.969200000000001</v>
      </c>
      <c r="N708" s="22">
        <v>3.2513999999999998</v>
      </c>
      <c r="O708" s="22">
        <v>3.702</v>
      </c>
      <c r="P708" s="21">
        <v>14097.5</v>
      </c>
      <c r="Q708" s="20">
        <v>66.382999999999996</v>
      </c>
      <c r="R708" s="21"/>
    </row>
    <row r="709" spans="1:18">
      <c r="A709" s="14">
        <v>41205</v>
      </c>
      <c r="B709" s="15">
        <v>160.25</v>
      </c>
      <c r="C709" s="15">
        <v>160.85</v>
      </c>
      <c r="F709">
        <v>9</v>
      </c>
      <c r="G709">
        <v>2</v>
      </c>
      <c r="H709">
        <v>2015</v>
      </c>
      <c r="I709" s="41">
        <v>42249</v>
      </c>
      <c r="J709" s="38">
        <v>3171</v>
      </c>
      <c r="K709" s="21">
        <v>534.35</v>
      </c>
      <c r="L709" s="22">
        <v>7.7074999999999996</v>
      </c>
      <c r="M709" s="23">
        <v>16.8262</v>
      </c>
      <c r="N709" s="22">
        <v>3.2534999999999998</v>
      </c>
      <c r="O709" s="22">
        <v>3.7591000000000001</v>
      </c>
      <c r="P709" s="21">
        <v>14130</v>
      </c>
      <c r="Q709" s="20">
        <v>66.201999999999998</v>
      </c>
      <c r="R709" s="21"/>
    </row>
    <row r="710" spans="1:18">
      <c r="A710" s="14">
        <v>41206</v>
      </c>
      <c r="B710" s="15">
        <v>158.69999999999999</v>
      </c>
      <c r="C710" s="15">
        <v>159.80000000000001</v>
      </c>
      <c r="F710">
        <v>9</v>
      </c>
      <c r="G710">
        <v>3</v>
      </c>
      <c r="H710">
        <v>2015</v>
      </c>
      <c r="I710" s="41">
        <v>42250</v>
      </c>
      <c r="J710" s="38">
        <v>3109</v>
      </c>
      <c r="K710" s="21">
        <v>534.45000000000005</v>
      </c>
      <c r="L710" s="22">
        <v>7.7305000000000001</v>
      </c>
      <c r="M710" s="23">
        <v>16.802</v>
      </c>
      <c r="N710" s="22">
        <v>3.2046000000000001</v>
      </c>
      <c r="O710" s="22">
        <v>3.738</v>
      </c>
      <c r="P710" s="21">
        <v>14169</v>
      </c>
      <c r="Q710" s="20">
        <v>66.099999999999994</v>
      </c>
      <c r="R710" s="21"/>
    </row>
    <row r="711" spans="1:18">
      <c r="A711" s="14">
        <v>41207</v>
      </c>
      <c r="B711" s="15">
        <v>159.19999999999999</v>
      </c>
      <c r="C711" s="15">
        <v>161</v>
      </c>
      <c r="F711">
        <v>9</v>
      </c>
      <c r="G711">
        <v>4</v>
      </c>
      <c r="H711">
        <v>2015</v>
      </c>
      <c r="I711" s="41">
        <v>42251</v>
      </c>
      <c r="J711" s="38">
        <v>3127.5</v>
      </c>
      <c r="K711" s="21">
        <v>536.04999999999995</v>
      </c>
      <c r="L711" s="22">
        <v>7.7394999999999996</v>
      </c>
      <c r="M711" s="23">
        <v>16.948599999999999</v>
      </c>
      <c r="N711" s="22">
        <v>3.2149999999999999</v>
      </c>
      <c r="O711" s="22">
        <v>3.8441999999999998</v>
      </c>
      <c r="P711" s="21">
        <v>14165</v>
      </c>
      <c r="Q711" s="20">
        <v>66.685000000000002</v>
      </c>
      <c r="R711" s="21"/>
    </row>
    <row r="712" spans="1:18">
      <c r="A712" s="14">
        <v>41208</v>
      </c>
      <c r="B712" s="15">
        <v>156.9</v>
      </c>
      <c r="C712" s="15">
        <v>157.75</v>
      </c>
      <c r="F712">
        <v>9</v>
      </c>
      <c r="G712">
        <v>7</v>
      </c>
      <c r="H712">
        <v>2015</v>
      </c>
      <c r="I712" s="41">
        <v>42254</v>
      </c>
      <c r="J712" s="38">
        <v>3142</v>
      </c>
      <c r="K712" s="21">
        <v>536.02</v>
      </c>
      <c r="L712" s="22">
        <v>7.7394999999999996</v>
      </c>
      <c r="M712" s="23">
        <v>16.991700000000002</v>
      </c>
      <c r="N712" s="22">
        <v>3.2288000000000001</v>
      </c>
      <c r="O712" s="22">
        <v>3.8386999999999998</v>
      </c>
      <c r="P712" s="21">
        <v>14247.5</v>
      </c>
      <c r="Q712" s="20">
        <v>66.885999999999996</v>
      </c>
      <c r="R712" s="21"/>
    </row>
    <row r="713" spans="1:18">
      <c r="A713" s="14">
        <v>41211</v>
      </c>
      <c r="B713" s="15">
        <v>156.30000000000001</v>
      </c>
      <c r="C713" s="15">
        <v>161.65</v>
      </c>
      <c r="F713">
        <v>9</v>
      </c>
      <c r="G713">
        <v>8</v>
      </c>
      <c r="H713">
        <v>2015</v>
      </c>
      <c r="I713" s="41">
        <v>42255</v>
      </c>
      <c r="J713" s="38">
        <v>3114.5</v>
      </c>
      <c r="K713" s="21">
        <v>538.89</v>
      </c>
      <c r="L713" s="22">
        <v>7.7279999999999998</v>
      </c>
      <c r="M713" s="23">
        <v>16.825299999999999</v>
      </c>
      <c r="N713" s="22">
        <v>3.2240000000000002</v>
      </c>
      <c r="O713" s="22">
        <v>3.82</v>
      </c>
      <c r="P713" s="21">
        <v>14280</v>
      </c>
      <c r="Q713" s="20">
        <v>66.293999999999997</v>
      </c>
      <c r="R713" s="21"/>
    </row>
    <row r="714" spans="1:18">
      <c r="A714" s="14">
        <v>41212</v>
      </c>
      <c r="B714" s="15">
        <v>156.55000000000001</v>
      </c>
      <c r="C714" s="15">
        <v>157.19999999999999</v>
      </c>
      <c r="F714">
        <v>9</v>
      </c>
      <c r="G714">
        <v>9</v>
      </c>
      <c r="H714">
        <v>2015</v>
      </c>
      <c r="I714" s="41">
        <v>42256</v>
      </c>
      <c r="J714" s="38">
        <v>3113.5</v>
      </c>
      <c r="K714" s="21">
        <v>536.44000000000005</v>
      </c>
      <c r="L714" s="22">
        <v>7.7244999999999999</v>
      </c>
      <c r="M714" s="23">
        <v>16.823499999999999</v>
      </c>
      <c r="N714" s="22">
        <v>3.2189000000000001</v>
      </c>
      <c r="O714" s="22">
        <v>3.7783000000000002</v>
      </c>
      <c r="P714" s="21">
        <v>14261.5</v>
      </c>
      <c r="Q714" s="20">
        <v>66.619</v>
      </c>
      <c r="R714" s="21"/>
    </row>
    <row r="715" spans="1:18">
      <c r="A715" s="14">
        <v>41213</v>
      </c>
      <c r="B715" s="15">
        <v>154.4</v>
      </c>
      <c r="C715" s="15">
        <v>154.65</v>
      </c>
      <c r="F715">
        <v>9</v>
      </c>
      <c r="G715">
        <v>10</v>
      </c>
      <c r="H715">
        <v>2015</v>
      </c>
      <c r="I715" s="41">
        <v>42257</v>
      </c>
      <c r="J715" s="38">
        <v>3050</v>
      </c>
      <c r="K715" s="21">
        <v>536.20000000000005</v>
      </c>
      <c r="L715" s="22">
        <v>7.7214999999999998</v>
      </c>
      <c r="M715" s="23">
        <v>16.776299999999999</v>
      </c>
      <c r="N715" s="22">
        <v>3.2155999999999998</v>
      </c>
      <c r="O715" s="22">
        <v>3.8498000000000001</v>
      </c>
      <c r="P715" s="21">
        <v>14332.5</v>
      </c>
      <c r="Q715" s="20">
        <v>66.299000000000007</v>
      </c>
      <c r="R715" s="21"/>
    </row>
    <row r="716" spans="1:18">
      <c r="A716" s="14">
        <v>41214</v>
      </c>
      <c r="B716" s="15">
        <v>152.80000000000001</v>
      </c>
      <c r="C716" s="15">
        <v>153.44999999999999</v>
      </c>
      <c r="F716">
        <v>9</v>
      </c>
      <c r="G716">
        <v>11</v>
      </c>
      <c r="H716">
        <v>2015</v>
      </c>
      <c r="I716" s="41">
        <v>42258</v>
      </c>
      <c r="J716" s="38">
        <v>3043</v>
      </c>
      <c r="K716" s="21">
        <v>534.85</v>
      </c>
      <c r="L716" s="22">
        <v>7.7164999999999999</v>
      </c>
      <c r="M716" s="23">
        <v>16.837599999999998</v>
      </c>
      <c r="N716" s="22">
        <v>3.2147000000000001</v>
      </c>
      <c r="O716" s="22">
        <v>3.8704999999999998</v>
      </c>
      <c r="P716" s="21">
        <v>14330</v>
      </c>
      <c r="Q716" s="20">
        <v>66.241</v>
      </c>
      <c r="R716" s="21"/>
    </row>
    <row r="717" spans="1:18">
      <c r="A717" s="14">
        <v>41215</v>
      </c>
      <c r="B717" s="15">
        <v>153.15</v>
      </c>
      <c r="C717" s="15">
        <v>154.69999999999999</v>
      </c>
      <c r="F717">
        <v>9</v>
      </c>
      <c r="G717">
        <v>14</v>
      </c>
      <c r="H717">
        <v>2015</v>
      </c>
      <c r="I717" s="41">
        <v>42261</v>
      </c>
      <c r="J717" s="38">
        <v>3027.5</v>
      </c>
      <c r="K717" s="21">
        <v>534.35</v>
      </c>
      <c r="L717" s="22">
        <v>7.6929999999999996</v>
      </c>
      <c r="M717" s="23">
        <v>16.754000000000001</v>
      </c>
      <c r="N717" s="22">
        <v>3.2105000000000001</v>
      </c>
      <c r="O717" s="22">
        <v>3.8149999999999999</v>
      </c>
      <c r="P717" s="21">
        <v>14347.5</v>
      </c>
      <c r="Q717" s="20">
        <v>66.260999999999996</v>
      </c>
      <c r="R717" s="21"/>
    </row>
    <row r="718" spans="1:18">
      <c r="A718" s="14">
        <v>41218</v>
      </c>
      <c r="B718" s="15">
        <v>150.80000000000001</v>
      </c>
      <c r="C718" s="15">
        <v>150.9</v>
      </c>
      <c r="F718">
        <v>9</v>
      </c>
      <c r="G718">
        <v>15</v>
      </c>
      <c r="H718">
        <v>2015</v>
      </c>
      <c r="I718" s="41">
        <v>42262</v>
      </c>
      <c r="J718" s="38">
        <v>3026.35</v>
      </c>
      <c r="K718" s="21">
        <v>532.54999999999995</v>
      </c>
      <c r="L718" s="22">
        <v>7.7004999999999999</v>
      </c>
      <c r="M718" s="23">
        <v>16.690100000000001</v>
      </c>
      <c r="N718" s="22">
        <v>3.2088000000000001</v>
      </c>
      <c r="O718" s="22">
        <v>3.8633999999999999</v>
      </c>
      <c r="P718" s="21">
        <v>14407.5</v>
      </c>
      <c r="Q718" s="20">
        <v>66.447000000000003</v>
      </c>
      <c r="R718" s="21"/>
    </row>
    <row r="719" spans="1:18">
      <c r="A719" s="14">
        <v>41219</v>
      </c>
      <c r="B719" s="15">
        <v>150.35</v>
      </c>
      <c r="C719" s="15">
        <v>150.6</v>
      </c>
      <c r="F719">
        <v>9</v>
      </c>
      <c r="G719">
        <v>16</v>
      </c>
      <c r="H719">
        <v>2015</v>
      </c>
      <c r="I719" s="41">
        <v>42263</v>
      </c>
      <c r="J719" s="38">
        <v>2967</v>
      </c>
      <c r="K719" s="21">
        <v>532.52</v>
      </c>
      <c r="L719" s="22">
        <v>7.6814999999999998</v>
      </c>
      <c r="M719" s="23">
        <v>16.5517</v>
      </c>
      <c r="N719" s="22">
        <v>3.2014</v>
      </c>
      <c r="O719" s="22">
        <v>3.8289</v>
      </c>
      <c r="P719" s="21">
        <v>14455</v>
      </c>
      <c r="Q719" s="20">
        <v>66.218999999999994</v>
      </c>
      <c r="R719" s="21"/>
    </row>
    <row r="720" spans="1:18">
      <c r="A720" s="14">
        <v>41220</v>
      </c>
      <c r="B720" s="15">
        <v>150.69999999999999</v>
      </c>
      <c r="C720" s="15">
        <v>151.19999999999999</v>
      </c>
      <c r="F720">
        <v>9</v>
      </c>
      <c r="G720">
        <v>17</v>
      </c>
      <c r="H720">
        <v>2015</v>
      </c>
      <c r="I720" s="41">
        <v>42264</v>
      </c>
      <c r="J720" s="38">
        <v>2981.5</v>
      </c>
      <c r="K720" s="21">
        <v>532.38</v>
      </c>
      <c r="L720" s="22">
        <v>7.6654999999999998</v>
      </c>
      <c r="M720" s="23">
        <v>16.600000000000001</v>
      </c>
      <c r="N720" s="22">
        <v>3.1937000000000002</v>
      </c>
      <c r="O720" s="22">
        <v>3.899</v>
      </c>
      <c r="P720" s="21">
        <v>14457.5</v>
      </c>
      <c r="Q720" s="20">
        <v>66.070999999999998</v>
      </c>
      <c r="R720" s="21"/>
    </row>
    <row r="721" spans="1:18">
      <c r="A721" s="14">
        <v>41221</v>
      </c>
      <c r="B721" s="15">
        <v>149.9</v>
      </c>
      <c r="C721" s="15">
        <v>151.4</v>
      </c>
      <c r="F721">
        <v>9</v>
      </c>
      <c r="G721">
        <v>18</v>
      </c>
      <c r="H721">
        <v>2015</v>
      </c>
      <c r="I721" s="41">
        <v>42265</v>
      </c>
      <c r="J721" s="38">
        <v>2984.5</v>
      </c>
      <c r="K721" s="21">
        <v>532.35</v>
      </c>
      <c r="L721" s="22">
        <v>7.6544999999999996</v>
      </c>
      <c r="M721" s="23">
        <v>16.653500000000001</v>
      </c>
      <c r="N721" s="22">
        <v>3.1899000000000002</v>
      </c>
      <c r="O721" s="22">
        <v>3.9459</v>
      </c>
      <c r="P721" s="21">
        <v>14375</v>
      </c>
      <c r="Q721" s="20">
        <v>65.867999999999995</v>
      </c>
      <c r="R721" s="21"/>
    </row>
    <row r="722" spans="1:18">
      <c r="A722" s="14">
        <v>41222</v>
      </c>
      <c r="B722" s="15">
        <v>149.6</v>
      </c>
      <c r="C722" s="15">
        <v>149.9</v>
      </c>
      <c r="F722">
        <v>9</v>
      </c>
      <c r="G722">
        <v>21</v>
      </c>
      <c r="H722">
        <v>2015</v>
      </c>
      <c r="I722" s="41">
        <v>42268</v>
      </c>
      <c r="J722" s="38">
        <v>3009.47</v>
      </c>
      <c r="K722" s="21">
        <v>532.29999999999995</v>
      </c>
      <c r="L722" s="22">
        <v>7.6505000000000001</v>
      </c>
      <c r="M722" s="23">
        <v>16.6632</v>
      </c>
      <c r="N722" s="22">
        <v>3.2006000000000001</v>
      </c>
      <c r="O722" s="22">
        <v>3.9857</v>
      </c>
      <c r="P722" s="21">
        <v>14455</v>
      </c>
      <c r="Q722" s="20">
        <v>65.691000000000003</v>
      </c>
      <c r="R722" s="21"/>
    </row>
    <row r="723" spans="1:18">
      <c r="A723" s="14">
        <v>41225</v>
      </c>
      <c r="B723" s="15">
        <v>151.15</v>
      </c>
      <c r="C723" s="15">
        <v>153.05000000000001</v>
      </c>
      <c r="F723">
        <v>9</v>
      </c>
      <c r="G723">
        <v>22</v>
      </c>
      <c r="H723">
        <v>2015</v>
      </c>
      <c r="I723" s="41">
        <v>42269</v>
      </c>
      <c r="J723" s="38">
        <v>3071.35</v>
      </c>
      <c r="K723" s="21">
        <v>538.4</v>
      </c>
      <c r="L723" s="22">
        <v>7.6485000000000003</v>
      </c>
      <c r="M723" s="23">
        <v>16.889099999999999</v>
      </c>
      <c r="N723" s="22">
        <v>3.2185000000000001</v>
      </c>
      <c r="O723" s="22">
        <v>4.0496999999999996</v>
      </c>
      <c r="P723" s="21">
        <v>14497.5</v>
      </c>
      <c r="Q723" s="20">
        <v>65.91</v>
      </c>
      <c r="R723" s="21"/>
    </row>
    <row r="724" spans="1:18">
      <c r="A724" s="14">
        <v>41226</v>
      </c>
      <c r="B724" s="15">
        <v>145.75</v>
      </c>
      <c r="C724" s="15">
        <v>146</v>
      </c>
      <c r="F724">
        <v>9</v>
      </c>
      <c r="G724">
        <v>23</v>
      </c>
      <c r="H724">
        <v>2015</v>
      </c>
      <c r="I724" s="41">
        <v>42270</v>
      </c>
      <c r="J724" s="38">
        <v>3119</v>
      </c>
      <c r="K724" s="21">
        <v>538.79999999999995</v>
      </c>
      <c r="L724" s="22">
        <v>7.6559999999999997</v>
      </c>
      <c r="M724" s="23">
        <v>17.115500000000001</v>
      </c>
      <c r="N724" s="22">
        <v>3.2191000000000001</v>
      </c>
      <c r="O724" s="22">
        <v>4.1779999999999999</v>
      </c>
      <c r="P724" s="21">
        <v>14647.5</v>
      </c>
      <c r="Q724" s="20">
        <v>66.183999999999997</v>
      </c>
      <c r="R724" s="21"/>
    </row>
    <row r="725" spans="1:18">
      <c r="A725" s="14">
        <v>41227</v>
      </c>
      <c r="B725" s="15">
        <v>146.5</v>
      </c>
      <c r="C725" s="15">
        <v>147.69999999999999</v>
      </c>
      <c r="F725">
        <v>9</v>
      </c>
      <c r="G725">
        <v>24</v>
      </c>
      <c r="H725">
        <v>2015</v>
      </c>
      <c r="I725" s="41">
        <v>42271</v>
      </c>
      <c r="J725" s="38">
        <v>3105.5</v>
      </c>
      <c r="K725" s="21">
        <v>532.38</v>
      </c>
      <c r="L725" s="22">
        <v>7.6775000000000002</v>
      </c>
      <c r="M725" s="23">
        <v>16.870100000000001</v>
      </c>
      <c r="N725" s="22">
        <v>3.2073999999999998</v>
      </c>
      <c r="O725" s="22">
        <v>3.9367999999999999</v>
      </c>
      <c r="P725" s="21">
        <v>14647.5</v>
      </c>
      <c r="Q725" s="20">
        <v>66.11</v>
      </c>
      <c r="R725" s="21"/>
    </row>
    <row r="726" spans="1:18">
      <c r="A726" s="14">
        <v>41228</v>
      </c>
      <c r="B726" s="15">
        <v>144.5</v>
      </c>
      <c r="C726" s="15">
        <v>149</v>
      </c>
      <c r="F726">
        <v>9</v>
      </c>
      <c r="G726">
        <v>25</v>
      </c>
      <c r="H726">
        <v>2015</v>
      </c>
      <c r="I726" s="41">
        <v>42272</v>
      </c>
      <c r="J726" s="38">
        <v>3073.75</v>
      </c>
      <c r="K726" s="21">
        <v>532.63</v>
      </c>
      <c r="L726" s="22">
        <v>7.6905000000000001</v>
      </c>
      <c r="M726" s="23">
        <v>16.9725</v>
      </c>
      <c r="N726" s="22">
        <v>3.2227999999999999</v>
      </c>
      <c r="O726" s="22">
        <v>3.9777</v>
      </c>
      <c r="P726" s="21">
        <v>14685</v>
      </c>
      <c r="Q726" s="20">
        <v>66.17</v>
      </c>
      <c r="R726" s="21"/>
    </row>
    <row r="727" spans="1:18">
      <c r="A727" s="14">
        <v>41229</v>
      </c>
      <c r="B727" s="15">
        <v>146.5</v>
      </c>
      <c r="C727" s="15">
        <v>147.30000000000001</v>
      </c>
      <c r="F727">
        <v>9</v>
      </c>
      <c r="G727">
        <v>28</v>
      </c>
      <c r="H727">
        <v>2015</v>
      </c>
      <c r="I727" s="41">
        <v>42275</v>
      </c>
      <c r="J727" s="38">
        <v>3122.35</v>
      </c>
      <c r="K727" s="21">
        <v>536.15</v>
      </c>
      <c r="L727" s="22">
        <v>7.6814999999999998</v>
      </c>
      <c r="M727" s="23">
        <v>17.073799999999999</v>
      </c>
      <c r="N727" s="22">
        <v>3.2427999999999999</v>
      </c>
      <c r="O727" s="22">
        <v>4.1082999999999998</v>
      </c>
      <c r="P727" s="21">
        <v>14697.5</v>
      </c>
      <c r="Q727" s="20">
        <v>66.266999999999996</v>
      </c>
      <c r="R727" s="21"/>
    </row>
    <row r="728" spans="1:18">
      <c r="A728" s="14">
        <v>41232</v>
      </c>
      <c r="B728" s="15">
        <v>147.55000000000001</v>
      </c>
      <c r="C728" s="15">
        <v>151.4</v>
      </c>
      <c r="F728">
        <v>9</v>
      </c>
      <c r="G728">
        <v>29</v>
      </c>
      <c r="H728">
        <v>2015</v>
      </c>
      <c r="I728" s="41">
        <v>42276</v>
      </c>
      <c r="J728" s="38">
        <v>3109.57</v>
      </c>
      <c r="K728" s="21">
        <v>532.70000000000005</v>
      </c>
      <c r="L728" s="22">
        <v>7.6725000000000003</v>
      </c>
      <c r="M728" s="23">
        <v>17.025300000000001</v>
      </c>
      <c r="N728" s="22">
        <v>3.2378</v>
      </c>
      <c r="O728" s="22">
        <v>4.0633999999999997</v>
      </c>
      <c r="P728" s="21">
        <v>14682.5</v>
      </c>
      <c r="Q728" s="20">
        <v>65.837000000000003</v>
      </c>
      <c r="R728" s="21"/>
    </row>
    <row r="729" spans="1:18">
      <c r="A729" s="14">
        <v>41233</v>
      </c>
      <c r="B729" s="15">
        <v>143.19999999999999</v>
      </c>
      <c r="C729" s="15">
        <v>143.75</v>
      </c>
      <c r="F729">
        <v>9</v>
      </c>
      <c r="G729">
        <v>30</v>
      </c>
      <c r="H729">
        <v>2015</v>
      </c>
      <c r="I729" s="41">
        <v>42277</v>
      </c>
      <c r="J729" s="38">
        <v>3087.81</v>
      </c>
      <c r="K729" s="21">
        <v>534.95000000000005</v>
      </c>
      <c r="L729" s="22">
        <v>7.6775000000000002</v>
      </c>
      <c r="M729" s="23">
        <v>16.9193</v>
      </c>
      <c r="N729" s="22">
        <v>3.2323</v>
      </c>
      <c r="O729" s="22">
        <v>3.9491000000000001</v>
      </c>
      <c r="P729" s="21">
        <v>14650</v>
      </c>
      <c r="Q729" s="20">
        <v>65.516999999999996</v>
      </c>
      <c r="R729" s="21"/>
    </row>
    <row r="730" spans="1:18">
      <c r="A730" s="14">
        <v>41234</v>
      </c>
      <c r="B730" s="15">
        <v>142.9</v>
      </c>
      <c r="C730" s="15">
        <v>144.80000000000001</v>
      </c>
      <c r="F730">
        <v>10</v>
      </c>
      <c r="G730">
        <v>1</v>
      </c>
      <c r="H730">
        <v>2015</v>
      </c>
      <c r="I730" s="41">
        <v>42278</v>
      </c>
      <c r="J730" s="38">
        <v>3061.78</v>
      </c>
      <c r="K730" s="21">
        <v>534.42999999999995</v>
      </c>
      <c r="L730" s="22">
        <v>7.7035</v>
      </c>
      <c r="M730" s="23">
        <v>16.9208</v>
      </c>
      <c r="N730" s="22">
        <v>3.234</v>
      </c>
      <c r="O730" s="22">
        <v>4.01</v>
      </c>
      <c r="P730" s="21">
        <v>14670</v>
      </c>
      <c r="Q730" s="20">
        <v>65.631</v>
      </c>
      <c r="R730" s="21"/>
    </row>
    <row r="731" spans="1:18">
      <c r="A731" s="14">
        <v>41236</v>
      </c>
      <c r="B731" s="15">
        <v>142</v>
      </c>
      <c r="C731" s="15">
        <v>142.15</v>
      </c>
      <c r="F731">
        <v>10</v>
      </c>
      <c r="G731">
        <v>2</v>
      </c>
      <c r="H731">
        <v>2015</v>
      </c>
      <c r="I731" s="41">
        <v>42279</v>
      </c>
      <c r="J731" s="38">
        <v>3017.57</v>
      </c>
      <c r="K731" s="21">
        <v>534.95000000000005</v>
      </c>
      <c r="L731" s="22">
        <v>7.7255000000000003</v>
      </c>
      <c r="M731" s="23">
        <v>16.759699999999999</v>
      </c>
      <c r="N731" s="22">
        <v>3.2239</v>
      </c>
      <c r="O731" s="22">
        <v>3.9331</v>
      </c>
      <c r="P731" s="21">
        <v>14642.5</v>
      </c>
      <c r="Q731" s="20">
        <v>65.364000000000004</v>
      </c>
      <c r="R731" s="21"/>
    </row>
    <row r="732" spans="1:18">
      <c r="A732" s="14">
        <v>41239</v>
      </c>
      <c r="B732" s="15">
        <v>132.25</v>
      </c>
      <c r="C732" s="15">
        <v>139.9</v>
      </c>
      <c r="F732">
        <v>10</v>
      </c>
      <c r="G732">
        <v>5</v>
      </c>
      <c r="H732">
        <v>2015</v>
      </c>
      <c r="I732" s="41">
        <v>42282</v>
      </c>
      <c r="J732" s="38">
        <v>2961.7</v>
      </c>
      <c r="K732" s="21">
        <v>534.91999999999996</v>
      </c>
      <c r="L732" s="22">
        <v>7.7195</v>
      </c>
      <c r="M732" s="23">
        <v>16.7959</v>
      </c>
      <c r="N732" s="22">
        <v>3.2185999999999999</v>
      </c>
      <c r="O732" s="22">
        <v>3.9119999999999999</v>
      </c>
      <c r="P732" s="21">
        <v>14495</v>
      </c>
      <c r="Q732" s="20">
        <v>65.134</v>
      </c>
      <c r="R732" s="21"/>
    </row>
    <row r="733" spans="1:18">
      <c r="A733" s="14">
        <v>41240</v>
      </c>
      <c r="B733" s="15">
        <v>137.1</v>
      </c>
      <c r="C733" s="15">
        <v>139.80000000000001</v>
      </c>
      <c r="F733">
        <v>10</v>
      </c>
      <c r="G733">
        <v>6</v>
      </c>
      <c r="H733">
        <v>2015</v>
      </c>
      <c r="I733" s="41">
        <v>42283</v>
      </c>
      <c r="J733" s="38">
        <v>2916</v>
      </c>
      <c r="K733" s="21">
        <v>538.38</v>
      </c>
      <c r="L733" s="22">
        <v>7.7054999999999998</v>
      </c>
      <c r="M733" s="23">
        <v>16.651700000000002</v>
      </c>
      <c r="N733" s="22">
        <v>3.2212000000000001</v>
      </c>
      <c r="O733" s="22">
        <v>3.8538999999999999</v>
      </c>
      <c r="P733" s="21">
        <v>14245.5</v>
      </c>
      <c r="Q733" s="20">
        <v>65.129000000000005</v>
      </c>
      <c r="R733" s="21"/>
    </row>
    <row r="734" spans="1:18">
      <c r="A734" s="14">
        <v>41241</v>
      </c>
      <c r="B734" s="15">
        <v>137.35</v>
      </c>
      <c r="C734" s="15">
        <v>144.65</v>
      </c>
      <c r="F734">
        <v>10</v>
      </c>
      <c r="G734">
        <v>7</v>
      </c>
      <c r="H734">
        <v>2015</v>
      </c>
      <c r="I734" s="41">
        <v>42284</v>
      </c>
      <c r="J734" s="38">
        <v>2899.3</v>
      </c>
      <c r="K734" s="21">
        <v>534.05999999999995</v>
      </c>
      <c r="L734" s="22">
        <v>7.7035</v>
      </c>
      <c r="M734" s="23">
        <v>16.651700000000002</v>
      </c>
      <c r="N734" s="22">
        <v>3.2239</v>
      </c>
      <c r="O734" s="22">
        <v>3.8837999999999999</v>
      </c>
      <c r="P734" s="21">
        <v>13825</v>
      </c>
      <c r="Q734" s="20">
        <v>64.906999999999996</v>
      </c>
      <c r="R734" s="21"/>
    </row>
    <row r="735" spans="1:18">
      <c r="A735" s="14">
        <v>41242</v>
      </c>
      <c r="B735" s="15">
        <v>144.5</v>
      </c>
      <c r="C735" s="15">
        <v>146.15</v>
      </c>
      <c r="F735">
        <v>10</v>
      </c>
      <c r="G735">
        <v>8</v>
      </c>
      <c r="H735">
        <v>2015</v>
      </c>
      <c r="I735" s="41">
        <v>42285</v>
      </c>
      <c r="J735" s="38">
        <v>2870.5</v>
      </c>
      <c r="K735" s="21">
        <v>533.87</v>
      </c>
      <c r="L735" s="22">
        <v>7.6944999999999997</v>
      </c>
      <c r="M735" s="23">
        <v>16.4604</v>
      </c>
      <c r="N735" s="22">
        <v>3.2160000000000002</v>
      </c>
      <c r="O735" s="22">
        <v>3.7839</v>
      </c>
      <c r="P735" s="21">
        <v>13867.5</v>
      </c>
      <c r="Q735" s="20">
        <v>64.819000000000003</v>
      </c>
      <c r="R735" s="21"/>
    </row>
    <row r="736" spans="1:18">
      <c r="A736" s="14">
        <v>41243</v>
      </c>
      <c r="B736" s="15">
        <v>141.35</v>
      </c>
      <c r="C736" s="15">
        <v>142.1</v>
      </c>
      <c r="F736">
        <v>10</v>
      </c>
      <c r="G736">
        <v>9</v>
      </c>
      <c r="H736">
        <v>2015</v>
      </c>
      <c r="I736" s="41">
        <v>42286</v>
      </c>
      <c r="J736" s="38">
        <v>2865.5</v>
      </c>
      <c r="K736" s="21">
        <v>533.99</v>
      </c>
      <c r="L736" s="22">
        <v>7.6795</v>
      </c>
      <c r="M736" s="23">
        <v>16.431999999999999</v>
      </c>
      <c r="N736" s="22">
        <v>3.2120000000000002</v>
      </c>
      <c r="O736" s="22">
        <v>3.766</v>
      </c>
      <c r="P736" s="21">
        <v>13420</v>
      </c>
      <c r="Q736" s="20">
        <v>64.78</v>
      </c>
      <c r="R736" s="21"/>
    </row>
    <row r="737" spans="1:18">
      <c r="A737" s="14">
        <v>41246</v>
      </c>
      <c r="B737" s="15">
        <v>140.1</v>
      </c>
      <c r="C737" s="15">
        <v>141.69999999999999</v>
      </c>
      <c r="F737">
        <v>10</v>
      </c>
      <c r="G737">
        <v>12</v>
      </c>
      <c r="H737">
        <v>2015</v>
      </c>
      <c r="I737" s="41">
        <v>42289</v>
      </c>
      <c r="J737" s="38">
        <v>2865</v>
      </c>
      <c r="K737" s="21">
        <v>533.47</v>
      </c>
      <c r="L737" s="22">
        <v>7.6795</v>
      </c>
      <c r="M737" s="23">
        <v>16.46</v>
      </c>
      <c r="N737" s="22">
        <v>3.2279</v>
      </c>
      <c r="O737" s="22">
        <v>3.7639</v>
      </c>
      <c r="P737" s="21">
        <v>13405</v>
      </c>
      <c r="Q737" s="20">
        <v>64.795000000000002</v>
      </c>
      <c r="R737" s="21"/>
    </row>
    <row r="738" spans="1:18">
      <c r="A738" s="14">
        <v>41247</v>
      </c>
      <c r="B738" s="15">
        <v>138.9</v>
      </c>
      <c r="C738" s="15">
        <v>137.35</v>
      </c>
      <c r="F738">
        <v>10</v>
      </c>
      <c r="G738">
        <v>13</v>
      </c>
      <c r="H738">
        <v>2015</v>
      </c>
      <c r="I738" s="41">
        <v>42290</v>
      </c>
      <c r="J738" s="38">
        <v>2912.25</v>
      </c>
      <c r="K738" s="21">
        <v>535.65</v>
      </c>
      <c r="L738" s="22">
        <v>7.6829999999999998</v>
      </c>
      <c r="M738" s="23">
        <v>16.656300000000002</v>
      </c>
      <c r="N738" s="22">
        <v>3.2416</v>
      </c>
      <c r="O738" s="22">
        <v>3.8936999999999999</v>
      </c>
      <c r="P738" s="21">
        <v>13619.5</v>
      </c>
      <c r="Q738" s="20">
        <v>65.097999999999999</v>
      </c>
      <c r="R738" s="21"/>
    </row>
    <row r="739" spans="1:18">
      <c r="A739" s="14">
        <v>41248</v>
      </c>
      <c r="B739" s="15">
        <v>139.25</v>
      </c>
      <c r="C739" s="15">
        <v>139.6</v>
      </c>
      <c r="F739">
        <v>10</v>
      </c>
      <c r="G739">
        <v>14</v>
      </c>
      <c r="H739">
        <v>2015</v>
      </c>
      <c r="I739" s="41">
        <v>42291</v>
      </c>
      <c r="J739" s="38">
        <v>2927</v>
      </c>
      <c r="K739" s="21">
        <v>533.41999999999996</v>
      </c>
      <c r="L739" s="22">
        <v>7.6704999999999997</v>
      </c>
      <c r="M739" s="23">
        <v>16.473400000000002</v>
      </c>
      <c r="N739" s="22">
        <v>3.2330000000000001</v>
      </c>
      <c r="O739" s="22">
        <v>3.8119000000000001</v>
      </c>
      <c r="P739" s="21">
        <v>13619.5</v>
      </c>
      <c r="Q739" s="20">
        <v>64.736000000000004</v>
      </c>
      <c r="R739" s="21"/>
    </row>
    <row r="740" spans="1:18">
      <c r="A740" s="14">
        <v>41249</v>
      </c>
      <c r="B740" s="15">
        <v>0</v>
      </c>
      <c r="C740" s="15">
        <v>140.44999999999999</v>
      </c>
      <c r="F740">
        <v>10</v>
      </c>
      <c r="G740">
        <v>15</v>
      </c>
      <c r="H740">
        <v>2015</v>
      </c>
      <c r="I740" s="41">
        <v>42292</v>
      </c>
      <c r="J740" s="38">
        <v>2895.27</v>
      </c>
      <c r="K740" s="21">
        <v>536.11</v>
      </c>
      <c r="L740" s="22">
        <v>7.6944999999999997</v>
      </c>
      <c r="M740" s="23">
        <v>16.39</v>
      </c>
      <c r="N740" s="22">
        <v>3.2395</v>
      </c>
      <c r="O740" s="22">
        <v>3.8031999999999999</v>
      </c>
      <c r="P740" s="21">
        <v>13455</v>
      </c>
      <c r="Q740" s="20">
        <v>64.778999999999996</v>
      </c>
      <c r="R740" s="21"/>
    </row>
    <row r="741" spans="1:18">
      <c r="A741" s="14">
        <v>41250</v>
      </c>
      <c r="B741" s="15">
        <v>140.1</v>
      </c>
      <c r="C741" s="15">
        <v>142.1</v>
      </c>
      <c r="F741">
        <v>10</v>
      </c>
      <c r="G741">
        <v>16</v>
      </c>
      <c r="H741">
        <v>2015</v>
      </c>
      <c r="I741" s="41">
        <v>42293</v>
      </c>
      <c r="J741" s="38">
        <v>2884.25</v>
      </c>
      <c r="K741" s="21">
        <v>535.1</v>
      </c>
      <c r="L741" s="22">
        <v>7.6635</v>
      </c>
      <c r="M741" s="23">
        <v>16.4268</v>
      </c>
      <c r="N741" s="22">
        <v>3.2498</v>
      </c>
      <c r="O741" s="22">
        <v>3.9245000000000001</v>
      </c>
      <c r="P741" s="21">
        <v>13530</v>
      </c>
      <c r="Q741" s="20">
        <v>64.703000000000003</v>
      </c>
      <c r="R741" s="21"/>
    </row>
    <row r="742" spans="1:18">
      <c r="A742" s="14">
        <v>41253</v>
      </c>
      <c r="B742" s="15">
        <v>142</v>
      </c>
      <c r="C742" s="15">
        <v>138.1</v>
      </c>
      <c r="F742">
        <v>10</v>
      </c>
      <c r="G742">
        <v>19</v>
      </c>
      <c r="H742">
        <v>2015</v>
      </c>
      <c r="I742" s="41">
        <v>42296</v>
      </c>
      <c r="J742" s="38">
        <v>2919</v>
      </c>
      <c r="K742" s="21">
        <v>533</v>
      </c>
      <c r="L742" s="22">
        <v>7.6604999999999999</v>
      </c>
      <c r="M742" s="23">
        <v>16.4892</v>
      </c>
      <c r="N742" s="22">
        <v>3.2464</v>
      </c>
      <c r="O742" s="22">
        <v>3.8856999999999999</v>
      </c>
      <c r="P742" s="21">
        <v>13531.5</v>
      </c>
      <c r="Q742" s="20">
        <v>64.918999999999997</v>
      </c>
      <c r="R742" s="21"/>
    </row>
    <row r="743" spans="1:18">
      <c r="A743" s="14">
        <v>41254</v>
      </c>
      <c r="B743" s="15">
        <v>0</v>
      </c>
      <c r="C743" s="15">
        <v>141.15</v>
      </c>
      <c r="F743">
        <v>10</v>
      </c>
      <c r="G743">
        <v>20</v>
      </c>
      <c r="H743">
        <v>2015</v>
      </c>
      <c r="I743" s="41">
        <v>42297</v>
      </c>
      <c r="J743" s="38">
        <v>2937</v>
      </c>
      <c r="K743" s="21">
        <v>535.41999999999996</v>
      </c>
      <c r="L743" s="22">
        <v>7.6604999999999999</v>
      </c>
      <c r="M743" s="23">
        <v>16.5641</v>
      </c>
      <c r="N743" s="22">
        <v>3.2519999999999998</v>
      </c>
      <c r="O743" s="22">
        <v>3.9073000000000002</v>
      </c>
      <c r="P743" s="21">
        <v>13645</v>
      </c>
      <c r="Q743" s="20">
        <v>65.024000000000001</v>
      </c>
      <c r="R743" s="21"/>
    </row>
    <row r="744" spans="1:18">
      <c r="A744" s="14">
        <v>41255</v>
      </c>
      <c r="B744" s="15">
        <v>138.6</v>
      </c>
      <c r="C744" s="15">
        <v>138.15</v>
      </c>
      <c r="F744">
        <v>10</v>
      </c>
      <c r="G744">
        <v>21</v>
      </c>
      <c r="H744">
        <v>2015</v>
      </c>
      <c r="I744" s="41">
        <v>42298</v>
      </c>
      <c r="J744" s="38">
        <v>2960.5</v>
      </c>
      <c r="K744" s="21">
        <v>535.57000000000005</v>
      </c>
      <c r="L744" s="22">
        <v>7.6849999999999996</v>
      </c>
      <c r="M744" s="23">
        <v>16.656099999999999</v>
      </c>
      <c r="N744" s="22">
        <v>3.2597999999999998</v>
      </c>
      <c r="O744" s="22">
        <v>3.9413999999999998</v>
      </c>
      <c r="P744" s="21">
        <v>13717</v>
      </c>
      <c r="Q744" s="20">
        <v>65.146000000000001</v>
      </c>
      <c r="R744" s="21"/>
    </row>
    <row r="745" spans="1:18">
      <c r="A745" s="14">
        <v>41256</v>
      </c>
      <c r="B745" s="15">
        <v>0</v>
      </c>
      <c r="C745" s="15">
        <v>135.25</v>
      </c>
      <c r="F745">
        <v>10</v>
      </c>
      <c r="G745">
        <v>22</v>
      </c>
      <c r="H745">
        <v>2015</v>
      </c>
      <c r="I745" s="41">
        <v>42299</v>
      </c>
      <c r="J745" s="38">
        <v>2904.19</v>
      </c>
      <c r="K745" s="21">
        <v>535.53</v>
      </c>
      <c r="L745" s="22">
        <v>7.6795</v>
      </c>
      <c r="M745" s="23">
        <v>16.478300000000001</v>
      </c>
      <c r="N745" s="22">
        <v>3.2553999999999998</v>
      </c>
      <c r="O745" s="22">
        <v>3.9087999999999998</v>
      </c>
      <c r="P745" s="21">
        <v>13657.5</v>
      </c>
      <c r="Q745" s="20">
        <v>64.86</v>
      </c>
      <c r="R745" s="21"/>
    </row>
    <row r="746" spans="1:18">
      <c r="A746" s="14">
        <v>41257</v>
      </c>
      <c r="B746" s="15">
        <v>136.6</v>
      </c>
      <c r="C746" s="15">
        <v>137.4</v>
      </c>
      <c r="F746">
        <v>10</v>
      </c>
      <c r="G746">
        <v>23</v>
      </c>
      <c r="H746">
        <v>2015</v>
      </c>
      <c r="I746" s="41">
        <v>42300</v>
      </c>
      <c r="J746" s="38">
        <v>2916.9</v>
      </c>
      <c r="K746" s="21">
        <v>533.04999999999995</v>
      </c>
      <c r="L746" s="22">
        <v>7.6944999999999997</v>
      </c>
      <c r="M746" s="23">
        <v>16.593699999999998</v>
      </c>
      <c r="N746" s="22">
        <v>3.2713999999999999</v>
      </c>
      <c r="O746" s="22">
        <v>3.8807</v>
      </c>
      <c r="P746" s="21">
        <v>13635</v>
      </c>
      <c r="Q746" s="20">
        <v>64.891999999999996</v>
      </c>
      <c r="R746" s="21"/>
    </row>
    <row r="747" spans="1:18">
      <c r="A747" s="14">
        <v>41260</v>
      </c>
      <c r="B747" s="15">
        <v>137.94999999999999</v>
      </c>
      <c r="C747" s="15">
        <v>137.94999999999999</v>
      </c>
      <c r="F747">
        <v>10</v>
      </c>
      <c r="G747">
        <v>26</v>
      </c>
      <c r="H747">
        <v>2015</v>
      </c>
      <c r="I747" s="41">
        <v>42303</v>
      </c>
      <c r="J747" s="38">
        <v>2929.5</v>
      </c>
      <c r="K747" s="21">
        <v>535.48</v>
      </c>
      <c r="L747" s="22">
        <v>7.6965000000000003</v>
      </c>
      <c r="M747" s="23">
        <v>16.532900000000001</v>
      </c>
      <c r="N747" s="22">
        <v>3.2696000000000001</v>
      </c>
      <c r="O747" s="22">
        <v>3.9060000000000001</v>
      </c>
      <c r="P747" s="21">
        <v>13645</v>
      </c>
      <c r="Q747" s="20">
        <v>64.921000000000006</v>
      </c>
      <c r="R747" s="21"/>
    </row>
    <row r="748" spans="1:18">
      <c r="A748" s="14">
        <v>41261</v>
      </c>
      <c r="B748" s="15">
        <v>0</v>
      </c>
      <c r="C748" s="15">
        <v>133.5</v>
      </c>
      <c r="F748">
        <v>10</v>
      </c>
      <c r="G748">
        <v>27</v>
      </c>
      <c r="H748">
        <v>2015</v>
      </c>
      <c r="I748" s="41">
        <v>42304</v>
      </c>
      <c r="J748" s="38">
        <v>2948.5</v>
      </c>
      <c r="K748" s="21">
        <v>533.1</v>
      </c>
      <c r="L748" s="22">
        <v>7.6875</v>
      </c>
      <c r="M748" s="23">
        <v>16.542999999999999</v>
      </c>
      <c r="N748" s="22">
        <v>3.2799</v>
      </c>
      <c r="O748" s="22">
        <v>3.8883000000000001</v>
      </c>
      <c r="P748" s="21">
        <v>13622.5</v>
      </c>
      <c r="Q748" s="20">
        <v>65.111999999999995</v>
      </c>
      <c r="R748" s="21"/>
    </row>
    <row r="749" spans="1:18">
      <c r="A749" s="14">
        <v>41262</v>
      </c>
      <c r="B749" s="15">
        <v>142.69999999999999</v>
      </c>
      <c r="C749" s="15">
        <v>144.9</v>
      </c>
      <c r="F749">
        <v>10</v>
      </c>
      <c r="G749">
        <v>28</v>
      </c>
      <c r="H749">
        <v>2015</v>
      </c>
      <c r="I749" s="41">
        <v>42305</v>
      </c>
      <c r="J749" s="38">
        <v>2921</v>
      </c>
      <c r="K749" s="21">
        <v>538.15</v>
      </c>
      <c r="L749" s="22">
        <v>7.6835000000000004</v>
      </c>
      <c r="M749" s="23">
        <v>16.638500000000001</v>
      </c>
      <c r="N749" s="22">
        <v>3.2772999999999999</v>
      </c>
      <c r="O749" s="22">
        <v>3.9094000000000002</v>
      </c>
      <c r="P749" s="21">
        <v>13477.5</v>
      </c>
      <c r="Q749" s="20">
        <v>64.953999999999994</v>
      </c>
      <c r="R749" s="21"/>
    </row>
    <row r="750" spans="1:18">
      <c r="A750" s="14">
        <v>41263</v>
      </c>
      <c r="B750" s="15">
        <v>141.80000000000001</v>
      </c>
      <c r="C750" s="15">
        <v>142.94999999999999</v>
      </c>
      <c r="F750">
        <v>10</v>
      </c>
      <c r="G750">
        <v>29</v>
      </c>
      <c r="H750">
        <v>2015</v>
      </c>
      <c r="I750" s="41">
        <v>42306</v>
      </c>
      <c r="J750" s="38">
        <v>2915.95</v>
      </c>
      <c r="K750" s="21">
        <v>532.88</v>
      </c>
      <c r="L750" s="22">
        <v>7.6704999999999997</v>
      </c>
      <c r="M750" s="23">
        <v>16.632300000000001</v>
      </c>
      <c r="N750" s="22">
        <v>3.2835000000000001</v>
      </c>
      <c r="O750" s="22">
        <v>3.8509000000000002</v>
      </c>
      <c r="P750" s="21">
        <v>13635</v>
      </c>
      <c r="Q750" s="20">
        <v>65.448999999999998</v>
      </c>
      <c r="R750" s="21"/>
    </row>
    <row r="751" spans="1:18">
      <c r="A751" s="14">
        <v>41264</v>
      </c>
      <c r="B751" s="15">
        <v>141.85</v>
      </c>
      <c r="C751" s="15">
        <v>146.6</v>
      </c>
      <c r="F751">
        <v>10</v>
      </c>
      <c r="G751">
        <v>30</v>
      </c>
      <c r="H751">
        <v>2015</v>
      </c>
      <c r="I751" s="41">
        <v>42307</v>
      </c>
      <c r="J751" s="38">
        <v>2896.86</v>
      </c>
      <c r="K751" s="21">
        <v>536.25</v>
      </c>
      <c r="L751" s="22">
        <v>7.6645000000000003</v>
      </c>
      <c r="M751" s="23">
        <v>16.5</v>
      </c>
      <c r="N751" s="22">
        <v>3.2801</v>
      </c>
      <c r="O751" s="22">
        <v>3.8563999999999998</v>
      </c>
      <c r="P751" s="21">
        <v>13687.5</v>
      </c>
      <c r="Q751" s="20">
        <v>65.423000000000002</v>
      </c>
      <c r="R751" s="21"/>
    </row>
    <row r="752" spans="1:18">
      <c r="A752" s="14">
        <v>41267</v>
      </c>
      <c r="B752" s="15">
        <v>145.1</v>
      </c>
      <c r="C752" s="15">
        <v>147</v>
      </c>
      <c r="F752">
        <v>11</v>
      </c>
      <c r="G752">
        <v>2</v>
      </c>
      <c r="H752">
        <v>2015</v>
      </c>
      <c r="I752" s="41">
        <v>42310</v>
      </c>
      <c r="J752" s="38">
        <v>2897</v>
      </c>
      <c r="K752" s="21">
        <v>536.04999999999995</v>
      </c>
      <c r="L752" s="22">
        <v>7.6645000000000003</v>
      </c>
      <c r="M752" s="23">
        <v>16.4422</v>
      </c>
      <c r="N752" s="22">
        <v>3.2801999999999998</v>
      </c>
      <c r="O752" s="22">
        <v>3.8506999999999998</v>
      </c>
      <c r="P752" s="21">
        <v>13667.5</v>
      </c>
      <c r="Q752" s="20">
        <v>65.561000000000007</v>
      </c>
      <c r="R752" s="21"/>
    </row>
    <row r="753" spans="1:18">
      <c r="A753" s="14">
        <v>41269</v>
      </c>
      <c r="B753" s="15">
        <v>145.85</v>
      </c>
      <c r="C753" s="15">
        <v>148.30000000000001</v>
      </c>
      <c r="F753">
        <v>11</v>
      </c>
      <c r="G753">
        <v>3</v>
      </c>
      <c r="H753">
        <v>2015</v>
      </c>
      <c r="I753" s="41">
        <v>42311</v>
      </c>
      <c r="J753" s="38">
        <v>2799.7</v>
      </c>
      <c r="K753" s="21">
        <v>535.9</v>
      </c>
      <c r="L753" s="22">
        <v>7.6585000000000001</v>
      </c>
      <c r="M753" s="23">
        <v>16.398199999999999</v>
      </c>
      <c r="N753" s="22">
        <v>3.2892999999999999</v>
      </c>
      <c r="O753" s="22">
        <v>3.7711999999999999</v>
      </c>
      <c r="P753" s="21">
        <v>13555</v>
      </c>
      <c r="Q753" s="20">
        <v>65.569000000000003</v>
      </c>
      <c r="R753" s="21"/>
    </row>
    <row r="754" spans="1:18">
      <c r="A754" s="14">
        <v>41270</v>
      </c>
      <c r="B754" s="15">
        <v>146.80000000000001</v>
      </c>
      <c r="C754" s="15">
        <v>147.9</v>
      </c>
      <c r="F754">
        <v>11</v>
      </c>
      <c r="G754">
        <v>4</v>
      </c>
      <c r="H754">
        <v>2015</v>
      </c>
      <c r="I754" s="41">
        <v>42312</v>
      </c>
      <c r="J754" s="38">
        <v>2837</v>
      </c>
      <c r="K754" s="21">
        <v>533.03</v>
      </c>
      <c r="L754" s="22">
        <v>7.6555</v>
      </c>
      <c r="M754" s="23">
        <v>16.5395</v>
      </c>
      <c r="N754" s="22">
        <v>3.2887</v>
      </c>
      <c r="O754" s="22">
        <v>3.8003</v>
      </c>
      <c r="P754" s="21">
        <v>13555</v>
      </c>
      <c r="Q754" s="20">
        <v>65.608999999999995</v>
      </c>
      <c r="R754" s="21"/>
    </row>
    <row r="755" spans="1:18">
      <c r="A755" s="14">
        <v>41271</v>
      </c>
      <c r="B755" s="15">
        <v>145.6</v>
      </c>
      <c r="C755" s="15">
        <v>146.85</v>
      </c>
      <c r="F755">
        <v>11</v>
      </c>
      <c r="G755">
        <v>5</v>
      </c>
      <c r="H755">
        <v>2015</v>
      </c>
      <c r="I755" s="41">
        <v>42313</v>
      </c>
      <c r="J755" s="38">
        <v>2857.81</v>
      </c>
      <c r="K755" s="21">
        <v>535.95000000000005</v>
      </c>
      <c r="L755" s="22">
        <v>7.67</v>
      </c>
      <c r="M755" s="23">
        <v>16.604099999999999</v>
      </c>
      <c r="N755" s="22">
        <v>3.2997999999999998</v>
      </c>
      <c r="O755" s="22">
        <v>3.7812999999999999</v>
      </c>
      <c r="P755" s="21">
        <v>13565</v>
      </c>
      <c r="Q755" s="20">
        <v>65.86</v>
      </c>
      <c r="R755" s="21"/>
    </row>
    <row r="756" spans="1:18">
      <c r="A756" s="14">
        <v>41274</v>
      </c>
      <c r="B756" s="15">
        <v>141.25</v>
      </c>
      <c r="C756" s="15">
        <v>143.80000000000001</v>
      </c>
      <c r="F756">
        <v>11</v>
      </c>
      <c r="G756">
        <v>6</v>
      </c>
      <c r="H756">
        <v>2015</v>
      </c>
      <c r="I756" s="41">
        <v>42314</v>
      </c>
      <c r="J756" s="38">
        <v>2890.6</v>
      </c>
      <c r="K756" s="21">
        <v>532.95000000000005</v>
      </c>
      <c r="L756" s="22">
        <v>7.6665000000000001</v>
      </c>
      <c r="M756" s="23">
        <v>16.8003</v>
      </c>
      <c r="N756" s="22">
        <v>3.3085</v>
      </c>
      <c r="O756" s="22">
        <v>3.7713000000000001</v>
      </c>
      <c r="P756" s="21">
        <v>13560</v>
      </c>
      <c r="Q756" s="20">
        <v>66.14</v>
      </c>
      <c r="R756" s="21"/>
    </row>
    <row r="757" spans="1:18">
      <c r="A757" s="14">
        <v>41276</v>
      </c>
      <c r="B757" s="15">
        <v>144.94999999999999</v>
      </c>
      <c r="C757" s="15">
        <v>149.4</v>
      </c>
      <c r="F757">
        <v>11</v>
      </c>
      <c r="G757">
        <v>9</v>
      </c>
      <c r="H757">
        <v>2015</v>
      </c>
      <c r="I757" s="41">
        <v>42317</v>
      </c>
      <c r="J757" s="38">
        <v>2928.5</v>
      </c>
      <c r="K757" s="21">
        <v>532.9</v>
      </c>
      <c r="L757" s="22">
        <v>7.6725000000000003</v>
      </c>
      <c r="M757" s="23">
        <v>16.773499999999999</v>
      </c>
      <c r="N757" s="22">
        <v>3.3094999999999999</v>
      </c>
      <c r="O757" s="22">
        <v>3.7989999999999999</v>
      </c>
      <c r="P757" s="21">
        <v>13647.5</v>
      </c>
      <c r="Q757" s="20">
        <v>66.474999999999994</v>
      </c>
      <c r="R757" s="21"/>
    </row>
    <row r="758" spans="1:18">
      <c r="A758" s="14">
        <v>41277</v>
      </c>
      <c r="B758" s="15">
        <v>145.44999999999999</v>
      </c>
      <c r="C758" s="15">
        <v>146.5</v>
      </c>
      <c r="F758">
        <v>11</v>
      </c>
      <c r="G758">
        <v>10</v>
      </c>
      <c r="H758">
        <v>2015</v>
      </c>
      <c r="I758" s="41">
        <v>42318</v>
      </c>
      <c r="J758" s="38">
        <v>2941.6</v>
      </c>
      <c r="K758" s="21">
        <v>532.88</v>
      </c>
      <c r="L758" s="22">
        <v>7.6734999999999998</v>
      </c>
      <c r="M758" s="23">
        <v>16.755299999999998</v>
      </c>
      <c r="N758" s="22">
        <v>3.3157000000000001</v>
      </c>
      <c r="O758" s="22">
        <v>3.7509999999999999</v>
      </c>
      <c r="P758" s="21">
        <v>13609.5</v>
      </c>
      <c r="Q758" s="20">
        <v>66.2</v>
      </c>
      <c r="R758" s="21"/>
    </row>
    <row r="759" spans="1:18">
      <c r="A759" s="14">
        <v>41278</v>
      </c>
      <c r="B759" s="15">
        <v>142.6</v>
      </c>
      <c r="C759" s="15">
        <v>147.35</v>
      </c>
      <c r="F759">
        <v>11</v>
      </c>
      <c r="G759">
        <v>11</v>
      </c>
      <c r="H759">
        <v>2015</v>
      </c>
      <c r="I759" s="41">
        <v>42319</v>
      </c>
      <c r="J759" s="38">
        <v>2951</v>
      </c>
      <c r="K759" s="21">
        <v>532.87</v>
      </c>
      <c r="L759" s="22">
        <v>7.6665000000000001</v>
      </c>
      <c r="M759" s="23">
        <v>16.730899999999998</v>
      </c>
      <c r="N759" s="22">
        <v>3.3138000000000001</v>
      </c>
      <c r="O759" s="22">
        <v>3.7639</v>
      </c>
      <c r="P759" s="21">
        <v>13602.5</v>
      </c>
      <c r="Q759" s="20">
        <v>66.069999999999993</v>
      </c>
      <c r="R759" s="21"/>
    </row>
    <row r="760" spans="1:18">
      <c r="A760" s="14">
        <v>41281</v>
      </c>
      <c r="B760" s="15">
        <v>146.6</v>
      </c>
      <c r="C760" s="15">
        <v>150.4</v>
      </c>
      <c r="F760">
        <v>11</v>
      </c>
      <c r="G760">
        <v>12</v>
      </c>
      <c r="H760">
        <v>2015</v>
      </c>
      <c r="I760" s="41">
        <v>42320</v>
      </c>
      <c r="J760" s="38">
        <v>3040.1</v>
      </c>
      <c r="K760" s="21">
        <v>532.88</v>
      </c>
      <c r="L760" s="22">
        <v>7.6615000000000002</v>
      </c>
      <c r="M760" s="23">
        <v>16.735299999999999</v>
      </c>
      <c r="N760" s="22">
        <v>3.3249</v>
      </c>
      <c r="O760" s="22">
        <v>3.7709999999999999</v>
      </c>
      <c r="P760" s="21">
        <v>13602.5</v>
      </c>
      <c r="Q760" s="20">
        <v>66.055000000000007</v>
      </c>
      <c r="R760" s="21"/>
    </row>
    <row r="761" spans="1:18">
      <c r="A761" s="14">
        <v>41282</v>
      </c>
      <c r="B761" s="15">
        <v>145.65</v>
      </c>
      <c r="C761" s="15">
        <v>148.15</v>
      </c>
      <c r="F761">
        <v>11</v>
      </c>
      <c r="G761">
        <v>13</v>
      </c>
      <c r="H761">
        <v>2015</v>
      </c>
      <c r="I761" s="41">
        <v>42321</v>
      </c>
      <c r="J761" s="38">
        <v>3076.4</v>
      </c>
      <c r="K761" s="21">
        <v>532.91999999999996</v>
      </c>
      <c r="L761" s="22">
        <v>7.6565000000000003</v>
      </c>
      <c r="M761" s="23">
        <v>16.6828</v>
      </c>
      <c r="N761" s="22">
        <v>3.3365</v>
      </c>
      <c r="O761" s="22">
        <v>3.8456000000000001</v>
      </c>
      <c r="P761" s="21">
        <v>13665</v>
      </c>
      <c r="Q761" s="20">
        <v>66.058999999999997</v>
      </c>
      <c r="R761" s="21"/>
    </row>
    <row r="762" spans="1:18">
      <c r="A762" s="14">
        <v>41283</v>
      </c>
      <c r="B762" s="15">
        <v>145.94999999999999</v>
      </c>
      <c r="C762" s="15">
        <v>147.9</v>
      </c>
      <c r="F762">
        <v>11</v>
      </c>
      <c r="G762">
        <v>16</v>
      </c>
      <c r="H762">
        <v>2015</v>
      </c>
      <c r="I762" s="41">
        <v>42324</v>
      </c>
      <c r="J762" s="38">
        <v>3076.4</v>
      </c>
      <c r="K762" s="21">
        <v>529.6</v>
      </c>
      <c r="L762" s="22">
        <v>7.6544999999999996</v>
      </c>
      <c r="M762" s="23">
        <v>16.770099999999999</v>
      </c>
      <c r="N762" s="22">
        <v>3.3357999999999999</v>
      </c>
      <c r="O762" s="22">
        <v>3.8193999999999999</v>
      </c>
      <c r="P762" s="21">
        <v>13727.5</v>
      </c>
      <c r="Q762" s="20">
        <v>65.885999999999996</v>
      </c>
      <c r="R762" s="21"/>
    </row>
    <row r="763" spans="1:18">
      <c r="A763" s="14">
        <v>41284</v>
      </c>
      <c r="B763" s="15">
        <v>147.69999999999999</v>
      </c>
      <c r="C763" s="15">
        <v>149.65</v>
      </c>
      <c r="F763">
        <v>11</v>
      </c>
      <c r="G763">
        <v>17</v>
      </c>
      <c r="H763">
        <v>2015</v>
      </c>
      <c r="I763" s="41">
        <v>42325</v>
      </c>
      <c r="J763" s="38">
        <v>3076</v>
      </c>
      <c r="K763" s="21">
        <v>531.91</v>
      </c>
      <c r="L763" s="22">
        <v>7.6515000000000004</v>
      </c>
      <c r="M763" s="23">
        <v>16.722799999999999</v>
      </c>
      <c r="N763" s="22">
        <v>3.3422999999999998</v>
      </c>
      <c r="O763" s="22">
        <v>3.8105000000000002</v>
      </c>
      <c r="P763" s="21">
        <v>13747.5</v>
      </c>
      <c r="Q763" s="20">
        <v>65.980999999999995</v>
      </c>
      <c r="R763" s="21"/>
    </row>
    <row r="764" spans="1:18">
      <c r="A764" s="14">
        <v>41285</v>
      </c>
      <c r="B764" s="15">
        <v>148.85</v>
      </c>
      <c r="C764" s="15">
        <v>153.35</v>
      </c>
      <c r="F764">
        <v>11</v>
      </c>
      <c r="G764">
        <v>18</v>
      </c>
      <c r="H764">
        <v>2015</v>
      </c>
      <c r="I764" s="41">
        <v>42326</v>
      </c>
      <c r="J764" s="38">
        <v>3103.6</v>
      </c>
      <c r="K764" s="21">
        <v>531.6</v>
      </c>
      <c r="L764" s="22">
        <v>7.6485000000000003</v>
      </c>
      <c r="M764" s="23">
        <v>16.738600000000002</v>
      </c>
      <c r="N764" s="22">
        <v>3.3530000000000002</v>
      </c>
      <c r="O764" s="22">
        <v>3.7667999999999999</v>
      </c>
      <c r="P764" s="21">
        <v>13799.5</v>
      </c>
      <c r="Q764" s="20">
        <v>66.033000000000001</v>
      </c>
      <c r="R764" s="21"/>
    </row>
    <row r="765" spans="1:18">
      <c r="A765" s="14">
        <v>41288</v>
      </c>
      <c r="B765" s="15">
        <v>152.5</v>
      </c>
      <c r="C765" s="15">
        <v>153.30000000000001</v>
      </c>
      <c r="F765">
        <v>11</v>
      </c>
      <c r="G765">
        <v>19</v>
      </c>
      <c r="H765">
        <v>2015</v>
      </c>
      <c r="I765" s="41">
        <v>42327</v>
      </c>
      <c r="J765" s="38">
        <v>3073</v>
      </c>
      <c r="K765" s="21">
        <v>531.58000000000004</v>
      </c>
      <c r="L765" s="22">
        <v>7.6475</v>
      </c>
      <c r="M765" s="23">
        <v>16.620999999999999</v>
      </c>
      <c r="N765" s="22">
        <v>3.3561000000000001</v>
      </c>
      <c r="O765" s="22">
        <v>3.7181000000000002</v>
      </c>
      <c r="P765" s="21">
        <v>13777.5</v>
      </c>
      <c r="Q765" s="20">
        <v>66.09</v>
      </c>
      <c r="R765" s="21"/>
    </row>
    <row r="766" spans="1:18">
      <c r="A766" s="14">
        <v>41289</v>
      </c>
      <c r="B766" s="15">
        <v>151.25</v>
      </c>
      <c r="C766" s="15">
        <v>152.5</v>
      </c>
      <c r="F766">
        <v>11</v>
      </c>
      <c r="G766">
        <v>20</v>
      </c>
      <c r="H766">
        <v>2015</v>
      </c>
      <c r="I766" s="41">
        <v>42328</v>
      </c>
      <c r="J766" s="38">
        <v>3066</v>
      </c>
      <c r="K766" s="21">
        <v>531.42999999999995</v>
      </c>
      <c r="L766" s="22">
        <v>7.6485000000000003</v>
      </c>
      <c r="M766" s="23">
        <v>16.5335</v>
      </c>
      <c r="N766" s="22">
        <v>3.3624999999999998</v>
      </c>
      <c r="O766" s="22">
        <v>3.7052</v>
      </c>
      <c r="P766" s="21">
        <v>13655</v>
      </c>
      <c r="Q766" s="20">
        <v>66.058000000000007</v>
      </c>
      <c r="R766" s="21"/>
    </row>
    <row r="767" spans="1:18">
      <c r="A767" s="14">
        <v>41290</v>
      </c>
      <c r="B767" s="15">
        <v>150.80000000000001</v>
      </c>
      <c r="C767" s="15">
        <v>153</v>
      </c>
      <c r="F767">
        <v>11</v>
      </c>
      <c r="G767">
        <v>23</v>
      </c>
      <c r="H767">
        <v>2015</v>
      </c>
      <c r="I767" s="41">
        <v>42331</v>
      </c>
      <c r="J767" s="38">
        <v>3093.3</v>
      </c>
      <c r="K767" s="21">
        <v>531.4</v>
      </c>
      <c r="L767" s="22">
        <v>7.6395</v>
      </c>
      <c r="M767" s="23">
        <v>16.547599999999999</v>
      </c>
      <c r="N767" s="22">
        <v>3.3811</v>
      </c>
      <c r="O767" s="22">
        <v>3.7330000000000001</v>
      </c>
      <c r="P767" s="21">
        <v>13723</v>
      </c>
      <c r="Q767" s="20">
        <v>66.394999999999996</v>
      </c>
      <c r="R767" s="21"/>
    </row>
    <row r="768" spans="1:18">
      <c r="A768" s="14">
        <v>41291</v>
      </c>
      <c r="B768" s="15">
        <v>152.4</v>
      </c>
      <c r="C768" s="15">
        <v>155.5</v>
      </c>
      <c r="F768">
        <v>11</v>
      </c>
      <c r="G768">
        <v>24</v>
      </c>
      <c r="H768">
        <v>2015</v>
      </c>
      <c r="I768" s="41">
        <v>42332</v>
      </c>
      <c r="J768" s="38">
        <v>3068.51</v>
      </c>
      <c r="K768" s="21">
        <v>531.42999999999995</v>
      </c>
      <c r="L768" s="22">
        <v>7.6334999999999997</v>
      </c>
      <c r="M768" s="23">
        <v>16.535299999999999</v>
      </c>
      <c r="N768" s="22">
        <v>3.3731</v>
      </c>
      <c r="O768" s="22">
        <v>3.7</v>
      </c>
      <c r="P768" s="21">
        <v>13707.5</v>
      </c>
      <c r="Q768" s="20">
        <v>66.262</v>
      </c>
      <c r="R768" s="21"/>
    </row>
    <row r="769" spans="1:18">
      <c r="A769" s="14">
        <v>41292</v>
      </c>
      <c r="B769" s="15">
        <v>154.55000000000001</v>
      </c>
      <c r="C769" s="15">
        <v>156.30000000000001</v>
      </c>
      <c r="F769">
        <v>11</v>
      </c>
      <c r="G769">
        <v>25</v>
      </c>
      <c r="H769">
        <v>2015</v>
      </c>
      <c r="I769" s="41">
        <v>42333</v>
      </c>
      <c r="J769" s="38">
        <v>3086.82</v>
      </c>
      <c r="K769" s="21">
        <v>531.4</v>
      </c>
      <c r="L769" s="22">
        <v>7.6275000000000004</v>
      </c>
      <c r="M769" s="23">
        <v>16.502400000000002</v>
      </c>
      <c r="N769" s="22">
        <v>3.3784000000000001</v>
      </c>
      <c r="O769" s="22">
        <v>3.7425000000000002</v>
      </c>
      <c r="P769" s="21">
        <v>13687.5</v>
      </c>
      <c r="Q769" s="20">
        <v>66.367999999999995</v>
      </c>
      <c r="R769" s="21"/>
    </row>
    <row r="770" spans="1:18">
      <c r="A770" s="14">
        <v>41296</v>
      </c>
      <c r="B770" s="15">
        <v>148.19999999999999</v>
      </c>
      <c r="C770" s="15">
        <v>148.6</v>
      </c>
      <c r="F770">
        <v>11</v>
      </c>
      <c r="G770">
        <v>26</v>
      </c>
      <c r="H770">
        <v>2015</v>
      </c>
      <c r="I770" s="41">
        <v>42334</v>
      </c>
      <c r="J770" s="38">
        <v>3086.82</v>
      </c>
      <c r="K770" s="21">
        <v>531.4</v>
      </c>
      <c r="L770" s="22">
        <v>7.6275000000000004</v>
      </c>
      <c r="M770" s="23">
        <v>16.5641</v>
      </c>
      <c r="N770" s="22">
        <v>3.3765000000000001</v>
      </c>
      <c r="O770" s="22">
        <v>3.7431000000000001</v>
      </c>
      <c r="P770" s="21">
        <v>13728.5</v>
      </c>
      <c r="Q770" s="20">
        <v>66.564999999999998</v>
      </c>
      <c r="R770" s="21"/>
    </row>
    <row r="771" spans="1:18">
      <c r="A771" s="14">
        <v>41297</v>
      </c>
      <c r="B771" s="15">
        <v>148.35</v>
      </c>
      <c r="C771" s="15">
        <v>150.4</v>
      </c>
      <c r="F771">
        <v>11</v>
      </c>
      <c r="G771">
        <v>27</v>
      </c>
      <c r="H771">
        <v>2015</v>
      </c>
      <c r="I771" s="41">
        <v>42335</v>
      </c>
      <c r="J771" s="38">
        <v>3108</v>
      </c>
      <c r="K771" s="21">
        <v>531.4</v>
      </c>
      <c r="L771" s="22">
        <v>7.6275000000000004</v>
      </c>
      <c r="M771" s="23">
        <v>16.624600000000001</v>
      </c>
      <c r="N771" s="22">
        <v>3.3685</v>
      </c>
      <c r="O771" s="22">
        <v>3.8464</v>
      </c>
      <c r="P771" s="21">
        <v>13780</v>
      </c>
      <c r="Q771" s="20">
        <v>66.906999999999996</v>
      </c>
      <c r="R771" s="21"/>
    </row>
    <row r="772" spans="1:18">
      <c r="A772" s="14">
        <v>41298</v>
      </c>
      <c r="B772" s="15">
        <v>146.1</v>
      </c>
      <c r="C772" s="15">
        <v>146.55000000000001</v>
      </c>
      <c r="F772">
        <v>11</v>
      </c>
      <c r="G772">
        <v>30</v>
      </c>
      <c r="H772">
        <v>2015</v>
      </c>
      <c r="I772" s="41">
        <v>42338</v>
      </c>
      <c r="J772" s="38">
        <v>3144.6</v>
      </c>
      <c r="K772" s="21">
        <v>531.04999999999995</v>
      </c>
      <c r="L772" s="22">
        <v>7.6135000000000002</v>
      </c>
      <c r="M772" s="23">
        <v>16.5745</v>
      </c>
      <c r="N772" s="22">
        <v>3.3713000000000002</v>
      </c>
      <c r="O772" s="22">
        <v>3.8690000000000002</v>
      </c>
      <c r="P772" s="21">
        <v>13835</v>
      </c>
      <c r="Q772" s="20">
        <v>66.462000000000003</v>
      </c>
      <c r="R772" s="21"/>
    </row>
    <row r="773" spans="1:18">
      <c r="A773" s="14">
        <v>41299</v>
      </c>
      <c r="B773" s="15">
        <v>146.4</v>
      </c>
      <c r="C773" s="15">
        <v>148.30000000000001</v>
      </c>
      <c r="F773">
        <v>12</v>
      </c>
      <c r="G773">
        <v>1</v>
      </c>
      <c r="H773">
        <v>2015</v>
      </c>
      <c r="I773" s="41">
        <v>42339</v>
      </c>
      <c r="J773" s="38">
        <v>3124.8</v>
      </c>
      <c r="K773" s="21">
        <v>533.13</v>
      </c>
      <c r="L773" s="22">
        <v>7.6025</v>
      </c>
      <c r="M773" s="23">
        <v>16.520600000000002</v>
      </c>
      <c r="N773" s="22">
        <v>3.3715999999999999</v>
      </c>
      <c r="O773" s="22">
        <v>3.8574999999999999</v>
      </c>
      <c r="P773" s="21">
        <v>13782.5</v>
      </c>
      <c r="Q773" s="20">
        <v>66.433999999999997</v>
      </c>
      <c r="R773" s="21"/>
    </row>
    <row r="774" spans="1:18">
      <c r="A774" s="14">
        <v>41302</v>
      </c>
      <c r="B774" s="15">
        <v>146.94999999999999</v>
      </c>
      <c r="C774" s="15">
        <v>149</v>
      </c>
      <c r="F774">
        <v>12</v>
      </c>
      <c r="G774">
        <v>2</v>
      </c>
      <c r="H774">
        <v>2015</v>
      </c>
      <c r="I774" s="41">
        <v>42340</v>
      </c>
      <c r="J774" s="38">
        <v>3162</v>
      </c>
      <c r="K774" s="21">
        <v>528.66999999999996</v>
      </c>
      <c r="L774" s="22">
        <v>7.6025</v>
      </c>
      <c r="M774" s="23">
        <v>16.5687</v>
      </c>
      <c r="N774" s="22">
        <v>3.3698999999999999</v>
      </c>
      <c r="O774" s="22">
        <v>3.8351999999999999</v>
      </c>
      <c r="P774" s="21">
        <v>13797.5</v>
      </c>
      <c r="Q774" s="20">
        <v>66.590999999999994</v>
      </c>
      <c r="R774" s="21"/>
    </row>
    <row r="775" spans="1:18">
      <c r="A775" s="14">
        <v>41303</v>
      </c>
      <c r="B775" s="15">
        <v>148.25</v>
      </c>
      <c r="C775" s="15">
        <v>149.80000000000001</v>
      </c>
      <c r="F775">
        <v>12</v>
      </c>
      <c r="G775">
        <v>3</v>
      </c>
      <c r="H775">
        <v>2015</v>
      </c>
      <c r="I775" s="41">
        <v>42341</v>
      </c>
      <c r="J775" s="38">
        <v>3143</v>
      </c>
      <c r="K775" s="21">
        <v>528.58000000000004</v>
      </c>
      <c r="L775" s="22">
        <v>7.6115000000000004</v>
      </c>
      <c r="M775" s="23">
        <v>16.7134</v>
      </c>
      <c r="N775" s="22">
        <v>3.3641000000000001</v>
      </c>
      <c r="O775" s="22">
        <v>3.7595999999999998</v>
      </c>
      <c r="P775" s="21">
        <v>13843.5</v>
      </c>
      <c r="Q775" s="20">
        <v>66.790000000000006</v>
      </c>
      <c r="R775" s="21"/>
    </row>
    <row r="776" spans="1:18">
      <c r="A776" s="14">
        <v>41304</v>
      </c>
      <c r="B776" s="15">
        <v>147.15</v>
      </c>
      <c r="C776" s="15">
        <v>147.69999999999999</v>
      </c>
      <c r="F776">
        <v>12</v>
      </c>
      <c r="G776">
        <v>4</v>
      </c>
      <c r="H776">
        <v>2015</v>
      </c>
      <c r="I776" s="41">
        <v>42342</v>
      </c>
      <c r="J776" s="38">
        <v>3203.5</v>
      </c>
      <c r="K776" s="21">
        <v>531.35</v>
      </c>
      <c r="L776" s="22">
        <v>7.6124999999999998</v>
      </c>
      <c r="M776" s="23">
        <v>16.655899999999999</v>
      </c>
      <c r="N776" s="22">
        <v>3.3673999999999999</v>
      </c>
      <c r="O776" s="22">
        <v>3.7521</v>
      </c>
      <c r="P776" s="21">
        <v>13832</v>
      </c>
      <c r="Q776" s="20">
        <v>66.643000000000001</v>
      </c>
      <c r="R776" s="21"/>
    </row>
    <row r="777" spans="1:18">
      <c r="A777" s="14">
        <v>41305</v>
      </c>
      <c r="B777" s="15">
        <v>146.55000000000001</v>
      </c>
      <c r="C777" s="15">
        <v>146.94999999999999</v>
      </c>
      <c r="F777">
        <v>12</v>
      </c>
      <c r="G777">
        <v>7</v>
      </c>
      <c r="H777">
        <v>2015</v>
      </c>
      <c r="I777" s="41">
        <v>42345</v>
      </c>
      <c r="J777" s="38">
        <v>3308.5</v>
      </c>
      <c r="K777" s="21">
        <v>531</v>
      </c>
      <c r="L777" s="22">
        <v>7.6115000000000004</v>
      </c>
      <c r="M777" s="23">
        <v>16.8889</v>
      </c>
      <c r="N777" s="22">
        <v>3.3729</v>
      </c>
      <c r="O777" s="22">
        <v>3.7681</v>
      </c>
      <c r="P777" s="21">
        <v>13842.5</v>
      </c>
      <c r="Q777" s="20">
        <v>66.772999999999996</v>
      </c>
      <c r="R777" s="21"/>
    </row>
    <row r="778" spans="1:18">
      <c r="A778" s="14">
        <v>41306</v>
      </c>
      <c r="B778" s="15">
        <v>146.9</v>
      </c>
      <c r="C778" s="15">
        <v>147.94999999999999</v>
      </c>
      <c r="F778">
        <v>12</v>
      </c>
      <c r="G778">
        <v>8</v>
      </c>
      <c r="H778">
        <v>2015</v>
      </c>
      <c r="I778" s="41">
        <v>42346</v>
      </c>
      <c r="J778" s="38">
        <v>3308.5</v>
      </c>
      <c r="K778" s="21">
        <v>530.91999999999996</v>
      </c>
      <c r="L778" s="22">
        <v>7.6074999999999999</v>
      </c>
      <c r="M778" s="23">
        <v>17.027000000000001</v>
      </c>
      <c r="N778" s="22">
        <v>3.3744000000000001</v>
      </c>
      <c r="O778" s="22">
        <v>3.7961999999999998</v>
      </c>
      <c r="P778" s="21">
        <v>13872.5</v>
      </c>
      <c r="Q778" s="20">
        <v>66.856999999999999</v>
      </c>
      <c r="R778" s="21"/>
    </row>
    <row r="779" spans="1:18">
      <c r="A779" s="14">
        <v>41309</v>
      </c>
      <c r="B779" s="15">
        <v>143.94999999999999</v>
      </c>
      <c r="C779" s="15">
        <v>144.35</v>
      </c>
      <c r="F779">
        <v>12</v>
      </c>
      <c r="G779">
        <v>9</v>
      </c>
      <c r="H779">
        <v>2015</v>
      </c>
      <c r="I779" s="41">
        <v>42347</v>
      </c>
      <c r="J779" s="38">
        <v>3282.7</v>
      </c>
      <c r="K779" s="21">
        <v>531.28</v>
      </c>
      <c r="L779" s="22">
        <v>7.6115000000000004</v>
      </c>
      <c r="M779" s="23">
        <v>17.063500000000001</v>
      </c>
      <c r="N779" s="22">
        <v>3.3687</v>
      </c>
      <c r="O779" s="22">
        <v>3.7502</v>
      </c>
      <c r="P779" s="21">
        <v>13872.5</v>
      </c>
      <c r="Q779" s="20">
        <v>66.855000000000004</v>
      </c>
      <c r="R779" s="21"/>
    </row>
    <row r="780" spans="1:18">
      <c r="A780" s="14">
        <v>41310</v>
      </c>
      <c r="B780" s="15">
        <v>143.75</v>
      </c>
      <c r="C780" s="15">
        <v>144.05000000000001</v>
      </c>
      <c r="F780">
        <v>12</v>
      </c>
      <c r="G780">
        <v>10</v>
      </c>
      <c r="H780">
        <v>2015</v>
      </c>
      <c r="I780" s="41">
        <v>42348</v>
      </c>
      <c r="J780" s="38">
        <v>3246.2</v>
      </c>
      <c r="K780" s="21">
        <v>525.65</v>
      </c>
      <c r="L780" s="22">
        <v>7.6115000000000004</v>
      </c>
      <c r="M780" s="23">
        <v>17.1968</v>
      </c>
      <c r="N780" s="22">
        <v>3.3704999999999998</v>
      </c>
      <c r="O780" s="22">
        <v>3.8126000000000002</v>
      </c>
      <c r="P780" s="21">
        <v>13935</v>
      </c>
      <c r="Q780" s="20">
        <v>66.756</v>
      </c>
      <c r="R780" s="21"/>
    </row>
    <row r="781" spans="1:18">
      <c r="A781" s="14">
        <v>41311</v>
      </c>
      <c r="B781" s="15">
        <v>141.80000000000001</v>
      </c>
      <c r="C781" s="15">
        <v>142.1</v>
      </c>
      <c r="F781">
        <v>12</v>
      </c>
      <c r="G781">
        <v>11</v>
      </c>
      <c r="H781">
        <v>2015</v>
      </c>
      <c r="I781" s="41">
        <v>42349</v>
      </c>
      <c r="J781" s="38">
        <v>3320</v>
      </c>
      <c r="K781" s="21">
        <v>531.25</v>
      </c>
      <c r="L781" s="22">
        <v>7.6115000000000004</v>
      </c>
      <c r="M781" s="23">
        <v>17.391999999999999</v>
      </c>
      <c r="N781" s="22">
        <v>3.3755999999999999</v>
      </c>
      <c r="O781" s="22">
        <v>3.8730000000000002</v>
      </c>
      <c r="P781" s="21">
        <v>13947.5</v>
      </c>
      <c r="Q781" s="20">
        <v>67.147999999999996</v>
      </c>
      <c r="R781" s="21"/>
    </row>
    <row r="782" spans="1:18">
      <c r="A782" s="14">
        <v>41312</v>
      </c>
      <c r="B782" s="15">
        <v>139.65</v>
      </c>
      <c r="C782" s="15">
        <v>140.30000000000001</v>
      </c>
      <c r="F782">
        <v>12</v>
      </c>
      <c r="G782">
        <v>14</v>
      </c>
      <c r="H782">
        <v>2015</v>
      </c>
      <c r="I782" s="41">
        <v>42352</v>
      </c>
      <c r="J782" s="38">
        <v>3350.5</v>
      </c>
      <c r="K782" s="21">
        <v>528.62</v>
      </c>
      <c r="L782" s="22">
        <v>7.6105</v>
      </c>
      <c r="M782" s="23">
        <v>17.3095</v>
      </c>
      <c r="N782" s="22">
        <v>3.3689</v>
      </c>
      <c r="O782" s="22">
        <v>3.8778999999999999</v>
      </c>
      <c r="P782" s="21">
        <v>14077.5</v>
      </c>
      <c r="Q782" s="20">
        <v>67.093000000000004</v>
      </c>
      <c r="R782" s="21"/>
    </row>
    <row r="783" spans="1:18">
      <c r="A783" s="14">
        <v>41313</v>
      </c>
      <c r="B783" s="15">
        <v>139.4</v>
      </c>
      <c r="C783" s="15">
        <v>141.05000000000001</v>
      </c>
      <c r="F783">
        <v>12</v>
      </c>
      <c r="G783">
        <v>15</v>
      </c>
      <c r="H783">
        <v>2015</v>
      </c>
      <c r="I783" s="41">
        <v>42353</v>
      </c>
      <c r="J783" s="38">
        <v>3320</v>
      </c>
      <c r="K783" s="21">
        <v>528.64</v>
      </c>
      <c r="L783" s="22">
        <v>7.6085000000000003</v>
      </c>
      <c r="M783" s="23">
        <v>17.11</v>
      </c>
      <c r="N783" s="22">
        <v>3.3687999999999998</v>
      </c>
      <c r="O783" s="22">
        <v>3.8730000000000002</v>
      </c>
      <c r="P783" s="21">
        <v>14056.5</v>
      </c>
      <c r="Q783" s="20">
        <v>66.863</v>
      </c>
      <c r="R783" s="21"/>
    </row>
    <row r="784" spans="1:18">
      <c r="A784" s="14">
        <v>41316</v>
      </c>
      <c r="B784" s="15">
        <v>139.69999999999999</v>
      </c>
      <c r="C784" s="15">
        <v>140.15</v>
      </c>
      <c r="F784">
        <v>12</v>
      </c>
      <c r="G784">
        <v>16</v>
      </c>
      <c r="H784">
        <v>2015</v>
      </c>
      <c r="I784" s="41">
        <v>42354</v>
      </c>
      <c r="J784" s="38">
        <v>3334.35</v>
      </c>
      <c r="K784" s="21">
        <v>531.17999999999995</v>
      </c>
      <c r="L784" s="22">
        <v>7.6085000000000003</v>
      </c>
      <c r="M784" s="23">
        <v>16.984999999999999</v>
      </c>
      <c r="N784" s="22">
        <v>3.3744999999999998</v>
      </c>
      <c r="O784" s="22">
        <v>3.8847999999999998</v>
      </c>
      <c r="P784" s="21">
        <v>14069.5</v>
      </c>
      <c r="Q784" s="20">
        <v>66.475999999999999</v>
      </c>
      <c r="R784" s="21"/>
    </row>
    <row r="785" spans="1:18">
      <c r="A785" s="14">
        <v>41317</v>
      </c>
      <c r="B785" s="15">
        <v>138.55000000000001</v>
      </c>
      <c r="C785" s="15">
        <v>140.65</v>
      </c>
      <c r="F785">
        <v>12</v>
      </c>
      <c r="G785">
        <v>17</v>
      </c>
      <c r="H785">
        <v>2015</v>
      </c>
      <c r="I785" s="41">
        <v>42355</v>
      </c>
      <c r="J785" s="38">
        <v>3346.5</v>
      </c>
      <c r="K785" s="21">
        <v>531.20000000000005</v>
      </c>
      <c r="L785" s="22">
        <v>7.6154999999999999</v>
      </c>
      <c r="M785" s="23">
        <v>17.05</v>
      </c>
      <c r="N785" s="22">
        <v>3.3765000000000001</v>
      </c>
      <c r="O785" s="22">
        <v>3.8795999999999999</v>
      </c>
      <c r="P785" s="21">
        <v>14006.5</v>
      </c>
      <c r="Q785" s="20">
        <v>66.421000000000006</v>
      </c>
      <c r="R785" s="21"/>
    </row>
    <row r="786" spans="1:18">
      <c r="A786" s="14">
        <v>41318</v>
      </c>
      <c r="B786" s="15">
        <v>138.30000000000001</v>
      </c>
      <c r="C786" s="15">
        <v>138.75</v>
      </c>
      <c r="F786">
        <v>12</v>
      </c>
      <c r="G786">
        <v>18</v>
      </c>
      <c r="H786">
        <v>2015</v>
      </c>
      <c r="I786" s="41">
        <v>42356</v>
      </c>
      <c r="J786" s="38">
        <v>3328.5</v>
      </c>
      <c r="K786" s="21">
        <v>531.32000000000005</v>
      </c>
      <c r="L786" s="22">
        <v>7.6215000000000002</v>
      </c>
      <c r="M786" s="23">
        <v>17.145</v>
      </c>
      <c r="N786" s="22">
        <v>3.3738000000000001</v>
      </c>
      <c r="O786" s="22">
        <v>3.9824000000000002</v>
      </c>
      <c r="P786" s="21">
        <v>13917.5</v>
      </c>
      <c r="Q786" s="20">
        <v>66.254999999999995</v>
      </c>
      <c r="R786" s="21"/>
    </row>
    <row r="787" spans="1:18">
      <c r="A787" s="14">
        <v>41319</v>
      </c>
      <c r="B787" s="15">
        <v>137.44999999999999</v>
      </c>
      <c r="C787" s="15">
        <v>138</v>
      </c>
      <c r="F787">
        <v>12</v>
      </c>
      <c r="G787">
        <v>21</v>
      </c>
      <c r="H787">
        <v>2015</v>
      </c>
      <c r="I787" s="41">
        <v>42359</v>
      </c>
      <c r="J787" s="38">
        <v>3330</v>
      </c>
      <c r="K787" s="21">
        <v>533.4</v>
      </c>
      <c r="L787" s="22">
        <v>7.6275000000000004</v>
      </c>
      <c r="M787" s="23">
        <v>17.160299999999999</v>
      </c>
      <c r="N787" s="22">
        <v>3.38</v>
      </c>
      <c r="O787" s="22">
        <v>4.0133999999999999</v>
      </c>
      <c r="P787" s="21">
        <v>13772.5</v>
      </c>
      <c r="Q787" s="20">
        <v>66.251000000000005</v>
      </c>
      <c r="R787" s="21"/>
    </row>
    <row r="788" spans="1:18">
      <c r="A788" s="14">
        <v>41320</v>
      </c>
      <c r="B788" s="15">
        <v>136.44999999999999</v>
      </c>
      <c r="C788" s="15">
        <v>136.94999999999999</v>
      </c>
      <c r="F788">
        <v>12</v>
      </c>
      <c r="G788">
        <v>22</v>
      </c>
      <c r="H788">
        <v>2015</v>
      </c>
      <c r="I788" s="41">
        <v>42360</v>
      </c>
      <c r="J788" s="38">
        <v>3313.5</v>
      </c>
      <c r="K788" s="21">
        <v>535.04999999999995</v>
      </c>
      <c r="L788" s="22">
        <v>7.6215000000000002</v>
      </c>
      <c r="M788" s="23">
        <v>17.189800000000002</v>
      </c>
      <c r="N788" s="22">
        <v>3.3915999999999999</v>
      </c>
      <c r="O788" s="22">
        <v>3.9899</v>
      </c>
      <c r="P788" s="21">
        <v>13675</v>
      </c>
      <c r="Q788" s="20">
        <v>66.244</v>
      </c>
      <c r="R788" s="21"/>
    </row>
    <row r="789" spans="1:18">
      <c r="A789" s="14">
        <v>41324</v>
      </c>
      <c r="B789" s="15">
        <v>135.9</v>
      </c>
      <c r="C789" s="15">
        <v>136.5</v>
      </c>
      <c r="F789">
        <v>12</v>
      </c>
      <c r="G789">
        <v>23</v>
      </c>
      <c r="H789">
        <v>2015</v>
      </c>
      <c r="I789" s="41">
        <v>42361</v>
      </c>
      <c r="J789" s="38">
        <v>3215.5</v>
      </c>
      <c r="K789" s="21">
        <v>535.25</v>
      </c>
      <c r="L789" s="22">
        <v>7.6204999999999998</v>
      </c>
      <c r="M789" s="23">
        <v>17.225000000000001</v>
      </c>
      <c r="N789" s="22">
        <v>3.3956</v>
      </c>
      <c r="O789" s="22">
        <v>3.9419</v>
      </c>
      <c r="P789" s="21">
        <v>13642.5</v>
      </c>
      <c r="Q789" s="20">
        <v>66.037000000000006</v>
      </c>
      <c r="R789" s="21"/>
    </row>
    <row r="790" spans="1:18">
      <c r="A790" s="14">
        <v>41325</v>
      </c>
      <c r="B790" s="15">
        <v>136.55000000000001</v>
      </c>
      <c r="C790" s="15">
        <v>141</v>
      </c>
      <c r="F790">
        <v>12</v>
      </c>
      <c r="G790">
        <v>24</v>
      </c>
      <c r="H790">
        <v>2015</v>
      </c>
      <c r="I790" s="41">
        <v>42362</v>
      </c>
      <c r="J790" s="38">
        <v>3173</v>
      </c>
      <c r="K790" s="21">
        <v>535.42999999999995</v>
      </c>
      <c r="L790" s="22">
        <v>7.6154999999999999</v>
      </c>
      <c r="M790" s="23">
        <v>17.225000000000001</v>
      </c>
      <c r="N790" s="22">
        <v>3.3895</v>
      </c>
      <c r="O790" s="22">
        <v>3.9529999999999998</v>
      </c>
      <c r="P790" s="21">
        <v>13642.5</v>
      </c>
      <c r="Q790" s="20">
        <v>65.947000000000003</v>
      </c>
      <c r="R790" s="21"/>
    </row>
    <row r="791" spans="1:18">
      <c r="A791" s="14">
        <v>41326</v>
      </c>
      <c r="B791" s="15">
        <v>138.75</v>
      </c>
      <c r="C791" s="15">
        <v>141.75</v>
      </c>
      <c r="F791">
        <v>12</v>
      </c>
      <c r="G791">
        <v>25</v>
      </c>
      <c r="H791">
        <v>2015</v>
      </c>
      <c r="I791" s="41">
        <v>42363</v>
      </c>
      <c r="J791" s="38">
        <v>3187.5</v>
      </c>
      <c r="K791" s="21">
        <v>535.42999999999995</v>
      </c>
      <c r="L791" s="22">
        <v>7.6154999999999999</v>
      </c>
      <c r="M791" s="23">
        <v>17.23</v>
      </c>
      <c r="N791" s="22">
        <v>3.3833000000000002</v>
      </c>
      <c r="O791" s="22">
        <v>3.9462999999999999</v>
      </c>
      <c r="P791" s="21">
        <v>13642.5</v>
      </c>
      <c r="Q791" s="20">
        <v>66.025000000000006</v>
      </c>
      <c r="R791" s="21"/>
    </row>
    <row r="792" spans="1:18">
      <c r="A792" s="14">
        <v>41327</v>
      </c>
      <c r="B792" s="15">
        <v>142.19999999999999</v>
      </c>
      <c r="C792" s="15">
        <v>143.1</v>
      </c>
      <c r="F792">
        <v>12</v>
      </c>
      <c r="G792">
        <v>28</v>
      </c>
      <c r="H792">
        <v>2015</v>
      </c>
      <c r="I792" s="41">
        <v>42366</v>
      </c>
      <c r="J792" s="38">
        <v>3175.5</v>
      </c>
      <c r="K792" s="21">
        <v>536.29999999999995</v>
      </c>
      <c r="L792" s="22">
        <v>7.6135000000000002</v>
      </c>
      <c r="M792" s="23">
        <v>17.2498</v>
      </c>
      <c r="N792" s="22">
        <v>3.3978000000000002</v>
      </c>
      <c r="O792" s="22">
        <v>3.8586</v>
      </c>
      <c r="P792" s="21">
        <v>13650</v>
      </c>
      <c r="Q792" s="20">
        <v>66.137</v>
      </c>
      <c r="R792" s="21"/>
    </row>
    <row r="793" spans="1:18">
      <c r="A793" s="14">
        <v>41330</v>
      </c>
      <c r="B793" s="15">
        <v>140.6</v>
      </c>
      <c r="C793" s="15">
        <v>142.6</v>
      </c>
      <c r="F793">
        <v>12</v>
      </c>
      <c r="G793">
        <v>29</v>
      </c>
      <c r="H793">
        <v>2015</v>
      </c>
      <c r="I793" s="41">
        <v>42367</v>
      </c>
      <c r="J793" s="38">
        <v>3166.5</v>
      </c>
      <c r="K793" s="21">
        <v>537.33000000000004</v>
      </c>
      <c r="L793" s="22">
        <v>7.6165000000000003</v>
      </c>
      <c r="M793" s="23">
        <v>17.25</v>
      </c>
      <c r="N793" s="22">
        <v>3.4049999999999998</v>
      </c>
      <c r="O793" s="22">
        <v>3.8654999999999999</v>
      </c>
      <c r="P793" s="21">
        <v>13745</v>
      </c>
      <c r="Q793" s="20">
        <v>66.234999999999999</v>
      </c>
      <c r="R793" s="21"/>
    </row>
    <row r="794" spans="1:18">
      <c r="A794" s="14">
        <v>41331</v>
      </c>
      <c r="B794" s="15">
        <v>141</v>
      </c>
      <c r="C794" s="15">
        <v>142.9</v>
      </c>
      <c r="F794">
        <v>12</v>
      </c>
      <c r="G794">
        <v>30</v>
      </c>
      <c r="H794">
        <v>2015</v>
      </c>
      <c r="I794" s="41">
        <v>42368</v>
      </c>
      <c r="J794" s="38">
        <v>3175</v>
      </c>
      <c r="K794" s="21">
        <v>537.29999999999995</v>
      </c>
      <c r="L794" s="22">
        <v>7.6334999999999997</v>
      </c>
      <c r="M794" s="23">
        <v>17.3825</v>
      </c>
      <c r="N794" s="22">
        <v>3.4095</v>
      </c>
      <c r="O794" s="22">
        <v>3.9607999999999999</v>
      </c>
      <c r="P794" s="21">
        <v>13782.5</v>
      </c>
      <c r="Q794" s="20">
        <v>66.474999999999994</v>
      </c>
      <c r="R794" s="21"/>
    </row>
    <row r="795" spans="1:18">
      <c r="A795" s="14">
        <v>41332</v>
      </c>
      <c r="B795" s="15">
        <v>141.65</v>
      </c>
      <c r="C795" s="15">
        <v>142.4</v>
      </c>
      <c r="F795">
        <v>12</v>
      </c>
      <c r="G795">
        <v>31</v>
      </c>
      <c r="H795">
        <v>2015</v>
      </c>
      <c r="I795" s="41">
        <v>42369</v>
      </c>
      <c r="J795" s="38">
        <v>3174.5</v>
      </c>
      <c r="K795" s="21">
        <v>537.29999999999995</v>
      </c>
      <c r="L795" s="22">
        <v>7.6334999999999997</v>
      </c>
      <c r="M795" s="23">
        <v>17.18</v>
      </c>
      <c r="N795" s="22">
        <v>3.4144999999999999</v>
      </c>
      <c r="O795" s="22">
        <v>3.9607999999999999</v>
      </c>
      <c r="P795" s="21">
        <v>13787.5</v>
      </c>
      <c r="Q795" s="20">
        <v>66.207999999999998</v>
      </c>
      <c r="R795" s="21"/>
    </row>
    <row r="796" spans="1:18">
      <c r="A796" s="14">
        <v>41333</v>
      </c>
      <c r="B796" s="15">
        <v>141.5</v>
      </c>
      <c r="C796" s="15">
        <v>142.65</v>
      </c>
      <c r="F796">
        <v>1</v>
      </c>
      <c r="G796">
        <v>1</v>
      </c>
      <c r="H796">
        <v>2016</v>
      </c>
      <c r="I796" s="41">
        <v>42370</v>
      </c>
      <c r="J796" s="38">
        <v>3175</v>
      </c>
      <c r="K796" s="21">
        <v>538.4</v>
      </c>
      <c r="L796" s="22">
        <v>7.6319999999999997</v>
      </c>
      <c r="M796" s="23">
        <v>17.18</v>
      </c>
      <c r="N796" s="22">
        <v>3.4095</v>
      </c>
      <c r="O796" s="22">
        <v>3.9607999999999999</v>
      </c>
      <c r="P796" s="21">
        <v>13787.5</v>
      </c>
      <c r="Q796" s="20">
        <v>66.234999999999999</v>
      </c>
      <c r="R796" s="21"/>
    </row>
    <row r="797" spans="1:18">
      <c r="A797" s="14">
        <v>41334</v>
      </c>
      <c r="B797" s="15">
        <v>142</v>
      </c>
      <c r="C797" s="15">
        <v>142.9</v>
      </c>
      <c r="F797">
        <v>1</v>
      </c>
      <c r="G797">
        <v>4</v>
      </c>
      <c r="H797">
        <v>2016</v>
      </c>
      <c r="I797" s="41">
        <v>42373</v>
      </c>
      <c r="J797" s="38">
        <v>3220</v>
      </c>
      <c r="K797" s="21">
        <v>536.92999999999995</v>
      </c>
      <c r="L797" s="22">
        <v>7.6515000000000004</v>
      </c>
      <c r="M797" s="23">
        <v>17.309899999999999</v>
      </c>
      <c r="N797" s="22">
        <v>3.4138000000000002</v>
      </c>
      <c r="O797" s="22">
        <v>4.0401999999999996</v>
      </c>
      <c r="P797" s="21">
        <v>13915</v>
      </c>
      <c r="Q797" s="20">
        <v>66.578999999999994</v>
      </c>
      <c r="R797" s="21"/>
    </row>
    <row r="798" spans="1:18">
      <c r="A798" s="14">
        <v>41337</v>
      </c>
      <c r="B798" s="15">
        <v>0</v>
      </c>
      <c r="C798" s="15">
        <v>145.94999999999999</v>
      </c>
      <c r="F798">
        <v>1</v>
      </c>
      <c r="G798">
        <v>5</v>
      </c>
      <c r="H798">
        <v>2016</v>
      </c>
      <c r="I798" s="41">
        <v>42374</v>
      </c>
      <c r="J798" s="38">
        <v>3211.5</v>
      </c>
      <c r="K798" s="21">
        <v>535.76</v>
      </c>
      <c r="L798" s="22">
        <v>7.6544999999999996</v>
      </c>
      <c r="M798" s="23">
        <v>17.338699999999999</v>
      </c>
      <c r="N798" s="22">
        <v>3.4079999999999999</v>
      </c>
      <c r="O798" s="22">
        <v>4.0076999999999998</v>
      </c>
      <c r="P798" s="21">
        <v>13862.5</v>
      </c>
      <c r="Q798" s="20">
        <v>66.480999999999995</v>
      </c>
      <c r="R798" s="21"/>
    </row>
    <row r="799" spans="1:18">
      <c r="A799" s="14">
        <v>41338</v>
      </c>
      <c r="B799" s="15">
        <v>140.1</v>
      </c>
      <c r="C799" s="15">
        <v>140.5</v>
      </c>
      <c r="F799">
        <v>1</v>
      </c>
      <c r="G799">
        <v>6</v>
      </c>
      <c r="H799">
        <v>2016</v>
      </c>
      <c r="I799" s="41">
        <v>42375</v>
      </c>
      <c r="J799" s="38">
        <v>3255.5</v>
      </c>
      <c r="K799" s="21">
        <v>535.25</v>
      </c>
      <c r="L799" s="22">
        <v>7.6604999999999999</v>
      </c>
      <c r="M799" s="23">
        <v>17.54</v>
      </c>
      <c r="N799" s="22">
        <v>3.4053</v>
      </c>
      <c r="O799" s="22">
        <v>4.0244</v>
      </c>
      <c r="P799" s="21">
        <v>13947.5</v>
      </c>
      <c r="Q799" s="20">
        <v>66.697999999999993</v>
      </c>
      <c r="R799" s="21"/>
    </row>
    <row r="800" spans="1:18">
      <c r="A800" s="14">
        <v>41339</v>
      </c>
      <c r="B800" s="15">
        <v>140.1</v>
      </c>
      <c r="C800" s="15">
        <v>140.6</v>
      </c>
      <c r="F800">
        <v>1</v>
      </c>
      <c r="G800">
        <v>7</v>
      </c>
      <c r="H800">
        <v>2016</v>
      </c>
      <c r="I800" s="41">
        <v>42376</v>
      </c>
      <c r="J800" s="38">
        <v>3272</v>
      </c>
      <c r="K800" s="21">
        <v>535.48</v>
      </c>
      <c r="L800" s="22">
        <v>7.6565000000000003</v>
      </c>
      <c r="M800" s="23">
        <v>17.855</v>
      </c>
      <c r="N800" s="22">
        <v>3.4235000000000002</v>
      </c>
      <c r="O800" s="22">
        <v>4.0448000000000004</v>
      </c>
      <c r="P800" s="21">
        <v>13927.5</v>
      </c>
      <c r="Q800" s="20">
        <v>66.891000000000005</v>
      </c>
      <c r="R800" s="21"/>
    </row>
    <row r="801" spans="1:18">
      <c r="A801" s="14">
        <v>41340</v>
      </c>
      <c r="B801" s="15">
        <v>139.94999999999999</v>
      </c>
      <c r="C801" s="15">
        <v>142.44999999999999</v>
      </c>
      <c r="F801">
        <v>1</v>
      </c>
      <c r="G801">
        <v>8</v>
      </c>
      <c r="H801">
        <v>2016</v>
      </c>
      <c r="I801" s="41">
        <v>42377</v>
      </c>
      <c r="J801" s="38">
        <v>3265.98</v>
      </c>
      <c r="K801" s="21">
        <v>535.45000000000005</v>
      </c>
      <c r="L801" s="22">
        <v>7.6585000000000001</v>
      </c>
      <c r="M801" s="23">
        <v>17.934999999999999</v>
      </c>
      <c r="N801" s="22">
        <v>3.4249999999999998</v>
      </c>
      <c r="O801" s="22">
        <v>4.0244999999999997</v>
      </c>
      <c r="P801" s="21">
        <v>13922.5</v>
      </c>
      <c r="Q801" s="20">
        <v>66.846999999999994</v>
      </c>
      <c r="R801" s="21"/>
    </row>
    <row r="802" spans="1:18">
      <c r="A802" s="14">
        <v>41341</v>
      </c>
      <c r="B802" s="15">
        <v>142.5</v>
      </c>
      <c r="C802" s="15">
        <v>143.35</v>
      </c>
      <c r="F802">
        <v>1</v>
      </c>
      <c r="G802">
        <v>11</v>
      </c>
      <c r="H802">
        <v>2016</v>
      </c>
      <c r="I802" s="41">
        <v>42380</v>
      </c>
      <c r="J802" s="38">
        <v>3265.5</v>
      </c>
      <c r="K802" s="21">
        <v>534.75</v>
      </c>
      <c r="L802" s="22">
        <v>7.6524999999999999</v>
      </c>
      <c r="M802" s="23">
        <v>17.885000000000002</v>
      </c>
      <c r="N802" s="22">
        <v>3.4298000000000002</v>
      </c>
      <c r="O802" s="22">
        <v>4.0537000000000001</v>
      </c>
      <c r="P802" s="21">
        <v>13875</v>
      </c>
      <c r="Q802" s="20">
        <v>66.760000000000005</v>
      </c>
      <c r="R802" s="21"/>
    </row>
    <row r="803" spans="1:18">
      <c r="A803" s="14">
        <v>41344</v>
      </c>
      <c r="B803" s="15">
        <v>143.30000000000001</v>
      </c>
      <c r="C803" s="15">
        <v>143.05000000000001</v>
      </c>
      <c r="F803">
        <v>1</v>
      </c>
      <c r="G803">
        <v>12</v>
      </c>
      <c r="H803">
        <v>2016</v>
      </c>
      <c r="I803" s="41">
        <v>42381</v>
      </c>
      <c r="J803" s="38">
        <v>3276</v>
      </c>
      <c r="K803" s="21">
        <v>534.32000000000005</v>
      </c>
      <c r="L803" s="22">
        <v>7.6494999999999997</v>
      </c>
      <c r="M803" s="23">
        <v>17.895</v>
      </c>
      <c r="N803" s="22">
        <v>3.4264000000000001</v>
      </c>
      <c r="O803" s="22">
        <v>4.0289999999999999</v>
      </c>
      <c r="P803" s="21">
        <v>13910</v>
      </c>
      <c r="Q803" s="20">
        <v>66.945999999999998</v>
      </c>
      <c r="R803" s="21"/>
    </row>
    <row r="804" spans="1:18">
      <c r="A804" s="14">
        <v>41345</v>
      </c>
      <c r="B804" s="15">
        <v>141.55000000000001</v>
      </c>
      <c r="C804" s="15">
        <v>141.65</v>
      </c>
      <c r="F804">
        <v>1</v>
      </c>
      <c r="G804">
        <v>13</v>
      </c>
      <c r="H804">
        <v>2016</v>
      </c>
      <c r="I804" s="41">
        <v>42382</v>
      </c>
      <c r="J804" s="38">
        <v>3255.5</v>
      </c>
      <c r="K804" s="21">
        <v>533.70000000000005</v>
      </c>
      <c r="L804" s="22">
        <v>7.6485000000000003</v>
      </c>
      <c r="M804" s="23">
        <v>17.949000000000002</v>
      </c>
      <c r="N804" s="22">
        <v>3.4297</v>
      </c>
      <c r="O804" s="22">
        <v>4.0157999999999996</v>
      </c>
      <c r="P804" s="21">
        <v>13827.5</v>
      </c>
      <c r="Q804" s="20">
        <v>66.917000000000002</v>
      </c>
      <c r="R804" s="21"/>
    </row>
    <row r="805" spans="1:18">
      <c r="A805" s="14">
        <v>41346</v>
      </c>
      <c r="B805" s="15">
        <v>140.19999999999999</v>
      </c>
      <c r="C805" s="15">
        <v>140.05000000000001</v>
      </c>
      <c r="F805">
        <v>1</v>
      </c>
      <c r="G805">
        <v>14</v>
      </c>
      <c r="H805">
        <v>2016</v>
      </c>
      <c r="I805" s="41">
        <v>42383</v>
      </c>
      <c r="J805" s="38">
        <v>3229.74</v>
      </c>
      <c r="K805" s="21">
        <v>535.67999999999995</v>
      </c>
      <c r="L805" s="22">
        <v>7.6414999999999997</v>
      </c>
      <c r="M805" s="23">
        <v>17.882300000000001</v>
      </c>
      <c r="N805" s="22">
        <v>3.4209999999999998</v>
      </c>
      <c r="O805" s="22">
        <v>3.9996</v>
      </c>
      <c r="P805" s="21">
        <v>13910</v>
      </c>
      <c r="Q805" s="20">
        <v>67.316000000000003</v>
      </c>
      <c r="R805" s="21"/>
    </row>
    <row r="806" spans="1:18">
      <c r="A806" s="14">
        <v>41347</v>
      </c>
      <c r="B806" s="15">
        <v>139.65</v>
      </c>
      <c r="C806" s="15">
        <v>138.9</v>
      </c>
      <c r="F806">
        <v>1</v>
      </c>
      <c r="G806">
        <v>15</v>
      </c>
      <c r="H806">
        <v>2016</v>
      </c>
      <c r="I806" s="41">
        <v>42384</v>
      </c>
      <c r="J806" s="38">
        <v>3302.5</v>
      </c>
      <c r="K806" s="21">
        <v>533.74</v>
      </c>
      <c r="L806" s="22">
        <v>7.6334999999999997</v>
      </c>
      <c r="M806" s="23">
        <v>18.262</v>
      </c>
      <c r="N806" s="22">
        <v>3.4218999999999999</v>
      </c>
      <c r="O806" s="22">
        <v>4.0479000000000003</v>
      </c>
      <c r="P806" s="21">
        <v>13894.5</v>
      </c>
      <c r="Q806" s="20">
        <v>67.775000000000006</v>
      </c>
      <c r="R806" s="21"/>
    </row>
    <row r="807" spans="1:18">
      <c r="A807" s="14">
        <v>41348</v>
      </c>
      <c r="B807" s="15">
        <v>137.4</v>
      </c>
      <c r="C807" s="15">
        <v>136.5</v>
      </c>
      <c r="F807">
        <v>1</v>
      </c>
      <c r="G807">
        <v>18</v>
      </c>
      <c r="H807">
        <v>2016</v>
      </c>
      <c r="I807" s="41">
        <v>42387</v>
      </c>
      <c r="J807" s="38">
        <v>3300.8</v>
      </c>
      <c r="K807" s="21">
        <v>533.74</v>
      </c>
      <c r="L807" s="22">
        <v>7.6284999999999998</v>
      </c>
      <c r="M807" s="23">
        <v>18.209499999999998</v>
      </c>
      <c r="N807" s="22">
        <v>3.4335</v>
      </c>
      <c r="O807" s="22">
        <v>4.0556999999999999</v>
      </c>
      <c r="P807" s="21">
        <v>13932.5</v>
      </c>
      <c r="Q807" s="20">
        <v>67.661000000000001</v>
      </c>
      <c r="R807" s="21"/>
    </row>
    <row r="808" spans="1:18">
      <c r="A808" s="14">
        <v>41351</v>
      </c>
      <c r="B808" s="15">
        <v>133.69999999999999</v>
      </c>
      <c r="C808" s="15">
        <v>133.15</v>
      </c>
      <c r="F808">
        <v>1</v>
      </c>
      <c r="G808">
        <v>19</v>
      </c>
      <c r="H808">
        <v>2016</v>
      </c>
      <c r="I808" s="41">
        <v>42388</v>
      </c>
      <c r="J808" s="38">
        <v>3310</v>
      </c>
      <c r="K808" s="21">
        <v>533.79999999999995</v>
      </c>
      <c r="L808" s="22">
        <v>7.6295000000000002</v>
      </c>
      <c r="M808" s="23">
        <v>18.278400000000001</v>
      </c>
      <c r="N808" s="22">
        <v>3.4359999999999999</v>
      </c>
      <c r="O808" s="22">
        <v>4.0625999999999998</v>
      </c>
      <c r="P808" s="21">
        <v>13880</v>
      </c>
      <c r="Q808" s="20">
        <v>67.733999999999995</v>
      </c>
      <c r="R808" s="21"/>
    </row>
    <row r="809" spans="1:18">
      <c r="A809" s="14">
        <v>41352</v>
      </c>
      <c r="B809" s="15">
        <v>132.55000000000001</v>
      </c>
      <c r="C809" s="15">
        <v>133.1</v>
      </c>
      <c r="F809">
        <v>1</v>
      </c>
      <c r="G809">
        <v>20</v>
      </c>
      <c r="H809">
        <v>2016</v>
      </c>
      <c r="I809" s="41">
        <v>42389</v>
      </c>
      <c r="J809" s="38">
        <v>3394.05</v>
      </c>
      <c r="K809" s="21">
        <v>534</v>
      </c>
      <c r="L809" s="22">
        <v>7.6254999999999997</v>
      </c>
      <c r="M809" s="23">
        <v>18.524999999999999</v>
      </c>
      <c r="N809" s="22">
        <v>3.4449999999999998</v>
      </c>
      <c r="O809" s="22">
        <v>4.0971000000000002</v>
      </c>
      <c r="P809" s="21">
        <v>13960</v>
      </c>
      <c r="Q809" s="20">
        <v>67.957999999999998</v>
      </c>
      <c r="R809" s="21"/>
    </row>
    <row r="810" spans="1:18">
      <c r="A810" s="14">
        <v>41353</v>
      </c>
      <c r="B810" s="15">
        <v>132.05000000000001</v>
      </c>
      <c r="C810" s="15">
        <v>133.6</v>
      </c>
      <c r="F810">
        <v>1</v>
      </c>
      <c r="G810">
        <v>21</v>
      </c>
      <c r="H810">
        <v>2016</v>
      </c>
      <c r="I810" s="41">
        <v>42390</v>
      </c>
      <c r="J810" s="38">
        <v>3320</v>
      </c>
      <c r="K810" s="21">
        <v>534</v>
      </c>
      <c r="L810" s="22">
        <v>7.6364999999999998</v>
      </c>
      <c r="M810" s="23">
        <v>18.728200000000001</v>
      </c>
      <c r="N810" s="22">
        <v>3.4481000000000002</v>
      </c>
      <c r="O810" s="22">
        <v>4.1574999999999998</v>
      </c>
      <c r="P810" s="21">
        <v>13910</v>
      </c>
      <c r="Q810" s="20">
        <v>67.799000000000007</v>
      </c>
      <c r="R810" s="21"/>
    </row>
    <row r="811" spans="1:18">
      <c r="A811" s="14">
        <v>41354</v>
      </c>
      <c r="B811" s="15">
        <v>132.35</v>
      </c>
      <c r="C811" s="15">
        <v>133.75</v>
      </c>
      <c r="F811">
        <v>1</v>
      </c>
      <c r="G811">
        <v>22</v>
      </c>
      <c r="H811">
        <v>2016</v>
      </c>
      <c r="I811" s="41">
        <v>42391</v>
      </c>
      <c r="J811" s="38">
        <v>3310</v>
      </c>
      <c r="K811" s="21">
        <v>534.5</v>
      </c>
      <c r="L811" s="22">
        <v>7.6475</v>
      </c>
      <c r="M811" s="23">
        <v>18.434999999999999</v>
      </c>
      <c r="N811" s="22">
        <v>3.4459</v>
      </c>
      <c r="O811" s="22">
        <v>4.0945</v>
      </c>
      <c r="P811" s="21">
        <v>13850</v>
      </c>
      <c r="Q811" s="20">
        <v>67.549000000000007</v>
      </c>
      <c r="R811" s="21"/>
    </row>
    <row r="812" spans="1:18">
      <c r="A812" s="14">
        <v>41355</v>
      </c>
      <c r="B812" s="15">
        <v>133.19999999999999</v>
      </c>
      <c r="C812" s="15">
        <v>135.30000000000001</v>
      </c>
      <c r="F812">
        <v>1</v>
      </c>
      <c r="G812">
        <v>25</v>
      </c>
      <c r="H812">
        <v>2016</v>
      </c>
      <c r="I812" s="41">
        <v>42394</v>
      </c>
      <c r="J812" s="38">
        <v>3399</v>
      </c>
      <c r="K812" s="21">
        <v>534.77</v>
      </c>
      <c r="L812" s="22">
        <v>7.6485000000000003</v>
      </c>
      <c r="M812" s="23">
        <v>18.605</v>
      </c>
      <c r="N812" s="22">
        <v>3.4645999999999999</v>
      </c>
      <c r="O812" s="22">
        <v>4.0903</v>
      </c>
      <c r="P812" s="21">
        <v>13872.5</v>
      </c>
      <c r="Q812" s="20">
        <v>67.754999999999995</v>
      </c>
      <c r="R812" s="21"/>
    </row>
    <row r="813" spans="1:18">
      <c r="A813" s="14">
        <v>41358</v>
      </c>
      <c r="B813" s="15">
        <v>134.65</v>
      </c>
      <c r="C813" s="15">
        <v>135.6</v>
      </c>
      <c r="F813">
        <v>1</v>
      </c>
      <c r="G813">
        <v>26</v>
      </c>
      <c r="H813">
        <v>2016</v>
      </c>
      <c r="I813" s="41">
        <v>42395</v>
      </c>
      <c r="J813" s="38">
        <v>3365.78</v>
      </c>
      <c r="K813" s="21">
        <v>534.89</v>
      </c>
      <c r="L813" s="22">
        <v>7.6544999999999996</v>
      </c>
      <c r="M813" s="23">
        <v>18.465</v>
      </c>
      <c r="N813" s="22">
        <v>3.4649999999999999</v>
      </c>
      <c r="O813" s="22">
        <v>4.0536000000000003</v>
      </c>
      <c r="P813" s="21">
        <v>13900</v>
      </c>
      <c r="Q813" s="20">
        <v>67.739000000000004</v>
      </c>
      <c r="R813" s="21"/>
    </row>
    <row r="814" spans="1:18">
      <c r="A814" s="14">
        <v>41359</v>
      </c>
      <c r="B814" s="15">
        <v>135.30000000000001</v>
      </c>
      <c r="C814" s="15">
        <v>137.6</v>
      </c>
      <c r="F814">
        <v>1</v>
      </c>
      <c r="G814">
        <v>27</v>
      </c>
      <c r="H814">
        <v>2016</v>
      </c>
      <c r="I814" s="41">
        <v>42396</v>
      </c>
      <c r="J814" s="38">
        <v>3356.6</v>
      </c>
      <c r="K814" s="21">
        <v>535.08000000000004</v>
      </c>
      <c r="L814" s="22">
        <v>7.6764999999999999</v>
      </c>
      <c r="M814" s="23">
        <v>18.47</v>
      </c>
      <c r="N814" s="22">
        <v>3.4649999999999999</v>
      </c>
      <c r="O814" s="22">
        <v>4.1077000000000004</v>
      </c>
      <c r="P814" s="21">
        <v>13878.5</v>
      </c>
      <c r="Q814" s="20">
        <v>68.144000000000005</v>
      </c>
      <c r="R814" s="21"/>
    </row>
    <row r="815" spans="1:18">
      <c r="A815" s="14">
        <v>41360</v>
      </c>
      <c r="B815" s="15">
        <v>134.85</v>
      </c>
      <c r="C815" s="15">
        <v>136.6</v>
      </c>
      <c r="F815">
        <v>1</v>
      </c>
      <c r="G815">
        <v>28</v>
      </c>
      <c r="H815">
        <v>2016</v>
      </c>
      <c r="I815" s="41">
        <v>42397</v>
      </c>
      <c r="J815" s="38">
        <v>3282.6</v>
      </c>
      <c r="K815" s="21">
        <v>535.53</v>
      </c>
      <c r="L815" s="22">
        <v>7.6844999999999999</v>
      </c>
      <c r="M815" s="23">
        <v>18.329999999999998</v>
      </c>
      <c r="N815" s="22">
        <v>3.4649999999999999</v>
      </c>
      <c r="O815" s="22">
        <v>4.0698999999999996</v>
      </c>
      <c r="P815" s="21">
        <v>13874.5</v>
      </c>
      <c r="Q815" s="20">
        <v>68.052999999999997</v>
      </c>
      <c r="R815" s="21"/>
    </row>
    <row r="816" spans="1:18">
      <c r="A816" s="14">
        <v>41361</v>
      </c>
      <c r="B816" s="15">
        <v>135.85</v>
      </c>
      <c r="C816" s="15">
        <v>137.15</v>
      </c>
      <c r="F816">
        <v>1</v>
      </c>
      <c r="G816">
        <v>29</v>
      </c>
      <c r="H816">
        <v>2016</v>
      </c>
      <c r="I816" s="41">
        <v>42398</v>
      </c>
      <c r="J816" s="38">
        <v>3282.5</v>
      </c>
      <c r="K816" s="21">
        <v>536.29</v>
      </c>
      <c r="L816" s="22">
        <v>7.6784999999999997</v>
      </c>
      <c r="M816" s="23">
        <v>18.11</v>
      </c>
      <c r="N816" s="22">
        <v>3.4708999999999999</v>
      </c>
      <c r="O816" s="22">
        <v>3.9988000000000001</v>
      </c>
      <c r="P816" s="21">
        <v>13775</v>
      </c>
      <c r="Q816" s="20">
        <v>67.878</v>
      </c>
      <c r="R816" s="21"/>
    </row>
    <row r="817" spans="1:18">
      <c r="A817" s="14">
        <v>41365</v>
      </c>
      <c r="B817" s="15">
        <v>135.5</v>
      </c>
      <c r="C817" s="15">
        <v>138.4</v>
      </c>
      <c r="F817">
        <v>2</v>
      </c>
      <c r="G817">
        <v>1</v>
      </c>
      <c r="H817">
        <v>2016</v>
      </c>
      <c r="I817" s="41">
        <v>42401</v>
      </c>
      <c r="J817" s="38">
        <v>3327.84</v>
      </c>
      <c r="K817" s="21">
        <v>536.86</v>
      </c>
      <c r="L817" s="22">
        <v>7.6715</v>
      </c>
      <c r="M817" s="23">
        <v>18.238700000000001</v>
      </c>
      <c r="N817" s="22">
        <v>3.4832999999999998</v>
      </c>
      <c r="O817" s="22">
        <v>3.9628999999999999</v>
      </c>
      <c r="P817" s="21">
        <v>13637.5</v>
      </c>
      <c r="Q817" s="20">
        <v>67.834999999999994</v>
      </c>
      <c r="R817" s="21"/>
    </row>
    <row r="818" spans="1:18">
      <c r="A818" s="14">
        <v>41366</v>
      </c>
      <c r="B818" s="15">
        <v>135.65</v>
      </c>
      <c r="C818" s="15">
        <v>136.15</v>
      </c>
      <c r="F818">
        <v>2</v>
      </c>
      <c r="G818">
        <v>2</v>
      </c>
      <c r="H818">
        <v>2016</v>
      </c>
      <c r="I818" s="41">
        <v>42402</v>
      </c>
      <c r="J818" s="38">
        <v>3395</v>
      </c>
      <c r="K818" s="21">
        <v>536.99</v>
      </c>
      <c r="L818" s="22">
        <v>7.6635</v>
      </c>
      <c r="M818" s="23">
        <v>18.480499999999999</v>
      </c>
      <c r="N818" s="22">
        <v>3.4950000000000001</v>
      </c>
      <c r="O818" s="22">
        <v>3.9895</v>
      </c>
      <c r="P818" s="21">
        <v>13687.5</v>
      </c>
      <c r="Q818" s="20">
        <v>67.974999999999994</v>
      </c>
      <c r="R818" s="21"/>
    </row>
    <row r="819" spans="1:18">
      <c r="A819" s="14">
        <v>41367</v>
      </c>
      <c r="B819" s="15">
        <v>135.5</v>
      </c>
      <c r="C819" s="15">
        <v>139.44999999999999</v>
      </c>
      <c r="F819">
        <v>2</v>
      </c>
      <c r="G819">
        <v>3</v>
      </c>
      <c r="H819">
        <v>2016</v>
      </c>
      <c r="I819" s="41">
        <v>42403</v>
      </c>
      <c r="J819" s="38">
        <v>3374.99</v>
      </c>
      <c r="K819" s="21">
        <v>537.19000000000005</v>
      </c>
      <c r="L819" s="22">
        <v>7.6574999999999998</v>
      </c>
      <c r="M819" s="23">
        <v>18.1708</v>
      </c>
      <c r="N819" s="22">
        <v>3.4889999999999999</v>
      </c>
      <c r="O819" s="22">
        <v>3.8954</v>
      </c>
      <c r="P819" s="21">
        <v>13765</v>
      </c>
      <c r="Q819" s="20">
        <v>67.933999999999997</v>
      </c>
      <c r="R819" s="21"/>
    </row>
    <row r="820" spans="1:18">
      <c r="A820" s="14">
        <v>41368</v>
      </c>
      <c r="B820" s="15">
        <v>137.44999999999999</v>
      </c>
      <c r="C820" s="15">
        <v>139.5</v>
      </c>
      <c r="F820">
        <v>2</v>
      </c>
      <c r="G820">
        <v>4</v>
      </c>
      <c r="H820">
        <v>2016</v>
      </c>
      <c r="I820" s="41">
        <v>42404</v>
      </c>
      <c r="J820" s="38">
        <v>3319</v>
      </c>
      <c r="K820" s="21">
        <v>538.20000000000005</v>
      </c>
      <c r="L820" s="22">
        <v>7.6485000000000003</v>
      </c>
      <c r="M820" s="23">
        <v>18.28</v>
      </c>
      <c r="N820" s="22">
        <v>3.4775</v>
      </c>
      <c r="O820" s="22">
        <v>3.8896999999999999</v>
      </c>
      <c r="P820" s="21">
        <v>13637.5</v>
      </c>
      <c r="Q820" s="20">
        <v>67.543999999999997</v>
      </c>
      <c r="R820" s="21"/>
    </row>
    <row r="821" spans="1:18">
      <c r="A821" s="14">
        <v>41369</v>
      </c>
      <c r="B821" s="15">
        <v>137.94999999999999</v>
      </c>
      <c r="C821" s="15">
        <v>140.15</v>
      </c>
      <c r="F821">
        <v>2</v>
      </c>
      <c r="G821">
        <v>5</v>
      </c>
      <c r="H821">
        <v>2016</v>
      </c>
      <c r="I821" s="41">
        <v>42405</v>
      </c>
      <c r="J821" s="38">
        <v>3334</v>
      </c>
      <c r="K821" s="21">
        <v>537.22</v>
      </c>
      <c r="L821" s="22">
        <v>7.6485000000000003</v>
      </c>
      <c r="M821" s="23">
        <v>18.444800000000001</v>
      </c>
      <c r="N821" s="22">
        <v>3.4805000000000001</v>
      </c>
      <c r="O821" s="22">
        <v>3.9035000000000002</v>
      </c>
      <c r="P821" s="21">
        <v>13625</v>
      </c>
      <c r="Q821" s="20">
        <v>67.81</v>
      </c>
      <c r="R821" s="21"/>
    </row>
    <row r="822" spans="1:18">
      <c r="A822" s="14">
        <v>41372</v>
      </c>
      <c r="B822" s="15">
        <v>135</v>
      </c>
      <c r="C822" s="15">
        <v>135.9</v>
      </c>
      <c r="F822">
        <v>2</v>
      </c>
      <c r="G822">
        <v>8</v>
      </c>
      <c r="H822">
        <v>2016</v>
      </c>
      <c r="I822" s="41">
        <v>42408</v>
      </c>
      <c r="J822" s="38">
        <v>3369.89</v>
      </c>
      <c r="K822" s="21">
        <v>537.08000000000004</v>
      </c>
      <c r="L822" s="22">
        <v>7.6494999999999997</v>
      </c>
      <c r="M822" s="23">
        <v>18.6736</v>
      </c>
      <c r="N822" s="22">
        <v>3.4950000000000001</v>
      </c>
      <c r="O822" s="22">
        <v>3.8954</v>
      </c>
      <c r="P822" s="21">
        <v>13625</v>
      </c>
      <c r="Q822" s="20">
        <v>68.034000000000006</v>
      </c>
      <c r="R822" s="21"/>
    </row>
    <row r="823" spans="1:18">
      <c r="A823" s="14">
        <v>41373</v>
      </c>
      <c r="B823" s="15">
        <v>134.69999999999999</v>
      </c>
      <c r="C823" s="15">
        <v>135.4</v>
      </c>
      <c r="F823">
        <v>2</v>
      </c>
      <c r="G823">
        <v>9</v>
      </c>
      <c r="H823">
        <v>2016</v>
      </c>
      <c r="I823" s="41">
        <v>42409</v>
      </c>
      <c r="J823" s="38">
        <v>3393.4</v>
      </c>
      <c r="K823" s="21">
        <v>536.97</v>
      </c>
      <c r="L823" s="22">
        <v>7.6494999999999997</v>
      </c>
      <c r="M823" s="23">
        <v>18.803699999999999</v>
      </c>
      <c r="N823" s="22">
        <v>3.5030000000000001</v>
      </c>
      <c r="O823" s="22">
        <v>3.8856000000000002</v>
      </c>
      <c r="P823" s="21">
        <v>13605</v>
      </c>
      <c r="Q823" s="20">
        <v>67.900999999999996</v>
      </c>
      <c r="R823" s="21"/>
    </row>
    <row r="824" spans="1:18">
      <c r="A824" s="14">
        <v>41374</v>
      </c>
      <c r="B824" s="15">
        <v>135.25</v>
      </c>
      <c r="C824" s="15">
        <v>136.05000000000001</v>
      </c>
      <c r="F824">
        <v>2</v>
      </c>
      <c r="G824">
        <v>10</v>
      </c>
      <c r="H824">
        <v>2016</v>
      </c>
      <c r="I824" s="41">
        <v>42410</v>
      </c>
      <c r="J824" s="38">
        <v>3391</v>
      </c>
      <c r="K824" s="21">
        <v>536.44000000000005</v>
      </c>
      <c r="L824" s="22">
        <v>7.6544999999999996</v>
      </c>
      <c r="M824" s="23">
        <v>18.934999999999999</v>
      </c>
      <c r="N824" s="22">
        <v>3.5065</v>
      </c>
      <c r="O824" s="22">
        <v>3.9285000000000001</v>
      </c>
      <c r="P824" s="21">
        <v>13462.5</v>
      </c>
      <c r="Q824" s="20">
        <v>67.861000000000004</v>
      </c>
      <c r="R824" s="21"/>
    </row>
    <row r="825" spans="1:18">
      <c r="A825" s="14">
        <v>41375</v>
      </c>
      <c r="B825" s="15">
        <v>135.69999999999999</v>
      </c>
      <c r="C825" s="15">
        <v>136.80000000000001</v>
      </c>
      <c r="F825">
        <v>2</v>
      </c>
      <c r="G825">
        <v>11</v>
      </c>
      <c r="H825">
        <v>2016</v>
      </c>
      <c r="I825" s="41">
        <v>42411</v>
      </c>
      <c r="J825" s="38">
        <v>3441</v>
      </c>
      <c r="K825" s="21">
        <v>536.16999999999996</v>
      </c>
      <c r="L825" s="22">
        <v>7.6555</v>
      </c>
      <c r="M825" s="23">
        <v>19.149999999999999</v>
      </c>
      <c r="N825" s="22">
        <v>3.5150000000000001</v>
      </c>
      <c r="O825" s="22">
        <v>3.9946000000000002</v>
      </c>
      <c r="P825" s="21">
        <v>13462.5</v>
      </c>
      <c r="Q825" s="20">
        <v>68.471000000000004</v>
      </c>
      <c r="R825" s="21"/>
    </row>
    <row r="826" spans="1:18">
      <c r="A826" s="14">
        <v>41376</v>
      </c>
      <c r="B826" s="15">
        <v>134.9</v>
      </c>
      <c r="C826" s="15">
        <v>135.25</v>
      </c>
      <c r="F826">
        <v>2</v>
      </c>
      <c r="G826">
        <v>12</v>
      </c>
      <c r="H826">
        <v>2016</v>
      </c>
      <c r="I826" s="41">
        <v>42412</v>
      </c>
      <c r="J826" s="38">
        <v>3383</v>
      </c>
      <c r="K826" s="21">
        <v>535.22</v>
      </c>
      <c r="L826" s="22">
        <v>7.6574999999999998</v>
      </c>
      <c r="M826" s="23">
        <v>18.91</v>
      </c>
      <c r="N826" s="22">
        <v>3.5045000000000002</v>
      </c>
      <c r="O826" s="22">
        <v>4.0026999999999999</v>
      </c>
      <c r="P826" s="21">
        <v>13490</v>
      </c>
      <c r="Q826" s="20">
        <v>68.117999999999995</v>
      </c>
      <c r="R826" s="21"/>
    </row>
    <row r="827" spans="1:18">
      <c r="A827" s="14">
        <v>41379</v>
      </c>
      <c r="B827" s="15">
        <v>131.75</v>
      </c>
      <c r="C827" s="15">
        <v>134.44999999999999</v>
      </c>
      <c r="F827">
        <v>2</v>
      </c>
      <c r="G827">
        <v>15</v>
      </c>
      <c r="H827">
        <v>2016</v>
      </c>
      <c r="I827" s="41">
        <v>42415</v>
      </c>
      <c r="J827" s="38">
        <v>3383</v>
      </c>
      <c r="K827" s="21">
        <v>534.41</v>
      </c>
      <c r="L827" s="22">
        <v>7.6585000000000001</v>
      </c>
      <c r="M827" s="23">
        <v>18.8324</v>
      </c>
      <c r="N827" s="22">
        <v>3.4994999999999998</v>
      </c>
      <c r="O827" s="22">
        <v>4.0060000000000002</v>
      </c>
      <c r="P827" s="21">
        <v>13375</v>
      </c>
      <c r="Q827" s="20">
        <v>68.131</v>
      </c>
      <c r="R827" s="21"/>
    </row>
    <row r="828" spans="1:18">
      <c r="A828" s="14">
        <v>41380</v>
      </c>
      <c r="B828" s="15">
        <v>134.44999999999999</v>
      </c>
      <c r="C828" s="15">
        <v>135.85</v>
      </c>
      <c r="F828">
        <v>2</v>
      </c>
      <c r="G828">
        <v>16</v>
      </c>
      <c r="H828">
        <v>2016</v>
      </c>
      <c r="I828" s="41">
        <v>42416</v>
      </c>
      <c r="J828" s="38">
        <v>3417.6</v>
      </c>
      <c r="K828" s="21">
        <v>534.47</v>
      </c>
      <c r="L828" s="22">
        <v>7.6585000000000001</v>
      </c>
      <c r="M828" s="23">
        <v>18.885000000000002</v>
      </c>
      <c r="N828" s="22">
        <v>3.5101</v>
      </c>
      <c r="O828" s="22">
        <v>4.0723000000000003</v>
      </c>
      <c r="P828" s="21">
        <v>13400</v>
      </c>
      <c r="Q828" s="20">
        <v>68.474000000000004</v>
      </c>
      <c r="R828" s="21"/>
    </row>
    <row r="829" spans="1:18">
      <c r="A829" s="14">
        <v>41381</v>
      </c>
      <c r="B829" s="15">
        <v>135.4</v>
      </c>
      <c r="C829" s="15">
        <v>136.1</v>
      </c>
      <c r="F829">
        <v>2</v>
      </c>
      <c r="G829">
        <v>17</v>
      </c>
      <c r="H829">
        <v>2016</v>
      </c>
      <c r="I829" s="41">
        <v>42417</v>
      </c>
      <c r="J829" s="38">
        <v>3359.8</v>
      </c>
      <c r="K829" s="21">
        <v>534.36</v>
      </c>
      <c r="L829" s="22">
        <v>7.6615000000000002</v>
      </c>
      <c r="M829" s="23">
        <v>18.361000000000001</v>
      </c>
      <c r="N829" s="22">
        <v>3.5034000000000001</v>
      </c>
      <c r="O829" s="22">
        <v>3.9851000000000001</v>
      </c>
      <c r="P829" s="21">
        <v>13510</v>
      </c>
      <c r="Q829" s="20">
        <v>68.328999999999994</v>
      </c>
      <c r="R829" s="21"/>
    </row>
    <row r="830" spans="1:18">
      <c r="A830" s="14">
        <v>41382</v>
      </c>
      <c r="B830" s="15">
        <v>136.19999999999999</v>
      </c>
      <c r="C830" s="15">
        <v>138.9</v>
      </c>
      <c r="F830">
        <v>2</v>
      </c>
      <c r="G830">
        <v>18</v>
      </c>
      <c r="H830">
        <v>2016</v>
      </c>
      <c r="I830" s="41">
        <v>42418</v>
      </c>
      <c r="J830" s="38">
        <v>3342.5</v>
      </c>
      <c r="K830" s="21">
        <v>534.58000000000004</v>
      </c>
      <c r="L830" s="22">
        <v>7.6645000000000003</v>
      </c>
      <c r="M830" s="23">
        <v>18.29</v>
      </c>
      <c r="N830" s="22">
        <v>3.5059</v>
      </c>
      <c r="O830" s="22">
        <v>4.0284000000000004</v>
      </c>
      <c r="P830" s="21">
        <v>13495</v>
      </c>
      <c r="Q830" s="20">
        <v>68.542000000000002</v>
      </c>
      <c r="R830" s="21"/>
    </row>
    <row r="831" spans="1:18">
      <c r="A831" s="14">
        <v>41383</v>
      </c>
      <c r="B831" s="15">
        <v>138.9</v>
      </c>
      <c r="C831" s="15">
        <v>141.65</v>
      </c>
      <c r="F831">
        <v>2</v>
      </c>
      <c r="G831">
        <v>19</v>
      </c>
      <c r="H831">
        <v>2016</v>
      </c>
      <c r="I831" s="41">
        <v>42419</v>
      </c>
      <c r="J831" s="38">
        <v>3355.1</v>
      </c>
      <c r="K831" s="21">
        <v>534.45000000000005</v>
      </c>
      <c r="L831" s="22">
        <v>7.6704999999999997</v>
      </c>
      <c r="M831" s="23">
        <v>18.225000000000001</v>
      </c>
      <c r="N831" s="22">
        <v>3.5190000000000001</v>
      </c>
      <c r="O831" s="22">
        <v>4.0213999999999999</v>
      </c>
      <c r="P831" s="21">
        <v>13495</v>
      </c>
      <c r="Q831" s="20">
        <v>68.545000000000002</v>
      </c>
      <c r="R831" s="21"/>
    </row>
    <row r="832" spans="1:18">
      <c r="A832" s="14">
        <v>41386</v>
      </c>
      <c r="B832" s="15">
        <v>141</v>
      </c>
      <c r="C832" s="15">
        <v>142.5</v>
      </c>
      <c r="F832">
        <v>2</v>
      </c>
      <c r="G832">
        <v>22</v>
      </c>
      <c r="H832">
        <v>2016</v>
      </c>
      <c r="I832" s="41">
        <v>42422</v>
      </c>
      <c r="J832" s="38">
        <v>3310.81</v>
      </c>
      <c r="K832" s="21">
        <v>536.51</v>
      </c>
      <c r="L832" s="22">
        <v>7.6680000000000001</v>
      </c>
      <c r="M832" s="23">
        <v>18.074999999999999</v>
      </c>
      <c r="N832" s="22">
        <v>3.5184000000000002</v>
      </c>
      <c r="O832" s="22">
        <v>3.9472999999999998</v>
      </c>
      <c r="P832" s="21">
        <v>13437.5</v>
      </c>
      <c r="Q832" s="20">
        <v>68.533000000000001</v>
      </c>
      <c r="R832" s="21"/>
    </row>
    <row r="833" spans="1:18">
      <c r="A833" s="14">
        <v>41387</v>
      </c>
      <c r="B833" s="15">
        <v>136.6</v>
      </c>
      <c r="C833" s="15">
        <v>137.55000000000001</v>
      </c>
      <c r="F833">
        <v>2</v>
      </c>
      <c r="G833">
        <v>23</v>
      </c>
      <c r="H833">
        <v>2016</v>
      </c>
      <c r="I833" s="41">
        <v>42423</v>
      </c>
      <c r="J833" s="38">
        <v>3328.9</v>
      </c>
      <c r="K833" s="21">
        <v>534.28</v>
      </c>
      <c r="L833" s="22">
        <v>7.6755000000000004</v>
      </c>
      <c r="M833" s="23">
        <v>18.210799999999999</v>
      </c>
      <c r="N833" s="22">
        <v>3.5293999999999999</v>
      </c>
      <c r="O833" s="22">
        <v>3.9569000000000001</v>
      </c>
      <c r="P833" s="21">
        <v>13425</v>
      </c>
      <c r="Q833" s="20">
        <v>68.561000000000007</v>
      </c>
      <c r="R833" s="21"/>
    </row>
    <row r="834" spans="1:18">
      <c r="A834" s="14">
        <v>41388</v>
      </c>
      <c r="B834" s="15">
        <v>137.15</v>
      </c>
      <c r="C834" s="15">
        <v>138.4</v>
      </c>
      <c r="F834">
        <v>2</v>
      </c>
      <c r="G834">
        <v>24</v>
      </c>
      <c r="H834">
        <v>2016</v>
      </c>
      <c r="I834" s="41">
        <v>42424</v>
      </c>
      <c r="J834" s="38">
        <v>3341.06</v>
      </c>
      <c r="K834" s="21">
        <v>534.16</v>
      </c>
      <c r="L834" s="22">
        <v>7.6734999999999998</v>
      </c>
      <c r="M834" s="23">
        <v>18.215</v>
      </c>
      <c r="N834" s="22">
        <v>3.5278</v>
      </c>
      <c r="O834" s="22">
        <v>3.9590999999999998</v>
      </c>
      <c r="P834" s="21">
        <v>13412.5</v>
      </c>
      <c r="Q834" s="20">
        <v>68.430999999999997</v>
      </c>
      <c r="R834" s="21"/>
    </row>
    <row r="835" spans="1:18">
      <c r="A835" s="14">
        <v>41389</v>
      </c>
      <c r="B835" s="15">
        <v>136.35</v>
      </c>
      <c r="C835" s="15">
        <v>137.19999999999999</v>
      </c>
      <c r="F835">
        <v>2</v>
      </c>
      <c r="G835">
        <v>25</v>
      </c>
      <c r="H835">
        <v>2016</v>
      </c>
      <c r="I835" s="41">
        <v>42425</v>
      </c>
      <c r="J835" s="38">
        <v>3313.68</v>
      </c>
      <c r="K835" s="21">
        <v>534.22</v>
      </c>
      <c r="L835" s="22">
        <v>7.6784999999999997</v>
      </c>
      <c r="M835" s="23">
        <v>18.127099999999999</v>
      </c>
      <c r="N835" s="22">
        <v>3.5335000000000001</v>
      </c>
      <c r="O835" s="22">
        <v>3.956</v>
      </c>
      <c r="P835" s="21">
        <v>13410.5</v>
      </c>
      <c r="Q835" s="20">
        <v>68.768000000000001</v>
      </c>
      <c r="R835" s="21"/>
    </row>
    <row r="836" spans="1:18">
      <c r="A836" s="14">
        <v>41390</v>
      </c>
      <c r="B836" s="15">
        <v>133.30000000000001</v>
      </c>
      <c r="C836" s="15">
        <v>133.9</v>
      </c>
      <c r="F836">
        <v>2</v>
      </c>
      <c r="G836">
        <v>26</v>
      </c>
      <c r="H836">
        <v>2016</v>
      </c>
      <c r="I836" s="41">
        <v>42426</v>
      </c>
      <c r="J836" s="38">
        <v>3342.85</v>
      </c>
      <c r="K836" s="21">
        <v>534.22</v>
      </c>
      <c r="L836" s="22">
        <v>7.6775000000000002</v>
      </c>
      <c r="M836" s="23">
        <v>18.276599999999998</v>
      </c>
      <c r="N836" s="22">
        <v>3.5219999999999998</v>
      </c>
      <c r="O836" s="22">
        <v>3.9933000000000001</v>
      </c>
      <c r="P836" s="21">
        <v>13370</v>
      </c>
      <c r="Q836" s="20">
        <v>68.736999999999995</v>
      </c>
      <c r="R836" s="21"/>
    </row>
    <row r="837" spans="1:18">
      <c r="A837" s="14">
        <v>41393</v>
      </c>
      <c r="B837" s="15">
        <v>132.80000000000001</v>
      </c>
      <c r="C837" s="15">
        <v>133.6</v>
      </c>
      <c r="F837">
        <v>2</v>
      </c>
      <c r="G837">
        <v>29</v>
      </c>
      <c r="H837">
        <v>2016</v>
      </c>
      <c r="I837" s="41">
        <v>42429</v>
      </c>
      <c r="J837" s="38">
        <v>3291.3</v>
      </c>
      <c r="K837" s="21">
        <v>538.24</v>
      </c>
      <c r="L837" s="22">
        <v>7.681</v>
      </c>
      <c r="M837" s="23">
        <v>18.135000000000002</v>
      </c>
      <c r="N837" s="22">
        <v>3.5232999999999999</v>
      </c>
      <c r="O837" s="22">
        <v>4.0171000000000001</v>
      </c>
      <c r="P837" s="21">
        <v>13372</v>
      </c>
      <c r="Q837" s="20">
        <v>68.207999999999998</v>
      </c>
      <c r="R837" s="21"/>
    </row>
    <row r="838" spans="1:18">
      <c r="A838" s="14">
        <v>41394</v>
      </c>
      <c r="B838" s="15">
        <v>133.5</v>
      </c>
      <c r="C838" s="15">
        <v>134.94999999999999</v>
      </c>
      <c r="F838">
        <v>3</v>
      </c>
      <c r="G838">
        <v>1</v>
      </c>
      <c r="H838">
        <v>2016</v>
      </c>
      <c r="I838" s="41">
        <v>42430</v>
      </c>
      <c r="J838" s="38">
        <v>3229.5</v>
      </c>
      <c r="K838" s="21">
        <v>534.67999999999995</v>
      </c>
      <c r="L838" s="22">
        <v>7.6885000000000003</v>
      </c>
      <c r="M838" s="23">
        <v>17.914999999999999</v>
      </c>
      <c r="N838" s="22">
        <v>3.5163000000000002</v>
      </c>
      <c r="O838" s="22">
        <v>3.9275000000000002</v>
      </c>
      <c r="P838" s="21">
        <v>13350</v>
      </c>
      <c r="Q838" s="20">
        <v>67.753</v>
      </c>
      <c r="R838" s="21"/>
    </row>
    <row r="839" spans="1:18">
      <c r="A839" s="14">
        <v>41395</v>
      </c>
      <c r="B839" s="15">
        <v>132.75</v>
      </c>
      <c r="C839" s="15">
        <v>134.5</v>
      </c>
      <c r="F839">
        <v>3</v>
      </c>
      <c r="G839">
        <v>2</v>
      </c>
      <c r="H839">
        <v>2016</v>
      </c>
      <c r="I839" s="41">
        <v>42431</v>
      </c>
      <c r="J839" s="38">
        <v>3206</v>
      </c>
      <c r="K839" s="21">
        <v>534.58000000000004</v>
      </c>
      <c r="L839" s="22">
        <v>7.6864999999999997</v>
      </c>
      <c r="M839" s="23">
        <v>17.82</v>
      </c>
      <c r="N839" s="22">
        <v>3.4929000000000001</v>
      </c>
      <c r="O839" s="22">
        <v>3.8932000000000002</v>
      </c>
      <c r="P839" s="21">
        <v>13290</v>
      </c>
      <c r="Q839" s="20">
        <v>67.394999999999996</v>
      </c>
      <c r="R839" s="21"/>
    </row>
    <row r="840" spans="1:18">
      <c r="A840" s="14">
        <v>41396</v>
      </c>
      <c r="B840" s="15">
        <v>135.35</v>
      </c>
      <c r="C840" s="15">
        <v>138.94999999999999</v>
      </c>
      <c r="F840">
        <v>3</v>
      </c>
      <c r="G840">
        <v>3</v>
      </c>
      <c r="H840">
        <v>2016</v>
      </c>
      <c r="I840" s="41">
        <v>42432</v>
      </c>
      <c r="J840" s="38">
        <v>3194</v>
      </c>
      <c r="K840" s="21">
        <v>534.58000000000004</v>
      </c>
      <c r="L840" s="22">
        <v>7.6784999999999997</v>
      </c>
      <c r="M840" s="23">
        <v>17.921500000000002</v>
      </c>
      <c r="N840" s="22">
        <v>3.4624000000000001</v>
      </c>
      <c r="O840" s="22">
        <v>3.7991000000000001</v>
      </c>
      <c r="P840" s="21">
        <v>13235</v>
      </c>
      <c r="Q840" s="20">
        <v>67.122</v>
      </c>
      <c r="R840" s="21"/>
    </row>
    <row r="841" spans="1:18">
      <c r="A841" s="14">
        <v>41397</v>
      </c>
      <c r="B841" s="15">
        <v>138.75</v>
      </c>
      <c r="C841" s="15">
        <v>140.30000000000001</v>
      </c>
      <c r="F841">
        <v>3</v>
      </c>
      <c r="G841">
        <v>4</v>
      </c>
      <c r="H841">
        <v>2016</v>
      </c>
      <c r="I841" s="41">
        <v>42433</v>
      </c>
      <c r="J841" s="38">
        <v>3155.69</v>
      </c>
      <c r="K841" s="21">
        <v>534.33000000000004</v>
      </c>
      <c r="L841" s="22">
        <v>7.6775000000000002</v>
      </c>
      <c r="M841" s="23">
        <v>17.760000000000002</v>
      </c>
      <c r="N841" s="22">
        <v>3.4559000000000002</v>
      </c>
      <c r="O841" s="22">
        <v>3.7593000000000001</v>
      </c>
      <c r="P841" s="21">
        <v>13135</v>
      </c>
      <c r="Q841" s="20">
        <v>66.938000000000002</v>
      </c>
      <c r="R841" s="21"/>
    </row>
    <row r="842" spans="1:18">
      <c r="A842" s="14">
        <v>41400</v>
      </c>
      <c r="B842" s="15">
        <v>0</v>
      </c>
      <c r="C842" s="15">
        <v>141.35</v>
      </c>
      <c r="F842">
        <v>3</v>
      </c>
      <c r="G842">
        <v>7</v>
      </c>
      <c r="H842">
        <v>2016</v>
      </c>
      <c r="I842" s="41">
        <v>42436</v>
      </c>
      <c r="J842" s="38">
        <v>3115</v>
      </c>
      <c r="K842" s="21">
        <v>537.04</v>
      </c>
      <c r="L842" s="22">
        <v>7.6814999999999998</v>
      </c>
      <c r="M842" s="23">
        <v>17.754999999999999</v>
      </c>
      <c r="N842" s="22">
        <v>3.4504999999999999</v>
      </c>
      <c r="O842" s="22">
        <v>3.7829999999999999</v>
      </c>
      <c r="P842" s="21">
        <v>13090</v>
      </c>
      <c r="Q842" s="20">
        <v>66.989000000000004</v>
      </c>
      <c r="R842" s="21"/>
    </row>
    <row r="843" spans="1:18">
      <c r="A843" s="14">
        <v>41401</v>
      </c>
      <c r="B843" s="15">
        <v>141</v>
      </c>
      <c r="C843" s="15">
        <v>142.30000000000001</v>
      </c>
      <c r="F843">
        <v>3</v>
      </c>
      <c r="G843">
        <v>8</v>
      </c>
      <c r="H843">
        <v>2016</v>
      </c>
      <c r="I843" s="41">
        <v>42437</v>
      </c>
      <c r="J843" s="38">
        <v>3204.56</v>
      </c>
      <c r="K843" s="21">
        <v>534.52</v>
      </c>
      <c r="L843" s="22">
        <v>7.6974999999999998</v>
      </c>
      <c r="M843" s="23">
        <v>17.9299</v>
      </c>
      <c r="N843" s="22">
        <v>3.4649999999999999</v>
      </c>
      <c r="O843" s="22">
        <v>3.7555999999999998</v>
      </c>
      <c r="P843" s="21">
        <v>13143</v>
      </c>
      <c r="Q843" s="20">
        <v>67.313000000000002</v>
      </c>
      <c r="R843" s="21"/>
    </row>
    <row r="844" spans="1:18">
      <c r="A844" s="14">
        <v>41402</v>
      </c>
      <c r="B844" s="15">
        <v>144</v>
      </c>
      <c r="C844" s="15">
        <v>144.15</v>
      </c>
      <c r="F844">
        <v>3</v>
      </c>
      <c r="G844">
        <v>9</v>
      </c>
      <c r="H844">
        <v>2016</v>
      </c>
      <c r="I844" s="41">
        <v>42438</v>
      </c>
      <c r="J844" s="38">
        <v>3186.62</v>
      </c>
      <c r="K844" s="21">
        <v>534.4</v>
      </c>
      <c r="L844" s="22">
        <v>7.7065000000000001</v>
      </c>
      <c r="M844" s="23">
        <v>17.7623</v>
      </c>
      <c r="N844" s="22">
        <v>3.44</v>
      </c>
      <c r="O844" s="22">
        <v>3.6848999999999998</v>
      </c>
      <c r="P844" s="21">
        <v>13143</v>
      </c>
      <c r="Q844" s="20">
        <v>67.128</v>
      </c>
      <c r="R844" s="21"/>
    </row>
    <row r="845" spans="1:18">
      <c r="A845" s="14">
        <v>41403</v>
      </c>
      <c r="B845" s="15">
        <v>146</v>
      </c>
      <c r="C845" s="15">
        <v>145.80000000000001</v>
      </c>
      <c r="F845">
        <v>3</v>
      </c>
      <c r="G845">
        <v>10</v>
      </c>
      <c r="H845">
        <v>2016</v>
      </c>
      <c r="I845" s="41">
        <v>42439</v>
      </c>
      <c r="J845" s="38">
        <v>3224.55</v>
      </c>
      <c r="K845" s="21">
        <v>534.42999999999995</v>
      </c>
      <c r="L845" s="22">
        <v>7.7024999999999997</v>
      </c>
      <c r="M845" s="23">
        <v>17.8141</v>
      </c>
      <c r="N845" s="22">
        <v>3.4249999999999998</v>
      </c>
      <c r="O845" s="22">
        <v>3.6215000000000002</v>
      </c>
      <c r="P845" s="21">
        <v>13072.5</v>
      </c>
      <c r="Q845" s="20">
        <v>67.302000000000007</v>
      </c>
      <c r="R845" s="21"/>
    </row>
    <row r="846" spans="1:18">
      <c r="A846" s="14">
        <v>41404</v>
      </c>
      <c r="B846" s="15">
        <v>147.19999999999999</v>
      </c>
      <c r="C846" s="15">
        <v>143.80000000000001</v>
      </c>
      <c r="F846">
        <v>3</v>
      </c>
      <c r="G846">
        <v>11</v>
      </c>
      <c r="H846">
        <v>2016</v>
      </c>
      <c r="I846" s="41">
        <v>42440</v>
      </c>
      <c r="J846" s="38">
        <v>3149.53</v>
      </c>
      <c r="K846" s="21">
        <v>534.07000000000005</v>
      </c>
      <c r="L846" s="22">
        <v>7.7095000000000002</v>
      </c>
      <c r="M846" s="23">
        <v>17.696400000000001</v>
      </c>
      <c r="N846" s="22">
        <v>3.359</v>
      </c>
      <c r="O846" s="22">
        <v>3.5819999999999999</v>
      </c>
      <c r="P846" s="21">
        <v>13070</v>
      </c>
      <c r="Q846" s="20">
        <v>66.921000000000006</v>
      </c>
      <c r="R846" s="21"/>
    </row>
    <row r="847" spans="1:18">
      <c r="A847" s="14">
        <v>41407</v>
      </c>
      <c r="B847" s="15">
        <v>141.5</v>
      </c>
      <c r="C847" s="15">
        <v>144.55000000000001</v>
      </c>
      <c r="F847">
        <v>3</v>
      </c>
      <c r="G847">
        <v>14</v>
      </c>
      <c r="H847">
        <v>2016</v>
      </c>
      <c r="I847" s="41">
        <v>42443</v>
      </c>
      <c r="J847" s="38">
        <v>3154.8</v>
      </c>
      <c r="K847" s="21">
        <v>534.08000000000004</v>
      </c>
      <c r="L847" s="22">
        <v>7.7225000000000001</v>
      </c>
      <c r="M847" s="23">
        <v>17.7484</v>
      </c>
      <c r="N847" s="22">
        <v>3.335</v>
      </c>
      <c r="O847" s="22">
        <v>3.6617999999999999</v>
      </c>
      <c r="P847" s="21">
        <v>13060</v>
      </c>
      <c r="Q847" s="20">
        <v>67.138000000000005</v>
      </c>
      <c r="R847" s="21"/>
    </row>
    <row r="848" spans="1:18">
      <c r="A848" s="14">
        <v>41408</v>
      </c>
      <c r="B848" s="15">
        <v>143.69999999999999</v>
      </c>
      <c r="C848" s="15">
        <v>141.65</v>
      </c>
      <c r="F848">
        <v>3</v>
      </c>
      <c r="G848">
        <v>15</v>
      </c>
      <c r="H848">
        <v>2016</v>
      </c>
      <c r="I848" s="41">
        <v>42444</v>
      </c>
      <c r="J848" s="38">
        <v>3164</v>
      </c>
      <c r="K848" s="21">
        <v>533.99</v>
      </c>
      <c r="L848" s="22">
        <v>7.7305000000000001</v>
      </c>
      <c r="M848" s="23">
        <v>17.885000000000002</v>
      </c>
      <c r="N848" s="22">
        <v>3.3559999999999999</v>
      </c>
      <c r="O848" s="22">
        <v>3.7656000000000001</v>
      </c>
      <c r="P848" s="21">
        <v>13177.5</v>
      </c>
      <c r="Q848" s="20">
        <v>67.372</v>
      </c>
      <c r="R848" s="21"/>
    </row>
    <row r="849" spans="1:18">
      <c r="A849" s="14">
        <v>41409</v>
      </c>
      <c r="B849" s="15">
        <v>138</v>
      </c>
      <c r="C849" s="15">
        <v>138</v>
      </c>
      <c r="F849">
        <v>3</v>
      </c>
      <c r="G849">
        <v>16</v>
      </c>
      <c r="H849">
        <v>2016</v>
      </c>
      <c r="I849" s="41">
        <v>42445</v>
      </c>
      <c r="J849" s="38">
        <v>3161.1</v>
      </c>
      <c r="K849" s="21">
        <v>533.92999999999995</v>
      </c>
      <c r="L849" s="22">
        <v>7.7385000000000002</v>
      </c>
      <c r="M849" s="23">
        <v>17.600000000000001</v>
      </c>
      <c r="N849" s="22">
        <v>3.375</v>
      </c>
      <c r="O849" s="22">
        <v>3.7422</v>
      </c>
      <c r="P849" s="21">
        <v>13267.5</v>
      </c>
      <c r="Q849" s="20">
        <v>67.173000000000002</v>
      </c>
      <c r="R849" s="21"/>
    </row>
    <row r="850" spans="1:18">
      <c r="A850" s="14">
        <v>41410</v>
      </c>
      <c r="B850" s="15">
        <v>139.6</v>
      </c>
      <c r="C850" s="15">
        <v>138.35</v>
      </c>
      <c r="F850">
        <v>3</v>
      </c>
      <c r="G850">
        <v>17</v>
      </c>
      <c r="H850">
        <v>2016</v>
      </c>
      <c r="I850" s="41">
        <v>42446</v>
      </c>
      <c r="J850" s="38">
        <v>3072.23</v>
      </c>
      <c r="K850" s="21">
        <v>533.94000000000005</v>
      </c>
      <c r="L850" s="22">
        <v>7.7415000000000003</v>
      </c>
      <c r="M850" s="23">
        <v>17.32</v>
      </c>
      <c r="N850" s="22">
        <v>3.3679000000000001</v>
      </c>
      <c r="O850" s="22">
        <v>3.6267</v>
      </c>
      <c r="P850" s="21">
        <v>13095</v>
      </c>
      <c r="Q850" s="20">
        <v>66.619</v>
      </c>
      <c r="R850" s="21"/>
    </row>
    <row r="851" spans="1:18">
      <c r="A851" s="14">
        <v>41411</v>
      </c>
      <c r="B851" s="15">
        <v>135.44999999999999</v>
      </c>
      <c r="C851" s="15">
        <v>135.6</v>
      </c>
      <c r="F851">
        <v>3</v>
      </c>
      <c r="G851">
        <v>18</v>
      </c>
      <c r="H851">
        <v>2016</v>
      </c>
      <c r="I851" s="41">
        <v>42447</v>
      </c>
      <c r="J851" s="38">
        <v>3071.77</v>
      </c>
      <c r="K851" s="21">
        <v>533.96</v>
      </c>
      <c r="L851" s="22">
        <v>7.7454999999999998</v>
      </c>
      <c r="M851" s="23">
        <v>17.392299999999999</v>
      </c>
      <c r="N851" s="22">
        <v>3.3774999999999999</v>
      </c>
      <c r="O851" s="22">
        <v>3.6240000000000001</v>
      </c>
      <c r="P851" s="21">
        <v>13117.5</v>
      </c>
      <c r="Q851" s="20">
        <v>66.384</v>
      </c>
      <c r="R851" s="21"/>
    </row>
    <row r="852" spans="1:18">
      <c r="A852" s="14">
        <v>41414</v>
      </c>
      <c r="B852" s="15">
        <v>132.6</v>
      </c>
      <c r="C852" s="15">
        <v>133.85</v>
      </c>
      <c r="F852">
        <v>3</v>
      </c>
      <c r="G852">
        <v>21</v>
      </c>
      <c r="H852">
        <v>2016</v>
      </c>
      <c r="I852" s="41">
        <v>42450</v>
      </c>
      <c r="J852" s="38">
        <v>3072.5</v>
      </c>
      <c r="K852" s="21">
        <v>533.88</v>
      </c>
      <c r="L852" s="22">
        <v>7.7454999999999998</v>
      </c>
      <c r="M852" s="23">
        <v>17.414899999999999</v>
      </c>
      <c r="N852" s="22">
        <v>3.4081999999999999</v>
      </c>
      <c r="O852" s="22">
        <v>3.6177999999999999</v>
      </c>
      <c r="P852" s="21">
        <v>13135</v>
      </c>
      <c r="Q852" s="20">
        <v>66.5</v>
      </c>
      <c r="R852" s="21"/>
    </row>
    <row r="853" spans="1:18">
      <c r="A853" s="14">
        <v>41415</v>
      </c>
      <c r="B853" s="15">
        <v>132.25</v>
      </c>
      <c r="C853" s="15">
        <v>132.69999999999999</v>
      </c>
      <c r="F853">
        <v>3</v>
      </c>
      <c r="G853">
        <v>22</v>
      </c>
      <c r="H853">
        <v>2016</v>
      </c>
      <c r="I853" s="41">
        <v>42451</v>
      </c>
      <c r="J853" s="38">
        <v>3030.5</v>
      </c>
      <c r="K853" s="21">
        <v>533.95000000000005</v>
      </c>
      <c r="L853" s="22">
        <v>7.7424999999999997</v>
      </c>
      <c r="M853" s="23">
        <v>17.333100000000002</v>
      </c>
      <c r="N853" s="22">
        <v>3.4075000000000002</v>
      </c>
      <c r="O853" s="22">
        <v>3.5811999999999999</v>
      </c>
      <c r="P853" s="21">
        <v>13180</v>
      </c>
      <c r="Q853" s="20">
        <v>66.754999999999995</v>
      </c>
      <c r="R853" s="21"/>
    </row>
    <row r="854" spans="1:18">
      <c r="A854" s="14">
        <v>41416</v>
      </c>
      <c r="B854" s="15">
        <v>128.25</v>
      </c>
      <c r="C854" s="15">
        <v>128.44999999999999</v>
      </c>
      <c r="F854">
        <v>3</v>
      </c>
      <c r="G854">
        <v>23</v>
      </c>
      <c r="H854">
        <v>2016</v>
      </c>
      <c r="I854" s="41">
        <v>42452</v>
      </c>
      <c r="J854" s="38">
        <v>3071.24</v>
      </c>
      <c r="K854" s="21">
        <v>533.86</v>
      </c>
      <c r="L854" s="22">
        <v>7.7424999999999997</v>
      </c>
      <c r="M854" s="23">
        <v>17.588699999999999</v>
      </c>
      <c r="N854" s="22">
        <v>3.38</v>
      </c>
      <c r="O854" s="22">
        <v>3.6854</v>
      </c>
      <c r="P854" s="21">
        <v>13177.5</v>
      </c>
      <c r="Q854" s="20">
        <v>66.930000000000007</v>
      </c>
      <c r="R854" s="21"/>
    </row>
    <row r="855" spans="1:18">
      <c r="A855" s="14">
        <v>41417</v>
      </c>
      <c r="B855" s="15">
        <v>128.05000000000001</v>
      </c>
      <c r="C855" s="15">
        <v>130.05000000000001</v>
      </c>
      <c r="F855">
        <v>3</v>
      </c>
      <c r="G855">
        <v>24</v>
      </c>
      <c r="H855">
        <v>2016</v>
      </c>
      <c r="I855" s="41">
        <v>42453</v>
      </c>
      <c r="J855" s="38">
        <v>3071.77</v>
      </c>
      <c r="K855" s="21">
        <v>533.70000000000005</v>
      </c>
      <c r="L855" s="22">
        <v>7.7424999999999997</v>
      </c>
      <c r="M855" s="23">
        <v>17.611799999999999</v>
      </c>
      <c r="N855" s="22">
        <v>3.3734000000000002</v>
      </c>
      <c r="O855" s="22">
        <v>3.6770999999999998</v>
      </c>
      <c r="P855" s="21">
        <v>13252.5</v>
      </c>
      <c r="Q855" s="20">
        <v>66.915999999999997</v>
      </c>
      <c r="R855" s="21"/>
    </row>
    <row r="856" spans="1:18">
      <c r="A856" s="14">
        <v>41418</v>
      </c>
      <c r="B856" s="15">
        <v>126.8</v>
      </c>
      <c r="C856" s="15">
        <v>127.25</v>
      </c>
      <c r="F856">
        <v>3</v>
      </c>
      <c r="G856">
        <v>25</v>
      </c>
      <c r="H856">
        <v>2016</v>
      </c>
      <c r="I856" s="41">
        <v>42454</v>
      </c>
      <c r="J856" s="38">
        <v>3073</v>
      </c>
      <c r="K856" s="21">
        <v>533.70000000000005</v>
      </c>
      <c r="L856" s="22">
        <v>7.7424999999999997</v>
      </c>
      <c r="M856" s="23">
        <v>17.537600000000001</v>
      </c>
      <c r="N856" s="22">
        <v>3.3784999999999998</v>
      </c>
      <c r="O856" s="22">
        <v>3.6835</v>
      </c>
      <c r="P856" s="21">
        <v>13252.5</v>
      </c>
      <c r="Q856" s="20">
        <v>66.828999999999994</v>
      </c>
      <c r="R856" s="21"/>
    </row>
    <row r="857" spans="1:18">
      <c r="A857" s="14">
        <v>41422</v>
      </c>
      <c r="B857" s="15">
        <v>125.8</v>
      </c>
      <c r="C857" s="15">
        <v>126.45</v>
      </c>
      <c r="F857">
        <v>3</v>
      </c>
      <c r="G857">
        <v>28</v>
      </c>
      <c r="H857">
        <v>2016</v>
      </c>
      <c r="I857" s="41">
        <v>42457</v>
      </c>
      <c r="J857" s="38">
        <v>3025.49</v>
      </c>
      <c r="K857" s="21">
        <v>533.67999999999995</v>
      </c>
      <c r="L857" s="22">
        <v>7.7355</v>
      </c>
      <c r="M857" s="23">
        <v>17.434999999999999</v>
      </c>
      <c r="N857" s="22">
        <v>3.3761000000000001</v>
      </c>
      <c r="O857" s="22">
        <v>3.6278000000000001</v>
      </c>
      <c r="P857" s="21">
        <v>13367.5</v>
      </c>
      <c r="Q857" s="20">
        <v>66.608000000000004</v>
      </c>
      <c r="R857" s="21"/>
    </row>
    <row r="858" spans="1:18">
      <c r="A858" s="14">
        <v>41423</v>
      </c>
      <c r="B858" s="15">
        <v>126</v>
      </c>
      <c r="C858" s="15">
        <v>127.6</v>
      </c>
      <c r="F858">
        <v>3</v>
      </c>
      <c r="G858">
        <v>29</v>
      </c>
      <c r="H858">
        <v>2016</v>
      </c>
      <c r="I858" s="41">
        <v>42458</v>
      </c>
      <c r="J858" s="38">
        <v>3057.72</v>
      </c>
      <c r="K858" s="21">
        <v>537.33000000000004</v>
      </c>
      <c r="L858" s="22">
        <v>7.7350000000000003</v>
      </c>
      <c r="M858" s="23">
        <v>17.3399</v>
      </c>
      <c r="N858" s="22">
        <v>3.3614999999999999</v>
      </c>
      <c r="O858" s="22">
        <v>3.6385999999999998</v>
      </c>
      <c r="P858" s="21">
        <v>13397.5</v>
      </c>
      <c r="Q858" s="20">
        <v>66.375</v>
      </c>
      <c r="R858" s="21"/>
    </row>
    <row r="859" spans="1:18">
      <c r="A859" s="14">
        <v>41424</v>
      </c>
      <c r="B859" s="15">
        <v>125.2</v>
      </c>
      <c r="C859" s="15">
        <v>125.85</v>
      </c>
      <c r="F859">
        <v>3</v>
      </c>
      <c r="G859">
        <v>30</v>
      </c>
      <c r="H859">
        <v>2016</v>
      </c>
      <c r="I859" s="41">
        <v>42459</v>
      </c>
      <c r="J859" s="38">
        <v>3015</v>
      </c>
      <c r="K859" s="21">
        <v>537.4</v>
      </c>
      <c r="L859" s="22">
        <v>7.7234999999999996</v>
      </c>
      <c r="M859" s="23">
        <v>17.232500000000002</v>
      </c>
      <c r="N859" s="22">
        <v>3.3637000000000001</v>
      </c>
      <c r="O859" s="22">
        <v>3.6002000000000001</v>
      </c>
      <c r="P859" s="21">
        <v>13267.5</v>
      </c>
      <c r="Q859" s="20">
        <v>66.375</v>
      </c>
      <c r="R859" s="21"/>
    </row>
    <row r="860" spans="1:18">
      <c r="A860" s="14">
        <v>41425</v>
      </c>
      <c r="B860" s="15">
        <v>125.05</v>
      </c>
      <c r="C860" s="15">
        <v>127.05</v>
      </c>
      <c r="F860">
        <v>3</v>
      </c>
      <c r="G860">
        <v>31</v>
      </c>
      <c r="H860">
        <v>2016</v>
      </c>
      <c r="I860" s="41">
        <v>42460</v>
      </c>
      <c r="J860" s="38">
        <v>3000.51</v>
      </c>
      <c r="K860" s="21">
        <v>534.58000000000004</v>
      </c>
      <c r="L860" s="22">
        <v>7.7115</v>
      </c>
      <c r="M860" s="23">
        <v>17.2806</v>
      </c>
      <c r="N860" s="22">
        <v>3.3149999999999999</v>
      </c>
      <c r="O860" s="22">
        <v>3.5935000000000001</v>
      </c>
      <c r="P860" s="21">
        <v>13260</v>
      </c>
      <c r="Q860" s="20">
        <v>66.254999999999995</v>
      </c>
      <c r="R860" s="21"/>
    </row>
    <row r="861" spans="1:18">
      <c r="A861" s="14">
        <v>41428</v>
      </c>
      <c r="B861" s="15">
        <v>125.5</v>
      </c>
      <c r="C861" s="15">
        <v>129</v>
      </c>
      <c r="F861">
        <v>4</v>
      </c>
      <c r="G861">
        <v>1</v>
      </c>
      <c r="H861">
        <v>2016</v>
      </c>
      <c r="I861" s="41">
        <v>42461</v>
      </c>
      <c r="J861" s="38">
        <v>3038.6</v>
      </c>
      <c r="K861" s="21">
        <v>534.6</v>
      </c>
      <c r="L861" s="22">
        <v>7.7125000000000004</v>
      </c>
      <c r="M861" s="23">
        <v>17.329999999999998</v>
      </c>
      <c r="N861" s="22">
        <v>3.3439999999999999</v>
      </c>
      <c r="O861" s="22">
        <v>3.5537999999999998</v>
      </c>
      <c r="P861" s="21">
        <v>13160</v>
      </c>
      <c r="Q861" s="20">
        <v>66.364999999999995</v>
      </c>
      <c r="R861" s="21"/>
    </row>
    <row r="862" spans="1:18">
      <c r="A862" s="14">
        <v>41429</v>
      </c>
      <c r="B862" s="15">
        <v>127.1</v>
      </c>
      <c r="C862" s="15">
        <v>127.65</v>
      </c>
      <c r="F862">
        <v>4</v>
      </c>
      <c r="G862">
        <v>4</v>
      </c>
      <c r="H862">
        <v>2016</v>
      </c>
      <c r="I862" s="41">
        <v>42464</v>
      </c>
      <c r="J862" s="38">
        <v>3065</v>
      </c>
      <c r="K862" s="21">
        <v>534.6</v>
      </c>
      <c r="L862" s="22">
        <v>7.7115</v>
      </c>
      <c r="M862" s="23">
        <v>17.489999999999998</v>
      </c>
      <c r="N862" s="22">
        <v>3.3504999999999998</v>
      </c>
      <c r="O862" s="22">
        <v>3.6240000000000001</v>
      </c>
      <c r="P862" s="21">
        <v>13166.5</v>
      </c>
      <c r="Q862" s="20">
        <v>66.105999999999995</v>
      </c>
      <c r="R862" s="21"/>
    </row>
    <row r="863" spans="1:18">
      <c r="A863" s="14">
        <v>41430</v>
      </c>
      <c r="B863" s="15">
        <v>125.9</v>
      </c>
      <c r="C863" s="15">
        <v>127.45</v>
      </c>
      <c r="F863">
        <v>4</v>
      </c>
      <c r="G863">
        <v>5</v>
      </c>
      <c r="H863">
        <v>2016</v>
      </c>
      <c r="I863" s="41">
        <v>42465</v>
      </c>
      <c r="J863" s="38">
        <v>3085.9</v>
      </c>
      <c r="K863" s="21">
        <v>534.95000000000005</v>
      </c>
      <c r="L863" s="22">
        <v>7.7104999999999997</v>
      </c>
      <c r="M863" s="23">
        <v>17.6892</v>
      </c>
      <c r="N863" s="22">
        <v>3.367</v>
      </c>
      <c r="O863" s="22">
        <v>3.6804999999999999</v>
      </c>
      <c r="P863" s="21">
        <v>13219</v>
      </c>
      <c r="Q863" s="20">
        <v>66.421999999999997</v>
      </c>
      <c r="R863" s="21"/>
    </row>
    <row r="864" spans="1:18">
      <c r="A864" s="14">
        <v>41431</v>
      </c>
      <c r="B864" s="15">
        <v>127.05</v>
      </c>
      <c r="C864" s="15">
        <v>129.44999999999999</v>
      </c>
      <c r="F864">
        <v>4</v>
      </c>
      <c r="G864">
        <v>6</v>
      </c>
      <c r="H864">
        <v>2016</v>
      </c>
      <c r="I864" s="41">
        <v>42466</v>
      </c>
      <c r="J864" s="38">
        <v>3082</v>
      </c>
      <c r="K864" s="21">
        <v>535.29999999999995</v>
      </c>
      <c r="L864" s="22">
        <v>7.7115</v>
      </c>
      <c r="M864" s="23">
        <v>17.653099999999998</v>
      </c>
      <c r="N864" s="22">
        <v>3.3925000000000001</v>
      </c>
      <c r="O864" s="22">
        <v>3.6413000000000002</v>
      </c>
      <c r="P864" s="21">
        <v>13222.5</v>
      </c>
      <c r="Q864" s="20">
        <v>66.516999999999996</v>
      </c>
      <c r="R864" s="21"/>
    </row>
    <row r="865" spans="1:18">
      <c r="A865" s="14">
        <v>41432</v>
      </c>
      <c r="B865" s="15">
        <v>126.3</v>
      </c>
      <c r="C865" s="15">
        <v>126.95</v>
      </c>
      <c r="F865">
        <v>4</v>
      </c>
      <c r="G865">
        <v>7</v>
      </c>
      <c r="H865">
        <v>2016</v>
      </c>
      <c r="I865" s="41">
        <v>42467</v>
      </c>
      <c r="J865" s="38">
        <v>3106.75</v>
      </c>
      <c r="K865" s="21">
        <v>535.25</v>
      </c>
      <c r="L865" s="22">
        <v>7.7214999999999998</v>
      </c>
      <c r="M865" s="23">
        <v>17.875299999999999</v>
      </c>
      <c r="N865" s="22">
        <v>3.3969999999999998</v>
      </c>
      <c r="O865" s="22">
        <v>3.6905000000000001</v>
      </c>
      <c r="P865" s="21">
        <v>13160</v>
      </c>
      <c r="Q865" s="20">
        <v>66.757000000000005</v>
      </c>
      <c r="R865" s="21"/>
    </row>
    <row r="866" spans="1:18">
      <c r="A866" s="14">
        <v>41435</v>
      </c>
      <c r="B866" s="15">
        <v>125.9</v>
      </c>
      <c r="C866" s="15">
        <v>128.75</v>
      </c>
      <c r="F866">
        <v>4</v>
      </c>
      <c r="G866">
        <v>8</v>
      </c>
      <c r="H866">
        <v>2016</v>
      </c>
      <c r="I866" s="41">
        <v>42468</v>
      </c>
      <c r="J866" s="38">
        <v>3095.3</v>
      </c>
      <c r="K866" s="21">
        <v>535.27</v>
      </c>
      <c r="L866" s="22">
        <v>7.7225000000000001</v>
      </c>
      <c r="M866" s="23">
        <v>17.774999999999999</v>
      </c>
      <c r="N866" s="22">
        <v>3.3715000000000002</v>
      </c>
      <c r="O866" s="22">
        <v>3.5901000000000001</v>
      </c>
      <c r="P866" s="21">
        <v>13142.5</v>
      </c>
      <c r="Q866" s="20">
        <v>66.551000000000002</v>
      </c>
      <c r="R866" s="21"/>
    </row>
    <row r="867" spans="1:18">
      <c r="A867" s="14">
        <v>41436</v>
      </c>
      <c r="B867" s="15">
        <v>126</v>
      </c>
      <c r="C867" s="15">
        <v>127.7</v>
      </c>
      <c r="F867">
        <v>4</v>
      </c>
      <c r="G867">
        <v>11</v>
      </c>
      <c r="H867">
        <v>2016</v>
      </c>
      <c r="I867" s="41">
        <v>42471</v>
      </c>
      <c r="J867" s="38">
        <v>3053.95</v>
      </c>
      <c r="K867" s="21">
        <v>535.17999999999995</v>
      </c>
      <c r="L867" s="22">
        <v>7.7294999999999998</v>
      </c>
      <c r="M867" s="23">
        <v>17.6448</v>
      </c>
      <c r="N867" s="22">
        <v>3.2829999999999999</v>
      </c>
      <c r="O867" s="22">
        <v>3.4923999999999999</v>
      </c>
      <c r="P867" s="21">
        <v>13127.5</v>
      </c>
      <c r="Q867" s="20">
        <v>66.287000000000006</v>
      </c>
      <c r="R867" s="21"/>
    </row>
    <row r="868" spans="1:18">
      <c r="A868" s="14">
        <v>41437</v>
      </c>
      <c r="B868" s="15">
        <v>121.1</v>
      </c>
      <c r="C868" s="15">
        <v>122.75</v>
      </c>
      <c r="F868">
        <v>4</v>
      </c>
      <c r="G868">
        <v>12</v>
      </c>
      <c r="H868">
        <v>2016</v>
      </c>
      <c r="I868" s="41">
        <v>42472</v>
      </c>
      <c r="J868" s="38">
        <v>3018.64</v>
      </c>
      <c r="K868" s="21">
        <v>535.20000000000005</v>
      </c>
      <c r="L868" s="22">
        <v>7.7365000000000004</v>
      </c>
      <c r="M868" s="23">
        <v>17.4818</v>
      </c>
      <c r="N868" s="22">
        <v>3.2629999999999999</v>
      </c>
      <c r="O868" s="22">
        <v>3.4927999999999999</v>
      </c>
      <c r="P868" s="21">
        <v>13113.5</v>
      </c>
      <c r="Q868" s="20">
        <v>66.283000000000001</v>
      </c>
      <c r="R868" s="21"/>
    </row>
    <row r="869" spans="1:18">
      <c r="A869" s="14">
        <v>41438</v>
      </c>
      <c r="B869" s="15">
        <v>121.35</v>
      </c>
      <c r="C869" s="15">
        <v>123.7</v>
      </c>
      <c r="F869">
        <v>4</v>
      </c>
      <c r="G869">
        <v>13</v>
      </c>
      <c r="H869">
        <v>2016</v>
      </c>
      <c r="I869" s="41">
        <v>42473</v>
      </c>
      <c r="J869" s="38">
        <v>3008.45</v>
      </c>
      <c r="K869" s="21">
        <v>537.51</v>
      </c>
      <c r="L869" s="22">
        <v>7.7465000000000002</v>
      </c>
      <c r="M869" s="23">
        <v>17.430700000000002</v>
      </c>
      <c r="N869" s="22">
        <v>3.2711999999999999</v>
      </c>
      <c r="O869" s="22">
        <v>3.4983</v>
      </c>
      <c r="P869" s="21">
        <v>13160</v>
      </c>
      <c r="Q869" s="20">
        <v>66.495999999999995</v>
      </c>
      <c r="R869" s="21"/>
    </row>
    <row r="870" spans="1:18">
      <c r="A870" s="14">
        <v>41439</v>
      </c>
      <c r="B870" s="15">
        <v>121.85</v>
      </c>
      <c r="C870" s="15">
        <v>122.25</v>
      </c>
      <c r="F870">
        <v>4</v>
      </c>
      <c r="G870">
        <v>14</v>
      </c>
      <c r="H870">
        <v>2016</v>
      </c>
      <c r="I870" s="41">
        <v>42474</v>
      </c>
      <c r="J870" s="38">
        <v>2994.68</v>
      </c>
      <c r="K870" s="21">
        <v>534.62</v>
      </c>
      <c r="L870" s="22">
        <v>7.7465000000000002</v>
      </c>
      <c r="M870" s="23">
        <v>17.446200000000001</v>
      </c>
      <c r="N870" s="22">
        <v>3.2717999999999998</v>
      </c>
      <c r="O870" s="22">
        <v>3.4838</v>
      </c>
      <c r="P870" s="21">
        <v>13177.5</v>
      </c>
      <c r="Q870" s="20">
        <v>66.596999999999994</v>
      </c>
      <c r="R870" s="21"/>
    </row>
    <row r="871" spans="1:18">
      <c r="A871" s="14">
        <v>41442</v>
      </c>
      <c r="B871" s="15">
        <v>121.9</v>
      </c>
      <c r="C871" s="15">
        <v>122.35</v>
      </c>
      <c r="F871">
        <v>4</v>
      </c>
      <c r="G871">
        <v>15</v>
      </c>
      <c r="H871">
        <v>2016</v>
      </c>
      <c r="I871" s="41">
        <v>42475</v>
      </c>
      <c r="J871" s="38">
        <v>2997.8</v>
      </c>
      <c r="K871" s="21">
        <v>534.42999999999995</v>
      </c>
      <c r="L871" s="22">
        <v>7.7445000000000004</v>
      </c>
      <c r="M871" s="23">
        <v>17.5624</v>
      </c>
      <c r="N871" s="22">
        <v>3.274</v>
      </c>
      <c r="O871" s="22">
        <v>3.5331999999999999</v>
      </c>
      <c r="P871" s="21">
        <v>13175</v>
      </c>
      <c r="Q871" s="20">
        <v>66.66</v>
      </c>
      <c r="R871" s="21"/>
    </row>
    <row r="872" spans="1:18">
      <c r="A872" s="14">
        <v>41443</v>
      </c>
      <c r="B872" s="15">
        <v>120.9</v>
      </c>
      <c r="C872" s="15">
        <v>122</v>
      </c>
      <c r="F872">
        <v>4</v>
      </c>
      <c r="G872">
        <v>18</v>
      </c>
      <c r="H872">
        <v>2016</v>
      </c>
      <c r="I872" s="41">
        <v>42478</v>
      </c>
      <c r="J872" s="38">
        <v>2969.99</v>
      </c>
      <c r="K872" s="21">
        <v>537.37</v>
      </c>
      <c r="L872" s="22">
        <v>7.7320000000000002</v>
      </c>
      <c r="M872" s="23">
        <v>17.438199999999998</v>
      </c>
      <c r="N872" s="22">
        <v>3.2709999999999999</v>
      </c>
      <c r="O872" s="22">
        <v>3.6154999999999999</v>
      </c>
      <c r="P872" s="21">
        <v>13175</v>
      </c>
      <c r="Q872" s="20">
        <v>66.415999999999997</v>
      </c>
      <c r="R872" s="21"/>
    </row>
    <row r="873" spans="1:18">
      <c r="A873" s="14">
        <v>41444</v>
      </c>
      <c r="B873" s="15">
        <v>121.9</v>
      </c>
      <c r="C873" s="15">
        <v>122.75</v>
      </c>
      <c r="F873">
        <v>4</v>
      </c>
      <c r="G873">
        <v>19</v>
      </c>
      <c r="H873">
        <v>2016</v>
      </c>
      <c r="I873" s="41">
        <v>42479</v>
      </c>
      <c r="J873" s="38">
        <v>2897.5</v>
      </c>
      <c r="K873" s="21">
        <v>534.08000000000004</v>
      </c>
      <c r="L873" s="22">
        <v>7.7324999999999999</v>
      </c>
      <c r="M873" s="23">
        <v>17.312200000000001</v>
      </c>
      <c r="N873" s="22">
        <v>3.2532999999999999</v>
      </c>
      <c r="O873" s="22">
        <v>3.5341</v>
      </c>
      <c r="P873" s="21">
        <v>13147.5</v>
      </c>
      <c r="Q873" s="20">
        <v>66.150000000000006</v>
      </c>
      <c r="R873" s="21"/>
    </row>
    <row r="874" spans="1:18">
      <c r="A874" s="14">
        <v>41445</v>
      </c>
      <c r="B874" s="15">
        <v>116.9</v>
      </c>
      <c r="C874" s="15">
        <v>117.65</v>
      </c>
      <c r="F874">
        <v>4</v>
      </c>
      <c r="G874">
        <v>20</v>
      </c>
      <c r="H874">
        <v>2016</v>
      </c>
      <c r="I874" s="41">
        <v>42480</v>
      </c>
      <c r="J874" s="38">
        <v>2897.52</v>
      </c>
      <c r="K874" s="21">
        <v>534.33000000000004</v>
      </c>
      <c r="L874" s="22">
        <v>7.7404999999999999</v>
      </c>
      <c r="M874" s="23">
        <v>17.2788</v>
      </c>
      <c r="N874" s="22">
        <v>3.2416</v>
      </c>
      <c r="O874" s="22">
        <v>3.5299</v>
      </c>
      <c r="P874" s="21">
        <v>13141</v>
      </c>
      <c r="Q874" s="20">
        <v>66.165999999999997</v>
      </c>
      <c r="R874" s="21"/>
    </row>
    <row r="875" spans="1:18">
      <c r="A875" s="14">
        <v>41446</v>
      </c>
      <c r="B875" s="15">
        <v>118.65</v>
      </c>
      <c r="C875" s="15">
        <v>118.7</v>
      </c>
      <c r="F875">
        <v>4</v>
      </c>
      <c r="G875">
        <v>21</v>
      </c>
      <c r="H875">
        <v>2016</v>
      </c>
      <c r="I875" s="41">
        <v>42481</v>
      </c>
      <c r="J875" s="38">
        <v>2942</v>
      </c>
      <c r="K875" s="21">
        <v>534.32000000000005</v>
      </c>
      <c r="L875" s="22">
        <v>7.7424999999999997</v>
      </c>
      <c r="M875" s="23">
        <v>17.466999999999999</v>
      </c>
      <c r="N875" s="22">
        <v>3.2654999999999998</v>
      </c>
      <c r="O875" s="22">
        <v>3.5386000000000002</v>
      </c>
      <c r="P875" s="21">
        <v>13157.5</v>
      </c>
      <c r="Q875" s="20">
        <v>66.489000000000004</v>
      </c>
      <c r="R875" s="21"/>
    </row>
    <row r="876" spans="1:18">
      <c r="A876" s="14">
        <v>41449</v>
      </c>
      <c r="B876" s="15">
        <v>118.65</v>
      </c>
      <c r="C876" s="15">
        <v>119.45</v>
      </c>
      <c r="F876">
        <v>4</v>
      </c>
      <c r="G876">
        <v>22</v>
      </c>
      <c r="H876">
        <v>2016</v>
      </c>
      <c r="I876" s="41">
        <v>42482</v>
      </c>
      <c r="J876" s="38">
        <v>2949.47</v>
      </c>
      <c r="K876" s="21">
        <v>534.98</v>
      </c>
      <c r="L876" s="22">
        <v>7.7415000000000003</v>
      </c>
      <c r="M876" s="23">
        <v>17.477699999999999</v>
      </c>
      <c r="N876" s="22">
        <v>3.2706</v>
      </c>
      <c r="O876" s="22">
        <v>3.5646</v>
      </c>
      <c r="P876" s="21">
        <v>13197.5</v>
      </c>
      <c r="Q876" s="20">
        <v>66.66</v>
      </c>
      <c r="R876" s="21"/>
    </row>
    <row r="877" spans="1:18">
      <c r="A877" s="14">
        <v>41450</v>
      </c>
      <c r="B877" s="15">
        <v>118.7</v>
      </c>
      <c r="C877" s="15">
        <v>120.25</v>
      </c>
      <c r="F877">
        <v>4</v>
      </c>
      <c r="G877">
        <v>25</v>
      </c>
      <c r="H877">
        <v>2016</v>
      </c>
      <c r="I877" s="41">
        <v>42485</v>
      </c>
      <c r="J877" s="38">
        <v>2967.07</v>
      </c>
      <c r="K877" s="21">
        <v>534.23</v>
      </c>
      <c r="L877" s="22">
        <v>7.7424999999999997</v>
      </c>
      <c r="M877" s="23">
        <v>17.560500000000001</v>
      </c>
      <c r="N877" s="22">
        <v>3.2837000000000001</v>
      </c>
      <c r="O877" s="22">
        <v>3.5558000000000001</v>
      </c>
      <c r="P877" s="21">
        <v>13197.5</v>
      </c>
      <c r="Q877" s="20">
        <v>66.685000000000002</v>
      </c>
      <c r="R877" s="21"/>
    </row>
    <row r="878" spans="1:18">
      <c r="A878" s="14">
        <v>41451</v>
      </c>
      <c r="B878" s="15">
        <v>117.95</v>
      </c>
      <c r="C878" s="15">
        <v>118.15</v>
      </c>
      <c r="F878">
        <v>4</v>
      </c>
      <c r="G878">
        <v>26</v>
      </c>
      <c r="H878">
        <v>2016</v>
      </c>
      <c r="I878" s="41">
        <v>42486</v>
      </c>
      <c r="J878" s="38">
        <v>2955.5</v>
      </c>
      <c r="K878" s="21">
        <v>538.9</v>
      </c>
      <c r="L878" s="22">
        <v>7.7415000000000003</v>
      </c>
      <c r="M878" s="23">
        <v>17.370799999999999</v>
      </c>
      <c r="N878" s="22">
        <v>3.2835000000000001</v>
      </c>
      <c r="O878" s="22">
        <v>3.5297000000000001</v>
      </c>
      <c r="P878" s="21">
        <v>13200</v>
      </c>
      <c r="Q878" s="20">
        <v>66.403999999999996</v>
      </c>
      <c r="R878" s="21"/>
    </row>
    <row r="879" spans="1:18">
      <c r="A879" s="14">
        <v>41452</v>
      </c>
      <c r="B879" s="15">
        <v>118.7</v>
      </c>
      <c r="C879" s="15">
        <v>121.6</v>
      </c>
      <c r="F879">
        <v>4</v>
      </c>
      <c r="G879">
        <v>27</v>
      </c>
      <c r="H879">
        <v>2016</v>
      </c>
      <c r="I879" s="41">
        <v>42487</v>
      </c>
      <c r="J879" s="38">
        <v>2933.75</v>
      </c>
      <c r="K879" s="21">
        <v>535.01</v>
      </c>
      <c r="L879" s="22">
        <v>7.7435</v>
      </c>
      <c r="M879" s="23">
        <v>17.324000000000002</v>
      </c>
      <c r="N879" s="22">
        <v>3.2896000000000001</v>
      </c>
      <c r="O879" s="22">
        <v>3.5266999999999999</v>
      </c>
      <c r="P879" s="21">
        <v>13194.5</v>
      </c>
      <c r="Q879" s="20">
        <v>66.361999999999995</v>
      </c>
      <c r="R879" s="21"/>
    </row>
    <row r="880" spans="1:18">
      <c r="A880" s="14">
        <v>41453</v>
      </c>
      <c r="B880" s="15">
        <v>118.5</v>
      </c>
      <c r="C880" s="15">
        <v>120</v>
      </c>
      <c r="F880">
        <v>4</v>
      </c>
      <c r="G880">
        <v>28</v>
      </c>
      <c r="H880">
        <v>2016</v>
      </c>
      <c r="I880" s="41">
        <v>42488</v>
      </c>
      <c r="J880" s="38">
        <v>2875.02</v>
      </c>
      <c r="K880" s="21">
        <v>535.83000000000004</v>
      </c>
      <c r="L880" s="22">
        <v>7.7385000000000002</v>
      </c>
      <c r="M880" s="23">
        <v>17.271999999999998</v>
      </c>
      <c r="N880" s="22">
        <v>3.2759999999999998</v>
      </c>
      <c r="O880" s="22">
        <v>3.4878</v>
      </c>
      <c r="P880" s="21">
        <v>13186.5</v>
      </c>
      <c r="Q880" s="20">
        <v>66.400999999999996</v>
      </c>
      <c r="R880" s="21"/>
    </row>
    <row r="881" spans="1:18">
      <c r="A881" s="14">
        <v>41456</v>
      </c>
      <c r="B881" s="15">
        <v>119.8</v>
      </c>
      <c r="C881" s="15">
        <v>121.2</v>
      </c>
      <c r="F881">
        <v>4</v>
      </c>
      <c r="G881">
        <v>29</v>
      </c>
      <c r="H881">
        <v>2016</v>
      </c>
      <c r="I881" s="41">
        <v>42489</v>
      </c>
      <c r="J881" s="38">
        <v>2848.69</v>
      </c>
      <c r="K881" s="21">
        <v>539.75</v>
      </c>
      <c r="L881" s="22">
        <v>7.7344999999999997</v>
      </c>
      <c r="M881" s="23">
        <v>17.175000000000001</v>
      </c>
      <c r="N881" s="22">
        <v>3.2858999999999998</v>
      </c>
      <c r="O881" s="22">
        <v>3.4358</v>
      </c>
      <c r="P881" s="21">
        <v>13185</v>
      </c>
      <c r="Q881" s="20">
        <v>66.424999999999997</v>
      </c>
      <c r="R881" s="21"/>
    </row>
    <row r="882" spans="1:18">
      <c r="A882" s="14">
        <v>41457</v>
      </c>
      <c r="B882" s="15">
        <v>121.25</v>
      </c>
      <c r="C882" s="15">
        <v>124.1</v>
      </c>
      <c r="F882">
        <v>5</v>
      </c>
      <c r="G882">
        <v>2</v>
      </c>
      <c r="H882">
        <v>2016</v>
      </c>
      <c r="I882" s="41">
        <v>42492</v>
      </c>
      <c r="J882" s="38">
        <v>2833</v>
      </c>
      <c r="K882" s="21">
        <v>536.48</v>
      </c>
      <c r="L882" s="22">
        <v>7.7355</v>
      </c>
      <c r="M882" s="23">
        <v>17.2014</v>
      </c>
      <c r="N882" s="22">
        <v>3.3022</v>
      </c>
      <c r="O882" s="22">
        <v>3.5011000000000001</v>
      </c>
      <c r="P882" s="21">
        <v>13180</v>
      </c>
      <c r="Q882" s="20">
        <v>66.346000000000004</v>
      </c>
      <c r="R882" s="21"/>
    </row>
    <row r="883" spans="1:18">
      <c r="A883" s="14">
        <v>41458</v>
      </c>
      <c r="B883" s="15">
        <v>121.3</v>
      </c>
      <c r="C883" s="15">
        <v>121.15</v>
      </c>
      <c r="F883">
        <v>5</v>
      </c>
      <c r="G883">
        <v>3</v>
      </c>
      <c r="H883">
        <v>2016</v>
      </c>
      <c r="I883" s="41">
        <v>42493</v>
      </c>
      <c r="J883" s="38">
        <v>2914.1</v>
      </c>
      <c r="K883" s="21">
        <v>536.4</v>
      </c>
      <c r="L883" s="22">
        <v>7.7275</v>
      </c>
      <c r="M883" s="23">
        <v>17.6065</v>
      </c>
      <c r="N883" s="22">
        <v>3.331</v>
      </c>
      <c r="O883" s="22">
        <v>3.5598999999999998</v>
      </c>
      <c r="P883" s="21">
        <v>13194.5</v>
      </c>
      <c r="Q883" s="20">
        <v>66.558000000000007</v>
      </c>
      <c r="R883" s="21"/>
    </row>
    <row r="884" spans="1:18">
      <c r="A884" s="14">
        <v>41460</v>
      </c>
      <c r="B884" s="15">
        <v>120.8</v>
      </c>
      <c r="C884" s="15">
        <v>120.95</v>
      </c>
      <c r="F884">
        <v>5</v>
      </c>
      <c r="G884">
        <v>4</v>
      </c>
      <c r="H884">
        <v>2016</v>
      </c>
      <c r="I884" s="41">
        <v>42494</v>
      </c>
      <c r="J884" s="38">
        <v>2953.7</v>
      </c>
      <c r="K884" s="21">
        <v>536.17999999999995</v>
      </c>
      <c r="L884" s="22">
        <v>7.7184999999999997</v>
      </c>
      <c r="M884" s="23">
        <v>17.799499999999998</v>
      </c>
      <c r="N884" s="22">
        <v>3.3296999999999999</v>
      </c>
      <c r="O884" s="22">
        <v>3.5472999999999999</v>
      </c>
      <c r="P884" s="21">
        <v>13241.5</v>
      </c>
      <c r="Q884" s="20">
        <v>66.626999999999995</v>
      </c>
      <c r="R884" s="21"/>
    </row>
    <row r="885" spans="1:18">
      <c r="A885" s="14">
        <v>41463</v>
      </c>
      <c r="B885" s="15">
        <v>120.5</v>
      </c>
      <c r="C885" s="15">
        <v>123.25</v>
      </c>
      <c r="F885">
        <v>5</v>
      </c>
      <c r="G885">
        <v>5</v>
      </c>
      <c r="H885">
        <v>2016</v>
      </c>
      <c r="I885" s="41">
        <v>42495</v>
      </c>
      <c r="J885" s="38">
        <v>2951.1</v>
      </c>
      <c r="K885" s="21">
        <v>535.94000000000005</v>
      </c>
      <c r="L885" s="22">
        <v>7.71</v>
      </c>
      <c r="M885" s="23">
        <v>17.894200000000001</v>
      </c>
      <c r="N885" s="22">
        <v>3.3201999999999998</v>
      </c>
      <c r="O885" s="22">
        <v>3.5348999999999999</v>
      </c>
      <c r="P885" s="21">
        <v>13241.5</v>
      </c>
      <c r="Q885" s="20">
        <v>66.558000000000007</v>
      </c>
      <c r="R885" s="21"/>
    </row>
    <row r="886" spans="1:18">
      <c r="A886" s="14">
        <v>41464</v>
      </c>
      <c r="B886" s="15">
        <v>120</v>
      </c>
      <c r="C886" s="15">
        <v>122.05</v>
      </c>
      <c r="F886">
        <v>5</v>
      </c>
      <c r="G886">
        <v>6</v>
      </c>
      <c r="H886">
        <v>2016</v>
      </c>
      <c r="I886" s="41">
        <v>42496</v>
      </c>
      <c r="J886" s="38">
        <v>2956.72</v>
      </c>
      <c r="K886" s="21">
        <v>535.92999999999995</v>
      </c>
      <c r="L886" s="22">
        <v>7.6970000000000001</v>
      </c>
      <c r="M886" s="23">
        <v>17.8813</v>
      </c>
      <c r="N886" s="22">
        <v>3.3098000000000001</v>
      </c>
      <c r="O886" s="22">
        <v>3.5023</v>
      </c>
      <c r="P886" s="21">
        <v>13241.5</v>
      </c>
      <c r="Q886" s="20">
        <v>66.599999999999994</v>
      </c>
      <c r="R886" s="21"/>
    </row>
    <row r="887" spans="1:18">
      <c r="A887" s="14">
        <v>41465</v>
      </c>
      <c r="B887" s="15">
        <v>121.75</v>
      </c>
      <c r="C887" s="15">
        <v>121.45</v>
      </c>
      <c r="F887">
        <v>5</v>
      </c>
      <c r="G887">
        <v>9</v>
      </c>
      <c r="H887">
        <v>2016</v>
      </c>
      <c r="I887" s="41">
        <v>42499</v>
      </c>
      <c r="J887" s="38">
        <v>2956.82</v>
      </c>
      <c r="K887" s="21">
        <v>536.14</v>
      </c>
      <c r="L887" s="22">
        <v>7.6695000000000002</v>
      </c>
      <c r="M887" s="23">
        <v>18.202000000000002</v>
      </c>
      <c r="N887" s="22">
        <v>3.3327</v>
      </c>
      <c r="O887" s="22">
        <v>3.5164</v>
      </c>
      <c r="P887" s="21">
        <v>13290</v>
      </c>
      <c r="Q887" s="20">
        <v>66.751999999999995</v>
      </c>
      <c r="R887" s="21"/>
    </row>
    <row r="888" spans="1:18">
      <c r="A888" s="14">
        <v>41466</v>
      </c>
      <c r="B888" s="15">
        <v>0</v>
      </c>
      <c r="C888" s="15">
        <v>123.15</v>
      </c>
      <c r="F888">
        <v>5</v>
      </c>
      <c r="G888">
        <v>10</v>
      </c>
      <c r="H888">
        <v>2016</v>
      </c>
      <c r="I888" s="41">
        <v>42500</v>
      </c>
      <c r="J888" s="38">
        <v>2974</v>
      </c>
      <c r="K888" s="21">
        <v>536.85</v>
      </c>
      <c r="L888" s="22">
        <v>7.6520000000000001</v>
      </c>
      <c r="M888" s="23">
        <v>17.990500000000001</v>
      </c>
      <c r="N888" s="22">
        <v>3.3334999999999999</v>
      </c>
      <c r="O888" s="22">
        <v>3.4758</v>
      </c>
      <c r="P888" s="21">
        <v>13287.5</v>
      </c>
      <c r="Q888" s="20">
        <v>66.631</v>
      </c>
      <c r="R888" s="21"/>
    </row>
    <row r="889" spans="1:18">
      <c r="A889" s="14">
        <v>41467</v>
      </c>
      <c r="B889" s="15">
        <v>119.35</v>
      </c>
      <c r="C889" s="15">
        <v>119.15</v>
      </c>
      <c r="F889">
        <v>5</v>
      </c>
      <c r="G889">
        <v>11</v>
      </c>
      <c r="H889">
        <v>2016</v>
      </c>
      <c r="I889" s="41">
        <v>42501</v>
      </c>
      <c r="J889" s="38">
        <v>2938.05</v>
      </c>
      <c r="K889" s="21">
        <v>535.89</v>
      </c>
      <c r="L889" s="22">
        <v>7.6425000000000001</v>
      </c>
      <c r="M889" s="23">
        <v>17.994599999999998</v>
      </c>
      <c r="N889" s="22">
        <v>3.3279999999999998</v>
      </c>
      <c r="O889" s="22">
        <v>3.4527999999999999</v>
      </c>
      <c r="P889" s="21">
        <v>13305</v>
      </c>
      <c r="Q889" s="20">
        <v>66.561000000000007</v>
      </c>
      <c r="R889" s="21"/>
    </row>
    <row r="890" spans="1:18">
      <c r="A890" s="14">
        <v>41470</v>
      </c>
      <c r="B890" s="15">
        <v>120.15</v>
      </c>
      <c r="C890" s="15">
        <v>122.9</v>
      </c>
      <c r="F890">
        <v>5</v>
      </c>
      <c r="G890">
        <v>12</v>
      </c>
      <c r="H890">
        <v>2016</v>
      </c>
      <c r="I890" s="41">
        <v>42502</v>
      </c>
      <c r="J890" s="38">
        <v>2946.62</v>
      </c>
      <c r="K890" s="21">
        <v>536.02</v>
      </c>
      <c r="L890" s="22">
        <v>7.6254999999999997</v>
      </c>
      <c r="M890" s="23">
        <v>17.974</v>
      </c>
      <c r="N890" s="22">
        <v>3.3212999999999999</v>
      </c>
      <c r="O890" s="22">
        <v>3.4855</v>
      </c>
      <c r="P890" s="21">
        <v>13297.5</v>
      </c>
      <c r="Q890" s="20">
        <v>66.757000000000005</v>
      </c>
      <c r="R890" s="21"/>
    </row>
    <row r="891" spans="1:18">
      <c r="A891" s="14">
        <v>41471</v>
      </c>
      <c r="B891" s="15">
        <v>124.9</v>
      </c>
      <c r="C891" s="15">
        <v>125.6</v>
      </c>
      <c r="F891">
        <v>5</v>
      </c>
      <c r="G891">
        <v>13</v>
      </c>
      <c r="H891">
        <v>2016</v>
      </c>
      <c r="I891" s="41">
        <v>42503</v>
      </c>
      <c r="J891" s="38">
        <v>2992</v>
      </c>
      <c r="K891" s="21">
        <v>535.80999999999995</v>
      </c>
      <c r="L891" s="22">
        <v>7.6345000000000001</v>
      </c>
      <c r="M891" s="23">
        <v>18.166799999999999</v>
      </c>
      <c r="N891" s="22">
        <v>3.3355999999999999</v>
      </c>
      <c r="O891" s="22">
        <v>3.5339999999999998</v>
      </c>
      <c r="P891" s="21">
        <v>13317.5</v>
      </c>
      <c r="Q891" s="20">
        <v>66.855000000000004</v>
      </c>
      <c r="R891" s="21"/>
    </row>
    <row r="892" spans="1:18">
      <c r="A892" s="14">
        <v>41472</v>
      </c>
      <c r="B892" s="15">
        <v>125.75</v>
      </c>
      <c r="C892" s="15">
        <v>127.55</v>
      </c>
      <c r="F892">
        <v>5</v>
      </c>
      <c r="G892">
        <v>16</v>
      </c>
      <c r="H892">
        <v>2016</v>
      </c>
      <c r="I892" s="41">
        <v>42506</v>
      </c>
      <c r="J892" s="38">
        <v>3027.19</v>
      </c>
      <c r="K892" s="21">
        <v>535.80999999999995</v>
      </c>
      <c r="L892" s="22">
        <v>7.6265000000000001</v>
      </c>
      <c r="M892" s="23">
        <v>18.305499999999999</v>
      </c>
      <c r="N892" s="22">
        <v>3.3287</v>
      </c>
      <c r="O892" s="22">
        <v>3.5001000000000002</v>
      </c>
      <c r="P892" s="21">
        <v>13302.5</v>
      </c>
      <c r="Q892" s="20">
        <v>66.843999999999994</v>
      </c>
      <c r="R892" s="21"/>
    </row>
    <row r="893" spans="1:18">
      <c r="A893" s="14">
        <v>41473</v>
      </c>
      <c r="B893" s="15">
        <v>131.6</v>
      </c>
      <c r="C893" s="15">
        <v>127.15</v>
      </c>
      <c r="F893">
        <v>5</v>
      </c>
      <c r="G893">
        <v>17</v>
      </c>
      <c r="H893">
        <v>2016</v>
      </c>
      <c r="I893" s="41">
        <v>42507</v>
      </c>
      <c r="J893" s="38">
        <v>3013.34</v>
      </c>
      <c r="K893" s="21">
        <v>535.74</v>
      </c>
      <c r="L893" s="22">
        <v>7.6375000000000002</v>
      </c>
      <c r="M893" s="23">
        <v>18.27</v>
      </c>
      <c r="N893" s="22">
        <v>3.3119999999999998</v>
      </c>
      <c r="O893" s="22">
        <v>3.4887999999999999</v>
      </c>
      <c r="P893" s="21">
        <v>13298.5</v>
      </c>
      <c r="Q893" s="20">
        <v>66.825000000000003</v>
      </c>
      <c r="R893" s="21"/>
    </row>
    <row r="894" spans="1:18">
      <c r="A894" s="14">
        <v>41474</v>
      </c>
      <c r="B894" s="15">
        <v>0</v>
      </c>
      <c r="C894" s="15">
        <v>122.6</v>
      </c>
      <c r="F894">
        <v>5</v>
      </c>
      <c r="G894">
        <v>18</v>
      </c>
      <c r="H894">
        <v>2016</v>
      </c>
      <c r="I894" s="41">
        <v>42508</v>
      </c>
      <c r="J894" s="38">
        <v>3025.33</v>
      </c>
      <c r="K894" s="21">
        <v>535.82000000000005</v>
      </c>
      <c r="L894" s="22">
        <v>7.6395</v>
      </c>
      <c r="M894" s="23">
        <v>18.438600000000001</v>
      </c>
      <c r="N894" s="22">
        <v>3.3315999999999999</v>
      </c>
      <c r="O894" s="22">
        <v>3.5682999999999998</v>
      </c>
      <c r="P894" s="21">
        <v>13389</v>
      </c>
      <c r="Q894" s="20">
        <v>67.14</v>
      </c>
      <c r="R894" s="21"/>
    </row>
    <row r="895" spans="1:18">
      <c r="A895" s="14">
        <v>41477</v>
      </c>
      <c r="B895" s="15">
        <v>122.6</v>
      </c>
      <c r="C895" s="15">
        <v>125.3</v>
      </c>
      <c r="F895">
        <v>5</v>
      </c>
      <c r="G895">
        <v>19</v>
      </c>
      <c r="H895">
        <v>2016</v>
      </c>
      <c r="I895" s="41">
        <v>42509</v>
      </c>
      <c r="J895" s="38">
        <v>3056.57</v>
      </c>
      <c r="K895" s="21">
        <v>535.85</v>
      </c>
      <c r="L895" s="22">
        <v>7.6315</v>
      </c>
      <c r="M895" s="23">
        <v>18.423500000000001</v>
      </c>
      <c r="N895" s="22">
        <v>3.3395000000000001</v>
      </c>
      <c r="O895" s="22">
        <v>3.5644</v>
      </c>
      <c r="P895" s="21">
        <v>13555</v>
      </c>
      <c r="Q895" s="20">
        <v>67.436000000000007</v>
      </c>
      <c r="R895" s="21"/>
    </row>
    <row r="896" spans="1:18">
      <c r="A896" s="14">
        <v>41478</v>
      </c>
      <c r="B896" s="15">
        <v>123.25</v>
      </c>
      <c r="C896" s="15">
        <v>126.1</v>
      </c>
      <c r="F896">
        <v>5</v>
      </c>
      <c r="G896">
        <v>20</v>
      </c>
      <c r="H896">
        <v>2016</v>
      </c>
      <c r="I896" s="41">
        <v>42510</v>
      </c>
      <c r="J896" s="38">
        <v>3051.98</v>
      </c>
      <c r="K896" s="21">
        <v>539.28</v>
      </c>
      <c r="L896" s="22">
        <v>7.633</v>
      </c>
      <c r="M896" s="23">
        <v>18.341999999999999</v>
      </c>
      <c r="N896" s="22">
        <v>3.3321000000000001</v>
      </c>
      <c r="O896" s="22">
        <v>3.5202</v>
      </c>
      <c r="P896" s="21">
        <v>13607.5</v>
      </c>
      <c r="Q896" s="20">
        <v>67.408000000000001</v>
      </c>
      <c r="R896" s="21"/>
    </row>
    <row r="897" spans="1:18">
      <c r="A897" s="14">
        <v>41479</v>
      </c>
      <c r="B897" s="15">
        <v>120.85</v>
      </c>
      <c r="C897" s="15">
        <v>121.25</v>
      </c>
      <c r="F897">
        <v>5</v>
      </c>
      <c r="G897">
        <v>23</v>
      </c>
      <c r="H897">
        <v>2016</v>
      </c>
      <c r="I897" s="41">
        <v>42513</v>
      </c>
      <c r="J897" s="38">
        <v>3061.1</v>
      </c>
      <c r="K897" s="21">
        <v>539.80999999999995</v>
      </c>
      <c r="L897" s="22">
        <v>7.6384999999999996</v>
      </c>
      <c r="M897" s="23">
        <v>18.518000000000001</v>
      </c>
      <c r="N897" s="22">
        <v>3.3437000000000001</v>
      </c>
      <c r="O897" s="22">
        <v>3.5728</v>
      </c>
      <c r="P897" s="21">
        <v>13582.5</v>
      </c>
      <c r="Q897" s="20">
        <v>67.409000000000006</v>
      </c>
      <c r="R897" s="21"/>
    </row>
    <row r="898" spans="1:18">
      <c r="A898" s="14">
        <v>41480</v>
      </c>
      <c r="B898" s="15">
        <v>120.85</v>
      </c>
      <c r="C898" s="15">
        <v>124.8</v>
      </c>
      <c r="F898">
        <v>5</v>
      </c>
      <c r="G898">
        <v>24</v>
      </c>
      <c r="H898">
        <v>2016</v>
      </c>
      <c r="I898" s="41">
        <v>42514</v>
      </c>
      <c r="J898" s="38">
        <v>3063.75</v>
      </c>
      <c r="K898" s="21">
        <v>540.05999999999995</v>
      </c>
      <c r="L898" s="22">
        <v>7.6384999999999996</v>
      </c>
      <c r="M898" s="23">
        <v>18.4803</v>
      </c>
      <c r="N898" s="22">
        <v>3.3441000000000001</v>
      </c>
      <c r="O898" s="22">
        <v>3.5712999999999999</v>
      </c>
      <c r="P898" s="21">
        <v>13690</v>
      </c>
      <c r="Q898" s="20">
        <v>67.63</v>
      </c>
      <c r="R898" s="21"/>
    </row>
    <row r="899" spans="1:18">
      <c r="A899" s="14">
        <v>41481</v>
      </c>
      <c r="B899" s="15">
        <v>122.1</v>
      </c>
      <c r="C899" s="15">
        <v>122.25</v>
      </c>
      <c r="F899">
        <v>5</v>
      </c>
      <c r="G899">
        <v>25</v>
      </c>
      <c r="H899">
        <v>2016</v>
      </c>
      <c r="I899" s="41">
        <v>42515</v>
      </c>
      <c r="J899" s="38">
        <v>3060.5</v>
      </c>
      <c r="K899" s="21">
        <v>534.78</v>
      </c>
      <c r="L899" s="22">
        <v>7.6375000000000002</v>
      </c>
      <c r="M899" s="23">
        <v>18.484000000000002</v>
      </c>
      <c r="N899" s="22">
        <v>3.3376000000000001</v>
      </c>
      <c r="O899" s="22">
        <v>3.5836000000000001</v>
      </c>
      <c r="P899" s="21">
        <v>13655</v>
      </c>
      <c r="Q899" s="20">
        <v>67.272999999999996</v>
      </c>
      <c r="R899" s="21"/>
    </row>
    <row r="900" spans="1:18">
      <c r="A900" s="14">
        <v>41484</v>
      </c>
      <c r="B900" s="15">
        <v>119.8</v>
      </c>
      <c r="C900" s="15">
        <v>121.15</v>
      </c>
      <c r="F900">
        <v>5</v>
      </c>
      <c r="G900">
        <v>26</v>
      </c>
      <c r="H900">
        <v>2016</v>
      </c>
      <c r="I900" s="41">
        <v>42516</v>
      </c>
      <c r="J900" s="38">
        <v>3052.85</v>
      </c>
      <c r="K900" s="21">
        <v>537.04</v>
      </c>
      <c r="L900" s="22">
        <v>7.6304999999999996</v>
      </c>
      <c r="M900" s="23">
        <v>18.454999999999998</v>
      </c>
      <c r="N900" s="22">
        <v>3.3450000000000002</v>
      </c>
      <c r="O900" s="22">
        <v>3.5825</v>
      </c>
      <c r="P900" s="21">
        <v>13603.5</v>
      </c>
      <c r="Q900" s="20">
        <v>66.927000000000007</v>
      </c>
      <c r="R900" s="21"/>
    </row>
    <row r="901" spans="1:18">
      <c r="A901" s="14">
        <v>41485</v>
      </c>
      <c r="B901" s="15">
        <v>120</v>
      </c>
      <c r="C901" s="15">
        <v>120.3</v>
      </c>
      <c r="F901">
        <v>5</v>
      </c>
      <c r="G901">
        <v>27</v>
      </c>
      <c r="H901">
        <v>2016</v>
      </c>
      <c r="I901" s="41">
        <v>42517</v>
      </c>
      <c r="J901" s="38">
        <v>3069</v>
      </c>
      <c r="K901" s="21">
        <v>536.85</v>
      </c>
      <c r="L901" s="22">
        <v>7.6295000000000002</v>
      </c>
      <c r="M901" s="23">
        <v>18.456199999999999</v>
      </c>
      <c r="N901" s="22">
        <v>3.3490000000000002</v>
      </c>
      <c r="O901" s="22">
        <v>3.6116000000000001</v>
      </c>
      <c r="P901" s="21">
        <v>13583</v>
      </c>
      <c r="Q901" s="20">
        <v>67.031000000000006</v>
      </c>
      <c r="R901" s="41"/>
    </row>
    <row r="902" spans="1:18">
      <c r="A902" s="14">
        <v>41486</v>
      </c>
      <c r="B902" s="15">
        <v>117.4</v>
      </c>
      <c r="C902" s="15">
        <v>118.6</v>
      </c>
      <c r="F902">
        <v>5</v>
      </c>
      <c r="G902">
        <v>30</v>
      </c>
      <c r="H902">
        <v>2016</v>
      </c>
      <c r="I902" s="41">
        <v>42520</v>
      </c>
      <c r="J902" s="38">
        <v>3062.3</v>
      </c>
      <c r="K902" s="21">
        <v>536.85</v>
      </c>
      <c r="L902" s="22">
        <v>7.6295000000000002</v>
      </c>
      <c r="M902" s="23">
        <v>18.484300000000001</v>
      </c>
      <c r="N902" s="22">
        <v>3.3664999999999998</v>
      </c>
      <c r="O902" s="22">
        <v>3.5712999999999999</v>
      </c>
      <c r="P902" s="21">
        <v>13645</v>
      </c>
      <c r="Q902" s="20">
        <v>67.171000000000006</v>
      </c>
      <c r="R902" s="21"/>
    </row>
    <row r="903" spans="1:18">
      <c r="A903" s="14">
        <v>41487</v>
      </c>
      <c r="B903" s="15">
        <v>115.35</v>
      </c>
      <c r="C903" s="15">
        <v>115.6</v>
      </c>
      <c r="F903">
        <v>5</v>
      </c>
      <c r="G903">
        <v>31</v>
      </c>
      <c r="H903">
        <v>2016</v>
      </c>
      <c r="I903" s="41">
        <v>42521</v>
      </c>
      <c r="J903" s="38">
        <v>3090.07</v>
      </c>
      <c r="K903" s="21">
        <v>541.20000000000005</v>
      </c>
      <c r="L903" s="22">
        <v>7.6275000000000004</v>
      </c>
      <c r="M903" s="23">
        <v>18.468399999999999</v>
      </c>
      <c r="N903" s="22">
        <v>3.3754</v>
      </c>
      <c r="O903" s="22">
        <v>3.6111</v>
      </c>
      <c r="P903" s="21">
        <v>13660</v>
      </c>
      <c r="Q903" s="20">
        <v>67.209000000000003</v>
      </c>
      <c r="R903" s="21"/>
    </row>
    <row r="904" spans="1:18">
      <c r="A904" s="14">
        <v>41488</v>
      </c>
      <c r="B904" s="15">
        <v>115.8</v>
      </c>
      <c r="C904" s="15">
        <v>118.25</v>
      </c>
      <c r="F904">
        <v>6</v>
      </c>
      <c r="G904">
        <v>1</v>
      </c>
      <c r="H904">
        <v>2016</v>
      </c>
      <c r="I904" s="41">
        <v>42522</v>
      </c>
      <c r="J904" s="38">
        <v>3114.1</v>
      </c>
      <c r="K904" s="21">
        <v>540.30999999999995</v>
      </c>
      <c r="L904" s="22">
        <v>7.6230000000000002</v>
      </c>
      <c r="M904" s="23">
        <v>18.523800000000001</v>
      </c>
      <c r="N904" s="22">
        <v>3.3694999999999999</v>
      </c>
      <c r="O904" s="22">
        <v>3.6006999999999998</v>
      </c>
      <c r="P904" s="21">
        <v>13660</v>
      </c>
      <c r="Q904" s="20">
        <v>67.433999999999997</v>
      </c>
      <c r="R904" s="21"/>
    </row>
    <row r="905" spans="1:18">
      <c r="A905" s="14">
        <v>41491</v>
      </c>
      <c r="B905" s="15">
        <v>117.9</v>
      </c>
      <c r="C905" s="15">
        <v>119.65</v>
      </c>
      <c r="F905">
        <v>6</v>
      </c>
      <c r="G905">
        <v>2</v>
      </c>
      <c r="H905">
        <v>2016</v>
      </c>
      <c r="I905" s="41">
        <v>42523</v>
      </c>
      <c r="J905" s="38">
        <v>3085.23</v>
      </c>
      <c r="K905" s="21">
        <v>537.12</v>
      </c>
      <c r="L905" s="22">
        <v>7.6275000000000004</v>
      </c>
      <c r="M905" s="23">
        <v>18.673999999999999</v>
      </c>
      <c r="N905" s="22">
        <v>3.3754</v>
      </c>
      <c r="O905" s="22">
        <v>3.5926</v>
      </c>
      <c r="P905" s="21">
        <v>13647.5</v>
      </c>
      <c r="Q905" s="20">
        <v>67.268000000000001</v>
      </c>
      <c r="R905" s="21"/>
    </row>
    <row r="906" spans="1:18">
      <c r="A906" s="14">
        <v>41492</v>
      </c>
      <c r="B906" s="15">
        <v>117.1</v>
      </c>
      <c r="C906" s="15">
        <v>117.9</v>
      </c>
      <c r="F906">
        <v>6</v>
      </c>
      <c r="G906">
        <v>3</v>
      </c>
      <c r="H906">
        <v>2016</v>
      </c>
      <c r="I906" s="41">
        <v>42524</v>
      </c>
      <c r="J906" s="38">
        <v>3020</v>
      </c>
      <c r="K906" s="21">
        <v>537.5</v>
      </c>
      <c r="L906" s="22">
        <v>7.6345000000000001</v>
      </c>
      <c r="M906" s="23">
        <v>18.592500000000001</v>
      </c>
      <c r="N906" s="22">
        <v>3.3342000000000001</v>
      </c>
      <c r="O906" s="22">
        <v>3.524</v>
      </c>
      <c r="P906" s="21">
        <v>13591.5</v>
      </c>
      <c r="Q906" s="20">
        <v>67</v>
      </c>
      <c r="R906" s="21"/>
    </row>
    <row r="907" spans="1:18">
      <c r="A907" s="14">
        <v>41493</v>
      </c>
      <c r="B907" s="15">
        <v>117.85</v>
      </c>
      <c r="C907" s="15">
        <v>121.05</v>
      </c>
      <c r="F907">
        <v>6</v>
      </c>
      <c r="G907">
        <v>6</v>
      </c>
      <c r="H907">
        <v>2016</v>
      </c>
      <c r="I907" s="41">
        <v>42527</v>
      </c>
      <c r="J907" s="38">
        <v>3018.64</v>
      </c>
      <c r="K907" s="21">
        <v>539.33000000000004</v>
      </c>
      <c r="L907" s="22">
        <v>7.6444999999999999</v>
      </c>
      <c r="M907" s="23">
        <v>18.6675</v>
      </c>
      <c r="N907" s="22">
        <v>3.3096000000000001</v>
      </c>
      <c r="O907" s="22">
        <v>3.4895999999999998</v>
      </c>
      <c r="P907" s="21">
        <v>13377.5</v>
      </c>
      <c r="Q907" s="20">
        <v>66.790000000000006</v>
      </c>
      <c r="R907" s="21"/>
    </row>
    <row r="908" spans="1:18">
      <c r="A908" s="14">
        <v>41494</v>
      </c>
      <c r="B908" s="15">
        <v>120.4</v>
      </c>
      <c r="C908" s="15">
        <v>122.05</v>
      </c>
      <c r="F908">
        <v>6</v>
      </c>
      <c r="G908">
        <v>7</v>
      </c>
      <c r="H908">
        <v>2016</v>
      </c>
      <c r="I908" s="41">
        <v>42528</v>
      </c>
      <c r="J908" s="38">
        <v>2942</v>
      </c>
      <c r="K908" s="21">
        <v>537.27</v>
      </c>
      <c r="L908" s="22">
        <v>7.6464999999999996</v>
      </c>
      <c r="M908" s="23">
        <v>18.358699999999999</v>
      </c>
      <c r="N908" s="22">
        <v>3.3005</v>
      </c>
      <c r="O908" s="22">
        <v>3.4420999999999999</v>
      </c>
      <c r="P908" s="21">
        <v>13270</v>
      </c>
      <c r="Q908" s="20">
        <v>66.658000000000001</v>
      </c>
      <c r="R908" s="21"/>
    </row>
    <row r="909" spans="1:18">
      <c r="A909" s="14">
        <v>41495</v>
      </c>
      <c r="B909" s="15">
        <v>121.45</v>
      </c>
      <c r="C909" s="15">
        <v>122.9</v>
      </c>
      <c r="F909">
        <v>6</v>
      </c>
      <c r="G909">
        <v>8</v>
      </c>
      <c r="H909">
        <v>2016</v>
      </c>
      <c r="I909" s="41">
        <v>42529</v>
      </c>
      <c r="J909" s="38">
        <v>2923.38</v>
      </c>
      <c r="K909" s="21">
        <v>540.87</v>
      </c>
      <c r="L909" s="22">
        <v>7.6494999999999997</v>
      </c>
      <c r="M909" s="23">
        <v>18.119900000000001</v>
      </c>
      <c r="N909" s="22">
        <v>3.2955999999999999</v>
      </c>
      <c r="O909" s="22">
        <v>3.363</v>
      </c>
      <c r="P909" s="21">
        <v>13265</v>
      </c>
      <c r="Q909" s="20">
        <v>66.5</v>
      </c>
      <c r="R909" s="21"/>
    </row>
    <row r="910" spans="1:18">
      <c r="A910" s="14">
        <v>41498</v>
      </c>
      <c r="B910" s="15">
        <v>122.1</v>
      </c>
      <c r="C910" s="15">
        <v>123.45</v>
      </c>
      <c r="F910">
        <v>6</v>
      </c>
      <c r="G910">
        <v>9</v>
      </c>
      <c r="H910">
        <v>2016</v>
      </c>
      <c r="I910" s="41">
        <v>42530</v>
      </c>
      <c r="J910" s="38">
        <v>2937.84</v>
      </c>
      <c r="K910" s="21">
        <v>545.95000000000005</v>
      </c>
      <c r="L910" s="22">
        <v>7.6589999999999998</v>
      </c>
      <c r="M910" s="23">
        <v>18.247</v>
      </c>
      <c r="N910" s="22">
        <v>3.3071000000000002</v>
      </c>
      <c r="O910" s="22">
        <v>3.4009999999999998</v>
      </c>
      <c r="P910" s="21">
        <v>13265</v>
      </c>
      <c r="Q910" s="20">
        <v>66.753</v>
      </c>
      <c r="R910" s="21"/>
    </row>
    <row r="911" spans="1:18">
      <c r="A911" s="14">
        <v>41499</v>
      </c>
      <c r="B911" s="15">
        <v>119.35</v>
      </c>
      <c r="C911" s="15">
        <v>120.6</v>
      </c>
      <c r="F911">
        <v>6</v>
      </c>
      <c r="G911">
        <v>10</v>
      </c>
      <c r="H911">
        <v>2016</v>
      </c>
      <c r="I911" s="41">
        <v>42531</v>
      </c>
      <c r="J911" s="38">
        <v>2971.45</v>
      </c>
      <c r="K911" s="21">
        <v>541.41999999999996</v>
      </c>
      <c r="L911" s="22">
        <v>7.6654999999999998</v>
      </c>
      <c r="M911" s="23">
        <v>18.63</v>
      </c>
      <c r="N911" s="22">
        <v>3.331</v>
      </c>
      <c r="O911" s="22">
        <v>3.4188000000000001</v>
      </c>
      <c r="P911" s="21">
        <v>13297.5</v>
      </c>
      <c r="Q911" s="20">
        <v>66.951999999999998</v>
      </c>
      <c r="R911" s="21"/>
    </row>
    <row r="912" spans="1:18">
      <c r="A912" s="14">
        <v>41500</v>
      </c>
      <c r="B912" s="15">
        <v>120.75</v>
      </c>
      <c r="C912" s="15">
        <v>122.65</v>
      </c>
      <c r="F912">
        <v>6</v>
      </c>
      <c r="G912">
        <v>13</v>
      </c>
      <c r="H912">
        <v>2016</v>
      </c>
      <c r="I912" s="41">
        <v>42534</v>
      </c>
      <c r="J912" s="38">
        <v>2996.41</v>
      </c>
      <c r="K912" s="21">
        <v>541.26</v>
      </c>
      <c r="L912" s="22">
        <v>7.6695000000000002</v>
      </c>
      <c r="M912" s="23">
        <v>18.840499999999999</v>
      </c>
      <c r="N912" s="22">
        <v>3.3243</v>
      </c>
      <c r="O912" s="22">
        <v>3.4826999999999999</v>
      </c>
      <c r="P912" s="21">
        <v>13278.5</v>
      </c>
      <c r="Q912" s="20">
        <v>67.186999999999998</v>
      </c>
      <c r="R912" s="21"/>
    </row>
    <row r="913" spans="1:18">
      <c r="A913" s="14">
        <v>41501</v>
      </c>
      <c r="B913" s="15">
        <v>119.55</v>
      </c>
      <c r="C913" s="15">
        <v>121.85</v>
      </c>
      <c r="F913">
        <v>6</v>
      </c>
      <c r="G913">
        <v>14</v>
      </c>
      <c r="H913">
        <v>2016</v>
      </c>
      <c r="I913" s="41">
        <v>42535</v>
      </c>
      <c r="J913" s="38">
        <v>3005.68</v>
      </c>
      <c r="K913" s="21">
        <v>543.33000000000004</v>
      </c>
      <c r="L913" s="22">
        <v>7.6559999999999997</v>
      </c>
      <c r="M913" s="23">
        <v>18.930900000000001</v>
      </c>
      <c r="N913" s="22">
        <v>3.3374999999999999</v>
      </c>
      <c r="O913" s="22">
        <v>3.4811999999999999</v>
      </c>
      <c r="P913" s="21">
        <v>13365</v>
      </c>
      <c r="Q913" s="20">
        <v>67.292000000000002</v>
      </c>
      <c r="R913" s="21"/>
    </row>
    <row r="914" spans="1:18">
      <c r="A914" s="14">
        <v>41502</v>
      </c>
      <c r="B914" s="15">
        <v>120</v>
      </c>
      <c r="C914" s="15">
        <v>120.5</v>
      </c>
      <c r="F914">
        <v>6</v>
      </c>
      <c r="G914">
        <v>15</v>
      </c>
      <c r="H914">
        <v>2016</v>
      </c>
      <c r="I914" s="41">
        <v>42536</v>
      </c>
      <c r="J914" s="38">
        <v>2977.65</v>
      </c>
      <c r="K914" s="21">
        <v>540.61</v>
      </c>
      <c r="L914" s="22">
        <v>7.6565000000000003</v>
      </c>
      <c r="M914" s="23">
        <v>18.912199999999999</v>
      </c>
      <c r="N914" s="22">
        <v>3.3045</v>
      </c>
      <c r="O914" s="22">
        <v>3.4741</v>
      </c>
      <c r="P914" s="21">
        <v>13372.5</v>
      </c>
      <c r="Q914" s="20">
        <v>67.078999999999994</v>
      </c>
      <c r="R914" s="21"/>
    </row>
    <row r="915" spans="1:18">
      <c r="A915" s="14">
        <v>41505</v>
      </c>
      <c r="B915" s="15">
        <v>118.85</v>
      </c>
      <c r="C915" s="15">
        <v>119.25</v>
      </c>
      <c r="F915">
        <v>6</v>
      </c>
      <c r="G915">
        <v>16</v>
      </c>
      <c r="H915">
        <v>2016</v>
      </c>
      <c r="I915" s="41">
        <v>42537</v>
      </c>
      <c r="J915" s="38">
        <v>3015.9</v>
      </c>
      <c r="K915" s="21">
        <v>543.45000000000005</v>
      </c>
      <c r="L915" s="22">
        <v>7.6440000000000001</v>
      </c>
      <c r="M915" s="23">
        <v>18.9435</v>
      </c>
      <c r="N915" s="22">
        <v>3.3319999999999999</v>
      </c>
      <c r="O915" s="22">
        <v>3.4661</v>
      </c>
      <c r="P915" s="21">
        <v>13367.5</v>
      </c>
      <c r="Q915" s="20">
        <v>67.314999999999998</v>
      </c>
      <c r="R915" s="21"/>
    </row>
    <row r="916" spans="1:18">
      <c r="A916" s="14">
        <v>41506</v>
      </c>
      <c r="B916" s="15">
        <v>114.75</v>
      </c>
      <c r="C916" s="15">
        <v>114.95</v>
      </c>
      <c r="F916">
        <v>6</v>
      </c>
      <c r="G916">
        <v>17</v>
      </c>
      <c r="H916">
        <v>2016</v>
      </c>
      <c r="I916" s="41">
        <v>42538</v>
      </c>
      <c r="J916" s="38">
        <v>3008.64</v>
      </c>
      <c r="K916" s="21">
        <v>541.14</v>
      </c>
      <c r="L916" s="22">
        <v>7.6384999999999996</v>
      </c>
      <c r="M916" s="23">
        <v>18.842500000000001</v>
      </c>
      <c r="N916" s="22">
        <v>3.3167</v>
      </c>
      <c r="O916" s="22">
        <v>3.4163000000000001</v>
      </c>
      <c r="P916" s="21">
        <v>13337.5</v>
      </c>
      <c r="Q916" s="20">
        <v>67.073999999999998</v>
      </c>
      <c r="R916" s="21"/>
    </row>
    <row r="917" spans="1:18">
      <c r="A917" s="14">
        <v>41507</v>
      </c>
      <c r="B917" s="15">
        <v>113.25</v>
      </c>
      <c r="C917" s="15">
        <v>113.5</v>
      </c>
      <c r="F917">
        <v>6</v>
      </c>
      <c r="G917">
        <v>20</v>
      </c>
      <c r="H917">
        <v>2016</v>
      </c>
      <c r="I917" s="41">
        <v>42541</v>
      </c>
      <c r="J917" s="38">
        <v>2975.7</v>
      </c>
      <c r="K917" s="21">
        <v>542.14</v>
      </c>
      <c r="L917" s="22">
        <v>7.6355000000000004</v>
      </c>
      <c r="M917" s="23">
        <v>18.657499999999999</v>
      </c>
      <c r="N917" s="22">
        <v>3.2869999999999999</v>
      </c>
      <c r="O917" s="22">
        <v>3.3944999999999999</v>
      </c>
      <c r="P917" s="21">
        <v>13265</v>
      </c>
      <c r="Q917" s="20">
        <v>67.551000000000002</v>
      </c>
      <c r="R917" s="21"/>
    </row>
    <row r="918" spans="1:18">
      <c r="A918" s="14">
        <v>41508</v>
      </c>
      <c r="B918" s="15">
        <v>112.8</v>
      </c>
      <c r="C918" s="15">
        <v>113.2</v>
      </c>
      <c r="F918">
        <v>6</v>
      </c>
      <c r="G918">
        <v>21</v>
      </c>
      <c r="H918">
        <v>2016</v>
      </c>
      <c r="I918" s="41">
        <v>42542</v>
      </c>
      <c r="J918" s="38">
        <v>2975.2</v>
      </c>
      <c r="K918" s="21">
        <v>544.79999999999995</v>
      </c>
      <c r="L918" s="22">
        <v>7.6315</v>
      </c>
      <c r="M918" s="23">
        <v>18.623000000000001</v>
      </c>
      <c r="N918" s="22">
        <v>3.2862</v>
      </c>
      <c r="O918" s="22">
        <v>3.4157999999999999</v>
      </c>
      <c r="P918" s="21">
        <v>13262.5</v>
      </c>
      <c r="Q918" s="20">
        <v>67.623999999999995</v>
      </c>
      <c r="R918" s="21"/>
    </row>
    <row r="919" spans="1:18">
      <c r="A919" s="14">
        <v>41509</v>
      </c>
      <c r="B919" s="15">
        <v>113</v>
      </c>
      <c r="C919" s="15">
        <v>113.05</v>
      </c>
      <c r="F919">
        <v>6</v>
      </c>
      <c r="G919">
        <v>22</v>
      </c>
      <c r="H919">
        <v>2016</v>
      </c>
      <c r="I919" s="41">
        <v>42543</v>
      </c>
      <c r="J919" s="38">
        <v>2917.97</v>
      </c>
      <c r="K919" s="21">
        <v>544.86</v>
      </c>
      <c r="L919" s="22">
        <v>7.6295000000000002</v>
      </c>
      <c r="M919" s="23">
        <v>18.495000000000001</v>
      </c>
      <c r="N919" s="22">
        <v>3.2858000000000001</v>
      </c>
      <c r="O919" s="22">
        <v>3.3769999999999998</v>
      </c>
      <c r="P919" s="21">
        <v>13284</v>
      </c>
      <c r="Q919" s="20">
        <v>67.448999999999998</v>
      </c>
      <c r="R919" s="21"/>
    </row>
    <row r="920" spans="1:18">
      <c r="A920" s="14">
        <v>41512</v>
      </c>
      <c r="B920" s="15">
        <v>114.1</v>
      </c>
      <c r="C920" s="15">
        <v>114.05</v>
      </c>
      <c r="F920">
        <v>6</v>
      </c>
      <c r="G920">
        <v>23</v>
      </c>
      <c r="H920">
        <v>2016</v>
      </c>
      <c r="I920" s="41">
        <v>42544</v>
      </c>
      <c r="J920" s="38">
        <v>2900.3</v>
      </c>
      <c r="K920" s="21">
        <v>545.13</v>
      </c>
      <c r="L920" s="22">
        <v>7.6364999999999998</v>
      </c>
      <c r="M920" s="23">
        <v>18.225000000000001</v>
      </c>
      <c r="N920" s="22">
        <v>3.2749999999999999</v>
      </c>
      <c r="O920" s="22">
        <v>3.339</v>
      </c>
      <c r="P920" s="21">
        <v>13257.5</v>
      </c>
      <c r="Q920" s="20">
        <v>67.278999999999996</v>
      </c>
      <c r="R920" s="21"/>
    </row>
    <row r="921" spans="1:18">
      <c r="A921" s="14">
        <v>41513</v>
      </c>
      <c r="B921" s="15">
        <v>112.9</v>
      </c>
      <c r="C921" s="15">
        <v>113.15</v>
      </c>
      <c r="F921">
        <v>6</v>
      </c>
      <c r="G921">
        <v>24</v>
      </c>
      <c r="H921">
        <v>2016</v>
      </c>
      <c r="I921" s="41">
        <v>42545</v>
      </c>
      <c r="J921" s="38">
        <v>2971.06</v>
      </c>
      <c r="K921" s="21">
        <v>545.49</v>
      </c>
      <c r="L921" s="22">
        <v>7.6364999999999998</v>
      </c>
      <c r="M921" s="23">
        <v>18.931000000000001</v>
      </c>
      <c r="N921" s="22">
        <v>3.3127</v>
      </c>
      <c r="O921" s="22">
        <v>3.3738999999999999</v>
      </c>
      <c r="P921" s="21">
        <v>13380</v>
      </c>
      <c r="Q921" s="20">
        <v>67.885000000000005</v>
      </c>
      <c r="R921" s="21"/>
    </row>
    <row r="922" spans="1:18">
      <c r="A922" s="14">
        <v>41514</v>
      </c>
      <c r="B922" s="15">
        <v>113.6</v>
      </c>
      <c r="C922" s="15">
        <v>114.6</v>
      </c>
      <c r="F922">
        <v>6</v>
      </c>
      <c r="G922">
        <v>27</v>
      </c>
      <c r="H922">
        <v>2016</v>
      </c>
      <c r="I922" s="41">
        <v>42548</v>
      </c>
      <c r="J922" s="38">
        <v>3058.8</v>
      </c>
      <c r="K922" s="21">
        <v>545.33000000000004</v>
      </c>
      <c r="L922" s="22">
        <v>7.6414999999999997</v>
      </c>
      <c r="M922" s="23">
        <v>19.1815</v>
      </c>
      <c r="N922" s="22">
        <v>3.3218000000000001</v>
      </c>
      <c r="O922" s="22">
        <v>3.3925999999999998</v>
      </c>
      <c r="P922" s="21">
        <v>13340</v>
      </c>
      <c r="Q922" s="20">
        <v>67.914000000000001</v>
      </c>
      <c r="R922" s="21"/>
    </row>
    <row r="923" spans="1:18">
      <c r="A923" s="14">
        <v>41515</v>
      </c>
      <c r="B923" s="15">
        <v>112.75</v>
      </c>
      <c r="C923" s="15">
        <v>113.15</v>
      </c>
      <c r="F923">
        <v>6</v>
      </c>
      <c r="G923">
        <v>28</v>
      </c>
      <c r="H923">
        <v>2016</v>
      </c>
      <c r="I923" s="41">
        <v>42549</v>
      </c>
      <c r="J923" s="38">
        <v>2982.9</v>
      </c>
      <c r="K923" s="21">
        <v>545.47</v>
      </c>
      <c r="L923" s="22">
        <v>7.6395</v>
      </c>
      <c r="M923" s="23">
        <v>18.8279</v>
      </c>
      <c r="N923" s="22">
        <v>3.3054999999999999</v>
      </c>
      <c r="O923" s="22">
        <v>3.3029000000000002</v>
      </c>
      <c r="P923" s="21">
        <v>13177.5</v>
      </c>
      <c r="Q923" s="20">
        <v>67.715000000000003</v>
      </c>
      <c r="R923" s="21"/>
    </row>
    <row r="924" spans="1:18">
      <c r="A924" s="14">
        <v>41516</v>
      </c>
      <c r="B924" s="15">
        <v>112</v>
      </c>
      <c r="C924" s="15">
        <v>112.1</v>
      </c>
      <c r="F924">
        <v>6</v>
      </c>
      <c r="G924">
        <v>29</v>
      </c>
      <c r="H924">
        <v>2016</v>
      </c>
      <c r="I924" s="41">
        <v>42550</v>
      </c>
      <c r="J924" s="38">
        <v>2915.78</v>
      </c>
      <c r="K924" s="21">
        <v>546.63</v>
      </c>
      <c r="L924" s="22">
        <v>7.6384999999999996</v>
      </c>
      <c r="M924" s="23">
        <v>18.486000000000001</v>
      </c>
      <c r="N924" s="22">
        <v>3.2871999999999999</v>
      </c>
      <c r="O924" s="22">
        <v>3.222</v>
      </c>
      <c r="P924" s="21">
        <v>13161.5</v>
      </c>
      <c r="Q924" s="20">
        <v>67.421999999999997</v>
      </c>
      <c r="R924" s="21"/>
    </row>
    <row r="925" spans="1:18">
      <c r="A925" s="14">
        <v>41520</v>
      </c>
      <c r="B925" s="15">
        <v>112.9</v>
      </c>
      <c r="C925" s="15">
        <v>112.8</v>
      </c>
      <c r="F925">
        <v>6</v>
      </c>
      <c r="G925">
        <v>30</v>
      </c>
      <c r="H925">
        <v>2016</v>
      </c>
      <c r="I925" s="41">
        <v>42551</v>
      </c>
      <c r="J925" s="38">
        <v>2920.15</v>
      </c>
      <c r="K925" s="21">
        <v>546.66999999999996</v>
      </c>
      <c r="L925" s="22">
        <v>7.6384999999999996</v>
      </c>
      <c r="M925" s="23">
        <v>18.28</v>
      </c>
      <c r="N925" s="22">
        <v>3.2866</v>
      </c>
      <c r="O925" s="22">
        <v>3.2134</v>
      </c>
      <c r="P925" s="21">
        <v>13212.5</v>
      </c>
      <c r="Q925" s="20">
        <v>67.504000000000005</v>
      </c>
      <c r="R925" s="21"/>
    </row>
    <row r="926" spans="1:18">
      <c r="A926" s="14">
        <v>41521</v>
      </c>
      <c r="B926" s="15">
        <v>0</v>
      </c>
      <c r="C926" s="15">
        <v>112.55</v>
      </c>
      <c r="F926">
        <v>7</v>
      </c>
      <c r="G926">
        <v>1</v>
      </c>
      <c r="H926">
        <v>2016</v>
      </c>
      <c r="I926" s="41">
        <v>42552</v>
      </c>
      <c r="J926" s="38">
        <v>2933.5</v>
      </c>
      <c r="K926" s="21">
        <v>546.59</v>
      </c>
      <c r="L926" s="22">
        <v>7.6384999999999996</v>
      </c>
      <c r="M926" s="23">
        <v>18.3553</v>
      </c>
      <c r="N926" s="22">
        <v>3.2875000000000001</v>
      </c>
      <c r="O926" s="22">
        <v>3.2361</v>
      </c>
      <c r="P926" s="21">
        <v>13140</v>
      </c>
      <c r="Q926" s="20">
        <v>67.19</v>
      </c>
      <c r="R926" s="21"/>
    </row>
    <row r="927" spans="1:18">
      <c r="A927" s="14">
        <v>41522</v>
      </c>
      <c r="B927" s="15">
        <v>111.55</v>
      </c>
      <c r="C927" s="15">
        <v>112.55</v>
      </c>
      <c r="F927">
        <v>7</v>
      </c>
      <c r="G927">
        <v>4</v>
      </c>
      <c r="H927">
        <v>2016</v>
      </c>
      <c r="I927" s="41">
        <v>42555</v>
      </c>
      <c r="J927" s="38">
        <v>2932.91</v>
      </c>
      <c r="K927" s="21">
        <v>546.59</v>
      </c>
      <c r="L927" s="22">
        <v>7.6384999999999996</v>
      </c>
      <c r="M927" s="23">
        <v>18.419</v>
      </c>
      <c r="N927" s="22">
        <v>3.2850000000000001</v>
      </c>
      <c r="O927" s="22">
        <v>3.2694999999999999</v>
      </c>
      <c r="P927" s="21">
        <v>13127.5</v>
      </c>
      <c r="Q927" s="20">
        <v>67.265000000000001</v>
      </c>
      <c r="R927" s="21"/>
    </row>
    <row r="928" spans="1:18">
      <c r="A928" s="14">
        <v>41523</v>
      </c>
      <c r="B928" s="15">
        <v>0</v>
      </c>
      <c r="C928" s="15">
        <v>113.95</v>
      </c>
      <c r="F928">
        <v>7</v>
      </c>
      <c r="G928">
        <v>5</v>
      </c>
      <c r="H928">
        <v>2016</v>
      </c>
      <c r="I928" s="41">
        <v>42556</v>
      </c>
      <c r="J928" s="38">
        <v>2983</v>
      </c>
      <c r="K928" s="21">
        <v>546.58000000000004</v>
      </c>
      <c r="L928" s="22">
        <v>7.6375000000000002</v>
      </c>
      <c r="M928" s="23">
        <v>18.8185</v>
      </c>
      <c r="N928" s="22">
        <v>3.2845</v>
      </c>
      <c r="O928" s="22">
        <v>3.3024</v>
      </c>
      <c r="P928" s="21">
        <v>13127.5</v>
      </c>
      <c r="Q928" s="20">
        <v>67.433999999999997</v>
      </c>
      <c r="R928" s="21"/>
    </row>
    <row r="929" spans="1:18">
      <c r="A929" s="14">
        <v>41526</v>
      </c>
      <c r="B929" s="15">
        <v>114</v>
      </c>
      <c r="C929" s="15">
        <v>113.85</v>
      </c>
      <c r="F929">
        <v>7</v>
      </c>
      <c r="G929">
        <v>6</v>
      </c>
      <c r="H929">
        <v>2016</v>
      </c>
      <c r="I929" s="41">
        <v>42557</v>
      </c>
      <c r="J929" s="38">
        <v>3000.65</v>
      </c>
      <c r="K929" s="21">
        <v>550.72</v>
      </c>
      <c r="L929" s="22">
        <v>7.6334999999999997</v>
      </c>
      <c r="M929" s="23">
        <v>18.733000000000001</v>
      </c>
      <c r="N929" s="22">
        <v>3.2843</v>
      </c>
      <c r="O929" s="22">
        <v>3.33</v>
      </c>
      <c r="P929" s="21">
        <v>13127.5</v>
      </c>
      <c r="Q929" s="20">
        <v>67.411000000000001</v>
      </c>
      <c r="R929" s="21"/>
    </row>
    <row r="930" spans="1:18">
      <c r="A930" s="14">
        <v>41527</v>
      </c>
      <c r="B930" s="15">
        <v>114.6</v>
      </c>
      <c r="C930" s="15">
        <v>112.35</v>
      </c>
      <c r="F930">
        <v>7</v>
      </c>
      <c r="G930">
        <v>7</v>
      </c>
      <c r="H930">
        <v>2016</v>
      </c>
      <c r="I930" s="41">
        <v>42558</v>
      </c>
      <c r="J930" s="38">
        <v>2985.88</v>
      </c>
      <c r="K930" s="21">
        <v>549.54</v>
      </c>
      <c r="L930" s="22">
        <v>7.6325000000000003</v>
      </c>
      <c r="M930" s="23">
        <v>18.831</v>
      </c>
      <c r="N930" s="22">
        <v>3.2850999999999999</v>
      </c>
      <c r="O930" s="22">
        <v>3.3677999999999999</v>
      </c>
      <c r="P930" s="21">
        <v>13127.5</v>
      </c>
      <c r="Q930" s="20">
        <v>67.495000000000005</v>
      </c>
      <c r="R930" s="21"/>
    </row>
    <row r="931" spans="1:18">
      <c r="A931" s="14">
        <v>41528</v>
      </c>
      <c r="B931" s="15">
        <v>114</v>
      </c>
      <c r="C931" s="15">
        <v>116.45</v>
      </c>
      <c r="F931">
        <v>7</v>
      </c>
      <c r="G931">
        <v>8</v>
      </c>
      <c r="H931">
        <v>2016</v>
      </c>
      <c r="I931" s="41">
        <v>42559</v>
      </c>
      <c r="J931" s="38">
        <v>2932.01</v>
      </c>
      <c r="K931" s="21">
        <v>549.66</v>
      </c>
      <c r="L931" s="22">
        <v>7.6224999999999996</v>
      </c>
      <c r="M931" s="23">
        <v>18.503799999999998</v>
      </c>
      <c r="N931" s="22">
        <v>3.2841999999999998</v>
      </c>
      <c r="O931" s="22">
        <v>3.3006000000000002</v>
      </c>
      <c r="P931" s="21">
        <v>13127.5</v>
      </c>
      <c r="Q931" s="20">
        <v>67.138999999999996</v>
      </c>
      <c r="R931" s="21"/>
    </row>
    <row r="932" spans="1:18">
      <c r="A932" s="14">
        <v>41529</v>
      </c>
      <c r="B932" s="15">
        <v>115.75</v>
      </c>
      <c r="C932" s="15">
        <v>116.25</v>
      </c>
      <c r="F932">
        <v>7</v>
      </c>
      <c r="G932">
        <v>11</v>
      </c>
      <c r="H932">
        <v>2016</v>
      </c>
      <c r="I932" s="41">
        <v>42562</v>
      </c>
      <c r="J932" s="38">
        <v>2935.09</v>
      </c>
      <c r="K932" s="21">
        <v>549.6</v>
      </c>
      <c r="L932" s="22">
        <v>7.6245000000000003</v>
      </c>
      <c r="M932" s="23">
        <v>18.466999999999999</v>
      </c>
      <c r="N932" s="22">
        <v>3.2795000000000001</v>
      </c>
      <c r="O932" s="22">
        <v>3.3094000000000001</v>
      </c>
      <c r="P932" s="21">
        <v>13090</v>
      </c>
      <c r="Q932" s="20">
        <v>67.138000000000005</v>
      </c>
      <c r="R932" s="21"/>
    </row>
    <row r="933" spans="1:18">
      <c r="A933" s="14">
        <v>41530</v>
      </c>
      <c r="B933" s="15">
        <v>115.7</v>
      </c>
      <c r="C933" s="15">
        <v>115.55</v>
      </c>
      <c r="F933">
        <v>7</v>
      </c>
      <c r="G933">
        <v>12</v>
      </c>
      <c r="H933">
        <v>2016</v>
      </c>
      <c r="I933" s="41">
        <v>42563</v>
      </c>
      <c r="J933" s="38">
        <v>2918</v>
      </c>
      <c r="K933" s="21">
        <v>547.6</v>
      </c>
      <c r="L933" s="22">
        <v>7.6154999999999999</v>
      </c>
      <c r="M933" s="23">
        <v>18.341000000000001</v>
      </c>
      <c r="N933" s="22">
        <v>3.2850000000000001</v>
      </c>
      <c r="O933" s="22">
        <v>3.2959999999999998</v>
      </c>
      <c r="P933" s="21">
        <v>13120</v>
      </c>
      <c r="Q933" s="20">
        <v>66.974999999999994</v>
      </c>
      <c r="R933" s="21"/>
    </row>
    <row r="934" spans="1:18">
      <c r="A934" s="14">
        <v>41533</v>
      </c>
      <c r="B934" s="15">
        <v>0</v>
      </c>
      <c r="C934" s="15">
        <v>114.8</v>
      </c>
      <c r="F934">
        <v>7</v>
      </c>
      <c r="G934">
        <v>13</v>
      </c>
      <c r="H934">
        <v>2016</v>
      </c>
      <c r="I934" s="41">
        <v>42564</v>
      </c>
      <c r="J934" s="38">
        <v>2940</v>
      </c>
      <c r="K934" s="21">
        <v>547.54999999999995</v>
      </c>
      <c r="L934" s="22">
        <v>7.6154999999999999</v>
      </c>
      <c r="M934" s="23">
        <v>18.369</v>
      </c>
      <c r="N934" s="22">
        <v>3.2795000000000001</v>
      </c>
      <c r="O934" s="22">
        <v>3.2637</v>
      </c>
      <c r="P934" s="21">
        <v>13095</v>
      </c>
      <c r="Q934" s="20">
        <v>67.016000000000005</v>
      </c>
      <c r="R934" s="21"/>
    </row>
    <row r="935" spans="1:18">
      <c r="A935" s="14">
        <v>41534</v>
      </c>
      <c r="B935" s="15">
        <v>111.1</v>
      </c>
      <c r="C935" s="15">
        <v>111.05</v>
      </c>
      <c r="F935">
        <v>7</v>
      </c>
      <c r="G935">
        <v>14</v>
      </c>
      <c r="H935">
        <v>2016</v>
      </c>
      <c r="I935" s="41">
        <v>42565</v>
      </c>
      <c r="J935" s="38">
        <v>2916.2</v>
      </c>
      <c r="K935" s="21">
        <v>548.42999999999995</v>
      </c>
      <c r="L935" s="22">
        <v>7.6204999999999998</v>
      </c>
      <c r="M935" s="23">
        <v>18.355</v>
      </c>
      <c r="N935" s="22">
        <v>3.2787000000000002</v>
      </c>
      <c r="O935" s="22">
        <v>3.2511000000000001</v>
      </c>
      <c r="P935" s="21">
        <v>13082.5</v>
      </c>
      <c r="Q935" s="20">
        <v>66.843000000000004</v>
      </c>
      <c r="R935" s="21"/>
    </row>
    <row r="936" spans="1:18">
      <c r="A936" s="14">
        <v>41535</v>
      </c>
      <c r="B936" s="15">
        <v>111.8</v>
      </c>
      <c r="C936" s="15">
        <v>111.3</v>
      </c>
      <c r="F936">
        <v>7</v>
      </c>
      <c r="G936">
        <v>15</v>
      </c>
      <c r="H936">
        <v>2016</v>
      </c>
      <c r="I936" s="41">
        <v>42566</v>
      </c>
      <c r="J936" s="38">
        <v>2922.03</v>
      </c>
      <c r="K936" s="21">
        <v>548.38</v>
      </c>
      <c r="L936" s="22">
        <v>7.6085000000000003</v>
      </c>
      <c r="M936" s="23">
        <v>18.619700000000002</v>
      </c>
      <c r="N936" s="22">
        <v>3.2784</v>
      </c>
      <c r="O936" s="22">
        <v>3.282</v>
      </c>
      <c r="P936" s="21">
        <v>13091.5</v>
      </c>
      <c r="Q936" s="20">
        <v>67.141000000000005</v>
      </c>
      <c r="R936" s="21"/>
    </row>
    <row r="937" spans="1:18">
      <c r="A937" s="14">
        <v>41536</v>
      </c>
      <c r="B937" s="15">
        <v>115.3</v>
      </c>
      <c r="C937" s="15">
        <v>115.8</v>
      </c>
      <c r="F937">
        <v>7</v>
      </c>
      <c r="G937">
        <v>18</v>
      </c>
      <c r="H937">
        <v>2016</v>
      </c>
      <c r="I937" s="41">
        <v>42569</v>
      </c>
      <c r="J937" s="38">
        <v>2921.2</v>
      </c>
      <c r="K937" s="21">
        <v>546.4</v>
      </c>
      <c r="L937" s="22">
        <v>7.6014999999999997</v>
      </c>
      <c r="M937" s="23">
        <v>18.38</v>
      </c>
      <c r="N937" s="22">
        <v>3.2816000000000001</v>
      </c>
      <c r="O937" s="22">
        <v>3.2532000000000001</v>
      </c>
      <c r="P937" s="21">
        <v>13087.5</v>
      </c>
      <c r="Q937" s="20">
        <v>67.137</v>
      </c>
      <c r="R937" s="21"/>
    </row>
    <row r="938" spans="1:18">
      <c r="A938" s="14">
        <v>41537</v>
      </c>
      <c r="B938" s="15">
        <v>114.2</v>
      </c>
      <c r="C938" s="15">
        <v>114.65</v>
      </c>
      <c r="F938">
        <v>7</v>
      </c>
      <c r="G938">
        <v>19</v>
      </c>
      <c r="H938">
        <v>2016</v>
      </c>
      <c r="I938" s="41">
        <v>42570</v>
      </c>
      <c r="J938" s="38">
        <v>2928.9</v>
      </c>
      <c r="K938" s="21">
        <v>546.48</v>
      </c>
      <c r="L938" s="22">
        <v>7.5875000000000004</v>
      </c>
      <c r="M938" s="23">
        <v>18.5</v>
      </c>
      <c r="N938" s="22">
        <v>3.2999000000000001</v>
      </c>
      <c r="O938" s="22">
        <v>3.2490000000000001</v>
      </c>
      <c r="P938" s="21">
        <v>13089</v>
      </c>
      <c r="Q938" s="20">
        <v>67.203999999999994</v>
      </c>
      <c r="R938" s="21"/>
    </row>
    <row r="939" spans="1:18">
      <c r="A939" s="14">
        <v>41540</v>
      </c>
      <c r="B939" s="15">
        <v>114.65</v>
      </c>
      <c r="C939" s="15">
        <v>117.05</v>
      </c>
      <c r="F939">
        <v>7</v>
      </c>
      <c r="G939">
        <v>20</v>
      </c>
      <c r="H939">
        <v>2016</v>
      </c>
      <c r="I939" s="41">
        <v>42571</v>
      </c>
      <c r="J939" s="38">
        <v>2927.58</v>
      </c>
      <c r="K939" s="21">
        <v>549.58000000000004</v>
      </c>
      <c r="L939" s="22">
        <v>7.5895000000000001</v>
      </c>
      <c r="M939" s="23">
        <v>18.675799999999999</v>
      </c>
      <c r="N939" s="22">
        <v>3.3132000000000001</v>
      </c>
      <c r="O939" s="22">
        <v>3.2591000000000001</v>
      </c>
      <c r="P939" s="21">
        <v>13112.5</v>
      </c>
      <c r="Q939" s="20">
        <v>67.162999999999997</v>
      </c>
      <c r="R939" s="21"/>
    </row>
    <row r="940" spans="1:18">
      <c r="A940" s="14">
        <v>41541</v>
      </c>
      <c r="B940" s="15">
        <v>117</v>
      </c>
      <c r="C940" s="15">
        <v>117.85</v>
      </c>
      <c r="F940">
        <v>7</v>
      </c>
      <c r="G940">
        <v>21</v>
      </c>
      <c r="H940">
        <v>2016</v>
      </c>
      <c r="I940" s="41">
        <v>42572</v>
      </c>
      <c r="J940" s="38">
        <v>2942.5</v>
      </c>
      <c r="K940" s="21">
        <v>549.63</v>
      </c>
      <c r="L940" s="22">
        <v>7.6130000000000004</v>
      </c>
      <c r="M940" s="23">
        <v>18.571100000000001</v>
      </c>
      <c r="N940" s="22">
        <v>3.327</v>
      </c>
      <c r="O940" s="22">
        <v>3.2722000000000002</v>
      </c>
      <c r="P940" s="21">
        <v>13100</v>
      </c>
      <c r="Q940" s="20">
        <v>67.153000000000006</v>
      </c>
      <c r="R940" s="21"/>
    </row>
    <row r="941" spans="1:18">
      <c r="A941" s="14">
        <v>41542</v>
      </c>
      <c r="B941" s="15">
        <v>117.05</v>
      </c>
      <c r="C941" s="15">
        <v>117.25</v>
      </c>
      <c r="F941">
        <v>7</v>
      </c>
      <c r="G941">
        <v>22</v>
      </c>
      <c r="H941">
        <v>2016</v>
      </c>
      <c r="I941" s="41">
        <v>42573</v>
      </c>
      <c r="J941" s="38">
        <v>2951.25</v>
      </c>
      <c r="K941" s="21">
        <v>546.41999999999996</v>
      </c>
      <c r="L941" s="22">
        <v>7.5945</v>
      </c>
      <c r="M941" s="23">
        <v>18.547499999999999</v>
      </c>
      <c r="N941" s="22">
        <v>3.3214999999999999</v>
      </c>
      <c r="O941" s="22">
        <v>3.2565</v>
      </c>
      <c r="P941" s="21">
        <v>13108.5</v>
      </c>
      <c r="Q941" s="20">
        <v>67.153999999999996</v>
      </c>
      <c r="R941" s="21"/>
    </row>
    <row r="942" spans="1:18">
      <c r="A942" s="14">
        <v>41543</v>
      </c>
      <c r="B942" s="15">
        <v>114.8</v>
      </c>
      <c r="C942" s="15">
        <v>115.65</v>
      </c>
      <c r="F942">
        <v>7</v>
      </c>
      <c r="G942">
        <v>25</v>
      </c>
      <c r="H942">
        <v>2016</v>
      </c>
      <c r="I942" s="41">
        <v>42576</v>
      </c>
      <c r="J942" s="38">
        <v>3014.95</v>
      </c>
      <c r="K942" s="21">
        <v>546.12</v>
      </c>
      <c r="L942" s="22">
        <v>7.5890000000000004</v>
      </c>
      <c r="M942" s="23">
        <v>18.778199999999998</v>
      </c>
      <c r="N942" s="22">
        <v>3.3715000000000002</v>
      </c>
      <c r="O942" s="22">
        <v>3.286</v>
      </c>
      <c r="P942" s="21">
        <v>13140</v>
      </c>
      <c r="Q942" s="20">
        <v>67.412000000000006</v>
      </c>
      <c r="R942" s="21"/>
    </row>
    <row r="943" spans="1:18">
      <c r="A943" s="14">
        <v>41544</v>
      </c>
      <c r="B943" s="15">
        <v>113.5</v>
      </c>
      <c r="C943" s="15">
        <v>113.7</v>
      </c>
      <c r="F943">
        <v>7</v>
      </c>
      <c r="G943">
        <v>26</v>
      </c>
      <c r="H943">
        <v>2016</v>
      </c>
      <c r="I943" s="41">
        <v>42577</v>
      </c>
      <c r="J943" s="38">
        <v>3062.65</v>
      </c>
      <c r="K943" s="21">
        <v>548.5</v>
      </c>
      <c r="L943" s="22">
        <v>7.5785</v>
      </c>
      <c r="M943" s="23">
        <v>18.775500000000001</v>
      </c>
      <c r="N943" s="22">
        <v>3.3605</v>
      </c>
      <c r="O943" s="22">
        <v>3.2768000000000002</v>
      </c>
      <c r="P943" s="21">
        <v>13167.5</v>
      </c>
      <c r="Q943" s="20">
        <v>67.320999999999998</v>
      </c>
      <c r="R943" s="21"/>
    </row>
    <row r="944" spans="1:18">
      <c r="A944" s="14">
        <v>41547</v>
      </c>
      <c r="B944" s="15">
        <v>113.5</v>
      </c>
      <c r="C944" s="15">
        <v>113.7</v>
      </c>
      <c r="F944">
        <v>7</v>
      </c>
      <c r="G944">
        <v>27</v>
      </c>
      <c r="H944">
        <v>2016</v>
      </c>
      <c r="I944" s="41">
        <v>42578</v>
      </c>
      <c r="J944" s="38">
        <v>3082.55</v>
      </c>
      <c r="K944" s="21">
        <v>546.41999999999996</v>
      </c>
      <c r="L944" s="22">
        <v>7.5765000000000002</v>
      </c>
      <c r="M944" s="23">
        <v>18.826499999999999</v>
      </c>
      <c r="N944" s="22">
        <v>3.3504999999999998</v>
      </c>
      <c r="O944" s="22">
        <v>3.2637</v>
      </c>
      <c r="P944" s="21">
        <v>13140</v>
      </c>
      <c r="Q944" s="20">
        <v>67.072000000000003</v>
      </c>
      <c r="R944" s="21"/>
    </row>
    <row r="945" spans="1:18">
      <c r="A945" s="14">
        <v>41548</v>
      </c>
      <c r="B945" s="15">
        <v>113.2</v>
      </c>
      <c r="C945" s="15">
        <v>114.1</v>
      </c>
      <c r="F945">
        <v>7</v>
      </c>
      <c r="G945">
        <v>28</v>
      </c>
      <c r="H945">
        <v>2016</v>
      </c>
      <c r="I945" s="41">
        <v>42579</v>
      </c>
      <c r="J945" s="38">
        <v>3094.05</v>
      </c>
      <c r="K945" s="21">
        <v>546.30999999999995</v>
      </c>
      <c r="L945" s="22">
        <v>7.5674999999999999</v>
      </c>
      <c r="M945" s="23">
        <v>18.892499999999998</v>
      </c>
      <c r="N945" s="22">
        <v>3.3656000000000001</v>
      </c>
      <c r="O945" s="22">
        <v>3.2892000000000001</v>
      </c>
      <c r="P945" s="21">
        <v>13101</v>
      </c>
      <c r="Q945" s="20">
        <v>67.013999999999996</v>
      </c>
      <c r="R945" s="21"/>
    </row>
    <row r="946" spans="1:18">
      <c r="A946" s="14">
        <v>41549</v>
      </c>
      <c r="B946" s="15">
        <v>114.1</v>
      </c>
      <c r="C946" s="15">
        <v>114.45</v>
      </c>
      <c r="F946">
        <v>7</v>
      </c>
      <c r="G946">
        <v>29</v>
      </c>
      <c r="H946">
        <v>2016</v>
      </c>
      <c r="I946" s="41">
        <v>42580</v>
      </c>
      <c r="J946" s="38">
        <v>3070.07</v>
      </c>
      <c r="K946" s="21">
        <v>547.80999999999995</v>
      </c>
      <c r="L946" s="22">
        <v>7.5625</v>
      </c>
      <c r="M946" s="23">
        <v>18.752500000000001</v>
      </c>
      <c r="N946" s="22">
        <v>3.3574999999999999</v>
      </c>
      <c r="O946" s="22">
        <v>3.2486000000000002</v>
      </c>
      <c r="P946" s="21">
        <v>13098.5</v>
      </c>
      <c r="Q946" s="20">
        <v>66.655000000000001</v>
      </c>
      <c r="R946" s="21"/>
    </row>
    <row r="947" spans="1:18">
      <c r="A947" s="14">
        <v>41550</v>
      </c>
      <c r="B947" s="15">
        <v>114.2</v>
      </c>
      <c r="C947" s="15">
        <v>115.35</v>
      </c>
      <c r="F947">
        <v>8</v>
      </c>
      <c r="G947">
        <v>1</v>
      </c>
      <c r="H947">
        <v>2016</v>
      </c>
      <c r="I947" s="41">
        <v>42583</v>
      </c>
      <c r="J947" s="38">
        <v>3090</v>
      </c>
      <c r="K947" s="21">
        <v>548.28</v>
      </c>
      <c r="L947" s="22">
        <v>7.5614999999999997</v>
      </c>
      <c r="M947" s="23">
        <v>18.866900000000001</v>
      </c>
      <c r="N947" s="22">
        <v>3.3519000000000001</v>
      </c>
      <c r="O947" s="22">
        <v>3.2648999999999999</v>
      </c>
      <c r="P947" s="21">
        <v>13071</v>
      </c>
      <c r="Q947" s="20">
        <v>66.763999999999996</v>
      </c>
      <c r="R947" s="21"/>
    </row>
    <row r="948" spans="1:18">
      <c r="A948" s="14">
        <v>41551</v>
      </c>
      <c r="B948" s="15">
        <v>113.9</v>
      </c>
      <c r="C948" s="15">
        <v>114.4</v>
      </c>
      <c r="F948">
        <v>8</v>
      </c>
      <c r="G948">
        <v>2</v>
      </c>
      <c r="H948">
        <v>2016</v>
      </c>
      <c r="I948" s="41">
        <v>42584</v>
      </c>
      <c r="J948" s="38">
        <v>3103</v>
      </c>
      <c r="K948" s="21">
        <v>548.17999999999995</v>
      </c>
      <c r="L948" s="22">
        <v>7.5605000000000002</v>
      </c>
      <c r="M948" s="23">
        <v>18.937000000000001</v>
      </c>
      <c r="N948" s="22">
        <v>3.3481000000000001</v>
      </c>
      <c r="O948" s="22">
        <v>3.2570999999999999</v>
      </c>
      <c r="P948" s="21">
        <v>13097.5</v>
      </c>
      <c r="Q948" s="20">
        <v>66.682000000000002</v>
      </c>
      <c r="R948" s="21"/>
    </row>
    <row r="949" spans="1:18">
      <c r="A949" s="14">
        <v>41554</v>
      </c>
      <c r="B949" s="15">
        <v>113.5</v>
      </c>
      <c r="C949" s="15">
        <v>114.5</v>
      </c>
      <c r="F949">
        <v>8</v>
      </c>
      <c r="G949">
        <v>3</v>
      </c>
      <c r="H949">
        <v>2016</v>
      </c>
      <c r="I949" s="41">
        <v>42585</v>
      </c>
      <c r="J949" s="38">
        <v>3094</v>
      </c>
      <c r="K949" s="21">
        <v>548.16999999999996</v>
      </c>
      <c r="L949" s="22">
        <v>7.5514999999999999</v>
      </c>
      <c r="M949" s="23">
        <v>18.882000000000001</v>
      </c>
      <c r="N949" s="22">
        <v>3.3490000000000002</v>
      </c>
      <c r="O949" s="22">
        <v>3.2376999999999998</v>
      </c>
      <c r="P949" s="21">
        <v>13125</v>
      </c>
      <c r="Q949" s="20">
        <v>66.766999999999996</v>
      </c>
      <c r="R949" s="21"/>
    </row>
    <row r="950" spans="1:18">
      <c r="A950" s="14">
        <v>41555</v>
      </c>
      <c r="B950" s="15">
        <v>113.85</v>
      </c>
      <c r="C950" s="15">
        <v>115.05</v>
      </c>
      <c r="F950">
        <v>8</v>
      </c>
      <c r="G950">
        <v>4</v>
      </c>
      <c r="H950">
        <v>2016</v>
      </c>
      <c r="I950" s="41">
        <v>42586</v>
      </c>
      <c r="J950" s="38">
        <v>3081.5</v>
      </c>
      <c r="K950" s="21">
        <v>548.19000000000005</v>
      </c>
      <c r="L950" s="22">
        <v>7.5425000000000004</v>
      </c>
      <c r="M950" s="23">
        <v>18.908799999999999</v>
      </c>
      <c r="N950" s="22">
        <v>3.3323999999999998</v>
      </c>
      <c r="O950" s="22">
        <v>3.1937000000000002</v>
      </c>
      <c r="P950" s="21">
        <v>13137.5</v>
      </c>
      <c r="Q950" s="20">
        <v>66.84</v>
      </c>
      <c r="R950" s="21"/>
    </row>
    <row r="951" spans="1:18">
      <c r="A951" s="14">
        <v>41556</v>
      </c>
      <c r="B951" s="15">
        <v>114.45</v>
      </c>
      <c r="C951" s="15">
        <v>115.25</v>
      </c>
      <c r="F951">
        <v>8</v>
      </c>
      <c r="G951">
        <v>5</v>
      </c>
      <c r="H951">
        <v>2016</v>
      </c>
      <c r="I951" s="41">
        <v>42587</v>
      </c>
      <c r="J951" s="38">
        <v>3038.75</v>
      </c>
      <c r="K951" s="21">
        <v>548.26</v>
      </c>
      <c r="L951" s="22">
        <v>7.5404999999999998</v>
      </c>
      <c r="M951" s="23">
        <v>18.757200000000001</v>
      </c>
      <c r="N951" s="22">
        <v>3.3319999999999999</v>
      </c>
      <c r="O951" s="22">
        <v>3.1659999999999999</v>
      </c>
      <c r="P951" s="21">
        <v>13128.5</v>
      </c>
      <c r="Q951" s="20">
        <v>66.841999999999999</v>
      </c>
      <c r="R951" s="21"/>
    </row>
    <row r="952" spans="1:18">
      <c r="A952" s="14">
        <v>41557</v>
      </c>
      <c r="B952" s="15">
        <v>114.15</v>
      </c>
      <c r="C952" s="15">
        <v>114.4</v>
      </c>
      <c r="F952">
        <v>8</v>
      </c>
      <c r="G952">
        <v>8</v>
      </c>
      <c r="H952">
        <v>2016</v>
      </c>
      <c r="I952" s="41">
        <v>42590</v>
      </c>
      <c r="J952" s="38">
        <v>2995</v>
      </c>
      <c r="K952" s="21">
        <v>551.05999999999995</v>
      </c>
      <c r="L952" s="22">
        <v>7.5404999999999998</v>
      </c>
      <c r="M952" s="23">
        <v>18.555</v>
      </c>
      <c r="N952" s="22">
        <v>3.3119999999999998</v>
      </c>
      <c r="O952" s="22">
        <v>3.1749000000000001</v>
      </c>
      <c r="P952" s="21">
        <v>13130</v>
      </c>
      <c r="Q952" s="20">
        <v>66.81</v>
      </c>
      <c r="R952" s="21"/>
    </row>
    <row r="953" spans="1:18">
      <c r="A953" s="14">
        <v>41558</v>
      </c>
      <c r="B953" s="15">
        <v>114.25</v>
      </c>
      <c r="C953" s="15">
        <v>116.7</v>
      </c>
      <c r="F953">
        <v>8</v>
      </c>
      <c r="G953">
        <v>9</v>
      </c>
      <c r="H953">
        <v>2016</v>
      </c>
      <c r="I953" s="41">
        <v>42591</v>
      </c>
      <c r="J953" s="38">
        <v>2984.16</v>
      </c>
      <c r="K953" s="21">
        <v>548.22</v>
      </c>
      <c r="L953" s="22">
        <v>7.5385</v>
      </c>
      <c r="M953" s="23">
        <v>18.436499999999999</v>
      </c>
      <c r="N953" s="22">
        <v>3.3054999999999999</v>
      </c>
      <c r="O953" s="22">
        <v>3.1456</v>
      </c>
      <c r="P953" s="21">
        <v>13132.5</v>
      </c>
      <c r="Q953" s="20">
        <v>66.774000000000001</v>
      </c>
      <c r="R953" s="21"/>
    </row>
    <row r="954" spans="1:18">
      <c r="A954" s="14">
        <v>41561</v>
      </c>
      <c r="B954" s="15">
        <v>116.15</v>
      </c>
      <c r="C954" s="15">
        <v>117</v>
      </c>
      <c r="F954">
        <v>8</v>
      </c>
      <c r="G954">
        <v>10</v>
      </c>
      <c r="H954">
        <v>2016</v>
      </c>
      <c r="I954" s="41">
        <v>42592</v>
      </c>
      <c r="J954" s="38">
        <v>2941.08</v>
      </c>
      <c r="K954" s="21">
        <v>548.59</v>
      </c>
      <c r="L954" s="22">
        <v>7.5385</v>
      </c>
      <c r="M954" s="23">
        <v>18.417400000000001</v>
      </c>
      <c r="N954" s="22">
        <v>3.3079999999999998</v>
      </c>
      <c r="O954" s="22">
        <v>3.1271</v>
      </c>
      <c r="P954" s="21">
        <v>13113.5</v>
      </c>
      <c r="Q954" s="20">
        <v>66.765000000000001</v>
      </c>
      <c r="R954" s="21"/>
    </row>
    <row r="955" spans="1:18">
      <c r="A955" s="14">
        <v>41562</v>
      </c>
      <c r="B955" s="15">
        <v>115.1</v>
      </c>
      <c r="C955" s="15">
        <v>116.45</v>
      </c>
      <c r="F955">
        <v>8</v>
      </c>
      <c r="G955">
        <v>11</v>
      </c>
      <c r="H955">
        <v>2016</v>
      </c>
      <c r="I955" s="41">
        <v>42593</v>
      </c>
      <c r="J955" s="38">
        <v>2890.49</v>
      </c>
      <c r="K955" s="21">
        <v>551.61</v>
      </c>
      <c r="L955" s="22">
        <v>7.5270000000000001</v>
      </c>
      <c r="M955" s="23">
        <v>18.228999999999999</v>
      </c>
      <c r="N955" s="22">
        <v>3.3129</v>
      </c>
      <c r="O955" s="22">
        <v>3.1448999999999998</v>
      </c>
      <c r="P955" s="21">
        <v>13117</v>
      </c>
      <c r="Q955" s="20">
        <v>66.75</v>
      </c>
      <c r="R955" s="21"/>
    </row>
    <row r="956" spans="1:18">
      <c r="A956" s="14">
        <v>41563</v>
      </c>
      <c r="B956" s="15">
        <v>115.65</v>
      </c>
      <c r="C956" s="15">
        <v>115.85</v>
      </c>
      <c r="F956">
        <v>8</v>
      </c>
      <c r="G956">
        <v>12</v>
      </c>
      <c r="H956">
        <v>2016</v>
      </c>
      <c r="I956" s="41">
        <v>42594</v>
      </c>
      <c r="J956" s="38">
        <v>2930.45</v>
      </c>
      <c r="K956" s="21">
        <v>550.5</v>
      </c>
      <c r="L956" s="22">
        <v>7.5075000000000003</v>
      </c>
      <c r="M956" s="23">
        <v>18.261199999999999</v>
      </c>
      <c r="N956" s="22">
        <v>3.3140000000000001</v>
      </c>
      <c r="O956" s="22">
        <v>3.1924999999999999</v>
      </c>
      <c r="P956" s="21">
        <v>13121</v>
      </c>
      <c r="Q956" s="20">
        <v>66.908000000000001</v>
      </c>
      <c r="R956" s="21"/>
    </row>
    <row r="957" spans="1:18">
      <c r="A957" s="14">
        <v>41564</v>
      </c>
      <c r="B957" s="15">
        <v>114.25</v>
      </c>
      <c r="C957" s="15">
        <v>114.7</v>
      </c>
      <c r="F957">
        <v>8</v>
      </c>
      <c r="G957">
        <v>15</v>
      </c>
      <c r="H957">
        <v>2016</v>
      </c>
      <c r="I957" s="41">
        <v>42597</v>
      </c>
      <c r="J957" s="38">
        <v>2927.84</v>
      </c>
      <c r="K957" s="21">
        <v>551.14</v>
      </c>
      <c r="L957" s="22">
        <v>7.5289999999999999</v>
      </c>
      <c r="M957" s="23">
        <v>18.077500000000001</v>
      </c>
      <c r="N957" s="22">
        <v>3.3075000000000001</v>
      </c>
      <c r="O957" s="22">
        <v>3.1861999999999999</v>
      </c>
      <c r="P957" s="21">
        <v>13112.5</v>
      </c>
      <c r="Q957" s="20">
        <v>66.852999999999994</v>
      </c>
      <c r="R957" s="21"/>
    </row>
    <row r="958" spans="1:18">
      <c r="A958" s="14">
        <v>41565</v>
      </c>
      <c r="B958" s="15">
        <v>114.05</v>
      </c>
      <c r="C958" s="15">
        <v>114.65</v>
      </c>
      <c r="F958">
        <v>8</v>
      </c>
      <c r="G958">
        <v>16</v>
      </c>
      <c r="H958">
        <v>2016</v>
      </c>
      <c r="I958" s="41">
        <v>42598</v>
      </c>
      <c r="J958" s="38">
        <v>2903</v>
      </c>
      <c r="K958" s="21">
        <v>548.5</v>
      </c>
      <c r="L958" s="22">
        <v>7.5045000000000002</v>
      </c>
      <c r="M958" s="23">
        <v>18.061</v>
      </c>
      <c r="N958" s="22">
        <v>3.3075000000000001</v>
      </c>
      <c r="O958" s="22">
        <v>3.2027000000000001</v>
      </c>
      <c r="P958" s="21">
        <v>13096</v>
      </c>
      <c r="Q958" s="20">
        <v>66.87</v>
      </c>
      <c r="R958" s="21"/>
    </row>
    <row r="959" spans="1:18">
      <c r="A959" s="14">
        <v>41568</v>
      </c>
      <c r="B959" s="15">
        <v>112.3</v>
      </c>
      <c r="C959" s="15">
        <v>112.7</v>
      </c>
      <c r="F959">
        <v>8</v>
      </c>
      <c r="G959">
        <v>17</v>
      </c>
      <c r="H959">
        <v>2016</v>
      </c>
      <c r="I959" s="41">
        <v>42599</v>
      </c>
      <c r="J959" s="38">
        <v>2910.6</v>
      </c>
      <c r="K959" s="21">
        <v>551.96</v>
      </c>
      <c r="L959" s="22">
        <v>7.53</v>
      </c>
      <c r="M959" s="23">
        <v>18.1355</v>
      </c>
      <c r="N959" s="22">
        <v>3.3096999999999999</v>
      </c>
      <c r="O959" s="22">
        <v>3.2035999999999998</v>
      </c>
      <c r="P959" s="21">
        <v>13096</v>
      </c>
      <c r="Q959" s="20">
        <v>66.893000000000001</v>
      </c>
      <c r="R959" s="21"/>
    </row>
    <row r="960" spans="1:18">
      <c r="A960" s="14">
        <v>41569</v>
      </c>
      <c r="B960" s="15">
        <v>111.85</v>
      </c>
      <c r="C960" s="15">
        <v>111.95</v>
      </c>
      <c r="F960">
        <v>8</v>
      </c>
      <c r="G960">
        <v>18</v>
      </c>
      <c r="H960">
        <v>2016</v>
      </c>
      <c r="I960" s="41">
        <v>42600</v>
      </c>
      <c r="J960" s="38">
        <v>2879.5</v>
      </c>
      <c r="K960" s="21">
        <v>548.97</v>
      </c>
      <c r="L960" s="22">
        <v>7.5125000000000002</v>
      </c>
      <c r="M960" s="23">
        <v>18.187999999999999</v>
      </c>
      <c r="N960" s="22">
        <v>3.3050000000000002</v>
      </c>
      <c r="O960" s="22">
        <v>3.2393000000000001</v>
      </c>
      <c r="P960" s="21">
        <v>13116.5</v>
      </c>
      <c r="Q960" s="20">
        <v>66.83</v>
      </c>
      <c r="R960" s="21"/>
    </row>
    <row r="961" spans="1:18">
      <c r="A961" s="14">
        <v>41570</v>
      </c>
      <c r="B961" s="15">
        <v>110.5</v>
      </c>
      <c r="C961" s="15">
        <v>110.55</v>
      </c>
      <c r="F961">
        <v>8</v>
      </c>
      <c r="G961">
        <v>19</v>
      </c>
      <c r="H961">
        <v>2016</v>
      </c>
      <c r="I961" s="41">
        <v>42601</v>
      </c>
      <c r="J961" s="38">
        <v>2858.5</v>
      </c>
      <c r="K961" s="21">
        <v>549.66</v>
      </c>
      <c r="L961" s="22">
        <v>7.5244999999999997</v>
      </c>
      <c r="M961" s="23">
        <v>18.218399999999999</v>
      </c>
      <c r="N961" s="22">
        <v>3.3197000000000001</v>
      </c>
      <c r="O961" s="22">
        <v>3.2038000000000002</v>
      </c>
      <c r="P961" s="21">
        <v>13157.5</v>
      </c>
      <c r="Q961" s="20">
        <v>67.137</v>
      </c>
      <c r="R961" s="21"/>
    </row>
    <row r="962" spans="1:18">
      <c r="A962" s="14">
        <v>41571</v>
      </c>
      <c r="B962" s="15">
        <v>109.5</v>
      </c>
      <c r="C962" s="15">
        <v>110.3</v>
      </c>
      <c r="F962">
        <v>8</v>
      </c>
      <c r="G962">
        <v>22</v>
      </c>
      <c r="H962">
        <v>2016</v>
      </c>
      <c r="I962" s="41">
        <v>42604</v>
      </c>
      <c r="J962" s="38">
        <v>2890.68</v>
      </c>
      <c r="K962" s="21">
        <v>550.11</v>
      </c>
      <c r="L962" s="22">
        <v>7.5315000000000003</v>
      </c>
      <c r="M962" s="23">
        <v>18.29</v>
      </c>
      <c r="N962" s="22">
        <v>3.3488000000000002</v>
      </c>
      <c r="O962" s="22">
        <v>3.2014</v>
      </c>
      <c r="P962" s="21">
        <v>13211.5</v>
      </c>
      <c r="Q962" s="20">
        <v>67.201999999999998</v>
      </c>
      <c r="R962" s="21"/>
    </row>
    <row r="963" spans="1:18">
      <c r="A963" s="14">
        <v>41572</v>
      </c>
      <c r="B963" s="15">
        <v>108.8</v>
      </c>
      <c r="C963" s="15">
        <v>109.1</v>
      </c>
      <c r="F963">
        <v>8</v>
      </c>
      <c r="G963">
        <v>23</v>
      </c>
      <c r="H963">
        <v>2016</v>
      </c>
      <c r="I963" s="41">
        <v>42605</v>
      </c>
      <c r="J963" s="38">
        <v>2921.33</v>
      </c>
      <c r="K963" s="21">
        <v>551.57000000000005</v>
      </c>
      <c r="L963" s="22">
        <v>7.5460000000000003</v>
      </c>
      <c r="M963" s="23">
        <v>18.568899999999999</v>
      </c>
      <c r="N963" s="22">
        <v>3.3603000000000001</v>
      </c>
      <c r="O963" s="22">
        <v>3.2336999999999998</v>
      </c>
      <c r="P963" s="21">
        <v>13219</v>
      </c>
      <c r="Q963" s="20">
        <v>67.122</v>
      </c>
      <c r="R963" s="21"/>
    </row>
    <row r="964" spans="1:18">
      <c r="A964" s="14">
        <v>41575</v>
      </c>
      <c r="B964" s="15">
        <v>106.9</v>
      </c>
      <c r="C964" s="15">
        <v>107.55</v>
      </c>
      <c r="F964">
        <v>8</v>
      </c>
      <c r="G964">
        <v>24</v>
      </c>
      <c r="H964">
        <v>2016</v>
      </c>
      <c r="I964" s="41">
        <v>42606</v>
      </c>
      <c r="J964" s="38">
        <v>2943.8</v>
      </c>
      <c r="K964" s="21">
        <v>550.02</v>
      </c>
      <c r="L964" s="22">
        <v>7.5555000000000003</v>
      </c>
      <c r="M964" s="23">
        <v>18.457000000000001</v>
      </c>
      <c r="N964" s="22">
        <v>3.3517999999999999</v>
      </c>
      <c r="O964" s="22">
        <v>3.2256999999999998</v>
      </c>
      <c r="P964" s="21">
        <v>13247.5</v>
      </c>
      <c r="Q964" s="20">
        <v>67.167000000000002</v>
      </c>
      <c r="R964" s="21"/>
    </row>
    <row r="965" spans="1:18">
      <c r="A965" s="14">
        <v>41576</v>
      </c>
      <c r="B965" s="15">
        <v>106.6</v>
      </c>
      <c r="C965" s="15">
        <v>106.95</v>
      </c>
      <c r="F965">
        <v>8</v>
      </c>
      <c r="G965">
        <v>25</v>
      </c>
      <c r="H965">
        <v>2016</v>
      </c>
      <c r="I965" s="41">
        <v>42607</v>
      </c>
      <c r="J965" s="38">
        <v>2896.57</v>
      </c>
      <c r="K965" s="21">
        <v>550.02</v>
      </c>
      <c r="L965" s="22">
        <v>7.5555000000000003</v>
      </c>
      <c r="M965" s="23">
        <v>18.364999999999998</v>
      </c>
      <c r="N965" s="22">
        <v>3.351</v>
      </c>
      <c r="O965" s="22">
        <v>3.2366999999999999</v>
      </c>
      <c r="P965" s="21">
        <v>13241.5</v>
      </c>
      <c r="Q965" s="20">
        <v>67.016000000000005</v>
      </c>
      <c r="R965" s="21"/>
    </row>
    <row r="966" spans="1:18">
      <c r="A966" s="14">
        <v>41577</v>
      </c>
      <c r="B966" s="15">
        <v>106.65</v>
      </c>
      <c r="C966" s="15">
        <v>106.85</v>
      </c>
      <c r="F966">
        <v>8</v>
      </c>
      <c r="G966">
        <v>26</v>
      </c>
      <c r="H966">
        <v>2016</v>
      </c>
      <c r="I966" s="41">
        <v>42608</v>
      </c>
      <c r="J966" s="38">
        <v>2901.39</v>
      </c>
      <c r="K966" s="21">
        <v>551.02</v>
      </c>
      <c r="L966" s="22">
        <v>7.5555000000000003</v>
      </c>
      <c r="M966" s="23">
        <v>18.601500000000001</v>
      </c>
      <c r="N966" s="22">
        <v>3.3494999999999999</v>
      </c>
      <c r="O966" s="22">
        <v>3.2654999999999998</v>
      </c>
      <c r="P966" s="21">
        <v>13206</v>
      </c>
      <c r="Q966" s="20">
        <v>67.135999999999996</v>
      </c>
      <c r="R966" s="21"/>
    </row>
    <row r="967" spans="1:18">
      <c r="A967" s="14">
        <v>41578</v>
      </c>
      <c r="B967" s="15">
        <v>105.25</v>
      </c>
      <c r="C967" s="15">
        <v>105.4</v>
      </c>
      <c r="F967">
        <v>8</v>
      </c>
      <c r="G967">
        <v>29</v>
      </c>
      <c r="H967">
        <v>2016</v>
      </c>
      <c r="I967" s="41">
        <v>42611</v>
      </c>
      <c r="J967" s="38">
        <v>2919.95</v>
      </c>
      <c r="K967" s="21">
        <v>551.11</v>
      </c>
      <c r="L967" s="22">
        <v>7.5555000000000003</v>
      </c>
      <c r="M967" s="23">
        <v>18.625</v>
      </c>
      <c r="N967" s="22">
        <v>3.3782000000000001</v>
      </c>
      <c r="O967" s="22">
        <v>3.2298</v>
      </c>
      <c r="P967" s="21">
        <v>13265</v>
      </c>
      <c r="Q967" s="20">
        <v>67.113</v>
      </c>
      <c r="R967" s="21"/>
    </row>
    <row r="968" spans="1:18">
      <c r="A968" s="14">
        <v>41579</v>
      </c>
      <c r="B968" s="15">
        <v>104.25</v>
      </c>
      <c r="C968" s="15">
        <v>105.55</v>
      </c>
      <c r="F968">
        <v>8</v>
      </c>
      <c r="G968">
        <v>30</v>
      </c>
      <c r="H968">
        <v>2016</v>
      </c>
      <c r="I968" s="41">
        <v>42612</v>
      </c>
      <c r="J968" s="38">
        <v>2942.4</v>
      </c>
      <c r="K968" s="21">
        <v>551</v>
      </c>
      <c r="L968" s="22">
        <v>7.5545</v>
      </c>
      <c r="M968" s="23">
        <v>18.804600000000001</v>
      </c>
      <c r="N968" s="22">
        <v>3.3786999999999998</v>
      </c>
      <c r="O968" s="22">
        <v>3.2418999999999998</v>
      </c>
      <c r="P968" s="21">
        <v>13277.5</v>
      </c>
      <c r="Q968" s="20">
        <v>67.144000000000005</v>
      </c>
      <c r="R968" s="21"/>
    </row>
    <row r="969" spans="1:18">
      <c r="A969" s="14">
        <v>41582</v>
      </c>
      <c r="B969" s="15">
        <v>103.35</v>
      </c>
      <c r="C969" s="15">
        <v>103.7</v>
      </c>
      <c r="F969">
        <v>8</v>
      </c>
      <c r="G969">
        <v>31</v>
      </c>
      <c r="H969">
        <v>2016</v>
      </c>
      <c r="I969" s="41">
        <v>42613</v>
      </c>
      <c r="J969" s="38">
        <v>2972.3</v>
      </c>
      <c r="K969" s="21">
        <v>550.98</v>
      </c>
      <c r="L969" s="22">
        <v>7.5545</v>
      </c>
      <c r="M969" s="23">
        <v>18.7851</v>
      </c>
      <c r="N969" s="22">
        <v>3.3919999999999999</v>
      </c>
      <c r="O969" s="22">
        <v>3.2271999999999998</v>
      </c>
      <c r="P969" s="21">
        <v>13267.5</v>
      </c>
      <c r="Q969" s="20">
        <v>66.972999999999999</v>
      </c>
      <c r="R969" s="21"/>
    </row>
    <row r="970" spans="1:18">
      <c r="A970" s="14">
        <v>41583</v>
      </c>
      <c r="B970" s="15">
        <v>102.85</v>
      </c>
      <c r="C970" s="15">
        <v>103.45</v>
      </c>
      <c r="F970">
        <v>9</v>
      </c>
      <c r="G970">
        <v>1</v>
      </c>
      <c r="H970">
        <v>2016</v>
      </c>
      <c r="I970" s="41">
        <v>42614</v>
      </c>
      <c r="J970" s="38">
        <v>2990.23</v>
      </c>
      <c r="K970" s="21">
        <v>552.25</v>
      </c>
      <c r="L970" s="22">
        <v>7.5505000000000004</v>
      </c>
      <c r="M970" s="23">
        <v>18.75</v>
      </c>
      <c r="N970" s="22">
        <v>3.3944000000000001</v>
      </c>
      <c r="O970" s="22">
        <v>3.2582</v>
      </c>
      <c r="P970" s="21">
        <v>13268</v>
      </c>
      <c r="Q970" s="20">
        <v>66.801000000000002</v>
      </c>
      <c r="R970" s="21"/>
    </row>
    <row r="971" spans="1:18">
      <c r="A971" s="14">
        <v>41584</v>
      </c>
      <c r="B971" s="15">
        <v>101</v>
      </c>
      <c r="C971" s="15">
        <v>101.5</v>
      </c>
      <c r="F971">
        <v>9</v>
      </c>
      <c r="G971">
        <v>2</v>
      </c>
      <c r="H971">
        <v>2016</v>
      </c>
      <c r="I971" s="41">
        <v>42615</v>
      </c>
      <c r="J971" s="38">
        <v>2936.2</v>
      </c>
      <c r="K971" s="21">
        <v>550.99</v>
      </c>
      <c r="L971" s="22">
        <v>7.5454999999999997</v>
      </c>
      <c r="M971" s="23">
        <v>18.579999999999998</v>
      </c>
      <c r="N971" s="22">
        <v>3.383</v>
      </c>
      <c r="O971" s="22">
        <v>3.2568000000000001</v>
      </c>
      <c r="P971" s="21">
        <v>13247</v>
      </c>
      <c r="Q971" s="20">
        <v>66.795000000000002</v>
      </c>
      <c r="R971" s="21"/>
    </row>
    <row r="972" spans="1:18">
      <c r="A972" s="14">
        <v>41585</v>
      </c>
      <c r="B972" s="15">
        <v>100.95</v>
      </c>
      <c r="C972" s="15">
        <v>103.95</v>
      </c>
      <c r="F972">
        <v>9</v>
      </c>
      <c r="G972">
        <v>5</v>
      </c>
      <c r="H972">
        <v>2016</v>
      </c>
      <c r="I972" s="41">
        <v>42618</v>
      </c>
      <c r="J972" s="38">
        <v>2936</v>
      </c>
      <c r="K972" s="21">
        <v>550.99</v>
      </c>
      <c r="L972" s="22">
        <v>7.5454999999999997</v>
      </c>
      <c r="M972" s="23">
        <v>18.565000000000001</v>
      </c>
      <c r="N972" s="22">
        <v>3.3975</v>
      </c>
      <c r="O972" s="22">
        <v>3.2833000000000001</v>
      </c>
      <c r="P972" s="21">
        <v>13152.5</v>
      </c>
      <c r="Q972" s="20">
        <v>66.47</v>
      </c>
      <c r="R972" s="21"/>
    </row>
    <row r="973" spans="1:18">
      <c r="A973" s="14">
        <v>41586</v>
      </c>
      <c r="B973" s="15">
        <v>102.85</v>
      </c>
      <c r="C973" s="15">
        <v>104.05</v>
      </c>
      <c r="F973">
        <v>9</v>
      </c>
      <c r="G973">
        <v>6</v>
      </c>
      <c r="H973">
        <v>2016</v>
      </c>
      <c r="I973" s="41">
        <v>42619</v>
      </c>
      <c r="J973" s="38">
        <v>2865.3</v>
      </c>
      <c r="K973" s="21">
        <v>553.5</v>
      </c>
      <c r="L973" s="22">
        <v>7.5410000000000004</v>
      </c>
      <c r="M973" s="23">
        <v>18.273</v>
      </c>
      <c r="N973" s="22">
        <v>3.3611</v>
      </c>
      <c r="O973" s="22">
        <v>3.1951999999999998</v>
      </c>
      <c r="P973" s="21">
        <v>13126.5</v>
      </c>
      <c r="Q973" s="20">
        <v>66.28</v>
      </c>
      <c r="R973" s="21"/>
    </row>
    <row r="974" spans="1:18">
      <c r="A974" s="14">
        <v>41589</v>
      </c>
      <c r="B974" s="15">
        <v>103.05</v>
      </c>
      <c r="C974" s="15">
        <v>103.25</v>
      </c>
      <c r="F974">
        <v>9</v>
      </c>
      <c r="G974">
        <v>7</v>
      </c>
      <c r="H974">
        <v>2016</v>
      </c>
      <c r="I974" s="41">
        <v>42620</v>
      </c>
      <c r="J974" s="38">
        <v>2862.22</v>
      </c>
      <c r="K974" s="21">
        <v>550.92999999999995</v>
      </c>
      <c r="L974" s="22">
        <v>7.5385</v>
      </c>
      <c r="M974" s="23">
        <v>18.382000000000001</v>
      </c>
      <c r="N974" s="22">
        <v>3.3614999999999999</v>
      </c>
      <c r="O974" s="22">
        <v>3.1930000000000001</v>
      </c>
      <c r="P974" s="21">
        <v>13085</v>
      </c>
      <c r="Q974" s="20">
        <v>66.477999999999994</v>
      </c>
      <c r="R974" s="21"/>
    </row>
    <row r="975" spans="1:18">
      <c r="A975" s="14">
        <v>41590</v>
      </c>
      <c r="B975" s="15">
        <v>103.25</v>
      </c>
      <c r="C975" s="15">
        <v>105.8</v>
      </c>
      <c r="F975">
        <v>9</v>
      </c>
      <c r="G975">
        <v>8</v>
      </c>
      <c r="H975">
        <v>2016</v>
      </c>
      <c r="I975" s="41">
        <v>42621</v>
      </c>
      <c r="J975" s="38">
        <v>2845</v>
      </c>
      <c r="K975" s="21">
        <v>553.97</v>
      </c>
      <c r="L975" s="22">
        <v>7.5359999999999996</v>
      </c>
      <c r="M975" s="23">
        <v>18.670000000000002</v>
      </c>
      <c r="N975" s="22">
        <v>3.3654999999999999</v>
      </c>
      <c r="O975" s="22">
        <v>3.2143000000000002</v>
      </c>
      <c r="P975" s="21">
        <v>13062.5</v>
      </c>
      <c r="Q975" s="20">
        <v>66.631</v>
      </c>
      <c r="R975" s="21"/>
    </row>
    <row r="976" spans="1:18">
      <c r="A976" s="14">
        <v>41591</v>
      </c>
      <c r="B976" s="15">
        <v>102.5</v>
      </c>
      <c r="C976" s="15">
        <v>103.05</v>
      </c>
      <c r="F976">
        <v>9</v>
      </c>
      <c r="G976">
        <v>9</v>
      </c>
      <c r="H976">
        <v>2016</v>
      </c>
      <c r="I976" s="41">
        <v>42622</v>
      </c>
      <c r="J976" s="38">
        <v>2919.75</v>
      </c>
      <c r="K976" s="21">
        <v>551.35</v>
      </c>
      <c r="L976" s="22">
        <v>7.5335000000000001</v>
      </c>
      <c r="M976" s="23">
        <v>18.911999999999999</v>
      </c>
      <c r="N976" s="22">
        <v>3.3929999999999998</v>
      </c>
      <c r="O976" s="22">
        <v>3.2734999999999999</v>
      </c>
      <c r="P976" s="21">
        <v>13099.5</v>
      </c>
      <c r="Q976" s="20">
        <v>66.894999999999996</v>
      </c>
      <c r="R976" s="21"/>
    </row>
    <row r="977" spans="1:18">
      <c r="A977" s="14">
        <v>41592</v>
      </c>
      <c r="B977" s="15">
        <v>102.15</v>
      </c>
      <c r="C977" s="15">
        <v>102.6</v>
      </c>
      <c r="F977">
        <v>9</v>
      </c>
      <c r="G977">
        <v>12</v>
      </c>
      <c r="H977">
        <v>2016</v>
      </c>
      <c r="I977" s="41">
        <v>42625</v>
      </c>
      <c r="J977" s="38">
        <v>2935.6</v>
      </c>
      <c r="K977" s="21">
        <v>551.37</v>
      </c>
      <c r="L977" s="22">
        <v>7.5274999999999999</v>
      </c>
      <c r="M977" s="23">
        <v>18.814</v>
      </c>
      <c r="N977" s="22">
        <v>3.4045999999999998</v>
      </c>
      <c r="O977" s="22">
        <v>3.2458</v>
      </c>
      <c r="P977" s="21">
        <v>13099.5</v>
      </c>
      <c r="Q977" s="20">
        <v>66.738</v>
      </c>
      <c r="R977" s="21"/>
    </row>
    <row r="978" spans="1:18">
      <c r="A978" s="14">
        <v>41593</v>
      </c>
      <c r="B978" s="15">
        <v>102.7</v>
      </c>
      <c r="C978" s="15">
        <v>105.75</v>
      </c>
      <c r="F978">
        <v>9</v>
      </c>
      <c r="G978">
        <v>13</v>
      </c>
      <c r="H978">
        <v>2016</v>
      </c>
      <c r="I978" s="41">
        <v>42626</v>
      </c>
      <c r="J978" s="38">
        <v>2976.25</v>
      </c>
      <c r="K978" s="21">
        <v>551.5</v>
      </c>
      <c r="L978" s="22">
        <v>7.5225</v>
      </c>
      <c r="M978" s="23">
        <v>19.079999999999998</v>
      </c>
      <c r="N978" s="22">
        <v>3.4055</v>
      </c>
      <c r="O978" s="22">
        <v>3.3138000000000001</v>
      </c>
      <c r="P978" s="21">
        <v>13170</v>
      </c>
      <c r="Q978" s="20">
        <v>67.14</v>
      </c>
      <c r="R978" s="21"/>
    </row>
    <row r="979" spans="1:18">
      <c r="A979" s="14">
        <v>41596</v>
      </c>
      <c r="B979" s="15">
        <v>105</v>
      </c>
      <c r="C979" s="15">
        <v>105.75</v>
      </c>
      <c r="F979">
        <v>9</v>
      </c>
      <c r="G979">
        <v>14</v>
      </c>
      <c r="H979">
        <v>2016</v>
      </c>
      <c r="I979" s="41">
        <v>42627</v>
      </c>
      <c r="J979" s="38">
        <v>2951.25</v>
      </c>
      <c r="K979" s="21">
        <v>552.86</v>
      </c>
      <c r="L979" s="22">
        <v>7.5170000000000003</v>
      </c>
      <c r="M979" s="23">
        <v>19.274000000000001</v>
      </c>
      <c r="N979" s="22">
        <v>3.4045999999999998</v>
      </c>
      <c r="O979" s="22">
        <v>3.3426</v>
      </c>
      <c r="P979" s="21">
        <v>13204.5</v>
      </c>
      <c r="Q979" s="20">
        <v>66.798000000000002</v>
      </c>
      <c r="R979" s="21"/>
    </row>
    <row r="980" spans="1:18">
      <c r="A980" s="14">
        <v>41597</v>
      </c>
      <c r="B980" s="15">
        <v>104.45</v>
      </c>
      <c r="C980" s="15">
        <v>104.65</v>
      </c>
      <c r="F980">
        <v>9</v>
      </c>
      <c r="G980">
        <v>15</v>
      </c>
      <c r="H980">
        <v>2016</v>
      </c>
      <c r="I980" s="41">
        <v>42628</v>
      </c>
      <c r="J980" s="38">
        <v>2929.5</v>
      </c>
      <c r="K980" s="21">
        <v>550.49</v>
      </c>
      <c r="L980" s="22">
        <v>7.5205000000000002</v>
      </c>
      <c r="M980" s="23">
        <v>19.347000000000001</v>
      </c>
      <c r="N980" s="22">
        <v>3.3837000000000002</v>
      </c>
      <c r="O980" s="22">
        <v>3.3024</v>
      </c>
      <c r="P980" s="21">
        <v>13175</v>
      </c>
      <c r="Q980" s="20">
        <v>66.86</v>
      </c>
      <c r="R980" s="21"/>
    </row>
    <row r="981" spans="1:18">
      <c r="A981" s="14">
        <v>41598</v>
      </c>
      <c r="B981" s="15">
        <v>104.3</v>
      </c>
      <c r="C981" s="15">
        <v>107.35</v>
      </c>
      <c r="F981">
        <v>9</v>
      </c>
      <c r="G981">
        <v>16</v>
      </c>
      <c r="H981">
        <v>2016</v>
      </c>
      <c r="I981" s="41">
        <v>42629</v>
      </c>
      <c r="J981" s="38">
        <v>2956.72</v>
      </c>
      <c r="K981" s="21">
        <v>550.49</v>
      </c>
      <c r="L981" s="22">
        <v>7.5194999999999999</v>
      </c>
      <c r="M981" s="23">
        <v>19.602</v>
      </c>
      <c r="N981" s="22">
        <v>3.3919999999999999</v>
      </c>
      <c r="O981" s="22">
        <v>3.2622</v>
      </c>
      <c r="P981" s="21">
        <v>13157.5</v>
      </c>
      <c r="Q981" s="20">
        <v>67.075000000000003</v>
      </c>
      <c r="R981" s="21"/>
    </row>
    <row r="982" spans="1:18">
      <c r="A982" s="14">
        <v>41599</v>
      </c>
      <c r="B982" s="15">
        <v>107.7</v>
      </c>
      <c r="C982" s="15">
        <v>110.45</v>
      </c>
      <c r="F982">
        <v>9</v>
      </c>
      <c r="G982">
        <v>19</v>
      </c>
      <c r="H982">
        <v>2016</v>
      </c>
      <c r="I982" s="41">
        <v>42632</v>
      </c>
      <c r="J982" s="38">
        <v>2918.7</v>
      </c>
      <c r="K982" s="21">
        <v>550.25</v>
      </c>
      <c r="L982" s="22">
        <v>7.5125000000000002</v>
      </c>
      <c r="M982" s="23">
        <v>19.690000000000001</v>
      </c>
      <c r="N982" s="22">
        <v>3.387</v>
      </c>
      <c r="O982" s="22">
        <v>3.2732000000000001</v>
      </c>
      <c r="P982" s="21">
        <v>13156</v>
      </c>
      <c r="Q982" s="20">
        <v>66.98</v>
      </c>
      <c r="R982" s="21"/>
    </row>
    <row r="983" spans="1:18">
      <c r="A983" s="14">
        <v>41600</v>
      </c>
      <c r="B983" s="15">
        <v>107</v>
      </c>
      <c r="C983" s="15">
        <v>107.1</v>
      </c>
      <c r="F983">
        <v>9</v>
      </c>
      <c r="G983">
        <v>20</v>
      </c>
      <c r="H983">
        <v>2016</v>
      </c>
      <c r="I983" s="41">
        <v>42633</v>
      </c>
      <c r="J983" s="38">
        <v>2915.52</v>
      </c>
      <c r="K983" s="21">
        <v>550.1</v>
      </c>
      <c r="L983" s="22">
        <v>7.5134999999999996</v>
      </c>
      <c r="M983" s="23">
        <v>19.815000000000001</v>
      </c>
      <c r="N983" s="22">
        <v>3.3874</v>
      </c>
      <c r="O983" s="22">
        <v>3.2589000000000001</v>
      </c>
      <c r="P983" s="21">
        <v>13152.5</v>
      </c>
      <c r="Q983" s="20">
        <v>66.984999999999999</v>
      </c>
      <c r="R983" s="21"/>
    </row>
    <row r="984" spans="1:18">
      <c r="A984" s="14">
        <v>41603</v>
      </c>
      <c r="B984" s="15">
        <v>106.05</v>
      </c>
      <c r="C984" s="15">
        <v>108.1</v>
      </c>
      <c r="F984">
        <v>9</v>
      </c>
      <c r="G984">
        <v>21</v>
      </c>
      <c r="H984">
        <v>2016</v>
      </c>
      <c r="I984" s="41">
        <v>42634</v>
      </c>
      <c r="J984" s="38">
        <v>2893.11</v>
      </c>
      <c r="K984" s="21">
        <v>553.83000000000004</v>
      </c>
      <c r="L984" s="22">
        <v>7.5190000000000001</v>
      </c>
      <c r="M984" s="23">
        <v>19.739999999999998</v>
      </c>
      <c r="N984" s="22">
        <v>3.3769999999999998</v>
      </c>
      <c r="O984" s="22">
        <v>3.2071000000000001</v>
      </c>
      <c r="P984" s="21">
        <v>13135.5</v>
      </c>
      <c r="Q984" s="20">
        <v>66.744</v>
      </c>
      <c r="R984" s="21"/>
    </row>
    <row r="985" spans="1:18">
      <c r="A985" s="14">
        <v>41604</v>
      </c>
      <c r="B985" s="15">
        <v>107.6</v>
      </c>
      <c r="C985" s="15">
        <v>108.15</v>
      </c>
      <c r="F985">
        <v>9</v>
      </c>
      <c r="G985">
        <v>22</v>
      </c>
      <c r="H985">
        <v>2016</v>
      </c>
      <c r="I985" s="41">
        <v>42635</v>
      </c>
      <c r="J985" s="38">
        <v>2888</v>
      </c>
      <c r="K985" s="21">
        <v>553.99</v>
      </c>
      <c r="L985" s="22">
        <v>7.5175000000000001</v>
      </c>
      <c r="M985" s="23">
        <v>19.614999999999998</v>
      </c>
      <c r="N985" s="22">
        <v>3.3429000000000002</v>
      </c>
      <c r="O985" s="22">
        <v>3.2208000000000001</v>
      </c>
      <c r="P985" s="21">
        <v>13090</v>
      </c>
      <c r="Q985" s="20">
        <v>66.632999999999996</v>
      </c>
      <c r="R985" s="21"/>
    </row>
    <row r="986" spans="1:18">
      <c r="A986" s="14">
        <v>41605</v>
      </c>
      <c r="B986" s="15">
        <v>107</v>
      </c>
      <c r="C986" s="15">
        <v>107.6</v>
      </c>
      <c r="F986">
        <v>9</v>
      </c>
      <c r="G986">
        <v>23</v>
      </c>
      <c r="H986">
        <v>2016</v>
      </c>
      <c r="I986" s="41">
        <v>42636</v>
      </c>
      <c r="J986" s="38">
        <v>2920</v>
      </c>
      <c r="K986" s="21">
        <v>550.91999999999996</v>
      </c>
      <c r="L986" s="22">
        <v>7.5194999999999999</v>
      </c>
      <c r="M986" s="23">
        <v>19.79</v>
      </c>
      <c r="N986" s="22">
        <v>3.3565</v>
      </c>
      <c r="O986" s="22">
        <v>3.2450000000000001</v>
      </c>
      <c r="P986" s="21">
        <v>13076.5</v>
      </c>
      <c r="Q986" s="20">
        <v>66.706999999999994</v>
      </c>
      <c r="R986" s="21"/>
    </row>
    <row r="987" spans="1:18">
      <c r="A987" s="14">
        <v>41607</v>
      </c>
      <c r="B987" s="15">
        <v>108</v>
      </c>
      <c r="C987" s="15">
        <v>110.25</v>
      </c>
      <c r="F987">
        <v>9</v>
      </c>
      <c r="G987">
        <v>26</v>
      </c>
      <c r="H987">
        <v>2016</v>
      </c>
      <c r="I987" s="41">
        <v>42639</v>
      </c>
      <c r="J987" s="38">
        <v>2922</v>
      </c>
      <c r="K987" s="21">
        <v>550.91999999999996</v>
      </c>
      <c r="L987" s="22">
        <v>7.5185000000000004</v>
      </c>
      <c r="M987" s="23">
        <v>19.875</v>
      </c>
      <c r="N987" s="22">
        <v>3.3685</v>
      </c>
      <c r="O987" s="22">
        <v>3.2401</v>
      </c>
      <c r="P987" s="21">
        <v>13030</v>
      </c>
      <c r="Q987" s="20">
        <v>66.613</v>
      </c>
      <c r="R987" s="21"/>
    </row>
    <row r="988" spans="1:18">
      <c r="A988" s="14">
        <v>41610</v>
      </c>
      <c r="B988" s="15">
        <v>108.45</v>
      </c>
      <c r="C988" s="15">
        <v>109.4</v>
      </c>
      <c r="F988">
        <v>9</v>
      </c>
      <c r="G988">
        <v>27</v>
      </c>
      <c r="H988">
        <v>2016</v>
      </c>
      <c r="I988" s="41">
        <v>42640</v>
      </c>
      <c r="J988" s="38">
        <v>2885.6</v>
      </c>
      <c r="K988" s="21">
        <v>550.97</v>
      </c>
      <c r="L988" s="22">
        <v>7.5194999999999999</v>
      </c>
      <c r="M988" s="23">
        <v>19.39</v>
      </c>
      <c r="N988" s="22">
        <v>3.3658999999999999</v>
      </c>
      <c r="O988" s="22">
        <v>3.2345999999999999</v>
      </c>
      <c r="P988" s="21">
        <v>12955</v>
      </c>
      <c r="Q988" s="20">
        <v>66.424999999999997</v>
      </c>
      <c r="R988" s="21"/>
    </row>
    <row r="989" spans="1:18">
      <c r="A989" s="14">
        <v>41611</v>
      </c>
      <c r="B989" s="15">
        <v>108.15</v>
      </c>
      <c r="C989" s="15">
        <v>109.55</v>
      </c>
      <c r="F989">
        <v>9</v>
      </c>
      <c r="G989">
        <v>28</v>
      </c>
      <c r="H989">
        <v>2016</v>
      </c>
      <c r="I989" s="41">
        <v>42641</v>
      </c>
      <c r="J989" s="38">
        <v>2911.56</v>
      </c>
      <c r="K989" s="21">
        <v>550.91999999999996</v>
      </c>
      <c r="L989" s="22">
        <v>7.5244999999999997</v>
      </c>
      <c r="M989" s="23">
        <v>19.37</v>
      </c>
      <c r="N989" s="22">
        <v>3.3725000000000001</v>
      </c>
      <c r="O989" s="22">
        <v>3.2166999999999999</v>
      </c>
      <c r="P989" s="21">
        <v>12947.5</v>
      </c>
      <c r="Q989" s="20">
        <v>66.349000000000004</v>
      </c>
      <c r="R989" s="21"/>
    </row>
    <row r="990" spans="1:18">
      <c r="A990" s="14">
        <v>41612</v>
      </c>
      <c r="B990" s="15">
        <v>107.6</v>
      </c>
      <c r="C990" s="15">
        <v>107.8</v>
      </c>
      <c r="F990">
        <v>9</v>
      </c>
      <c r="G990">
        <v>29</v>
      </c>
      <c r="H990">
        <v>2016</v>
      </c>
      <c r="I990" s="41">
        <v>42642</v>
      </c>
      <c r="J990" s="38">
        <v>2892.81</v>
      </c>
      <c r="K990" s="21">
        <v>554.84</v>
      </c>
      <c r="L990" s="22">
        <v>7.5194999999999999</v>
      </c>
      <c r="M990" s="23">
        <v>19.524999999999999</v>
      </c>
      <c r="N990" s="22">
        <v>3.3940999999999999</v>
      </c>
      <c r="O990" s="22">
        <v>3.2595000000000001</v>
      </c>
      <c r="P990" s="21">
        <v>12975</v>
      </c>
      <c r="Q990" s="20">
        <v>66.811999999999998</v>
      </c>
      <c r="R990" s="21"/>
    </row>
    <row r="991" spans="1:18">
      <c r="A991" s="14">
        <v>41613</v>
      </c>
      <c r="B991" s="15">
        <v>105.5</v>
      </c>
      <c r="C991" s="15">
        <v>105.4</v>
      </c>
      <c r="F991">
        <v>9</v>
      </c>
      <c r="G991">
        <v>30</v>
      </c>
      <c r="H991">
        <v>2016</v>
      </c>
      <c r="I991" s="41">
        <v>42643</v>
      </c>
      <c r="J991" s="38">
        <v>2883.35</v>
      </c>
      <c r="K991" s="21">
        <v>551.33000000000004</v>
      </c>
      <c r="L991" s="22">
        <v>7.5225</v>
      </c>
      <c r="M991" s="23">
        <v>19.385000000000002</v>
      </c>
      <c r="N991" s="22">
        <v>3.383</v>
      </c>
      <c r="O991" s="22">
        <v>3.2603</v>
      </c>
      <c r="P991" s="21">
        <v>13051</v>
      </c>
      <c r="Q991" s="20">
        <v>66.555999999999997</v>
      </c>
      <c r="R991" s="21"/>
    </row>
    <row r="992" spans="1:18">
      <c r="A992" s="14">
        <v>41614</v>
      </c>
      <c r="B992" s="15">
        <v>106.05</v>
      </c>
      <c r="C992" s="15">
        <v>105.8</v>
      </c>
      <c r="F992">
        <v>10</v>
      </c>
      <c r="G992">
        <v>3</v>
      </c>
      <c r="H992">
        <v>2016</v>
      </c>
      <c r="I992" s="41">
        <v>42646</v>
      </c>
      <c r="J992" s="38">
        <v>2931</v>
      </c>
      <c r="K992" s="21">
        <v>551.35</v>
      </c>
      <c r="L992" s="22">
        <v>7.5214999999999996</v>
      </c>
      <c r="M992" s="23">
        <v>19.286999999999999</v>
      </c>
      <c r="N992" s="22">
        <v>3.3845000000000001</v>
      </c>
      <c r="O992" s="22">
        <v>3.2105000000000001</v>
      </c>
      <c r="P992" s="21">
        <v>12982.5</v>
      </c>
      <c r="Q992" s="20">
        <v>66.546000000000006</v>
      </c>
      <c r="R992" s="21"/>
    </row>
    <row r="993" spans="1:18">
      <c r="A993" s="14">
        <v>41617</v>
      </c>
      <c r="B993" s="15">
        <v>106.05</v>
      </c>
      <c r="C993" s="15">
        <v>105.5</v>
      </c>
      <c r="F993">
        <v>10</v>
      </c>
      <c r="G993">
        <v>4</v>
      </c>
      <c r="H993">
        <v>2016</v>
      </c>
      <c r="I993" s="41">
        <v>42647</v>
      </c>
      <c r="J993" s="38">
        <v>2977.66</v>
      </c>
      <c r="K993" s="21">
        <v>554.57000000000005</v>
      </c>
      <c r="L993" s="22">
        <v>7.5155000000000003</v>
      </c>
      <c r="M993" s="23">
        <v>19.326000000000001</v>
      </c>
      <c r="N993" s="22">
        <v>3.4035000000000002</v>
      </c>
      <c r="O993" s="22">
        <v>3.2578</v>
      </c>
      <c r="P993" s="21">
        <v>12981.5</v>
      </c>
      <c r="Q993" s="20">
        <v>66.608999999999995</v>
      </c>
      <c r="R993" s="21"/>
    </row>
    <row r="994" spans="1:18">
      <c r="A994" s="14">
        <v>41618</v>
      </c>
      <c r="B994" s="15">
        <v>106.75</v>
      </c>
      <c r="C994" s="15">
        <v>109.65</v>
      </c>
      <c r="F994">
        <v>10</v>
      </c>
      <c r="G994">
        <v>5</v>
      </c>
      <c r="H994">
        <v>2016</v>
      </c>
      <c r="I994" s="41">
        <v>42648</v>
      </c>
      <c r="J994" s="38">
        <v>2931</v>
      </c>
      <c r="K994" s="21">
        <v>551.91</v>
      </c>
      <c r="L994" s="22">
        <v>7.5125000000000002</v>
      </c>
      <c r="M994" s="23">
        <v>19.21</v>
      </c>
      <c r="N994" s="22">
        <v>3.4039999999999999</v>
      </c>
      <c r="O994" s="22">
        <v>3.2202000000000002</v>
      </c>
      <c r="P994" s="21">
        <v>12997.5</v>
      </c>
      <c r="Q994" s="20">
        <v>66.572000000000003</v>
      </c>
      <c r="R994" s="21"/>
    </row>
    <row r="995" spans="1:18">
      <c r="A995" s="14">
        <v>41619</v>
      </c>
      <c r="B995" s="15">
        <v>108.95</v>
      </c>
      <c r="C995" s="15">
        <v>109.1</v>
      </c>
      <c r="F995">
        <v>10</v>
      </c>
      <c r="G995">
        <v>6</v>
      </c>
      <c r="H995">
        <v>2016</v>
      </c>
      <c r="I995" s="41">
        <v>42649</v>
      </c>
      <c r="J995" s="38">
        <v>2906.4</v>
      </c>
      <c r="K995" s="21">
        <v>552.23</v>
      </c>
      <c r="L995" s="22">
        <v>7.5065</v>
      </c>
      <c r="M995" s="23">
        <v>19.237500000000001</v>
      </c>
      <c r="N995" s="22">
        <v>3.4097</v>
      </c>
      <c r="O995" s="22">
        <v>3.2298</v>
      </c>
      <c r="P995" s="21">
        <v>12987</v>
      </c>
      <c r="Q995" s="20">
        <v>66.697000000000003</v>
      </c>
      <c r="R995" s="21"/>
    </row>
    <row r="996" spans="1:18">
      <c r="A996" s="14">
        <v>41620</v>
      </c>
      <c r="B996" s="15">
        <v>109.5</v>
      </c>
      <c r="C996" s="15">
        <v>110.7</v>
      </c>
      <c r="F996">
        <v>10</v>
      </c>
      <c r="G996">
        <v>7</v>
      </c>
      <c r="H996">
        <v>2016</v>
      </c>
      <c r="I996" s="41">
        <v>42650</v>
      </c>
      <c r="J996" s="38">
        <v>2926.5</v>
      </c>
      <c r="K996" s="21">
        <v>552.23</v>
      </c>
      <c r="L996" s="22">
        <v>7.4965000000000002</v>
      </c>
      <c r="M996" s="23">
        <v>19.2943</v>
      </c>
      <c r="N996" s="22">
        <v>3.4032</v>
      </c>
      <c r="O996" s="22">
        <v>3.2204000000000002</v>
      </c>
      <c r="P996" s="21">
        <v>12985</v>
      </c>
      <c r="Q996" s="20">
        <v>66.602000000000004</v>
      </c>
      <c r="R996" s="21"/>
    </row>
    <row r="997" spans="1:18">
      <c r="A997" s="14">
        <v>41621</v>
      </c>
      <c r="B997" s="15">
        <v>111.15</v>
      </c>
      <c r="C997" s="15">
        <v>114.5</v>
      </c>
      <c r="F997">
        <v>10</v>
      </c>
      <c r="G997">
        <v>10</v>
      </c>
      <c r="H997">
        <v>2016</v>
      </c>
      <c r="I997" s="41">
        <v>42653</v>
      </c>
      <c r="J997" s="38">
        <v>2926.5</v>
      </c>
      <c r="K997" s="21">
        <v>552.21</v>
      </c>
      <c r="L997" s="22">
        <v>7.4855</v>
      </c>
      <c r="M997" s="23">
        <v>18.928999999999998</v>
      </c>
      <c r="N997" s="22">
        <v>3.3942000000000001</v>
      </c>
      <c r="O997" s="22">
        <v>3.2065000000000001</v>
      </c>
      <c r="P997" s="21">
        <v>12977.5</v>
      </c>
      <c r="Q997" s="20">
        <v>66.492000000000004</v>
      </c>
      <c r="R997" s="21"/>
    </row>
    <row r="998" spans="1:18">
      <c r="A998" s="14">
        <v>41624</v>
      </c>
      <c r="B998" s="15">
        <v>115.35</v>
      </c>
      <c r="C998" s="15">
        <v>114.7</v>
      </c>
      <c r="F998">
        <v>10</v>
      </c>
      <c r="G998">
        <v>11</v>
      </c>
      <c r="H998">
        <v>2016</v>
      </c>
      <c r="I998" s="41">
        <v>42654</v>
      </c>
      <c r="J998" s="38">
        <v>2921.55</v>
      </c>
      <c r="K998" s="21">
        <v>552.22</v>
      </c>
      <c r="L998" s="22">
        <v>7.4764999999999997</v>
      </c>
      <c r="M998" s="23">
        <v>18.905000000000001</v>
      </c>
      <c r="N998" s="22">
        <v>3.4020000000000001</v>
      </c>
      <c r="O998" s="22">
        <v>3.1953</v>
      </c>
      <c r="P998" s="21">
        <v>13012.5</v>
      </c>
      <c r="Q998" s="20">
        <v>66.834000000000003</v>
      </c>
      <c r="R998" s="21"/>
    </row>
    <row r="999" spans="1:18">
      <c r="A999" s="14">
        <v>41625</v>
      </c>
      <c r="B999" s="15">
        <v>114</v>
      </c>
      <c r="C999" s="15">
        <v>113.55</v>
      </c>
      <c r="F999">
        <v>10</v>
      </c>
      <c r="G999">
        <v>12</v>
      </c>
      <c r="H999">
        <v>2016</v>
      </c>
      <c r="I999" s="41">
        <v>42655</v>
      </c>
      <c r="J999" s="38">
        <v>2904.5</v>
      </c>
      <c r="K999" s="21">
        <v>554.95000000000005</v>
      </c>
      <c r="L999" s="22">
        <v>7.4740000000000002</v>
      </c>
      <c r="M999" s="23">
        <v>18.91</v>
      </c>
      <c r="N999" s="22">
        <v>3.4026000000000001</v>
      </c>
      <c r="O999" s="22">
        <v>3.2025000000000001</v>
      </c>
      <c r="P999" s="21">
        <v>13018.5</v>
      </c>
      <c r="Q999" s="20">
        <v>66.811999999999998</v>
      </c>
      <c r="R999" s="21"/>
    </row>
    <row r="1000" spans="1:18">
      <c r="A1000" s="14">
        <v>41626</v>
      </c>
      <c r="B1000" s="15">
        <v>114.4</v>
      </c>
      <c r="C1000" s="15">
        <v>115.1</v>
      </c>
      <c r="F1000">
        <v>10</v>
      </c>
      <c r="G1000">
        <v>13</v>
      </c>
      <c r="H1000">
        <v>2016</v>
      </c>
      <c r="I1000" s="41">
        <v>42656</v>
      </c>
      <c r="J1000" s="38">
        <v>2917.01</v>
      </c>
      <c r="K1000" s="21">
        <v>554.86</v>
      </c>
      <c r="L1000" s="22">
        <v>7.4734999999999996</v>
      </c>
      <c r="M1000" s="23">
        <v>18.9269</v>
      </c>
      <c r="N1000" s="22">
        <v>3.4041999999999999</v>
      </c>
      <c r="O1000" s="22">
        <v>3.1779999999999999</v>
      </c>
      <c r="P1000" s="21">
        <v>13077.5</v>
      </c>
      <c r="Q1000" s="20">
        <v>66.793999999999997</v>
      </c>
      <c r="R1000" s="21"/>
    </row>
    <row r="1001" spans="1:18">
      <c r="A1001" s="14">
        <v>41627</v>
      </c>
      <c r="B1001" s="15">
        <v>113.1</v>
      </c>
      <c r="C1001" s="15">
        <v>113.75</v>
      </c>
      <c r="F1001">
        <v>10</v>
      </c>
      <c r="G1001">
        <v>14</v>
      </c>
      <c r="H1001">
        <v>2016</v>
      </c>
      <c r="I1001" s="41">
        <v>42657</v>
      </c>
      <c r="J1001" s="38">
        <v>2920.76</v>
      </c>
      <c r="K1001" s="21">
        <v>552.24</v>
      </c>
      <c r="L1001" s="22">
        <v>7.4734999999999996</v>
      </c>
      <c r="M1001" s="23">
        <v>19.010000000000002</v>
      </c>
      <c r="N1001" s="22">
        <v>3.4026000000000001</v>
      </c>
      <c r="O1001" s="22">
        <v>3.2050999999999998</v>
      </c>
      <c r="P1001" s="21">
        <v>13044.5</v>
      </c>
      <c r="Q1001" s="20">
        <v>66.716999999999999</v>
      </c>
      <c r="R1001" s="21"/>
    </row>
    <row r="1002" spans="1:18">
      <c r="A1002" s="14">
        <v>41628</v>
      </c>
      <c r="B1002" s="15">
        <v>113.55</v>
      </c>
      <c r="C1002" s="15">
        <v>115.3</v>
      </c>
      <c r="F1002">
        <v>10</v>
      </c>
      <c r="G1002">
        <v>17</v>
      </c>
      <c r="H1002">
        <v>2016</v>
      </c>
      <c r="I1002" s="41">
        <v>42660</v>
      </c>
      <c r="J1002" s="38">
        <v>2920</v>
      </c>
      <c r="K1002" s="21">
        <v>552.26</v>
      </c>
      <c r="L1002" s="22">
        <v>7.4805000000000001</v>
      </c>
      <c r="M1002" s="23">
        <v>18.855</v>
      </c>
      <c r="N1002" s="22">
        <v>3.3982000000000001</v>
      </c>
      <c r="O1002" s="22">
        <v>3.2021999999999999</v>
      </c>
      <c r="P1002" s="21">
        <v>13068.5</v>
      </c>
      <c r="Q1002" s="20">
        <v>66.789000000000001</v>
      </c>
      <c r="R1002" s="21"/>
    </row>
    <row r="1003" spans="1:18">
      <c r="A1003" s="14">
        <v>41631</v>
      </c>
      <c r="B1003" s="15">
        <v>115</v>
      </c>
      <c r="C1003" s="15">
        <v>115.85</v>
      </c>
      <c r="F1003">
        <v>10</v>
      </c>
      <c r="G1003">
        <v>18</v>
      </c>
      <c r="H1003">
        <v>2016</v>
      </c>
      <c r="I1003" s="41">
        <v>42661</v>
      </c>
      <c r="J1003" s="38">
        <v>2905.55</v>
      </c>
      <c r="K1003" s="21">
        <v>552.26</v>
      </c>
      <c r="L1003" s="22">
        <v>7.4775</v>
      </c>
      <c r="M1003" s="23">
        <v>18.610499999999998</v>
      </c>
      <c r="N1003" s="22">
        <v>3.3841000000000001</v>
      </c>
      <c r="O1003" s="22">
        <v>3.1888000000000001</v>
      </c>
      <c r="P1003" s="21">
        <v>13032</v>
      </c>
      <c r="Q1003" s="20">
        <v>66.733000000000004</v>
      </c>
      <c r="R1003" s="21"/>
    </row>
    <row r="1004" spans="1:18">
      <c r="A1004" s="14">
        <v>41632</v>
      </c>
      <c r="B1004" s="15">
        <v>114.05</v>
      </c>
      <c r="C1004" s="15">
        <v>114.75</v>
      </c>
      <c r="F1004">
        <v>10</v>
      </c>
      <c r="G1004">
        <v>19</v>
      </c>
      <c r="H1004">
        <v>2016</v>
      </c>
      <c r="I1004" s="41">
        <v>42662</v>
      </c>
      <c r="J1004" s="38">
        <v>2917.05</v>
      </c>
      <c r="K1004" s="21">
        <v>553.75</v>
      </c>
      <c r="L1004" s="22">
        <v>7.4874999999999998</v>
      </c>
      <c r="M1004" s="23">
        <v>18.513000000000002</v>
      </c>
      <c r="N1004" s="22">
        <v>3.3788</v>
      </c>
      <c r="O1004" s="22">
        <v>3.1697000000000002</v>
      </c>
      <c r="P1004" s="21">
        <v>13007.5</v>
      </c>
      <c r="Q1004" s="20">
        <v>66.644999999999996</v>
      </c>
      <c r="R1004" s="21"/>
    </row>
    <row r="1005" spans="1:18">
      <c r="A1005" s="14">
        <v>41634</v>
      </c>
      <c r="B1005" s="15">
        <v>114.95</v>
      </c>
      <c r="C1005" s="15">
        <v>115.45</v>
      </c>
      <c r="F1005">
        <v>10</v>
      </c>
      <c r="G1005">
        <v>20</v>
      </c>
      <c r="H1005">
        <v>2016</v>
      </c>
      <c r="I1005" s="41">
        <v>42663</v>
      </c>
      <c r="J1005" s="38">
        <v>2929.06</v>
      </c>
      <c r="K1005" s="21">
        <v>552.26</v>
      </c>
      <c r="L1005" s="22">
        <v>7.4904999999999999</v>
      </c>
      <c r="M1005" s="23">
        <v>18.62</v>
      </c>
      <c r="N1005" s="22">
        <v>3.3746999999999998</v>
      </c>
      <c r="O1005" s="22">
        <v>3.1433</v>
      </c>
      <c r="P1005" s="21">
        <v>13007.5</v>
      </c>
      <c r="Q1005" s="20">
        <v>66.83</v>
      </c>
      <c r="R1005" s="21"/>
    </row>
    <row r="1006" spans="1:18">
      <c r="A1006" s="14">
        <v>41635</v>
      </c>
      <c r="B1006" s="15">
        <v>115.55</v>
      </c>
      <c r="C1006" s="15">
        <v>116.35</v>
      </c>
      <c r="F1006">
        <v>10</v>
      </c>
      <c r="G1006">
        <v>21</v>
      </c>
      <c r="H1006">
        <v>2016</v>
      </c>
      <c r="I1006" s="41">
        <v>42664</v>
      </c>
      <c r="J1006" s="38">
        <v>2928.98</v>
      </c>
      <c r="K1006" s="21">
        <v>552.25</v>
      </c>
      <c r="L1006" s="22">
        <v>7.4924999999999997</v>
      </c>
      <c r="M1006" s="23">
        <v>18.588799999999999</v>
      </c>
      <c r="N1006" s="22">
        <v>3.3584999999999998</v>
      </c>
      <c r="O1006" s="22">
        <v>3.1511</v>
      </c>
      <c r="P1006" s="21">
        <v>13045</v>
      </c>
      <c r="Q1006" s="20">
        <v>66.926000000000002</v>
      </c>
      <c r="R1006" s="21"/>
    </row>
    <row r="1007" spans="1:18">
      <c r="A1007" s="14">
        <v>41638</v>
      </c>
      <c r="B1007" s="15">
        <v>114.25</v>
      </c>
      <c r="C1007" s="15">
        <v>114.7</v>
      </c>
      <c r="F1007">
        <v>10</v>
      </c>
      <c r="G1007">
        <v>24</v>
      </c>
      <c r="H1007">
        <v>2016</v>
      </c>
      <c r="I1007" s="41">
        <v>42667</v>
      </c>
      <c r="J1007" s="38">
        <v>2937.39</v>
      </c>
      <c r="K1007" s="21">
        <v>552.23</v>
      </c>
      <c r="L1007" s="22">
        <v>7.5015000000000001</v>
      </c>
      <c r="M1007" s="23">
        <v>18.555</v>
      </c>
      <c r="N1007" s="22">
        <v>3.3626</v>
      </c>
      <c r="O1007" s="22">
        <v>3.1246</v>
      </c>
      <c r="P1007" s="21">
        <v>13013</v>
      </c>
      <c r="Q1007" s="20">
        <v>66.844999999999999</v>
      </c>
      <c r="R1007" s="21"/>
    </row>
    <row r="1008" spans="1:18">
      <c r="A1008" s="14">
        <v>41639</v>
      </c>
      <c r="B1008" s="15">
        <v>110.55</v>
      </c>
      <c r="C1008" s="15">
        <v>110.7</v>
      </c>
      <c r="F1008">
        <v>10</v>
      </c>
      <c r="G1008">
        <v>25</v>
      </c>
      <c r="H1008">
        <v>2016</v>
      </c>
      <c r="I1008" s="41">
        <v>42668</v>
      </c>
      <c r="J1008" s="38">
        <v>2936.58</v>
      </c>
      <c r="K1008" s="21">
        <v>552.83000000000004</v>
      </c>
      <c r="L1008" s="22">
        <v>7.5045000000000002</v>
      </c>
      <c r="M1008" s="23">
        <v>18.524999999999999</v>
      </c>
      <c r="N1008" s="22">
        <v>3.3611</v>
      </c>
      <c r="O1008" s="22">
        <v>3.1151</v>
      </c>
      <c r="P1008" s="21">
        <v>13006</v>
      </c>
      <c r="Q1008" s="20">
        <v>66.805999999999997</v>
      </c>
      <c r="R1008" s="21"/>
    </row>
    <row r="1009" spans="1:18">
      <c r="A1009" s="14">
        <v>41641</v>
      </c>
      <c r="B1009" s="15">
        <v>110.2</v>
      </c>
      <c r="C1009" s="15">
        <v>111.4</v>
      </c>
      <c r="F1009">
        <v>10</v>
      </c>
      <c r="G1009">
        <v>26</v>
      </c>
      <c r="H1009">
        <v>2016</v>
      </c>
      <c r="I1009" s="41">
        <v>42669</v>
      </c>
      <c r="J1009" s="38">
        <v>2970.42</v>
      </c>
      <c r="K1009" s="21">
        <v>555.65</v>
      </c>
      <c r="L1009" s="22">
        <v>7.5209999999999999</v>
      </c>
      <c r="M1009" s="23">
        <v>18.689</v>
      </c>
      <c r="N1009" s="22">
        <v>3.367</v>
      </c>
      <c r="O1009" s="22">
        <v>3.1408999999999998</v>
      </c>
      <c r="P1009" s="21">
        <v>13007.5</v>
      </c>
      <c r="Q1009" s="20">
        <v>66.863</v>
      </c>
      <c r="R1009" s="21"/>
    </row>
    <row r="1010" spans="1:18">
      <c r="A1010" s="14">
        <v>41642</v>
      </c>
      <c r="B1010" s="15">
        <v>111.2</v>
      </c>
      <c r="C1010" s="15">
        <v>116.35</v>
      </c>
      <c r="F1010">
        <v>10</v>
      </c>
      <c r="G1010">
        <v>27</v>
      </c>
      <c r="H1010">
        <v>2016</v>
      </c>
      <c r="I1010" s="41">
        <v>42670</v>
      </c>
      <c r="J1010" s="38">
        <v>2960.47</v>
      </c>
      <c r="K1010" s="21">
        <v>552.4</v>
      </c>
      <c r="L1010" s="22">
        <v>7.5324999999999998</v>
      </c>
      <c r="M1010" s="23">
        <v>18.841000000000001</v>
      </c>
      <c r="N1010" s="22">
        <v>3.3624999999999998</v>
      </c>
      <c r="O1010" s="22">
        <v>3.1701000000000001</v>
      </c>
      <c r="P1010" s="21">
        <v>13033</v>
      </c>
      <c r="Q1010" s="20">
        <v>66.881</v>
      </c>
      <c r="R1010" s="21"/>
    </row>
    <row r="1011" spans="1:18">
      <c r="A1011" s="14">
        <v>41645</v>
      </c>
      <c r="B1011" s="15">
        <v>115.7</v>
      </c>
      <c r="C1011" s="15">
        <v>121</v>
      </c>
      <c r="F1011">
        <v>10</v>
      </c>
      <c r="G1011">
        <v>28</v>
      </c>
      <c r="H1011">
        <v>2016</v>
      </c>
      <c r="I1011" s="41">
        <v>42671</v>
      </c>
      <c r="J1011" s="38">
        <v>2988.11</v>
      </c>
      <c r="K1011" s="21">
        <v>552.54999999999995</v>
      </c>
      <c r="L1011" s="22">
        <v>7.5274999999999999</v>
      </c>
      <c r="M1011" s="23">
        <v>18.968499999999999</v>
      </c>
      <c r="N1011" s="22">
        <v>3.3673999999999999</v>
      </c>
      <c r="O1011" s="22">
        <v>3.2065000000000001</v>
      </c>
      <c r="P1011" s="21">
        <v>13050.5</v>
      </c>
      <c r="Q1011" s="20">
        <v>66.778000000000006</v>
      </c>
      <c r="R1011" s="21"/>
    </row>
    <row r="1012" spans="1:18">
      <c r="A1012" s="14">
        <v>41646</v>
      </c>
      <c r="B1012" s="15">
        <v>116.65</v>
      </c>
      <c r="C1012" s="15">
        <v>117.25</v>
      </c>
      <c r="F1012">
        <v>10</v>
      </c>
      <c r="G1012">
        <v>31</v>
      </c>
      <c r="H1012">
        <v>2016</v>
      </c>
      <c r="I1012" s="41">
        <v>42674</v>
      </c>
      <c r="J1012" s="38">
        <v>3005</v>
      </c>
      <c r="K1012" s="21">
        <v>552.27</v>
      </c>
      <c r="L1012" s="22">
        <v>7.5164999999999997</v>
      </c>
      <c r="M1012" s="23">
        <v>18.864000000000001</v>
      </c>
      <c r="N1012" s="22">
        <v>3.3610000000000002</v>
      </c>
      <c r="O1012" s="22">
        <v>3.1892999999999998</v>
      </c>
      <c r="P1012" s="21">
        <v>13048</v>
      </c>
      <c r="Q1012" s="20">
        <v>66.686000000000007</v>
      </c>
      <c r="R1012" s="21"/>
    </row>
    <row r="1013" spans="1:18">
      <c r="A1013" s="14">
        <v>41647</v>
      </c>
      <c r="B1013" s="15">
        <v>117.55</v>
      </c>
      <c r="C1013" s="15">
        <v>120.9</v>
      </c>
      <c r="F1013">
        <v>11</v>
      </c>
      <c r="G1013">
        <v>1</v>
      </c>
      <c r="H1013">
        <v>2016</v>
      </c>
      <c r="I1013" s="41">
        <v>42675</v>
      </c>
      <c r="J1013" s="38">
        <v>3048.24</v>
      </c>
      <c r="K1013" s="21">
        <v>555.49</v>
      </c>
      <c r="L1013" s="22">
        <v>7.5140000000000002</v>
      </c>
      <c r="M1013" s="23">
        <v>19.190999999999999</v>
      </c>
      <c r="N1013" s="22">
        <v>3.3641000000000001</v>
      </c>
      <c r="O1013" s="22">
        <v>3.2366999999999999</v>
      </c>
      <c r="P1013" s="21">
        <v>13041.5</v>
      </c>
      <c r="Q1013" s="20">
        <v>66.695999999999998</v>
      </c>
      <c r="R1013" s="21"/>
    </row>
    <row r="1014" spans="1:18">
      <c r="A1014" s="14">
        <v>41648</v>
      </c>
      <c r="B1014" s="15">
        <v>118.3</v>
      </c>
      <c r="C1014" s="15">
        <v>119.35</v>
      </c>
      <c r="F1014">
        <v>11</v>
      </c>
      <c r="G1014">
        <v>2</v>
      </c>
      <c r="H1014">
        <v>2016</v>
      </c>
      <c r="I1014" s="41">
        <v>42676</v>
      </c>
      <c r="J1014" s="38">
        <v>3070.17</v>
      </c>
      <c r="K1014" s="21">
        <v>552.47</v>
      </c>
      <c r="L1014" s="22">
        <v>7.5075000000000003</v>
      </c>
      <c r="M1014" s="23">
        <v>19.367000000000001</v>
      </c>
      <c r="N1014" s="22">
        <v>3.3874</v>
      </c>
      <c r="O1014" s="22">
        <v>3.2359</v>
      </c>
      <c r="P1014" s="21">
        <v>13056</v>
      </c>
      <c r="Q1014" s="20">
        <v>66.762</v>
      </c>
      <c r="R1014" s="21"/>
    </row>
    <row r="1015" spans="1:18">
      <c r="A1015" s="14">
        <v>41649</v>
      </c>
      <c r="B1015" s="15">
        <v>117.85</v>
      </c>
      <c r="C1015" s="15">
        <v>120.65</v>
      </c>
      <c r="F1015">
        <v>11</v>
      </c>
      <c r="G1015">
        <v>3</v>
      </c>
      <c r="H1015">
        <v>2016</v>
      </c>
      <c r="I1015" s="41">
        <v>42677</v>
      </c>
      <c r="J1015" s="38">
        <v>3073</v>
      </c>
      <c r="K1015" s="21">
        <v>555.96</v>
      </c>
      <c r="L1015" s="22">
        <v>7.5105000000000004</v>
      </c>
      <c r="M1015" s="23">
        <v>19.175000000000001</v>
      </c>
      <c r="N1015" s="22">
        <v>3.3774999999999999</v>
      </c>
      <c r="O1015" s="22">
        <v>3.2425000000000002</v>
      </c>
      <c r="P1015" s="21">
        <v>13075</v>
      </c>
      <c r="Q1015" s="20">
        <v>66.668000000000006</v>
      </c>
      <c r="R1015" s="21"/>
    </row>
    <row r="1016" spans="1:18">
      <c r="A1016" s="14">
        <v>41652</v>
      </c>
      <c r="B1016" s="15">
        <v>118.75</v>
      </c>
      <c r="C1016" s="15">
        <v>119.85</v>
      </c>
      <c r="F1016">
        <v>11</v>
      </c>
      <c r="G1016">
        <v>4</v>
      </c>
      <c r="H1016">
        <v>2016</v>
      </c>
      <c r="I1016" s="41">
        <v>42678</v>
      </c>
      <c r="J1016" s="38">
        <v>3061</v>
      </c>
      <c r="K1016" s="21">
        <v>552.85</v>
      </c>
      <c r="L1016" s="22">
        <v>7.5105000000000004</v>
      </c>
      <c r="M1016" s="23">
        <v>19.023</v>
      </c>
      <c r="N1016" s="22">
        <v>3.3782999999999999</v>
      </c>
      <c r="O1016" s="22">
        <v>3.2336999999999998</v>
      </c>
      <c r="P1016" s="21">
        <v>13070</v>
      </c>
      <c r="Q1016" s="20">
        <v>66.796000000000006</v>
      </c>
      <c r="R1016" s="21"/>
    </row>
    <row r="1017" spans="1:18">
      <c r="A1017" s="14">
        <v>41653</v>
      </c>
      <c r="B1017" s="15">
        <v>118.15</v>
      </c>
      <c r="C1017" s="15">
        <v>119.2</v>
      </c>
      <c r="F1017">
        <v>11</v>
      </c>
      <c r="G1017">
        <v>7</v>
      </c>
      <c r="H1017">
        <v>2016</v>
      </c>
      <c r="I1017" s="41">
        <v>42681</v>
      </c>
      <c r="J1017" s="38">
        <v>3039.29</v>
      </c>
      <c r="K1017" s="21">
        <v>556.61</v>
      </c>
      <c r="L1017" s="22">
        <v>7.5179999999999998</v>
      </c>
      <c r="M1017" s="23">
        <v>18.593499999999999</v>
      </c>
      <c r="N1017" s="22">
        <v>3.3767</v>
      </c>
      <c r="O1017" s="22">
        <v>3.202</v>
      </c>
      <c r="P1017" s="21">
        <v>13088</v>
      </c>
      <c r="Q1017" s="20">
        <v>66.745000000000005</v>
      </c>
      <c r="R1017" s="21"/>
    </row>
    <row r="1018" spans="1:18">
      <c r="A1018" s="14">
        <v>41654</v>
      </c>
      <c r="B1018" s="15">
        <v>115.95</v>
      </c>
      <c r="C1018" s="15">
        <v>117.2</v>
      </c>
      <c r="F1018">
        <v>11</v>
      </c>
      <c r="G1018">
        <v>8</v>
      </c>
      <c r="H1018">
        <v>2016</v>
      </c>
      <c r="I1018" s="41">
        <v>42682</v>
      </c>
      <c r="J1018" s="38">
        <v>2951.18</v>
      </c>
      <c r="K1018" s="21">
        <v>553.67999999999995</v>
      </c>
      <c r="L1018" s="22">
        <v>7.5125000000000002</v>
      </c>
      <c r="M1018" s="23">
        <v>18.307500000000001</v>
      </c>
      <c r="N1018" s="22">
        <v>3.3540999999999999</v>
      </c>
      <c r="O1018" s="22">
        <v>3.1695000000000002</v>
      </c>
      <c r="P1018" s="21">
        <v>13084</v>
      </c>
      <c r="Q1018" s="20">
        <v>66.245999999999995</v>
      </c>
      <c r="R1018" s="21"/>
    </row>
    <row r="1019" spans="1:18">
      <c r="A1019" s="14">
        <v>41655</v>
      </c>
      <c r="B1019" s="15">
        <v>117.35</v>
      </c>
      <c r="C1019" s="15">
        <v>118.35</v>
      </c>
      <c r="F1019">
        <v>11</v>
      </c>
      <c r="G1019">
        <v>9</v>
      </c>
      <c r="H1019">
        <v>2016</v>
      </c>
      <c r="I1019" s="41">
        <v>42683</v>
      </c>
      <c r="J1019" s="38">
        <v>3001.8</v>
      </c>
      <c r="K1019" s="21">
        <v>553.46</v>
      </c>
      <c r="L1019" s="22">
        <v>7.4989999999999997</v>
      </c>
      <c r="M1019" s="23">
        <v>19.847000000000001</v>
      </c>
      <c r="N1019" s="22">
        <v>3.3746</v>
      </c>
      <c r="O1019" s="22">
        <v>3.2172000000000001</v>
      </c>
      <c r="P1019" s="21">
        <v>13099</v>
      </c>
      <c r="Q1019" s="20">
        <v>66.515000000000001</v>
      </c>
      <c r="R1019" s="21"/>
    </row>
    <row r="1020" spans="1:18">
      <c r="A1020" s="14">
        <v>41656</v>
      </c>
      <c r="B1020" s="15">
        <v>116.3</v>
      </c>
      <c r="C1020" s="15">
        <v>117.15</v>
      </c>
      <c r="F1020">
        <v>11</v>
      </c>
      <c r="G1020">
        <v>10</v>
      </c>
      <c r="H1020">
        <v>2016</v>
      </c>
      <c r="I1020" s="41">
        <v>42684</v>
      </c>
      <c r="J1020" s="38">
        <v>3116.7</v>
      </c>
      <c r="K1020" s="21">
        <v>553.78</v>
      </c>
      <c r="L1020" s="22">
        <v>7.5025000000000004</v>
      </c>
      <c r="M1020" s="23">
        <v>20.581499999999998</v>
      </c>
      <c r="N1020" s="22">
        <v>3.4060999999999999</v>
      </c>
      <c r="O1020" s="22">
        <v>3.3864000000000001</v>
      </c>
      <c r="P1020" s="21">
        <v>13137.5</v>
      </c>
      <c r="Q1020" s="20">
        <v>66.864999999999995</v>
      </c>
      <c r="R1020" s="21"/>
    </row>
    <row r="1021" spans="1:18">
      <c r="A1021" s="14">
        <v>41660</v>
      </c>
      <c r="B1021" s="15">
        <v>114.7</v>
      </c>
      <c r="C1021" s="15">
        <v>116.2</v>
      </c>
      <c r="F1021">
        <v>11</v>
      </c>
      <c r="G1021">
        <v>11</v>
      </c>
      <c r="H1021">
        <v>2016</v>
      </c>
      <c r="I1021" s="41">
        <v>42685</v>
      </c>
      <c r="J1021" s="38">
        <v>3117.82</v>
      </c>
      <c r="K1021" s="21">
        <v>554.33000000000004</v>
      </c>
      <c r="L1021" s="22">
        <v>7.4984999999999999</v>
      </c>
      <c r="M1021" s="23">
        <v>20.7303</v>
      </c>
      <c r="N1021" s="22">
        <v>3.4079999999999999</v>
      </c>
      <c r="O1021" s="22">
        <v>3.3915000000000002</v>
      </c>
      <c r="P1021" s="21">
        <v>13287.5</v>
      </c>
      <c r="Q1021" s="20">
        <v>67.564999999999998</v>
      </c>
      <c r="R1021" s="21"/>
    </row>
    <row r="1022" spans="1:18">
      <c r="A1022" s="14">
        <v>41661</v>
      </c>
      <c r="B1022" s="15">
        <v>114.25</v>
      </c>
      <c r="C1022" s="15">
        <v>114.85</v>
      </c>
      <c r="F1022">
        <v>11</v>
      </c>
      <c r="G1022">
        <v>14</v>
      </c>
      <c r="H1022">
        <v>2016</v>
      </c>
      <c r="I1022" s="41">
        <v>42688</v>
      </c>
      <c r="J1022" s="38">
        <v>3122.56</v>
      </c>
      <c r="K1022" s="21">
        <v>553.87</v>
      </c>
      <c r="L1022" s="22">
        <v>7.5</v>
      </c>
      <c r="M1022" s="23">
        <v>20.703499999999998</v>
      </c>
      <c r="N1022" s="22">
        <v>3.4352</v>
      </c>
      <c r="O1022" s="22">
        <v>3.4331</v>
      </c>
      <c r="P1022" s="21">
        <v>13357.5</v>
      </c>
      <c r="Q1022" s="20">
        <v>67.784999999999997</v>
      </c>
      <c r="R1022" s="21"/>
    </row>
    <row r="1023" spans="1:18">
      <c r="A1023" s="14">
        <v>41662</v>
      </c>
      <c r="B1023" s="15">
        <v>114.6</v>
      </c>
      <c r="C1023" s="15">
        <v>115.2</v>
      </c>
      <c r="F1023">
        <v>11</v>
      </c>
      <c r="G1023">
        <v>15</v>
      </c>
      <c r="H1023">
        <v>2016</v>
      </c>
      <c r="I1023" s="41">
        <v>42689</v>
      </c>
      <c r="J1023" s="38">
        <v>3122.56</v>
      </c>
      <c r="K1023" s="21">
        <v>551.47</v>
      </c>
      <c r="L1023" s="22">
        <v>7.4915000000000003</v>
      </c>
      <c r="M1023" s="23">
        <v>20.2712</v>
      </c>
      <c r="N1023" s="22">
        <v>3.4171</v>
      </c>
      <c r="O1023" s="22">
        <v>3.4403999999999999</v>
      </c>
      <c r="P1023" s="21">
        <v>13362.5</v>
      </c>
      <c r="Q1023" s="20">
        <v>67.786000000000001</v>
      </c>
      <c r="R1023" s="21"/>
    </row>
    <row r="1024" spans="1:18">
      <c r="A1024" s="14">
        <v>41663</v>
      </c>
      <c r="B1024" s="15">
        <v>113.65</v>
      </c>
      <c r="C1024" s="15">
        <v>114.4</v>
      </c>
      <c r="F1024">
        <v>11</v>
      </c>
      <c r="G1024">
        <v>16</v>
      </c>
      <c r="H1024">
        <v>2016</v>
      </c>
      <c r="I1024" s="41">
        <v>42690</v>
      </c>
      <c r="J1024" s="38">
        <v>3131.1</v>
      </c>
      <c r="K1024" s="21">
        <v>553.97</v>
      </c>
      <c r="L1024" s="22">
        <v>7.4885000000000002</v>
      </c>
      <c r="M1024" s="23">
        <v>20.209499999999998</v>
      </c>
      <c r="N1024" s="22">
        <v>3.4047000000000001</v>
      </c>
      <c r="O1024" s="22">
        <v>3.42</v>
      </c>
      <c r="P1024" s="21">
        <v>13377.5</v>
      </c>
      <c r="Q1024" s="20">
        <v>67.998999999999995</v>
      </c>
      <c r="R1024" s="21"/>
    </row>
    <row r="1025" spans="1:18">
      <c r="A1025" s="14">
        <v>41666</v>
      </c>
      <c r="B1025" s="15">
        <v>113.15</v>
      </c>
      <c r="C1025" s="15">
        <v>113.85</v>
      </c>
      <c r="F1025">
        <v>11</v>
      </c>
      <c r="G1025">
        <v>17</v>
      </c>
      <c r="H1025">
        <v>2016</v>
      </c>
      <c r="I1025" s="41">
        <v>42691</v>
      </c>
      <c r="J1025" s="38">
        <v>3157.35</v>
      </c>
      <c r="K1025" s="21">
        <v>556.04999999999995</v>
      </c>
      <c r="L1025" s="22">
        <v>7.49</v>
      </c>
      <c r="M1025" s="23">
        <v>20.425000000000001</v>
      </c>
      <c r="N1025" s="22">
        <v>3.4033000000000002</v>
      </c>
      <c r="O1025" s="22">
        <v>3.4192999999999998</v>
      </c>
      <c r="P1025" s="21">
        <v>13372.5</v>
      </c>
      <c r="Q1025" s="20">
        <v>68.022999999999996</v>
      </c>
      <c r="R1025" s="21"/>
    </row>
    <row r="1026" spans="1:18">
      <c r="A1026" s="14">
        <v>41667</v>
      </c>
      <c r="B1026" s="15">
        <v>113.3</v>
      </c>
      <c r="C1026" s="15">
        <v>114.65</v>
      </c>
      <c r="F1026">
        <v>11</v>
      </c>
      <c r="G1026">
        <v>18</v>
      </c>
      <c r="H1026">
        <v>2016</v>
      </c>
      <c r="I1026" s="41">
        <v>42692</v>
      </c>
      <c r="J1026" s="38">
        <v>3182.2</v>
      </c>
      <c r="K1026" s="21">
        <v>551.33000000000004</v>
      </c>
      <c r="L1026" s="22">
        <v>7.4924999999999997</v>
      </c>
      <c r="M1026" s="23">
        <v>20.635000000000002</v>
      </c>
      <c r="N1026" s="22">
        <v>3.4079999999999999</v>
      </c>
      <c r="O1026" s="22">
        <v>3.3835000000000002</v>
      </c>
      <c r="P1026" s="21">
        <v>13427.5</v>
      </c>
      <c r="Q1026" s="20">
        <v>68.191000000000003</v>
      </c>
      <c r="R1026" s="21"/>
    </row>
    <row r="1027" spans="1:18">
      <c r="A1027" s="14">
        <v>41668</v>
      </c>
      <c r="B1027" s="15">
        <v>113.7</v>
      </c>
      <c r="C1027" s="15">
        <v>117.1</v>
      </c>
      <c r="F1027">
        <v>11</v>
      </c>
      <c r="G1027">
        <v>21</v>
      </c>
      <c r="H1027">
        <v>2016</v>
      </c>
      <c r="I1027" s="41">
        <v>42695</v>
      </c>
      <c r="J1027" s="38">
        <v>3147.5</v>
      </c>
      <c r="K1027" s="21">
        <v>553.03</v>
      </c>
      <c r="L1027" s="22">
        <v>7.5065</v>
      </c>
      <c r="M1027" s="23">
        <v>20.453800000000001</v>
      </c>
      <c r="N1027" s="22">
        <v>3.419</v>
      </c>
      <c r="O1027" s="22">
        <v>3.3525</v>
      </c>
      <c r="P1027" s="21">
        <v>13425</v>
      </c>
      <c r="Q1027" s="20">
        <v>68.227999999999994</v>
      </c>
      <c r="R1027" s="21"/>
    </row>
    <row r="1028" spans="1:18">
      <c r="A1028" s="14">
        <v>41669</v>
      </c>
      <c r="B1028" s="15">
        <v>117.15</v>
      </c>
      <c r="C1028" s="15">
        <v>120</v>
      </c>
      <c r="F1028">
        <v>11</v>
      </c>
      <c r="G1028">
        <v>22</v>
      </c>
      <c r="H1028">
        <v>2016</v>
      </c>
      <c r="I1028" s="41">
        <v>42696</v>
      </c>
      <c r="J1028" s="38">
        <v>3151.24</v>
      </c>
      <c r="K1028" s="21">
        <v>554.39</v>
      </c>
      <c r="L1028" s="22">
        <v>7.5049999999999999</v>
      </c>
      <c r="M1028" s="23">
        <v>20.5885</v>
      </c>
      <c r="N1028" s="22">
        <v>3.4175</v>
      </c>
      <c r="O1028" s="22">
        <v>3.355</v>
      </c>
      <c r="P1028" s="21">
        <v>13442.5</v>
      </c>
      <c r="Q1028" s="20">
        <v>68.396000000000001</v>
      </c>
      <c r="R1028" s="21"/>
    </row>
    <row r="1029" spans="1:18">
      <c r="A1029" s="14">
        <v>41670</v>
      </c>
      <c r="B1029" s="15">
        <v>120</v>
      </c>
      <c r="C1029" s="15">
        <v>125.2</v>
      </c>
      <c r="F1029">
        <v>11</v>
      </c>
      <c r="G1029">
        <v>23</v>
      </c>
      <c r="H1029">
        <v>2016</v>
      </c>
      <c r="I1029" s="41">
        <v>42697</v>
      </c>
      <c r="J1029" s="38">
        <v>3173</v>
      </c>
      <c r="K1029" s="21">
        <v>551.5</v>
      </c>
      <c r="L1029" s="22">
        <v>7.5084999999999997</v>
      </c>
      <c r="M1029" s="23">
        <v>20.645</v>
      </c>
      <c r="N1029" s="22">
        <v>3.4239999999999999</v>
      </c>
      <c r="O1029" s="22">
        <v>3.3944999999999999</v>
      </c>
      <c r="P1029" s="21">
        <v>13482.5</v>
      </c>
      <c r="Q1029" s="20">
        <v>68.784000000000006</v>
      </c>
      <c r="R1029" s="21"/>
    </row>
    <row r="1030" spans="1:18">
      <c r="A1030" s="14">
        <v>41673</v>
      </c>
      <c r="B1030" s="15">
        <v>125</v>
      </c>
      <c r="C1030" s="15">
        <v>135.94999999999999</v>
      </c>
      <c r="F1030">
        <v>11</v>
      </c>
      <c r="G1030">
        <v>24</v>
      </c>
      <c r="H1030">
        <v>2016</v>
      </c>
      <c r="I1030" s="41">
        <v>42698</v>
      </c>
      <c r="J1030" s="38">
        <v>3169.78</v>
      </c>
      <c r="K1030" s="21">
        <v>551.45000000000005</v>
      </c>
      <c r="L1030" s="22">
        <v>7.5084999999999997</v>
      </c>
      <c r="M1030" s="23">
        <v>20.741499999999998</v>
      </c>
      <c r="N1030" s="22">
        <v>3.4125000000000001</v>
      </c>
      <c r="O1030" s="22">
        <v>3.3915000000000002</v>
      </c>
      <c r="P1030" s="21">
        <v>13557.5</v>
      </c>
      <c r="Q1030" s="20">
        <v>68.760999999999996</v>
      </c>
      <c r="R1030" s="21"/>
    </row>
    <row r="1031" spans="1:18">
      <c r="A1031" s="14">
        <v>41674</v>
      </c>
      <c r="B1031" s="15">
        <v>133.05000000000001</v>
      </c>
      <c r="C1031" s="15">
        <v>136.25</v>
      </c>
      <c r="F1031">
        <v>11</v>
      </c>
      <c r="G1031">
        <v>25</v>
      </c>
      <c r="H1031">
        <v>2016</v>
      </c>
      <c r="I1031" s="41">
        <v>42699</v>
      </c>
      <c r="J1031" s="38">
        <v>3177.5</v>
      </c>
      <c r="K1031" s="21">
        <v>552.04999999999995</v>
      </c>
      <c r="L1031" s="22">
        <v>7.5164999999999997</v>
      </c>
      <c r="M1031" s="23">
        <v>20.691500000000001</v>
      </c>
      <c r="N1031" s="22">
        <v>3.419</v>
      </c>
      <c r="O1031" s="22">
        <v>3.4222999999999999</v>
      </c>
      <c r="P1031" s="21">
        <v>13517.5</v>
      </c>
      <c r="Q1031" s="20">
        <v>68.519000000000005</v>
      </c>
      <c r="R1031" s="21"/>
    </row>
    <row r="1032" spans="1:18">
      <c r="A1032" s="14">
        <v>41675</v>
      </c>
      <c r="B1032" s="15">
        <v>134.25</v>
      </c>
      <c r="C1032" s="15">
        <v>143.1</v>
      </c>
      <c r="F1032">
        <v>11</v>
      </c>
      <c r="G1032">
        <v>28</v>
      </c>
      <c r="H1032">
        <v>2016</v>
      </c>
      <c r="I1032" s="41">
        <v>42702</v>
      </c>
      <c r="J1032" s="38">
        <v>3151</v>
      </c>
      <c r="K1032" s="21">
        <v>551.78</v>
      </c>
      <c r="L1032" s="22">
        <v>7.5164999999999997</v>
      </c>
      <c r="M1032" s="23">
        <v>20.632999999999999</v>
      </c>
      <c r="N1032" s="22">
        <v>3.4178999999999999</v>
      </c>
      <c r="O1032" s="22">
        <v>3.3858999999999999</v>
      </c>
      <c r="P1032" s="21">
        <v>13530</v>
      </c>
      <c r="Q1032" s="20">
        <v>68.578999999999994</v>
      </c>
      <c r="R1032" s="21"/>
    </row>
    <row r="1033" spans="1:18">
      <c r="A1033" s="14">
        <v>41676</v>
      </c>
      <c r="B1033" s="15">
        <v>134.80000000000001</v>
      </c>
      <c r="C1033" s="15">
        <v>135.75</v>
      </c>
      <c r="F1033">
        <v>11</v>
      </c>
      <c r="G1033">
        <v>29</v>
      </c>
      <c r="H1033">
        <v>2016</v>
      </c>
      <c r="I1033" s="41">
        <v>42703</v>
      </c>
      <c r="J1033" s="38">
        <v>3161</v>
      </c>
      <c r="K1033" s="21">
        <v>552.75</v>
      </c>
      <c r="L1033" s="22">
        <v>7.5145</v>
      </c>
      <c r="M1033" s="23">
        <v>20.617000000000001</v>
      </c>
      <c r="N1033" s="22">
        <v>3.4161999999999999</v>
      </c>
      <c r="O1033" s="22">
        <v>3.399</v>
      </c>
      <c r="P1033" s="21">
        <v>13572.5</v>
      </c>
      <c r="Q1033" s="20">
        <v>68.614999999999995</v>
      </c>
      <c r="R1033" s="21"/>
    </row>
    <row r="1034" spans="1:18">
      <c r="A1034" s="14">
        <v>41677</v>
      </c>
      <c r="B1034" s="15">
        <v>132.05000000000001</v>
      </c>
      <c r="C1034" s="15">
        <v>135.69999999999999</v>
      </c>
      <c r="F1034">
        <v>11</v>
      </c>
      <c r="G1034">
        <v>30</v>
      </c>
      <c r="H1034">
        <v>2016</v>
      </c>
      <c r="I1034" s="41">
        <v>42704</v>
      </c>
      <c r="J1034" s="38">
        <v>3075</v>
      </c>
      <c r="K1034" s="21">
        <v>552.29999999999995</v>
      </c>
      <c r="L1034" s="22">
        <v>7.5170000000000003</v>
      </c>
      <c r="M1034" s="23">
        <v>20.571999999999999</v>
      </c>
      <c r="N1034" s="22">
        <v>3.415</v>
      </c>
      <c r="O1034" s="22">
        <v>3.3841999999999999</v>
      </c>
      <c r="P1034" s="21">
        <v>13552.5</v>
      </c>
      <c r="Q1034" s="20">
        <v>68.597999999999999</v>
      </c>
      <c r="R1034" s="21"/>
    </row>
    <row r="1035" spans="1:18">
      <c r="A1035" s="14">
        <v>41680</v>
      </c>
      <c r="B1035" s="15">
        <v>132.9</v>
      </c>
      <c r="C1035" s="15">
        <v>136.19999999999999</v>
      </c>
      <c r="F1035">
        <v>12</v>
      </c>
      <c r="G1035">
        <v>1</v>
      </c>
      <c r="H1035">
        <v>2016</v>
      </c>
      <c r="I1035" s="41">
        <v>42705</v>
      </c>
      <c r="J1035" s="38">
        <v>3073.45</v>
      </c>
      <c r="K1035" s="21">
        <v>550.25</v>
      </c>
      <c r="L1035" s="22">
        <v>7.5175000000000001</v>
      </c>
      <c r="M1035" s="23">
        <v>20.767499999999998</v>
      </c>
      <c r="N1035" s="22">
        <v>3.4175</v>
      </c>
      <c r="O1035" s="22">
        <v>3.4718</v>
      </c>
      <c r="P1035" s="21">
        <v>13545</v>
      </c>
      <c r="Q1035" s="20">
        <v>68.236000000000004</v>
      </c>
      <c r="R1035" s="21"/>
    </row>
    <row r="1036" spans="1:18">
      <c r="A1036" s="14">
        <v>41681</v>
      </c>
      <c r="B1036" s="15">
        <v>135.5</v>
      </c>
      <c r="C1036" s="15">
        <v>137.15</v>
      </c>
      <c r="F1036">
        <v>12</v>
      </c>
      <c r="G1036">
        <v>2</v>
      </c>
      <c r="H1036">
        <v>2016</v>
      </c>
      <c r="I1036" s="41">
        <v>42706</v>
      </c>
      <c r="J1036" s="38">
        <v>3085</v>
      </c>
      <c r="K1036" s="21">
        <v>550.15</v>
      </c>
      <c r="L1036" s="22">
        <v>7.5305</v>
      </c>
      <c r="M1036" s="23">
        <v>20.627500000000001</v>
      </c>
      <c r="N1036" s="22">
        <v>3.415</v>
      </c>
      <c r="O1036" s="22">
        <v>3.4754999999999998</v>
      </c>
      <c r="P1036" s="21">
        <v>13525</v>
      </c>
      <c r="Q1036" s="20">
        <v>68.031000000000006</v>
      </c>
      <c r="R1036" s="21"/>
    </row>
    <row r="1037" spans="1:18">
      <c r="A1037" s="14">
        <v>41682</v>
      </c>
      <c r="B1037" s="15">
        <v>135.5</v>
      </c>
      <c r="C1037" s="15">
        <v>141.05000000000001</v>
      </c>
      <c r="F1037">
        <v>12</v>
      </c>
      <c r="G1037">
        <v>5</v>
      </c>
      <c r="H1037">
        <v>2016</v>
      </c>
      <c r="I1037" s="41">
        <v>42709</v>
      </c>
      <c r="J1037" s="38">
        <v>3037.03</v>
      </c>
      <c r="K1037" s="21">
        <v>552.83000000000004</v>
      </c>
      <c r="L1037" s="22">
        <v>7.5350000000000001</v>
      </c>
      <c r="M1037" s="23">
        <v>20.591999999999999</v>
      </c>
      <c r="N1037" s="22">
        <v>3.4177</v>
      </c>
      <c r="O1037" s="22">
        <v>3.4215</v>
      </c>
      <c r="P1037" s="21">
        <v>13432.5</v>
      </c>
      <c r="Q1037" s="20">
        <v>68.025000000000006</v>
      </c>
      <c r="R1037" s="21"/>
    </row>
    <row r="1038" spans="1:18">
      <c r="A1038" s="14">
        <v>41683</v>
      </c>
      <c r="B1038" s="15">
        <v>136.35</v>
      </c>
      <c r="C1038" s="15">
        <v>139.69999999999999</v>
      </c>
      <c r="F1038">
        <v>12</v>
      </c>
      <c r="G1038">
        <v>6</v>
      </c>
      <c r="H1038">
        <v>2016</v>
      </c>
      <c r="I1038" s="41">
        <v>42710</v>
      </c>
      <c r="J1038" s="38">
        <v>3002.5</v>
      </c>
      <c r="K1038" s="21">
        <v>550.20000000000005</v>
      </c>
      <c r="L1038" s="22">
        <v>7.5354999999999999</v>
      </c>
      <c r="M1038" s="23">
        <v>20.396000000000001</v>
      </c>
      <c r="N1038" s="22">
        <v>3.4135</v>
      </c>
      <c r="O1038" s="22">
        <v>3.4079999999999999</v>
      </c>
      <c r="P1038" s="21">
        <v>13382.5</v>
      </c>
      <c r="Q1038" s="20">
        <v>67.742000000000004</v>
      </c>
      <c r="R1038" s="21"/>
    </row>
    <row r="1039" spans="1:18">
      <c r="A1039" s="14">
        <v>41684</v>
      </c>
      <c r="B1039" s="15">
        <v>137.19999999999999</v>
      </c>
      <c r="C1039" s="15">
        <v>139.9</v>
      </c>
      <c r="F1039">
        <v>12</v>
      </c>
      <c r="G1039">
        <v>7</v>
      </c>
      <c r="H1039">
        <v>2016</v>
      </c>
      <c r="I1039" s="41">
        <v>42711</v>
      </c>
      <c r="J1039" s="38">
        <v>3003.41</v>
      </c>
      <c r="K1039" s="21">
        <v>550.11</v>
      </c>
      <c r="L1039" s="22">
        <v>7.5294999999999996</v>
      </c>
      <c r="M1039" s="23">
        <v>20.332999999999998</v>
      </c>
      <c r="N1039" s="22">
        <v>3.4035000000000002</v>
      </c>
      <c r="O1039" s="22">
        <v>3.383</v>
      </c>
      <c r="P1039" s="21">
        <v>13325</v>
      </c>
      <c r="Q1039" s="20">
        <v>67.438000000000002</v>
      </c>
      <c r="R1039" s="21"/>
    </row>
    <row r="1040" spans="1:18">
      <c r="A1040" s="14">
        <v>41688</v>
      </c>
      <c r="B1040" s="15">
        <v>138.75</v>
      </c>
      <c r="C1040" s="15">
        <v>152.65</v>
      </c>
      <c r="F1040">
        <v>12</v>
      </c>
      <c r="G1040">
        <v>8</v>
      </c>
      <c r="H1040">
        <v>2016</v>
      </c>
      <c r="I1040" s="41">
        <v>42712</v>
      </c>
      <c r="J1040" s="38">
        <v>3003.5</v>
      </c>
      <c r="K1040" s="21">
        <v>552.83000000000004</v>
      </c>
      <c r="L1040" s="22">
        <v>7.5350000000000001</v>
      </c>
      <c r="M1040" s="23">
        <v>20.302499999999998</v>
      </c>
      <c r="N1040" s="22">
        <v>3.403</v>
      </c>
      <c r="O1040" s="22">
        <v>3.3755000000000002</v>
      </c>
      <c r="P1040" s="21">
        <v>13286.5</v>
      </c>
      <c r="Q1040" s="20">
        <v>67.546000000000006</v>
      </c>
      <c r="R1040" s="21"/>
    </row>
    <row r="1041" spans="1:18">
      <c r="A1041" s="14">
        <v>41689</v>
      </c>
      <c r="B1041" s="15">
        <v>150.85</v>
      </c>
      <c r="C1041" s="15">
        <v>171.75</v>
      </c>
      <c r="F1041">
        <v>12</v>
      </c>
      <c r="G1041">
        <v>9</v>
      </c>
      <c r="H1041">
        <v>2016</v>
      </c>
      <c r="I1041" s="41">
        <v>42713</v>
      </c>
      <c r="J1041" s="38">
        <v>3007.65</v>
      </c>
      <c r="K1041" s="21">
        <v>550.03</v>
      </c>
      <c r="L1041" s="22">
        <v>7.5114999999999998</v>
      </c>
      <c r="M1041" s="23">
        <v>20.393799999999999</v>
      </c>
      <c r="N1041" s="22">
        <v>3.419</v>
      </c>
      <c r="O1041" s="22">
        <v>3.3784999999999998</v>
      </c>
      <c r="P1041" s="21">
        <v>13327.5</v>
      </c>
      <c r="Q1041" s="20">
        <v>67.47</v>
      </c>
      <c r="R1041" s="21"/>
    </row>
    <row r="1042" spans="1:18">
      <c r="A1042" s="14">
        <v>41690</v>
      </c>
      <c r="B1042" s="15">
        <v>161.80000000000001</v>
      </c>
      <c r="C1042" s="15">
        <v>168.8</v>
      </c>
      <c r="F1042">
        <v>12</v>
      </c>
      <c r="G1042">
        <v>12</v>
      </c>
      <c r="H1042">
        <v>2016</v>
      </c>
      <c r="I1042" s="41">
        <v>42716</v>
      </c>
      <c r="J1042" s="38">
        <v>2995</v>
      </c>
      <c r="K1042" s="21">
        <v>550</v>
      </c>
      <c r="L1042" s="22">
        <v>7.5025000000000004</v>
      </c>
      <c r="M1042" s="23">
        <v>20.215299999999999</v>
      </c>
      <c r="N1042" s="22">
        <v>3.4005000000000001</v>
      </c>
      <c r="O1042" s="22">
        <v>3.3388</v>
      </c>
      <c r="P1042" s="21">
        <v>13327.5</v>
      </c>
      <c r="Q1042" s="20">
        <v>67.430999999999997</v>
      </c>
      <c r="R1042" s="21"/>
    </row>
    <row r="1043" spans="1:18">
      <c r="A1043" s="14">
        <v>41691</v>
      </c>
      <c r="B1043" s="15">
        <v>167.8</v>
      </c>
      <c r="C1043" s="15">
        <v>168.55</v>
      </c>
      <c r="F1043">
        <v>12</v>
      </c>
      <c r="G1043">
        <v>13</v>
      </c>
      <c r="H1043">
        <v>2016</v>
      </c>
      <c r="I1043" s="41">
        <v>42717</v>
      </c>
      <c r="J1043" s="38">
        <v>2970</v>
      </c>
      <c r="K1043" s="21">
        <v>552.83000000000004</v>
      </c>
      <c r="L1043" s="22">
        <v>7.5350000000000001</v>
      </c>
      <c r="M1043" s="23">
        <v>20.2805</v>
      </c>
      <c r="N1043" s="22">
        <v>3.395</v>
      </c>
      <c r="O1043" s="22">
        <v>3.3355000000000001</v>
      </c>
      <c r="P1043" s="21">
        <v>13307.5</v>
      </c>
      <c r="Q1043" s="20">
        <v>67.411000000000001</v>
      </c>
      <c r="R1043" s="21"/>
    </row>
    <row r="1044" spans="1:18">
      <c r="A1044" s="14">
        <v>41694</v>
      </c>
      <c r="B1044" s="15">
        <v>169.45</v>
      </c>
      <c r="C1044" s="15">
        <v>175.6</v>
      </c>
      <c r="F1044">
        <v>12</v>
      </c>
      <c r="G1044">
        <v>14</v>
      </c>
      <c r="H1044">
        <v>2016</v>
      </c>
      <c r="I1044" s="41">
        <v>42718</v>
      </c>
      <c r="J1044" s="38">
        <v>2962.35</v>
      </c>
      <c r="K1044" s="21">
        <v>550.05999999999995</v>
      </c>
      <c r="L1044" s="22">
        <v>7.5025000000000004</v>
      </c>
      <c r="M1044" s="23">
        <v>20.471</v>
      </c>
      <c r="N1044" s="22">
        <v>3.3864999999999998</v>
      </c>
      <c r="O1044" s="22">
        <v>3.3704999999999998</v>
      </c>
      <c r="P1044" s="21">
        <v>13296</v>
      </c>
      <c r="Q1044" s="20">
        <v>67.474999999999994</v>
      </c>
      <c r="R1044" s="21"/>
    </row>
    <row r="1045" spans="1:18">
      <c r="A1045" s="14">
        <v>41695</v>
      </c>
      <c r="B1045" s="15">
        <v>173.2</v>
      </c>
      <c r="C1045" s="15">
        <v>175.65</v>
      </c>
      <c r="F1045">
        <v>12</v>
      </c>
      <c r="G1045">
        <v>15</v>
      </c>
      <c r="H1045">
        <v>2016</v>
      </c>
      <c r="I1045" s="41">
        <v>42719</v>
      </c>
      <c r="J1045" s="38">
        <v>3001.5</v>
      </c>
      <c r="K1045" s="21">
        <v>550.02</v>
      </c>
      <c r="L1045" s="22">
        <v>7.5004999999999997</v>
      </c>
      <c r="M1045" s="23">
        <v>20.334499999999998</v>
      </c>
      <c r="N1045" s="22">
        <v>3.4022000000000001</v>
      </c>
      <c r="O1045" s="22">
        <v>3.3694999999999999</v>
      </c>
      <c r="P1045" s="21">
        <v>13397.5</v>
      </c>
      <c r="Q1045" s="20">
        <v>67.856999999999999</v>
      </c>
      <c r="R1045" s="21"/>
    </row>
    <row r="1046" spans="1:18">
      <c r="A1046" s="14">
        <v>41696</v>
      </c>
      <c r="B1046" s="15">
        <v>171.65</v>
      </c>
      <c r="C1046" s="15">
        <v>177.1</v>
      </c>
      <c r="F1046">
        <v>12</v>
      </c>
      <c r="G1046">
        <v>16</v>
      </c>
      <c r="H1046">
        <v>2016</v>
      </c>
      <c r="I1046" s="41">
        <v>42720</v>
      </c>
      <c r="J1046" s="38">
        <v>3008</v>
      </c>
      <c r="K1046" s="21">
        <v>550.08000000000004</v>
      </c>
      <c r="L1046" s="22">
        <v>7.5004999999999997</v>
      </c>
      <c r="M1046" s="23">
        <v>20.436499999999999</v>
      </c>
      <c r="N1046" s="22">
        <v>3.4024999999999999</v>
      </c>
      <c r="O1046" s="22">
        <v>3.3919999999999999</v>
      </c>
      <c r="P1046" s="21">
        <v>13390</v>
      </c>
      <c r="Q1046" s="20">
        <v>67.855000000000004</v>
      </c>
      <c r="R1046" s="21"/>
    </row>
    <row r="1047" spans="1:18">
      <c r="A1047" s="14">
        <v>41697</v>
      </c>
      <c r="B1047" s="15">
        <v>176.7</v>
      </c>
      <c r="C1047" s="15">
        <v>178.75</v>
      </c>
      <c r="F1047">
        <v>12</v>
      </c>
      <c r="G1047">
        <v>19</v>
      </c>
      <c r="H1047">
        <v>2016</v>
      </c>
      <c r="I1047" s="41">
        <v>42723</v>
      </c>
      <c r="J1047" s="38">
        <v>3007.84</v>
      </c>
      <c r="K1047" s="21">
        <v>550.05999999999995</v>
      </c>
      <c r="L1047" s="22">
        <v>7.4874999999999998</v>
      </c>
      <c r="M1047" s="23">
        <v>20.388000000000002</v>
      </c>
      <c r="N1047" s="22">
        <v>3.4177</v>
      </c>
      <c r="O1047" s="22">
        <v>3.3650000000000002</v>
      </c>
      <c r="P1047" s="21">
        <v>13384</v>
      </c>
      <c r="Q1047" s="20">
        <v>67.843999999999994</v>
      </c>
      <c r="R1047" s="21"/>
    </row>
    <row r="1048" spans="1:18">
      <c r="A1048" s="14">
        <v>41698</v>
      </c>
      <c r="B1048" s="15">
        <v>176.55</v>
      </c>
      <c r="C1048" s="15">
        <v>179.8</v>
      </c>
      <c r="F1048">
        <v>12</v>
      </c>
      <c r="G1048">
        <v>20</v>
      </c>
      <c r="H1048">
        <v>2016</v>
      </c>
      <c r="I1048" s="41">
        <v>42724</v>
      </c>
      <c r="J1048" s="38">
        <v>2997</v>
      </c>
      <c r="K1048" s="21">
        <v>550.45000000000005</v>
      </c>
      <c r="L1048" s="22">
        <v>7.4714999999999998</v>
      </c>
      <c r="M1048" s="23">
        <v>20.461300000000001</v>
      </c>
      <c r="N1048" s="22">
        <v>3.4</v>
      </c>
      <c r="O1048" s="22">
        <v>3.3546999999999998</v>
      </c>
      <c r="P1048" s="21">
        <v>13427.5</v>
      </c>
      <c r="Q1048" s="20">
        <v>67.917000000000002</v>
      </c>
      <c r="R1048" s="21"/>
    </row>
    <row r="1049" spans="1:18">
      <c r="A1049" s="14">
        <v>41701</v>
      </c>
      <c r="B1049" s="15">
        <v>177.1</v>
      </c>
      <c r="C1049" s="15">
        <v>192.6</v>
      </c>
      <c r="F1049">
        <v>12</v>
      </c>
      <c r="G1049">
        <v>21</v>
      </c>
      <c r="H1049">
        <v>2016</v>
      </c>
      <c r="I1049" s="41">
        <v>42725</v>
      </c>
      <c r="J1049" s="38">
        <v>2996</v>
      </c>
      <c r="K1049" s="21">
        <v>551.4</v>
      </c>
      <c r="L1049" s="22">
        <v>7.4725000000000001</v>
      </c>
      <c r="M1049" s="23">
        <v>20.5562</v>
      </c>
      <c r="N1049" s="22">
        <v>3.3915000000000002</v>
      </c>
      <c r="O1049" s="22">
        <v>3.327</v>
      </c>
      <c r="P1049" s="21">
        <v>13469</v>
      </c>
      <c r="Q1049" s="20">
        <v>67.837000000000003</v>
      </c>
      <c r="R1049" s="21"/>
    </row>
    <row r="1050" spans="1:18">
      <c r="A1050" s="14">
        <v>41702</v>
      </c>
      <c r="B1050" s="15">
        <v>184.9</v>
      </c>
      <c r="C1050" s="15">
        <v>185.15</v>
      </c>
      <c r="F1050">
        <v>12</v>
      </c>
      <c r="G1050">
        <v>22</v>
      </c>
      <c r="H1050">
        <v>2016</v>
      </c>
      <c r="I1050" s="41">
        <v>42726</v>
      </c>
      <c r="J1050" s="38">
        <v>2997.5</v>
      </c>
      <c r="K1050" s="21">
        <v>553.29999999999995</v>
      </c>
      <c r="L1050" s="22">
        <v>7.4794999999999998</v>
      </c>
      <c r="M1050" s="23">
        <v>20.756</v>
      </c>
      <c r="N1050" s="22">
        <v>3.3919999999999999</v>
      </c>
      <c r="O1050" s="22">
        <v>3.2875000000000001</v>
      </c>
      <c r="P1050" s="21">
        <v>13452.5</v>
      </c>
      <c r="Q1050" s="20">
        <v>67.847999999999999</v>
      </c>
      <c r="R1050" s="21"/>
    </row>
    <row r="1051" spans="1:18">
      <c r="A1051" s="14">
        <v>41703</v>
      </c>
      <c r="B1051" s="15">
        <v>181.5</v>
      </c>
      <c r="C1051" s="15">
        <v>200.65</v>
      </c>
      <c r="F1051">
        <v>12</v>
      </c>
      <c r="G1051">
        <v>23</v>
      </c>
      <c r="H1051">
        <v>2016</v>
      </c>
      <c r="I1051" s="41">
        <v>42727</v>
      </c>
      <c r="J1051" s="38">
        <v>3000</v>
      </c>
      <c r="K1051" s="21">
        <v>554.04999999999995</v>
      </c>
      <c r="L1051" s="22">
        <v>7.4885000000000002</v>
      </c>
      <c r="M1051" s="23">
        <v>20.613499999999998</v>
      </c>
      <c r="N1051" s="22">
        <v>3.3805000000000001</v>
      </c>
      <c r="O1051" s="22">
        <v>3.2709999999999999</v>
      </c>
      <c r="P1051" s="21">
        <v>13450</v>
      </c>
      <c r="Q1051" s="20">
        <v>67.837000000000003</v>
      </c>
      <c r="R1051" s="21"/>
    </row>
    <row r="1052" spans="1:18">
      <c r="A1052" s="14">
        <v>41704</v>
      </c>
      <c r="B1052" s="15">
        <v>192.9</v>
      </c>
      <c r="C1052" s="15">
        <v>194.8</v>
      </c>
      <c r="F1052">
        <v>12</v>
      </c>
      <c r="G1052">
        <v>26</v>
      </c>
      <c r="H1052">
        <v>2016</v>
      </c>
      <c r="I1052" s="41">
        <v>42730</v>
      </c>
      <c r="J1052" s="38">
        <v>3000</v>
      </c>
      <c r="K1052" s="21">
        <v>553.05999999999995</v>
      </c>
      <c r="L1052" s="22">
        <v>7.4885000000000002</v>
      </c>
      <c r="M1052" s="23">
        <v>20.633700000000001</v>
      </c>
      <c r="N1052" s="22">
        <v>3.3875000000000002</v>
      </c>
      <c r="O1052" s="22">
        <v>3.2770000000000001</v>
      </c>
      <c r="P1052" s="21">
        <v>13450</v>
      </c>
      <c r="Q1052" s="20">
        <v>67.760000000000005</v>
      </c>
      <c r="R1052" s="21"/>
    </row>
    <row r="1053" spans="1:18">
      <c r="A1053" s="14">
        <v>41705</v>
      </c>
      <c r="B1053" s="15">
        <v>197</v>
      </c>
      <c r="C1053" s="15">
        <v>196.05</v>
      </c>
      <c r="F1053">
        <v>12</v>
      </c>
      <c r="G1053">
        <v>27</v>
      </c>
      <c r="H1053">
        <v>2016</v>
      </c>
      <c r="I1053" s="41">
        <v>42731</v>
      </c>
      <c r="J1053" s="38">
        <v>2995.05</v>
      </c>
      <c r="K1053" s="21">
        <v>551</v>
      </c>
      <c r="L1053" s="22">
        <v>7.5350000000000001</v>
      </c>
      <c r="M1053" s="23">
        <v>20.751799999999999</v>
      </c>
      <c r="N1053" s="22">
        <v>3.3755000000000002</v>
      </c>
      <c r="O1053" s="22">
        <v>3.2711999999999999</v>
      </c>
      <c r="P1053" s="21">
        <v>13447.5</v>
      </c>
      <c r="Q1053" s="20">
        <v>67.977999999999994</v>
      </c>
      <c r="R1053" s="21"/>
    </row>
    <row r="1054" spans="1:18">
      <c r="A1054" s="14">
        <v>41708</v>
      </c>
      <c r="B1054" s="15">
        <v>201.5</v>
      </c>
      <c r="C1054" s="15">
        <v>202.5</v>
      </c>
      <c r="F1054">
        <v>12</v>
      </c>
      <c r="G1054">
        <v>28</v>
      </c>
      <c r="H1054">
        <v>2016</v>
      </c>
      <c r="I1054" s="41">
        <v>42732</v>
      </c>
      <c r="J1054" s="38">
        <v>3026.1</v>
      </c>
      <c r="K1054" s="21">
        <v>553.29999999999995</v>
      </c>
      <c r="L1054" s="22">
        <v>7.5015000000000001</v>
      </c>
      <c r="M1054" s="23">
        <v>20.751999999999999</v>
      </c>
      <c r="N1054" s="22">
        <v>3.3544</v>
      </c>
      <c r="O1054" s="22">
        <v>3.2845</v>
      </c>
      <c r="P1054" s="21">
        <v>13442.5</v>
      </c>
      <c r="Q1054" s="20">
        <v>68.233000000000004</v>
      </c>
      <c r="R1054" s="21"/>
    </row>
    <row r="1055" spans="1:18">
      <c r="A1055" s="14">
        <v>41709</v>
      </c>
      <c r="B1055" s="15">
        <v>206.5</v>
      </c>
      <c r="C1055" s="15">
        <v>205.05</v>
      </c>
      <c r="F1055">
        <v>12</v>
      </c>
      <c r="G1055">
        <v>29</v>
      </c>
      <c r="H1055">
        <v>2016</v>
      </c>
      <c r="I1055" s="41">
        <v>42733</v>
      </c>
      <c r="J1055" s="38">
        <v>3002</v>
      </c>
      <c r="K1055" s="21">
        <v>553.26</v>
      </c>
      <c r="L1055" s="22">
        <v>7.5235000000000003</v>
      </c>
      <c r="M1055" s="23">
        <v>20.727499999999999</v>
      </c>
      <c r="N1055" s="22">
        <v>3.3580000000000001</v>
      </c>
      <c r="O1055" s="22">
        <v>3.2547000000000001</v>
      </c>
      <c r="P1055" s="21">
        <v>13462.5</v>
      </c>
      <c r="Q1055" s="20">
        <v>67.935000000000002</v>
      </c>
      <c r="R1055" s="21"/>
    </row>
    <row r="1056" spans="1:18">
      <c r="A1056" s="14">
        <v>41710</v>
      </c>
      <c r="B1056" s="15">
        <v>201.8</v>
      </c>
      <c r="C1056" s="15">
        <v>204.8</v>
      </c>
      <c r="F1056">
        <v>12</v>
      </c>
      <c r="G1056">
        <v>30</v>
      </c>
      <c r="H1056">
        <v>2016</v>
      </c>
      <c r="I1056" s="41">
        <v>42734</v>
      </c>
      <c r="J1056" s="38">
        <v>3002</v>
      </c>
      <c r="K1056" s="21">
        <v>553.16999999999996</v>
      </c>
      <c r="L1056" s="22">
        <v>7.5235000000000003</v>
      </c>
      <c r="M1056" s="23">
        <v>20.727499999999999</v>
      </c>
      <c r="N1056" s="22">
        <v>3.3559999999999999</v>
      </c>
      <c r="O1056" s="22">
        <v>3.2547000000000001</v>
      </c>
      <c r="P1056" s="21">
        <v>13472.5</v>
      </c>
      <c r="Q1056" s="20">
        <v>67.954999999999998</v>
      </c>
      <c r="R1056" s="21"/>
    </row>
    <row r="1057" spans="1:18">
      <c r="A1057" s="14">
        <v>41711</v>
      </c>
      <c r="B1057" s="15">
        <v>205.55</v>
      </c>
      <c r="C1057" s="15">
        <v>205.05</v>
      </c>
      <c r="F1057">
        <v>1</v>
      </c>
      <c r="G1057">
        <v>2</v>
      </c>
      <c r="H1057">
        <v>2017</v>
      </c>
      <c r="I1057" s="41">
        <v>42737</v>
      </c>
      <c r="J1057" s="38">
        <v>3002</v>
      </c>
      <c r="K1057" s="21">
        <v>553.17999999999995</v>
      </c>
      <c r="L1057" s="22">
        <v>7.5235000000000003</v>
      </c>
      <c r="M1057" s="23">
        <v>20.735199999999999</v>
      </c>
      <c r="N1057" s="22">
        <v>3.3690000000000002</v>
      </c>
      <c r="O1057" s="22">
        <v>3.2856999999999998</v>
      </c>
      <c r="P1057" s="21">
        <v>13472.5</v>
      </c>
      <c r="Q1057" s="20">
        <v>68.144999999999996</v>
      </c>
      <c r="R1057" s="21"/>
    </row>
    <row r="1058" spans="1:18">
      <c r="A1058" s="14">
        <v>41712</v>
      </c>
      <c r="B1058" s="15">
        <v>200.5</v>
      </c>
      <c r="C1058" s="15">
        <v>197.85</v>
      </c>
      <c r="F1058">
        <v>1</v>
      </c>
      <c r="G1058">
        <v>3</v>
      </c>
      <c r="H1058">
        <v>2017</v>
      </c>
      <c r="I1058" s="41">
        <v>42738</v>
      </c>
      <c r="J1058" s="38">
        <v>2981.54</v>
      </c>
      <c r="K1058" s="21">
        <v>552.83000000000004</v>
      </c>
      <c r="L1058" s="22">
        <v>7.5350000000000001</v>
      </c>
      <c r="M1058" s="23">
        <v>21.111000000000001</v>
      </c>
      <c r="N1058" s="22">
        <v>3.3940999999999999</v>
      </c>
      <c r="O1058" s="22">
        <v>3.2652000000000001</v>
      </c>
      <c r="P1058" s="21">
        <v>13479.5</v>
      </c>
      <c r="Q1058" s="20">
        <v>68.260000000000005</v>
      </c>
      <c r="R1058" s="21"/>
    </row>
    <row r="1059" spans="1:18">
      <c r="A1059" s="14">
        <v>41715</v>
      </c>
      <c r="B1059" s="15">
        <v>191.2</v>
      </c>
      <c r="C1059" s="15">
        <v>189.9</v>
      </c>
      <c r="F1059">
        <v>1</v>
      </c>
      <c r="G1059">
        <v>4</v>
      </c>
      <c r="H1059">
        <v>2017</v>
      </c>
      <c r="I1059" s="41">
        <v>42739</v>
      </c>
      <c r="J1059" s="38">
        <v>2970.4</v>
      </c>
      <c r="K1059" s="21">
        <v>552.9</v>
      </c>
      <c r="L1059" s="22">
        <v>7.5625</v>
      </c>
      <c r="M1059" s="23">
        <v>21.434699999999999</v>
      </c>
      <c r="N1059" s="22">
        <v>3.3832</v>
      </c>
      <c r="O1059" s="22">
        <v>3.2162999999999999</v>
      </c>
      <c r="P1059" s="21">
        <v>13440</v>
      </c>
      <c r="Q1059" s="20">
        <v>67.885999999999996</v>
      </c>
      <c r="R1059" s="21"/>
    </row>
    <row r="1060" spans="1:18">
      <c r="A1060" s="14">
        <v>41716</v>
      </c>
      <c r="B1060" s="15">
        <v>191</v>
      </c>
      <c r="C1060" s="15">
        <v>190.95</v>
      </c>
      <c r="F1060">
        <v>1</v>
      </c>
      <c r="G1060">
        <v>5</v>
      </c>
      <c r="H1060">
        <v>2017</v>
      </c>
      <c r="I1060" s="41">
        <v>42740</v>
      </c>
      <c r="J1060" s="38">
        <v>2930.76</v>
      </c>
      <c r="K1060" s="21">
        <v>553.78</v>
      </c>
      <c r="L1060" s="22">
        <v>7.5534999999999997</v>
      </c>
      <c r="M1060" s="23">
        <v>21.424700000000001</v>
      </c>
      <c r="N1060" s="22">
        <v>3.3687</v>
      </c>
      <c r="O1060" s="22">
        <v>3.1989999999999998</v>
      </c>
      <c r="P1060" s="21">
        <v>13375</v>
      </c>
      <c r="Q1060" s="20">
        <v>67.742999999999995</v>
      </c>
      <c r="R1060" s="21"/>
    </row>
    <row r="1061" spans="1:18">
      <c r="A1061" s="14">
        <v>41717</v>
      </c>
      <c r="B1061" s="15">
        <v>184.1</v>
      </c>
      <c r="C1061" s="15">
        <v>185.1</v>
      </c>
      <c r="F1061">
        <v>1</v>
      </c>
      <c r="G1061">
        <v>6</v>
      </c>
      <c r="H1061">
        <v>2017</v>
      </c>
      <c r="I1061" s="41">
        <v>42741</v>
      </c>
      <c r="J1061" s="38">
        <v>2929.5</v>
      </c>
      <c r="K1061" s="21">
        <v>551</v>
      </c>
      <c r="L1061" s="22">
        <v>7.5445000000000002</v>
      </c>
      <c r="M1061" s="23">
        <v>21.228999999999999</v>
      </c>
      <c r="N1061" s="22">
        <v>3.3755000000000002</v>
      </c>
      <c r="O1061" s="22">
        <v>3.2241</v>
      </c>
      <c r="P1061" s="21">
        <v>13365</v>
      </c>
      <c r="Q1061" s="20">
        <v>68.114999999999995</v>
      </c>
      <c r="R1061" s="21"/>
    </row>
    <row r="1062" spans="1:18">
      <c r="A1062" s="14">
        <v>41718</v>
      </c>
      <c r="B1062" s="15">
        <v>172.55</v>
      </c>
      <c r="C1062" s="15">
        <v>174.15</v>
      </c>
      <c r="F1062">
        <v>1</v>
      </c>
      <c r="G1062">
        <v>9</v>
      </c>
      <c r="H1062">
        <v>2017</v>
      </c>
      <c r="I1062" s="41">
        <v>42744</v>
      </c>
      <c r="J1062" s="38">
        <v>2927.82</v>
      </c>
      <c r="K1062" s="21">
        <v>556.78</v>
      </c>
      <c r="L1062" s="22">
        <v>7.548</v>
      </c>
      <c r="M1062" s="23">
        <v>21.379000000000001</v>
      </c>
      <c r="N1062" s="22">
        <v>3.3835999999999999</v>
      </c>
      <c r="O1062" s="22">
        <v>3.1968999999999999</v>
      </c>
      <c r="P1062" s="21">
        <v>13365</v>
      </c>
      <c r="Q1062" s="20">
        <v>68.099999999999994</v>
      </c>
      <c r="R1062" s="21"/>
    </row>
    <row r="1063" spans="1:18">
      <c r="A1063" s="14">
        <v>41719</v>
      </c>
      <c r="B1063" s="15">
        <v>168.5</v>
      </c>
      <c r="C1063" s="15">
        <v>171.15</v>
      </c>
      <c r="F1063">
        <v>1</v>
      </c>
      <c r="G1063">
        <v>10</v>
      </c>
      <c r="H1063">
        <v>2017</v>
      </c>
      <c r="I1063" s="41">
        <v>42745</v>
      </c>
      <c r="J1063" s="38">
        <v>2953.82</v>
      </c>
      <c r="K1063" s="21">
        <v>556.58000000000004</v>
      </c>
      <c r="L1063" s="22">
        <v>7.5270000000000001</v>
      </c>
      <c r="M1063" s="23">
        <v>21.803999999999998</v>
      </c>
      <c r="N1063" s="22">
        <v>3.3868999999999998</v>
      </c>
      <c r="O1063" s="22">
        <v>3.1960999999999999</v>
      </c>
      <c r="P1063" s="21">
        <v>13315</v>
      </c>
      <c r="Q1063" s="20">
        <v>68.326999999999998</v>
      </c>
      <c r="R1063" s="21"/>
    </row>
    <row r="1064" spans="1:18">
      <c r="A1064" s="14">
        <v>41722</v>
      </c>
      <c r="B1064" s="15">
        <v>166</v>
      </c>
      <c r="C1064" s="15">
        <v>176.4</v>
      </c>
      <c r="F1064">
        <v>1</v>
      </c>
      <c r="G1064">
        <v>11</v>
      </c>
      <c r="H1064">
        <v>2017</v>
      </c>
      <c r="I1064" s="41">
        <v>42746</v>
      </c>
      <c r="J1064" s="38">
        <v>2972.45</v>
      </c>
      <c r="K1064" s="21">
        <v>554.32000000000005</v>
      </c>
      <c r="L1064" s="22">
        <v>7.5345000000000004</v>
      </c>
      <c r="M1064" s="23">
        <v>21.861000000000001</v>
      </c>
      <c r="N1064" s="22">
        <v>3.3853</v>
      </c>
      <c r="O1064" s="22">
        <v>3.1974999999999998</v>
      </c>
      <c r="P1064" s="21">
        <v>13329</v>
      </c>
      <c r="Q1064" s="20">
        <v>68.311999999999998</v>
      </c>
      <c r="R1064" s="21"/>
    </row>
    <row r="1065" spans="1:18">
      <c r="A1065" s="14">
        <v>41723</v>
      </c>
      <c r="B1065" s="15">
        <v>173.65</v>
      </c>
      <c r="C1065" s="15">
        <v>175.3</v>
      </c>
      <c r="F1065">
        <v>1</v>
      </c>
      <c r="G1065">
        <v>12</v>
      </c>
      <c r="H1065">
        <v>2017</v>
      </c>
      <c r="I1065" s="41">
        <v>42747</v>
      </c>
      <c r="J1065" s="38">
        <v>2924.51</v>
      </c>
      <c r="K1065" s="21">
        <v>554.1</v>
      </c>
      <c r="L1065" s="22">
        <v>7.5315000000000003</v>
      </c>
      <c r="M1065" s="23">
        <v>21.785</v>
      </c>
      <c r="N1065" s="22">
        <v>3.3614999999999999</v>
      </c>
      <c r="O1065" s="22">
        <v>3.1880999999999999</v>
      </c>
      <c r="P1065" s="21">
        <v>13290</v>
      </c>
      <c r="Q1065" s="20">
        <v>68.141000000000005</v>
      </c>
      <c r="R1065" s="21"/>
    </row>
    <row r="1066" spans="1:18">
      <c r="A1066" s="14">
        <v>41724</v>
      </c>
      <c r="B1066" s="15">
        <v>172.15</v>
      </c>
      <c r="C1066" s="15">
        <v>176</v>
      </c>
      <c r="F1066">
        <v>1</v>
      </c>
      <c r="G1066">
        <v>13</v>
      </c>
      <c r="H1066">
        <v>2017</v>
      </c>
      <c r="I1066" s="41">
        <v>42748</v>
      </c>
      <c r="J1066" s="38">
        <v>2945</v>
      </c>
      <c r="K1066" s="21">
        <v>553.6</v>
      </c>
      <c r="L1066" s="22">
        <v>7.5354999999999999</v>
      </c>
      <c r="M1066" s="23">
        <v>21.475000000000001</v>
      </c>
      <c r="N1066" s="22">
        <v>3.3620000000000001</v>
      </c>
      <c r="O1066" s="22">
        <v>3.2212999999999998</v>
      </c>
      <c r="P1066" s="21">
        <v>13331.5</v>
      </c>
      <c r="Q1066" s="20">
        <v>68.180000000000007</v>
      </c>
      <c r="R1066" s="21"/>
    </row>
    <row r="1067" spans="1:18">
      <c r="A1067" s="14">
        <v>41725</v>
      </c>
      <c r="B1067" s="15">
        <v>173.6</v>
      </c>
      <c r="C1067" s="15">
        <v>176.35</v>
      </c>
      <c r="F1067">
        <v>1</v>
      </c>
      <c r="G1067">
        <v>16</v>
      </c>
      <c r="H1067">
        <v>2017</v>
      </c>
      <c r="I1067" s="41">
        <v>42751</v>
      </c>
      <c r="J1067" s="38">
        <v>2942.92</v>
      </c>
      <c r="K1067" s="21">
        <v>553.1</v>
      </c>
      <c r="L1067" s="22">
        <v>7.5475000000000003</v>
      </c>
      <c r="M1067" s="23">
        <v>21.734999999999999</v>
      </c>
      <c r="N1067" s="22">
        <v>3.37</v>
      </c>
      <c r="O1067" s="22">
        <v>3.2418</v>
      </c>
      <c r="P1067" s="21">
        <v>13366.5</v>
      </c>
      <c r="Q1067" s="20">
        <v>68.102999999999994</v>
      </c>
      <c r="R1067" s="21"/>
    </row>
    <row r="1068" spans="1:18">
      <c r="A1068" s="14">
        <v>41726</v>
      </c>
      <c r="B1068" s="15">
        <v>176.4</v>
      </c>
      <c r="C1068" s="15">
        <v>180.6</v>
      </c>
      <c r="F1068">
        <v>1</v>
      </c>
      <c r="G1068">
        <v>17</v>
      </c>
      <c r="H1068">
        <v>2017</v>
      </c>
      <c r="I1068" s="41">
        <v>42752</v>
      </c>
      <c r="J1068" s="38">
        <v>2918.6</v>
      </c>
      <c r="K1068" s="21">
        <v>553.08000000000004</v>
      </c>
      <c r="L1068" s="22">
        <v>7.5495000000000001</v>
      </c>
      <c r="M1068" s="23">
        <v>21.504000000000001</v>
      </c>
      <c r="N1068" s="22">
        <v>3.3437000000000001</v>
      </c>
      <c r="O1068" s="22">
        <v>3.2115</v>
      </c>
      <c r="P1068" s="21">
        <v>13351.5</v>
      </c>
      <c r="Q1068" s="20">
        <v>67.861999999999995</v>
      </c>
      <c r="R1068" s="21"/>
    </row>
    <row r="1069" spans="1:18">
      <c r="A1069" s="14">
        <v>41729</v>
      </c>
      <c r="B1069" s="15">
        <v>174.15</v>
      </c>
      <c r="C1069" s="15">
        <v>177.9</v>
      </c>
      <c r="F1069">
        <v>1</v>
      </c>
      <c r="G1069">
        <v>18</v>
      </c>
      <c r="H1069">
        <v>2017</v>
      </c>
      <c r="I1069" s="41">
        <v>42753</v>
      </c>
      <c r="J1069" s="38">
        <v>2935.57</v>
      </c>
      <c r="K1069" s="21">
        <v>549.66999999999996</v>
      </c>
      <c r="L1069" s="22">
        <v>7.5415000000000001</v>
      </c>
      <c r="M1069" s="23">
        <v>21.928999999999998</v>
      </c>
      <c r="N1069" s="22">
        <v>3.3405</v>
      </c>
      <c r="O1069" s="22">
        <v>3.2309000000000001</v>
      </c>
      <c r="P1069" s="21">
        <v>13342.5</v>
      </c>
      <c r="Q1069" s="20">
        <v>68.22</v>
      </c>
      <c r="R1069" s="21"/>
    </row>
    <row r="1070" spans="1:18">
      <c r="A1070" s="14">
        <v>41730</v>
      </c>
      <c r="B1070" s="15">
        <v>174.25</v>
      </c>
      <c r="C1070" s="15">
        <v>175.25</v>
      </c>
      <c r="F1070">
        <v>1</v>
      </c>
      <c r="G1070">
        <v>19</v>
      </c>
      <c r="H1070">
        <v>2017</v>
      </c>
      <c r="I1070" s="41">
        <v>42754</v>
      </c>
      <c r="J1070" s="38">
        <v>2944.55</v>
      </c>
      <c r="K1070" s="21">
        <v>552.92999999999995</v>
      </c>
      <c r="L1070" s="22">
        <v>7.5359999999999996</v>
      </c>
      <c r="M1070" s="23">
        <v>21.954999999999998</v>
      </c>
      <c r="N1070" s="22">
        <v>3.3159999999999998</v>
      </c>
      <c r="O1070" s="22">
        <v>3.1964999999999999</v>
      </c>
      <c r="P1070" s="21">
        <v>13373</v>
      </c>
      <c r="Q1070" s="20">
        <v>68.099999999999994</v>
      </c>
      <c r="R1070" s="21"/>
    </row>
    <row r="1071" spans="1:18">
      <c r="A1071" s="14">
        <v>41731</v>
      </c>
      <c r="B1071" s="15">
        <v>167.9</v>
      </c>
      <c r="C1071" s="15">
        <v>172.7</v>
      </c>
      <c r="F1071">
        <v>1</v>
      </c>
      <c r="G1071">
        <v>20</v>
      </c>
      <c r="H1071">
        <v>2017</v>
      </c>
      <c r="I1071" s="41">
        <v>42755</v>
      </c>
      <c r="J1071" s="38">
        <v>2921.5</v>
      </c>
      <c r="K1071" s="21">
        <v>553</v>
      </c>
      <c r="L1071" s="22">
        <v>7.5255000000000001</v>
      </c>
      <c r="M1071" s="23">
        <v>21.5945</v>
      </c>
      <c r="N1071" s="22">
        <v>3.2965</v>
      </c>
      <c r="O1071" s="22">
        <v>3.169</v>
      </c>
      <c r="P1071" s="21">
        <v>13410</v>
      </c>
      <c r="Q1071" s="20">
        <v>68.075000000000003</v>
      </c>
      <c r="R1071" s="21"/>
    </row>
    <row r="1072" spans="1:18">
      <c r="A1072" s="14">
        <v>41732</v>
      </c>
      <c r="B1072" s="15">
        <v>170.85</v>
      </c>
      <c r="C1072" s="15">
        <v>174.6</v>
      </c>
      <c r="F1072">
        <v>1</v>
      </c>
      <c r="G1072">
        <v>23</v>
      </c>
      <c r="H1072">
        <v>2017</v>
      </c>
      <c r="I1072" s="41">
        <v>42758</v>
      </c>
      <c r="J1072" s="38">
        <v>2930.75</v>
      </c>
      <c r="K1072" s="21">
        <v>551</v>
      </c>
      <c r="L1072" s="22">
        <v>7.51</v>
      </c>
      <c r="M1072" s="23">
        <v>21.393000000000001</v>
      </c>
      <c r="N1072" s="22">
        <v>3.2930000000000001</v>
      </c>
      <c r="O1072" s="22">
        <v>3.1633</v>
      </c>
      <c r="P1072" s="21">
        <v>13360</v>
      </c>
      <c r="Q1072" s="20">
        <v>68.051000000000002</v>
      </c>
      <c r="R1072" s="21"/>
    </row>
    <row r="1073" spans="1:18">
      <c r="A1073" s="14">
        <v>41733</v>
      </c>
      <c r="B1073" s="15">
        <v>175.25</v>
      </c>
      <c r="C1073" s="15">
        <v>185</v>
      </c>
      <c r="F1073">
        <v>1</v>
      </c>
      <c r="G1073">
        <v>24</v>
      </c>
      <c r="H1073">
        <v>2017</v>
      </c>
      <c r="I1073" s="41">
        <v>42759</v>
      </c>
      <c r="J1073" s="38">
        <v>2932.35</v>
      </c>
      <c r="K1073" s="21">
        <v>552.77</v>
      </c>
      <c r="L1073" s="22">
        <v>7.5049999999999999</v>
      </c>
      <c r="M1073" s="23">
        <v>21.527999999999999</v>
      </c>
      <c r="N1073" s="22">
        <v>3.2827999999999999</v>
      </c>
      <c r="O1073" s="22">
        <v>3.1701999999999999</v>
      </c>
      <c r="P1073" s="21">
        <v>13331</v>
      </c>
      <c r="Q1073" s="20">
        <v>68.138000000000005</v>
      </c>
      <c r="R1073" s="21"/>
    </row>
    <row r="1074" spans="1:18">
      <c r="A1074" s="14">
        <v>41736</v>
      </c>
      <c r="B1074" s="15">
        <v>185.55</v>
      </c>
      <c r="C1074" s="15">
        <v>193.35</v>
      </c>
      <c r="F1074">
        <v>1</v>
      </c>
      <c r="G1074">
        <v>25</v>
      </c>
      <c r="H1074">
        <v>2017</v>
      </c>
      <c r="I1074" s="41">
        <v>42760</v>
      </c>
      <c r="J1074" s="38">
        <v>2932.35</v>
      </c>
      <c r="K1074" s="21">
        <v>552.77</v>
      </c>
      <c r="L1074" s="22">
        <v>7.4989999999999997</v>
      </c>
      <c r="M1074" s="23">
        <v>21.076499999999999</v>
      </c>
      <c r="N1074" s="22">
        <v>3.2927</v>
      </c>
      <c r="O1074" s="22">
        <v>3.1701999999999999</v>
      </c>
      <c r="P1074" s="21">
        <v>13360.5</v>
      </c>
      <c r="Q1074" s="20">
        <v>67.988</v>
      </c>
      <c r="R1074" s="21"/>
    </row>
    <row r="1075" spans="1:18">
      <c r="A1075" s="14">
        <v>41737</v>
      </c>
      <c r="B1075" s="15">
        <v>194.3</v>
      </c>
      <c r="C1075" s="15">
        <v>196.5</v>
      </c>
      <c r="F1075">
        <v>1</v>
      </c>
      <c r="G1075">
        <v>26</v>
      </c>
      <c r="H1075">
        <v>2017</v>
      </c>
      <c r="I1075" s="41">
        <v>42761</v>
      </c>
      <c r="J1075" s="38">
        <v>2940</v>
      </c>
      <c r="K1075" s="21">
        <v>552.77</v>
      </c>
      <c r="L1075" s="22">
        <v>7.4989999999999997</v>
      </c>
      <c r="M1075" s="23">
        <v>21.216000000000001</v>
      </c>
      <c r="N1075" s="22">
        <v>3.3</v>
      </c>
      <c r="O1075" s="22">
        <v>3.1779999999999999</v>
      </c>
      <c r="P1075" s="21">
        <v>13336</v>
      </c>
      <c r="Q1075" s="20">
        <v>68.176000000000002</v>
      </c>
      <c r="R1075" s="21"/>
    </row>
    <row r="1076" spans="1:18">
      <c r="A1076" s="14">
        <v>41738</v>
      </c>
      <c r="B1076" s="15">
        <v>190.15</v>
      </c>
      <c r="C1076" s="15">
        <v>199.85</v>
      </c>
      <c r="F1076">
        <v>1</v>
      </c>
      <c r="G1076">
        <v>27</v>
      </c>
      <c r="H1076">
        <v>2017</v>
      </c>
      <c r="I1076" s="41">
        <v>42762</v>
      </c>
      <c r="J1076" s="38">
        <v>2931.18</v>
      </c>
      <c r="K1076" s="21">
        <v>553.22</v>
      </c>
      <c r="L1076" s="22">
        <v>7.4775</v>
      </c>
      <c r="M1076" s="23">
        <v>20.895</v>
      </c>
      <c r="N1076" s="22">
        <v>3.2905000000000002</v>
      </c>
      <c r="O1076" s="22">
        <v>3.141</v>
      </c>
      <c r="P1076" s="21">
        <v>13358.5</v>
      </c>
      <c r="Q1076" s="20">
        <v>68.105000000000004</v>
      </c>
      <c r="R1076" s="21"/>
    </row>
    <row r="1077" spans="1:18">
      <c r="A1077" s="14">
        <v>41739</v>
      </c>
      <c r="B1077" s="15">
        <v>199.95</v>
      </c>
      <c r="C1077" s="15">
        <v>206.1</v>
      </c>
      <c r="F1077">
        <v>1</v>
      </c>
      <c r="G1077">
        <v>30</v>
      </c>
      <c r="H1077">
        <v>2017</v>
      </c>
      <c r="I1077" s="41">
        <v>42765</v>
      </c>
      <c r="J1077" s="38">
        <v>2931.25</v>
      </c>
      <c r="K1077" s="21">
        <v>557.15</v>
      </c>
      <c r="L1077" s="22">
        <v>7.4775</v>
      </c>
      <c r="M1077" s="23">
        <v>20.789000000000001</v>
      </c>
      <c r="N1077" s="22">
        <v>3.2905000000000002</v>
      </c>
      <c r="O1077" s="22">
        <v>3.1269999999999998</v>
      </c>
      <c r="P1077" s="21">
        <v>13345</v>
      </c>
      <c r="Q1077" s="20">
        <v>67.828999999999994</v>
      </c>
      <c r="R1077" s="21"/>
    </row>
    <row r="1078" spans="1:18">
      <c r="A1078" s="14">
        <v>41740</v>
      </c>
      <c r="B1078" s="15">
        <v>199.85</v>
      </c>
      <c r="C1078" s="15">
        <v>201.2</v>
      </c>
      <c r="F1078">
        <v>1</v>
      </c>
      <c r="G1078">
        <v>31</v>
      </c>
      <c r="H1078">
        <v>2017</v>
      </c>
      <c r="I1078" s="41">
        <v>42766</v>
      </c>
      <c r="J1078" s="38">
        <v>2924.3</v>
      </c>
      <c r="K1078" s="21">
        <v>553.74</v>
      </c>
      <c r="L1078" s="22">
        <v>7.4755000000000003</v>
      </c>
      <c r="M1078" s="23">
        <v>20.834</v>
      </c>
      <c r="N1078" s="22">
        <v>3.2705000000000002</v>
      </c>
      <c r="O1078" s="22">
        <v>3.1509</v>
      </c>
      <c r="P1078" s="21">
        <v>13352</v>
      </c>
      <c r="Q1078" s="20">
        <v>67.515000000000001</v>
      </c>
      <c r="R1078" s="21"/>
    </row>
    <row r="1079" spans="1:18">
      <c r="A1079" s="14">
        <v>41743</v>
      </c>
      <c r="B1079" s="15">
        <v>195</v>
      </c>
      <c r="C1079" s="15">
        <v>204.85</v>
      </c>
      <c r="F1079">
        <v>2</v>
      </c>
      <c r="G1079">
        <v>1</v>
      </c>
      <c r="H1079">
        <v>2017</v>
      </c>
      <c r="I1079" s="41">
        <v>42767</v>
      </c>
      <c r="J1079" s="38">
        <v>2905.2</v>
      </c>
      <c r="K1079" s="21">
        <v>555.07000000000005</v>
      </c>
      <c r="L1079" s="22">
        <v>7.4725000000000001</v>
      </c>
      <c r="M1079" s="23">
        <v>20.708500000000001</v>
      </c>
      <c r="N1079" s="22">
        <v>3.2705000000000002</v>
      </c>
      <c r="O1079" s="22">
        <v>3.1295000000000002</v>
      </c>
      <c r="P1079" s="21">
        <v>13372.5</v>
      </c>
      <c r="Q1079" s="20">
        <v>67.415000000000006</v>
      </c>
      <c r="R1079" s="21"/>
    </row>
    <row r="1080" spans="1:18">
      <c r="A1080" s="14">
        <v>41744</v>
      </c>
      <c r="B1080" s="15">
        <v>191.65</v>
      </c>
      <c r="C1080" s="15">
        <v>192.15</v>
      </c>
      <c r="F1080">
        <v>2</v>
      </c>
      <c r="G1080">
        <v>2</v>
      </c>
      <c r="H1080">
        <v>2017</v>
      </c>
      <c r="I1080" s="41">
        <v>42768</v>
      </c>
      <c r="J1080" s="38">
        <v>2879.05</v>
      </c>
      <c r="K1080" s="21">
        <v>555.13</v>
      </c>
      <c r="L1080" s="22">
        <v>7.4625000000000004</v>
      </c>
      <c r="M1080" s="23">
        <v>20.547899999999998</v>
      </c>
      <c r="N1080" s="22">
        <v>3.2480000000000002</v>
      </c>
      <c r="O1080" s="22">
        <v>3.1240000000000001</v>
      </c>
      <c r="P1080" s="21">
        <v>13352.5</v>
      </c>
      <c r="Q1080" s="20">
        <v>67.209999999999994</v>
      </c>
      <c r="R1080" s="21"/>
    </row>
    <row r="1081" spans="1:18">
      <c r="A1081" s="14">
        <v>41745</v>
      </c>
      <c r="B1081" s="15">
        <v>185.6</v>
      </c>
      <c r="C1081" s="15">
        <v>185.95</v>
      </c>
      <c r="F1081">
        <v>2</v>
      </c>
      <c r="G1081">
        <v>3</v>
      </c>
      <c r="H1081">
        <v>2017</v>
      </c>
      <c r="I1081" s="41">
        <v>42769</v>
      </c>
      <c r="J1081" s="38">
        <v>2850</v>
      </c>
      <c r="K1081" s="21">
        <v>555.98</v>
      </c>
      <c r="L1081" s="22">
        <v>7.4615</v>
      </c>
      <c r="M1081" s="23">
        <v>20.387799999999999</v>
      </c>
      <c r="N1081" s="22">
        <v>3.2595000000000001</v>
      </c>
      <c r="O1081" s="22">
        <v>3.1177000000000001</v>
      </c>
      <c r="P1081" s="21">
        <v>13345</v>
      </c>
      <c r="Q1081" s="20">
        <v>67.183999999999997</v>
      </c>
      <c r="R1081" s="21"/>
    </row>
    <row r="1082" spans="1:18">
      <c r="A1082" s="14">
        <v>41746</v>
      </c>
      <c r="B1082" s="15">
        <v>186.9</v>
      </c>
      <c r="C1082" s="15">
        <v>201.2</v>
      </c>
      <c r="F1082">
        <v>2</v>
      </c>
      <c r="G1082">
        <v>6</v>
      </c>
      <c r="H1082">
        <v>2017</v>
      </c>
      <c r="I1082" s="41">
        <v>42772</v>
      </c>
      <c r="J1082" s="38">
        <v>2857.45</v>
      </c>
      <c r="K1082" s="21">
        <v>551</v>
      </c>
      <c r="L1082" s="22">
        <v>7.4455</v>
      </c>
      <c r="M1082" s="23">
        <v>20.568200000000001</v>
      </c>
      <c r="N1082" s="22">
        <v>3.2875000000000001</v>
      </c>
      <c r="O1082" s="22">
        <v>3.1160000000000001</v>
      </c>
      <c r="P1082" s="21">
        <v>13322.5</v>
      </c>
      <c r="Q1082" s="20">
        <v>67.194999999999993</v>
      </c>
      <c r="R1082" s="21"/>
    </row>
    <row r="1083" spans="1:18">
      <c r="A1083" s="14">
        <v>41750</v>
      </c>
      <c r="B1083" s="15">
        <v>196.15</v>
      </c>
      <c r="C1083" s="15">
        <v>196.7</v>
      </c>
      <c r="F1083">
        <v>2</v>
      </c>
      <c r="G1083">
        <v>7</v>
      </c>
      <c r="H1083">
        <v>2017</v>
      </c>
      <c r="I1083" s="41">
        <v>42773</v>
      </c>
      <c r="J1083" s="38">
        <v>2857.45</v>
      </c>
      <c r="K1083" s="21">
        <v>556.91999999999996</v>
      </c>
      <c r="L1083" s="22">
        <v>7.4394999999999998</v>
      </c>
      <c r="M1083" s="23">
        <v>20.622499999999999</v>
      </c>
      <c r="N1083" s="22">
        <v>3.2982</v>
      </c>
      <c r="O1083" s="22">
        <v>3.1204999999999998</v>
      </c>
      <c r="P1083" s="21">
        <v>13328.5</v>
      </c>
      <c r="Q1083" s="20">
        <v>67.349999999999994</v>
      </c>
      <c r="R1083" s="21"/>
    </row>
    <row r="1084" spans="1:18">
      <c r="A1084" s="14">
        <v>41751</v>
      </c>
      <c r="B1084" s="15">
        <v>197</v>
      </c>
      <c r="C1084" s="15">
        <v>211.8</v>
      </c>
      <c r="F1084">
        <v>2</v>
      </c>
      <c r="G1084">
        <v>8</v>
      </c>
      <c r="H1084">
        <v>2017</v>
      </c>
      <c r="I1084" s="41">
        <v>42774</v>
      </c>
      <c r="J1084" s="38">
        <v>2884.05</v>
      </c>
      <c r="K1084" s="21">
        <v>557.87</v>
      </c>
      <c r="L1084" s="22">
        <v>7.4429999999999996</v>
      </c>
      <c r="M1084" s="23">
        <v>20.481000000000002</v>
      </c>
      <c r="N1084" s="22">
        <v>3.2867999999999999</v>
      </c>
      <c r="O1084" s="22">
        <v>3.1175000000000002</v>
      </c>
      <c r="P1084" s="21">
        <v>13325</v>
      </c>
      <c r="Q1084" s="20">
        <v>67.05</v>
      </c>
      <c r="R1084" s="21"/>
    </row>
    <row r="1085" spans="1:18">
      <c r="A1085" s="14">
        <v>41752</v>
      </c>
      <c r="B1085" s="15">
        <v>210.2</v>
      </c>
      <c r="C1085" s="15">
        <v>212.35</v>
      </c>
      <c r="F1085">
        <v>2</v>
      </c>
      <c r="G1085">
        <v>9</v>
      </c>
      <c r="H1085">
        <v>2017</v>
      </c>
      <c r="I1085" s="41">
        <v>42775</v>
      </c>
      <c r="J1085" s="38">
        <v>2859.85</v>
      </c>
      <c r="K1085" s="21">
        <v>558.54999999999995</v>
      </c>
      <c r="L1085" s="22">
        <v>7.4385000000000003</v>
      </c>
      <c r="M1085" s="23">
        <v>20.349499999999999</v>
      </c>
      <c r="N1085" s="22">
        <v>3.2675000000000001</v>
      </c>
      <c r="O1085" s="22">
        <v>3.1301000000000001</v>
      </c>
      <c r="P1085" s="21">
        <v>13302.5</v>
      </c>
      <c r="Q1085" s="20">
        <v>66.765000000000001</v>
      </c>
      <c r="R1085" s="21"/>
    </row>
    <row r="1086" spans="1:18">
      <c r="A1086" s="14">
        <v>41753</v>
      </c>
      <c r="B1086" s="15">
        <v>206.1</v>
      </c>
      <c r="C1086" s="15">
        <v>212.45</v>
      </c>
      <c r="F1086">
        <v>2</v>
      </c>
      <c r="G1086">
        <v>10</v>
      </c>
      <c r="H1086">
        <v>2017</v>
      </c>
      <c r="I1086" s="41">
        <v>42776</v>
      </c>
      <c r="J1086" s="38">
        <v>2852.84</v>
      </c>
      <c r="K1086" s="21">
        <v>558.63</v>
      </c>
      <c r="L1086" s="22">
        <v>7.4375</v>
      </c>
      <c r="M1086" s="23">
        <v>20.347000000000001</v>
      </c>
      <c r="N1086" s="22">
        <v>3.2530000000000001</v>
      </c>
      <c r="O1086" s="22">
        <v>3.1158000000000001</v>
      </c>
      <c r="P1086" s="21">
        <v>13315.5</v>
      </c>
      <c r="Q1086" s="20">
        <v>66.853999999999999</v>
      </c>
      <c r="R1086" s="21"/>
    </row>
    <row r="1087" spans="1:18">
      <c r="A1087" s="14">
        <v>41754</v>
      </c>
      <c r="B1087" s="15">
        <v>203</v>
      </c>
      <c r="C1087" s="15">
        <v>204.75</v>
      </c>
      <c r="F1087">
        <v>2</v>
      </c>
      <c r="G1087">
        <v>13</v>
      </c>
      <c r="H1087">
        <v>2017</v>
      </c>
      <c r="I1087" s="41">
        <v>42779</v>
      </c>
      <c r="J1087" s="38">
        <v>2873.8</v>
      </c>
      <c r="K1087" s="21">
        <v>563.41</v>
      </c>
      <c r="L1087" s="22">
        <v>7.4284999999999997</v>
      </c>
      <c r="M1087" s="23">
        <v>20.282</v>
      </c>
      <c r="N1087" s="22">
        <v>3.2599</v>
      </c>
      <c r="O1087" s="22">
        <v>3.1116000000000001</v>
      </c>
      <c r="P1087" s="21">
        <v>13326.5</v>
      </c>
      <c r="Q1087" s="20">
        <v>66.974999999999994</v>
      </c>
      <c r="R1087" s="21"/>
    </row>
    <row r="1088" spans="1:18">
      <c r="A1088" s="14">
        <v>41757</v>
      </c>
      <c r="B1088" s="15">
        <v>198.25</v>
      </c>
      <c r="C1088" s="15">
        <v>198.8</v>
      </c>
      <c r="F1088">
        <v>2</v>
      </c>
      <c r="G1088">
        <v>14</v>
      </c>
      <c r="H1088">
        <v>2017</v>
      </c>
      <c r="I1088" s="41">
        <v>42780</v>
      </c>
      <c r="J1088" s="38">
        <v>2875.05</v>
      </c>
      <c r="K1088" s="21">
        <v>563.73</v>
      </c>
      <c r="L1088" s="22">
        <v>7.4255000000000004</v>
      </c>
      <c r="M1088" s="23">
        <v>20.260000000000002</v>
      </c>
      <c r="N1088" s="22">
        <v>3.2618</v>
      </c>
      <c r="O1088" s="22">
        <v>3.085</v>
      </c>
      <c r="P1088" s="21">
        <v>13330.5</v>
      </c>
      <c r="Q1088" s="20">
        <v>66.834999999999994</v>
      </c>
      <c r="R1088" s="21"/>
    </row>
    <row r="1089" spans="1:18">
      <c r="A1089" s="14">
        <v>41758</v>
      </c>
      <c r="B1089" s="15">
        <v>192.4</v>
      </c>
      <c r="C1089" s="15">
        <v>208.9</v>
      </c>
      <c r="F1089">
        <v>2</v>
      </c>
      <c r="G1089">
        <v>15</v>
      </c>
      <c r="H1089">
        <v>2017</v>
      </c>
      <c r="I1089" s="41">
        <v>42781</v>
      </c>
      <c r="J1089" s="38">
        <v>2875.05</v>
      </c>
      <c r="K1089" s="21">
        <v>558.94000000000005</v>
      </c>
      <c r="L1089" s="22">
        <v>7.4240000000000004</v>
      </c>
      <c r="M1089" s="23">
        <v>20.277999999999999</v>
      </c>
      <c r="N1089" s="22">
        <v>3.2603</v>
      </c>
      <c r="O1089" s="22">
        <v>3.0575000000000001</v>
      </c>
      <c r="P1089" s="21">
        <v>13330.5</v>
      </c>
      <c r="Q1089" s="20">
        <v>66.875</v>
      </c>
      <c r="R1089" s="21"/>
    </row>
    <row r="1090" spans="1:18">
      <c r="A1090" s="14">
        <v>41759</v>
      </c>
      <c r="B1090" s="15">
        <v>200.9</v>
      </c>
      <c r="C1090" s="15">
        <v>203.05</v>
      </c>
      <c r="F1090">
        <v>2</v>
      </c>
      <c r="G1090">
        <v>16</v>
      </c>
      <c r="H1090">
        <v>2017</v>
      </c>
      <c r="I1090" s="41">
        <v>42782</v>
      </c>
      <c r="J1090" s="38">
        <v>2876.75</v>
      </c>
      <c r="K1090" s="21">
        <v>559.47</v>
      </c>
      <c r="L1090" s="22">
        <v>7.4095000000000004</v>
      </c>
      <c r="M1090" s="23">
        <v>20.383500000000002</v>
      </c>
      <c r="N1090" s="22">
        <v>3.2484999999999999</v>
      </c>
      <c r="O1090" s="22">
        <v>3.0891999999999999</v>
      </c>
      <c r="P1090" s="21">
        <v>13320</v>
      </c>
      <c r="Q1090" s="20">
        <v>67.08</v>
      </c>
      <c r="R1090" s="21"/>
    </row>
    <row r="1091" spans="1:18">
      <c r="A1091" s="14">
        <v>41760</v>
      </c>
      <c r="B1091" s="15">
        <v>202.95</v>
      </c>
      <c r="C1091" s="15">
        <v>201.45</v>
      </c>
      <c r="F1091">
        <v>2</v>
      </c>
      <c r="G1091">
        <v>17</v>
      </c>
      <c r="H1091">
        <v>2017</v>
      </c>
      <c r="I1091" s="41">
        <v>42783</v>
      </c>
      <c r="J1091" s="38">
        <v>2886.5</v>
      </c>
      <c r="K1091" s="21">
        <v>560.79999999999995</v>
      </c>
      <c r="L1091" s="22">
        <v>7.3935000000000004</v>
      </c>
      <c r="M1091" s="23">
        <v>20.437799999999999</v>
      </c>
      <c r="N1091" s="22">
        <v>3.262</v>
      </c>
      <c r="O1091" s="22">
        <v>3.1048</v>
      </c>
      <c r="P1091" s="21">
        <v>13332.5</v>
      </c>
      <c r="Q1091" s="20">
        <v>67.08</v>
      </c>
      <c r="R1091" s="21"/>
    </row>
    <row r="1092" spans="1:18">
      <c r="A1092" s="14">
        <v>41761</v>
      </c>
      <c r="B1092" s="15">
        <v>201.8</v>
      </c>
      <c r="C1092" s="15">
        <v>200.6</v>
      </c>
      <c r="F1092">
        <v>2</v>
      </c>
      <c r="G1092">
        <v>20</v>
      </c>
      <c r="H1092">
        <v>2017</v>
      </c>
      <c r="I1092" s="41">
        <v>42786</v>
      </c>
      <c r="J1092" s="38">
        <v>2886.35</v>
      </c>
      <c r="K1092" s="21">
        <v>560.98</v>
      </c>
      <c r="L1092" s="22">
        <v>7.3825000000000003</v>
      </c>
      <c r="M1092" s="23">
        <v>20.3735</v>
      </c>
      <c r="N1092" s="22">
        <v>3.2469999999999999</v>
      </c>
      <c r="O1092" s="22">
        <v>3.0870000000000002</v>
      </c>
      <c r="P1092" s="21">
        <v>13354</v>
      </c>
      <c r="Q1092" s="20">
        <v>66.905000000000001</v>
      </c>
      <c r="R1092" s="21"/>
    </row>
    <row r="1093" spans="1:18">
      <c r="A1093" s="14">
        <v>41764</v>
      </c>
      <c r="B1093" s="15">
        <v>197.4</v>
      </c>
      <c r="C1093" s="15">
        <v>202.4</v>
      </c>
      <c r="F1093">
        <v>2</v>
      </c>
      <c r="G1093">
        <v>21</v>
      </c>
      <c r="H1093">
        <v>2017</v>
      </c>
      <c r="I1093" s="41">
        <v>42787</v>
      </c>
      <c r="J1093" s="38">
        <v>2902.25</v>
      </c>
      <c r="K1093" s="21">
        <v>561.04999999999995</v>
      </c>
      <c r="L1093" s="22">
        <v>7.3825000000000003</v>
      </c>
      <c r="M1093" s="23">
        <v>20.011299999999999</v>
      </c>
      <c r="N1093" s="22">
        <v>3.2465000000000002</v>
      </c>
      <c r="O1093" s="22">
        <v>3.0951</v>
      </c>
      <c r="P1093" s="21">
        <v>13372.5</v>
      </c>
      <c r="Q1093" s="20">
        <v>66.984999999999999</v>
      </c>
      <c r="R1093" s="21"/>
    </row>
    <row r="1094" spans="1:18">
      <c r="A1094" s="14">
        <v>41765</v>
      </c>
      <c r="B1094" s="15">
        <v>200.4</v>
      </c>
      <c r="C1094" s="15">
        <v>199.55</v>
      </c>
      <c r="F1094">
        <v>2</v>
      </c>
      <c r="G1094">
        <v>22</v>
      </c>
      <c r="H1094">
        <v>2017</v>
      </c>
      <c r="I1094" s="41">
        <v>42788</v>
      </c>
      <c r="J1094" s="38">
        <v>2902.56</v>
      </c>
      <c r="K1094" s="21">
        <v>563.36</v>
      </c>
      <c r="L1094" s="22">
        <v>7.38</v>
      </c>
      <c r="M1094" s="23">
        <v>19.907299999999999</v>
      </c>
      <c r="N1094" s="22">
        <v>3.2484999999999999</v>
      </c>
      <c r="O1094" s="22">
        <v>3.0640000000000001</v>
      </c>
      <c r="P1094" s="21">
        <v>13367</v>
      </c>
      <c r="Q1094" s="20">
        <v>66.95</v>
      </c>
      <c r="R1094" s="21"/>
    </row>
    <row r="1095" spans="1:18">
      <c r="A1095" s="14">
        <v>41766</v>
      </c>
      <c r="B1095" s="15">
        <v>198.95</v>
      </c>
      <c r="C1095" s="15">
        <v>198.4</v>
      </c>
      <c r="F1095">
        <v>2</v>
      </c>
      <c r="G1095">
        <v>23</v>
      </c>
      <c r="H1095">
        <v>2017</v>
      </c>
      <c r="I1095" s="41">
        <v>42789</v>
      </c>
      <c r="J1095" s="38">
        <v>2869.9</v>
      </c>
      <c r="K1095" s="21">
        <v>560.91999999999996</v>
      </c>
      <c r="L1095" s="22">
        <v>7.3665000000000003</v>
      </c>
      <c r="M1095" s="23">
        <v>19.666699999999999</v>
      </c>
      <c r="N1095" s="22">
        <v>3.2484999999999999</v>
      </c>
      <c r="O1095" s="22">
        <v>3.0594999999999999</v>
      </c>
      <c r="P1095" s="21">
        <v>13351</v>
      </c>
      <c r="Q1095" s="20">
        <v>66.69</v>
      </c>
      <c r="R1095" s="21"/>
    </row>
    <row r="1096" spans="1:18">
      <c r="A1096" s="14">
        <v>41767</v>
      </c>
      <c r="B1096" s="15">
        <v>193.8</v>
      </c>
      <c r="C1096" s="15">
        <v>192.95</v>
      </c>
      <c r="F1096">
        <v>2</v>
      </c>
      <c r="G1096">
        <v>24</v>
      </c>
      <c r="H1096">
        <v>2017</v>
      </c>
      <c r="I1096" s="41">
        <v>42790</v>
      </c>
      <c r="J1096" s="38">
        <v>2889.5</v>
      </c>
      <c r="K1096" s="21">
        <v>560.75</v>
      </c>
      <c r="L1096" s="22">
        <v>7.3525</v>
      </c>
      <c r="M1096" s="23">
        <v>19.910299999999999</v>
      </c>
      <c r="N1096" s="22">
        <v>3.2538</v>
      </c>
      <c r="O1096" s="22">
        <v>3.1110000000000002</v>
      </c>
      <c r="P1096" s="21">
        <v>13330.5</v>
      </c>
      <c r="Q1096" s="20">
        <v>66.644999999999996</v>
      </c>
      <c r="R1096" s="21"/>
    </row>
    <row r="1097" spans="1:18">
      <c r="A1097" s="14">
        <v>41768</v>
      </c>
      <c r="B1097" s="15">
        <v>183.65</v>
      </c>
      <c r="C1097" s="15">
        <v>180.8</v>
      </c>
      <c r="F1097">
        <v>2</v>
      </c>
      <c r="G1097">
        <v>27</v>
      </c>
      <c r="H1097">
        <v>2017</v>
      </c>
      <c r="I1097" s="41">
        <v>42793</v>
      </c>
      <c r="J1097" s="38">
        <v>2892</v>
      </c>
      <c r="K1097" s="21">
        <v>560.28</v>
      </c>
      <c r="L1097" s="22">
        <v>7.3555000000000001</v>
      </c>
      <c r="M1097" s="23">
        <v>19.905999999999999</v>
      </c>
      <c r="N1097" s="22">
        <v>3.2509999999999999</v>
      </c>
      <c r="O1097" s="22">
        <v>3.109</v>
      </c>
      <c r="P1097" s="21">
        <v>13342.5</v>
      </c>
      <c r="Q1097" s="20">
        <v>66.7</v>
      </c>
      <c r="R1097" s="21"/>
    </row>
    <row r="1098" spans="1:18">
      <c r="A1098" s="14">
        <v>41771</v>
      </c>
      <c r="B1098" s="15">
        <v>182.4</v>
      </c>
      <c r="C1098" s="15">
        <v>186.1</v>
      </c>
      <c r="F1098">
        <v>2</v>
      </c>
      <c r="G1098">
        <v>28</v>
      </c>
      <c r="H1098">
        <v>2017</v>
      </c>
      <c r="I1098" s="41">
        <v>42794</v>
      </c>
      <c r="J1098" s="38">
        <v>2929.55</v>
      </c>
      <c r="K1098" s="21">
        <v>560.16999999999996</v>
      </c>
      <c r="L1098" s="22">
        <v>7.3704999999999998</v>
      </c>
      <c r="M1098" s="23">
        <v>20.107500000000002</v>
      </c>
      <c r="N1098" s="22">
        <v>3.2645</v>
      </c>
      <c r="O1098" s="22">
        <v>3.1091000000000002</v>
      </c>
      <c r="P1098" s="21">
        <v>13336</v>
      </c>
      <c r="Q1098" s="20">
        <v>66.724999999999994</v>
      </c>
      <c r="R1098" s="21"/>
    </row>
    <row r="1099" spans="1:18">
      <c r="A1099" s="14">
        <v>41772</v>
      </c>
      <c r="B1099" s="15"/>
      <c r="C1099" s="15">
        <v>183.65</v>
      </c>
      <c r="F1099">
        <v>3</v>
      </c>
      <c r="G1099">
        <v>1</v>
      </c>
      <c r="H1099">
        <v>2017</v>
      </c>
      <c r="I1099" s="41">
        <v>42795</v>
      </c>
      <c r="J1099" s="38">
        <v>2933.75</v>
      </c>
      <c r="K1099" s="21">
        <v>559.92999999999995</v>
      </c>
      <c r="L1099" s="22">
        <v>7.3765000000000001</v>
      </c>
      <c r="M1099" s="23">
        <v>19.811</v>
      </c>
      <c r="N1099" s="22">
        <v>3.2595000000000001</v>
      </c>
      <c r="O1099" s="22">
        <v>3.09</v>
      </c>
      <c r="P1099" s="21">
        <v>13362</v>
      </c>
      <c r="Q1099" s="20">
        <v>66.864999999999995</v>
      </c>
      <c r="R1099" s="21"/>
    </row>
    <row r="1100" spans="1:18">
      <c r="A1100" s="14">
        <v>41773</v>
      </c>
      <c r="B1100" s="15">
        <v>180.95</v>
      </c>
      <c r="C1100" s="15">
        <v>180.75</v>
      </c>
      <c r="F1100">
        <v>3</v>
      </c>
      <c r="G1100">
        <v>2</v>
      </c>
      <c r="H1100">
        <v>2017</v>
      </c>
      <c r="I1100" s="41">
        <v>42796</v>
      </c>
      <c r="J1100" s="38">
        <v>2977.55</v>
      </c>
      <c r="K1100" s="21">
        <v>563.36</v>
      </c>
      <c r="L1100" s="22">
        <v>7.38</v>
      </c>
      <c r="M1100" s="23">
        <v>20.001999999999999</v>
      </c>
      <c r="N1100" s="22">
        <v>3.2845</v>
      </c>
      <c r="O1100" s="22">
        <v>3.1564999999999999</v>
      </c>
      <c r="P1100" s="21">
        <v>13358.5</v>
      </c>
      <c r="Q1100" s="20">
        <v>66.784999999999997</v>
      </c>
      <c r="R1100" s="21"/>
    </row>
    <row r="1101" spans="1:18">
      <c r="A1101" s="14">
        <v>41774</v>
      </c>
      <c r="B1101" s="15">
        <v>182.5</v>
      </c>
      <c r="C1101" s="15">
        <v>194.15</v>
      </c>
      <c r="F1101">
        <v>3</v>
      </c>
      <c r="G1101">
        <v>3</v>
      </c>
      <c r="H1101">
        <v>2017</v>
      </c>
      <c r="I1101" s="41">
        <v>42797</v>
      </c>
      <c r="J1101" s="38">
        <v>2975</v>
      </c>
      <c r="K1101" s="21">
        <v>559.54999999999995</v>
      </c>
      <c r="L1101" s="22">
        <v>7.3754999999999997</v>
      </c>
      <c r="M1101" s="23">
        <v>19.510000000000002</v>
      </c>
      <c r="N1101" s="22">
        <v>3.28</v>
      </c>
      <c r="O1101" s="22">
        <v>3.1158000000000001</v>
      </c>
      <c r="P1101" s="21">
        <v>13382.5</v>
      </c>
      <c r="Q1101" s="20">
        <v>66.78</v>
      </c>
      <c r="R1101" s="21"/>
    </row>
    <row r="1102" spans="1:18">
      <c r="A1102" s="14">
        <v>41775</v>
      </c>
      <c r="B1102" s="15">
        <v>183.4</v>
      </c>
      <c r="C1102" s="15">
        <v>182.5</v>
      </c>
      <c r="F1102">
        <v>3</v>
      </c>
      <c r="G1102">
        <v>6</v>
      </c>
      <c r="H1102">
        <v>2017</v>
      </c>
      <c r="I1102" s="41">
        <v>42800</v>
      </c>
      <c r="J1102" s="38">
        <v>2971.9</v>
      </c>
      <c r="K1102" s="21">
        <v>563.5</v>
      </c>
      <c r="L1102" s="22">
        <v>7.3769999999999998</v>
      </c>
      <c r="M1102" s="23">
        <v>19.614999999999998</v>
      </c>
      <c r="N1102" s="22">
        <v>3.2949000000000002</v>
      </c>
      <c r="O1102" s="22">
        <v>3.1385999999999998</v>
      </c>
      <c r="P1102" s="21">
        <v>13350</v>
      </c>
      <c r="Q1102" s="20">
        <v>66.674999999999997</v>
      </c>
      <c r="R1102" s="21"/>
    </row>
    <row r="1103" spans="1:18">
      <c r="A1103" s="14">
        <v>41778</v>
      </c>
      <c r="B1103" s="15"/>
      <c r="C1103" s="15">
        <v>180.15</v>
      </c>
      <c r="F1103">
        <v>3</v>
      </c>
      <c r="G1103">
        <v>7</v>
      </c>
      <c r="H1103">
        <v>2017</v>
      </c>
      <c r="I1103" s="41">
        <v>42801</v>
      </c>
      <c r="J1103" s="38">
        <v>2957.05</v>
      </c>
      <c r="K1103" s="21">
        <v>564.20000000000005</v>
      </c>
      <c r="L1103" s="22">
        <v>7.3769999999999998</v>
      </c>
      <c r="M1103" s="23">
        <v>19.495000000000001</v>
      </c>
      <c r="N1103" s="22">
        <v>3.28</v>
      </c>
      <c r="O1103" s="22">
        <v>3.1194999999999999</v>
      </c>
      <c r="P1103" s="21">
        <v>13347</v>
      </c>
      <c r="Q1103" s="20">
        <v>66.625</v>
      </c>
      <c r="R1103" s="21"/>
    </row>
    <row r="1104" spans="1:18">
      <c r="A1104" s="14">
        <v>41779</v>
      </c>
      <c r="B1104" s="15">
        <v>180.05</v>
      </c>
      <c r="C1104" s="15">
        <v>185.7</v>
      </c>
      <c r="F1104">
        <v>3</v>
      </c>
      <c r="G1104">
        <v>8</v>
      </c>
      <c r="H1104">
        <v>2017</v>
      </c>
      <c r="I1104" s="41">
        <v>42802</v>
      </c>
      <c r="J1104" s="38">
        <v>2993.34</v>
      </c>
      <c r="K1104" s="21">
        <v>559.79999999999995</v>
      </c>
      <c r="L1104" s="22">
        <v>7.3775000000000004</v>
      </c>
      <c r="M1104" s="23">
        <v>19.671500000000002</v>
      </c>
      <c r="N1104" s="22">
        <v>3.2959000000000001</v>
      </c>
      <c r="O1104" s="22">
        <v>3.1631</v>
      </c>
      <c r="P1104" s="21">
        <v>13350</v>
      </c>
      <c r="Q1104" s="20">
        <v>66.765000000000001</v>
      </c>
      <c r="R1104" s="21"/>
    </row>
    <row r="1105" spans="1:18">
      <c r="A1105" s="14">
        <v>41780</v>
      </c>
      <c r="B1105" s="15">
        <v>180.85</v>
      </c>
      <c r="C1105" s="15">
        <v>181.4</v>
      </c>
      <c r="F1105">
        <v>3</v>
      </c>
      <c r="G1105">
        <v>9</v>
      </c>
      <c r="H1105">
        <v>2017</v>
      </c>
      <c r="I1105" s="41">
        <v>42803</v>
      </c>
      <c r="J1105" s="38">
        <v>2998.15</v>
      </c>
      <c r="K1105" s="21">
        <v>564.46</v>
      </c>
      <c r="L1105" s="22">
        <v>7.3789999999999996</v>
      </c>
      <c r="M1105" s="23">
        <v>19.8385</v>
      </c>
      <c r="N1105" s="22">
        <v>3.2957000000000001</v>
      </c>
      <c r="O1105" s="22">
        <v>3.1932</v>
      </c>
      <c r="P1105" s="21">
        <v>13386.5</v>
      </c>
      <c r="Q1105" s="20">
        <v>66.69</v>
      </c>
      <c r="R1105" s="21"/>
    </row>
    <row r="1106" spans="1:18">
      <c r="A1106" s="14">
        <v>41781</v>
      </c>
      <c r="B1106" s="15">
        <v>176.7</v>
      </c>
      <c r="C1106" s="15">
        <v>181.35</v>
      </c>
      <c r="F1106">
        <v>3</v>
      </c>
      <c r="G1106">
        <v>10</v>
      </c>
      <c r="H1106">
        <v>2017</v>
      </c>
      <c r="I1106" s="41">
        <v>42804</v>
      </c>
      <c r="J1106" s="38">
        <v>2982.53</v>
      </c>
      <c r="K1106" s="21">
        <v>560.38</v>
      </c>
      <c r="L1106" s="22">
        <v>7.3775000000000004</v>
      </c>
      <c r="M1106" s="23">
        <v>19.606200000000001</v>
      </c>
      <c r="N1106" s="22">
        <v>3.2927</v>
      </c>
      <c r="O1106" s="22">
        <v>3.1395</v>
      </c>
      <c r="P1106" s="21">
        <v>13379</v>
      </c>
      <c r="Q1106" s="20">
        <v>66.555000000000007</v>
      </c>
      <c r="R1106" s="21"/>
    </row>
    <row r="1107" spans="1:18">
      <c r="A1107" s="14">
        <v>41782</v>
      </c>
      <c r="B1107" s="15">
        <v>180.5</v>
      </c>
      <c r="C1107" s="15">
        <v>181.9</v>
      </c>
      <c r="F1107">
        <v>3</v>
      </c>
      <c r="G1107">
        <v>13</v>
      </c>
      <c r="H1107">
        <v>2017</v>
      </c>
      <c r="I1107" s="41">
        <v>42807</v>
      </c>
      <c r="J1107" s="38">
        <v>2984.05</v>
      </c>
      <c r="K1107" s="21">
        <v>560.08000000000004</v>
      </c>
      <c r="L1107" s="22">
        <v>7.3695000000000004</v>
      </c>
      <c r="M1107" s="23">
        <v>19.6191</v>
      </c>
      <c r="N1107" s="22">
        <v>3.2829999999999999</v>
      </c>
      <c r="O1107" s="22">
        <v>3.1528999999999998</v>
      </c>
      <c r="P1107" s="21">
        <v>13356</v>
      </c>
      <c r="Q1107" s="20">
        <v>66.180000000000007</v>
      </c>
      <c r="R1107" s="21"/>
    </row>
    <row r="1108" spans="1:18">
      <c r="A1108" s="14">
        <v>41786</v>
      </c>
      <c r="B1108" s="15">
        <v>177.75</v>
      </c>
      <c r="C1108" s="15">
        <v>179.35</v>
      </c>
      <c r="F1108">
        <v>3</v>
      </c>
      <c r="G1108">
        <v>14</v>
      </c>
      <c r="H1108">
        <v>2017</v>
      </c>
      <c r="I1108" s="41">
        <v>42808</v>
      </c>
      <c r="J1108" s="38">
        <v>2999.55</v>
      </c>
      <c r="K1108" s="21">
        <v>560</v>
      </c>
      <c r="L1108" s="22">
        <v>7.3715000000000002</v>
      </c>
      <c r="M1108" s="23">
        <v>19.664999999999999</v>
      </c>
      <c r="N1108" s="22">
        <v>3.2795999999999998</v>
      </c>
      <c r="O1108" s="22">
        <v>3.1684999999999999</v>
      </c>
      <c r="P1108" s="21">
        <v>13371.5</v>
      </c>
      <c r="Q1108" s="20">
        <v>65.775000000000006</v>
      </c>
      <c r="R1108" s="21"/>
    </row>
    <row r="1109" spans="1:18">
      <c r="A1109" s="14">
        <v>41787</v>
      </c>
      <c r="B1109" s="15">
        <v>170.8</v>
      </c>
      <c r="C1109" s="15">
        <v>176.15</v>
      </c>
      <c r="F1109">
        <v>3</v>
      </c>
      <c r="G1109">
        <v>15</v>
      </c>
      <c r="H1109">
        <v>2017</v>
      </c>
      <c r="I1109" s="41">
        <v>42809</v>
      </c>
      <c r="J1109" s="38">
        <v>2970.89</v>
      </c>
      <c r="K1109" s="21">
        <v>560.62</v>
      </c>
      <c r="L1109" s="22">
        <v>7.3760000000000003</v>
      </c>
      <c r="M1109" s="23">
        <v>19.216000000000001</v>
      </c>
      <c r="N1109" s="22">
        <v>3.2565</v>
      </c>
      <c r="O1109" s="22">
        <v>3.1036999999999999</v>
      </c>
      <c r="P1109" s="21">
        <v>13365</v>
      </c>
      <c r="Q1109" s="20">
        <v>65.63</v>
      </c>
      <c r="R1109" s="21"/>
    </row>
    <row r="1110" spans="1:18">
      <c r="A1110" s="14">
        <v>41788</v>
      </c>
      <c r="B1110" s="15">
        <v>176.8</v>
      </c>
      <c r="C1110" s="15">
        <v>181.95</v>
      </c>
      <c r="F1110">
        <v>3</v>
      </c>
      <c r="G1110">
        <v>16</v>
      </c>
      <c r="H1110">
        <v>2017</v>
      </c>
      <c r="I1110" s="41">
        <v>42810</v>
      </c>
      <c r="J1110" s="38">
        <v>2922.96</v>
      </c>
      <c r="K1110" s="21">
        <v>558.54</v>
      </c>
      <c r="L1110" s="22">
        <v>7.3715000000000002</v>
      </c>
      <c r="M1110" s="23">
        <v>19.265999999999998</v>
      </c>
      <c r="N1110" s="22">
        <v>3.2578999999999998</v>
      </c>
      <c r="O1110" s="22">
        <v>3.1185</v>
      </c>
      <c r="P1110" s="21">
        <v>13348.5</v>
      </c>
      <c r="Q1110" s="20">
        <v>65.385000000000005</v>
      </c>
      <c r="R1110" s="21"/>
    </row>
    <row r="1111" spans="1:18">
      <c r="A1111" s="14">
        <v>41789</v>
      </c>
      <c r="B1111" s="15">
        <v>174.65</v>
      </c>
      <c r="C1111" s="15">
        <v>177.5</v>
      </c>
      <c r="F1111">
        <v>3</v>
      </c>
      <c r="G1111">
        <v>17</v>
      </c>
      <c r="H1111">
        <v>2017</v>
      </c>
      <c r="I1111" s="41">
        <v>42811</v>
      </c>
      <c r="J1111" s="38">
        <v>2915</v>
      </c>
      <c r="K1111" s="21">
        <v>557.88</v>
      </c>
      <c r="L1111" s="22">
        <v>7.3615000000000004</v>
      </c>
      <c r="M1111" s="23">
        <v>19.076499999999999</v>
      </c>
      <c r="N1111" s="22">
        <v>3.2494999999999998</v>
      </c>
      <c r="O1111" s="22">
        <v>3.0918000000000001</v>
      </c>
      <c r="P1111" s="21">
        <v>13345</v>
      </c>
      <c r="Q1111" s="20">
        <v>65.474999999999994</v>
      </c>
      <c r="R1111" s="21"/>
    </row>
    <row r="1112" spans="1:18">
      <c r="A1112" s="14">
        <v>41792</v>
      </c>
      <c r="B1112" s="15">
        <v>172.15</v>
      </c>
      <c r="C1112" s="15">
        <v>172.35</v>
      </c>
      <c r="F1112">
        <v>3</v>
      </c>
      <c r="G1112">
        <v>20</v>
      </c>
      <c r="H1112">
        <v>2017</v>
      </c>
      <c r="I1112" s="41">
        <v>42814</v>
      </c>
      <c r="J1112" s="38">
        <v>2912.85</v>
      </c>
      <c r="K1112" s="21">
        <v>556.79999999999995</v>
      </c>
      <c r="L1112" s="22">
        <v>7.3455000000000004</v>
      </c>
      <c r="M1112" s="23">
        <v>19.013100000000001</v>
      </c>
      <c r="N1112" s="22">
        <v>3.2479</v>
      </c>
      <c r="O1112" s="22">
        <v>3.0726</v>
      </c>
      <c r="P1112" s="21">
        <v>13313.5</v>
      </c>
      <c r="Q1112" s="20">
        <v>65.344999999999999</v>
      </c>
      <c r="R1112" s="21"/>
    </row>
    <row r="1113" spans="1:18">
      <c r="A1113" s="14">
        <v>41793</v>
      </c>
      <c r="B1113" s="15">
        <v>167.35</v>
      </c>
      <c r="C1113" s="15">
        <v>171.15</v>
      </c>
      <c r="F1113">
        <v>3</v>
      </c>
      <c r="G1113">
        <v>21</v>
      </c>
      <c r="H1113">
        <v>2017</v>
      </c>
      <c r="I1113" s="41">
        <v>42815</v>
      </c>
      <c r="J1113" s="38">
        <v>2920</v>
      </c>
      <c r="K1113" s="21">
        <v>556.54999999999995</v>
      </c>
      <c r="L1113" s="22">
        <v>7.3365</v>
      </c>
      <c r="M1113" s="23">
        <v>19.101900000000001</v>
      </c>
      <c r="N1113" s="22">
        <v>3.2505000000000002</v>
      </c>
      <c r="O1113" s="22">
        <v>3.0884</v>
      </c>
      <c r="P1113" s="21">
        <v>13319</v>
      </c>
      <c r="Q1113" s="20">
        <v>65.344999999999999</v>
      </c>
      <c r="R1113" s="21"/>
    </row>
    <row r="1114" spans="1:18">
      <c r="A1114" s="14">
        <v>41794</v>
      </c>
      <c r="B1114" s="15">
        <v>167.35</v>
      </c>
      <c r="C1114" s="15">
        <v>170.2</v>
      </c>
      <c r="F1114">
        <v>3</v>
      </c>
      <c r="G1114">
        <v>22</v>
      </c>
      <c r="H1114">
        <v>2017</v>
      </c>
      <c r="I1114" s="41">
        <v>42816</v>
      </c>
      <c r="J1114" s="38">
        <v>2921.25</v>
      </c>
      <c r="K1114" s="21">
        <v>556.42999999999995</v>
      </c>
      <c r="L1114" s="22">
        <v>7.3365</v>
      </c>
      <c r="M1114" s="23">
        <v>19.025500000000001</v>
      </c>
      <c r="N1114" s="22">
        <v>3.2437999999999998</v>
      </c>
      <c r="O1114" s="22">
        <v>3.0880000000000001</v>
      </c>
      <c r="P1114" s="21">
        <v>13329</v>
      </c>
      <c r="Q1114" s="20">
        <v>65.454999999999998</v>
      </c>
      <c r="R1114" s="21"/>
    </row>
    <row r="1115" spans="1:18">
      <c r="A1115" s="14">
        <v>41795</v>
      </c>
      <c r="B1115" s="15">
        <v>168</v>
      </c>
      <c r="C1115" s="15">
        <v>169.15</v>
      </c>
      <c r="F1115">
        <v>3</v>
      </c>
      <c r="G1115">
        <v>23</v>
      </c>
      <c r="H1115">
        <v>2017</v>
      </c>
      <c r="I1115" s="41">
        <v>42817</v>
      </c>
      <c r="J1115" s="38">
        <v>2919.1</v>
      </c>
      <c r="K1115" s="21">
        <v>560.45000000000005</v>
      </c>
      <c r="L1115" s="22">
        <v>7.3410000000000002</v>
      </c>
      <c r="M1115" s="23">
        <v>18.93</v>
      </c>
      <c r="N1115" s="22">
        <v>3.2440000000000002</v>
      </c>
      <c r="O1115" s="22">
        <v>3.1395</v>
      </c>
      <c r="P1115" s="21">
        <v>13324.5</v>
      </c>
      <c r="Q1115" s="20">
        <v>65.454999999999998</v>
      </c>
      <c r="R1115" s="21"/>
    </row>
    <row r="1116" spans="1:18">
      <c r="A1116" s="14">
        <v>41796</v>
      </c>
      <c r="B1116" s="15">
        <v>168.25</v>
      </c>
      <c r="C1116" s="15">
        <v>172.1</v>
      </c>
      <c r="F1116">
        <v>3</v>
      </c>
      <c r="G1116">
        <v>24</v>
      </c>
      <c r="H1116">
        <v>2017</v>
      </c>
      <c r="I1116" s="41">
        <v>42818</v>
      </c>
      <c r="J1116" s="38">
        <v>2897.88</v>
      </c>
      <c r="K1116" s="21">
        <v>557.1</v>
      </c>
      <c r="L1116" s="22">
        <v>7.3455000000000004</v>
      </c>
      <c r="M1116" s="23">
        <v>18.7575</v>
      </c>
      <c r="N1116" s="22">
        <v>3.24</v>
      </c>
      <c r="O1116" s="22">
        <v>3.1086</v>
      </c>
      <c r="P1116" s="21">
        <v>13326.5</v>
      </c>
      <c r="Q1116" s="20">
        <v>65.424999999999997</v>
      </c>
      <c r="R1116" s="21"/>
    </row>
    <row r="1117" spans="1:18">
      <c r="A1117" s="14">
        <v>41799</v>
      </c>
      <c r="B1117" s="15">
        <v>165.1</v>
      </c>
      <c r="C1117" s="15">
        <v>165.35</v>
      </c>
      <c r="F1117">
        <v>3</v>
      </c>
      <c r="G1117">
        <v>27</v>
      </c>
      <c r="H1117">
        <v>2017</v>
      </c>
      <c r="I1117" s="41">
        <v>42821</v>
      </c>
      <c r="J1117" s="38">
        <v>2923</v>
      </c>
      <c r="K1117" s="21">
        <v>558.26</v>
      </c>
      <c r="L1117" s="22">
        <v>7.3419999999999996</v>
      </c>
      <c r="M1117" s="23">
        <v>18.890499999999999</v>
      </c>
      <c r="N1117" s="22">
        <v>3.246</v>
      </c>
      <c r="O1117" s="22">
        <v>3.1265000000000001</v>
      </c>
      <c r="P1117" s="21">
        <v>13310.5</v>
      </c>
      <c r="Q1117" s="20">
        <v>64.995000000000005</v>
      </c>
      <c r="R1117" s="21"/>
    </row>
    <row r="1118" spans="1:18">
      <c r="A1118" s="14">
        <v>41800</v>
      </c>
      <c r="B1118" s="15">
        <v>165.1</v>
      </c>
      <c r="C1118" s="15">
        <v>165.65</v>
      </c>
      <c r="F1118">
        <v>3</v>
      </c>
      <c r="G1118">
        <v>28</v>
      </c>
      <c r="H1118">
        <v>2017</v>
      </c>
      <c r="I1118" s="41">
        <v>42822</v>
      </c>
      <c r="J1118" s="38">
        <v>2907.43</v>
      </c>
      <c r="K1118" s="21">
        <v>557.45000000000005</v>
      </c>
      <c r="L1118" s="22">
        <v>7.3354999999999997</v>
      </c>
      <c r="M1118" s="23">
        <v>19.025200000000002</v>
      </c>
      <c r="N1118" s="22">
        <v>3.2446999999999999</v>
      </c>
      <c r="O1118" s="22">
        <v>3.1412</v>
      </c>
      <c r="P1118" s="21">
        <v>13310.5</v>
      </c>
      <c r="Q1118" s="20">
        <v>65.045000000000002</v>
      </c>
      <c r="R1118" s="21"/>
    </row>
    <row r="1119" spans="1:18">
      <c r="A1119" s="14">
        <v>41801</v>
      </c>
      <c r="B1119" s="15">
        <v>166.15</v>
      </c>
      <c r="C1119" s="15">
        <v>171.6</v>
      </c>
      <c r="F1119">
        <v>3</v>
      </c>
      <c r="G1119">
        <v>29</v>
      </c>
      <c r="H1119">
        <v>2017</v>
      </c>
      <c r="I1119" s="41">
        <v>42823</v>
      </c>
      <c r="J1119" s="38">
        <v>2879.5</v>
      </c>
      <c r="K1119" s="21">
        <v>557.65</v>
      </c>
      <c r="L1119" s="22">
        <v>7.3354999999999997</v>
      </c>
      <c r="M1119" s="23">
        <v>18.709199999999999</v>
      </c>
      <c r="N1119" s="22">
        <v>3.2475000000000001</v>
      </c>
      <c r="O1119" s="22">
        <v>3.1198999999999999</v>
      </c>
      <c r="P1119" s="21">
        <v>13313.5</v>
      </c>
      <c r="Q1119" s="20">
        <v>64.875</v>
      </c>
      <c r="R1119" s="21"/>
    </row>
    <row r="1120" spans="1:18">
      <c r="A1120" s="14">
        <v>41802</v>
      </c>
      <c r="B1120" s="15">
        <v>168.15</v>
      </c>
      <c r="C1120" s="15">
        <v>171.95</v>
      </c>
      <c r="F1120">
        <v>3</v>
      </c>
      <c r="G1120">
        <v>30</v>
      </c>
      <c r="H1120">
        <v>2017</v>
      </c>
      <c r="I1120" s="41">
        <v>42824</v>
      </c>
      <c r="J1120" s="38">
        <v>2886.75</v>
      </c>
      <c r="K1120" s="21">
        <v>558.25</v>
      </c>
      <c r="L1120" s="22">
        <v>7.3375000000000004</v>
      </c>
      <c r="M1120" s="23">
        <v>18.719000000000001</v>
      </c>
      <c r="N1120" s="22">
        <v>3.2461000000000002</v>
      </c>
      <c r="O1120" s="22">
        <v>3.1495000000000002</v>
      </c>
      <c r="P1120" s="21">
        <v>13316</v>
      </c>
      <c r="Q1120" s="20">
        <v>64.86</v>
      </c>
      <c r="R1120" s="21"/>
    </row>
    <row r="1121" spans="1:18">
      <c r="A1121" s="14">
        <v>41803</v>
      </c>
      <c r="B1121" s="15">
        <v>171.6</v>
      </c>
      <c r="C1121" s="15">
        <v>173.7</v>
      </c>
      <c r="F1121">
        <v>3</v>
      </c>
      <c r="G1121">
        <v>31</v>
      </c>
      <c r="H1121">
        <v>2017</v>
      </c>
      <c r="I1121" s="41">
        <v>42825</v>
      </c>
      <c r="J1121" s="38">
        <v>2873.76</v>
      </c>
      <c r="K1121" s="21">
        <v>559.41999999999996</v>
      </c>
      <c r="L1121" s="22">
        <v>7.3404999999999996</v>
      </c>
      <c r="M1121" s="23">
        <v>18.725000000000001</v>
      </c>
      <c r="N1121" s="22">
        <v>3.2496</v>
      </c>
      <c r="O1121" s="22">
        <v>3.1233</v>
      </c>
      <c r="P1121" s="21">
        <v>13325.5</v>
      </c>
      <c r="Q1121" s="20">
        <v>64.86</v>
      </c>
      <c r="R1121" s="21"/>
    </row>
    <row r="1122" spans="1:18">
      <c r="A1122" s="14">
        <v>41806</v>
      </c>
      <c r="B1122" s="15">
        <v>172.1</v>
      </c>
      <c r="C1122" s="15">
        <v>172.95</v>
      </c>
      <c r="F1122">
        <v>4</v>
      </c>
      <c r="G1122">
        <v>3</v>
      </c>
      <c r="H1122">
        <v>2017</v>
      </c>
      <c r="I1122" s="41">
        <v>42828</v>
      </c>
      <c r="J1122" s="38">
        <v>2869.4</v>
      </c>
      <c r="K1122" s="21">
        <v>562.96</v>
      </c>
      <c r="L1122" s="22">
        <v>7.3384999999999998</v>
      </c>
      <c r="M1122" s="23">
        <v>18.664000000000001</v>
      </c>
      <c r="N1122" s="22">
        <v>3.2469999999999999</v>
      </c>
      <c r="O1122" s="22">
        <v>3.1147</v>
      </c>
      <c r="P1122" s="21">
        <v>13322.5</v>
      </c>
      <c r="Q1122" s="20">
        <v>64.984999999999999</v>
      </c>
      <c r="R1122" s="21"/>
    </row>
    <row r="1123" spans="1:18">
      <c r="A1123" s="14">
        <v>41807</v>
      </c>
      <c r="B1123" s="15">
        <v>166.7</v>
      </c>
      <c r="C1123" s="15">
        <v>169.05</v>
      </c>
      <c r="F1123">
        <v>4</v>
      </c>
      <c r="G1123">
        <v>4</v>
      </c>
      <c r="H1123">
        <v>2017</v>
      </c>
      <c r="I1123" s="41">
        <v>42829</v>
      </c>
      <c r="J1123" s="38">
        <v>2866.72</v>
      </c>
      <c r="K1123" s="21">
        <v>563.70000000000005</v>
      </c>
      <c r="L1123" s="22">
        <v>7.3404999999999996</v>
      </c>
      <c r="M1123" s="23">
        <v>18.821999999999999</v>
      </c>
      <c r="N1123" s="22">
        <v>3.2507000000000001</v>
      </c>
      <c r="O1123" s="22">
        <v>3.0939000000000001</v>
      </c>
      <c r="P1123" s="21">
        <v>13328</v>
      </c>
      <c r="Q1123" s="20">
        <v>65.08</v>
      </c>
      <c r="R1123" s="21"/>
    </row>
    <row r="1124" spans="1:18">
      <c r="A1124" s="14">
        <v>41808</v>
      </c>
      <c r="B1124" s="15">
        <v>166</v>
      </c>
      <c r="C1124" s="15">
        <v>166.75</v>
      </c>
      <c r="F1124">
        <v>4</v>
      </c>
      <c r="G1124">
        <v>5</v>
      </c>
      <c r="H1124">
        <v>2017</v>
      </c>
      <c r="I1124" s="41">
        <v>42830</v>
      </c>
      <c r="J1124" s="38">
        <v>2860</v>
      </c>
      <c r="K1124" s="21">
        <v>555.13</v>
      </c>
      <c r="L1124" s="22">
        <v>7.3404999999999996</v>
      </c>
      <c r="M1124" s="23">
        <v>18.82</v>
      </c>
      <c r="N1124" s="22">
        <v>3.2475000000000001</v>
      </c>
      <c r="O1124" s="22">
        <v>3.1202999999999999</v>
      </c>
      <c r="P1124" s="21">
        <v>13321</v>
      </c>
      <c r="Q1124" s="20">
        <v>64.875</v>
      </c>
      <c r="R1124" s="21"/>
    </row>
    <row r="1125" spans="1:18">
      <c r="A1125" s="14">
        <v>41809</v>
      </c>
      <c r="B1125" s="15">
        <v>163.1</v>
      </c>
      <c r="C1125" s="15">
        <v>167</v>
      </c>
      <c r="F1125">
        <v>4</v>
      </c>
      <c r="G1125">
        <v>6</v>
      </c>
      <c r="H1125">
        <v>2017</v>
      </c>
      <c r="I1125" s="41">
        <v>42831</v>
      </c>
      <c r="J1125" s="38">
        <v>2855.64</v>
      </c>
      <c r="K1125" s="21">
        <v>562.22</v>
      </c>
      <c r="L1125" s="22">
        <v>7.3384999999999998</v>
      </c>
      <c r="M1125" s="23">
        <v>18.740500000000001</v>
      </c>
      <c r="N1125" s="22">
        <v>3.2507000000000001</v>
      </c>
      <c r="O1125" s="22">
        <v>3.1425999999999998</v>
      </c>
      <c r="P1125" s="21">
        <v>13335.5</v>
      </c>
      <c r="Q1125" s="20">
        <v>64.605999999999995</v>
      </c>
      <c r="R1125" s="21"/>
    </row>
    <row r="1126" spans="1:18">
      <c r="A1126" s="14">
        <v>41810</v>
      </c>
      <c r="B1126" s="15">
        <v>168.05</v>
      </c>
      <c r="C1126" s="15">
        <v>173.25</v>
      </c>
      <c r="F1126">
        <v>4</v>
      </c>
      <c r="G1126">
        <v>7</v>
      </c>
      <c r="H1126">
        <v>2017</v>
      </c>
      <c r="I1126" s="41">
        <v>42832</v>
      </c>
      <c r="J1126" s="38">
        <v>2862.43</v>
      </c>
      <c r="K1126" s="21">
        <v>557.29999999999995</v>
      </c>
      <c r="L1126" s="22">
        <v>7.3395000000000001</v>
      </c>
      <c r="M1126" s="23">
        <v>18.668800000000001</v>
      </c>
      <c r="N1126" s="22">
        <v>3.2488000000000001</v>
      </c>
      <c r="O1126" s="22">
        <v>3.1461999999999999</v>
      </c>
      <c r="P1126" s="21">
        <v>13317.5</v>
      </c>
      <c r="Q1126" s="20">
        <v>64.27</v>
      </c>
      <c r="R1126" s="21"/>
    </row>
    <row r="1127" spans="1:18">
      <c r="A1127" s="14">
        <v>41813</v>
      </c>
      <c r="B1127" s="15">
        <v>173</v>
      </c>
      <c r="C1127" s="15">
        <v>175.1</v>
      </c>
      <c r="F1127">
        <v>4</v>
      </c>
      <c r="G1127">
        <v>10</v>
      </c>
      <c r="H1127">
        <v>2017</v>
      </c>
      <c r="I1127" s="41">
        <v>42835</v>
      </c>
      <c r="J1127" s="38">
        <v>2864.12</v>
      </c>
      <c r="K1127" s="21">
        <v>561.5</v>
      </c>
      <c r="L1127" s="22">
        <v>7.3395000000000001</v>
      </c>
      <c r="M1127" s="23">
        <v>18.678699999999999</v>
      </c>
      <c r="N1127" s="22">
        <v>3.2462</v>
      </c>
      <c r="O1127" s="22">
        <v>3.1320000000000001</v>
      </c>
      <c r="P1127" s="21">
        <v>13286.5</v>
      </c>
      <c r="Q1127" s="20">
        <v>64.605000000000004</v>
      </c>
      <c r="R1127" s="21"/>
    </row>
    <row r="1128" spans="1:18">
      <c r="A1128" s="14">
        <v>41814</v>
      </c>
      <c r="B1128" s="15">
        <v>171</v>
      </c>
      <c r="C1128" s="15">
        <v>174.15</v>
      </c>
      <c r="F1128">
        <v>4</v>
      </c>
      <c r="G1128">
        <v>11</v>
      </c>
      <c r="H1128">
        <v>2017</v>
      </c>
      <c r="I1128" s="41">
        <v>42836</v>
      </c>
      <c r="J1128" s="38">
        <v>2874.59</v>
      </c>
      <c r="K1128" s="21">
        <v>562.66999999999996</v>
      </c>
      <c r="L1128" s="22">
        <v>7.335</v>
      </c>
      <c r="M1128" s="23">
        <v>18.781300000000002</v>
      </c>
      <c r="N1128" s="22">
        <v>3.2538</v>
      </c>
      <c r="O1128" s="22">
        <v>3.1372</v>
      </c>
      <c r="P1128" s="21">
        <v>13281.5</v>
      </c>
      <c r="Q1128" s="20">
        <v>64.555000000000007</v>
      </c>
      <c r="R1128" s="21"/>
    </row>
    <row r="1129" spans="1:18">
      <c r="A1129" s="14">
        <v>41815</v>
      </c>
      <c r="B1129" s="15">
        <v>173.55</v>
      </c>
      <c r="C1129" s="15">
        <v>179.95</v>
      </c>
      <c r="F1129">
        <v>4</v>
      </c>
      <c r="G1129">
        <v>12</v>
      </c>
      <c r="H1129">
        <v>2017</v>
      </c>
      <c r="I1129" s="41">
        <v>42837</v>
      </c>
      <c r="J1129" s="38">
        <v>2870.55</v>
      </c>
      <c r="K1129" s="21">
        <v>561.54999999999995</v>
      </c>
      <c r="L1129" s="22">
        <v>7.3404999999999996</v>
      </c>
      <c r="M1129" s="23">
        <v>18.551300000000001</v>
      </c>
      <c r="N1129" s="22">
        <v>3.2534999999999998</v>
      </c>
      <c r="O1129" s="22">
        <v>3.1257999999999999</v>
      </c>
      <c r="P1129" s="21">
        <v>13275</v>
      </c>
      <c r="Q1129" s="20">
        <v>64.69</v>
      </c>
      <c r="R1129" s="21"/>
    </row>
    <row r="1130" spans="1:18">
      <c r="A1130" s="14">
        <v>41816</v>
      </c>
      <c r="B1130" s="15">
        <v>177.7</v>
      </c>
      <c r="C1130" s="15">
        <v>178.8</v>
      </c>
      <c r="F1130">
        <v>4</v>
      </c>
      <c r="G1130">
        <v>13</v>
      </c>
      <c r="H1130">
        <v>2017</v>
      </c>
      <c r="I1130" s="41">
        <v>42838</v>
      </c>
      <c r="J1130" s="38">
        <v>2868.11</v>
      </c>
      <c r="K1130" s="21">
        <v>561.55999999999995</v>
      </c>
      <c r="L1130" s="22">
        <v>7.3360000000000003</v>
      </c>
      <c r="M1130" s="23">
        <v>18.5885</v>
      </c>
      <c r="N1130" s="22">
        <v>3.2559</v>
      </c>
      <c r="O1130" s="22">
        <v>3.1444000000000001</v>
      </c>
      <c r="P1130" s="21">
        <v>13256.5</v>
      </c>
      <c r="Q1130" s="20">
        <v>64.444999999999993</v>
      </c>
      <c r="R1130" s="21"/>
    </row>
    <row r="1131" spans="1:18">
      <c r="A1131" s="14">
        <v>41817</v>
      </c>
      <c r="B1131" s="15">
        <v>169.9</v>
      </c>
      <c r="C1131" s="15">
        <v>170.45</v>
      </c>
      <c r="F1131">
        <v>4</v>
      </c>
      <c r="G1131">
        <v>14</v>
      </c>
      <c r="H1131">
        <v>2017</v>
      </c>
      <c r="I1131" s="41">
        <v>42839</v>
      </c>
      <c r="J1131" s="38">
        <v>2866.5</v>
      </c>
      <c r="K1131" s="21">
        <v>560.35</v>
      </c>
      <c r="L1131" s="22">
        <v>7.3404999999999996</v>
      </c>
      <c r="M1131" s="23">
        <v>18.503799999999998</v>
      </c>
      <c r="N1131" s="22">
        <v>3.2515000000000001</v>
      </c>
      <c r="O1131" s="22">
        <v>3.1448</v>
      </c>
      <c r="P1131" s="21">
        <v>13256.5</v>
      </c>
      <c r="Q1131" s="20">
        <v>64.48</v>
      </c>
      <c r="R1131" s="21"/>
    </row>
    <row r="1132" spans="1:18">
      <c r="A1132" s="14">
        <v>41820</v>
      </c>
      <c r="B1132" s="15">
        <v>168.65</v>
      </c>
      <c r="C1132" s="15">
        <v>173</v>
      </c>
      <c r="F1132">
        <v>4</v>
      </c>
      <c r="G1132">
        <v>17</v>
      </c>
      <c r="H1132">
        <v>2017</v>
      </c>
      <c r="I1132" s="41">
        <v>42842</v>
      </c>
      <c r="J1132" s="38">
        <v>2851.68</v>
      </c>
      <c r="K1132" s="21">
        <v>558.35</v>
      </c>
      <c r="L1132" s="22">
        <v>7.3380000000000001</v>
      </c>
      <c r="M1132" s="23">
        <v>18.498000000000001</v>
      </c>
      <c r="N1132" s="22">
        <v>3.2559</v>
      </c>
      <c r="O1132" s="22">
        <v>3.0985</v>
      </c>
      <c r="P1132" s="21">
        <v>13285.5</v>
      </c>
      <c r="Q1132" s="20">
        <v>64.48</v>
      </c>
      <c r="R1132" s="21"/>
    </row>
    <row r="1133" spans="1:18">
      <c r="A1133" s="14">
        <v>41821</v>
      </c>
      <c r="B1133" s="15">
        <v>168.2</v>
      </c>
      <c r="C1133" s="15">
        <v>168.3</v>
      </c>
      <c r="F1133">
        <v>4</v>
      </c>
      <c r="G1133">
        <v>18</v>
      </c>
      <c r="H1133">
        <v>2017</v>
      </c>
      <c r="I1133" s="41">
        <v>42843</v>
      </c>
      <c r="J1133" s="38">
        <v>2840.5</v>
      </c>
      <c r="K1133" s="21">
        <v>560.9</v>
      </c>
      <c r="L1133" s="22">
        <v>7.335</v>
      </c>
      <c r="M1133" s="23">
        <v>18.594000000000001</v>
      </c>
      <c r="N1133" s="22">
        <v>3.2521</v>
      </c>
      <c r="O1133" s="22">
        <v>3.1078999999999999</v>
      </c>
      <c r="P1133" s="21">
        <v>13296.5</v>
      </c>
      <c r="Q1133" s="20">
        <v>64.605000000000004</v>
      </c>
      <c r="R1133" s="21"/>
    </row>
    <row r="1134" spans="1:18">
      <c r="A1134" s="14">
        <v>41822</v>
      </c>
      <c r="B1134" s="15">
        <v>169.5</v>
      </c>
      <c r="C1134" s="15">
        <v>171.05</v>
      </c>
      <c r="F1134">
        <v>4</v>
      </c>
      <c r="G1134">
        <v>19</v>
      </c>
      <c r="H1134">
        <v>2017</v>
      </c>
      <c r="I1134" s="41">
        <v>42844</v>
      </c>
      <c r="J1134" s="38">
        <v>2869</v>
      </c>
      <c r="K1134" s="21">
        <v>561</v>
      </c>
      <c r="L1134" s="22">
        <v>7.3360000000000003</v>
      </c>
      <c r="M1134" s="23">
        <v>18.849</v>
      </c>
      <c r="N1134" s="22">
        <v>3.2521</v>
      </c>
      <c r="O1134" s="22">
        <v>3.1522000000000001</v>
      </c>
      <c r="P1134" s="21">
        <v>13296.5</v>
      </c>
      <c r="Q1134" s="20">
        <v>64.665000000000006</v>
      </c>
      <c r="R1134" s="21"/>
    </row>
    <row r="1135" spans="1:18">
      <c r="A1135" s="14">
        <v>41823</v>
      </c>
      <c r="B1135" s="15">
        <v>172</v>
      </c>
      <c r="C1135" s="15">
        <v>169.4</v>
      </c>
      <c r="F1135">
        <v>4</v>
      </c>
      <c r="G1135">
        <v>20</v>
      </c>
      <c r="H1135">
        <v>2017</v>
      </c>
      <c r="I1135" s="41">
        <v>42845</v>
      </c>
      <c r="J1135" s="38">
        <v>2850.5</v>
      </c>
      <c r="K1135" s="21">
        <v>559.78</v>
      </c>
      <c r="L1135" s="22">
        <v>7.3315000000000001</v>
      </c>
      <c r="M1135" s="23">
        <v>18.788</v>
      </c>
      <c r="N1135" s="22">
        <v>3.2431999999999999</v>
      </c>
      <c r="O1135" s="22">
        <v>3.1486000000000001</v>
      </c>
      <c r="P1135" s="21">
        <v>13323.5</v>
      </c>
      <c r="Q1135" s="20">
        <v>64.62</v>
      </c>
      <c r="R1135" s="21"/>
    </row>
    <row r="1136" spans="1:18">
      <c r="A1136" s="14">
        <v>41827</v>
      </c>
      <c r="B1136" s="15">
        <v>165</v>
      </c>
      <c r="C1136" s="15">
        <v>169</v>
      </c>
      <c r="F1136">
        <v>4</v>
      </c>
      <c r="G1136">
        <v>21</v>
      </c>
      <c r="H1136">
        <v>2017</v>
      </c>
      <c r="I1136" s="41">
        <v>42846</v>
      </c>
      <c r="J1136" s="38">
        <v>2875.5</v>
      </c>
      <c r="K1136" s="21">
        <v>555.54999999999995</v>
      </c>
      <c r="L1136" s="22">
        <v>7.3345000000000002</v>
      </c>
      <c r="M1136" s="23">
        <v>18.8125</v>
      </c>
      <c r="N1136" s="22">
        <v>3.242</v>
      </c>
      <c r="O1136" s="22">
        <v>3.1482000000000001</v>
      </c>
      <c r="P1136" s="21">
        <v>13320</v>
      </c>
      <c r="Q1136" s="20">
        <v>64.650000000000006</v>
      </c>
      <c r="R1136" s="21"/>
    </row>
    <row r="1137" spans="1:18">
      <c r="A1137" s="14">
        <v>41828</v>
      </c>
      <c r="B1137" s="15">
        <v>169</v>
      </c>
      <c r="C1137" s="15">
        <v>170.2</v>
      </c>
      <c r="F1137">
        <v>4</v>
      </c>
      <c r="G1137">
        <v>24</v>
      </c>
      <c r="H1137">
        <v>2017</v>
      </c>
      <c r="I1137" s="41">
        <v>42849</v>
      </c>
      <c r="J1137" s="38">
        <v>2871</v>
      </c>
      <c r="K1137" s="21">
        <v>556.25</v>
      </c>
      <c r="L1137" s="22">
        <v>7.3354999999999997</v>
      </c>
      <c r="M1137" s="23">
        <v>18.733000000000001</v>
      </c>
      <c r="N1137" s="22">
        <v>3.2446999999999999</v>
      </c>
      <c r="O1137" s="22">
        <v>3.1280000000000001</v>
      </c>
      <c r="P1137" s="21">
        <v>13320</v>
      </c>
      <c r="Q1137" s="20">
        <v>64.489999999999995</v>
      </c>
      <c r="R1137" s="21"/>
    </row>
    <row r="1138" spans="1:18">
      <c r="A1138" s="14">
        <v>41829</v>
      </c>
      <c r="B1138" s="15"/>
      <c r="C1138" s="15">
        <v>170.2</v>
      </c>
      <c r="F1138">
        <v>4</v>
      </c>
      <c r="G1138">
        <v>25</v>
      </c>
      <c r="H1138">
        <v>2017</v>
      </c>
      <c r="I1138" s="41">
        <v>42850</v>
      </c>
      <c r="J1138" s="38">
        <v>2900.03</v>
      </c>
      <c r="K1138" s="21">
        <v>557</v>
      </c>
      <c r="L1138" s="22">
        <v>7.3404999999999996</v>
      </c>
      <c r="M1138" s="23">
        <v>18.855499999999999</v>
      </c>
      <c r="N1138" s="22">
        <v>3.2454999999999998</v>
      </c>
      <c r="O1138" s="22">
        <v>3.1471</v>
      </c>
      <c r="P1138" s="21">
        <v>13277.5</v>
      </c>
      <c r="Q1138" s="20">
        <v>64.33</v>
      </c>
      <c r="R1138" s="21"/>
    </row>
    <row r="1139" spans="1:18">
      <c r="A1139" s="14">
        <v>41830</v>
      </c>
      <c r="B1139" s="15">
        <v>160.85</v>
      </c>
      <c r="C1139" s="15">
        <v>160.25</v>
      </c>
      <c r="F1139">
        <v>4</v>
      </c>
      <c r="G1139">
        <v>26</v>
      </c>
      <c r="H1139">
        <v>2017</v>
      </c>
      <c r="I1139" s="41">
        <v>42851</v>
      </c>
      <c r="J1139" s="38">
        <v>2930</v>
      </c>
      <c r="K1139" s="21">
        <v>560.75</v>
      </c>
      <c r="L1139" s="22">
        <v>7.3434999999999997</v>
      </c>
      <c r="M1139" s="23">
        <v>19.183</v>
      </c>
      <c r="N1139" s="22">
        <v>3.25</v>
      </c>
      <c r="O1139" s="22">
        <v>3.1722999999999999</v>
      </c>
      <c r="P1139" s="21">
        <v>13285</v>
      </c>
      <c r="Q1139" s="20">
        <v>64.13</v>
      </c>
      <c r="R1139" s="21"/>
    </row>
    <row r="1140" spans="1:18">
      <c r="A1140" s="14">
        <v>41831</v>
      </c>
      <c r="B1140" s="15">
        <v>157.80000000000001</v>
      </c>
      <c r="C1140" s="15">
        <v>158.94999999999999</v>
      </c>
      <c r="F1140">
        <v>4</v>
      </c>
      <c r="G1140">
        <v>27</v>
      </c>
      <c r="H1140">
        <v>2017</v>
      </c>
      <c r="I1140" s="41">
        <v>42852</v>
      </c>
      <c r="J1140" s="38">
        <v>2940.75</v>
      </c>
      <c r="K1140" s="21">
        <v>556.07000000000005</v>
      </c>
      <c r="L1140" s="22">
        <v>7.3434999999999997</v>
      </c>
      <c r="M1140" s="23">
        <v>19.025700000000001</v>
      </c>
      <c r="N1140" s="22">
        <v>3.2450000000000001</v>
      </c>
      <c r="O1140" s="22">
        <v>3.1833999999999998</v>
      </c>
      <c r="P1140" s="21">
        <v>13314</v>
      </c>
      <c r="Q1140" s="20">
        <v>64.114999999999995</v>
      </c>
      <c r="R1140" s="21"/>
    </row>
    <row r="1141" spans="1:18">
      <c r="A1141" s="14">
        <v>41834</v>
      </c>
      <c r="B1141" s="15"/>
      <c r="C1141" s="15">
        <v>162.30000000000001</v>
      </c>
      <c r="F1141">
        <v>4</v>
      </c>
      <c r="G1141">
        <v>28</v>
      </c>
      <c r="H1141">
        <v>2017</v>
      </c>
      <c r="I1141" s="41">
        <v>42853</v>
      </c>
      <c r="J1141" s="38">
        <v>2941.68</v>
      </c>
      <c r="K1141" s="21">
        <v>558.5</v>
      </c>
      <c r="L1141" s="22">
        <v>7.3414999999999999</v>
      </c>
      <c r="M1141" s="23">
        <v>18.82</v>
      </c>
      <c r="N1141" s="22">
        <v>3.2507000000000001</v>
      </c>
      <c r="O1141" s="22">
        <v>3.1766999999999999</v>
      </c>
      <c r="P1141" s="21">
        <v>13329</v>
      </c>
      <c r="Q1141" s="20">
        <v>64.290000000000006</v>
      </c>
      <c r="R1141" s="21"/>
    </row>
    <row r="1142" spans="1:18">
      <c r="A1142" s="14">
        <v>41835</v>
      </c>
      <c r="B1142" s="15"/>
      <c r="C1142" s="15">
        <v>159.4</v>
      </c>
      <c r="F1142">
        <v>5</v>
      </c>
      <c r="G1142">
        <v>1</v>
      </c>
      <c r="H1142">
        <v>2017</v>
      </c>
      <c r="I1142" s="41">
        <v>42856</v>
      </c>
      <c r="J1142" s="38">
        <v>2941.5</v>
      </c>
      <c r="K1142" s="21">
        <v>562.88</v>
      </c>
      <c r="L1142" s="22">
        <v>7.3404999999999996</v>
      </c>
      <c r="M1142" s="23">
        <v>18.738600000000002</v>
      </c>
      <c r="N1142" s="22">
        <v>3.2440000000000002</v>
      </c>
      <c r="O1142" s="22">
        <v>3.1764999999999999</v>
      </c>
      <c r="P1142" s="21">
        <v>13329</v>
      </c>
      <c r="Q1142" s="20">
        <v>64.254999999999995</v>
      </c>
      <c r="R1142" s="21"/>
    </row>
    <row r="1143" spans="1:18">
      <c r="A1143" s="14">
        <v>41836</v>
      </c>
      <c r="B1143" s="15"/>
      <c r="C1143" s="15">
        <v>160.35</v>
      </c>
      <c r="F1143">
        <v>5</v>
      </c>
      <c r="G1143">
        <v>2</v>
      </c>
      <c r="H1143">
        <v>2017</v>
      </c>
      <c r="I1143" s="41">
        <v>42857</v>
      </c>
      <c r="J1143" s="38">
        <v>2940</v>
      </c>
      <c r="K1143" s="21">
        <v>562.88</v>
      </c>
      <c r="L1143" s="22">
        <v>7.3404999999999996</v>
      </c>
      <c r="M1143" s="23">
        <v>18.7593</v>
      </c>
      <c r="N1143" s="22">
        <v>3.2450999999999999</v>
      </c>
      <c r="O1143" s="22">
        <v>3.1516999999999999</v>
      </c>
      <c r="P1143" s="21">
        <v>13311.5</v>
      </c>
      <c r="Q1143" s="20">
        <v>64.165000000000006</v>
      </c>
      <c r="R1143" s="21"/>
    </row>
    <row r="1144" spans="1:18">
      <c r="A1144" s="14">
        <v>41837</v>
      </c>
      <c r="B1144" s="15"/>
      <c r="C1144" s="15">
        <v>161.69999999999999</v>
      </c>
      <c r="F1144">
        <v>5</v>
      </c>
      <c r="G1144">
        <v>3</v>
      </c>
      <c r="H1144">
        <v>2017</v>
      </c>
      <c r="I1144" s="41">
        <v>42858</v>
      </c>
      <c r="J1144" s="38">
        <v>2929.11</v>
      </c>
      <c r="K1144" s="21">
        <v>564.57000000000005</v>
      </c>
      <c r="L1144" s="22">
        <v>7.3384999999999998</v>
      </c>
      <c r="M1144" s="23">
        <v>18.866</v>
      </c>
      <c r="N1144" s="22">
        <v>3.2517999999999998</v>
      </c>
      <c r="O1144" s="22">
        <v>3.1652</v>
      </c>
      <c r="P1144" s="21">
        <v>13305.5</v>
      </c>
      <c r="Q1144" s="20">
        <v>64.165000000000006</v>
      </c>
      <c r="R1144" s="21"/>
    </row>
    <row r="1145" spans="1:18">
      <c r="A1145" s="14">
        <v>41838</v>
      </c>
      <c r="B1145" s="15">
        <v>163.80000000000001</v>
      </c>
      <c r="C1145" s="15">
        <v>170.7</v>
      </c>
      <c r="F1145">
        <v>5</v>
      </c>
      <c r="G1145">
        <v>4</v>
      </c>
      <c r="H1145">
        <v>2017</v>
      </c>
      <c r="I1145" s="41">
        <v>42859</v>
      </c>
      <c r="J1145" s="38">
        <v>2982.1</v>
      </c>
      <c r="K1145" s="21">
        <v>563.83000000000004</v>
      </c>
      <c r="L1145" s="22">
        <v>7.3425000000000002</v>
      </c>
      <c r="M1145" s="23">
        <v>19.053000000000001</v>
      </c>
      <c r="N1145" s="22">
        <v>3.2835000000000001</v>
      </c>
      <c r="O1145" s="22">
        <v>3.1884999999999999</v>
      </c>
      <c r="P1145" s="21">
        <v>13327.5</v>
      </c>
      <c r="Q1145" s="20">
        <v>64.215000000000003</v>
      </c>
      <c r="R1145" s="21"/>
    </row>
    <row r="1146" spans="1:18">
      <c r="A1146" s="14">
        <v>41841</v>
      </c>
      <c r="B1146" s="15"/>
      <c r="C1146" s="15">
        <v>171.65</v>
      </c>
      <c r="F1146">
        <v>5</v>
      </c>
      <c r="G1146">
        <v>5</v>
      </c>
      <c r="H1146">
        <v>2017</v>
      </c>
      <c r="I1146" s="41">
        <v>42860</v>
      </c>
      <c r="J1146" s="38">
        <v>2944</v>
      </c>
      <c r="K1146" s="21">
        <v>569.25</v>
      </c>
      <c r="L1146" s="22">
        <v>7.3375000000000004</v>
      </c>
      <c r="M1146" s="23">
        <v>18.999500000000001</v>
      </c>
      <c r="N1146" s="22">
        <v>3.2654999999999998</v>
      </c>
      <c r="O1146" s="22">
        <v>3.1774</v>
      </c>
      <c r="P1146" s="21">
        <v>13330</v>
      </c>
      <c r="Q1146" s="20">
        <v>64.314999999999998</v>
      </c>
      <c r="R1146" s="21"/>
    </row>
    <row r="1147" spans="1:18">
      <c r="A1147" s="14">
        <v>41842</v>
      </c>
      <c r="B1147" s="15">
        <v>166.6</v>
      </c>
      <c r="C1147" s="15">
        <v>168.3</v>
      </c>
      <c r="F1147">
        <v>5</v>
      </c>
      <c r="G1147">
        <v>8</v>
      </c>
      <c r="H1147">
        <v>2017</v>
      </c>
      <c r="I1147" s="41">
        <v>42863</v>
      </c>
      <c r="J1147" s="38">
        <v>2962.15</v>
      </c>
      <c r="K1147" s="21">
        <v>558.67999999999995</v>
      </c>
      <c r="L1147" s="22">
        <v>7.3339999999999996</v>
      </c>
      <c r="M1147" s="23">
        <v>19.210999999999999</v>
      </c>
      <c r="N1147" s="22">
        <v>3.2867000000000002</v>
      </c>
      <c r="O1147" s="22">
        <v>3.198</v>
      </c>
      <c r="P1147" s="21">
        <v>13309.5</v>
      </c>
      <c r="Q1147" s="20">
        <v>64.36</v>
      </c>
      <c r="R1147" s="21"/>
    </row>
    <row r="1148" spans="1:18">
      <c r="A1148" s="14">
        <v>41843</v>
      </c>
      <c r="B1148" s="15">
        <v>166.95</v>
      </c>
      <c r="C1148" s="15">
        <v>176.6</v>
      </c>
      <c r="F1148">
        <v>5</v>
      </c>
      <c r="G1148">
        <v>9</v>
      </c>
      <c r="H1148">
        <v>2017</v>
      </c>
      <c r="I1148" s="41">
        <v>42864</v>
      </c>
      <c r="J1148" s="38">
        <v>2977.12</v>
      </c>
      <c r="K1148" s="21">
        <v>566.84</v>
      </c>
      <c r="L1148" s="22">
        <v>7.3375000000000004</v>
      </c>
      <c r="M1148" s="23">
        <v>19.171500000000002</v>
      </c>
      <c r="N1148" s="22">
        <v>3.2898000000000001</v>
      </c>
      <c r="O1148" s="22">
        <v>3.1901999999999999</v>
      </c>
      <c r="P1148" s="21">
        <v>13350</v>
      </c>
      <c r="Q1148" s="20">
        <v>64.680000000000007</v>
      </c>
      <c r="R1148" s="21"/>
    </row>
    <row r="1149" spans="1:18">
      <c r="A1149" s="14">
        <v>41844</v>
      </c>
      <c r="B1149" s="15">
        <v>175.7</v>
      </c>
      <c r="C1149" s="15">
        <v>178.3</v>
      </c>
      <c r="F1149">
        <v>5</v>
      </c>
      <c r="G1149">
        <v>10</v>
      </c>
      <c r="H1149">
        <v>2017</v>
      </c>
      <c r="I1149" s="41">
        <v>42865</v>
      </c>
      <c r="J1149" s="38">
        <v>2941.93</v>
      </c>
      <c r="K1149" s="21">
        <v>563</v>
      </c>
      <c r="L1149" s="22">
        <v>7.3384999999999998</v>
      </c>
      <c r="M1149" s="23">
        <v>19.013999999999999</v>
      </c>
      <c r="N1149" s="22">
        <v>3.294</v>
      </c>
      <c r="O1149" s="22">
        <v>3.1678000000000002</v>
      </c>
      <c r="P1149" s="21">
        <v>13357.5</v>
      </c>
      <c r="Q1149" s="20">
        <v>64.614999999999995</v>
      </c>
      <c r="R1149" s="21"/>
    </row>
    <row r="1150" spans="1:18">
      <c r="A1150" s="14">
        <v>41845</v>
      </c>
      <c r="B1150" s="15">
        <v>176.6</v>
      </c>
      <c r="C1150" s="15">
        <v>179.15</v>
      </c>
      <c r="F1150">
        <v>5</v>
      </c>
      <c r="G1150">
        <v>11</v>
      </c>
      <c r="H1150">
        <v>2017</v>
      </c>
      <c r="I1150" s="41">
        <v>42866</v>
      </c>
      <c r="J1150" s="38">
        <v>2926.7</v>
      </c>
      <c r="K1150" s="21">
        <v>569.16999999999996</v>
      </c>
      <c r="L1150" s="22">
        <v>7.3345000000000002</v>
      </c>
      <c r="M1150" s="23">
        <v>18.832000000000001</v>
      </c>
      <c r="N1150" s="22">
        <v>3.2869999999999999</v>
      </c>
      <c r="O1150" s="22">
        <v>3.1402999999999999</v>
      </c>
      <c r="P1150" s="21">
        <v>13357.5</v>
      </c>
      <c r="Q1150" s="20">
        <v>64.405000000000001</v>
      </c>
      <c r="R1150" s="21"/>
    </row>
    <row r="1151" spans="1:18">
      <c r="A1151" s="14">
        <v>41848</v>
      </c>
      <c r="B1151" s="15">
        <v>178</v>
      </c>
      <c r="C1151" s="15">
        <v>181.1</v>
      </c>
      <c r="F1151">
        <v>5</v>
      </c>
      <c r="G1151">
        <v>12</v>
      </c>
      <c r="H1151">
        <v>2017</v>
      </c>
      <c r="I1151" s="41">
        <v>42867</v>
      </c>
      <c r="J1151" s="38">
        <v>2921</v>
      </c>
      <c r="K1151" s="21">
        <v>569.13</v>
      </c>
      <c r="L1151" s="22">
        <v>7.3345000000000002</v>
      </c>
      <c r="M1151" s="23">
        <v>18.8157</v>
      </c>
      <c r="N1151" s="22">
        <v>3.2734999999999999</v>
      </c>
      <c r="O1151" s="22">
        <v>3.1217999999999999</v>
      </c>
      <c r="P1151" s="21">
        <v>13329.5</v>
      </c>
      <c r="Q1151" s="20">
        <v>64.242999999999995</v>
      </c>
      <c r="R1151" s="21"/>
    </row>
    <row r="1152" spans="1:18">
      <c r="A1152" s="14">
        <v>41849</v>
      </c>
      <c r="B1152" s="15">
        <v>178.4</v>
      </c>
      <c r="C1152" s="15">
        <v>180.7</v>
      </c>
      <c r="F1152">
        <v>5</v>
      </c>
      <c r="G1152">
        <v>15</v>
      </c>
      <c r="H1152">
        <v>2017</v>
      </c>
      <c r="I1152" s="41">
        <v>42870</v>
      </c>
      <c r="J1152" s="38">
        <v>2879.35</v>
      </c>
      <c r="K1152" s="21">
        <v>569.41999999999996</v>
      </c>
      <c r="L1152" s="22">
        <v>7.3334999999999999</v>
      </c>
      <c r="M1152" s="23">
        <v>18.6995</v>
      </c>
      <c r="N1152" s="22">
        <v>3.2679999999999998</v>
      </c>
      <c r="O1152" s="22">
        <v>3.1113</v>
      </c>
      <c r="P1152" s="21">
        <v>13304</v>
      </c>
      <c r="Q1152" s="20">
        <v>64.064999999999998</v>
      </c>
      <c r="R1152" s="21"/>
    </row>
    <row r="1153" spans="1:18">
      <c r="A1153" s="14">
        <v>41850</v>
      </c>
      <c r="B1153" s="15">
        <v>179.75</v>
      </c>
      <c r="C1153" s="15">
        <v>182.5</v>
      </c>
      <c r="F1153">
        <v>5</v>
      </c>
      <c r="G1153">
        <v>16</v>
      </c>
      <c r="H1153">
        <v>2017</v>
      </c>
      <c r="I1153" s="41">
        <v>42871</v>
      </c>
      <c r="J1153" s="38">
        <v>2880.32</v>
      </c>
      <c r="K1153" s="21">
        <v>575.95000000000005</v>
      </c>
      <c r="L1153" s="22">
        <v>7.3319999999999999</v>
      </c>
      <c r="M1153" s="23">
        <v>18.642499999999998</v>
      </c>
      <c r="N1153" s="22">
        <v>3.262</v>
      </c>
      <c r="O1153" s="22">
        <v>3.0964</v>
      </c>
      <c r="P1153" s="21">
        <v>13300.5</v>
      </c>
      <c r="Q1153" s="20">
        <v>64.045000000000002</v>
      </c>
      <c r="R1153" s="21"/>
    </row>
    <row r="1154" spans="1:18">
      <c r="A1154" s="14">
        <v>41851</v>
      </c>
      <c r="B1154" s="15">
        <v>183.35</v>
      </c>
      <c r="C1154" s="15">
        <v>195.05</v>
      </c>
      <c r="F1154">
        <v>5</v>
      </c>
      <c r="G1154">
        <v>17</v>
      </c>
      <c r="H1154">
        <v>2017</v>
      </c>
      <c r="I1154" s="41">
        <v>42872</v>
      </c>
      <c r="J1154" s="38">
        <v>2898</v>
      </c>
      <c r="K1154" s="21">
        <v>571.29999999999995</v>
      </c>
      <c r="L1154" s="22">
        <v>7.3375000000000004</v>
      </c>
      <c r="M1154" s="23">
        <v>18.781199999999998</v>
      </c>
      <c r="N1154" s="22">
        <v>3.2749999999999999</v>
      </c>
      <c r="O1154" s="22">
        <v>3.1379999999999999</v>
      </c>
      <c r="P1154" s="21">
        <v>13323.5</v>
      </c>
      <c r="Q1154" s="20">
        <v>64.13</v>
      </c>
      <c r="R1154" s="21"/>
    </row>
    <row r="1155" spans="1:18">
      <c r="A1155" s="14">
        <v>41852</v>
      </c>
      <c r="B1155" s="15">
        <v>191.6</v>
      </c>
      <c r="C1155" s="15">
        <v>192.35</v>
      </c>
      <c r="F1155">
        <v>5</v>
      </c>
      <c r="G1155">
        <v>18</v>
      </c>
      <c r="H1155">
        <v>2017</v>
      </c>
      <c r="I1155" s="41">
        <v>42873</v>
      </c>
      <c r="J1155" s="38">
        <v>2925.28</v>
      </c>
      <c r="K1155" s="21">
        <v>568.65</v>
      </c>
      <c r="L1155" s="22">
        <v>7.3304999999999998</v>
      </c>
      <c r="M1155" s="23">
        <v>18.829000000000001</v>
      </c>
      <c r="N1155" s="22">
        <v>3.2787000000000002</v>
      </c>
      <c r="O1155" s="22">
        <v>3.371</v>
      </c>
      <c r="P1155" s="21">
        <v>13355.5</v>
      </c>
      <c r="Q1155" s="20">
        <v>64.88</v>
      </c>
      <c r="R1155" s="21"/>
    </row>
    <row r="1156" spans="1:18">
      <c r="A1156" s="14">
        <v>41855</v>
      </c>
      <c r="B1156" s="15">
        <v>183.3</v>
      </c>
      <c r="C1156" s="15">
        <v>190.5</v>
      </c>
      <c r="F1156">
        <v>5</v>
      </c>
      <c r="G1156">
        <v>19</v>
      </c>
      <c r="H1156">
        <v>2017</v>
      </c>
      <c r="I1156" s="41">
        <v>42874</v>
      </c>
      <c r="J1156" s="38">
        <v>2884.2</v>
      </c>
      <c r="K1156" s="21">
        <v>575.70000000000005</v>
      </c>
      <c r="L1156" s="22">
        <v>7.3375000000000004</v>
      </c>
      <c r="M1156" s="23">
        <v>18.705200000000001</v>
      </c>
      <c r="N1156" s="22">
        <v>3.2742</v>
      </c>
      <c r="O1156" s="22">
        <v>3.2528999999999999</v>
      </c>
      <c r="P1156" s="21">
        <v>13335</v>
      </c>
      <c r="Q1156" s="20">
        <v>64.564999999999998</v>
      </c>
      <c r="R1156" s="21"/>
    </row>
    <row r="1157" spans="1:18">
      <c r="A1157" s="14">
        <v>41856</v>
      </c>
      <c r="B1157" s="15">
        <v>187.35</v>
      </c>
      <c r="C1157" s="15">
        <v>189.4</v>
      </c>
      <c r="F1157">
        <v>5</v>
      </c>
      <c r="G1157">
        <v>22</v>
      </c>
      <c r="H1157">
        <v>2017</v>
      </c>
      <c r="I1157" s="41">
        <v>42877</v>
      </c>
      <c r="J1157" s="38">
        <v>2905.03</v>
      </c>
      <c r="K1157" s="21">
        <v>579.87</v>
      </c>
      <c r="L1157" s="22">
        <v>7.3345000000000002</v>
      </c>
      <c r="M1157" s="23">
        <v>18.6646</v>
      </c>
      <c r="N1157" s="22">
        <v>3.2770999999999999</v>
      </c>
      <c r="O1157" s="22">
        <v>3.2656000000000001</v>
      </c>
      <c r="P1157" s="21">
        <v>13302.5</v>
      </c>
      <c r="Q1157" s="20">
        <v>64.510000000000005</v>
      </c>
      <c r="R1157" s="21"/>
    </row>
    <row r="1158" spans="1:18">
      <c r="A1158" s="14">
        <v>41857</v>
      </c>
      <c r="B1158" s="15">
        <v>185.95</v>
      </c>
      <c r="C1158" s="15">
        <v>190.85</v>
      </c>
      <c r="F1158">
        <v>5</v>
      </c>
      <c r="G1158">
        <v>23</v>
      </c>
      <c r="H1158">
        <v>2017</v>
      </c>
      <c r="I1158" s="41">
        <v>42878</v>
      </c>
      <c r="J1158" s="38">
        <v>2907.46</v>
      </c>
      <c r="K1158" s="21">
        <v>582.98</v>
      </c>
      <c r="L1158" s="22">
        <v>7.3334999999999999</v>
      </c>
      <c r="M1158" s="23">
        <v>18.634</v>
      </c>
      <c r="N1158" s="22">
        <v>3.2822</v>
      </c>
      <c r="O1158" s="22">
        <v>3.2705000000000002</v>
      </c>
      <c r="P1158" s="21">
        <v>13302.5</v>
      </c>
      <c r="Q1158" s="20">
        <v>64.894999999999996</v>
      </c>
      <c r="R1158" s="21"/>
    </row>
    <row r="1159" spans="1:18">
      <c r="A1159" s="14">
        <v>41858</v>
      </c>
      <c r="B1159" s="15">
        <v>183.7</v>
      </c>
      <c r="C1159" s="15">
        <v>184</v>
      </c>
      <c r="F1159">
        <v>5</v>
      </c>
      <c r="G1159">
        <v>24</v>
      </c>
      <c r="H1159">
        <v>2017</v>
      </c>
      <c r="I1159" s="41">
        <v>42879</v>
      </c>
      <c r="J1159" s="38">
        <v>2907.11</v>
      </c>
      <c r="K1159" s="21">
        <v>590.17999999999995</v>
      </c>
      <c r="L1159" s="22">
        <v>7.3419999999999996</v>
      </c>
      <c r="M1159" s="23">
        <v>18.443000000000001</v>
      </c>
      <c r="N1159" s="22">
        <v>3.2656000000000001</v>
      </c>
      <c r="O1159" s="22">
        <v>3.2784</v>
      </c>
      <c r="P1159" s="21">
        <v>13308.5</v>
      </c>
      <c r="Q1159" s="20">
        <v>64.77</v>
      </c>
      <c r="R1159" s="21"/>
    </row>
    <row r="1160" spans="1:18">
      <c r="A1160" s="14">
        <v>41859</v>
      </c>
      <c r="B1160" s="15">
        <v>179.4</v>
      </c>
      <c r="C1160" s="15">
        <v>180.85</v>
      </c>
      <c r="F1160">
        <v>5</v>
      </c>
      <c r="G1160">
        <v>25</v>
      </c>
      <c r="H1160">
        <v>2017</v>
      </c>
      <c r="I1160" s="41">
        <v>42880</v>
      </c>
      <c r="J1160" s="38">
        <v>2918.5</v>
      </c>
      <c r="K1160" s="21">
        <v>590.55999999999995</v>
      </c>
      <c r="L1160" s="22">
        <v>7.3434999999999997</v>
      </c>
      <c r="M1160" s="23">
        <v>18.506</v>
      </c>
      <c r="N1160" s="22">
        <v>3.2675999999999998</v>
      </c>
      <c r="O1160" s="22">
        <v>3.2736000000000001</v>
      </c>
      <c r="P1160" s="21">
        <v>13308.5</v>
      </c>
      <c r="Q1160" s="20">
        <v>64.555000000000007</v>
      </c>
      <c r="R1160" s="21"/>
    </row>
    <row r="1161" spans="1:18">
      <c r="A1161" s="14">
        <v>41862</v>
      </c>
      <c r="B1161" s="15">
        <v>180.85</v>
      </c>
      <c r="C1161" s="15">
        <v>189.15</v>
      </c>
      <c r="F1161">
        <v>5</v>
      </c>
      <c r="G1161">
        <v>26</v>
      </c>
      <c r="H1161">
        <v>2017</v>
      </c>
      <c r="I1161" s="41">
        <v>42881</v>
      </c>
      <c r="J1161" s="38">
        <v>2911.5</v>
      </c>
      <c r="K1161" s="21">
        <v>586.70000000000005</v>
      </c>
      <c r="L1161" s="22">
        <v>7.3494999999999999</v>
      </c>
      <c r="M1161" s="23">
        <v>18.518000000000001</v>
      </c>
      <c r="N1161" s="22">
        <v>3.2738</v>
      </c>
      <c r="O1161" s="22">
        <v>3.2601</v>
      </c>
      <c r="P1161" s="21">
        <v>13294.5</v>
      </c>
      <c r="Q1161" s="20">
        <v>64.510000000000005</v>
      </c>
      <c r="R1161" s="21"/>
    </row>
    <row r="1162" spans="1:18">
      <c r="A1162" s="14">
        <v>41863</v>
      </c>
      <c r="B1162" s="15">
        <v>183</v>
      </c>
      <c r="C1162" s="15">
        <v>184.6</v>
      </c>
      <c r="F1162">
        <v>5</v>
      </c>
      <c r="G1162">
        <v>29</v>
      </c>
      <c r="H1162">
        <v>2017</v>
      </c>
      <c r="I1162" s="41">
        <v>42884</v>
      </c>
      <c r="J1162" s="38">
        <v>2911.75</v>
      </c>
      <c r="K1162" s="21">
        <v>586.70000000000005</v>
      </c>
      <c r="L1162" s="22">
        <v>7.3494999999999999</v>
      </c>
      <c r="M1162" s="23">
        <v>18.4772</v>
      </c>
      <c r="N1162" s="22">
        <v>3.2839999999999998</v>
      </c>
      <c r="O1162" s="22">
        <v>3.2566999999999999</v>
      </c>
      <c r="P1162" s="21">
        <v>13321.5</v>
      </c>
      <c r="Q1162" s="20">
        <v>64.540000000000006</v>
      </c>
      <c r="R1162" s="21"/>
    </row>
    <row r="1163" spans="1:18">
      <c r="A1163" s="14">
        <v>41864</v>
      </c>
      <c r="B1163" s="15">
        <v>184.5</v>
      </c>
      <c r="C1163" s="15">
        <v>185.25</v>
      </c>
      <c r="F1163">
        <v>5</v>
      </c>
      <c r="G1163">
        <v>30</v>
      </c>
      <c r="H1163">
        <v>2017</v>
      </c>
      <c r="I1163" s="41">
        <v>42885</v>
      </c>
      <c r="J1163" s="38">
        <v>2918.93</v>
      </c>
      <c r="K1163" s="21">
        <v>573.35</v>
      </c>
      <c r="L1163" s="22">
        <v>7.3494999999999999</v>
      </c>
      <c r="M1163" s="23">
        <v>18.708300000000001</v>
      </c>
      <c r="N1163" s="22">
        <v>3.2810999999999999</v>
      </c>
      <c r="O1163" s="22">
        <v>3.2576999999999998</v>
      </c>
      <c r="P1163" s="21">
        <v>13323.5</v>
      </c>
      <c r="Q1163" s="20">
        <v>64.635000000000005</v>
      </c>
      <c r="R1163" s="21"/>
    </row>
    <row r="1164" spans="1:18">
      <c r="A1164" s="14">
        <v>41865</v>
      </c>
      <c r="B1164" s="15">
        <v>181.1</v>
      </c>
      <c r="C1164" s="15">
        <v>184.1</v>
      </c>
      <c r="F1164">
        <v>5</v>
      </c>
      <c r="G1164">
        <v>31</v>
      </c>
      <c r="H1164">
        <v>2017</v>
      </c>
      <c r="I1164" s="41">
        <v>42886</v>
      </c>
      <c r="J1164" s="38">
        <v>2916.25</v>
      </c>
      <c r="K1164" s="21">
        <v>572.35</v>
      </c>
      <c r="L1164" s="22">
        <v>7.3535000000000004</v>
      </c>
      <c r="M1164" s="23">
        <v>18.621200000000002</v>
      </c>
      <c r="N1164" s="22">
        <v>3.2705000000000002</v>
      </c>
      <c r="O1164" s="22">
        <v>3.2265999999999999</v>
      </c>
      <c r="P1164" s="21">
        <v>13322.5</v>
      </c>
      <c r="Q1164" s="20">
        <v>64.510000000000005</v>
      </c>
      <c r="R1164" s="21"/>
    </row>
    <row r="1165" spans="1:18">
      <c r="A1165" s="14">
        <v>41866</v>
      </c>
      <c r="B1165" s="15">
        <v>182.5</v>
      </c>
      <c r="C1165" s="15">
        <v>188.75</v>
      </c>
      <c r="F1165">
        <v>6</v>
      </c>
      <c r="G1165">
        <v>1</v>
      </c>
      <c r="H1165">
        <v>2017</v>
      </c>
      <c r="I1165" s="41">
        <v>42887</v>
      </c>
      <c r="J1165" s="38">
        <v>2892.85</v>
      </c>
      <c r="K1165" s="21">
        <v>569.65</v>
      </c>
      <c r="L1165" s="22">
        <v>7.3585000000000003</v>
      </c>
      <c r="M1165" s="23">
        <v>18.639199999999999</v>
      </c>
      <c r="N1165" s="22">
        <v>3.2723</v>
      </c>
      <c r="O1165" s="22">
        <v>3.2505999999999999</v>
      </c>
      <c r="P1165" s="21">
        <v>13322.5</v>
      </c>
      <c r="Q1165" s="20">
        <v>64.477999999999994</v>
      </c>
      <c r="R1165" s="21"/>
    </row>
    <row r="1166" spans="1:18">
      <c r="A1166" s="14">
        <v>41869</v>
      </c>
      <c r="B1166" s="15">
        <v>186.15</v>
      </c>
      <c r="C1166" s="15">
        <v>188.9</v>
      </c>
      <c r="F1166">
        <v>6</v>
      </c>
      <c r="G1166">
        <v>2</v>
      </c>
      <c r="H1166">
        <v>2017</v>
      </c>
      <c r="I1166" s="41">
        <v>42888</v>
      </c>
      <c r="J1166" s="38">
        <v>2894.47</v>
      </c>
      <c r="K1166" s="21">
        <v>567.75</v>
      </c>
      <c r="L1166" s="22">
        <v>7.3594999999999997</v>
      </c>
      <c r="M1166" s="23">
        <v>18.684999999999999</v>
      </c>
      <c r="N1166" s="22">
        <v>3.2719</v>
      </c>
      <c r="O1166" s="22">
        <v>3.2483</v>
      </c>
      <c r="P1166" s="21">
        <v>13304</v>
      </c>
      <c r="Q1166" s="20">
        <v>64.415000000000006</v>
      </c>
      <c r="R1166" s="21"/>
    </row>
    <row r="1167" spans="1:18">
      <c r="A1167" s="14">
        <v>41870</v>
      </c>
      <c r="B1167" s="15">
        <v>182</v>
      </c>
      <c r="C1167" s="15">
        <v>182.2</v>
      </c>
      <c r="F1167">
        <v>6</v>
      </c>
      <c r="G1167">
        <v>5</v>
      </c>
      <c r="H1167">
        <v>2017</v>
      </c>
      <c r="I1167" s="41">
        <v>42891</v>
      </c>
      <c r="J1167" s="38">
        <v>2900</v>
      </c>
      <c r="K1167" s="21">
        <v>567.73</v>
      </c>
      <c r="L1167" s="22">
        <v>7.3574999999999999</v>
      </c>
      <c r="M1167" s="23">
        <v>18.343</v>
      </c>
      <c r="N1167" s="22">
        <v>3.2671000000000001</v>
      </c>
      <c r="O1167" s="22">
        <v>3.2968999999999999</v>
      </c>
      <c r="P1167" s="21">
        <v>13286</v>
      </c>
      <c r="Q1167" s="20">
        <v>64.349999999999994</v>
      </c>
      <c r="R1167" s="21"/>
    </row>
    <row r="1168" spans="1:18">
      <c r="A1168" s="14">
        <v>41871</v>
      </c>
      <c r="B1168" s="15">
        <v>178.65</v>
      </c>
      <c r="C1168" s="15">
        <v>184.1</v>
      </c>
      <c r="F1168">
        <v>6</v>
      </c>
      <c r="G1168">
        <v>6</v>
      </c>
      <c r="H1168">
        <v>2017</v>
      </c>
      <c r="I1168" s="41">
        <v>42892</v>
      </c>
      <c r="J1168" s="38">
        <v>2894.85</v>
      </c>
      <c r="K1168" s="21">
        <v>567.78</v>
      </c>
      <c r="L1168" s="22">
        <v>7.3525</v>
      </c>
      <c r="M1168" s="23">
        <v>18.236000000000001</v>
      </c>
      <c r="N1168" s="22">
        <v>3.2669999999999999</v>
      </c>
      <c r="O1168" s="22">
        <v>3.2778</v>
      </c>
      <c r="P1168" s="21">
        <v>13298</v>
      </c>
      <c r="Q1168" s="20">
        <v>64.430000000000007</v>
      </c>
      <c r="R1168" s="21"/>
    </row>
    <row r="1169" spans="1:18">
      <c r="A1169" s="14">
        <v>41872</v>
      </c>
      <c r="B1169" s="15">
        <v>181.85</v>
      </c>
      <c r="C1169" s="15">
        <v>183.75</v>
      </c>
      <c r="F1169">
        <v>6</v>
      </c>
      <c r="G1169">
        <v>7</v>
      </c>
      <c r="H1169">
        <v>2017</v>
      </c>
      <c r="I1169" s="41">
        <v>42893</v>
      </c>
      <c r="J1169" s="38">
        <v>2915.53</v>
      </c>
      <c r="K1169" s="21">
        <v>567.76</v>
      </c>
      <c r="L1169" s="22">
        <v>7.3484999999999996</v>
      </c>
      <c r="M1169" s="23">
        <v>18.226700000000001</v>
      </c>
      <c r="N1169" s="22">
        <v>3.2694999999999999</v>
      </c>
      <c r="O1169" s="22">
        <v>3.2694999999999999</v>
      </c>
      <c r="P1169" s="21">
        <v>13304</v>
      </c>
      <c r="Q1169" s="20">
        <v>64.435000000000002</v>
      </c>
      <c r="R1169" s="21"/>
    </row>
    <row r="1170" spans="1:18">
      <c r="A1170" s="14">
        <v>41873</v>
      </c>
      <c r="B1170" s="15">
        <v>181.4</v>
      </c>
      <c r="C1170" s="15">
        <v>181.6</v>
      </c>
      <c r="F1170">
        <v>6</v>
      </c>
      <c r="G1170">
        <v>8</v>
      </c>
      <c r="H1170">
        <v>2017</v>
      </c>
      <c r="I1170" s="41">
        <v>42894</v>
      </c>
      <c r="J1170" s="38">
        <v>2919.32</v>
      </c>
      <c r="K1170" s="21">
        <v>567.87</v>
      </c>
      <c r="L1170" s="22">
        <v>7.3484999999999996</v>
      </c>
      <c r="M1170" s="23">
        <v>18.201000000000001</v>
      </c>
      <c r="N1170" s="22">
        <v>3.2685</v>
      </c>
      <c r="O1170" s="22">
        <v>3.2616999999999998</v>
      </c>
      <c r="P1170" s="21">
        <v>13298</v>
      </c>
      <c r="Q1170" s="20">
        <v>64.25</v>
      </c>
      <c r="R1170" s="21"/>
    </row>
    <row r="1171" spans="1:18">
      <c r="A1171" s="14">
        <v>41876</v>
      </c>
      <c r="B1171" s="15">
        <v>180.55</v>
      </c>
      <c r="C1171" s="15">
        <v>182.75</v>
      </c>
      <c r="F1171">
        <v>6</v>
      </c>
      <c r="G1171">
        <v>9</v>
      </c>
      <c r="H1171">
        <v>2017</v>
      </c>
      <c r="I1171" s="41">
        <v>42895</v>
      </c>
      <c r="J1171" s="38">
        <v>2914.5</v>
      </c>
      <c r="K1171" s="21">
        <v>568.62</v>
      </c>
      <c r="L1171" s="22">
        <v>7.3484999999999996</v>
      </c>
      <c r="M1171" s="23">
        <v>18.172000000000001</v>
      </c>
      <c r="N1171" s="22">
        <v>3.2679999999999998</v>
      </c>
      <c r="O1171" s="22">
        <v>3.2970999999999999</v>
      </c>
      <c r="P1171" s="21">
        <v>13291.5</v>
      </c>
      <c r="Q1171" s="20">
        <v>64.245000000000005</v>
      </c>
      <c r="R1171" s="21"/>
    </row>
    <row r="1172" spans="1:18">
      <c r="A1172" s="14">
        <v>41877</v>
      </c>
      <c r="B1172" s="15">
        <v>183</v>
      </c>
      <c r="C1172" s="15">
        <v>193.1</v>
      </c>
      <c r="F1172">
        <v>6</v>
      </c>
      <c r="G1172">
        <v>12</v>
      </c>
      <c r="H1172">
        <v>2017</v>
      </c>
      <c r="I1172" s="41">
        <v>42898</v>
      </c>
      <c r="J1172" s="38">
        <v>2930.78</v>
      </c>
      <c r="K1172" s="21">
        <v>572.5</v>
      </c>
      <c r="L1172" s="22">
        <v>7.3425000000000002</v>
      </c>
      <c r="M1172" s="23">
        <v>18.136199999999999</v>
      </c>
      <c r="N1172" s="22">
        <v>3.2797000000000001</v>
      </c>
      <c r="O1172" s="22">
        <v>3.3180999999999998</v>
      </c>
      <c r="P1172" s="21">
        <v>13298</v>
      </c>
      <c r="Q1172" s="20">
        <v>64.48</v>
      </c>
      <c r="R1172" s="21"/>
    </row>
    <row r="1173" spans="1:18">
      <c r="A1173" s="14">
        <v>41878</v>
      </c>
      <c r="B1173" s="15">
        <v>192</v>
      </c>
      <c r="C1173" s="15">
        <v>192.4</v>
      </c>
      <c r="F1173">
        <v>6</v>
      </c>
      <c r="G1173">
        <v>13</v>
      </c>
      <c r="H1173">
        <v>2017</v>
      </c>
      <c r="I1173" s="41">
        <v>42899</v>
      </c>
      <c r="J1173" s="38">
        <v>2932.26</v>
      </c>
      <c r="K1173" s="21">
        <v>568.08000000000004</v>
      </c>
      <c r="L1173" s="22">
        <v>7.3434999999999997</v>
      </c>
      <c r="M1173" s="23">
        <v>18.055</v>
      </c>
      <c r="N1173" s="22">
        <v>3.2774000000000001</v>
      </c>
      <c r="O1173" s="22">
        <v>3.3153999999999999</v>
      </c>
      <c r="P1173" s="21">
        <v>13291.5</v>
      </c>
      <c r="Q1173" s="20">
        <v>64.344999999999999</v>
      </c>
      <c r="R1173" s="21"/>
    </row>
    <row r="1174" spans="1:18">
      <c r="A1174" s="14">
        <v>41879</v>
      </c>
      <c r="B1174" s="15">
        <v>192.05</v>
      </c>
      <c r="C1174" s="15">
        <v>194.65</v>
      </c>
      <c r="F1174">
        <v>6</v>
      </c>
      <c r="G1174">
        <v>14</v>
      </c>
      <c r="H1174">
        <v>2017</v>
      </c>
      <c r="I1174" s="41">
        <v>42900</v>
      </c>
      <c r="J1174" s="38">
        <v>2935.5</v>
      </c>
      <c r="K1174" s="21">
        <v>570.98</v>
      </c>
      <c r="L1174" s="22">
        <v>7.3414999999999999</v>
      </c>
      <c r="M1174" s="23">
        <v>17.920500000000001</v>
      </c>
      <c r="N1174" s="22">
        <v>3.2766999999999999</v>
      </c>
      <c r="O1174" s="22">
        <v>3.2742</v>
      </c>
      <c r="P1174" s="21">
        <v>13282.5</v>
      </c>
      <c r="Q1174" s="20">
        <v>64.234999999999999</v>
      </c>
      <c r="R1174" s="21"/>
    </row>
    <row r="1175" spans="1:18">
      <c r="A1175" s="14">
        <v>41880</v>
      </c>
      <c r="B1175" s="15">
        <v>193.45</v>
      </c>
      <c r="C1175" s="15">
        <v>195.75</v>
      </c>
      <c r="F1175">
        <v>6</v>
      </c>
      <c r="G1175">
        <v>15</v>
      </c>
      <c r="H1175">
        <v>2017</v>
      </c>
      <c r="I1175" s="41">
        <v>42901</v>
      </c>
      <c r="J1175" s="38">
        <v>2952.75</v>
      </c>
      <c r="K1175" s="21">
        <v>571.99</v>
      </c>
      <c r="L1175" s="22">
        <v>7.3410000000000002</v>
      </c>
      <c r="M1175" s="23">
        <v>18.047999999999998</v>
      </c>
      <c r="N1175" s="22">
        <v>3.2797000000000001</v>
      </c>
      <c r="O1175" s="22">
        <v>3.2749999999999999</v>
      </c>
      <c r="P1175" s="21">
        <v>13286</v>
      </c>
      <c r="Q1175" s="20">
        <v>64.564999999999998</v>
      </c>
      <c r="R1175" s="21"/>
    </row>
    <row r="1176" spans="1:18">
      <c r="A1176" s="14">
        <v>41884</v>
      </c>
      <c r="B1176" s="15">
        <v>200.1</v>
      </c>
      <c r="C1176" s="15">
        <v>204.45</v>
      </c>
      <c r="F1176">
        <v>6</v>
      </c>
      <c r="G1176">
        <v>16</v>
      </c>
      <c r="H1176">
        <v>2017</v>
      </c>
      <c r="I1176" s="41">
        <v>42902</v>
      </c>
      <c r="J1176" s="38">
        <v>2974.5</v>
      </c>
      <c r="K1176" s="21">
        <v>569.66999999999996</v>
      </c>
      <c r="L1176" s="22">
        <v>7.3434999999999997</v>
      </c>
      <c r="M1176" s="23">
        <v>17.9115</v>
      </c>
      <c r="N1176" s="22">
        <v>3.2763</v>
      </c>
      <c r="O1176" s="22">
        <v>3.2932999999999999</v>
      </c>
      <c r="P1176" s="21">
        <v>13297.5</v>
      </c>
      <c r="Q1176" s="20">
        <v>64.465000000000003</v>
      </c>
      <c r="R1176" s="21"/>
    </row>
    <row r="1177" spans="1:18">
      <c r="A1177" s="14">
        <v>41885</v>
      </c>
      <c r="B1177" s="15">
        <v>198.2</v>
      </c>
      <c r="C1177" s="15">
        <v>197.3</v>
      </c>
      <c r="F1177">
        <v>6</v>
      </c>
      <c r="G1177">
        <v>19</v>
      </c>
      <c r="H1177">
        <v>2017</v>
      </c>
      <c r="I1177" s="41">
        <v>42905</v>
      </c>
      <c r="J1177" s="38">
        <v>2976.99</v>
      </c>
      <c r="K1177" s="21">
        <v>570.20000000000005</v>
      </c>
      <c r="L1177" s="22">
        <v>7.3404999999999996</v>
      </c>
      <c r="M1177" s="23">
        <v>17.9575</v>
      </c>
      <c r="N1177" s="22">
        <v>3.2747999999999999</v>
      </c>
      <c r="O1177" s="22">
        <v>3.2827999999999999</v>
      </c>
      <c r="P1177" s="21">
        <v>13289</v>
      </c>
      <c r="Q1177" s="20">
        <v>64.495000000000005</v>
      </c>
      <c r="R1177" s="21"/>
    </row>
    <row r="1178" spans="1:18">
      <c r="A1178" s="14">
        <v>41886</v>
      </c>
      <c r="B1178" s="15">
        <v>192.1</v>
      </c>
      <c r="C1178" s="15">
        <v>197.45</v>
      </c>
      <c r="F1178">
        <v>6</v>
      </c>
      <c r="G1178">
        <v>20</v>
      </c>
      <c r="H1178">
        <v>2017</v>
      </c>
      <c r="I1178" s="41">
        <v>42906</v>
      </c>
      <c r="J1178" s="38">
        <v>3031.81</v>
      </c>
      <c r="K1178" s="21">
        <v>569.16999999999996</v>
      </c>
      <c r="L1178" s="22">
        <v>7.3395000000000001</v>
      </c>
      <c r="M1178" s="23">
        <v>18.189499999999999</v>
      </c>
      <c r="N1178" s="22">
        <v>3.2717999999999998</v>
      </c>
      <c r="O1178" s="22">
        <v>3.327</v>
      </c>
      <c r="P1178" s="21">
        <v>13288.5</v>
      </c>
      <c r="Q1178" s="20">
        <v>64.540000000000006</v>
      </c>
      <c r="R1178" s="21"/>
    </row>
    <row r="1179" spans="1:18">
      <c r="A1179" s="14">
        <v>41887</v>
      </c>
      <c r="B1179" s="15">
        <v>196</v>
      </c>
      <c r="C1179" s="15">
        <v>192.85</v>
      </c>
      <c r="F1179">
        <v>6</v>
      </c>
      <c r="G1179">
        <v>21</v>
      </c>
      <c r="H1179">
        <v>2017</v>
      </c>
      <c r="I1179" s="41">
        <v>42907</v>
      </c>
      <c r="J1179" s="38">
        <v>3058.2</v>
      </c>
      <c r="K1179" s="21">
        <v>569.6</v>
      </c>
      <c r="L1179" s="22">
        <v>7.3395000000000001</v>
      </c>
      <c r="M1179" s="23">
        <v>18.234200000000001</v>
      </c>
      <c r="N1179" s="22">
        <v>3.2719999999999998</v>
      </c>
      <c r="O1179" s="22">
        <v>3.3363</v>
      </c>
      <c r="P1179" s="21">
        <v>13318.5</v>
      </c>
      <c r="Q1179" s="20">
        <v>64.53</v>
      </c>
      <c r="R1179" s="21"/>
    </row>
    <row r="1180" spans="1:18">
      <c r="A1180" s="14">
        <v>41890</v>
      </c>
      <c r="B1180" s="15">
        <v>188.7</v>
      </c>
      <c r="C1180" s="15">
        <v>189.65</v>
      </c>
      <c r="F1180">
        <v>6</v>
      </c>
      <c r="G1180">
        <v>22</v>
      </c>
      <c r="H1180">
        <v>2017</v>
      </c>
      <c r="I1180" s="41">
        <v>42908</v>
      </c>
      <c r="J1180" s="38">
        <v>3026.39</v>
      </c>
      <c r="K1180" s="21">
        <v>573.02</v>
      </c>
      <c r="L1180" s="22">
        <v>7.3360000000000003</v>
      </c>
      <c r="M1180" s="23">
        <v>18.111499999999999</v>
      </c>
      <c r="N1180" s="22">
        <v>3.2703000000000002</v>
      </c>
      <c r="O1180" s="22">
        <v>3.3424999999999998</v>
      </c>
      <c r="P1180" s="21">
        <v>13327.5</v>
      </c>
      <c r="Q1180" s="20">
        <v>64.605000000000004</v>
      </c>
      <c r="R1180" s="21"/>
    </row>
    <row r="1181" spans="1:18">
      <c r="A1181" s="14">
        <v>41891</v>
      </c>
      <c r="B1181" s="15">
        <v>190.8</v>
      </c>
      <c r="C1181" s="15">
        <v>188.1</v>
      </c>
      <c r="F1181">
        <v>6</v>
      </c>
      <c r="G1181">
        <v>23</v>
      </c>
      <c r="H1181">
        <v>2017</v>
      </c>
      <c r="I1181" s="41">
        <v>42909</v>
      </c>
      <c r="J1181" s="38">
        <v>3022.14</v>
      </c>
      <c r="K1181" s="21">
        <v>569.6</v>
      </c>
      <c r="L1181" s="22">
        <v>7.3384999999999998</v>
      </c>
      <c r="M1181" s="23">
        <v>17.999600000000001</v>
      </c>
      <c r="N1181" s="22">
        <v>3.2559</v>
      </c>
      <c r="O1181" s="22">
        <v>3.343</v>
      </c>
      <c r="P1181" s="21">
        <v>13327.5</v>
      </c>
      <c r="Q1181" s="20">
        <v>64.504999999999995</v>
      </c>
      <c r="R1181" s="21"/>
    </row>
    <row r="1182" spans="1:18">
      <c r="A1182" s="14">
        <v>41892</v>
      </c>
      <c r="B1182" s="15">
        <v>176.2</v>
      </c>
      <c r="C1182" s="15">
        <v>177</v>
      </c>
      <c r="F1182">
        <v>6</v>
      </c>
      <c r="G1182">
        <v>26</v>
      </c>
      <c r="H1182">
        <v>2017</v>
      </c>
      <c r="I1182" s="41">
        <v>42912</v>
      </c>
      <c r="J1182" s="38">
        <v>3021.28</v>
      </c>
      <c r="K1182" s="21">
        <v>571.83000000000004</v>
      </c>
      <c r="L1182" s="22">
        <v>7.3330000000000002</v>
      </c>
      <c r="M1182" s="23">
        <v>17.872</v>
      </c>
      <c r="N1182" s="22">
        <v>3.2542</v>
      </c>
      <c r="O1182" s="22">
        <v>3.2963</v>
      </c>
      <c r="P1182" s="21">
        <v>13327.5</v>
      </c>
      <c r="Q1182" s="20">
        <v>64.435000000000002</v>
      </c>
      <c r="R1182" s="21"/>
    </row>
    <row r="1183" spans="1:18">
      <c r="A1183" s="14">
        <v>41893</v>
      </c>
      <c r="B1183" s="15">
        <v>176.55</v>
      </c>
      <c r="C1183" s="15">
        <v>180.55</v>
      </c>
      <c r="F1183">
        <v>6</v>
      </c>
      <c r="G1183">
        <v>27</v>
      </c>
      <c r="H1183">
        <v>2017</v>
      </c>
      <c r="I1183" s="41">
        <v>42913</v>
      </c>
      <c r="J1183" s="38">
        <v>3028.47</v>
      </c>
      <c r="K1183" s="21">
        <v>571.39</v>
      </c>
      <c r="L1183" s="22">
        <v>7.3324999999999996</v>
      </c>
      <c r="M1183" s="23">
        <v>17.991</v>
      </c>
      <c r="N1183" s="22">
        <v>3.2553000000000001</v>
      </c>
      <c r="O1183" s="22">
        <v>3.3134999999999999</v>
      </c>
      <c r="P1183" s="21">
        <v>13327.5</v>
      </c>
      <c r="Q1183" s="20">
        <v>64.474999999999994</v>
      </c>
      <c r="R1183" s="21"/>
    </row>
    <row r="1184" spans="1:18">
      <c r="A1184" s="14">
        <v>41894</v>
      </c>
      <c r="B1184" s="15">
        <v>178.05</v>
      </c>
      <c r="C1184" s="15">
        <v>179.65</v>
      </c>
      <c r="F1184">
        <v>6</v>
      </c>
      <c r="G1184">
        <v>28</v>
      </c>
      <c r="H1184">
        <v>2017</v>
      </c>
      <c r="I1184" s="41">
        <v>42914</v>
      </c>
      <c r="J1184" s="38">
        <v>3017.72</v>
      </c>
      <c r="K1184" s="21">
        <v>569.54</v>
      </c>
      <c r="L1184" s="22">
        <v>7.3375000000000004</v>
      </c>
      <c r="M1184" s="23">
        <v>17.852499999999999</v>
      </c>
      <c r="N1184" s="22">
        <v>3.2513000000000001</v>
      </c>
      <c r="O1184" s="22">
        <v>3.2805</v>
      </c>
      <c r="P1184" s="21">
        <v>13327.5</v>
      </c>
      <c r="Q1184" s="20">
        <v>64.525000000000006</v>
      </c>
      <c r="R1184" s="21"/>
    </row>
    <row r="1185" spans="1:18">
      <c r="A1185" s="14">
        <v>41897</v>
      </c>
      <c r="B1185" s="15">
        <v>177.5</v>
      </c>
      <c r="C1185" s="15">
        <v>177.3</v>
      </c>
      <c r="F1185">
        <v>6</v>
      </c>
      <c r="G1185">
        <v>29</v>
      </c>
      <c r="H1185">
        <v>2017</v>
      </c>
      <c r="I1185" s="41">
        <v>42915</v>
      </c>
      <c r="J1185" s="38">
        <v>3046.15</v>
      </c>
      <c r="K1185" s="21">
        <v>569.76</v>
      </c>
      <c r="L1185" s="22">
        <v>7.3365</v>
      </c>
      <c r="M1185" s="23">
        <v>18.045000000000002</v>
      </c>
      <c r="N1185" s="22">
        <v>3.2507999999999999</v>
      </c>
      <c r="O1185" s="22">
        <v>3.3043</v>
      </c>
      <c r="P1185" s="21">
        <v>13327.5</v>
      </c>
      <c r="Q1185" s="20">
        <v>64.66</v>
      </c>
      <c r="R1185" s="21"/>
    </row>
    <row r="1186" spans="1:18">
      <c r="A1186" s="14">
        <v>41898</v>
      </c>
      <c r="B1186" s="15">
        <v>176.95</v>
      </c>
      <c r="C1186" s="15">
        <v>180.6</v>
      </c>
      <c r="F1186">
        <v>6</v>
      </c>
      <c r="G1186">
        <v>30</v>
      </c>
      <c r="H1186">
        <v>2017</v>
      </c>
      <c r="I1186" s="41">
        <v>42916</v>
      </c>
      <c r="J1186" s="38">
        <v>3047.07</v>
      </c>
      <c r="K1186" s="21">
        <v>572.08000000000004</v>
      </c>
      <c r="L1186" s="22">
        <v>7.3365</v>
      </c>
      <c r="M1186" s="23">
        <v>18.127800000000001</v>
      </c>
      <c r="N1186" s="22">
        <v>3.2521</v>
      </c>
      <c r="O1186" s="22">
        <v>3.3071999999999999</v>
      </c>
      <c r="P1186" s="21">
        <v>13327.5</v>
      </c>
      <c r="Q1186" s="20">
        <v>64.62</v>
      </c>
      <c r="R1186" s="21"/>
    </row>
    <row r="1187" spans="1:18">
      <c r="A1187" s="14">
        <v>41899</v>
      </c>
      <c r="B1187" s="15">
        <v>179.2</v>
      </c>
      <c r="C1187" s="15">
        <v>180.65</v>
      </c>
      <c r="F1187">
        <v>7</v>
      </c>
      <c r="G1187">
        <v>3</v>
      </c>
      <c r="H1187">
        <v>2017</v>
      </c>
      <c r="I1187" s="41">
        <v>42919</v>
      </c>
      <c r="J1187" s="38">
        <v>3046</v>
      </c>
      <c r="K1187" s="21">
        <v>567.63</v>
      </c>
      <c r="L1187" s="22">
        <v>7.3451000000000004</v>
      </c>
      <c r="M1187" s="23">
        <v>18.220500000000001</v>
      </c>
      <c r="N1187" s="22">
        <v>3.2576999999999998</v>
      </c>
      <c r="O1187" s="22">
        <v>3.3014999999999999</v>
      </c>
      <c r="P1187" s="21">
        <v>13367.5</v>
      </c>
      <c r="Q1187" s="20">
        <v>64.844999999999999</v>
      </c>
      <c r="R1187" s="21"/>
    </row>
    <row r="1188" spans="1:18">
      <c r="A1188" s="14">
        <v>41900</v>
      </c>
      <c r="B1188" s="15"/>
      <c r="C1188" s="15">
        <v>175.9</v>
      </c>
      <c r="F1188">
        <v>7</v>
      </c>
      <c r="G1188">
        <v>4</v>
      </c>
      <c r="H1188">
        <v>2017</v>
      </c>
      <c r="I1188" s="41">
        <v>42920</v>
      </c>
      <c r="J1188" s="38">
        <v>3048.15</v>
      </c>
      <c r="K1188" s="21">
        <v>573.30999999999995</v>
      </c>
      <c r="L1188" s="22">
        <v>7.3324999999999996</v>
      </c>
      <c r="M1188" s="23">
        <v>18.202000000000002</v>
      </c>
      <c r="N1188" s="22">
        <v>3.2574999999999998</v>
      </c>
      <c r="O1188" s="22">
        <v>3.3092999999999999</v>
      </c>
      <c r="P1188" s="21">
        <v>13363.5</v>
      </c>
      <c r="Q1188" s="20">
        <v>64.790000000000006</v>
      </c>
      <c r="R1188" s="21"/>
    </row>
    <row r="1189" spans="1:18">
      <c r="A1189" s="14">
        <v>41901</v>
      </c>
      <c r="B1189" s="15">
        <v>176.4</v>
      </c>
      <c r="C1189" s="15">
        <v>178</v>
      </c>
      <c r="F1189">
        <v>7</v>
      </c>
      <c r="G1189">
        <v>5</v>
      </c>
      <c r="H1189">
        <v>2017</v>
      </c>
      <c r="I1189" s="41">
        <v>42921</v>
      </c>
      <c r="J1189" s="38">
        <v>3084</v>
      </c>
      <c r="K1189" s="21">
        <v>572.83000000000004</v>
      </c>
      <c r="L1189" s="22">
        <v>7.3319999999999999</v>
      </c>
      <c r="M1189" s="23">
        <v>18.302499999999998</v>
      </c>
      <c r="N1189" s="22">
        <v>3.2563</v>
      </c>
      <c r="O1189" s="22">
        <v>3.2888999999999999</v>
      </c>
      <c r="P1189" s="21">
        <v>13364</v>
      </c>
      <c r="Q1189" s="20">
        <v>64.8</v>
      </c>
      <c r="R1189" s="21"/>
    </row>
    <row r="1190" spans="1:18">
      <c r="A1190" s="14">
        <v>41904</v>
      </c>
      <c r="B1190" s="15">
        <v>176.4</v>
      </c>
      <c r="C1190" s="15">
        <v>179.4</v>
      </c>
      <c r="F1190">
        <v>7</v>
      </c>
      <c r="G1190">
        <v>6</v>
      </c>
      <c r="H1190">
        <v>2017</v>
      </c>
      <c r="I1190" s="41">
        <v>42922</v>
      </c>
      <c r="J1190" s="38">
        <v>3096</v>
      </c>
      <c r="K1190" s="21">
        <v>574.66999999999996</v>
      </c>
      <c r="L1190" s="22">
        <v>7.3334999999999999</v>
      </c>
      <c r="M1190" s="23">
        <v>18.2605</v>
      </c>
      <c r="N1190" s="22">
        <v>3.2519999999999998</v>
      </c>
      <c r="O1190" s="22">
        <v>3.2961999999999998</v>
      </c>
      <c r="P1190" s="21">
        <v>13388</v>
      </c>
      <c r="Q1190" s="20">
        <v>64.724999999999994</v>
      </c>
      <c r="R1190" s="21"/>
    </row>
    <row r="1191" spans="1:18">
      <c r="A1191" s="14">
        <v>41905</v>
      </c>
      <c r="B1191" s="15">
        <v>179.4</v>
      </c>
      <c r="C1191" s="15">
        <v>180.9</v>
      </c>
      <c r="F1191">
        <v>7</v>
      </c>
      <c r="G1191">
        <v>7</v>
      </c>
      <c r="H1191">
        <v>2017</v>
      </c>
      <c r="I1191" s="41">
        <v>42923</v>
      </c>
      <c r="J1191" s="38">
        <v>3090.5</v>
      </c>
      <c r="K1191" s="21">
        <v>573.99</v>
      </c>
      <c r="L1191" s="22">
        <v>7.327</v>
      </c>
      <c r="M1191" s="23">
        <v>18.087499999999999</v>
      </c>
      <c r="N1191" s="22">
        <v>3.2526999999999999</v>
      </c>
      <c r="O1191" s="22">
        <v>3.2812999999999999</v>
      </c>
      <c r="P1191" s="21">
        <v>13403</v>
      </c>
      <c r="Q1191" s="20">
        <v>64.625</v>
      </c>
      <c r="R1191" s="21"/>
    </row>
    <row r="1192" spans="1:18">
      <c r="A1192" s="14">
        <v>41906</v>
      </c>
      <c r="B1192" s="15">
        <v>180.9</v>
      </c>
      <c r="C1192" s="15">
        <v>189.1</v>
      </c>
      <c r="F1192">
        <v>7</v>
      </c>
      <c r="G1192">
        <v>10</v>
      </c>
      <c r="H1192">
        <v>2017</v>
      </c>
      <c r="I1192" s="41">
        <v>42926</v>
      </c>
      <c r="J1192" s="38">
        <v>3062.68</v>
      </c>
      <c r="K1192" s="21">
        <v>574.29</v>
      </c>
      <c r="L1192" s="22">
        <v>7.3250000000000002</v>
      </c>
      <c r="M1192" s="23">
        <v>17.9556</v>
      </c>
      <c r="N1192" s="22">
        <v>3.2543000000000002</v>
      </c>
      <c r="O1192" s="22">
        <v>3.2557</v>
      </c>
      <c r="P1192" s="21">
        <v>13399</v>
      </c>
      <c r="Q1192" s="20">
        <v>64.474999999999994</v>
      </c>
      <c r="R1192" s="21"/>
    </row>
    <row r="1193" spans="1:18">
      <c r="A1193" s="14">
        <v>41907</v>
      </c>
      <c r="B1193" s="15">
        <v>179.45</v>
      </c>
      <c r="C1193" s="15">
        <v>182.3</v>
      </c>
      <c r="F1193">
        <v>7</v>
      </c>
      <c r="G1193">
        <v>11</v>
      </c>
      <c r="H1193">
        <v>2017</v>
      </c>
      <c r="I1193" s="41">
        <v>42927</v>
      </c>
      <c r="J1193" s="38">
        <v>3075.5</v>
      </c>
      <c r="K1193" s="21">
        <v>574.01</v>
      </c>
      <c r="L1193" s="22">
        <v>7.3174999999999999</v>
      </c>
      <c r="M1193" s="23">
        <v>17.907</v>
      </c>
      <c r="N1193" s="22">
        <v>3.2551999999999999</v>
      </c>
      <c r="O1193" s="22">
        <v>3.2547999999999999</v>
      </c>
      <c r="P1193" s="21">
        <v>13391</v>
      </c>
      <c r="Q1193" s="20">
        <v>64.564999999999998</v>
      </c>
      <c r="R1193" s="21"/>
    </row>
    <row r="1194" spans="1:18">
      <c r="A1194" s="14">
        <v>41908</v>
      </c>
      <c r="B1194" s="15">
        <v>180.15</v>
      </c>
      <c r="C1194" s="15">
        <v>186.05</v>
      </c>
      <c r="F1194">
        <v>7</v>
      </c>
      <c r="G1194">
        <v>12</v>
      </c>
      <c r="H1194">
        <v>2017</v>
      </c>
      <c r="I1194" s="41">
        <v>42928</v>
      </c>
      <c r="J1194" s="38">
        <v>3048.1</v>
      </c>
      <c r="K1194" s="21">
        <v>574.98</v>
      </c>
      <c r="L1194" s="22">
        <v>7.3174999999999999</v>
      </c>
      <c r="M1194" s="23">
        <v>17.7803</v>
      </c>
      <c r="N1194" s="22">
        <v>3.2515000000000001</v>
      </c>
      <c r="O1194" s="22">
        <v>3.2079</v>
      </c>
      <c r="P1194" s="21">
        <v>13369.5</v>
      </c>
      <c r="Q1194" s="20">
        <v>64.474999999999994</v>
      </c>
      <c r="R1194" s="21"/>
    </row>
    <row r="1195" spans="1:18">
      <c r="A1195" s="14">
        <v>41911</v>
      </c>
      <c r="B1195" s="15">
        <v>185.2</v>
      </c>
      <c r="C1195" s="15">
        <v>191.25</v>
      </c>
      <c r="F1195">
        <v>7</v>
      </c>
      <c r="G1195">
        <v>13</v>
      </c>
      <c r="H1195">
        <v>2017</v>
      </c>
      <c r="I1195" s="41">
        <v>42929</v>
      </c>
      <c r="J1195" s="38">
        <v>3046.8</v>
      </c>
      <c r="K1195" s="21">
        <v>574.82000000000005</v>
      </c>
      <c r="L1195" s="22">
        <v>7.3105000000000002</v>
      </c>
      <c r="M1195" s="23">
        <v>17.678000000000001</v>
      </c>
      <c r="N1195" s="22">
        <v>3.2435</v>
      </c>
      <c r="O1195" s="22">
        <v>3.2138</v>
      </c>
      <c r="P1195" s="21">
        <v>13347.5</v>
      </c>
      <c r="Q1195" s="20">
        <v>64.459999999999994</v>
      </c>
      <c r="R1195" s="21"/>
    </row>
    <row r="1196" spans="1:18">
      <c r="A1196" s="14">
        <v>41912</v>
      </c>
      <c r="B1196" s="15">
        <v>188.55</v>
      </c>
      <c r="C1196" s="15">
        <v>193.35</v>
      </c>
      <c r="F1196">
        <v>7</v>
      </c>
      <c r="G1196">
        <v>14</v>
      </c>
      <c r="H1196">
        <v>2017</v>
      </c>
      <c r="I1196" s="41">
        <v>42930</v>
      </c>
      <c r="J1196" s="38">
        <v>3026.59</v>
      </c>
      <c r="K1196" s="21">
        <v>573.25</v>
      </c>
      <c r="L1196" s="22">
        <v>7.3085000000000004</v>
      </c>
      <c r="M1196" s="23">
        <v>17.562999999999999</v>
      </c>
      <c r="N1196" s="22">
        <v>3.2488999999999999</v>
      </c>
      <c r="O1196" s="22">
        <v>3.1798999999999999</v>
      </c>
      <c r="P1196" s="21">
        <v>13338.5</v>
      </c>
      <c r="Q1196" s="20">
        <v>64.424000000000007</v>
      </c>
      <c r="R1196" s="21"/>
    </row>
    <row r="1197" spans="1:18">
      <c r="A1197" s="14">
        <v>41913</v>
      </c>
      <c r="B1197" s="15">
        <v>193.7</v>
      </c>
      <c r="C1197" s="15">
        <v>200.4</v>
      </c>
      <c r="F1197">
        <v>7</v>
      </c>
      <c r="G1197">
        <v>17</v>
      </c>
      <c r="H1197">
        <v>2017</v>
      </c>
      <c r="I1197" s="41">
        <v>42933</v>
      </c>
      <c r="J1197" s="38">
        <v>3031.12</v>
      </c>
      <c r="K1197" s="21">
        <v>573.17999999999995</v>
      </c>
      <c r="L1197" s="22">
        <v>7.2895000000000003</v>
      </c>
      <c r="M1197" s="23">
        <v>17.587</v>
      </c>
      <c r="N1197" s="22">
        <v>3.2464</v>
      </c>
      <c r="O1197" s="22">
        <v>3.1833</v>
      </c>
      <c r="P1197" s="21">
        <v>13327.5</v>
      </c>
      <c r="Q1197" s="20">
        <v>64.344999999999999</v>
      </c>
      <c r="R1197" s="21"/>
    </row>
    <row r="1198" spans="1:18">
      <c r="A1198" s="14">
        <v>41914</v>
      </c>
      <c r="B1198" s="15">
        <v>200.2</v>
      </c>
      <c r="C1198" s="15">
        <v>208.6</v>
      </c>
      <c r="F1198">
        <v>7</v>
      </c>
      <c r="G1198">
        <v>18</v>
      </c>
      <c r="H1198">
        <v>2017</v>
      </c>
      <c r="I1198" s="41">
        <v>42934</v>
      </c>
      <c r="J1198" s="38">
        <v>3013.18</v>
      </c>
      <c r="K1198" s="21">
        <v>573.39</v>
      </c>
      <c r="L1198" s="22">
        <v>7.2904999999999998</v>
      </c>
      <c r="M1198" s="23">
        <v>17.479399999999998</v>
      </c>
      <c r="N1198" s="22">
        <v>3.2423999999999999</v>
      </c>
      <c r="O1198" s="22">
        <v>3.1545000000000001</v>
      </c>
      <c r="P1198" s="21">
        <v>13309</v>
      </c>
      <c r="Q1198" s="20">
        <v>64.316000000000003</v>
      </c>
      <c r="R1198" s="21"/>
    </row>
    <row r="1199" spans="1:18">
      <c r="A1199" s="14">
        <v>41915</v>
      </c>
      <c r="B1199" s="15">
        <v>205.4</v>
      </c>
      <c r="C1199" s="15">
        <v>206.5</v>
      </c>
      <c r="F1199">
        <v>7</v>
      </c>
      <c r="G1199">
        <v>19</v>
      </c>
      <c r="H1199">
        <v>2017</v>
      </c>
      <c r="I1199" s="41">
        <v>42935</v>
      </c>
      <c r="J1199" s="38">
        <v>3003.97</v>
      </c>
      <c r="K1199" s="21">
        <v>574.41</v>
      </c>
      <c r="L1199" s="22">
        <v>7.2919999999999998</v>
      </c>
      <c r="M1199" s="23">
        <v>17.547499999999999</v>
      </c>
      <c r="N1199" s="22">
        <v>3.2406999999999999</v>
      </c>
      <c r="O1199" s="22">
        <v>3.149</v>
      </c>
      <c r="P1199" s="21">
        <v>13318</v>
      </c>
      <c r="Q1199" s="20">
        <v>64.27</v>
      </c>
      <c r="R1199" s="21"/>
    </row>
    <row r="1200" spans="1:18">
      <c r="A1200" s="14">
        <v>41918</v>
      </c>
      <c r="B1200" s="15">
        <v>208.7</v>
      </c>
      <c r="C1200" s="15">
        <v>220.8</v>
      </c>
      <c r="F1200">
        <v>7</v>
      </c>
      <c r="G1200">
        <v>20</v>
      </c>
      <c r="H1200">
        <v>2017</v>
      </c>
      <c r="I1200" s="41">
        <v>42936</v>
      </c>
      <c r="J1200" s="38">
        <v>2999.26</v>
      </c>
      <c r="K1200" s="21">
        <v>574.46</v>
      </c>
      <c r="L1200" s="22">
        <v>7.2930000000000001</v>
      </c>
      <c r="M1200" s="23">
        <v>17.486000000000001</v>
      </c>
      <c r="N1200" s="22">
        <v>3.2416999999999998</v>
      </c>
      <c r="O1200" s="22">
        <v>3.1208</v>
      </c>
      <c r="P1200" s="21">
        <v>13334.5</v>
      </c>
      <c r="Q1200" s="20">
        <v>64.375</v>
      </c>
      <c r="R1200" s="21"/>
    </row>
    <row r="1201" spans="1:18">
      <c r="A1201" s="14">
        <v>41919</v>
      </c>
      <c r="B1201" s="15">
        <v>215.1</v>
      </c>
      <c r="C1201" s="15">
        <v>216.35</v>
      </c>
      <c r="F1201">
        <v>7</v>
      </c>
      <c r="G1201">
        <v>21</v>
      </c>
      <c r="H1201">
        <v>2017</v>
      </c>
      <c r="I1201" s="41">
        <v>42937</v>
      </c>
      <c r="J1201" s="38">
        <v>3014.28</v>
      </c>
      <c r="K1201" s="21">
        <v>574.72</v>
      </c>
      <c r="L1201" s="22">
        <v>7.2945000000000002</v>
      </c>
      <c r="M1201" s="23">
        <v>17.659700000000001</v>
      </c>
      <c r="N1201" s="22">
        <v>3.2494999999999998</v>
      </c>
      <c r="O1201" s="22">
        <v>3.1417999999999999</v>
      </c>
      <c r="P1201" s="21">
        <v>13312.5</v>
      </c>
      <c r="Q1201" s="20">
        <v>64.385000000000005</v>
      </c>
      <c r="R1201" s="21"/>
    </row>
    <row r="1202" spans="1:18">
      <c r="A1202" s="14">
        <v>41920</v>
      </c>
      <c r="B1202" s="15">
        <v>211</v>
      </c>
      <c r="C1202" s="15">
        <v>214.45</v>
      </c>
      <c r="F1202">
        <v>7</v>
      </c>
      <c r="G1202">
        <v>24</v>
      </c>
      <c r="H1202">
        <v>2017</v>
      </c>
      <c r="I1202" s="41">
        <v>42940</v>
      </c>
      <c r="J1202" s="38">
        <v>3029.14</v>
      </c>
      <c r="K1202" s="21">
        <v>573.99</v>
      </c>
      <c r="L1202" s="22">
        <v>7.2910000000000004</v>
      </c>
      <c r="M1202" s="23">
        <v>17.73</v>
      </c>
      <c r="N1202" s="22">
        <v>3.2446000000000002</v>
      </c>
      <c r="O1202" s="22">
        <v>3.1469999999999998</v>
      </c>
      <c r="P1202" s="21">
        <v>13310</v>
      </c>
      <c r="Q1202" s="20">
        <v>64.394999999999996</v>
      </c>
      <c r="R1202" s="21"/>
    </row>
    <row r="1203" spans="1:18">
      <c r="A1203" s="14">
        <v>41921</v>
      </c>
      <c r="B1203" s="15">
        <v>214.45</v>
      </c>
      <c r="C1203" s="15">
        <v>221.65</v>
      </c>
      <c r="F1203">
        <v>7</v>
      </c>
      <c r="G1203">
        <v>25</v>
      </c>
      <c r="H1203">
        <v>2017</v>
      </c>
      <c r="I1203" s="41">
        <v>42941</v>
      </c>
      <c r="J1203" s="38">
        <v>3030.8</v>
      </c>
      <c r="K1203" s="21">
        <v>573.59</v>
      </c>
      <c r="L1203" s="22">
        <v>7.2904999999999998</v>
      </c>
      <c r="M1203" s="23">
        <v>17.777000000000001</v>
      </c>
      <c r="N1203" s="22">
        <v>3.2505999999999999</v>
      </c>
      <c r="O1203" s="22">
        <v>3.1726000000000001</v>
      </c>
      <c r="P1203" s="21">
        <v>13326</v>
      </c>
      <c r="Q1203" s="20">
        <v>64.385000000000005</v>
      </c>
      <c r="R1203" s="21"/>
    </row>
    <row r="1204" spans="1:18">
      <c r="A1204" s="14">
        <v>41922</v>
      </c>
      <c r="B1204" s="15">
        <v>218.5</v>
      </c>
      <c r="C1204" s="15">
        <v>220.4</v>
      </c>
      <c r="F1204">
        <v>7</v>
      </c>
      <c r="G1204">
        <v>26</v>
      </c>
      <c r="H1204">
        <v>2017</v>
      </c>
      <c r="I1204" s="41">
        <v>42942</v>
      </c>
      <c r="J1204" s="38">
        <v>3017.39</v>
      </c>
      <c r="K1204" s="21">
        <v>573.91999999999996</v>
      </c>
      <c r="L1204" s="22">
        <v>7.2910000000000004</v>
      </c>
      <c r="M1204" s="23">
        <v>17.59</v>
      </c>
      <c r="N1204" s="22">
        <v>3.2479</v>
      </c>
      <c r="O1204" s="22">
        <v>3.1387</v>
      </c>
      <c r="P1204" s="21">
        <v>13336</v>
      </c>
      <c r="Q1204" s="20">
        <v>64.355000000000004</v>
      </c>
      <c r="R1204" s="21"/>
    </row>
    <row r="1205" spans="1:18">
      <c r="A1205" s="14">
        <v>41925</v>
      </c>
      <c r="B1205" s="15">
        <v>217.6</v>
      </c>
      <c r="C1205" s="15">
        <v>218.1</v>
      </c>
      <c r="F1205">
        <v>7</v>
      </c>
      <c r="G1205">
        <v>27</v>
      </c>
      <c r="H1205">
        <v>2017</v>
      </c>
      <c r="I1205" s="41">
        <v>42943</v>
      </c>
      <c r="J1205" s="38">
        <v>3016.03</v>
      </c>
      <c r="K1205" s="21">
        <v>573.95000000000005</v>
      </c>
      <c r="L1205" s="22">
        <v>7.2904999999999998</v>
      </c>
      <c r="M1205" s="23">
        <v>17.725100000000001</v>
      </c>
      <c r="N1205" s="22">
        <v>3.2479</v>
      </c>
      <c r="O1205" s="22">
        <v>3.153</v>
      </c>
      <c r="P1205" s="21">
        <v>13318</v>
      </c>
      <c r="Q1205" s="20">
        <v>64.125</v>
      </c>
      <c r="R1205" s="21"/>
    </row>
    <row r="1206" spans="1:18">
      <c r="A1206" s="14">
        <v>41926</v>
      </c>
      <c r="B1206" s="15">
        <v>216.2</v>
      </c>
      <c r="C1206" s="15">
        <v>221.9</v>
      </c>
      <c r="F1206">
        <v>7</v>
      </c>
      <c r="G1206">
        <v>28</v>
      </c>
      <c r="H1206">
        <v>2017</v>
      </c>
      <c r="I1206" s="41">
        <v>42944</v>
      </c>
      <c r="J1206" s="38">
        <v>3000.45</v>
      </c>
      <c r="K1206" s="21">
        <v>574.66999999999996</v>
      </c>
      <c r="L1206" s="22">
        <v>7.2915000000000001</v>
      </c>
      <c r="M1206" s="23">
        <v>17.7805</v>
      </c>
      <c r="N1206" s="22">
        <v>3.2440000000000002</v>
      </c>
      <c r="O1206" s="22">
        <v>3.1318999999999999</v>
      </c>
      <c r="P1206" s="21">
        <v>13326.5</v>
      </c>
      <c r="Q1206" s="20">
        <v>64.114999999999995</v>
      </c>
      <c r="R1206" s="21"/>
    </row>
    <row r="1207" spans="1:18">
      <c r="A1207" s="14">
        <v>41927</v>
      </c>
      <c r="B1207" s="15">
        <v>214.5</v>
      </c>
      <c r="C1207" s="15">
        <v>216</v>
      </c>
      <c r="F1207">
        <v>7</v>
      </c>
      <c r="G1207">
        <v>31</v>
      </c>
      <c r="H1207">
        <v>2017</v>
      </c>
      <c r="I1207" s="41">
        <v>42947</v>
      </c>
      <c r="J1207" s="38">
        <v>2985</v>
      </c>
      <c r="K1207" s="21">
        <v>573.86</v>
      </c>
      <c r="L1207" s="22">
        <v>7.2835000000000001</v>
      </c>
      <c r="M1207" s="23">
        <v>17.801300000000001</v>
      </c>
      <c r="N1207" s="22">
        <v>3.2404999999999999</v>
      </c>
      <c r="O1207" s="22">
        <v>3.1263999999999998</v>
      </c>
      <c r="P1207" s="21">
        <v>13325</v>
      </c>
      <c r="Q1207" s="20">
        <v>64.2</v>
      </c>
      <c r="R1207" s="21"/>
    </row>
    <row r="1208" spans="1:18">
      <c r="A1208" s="14">
        <v>41928</v>
      </c>
      <c r="B1208" s="15">
        <v>216.3</v>
      </c>
      <c r="C1208" s="15">
        <v>217.1</v>
      </c>
      <c r="F1208">
        <v>8</v>
      </c>
      <c r="G1208">
        <v>1</v>
      </c>
      <c r="H1208">
        <v>2017</v>
      </c>
      <c r="I1208" s="41">
        <v>42948</v>
      </c>
      <c r="J1208" s="38">
        <v>2967.55</v>
      </c>
      <c r="K1208" s="21">
        <v>573.94000000000005</v>
      </c>
      <c r="L1208" s="22">
        <v>7.2794999999999996</v>
      </c>
      <c r="M1208" s="23">
        <v>17.89</v>
      </c>
      <c r="N1208" s="22">
        <v>3.238</v>
      </c>
      <c r="O1208" s="22">
        <v>3.1265000000000001</v>
      </c>
      <c r="P1208" s="21">
        <v>13324</v>
      </c>
      <c r="Q1208" s="20">
        <v>64.094999999999999</v>
      </c>
      <c r="R1208" s="21"/>
    </row>
    <row r="1209" spans="1:18">
      <c r="A1209" s="14">
        <v>41929</v>
      </c>
      <c r="B1209" s="15">
        <v>208.5</v>
      </c>
      <c r="C1209" s="15">
        <v>210.65</v>
      </c>
      <c r="F1209">
        <v>8</v>
      </c>
      <c r="G1209">
        <v>2</v>
      </c>
      <c r="H1209">
        <v>2017</v>
      </c>
      <c r="I1209" s="41">
        <v>42949</v>
      </c>
      <c r="J1209" s="38">
        <v>2966.22</v>
      </c>
      <c r="K1209" s="21">
        <v>575.33000000000004</v>
      </c>
      <c r="L1209" s="22">
        <v>7.2744999999999997</v>
      </c>
      <c r="M1209" s="23">
        <v>17.817799999999998</v>
      </c>
      <c r="N1209" s="22">
        <v>3.2385999999999999</v>
      </c>
      <c r="O1209" s="22">
        <v>3.1137000000000001</v>
      </c>
      <c r="P1209" s="21">
        <v>13324</v>
      </c>
      <c r="Q1209" s="20">
        <v>63.634999999999998</v>
      </c>
      <c r="R1209" s="21"/>
    </row>
    <row r="1210" spans="1:18">
      <c r="A1210" s="14">
        <v>41932</v>
      </c>
      <c r="B1210" s="15">
        <v>197.2</v>
      </c>
      <c r="C1210" s="15">
        <v>199.4</v>
      </c>
      <c r="F1210">
        <v>8</v>
      </c>
      <c r="G1210">
        <v>3</v>
      </c>
      <c r="H1210">
        <v>2017</v>
      </c>
      <c r="I1210" s="41">
        <v>42950</v>
      </c>
      <c r="J1210" s="38">
        <v>2955</v>
      </c>
      <c r="K1210" s="21">
        <v>576.12</v>
      </c>
      <c r="L1210" s="22">
        <v>7.27</v>
      </c>
      <c r="M1210" s="23">
        <v>17.844999999999999</v>
      </c>
      <c r="N1210" s="22">
        <v>3.2372000000000001</v>
      </c>
      <c r="O1210" s="22">
        <v>3.1126</v>
      </c>
      <c r="P1210" s="21">
        <v>13325.5</v>
      </c>
      <c r="Q1210" s="20">
        <v>63.704999999999998</v>
      </c>
      <c r="R1210" s="21"/>
    </row>
    <row r="1211" spans="1:18">
      <c r="A1211" s="14">
        <v>41933</v>
      </c>
      <c r="B1211" s="15">
        <v>191.8</v>
      </c>
      <c r="C1211" s="15">
        <v>199.6</v>
      </c>
      <c r="F1211">
        <v>8</v>
      </c>
      <c r="G1211">
        <v>4</v>
      </c>
      <c r="H1211">
        <v>2017</v>
      </c>
      <c r="I1211" s="41">
        <v>42951</v>
      </c>
      <c r="J1211" s="38">
        <v>2987</v>
      </c>
      <c r="K1211" s="21">
        <v>576.54</v>
      </c>
      <c r="L1211" s="22">
        <v>7.2744999999999997</v>
      </c>
      <c r="M1211" s="23">
        <v>17.887499999999999</v>
      </c>
      <c r="N1211" s="22">
        <v>3.2454999999999998</v>
      </c>
      <c r="O1211" s="22">
        <v>3.1313</v>
      </c>
      <c r="P1211" s="21">
        <v>13316</v>
      </c>
      <c r="Q1211" s="20">
        <v>63.674999999999997</v>
      </c>
      <c r="R1211" s="21"/>
    </row>
    <row r="1212" spans="1:18">
      <c r="A1212" s="14">
        <v>41934</v>
      </c>
      <c r="B1212" s="15">
        <v>190.8</v>
      </c>
      <c r="C1212" s="15">
        <v>191.1</v>
      </c>
      <c r="F1212">
        <v>8</v>
      </c>
      <c r="G1212">
        <v>7</v>
      </c>
      <c r="H1212">
        <v>2017</v>
      </c>
      <c r="I1212" s="41">
        <v>42954</v>
      </c>
      <c r="J1212" s="38">
        <v>2981.86</v>
      </c>
      <c r="K1212" s="21">
        <v>576.48</v>
      </c>
      <c r="L1212" s="22">
        <v>7.2735000000000003</v>
      </c>
      <c r="M1212" s="23">
        <v>17.927099999999999</v>
      </c>
      <c r="N1212" s="22">
        <v>3.2410000000000001</v>
      </c>
      <c r="O1212" s="22">
        <v>3.1265000000000001</v>
      </c>
      <c r="P1212" s="21">
        <v>13321</v>
      </c>
      <c r="Q1212" s="20">
        <v>63.84</v>
      </c>
      <c r="R1212" s="21"/>
    </row>
    <row r="1213" spans="1:18">
      <c r="A1213" s="14">
        <v>41935</v>
      </c>
      <c r="B1213" s="15">
        <v>189.3</v>
      </c>
      <c r="C1213" s="15">
        <v>193.3</v>
      </c>
      <c r="F1213">
        <v>8</v>
      </c>
      <c r="G1213">
        <v>8</v>
      </c>
      <c r="H1213">
        <v>2017</v>
      </c>
      <c r="I1213" s="41">
        <v>42955</v>
      </c>
      <c r="J1213" s="38">
        <v>2997.25</v>
      </c>
      <c r="K1213" s="21">
        <v>577.08000000000004</v>
      </c>
      <c r="L1213" s="22">
        <v>7.2709999999999999</v>
      </c>
      <c r="M1213" s="23">
        <v>17.852599999999999</v>
      </c>
      <c r="N1213" s="22">
        <v>3.2410000000000001</v>
      </c>
      <c r="O1213" s="22">
        <v>3.1269</v>
      </c>
      <c r="P1213" s="21">
        <v>13313</v>
      </c>
      <c r="Q1213" s="20">
        <v>63.692</v>
      </c>
      <c r="R1213" s="21"/>
    </row>
    <row r="1214" spans="1:18">
      <c r="A1214" s="14">
        <v>41936</v>
      </c>
      <c r="B1214" s="15">
        <v>188.45</v>
      </c>
      <c r="C1214" s="15">
        <v>191.5</v>
      </c>
      <c r="F1214">
        <v>8</v>
      </c>
      <c r="G1214">
        <v>9</v>
      </c>
      <c r="H1214">
        <v>2017</v>
      </c>
      <c r="I1214" s="41">
        <v>42956</v>
      </c>
      <c r="J1214" s="38">
        <v>3002.03</v>
      </c>
      <c r="K1214" s="21">
        <v>577.25</v>
      </c>
      <c r="L1214" s="22">
        <v>7.2725</v>
      </c>
      <c r="M1214" s="23">
        <v>17.948499999999999</v>
      </c>
      <c r="N1214" s="22">
        <v>3.2473000000000001</v>
      </c>
      <c r="O1214" s="22">
        <v>3.1558999999999999</v>
      </c>
      <c r="P1214" s="21">
        <v>13332.5</v>
      </c>
      <c r="Q1214" s="20">
        <v>63.86</v>
      </c>
      <c r="R1214" s="21"/>
    </row>
    <row r="1215" spans="1:18">
      <c r="A1215" s="14">
        <v>41939</v>
      </c>
      <c r="B1215" s="15">
        <v>188</v>
      </c>
      <c r="C1215" s="15">
        <v>190.9</v>
      </c>
      <c r="F1215">
        <v>8</v>
      </c>
      <c r="G1215">
        <v>10</v>
      </c>
      <c r="H1215">
        <v>2017</v>
      </c>
      <c r="I1215" s="41">
        <v>42957</v>
      </c>
      <c r="J1215" s="38">
        <v>2999.25</v>
      </c>
      <c r="K1215" s="21">
        <v>578.69000000000005</v>
      </c>
      <c r="L1215" s="22">
        <v>7.2765000000000004</v>
      </c>
      <c r="M1215" s="23">
        <v>17.9727</v>
      </c>
      <c r="N1215" s="22">
        <v>3.2509999999999999</v>
      </c>
      <c r="O1215" s="22">
        <v>3.1757</v>
      </c>
      <c r="P1215" s="21">
        <v>13334</v>
      </c>
      <c r="Q1215" s="20">
        <v>64.094999999999999</v>
      </c>
      <c r="R1215" s="21"/>
    </row>
    <row r="1216" spans="1:18">
      <c r="A1216" s="14">
        <v>41940</v>
      </c>
      <c r="B1216" s="15">
        <v>188.8</v>
      </c>
      <c r="C1216" s="15">
        <v>192.35</v>
      </c>
      <c r="F1216">
        <v>8</v>
      </c>
      <c r="G1216">
        <v>11</v>
      </c>
      <c r="H1216">
        <v>2017</v>
      </c>
      <c r="I1216" s="41">
        <v>42958</v>
      </c>
      <c r="J1216" s="38">
        <v>2975.05</v>
      </c>
      <c r="K1216" s="21">
        <v>578.53</v>
      </c>
      <c r="L1216" s="22">
        <v>7.2744999999999997</v>
      </c>
      <c r="M1216" s="23">
        <v>17.827500000000001</v>
      </c>
      <c r="N1216" s="22">
        <v>3.2440000000000002</v>
      </c>
      <c r="O1216" s="22">
        <v>3.1938</v>
      </c>
      <c r="P1216" s="21">
        <v>13357.5</v>
      </c>
      <c r="Q1216" s="20">
        <v>64.14</v>
      </c>
      <c r="R1216" s="21"/>
    </row>
    <row r="1217" spans="1:18">
      <c r="A1217" s="14">
        <v>41941</v>
      </c>
      <c r="B1217" s="15">
        <v>189.45</v>
      </c>
      <c r="C1217" s="15">
        <v>189.6</v>
      </c>
      <c r="F1217">
        <v>8</v>
      </c>
      <c r="G1217">
        <v>14</v>
      </c>
      <c r="H1217">
        <v>2017</v>
      </c>
      <c r="I1217" s="41">
        <v>42961</v>
      </c>
      <c r="J1217" s="38">
        <v>2968.1</v>
      </c>
      <c r="K1217" s="21">
        <v>576.57000000000005</v>
      </c>
      <c r="L1217" s="22">
        <v>7.2705000000000002</v>
      </c>
      <c r="M1217" s="23">
        <v>17.771999999999998</v>
      </c>
      <c r="N1217" s="22">
        <v>3.2423999999999999</v>
      </c>
      <c r="O1217" s="22">
        <v>3.1890000000000001</v>
      </c>
      <c r="P1217" s="21">
        <v>13349</v>
      </c>
      <c r="Q1217" s="20">
        <v>64.09</v>
      </c>
      <c r="R1217" s="21"/>
    </row>
    <row r="1218" spans="1:18">
      <c r="A1218" s="14">
        <v>41942</v>
      </c>
      <c r="B1218" s="15">
        <v>186.25</v>
      </c>
      <c r="C1218" s="15">
        <v>187.6</v>
      </c>
      <c r="F1218">
        <v>8</v>
      </c>
      <c r="G1218">
        <v>15</v>
      </c>
      <c r="H1218">
        <v>2017</v>
      </c>
      <c r="I1218" s="41">
        <v>42962</v>
      </c>
      <c r="J1218" s="38">
        <v>2963.2</v>
      </c>
      <c r="K1218" s="21">
        <v>577.87</v>
      </c>
      <c r="L1218" s="22">
        <v>7.2705000000000002</v>
      </c>
      <c r="M1218" s="23">
        <v>17.8065</v>
      </c>
      <c r="N1218" s="22">
        <v>3.2454999999999998</v>
      </c>
      <c r="O1218" s="22">
        <v>3.1695000000000002</v>
      </c>
      <c r="P1218" s="21">
        <v>13361</v>
      </c>
      <c r="Q1218" s="20">
        <v>64.12</v>
      </c>
      <c r="R1218" s="21"/>
    </row>
    <row r="1219" spans="1:18">
      <c r="A1219" s="14">
        <v>41943</v>
      </c>
      <c r="B1219" s="15">
        <v>185.65</v>
      </c>
      <c r="C1219" s="15">
        <v>188</v>
      </c>
      <c r="F1219">
        <v>8</v>
      </c>
      <c r="G1219">
        <v>16</v>
      </c>
      <c r="H1219">
        <v>2017</v>
      </c>
      <c r="I1219" s="41">
        <v>42963</v>
      </c>
      <c r="J1219" s="38">
        <v>2968.82</v>
      </c>
      <c r="K1219" s="21">
        <v>576.66999999999996</v>
      </c>
      <c r="L1219" s="22">
        <v>7.2709999999999999</v>
      </c>
      <c r="M1219" s="23">
        <v>17.6646</v>
      </c>
      <c r="N1219" s="22">
        <v>3.2414000000000001</v>
      </c>
      <c r="O1219" s="22">
        <v>3.1524000000000001</v>
      </c>
      <c r="P1219" s="21">
        <v>13378.5</v>
      </c>
      <c r="Q1219" s="20">
        <v>64.17</v>
      </c>
      <c r="R1219" s="21"/>
    </row>
    <row r="1220" spans="1:18">
      <c r="A1220" s="14">
        <v>41946</v>
      </c>
      <c r="B1220" s="15">
        <v>185.65</v>
      </c>
      <c r="C1220" s="15">
        <v>185.85</v>
      </c>
      <c r="F1220">
        <v>8</v>
      </c>
      <c r="G1220">
        <v>17</v>
      </c>
      <c r="H1220">
        <v>2017</v>
      </c>
      <c r="I1220" s="41">
        <v>42964</v>
      </c>
      <c r="J1220" s="38">
        <v>2990.34</v>
      </c>
      <c r="K1220" s="21">
        <v>576</v>
      </c>
      <c r="L1220" s="22">
        <v>7.2725</v>
      </c>
      <c r="M1220" s="23">
        <v>17.8475</v>
      </c>
      <c r="N1220" s="22">
        <v>3.2412000000000001</v>
      </c>
      <c r="O1220" s="22">
        <v>3.1751</v>
      </c>
      <c r="P1220" s="21">
        <v>13378.5</v>
      </c>
      <c r="Q1220" s="20">
        <v>64.17</v>
      </c>
      <c r="R1220" s="21"/>
    </row>
    <row r="1221" spans="1:18">
      <c r="A1221" s="14">
        <v>41947</v>
      </c>
      <c r="B1221" s="15">
        <v>182.1</v>
      </c>
      <c r="C1221" s="15">
        <v>188.2</v>
      </c>
      <c r="F1221">
        <v>8</v>
      </c>
      <c r="G1221">
        <v>18</v>
      </c>
      <c r="H1221">
        <v>2017</v>
      </c>
      <c r="I1221" s="41">
        <v>42965</v>
      </c>
      <c r="J1221" s="38">
        <v>2990.34</v>
      </c>
      <c r="K1221" s="21">
        <v>576.04999999999995</v>
      </c>
      <c r="L1221" s="22">
        <v>7.2744999999999997</v>
      </c>
      <c r="M1221" s="23">
        <v>17.710699999999999</v>
      </c>
      <c r="N1221" s="22">
        <v>3.2425999999999999</v>
      </c>
      <c r="O1221" s="22">
        <v>3.1465000000000001</v>
      </c>
      <c r="P1221" s="21">
        <v>13362</v>
      </c>
      <c r="Q1221" s="20">
        <v>64.094999999999999</v>
      </c>
      <c r="R1221" s="21"/>
    </row>
    <row r="1222" spans="1:18">
      <c r="A1222" s="14">
        <v>41948</v>
      </c>
      <c r="B1222" s="15">
        <v>184</v>
      </c>
      <c r="C1222" s="15">
        <v>186.25</v>
      </c>
      <c r="F1222">
        <v>8</v>
      </c>
      <c r="G1222">
        <v>21</v>
      </c>
      <c r="H1222">
        <v>2017</v>
      </c>
      <c r="I1222" s="41">
        <v>42968</v>
      </c>
      <c r="J1222" s="38">
        <v>2986.32</v>
      </c>
      <c r="K1222" s="21">
        <v>576.36</v>
      </c>
      <c r="L1222" s="22">
        <v>7.2705000000000002</v>
      </c>
      <c r="M1222" s="23">
        <v>17.655200000000001</v>
      </c>
      <c r="N1222" s="22">
        <v>3.2387999999999999</v>
      </c>
      <c r="O1222" s="22">
        <v>3.1644999999999999</v>
      </c>
      <c r="P1222" s="21">
        <v>13350.5</v>
      </c>
      <c r="Q1222" s="20">
        <v>64.11</v>
      </c>
      <c r="R1222" s="21"/>
    </row>
    <row r="1223" spans="1:18">
      <c r="A1223" s="14">
        <v>41949</v>
      </c>
      <c r="B1223" s="15">
        <v>183.3</v>
      </c>
      <c r="C1223" s="15">
        <v>183.75</v>
      </c>
      <c r="F1223">
        <v>8</v>
      </c>
      <c r="G1223">
        <v>22</v>
      </c>
      <c r="H1223">
        <v>2017</v>
      </c>
      <c r="I1223" s="41">
        <v>42969</v>
      </c>
      <c r="J1223" s="38">
        <v>2984.07</v>
      </c>
      <c r="K1223" s="21">
        <v>576.22</v>
      </c>
      <c r="L1223" s="22">
        <v>7.2705000000000002</v>
      </c>
      <c r="M1223" s="23">
        <v>17.6602</v>
      </c>
      <c r="N1223" s="22">
        <v>3.2368000000000001</v>
      </c>
      <c r="O1223" s="22">
        <v>3.1610999999999998</v>
      </c>
      <c r="P1223" s="21">
        <v>13343</v>
      </c>
      <c r="Q1223" s="20">
        <v>64.072000000000003</v>
      </c>
      <c r="R1223" s="21"/>
    </row>
    <row r="1224" spans="1:18">
      <c r="A1224" s="14">
        <v>41950</v>
      </c>
      <c r="B1224" s="15">
        <v>182.25</v>
      </c>
      <c r="C1224" s="15">
        <v>182.4</v>
      </c>
      <c r="F1224">
        <v>8</v>
      </c>
      <c r="G1224">
        <v>23</v>
      </c>
      <c r="H1224">
        <v>2017</v>
      </c>
      <c r="I1224" s="41">
        <v>42970</v>
      </c>
      <c r="J1224" s="38">
        <v>2981</v>
      </c>
      <c r="K1224" s="21">
        <v>576.52</v>
      </c>
      <c r="L1224" s="22">
        <v>7.2755000000000001</v>
      </c>
      <c r="M1224" s="23">
        <v>17.687000000000001</v>
      </c>
      <c r="N1224" s="22">
        <v>3.2378</v>
      </c>
      <c r="O1224" s="22">
        <v>3.1414</v>
      </c>
      <c r="P1224" s="21">
        <v>13358.5</v>
      </c>
      <c r="Q1224" s="20">
        <v>64.045000000000002</v>
      </c>
      <c r="R1224" s="21"/>
    </row>
    <row r="1225" spans="1:18">
      <c r="A1225" s="14">
        <v>41953</v>
      </c>
      <c r="B1225" s="15">
        <v>181.1</v>
      </c>
      <c r="C1225" s="15">
        <v>181.4</v>
      </c>
      <c r="F1225">
        <v>8</v>
      </c>
      <c r="G1225">
        <v>24</v>
      </c>
      <c r="H1225">
        <v>2017</v>
      </c>
      <c r="I1225" s="41">
        <v>42971</v>
      </c>
      <c r="J1225" s="38">
        <v>2960.53</v>
      </c>
      <c r="K1225" s="21">
        <v>577.65</v>
      </c>
      <c r="L1225" s="22">
        <v>7.2765000000000004</v>
      </c>
      <c r="M1225" s="23">
        <v>17.728000000000002</v>
      </c>
      <c r="N1225" s="22">
        <v>3.2383000000000002</v>
      </c>
      <c r="O1225" s="22">
        <v>3.1480999999999999</v>
      </c>
      <c r="P1225" s="21">
        <v>13346.5</v>
      </c>
      <c r="Q1225" s="20">
        <v>64.045000000000002</v>
      </c>
      <c r="R1225" s="21"/>
    </row>
    <row r="1226" spans="1:18">
      <c r="A1226" s="14">
        <v>41954</v>
      </c>
      <c r="B1226" s="15">
        <v>181.5</v>
      </c>
      <c r="C1226" s="15">
        <v>184.55</v>
      </c>
      <c r="F1226">
        <v>8</v>
      </c>
      <c r="G1226">
        <v>25</v>
      </c>
      <c r="H1226">
        <v>2017</v>
      </c>
      <c r="I1226" s="41">
        <v>42972</v>
      </c>
      <c r="J1226" s="38">
        <v>2924.99</v>
      </c>
      <c r="K1226" s="21">
        <v>576.80999999999995</v>
      </c>
      <c r="L1226" s="22">
        <v>7.2770000000000001</v>
      </c>
      <c r="M1226" s="23">
        <v>17.616</v>
      </c>
      <c r="N1226" s="22">
        <v>3.2383999999999999</v>
      </c>
      <c r="O1226" s="22">
        <v>3.1602999999999999</v>
      </c>
      <c r="P1226" s="21">
        <v>13345.5</v>
      </c>
      <c r="Q1226" s="20">
        <v>64.004999999999995</v>
      </c>
      <c r="R1226" s="21"/>
    </row>
    <row r="1227" spans="1:18">
      <c r="A1227" s="14">
        <v>41955</v>
      </c>
      <c r="B1227" s="15">
        <v>183.15</v>
      </c>
      <c r="C1227" s="15">
        <v>184.4</v>
      </c>
      <c r="F1227">
        <v>8</v>
      </c>
      <c r="G1227">
        <v>28</v>
      </c>
      <c r="H1227">
        <v>2017</v>
      </c>
      <c r="I1227" s="41">
        <v>42975</v>
      </c>
      <c r="J1227" s="38">
        <v>2947.25</v>
      </c>
      <c r="K1227" s="21">
        <v>576.38</v>
      </c>
      <c r="L1227" s="22">
        <v>7.2835000000000001</v>
      </c>
      <c r="M1227" s="23">
        <v>17.875</v>
      </c>
      <c r="N1227" s="22">
        <v>3.2385000000000002</v>
      </c>
      <c r="O1227" s="22">
        <v>3.1669999999999998</v>
      </c>
      <c r="P1227" s="21">
        <v>13340</v>
      </c>
      <c r="Q1227" s="20">
        <v>63.905000000000001</v>
      </c>
      <c r="R1227" s="21"/>
    </row>
    <row r="1228" spans="1:18">
      <c r="A1228" s="14">
        <v>41956</v>
      </c>
      <c r="B1228" s="15">
        <v>184.1</v>
      </c>
      <c r="C1228" s="15">
        <v>188.75</v>
      </c>
      <c r="F1228">
        <v>8</v>
      </c>
      <c r="G1228">
        <v>29</v>
      </c>
      <c r="H1228">
        <v>2017</v>
      </c>
      <c r="I1228" s="41">
        <v>42976</v>
      </c>
      <c r="J1228" s="38">
        <v>2935.57</v>
      </c>
      <c r="K1228" s="21">
        <v>576.05999999999995</v>
      </c>
      <c r="L1228" s="22">
        <v>7.2865000000000002</v>
      </c>
      <c r="M1228" s="23">
        <v>17.84</v>
      </c>
      <c r="N1228" s="22">
        <v>3.2395</v>
      </c>
      <c r="O1228" s="22">
        <v>3.1652</v>
      </c>
      <c r="P1228" s="21">
        <v>13339.5</v>
      </c>
      <c r="Q1228" s="20">
        <v>64.015000000000001</v>
      </c>
      <c r="R1228" s="21"/>
    </row>
    <row r="1229" spans="1:18">
      <c r="A1229" s="14">
        <v>41957</v>
      </c>
      <c r="B1229" s="15">
        <v>189</v>
      </c>
      <c r="C1229" s="15">
        <v>192</v>
      </c>
      <c r="F1229">
        <v>8</v>
      </c>
      <c r="G1229">
        <v>30</v>
      </c>
      <c r="H1229">
        <v>2017</v>
      </c>
      <c r="I1229" s="41">
        <v>42977</v>
      </c>
      <c r="J1229" s="38">
        <v>2953.8</v>
      </c>
      <c r="K1229" s="21">
        <v>576.25</v>
      </c>
      <c r="L1229" s="22">
        <v>7.2859999999999996</v>
      </c>
      <c r="M1229" s="23">
        <v>17.715</v>
      </c>
      <c r="N1229" s="22">
        <v>3.2395</v>
      </c>
      <c r="O1229" s="22">
        <v>3.1602999999999999</v>
      </c>
      <c r="P1229" s="21">
        <v>13346.5</v>
      </c>
      <c r="Q1229" s="20">
        <v>63.99</v>
      </c>
      <c r="R1229" s="21"/>
    </row>
    <row r="1230" spans="1:18">
      <c r="A1230" s="14">
        <v>41960</v>
      </c>
      <c r="B1230" s="15">
        <v>186.3</v>
      </c>
      <c r="C1230" s="15">
        <v>187.5</v>
      </c>
      <c r="F1230">
        <v>8</v>
      </c>
      <c r="G1230">
        <v>31</v>
      </c>
      <c r="H1230">
        <v>2017</v>
      </c>
      <c r="I1230" s="41">
        <v>42978</v>
      </c>
      <c r="J1230" s="38">
        <v>2951.36</v>
      </c>
      <c r="K1230" s="21">
        <v>577.07000000000005</v>
      </c>
      <c r="L1230" s="22">
        <v>7.2889999999999997</v>
      </c>
      <c r="M1230" s="23">
        <v>17.887</v>
      </c>
      <c r="N1230" s="22">
        <v>3.242</v>
      </c>
      <c r="O1230" s="22">
        <v>3.1478999999999999</v>
      </c>
      <c r="P1230" s="21">
        <v>13343</v>
      </c>
      <c r="Q1230" s="20">
        <v>63.935000000000002</v>
      </c>
      <c r="R1230" s="21"/>
    </row>
    <row r="1231" spans="1:18">
      <c r="A1231" s="14">
        <v>41961</v>
      </c>
      <c r="B1231" s="15">
        <v>186</v>
      </c>
      <c r="C1231" s="15">
        <v>191.1</v>
      </c>
      <c r="F1231">
        <v>9</v>
      </c>
      <c r="G1231">
        <v>1</v>
      </c>
      <c r="H1231">
        <v>2017</v>
      </c>
      <c r="I1231" s="41">
        <v>42979</v>
      </c>
      <c r="J1231" s="38">
        <v>2931</v>
      </c>
      <c r="K1231" s="21">
        <v>577.80999999999995</v>
      </c>
      <c r="L1231" s="22">
        <v>7.2975000000000003</v>
      </c>
      <c r="M1231" s="23">
        <v>17.815999999999999</v>
      </c>
      <c r="N1231" s="22">
        <v>3.2364999999999999</v>
      </c>
      <c r="O1231" s="22">
        <v>3.1415999999999999</v>
      </c>
      <c r="P1231" s="21">
        <v>13343</v>
      </c>
      <c r="Q1231" s="20">
        <v>64.025000000000006</v>
      </c>
      <c r="R1231" s="21"/>
    </row>
    <row r="1232" spans="1:18">
      <c r="A1232" s="14">
        <v>41962</v>
      </c>
      <c r="B1232" s="15">
        <v>190.95</v>
      </c>
      <c r="C1232" s="15">
        <v>197.85</v>
      </c>
      <c r="F1232">
        <v>9</v>
      </c>
      <c r="G1232">
        <v>4</v>
      </c>
      <c r="H1232">
        <v>2017</v>
      </c>
      <c r="I1232" s="41">
        <v>42982</v>
      </c>
      <c r="J1232" s="38">
        <v>2933.25</v>
      </c>
      <c r="K1232" s="21">
        <v>577.70000000000005</v>
      </c>
      <c r="L1232" s="22">
        <v>7.2934999999999999</v>
      </c>
      <c r="M1232" s="23">
        <v>17.873000000000001</v>
      </c>
      <c r="N1232" s="22">
        <v>3.2372999999999998</v>
      </c>
      <c r="O1232" s="22">
        <v>3.1417000000000002</v>
      </c>
      <c r="P1232" s="21">
        <v>13342.5</v>
      </c>
      <c r="Q1232" s="20">
        <v>64.040000000000006</v>
      </c>
      <c r="R1232" s="21"/>
    </row>
    <row r="1233" spans="1:18">
      <c r="A1233" s="14">
        <v>41963</v>
      </c>
      <c r="B1233" s="15">
        <v>187.6</v>
      </c>
      <c r="C1233" s="15">
        <v>187.7</v>
      </c>
      <c r="F1233">
        <v>9</v>
      </c>
      <c r="G1233">
        <v>5</v>
      </c>
      <c r="H1233">
        <v>2017</v>
      </c>
      <c r="I1233" s="41">
        <v>42983</v>
      </c>
      <c r="J1233" s="38">
        <v>2931.15</v>
      </c>
      <c r="K1233" s="21">
        <v>578.16999999999996</v>
      </c>
      <c r="L1233" s="22">
        <v>7.2984999999999998</v>
      </c>
      <c r="M1233" s="23">
        <v>17.901499999999999</v>
      </c>
      <c r="N1233" s="22">
        <v>3.2361</v>
      </c>
      <c r="O1233" s="22">
        <v>3.1173999999999999</v>
      </c>
      <c r="P1233" s="21">
        <v>13337.5</v>
      </c>
      <c r="Q1233" s="20">
        <v>64.105000000000004</v>
      </c>
      <c r="R1233" s="21"/>
    </row>
    <row r="1234" spans="1:18">
      <c r="A1234" s="14">
        <v>41964</v>
      </c>
      <c r="B1234" s="15">
        <v>187.5</v>
      </c>
      <c r="C1234" s="15">
        <v>189.65</v>
      </c>
      <c r="F1234">
        <v>9</v>
      </c>
      <c r="G1234">
        <v>6</v>
      </c>
      <c r="H1234">
        <v>2017</v>
      </c>
      <c r="I1234" s="41">
        <v>42984</v>
      </c>
      <c r="J1234" s="38">
        <v>2912.05</v>
      </c>
      <c r="K1234" s="21">
        <v>579.41999999999996</v>
      </c>
      <c r="L1234" s="22">
        <v>7.2915000000000001</v>
      </c>
      <c r="M1234" s="23">
        <v>17.791499999999999</v>
      </c>
      <c r="N1234" s="22">
        <v>3.2351000000000001</v>
      </c>
      <c r="O1234" s="22">
        <v>3.1004</v>
      </c>
      <c r="P1234" s="21">
        <v>13337.5</v>
      </c>
      <c r="Q1234" s="20">
        <v>64.06</v>
      </c>
      <c r="R1234" s="21"/>
    </row>
    <row r="1235" spans="1:18">
      <c r="A1235" s="14">
        <v>41967</v>
      </c>
      <c r="B1235" s="15">
        <v>189.5</v>
      </c>
      <c r="C1235" s="15">
        <v>189.65</v>
      </c>
      <c r="F1235">
        <v>9</v>
      </c>
      <c r="G1235">
        <v>7</v>
      </c>
      <c r="H1235">
        <v>2017</v>
      </c>
      <c r="I1235" s="41">
        <v>42985</v>
      </c>
      <c r="J1235" s="38">
        <v>2905.5</v>
      </c>
      <c r="K1235" s="21">
        <v>579.11</v>
      </c>
      <c r="L1235" s="22">
        <v>7.2925000000000004</v>
      </c>
      <c r="M1235" s="23">
        <v>17.672499999999999</v>
      </c>
      <c r="N1235" s="22">
        <v>3.2343999999999999</v>
      </c>
      <c r="O1235" s="22">
        <v>3.0992999999999999</v>
      </c>
      <c r="P1235" s="21">
        <v>13306.5</v>
      </c>
      <c r="Q1235" s="20">
        <v>64.015000000000001</v>
      </c>
      <c r="R1235" s="21"/>
    </row>
    <row r="1236" spans="1:18">
      <c r="A1236" s="14">
        <v>41968</v>
      </c>
      <c r="B1236" s="15">
        <v>187.8</v>
      </c>
      <c r="C1236" s="15">
        <v>194.25</v>
      </c>
      <c r="F1236">
        <v>9</v>
      </c>
      <c r="G1236">
        <v>8</v>
      </c>
      <c r="H1236">
        <v>2017</v>
      </c>
      <c r="I1236" s="41">
        <v>42986</v>
      </c>
      <c r="J1236" s="38">
        <v>2905.68</v>
      </c>
      <c r="K1236" s="21">
        <v>581.15</v>
      </c>
      <c r="L1236" s="22">
        <v>7.2934999999999999</v>
      </c>
      <c r="M1236" s="23">
        <v>17.71</v>
      </c>
      <c r="N1236" s="22">
        <v>3.2315</v>
      </c>
      <c r="O1236" s="22">
        <v>3.0867</v>
      </c>
      <c r="P1236" s="21">
        <v>13204</v>
      </c>
      <c r="Q1236" s="20">
        <v>63.784999999999997</v>
      </c>
      <c r="R1236" s="21"/>
    </row>
    <row r="1237" spans="1:18">
      <c r="A1237" s="14">
        <v>41969</v>
      </c>
      <c r="B1237" s="15">
        <v>191.25</v>
      </c>
      <c r="C1237" s="15">
        <v>193.5</v>
      </c>
      <c r="F1237">
        <v>9</v>
      </c>
      <c r="G1237">
        <v>11</v>
      </c>
      <c r="H1237">
        <v>2017</v>
      </c>
      <c r="I1237" s="41">
        <v>42989</v>
      </c>
      <c r="J1237" s="38">
        <v>2922.78</v>
      </c>
      <c r="K1237" s="21">
        <v>579.28</v>
      </c>
      <c r="L1237" s="22">
        <v>7.2925000000000004</v>
      </c>
      <c r="M1237" s="23">
        <v>17.6675</v>
      </c>
      <c r="N1237" s="22">
        <v>3.2315</v>
      </c>
      <c r="O1237" s="22">
        <v>3.1029</v>
      </c>
      <c r="P1237" s="21">
        <v>13162.5</v>
      </c>
      <c r="Q1237" s="20">
        <v>63.935000000000002</v>
      </c>
      <c r="R1237" s="21"/>
    </row>
    <row r="1238" spans="1:18">
      <c r="A1238" s="14">
        <v>41971</v>
      </c>
      <c r="B1238" s="15">
        <v>186.4</v>
      </c>
      <c r="C1238" s="15">
        <v>186.65</v>
      </c>
      <c r="F1238">
        <v>9</v>
      </c>
      <c r="G1238">
        <v>12</v>
      </c>
      <c r="H1238">
        <v>2017</v>
      </c>
      <c r="I1238" s="41">
        <v>42990</v>
      </c>
      <c r="J1238" s="38">
        <v>2908.53</v>
      </c>
      <c r="K1238" s="21">
        <v>580.63</v>
      </c>
      <c r="L1238" s="22">
        <v>7.2910000000000004</v>
      </c>
      <c r="M1238" s="23">
        <v>17.73</v>
      </c>
      <c r="N1238" s="22">
        <v>3.2319</v>
      </c>
      <c r="O1238" s="22">
        <v>3.1252</v>
      </c>
      <c r="P1238" s="21">
        <v>13195</v>
      </c>
      <c r="Q1238" s="20">
        <v>64.031000000000006</v>
      </c>
      <c r="R1238" s="21"/>
    </row>
    <row r="1239" spans="1:18">
      <c r="A1239" s="14">
        <v>41974</v>
      </c>
      <c r="B1239" s="15">
        <v>183.4</v>
      </c>
      <c r="C1239" s="15">
        <v>189.35</v>
      </c>
      <c r="F1239">
        <v>9</v>
      </c>
      <c r="G1239">
        <v>13</v>
      </c>
      <c r="H1239">
        <v>2017</v>
      </c>
      <c r="I1239" s="41">
        <v>42991</v>
      </c>
      <c r="J1239" s="38">
        <v>2911.43</v>
      </c>
      <c r="K1239" s="21">
        <v>580.1</v>
      </c>
      <c r="L1239" s="22">
        <v>7.2934999999999999</v>
      </c>
      <c r="M1239" s="23">
        <v>17.749300000000002</v>
      </c>
      <c r="N1239" s="22">
        <v>3.2382</v>
      </c>
      <c r="O1239" s="22">
        <v>3.1353</v>
      </c>
      <c r="P1239" s="21">
        <v>13202.5</v>
      </c>
      <c r="Q1239" s="20">
        <v>64.010000000000005</v>
      </c>
      <c r="R1239" s="21"/>
    </row>
    <row r="1240" spans="1:18">
      <c r="A1240" s="14">
        <v>41975</v>
      </c>
      <c r="B1240" s="15">
        <v>184.25</v>
      </c>
      <c r="C1240" s="15">
        <v>182.3</v>
      </c>
      <c r="F1240">
        <v>9</v>
      </c>
      <c r="G1240">
        <v>14</v>
      </c>
      <c r="H1240">
        <v>2017</v>
      </c>
      <c r="I1240" s="41">
        <v>42992</v>
      </c>
      <c r="J1240" s="38">
        <v>2898.45</v>
      </c>
      <c r="K1240" s="21">
        <v>579.91999999999996</v>
      </c>
      <c r="L1240" s="22">
        <v>7.2934999999999999</v>
      </c>
      <c r="M1240" s="23">
        <v>17.6661</v>
      </c>
      <c r="N1240" s="22">
        <v>3.2370000000000001</v>
      </c>
      <c r="O1240" s="22">
        <v>3.1190000000000002</v>
      </c>
      <c r="P1240" s="21">
        <v>13249.5</v>
      </c>
      <c r="Q1240" s="20">
        <v>64.123000000000005</v>
      </c>
      <c r="R1240" s="21"/>
    </row>
    <row r="1241" spans="1:18">
      <c r="A1241" s="14">
        <v>41976</v>
      </c>
      <c r="B1241" s="15">
        <v>183.5</v>
      </c>
      <c r="C1241" s="15">
        <v>182.55</v>
      </c>
      <c r="F1241">
        <v>9</v>
      </c>
      <c r="G1241">
        <v>15</v>
      </c>
      <c r="H1241">
        <v>2017</v>
      </c>
      <c r="I1241" s="41">
        <v>42993</v>
      </c>
      <c r="J1241" s="38">
        <v>2896</v>
      </c>
      <c r="K1241" s="21">
        <v>579.20000000000005</v>
      </c>
      <c r="L1241" s="22">
        <v>7.2934999999999999</v>
      </c>
      <c r="M1241" s="23">
        <v>17.661999999999999</v>
      </c>
      <c r="N1241" s="22">
        <v>3.2509999999999999</v>
      </c>
      <c r="O1241" s="22">
        <v>3.1084999999999998</v>
      </c>
      <c r="P1241" s="21">
        <v>13240</v>
      </c>
      <c r="Q1241" s="20">
        <v>64.11</v>
      </c>
      <c r="R1241" s="21"/>
    </row>
    <row r="1242" spans="1:18">
      <c r="A1242" s="14">
        <v>41977</v>
      </c>
      <c r="B1242" s="15">
        <v>180.55</v>
      </c>
      <c r="C1242" s="15">
        <v>181.55</v>
      </c>
      <c r="F1242">
        <v>9</v>
      </c>
      <c r="G1242">
        <v>18</v>
      </c>
      <c r="H1242">
        <v>2017</v>
      </c>
      <c r="I1242" s="41">
        <v>42996</v>
      </c>
      <c r="J1242" s="38">
        <v>2910.5</v>
      </c>
      <c r="K1242" s="21">
        <v>579.20000000000005</v>
      </c>
      <c r="L1242" s="22">
        <v>7.2934999999999999</v>
      </c>
      <c r="M1242" s="23">
        <v>17.764500000000002</v>
      </c>
      <c r="N1242" s="22">
        <v>3.2456</v>
      </c>
      <c r="O1242" s="22">
        <v>3.1368</v>
      </c>
      <c r="P1242" s="21">
        <v>13255</v>
      </c>
      <c r="Q1242" s="20">
        <v>64.158000000000001</v>
      </c>
      <c r="R1242" s="21"/>
    </row>
    <row r="1243" spans="1:18">
      <c r="A1243" s="14">
        <v>41978</v>
      </c>
      <c r="B1243" s="15">
        <v>177.8</v>
      </c>
      <c r="C1243" s="15">
        <v>179.1</v>
      </c>
      <c r="F1243">
        <v>9</v>
      </c>
      <c r="G1243">
        <v>19</v>
      </c>
      <c r="H1243">
        <v>2017</v>
      </c>
      <c r="I1243" s="41">
        <v>42997</v>
      </c>
      <c r="J1243" s="38">
        <v>2898</v>
      </c>
      <c r="K1243" s="21">
        <v>578.5</v>
      </c>
      <c r="L1243" s="22">
        <v>7.2919999999999998</v>
      </c>
      <c r="M1243" s="23">
        <v>17.799499999999998</v>
      </c>
      <c r="N1243" s="22">
        <v>3.2454999999999998</v>
      </c>
      <c r="O1243" s="22">
        <v>3.1351</v>
      </c>
      <c r="P1243" s="21">
        <v>13278.5</v>
      </c>
      <c r="Q1243" s="20">
        <v>64.3</v>
      </c>
      <c r="R1243" s="21"/>
    </row>
    <row r="1244" spans="1:18">
      <c r="A1244" s="14">
        <v>41981</v>
      </c>
      <c r="B1244" s="15"/>
      <c r="C1244" s="15">
        <v>177.05</v>
      </c>
      <c r="F1244">
        <v>9</v>
      </c>
      <c r="G1244">
        <v>20</v>
      </c>
      <c r="H1244">
        <v>2017</v>
      </c>
      <c r="I1244" s="41">
        <v>42998</v>
      </c>
      <c r="J1244" s="38">
        <v>2891.15</v>
      </c>
      <c r="K1244" s="21">
        <v>578.41999999999996</v>
      </c>
      <c r="L1244" s="22">
        <v>7.2954999999999997</v>
      </c>
      <c r="M1244" s="23">
        <v>17.767299999999999</v>
      </c>
      <c r="N1244" s="22">
        <v>3.2484999999999999</v>
      </c>
      <c r="O1244" s="22">
        <v>3.1324999999999998</v>
      </c>
      <c r="P1244" s="21">
        <v>13281.5</v>
      </c>
      <c r="Q1244" s="20">
        <v>64.293000000000006</v>
      </c>
      <c r="R1244" s="21"/>
    </row>
    <row r="1245" spans="1:18">
      <c r="A1245" s="14">
        <v>41982</v>
      </c>
      <c r="B1245" s="15">
        <v>177.05</v>
      </c>
      <c r="C1245" s="15">
        <v>179.45</v>
      </c>
      <c r="F1245">
        <v>9</v>
      </c>
      <c r="G1245">
        <v>21</v>
      </c>
      <c r="H1245">
        <v>2017</v>
      </c>
      <c r="I1245" s="41">
        <v>42999</v>
      </c>
      <c r="J1245" s="38">
        <v>2915.2</v>
      </c>
      <c r="K1245" s="21">
        <v>577.9</v>
      </c>
      <c r="L1245" s="22">
        <v>7.2954999999999997</v>
      </c>
      <c r="M1245" s="23">
        <v>17.882000000000001</v>
      </c>
      <c r="N1245" s="22">
        <v>3.2488000000000001</v>
      </c>
      <c r="O1245" s="22">
        <v>3.1377000000000002</v>
      </c>
      <c r="P1245" s="21">
        <v>13281.5</v>
      </c>
      <c r="Q1245" s="20">
        <v>64.81</v>
      </c>
      <c r="R1245" s="21"/>
    </row>
    <row r="1246" spans="1:18">
      <c r="A1246" s="14">
        <v>41983</v>
      </c>
      <c r="B1246" s="15">
        <v>178.5</v>
      </c>
      <c r="C1246" s="15">
        <v>177.55</v>
      </c>
      <c r="F1246">
        <v>9</v>
      </c>
      <c r="G1246">
        <v>22</v>
      </c>
      <c r="H1246">
        <v>2017</v>
      </c>
      <c r="I1246" s="41">
        <v>43000</v>
      </c>
      <c r="J1246" s="38">
        <v>2905</v>
      </c>
      <c r="K1246" s="21">
        <v>577.54999999999995</v>
      </c>
      <c r="L1246" s="22">
        <v>7.3055000000000003</v>
      </c>
      <c r="M1246" s="23">
        <v>17.748000000000001</v>
      </c>
      <c r="N1246" s="22">
        <v>3.2480000000000002</v>
      </c>
      <c r="O1246" s="22">
        <v>3.125</v>
      </c>
      <c r="P1246" s="21">
        <v>13312.5</v>
      </c>
      <c r="Q1246" s="20">
        <v>64.795000000000002</v>
      </c>
      <c r="R1246" s="21"/>
    </row>
    <row r="1247" spans="1:18">
      <c r="A1247" s="14">
        <v>41984</v>
      </c>
      <c r="B1247" s="15">
        <v>175</v>
      </c>
      <c r="C1247" s="15">
        <v>175.4</v>
      </c>
      <c r="F1247">
        <v>9</v>
      </c>
      <c r="G1247">
        <v>25</v>
      </c>
      <c r="H1247">
        <v>2017</v>
      </c>
      <c r="I1247" s="41">
        <v>43003</v>
      </c>
      <c r="J1247" s="38">
        <v>2925.55</v>
      </c>
      <c r="K1247" s="21">
        <v>576.20000000000005</v>
      </c>
      <c r="L1247" s="22">
        <v>7.3125</v>
      </c>
      <c r="M1247" s="23">
        <v>17.929500000000001</v>
      </c>
      <c r="N1247" s="22">
        <v>3.2593000000000001</v>
      </c>
      <c r="O1247" s="22">
        <v>3.1598999999999999</v>
      </c>
      <c r="P1247" s="21">
        <v>13326</v>
      </c>
      <c r="Q1247" s="20">
        <v>65.126999999999995</v>
      </c>
      <c r="R1247" s="21"/>
    </row>
    <row r="1248" spans="1:18">
      <c r="A1248" s="14">
        <v>41985</v>
      </c>
      <c r="B1248" s="15">
        <v>174</v>
      </c>
      <c r="C1248" s="15">
        <v>173</v>
      </c>
      <c r="F1248">
        <v>9</v>
      </c>
      <c r="G1248">
        <v>26</v>
      </c>
      <c r="H1248">
        <v>2017</v>
      </c>
      <c r="I1248" s="41">
        <v>43004</v>
      </c>
      <c r="J1248" s="38">
        <v>2922.68</v>
      </c>
      <c r="K1248" s="21">
        <v>577.15</v>
      </c>
      <c r="L1248" s="22">
        <v>7.3185000000000002</v>
      </c>
      <c r="M1248" s="23">
        <v>17.956499999999998</v>
      </c>
      <c r="N1248" s="22">
        <v>3.2705000000000002</v>
      </c>
      <c r="O1248" s="22">
        <v>3.1665999999999999</v>
      </c>
      <c r="P1248" s="21">
        <v>13376.5</v>
      </c>
      <c r="Q1248" s="20">
        <v>65.459999999999994</v>
      </c>
      <c r="R1248" s="21"/>
    </row>
    <row r="1249" spans="1:18">
      <c r="A1249" s="14">
        <v>41988</v>
      </c>
      <c r="B1249" s="15"/>
      <c r="C1249" s="15">
        <v>177.65</v>
      </c>
      <c r="F1249">
        <v>9</v>
      </c>
      <c r="G1249">
        <v>27</v>
      </c>
      <c r="H1249">
        <v>2017</v>
      </c>
      <c r="I1249" s="41">
        <v>43005</v>
      </c>
      <c r="J1249" s="38">
        <v>2936.8</v>
      </c>
      <c r="K1249" s="21">
        <v>575.73</v>
      </c>
      <c r="L1249" s="22">
        <v>7.3295000000000003</v>
      </c>
      <c r="M1249" s="23">
        <v>18.209</v>
      </c>
      <c r="N1249" s="22">
        <v>3.2722000000000002</v>
      </c>
      <c r="O1249" s="22">
        <v>3.1932</v>
      </c>
      <c r="P1249" s="21">
        <v>13440</v>
      </c>
      <c r="Q1249" s="20">
        <v>65.715000000000003</v>
      </c>
      <c r="R1249" s="21"/>
    </row>
    <row r="1250" spans="1:18">
      <c r="A1250" s="14">
        <v>41989</v>
      </c>
      <c r="B1250" s="15">
        <v>174.1</v>
      </c>
      <c r="C1250" s="15">
        <v>176.7</v>
      </c>
      <c r="F1250">
        <v>9</v>
      </c>
      <c r="G1250">
        <v>28</v>
      </c>
      <c r="H1250">
        <v>2017</v>
      </c>
      <c r="I1250" s="41">
        <v>43006</v>
      </c>
      <c r="J1250" s="38">
        <v>2943.45</v>
      </c>
      <c r="K1250" s="21">
        <v>575.52</v>
      </c>
      <c r="L1250" s="22">
        <v>7.3345000000000002</v>
      </c>
      <c r="M1250" s="23">
        <v>18.162500000000001</v>
      </c>
      <c r="N1250" s="22">
        <v>3.2667999999999999</v>
      </c>
      <c r="O1250" s="22">
        <v>3.1825000000000001</v>
      </c>
      <c r="P1250" s="21">
        <v>13515</v>
      </c>
      <c r="Q1250" s="20">
        <v>65.47</v>
      </c>
      <c r="R1250" s="21"/>
    </row>
    <row r="1251" spans="1:18">
      <c r="A1251" s="14">
        <v>41990</v>
      </c>
      <c r="B1251" s="15"/>
      <c r="C1251" s="15">
        <v>170.85</v>
      </c>
      <c r="F1251">
        <v>9</v>
      </c>
      <c r="G1251">
        <v>29</v>
      </c>
      <c r="H1251">
        <v>2017</v>
      </c>
      <c r="I1251" s="41">
        <v>43007</v>
      </c>
      <c r="J1251" s="38">
        <v>2936.91</v>
      </c>
      <c r="K1251" s="21">
        <v>574.38</v>
      </c>
      <c r="L1251" s="22">
        <v>7.343</v>
      </c>
      <c r="M1251" s="23">
        <v>18.254999999999999</v>
      </c>
      <c r="N1251" s="22">
        <v>3.2646999999999999</v>
      </c>
      <c r="O1251" s="22">
        <v>3.1619000000000002</v>
      </c>
      <c r="P1251" s="21">
        <v>13471.5</v>
      </c>
      <c r="Q1251" s="20">
        <v>65.31</v>
      </c>
      <c r="R1251" s="21"/>
    </row>
    <row r="1252" spans="1:18">
      <c r="A1252" s="14">
        <v>41991</v>
      </c>
      <c r="B1252" s="15">
        <v>172.25</v>
      </c>
      <c r="C1252" s="15">
        <v>173.65</v>
      </c>
      <c r="F1252">
        <v>10</v>
      </c>
      <c r="G1252">
        <v>2</v>
      </c>
      <c r="H1252">
        <v>2017</v>
      </c>
      <c r="I1252" s="41">
        <v>43010</v>
      </c>
      <c r="J1252" s="38">
        <v>2950</v>
      </c>
      <c r="K1252" s="21">
        <v>573.32000000000005</v>
      </c>
      <c r="L1252" s="22">
        <v>7.3505000000000003</v>
      </c>
      <c r="M1252" s="23">
        <v>18.231400000000001</v>
      </c>
      <c r="N1252" s="22">
        <v>3.2728000000000002</v>
      </c>
      <c r="O1252" s="22">
        <v>3.1545000000000001</v>
      </c>
      <c r="P1252" s="21">
        <v>13537.5</v>
      </c>
      <c r="Q1252" s="20">
        <v>65.31</v>
      </c>
      <c r="R1252" s="21"/>
    </row>
    <row r="1253" spans="1:18">
      <c r="A1253" s="14">
        <v>41992</v>
      </c>
      <c r="B1253" s="15">
        <v>174.15</v>
      </c>
      <c r="C1253" s="15">
        <v>174.7</v>
      </c>
      <c r="F1253">
        <v>10</v>
      </c>
      <c r="G1253">
        <v>3</v>
      </c>
      <c r="H1253">
        <v>2017</v>
      </c>
      <c r="I1253" s="41">
        <v>43011</v>
      </c>
      <c r="J1253" s="38">
        <v>2953.88</v>
      </c>
      <c r="K1253" s="21">
        <v>577.15</v>
      </c>
      <c r="L1253" s="22">
        <v>7.3404999999999996</v>
      </c>
      <c r="M1253" s="23">
        <v>18.216999999999999</v>
      </c>
      <c r="N1253" s="22">
        <v>3.2639</v>
      </c>
      <c r="O1253" s="22">
        <v>3.1427</v>
      </c>
      <c r="P1253" s="21">
        <v>13542.5</v>
      </c>
      <c r="Q1253" s="20">
        <v>65.484999999999999</v>
      </c>
      <c r="R1253" s="21"/>
    </row>
    <row r="1254" spans="1:18">
      <c r="A1254" s="14">
        <v>41995</v>
      </c>
      <c r="B1254" s="15">
        <v>171.1</v>
      </c>
      <c r="C1254" s="15">
        <v>172.15</v>
      </c>
      <c r="F1254">
        <v>10</v>
      </c>
      <c r="G1254">
        <v>4</v>
      </c>
      <c r="H1254">
        <v>2017</v>
      </c>
      <c r="I1254" s="41">
        <v>43012</v>
      </c>
      <c r="J1254" s="38">
        <v>2936.91</v>
      </c>
      <c r="K1254" s="21">
        <v>573.34</v>
      </c>
      <c r="L1254" s="22">
        <v>7.3445</v>
      </c>
      <c r="M1254" s="23">
        <v>18.268000000000001</v>
      </c>
      <c r="N1254" s="22">
        <v>3.258</v>
      </c>
      <c r="O1254" s="22">
        <v>3.1351</v>
      </c>
      <c r="P1254" s="21">
        <v>13476.5</v>
      </c>
      <c r="Q1254" s="20">
        <v>65.03</v>
      </c>
      <c r="R1254" s="21"/>
    </row>
    <row r="1255" spans="1:18">
      <c r="A1255" s="14">
        <v>41996</v>
      </c>
      <c r="B1255" s="15">
        <v>170.55</v>
      </c>
      <c r="C1255" s="15">
        <v>171</v>
      </c>
      <c r="F1255">
        <v>10</v>
      </c>
      <c r="G1255">
        <v>5</v>
      </c>
      <c r="H1255">
        <v>2017</v>
      </c>
      <c r="I1255" s="41">
        <v>43013</v>
      </c>
      <c r="J1255" s="38">
        <v>2926.96</v>
      </c>
      <c r="K1255" s="21">
        <v>575.6</v>
      </c>
      <c r="L1255" s="22">
        <v>7.3425000000000002</v>
      </c>
      <c r="M1255" s="23">
        <v>18.494499999999999</v>
      </c>
      <c r="N1255" s="22">
        <v>3.2610000000000001</v>
      </c>
      <c r="O1255" s="22">
        <v>3.1545000000000001</v>
      </c>
      <c r="P1255" s="21">
        <v>13457.5</v>
      </c>
      <c r="Q1255" s="20">
        <v>65.144999999999996</v>
      </c>
      <c r="R1255" s="21"/>
    </row>
    <row r="1256" spans="1:18">
      <c r="A1256" s="14">
        <v>41997</v>
      </c>
      <c r="B1256" s="15">
        <v>169.75</v>
      </c>
      <c r="C1256" s="15">
        <v>170.15</v>
      </c>
      <c r="F1256">
        <v>10</v>
      </c>
      <c r="G1256">
        <v>6</v>
      </c>
      <c r="H1256">
        <v>2017</v>
      </c>
      <c r="I1256" s="41">
        <v>43014</v>
      </c>
      <c r="J1256" s="38">
        <v>2938.49</v>
      </c>
      <c r="K1256" s="21">
        <v>576.72</v>
      </c>
      <c r="L1256" s="22">
        <v>7.3425000000000002</v>
      </c>
      <c r="M1256" s="23">
        <v>18.5533</v>
      </c>
      <c r="N1256" s="22">
        <v>3.2679</v>
      </c>
      <c r="O1256" s="22">
        <v>3.1560999999999999</v>
      </c>
      <c r="P1256" s="21">
        <v>13504</v>
      </c>
      <c r="Q1256" s="20">
        <v>65.400000000000006</v>
      </c>
      <c r="R1256" s="21"/>
    </row>
    <row r="1257" spans="1:18">
      <c r="A1257" s="14">
        <v>41999</v>
      </c>
      <c r="B1257" s="15">
        <v>167.75</v>
      </c>
      <c r="C1257" s="15">
        <v>168.6</v>
      </c>
      <c r="F1257">
        <v>10</v>
      </c>
      <c r="G1257">
        <v>9</v>
      </c>
      <c r="H1257">
        <v>2017</v>
      </c>
      <c r="I1257" s="41">
        <v>43017</v>
      </c>
      <c r="J1257" s="38">
        <v>2949.75</v>
      </c>
      <c r="K1257" s="21">
        <v>576.27</v>
      </c>
      <c r="L1257" s="22">
        <v>7.3414999999999999</v>
      </c>
      <c r="M1257" s="23">
        <v>18.672999999999998</v>
      </c>
      <c r="N1257" s="22">
        <v>3.2719999999999998</v>
      </c>
      <c r="O1257" s="22">
        <v>3.1888000000000001</v>
      </c>
      <c r="P1257" s="21">
        <v>13516.5</v>
      </c>
      <c r="Q1257" s="20">
        <v>65.355000000000004</v>
      </c>
      <c r="R1257" s="21"/>
    </row>
    <row r="1258" spans="1:18">
      <c r="A1258" s="14">
        <v>42002</v>
      </c>
      <c r="B1258" s="15">
        <v>164.65</v>
      </c>
      <c r="C1258" s="15">
        <v>165.15</v>
      </c>
      <c r="F1258">
        <v>10</v>
      </c>
      <c r="G1258">
        <v>10</v>
      </c>
      <c r="H1258">
        <v>2017</v>
      </c>
      <c r="I1258" s="41">
        <v>43018</v>
      </c>
      <c r="J1258" s="38">
        <v>2957.12</v>
      </c>
      <c r="K1258" s="21">
        <v>575.17999999999995</v>
      </c>
      <c r="L1258" s="22">
        <v>7.3419999999999996</v>
      </c>
      <c r="M1258" s="23">
        <v>18.829499999999999</v>
      </c>
      <c r="N1258" s="22">
        <v>3.2645</v>
      </c>
      <c r="O1258" s="22">
        <v>3.1795</v>
      </c>
      <c r="P1258" s="21">
        <v>13513</v>
      </c>
      <c r="Q1258" s="20">
        <v>65.25</v>
      </c>
      <c r="R1258" s="21"/>
    </row>
    <row r="1259" spans="1:18">
      <c r="A1259" s="14">
        <v>42003</v>
      </c>
      <c r="B1259" s="15">
        <v>164.5</v>
      </c>
      <c r="C1259" s="15">
        <v>164.8</v>
      </c>
      <c r="F1259">
        <v>10</v>
      </c>
      <c r="G1259">
        <v>11</v>
      </c>
      <c r="H1259">
        <v>2017</v>
      </c>
      <c r="I1259" s="41">
        <v>43019</v>
      </c>
      <c r="J1259" s="38">
        <v>2953.78</v>
      </c>
      <c r="K1259" s="21">
        <v>576.67999999999995</v>
      </c>
      <c r="L1259" s="22">
        <v>7.3455000000000004</v>
      </c>
      <c r="M1259" s="23">
        <v>18.709499999999998</v>
      </c>
      <c r="N1259" s="22">
        <v>3.2585000000000002</v>
      </c>
      <c r="O1259" s="22">
        <v>3.1724000000000001</v>
      </c>
      <c r="P1259" s="21">
        <v>13517</v>
      </c>
      <c r="Q1259" s="20">
        <v>65.16</v>
      </c>
      <c r="R1259" s="21"/>
    </row>
    <row r="1260" spans="1:18">
      <c r="A1260" s="14">
        <v>42004</v>
      </c>
      <c r="B1260" s="15">
        <v>164</v>
      </c>
      <c r="C1260" s="15">
        <v>166.6</v>
      </c>
      <c r="F1260">
        <v>10</v>
      </c>
      <c r="G1260">
        <v>12</v>
      </c>
      <c r="H1260">
        <v>2017</v>
      </c>
      <c r="I1260" s="41">
        <v>43020</v>
      </c>
      <c r="J1260" s="38">
        <v>2940.75</v>
      </c>
      <c r="K1260" s="21">
        <v>576.32000000000005</v>
      </c>
      <c r="L1260" s="22">
        <v>7.3455000000000004</v>
      </c>
      <c r="M1260" s="23">
        <v>18.907499999999999</v>
      </c>
      <c r="N1260" s="22">
        <v>3.2519999999999998</v>
      </c>
      <c r="O1260" s="22">
        <v>3.1705000000000001</v>
      </c>
      <c r="P1260" s="21">
        <v>13504.5</v>
      </c>
      <c r="Q1260" s="20">
        <v>65.06</v>
      </c>
      <c r="R1260" s="21"/>
    </row>
    <row r="1261" spans="1:18">
      <c r="A1261" s="14">
        <v>42006</v>
      </c>
      <c r="B1261" s="15">
        <v>160.19999999999999</v>
      </c>
      <c r="C1261" s="15">
        <v>161.05000000000001</v>
      </c>
      <c r="F1261">
        <v>10</v>
      </c>
      <c r="G1261">
        <v>13</v>
      </c>
      <c r="H1261">
        <v>2017</v>
      </c>
      <c r="I1261" s="41">
        <v>43021</v>
      </c>
      <c r="J1261" s="38">
        <v>2959.75</v>
      </c>
      <c r="K1261" s="21">
        <v>575.4</v>
      </c>
      <c r="L1261" s="22">
        <v>7.3425000000000002</v>
      </c>
      <c r="M1261" s="23">
        <v>18.914999999999999</v>
      </c>
      <c r="N1261" s="22">
        <v>3.2484999999999999</v>
      </c>
      <c r="O1261" s="22">
        <v>3.1452</v>
      </c>
      <c r="P1261" s="21">
        <v>13499</v>
      </c>
      <c r="Q1261" s="20">
        <v>64.7</v>
      </c>
    </row>
    <row r="1262" spans="1:18">
      <c r="A1262" s="14">
        <v>42009</v>
      </c>
      <c r="B1262" s="15">
        <v>160.1</v>
      </c>
      <c r="C1262" s="15">
        <v>168.1</v>
      </c>
      <c r="I1262" s="41">
        <v>43024</v>
      </c>
      <c r="O1262" s="53">
        <v>3.1711999999999998</v>
      </c>
      <c r="Q1262" s="20"/>
    </row>
    <row r="1263" spans="1:18">
      <c r="A1263" s="14">
        <v>42010</v>
      </c>
      <c r="B1263" s="15">
        <v>168.05</v>
      </c>
      <c r="C1263" s="15">
        <v>174.9</v>
      </c>
      <c r="I1263" s="41">
        <v>43025</v>
      </c>
      <c r="O1263" s="53">
        <v>3.1579999999999999</v>
      </c>
      <c r="Q1263" s="20"/>
    </row>
    <row r="1264" spans="1:18">
      <c r="A1264" s="14">
        <v>42011</v>
      </c>
      <c r="B1264" s="15">
        <v>173</v>
      </c>
      <c r="C1264" s="15">
        <v>175.05</v>
      </c>
      <c r="I1264" s="41">
        <v>43026</v>
      </c>
      <c r="O1264" s="53">
        <v>3.1711</v>
      </c>
      <c r="Q1264" s="20"/>
    </row>
    <row r="1265" spans="1:17">
      <c r="A1265" s="14">
        <v>42012</v>
      </c>
      <c r="B1265" s="15">
        <v>174.3</v>
      </c>
      <c r="C1265" s="15">
        <v>176.9</v>
      </c>
      <c r="I1265" s="41">
        <v>43027</v>
      </c>
      <c r="O1265" s="53">
        <v>3.1671</v>
      </c>
      <c r="Q1265" s="20"/>
    </row>
    <row r="1266" spans="1:17">
      <c r="A1266" s="14">
        <v>42013</v>
      </c>
      <c r="B1266" s="15">
        <v>177.75</v>
      </c>
      <c r="C1266" s="15">
        <v>180.05</v>
      </c>
      <c r="I1266" s="41">
        <v>43028</v>
      </c>
      <c r="O1266" s="53">
        <v>3.1924999999999999</v>
      </c>
      <c r="Q1266" s="20"/>
    </row>
    <row r="1267" spans="1:17">
      <c r="A1267" s="14">
        <v>42016</v>
      </c>
      <c r="B1267" s="15">
        <v>175.3</v>
      </c>
      <c r="C1267" s="15">
        <v>176.75</v>
      </c>
      <c r="I1267" s="41">
        <v>43031</v>
      </c>
      <c r="O1267" s="53">
        <v>3.2378</v>
      </c>
      <c r="Q1267" s="20"/>
    </row>
    <row r="1268" spans="1:17">
      <c r="A1268" s="14">
        <v>42017</v>
      </c>
      <c r="B1268" s="15">
        <v>173.85</v>
      </c>
      <c r="C1268" s="15">
        <v>176.95</v>
      </c>
      <c r="I1268" s="41">
        <v>43032</v>
      </c>
      <c r="O1268" s="53">
        <v>3.2435</v>
      </c>
      <c r="Q1268" s="20"/>
    </row>
    <row r="1269" spans="1:17">
      <c r="A1269" s="14">
        <v>42018</v>
      </c>
      <c r="B1269" s="15">
        <v>177.6</v>
      </c>
      <c r="C1269" s="15">
        <v>179.85</v>
      </c>
      <c r="I1269" s="41">
        <v>43033</v>
      </c>
      <c r="O1269" s="53">
        <v>3.2332000000000001</v>
      </c>
      <c r="Q1269" s="20"/>
    </row>
    <row r="1270" spans="1:17">
      <c r="A1270" s="14">
        <v>42019</v>
      </c>
      <c r="B1270" s="15">
        <v>175.2</v>
      </c>
      <c r="C1270" s="15">
        <v>176.65</v>
      </c>
      <c r="I1270" s="41">
        <v>43034</v>
      </c>
      <c r="O1270" s="53">
        <v>3.2905000000000002</v>
      </c>
      <c r="Q1270" s="20"/>
    </row>
    <row r="1271" spans="1:17">
      <c r="A1271" s="14">
        <v>42020</v>
      </c>
      <c r="B1271" s="15">
        <v>170.4</v>
      </c>
      <c r="C1271" s="15">
        <v>171</v>
      </c>
      <c r="I1271" s="41">
        <v>43035</v>
      </c>
      <c r="O1271" s="53">
        <v>3.2363</v>
      </c>
      <c r="Q1271" s="20"/>
    </row>
    <row r="1272" spans="1:17">
      <c r="A1272" s="14">
        <v>42024</v>
      </c>
      <c r="B1272" s="15">
        <v>163.85</v>
      </c>
      <c r="C1272" s="15">
        <v>164.3</v>
      </c>
      <c r="I1272" s="41">
        <v>43038</v>
      </c>
      <c r="O1272" s="53">
        <v>3.2890999999999999</v>
      </c>
      <c r="Q1272" s="20"/>
    </row>
    <row r="1273" spans="1:17">
      <c r="A1273" s="14">
        <v>42025</v>
      </c>
      <c r="B1273" s="15">
        <v>161</v>
      </c>
      <c r="C1273" s="15">
        <v>161.25</v>
      </c>
      <c r="I1273" s="41">
        <v>43039</v>
      </c>
      <c r="O1273" s="53">
        <v>3.2728000000000002</v>
      </c>
      <c r="Q1273" s="20"/>
    </row>
    <row r="1274" spans="1:17">
      <c r="A1274" s="14">
        <v>42026</v>
      </c>
      <c r="B1274" s="15">
        <v>159.69999999999999</v>
      </c>
      <c r="C1274" s="15">
        <v>159.94999999999999</v>
      </c>
      <c r="I1274" s="41">
        <v>43040</v>
      </c>
      <c r="O1274" s="53">
        <v>3.2675999999999998</v>
      </c>
      <c r="Q1274" s="20"/>
    </row>
    <row r="1275" spans="1:17">
      <c r="A1275" s="14">
        <v>42027</v>
      </c>
      <c r="B1275" s="15">
        <v>159.4</v>
      </c>
      <c r="C1275" s="15">
        <v>162.44999999999999</v>
      </c>
      <c r="I1275" s="41">
        <v>43041</v>
      </c>
      <c r="O1275" s="53">
        <v>3.2679999999999998</v>
      </c>
      <c r="Q1275" s="20"/>
    </row>
    <row r="1276" spans="1:17">
      <c r="A1276" s="14">
        <v>42030</v>
      </c>
      <c r="B1276" s="15">
        <v>160.75</v>
      </c>
      <c r="C1276" s="15">
        <v>161.85</v>
      </c>
      <c r="I1276" s="41">
        <v>43042</v>
      </c>
      <c r="O1276" s="53">
        <v>3.3144</v>
      </c>
      <c r="Q1276" s="20"/>
    </row>
    <row r="1277" spans="1:17">
      <c r="A1277" s="14">
        <v>42031</v>
      </c>
      <c r="B1277" s="15">
        <v>161.69999999999999</v>
      </c>
      <c r="C1277" s="15">
        <v>168.2</v>
      </c>
      <c r="I1277" s="41">
        <v>43045</v>
      </c>
      <c r="O1277" s="53">
        <v>3.2494999999999998</v>
      </c>
      <c r="Q1277" s="20"/>
    </row>
    <row r="1278" spans="1:17">
      <c r="A1278" s="14">
        <v>42032</v>
      </c>
      <c r="B1278" s="15">
        <v>165.6</v>
      </c>
      <c r="C1278" s="15">
        <v>167.7</v>
      </c>
      <c r="I1278" s="41">
        <v>43046</v>
      </c>
      <c r="O1278" s="53">
        <v>3.2713999999999999</v>
      </c>
      <c r="Q1278" s="20"/>
    </row>
    <row r="1279" spans="1:17">
      <c r="A1279" s="14">
        <v>42033</v>
      </c>
      <c r="B1279" s="15">
        <v>158.69999999999999</v>
      </c>
      <c r="C1279" s="15">
        <v>160</v>
      </c>
      <c r="I1279" s="41">
        <v>43047</v>
      </c>
      <c r="O1279" s="53">
        <v>3.2547999999999999</v>
      </c>
      <c r="Q1279" s="20"/>
    </row>
    <row r="1280" spans="1:17">
      <c r="A1280" s="14">
        <v>42034</v>
      </c>
      <c r="B1280" s="15">
        <v>159.19999999999999</v>
      </c>
      <c r="C1280" s="15">
        <v>161.9</v>
      </c>
      <c r="I1280" s="41">
        <v>43048</v>
      </c>
      <c r="O1280" s="53">
        <v>3.2521</v>
      </c>
      <c r="Q1280" s="20"/>
    </row>
    <row r="1281" spans="1:24" s="16" customFormat="1">
      <c r="A1281" s="14">
        <v>42037</v>
      </c>
      <c r="B1281" s="15">
        <v>159.69999999999999</v>
      </c>
      <c r="C1281" s="15">
        <v>162.44999999999999</v>
      </c>
      <c r="D1281"/>
      <c r="E1281"/>
      <c r="F1281"/>
      <c r="G1281"/>
      <c r="H1281"/>
      <c r="I1281" s="41">
        <v>43049</v>
      </c>
      <c r="J1281" s="38"/>
      <c r="L1281" s="17"/>
      <c r="M1281" s="18"/>
      <c r="N1281" s="17"/>
      <c r="O1281" s="53">
        <v>3.2778999999999998</v>
      </c>
      <c r="Q1281" s="20"/>
      <c r="S1281"/>
      <c r="T1281"/>
      <c r="U1281"/>
      <c r="V1281"/>
      <c r="W1281"/>
      <c r="X1281" s="46"/>
    </row>
    <row r="1282" spans="1:24" s="16" customFormat="1">
      <c r="A1282" s="14">
        <v>42038</v>
      </c>
      <c r="B1282" s="15">
        <v>158.4</v>
      </c>
      <c r="C1282" s="15">
        <v>160.75</v>
      </c>
      <c r="D1282"/>
      <c r="E1282"/>
      <c r="F1282"/>
      <c r="G1282"/>
      <c r="H1282"/>
      <c r="I1282" s="41">
        <v>43052</v>
      </c>
      <c r="J1282" s="38"/>
      <c r="L1282" s="17"/>
      <c r="M1282" s="18"/>
      <c r="N1282" s="17"/>
      <c r="O1282" s="53">
        <v>3.2793999999999999</v>
      </c>
      <c r="Q1282" s="20"/>
      <c r="S1282"/>
      <c r="T1282"/>
      <c r="U1282"/>
      <c r="V1282"/>
      <c r="W1282"/>
      <c r="X1282" s="46"/>
    </row>
    <row r="1283" spans="1:24" s="16" customFormat="1">
      <c r="A1283" s="14">
        <v>42039</v>
      </c>
      <c r="B1283" s="15">
        <v>160.15</v>
      </c>
      <c r="C1283" s="15">
        <v>164.9</v>
      </c>
      <c r="D1283"/>
      <c r="E1283"/>
      <c r="F1283"/>
      <c r="G1283"/>
      <c r="H1283"/>
      <c r="I1283" s="41">
        <v>43053</v>
      </c>
      <c r="J1283" s="38"/>
      <c r="L1283" s="17"/>
      <c r="M1283" s="18"/>
      <c r="N1283" s="17"/>
      <c r="O1283" s="53">
        <v>3.3130999999999999</v>
      </c>
      <c r="Q1283" s="20"/>
      <c r="S1283"/>
      <c r="T1283"/>
      <c r="U1283"/>
      <c r="V1283"/>
      <c r="W1283"/>
      <c r="X1283" s="46"/>
    </row>
    <row r="1284" spans="1:24" s="16" customFormat="1">
      <c r="A1284" s="14">
        <v>42040</v>
      </c>
      <c r="B1284" s="15">
        <v>163.30000000000001</v>
      </c>
      <c r="C1284" s="15">
        <v>164.75</v>
      </c>
      <c r="D1284"/>
      <c r="E1284"/>
      <c r="F1284"/>
      <c r="G1284"/>
      <c r="H1284"/>
      <c r="I1284" s="41">
        <v>43054</v>
      </c>
      <c r="J1284" s="38"/>
      <c r="L1284" s="17"/>
      <c r="M1284" s="18"/>
      <c r="N1284" s="17"/>
      <c r="O1284" s="53">
        <v>3.3132999999999999</v>
      </c>
      <c r="Q1284" s="20"/>
      <c r="S1284"/>
      <c r="T1284"/>
      <c r="U1284"/>
      <c r="V1284"/>
      <c r="W1284"/>
      <c r="X1284" s="46"/>
    </row>
    <row r="1285" spans="1:24" s="16" customFormat="1">
      <c r="A1285" s="14">
        <v>42041</v>
      </c>
      <c r="B1285" s="15">
        <v>165.05</v>
      </c>
      <c r="C1285" s="15">
        <v>166.85</v>
      </c>
      <c r="D1285"/>
      <c r="E1285"/>
      <c r="F1285"/>
      <c r="G1285"/>
      <c r="H1285"/>
      <c r="I1285" s="41">
        <v>43055</v>
      </c>
      <c r="J1285" s="38"/>
      <c r="L1285" s="17"/>
      <c r="M1285" s="18"/>
      <c r="N1285" s="17"/>
      <c r="O1285" s="53">
        <v>3.274</v>
      </c>
      <c r="Q1285" s="20"/>
      <c r="S1285"/>
      <c r="T1285"/>
      <c r="U1285"/>
      <c r="V1285"/>
      <c r="W1285"/>
      <c r="X1285" s="46"/>
    </row>
    <row r="1286" spans="1:24" s="16" customFormat="1">
      <c r="A1286" s="14">
        <v>42044</v>
      </c>
      <c r="B1286" s="15">
        <v>163.80000000000001</v>
      </c>
      <c r="C1286" s="15">
        <v>167.6</v>
      </c>
      <c r="D1286"/>
      <c r="E1286"/>
      <c r="F1286"/>
      <c r="G1286"/>
      <c r="H1286"/>
      <c r="I1286" s="41">
        <v>43056</v>
      </c>
      <c r="J1286" s="38"/>
      <c r="L1286" s="17"/>
      <c r="M1286" s="18"/>
      <c r="N1286" s="17"/>
      <c r="O1286" s="53">
        <v>3.2574000000000001</v>
      </c>
      <c r="Q1286" s="20"/>
      <c r="S1286"/>
      <c r="T1286"/>
      <c r="U1286"/>
      <c r="V1286"/>
      <c r="W1286"/>
      <c r="X1286" s="46"/>
    </row>
    <row r="1287" spans="1:24" s="16" customFormat="1">
      <c r="A1287" s="14">
        <v>42045</v>
      </c>
      <c r="B1287" s="15">
        <v>158.80000000000001</v>
      </c>
      <c r="C1287" s="15">
        <v>159.4</v>
      </c>
      <c r="D1287"/>
      <c r="E1287"/>
      <c r="F1287"/>
      <c r="G1287"/>
      <c r="H1287"/>
      <c r="I1287" s="41">
        <v>43059</v>
      </c>
      <c r="J1287" s="38"/>
      <c r="L1287" s="17"/>
      <c r="M1287" s="18"/>
      <c r="N1287" s="17"/>
      <c r="O1287" s="53">
        <v>3.2572999999999999</v>
      </c>
      <c r="Q1287" s="20"/>
      <c r="S1287"/>
      <c r="T1287"/>
      <c r="U1287"/>
      <c r="V1287"/>
      <c r="W1287"/>
      <c r="X1287" s="46"/>
    </row>
    <row r="1288" spans="1:24" s="16" customFormat="1">
      <c r="A1288" s="14">
        <v>42046</v>
      </c>
      <c r="B1288" s="15">
        <v>159</v>
      </c>
      <c r="C1288" s="15">
        <v>159.44999999999999</v>
      </c>
      <c r="D1288"/>
      <c r="E1288"/>
      <c r="F1288"/>
      <c r="G1288"/>
      <c r="H1288"/>
      <c r="I1288" s="41">
        <v>43060</v>
      </c>
      <c r="J1288" s="38"/>
      <c r="L1288" s="17"/>
      <c r="M1288" s="18"/>
      <c r="N1288" s="17"/>
      <c r="O1288" s="53">
        <v>3.2587999999999999</v>
      </c>
      <c r="Q1288" s="20"/>
      <c r="S1288"/>
      <c r="T1288"/>
      <c r="U1288"/>
      <c r="V1288"/>
      <c r="W1288"/>
      <c r="X1288" s="46"/>
    </row>
    <row r="1289" spans="1:24" s="16" customFormat="1">
      <c r="A1289" s="14">
        <v>42047</v>
      </c>
      <c r="B1289" s="15">
        <v>159.30000000000001</v>
      </c>
      <c r="C1289" s="15">
        <v>164.55</v>
      </c>
      <c r="D1289"/>
      <c r="E1289"/>
      <c r="F1289"/>
      <c r="G1289"/>
      <c r="H1289"/>
      <c r="I1289" s="41">
        <v>43061</v>
      </c>
      <c r="J1289" s="38"/>
      <c r="L1289" s="17"/>
      <c r="M1289" s="18"/>
      <c r="N1289" s="17"/>
      <c r="O1289" s="53">
        <v>3.2242999999999999</v>
      </c>
      <c r="Q1289" s="20"/>
      <c r="S1289"/>
      <c r="T1289"/>
      <c r="U1289"/>
      <c r="V1289"/>
      <c r="W1289"/>
      <c r="X1289" s="46"/>
    </row>
    <row r="1290" spans="1:24" s="16" customFormat="1">
      <c r="A1290" s="14">
        <v>42048</v>
      </c>
      <c r="B1290" s="15">
        <v>162.15</v>
      </c>
      <c r="C1290" s="15">
        <v>163.19999999999999</v>
      </c>
      <c r="D1290"/>
      <c r="E1290"/>
      <c r="F1290"/>
      <c r="G1290"/>
      <c r="H1290"/>
      <c r="I1290" s="41">
        <v>43062</v>
      </c>
      <c r="J1290" s="38"/>
      <c r="L1290" s="17"/>
      <c r="M1290" s="18"/>
      <c r="N1290" s="17"/>
      <c r="O1290" s="53">
        <v>3.2219000000000002</v>
      </c>
      <c r="Q1290" s="20"/>
      <c r="S1290"/>
      <c r="T1290"/>
      <c r="U1290"/>
      <c r="V1290"/>
      <c r="W1290"/>
      <c r="X1290" s="46"/>
    </row>
    <row r="1291" spans="1:24" s="16" customFormat="1">
      <c r="A1291" s="14">
        <v>42052</v>
      </c>
      <c r="B1291" s="15">
        <v>154.5</v>
      </c>
      <c r="C1291" s="15">
        <v>155.65</v>
      </c>
      <c r="D1291"/>
      <c r="E1291"/>
      <c r="F1291"/>
      <c r="G1291"/>
      <c r="H1291"/>
      <c r="I1291" s="41">
        <v>43063</v>
      </c>
      <c r="J1291" s="38"/>
      <c r="L1291" s="17"/>
      <c r="M1291" s="18"/>
      <c r="N1291" s="17"/>
      <c r="O1291" s="53">
        <v>3.2330000000000001</v>
      </c>
      <c r="Q1291" s="20"/>
      <c r="S1291"/>
      <c r="T1291"/>
      <c r="U1291"/>
      <c r="V1291"/>
      <c r="W1291"/>
      <c r="X1291" s="46"/>
    </row>
    <row r="1292" spans="1:24" s="16" customFormat="1">
      <c r="A1292" s="14">
        <v>42053</v>
      </c>
      <c r="B1292" s="15">
        <v>152.05000000000001</v>
      </c>
      <c r="C1292" s="15">
        <v>152.80000000000001</v>
      </c>
      <c r="D1292"/>
      <c r="E1292"/>
      <c r="F1292"/>
      <c r="G1292"/>
      <c r="H1292"/>
      <c r="I1292" s="41">
        <v>43066</v>
      </c>
      <c r="J1292" s="38"/>
      <c r="L1292" s="17"/>
      <c r="M1292" s="18"/>
      <c r="N1292" s="17"/>
      <c r="O1292" s="53">
        <v>3.2277999999999998</v>
      </c>
      <c r="Q1292" s="20"/>
      <c r="S1292"/>
      <c r="T1292"/>
      <c r="U1292"/>
      <c r="V1292"/>
      <c r="W1292"/>
      <c r="X1292" s="46"/>
    </row>
    <row r="1293" spans="1:24" s="16" customFormat="1">
      <c r="A1293" s="14">
        <v>42054</v>
      </c>
      <c r="B1293" s="15">
        <v>149.4</v>
      </c>
      <c r="C1293" s="15">
        <v>149.19999999999999</v>
      </c>
      <c r="D1293"/>
      <c r="E1293"/>
      <c r="F1293"/>
      <c r="G1293"/>
      <c r="H1293"/>
      <c r="I1293" s="41">
        <v>43067</v>
      </c>
      <c r="J1293" s="38"/>
      <c r="L1293" s="17"/>
      <c r="M1293" s="18"/>
      <c r="N1293" s="17"/>
      <c r="O1293" s="53">
        <v>3.2130999999999998</v>
      </c>
      <c r="Q1293" s="20"/>
      <c r="S1293"/>
      <c r="T1293"/>
      <c r="U1293"/>
      <c r="V1293"/>
      <c r="W1293"/>
      <c r="X1293" s="46"/>
    </row>
    <row r="1294" spans="1:24" s="16" customFormat="1">
      <c r="A1294" s="14">
        <v>42055</v>
      </c>
      <c r="B1294" s="15">
        <v>147</v>
      </c>
      <c r="C1294" s="15">
        <v>148.65</v>
      </c>
      <c r="D1294"/>
      <c r="E1294"/>
      <c r="F1294"/>
      <c r="G1294"/>
      <c r="H1294"/>
      <c r="I1294" s="41">
        <v>43068</v>
      </c>
      <c r="J1294" s="38"/>
      <c r="L1294" s="17"/>
      <c r="M1294" s="18"/>
      <c r="N1294" s="17"/>
      <c r="O1294" s="53">
        <v>3.2461000000000002</v>
      </c>
      <c r="Q1294" s="19"/>
      <c r="S1294"/>
      <c r="T1294"/>
      <c r="U1294"/>
      <c r="V1294"/>
      <c r="W1294"/>
      <c r="X1294" s="46"/>
    </row>
    <row r="1295" spans="1:24" s="16" customFormat="1">
      <c r="A1295" s="14">
        <v>42058</v>
      </c>
      <c r="B1295" s="15">
        <v>145.25</v>
      </c>
      <c r="C1295" s="15">
        <v>144.44999999999999</v>
      </c>
      <c r="D1295"/>
      <c r="E1295"/>
      <c r="F1295"/>
      <c r="G1295"/>
      <c r="H1295"/>
      <c r="I1295" s="41">
        <v>43069</v>
      </c>
      <c r="J1295" s="38"/>
      <c r="L1295" s="17"/>
      <c r="M1295" s="18"/>
      <c r="N1295" s="17"/>
      <c r="O1295" s="53">
        <v>3.2726999999999999</v>
      </c>
      <c r="Q1295" s="19"/>
      <c r="S1295"/>
      <c r="T1295"/>
      <c r="U1295"/>
      <c r="V1295"/>
      <c r="W1295"/>
      <c r="X1295" s="46"/>
    </row>
    <row r="1296" spans="1:24" s="16" customFormat="1">
      <c r="A1296" s="14">
        <v>42059</v>
      </c>
      <c r="B1296" s="15">
        <v>143.55000000000001</v>
      </c>
      <c r="C1296" s="15">
        <v>145.35</v>
      </c>
      <c r="D1296"/>
      <c r="E1296"/>
      <c r="F1296"/>
      <c r="G1296"/>
      <c r="H1296"/>
      <c r="I1296" s="41">
        <v>43070</v>
      </c>
      <c r="J1296" s="38"/>
      <c r="L1296" s="17"/>
      <c r="M1296" s="18"/>
      <c r="N1296" s="17"/>
      <c r="O1296" s="53">
        <v>3.2581000000000002</v>
      </c>
      <c r="Q1296" s="19"/>
      <c r="S1296"/>
      <c r="T1296"/>
      <c r="U1296"/>
      <c r="V1296"/>
      <c r="W1296"/>
      <c r="X1296" s="46"/>
    </row>
    <row r="1297" spans="1:24" s="16" customFormat="1">
      <c r="A1297" s="14">
        <v>42060</v>
      </c>
      <c r="B1297" s="15">
        <v>140.05000000000001</v>
      </c>
      <c r="C1297" s="15">
        <v>139.75</v>
      </c>
      <c r="D1297"/>
      <c r="E1297"/>
      <c r="F1297"/>
      <c r="G1297"/>
      <c r="H1297"/>
      <c r="I1297" s="41">
        <v>43073</v>
      </c>
      <c r="J1297" s="38"/>
      <c r="L1297" s="17"/>
      <c r="M1297" s="18"/>
      <c r="N1297" s="17"/>
      <c r="O1297" s="53">
        <v>3.2442000000000002</v>
      </c>
      <c r="Q1297" s="19"/>
      <c r="S1297"/>
      <c r="T1297"/>
      <c r="U1297"/>
      <c r="V1297"/>
      <c r="W1297"/>
      <c r="X1297" s="46"/>
    </row>
    <row r="1298" spans="1:24" s="16" customFormat="1">
      <c r="A1298" s="14">
        <v>42061</v>
      </c>
      <c r="B1298" s="15">
        <v>139.80000000000001</v>
      </c>
      <c r="C1298" s="15">
        <v>136.55000000000001</v>
      </c>
      <c r="D1298"/>
      <c r="E1298"/>
      <c r="F1298"/>
      <c r="G1298"/>
      <c r="H1298"/>
      <c r="I1298" s="41">
        <v>43074</v>
      </c>
      <c r="J1298" s="38"/>
      <c r="L1298" s="17"/>
      <c r="M1298" s="18"/>
      <c r="N1298" s="17"/>
      <c r="O1298" s="53">
        <v>3.2418</v>
      </c>
      <c r="Q1298" s="19"/>
      <c r="S1298"/>
      <c r="T1298"/>
      <c r="U1298"/>
      <c r="V1298"/>
      <c r="W1298"/>
      <c r="X1298" s="46"/>
    </row>
    <row r="1299" spans="1:24" s="16" customFormat="1">
      <c r="A1299" s="14">
        <v>42062</v>
      </c>
      <c r="B1299" s="15">
        <v>136.44999999999999</v>
      </c>
      <c r="C1299" s="15">
        <v>136.75</v>
      </c>
      <c r="D1299"/>
      <c r="E1299"/>
      <c r="F1299"/>
      <c r="G1299"/>
      <c r="H1299"/>
      <c r="I1299" s="41">
        <v>43075</v>
      </c>
      <c r="J1299" s="38"/>
      <c r="L1299" s="17"/>
      <c r="M1299" s="18"/>
      <c r="N1299" s="17"/>
      <c r="O1299" s="53">
        <v>3.2357</v>
      </c>
      <c r="Q1299" s="19"/>
      <c r="S1299"/>
      <c r="T1299"/>
      <c r="U1299"/>
      <c r="V1299"/>
      <c r="W1299"/>
      <c r="X1299" s="46"/>
    </row>
    <row r="1300" spans="1:24" s="16" customFormat="1">
      <c r="A1300" s="14">
        <v>42065</v>
      </c>
      <c r="B1300" s="15">
        <v>134.85</v>
      </c>
      <c r="C1300" s="15">
        <v>135.1</v>
      </c>
      <c r="D1300"/>
      <c r="E1300"/>
      <c r="F1300"/>
      <c r="G1300"/>
      <c r="H1300"/>
      <c r="I1300" s="41">
        <v>43076</v>
      </c>
      <c r="J1300" s="38"/>
      <c r="L1300" s="17"/>
      <c r="M1300" s="18"/>
      <c r="N1300" s="17"/>
      <c r="O1300" s="53">
        <v>3.2907000000000002</v>
      </c>
      <c r="Q1300" s="19"/>
      <c r="S1300"/>
      <c r="T1300"/>
      <c r="U1300"/>
      <c r="V1300"/>
      <c r="W1300"/>
      <c r="X1300" s="46"/>
    </row>
    <row r="1301" spans="1:24" s="16" customFormat="1">
      <c r="A1301" s="14">
        <v>42066</v>
      </c>
      <c r="B1301" s="15">
        <v>134.15</v>
      </c>
      <c r="C1301" s="15">
        <v>126.25</v>
      </c>
      <c r="D1301"/>
      <c r="E1301"/>
      <c r="F1301"/>
      <c r="G1301"/>
      <c r="H1301"/>
      <c r="I1301" s="41">
        <v>43077</v>
      </c>
      <c r="J1301" s="38"/>
      <c r="L1301" s="17"/>
      <c r="M1301" s="18"/>
      <c r="N1301" s="17"/>
      <c r="O1301" s="53">
        <v>3.2919</v>
      </c>
      <c r="Q1301" s="19"/>
      <c r="S1301"/>
      <c r="T1301"/>
      <c r="U1301"/>
      <c r="V1301"/>
      <c r="W1301"/>
      <c r="X1301" s="46"/>
    </row>
    <row r="1302" spans="1:24" s="16" customFormat="1">
      <c r="A1302" s="14">
        <v>42067</v>
      </c>
      <c r="B1302" s="15">
        <v>129.05000000000001</v>
      </c>
      <c r="C1302" s="15">
        <v>134.05000000000001</v>
      </c>
      <c r="D1302"/>
      <c r="E1302"/>
      <c r="F1302"/>
      <c r="G1302"/>
      <c r="H1302"/>
      <c r="I1302" s="41">
        <v>43080</v>
      </c>
      <c r="J1302" s="38"/>
      <c r="L1302" s="17"/>
      <c r="M1302" s="18"/>
      <c r="N1302" s="17"/>
      <c r="O1302" s="53">
        <v>3.3048000000000002</v>
      </c>
      <c r="Q1302" s="19"/>
      <c r="S1302"/>
      <c r="T1302"/>
      <c r="U1302"/>
      <c r="V1302"/>
      <c r="W1302"/>
      <c r="X1302" s="46"/>
    </row>
    <row r="1303" spans="1:24" s="16" customFormat="1">
      <c r="A1303" s="14">
        <v>42068</v>
      </c>
      <c r="B1303" s="15">
        <v>133.19999999999999</v>
      </c>
      <c r="C1303" s="15">
        <v>131.55000000000001</v>
      </c>
      <c r="D1303"/>
      <c r="E1303"/>
      <c r="F1303"/>
      <c r="G1303"/>
      <c r="H1303"/>
      <c r="I1303" s="41">
        <v>43081</v>
      </c>
      <c r="J1303" s="38"/>
      <c r="L1303" s="17"/>
      <c r="M1303" s="18"/>
      <c r="N1303" s="17"/>
      <c r="O1303" s="53">
        <v>3.3065000000000002</v>
      </c>
      <c r="Q1303" s="19"/>
      <c r="S1303"/>
      <c r="T1303"/>
      <c r="U1303"/>
      <c r="V1303"/>
      <c r="W1303"/>
      <c r="X1303" s="46"/>
    </row>
    <row r="1304" spans="1:24" s="16" customFormat="1">
      <c r="A1304" s="14">
        <v>42069</v>
      </c>
      <c r="B1304" s="15">
        <v>131.65</v>
      </c>
      <c r="C1304" s="15">
        <v>136.5</v>
      </c>
      <c r="D1304"/>
      <c r="E1304"/>
      <c r="F1304"/>
      <c r="G1304"/>
      <c r="H1304"/>
      <c r="I1304" s="41">
        <v>43082</v>
      </c>
      <c r="J1304" s="38"/>
      <c r="L1304" s="17"/>
      <c r="M1304" s="18"/>
      <c r="N1304" s="17"/>
      <c r="O1304" s="53">
        <v>3.31</v>
      </c>
      <c r="Q1304" s="19"/>
      <c r="S1304"/>
      <c r="T1304"/>
      <c r="U1304"/>
      <c r="V1304"/>
      <c r="W1304"/>
      <c r="X1304" s="46"/>
    </row>
    <row r="1305" spans="1:24" s="16" customFormat="1">
      <c r="A1305" s="14">
        <v>42072</v>
      </c>
      <c r="B1305" s="15">
        <v>131.5</v>
      </c>
      <c r="C1305" s="15">
        <v>133.65</v>
      </c>
      <c r="D1305"/>
      <c r="E1305"/>
      <c r="F1305"/>
      <c r="G1305"/>
      <c r="H1305"/>
      <c r="I1305" s="41">
        <v>43083</v>
      </c>
      <c r="J1305" s="38"/>
      <c r="L1305" s="17"/>
      <c r="M1305" s="18"/>
      <c r="N1305" s="17"/>
      <c r="O1305" s="53">
        <v>3.3418999999999999</v>
      </c>
      <c r="Q1305" s="19"/>
      <c r="S1305"/>
      <c r="T1305"/>
      <c r="U1305"/>
      <c r="V1305"/>
      <c r="W1305"/>
      <c r="X1305" s="46"/>
    </row>
    <row r="1306" spans="1:24" s="16" customFormat="1">
      <c r="A1306" s="14">
        <v>42073</v>
      </c>
      <c r="B1306" s="15">
        <v>133.1</v>
      </c>
      <c r="C1306" s="15">
        <v>131.69999999999999</v>
      </c>
      <c r="D1306"/>
      <c r="E1306"/>
      <c r="F1306"/>
      <c r="G1306"/>
      <c r="H1306"/>
      <c r="I1306" s="41">
        <v>43084</v>
      </c>
      <c r="J1306" s="38"/>
      <c r="L1306" s="17"/>
      <c r="M1306" s="18"/>
      <c r="N1306" s="17"/>
      <c r="O1306" s="53">
        <v>3.2947000000000002</v>
      </c>
      <c r="Q1306" s="19"/>
      <c r="S1306"/>
      <c r="T1306"/>
      <c r="U1306"/>
      <c r="V1306"/>
      <c r="W1306"/>
      <c r="X1306" s="46"/>
    </row>
    <row r="1307" spans="1:24" s="16" customFormat="1">
      <c r="A1307" s="14">
        <v>42074</v>
      </c>
      <c r="B1307" s="15"/>
      <c r="C1307" s="15">
        <v>128.4</v>
      </c>
      <c r="D1307"/>
      <c r="E1307"/>
      <c r="F1307"/>
      <c r="G1307"/>
      <c r="H1307"/>
      <c r="I1307" s="41">
        <v>43087</v>
      </c>
      <c r="J1307" s="38"/>
      <c r="L1307" s="17"/>
      <c r="M1307" s="18"/>
      <c r="N1307" s="17"/>
      <c r="O1307" s="53">
        <v>3.2923</v>
      </c>
      <c r="Q1307" s="19"/>
      <c r="S1307"/>
      <c r="T1307"/>
      <c r="U1307"/>
      <c r="V1307"/>
      <c r="W1307"/>
      <c r="X1307" s="46"/>
    </row>
    <row r="1308" spans="1:24" s="16" customFormat="1">
      <c r="A1308" s="14">
        <v>42075</v>
      </c>
      <c r="B1308" s="15">
        <v>130.25</v>
      </c>
      <c r="C1308" s="15">
        <v>128.85</v>
      </c>
      <c r="D1308"/>
      <c r="E1308"/>
      <c r="F1308"/>
      <c r="G1308"/>
      <c r="H1308"/>
      <c r="I1308" s="41">
        <v>43088</v>
      </c>
      <c r="J1308" s="38"/>
      <c r="L1308" s="17"/>
      <c r="M1308" s="18"/>
      <c r="N1308" s="17"/>
      <c r="O1308" s="53">
        <v>3.29</v>
      </c>
      <c r="Q1308" s="19"/>
      <c r="S1308"/>
      <c r="T1308"/>
      <c r="U1308"/>
      <c r="V1308"/>
      <c r="W1308"/>
      <c r="X1308" s="46"/>
    </row>
    <row r="1309" spans="1:24" s="16" customFormat="1">
      <c r="A1309" s="14">
        <v>42076</v>
      </c>
      <c r="B1309" s="15"/>
      <c r="C1309" s="15">
        <v>126.45</v>
      </c>
      <c r="D1309"/>
      <c r="E1309"/>
      <c r="F1309"/>
      <c r="G1309"/>
      <c r="H1309"/>
      <c r="I1309" s="41">
        <v>43089</v>
      </c>
      <c r="J1309" s="38"/>
      <c r="L1309" s="17"/>
      <c r="M1309" s="18"/>
      <c r="N1309" s="17"/>
      <c r="O1309" s="53">
        <v>3.2978999999999998</v>
      </c>
      <c r="Q1309" s="19"/>
      <c r="S1309"/>
      <c r="T1309"/>
      <c r="U1309"/>
      <c r="V1309"/>
      <c r="W1309"/>
      <c r="X1309" s="46"/>
    </row>
    <row r="1310" spans="1:24" s="16" customFormat="1">
      <c r="A1310" s="14">
        <v>42079</v>
      </c>
      <c r="B1310" s="15">
        <v>132</v>
      </c>
      <c r="C1310" s="15">
        <v>134.9</v>
      </c>
      <c r="D1310"/>
      <c r="E1310"/>
      <c r="F1310"/>
      <c r="G1310"/>
      <c r="H1310"/>
      <c r="I1310" s="41">
        <v>43090</v>
      </c>
      <c r="J1310" s="38"/>
      <c r="L1310" s="17"/>
      <c r="M1310" s="18"/>
      <c r="N1310" s="17"/>
      <c r="O1310" s="53">
        <v>3.3083999999999998</v>
      </c>
      <c r="Q1310" s="19"/>
      <c r="S1310"/>
      <c r="T1310"/>
      <c r="U1310"/>
      <c r="V1310"/>
      <c r="W1310"/>
      <c r="X1310" s="46"/>
    </row>
    <row r="1311" spans="1:24" s="16" customFormat="1">
      <c r="A1311" s="14">
        <v>42080</v>
      </c>
      <c r="B1311" s="15">
        <v>132.6</v>
      </c>
      <c r="C1311" s="15">
        <v>133.94999999999999</v>
      </c>
      <c r="D1311"/>
      <c r="E1311"/>
      <c r="F1311"/>
      <c r="G1311"/>
      <c r="H1311"/>
      <c r="I1311" s="41">
        <v>43091</v>
      </c>
      <c r="J1311" s="38"/>
      <c r="L1311" s="17"/>
      <c r="M1311" s="18"/>
      <c r="N1311" s="17"/>
      <c r="O1311" s="53">
        <v>3.3370000000000002</v>
      </c>
      <c r="Q1311" s="19"/>
      <c r="S1311"/>
      <c r="T1311"/>
      <c r="U1311"/>
      <c r="V1311"/>
      <c r="W1311"/>
      <c r="X1311" s="46"/>
    </row>
    <row r="1312" spans="1:24" s="16" customFormat="1">
      <c r="A1312" s="14">
        <v>42081</v>
      </c>
      <c r="B1312" s="15">
        <v>131.44999999999999</v>
      </c>
      <c r="C1312" s="15">
        <v>136.25</v>
      </c>
      <c r="D1312"/>
      <c r="E1312"/>
      <c r="F1312"/>
      <c r="G1312"/>
      <c r="H1312"/>
      <c r="I1312" s="41">
        <v>43094</v>
      </c>
      <c r="J1312" s="38"/>
      <c r="L1312" s="17"/>
      <c r="M1312" s="18"/>
      <c r="N1312" s="17"/>
      <c r="O1312" s="53">
        <v>3.3370000000000002</v>
      </c>
      <c r="Q1312" s="19"/>
      <c r="S1312"/>
      <c r="T1312"/>
      <c r="U1312"/>
      <c r="V1312"/>
      <c r="W1312"/>
      <c r="X1312" s="46"/>
    </row>
    <row r="1313" spans="1:24" s="16" customFormat="1">
      <c r="A1313" s="14">
        <v>42082</v>
      </c>
      <c r="B1313" s="15">
        <v>136.35</v>
      </c>
      <c r="C1313" s="15">
        <v>140</v>
      </c>
      <c r="D1313"/>
      <c r="E1313"/>
      <c r="F1313"/>
      <c r="G1313"/>
      <c r="H1313"/>
      <c r="I1313" s="41">
        <v>43095</v>
      </c>
      <c r="J1313" s="38"/>
      <c r="L1313" s="17"/>
      <c r="M1313" s="18"/>
      <c r="N1313" s="17"/>
      <c r="O1313" s="53">
        <v>3.3111000000000002</v>
      </c>
      <c r="Q1313" s="19"/>
      <c r="S1313"/>
      <c r="T1313"/>
      <c r="U1313"/>
      <c r="V1313"/>
      <c r="W1313"/>
      <c r="X1313" s="46"/>
    </row>
    <row r="1314" spans="1:24" s="16" customFormat="1">
      <c r="A1314" s="14">
        <v>42083</v>
      </c>
      <c r="B1314" s="15">
        <v>140.5</v>
      </c>
      <c r="C1314" s="15">
        <v>143.35</v>
      </c>
      <c r="D1314"/>
      <c r="E1314"/>
      <c r="F1314"/>
      <c r="G1314"/>
      <c r="H1314"/>
      <c r="I1314" s="41">
        <v>43096</v>
      </c>
      <c r="J1314" s="38"/>
      <c r="L1314" s="17"/>
      <c r="M1314" s="18"/>
      <c r="N1314" s="17"/>
      <c r="O1314" s="53">
        <v>3.3149999999999999</v>
      </c>
      <c r="Q1314" s="19"/>
      <c r="S1314"/>
      <c r="T1314"/>
      <c r="U1314"/>
      <c r="V1314"/>
      <c r="W1314"/>
      <c r="X1314" s="46"/>
    </row>
    <row r="1315" spans="1:24" s="16" customFormat="1">
      <c r="A1315" s="14">
        <v>42086</v>
      </c>
      <c r="B1315" s="15">
        <v>139.4</v>
      </c>
      <c r="C1315" s="15">
        <v>141.85</v>
      </c>
      <c r="D1315"/>
      <c r="E1315"/>
      <c r="F1315"/>
      <c r="G1315"/>
      <c r="H1315"/>
      <c r="I1315" s="41">
        <v>43097</v>
      </c>
      <c r="J1315" s="38"/>
      <c r="L1315" s="17"/>
      <c r="M1315" s="18"/>
      <c r="N1315" s="17"/>
      <c r="O1315" s="53">
        <v>3.3125</v>
      </c>
      <c r="Q1315" s="19"/>
      <c r="S1315"/>
      <c r="T1315"/>
      <c r="U1315"/>
      <c r="V1315"/>
      <c r="W1315"/>
      <c r="X1315" s="46"/>
    </row>
    <row r="1316" spans="1:24" s="16" customFormat="1">
      <c r="A1316" s="14">
        <v>42087</v>
      </c>
      <c r="B1316" s="15">
        <v>136.15</v>
      </c>
      <c r="C1316" s="15">
        <v>137.30000000000001</v>
      </c>
      <c r="D1316"/>
      <c r="E1316"/>
      <c r="F1316"/>
      <c r="G1316"/>
      <c r="H1316"/>
      <c r="I1316" s="41">
        <v>43098</v>
      </c>
      <c r="J1316" s="38"/>
      <c r="L1316" s="17"/>
      <c r="M1316" s="18"/>
      <c r="N1316" s="17"/>
      <c r="O1316" s="53">
        <v>3.3125</v>
      </c>
      <c r="Q1316" s="19"/>
      <c r="S1316"/>
      <c r="T1316"/>
      <c r="U1316"/>
      <c r="V1316"/>
      <c r="W1316"/>
      <c r="X1316" s="46"/>
    </row>
    <row r="1317" spans="1:24" s="16" customFormat="1">
      <c r="A1317" s="14">
        <v>42088</v>
      </c>
      <c r="B1317" s="15">
        <v>136</v>
      </c>
      <c r="C1317" s="15">
        <v>139.94999999999999</v>
      </c>
      <c r="D1317"/>
      <c r="E1317"/>
      <c r="F1317"/>
      <c r="G1317"/>
      <c r="H1317"/>
      <c r="I1317" s="41">
        <v>43101</v>
      </c>
      <c r="J1317" s="38"/>
      <c r="L1317" s="17"/>
      <c r="M1317" s="18"/>
      <c r="N1317" s="17"/>
      <c r="O1317" s="53">
        <v>3.3125</v>
      </c>
      <c r="Q1317" s="19"/>
      <c r="S1317"/>
      <c r="T1317"/>
      <c r="U1317"/>
      <c r="V1317"/>
      <c r="W1317"/>
      <c r="X1317" s="46"/>
    </row>
    <row r="1318" spans="1:24" s="16" customFormat="1">
      <c r="A1318" s="14">
        <v>42089</v>
      </c>
      <c r="B1318" s="15">
        <v>138.30000000000001</v>
      </c>
      <c r="C1318" s="15">
        <v>140.25</v>
      </c>
      <c r="D1318"/>
      <c r="E1318"/>
      <c r="F1318"/>
      <c r="G1318"/>
      <c r="H1318"/>
      <c r="I1318" s="41">
        <v>43102</v>
      </c>
      <c r="J1318" s="38"/>
      <c r="L1318" s="17"/>
      <c r="M1318" s="18"/>
      <c r="N1318" s="17"/>
      <c r="O1318" s="53">
        <v>3.2591000000000001</v>
      </c>
      <c r="Q1318" s="19"/>
      <c r="S1318"/>
      <c r="T1318"/>
      <c r="U1318"/>
      <c r="V1318"/>
      <c r="W1318"/>
      <c r="X1318" s="46"/>
    </row>
    <row r="1319" spans="1:24" s="16" customFormat="1">
      <c r="A1319" s="14">
        <v>42090</v>
      </c>
      <c r="B1319" s="15">
        <v>136.55000000000001</v>
      </c>
      <c r="C1319" s="15">
        <v>138.19999999999999</v>
      </c>
      <c r="D1319"/>
      <c r="E1319"/>
      <c r="F1319"/>
      <c r="G1319"/>
      <c r="H1319"/>
      <c r="I1319" s="41">
        <v>43103</v>
      </c>
      <c r="J1319" s="38"/>
      <c r="L1319" s="17"/>
      <c r="M1319" s="18"/>
      <c r="N1319" s="17"/>
      <c r="O1319" s="53">
        <v>3.2370000000000001</v>
      </c>
      <c r="Q1319" s="19"/>
      <c r="S1319"/>
      <c r="T1319"/>
      <c r="U1319"/>
      <c r="V1319"/>
      <c r="W1319"/>
      <c r="X1319" s="46"/>
    </row>
    <row r="1320" spans="1:24" s="16" customFormat="1">
      <c r="A1320" s="14">
        <v>42093</v>
      </c>
      <c r="B1320" s="15">
        <v>131.80000000000001</v>
      </c>
      <c r="C1320" s="15">
        <v>132.35</v>
      </c>
      <c r="D1320"/>
      <c r="E1320"/>
      <c r="F1320"/>
      <c r="G1320"/>
      <c r="H1320"/>
      <c r="I1320" s="41">
        <v>43104</v>
      </c>
      <c r="J1320" s="38"/>
      <c r="L1320" s="17"/>
      <c r="M1320" s="18"/>
      <c r="N1320" s="17"/>
      <c r="O1320" s="53">
        <v>3.2347000000000001</v>
      </c>
      <c r="Q1320" s="19"/>
      <c r="S1320"/>
      <c r="T1320"/>
      <c r="U1320"/>
      <c r="V1320"/>
      <c r="W1320"/>
      <c r="X1320" s="46"/>
    </row>
    <row r="1321" spans="1:24" s="16" customFormat="1">
      <c r="A1321" s="14">
        <v>42094</v>
      </c>
      <c r="B1321" s="15">
        <v>131.9</v>
      </c>
      <c r="C1321" s="15">
        <v>132.9</v>
      </c>
      <c r="D1321"/>
      <c r="E1321"/>
      <c r="F1321"/>
      <c r="G1321"/>
      <c r="H1321"/>
      <c r="I1321" s="41">
        <v>43105</v>
      </c>
      <c r="J1321" s="38"/>
      <c r="L1321" s="17"/>
      <c r="M1321" s="18"/>
      <c r="N1321" s="17"/>
      <c r="O1321" s="53">
        <v>3.2290999999999999</v>
      </c>
      <c r="Q1321" s="19"/>
      <c r="S1321"/>
      <c r="T1321"/>
      <c r="U1321"/>
      <c r="V1321"/>
      <c r="W1321"/>
      <c r="X1321" s="46"/>
    </row>
    <row r="1322" spans="1:24" s="16" customFormat="1">
      <c r="A1322" s="14">
        <v>42095</v>
      </c>
      <c r="B1322" s="15">
        <v>133.05000000000001</v>
      </c>
      <c r="C1322" s="15">
        <v>134.85</v>
      </c>
      <c r="D1322"/>
      <c r="E1322"/>
      <c r="F1322"/>
      <c r="G1322"/>
      <c r="H1322"/>
      <c r="I1322" s="41">
        <v>43108</v>
      </c>
      <c r="J1322" s="38"/>
      <c r="L1322" s="17"/>
      <c r="M1322" s="18"/>
      <c r="N1322" s="17"/>
      <c r="O1322" s="53">
        <v>3.2406999999999999</v>
      </c>
      <c r="Q1322" s="19"/>
      <c r="S1322"/>
      <c r="T1322"/>
      <c r="U1322"/>
      <c r="V1322"/>
      <c r="W1322"/>
      <c r="X1322" s="46"/>
    </row>
    <row r="1323" spans="1:24" s="16" customFormat="1">
      <c r="A1323" s="14">
        <v>42096</v>
      </c>
      <c r="B1323" s="15">
        <v>134.05000000000001</v>
      </c>
      <c r="C1323" s="15">
        <v>140.9</v>
      </c>
      <c r="D1323"/>
      <c r="E1323"/>
      <c r="F1323"/>
      <c r="G1323"/>
      <c r="H1323"/>
      <c r="I1323" s="41">
        <v>43109</v>
      </c>
      <c r="J1323" s="38"/>
      <c r="L1323" s="17"/>
      <c r="M1323" s="18"/>
      <c r="N1323" s="17"/>
      <c r="O1323" s="53">
        <v>3.2483</v>
      </c>
      <c r="Q1323" s="19"/>
      <c r="S1323"/>
      <c r="T1323"/>
      <c r="U1323"/>
      <c r="V1323"/>
      <c r="W1323"/>
      <c r="X1323" s="46"/>
    </row>
    <row r="1324" spans="1:24" s="16" customFormat="1">
      <c r="A1324" s="14">
        <v>42100</v>
      </c>
      <c r="B1324" s="15">
        <v>140.19999999999999</v>
      </c>
      <c r="C1324" s="15">
        <v>146.19999999999999</v>
      </c>
      <c r="D1324"/>
      <c r="E1324"/>
      <c r="F1324"/>
      <c r="G1324"/>
      <c r="H1324"/>
      <c r="I1324" s="41">
        <v>43110</v>
      </c>
      <c r="J1324" s="38"/>
      <c r="L1324" s="17"/>
      <c r="M1324" s="18"/>
      <c r="N1324" s="17"/>
      <c r="O1324" s="53">
        <v>3.2282999999999999</v>
      </c>
      <c r="Q1324" s="19"/>
      <c r="S1324"/>
      <c r="T1324"/>
      <c r="U1324"/>
      <c r="V1324"/>
      <c r="W1324"/>
      <c r="X1324" s="46"/>
    </row>
    <row r="1325" spans="1:24" s="16" customFormat="1">
      <c r="A1325" s="14">
        <v>42101</v>
      </c>
      <c r="B1325" s="15">
        <v>141.19999999999999</v>
      </c>
      <c r="C1325" s="15">
        <v>141.94999999999999</v>
      </c>
      <c r="D1325"/>
      <c r="E1325"/>
      <c r="F1325"/>
      <c r="G1325"/>
      <c r="H1325"/>
      <c r="I1325" s="41">
        <v>43111</v>
      </c>
      <c r="J1325" s="38"/>
      <c r="L1325" s="17"/>
      <c r="M1325" s="18"/>
      <c r="N1325" s="17"/>
      <c r="O1325" s="53">
        <v>3.2155</v>
      </c>
      <c r="Q1325" s="19"/>
      <c r="S1325"/>
      <c r="T1325"/>
      <c r="U1325"/>
      <c r="V1325"/>
      <c r="W1325"/>
      <c r="X1325" s="46"/>
    </row>
    <row r="1326" spans="1:24" s="16" customFormat="1">
      <c r="A1326" s="14">
        <v>42102</v>
      </c>
      <c r="B1326" s="15">
        <v>135.1</v>
      </c>
      <c r="C1326" s="15">
        <v>135.69999999999999</v>
      </c>
      <c r="D1326"/>
      <c r="E1326"/>
      <c r="F1326"/>
      <c r="G1326"/>
      <c r="H1326"/>
      <c r="I1326" s="41">
        <v>43112</v>
      </c>
      <c r="J1326" s="38"/>
      <c r="L1326" s="17"/>
      <c r="M1326" s="18"/>
      <c r="N1326" s="17"/>
      <c r="O1326" s="53">
        <v>3.2063999999999999</v>
      </c>
      <c r="Q1326" s="19"/>
      <c r="S1326"/>
      <c r="T1326"/>
      <c r="U1326"/>
      <c r="V1326"/>
      <c r="W1326"/>
      <c r="X1326" s="46"/>
    </row>
    <row r="1327" spans="1:24" s="16" customFormat="1">
      <c r="A1327" s="14">
        <v>42103</v>
      </c>
      <c r="B1327" s="15">
        <v>133.6</v>
      </c>
      <c r="C1327" s="15">
        <v>137.44999999999999</v>
      </c>
      <c r="D1327"/>
      <c r="E1327"/>
      <c r="F1327"/>
      <c r="G1327"/>
      <c r="H1327"/>
      <c r="I1327" s="41">
        <v>43115</v>
      </c>
      <c r="J1327" s="38"/>
      <c r="L1327" s="17"/>
      <c r="M1327" s="18"/>
      <c r="N1327" s="17"/>
      <c r="O1327" s="53">
        <v>3.2162999999999999</v>
      </c>
      <c r="Q1327" s="19"/>
      <c r="S1327"/>
      <c r="T1327"/>
      <c r="U1327"/>
      <c r="V1327"/>
      <c r="W1327"/>
      <c r="X1327" s="46"/>
    </row>
    <row r="1328" spans="1:24" s="16" customFormat="1">
      <c r="A1328" s="14">
        <v>42104</v>
      </c>
      <c r="B1328" s="15">
        <v>133.80000000000001</v>
      </c>
      <c r="C1328" s="15">
        <v>135.1</v>
      </c>
      <c r="D1328"/>
      <c r="E1328"/>
      <c r="F1328"/>
      <c r="G1328"/>
      <c r="H1328"/>
      <c r="I1328" s="41">
        <v>43116</v>
      </c>
      <c r="J1328" s="38"/>
      <c r="L1328" s="17"/>
      <c r="M1328" s="18"/>
      <c r="N1328" s="17"/>
      <c r="O1328" s="53">
        <v>3.2242999999999999</v>
      </c>
      <c r="Q1328" s="19"/>
      <c r="S1328"/>
      <c r="T1328"/>
      <c r="U1328"/>
      <c r="V1328"/>
      <c r="W1328"/>
      <c r="X1328" s="46"/>
    </row>
    <row r="1329" spans="1:24" s="16" customFormat="1">
      <c r="A1329" s="14">
        <v>42107</v>
      </c>
      <c r="B1329" s="15">
        <v>132.94999999999999</v>
      </c>
      <c r="C1329" s="15">
        <v>133.75</v>
      </c>
      <c r="D1329"/>
      <c r="E1329"/>
      <c r="F1329"/>
      <c r="G1329"/>
      <c r="H1329"/>
      <c r="I1329" s="41">
        <v>43117</v>
      </c>
      <c r="J1329" s="38"/>
      <c r="L1329" s="17"/>
      <c r="M1329" s="18"/>
      <c r="N1329" s="17"/>
      <c r="O1329" s="53">
        <v>3.2238000000000002</v>
      </c>
      <c r="Q1329" s="19"/>
      <c r="S1329"/>
      <c r="T1329"/>
      <c r="U1329"/>
      <c r="V1329"/>
      <c r="W1329"/>
      <c r="X1329" s="46"/>
    </row>
    <row r="1330" spans="1:24" s="16" customFormat="1">
      <c r="A1330" s="14">
        <v>42108</v>
      </c>
      <c r="B1330" s="15">
        <v>131.94999999999999</v>
      </c>
      <c r="C1330" s="15">
        <v>134.6</v>
      </c>
      <c r="D1330"/>
      <c r="E1330"/>
      <c r="F1330"/>
      <c r="G1330"/>
      <c r="H1330"/>
      <c r="I1330" s="41">
        <v>43118</v>
      </c>
      <c r="J1330" s="38"/>
      <c r="L1330" s="17"/>
      <c r="M1330" s="18"/>
      <c r="N1330" s="17"/>
      <c r="O1330" s="53">
        <v>3.2065000000000001</v>
      </c>
      <c r="Q1330" s="19"/>
      <c r="S1330"/>
      <c r="T1330"/>
      <c r="U1330"/>
      <c r="V1330"/>
      <c r="W1330"/>
      <c r="X1330" s="46"/>
    </row>
    <row r="1331" spans="1:24" s="16" customFormat="1">
      <c r="A1331" s="14">
        <v>42109</v>
      </c>
      <c r="B1331" s="15">
        <v>133.85</v>
      </c>
      <c r="C1331" s="15">
        <v>135.80000000000001</v>
      </c>
      <c r="D1331"/>
      <c r="E1331"/>
      <c r="F1331"/>
      <c r="G1331"/>
      <c r="H1331"/>
      <c r="I1331" s="41">
        <v>43119</v>
      </c>
      <c r="J1331" s="38"/>
      <c r="L1331" s="17"/>
      <c r="M1331" s="18"/>
      <c r="N1331" s="17"/>
      <c r="O1331" s="53">
        <v>3.1962000000000002</v>
      </c>
      <c r="Q1331" s="19"/>
      <c r="S1331"/>
      <c r="T1331"/>
      <c r="U1331"/>
      <c r="V1331"/>
      <c r="W1331"/>
      <c r="X1331" s="46"/>
    </row>
    <row r="1332" spans="1:24" s="16" customFormat="1">
      <c r="A1332" s="14">
        <v>42110</v>
      </c>
      <c r="B1332" s="15">
        <v>136.1</v>
      </c>
      <c r="C1332" s="15">
        <v>139.6</v>
      </c>
      <c r="D1332"/>
      <c r="E1332"/>
      <c r="F1332"/>
      <c r="G1332"/>
      <c r="H1332"/>
      <c r="I1332" s="41">
        <v>43122</v>
      </c>
      <c r="J1332" s="38"/>
      <c r="L1332" s="17"/>
      <c r="M1332" s="18"/>
      <c r="N1332" s="17"/>
      <c r="O1332" s="53">
        <v>3.2021000000000002</v>
      </c>
      <c r="Q1332" s="19"/>
      <c r="S1332"/>
      <c r="T1332"/>
      <c r="U1332"/>
      <c r="V1332"/>
      <c r="W1332"/>
      <c r="X1332" s="46"/>
    </row>
    <row r="1333" spans="1:24" s="16" customFormat="1">
      <c r="A1333" s="14">
        <v>42111</v>
      </c>
      <c r="B1333" s="15">
        <v>137.80000000000001</v>
      </c>
      <c r="C1333" s="15">
        <v>138.69999999999999</v>
      </c>
      <c r="D1333"/>
      <c r="E1333"/>
      <c r="F1333"/>
      <c r="G1333"/>
      <c r="H1333"/>
      <c r="I1333" s="41">
        <v>43123</v>
      </c>
      <c r="J1333" s="38"/>
      <c r="L1333" s="17"/>
      <c r="M1333" s="18"/>
      <c r="N1333" s="17"/>
      <c r="O1333" s="53">
        <v>3.2370000000000001</v>
      </c>
      <c r="Q1333" s="19"/>
      <c r="S1333"/>
      <c r="T1333"/>
      <c r="U1333"/>
      <c r="V1333"/>
      <c r="W1333"/>
      <c r="X1333" s="46"/>
    </row>
    <row r="1334" spans="1:24" s="16" customFormat="1">
      <c r="A1334" s="14">
        <v>42114</v>
      </c>
      <c r="B1334" s="15">
        <v>134.25</v>
      </c>
      <c r="C1334" s="15">
        <v>138.69999999999999</v>
      </c>
      <c r="D1334"/>
      <c r="E1334"/>
      <c r="F1334"/>
      <c r="G1334"/>
      <c r="H1334"/>
      <c r="I1334" s="41">
        <v>43124</v>
      </c>
      <c r="J1334" s="38"/>
      <c r="L1334" s="17"/>
      <c r="M1334" s="18"/>
      <c r="N1334" s="17"/>
      <c r="O1334" s="53">
        <v>3.1465000000000001</v>
      </c>
      <c r="Q1334" s="19"/>
      <c r="S1334"/>
      <c r="T1334"/>
      <c r="U1334"/>
      <c r="V1334"/>
      <c r="W1334"/>
      <c r="X1334" s="46"/>
    </row>
    <row r="1335" spans="1:24" s="16" customFormat="1">
      <c r="A1335" s="14">
        <v>42115</v>
      </c>
      <c r="B1335" s="15">
        <v>138.19999999999999</v>
      </c>
      <c r="C1335" s="15">
        <v>140.30000000000001</v>
      </c>
      <c r="D1335"/>
      <c r="E1335"/>
      <c r="F1335"/>
      <c r="G1335"/>
      <c r="H1335"/>
      <c r="I1335" s="41">
        <v>43125</v>
      </c>
      <c r="J1335" s="38"/>
      <c r="L1335" s="17"/>
      <c r="M1335" s="18"/>
      <c r="N1335" s="17"/>
      <c r="O1335" s="53">
        <v>3.1484999999999999</v>
      </c>
      <c r="Q1335" s="19"/>
      <c r="S1335"/>
      <c r="T1335"/>
      <c r="U1335"/>
      <c r="V1335"/>
      <c r="W1335"/>
      <c r="X1335" s="46"/>
    </row>
    <row r="1336" spans="1:24" s="16" customFormat="1">
      <c r="A1336" s="14">
        <v>42116</v>
      </c>
      <c r="B1336" s="15">
        <v>139.65</v>
      </c>
      <c r="C1336" s="15">
        <v>142.4</v>
      </c>
      <c r="D1336"/>
      <c r="E1336"/>
      <c r="F1336"/>
      <c r="G1336"/>
      <c r="H1336"/>
      <c r="I1336" s="41">
        <v>43126</v>
      </c>
      <c r="J1336" s="38"/>
      <c r="L1336" s="17"/>
      <c r="M1336" s="18"/>
      <c r="N1336" s="17"/>
      <c r="O1336" s="53">
        <v>3.1509999999999998</v>
      </c>
      <c r="Q1336" s="19"/>
      <c r="S1336"/>
      <c r="T1336"/>
      <c r="U1336"/>
      <c r="V1336"/>
      <c r="W1336"/>
      <c r="X1336" s="46"/>
    </row>
    <row r="1337" spans="1:24" s="16" customFormat="1">
      <c r="A1337" s="14">
        <v>42117</v>
      </c>
      <c r="B1337" s="15">
        <v>140.65</v>
      </c>
      <c r="C1337" s="15">
        <v>140.44999999999999</v>
      </c>
      <c r="D1337"/>
      <c r="E1337"/>
      <c r="F1337"/>
      <c r="G1337"/>
      <c r="H1337"/>
      <c r="I1337" s="41">
        <v>43129</v>
      </c>
      <c r="J1337" s="38"/>
      <c r="L1337" s="17"/>
      <c r="M1337" s="18"/>
      <c r="N1337" s="17"/>
      <c r="O1337" s="53">
        <v>3.1549999999999998</v>
      </c>
      <c r="Q1337" s="19"/>
      <c r="S1337"/>
      <c r="T1337"/>
      <c r="U1337"/>
      <c r="V1337"/>
      <c r="W1337"/>
      <c r="X1337" s="46"/>
    </row>
    <row r="1338" spans="1:24" s="16" customFormat="1">
      <c r="A1338" s="14">
        <v>42118</v>
      </c>
      <c r="B1338" s="15">
        <v>140.85</v>
      </c>
      <c r="C1338" s="15">
        <v>141.15</v>
      </c>
      <c r="D1338"/>
      <c r="E1338"/>
      <c r="F1338"/>
      <c r="G1338"/>
      <c r="H1338"/>
      <c r="I1338" s="41">
        <v>43130</v>
      </c>
      <c r="J1338" s="38"/>
      <c r="L1338" s="17"/>
      <c r="M1338" s="18"/>
      <c r="N1338" s="17"/>
      <c r="O1338" s="53">
        <v>3.1812</v>
      </c>
      <c r="Q1338" s="19"/>
      <c r="S1338"/>
      <c r="T1338"/>
      <c r="U1338"/>
      <c r="V1338"/>
      <c r="W1338"/>
      <c r="X1338" s="46"/>
    </row>
    <row r="1339" spans="1:24" s="16" customFormat="1">
      <c r="A1339" s="14">
        <v>42121</v>
      </c>
      <c r="B1339" s="15">
        <v>134.30000000000001</v>
      </c>
      <c r="C1339" s="15">
        <v>136.1</v>
      </c>
      <c r="D1339"/>
      <c r="E1339"/>
      <c r="F1339"/>
      <c r="G1339"/>
      <c r="H1339"/>
      <c r="I1339" s="41">
        <v>43131</v>
      </c>
      <c r="J1339" s="38"/>
      <c r="L1339" s="17"/>
      <c r="M1339" s="18"/>
      <c r="N1339" s="17"/>
      <c r="O1339" s="53">
        <v>3.1859000000000002</v>
      </c>
      <c r="Q1339" s="19"/>
      <c r="S1339"/>
      <c r="T1339"/>
      <c r="U1339"/>
      <c r="V1339"/>
      <c r="W1339"/>
      <c r="X1339" s="46"/>
    </row>
    <row r="1340" spans="1:24" s="16" customFormat="1">
      <c r="A1340" s="14">
        <v>42122</v>
      </c>
      <c r="B1340" s="15">
        <v>135.25</v>
      </c>
      <c r="C1340" s="15">
        <v>138.15</v>
      </c>
      <c r="D1340"/>
      <c r="E1340"/>
      <c r="F1340"/>
      <c r="G1340"/>
      <c r="H1340"/>
      <c r="I1340" s="41">
        <v>43132</v>
      </c>
      <c r="J1340" s="38"/>
      <c r="L1340" s="17"/>
      <c r="M1340" s="18"/>
      <c r="N1340" s="17"/>
      <c r="O1340" s="53">
        <v>3.1669</v>
      </c>
      <c r="Q1340" s="19"/>
      <c r="S1340"/>
      <c r="T1340"/>
      <c r="U1340"/>
      <c r="V1340"/>
      <c r="W1340"/>
      <c r="X1340" s="46"/>
    </row>
    <row r="1341" spans="1:24" s="16" customFormat="1">
      <c r="A1341" s="14">
        <v>42123</v>
      </c>
      <c r="B1341" s="15">
        <v>136.9</v>
      </c>
      <c r="C1341" s="15">
        <v>138.35</v>
      </c>
      <c r="D1341"/>
      <c r="E1341"/>
      <c r="F1341"/>
      <c r="G1341"/>
      <c r="H1341"/>
      <c r="I1341" s="41">
        <v>43133</v>
      </c>
      <c r="J1341" s="38"/>
      <c r="L1341" s="17"/>
      <c r="M1341" s="18"/>
      <c r="N1341" s="17"/>
      <c r="O1341" s="53">
        <v>3.2181000000000002</v>
      </c>
      <c r="Q1341" s="19"/>
      <c r="S1341"/>
      <c r="T1341"/>
      <c r="U1341"/>
      <c r="V1341"/>
      <c r="W1341"/>
      <c r="X1341" s="46"/>
    </row>
    <row r="1342" spans="1:24" s="16" customFormat="1">
      <c r="A1342" s="14">
        <v>42124</v>
      </c>
      <c r="B1342" s="15">
        <v>137.19999999999999</v>
      </c>
      <c r="C1342" s="15">
        <v>136.55000000000001</v>
      </c>
      <c r="D1342"/>
      <c r="E1342"/>
      <c r="F1342"/>
      <c r="G1342"/>
      <c r="H1342"/>
      <c r="I1342" s="41">
        <v>43136</v>
      </c>
      <c r="J1342" s="38"/>
      <c r="L1342" s="17"/>
      <c r="M1342" s="18"/>
      <c r="N1342" s="17"/>
      <c r="O1342" s="53">
        <v>3.2625000000000002</v>
      </c>
      <c r="Q1342" s="19"/>
      <c r="S1342"/>
      <c r="T1342"/>
      <c r="U1342"/>
      <c r="V1342"/>
      <c r="W1342"/>
      <c r="X1342" s="46"/>
    </row>
    <row r="1343" spans="1:24" s="16" customFormat="1">
      <c r="A1343" s="14">
        <v>42125</v>
      </c>
      <c r="B1343" s="15">
        <v>131.4</v>
      </c>
      <c r="C1343" s="15">
        <v>133.44999999999999</v>
      </c>
      <c r="D1343"/>
      <c r="E1343"/>
      <c r="F1343"/>
      <c r="G1343"/>
      <c r="H1343"/>
      <c r="I1343" s="41">
        <v>43137</v>
      </c>
      <c r="J1343" s="38"/>
      <c r="L1343" s="17"/>
      <c r="M1343" s="18"/>
      <c r="N1343" s="17"/>
      <c r="O1343" s="53">
        <v>3.2347999999999999</v>
      </c>
      <c r="Q1343" s="19"/>
      <c r="S1343"/>
      <c r="T1343"/>
      <c r="U1343"/>
      <c r="V1343"/>
      <c r="W1343"/>
      <c r="X1343" s="46"/>
    </row>
    <row r="1344" spans="1:24" s="16" customFormat="1">
      <c r="A1344" s="14">
        <v>42128</v>
      </c>
      <c r="B1344" s="15">
        <v>131.5</v>
      </c>
      <c r="C1344" s="15">
        <v>131.85</v>
      </c>
      <c r="D1344"/>
      <c r="E1344"/>
      <c r="F1344"/>
      <c r="G1344"/>
      <c r="H1344"/>
      <c r="I1344" s="41">
        <v>43138</v>
      </c>
      <c r="J1344" s="38"/>
      <c r="L1344" s="17"/>
      <c r="M1344" s="18"/>
      <c r="N1344" s="17"/>
      <c r="O1344" s="53">
        <v>3.2713999999999999</v>
      </c>
      <c r="Q1344" s="19"/>
      <c r="S1344"/>
      <c r="T1344"/>
      <c r="U1344"/>
      <c r="V1344"/>
      <c r="W1344"/>
      <c r="X1344" s="46"/>
    </row>
    <row r="1345" spans="1:24" s="16" customFormat="1">
      <c r="A1345" s="14">
        <v>42129</v>
      </c>
      <c r="B1345" s="15">
        <v>131.5</v>
      </c>
      <c r="C1345" s="15">
        <v>132.55000000000001</v>
      </c>
      <c r="D1345"/>
      <c r="E1345"/>
      <c r="F1345"/>
      <c r="G1345"/>
      <c r="H1345"/>
      <c r="I1345" s="41">
        <v>43139</v>
      </c>
      <c r="J1345" s="38"/>
      <c r="L1345" s="17"/>
      <c r="M1345" s="18"/>
      <c r="N1345" s="17"/>
      <c r="O1345" s="53">
        <v>3.2858000000000001</v>
      </c>
      <c r="Q1345" s="19"/>
      <c r="S1345"/>
      <c r="T1345"/>
      <c r="U1345"/>
      <c r="V1345"/>
      <c r="W1345"/>
      <c r="X1345" s="46"/>
    </row>
    <row r="1346" spans="1:24" s="16" customFormat="1">
      <c r="A1346" s="14">
        <v>42130</v>
      </c>
      <c r="B1346" s="15">
        <v>127.85</v>
      </c>
      <c r="C1346" s="15">
        <v>128.05000000000001</v>
      </c>
      <c r="D1346"/>
      <c r="E1346"/>
      <c r="F1346"/>
      <c r="G1346"/>
      <c r="H1346"/>
      <c r="I1346" s="41">
        <v>43140</v>
      </c>
      <c r="J1346" s="38"/>
      <c r="L1346" s="17"/>
      <c r="M1346" s="18"/>
      <c r="N1346" s="17"/>
      <c r="O1346" s="53">
        <v>3.2942</v>
      </c>
      <c r="Q1346" s="19"/>
      <c r="S1346"/>
      <c r="T1346"/>
      <c r="U1346"/>
      <c r="V1346"/>
      <c r="W1346"/>
      <c r="X1346" s="46"/>
    </row>
    <row r="1347" spans="1:24" s="16" customFormat="1">
      <c r="A1347" s="14">
        <v>42131</v>
      </c>
      <c r="B1347" s="15">
        <v>129.05000000000001</v>
      </c>
      <c r="C1347" s="15">
        <v>130.85</v>
      </c>
      <c r="D1347"/>
      <c r="E1347"/>
      <c r="F1347"/>
      <c r="G1347"/>
      <c r="H1347"/>
      <c r="I1347" s="41">
        <v>43143</v>
      </c>
      <c r="J1347" s="38"/>
      <c r="L1347" s="17"/>
      <c r="M1347" s="18"/>
      <c r="N1347" s="17"/>
      <c r="O1347" s="53">
        <v>3.2953999999999999</v>
      </c>
      <c r="Q1347" s="19"/>
      <c r="S1347"/>
      <c r="T1347"/>
      <c r="U1347"/>
      <c r="V1347"/>
      <c r="W1347"/>
      <c r="X1347" s="46"/>
    </row>
    <row r="1348" spans="1:24" s="16" customFormat="1">
      <c r="A1348" s="14">
        <v>42132</v>
      </c>
      <c r="B1348" s="15">
        <v>132</v>
      </c>
      <c r="C1348" s="15">
        <v>132.9</v>
      </c>
      <c r="D1348"/>
      <c r="E1348"/>
      <c r="F1348"/>
      <c r="G1348"/>
      <c r="H1348"/>
      <c r="I1348" s="41">
        <v>43144</v>
      </c>
      <c r="J1348" s="38"/>
      <c r="L1348" s="17"/>
      <c r="M1348" s="18"/>
      <c r="N1348" s="17"/>
      <c r="O1348" s="53">
        <v>3.2957000000000001</v>
      </c>
      <c r="Q1348" s="19"/>
      <c r="S1348"/>
      <c r="T1348"/>
      <c r="U1348"/>
      <c r="V1348"/>
      <c r="W1348"/>
      <c r="X1348" s="46"/>
    </row>
    <row r="1349" spans="1:24" s="16" customFormat="1">
      <c r="A1349" s="14">
        <v>42135</v>
      </c>
      <c r="B1349" s="15">
        <v>133.5</v>
      </c>
      <c r="C1349" s="15">
        <v>133.35</v>
      </c>
      <c r="D1349"/>
      <c r="E1349"/>
      <c r="F1349"/>
      <c r="G1349"/>
      <c r="H1349"/>
      <c r="I1349" s="41">
        <v>43145</v>
      </c>
      <c r="J1349" s="38"/>
      <c r="L1349" s="17"/>
      <c r="M1349" s="18"/>
      <c r="N1349" s="17"/>
      <c r="O1349" s="53">
        <v>3.2174</v>
      </c>
      <c r="Q1349" s="19"/>
      <c r="S1349"/>
      <c r="T1349"/>
      <c r="U1349"/>
      <c r="V1349"/>
      <c r="W1349"/>
      <c r="X1349" s="46"/>
    </row>
    <row r="1350" spans="1:24" s="16" customFormat="1">
      <c r="A1350" s="14">
        <v>42136</v>
      </c>
      <c r="B1350" s="15">
        <v>132.94999999999999</v>
      </c>
      <c r="C1350" s="15">
        <v>134.5</v>
      </c>
      <c r="D1350"/>
      <c r="E1350"/>
      <c r="F1350"/>
      <c r="G1350"/>
      <c r="H1350"/>
      <c r="I1350" s="41">
        <v>43146</v>
      </c>
      <c r="J1350" s="38"/>
      <c r="L1350" s="17"/>
      <c r="M1350" s="18"/>
      <c r="N1350" s="17"/>
      <c r="O1350" s="53">
        <v>3.2279</v>
      </c>
      <c r="Q1350" s="19"/>
      <c r="S1350"/>
      <c r="T1350"/>
      <c r="U1350"/>
      <c r="V1350"/>
      <c r="W1350"/>
      <c r="X1350" s="46"/>
    </row>
    <row r="1351" spans="1:24" s="16" customFormat="1">
      <c r="A1351" s="14">
        <v>42137</v>
      </c>
      <c r="B1351" s="15">
        <v>134.75</v>
      </c>
      <c r="C1351" s="15">
        <v>134.4</v>
      </c>
      <c r="D1351"/>
      <c r="E1351"/>
      <c r="F1351"/>
      <c r="G1351"/>
      <c r="H1351"/>
      <c r="I1351" s="41">
        <v>43147</v>
      </c>
      <c r="J1351" s="38"/>
      <c r="L1351" s="17"/>
      <c r="M1351" s="18"/>
      <c r="N1351" s="17"/>
      <c r="O1351" s="53">
        <v>3.2311999999999999</v>
      </c>
      <c r="Q1351" s="19"/>
      <c r="S1351"/>
      <c r="T1351"/>
      <c r="U1351"/>
      <c r="V1351"/>
      <c r="W1351"/>
      <c r="X1351" s="46"/>
    </row>
    <row r="1352" spans="1:24" s="16" customFormat="1">
      <c r="A1352" s="14">
        <v>42138</v>
      </c>
      <c r="B1352" s="15">
        <v>135.5</v>
      </c>
      <c r="C1352" s="15">
        <v>135.65</v>
      </c>
      <c r="D1352"/>
      <c r="E1352"/>
      <c r="F1352"/>
      <c r="G1352"/>
      <c r="H1352"/>
      <c r="I1352" s="41">
        <v>43150</v>
      </c>
      <c r="J1352" s="38"/>
      <c r="L1352" s="17"/>
      <c r="M1352" s="18"/>
      <c r="N1352" s="17"/>
      <c r="O1352" s="53">
        <v>3.2347000000000001</v>
      </c>
      <c r="Q1352" s="19"/>
      <c r="S1352"/>
      <c r="T1352"/>
      <c r="U1352"/>
      <c r="V1352"/>
      <c r="W1352"/>
      <c r="X1352" s="46"/>
    </row>
    <row r="1353" spans="1:24" s="16" customFormat="1">
      <c r="A1353" s="14">
        <v>42139</v>
      </c>
      <c r="B1353" s="15">
        <v>137.94999999999999</v>
      </c>
      <c r="C1353" s="15">
        <v>137.19999999999999</v>
      </c>
      <c r="D1353"/>
      <c r="E1353"/>
      <c r="F1353"/>
      <c r="G1353"/>
      <c r="H1353"/>
      <c r="I1353" s="41">
        <v>43151</v>
      </c>
      <c r="J1353" s="38"/>
      <c r="L1353" s="17"/>
      <c r="M1353" s="18"/>
      <c r="N1353" s="17"/>
      <c r="O1353" s="53">
        <v>3.2557</v>
      </c>
      <c r="Q1353" s="19"/>
      <c r="S1353"/>
      <c r="T1353"/>
      <c r="U1353"/>
      <c r="V1353"/>
      <c r="W1353"/>
      <c r="X1353" s="46"/>
    </row>
    <row r="1354" spans="1:24" s="16" customFormat="1">
      <c r="A1354" s="14">
        <v>42142</v>
      </c>
      <c r="B1354" s="15">
        <v>137.6</v>
      </c>
      <c r="C1354" s="15">
        <v>141.65</v>
      </c>
      <c r="D1354"/>
      <c r="E1354"/>
      <c r="F1354"/>
      <c r="G1354"/>
      <c r="H1354"/>
      <c r="I1354" s="41">
        <v>43152</v>
      </c>
      <c r="J1354" s="38"/>
      <c r="L1354" s="17"/>
      <c r="M1354" s="18"/>
      <c r="N1354" s="17"/>
      <c r="O1354" s="53">
        <v>3.2692000000000001</v>
      </c>
      <c r="Q1354" s="19"/>
      <c r="S1354"/>
      <c r="T1354"/>
      <c r="U1354"/>
      <c r="V1354"/>
      <c r="W1354"/>
      <c r="X1354" s="46"/>
    </row>
    <row r="1355" spans="1:24" s="16" customFormat="1">
      <c r="A1355" s="14">
        <v>42143</v>
      </c>
      <c r="B1355" s="15">
        <v>138.19999999999999</v>
      </c>
      <c r="C1355" s="15">
        <v>139.85</v>
      </c>
      <c r="D1355"/>
      <c r="E1355"/>
      <c r="F1355"/>
      <c r="G1355"/>
      <c r="H1355"/>
      <c r="I1355" s="41">
        <v>43153</v>
      </c>
      <c r="J1355" s="38"/>
      <c r="L1355" s="17"/>
      <c r="M1355" s="18"/>
      <c r="N1355" s="17"/>
      <c r="O1355" s="53">
        <v>3.2502</v>
      </c>
      <c r="Q1355" s="19"/>
      <c r="S1355"/>
      <c r="T1355"/>
      <c r="U1355"/>
      <c r="V1355"/>
      <c r="W1355"/>
      <c r="X1355" s="46"/>
    </row>
    <row r="1356" spans="1:24" s="16" customFormat="1">
      <c r="A1356" s="14">
        <v>42144</v>
      </c>
      <c r="B1356" s="15">
        <v>135.55000000000001</v>
      </c>
      <c r="C1356" s="15">
        <v>136</v>
      </c>
      <c r="D1356"/>
      <c r="E1356"/>
      <c r="F1356"/>
      <c r="G1356"/>
      <c r="H1356"/>
      <c r="I1356" s="41">
        <v>43154</v>
      </c>
      <c r="J1356" s="38"/>
      <c r="L1356" s="17"/>
      <c r="M1356" s="18"/>
      <c r="N1356" s="17"/>
      <c r="O1356" s="53">
        <v>3.2378999999999998</v>
      </c>
      <c r="Q1356" s="19"/>
      <c r="S1356"/>
      <c r="T1356"/>
      <c r="U1356"/>
      <c r="V1356"/>
      <c r="W1356"/>
      <c r="X1356" s="46"/>
    </row>
    <row r="1357" spans="1:24" s="16" customFormat="1">
      <c r="A1357" s="14">
        <v>42145</v>
      </c>
      <c r="B1357" s="15">
        <v>127.85</v>
      </c>
      <c r="C1357" s="15">
        <v>128.44999999999999</v>
      </c>
      <c r="D1357"/>
      <c r="E1357"/>
      <c r="F1357"/>
      <c r="G1357"/>
      <c r="H1357"/>
      <c r="I1357" s="41">
        <v>43157</v>
      </c>
      <c r="J1357" s="38"/>
      <c r="L1357" s="17"/>
      <c r="M1357" s="18"/>
      <c r="N1357" s="17"/>
      <c r="O1357" s="53">
        <v>3.2258</v>
      </c>
      <c r="Q1357" s="19"/>
      <c r="S1357"/>
      <c r="T1357"/>
      <c r="U1357"/>
      <c r="V1357"/>
      <c r="W1357"/>
      <c r="X1357" s="46"/>
    </row>
    <row r="1358" spans="1:24" s="16" customFormat="1">
      <c r="A1358" s="14">
        <v>42146</v>
      </c>
      <c r="B1358" s="15">
        <v>125.8</v>
      </c>
      <c r="C1358" s="15">
        <v>126.95</v>
      </c>
      <c r="D1358"/>
      <c r="E1358"/>
      <c r="F1358"/>
      <c r="G1358"/>
      <c r="H1358"/>
      <c r="I1358" s="41">
        <v>43158</v>
      </c>
      <c r="J1358" s="38"/>
      <c r="L1358" s="17"/>
      <c r="M1358" s="18"/>
      <c r="N1358" s="17"/>
      <c r="O1358" s="53">
        <v>3.2515999999999998</v>
      </c>
      <c r="Q1358" s="19"/>
      <c r="S1358"/>
      <c r="T1358"/>
      <c r="U1358"/>
      <c r="V1358"/>
      <c r="W1358"/>
      <c r="X1358" s="46"/>
    </row>
    <row r="1359" spans="1:24" s="16" customFormat="1">
      <c r="A1359" s="14">
        <v>42150</v>
      </c>
      <c r="B1359" s="15">
        <v>123.65</v>
      </c>
      <c r="C1359" s="15">
        <v>124.05</v>
      </c>
      <c r="D1359"/>
      <c r="E1359"/>
      <c r="F1359"/>
      <c r="G1359"/>
      <c r="H1359"/>
      <c r="I1359" s="41">
        <v>43159</v>
      </c>
      <c r="J1359" s="38"/>
      <c r="L1359" s="17"/>
      <c r="M1359" s="18"/>
      <c r="N1359" s="17"/>
      <c r="O1359" s="53">
        <v>3.2462</v>
      </c>
      <c r="Q1359" s="19"/>
      <c r="S1359"/>
      <c r="T1359"/>
      <c r="U1359"/>
      <c r="V1359"/>
      <c r="W1359"/>
      <c r="X1359" s="46"/>
    </row>
    <row r="1360" spans="1:24" s="16" customFormat="1">
      <c r="A1360" s="14">
        <v>42151</v>
      </c>
      <c r="B1360" s="15">
        <v>123.55</v>
      </c>
      <c r="C1360" s="15">
        <v>124.5</v>
      </c>
      <c r="D1360"/>
      <c r="E1360"/>
      <c r="F1360"/>
      <c r="G1360"/>
      <c r="H1360"/>
      <c r="I1360" s="41">
        <v>43160</v>
      </c>
      <c r="J1360" s="38"/>
      <c r="L1360" s="17"/>
      <c r="M1360" s="18"/>
      <c r="N1360" s="17"/>
      <c r="O1360" s="53">
        <v>3.2515000000000001</v>
      </c>
      <c r="Q1360" s="19"/>
      <c r="S1360"/>
      <c r="T1360"/>
      <c r="U1360"/>
      <c r="V1360"/>
      <c r="W1360"/>
      <c r="X1360" s="46"/>
    </row>
    <row r="1361" spans="1:24" s="16" customFormat="1">
      <c r="A1361" s="14">
        <v>42152</v>
      </c>
      <c r="B1361" s="15">
        <v>123.8</v>
      </c>
      <c r="C1361" s="15">
        <v>125.15</v>
      </c>
      <c r="D1361"/>
      <c r="E1361"/>
      <c r="F1361"/>
      <c r="G1361"/>
      <c r="H1361"/>
      <c r="I1361" s="41">
        <v>43161</v>
      </c>
      <c r="J1361" s="38"/>
      <c r="L1361" s="17"/>
      <c r="M1361" s="18"/>
      <c r="N1361" s="17"/>
      <c r="O1361" s="53">
        <v>3.2528000000000001</v>
      </c>
      <c r="Q1361" s="19"/>
      <c r="S1361"/>
      <c r="T1361"/>
      <c r="U1361"/>
      <c r="V1361"/>
      <c r="W1361"/>
      <c r="X1361" s="46"/>
    </row>
    <row r="1362" spans="1:24" s="16" customFormat="1">
      <c r="A1362" s="14">
        <v>42153</v>
      </c>
      <c r="B1362" s="15">
        <v>124.55</v>
      </c>
      <c r="C1362" s="15">
        <v>126.15</v>
      </c>
      <c r="D1362"/>
      <c r="E1362"/>
      <c r="F1362"/>
      <c r="G1362"/>
      <c r="H1362"/>
      <c r="I1362" s="41">
        <v>43164</v>
      </c>
      <c r="J1362" s="38"/>
      <c r="L1362" s="17"/>
      <c r="M1362" s="18"/>
      <c r="N1362" s="17"/>
      <c r="O1362" s="53">
        <v>3.2429999999999999</v>
      </c>
      <c r="Q1362" s="19"/>
      <c r="S1362"/>
      <c r="T1362"/>
      <c r="U1362"/>
      <c r="V1362"/>
      <c r="W1362"/>
      <c r="X1362" s="46"/>
    </row>
    <row r="1363" spans="1:24" s="16" customFormat="1">
      <c r="A1363" s="14">
        <v>42156</v>
      </c>
      <c r="B1363" s="15">
        <v>128.15</v>
      </c>
      <c r="C1363" s="15">
        <v>129.80000000000001</v>
      </c>
      <c r="D1363"/>
      <c r="E1363"/>
      <c r="F1363"/>
      <c r="G1363"/>
      <c r="H1363"/>
      <c r="I1363" s="41">
        <v>43165</v>
      </c>
      <c r="J1363" s="38"/>
      <c r="L1363" s="17"/>
      <c r="M1363" s="18"/>
      <c r="N1363" s="17"/>
      <c r="O1363" s="53">
        <v>3.2117</v>
      </c>
      <c r="Q1363" s="19"/>
      <c r="S1363"/>
      <c r="T1363"/>
      <c r="U1363"/>
      <c r="V1363"/>
      <c r="W1363"/>
      <c r="X1363" s="46"/>
    </row>
    <row r="1364" spans="1:24" s="16" customFormat="1">
      <c r="A1364" s="14">
        <v>42157</v>
      </c>
      <c r="B1364" s="15">
        <v>128.9</v>
      </c>
      <c r="C1364" s="15">
        <v>132.69999999999999</v>
      </c>
      <c r="D1364"/>
      <c r="E1364"/>
      <c r="F1364"/>
      <c r="G1364"/>
      <c r="H1364"/>
      <c r="I1364" s="41">
        <v>43166</v>
      </c>
      <c r="J1364" s="38"/>
      <c r="L1364" s="17"/>
      <c r="M1364" s="18"/>
      <c r="N1364" s="17"/>
      <c r="O1364" s="53">
        <v>3.2454000000000001</v>
      </c>
      <c r="Q1364" s="19"/>
      <c r="S1364"/>
      <c r="T1364"/>
      <c r="U1364"/>
      <c r="V1364"/>
      <c r="W1364"/>
      <c r="X1364" s="46"/>
    </row>
    <row r="1365" spans="1:24" s="16" customFormat="1">
      <c r="A1365" s="14">
        <v>42158</v>
      </c>
      <c r="B1365" s="15">
        <v>130.6</v>
      </c>
      <c r="C1365" s="15">
        <v>134.30000000000001</v>
      </c>
      <c r="D1365"/>
      <c r="E1365"/>
      <c r="F1365"/>
      <c r="G1365"/>
      <c r="H1365"/>
      <c r="I1365" s="41">
        <v>43167</v>
      </c>
      <c r="J1365" s="38"/>
      <c r="L1365" s="17"/>
      <c r="M1365" s="18"/>
      <c r="N1365" s="17"/>
      <c r="O1365" s="53">
        <v>3.2669000000000001</v>
      </c>
      <c r="Q1365" s="19"/>
      <c r="S1365"/>
      <c r="T1365"/>
      <c r="U1365"/>
      <c r="V1365"/>
      <c r="W1365"/>
      <c r="X1365" s="46"/>
    </row>
    <row r="1366" spans="1:24" s="16" customFormat="1">
      <c r="A1366" s="14">
        <v>42159</v>
      </c>
      <c r="B1366" s="15">
        <v>133.19999999999999</v>
      </c>
      <c r="C1366" s="15">
        <v>135.69999999999999</v>
      </c>
      <c r="D1366"/>
      <c r="E1366"/>
      <c r="F1366"/>
      <c r="G1366"/>
      <c r="H1366"/>
      <c r="I1366" s="41">
        <v>43168</v>
      </c>
      <c r="J1366" s="38"/>
      <c r="L1366" s="17"/>
      <c r="M1366" s="18"/>
      <c r="N1366" s="17"/>
      <c r="O1366" s="53">
        <v>3.2553000000000001</v>
      </c>
      <c r="Q1366" s="19"/>
      <c r="S1366"/>
      <c r="T1366"/>
      <c r="U1366"/>
      <c r="V1366"/>
      <c r="W1366"/>
      <c r="X1366" s="46"/>
    </row>
    <row r="1367" spans="1:24" s="16" customFormat="1">
      <c r="A1367" s="14">
        <v>42160</v>
      </c>
      <c r="B1367" s="15">
        <v>132.9</v>
      </c>
      <c r="C1367" s="15">
        <v>135.1</v>
      </c>
      <c r="D1367"/>
      <c r="E1367"/>
      <c r="F1367"/>
      <c r="G1367"/>
      <c r="H1367"/>
      <c r="I1367" s="41">
        <v>43171</v>
      </c>
      <c r="J1367" s="38"/>
      <c r="L1367" s="17"/>
      <c r="M1367" s="18"/>
      <c r="N1367" s="17"/>
      <c r="O1367" s="53">
        <v>3.2622</v>
      </c>
      <c r="Q1367" s="19"/>
      <c r="S1367"/>
      <c r="T1367"/>
      <c r="U1367"/>
      <c r="V1367"/>
      <c r="W1367"/>
      <c r="X1367" s="46"/>
    </row>
    <row r="1368" spans="1:24" s="16" customFormat="1">
      <c r="A1368" s="14">
        <v>42163</v>
      </c>
      <c r="B1368" s="15">
        <v>134.19999999999999</v>
      </c>
      <c r="C1368" s="15">
        <v>136.55000000000001</v>
      </c>
      <c r="D1368"/>
      <c r="E1368"/>
      <c r="F1368"/>
      <c r="G1368"/>
      <c r="H1368"/>
      <c r="I1368" s="41">
        <v>43172</v>
      </c>
      <c r="J1368" s="38"/>
      <c r="L1368" s="17"/>
      <c r="M1368" s="18"/>
      <c r="N1368" s="17"/>
      <c r="O1368" s="53">
        <v>3.2606999999999999</v>
      </c>
      <c r="Q1368" s="19"/>
      <c r="S1368"/>
      <c r="T1368"/>
      <c r="U1368"/>
      <c r="V1368"/>
      <c r="W1368"/>
      <c r="X1368" s="46"/>
    </row>
    <row r="1369" spans="1:24" s="16" customFormat="1">
      <c r="A1369" s="14">
        <v>42164</v>
      </c>
      <c r="B1369" s="15">
        <v>133.55000000000001</v>
      </c>
      <c r="C1369" s="15">
        <v>137.35</v>
      </c>
      <c r="D1369"/>
      <c r="E1369"/>
      <c r="F1369"/>
      <c r="G1369"/>
      <c r="H1369"/>
      <c r="I1369" s="41">
        <v>43173</v>
      </c>
      <c r="J1369" s="38"/>
      <c r="L1369" s="17"/>
      <c r="M1369" s="18"/>
      <c r="N1369" s="17"/>
      <c r="O1369" s="53">
        <v>3.2606999999999999</v>
      </c>
      <c r="Q1369" s="19"/>
      <c r="S1369"/>
      <c r="T1369"/>
      <c r="U1369"/>
      <c r="V1369"/>
      <c r="W1369"/>
      <c r="X1369" s="46"/>
    </row>
    <row r="1370" spans="1:24" s="16" customFormat="1">
      <c r="A1370" s="14">
        <v>42165</v>
      </c>
      <c r="B1370" s="15">
        <v>135.55000000000001</v>
      </c>
      <c r="C1370" s="15">
        <v>136.44999999999999</v>
      </c>
      <c r="D1370"/>
      <c r="E1370"/>
      <c r="F1370"/>
      <c r="G1370"/>
      <c r="H1370"/>
      <c r="I1370" s="41">
        <v>43174</v>
      </c>
      <c r="J1370" s="38"/>
      <c r="L1370" s="17"/>
      <c r="M1370" s="18"/>
      <c r="N1370" s="17"/>
      <c r="O1370" s="53">
        <v>3.2862</v>
      </c>
      <c r="Q1370" s="19"/>
      <c r="S1370"/>
      <c r="T1370"/>
      <c r="U1370"/>
      <c r="V1370"/>
      <c r="W1370"/>
      <c r="X1370" s="46"/>
    </row>
    <row r="1371" spans="1:24" s="16" customFormat="1">
      <c r="A1371" s="14">
        <v>42166</v>
      </c>
      <c r="B1371" s="15">
        <v>131.19999999999999</v>
      </c>
      <c r="C1371" s="15">
        <v>132</v>
      </c>
      <c r="D1371"/>
      <c r="E1371"/>
      <c r="F1371"/>
      <c r="G1371"/>
      <c r="H1371"/>
      <c r="I1371" s="41">
        <v>43175</v>
      </c>
      <c r="J1371" s="38"/>
      <c r="L1371" s="17"/>
      <c r="M1371" s="18"/>
      <c r="N1371" s="17"/>
      <c r="O1371" s="53">
        <v>3.2810999999999999</v>
      </c>
      <c r="Q1371" s="19"/>
      <c r="S1371"/>
      <c r="T1371"/>
      <c r="U1371"/>
      <c r="V1371"/>
      <c r="W1371"/>
      <c r="X1371" s="46"/>
    </row>
    <row r="1372" spans="1:24" s="16" customFormat="1">
      <c r="A1372" s="14">
        <v>42167</v>
      </c>
      <c r="B1372" s="15">
        <v>130.6</v>
      </c>
      <c r="C1372" s="15">
        <v>132.05000000000001</v>
      </c>
      <c r="D1372"/>
      <c r="E1372"/>
      <c r="F1372"/>
      <c r="G1372"/>
      <c r="H1372"/>
      <c r="I1372" s="41">
        <v>43178</v>
      </c>
      <c r="J1372" s="38"/>
      <c r="L1372" s="17"/>
      <c r="M1372" s="18"/>
      <c r="N1372" s="17"/>
      <c r="O1372" s="53">
        <v>3.2862</v>
      </c>
      <c r="Q1372" s="19"/>
      <c r="S1372"/>
      <c r="T1372"/>
      <c r="U1372"/>
      <c r="V1372"/>
      <c r="W1372"/>
      <c r="X1372" s="46"/>
    </row>
    <row r="1373" spans="1:24" s="16" customFormat="1">
      <c r="A1373" s="14">
        <v>42170</v>
      </c>
      <c r="B1373" s="15">
        <v>127.2</v>
      </c>
      <c r="C1373" s="15">
        <v>127.8</v>
      </c>
      <c r="D1373"/>
      <c r="E1373"/>
      <c r="F1373"/>
      <c r="G1373"/>
      <c r="H1373"/>
      <c r="I1373" s="41">
        <v>43179</v>
      </c>
      <c r="J1373" s="38"/>
      <c r="L1373" s="17"/>
      <c r="M1373" s="18"/>
      <c r="N1373" s="17"/>
      <c r="O1373" s="53">
        <v>3.3117000000000001</v>
      </c>
      <c r="Q1373" s="19"/>
      <c r="S1373"/>
      <c r="T1373"/>
      <c r="U1373"/>
      <c r="V1373"/>
      <c r="W1373"/>
      <c r="X1373" s="46"/>
    </row>
    <row r="1374" spans="1:24" s="16" customFormat="1">
      <c r="A1374" s="14">
        <v>42171</v>
      </c>
      <c r="B1374" s="15">
        <v>127.9</v>
      </c>
      <c r="C1374" s="15">
        <v>129.35</v>
      </c>
      <c r="D1374"/>
      <c r="E1374"/>
      <c r="F1374"/>
      <c r="G1374"/>
      <c r="H1374"/>
      <c r="I1374" s="41">
        <v>43180</v>
      </c>
      <c r="J1374" s="38"/>
      <c r="L1374" s="17"/>
      <c r="M1374" s="18"/>
      <c r="N1374" s="17"/>
      <c r="O1374" s="53">
        <v>3.2725</v>
      </c>
      <c r="Q1374" s="19"/>
      <c r="S1374"/>
      <c r="T1374"/>
      <c r="U1374"/>
      <c r="V1374"/>
      <c r="W1374"/>
      <c r="X1374" s="46"/>
    </row>
    <row r="1375" spans="1:24" s="16" customFormat="1">
      <c r="A1375" s="14">
        <v>42172</v>
      </c>
      <c r="B1375" s="15">
        <v>126.45</v>
      </c>
      <c r="C1375" s="15">
        <v>126.65</v>
      </c>
      <c r="D1375"/>
      <c r="E1375"/>
      <c r="F1375"/>
      <c r="G1375"/>
      <c r="H1375"/>
      <c r="I1375" s="41">
        <v>43181</v>
      </c>
      <c r="J1375" s="38"/>
      <c r="L1375" s="17"/>
      <c r="M1375" s="18"/>
      <c r="N1375" s="17"/>
      <c r="O1375" s="53">
        <v>3.3159000000000001</v>
      </c>
      <c r="Q1375" s="19"/>
      <c r="S1375"/>
      <c r="T1375"/>
      <c r="U1375"/>
      <c r="V1375"/>
      <c r="W1375"/>
      <c r="X1375" s="46"/>
    </row>
    <row r="1376" spans="1:24" s="16" customFormat="1">
      <c r="A1376" s="14">
        <v>42173</v>
      </c>
      <c r="B1376" s="15">
        <v>126.6</v>
      </c>
      <c r="C1376" s="15">
        <v>128.69999999999999</v>
      </c>
      <c r="D1376"/>
      <c r="E1376"/>
      <c r="F1376"/>
      <c r="G1376"/>
      <c r="H1376"/>
      <c r="I1376" s="41">
        <v>43182</v>
      </c>
      <c r="J1376" s="38"/>
      <c r="L1376" s="17"/>
      <c r="M1376" s="18"/>
      <c r="N1376" s="17"/>
      <c r="O1376" s="53">
        <v>3.3123</v>
      </c>
      <c r="Q1376" s="19"/>
      <c r="S1376"/>
      <c r="T1376"/>
      <c r="U1376"/>
      <c r="V1376"/>
      <c r="W1376"/>
      <c r="X1376" s="46"/>
    </row>
    <row r="1377" spans="1:24" s="16" customFormat="1">
      <c r="A1377" s="14">
        <v>42174</v>
      </c>
      <c r="B1377" s="15">
        <v>124.8</v>
      </c>
      <c r="C1377" s="15">
        <v>127.15</v>
      </c>
      <c r="D1377"/>
      <c r="E1377"/>
      <c r="F1377"/>
      <c r="G1377"/>
      <c r="H1377"/>
      <c r="I1377" s="41">
        <v>43185</v>
      </c>
      <c r="J1377" s="38"/>
      <c r="L1377" s="17"/>
      <c r="M1377" s="18"/>
      <c r="N1377" s="17"/>
      <c r="O1377" s="53">
        <v>3.3119000000000001</v>
      </c>
      <c r="Q1377" s="19"/>
      <c r="S1377"/>
      <c r="T1377"/>
      <c r="U1377"/>
      <c r="V1377"/>
      <c r="W1377"/>
      <c r="X1377" s="46"/>
    </row>
    <row r="1378" spans="1:24" s="16" customFormat="1">
      <c r="A1378" s="14">
        <v>42177</v>
      </c>
      <c r="B1378" s="15">
        <v>126.65</v>
      </c>
      <c r="C1378" s="15">
        <v>130.35</v>
      </c>
      <c r="D1378"/>
      <c r="E1378"/>
      <c r="F1378"/>
      <c r="G1378"/>
      <c r="H1378"/>
      <c r="I1378" s="41">
        <v>43186</v>
      </c>
      <c r="J1378" s="38"/>
      <c r="L1378" s="17"/>
      <c r="M1378" s="18"/>
      <c r="N1378" s="17"/>
      <c r="O1378" s="53">
        <v>3.3288000000000002</v>
      </c>
      <c r="Q1378" s="19"/>
      <c r="S1378"/>
      <c r="T1378"/>
      <c r="U1378"/>
      <c r="V1378"/>
      <c r="W1378"/>
      <c r="X1378" s="46"/>
    </row>
    <row r="1379" spans="1:24" s="16" customFormat="1">
      <c r="A1379" s="14">
        <v>42178</v>
      </c>
      <c r="B1379" s="15">
        <v>126.85</v>
      </c>
      <c r="C1379" s="15">
        <v>127.7</v>
      </c>
      <c r="D1379"/>
      <c r="E1379"/>
      <c r="F1379"/>
      <c r="G1379"/>
      <c r="H1379"/>
      <c r="I1379" s="41">
        <v>43187</v>
      </c>
      <c r="J1379" s="38"/>
      <c r="L1379" s="17"/>
      <c r="M1379" s="18"/>
      <c r="N1379" s="17"/>
      <c r="O1379" s="53">
        <v>3.3205</v>
      </c>
      <c r="Q1379" s="19"/>
      <c r="S1379"/>
      <c r="T1379"/>
      <c r="U1379"/>
      <c r="V1379"/>
      <c r="W1379"/>
      <c r="X1379" s="46"/>
    </row>
    <row r="1380" spans="1:24" s="16" customFormat="1">
      <c r="A1380" s="14">
        <v>42179</v>
      </c>
      <c r="B1380" s="15">
        <v>127.9</v>
      </c>
      <c r="C1380" s="15">
        <v>133.30000000000001</v>
      </c>
      <c r="D1380"/>
      <c r="E1380"/>
      <c r="F1380"/>
      <c r="G1380"/>
      <c r="H1380"/>
      <c r="I1380" s="41">
        <v>43188</v>
      </c>
      <c r="J1380" s="38"/>
      <c r="L1380" s="17"/>
      <c r="M1380" s="18"/>
      <c r="N1380" s="17"/>
      <c r="O1380" s="53">
        <v>3.306</v>
      </c>
      <c r="Q1380" s="19"/>
      <c r="S1380"/>
      <c r="T1380"/>
      <c r="U1380"/>
      <c r="V1380"/>
      <c r="W1380"/>
      <c r="X1380" s="46"/>
    </row>
    <row r="1381" spans="1:24" s="16" customFormat="1">
      <c r="A1381" s="14">
        <v>42180</v>
      </c>
      <c r="B1381" s="15">
        <v>130.94999999999999</v>
      </c>
      <c r="C1381" s="15">
        <v>133.35</v>
      </c>
      <c r="D1381"/>
      <c r="E1381"/>
      <c r="F1381"/>
      <c r="G1381"/>
      <c r="H1381"/>
      <c r="I1381" s="41">
        <v>43189</v>
      </c>
      <c r="J1381" s="38"/>
      <c r="L1381" s="17"/>
      <c r="M1381" s="18"/>
      <c r="N1381" s="17"/>
      <c r="O1381" s="53">
        <v>3.3050999999999999</v>
      </c>
      <c r="Q1381" s="19"/>
      <c r="S1381"/>
      <c r="T1381"/>
      <c r="U1381"/>
      <c r="V1381"/>
      <c r="W1381"/>
      <c r="X1381" s="46"/>
    </row>
    <row r="1382" spans="1:24" s="16" customFormat="1">
      <c r="A1382" s="14">
        <v>42181</v>
      </c>
      <c r="B1382" s="15">
        <v>130.75</v>
      </c>
      <c r="C1382" s="15">
        <v>131.69999999999999</v>
      </c>
      <c r="D1382"/>
      <c r="E1382"/>
      <c r="F1382"/>
      <c r="G1382"/>
      <c r="H1382"/>
      <c r="I1382" s="41">
        <v>43192</v>
      </c>
      <c r="J1382" s="38"/>
      <c r="L1382" s="17"/>
      <c r="M1382" s="18"/>
      <c r="N1382" s="17"/>
      <c r="O1382" s="53">
        <v>3.3111999999999999</v>
      </c>
      <c r="Q1382" s="19"/>
      <c r="S1382"/>
      <c r="T1382"/>
      <c r="U1382"/>
      <c r="V1382"/>
      <c r="W1382"/>
      <c r="X1382" s="46"/>
    </row>
    <row r="1383" spans="1:24" s="16" customFormat="1">
      <c r="A1383" s="14">
        <v>42184</v>
      </c>
      <c r="B1383" s="15">
        <v>128.4</v>
      </c>
      <c r="C1383" s="15">
        <v>130.80000000000001</v>
      </c>
      <c r="D1383"/>
      <c r="E1383"/>
      <c r="F1383"/>
      <c r="G1383"/>
      <c r="H1383"/>
      <c r="I1383" s="41">
        <v>43193</v>
      </c>
      <c r="J1383" s="38"/>
      <c r="L1383" s="17"/>
      <c r="M1383" s="18"/>
      <c r="N1383" s="17"/>
      <c r="O1383" s="53">
        <v>3.3412999999999999</v>
      </c>
      <c r="Q1383" s="19"/>
      <c r="S1383"/>
      <c r="T1383"/>
      <c r="U1383"/>
      <c r="V1383"/>
      <c r="W1383"/>
      <c r="X1383" s="46"/>
    </row>
    <row r="1384" spans="1:24" s="16" customFormat="1">
      <c r="A1384" s="14">
        <v>42185</v>
      </c>
      <c r="B1384" s="15">
        <v>0</v>
      </c>
      <c r="C1384" s="15">
        <v>130.65</v>
      </c>
      <c r="D1384"/>
      <c r="E1384"/>
      <c r="F1384"/>
      <c r="G1384"/>
      <c r="H1384"/>
      <c r="I1384" s="41">
        <v>43194</v>
      </c>
      <c r="J1384" s="38"/>
      <c r="L1384" s="17"/>
      <c r="M1384" s="18"/>
      <c r="N1384" s="17"/>
      <c r="O1384" s="53">
        <v>3.3296999999999999</v>
      </c>
      <c r="Q1384" s="19"/>
      <c r="S1384"/>
      <c r="T1384"/>
      <c r="U1384"/>
      <c r="V1384"/>
      <c r="W1384"/>
      <c r="X1384" s="46"/>
    </row>
    <row r="1385" spans="1:24" s="16" customFormat="1">
      <c r="A1385" s="14">
        <v>42186</v>
      </c>
      <c r="B1385" s="15">
        <v>126.05</v>
      </c>
      <c r="C1385" s="15">
        <v>125.1</v>
      </c>
      <c r="D1385"/>
      <c r="E1385"/>
      <c r="F1385"/>
      <c r="G1385"/>
      <c r="H1385"/>
      <c r="I1385" s="41">
        <v>43195</v>
      </c>
      <c r="J1385" s="38"/>
      <c r="L1385" s="17"/>
      <c r="M1385" s="18"/>
      <c r="N1385" s="17"/>
      <c r="O1385" s="53">
        <v>3.3449</v>
      </c>
      <c r="Q1385" s="19"/>
      <c r="S1385"/>
      <c r="T1385"/>
      <c r="U1385"/>
      <c r="V1385"/>
      <c r="W1385"/>
      <c r="X1385" s="46"/>
    </row>
    <row r="1386" spans="1:24" s="16" customFormat="1">
      <c r="A1386" s="14">
        <v>42187</v>
      </c>
      <c r="B1386" s="15">
        <v>125.15</v>
      </c>
      <c r="C1386" s="15">
        <v>125.6</v>
      </c>
      <c r="D1386"/>
      <c r="E1386"/>
      <c r="F1386"/>
      <c r="G1386"/>
      <c r="H1386"/>
      <c r="I1386" s="41">
        <v>43196</v>
      </c>
      <c r="J1386" s="38"/>
      <c r="L1386" s="17"/>
      <c r="M1386" s="18"/>
      <c r="N1386" s="17"/>
      <c r="O1386" s="53">
        <v>3.3696999999999999</v>
      </c>
      <c r="Q1386" s="19"/>
      <c r="S1386"/>
      <c r="T1386"/>
      <c r="U1386"/>
      <c r="V1386"/>
      <c r="W1386"/>
      <c r="X1386" s="46"/>
    </row>
    <row r="1387" spans="1:24" s="16" customFormat="1">
      <c r="A1387" s="14">
        <v>42191</v>
      </c>
      <c r="B1387" s="15">
        <v>123.75</v>
      </c>
      <c r="C1387" s="15">
        <v>123.3</v>
      </c>
      <c r="D1387"/>
      <c r="E1387"/>
      <c r="F1387"/>
      <c r="G1387"/>
      <c r="H1387"/>
      <c r="I1387" s="41">
        <v>43199</v>
      </c>
      <c r="J1387" s="38"/>
      <c r="L1387" s="17"/>
      <c r="M1387" s="18"/>
      <c r="N1387" s="17"/>
      <c r="O1387" s="53">
        <v>3.42</v>
      </c>
      <c r="Q1387" s="19"/>
      <c r="S1387"/>
      <c r="T1387"/>
      <c r="U1387"/>
      <c r="V1387"/>
      <c r="W1387"/>
      <c r="X1387" s="46"/>
    </row>
    <row r="1388" spans="1:24" s="16" customFormat="1">
      <c r="A1388" s="14">
        <v>42192</v>
      </c>
      <c r="B1388" s="15">
        <v>122.2</v>
      </c>
      <c r="C1388" s="15">
        <v>122.9</v>
      </c>
      <c r="D1388"/>
      <c r="E1388"/>
      <c r="F1388"/>
      <c r="G1388"/>
      <c r="H1388"/>
      <c r="I1388" s="41">
        <v>43200</v>
      </c>
      <c r="J1388" s="38"/>
      <c r="L1388" s="17"/>
      <c r="M1388" s="18"/>
      <c r="N1388" s="17"/>
      <c r="O1388" s="53">
        <v>3.4087999999999998</v>
      </c>
      <c r="Q1388" s="19"/>
      <c r="S1388"/>
      <c r="T1388"/>
      <c r="U1388"/>
      <c r="V1388"/>
      <c r="W1388"/>
      <c r="X1388" s="46"/>
    </row>
    <row r="1389" spans="1:24" s="16" customFormat="1">
      <c r="A1389" s="14">
        <v>42193</v>
      </c>
      <c r="B1389" s="15">
        <v>123</v>
      </c>
      <c r="C1389" s="15">
        <v>123.15</v>
      </c>
      <c r="D1389"/>
      <c r="E1389"/>
      <c r="F1389"/>
      <c r="G1389"/>
      <c r="H1389"/>
      <c r="I1389" s="41">
        <v>43201</v>
      </c>
      <c r="J1389" s="38"/>
      <c r="L1389" s="17"/>
      <c r="M1389" s="18"/>
      <c r="N1389" s="17"/>
      <c r="O1389" s="53">
        <v>3.3746</v>
      </c>
      <c r="Q1389" s="19"/>
      <c r="S1389"/>
      <c r="T1389"/>
      <c r="U1389"/>
      <c r="V1389"/>
      <c r="W1389"/>
      <c r="X1389" s="46"/>
    </row>
    <row r="1390" spans="1:24" s="16" customFormat="1">
      <c r="A1390" s="14">
        <v>42194</v>
      </c>
      <c r="B1390" s="15">
        <v>123.4</v>
      </c>
      <c r="C1390" s="15">
        <v>122.75</v>
      </c>
      <c r="D1390"/>
      <c r="E1390"/>
      <c r="F1390"/>
      <c r="G1390"/>
      <c r="H1390"/>
      <c r="I1390" s="41">
        <v>43202</v>
      </c>
      <c r="J1390" s="38"/>
      <c r="L1390" s="17"/>
      <c r="M1390" s="18"/>
      <c r="N1390" s="17"/>
      <c r="O1390" s="53">
        <v>3.4133</v>
      </c>
      <c r="Q1390" s="19"/>
      <c r="S1390"/>
      <c r="T1390"/>
      <c r="U1390"/>
      <c r="V1390"/>
      <c r="W1390"/>
      <c r="X1390" s="46"/>
    </row>
    <row r="1391" spans="1:24" s="16" customFormat="1">
      <c r="A1391" s="14">
        <v>42195</v>
      </c>
      <c r="B1391" s="15">
        <v>123.15</v>
      </c>
      <c r="C1391" s="15">
        <v>122.95</v>
      </c>
      <c r="D1391"/>
      <c r="E1391"/>
      <c r="F1391"/>
      <c r="G1391"/>
      <c r="H1391"/>
      <c r="I1391" s="41">
        <v>43203</v>
      </c>
      <c r="J1391" s="38"/>
      <c r="L1391" s="17"/>
      <c r="M1391" s="18"/>
      <c r="N1391" s="17"/>
      <c r="O1391" s="53">
        <v>3.4222999999999999</v>
      </c>
      <c r="Q1391" s="19"/>
      <c r="S1391"/>
      <c r="T1391"/>
      <c r="U1391"/>
      <c r="V1391"/>
      <c r="W1391"/>
      <c r="X1391" s="46"/>
    </row>
    <row r="1392" spans="1:24" s="16" customFormat="1">
      <c r="A1392" s="14">
        <v>42198</v>
      </c>
      <c r="B1392" s="15">
        <v>125.85</v>
      </c>
      <c r="C1392" s="15">
        <v>126.6</v>
      </c>
      <c r="D1392"/>
      <c r="E1392"/>
      <c r="F1392"/>
      <c r="G1392"/>
      <c r="H1392"/>
      <c r="I1392" s="41">
        <v>43206</v>
      </c>
      <c r="J1392" s="38"/>
      <c r="L1392" s="17"/>
      <c r="M1392" s="18"/>
      <c r="N1392" s="17"/>
      <c r="O1392" s="53">
        <v>3.4194</v>
      </c>
      <c r="Q1392" s="19"/>
      <c r="S1392"/>
      <c r="T1392"/>
      <c r="U1392"/>
      <c r="V1392"/>
      <c r="W1392"/>
      <c r="X1392" s="46"/>
    </row>
    <row r="1393" spans="1:24" s="16" customFormat="1">
      <c r="A1393" s="14">
        <v>42199</v>
      </c>
      <c r="B1393" s="15">
        <v>129.6</v>
      </c>
      <c r="C1393" s="15">
        <v>129.85</v>
      </c>
      <c r="D1393"/>
      <c r="E1393"/>
      <c r="F1393"/>
      <c r="G1393"/>
      <c r="H1393"/>
      <c r="I1393" s="41">
        <v>43207</v>
      </c>
      <c r="J1393" s="38"/>
      <c r="L1393" s="17"/>
      <c r="M1393" s="18"/>
      <c r="N1393" s="17"/>
      <c r="O1393" s="53">
        <v>3.4079999999999999</v>
      </c>
      <c r="Q1393" s="19"/>
      <c r="S1393"/>
      <c r="T1393"/>
      <c r="U1393"/>
      <c r="V1393"/>
      <c r="W1393"/>
      <c r="X1393" s="46"/>
    </row>
    <row r="1394" spans="1:24" s="16" customFormat="1">
      <c r="A1394" s="14">
        <v>42200</v>
      </c>
      <c r="B1394" s="15">
        <v>128.35</v>
      </c>
      <c r="C1394" s="15">
        <v>128</v>
      </c>
      <c r="D1394"/>
      <c r="E1394"/>
      <c r="F1394"/>
      <c r="G1394"/>
      <c r="H1394"/>
      <c r="I1394" s="41">
        <v>43208</v>
      </c>
      <c r="J1394" s="38"/>
      <c r="L1394" s="17"/>
      <c r="M1394" s="18"/>
      <c r="N1394" s="17"/>
      <c r="O1394" s="53">
        <v>3.3805000000000001</v>
      </c>
      <c r="Q1394" s="19"/>
      <c r="S1394"/>
      <c r="T1394"/>
      <c r="U1394"/>
      <c r="V1394"/>
      <c r="W1394"/>
      <c r="X1394" s="46"/>
    </row>
    <row r="1395" spans="1:24" s="16" customFormat="1">
      <c r="A1395" s="14">
        <v>42201</v>
      </c>
      <c r="B1395" s="15">
        <v>127.35</v>
      </c>
      <c r="C1395" s="15">
        <v>127.45</v>
      </c>
      <c r="D1395"/>
      <c r="E1395"/>
      <c r="F1395"/>
      <c r="G1395"/>
      <c r="H1395"/>
      <c r="I1395" s="41">
        <v>43209</v>
      </c>
      <c r="J1395" s="38"/>
      <c r="L1395" s="17"/>
      <c r="M1395" s="18"/>
      <c r="N1395" s="17"/>
      <c r="O1395" s="53">
        <v>3.3885000000000001</v>
      </c>
      <c r="Q1395" s="19"/>
      <c r="S1395"/>
      <c r="T1395"/>
      <c r="U1395"/>
      <c r="V1395"/>
      <c r="W1395"/>
      <c r="X1395" s="46"/>
    </row>
    <row r="1396" spans="1:24" s="16" customFormat="1">
      <c r="A1396" s="14">
        <v>42202</v>
      </c>
      <c r="B1396" s="15">
        <v>0</v>
      </c>
      <c r="C1396" s="15">
        <v>127</v>
      </c>
      <c r="D1396"/>
      <c r="E1396"/>
      <c r="F1396"/>
      <c r="G1396"/>
      <c r="H1396"/>
      <c r="I1396" s="41">
        <v>43210</v>
      </c>
      <c r="J1396" s="38"/>
      <c r="L1396" s="17"/>
      <c r="M1396" s="18"/>
      <c r="N1396" s="17"/>
      <c r="O1396" s="53">
        <v>3.4129999999999998</v>
      </c>
      <c r="Q1396" s="19"/>
      <c r="S1396"/>
      <c r="T1396"/>
      <c r="U1396"/>
      <c r="V1396"/>
      <c r="W1396"/>
      <c r="X1396" s="46"/>
    </row>
    <row r="1397" spans="1:24" s="16" customFormat="1">
      <c r="A1397" s="14">
        <v>42205</v>
      </c>
      <c r="B1397" s="15">
        <v>126.5</v>
      </c>
      <c r="C1397" s="15">
        <v>125.85</v>
      </c>
      <c r="D1397"/>
      <c r="E1397"/>
      <c r="F1397"/>
      <c r="G1397"/>
      <c r="H1397"/>
      <c r="I1397" s="41">
        <v>43213</v>
      </c>
      <c r="J1397" s="38"/>
      <c r="L1397" s="17"/>
      <c r="M1397" s="18"/>
      <c r="N1397" s="17"/>
      <c r="O1397" s="53">
        <v>3.4527000000000001</v>
      </c>
      <c r="Q1397" s="19"/>
      <c r="S1397"/>
      <c r="T1397"/>
      <c r="U1397"/>
      <c r="V1397"/>
      <c r="W1397"/>
      <c r="X1397" s="46"/>
    </row>
    <row r="1398" spans="1:24" s="16" customFormat="1">
      <c r="A1398" s="14">
        <v>42206</v>
      </c>
      <c r="B1398" s="15">
        <v>0</v>
      </c>
      <c r="C1398" s="15">
        <v>123.85</v>
      </c>
      <c r="D1398"/>
      <c r="E1398"/>
      <c r="F1398"/>
      <c r="G1398"/>
      <c r="H1398"/>
      <c r="I1398" s="41">
        <v>43214</v>
      </c>
      <c r="J1398" s="38"/>
      <c r="L1398" s="17"/>
      <c r="M1398" s="18"/>
      <c r="N1398" s="17"/>
      <c r="O1398" s="53">
        <v>3.4714</v>
      </c>
      <c r="Q1398" s="19"/>
      <c r="S1398"/>
      <c r="T1398"/>
      <c r="U1398"/>
      <c r="V1398"/>
      <c r="W1398"/>
      <c r="X1398" s="46"/>
    </row>
    <row r="1399" spans="1:24" s="16" customFormat="1">
      <c r="A1399" s="14">
        <v>42207</v>
      </c>
      <c r="B1399" s="15">
        <v>124.45</v>
      </c>
      <c r="C1399" s="15">
        <v>125.05</v>
      </c>
      <c r="D1399"/>
      <c r="E1399"/>
      <c r="F1399"/>
      <c r="G1399"/>
      <c r="H1399"/>
      <c r="I1399" s="41">
        <v>43215</v>
      </c>
      <c r="J1399" s="38"/>
      <c r="L1399" s="17"/>
      <c r="M1399" s="18"/>
      <c r="N1399" s="17"/>
      <c r="O1399" s="53">
        <v>3.4849999999999999</v>
      </c>
      <c r="Q1399" s="19"/>
      <c r="S1399"/>
      <c r="T1399"/>
      <c r="U1399"/>
      <c r="V1399"/>
      <c r="W1399"/>
      <c r="X1399" s="46"/>
    </row>
    <row r="1400" spans="1:24" s="16" customFormat="1">
      <c r="A1400" s="14">
        <v>42208</v>
      </c>
      <c r="B1400" s="15">
        <v>121.1</v>
      </c>
      <c r="C1400" s="15">
        <v>121.55</v>
      </c>
      <c r="D1400"/>
      <c r="E1400"/>
      <c r="F1400"/>
      <c r="G1400"/>
      <c r="H1400"/>
      <c r="I1400" s="41">
        <v>43216</v>
      </c>
      <c r="J1400" s="38"/>
      <c r="L1400" s="17"/>
      <c r="M1400" s="18"/>
      <c r="N1400" s="17"/>
      <c r="O1400" s="53">
        <v>3.4754999999999998</v>
      </c>
      <c r="Q1400" s="19"/>
      <c r="S1400"/>
      <c r="T1400"/>
      <c r="U1400"/>
      <c r="V1400"/>
      <c r="W1400"/>
      <c r="X1400" s="46"/>
    </row>
    <row r="1401" spans="1:24" s="16" customFormat="1">
      <c r="A1401" s="14">
        <v>42209</v>
      </c>
      <c r="B1401" s="15">
        <v>120.65</v>
      </c>
      <c r="C1401" s="15">
        <v>122.25</v>
      </c>
      <c r="D1401"/>
      <c r="E1401"/>
      <c r="F1401"/>
      <c r="G1401"/>
      <c r="H1401"/>
      <c r="I1401" s="41">
        <v>43217</v>
      </c>
      <c r="J1401" s="38"/>
      <c r="L1401" s="17"/>
      <c r="M1401" s="18"/>
      <c r="N1401" s="17"/>
      <c r="O1401" s="53">
        <v>3.4567999999999999</v>
      </c>
      <c r="Q1401" s="19"/>
      <c r="S1401"/>
      <c r="T1401"/>
      <c r="U1401"/>
      <c r="V1401"/>
      <c r="W1401"/>
      <c r="X1401" s="46"/>
    </row>
    <row r="1402" spans="1:24" s="16" customFormat="1">
      <c r="A1402" s="14">
        <v>42212</v>
      </c>
      <c r="B1402" s="15">
        <v>119.85</v>
      </c>
      <c r="C1402" s="15">
        <v>120.4</v>
      </c>
      <c r="D1402"/>
      <c r="E1402"/>
      <c r="F1402"/>
      <c r="G1402"/>
      <c r="H1402"/>
      <c r="I1402" s="41">
        <v>43220</v>
      </c>
      <c r="J1402" s="38"/>
      <c r="L1402" s="17"/>
      <c r="M1402" s="18"/>
      <c r="N1402" s="17"/>
      <c r="O1402" s="53">
        <v>3.5072000000000001</v>
      </c>
      <c r="Q1402" s="19"/>
      <c r="S1402"/>
      <c r="T1402"/>
      <c r="U1402"/>
      <c r="V1402"/>
      <c r="W1402"/>
      <c r="X1402" s="46"/>
    </row>
    <row r="1403" spans="1:24" s="16" customFormat="1">
      <c r="A1403" s="14">
        <v>42213</v>
      </c>
      <c r="B1403" s="15">
        <v>119.9</v>
      </c>
      <c r="C1403" s="15">
        <v>120.25</v>
      </c>
      <c r="D1403"/>
      <c r="E1403"/>
      <c r="F1403"/>
      <c r="G1403"/>
      <c r="H1403"/>
      <c r="I1403" s="41">
        <v>43221</v>
      </c>
      <c r="J1403" s="38"/>
      <c r="L1403" s="17"/>
      <c r="M1403" s="18"/>
      <c r="N1403" s="17"/>
      <c r="O1403" s="53">
        <v>3.5076000000000001</v>
      </c>
      <c r="Q1403" s="19"/>
      <c r="S1403"/>
      <c r="T1403"/>
      <c r="U1403"/>
      <c r="V1403"/>
      <c r="W1403"/>
      <c r="X1403" s="46"/>
    </row>
    <row r="1404" spans="1:24" s="16" customFormat="1">
      <c r="A1404" s="14">
        <v>42214</v>
      </c>
      <c r="B1404" s="15">
        <v>120.1</v>
      </c>
      <c r="C1404" s="15">
        <v>122.15</v>
      </c>
      <c r="D1404"/>
      <c r="E1404"/>
      <c r="F1404"/>
      <c r="G1404"/>
      <c r="H1404"/>
      <c r="I1404" s="41">
        <v>43222</v>
      </c>
      <c r="J1404" s="38"/>
      <c r="L1404" s="17"/>
      <c r="M1404" s="18"/>
      <c r="N1404" s="17"/>
      <c r="O1404" s="53">
        <v>3.5518000000000001</v>
      </c>
      <c r="Q1404" s="19"/>
      <c r="S1404"/>
      <c r="T1404"/>
      <c r="U1404"/>
      <c r="V1404"/>
      <c r="W1404"/>
      <c r="X1404" s="46"/>
    </row>
    <row r="1405" spans="1:24" s="16" customFormat="1">
      <c r="A1405" s="14">
        <v>42215</v>
      </c>
      <c r="B1405" s="15">
        <v>122.05</v>
      </c>
      <c r="C1405" s="15">
        <v>124.9</v>
      </c>
      <c r="D1405"/>
      <c r="E1405"/>
      <c r="F1405"/>
      <c r="G1405"/>
      <c r="H1405"/>
      <c r="I1405" s="41">
        <v>43223</v>
      </c>
      <c r="J1405" s="38"/>
      <c r="L1405" s="17"/>
      <c r="M1405" s="18"/>
      <c r="N1405" s="17"/>
      <c r="O1405" s="53">
        <v>3.5282</v>
      </c>
      <c r="Q1405" s="19"/>
      <c r="S1405"/>
      <c r="T1405"/>
      <c r="U1405"/>
      <c r="V1405"/>
      <c r="W1405"/>
      <c r="X1405" s="46"/>
    </row>
    <row r="1406" spans="1:24" s="16" customFormat="1">
      <c r="A1406" s="14">
        <v>42216</v>
      </c>
      <c r="B1406" s="15">
        <v>124.15</v>
      </c>
      <c r="C1406" s="15">
        <v>125.25</v>
      </c>
      <c r="D1406"/>
      <c r="E1406"/>
      <c r="F1406"/>
      <c r="G1406"/>
      <c r="H1406"/>
      <c r="I1406" s="41">
        <v>43224</v>
      </c>
      <c r="J1406" s="38"/>
      <c r="L1406" s="17"/>
      <c r="M1406" s="18"/>
      <c r="N1406" s="17"/>
      <c r="O1406" s="53">
        <v>3.5303</v>
      </c>
      <c r="Q1406" s="19"/>
      <c r="S1406"/>
      <c r="T1406"/>
      <c r="U1406"/>
      <c r="V1406"/>
      <c r="W1406"/>
      <c r="X1406" s="46"/>
    </row>
    <row r="1407" spans="1:24" s="16" customFormat="1">
      <c r="A1407" s="14">
        <v>42219</v>
      </c>
      <c r="B1407" s="15">
        <v>121.75</v>
      </c>
      <c r="C1407" s="15">
        <v>123.95</v>
      </c>
      <c r="D1407"/>
      <c r="E1407"/>
      <c r="F1407"/>
      <c r="G1407"/>
      <c r="H1407"/>
      <c r="I1407" s="41">
        <v>43227</v>
      </c>
      <c r="J1407" s="38"/>
      <c r="L1407" s="17"/>
      <c r="M1407" s="18"/>
      <c r="N1407" s="17"/>
      <c r="O1407" s="53">
        <v>3.5533999999999999</v>
      </c>
      <c r="Q1407" s="19"/>
      <c r="S1407"/>
      <c r="T1407"/>
      <c r="U1407"/>
      <c r="V1407"/>
      <c r="W1407"/>
      <c r="X1407" s="46"/>
    </row>
    <row r="1408" spans="1:24" s="16" customFormat="1">
      <c r="A1408" s="14">
        <v>42220</v>
      </c>
      <c r="B1408" s="15">
        <v>123</v>
      </c>
      <c r="C1408" s="15">
        <v>124.9</v>
      </c>
      <c r="D1408"/>
      <c r="E1408"/>
      <c r="F1408"/>
      <c r="G1408"/>
      <c r="H1408"/>
      <c r="I1408" s="41">
        <v>43228</v>
      </c>
      <c r="J1408" s="38"/>
      <c r="L1408" s="17"/>
      <c r="M1408" s="18"/>
      <c r="N1408" s="17"/>
      <c r="O1408" s="53">
        <v>3.5636000000000001</v>
      </c>
      <c r="Q1408" s="19"/>
      <c r="S1408"/>
      <c r="T1408"/>
      <c r="U1408"/>
      <c r="V1408"/>
      <c r="W1408"/>
      <c r="X1408" s="46"/>
    </row>
    <row r="1409" spans="1:24" s="16" customFormat="1">
      <c r="A1409" s="14">
        <v>42221</v>
      </c>
      <c r="B1409" s="15">
        <v>123.25</v>
      </c>
      <c r="C1409" s="15">
        <v>125.9</v>
      </c>
      <c r="D1409"/>
      <c r="E1409"/>
      <c r="F1409"/>
      <c r="G1409"/>
      <c r="H1409"/>
      <c r="I1409" s="41">
        <v>43229</v>
      </c>
      <c r="J1409" s="38"/>
      <c r="L1409" s="17"/>
      <c r="M1409" s="18"/>
      <c r="N1409" s="17"/>
      <c r="O1409" s="53">
        <v>3.5924</v>
      </c>
      <c r="Q1409" s="19"/>
      <c r="S1409"/>
      <c r="T1409"/>
      <c r="U1409"/>
      <c r="V1409"/>
      <c r="W1409"/>
      <c r="X1409" s="46"/>
    </row>
    <row r="1410" spans="1:24" s="16" customFormat="1">
      <c r="A1410" s="14">
        <v>42222</v>
      </c>
      <c r="B1410" s="15">
        <v>123.95</v>
      </c>
      <c r="C1410" s="15">
        <v>124.25</v>
      </c>
      <c r="D1410"/>
      <c r="E1410"/>
      <c r="F1410"/>
      <c r="G1410"/>
      <c r="H1410"/>
      <c r="I1410" s="41">
        <v>43230</v>
      </c>
      <c r="J1410" s="38"/>
      <c r="L1410" s="17"/>
      <c r="M1410" s="18"/>
      <c r="N1410" s="17"/>
      <c r="O1410" s="53">
        <v>3.5501999999999998</v>
      </c>
      <c r="Q1410" s="19"/>
      <c r="S1410"/>
      <c r="T1410"/>
      <c r="U1410"/>
      <c r="V1410"/>
      <c r="W1410"/>
      <c r="X1410" s="46"/>
    </row>
    <row r="1411" spans="1:24" s="16" customFormat="1">
      <c r="A1411" s="14">
        <v>42223</v>
      </c>
      <c r="B1411" s="15">
        <v>123.65</v>
      </c>
      <c r="C1411" s="15">
        <v>127.8</v>
      </c>
      <c r="D1411"/>
      <c r="E1411"/>
      <c r="F1411"/>
      <c r="G1411"/>
      <c r="H1411"/>
      <c r="I1411" s="41">
        <v>43231</v>
      </c>
      <c r="J1411" s="38"/>
      <c r="L1411" s="17"/>
      <c r="M1411" s="18"/>
      <c r="N1411" s="17"/>
      <c r="O1411" s="53">
        <v>3.5998999999999999</v>
      </c>
      <c r="Q1411" s="19"/>
      <c r="S1411"/>
      <c r="T1411"/>
      <c r="U1411"/>
      <c r="V1411"/>
      <c r="W1411"/>
      <c r="X1411" s="46"/>
    </row>
    <row r="1412" spans="1:24" s="16" customFormat="1">
      <c r="A1412" s="14">
        <v>42226</v>
      </c>
      <c r="B1412" s="15">
        <v>127</v>
      </c>
      <c r="C1412" s="15">
        <v>133.5</v>
      </c>
      <c r="D1412"/>
      <c r="E1412"/>
      <c r="F1412"/>
      <c r="G1412"/>
      <c r="H1412"/>
      <c r="I1412" s="41">
        <v>43234</v>
      </c>
      <c r="J1412" s="38"/>
      <c r="L1412" s="17"/>
      <c r="M1412" s="18"/>
      <c r="N1412" s="17"/>
      <c r="O1412" s="53">
        <v>3.6231</v>
      </c>
      <c r="Q1412" s="19"/>
      <c r="S1412"/>
      <c r="T1412"/>
      <c r="U1412"/>
      <c r="V1412"/>
      <c r="W1412"/>
      <c r="X1412" s="46"/>
    </row>
    <row r="1413" spans="1:24" s="16" customFormat="1">
      <c r="A1413" s="14">
        <v>42227</v>
      </c>
      <c r="B1413" s="15">
        <v>133.4</v>
      </c>
      <c r="C1413" s="15">
        <v>137.19999999999999</v>
      </c>
      <c r="D1413"/>
      <c r="E1413"/>
      <c r="F1413"/>
      <c r="G1413"/>
      <c r="H1413"/>
      <c r="I1413" s="41">
        <v>43235</v>
      </c>
      <c r="J1413" s="38"/>
      <c r="L1413" s="17"/>
      <c r="M1413" s="18"/>
      <c r="N1413" s="17"/>
      <c r="O1413" s="53">
        <v>3.6539999999999999</v>
      </c>
      <c r="Q1413" s="19"/>
      <c r="S1413"/>
      <c r="T1413"/>
      <c r="U1413"/>
      <c r="V1413"/>
      <c r="W1413"/>
      <c r="X1413" s="46"/>
    </row>
    <row r="1414" spans="1:24" s="16" customFormat="1">
      <c r="A1414" s="14">
        <v>42228</v>
      </c>
      <c r="B1414" s="15">
        <v>131.4</v>
      </c>
      <c r="C1414" s="15">
        <v>131.85</v>
      </c>
      <c r="D1414"/>
      <c r="E1414"/>
      <c r="F1414"/>
      <c r="G1414"/>
      <c r="H1414"/>
      <c r="I1414" s="41">
        <v>43236</v>
      </c>
      <c r="J1414" s="38"/>
      <c r="L1414" s="17"/>
      <c r="M1414" s="18"/>
      <c r="N1414" s="17"/>
      <c r="O1414" s="53">
        <v>3.6760999999999999</v>
      </c>
      <c r="Q1414" s="19"/>
      <c r="S1414"/>
      <c r="T1414"/>
      <c r="U1414"/>
      <c r="V1414"/>
      <c r="W1414"/>
      <c r="X1414" s="46"/>
    </row>
    <row r="1415" spans="1:24" s="16" customFormat="1">
      <c r="A1415" s="14">
        <v>42229</v>
      </c>
      <c r="B1415" s="15">
        <v>131.9</v>
      </c>
      <c r="C1415" s="15">
        <v>137.05000000000001</v>
      </c>
      <c r="D1415"/>
      <c r="E1415"/>
      <c r="F1415"/>
      <c r="G1415"/>
      <c r="H1415"/>
      <c r="I1415" s="41">
        <v>43237</v>
      </c>
      <c r="J1415" s="38"/>
      <c r="L1415" s="17"/>
      <c r="M1415" s="18"/>
      <c r="N1415" s="17"/>
      <c r="O1415" s="53">
        <v>3.6966000000000001</v>
      </c>
      <c r="Q1415" s="19"/>
      <c r="S1415"/>
      <c r="T1415"/>
      <c r="U1415"/>
      <c r="V1415"/>
      <c r="W1415"/>
      <c r="X1415" s="46"/>
    </row>
    <row r="1416" spans="1:24" s="16" customFormat="1">
      <c r="A1416" s="14">
        <v>42230</v>
      </c>
      <c r="B1416" s="15">
        <v>136.30000000000001</v>
      </c>
      <c r="C1416" s="15">
        <v>137.5</v>
      </c>
      <c r="D1416"/>
      <c r="E1416"/>
      <c r="F1416"/>
      <c r="G1416"/>
      <c r="H1416"/>
      <c r="I1416" s="41">
        <v>43238</v>
      </c>
      <c r="J1416" s="38"/>
      <c r="L1416" s="17"/>
      <c r="M1416" s="18"/>
      <c r="N1416" s="17"/>
      <c r="O1416" s="53">
        <v>3.7370000000000001</v>
      </c>
      <c r="Q1416" s="19"/>
      <c r="S1416"/>
      <c r="T1416"/>
      <c r="U1416"/>
      <c r="V1416"/>
      <c r="W1416"/>
      <c r="X1416" s="46"/>
    </row>
    <row r="1417" spans="1:24" s="16" customFormat="1">
      <c r="A1417" s="14">
        <v>42233</v>
      </c>
      <c r="B1417" s="15">
        <v>134.35</v>
      </c>
      <c r="C1417" s="15">
        <v>134.75</v>
      </c>
      <c r="D1417"/>
      <c r="E1417"/>
      <c r="F1417"/>
      <c r="G1417"/>
      <c r="H1417"/>
      <c r="I1417" s="41">
        <v>43241</v>
      </c>
      <c r="J1417" s="38"/>
      <c r="L1417" s="17"/>
      <c r="M1417" s="18"/>
      <c r="N1417" s="17"/>
      <c r="O1417" s="53">
        <v>3.6772</v>
      </c>
      <c r="Q1417" s="19"/>
      <c r="S1417"/>
      <c r="T1417"/>
      <c r="U1417"/>
      <c r="V1417"/>
      <c r="W1417"/>
      <c r="X1417" s="46"/>
    </row>
    <row r="1418" spans="1:24" s="16" customFormat="1">
      <c r="A1418" s="14">
        <v>42234</v>
      </c>
      <c r="B1418" s="15">
        <v>133.1</v>
      </c>
      <c r="C1418" s="15">
        <v>135.30000000000001</v>
      </c>
      <c r="D1418"/>
      <c r="E1418"/>
      <c r="F1418"/>
      <c r="G1418"/>
      <c r="H1418"/>
      <c r="I1418" s="41">
        <v>43242</v>
      </c>
      <c r="J1418" s="38"/>
      <c r="L1418" s="17"/>
      <c r="M1418" s="18"/>
      <c r="N1418" s="17"/>
      <c r="O1418" s="53">
        <v>3.6448</v>
      </c>
      <c r="Q1418" s="19"/>
      <c r="S1418"/>
      <c r="T1418"/>
      <c r="U1418"/>
      <c r="V1418"/>
      <c r="W1418"/>
      <c r="X1418" s="46"/>
    </row>
    <row r="1419" spans="1:24" s="16" customFormat="1">
      <c r="A1419" s="14">
        <v>42235</v>
      </c>
      <c r="B1419" s="15">
        <v>130.9</v>
      </c>
      <c r="C1419" s="15">
        <v>131.15</v>
      </c>
      <c r="D1419"/>
      <c r="E1419"/>
      <c r="F1419"/>
      <c r="G1419"/>
      <c r="H1419"/>
      <c r="I1419" s="41">
        <v>43243</v>
      </c>
      <c r="J1419" s="38"/>
      <c r="L1419" s="17"/>
      <c r="M1419" s="18"/>
      <c r="N1419" s="17"/>
      <c r="O1419" s="53">
        <v>3.6288</v>
      </c>
      <c r="Q1419" s="19"/>
      <c r="S1419"/>
      <c r="T1419"/>
      <c r="U1419"/>
      <c r="V1419"/>
      <c r="W1419"/>
      <c r="X1419" s="46"/>
    </row>
    <row r="1420" spans="1:24" s="16" customFormat="1">
      <c r="A1420" s="14">
        <v>42236</v>
      </c>
      <c r="B1420" s="15">
        <v>127.55</v>
      </c>
      <c r="C1420" s="15">
        <v>127.65</v>
      </c>
      <c r="D1420"/>
      <c r="E1420"/>
      <c r="F1420"/>
      <c r="G1420"/>
      <c r="H1420"/>
      <c r="I1420" s="41">
        <v>43244</v>
      </c>
      <c r="J1420" s="38"/>
      <c r="L1420" s="17"/>
      <c r="M1420" s="18"/>
      <c r="N1420" s="17"/>
      <c r="O1420" s="53">
        <v>3.6496</v>
      </c>
      <c r="Q1420" s="19"/>
      <c r="S1420"/>
      <c r="T1420"/>
      <c r="U1420"/>
      <c r="V1420"/>
      <c r="W1420"/>
      <c r="X1420" s="46"/>
    </row>
    <row r="1421" spans="1:24" s="16" customFormat="1">
      <c r="A1421" s="14">
        <v>42237</v>
      </c>
      <c r="B1421" s="15">
        <v>121.95</v>
      </c>
      <c r="C1421" s="15">
        <v>121.9</v>
      </c>
      <c r="D1421"/>
      <c r="E1421"/>
      <c r="F1421"/>
      <c r="G1421"/>
      <c r="H1421"/>
      <c r="I1421" s="41">
        <v>43245</v>
      </c>
      <c r="J1421" s="38"/>
      <c r="L1421" s="17"/>
      <c r="M1421" s="18"/>
      <c r="N1421" s="17"/>
      <c r="O1421" s="53">
        <v>3.6524000000000001</v>
      </c>
      <c r="Q1421" s="19"/>
      <c r="S1421"/>
      <c r="T1421"/>
      <c r="U1421"/>
      <c r="V1421"/>
      <c r="W1421"/>
      <c r="X1421" s="46"/>
    </row>
    <row r="1422" spans="1:24" s="16" customFormat="1">
      <c r="A1422" s="14">
        <v>42240</v>
      </c>
      <c r="B1422" s="15">
        <v>117.15</v>
      </c>
      <c r="C1422" s="15">
        <v>117.5</v>
      </c>
      <c r="D1422"/>
      <c r="E1422"/>
      <c r="F1422"/>
      <c r="G1422"/>
      <c r="H1422"/>
      <c r="I1422" s="41">
        <v>43247</v>
      </c>
      <c r="J1422" s="38"/>
      <c r="L1422" s="17"/>
      <c r="M1422" s="18"/>
      <c r="N1422" s="17"/>
      <c r="O1422" s="53">
        <v>3.6276999999999999</v>
      </c>
      <c r="Q1422" s="19"/>
      <c r="S1422"/>
      <c r="T1422"/>
      <c r="U1422"/>
      <c r="V1422"/>
      <c r="W1422"/>
      <c r="X1422" s="46"/>
    </row>
    <row r="1423" spans="1:24" s="16" customFormat="1">
      <c r="A1423" s="14">
        <v>42241</v>
      </c>
      <c r="B1423" s="15">
        <v>117.5</v>
      </c>
      <c r="C1423" s="15">
        <v>117.05</v>
      </c>
      <c r="D1423"/>
      <c r="E1423"/>
      <c r="F1423"/>
      <c r="G1423"/>
      <c r="H1423"/>
      <c r="I1423" s="41">
        <v>43248</v>
      </c>
      <c r="J1423" s="38"/>
      <c r="L1423" s="17"/>
      <c r="M1423" s="18"/>
      <c r="N1423" s="17"/>
      <c r="O1423" s="53">
        <v>3.7351999999999999</v>
      </c>
      <c r="Q1423" s="19"/>
      <c r="S1423"/>
      <c r="T1423"/>
      <c r="U1423"/>
      <c r="V1423"/>
      <c r="W1423"/>
      <c r="X1423" s="46"/>
    </row>
    <row r="1424" spans="1:24" s="16" customFormat="1">
      <c r="A1424" s="14">
        <v>42242</v>
      </c>
      <c r="B1424" s="15">
        <v>117.1</v>
      </c>
      <c r="C1424" s="15">
        <v>118.7</v>
      </c>
      <c r="D1424"/>
      <c r="E1424"/>
      <c r="F1424"/>
      <c r="G1424"/>
      <c r="H1424"/>
      <c r="I1424" s="41">
        <v>43249</v>
      </c>
      <c r="J1424" s="38"/>
      <c r="L1424" s="17"/>
      <c r="M1424" s="18"/>
      <c r="N1424" s="17"/>
      <c r="O1424" s="53">
        <v>3.7254</v>
      </c>
      <c r="Q1424" s="19"/>
      <c r="S1424"/>
      <c r="T1424"/>
      <c r="U1424"/>
      <c r="V1424"/>
      <c r="W1424"/>
      <c r="X1424" s="46"/>
    </row>
    <row r="1425" spans="1:24" s="16" customFormat="1">
      <c r="A1425" s="14">
        <v>42243</v>
      </c>
      <c r="B1425" s="15">
        <v>120.7</v>
      </c>
      <c r="C1425" s="15">
        <v>121.05</v>
      </c>
      <c r="D1425"/>
      <c r="E1425"/>
      <c r="F1425"/>
      <c r="G1425"/>
      <c r="H1425"/>
      <c r="I1425" s="41">
        <v>43250</v>
      </c>
      <c r="J1425" s="38"/>
      <c r="L1425" s="17"/>
      <c r="M1425" s="18"/>
      <c r="N1425" s="17"/>
      <c r="O1425" s="53">
        <v>3.7241</v>
      </c>
      <c r="Q1425" s="19"/>
      <c r="S1425"/>
      <c r="T1425"/>
      <c r="U1425"/>
      <c r="V1425"/>
      <c r="W1425"/>
      <c r="X1425" s="46"/>
    </row>
    <row r="1426" spans="1:24" s="16" customFormat="1">
      <c r="A1426" s="14">
        <v>42244</v>
      </c>
      <c r="B1426" s="15">
        <v>120.6</v>
      </c>
      <c r="C1426" s="15">
        <v>120.45</v>
      </c>
      <c r="D1426"/>
      <c r="E1426"/>
      <c r="F1426"/>
      <c r="G1426"/>
      <c r="H1426"/>
      <c r="I1426" s="41">
        <v>43251</v>
      </c>
      <c r="J1426" s="38"/>
      <c r="L1426" s="17"/>
      <c r="M1426" s="18"/>
      <c r="N1426" s="17"/>
      <c r="O1426" s="53">
        <v>3.7235</v>
      </c>
      <c r="Q1426" s="19"/>
      <c r="S1426"/>
      <c r="T1426"/>
      <c r="U1426"/>
      <c r="V1426"/>
      <c r="W1426"/>
      <c r="X1426" s="46"/>
    </row>
    <row r="1427" spans="1:24" s="16" customFormat="1">
      <c r="A1427" s="14">
        <v>42247</v>
      </c>
      <c r="B1427" s="15">
        <v>121</v>
      </c>
      <c r="C1427" s="15">
        <v>120.55</v>
      </c>
      <c r="D1427"/>
      <c r="E1427"/>
      <c r="F1427"/>
      <c r="G1427"/>
      <c r="H1427"/>
      <c r="I1427" s="41">
        <v>43252</v>
      </c>
      <c r="J1427" s="38"/>
      <c r="L1427" s="17"/>
      <c r="M1427" s="18"/>
      <c r="N1427" s="17"/>
      <c r="O1427" s="53">
        <v>3.7633000000000001</v>
      </c>
      <c r="Q1427" s="19"/>
      <c r="S1427"/>
      <c r="T1427"/>
      <c r="U1427"/>
      <c r="V1427"/>
      <c r="W1427"/>
      <c r="X1427" s="46"/>
    </row>
    <row r="1428" spans="1:24" s="16" customFormat="1">
      <c r="A1428" s="14">
        <v>42248</v>
      </c>
      <c r="B1428" s="24">
        <v>119.55</v>
      </c>
      <c r="C1428" s="24">
        <v>117.05</v>
      </c>
      <c r="D1428"/>
      <c r="E1428"/>
      <c r="F1428"/>
      <c r="G1428"/>
      <c r="H1428"/>
      <c r="I1428" s="41">
        <v>43254</v>
      </c>
      <c r="J1428" s="38"/>
      <c r="L1428" s="17"/>
      <c r="M1428" s="18"/>
      <c r="N1428" s="17"/>
      <c r="O1428" s="53">
        <v>3.7631000000000001</v>
      </c>
      <c r="Q1428" s="19"/>
      <c r="S1428"/>
      <c r="T1428"/>
      <c r="U1428"/>
      <c r="V1428"/>
      <c r="W1428"/>
      <c r="X1428" s="46"/>
    </row>
    <row r="1429" spans="1:24" s="16" customFormat="1">
      <c r="A1429" s="14">
        <v>42249</v>
      </c>
      <c r="B1429" s="25">
        <v>115.4</v>
      </c>
      <c r="C1429" s="25">
        <v>114.7</v>
      </c>
      <c r="D1429"/>
      <c r="E1429"/>
      <c r="F1429"/>
      <c r="G1429"/>
      <c r="H1429"/>
      <c r="I1429" s="41">
        <v>43255</v>
      </c>
      <c r="J1429" s="38"/>
      <c r="L1429" s="17"/>
      <c r="M1429" s="18"/>
      <c r="N1429" s="17"/>
      <c r="O1429" s="53">
        <v>3.7467999999999999</v>
      </c>
      <c r="Q1429" s="19"/>
      <c r="S1429"/>
      <c r="T1429"/>
      <c r="U1429"/>
      <c r="V1429"/>
      <c r="W1429"/>
      <c r="X1429" s="46"/>
    </row>
    <row r="1430" spans="1:24" s="16" customFormat="1">
      <c r="A1430" s="14">
        <v>42250</v>
      </c>
      <c r="B1430" s="24">
        <v>114.7</v>
      </c>
      <c r="C1430" s="24">
        <v>116.2</v>
      </c>
      <c r="D1430"/>
      <c r="E1430"/>
      <c r="F1430"/>
      <c r="G1430"/>
      <c r="H1430"/>
      <c r="I1430" s="41">
        <v>43256</v>
      </c>
      <c r="J1430" s="38"/>
      <c r="L1430" s="17"/>
      <c r="M1430" s="18"/>
      <c r="N1430" s="17"/>
      <c r="O1430" s="53">
        <v>3.8068</v>
      </c>
      <c r="Q1430" s="19"/>
      <c r="S1430"/>
      <c r="T1430"/>
      <c r="U1430"/>
      <c r="V1430"/>
      <c r="W1430"/>
      <c r="X1430" s="46"/>
    </row>
    <row r="1431" spans="1:24" s="16" customFormat="1">
      <c r="A1431" s="14">
        <v>42251</v>
      </c>
      <c r="B1431" s="25">
        <v>115.7</v>
      </c>
      <c r="C1431" s="25">
        <v>115.85</v>
      </c>
      <c r="D1431"/>
      <c r="E1431"/>
      <c r="F1431"/>
      <c r="G1431"/>
      <c r="H1431"/>
      <c r="I1431" s="41">
        <v>43257</v>
      </c>
      <c r="J1431" s="38"/>
      <c r="L1431" s="17"/>
      <c r="M1431" s="18"/>
      <c r="N1431" s="17"/>
      <c r="O1431" s="53">
        <v>3.8488000000000002</v>
      </c>
      <c r="Q1431" s="19"/>
      <c r="S1431"/>
      <c r="T1431"/>
      <c r="U1431"/>
      <c r="V1431"/>
      <c r="W1431"/>
      <c r="X1431" s="46"/>
    </row>
    <row r="1432" spans="1:24" s="16" customFormat="1">
      <c r="A1432" s="14">
        <v>42255</v>
      </c>
      <c r="B1432" s="24">
        <v>116.2</v>
      </c>
      <c r="C1432" s="24">
        <v>117.7</v>
      </c>
      <c r="D1432"/>
      <c r="E1432"/>
      <c r="F1432"/>
      <c r="G1432"/>
      <c r="H1432"/>
      <c r="I1432" s="41">
        <v>43258</v>
      </c>
      <c r="J1432" s="38"/>
      <c r="L1432" s="17"/>
      <c r="M1432" s="18"/>
      <c r="N1432" s="17"/>
      <c r="O1432" s="53">
        <v>3.9077999999999999</v>
      </c>
      <c r="Q1432" s="19"/>
      <c r="S1432"/>
      <c r="T1432"/>
      <c r="U1432"/>
      <c r="V1432"/>
      <c r="W1432"/>
      <c r="X1432" s="46"/>
    </row>
    <row r="1433" spans="1:24" s="16" customFormat="1">
      <c r="A1433" s="14">
        <v>42256</v>
      </c>
      <c r="B1433" s="25">
        <v>0</v>
      </c>
      <c r="C1433" s="25">
        <v>117.8</v>
      </c>
      <c r="D1433"/>
      <c r="E1433"/>
      <c r="F1433"/>
      <c r="G1433"/>
      <c r="H1433"/>
      <c r="I1433" s="41">
        <v>43259</v>
      </c>
      <c r="J1433" s="38"/>
      <c r="L1433" s="17"/>
      <c r="M1433" s="18"/>
      <c r="N1433" s="17"/>
      <c r="O1433" s="53">
        <v>3.7094</v>
      </c>
      <c r="Q1433" s="19"/>
      <c r="S1433"/>
      <c r="T1433"/>
      <c r="U1433"/>
      <c r="V1433"/>
      <c r="W1433"/>
      <c r="X1433" s="46"/>
    </row>
    <row r="1434" spans="1:24" s="16" customFormat="1">
      <c r="A1434" s="14">
        <v>42257</v>
      </c>
      <c r="B1434" s="24">
        <v>0</v>
      </c>
      <c r="C1434" s="24">
        <v>113.05</v>
      </c>
      <c r="D1434"/>
      <c r="E1434"/>
      <c r="F1434"/>
      <c r="G1434"/>
      <c r="H1434"/>
      <c r="I1434" s="41">
        <v>43261</v>
      </c>
      <c r="J1434" s="38"/>
      <c r="L1434" s="17"/>
      <c r="M1434" s="18"/>
      <c r="N1434" s="17"/>
      <c r="O1434" s="53">
        <v>3.7063999999999999</v>
      </c>
      <c r="Q1434" s="19"/>
      <c r="S1434"/>
      <c r="T1434"/>
      <c r="U1434"/>
      <c r="V1434"/>
      <c r="W1434"/>
      <c r="X1434" s="46"/>
    </row>
    <row r="1435" spans="1:24" s="16" customFormat="1">
      <c r="A1435" s="14">
        <v>42258</v>
      </c>
      <c r="B1435" s="25">
        <v>113.2</v>
      </c>
      <c r="C1435" s="25">
        <v>113.35</v>
      </c>
      <c r="D1435"/>
      <c r="E1435"/>
      <c r="F1435"/>
      <c r="G1435"/>
      <c r="H1435"/>
      <c r="I1435" s="41">
        <v>43262</v>
      </c>
      <c r="J1435" s="38"/>
      <c r="L1435" s="17"/>
      <c r="M1435" s="18"/>
      <c r="N1435" s="17"/>
      <c r="O1435" s="53">
        <v>3.7097000000000002</v>
      </c>
      <c r="Q1435" s="19"/>
      <c r="S1435"/>
      <c r="T1435"/>
      <c r="U1435"/>
      <c r="V1435"/>
      <c r="W1435"/>
      <c r="X1435" s="46"/>
    </row>
    <row r="1436" spans="1:24" s="16" customFormat="1">
      <c r="A1436" s="14">
        <v>42261</v>
      </c>
      <c r="B1436" s="24">
        <v>114.9</v>
      </c>
      <c r="C1436" s="24">
        <v>117</v>
      </c>
      <c r="D1436"/>
      <c r="E1436"/>
      <c r="F1436"/>
      <c r="G1436"/>
      <c r="H1436"/>
      <c r="I1436" s="41">
        <v>43263</v>
      </c>
      <c r="J1436" s="38"/>
      <c r="L1436" s="17"/>
      <c r="M1436" s="18"/>
      <c r="N1436" s="17"/>
      <c r="O1436" s="53">
        <v>3.7185000000000001</v>
      </c>
      <c r="Q1436" s="19"/>
      <c r="S1436"/>
      <c r="T1436"/>
      <c r="U1436"/>
      <c r="V1436"/>
      <c r="W1436"/>
      <c r="X1436" s="46"/>
    </row>
    <row r="1437" spans="1:24" s="16" customFormat="1">
      <c r="A1437" s="14">
        <v>42262</v>
      </c>
      <c r="B1437" s="25">
        <v>0</v>
      </c>
      <c r="C1437" s="25">
        <v>115.5</v>
      </c>
      <c r="D1437"/>
      <c r="E1437"/>
      <c r="F1437"/>
      <c r="G1437"/>
      <c r="H1437"/>
      <c r="I1437" s="41">
        <v>43264</v>
      </c>
      <c r="J1437" s="38"/>
      <c r="L1437" s="17"/>
      <c r="M1437" s="18"/>
      <c r="N1437" s="17"/>
      <c r="O1437" s="53">
        <v>3.7201</v>
      </c>
      <c r="Q1437" s="19"/>
      <c r="S1437"/>
      <c r="T1437"/>
      <c r="U1437"/>
      <c r="V1437"/>
      <c r="W1437"/>
      <c r="X1437" s="46"/>
    </row>
    <row r="1438" spans="1:24" s="16" customFormat="1">
      <c r="A1438" s="14">
        <v>42263</v>
      </c>
      <c r="B1438" s="24">
        <v>115.55</v>
      </c>
      <c r="C1438" s="24">
        <v>113.8</v>
      </c>
      <c r="D1438"/>
      <c r="E1438"/>
      <c r="F1438"/>
      <c r="G1438"/>
      <c r="H1438"/>
      <c r="I1438" s="41">
        <v>43265</v>
      </c>
      <c r="J1438" s="38"/>
      <c r="L1438" s="17"/>
      <c r="M1438" s="18"/>
      <c r="N1438" s="17"/>
      <c r="O1438" s="53">
        <v>3.806</v>
      </c>
      <c r="Q1438" s="19"/>
      <c r="S1438"/>
      <c r="T1438"/>
      <c r="U1438"/>
      <c r="V1438"/>
      <c r="W1438"/>
      <c r="X1438" s="46"/>
    </row>
    <row r="1439" spans="1:24" s="16" customFormat="1">
      <c r="A1439" s="14">
        <v>42264</v>
      </c>
      <c r="B1439" s="25">
        <v>0</v>
      </c>
      <c r="C1439" s="25">
        <v>113.5</v>
      </c>
      <c r="D1439"/>
      <c r="E1439"/>
      <c r="F1439"/>
      <c r="G1439"/>
      <c r="H1439"/>
      <c r="I1439" s="41">
        <v>43266</v>
      </c>
      <c r="J1439" s="38"/>
      <c r="L1439" s="17"/>
      <c r="M1439" s="18"/>
      <c r="N1439" s="17"/>
      <c r="O1439" s="53">
        <v>3.7296</v>
      </c>
      <c r="Q1439" s="19"/>
      <c r="S1439"/>
      <c r="T1439"/>
      <c r="U1439"/>
      <c r="V1439"/>
      <c r="W1439"/>
      <c r="X1439" s="46"/>
    </row>
    <row r="1440" spans="1:24" s="16" customFormat="1">
      <c r="A1440" s="14">
        <v>42265</v>
      </c>
      <c r="B1440" s="24">
        <v>0</v>
      </c>
      <c r="C1440" s="24">
        <v>113.35</v>
      </c>
      <c r="D1440"/>
      <c r="E1440"/>
      <c r="F1440"/>
      <c r="G1440"/>
      <c r="H1440"/>
      <c r="I1440" s="41">
        <v>43268</v>
      </c>
      <c r="J1440" s="38"/>
      <c r="L1440" s="17"/>
      <c r="M1440" s="18"/>
      <c r="N1440" s="17"/>
      <c r="O1440" s="53">
        <v>3.7301000000000002</v>
      </c>
      <c r="Q1440" s="19"/>
      <c r="S1440"/>
      <c r="T1440"/>
      <c r="U1440"/>
      <c r="V1440"/>
      <c r="W1440"/>
      <c r="X1440" s="46"/>
    </row>
    <row r="1441" spans="1:24" s="16" customFormat="1">
      <c r="A1441" s="14">
        <v>42268</v>
      </c>
      <c r="B1441" s="25">
        <v>116.35</v>
      </c>
      <c r="C1441" s="25">
        <v>117.25</v>
      </c>
      <c r="D1441"/>
      <c r="E1441"/>
      <c r="F1441"/>
      <c r="G1441"/>
      <c r="H1441"/>
      <c r="I1441" s="41">
        <v>43269</v>
      </c>
      <c r="J1441" s="38"/>
      <c r="L1441" s="17"/>
      <c r="M1441" s="18"/>
      <c r="N1441" s="17"/>
      <c r="O1441" s="53">
        <v>3.7469999999999999</v>
      </c>
      <c r="Q1441" s="19"/>
      <c r="S1441"/>
      <c r="T1441"/>
      <c r="U1441"/>
      <c r="V1441"/>
      <c r="W1441"/>
      <c r="X1441" s="46"/>
    </row>
    <row r="1442" spans="1:24" s="16" customFormat="1">
      <c r="A1442" s="14">
        <v>42269</v>
      </c>
      <c r="B1442" s="24">
        <v>115.05</v>
      </c>
      <c r="C1442" s="24">
        <v>115.45</v>
      </c>
      <c r="D1442"/>
      <c r="E1442"/>
      <c r="F1442"/>
      <c r="G1442"/>
      <c r="H1442"/>
      <c r="I1442" s="41">
        <v>43270</v>
      </c>
      <c r="J1442" s="38"/>
      <c r="L1442" s="17"/>
      <c r="M1442" s="18"/>
      <c r="N1442" s="17"/>
      <c r="O1442" s="53">
        <v>3.7471000000000001</v>
      </c>
      <c r="Q1442" s="19"/>
      <c r="S1442"/>
      <c r="T1442"/>
      <c r="U1442"/>
      <c r="V1442"/>
      <c r="W1442"/>
      <c r="X1442" s="46"/>
    </row>
    <row r="1443" spans="1:24" s="16" customFormat="1">
      <c r="A1443" s="14">
        <v>42270</v>
      </c>
      <c r="B1443" s="25">
        <v>114.75</v>
      </c>
      <c r="C1443" s="25">
        <v>116.2</v>
      </c>
      <c r="D1443"/>
      <c r="E1443"/>
      <c r="F1443"/>
      <c r="G1443"/>
      <c r="H1443"/>
      <c r="I1443" s="41">
        <v>43271</v>
      </c>
      <c r="J1443" s="38"/>
      <c r="L1443" s="17"/>
      <c r="M1443" s="18"/>
      <c r="N1443" s="17"/>
      <c r="O1443" s="53">
        <v>3.7715000000000001</v>
      </c>
      <c r="Q1443" s="19"/>
      <c r="S1443"/>
      <c r="T1443"/>
      <c r="U1443"/>
      <c r="V1443"/>
      <c r="W1443"/>
      <c r="X1443" s="46"/>
    </row>
    <row r="1444" spans="1:24" s="16" customFormat="1">
      <c r="A1444" s="14">
        <v>42271</v>
      </c>
      <c r="B1444" s="24">
        <v>114.55</v>
      </c>
      <c r="C1444" s="24">
        <v>118.3</v>
      </c>
      <c r="D1444"/>
      <c r="E1444"/>
      <c r="F1444"/>
      <c r="G1444"/>
      <c r="H1444"/>
      <c r="I1444" s="41">
        <v>43272</v>
      </c>
      <c r="J1444" s="38"/>
      <c r="L1444" s="17"/>
      <c r="M1444" s="18"/>
      <c r="N1444" s="17"/>
      <c r="O1444" s="53">
        <v>3.7690999999999999</v>
      </c>
      <c r="Q1444" s="19"/>
      <c r="S1444"/>
      <c r="T1444"/>
      <c r="U1444"/>
      <c r="V1444"/>
      <c r="W1444"/>
      <c r="X1444" s="46"/>
    </row>
    <row r="1445" spans="1:24" s="16" customFormat="1">
      <c r="A1445" s="14">
        <v>42272</v>
      </c>
      <c r="B1445" s="25">
        <v>119.9</v>
      </c>
      <c r="C1445" s="25">
        <v>122.7</v>
      </c>
      <c r="D1445"/>
      <c r="E1445"/>
      <c r="F1445"/>
      <c r="G1445"/>
      <c r="H1445"/>
      <c r="I1445" s="41">
        <v>43273</v>
      </c>
      <c r="J1445" s="38"/>
      <c r="L1445" s="17"/>
      <c r="M1445" s="18"/>
      <c r="N1445" s="17"/>
      <c r="O1445" s="53">
        <v>3.786</v>
      </c>
      <c r="Q1445" s="19"/>
      <c r="S1445"/>
      <c r="T1445"/>
      <c r="U1445"/>
      <c r="V1445"/>
      <c r="W1445"/>
      <c r="X1445" s="46"/>
    </row>
    <row r="1446" spans="1:24" s="16" customFormat="1">
      <c r="A1446" s="14">
        <v>42275</v>
      </c>
      <c r="B1446" s="24">
        <v>118.3</v>
      </c>
      <c r="C1446" s="24">
        <v>119.15</v>
      </c>
      <c r="D1446"/>
      <c r="E1446"/>
      <c r="F1446"/>
      <c r="G1446"/>
      <c r="H1446"/>
      <c r="I1446" s="41">
        <v>43275</v>
      </c>
      <c r="J1446" s="38"/>
      <c r="L1446" s="17"/>
      <c r="M1446" s="18"/>
      <c r="N1446" s="17"/>
      <c r="O1446" s="53">
        <v>3.7877999999999998</v>
      </c>
      <c r="Q1446" s="19"/>
      <c r="S1446"/>
      <c r="T1446"/>
      <c r="U1446"/>
      <c r="V1446"/>
      <c r="W1446"/>
      <c r="X1446" s="46"/>
    </row>
    <row r="1447" spans="1:24" s="16" customFormat="1">
      <c r="A1447" s="14">
        <v>42276</v>
      </c>
      <c r="B1447" s="25">
        <v>117.95</v>
      </c>
      <c r="C1447" s="25">
        <v>120.85</v>
      </c>
      <c r="D1447"/>
      <c r="E1447"/>
      <c r="F1447"/>
      <c r="G1447"/>
      <c r="H1447"/>
      <c r="I1447" s="41">
        <v>43276</v>
      </c>
      <c r="J1447" s="38"/>
      <c r="L1447" s="17"/>
      <c r="M1447" s="18"/>
      <c r="N1447" s="17"/>
      <c r="O1447" s="53">
        <v>3.7766999999999999</v>
      </c>
      <c r="Q1447" s="19"/>
      <c r="S1447"/>
      <c r="T1447"/>
      <c r="U1447"/>
      <c r="V1447"/>
      <c r="W1447"/>
      <c r="X1447" s="46"/>
    </row>
    <row r="1448" spans="1:24" s="16" customFormat="1">
      <c r="A1448" s="14">
        <v>42277</v>
      </c>
      <c r="B1448" s="24">
        <v>118.85</v>
      </c>
      <c r="C1448" s="24">
        <v>121.35</v>
      </c>
      <c r="D1448"/>
      <c r="E1448"/>
      <c r="F1448"/>
      <c r="G1448"/>
      <c r="H1448"/>
      <c r="I1448" s="41">
        <v>43277</v>
      </c>
      <c r="J1448" s="38"/>
      <c r="L1448" s="17"/>
      <c r="M1448" s="18"/>
      <c r="N1448" s="17"/>
      <c r="O1448" s="53">
        <v>3.8016000000000001</v>
      </c>
      <c r="Q1448" s="19"/>
      <c r="S1448"/>
      <c r="T1448"/>
      <c r="U1448"/>
      <c r="V1448"/>
      <c r="W1448"/>
      <c r="X1448" s="46"/>
    </row>
    <row r="1449" spans="1:24" s="16" customFormat="1">
      <c r="A1449" s="14">
        <v>42278</v>
      </c>
      <c r="B1449" s="25">
        <v>119.1</v>
      </c>
      <c r="C1449" s="25">
        <v>120.75</v>
      </c>
      <c r="D1449"/>
      <c r="E1449"/>
      <c r="F1449"/>
      <c r="G1449"/>
      <c r="H1449"/>
      <c r="I1449" s="41">
        <v>43278</v>
      </c>
      <c r="J1449" s="38"/>
      <c r="L1449" s="17"/>
      <c r="M1449" s="18"/>
      <c r="N1449" s="17"/>
      <c r="O1449" s="53">
        <v>3.8628</v>
      </c>
      <c r="Q1449" s="19"/>
      <c r="S1449"/>
      <c r="T1449"/>
      <c r="U1449"/>
      <c r="V1449"/>
      <c r="W1449"/>
      <c r="X1449" s="46"/>
    </row>
    <row r="1450" spans="1:24" s="16" customFormat="1">
      <c r="A1450" s="14">
        <v>42279</v>
      </c>
      <c r="B1450" s="24">
        <v>119.35</v>
      </c>
      <c r="C1450" s="24">
        <v>124.3</v>
      </c>
      <c r="D1450"/>
      <c r="E1450"/>
      <c r="F1450"/>
      <c r="G1450"/>
      <c r="H1450"/>
      <c r="I1450" s="41">
        <v>43279</v>
      </c>
      <c r="J1450" s="38"/>
      <c r="L1450" s="17"/>
      <c r="M1450" s="18"/>
      <c r="N1450" s="17"/>
      <c r="O1450" s="53">
        <v>3.8624000000000001</v>
      </c>
      <c r="Q1450" s="19"/>
      <c r="S1450"/>
      <c r="T1450"/>
      <c r="U1450"/>
      <c r="V1450"/>
      <c r="W1450"/>
      <c r="X1450" s="46"/>
    </row>
    <row r="1451" spans="1:24" s="16" customFormat="1">
      <c r="A1451" s="14">
        <v>42282</v>
      </c>
      <c r="B1451" s="25">
        <v>124.3</v>
      </c>
      <c r="C1451" s="25">
        <v>127.55</v>
      </c>
      <c r="D1451"/>
      <c r="E1451"/>
      <c r="F1451"/>
      <c r="G1451"/>
      <c r="H1451"/>
      <c r="I1451" s="41">
        <v>43280</v>
      </c>
      <c r="J1451" s="38"/>
      <c r="L1451" s="17"/>
      <c r="M1451" s="18"/>
      <c r="N1451" s="17"/>
      <c r="O1451" s="53">
        <v>3.8771</v>
      </c>
      <c r="Q1451" s="19"/>
      <c r="S1451"/>
      <c r="T1451"/>
      <c r="U1451"/>
      <c r="V1451"/>
      <c r="W1451"/>
      <c r="X1451" s="46"/>
    </row>
    <row r="1452" spans="1:24" s="16" customFormat="1">
      <c r="A1452" s="14">
        <v>42283</v>
      </c>
      <c r="B1452" s="24">
        <v>126.15</v>
      </c>
      <c r="C1452" s="24">
        <v>128.1</v>
      </c>
      <c r="D1452"/>
      <c r="E1452"/>
      <c r="F1452"/>
      <c r="G1452"/>
      <c r="H1452"/>
      <c r="I1452" s="41">
        <v>43282</v>
      </c>
      <c r="J1452" s="38"/>
      <c r="L1452" s="17"/>
      <c r="M1452" s="18"/>
      <c r="N1452" s="17"/>
      <c r="O1452" s="53">
        <v>3.8771</v>
      </c>
      <c r="Q1452" s="19"/>
      <c r="S1452"/>
      <c r="T1452"/>
      <c r="U1452"/>
      <c r="V1452"/>
      <c r="W1452"/>
      <c r="X1452" s="46"/>
    </row>
    <row r="1453" spans="1:24" s="16" customFormat="1">
      <c r="A1453" s="14">
        <v>42284</v>
      </c>
      <c r="B1453" s="25">
        <v>124.5</v>
      </c>
      <c r="C1453" s="25">
        <v>126.05</v>
      </c>
      <c r="D1453"/>
      <c r="E1453"/>
      <c r="F1453"/>
      <c r="G1453"/>
      <c r="H1453"/>
      <c r="I1453" s="41">
        <v>43283</v>
      </c>
      <c r="J1453" s="38"/>
      <c r="L1453" s="17"/>
      <c r="M1453" s="18"/>
      <c r="N1453" s="17"/>
      <c r="O1453" s="53">
        <v>3.9129</v>
      </c>
      <c r="Q1453" s="19"/>
      <c r="S1453"/>
      <c r="T1453"/>
      <c r="U1453"/>
      <c r="V1453"/>
      <c r="W1453"/>
      <c r="X1453" s="46"/>
    </row>
    <row r="1454" spans="1:24" s="16" customFormat="1">
      <c r="A1454" s="14">
        <v>42285</v>
      </c>
      <c r="B1454" s="24">
        <v>125.2</v>
      </c>
      <c r="C1454" s="24">
        <v>128.44999999999999</v>
      </c>
      <c r="D1454"/>
      <c r="E1454"/>
      <c r="F1454"/>
      <c r="G1454"/>
      <c r="H1454"/>
      <c r="I1454" s="41">
        <v>43284</v>
      </c>
      <c r="J1454" s="38"/>
      <c r="L1454" s="17"/>
      <c r="M1454" s="18"/>
      <c r="N1454" s="17"/>
      <c r="O1454" s="53">
        <v>3.8975</v>
      </c>
      <c r="Q1454" s="19"/>
      <c r="S1454"/>
      <c r="T1454"/>
      <c r="U1454"/>
      <c r="V1454"/>
      <c r="W1454"/>
      <c r="X1454" s="46"/>
    </row>
    <row r="1455" spans="1:24" s="16" customFormat="1">
      <c r="A1455" s="14">
        <v>42286</v>
      </c>
      <c r="B1455" s="25">
        <v>128.94999999999999</v>
      </c>
      <c r="C1455" s="25">
        <v>131.6</v>
      </c>
      <c r="D1455"/>
      <c r="E1455"/>
      <c r="F1455"/>
      <c r="G1455"/>
      <c r="H1455"/>
      <c r="I1455" s="41">
        <v>43285</v>
      </c>
      <c r="J1455" s="38"/>
      <c r="L1455" s="17"/>
      <c r="M1455" s="18"/>
      <c r="N1455" s="17"/>
      <c r="O1455" s="53">
        <v>3.9137</v>
      </c>
      <c r="Q1455" s="19"/>
      <c r="S1455"/>
      <c r="T1455"/>
      <c r="U1455"/>
      <c r="V1455"/>
      <c r="W1455"/>
      <c r="X1455" s="46"/>
    </row>
    <row r="1456" spans="1:24" s="16" customFormat="1">
      <c r="A1456" s="14">
        <v>42289</v>
      </c>
      <c r="B1456" s="24">
        <v>131.69999999999999</v>
      </c>
      <c r="C1456" s="24">
        <v>134.5</v>
      </c>
      <c r="D1456"/>
      <c r="E1456"/>
      <c r="F1456"/>
      <c r="G1456"/>
      <c r="H1456"/>
      <c r="I1456" s="41">
        <v>43286</v>
      </c>
      <c r="J1456" s="38"/>
      <c r="L1456" s="17"/>
      <c r="M1456" s="18"/>
      <c r="N1456" s="17"/>
      <c r="O1456" s="53">
        <v>3.9327000000000001</v>
      </c>
      <c r="Q1456" s="19"/>
      <c r="S1456"/>
      <c r="T1456"/>
      <c r="U1456"/>
      <c r="V1456"/>
      <c r="W1456"/>
      <c r="X1456" s="46"/>
    </row>
    <row r="1457" spans="1:24" s="16" customFormat="1">
      <c r="A1457" s="14">
        <v>42290</v>
      </c>
      <c r="B1457" s="25">
        <v>133.1</v>
      </c>
      <c r="C1457" s="25">
        <v>134.35</v>
      </c>
      <c r="D1457"/>
      <c r="E1457"/>
      <c r="F1457"/>
      <c r="G1457"/>
      <c r="H1457"/>
      <c r="I1457" s="41">
        <v>43287</v>
      </c>
      <c r="J1457" s="38"/>
      <c r="L1457" s="17"/>
      <c r="M1457" s="18"/>
      <c r="N1457" s="17"/>
      <c r="O1457" s="53">
        <v>3.8628</v>
      </c>
      <c r="Q1457" s="19"/>
      <c r="S1457"/>
      <c r="T1457"/>
      <c r="U1457"/>
      <c r="V1457"/>
      <c r="W1457"/>
      <c r="X1457" s="46"/>
    </row>
    <row r="1458" spans="1:24" s="16" customFormat="1">
      <c r="A1458" s="14">
        <v>42291</v>
      </c>
      <c r="B1458" s="24">
        <v>133.80000000000001</v>
      </c>
      <c r="C1458" s="24">
        <v>134.65</v>
      </c>
      <c r="D1458"/>
      <c r="E1458"/>
      <c r="F1458"/>
      <c r="G1458"/>
      <c r="H1458"/>
      <c r="I1458" s="41">
        <v>43289</v>
      </c>
      <c r="J1458" s="38"/>
      <c r="L1458" s="17"/>
      <c r="M1458" s="18"/>
      <c r="N1458" s="17"/>
      <c r="O1458" s="53">
        <v>3.8673999999999999</v>
      </c>
      <c r="Q1458" s="19"/>
      <c r="S1458"/>
      <c r="T1458"/>
      <c r="U1458"/>
      <c r="V1458"/>
      <c r="W1458"/>
      <c r="X1458" s="46"/>
    </row>
    <row r="1459" spans="1:24" s="16" customFormat="1">
      <c r="A1459" s="14">
        <v>42292</v>
      </c>
      <c r="B1459" s="25">
        <v>132.25</v>
      </c>
      <c r="C1459" s="25">
        <v>133.69999999999999</v>
      </c>
      <c r="D1459"/>
      <c r="E1459"/>
      <c r="F1459"/>
      <c r="G1459"/>
      <c r="H1459"/>
      <c r="I1459" s="41">
        <v>43290</v>
      </c>
      <c r="J1459" s="38"/>
      <c r="L1459" s="17"/>
      <c r="M1459" s="18"/>
      <c r="N1459" s="17"/>
      <c r="O1459" s="53">
        <v>3.8727</v>
      </c>
      <c r="Q1459" s="19"/>
      <c r="S1459"/>
      <c r="T1459"/>
      <c r="U1459"/>
      <c r="V1459"/>
      <c r="W1459"/>
      <c r="X1459" s="46"/>
    </row>
    <row r="1460" spans="1:24" s="16" customFormat="1">
      <c r="A1460" s="14">
        <v>42293</v>
      </c>
      <c r="B1460" s="24">
        <v>125.05</v>
      </c>
      <c r="C1460" s="24">
        <v>125.85</v>
      </c>
      <c r="D1460"/>
      <c r="E1460"/>
      <c r="F1460"/>
      <c r="G1460"/>
      <c r="H1460"/>
      <c r="I1460" s="41">
        <v>43291</v>
      </c>
      <c r="J1460" s="38"/>
      <c r="L1460" s="17"/>
      <c r="M1460" s="18"/>
      <c r="N1460" s="17"/>
      <c r="O1460" s="53">
        <v>3.8151999999999999</v>
      </c>
      <c r="Q1460" s="19"/>
      <c r="S1460"/>
      <c r="T1460"/>
      <c r="U1460"/>
      <c r="V1460"/>
      <c r="W1460"/>
      <c r="X1460" s="46"/>
    </row>
    <row r="1461" spans="1:24" s="16" customFormat="1">
      <c r="A1461" s="14">
        <v>42296</v>
      </c>
      <c r="B1461" s="25">
        <v>123.5</v>
      </c>
      <c r="C1461" s="25">
        <v>123.9</v>
      </c>
      <c r="D1461"/>
      <c r="E1461"/>
      <c r="F1461"/>
      <c r="G1461"/>
      <c r="H1461"/>
      <c r="I1461" s="41">
        <v>43292</v>
      </c>
      <c r="J1461" s="38"/>
      <c r="L1461" s="17"/>
      <c r="M1461" s="18"/>
      <c r="N1461" s="17"/>
      <c r="O1461" s="53">
        <v>3.8773</v>
      </c>
      <c r="Q1461" s="19"/>
      <c r="S1461"/>
      <c r="T1461"/>
      <c r="U1461"/>
      <c r="V1461"/>
      <c r="W1461"/>
      <c r="X1461" s="46"/>
    </row>
    <row r="1462" spans="1:24" s="16" customFormat="1">
      <c r="A1462" s="14">
        <v>42297</v>
      </c>
      <c r="B1462" s="24">
        <v>123.25</v>
      </c>
      <c r="C1462" s="24">
        <v>124.75</v>
      </c>
      <c r="D1462"/>
      <c r="E1462"/>
      <c r="F1462"/>
      <c r="G1462"/>
      <c r="H1462"/>
      <c r="I1462" s="41">
        <v>43293</v>
      </c>
      <c r="J1462" s="38"/>
      <c r="L1462" s="17"/>
      <c r="M1462" s="18"/>
      <c r="N1462" s="17"/>
      <c r="O1462" s="53">
        <v>3.8822000000000001</v>
      </c>
      <c r="Q1462" s="19"/>
      <c r="S1462"/>
      <c r="T1462"/>
      <c r="U1462"/>
      <c r="V1462"/>
      <c r="W1462"/>
      <c r="X1462" s="46"/>
    </row>
    <row r="1463" spans="1:24" s="16" customFormat="1">
      <c r="A1463" s="14">
        <v>42298</v>
      </c>
      <c r="B1463" s="25">
        <v>120.55</v>
      </c>
      <c r="C1463" s="25">
        <v>121</v>
      </c>
      <c r="D1463"/>
      <c r="E1463"/>
      <c r="F1463"/>
      <c r="G1463"/>
      <c r="H1463"/>
      <c r="I1463" s="41">
        <v>43294</v>
      </c>
      <c r="J1463" s="38"/>
      <c r="L1463" s="17"/>
      <c r="M1463" s="18"/>
      <c r="N1463" s="17"/>
      <c r="O1463" s="53">
        <v>3.8517999999999999</v>
      </c>
      <c r="Q1463" s="19"/>
      <c r="S1463"/>
      <c r="T1463"/>
      <c r="U1463"/>
      <c r="V1463"/>
      <c r="W1463"/>
      <c r="X1463" s="46"/>
    </row>
    <row r="1464" spans="1:24" s="16" customFormat="1">
      <c r="A1464" s="14">
        <v>42299</v>
      </c>
      <c r="B1464" s="24">
        <v>119.75</v>
      </c>
      <c r="C1464" s="24">
        <v>119.85</v>
      </c>
      <c r="D1464"/>
      <c r="E1464"/>
      <c r="F1464"/>
      <c r="G1464"/>
      <c r="H1464"/>
      <c r="I1464" s="41">
        <v>43296</v>
      </c>
      <c r="J1464" s="38"/>
      <c r="L1464" s="17"/>
      <c r="M1464" s="18"/>
      <c r="N1464" s="17"/>
      <c r="O1464" s="53">
        <v>3.8509000000000002</v>
      </c>
      <c r="Q1464" s="19"/>
      <c r="S1464"/>
      <c r="T1464"/>
      <c r="U1464"/>
      <c r="V1464"/>
      <c r="W1464"/>
      <c r="X1464" s="46"/>
    </row>
    <row r="1465" spans="1:24" s="16" customFormat="1">
      <c r="A1465" s="14">
        <v>42300</v>
      </c>
      <c r="B1465" s="25">
        <v>117.55</v>
      </c>
      <c r="C1465" s="25">
        <v>118.45</v>
      </c>
      <c r="D1465"/>
      <c r="E1465"/>
      <c r="F1465"/>
      <c r="G1465"/>
      <c r="H1465"/>
      <c r="I1465" s="41">
        <v>43297</v>
      </c>
      <c r="J1465" s="38"/>
      <c r="L1465" s="17"/>
      <c r="M1465" s="18"/>
      <c r="N1465" s="17"/>
      <c r="O1465" s="53">
        <v>3.8605</v>
      </c>
      <c r="Q1465" s="19"/>
      <c r="S1465"/>
      <c r="T1465"/>
      <c r="U1465"/>
      <c r="V1465"/>
      <c r="W1465"/>
      <c r="X1465" s="46"/>
    </row>
    <row r="1466" spans="1:24" s="16" customFormat="1">
      <c r="A1466" s="14">
        <v>42303</v>
      </c>
      <c r="B1466" s="24">
        <v>116.3</v>
      </c>
      <c r="C1466" s="24">
        <v>117.3</v>
      </c>
      <c r="D1466"/>
      <c r="E1466"/>
      <c r="F1466"/>
      <c r="G1466"/>
      <c r="H1466"/>
      <c r="I1466" s="41">
        <v>43298</v>
      </c>
      <c r="J1466" s="38"/>
      <c r="L1466" s="17"/>
      <c r="M1466" s="18"/>
      <c r="N1466" s="17"/>
      <c r="O1466" s="53">
        <v>3.8388</v>
      </c>
      <c r="Q1466" s="19"/>
      <c r="S1466"/>
      <c r="T1466"/>
      <c r="U1466"/>
      <c r="V1466"/>
      <c r="W1466"/>
      <c r="X1466" s="46"/>
    </row>
    <row r="1467" spans="1:24" s="16" customFormat="1">
      <c r="A1467" s="14">
        <v>42304</v>
      </c>
      <c r="B1467" s="25">
        <v>116.6</v>
      </c>
      <c r="C1467" s="25">
        <v>117.3</v>
      </c>
      <c r="D1467"/>
      <c r="E1467"/>
      <c r="F1467"/>
      <c r="G1467"/>
      <c r="H1467"/>
      <c r="I1467" s="41">
        <v>43299</v>
      </c>
      <c r="J1467" s="38"/>
      <c r="L1467" s="17"/>
      <c r="M1467" s="18"/>
      <c r="N1467" s="17"/>
      <c r="O1467" s="53">
        <v>3.8512</v>
      </c>
      <c r="Q1467" s="19"/>
      <c r="S1467"/>
      <c r="T1467"/>
      <c r="U1467"/>
      <c r="V1467"/>
      <c r="W1467"/>
      <c r="X1467" s="46"/>
    </row>
    <row r="1468" spans="1:24" s="16" customFormat="1">
      <c r="A1468" s="14">
        <v>42305</v>
      </c>
      <c r="B1468" s="24">
        <v>117</v>
      </c>
      <c r="C1468" s="24">
        <v>119.1</v>
      </c>
      <c r="D1468"/>
      <c r="E1468"/>
      <c r="F1468"/>
      <c r="G1468"/>
      <c r="H1468"/>
      <c r="I1468" s="41">
        <v>43300</v>
      </c>
      <c r="J1468" s="38"/>
      <c r="L1468" s="17"/>
      <c r="M1468" s="18"/>
      <c r="N1468" s="17"/>
      <c r="O1468" s="53">
        <v>3.8294999999999999</v>
      </c>
      <c r="Q1468" s="19"/>
      <c r="S1468"/>
      <c r="T1468"/>
      <c r="U1468"/>
      <c r="V1468"/>
      <c r="W1468"/>
      <c r="X1468" s="46"/>
    </row>
    <row r="1469" spans="1:24" s="16" customFormat="1">
      <c r="A1469" s="14">
        <v>42306</v>
      </c>
      <c r="B1469" s="25">
        <v>118.2</v>
      </c>
      <c r="C1469" s="25">
        <v>120.3</v>
      </c>
      <c r="D1469"/>
      <c r="E1469"/>
      <c r="F1469"/>
      <c r="G1469"/>
      <c r="H1469"/>
      <c r="I1469" s="41">
        <v>43301</v>
      </c>
      <c r="J1469" s="38"/>
      <c r="L1469" s="17"/>
      <c r="M1469" s="18"/>
      <c r="N1469" s="17"/>
      <c r="O1469" s="53">
        <v>3.7681</v>
      </c>
      <c r="Q1469" s="19"/>
      <c r="S1469"/>
      <c r="T1469"/>
      <c r="U1469"/>
      <c r="V1469"/>
      <c r="W1469"/>
      <c r="X1469" s="46"/>
    </row>
    <row r="1470" spans="1:24" s="16" customFormat="1">
      <c r="A1470" s="14">
        <v>42307</v>
      </c>
      <c r="B1470" s="24">
        <v>119.15</v>
      </c>
      <c r="C1470" s="24">
        <v>120.95</v>
      </c>
      <c r="D1470"/>
      <c r="E1470"/>
      <c r="F1470"/>
      <c r="G1470"/>
      <c r="H1470"/>
      <c r="I1470" s="41">
        <v>43303</v>
      </c>
      <c r="J1470" s="38"/>
      <c r="L1470" s="17"/>
      <c r="M1470" s="18"/>
      <c r="N1470" s="17"/>
      <c r="O1470" s="53">
        <v>3.7722000000000002</v>
      </c>
      <c r="Q1470" s="19"/>
      <c r="S1470"/>
      <c r="T1470"/>
      <c r="U1470"/>
      <c r="V1470"/>
      <c r="W1470"/>
      <c r="X1470" s="46"/>
    </row>
    <row r="1471" spans="1:24" s="16" customFormat="1">
      <c r="A1471" s="14">
        <v>42310</v>
      </c>
      <c r="B1471" s="25">
        <v>118</v>
      </c>
      <c r="C1471" s="25">
        <v>118.8</v>
      </c>
      <c r="D1471"/>
      <c r="E1471"/>
      <c r="F1471"/>
      <c r="G1471"/>
      <c r="H1471"/>
      <c r="I1471" s="41">
        <v>43304</v>
      </c>
      <c r="J1471" s="38"/>
      <c r="L1471" s="17"/>
      <c r="M1471" s="18"/>
      <c r="N1471" s="17"/>
      <c r="O1471" s="53">
        <v>3.7826</v>
      </c>
      <c r="Q1471" s="19"/>
      <c r="S1471"/>
      <c r="T1471"/>
      <c r="U1471"/>
      <c r="V1471"/>
      <c r="W1471"/>
      <c r="X1471" s="46"/>
    </row>
    <row r="1472" spans="1:24" s="16" customFormat="1">
      <c r="A1472" s="14">
        <v>42311</v>
      </c>
      <c r="B1472" s="24">
        <v>117.8</v>
      </c>
      <c r="C1472" s="24">
        <v>120.25</v>
      </c>
      <c r="D1472"/>
      <c r="E1472"/>
      <c r="F1472"/>
      <c r="G1472"/>
      <c r="H1472"/>
      <c r="I1472" s="41">
        <v>43305</v>
      </c>
      <c r="J1472" s="38"/>
      <c r="L1472" s="17"/>
      <c r="M1472" s="18"/>
      <c r="N1472" s="17"/>
      <c r="O1472" s="53">
        <v>3.7481</v>
      </c>
      <c r="Q1472" s="19"/>
      <c r="S1472"/>
      <c r="T1472"/>
      <c r="U1472"/>
      <c r="V1472"/>
      <c r="W1472"/>
      <c r="X1472" s="46"/>
    </row>
    <row r="1473" spans="1:24" s="16" customFormat="1">
      <c r="A1473" s="14">
        <v>42312</v>
      </c>
      <c r="B1473" s="25">
        <v>119.8</v>
      </c>
      <c r="C1473" s="25">
        <v>120.5</v>
      </c>
      <c r="D1473"/>
      <c r="E1473"/>
      <c r="F1473"/>
      <c r="G1473"/>
      <c r="H1473"/>
      <c r="I1473" s="41">
        <v>43306</v>
      </c>
      <c r="J1473" s="38"/>
      <c r="L1473" s="17"/>
      <c r="M1473" s="18"/>
      <c r="N1473" s="17"/>
      <c r="O1473" s="53">
        <v>3.6886000000000001</v>
      </c>
      <c r="Q1473" s="19"/>
      <c r="S1473"/>
      <c r="T1473"/>
      <c r="U1473"/>
      <c r="V1473"/>
      <c r="W1473"/>
      <c r="X1473" s="46"/>
    </row>
    <row r="1474" spans="1:24" s="16" customFormat="1">
      <c r="A1474" s="14">
        <v>42313</v>
      </c>
      <c r="B1474" s="24">
        <v>118.75</v>
      </c>
      <c r="C1474" s="24">
        <v>120.9</v>
      </c>
      <c r="D1474"/>
      <c r="E1474"/>
      <c r="F1474"/>
      <c r="G1474"/>
      <c r="H1474"/>
      <c r="I1474" s="41">
        <v>43307</v>
      </c>
      <c r="J1474" s="38"/>
      <c r="L1474" s="17"/>
      <c r="M1474" s="18"/>
      <c r="N1474" s="17"/>
      <c r="O1474" s="53">
        <v>3.7462</v>
      </c>
      <c r="Q1474" s="19"/>
      <c r="S1474"/>
      <c r="T1474"/>
      <c r="U1474"/>
      <c r="V1474"/>
      <c r="W1474"/>
      <c r="X1474" s="46"/>
    </row>
    <row r="1475" spans="1:24" s="16" customFormat="1">
      <c r="A1475" s="14">
        <v>42314</v>
      </c>
      <c r="B1475" s="25">
        <v>116.9</v>
      </c>
      <c r="C1475" s="25">
        <v>117.75</v>
      </c>
      <c r="D1475"/>
      <c r="E1475"/>
      <c r="F1475"/>
      <c r="G1475"/>
      <c r="H1475"/>
      <c r="I1475" s="41">
        <v>43308</v>
      </c>
      <c r="J1475" s="38"/>
      <c r="L1475" s="17"/>
      <c r="M1475" s="18"/>
      <c r="N1475" s="17"/>
      <c r="O1475" s="53">
        <v>3.7113999999999998</v>
      </c>
      <c r="Q1475" s="19"/>
      <c r="S1475"/>
      <c r="T1475"/>
      <c r="U1475"/>
      <c r="V1475"/>
      <c r="W1475"/>
      <c r="X1475" s="46"/>
    </row>
    <row r="1476" spans="1:24" s="16" customFormat="1">
      <c r="A1476" s="14">
        <v>42317</v>
      </c>
      <c r="B1476" s="24">
        <v>116.95</v>
      </c>
      <c r="C1476" s="24">
        <v>117.75</v>
      </c>
      <c r="D1476"/>
      <c r="E1476"/>
      <c r="F1476"/>
      <c r="G1476"/>
      <c r="H1476"/>
      <c r="I1476" s="41">
        <v>43310</v>
      </c>
      <c r="J1476" s="38"/>
      <c r="L1476" s="17"/>
      <c r="M1476" s="18"/>
      <c r="N1476" s="17"/>
      <c r="O1476" s="53">
        <v>3.7126000000000001</v>
      </c>
      <c r="Q1476" s="19"/>
      <c r="S1476"/>
      <c r="T1476"/>
      <c r="U1476"/>
      <c r="V1476"/>
      <c r="W1476"/>
      <c r="X1476" s="46"/>
    </row>
    <row r="1477" spans="1:24" s="16" customFormat="1">
      <c r="A1477" s="14">
        <v>42318</v>
      </c>
      <c r="B1477" s="25">
        <v>115.75</v>
      </c>
      <c r="C1477" s="25">
        <v>116.3</v>
      </c>
      <c r="D1477"/>
      <c r="E1477"/>
      <c r="F1477"/>
      <c r="G1477"/>
      <c r="H1477"/>
      <c r="I1477" s="41">
        <v>43311</v>
      </c>
      <c r="J1477" s="38"/>
      <c r="L1477" s="17"/>
      <c r="M1477" s="18"/>
      <c r="N1477" s="17"/>
      <c r="O1477" s="53">
        <v>3.7307000000000001</v>
      </c>
      <c r="Q1477" s="19"/>
      <c r="S1477"/>
      <c r="T1477"/>
      <c r="U1477"/>
      <c r="V1477"/>
      <c r="W1477"/>
      <c r="X1477" s="46"/>
    </row>
    <row r="1478" spans="1:24" s="16" customFormat="1">
      <c r="A1478" s="14">
        <v>42319</v>
      </c>
      <c r="B1478" s="24">
        <v>116.35</v>
      </c>
      <c r="C1478" s="24">
        <v>116.8</v>
      </c>
      <c r="D1478"/>
      <c r="E1478"/>
      <c r="F1478"/>
      <c r="G1478"/>
      <c r="H1478"/>
      <c r="I1478" s="41">
        <v>43312</v>
      </c>
      <c r="J1478" s="38"/>
      <c r="L1478" s="17"/>
      <c r="M1478" s="18"/>
      <c r="N1478" s="17"/>
      <c r="O1478" s="53">
        <v>3.7563</v>
      </c>
      <c r="Q1478" s="19"/>
      <c r="S1478"/>
      <c r="T1478"/>
      <c r="U1478"/>
      <c r="V1478"/>
      <c r="W1478"/>
      <c r="X1478" s="46"/>
    </row>
    <row r="1479" spans="1:24" s="16" customFormat="1">
      <c r="A1479" s="14">
        <v>42320</v>
      </c>
      <c r="B1479" s="25">
        <v>115</v>
      </c>
      <c r="C1479" s="25">
        <v>115.3</v>
      </c>
      <c r="D1479"/>
      <c r="E1479"/>
      <c r="F1479"/>
      <c r="G1479"/>
      <c r="H1479"/>
      <c r="I1479" s="41">
        <v>43313</v>
      </c>
      <c r="J1479" s="38"/>
      <c r="L1479" s="17"/>
      <c r="M1479" s="18"/>
      <c r="N1479" s="17"/>
      <c r="O1479" s="53">
        <v>3.7498999999999998</v>
      </c>
      <c r="Q1479" s="19"/>
      <c r="S1479"/>
      <c r="T1479"/>
      <c r="U1479"/>
      <c r="V1479"/>
      <c r="W1479"/>
      <c r="X1479" s="46"/>
    </row>
    <row r="1480" spans="1:24" s="16" customFormat="1">
      <c r="A1480" s="14">
        <v>42321</v>
      </c>
      <c r="B1480" s="24">
        <v>111.6</v>
      </c>
      <c r="C1480" s="24">
        <v>112.15</v>
      </c>
      <c r="D1480"/>
      <c r="E1480"/>
      <c r="F1480"/>
      <c r="G1480"/>
      <c r="H1480"/>
      <c r="I1480" s="41">
        <v>43314</v>
      </c>
      <c r="J1480" s="38"/>
      <c r="L1480" s="17"/>
      <c r="M1480" s="18"/>
      <c r="N1480" s="17"/>
      <c r="O1480" s="53">
        <v>3.7503000000000002</v>
      </c>
      <c r="Q1480" s="19"/>
      <c r="S1480"/>
      <c r="T1480"/>
      <c r="U1480"/>
      <c r="V1480"/>
      <c r="W1480"/>
      <c r="X1480" s="46"/>
    </row>
    <row r="1481" spans="1:24" s="16" customFormat="1">
      <c r="A1481" s="14">
        <v>42324</v>
      </c>
      <c r="B1481" s="25">
        <v>112.2</v>
      </c>
      <c r="C1481" s="25">
        <v>114.35</v>
      </c>
      <c r="D1481"/>
      <c r="E1481"/>
      <c r="F1481"/>
      <c r="G1481"/>
      <c r="H1481"/>
      <c r="I1481" s="41">
        <v>43315</v>
      </c>
      <c r="J1481" s="38"/>
      <c r="L1481" s="17"/>
      <c r="M1481" s="18"/>
      <c r="N1481" s="17"/>
      <c r="O1481" s="53">
        <v>3.7080000000000002</v>
      </c>
      <c r="Q1481" s="19"/>
      <c r="S1481"/>
      <c r="T1481"/>
      <c r="U1481"/>
      <c r="V1481"/>
      <c r="W1481"/>
      <c r="X1481" s="46"/>
    </row>
    <row r="1482" spans="1:24" s="16" customFormat="1">
      <c r="A1482" s="14">
        <v>42325</v>
      </c>
      <c r="B1482" s="24">
        <v>113.7</v>
      </c>
      <c r="C1482" s="24">
        <v>114.25</v>
      </c>
      <c r="D1482"/>
      <c r="E1482"/>
      <c r="F1482"/>
      <c r="G1482"/>
      <c r="H1482"/>
      <c r="I1482" s="41">
        <v>43317</v>
      </c>
      <c r="J1482" s="38"/>
      <c r="L1482" s="17"/>
      <c r="M1482" s="18"/>
      <c r="N1482" s="17"/>
      <c r="O1482" s="53">
        <v>3.7038000000000002</v>
      </c>
      <c r="Q1482" s="19"/>
      <c r="S1482"/>
      <c r="T1482"/>
      <c r="U1482"/>
      <c r="V1482"/>
      <c r="W1482"/>
      <c r="X1482" s="46"/>
    </row>
    <row r="1483" spans="1:24" s="16" customFormat="1">
      <c r="A1483" s="14">
        <v>42326</v>
      </c>
      <c r="B1483" s="25">
        <v>111.85</v>
      </c>
      <c r="C1483" s="25">
        <v>112.75</v>
      </c>
      <c r="D1483"/>
      <c r="E1483"/>
      <c r="F1483"/>
      <c r="G1483"/>
      <c r="H1483"/>
      <c r="I1483" s="41">
        <v>43318</v>
      </c>
      <c r="J1483" s="38"/>
      <c r="L1483" s="17"/>
      <c r="M1483" s="18"/>
      <c r="N1483" s="17"/>
      <c r="O1483" s="53">
        <v>3.7363</v>
      </c>
      <c r="Q1483" s="19"/>
      <c r="S1483"/>
      <c r="T1483"/>
      <c r="U1483"/>
      <c r="V1483"/>
      <c r="W1483"/>
      <c r="X1483" s="46"/>
    </row>
    <row r="1484" spans="1:24" s="16" customFormat="1">
      <c r="A1484" s="14">
        <v>42327</v>
      </c>
      <c r="B1484" s="24">
        <v>112.5</v>
      </c>
      <c r="C1484" s="24">
        <v>119.9</v>
      </c>
      <c r="D1484"/>
      <c r="E1484"/>
      <c r="F1484"/>
      <c r="G1484"/>
      <c r="H1484"/>
      <c r="I1484" s="41">
        <v>43319</v>
      </c>
      <c r="J1484" s="38"/>
      <c r="L1484" s="17"/>
      <c r="M1484" s="18"/>
      <c r="N1484" s="17"/>
      <c r="O1484" s="53">
        <v>3.7515000000000001</v>
      </c>
      <c r="Q1484" s="19"/>
      <c r="S1484"/>
      <c r="T1484"/>
      <c r="U1484"/>
      <c r="V1484"/>
      <c r="W1484"/>
      <c r="X1484" s="46"/>
    </row>
    <row r="1485" spans="1:24" s="16" customFormat="1">
      <c r="A1485" s="14">
        <v>42328</v>
      </c>
      <c r="B1485" s="25">
        <v>120.3</v>
      </c>
      <c r="C1485" s="25">
        <v>121.9</v>
      </c>
      <c r="D1485"/>
      <c r="E1485"/>
      <c r="F1485"/>
      <c r="G1485"/>
      <c r="H1485"/>
      <c r="I1485" s="41">
        <v>43320</v>
      </c>
      <c r="J1485" s="38"/>
      <c r="L1485" s="17"/>
      <c r="M1485" s="18"/>
      <c r="N1485" s="17"/>
      <c r="O1485" s="53">
        <v>3.7721</v>
      </c>
      <c r="Q1485" s="19"/>
      <c r="S1485"/>
      <c r="T1485"/>
      <c r="U1485"/>
      <c r="V1485"/>
      <c r="W1485"/>
      <c r="X1485" s="46"/>
    </row>
    <row r="1486" spans="1:24" s="16" customFormat="1">
      <c r="A1486" s="14">
        <v>42331</v>
      </c>
      <c r="B1486" s="24">
        <v>118.85</v>
      </c>
      <c r="C1486" s="24">
        <v>119.95</v>
      </c>
      <c r="D1486"/>
      <c r="E1486"/>
      <c r="F1486"/>
      <c r="G1486"/>
      <c r="H1486"/>
      <c r="I1486" s="41">
        <v>43321</v>
      </c>
      <c r="J1486" s="38"/>
      <c r="L1486" s="17"/>
      <c r="M1486" s="18"/>
      <c r="N1486" s="17"/>
      <c r="O1486" s="53">
        <v>3.8014999999999999</v>
      </c>
      <c r="Q1486" s="19"/>
      <c r="S1486"/>
      <c r="T1486"/>
      <c r="U1486"/>
      <c r="V1486"/>
      <c r="W1486"/>
      <c r="X1486" s="46"/>
    </row>
    <row r="1487" spans="1:24" s="16" customFormat="1">
      <c r="A1487" s="14">
        <v>42332</v>
      </c>
      <c r="B1487" s="25">
        <v>120.15</v>
      </c>
      <c r="C1487" s="25">
        <v>122.45</v>
      </c>
      <c r="D1487"/>
      <c r="E1487"/>
      <c r="F1487"/>
      <c r="G1487"/>
      <c r="H1487"/>
      <c r="I1487" s="41">
        <v>43322</v>
      </c>
      <c r="J1487" s="38"/>
      <c r="L1487" s="17"/>
      <c r="M1487" s="18"/>
      <c r="N1487" s="17"/>
      <c r="O1487" s="53">
        <v>3.8595999999999999</v>
      </c>
      <c r="Q1487" s="19"/>
      <c r="S1487"/>
      <c r="T1487"/>
      <c r="U1487"/>
      <c r="V1487"/>
      <c r="W1487"/>
      <c r="X1487" s="46"/>
    </row>
    <row r="1488" spans="1:24" s="16" customFormat="1">
      <c r="A1488" s="14">
        <v>42333</v>
      </c>
      <c r="B1488" s="24">
        <v>120.6</v>
      </c>
      <c r="C1488" s="24">
        <v>122.9</v>
      </c>
      <c r="D1488"/>
      <c r="E1488"/>
      <c r="F1488"/>
      <c r="G1488"/>
      <c r="H1488"/>
      <c r="I1488" s="41">
        <v>43324</v>
      </c>
      <c r="J1488" s="38"/>
      <c r="L1488" s="17"/>
      <c r="M1488" s="18"/>
      <c r="N1488" s="17"/>
      <c r="O1488" s="53">
        <v>3.8668999999999998</v>
      </c>
      <c r="Q1488" s="19"/>
      <c r="S1488"/>
      <c r="T1488"/>
      <c r="U1488"/>
      <c r="V1488"/>
      <c r="W1488"/>
      <c r="X1488" s="46"/>
    </row>
    <row r="1489" spans="1:15">
      <c r="A1489" s="14">
        <v>42335</v>
      </c>
      <c r="B1489" s="25">
        <v>120.8</v>
      </c>
      <c r="C1489" s="25">
        <v>121</v>
      </c>
      <c r="I1489" s="41">
        <v>43325</v>
      </c>
      <c r="O1489" s="53">
        <v>3.8839999999999999</v>
      </c>
    </row>
    <row r="1490" spans="1:15">
      <c r="A1490" s="14">
        <v>42338</v>
      </c>
      <c r="B1490" s="24">
        <v>115.85</v>
      </c>
      <c r="C1490" s="24">
        <v>116.9</v>
      </c>
      <c r="I1490" s="41">
        <v>43326</v>
      </c>
      <c r="O1490" s="53">
        <v>3.8673000000000002</v>
      </c>
    </row>
    <row r="1491" spans="1:15">
      <c r="A1491" s="14">
        <v>42339</v>
      </c>
      <c r="B1491" s="25">
        <v>115.75</v>
      </c>
      <c r="C1491" s="25">
        <v>117.15</v>
      </c>
      <c r="I1491" s="41">
        <v>43327</v>
      </c>
      <c r="O1491" s="53">
        <v>3.9055</v>
      </c>
    </row>
    <row r="1492" spans="1:15">
      <c r="A1492" s="14">
        <v>42340</v>
      </c>
      <c r="B1492" s="25">
        <v>116.9</v>
      </c>
      <c r="C1492" s="25">
        <v>117.8</v>
      </c>
      <c r="I1492" s="41">
        <v>43328</v>
      </c>
      <c r="O1492" s="53">
        <v>3.9072</v>
      </c>
    </row>
    <row r="1493" spans="1:15">
      <c r="A1493" s="14">
        <v>42341</v>
      </c>
      <c r="B1493" s="24">
        <v>120.1</v>
      </c>
      <c r="C1493" s="24">
        <v>122.05</v>
      </c>
      <c r="I1493" s="41">
        <v>43329</v>
      </c>
      <c r="O1493" s="53">
        <v>3.9116</v>
      </c>
    </row>
    <row r="1494" spans="1:15">
      <c r="A1494" s="14">
        <v>42342</v>
      </c>
      <c r="B1494" s="25">
        <v>122.25</v>
      </c>
      <c r="C1494" s="25">
        <v>124</v>
      </c>
      <c r="I1494" s="41">
        <v>43331</v>
      </c>
      <c r="O1494" s="53">
        <v>3.9123000000000001</v>
      </c>
    </row>
    <row r="1495" spans="1:15">
      <c r="A1495" s="14">
        <v>42345</v>
      </c>
      <c r="B1495" s="24">
        <v>122.55</v>
      </c>
      <c r="C1495" s="24">
        <v>122.65</v>
      </c>
      <c r="I1495" s="41">
        <v>43332</v>
      </c>
      <c r="O1495" s="53">
        <v>3.97</v>
      </c>
    </row>
    <row r="1496" spans="1:15">
      <c r="A1496" s="14">
        <v>42346</v>
      </c>
      <c r="B1496" s="25">
        <v>0</v>
      </c>
      <c r="C1496" s="25">
        <v>122.25</v>
      </c>
      <c r="I1496" s="41">
        <v>43333</v>
      </c>
      <c r="O1496" s="53">
        <v>4.0476999999999999</v>
      </c>
    </row>
    <row r="1497" spans="1:15">
      <c r="A1497" s="14">
        <v>42347</v>
      </c>
      <c r="B1497" s="25">
        <v>122.75</v>
      </c>
      <c r="C1497" s="25">
        <v>123.85</v>
      </c>
      <c r="I1497" s="41">
        <v>43334</v>
      </c>
      <c r="O1497" s="53">
        <v>4.0425000000000004</v>
      </c>
    </row>
    <row r="1498" spans="1:15">
      <c r="A1498" s="14">
        <v>42348</v>
      </c>
      <c r="B1498" s="24">
        <v>0</v>
      </c>
      <c r="C1498" s="24">
        <v>122.65</v>
      </c>
      <c r="I1498" s="41">
        <v>43335</v>
      </c>
      <c r="O1498" s="53">
        <v>4.1154999999999999</v>
      </c>
    </row>
    <row r="1499" spans="1:15">
      <c r="A1499" s="14">
        <v>42349</v>
      </c>
      <c r="B1499" s="25">
        <v>0</v>
      </c>
      <c r="C1499" s="25">
        <v>118.1</v>
      </c>
      <c r="I1499" s="41">
        <v>43336</v>
      </c>
      <c r="O1499" s="53">
        <v>4.1020000000000003</v>
      </c>
    </row>
    <row r="1500" spans="1:15">
      <c r="A1500" s="14">
        <v>42352</v>
      </c>
      <c r="B1500" s="24">
        <v>116.2</v>
      </c>
      <c r="C1500" s="24">
        <v>117.25</v>
      </c>
      <c r="I1500" s="41">
        <v>43338</v>
      </c>
      <c r="O1500" s="53">
        <v>4.1052999999999997</v>
      </c>
    </row>
    <row r="1501" spans="1:15">
      <c r="A1501" s="14">
        <v>42353</v>
      </c>
      <c r="B1501" s="25">
        <v>0</v>
      </c>
      <c r="C1501" s="25">
        <v>115.65</v>
      </c>
      <c r="I1501" s="41">
        <v>43339</v>
      </c>
      <c r="O1501" s="53">
        <v>4.0774999999999997</v>
      </c>
    </row>
    <row r="1502" spans="1:15">
      <c r="A1502" s="14">
        <v>42354</v>
      </c>
      <c r="B1502" s="25">
        <v>119.2</v>
      </c>
      <c r="C1502" s="25">
        <v>118.1</v>
      </c>
      <c r="I1502" s="41">
        <v>43340</v>
      </c>
      <c r="O1502" s="53">
        <v>4.1341999999999999</v>
      </c>
    </row>
    <row r="1503" spans="1:15">
      <c r="A1503" s="14">
        <v>42355</v>
      </c>
      <c r="B1503" s="24">
        <v>117.05</v>
      </c>
      <c r="C1503" s="24">
        <v>117.8</v>
      </c>
      <c r="I1503" s="41">
        <v>43341</v>
      </c>
      <c r="O1503" s="53">
        <v>4.1306000000000003</v>
      </c>
    </row>
    <row r="1504" spans="1:15">
      <c r="A1504" s="14">
        <v>42356</v>
      </c>
      <c r="B1504" s="25">
        <v>0</v>
      </c>
      <c r="C1504" s="25">
        <v>118.45</v>
      </c>
    </row>
    <row r="1505" spans="1:3">
      <c r="A1505" s="14">
        <v>42359</v>
      </c>
      <c r="B1505" s="24">
        <v>116.8</v>
      </c>
      <c r="C1505" s="24">
        <v>117.5</v>
      </c>
    </row>
    <row r="1506" spans="1:3">
      <c r="A1506" s="14">
        <v>42360</v>
      </c>
      <c r="B1506" s="25">
        <v>117.6</v>
      </c>
      <c r="C1506" s="25">
        <v>119.15</v>
      </c>
    </row>
    <row r="1507" spans="1:3">
      <c r="A1507" s="14">
        <v>42361</v>
      </c>
      <c r="B1507" s="25">
        <v>118.2</v>
      </c>
      <c r="C1507" s="25">
        <v>120.95</v>
      </c>
    </row>
    <row r="1508" spans="1:3">
      <c r="A1508" s="14">
        <v>42362</v>
      </c>
      <c r="B1508" s="24">
        <v>118.9</v>
      </c>
      <c r="C1508" s="24">
        <v>119.7</v>
      </c>
    </row>
    <row r="1509" spans="1:3">
      <c r="A1509" s="14">
        <v>42366</v>
      </c>
      <c r="B1509" s="25">
        <v>118.3</v>
      </c>
      <c r="C1509" s="25">
        <v>119.15</v>
      </c>
    </row>
    <row r="1510" spans="1:3">
      <c r="A1510" s="14">
        <v>42367</v>
      </c>
      <c r="B1510" s="24">
        <v>118.4</v>
      </c>
      <c r="C1510" s="24">
        <v>121.45</v>
      </c>
    </row>
    <row r="1511" spans="1:3">
      <c r="A1511" s="14">
        <v>42368</v>
      </c>
      <c r="B1511" s="25">
        <v>121.25</v>
      </c>
      <c r="C1511" s="25">
        <v>123.65</v>
      </c>
    </row>
    <row r="1512" spans="1:3">
      <c r="A1512" s="14">
        <v>42369</v>
      </c>
      <c r="B1512" s="25">
        <v>123.65</v>
      </c>
      <c r="C1512" s="25">
        <v>126.7</v>
      </c>
    </row>
    <row r="1513" spans="1:3">
      <c r="A1513" s="14">
        <v>42373</v>
      </c>
      <c r="B1513" s="25">
        <v>122.05</v>
      </c>
      <c r="C1513" s="25">
        <v>123.9</v>
      </c>
    </row>
    <row r="1514" spans="1:3">
      <c r="A1514" s="14">
        <v>42374</v>
      </c>
      <c r="B1514" s="24">
        <v>121.75</v>
      </c>
      <c r="C1514" s="24">
        <v>123</v>
      </c>
    </row>
    <row r="1515" spans="1:3">
      <c r="A1515" s="14">
        <v>42375</v>
      </c>
      <c r="B1515" s="25">
        <v>119.5</v>
      </c>
      <c r="C1515" s="25">
        <v>119.95</v>
      </c>
    </row>
    <row r="1516" spans="1:3">
      <c r="A1516" s="14">
        <v>42376</v>
      </c>
      <c r="B1516" s="24">
        <v>117.9</v>
      </c>
      <c r="C1516" s="24">
        <v>118.45</v>
      </c>
    </row>
    <row r="1517" spans="1:3">
      <c r="A1517" s="14">
        <v>42377</v>
      </c>
      <c r="B1517" s="25">
        <v>118.25</v>
      </c>
      <c r="C1517" s="25">
        <v>119</v>
      </c>
    </row>
    <row r="1518" spans="1:3">
      <c r="A1518" s="14">
        <v>42380</v>
      </c>
      <c r="B1518" s="24">
        <v>113.6</v>
      </c>
      <c r="C1518" s="24">
        <v>114.45</v>
      </c>
    </row>
    <row r="1519" spans="1:3">
      <c r="A1519" s="14">
        <v>42381</v>
      </c>
      <c r="B1519" s="25">
        <v>113.6</v>
      </c>
      <c r="C1519" s="25">
        <v>114.35</v>
      </c>
    </row>
    <row r="1520" spans="1:3">
      <c r="A1520" s="14">
        <v>42382</v>
      </c>
      <c r="B1520" s="24">
        <v>114.35</v>
      </c>
      <c r="C1520" s="24">
        <v>114.8</v>
      </c>
    </row>
    <row r="1521" spans="1:3">
      <c r="A1521" s="14">
        <v>42383</v>
      </c>
      <c r="B1521" s="25">
        <v>113.5</v>
      </c>
      <c r="C1521" s="25">
        <v>115.9</v>
      </c>
    </row>
    <row r="1522" spans="1:3">
      <c r="A1522" s="14">
        <v>42384</v>
      </c>
      <c r="B1522" s="24">
        <v>113.65</v>
      </c>
      <c r="C1522" s="24">
        <v>114.9</v>
      </c>
    </row>
    <row r="1523" spans="1:3">
      <c r="A1523" s="14">
        <v>42388</v>
      </c>
      <c r="B1523" s="25">
        <v>113.6</v>
      </c>
      <c r="C1523" s="25">
        <v>115.65</v>
      </c>
    </row>
    <row r="1524" spans="1:3">
      <c r="A1524" s="14">
        <v>42389</v>
      </c>
      <c r="B1524" s="24">
        <v>111.05</v>
      </c>
      <c r="C1524" s="24">
        <v>111.6</v>
      </c>
    </row>
    <row r="1525" spans="1:3">
      <c r="A1525" s="14">
        <v>42390</v>
      </c>
      <c r="B1525" s="25">
        <v>111.6</v>
      </c>
      <c r="C1525" s="25">
        <v>114.4</v>
      </c>
    </row>
    <row r="1526" spans="1:3">
      <c r="A1526" s="14">
        <v>42391</v>
      </c>
      <c r="B1526" s="24">
        <v>114.7</v>
      </c>
      <c r="C1526" s="24">
        <v>116</v>
      </c>
    </row>
    <row r="1527" spans="1:3">
      <c r="A1527" s="14">
        <v>42394</v>
      </c>
      <c r="B1527" s="25">
        <v>114.15</v>
      </c>
      <c r="C1527" s="25">
        <v>116.45</v>
      </c>
    </row>
    <row r="1528" spans="1:3">
      <c r="A1528" s="14">
        <v>42395</v>
      </c>
      <c r="B1528" s="24">
        <v>114.65</v>
      </c>
      <c r="C1528" s="24">
        <v>116.7</v>
      </c>
    </row>
    <row r="1529" spans="1:3">
      <c r="A1529" s="14">
        <v>42396</v>
      </c>
      <c r="B1529" s="25">
        <v>116.3</v>
      </c>
      <c r="C1529" s="25">
        <v>118.2</v>
      </c>
    </row>
    <row r="1530" spans="1:3">
      <c r="A1530" s="14">
        <v>42397</v>
      </c>
      <c r="B1530" s="24">
        <v>117.8</v>
      </c>
      <c r="C1530" s="24">
        <v>119.15</v>
      </c>
    </row>
    <row r="1531" spans="1:3">
      <c r="A1531" s="14">
        <v>42398</v>
      </c>
      <c r="B1531" s="25">
        <v>115.85</v>
      </c>
      <c r="C1531" s="25">
        <v>116.35</v>
      </c>
    </row>
    <row r="1532" spans="1:3">
      <c r="A1532" s="14">
        <v>42401</v>
      </c>
      <c r="B1532" s="24">
        <v>114.95</v>
      </c>
      <c r="C1532" s="24">
        <v>117.75</v>
      </c>
    </row>
    <row r="1533" spans="1:3">
      <c r="A1533" s="14">
        <v>42402</v>
      </c>
      <c r="B1533" s="25">
        <v>116.75</v>
      </c>
      <c r="C1533" s="25">
        <v>119.85</v>
      </c>
    </row>
    <row r="1534" spans="1:3">
      <c r="A1534" s="14">
        <v>42403</v>
      </c>
      <c r="B1534" s="24">
        <v>118.1</v>
      </c>
      <c r="C1534" s="24">
        <v>121.55</v>
      </c>
    </row>
    <row r="1535" spans="1:3">
      <c r="A1535" s="14">
        <v>42404</v>
      </c>
      <c r="B1535" s="25">
        <v>121.35</v>
      </c>
      <c r="C1535" s="25">
        <v>123.2</v>
      </c>
    </row>
    <row r="1536" spans="1:3">
      <c r="A1536" s="14">
        <v>42405</v>
      </c>
      <c r="B1536" s="24">
        <v>120.1</v>
      </c>
      <c r="C1536" s="24">
        <v>120.4</v>
      </c>
    </row>
    <row r="1537" spans="1:3">
      <c r="A1537" s="14">
        <v>42408</v>
      </c>
      <c r="B1537" s="25">
        <v>115.65</v>
      </c>
      <c r="C1537" s="25">
        <v>115.75</v>
      </c>
    </row>
    <row r="1538" spans="1:3">
      <c r="A1538" s="14">
        <v>42409</v>
      </c>
      <c r="B1538" s="24">
        <v>114.6</v>
      </c>
      <c r="C1538" s="24">
        <v>114.75</v>
      </c>
    </row>
    <row r="1539" spans="1:3">
      <c r="A1539" s="14">
        <v>42410</v>
      </c>
      <c r="B1539" s="25">
        <v>114.55</v>
      </c>
      <c r="C1539" s="25">
        <v>114.75</v>
      </c>
    </row>
    <row r="1540" spans="1:3">
      <c r="A1540" s="14">
        <v>42411</v>
      </c>
      <c r="B1540" s="24">
        <v>112.5</v>
      </c>
      <c r="C1540" s="24">
        <v>113</v>
      </c>
    </row>
    <row r="1541" spans="1:3">
      <c r="A1541" s="14">
        <v>42412</v>
      </c>
      <c r="B1541" s="25">
        <v>113.75</v>
      </c>
      <c r="C1541" s="25">
        <v>115.55</v>
      </c>
    </row>
    <row r="1542" spans="1:3">
      <c r="A1542" s="14">
        <v>42416</v>
      </c>
      <c r="B1542" s="24">
        <v>113.9</v>
      </c>
      <c r="C1542" s="24">
        <v>114.9</v>
      </c>
    </row>
    <row r="1543" spans="1:3">
      <c r="A1543" s="14">
        <v>42417</v>
      </c>
      <c r="B1543" s="25">
        <v>113.85</v>
      </c>
      <c r="C1543" s="25">
        <v>114.55</v>
      </c>
    </row>
    <row r="1544" spans="1:3">
      <c r="A1544" s="14">
        <v>42418</v>
      </c>
      <c r="B1544" s="24">
        <v>113.2</v>
      </c>
      <c r="C1544" s="24">
        <v>114.15</v>
      </c>
    </row>
    <row r="1545" spans="1:3">
      <c r="A1545" s="14">
        <v>42419</v>
      </c>
      <c r="B1545" s="25">
        <v>114</v>
      </c>
      <c r="C1545" s="25">
        <v>115.75</v>
      </c>
    </row>
    <row r="1546" spans="1:3">
      <c r="A1546" s="14">
        <v>42422</v>
      </c>
      <c r="B1546" s="24">
        <v>116.2</v>
      </c>
      <c r="C1546" s="24">
        <v>119.85</v>
      </c>
    </row>
    <row r="1547" spans="1:3">
      <c r="A1547" s="14">
        <v>42423</v>
      </c>
      <c r="B1547" s="25">
        <v>118</v>
      </c>
      <c r="C1547" s="25">
        <v>117.8</v>
      </c>
    </row>
    <row r="1548" spans="1:3">
      <c r="A1548" s="14">
        <v>42424</v>
      </c>
      <c r="B1548" s="24">
        <v>113.4</v>
      </c>
      <c r="C1548" s="24">
        <v>115.05</v>
      </c>
    </row>
    <row r="1549" spans="1:3">
      <c r="A1549" s="14">
        <v>42425</v>
      </c>
      <c r="B1549" s="25">
        <v>115.15</v>
      </c>
      <c r="C1549" s="25">
        <v>114.65</v>
      </c>
    </row>
    <row r="1550" spans="1:3">
      <c r="A1550" s="14">
        <v>42426</v>
      </c>
      <c r="B1550" s="24">
        <v>113.35</v>
      </c>
      <c r="C1550" s="24">
        <v>113</v>
      </c>
    </row>
    <row r="1551" spans="1:3">
      <c r="A1551" s="14">
        <v>42429</v>
      </c>
      <c r="B1551" s="25">
        <v>112.25</v>
      </c>
      <c r="C1551" s="25">
        <v>112.65</v>
      </c>
    </row>
    <row r="1552" spans="1:3">
      <c r="A1552" s="14">
        <v>42430</v>
      </c>
      <c r="B1552" s="24">
        <v>111.5</v>
      </c>
      <c r="C1552" s="24">
        <v>112.5</v>
      </c>
    </row>
    <row r="1553" spans="1:3">
      <c r="A1553" s="14">
        <v>42431</v>
      </c>
      <c r="B1553" s="25">
        <v>111.35</v>
      </c>
      <c r="C1553" s="25">
        <v>113.35</v>
      </c>
    </row>
    <row r="1554" spans="1:3">
      <c r="A1554" s="14">
        <v>42432</v>
      </c>
      <c r="B1554" s="24">
        <v>114.3</v>
      </c>
      <c r="C1554" s="24">
        <v>115.6</v>
      </c>
    </row>
    <row r="1555" spans="1:3">
      <c r="A1555" s="14">
        <v>42433</v>
      </c>
      <c r="B1555" s="25">
        <v>0</v>
      </c>
      <c r="C1555" s="25">
        <v>118.8</v>
      </c>
    </row>
    <row r="1556" spans="1:3">
      <c r="A1556" s="14">
        <v>42436</v>
      </c>
      <c r="B1556" s="24">
        <v>117.2</v>
      </c>
      <c r="C1556" s="24">
        <v>118.65</v>
      </c>
    </row>
    <row r="1557" spans="1:3">
      <c r="A1557" s="14">
        <v>42437</v>
      </c>
      <c r="B1557" s="25">
        <v>116.9</v>
      </c>
      <c r="C1557" s="25">
        <v>120.2</v>
      </c>
    </row>
    <row r="1558" spans="1:3">
      <c r="A1558" s="14">
        <v>42438</v>
      </c>
      <c r="B1558" s="24">
        <v>121.1</v>
      </c>
      <c r="C1558" s="24">
        <v>120.85</v>
      </c>
    </row>
    <row r="1559" spans="1:3">
      <c r="A1559" s="14">
        <v>42439</v>
      </c>
      <c r="B1559" s="25">
        <v>118.6</v>
      </c>
      <c r="C1559" s="25">
        <v>120.6</v>
      </c>
    </row>
    <row r="1560" spans="1:3">
      <c r="A1560" s="14">
        <v>42440</v>
      </c>
      <c r="B1560" s="24">
        <v>123</v>
      </c>
      <c r="C1560" s="24">
        <v>124.4</v>
      </c>
    </row>
    <row r="1561" spans="1:3">
      <c r="A1561" s="14">
        <v>42443</v>
      </c>
      <c r="B1561" s="25">
        <v>123.35</v>
      </c>
      <c r="C1561" s="25">
        <v>125.6</v>
      </c>
    </row>
    <row r="1562" spans="1:3">
      <c r="A1562" s="14">
        <v>42444</v>
      </c>
      <c r="B1562" s="24">
        <v>125</v>
      </c>
      <c r="C1562" s="24">
        <v>124.1</v>
      </c>
    </row>
    <row r="1563" spans="1:3">
      <c r="A1563" s="14">
        <v>42445</v>
      </c>
      <c r="B1563" s="25">
        <v>124.25</v>
      </c>
      <c r="C1563" s="25">
        <v>127.4</v>
      </c>
    </row>
    <row r="1564" spans="1:3">
      <c r="A1564" s="14">
        <v>42446</v>
      </c>
      <c r="B1564" s="24">
        <v>127.75</v>
      </c>
      <c r="C1564" s="24">
        <v>132</v>
      </c>
    </row>
    <row r="1565" spans="1:3">
      <c r="A1565" s="14">
        <v>42447</v>
      </c>
      <c r="B1565" s="25">
        <v>132.1</v>
      </c>
      <c r="C1565" s="25">
        <v>133.85</v>
      </c>
    </row>
    <row r="1566" spans="1:3">
      <c r="A1566" s="14">
        <v>42450</v>
      </c>
      <c r="B1566" s="24">
        <v>130.65</v>
      </c>
      <c r="C1566" s="24">
        <v>131.55000000000001</v>
      </c>
    </row>
    <row r="1567" spans="1:3">
      <c r="A1567" s="14">
        <v>42451</v>
      </c>
      <c r="B1567" s="25">
        <v>131.75</v>
      </c>
      <c r="C1567" s="25">
        <v>134.65</v>
      </c>
    </row>
    <row r="1568" spans="1:3">
      <c r="A1568" s="14">
        <v>42452</v>
      </c>
      <c r="B1568" s="24">
        <v>129.30000000000001</v>
      </c>
      <c r="C1568" s="24">
        <v>131.1</v>
      </c>
    </row>
    <row r="1569" spans="1:3">
      <c r="A1569" s="14">
        <v>42453</v>
      </c>
      <c r="B1569" s="25">
        <v>127.4</v>
      </c>
      <c r="C1569" s="25">
        <v>127.55</v>
      </c>
    </row>
    <row r="1570" spans="1:3">
      <c r="A1570" s="14">
        <v>42457</v>
      </c>
      <c r="B1570" s="24">
        <v>126.5</v>
      </c>
      <c r="C1570" s="24">
        <v>128.55000000000001</v>
      </c>
    </row>
    <row r="1571" spans="1:3">
      <c r="A1571" s="14">
        <v>42458</v>
      </c>
      <c r="B1571" s="25">
        <v>126.15</v>
      </c>
      <c r="C1571" s="25">
        <v>127.45</v>
      </c>
    </row>
    <row r="1572" spans="1:3">
      <c r="A1572" s="14">
        <v>42459</v>
      </c>
      <c r="B1572" s="24">
        <v>126.2</v>
      </c>
      <c r="C1572" s="24">
        <v>127</v>
      </c>
    </row>
    <row r="1573" spans="1:3">
      <c r="A1573" s="14">
        <v>42460</v>
      </c>
      <c r="B1573" s="25">
        <v>125.2</v>
      </c>
      <c r="C1573" s="25">
        <v>127.45</v>
      </c>
    </row>
    <row r="1574" spans="1:3">
      <c r="A1574" s="14">
        <v>42461</v>
      </c>
      <c r="B1574" s="24">
        <v>124.4</v>
      </c>
      <c r="C1574" s="24">
        <v>127.25</v>
      </c>
    </row>
    <row r="1575" spans="1:3">
      <c r="A1575" s="14">
        <v>42464</v>
      </c>
      <c r="B1575" s="25">
        <v>122.3</v>
      </c>
      <c r="C1575" s="25">
        <v>122.8</v>
      </c>
    </row>
    <row r="1576" spans="1:3">
      <c r="A1576" s="14">
        <v>42465</v>
      </c>
      <c r="B1576" s="24">
        <v>120.55</v>
      </c>
      <c r="C1576" s="24">
        <v>120.9</v>
      </c>
    </row>
    <row r="1577" spans="1:3">
      <c r="A1577" s="14">
        <v>42466</v>
      </c>
      <c r="B1577" s="25">
        <v>120</v>
      </c>
      <c r="C1577" s="25">
        <v>121.5</v>
      </c>
    </row>
    <row r="1578" spans="1:3">
      <c r="A1578" s="14">
        <v>42467</v>
      </c>
      <c r="B1578" s="24">
        <v>119.6</v>
      </c>
      <c r="C1578" s="24">
        <v>119.8</v>
      </c>
    </row>
    <row r="1579" spans="1:3">
      <c r="A1579" s="14">
        <v>42468</v>
      </c>
      <c r="B1579" s="25">
        <v>119.05</v>
      </c>
      <c r="C1579" s="25">
        <v>120.45</v>
      </c>
    </row>
    <row r="1580" spans="1:3">
      <c r="A1580" s="14">
        <v>42471</v>
      </c>
      <c r="B1580" s="24">
        <v>119.8</v>
      </c>
      <c r="C1580" s="24">
        <v>123.35</v>
      </c>
    </row>
    <row r="1581" spans="1:3">
      <c r="A1581" s="14">
        <v>42472</v>
      </c>
      <c r="B1581" s="25">
        <v>122.65</v>
      </c>
      <c r="C1581" s="25">
        <v>124.6</v>
      </c>
    </row>
    <row r="1582" spans="1:3">
      <c r="A1582" s="14">
        <v>42473</v>
      </c>
      <c r="B1582" s="24">
        <v>121.45</v>
      </c>
      <c r="C1582" s="24">
        <v>121.75</v>
      </c>
    </row>
    <row r="1583" spans="1:3">
      <c r="A1583" s="14">
        <v>42474</v>
      </c>
      <c r="B1583" s="25">
        <v>120.75</v>
      </c>
      <c r="C1583" s="25">
        <v>123.15</v>
      </c>
    </row>
    <row r="1584" spans="1:3">
      <c r="A1584" s="14">
        <v>42475</v>
      </c>
      <c r="B1584" s="24">
        <v>121.6</v>
      </c>
      <c r="C1584" s="24">
        <v>122.95</v>
      </c>
    </row>
    <row r="1585" spans="1:3">
      <c r="A1585" s="14">
        <v>42478</v>
      </c>
      <c r="B1585" s="25">
        <v>122.5</v>
      </c>
      <c r="C1585" s="25">
        <v>124</v>
      </c>
    </row>
    <row r="1586" spans="1:3">
      <c r="A1586" s="14">
        <v>42479</v>
      </c>
      <c r="B1586" s="24">
        <v>123.85</v>
      </c>
      <c r="C1586" s="24">
        <v>125.85</v>
      </c>
    </row>
    <row r="1587" spans="1:3">
      <c r="A1587" s="14">
        <v>42480</v>
      </c>
      <c r="B1587" s="25">
        <v>125.9</v>
      </c>
      <c r="C1587" s="25">
        <v>127.15</v>
      </c>
    </row>
    <row r="1588" spans="1:3">
      <c r="A1588" s="14">
        <v>42481</v>
      </c>
      <c r="B1588" s="24">
        <v>123.4</v>
      </c>
      <c r="C1588" s="24">
        <v>123.55</v>
      </c>
    </row>
    <row r="1589" spans="1:3">
      <c r="A1589" s="14">
        <v>42482</v>
      </c>
      <c r="B1589" s="25">
        <v>122</v>
      </c>
      <c r="C1589" s="25">
        <v>122.75</v>
      </c>
    </row>
    <row r="1590" spans="1:3">
      <c r="A1590" s="14">
        <v>42485</v>
      </c>
      <c r="B1590" s="24">
        <v>122.3</v>
      </c>
      <c r="C1590" s="24">
        <v>123.1</v>
      </c>
    </row>
    <row r="1591" spans="1:3">
      <c r="A1591" s="14">
        <v>42486</v>
      </c>
      <c r="B1591" s="25">
        <v>123.6</v>
      </c>
      <c r="C1591" s="25">
        <v>125.25</v>
      </c>
    </row>
    <row r="1592" spans="1:3">
      <c r="A1592" s="14">
        <v>42487</v>
      </c>
      <c r="B1592" s="24">
        <v>121.2</v>
      </c>
      <c r="C1592" s="24">
        <v>121.05</v>
      </c>
    </row>
    <row r="1593" spans="1:3">
      <c r="A1593" s="14">
        <v>42488</v>
      </c>
      <c r="B1593" s="25">
        <v>120</v>
      </c>
      <c r="C1593" s="25">
        <v>120.4</v>
      </c>
    </row>
    <row r="1594" spans="1:3">
      <c r="A1594" s="14">
        <v>42489</v>
      </c>
      <c r="B1594" s="24">
        <v>120.55</v>
      </c>
      <c r="C1594" s="24">
        <v>120.85</v>
      </c>
    </row>
    <row r="1595" spans="1:3">
      <c r="A1595" s="14">
        <v>42492</v>
      </c>
      <c r="B1595" s="25">
        <v>119</v>
      </c>
      <c r="C1595" s="25">
        <v>119.1</v>
      </c>
    </row>
    <row r="1596" spans="1:3">
      <c r="A1596" s="14">
        <v>42493</v>
      </c>
      <c r="B1596" s="24">
        <v>118.7</v>
      </c>
      <c r="C1596" s="24">
        <v>118.6</v>
      </c>
    </row>
    <row r="1597" spans="1:3">
      <c r="A1597" s="14">
        <v>42494</v>
      </c>
      <c r="B1597" s="25">
        <v>118.8</v>
      </c>
      <c r="C1597" s="25">
        <v>119.1</v>
      </c>
    </row>
    <row r="1598" spans="1:3">
      <c r="A1598" s="14">
        <v>42495</v>
      </c>
      <c r="B1598" s="24">
        <v>120.4</v>
      </c>
      <c r="C1598" s="24">
        <v>120.9</v>
      </c>
    </row>
    <row r="1599" spans="1:3">
      <c r="A1599" s="14">
        <v>42496</v>
      </c>
      <c r="B1599" s="25">
        <v>122.55</v>
      </c>
      <c r="C1599" s="25">
        <v>123.45</v>
      </c>
    </row>
    <row r="1600" spans="1:3">
      <c r="A1600" s="14">
        <v>42499</v>
      </c>
      <c r="B1600" s="24">
        <v>0</v>
      </c>
      <c r="C1600" s="24">
        <v>125.15</v>
      </c>
    </row>
    <row r="1601" spans="1:3">
      <c r="A1601" s="14">
        <v>42500</v>
      </c>
      <c r="B1601" s="25">
        <v>125.9</v>
      </c>
      <c r="C1601" s="25">
        <v>126.9</v>
      </c>
    </row>
    <row r="1602" spans="1:3">
      <c r="A1602" s="14">
        <v>42501</v>
      </c>
      <c r="B1602" s="24">
        <v>0</v>
      </c>
      <c r="C1602" s="24">
        <v>127.9</v>
      </c>
    </row>
    <row r="1603" spans="1:3">
      <c r="A1603" s="14">
        <v>42502</v>
      </c>
      <c r="B1603" s="25">
        <v>127.3</v>
      </c>
      <c r="C1603" s="25">
        <v>128.19999999999999</v>
      </c>
    </row>
    <row r="1604" spans="1:3">
      <c r="A1604" s="14">
        <v>42503</v>
      </c>
      <c r="B1604" s="24">
        <v>127.8</v>
      </c>
      <c r="C1604" s="24">
        <v>128.80000000000001</v>
      </c>
    </row>
    <row r="1605" spans="1:3">
      <c r="A1605" s="14">
        <v>42506</v>
      </c>
      <c r="B1605" s="25">
        <v>128.75</v>
      </c>
      <c r="C1605" s="25">
        <v>132.69999999999999</v>
      </c>
    </row>
    <row r="1606" spans="1:3">
      <c r="A1606" s="14">
        <v>42507</v>
      </c>
      <c r="B1606" s="24">
        <v>132.6</v>
      </c>
      <c r="C1606" s="24">
        <v>131.85</v>
      </c>
    </row>
    <row r="1607" spans="1:3">
      <c r="A1607" s="14">
        <v>42508</v>
      </c>
      <c r="B1607" s="25">
        <v>128.15</v>
      </c>
      <c r="C1607" s="25">
        <v>129.30000000000001</v>
      </c>
    </row>
    <row r="1608" spans="1:3">
      <c r="A1608" s="14">
        <v>42509</v>
      </c>
      <c r="B1608" s="24">
        <v>123.7</v>
      </c>
      <c r="C1608" s="24">
        <v>123.95</v>
      </c>
    </row>
    <row r="1609" spans="1:3">
      <c r="A1609" s="14">
        <v>42510</v>
      </c>
      <c r="B1609" s="25">
        <v>124.25</v>
      </c>
      <c r="C1609" s="25">
        <v>124.7</v>
      </c>
    </row>
    <row r="1610" spans="1:3">
      <c r="A1610" s="14">
        <v>42513</v>
      </c>
      <c r="B1610" s="24">
        <v>122</v>
      </c>
      <c r="C1610" s="24">
        <v>122.15</v>
      </c>
    </row>
    <row r="1611" spans="1:3">
      <c r="A1611" s="14">
        <v>42514</v>
      </c>
      <c r="B1611" s="25">
        <v>121.55</v>
      </c>
      <c r="C1611" s="25">
        <v>121.8</v>
      </c>
    </row>
    <row r="1612" spans="1:3">
      <c r="A1612" s="14">
        <v>42515</v>
      </c>
      <c r="B1612" s="24">
        <v>121.2</v>
      </c>
      <c r="C1612" s="24">
        <v>121.4</v>
      </c>
    </row>
    <row r="1613" spans="1:3">
      <c r="A1613" s="14">
        <v>42516</v>
      </c>
      <c r="B1613" s="25">
        <v>121.2</v>
      </c>
      <c r="C1613" s="25">
        <v>121.5</v>
      </c>
    </row>
    <row r="1614" spans="1:3">
      <c r="A1614" s="14">
        <v>42517</v>
      </c>
      <c r="B1614" s="24">
        <v>120.8</v>
      </c>
      <c r="C1614" s="24">
        <v>121.3</v>
      </c>
    </row>
    <row r="1615" spans="1:3">
      <c r="A1615" s="14">
        <v>42521</v>
      </c>
      <c r="B1615" s="25">
        <v>121.35</v>
      </c>
      <c r="C1615" s="25">
        <v>121.55</v>
      </c>
    </row>
    <row r="1616" spans="1:3">
      <c r="A1616" s="14">
        <v>42522</v>
      </c>
      <c r="B1616" s="24">
        <v>120.85</v>
      </c>
      <c r="C1616" s="24">
        <v>121.9</v>
      </c>
    </row>
    <row r="1617" spans="1:3">
      <c r="A1617" s="14">
        <v>42523</v>
      </c>
      <c r="B1617" s="25">
        <v>122.15</v>
      </c>
      <c r="C1617" s="25">
        <v>123</v>
      </c>
    </row>
    <row r="1618" spans="1:3">
      <c r="A1618" s="14">
        <v>42524</v>
      </c>
      <c r="B1618" s="24">
        <v>122.5</v>
      </c>
      <c r="C1618" s="24">
        <v>127.1</v>
      </c>
    </row>
    <row r="1619" spans="1:3">
      <c r="A1619" s="14">
        <v>42527</v>
      </c>
      <c r="B1619" s="25">
        <v>127.1</v>
      </c>
      <c r="C1619" s="25">
        <v>131.69999999999999</v>
      </c>
    </row>
    <row r="1620" spans="1:3">
      <c r="A1620" s="14">
        <v>42528</v>
      </c>
      <c r="B1620" s="24">
        <v>129.6</v>
      </c>
      <c r="C1620" s="24">
        <v>132.19999999999999</v>
      </c>
    </row>
    <row r="1621" spans="1:3">
      <c r="A1621" s="14">
        <v>42529</v>
      </c>
      <c r="B1621" s="25">
        <v>130.30000000000001</v>
      </c>
      <c r="C1621" s="25">
        <v>139.65</v>
      </c>
    </row>
    <row r="1622" spans="1:3">
      <c r="A1622" s="14">
        <v>42530</v>
      </c>
      <c r="B1622" s="24">
        <v>133.55000000000001</v>
      </c>
      <c r="C1622" s="24">
        <v>133.94999999999999</v>
      </c>
    </row>
    <row r="1623" spans="1:3">
      <c r="A1623" s="14">
        <v>42531</v>
      </c>
      <c r="B1623" s="25">
        <v>132</v>
      </c>
      <c r="C1623" s="25">
        <v>136.94999999999999</v>
      </c>
    </row>
    <row r="1624" spans="1:3">
      <c r="A1624" s="14">
        <v>42534</v>
      </c>
      <c r="B1624" s="24">
        <v>132.15</v>
      </c>
      <c r="C1624" s="24">
        <v>137.30000000000001</v>
      </c>
    </row>
    <row r="1625" spans="1:3">
      <c r="A1625" s="14">
        <v>42535</v>
      </c>
      <c r="B1625" s="25">
        <v>133.5</v>
      </c>
      <c r="C1625" s="25">
        <v>135.1</v>
      </c>
    </row>
    <row r="1626" spans="1:3">
      <c r="A1626" s="14">
        <v>42536</v>
      </c>
      <c r="B1626" s="24">
        <v>134.5</v>
      </c>
      <c r="C1626" s="24">
        <v>138.19999999999999</v>
      </c>
    </row>
    <row r="1627" spans="1:3">
      <c r="A1627" s="14">
        <v>42537</v>
      </c>
      <c r="B1627" s="25">
        <v>135.80000000000001</v>
      </c>
      <c r="C1627" s="25">
        <v>139.5</v>
      </c>
    </row>
    <row r="1628" spans="1:3">
      <c r="A1628" s="14">
        <v>42538</v>
      </c>
      <c r="B1628" s="24">
        <v>138.6</v>
      </c>
      <c r="C1628" s="24">
        <v>140.75</v>
      </c>
    </row>
    <row r="1629" spans="1:3">
      <c r="A1629" s="14">
        <v>42541</v>
      </c>
      <c r="B1629" s="25">
        <v>137.6</v>
      </c>
      <c r="C1629" s="25">
        <v>139.5</v>
      </c>
    </row>
    <row r="1630" spans="1:3">
      <c r="A1630" s="14">
        <v>42542</v>
      </c>
      <c r="B1630" s="24">
        <v>136.4</v>
      </c>
      <c r="C1630" s="24">
        <v>138.5</v>
      </c>
    </row>
    <row r="1631" spans="1:3">
      <c r="A1631" s="14">
        <v>42543</v>
      </c>
      <c r="B1631" s="25">
        <v>136.5</v>
      </c>
      <c r="C1631" s="25">
        <v>136.94999999999999</v>
      </c>
    </row>
    <row r="1632" spans="1:3">
      <c r="A1632" s="14">
        <v>42544</v>
      </c>
      <c r="B1632" s="24">
        <v>137</v>
      </c>
      <c r="C1632" s="24">
        <v>139.25</v>
      </c>
    </row>
    <row r="1633" spans="1:3">
      <c r="A1633" s="14">
        <v>42545</v>
      </c>
      <c r="B1633" s="25">
        <v>133.5</v>
      </c>
      <c r="C1633" s="25">
        <v>134.35</v>
      </c>
    </row>
    <row r="1634" spans="1:3">
      <c r="A1634" s="14">
        <v>42548</v>
      </c>
      <c r="B1634" s="24">
        <v>133.5</v>
      </c>
      <c r="C1634" s="24">
        <v>134.5</v>
      </c>
    </row>
    <row r="1635" spans="1:3">
      <c r="A1635" s="14">
        <v>42549</v>
      </c>
      <c r="B1635" s="25">
        <v>137.5</v>
      </c>
      <c r="C1635" s="25">
        <v>138.9</v>
      </c>
    </row>
    <row r="1636" spans="1:3">
      <c r="A1636" s="14">
        <v>42550</v>
      </c>
      <c r="B1636" s="24">
        <v>140.4</v>
      </c>
      <c r="C1636" s="24">
        <v>142.85</v>
      </c>
    </row>
    <row r="1637" spans="1:3">
      <c r="A1637" s="14">
        <v>42551</v>
      </c>
      <c r="B1637" s="25">
        <v>140.94999999999999</v>
      </c>
      <c r="C1637" s="25">
        <v>144.1</v>
      </c>
    </row>
    <row r="1638" spans="1:3">
      <c r="A1638" s="14">
        <v>42552</v>
      </c>
      <c r="B1638" s="24">
        <v>143.44999999999999</v>
      </c>
      <c r="C1638" s="24">
        <v>144.85</v>
      </c>
    </row>
    <row r="1639" spans="1:3">
      <c r="A1639" s="14">
        <v>42556</v>
      </c>
      <c r="B1639" s="25">
        <v>143</v>
      </c>
      <c r="C1639" s="25">
        <v>144.19999999999999</v>
      </c>
    </row>
    <row r="1640" spans="1:3">
      <c r="A1640" s="14">
        <v>42557</v>
      </c>
      <c r="B1640" s="24">
        <v>140.30000000000001</v>
      </c>
      <c r="C1640" s="24">
        <v>141.94999999999999</v>
      </c>
    </row>
    <row r="1641" spans="1:3">
      <c r="A1641" s="14">
        <v>42558</v>
      </c>
      <c r="B1641" s="25">
        <v>140</v>
      </c>
      <c r="C1641" s="25">
        <v>140.44999999999999</v>
      </c>
    </row>
    <row r="1642" spans="1:3">
      <c r="A1642" s="14">
        <v>42559</v>
      </c>
      <c r="B1642" s="24">
        <v>142.5</v>
      </c>
      <c r="C1642" s="24">
        <v>142.75</v>
      </c>
    </row>
    <row r="1643" spans="1:3">
      <c r="A1643" s="14">
        <v>42562</v>
      </c>
      <c r="B1643" s="25">
        <v>144.85</v>
      </c>
      <c r="C1643" s="25">
        <v>147.94999999999999</v>
      </c>
    </row>
    <row r="1644" spans="1:3">
      <c r="A1644" s="14">
        <v>42563</v>
      </c>
      <c r="B1644" s="24">
        <v>145.69999999999999</v>
      </c>
      <c r="C1644" s="24">
        <v>145.94999999999999</v>
      </c>
    </row>
    <row r="1645" spans="1:3">
      <c r="A1645" s="14">
        <v>42564</v>
      </c>
      <c r="B1645" s="25">
        <v>145.9</v>
      </c>
      <c r="C1645" s="25">
        <v>146.19999999999999</v>
      </c>
    </row>
    <row r="1646" spans="1:3">
      <c r="A1646" s="14">
        <v>42565</v>
      </c>
      <c r="B1646" s="24">
        <v>147.6</v>
      </c>
      <c r="C1646" s="24">
        <v>150.30000000000001</v>
      </c>
    </row>
    <row r="1647" spans="1:3">
      <c r="A1647" s="14">
        <v>42566</v>
      </c>
      <c r="B1647" s="25">
        <v>150</v>
      </c>
      <c r="C1647" s="25">
        <v>145.69999999999999</v>
      </c>
    </row>
    <row r="1648" spans="1:3">
      <c r="A1648" s="14">
        <v>42569</v>
      </c>
      <c r="B1648" s="24">
        <v>145.69999999999999</v>
      </c>
      <c r="C1648" s="24">
        <v>147.80000000000001</v>
      </c>
    </row>
    <row r="1649" spans="1:3">
      <c r="A1649" s="14">
        <v>42570</v>
      </c>
      <c r="B1649" s="25">
        <v>0</v>
      </c>
      <c r="C1649" s="25">
        <v>144.65</v>
      </c>
    </row>
    <row r="1650" spans="1:3">
      <c r="A1650" s="14">
        <v>42571</v>
      </c>
      <c r="B1650" s="24">
        <v>145.19999999999999</v>
      </c>
      <c r="C1650" s="24">
        <v>147</v>
      </c>
    </row>
    <row r="1651" spans="1:3">
      <c r="A1651" s="14">
        <v>42572</v>
      </c>
      <c r="B1651" s="25">
        <v>146.25</v>
      </c>
      <c r="C1651" s="25">
        <v>146.85</v>
      </c>
    </row>
    <row r="1652" spans="1:3">
      <c r="A1652" s="14">
        <v>42573</v>
      </c>
      <c r="B1652" s="24">
        <v>140.35</v>
      </c>
      <c r="C1652" s="24">
        <v>141.9</v>
      </c>
    </row>
    <row r="1653" spans="1:3">
      <c r="A1653" s="14">
        <v>42576</v>
      </c>
      <c r="B1653" s="25">
        <v>139.05000000000001</v>
      </c>
      <c r="C1653" s="25">
        <v>141.1</v>
      </c>
    </row>
    <row r="1654" spans="1:3">
      <c r="A1654" s="14">
        <v>42577</v>
      </c>
      <c r="B1654" s="24">
        <v>140.4</v>
      </c>
      <c r="C1654" s="24">
        <v>141.6</v>
      </c>
    </row>
    <row r="1655" spans="1:3">
      <c r="A1655" s="14">
        <v>42578</v>
      </c>
      <c r="B1655" s="25">
        <v>139.6</v>
      </c>
      <c r="C1655" s="25">
        <v>141.19999999999999</v>
      </c>
    </row>
    <row r="1656" spans="1:3">
      <c r="A1656" s="14">
        <v>42579</v>
      </c>
      <c r="B1656" s="24">
        <v>139.4</v>
      </c>
      <c r="C1656" s="24">
        <v>142.15</v>
      </c>
    </row>
    <row r="1657" spans="1:3">
      <c r="A1657" s="14">
        <v>42580</v>
      </c>
      <c r="B1657" s="25">
        <v>140.30000000000001</v>
      </c>
      <c r="C1657" s="25">
        <v>146.19999999999999</v>
      </c>
    </row>
    <row r="1658" spans="1:3">
      <c r="A1658" s="14">
        <v>42583</v>
      </c>
      <c r="B1658" s="24">
        <v>143.19999999999999</v>
      </c>
      <c r="C1658" s="24">
        <v>143.44999999999999</v>
      </c>
    </row>
    <row r="1659" spans="1:3">
      <c r="A1659" s="14">
        <v>42584</v>
      </c>
      <c r="B1659" s="25">
        <v>140.55000000000001</v>
      </c>
      <c r="C1659" s="25">
        <v>141.25</v>
      </c>
    </row>
    <row r="1660" spans="1:3">
      <c r="A1660" s="14">
        <v>42585</v>
      </c>
      <c r="B1660" s="24">
        <v>139.85</v>
      </c>
      <c r="C1660" s="24">
        <v>140.4</v>
      </c>
    </row>
    <row r="1661" spans="1:3">
      <c r="A1661" s="14">
        <v>42586</v>
      </c>
      <c r="B1661" s="25">
        <v>136.94999999999999</v>
      </c>
      <c r="C1661" s="25">
        <v>142.1</v>
      </c>
    </row>
    <row r="1662" spans="1:3">
      <c r="A1662" s="14">
        <v>42587</v>
      </c>
      <c r="B1662" s="24">
        <v>141.25</v>
      </c>
      <c r="C1662" s="24">
        <v>142.5</v>
      </c>
    </row>
    <row r="1663" spans="1:3">
      <c r="A1663" s="14">
        <v>42590</v>
      </c>
      <c r="B1663" s="25">
        <v>140.35</v>
      </c>
      <c r="C1663" s="25">
        <v>141.1</v>
      </c>
    </row>
    <row r="1664" spans="1:3">
      <c r="A1664" s="14">
        <v>42591</v>
      </c>
      <c r="B1664" s="24">
        <v>138.55000000000001</v>
      </c>
      <c r="C1664" s="24">
        <v>141.1</v>
      </c>
    </row>
    <row r="1665" spans="1:3">
      <c r="A1665" s="14">
        <v>42592</v>
      </c>
      <c r="B1665" s="25">
        <v>138.55000000000001</v>
      </c>
      <c r="C1665" s="25">
        <v>138.65</v>
      </c>
    </row>
    <row r="1666" spans="1:3">
      <c r="A1666" s="14">
        <v>42593</v>
      </c>
      <c r="B1666" s="24">
        <v>136.55000000000001</v>
      </c>
      <c r="C1666" s="24">
        <v>137.69999999999999</v>
      </c>
    </row>
    <row r="1667" spans="1:3">
      <c r="A1667" s="14">
        <v>42594</v>
      </c>
      <c r="B1667" s="25">
        <v>136.5</v>
      </c>
      <c r="C1667" s="25">
        <v>136.85</v>
      </c>
    </row>
    <row r="1668" spans="1:3">
      <c r="A1668" s="14">
        <v>42597</v>
      </c>
      <c r="B1668" s="24">
        <v>136.30000000000001</v>
      </c>
      <c r="C1668" s="24">
        <v>136.94999999999999</v>
      </c>
    </row>
    <row r="1669" spans="1:3">
      <c r="A1669" s="14">
        <v>42598</v>
      </c>
      <c r="B1669" s="25">
        <v>136.35</v>
      </c>
      <c r="C1669" s="25">
        <v>137.4</v>
      </c>
    </row>
    <row r="1670" spans="1:3">
      <c r="A1670" s="14">
        <v>42599</v>
      </c>
      <c r="B1670" s="24">
        <v>134.9</v>
      </c>
      <c r="C1670" s="24">
        <v>135.05000000000001</v>
      </c>
    </row>
    <row r="1671" spans="1:3">
      <c r="A1671" s="14">
        <v>42600</v>
      </c>
      <c r="B1671" s="25">
        <v>135.15</v>
      </c>
      <c r="C1671" s="25">
        <v>138.15</v>
      </c>
    </row>
    <row r="1672" spans="1:3">
      <c r="A1672" s="14">
        <v>42601</v>
      </c>
      <c r="B1672" s="24">
        <v>137.44999999999999</v>
      </c>
      <c r="C1672" s="24">
        <v>138.80000000000001</v>
      </c>
    </row>
    <row r="1673" spans="1:3">
      <c r="A1673" s="14">
        <v>42604</v>
      </c>
      <c r="B1673" s="25">
        <v>138.5</v>
      </c>
      <c r="C1673" s="25">
        <v>144.1</v>
      </c>
    </row>
    <row r="1674" spans="1:3">
      <c r="A1674" s="14">
        <v>42605</v>
      </c>
      <c r="B1674" s="24">
        <v>142.75</v>
      </c>
      <c r="C1674" s="24">
        <v>145.30000000000001</v>
      </c>
    </row>
    <row r="1675" spans="1:3">
      <c r="A1675" s="14">
        <v>42606</v>
      </c>
      <c r="B1675" s="25">
        <v>141.5</v>
      </c>
      <c r="C1675" s="25">
        <v>142.15</v>
      </c>
    </row>
    <row r="1676" spans="1:3">
      <c r="A1676" s="14">
        <v>42607</v>
      </c>
      <c r="B1676" s="24">
        <v>140.15</v>
      </c>
      <c r="C1676" s="24">
        <v>143.5</v>
      </c>
    </row>
    <row r="1677" spans="1:3">
      <c r="A1677" s="14">
        <v>42608</v>
      </c>
      <c r="B1677" s="25">
        <v>142.35</v>
      </c>
      <c r="C1677" s="25">
        <v>143.9</v>
      </c>
    </row>
    <row r="1678" spans="1:3">
      <c r="A1678" s="14">
        <v>42611</v>
      </c>
      <c r="B1678" s="24">
        <v>143.9</v>
      </c>
      <c r="C1678" s="24">
        <v>144</v>
      </c>
    </row>
    <row r="1679" spans="1:3">
      <c r="A1679" s="14">
        <v>42612</v>
      </c>
      <c r="B1679" s="25">
        <v>142.30000000000001</v>
      </c>
      <c r="C1679" s="25">
        <v>144.75</v>
      </c>
    </row>
    <row r="1680" spans="1:3">
      <c r="A1680" s="14">
        <v>42613</v>
      </c>
      <c r="B1680" s="24">
        <v>144.69999999999999</v>
      </c>
      <c r="C1680" s="24">
        <v>145.9</v>
      </c>
    </row>
    <row r="1681" spans="1:3">
      <c r="A1681" s="14">
        <v>42614</v>
      </c>
      <c r="B1681" s="25">
        <v>150.44999999999999</v>
      </c>
      <c r="C1681" s="25">
        <v>150.1</v>
      </c>
    </row>
    <row r="1682" spans="1:3">
      <c r="A1682" s="14">
        <v>42615</v>
      </c>
      <c r="B1682" s="24">
        <v>150</v>
      </c>
      <c r="C1682" s="24">
        <v>150.1</v>
      </c>
    </row>
    <row r="1683" spans="1:3">
      <c r="A1683" s="14">
        <v>42618</v>
      </c>
      <c r="B1683" s="25">
        <v>0</v>
      </c>
      <c r="C1683" s="25">
        <v>150.1</v>
      </c>
    </row>
    <row r="1684" spans="1:3">
      <c r="A1684" s="14">
        <v>42619</v>
      </c>
      <c r="B1684" s="24">
        <v>150.35</v>
      </c>
      <c r="C1684" s="24">
        <v>152.44999999999999</v>
      </c>
    </row>
    <row r="1685" spans="1:3">
      <c r="A1685" s="14">
        <v>42620</v>
      </c>
      <c r="B1685" s="25">
        <v>153.69999999999999</v>
      </c>
      <c r="C1685" s="25">
        <v>153.85</v>
      </c>
    </row>
    <row r="1686" spans="1:3">
      <c r="A1686" s="14">
        <v>42621</v>
      </c>
      <c r="B1686" s="24">
        <v>153</v>
      </c>
      <c r="C1686" s="24">
        <v>153.69999999999999</v>
      </c>
    </row>
    <row r="1687" spans="1:3">
      <c r="A1687" s="14">
        <v>42622</v>
      </c>
      <c r="B1687" s="25">
        <v>150</v>
      </c>
      <c r="C1687" s="25">
        <v>149.94999999999999</v>
      </c>
    </row>
    <row r="1688" spans="1:3">
      <c r="A1688" s="14">
        <v>42625</v>
      </c>
      <c r="B1688" s="24">
        <v>147.80000000000001</v>
      </c>
      <c r="C1688" s="24">
        <v>149.69999999999999</v>
      </c>
    </row>
    <row r="1689" spans="1:3">
      <c r="A1689" s="14">
        <v>42626</v>
      </c>
      <c r="B1689" s="25">
        <v>149.30000000000001</v>
      </c>
      <c r="C1689" s="25">
        <v>147.35</v>
      </c>
    </row>
    <row r="1690" spans="1:3">
      <c r="A1690" s="14">
        <v>42627</v>
      </c>
      <c r="B1690" s="24">
        <v>147</v>
      </c>
      <c r="C1690" s="24">
        <v>147.80000000000001</v>
      </c>
    </row>
    <row r="1691" spans="1:3">
      <c r="A1691" s="14">
        <v>42628</v>
      </c>
      <c r="B1691" s="25">
        <v>148.19999999999999</v>
      </c>
      <c r="C1691" s="25">
        <v>147.6</v>
      </c>
    </row>
    <row r="1692" spans="1:3">
      <c r="A1692" s="14">
        <v>42629</v>
      </c>
      <c r="B1692" s="24">
        <v>147.35</v>
      </c>
      <c r="C1692" s="24">
        <v>147.1</v>
      </c>
    </row>
    <row r="1693" spans="1:3">
      <c r="A1693" s="14">
        <v>42632</v>
      </c>
      <c r="B1693" s="25">
        <v>149.30000000000001</v>
      </c>
      <c r="C1693" s="25">
        <v>151.5</v>
      </c>
    </row>
    <row r="1694" spans="1:3">
      <c r="A1694" s="14">
        <v>42633</v>
      </c>
      <c r="B1694" s="24">
        <v>0</v>
      </c>
      <c r="C1694" s="24">
        <v>155.5</v>
      </c>
    </row>
    <row r="1695" spans="1:3">
      <c r="A1695" s="14">
        <v>42634</v>
      </c>
      <c r="B1695" s="25">
        <v>156</v>
      </c>
      <c r="C1695" s="25">
        <v>156.55000000000001</v>
      </c>
    </row>
    <row r="1696" spans="1:3">
      <c r="A1696" s="14">
        <v>42635</v>
      </c>
      <c r="B1696" s="24">
        <v>154.69999999999999</v>
      </c>
      <c r="C1696" s="24">
        <v>155.25</v>
      </c>
    </row>
    <row r="1697" spans="1:3">
      <c r="A1697" s="14">
        <v>42636</v>
      </c>
      <c r="B1697" s="25">
        <v>151.30000000000001</v>
      </c>
      <c r="C1697" s="25">
        <v>151.4</v>
      </c>
    </row>
    <row r="1698" spans="1:3">
      <c r="A1698" s="14">
        <v>42639</v>
      </c>
      <c r="B1698" s="24">
        <v>149</v>
      </c>
      <c r="C1698" s="24">
        <v>153.55000000000001</v>
      </c>
    </row>
    <row r="1699" spans="1:3">
      <c r="A1699" s="14">
        <v>42640</v>
      </c>
      <c r="B1699" s="25">
        <v>151.5</v>
      </c>
      <c r="C1699" s="25">
        <v>153.69999999999999</v>
      </c>
    </row>
    <row r="1700" spans="1:3">
      <c r="A1700" s="14">
        <v>42641</v>
      </c>
      <c r="B1700" s="24">
        <v>151</v>
      </c>
      <c r="C1700" s="24">
        <v>153.1</v>
      </c>
    </row>
    <row r="1701" spans="1:3">
      <c r="A1701" s="14">
        <v>42642</v>
      </c>
      <c r="B1701" s="25">
        <v>149.9</v>
      </c>
      <c r="C1701" s="25">
        <v>150.15</v>
      </c>
    </row>
    <row r="1702" spans="1:3">
      <c r="A1702" s="14">
        <v>42643</v>
      </c>
      <c r="B1702" s="24">
        <v>148.75</v>
      </c>
      <c r="C1702" s="24">
        <v>151.55000000000001</v>
      </c>
    </row>
    <row r="1703" spans="1:3">
      <c r="A1703" s="14">
        <v>42646</v>
      </c>
      <c r="B1703" s="25">
        <v>147.15</v>
      </c>
      <c r="C1703" s="25">
        <v>147.55000000000001</v>
      </c>
    </row>
    <row r="1704" spans="1:3">
      <c r="A1704" s="14">
        <v>42647</v>
      </c>
      <c r="B1704" s="24">
        <v>146.75</v>
      </c>
      <c r="C1704" s="24">
        <v>147.44999999999999</v>
      </c>
    </row>
    <row r="1705" spans="1:3">
      <c r="A1705" s="14">
        <v>42648</v>
      </c>
      <c r="B1705" s="25">
        <v>147.69999999999999</v>
      </c>
      <c r="C1705" s="25">
        <v>148.19999999999999</v>
      </c>
    </row>
    <row r="1706" spans="1:3">
      <c r="A1706" s="14">
        <v>42649</v>
      </c>
      <c r="B1706" s="24">
        <v>146.1</v>
      </c>
      <c r="C1706" s="24">
        <v>146.4</v>
      </c>
    </row>
    <row r="1707" spans="1:3">
      <c r="A1707" s="14">
        <v>42650</v>
      </c>
      <c r="B1707" s="25">
        <v>145.19999999999999</v>
      </c>
      <c r="C1707" s="25">
        <v>148</v>
      </c>
    </row>
    <row r="1708" spans="1:3">
      <c r="A1708" s="14">
        <v>42653</v>
      </c>
      <c r="B1708" s="24">
        <v>148.05000000000001</v>
      </c>
      <c r="C1708" s="24">
        <v>152.85</v>
      </c>
    </row>
    <row r="1709" spans="1:3">
      <c r="A1709" s="14">
        <v>42654</v>
      </c>
      <c r="B1709" s="25">
        <v>150.5</v>
      </c>
      <c r="C1709" s="25">
        <v>150.80000000000001</v>
      </c>
    </row>
    <row r="1710" spans="1:3">
      <c r="A1710" s="14">
        <v>42655</v>
      </c>
      <c r="B1710" s="24">
        <v>150.4</v>
      </c>
      <c r="C1710" s="24">
        <v>152.1</v>
      </c>
    </row>
    <row r="1711" spans="1:3">
      <c r="A1711" s="14">
        <v>42656</v>
      </c>
      <c r="B1711" s="25">
        <v>151.65</v>
      </c>
      <c r="C1711" s="25">
        <v>152.69999999999999</v>
      </c>
    </row>
    <row r="1712" spans="1:3">
      <c r="A1712" s="14">
        <v>42657</v>
      </c>
      <c r="B1712" s="24">
        <v>153.15</v>
      </c>
      <c r="C1712" s="24">
        <v>155.4</v>
      </c>
    </row>
    <row r="1713" spans="1:3">
      <c r="A1713" s="14">
        <v>42660</v>
      </c>
      <c r="B1713" s="25">
        <v>154.55000000000001</v>
      </c>
      <c r="C1713" s="25">
        <v>157.1</v>
      </c>
    </row>
    <row r="1714" spans="1:3">
      <c r="A1714" s="14">
        <v>42661</v>
      </c>
      <c r="B1714" s="24">
        <v>157.1</v>
      </c>
      <c r="C1714" s="24">
        <v>158.75</v>
      </c>
    </row>
    <row r="1715" spans="1:3">
      <c r="A1715" s="14">
        <v>42662</v>
      </c>
      <c r="B1715" s="25">
        <v>156.30000000000001</v>
      </c>
      <c r="C1715" s="25">
        <v>157.85</v>
      </c>
    </row>
    <row r="1716" spans="1:3">
      <c r="A1716" s="14">
        <v>42663</v>
      </c>
      <c r="B1716" s="24">
        <v>155.35</v>
      </c>
      <c r="C1716" s="24">
        <v>155.9</v>
      </c>
    </row>
    <row r="1717" spans="1:3">
      <c r="A1717" s="14">
        <v>42664</v>
      </c>
      <c r="B1717" s="25">
        <v>155.1</v>
      </c>
      <c r="C1717" s="25">
        <v>156.1</v>
      </c>
    </row>
    <row r="1718" spans="1:3">
      <c r="A1718" s="14">
        <v>42667</v>
      </c>
      <c r="B1718" s="24">
        <v>155.65</v>
      </c>
      <c r="C1718" s="24">
        <v>157.9</v>
      </c>
    </row>
    <row r="1719" spans="1:3">
      <c r="A1719" s="14">
        <v>42668</v>
      </c>
      <c r="B1719" s="25">
        <v>158.35</v>
      </c>
      <c r="C1719" s="25">
        <v>164.5</v>
      </c>
    </row>
    <row r="1720" spans="1:3">
      <c r="A1720" s="14">
        <v>42669</v>
      </c>
      <c r="B1720" s="24">
        <v>163.19999999999999</v>
      </c>
      <c r="C1720" s="24">
        <v>163.69999999999999</v>
      </c>
    </row>
    <row r="1721" spans="1:3">
      <c r="A1721" s="14">
        <v>42670</v>
      </c>
      <c r="B1721" s="25">
        <v>162.25</v>
      </c>
      <c r="C1721" s="25">
        <v>164.8</v>
      </c>
    </row>
    <row r="1722" spans="1:3">
      <c r="A1722" s="14">
        <v>42671</v>
      </c>
      <c r="B1722" s="24">
        <v>163.44999999999999</v>
      </c>
      <c r="C1722" s="24">
        <v>165.5</v>
      </c>
    </row>
    <row r="1723" spans="1:3">
      <c r="A1723" s="14">
        <v>42674</v>
      </c>
      <c r="B1723" s="25">
        <v>163</v>
      </c>
      <c r="C1723" s="25">
        <v>164.15</v>
      </c>
    </row>
    <row r="1724" spans="1:3">
      <c r="A1724" s="14">
        <v>42675</v>
      </c>
      <c r="B1724" s="24">
        <v>161.15</v>
      </c>
      <c r="C1724" s="24">
        <v>161.44999999999999</v>
      </c>
    </row>
    <row r="1725" spans="1:3">
      <c r="A1725" s="14">
        <v>42676</v>
      </c>
      <c r="B1725" s="25">
        <v>160.35</v>
      </c>
      <c r="C1725" s="25">
        <v>162.9</v>
      </c>
    </row>
    <row r="1726" spans="1:3">
      <c r="A1726" s="14">
        <v>42677</v>
      </c>
      <c r="B1726" s="24">
        <v>163</v>
      </c>
      <c r="C1726" s="24">
        <v>165.65</v>
      </c>
    </row>
    <row r="1727" spans="1:3">
      <c r="A1727" s="14">
        <v>42678</v>
      </c>
      <c r="B1727" s="25">
        <v>165.1</v>
      </c>
      <c r="C1727" s="25">
        <v>171.35</v>
      </c>
    </row>
    <row r="1728" spans="1:3">
      <c r="A1728" s="14">
        <v>42681</v>
      </c>
      <c r="B1728" s="24">
        <v>170</v>
      </c>
      <c r="C1728" s="24">
        <v>174.35</v>
      </c>
    </row>
    <row r="1729" spans="1:3">
      <c r="A1729" s="14">
        <v>42682</v>
      </c>
      <c r="B1729" s="25">
        <v>167.25</v>
      </c>
      <c r="C1729" s="25">
        <v>167.5</v>
      </c>
    </row>
    <row r="1730" spans="1:3">
      <c r="A1730" s="14">
        <v>42683</v>
      </c>
      <c r="B1730" s="24">
        <v>163.19999999999999</v>
      </c>
      <c r="C1730" s="24">
        <v>170.1</v>
      </c>
    </row>
    <row r="1731" spans="1:3">
      <c r="A1731" s="14">
        <v>42684</v>
      </c>
      <c r="B1731" s="25">
        <v>161.55000000000001</v>
      </c>
      <c r="C1731" s="25">
        <v>161.85</v>
      </c>
    </row>
    <row r="1732" spans="1:3">
      <c r="A1732" s="14">
        <v>42685</v>
      </c>
      <c r="B1732" s="24">
        <v>157.9</v>
      </c>
      <c r="C1732" s="24">
        <v>159.44999999999999</v>
      </c>
    </row>
    <row r="1733" spans="1:3">
      <c r="A1733" s="14">
        <v>42688</v>
      </c>
      <c r="B1733" s="25">
        <v>157.44999999999999</v>
      </c>
      <c r="C1733" s="25">
        <v>161.80000000000001</v>
      </c>
    </row>
    <row r="1734" spans="1:3">
      <c r="A1734" s="14">
        <v>42689</v>
      </c>
      <c r="B1734" s="24">
        <v>160.30000000000001</v>
      </c>
      <c r="C1734" s="24">
        <v>161.80000000000001</v>
      </c>
    </row>
    <row r="1735" spans="1:3">
      <c r="A1735" s="14">
        <v>42690</v>
      </c>
      <c r="B1735" s="25">
        <v>160.1</v>
      </c>
      <c r="C1735" s="25">
        <v>161.25</v>
      </c>
    </row>
    <row r="1736" spans="1:3">
      <c r="A1736" s="14">
        <v>42691</v>
      </c>
      <c r="B1736" s="24">
        <v>158.69999999999999</v>
      </c>
      <c r="C1736" s="24">
        <v>159.30000000000001</v>
      </c>
    </row>
    <row r="1737" spans="1:3">
      <c r="A1737" s="14">
        <v>42692</v>
      </c>
      <c r="B1737" s="25">
        <v>157.44999999999999</v>
      </c>
      <c r="C1737" s="25">
        <v>157.85</v>
      </c>
    </row>
    <row r="1738" spans="1:3">
      <c r="A1738" s="14">
        <v>42695</v>
      </c>
      <c r="B1738" s="24">
        <v>155</v>
      </c>
      <c r="C1738" s="24">
        <v>158.65</v>
      </c>
    </row>
    <row r="1739" spans="1:3">
      <c r="A1739" s="14">
        <v>42696</v>
      </c>
      <c r="B1739" s="25">
        <v>157.1</v>
      </c>
      <c r="C1739" s="25">
        <v>157.25</v>
      </c>
    </row>
    <row r="1740" spans="1:3">
      <c r="A1740" s="14">
        <v>42697</v>
      </c>
      <c r="B1740" s="24">
        <v>154.4</v>
      </c>
      <c r="C1740" s="24">
        <v>154.65</v>
      </c>
    </row>
    <row r="1741" spans="1:3">
      <c r="A1741" s="14">
        <v>42698</v>
      </c>
      <c r="B1741" s="25">
        <v>0</v>
      </c>
      <c r="C1741" s="25">
        <v>154.65</v>
      </c>
    </row>
    <row r="1742" spans="1:3">
      <c r="A1742" s="14">
        <v>42699</v>
      </c>
      <c r="B1742" s="24">
        <v>151.4</v>
      </c>
      <c r="C1742" s="24">
        <v>152.30000000000001</v>
      </c>
    </row>
    <row r="1743" spans="1:3">
      <c r="A1743" s="14">
        <v>42702</v>
      </c>
      <c r="B1743" s="25">
        <v>151.9</v>
      </c>
      <c r="C1743" s="25">
        <v>153</v>
      </c>
    </row>
    <row r="1744" spans="1:3">
      <c r="A1744" s="14">
        <v>42703</v>
      </c>
      <c r="B1744" s="24">
        <v>149.85</v>
      </c>
      <c r="C1744" s="24">
        <v>149.9</v>
      </c>
    </row>
    <row r="1745" spans="1:3">
      <c r="A1745" s="14">
        <v>42704</v>
      </c>
      <c r="B1745" s="25">
        <v>147.4</v>
      </c>
      <c r="C1745" s="25">
        <v>147.5</v>
      </c>
    </row>
    <row r="1746" spans="1:3">
      <c r="A1746" s="14">
        <v>42705</v>
      </c>
      <c r="B1746" s="24">
        <v>142.15</v>
      </c>
      <c r="C1746" s="24">
        <v>141.80000000000001</v>
      </c>
    </row>
    <row r="1747" spans="1:3">
      <c r="A1747" s="14">
        <v>42706</v>
      </c>
      <c r="B1747" s="25">
        <v>140.4</v>
      </c>
      <c r="C1747" s="25">
        <v>141.19999999999999</v>
      </c>
    </row>
    <row r="1748" spans="1:3">
      <c r="A1748" s="14">
        <v>42709</v>
      </c>
      <c r="B1748" s="24">
        <v>141.44999999999999</v>
      </c>
      <c r="C1748" s="24">
        <v>140.19999999999999</v>
      </c>
    </row>
    <row r="1749" spans="1:3">
      <c r="A1749" s="14">
        <v>42710</v>
      </c>
      <c r="B1749" s="25">
        <v>138.19999999999999</v>
      </c>
      <c r="C1749" s="25">
        <v>137.94999999999999</v>
      </c>
    </row>
    <row r="1750" spans="1:3">
      <c r="A1750" s="14">
        <v>42711</v>
      </c>
      <c r="B1750" s="24">
        <v>139.4</v>
      </c>
      <c r="C1750" s="24">
        <v>137.9</v>
      </c>
    </row>
    <row r="1751" spans="1:3">
      <c r="A1751" s="14">
        <v>42712</v>
      </c>
      <c r="B1751" s="25">
        <v>0</v>
      </c>
      <c r="C1751" s="25">
        <v>137.6</v>
      </c>
    </row>
    <row r="1752" spans="1:3">
      <c r="A1752" s="14">
        <v>42713</v>
      </c>
      <c r="B1752" s="24">
        <v>0</v>
      </c>
      <c r="C1752" s="24">
        <v>135.55000000000001</v>
      </c>
    </row>
    <row r="1753" spans="1:3">
      <c r="A1753" s="14">
        <v>42716</v>
      </c>
      <c r="B1753" s="25">
        <v>135.15</v>
      </c>
      <c r="C1753" s="25">
        <v>138.05000000000001</v>
      </c>
    </row>
    <row r="1754" spans="1:3">
      <c r="A1754" s="14">
        <v>42717</v>
      </c>
      <c r="B1754" s="24">
        <v>139.30000000000001</v>
      </c>
      <c r="C1754" s="24">
        <v>138.9</v>
      </c>
    </row>
    <row r="1755" spans="1:3">
      <c r="A1755" s="14">
        <v>42718</v>
      </c>
      <c r="B1755" s="25">
        <v>0</v>
      </c>
      <c r="C1755" s="25">
        <v>140.25</v>
      </c>
    </row>
    <row r="1756" spans="1:3">
      <c r="A1756" s="14">
        <v>42719</v>
      </c>
      <c r="B1756" s="24">
        <v>136.80000000000001</v>
      </c>
      <c r="C1756" s="24">
        <v>138.30000000000001</v>
      </c>
    </row>
    <row r="1757" spans="1:3">
      <c r="A1757" s="14">
        <v>42720</v>
      </c>
      <c r="B1757" s="25">
        <v>138.85</v>
      </c>
      <c r="C1757" s="25">
        <v>138.19999999999999</v>
      </c>
    </row>
    <row r="1758" spans="1:3">
      <c r="A1758" s="14">
        <v>42723</v>
      </c>
      <c r="B1758" s="24">
        <v>138.85</v>
      </c>
      <c r="C1758" s="24">
        <v>141.19999999999999</v>
      </c>
    </row>
    <row r="1759" spans="1:3">
      <c r="A1759" s="14">
        <v>42724</v>
      </c>
      <c r="B1759" s="25">
        <v>142.35</v>
      </c>
      <c r="C1759" s="25">
        <v>143.85</v>
      </c>
    </row>
    <row r="1760" spans="1:3">
      <c r="A1760" s="14">
        <v>42725</v>
      </c>
      <c r="B1760" s="24">
        <v>142.35</v>
      </c>
      <c r="C1760" s="24">
        <v>144.55000000000001</v>
      </c>
    </row>
    <row r="1761" spans="1:3">
      <c r="A1761" s="14">
        <v>42726</v>
      </c>
      <c r="B1761" s="25">
        <v>138.65</v>
      </c>
      <c r="C1761" s="25">
        <v>139.1</v>
      </c>
    </row>
    <row r="1762" spans="1:3">
      <c r="A1762" s="14">
        <v>42727</v>
      </c>
      <c r="B1762" s="24">
        <v>135.94999999999999</v>
      </c>
      <c r="C1762" s="24">
        <v>136.15</v>
      </c>
    </row>
    <row r="1763" spans="1:3">
      <c r="A1763" s="14">
        <v>42731</v>
      </c>
      <c r="B1763" s="25">
        <v>133.35</v>
      </c>
      <c r="C1763" s="25">
        <v>134.19999999999999</v>
      </c>
    </row>
    <row r="1764" spans="1:3">
      <c r="A1764" s="14">
        <v>42732</v>
      </c>
      <c r="B1764" s="24">
        <v>132.85</v>
      </c>
      <c r="C1764" s="24">
        <v>133.5</v>
      </c>
    </row>
    <row r="1765" spans="1:3">
      <c r="A1765" s="14">
        <v>42733</v>
      </c>
      <c r="B1765" s="25">
        <v>133.15</v>
      </c>
      <c r="C1765" s="25">
        <v>135.44999999999999</v>
      </c>
    </row>
    <row r="1766" spans="1:3">
      <c r="A1766" s="14">
        <v>42734</v>
      </c>
      <c r="B1766" s="24">
        <v>135.55000000000001</v>
      </c>
      <c r="C1766" s="24">
        <v>137.05000000000001</v>
      </c>
    </row>
    <row r="1767" spans="1:3">
      <c r="A1767" s="14">
        <v>42738</v>
      </c>
      <c r="B1767" s="25">
        <v>134.4</v>
      </c>
      <c r="C1767" s="25">
        <v>137.4</v>
      </c>
    </row>
    <row r="1768" spans="1:3">
      <c r="A1768" s="14">
        <v>42739</v>
      </c>
      <c r="B1768" s="24">
        <v>137.44999999999999</v>
      </c>
      <c r="C1768" s="24">
        <v>141.80000000000001</v>
      </c>
    </row>
    <row r="1769" spans="1:3">
      <c r="A1769" s="14">
        <v>42740</v>
      </c>
      <c r="B1769" s="25">
        <v>141.75</v>
      </c>
      <c r="C1769" s="25">
        <v>143.75</v>
      </c>
    </row>
    <row r="1770" spans="1:3">
      <c r="A1770" s="14">
        <v>42741</v>
      </c>
      <c r="B1770" s="24">
        <v>142.05000000000001</v>
      </c>
      <c r="C1770" s="24">
        <v>142.85</v>
      </c>
    </row>
    <row r="1771" spans="1:3">
      <c r="A1771" s="14">
        <v>42744</v>
      </c>
      <c r="B1771" s="25">
        <v>140.75</v>
      </c>
      <c r="C1771" s="25">
        <v>144.19999999999999</v>
      </c>
    </row>
    <row r="1772" spans="1:3">
      <c r="A1772" s="14">
        <v>42745</v>
      </c>
      <c r="B1772" s="24">
        <v>144.15</v>
      </c>
      <c r="C1772" s="24">
        <v>147.69999999999999</v>
      </c>
    </row>
    <row r="1773" spans="1:3">
      <c r="A1773" s="14">
        <v>42746</v>
      </c>
      <c r="B1773" s="25">
        <v>147.44999999999999</v>
      </c>
      <c r="C1773" s="25">
        <v>149</v>
      </c>
    </row>
    <row r="1774" spans="1:3">
      <c r="A1774" s="14">
        <v>42747</v>
      </c>
      <c r="B1774" s="24">
        <v>148.55000000000001</v>
      </c>
      <c r="C1774" s="24">
        <v>149.6</v>
      </c>
    </row>
    <row r="1775" spans="1:3">
      <c r="A1775" s="14">
        <v>42748</v>
      </c>
      <c r="B1775" s="25">
        <v>147.35</v>
      </c>
      <c r="C1775" s="25">
        <v>149.30000000000001</v>
      </c>
    </row>
    <row r="1776" spans="1:3">
      <c r="A1776" s="14">
        <v>42751</v>
      </c>
      <c r="B1776" s="24">
        <v>0</v>
      </c>
      <c r="C1776" s="24">
        <v>149.30000000000001</v>
      </c>
    </row>
    <row r="1777" spans="1:3">
      <c r="A1777" s="14">
        <v>42752</v>
      </c>
      <c r="B1777" s="25">
        <v>148.1</v>
      </c>
      <c r="C1777" s="25">
        <v>149.9</v>
      </c>
    </row>
    <row r="1778" spans="1:3">
      <c r="A1778" s="14">
        <v>42753</v>
      </c>
      <c r="B1778" s="24">
        <v>146.75</v>
      </c>
      <c r="C1778" s="24">
        <v>149.19999999999999</v>
      </c>
    </row>
    <row r="1779" spans="1:3">
      <c r="A1779" s="14">
        <v>42754</v>
      </c>
      <c r="B1779" s="25">
        <v>148.55000000000001</v>
      </c>
      <c r="C1779" s="25">
        <v>150.75</v>
      </c>
    </row>
    <row r="1780" spans="1:3">
      <c r="A1780" s="14">
        <v>42755</v>
      </c>
      <c r="B1780" s="24">
        <v>150.55000000000001</v>
      </c>
      <c r="C1780" s="24">
        <v>153.19999999999999</v>
      </c>
    </row>
    <row r="1781" spans="1:3">
      <c r="A1781" s="14">
        <v>42758</v>
      </c>
      <c r="B1781" s="25">
        <v>152.9</v>
      </c>
      <c r="C1781" s="25">
        <v>155.4</v>
      </c>
    </row>
    <row r="1782" spans="1:3">
      <c r="A1782" s="14">
        <v>42759</v>
      </c>
      <c r="B1782" s="24">
        <v>151.80000000000001</v>
      </c>
      <c r="C1782" s="24">
        <v>152.35</v>
      </c>
    </row>
    <row r="1783" spans="1:3">
      <c r="A1783" s="14">
        <v>42760</v>
      </c>
      <c r="B1783" s="25">
        <v>151.30000000000001</v>
      </c>
      <c r="C1783" s="25">
        <v>152.9</v>
      </c>
    </row>
    <row r="1784" spans="1:3">
      <c r="A1784" s="14">
        <v>42761</v>
      </c>
      <c r="B1784" s="24">
        <v>150.35</v>
      </c>
      <c r="C1784" s="24">
        <v>151.44999999999999</v>
      </c>
    </row>
    <row r="1785" spans="1:3">
      <c r="A1785" s="14">
        <v>42762</v>
      </c>
      <c r="B1785" s="25">
        <v>150.25</v>
      </c>
      <c r="C1785" s="25">
        <v>152.4</v>
      </c>
    </row>
    <row r="1786" spans="1:3">
      <c r="A1786" s="14">
        <v>42765</v>
      </c>
      <c r="B1786" s="24">
        <v>149.69999999999999</v>
      </c>
      <c r="C1786" s="24">
        <v>151.15</v>
      </c>
    </row>
    <row r="1787" spans="1:3">
      <c r="A1787" s="14">
        <v>42766</v>
      </c>
      <c r="B1787" s="25">
        <v>146.6</v>
      </c>
      <c r="C1787" s="25">
        <v>149.55000000000001</v>
      </c>
    </row>
    <row r="1788" spans="1:3">
      <c r="A1788" s="14">
        <v>42767</v>
      </c>
      <c r="B1788" s="24">
        <v>147.55000000000001</v>
      </c>
      <c r="C1788" s="24">
        <v>150.15</v>
      </c>
    </row>
    <row r="1789" spans="1:3">
      <c r="A1789" s="14">
        <v>42768</v>
      </c>
      <c r="B1789" s="25">
        <v>145.69999999999999</v>
      </c>
      <c r="C1789" s="25">
        <v>145.94999999999999</v>
      </c>
    </row>
    <row r="1790" spans="1:3">
      <c r="A1790" s="14">
        <v>42769</v>
      </c>
      <c r="B1790" s="24">
        <v>144.69999999999999</v>
      </c>
      <c r="C1790" s="24">
        <v>146.25</v>
      </c>
    </row>
    <row r="1791" spans="1:3">
      <c r="A1791" s="14">
        <v>42772</v>
      </c>
      <c r="B1791" s="25">
        <v>143.94999999999999</v>
      </c>
      <c r="C1791" s="25">
        <v>144.19999999999999</v>
      </c>
    </row>
    <row r="1792" spans="1:3">
      <c r="A1792" s="14">
        <v>42773</v>
      </c>
      <c r="B1792" s="24">
        <v>142.55000000000001</v>
      </c>
      <c r="C1792" s="24">
        <v>142.6</v>
      </c>
    </row>
    <row r="1793" spans="1:3">
      <c r="A1793" s="14">
        <v>42774</v>
      </c>
      <c r="B1793" s="25">
        <v>141.69999999999999</v>
      </c>
      <c r="C1793" s="25">
        <v>142.9</v>
      </c>
    </row>
    <row r="1794" spans="1:3">
      <c r="A1794" s="14">
        <v>42775</v>
      </c>
      <c r="B1794" s="24">
        <v>142.85</v>
      </c>
      <c r="C1794" s="24">
        <v>145.19999999999999</v>
      </c>
    </row>
    <row r="1795" spans="1:3">
      <c r="A1795" s="14">
        <v>42776</v>
      </c>
      <c r="B1795" s="25">
        <v>144.80000000000001</v>
      </c>
      <c r="C1795" s="25">
        <v>145.75</v>
      </c>
    </row>
    <row r="1796" spans="1:3">
      <c r="A1796" s="14">
        <v>42779</v>
      </c>
      <c r="B1796" s="24">
        <v>143.5</v>
      </c>
      <c r="C1796" s="24">
        <v>144.25</v>
      </c>
    </row>
    <row r="1797" spans="1:3">
      <c r="A1797" s="14">
        <v>42780</v>
      </c>
      <c r="B1797" s="25">
        <v>142.5</v>
      </c>
      <c r="C1797" s="25">
        <v>143.65</v>
      </c>
    </row>
    <row r="1798" spans="1:3">
      <c r="A1798" s="14">
        <v>42781</v>
      </c>
      <c r="B1798" s="24">
        <v>142.1</v>
      </c>
      <c r="C1798" s="24">
        <v>144.5</v>
      </c>
    </row>
    <row r="1799" spans="1:3">
      <c r="A1799" s="14">
        <v>42782</v>
      </c>
      <c r="B1799" s="25">
        <v>145</v>
      </c>
      <c r="C1799" s="25">
        <v>146.30000000000001</v>
      </c>
    </row>
    <row r="1800" spans="1:3">
      <c r="A1800" s="14">
        <v>42783</v>
      </c>
      <c r="B1800" s="24">
        <v>145.19999999999999</v>
      </c>
      <c r="C1800" s="24">
        <v>147.80000000000001</v>
      </c>
    </row>
    <row r="1801" spans="1:3">
      <c r="A1801" s="14">
        <v>42786</v>
      </c>
      <c r="B1801" s="25">
        <v>0</v>
      </c>
      <c r="C1801" s="25">
        <v>147.80000000000001</v>
      </c>
    </row>
    <row r="1802" spans="1:3">
      <c r="A1802" s="14">
        <v>42787</v>
      </c>
      <c r="B1802" s="24">
        <v>148.35</v>
      </c>
      <c r="C1802" s="24">
        <v>150.35</v>
      </c>
    </row>
    <row r="1803" spans="1:3">
      <c r="A1803" s="14">
        <v>42788</v>
      </c>
      <c r="B1803" s="25">
        <v>148.94999999999999</v>
      </c>
      <c r="C1803" s="25">
        <v>149.19999999999999</v>
      </c>
    </row>
    <row r="1804" spans="1:3">
      <c r="A1804" s="14">
        <v>42789</v>
      </c>
      <c r="B1804" s="24">
        <v>148.44999999999999</v>
      </c>
      <c r="C1804" s="24">
        <v>147.85</v>
      </c>
    </row>
    <row r="1805" spans="1:3">
      <c r="A1805" s="14">
        <v>42790</v>
      </c>
      <c r="B1805" s="25">
        <v>143.65</v>
      </c>
      <c r="C1805" s="25">
        <v>144.4</v>
      </c>
    </row>
    <row r="1806" spans="1:3">
      <c r="A1806" s="14">
        <v>42793</v>
      </c>
      <c r="B1806" s="24">
        <v>140</v>
      </c>
      <c r="C1806" s="24">
        <v>139.1</v>
      </c>
    </row>
    <row r="1807" spans="1:3">
      <c r="A1807" s="14">
        <v>42794</v>
      </c>
      <c r="B1807" s="25">
        <v>138.6</v>
      </c>
      <c r="C1807" s="25">
        <v>140.69999999999999</v>
      </c>
    </row>
    <row r="1808" spans="1:3">
      <c r="A1808" s="14">
        <v>42795</v>
      </c>
      <c r="B1808" s="24">
        <v>140.1</v>
      </c>
      <c r="C1808" s="24">
        <v>142.65</v>
      </c>
    </row>
    <row r="1809" spans="1:3">
      <c r="A1809" s="14">
        <v>42796</v>
      </c>
      <c r="B1809" s="25">
        <v>143.25</v>
      </c>
      <c r="C1809" s="25">
        <v>142.19999999999999</v>
      </c>
    </row>
    <row r="1810" spans="1:3">
      <c r="A1810" s="14">
        <v>42797</v>
      </c>
      <c r="B1810" s="24">
        <v>140.80000000000001</v>
      </c>
      <c r="C1810" s="24">
        <v>141.25</v>
      </c>
    </row>
    <row r="1811" spans="1:3">
      <c r="A1811" s="14">
        <v>42800</v>
      </c>
      <c r="B1811" s="25">
        <v>139.6</v>
      </c>
      <c r="C1811" s="25">
        <v>139.65</v>
      </c>
    </row>
    <row r="1812" spans="1:3">
      <c r="A1812" s="14">
        <v>42801</v>
      </c>
      <c r="B1812" s="24">
        <v>138.9</v>
      </c>
      <c r="C1812" s="24">
        <v>139</v>
      </c>
    </row>
    <row r="1813" spans="1:3">
      <c r="A1813" s="14">
        <v>42802</v>
      </c>
      <c r="B1813" s="25">
        <v>0</v>
      </c>
      <c r="C1813" s="25">
        <v>140.05000000000001</v>
      </c>
    </row>
    <row r="1814" spans="1:3">
      <c r="A1814" s="14">
        <v>42803</v>
      </c>
      <c r="B1814" s="24">
        <v>139</v>
      </c>
      <c r="C1814" s="24">
        <v>138.75</v>
      </c>
    </row>
    <row r="1815" spans="1:3">
      <c r="A1815" s="14">
        <v>42804</v>
      </c>
      <c r="B1815" s="25">
        <v>0</v>
      </c>
      <c r="C1815" s="25">
        <v>139.65</v>
      </c>
    </row>
    <row r="1816" spans="1:3">
      <c r="A1816" s="14">
        <v>42807</v>
      </c>
      <c r="B1816" s="24">
        <v>137.4</v>
      </c>
      <c r="C1816" s="24">
        <v>140.5</v>
      </c>
    </row>
    <row r="1817" spans="1:3">
      <c r="A1817" s="14">
        <v>42808</v>
      </c>
      <c r="B1817" s="25">
        <v>139.9</v>
      </c>
      <c r="C1817" s="25">
        <v>139.6</v>
      </c>
    </row>
    <row r="1818" spans="1:3">
      <c r="A1818" s="14">
        <v>42809</v>
      </c>
      <c r="B1818" s="24">
        <v>0</v>
      </c>
      <c r="C1818" s="24">
        <v>139.19999999999999</v>
      </c>
    </row>
    <row r="1819" spans="1:3">
      <c r="A1819" s="14">
        <v>42810</v>
      </c>
      <c r="B1819" s="25">
        <v>138.55000000000001</v>
      </c>
      <c r="C1819" s="25">
        <v>139.75</v>
      </c>
    </row>
    <row r="1820" spans="1:3">
      <c r="A1820" s="14">
        <v>42811</v>
      </c>
      <c r="B1820" s="24">
        <v>140.44999999999999</v>
      </c>
      <c r="C1820" s="24">
        <v>140.80000000000001</v>
      </c>
    </row>
    <row r="1821" spans="1:3">
      <c r="A1821" s="14">
        <v>42814</v>
      </c>
      <c r="B1821" s="25">
        <v>0</v>
      </c>
      <c r="C1821" s="25">
        <v>144</v>
      </c>
    </row>
    <row r="1822" spans="1:3">
      <c r="A1822" s="14">
        <v>42815</v>
      </c>
      <c r="B1822" s="24">
        <v>144.69999999999999</v>
      </c>
      <c r="C1822" s="24">
        <v>143.5</v>
      </c>
    </row>
    <row r="1823" spans="1:3">
      <c r="A1823" s="14">
        <v>42816</v>
      </c>
      <c r="B1823" s="25">
        <v>141.15</v>
      </c>
      <c r="C1823" s="25">
        <v>141.69999999999999</v>
      </c>
    </row>
    <row r="1824" spans="1:3">
      <c r="A1824" s="14">
        <v>42817</v>
      </c>
      <c r="B1824" s="24">
        <v>139.55000000000001</v>
      </c>
      <c r="C1824" s="24">
        <v>140.5</v>
      </c>
    </row>
    <row r="1825" spans="1:3">
      <c r="A1825" s="14">
        <v>42818</v>
      </c>
      <c r="B1825" s="25">
        <v>137.1</v>
      </c>
      <c r="C1825" s="25">
        <v>137.6</v>
      </c>
    </row>
    <row r="1826" spans="1:3">
      <c r="A1826" s="14">
        <v>42821</v>
      </c>
      <c r="B1826" s="24">
        <v>136.19999999999999</v>
      </c>
      <c r="C1826" s="24">
        <v>139.19999999999999</v>
      </c>
    </row>
    <row r="1827" spans="1:3">
      <c r="A1827" s="14">
        <v>42822</v>
      </c>
      <c r="B1827" s="25">
        <v>137.75</v>
      </c>
      <c r="C1827" s="25">
        <v>138.85</v>
      </c>
    </row>
    <row r="1828" spans="1:3">
      <c r="A1828" s="14">
        <v>42823</v>
      </c>
      <c r="B1828" s="24">
        <v>137.55000000000001</v>
      </c>
      <c r="C1828" s="24">
        <v>139.30000000000001</v>
      </c>
    </row>
    <row r="1829" spans="1:3">
      <c r="A1829" s="14">
        <v>42824</v>
      </c>
      <c r="B1829" s="25">
        <v>138.6</v>
      </c>
      <c r="C1829" s="25">
        <v>139.30000000000001</v>
      </c>
    </row>
    <row r="1830" spans="1:3">
      <c r="A1830" s="14">
        <v>42825</v>
      </c>
      <c r="B1830" s="24">
        <v>137.9</v>
      </c>
      <c r="C1830" s="24">
        <v>139.30000000000001</v>
      </c>
    </row>
    <row r="1831" spans="1:3">
      <c r="A1831" s="14">
        <v>42828</v>
      </c>
      <c r="B1831" s="25">
        <v>137.5</v>
      </c>
      <c r="C1831" s="25">
        <v>137.85</v>
      </c>
    </row>
    <row r="1832" spans="1:3">
      <c r="A1832" s="14">
        <v>42829</v>
      </c>
      <c r="B1832" s="24">
        <v>136.25</v>
      </c>
      <c r="C1832" s="24">
        <v>137.75</v>
      </c>
    </row>
    <row r="1833" spans="1:3">
      <c r="A1833" s="14">
        <v>42830</v>
      </c>
      <c r="B1833" s="25">
        <v>137</v>
      </c>
      <c r="C1833" s="25">
        <v>137.30000000000001</v>
      </c>
    </row>
    <row r="1834" spans="1:3">
      <c r="A1834" s="14">
        <v>42831</v>
      </c>
      <c r="B1834" s="24">
        <v>137.1</v>
      </c>
      <c r="C1834" s="24">
        <v>137.75</v>
      </c>
    </row>
    <row r="1835" spans="1:3">
      <c r="A1835" s="14">
        <v>42832</v>
      </c>
      <c r="B1835" s="25">
        <v>136.6</v>
      </c>
      <c r="C1835" s="25">
        <v>140.05000000000001</v>
      </c>
    </row>
    <row r="1836" spans="1:3">
      <c r="A1836" s="14">
        <v>42835</v>
      </c>
      <c r="B1836" s="24">
        <v>139.05000000000001</v>
      </c>
      <c r="C1836" s="24">
        <v>139.85</v>
      </c>
    </row>
    <row r="1837" spans="1:3">
      <c r="A1837" s="14">
        <v>42836</v>
      </c>
      <c r="B1837" s="25">
        <v>139.35</v>
      </c>
      <c r="C1837" s="25">
        <v>140.19999999999999</v>
      </c>
    </row>
    <row r="1838" spans="1:3">
      <c r="A1838" s="14">
        <v>42837</v>
      </c>
      <c r="B1838" s="24">
        <v>137.6</v>
      </c>
      <c r="C1838" s="24">
        <v>138.30000000000001</v>
      </c>
    </row>
    <row r="1839" spans="1:3">
      <c r="A1839" s="14">
        <v>42838</v>
      </c>
      <c r="B1839" s="25">
        <v>138.5</v>
      </c>
      <c r="C1839" s="25">
        <v>138.9</v>
      </c>
    </row>
    <row r="1840" spans="1:3">
      <c r="A1840" s="14">
        <v>42842</v>
      </c>
      <c r="B1840" s="24">
        <v>138.55000000000001</v>
      </c>
      <c r="C1840" s="24">
        <v>141.1</v>
      </c>
    </row>
    <row r="1841" spans="1:3">
      <c r="A1841" s="14">
        <v>42843</v>
      </c>
      <c r="B1841" s="25">
        <v>139.75</v>
      </c>
      <c r="C1841" s="25">
        <v>142.9</v>
      </c>
    </row>
    <row r="1842" spans="1:3">
      <c r="A1842" s="14">
        <v>42844</v>
      </c>
      <c r="B1842" s="24">
        <v>137.25</v>
      </c>
      <c r="C1842" s="24">
        <v>138</v>
      </c>
    </row>
    <row r="1843" spans="1:3">
      <c r="A1843" s="14">
        <v>42845</v>
      </c>
      <c r="B1843" s="25">
        <v>131.35</v>
      </c>
      <c r="C1843" s="25">
        <v>131.65</v>
      </c>
    </row>
    <row r="1844" spans="1:3">
      <c r="A1844" s="14">
        <v>42846</v>
      </c>
      <c r="B1844" s="24">
        <v>128.80000000000001</v>
      </c>
      <c r="C1844" s="24">
        <v>129.85</v>
      </c>
    </row>
    <row r="1845" spans="1:3">
      <c r="A1845" s="14">
        <v>42849</v>
      </c>
      <c r="B1845" s="25">
        <v>129.1</v>
      </c>
      <c r="C1845" s="25">
        <v>129.5</v>
      </c>
    </row>
    <row r="1846" spans="1:3">
      <c r="A1846" s="14">
        <v>42850</v>
      </c>
      <c r="B1846" s="24">
        <v>129.44999999999999</v>
      </c>
      <c r="C1846" s="24">
        <v>129.9</v>
      </c>
    </row>
    <row r="1847" spans="1:3">
      <c r="A1847" s="14">
        <v>42851</v>
      </c>
      <c r="B1847" s="25">
        <v>129</v>
      </c>
      <c r="C1847" s="25">
        <v>128.15</v>
      </c>
    </row>
    <row r="1848" spans="1:3">
      <c r="A1848" s="14">
        <v>42852</v>
      </c>
      <c r="B1848" s="24">
        <v>127.65</v>
      </c>
      <c r="C1848" s="24">
        <v>127.1</v>
      </c>
    </row>
    <row r="1849" spans="1:3">
      <c r="A1849" s="14">
        <v>42853</v>
      </c>
      <c r="B1849" s="25">
        <v>126.7</v>
      </c>
      <c r="C1849" s="25">
        <v>131.05000000000001</v>
      </c>
    </row>
    <row r="1850" spans="1:3">
      <c r="A1850" s="14">
        <v>42856</v>
      </c>
      <c r="B1850" s="24">
        <v>134.65</v>
      </c>
      <c r="C1850" s="24">
        <v>133.6</v>
      </c>
    </row>
    <row r="1851" spans="1:3">
      <c r="A1851" s="14">
        <v>42857</v>
      </c>
      <c r="B1851" s="25">
        <v>132.75</v>
      </c>
      <c r="C1851" s="25">
        <v>134</v>
      </c>
    </row>
    <row r="1852" spans="1:3">
      <c r="A1852" s="14">
        <v>42858</v>
      </c>
      <c r="B1852" s="24">
        <v>134</v>
      </c>
      <c r="C1852" s="24">
        <v>135</v>
      </c>
    </row>
    <row r="1853" spans="1:3">
      <c r="A1853" s="14">
        <v>42859</v>
      </c>
      <c r="B1853" s="25">
        <v>0</v>
      </c>
      <c r="C1853" s="25">
        <v>132.69999999999999</v>
      </c>
    </row>
    <row r="1854" spans="1:3">
      <c r="A1854" s="14">
        <v>42860</v>
      </c>
      <c r="B1854" s="24">
        <v>132.4</v>
      </c>
      <c r="C1854" s="24">
        <v>133.1</v>
      </c>
    </row>
    <row r="1855" spans="1:3">
      <c r="A1855" s="14">
        <v>42863</v>
      </c>
      <c r="B1855" s="25">
        <v>0</v>
      </c>
      <c r="C1855" s="25">
        <v>134.55000000000001</v>
      </c>
    </row>
    <row r="1856" spans="1:3">
      <c r="A1856" s="14">
        <v>42864</v>
      </c>
      <c r="B1856" s="24">
        <v>0</v>
      </c>
      <c r="C1856" s="24">
        <v>132.80000000000001</v>
      </c>
    </row>
    <row r="1857" spans="1:3">
      <c r="A1857" s="14">
        <v>42865</v>
      </c>
      <c r="B1857" s="25">
        <v>0</v>
      </c>
      <c r="C1857" s="25">
        <v>134.30000000000001</v>
      </c>
    </row>
    <row r="1858" spans="1:3">
      <c r="A1858" s="14">
        <v>42866</v>
      </c>
      <c r="B1858" s="24">
        <v>0</v>
      </c>
      <c r="C1858" s="24">
        <v>131.9</v>
      </c>
    </row>
    <row r="1859" spans="1:3">
      <c r="A1859" s="14">
        <v>42867</v>
      </c>
      <c r="B1859" s="25">
        <v>0</v>
      </c>
      <c r="C1859" s="25">
        <v>132.6</v>
      </c>
    </row>
    <row r="1860" spans="1:3">
      <c r="A1860" s="14">
        <v>42870</v>
      </c>
      <c r="B1860" s="24">
        <v>0</v>
      </c>
      <c r="C1860" s="24">
        <v>131.25</v>
      </c>
    </row>
    <row r="1861" spans="1:3">
      <c r="A1861" s="14">
        <v>42871</v>
      </c>
      <c r="B1861" s="25">
        <v>0</v>
      </c>
      <c r="C1861" s="25">
        <v>129.25</v>
      </c>
    </row>
    <row r="1862" spans="1:3">
      <c r="A1862" s="14">
        <v>42872</v>
      </c>
      <c r="B1862" s="24">
        <v>0</v>
      </c>
      <c r="C1862" s="24">
        <v>132.19999999999999</v>
      </c>
    </row>
    <row r="1863" spans="1:3">
      <c r="A1863" s="14">
        <v>42873</v>
      </c>
      <c r="B1863" s="25">
        <v>127.7</v>
      </c>
      <c r="C1863" s="25">
        <v>127.4</v>
      </c>
    </row>
    <row r="1864" spans="1:3">
      <c r="A1864" s="14">
        <v>42874</v>
      </c>
      <c r="B1864" s="24">
        <v>128.94999999999999</v>
      </c>
      <c r="C1864" s="24">
        <v>132.1</v>
      </c>
    </row>
    <row r="1865" spans="1:3">
      <c r="A1865" s="14">
        <v>42877</v>
      </c>
      <c r="B1865" s="25">
        <v>129.55000000000001</v>
      </c>
      <c r="C1865" s="25">
        <v>130.6</v>
      </c>
    </row>
    <row r="1866" spans="1:3">
      <c r="A1866" s="14">
        <v>42878</v>
      </c>
      <c r="B1866" s="24">
        <v>129.9</v>
      </c>
      <c r="C1866" s="24">
        <v>130.25</v>
      </c>
    </row>
    <row r="1867" spans="1:3">
      <c r="A1867" s="14">
        <v>42879</v>
      </c>
      <c r="B1867" s="25">
        <v>128</v>
      </c>
      <c r="C1867" s="25">
        <v>128.55000000000001</v>
      </c>
    </row>
    <row r="1868" spans="1:3">
      <c r="A1868" s="14">
        <v>42880</v>
      </c>
      <c r="B1868" s="24">
        <v>127.15</v>
      </c>
      <c r="C1868" s="24">
        <v>129.30000000000001</v>
      </c>
    </row>
    <row r="1869" spans="1:3">
      <c r="A1869" s="14">
        <v>42881</v>
      </c>
      <c r="B1869" s="25">
        <v>128.6</v>
      </c>
      <c r="C1869" s="25">
        <v>131.19999999999999</v>
      </c>
    </row>
    <row r="1870" spans="1:3">
      <c r="A1870" s="14">
        <v>42884</v>
      </c>
      <c r="B1870" s="24">
        <v>0</v>
      </c>
      <c r="C1870" s="24">
        <v>131.19999999999999</v>
      </c>
    </row>
    <row r="1871" spans="1:3">
      <c r="A1871" s="14">
        <v>42885</v>
      </c>
      <c r="B1871" s="25">
        <v>130.5</v>
      </c>
      <c r="C1871" s="25">
        <v>132.1</v>
      </c>
    </row>
    <row r="1872" spans="1:3">
      <c r="A1872" s="14">
        <v>42886</v>
      </c>
      <c r="B1872" s="24">
        <v>128.30000000000001</v>
      </c>
      <c r="C1872" s="24">
        <v>129.35</v>
      </c>
    </row>
    <row r="1873" spans="1:3">
      <c r="A1873" s="14">
        <v>42887</v>
      </c>
      <c r="B1873" s="25">
        <v>127.5</v>
      </c>
      <c r="C1873" s="25">
        <v>127.7</v>
      </c>
    </row>
    <row r="1874" spans="1:3">
      <c r="A1874" s="14">
        <v>42888</v>
      </c>
      <c r="B1874" s="24">
        <v>125.25</v>
      </c>
      <c r="C1874" s="24">
        <v>125.55</v>
      </c>
    </row>
    <row r="1875" spans="1:3">
      <c r="A1875" s="14">
        <v>42891</v>
      </c>
      <c r="B1875" s="25">
        <v>125.7</v>
      </c>
      <c r="C1875" s="25">
        <v>128.44999999999999</v>
      </c>
    </row>
    <row r="1876" spans="1:3">
      <c r="A1876" s="14">
        <v>42892</v>
      </c>
      <c r="B1876" s="24">
        <v>125.45</v>
      </c>
      <c r="C1876" s="24">
        <v>125.55</v>
      </c>
    </row>
    <row r="1877" spans="1:3">
      <c r="A1877" s="14">
        <v>42893</v>
      </c>
      <c r="B1877" s="25">
        <v>125.45</v>
      </c>
      <c r="C1877" s="25">
        <v>125.75</v>
      </c>
    </row>
    <row r="1878" spans="1:3">
      <c r="A1878" s="14">
        <v>42894</v>
      </c>
      <c r="B1878" s="24">
        <v>125.35</v>
      </c>
      <c r="C1878" s="24">
        <v>126.35</v>
      </c>
    </row>
    <row r="1879" spans="1:3">
      <c r="A1879" s="14">
        <v>42895</v>
      </c>
      <c r="B1879" s="25">
        <v>126.4</v>
      </c>
      <c r="C1879" s="25">
        <v>126.55</v>
      </c>
    </row>
    <row r="1880" spans="1:3">
      <c r="A1880" s="14">
        <v>42898</v>
      </c>
      <c r="B1880" s="24">
        <v>126.75</v>
      </c>
      <c r="C1880" s="24">
        <v>127.6</v>
      </c>
    </row>
    <row r="1881" spans="1:3">
      <c r="A1881" s="14">
        <v>42899</v>
      </c>
      <c r="B1881" s="25">
        <v>125.75</v>
      </c>
      <c r="C1881" s="25">
        <v>126.4</v>
      </c>
    </row>
    <row r="1882" spans="1:3">
      <c r="A1882" s="14">
        <v>42900</v>
      </c>
      <c r="B1882" s="24">
        <v>125.3</v>
      </c>
      <c r="C1882" s="24">
        <v>125.55</v>
      </c>
    </row>
    <row r="1883" spans="1:3">
      <c r="A1883" s="14">
        <v>42901</v>
      </c>
      <c r="B1883" s="25">
        <v>125.6</v>
      </c>
      <c r="C1883" s="25">
        <v>125.8</v>
      </c>
    </row>
    <row r="1884" spans="1:3">
      <c r="A1884" s="14">
        <v>42902</v>
      </c>
      <c r="B1884" s="24">
        <v>123</v>
      </c>
      <c r="C1884" s="24">
        <v>123.55</v>
      </c>
    </row>
    <row r="1885" spans="1:3">
      <c r="A1885" s="14">
        <v>42905</v>
      </c>
      <c r="B1885" s="25">
        <v>123.2</v>
      </c>
      <c r="C1885" s="25">
        <v>124.2</v>
      </c>
    </row>
    <row r="1886" spans="1:3">
      <c r="A1886" s="14">
        <v>42906</v>
      </c>
      <c r="B1886" s="24">
        <v>120.8</v>
      </c>
      <c r="C1886" s="24">
        <v>121.95</v>
      </c>
    </row>
    <row r="1887" spans="1:3">
      <c r="A1887" s="14">
        <v>42907</v>
      </c>
      <c r="B1887" s="25">
        <v>119.15</v>
      </c>
      <c r="C1887" s="25">
        <v>119.35</v>
      </c>
    </row>
    <row r="1888" spans="1:3">
      <c r="A1888" s="14">
        <v>42908</v>
      </c>
      <c r="B1888" s="24">
        <v>113</v>
      </c>
      <c r="C1888" s="24">
        <v>113.45</v>
      </c>
    </row>
    <row r="1889" spans="1:3">
      <c r="A1889" s="14">
        <v>42909</v>
      </c>
      <c r="B1889" s="25">
        <v>115.1</v>
      </c>
      <c r="C1889" s="25">
        <v>119.95</v>
      </c>
    </row>
    <row r="1890" spans="1:3">
      <c r="A1890" s="14">
        <v>42912</v>
      </c>
      <c r="B1890" s="24">
        <v>121.6</v>
      </c>
      <c r="C1890" s="24">
        <v>121.95</v>
      </c>
    </row>
    <row r="1891" spans="1:3">
      <c r="A1891" s="14">
        <v>42913</v>
      </c>
      <c r="B1891" s="25">
        <v>122.5</v>
      </c>
      <c r="C1891" s="25">
        <v>122.75</v>
      </c>
    </row>
    <row r="1892" spans="1:3">
      <c r="A1892" s="14">
        <v>42914</v>
      </c>
      <c r="B1892" s="24">
        <v>121.9</v>
      </c>
      <c r="C1892" s="24">
        <v>122.75</v>
      </c>
    </row>
    <row r="1893" spans="1:3">
      <c r="A1893" s="14">
        <v>42915</v>
      </c>
      <c r="B1893" s="25">
        <v>123.3</v>
      </c>
      <c r="C1893" s="25">
        <v>124.75</v>
      </c>
    </row>
    <row r="1894" spans="1:3">
      <c r="A1894" s="14">
        <v>42916</v>
      </c>
      <c r="B1894" s="24">
        <v>124</v>
      </c>
      <c r="C1894" s="24">
        <v>124.05</v>
      </c>
    </row>
    <row r="1895" spans="1:3">
      <c r="A1895" s="14">
        <v>42919</v>
      </c>
      <c r="B1895" s="25">
        <v>0</v>
      </c>
      <c r="C1895" s="25">
        <v>125.85</v>
      </c>
    </row>
    <row r="1896" spans="1:3">
      <c r="A1896" s="14">
        <v>42920</v>
      </c>
      <c r="B1896" s="24">
        <v>0</v>
      </c>
      <c r="C1896" s="24">
        <v>125.85</v>
      </c>
    </row>
    <row r="1897" spans="1:3">
      <c r="A1897" s="14">
        <v>42921</v>
      </c>
      <c r="B1897" s="25">
        <v>126.25</v>
      </c>
      <c r="C1897" s="25">
        <v>127.65</v>
      </c>
    </row>
    <row r="1898" spans="1:3">
      <c r="A1898" s="14">
        <v>42922</v>
      </c>
      <c r="B1898" s="24">
        <v>0</v>
      </c>
      <c r="C1898" s="24">
        <v>126.75</v>
      </c>
    </row>
    <row r="1899" spans="1:3">
      <c r="A1899" s="14">
        <v>42923</v>
      </c>
      <c r="B1899" s="25">
        <v>0</v>
      </c>
      <c r="C1899" s="25">
        <v>126.55</v>
      </c>
    </row>
    <row r="1900" spans="1:3">
      <c r="A1900" s="14">
        <v>42926</v>
      </c>
      <c r="B1900" s="24">
        <v>126</v>
      </c>
      <c r="C1900" s="24">
        <v>126.25</v>
      </c>
    </row>
    <row r="1901" spans="1:3">
      <c r="A1901" s="14">
        <v>42927</v>
      </c>
      <c r="B1901" s="25">
        <v>125</v>
      </c>
      <c r="C1901" s="25">
        <v>124.45</v>
      </c>
    </row>
    <row r="1902" spans="1:3">
      <c r="A1902" s="14">
        <v>42928</v>
      </c>
      <c r="B1902" s="24">
        <v>125</v>
      </c>
      <c r="C1902" s="24">
        <v>126</v>
      </c>
    </row>
    <row r="1903" spans="1:3">
      <c r="A1903" s="14">
        <v>42929</v>
      </c>
      <c r="B1903" s="25">
        <v>0</v>
      </c>
      <c r="C1903" s="25">
        <v>129.35</v>
      </c>
    </row>
    <row r="1904" spans="1:3">
      <c r="A1904" s="14">
        <v>42930</v>
      </c>
      <c r="B1904" s="24">
        <v>0</v>
      </c>
      <c r="C1904" s="24">
        <v>131.69999999999999</v>
      </c>
    </row>
    <row r="1905" spans="1:3">
      <c r="A1905" s="14">
        <v>42933</v>
      </c>
      <c r="B1905" s="25">
        <v>0</v>
      </c>
      <c r="C1905" s="25">
        <v>131.55000000000001</v>
      </c>
    </row>
    <row r="1906" spans="1:3">
      <c r="A1906" s="14">
        <v>42934</v>
      </c>
      <c r="B1906" s="24">
        <v>0</v>
      </c>
      <c r="C1906" s="24">
        <v>131.9</v>
      </c>
    </row>
    <row r="1907" spans="1:3">
      <c r="A1907" s="14">
        <v>42935</v>
      </c>
      <c r="B1907" s="25">
        <v>132</v>
      </c>
      <c r="C1907" s="25">
        <v>131.19999999999999</v>
      </c>
    </row>
    <row r="1908" spans="1:3">
      <c r="A1908" s="14">
        <v>42936</v>
      </c>
      <c r="B1908" s="24">
        <v>134.15</v>
      </c>
      <c r="C1908" s="24">
        <v>135</v>
      </c>
    </row>
    <row r="1909" spans="1:3">
      <c r="A1909" s="14">
        <v>42937</v>
      </c>
      <c r="B1909" s="25">
        <v>134.80000000000001</v>
      </c>
      <c r="C1909" s="25">
        <v>136.55000000000001</v>
      </c>
    </row>
    <row r="1910" spans="1:3">
      <c r="A1910" s="14">
        <v>42940</v>
      </c>
      <c r="B1910" s="24">
        <v>132.4</v>
      </c>
      <c r="C1910" s="24">
        <v>132.55000000000001</v>
      </c>
    </row>
    <row r="1911" spans="1:3">
      <c r="A1911" s="14">
        <v>42941</v>
      </c>
      <c r="B1911" s="25">
        <v>129.35</v>
      </c>
      <c r="C1911" s="25">
        <v>130.6</v>
      </c>
    </row>
    <row r="1912" spans="1:3">
      <c r="A1912" s="14">
        <v>42942</v>
      </c>
      <c r="B1912" s="24">
        <v>129.85</v>
      </c>
      <c r="C1912" s="24">
        <v>134.80000000000001</v>
      </c>
    </row>
    <row r="1913" spans="1:3">
      <c r="A1913" s="14">
        <v>42943</v>
      </c>
      <c r="B1913" s="25">
        <v>134.1</v>
      </c>
      <c r="C1913" s="25">
        <v>135.94999999999999</v>
      </c>
    </row>
    <row r="1914" spans="1:3">
      <c r="A1914" s="14">
        <v>42944</v>
      </c>
      <c r="B1914" s="24">
        <v>134.9</v>
      </c>
      <c r="C1914" s="24">
        <v>137.85</v>
      </c>
    </row>
    <row r="1915" spans="1:3">
      <c r="A1915" s="14">
        <v>42947</v>
      </c>
      <c r="B1915" s="25">
        <v>137.05000000000001</v>
      </c>
      <c r="C1915" s="25">
        <v>139.25</v>
      </c>
    </row>
    <row r="1916" spans="1:3">
      <c r="A1916" s="14">
        <v>42948</v>
      </c>
      <c r="B1916" s="24">
        <v>135.75</v>
      </c>
      <c r="C1916" s="24">
        <v>137.85</v>
      </c>
    </row>
    <row r="1917" spans="1:3">
      <c r="A1917" s="14">
        <v>42949</v>
      </c>
      <c r="B1917" s="25">
        <v>137.44999999999999</v>
      </c>
      <c r="C1917" s="25">
        <v>140.35</v>
      </c>
    </row>
    <row r="1918" spans="1:3">
      <c r="A1918" s="14">
        <v>42950</v>
      </c>
      <c r="B1918" s="24">
        <v>138.80000000000001</v>
      </c>
      <c r="C1918" s="24">
        <v>140.19999999999999</v>
      </c>
    </row>
    <row r="1919" spans="1:3">
      <c r="A1919" s="14">
        <v>42951</v>
      </c>
      <c r="B1919" s="25">
        <v>139.1</v>
      </c>
      <c r="C1919" s="25">
        <v>140.15</v>
      </c>
    </row>
    <row r="1920" spans="1:3">
      <c r="A1920" s="14">
        <v>42954</v>
      </c>
      <c r="B1920" s="24">
        <v>139.5</v>
      </c>
      <c r="C1920" s="24">
        <v>142.05000000000001</v>
      </c>
    </row>
    <row r="1921" spans="1:3">
      <c r="A1921" s="14">
        <v>42955</v>
      </c>
      <c r="B1921" s="25">
        <v>141.9</v>
      </c>
      <c r="C1921" s="25">
        <v>142.75</v>
      </c>
    </row>
    <row r="1922" spans="1:3">
      <c r="A1922" s="14">
        <v>42956</v>
      </c>
      <c r="B1922" s="24">
        <v>140.25</v>
      </c>
      <c r="C1922" s="24">
        <v>142.65</v>
      </c>
    </row>
    <row r="1923" spans="1:3">
      <c r="A1923" s="14">
        <v>42957</v>
      </c>
      <c r="B1923" s="25">
        <v>137.69999999999999</v>
      </c>
      <c r="C1923" s="25">
        <v>138.5</v>
      </c>
    </row>
    <row r="1924" spans="1:3">
      <c r="A1924" s="14">
        <v>42958</v>
      </c>
      <c r="B1924" s="24">
        <v>136.85</v>
      </c>
      <c r="C1924" s="24">
        <v>140.30000000000001</v>
      </c>
    </row>
    <row r="1925" spans="1:3">
      <c r="A1925" s="14">
        <v>42961</v>
      </c>
      <c r="B1925" s="25">
        <v>136.35</v>
      </c>
      <c r="C1925" s="25">
        <v>136.94999999999999</v>
      </c>
    </row>
    <row r="1926" spans="1:3">
      <c r="A1926" s="14">
        <v>42962</v>
      </c>
      <c r="B1926" s="24">
        <v>131.55000000000001</v>
      </c>
      <c r="C1926" s="24">
        <v>132</v>
      </c>
    </row>
    <row r="1927" spans="1:3">
      <c r="A1927" s="14">
        <v>42963</v>
      </c>
      <c r="B1927" s="25">
        <v>130</v>
      </c>
      <c r="C1927" s="25">
        <v>130.94999999999999</v>
      </c>
    </row>
    <row r="1928" spans="1:3">
      <c r="A1928" s="14">
        <v>42964</v>
      </c>
      <c r="B1928" s="24">
        <v>127.5</v>
      </c>
      <c r="C1928" s="24">
        <v>128.44999999999999</v>
      </c>
    </row>
    <row r="1929" spans="1:3">
      <c r="A1929" s="14">
        <v>42965</v>
      </c>
      <c r="B1929" s="25">
        <v>126.75</v>
      </c>
      <c r="C1929" s="25">
        <v>128.05000000000001</v>
      </c>
    </row>
    <row r="1930" spans="1:3">
      <c r="A1930" s="14">
        <v>42968</v>
      </c>
      <c r="B1930" s="24">
        <v>126</v>
      </c>
      <c r="C1930" s="24">
        <v>126.4</v>
      </c>
    </row>
    <row r="1931" spans="1:3">
      <c r="A1931" s="14">
        <v>42969</v>
      </c>
      <c r="B1931" s="25">
        <v>125.5</v>
      </c>
      <c r="C1931" s="25">
        <v>125.85</v>
      </c>
    </row>
    <row r="1932" spans="1:3">
      <c r="A1932" s="14">
        <v>42970</v>
      </c>
      <c r="B1932" s="24">
        <v>126.1</v>
      </c>
      <c r="C1932" s="24">
        <v>126.25</v>
      </c>
    </row>
    <row r="1933" spans="1:3">
      <c r="A1933" s="14">
        <v>42971</v>
      </c>
      <c r="B1933" s="25">
        <v>125.9</v>
      </c>
      <c r="C1933" s="25">
        <v>126.7</v>
      </c>
    </row>
    <row r="1934" spans="1:3">
      <c r="A1934" s="14">
        <v>42972</v>
      </c>
      <c r="B1934" s="24">
        <v>126.95</v>
      </c>
      <c r="C1934" s="24">
        <v>130.19999999999999</v>
      </c>
    </row>
    <row r="1935" spans="1:3">
      <c r="A1935" s="14">
        <v>42975</v>
      </c>
      <c r="B1935" s="25">
        <v>129.55000000000001</v>
      </c>
      <c r="C1935" s="25">
        <v>129.9</v>
      </c>
    </row>
    <row r="1936" spans="1:3">
      <c r="A1936" s="14">
        <v>42976</v>
      </c>
      <c r="B1936" s="24">
        <v>127.15</v>
      </c>
      <c r="C1936" s="24">
        <v>127.3</v>
      </c>
    </row>
    <row r="1937" spans="1:3">
      <c r="A1937" s="14">
        <v>42977</v>
      </c>
      <c r="B1937" s="25">
        <v>125.75</v>
      </c>
      <c r="C1937" s="25">
        <v>126.95</v>
      </c>
    </row>
    <row r="1938" spans="1:3">
      <c r="A1938" s="14">
        <v>42978</v>
      </c>
      <c r="B1938" s="24">
        <v>127.5</v>
      </c>
      <c r="C1938" s="24">
        <v>128.15</v>
      </c>
    </row>
    <row r="1939" spans="1:3">
      <c r="A1939" s="55">
        <v>42979</v>
      </c>
      <c r="B1939" s="56">
        <v>128.30000000000001</v>
      </c>
      <c r="C1939" s="56">
        <v>127.75</v>
      </c>
    </row>
    <row r="1940" spans="1:3">
      <c r="A1940" s="55">
        <v>42982</v>
      </c>
      <c r="B1940" s="57">
        <v>0</v>
      </c>
      <c r="C1940" s="57">
        <v>127.75</v>
      </c>
    </row>
    <row r="1941" spans="1:3">
      <c r="A1941" s="55">
        <v>42983</v>
      </c>
      <c r="B1941" s="56">
        <v>0</v>
      </c>
      <c r="C1941" s="56">
        <v>126.5</v>
      </c>
    </row>
    <row r="1942" spans="1:3">
      <c r="A1942" s="55">
        <v>42984</v>
      </c>
      <c r="B1942" s="57">
        <v>127.5</v>
      </c>
      <c r="C1942" s="57">
        <v>126.6</v>
      </c>
    </row>
    <row r="1943" spans="1:3">
      <c r="A1943" s="55">
        <v>42985</v>
      </c>
      <c r="B1943" s="56">
        <v>125.95</v>
      </c>
      <c r="C1943" s="56">
        <v>127.9</v>
      </c>
    </row>
    <row r="1944" spans="1:3">
      <c r="A1944" s="55">
        <v>42986</v>
      </c>
      <c r="B1944" s="57">
        <v>0</v>
      </c>
      <c r="C1944" s="57">
        <v>129.4</v>
      </c>
    </row>
    <row r="1945" spans="1:3">
      <c r="A1945" s="55">
        <v>42989</v>
      </c>
      <c r="B1945" s="56">
        <v>128.75</v>
      </c>
      <c r="C1945" s="56">
        <v>130.6</v>
      </c>
    </row>
    <row r="1946" spans="1:3">
      <c r="A1946" s="55">
        <v>42990</v>
      </c>
      <c r="B1946" s="57">
        <v>132.75</v>
      </c>
      <c r="C1946" s="57">
        <v>133.80000000000001</v>
      </c>
    </row>
    <row r="1947" spans="1:3">
      <c r="A1947" s="55">
        <v>42991</v>
      </c>
      <c r="B1947" s="56">
        <v>133.55000000000001</v>
      </c>
      <c r="C1947" s="56">
        <v>136.6</v>
      </c>
    </row>
    <row r="1948" spans="1:3">
      <c r="A1948" s="55">
        <v>42992</v>
      </c>
      <c r="B1948" s="57">
        <v>137</v>
      </c>
      <c r="C1948" s="57">
        <v>135.85</v>
      </c>
    </row>
    <row r="1949" spans="1:3">
      <c r="A1949" s="55">
        <v>42993</v>
      </c>
      <c r="B1949" s="56">
        <v>139.25</v>
      </c>
      <c r="C1949" s="56">
        <v>140</v>
      </c>
    </row>
    <row r="1950" spans="1:3">
      <c r="A1950" s="55">
        <v>42996</v>
      </c>
      <c r="B1950" s="57">
        <v>139.44999999999999</v>
      </c>
      <c r="C1950" s="57">
        <v>138.94999999999999</v>
      </c>
    </row>
    <row r="1951" spans="1:3">
      <c r="A1951" s="55">
        <v>42997</v>
      </c>
      <c r="B1951" s="56">
        <v>0</v>
      </c>
      <c r="C1951" s="56">
        <v>133.94999999999999</v>
      </c>
    </row>
    <row r="1952" spans="1:3">
      <c r="A1952" s="55">
        <v>42998</v>
      </c>
      <c r="B1952" s="57">
        <v>132.9</v>
      </c>
      <c r="C1952" s="57">
        <v>136.55000000000001</v>
      </c>
    </row>
    <row r="1953" spans="1:3">
      <c r="A1953" s="55">
        <v>42999</v>
      </c>
      <c r="B1953" s="56">
        <v>133.65</v>
      </c>
      <c r="C1953" s="56">
        <v>135</v>
      </c>
    </row>
    <row r="1954" spans="1:3">
      <c r="A1954" s="55">
        <v>43000</v>
      </c>
      <c r="B1954" s="57">
        <v>134.05000000000001</v>
      </c>
      <c r="C1954" s="57">
        <v>134.44999999999999</v>
      </c>
    </row>
    <row r="1955" spans="1:3">
      <c r="A1955" s="55">
        <v>43003</v>
      </c>
      <c r="B1955" s="56">
        <v>131.35</v>
      </c>
      <c r="C1955" s="56">
        <v>131.55000000000001</v>
      </c>
    </row>
    <row r="1956" spans="1:3">
      <c r="A1956" s="55">
        <v>43004</v>
      </c>
      <c r="B1956" s="57">
        <v>130.85</v>
      </c>
      <c r="C1956" s="57">
        <v>132.25</v>
      </c>
    </row>
    <row r="1957" spans="1:3">
      <c r="A1957" s="55">
        <v>43005</v>
      </c>
      <c r="B1957" s="56">
        <v>129</v>
      </c>
      <c r="C1957" s="56">
        <v>129.35</v>
      </c>
    </row>
    <row r="1958" spans="1:3">
      <c r="A1958" s="55">
        <v>43006</v>
      </c>
      <c r="B1958" s="57">
        <v>127.5</v>
      </c>
      <c r="C1958" s="57">
        <v>128.5</v>
      </c>
    </row>
    <row r="1959" spans="1:3">
      <c r="A1959" s="55">
        <v>43007</v>
      </c>
      <c r="B1959" s="56">
        <v>127.25</v>
      </c>
      <c r="C1959" s="56">
        <v>128.05000000000001</v>
      </c>
    </row>
    <row r="1960" spans="1:3">
      <c r="A1960" s="55">
        <v>43010</v>
      </c>
      <c r="B1960" s="57">
        <v>125.3</v>
      </c>
      <c r="C1960" s="57">
        <v>127.2</v>
      </c>
    </row>
    <row r="1961" spans="1:3">
      <c r="A1961" s="55">
        <v>43011</v>
      </c>
      <c r="B1961" s="56">
        <v>125.4</v>
      </c>
      <c r="C1961" s="56">
        <v>125.45</v>
      </c>
    </row>
    <row r="1962" spans="1:3">
      <c r="A1962" s="55">
        <v>43012</v>
      </c>
      <c r="B1962" s="57">
        <v>124.4</v>
      </c>
      <c r="C1962" s="57">
        <v>125.15</v>
      </c>
    </row>
    <row r="1963" spans="1:3">
      <c r="A1963" s="55">
        <v>43013</v>
      </c>
      <c r="B1963" s="56">
        <v>124.3</v>
      </c>
      <c r="C1963" s="56">
        <v>127.2</v>
      </c>
    </row>
    <row r="1964" spans="1:3">
      <c r="A1964" s="55">
        <v>43014</v>
      </c>
      <c r="B1964" s="57">
        <v>127.4</v>
      </c>
      <c r="C1964" s="57">
        <v>130</v>
      </c>
    </row>
    <row r="1965" spans="1:3">
      <c r="A1965" s="55">
        <v>43017</v>
      </c>
      <c r="B1965" s="56">
        <v>129.80000000000001</v>
      </c>
      <c r="C1965" s="56">
        <v>130.94999999999999</v>
      </c>
    </row>
    <row r="1966" spans="1:3">
      <c r="A1966" s="55">
        <v>43018</v>
      </c>
      <c r="B1966" s="57">
        <v>130.05000000000001</v>
      </c>
      <c r="C1966" s="57">
        <v>131</v>
      </c>
    </row>
    <row r="1967" spans="1:3">
      <c r="A1967" s="55">
        <v>43019</v>
      </c>
      <c r="B1967" s="56">
        <v>126.55</v>
      </c>
      <c r="C1967" s="56">
        <v>126.8</v>
      </c>
    </row>
    <row r="1968" spans="1:3">
      <c r="A1968" s="55">
        <v>43020</v>
      </c>
      <c r="B1968" s="57">
        <v>125.4</v>
      </c>
      <c r="C1968" s="57">
        <v>126.35</v>
      </c>
    </row>
    <row r="1969" spans="1:3">
      <c r="A1969" s="55">
        <v>43021</v>
      </c>
      <c r="B1969" s="56">
        <v>125.45</v>
      </c>
      <c r="C1969" s="56">
        <v>126.45</v>
      </c>
    </row>
    <row r="1970" spans="1:3">
      <c r="A1970" s="55">
        <v>43024</v>
      </c>
      <c r="B1970" s="57">
        <v>123.7</v>
      </c>
      <c r="C1970" s="57">
        <v>123.75</v>
      </c>
    </row>
    <row r="1971" spans="1:3">
      <c r="A1971" s="55">
        <v>43025</v>
      </c>
      <c r="B1971" s="56">
        <v>123</v>
      </c>
      <c r="C1971" s="56">
        <v>124.15</v>
      </c>
    </row>
    <row r="1972" spans="1:3">
      <c r="A1972" s="55">
        <v>43026</v>
      </c>
      <c r="B1972" s="57">
        <v>123</v>
      </c>
      <c r="C1972" s="57">
        <v>124.3</v>
      </c>
    </row>
    <row r="1973" spans="1:3">
      <c r="A1973" s="55">
        <v>43027</v>
      </c>
      <c r="B1973" s="56">
        <v>124.5</v>
      </c>
      <c r="C1973" s="56">
        <v>126.85</v>
      </c>
    </row>
    <row r="1974" spans="1:3">
      <c r="A1974" s="55">
        <v>43028</v>
      </c>
      <c r="B1974" s="57">
        <v>124</v>
      </c>
      <c r="C1974" s="57">
        <v>125.25</v>
      </c>
    </row>
    <row r="1975" spans="1:3">
      <c r="A1975" s="55">
        <v>43031</v>
      </c>
      <c r="B1975" s="56">
        <v>123.85</v>
      </c>
      <c r="C1975" s="56">
        <v>124.35</v>
      </c>
    </row>
    <row r="1976" spans="1:3">
      <c r="A1976" s="55">
        <v>43032</v>
      </c>
      <c r="B1976" s="57">
        <v>122.85</v>
      </c>
      <c r="C1976" s="57">
        <v>123.2</v>
      </c>
    </row>
    <row r="1977" spans="1:3">
      <c r="A1977" s="55">
        <v>43033</v>
      </c>
      <c r="B1977" s="56">
        <v>123.1</v>
      </c>
      <c r="C1977" s="56">
        <v>124.1</v>
      </c>
    </row>
    <row r="1978" spans="1:3">
      <c r="A1978" s="55">
        <v>43034</v>
      </c>
      <c r="B1978" s="57">
        <v>123</v>
      </c>
      <c r="C1978" s="57">
        <v>124.55</v>
      </c>
    </row>
    <row r="1979" spans="1:3">
      <c r="A1979" s="55">
        <v>43035</v>
      </c>
      <c r="B1979" s="56">
        <v>123.7</v>
      </c>
      <c r="C1979" s="56">
        <v>126.6</v>
      </c>
    </row>
    <row r="1980" spans="1:3">
      <c r="A1980" s="55">
        <v>43038</v>
      </c>
      <c r="B1980" s="57">
        <v>125.05</v>
      </c>
      <c r="C1980" s="57">
        <v>125.9</v>
      </c>
    </row>
    <row r="1981" spans="1:3">
      <c r="A1981" s="55">
        <v>43039</v>
      </c>
      <c r="B1981" s="56">
        <v>124.15</v>
      </c>
      <c r="C1981" s="56">
        <v>125.1</v>
      </c>
    </row>
    <row r="1982" spans="1:3">
      <c r="A1982" s="55">
        <v>43040</v>
      </c>
      <c r="B1982" s="57">
        <v>121.2</v>
      </c>
      <c r="C1982" s="57">
        <v>122.95</v>
      </c>
    </row>
    <row r="1983" spans="1:3">
      <c r="A1983" s="55">
        <v>43041</v>
      </c>
      <c r="B1983" s="56">
        <v>122.55</v>
      </c>
      <c r="C1983" s="56">
        <v>126.4</v>
      </c>
    </row>
    <row r="1984" spans="1:3">
      <c r="A1984" s="55">
        <v>43042</v>
      </c>
      <c r="B1984" s="57">
        <v>123.25</v>
      </c>
      <c r="C1984" s="57">
        <v>123.95</v>
      </c>
    </row>
    <row r="1985" spans="1:3">
      <c r="A1985" s="55">
        <v>43045</v>
      </c>
      <c r="B1985" s="56">
        <v>122.25</v>
      </c>
      <c r="C1985" s="56">
        <v>125.55</v>
      </c>
    </row>
    <row r="1986" spans="1:3">
      <c r="A1986" s="55">
        <v>43046</v>
      </c>
      <c r="B1986" s="57">
        <v>123.1</v>
      </c>
      <c r="C1986" s="57">
        <v>124.7</v>
      </c>
    </row>
    <row r="1987" spans="1:3">
      <c r="A1987" s="55">
        <v>43047</v>
      </c>
      <c r="B1987" s="56">
        <v>124.2</v>
      </c>
      <c r="C1987" s="56">
        <v>125.75</v>
      </c>
    </row>
    <row r="1988" spans="1:3">
      <c r="A1988" s="55">
        <v>43048</v>
      </c>
      <c r="B1988" s="57">
        <v>125</v>
      </c>
      <c r="C1988" s="57">
        <v>126.4</v>
      </c>
    </row>
    <row r="1989" spans="1:3">
      <c r="A1989" s="55">
        <v>43049</v>
      </c>
      <c r="B1989" s="56">
        <v>125.5</v>
      </c>
      <c r="C1989" s="56">
        <v>127.55</v>
      </c>
    </row>
    <row r="1990" spans="1:3">
      <c r="A1990" s="55">
        <v>43052</v>
      </c>
      <c r="B1990" s="57">
        <v>126.65</v>
      </c>
      <c r="C1990" s="57">
        <v>127.6</v>
      </c>
    </row>
    <row r="1991" spans="1:3">
      <c r="A1991" s="55">
        <v>43053</v>
      </c>
      <c r="B1991" s="56">
        <v>124.25</v>
      </c>
      <c r="C1991" s="56">
        <v>127.05</v>
      </c>
    </row>
    <row r="1992" spans="1:3">
      <c r="A1992" s="55">
        <v>43054</v>
      </c>
      <c r="B1992" s="57">
        <v>125.65</v>
      </c>
      <c r="C1992" s="57">
        <v>126.75</v>
      </c>
    </row>
    <row r="1993" spans="1:3">
      <c r="A1993" s="55">
        <v>43055</v>
      </c>
      <c r="B1993" s="56">
        <v>125.95</v>
      </c>
      <c r="C1993" s="56">
        <v>126.7</v>
      </c>
    </row>
    <row r="1994" spans="1:3">
      <c r="A1994" s="55">
        <v>43056</v>
      </c>
      <c r="B1994" s="57">
        <v>123.55</v>
      </c>
      <c r="C1994" s="57">
        <v>123.8</v>
      </c>
    </row>
    <row r="1995" spans="1:3">
      <c r="A1995" s="55">
        <v>43059</v>
      </c>
      <c r="B1995" s="56">
        <v>121.15</v>
      </c>
      <c r="C1995" s="56">
        <v>122.9</v>
      </c>
    </row>
    <row r="1996" spans="1:3">
      <c r="A1996" s="55">
        <v>43060</v>
      </c>
      <c r="B1996" s="57">
        <v>122.55</v>
      </c>
      <c r="C1996" s="57">
        <v>123.85</v>
      </c>
    </row>
    <row r="1997" spans="1:3">
      <c r="A1997" s="55">
        <v>43061</v>
      </c>
      <c r="B1997" s="56">
        <v>123.85</v>
      </c>
      <c r="C1997" s="56">
        <v>124.55</v>
      </c>
    </row>
    <row r="1998" spans="1:3">
      <c r="A1998" s="55">
        <v>43062</v>
      </c>
      <c r="B1998" s="57">
        <v>0</v>
      </c>
      <c r="C1998" s="57">
        <v>124.55</v>
      </c>
    </row>
    <row r="1999" spans="1:3">
      <c r="A1999" s="55">
        <v>43063</v>
      </c>
      <c r="B1999" s="56">
        <v>124</v>
      </c>
      <c r="C1999" s="56">
        <v>124.8</v>
      </c>
    </row>
    <row r="2000" spans="1:3">
      <c r="A2000" s="55">
        <v>43066</v>
      </c>
      <c r="B2000" s="57">
        <v>125.05</v>
      </c>
      <c r="C2000" s="57">
        <v>125.55</v>
      </c>
    </row>
    <row r="2001" spans="1:3">
      <c r="A2001" s="55">
        <v>43067</v>
      </c>
      <c r="B2001" s="56">
        <v>124.85</v>
      </c>
      <c r="C2001" s="56">
        <v>127.45</v>
      </c>
    </row>
    <row r="2002" spans="1:3">
      <c r="A2002" s="55">
        <v>43068</v>
      </c>
      <c r="B2002" s="57">
        <v>127.55</v>
      </c>
      <c r="C2002" s="57">
        <v>129.6</v>
      </c>
    </row>
    <row r="2003" spans="1:3">
      <c r="A2003" s="55">
        <v>43069</v>
      </c>
      <c r="B2003" s="56">
        <v>126.25</v>
      </c>
      <c r="C2003" s="56">
        <v>126.3</v>
      </c>
    </row>
    <row r="2004" spans="1:3">
      <c r="A2004" s="55">
        <v>43070</v>
      </c>
      <c r="B2004" s="57">
        <v>126.95</v>
      </c>
      <c r="C2004" s="57">
        <v>127.55</v>
      </c>
    </row>
    <row r="2005" spans="1:3">
      <c r="A2005" s="55">
        <v>43073</v>
      </c>
      <c r="B2005" s="56">
        <v>126.15</v>
      </c>
      <c r="C2005" s="56">
        <v>126.75</v>
      </c>
    </row>
    <row r="2006" spans="1:3">
      <c r="A2006" s="55">
        <v>43074</v>
      </c>
      <c r="B2006" s="57">
        <v>125.85</v>
      </c>
      <c r="C2006" s="57">
        <v>125.95</v>
      </c>
    </row>
    <row r="2007" spans="1:3">
      <c r="A2007" s="55">
        <v>43075</v>
      </c>
      <c r="B2007" s="56">
        <v>125</v>
      </c>
      <c r="C2007" s="56">
        <v>124.85</v>
      </c>
    </row>
    <row r="2008" spans="1:3">
      <c r="A2008" s="55">
        <v>43076</v>
      </c>
      <c r="B2008" s="57">
        <v>0</v>
      </c>
      <c r="C2008" s="57">
        <v>120.85</v>
      </c>
    </row>
    <row r="2009" spans="1:3">
      <c r="A2009" s="55">
        <v>43077</v>
      </c>
      <c r="B2009" s="56">
        <v>0</v>
      </c>
      <c r="C2009" s="56">
        <v>120.6</v>
      </c>
    </row>
    <row r="2010" spans="1:3">
      <c r="A2010" s="55">
        <v>43080</v>
      </c>
      <c r="B2010" s="57">
        <v>121</v>
      </c>
      <c r="C2010" s="57">
        <v>119</v>
      </c>
    </row>
    <row r="2011" spans="1:3">
      <c r="A2011" s="55">
        <v>43081</v>
      </c>
      <c r="B2011" s="56">
        <v>0</v>
      </c>
      <c r="C2011" s="56">
        <v>117.05</v>
      </c>
    </row>
    <row r="2012" spans="1:3">
      <c r="A2012" s="55">
        <v>43082</v>
      </c>
      <c r="B2012" s="57">
        <v>0</v>
      </c>
      <c r="C2012" s="57">
        <v>118.95</v>
      </c>
    </row>
    <row r="2013" spans="1:3">
      <c r="A2013" s="55">
        <v>43083</v>
      </c>
      <c r="B2013" s="56">
        <v>0</v>
      </c>
      <c r="C2013" s="56">
        <v>119.15</v>
      </c>
    </row>
    <row r="2014" spans="1:3">
      <c r="A2014" s="55">
        <v>43084</v>
      </c>
      <c r="B2014" s="57">
        <v>116.9</v>
      </c>
      <c r="C2014" s="57">
        <v>116.95</v>
      </c>
    </row>
    <row r="2015" spans="1:3">
      <c r="A2015" s="55">
        <v>43087</v>
      </c>
      <c r="B2015" s="56">
        <v>0</v>
      </c>
      <c r="C2015" s="56">
        <v>118.55</v>
      </c>
    </row>
    <row r="2016" spans="1:3">
      <c r="A2016" s="55">
        <v>43088</v>
      </c>
      <c r="B2016" s="57">
        <v>121</v>
      </c>
      <c r="C2016" s="57">
        <v>121.75</v>
      </c>
    </row>
    <row r="2017" spans="1:3">
      <c r="A2017" s="55">
        <v>43089</v>
      </c>
      <c r="B2017" s="56">
        <v>122.05</v>
      </c>
      <c r="C2017" s="56">
        <v>123.15</v>
      </c>
    </row>
    <row r="2018" spans="1:3">
      <c r="A2018" s="55">
        <v>43090</v>
      </c>
      <c r="B2018" s="57">
        <v>121.3</v>
      </c>
      <c r="C2018" s="57">
        <v>122.25</v>
      </c>
    </row>
    <row r="2019" spans="1:3">
      <c r="A2019" s="55">
        <v>43091</v>
      </c>
      <c r="B2019" s="56">
        <v>119.5</v>
      </c>
      <c r="C2019" s="56">
        <v>120.4</v>
      </c>
    </row>
    <row r="2020" spans="1:3">
      <c r="A2020" s="55">
        <v>43095</v>
      </c>
      <c r="B2020" s="57">
        <v>120.65</v>
      </c>
      <c r="C2020" s="57">
        <v>122.2</v>
      </c>
    </row>
    <row r="2021" spans="1:3">
      <c r="A2021" s="55">
        <v>43096</v>
      </c>
      <c r="B2021" s="56">
        <v>121.7</v>
      </c>
      <c r="C2021" s="56">
        <v>124.5</v>
      </c>
    </row>
    <row r="2022" spans="1:3">
      <c r="A2022" s="55">
        <v>43097</v>
      </c>
      <c r="B2022" s="57">
        <v>123.2</v>
      </c>
      <c r="C2022" s="57">
        <v>124.8</v>
      </c>
    </row>
    <row r="2023" spans="1:3">
      <c r="A2023" s="55">
        <v>43098</v>
      </c>
      <c r="B2023" s="56">
        <v>124.4</v>
      </c>
      <c r="C2023" s="56">
        <v>126.2</v>
      </c>
    </row>
    <row r="2024" spans="1:3">
      <c r="A2024" s="55">
        <v>43102</v>
      </c>
      <c r="B2024" s="57">
        <v>126</v>
      </c>
      <c r="C2024" s="57">
        <v>130.19999999999999</v>
      </c>
    </row>
    <row r="2025" spans="1:3">
      <c r="A2025" s="55">
        <v>43103</v>
      </c>
      <c r="B2025" s="56">
        <v>126.2</v>
      </c>
      <c r="C2025" s="56">
        <v>128.6</v>
      </c>
    </row>
    <row r="2026" spans="1:3">
      <c r="A2026" s="55">
        <v>43104</v>
      </c>
      <c r="B2026" s="57">
        <v>126.6</v>
      </c>
      <c r="C2026" s="57">
        <v>129.55000000000001</v>
      </c>
    </row>
    <row r="2027" spans="1:3">
      <c r="A2027" s="55">
        <v>43105</v>
      </c>
      <c r="B2027" s="56">
        <v>127.9</v>
      </c>
      <c r="C2027" s="56">
        <v>128.44999999999999</v>
      </c>
    </row>
    <row r="2028" spans="1:3">
      <c r="A2028" s="55">
        <v>43108</v>
      </c>
      <c r="B2028" s="57">
        <v>124.3</v>
      </c>
      <c r="C2028" s="57">
        <v>125.15</v>
      </c>
    </row>
    <row r="2029" spans="1:3">
      <c r="A2029" s="55">
        <v>43109</v>
      </c>
      <c r="B2029" s="56">
        <v>122.6</v>
      </c>
      <c r="C2029" s="56">
        <v>125.15</v>
      </c>
    </row>
    <row r="2030" spans="1:3">
      <c r="A2030" s="55">
        <v>43110</v>
      </c>
      <c r="B2030" s="57">
        <v>123</v>
      </c>
      <c r="C2030" s="57">
        <v>123.95</v>
      </c>
    </row>
    <row r="2031" spans="1:3">
      <c r="A2031" s="55">
        <v>43111</v>
      </c>
      <c r="B2031" s="56">
        <v>122.15</v>
      </c>
      <c r="C2031" s="56">
        <v>122.8</v>
      </c>
    </row>
    <row r="2032" spans="1:3">
      <c r="A2032" s="55">
        <v>43112</v>
      </c>
      <c r="B2032" s="57">
        <v>120.9</v>
      </c>
      <c r="C2032" s="57">
        <v>122.25</v>
      </c>
    </row>
    <row r="2033" spans="1:3">
      <c r="A2033" s="55">
        <v>43115</v>
      </c>
      <c r="B2033" s="56">
        <v>0</v>
      </c>
      <c r="C2033" s="56">
        <v>122.25</v>
      </c>
    </row>
    <row r="2034" spans="1:3">
      <c r="A2034" s="55">
        <v>43116</v>
      </c>
      <c r="B2034" s="57">
        <v>119.85</v>
      </c>
      <c r="C2034" s="57">
        <v>120.45</v>
      </c>
    </row>
    <row r="2035" spans="1:3">
      <c r="A2035" s="55">
        <v>43117</v>
      </c>
      <c r="B2035" s="56">
        <v>120.15</v>
      </c>
      <c r="C2035" s="56">
        <v>123.1</v>
      </c>
    </row>
    <row r="2036" spans="1:3">
      <c r="A2036" s="55">
        <v>43118</v>
      </c>
      <c r="B2036" s="57">
        <v>120.95</v>
      </c>
      <c r="C2036" s="57">
        <v>121.1</v>
      </c>
    </row>
    <row r="2037" spans="1:3">
      <c r="A2037" s="55">
        <v>43119</v>
      </c>
      <c r="B2037" s="56">
        <v>119.6</v>
      </c>
      <c r="C2037" s="56">
        <v>121.25</v>
      </c>
    </row>
    <row r="2038" spans="1:3">
      <c r="A2038" s="55">
        <v>43122</v>
      </c>
      <c r="B2038" s="57">
        <v>121.55</v>
      </c>
      <c r="C2038" s="57">
        <v>122.55</v>
      </c>
    </row>
    <row r="2039" spans="1:3">
      <c r="A2039" s="55">
        <v>43123</v>
      </c>
      <c r="B2039" s="56">
        <v>120.5</v>
      </c>
      <c r="C2039" s="56">
        <v>120.95</v>
      </c>
    </row>
    <row r="2040" spans="1:3">
      <c r="A2040" s="55">
        <v>43124</v>
      </c>
      <c r="B2040" s="57">
        <v>120.7</v>
      </c>
      <c r="C2040" s="57">
        <v>122.5</v>
      </c>
    </row>
    <row r="2041" spans="1:3">
      <c r="A2041" s="55">
        <v>43125</v>
      </c>
      <c r="B2041" s="56">
        <v>121.7</v>
      </c>
      <c r="C2041" s="56">
        <v>123.65</v>
      </c>
    </row>
    <row r="2042" spans="1:3">
      <c r="A2042" s="55">
        <v>43126</v>
      </c>
      <c r="B2042" s="57">
        <v>123.5</v>
      </c>
      <c r="C2042" s="57">
        <v>125.15</v>
      </c>
    </row>
    <row r="2043" spans="1:3">
      <c r="A2043" s="55">
        <v>43129</v>
      </c>
      <c r="B2043" s="56">
        <v>123.65</v>
      </c>
      <c r="C2043" s="56">
        <v>124.95</v>
      </c>
    </row>
    <row r="2044" spans="1:3">
      <c r="A2044" s="55">
        <v>43130</v>
      </c>
      <c r="B2044" s="57">
        <v>121.55</v>
      </c>
      <c r="C2044" s="57">
        <v>122.3</v>
      </c>
    </row>
    <row r="2045" spans="1:3">
      <c r="A2045" s="55">
        <v>43131</v>
      </c>
      <c r="B2045" s="56">
        <v>121.15</v>
      </c>
      <c r="C2045" s="56">
        <v>121.85</v>
      </c>
    </row>
    <row r="2046" spans="1:3">
      <c r="A2046" s="55">
        <v>43132</v>
      </c>
      <c r="B2046" s="57">
        <v>120.35</v>
      </c>
      <c r="C2046" s="57">
        <v>121.4</v>
      </c>
    </row>
    <row r="2047" spans="1:3">
      <c r="A2047" s="55">
        <v>43133</v>
      </c>
      <c r="B2047" s="56">
        <v>119.85</v>
      </c>
      <c r="C2047" s="56">
        <v>120.4</v>
      </c>
    </row>
    <row r="2048" spans="1:3">
      <c r="A2048" s="55">
        <v>43136</v>
      </c>
      <c r="B2048" s="57">
        <v>119.5</v>
      </c>
      <c r="C2048" s="57">
        <v>119.8</v>
      </c>
    </row>
    <row r="2049" spans="1:3">
      <c r="A2049" s="55">
        <v>43137</v>
      </c>
      <c r="B2049" s="56">
        <v>119.1</v>
      </c>
      <c r="C2049" s="56">
        <v>122.85</v>
      </c>
    </row>
    <row r="2050" spans="1:3">
      <c r="A2050" s="55">
        <v>43138</v>
      </c>
      <c r="B2050" s="57">
        <v>122.6</v>
      </c>
      <c r="C2050" s="57">
        <v>123.3</v>
      </c>
    </row>
    <row r="2051" spans="1:3">
      <c r="A2051" s="55">
        <v>43139</v>
      </c>
      <c r="B2051" s="56">
        <v>121.75</v>
      </c>
      <c r="C2051" s="56">
        <v>122.85</v>
      </c>
    </row>
    <row r="2052" spans="1:3">
      <c r="A2052" s="55">
        <v>43140</v>
      </c>
      <c r="B2052" s="57">
        <v>121.75</v>
      </c>
      <c r="C2052" s="57">
        <v>121.85</v>
      </c>
    </row>
    <row r="2053" spans="1:3">
      <c r="A2053" s="55">
        <v>43143</v>
      </c>
      <c r="B2053" s="56">
        <v>120.8</v>
      </c>
      <c r="C2053" s="56">
        <v>121.4</v>
      </c>
    </row>
    <row r="2054" spans="1:3">
      <c r="A2054" s="55">
        <v>43144</v>
      </c>
      <c r="B2054" s="57">
        <v>120.5</v>
      </c>
      <c r="C2054" s="57">
        <v>122.75</v>
      </c>
    </row>
    <row r="2055" spans="1:3">
      <c r="A2055" s="55">
        <v>43145</v>
      </c>
      <c r="B2055" s="56">
        <v>120.9</v>
      </c>
      <c r="C2055" s="56">
        <v>122.8</v>
      </c>
    </row>
    <row r="2056" spans="1:3">
      <c r="A2056" s="55">
        <v>43146</v>
      </c>
      <c r="B2056" s="57">
        <v>121.45</v>
      </c>
      <c r="C2056" s="57">
        <v>121.75</v>
      </c>
    </row>
    <row r="2057" spans="1:3">
      <c r="A2057" s="55">
        <v>43147</v>
      </c>
      <c r="B2057" s="56">
        <v>117.65</v>
      </c>
      <c r="C2057" s="56">
        <v>117.95</v>
      </c>
    </row>
    <row r="2058" spans="1:3">
      <c r="A2058" s="55">
        <v>43150</v>
      </c>
      <c r="B2058" s="57">
        <v>0</v>
      </c>
      <c r="C2058" s="57">
        <v>117.95</v>
      </c>
    </row>
    <row r="2059" spans="1:3">
      <c r="A2059" s="55">
        <v>43151</v>
      </c>
      <c r="B2059" s="56">
        <v>116.95</v>
      </c>
      <c r="C2059" s="56">
        <v>118.2</v>
      </c>
    </row>
    <row r="2060" spans="1:3">
      <c r="A2060" s="55">
        <v>43152</v>
      </c>
      <c r="B2060" s="57">
        <v>116.5</v>
      </c>
      <c r="C2060" s="57">
        <v>116.95</v>
      </c>
    </row>
    <row r="2061" spans="1:3">
      <c r="A2061" s="55">
        <v>43153</v>
      </c>
      <c r="B2061" s="56">
        <v>117.45</v>
      </c>
      <c r="C2061" s="56">
        <v>119.6</v>
      </c>
    </row>
    <row r="2062" spans="1:3">
      <c r="A2062" s="55">
        <v>43154</v>
      </c>
      <c r="B2062" s="57">
        <v>118.75</v>
      </c>
      <c r="C2062" s="57">
        <v>119.45</v>
      </c>
    </row>
    <row r="2063" spans="1:3">
      <c r="A2063" s="55">
        <v>43157</v>
      </c>
      <c r="B2063" s="56">
        <v>119.5</v>
      </c>
      <c r="C2063" s="56">
        <v>120.5</v>
      </c>
    </row>
    <row r="2064" spans="1:3">
      <c r="A2064" s="55">
        <v>43158</v>
      </c>
      <c r="B2064" s="57">
        <v>119.8</v>
      </c>
      <c r="C2064" s="57">
        <v>119.95</v>
      </c>
    </row>
    <row r="2065" spans="1:3">
      <c r="A2065" s="55">
        <v>43159</v>
      </c>
      <c r="B2065" s="56">
        <v>120</v>
      </c>
      <c r="C2065" s="56">
        <v>121.05</v>
      </c>
    </row>
    <row r="2066" spans="1:3">
      <c r="A2066" s="55">
        <v>43160</v>
      </c>
      <c r="B2066" s="57">
        <v>121.35</v>
      </c>
      <c r="C2066" s="57">
        <v>122.45</v>
      </c>
    </row>
    <row r="2067" spans="1:3">
      <c r="A2067" s="55">
        <v>43161</v>
      </c>
      <c r="B2067" s="56">
        <v>120.95</v>
      </c>
      <c r="C2067" s="56">
        <v>120.35</v>
      </c>
    </row>
    <row r="2068" spans="1:3">
      <c r="A2068" s="55">
        <v>43164</v>
      </c>
      <c r="B2068" s="57">
        <v>118.15</v>
      </c>
      <c r="C2068" s="57">
        <v>119.2</v>
      </c>
    </row>
    <row r="2069" spans="1:3">
      <c r="A2069" s="55">
        <v>43165</v>
      </c>
      <c r="B2069" s="56">
        <v>120.1</v>
      </c>
      <c r="C2069" s="56">
        <v>119.95</v>
      </c>
    </row>
    <row r="2070" spans="1:3">
      <c r="A2070" s="55">
        <v>43166</v>
      </c>
      <c r="B2070" s="57">
        <v>118.15</v>
      </c>
      <c r="C2070" s="57">
        <v>119.3</v>
      </c>
    </row>
    <row r="2071" spans="1:3">
      <c r="A2071" s="55">
        <v>43167</v>
      </c>
      <c r="B2071" s="56">
        <v>119.1</v>
      </c>
      <c r="C2071" s="56">
        <v>119</v>
      </c>
    </row>
    <row r="2072" spans="1:3">
      <c r="A2072" s="55">
        <v>43168</v>
      </c>
      <c r="B2072" s="57">
        <v>119.4</v>
      </c>
      <c r="C2072" s="57">
        <v>118.85</v>
      </c>
    </row>
    <row r="2073" spans="1:3">
      <c r="A2073" s="55">
        <v>43171</v>
      </c>
      <c r="B2073" s="56">
        <v>0</v>
      </c>
      <c r="C2073" s="56">
        <v>118.15</v>
      </c>
    </row>
    <row r="2074" spans="1:3">
      <c r="A2074" s="55">
        <v>43172</v>
      </c>
      <c r="B2074" s="57">
        <v>0</v>
      </c>
      <c r="C2074" s="57">
        <v>120.45</v>
      </c>
    </row>
    <row r="2075" spans="1:3">
      <c r="A2075" s="55">
        <v>43173</v>
      </c>
      <c r="B2075" s="56">
        <v>0</v>
      </c>
      <c r="C2075" s="56">
        <v>119.95</v>
      </c>
    </row>
    <row r="2076" spans="1:3">
      <c r="A2076" s="55">
        <v>43174</v>
      </c>
      <c r="B2076" s="57">
        <v>119.85</v>
      </c>
      <c r="C2076" s="57">
        <v>117.65</v>
      </c>
    </row>
    <row r="2077" spans="1:3">
      <c r="A2077" s="55">
        <v>43175</v>
      </c>
      <c r="B2077" s="56">
        <v>117.25</v>
      </c>
      <c r="C2077" s="56">
        <v>116.95</v>
      </c>
    </row>
    <row r="2078" spans="1:3">
      <c r="A2078" s="55">
        <v>43178</v>
      </c>
      <c r="B2078" s="57">
        <v>0</v>
      </c>
      <c r="C2078" s="57">
        <v>118.35</v>
      </c>
    </row>
    <row r="2079" spans="1:3">
      <c r="A2079" s="55">
        <v>43179</v>
      </c>
      <c r="B2079" s="56">
        <v>118.65</v>
      </c>
      <c r="C2079" s="56">
        <v>118.95</v>
      </c>
    </row>
    <row r="2080" spans="1:3">
      <c r="A2080" s="55">
        <v>43180</v>
      </c>
      <c r="B2080" s="57">
        <v>118.55</v>
      </c>
      <c r="C2080" s="57">
        <v>118.85</v>
      </c>
    </row>
    <row r="2081" spans="1:3">
      <c r="A2081" s="55">
        <v>43181</v>
      </c>
      <c r="B2081" s="56">
        <v>118.15</v>
      </c>
      <c r="C2081" s="56">
        <v>119</v>
      </c>
    </row>
    <row r="2082" spans="1:3">
      <c r="A2082" s="55">
        <v>43182</v>
      </c>
      <c r="B2082" s="57">
        <v>116.5</v>
      </c>
      <c r="C2082" s="57">
        <v>117.2</v>
      </c>
    </row>
    <row r="2083" spans="1:3">
      <c r="A2083" s="55">
        <v>43185</v>
      </c>
      <c r="B2083" s="56">
        <v>116.65</v>
      </c>
      <c r="C2083" s="56">
        <v>118.15</v>
      </c>
    </row>
    <row r="2084" spans="1:3">
      <c r="A2084" s="55">
        <v>43186</v>
      </c>
      <c r="B2084" s="57">
        <v>117.7</v>
      </c>
      <c r="C2084" s="57">
        <v>118.95</v>
      </c>
    </row>
    <row r="2085" spans="1:3">
      <c r="A2085" s="55">
        <v>43187</v>
      </c>
      <c r="B2085" s="56">
        <v>117.35</v>
      </c>
      <c r="C2085" s="56">
        <v>117.75</v>
      </c>
    </row>
    <row r="2086" spans="1:3">
      <c r="A2086" s="55">
        <v>43188</v>
      </c>
      <c r="B2086" s="57">
        <v>117.4</v>
      </c>
      <c r="C2086" s="57">
        <v>118.15</v>
      </c>
    </row>
    <row r="2087" spans="1:3">
      <c r="A2087" s="55">
        <v>43192</v>
      </c>
      <c r="B2087" s="56">
        <v>116.15</v>
      </c>
      <c r="C2087" s="56">
        <v>116.4</v>
      </c>
    </row>
    <row r="2088" spans="1:3">
      <c r="A2088" s="55">
        <v>43193</v>
      </c>
      <c r="B2088" s="57">
        <v>116</v>
      </c>
      <c r="C2088" s="57">
        <v>116.6</v>
      </c>
    </row>
    <row r="2089" spans="1:3">
      <c r="A2089" s="55">
        <v>43194</v>
      </c>
      <c r="B2089" s="56">
        <v>115.95</v>
      </c>
      <c r="C2089" s="56">
        <v>116.9</v>
      </c>
    </row>
    <row r="2090" spans="1:3">
      <c r="A2090" s="55">
        <v>43195</v>
      </c>
      <c r="B2090" s="57">
        <v>117</v>
      </c>
      <c r="C2090" s="57">
        <v>117.55</v>
      </c>
    </row>
    <row r="2091" spans="1:3">
      <c r="A2091" s="55">
        <v>43196</v>
      </c>
      <c r="B2091" s="56">
        <v>116.8</v>
      </c>
      <c r="C2091" s="56">
        <v>117.45</v>
      </c>
    </row>
    <row r="2092" spans="1:3">
      <c r="A2092" s="55">
        <v>43199</v>
      </c>
      <c r="B2092" s="57">
        <v>117.7</v>
      </c>
      <c r="C2092" s="57">
        <v>118.65</v>
      </c>
    </row>
    <row r="2093" spans="1:3">
      <c r="A2093" s="55">
        <v>43200</v>
      </c>
      <c r="B2093" s="56">
        <v>117.15</v>
      </c>
      <c r="C2093" s="56">
        <v>117.6</v>
      </c>
    </row>
    <row r="2094" spans="1:3">
      <c r="A2094" s="55">
        <v>43201</v>
      </c>
      <c r="B2094" s="57">
        <v>116.5</v>
      </c>
      <c r="C2094" s="57">
        <v>118.15</v>
      </c>
    </row>
    <row r="2095" spans="1:3">
      <c r="A2095" s="55">
        <v>43202</v>
      </c>
      <c r="B2095" s="56">
        <v>117.45</v>
      </c>
      <c r="C2095" s="56">
        <v>117.9</v>
      </c>
    </row>
    <row r="2096" spans="1:3">
      <c r="A2096" s="55">
        <v>43203</v>
      </c>
      <c r="B2096" s="57">
        <v>117.1</v>
      </c>
      <c r="C2096" s="57">
        <v>117.3</v>
      </c>
    </row>
    <row r="2097" spans="1:3">
      <c r="A2097" s="55">
        <v>43206</v>
      </c>
      <c r="B2097" s="56">
        <v>114.15</v>
      </c>
      <c r="C2097" s="56">
        <v>114.25</v>
      </c>
    </row>
    <row r="2098" spans="1:3">
      <c r="A2098" s="55">
        <v>43207</v>
      </c>
      <c r="B2098" s="57">
        <v>113.05</v>
      </c>
      <c r="C2098" s="57">
        <v>113.55</v>
      </c>
    </row>
    <row r="2099" spans="1:3">
      <c r="A2099" s="55">
        <v>43208</v>
      </c>
      <c r="B2099" s="56">
        <v>113.35</v>
      </c>
      <c r="C2099" s="56">
        <v>114.9</v>
      </c>
    </row>
    <row r="2100" spans="1:3">
      <c r="A2100" s="55">
        <v>43209</v>
      </c>
      <c r="B2100" s="57">
        <v>113.35</v>
      </c>
      <c r="C2100" s="57">
        <v>114.25</v>
      </c>
    </row>
    <row r="2101" spans="1:3">
      <c r="A2101" s="55">
        <v>43210</v>
      </c>
      <c r="B2101" s="56">
        <v>114.45</v>
      </c>
      <c r="C2101" s="56">
        <v>115.75</v>
      </c>
    </row>
    <row r="2102" spans="1:3">
      <c r="A2102" s="55">
        <v>43213</v>
      </c>
      <c r="B2102" s="57">
        <v>116.3</v>
      </c>
      <c r="C2102" s="57">
        <v>117</v>
      </c>
    </row>
    <row r="2103" spans="1:3">
      <c r="A2103" s="55">
        <v>43214</v>
      </c>
      <c r="B2103" s="56">
        <v>116.65</v>
      </c>
      <c r="C2103" s="56">
        <v>118.5</v>
      </c>
    </row>
    <row r="2104" spans="1:3">
      <c r="A2104" s="55">
        <v>43215</v>
      </c>
      <c r="B2104" s="57">
        <v>116</v>
      </c>
      <c r="C2104" s="57">
        <v>116.85</v>
      </c>
    </row>
    <row r="2105" spans="1:3">
      <c r="A2105" s="55">
        <v>43216</v>
      </c>
      <c r="B2105" s="56">
        <v>117.6</v>
      </c>
      <c r="C2105" s="56">
        <v>117.6</v>
      </c>
    </row>
    <row r="2106" spans="1:3">
      <c r="A2106" s="55">
        <v>43217</v>
      </c>
      <c r="B2106" s="57">
        <v>119.15</v>
      </c>
      <c r="C2106" s="57">
        <v>120.35</v>
      </c>
    </row>
    <row r="2107" spans="1:3">
      <c r="A2107" s="55">
        <v>43220</v>
      </c>
      <c r="B2107" s="56">
        <v>120.05</v>
      </c>
      <c r="C2107" s="56">
        <v>120.65</v>
      </c>
    </row>
    <row r="2108" spans="1:3">
      <c r="A2108" s="55">
        <v>43221</v>
      </c>
      <c r="B2108" s="57">
        <v>122.85</v>
      </c>
      <c r="C2108" s="57">
        <v>122.6</v>
      </c>
    </row>
    <row r="2109" spans="1:3">
      <c r="A2109" s="55">
        <v>43222</v>
      </c>
      <c r="B2109" s="56">
        <v>122.75</v>
      </c>
      <c r="C2109" s="56">
        <v>121.6</v>
      </c>
    </row>
    <row r="2110" spans="1:3">
      <c r="A2110" s="55">
        <v>43223</v>
      </c>
      <c r="B2110" s="57">
        <v>122.45</v>
      </c>
      <c r="C2110" s="57">
        <v>122.2</v>
      </c>
    </row>
    <row r="2111" spans="1:3">
      <c r="A2111" s="55">
        <v>43224</v>
      </c>
      <c r="B2111" s="56">
        <v>0</v>
      </c>
      <c r="C2111" s="56">
        <v>120.45</v>
      </c>
    </row>
    <row r="2112" spans="1:3">
      <c r="A2112" s="55">
        <v>43227</v>
      </c>
      <c r="B2112" s="57">
        <v>118.45</v>
      </c>
      <c r="C2112" s="57">
        <v>118.2</v>
      </c>
    </row>
    <row r="2113" spans="1:3">
      <c r="A2113" s="55">
        <v>43228</v>
      </c>
      <c r="B2113" s="56">
        <v>0</v>
      </c>
      <c r="C2113" s="56">
        <v>116.55</v>
      </c>
    </row>
    <row r="2114" spans="1:3">
      <c r="A2114" s="55">
        <v>43229</v>
      </c>
      <c r="B2114" s="57">
        <v>0</v>
      </c>
      <c r="C2114" s="57">
        <v>115.5</v>
      </c>
    </row>
    <row r="2115" spans="1:3">
      <c r="A2115" s="55">
        <v>43230</v>
      </c>
      <c r="B2115" s="56">
        <v>0</v>
      </c>
      <c r="C2115" s="56">
        <v>116.3</v>
      </c>
    </row>
    <row r="2116" spans="1:3">
      <c r="A2116" s="55">
        <v>43231</v>
      </c>
      <c r="B2116" s="57">
        <v>115.1</v>
      </c>
      <c r="C2116" s="57">
        <v>115.25</v>
      </c>
    </row>
    <row r="2117" spans="1:3">
      <c r="A2117" s="55">
        <v>43234</v>
      </c>
      <c r="B2117" s="56">
        <v>0</v>
      </c>
      <c r="C2117" s="56">
        <v>113.65</v>
      </c>
    </row>
    <row r="2118" spans="1:3">
      <c r="A2118" s="55">
        <v>43235</v>
      </c>
      <c r="B2118" s="57">
        <v>113.2</v>
      </c>
      <c r="C2118" s="57">
        <v>112.9</v>
      </c>
    </row>
    <row r="2119" spans="1:3">
      <c r="A2119" s="55">
        <v>43236</v>
      </c>
      <c r="B2119" s="56">
        <v>112.45</v>
      </c>
      <c r="C2119" s="56">
        <v>113.25</v>
      </c>
    </row>
    <row r="2120" spans="1:3">
      <c r="A2120" s="55">
        <v>43237</v>
      </c>
      <c r="B2120" s="57">
        <v>0</v>
      </c>
      <c r="C2120" s="57">
        <v>113.85</v>
      </c>
    </row>
    <row r="2121" spans="1:3">
      <c r="A2121" s="55">
        <v>43238</v>
      </c>
      <c r="B2121" s="56">
        <v>0</v>
      </c>
      <c r="C2121" s="56">
        <v>113.95</v>
      </c>
    </row>
    <row r="2122" spans="1:3">
      <c r="A2122" s="55">
        <v>43241</v>
      </c>
      <c r="B2122" s="57">
        <v>117.85</v>
      </c>
      <c r="C2122" s="57">
        <v>120.2</v>
      </c>
    </row>
    <row r="2123" spans="1:3">
      <c r="A2123" s="55">
        <v>43242</v>
      </c>
      <c r="B2123" s="56">
        <v>119.55</v>
      </c>
      <c r="C2123" s="56">
        <v>120.85</v>
      </c>
    </row>
    <row r="2124" spans="1:3">
      <c r="A2124" s="55">
        <v>43243</v>
      </c>
      <c r="B2124" s="57">
        <v>118.6</v>
      </c>
      <c r="C2124" s="57">
        <v>119.35</v>
      </c>
    </row>
    <row r="2125" spans="1:3">
      <c r="A2125" s="55">
        <v>43244</v>
      </c>
      <c r="B2125" s="56">
        <v>119.45</v>
      </c>
      <c r="C2125" s="56">
        <v>120.55</v>
      </c>
    </row>
    <row r="2126" spans="1:3">
      <c r="A2126" s="55">
        <v>43245</v>
      </c>
      <c r="B2126" s="57">
        <v>119.1</v>
      </c>
      <c r="C2126" s="57">
        <v>120.4</v>
      </c>
    </row>
    <row r="2127" spans="1:3">
      <c r="A2127" s="55">
        <v>43248</v>
      </c>
      <c r="B2127" s="56">
        <v>0</v>
      </c>
      <c r="C2127" s="56">
        <v>120.4</v>
      </c>
    </row>
    <row r="2128" spans="1:3">
      <c r="A2128" s="55">
        <v>43249</v>
      </c>
      <c r="B2128" s="57">
        <v>119.35</v>
      </c>
      <c r="C2128" s="57">
        <v>120.25</v>
      </c>
    </row>
    <row r="2129" spans="1:3">
      <c r="A2129" s="55">
        <v>43250</v>
      </c>
      <c r="B2129" s="56">
        <v>119.75</v>
      </c>
      <c r="C2129" s="56">
        <v>120.3</v>
      </c>
    </row>
    <row r="2130" spans="1:3">
      <c r="A2130" s="55">
        <v>43251</v>
      </c>
      <c r="B2130" s="57">
        <v>120.25</v>
      </c>
      <c r="C2130" s="57">
        <v>123.7</v>
      </c>
    </row>
    <row r="2131" spans="1:3">
      <c r="A2131" s="55">
        <v>43252</v>
      </c>
      <c r="B2131" s="56">
        <v>122.35</v>
      </c>
      <c r="C2131" s="56">
        <v>122.75</v>
      </c>
    </row>
    <row r="2132" spans="1:3">
      <c r="A2132" s="55">
        <v>43255</v>
      </c>
      <c r="B2132" s="57">
        <v>120.9</v>
      </c>
      <c r="C2132" s="57">
        <v>121.5</v>
      </c>
    </row>
    <row r="2133" spans="1:3">
      <c r="A2133" s="55">
        <v>43256</v>
      </c>
      <c r="B2133" s="56">
        <v>119.15</v>
      </c>
      <c r="C2133" s="56">
        <v>119.45</v>
      </c>
    </row>
    <row r="2134" spans="1:3">
      <c r="A2134" s="55">
        <v>43257</v>
      </c>
      <c r="B2134" s="57">
        <v>118.2</v>
      </c>
      <c r="C2134" s="57">
        <v>118.25</v>
      </c>
    </row>
    <row r="2135" spans="1:3">
      <c r="A2135" s="55">
        <v>43258</v>
      </c>
      <c r="B2135" s="56">
        <v>115.65</v>
      </c>
      <c r="C2135" s="56">
        <v>115.7</v>
      </c>
    </row>
    <row r="2136" spans="1:3">
      <c r="A2136" s="55">
        <v>43259</v>
      </c>
      <c r="B2136" s="57">
        <v>115.65</v>
      </c>
      <c r="C2136" s="57">
        <v>117.25</v>
      </c>
    </row>
    <row r="2137" spans="1:3">
      <c r="A2137" s="55">
        <v>43262</v>
      </c>
      <c r="B2137" s="56">
        <v>116.25</v>
      </c>
      <c r="C2137" s="56">
        <v>117.1</v>
      </c>
    </row>
    <row r="2138" spans="1:3">
      <c r="A2138" s="55">
        <v>43263</v>
      </c>
      <c r="B2138" s="57">
        <v>116.75</v>
      </c>
      <c r="C2138" s="57">
        <v>117.35</v>
      </c>
    </row>
    <row r="2139" spans="1:3">
      <c r="A2139" s="55">
        <v>43264</v>
      </c>
      <c r="B2139" s="56">
        <v>116.2</v>
      </c>
      <c r="C2139" s="56">
        <v>116.35</v>
      </c>
    </row>
    <row r="2140" spans="1:3">
      <c r="A2140" s="55">
        <v>43265</v>
      </c>
      <c r="B2140" s="57">
        <v>115.55</v>
      </c>
      <c r="C2140" s="57">
        <v>115.7</v>
      </c>
    </row>
    <row r="2141" spans="1:3">
      <c r="A2141" s="55">
        <v>43266</v>
      </c>
      <c r="B2141" s="56">
        <v>114.6</v>
      </c>
      <c r="C2141" s="56">
        <v>115.2</v>
      </c>
    </row>
    <row r="2142" spans="1:3">
      <c r="A2142" s="55">
        <v>43269</v>
      </c>
      <c r="B2142" s="57">
        <v>114.3</v>
      </c>
      <c r="C2142" s="57">
        <v>114.45</v>
      </c>
    </row>
    <row r="2143" spans="1:3">
      <c r="A2143" s="55">
        <v>43270</v>
      </c>
      <c r="B2143" s="56">
        <v>112.65</v>
      </c>
      <c r="C2143" s="56">
        <v>114.1</v>
      </c>
    </row>
    <row r="2144" spans="1:3">
      <c r="A2144" s="55">
        <v>43271</v>
      </c>
      <c r="B2144" s="57">
        <v>113.35</v>
      </c>
      <c r="C2144" s="57">
        <v>113.65</v>
      </c>
    </row>
    <row r="2145" spans="1:3">
      <c r="A2145" s="55">
        <v>43272</v>
      </c>
      <c r="B2145" s="56">
        <v>112</v>
      </c>
      <c r="C2145" s="56">
        <v>112.6</v>
      </c>
    </row>
    <row r="2146" spans="1:3">
      <c r="A2146" s="55">
        <v>43273</v>
      </c>
      <c r="B2146" s="57">
        <v>113.4</v>
      </c>
      <c r="C2146" s="57">
        <v>113.85</v>
      </c>
    </row>
    <row r="2147" spans="1:3">
      <c r="A2147" s="55">
        <v>43276</v>
      </c>
      <c r="B2147" s="56">
        <v>113.5</v>
      </c>
      <c r="C2147" s="56">
        <v>114.15</v>
      </c>
    </row>
    <row r="2148" spans="1:3">
      <c r="A2148" s="55">
        <v>43277</v>
      </c>
      <c r="B2148" s="57">
        <v>114.05</v>
      </c>
      <c r="C2148" s="57">
        <v>114.8</v>
      </c>
    </row>
    <row r="2149" spans="1:3">
      <c r="A2149" s="55">
        <v>43278</v>
      </c>
      <c r="B2149" s="56">
        <v>113.7</v>
      </c>
      <c r="C2149" s="56">
        <v>114.3</v>
      </c>
    </row>
    <row r="2150" spans="1:3">
      <c r="A2150" s="55">
        <v>43279</v>
      </c>
      <c r="B2150" s="57">
        <v>112</v>
      </c>
      <c r="C2150" s="57">
        <v>112.15</v>
      </c>
    </row>
    <row r="2151" spans="1:3">
      <c r="A2151" s="55">
        <v>43280</v>
      </c>
      <c r="B2151" s="56">
        <v>112.55</v>
      </c>
      <c r="C2151" s="56">
        <v>111.5</v>
      </c>
    </row>
    <row r="2152" spans="1:3">
      <c r="A2152" s="55">
        <v>43283</v>
      </c>
      <c r="B2152" s="57">
        <v>107.65</v>
      </c>
      <c r="C2152" s="57">
        <v>107.8</v>
      </c>
    </row>
    <row r="2153" spans="1:3">
      <c r="A2153" s="55">
        <v>43284</v>
      </c>
      <c r="B2153" s="56">
        <v>108.45</v>
      </c>
      <c r="C2153" s="56">
        <v>108.35</v>
      </c>
    </row>
    <row r="2154" spans="1:3">
      <c r="A2154" s="55">
        <v>43285</v>
      </c>
      <c r="B2154" s="57">
        <v>0</v>
      </c>
      <c r="C2154" s="57">
        <v>108.35</v>
      </c>
    </row>
    <row r="2155" spans="1:3">
      <c r="A2155" s="55">
        <v>43286</v>
      </c>
      <c r="B2155" s="56">
        <v>106.3</v>
      </c>
      <c r="C2155" s="56">
        <v>106.3</v>
      </c>
    </row>
    <row r="2156" spans="1:3">
      <c r="A2156" s="55">
        <v>43287</v>
      </c>
      <c r="B2156" s="57">
        <v>106.2</v>
      </c>
      <c r="C2156" s="57">
        <v>111.25</v>
      </c>
    </row>
    <row r="2157" spans="1:3">
      <c r="A2157" s="55">
        <v>43290</v>
      </c>
      <c r="B2157" s="56">
        <v>0</v>
      </c>
      <c r="C2157" s="56">
        <v>112.2</v>
      </c>
    </row>
    <row r="2158" spans="1:3">
      <c r="A2158" s="55">
        <v>43291</v>
      </c>
      <c r="B2158" s="57">
        <v>111.8</v>
      </c>
      <c r="C2158" s="57">
        <v>111.95</v>
      </c>
    </row>
    <row r="2159" spans="1:3">
      <c r="A2159" s="55">
        <v>43292</v>
      </c>
      <c r="B2159" s="56">
        <v>108.35</v>
      </c>
      <c r="C2159" s="56">
        <v>109.2</v>
      </c>
    </row>
    <row r="2160" spans="1:3">
      <c r="A2160" s="55">
        <v>43293</v>
      </c>
      <c r="B2160" s="57">
        <v>0</v>
      </c>
      <c r="C2160" s="57">
        <v>108.7</v>
      </c>
    </row>
    <row r="2161" spans="1:3">
      <c r="A2161" s="55">
        <v>43294</v>
      </c>
      <c r="B2161" s="56">
        <v>107.15</v>
      </c>
      <c r="C2161" s="56">
        <v>107.05</v>
      </c>
    </row>
    <row r="2162" spans="1:3">
      <c r="A2162" s="55">
        <v>43297</v>
      </c>
      <c r="B2162" s="57">
        <v>0</v>
      </c>
      <c r="C2162" s="57">
        <v>107.45</v>
      </c>
    </row>
    <row r="2163" spans="1:3">
      <c r="A2163" s="55">
        <v>43298</v>
      </c>
      <c r="B2163" s="56">
        <v>106.55</v>
      </c>
      <c r="C2163" s="56">
        <v>105.7</v>
      </c>
    </row>
    <row r="2164" spans="1:3">
      <c r="A2164" s="55">
        <v>43299</v>
      </c>
      <c r="B2164" s="57">
        <v>105.8</v>
      </c>
      <c r="C2164" s="57">
        <v>104.6</v>
      </c>
    </row>
    <row r="2165" spans="1:3">
      <c r="A2165" s="55">
        <v>43300</v>
      </c>
      <c r="B2165" s="56">
        <v>0</v>
      </c>
      <c r="C2165" s="56">
        <v>105.25</v>
      </c>
    </row>
    <row r="2166" spans="1:3">
      <c r="A2166" s="55">
        <v>43301</v>
      </c>
      <c r="B2166" s="57">
        <v>108.1</v>
      </c>
      <c r="C2166" s="57">
        <v>110.65</v>
      </c>
    </row>
    <row r="2167" spans="1:3">
      <c r="A2167" s="55">
        <v>43304</v>
      </c>
      <c r="B2167" s="56">
        <v>110.7</v>
      </c>
      <c r="C2167" s="56">
        <v>111.65</v>
      </c>
    </row>
    <row r="2168" spans="1:3">
      <c r="A2168" s="55">
        <v>43305</v>
      </c>
      <c r="B2168" s="57">
        <v>110.15</v>
      </c>
      <c r="C2168" s="57">
        <v>110.95</v>
      </c>
    </row>
    <row r="2169" spans="1:3">
      <c r="A2169" s="55">
        <v>43306</v>
      </c>
      <c r="B2169" s="56">
        <v>109.9</v>
      </c>
      <c r="C2169" s="56">
        <v>111</v>
      </c>
    </row>
    <row r="2170" spans="1:3">
      <c r="A2170" s="55">
        <v>43307</v>
      </c>
      <c r="B2170" s="57">
        <v>109.25</v>
      </c>
      <c r="C2170" s="57">
        <v>109.55</v>
      </c>
    </row>
    <row r="2171" spans="1:3">
      <c r="A2171" s="55">
        <v>43308</v>
      </c>
      <c r="B2171" s="56">
        <v>108.7</v>
      </c>
      <c r="C2171" s="56">
        <v>110.45</v>
      </c>
    </row>
    <row r="2172" spans="1:3">
      <c r="A2172" s="55">
        <v>43311</v>
      </c>
      <c r="B2172" s="57">
        <v>109.65</v>
      </c>
      <c r="C2172" s="57">
        <v>111.4</v>
      </c>
    </row>
    <row r="2173" spans="1:3">
      <c r="A2173" s="55">
        <v>43312</v>
      </c>
      <c r="B2173" s="56">
        <v>109.55</v>
      </c>
      <c r="C2173" s="56">
        <v>109.9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Z749"/>
  <sheetViews>
    <sheetView showGridLines="0" topLeftCell="A34" workbookViewId="0">
      <selection activeCell="A58" sqref="A58"/>
    </sheetView>
  </sheetViews>
  <sheetFormatPr defaultRowHeight="15"/>
  <cols>
    <col min="1" max="1" width="20.28515625" bestFit="1" customWidth="1"/>
    <col min="2" max="2" width="16.85546875" bestFit="1" customWidth="1"/>
    <col min="3" max="4" width="11.5703125" bestFit="1" customWidth="1"/>
    <col min="5" max="5" width="18" bestFit="1" customWidth="1"/>
    <col min="6" max="6" width="26.28515625" bestFit="1" customWidth="1"/>
    <col min="7" max="7" width="10.140625" bestFit="1" customWidth="1"/>
    <col min="8" max="9" width="12.42578125" bestFit="1" customWidth="1"/>
    <col min="10" max="12" width="18.140625" customWidth="1"/>
    <col min="13" max="13" width="20.28515625" bestFit="1" customWidth="1"/>
    <col min="14" max="14" width="33" bestFit="1" customWidth="1"/>
    <col min="15" max="16" width="17.85546875" bestFit="1" customWidth="1"/>
    <col min="20" max="20" width="18" bestFit="1" customWidth="1"/>
    <col min="21" max="21" width="25.85546875" bestFit="1" customWidth="1"/>
    <col min="22" max="22" width="36" bestFit="1" customWidth="1"/>
    <col min="23" max="23" width="25.7109375" bestFit="1" customWidth="1"/>
    <col min="24" max="24" width="18" bestFit="1" customWidth="1"/>
    <col min="25" max="25" width="26.7109375" bestFit="1" customWidth="1"/>
  </cols>
  <sheetData>
    <row r="1" spans="1:15" ht="15.75" thickBot="1">
      <c r="A1" t="s">
        <v>425</v>
      </c>
    </row>
    <row r="2" spans="1:15">
      <c r="A2" s="135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0"/>
    </row>
    <row r="3" spans="1:15" ht="51">
      <c r="A3" s="137" t="s">
        <v>62</v>
      </c>
      <c r="B3" s="121" t="s">
        <v>63</v>
      </c>
      <c r="C3" s="35" t="s">
        <v>64</v>
      </c>
      <c r="D3" s="36" t="s">
        <v>65</v>
      </c>
      <c r="E3" s="36" t="s">
        <v>66</v>
      </c>
      <c r="F3" s="66" t="s">
        <v>67</v>
      </c>
      <c r="G3" s="36" t="s">
        <v>427</v>
      </c>
      <c r="H3" s="36" t="s">
        <v>448</v>
      </c>
      <c r="I3" s="66" t="s">
        <v>449</v>
      </c>
      <c r="J3" s="36" t="s">
        <v>450</v>
      </c>
      <c r="K3" s="36" t="s">
        <v>451</v>
      </c>
      <c r="L3" s="36" t="s">
        <v>452</v>
      </c>
      <c r="M3" s="36" t="s">
        <v>453</v>
      </c>
      <c r="N3" s="37" t="s">
        <v>454</v>
      </c>
      <c r="O3" s="131"/>
    </row>
    <row r="4" spans="1:15">
      <c r="A4" s="138" t="str">
        <f>IF(ISNA(SUM(Delivery[Volume delivered (kg)]))=FALSE,"ok","ERRO")</f>
        <v>ok</v>
      </c>
      <c r="B4" s="29" t="str">
        <f>IF(ISNA(SUM(Delivery[% volume used]))=FALSE,"ok","ERRO")</f>
        <v>ok</v>
      </c>
      <c r="C4" s="29" t="str">
        <f>IF(ISNA(SUM(Delivery[Qt. Delivery * Base Price]))=FALSE,"ok","ERRO")</f>
        <v>ok</v>
      </c>
      <c r="D4" s="29" t="str">
        <f>IF(ISNA(SUM(Delivery[menor que Nespresso Total?]))=FALSE,"ok","ERRO")</f>
        <v>ok</v>
      </c>
      <c r="E4" s="29" t="str">
        <f>IF(ISNA(SUM(Delivery[Prêmio AAA por saca]))=FALSE,"ok","ERRO")</f>
        <v>ok</v>
      </c>
      <c r="F4" s="29" t="str">
        <f>IF(ISNA(SUM(Delivery[Prêmio BEN por saca]))=FALSE,"ok","ERRO")</f>
        <v>ok</v>
      </c>
      <c r="G4" s="29" t="str">
        <f>IF(ISNA(SUM(Delivery[Delivery ID repetido]))=FALSE,"ok","ERRO")</f>
        <v>ok</v>
      </c>
      <c r="H4" s="29" t="str">
        <f>IF(ISNA(SUM(Delivery[Valor Nespresso Total por Kg (em US$)]))=FALSE,"ok","ERRO")</f>
        <v>ok</v>
      </c>
      <c r="I4" s="29" t="str">
        <f>IF(ISNA(SUM(Delivery[Valor Prêmio Nespresso AAA por Kg (em US$)]))=FALSE,"ok","ERRO")</f>
        <v>ok</v>
      </c>
      <c r="J4" s="29" t="str">
        <f>IF(ISNA(SUM(Delivery[Valor Prêmio Nespresso AAA por saca (em US$)]))=FALSE,"ok","ERRO")</f>
        <v>ok</v>
      </c>
      <c r="K4" s="29" t="str">
        <f>IF(ISNA(SUM(Delivery[Valor Prêmio Nespresso AAA por saca (em Libras)]))=FALSE,"ok","ERRO")</f>
        <v>ok</v>
      </c>
      <c r="L4" s="29" t="str">
        <f>IF(ISNA(SUM(Delivery[Valor Prêmio Nespresso BEN por Kg (em US$)]))=FALSE,"ok","ERRO")</f>
        <v>ok</v>
      </c>
      <c r="M4" s="29" t="str">
        <f>IF(ISNA(SUM(Delivery[Valor Prêmio Nespresso BEN por saca (em US$)]))=FALSE,"ok","ERRO")</f>
        <v>ok</v>
      </c>
      <c r="N4" s="29" t="str">
        <f>IF(ISNA(SUM(Delivery[Valor Prêmio Nespresso BEN por saca (em Libras)]))=FALSE,"ok","ERRO")</f>
        <v>ok</v>
      </c>
      <c r="O4" s="131"/>
    </row>
    <row r="5" spans="1:15">
      <c r="A5" s="138"/>
      <c r="B5" s="29"/>
      <c r="C5" s="29"/>
      <c r="D5" s="149">
        <f>COUNTIF(Delivery[menor que Nespresso Total?],"&lt;0")</f>
        <v>366</v>
      </c>
      <c r="E5" s="149">
        <f>COUNTIF(Delivery[Prêmio AAA por saca],"&gt;7")</f>
        <v>603</v>
      </c>
      <c r="F5" s="148">
        <f>COUNTIF(Delivery[Prêmio BEN por saca],"&gt;5")</f>
        <v>10</v>
      </c>
      <c r="G5" s="149">
        <f>COUNTIF(Delivery[Delivery ID repetido],"&gt;1")</f>
        <v>0</v>
      </c>
      <c r="O5" s="131"/>
    </row>
    <row r="6" spans="1:15" ht="15.75" thickBot="1">
      <c r="A6" s="139"/>
      <c r="B6" s="140"/>
      <c r="C6" s="141"/>
      <c r="D6" s="142"/>
      <c r="E6" s="143"/>
      <c r="F6" s="143"/>
      <c r="G6" s="144"/>
      <c r="H6" s="50"/>
      <c r="I6" s="50"/>
      <c r="J6" s="50"/>
      <c r="K6" s="50"/>
      <c r="L6" s="50"/>
      <c r="M6" s="50"/>
      <c r="N6" s="50"/>
      <c r="O6" s="132"/>
    </row>
    <row r="9" spans="1:15" ht="15.75" thickBot="1">
      <c r="A9" t="s">
        <v>426</v>
      </c>
    </row>
    <row r="10" spans="1:15">
      <c r="A10" s="51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130"/>
    </row>
    <row r="11" spans="1:15" ht="36">
      <c r="A11" s="145" t="s">
        <v>70</v>
      </c>
      <c r="B11" s="45" t="s">
        <v>71</v>
      </c>
      <c r="C11" s="64" t="s">
        <v>72</v>
      </c>
      <c r="D11" s="45" t="s">
        <v>73</v>
      </c>
      <c r="E11" s="60" t="s">
        <v>74</v>
      </c>
      <c r="F11" s="33" t="s">
        <v>75</v>
      </c>
      <c r="G11" s="116" t="s">
        <v>76</v>
      </c>
      <c r="H11" s="116" t="s">
        <v>77</v>
      </c>
      <c r="I11" s="116" t="s">
        <v>78</v>
      </c>
      <c r="J11" s="36" t="s">
        <v>79</v>
      </c>
      <c r="K11" s="37" t="s">
        <v>435</v>
      </c>
      <c r="L11" s="131"/>
    </row>
    <row r="12" spans="1:15">
      <c r="A12" s="146" t="str">
        <f>IF(ISNA(SUM(Allocation[% container filling]))=FALSE,"ok","ERRO")</f>
        <v>ok</v>
      </c>
      <c r="B12" s="32" t="str">
        <f>IF(ISNA(SUM(Allocation[Total volume used]))=FALSE,"ok","ERRO")</f>
        <v>ok</v>
      </c>
      <c r="C12" s="32" t="str">
        <f>IF(ISNA(SUM(Allocation[% of delivery used in total]))=FALSE,"ok","ERRO")</f>
        <v>ok</v>
      </c>
      <c r="D12" s="32" t="str">
        <f>IF(ISNA(SUM(Allocation[Volume available (kg)]))=FALSE,"ok","ERRO")</f>
        <v>ok</v>
      </c>
      <c r="E12" s="32" t="str">
        <f>IF(ISNA(SUM(Allocation[% of delivery allocated in total]))=FALSE,"ok","ERRO")</f>
        <v>ok</v>
      </c>
      <c r="F12" s="32" t="str">
        <f>IF(ISNA(SUM(Allocation[% of delivery for this container]))=FALSE,"ok","ERRO")</f>
        <v>ok</v>
      </c>
      <c r="G12" s="32" t="str">
        <f>IF(ISNA(SUM(Allocation[Volume contracted (kg)]))=FALSE,"ok","ERRO")</f>
        <v>ERRO</v>
      </c>
      <c r="H12" s="32" t="str">
        <f>IF(ISNA(SUM(Allocation[AAA Premium received (USD)]))=FALSE,"ok","ERRO")</f>
        <v>ERRO</v>
      </c>
      <c r="I12" s="32" t="str">
        <f>IF(ISNA(SUM(Allocation[BEN Premium received (USD)]))=FALSE,"ok","ERRO")</f>
        <v>ERRO</v>
      </c>
      <c r="J12" s="32" t="str">
        <f>IF(ISNA(SUM(Allocation[DILUTION RATE2]))=FALSE,"ok","ERRO")</f>
        <v>ok</v>
      </c>
      <c r="K12" s="32" t="str">
        <f>IF(ISNA(SUM(Allocation[Qtty Allocated &lt; Qtty Processed?]))=FALSE,"ok","ERRO")</f>
        <v>ok</v>
      </c>
      <c r="L12" s="131"/>
    </row>
    <row r="13" spans="1:15">
      <c r="A13" s="146"/>
      <c r="B13" s="32"/>
      <c r="C13" s="32"/>
      <c r="D13" s="32"/>
      <c r="E13" s="32"/>
      <c r="F13" s="32"/>
      <c r="G13" s="32"/>
      <c r="H13" s="32"/>
      <c r="I13" s="32"/>
      <c r="J13" s="32"/>
      <c r="K13" s="154">
        <f>COUNTIF(Allocation[Qtty Allocated &lt; Qtty Processed?],"falso")</f>
        <v>0</v>
      </c>
      <c r="L13" s="131"/>
    </row>
    <row r="14" spans="1:15" ht="15.75" thickBot="1">
      <c r="A14" s="147"/>
      <c r="B14" s="141"/>
      <c r="C14" s="140"/>
      <c r="D14" s="141"/>
      <c r="E14" s="140"/>
      <c r="F14" s="140"/>
      <c r="G14" s="141"/>
      <c r="H14" s="141"/>
      <c r="I14" s="141"/>
      <c r="J14" s="141"/>
      <c r="K14" s="141"/>
      <c r="L14" s="132"/>
    </row>
    <row r="19" spans="1:26">
      <c r="A19" t="s">
        <v>428</v>
      </c>
      <c r="E19" t="s">
        <v>432</v>
      </c>
      <c r="M19" t="s">
        <v>434</v>
      </c>
      <c r="T19" t="s">
        <v>438</v>
      </c>
    </row>
    <row r="21" spans="1:26" ht="30">
      <c r="A21" s="152" t="s">
        <v>429</v>
      </c>
      <c r="B21" s="153" t="s">
        <v>431</v>
      </c>
      <c r="E21" s="150" t="s">
        <v>429</v>
      </c>
      <c r="F21" t="s">
        <v>433</v>
      </c>
      <c r="M21" s="152" t="s">
        <v>4</v>
      </c>
      <c r="N21" s="150" t="s">
        <v>21</v>
      </c>
      <c r="O21" s="150" t="s">
        <v>23</v>
      </c>
      <c r="P21" s="150" t="s">
        <v>79</v>
      </c>
      <c r="Q21" s="150"/>
      <c r="R21" s="150"/>
      <c r="S21" s="150"/>
      <c r="T21" s="150" t="s">
        <v>429</v>
      </c>
      <c r="U21" t="s">
        <v>436</v>
      </c>
      <c r="V21" t="s">
        <v>437</v>
      </c>
      <c r="X21" s="150"/>
      <c r="Y21" s="150"/>
      <c r="Z21" s="150"/>
    </row>
    <row r="22" spans="1:26">
      <c r="A22" s="151">
        <v>232393383</v>
      </c>
      <c r="B22" s="34">
        <v>12740</v>
      </c>
      <c r="E22" s="151">
        <v>232393383</v>
      </c>
      <c r="F22" s="34">
        <v>12740</v>
      </c>
      <c r="H22" t="b">
        <f>A22=E22</f>
        <v>1</v>
      </c>
      <c r="I22" t="b">
        <f>B22=F22</f>
        <v>1</v>
      </c>
      <c r="M22">
        <v>17176388235</v>
      </c>
      <c r="N22" t="s">
        <v>440</v>
      </c>
      <c r="O22">
        <v>1.97</v>
      </c>
      <c r="P22">
        <v>1.8178785857238158</v>
      </c>
      <c r="T22" s="151">
        <v>1410861</v>
      </c>
      <c r="U22" s="39">
        <v>21000</v>
      </c>
      <c r="V22" s="34">
        <v>21000</v>
      </c>
      <c r="W22" s="39">
        <f>U22-V22</f>
        <v>0</v>
      </c>
    </row>
    <row r="23" spans="1:26">
      <c r="A23" s="151">
        <v>310392081</v>
      </c>
      <c r="B23" s="34">
        <v>14580</v>
      </c>
      <c r="E23" s="151">
        <v>310392081</v>
      </c>
      <c r="F23" s="34">
        <v>14580</v>
      </c>
      <c r="H23" t="b">
        <f t="shared" ref="H23:H86" si="0">A23=E23</f>
        <v>1</v>
      </c>
      <c r="I23" t="b">
        <f t="shared" ref="I23:I86" si="1">B23=F23</f>
        <v>1</v>
      </c>
      <c r="M23">
        <v>17176388235</v>
      </c>
      <c r="N23" t="s">
        <v>440</v>
      </c>
      <c r="O23">
        <v>1.97</v>
      </c>
      <c r="P23">
        <v>1.8182385229540918</v>
      </c>
      <c r="T23" s="151">
        <v>1410862</v>
      </c>
      <c r="U23" s="39">
        <v>21000</v>
      </c>
      <c r="V23" s="34">
        <v>21000</v>
      </c>
      <c r="W23" s="39">
        <f t="shared" ref="W23:W86" si="2">U23-V23</f>
        <v>0</v>
      </c>
    </row>
    <row r="24" spans="1:26">
      <c r="A24" s="151">
        <v>311392081</v>
      </c>
      <c r="B24" s="34">
        <v>15320</v>
      </c>
      <c r="E24" s="151">
        <v>311392081</v>
      </c>
      <c r="F24" s="34">
        <v>15320</v>
      </c>
      <c r="H24" t="b">
        <f t="shared" si="0"/>
        <v>1</v>
      </c>
      <c r="I24" t="b">
        <f t="shared" si="1"/>
        <v>1</v>
      </c>
      <c r="M24">
        <v>17211388656</v>
      </c>
      <c r="N24" t="s">
        <v>440</v>
      </c>
      <c r="O24">
        <v>1.97</v>
      </c>
      <c r="P24">
        <v>2.21875</v>
      </c>
      <c r="T24" s="151">
        <v>1410863</v>
      </c>
      <c r="U24" s="39">
        <v>21000</v>
      </c>
      <c r="V24" s="34">
        <v>21000</v>
      </c>
      <c r="W24" s="39">
        <f t="shared" si="2"/>
        <v>0</v>
      </c>
    </row>
    <row r="25" spans="1:26">
      <c r="A25" s="151">
        <v>316392081</v>
      </c>
      <c r="B25" s="34">
        <v>2640</v>
      </c>
      <c r="E25" s="151">
        <v>316392081</v>
      </c>
      <c r="F25" s="34">
        <v>2640</v>
      </c>
      <c r="H25" t="b">
        <f t="shared" si="0"/>
        <v>1</v>
      </c>
      <c r="I25" t="b">
        <f t="shared" si="1"/>
        <v>1</v>
      </c>
      <c r="M25">
        <v>9851388596</v>
      </c>
      <c r="N25" t="s">
        <v>440</v>
      </c>
      <c r="O25">
        <v>1.97</v>
      </c>
      <c r="P25">
        <v>2.2222222222222223</v>
      </c>
      <c r="T25" s="151">
        <v>1410864</v>
      </c>
      <c r="U25" s="39">
        <v>21000</v>
      </c>
      <c r="V25" s="34">
        <v>21000</v>
      </c>
      <c r="W25" s="39">
        <f t="shared" si="2"/>
        <v>0</v>
      </c>
    </row>
    <row r="26" spans="1:26">
      <c r="A26" s="151">
        <v>316396078</v>
      </c>
      <c r="B26" s="34">
        <v>14940</v>
      </c>
      <c r="E26" s="151">
        <v>316396078</v>
      </c>
      <c r="F26" s="34">
        <v>14940</v>
      </c>
      <c r="H26" t="b">
        <f t="shared" si="0"/>
        <v>1</v>
      </c>
      <c r="I26" t="b">
        <f t="shared" si="1"/>
        <v>1</v>
      </c>
      <c r="M26">
        <v>9851388752</v>
      </c>
      <c r="N26" t="s">
        <v>440</v>
      </c>
      <c r="O26">
        <v>1.97</v>
      </c>
      <c r="P26">
        <v>2.2222222222222223</v>
      </c>
      <c r="T26" s="151">
        <v>1410865</v>
      </c>
      <c r="U26" s="39">
        <v>21000</v>
      </c>
      <c r="V26" s="34">
        <v>21000</v>
      </c>
      <c r="W26" s="39">
        <f t="shared" si="2"/>
        <v>0</v>
      </c>
    </row>
    <row r="27" spans="1:26">
      <c r="A27" s="151">
        <v>1906385678</v>
      </c>
      <c r="B27" s="34">
        <v>455</v>
      </c>
      <c r="E27" s="151">
        <v>1906385678</v>
      </c>
      <c r="F27" s="34">
        <v>455</v>
      </c>
      <c r="H27" t="b">
        <f t="shared" si="0"/>
        <v>1</v>
      </c>
      <c r="I27" t="b">
        <f t="shared" si="1"/>
        <v>1</v>
      </c>
      <c r="M27">
        <v>3183388770</v>
      </c>
      <c r="N27" t="s">
        <v>440</v>
      </c>
      <c r="O27">
        <v>1.97</v>
      </c>
      <c r="P27">
        <v>2.2229102167182662</v>
      </c>
      <c r="T27" s="151">
        <v>1410866</v>
      </c>
      <c r="U27" s="39">
        <v>21000</v>
      </c>
      <c r="V27" s="34">
        <v>21000</v>
      </c>
      <c r="W27" s="39">
        <f t="shared" si="2"/>
        <v>0</v>
      </c>
    </row>
    <row r="28" spans="1:26">
      <c r="A28" s="151">
        <v>1942388268</v>
      </c>
      <c r="B28" s="34">
        <v>13310</v>
      </c>
      <c r="E28" s="151">
        <v>1942388268</v>
      </c>
      <c r="F28" s="34">
        <v>13310</v>
      </c>
      <c r="H28" t="b">
        <f t="shared" si="0"/>
        <v>1</v>
      </c>
      <c r="I28" t="b">
        <f t="shared" si="1"/>
        <v>1</v>
      </c>
      <c r="M28">
        <v>16961388692</v>
      </c>
      <c r="N28" t="s">
        <v>440</v>
      </c>
      <c r="O28">
        <v>1.97</v>
      </c>
      <c r="P28">
        <v>1.8151815181518152</v>
      </c>
      <c r="T28" s="151">
        <v>1410867</v>
      </c>
      <c r="U28" s="39">
        <v>21000</v>
      </c>
      <c r="V28" s="34">
        <v>21000</v>
      </c>
      <c r="W28" s="39">
        <f t="shared" si="2"/>
        <v>0</v>
      </c>
    </row>
    <row r="29" spans="1:26">
      <c r="A29" s="151">
        <v>1945391633</v>
      </c>
      <c r="B29" s="34">
        <v>9820</v>
      </c>
      <c r="E29" s="151">
        <v>1945391633</v>
      </c>
      <c r="F29" s="34">
        <v>9820</v>
      </c>
      <c r="H29" t="b">
        <f t="shared" si="0"/>
        <v>1</v>
      </c>
      <c r="I29" t="b">
        <f t="shared" si="1"/>
        <v>1</v>
      </c>
      <c r="M29">
        <v>9896389147</v>
      </c>
      <c r="N29" t="s">
        <v>440</v>
      </c>
      <c r="O29">
        <v>1.97</v>
      </c>
      <c r="P29">
        <v>1.8185328185328185</v>
      </c>
      <c r="T29" s="151">
        <v>1410868</v>
      </c>
      <c r="U29" s="39">
        <v>21000</v>
      </c>
      <c r="V29" s="34">
        <v>21000</v>
      </c>
      <c r="W29" s="39">
        <f t="shared" si="2"/>
        <v>0</v>
      </c>
    </row>
    <row r="30" spans="1:26">
      <c r="A30" s="151">
        <v>1947388268</v>
      </c>
      <c r="B30" s="34">
        <v>7080</v>
      </c>
      <c r="E30" s="151">
        <v>1947388268</v>
      </c>
      <c r="F30" s="34">
        <v>7080</v>
      </c>
      <c r="H30" t="b">
        <f t="shared" si="0"/>
        <v>1</v>
      </c>
      <c r="I30" t="b">
        <f t="shared" si="1"/>
        <v>1</v>
      </c>
      <c r="M30">
        <v>17042388965</v>
      </c>
      <c r="N30" t="s">
        <v>440</v>
      </c>
      <c r="O30">
        <v>1.97</v>
      </c>
      <c r="P30">
        <v>1.8181818181818181</v>
      </c>
      <c r="T30" s="151">
        <v>1410869</v>
      </c>
      <c r="U30" s="39">
        <v>21000</v>
      </c>
      <c r="V30" s="34">
        <v>21000</v>
      </c>
      <c r="W30" s="39">
        <f t="shared" si="2"/>
        <v>0</v>
      </c>
    </row>
    <row r="31" spans="1:26">
      <c r="A31" s="151">
        <v>1947389617</v>
      </c>
      <c r="B31" s="34">
        <v>1140</v>
      </c>
      <c r="E31" s="151">
        <v>1947389617</v>
      </c>
      <c r="F31" s="34">
        <v>1140</v>
      </c>
      <c r="H31" t="b">
        <f t="shared" si="0"/>
        <v>1</v>
      </c>
      <c r="I31" t="b">
        <f t="shared" si="1"/>
        <v>1</v>
      </c>
      <c r="M31">
        <v>17116388931</v>
      </c>
      <c r="N31" t="s">
        <v>440</v>
      </c>
      <c r="O31">
        <v>1.97</v>
      </c>
      <c r="P31">
        <v>1.8174311926605504</v>
      </c>
      <c r="T31" s="151">
        <v>1410870</v>
      </c>
      <c r="U31" s="39">
        <v>21000</v>
      </c>
      <c r="V31" s="34">
        <v>21000</v>
      </c>
      <c r="W31" s="39">
        <f t="shared" si="2"/>
        <v>0</v>
      </c>
    </row>
    <row r="32" spans="1:26">
      <c r="A32" s="151">
        <v>1951389759</v>
      </c>
      <c r="B32" s="34">
        <v>6370</v>
      </c>
      <c r="E32" s="151">
        <v>1951389759</v>
      </c>
      <c r="F32" s="34">
        <v>6370</v>
      </c>
      <c r="H32" t="b">
        <f t="shared" si="0"/>
        <v>1</v>
      </c>
      <c r="I32" t="b">
        <f t="shared" si="1"/>
        <v>1</v>
      </c>
      <c r="M32">
        <v>17116388984</v>
      </c>
      <c r="N32" t="s">
        <v>440</v>
      </c>
      <c r="O32">
        <v>1.97</v>
      </c>
      <c r="P32">
        <v>1.8164146868250539</v>
      </c>
      <c r="T32" s="151">
        <v>1412667</v>
      </c>
      <c r="U32" s="39">
        <v>19175</v>
      </c>
      <c r="V32" s="34">
        <v>19175</v>
      </c>
      <c r="W32" s="39">
        <f t="shared" si="2"/>
        <v>0</v>
      </c>
    </row>
    <row r="33" spans="1:23">
      <c r="A33" s="151">
        <v>1957390032</v>
      </c>
      <c r="B33" s="34">
        <v>700</v>
      </c>
      <c r="E33" s="151">
        <v>1957390032</v>
      </c>
      <c r="F33" s="34">
        <v>700</v>
      </c>
      <c r="H33" t="b">
        <f t="shared" si="0"/>
        <v>1</v>
      </c>
      <c r="I33" t="b">
        <f t="shared" si="1"/>
        <v>1</v>
      </c>
      <c r="M33">
        <v>17015389205</v>
      </c>
      <c r="N33" t="s">
        <v>440</v>
      </c>
      <c r="O33">
        <v>1.97</v>
      </c>
      <c r="P33">
        <v>2.2222222222222223</v>
      </c>
      <c r="T33" s="151">
        <v>1412668</v>
      </c>
      <c r="U33" s="39">
        <v>19175</v>
      </c>
      <c r="V33" s="34">
        <v>19175</v>
      </c>
      <c r="W33" s="39">
        <f t="shared" si="2"/>
        <v>0</v>
      </c>
    </row>
    <row r="34" spans="1:23">
      <c r="A34" s="151">
        <v>1958391633</v>
      </c>
      <c r="B34" s="34">
        <v>301</v>
      </c>
      <c r="E34" s="151">
        <v>1958391633</v>
      </c>
      <c r="F34" s="34">
        <v>301</v>
      </c>
      <c r="H34" t="b">
        <f t="shared" si="0"/>
        <v>1</v>
      </c>
      <c r="I34" t="b">
        <f t="shared" si="1"/>
        <v>1</v>
      </c>
      <c r="M34">
        <v>17023389205</v>
      </c>
      <c r="N34" t="s">
        <v>440</v>
      </c>
      <c r="O34">
        <v>1.97</v>
      </c>
      <c r="P34">
        <v>2.2222222222222223</v>
      </c>
      <c r="T34" s="151">
        <v>1412669</v>
      </c>
      <c r="U34" s="39">
        <v>19175</v>
      </c>
      <c r="V34" s="34">
        <v>19175</v>
      </c>
      <c r="W34" s="39">
        <f t="shared" si="2"/>
        <v>0</v>
      </c>
    </row>
    <row r="35" spans="1:23">
      <c r="A35" s="151">
        <v>1959390527</v>
      </c>
      <c r="B35" s="34">
        <v>8650</v>
      </c>
      <c r="E35" s="151">
        <v>1959390527</v>
      </c>
      <c r="F35" s="34">
        <v>8650</v>
      </c>
      <c r="H35" t="b">
        <f t="shared" si="0"/>
        <v>1</v>
      </c>
      <c r="I35" t="b">
        <f t="shared" si="1"/>
        <v>1</v>
      </c>
      <c r="M35">
        <v>17153389205</v>
      </c>
      <c r="N35" t="s">
        <v>440</v>
      </c>
      <c r="O35">
        <v>1.97</v>
      </c>
      <c r="P35">
        <v>1.8182579564489112</v>
      </c>
      <c r="T35" s="151">
        <v>1412670</v>
      </c>
      <c r="U35" s="39">
        <v>19175</v>
      </c>
      <c r="V35" s="34">
        <v>19175</v>
      </c>
      <c r="W35" s="39">
        <f t="shared" si="2"/>
        <v>0</v>
      </c>
    </row>
    <row r="36" spans="1:23">
      <c r="A36" s="151">
        <v>1965391633</v>
      </c>
      <c r="B36" s="34">
        <v>9630</v>
      </c>
      <c r="E36" s="151">
        <v>1965391633</v>
      </c>
      <c r="F36" s="34">
        <v>9630</v>
      </c>
      <c r="H36" t="b">
        <f t="shared" si="0"/>
        <v>1</v>
      </c>
      <c r="I36" t="b">
        <f t="shared" si="1"/>
        <v>1</v>
      </c>
      <c r="M36">
        <v>17153389205</v>
      </c>
      <c r="N36" t="s">
        <v>440</v>
      </c>
      <c r="O36">
        <v>1.97</v>
      </c>
      <c r="P36">
        <v>1.8182652592932538</v>
      </c>
      <c r="T36" s="151">
        <v>1412671</v>
      </c>
      <c r="U36" s="39">
        <v>19175</v>
      </c>
      <c r="V36" s="34">
        <v>19175</v>
      </c>
      <c r="W36" s="39">
        <f t="shared" si="2"/>
        <v>0</v>
      </c>
    </row>
    <row r="37" spans="1:23">
      <c r="A37" s="151">
        <v>1966396497</v>
      </c>
      <c r="B37" s="34">
        <v>9171</v>
      </c>
      <c r="E37" s="151">
        <v>1966396497</v>
      </c>
      <c r="F37" s="34">
        <v>9171</v>
      </c>
      <c r="H37" t="b">
        <f t="shared" si="0"/>
        <v>1</v>
      </c>
      <c r="I37" t="b">
        <f t="shared" si="1"/>
        <v>1</v>
      </c>
      <c r="M37">
        <v>17267389189</v>
      </c>
      <c r="N37" t="s">
        <v>440</v>
      </c>
      <c r="O37">
        <v>1.97</v>
      </c>
      <c r="P37">
        <v>2.2222222222222223</v>
      </c>
      <c r="T37" s="151">
        <v>1412672</v>
      </c>
      <c r="U37" s="39">
        <v>19175</v>
      </c>
      <c r="V37" s="34">
        <v>19175</v>
      </c>
      <c r="W37" s="39">
        <f t="shared" si="2"/>
        <v>0</v>
      </c>
    </row>
    <row r="38" spans="1:23">
      <c r="A38" s="151">
        <v>1966396521</v>
      </c>
      <c r="B38" s="34">
        <v>10489</v>
      </c>
      <c r="E38" s="151">
        <v>1966396521</v>
      </c>
      <c r="F38" s="34">
        <v>10489</v>
      </c>
      <c r="H38" t="b">
        <f t="shared" si="0"/>
        <v>1</v>
      </c>
      <c r="I38" t="b">
        <f t="shared" si="1"/>
        <v>1</v>
      </c>
      <c r="M38">
        <v>17267389189</v>
      </c>
      <c r="N38" t="s">
        <v>440</v>
      </c>
      <c r="O38">
        <v>1.97</v>
      </c>
      <c r="P38">
        <v>2.22508038585209</v>
      </c>
      <c r="T38" s="151">
        <v>1412673</v>
      </c>
      <c r="U38" s="39">
        <v>19175</v>
      </c>
      <c r="V38" s="34">
        <v>19175</v>
      </c>
      <c r="W38" s="39">
        <f t="shared" si="2"/>
        <v>0</v>
      </c>
    </row>
    <row r="39" spans="1:23">
      <c r="A39" s="151">
        <v>1972390325</v>
      </c>
      <c r="B39" s="34">
        <v>18760</v>
      </c>
      <c r="E39" s="151">
        <v>1972390325</v>
      </c>
      <c r="F39" s="34">
        <v>18760</v>
      </c>
      <c r="H39" t="b">
        <f t="shared" si="0"/>
        <v>1</v>
      </c>
      <c r="I39" t="b">
        <f t="shared" si="1"/>
        <v>1</v>
      </c>
      <c r="M39">
        <v>17281389189</v>
      </c>
      <c r="N39" t="s">
        <v>440</v>
      </c>
      <c r="O39">
        <v>1.97</v>
      </c>
      <c r="P39">
        <v>2.2222222222222223</v>
      </c>
      <c r="T39" s="151">
        <v>1412674</v>
      </c>
      <c r="U39" s="39">
        <v>19175</v>
      </c>
      <c r="V39" s="34">
        <v>19175</v>
      </c>
      <c r="W39" s="39">
        <f t="shared" si="2"/>
        <v>0</v>
      </c>
    </row>
    <row r="40" spans="1:23">
      <c r="A40" s="151">
        <v>1973390325</v>
      </c>
      <c r="B40" s="34">
        <v>10440</v>
      </c>
      <c r="E40" s="151">
        <v>1973390325</v>
      </c>
      <c r="F40" s="34">
        <v>10440</v>
      </c>
      <c r="H40" t="b">
        <f t="shared" si="0"/>
        <v>1</v>
      </c>
      <c r="I40" t="b">
        <f t="shared" si="1"/>
        <v>1</v>
      </c>
      <c r="M40">
        <v>9863389212</v>
      </c>
      <c r="N40" t="s">
        <v>440</v>
      </c>
      <c r="O40">
        <v>1.97</v>
      </c>
      <c r="P40">
        <v>1.8181818181818181</v>
      </c>
      <c r="T40" s="151">
        <v>1412675</v>
      </c>
      <c r="U40" s="39">
        <v>19175</v>
      </c>
      <c r="V40" s="34">
        <v>19175</v>
      </c>
      <c r="W40" s="39">
        <f t="shared" si="2"/>
        <v>0</v>
      </c>
    </row>
    <row r="41" spans="1:23">
      <c r="A41" s="151">
        <v>1975396393</v>
      </c>
      <c r="B41" s="34">
        <v>9310</v>
      </c>
      <c r="E41" s="151">
        <v>1975396393</v>
      </c>
      <c r="F41" s="34">
        <v>9310</v>
      </c>
      <c r="H41" t="b">
        <f t="shared" si="0"/>
        <v>1</v>
      </c>
      <c r="I41" t="b">
        <f t="shared" si="1"/>
        <v>1</v>
      </c>
      <c r="M41">
        <v>17066389215</v>
      </c>
      <c r="N41" t="s">
        <v>440</v>
      </c>
      <c r="O41">
        <v>1.97</v>
      </c>
      <c r="P41">
        <v>1.818014705882353</v>
      </c>
      <c r="T41" s="151">
        <v>1412676</v>
      </c>
      <c r="U41" s="39">
        <v>19175</v>
      </c>
      <c r="V41" s="34">
        <v>19175</v>
      </c>
      <c r="W41" s="39">
        <f t="shared" si="2"/>
        <v>0</v>
      </c>
    </row>
    <row r="42" spans="1:23">
      <c r="A42" s="151">
        <v>1979401336</v>
      </c>
      <c r="B42" s="34">
        <v>7975</v>
      </c>
      <c r="E42" s="151">
        <v>1979401336</v>
      </c>
      <c r="F42" s="34">
        <v>7975</v>
      </c>
      <c r="H42" t="b">
        <f t="shared" si="0"/>
        <v>1</v>
      </c>
      <c r="I42" t="b">
        <f t="shared" si="1"/>
        <v>1</v>
      </c>
      <c r="M42">
        <v>17194389215</v>
      </c>
      <c r="N42" t="s">
        <v>440</v>
      </c>
      <c r="O42">
        <v>1.97</v>
      </c>
      <c r="P42">
        <v>1.8181818181818181</v>
      </c>
      <c r="T42" s="151">
        <v>1412689</v>
      </c>
      <c r="U42" s="39">
        <v>21000</v>
      </c>
      <c r="V42" s="34">
        <v>21000</v>
      </c>
      <c r="W42" s="39">
        <f t="shared" si="2"/>
        <v>0</v>
      </c>
    </row>
    <row r="43" spans="1:23">
      <c r="A43" s="151">
        <v>1979401337</v>
      </c>
      <c r="B43" s="34">
        <v>5996</v>
      </c>
      <c r="E43" s="151">
        <v>1979401337</v>
      </c>
      <c r="F43" s="34">
        <v>5996</v>
      </c>
      <c r="H43" t="b">
        <f t="shared" si="0"/>
        <v>1</v>
      </c>
      <c r="I43" t="b">
        <f t="shared" si="1"/>
        <v>1</v>
      </c>
      <c r="M43">
        <v>9876389325</v>
      </c>
      <c r="N43" t="s">
        <v>440</v>
      </c>
      <c r="O43">
        <v>1.97</v>
      </c>
      <c r="P43">
        <v>2.2225791647544746</v>
      </c>
      <c r="T43" s="151">
        <v>1412690</v>
      </c>
      <c r="U43" s="39">
        <v>21000</v>
      </c>
      <c r="V43" s="34">
        <v>21000</v>
      </c>
      <c r="W43" s="39">
        <f t="shared" si="2"/>
        <v>0</v>
      </c>
    </row>
    <row r="44" spans="1:23">
      <c r="A44" s="151">
        <v>2003399760</v>
      </c>
      <c r="B44" s="34">
        <v>11441</v>
      </c>
      <c r="E44" s="151">
        <v>2003399760</v>
      </c>
      <c r="F44" s="34">
        <v>11441</v>
      </c>
      <c r="H44" t="b">
        <f t="shared" si="0"/>
        <v>1</v>
      </c>
      <c r="I44" t="b">
        <f t="shared" si="1"/>
        <v>1</v>
      </c>
      <c r="M44">
        <v>17234384425</v>
      </c>
      <c r="N44" t="s">
        <v>440</v>
      </c>
      <c r="O44">
        <v>1.97</v>
      </c>
      <c r="P44">
        <v>1.8179059180576631</v>
      </c>
      <c r="T44" s="151">
        <v>1412691</v>
      </c>
      <c r="U44" s="39">
        <v>21000</v>
      </c>
      <c r="V44" s="34">
        <v>21000</v>
      </c>
      <c r="W44" s="39">
        <f t="shared" si="2"/>
        <v>0</v>
      </c>
    </row>
    <row r="45" spans="1:23">
      <c r="A45" s="151">
        <v>2007396121</v>
      </c>
      <c r="B45" s="34">
        <v>8384</v>
      </c>
      <c r="E45" s="151">
        <v>2007396121</v>
      </c>
      <c r="F45" s="34">
        <v>8384</v>
      </c>
      <c r="H45" t="b">
        <f t="shared" si="0"/>
        <v>1</v>
      </c>
      <c r="I45" t="b">
        <f t="shared" si="1"/>
        <v>1</v>
      </c>
      <c r="M45">
        <v>17234388990</v>
      </c>
      <c r="N45" t="s">
        <v>440</v>
      </c>
      <c r="O45">
        <v>1.97</v>
      </c>
      <c r="P45">
        <v>1.8179696616102683</v>
      </c>
      <c r="T45" s="151">
        <v>1412692</v>
      </c>
      <c r="U45" s="39">
        <v>21000</v>
      </c>
      <c r="V45" s="34">
        <v>21000</v>
      </c>
      <c r="W45" s="39">
        <f t="shared" si="2"/>
        <v>0</v>
      </c>
    </row>
    <row r="46" spans="1:23">
      <c r="A46" s="151">
        <v>2009393828</v>
      </c>
      <c r="B46" s="34">
        <v>18060</v>
      </c>
      <c r="E46" s="151">
        <v>2009393828</v>
      </c>
      <c r="F46" s="34">
        <v>18060</v>
      </c>
      <c r="H46" t="b">
        <f t="shared" si="0"/>
        <v>1</v>
      </c>
      <c r="I46" t="b">
        <f t="shared" si="1"/>
        <v>1</v>
      </c>
      <c r="M46">
        <v>17242388990</v>
      </c>
      <c r="N46" t="s">
        <v>440</v>
      </c>
      <c r="O46">
        <v>1.97</v>
      </c>
      <c r="P46">
        <v>2.2222222222222223</v>
      </c>
      <c r="T46" s="151">
        <v>1412693</v>
      </c>
      <c r="U46" s="39">
        <v>21000</v>
      </c>
      <c r="V46" s="34">
        <v>21000</v>
      </c>
      <c r="W46" s="39">
        <f t="shared" si="2"/>
        <v>0</v>
      </c>
    </row>
    <row r="47" spans="1:23">
      <c r="A47" s="151">
        <v>2045401333</v>
      </c>
      <c r="B47" s="34">
        <v>14940</v>
      </c>
      <c r="E47" s="151">
        <v>2045401333</v>
      </c>
      <c r="F47" s="34">
        <v>14940</v>
      </c>
      <c r="H47" t="b">
        <f t="shared" si="0"/>
        <v>1</v>
      </c>
      <c r="I47" t="b">
        <f t="shared" si="1"/>
        <v>1</v>
      </c>
      <c r="M47">
        <v>15633458389525</v>
      </c>
      <c r="N47" t="s">
        <v>440</v>
      </c>
      <c r="O47">
        <v>1.97</v>
      </c>
      <c r="P47">
        <v>1.8182374541003672</v>
      </c>
      <c r="T47" s="151">
        <v>1412694</v>
      </c>
      <c r="U47" s="39">
        <v>21000</v>
      </c>
      <c r="V47" s="34">
        <v>21000</v>
      </c>
      <c r="W47" s="39">
        <f t="shared" si="2"/>
        <v>0</v>
      </c>
    </row>
    <row r="48" spans="1:23">
      <c r="A48" s="151">
        <v>2046399452</v>
      </c>
      <c r="B48" s="34">
        <v>897</v>
      </c>
      <c r="E48" s="151">
        <v>2046399452</v>
      </c>
      <c r="F48" s="34">
        <v>897</v>
      </c>
      <c r="H48" t="b">
        <f t="shared" si="0"/>
        <v>1</v>
      </c>
      <c r="I48" t="b">
        <f t="shared" si="1"/>
        <v>1</v>
      </c>
      <c r="M48">
        <v>15633458389525</v>
      </c>
      <c r="N48" t="s">
        <v>440</v>
      </c>
      <c r="O48">
        <v>1.97</v>
      </c>
      <c r="P48">
        <v>1.8185689948892674</v>
      </c>
      <c r="T48" s="151">
        <v>1412695</v>
      </c>
      <c r="U48" s="39">
        <v>21000</v>
      </c>
      <c r="V48" s="34">
        <v>21000</v>
      </c>
      <c r="W48" s="39">
        <f t="shared" si="2"/>
        <v>0</v>
      </c>
    </row>
    <row r="49" spans="1:23">
      <c r="A49" s="151">
        <v>2048401221</v>
      </c>
      <c r="B49" s="34">
        <v>18510</v>
      </c>
      <c r="E49" s="151">
        <v>2048401221</v>
      </c>
      <c r="F49" s="34">
        <v>18510</v>
      </c>
      <c r="H49" t="b">
        <f t="shared" si="0"/>
        <v>1</v>
      </c>
      <c r="I49" t="b">
        <f t="shared" si="1"/>
        <v>1</v>
      </c>
      <c r="M49">
        <v>1942388268</v>
      </c>
      <c r="N49" t="s">
        <v>440</v>
      </c>
      <c r="O49">
        <v>1.97</v>
      </c>
      <c r="P49">
        <v>2.2220367278797997</v>
      </c>
      <c r="T49" s="151">
        <v>1412696</v>
      </c>
      <c r="U49" s="39">
        <v>21000</v>
      </c>
      <c r="V49" s="34">
        <v>21000</v>
      </c>
      <c r="W49" s="39">
        <f t="shared" si="2"/>
        <v>0</v>
      </c>
    </row>
    <row r="50" spans="1:23">
      <c r="A50" s="151">
        <v>2076401221</v>
      </c>
      <c r="B50" s="34">
        <v>14700</v>
      </c>
      <c r="E50" s="151">
        <v>2076401221</v>
      </c>
      <c r="F50" s="34">
        <v>14700</v>
      </c>
      <c r="H50" t="b">
        <f t="shared" si="0"/>
        <v>1</v>
      </c>
      <c r="I50" t="b">
        <f t="shared" si="1"/>
        <v>1</v>
      </c>
      <c r="M50">
        <v>1947388268</v>
      </c>
      <c r="N50" t="s">
        <v>440</v>
      </c>
      <c r="O50">
        <v>1.97</v>
      </c>
      <c r="P50">
        <v>2.2222222222222223</v>
      </c>
      <c r="T50" s="151">
        <v>1412697</v>
      </c>
      <c r="U50" s="39">
        <v>21000</v>
      </c>
      <c r="V50" s="34">
        <v>21000</v>
      </c>
      <c r="W50" s="39">
        <f t="shared" si="2"/>
        <v>0</v>
      </c>
    </row>
    <row r="51" spans="1:23">
      <c r="A51" s="151">
        <v>2132400380</v>
      </c>
      <c r="B51" s="34">
        <v>8735</v>
      </c>
      <c r="E51" s="151">
        <v>2132400380</v>
      </c>
      <c r="F51" s="34">
        <v>8735</v>
      </c>
      <c r="H51" t="b">
        <f t="shared" si="0"/>
        <v>1</v>
      </c>
      <c r="I51" t="b">
        <f t="shared" si="1"/>
        <v>1</v>
      </c>
      <c r="M51">
        <v>1947389617</v>
      </c>
      <c r="N51" t="s">
        <v>440</v>
      </c>
      <c r="O51">
        <v>1.97</v>
      </c>
      <c r="P51">
        <v>2.2222222222222223</v>
      </c>
      <c r="T51" s="151">
        <v>1412698</v>
      </c>
      <c r="U51" s="39">
        <v>21000</v>
      </c>
      <c r="V51" s="34">
        <v>21000</v>
      </c>
      <c r="W51" s="39">
        <f t="shared" si="2"/>
        <v>0</v>
      </c>
    </row>
    <row r="52" spans="1:23">
      <c r="A52" s="151">
        <v>2133400102</v>
      </c>
      <c r="B52" s="34">
        <v>4188</v>
      </c>
      <c r="E52" s="151">
        <v>2133400102</v>
      </c>
      <c r="F52" s="34">
        <v>4188</v>
      </c>
      <c r="H52" t="b">
        <f t="shared" si="0"/>
        <v>1</v>
      </c>
      <c r="I52" t="b">
        <f t="shared" si="1"/>
        <v>1</v>
      </c>
      <c r="M52">
        <v>1951389759</v>
      </c>
      <c r="N52" t="s">
        <v>440</v>
      </c>
      <c r="O52">
        <v>1.97</v>
      </c>
      <c r="P52">
        <v>2.2218346703871643</v>
      </c>
      <c r="T52" s="151">
        <v>8483693</v>
      </c>
      <c r="U52" s="39">
        <v>19175</v>
      </c>
      <c r="V52" s="34">
        <v>19175</v>
      </c>
      <c r="W52" s="39">
        <f t="shared" si="2"/>
        <v>0</v>
      </c>
    </row>
    <row r="53" spans="1:23">
      <c r="A53" s="151">
        <v>2133400390</v>
      </c>
      <c r="B53" s="34">
        <v>4547</v>
      </c>
      <c r="E53" s="151">
        <v>2133400390</v>
      </c>
      <c r="F53" s="34">
        <v>4547</v>
      </c>
      <c r="H53" t="b">
        <f t="shared" si="0"/>
        <v>1</v>
      </c>
      <c r="I53" t="b">
        <f t="shared" si="1"/>
        <v>1</v>
      </c>
      <c r="M53">
        <v>17300389727</v>
      </c>
      <c r="N53" t="s">
        <v>440</v>
      </c>
      <c r="O53">
        <v>1.97</v>
      </c>
      <c r="P53">
        <v>2.2226277372262775</v>
      </c>
      <c r="T53" s="151">
        <v>8500231</v>
      </c>
      <c r="U53" s="39">
        <v>19175</v>
      </c>
      <c r="V53" s="34">
        <v>19175</v>
      </c>
      <c r="W53" s="39">
        <f t="shared" si="2"/>
        <v>0</v>
      </c>
    </row>
    <row r="54" spans="1:23">
      <c r="A54" s="151">
        <v>2136399246</v>
      </c>
      <c r="B54" s="34">
        <v>4210</v>
      </c>
      <c r="E54" s="151">
        <v>2136399246</v>
      </c>
      <c r="F54" s="34">
        <v>4210</v>
      </c>
      <c r="H54" t="b">
        <f t="shared" si="0"/>
        <v>1</v>
      </c>
      <c r="I54" t="b">
        <f t="shared" si="1"/>
        <v>1</v>
      </c>
      <c r="M54">
        <v>17300389727</v>
      </c>
      <c r="N54" t="s">
        <v>440</v>
      </c>
      <c r="O54">
        <v>1.97</v>
      </c>
      <c r="P54">
        <v>2.2221930745015741</v>
      </c>
      <c r="T54" s="151">
        <v>8500232</v>
      </c>
      <c r="U54" s="39">
        <v>19175</v>
      </c>
      <c r="V54" s="34">
        <v>19175</v>
      </c>
      <c r="W54" s="39">
        <f t="shared" si="2"/>
        <v>0</v>
      </c>
    </row>
    <row r="55" spans="1:23">
      <c r="A55" s="151">
        <v>2170399760</v>
      </c>
      <c r="B55" s="34">
        <v>16590</v>
      </c>
      <c r="E55" s="151">
        <v>2170399760</v>
      </c>
      <c r="F55" s="34">
        <v>16590</v>
      </c>
      <c r="H55" t="b">
        <f t="shared" si="0"/>
        <v>1</v>
      </c>
      <c r="I55" t="b">
        <f t="shared" si="1"/>
        <v>1</v>
      </c>
      <c r="M55">
        <v>17337389550</v>
      </c>
      <c r="N55" t="s">
        <v>440</v>
      </c>
      <c r="O55">
        <v>1.97</v>
      </c>
      <c r="P55">
        <v>1.82</v>
      </c>
      <c r="T55" s="151">
        <v>8516865</v>
      </c>
      <c r="U55" s="39">
        <v>19175</v>
      </c>
      <c r="V55" s="34">
        <v>19175</v>
      </c>
      <c r="W55" s="39">
        <f t="shared" si="2"/>
        <v>0</v>
      </c>
    </row>
    <row r="56" spans="1:23">
      <c r="A56" s="151">
        <v>2171399760</v>
      </c>
      <c r="B56" s="34">
        <v>4600</v>
      </c>
      <c r="E56" s="151">
        <v>2171399760</v>
      </c>
      <c r="F56" s="34">
        <v>4600</v>
      </c>
      <c r="H56" t="b">
        <f t="shared" si="0"/>
        <v>1</v>
      </c>
      <c r="I56" t="b">
        <f t="shared" si="1"/>
        <v>1</v>
      </c>
      <c r="M56">
        <v>17337389550</v>
      </c>
      <c r="N56" t="s">
        <v>440</v>
      </c>
      <c r="O56">
        <v>1.97</v>
      </c>
      <c r="P56">
        <v>1.8182724915220427</v>
      </c>
      <c r="T56" s="151">
        <v>8525937</v>
      </c>
      <c r="U56" s="39">
        <v>19175</v>
      </c>
      <c r="V56" s="34">
        <v>19175</v>
      </c>
      <c r="W56" s="39">
        <f t="shared" si="2"/>
        <v>0</v>
      </c>
    </row>
    <row r="57" spans="1:23">
      <c r="A57" s="151">
        <v>2196401221</v>
      </c>
      <c r="B57" s="34">
        <v>18860</v>
      </c>
      <c r="E57" s="151">
        <v>2196401221</v>
      </c>
      <c r="F57" s="34">
        <v>18860</v>
      </c>
      <c r="H57" t="b">
        <f t="shared" si="0"/>
        <v>1</v>
      </c>
      <c r="I57" t="b">
        <f t="shared" si="1"/>
        <v>1</v>
      </c>
      <c r="M57">
        <v>9882389844</v>
      </c>
      <c r="N57" t="s">
        <v>440</v>
      </c>
      <c r="O57">
        <v>1.97</v>
      </c>
      <c r="P57">
        <v>2.2222222222222223</v>
      </c>
      <c r="T57" s="151">
        <v>8532116</v>
      </c>
      <c r="U57" s="39">
        <v>19175</v>
      </c>
      <c r="V57" s="34">
        <v>19175</v>
      </c>
      <c r="W57" s="39">
        <f t="shared" si="2"/>
        <v>0</v>
      </c>
    </row>
    <row r="58" spans="1:23">
      <c r="A58" s="151">
        <v>3183388770</v>
      </c>
      <c r="B58" s="34">
        <v>2154</v>
      </c>
      <c r="E58" s="151">
        <v>3183388770</v>
      </c>
      <c r="F58" s="34">
        <v>2154</v>
      </c>
      <c r="H58" t="b">
        <f t="shared" si="0"/>
        <v>1</v>
      </c>
      <c r="I58" t="b">
        <f t="shared" si="1"/>
        <v>1</v>
      </c>
      <c r="M58">
        <v>9930390042</v>
      </c>
      <c r="N58" t="s">
        <v>440</v>
      </c>
      <c r="O58">
        <v>1.97</v>
      </c>
      <c r="P58">
        <v>1.81804788213628</v>
      </c>
      <c r="T58" s="151">
        <v>8532117</v>
      </c>
      <c r="U58" s="39">
        <v>19175</v>
      </c>
      <c r="V58" s="34">
        <v>19175</v>
      </c>
      <c r="W58" s="39">
        <f t="shared" si="2"/>
        <v>0</v>
      </c>
    </row>
    <row r="59" spans="1:23">
      <c r="A59" s="151">
        <v>3205400366</v>
      </c>
      <c r="B59" s="34">
        <v>6008</v>
      </c>
      <c r="E59" s="151">
        <v>3205400366</v>
      </c>
      <c r="F59" s="34">
        <v>6008</v>
      </c>
      <c r="H59" t="b">
        <f t="shared" si="0"/>
        <v>1</v>
      </c>
      <c r="I59" t="b">
        <f t="shared" si="1"/>
        <v>1</v>
      </c>
      <c r="M59">
        <v>9930390042</v>
      </c>
      <c r="N59" t="s">
        <v>440</v>
      </c>
      <c r="O59">
        <v>1.97</v>
      </c>
      <c r="P59">
        <v>1.8185255198487713</v>
      </c>
      <c r="T59" s="151">
        <v>8534724</v>
      </c>
      <c r="U59" s="39">
        <v>19175</v>
      </c>
      <c r="V59" s="34">
        <v>19175</v>
      </c>
      <c r="W59" s="39">
        <f t="shared" si="2"/>
        <v>0</v>
      </c>
    </row>
    <row r="60" spans="1:23">
      <c r="A60" s="151">
        <v>3209389894</v>
      </c>
      <c r="B60" s="34">
        <v>15340</v>
      </c>
      <c r="E60" s="151">
        <v>3209389894</v>
      </c>
      <c r="F60" s="34">
        <v>15340</v>
      </c>
      <c r="H60" t="b">
        <f t="shared" si="0"/>
        <v>1</v>
      </c>
      <c r="I60" t="b">
        <f t="shared" si="1"/>
        <v>1</v>
      </c>
      <c r="M60">
        <v>17116390248</v>
      </c>
      <c r="N60" t="s">
        <v>440</v>
      </c>
      <c r="O60">
        <v>1.97</v>
      </c>
      <c r="P60">
        <v>1.8182989690721649</v>
      </c>
      <c r="T60" s="151">
        <v>8534725</v>
      </c>
      <c r="U60" s="39">
        <v>19175</v>
      </c>
      <c r="V60" s="34">
        <v>19175</v>
      </c>
      <c r="W60" s="39">
        <f t="shared" si="2"/>
        <v>0</v>
      </c>
    </row>
    <row r="61" spans="1:23">
      <c r="A61" s="151">
        <v>3264399600</v>
      </c>
      <c r="B61" s="34">
        <v>961</v>
      </c>
      <c r="E61" s="151">
        <v>3264399600</v>
      </c>
      <c r="F61" s="34">
        <v>961</v>
      </c>
      <c r="H61" t="b">
        <f t="shared" si="0"/>
        <v>1</v>
      </c>
      <c r="I61" t="b">
        <f t="shared" si="1"/>
        <v>1</v>
      </c>
      <c r="M61">
        <v>17417390504</v>
      </c>
      <c r="N61" t="s">
        <v>440</v>
      </c>
      <c r="O61">
        <v>1.97</v>
      </c>
      <c r="P61">
        <v>1.8180790960451978</v>
      </c>
      <c r="T61" s="151">
        <v>8534769</v>
      </c>
      <c r="U61" s="39">
        <v>19175</v>
      </c>
      <c r="V61" s="34">
        <v>19175</v>
      </c>
      <c r="W61" s="39">
        <f t="shared" si="2"/>
        <v>0</v>
      </c>
    </row>
    <row r="62" spans="1:23">
      <c r="A62" s="151">
        <v>3266391647</v>
      </c>
      <c r="B62" s="34">
        <v>4273</v>
      </c>
      <c r="E62" s="151">
        <v>3266391647</v>
      </c>
      <c r="F62" s="34">
        <v>4273</v>
      </c>
      <c r="H62" t="b">
        <f t="shared" si="0"/>
        <v>1</v>
      </c>
      <c r="I62" t="b">
        <f t="shared" si="1"/>
        <v>1</v>
      </c>
      <c r="M62">
        <v>17102390064</v>
      </c>
      <c r="N62" t="s">
        <v>440</v>
      </c>
      <c r="O62">
        <v>1.97</v>
      </c>
      <c r="P62">
        <v>2.2233115468409586</v>
      </c>
      <c r="T62" s="151">
        <v>1410852</v>
      </c>
      <c r="U62" s="39">
        <v>21000</v>
      </c>
      <c r="V62" s="34">
        <v>21000</v>
      </c>
      <c r="W62" s="39">
        <f t="shared" si="2"/>
        <v>0</v>
      </c>
    </row>
    <row r="63" spans="1:23">
      <c r="A63" s="151">
        <v>3266392074</v>
      </c>
      <c r="B63" s="34">
        <v>2407</v>
      </c>
      <c r="E63" s="151">
        <v>3266392074</v>
      </c>
      <c r="F63" s="34">
        <v>2407</v>
      </c>
      <c r="H63" t="b">
        <f t="shared" si="0"/>
        <v>1</v>
      </c>
      <c r="I63" t="b">
        <f t="shared" si="1"/>
        <v>1</v>
      </c>
      <c r="M63">
        <v>1906385678</v>
      </c>
      <c r="N63" t="s">
        <v>440</v>
      </c>
      <c r="O63">
        <v>1.97</v>
      </c>
      <c r="P63">
        <v>1.82</v>
      </c>
      <c r="T63" s="151">
        <v>1410853</v>
      </c>
      <c r="U63" s="39">
        <v>21000</v>
      </c>
      <c r="V63" s="34">
        <v>21000</v>
      </c>
      <c r="W63" s="39">
        <f t="shared" si="2"/>
        <v>0</v>
      </c>
    </row>
    <row r="64" spans="1:23">
      <c r="A64" s="151">
        <v>3278393785</v>
      </c>
      <c r="B64" s="34">
        <v>2105</v>
      </c>
      <c r="E64" s="151">
        <v>3278393785</v>
      </c>
      <c r="F64" s="34">
        <v>2105</v>
      </c>
      <c r="H64" t="b">
        <f t="shared" si="0"/>
        <v>1</v>
      </c>
      <c r="I64" t="b">
        <f t="shared" si="1"/>
        <v>1</v>
      </c>
      <c r="M64">
        <v>1959390527</v>
      </c>
      <c r="N64" t="s">
        <v>440</v>
      </c>
      <c r="O64">
        <v>1.97</v>
      </c>
      <c r="P64">
        <v>2.2218623481781377</v>
      </c>
      <c r="T64" s="151">
        <v>1410854</v>
      </c>
      <c r="U64" s="39">
        <v>21000</v>
      </c>
      <c r="V64" s="34">
        <v>21000</v>
      </c>
      <c r="W64" s="39">
        <f t="shared" si="2"/>
        <v>0</v>
      </c>
    </row>
    <row r="65" spans="1:23">
      <c r="A65" s="151">
        <v>3289397082</v>
      </c>
      <c r="B65" s="34">
        <v>7980</v>
      </c>
      <c r="E65" s="151">
        <v>3289397082</v>
      </c>
      <c r="F65" s="34">
        <v>7980</v>
      </c>
      <c r="H65" t="b">
        <f t="shared" si="0"/>
        <v>1</v>
      </c>
      <c r="I65" t="b">
        <f t="shared" si="1"/>
        <v>1</v>
      </c>
      <c r="M65">
        <v>1959390527</v>
      </c>
      <c r="N65" t="s">
        <v>441</v>
      </c>
      <c r="O65">
        <v>1.98</v>
      </c>
      <c r="P65">
        <v>2.2219714070729872</v>
      </c>
      <c r="T65" s="151">
        <v>1410855</v>
      </c>
      <c r="U65" s="39">
        <v>21000</v>
      </c>
      <c r="V65" s="34">
        <v>21000</v>
      </c>
      <c r="W65" s="39">
        <f t="shared" si="2"/>
        <v>0</v>
      </c>
    </row>
    <row r="66" spans="1:23">
      <c r="A66" s="151">
        <v>3290392074</v>
      </c>
      <c r="B66" s="34">
        <v>6930</v>
      </c>
      <c r="E66" s="151">
        <v>3290392074</v>
      </c>
      <c r="F66" s="34">
        <v>6930</v>
      </c>
      <c r="H66" t="b">
        <f t="shared" si="0"/>
        <v>1</v>
      </c>
      <c r="I66" t="b">
        <f t="shared" si="1"/>
        <v>1</v>
      </c>
      <c r="M66">
        <v>17202389550</v>
      </c>
      <c r="N66" t="s">
        <v>440</v>
      </c>
      <c r="O66">
        <v>1.97</v>
      </c>
      <c r="P66">
        <v>1.8181451612903226</v>
      </c>
      <c r="T66" s="151">
        <v>1410856</v>
      </c>
      <c r="U66" s="39">
        <v>21000</v>
      </c>
      <c r="V66" s="34">
        <v>21000</v>
      </c>
      <c r="W66" s="39">
        <f t="shared" si="2"/>
        <v>0</v>
      </c>
    </row>
    <row r="67" spans="1:23">
      <c r="A67" s="151">
        <v>3296391785</v>
      </c>
      <c r="B67" s="34">
        <v>600</v>
      </c>
      <c r="E67" s="151">
        <v>3296391785</v>
      </c>
      <c r="F67" s="34">
        <v>600</v>
      </c>
      <c r="H67" t="b">
        <f t="shared" si="0"/>
        <v>1</v>
      </c>
      <c r="I67" t="b">
        <f t="shared" si="1"/>
        <v>1</v>
      </c>
      <c r="M67">
        <v>17202389550</v>
      </c>
      <c r="N67" t="s">
        <v>440</v>
      </c>
      <c r="O67">
        <v>1.97</v>
      </c>
      <c r="P67">
        <v>1.8186440677966103</v>
      </c>
      <c r="T67" s="151">
        <v>1410857</v>
      </c>
      <c r="U67" s="39">
        <v>21000</v>
      </c>
      <c r="V67" s="34">
        <v>21000</v>
      </c>
      <c r="W67" s="39">
        <f t="shared" si="2"/>
        <v>0</v>
      </c>
    </row>
    <row r="68" spans="1:23">
      <c r="A68" s="151">
        <v>3297399059</v>
      </c>
      <c r="B68" s="34">
        <v>6650</v>
      </c>
      <c r="E68" s="151">
        <v>3297399059</v>
      </c>
      <c r="F68" s="34">
        <v>6650</v>
      </c>
      <c r="H68" t="b">
        <f t="shared" si="0"/>
        <v>1</v>
      </c>
      <c r="I68" t="b">
        <f t="shared" si="1"/>
        <v>1</v>
      </c>
      <c r="M68">
        <v>17279389550</v>
      </c>
      <c r="N68" t="s">
        <v>440</v>
      </c>
      <c r="O68">
        <v>1.97</v>
      </c>
      <c r="P68">
        <v>1.8181818181818181</v>
      </c>
      <c r="T68" s="151">
        <v>1410858</v>
      </c>
      <c r="U68" s="39">
        <v>21000</v>
      </c>
      <c r="V68" s="34">
        <v>21000</v>
      </c>
      <c r="W68" s="39">
        <f t="shared" si="2"/>
        <v>0</v>
      </c>
    </row>
    <row r="69" spans="1:23">
      <c r="A69" s="151">
        <v>3314393187</v>
      </c>
      <c r="B69" s="34">
        <v>1200</v>
      </c>
      <c r="E69" s="151">
        <v>3314393187</v>
      </c>
      <c r="F69" s="34">
        <v>1200</v>
      </c>
      <c r="H69" t="b">
        <f t="shared" si="0"/>
        <v>1</v>
      </c>
      <c r="I69" t="b">
        <f t="shared" si="1"/>
        <v>1</v>
      </c>
      <c r="M69">
        <v>17070388235</v>
      </c>
      <c r="N69" t="s">
        <v>440</v>
      </c>
      <c r="O69">
        <v>1.97</v>
      </c>
      <c r="P69">
        <v>1.8183217859892224</v>
      </c>
      <c r="T69" s="151">
        <v>1410859</v>
      </c>
      <c r="U69" s="39">
        <v>21000</v>
      </c>
      <c r="V69" s="34">
        <v>21000</v>
      </c>
      <c r="W69" s="39">
        <f t="shared" si="2"/>
        <v>0</v>
      </c>
    </row>
    <row r="70" spans="1:23">
      <c r="A70" s="151">
        <v>3320401207</v>
      </c>
      <c r="B70" s="34">
        <v>7820</v>
      </c>
      <c r="E70" s="151">
        <v>3320401207</v>
      </c>
      <c r="F70" s="34">
        <v>7820</v>
      </c>
      <c r="H70" t="b">
        <f t="shared" si="0"/>
        <v>1</v>
      </c>
      <c r="I70" t="b">
        <f t="shared" si="1"/>
        <v>1</v>
      </c>
      <c r="M70">
        <v>17070388235</v>
      </c>
      <c r="N70" t="s">
        <v>440</v>
      </c>
      <c r="O70">
        <v>1.97</v>
      </c>
      <c r="P70">
        <v>1.8183856502242153</v>
      </c>
      <c r="T70" s="151">
        <v>1410860</v>
      </c>
      <c r="U70" s="39">
        <v>21000</v>
      </c>
      <c r="V70" s="34">
        <v>21000</v>
      </c>
      <c r="W70" s="39">
        <f t="shared" si="2"/>
        <v>0</v>
      </c>
    </row>
    <row r="71" spans="1:23">
      <c r="A71" s="151">
        <v>3335398489</v>
      </c>
      <c r="B71" s="34">
        <v>18370</v>
      </c>
      <c r="E71" s="151">
        <v>3335398489</v>
      </c>
      <c r="F71" s="34">
        <v>18370</v>
      </c>
      <c r="H71" t="b">
        <f t="shared" si="0"/>
        <v>1</v>
      </c>
      <c r="I71" t="b">
        <f t="shared" si="1"/>
        <v>1</v>
      </c>
      <c r="M71">
        <v>17109388235</v>
      </c>
      <c r="N71" t="s">
        <v>440</v>
      </c>
      <c r="O71">
        <v>1.97</v>
      </c>
      <c r="P71">
        <v>1.8181818181818181</v>
      </c>
      <c r="T71" s="151">
        <v>8763551</v>
      </c>
      <c r="U71" s="39">
        <v>19175</v>
      </c>
      <c r="V71" s="34">
        <v>19175</v>
      </c>
      <c r="W71" s="39">
        <f t="shared" si="2"/>
        <v>0</v>
      </c>
    </row>
    <row r="72" spans="1:23">
      <c r="A72" s="151">
        <v>3347398311</v>
      </c>
      <c r="B72" s="34">
        <v>11986</v>
      </c>
      <c r="E72" s="151">
        <v>3347398311</v>
      </c>
      <c r="F72" s="34">
        <v>11986</v>
      </c>
      <c r="H72" t="b">
        <f t="shared" si="0"/>
        <v>1</v>
      </c>
      <c r="I72" t="b">
        <f t="shared" si="1"/>
        <v>1</v>
      </c>
      <c r="M72">
        <v>17133389714</v>
      </c>
      <c r="N72" t="s">
        <v>440</v>
      </c>
      <c r="O72">
        <v>1.97</v>
      </c>
      <c r="P72">
        <v>1.8169440242057489</v>
      </c>
      <c r="T72" s="151">
        <v>8763552</v>
      </c>
      <c r="U72" s="39">
        <v>19175</v>
      </c>
      <c r="V72" s="34">
        <v>19175</v>
      </c>
      <c r="W72" s="39">
        <f t="shared" si="2"/>
        <v>0</v>
      </c>
    </row>
    <row r="73" spans="1:23">
      <c r="A73" s="151">
        <v>3353401207</v>
      </c>
      <c r="B73" s="34">
        <v>2843</v>
      </c>
      <c r="E73" s="151">
        <v>3353401207</v>
      </c>
      <c r="F73" s="34">
        <v>2843</v>
      </c>
      <c r="H73" t="b">
        <f t="shared" si="0"/>
        <v>1</v>
      </c>
      <c r="I73" t="b">
        <f t="shared" si="1"/>
        <v>1</v>
      </c>
      <c r="M73">
        <v>17299389501</v>
      </c>
      <c r="N73" t="s">
        <v>440</v>
      </c>
      <c r="O73">
        <v>1.97</v>
      </c>
      <c r="P73">
        <v>2.2220183486238532</v>
      </c>
      <c r="T73" s="151">
        <v>8763553</v>
      </c>
      <c r="U73" s="39">
        <v>19175</v>
      </c>
      <c r="V73" s="34">
        <v>19175</v>
      </c>
      <c r="W73" s="39">
        <f t="shared" si="2"/>
        <v>0</v>
      </c>
    </row>
    <row r="74" spans="1:23">
      <c r="A74" s="151">
        <v>3371393283</v>
      </c>
      <c r="B74" s="34">
        <v>2283</v>
      </c>
      <c r="E74" s="151">
        <v>3371393283</v>
      </c>
      <c r="F74" s="34">
        <v>2283</v>
      </c>
      <c r="H74" t="b">
        <f t="shared" si="0"/>
        <v>1</v>
      </c>
      <c r="I74" t="b">
        <f t="shared" si="1"/>
        <v>1</v>
      </c>
      <c r="M74">
        <v>16963389564</v>
      </c>
      <c r="N74" t="s">
        <v>440</v>
      </c>
      <c r="O74">
        <v>1.97</v>
      </c>
      <c r="P74">
        <v>1.8180639585133966</v>
      </c>
      <c r="T74" s="151">
        <v>8763554</v>
      </c>
      <c r="U74" s="39">
        <v>19175</v>
      </c>
      <c r="V74" s="34">
        <v>19175</v>
      </c>
      <c r="W74" s="39">
        <f t="shared" si="2"/>
        <v>0</v>
      </c>
    </row>
    <row r="75" spans="1:23">
      <c r="A75" s="151">
        <v>3371396655</v>
      </c>
      <c r="B75" s="34">
        <v>10936</v>
      </c>
      <c r="E75" s="151">
        <v>3371396655</v>
      </c>
      <c r="F75" s="34">
        <v>10936</v>
      </c>
      <c r="H75" t="b">
        <f t="shared" si="0"/>
        <v>1</v>
      </c>
      <c r="I75" t="b">
        <f t="shared" si="1"/>
        <v>1</v>
      </c>
      <c r="M75">
        <v>16963389652</v>
      </c>
      <c r="N75" t="s">
        <v>440</v>
      </c>
      <c r="O75">
        <v>1.97</v>
      </c>
      <c r="P75">
        <v>1.8161209068010076</v>
      </c>
      <c r="T75" s="151">
        <v>8765789</v>
      </c>
      <c r="U75" s="39">
        <v>19175</v>
      </c>
      <c r="V75" s="34">
        <v>19175</v>
      </c>
      <c r="W75" s="39">
        <f t="shared" si="2"/>
        <v>0</v>
      </c>
    </row>
    <row r="76" spans="1:23">
      <c r="A76" s="151">
        <v>3376398655</v>
      </c>
      <c r="B76" s="34">
        <v>11930</v>
      </c>
      <c r="E76" s="151">
        <v>3376398655</v>
      </c>
      <c r="F76" s="34">
        <v>11930</v>
      </c>
      <c r="H76" t="b">
        <f t="shared" si="0"/>
        <v>1</v>
      </c>
      <c r="I76" t="b">
        <f t="shared" si="1"/>
        <v>1</v>
      </c>
      <c r="M76">
        <v>16970389601</v>
      </c>
      <c r="N76" t="s">
        <v>440</v>
      </c>
      <c r="O76">
        <v>1.97</v>
      </c>
      <c r="P76">
        <v>1.8181818181818181</v>
      </c>
      <c r="T76" s="151">
        <v>8765790</v>
      </c>
      <c r="U76" s="39">
        <v>19175</v>
      </c>
      <c r="V76" s="34">
        <v>19175</v>
      </c>
      <c r="W76" s="39">
        <f t="shared" si="2"/>
        <v>0</v>
      </c>
    </row>
    <row r="77" spans="1:23">
      <c r="A77" s="151">
        <v>3385393818</v>
      </c>
      <c r="B77" s="34">
        <v>11880</v>
      </c>
      <c r="E77" s="151">
        <v>3385393818</v>
      </c>
      <c r="F77" s="34">
        <v>11880</v>
      </c>
      <c r="H77" t="b">
        <f t="shared" si="0"/>
        <v>1</v>
      </c>
      <c r="I77" t="b">
        <f t="shared" si="1"/>
        <v>1</v>
      </c>
      <c r="M77">
        <v>17032389601</v>
      </c>
      <c r="N77" t="s">
        <v>440</v>
      </c>
      <c r="O77">
        <v>1.97</v>
      </c>
      <c r="P77">
        <v>2.2191011235955056</v>
      </c>
      <c r="T77" s="151">
        <v>8765791</v>
      </c>
      <c r="U77" s="39">
        <v>19175</v>
      </c>
      <c r="V77" s="34">
        <v>19175</v>
      </c>
      <c r="W77" s="39">
        <f t="shared" si="2"/>
        <v>0</v>
      </c>
    </row>
    <row r="78" spans="1:23">
      <c r="A78" s="151">
        <v>3385394668</v>
      </c>
      <c r="B78" s="34">
        <v>1320</v>
      </c>
      <c r="E78" s="151">
        <v>3385394668</v>
      </c>
      <c r="F78" s="34">
        <v>1320</v>
      </c>
      <c r="H78" t="b">
        <f t="shared" si="0"/>
        <v>1</v>
      </c>
      <c r="I78" t="b">
        <f t="shared" si="1"/>
        <v>1</v>
      </c>
      <c r="M78">
        <v>17033389601</v>
      </c>
      <c r="N78" t="s">
        <v>440</v>
      </c>
      <c r="O78">
        <v>1.97</v>
      </c>
      <c r="P78">
        <v>2.2222222222222223</v>
      </c>
      <c r="T78" s="151">
        <v>8765792</v>
      </c>
      <c r="U78" s="39">
        <v>19175</v>
      </c>
      <c r="V78" s="34">
        <v>19175</v>
      </c>
      <c r="W78" s="39">
        <f t="shared" si="2"/>
        <v>0</v>
      </c>
    </row>
    <row r="79" spans="1:23">
      <c r="A79" s="151">
        <v>3390395037</v>
      </c>
      <c r="B79" s="34">
        <v>4200</v>
      </c>
      <c r="E79" s="151">
        <v>3390395037</v>
      </c>
      <c r="F79" s="34">
        <v>4200</v>
      </c>
      <c r="H79" t="b">
        <f t="shared" si="0"/>
        <v>1</v>
      </c>
      <c r="I79" t="b">
        <f t="shared" si="1"/>
        <v>1</v>
      </c>
      <c r="M79">
        <v>16999389647</v>
      </c>
      <c r="N79" t="s">
        <v>440</v>
      </c>
      <c r="O79">
        <v>1.97</v>
      </c>
      <c r="P79">
        <v>1.8181132075471698</v>
      </c>
      <c r="T79" s="151">
        <v>8765793</v>
      </c>
      <c r="U79" s="39">
        <v>19175</v>
      </c>
      <c r="V79" s="34">
        <v>19175</v>
      </c>
      <c r="W79" s="39">
        <f t="shared" si="2"/>
        <v>0</v>
      </c>
    </row>
    <row r="80" spans="1:23">
      <c r="A80" s="151">
        <v>3404393897</v>
      </c>
      <c r="B80" s="34">
        <v>5750</v>
      </c>
      <c r="E80" s="151">
        <v>3404393897</v>
      </c>
      <c r="F80" s="34">
        <v>5750</v>
      </c>
      <c r="H80" t="b">
        <f t="shared" si="0"/>
        <v>1</v>
      </c>
      <c r="I80" t="b">
        <f t="shared" si="1"/>
        <v>1</v>
      </c>
      <c r="M80">
        <v>17187389433</v>
      </c>
      <c r="N80" t="s">
        <v>440</v>
      </c>
      <c r="O80">
        <v>1.97</v>
      </c>
      <c r="P80">
        <v>1.8179031269160024</v>
      </c>
      <c r="T80" s="151">
        <v>8765831</v>
      </c>
      <c r="U80" s="39">
        <v>19175</v>
      </c>
      <c r="V80" s="34">
        <v>19175</v>
      </c>
      <c r="W80" s="39">
        <f t="shared" si="2"/>
        <v>0</v>
      </c>
    </row>
    <row r="81" spans="1:23">
      <c r="A81" s="151">
        <v>3405393897</v>
      </c>
      <c r="B81" s="34">
        <v>13910</v>
      </c>
      <c r="E81" s="151">
        <v>3405393897</v>
      </c>
      <c r="F81" s="34">
        <v>13910</v>
      </c>
      <c r="H81" t="b">
        <f t="shared" si="0"/>
        <v>1</v>
      </c>
      <c r="I81" t="b">
        <f t="shared" si="1"/>
        <v>1</v>
      </c>
      <c r="M81">
        <v>17186388375</v>
      </c>
      <c r="N81" t="s">
        <v>440</v>
      </c>
      <c r="O81">
        <v>1.97</v>
      </c>
      <c r="P81">
        <v>1.8181818181818181</v>
      </c>
      <c r="T81" s="151">
        <v>8765832</v>
      </c>
      <c r="U81" s="39">
        <v>19175</v>
      </c>
      <c r="V81" s="34">
        <v>19175</v>
      </c>
      <c r="W81" s="39">
        <f t="shared" si="2"/>
        <v>0</v>
      </c>
    </row>
    <row r="82" spans="1:23">
      <c r="A82" s="151">
        <v>3408394668</v>
      </c>
      <c r="B82" s="34">
        <v>12710</v>
      </c>
      <c r="E82" s="151">
        <v>3408394668</v>
      </c>
      <c r="F82" s="34">
        <v>12710</v>
      </c>
      <c r="H82" t="b">
        <f t="shared" si="0"/>
        <v>1</v>
      </c>
      <c r="I82" t="b">
        <f t="shared" si="1"/>
        <v>1</v>
      </c>
      <c r="M82">
        <v>17035388548</v>
      </c>
      <c r="N82" t="s">
        <v>440</v>
      </c>
      <c r="O82">
        <v>1.97</v>
      </c>
      <c r="P82">
        <v>1.8181818181818181</v>
      </c>
      <c r="T82" s="151">
        <v>8766040</v>
      </c>
      <c r="U82" s="39">
        <v>19175</v>
      </c>
      <c r="V82" s="34">
        <v>19175</v>
      </c>
      <c r="W82" s="39">
        <f t="shared" si="2"/>
        <v>0</v>
      </c>
    </row>
    <row r="83" spans="1:23">
      <c r="A83" s="151">
        <v>3416398655</v>
      </c>
      <c r="B83" s="34">
        <v>239</v>
      </c>
      <c r="E83" s="151">
        <v>3416398655</v>
      </c>
      <c r="F83" s="34">
        <v>239</v>
      </c>
      <c r="H83" t="b">
        <f t="shared" si="0"/>
        <v>1</v>
      </c>
      <c r="I83" t="b">
        <f t="shared" si="1"/>
        <v>1</v>
      </c>
      <c r="M83">
        <v>17090388377</v>
      </c>
      <c r="N83" t="s">
        <v>440</v>
      </c>
      <c r="O83">
        <v>1.97</v>
      </c>
      <c r="P83">
        <v>2.2213930348258706</v>
      </c>
      <c r="T83" s="151">
        <v>8766041</v>
      </c>
      <c r="U83" s="39">
        <v>19175</v>
      </c>
      <c r="V83" s="34">
        <v>19175</v>
      </c>
      <c r="W83" s="39">
        <f t="shared" si="2"/>
        <v>0</v>
      </c>
    </row>
    <row r="84" spans="1:23">
      <c r="A84" s="151">
        <v>3420400200</v>
      </c>
      <c r="B84" s="34">
        <v>2923</v>
      </c>
      <c r="E84" s="151">
        <v>3420400200</v>
      </c>
      <c r="F84" s="34">
        <v>2923</v>
      </c>
      <c r="H84" t="b">
        <f t="shared" si="0"/>
        <v>1</v>
      </c>
      <c r="I84" t="b">
        <f t="shared" si="1"/>
        <v>1</v>
      </c>
      <c r="M84">
        <v>17133388372</v>
      </c>
      <c r="N84" t="s">
        <v>440</v>
      </c>
      <c r="O84">
        <v>1.97</v>
      </c>
      <c r="P84">
        <v>1.8183194549583648</v>
      </c>
      <c r="T84" s="151">
        <v>1412699</v>
      </c>
      <c r="U84" s="39">
        <v>21000</v>
      </c>
      <c r="V84" s="34">
        <v>21000</v>
      </c>
      <c r="W84" s="39">
        <f t="shared" si="2"/>
        <v>0</v>
      </c>
    </row>
    <row r="85" spans="1:23">
      <c r="A85" s="151">
        <v>3434398489</v>
      </c>
      <c r="B85" s="34">
        <v>15780</v>
      </c>
      <c r="E85" s="151">
        <v>3434398489</v>
      </c>
      <c r="F85" s="34">
        <v>15780</v>
      </c>
      <c r="H85" t="b">
        <f t="shared" si="0"/>
        <v>1</v>
      </c>
      <c r="I85" t="b">
        <f t="shared" si="1"/>
        <v>1</v>
      </c>
      <c r="M85">
        <v>17159388560</v>
      </c>
      <c r="N85" t="s">
        <v>440</v>
      </c>
      <c r="O85">
        <v>1.97</v>
      </c>
      <c r="P85">
        <v>2.222017673048601</v>
      </c>
      <c r="T85" s="151">
        <v>1412700</v>
      </c>
      <c r="U85" s="39">
        <v>21000</v>
      </c>
      <c r="V85" s="34">
        <v>21000</v>
      </c>
      <c r="W85" s="39">
        <f t="shared" si="2"/>
        <v>0</v>
      </c>
    </row>
    <row r="86" spans="1:23">
      <c r="A86" s="151">
        <v>3437397146</v>
      </c>
      <c r="B86" s="34">
        <v>4204</v>
      </c>
      <c r="E86" s="151">
        <v>3437397146</v>
      </c>
      <c r="F86" s="34">
        <v>4204</v>
      </c>
      <c r="H86" t="b">
        <f t="shared" si="0"/>
        <v>1</v>
      </c>
      <c r="I86" t="b">
        <f t="shared" si="1"/>
        <v>1</v>
      </c>
      <c r="M86">
        <v>17270389587</v>
      </c>
      <c r="N86" t="s">
        <v>440</v>
      </c>
      <c r="O86">
        <v>1.97</v>
      </c>
      <c r="P86">
        <v>2.2210927573062262</v>
      </c>
      <c r="T86" s="151">
        <v>1419969</v>
      </c>
      <c r="U86" s="39">
        <v>19175</v>
      </c>
      <c r="V86" s="34">
        <v>19175</v>
      </c>
      <c r="W86" s="39">
        <f t="shared" si="2"/>
        <v>0</v>
      </c>
    </row>
    <row r="87" spans="1:23">
      <c r="A87" s="151">
        <v>3437399600</v>
      </c>
      <c r="B87" s="34">
        <v>17956</v>
      </c>
      <c r="E87" s="151">
        <v>3437399600</v>
      </c>
      <c r="F87" s="34">
        <v>17956</v>
      </c>
      <c r="H87" t="b">
        <f t="shared" ref="H87:H150" si="3">A87=E87</f>
        <v>1</v>
      </c>
      <c r="I87" t="b">
        <f t="shared" ref="I87:I150" si="4">B87=F87</f>
        <v>1</v>
      </c>
      <c r="M87">
        <v>17311389582</v>
      </c>
      <c r="N87" t="s">
        <v>440</v>
      </c>
      <c r="O87">
        <v>1.97</v>
      </c>
      <c r="P87">
        <v>2.2211981566820276</v>
      </c>
      <c r="T87" s="151">
        <v>1419970</v>
      </c>
      <c r="U87" s="39">
        <v>19175</v>
      </c>
      <c r="V87" s="34">
        <v>19175</v>
      </c>
      <c r="W87" s="39">
        <f t="shared" ref="W87:W150" si="5">U87-V87</f>
        <v>0</v>
      </c>
    </row>
    <row r="88" spans="1:23">
      <c r="A88" s="151">
        <v>3446395299</v>
      </c>
      <c r="B88" s="34">
        <v>2988</v>
      </c>
      <c r="E88" s="151">
        <v>3446395299</v>
      </c>
      <c r="F88" s="34">
        <v>2988</v>
      </c>
      <c r="H88" t="b">
        <f t="shared" si="3"/>
        <v>1</v>
      </c>
      <c r="I88" t="b">
        <f t="shared" si="4"/>
        <v>1</v>
      </c>
      <c r="M88">
        <v>17319389621</v>
      </c>
      <c r="N88" t="s">
        <v>440</v>
      </c>
      <c r="O88">
        <v>1.97</v>
      </c>
      <c r="P88">
        <v>2.2232243517474632</v>
      </c>
      <c r="T88" s="151">
        <v>1419971</v>
      </c>
      <c r="U88" s="39">
        <v>19175</v>
      </c>
      <c r="V88" s="34">
        <v>19175</v>
      </c>
      <c r="W88" s="39">
        <f t="shared" si="5"/>
        <v>0</v>
      </c>
    </row>
    <row r="89" spans="1:23">
      <c r="A89" s="151">
        <v>3446397767</v>
      </c>
      <c r="B89" s="34">
        <v>2988</v>
      </c>
      <c r="E89" s="151">
        <v>3446397767</v>
      </c>
      <c r="F89" s="34">
        <v>2988</v>
      </c>
      <c r="H89" t="b">
        <f t="shared" si="3"/>
        <v>1</v>
      </c>
      <c r="I89" t="b">
        <f t="shared" si="4"/>
        <v>1</v>
      </c>
      <c r="M89">
        <v>17102389422</v>
      </c>
      <c r="N89" t="s">
        <v>440</v>
      </c>
      <c r="O89">
        <v>1.97</v>
      </c>
      <c r="P89">
        <v>2.2222222222222223</v>
      </c>
      <c r="T89" s="151">
        <v>1419972</v>
      </c>
      <c r="U89" s="39">
        <v>19175</v>
      </c>
      <c r="V89" s="34">
        <v>19175</v>
      </c>
      <c r="W89" s="39">
        <f t="shared" si="5"/>
        <v>0</v>
      </c>
    </row>
    <row r="90" spans="1:23">
      <c r="A90" s="151">
        <v>3446399867</v>
      </c>
      <c r="B90" s="34">
        <v>1314</v>
      </c>
      <c r="E90" s="151">
        <v>3446399867</v>
      </c>
      <c r="F90" s="34">
        <v>1314</v>
      </c>
      <c r="H90" t="b">
        <f t="shared" si="3"/>
        <v>1</v>
      </c>
      <c r="I90" t="b">
        <f t="shared" si="4"/>
        <v>1</v>
      </c>
      <c r="M90">
        <v>17057389643</v>
      </c>
      <c r="N90" t="s">
        <v>440</v>
      </c>
      <c r="O90">
        <v>1.97</v>
      </c>
      <c r="P90">
        <v>2.2217852929610697</v>
      </c>
      <c r="T90" s="151">
        <v>1419973</v>
      </c>
      <c r="U90" s="39">
        <v>19175</v>
      </c>
      <c r="V90" s="34">
        <v>19175</v>
      </c>
      <c r="W90" s="39">
        <f t="shared" si="5"/>
        <v>0</v>
      </c>
    </row>
    <row r="91" spans="1:23">
      <c r="A91" s="151">
        <v>3450396631</v>
      </c>
      <c r="B91" s="34">
        <v>6000</v>
      </c>
      <c r="E91" s="151">
        <v>3450396631</v>
      </c>
      <c r="F91" s="34">
        <v>6000</v>
      </c>
      <c r="H91" t="b">
        <f t="shared" si="3"/>
        <v>1</v>
      </c>
      <c r="I91" t="b">
        <f t="shared" si="4"/>
        <v>1</v>
      </c>
      <c r="M91">
        <v>17232389643</v>
      </c>
      <c r="N91" t="s">
        <v>440</v>
      </c>
      <c r="O91">
        <v>1.97</v>
      </c>
      <c r="P91">
        <v>2.2220630372492836</v>
      </c>
      <c r="T91" s="151">
        <v>1419974</v>
      </c>
      <c r="U91" s="39">
        <v>19175</v>
      </c>
      <c r="V91" s="34">
        <v>19175</v>
      </c>
      <c r="W91" s="39">
        <f t="shared" si="5"/>
        <v>0</v>
      </c>
    </row>
    <row r="92" spans="1:23">
      <c r="A92" s="151">
        <v>3459399867</v>
      </c>
      <c r="B92" s="34">
        <v>1680</v>
      </c>
      <c r="E92" s="151">
        <v>3459399867</v>
      </c>
      <c r="F92" s="34">
        <v>1680</v>
      </c>
      <c r="H92" t="b">
        <f t="shared" si="3"/>
        <v>1</v>
      </c>
      <c r="I92" t="b">
        <f t="shared" si="4"/>
        <v>1</v>
      </c>
      <c r="M92">
        <v>17274389437</v>
      </c>
      <c r="N92" t="s">
        <v>440</v>
      </c>
      <c r="O92">
        <v>1.97</v>
      </c>
      <c r="P92">
        <v>2.2219314315624183</v>
      </c>
      <c r="T92" s="151">
        <v>1419975</v>
      </c>
      <c r="U92" s="39">
        <v>19175</v>
      </c>
      <c r="V92" s="34">
        <v>19175</v>
      </c>
      <c r="W92" s="39">
        <f t="shared" si="5"/>
        <v>0</v>
      </c>
    </row>
    <row r="93" spans="1:23">
      <c r="A93" s="151">
        <v>3461401207</v>
      </c>
      <c r="B93" s="34">
        <v>2947</v>
      </c>
      <c r="E93" s="151">
        <v>3461401207</v>
      </c>
      <c r="F93" s="34">
        <v>2947</v>
      </c>
      <c r="H93" t="b">
        <f t="shared" si="3"/>
        <v>1</v>
      </c>
      <c r="I93" t="b">
        <f t="shared" si="4"/>
        <v>1</v>
      </c>
      <c r="M93">
        <v>17284389555</v>
      </c>
      <c r="N93" t="s">
        <v>440</v>
      </c>
      <c r="O93">
        <v>1.97</v>
      </c>
      <c r="P93">
        <v>1.8181818181818181</v>
      </c>
      <c r="T93" s="151">
        <v>1419976</v>
      </c>
      <c r="U93" s="39">
        <v>19175</v>
      </c>
      <c r="V93" s="34">
        <v>19175</v>
      </c>
      <c r="W93" s="39">
        <f t="shared" si="5"/>
        <v>0</v>
      </c>
    </row>
    <row r="94" spans="1:23">
      <c r="A94" s="151">
        <v>3484401162</v>
      </c>
      <c r="B94" s="34">
        <v>5520</v>
      </c>
      <c r="E94" s="151">
        <v>3484401162</v>
      </c>
      <c r="F94" s="34">
        <v>5520</v>
      </c>
      <c r="H94" t="b">
        <f t="shared" si="3"/>
        <v>1</v>
      </c>
      <c r="I94" t="b">
        <f t="shared" si="4"/>
        <v>1</v>
      </c>
      <c r="M94">
        <v>17191389205</v>
      </c>
      <c r="N94" t="s">
        <v>440</v>
      </c>
      <c r="O94">
        <v>1.97</v>
      </c>
      <c r="P94">
        <v>1.8212560386473431</v>
      </c>
      <c r="T94" s="151">
        <v>1419977</v>
      </c>
      <c r="U94" s="39">
        <v>19175</v>
      </c>
      <c r="V94" s="34">
        <v>19175</v>
      </c>
      <c r="W94" s="39">
        <f t="shared" si="5"/>
        <v>0</v>
      </c>
    </row>
    <row r="95" spans="1:23">
      <c r="A95" s="151">
        <v>3484401207</v>
      </c>
      <c r="B95" s="34">
        <v>420</v>
      </c>
      <c r="E95" s="151">
        <v>3484401207</v>
      </c>
      <c r="F95" s="34">
        <v>420</v>
      </c>
      <c r="H95" t="b">
        <f t="shared" si="3"/>
        <v>1</v>
      </c>
      <c r="I95" t="b">
        <f t="shared" si="4"/>
        <v>1</v>
      </c>
      <c r="M95">
        <v>17191389205</v>
      </c>
      <c r="N95" t="s">
        <v>440</v>
      </c>
      <c r="O95">
        <v>1.97</v>
      </c>
      <c r="P95">
        <v>2.2218649517684885</v>
      </c>
      <c r="T95" s="151">
        <v>1419978</v>
      </c>
      <c r="U95" s="39">
        <v>19175</v>
      </c>
      <c r="V95" s="34">
        <v>19175</v>
      </c>
      <c r="W95" s="39">
        <f t="shared" si="5"/>
        <v>0</v>
      </c>
    </row>
    <row r="96" spans="1:23">
      <c r="A96" s="151">
        <v>3494398489</v>
      </c>
      <c r="B96" s="34">
        <v>15480</v>
      </c>
      <c r="E96" s="151">
        <v>3494398489</v>
      </c>
      <c r="F96" s="34">
        <v>15480</v>
      </c>
      <c r="H96" t="b">
        <f t="shared" si="3"/>
        <v>1</v>
      </c>
      <c r="I96" t="b">
        <f t="shared" si="4"/>
        <v>1</v>
      </c>
      <c r="M96">
        <v>17153389237</v>
      </c>
      <c r="N96" t="s">
        <v>440</v>
      </c>
      <c r="O96">
        <v>1.97</v>
      </c>
      <c r="P96">
        <v>1.8179563492063493</v>
      </c>
      <c r="T96" s="151">
        <v>8761631</v>
      </c>
      <c r="U96" s="39">
        <v>19175</v>
      </c>
      <c r="V96" s="34">
        <v>19175</v>
      </c>
      <c r="W96" s="39">
        <f t="shared" si="5"/>
        <v>0</v>
      </c>
    </row>
    <row r="97" spans="1:23">
      <c r="A97" s="151">
        <v>3499398489</v>
      </c>
      <c r="B97" s="34">
        <v>2936</v>
      </c>
      <c r="E97" s="151">
        <v>3499398489</v>
      </c>
      <c r="F97" s="34">
        <v>2936</v>
      </c>
      <c r="H97" t="b">
        <f t="shared" si="3"/>
        <v>1</v>
      </c>
      <c r="I97" t="b">
        <f t="shared" si="4"/>
        <v>1</v>
      </c>
      <c r="M97">
        <v>17174389237</v>
      </c>
      <c r="N97" t="s">
        <v>440</v>
      </c>
      <c r="O97">
        <v>1.97</v>
      </c>
      <c r="P97">
        <v>1.8178983473651387</v>
      </c>
      <c r="T97" s="151">
        <v>8761633</v>
      </c>
      <c r="U97" s="39">
        <v>19175</v>
      </c>
      <c r="V97" s="34">
        <v>19175</v>
      </c>
      <c r="W97" s="39">
        <f t="shared" si="5"/>
        <v>0</v>
      </c>
    </row>
    <row r="98" spans="1:23">
      <c r="A98" s="151">
        <v>3501397486</v>
      </c>
      <c r="B98" s="34">
        <v>360</v>
      </c>
      <c r="E98" s="151">
        <v>3501397486</v>
      </c>
      <c r="F98" s="34">
        <v>360</v>
      </c>
      <c r="H98" t="b">
        <f t="shared" si="3"/>
        <v>1</v>
      </c>
      <c r="I98" t="b">
        <f t="shared" si="4"/>
        <v>1</v>
      </c>
      <c r="M98">
        <v>17272384460</v>
      </c>
      <c r="N98" t="s">
        <v>440</v>
      </c>
      <c r="O98">
        <v>1.97</v>
      </c>
      <c r="P98">
        <v>2.222194760257044</v>
      </c>
      <c r="T98" s="151">
        <v>8743293</v>
      </c>
      <c r="U98" s="39">
        <v>19175</v>
      </c>
      <c r="V98" s="34">
        <v>19175</v>
      </c>
      <c r="W98" s="39">
        <f t="shared" si="5"/>
        <v>0</v>
      </c>
    </row>
    <row r="99" spans="1:23">
      <c r="A99" s="151">
        <v>3501397502</v>
      </c>
      <c r="B99" s="34">
        <v>180</v>
      </c>
      <c r="E99" s="151">
        <v>3501397502</v>
      </c>
      <c r="F99" s="34">
        <v>180</v>
      </c>
      <c r="H99" t="b">
        <f t="shared" si="3"/>
        <v>1</v>
      </c>
      <c r="I99" t="b">
        <f t="shared" si="4"/>
        <v>1</v>
      </c>
      <c r="M99">
        <v>17193389245</v>
      </c>
      <c r="N99" t="s">
        <v>440</v>
      </c>
      <c r="O99">
        <v>1.97</v>
      </c>
      <c r="P99">
        <v>1.8179979777553084</v>
      </c>
      <c r="T99" s="151">
        <v>8735587</v>
      </c>
      <c r="U99" s="39">
        <v>19175</v>
      </c>
      <c r="V99" s="34">
        <v>19175</v>
      </c>
      <c r="W99" s="39">
        <f t="shared" si="5"/>
        <v>0</v>
      </c>
    </row>
    <row r="100" spans="1:23">
      <c r="A100" s="151">
        <v>3510396797</v>
      </c>
      <c r="B100" s="34">
        <v>6220</v>
      </c>
      <c r="E100" s="151">
        <v>3510396797</v>
      </c>
      <c r="F100" s="34">
        <v>6220</v>
      </c>
      <c r="H100" t="b">
        <f t="shared" si="3"/>
        <v>1</v>
      </c>
      <c r="I100" t="b">
        <f t="shared" si="4"/>
        <v>1</v>
      </c>
      <c r="M100">
        <v>17186389130</v>
      </c>
      <c r="N100" t="s">
        <v>440</v>
      </c>
      <c r="O100">
        <v>1.97</v>
      </c>
      <c r="P100">
        <v>1.8181818181818181</v>
      </c>
      <c r="T100" s="151">
        <v>8743292</v>
      </c>
      <c r="U100" s="39">
        <v>19175</v>
      </c>
      <c r="V100" s="34">
        <v>19175</v>
      </c>
      <c r="W100" s="39">
        <f t="shared" si="5"/>
        <v>0</v>
      </c>
    </row>
    <row r="101" spans="1:23">
      <c r="A101" s="151">
        <v>3548399600</v>
      </c>
      <c r="B101" s="34">
        <v>6630</v>
      </c>
      <c r="E101" s="151">
        <v>3548399600</v>
      </c>
      <c r="F101" s="34">
        <v>6630</v>
      </c>
      <c r="H101" t="b">
        <f t="shared" si="3"/>
        <v>1</v>
      </c>
      <c r="I101" t="b">
        <f t="shared" si="4"/>
        <v>1</v>
      </c>
      <c r="M101">
        <v>17297390401</v>
      </c>
      <c r="N101" t="s">
        <v>441</v>
      </c>
      <c r="O101">
        <v>1.98</v>
      </c>
      <c r="P101">
        <v>2.2259259259259259</v>
      </c>
      <c r="T101" s="151">
        <v>8759867</v>
      </c>
      <c r="U101" s="39">
        <v>19175</v>
      </c>
      <c r="V101" s="34">
        <v>19175</v>
      </c>
      <c r="W101" s="39">
        <f t="shared" si="5"/>
        <v>0</v>
      </c>
    </row>
    <row r="102" spans="1:23">
      <c r="A102" s="151">
        <v>3559398655</v>
      </c>
      <c r="B102" s="34">
        <v>10960</v>
      </c>
      <c r="E102" s="151">
        <v>3559398655</v>
      </c>
      <c r="F102" s="34">
        <v>10960</v>
      </c>
      <c r="H102" t="b">
        <f t="shared" si="3"/>
        <v>1</v>
      </c>
      <c r="I102" t="b">
        <f t="shared" si="4"/>
        <v>1</v>
      </c>
      <c r="M102">
        <v>17235390411</v>
      </c>
      <c r="N102" t="s">
        <v>441</v>
      </c>
      <c r="O102">
        <v>1.98</v>
      </c>
      <c r="P102">
        <v>1.8178137651821862</v>
      </c>
      <c r="T102" s="151">
        <v>8743291</v>
      </c>
      <c r="U102" s="39">
        <v>19175</v>
      </c>
      <c r="V102" s="34">
        <v>19175</v>
      </c>
      <c r="W102" s="39">
        <f t="shared" si="5"/>
        <v>0</v>
      </c>
    </row>
    <row r="103" spans="1:23">
      <c r="A103" s="151">
        <v>3588399600</v>
      </c>
      <c r="B103" s="34">
        <v>13930</v>
      </c>
      <c r="E103" s="151">
        <v>3588399600</v>
      </c>
      <c r="F103" s="34">
        <v>13930</v>
      </c>
      <c r="H103" t="b">
        <f t="shared" si="3"/>
        <v>1</v>
      </c>
      <c r="I103" t="b">
        <f t="shared" si="4"/>
        <v>1</v>
      </c>
      <c r="M103">
        <v>1957390032</v>
      </c>
      <c r="N103" t="s">
        <v>441</v>
      </c>
      <c r="O103">
        <v>1.98</v>
      </c>
      <c r="P103">
        <v>1.8181818181818181</v>
      </c>
      <c r="T103" s="151">
        <v>8744059</v>
      </c>
      <c r="U103" s="39">
        <v>19175</v>
      </c>
      <c r="V103" s="34">
        <v>19175</v>
      </c>
      <c r="W103" s="39">
        <f t="shared" si="5"/>
        <v>0</v>
      </c>
    </row>
    <row r="104" spans="1:23">
      <c r="A104" s="151">
        <v>3594400597</v>
      </c>
      <c r="B104" s="34">
        <v>1776</v>
      </c>
      <c r="E104" s="151">
        <v>3594400597</v>
      </c>
      <c r="F104" s="34">
        <v>1776</v>
      </c>
      <c r="H104" t="b">
        <f t="shared" si="3"/>
        <v>1</v>
      </c>
      <c r="I104" t="b">
        <f t="shared" si="4"/>
        <v>1</v>
      </c>
      <c r="M104">
        <v>17386390103</v>
      </c>
      <c r="N104" t="s">
        <v>441</v>
      </c>
      <c r="O104">
        <v>1.98</v>
      </c>
      <c r="P104">
        <v>1.8178324365872405</v>
      </c>
      <c r="T104" s="151">
        <v>8753848</v>
      </c>
      <c r="U104" s="39">
        <v>19175</v>
      </c>
      <c r="V104" s="34">
        <v>19175</v>
      </c>
      <c r="W104" s="39">
        <f t="shared" si="5"/>
        <v>0</v>
      </c>
    </row>
    <row r="105" spans="1:23">
      <c r="A105" s="151">
        <v>3626400472</v>
      </c>
      <c r="B105" s="34">
        <v>6639</v>
      </c>
      <c r="E105" s="151">
        <v>3626400472</v>
      </c>
      <c r="F105" s="34">
        <v>6639</v>
      </c>
      <c r="H105" t="b">
        <f t="shared" si="3"/>
        <v>1</v>
      </c>
      <c r="I105" t="b">
        <f t="shared" si="4"/>
        <v>1</v>
      </c>
      <c r="M105">
        <v>17329390608</v>
      </c>
      <c r="N105" t="s">
        <v>441</v>
      </c>
      <c r="O105">
        <v>1.98</v>
      </c>
      <c r="P105">
        <v>2.2222222222222223</v>
      </c>
      <c r="T105" s="151">
        <v>8751132</v>
      </c>
      <c r="U105" s="39">
        <v>19175</v>
      </c>
      <c r="V105" s="34">
        <v>19175</v>
      </c>
      <c r="W105" s="39">
        <f t="shared" si="5"/>
        <v>0</v>
      </c>
    </row>
    <row r="106" spans="1:23">
      <c r="A106" s="151">
        <v>3626401293</v>
      </c>
      <c r="B106" s="34">
        <v>2871</v>
      </c>
      <c r="E106" s="151">
        <v>3626401293</v>
      </c>
      <c r="F106" s="34">
        <v>2871</v>
      </c>
      <c r="H106" t="b">
        <f t="shared" si="3"/>
        <v>1</v>
      </c>
      <c r="I106" t="b">
        <f t="shared" si="4"/>
        <v>1</v>
      </c>
      <c r="M106">
        <v>17407390689</v>
      </c>
      <c r="N106" t="s">
        <v>441</v>
      </c>
      <c r="O106">
        <v>1.98</v>
      </c>
      <c r="P106">
        <v>2.2219293621507643</v>
      </c>
      <c r="T106" s="151">
        <v>8736165</v>
      </c>
      <c r="U106" s="39">
        <v>19175</v>
      </c>
      <c r="V106" s="34">
        <v>19175</v>
      </c>
      <c r="W106" s="39">
        <f t="shared" si="5"/>
        <v>0</v>
      </c>
    </row>
    <row r="107" spans="1:23">
      <c r="A107" s="151">
        <v>3628400472</v>
      </c>
      <c r="B107" s="34">
        <v>6600</v>
      </c>
      <c r="E107" s="151">
        <v>3628400472</v>
      </c>
      <c r="F107" s="34">
        <v>6600</v>
      </c>
      <c r="H107" t="b">
        <f t="shared" si="3"/>
        <v>1</v>
      </c>
      <c r="I107" t="b">
        <f t="shared" si="4"/>
        <v>1</v>
      </c>
      <c r="M107">
        <v>17213390978</v>
      </c>
      <c r="N107" t="s">
        <v>441</v>
      </c>
      <c r="O107">
        <v>1.98</v>
      </c>
      <c r="P107">
        <v>2.2222428863678632</v>
      </c>
      <c r="T107" s="151">
        <v>8742769</v>
      </c>
      <c r="U107" s="39">
        <v>19175</v>
      </c>
      <c r="V107" s="34">
        <v>19175</v>
      </c>
      <c r="W107" s="39">
        <f t="shared" si="5"/>
        <v>0</v>
      </c>
    </row>
    <row r="108" spans="1:23">
      <c r="A108" s="151">
        <v>3658400205</v>
      </c>
      <c r="B108" s="34">
        <v>12043</v>
      </c>
      <c r="E108" s="151">
        <v>3658400205</v>
      </c>
      <c r="F108" s="34">
        <v>12043</v>
      </c>
      <c r="H108" t="b">
        <f t="shared" si="3"/>
        <v>1</v>
      </c>
      <c r="I108" t="b">
        <f t="shared" si="4"/>
        <v>1</v>
      </c>
      <c r="M108">
        <v>17382390751</v>
      </c>
      <c r="N108" t="s">
        <v>441</v>
      </c>
      <c r="O108">
        <v>1.98</v>
      </c>
      <c r="P108">
        <v>1.8172757475083057</v>
      </c>
      <c r="T108" s="151">
        <v>8734022</v>
      </c>
      <c r="U108" s="39">
        <v>19175</v>
      </c>
      <c r="V108" s="34">
        <v>19175</v>
      </c>
      <c r="W108" s="39">
        <f t="shared" si="5"/>
        <v>0</v>
      </c>
    </row>
    <row r="109" spans="1:23">
      <c r="A109" s="151">
        <v>3658400402</v>
      </c>
      <c r="B109" s="34">
        <v>2217</v>
      </c>
      <c r="E109" s="151">
        <v>3658400402</v>
      </c>
      <c r="F109" s="34">
        <v>2217</v>
      </c>
      <c r="H109" t="b">
        <f t="shared" si="3"/>
        <v>1</v>
      </c>
      <c r="I109" t="b">
        <f t="shared" si="4"/>
        <v>1</v>
      </c>
      <c r="M109">
        <v>17382390751</v>
      </c>
      <c r="N109" t="s">
        <v>441</v>
      </c>
      <c r="O109">
        <v>1.98</v>
      </c>
      <c r="P109">
        <v>1.8192307692307692</v>
      </c>
      <c r="T109" s="151">
        <v>8736164</v>
      </c>
      <c r="U109" s="39">
        <v>19175</v>
      </c>
      <c r="V109" s="34">
        <v>19175</v>
      </c>
      <c r="W109" s="39">
        <f t="shared" si="5"/>
        <v>0</v>
      </c>
    </row>
    <row r="110" spans="1:23">
      <c r="A110" s="151">
        <v>9836398443</v>
      </c>
      <c r="B110" s="34">
        <v>8240</v>
      </c>
      <c r="E110" s="151">
        <v>9836398443</v>
      </c>
      <c r="F110" s="34">
        <v>8240</v>
      </c>
      <c r="H110" t="b">
        <f t="shared" si="3"/>
        <v>1</v>
      </c>
      <c r="I110" t="b">
        <f t="shared" si="4"/>
        <v>1</v>
      </c>
      <c r="M110">
        <v>3266392074</v>
      </c>
      <c r="N110" t="s">
        <v>441</v>
      </c>
      <c r="O110">
        <v>1.98</v>
      </c>
      <c r="P110">
        <v>2.222334004024145</v>
      </c>
      <c r="T110" s="151">
        <v>8742772</v>
      </c>
      <c r="U110" s="39">
        <v>19175</v>
      </c>
      <c r="V110" s="34">
        <v>19175</v>
      </c>
      <c r="W110" s="39">
        <f t="shared" si="5"/>
        <v>0</v>
      </c>
    </row>
    <row r="111" spans="1:23">
      <c r="A111" s="151">
        <v>9845399214</v>
      </c>
      <c r="B111" s="34">
        <v>2630</v>
      </c>
      <c r="E111" s="151">
        <v>9845399214</v>
      </c>
      <c r="F111" s="34">
        <v>2630</v>
      </c>
      <c r="H111" t="b">
        <f t="shared" si="3"/>
        <v>1</v>
      </c>
      <c r="I111" t="b">
        <f t="shared" si="4"/>
        <v>1</v>
      </c>
      <c r="M111">
        <v>3266392074</v>
      </c>
      <c r="N111" t="s">
        <v>441</v>
      </c>
      <c r="O111">
        <v>1.98</v>
      </c>
      <c r="P111">
        <v>2.2247191011235956</v>
      </c>
      <c r="T111" s="151">
        <v>8742771</v>
      </c>
      <c r="U111" s="39">
        <v>19175</v>
      </c>
      <c r="V111" s="34">
        <v>19175</v>
      </c>
      <c r="W111" s="39">
        <f t="shared" si="5"/>
        <v>0</v>
      </c>
    </row>
    <row r="112" spans="1:23">
      <c r="A112" s="151">
        <v>9848398443</v>
      </c>
      <c r="B112" s="34">
        <v>10100</v>
      </c>
      <c r="E112" s="151">
        <v>9848398443</v>
      </c>
      <c r="F112" s="34">
        <v>10100</v>
      </c>
      <c r="H112" t="b">
        <f t="shared" si="3"/>
        <v>1</v>
      </c>
      <c r="I112" t="b">
        <f t="shared" si="4"/>
        <v>1</v>
      </c>
      <c r="M112">
        <v>3290392074</v>
      </c>
      <c r="N112" t="s">
        <v>441</v>
      </c>
      <c r="O112">
        <v>1.98</v>
      </c>
      <c r="P112">
        <v>2.2218659826867584</v>
      </c>
      <c r="T112" s="151">
        <v>8718005</v>
      </c>
      <c r="U112" s="39">
        <v>19175</v>
      </c>
      <c r="V112" s="34">
        <v>19175</v>
      </c>
      <c r="W112" s="39">
        <f t="shared" si="5"/>
        <v>0</v>
      </c>
    </row>
    <row r="113" spans="1:23">
      <c r="A113" s="151">
        <v>9851388596</v>
      </c>
      <c r="B113" s="34">
        <v>720</v>
      </c>
      <c r="E113" s="151">
        <v>9851388596</v>
      </c>
      <c r="F113" s="34">
        <v>720</v>
      </c>
      <c r="H113" t="b">
        <f t="shared" si="3"/>
        <v>1</v>
      </c>
      <c r="I113" t="b">
        <f t="shared" si="4"/>
        <v>1</v>
      </c>
      <c r="M113">
        <v>17596392035</v>
      </c>
      <c r="N113" t="s">
        <v>441</v>
      </c>
      <c r="O113">
        <v>1.98</v>
      </c>
      <c r="P113">
        <v>2.2220232766338408</v>
      </c>
      <c r="T113" s="151">
        <v>8742770</v>
      </c>
      <c r="U113" s="39">
        <v>19175</v>
      </c>
      <c r="V113" s="34">
        <v>19175</v>
      </c>
      <c r="W113" s="39">
        <f t="shared" si="5"/>
        <v>0</v>
      </c>
    </row>
    <row r="114" spans="1:23">
      <c r="A114" s="151">
        <v>9851388752</v>
      </c>
      <c r="B114" s="34">
        <v>6000</v>
      </c>
      <c r="E114" s="151">
        <v>9851388752</v>
      </c>
      <c r="F114" s="34">
        <v>6000</v>
      </c>
      <c r="H114" t="b">
        <f t="shared" si="3"/>
        <v>1</v>
      </c>
      <c r="I114" t="b">
        <f t="shared" si="4"/>
        <v>1</v>
      </c>
      <c r="M114">
        <v>15704694392026</v>
      </c>
      <c r="N114" t="s">
        <v>441</v>
      </c>
      <c r="O114">
        <v>1.98</v>
      </c>
      <c r="P114">
        <v>2.2226345083487939</v>
      </c>
      <c r="T114" s="151">
        <v>8742223</v>
      </c>
      <c r="U114" s="39">
        <v>19175</v>
      </c>
      <c r="V114" s="34">
        <v>19175</v>
      </c>
      <c r="W114" s="39">
        <f t="shared" si="5"/>
        <v>0</v>
      </c>
    </row>
    <row r="115" spans="1:23">
      <c r="A115" s="151">
        <v>9852398722</v>
      </c>
      <c r="B115" s="34">
        <v>2645</v>
      </c>
      <c r="E115" s="151">
        <v>9852398722</v>
      </c>
      <c r="F115" s="34">
        <v>2645</v>
      </c>
      <c r="H115" t="b">
        <f t="shared" si="3"/>
        <v>1</v>
      </c>
      <c r="I115" t="b">
        <f t="shared" si="4"/>
        <v>1</v>
      </c>
      <c r="M115">
        <v>17461392068</v>
      </c>
      <c r="N115" t="s">
        <v>441</v>
      </c>
      <c r="O115">
        <v>1.98</v>
      </c>
      <c r="P115">
        <v>2.2218045112781954</v>
      </c>
      <c r="T115" s="151">
        <v>8718004</v>
      </c>
      <c r="U115" s="39">
        <v>19175</v>
      </c>
      <c r="V115" s="34">
        <v>19175</v>
      </c>
      <c r="W115" s="39">
        <f t="shared" si="5"/>
        <v>0</v>
      </c>
    </row>
    <row r="116" spans="1:23">
      <c r="A116" s="151">
        <v>9863389212</v>
      </c>
      <c r="B116" s="34">
        <v>9040</v>
      </c>
      <c r="E116" s="151">
        <v>9863389212</v>
      </c>
      <c r="F116" s="34">
        <v>9040</v>
      </c>
      <c r="H116" t="b">
        <f t="shared" si="3"/>
        <v>1</v>
      </c>
      <c r="I116" t="b">
        <f t="shared" si="4"/>
        <v>1</v>
      </c>
      <c r="M116">
        <v>17335391900</v>
      </c>
      <c r="N116" t="s">
        <v>441</v>
      </c>
      <c r="O116">
        <v>1.98</v>
      </c>
      <c r="P116">
        <v>1.8178571428571428</v>
      </c>
      <c r="T116" s="151">
        <v>8726107</v>
      </c>
      <c r="U116" s="39">
        <v>19175</v>
      </c>
      <c r="V116" s="34">
        <v>19175</v>
      </c>
      <c r="W116" s="39">
        <f t="shared" si="5"/>
        <v>0</v>
      </c>
    </row>
    <row r="117" spans="1:23">
      <c r="A117" s="151">
        <v>9870394386</v>
      </c>
      <c r="B117" s="34">
        <v>7782</v>
      </c>
      <c r="E117" s="151">
        <v>9870394386</v>
      </c>
      <c r="F117" s="34">
        <v>7782</v>
      </c>
      <c r="H117" t="b">
        <f t="shared" si="3"/>
        <v>1</v>
      </c>
      <c r="I117" t="b">
        <f t="shared" si="4"/>
        <v>1</v>
      </c>
      <c r="M117">
        <v>9989392067</v>
      </c>
      <c r="N117" t="s">
        <v>441</v>
      </c>
      <c r="O117">
        <v>1.98</v>
      </c>
      <c r="P117">
        <v>1.8182094081942337</v>
      </c>
      <c r="T117" s="151">
        <v>8729774</v>
      </c>
      <c r="U117" s="39">
        <v>19175</v>
      </c>
      <c r="V117" s="34">
        <v>19175</v>
      </c>
      <c r="W117" s="39">
        <f t="shared" si="5"/>
        <v>0</v>
      </c>
    </row>
    <row r="118" spans="1:23">
      <c r="A118" s="151">
        <v>9870397328</v>
      </c>
      <c r="B118" s="34">
        <v>1078</v>
      </c>
      <c r="E118" s="151">
        <v>9870397328</v>
      </c>
      <c r="F118" s="34">
        <v>1078</v>
      </c>
      <c r="H118" t="b">
        <f t="shared" si="3"/>
        <v>1</v>
      </c>
      <c r="I118" t="b">
        <f t="shared" si="4"/>
        <v>1</v>
      </c>
      <c r="M118">
        <v>17403391962</v>
      </c>
      <c r="N118" t="s">
        <v>441</v>
      </c>
      <c r="O118">
        <v>1.98</v>
      </c>
      <c r="P118">
        <v>1.8179218303145854</v>
      </c>
      <c r="T118" s="151">
        <v>8734322</v>
      </c>
      <c r="U118" s="39">
        <v>19175</v>
      </c>
      <c r="V118" s="34">
        <v>19175</v>
      </c>
      <c r="W118" s="39">
        <f t="shared" si="5"/>
        <v>0</v>
      </c>
    </row>
    <row r="119" spans="1:23">
      <c r="A119" s="151">
        <v>9876389325</v>
      </c>
      <c r="B119" s="34">
        <v>4843</v>
      </c>
      <c r="E119" s="151">
        <v>9876389325</v>
      </c>
      <c r="F119" s="34">
        <v>4843</v>
      </c>
      <c r="H119" t="b">
        <f t="shared" si="3"/>
        <v>1</v>
      </c>
      <c r="I119" t="b">
        <f t="shared" si="4"/>
        <v>1</v>
      </c>
      <c r="M119">
        <v>16958391982</v>
      </c>
      <c r="N119" t="s">
        <v>441</v>
      </c>
      <c r="O119">
        <v>1.98</v>
      </c>
      <c r="P119">
        <v>1.8181818181818181</v>
      </c>
      <c r="T119" s="151">
        <v>8743406</v>
      </c>
      <c r="U119" s="39">
        <v>19175</v>
      </c>
      <c r="V119" s="34">
        <v>19175</v>
      </c>
      <c r="W119" s="39">
        <f t="shared" si="5"/>
        <v>0</v>
      </c>
    </row>
    <row r="120" spans="1:23">
      <c r="A120" s="151">
        <v>9882389844</v>
      </c>
      <c r="B120" s="34">
        <v>6920</v>
      </c>
      <c r="E120" s="151">
        <v>9882389844</v>
      </c>
      <c r="F120" s="34">
        <v>6920</v>
      </c>
      <c r="H120" t="b">
        <f t="shared" si="3"/>
        <v>1</v>
      </c>
      <c r="I120" t="b">
        <f t="shared" si="4"/>
        <v>1</v>
      </c>
      <c r="M120">
        <v>16958391982</v>
      </c>
      <c r="N120" t="s">
        <v>441</v>
      </c>
      <c r="O120">
        <v>1.98</v>
      </c>
      <c r="P120">
        <v>1.8152173913043479</v>
      </c>
      <c r="T120" s="151">
        <v>8743407</v>
      </c>
      <c r="U120" s="39">
        <v>19175</v>
      </c>
      <c r="V120" s="34">
        <v>19175</v>
      </c>
      <c r="W120" s="39">
        <f t="shared" si="5"/>
        <v>0</v>
      </c>
    </row>
    <row r="121" spans="1:23">
      <c r="A121" s="151">
        <v>9896389147</v>
      </c>
      <c r="B121" s="34">
        <v>3768</v>
      </c>
      <c r="E121" s="151">
        <v>9896389147</v>
      </c>
      <c r="F121" s="34">
        <v>3768</v>
      </c>
      <c r="H121" t="b">
        <f t="shared" si="3"/>
        <v>1</v>
      </c>
      <c r="I121" t="b">
        <f t="shared" si="4"/>
        <v>1</v>
      </c>
      <c r="M121">
        <v>9984391168</v>
      </c>
      <c r="N121" t="s">
        <v>441</v>
      </c>
      <c r="O121">
        <v>1.98</v>
      </c>
      <c r="P121">
        <v>2.2223190932868353</v>
      </c>
      <c r="T121" s="151">
        <v>8758828</v>
      </c>
      <c r="U121" s="39">
        <v>19175</v>
      </c>
      <c r="V121" s="34">
        <v>19175</v>
      </c>
      <c r="W121" s="39">
        <f t="shared" si="5"/>
        <v>0</v>
      </c>
    </row>
    <row r="122" spans="1:23">
      <c r="A122" s="151">
        <v>9917391394</v>
      </c>
      <c r="B122" s="34">
        <v>5874</v>
      </c>
      <c r="E122" s="151">
        <v>9917391394</v>
      </c>
      <c r="F122" s="34">
        <v>5874</v>
      </c>
      <c r="H122" t="b">
        <f t="shared" si="3"/>
        <v>1</v>
      </c>
      <c r="I122" t="b">
        <f t="shared" si="4"/>
        <v>1</v>
      </c>
      <c r="M122">
        <v>9984391168</v>
      </c>
      <c r="N122" t="s">
        <v>441</v>
      </c>
      <c r="O122">
        <v>1.98</v>
      </c>
      <c r="P122">
        <v>2.225806451612903</v>
      </c>
      <c r="T122" s="151">
        <v>8758829</v>
      </c>
      <c r="U122" s="39">
        <v>19175</v>
      </c>
      <c r="V122" s="34">
        <v>19175</v>
      </c>
      <c r="W122" s="39">
        <f t="shared" si="5"/>
        <v>0</v>
      </c>
    </row>
    <row r="123" spans="1:23">
      <c r="A123" s="151">
        <v>9917398974</v>
      </c>
      <c r="B123" s="34">
        <v>4496</v>
      </c>
      <c r="E123" s="151">
        <v>9917398974</v>
      </c>
      <c r="F123" s="34">
        <v>4496</v>
      </c>
      <c r="H123" t="b">
        <f t="shared" si="3"/>
        <v>1</v>
      </c>
      <c r="I123" t="b">
        <f t="shared" si="4"/>
        <v>1</v>
      </c>
      <c r="M123">
        <v>17467391063</v>
      </c>
      <c r="N123" t="s">
        <v>441</v>
      </c>
      <c r="O123">
        <v>1.98</v>
      </c>
      <c r="P123">
        <v>1.8180958683936843</v>
      </c>
      <c r="T123" s="151">
        <v>8758830</v>
      </c>
      <c r="U123" s="39">
        <v>19175</v>
      </c>
      <c r="V123" s="34">
        <v>19175</v>
      </c>
      <c r="W123" s="39">
        <f t="shared" si="5"/>
        <v>0</v>
      </c>
    </row>
    <row r="124" spans="1:23">
      <c r="A124" s="151">
        <v>9930390042</v>
      </c>
      <c r="B124" s="34">
        <v>8784</v>
      </c>
      <c r="E124" s="151">
        <v>9930390042</v>
      </c>
      <c r="F124" s="34">
        <v>8784</v>
      </c>
      <c r="H124" t="b">
        <f t="shared" si="3"/>
        <v>1</v>
      </c>
      <c r="I124" t="b">
        <f t="shared" si="4"/>
        <v>1</v>
      </c>
      <c r="M124">
        <v>17420388551</v>
      </c>
      <c r="N124" t="s">
        <v>441</v>
      </c>
      <c r="O124">
        <v>1.98</v>
      </c>
      <c r="P124">
        <v>1.8183361629881154</v>
      </c>
      <c r="T124" s="151">
        <v>8761423</v>
      </c>
      <c r="U124" s="39">
        <v>19175</v>
      </c>
      <c r="V124" s="34">
        <v>19175</v>
      </c>
      <c r="W124" s="39">
        <f t="shared" si="5"/>
        <v>0</v>
      </c>
    </row>
    <row r="125" spans="1:23">
      <c r="A125" s="151">
        <v>9979398866</v>
      </c>
      <c r="B125" s="34">
        <v>1198</v>
      </c>
      <c r="E125" s="151">
        <v>9979398866</v>
      </c>
      <c r="F125" s="34">
        <v>1198</v>
      </c>
      <c r="H125" t="b">
        <f t="shared" si="3"/>
        <v>1</v>
      </c>
      <c r="I125" t="b">
        <f t="shared" si="4"/>
        <v>1</v>
      </c>
      <c r="M125">
        <v>17444388551</v>
      </c>
      <c r="N125" t="s">
        <v>441</v>
      </c>
      <c r="O125">
        <v>1.98</v>
      </c>
      <c r="P125">
        <v>1.8182451253481895</v>
      </c>
      <c r="T125" s="151">
        <v>8761425</v>
      </c>
      <c r="U125" s="39">
        <v>19175</v>
      </c>
      <c r="V125" s="34">
        <v>19175</v>
      </c>
      <c r="W125" s="39">
        <f t="shared" si="5"/>
        <v>0</v>
      </c>
    </row>
    <row r="126" spans="1:23">
      <c r="A126" s="151">
        <v>9984391168</v>
      </c>
      <c r="B126" s="34">
        <v>2756</v>
      </c>
      <c r="E126" s="151">
        <v>9984391168</v>
      </c>
      <c r="F126" s="34">
        <v>2756</v>
      </c>
      <c r="H126" t="b">
        <f t="shared" si="3"/>
        <v>1</v>
      </c>
      <c r="I126" t="b">
        <f t="shared" si="4"/>
        <v>1</v>
      </c>
      <c r="M126">
        <v>17403391348</v>
      </c>
      <c r="N126" t="s">
        <v>441</v>
      </c>
      <c r="O126">
        <v>1.98</v>
      </c>
      <c r="P126">
        <v>1.818082788671024</v>
      </c>
      <c r="W126" s="39">
        <f t="shared" si="5"/>
        <v>0</v>
      </c>
    </row>
    <row r="127" spans="1:23">
      <c r="A127" s="151">
        <v>9984392139</v>
      </c>
      <c r="B127" s="34">
        <v>4554</v>
      </c>
      <c r="E127" s="151">
        <v>9984392139</v>
      </c>
      <c r="F127" s="34">
        <v>4554</v>
      </c>
      <c r="H127" t="b">
        <f t="shared" si="3"/>
        <v>1</v>
      </c>
      <c r="I127" t="b">
        <f t="shared" si="4"/>
        <v>1</v>
      </c>
      <c r="M127">
        <v>9996391711</v>
      </c>
      <c r="N127" t="s">
        <v>441</v>
      </c>
      <c r="O127">
        <v>1.98</v>
      </c>
      <c r="P127">
        <v>1.8181818181818181</v>
      </c>
      <c r="W127" s="39">
        <f t="shared" si="5"/>
        <v>0</v>
      </c>
    </row>
    <row r="128" spans="1:23">
      <c r="A128" s="151">
        <v>9989392067</v>
      </c>
      <c r="B128" s="34">
        <v>5991</v>
      </c>
      <c r="E128" s="151">
        <v>9989392067</v>
      </c>
      <c r="F128" s="34">
        <v>5991</v>
      </c>
      <c r="H128" t="b">
        <f t="shared" si="3"/>
        <v>1</v>
      </c>
      <c r="I128" t="b">
        <f t="shared" si="4"/>
        <v>1</v>
      </c>
      <c r="M128">
        <v>9996391711</v>
      </c>
      <c r="N128" t="s">
        <v>441</v>
      </c>
      <c r="O128">
        <v>1.98</v>
      </c>
      <c r="P128">
        <v>1.8185291308500477</v>
      </c>
      <c r="W128" s="39">
        <f t="shared" si="5"/>
        <v>0</v>
      </c>
    </row>
    <row r="129" spans="1:23">
      <c r="A129" s="151">
        <v>9990398443</v>
      </c>
      <c r="B129" s="34">
        <v>12770</v>
      </c>
      <c r="E129" s="151">
        <v>9990398443</v>
      </c>
      <c r="F129" s="34">
        <v>12770</v>
      </c>
      <c r="H129" t="b">
        <f t="shared" si="3"/>
        <v>1</v>
      </c>
      <c r="I129" t="b">
        <f t="shared" si="4"/>
        <v>1</v>
      </c>
      <c r="M129">
        <v>17553388552</v>
      </c>
      <c r="N129" t="s">
        <v>441</v>
      </c>
      <c r="O129">
        <v>1.98</v>
      </c>
      <c r="P129">
        <v>1.8178368121442126</v>
      </c>
      <c r="W129" s="39">
        <f t="shared" si="5"/>
        <v>0</v>
      </c>
    </row>
    <row r="130" spans="1:23">
      <c r="A130" s="151">
        <v>9996391711</v>
      </c>
      <c r="B130" s="34">
        <v>10604</v>
      </c>
      <c r="E130" s="151">
        <v>9996391711</v>
      </c>
      <c r="F130" s="34">
        <v>10604</v>
      </c>
      <c r="H130" t="b">
        <f t="shared" si="3"/>
        <v>1</v>
      </c>
      <c r="I130" t="b">
        <f t="shared" si="4"/>
        <v>1</v>
      </c>
      <c r="M130">
        <v>17553388552</v>
      </c>
      <c r="N130" t="s">
        <v>441</v>
      </c>
      <c r="O130">
        <v>1.98</v>
      </c>
      <c r="P130">
        <v>1.8187830687830688</v>
      </c>
      <c r="W130" s="39">
        <f t="shared" si="5"/>
        <v>0</v>
      </c>
    </row>
    <row r="131" spans="1:23">
      <c r="A131" s="151">
        <v>9996392118</v>
      </c>
      <c r="B131" s="34">
        <v>698</v>
      </c>
      <c r="E131" s="151">
        <v>9996392118</v>
      </c>
      <c r="F131" s="34">
        <v>698</v>
      </c>
      <c r="H131" t="b">
        <f t="shared" si="3"/>
        <v>1</v>
      </c>
      <c r="I131" t="b">
        <f t="shared" si="4"/>
        <v>1</v>
      </c>
      <c r="M131">
        <v>3296391785</v>
      </c>
      <c r="N131" t="s">
        <v>441</v>
      </c>
      <c r="O131">
        <v>1.98</v>
      </c>
      <c r="P131">
        <v>2.2222222222222223</v>
      </c>
      <c r="W131" s="39">
        <f t="shared" si="5"/>
        <v>0</v>
      </c>
    </row>
    <row r="132" spans="1:23">
      <c r="A132" s="151">
        <v>9999398336</v>
      </c>
      <c r="B132" s="34">
        <v>299</v>
      </c>
      <c r="E132" s="151">
        <v>9999398336</v>
      </c>
      <c r="F132" s="34">
        <v>299</v>
      </c>
      <c r="H132" t="b">
        <f t="shared" si="3"/>
        <v>1</v>
      </c>
      <c r="I132" t="b">
        <f t="shared" si="4"/>
        <v>1</v>
      </c>
      <c r="M132">
        <v>17102391761</v>
      </c>
      <c r="N132" t="s">
        <v>441</v>
      </c>
      <c r="O132">
        <v>1.98</v>
      </c>
      <c r="P132">
        <v>2.222238041002278</v>
      </c>
      <c r="W132" s="39">
        <f t="shared" si="5"/>
        <v>0</v>
      </c>
    </row>
    <row r="133" spans="1:23">
      <c r="A133" s="151">
        <v>10004398722</v>
      </c>
      <c r="B133" s="34">
        <v>3353</v>
      </c>
      <c r="E133" s="151">
        <v>10004398722</v>
      </c>
      <c r="F133" s="34">
        <v>3353</v>
      </c>
      <c r="H133" t="b">
        <f t="shared" si="3"/>
        <v>1</v>
      </c>
      <c r="I133" t="b">
        <f t="shared" si="4"/>
        <v>1</v>
      </c>
      <c r="M133">
        <v>17452391761</v>
      </c>
      <c r="N133" t="s">
        <v>441</v>
      </c>
      <c r="O133">
        <v>1.98</v>
      </c>
      <c r="P133">
        <v>1.8181818181818181</v>
      </c>
      <c r="W133" s="39">
        <f t="shared" si="5"/>
        <v>0</v>
      </c>
    </row>
    <row r="134" spans="1:23">
      <c r="A134" s="151">
        <v>10005391709</v>
      </c>
      <c r="B134" s="34">
        <v>3460</v>
      </c>
      <c r="E134" s="151">
        <v>10005391709</v>
      </c>
      <c r="F134" s="34">
        <v>3460</v>
      </c>
      <c r="H134" t="b">
        <f t="shared" si="3"/>
        <v>1</v>
      </c>
      <c r="I134" t="b">
        <f t="shared" si="4"/>
        <v>1</v>
      </c>
      <c r="M134">
        <v>17387391982</v>
      </c>
      <c r="N134" t="s">
        <v>441</v>
      </c>
      <c r="O134">
        <v>1.98</v>
      </c>
      <c r="P134">
        <v>1.8185880250223414</v>
      </c>
      <c r="W134" s="39">
        <f t="shared" si="5"/>
        <v>0</v>
      </c>
    </row>
    <row r="135" spans="1:23">
      <c r="A135" s="151">
        <v>10007394157</v>
      </c>
      <c r="B135" s="34">
        <v>4159</v>
      </c>
      <c r="E135" s="151">
        <v>10007394157</v>
      </c>
      <c r="F135" s="34">
        <v>4159</v>
      </c>
      <c r="H135" t="b">
        <f t="shared" si="3"/>
        <v>1</v>
      </c>
      <c r="I135" t="b">
        <f t="shared" si="4"/>
        <v>1</v>
      </c>
      <c r="M135">
        <v>17403391982</v>
      </c>
      <c r="N135" t="s">
        <v>441</v>
      </c>
      <c r="O135">
        <v>1.98</v>
      </c>
      <c r="P135">
        <v>1.8170731707317074</v>
      </c>
      <c r="W135" s="39">
        <f t="shared" si="5"/>
        <v>0</v>
      </c>
    </row>
    <row r="136" spans="1:23">
      <c r="A136" s="151">
        <v>10007398866</v>
      </c>
      <c r="B136" s="34">
        <v>181</v>
      </c>
      <c r="E136" s="151">
        <v>10007398866</v>
      </c>
      <c r="F136" s="34">
        <v>181</v>
      </c>
      <c r="H136" t="b">
        <f t="shared" si="3"/>
        <v>1</v>
      </c>
      <c r="I136" t="b">
        <f t="shared" si="4"/>
        <v>1</v>
      </c>
      <c r="M136">
        <v>17292392000</v>
      </c>
      <c r="N136" t="s">
        <v>441</v>
      </c>
      <c r="O136">
        <v>1.98</v>
      </c>
      <c r="P136">
        <v>2.2223279416428796</v>
      </c>
      <c r="W136" s="39">
        <f t="shared" si="5"/>
        <v>0</v>
      </c>
    </row>
    <row r="137" spans="1:23">
      <c r="A137" s="151">
        <v>10009397812</v>
      </c>
      <c r="B137" s="34">
        <v>5460</v>
      </c>
      <c r="E137" s="151">
        <v>10009397812</v>
      </c>
      <c r="F137" s="34">
        <v>5460</v>
      </c>
      <c r="H137" t="b">
        <f t="shared" si="3"/>
        <v>1</v>
      </c>
      <c r="I137" t="b">
        <f t="shared" si="4"/>
        <v>1</v>
      </c>
      <c r="M137">
        <v>17323392000</v>
      </c>
      <c r="N137" t="s">
        <v>441</v>
      </c>
      <c r="O137">
        <v>1.98</v>
      </c>
      <c r="P137">
        <v>2.2219260246584471</v>
      </c>
      <c r="W137" s="39">
        <f t="shared" si="5"/>
        <v>0</v>
      </c>
    </row>
    <row r="138" spans="1:23">
      <c r="A138" s="151">
        <v>10017392986</v>
      </c>
      <c r="B138" s="34">
        <v>936</v>
      </c>
      <c r="E138" s="151">
        <v>10017392986</v>
      </c>
      <c r="F138" s="34">
        <v>936</v>
      </c>
      <c r="H138" t="b">
        <f t="shared" si="3"/>
        <v>1</v>
      </c>
      <c r="I138" t="b">
        <f t="shared" si="4"/>
        <v>1</v>
      </c>
      <c r="M138">
        <v>17519392183</v>
      </c>
      <c r="N138" t="s">
        <v>441</v>
      </c>
      <c r="O138">
        <v>1.98</v>
      </c>
      <c r="P138">
        <v>2.2222222222222223</v>
      </c>
      <c r="W138" s="39">
        <f t="shared" si="5"/>
        <v>0</v>
      </c>
    </row>
    <row r="139" spans="1:23">
      <c r="A139" s="151">
        <v>10033398443</v>
      </c>
      <c r="B139" s="34">
        <v>11360</v>
      </c>
      <c r="E139" s="151">
        <v>10033398443</v>
      </c>
      <c r="F139" s="34">
        <v>11360</v>
      </c>
      <c r="H139" t="b">
        <f t="shared" si="3"/>
        <v>1</v>
      </c>
      <c r="I139" t="b">
        <f t="shared" si="4"/>
        <v>1</v>
      </c>
      <c r="M139">
        <v>9996392118</v>
      </c>
      <c r="N139" t="s">
        <v>441</v>
      </c>
      <c r="O139">
        <v>1.98</v>
      </c>
      <c r="P139">
        <v>1.8177083333333333</v>
      </c>
      <c r="W139" s="39">
        <f t="shared" si="5"/>
        <v>0</v>
      </c>
    </row>
    <row r="140" spans="1:23">
      <c r="A140" s="151">
        <v>10043398443</v>
      </c>
      <c r="B140" s="34">
        <v>3860</v>
      </c>
      <c r="E140" s="151">
        <v>10043398443</v>
      </c>
      <c r="F140" s="34">
        <v>3860</v>
      </c>
      <c r="H140" t="b">
        <f t="shared" si="3"/>
        <v>1</v>
      </c>
      <c r="I140" t="b">
        <f t="shared" si="4"/>
        <v>1</v>
      </c>
      <c r="M140">
        <v>9984392139</v>
      </c>
      <c r="N140" t="s">
        <v>441</v>
      </c>
      <c r="O140">
        <v>1.98</v>
      </c>
      <c r="P140">
        <v>2.2225475841874083</v>
      </c>
      <c r="W140" s="39">
        <f t="shared" si="5"/>
        <v>0</v>
      </c>
    </row>
    <row r="141" spans="1:23">
      <c r="A141" s="151">
        <v>10048394447</v>
      </c>
      <c r="B141" s="34">
        <v>4492</v>
      </c>
      <c r="E141" s="151">
        <v>10048394447</v>
      </c>
      <c r="F141" s="34">
        <v>4492</v>
      </c>
      <c r="H141" t="b">
        <f t="shared" si="3"/>
        <v>1</v>
      </c>
      <c r="I141" t="b">
        <f t="shared" si="4"/>
        <v>1</v>
      </c>
      <c r="M141">
        <v>17186392273</v>
      </c>
      <c r="N141" t="s">
        <v>441</v>
      </c>
      <c r="O141">
        <v>1.98</v>
      </c>
      <c r="P141">
        <v>1.8181818181818181</v>
      </c>
      <c r="W141" s="39">
        <f t="shared" si="5"/>
        <v>0</v>
      </c>
    </row>
    <row r="142" spans="1:23">
      <c r="A142" s="151">
        <v>10051398917</v>
      </c>
      <c r="B142" s="34">
        <v>782</v>
      </c>
      <c r="E142" s="151">
        <v>10051398917</v>
      </c>
      <c r="F142" s="34">
        <v>782</v>
      </c>
      <c r="H142" t="b">
        <f t="shared" si="3"/>
        <v>1</v>
      </c>
      <c r="I142" t="b">
        <f t="shared" si="4"/>
        <v>1</v>
      </c>
      <c r="M142">
        <v>17549392231</v>
      </c>
      <c r="N142" t="s">
        <v>441</v>
      </c>
      <c r="O142">
        <v>1.98</v>
      </c>
      <c r="P142">
        <v>1.8181026979982593</v>
      </c>
      <c r="W142" s="39">
        <f t="shared" si="5"/>
        <v>0</v>
      </c>
    </row>
    <row r="143" spans="1:23">
      <c r="A143" s="151">
        <v>10062392760</v>
      </c>
      <c r="B143" s="34">
        <v>6312</v>
      </c>
      <c r="E143" s="151">
        <v>10062392760</v>
      </c>
      <c r="F143" s="34">
        <v>6312</v>
      </c>
      <c r="H143" t="b">
        <f t="shared" si="3"/>
        <v>1</v>
      </c>
      <c r="I143" t="b">
        <f t="shared" si="4"/>
        <v>1</v>
      </c>
      <c r="M143">
        <v>17549392231</v>
      </c>
      <c r="N143">
        <v>787</v>
      </c>
      <c r="O143">
        <v>1.82</v>
      </c>
      <c r="P143">
        <v>1.8182389937106918</v>
      </c>
      <c r="W143" s="39">
        <f t="shared" si="5"/>
        <v>0</v>
      </c>
    </row>
    <row r="144" spans="1:23">
      <c r="A144" s="151">
        <v>10091394175</v>
      </c>
      <c r="B144" s="34">
        <v>16560</v>
      </c>
      <c r="E144" s="151">
        <v>10091394175</v>
      </c>
      <c r="F144" s="34">
        <v>16560</v>
      </c>
      <c r="H144" t="b">
        <f t="shared" si="3"/>
        <v>1</v>
      </c>
      <c r="I144" t="b">
        <f t="shared" si="4"/>
        <v>1</v>
      </c>
      <c r="M144">
        <v>1972390325</v>
      </c>
      <c r="N144" t="s">
        <v>441</v>
      </c>
      <c r="O144">
        <v>1.98</v>
      </c>
      <c r="P144">
        <v>2.2222001588562352</v>
      </c>
      <c r="W144" s="39">
        <f t="shared" si="5"/>
        <v>0</v>
      </c>
    </row>
    <row r="145" spans="1:23">
      <c r="A145" s="151">
        <v>10092394175</v>
      </c>
      <c r="B145" s="34">
        <v>21100</v>
      </c>
      <c r="E145" s="151">
        <v>10092394175</v>
      </c>
      <c r="F145" s="34">
        <v>21100</v>
      </c>
      <c r="H145" t="b">
        <f t="shared" si="3"/>
        <v>1</v>
      </c>
      <c r="I145" t="b">
        <f t="shared" si="4"/>
        <v>1</v>
      </c>
      <c r="M145">
        <v>1972390325</v>
      </c>
      <c r="N145" t="s">
        <v>441</v>
      </c>
      <c r="O145">
        <v>1.98</v>
      </c>
      <c r="P145">
        <v>2.222254844392249</v>
      </c>
      <c r="W145" s="39">
        <f t="shared" si="5"/>
        <v>0</v>
      </c>
    </row>
    <row r="146" spans="1:23">
      <c r="A146" s="151">
        <v>10103393326</v>
      </c>
      <c r="B146" s="34">
        <v>1020</v>
      </c>
      <c r="E146" s="151">
        <v>10103393326</v>
      </c>
      <c r="F146" s="34">
        <v>1020</v>
      </c>
      <c r="H146" t="b">
        <f t="shared" si="3"/>
        <v>1</v>
      </c>
      <c r="I146" t="b">
        <f t="shared" si="4"/>
        <v>1</v>
      </c>
      <c r="M146">
        <v>1973390325</v>
      </c>
      <c r="N146" t="s">
        <v>441</v>
      </c>
      <c r="O146">
        <v>1.98</v>
      </c>
      <c r="P146">
        <v>2.2222222222222223</v>
      </c>
      <c r="W146" s="39">
        <f t="shared" si="5"/>
        <v>0</v>
      </c>
    </row>
    <row r="147" spans="1:23">
      <c r="A147" s="151">
        <v>10117393354</v>
      </c>
      <c r="B147" s="34">
        <v>5926</v>
      </c>
      <c r="E147" s="151">
        <v>10117393354</v>
      </c>
      <c r="F147" s="34">
        <v>5926</v>
      </c>
      <c r="H147" t="b">
        <f t="shared" si="3"/>
        <v>1</v>
      </c>
      <c r="I147" t="b">
        <f t="shared" si="4"/>
        <v>1</v>
      </c>
      <c r="M147">
        <v>17347390815</v>
      </c>
      <c r="N147" t="s">
        <v>441</v>
      </c>
      <c r="O147">
        <v>1.98</v>
      </c>
      <c r="P147">
        <v>2.2219476025704399</v>
      </c>
      <c r="W147" s="39">
        <f t="shared" si="5"/>
        <v>0</v>
      </c>
    </row>
    <row r="148" spans="1:23">
      <c r="A148" s="151">
        <v>10117396146</v>
      </c>
      <c r="B148" s="34">
        <v>2236</v>
      </c>
      <c r="E148" s="151">
        <v>10117396146</v>
      </c>
      <c r="F148" s="34">
        <v>2236</v>
      </c>
      <c r="H148" t="b">
        <f t="shared" si="3"/>
        <v>1</v>
      </c>
      <c r="I148" t="b">
        <f t="shared" si="4"/>
        <v>1</v>
      </c>
      <c r="M148">
        <v>17246390942</v>
      </c>
      <c r="N148" t="s">
        <v>441</v>
      </c>
      <c r="O148">
        <v>1.98</v>
      </c>
      <c r="P148">
        <v>2.2221934145709099</v>
      </c>
      <c r="W148" s="39">
        <f t="shared" si="5"/>
        <v>0</v>
      </c>
    </row>
    <row r="149" spans="1:23">
      <c r="A149" s="151">
        <v>10138394764</v>
      </c>
      <c r="B149" s="34">
        <v>11731</v>
      </c>
      <c r="E149" s="151">
        <v>10138394764</v>
      </c>
      <c r="F149" s="34">
        <v>11731</v>
      </c>
      <c r="H149" t="b">
        <f t="shared" si="3"/>
        <v>1</v>
      </c>
      <c r="I149" t="b">
        <f t="shared" si="4"/>
        <v>1</v>
      </c>
      <c r="M149">
        <v>17391390668</v>
      </c>
      <c r="N149" t="s">
        <v>441</v>
      </c>
      <c r="O149">
        <v>1.98</v>
      </c>
      <c r="P149">
        <v>2.2214532871972317</v>
      </c>
      <c r="W149" s="39">
        <f t="shared" si="5"/>
        <v>0</v>
      </c>
    </row>
    <row r="150" spans="1:23">
      <c r="A150" s="151">
        <v>10145394764</v>
      </c>
      <c r="B150" s="34">
        <v>4929</v>
      </c>
      <c r="E150" s="151">
        <v>10145394764</v>
      </c>
      <c r="F150" s="34">
        <v>4929</v>
      </c>
      <c r="H150" t="b">
        <f t="shared" si="3"/>
        <v>1</v>
      </c>
      <c r="I150" t="b">
        <f t="shared" si="4"/>
        <v>1</v>
      </c>
      <c r="M150">
        <v>17115384052</v>
      </c>
      <c r="N150" t="s">
        <v>441</v>
      </c>
      <c r="O150">
        <v>1.98</v>
      </c>
      <c r="P150">
        <v>1.8185576481396417</v>
      </c>
      <c r="W150" s="39">
        <f t="shared" si="5"/>
        <v>0</v>
      </c>
    </row>
    <row r="151" spans="1:23">
      <c r="A151" s="151">
        <v>10150395407</v>
      </c>
      <c r="B151" s="34">
        <v>11244</v>
      </c>
      <c r="E151" s="151">
        <v>10150395407</v>
      </c>
      <c r="F151" s="34">
        <v>11244</v>
      </c>
      <c r="H151" t="b">
        <f t="shared" ref="H151:H214" si="6">A151=E151</f>
        <v>1</v>
      </c>
      <c r="I151" t="b">
        <f t="shared" ref="I151:I214" si="7">B151=F151</f>
        <v>1</v>
      </c>
      <c r="M151">
        <v>17115384052</v>
      </c>
      <c r="N151" t="s">
        <v>441</v>
      </c>
      <c r="O151">
        <v>1.98</v>
      </c>
      <c r="P151">
        <v>1.8181973078889078</v>
      </c>
      <c r="W151" s="39">
        <f t="shared" ref="W151:W214" si="8">U151-V151</f>
        <v>0</v>
      </c>
    </row>
    <row r="152" spans="1:23">
      <c r="A152" s="151">
        <v>10152394698</v>
      </c>
      <c r="B152" s="34">
        <v>3234</v>
      </c>
      <c r="E152" s="151">
        <v>10152394698</v>
      </c>
      <c r="F152" s="34">
        <v>3234</v>
      </c>
      <c r="H152" t="b">
        <f t="shared" si="6"/>
        <v>1</v>
      </c>
      <c r="I152" t="b">
        <f t="shared" si="7"/>
        <v>1</v>
      </c>
      <c r="M152">
        <v>17503384052</v>
      </c>
      <c r="N152" t="s">
        <v>441</v>
      </c>
      <c r="O152">
        <v>1.98</v>
      </c>
      <c r="P152">
        <v>2.2222222222222223</v>
      </c>
      <c r="W152" s="39">
        <f t="shared" si="8"/>
        <v>0</v>
      </c>
    </row>
    <row r="153" spans="1:23">
      <c r="A153" s="151">
        <v>10152396835</v>
      </c>
      <c r="B153" s="34">
        <v>1377</v>
      </c>
      <c r="E153" s="151">
        <v>10152396835</v>
      </c>
      <c r="F153" s="34">
        <v>1377</v>
      </c>
      <c r="H153" t="b">
        <f t="shared" si="6"/>
        <v>1</v>
      </c>
      <c r="I153" t="b">
        <f t="shared" si="7"/>
        <v>1</v>
      </c>
      <c r="M153">
        <v>1945391633</v>
      </c>
      <c r="N153" t="s">
        <v>441</v>
      </c>
      <c r="O153">
        <v>1.98</v>
      </c>
      <c r="P153">
        <v>2.2222222222222223</v>
      </c>
      <c r="W153" s="39">
        <f t="shared" si="8"/>
        <v>0</v>
      </c>
    </row>
    <row r="154" spans="1:23">
      <c r="A154" s="151">
        <v>10162395798</v>
      </c>
      <c r="B154" s="34">
        <v>3529</v>
      </c>
      <c r="E154" s="151">
        <v>10162395798</v>
      </c>
      <c r="F154" s="34">
        <v>3529</v>
      </c>
      <c r="H154" t="b">
        <f t="shared" si="6"/>
        <v>1</v>
      </c>
      <c r="I154" t="b">
        <f t="shared" si="7"/>
        <v>1</v>
      </c>
      <c r="M154">
        <v>1958391633</v>
      </c>
      <c r="N154" t="s">
        <v>441</v>
      </c>
      <c r="O154">
        <v>1.98</v>
      </c>
      <c r="P154">
        <v>1.8132530120481927</v>
      </c>
      <c r="W154" s="39">
        <f t="shared" si="8"/>
        <v>0</v>
      </c>
    </row>
    <row r="155" spans="1:23">
      <c r="A155" s="151">
        <v>10163394019</v>
      </c>
      <c r="B155" s="34">
        <v>9066</v>
      </c>
      <c r="E155" s="151">
        <v>10163394019</v>
      </c>
      <c r="F155" s="34">
        <v>9066</v>
      </c>
      <c r="H155" t="b">
        <f t="shared" si="6"/>
        <v>1</v>
      </c>
      <c r="I155" t="b">
        <f t="shared" si="7"/>
        <v>1</v>
      </c>
      <c r="M155">
        <v>1965391633</v>
      </c>
      <c r="N155" t="s">
        <v>441</v>
      </c>
      <c r="O155">
        <v>1.98</v>
      </c>
      <c r="P155">
        <v>2.2219658514074756</v>
      </c>
      <c r="W155" s="39">
        <f t="shared" si="8"/>
        <v>0</v>
      </c>
    </row>
    <row r="156" spans="1:23">
      <c r="A156" s="151">
        <v>10165401040</v>
      </c>
      <c r="B156" s="34">
        <v>19000</v>
      </c>
      <c r="E156" s="151">
        <v>10165401040</v>
      </c>
      <c r="F156" s="34">
        <v>19000</v>
      </c>
      <c r="H156" t="b">
        <f t="shared" si="6"/>
        <v>1</v>
      </c>
      <c r="I156" t="b">
        <f t="shared" si="7"/>
        <v>1</v>
      </c>
      <c r="M156">
        <v>16948391420</v>
      </c>
      <c r="N156" t="s">
        <v>441</v>
      </c>
      <c r="O156">
        <v>1.98</v>
      </c>
      <c r="P156">
        <v>2.2211538461538463</v>
      </c>
      <c r="W156" s="39">
        <f t="shared" si="8"/>
        <v>0</v>
      </c>
    </row>
    <row r="157" spans="1:23">
      <c r="A157" s="151">
        <v>10169396146</v>
      </c>
      <c r="B157" s="34">
        <v>5570</v>
      </c>
      <c r="E157" s="151">
        <v>10169396146</v>
      </c>
      <c r="F157" s="34">
        <v>5570</v>
      </c>
      <c r="H157" t="b">
        <f t="shared" si="6"/>
        <v>1</v>
      </c>
      <c r="I157" t="b">
        <f t="shared" si="7"/>
        <v>1</v>
      </c>
      <c r="M157">
        <v>3266391647</v>
      </c>
      <c r="N157" t="s">
        <v>441</v>
      </c>
      <c r="O157">
        <v>1.98</v>
      </c>
      <c r="P157">
        <v>2.2220488819552782</v>
      </c>
      <c r="W157" s="39">
        <f t="shared" si="8"/>
        <v>0</v>
      </c>
    </row>
    <row r="158" spans="1:23">
      <c r="A158" s="151">
        <v>10172394274</v>
      </c>
      <c r="B158" s="34">
        <v>2394</v>
      </c>
      <c r="E158" s="151">
        <v>10172394274</v>
      </c>
      <c r="F158" s="34">
        <v>2394</v>
      </c>
      <c r="H158" t="b">
        <f t="shared" si="6"/>
        <v>1</v>
      </c>
      <c r="I158" t="b">
        <f t="shared" si="7"/>
        <v>1</v>
      </c>
      <c r="M158">
        <v>10005391709</v>
      </c>
      <c r="N158" t="s">
        <v>441</v>
      </c>
      <c r="O158">
        <v>1.98</v>
      </c>
      <c r="P158">
        <v>1.8181818181818181</v>
      </c>
      <c r="W158" s="39">
        <f t="shared" si="8"/>
        <v>0</v>
      </c>
    </row>
    <row r="159" spans="1:23">
      <c r="A159" s="151">
        <v>10176392893</v>
      </c>
      <c r="B159" s="34">
        <v>14000</v>
      </c>
      <c r="E159" s="151">
        <v>10176392893</v>
      </c>
      <c r="F159" s="34">
        <v>14000</v>
      </c>
      <c r="H159" t="b">
        <f t="shared" si="6"/>
        <v>1</v>
      </c>
      <c r="I159" t="b">
        <f t="shared" si="7"/>
        <v>1</v>
      </c>
      <c r="M159">
        <v>17186391402</v>
      </c>
      <c r="N159" t="s">
        <v>441</v>
      </c>
      <c r="O159">
        <v>1.98</v>
      </c>
      <c r="P159">
        <v>1.8181818181818181</v>
      </c>
      <c r="W159" s="39">
        <f t="shared" si="8"/>
        <v>0</v>
      </c>
    </row>
    <row r="160" spans="1:23">
      <c r="A160" s="151">
        <v>10177392893</v>
      </c>
      <c r="B160" s="34">
        <v>3840</v>
      </c>
      <c r="E160" s="151">
        <v>10177392893</v>
      </c>
      <c r="F160" s="34">
        <v>3840</v>
      </c>
      <c r="H160" t="b">
        <f t="shared" si="6"/>
        <v>1</v>
      </c>
      <c r="I160" t="b">
        <f t="shared" si="7"/>
        <v>1</v>
      </c>
      <c r="M160">
        <v>17436384156</v>
      </c>
      <c r="N160" t="s">
        <v>441</v>
      </c>
      <c r="O160">
        <v>1.98</v>
      </c>
      <c r="P160">
        <v>1.8181818181818181</v>
      </c>
      <c r="W160" s="39">
        <f t="shared" si="8"/>
        <v>0</v>
      </c>
    </row>
    <row r="161" spans="1:23">
      <c r="A161" s="151">
        <v>10188399214</v>
      </c>
      <c r="B161" s="34">
        <v>4350</v>
      </c>
      <c r="E161" s="151">
        <v>10188399214</v>
      </c>
      <c r="F161" s="34">
        <v>4350</v>
      </c>
      <c r="H161" t="b">
        <f t="shared" si="6"/>
        <v>1</v>
      </c>
      <c r="I161" t="b">
        <f t="shared" si="7"/>
        <v>1</v>
      </c>
      <c r="M161">
        <v>17411390751</v>
      </c>
      <c r="N161" t="s">
        <v>441</v>
      </c>
      <c r="O161">
        <v>1.98</v>
      </c>
      <c r="P161">
        <v>1.8176605504587156</v>
      </c>
      <c r="W161" s="39">
        <f t="shared" si="8"/>
        <v>0</v>
      </c>
    </row>
    <row r="162" spans="1:23">
      <c r="A162" s="151">
        <v>10204397245</v>
      </c>
      <c r="B162" s="34">
        <v>1628</v>
      </c>
      <c r="E162" s="151">
        <v>10204397245</v>
      </c>
      <c r="F162" s="34">
        <v>1628</v>
      </c>
      <c r="H162" t="b">
        <f t="shared" si="6"/>
        <v>1</v>
      </c>
      <c r="I162" t="b">
        <f t="shared" si="7"/>
        <v>1</v>
      </c>
      <c r="M162">
        <v>17382390783</v>
      </c>
      <c r="N162" t="s">
        <v>441</v>
      </c>
      <c r="O162">
        <v>1.98</v>
      </c>
      <c r="P162">
        <v>1.8181818181818181</v>
      </c>
      <c r="W162" s="39">
        <f t="shared" si="8"/>
        <v>0</v>
      </c>
    </row>
    <row r="163" spans="1:23">
      <c r="A163" s="151">
        <v>10204398827</v>
      </c>
      <c r="B163" s="34">
        <v>5730</v>
      </c>
      <c r="E163" s="151">
        <v>10204398827</v>
      </c>
      <c r="F163" s="34">
        <v>5730</v>
      </c>
      <c r="H163" t="b">
        <f t="shared" si="6"/>
        <v>1</v>
      </c>
      <c r="I163" t="b">
        <f t="shared" si="7"/>
        <v>1</v>
      </c>
      <c r="M163">
        <v>17411390783</v>
      </c>
      <c r="N163" t="s">
        <v>441</v>
      </c>
      <c r="O163">
        <v>1.98</v>
      </c>
      <c r="P163">
        <v>1.8181818181818181</v>
      </c>
      <c r="W163" s="39">
        <f t="shared" si="8"/>
        <v>0</v>
      </c>
    </row>
    <row r="164" spans="1:23">
      <c r="A164" s="151">
        <v>10219395815</v>
      </c>
      <c r="B164" s="34">
        <v>3260</v>
      </c>
      <c r="E164" s="151">
        <v>10219395815</v>
      </c>
      <c r="F164" s="34">
        <v>3260</v>
      </c>
      <c r="H164" t="b">
        <f t="shared" si="6"/>
        <v>1</v>
      </c>
      <c r="I164" t="b">
        <f t="shared" si="7"/>
        <v>1</v>
      </c>
      <c r="M164">
        <v>17410390945</v>
      </c>
      <c r="N164" t="s">
        <v>441</v>
      </c>
      <c r="O164">
        <v>1.98</v>
      </c>
      <c r="P164">
        <v>1.8181818181818181</v>
      </c>
      <c r="W164" s="39">
        <f t="shared" si="8"/>
        <v>0</v>
      </c>
    </row>
    <row r="165" spans="1:23">
      <c r="A165" s="151">
        <v>10232396408</v>
      </c>
      <c r="B165" s="34">
        <v>605</v>
      </c>
      <c r="E165" s="151">
        <v>10232396408</v>
      </c>
      <c r="F165" s="34">
        <v>605</v>
      </c>
      <c r="H165" t="b">
        <f t="shared" si="6"/>
        <v>1</v>
      </c>
      <c r="I165" t="b">
        <f t="shared" si="7"/>
        <v>1</v>
      </c>
      <c r="M165">
        <v>17365390655</v>
      </c>
      <c r="N165" t="s">
        <v>441</v>
      </c>
      <c r="O165">
        <v>1.98</v>
      </c>
      <c r="P165">
        <v>1.8181324647122692</v>
      </c>
      <c r="W165" s="39">
        <f t="shared" si="8"/>
        <v>0</v>
      </c>
    </row>
    <row r="166" spans="1:23">
      <c r="A166" s="151">
        <v>10239397495</v>
      </c>
      <c r="B166" s="34">
        <v>1498</v>
      </c>
      <c r="E166" s="151">
        <v>10239397495</v>
      </c>
      <c r="F166" s="34">
        <v>1498</v>
      </c>
      <c r="H166" t="b">
        <f t="shared" si="6"/>
        <v>1</v>
      </c>
      <c r="I166" t="b">
        <f t="shared" si="7"/>
        <v>1</v>
      </c>
      <c r="M166">
        <v>17119390826</v>
      </c>
      <c r="N166" t="s">
        <v>441</v>
      </c>
      <c r="O166">
        <v>1.98</v>
      </c>
      <c r="P166">
        <v>2.2219873150105709</v>
      </c>
      <c r="W166" s="39">
        <f t="shared" si="8"/>
        <v>0</v>
      </c>
    </row>
    <row r="167" spans="1:23">
      <c r="A167" s="151">
        <v>10262397328</v>
      </c>
      <c r="B167" s="34">
        <v>2700</v>
      </c>
      <c r="E167" s="151">
        <v>10262397328</v>
      </c>
      <c r="F167" s="34">
        <v>2700</v>
      </c>
      <c r="H167" t="b">
        <f t="shared" si="6"/>
        <v>1</v>
      </c>
      <c r="I167" t="b">
        <f t="shared" si="7"/>
        <v>1</v>
      </c>
      <c r="M167">
        <v>17421390826</v>
      </c>
      <c r="N167" t="s">
        <v>441</v>
      </c>
      <c r="O167">
        <v>1.98</v>
      </c>
      <c r="P167">
        <v>1.8178217821782179</v>
      </c>
      <c r="W167" s="39">
        <f t="shared" si="8"/>
        <v>0</v>
      </c>
    </row>
    <row r="168" spans="1:23">
      <c r="A168" s="151">
        <v>10281397916</v>
      </c>
      <c r="B168" s="34">
        <v>4968</v>
      </c>
      <c r="E168" s="151">
        <v>10281397916</v>
      </c>
      <c r="F168" s="34">
        <v>4968</v>
      </c>
      <c r="H168" t="b">
        <f t="shared" si="6"/>
        <v>1</v>
      </c>
      <c r="I168" t="b">
        <f t="shared" si="7"/>
        <v>1</v>
      </c>
      <c r="M168">
        <v>17088391438</v>
      </c>
      <c r="N168" t="s">
        <v>441</v>
      </c>
      <c r="O168">
        <v>1.98</v>
      </c>
      <c r="P168">
        <v>2.2203703703703703</v>
      </c>
      <c r="W168" s="39">
        <f t="shared" si="8"/>
        <v>0</v>
      </c>
    </row>
    <row r="169" spans="1:23">
      <c r="A169" s="151">
        <v>10281400485</v>
      </c>
      <c r="B169" s="34">
        <v>3172</v>
      </c>
      <c r="E169" s="151">
        <v>10281400485</v>
      </c>
      <c r="F169" s="34">
        <v>3172</v>
      </c>
      <c r="H169" t="b">
        <f t="shared" si="6"/>
        <v>1</v>
      </c>
      <c r="I169" t="b">
        <f t="shared" si="7"/>
        <v>1</v>
      </c>
      <c r="M169">
        <v>17119391684</v>
      </c>
      <c r="N169" t="s">
        <v>441</v>
      </c>
      <c r="O169">
        <v>1.98</v>
      </c>
      <c r="P169">
        <v>2.2222222222222223</v>
      </c>
      <c r="W169" s="39">
        <f t="shared" si="8"/>
        <v>0</v>
      </c>
    </row>
    <row r="170" spans="1:23">
      <c r="A170" s="151">
        <v>10300395520</v>
      </c>
      <c r="B170" s="34">
        <v>720</v>
      </c>
      <c r="E170" s="151">
        <v>10300395520</v>
      </c>
      <c r="F170" s="34">
        <v>720</v>
      </c>
      <c r="H170" t="b">
        <f t="shared" si="6"/>
        <v>1</v>
      </c>
      <c r="I170" t="b">
        <f t="shared" si="7"/>
        <v>1</v>
      </c>
      <c r="M170">
        <v>17090391620</v>
      </c>
      <c r="N170" t="s">
        <v>441</v>
      </c>
      <c r="O170">
        <v>1.98</v>
      </c>
      <c r="P170">
        <v>2.2201492537313432</v>
      </c>
      <c r="W170" s="39">
        <f t="shared" si="8"/>
        <v>0</v>
      </c>
    </row>
    <row r="171" spans="1:23">
      <c r="A171" s="151">
        <v>10300396637</v>
      </c>
      <c r="B171" s="34">
        <v>5756</v>
      </c>
      <c r="E171" s="151">
        <v>10300396637</v>
      </c>
      <c r="F171" s="34">
        <v>5756</v>
      </c>
      <c r="H171" t="b">
        <f t="shared" si="6"/>
        <v>1</v>
      </c>
      <c r="I171" t="b">
        <f t="shared" si="7"/>
        <v>1</v>
      </c>
      <c r="M171">
        <v>9917391394</v>
      </c>
      <c r="N171" t="s">
        <v>441</v>
      </c>
      <c r="O171">
        <v>1.98</v>
      </c>
      <c r="P171">
        <v>1.8180129990714948</v>
      </c>
      <c r="W171" s="39">
        <f t="shared" si="8"/>
        <v>0</v>
      </c>
    </row>
    <row r="172" spans="1:23">
      <c r="A172" s="151">
        <v>10300397059</v>
      </c>
      <c r="B172" s="34">
        <v>2998</v>
      </c>
      <c r="E172" s="151">
        <v>10300397059</v>
      </c>
      <c r="F172" s="34">
        <v>2998</v>
      </c>
      <c r="H172" t="b">
        <f t="shared" si="6"/>
        <v>1</v>
      </c>
      <c r="I172" t="b">
        <f t="shared" si="7"/>
        <v>1</v>
      </c>
      <c r="M172">
        <v>15716854391525</v>
      </c>
      <c r="N172" t="s">
        <v>441</v>
      </c>
      <c r="O172">
        <v>1.98</v>
      </c>
      <c r="P172">
        <v>1.8179995991180598</v>
      </c>
      <c r="W172" s="39">
        <f t="shared" si="8"/>
        <v>0</v>
      </c>
    </row>
    <row r="173" spans="1:23">
      <c r="A173" s="151">
        <v>10300399137</v>
      </c>
      <c r="B173" s="34">
        <v>3717</v>
      </c>
      <c r="E173" s="151">
        <v>10300399137</v>
      </c>
      <c r="F173" s="34">
        <v>3717</v>
      </c>
      <c r="H173" t="b">
        <f t="shared" si="6"/>
        <v>1</v>
      </c>
      <c r="I173" t="b">
        <f t="shared" si="7"/>
        <v>1</v>
      </c>
      <c r="M173">
        <v>17483391407</v>
      </c>
      <c r="N173" t="s">
        <v>441</v>
      </c>
      <c r="O173">
        <v>1.98</v>
      </c>
      <c r="P173">
        <v>1.8179493735617489</v>
      </c>
      <c r="W173" s="39">
        <f t="shared" si="8"/>
        <v>0</v>
      </c>
    </row>
    <row r="174" spans="1:23">
      <c r="A174" s="151">
        <v>10309397328</v>
      </c>
      <c r="B174" s="34">
        <v>2600</v>
      </c>
      <c r="E174" s="151">
        <v>10309397328</v>
      </c>
      <c r="F174" s="34">
        <v>2600</v>
      </c>
      <c r="H174" t="b">
        <f t="shared" si="6"/>
        <v>1</v>
      </c>
      <c r="I174" t="b">
        <f t="shared" si="7"/>
        <v>1</v>
      </c>
      <c r="M174">
        <v>17504391477</v>
      </c>
      <c r="N174" t="s">
        <v>441</v>
      </c>
      <c r="O174">
        <v>1.98</v>
      </c>
      <c r="P174">
        <v>2.2215709261430248</v>
      </c>
      <c r="W174" s="39">
        <f t="shared" si="8"/>
        <v>0</v>
      </c>
    </row>
    <row r="175" spans="1:23">
      <c r="A175" s="151">
        <v>10327401040</v>
      </c>
      <c r="B175" s="34">
        <v>15240</v>
      </c>
      <c r="E175" s="151">
        <v>10327401040</v>
      </c>
      <c r="F175" s="34">
        <v>15240</v>
      </c>
      <c r="H175" t="b">
        <f t="shared" si="6"/>
        <v>1</v>
      </c>
      <c r="I175" t="b">
        <f t="shared" si="7"/>
        <v>1</v>
      </c>
      <c r="M175">
        <v>17114384052</v>
      </c>
      <c r="N175" t="s">
        <v>441</v>
      </c>
      <c r="O175">
        <v>1.98</v>
      </c>
      <c r="P175">
        <v>1.818048422597212</v>
      </c>
      <c r="W175" s="39">
        <f t="shared" si="8"/>
        <v>0</v>
      </c>
    </row>
    <row r="176" spans="1:23">
      <c r="A176" s="151">
        <v>10334397328</v>
      </c>
      <c r="B176" s="34">
        <v>13170</v>
      </c>
      <c r="E176" s="151">
        <v>10334397328</v>
      </c>
      <c r="F176" s="34">
        <v>13170</v>
      </c>
      <c r="H176" t="b">
        <f t="shared" si="6"/>
        <v>1</v>
      </c>
      <c r="I176" t="b">
        <f t="shared" si="7"/>
        <v>1</v>
      </c>
      <c r="M176">
        <v>2009393828</v>
      </c>
      <c r="N176">
        <v>787</v>
      </c>
      <c r="O176">
        <v>1.82</v>
      </c>
      <c r="P176">
        <v>2.2223707664884134</v>
      </c>
      <c r="W176" s="39">
        <f t="shared" si="8"/>
        <v>0</v>
      </c>
    </row>
    <row r="177" spans="1:23">
      <c r="A177" s="151">
        <v>10337397805</v>
      </c>
      <c r="B177" s="34">
        <v>8820</v>
      </c>
      <c r="E177" s="151">
        <v>10337397805</v>
      </c>
      <c r="F177" s="34">
        <v>8820</v>
      </c>
      <c r="H177" t="b">
        <f t="shared" si="6"/>
        <v>1</v>
      </c>
      <c r="I177" t="b">
        <f t="shared" si="7"/>
        <v>1</v>
      </c>
      <c r="M177">
        <v>2009393828</v>
      </c>
      <c r="N177">
        <v>787</v>
      </c>
      <c r="O177">
        <v>1.82</v>
      </c>
      <c r="P177">
        <v>2.2221655617882035</v>
      </c>
      <c r="W177" s="39">
        <f t="shared" si="8"/>
        <v>0</v>
      </c>
    </row>
    <row r="178" spans="1:23">
      <c r="A178" s="151">
        <v>10337397816</v>
      </c>
      <c r="B178" s="34">
        <v>180</v>
      </c>
      <c r="E178" s="151">
        <v>10337397816</v>
      </c>
      <c r="F178" s="34">
        <v>180</v>
      </c>
      <c r="H178" t="b">
        <f t="shared" si="6"/>
        <v>1</v>
      </c>
      <c r="I178" t="b">
        <f t="shared" si="7"/>
        <v>1</v>
      </c>
      <c r="M178">
        <v>3385393818</v>
      </c>
      <c r="N178">
        <v>787</v>
      </c>
      <c r="O178">
        <v>1.82</v>
      </c>
      <c r="P178">
        <v>1.8181818181818181</v>
      </c>
      <c r="W178" s="39">
        <f t="shared" si="8"/>
        <v>0</v>
      </c>
    </row>
    <row r="179" spans="1:23">
      <c r="A179" s="151">
        <v>10362397245</v>
      </c>
      <c r="B179" s="34">
        <v>7629</v>
      </c>
      <c r="E179" s="151">
        <v>10362397245</v>
      </c>
      <c r="F179" s="34">
        <v>7629</v>
      </c>
      <c r="H179" t="b">
        <f t="shared" si="6"/>
        <v>1</v>
      </c>
      <c r="I179" t="b">
        <f t="shared" si="7"/>
        <v>1</v>
      </c>
      <c r="M179">
        <v>17002393710</v>
      </c>
      <c r="N179">
        <v>787</v>
      </c>
      <c r="O179">
        <v>1.82</v>
      </c>
      <c r="P179">
        <v>1.8181818181818181</v>
      </c>
      <c r="W179" s="39">
        <f t="shared" si="8"/>
        <v>0</v>
      </c>
    </row>
    <row r="180" spans="1:23">
      <c r="A180" s="151">
        <v>10368397662</v>
      </c>
      <c r="B180" s="34">
        <v>4197</v>
      </c>
      <c r="E180" s="151">
        <v>10368397662</v>
      </c>
      <c r="F180" s="34">
        <v>4197</v>
      </c>
      <c r="H180" t="b">
        <f t="shared" si="6"/>
        <v>1</v>
      </c>
      <c r="I180" t="b">
        <f t="shared" si="7"/>
        <v>1</v>
      </c>
      <c r="M180">
        <v>17002393710</v>
      </c>
      <c r="N180">
        <v>787</v>
      </c>
      <c r="O180">
        <v>1.82</v>
      </c>
      <c r="P180">
        <v>2.2208000000000001</v>
      </c>
      <c r="W180" s="39">
        <f t="shared" si="8"/>
        <v>0</v>
      </c>
    </row>
    <row r="181" spans="1:23">
      <c r="A181" s="151">
        <v>10370398313</v>
      </c>
      <c r="B181" s="34">
        <v>5650</v>
      </c>
      <c r="E181" s="151">
        <v>10370398313</v>
      </c>
      <c r="F181" s="34">
        <v>5650</v>
      </c>
      <c r="H181" t="b">
        <f t="shared" si="6"/>
        <v>1</v>
      </c>
      <c r="I181" t="b">
        <f t="shared" si="7"/>
        <v>1</v>
      </c>
      <c r="M181">
        <v>232393383</v>
      </c>
      <c r="N181">
        <v>787</v>
      </c>
      <c r="O181">
        <v>1.82</v>
      </c>
      <c r="P181">
        <v>1.8181818181818181</v>
      </c>
      <c r="W181" s="39">
        <f t="shared" si="8"/>
        <v>0</v>
      </c>
    </row>
    <row r="182" spans="1:23">
      <c r="A182" s="151">
        <v>10389399595</v>
      </c>
      <c r="B182" s="34">
        <v>4671</v>
      </c>
      <c r="E182" s="151">
        <v>10389399595</v>
      </c>
      <c r="F182" s="34">
        <v>4671</v>
      </c>
      <c r="H182" t="b">
        <f t="shared" si="6"/>
        <v>1</v>
      </c>
      <c r="I182" t="b">
        <f t="shared" si="7"/>
        <v>1</v>
      </c>
      <c r="M182">
        <v>17696393630</v>
      </c>
      <c r="N182">
        <v>787</v>
      </c>
      <c r="O182">
        <v>1.82</v>
      </c>
      <c r="P182">
        <v>1.8181818181818181</v>
      </c>
      <c r="W182" s="39">
        <f t="shared" si="8"/>
        <v>0</v>
      </c>
    </row>
    <row r="183" spans="1:23">
      <c r="A183" s="151">
        <v>10396397245</v>
      </c>
      <c r="B183" s="34">
        <v>10612</v>
      </c>
      <c r="E183" s="151">
        <v>10396397245</v>
      </c>
      <c r="F183" s="34">
        <v>10612</v>
      </c>
      <c r="H183" t="b">
        <f t="shared" si="6"/>
        <v>1</v>
      </c>
      <c r="I183" t="b">
        <f t="shared" si="7"/>
        <v>1</v>
      </c>
      <c r="M183">
        <v>17433393412</v>
      </c>
      <c r="N183">
        <v>787</v>
      </c>
      <c r="O183">
        <v>1.82</v>
      </c>
      <c r="P183">
        <v>1.8179959100204499</v>
      </c>
      <c r="W183" s="39">
        <f t="shared" si="8"/>
        <v>0</v>
      </c>
    </row>
    <row r="184" spans="1:23">
      <c r="A184" s="151">
        <v>10397398443</v>
      </c>
      <c r="B184" s="34">
        <v>11320</v>
      </c>
      <c r="E184" s="151">
        <v>10397398443</v>
      </c>
      <c r="F184" s="34">
        <v>11320</v>
      </c>
      <c r="H184" t="b">
        <f t="shared" si="6"/>
        <v>1</v>
      </c>
      <c r="I184" t="b">
        <f t="shared" si="7"/>
        <v>1</v>
      </c>
      <c r="M184">
        <v>17433393412</v>
      </c>
      <c r="N184">
        <v>787</v>
      </c>
      <c r="O184">
        <v>1.82</v>
      </c>
      <c r="P184">
        <v>1.8180950563084559</v>
      </c>
      <c r="W184" s="39">
        <f t="shared" si="8"/>
        <v>0</v>
      </c>
    </row>
    <row r="185" spans="1:23">
      <c r="A185" s="151">
        <v>10416398967</v>
      </c>
      <c r="B185" s="34">
        <v>5995</v>
      </c>
      <c r="E185" s="151">
        <v>10416398967</v>
      </c>
      <c r="F185" s="34">
        <v>5995</v>
      </c>
      <c r="H185" t="b">
        <f t="shared" si="6"/>
        <v>1</v>
      </c>
      <c r="I185" t="b">
        <f t="shared" si="7"/>
        <v>1</v>
      </c>
      <c r="M185">
        <v>17434393412</v>
      </c>
      <c r="N185">
        <v>787</v>
      </c>
      <c r="O185">
        <v>1.82</v>
      </c>
      <c r="P185">
        <v>1.818048422597212</v>
      </c>
      <c r="W185" s="39">
        <f t="shared" si="8"/>
        <v>0</v>
      </c>
    </row>
    <row r="186" spans="1:23">
      <c r="A186" s="151">
        <v>10422400167</v>
      </c>
      <c r="B186" s="34">
        <v>16970</v>
      </c>
      <c r="E186" s="151">
        <v>10422400167</v>
      </c>
      <c r="F186" s="34">
        <v>16970</v>
      </c>
      <c r="H186" t="b">
        <f t="shared" si="6"/>
        <v>1</v>
      </c>
      <c r="I186" t="b">
        <f t="shared" si="7"/>
        <v>1</v>
      </c>
      <c r="M186">
        <v>17237393520</v>
      </c>
      <c r="N186">
        <v>787</v>
      </c>
      <c r="O186">
        <v>1.82</v>
      </c>
      <c r="P186">
        <v>1.8181818181818181</v>
      </c>
      <c r="W186" s="39">
        <f t="shared" si="8"/>
        <v>0</v>
      </c>
    </row>
    <row r="187" spans="1:23">
      <c r="A187" s="151">
        <v>10442399595</v>
      </c>
      <c r="B187" s="34">
        <v>7210</v>
      </c>
      <c r="E187" s="151">
        <v>10442399595</v>
      </c>
      <c r="F187" s="34">
        <v>7210</v>
      </c>
      <c r="H187" t="b">
        <f t="shared" si="6"/>
        <v>1</v>
      </c>
      <c r="I187" t="b">
        <f t="shared" si="7"/>
        <v>1</v>
      </c>
      <c r="M187">
        <v>17396393520</v>
      </c>
      <c r="N187">
        <v>787</v>
      </c>
      <c r="O187">
        <v>1.82</v>
      </c>
      <c r="P187">
        <v>1.8175853018372703</v>
      </c>
      <c r="W187" s="39">
        <f t="shared" si="8"/>
        <v>0</v>
      </c>
    </row>
    <row r="188" spans="1:23">
      <c r="A188" s="151">
        <v>10461401154</v>
      </c>
      <c r="B188" s="34">
        <v>6005</v>
      </c>
      <c r="E188" s="151">
        <v>10461401154</v>
      </c>
      <c r="F188" s="34">
        <v>6005</v>
      </c>
      <c r="H188" t="b">
        <f t="shared" si="6"/>
        <v>1</v>
      </c>
      <c r="I188" t="b">
        <f t="shared" si="7"/>
        <v>1</v>
      </c>
      <c r="M188">
        <v>17396393520</v>
      </c>
      <c r="N188">
        <v>787</v>
      </c>
      <c r="O188">
        <v>1.82</v>
      </c>
      <c r="P188">
        <v>1.8181295295064994</v>
      </c>
      <c r="W188" s="39">
        <f t="shared" si="8"/>
        <v>0</v>
      </c>
    </row>
    <row r="189" spans="1:23">
      <c r="A189" s="151">
        <v>10465398601</v>
      </c>
      <c r="B189" s="34">
        <v>2517</v>
      </c>
      <c r="E189" s="151">
        <v>10465398601</v>
      </c>
      <c r="F189" s="34">
        <v>2517</v>
      </c>
      <c r="H189" t="b">
        <f t="shared" si="6"/>
        <v>1</v>
      </c>
      <c r="I189" t="b">
        <f t="shared" si="7"/>
        <v>1</v>
      </c>
      <c r="M189">
        <v>17667393758</v>
      </c>
      <c r="N189">
        <v>787</v>
      </c>
      <c r="O189">
        <v>1.82</v>
      </c>
      <c r="P189">
        <v>2.2220183486238532</v>
      </c>
      <c r="W189" s="39">
        <f t="shared" si="8"/>
        <v>0</v>
      </c>
    </row>
    <row r="190" spans="1:23">
      <c r="A190" s="151">
        <v>10472401052</v>
      </c>
      <c r="B190" s="34">
        <v>8140</v>
      </c>
      <c r="E190" s="151">
        <v>10472401052</v>
      </c>
      <c r="F190" s="34">
        <v>8140</v>
      </c>
      <c r="H190" t="b">
        <f t="shared" si="6"/>
        <v>1</v>
      </c>
      <c r="I190" t="b">
        <f t="shared" si="7"/>
        <v>1</v>
      </c>
      <c r="M190">
        <v>17667393758</v>
      </c>
      <c r="N190">
        <v>787</v>
      </c>
      <c r="O190">
        <v>1.82</v>
      </c>
      <c r="P190">
        <v>2.2223543400713437</v>
      </c>
      <c r="W190" s="39">
        <f t="shared" si="8"/>
        <v>0</v>
      </c>
    </row>
    <row r="191" spans="1:23">
      <c r="A191" s="151">
        <v>10476401040</v>
      </c>
      <c r="B191" s="34">
        <v>12390</v>
      </c>
      <c r="E191" s="151">
        <v>10476401040</v>
      </c>
      <c r="F191" s="34">
        <v>12390</v>
      </c>
      <c r="H191" t="b">
        <f t="shared" si="6"/>
        <v>1</v>
      </c>
      <c r="I191" t="b">
        <f t="shared" si="7"/>
        <v>1</v>
      </c>
      <c r="M191">
        <v>10117393354</v>
      </c>
      <c r="N191">
        <v>787</v>
      </c>
      <c r="O191">
        <v>1.82</v>
      </c>
      <c r="P191">
        <v>2.2204724409448819</v>
      </c>
      <c r="W191" s="39">
        <f t="shared" si="8"/>
        <v>0</v>
      </c>
    </row>
    <row r="192" spans="1:23">
      <c r="A192" s="151">
        <v>10479400714</v>
      </c>
      <c r="B192" s="34">
        <v>7280</v>
      </c>
      <c r="E192" s="151">
        <v>10479400714</v>
      </c>
      <c r="F192" s="34">
        <v>7280</v>
      </c>
      <c r="H192" t="b">
        <f t="shared" si="6"/>
        <v>1</v>
      </c>
      <c r="I192" t="b">
        <f t="shared" si="7"/>
        <v>1</v>
      </c>
      <c r="M192">
        <v>10117393354</v>
      </c>
      <c r="N192">
        <v>787</v>
      </c>
      <c r="O192">
        <v>1.82</v>
      </c>
      <c r="P192">
        <v>1.8181818181818181</v>
      </c>
      <c r="W192" s="39">
        <f t="shared" si="8"/>
        <v>0</v>
      </c>
    </row>
    <row r="193" spans="1:23">
      <c r="A193" s="151">
        <v>10495399652</v>
      </c>
      <c r="B193" s="34">
        <v>8520</v>
      </c>
      <c r="E193" s="151">
        <v>10495399652</v>
      </c>
      <c r="F193" s="34">
        <v>8520</v>
      </c>
      <c r="H193" t="b">
        <f t="shared" si="6"/>
        <v>1</v>
      </c>
      <c r="I193" t="b">
        <f t="shared" si="7"/>
        <v>1</v>
      </c>
      <c r="M193">
        <v>17487393833</v>
      </c>
      <c r="N193">
        <v>787</v>
      </c>
      <c r="O193">
        <v>1.82</v>
      </c>
      <c r="P193">
        <v>1.8175765645805593</v>
      </c>
      <c r="W193" s="39">
        <f t="shared" si="8"/>
        <v>0</v>
      </c>
    </row>
    <row r="194" spans="1:23">
      <c r="A194" s="151">
        <v>10500401052</v>
      </c>
      <c r="B194" s="34">
        <v>960</v>
      </c>
      <c r="E194" s="151">
        <v>10500401052</v>
      </c>
      <c r="F194" s="34">
        <v>960</v>
      </c>
      <c r="H194" t="b">
        <f t="shared" si="6"/>
        <v>1</v>
      </c>
      <c r="I194" t="b">
        <f t="shared" si="7"/>
        <v>1</v>
      </c>
      <c r="M194">
        <v>17495393833</v>
      </c>
      <c r="N194">
        <v>787</v>
      </c>
      <c r="O194">
        <v>1.82</v>
      </c>
      <c r="P194">
        <v>1.819327731092437</v>
      </c>
      <c r="W194" s="39">
        <f t="shared" si="8"/>
        <v>0</v>
      </c>
    </row>
    <row r="195" spans="1:23">
      <c r="A195" s="151">
        <v>10545400533</v>
      </c>
      <c r="B195" s="34">
        <v>5986</v>
      </c>
      <c r="E195" s="151">
        <v>10545400533</v>
      </c>
      <c r="F195" s="34">
        <v>5986</v>
      </c>
      <c r="H195" t="b">
        <f t="shared" si="6"/>
        <v>1</v>
      </c>
      <c r="I195" t="b">
        <f t="shared" si="7"/>
        <v>1</v>
      </c>
      <c r="M195">
        <v>17495393833</v>
      </c>
      <c r="N195">
        <v>787</v>
      </c>
      <c r="O195">
        <v>1.82</v>
      </c>
      <c r="P195">
        <v>1.8170580964153276</v>
      </c>
      <c r="W195" s="39">
        <f t="shared" si="8"/>
        <v>0</v>
      </c>
    </row>
    <row r="196" spans="1:23">
      <c r="A196" s="151">
        <v>10576401040</v>
      </c>
      <c r="B196" s="34">
        <v>12645</v>
      </c>
      <c r="E196" s="151">
        <v>10576401040</v>
      </c>
      <c r="F196" s="34">
        <v>12645</v>
      </c>
      <c r="H196" t="b">
        <f t="shared" si="6"/>
        <v>1</v>
      </c>
      <c r="I196" t="b">
        <f t="shared" si="7"/>
        <v>1</v>
      </c>
      <c r="M196">
        <v>17831393833</v>
      </c>
      <c r="N196">
        <v>787</v>
      </c>
      <c r="O196">
        <v>1.82</v>
      </c>
      <c r="P196">
        <v>2.2229074889867841</v>
      </c>
      <c r="W196" s="39">
        <f t="shared" si="8"/>
        <v>0</v>
      </c>
    </row>
    <row r="197" spans="1:23">
      <c r="A197" s="151">
        <v>10577401563</v>
      </c>
      <c r="B197" s="34">
        <v>6520</v>
      </c>
      <c r="E197" s="151">
        <v>10577401563</v>
      </c>
      <c r="F197" s="34">
        <v>6520</v>
      </c>
      <c r="H197" t="b">
        <f t="shared" si="6"/>
        <v>1</v>
      </c>
      <c r="I197" t="b">
        <f t="shared" si="7"/>
        <v>1</v>
      </c>
      <c r="M197">
        <v>17193393749</v>
      </c>
      <c r="N197">
        <v>787</v>
      </c>
      <c r="O197">
        <v>1.82</v>
      </c>
      <c r="P197">
        <v>1.8180108158946626</v>
      </c>
      <c r="W197" s="39">
        <f t="shared" si="8"/>
        <v>0</v>
      </c>
    </row>
    <row r="198" spans="1:23">
      <c r="A198" s="151">
        <v>10591401674</v>
      </c>
      <c r="B198" s="34">
        <v>2345</v>
      </c>
      <c r="E198" s="151">
        <v>10591401674</v>
      </c>
      <c r="F198" s="34">
        <v>2345</v>
      </c>
      <c r="H198" t="b">
        <f t="shared" si="6"/>
        <v>1</v>
      </c>
      <c r="I198" t="b">
        <f t="shared" si="7"/>
        <v>1</v>
      </c>
      <c r="M198">
        <v>15704694393812</v>
      </c>
      <c r="N198">
        <v>787</v>
      </c>
      <c r="O198">
        <v>1.82</v>
      </c>
      <c r="P198">
        <v>2.2226720647773281</v>
      </c>
      <c r="W198" s="39">
        <f t="shared" si="8"/>
        <v>0</v>
      </c>
    </row>
    <row r="199" spans="1:23">
      <c r="A199" s="151">
        <v>16948391420</v>
      </c>
      <c r="B199" s="34">
        <v>1386</v>
      </c>
      <c r="E199" s="151">
        <v>16948391420</v>
      </c>
      <c r="F199" s="34">
        <v>1386</v>
      </c>
      <c r="H199" t="b">
        <f t="shared" si="6"/>
        <v>1</v>
      </c>
      <c r="I199" t="b">
        <f t="shared" si="7"/>
        <v>1</v>
      </c>
      <c r="M199">
        <v>17686393232</v>
      </c>
      <c r="N199">
        <v>787</v>
      </c>
      <c r="O199">
        <v>1.82</v>
      </c>
      <c r="P199">
        <v>2.2204585537918873</v>
      </c>
      <c r="W199" s="39">
        <f t="shared" si="8"/>
        <v>0</v>
      </c>
    </row>
    <row r="200" spans="1:23">
      <c r="A200" s="151">
        <v>16948396475</v>
      </c>
      <c r="B200" s="34">
        <v>1025</v>
      </c>
      <c r="E200" s="151">
        <v>16948396475</v>
      </c>
      <c r="F200" s="34">
        <v>1025</v>
      </c>
      <c r="H200" t="b">
        <f t="shared" si="6"/>
        <v>1</v>
      </c>
      <c r="I200" t="b">
        <f t="shared" si="7"/>
        <v>1</v>
      </c>
      <c r="M200">
        <v>17686393232</v>
      </c>
      <c r="N200">
        <v>787</v>
      </c>
      <c r="O200">
        <v>1.82</v>
      </c>
      <c r="P200">
        <v>2.222772277227723</v>
      </c>
      <c r="W200" s="39">
        <f t="shared" si="8"/>
        <v>0</v>
      </c>
    </row>
    <row r="201" spans="1:23">
      <c r="A201" s="151">
        <v>16950385159</v>
      </c>
      <c r="B201" s="34">
        <v>14986</v>
      </c>
      <c r="E201" s="151">
        <v>16950385159</v>
      </c>
      <c r="F201" s="34">
        <v>14986</v>
      </c>
      <c r="H201" t="b">
        <f t="shared" si="6"/>
        <v>1</v>
      </c>
      <c r="I201" t="b">
        <f t="shared" si="7"/>
        <v>1</v>
      </c>
      <c r="M201">
        <v>17757392981</v>
      </c>
      <c r="N201">
        <v>787</v>
      </c>
      <c r="O201">
        <v>1.82</v>
      </c>
      <c r="P201">
        <v>1.8181818181818181</v>
      </c>
      <c r="W201" s="39">
        <f t="shared" si="8"/>
        <v>0</v>
      </c>
    </row>
    <row r="202" spans="1:23">
      <c r="A202" s="151">
        <v>16950385458</v>
      </c>
      <c r="B202" s="34">
        <v>7014</v>
      </c>
      <c r="E202" s="151">
        <v>16950385458</v>
      </c>
      <c r="F202" s="34">
        <v>7014</v>
      </c>
      <c r="H202" t="b">
        <f t="shared" si="6"/>
        <v>1</v>
      </c>
      <c r="I202" t="b">
        <f t="shared" si="7"/>
        <v>1</v>
      </c>
      <c r="M202">
        <v>17711392901</v>
      </c>
      <c r="N202">
        <v>787</v>
      </c>
      <c r="O202">
        <v>1.82</v>
      </c>
      <c r="P202">
        <v>2.2222222222222223</v>
      </c>
      <c r="W202" s="39">
        <f t="shared" si="8"/>
        <v>0</v>
      </c>
    </row>
    <row r="203" spans="1:23">
      <c r="A203" s="151">
        <v>16958391982</v>
      </c>
      <c r="B203" s="34">
        <v>6974</v>
      </c>
      <c r="E203" s="151">
        <v>16958391982</v>
      </c>
      <c r="F203" s="34">
        <v>6974</v>
      </c>
      <c r="H203" t="b">
        <f t="shared" si="6"/>
        <v>1</v>
      </c>
      <c r="I203" t="b">
        <f t="shared" si="7"/>
        <v>1</v>
      </c>
      <c r="M203">
        <v>17710393033</v>
      </c>
      <c r="N203">
        <v>787</v>
      </c>
      <c r="O203">
        <v>1.82</v>
      </c>
      <c r="P203">
        <v>2.2220027651589969</v>
      </c>
      <c r="W203" s="39">
        <f t="shared" si="8"/>
        <v>0</v>
      </c>
    </row>
    <row r="204" spans="1:23">
      <c r="A204" s="151">
        <v>16961388692</v>
      </c>
      <c r="B204" s="34">
        <v>550</v>
      </c>
      <c r="E204" s="151">
        <v>16961388692</v>
      </c>
      <c r="F204" s="34">
        <v>550</v>
      </c>
      <c r="H204" t="b">
        <f t="shared" si="6"/>
        <v>1</v>
      </c>
      <c r="I204" t="b">
        <f t="shared" si="7"/>
        <v>1</v>
      </c>
      <c r="M204">
        <v>17768393033</v>
      </c>
      <c r="N204">
        <v>787</v>
      </c>
      <c r="O204">
        <v>1.82</v>
      </c>
      <c r="P204">
        <v>2.2222222222222223</v>
      </c>
      <c r="W204" s="39">
        <f t="shared" si="8"/>
        <v>0</v>
      </c>
    </row>
    <row r="205" spans="1:23">
      <c r="A205" s="151">
        <v>16963389564</v>
      </c>
      <c r="B205" s="34">
        <v>8414</v>
      </c>
      <c r="E205" s="151">
        <v>16963389564</v>
      </c>
      <c r="F205" s="34">
        <v>8414</v>
      </c>
      <c r="H205" t="b">
        <f t="shared" si="6"/>
        <v>1</v>
      </c>
      <c r="I205" t="b">
        <f t="shared" si="7"/>
        <v>1</v>
      </c>
      <c r="M205">
        <v>17698392771</v>
      </c>
      <c r="N205">
        <v>787</v>
      </c>
      <c r="O205">
        <v>1.82</v>
      </c>
      <c r="P205">
        <v>2.2218259629101285</v>
      </c>
      <c r="W205" s="39">
        <f t="shared" si="8"/>
        <v>0</v>
      </c>
    </row>
    <row r="206" spans="1:23">
      <c r="A206" s="151">
        <v>16963389652</v>
      </c>
      <c r="B206" s="34">
        <v>721</v>
      </c>
      <c r="E206" s="151">
        <v>16963389652</v>
      </c>
      <c r="F206" s="34">
        <v>721</v>
      </c>
      <c r="H206" t="b">
        <f t="shared" si="6"/>
        <v>1</v>
      </c>
      <c r="I206" t="b">
        <f t="shared" si="7"/>
        <v>1</v>
      </c>
      <c r="M206">
        <v>17731390179</v>
      </c>
      <c r="N206">
        <v>787</v>
      </c>
      <c r="O206">
        <v>1.82</v>
      </c>
      <c r="P206">
        <v>2.2261904761904763</v>
      </c>
      <c r="W206" s="39">
        <f t="shared" si="8"/>
        <v>0</v>
      </c>
    </row>
    <row r="207" spans="1:23">
      <c r="A207" s="151">
        <v>16970389601</v>
      </c>
      <c r="B207" s="34">
        <v>600</v>
      </c>
      <c r="E207" s="151">
        <v>16970389601</v>
      </c>
      <c r="F207" s="34">
        <v>600</v>
      </c>
      <c r="H207" t="b">
        <f t="shared" si="6"/>
        <v>1</v>
      </c>
      <c r="I207" t="b">
        <f t="shared" si="7"/>
        <v>1</v>
      </c>
      <c r="M207">
        <v>17731390179</v>
      </c>
      <c r="N207">
        <v>787</v>
      </c>
      <c r="O207">
        <v>1.82</v>
      </c>
      <c r="P207">
        <v>2.2222660876431108</v>
      </c>
      <c r="W207" s="39">
        <f t="shared" si="8"/>
        <v>0</v>
      </c>
    </row>
    <row r="208" spans="1:23">
      <c r="A208" s="151">
        <v>16979396475</v>
      </c>
      <c r="B208" s="34">
        <v>958</v>
      </c>
      <c r="E208" s="151">
        <v>16979396475</v>
      </c>
      <c r="F208" s="34">
        <v>958</v>
      </c>
      <c r="H208" t="b">
        <f t="shared" si="6"/>
        <v>1</v>
      </c>
      <c r="I208" t="b">
        <f t="shared" si="7"/>
        <v>1</v>
      </c>
      <c r="M208">
        <v>17588393090</v>
      </c>
      <c r="N208">
        <v>787</v>
      </c>
      <c r="O208">
        <v>1.82</v>
      </c>
      <c r="P208">
        <v>1.8181818181818181</v>
      </c>
      <c r="W208" s="39">
        <f t="shared" si="8"/>
        <v>0</v>
      </c>
    </row>
    <row r="209" spans="1:23">
      <c r="A209" s="151">
        <v>16999389647</v>
      </c>
      <c r="B209" s="34">
        <v>2409</v>
      </c>
      <c r="E209" s="151">
        <v>16999389647</v>
      </c>
      <c r="F209" s="34">
        <v>2409</v>
      </c>
      <c r="H209" t="b">
        <f t="shared" si="6"/>
        <v>1</v>
      </c>
      <c r="I209" t="b">
        <f t="shared" si="7"/>
        <v>1</v>
      </c>
      <c r="M209">
        <v>17319393021</v>
      </c>
      <c r="N209">
        <v>787</v>
      </c>
      <c r="O209">
        <v>1.82</v>
      </c>
      <c r="P209">
        <v>2.2160493827160495</v>
      </c>
      <c r="W209" s="39">
        <f t="shared" si="8"/>
        <v>0</v>
      </c>
    </row>
    <row r="210" spans="1:23">
      <c r="A210" s="151">
        <v>17002393710</v>
      </c>
      <c r="B210" s="34">
        <v>4448</v>
      </c>
      <c r="E210" s="151">
        <v>17002393710</v>
      </c>
      <c r="F210" s="34">
        <v>4448</v>
      </c>
      <c r="H210" t="b">
        <f t="shared" si="6"/>
        <v>1</v>
      </c>
      <c r="I210" t="b">
        <f t="shared" si="7"/>
        <v>1</v>
      </c>
      <c r="M210">
        <v>17272393199</v>
      </c>
      <c r="N210">
        <v>787</v>
      </c>
      <c r="O210">
        <v>1.82</v>
      </c>
      <c r="P210">
        <v>2.2195767195767195</v>
      </c>
      <c r="W210" s="39">
        <f t="shared" si="8"/>
        <v>0</v>
      </c>
    </row>
    <row r="211" spans="1:23">
      <c r="A211" s="151">
        <v>17015389205</v>
      </c>
      <c r="B211" s="34">
        <v>13560</v>
      </c>
      <c r="E211" s="151">
        <v>17015389205</v>
      </c>
      <c r="F211" s="34">
        <v>13560</v>
      </c>
      <c r="H211" t="b">
        <f t="shared" si="6"/>
        <v>1</v>
      </c>
      <c r="I211" t="b">
        <f t="shared" si="7"/>
        <v>1</v>
      </c>
      <c r="M211">
        <v>17714393199</v>
      </c>
      <c r="N211">
        <v>787</v>
      </c>
      <c r="O211">
        <v>1.82</v>
      </c>
      <c r="P211">
        <v>1.8180359435173299</v>
      </c>
      <c r="W211" s="39">
        <f t="shared" si="8"/>
        <v>0</v>
      </c>
    </row>
    <row r="212" spans="1:23">
      <c r="A212" s="151">
        <v>17023389205</v>
      </c>
      <c r="B212" s="34">
        <v>2600</v>
      </c>
      <c r="E212" s="151">
        <v>17023389205</v>
      </c>
      <c r="F212" s="34">
        <v>2600</v>
      </c>
      <c r="H212" t="b">
        <f t="shared" si="6"/>
        <v>1</v>
      </c>
      <c r="I212" t="b">
        <f t="shared" si="7"/>
        <v>1</v>
      </c>
      <c r="M212">
        <v>10103393326</v>
      </c>
      <c r="N212">
        <v>787</v>
      </c>
      <c r="O212">
        <v>1.82</v>
      </c>
      <c r="P212">
        <v>1.8181818181818181</v>
      </c>
      <c r="W212" s="39">
        <f t="shared" si="8"/>
        <v>0</v>
      </c>
    </row>
    <row r="213" spans="1:23">
      <c r="A213" s="151">
        <v>17032389601</v>
      </c>
      <c r="B213" s="34">
        <v>790</v>
      </c>
      <c r="E213" s="151">
        <v>17032389601</v>
      </c>
      <c r="F213" s="34">
        <v>790</v>
      </c>
      <c r="H213" t="b">
        <f t="shared" si="6"/>
        <v>1</v>
      </c>
      <c r="I213" t="b">
        <f t="shared" si="7"/>
        <v>1</v>
      </c>
      <c r="M213">
        <v>3314393187</v>
      </c>
      <c r="N213">
        <v>787</v>
      </c>
      <c r="O213">
        <v>1.82</v>
      </c>
      <c r="P213">
        <v>2.2222222222222223</v>
      </c>
      <c r="W213" s="39">
        <f t="shared" si="8"/>
        <v>0</v>
      </c>
    </row>
    <row r="214" spans="1:23">
      <c r="A214" s="151">
        <v>17033389601</v>
      </c>
      <c r="B214" s="34">
        <v>420</v>
      </c>
      <c r="E214" s="151">
        <v>17033389601</v>
      </c>
      <c r="F214" s="34">
        <v>420</v>
      </c>
      <c r="H214" t="b">
        <f t="shared" si="6"/>
        <v>1</v>
      </c>
      <c r="I214" t="b">
        <f t="shared" si="7"/>
        <v>1</v>
      </c>
      <c r="M214">
        <v>17590393089</v>
      </c>
      <c r="N214">
        <v>787</v>
      </c>
      <c r="O214">
        <v>1.82</v>
      </c>
      <c r="P214">
        <v>1.817998385794996</v>
      </c>
      <c r="W214" s="39">
        <f t="shared" si="8"/>
        <v>0</v>
      </c>
    </row>
    <row r="215" spans="1:23">
      <c r="A215" s="151">
        <v>17033401230</v>
      </c>
      <c r="B215" s="34">
        <v>300</v>
      </c>
      <c r="E215" s="151">
        <v>17033401230</v>
      </c>
      <c r="F215" s="34">
        <v>300</v>
      </c>
      <c r="H215" t="b">
        <f t="shared" ref="H215:H278" si="9">A215=E215</f>
        <v>1</v>
      </c>
      <c r="I215" t="b">
        <f t="shared" ref="I215:I278" si="10">B215=F215</f>
        <v>1</v>
      </c>
      <c r="M215">
        <v>17267393232</v>
      </c>
      <c r="N215">
        <v>787</v>
      </c>
      <c r="O215">
        <v>1.82</v>
      </c>
      <c r="P215">
        <v>2.2229102167182662</v>
      </c>
      <c r="W215" s="39">
        <f t="shared" ref="W215:W278" si="11">U215-V215</f>
        <v>0</v>
      </c>
    </row>
    <row r="216" spans="1:23">
      <c r="A216" s="151">
        <v>17035388548</v>
      </c>
      <c r="B216" s="34">
        <v>20420</v>
      </c>
      <c r="E216" s="151">
        <v>17035388548</v>
      </c>
      <c r="F216" s="34">
        <v>20420</v>
      </c>
      <c r="H216" t="b">
        <f t="shared" si="9"/>
        <v>1</v>
      </c>
      <c r="I216" t="b">
        <f t="shared" si="10"/>
        <v>1</v>
      </c>
      <c r="M216">
        <v>17674393232</v>
      </c>
      <c r="N216">
        <v>787</v>
      </c>
      <c r="O216">
        <v>1.82</v>
      </c>
      <c r="P216">
        <v>2.2222222222222223</v>
      </c>
      <c r="W216" s="39">
        <f t="shared" si="11"/>
        <v>0</v>
      </c>
    </row>
    <row r="217" spans="1:23">
      <c r="A217" s="151">
        <v>17042388965</v>
      </c>
      <c r="B217" s="34">
        <v>5080</v>
      </c>
      <c r="E217" s="151">
        <v>17042388965</v>
      </c>
      <c r="F217" s="34">
        <v>5080</v>
      </c>
      <c r="H217" t="b">
        <f t="shared" si="9"/>
        <v>1</v>
      </c>
      <c r="I217" t="b">
        <f t="shared" si="10"/>
        <v>1</v>
      </c>
      <c r="M217">
        <v>17677392819</v>
      </c>
      <c r="N217">
        <v>787</v>
      </c>
      <c r="O217">
        <v>1.82</v>
      </c>
      <c r="P217">
        <v>1.8182751540041069</v>
      </c>
      <c r="W217" s="39">
        <f t="shared" si="11"/>
        <v>0</v>
      </c>
    </row>
    <row r="218" spans="1:23">
      <c r="A218" s="151">
        <v>17057389643</v>
      </c>
      <c r="B218" s="34">
        <v>5650</v>
      </c>
      <c r="E218" s="151">
        <v>17057389643</v>
      </c>
      <c r="F218" s="34">
        <v>5650</v>
      </c>
      <c r="H218" t="b">
        <f t="shared" si="9"/>
        <v>1</v>
      </c>
      <c r="I218" t="b">
        <f t="shared" si="10"/>
        <v>1</v>
      </c>
      <c r="M218">
        <v>17677392819</v>
      </c>
      <c r="N218">
        <v>787</v>
      </c>
      <c r="O218">
        <v>1.82</v>
      </c>
      <c r="P218">
        <v>1.8181694268384108</v>
      </c>
      <c r="W218" s="39">
        <f t="shared" si="11"/>
        <v>0</v>
      </c>
    </row>
    <row r="219" spans="1:23">
      <c r="A219" s="151">
        <v>17065393126</v>
      </c>
      <c r="B219" s="34">
        <v>5336</v>
      </c>
      <c r="E219" s="151">
        <v>17065393126</v>
      </c>
      <c r="F219" s="34">
        <v>5336</v>
      </c>
      <c r="H219" t="b">
        <f t="shared" si="9"/>
        <v>1</v>
      </c>
      <c r="I219" t="b">
        <f t="shared" si="10"/>
        <v>1</v>
      </c>
      <c r="M219">
        <v>17683392819</v>
      </c>
      <c r="N219">
        <v>787</v>
      </c>
      <c r="O219">
        <v>1.82</v>
      </c>
      <c r="P219">
        <v>1.8181818181818181</v>
      </c>
      <c r="W219" s="39">
        <f t="shared" si="11"/>
        <v>0</v>
      </c>
    </row>
    <row r="220" spans="1:23">
      <c r="A220" s="151">
        <v>17066389215</v>
      </c>
      <c r="B220" s="34">
        <v>1978</v>
      </c>
      <c r="E220" s="151">
        <v>17066389215</v>
      </c>
      <c r="F220" s="34">
        <v>1978</v>
      </c>
      <c r="H220" t="b">
        <f t="shared" si="9"/>
        <v>1</v>
      </c>
      <c r="I220" t="b">
        <f t="shared" si="10"/>
        <v>1</v>
      </c>
      <c r="M220">
        <v>17489393030</v>
      </c>
      <c r="N220">
        <v>787</v>
      </c>
      <c r="O220">
        <v>1.82</v>
      </c>
      <c r="P220">
        <v>1.8181267662494953</v>
      </c>
      <c r="W220" s="39">
        <f t="shared" si="11"/>
        <v>0</v>
      </c>
    </row>
    <row r="221" spans="1:23">
      <c r="A221" s="151">
        <v>17070388235</v>
      </c>
      <c r="B221" s="34">
        <v>11070</v>
      </c>
      <c r="E221" s="151">
        <v>17070388235</v>
      </c>
      <c r="F221" s="34">
        <v>11070</v>
      </c>
      <c r="H221" t="b">
        <f t="shared" si="9"/>
        <v>1</v>
      </c>
      <c r="I221" t="b">
        <f t="shared" si="10"/>
        <v>1</v>
      </c>
      <c r="M221">
        <v>17707393030</v>
      </c>
      <c r="N221">
        <v>787</v>
      </c>
      <c r="O221">
        <v>1.82</v>
      </c>
      <c r="P221">
        <v>1.8184117349519473</v>
      </c>
      <c r="W221" s="39">
        <f t="shared" si="11"/>
        <v>0</v>
      </c>
    </row>
    <row r="222" spans="1:23">
      <c r="A222" s="151">
        <v>17073393211</v>
      </c>
      <c r="B222" s="34">
        <v>2030</v>
      </c>
      <c r="E222" s="151">
        <v>17073393211</v>
      </c>
      <c r="F222" s="34">
        <v>2030</v>
      </c>
      <c r="H222" t="b">
        <f t="shared" si="9"/>
        <v>1</v>
      </c>
      <c r="I222" t="b">
        <f t="shared" si="10"/>
        <v>1</v>
      </c>
      <c r="M222">
        <v>15754887393075</v>
      </c>
      <c r="N222">
        <v>787</v>
      </c>
      <c r="O222">
        <v>1.82</v>
      </c>
      <c r="P222">
        <v>2.2213740458015265</v>
      </c>
      <c r="W222" s="39">
        <f t="shared" si="11"/>
        <v>0</v>
      </c>
    </row>
    <row r="223" spans="1:23">
      <c r="A223" s="151">
        <v>17083390406</v>
      </c>
      <c r="B223" s="34">
        <v>16250</v>
      </c>
      <c r="E223" s="151">
        <v>17083390406</v>
      </c>
      <c r="F223" s="34">
        <v>16250</v>
      </c>
      <c r="H223" t="b">
        <f t="shared" si="9"/>
        <v>1</v>
      </c>
      <c r="I223" t="b">
        <f t="shared" si="10"/>
        <v>1</v>
      </c>
      <c r="M223">
        <v>3371393283</v>
      </c>
      <c r="N223">
        <v>787</v>
      </c>
      <c r="O223">
        <v>1.82</v>
      </c>
      <c r="P223">
        <v>2.2229795520934763</v>
      </c>
      <c r="W223" s="39">
        <f t="shared" si="11"/>
        <v>0</v>
      </c>
    </row>
    <row r="224" spans="1:23">
      <c r="A224" s="151">
        <v>17088391438</v>
      </c>
      <c r="B224" s="34">
        <v>1199</v>
      </c>
      <c r="E224" s="151">
        <v>17088391438</v>
      </c>
      <c r="F224" s="34">
        <v>1199</v>
      </c>
      <c r="H224" t="b">
        <f t="shared" si="9"/>
        <v>1</v>
      </c>
      <c r="I224" t="b">
        <f t="shared" si="10"/>
        <v>1</v>
      </c>
      <c r="M224">
        <v>17566393218</v>
      </c>
      <c r="N224">
        <v>787</v>
      </c>
      <c r="O224">
        <v>1.82</v>
      </c>
      <c r="P224">
        <v>1.8178137651821862</v>
      </c>
      <c r="W224" s="39">
        <f t="shared" si="11"/>
        <v>0</v>
      </c>
    </row>
    <row r="225" spans="1:23">
      <c r="A225" s="151">
        <v>17088396453</v>
      </c>
      <c r="B225" s="34">
        <v>16783</v>
      </c>
      <c r="E225" s="151">
        <v>17088396453</v>
      </c>
      <c r="F225" s="34">
        <v>16783</v>
      </c>
      <c r="H225" t="b">
        <f t="shared" si="9"/>
        <v>1</v>
      </c>
      <c r="I225" t="b">
        <f t="shared" si="10"/>
        <v>1</v>
      </c>
      <c r="M225">
        <v>17681392635</v>
      </c>
      <c r="N225">
        <v>787</v>
      </c>
      <c r="O225">
        <v>1.82</v>
      </c>
      <c r="P225">
        <v>2.2234636871508382</v>
      </c>
      <c r="W225" s="39">
        <f t="shared" si="11"/>
        <v>0</v>
      </c>
    </row>
    <row r="226" spans="1:23">
      <c r="A226" s="151">
        <v>17090388377</v>
      </c>
      <c r="B226" s="34">
        <v>1786</v>
      </c>
      <c r="E226" s="151">
        <v>17090388377</v>
      </c>
      <c r="F226" s="34">
        <v>1786</v>
      </c>
      <c r="H226" t="b">
        <f t="shared" si="9"/>
        <v>1</v>
      </c>
      <c r="I226" t="b">
        <f t="shared" si="10"/>
        <v>1</v>
      </c>
      <c r="M226">
        <v>17681392635</v>
      </c>
      <c r="N226">
        <v>787</v>
      </c>
      <c r="O226">
        <v>1.82</v>
      </c>
      <c r="P226">
        <v>2.2222907353167876</v>
      </c>
      <c r="W226" s="39">
        <f t="shared" si="11"/>
        <v>0</v>
      </c>
    </row>
    <row r="227" spans="1:23">
      <c r="A227" s="151">
        <v>17090391620</v>
      </c>
      <c r="B227" s="34">
        <v>595</v>
      </c>
      <c r="E227" s="151">
        <v>17090391620</v>
      </c>
      <c r="F227" s="34">
        <v>595</v>
      </c>
      <c r="H227" t="b">
        <f t="shared" si="9"/>
        <v>1</v>
      </c>
      <c r="I227" t="b">
        <f t="shared" si="10"/>
        <v>1</v>
      </c>
      <c r="M227">
        <v>17461392653</v>
      </c>
      <c r="N227">
        <v>787</v>
      </c>
      <c r="O227">
        <v>1.82</v>
      </c>
      <c r="P227">
        <v>2.2207407407407409</v>
      </c>
      <c r="W227" s="39">
        <f t="shared" si="11"/>
        <v>0</v>
      </c>
    </row>
    <row r="228" spans="1:23">
      <c r="A228" s="151">
        <v>17090397299</v>
      </c>
      <c r="B228" s="34">
        <v>536</v>
      </c>
      <c r="E228" s="151">
        <v>17090397299</v>
      </c>
      <c r="F228" s="34">
        <v>536</v>
      </c>
      <c r="H228" t="b">
        <f t="shared" si="9"/>
        <v>1</v>
      </c>
      <c r="I228" t="b">
        <f t="shared" si="10"/>
        <v>1</v>
      </c>
      <c r="M228">
        <v>10062392760</v>
      </c>
      <c r="N228">
        <v>787</v>
      </c>
      <c r="O228">
        <v>1.82</v>
      </c>
      <c r="P228">
        <v>1.8185053380782918</v>
      </c>
      <c r="W228" s="39">
        <f t="shared" si="11"/>
        <v>0</v>
      </c>
    </row>
    <row r="229" spans="1:23">
      <c r="A229" s="151">
        <v>17102389422</v>
      </c>
      <c r="B229" s="34">
        <v>840</v>
      </c>
      <c r="E229" s="151">
        <v>17102389422</v>
      </c>
      <c r="F229" s="34">
        <v>840</v>
      </c>
      <c r="H229" t="b">
        <f t="shared" si="9"/>
        <v>1</v>
      </c>
      <c r="I229" t="b">
        <f t="shared" si="10"/>
        <v>1</v>
      </c>
      <c r="M229">
        <v>10062392760</v>
      </c>
      <c r="N229">
        <v>787</v>
      </c>
      <c r="O229">
        <v>1.82</v>
      </c>
      <c r="P229">
        <v>2.2217555648887024</v>
      </c>
      <c r="W229" s="39">
        <f t="shared" si="11"/>
        <v>0</v>
      </c>
    </row>
    <row r="230" spans="1:23">
      <c r="A230" s="151">
        <v>17102390064</v>
      </c>
      <c r="B230" s="34">
        <v>2041</v>
      </c>
      <c r="E230" s="151">
        <v>17102390064</v>
      </c>
      <c r="F230" s="34">
        <v>2041</v>
      </c>
      <c r="H230" t="b">
        <f t="shared" si="9"/>
        <v>1</v>
      </c>
      <c r="I230" t="b">
        <f t="shared" si="10"/>
        <v>1</v>
      </c>
      <c r="M230">
        <v>10017392986</v>
      </c>
      <c r="N230">
        <v>787</v>
      </c>
      <c r="O230">
        <v>1.82</v>
      </c>
      <c r="P230">
        <v>1.8174757281553398</v>
      </c>
      <c r="W230" s="39">
        <f t="shared" si="11"/>
        <v>0</v>
      </c>
    </row>
    <row r="231" spans="1:23">
      <c r="A231" s="151">
        <v>17102391761</v>
      </c>
      <c r="B231" s="34">
        <v>15609</v>
      </c>
      <c r="E231" s="151">
        <v>17102391761</v>
      </c>
      <c r="F231" s="34">
        <v>15609</v>
      </c>
      <c r="H231" t="b">
        <f t="shared" si="9"/>
        <v>1</v>
      </c>
      <c r="I231" t="b">
        <f t="shared" si="10"/>
        <v>1</v>
      </c>
      <c r="M231">
        <v>17746393018</v>
      </c>
      <c r="N231">
        <v>787</v>
      </c>
      <c r="O231">
        <v>1.82</v>
      </c>
      <c r="P231">
        <v>2.2240740740740739</v>
      </c>
      <c r="W231" s="39">
        <f t="shared" si="11"/>
        <v>0</v>
      </c>
    </row>
    <row r="232" spans="1:23">
      <c r="A232" s="151">
        <v>17105390649</v>
      </c>
      <c r="B232" s="34">
        <v>19680</v>
      </c>
      <c r="E232" s="151">
        <v>17105390649</v>
      </c>
      <c r="F232" s="34">
        <v>19680</v>
      </c>
      <c r="H232" t="b">
        <f t="shared" si="9"/>
        <v>1</v>
      </c>
      <c r="I232" t="b">
        <f t="shared" si="10"/>
        <v>1</v>
      </c>
      <c r="M232">
        <v>17073393211</v>
      </c>
      <c r="N232">
        <v>787</v>
      </c>
      <c r="O232">
        <v>1.82</v>
      </c>
      <c r="P232">
        <v>1.8173679498657118</v>
      </c>
      <c r="W232" s="39">
        <f t="shared" si="11"/>
        <v>0</v>
      </c>
    </row>
    <row r="233" spans="1:23">
      <c r="A233" s="151">
        <v>17106390649</v>
      </c>
      <c r="B233" s="34">
        <v>19940</v>
      </c>
      <c r="E233" s="151">
        <v>17106390649</v>
      </c>
      <c r="F233" s="34">
        <v>19940</v>
      </c>
      <c r="H233" t="b">
        <f t="shared" si="9"/>
        <v>1</v>
      </c>
      <c r="I233" t="b">
        <f t="shared" si="10"/>
        <v>1</v>
      </c>
      <c r="M233">
        <v>310392081</v>
      </c>
      <c r="N233">
        <v>787</v>
      </c>
      <c r="O233">
        <v>1.82</v>
      </c>
      <c r="P233">
        <v>1.8181229773462784</v>
      </c>
      <c r="W233" s="39">
        <f t="shared" si="11"/>
        <v>0</v>
      </c>
    </row>
    <row r="234" spans="1:23">
      <c r="A234" s="151">
        <v>17109388235</v>
      </c>
      <c r="B234" s="34">
        <v>14160</v>
      </c>
      <c r="E234" s="151">
        <v>17109388235</v>
      </c>
      <c r="F234" s="34">
        <v>14160</v>
      </c>
      <c r="H234" t="b">
        <f t="shared" si="9"/>
        <v>1</v>
      </c>
      <c r="I234" t="b">
        <f t="shared" si="10"/>
        <v>1</v>
      </c>
      <c r="M234">
        <v>310392081</v>
      </c>
      <c r="N234">
        <v>787</v>
      </c>
      <c r="O234">
        <v>1.82</v>
      </c>
      <c r="P234">
        <v>1.8182624113475176</v>
      </c>
      <c r="W234" s="39">
        <f t="shared" si="11"/>
        <v>0</v>
      </c>
    </row>
    <row r="235" spans="1:23">
      <c r="A235" s="151">
        <v>17114384052</v>
      </c>
      <c r="B235" s="34">
        <v>12390</v>
      </c>
      <c r="E235" s="151">
        <v>17114384052</v>
      </c>
      <c r="F235" s="34">
        <v>12390</v>
      </c>
      <c r="H235" t="b">
        <f t="shared" si="9"/>
        <v>1</v>
      </c>
      <c r="I235" t="b">
        <f t="shared" si="10"/>
        <v>1</v>
      </c>
      <c r="M235">
        <v>311392081</v>
      </c>
      <c r="N235">
        <v>787</v>
      </c>
      <c r="O235">
        <v>1.82</v>
      </c>
      <c r="P235">
        <v>1.8181818181818181</v>
      </c>
      <c r="W235" s="39">
        <f t="shared" si="11"/>
        <v>0</v>
      </c>
    </row>
    <row r="236" spans="1:23">
      <c r="A236" s="151">
        <v>17115384052</v>
      </c>
      <c r="B236" s="34">
        <v>14630</v>
      </c>
      <c r="E236" s="151">
        <v>17115384052</v>
      </c>
      <c r="F236" s="34">
        <v>14630</v>
      </c>
      <c r="H236" t="b">
        <f t="shared" si="9"/>
        <v>1</v>
      </c>
      <c r="I236" t="b">
        <f t="shared" si="10"/>
        <v>1</v>
      </c>
      <c r="M236">
        <v>316392081</v>
      </c>
      <c r="N236">
        <v>787</v>
      </c>
      <c r="O236">
        <v>1.82</v>
      </c>
      <c r="P236">
        <v>1.8181818181818181</v>
      </c>
      <c r="W236" s="39">
        <f t="shared" si="11"/>
        <v>0</v>
      </c>
    </row>
    <row r="237" spans="1:23">
      <c r="A237" s="151">
        <v>17116388931</v>
      </c>
      <c r="B237" s="34">
        <v>1981</v>
      </c>
      <c r="E237" s="151">
        <v>17116388931</v>
      </c>
      <c r="F237" s="34">
        <v>1981</v>
      </c>
      <c r="H237" t="b">
        <f t="shared" si="9"/>
        <v>1</v>
      </c>
      <c r="I237" t="b">
        <f t="shared" si="10"/>
        <v>1</v>
      </c>
      <c r="M237">
        <v>17590392231</v>
      </c>
      <c r="N237">
        <v>787</v>
      </c>
      <c r="O237">
        <v>1.82</v>
      </c>
      <c r="P237">
        <v>1.8183565593464681</v>
      </c>
      <c r="W237" s="39">
        <f t="shared" si="11"/>
        <v>0</v>
      </c>
    </row>
    <row r="238" spans="1:23">
      <c r="A238" s="151">
        <v>17116388984</v>
      </c>
      <c r="B238" s="34">
        <v>841</v>
      </c>
      <c r="E238" s="151">
        <v>17116388984</v>
      </c>
      <c r="F238" s="34">
        <v>841</v>
      </c>
      <c r="H238" t="b">
        <f t="shared" si="9"/>
        <v>1</v>
      </c>
      <c r="I238" t="b">
        <f t="shared" si="10"/>
        <v>1</v>
      </c>
      <c r="M238">
        <v>17649391129</v>
      </c>
      <c r="N238">
        <v>787</v>
      </c>
      <c r="O238">
        <v>1.82</v>
      </c>
      <c r="P238">
        <v>1.8175338560228083</v>
      </c>
      <c r="W238" s="39">
        <f t="shared" si="11"/>
        <v>0</v>
      </c>
    </row>
    <row r="239" spans="1:23">
      <c r="A239" s="151">
        <v>17116390248</v>
      </c>
      <c r="B239" s="34">
        <v>2822</v>
      </c>
      <c r="E239" s="151">
        <v>17116390248</v>
      </c>
      <c r="F239" s="34">
        <v>2822</v>
      </c>
      <c r="H239" t="b">
        <f t="shared" si="9"/>
        <v>1</v>
      </c>
      <c r="I239" t="b">
        <f t="shared" si="10"/>
        <v>1</v>
      </c>
      <c r="M239">
        <v>17559392080</v>
      </c>
      <c r="N239">
        <v>787</v>
      </c>
      <c r="O239">
        <v>1.82</v>
      </c>
      <c r="P239">
        <v>1.8183475091130012</v>
      </c>
      <c r="W239" s="39">
        <f t="shared" si="11"/>
        <v>0</v>
      </c>
    </row>
    <row r="240" spans="1:23">
      <c r="A240" s="151">
        <v>17116399296</v>
      </c>
      <c r="B240" s="34">
        <v>2581</v>
      </c>
      <c r="E240" s="151">
        <v>17116399296</v>
      </c>
      <c r="F240" s="34">
        <v>2581</v>
      </c>
      <c r="H240" t="b">
        <f t="shared" si="9"/>
        <v>1</v>
      </c>
      <c r="I240" t="b">
        <f t="shared" si="10"/>
        <v>1</v>
      </c>
      <c r="M240">
        <v>17628392354</v>
      </c>
      <c r="N240">
        <v>787</v>
      </c>
      <c r="O240">
        <v>1.82</v>
      </c>
      <c r="P240">
        <v>1.8187311178247734</v>
      </c>
      <c r="W240" s="39">
        <f t="shared" si="11"/>
        <v>0</v>
      </c>
    </row>
    <row r="241" spans="1:23">
      <c r="A241" s="151">
        <v>17119390826</v>
      </c>
      <c r="B241" s="34">
        <v>2102</v>
      </c>
      <c r="E241" s="151">
        <v>17119390826</v>
      </c>
      <c r="F241" s="34">
        <v>2102</v>
      </c>
      <c r="H241" t="b">
        <f t="shared" si="9"/>
        <v>1</v>
      </c>
      <c r="I241" t="b">
        <f t="shared" si="10"/>
        <v>1</v>
      </c>
      <c r="M241">
        <v>17618392193</v>
      </c>
      <c r="N241">
        <v>787</v>
      </c>
      <c r="O241">
        <v>1.82</v>
      </c>
      <c r="P241">
        <v>1.8181818181818181</v>
      </c>
      <c r="W241" s="39">
        <f t="shared" si="11"/>
        <v>0</v>
      </c>
    </row>
    <row r="242" spans="1:23">
      <c r="A242" s="151">
        <v>17119391684</v>
      </c>
      <c r="B242" s="34">
        <v>420</v>
      </c>
      <c r="E242" s="151">
        <v>17119391684</v>
      </c>
      <c r="F242" s="34">
        <v>420</v>
      </c>
      <c r="H242" t="b">
        <f t="shared" si="9"/>
        <v>1</v>
      </c>
      <c r="I242" t="b">
        <f t="shared" si="10"/>
        <v>1</v>
      </c>
      <c r="M242">
        <v>17642393520</v>
      </c>
      <c r="N242">
        <v>787</v>
      </c>
      <c r="O242">
        <v>1.82</v>
      </c>
      <c r="P242">
        <v>1.8181005186907531</v>
      </c>
      <c r="W242" s="39">
        <f t="shared" si="11"/>
        <v>0</v>
      </c>
    </row>
    <row r="243" spans="1:23">
      <c r="A243" s="151">
        <v>17119394327</v>
      </c>
      <c r="B243" s="34">
        <v>5346</v>
      </c>
      <c r="E243" s="151">
        <v>17119394327</v>
      </c>
      <c r="F243" s="34">
        <v>5346</v>
      </c>
      <c r="H243" t="b">
        <f t="shared" si="9"/>
        <v>1</v>
      </c>
      <c r="I243" t="b">
        <f t="shared" si="10"/>
        <v>1</v>
      </c>
      <c r="M243">
        <v>17692393520</v>
      </c>
      <c r="N243">
        <v>787</v>
      </c>
      <c r="O243">
        <v>1.82</v>
      </c>
      <c r="P243">
        <v>1.8177777777777777</v>
      </c>
      <c r="W243" s="39">
        <f t="shared" si="11"/>
        <v>0</v>
      </c>
    </row>
    <row r="244" spans="1:23">
      <c r="A244" s="151">
        <v>17133388372</v>
      </c>
      <c r="B244" s="34">
        <v>2402</v>
      </c>
      <c r="E244" s="151">
        <v>17133388372</v>
      </c>
      <c r="F244" s="34">
        <v>2402</v>
      </c>
      <c r="H244" t="b">
        <f t="shared" si="9"/>
        <v>1</v>
      </c>
      <c r="I244" t="b">
        <f t="shared" si="10"/>
        <v>1</v>
      </c>
      <c r="M244">
        <v>17692393520</v>
      </c>
      <c r="N244" t="s">
        <v>442</v>
      </c>
      <c r="O244">
        <v>2.02</v>
      </c>
      <c r="P244">
        <v>1.818099218608032</v>
      </c>
      <c r="W244" s="39">
        <f t="shared" si="11"/>
        <v>0</v>
      </c>
    </row>
    <row r="245" spans="1:23">
      <c r="A245" s="151">
        <v>17133389714</v>
      </c>
      <c r="B245" s="34">
        <v>1201</v>
      </c>
      <c r="E245" s="151">
        <v>17133389714</v>
      </c>
      <c r="F245" s="34">
        <v>1201</v>
      </c>
      <c r="H245" t="b">
        <f t="shared" si="9"/>
        <v>1</v>
      </c>
      <c r="I245" t="b">
        <f t="shared" si="10"/>
        <v>1</v>
      </c>
      <c r="M245">
        <v>10091394175</v>
      </c>
      <c r="N245" t="s">
        <v>442</v>
      </c>
      <c r="O245">
        <v>2.02</v>
      </c>
      <c r="P245">
        <v>1.8185595567867037</v>
      </c>
      <c r="W245" s="39">
        <f t="shared" si="11"/>
        <v>0</v>
      </c>
    </row>
    <row r="246" spans="1:23">
      <c r="A246" s="151">
        <v>17133396245</v>
      </c>
      <c r="B246" s="34">
        <v>7145</v>
      </c>
      <c r="E246" s="151">
        <v>17133396245</v>
      </c>
      <c r="F246" s="34">
        <v>7145</v>
      </c>
      <c r="H246" t="b">
        <f t="shared" si="9"/>
        <v>1</v>
      </c>
      <c r="I246" t="b">
        <f t="shared" si="10"/>
        <v>1</v>
      </c>
      <c r="M246">
        <v>10091394175</v>
      </c>
      <c r="N246" t="s">
        <v>442</v>
      </c>
      <c r="O246">
        <v>2.02</v>
      </c>
      <c r="P246">
        <v>1.8181492964464583</v>
      </c>
      <c r="W246" s="39">
        <f t="shared" si="11"/>
        <v>0</v>
      </c>
    </row>
    <row r="247" spans="1:23">
      <c r="A247" s="151">
        <v>17138394142</v>
      </c>
      <c r="B247" s="34">
        <v>120</v>
      </c>
      <c r="E247" s="151">
        <v>17138394142</v>
      </c>
      <c r="F247" s="34">
        <v>120</v>
      </c>
      <c r="H247" t="b">
        <f t="shared" si="9"/>
        <v>1</v>
      </c>
      <c r="I247" t="b">
        <f t="shared" si="10"/>
        <v>1</v>
      </c>
      <c r="M247">
        <v>10092394175</v>
      </c>
      <c r="N247" t="s">
        <v>442</v>
      </c>
      <c r="O247">
        <v>2.02</v>
      </c>
      <c r="P247">
        <v>1.8181818181818181</v>
      </c>
      <c r="W247" s="39">
        <f t="shared" si="11"/>
        <v>0</v>
      </c>
    </row>
    <row r="248" spans="1:23">
      <c r="A248" s="151">
        <v>17141394608</v>
      </c>
      <c r="B248" s="34">
        <v>2400</v>
      </c>
      <c r="E248" s="151">
        <v>17141394608</v>
      </c>
      <c r="F248" s="34">
        <v>2400</v>
      </c>
      <c r="H248" t="b">
        <f t="shared" si="9"/>
        <v>1</v>
      </c>
      <c r="I248" t="b">
        <f t="shared" si="10"/>
        <v>1</v>
      </c>
      <c r="M248">
        <v>10172394274</v>
      </c>
      <c r="N248" t="s">
        <v>442</v>
      </c>
      <c r="O248">
        <v>2.02</v>
      </c>
      <c r="P248">
        <v>2.2228412256267411</v>
      </c>
      <c r="W248" s="39">
        <f t="shared" si="11"/>
        <v>0</v>
      </c>
    </row>
    <row r="249" spans="1:23">
      <c r="A249" s="151">
        <v>17146390649</v>
      </c>
      <c r="B249" s="34">
        <v>20030</v>
      </c>
      <c r="E249" s="151">
        <v>17146390649</v>
      </c>
      <c r="F249" s="34">
        <v>20030</v>
      </c>
      <c r="H249" t="b">
        <f t="shared" si="9"/>
        <v>1</v>
      </c>
      <c r="I249" t="b">
        <f t="shared" si="10"/>
        <v>1</v>
      </c>
      <c r="M249">
        <v>10007394157</v>
      </c>
      <c r="N249" t="s">
        <v>442</v>
      </c>
      <c r="O249">
        <v>2.02</v>
      </c>
      <c r="P249">
        <v>1.8185395714910364</v>
      </c>
      <c r="W249" s="39">
        <f t="shared" si="11"/>
        <v>0</v>
      </c>
    </row>
    <row r="250" spans="1:23">
      <c r="A250" s="151">
        <v>17147390649</v>
      </c>
      <c r="B250" s="34">
        <v>19880</v>
      </c>
      <c r="E250" s="151">
        <v>17147390649</v>
      </c>
      <c r="F250" s="34">
        <v>19880</v>
      </c>
      <c r="H250" t="b">
        <f t="shared" si="9"/>
        <v>1</v>
      </c>
      <c r="I250" t="b">
        <f t="shared" si="10"/>
        <v>1</v>
      </c>
      <c r="M250">
        <v>17825392574</v>
      </c>
      <c r="N250" t="s">
        <v>442</v>
      </c>
      <c r="O250">
        <v>2.02</v>
      </c>
      <c r="P250">
        <v>2.2224278312361214</v>
      </c>
      <c r="W250" s="39">
        <f t="shared" si="11"/>
        <v>0</v>
      </c>
    </row>
    <row r="251" spans="1:23">
      <c r="A251" s="151">
        <v>17148390406</v>
      </c>
      <c r="B251" s="34">
        <v>17740</v>
      </c>
      <c r="E251" s="151">
        <v>17148390406</v>
      </c>
      <c r="F251" s="34">
        <v>17740</v>
      </c>
      <c r="H251" t="b">
        <f t="shared" si="9"/>
        <v>1</v>
      </c>
      <c r="I251" t="b">
        <f t="shared" si="10"/>
        <v>1</v>
      </c>
      <c r="M251">
        <v>3404393897</v>
      </c>
      <c r="N251" t="s">
        <v>442</v>
      </c>
      <c r="O251">
        <v>2.02</v>
      </c>
      <c r="P251">
        <v>2.2225063938618925</v>
      </c>
      <c r="W251" s="39">
        <f t="shared" si="11"/>
        <v>0</v>
      </c>
    </row>
    <row r="252" spans="1:23">
      <c r="A252" s="151">
        <v>17153389205</v>
      </c>
      <c r="B252" s="34">
        <v>10095</v>
      </c>
      <c r="E252" s="151">
        <v>17153389205</v>
      </c>
      <c r="F252" s="34">
        <v>10095</v>
      </c>
      <c r="H252" t="b">
        <f t="shared" si="9"/>
        <v>1</v>
      </c>
      <c r="I252" t="b">
        <f t="shared" si="10"/>
        <v>1</v>
      </c>
      <c r="M252">
        <v>3404393897</v>
      </c>
      <c r="N252" t="s">
        <v>442</v>
      </c>
      <c r="O252">
        <v>2.02</v>
      </c>
      <c r="P252">
        <v>2.222714681440443</v>
      </c>
      <c r="W252" s="39">
        <f t="shared" si="11"/>
        <v>0</v>
      </c>
    </row>
    <row r="253" spans="1:23">
      <c r="A253" s="151">
        <v>17153389237</v>
      </c>
      <c r="B253" s="34">
        <v>3665</v>
      </c>
      <c r="E253" s="151">
        <v>17153389237</v>
      </c>
      <c r="F253" s="34">
        <v>3665</v>
      </c>
      <c r="H253" t="b">
        <f t="shared" si="9"/>
        <v>1</v>
      </c>
      <c r="I253" t="b">
        <f t="shared" si="10"/>
        <v>1</v>
      </c>
      <c r="M253">
        <v>17753388550</v>
      </c>
      <c r="N253" t="s">
        <v>442</v>
      </c>
      <c r="O253">
        <v>2.02</v>
      </c>
      <c r="P253">
        <v>1.8179640718562875</v>
      </c>
      <c r="W253" s="39">
        <f t="shared" si="11"/>
        <v>0</v>
      </c>
    </row>
    <row r="254" spans="1:23">
      <c r="A254" s="151">
        <v>17157391033</v>
      </c>
      <c r="B254" s="34">
        <v>10680</v>
      </c>
      <c r="E254" s="151">
        <v>17157391033</v>
      </c>
      <c r="F254" s="34">
        <v>10680</v>
      </c>
      <c r="H254" t="b">
        <f t="shared" si="9"/>
        <v>1</v>
      </c>
      <c r="I254" t="b">
        <f t="shared" si="10"/>
        <v>1</v>
      </c>
      <c r="M254">
        <v>17753388550</v>
      </c>
      <c r="N254" t="s">
        <v>442</v>
      </c>
      <c r="O254">
        <v>2.02</v>
      </c>
      <c r="P254">
        <v>1.8187919463087248</v>
      </c>
      <c r="W254" s="39">
        <f t="shared" si="11"/>
        <v>0</v>
      </c>
    </row>
    <row r="255" spans="1:23">
      <c r="A255" s="151">
        <v>17159388560</v>
      </c>
      <c r="B255" s="34">
        <v>12070</v>
      </c>
      <c r="E255" s="151">
        <v>17159388560</v>
      </c>
      <c r="F255" s="34">
        <v>12070</v>
      </c>
      <c r="H255" t="b">
        <f t="shared" si="9"/>
        <v>1</v>
      </c>
      <c r="I255" t="b">
        <f t="shared" si="10"/>
        <v>1</v>
      </c>
      <c r="M255">
        <v>17916388550</v>
      </c>
      <c r="N255" t="s">
        <v>442</v>
      </c>
      <c r="O255">
        <v>2.02</v>
      </c>
      <c r="P255">
        <v>1.817989417989418</v>
      </c>
      <c r="W255" s="39">
        <f t="shared" si="11"/>
        <v>0</v>
      </c>
    </row>
    <row r="256" spans="1:23">
      <c r="A256" s="151">
        <v>17174389237</v>
      </c>
      <c r="B256" s="34">
        <v>5830</v>
      </c>
      <c r="E256" s="151">
        <v>17174389237</v>
      </c>
      <c r="F256" s="34">
        <v>5830</v>
      </c>
      <c r="H256" t="b">
        <f t="shared" si="9"/>
        <v>1</v>
      </c>
      <c r="I256" t="b">
        <f t="shared" si="10"/>
        <v>1</v>
      </c>
      <c r="M256">
        <v>10152394698</v>
      </c>
      <c r="N256" t="s">
        <v>442</v>
      </c>
      <c r="O256">
        <v>2.02</v>
      </c>
      <c r="P256">
        <v>2.2226804123711341</v>
      </c>
      <c r="W256" s="39">
        <f t="shared" si="11"/>
        <v>0</v>
      </c>
    </row>
    <row r="257" spans="1:23">
      <c r="A257" s="151">
        <v>17176388235</v>
      </c>
      <c r="B257" s="34">
        <v>17300</v>
      </c>
      <c r="E257" s="151">
        <v>17176388235</v>
      </c>
      <c r="F257" s="34">
        <v>17300</v>
      </c>
      <c r="H257" t="b">
        <f t="shared" si="9"/>
        <v>1</v>
      </c>
      <c r="I257" t="b">
        <f t="shared" si="10"/>
        <v>1</v>
      </c>
      <c r="M257">
        <v>3385394668</v>
      </c>
      <c r="N257" t="s">
        <v>442</v>
      </c>
      <c r="O257">
        <v>2.02</v>
      </c>
      <c r="P257">
        <v>1.8181818181818181</v>
      </c>
      <c r="W257" s="39">
        <f t="shared" si="11"/>
        <v>0</v>
      </c>
    </row>
    <row r="258" spans="1:23">
      <c r="A258" s="151">
        <v>17186388375</v>
      </c>
      <c r="B258" s="34">
        <v>2400</v>
      </c>
      <c r="E258" s="151">
        <v>17186388375</v>
      </c>
      <c r="F258" s="34">
        <v>2400</v>
      </c>
      <c r="H258" t="b">
        <f t="shared" si="9"/>
        <v>1</v>
      </c>
      <c r="I258" t="b">
        <f t="shared" si="10"/>
        <v>1</v>
      </c>
      <c r="M258">
        <v>3408394668</v>
      </c>
      <c r="N258" t="s">
        <v>442</v>
      </c>
      <c r="O258">
        <v>2.02</v>
      </c>
      <c r="P258">
        <v>1.8180517808611072</v>
      </c>
      <c r="W258" s="39">
        <f t="shared" si="11"/>
        <v>0</v>
      </c>
    </row>
    <row r="259" spans="1:23">
      <c r="A259" s="151">
        <v>17186389130</v>
      </c>
      <c r="B259" s="34">
        <v>600</v>
      </c>
      <c r="E259" s="151">
        <v>17186389130</v>
      </c>
      <c r="F259" s="34">
        <v>600</v>
      </c>
      <c r="H259" t="b">
        <f t="shared" si="9"/>
        <v>1</v>
      </c>
      <c r="I259" t="b">
        <f t="shared" si="10"/>
        <v>1</v>
      </c>
      <c r="M259">
        <v>10048394447</v>
      </c>
      <c r="N259" t="s">
        <v>442</v>
      </c>
      <c r="O259">
        <v>2.02</v>
      </c>
      <c r="P259">
        <v>1.8178874949413193</v>
      </c>
      <c r="W259" s="39">
        <f t="shared" si="11"/>
        <v>0</v>
      </c>
    </row>
    <row r="260" spans="1:23">
      <c r="A260" s="151">
        <v>17186391402</v>
      </c>
      <c r="B260" s="34">
        <v>1740</v>
      </c>
      <c r="E260" s="151">
        <v>17186391402</v>
      </c>
      <c r="F260" s="34">
        <v>1740</v>
      </c>
      <c r="H260" t="b">
        <f t="shared" si="9"/>
        <v>1</v>
      </c>
      <c r="I260" t="b">
        <f t="shared" si="10"/>
        <v>1</v>
      </c>
      <c r="M260">
        <v>17141394608</v>
      </c>
      <c r="N260" t="s">
        <v>442</v>
      </c>
      <c r="O260">
        <v>2.02</v>
      </c>
      <c r="P260">
        <v>1.8181818181818181</v>
      </c>
      <c r="W260" s="39">
        <f t="shared" si="11"/>
        <v>0</v>
      </c>
    </row>
    <row r="261" spans="1:23">
      <c r="A261" s="151">
        <v>17186392273</v>
      </c>
      <c r="B261" s="34">
        <v>1200</v>
      </c>
      <c r="E261" s="151">
        <v>17186392273</v>
      </c>
      <c r="F261" s="34">
        <v>1200</v>
      </c>
      <c r="H261" t="b">
        <f t="shared" si="9"/>
        <v>1</v>
      </c>
      <c r="I261" t="b">
        <f t="shared" si="10"/>
        <v>1</v>
      </c>
      <c r="M261">
        <v>17931394588</v>
      </c>
      <c r="N261" t="s">
        <v>442</v>
      </c>
      <c r="O261">
        <v>2.02</v>
      </c>
      <c r="P261">
        <v>1.8181818181818181</v>
      </c>
      <c r="W261" s="39">
        <f t="shared" si="11"/>
        <v>0</v>
      </c>
    </row>
    <row r="262" spans="1:23">
      <c r="A262" s="151">
        <v>17187389433</v>
      </c>
      <c r="B262" s="34">
        <v>5930</v>
      </c>
      <c r="E262" s="151">
        <v>17187389433</v>
      </c>
      <c r="F262" s="34">
        <v>5930</v>
      </c>
      <c r="H262" t="b">
        <f t="shared" si="9"/>
        <v>1</v>
      </c>
      <c r="I262" t="b">
        <f t="shared" si="10"/>
        <v>1</v>
      </c>
      <c r="M262">
        <v>17931394588</v>
      </c>
      <c r="N262" t="s">
        <v>442</v>
      </c>
      <c r="O262">
        <v>2.02</v>
      </c>
      <c r="P262">
        <v>1.8108108108108107</v>
      </c>
      <c r="W262" s="39">
        <f t="shared" si="11"/>
        <v>0</v>
      </c>
    </row>
    <row r="263" spans="1:23">
      <c r="A263" s="151">
        <v>17191389205</v>
      </c>
      <c r="B263" s="34">
        <v>2450</v>
      </c>
      <c r="E263" s="151">
        <v>17191389205</v>
      </c>
      <c r="F263" s="34">
        <v>2450</v>
      </c>
      <c r="H263" t="b">
        <f t="shared" si="9"/>
        <v>1</v>
      </c>
      <c r="I263" t="b">
        <f t="shared" si="10"/>
        <v>1</v>
      </c>
      <c r="M263">
        <v>10150395407</v>
      </c>
      <c r="N263" t="s">
        <v>442</v>
      </c>
      <c r="O263">
        <v>2.02</v>
      </c>
      <c r="P263">
        <v>1.8185595567867037</v>
      </c>
      <c r="W263" s="39">
        <f t="shared" si="11"/>
        <v>0</v>
      </c>
    </row>
    <row r="264" spans="1:23">
      <c r="A264" s="151">
        <v>17193389245</v>
      </c>
      <c r="B264" s="34">
        <v>1798</v>
      </c>
      <c r="E264" s="151">
        <v>17193389245</v>
      </c>
      <c r="F264" s="34">
        <v>1798</v>
      </c>
      <c r="H264" t="b">
        <f t="shared" si="9"/>
        <v>1</v>
      </c>
      <c r="I264" t="b">
        <f t="shared" si="10"/>
        <v>1</v>
      </c>
      <c r="M264">
        <v>10150395407</v>
      </c>
      <c r="N264" t="s">
        <v>442</v>
      </c>
      <c r="O264">
        <v>2.02</v>
      </c>
      <c r="P264">
        <v>1.8180628272251309</v>
      </c>
      <c r="W264" s="39">
        <f t="shared" si="11"/>
        <v>0</v>
      </c>
    </row>
    <row r="265" spans="1:23">
      <c r="A265" s="151">
        <v>17193393749</v>
      </c>
      <c r="B265" s="34">
        <v>7732</v>
      </c>
      <c r="E265" s="151">
        <v>17193393749</v>
      </c>
      <c r="F265" s="34">
        <v>7732</v>
      </c>
      <c r="H265" t="b">
        <f t="shared" si="9"/>
        <v>1</v>
      </c>
      <c r="I265" t="b">
        <f t="shared" si="10"/>
        <v>1</v>
      </c>
      <c r="M265">
        <v>10150395407</v>
      </c>
      <c r="N265" t="s">
        <v>442</v>
      </c>
      <c r="O265">
        <v>2.02</v>
      </c>
      <c r="P265">
        <v>1.8205128205128205</v>
      </c>
      <c r="W265" s="39">
        <f t="shared" si="11"/>
        <v>0</v>
      </c>
    </row>
    <row r="266" spans="1:23">
      <c r="A266" s="151">
        <v>17194389215</v>
      </c>
      <c r="B266" s="34">
        <v>9020</v>
      </c>
      <c r="E266" s="151">
        <v>17194389215</v>
      </c>
      <c r="F266" s="34">
        <v>9020</v>
      </c>
      <c r="H266" t="b">
        <f t="shared" si="9"/>
        <v>1</v>
      </c>
      <c r="I266" t="b">
        <f t="shared" si="10"/>
        <v>1</v>
      </c>
      <c r="M266">
        <v>3390395037</v>
      </c>
      <c r="N266" t="s">
        <v>442</v>
      </c>
      <c r="O266">
        <v>2.02</v>
      </c>
      <c r="P266">
        <v>2.2222222222222223</v>
      </c>
      <c r="W266" s="39">
        <f t="shared" si="11"/>
        <v>0</v>
      </c>
    </row>
    <row r="267" spans="1:23">
      <c r="A267" s="151">
        <v>17198393436</v>
      </c>
      <c r="B267" s="34">
        <v>15050</v>
      </c>
      <c r="E267" s="151">
        <v>17198393436</v>
      </c>
      <c r="F267" s="34">
        <v>15050</v>
      </c>
      <c r="H267" t="b">
        <f t="shared" si="9"/>
        <v>1</v>
      </c>
      <c r="I267" t="b">
        <f t="shared" si="10"/>
        <v>1</v>
      </c>
      <c r="M267">
        <v>17292394934</v>
      </c>
      <c r="N267" t="s">
        <v>442</v>
      </c>
      <c r="O267">
        <v>2.02</v>
      </c>
      <c r="P267">
        <v>2.2224146462147454</v>
      </c>
      <c r="W267" s="39">
        <f t="shared" si="11"/>
        <v>0</v>
      </c>
    </row>
    <row r="268" spans="1:23">
      <c r="A268" s="151">
        <v>17199394344</v>
      </c>
      <c r="B268" s="34">
        <v>1920</v>
      </c>
      <c r="E268" s="151">
        <v>17199394344</v>
      </c>
      <c r="F268" s="34">
        <v>1920</v>
      </c>
      <c r="H268" t="b">
        <f t="shared" si="9"/>
        <v>1</v>
      </c>
      <c r="I268" t="b">
        <f t="shared" si="10"/>
        <v>1</v>
      </c>
      <c r="M268">
        <v>17323394934</v>
      </c>
      <c r="N268" t="s">
        <v>442</v>
      </c>
      <c r="O268">
        <v>2.02</v>
      </c>
      <c r="P268">
        <v>2.2218934911242605</v>
      </c>
      <c r="W268" s="39">
        <f t="shared" si="11"/>
        <v>0</v>
      </c>
    </row>
    <row r="269" spans="1:23">
      <c r="A269" s="151">
        <v>17202389550</v>
      </c>
      <c r="B269" s="34">
        <v>14600</v>
      </c>
      <c r="E269" s="151">
        <v>17202389550</v>
      </c>
      <c r="F269" s="34">
        <v>14600</v>
      </c>
      <c r="H269" t="b">
        <f t="shared" si="9"/>
        <v>1</v>
      </c>
      <c r="I269" t="b">
        <f t="shared" si="10"/>
        <v>1</v>
      </c>
      <c r="M269">
        <v>17993395960</v>
      </c>
      <c r="N269" t="s">
        <v>442</v>
      </c>
      <c r="O269">
        <v>2.02</v>
      </c>
      <c r="P269">
        <v>2.2227298686464878</v>
      </c>
      <c r="W269" s="39">
        <f t="shared" si="11"/>
        <v>0</v>
      </c>
    </row>
    <row r="270" spans="1:23">
      <c r="A270" s="151">
        <v>17203394344</v>
      </c>
      <c r="B270" s="34">
        <v>12580</v>
      </c>
      <c r="E270" s="151">
        <v>17203394344</v>
      </c>
      <c r="F270" s="34">
        <v>12580</v>
      </c>
      <c r="H270" t="b">
        <f t="shared" si="9"/>
        <v>1</v>
      </c>
      <c r="I270" t="b">
        <f t="shared" si="10"/>
        <v>1</v>
      </c>
      <c r="M270">
        <v>17865395890</v>
      </c>
      <c r="N270" t="s">
        <v>442</v>
      </c>
      <c r="O270">
        <v>2.02</v>
      </c>
      <c r="P270">
        <v>2.2222222222222223</v>
      </c>
      <c r="W270" s="39">
        <f t="shared" si="11"/>
        <v>0</v>
      </c>
    </row>
    <row r="271" spans="1:23">
      <c r="A271" s="151">
        <v>17210394344</v>
      </c>
      <c r="B271" s="34">
        <v>4130</v>
      </c>
      <c r="E271" s="151">
        <v>17210394344</v>
      </c>
      <c r="F271" s="34">
        <v>4130</v>
      </c>
      <c r="H271" t="b">
        <f t="shared" si="9"/>
        <v>1</v>
      </c>
      <c r="I271" t="b">
        <f t="shared" si="10"/>
        <v>1</v>
      </c>
      <c r="M271">
        <v>17882395890</v>
      </c>
      <c r="N271" t="s">
        <v>442</v>
      </c>
      <c r="O271">
        <v>2.02</v>
      </c>
      <c r="P271">
        <v>1.8184754521963824</v>
      </c>
      <c r="W271" s="39">
        <f t="shared" si="11"/>
        <v>0</v>
      </c>
    </row>
    <row r="272" spans="1:23">
      <c r="A272" s="151">
        <v>17211388656</v>
      </c>
      <c r="B272" s="34">
        <v>710</v>
      </c>
      <c r="E272" s="151">
        <v>17211388656</v>
      </c>
      <c r="F272" s="34">
        <v>710</v>
      </c>
      <c r="H272" t="b">
        <f t="shared" si="9"/>
        <v>1</v>
      </c>
      <c r="I272" t="b">
        <f t="shared" si="10"/>
        <v>1</v>
      </c>
      <c r="M272">
        <v>17882395890</v>
      </c>
      <c r="N272" t="s">
        <v>443</v>
      </c>
      <c r="O272">
        <v>2.0299999999999998</v>
      </c>
      <c r="P272">
        <v>1.8181110938229346</v>
      </c>
      <c r="W272" s="39">
        <f t="shared" si="11"/>
        <v>0</v>
      </c>
    </row>
    <row r="273" spans="1:23">
      <c r="A273" s="151">
        <v>17213390978</v>
      </c>
      <c r="B273" s="34">
        <v>11949</v>
      </c>
      <c r="E273" s="151">
        <v>17213390978</v>
      </c>
      <c r="F273" s="34">
        <v>11949</v>
      </c>
      <c r="H273" t="b">
        <f t="shared" si="9"/>
        <v>1</v>
      </c>
      <c r="I273" t="b">
        <f t="shared" si="10"/>
        <v>1</v>
      </c>
      <c r="M273">
        <v>3405393897</v>
      </c>
      <c r="N273" t="s">
        <v>442</v>
      </c>
      <c r="O273">
        <v>2.02</v>
      </c>
      <c r="P273">
        <v>2.2220447284345046</v>
      </c>
      <c r="W273" s="39">
        <f t="shared" si="11"/>
        <v>0</v>
      </c>
    </row>
    <row r="274" spans="1:23">
      <c r="A274" s="151">
        <v>17213395367</v>
      </c>
      <c r="B274" s="34">
        <v>1621</v>
      </c>
      <c r="E274" s="151">
        <v>17213395367</v>
      </c>
      <c r="F274" s="34">
        <v>1621</v>
      </c>
      <c r="H274" t="b">
        <f t="shared" si="9"/>
        <v>1</v>
      </c>
      <c r="I274" t="b">
        <f t="shared" si="10"/>
        <v>1</v>
      </c>
      <c r="M274">
        <v>9870394386</v>
      </c>
      <c r="N274" t="s">
        <v>442</v>
      </c>
      <c r="O274">
        <v>2.02</v>
      </c>
      <c r="P274">
        <v>2.2221587664191889</v>
      </c>
      <c r="W274" s="39">
        <f t="shared" si="11"/>
        <v>0</v>
      </c>
    </row>
    <row r="275" spans="1:23">
      <c r="A275" s="151">
        <v>17216389975</v>
      </c>
      <c r="B275" s="34">
        <v>3836</v>
      </c>
      <c r="E275" s="151">
        <v>17216389975</v>
      </c>
      <c r="F275" s="34">
        <v>3836</v>
      </c>
      <c r="H275" t="b">
        <f t="shared" si="9"/>
        <v>1</v>
      </c>
      <c r="I275" t="b">
        <f t="shared" si="10"/>
        <v>1</v>
      </c>
      <c r="M275">
        <v>17864394223</v>
      </c>
      <c r="N275" t="s">
        <v>442</v>
      </c>
      <c r="O275">
        <v>2.02</v>
      </c>
      <c r="P275">
        <v>1.8181818181818181</v>
      </c>
      <c r="W275" s="39">
        <f t="shared" si="11"/>
        <v>0</v>
      </c>
    </row>
    <row r="276" spans="1:23">
      <c r="A276" s="151">
        <v>17216392156</v>
      </c>
      <c r="B276" s="34">
        <v>839</v>
      </c>
      <c r="E276" s="151">
        <v>17216392156</v>
      </c>
      <c r="F276" s="34">
        <v>839</v>
      </c>
      <c r="H276" t="b">
        <f t="shared" si="9"/>
        <v>1</v>
      </c>
      <c r="I276" t="b">
        <f t="shared" si="10"/>
        <v>1</v>
      </c>
      <c r="M276">
        <v>17119394327</v>
      </c>
      <c r="N276" t="s">
        <v>442</v>
      </c>
      <c r="O276">
        <v>2.02</v>
      </c>
      <c r="P276">
        <v>2.2219451371571073</v>
      </c>
      <c r="W276" s="39">
        <f t="shared" si="11"/>
        <v>0</v>
      </c>
    </row>
    <row r="277" spans="1:23">
      <c r="A277" s="151">
        <v>17216393974</v>
      </c>
      <c r="B277" s="34">
        <v>599</v>
      </c>
      <c r="E277" s="151">
        <v>17216393974</v>
      </c>
      <c r="F277" s="34">
        <v>599</v>
      </c>
      <c r="H277" t="b">
        <f t="shared" si="9"/>
        <v>1</v>
      </c>
      <c r="I277" t="b">
        <f t="shared" si="10"/>
        <v>1</v>
      </c>
      <c r="M277">
        <v>17721394337</v>
      </c>
      <c r="N277" t="s">
        <v>442</v>
      </c>
      <c r="O277">
        <v>2.02</v>
      </c>
      <c r="P277">
        <v>1.8174603174603174</v>
      </c>
      <c r="W277" s="39">
        <f t="shared" si="11"/>
        <v>0</v>
      </c>
    </row>
    <row r="278" spans="1:23">
      <c r="A278" s="151">
        <v>17226399663</v>
      </c>
      <c r="B278" s="34">
        <v>1500</v>
      </c>
      <c r="E278" s="151">
        <v>17226399663</v>
      </c>
      <c r="F278" s="34">
        <v>1500</v>
      </c>
      <c r="H278" t="b">
        <f t="shared" si="9"/>
        <v>1</v>
      </c>
      <c r="I278" t="b">
        <f t="shared" si="10"/>
        <v>1</v>
      </c>
      <c r="M278">
        <v>17721394337</v>
      </c>
      <c r="N278" t="s">
        <v>442</v>
      </c>
      <c r="O278">
        <v>2.02</v>
      </c>
      <c r="P278">
        <v>1.8179487179487179</v>
      </c>
      <c r="W278" s="39">
        <f t="shared" si="11"/>
        <v>0</v>
      </c>
    </row>
    <row r="279" spans="1:23">
      <c r="A279" s="151">
        <v>17232389643</v>
      </c>
      <c r="B279" s="34">
        <v>1551</v>
      </c>
      <c r="E279" s="151">
        <v>17232389643</v>
      </c>
      <c r="F279" s="34">
        <v>1551</v>
      </c>
      <c r="H279" t="b">
        <f t="shared" ref="H279:H342" si="12">A279=E279</f>
        <v>1</v>
      </c>
      <c r="I279" t="b">
        <f t="shared" ref="I279:I342" si="13">B279=F279</f>
        <v>1</v>
      </c>
      <c r="M279">
        <v>17693393520</v>
      </c>
      <c r="N279" t="s">
        <v>442</v>
      </c>
      <c r="O279">
        <v>2.02</v>
      </c>
      <c r="P279">
        <v>1.8181818181818181</v>
      </c>
      <c r="W279" s="39">
        <f t="shared" ref="W279:W342" si="14">U279-V279</f>
        <v>0</v>
      </c>
    </row>
    <row r="280" spans="1:23">
      <c r="A280" s="151">
        <v>17232397043</v>
      </c>
      <c r="B280" s="34">
        <v>1849</v>
      </c>
      <c r="E280" s="151">
        <v>17232397043</v>
      </c>
      <c r="F280" s="34">
        <v>1849</v>
      </c>
      <c r="H280" t="b">
        <f t="shared" si="12"/>
        <v>1</v>
      </c>
      <c r="I280" t="b">
        <f t="shared" si="13"/>
        <v>1</v>
      </c>
      <c r="M280">
        <v>17617393738</v>
      </c>
      <c r="N280" t="s">
        <v>442</v>
      </c>
      <c r="O280">
        <v>2.02</v>
      </c>
      <c r="P280">
        <v>1.8182367149758454</v>
      </c>
      <c r="W280" s="39">
        <f t="shared" si="14"/>
        <v>0</v>
      </c>
    </row>
    <row r="281" spans="1:23">
      <c r="A281" s="151">
        <v>17234384425</v>
      </c>
      <c r="B281" s="34">
        <v>4792</v>
      </c>
      <c r="E281" s="151">
        <v>17234384425</v>
      </c>
      <c r="F281" s="34">
        <v>4792</v>
      </c>
      <c r="H281" t="b">
        <f t="shared" si="12"/>
        <v>1</v>
      </c>
      <c r="I281" t="b">
        <f t="shared" si="13"/>
        <v>1</v>
      </c>
      <c r="M281">
        <v>17293395367</v>
      </c>
      <c r="N281" t="s">
        <v>442</v>
      </c>
      <c r="O281">
        <v>2.02</v>
      </c>
      <c r="P281">
        <v>2.2224894768490682</v>
      </c>
      <c r="W281" s="39">
        <f t="shared" si="14"/>
        <v>0</v>
      </c>
    </row>
    <row r="282" spans="1:23">
      <c r="A282" s="151">
        <v>17234388990</v>
      </c>
      <c r="B282" s="34">
        <v>1558</v>
      </c>
      <c r="E282" s="151">
        <v>17234388990</v>
      </c>
      <c r="F282" s="34">
        <v>1558</v>
      </c>
      <c r="H282" t="b">
        <f t="shared" si="12"/>
        <v>1</v>
      </c>
      <c r="I282" t="b">
        <f t="shared" si="13"/>
        <v>1</v>
      </c>
      <c r="M282">
        <v>17293395367</v>
      </c>
      <c r="N282" t="s">
        <v>442</v>
      </c>
      <c r="O282">
        <v>2.02</v>
      </c>
      <c r="P282">
        <v>2.2220731298222072</v>
      </c>
      <c r="W282" s="39">
        <f t="shared" si="14"/>
        <v>0</v>
      </c>
    </row>
    <row r="283" spans="1:23">
      <c r="A283" s="151">
        <v>17235390411</v>
      </c>
      <c r="B283" s="34">
        <v>898</v>
      </c>
      <c r="E283" s="151">
        <v>17235390411</v>
      </c>
      <c r="F283" s="34">
        <v>898</v>
      </c>
      <c r="H283" t="b">
        <f t="shared" si="12"/>
        <v>1</v>
      </c>
      <c r="I283" t="b">
        <f t="shared" si="13"/>
        <v>1</v>
      </c>
      <c r="M283">
        <v>17376395098</v>
      </c>
      <c r="N283" t="s">
        <v>442</v>
      </c>
      <c r="O283">
        <v>2.02</v>
      </c>
      <c r="P283">
        <v>1.8181818181818181</v>
      </c>
      <c r="W283" s="39">
        <f t="shared" si="14"/>
        <v>0</v>
      </c>
    </row>
    <row r="284" spans="1:23">
      <c r="A284" s="151">
        <v>17237393520</v>
      </c>
      <c r="B284" s="34">
        <v>14880</v>
      </c>
      <c r="E284" s="151">
        <v>17237393520</v>
      </c>
      <c r="F284" s="34">
        <v>14880</v>
      </c>
      <c r="H284" t="b">
        <f t="shared" si="12"/>
        <v>1</v>
      </c>
      <c r="I284" t="b">
        <f t="shared" si="13"/>
        <v>1</v>
      </c>
      <c r="M284">
        <v>17953395098</v>
      </c>
      <c r="N284" t="s">
        <v>442</v>
      </c>
      <c r="O284">
        <v>2.02</v>
      </c>
      <c r="P284">
        <v>1.8180624835914938</v>
      </c>
      <c r="W284" s="39">
        <f t="shared" si="14"/>
        <v>0</v>
      </c>
    </row>
    <row r="285" spans="1:23">
      <c r="A285" s="151">
        <v>17242388990</v>
      </c>
      <c r="B285" s="34">
        <v>8400</v>
      </c>
      <c r="E285" s="151">
        <v>17242388990</v>
      </c>
      <c r="F285" s="34">
        <v>8400</v>
      </c>
      <c r="H285" t="b">
        <f t="shared" si="12"/>
        <v>1</v>
      </c>
      <c r="I285" t="b">
        <f t="shared" si="13"/>
        <v>1</v>
      </c>
      <c r="M285">
        <v>17983395098</v>
      </c>
      <c r="N285" t="s">
        <v>442</v>
      </c>
      <c r="O285">
        <v>2.02</v>
      </c>
      <c r="P285">
        <v>1.8175720992622402</v>
      </c>
      <c r="W285" s="39">
        <f t="shared" si="14"/>
        <v>0</v>
      </c>
    </row>
    <row r="286" spans="1:23">
      <c r="A286" s="151">
        <v>17246390942</v>
      </c>
      <c r="B286" s="34">
        <v>8571</v>
      </c>
      <c r="E286" s="151">
        <v>17246390942</v>
      </c>
      <c r="F286" s="34">
        <v>8571</v>
      </c>
      <c r="H286" t="b">
        <f t="shared" si="12"/>
        <v>1</v>
      </c>
      <c r="I286" t="b">
        <f t="shared" si="13"/>
        <v>1</v>
      </c>
      <c r="M286">
        <v>3446395299</v>
      </c>
      <c r="N286" t="s">
        <v>442</v>
      </c>
      <c r="O286">
        <v>2.02</v>
      </c>
      <c r="P286">
        <v>1.8186244674376142</v>
      </c>
      <c r="W286" s="39">
        <f t="shared" si="14"/>
        <v>0</v>
      </c>
    </row>
    <row r="287" spans="1:23">
      <c r="A287" s="151">
        <v>17250388440</v>
      </c>
      <c r="B287" s="34">
        <v>14850</v>
      </c>
      <c r="E287" s="151">
        <v>17250388440</v>
      </c>
      <c r="F287" s="34">
        <v>14850</v>
      </c>
      <c r="H287" t="b">
        <f t="shared" si="12"/>
        <v>1</v>
      </c>
      <c r="I287" t="b">
        <f t="shared" si="13"/>
        <v>1</v>
      </c>
      <c r="M287">
        <v>17916393074</v>
      </c>
      <c r="N287" t="s">
        <v>442</v>
      </c>
      <c r="O287">
        <v>2.02</v>
      </c>
      <c r="P287">
        <v>1.8183632734530939</v>
      </c>
      <c r="W287" s="39">
        <f t="shared" si="14"/>
        <v>0</v>
      </c>
    </row>
    <row r="288" spans="1:23">
      <c r="A288" s="151">
        <v>17265400750</v>
      </c>
      <c r="B288" s="34">
        <v>18160</v>
      </c>
      <c r="E288" s="151">
        <v>17265400750</v>
      </c>
      <c r="F288" s="34">
        <v>18160</v>
      </c>
      <c r="H288" t="b">
        <f t="shared" si="12"/>
        <v>1</v>
      </c>
      <c r="I288" t="b">
        <f t="shared" si="13"/>
        <v>1</v>
      </c>
      <c r="M288">
        <v>17968393074</v>
      </c>
      <c r="N288" t="s">
        <v>442</v>
      </c>
      <c r="O288">
        <v>2.02</v>
      </c>
      <c r="P288">
        <v>1.8183254344391786</v>
      </c>
      <c r="W288" s="39">
        <f t="shared" si="14"/>
        <v>0</v>
      </c>
    </row>
    <row r="289" spans="1:23">
      <c r="A289" s="151">
        <v>17267389189</v>
      </c>
      <c r="B289" s="34">
        <v>11612</v>
      </c>
      <c r="E289" s="151">
        <v>17267389189</v>
      </c>
      <c r="F289" s="34">
        <v>11612</v>
      </c>
      <c r="H289" t="b">
        <f t="shared" si="12"/>
        <v>1</v>
      </c>
      <c r="I289" t="b">
        <f t="shared" si="13"/>
        <v>1</v>
      </c>
      <c r="M289">
        <v>17980395072</v>
      </c>
      <c r="N289" t="s">
        <v>442</v>
      </c>
      <c r="O289">
        <v>2.02</v>
      </c>
      <c r="P289">
        <v>2.2219085262563523</v>
      </c>
      <c r="W289" s="39">
        <f t="shared" si="14"/>
        <v>0</v>
      </c>
    </row>
    <row r="290" spans="1:23">
      <c r="A290" s="151">
        <v>17267393232</v>
      </c>
      <c r="B290" s="34">
        <v>718</v>
      </c>
      <c r="E290" s="151">
        <v>17267393232</v>
      </c>
      <c r="F290" s="34">
        <v>718</v>
      </c>
      <c r="H290" t="b">
        <f t="shared" si="12"/>
        <v>1</v>
      </c>
      <c r="I290" t="b">
        <f t="shared" si="13"/>
        <v>1</v>
      </c>
      <c r="M290">
        <v>17522395074</v>
      </c>
      <c r="N290" t="s">
        <v>442</v>
      </c>
      <c r="O290">
        <v>2.02</v>
      </c>
      <c r="P290">
        <v>1.8183652875882947</v>
      </c>
      <c r="W290" s="39">
        <f t="shared" si="14"/>
        <v>0</v>
      </c>
    </row>
    <row r="291" spans="1:23">
      <c r="A291" s="151">
        <v>17270389587</v>
      </c>
      <c r="B291" s="34">
        <v>1748</v>
      </c>
      <c r="E291" s="151">
        <v>17270389587</v>
      </c>
      <c r="F291" s="34">
        <v>1748</v>
      </c>
      <c r="H291" t="b">
        <f t="shared" si="12"/>
        <v>1</v>
      </c>
      <c r="I291" t="b">
        <f t="shared" si="13"/>
        <v>1</v>
      </c>
      <c r="M291">
        <v>17770395040</v>
      </c>
      <c r="N291" t="s">
        <v>442</v>
      </c>
      <c r="O291">
        <v>2.02</v>
      </c>
      <c r="P291">
        <v>2.2226335272342674</v>
      </c>
      <c r="W291" s="39">
        <f t="shared" si="14"/>
        <v>0</v>
      </c>
    </row>
    <row r="292" spans="1:23">
      <c r="A292" s="151">
        <v>17270396475</v>
      </c>
      <c r="B292" s="34">
        <v>362</v>
      </c>
      <c r="E292" s="151">
        <v>17270396475</v>
      </c>
      <c r="F292" s="34">
        <v>362</v>
      </c>
      <c r="H292" t="b">
        <f t="shared" si="12"/>
        <v>1</v>
      </c>
      <c r="I292" t="b">
        <f t="shared" si="13"/>
        <v>1</v>
      </c>
      <c r="M292">
        <v>17213395367</v>
      </c>
      <c r="N292" t="s">
        <v>442</v>
      </c>
      <c r="O292">
        <v>2.02</v>
      </c>
      <c r="P292">
        <v>2.2235939643347051</v>
      </c>
      <c r="W292" s="39">
        <f t="shared" si="14"/>
        <v>0</v>
      </c>
    </row>
    <row r="293" spans="1:23">
      <c r="A293" s="151">
        <v>17272384460</v>
      </c>
      <c r="B293" s="34">
        <v>8991</v>
      </c>
      <c r="E293" s="151">
        <v>17272384460</v>
      </c>
      <c r="F293" s="34">
        <v>8991</v>
      </c>
      <c r="H293" t="b">
        <f t="shared" si="12"/>
        <v>1</v>
      </c>
      <c r="I293" t="b">
        <f t="shared" si="13"/>
        <v>1</v>
      </c>
      <c r="M293">
        <v>17492394228</v>
      </c>
      <c r="N293" t="s">
        <v>442</v>
      </c>
      <c r="O293">
        <v>2.02</v>
      </c>
      <c r="P293">
        <v>2.222012726844214</v>
      </c>
      <c r="W293" s="39">
        <f t="shared" si="14"/>
        <v>0</v>
      </c>
    </row>
    <row r="294" spans="1:23">
      <c r="A294" s="151">
        <v>17272393199</v>
      </c>
      <c r="B294" s="34">
        <v>839</v>
      </c>
      <c r="E294" s="151">
        <v>17272393199</v>
      </c>
      <c r="F294" s="34">
        <v>839</v>
      </c>
      <c r="H294" t="b">
        <f t="shared" si="12"/>
        <v>1</v>
      </c>
      <c r="I294" t="b">
        <f t="shared" si="13"/>
        <v>1</v>
      </c>
      <c r="M294">
        <v>17492394228</v>
      </c>
      <c r="N294" t="s">
        <v>442</v>
      </c>
      <c r="O294">
        <v>2.02</v>
      </c>
      <c r="P294">
        <v>2.2221667498751874</v>
      </c>
      <c r="W294" s="39">
        <f t="shared" si="14"/>
        <v>0</v>
      </c>
    </row>
    <row r="295" spans="1:23">
      <c r="A295" s="151">
        <v>17274389437</v>
      </c>
      <c r="B295" s="34">
        <v>8490</v>
      </c>
      <c r="E295" s="151">
        <v>17274389437</v>
      </c>
      <c r="F295" s="34">
        <v>8490</v>
      </c>
      <c r="H295" t="b">
        <f t="shared" si="12"/>
        <v>1</v>
      </c>
      <c r="I295" t="b">
        <f t="shared" si="13"/>
        <v>1</v>
      </c>
      <c r="M295">
        <v>17836394211</v>
      </c>
      <c r="N295" t="s">
        <v>442</v>
      </c>
      <c r="O295">
        <v>2.02</v>
      </c>
      <c r="P295">
        <v>2.2222222222222223</v>
      </c>
      <c r="W295" s="39">
        <f t="shared" si="14"/>
        <v>0</v>
      </c>
    </row>
    <row r="296" spans="1:23">
      <c r="A296" s="151">
        <v>17279389550</v>
      </c>
      <c r="B296" s="34">
        <v>15540</v>
      </c>
      <c r="E296" s="151">
        <v>17279389550</v>
      </c>
      <c r="F296" s="34">
        <v>15540</v>
      </c>
      <c r="H296" t="b">
        <f t="shared" si="12"/>
        <v>1</v>
      </c>
      <c r="I296" t="b">
        <f t="shared" si="13"/>
        <v>1</v>
      </c>
      <c r="M296">
        <v>17672393898</v>
      </c>
      <c r="N296" t="s">
        <v>442</v>
      </c>
      <c r="O296">
        <v>2.02</v>
      </c>
      <c r="P296">
        <v>1.8181818181818181</v>
      </c>
      <c r="W296" s="39">
        <f t="shared" si="14"/>
        <v>0</v>
      </c>
    </row>
    <row r="297" spans="1:23">
      <c r="A297" s="151">
        <v>17281389189</v>
      </c>
      <c r="B297" s="34">
        <v>7280</v>
      </c>
      <c r="E297" s="151">
        <v>17281389189</v>
      </c>
      <c r="F297" s="34">
        <v>7280</v>
      </c>
      <c r="H297" t="b">
        <f t="shared" si="12"/>
        <v>1</v>
      </c>
      <c r="I297" t="b">
        <f t="shared" si="13"/>
        <v>1</v>
      </c>
      <c r="M297">
        <v>17742393994</v>
      </c>
      <c r="N297" t="s">
        <v>442</v>
      </c>
      <c r="O297">
        <v>2.02</v>
      </c>
      <c r="P297">
        <v>2.2222222222222223</v>
      </c>
      <c r="W297" s="39">
        <f t="shared" si="14"/>
        <v>0</v>
      </c>
    </row>
    <row r="298" spans="1:23">
      <c r="A298" s="151">
        <v>17284389555</v>
      </c>
      <c r="B298" s="34">
        <v>11940</v>
      </c>
      <c r="E298" s="151">
        <v>17284389555</v>
      </c>
      <c r="F298" s="34">
        <v>11940</v>
      </c>
      <c r="H298" t="b">
        <f t="shared" si="12"/>
        <v>1</v>
      </c>
      <c r="I298" t="b">
        <f t="shared" si="13"/>
        <v>1</v>
      </c>
      <c r="M298">
        <v>17199394344</v>
      </c>
      <c r="N298" t="s">
        <v>442</v>
      </c>
      <c r="O298">
        <v>2.02</v>
      </c>
      <c r="P298">
        <v>1.8181818181818181</v>
      </c>
      <c r="W298" s="39">
        <f t="shared" si="14"/>
        <v>0</v>
      </c>
    </row>
    <row r="299" spans="1:23">
      <c r="A299" s="151">
        <v>17290389894</v>
      </c>
      <c r="B299" s="34">
        <v>14720</v>
      </c>
      <c r="E299" s="151">
        <v>17290389894</v>
      </c>
      <c r="F299" s="34">
        <v>14720</v>
      </c>
      <c r="H299" t="b">
        <f t="shared" si="12"/>
        <v>1</v>
      </c>
      <c r="I299" t="b">
        <f t="shared" si="13"/>
        <v>1</v>
      </c>
      <c r="M299">
        <v>17203394344</v>
      </c>
      <c r="N299" t="s">
        <v>442</v>
      </c>
      <c r="O299">
        <v>2.02</v>
      </c>
      <c r="P299">
        <v>1.8181818181818181</v>
      </c>
      <c r="W299" s="39">
        <f t="shared" si="14"/>
        <v>0</v>
      </c>
    </row>
    <row r="300" spans="1:23">
      <c r="A300" s="151">
        <v>17292392000</v>
      </c>
      <c r="B300" s="34">
        <v>7007</v>
      </c>
      <c r="E300" s="151">
        <v>17292392000</v>
      </c>
      <c r="F300" s="34">
        <v>7007</v>
      </c>
      <c r="H300" t="b">
        <f t="shared" si="12"/>
        <v>1</v>
      </c>
      <c r="I300" t="b">
        <f t="shared" si="13"/>
        <v>1</v>
      </c>
      <c r="M300">
        <v>17210394344</v>
      </c>
      <c r="N300" t="s">
        <v>442</v>
      </c>
      <c r="O300">
        <v>2.02</v>
      </c>
      <c r="P300">
        <v>1.817781690140845</v>
      </c>
      <c r="W300" s="39">
        <f t="shared" si="14"/>
        <v>0</v>
      </c>
    </row>
    <row r="301" spans="1:23">
      <c r="A301" s="151">
        <v>17292394934</v>
      </c>
      <c r="B301" s="34">
        <v>8983</v>
      </c>
      <c r="E301" s="151">
        <v>17292394934</v>
      </c>
      <c r="F301" s="34">
        <v>8983</v>
      </c>
      <c r="H301" t="b">
        <f t="shared" si="12"/>
        <v>1</v>
      </c>
      <c r="I301" t="b">
        <f t="shared" si="13"/>
        <v>1</v>
      </c>
      <c r="M301">
        <v>17138394142</v>
      </c>
      <c r="N301" t="s">
        <v>442</v>
      </c>
      <c r="O301">
        <v>2.02</v>
      </c>
      <c r="P301">
        <v>2.2222222222222223</v>
      </c>
      <c r="W301" s="39">
        <f t="shared" si="14"/>
        <v>0</v>
      </c>
    </row>
    <row r="302" spans="1:23">
      <c r="A302" s="151">
        <v>17293395367</v>
      </c>
      <c r="B302" s="34">
        <v>10320</v>
      </c>
      <c r="E302" s="151">
        <v>17293395367</v>
      </c>
      <c r="F302" s="34">
        <v>10320</v>
      </c>
      <c r="H302" t="b">
        <f t="shared" si="12"/>
        <v>1</v>
      </c>
      <c r="I302" t="b">
        <f t="shared" si="13"/>
        <v>1</v>
      </c>
      <c r="M302">
        <v>17776394142</v>
      </c>
      <c r="N302" t="s">
        <v>442</v>
      </c>
      <c r="O302">
        <v>2.02</v>
      </c>
      <c r="P302">
        <v>2.222280152937087</v>
      </c>
      <c r="W302" s="39">
        <f t="shared" si="14"/>
        <v>0</v>
      </c>
    </row>
    <row r="303" spans="1:23">
      <c r="A303" s="151">
        <v>17295401230</v>
      </c>
      <c r="B303" s="34">
        <v>60</v>
      </c>
      <c r="E303" s="151">
        <v>17295401230</v>
      </c>
      <c r="F303" s="34">
        <v>60</v>
      </c>
      <c r="H303" t="b">
        <f t="shared" si="12"/>
        <v>1</v>
      </c>
      <c r="I303" t="b">
        <f t="shared" si="13"/>
        <v>1</v>
      </c>
      <c r="M303">
        <v>17776394142</v>
      </c>
      <c r="N303" t="s">
        <v>442</v>
      </c>
      <c r="O303">
        <v>2.02</v>
      </c>
      <c r="P303">
        <v>2.2328767123287672</v>
      </c>
      <c r="W303" s="39">
        <f t="shared" si="14"/>
        <v>0</v>
      </c>
    </row>
    <row r="304" spans="1:23">
      <c r="A304" s="151">
        <v>17297390401</v>
      </c>
      <c r="B304" s="34">
        <v>601</v>
      </c>
      <c r="E304" s="151">
        <v>17297390401</v>
      </c>
      <c r="F304" s="34">
        <v>601</v>
      </c>
      <c r="H304" t="b">
        <f t="shared" si="12"/>
        <v>1</v>
      </c>
      <c r="I304" t="b">
        <f t="shared" si="13"/>
        <v>1</v>
      </c>
      <c r="M304">
        <v>17853394151</v>
      </c>
      <c r="N304" t="s">
        <v>442</v>
      </c>
      <c r="O304">
        <v>2.02</v>
      </c>
      <c r="P304">
        <v>2.222041612483745</v>
      </c>
      <c r="W304" s="39">
        <f t="shared" si="14"/>
        <v>0</v>
      </c>
    </row>
    <row r="305" spans="1:23">
      <c r="A305" s="151">
        <v>17297397558</v>
      </c>
      <c r="B305" s="34">
        <v>1803</v>
      </c>
      <c r="E305" s="151">
        <v>17297397558</v>
      </c>
      <c r="F305" s="34">
        <v>1803</v>
      </c>
      <c r="H305" t="b">
        <f t="shared" si="12"/>
        <v>1</v>
      </c>
      <c r="I305" t="b">
        <f t="shared" si="13"/>
        <v>1</v>
      </c>
      <c r="M305">
        <v>17557393973</v>
      </c>
      <c r="N305" t="s">
        <v>442</v>
      </c>
      <c r="O305">
        <v>2.02</v>
      </c>
      <c r="P305">
        <v>1.8181818181818181</v>
      </c>
      <c r="W305" s="39">
        <f t="shared" si="14"/>
        <v>0</v>
      </c>
    </row>
    <row r="306" spans="1:23">
      <c r="A306" s="151">
        <v>17299389501</v>
      </c>
      <c r="B306" s="34">
        <v>12110</v>
      </c>
      <c r="E306" s="151">
        <v>17299389501</v>
      </c>
      <c r="F306" s="34">
        <v>12110</v>
      </c>
      <c r="H306" t="b">
        <f t="shared" si="12"/>
        <v>1</v>
      </c>
      <c r="I306" t="b">
        <f t="shared" si="13"/>
        <v>1</v>
      </c>
      <c r="M306">
        <v>10163394019</v>
      </c>
      <c r="N306" t="s">
        <v>442</v>
      </c>
      <c r="O306">
        <v>2.02</v>
      </c>
      <c r="P306">
        <v>2.2203389830508473</v>
      </c>
      <c r="W306" s="39">
        <f t="shared" si="14"/>
        <v>0</v>
      </c>
    </row>
    <row r="307" spans="1:23">
      <c r="A307" s="151">
        <v>17300389727</v>
      </c>
      <c r="B307" s="34">
        <v>9080</v>
      </c>
      <c r="E307" s="151">
        <v>17300389727</v>
      </c>
      <c r="F307" s="34">
        <v>9080</v>
      </c>
      <c r="H307" t="b">
        <f t="shared" si="12"/>
        <v>1</v>
      </c>
      <c r="I307" t="b">
        <f t="shared" si="13"/>
        <v>1</v>
      </c>
      <c r="M307">
        <v>10163394019</v>
      </c>
      <c r="N307" t="s">
        <v>442</v>
      </c>
      <c r="O307">
        <v>2.02</v>
      </c>
      <c r="P307">
        <v>1.8181818181818181</v>
      </c>
      <c r="W307" s="39">
        <f t="shared" si="14"/>
        <v>0</v>
      </c>
    </row>
    <row r="308" spans="1:23">
      <c r="A308" s="151">
        <v>17303390649</v>
      </c>
      <c r="B308" s="34">
        <v>19650</v>
      </c>
      <c r="E308" s="151">
        <v>17303390649</v>
      </c>
      <c r="F308" s="34">
        <v>19650</v>
      </c>
      <c r="H308" t="b">
        <f t="shared" si="12"/>
        <v>1</v>
      </c>
      <c r="I308" t="b">
        <f t="shared" si="13"/>
        <v>1</v>
      </c>
      <c r="M308">
        <v>15537853386861</v>
      </c>
      <c r="N308">
        <v>789</v>
      </c>
      <c r="O308">
        <v>1.82</v>
      </c>
      <c r="P308">
        <v>1.8182520272879392</v>
      </c>
      <c r="W308" s="39">
        <f t="shared" si="14"/>
        <v>0</v>
      </c>
    </row>
    <row r="309" spans="1:23">
      <c r="A309" s="151">
        <v>17305390649</v>
      </c>
      <c r="B309" s="34">
        <v>19880</v>
      </c>
      <c r="E309" s="151">
        <v>17305390649</v>
      </c>
      <c r="F309" s="34">
        <v>19880</v>
      </c>
      <c r="H309" t="b">
        <f t="shared" si="12"/>
        <v>1</v>
      </c>
      <c r="I309" t="b">
        <f t="shared" si="13"/>
        <v>1</v>
      </c>
      <c r="M309">
        <v>15537853386861</v>
      </c>
      <c r="N309">
        <v>789</v>
      </c>
      <c r="O309">
        <v>1.82</v>
      </c>
      <c r="P309">
        <v>1.818207600680658</v>
      </c>
      <c r="W309" s="39">
        <f t="shared" si="14"/>
        <v>0</v>
      </c>
    </row>
    <row r="310" spans="1:23">
      <c r="A310" s="151">
        <v>17307390649</v>
      </c>
      <c r="B310" s="34">
        <v>19810</v>
      </c>
      <c r="E310" s="151">
        <v>17307390649</v>
      </c>
      <c r="F310" s="34">
        <v>19810</v>
      </c>
      <c r="H310" t="b">
        <f t="shared" si="12"/>
        <v>1</v>
      </c>
      <c r="I310" t="b">
        <f t="shared" si="13"/>
        <v>1</v>
      </c>
      <c r="M310">
        <v>17250388440</v>
      </c>
      <c r="N310">
        <v>789</v>
      </c>
      <c r="O310">
        <v>1.82</v>
      </c>
      <c r="P310">
        <v>1.8180705190989226</v>
      </c>
      <c r="W310" s="39">
        <f t="shared" si="14"/>
        <v>0</v>
      </c>
    </row>
    <row r="311" spans="1:23">
      <c r="A311" s="151">
        <v>17311389582</v>
      </c>
      <c r="B311" s="34">
        <v>2410</v>
      </c>
      <c r="E311" s="151">
        <v>17311389582</v>
      </c>
      <c r="F311" s="34">
        <v>2410</v>
      </c>
      <c r="H311" t="b">
        <f t="shared" si="12"/>
        <v>1</v>
      </c>
      <c r="I311" t="b">
        <f t="shared" si="13"/>
        <v>1</v>
      </c>
      <c r="M311">
        <v>17320388440</v>
      </c>
      <c r="N311">
        <v>789</v>
      </c>
      <c r="O311">
        <v>1.82</v>
      </c>
      <c r="P311">
        <v>1.8180920402923169</v>
      </c>
      <c r="W311" s="39">
        <f t="shared" si="14"/>
        <v>0</v>
      </c>
    </row>
    <row r="312" spans="1:23">
      <c r="A312" s="151">
        <v>17312401230</v>
      </c>
      <c r="B312" s="34">
        <v>360</v>
      </c>
      <c r="E312" s="151">
        <v>17312401230</v>
      </c>
      <c r="F312" s="34">
        <v>360</v>
      </c>
      <c r="H312" t="b">
        <f t="shared" si="12"/>
        <v>1</v>
      </c>
      <c r="I312" t="b">
        <f t="shared" si="13"/>
        <v>1</v>
      </c>
      <c r="M312">
        <v>17320388440</v>
      </c>
      <c r="N312">
        <v>789</v>
      </c>
      <c r="O312">
        <v>1.82</v>
      </c>
      <c r="P312">
        <v>1.8180617903353578</v>
      </c>
      <c r="W312" s="39">
        <f t="shared" si="14"/>
        <v>0</v>
      </c>
    </row>
    <row r="313" spans="1:23">
      <c r="A313" s="151">
        <v>17316400750</v>
      </c>
      <c r="B313" s="34">
        <v>18160</v>
      </c>
      <c r="E313" s="151">
        <v>17316400750</v>
      </c>
      <c r="F313" s="34">
        <v>18160</v>
      </c>
      <c r="H313" t="b">
        <f t="shared" si="12"/>
        <v>1</v>
      </c>
      <c r="I313" t="b">
        <f t="shared" si="13"/>
        <v>1</v>
      </c>
      <c r="M313">
        <v>17106390649</v>
      </c>
      <c r="N313">
        <v>789</v>
      </c>
      <c r="O313">
        <v>1.82</v>
      </c>
      <c r="P313">
        <v>1.8182692307692307</v>
      </c>
      <c r="W313" s="39">
        <f t="shared" si="14"/>
        <v>0</v>
      </c>
    </row>
    <row r="314" spans="1:23">
      <c r="A314" s="151">
        <v>17319389621</v>
      </c>
      <c r="B314" s="34">
        <v>1972</v>
      </c>
      <c r="E314" s="151">
        <v>17319389621</v>
      </c>
      <c r="F314" s="34">
        <v>1972</v>
      </c>
      <c r="H314" t="b">
        <f t="shared" si="12"/>
        <v>1</v>
      </c>
      <c r="I314" t="b">
        <f t="shared" si="13"/>
        <v>1</v>
      </c>
      <c r="M314">
        <v>17106390649</v>
      </c>
      <c r="N314">
        <v>789</v>
      </c>
      <c r="O314">
        <v>1.82</v>
      </c>
      <c r="P314">
        <v>1.8181726604210739</v>
      </c>
      <c r="W314" s="39">
        <f t="shared" si="14"/>
        <v>0</v>
      </c>
    </row>
    <row r="315" spans="1:23">
      <c r="A315" s="151">
        <v>17319393021</v>
      </c>
      <c r="B315" s="34">
        <v>359</v>
      </c>
      <c r="E315" s="151">
        <v>17319393021</v>
      </c>
      <c r="F315" s="34">
        <v>359</v>
      </c>
      <c r="H315" t="b">
        <f t="shared" si="12"/>
        <v>1</v>
      </c>
      <c r="I315" t="b">
        <f t="shared" si="13"/>
        <v>1</v>
      </c>
      <c r="M315">
        <v>17146390649</v>
      </c>
      <c r="N315">
        <v>789</v>
      </c>
      <c r="O315">
        <v>1.82</v>
      </c>
      <c r="P315">
        <v>1.8180993010801489</v>
      </c>
      <c r="W315" s="39">
        <f t="shared" si="14"/>
        <v>0</v>
      </c>
    </row>
    <row r="316" spans="1:23">
      <c r="A316" s="151">
        <v>17320388440</v>
      </c>
      <c r="B316" s="34">
        <v>16090</v>
      </c>
      <c r="E316" s="151">
        <v>17320388440</v>
      </c>
      <c r="F316" s="34">
        <v>16090</v>
      </c>
      <c r="H316" t="b">
        <f t="shared" si="12"/>
        <v>1</v>
      </c>
      <c r="I316" t="b">
        <f t="shared" si="13"/>
        <v>1</v>
      </c>
      <c r="M316">
        <v>17147390649</v>
      </c>
      <c r="N316">
        <v>789</v>
      </c>
      <c r="O316">
        <v>1.82</v>
      </c>
      <c r="P316">
        <v>1.8181818181818181</v>
      </c>
      <c r="W316" s="39">
        <f t="shared" si="14"/>
        <v>0</v>
      </c>
    </row>
    <row r="317" spans="1:23">
      <c r="A317" s="151">
        <v>17323392000</v>
      </c>
      <c r="B317" s="34">
        <v>6668</v>
      </c>
      <c r="E317" s="151">
        <v>17323392000</v>
      </c>
      <c r="F317" s="34">
        <v>6668</v>
      </c>
      <c r="H317" t="b">
        <f t="shared" si="12"/>
        <v>1</v>
      </c>
      <c r="I317" t="b">
        <f t="shared" si="13"/>
        <v>1</v>
      </c>
      <c r="M317">
        <v>17305390649</v>
      </c>
      <c r="N317">
        <v>789</v>
      </c>
      <c r="O317">
        <v>1.82</v>
      </c>
      <c r="P317">
        <v>1.8181485547017928</v>
      </c>
      <c r="W317" s="39">
        <f t="shared" si="14"/>
        <v>0</v>
      </c>
    </row>
    <row r="318" spans="1:23">
      <c r="A318" s="151">
        <v>17323394934</v>
      </c>
      <c r="B318" s="34">
        <v>6008</v>
      </c>
      <c r="E318" s="151">
        <v>17323394934</v>
      </c>
      <c r="F318" s="34">
        <v>6008</v>
      </c>
      <c r="H318" t="b">
        <f t="shared" si="12"/>
        <v>1</v>
      </c>
      <c r="I318" t="b">
        <f t="shared" si="13"/>
        <v>1</v>
      </c>
      <c r="M318">
        <v>17305390649</v>
      </c>
      <c r="N318">
        <v>789</v>
      </c>
      <c r="O318">
        <v>1.82</v>
      </c>
      <c r="P318">
        <v>1.818192903304475</v>
      </c>
      <c r="W318" s="39">
        <f t="shared" si="14"/>
        <v>0</v>
      </c>
    </row>
    <row r="319" spans="1:23">
      <c r="A319" s="151">
        <v>17323399910</v>
      </c>
      <c r="B319" s="34">
        <v>3484</v>
      </c>
      <c r="E319" s="151">
        <v>17323399910</v>
      </c>
      <c r="F319" s="34">
        <v>3484</v>
      </c>
      <c r="H319" t="b">
        <f t="shared" si="12"/>
        <v>1</v>
      </c>
      <c r="I319" t="b">
        <f t="shared" si="13"/>
        <v>1</v>
      </c>
      <c r="M319">
        <v>17307390649</v>
      </c>
      <c r="N319">
        <v>789</v>
      </c>
      <c r="O319">
        <v>1.82</v>
      </c>
      <c r="P319">
        <v>1.8180983847283407</v>
      </c>
      <c r="W319" s="39">
        <f t="shared" si="14"/>
        <v>0</v>
      </c>
    </row>
    <row r="320" spans="1:23">
      <c r="A320" s="151">
        <v>17329390608</v>
      </c>
      <c r="B320" s="34">
        <v>7320</v>
      </c>
      <c r="E320" s="151">
        <v>17329390608</v>
      </c>
      <c r="F320" s="34">
        <v>7320</v>
      </c>
      <c r="H320" t="b">
        <f t="shared" si="12"/>
        <v>1</v>
      </c>
      <c r="I320" t="b">
        <f t="shared" si="13"/>
        <v>1</v>
      </c>
      <c r="M320">
        <v>17346390649</v>
      </c>
      <c r="N320">
        <v>789</v>
      </c>
      <c r="O320">
        <v>1.82</v>
      </c>
      <c r="P320">
        <v>1.8182064848731516</v>
      </c>
      <c r="W320" s="39">
        <f t="shared" si="14"/>
        <v>0</v>
      </c>
    </row>
    <row r="321" spans="1:23">
      <c r="A321" s="151">
        <v>17335391900</v>
      </c>
      <c r="B321" s="34">
        <v>3054</v>
      </c>
      <c r="E321" s="151">
        <v>17335391900</v>
      </c>
      <c r="F321" s="34">
        <v>3054</v>
      </c>
      <c r="H321" t="b">
        <f t="shared" si="12"/>
        <v>1</v>
      </c>
      <c r="I321" t="b">
        <f t="shared" si="13"/>
        <v>1</v>
      </c>
      <c r="M321">
        <v>17346390649</v>
      </c>
      <c r="N321" t="s">
        <v>446</v>
      </c>
      <c r="O321">
        <v>1.98</v>
      </c>
      <c r="P321">
        <v>1.8183875530410183</v>
      </c>
      <c r="W321" s="39">
        <f t="shared" si="14"/>
        <v>0</v>
      </c>
    </row>
    <row r="322" spans="1:23">
      <c r="A322" s="151">
        <v>17337389550</v>
      </c>
      <c r="B322" s="34">
        <v>9570</v>
      </c>
      <c r="E322" s="151">
        <v>17337389550</v>
      </c>
      <c r="F322" s="34">
        <v>9570</v>
      </c>
      <c r="H322" t="b">
        <f t="shared" si="12"/>
        <v>1</v>
      </c>
      <c r="I322" t="b">
        <f t="shared" si="13"/>
        <v>1</v>
      </c>
      <c r="M322">
        <v>17216389975</v>
      </c>
      <c r="N322">
        <v>789</v>
      </c>
      <c r="O322">
        <v>1.82</v>
      </c>
      <c r="P322">
        <v>2.2227533460803057</v>
      </c>
      <c r="W322" s="39">
        <f t="shared" si="14"/>
        <v>0</v>
      </c>
    </row>
    <row r="323" spans="1:23">
      <c r="A323" s="151">
        <v>17346390649</v>
      </c>
      <c r="B323" s="34">
        <v>19830</v>
      </c>
      <c r="E323" s="151">
        <v>17346390649</v>
      </c>
      <c r="F323" s="34">
        <v>19830</v>
      </c>
      <c r="H323" t="b">
        <f t="shared" si="12"/>
        <v>1</v>
      </c>
      <c r="I323" t="b">
        <f t="shared" si="13"/>
        <v>1</v>
      </c>
      <c r="M323">
        <v>17216389975</v>
      </c>
      <c r="N323">
        <v>789</v>
      </c>
      <c r="O323">
        <v>1.82</v>
      </c>
      <c r="P323">
        <v>2.2220588235294119</v>
      </c>
      <c r="W323" s="39">
        <f t="shared" si="14"/>
        <v>0</v>
      </c>
    </row>
    <row r="324" spans="1:23">
      <c r="A324" s="151">
        <v>17347390815</v>
      </c>
      <c r="B324" s="34">
        <v>8990</v>
      </c>
      <c r="E324" s="151">
        <v>17347390815</v>
      </c>
      <c r="F324" s="34">
        <v>8990</v>
      </c>
      <c r="H324" t="b">
        <f t="shared" si="12"/>
        <v>1</v>
      </c>
      <c r="I324" t="b">
        <f t="shared" si="13"/>
        <v>1</v>
      </c>
      <c r="M324">
        <v>17371390512</v>
      </c>
      <c r="N324">
        <v>789</v>
      </c>
      <c r="O324">
        <v>1.82</v>
      </c>
      <c r="P324">
        <v>2.2221605623381429</v>
      </c>
      <c r="W324" s="39">
        <f t="shared" si="14"/>
        <v>0</v>
      </c>
    </row>
    <row r="325" spans="1:23">
      <c r="A325" s="151">
        <v>17357390649</v>
      </c>
      <c r="B325" s="34">
        <v>19910</v>
      </c>
      <c r="E325" s="151">
        <v>17357390649</v>
      </c>
      <c r="F325" s="34">
        <v>19910</v>
      </c>
      <c r="H325" t="b">
        <f t="shared" si="12"/>
        <v>1</v>
      </c>
      <c r="I325" t="b">
        <f t="shared" si="13"/>
        <v>1</v>
      </c>
      <c r="M325">
        <v>17083390406</v>
      </c>
      <c r="N325">
        <v>789</v>
      </c>
      <c r="O325">
        <v>1.82</v>
      </c>
      <c r="P325">
        <v>1.8180801074065787</v>
      </c>
      <c r="W325" s="39">
        <f t="shared" si="14"/>
        <v>0</v>
      </c>
    </row>
    <row r="326" spans="1:23">
      <c r="A326" s="151">
        <v>17358390649</v>
      </c>
      <c r="B326" s="34">
        <v>19400</v>
      </c>
      <c r="E326" s="151">
        <v>17358390649</v>
      </c>
      <c r="F326" s="34">
        <v>19400</v>
      </c>
      <c r="H326" t="b">
        <f t="shared" si="12"/>
        <v>1</v>
      </c>
      <c r="I326" t="b">
        <f t="shared" si="13"/>
        <v>1</v>
      </c>
      <c r="M326">
        <v>17148390406</v>
      </c>
      <c r="N326">
        <v>789</v>
      </c>
      <c r="O326">
        <v>1.82</v>
      </c>
      <c r="P326">
        <v>1.8181818181818181</v>
      </c>
      <c r="W326" s="39">
        <f t="shared" si="14"/>
        <v>0</v>
      </c>
    </row>
    <row r="327" spans="1:23">
      <c r="A327" s="151">
        <v>17359390649</v>
      </c>
      <c r="B327" s="34">
        <v>19600</v>
      </c>
      <c r="E327" s="151">
        <v>17359390649</v>
      </c>
      <c r="F327" s="34">
        <v>19600</v>
      </c>
      <c r="H327" t="b">
        <f t="shared" si="12"/>
        <v>1</v>
      </c>
      <c r="I327" t="b">
        <f t="shared" si="13"/>
        <v>1</v>
      </c>
      <c r="M327">
        <v>17458391033</v>
      </c>
      <c r="N327">
        <v>789</v>
      </c>
      <c r="O327">
        <v>1.82</v>
      </c>
      <c r="P327">
        <v>2.2208835341365463</v>
      </c>
      <c r="W327" s="39">
        <f t="shared" si="14"/>
        <v>0</v>
      </c>
    </row>
    <row r="328" spans="1:23">
      <c r="A328" s="151">
        <v>17365390655</v>
      </c>
      <c r="B328" s="34">
        <v>3349</v>
      </c>
      <c r="E328" s="151">
        <v>17365390655</v>
      </c>
      <c r="F328" s="34">
        <v>3349</v>
      </c>
      <c r="H328" t="b">
        <f t="shared" si="12"/>
        <v>1</v>
      </c>
      <c r="I328" t="b">
        <f t="shared" si="13"/>
        <v>1</v>
      </c>
      <c r="M328">
        <v>17458391033</v>
      </c>
      <c r="N328">
        <v>789</v>
      </c>
      <c r="O328">
        <v>1.82</v>
      </c>
      <c r="P328">
        <v>2.2223076923076923</v>
      </c>
      <c r="W328" s="39">
        <f t="shared" si="14"/>
        <v>0</v>
      </c>
    </row>
    <row r="329" spans="1:23">
      <c r="A329" s="151">
        <v>17371390512</v>
      </c>
      <c r="B329" s="34">
        <v>12013</v>
      </c>
      <c r="E329" s="151">
        <v>17371390512</v>
      </c>
      <c r="F329" s="34">
        <v>12013</v>
      </c>
      <c r="H329" t="b">
        <f t="shared" si="12"/>
        <v>1</v>
      </c>
      <c r="I329" t="b">
        <f t="shared" si="13"/>
        <v>1</v>
      </c>
      <c r="M329">
        <v>17105390649</v>
      </c>
      <c r="N329">
        <v>789</v>
      </c>
      <c r="O329">
        <v>1.82</v>
      </c>
      <c r="P329">
        <v>1.8181818181818181</v>
      </c>
      <c r="W329" s="39">
        <f t="shared" si="14"/>
        <v>0</v>
      </c>
    </row>
    <row r="330" spans="1:23">
      <c r="A330" s="151">
        <v>17376395098</v>
      </c>
      <c r="B330" s="34">
        <v>6660</v>
      </c>
      <c r="E330" s="151">
        <v>17376395098</v>
      </c>
      <c r="F330" s="34">
        <v>6660</v>
      </c>
      <c r="H330" t="b">
        <f t="shared" si="12"/>
        <v>1</v>
      </c>
      <c r="I330" t="b">
        <f t="shared" si="13"/>
        <v>1</v>
      </c>
      <c r="M330">
        <v>17303390649</v>
      </c>
      <c r="N330">
        <v>789</v>
      </c>
      <c r="O330">
        <v>1.82</v>
      </c>
      <c r="P330">
        <v>1.8180977054034049</v>
      </c>
      <c r="W330" s="39">
        <f t="shared" si="14"/>
        <v>0</v>
      </c>
    </row>
    <row r="331" spans="1:23">
      <c r="A331" s="151">
        <v>17382390751</v>
      </c>
      <c r="B331" s="34">
        <v>1020</v>
      </c>
      <c r="E331" s="151">
        <v>17382390751</v>
      </c>
      <c r="F331" s="34">
        <v>1020</v>
      </c>
      <c r="H331" t="b">
        <f t="shared" si="12"/>
        <v>1</v>
      </c>
      <c r="I331" t="b">
        <f t="shared" si="13"/>
        <v>1</v>
      </c>
      <c r="M331">
        <v>17157391033</v>
      </c>
      <c r="N331">
        <v>789</v>
      </c>
      <c r="O331">
        <v>1.82</v>
      </c>
      <c r="P331">
        <v>1.8181818181818181</v>
      </c>
      <c r="W331" s="39">
        <f t="shared" si="14"/>
        <v>0</v>
      </c>
    </row>
    <row r="332" spans="1:23">
      <c r="A332" s="151">
        <v>17382390783</v>
      </c>
      <c r="B332" s="34">
        <v>4740</v>
      </c>
      <c r="E332" s="151">
        <v>17382390783</v>
      </c>
      <c r="F332" s="34">
        <v>4740</v>
      </c>
      <c r="H332" t="b">
        <f t="shared" si="12"/>
        <v>1</v>
      </c>
      <c r="I332" t="b">
        <f t="shared" si="13"/>
        <v>1</v>
      </c>
      <c r="M332">
        <v>17405391033</v>
      </c>
      <c r="N332">
        <v>789</v>
      </c>
      <c r="O332">
        <v>1.82</v>
      </c>
      <c r="P332">
        <v>2.2220652634552902</v>
      </c>
      <c r="W332" s="39">
        <f t="shared" si="14"/>
        <v>0</v>
      </c>
    </row>
    <row r="333" spans="1:23">
      <c r="A333" s="151">
        <v>17383390649</v>
      </c>
      <c r="B333" s="34">
        <v>20090</v>
      </c>
      <c r="E333" s="151">
        <v>17383390649</v>
      </c>
      <c r="F333" s="34">
        <v>20090</v>
      </c>
      <c r="H333" t="b">
        <f t="shared" si="12"/>
        <v>1</v>
      </c>
      <c r="I333" t="b">
        <f t="shared" si="13"/>
        <v>1</v>
      </c>
      <c r="M333">
        <v>3209389894</v>
      </c>
      <c r="N333">
        <v>789</v>
      </c>
      <c r="O333">
        <v>1.82</v>
      </c>
      <c r="P333">
        <v>1.8181818181818181</v>
      </c>
      <c r="W333" s="39">
        <f t="shared" si="14"/>
        <v>0</v>
      </c>
    </row>
    <row r="334" spans="1:23">
      <c r="A334" s="151">
        <v>17386390103</v>
      </c>
      <c r="B334" s="34">
        <v>4730</v>
      </c>
      <c r="E334" s="151">
        <v>17386390103</v>
      </c>
      <c r="F334" s="34">
        <v>4730</v>
      </c>
      <c r="H334" t="b">
        <f t="shared" si="12"/>
        <v>1</v>
      </c>
      <c r="I334" t="b">
        <f t="shared" si="13"/>
        <v>1</v>
      </c>
      <c r="M334">
        <v>17290389894</v>
      </c>
      <c r="N334">
        <v>789</v>
      </c>
      <c r="O334">
        <v>1.82</v>
      </c>
      <c r="P334">
        <v>1.8181818181818181</v>
      </c>
      <c r="W334" s="39">
        <f t="shared" si="14"/>
        <v>0</v>
      </c>
    </row>
    <row r="335" spans="1:23">
      <c r="A335" s="151">
        <v>17387391982</v>
      </c>
      <c r="B335" s="34">
        <v>2035</v>
      </c>
      <c r="E335" s="151">
        <v>17387391982</v>
      </c>
      <c r="F335" s="34">
        <v>2035</v>
      </c>
      <c r="H335" t="b">
        <f t="shared" si="12"/>
        <v>1</v>
      </c>
      <c r="I335" t="b">
        <f t="shared" si="13"/>
        <v>1</v>
      </c>
      <c r="M335">
        <v>16950385159</v>
      </c>
      <c r="N335">
        <v>789</v>
      </c>
      <c r="O335">
        <v>1.82</v>
      </c>
      <c r="P335">
        <v>1.8182479980587236</v>
      </c>
      <c r="W335" s="39">
        <f t="shared" si="14"/>
        <v>0</v>
      </c>
    </row>
    <row r="336" spans="1:23">
      <c r="A336" s="151">
        <v>17391390668</v>
      </c>
      <c r="B336" s="34">
        <v>3210</v>
      </c>
      <c r="E336" s="151">
        <v>17391390668</v>
      </c>
      <c r="F336" s="34">
        <v>3210</v>
      </c>
      <c r="H336" t="b">
        <f t="shared" si="12"/>
        <v>1</v>
      </c>
      <c r="I336" t="b">
        <f t="shared" si="13"/>
        <v>1</v>
      </c>
      <c r="M336">
        <v>16950385458</v>
      </c>
      <c r="N336">
        <v>789</v>
      </c>
      <c r="O336">
        <v>1.82</v>
      </c>
      <c r="P336">
        <v>1.8180404354587869</v>
      </c>
      <c r="W336" s="39">
        <f t="shared" si="14"/>
        <v>0</v>
      </c>
    </row>
    <row r="337" spans="1:23">
      <c r="A337" s="151">
        <v>17396393520</v>
      </c>
      <c r="B337" s="34">
        <v>17190</v>
      </c>
      <c r="E337" s="151">
        <v>17396393520</v>
      </c>
      <c r="F337" s="34">
        <v>17190</v>
      </c>
      <c r="H337" t="b">
        <f t="shared" si="12"/>
        <v>1</v>
      </c>
      <c r="I337" t="b">
        <f t="shared" si="13"/>
        <v>1</v>
      </c>
      <c r="M337">
        <v>15537803386861</v>
      </c>
      <c r="N337">
        <v>789</v>
      </c>
      <c r="O337">
        <v>1.82</v>
      </c>
      <c r="P337">
        <v>1.8181818181818181</v>
      </c>
      <c r="W337" s="39">
        <f t="shared" si="14"/>
        <v>0</v>
      </c>
    </row>
    <row r="338" spans="1:23">
      <c r="A338" s="151">
        <v>17403391348</v>
      </c>
      <c r="B338" s="34">
        <v>1669</v>
      </c>
      <c r="E338" s="151">
        <v>17403391348</v>
      </c>
      <c r="F338" s="34">
        <v>1669</v>
      </c>
      <c r="H338" t="b">
        <f t="shared" si="12"/>
        <v>1</v>
      </c>
      <c r="I338" t="b">
        <f t="shared" si="13"/>
        <v>1</v>
      </c>
      <c r="M338">
        <v>1975396393</v>
      </c>
      <c r="N338" t="s">
        <v>443</v>
      </c>
      <c r="O338">
        <v>2.0299999999999998</v>
      </c>
      <c r="P338">
        <v>2.218978102189781</v>
      </c>
      <c r="W338" s="39">
        <f t="shared" si="14"/>
        <v>0</v>
      </c>
    </row>
    <row r="339" spans="1:23">
      <c r="A339" s="151">
        <v>17403391962</v>
      </c>
      <c r="B339" s="34">
        <v>1907</v>
      </c>
      <c r="E339" s="151">
        <v>17403391962</v>
      </c>
      <c r="F339" s="34">
        <v>1907</v>
      </c>
      <c r="H339" t="b">
        <f t="shared" si="12"/>
        <v>1</v>
      </c>
      <c r="I339" t="b">
        <f t="shared" si="13"/>
        <v>1</v>
      </c>
      <c r="M339">
        <v>1975396393</v>
      </c>
      <c r="N339" t="s">
        <v>443</v>
      </c>
      <c r="O339">
        <v>2.0299999999999998</v>
      </c>
      <c r="P339">
        <v>2.2221654749744637</v>
      </c>
      <c r="W339" s="39">
        <f t="shared" si="14"/>
        <v>0</v>
      </c>
    </row>
    <row r="340" spans="1:23">
      <c r="A340" s="151">
        <v>17403391982</v>
      </c>
      <c r="B340" s="34">
        <v>894</v>
      </c>
      <c r="E340" s="151">
        <v>17403391982</v>
      </c>
      <c r="F340" s="34">
        <v>894</v>
      </c>
      <c r="H340" t="b">
        <f t="shared" si="12"/>
        <v>1</v>
      </c>
      <c r="I340" t="b">
        <f t="shared" si="13"/>
        <v>1</v>
      </c>
      <c r="M340">
        <v>16948396475</v>
      </c>
      <c r="N340" t="s">
        <v>443</v>
      </c>
      <c r="O340">
        <v>2.0299999999999998</v>
      </c>
      <c r="P340">
        <v>2.2234273318872018</v>
      </c>
      <c r="W340" s="39">
        <f t="shared" si="14"/>
        <v>0</v>
      </c>
    </row>
    <row r="341" spans="1:23">
      <c r="A341" s="151">
        <v>17405391033</v>
      </c>
      <c r="B341" s="34">
        <v>15730</v>
      </c>
      <c r="E341" s="151">
        <v>17405391033</v>
      </c>
      <c r="F341" s="34">
        <v>15730</v>
      </c>
      <c r="H341" t="b">
        <f t="shared" si="12"/>
        <v>1</v>
      </c>
      <c r="I341" t="b">
        <f t="shared" si="13"/>
        <v>1</v>
      </c>
      <c r="M341">
        <v>16979396475</v>
      </c>
      <c r="N341" t="s">
        <v>443</v>
      </c>
      <c r="O341">
        <v>2.0299999999999998</v>
      </c>
      <c r="P341">
        <v>2.222737819025522</v>
      </c>
      <c r="W341" s="39">
        <f t="shared" si="14"/>
        <v>0</v>
      </c>
    </row>
    <row r="342" spans="1:23">
      <c r="A342" s="151">
        <v>17407390689</v>
      </c>
      <c r="B342" s="34">
        <v>8430</v>
      </c>
      <c r="E342" s="151">
        <v>17407390689</v>
      </c>
      <c r="F342" s="34">
        <v>8430</v>
      </c>
      <c r="H342" t="b">
        <f t="shared" si="12"/>
        <v>1</v>
      </c>
      <c r="I342" t="b">
        <f t="shared" si="13"/>
        <v>1</v>
      </c>
      <c r="M342">
        <v>17270396475</v>
      </c>
      <c r="N342" t="s">
        <v>443</v>
      </c>
      <c r="O342">
        <v>2.0299999999999998</v>
      </c>
      <c r="P342">
        <v>2.2208588957055215</v>
      </c>
      <c r="W342" s="39">
        <f t="shared" si="14"/>
        <v>0</v>
      </c>
    </row>
    <row r="343" spans="1:23">
      <c r="A343" s="151">
        <v>17410390945</v>
      </c>
      <c r="B343" s="34">
        <v>14240</v>
      </c>
      <c r="E343" s="151">
        <v>17410390945</v>
      </c>
      <c r="F343" s="34">
        <v>14240</v>
      </c>
      <c r="H343" t="b">
        <f t="shared" ref="H343:H406" si="15">A343=E343</f>
        <v>1</v>
      </c>
      <c r="I343" t="b">
        <f t="shared" ref="I343:I406" si="16">B343=F343</f>
        <v>1</v>
      </c>
      <c r="M343">
        <v>17823396155</v>
      </c>
      <c r="N343" t="s">
        <v>443</v>
      </c>
      <c r="O343">
        <v>2.0299999999999998</v>
      </c>
      <c r="P343">
        <v>2.2219061166429586</v>
      </c>
      <c r="W343" s="39">
        <f t="shared" ref="W343:W406" si="17">U343-V343</f>
        <v>0</v>
      </c>
    </row>
    <row r="344" spans="1:23">
      <c r="A344" s="151">
        <v>17411390751</v>
      </c>
      <c r="B344" s="34">
        <v>3170</v>
      </c>
      <c r="E344" s="151">
        <v>17411390751</v>
      </c>
      <c r="F344" s="34">
        <v>3170</v>
      </c>
      <c r="H344" t="b">
        <f t="shared" si="15"/>
        <v>1</v>
      </c>
      <c r="I344" t="b">
        <f t="shared" si="16"/>
        <v>1</v>
      </c>
      <c r="M344">
        <v>17088396453</v>
      </c>
      <c r="N344" t="s">
        <v>443</v>
      </c>
      <c r="O344">
        <v>2.0299999999999998</v>
      </c>
      <c r="P344">
        <v>2.2223252118644066</v>
      </c>
      <c r="W344" s="39">
        <f t="shared" si="17"/>
        <v>0</v>
      </c>
    </row>
    <row r="345" spans="1:23">
      <c r="A345" s="151">
        <v>17411390783</v>
      </c>
      <c r="B345" s="34">
        <v>60</v>
      </c>
      <c r="E345" s="151">
        <v>17411390783</v>
      </c>
      <c r="F345" s="34">
        <v>60</v>
      </c>
      <c r="H345" t="b">
        <f t="shared" si="15"/>
        <v>1</v>
      </c>
      <c r="I345" t="b">
        <f t="shared" si="16"/>
        <v>1</v>
      </c>
      <c r="M345">
        <v>17591396453</v>
      </c>
      <c r="N345" t="s">
        <v>443</v>
      </c>
      <c r="O345">
        <v>2.0299999999999998</v>
      </c>
      <c r="P345">
        <v>2.2222222222222223</v>
      </c>
      <c r="W345" s="39">
        <f t="shared" si="17"/>
        <v>0</v>
      </c>
    </row>
    <row r="346" spans="1:23">
      <c r="A346" s="151">
        <v>17416390649</v>
      </c>
      <c r="B346" s="34">
        <v>19590</v>
      </c>
      <c r="E346" s="151">
        <v>17416390649</v>
      </c>
      <c r="F346" s="34">
        <v>19590</v>
      </c>
      <c r="H346" t="b">
        <f t="shared" si="15"/>
        <v>1</v>
      </c>
      <c r="I346" t="b">
        <f t="shared" si="16"/>
        <v>1</v>
      </c>
      <c r="M346">
        <v>17658396453</v>
      </c>
      <c r="N346" t="s">
        <v>443</v>
      </c>
      <c r="O346">
        <v>2.0299999999999998</v>
      </c>
      <c r="P346">
        <v>2.2221209358857492</v>
      </c>
      <c r="W346" s="39">
        <f t="shared" si="17"/>
        <v>0</v>
      </c>
    </row>
    <row r="347" spans="1:23">
      <c r="A347" s="151">
        <v>17417390504</v>
      </c>
      <c r="B347" s="34">
        <v>16090</v>
      </c>
      <c r="E347" s="151">
        <v>17417390504</v>
      </c>
      <c r="F347" s="34">
        <v>16090</v>
      </c>
      <c r="H347" t="b">
        <f t="shared" si="15"/>
        <v>1</v>
      </c>
      <c r="I347" t="b">
        <f t="shared" si="16"/>
        <v>1</v>
      </c>
      <c r="M347">
        <v>17658396453</v>
      </c>
      <c r="N347" t="s">
        <v>443</v>
      </c>
      <c r="O347">
        <v>2.0299999999999998</v>
      </c>
      <c r="P347">
        <v>2.2244224422442245</v>
      </c>
      <c r="W347" s="39">
        <f t="shared" si="17"/>
        <v>0</v>
      </c>
    </row>
    <row r="348" spans="1:23">
      <c r="A348" s="151">
        <v>17419390649</v>
      </c>
      <c r="B348" s="34">
        <v>19650</v>
      </c>
      <c r="E348" s="151">
        <v>17419390649</v>
      </c>
      <c r="F348" s="34">
        <v>19650</v>
      </c>
      <c r="H348" t="b">
        <f t="shared" si="15"/>
        <v>1</v>
      </c>
      <c r="I348" t="b">
        <f t="shared" si="16"/>
        <v>1</v>
      </c>
      <c r="M348">
        <v>17634396388</v>
      </c>
      <c r="N348" t="s">
        <v>443</v>
      </c>
      <c r="O348">
        <v>2.0299999999999998</v>
      </c>
      <c r="P348">
        <v>2.2222398981864462</v>
      </c>
      <c r="W348" s="39">
        <f t="shared" si="17"/>
        <v>0</v>
      </c>
    </row>
    <row r="349" spans="1:23">
      <c r="A349" s="151">
        <v>17420388551</v>
      </c>
      <c r="B349" s="34">
        <v>2142</v>
      </c>
      <c r="E349" s="151">
        <v>17420388551</v>
      </c>
      <c r="F349" s="34">
        <v>2142</v>
      </c>
      <c r="H349" t="b">
        <f t="shared" si="15"/>
        <v>1</v>
      </c>
      <c r="I349" t="b">
        <f t="shared" si="16"/>
        <v>1</v>
      </c>
      <c r="M349">
        <v>17634396388</v>
      </c>
      <c r="N349" t="s">
        <v>443</v>
      </c>
      <c r="O349">
        <v>2.0299999999999998</v>
      </c>
      <c r="P349">
        <v>2.2220888355342137</v>
      </c>
      <c r="W349" s="39">
        <f t="shared" si="17"/>
        <v>0</v>
      </c>
    </row>
    <row r="350" spans="1:23">
      <c r="A350" s="151">
        <v>17421390826</v>
      </c>
      <c r="B350" s="34">
        <v>918</v>
      </c>
      <c r="E350" s="151">
        <v>17421390826</v>
      </c>
      <c r="F350" s="34">
        <v>918</v>
      </c>
      <c r="H350" t="b">
        <f t="shared" si="15"/>
        <v>1</v>
      </c>
      <c r="I350" t="b">
        <f t="shared" si="16"/>
        <v>1</v>
      </c>
      <c r="M350">
        <v>18093396388</v>
      </c>
      <c r="N350" t="s">
        <v>443</v>
      </c>
      <c r="O350">
        <v>2.0299999999999998</v>
      </c>
      <c r="P350">
        <v>2.2222222222222223</v>
      </c>
      <c r="W350" s="39">
        <f t="shared" si="17"/>
        <v>0</v>
      </c>
    </row>
    <row r="351" spans="1:23">
      <c r="A351" s="151">
        <v>17433393412</v>
      </c>
      <c r="B351" s="34">
        <v>13970</v>
      </c>
      <c r="E351" s="151">
        <v>17433393412</v>
      </c>
      <c r="F351" s="34">
        <v>13970</v>
      </c>
      <c r="H351" t="b">
        <f t="shared" si="15"/>
        <v>1</v>
      </c>
      <c r="I351" t="b">
        <f t="shared" si="16"/>
        <v>1</v>
      </c>
      <c r="M351">
        <v>17672396193</v>
      </c>
      <c r="N351" t="s">
        <v>443</v>
      </c>
      <c r="O351">
        <v>2.0299999999999998</v>
      </c>
      <c r="P351">
        <v>1.8181818181818181</v>
      </c>
      <c r="W351" s="39">
        <f t="shared" si="17"/>
        <v>0</v>
      </c>
    </row>
    <row r="352" spans="1:23">
      <c r="A352" s="151">
        <v>17434393412</v>
      </c>
      <c r="B352" s="34">
        <v>12390</v>
      </c>
      <c r="E352" s="151">
        <v>17434393412</v>
      </c>
      <c r="F352" s="34">
        <v>12390</v>
      </c>
      <c r="H352" t="b">
        <f t="shared" si="15"/>
        <v>1</v>
      </c>
      <c r="I352" t="b">
        <f t="shared" si="16"/>
        <v>1</v>
      </c>
      <c r="M352">
        <v>17771396193</v>
      </c>
      <c r="N352" t="s">
        <v>443</v>
      </c>
      <c r="O352">
        <v>2.0299999999999998</v>
      </c>
      <c r="P352">
        <v>1.8181818181818181</v>
      </c>
      <c r="W352" s="39">
        <f t="shared" si="17"/>
        <v>0</v>
      </c>
    </row>
    <row r="353" spans="1:23">
      <c r="A353" s="151">
        <v>17436384156</v>
      </c>
      <c r="B353" s="34">
        <v>12040</v>
      </c>
      <c r="E353" s="151">
        <v>17436384156</v>
      </c>
      <c r="F353" s="34">
        <v>12040</v>
      </c>
      <c r="H353" t="b">
        <f t="shared" si="15"/>
        <v>1</v>
      </c>
      <c r="I353" t="b">
        <f t="shared" si="16"/>
        <v>1</v>
      </c>
      <c r="M353">
        <v>17883396193</v>
      </c>
      <c r="N353" t="s">
        <v>443</v>
      </c>
      <c r="O353">
        <v>2.0299999999999998</v>
      </c>
      <c r="P353">
        <v>1.818364073777065</v>
      </c>
      <c r="W353" s="39">
        <f t="shared" si="17"/>
        <v>0</v>
      </c>
    </row>
    <row r="354" spans="1:23">
      <c r="A354" s="151">
        <v>17442392984</v>
      </c>
      <c r="B354" s="34">
        <v>7490</v>
      </c>
      <c r="E354" s="151">
        <v>17442392984</v>
      </c>
      <c r="F354" s="34">
        <v>7490</v>
      </c>
      <c r="H354" t="b">
        <f t="shared" si="15"/>
        <v>1</v>
      </c>
      <c r="I354" t="b">
        <f t="shared" si="16"/>
        <v>1</v>
      </c>
      <c r="M354">
        <v>17883396193</v>
      </c>
      <c r="N354" t="s">
        <v>443</v>
      </c>
      <c r="O354">
        <v>2.0299999999999998</v>
      </c>
      <c r="P354">
        <v>1.8180494905385736</v>
      </c>
      <c r="W354" s="39">
        <f t="shared" si="17"/>
        <v>0</v>
      </c>
    </row>
    <row r="355" spans="1:23">
      <c r="A355" s="151">
        <v>17444388551</v>
      </c>
      <c r="B355" s="34">
        <v>7833</v>
      </c>
      <c r="E355" s="151">
        <v>17444388551</v>
      </c>
      <c r="F355" s="34">
        <v>7833</v>
      </c>
      <c r="H355" t="b">
        <f t="shared" si="15"/>
        <v>1</v>
      </c>
      <c r="I355" t="b">
        <f t="shared" si="16"/>
        <v>1</v>
      </c>
      <c r="M355">
        <v>3371396655</v>
      </c>
      <c r="N355" t="s">
        <v>443</v>
      </c>
      <c r="O355">
        <v>2.0299999999999998</v>
      </c>
      <c r="P355">
        <v>2.2223095051060486</v>
      </c>
      <c r="W355" s="39">
        <f t="shared" si="17"/>
        <v>0</v>
      </c>
    </row>
    <row r="356" spans="1:23">
      <c r="A356" s="151">
        <v>17447397377</v>
      </c>
      <c r="B356" s="34">
        <v>1198</v>
      </c>
      <c r="E356" s="151">
        <v>17447397377</v>
      </c>
      <c r="F356" s="34">
        <v>1198</v>
      </c>
      <c r="H356" t="b">
        <f t="shared" si="15"/>
        <v>1</v>
      </c>
      <c r="I356" t="b">
        <f t="shared" si="16"/>
        <v>1</v>
      </c>
      <c r="M356">
        <v>3371396655</v>
      </c>
      <c r="N356" t="s">
        <v>443</v>
      </c>
      <c r="O356">
        <v>2.0299999999999998</v>
      </c>
      <c r="P356">
        <v>2.2223157894736842</v>
      </c>
      <c r="W356" s="39">
        <f t="shared" si="17"/>
        <v>0</v>
      </c>
    </row>
    <row r="357" spans="1:23">
      <c r="A357" s="151">
        <v>17452391761</v>
      </c>
      <c r="B357" s="34">
        <v>16920</v>
      </c>
      <c r="E357" s="151">
        <v>17452391761</v>
      </c>
      <c r="F357" s="34">
        <v>16920</v>
      </c>
      <c r="H357" t="b">
        <f t="shared" si="15"/>
        <v>1</v>
      </c>
      <c r="I357" t="b">
        <f t="shared" si="16"/>
        <v>1</v>
      </c>
      <c r="M357">
        <v>3510396797</v>
      </c>
      <c r="N357" t="s">
        <v>443</v>
      </c>
      <c r="O357">
        <v>2.0299999999999998</v>
      </c>
      <c r="P357">
        <v>1.8181818181818181</v>
      </c>
      <c r="W357" s="39">
        <f t="shared" si="17"/>
        <v>0</v>
      </c>
    </row>
    <row r="358" spans="1:23">
      <c r="A358" s="151">
        <v>17458391033</v>
      </c>
      <c r="B358" s="34">
        <v>9220</v>
      </c>
      <c r="E358" s="151">
        <v>17458391033</v>
      </c>
      <c r="F358" s="34">
        <v>9220</v>
      </c>
      <c r="H358" t="b">
        <f t="shared" si="15"/>
        <v>1</v>
      </c>
      <c r="I358" t="b">
        <f t="shared" si="16"/>
        <v>1</v>
      </c>
      <c r="M358">
        <v>17566397134</v>
      </c>
      <c r="N358" t="s">
        <v>443</v>
      </c>
      <c r="O358">
        <v>2.0299999999999998</v>
      </c>
      <c r="P358">
        <v>1.8179059180576631</v>
      </c>
      <c r="W358" s="39">
        <f t="shared" si="17"/>
        <v>0</v>
      </c>
    </row>
    <row r="359" spans="1:23">
      <c r="A359" s="151">
        <v>17461392068</v>
      </c>
      <c r="B359" s="34">
        <v>4137</v>
      </c>
      <c r="E359" s="151">
        <v>17461392068</v>
      </c>
      <c r="F359" s="34">
        <v>4137</v>
      </c>
      <c r="H359" t="b">
        <f t="shared" si="15"/>
        <v>1</v>
      </c>
      <c r="I359" t="b">
        <f t="shared" si="16"/>
        <v>1</v>
      </c>
      <c r="M359">
        <v>17588397005</v>
      </c>
      <c r="N359" t="s">
        <v>443</v>
      </c>
      <c r="O359">
        <v>2.0299999999999998</v>
      </c>
      <c r="P359">
        <v>2.2203703703703703</v>
      </c>
      <c r="W359" s="39">
        <f t="shared" si="17"/>
        <v>0</v>
      </c>
    </row>
    <row r="360" spans="1:23">
      <c r="A360" s="151">
        <v>17461392653</v>
      </c>
      <c r="B360" s="34">
        <v>1499</v>
      </c>
      <c r="E360" s="151">
        <v>17461392653</v>
      </c>
      <c r="F360" s="34">
        <v>1499</v>
      </c>
      <c r="H360" t="b">
        <f t="shared" si="15"/>
        <v>1</v>
      </c>
      <c r="I360" t="b">
        <f t="shared" si="16"/>
        <v>1</v>
      </c>
      <c r="M360">
        <v>17232397043</v>
      </c>
      <c r="N360" t="s">
        <v>443</v>
      </c>
      <c r="O360">
        <v>2.0299999999999998</v>
      </c>
      <c r="P360">
        <v>2.2223557692307692</v>
      </c>
      <c r="W360" s="39">
        <f t="shared" si="17"/>
        <v>0</v>
      </c>
    </row>
    <row r="361" spans="1:23">
      <c r="A361" s="151">
        <v>17461398750</v>
      </c>
      <c r="B361" s="34">
        <v>1499</v>
      </c>
      <c r="E361" s="151">
        <v>17461398750</v>
      </c>
      <c r="F361" s="34">
        <v>1499</v>
      </c>
      <c r="H361" t="b">
        <f t="shared" si="15"/>
        <v>1</v>
      </c>
      <c r="I361" t="b">
        <f t="shared" si="16"/>
        <v>1</v>
      </c>
      <c r="M361">
        <v>10152396835</v>
      </c>
      <c r="N361" t="s">
        <v>443</v>
      </c>
      <c r="O361">
        <v>2.0299999999999998</v>
      </c>
      <c r="P361">
        <v>2.2209677419354841</v>
      </c>
      <c r="W361" s="39">
        <f t="shared" si="17"/>
        <v>0</v>
      </c>
    </row>
    <row r="362" spans="1:23">
      <c r="A362" s="151">
        <v>17463394077</v>
      </c>
      <c r="B362" s="34">
        <v>9480</v>
      </c>
      <c r="E362" s="151">
        <v>17463394077</v>
      </c>
      <c r="F362" s="34">
        <v>9480</v>
      </c>
      <c r="H362" t="b">
        <f t="shared" si="15"/>
        <v>1</v>
      </c>
      <c r="I362" t="b">
        <f t="shared" si="16"/>
        <v>1</v>
      </c>
      <c r="M362">
        <v>18115397186</v>
      </c>
      <c r="N362" t="s">
        <v>443</v>
      </c>
      <c r="O362">
        <v>2.0299999999999998</v>
      </c>
      <c r="P362">
        <v>2.2222222222222223</v>
      </c>
      <c r="W362" s="39">
        <f t="shared" si="17"/>
        <v>0</v>
      </c>
    </row>
    <row r="363" spans="1:23">
      <c r="A363" s="151">
        <v>17467391063</v>
      </c>
      <c r="B363" s="34">
        <v>19230</v>
      </c>
      <c r="E363" s="151">
        <v>17467391063</v>
      </c>
      <c r="F363" s="34">
        <v>19230</v>
      </c>
      <c r="H363" t="b">
        <f t="shared" si="15"/>
        <v>1</v>
      </c>
      <c r="I363" t="b">
        <f t="shared" si="16"/>
        <v>1</v>
      </c>
      <c r="M363">
        <v>3437397146</v>
      </c>
      <c r="N363" t="s">
        <v>443</v>
      </c>
      <c r="O363">
        <v>2.0299999999999998</v>
      </c>
      <c r="P363">
        <v>1.8183391003460208</v>
      </c>
      <c r="W363" s="39">
        <f t="shared" si="17"/>
        <v>0</v>
      </c>
    </row>
    <row r="364" spans="1:23">
      <c r="A364" s="151">
        <v>17483391407</v>
      </c>
      <c r="B364" s="34">
        <v>7110</v>
      </c>
      <c r="E364" s="151">
        <v>17483391407</v>
      </c>
      <c r="F364" s="34">
        <v>7110</v>
      </c>
      <c r="H364" t="b">
        <f t="shared" si="15"/>
        <v>1</v>
      </c>
      <c r="I364" t="b">
        <f t="shared" si="16"/>
        <v>1</v>
      </c>
      <c r="M364">
        <v>3289397082</v>
      </c>
      <c r="N364" t="s">
        <v>443</v>
      </c>
      <c r="O364">
        <v>2.0299999999999998</v>
      </c>
      <c r="P364">
        <v>2.2222222222222223</v>
      </c>
      <c r="W364" s="39">
        <f t="shared" si="17"/>
        <v>0</v>
      </c>
    </row>
    <row r="365" spans="1:23">
      <c r="A365" s="151">
        <v>17487393833</v>
      </c>
      <c r="B365" s="34">
        <v>2730</v>
      </c>
      <c r="E365" s="151">
        <v>17487393833</v>
      </c>
      <c r="F365" s="34">
        <v>2730</v>
      </c>
      <c r="H365" t="b">
        <f t="shared" si="15"/>
        <v>1</v>
      </c>
      <c r="I365" t="b">
        <f t="shared" si="16"/>
        <v>1</v>
      </c>
      <c r="M365">
        <v>17489397685</v>
      </c>
      <c r="N365" t="s">
        <v>443</v>
      </c>
      <c r="O365">
        <v>2.0299999999999998</v>
      </c>
      <c r="P365">
        <v>1.8179379072441548</v>
      </c>
      <c r="W365" s="39">
        <f t="shared" si="17"/>
        <v>0</v>
      </c>
    </row>
    <row r="366" spans="1:23">
      <c r="A366" s="151">
        <v>17488397703</v>
      </c>
      <c r="B366" s="34">
        <v>7250</v>
      </c>
      <c r="E366" s="151">
        <v>17488397703</v>
      </c>
      <c r="F366" s="34">
        <v>7250</v>
      </c>
      <c r="H366" t="b">
        <f t="shared" si="15"/>
        <v>1</v>
      </c>
      <c r="I366" t="b">
        <f t="shared" si="16"/>
        <v>1</v>
      </c>
      <c r="M366">
        <v>17637397685</v>
      </c>
      <c r="N366" t="s">
        <v>443</v>
      </c>
      <c r="O366">
        <v>2.0299999999999998</v>
      </c>
      <c r="P366">
        <v>2.2223557692307692</v>
      </c>
      <c r="W366" s="39">
        <f t="shared" si="17"/>
        <v>0</v>
      </c>
    </row>
    <row r="367" spans="1:23">
      <c r="A367" s="151">
        <v>17489393030</v>
      </c>
      <c r="B367" s="34">
        <v>9007</v>
      </c>
      <c r="E367" s="151">
        <v>17489393030</v>
      </c>
      <c r="F367" s="34">
        <v>9007</v>
      </c>
      <c r="H367" t="b">
        <f t="shared" si="15"/>
        <v>1</v>
      </c>
      <c r="I367" t="b">
        <f t="shared" si="16"/>
        <v>1</v>
      </c>
      <c r="M367">
        <v>17637397685</v>
      </c>
      <c r="N367" t="s">
        <v>443</v>
      </c>
      <c r="O367">
        <v>2.0299999999999998</v>
      </c>
      <c r="P367">
        <v>2.2219718309859156</v>
      </c>
      <c r="W367" s="39">
        <f t="shared" si="17"/>
        <v>0</v>
      </c>
    </row>
    <row r="368" spans="1:23">
      <c r="A368" s="151">
        <v>17489397685</v>
      </c>
      <c r="B368" s="34">
        <v>4743</v>
      </c>
      <c r="E368" s="151">
        <v>17489397685</v>
      </c>
      <c r="F368" s="34">
        <v>4743</v>
      </c>
      <c r="H368" t="b">
        <f t="shared" si="15"/>
        <v>1</v>
      </c>
      <c r="I368" t="b">
        <f t="shared" si="16"/>
        <v>1</v>
      </c>
      <c r="M368">
        <v>1966396521</v>
      </c>
      <c r="N368" t="s">
        <v>443</v>
      </c>
      <c r="O368">
        <v>2.0299999999999998</v>
      </c>
      <c r="P368">
        <v>2.2222849083215799</v>
      </c>
      <c r="W368" s="39">
        <f t="shared" si="17"/>
        <v>0</v>
      </c>
    </row>
    <row r="369" spans="1:23">
      <c r="A369" s="151">
        <v>17492394228</v>
      </c>
      <c r="B369" s="34">
        <v>13879</v>
      </c>
      <c r="E369" s="151">
        <v>17492394228</v>
      </c>
      <c r="F369" s="34">
        <v>13879</v>
      </c>
      <c r="H369" t="b">
        <f t="shared" si="15"/>
        <v>1</v>
      </c>
      <c r="I369" t="b">
        <f t="shared" si="16"/>
        <v>1</v>
      </c>
      <c r="M369">
        <v>1966396521</v>
      </c>
      <c r="N369" t="s">
        <v>443</v>
      </c>
      <c r="O369">
        <v>2.0299999999999998</v>
      </c>
      <c r="P369">
        <v>2.2221276595744679</v>
      </c>
      <c r="W369" s="39">
        <f t="shared" si="17"/>
        <v>0</v>
      </c>
    </row>
    <row r="370" spans="1:23">
      <c r="A370" s="151">
        <v>17495393833</v>
      </c>
      <c r="B370" s="34">
        <v>1903</v>
      </c>
      <c r="E370" s="151">
        <v>17495393833</v>
      </c>
      <c r="F370" s="34">
        <v>1903</v>
      </c>
      <c r="H370" t="b">
        <f t="shared" si="15"/>
        <v>1</v>
      </c>
      <c r="I370" t="b">
        <f t="shared" si="16"/>
        <v>1</v>
      </c>
      <c r="M370">
        <v>15873049396197</v>
      </c>
      <c r="N370" t="s">
        <v>443</v>
      </c>
      <c r="O370">
        <v>2.0299999999999998</v>
      </c>
      <c r="P370">
        <v>2.2220523015751645</v>
      </c>
      <c r="W370" s="39">
        <f t="shared" si="17"/>
        <v>0</v>
      </c>
    </row>
    <row r="371" spans="1:23">
      <c r="A371" s="151">
        <v>17497397965</v>
      </c>
      <c r="B371" s="34">
        <v>6607</v>
      </c>
      <c r="E371" s="151">
        <v>17497397965</v>
      </c>
      <c r="F371" s="34">
        <v>6607</v>
      </c>
      <c r="H371" t="b">
        <f t="shared" si="15"/>
        <v>1</v>
      </c>
      <c r="I371" t="b">
        <f t="shared" si="16"/>
        <v>1</v>
      </c>
      <c r="M371">
        <v>17633396388</v>
      </c>
      <c r="N371" t="s">
        <v>443</v>
      </c>
      <c r="O371">
        <v>2.0299999999999998</v>
      </c>
      <c r="P371">
        <v>2.2220876725599417</v>
      </c>
      <c r="W371" s="39">
        <f t="shared" si="17"/>
        <v>0</v>
      </c>
    </row>
    <row r="372" spans="1:23">
      <c r="A372" s="151">
        <v>17503384052</v>
      </c>
      <c r="B372" s="34">
        <v>2980</v>
      </c>
      <c r="E372" s="151">
        <v>17503384052</v>
      </c>
      <c r="F372" s="34">
        <v>2980</v>
      </c>
      <c r="H372" t="b">
        <f t="shared" si="15"/>
        <v>1</v>
      </c>
      <c r="I372" t="b">
        <f t="shared" si="16"/>
        <v>1</v>
      </c>
      <c r="M372">
        <v>10219395815</v>
      </c>
      <c r="N372" t="s">
        <v>443</v>
      </c>
      <c r="O372">
        <v>2.0299999999999998</v>
      </c>
      <c r="P372">
        <v>1.8177136972193615</v>
      </c>
      <c r="W372" s="39">
        <f t="shared" si="17"/>
        <v>0</v>
      </c>
    </row>
    <row r="373" spans="1:23">
      <c r="A373" s="151">
        <v>17504391477</v>
      </c>
      <c r="B373" s="34">
        <v>3790</v>
      </c>
      <c r="E373" s="151">
        <v>17504391477</v>
      </c>
      <c r="F373" s="34">
        <v>3790</v>
      </c>
      <c r="H373" t="b">
        <f t="shared" si="15"/>
        <v>1</v>
      </c>
      <c r="I373" t="b">
        <f t="shared" si="16"/>
        <v>1</v>
      </c>
      <c r="M373">
        <v>10219395815</v>
      </c>
      <c r="N373" t="s">
        <v>443</v>
      </c>
      <c r="O373">
        <v>2.0299999999999998</v>
      </c>
      <c r="P373">
        <v>1.8187347931873479</v>
      </c>
      <c r="W373" s="39">
        <f t="shared" si="17"/>
        <v>0</v>
      </c>
    </row>
    <row r="374" spans="1:23">
      <c r="A374" s="151">
        <v>17515398645</v>
      </c>
      <c r="B374" s="34">
        <v>1990</v>
      </c>
      <c r="E374" s="151">
        <v>17515398645</v>
      </c>
      <c r="F374" s="34">
        <v>1990</v>
      </c>
      <c r="H374" t="b">
        <f t="shared" si="15"/>
        <v>1</v>
      </c>
      <c r="I374" t="b">
        <f t="shared" si="16"/>
        <v>1</v>
      </c>
      <c r="M374">
        <v>18010395478</v>
      </c>
      <c r="N374" t="s">
        <v>443</v>
      </c>
      <c r="O374">
        <v>2.0299999999999998</v>
      </c>
      <c r="P374">
        <v>1.8180112570356473</v>
      </c>
      <c r="W374" s="39">
        <f t="shared" si="17"/>
        <v>0</v>
      </c>
    </row>
    <row r="375" spans="1:23">
      <c r="A375" s="151">
        <v>17516399081</v>
      </c>
      <c r="B375" s="34">
        <v>8700</v>
      </c>
      <c r="E375" s="151">
        <v>17516399081</v>
      </c>
      <c r="F375" s="34">
        <v>8700</v>
      </c>
      <c r="H375" t="b">
        <f t="shared" si="15"/>
        <v>1</v>
      </c>
      <c r="I375" t="b">
        <f t="shared" si="16"/>
        <v>1</v>
      </c>
      <c r="M375">
        <v>10232396408</v>
      </c>
      <c r="N375" t="s">
        <v>443</v>
      </c>
      <c r="O375">
        <v>2.0299999999999998</v>
      </c>
      <c r="P375">
        <v>1.8168168168168168</v>
      </c>
      <c r="W375" s="39">
        <f t="shared" si="17"/>
        <v>0</v>
      </c>
    </row>
    <row r="376" spans="1:23">
      <c r="A376" s="151">
        <v>17519392183</v>
      </c>
      <c r="B376" s="34">
        <v>7860</v>
      </c>
      <c r="E376" s="151">
        <v>17519392183</v>
      </c>
      <c r="F376" s="34">
        <v>7860</v>
      </c>
      <c r="H376" t="b">
        <f t="shared" si="15"/>
        <v>1</v>
      </c>
      <c r="I376" t="b">
        <f t="shared" si="16"/>
        <v>1</v>
      </c>
      <c r="M376">
        <v>10117396146</v>
      </c>
      <c r="N376" t="s">
        <v>443</v>
      </c>
      <c r="O376">
        <v>2.0299999999999998</v>
      </c>
      <c r="P376">
        <v>2.2226640159045727</v>
      </c>
      <c r="W376" s="39">
        <f t="shared" si="17"/>
        <v>0</v>
      </c>
    </row>
    <row r="377" spans="1:23">
      <c r="A377" s="151">
        <v>17522395074</v>
      </c>
      <c r="B377" s="34">
        <v>1802</v>
      </c>
      <c r="E377" s="151">
        <v>17522395074</v>
      </c>
      <c r="F377" s="34">
        <v>1802</v>
      </c>
      <c r="H377" t="b">
        <f t="shared" si="15"/>
        <v>1</v>
      </c>
      <c r="I377" t="b">
        <f t="shared" si="16"/>
        <v>1</v>
      </c>
      <c r="M377">
        <v>10169396146</v>
      </c>
      <c r="N377" t="s">
        <v>443</v>
      </c>
      <c r="O377">
        <v>2.0299999999999998</v>
      </c>
      <c r="P377">
        <v>1.8178851174934725</v>
      </c>
      <c r="W377" s="39">
        <f t="shared" si="17"/>
        <v>0</v>
      </c>
    </row>
    <row r="378" spans="1:23">
      <c r="A378" s="151">
        <v>17531400603</v>
      </c>
      <c r="B378" s="34">
        <v>120</v>
      </c>
      <c r="E378" s="151">
        <v>17531400603</v>
      </c>
      <c r="F378" s="34">
        <v>120</v>
      </c>
      <c r="H378" t="b">
        <f t="shared" si="15"/>
        <v>1</v>
      </c>
      <c r="I378" t="b">
        <f t="shared" si="16"/>
        <v>1</v>
      </c>
      <c r="M378">
        <v>2007396121</v>
      </c>
      <c r="N378" t="s">
        <v>443</v>
      </c>
      <c r="O378">
        <v>2.0299999999999998</v>
      </c>
      <c r="P378">
        <v>2.2221044261860587</v>
      </c>
      <c r="W378" s="39">
        <f t="shared" si="17"/>
        <v>0</v>
      </c>
    </row>
    <row r="379" spans="1:23">
      <c r="A379" s="151">
        <v>17531401583</v>
      </c>
      <c r="B379" s="34">
        <v>3236</v>
      </c>
      <c r="E379" s="151">
        <v>17531401583</v>
      </c>
      <c r="F379" s="34">
        <v>3236</v>
      </c>
      <c r="H379" t="b">
        <f t="shared" si="15"/>
        <v>1</v>
      </c>
      <c r="I379" t="b">
        <f t="shared" si="16"/>
        <v>1</v>
      </c>
      <c r="M379">
        <v>10300395520</v>
      </c>
      <c r="N379" t="s">
        <v>443</v>
      </c>
      <c r="O379">
        <v>2.0299999999999998</v>
      </c>
      <c r="P379">
        <v>2.2222222222222223</v>
      </c>
      <c r="W379" s="39">
        <f t="shared" si="17"/>
        <v>0</v>
      </c>
    </row>
    <row r="380" spans="1:23">
      <c r="A380" s="151">
        <v>17549392231</v>
      </c>
      <c r="B380" s="34">
        <v>19920</v>
      </c>
      <c r="E380" s="151">
        <v>17549392231</v>
      </c>
      <c r="F380" s="34">
        <v>19920</v>
      </c>
      <c r="H380" t="b">
        <f t="shared" si="15"/>
        <v>1</v>
      </c>
      <c r="I380" t="b">
        <f t="shared" si="16"/>
        <v>1</v>
      </c>
      <c r="M380">
        <v>10300396637</v>
      </c>
      <c r="N380" t="s">
        <v>443</v>
      </c>
      <c r="O380">
        <v>2.0299999999999998</v>
      </c>
      <c r="P380">
        <v>2.2223938223938222</v>
      </c>
      <c r="W380" s="39">
        <f t="shared" si="17"/>
        <v>0</v>
      </c>
    </row>
    <row r="381" spans="1:23">
      <c r="A381" s="151">
        <v>17553388552</v>
      </c>
      <c r="B381" s="34">
        <v>4249</v>
      </c>
      <c r="E381" s="151">
        <v>17553388552</v>
      </c>
      <c r="F381" s="34">
        <v>4249</v>
      </c>
      <c r="H381" t="b">
        <f t="shared" si="15"/>
        <v>1</v>
      </c>
      <c r="I381" t="b">
        <f t="shared" si="16"/>
        <v>1</v>
      </c>
      <c r="M381">
        <v>17919395890</v>
      </c>
      <c r="N381" t="s">
        <v>443</v>
      </c>
      <c r="O381">
        <v>2.0299999999999998</v>
      </c>
      <c r="P381">
        <v>1.818039950062422</v>
      </c>
      <c r="W381" s="39">
        <f t="shared" si="17"/>
        <v>0</v>
      </c>
    </row>
    <row r="382" spans="1:23">
      <c r="A382" s="151">
        <v>17557393973</v>
      </c>
      <c r="B382" s="34">
        <v>10980</v>
      </c>
      <c r="E382" s="151">
        <v>17557393973</v>
      </c>
      <c r="F382" s="34">
        <v>10980</v>
      </c>
      <c r="H382" t="b">
        <f t="shared" si="15"/>
        <v>1</v>
      </c>
      <c r="I382" t="b">
        <f t="shared" si="16"/>
        <v>1</v>
      </c>
      <c r="M382">
        <v>17944395890</v>
      </c>
      <c r="N382" t="s">
        <v>443</v>
      </c>
      <c r="O382">
        <v>2.0299999999999998</v>
      </c>
      <c r="P382">
        <v>1.8180661577608141</v>
      </c>
      <c r="W382" s="39">
        <f t="shared" si="17"/>
        <v>0</v>
      </c>
    </row>
    <row r="383" spans="1:23">
      <c r="A383" s="151">
        <v>17558401583</v>
      </c>
      <c r="B383" s="34">
        <v>15560</v>
      </c>
      <c r="E383" s="151">
        <v>17558401583</v>
      </c>
      <c r="F383" s="34">
        <v>15560</v>
      </c>
      <c r="H383" t="b">
        <f t="shared" si="15"/>
        <v>1</v>
      </c>
      <c r="I383" t="b">
        <f t="shared" si="16"/>
        <v>1</v>
      </c>
      <c r="M383">
        <v>10162395798</v>
      </c>
      <c r="N383" t="s">
        <v>443</v>
      </c>
      <c r="O383">
        <v>2.0299999999999998</v>
      </c>
      <c r="P383">
        <v>2.2222921914357681</v>
      </c>
      <c r="W383" s="39">
        <f t="shared" si="17"/>
        <v>0</v>
      </c>
    </row>
    <row r="384" spans="1:23">
      <c r="A384" s="151">
        <v>17559392080</v>
      </c>
      <c r="B384" s="34">
        <v>5986</v>
      </c>
      <c r="E384" s="151">
        <v>17559392080</v>
      </c>
      <c r="F384" s="34">
        <v>5986</v>
      </c>
      <c r="H384" t="b">
        <f t="shared" si="15"/>
        <v>1</v>
      </c>
      <c r="I384" t="b">
        <f t="shared" si="16"/>
        <v>1</v>
      </c>
      <c r="M384">
        <v>18072396193</v>
      </c>
      <c r="N384" t="s">
        <v>443</v>
      </c>
      <c r="O384">
        <v>2.0299999999999998</v>
      </c>
      <c r="P384">
        <v>1.8183538315988648</v>
      </c>
      <c r="W384" s="39">
        <f t="shared" si="17"/>
        <v>0</v>
      </c>
    </row>
    <row r="385" spans="1:23">
      <c r="A385" s="151">
        <v>17566393218</v>
      </c>
      <c r="B385" s="34">
        <v>898</v>
      </c>
      <c r="E385" s="151">
        <v>17566393218</v>
      </c>
      <c r="F385" s="34">
        <v>898</v>
      </c>
      <c r="H385" t="b">
        <f t="shared" si="15"/>
        <v>1</v>
      </c>
      <c r="I385" t="b">
        <f t="shared" si="16"/>
        <v>1</v>
      </c>
      <c r="M385">
        <v>18072396220</v>
      </c>
      <c r="N385" t="s">
        <v>443</v>
      </c>
      <c r="O385">
        <v>2.0299999999999998</v>
      </c>
      <c r="P385">
        <v>1.8168789808917198</v>
      </c>
      <c r="W385" s="39">
        <f t="shared" si="17"/>
        <v>0</v>
      </c>
    </row>
    <row r="386" spans="1:23">
      <c r="A386" s="151">
        <v>17566397134</v>
      </c>
      <c r="B386" s="34">
        <v>1198</v>
      </c>
      <c r="E386" s="151">
        <v>17566397134</v>
      </c>
      <c r="F386" s="34">
        <v>1198</v>
      </c>
      <c r="H386" t="b">
        <f t="shared" si="15"/>
        <v>1</v>
      </c>
      <c r="I386" t="b">
        <f t="shared" si="16"/>
        <v>1</v>
      </c>
      <c r="M386">
        <v>316396078</v>
      </c>
      <c r="N386" t="s">
        <v>443</v>
      </c>
      <c r="O386">
        <v>2.0299999999999998</v>
      </c>
      <c r="P386">
        <v>1.8181818181818181</v>
      </c>
      <c r="W386" s="39">
        <f t="shared" si="17"/>
        <v>0</v>
      </c>
    </row>
    <row r="387" spans="1:23">
      <c r="A387" s="151">
        <v>17566401434</v>
      </c>
      <c r="B387" s="34">
        <v>8324</v>
      </c>
      <c r="E387" s="151">
        <v>17566401434</v>
      </c>
      <c r="F387" s="34">
        <v>8324</v>
      </c>
      <c r="H387" t="b">
        <f t="shared" si="15"/>
        <v>1</v>
      </c>
      <c r="I387" t="b">
        <f t="shared" si="16"/>
        <v>1</v>
      </c>
      <c r="M387">
        <v>10300397059</v>
      </c>
      <c r="N387" t="s">
        <v>443</v>
      </c>
      <c r="O387">
        <v>2.0299999999999998</v>
      </c>
      <c r="P387">
        <v>2.2223869532987397</v>
      </c>
      <c r="W387" s="39">
        <f t="shared" si="17"/>
        <v>0</v>
      </c>
    </row>
    <row r="388" spans="1:23">
      <c r="A388" s="151">
        <v>17575399650</v>
      </c>
      <c r="B388" s="34">
        <v>7330</v>
      </c>
      <c r="E388" s="151">
        <v>17575399650</v>
      </c>
      <c r="F388" s="34">
        <v>7330</v>
      </c>
      <c r="H388" t="b">
        <f t="shared" si="15"/>
        <v>1</v>
      </c>
      <c r="I388" t="b">
        <f t="shared" si="16"/>
        <v>1</v>
      </c>
      <c r="M388">
        <v>17864396243</v>
      </c>
      <c r="N388" t="s">
        <v>443</v>
      </c>
      <c r="O388">
        <v>2.0299999999999998</v>
      </c>
      <c r="P388">
        <v>1.8181818181818181</v>
      </c>
      <c r="W388" s="39">
        <f t="shared" si="17"/>
        <v>0</v>
      </c>
    </row>
    <row r="389" spans="1:23">
      <c r="A389" s="151">
        <v>17581392764</v>
      </c>
      <c r="B389" s="34">
        <v>32800</v>
      </c>
      <c r="E389" s="151">
        <v>17581392764</v>
      </c>
      <c r="F389" s="34">
        <v>32800</v>
      </c>
      <c r="H389" t="b">
        <f t="shared" si="15"/>
        <v>1</v>
      </c>
      <c r="I389" t="b">
        <f t="shared" si="16"/>
        <v>1</v>
      </c>
      <c r="M389">
        <v>3450396631</v>
      </c>
      <c r="N389" t="s">
        <v>443</v>
      </c>
      <c r="O389">
        <v>2.0299999999999998</v>
      </c>
      <c r="P389">
        <v>1.8181818181818181</v>
      </c>
      <c r="W389" s="39">
        <f t="shared" si="17"/>
        <v>0</v>
      </c>
    </row>
    <row r="390" spans="1:23">
      <c r="A390" s="151">
        <v>17584401604</v>
      </c>
      <c r="B390" s="34">
        <v>3900</v>
      </c>
      <c r="E390" s="151">
        <v>17584401604</v>
      </c>
      <c r="F390" s="34">
        <v>3900</v>
      </c>
      <c r="H390" t="b">
        <f t="shared" si="15"/>
        <v>1</v>
      </c>
      <c r="I390" t="b">
        <f t="shared" si="16"/>
        <v>1</v>
      </c>
      <c r="M390">
        <v>18107396434</v>
      </c>
      <c r="N390" t="s">
        <v>443</v>
      </c>
      <c r="O390">
        <v>2.0299999999999998</v>
      </c>
      <c r="P390">
        <v>2.2219329645297754</v>
      </c>
      <c r="W390" s="39">
        <f t="shared" si="17"/>
        <v>0</v>
      </c>
    </row>
    <row r="391" spans="1:23">
      <c r="A391" s="151">
        <v>17586400553</v>
      </c>
      <c r="B391" s="34">
        <v>17150</v>
      </c>
      <c r="E391" s="151">
        <v>17586400553</v>
      </c>
      <c r="F391" s="34">
        <v>17150</v>
      </c>
      <c r="H391" t="b">
        <f t="shared" si="15"/>
        <v>1</v>
      </c>
      <c r="I391" t="b">
        <f t="shared" si="16"/>
        <v>1</v>
      </c>
      <c r="M391">
        <v>17133396245</v>
      </c>
      <c r="N391" t="s">
        <v>443</v>
      </c>
      <c r="O391">
        <v>2.0299999999999998</v>
      </c>
      <c r="P391">
        <v>1.8180661577608141</v>
      </c>
      <c r="W391" s="39">
        <f t="shared" si="17"/>
        <v>0</v>
      </c>
    </row>
    <row r="392" spans="1:23">
      <c r="A392" s="151">
        <v>17588393090</v>
      </c>
      <c r="B392" s="34">
        <v>860</v>
      </c>
      <c r="E392" s="151">
        <v>17588393090</v>
      </c>
      <c r="F392" s="34">
        <v>860</v>
      </c>
      <c r="H392" t="b">
        <f t="shared" si="15"/>
        <v>1</v>
      </c>
      <c r="I392" t="b">
        <f t="shared" si="16"/>
        <v>1</v>
      </c>
      <c r="M392">
        <v>1966396497</v>
      </c>
      <c r="N392" t="s">
        <v>443</v>
      </c>
      <c r="O392">
        <v>2.0299999999999998</v>
      </c>
      <c r="P392">
        <v>2.222195299248849</v>
      </c>
      <c r="W392" s="39">
        <f t="shared" si="17"/>
        <v>0</v>
      </c>
    </row>
    <row r="393" spans="1:23">
      <c r="A393" s="151">
        <v>17588397005</v>
      </c>
      <c r="B393" s="34">
        <v>1199</v>
      </c>
      <c r="E393" s="151">
        <v>17588397005</v>
      </c>
      <c r="F393" s="34">
        <v>1199</v>
      </c>
      <c r="H393" t="b">
        <f t="shared" si="15"/>
        <v>1</v>
      </c>
      <c r="I393" t="b">
        <f t="shared" si="16"/>
        <v>1</v>
      </c>
      <c r="M393">
        <v>3446397767</v>
      </c>
      <c r="N393" t="s">
        <v>443</v>
      </c>
      <c r="O393">
        <v>2.0299999999999998</v>
      </c>
      <c r="P393">
        <v>1.8186244674376142</v>
      </c>
      <c r="W393" s="39">
        <f t="shared" si="17"/>
        <v>0</v>
      </c>
    </row>
    <row r="394" spans="1:23">
      <c r="A394" s="151">
        <v>17590392231</v>
      </c>
      <c r="B394" s="34">
        <v>7568</v>
      </c>
      <c r="E394" s="151">
        <v>17590392231</v>
      </c>
      <c r="F394" s="34">
        <v>7568</v>
      </c>
      <c r="H394" t="b">
        <f t="shared" si="15"/>
        <v>1</v>
      </c>
      <c r="I394" t="b">
        <f t="shared" si="16"/>
        <v>1</v>
      </c>
      <c r="M394">
        <v>18053397811</v>
      </c>
      <c r="N394" t="s">
        <v>443</v>
      </c>
      <c r="O394">
        <v>2.0299999999999998</v>
      </c>
      <c r="P394">
        <v>1.8181818181818181</v>
      </c>
      <c r="W394" s="39">
        <f t="shared" si="17"/>
        <v>0</v>
      </c>
    </row>
    <row r="395" spans="1:23">
      <c r="A395" s="151">
        <v>17590393089</v>
      </c>
      <c r="B395" s="34">
        <v>9010</v>
      </c>
      <c r="E395" s="151">
        <v>17590393089</v>
      </c>
      <c r="F395" s="34">
        <v>9010</v>
      </c>
      <c r="H395" t="b">
        <f t="shared" si="15"/>
        <v>1</v>
      </c>
      <c r="I395" t="b">
        <f t="shared" si="16"/>
        <v>1</v>
      </c>
      <c r="M395">
        <v>10009397812</v>
      </c>
      <c r="N395" t="s">
        <v>443</v>
      </c>
      <c r="O395">
        <v>2.0299999999999998</v>
      </c>
      <c r="P395">
        <v>2.2222222222222223</v>
      </c>
      <c r="W395" s="39">
        <f t="shared" si="17"/>
        <v>0</v>
      </c>
    </row>
    <row r="396" spans="1:23">
      <c r="A396" s="151">
        <v>17591396453</v>
      </c>
      <c r="B396" s="34">
        <v>14000</v>
      </c>
      <c r="E396" s="151">
        <v>17591396453</v>
      </c>
      <c r="F396" s="34">
        <v>14000</v>
      </c>
      <c r="H396" t="b">
        <f t="shared" si="15"/>
        <v>1</v>
      </c>
      <c r="I396" t="b">
        <f t="shared" si="16"/>
        <v>1</v>
      </c>
      <c r="M396">
        <v>10368397662</v>
      </c>
      <c r="N396" t="s">
        <v>443</v>
      </c>
      <c r="O396">
        <v>2.0299999999999998</v>
      </c>
      <c r="P396">
        <v>2.2218104817363686</v>
      </c>
      <c r="W396" s="39">
        <f t="shared" si="17"/>
        <v>0</v>
      </c>
    </row>
    <row r="397" spans="1:23">
      <c r="A397" s="151">
        <v>17596392035</v>
      </c>
      <c r="B397" s="34">
        <v>7446</v>
      </c>
      <c r="E397" s="151">
        <v>17596392035</v>
      </c>
      <c r="F397" s="34">
        <v>7446</v>
      </c>
      <c r="H397" t="b">
        <f t="shared" si="15"/>
        <v>1</v>
      </c>
      <c r="I397" t="b">
        <f t="shared" si="16"/>
        <v>1</v>
      </c>
      <c r="M397">
        <v>17297397558</v>
      </c>
      <c r="N397" t="s">
        <v>443</v>
      </c>
      <c r="O397">
        <v>2.0299999999999998</v>
      </c>
      <c r="P397">
        <v>2.2231812577065351</v>
      </c>
      <c r="W397" s="39">
        <f t="shared" si="17"/>
        <v>0</v>
      </c>
    </row>
    <row r="398" spans="1:23">
      <c r="A398" s="151">
        <v>17597399818</v>
      </c>
      <c r="B398" s="34">
        <v>4200</v>
      </c>
      <c r="E398" s="151">
        <v>17597399818</v>
      </c>
      <c r="F398" s="34">
        <v>4200</v>
      </c>
      <c r="H398" t="b">
        <f t="shared" si="15"/>
        <v>1</v>
      </c>
      <c r="I398" t="b">
        <f t="shared" si="16"/>
        <v>1</v>
      </c>
      <c r="M398">
        <v>9870397328</v>
      </c>
      <c r="N398" t="s">
        <v>443</v>
      </c>
      <c r="O398">
        <v>2.0299999999999998</v>
      </c>
      <c r="P398">
        <v>2.2226804123711341</v>
      </c>
      <c r="W398" s="39">
        <f t="shared" si="17"/>
        <v>0</v>
      </c>
    </row>
    <row r="399" spans="1:23">
      <c r="A399" s="151">
        <v>17597400603</v>
      </c>
      <c r="B399" s="34">
        <v>9480</v>
      </c>
      <c r="E399" s="151">
        <v>17597400603</v>
      </c>
      <c r="F399" s="34">
        <v>9480</v>
      </c>
      <c r="H399" t="b">
        <f t="shared" si="15"/>
        <v>1</v>
      </c>
      <c r="I399" t="b">
        <f t="shared" si="16"/>
        <v>1</v>
      </c>
      <c r="M399">
        <v>10262397328</v>
      </c>
      <c r="N399" t="s">
        <v>443</v>
      </c>
      <c r="O399">
        <v>2.0299999999999998</v>
      </c>
      <c r="P399">
        <v>2.2222222222222223</v>
      </c>
      <c r="W399" s="39">
        <f t="shared" si="17"/>
        <v>0</v>
      </c>
    </row>
    <row r="400" spans="1:23">
      <c r="A400" s="151">
        <v>17600392764</v>
      </c>
      <c r="B400" s="34">
        <v>16380</v>
      </c>
      <c r="E400" s="151">
        <v>17600392764</v>
      </c>
      <c r="F400" s="34">
        <v>16380</v>
      </c>
      <c r="H400" t="b">
        <f t="shared" si="15"/>
        <v>1</v>
      </c>
      <c r="I400" t="b">
        <f t="shared" si="16"/>
        <v>1</v>
      </c>
      <c r="M400">
        <v>10309397328</v>
      </c>
      <c r="N400" t="s">
        <v>443</v>
      </c>
      <c r="O400">
        <v>2.0299999999999998</v>
      </c>
      <c r="P400">
        <v>1.8181818181818181</v>
      </c>
      <c r="W400" s="39">
        <f t="shared" si="17"/>
        <v>0</v>
      </c>
    </row>
    <row r="401" spans="1:23">
      <c r="A401" s="151">
        <v>17604398489</v>
      </c>
      <c r="B401" s="34">
        <v>15330</v>
      </c>
      <c r="E401" s="151">
        <v>17604398489</v>
      </c>
      <c r="F401" s="34">
        <v>15330</v>
      </c>
      <c r="H401" t="b">
        <f t="shared" si="15"/>
        <v>1</v>
      </c>
      <c r="I401" t="b">
        <f t="shared" si="16"/>
        <v>1</v>
      </c>
      <c r="M401">
        <v>10334397328</v>
      </c>
      <c r="N401" t="s">
        <v>443</v>
      </c>
      <c r="O401">
        <v>2.0299999999999998</v>
      </c>
      <c r="P401">
        <v>1.8182194616977225</v>
      </c>
      <c r="W401" s="39">
        <f t="shared" si="17"/>
        <v>0</v>
      </c>
    </row>
    <row r="402" spans="1:23">
      <c r="A402" s="151">
        <v>17607392764</v>
      </c>
      <c r="B402" s="34">
        <v>16790</v>
      </c>
      <c r="E402" s="151">
        <v>17607392764</v>
      </c>
      <c r="F402" s="34">
        <v>16790</v>
      </c>
      <c r="H402" t="b">
        <f t="shared" si="15"/>
        <v>1</v>
      </c>
      <c r="I402" t="b">
        <f t="shared" si="16"/>
        <v>1</v>
      </c>
      <c r="M402">
        <v>10334397328</v>
      </c>
      <c r="N402" t="s">
        <v>443</v>
      </c>
      <c r="O402">
        <v>2.0299999999999998</v>
      </c>
      <c r="P402">
        <v>1.8183512841756422</v>
      </c>
      <c r="W402" s="39">
        <f t="shared" si="17"/>
        <v>0</v>
      </c>
    </row>
    <row r="403" spans="1:23">
      <c r="A403" s="151">
        <v>17610399489</v>
      </c>
      <c r="B403" s="34">
        <v>12460</v>
      </c>
      <c r="E403" s="151">
        <v>17610399489</v>
      </c>
      <c r="F403" s="34">
        <v>12460</v>
      </c>
      <c r="H403" t="b">
        <f t="shared" si="15"/>
        <v>1</v>
      </c>
      <c r="I403" t="b">
        <f t="shared" si="16"/>
        <v>1</v>
      </c>
      <c r="M403">
        <v>17090397299</v>
      </c>
      <c r="N403" t="s">
        <v>443</v>
      </c>
      <c r="O403">
        <v>2.0299999999999998</v>
      </c>
      <c r="P403">
        <v>2.2240663900414939</v>
      </c>
      <c r="W403" s="39">
        <f t="shared" si="17"/>
        <v>0</v>
      </c>
    </row>
    <row r="404" spans="1:23">
      <c r="A404" s="151">
        <v>17616400553</v>
      </c>
      <c r="B404" s="34">
        <v>4371</v>
      </c>
      <c r="E404" s="151">
        <v>17616400553</v>
      </c>
      <c r="F404" s="34">
        <v>4371</v>
      </c>
      <c r="H404" t="b">
        <f t="shared" si="15"/>
        <v>1</v>
      </c>
      <c r="I404" t="b">
        <f t="shared" si="16"/>
        <v>1</v>
      </c>
      <c r="M404">
        <v>17447397377</v>
      </c>
      <c r="N404" t="s">
        <v>443</v>
      </c>
      <c r="O404">
        <v>2.0299999999999998</v>
      </c>
      <c r="P404">
        <v>1.8179059180576631</v>
      </c>
      <c r="W404" s="39">
        <f t="shared" si="17"/>
        <v>0</v>
      </c>
    </row>
    <row r="405" spans="1:23">
      <c r="A405" s="151">
        <v>17617393738</v>
      </c>
      <c r="B405" s="34">
        <v>3011</v>
      </c>
      <c r="E405" s="151">
        <v>17617393738</v>
      </c>
      <c r="F405" s="34">
        <v>3011</v>
      </c>
      <c r="H405" t="b">
        <f t="shared" si="15"/>
        <v>1</v>
      </c>
      <c r="I405" t="b">
        <f t="shared" si="16"/>
        <v>1</v>
      </c>
      <c r="M405">
        <v>17488397703</v>
      </c>
      <c r="N405" t="s">
        <v>443</v>
      </c>
      <c r="O405">
        <v>2.0299999999999998</v>
      </c>
      <c r="P405">
        <v>1.8179538615847544</v>
      </c>
      <c r="W405" s="39">
        <f t="shared" si="17"/>
        <v>0</v>
      </c>
    </row>
    <row r="406" spans="1:23">
      <c r="A406" s="151">
        <v>17617399489</v>
      </c>
      <c r="B406" s="34">
        <v>2529</v>
      </c>
      <c r="E406" s="151">
        <v>17617399489</v>
      </c>
      <c r="F406" s="34">
        <v>2529</v>
      </c>
      <c r="H406" t="b">
        <f t="shared" si="15"/>
        <v>1</v>
      </c>
      <c r="I406" t="b">
        <f t="shared" si="16"/>
        <v>1</v>
      </c>
      <c r="M406">
        <v>3501397486</v>
      </c>
      <c r="N406" t="s">
        <v>443</v>
      </c>
      <c r="O406">
        <v>2.0299999999999998</v>
      </c>
      <c r="P406">
        <v>2.2222222222222223</v>
      </c>
      <c r="W406" s="39">
        <f t="shared" si="17"/>
        <v>0</v>
      </c>
    </row>
    <row r="407" spans="1:23">
      <c r="A407" s="151">
        <v>17618392193</v>
      </c>
      <c r="B407" s="34">
        <v>3760</v>
      </c>
      <c r="E407" s="151">
        <v>17618392193</v>
      </c>
      <c r="F407" s="34">
        <v>3760</v>
      </c>
      <c r="H407" t="b">
        <f t="shared" ref="H407:H470" si="18">A407=E407</f>
        <v>1</v>
      </c>
      <c r="I407" t="b">
        <f t="shared" ref="I407:I470" si="19">B407=F407</f>
        <v>1</v>
      </c>
      <c r="M407">
        <v>3501397502</v>
      </c>
      <c r="N407" t="s">
        <v>443</v>
      </c>
      <c r="O407">
        <v>2.0299999999999998</v>
      </c>
      <c r="P407">
        <v>2.2222222222222223</v>
      </c>
      <c r="W407" s="39">
        <f t="shared" ref="W407:W470" si="20">U407-V407</f>
        <v>0</v>
      </c>
    </row>
    <row r="408" spans="1:23">
      <c r="A408" s="151">
        <v>17621401271</v>
      </c>
      <c r="B408" s="34">
        <v>14950</v>
      </c>
      <c r="E408" s="151">
        <v>17621401271</v>
      </c>
      <c r="F408" s="34">
        <v>14950</v>
      </c>
      <c r="H408" t="b">
        <f t="shared" si="18"/>
        <v>1</v>
      </c>
      <c r="I408" t="b">
        <f t="shared" si="19"/>
        <v>1</v>
      </c>
      <c r="M408">
        <v>10204397245</v>
      </c>
      <c r="N408" t="s">
        <v>443</v>
      </c>
      <c r="O408">
        <v>2.0299999999999998</v>
      </c>
      <c r="P408">
        <v>1.8189944134078213</v>
      </c>
      <c r="W408" s="39">
        <f t="shared" si="20"/>
        <v>0</v>
      </c>
    </row>
    <row r="409" spans="1:23">
      <c r="A409" s="151">
        <v>17628392354</v>
      </c>
      <c r="B409" s="34">
        <v>602</v>
      </c>
      <c r="E409" s="151">
        <v>17628392354</v>
      </c>
      <c r="F409" s="34">
        <v>602</v>
      </c>
      <c r="H409" t="b">
        <f t="shared" si="18"/>
        <v>1</v>
      </c>
      <c r="I409" t="b">
        <f t="shared" si="19"/>
        <v>1</v>
      </c>
      <c r="M409">
        <v>10362397245</v>
      </c>
      <c r="N409" t="s">
        <v>443</v>
      </c>
      <c r="O409">
        <v>2.0299999999999998</v>
      </c>
      <c r="P409">
        <v>1.8181601525262154</v>
      </c>
      <c r="W409" s="39">
        <f t="shared" si="20"/>
        <v>0</v>
      </c>
    </row>
    <row r="410" spans="1:23">
      <c r="A410" s="151">
        <v>17632394020</v>
      </c>
      <c r="B410" s="34">
        <v>12005</v>
      </c>
      <c r="E410" s="151">
        <v>17632394020</v>
      </c>
      <c r="F410" s="34">
        <v>12005</v>
      </c>
      <c r="H410" t="b">
        <f t="shared" si="18"/>
        <v>1</v>
      </c>
      <c r="I410" t="b">
        <f t="shared" si="19"/>
        <v>1</v>
      </c>
      <c r="M410">
        <v>10396397245</v>
      </c>
      <c r="N410" t="s">
        <v>443</v>
      </c>
      <c r="O410">
        <v>2.0299999999999998</v>
      </c>
      <c r="P410">
        <v>1.8181818181818181</v>
      </c>
      <c r="W410" s="39">
        <f t="shared" si="20"/>
        <v>0</v>
      </c>
    </row>
    <row r="411" spans="1:23">
      <c r="A411" s="151">
        <v>17633396388</v>
      </c>
      <c r="B411" s="34">
        <v>18350</v>
      </c>
      <c r="E411" s="151">
        <v>17633396388</v>
      </c>
      <c r="F411" s="34">
        <v>18350</v>
      </c>
      <c r="H411" t="b">
        <f t="shared" si="18"/>
        <v>1</v>
      </c>
      <c r="I411" t="b">
        <f t="shared" si="19"/>
        <v>1</v>
      </c>
      <c r="M411">
        <v>10396397245</v>
      </c>
      <c r="N411" t="s">
        <v>444</v>
      </c>
      <c r="O411">
        <v>2.0099999999999998</v>
      </c>
      <c r="P411">
        <v>1.8181818181818181</v>
      </c>
      <c r="W411" s="39">
        <f t="shared" si="20"/>
        <v>0</v>
      </c>
    </row>
    <row r="412" spans="1:23">
      <c r="A412" s="151">
        <v>17634396388</v>
      </c>
      <c r="B412" s="34">
        <v>15820</v>
      </c>
      <c r="E412" s="151">
        <v>17634396388</v>
      </c>
      <c r="F412" s="34">
        <v>15820</v>
      </c>
      <c r="H412" t="b">
        <f t="shared" si="18"/>
        <v>1</v>
      </c>
      <c r="I412" t="b">
        <f t="shared" si="19"/>
        <v>1</v>
      </c>
      <c r="M412">
        <v>10396397245</v>
      </c>
      <c r="N412" t="s">
        <v>444</v>
      </c>
      <c r="O412">
        <v>2.0099999999999998</v>
      </c>
      <c r="P412">
        <v>1.8169257340241796</v>
      </c>
      <c r="W412" s="39">
        <f t="shared" si="20"/>
        <v>0</v>
      </c>
    </row>
    <row r="413" spans="1:23">
      <c r="A413" s="151">
        <v>17637397685</v>
      </c>
      <c r="B413" s="34">
        <v>9491</v>
      </c>
      <c r="E413" s="151">
        <v>17637397685</v>
      </c>
      <c r="F413" s="34">
        <v>9491</v>
      </c>
      <c r="H413" t="b">
        <f t="shared" si="18"/>
        <v>1</v>
      </c>
      <c r="I413" t="b">
        <f t="shared" si="19"/>
        <v>1</v>
      </c>
      <c r="M413">
        <v>9852398722</v>
      </c>
      <c r="N413">
        <v>799</v>
      </c>
      <c r="O413">
        <v>1.82</v>
      </c>
      <c r="P413">
        <v>2.222865412445731</v>
      </c>
      <c r="W413" s="39">
        <f t="shared" si="20"/>
        <v>0</v>
      </c>
    </row>
    <row r="414" spans="1:23">
      <c r="A414" s="151">
        <v>17637401570</v>
      </c>
      <c r="B414" s="34">
        <v>6487</v>
      </c>
      <c r="E414" s="151">
        <v>17637401570</v>
      </c>
      <c r="F414" s="34">
        <v>6487</v>
      </c>
      <c r="H414" t="b">
        <f t="shared" si="18"/>
        <v>1</v>
      </c>
      <c r="I414" t="b">
        <f t="shared" si="19"/>
        <v>1</v>
      </c>
      <c r="M414">
        <v>9852398722</v>
      </c>
      <c r="N414">
        <v>799</v>
      </c>
      <c r="O414">
        <v>1.82</v>
      </c>
      <c r="P414">
        <v>2.2224448897795592</v>
      </c>
      <c r="W414" s="39">
        <f t="shared" si="20"/>
        <v>0</v>
      </c>
    </row>
    <row r="415" spans="1:23">
      <c r="A415" s="151">
        <v>17642393520</v>
      </c>
      <c r="B415" s="34">
        <v>20330</v>
      </c>
      <c r="E415" s="151">
        <v>17642393520</v>
      </c>
      <c r="F415" s="34">
        <v>20330</v>
      </c>
      <c r="H415" t="b">
        <f t="shared" si="18"/>
        <v>1</v>
      </c>
      <c r="I415" t="b">
        <f t="shared" si="19"/>
        <v>1</v>
      </c>
      <c r="M415">
        <v>10004398722</v>
      </c>
      <c r="N415">
        <v>799</v>
      </c>
      <c r="O415">
        <v>1.82</v>
      </c>
      <c r="P415">
        <v>2.2220013253810471</v>
      </c>
      <c r="W415" s="39">
        <f t="shared" si="20"/>
        <v>0</v>
      </c>
    </row>
    <row r="416" spans="1:23">
      <c r="A416" s="151">
        <v>17649391129</v>
      </c>
      <c r="B416" s="34">
        <v>2550</v>
      </c>
      <c r="E416" s="151">
        <v>17649391129</v>
      </c>
      <c r="F416" s="34">
        <v>2550</v>
      </c>
      <c r="H416" t="b">
        <f t="shared" si="18"/>
        <v>1</v>
      </c>
      <c r="I416" t="b">
        <f t="shared" si="19"/>
        <v>1</v>
      </c>
      <c r="M416">
        <v>10051398917</v>
      </c>
      <c r="N416">
        <v>799</v>
      </c>
      <c r="O416">
        <v>1.82</v>
      </c>
      <c r="P416">
        <v>1.8186046511627907</v>
      </c>
      <c r="W416" s="39">
        <f t="shared" si="20"/>
        <v>0</v>
      </c>
    </row>
    <row r="417" spans="1:23">
      <c r="A417" s="151">
        <v>17650392764</v>
      </c>
      <c r="B417" s="34">
        <v>14710</v>
      </c>
      <c r="E417" s="151">
        <v>17650392764</v>
      </c>
      <c r="F417" s="34">
        <v>14710</v>
      </c>
      <c r="H417" t="b">
        <f t="shared" si="18"/>
        <v>1</v>
      </c>
      <c r="I417" t="b">
        <f t="shared" si="19"/>
        <v>1</v>
      </c>
      <c r="M417">
        <v>10204398827</v>
      </c>
      <c r="N417">
        <v>799</v>
      </c>
      <c r="O417">
        <v>1.82</v>
      </c>
      <c r="P417">
        <v>2.2217913920124079</v>
      </c>
      <c r="W417" s="39">
        <f t="shared" si="20"/>
        <v>0</v>
      </c>
    </row>
    <row r="418" spans="1:23">
      <c r="A418" s="151">
        <v>17658396453</v>
      </c>
      <c r="B418" s="34">
        <v>7987</v>
      </c>
      <c r="E418" s="151">
        <v>17658396453</v>
      </c>
      <c r="F418" s="34">
        <v>7987</v>
      </c>
      <c r="H418" t="b">
        <f t="shared" si="18"/>
        <v>1</v>
      </c>
      <c r="I418" t="b">
        <f t="shared" si="19"/>
        <v>1</v>
      </c>
      <c r="M418">
        <v>18072398589</v>
      </c>
      <c r="N418">
        <v>799</v>
      </c>
      <c r="O418">
        <v>1.82</v>
      </c>
      <c r="P418">
        <v>1.8177966101694916</v>
      </c>
      <c r="W418" s="39">
        <f t="shared" si="20"/>
        <v>0</v>
      </c>
    </row>
    <row r="419" spans="1:23">
      <c r="A419" s="151">
        <v>17665393317</v>
      </c>
      <c r="B419" s="34">
        <v>4541</v>
      </c>
      <c r="E419" s="151">
        <v>17665393317</v>
      </c>
      <c r="F419" s="34">
        <v>4541</v>
      </c>
      <c r="H419" t="b">
        <f t="shared" si="18"/>
        <v>1</v>
      </c>
      <c r="I419" t="b">
        <f t="shared" si="19"/>
        <v>1</v>
      </c>
      <c r="M419">
        <v>18195398589</v>
      </c>
      <c r="N419">
        <v>799</v>
      </c>
      <c r="O419">
        <v>1.82</v>
      </c>
      <c r="P419">
        <v>1.8209459459459461</v>
      </c>
      <c r="W419" s="39">
        <f t="shared" si="20"/>
        <v>0</v>
      </c>
    </row>
    <row r="420" spans="1:23">
      <c r="A420" s="151">
        <v>17667393758</v>
      </c>
      <c r="B420" s="34">
        <v>9240</v>
      </c>
      <c r="E420" s="151">
        <v>17667393758</v>
      </c>
      <c r="F420" s="34">
        <v>9240</v>
      </c>
      <c r="H420" t="b">
        <f t="shared" si="18"/>
        <v>1</v>
      </c>
      <c r="I420" t="b">
        <f t="shared" si="19"/>
        <v>1</v>
      </c>
      <c r="M420">
        <v>10389399595</v>
      </c>
      <c r="N420">
        <v>799</v>
      </c>
      <c r="O420">
        <v>1.82</v>
      </c>
      <c r="P420">
        <v>2.2221693625118935</v>
      </c>
      <c r="W420" s="39">
        <f t="shared" si="20"/>
        <v>0</v>
      </c>
    </row>
    <row r="421" spans="1:23">
      <c r="A421" s="151">
        <v>17671392764</v>
      </c>
      <c r="B421" s="34">
        <v>5100</v>
      </c>
      <c r="E421" s="151">
        <v>17671392764</v>
      </c>
      <c r="F421" s="34">
        <v>5100</v>
      </c>
      <c r="H421" t="b">
        <f t="shared" si="18"/>
        <v>1</v>
      </c>
      <c r="I421" t="b">
        <f t="shared" si="19"/>
        <v>1</v>
      </c>
      <c r="M421">
        <v>10442399595</v>
      </c>
      <c r="N421">
        <v>799</v>
      </c>
      <c r="O421">
        <v>1.82</v>
      </c>
      <c r="P421">
        <v>2.221879815100154</v>
      </c>
      <c r="W421" s="39">
        <f t="shared" si="20"/>
        <v>0</v>
      </c>
    </row>
    <row r="422" spans="1:23">
      <c r="A422" s="151">
        <v>17672393898</v>
      </c>
      <c r="B422" s="34">
        <v>1200</v>
      </c>
      <c r="E422" s="151">
        <v>17672393898</v>
      </c>
      <c r="F422" s="34">
        <v>1200</v>
      </c>
      <c r="H422" t="b">
        <f t="shared" si="18"/>
        <v>1</v>
      </c>
      <c r="I422" t="b">
        <f t="shared" si="19"/>
        <v>1</v>
      </c>
      <c r="M422">
        <v>17116399296</v>
      </c>
      <c r="N422">
        <v>799</v>
      </c>
      <c r="O422">
        <v>1.82</v>
      </c>
      <c r="P422">
        <v>1.8176056338028168</v>
      </c>
      <c r="W422" s="39">
        <f t="shared" si="20"/>
        <v>0</v>
      </c>
    </row>
    <row r="423" spans="1:23">
      <c r="A423" s="151">
        <v>17672396193</v>
      </c>
      <c r="B423" s="34">
        <v>4380</v>
      </c>
      <c r="E423" s="151">
        <v>17672396193</v>
      </c>
      <c r="F423" s="34">
        <v>4380</v>
      </c>
      <c r="H423" t="b">
        <f t="shared" si="18"/>
        <v>1</v>
      </c>
      <c r="I423" t="b">
        <f t="shared" si="19"/>
        <v>1</v>
      </c>
      <c r="M423">
        <v>18035399296</v>
      </c>
      <c r="N423">
        <v>799</v>
      </c>
      <c r="O423">
        <v>1.82</v>
      </c>
      <c r="P423">
        <v>1.8181818181818181</v>
      </c>
      <c r="W423" s="39">
        <f t="shared" si="20"/>
        <v>0</v>
      </c>
    </row>
    <row r="424" spans="1:23">
      <c r="A424" s="151">
        <v>17674393232</v>
      </c>
      <c r="B424" s="34">
        <v>14220</v>
      </c>
      <c r="E424" s="151">
        <v>17674393232</v>
      </c>
      <c r="F424" s="34">
        <v>14220</v>
      </c>
      <c r="H424" t="b">
        <f t="shared" si="18"/>
        <v>1</v>
      </c>
      <c r="I424" t="b">
        <f t="shared" si="19"/>
        <v>1</v>
      </c>
      <c r="M424">
        <v>2136399246</v>
      </c>
      <c r="N424">
        <v>799</v>
      </c>
      <c r="O424">
        <v>1.82</v>
      </c>
      <c r="P424">
        <v>1.8177892918825562</v>
      </c>
      <c r="W424" s="39">
        <f t="shared" si="20"/>
        <v>0</v>
      </c>
    </row>
    <row r="425" spans="1:23">
      <c r="A425" s="151">
        <v>17677392819</v>
      </c>
      <c r="B425" s="34">
        <v>30220</v>
      </c>
      <c r="E425" s="151">
        <v>17677392819</v>
      </c>
      <c r="F425" s="34">
        <v>30220</v>
      </c>
      <c r="H425" t="b">
        <f t="shared" si="18"/>
        <v>1</v>
      </c>
      <c r="I425" t="b">
        <f t="shared" si="19"/>
        <v>1</v>
      </c>
      <c r="M425">
        <v>18381399328</v>
      </c>
      <c r="N425">
        <v>799</v>
      </c>
      <c r="O425">
        <v>1.82</v>
      </c>
      <c r="P425">
        <v>1.8179419525065963</v>
      </c>
      <c r="W425" s="39">
        <f t="shared" si="20"/>
        <v>0</v>
      </c>
    </row>
    <row r="426" spans="1:23">
      <c r="A426" s="151">
        <v>17681392635</v>
      </c>
      <c r="B426" s="34">
        <v>15610</v>
      </c>
      <c r="E426" s="151">
        <v>17681392635</v>
      </c>
      <c r="F426" s="34">
        <v>15610</v>
      </c>
      <c r="H426" t="b">
        <f t="shared" si="18"/>
        <v>1</v>
      </c>
      <c r="I426" t="b">
        <f t="shared" si="19"/>
        <v>1</v>
      </c>
      <c r="M426">
        <v>18381399328</v>
      </c>
      <c r="N426">
        <v>799</v>
      </c>
      <c r="O426">
        <v>1.82</v>
      </c>
      <c r="P426">
        <v>1.8181598062953994</v>
      </c>
      <c r="W426" s="39">
        <f t="shared" si="20"/>
        <v>0</v>
      </c>
    </row>
    <row r="427" spans="1:23">
      <c r="A427" s="151">
        <v>17683392819</v>
      </c>
      <c r="B427" s="34">
        <v>13000</v>
      </c>
      <c r="E427" s="151">
        <v>17683392819</v>
      </c>
      <c r="F427" s="34">
        <v>13000</v>
      </c>
      <c r="H427" t="b">
        <f t="shared" si="18"/>
        <v>1</v>
      </c>
      <c r="I427" t="b">
        <f t="shared" si="19"/>
        <v>1</v>
      </c>
      <c r="M427">
        <v>18413399081</v>
      </c>
      <c r="N427">
        <v>799</v>
      </c>
      <c r="O427">
        <v>1.82</v>
      </c>
      <c r="P427">
        <v>1.8182857142857143</v>
      </c>
      <c r="W427" s="39">
        <f t="shared" si="20"/>
        <v>0</v>
      </c>
    </row>
    <row r="428" spans="1:23">
      <c r="A428" s="151">
        <v>17686393232</v>
      </c>
      <c r="B428" s="34">
        <v>3055</v>
      </c>
      <c r="E428" s="151">
        <v>17686393232</v>
      </c>
      <c r="F428" s="34">
        <v>3055</v>
      </c>
      <c r="H428" t="b">
        <f t="shared" si="18"/>
        <v>1</v>
      </c>
      <c r="I428" t="b">
        <f t="shared" si="19"/>
        <v>1</v>
      </c>
      <c r="M428">
        <v>18413399081</v>
      </c>
      <c r="N428" t="s">
        <v>444</v>
      </c>
      <c r="O428">
        <v>2.0099999999999998</v>
      </c>
      <c r="P428">
        <v>1.8181672540852292</v>
      </c>
      <c r="W428" s="39">
        <f t="shared" si="20"/>
        <v>0</v>
      </c>
    </row>
    <row r="429" spans="1:23">
      <c r="A429" s="151">
        <v>17692393520</v>
      </c>
      <c r="B429" s="34">
        <v>12050</v>
      </c>
      <c r="E429" s="151">
        <v>17692393520</v>
      </c>
      <c r="F429" s="34">
        <v>12050</v>
      </c>
      <c r="H429" t="b">
        <f t="shared" si="18"/>
        <v>1</v>
      </c>
      <c r="I429" t="b">
        <f t="shared" si="19"/>
        <v>1</v>
      </c>
      <c r="M429">
        <v>18065399092</v>
      </c>
      <c r="N429">
        <v>799</v>
      </c>
      <c r="O429">
        <v>1.82</v>
      </c>
      <c r="P429">
        <v>1.8181818181818181</v>
      </c>
      <c r="W429" s="39">
        <f t="shared" si="20"/>
        <v>0</v>
      </c>
    </row>
    <row r="430" spans="1:23">
      <c r="A430" s="151">
        <v>17693393520</v>
      </c>
      <c r="B430" s="34">
        <v>6600</v>
      </c>
      <c r="E430" s="151">
        <v>17693393520</v>
      </c>
      <c r="F430" s="34">
        <v>6600</v>
      </c>
      <c r="H430" t="b">
        <f t="shared" si="18"/>
        <v>1</v>
      </c>
      <c r="I430" t="b">
        <f t="shared" si="19"/>
        <v>1</v>
      </c>
      <c r="M430">
        <v>15943721399092</v>
      </c>
      <c r="N430">
        <v>799</v>
      </c>
      <c r="O430">
        <v>1.82</v>
      </c>
      <c r="P430">
        <v>1.8181818181818181</v>
      </c>
      <c r="W430" s="39">
        <f t="shared" si="20"/>
        <v>0</v>
      </c>
    </row>
    <row r="431" spans="1:23">
      <c r="A431" s="151">
        <v>17696393630</v>
      </c>
      <c r="B431" s="34">
        <v>840</v>
      </c>
      <c r="E431" s="151">
        <v>17696393630</v>
      </c>
      <c r="F431" s="34">
        <v>840</v>
      </c>
      <c r="H431" t="b">
        <f t="shared" si="18"/>
        <v>1</v>
      </c>
      <c r="I431" t="b">
        <f t="shared" si="19"/>
        <v>1</v>
      </c>
      <c r="M431">
        <v>18358399015</v>
      </c>
      <c r="N431">
        <v>799</v>
      </c>
      <c r="O431">
        <v>1.82</v>
      </c>
      <c r="P431">
        <v>1.8181818181818181</v>
      </c>
      <c r="W431" s="39">
        <f t="shared" si="20"/>
        <v>0</v>
      </c>
    </row>
    <row r="432" spans="1:23">
      <c r="A432" s="151">
        <v>17698392771</v>
      </c>
      <c r="B432" s="34">
        <v>6230</v>
      </c>
      <c r="E432" s="151">
        <v>17698392771</v>
      </c>
      <c r="F432" s="34">
        <v>6230</v>
      </c>
      <c r="H432" t="b">
        <f t="shared" si="18"/>
        <v>1</v>
      </c>
      <c r="I432" t="b">
        <f t="shared" si="19"/>
        <v>1</v>
      </c>
      <c r="M432">
        <v>9917398974</v>
      </c>
      <c r="N432">
        <v>799</v>
      </c>
      <c r="O432">
        <v>1.82</v>
      </c>
      <c r="P432">
        <v>1.8180347755762232</v>
      </c>
      <c r="W432" s="39">
        <f t="shared" si="20"/>
        <v>0</v>
      </c>
    </row>
    <row r="433" spans="1:23">
      <c r="A433" s="151">
        <v>17701393126</v>
      </c>
      <c r="B433" s="34">
        <v>10870</v>
      </c>
      <c r="E433" s="151">
        <v>17701393126</v>
      </c>
      <c r="F433" s="34">
        <v>10870</v>
      </c>
      <c r="H433" t="b">
        <f t="shared" si="18"/>
        <v>1</v>
      </c>
      <c r="I433" t="b">
        <f t="shared" si="19"/>
        <v>1</v>
      </c>
      <c r="M433">
        <v>18309398428</v>
      </c>
      <c r="N433">
        <v>799</v>
      </c>
      <c r="O433">
        <v>1.82</v>
      </c>
      <c r="P433">
        <v>2.2217391304347824</v>
      </c>
      <c r="W433" s="39">
        <f t="shared" si="20"/>
        <v>0</v>
      </c>
    </row>
    <row r="434" spans="1:23">
      <c r="A434" s="151">
        <v>17707393030</v>
      </c>
      <c r="B434" s="34">
        <v>3595</v>
      </c>
      <c r="E434" s="151">
        <v>17707393030</v>
      </c>
      <c r="F434" s="34">
        <v>3595</v>
      </c>
      <c r="H434" t="b">
        <f t="shared" si="18"/>
        <v>1</v>
      </c>
      <c r="I434" t="b">
        <f t="shared" si="19"/>
        <v>1</v>
      </c>
      <c r="M434">
        <v>18309398519</v>
      </c>
      <c r="N434">
        <v>799</v>
      </c>
      <c r="O434">
        <v>1.82</v>
      </c>
      <c r="P434">
        <v>2.222826086956522</v>
      </c>
      <c r="W434" s="39">
        <f t="shared" si="20"/>
        <v>0</v>
      </c>
    </row>
    <row r="435" spans="1:23">
      <c r="A435" s="151">
        <v>17709397868</v>
      </c>
      <c r="B435" s="34">
        <v>3002</v>
      </c>
      <c r="E435" s="151">
        <v>17709397868</v>
      </c>
      <c r="F435" s="34">
        <v>3002</v>
      </c>
      <c r="H435" t="b">
        <f t="shared" si="18"/>
        <v>1</v>
      </c>
      <c r="I435" t="b">
        <f t="shared" si="19"/>
        <v>1</v>
      </c>
      <c r="M435">
        <v>10465398601</v>
      </c>
      <c r="N435">
        <v>799</v>
      </c>
      <c r="O435">
        <v>1.82</v>
      </c>
      <c r="P435">
        <v>2.2215357458075906</v>
      </c>
      <c r="W435" s="39">
        <f t="shared" si="20"/>
        <v>0</v>
      </c>
    </row>
    <row r="436" spans="1:23">
      <c r="A436" s="151">
        <v>17710393033</v>
      </c>
      <c r="B436" s="34">
        <v>11250</v>
      </c>
      <c r="E436" s="151">
        <v>17710393033</v>
      </c>
      <c r="F436" s="34">
        <v>11250</v>
      </c>
      <c r="H436" t="b">
        <f t="shared" si="18"/>
        <v>1</v>
      </c>
      <c r="I436" t="b">
        <f t="shared" si="19"/>
        <v>1</v>
      </c>
      <c r="M436">
        <v>17226399663</v>
      </c>
      <c r="N436">
        <v>799</v>
      </c>
      <c r="O436">
        <v>1.82</v>
      </c>
      <c r="P436">
        <v>1.8181818181818181</v>
      </c>
      <c r="W436" s="39">
        <f t="shared" si="20"/>
        <v>0</v>
      </c>
    </row>
    <row r="437" spans="1:23">
      <c r="A437" s="151">
        <v>17711392901</v>
      </c>
      <c r="B437" s="34">
        <v>3740</v>
      </c>
      <c r="E437" s="151">
        <v>17711392901</v>
      </c>
      <c r="F437" s="34">
        <v>3740</v>
      </c>
      <c r="H437" t="b">
        <f t="shared" si="18"/>
        <v>1</v>
      </c>
      <c r="I437" t="b">
        <f t="shared" si="19"/>
        <v>1</v>
      </c>
      <c r="M437">
        <v>18278399663</v>
      </c>
      <c r="N437">
        <v>799</v>
      </c>
      <c r="O437">
        <v>1.82</v>
      </c>
      <c r="P437">
        <v>1.8181818181818181</v>
      </c>
      <c r="W437" s="39">
        <f t="shared" si="20"/>
        <v>0</v>
      </c>
    </row>
    <row r="438" spans="1:23">
      <c r="A438" s="151">
        <v>17714393199</v>
      </c>
      <c r="B438" s="34">
        <v>11330</v>
      </c>
      <c r="E438" s="151">
        <v>17714393199</v>
      </c>
      <c r="F438" s="34">
        <v>11330</v>
      </c>
      <c r="H438" t="b">
        <f t="shared" si="18"/>
        <v>1</v>
      </c>
      <c r="I438" t="b">
        <f t="shared" si="19"/>
        <v>1</v>
      </c>
      <c r="M438">
        <v>18414399663</v>
      </c>
      <c r="N438">
        <v>799</v>
      </c>
      <c r="O438">
        <v>1.82</v>
      </c>
      <c r="P438">
        <v>1.8179538615847544</v>
      </c>
      <c r="W438" s="39">
        <f t="shared" si="20"/>
        <v>0</v>
      </c>
    </row>
    <row r="439" spans="1:23">
      <c r="A439" s="151">
        <v>17715397868</v>
      </c>
      <c r="B439" s="34">
        <v>3000</v>
      </c>
      <c r="E439" s="151">
        <v>17715397868</v>
      </c>
      <c r="F439" s="34">
        <v>3000</v>
      </c>
      <c r="H439" t="b">
        <f t="shared" si="18"/>
        <v>1</v>
      </c>
      <c r="I439" t="b">
        <f t="shared" si="19"/>
        <v>1</v>
      </c>
      <c r="M439">
        <v>2003399760</v>
      </c>
      <c r="N439">
        <v>799</v>
      </c>
      <c r="O439">
        <v>1.82</v>
      </c>
      <c r="P439">
        <v>2.2221223021582732</v>
      </c>
      <c r="W439" s="39">
        <f t="shared" si="20"/>
        <v>0</v>
      </c>
    </row>
    <row r="440" spans="1:23">
      <c r="A440" s="151">
        <v>17721394337</v>
      </c>
      <c r="B440" s="34">
        <v>6130</v>
      </c>
      <c r="E440" s="151">
        <v>17721394337</v>
      </c>
      <c r="F440" s="34">
        <v>6130</v>
      </c>
      <c r="H440" t="b">
        <f t="shared" si="18"/>
        <v>1</v>
      </c>
      <c r="I440" t="b">
        <f t="shared" si="19"/>
        <v>1</v>
      </c>
      <c r="M440">
        <v>2003399760</v>
      </c>
      <c r="N440">
        <v>801</v>
      </c>
      <c r="O440">
        <v>1.82</v>
      </c>
      <c r="P440">
        <v>2.2218803418803419</v>
      </c>
      <c r="W440" s="39">
        <f t="shared" si="20"/>
        <v>0</v>
      </c>
    </row>
    <row r="441" spans="1:23">
      <c r="A441" s="151">
        <v>17731390179</v>
      </c>
      <c r="B441" s="34">
        <v>6003</v>
      </c>
      <c r="E441" s="151">
        <v>17731390179</v>
      </c>
      <c r="F441" s="34">
        <v>6003</v>
      </c>
      <c r="H441" t="b">
        <f t="shared" si="18"/>
        <v>1</v>
      </c>
      <c r="I441" t="b">
        <f t="shared" si="19"/>
        <v>1</v>
      </c>
      <c r="M441">
        <v>10495399652</v>
      </c>
      <c r="N441">
        <v>801</v>
      </c>
      <c r="O441">
        <v>1.82</v>
      </c>
      <c r="P441">
        <v>2.2224188790560473</v>
      </c>
      <c r="W441" s="39">
        <f t="shared" si="20"/>
        <v>0</v>
      </c>
    </row>
    <row r="442" spans="1:23">
      <c r="A442" s="151">
        <v>17731399103</v>
      </c>
      <c r="B442" s="34">
        <v>7563</v>
      </c>
      <c r="E442" s="151">
        <v>17731399103</v>
      </c>
      <c r="F442" s="34">
        <v>7563</v>
      </c>
      <c r="H442" t="b">
        <f t="shared" si="18"/>
        <v>1</v>
      </c>
      <c r="I442" t="b">
        <f t="shared" si="19"/>
        <v>1</v>
      </c>
      <c r="M442">
        <v>10495399652</v>
      </c>
      <c r="N442">
        <v>801</v>
      </c>
      <c r="O442">
        <v>1.82</v>
      </c>
      <c r="P442">
        <v>2.222066386161758</v>
      </c>
      <c r="W442" s="39">
        <f t="shared" si="20"/>
        <v>0</v>
      </c>
    </row>
    <row r="443" spans="1:23">
      <c r="A443" s="151">
        <v>17742393994</v>
      </c>
      <c r="B443" s="34">
        <v>17160</v>
      </c>
      <c r="E443" s="151">
        <v>17742393994</v>
      </c>
      <c r="F443" s="34">
        <v>17160</v>
      </c>
      <c r="H443" t="b">
        <f t="shared" si="18"/>
        <v>1</v>
      </c>
      <c r="I443" t="b">
        <f t="shared" si="19"/>
        <v>1</v>
      </c>
      <c r="M443">
        <v>2046399452</v>
      </c>
      <c r="N443">
        <v>801</v>
      </c>
      <c r="O443">
        <v>1.82</v>
      </c>
      <c r="P443">
        <v>2.2202970297029703</v>
      </c>
      <c r="W443" s="39">
        <f t="shared" si="20"/>
        <v>0</v>
      </c>
    </row>
    <row r="444" spans="1:23">
      <c r="A444" s="151">
        <v>17746393018</v>
      </c>
      <c r="B444" s="34">
        <v>1201</v>
      </c>
      <c r="E444" s="151">
        <v>17746393018</v>
      </c>
      <c r="F444" s="34">
        <v>1201</v>
      </c>
      <c r="H444" t="b">
        <f t="shared" si="18"/>
        <v>1</v>
      </c>
      <c r="I444" t="b">
        <f t="shared" si="19"/>
        <v>1</v>
      </c>
      <c r="M444">
        <v>3264399600</v>
      </c>
      <c r="N444">
        <v>801</v>
      </c>
      <c r="O444">
        <v>1.82</v>
      </c>
      <c r="P444">
        <v>1.8166351606805293</v>
      </c>
      <c r="W444" s="39">
        <f t="shared" si="20"/>
        <v>0</v>
      </c>
    </row>
    <row r="445" spans="1:23">
      <c r="A445" s="151">
        <v>17753388550</v>
      </c>
      <c r="B445" s="34">
        <v>7427</v>
      </c>
      <c r="E445" s="151">
        <v>17753388550</v>
      </c>
      <c r="F445" s="34">
        <v>7427</v>
      </c>
      <c r="H445" t="b">
        <f t="shared" si="18"/>
        <v>1</v>
      </c>
      <c r="I445" t="b">
        <f t="shared" si="19"/>
        <v>1</v>
      </c>
      <c r="M445">
        <v>3437399600</v>
      </c>
      <c r="N445">
        <v>801</v>
      </c>
      <c r="O445">
        <v>1.82</v>
      </c>
      <c r="P445">
        <v>1.8181449979748887</v>
      </c>
      <c r="W445" s="39">
        <f t="shared" si="20"/>
        <v>0</v>
      </c>
    </row>
    <row r="446" spans="1:23">
      <c r="A446" s="151">
        <v>17757392981</v>
      </c>
      <c r="B446" s="34">
        <v>14900</v>
      </c>
      <c r="E446" s="151">
        <v>17757392981</v>
      </c>
      <c r="F446" s="34">
        <v>14900</v>
      </c>
      <c r="H446" t="b">
        <f t="shared" si="18"/>
        <v>1</v>
      </c>
      <c r="I446" t="b">
        <f t="shared" si="19"/>
        <v>1</v>
      </c>
      <c r="M446">
        <v>3548399600</v>
      </c>
      <c r="N446">
        <v>801</v>
      </c>
      <c r="O446">
        <v>1.82</v>
      </c>
      <c r="P446">
        <v>1.8179325472991499</v>
      </c>
      <c r="W446" s="39">
        <f t="shared" si="20"/>
        <v>0</v>
      </c>
    </row>
    <row r="447" spans="1:23">
      <c r="A447" s="151">
        <v>17768393033</v>
      </c>
      <c r="B447" s="34">
        <v>2340</v>
      </c>
      <c r="E447" s="151">
        <v>17768393033</v>
      </c>
      <c r="F447" s="34">
        <v>2340</v>
      </c>
      <c r="H447" t="b">
        <f t="shared" si="18"/>
        <v>1</v>
      </c>
      <c r="I447" t="b">
        <f t="shared" si="19"/>
        <v>1</v>
      </c>
      <c r="M447">
        <v>3588399600</v>
      </c>
      <c r="N447">
        <v>801</v>
      </c>
      <c r="O447">
        <v>1.82</v>
      </c>
      <c r="P447">
        <v>2.2223138791503403</v>
      </c>
      <c r="W447" s="39">
        <f t="shared" si="20"/>
        <v>0</v>
      </c>
    </row>
    <row r="448" spans="1:23">
      <c r="A448" s="151">
        <v>17770395040</v>
      </c>
      <c r="B448" s="34">
        <v>4203</v>
      </c>
      <c r="E448" s="151">
        <v>17770395040</v>
      </c>
      <c r="F448" s="34">
        <v>4203</v>
      </c>
      <c r="H448" t="b">
        <f t="shared" si="18"/>
        <v>1</v>
      </c>
      <c r="I448" t="b">
        <f t="shared" si="19"/>
        <v>1</v>
      </c>
      <c r="M448">
        <v>3588399600</v>
      </c>
      <c r="N448" t="s">
        <v>445</v>
      </c>
      <c r="O448">
        <v>2.02</v>
      </c>
      <c r="P448">
        <v>2.2226920366455252</v>
      </c>
      <c r="W448" s="39">
        <f t="shared" si="20"/>
        <v>0</v>
      </c>
    </row>
    <row r="449" spans="1:23">
      <c r="A449" s="151">
        <v>17771396193</v>
      </c>
      <c r="B449" s="34">
        <v>9120</v>
      </c>
      <c r="E449" s="151">
        <v>17771396193</v>
      </c>
      <c r="F449" s="34">
        <v>9120</v>
      </c>
      <c r="H449" t="b">
        <f t="shared" si="18"/>
        <v>1</v>
      </c>
      <c r="I449" t="b">
        <f t="shared" si="19"/>
        <v>1</v>
      </c>
      <c r="M449">
        <v>2170399760</v>
      </c>
      <c r="N449">
        <v>801</v>
      </c>
      <c r="O449">
        <v>1.82</v>
      </c>
      <c r="P449">
        <v>2.2220733994106618</v>
      </c>
      <c r="W449" s="39">
        <f t="shared" si="20"/>
        <v>0</v>
      </c>
    </row>
    <row r="450" spans="1:23">
      <c r="A450" s="151">
        <v>17776394142</v>
      </c>
      <c r="B450" s="34">
        <v>12950</v>
      </c>
      <c r="E450" s="151">
        <v>17776394142</v>
      </c>
      <c r="F450" s="34">
        <v>12950</v>
      </c>
      <c r="H450" t="b">
        <f t="shared" si="18"/>
        <v>1</v>
      </c>
      <c r="I450" t="b">
        <f t="shared" si="19"/>
        <v>1</v>
      </c>
      <c r="M450">
        <v>2171399760</v>
      </c>
      <c r="N450">
        <v>801</v>
      </c>
      <c r="O450">
        <v>1.82</v>
      </c>
      <c r="P450">
        <v>2.2222222222222223</v>
      </c>
      <c r="W450" s="39">
        <f t="shared" si="20"/>
        <v>0</v>
      </c>
    </row>
    <row r="451" spans="1:23">
      <c r="A451" s="151">
        <v>17817399910</v>
      </c>
      <c r="B451" s="34">
        <v>13740</v>
      </c>
      <c r="E451" s="151">
        <v>17817399910</v>
      </c>
      <c r="F451" s="34">
        <v>13740</v>
      </c>
      <c r="H451" t="b">
        <f t="shared" si="18"/>
        <v>1</v>
      </c>
      <c r="I451" t="b">
        <f t="shared" si="19"/>
        <v>1</v>
      </c>
      <c r="M451">
        <v>17575399650</v>
      </c>
      <c r="N451">
        <v>801</v>
      </c>
      <c r="O451">
        <v>1.82</v>
      </c>
      <c r="P451">
        <v>2.2218854198241891</v>
      </c>
      <c r="W451" s="39">
        <f t="shared" si="20"/>
        <v>0</v>
      </c>
    </row>
    <row r="452" spans="1:23">
      <c r="A452" s="151">
        <v>17823396155</v>
      </c>
      <c r="B452" s="34">
        <v>1562</v>
      </c>
      <c r="E452" s="151">
        <v>17823396155</v>
      </c>
      <c r="F452" s="34">
        <v>1562</v>
      </c>
      <c r="H452" t="b">
        <f t="shared" si="18"/>
        <v>1</v>
      </c>
      <c r="I452" t="b">
        <f t="shared" si="19"/>
        <v>1</v>
      </c>
      <c r="M452">
        <v>18434399650</v>
      </c>
      <c r="N452">
        <v>801</v>
      </c>
      <c r="O452">
        <v>1.82</v>
      </c>
      <c r="P452">
        <v>2.2220113851992411</v>
      </c>
      <c r="W452" s="39">
        <f t="shared" si="20"/>
        <v>0</v>
      </c>
    </row>
    <row r="453" spans="1:23">
      <c r="A453" s="151">
        <v>17824398013</v>
      </c>
      <c r="B453" s="34">
        <v>12729</v>
      </c>
      <c r="E453" s="151">
        <v>17824398013</v>
      </c>
      <c r="F453" s="34">
        <v>12729</v>
      </c>
      <c r="H453" t="b">
        <f t="shared" si="18"/>
        <v>1</v>
      </c>
      <c r="I453" t="b">
        <f t="shared" si="19"/>
        <v>1</v>
      </c>
      <c r="M453">
        <v>17921399338</v>
      </c>
      <c r="N453">
        <v>801</v>
      </c>
      <c r="O453">
        <v>1.82</v>
      </c>
      <c r="P453">
        <v>1.8187311178247734</v>
      </c>
      <c r="W453" s="39">
        <f t="shared" si="20"/>
        <v>0</v>
      </c>
    </row>
    <row r="454" spans="1:23">
      <c r="A454" s="151">
        <v>17825392574</v>
      </c>
      <c r="B454" s="34">
        <v>6005</v>
      </c>
      <c r="E454" s="151">
        <v>17825392574</v>
      </c>
      <c r="F454" s="34">
        <v>6005</v>
      </c>
      <c r="H454" t="b">
        <f t="shared" si="18"/>
        <v>1</v>
      </c>
      <c r="I454" t="b">
        <f t="shared" si="19"/>
        <v>1</v>
      </c>
      <c r="M454">
        <v>10397398443</v>
      </c>
      <c r="N454" t="s">
        <v>444</v>
      </c>
      <c r="O454">
        <v>2.0099999999999998</v>
      </c>
      <c r="P454">
        <v>2.2221110555277637</v>
      </c>
      <c r="W454" s="39">
        <f t="shared" si="20"/>
        <v>0</v>
      </c>
    </row>
    <row r="455" spans="1:23">
      <c r="A455" s="151">
        <v>17831393833</v>
      </c>
      <c r="B455" s="34">
        <v>2523</v>
      </c>
      <c r="E455" s="151">
        <v>17831393833</v>
      </c>
      <c r="F455" s="34">
        <v>2523</v>
      </c>
      <c r="H455" t="b">
        <f t="shared" si="18"/>
        <v>1</v>
      </c>
      <c r="I455" t="b">
        <f t="shared" si="19"/>
        <v>1</v>
      </c>
      <c r="M455">
        <v>10397398443</v>
      </c>
      <c r="N455" t="s">
        <v>444</v>
      </c>
      <c r="O455">
        <v>2.0099999999999998</v>
      </c>
      <c r="P455">
        <v>2.2222940226171244</v>
      </c>
      <c r="W455" s="39">
        <f t="shared" si="20"/>
        <v>0</v>
      </c>
    </row>
    <row r="456" spans="1:23">
      <c r="A456" s="151">
        <v>17836394211</v>
      </c>
      <c r="B456" s="34">
        <v>12900</v>
      </c>
      <c r="E456" s="151">
        <v>17836394211</v>
      </c>
      <c r="F456" s="34">
        <v>12900</v>
      </c>
      <c r="H456" t="b">
        <f t="shared" si="18"/>
        <v>1</v>
      </c>
      <c r="I456" t="b">
        <f t="shared" si="19"/>
        <v>1</v>
      </c>
      <c r="M456">
        <v>9845399214</v>
      </c>
      <c r="N456" t="s">
        <v>444</v>
      </c>
      <c r="O456">
        <v>2.0099999999999998</v>
      </c>
      <c r="P456">
        <v>1.8175535590877678</v>
      </c>
      <c r="W456" s="39">
        <f t="shared" si="20"/>
        <v>0</v>
      </c>
    </row>
    <row r="457" spans="1:23">
      <c r="A457" s="151">
        <v>17846401345</v>
      </c>
      <c r="B457" s="34">
        <v>16020</v>
      </c>
      <c r="E457" s="151">
        <v>17846401345</v>
      </c>
      <c r="F457" s="34">
        <v>16020</v>
      </c>
      <c r="H457" t="b">
        <f t="shared" si="18"/>
        <v>1</v>
      </c>
      <c r="I457" t="b">
        <f t="shared" si="19"/>
        <v>1</v>
      </c>
      <c r="M457">
        <v>10188399214</v>
      </c>
      <c r="N457" t="s">
        <v>444</v>
      </c>
      <c r="O457">
        <v>2.0099999999999998</v>
      </c>
      <c r="P457">
        <v>2.2216547497446375</v>
      </c>
      <c r="W457" s="39">
        <f t="shared" si="20"/>
        <v>0</v>
      </c>
    </row>
    <row r="458" spans="1:23">
      <c r="A458" s="151">
        <v>17851400388</v>
      </c>
      <c r="B458" s="34">
        <v>16060</v>
      </c>
      <c r="E458" s="151">
        <v>17851400388</v>
      </c>
      <c r="F458" s="34">
        <v>16060</v>
      </c>
      <c r="H458" t="b">
        <f t="shared" si="18"/>
        <v>1</v>
      </c>
      <c r="I458" t="b">
        <f t="shared" si="19"/>
        <v>1</v>
      </c>
      <c r="M458">
        <v>15918960396957</v>
      </c>
      <c r="N458" t="s">
        <v>444</v>
      </c>
      <c r="O458">
        <v>2.0099999999999998</v>
      </c>
      <c r="P458">
        <v>1.8178324365872405</v>
      </c>
      <c r="W458" s="39">
        <f t="shared" si="20"/>
        <v>0</v>
      </c>
    </row>
    <row r="459" spans="1:23">
      <c r="A459" s="151">
        <v>17853394151</v>
      </c>
      <c r="B459" s="34">
        <v>13670</v>
      </c>
      <c r="E459" s="151">
        <v>17853394151</v>
      </c>
      <c r="F459" s="34">
        <v>13670</v>
      </c>
      <c r="H459" t="b">
        <f t="shared" si="18"/>
        <v>1</v>
      </c>
      <c r="I459" t="b">
        <f t="shared" si="19"/>
        <v>1</v>
      </c>
      <c r="M459">
        <v>17461398750</v>
      </c>
      <c r="N459" t="s">
        <v>444</v>
      </c>
      <c r="O459">
        <v>2.0099999999999998</v>
      </c>
      <c r="P459">
        <v>2.2207407407407409</v>
      </c>
      <c r="W459" s="39">
        <f t="shared" si="20"/>
        <v>0</v>
      </c>
    </row>
    <row r="460" spans="1:23">
      <c r="A460" s="151">
        <v>17863398013</v>
      </c>
      <c r="B460" s="34">
        <v>7650</v>
      </c>
      <c r="E460" s="151">
        <v>17863398013</v>
      </c>
      <c r="F460" s="34">
        <v>7650</v>
      </c>
      <c r="H460" t="b">
        <f t="shared" si="18"/>
        <v>1</v>
      </c>
      <c r="I460" t="b">
        <f t="shared" si="19"/>
        <v>1</v>
      </c>
      <c r="M460">
        <v>17604398489</v>
      </c>
      <c r="N460" t="s">
        <v>444</v>
      </c>
      <c r="O460">
        <v>2.0099999999999998</v>
      </c>
      <c r="P460">
        <v>2.2220611682852587</v>
      </c>
      <c r="W460" s="39">
        <f t="shared" si="20"/>
        <v>0</v>
      </c>
    </row>
    <row r="461" spans="1:23">
      <c r="A461" s="151">
        <v>17864394223</v>
      </c>
      <c r="B461" s="34">
        <v>9000</v>
      </c>
      <c r="E461" s="151">
        <v>17864394223</v>
      </c>
      <c r="F461" s="34">
        <v>9000</v>
      </c>
      <c r="H461" t="b">
        <f t="shared" si="18"/>
        <v>1</v>
      </c>
      <c r="I461" t="b">
        <f t="shared" si="19"/>
        <v>1</v>
      </c>
      <c r="M461">
        <v>3335398489</v>
      </c>
      <c r="N461" t="s">
        <v>444</v>
      </c>
      <c r="O461">
        <v>2.0099999999999998</v>
      </c>
      <c r="P461">
        <v>2.2222531293463144</v>
      </c>
      <c r="W461" s="39">
        <f t="shared" si="20"/>
        <v>0</v>
      </c>
    </row>
    <row r="462" spans="1:23">
      <c r="A462" s="151">
        <v>17864396243</v>
      </c>
      <c r="B462" s="34">
        <v>5940</v>
      </c>
      <c r="E462" s="151">
        <v>17864396243</v>
      </c>
      <c r="F462" s="34">
        <v>5940</v>
      </c>
      <c r="H462" t="b">
        <f t="shared" si="18"/>
        <v>1</v>
      </c>
      <c r="I462" t="b">
        <f t="shared" si="19"/>
        <v>1</v>
      </c>
      <c r="M462">
        <v>3335398489</v>
      </c>
      <c r="N462" t="s">
        <v>444</v>
      </c>
      <c r="O462">
        <v>2.0099999999999998</v>
      </c>
      <c r="P462">
        <v>2.2224363091415116</v>
      </c>
      <c r="W462" s="39">
        <f t="shared" si="20"/>
        <v>0</v>
      </c>
    </row>
    <row r="463" spans="1:23">
      <c r="A463" s="151">
        <v>17865395890</v>
      </c>
      <c r="B463" s="34">
        <v>12880</v>
      </c>
      <c r="E463" s="151">
        <v>17865395890</v>
      </c>
      <c r="F463" s="34">
        <v>12880</v>
      </c>
      <c r="H463" t="b">
        <f t="shared" si="18"/>
        <v>1</v>
      </c>
      <c r="I463" t="b">
        <f t="shared" si="19"/>
        <v>1</v>
      </c>
      <c r="M463">
        <v>3434398489</v>
      </c>
      <c r="N463" t="s">
        <v>444</v>
      </c>
      <c r="O463">
        <v>2.0099999999999998</v>
      </c>
      <c r="P463">
        <v>2.2222222222222223</v>
      </c>
      <c r="W463" s="39">
        <f t="shared" si="20"/>
        <v>0</v>
      </c>
    </row>
    <row r="464" spans="1:23">
      <c r="A464" s="151">
        <v>17867394077</v>
      </c>
      <c r="B464" s="34">
        <v>8466</v>
      </c>
      <c r="E464" s="151">
        <v>17867394077</v>
      </c>
      <c r="F464" s="34">
        <v>8466</v>
      </c>
      <c r="H464" t="b">
        <f t="shared" si="18"/>
        <v>1</v>
      </c>
      <c r="I464" t="b">
        <f t="shared" si="19"/>
        <v>1</v>
      </c>
      <c r="M464">
        <v>3494398489</v>
      </c>
      <c r="N464" t="s">
        <v>444</v>
      </c>
      <c r="O464">
        <v>2.0099999999999998</v>
      </c>
      <c r="P464">
        <v>2.2222222222222223</v>
      </c>
      <c r="W464" s="39">
        <f t="shared" si="20"/>
        <v>0</v>
      </c>
    </row>
    <row r="465" spans="1:23">
      <c r="A465" s="151">
        <v>17875398072</v>
      </c>
      <c r="B465" s="34">
        <v>11880</v>
      </c>
      <c r="E465" s="151">
        <v>17875398072</v>
      </c>
      <c r="F465" s="34">
        <v>11880</v>
      </c>
      <c r="H465" t="b">
        <f t="shared" si="18"/>
        <v>1</v>
      </c>
      <c r="I465" t="b">
        <f t="shared" si="19"/>
        <v>1</v>
      </c>
      <c r="M465">
        <v>3499398489</v>
      </c>
      <c r="N465" t="s">
        <v>444</v>
      </c>
      <c r="O465">
        <v>2.0099999999999998</v>
      </c>
      <c r="P465">
        <v>2.2219679633867275</v>
      </c>
      <c r="W465" s="39">
        <f t="shared" si="20"/>
        <v>0</v>
      </c>
    </row>
    <row r="466" spans="1:23">
      <c r="A466" s="151">
        <v>17882395890</v>
      </c>
      <c r="B466" s="34">
        <v>14500</v>
      </c>
      <c r="E466" s="151">
        <v>17882395890</v>
      </c>
      <c r="F466" s="34">
        <v>14500</v>
      </c>
      <c r="H466" t="b">
        <f t="shared" si="18"/>
        <v>1</v>
      </c>
      <c r="I466" t="b">
        <f t="shared" si="19"/>
        <v>1</v>
      </c>
      <c r="M466">
        <v>3499398489</v>
      </c>
      <c r="N466" t="s">
        <v>444</v>
      </c>
      <c r="O466">
        <v>2.0099999999999998</v>
      </c>
      <c r="P466">
        <v>2.2228506787330318</v>
      </c>
      <c r="W466" s="39">
        <f t="shared" si="20"/>
        <v>0</v>
      </c>
    </row>
    <row r="467" spans="1:23">
      <c r="A467" s="151">
        <v>17883396193</v>
      </c>
      <c r="B467" s="34">
        <v>10780</v>
      </c>
      <c r="E467" s="151">
        <v>17883396193</v>
      </c>
      <c r="F467" s="34">
        <v>10780</v>
      </c>
      <c r="H467" t="b">
        <f t="shared" si="18"/>
        <v>1</v>
      </c>
      <c r="I467" t="b">
        <f t="shared" si="19"/>
        <v>1</v>
      </c>
      <c r="M467">
        <v>18010398751</v>
      </c>
      <c r="N467" t="s">
        <v>444</v>
      </c>
      <c r="O467">
        <v>2.0099999999999998</v>
      </c>
      <c r="P467">
        <v>1.8180307436643124</v>
      </c>
      <c r="W467" s="39">
        <f t="shared" si="20"/>
        <v>0</v>
      </c>
    </row>
    <row r="468" spans="1:23">
      <c r="A468" s="151">
        <v>17916388550</v>
      </c>
      <c r="B468" s="34">
        <v>5154</v>
      </c>
      <c r="E468" s="151">
        <v>17916388550</v>
      </c>
      <c r="F468" s="34">
        <v>5154</v>
      </c>
      <c r="H468" t="b">
        <f t="shared" si="18"/>
        <v>1</v>
      </c>
      <c r="I468" t="b">
        <f t="shared" si="19"/>
        <v>1</v>
      </c>
      <c r="M468">
        <v>17516399081</v>
      </c>
      <c r="N468" t="s">
        <v>444</v>
      </c>
      <c r="O468">
        <v>2.0099999999999998</v>
      </c>
      <c r="P468">
        <v>1.8181818181818181</v>
      </c>
      <c r="W468" s="39">
        <f t="shared" si="20"/>
        <v>0</v>
      </c>
    </row>
    <row r="469" spans="1:23">
      <c r="A469" s="151">
        <v>17916393074</v>
      </c>
      <c r="B469" s="34">
        <v>4555</v>
      </c>
      <c r="E469" s="151">
        <v>17916393074</v>
      </c>
      <c r="F469" s="34">
        <v>4555</v>
      </c>
      <c r="H469" t="b">
        <f t="shared" si="18"/>
        <v>1</v>
      </c>
      <c r="I469" t="b">
        <f t="shared" si="19"/>
        <v>1</v>
      </c>
      <c r="M469">
        <v>18410399081</v>
      </c>
      <c r="N469" t="s">
        <v>444</v>
      </c>
      <c r="O469">
        <v>2.0099999999999998</v>
      </c>
      <c r="P469">
        <v>1.8179946469013795</v>
      </c>
      <c r="W469" s="39">
        <f t="shared" si="20"/>
        <v>0</v>
      </c>
    </row>
    <row r="470" spans="1:23">
      <c r="A470" s="151">
        <v>17919395890</v>
      </c>
      <c r="B470" s="34">
        <v>11650</v>
      </c>
      <c r="E470" s="151">
        <v>17919395890</v>
      </c>
      <c r="F470" s="34">
        <v>11650</v>
      </c>
      <c r="H470" t="b">
        <f t="shared" si="18"/>
        <v>1</v>
      </c>
      <c r="I470" t="b">
        <f t="shared" si="19"/>
        <v>1</v>
      </c>
      <c r="M470">
        <v>18106398146</v>
      </c>
      <c r="N470" t="s">
        <v>444</v>
      </c>
      <c r="O470">
        <v>2.0099999999999998</v>
      </c>
      <c r="P470">
        <v>2.2228412256267411</v>
      </c>
      <c r="W470" s="39">
        <f t="shared" si="20"/>
        <v>0</v>
      </c>
    </row>
    <row r="471" spans="1:23">
      <c r="A471" s="151">
        <v>17921399338</v>
      </c>
      <c r="B471" s="34">
        <v>1806</v>
      </c>
      <c r="E471" s="151">
        <v>17921399338</v>
      </c>
      <c r="F471" s="34">
        <v>1806</v>
      </c>
      <c r="H471" t="b">
        <f t="shared" ref="H471:H534" si="21">A471=E471</f>
        <v>1</v>
      </c>
      <c r="I471" t="b">
        <f t="shared" ref="I471:I534" si="22">B471=F471</f>
        <v>1</v>
      </c>
      <c r="M471">
        <v>18106398146</v>
      </c>
      <c r="N471" t="s">
        <v>444</v>
      </c>
      <c r="O471">
        <v>2.0099999999999998</v>
      </c>
      <c r="P471">
        <v>2.2222560048647004</v>
      </c>
      <c r="W471" s="39">
        <f t="shared" ref="W471:W534" si="23">U471-V471</f>
        <v>0</v>
      </c>
    </row>
    <row r="472" spans="1:23">
      <c r="A472" s="151">
        <v>17931394588</v>
      </c>
      <c r="B472" s="34">
        <v>907</v>
      </c>
      <c r="E472" s="151">
        <v>17931394588</v>
      </c>
      <c r="F472" s="34">
        <v>907</v>
      </c>
      <c r="H472" t="b">
        <f t="shared" si="21"/>
        <v>1</v>
      </c>
      <c r="I472" t="b">
        <f t="shared" si="22"/>
        <v>1</v>
      </c>
      <c r="M472">
        <v>18138398146</v>
      </c>
      <c r="N472" t="s">
        <v>444</v>
      </c>
      <c r="O472">
        <v>2.0099999999999998</v>
      </c>
      <c r="P472">
        <v>2.2219149671621157</v>
      </c>
      <c r="W472" s="39">
        <f t="shared" si="23"/>
        <v>0</v>
      </c>
    </row>
    <row r="473" spans="1:23">
      <c r="A473" s="151">
        <v>17944395890</v>
      </c>
      <c r="B473" s="34">
        <v>7145</v>
      </c>
      <c r="E473" s="151">
        <v>17944395890</v>
      </c>
      <c r="F473" s="34">
        <v>7145</v>
      </c>
      <c r="H473" t="b">
        <f t="shared" si="21"/>
        <v>1</v>
      </c>
      <c r="I473" t="b">
        <f t="shared" si="22"/>
        <v>1</v>
      </c>
      <c r="M473">
        <v>18269398125</v>
      </c>
      <c r="N473" t="s">
        <v>444</v>
      </c>
      <c r="O473">
        <v>2.0099999999999998</v>
      </c>
      <c r="P473">
        <v>1.8181818181818181</v>
      </c>
      <c r="W473" s="39">
        <f t="shared" si="23"/>
        <v>0</v>
      </c>
    </row>
    <row r="474" spans="1:23">
      <c r="A474" s="151">
        <v>17951401573</v>
      </c>
      <c r="B474" s="34">
        <v>19070</v>
      </c>
      <c r="E474" s="151">
        <v>17951401573</v>
      </c>
      <c r="F474" s="34">
        <v>19070</v>
      </c>
      <c r="H474" t="b">
        <f t="shared" si="21"/>
        <v>1</v>
      </c>
      <c r="I474" t="b">
        <f t="shared" si="22"/>
        <v>1</v>
      </c>
      <c r="M474">
        <v>10281397916</v>
      </c>
      <c r="N474" t="s">
        <v>444</v>
      </c>
      <c r="O474">
        <v>2.0099999999999998</v>
      </c>
      <c r="P474">
        <v>1.8184480234260616</v>
      </c>
      <c r="W474" s="39">
        <f t="shared" si="23"/>
        <v>0</v>
      </c>
    </row>
    <row r="475" spans="1:23">
      <c r="A475" s="151">
        <v>17952401345</v>
      </c>
      <c r="B475" s="34">
        <v>9630</v>
      </c>
      <c r="E475" s="151">
        <v>17952401345</v>
      </c>
      <c r="F475" s="34">
        <v>9630</v>
      </c>
      <c r="H475" t="b">
        <f t="shared" si="21"/>
        <v>1</v>
      </c>
      <c r="I475" t="b">
        <f t="shared" si="22"/>
        <v>1</v>
      </c>
      <c r="M475">
        <v>18259398221</v>
      </c>
      <c r="N475" t="s">
        <v>444</v>
      </c>
      <c r="O475">
        <v>2.0099999999999998</v>
      </c>
      <c r="P475">
        <v>2.2219482120838472</v>
      </c>
      <c r="W475" s="39">
        <f t="shared" si="23"/>
        <v>0</v>
      </c>
    </row>
    <row r="476" spans="1:23">
      <c r="A476" s="151">
        <v>17953395098</v>
      </c>
      <c r="B476" s="34">
        <v>13850</v>
      </c>
      <c r="E476" s="151">
        <v>17953395098</v>
      </c>
      <c r="F476" s="34">
        <v>13850</v>
      </c>
      <c r="H476" t="b">
        <f t="shared" si="21"/>
        <v>1</v>
      </c>
      <c r="I476" t="b">
        <f t="shared" si="22"/>
        <v>1</v>
      </c>
      <c r="M476">
        <v>17709397868</v>
      </c>
      <c r="N476" t="s">
        <v>444</v>
      </c>
      <c r="O476">
        <v>2.0099999999999998</v>
      </c>
      <c r="P476">
        <v>1.8182919442761962</v>
      </c>
      <c r="W476" s="39">
        <f t="shared" si="23"/>
        <v>0</v>
      </c>
    </row>
    <row r="477" spans="1:23">
      <c r="A477" s="151">
        <v>17968393074</v>
      </c>
      <c r="B477" s="34">
        <v>8057</v>
      </c>
      <c r="E477" s="151">
        <v>17968393074</v>
      </c>
      <c r="F477" s="34">
        <v>8057</v>
      </c>
      <c r="H477" t="b">
        <f t="shared" si="21"/>
        <v>1</v>
      </c>
      <c r="I477" t="b">
        <f t="shared" si="22"/>
        <v>1</v>
      </c>
      <c r="M477">
        <v>17715397868</v>
      </c>
      <c r="N477" t="s">
        <v>444</v>
      </c>
      <c r="O477">
        <v>2.0099999999999998</v>
      </c>
      <c r="P477">
        <v>1.8180764774044031</v>
      </c>
      <c r="W477" s="39">
        <f t="shared" si="23"/>
        <v>0</v>
      </c>
    </row>
    <row r="478" spans="1:23">
      <c r="A478" s="151">
        <v>17968393077</v>
      </c>
      <c r="B478" s="34">
        <v>301</v>
      </c>
      <c r="E478" s="151">
        <v>17968393077</v>
      </c>
      <c r="F478" s="34">
        <v>301</v>
      </c>
      <c r="H478" t="b">
        <f t="shared" si="21"/>
        <v>1</v>
      </c>
      <c r="I478" t="b">
        <f t="shared" si="22"/>
        <v>1</v>
      </c>
      <c r="M478">
        <v>17715397868</v>
      </c>
      <c r="N478" t="s">
        <v>444</v>
      </c>
      <c r="O478">
        <v>2.0099999999999998</v>
      </c>
      <c r="P478">
        <v>1.818297331639136</v>
      </c>
      <c r="W478" s="39">
        <f t="shared" si="23"/>
        <v>0</v>
      </c>
    </row>
    <row r="479" spans="1:23">
      <c r="A479" s="151">
        <v>17980395072</v>
      </c>
      <c r="B479" s="34">
        <v>7870</v>
      </c>
      <c r="E479" s="151">
        <v>17980395072</v>
      </c>
      <c r="F479" s="34">
        <v>7870</v>
      </c>
      <c r="H479" t="b">
        <f t="shared" si="21"/>
        <v>1</v>
      </c>
      <c r="I479" t="b">
        <f t="shared" si="22"/>
        <v>1</v>
      </c>
      <c r="M479">
        <v>17875398072</v>
      </c>
      <c r="N479" t="s">
        <v>444</v>
      </c>
      <c r="O479">
        <v>2.0099999999999998</v>
      </c>
      <c r="P479">
        <v>1.8178484107579462</v>
      </c>
      <c r="W479" s="39">
        <f t="shared" si="23"/>
        <v>0</v>
      </c>
    </row>
    <row r="480" spans="1:23">
      <c r="A480" s="151">
        <v>17983395098</v>
      </c>
      <c r="B480" s="34">
        <v>2710</v>
      </c>
      <c r="E480" s="151">
        <v>17983395098</v>
      </c>
      <c r="F480" s="34">
        <v>2710</v>
      </c>
      <c r="H480" t="b">
        <f t="shared" si="21"/>
        <v>1</v>
      </c>
      <c r="I480" t="b">
        <f t="shared" si="22"/>
        <v>1</v>
      </c>
      <c r="M480">
        <v>17875398072</v>
      </c>
      <c r="N480" t="s">
        <v>444</v>
      </c>
      <c r="O480">
        <v>2.0099999999999998</v>
      </c>
      <c r="P480">
        <v>1.8182295311406578</v>
      </c>
      <c r="W480" s="39">
        <f t="shared" si="23"/>
        <v>0</v>
      </c>
    </row>
    <row r="481" spans="1:23">
      <c r="A481" s="151">
        <v>17984401271</v>
      </c>
      <c r="B481" s="34">
        <v>13100</v>
      </c>
      <c r="E481" s="151">
        <v>17984401271</v>
      </c>
      <c r="F481" s="34">
        <v>13100</v>
      </c>
      <c r="H481" t="b">
        <f t="shared" si="21"/>
        <v>1</v>
      </c>
      <c r="I481" t="b">
        <f t="shared" si="22"/>
        <v>1</v>
      </c>
      <c r="M481">
        <v>18149398072</v>
      </c>
      <c r="N481" t="s">
        <v>444</v>
      </c>
      <c r="O481">
        <v>2.0099999999999998</v>
      </c>
      <c r="P481">
        <v>1.8180770117592806</v>
      </c>
      <c r="W481" s="39">
        <f t="shared" si="23"/>
        <v>0</v>
      </c>
    </row>
    <row r="482" spans="1:23">
      <c r="A482" s="151">
        <v>17993395960</v>
      </c>
      <c r="B482" s="34">
        <v>3892</v>
      </c>
      <c r="E482" s="151">
        <v>17993395960</v>
      </c>
      <c r="F482" s="34">
        <v>3892</v>
      </c>
      <c r="H482" t="b">
        <f t="shared" si="21"/>
        <v>1</v>
      </c>
      <c r="I482" t="b">
        <f t="shared" si="22"/>
        <v>1</v>
      </c>
      <c r="M482">
        <v>18176398072</v>
      </c>
      <c r="N482" t="s">
        <v>444</v>
      </c>
      <c r="O482">
        <v>2.0099999999999998</v>
      </c>
      <c r="P482">
        <v>2.2222222222222223</v>
      </c>
      <c r="W482" s="39">
        <f t="shared" si="23"/>
        <v>0</v>
      </c>
    </row>
    <row r="483" spans="1:23">
      <c r="A483" s="151">
        <v>17993401350</v>
      </c>
      <c r="B483" s="34">
        <v>5210</v>
      </c>
      <c r="E483" s="151">
        <v>17993401350</v>
      </c>
      <c r="F483" s="34">
        <v>5210</v>
      </c>
      <c r="H483" t="b">
        <f t="shared" si="21"/>
        <v>1</v>
      </c>
      <c r="I483" t="b">
        <f t="shared" si="22"/>
        <v>1</v>
      </c>
      <c r="M483">
        <v>15908218398025</v>
      </c>
      <c r="N483" t="s">
        <v>444</v>
      </c>
      <c r="O483">
        <v>2.0099999999999998</v>
      </c>
      <c r="P483">
        <v>1.8180661577608141</v>
      </c>
      <c r="W483" s="39">
        <f t="shared" si="23"/>
        <v>0</v>
      </c>
    </row>
    <row r="484" spans="1:23">
      <c r="A484" s="151">
        <v>18010395478</v>
      </c>
      <c r="B484" s="34">
        <v>5814</v>
      </c>
      <c r="E484" s="151">
        <v>18010395478</v>
      </c>
      <c r="F484" s="34">
        <v>5814</v>
      </c>
      <c r="H484" t="b">
        <f t="shared" si="21"/>
        <v>1</v>
      </c>
      <c r="I484" t="b">
        <f t="shared" si="22"/>
        <v>1</v>
      </c>
      <c r="M484">
        <v>15908218398025</v>
      </c>
      <c r="N484" t="s">
        <v>444</v>
      </c>
      <c r="O484">
        <v>2.0099999999999998</v>
      </c>
      <c r="P484">
        <v>1.8186090225563909</v>
      </c>
      <c r="W484" s="39">
        <f t="shared" si="23"/>
        <v>0</v>
      </c>
    </row>
    <row r="485" spans="1:23">
      <c r="A485" s="151">
        <v>18010398751</v>
      </c>
      <c r="B485" s="34">
        <v>4376</v>
      </c>
      <c r="E485" s="151">
        <v>18010398751</v>
      </c>
      <c r="F485" s="34">
        <v>4376</v>
      </c>
      <c r="H485" t="b">
        <f t="shared" si="21"/>
        <v>1</v>
      </c>
      <c r="I485" t="b">
        <f t="shared" si="22"/>
        <v>1</v>
      </c>
      <c r="M485">
        <v>10370398313</v>
      </c>
      <c r="N485" t="s">
        <v>444</v>
      </c>
      <c r="O485">
        <v>2.0099999999999998</v>
      </c>
      <c r="P485">
        <v>1.8178893178893178</v>
      </c>
      <c r="W485" s="39">
        <f t="shared" si="23"/>
        <v>0</v>
      </c>
    </row>
    <row r="486" spans="1:23">
      <c r="A486" s="151">
        <v>18013401573</v>
      </c>
      <c r="B486" s="34">
        <v>8700</v>
      </c>
      <c r="E486" s="151">
        <v>18013401573</v>
      </c>
      <c r="F486" s="34">
        <v>8700</v>
      </c>
      <c r="H486" t="b">
        <f t="shared" si="21"/>
        <v>1</v>
      </c>
      <c r="I486" t="b">
        <f t="shared" si="22"/>
        <v>1</v>
      </c>
      <c r="M486">
        <v>17497397965</v>
      </c>
      <c r="N486" t="s">
        <v>444</v>
      </c>
      <c r="O486">
        <v>2.0099999999999998</v>
      </c>
      <c r="P486">
        <v>2.2223343424150688</v>
      </c>
      <c r="W486" s="39">
        <f t="shared" si="23"/>
        <v>0</v>
      </c>
    </row>
    <row r="487" spans="1:23">
      <c r="A487" s="151">
        <v>18035399296</v>
      </c>
      <c r="B487" s="34">
        <v>2580</v>
      </c>
      <c r="E487" s="151">
        <v>18035399296</v>
      </c>
      <c r="F487" s="34">
        <v>2580</v>
      </c>
      <c r="H487" t="b">
        <f t="shared" si="21"/>
        <v>1</v>
      </c>
      <c r="I487" t="b">
        <f t="shared" si="22"/>
        <v>1</v>
      </c>
      <c r="M487">
        <v>3347398311</v>
      </c>
      <c r="N487" t="s">
        <v>444</v>
      </c>
      <c r="O487">
        <v>2.0099999999999998</v>
      </c>
      <c r="P487">
        <v>1.8182645631067962</v>
      </c>
      <c r="W487" s="39">
        <f t="shared" si="23"/>
        <v>0</v>
      </c>
    </row>
    <row r="488" spans="1:23">
      <c r="A488" s="151">
        <v>18040400750</v>
      </c>
      <c r="B488" s="34">
        <v>15210</v>
      </c>
      <c r="E488" s="151">
        <v>18040400750</v>
      </c>
      <c r="F488" s="34">
        <v>15210</v>
      </c>
      <c r="H488" t="b">
        <f t="shared" si="21"/>
        <v>1</v>
      </c>
      <c r="I488" t="b">
        <f t="shared" si="22"/>
        <v>1</v>
      </c>
      <c r="M488">
        <v>3376398655</v>
      </c>
      <c r="N488" t="s">
        <v>444</v>
      </c>
      <c r="O488">
        <v>2.0099999999999998</v>
      </c>
      <c r="P488">
        <v>2.2777777777777777</v>
      </c>
      <c r="W488" s="39">
        <f t="shared" si="23"/>
        <v>0</v>
      </c>
    </row>
    <row r="489" spans="1:23">
      <c r="A489" s="151">
        <v>18041400388</v>
      </c>
      <c r="B489" s="34">
        <v>16010</v>
      </c>
      <c r="E489" s="151">
        <v>18041400388</v>
      </c>
      <c r="F489" s="34">
        <v>16010</v>
      </c>
      <c r="H489" t="b">
        <f t="shared" si="21"/>
        <v>1</v>
      </c>
      <c r="I489" t="b">
        <f t="shared" si="22"/>
        <v>1</v>
      </c>
      <c r="M489">
        <v>3376398655</v>
      </c>
      <c r="N489" t="s">
        <v>444</v>
      </c>
      <c r="O489">
        <v>2.0099999999999998</v>
      </c>
      <c r="P489">
        <v>2.2222429906542054</v>
      </c>
      <c r="W489" s="39">
        <f t="shared" si="23"/>
        <v>0</v>
      </c>
    </row>
    <row r="490" spans="1:23">
      <c r="A490" s="151">
        <v>18053397811</v>
      </c>
      <c r="B490" s="34">
        <v>7880</v>
      </c>
      <c r="E490" s="151">
        <v>18053397811</v>
      </c>
      <c r="F490" s="34">
        <v>7880</v>
      </c>
      <c r="H490" t="b">
        <f t="shared" si="21"/>
        <v>1</v>
      </c>
      <c r="I490" t="b">
        <f t="shared" si="22"/>
        <v>1</v>
      </c>
      <c r="M490">
        <v>3416398655</v>
      </c>
      <c r="N490" t="s">
        <v>444</v>
      </c>
      <c r="O490">
        <v>2.0099999999999998</v>
      </c>
      <c r="P490">
        <v>1.8244274809160306</v>
      </c>
      <c r="W490" s="39">
        <f t="shared" si="23"/>
        <v>0</v>
      </c>
    </row>
    <row r="491" spans="1:23">
      <c r="A491" s="151">
        <v>18065399092</v>
      </c>
      <c r="B491" s="34">
        <v>4840</v>
      </c>
      <c r="E491" s="151">
        <v>18065399092</v>
      </c>
      <c r="F491" s="34">
        <v>4840</v>
      </c>
      <c r="H491" t="b">
        <f t="shared" si="21"/>
        <v>1</v>
      </c>
      <c r="I491" t="b">
        <f t="shared" si="22"/>
        <v>1</v>
      </c>
      <c r="M491">
        <v>3559398655</v>
      </c>
      <c r="N491" t="s">
        <v>444</v>
      </c>
      <c r="O491">
        <v>2.0099999999999998</v>
      </c>
      <c r="P491">
        <v>2.2222222222222223</v>
      </c>
      <c r="W491" s="39">
        <f t="shared" si="23"/>
        <v>0</v>
      </c>
    </row>
    <row r="492" spans="1:23">
      <c r="A492" s="151">
        <v>18072396193</v>
      </c>
      <c r="B492" s="34">
        <v>5766</v>
      </c>
      <c r="E492" s="151">
        <v>18072396193</v>
      </c>
      <c r="F492" s="34">
        <v>5766</v>
      </c>
      <c r="H492" t="b">
        <f t="shared" si="21"/>
        <v>1</v>
      </c>
      <c r="I492" t="b">
        <f t="shared" si="22"/>
        <v>1</v>
      </c>
      <c r="M492">
        <v>3297399059</v>
      </c>
      <c r="N492" t="s">
        <v>444</v>
      </c>
      <c r="O492">
        <v>2.0099999999999998</v>
      </c>
      <c r="P492">
        <v>2.2218509856331439</v>
      </c>
      <c r="W492" s="39">
        <f t="shared" si="23"/>
        <v>0</v>
      </c>
    </row>
    <row r="493" spans="1:23">
      <c r="A493" s="151">
        <v>18072396220</v>
      </c>
      <c r="B493" s="34">
        <v>1141</v>
      </c>
      <c r="E493" s="151">
        <v>18072396220</v>
      </c>
      <c r="F493" s="34">
        <v>1141</v>
      </c>
      <c r="H493" t="b">
        <f t="shared" si="21"/>
        <v>1</v>
      </c>
      <c r="I493" t="b">
        <f t="shared" si="22"/>
        <v>1</v>
      </c>
      <c r="M493">
        <v>17731399103</v>
      </c>
      <c r="N493" t="s">
        <v>444</v>
      </c>
      <c r="O493">
        <v>2.0099999999999998</v>
      </c>
      <c r="P493">
        <v>2.2224507787246548</v>
      </c>
      <c r="W493" s="39">
        <f t="shared" si="23"/>
        <v>0</v>
      </c>
    </row>
    <row r="494" spans="1:23">
      <c r="A494" s="151">
        <v>18072398589</v>
      </c>
      <c r="B494" s="34">
        <v>3003</v>
      </c>
      <c r="E494" s="151">
        <v>18072398589</v>
      </c>
      <c r="F494" s="34">
        <v>3003</v>
      </c>
      <c r="H494" t="b">
        <f t="shared" si="21"/>
        <v>1</v>
      </c>
      <c r="I494" t="b">
        <f t="shared" si="22"/>
        <v>1</v>
      </c>
      <c r="M494">
        <v>17515398645</v>
      </c>
      <c r="N494" t="s">
        <v>444</v>
      </c>
      <c r="O494">
        <v>2.0099999999999998</v>
      </c>
      <c r="P494">
        <v>1.817351598173516</v>
      </c>
      <c r="W494" s="39">
        <f t="shared" si="23"/>
        <v>0</v>
      </c>
    </row>
    <row r="495" spans="1:23">
      <c r="A495" s="151">
        <v>18093396388</v>
      </c>
      <c r="B495" s="34">
        <v>6600</v>
      </c>
      <c r="E495" s="151">
        <v>18093396388</v>
      </c>
      <c r="F495" s="34">
        <v>6600</v>
      </c>
      <c r="H495" t="b">
        <f t="shared" si="21"/>
        <v>1</v>
      </c>
      <c r="I495" t="b">
        <f t="shared" si="22"/>
        <v>1</v>
      </c>
      <c r="M495">
        <v>9836398443</v>
      </c>
      <c r="N495" t="s">
        <v>444</v>
      </c>
      <c r="O495">
        <v>2.0099999999999998</v>
      </c>
      <c r="P495">
        <v>1.8181818181818181</v>
      </c>
      <c r="W495" s="39">
        <f t="shared" si="23"/>
        <v>0</v>
      </c>
    </row>
    <row r="496" spans="1:23">
      <c r="A496" s="151">
        <v>18094401271</v>
      </c>
      <c r="B496" s="34">
        <v>8550</v>
      </c>
      <c r="E496" s="151">
        <v>18094401271</v>
      </c>
      <c r="F496" s="34">
        <v>8550</v>
      </c>
      <c r="H496" t="b">
        <f t="shared" si="21"/>
        <v>1</v>
      </c>
      <c r="I496" t="b">
        <f t="shared" si="22"/>
        <v>1</v>
      </c>
      <c r="M496">
        <v>9848398443</v>
      </c>
      <c r="N496" t="s">
        <v>444</v>
      </c>
      <c r="O496">
        <v>2.0099999999999998</v>
      </c>
      <c r="P496">
        <v>1.8179623370352487</v>
      </c>
      <c r="W496" s="39">
        <f t="shared" si="23"/>
        <v>0</v>
      </c>
    </row>
    <row r="497" spans="1:23">
      <c r="A497" s="151">
        <v>18106398146</v>
      </c>
      <c r="B497" s="34">
        <v>17810</v>
      </c>
      <c r="E497" s="151">
        <v>18106398146</v>
      </c>
      <c r="F497" s="34">
        <v>17810</v>
      </c>
      <c r="H497" t="b">
        <f t="shared" si="21"/>
        <v>1</v>
      </c>
      <c r="I497" t="b">
        <f t="shared" si="22"/>
        <v>1</v>
      </c>
      <c r="M497">
        <v>9848398443</v>
      </c>
      <c r="N497" t="s">
        <v>444</v>
      </c>
      <c r="O497">
        <v>2.0099999999999998</v>
      </c>
      <c r="P497">
        <v>1.8183122847301951</v>
      </c>
      <c r="W497" s="39">
        <f t="shared" si="23"/>
        <v>0</v>
      </c>
    </row>
    <row r="498" spans="1:23">
      <c r="A498" s="151">
        <v>18107396434</v>
      </c>
      <c r="B498" s="34">
        <v>6828</v>
      </c>
      <c r="E498" s="151">
        <v>18107396434</v>
      </c>
      <c r="F498" s="34">
        <v>6828</v>
      </c>
      <c r="H498" t="b">
        <f t="shared" si="21"/>
        <v>1</v>
      </c>
      <c r="I498" t="b">
        <f t="shared" si="22"/>
        <v>1</v>
      </c>
      <c r="M498">
        <v>10337397805</v>
      </c>
      <c r="N498" t="s">
        <v>444</v>
      </c>
      <c r="O498">
        <v>2.0099999999999998</v>
      </c>
      <c r="P498">
        <v>2.2222222222222223</v>
      </c>
      <c r="W498" s="39">
        <f t="shared" si="23"/>
        <v>0</v>
      </c>
    </row>
    <row r="499" spans="1:23">
      <c r="A499" s="151">
        <v>18111401434</v>
      </c>
      <c r="B499" s="34">
        <v>8572</v>
      </c>
      <c r="E499" s="151">
        <v>18111401434</v>
      </c>
      <c r="F499" s="34">
        <v>8572</v>
      </c>
      <c r="H499" t="b">
        <f t="shared" si="21"/>
        <v>1</v>
      </c>
      <c r="I499" t="b">
        <f t="shared" si="22"/>
        <v>1</v>
      </c>
      <c r="M499">
        <v>10337397816</v>
      </c>
      <c r="N499" t="s">
        <v>444</v>
      </c>
      <c r="O499">
        <v>2.0099999999999998</v>
      </c>
      <c r="P499">
        <v>2.2222222222222223</v>
      </c>
      <c r="W499" s="39">
        <f t="shared" si="23"/>
        <v>0</v>
      </c>
    </row>
    <row r="500" spans="1:23">
      <c r="A500" s="151">
        <v>18115397186</v>
      </c>
      <c r="B500" s="34">
        <v>600</v>
      </c>
      <c r="E500" s="151">
        <v>18115397186</v>
      </c>
      <c r="F500" s="34">
        <v>600</v>
      </c>
      <c r="H500" t="b">
        <f t="shared" si="21"/>
        <v>1</v>
      </c>
      <c r="I500" t="b">
        <f t="shared" si="22"/>
        <v>1</v>
      </c>
      <c r="M500">
        <v>10239397495</v>
      </c>
      <c r="N500" t="s">
        <v>444</v>
      </c>
      <c r="O500">
        <v>2.0099999999999998</v>
      </c>
      <c r="P500">
        <v>2.2225519287833828</v>
      </c>
      <c r="W500" s="39">
        <f t="shared" si="23"/>
        <v>0</v>
      </c>
    </row>
    <row r="501" spans="1:23">
      <c r="A501" s="151">
        <v>18131397881</v>
      </c>
      <c r="B501" s="34">
        <v>3542</v>
      </c>
      <c r="E501" s="151">
        <v>18131397881</v>
      </c>
      <c r="F501" s="34">
        <v>3542</v>
      </c>
      <c r="H501" t="b">
        <f t="shared" si="21"/>
        <v>1</v>
      </c>
      <c r="I501" t="b">
        <f t="shared" si="22"/>
        <v>1</v>
      </c>
      <c r="M501">
        <v>18162397661</v>
      </c>
      <c r="N501" t="s">
        <v>444</v>
      </c>
      <c r="O501">
        <v>2.0099999999999998</v>
      </c>
      <c r="P501">
        <v>2.2222222222222223</v>
      </c>
      <c r="W501" s="39">
        <f t="shared" si="23"/>
        <v>0</v>
      </c>
    </row>
    <row r="502" spans="1:23">
      <c r="A502" s="151">
        <v>18138398146</v>
      </c>
      <c r="B502" s="34">
        <v>6428</v>
      </c>
      <c r="E502" s="151">
        <v>18138398146</v>
      </c>
      <c r="F502" s="34">
        <v>6428</v>
      </c>
      <c r="H502" t="b">
        <f t="shared" si="21"/>
        <v>1</v>
      </c>
      <c r="I502" t="b">
        <f t="shared" si="22"/>
        <v>1</v>
      </c>
      <c r="M502">
        <v>18168397661</v>
      </c>
      <c r="N502" t="s">
        <v>444</v>
      </c>
      <c r="O502">
        <v>2.0099999999999998</v>
      </c>
      <c r="P502">
        <v>2.2222222222222223</v>
      </c>
      <c r="W502" s="39">
        <f t="shared" si="23"/>
        <v>0</v>
      </c>
    </row>
    <row r="503" spans="1:23">
      <c r="A503" s="151">
        <v>18149398072</v>
      </c>
      <c r="B503" s="34">
        <v>15770</v>
      </c>
      <c r="E503" s="151">
        <v>18149398072</v>
      </c>
      <c r="F503" s="34">
        <v>15770</v>
      </c>
      <c r="H503" t="b">
        <f t="shared" si="21"/>
        <v>1</v>
      </c>
      <c r="I503" t="b">
        <f t="shared" si="22"/>
        <v>1</v>
      </c>
      <c r="M503">
        <v>9999398336</v>
      </c>
      <c r="N503" t="s">
        <v>444</v>
      </c>
      <c r="O503">
        <v>2.0099999999999998</v>
      </c>
      <c r="P503">
        <v>1.8231707317073171</v>
      </c>
      <c r="W503" s="39">
        <f t="shared" si="23"/>
        <v>0</v>
      </c>
    </row>
    <row r="504" spans="1:23">
      <c r="A504" s="151">
        <v>18162397661</v>
      </c>
      <c r="B504" s="34">
        <v>3420</v>
      </c>
      <c r="E504" s="151">
        <v>18162397661</v>
      </c>
      <c r="F504" s="34">
        <v>3420</v>
      </c>
      <c r="H504" t="b">
        <f t="shared" si="21"/>
        <v>1</v>
      </c>
      <c r="I504" t="b">
        <f t="shared" si="22"/>
        <v>1</v>
      </c>
      <c r="M504">
        <v>17824398013</v>
      </c>
      <c r="N504" t="s">
        <v>444</v>
      </c>
      <c r="O504">
        <v>2.0099999999999998</v>
      </c>
      <c r="P504">
        <v>2.2222416201117317</v>
      </c>
      <c r="W504" s="39">
        <f t="shared" si="23"/>
        <v>0</v>
      </c>
    </row>
    <row r="505" spans="1:23">
      <c r="A505" s="151">
        <v>18168397661</v>
      </c>
      <c r="B505" s="34">
        <v>1780</v>
      </c>
      <c r="E505" s="151">
        <v>18168397661</v>
      </c>
      <c r="F505" s="34">
        <v>1780</v>
      </c>
      <c r="H505" t="b">
        <f t="shared" si="21"/>
        <v>1</v>
      </c>
      <c r="I505" t="b">
        <f t="shared" si="22"/>
        <v>1</v>
      </c>
      <c r="M505">
        <v>17863398013</v>
      </c>
      <c r="N505" t="s">
        <v>444</v>
      </c>
      <c r="O505">
        <v>2.0099999999999998</v>
      </c>
      <c r="P505">
        <v>2.2218995062445543</v>
      </c>
      <c r="W505" s="39">
        <f t="shared" si="23"/>
        <v>0</v>
      </c>
    </row>
    <row r="506" spans="1:23">
      <c r="A506" s="151">
        <v>18176398072</v>
      </c>
      <c r="B506" s="34">
        <v>6900</v>
      </c>
      <c r="E506" s="151">
        <v>18176398072</v>
      </c>
      <c r="F506" s="34">
        <v>6900</v>
      </c>
      <c r="H506" t="b">
        <f t="shared" si="21"/>
        <v>1</v>
      </c>
      <c r="I506" t="b">
        <f t="shared" si="22"/>
        <v>1</v>
      </c>
      <c r="M506">
        <v>18131397881</v>
      </c>
      <c r="N506" t="s">
        <v>444</v>
      </c>
      <c r="O506">
        <v>2.0099999999999998</v>
      </c>
      <c r="P506">
        <v>2.2220828105395234</v>
      </c>
      <c r="W506" s="39">
        <f t="shared" si="23"/>
        <v>0</v>
      </c>
    </row>
    <row r="507" spans="1:23">
      <c r="A507" s="151">
        <v>18195398589</v>
      </c>
      <c r="B507" s="34">
        <v>539</v>
      </c>
      <c r="E507" s="151">
        <v>18195398589</v>
      </c>
      <c r="F507" s="34">
        <v>539</v>
      </c>
      <c r="H507" t="b">
        <f t="shared" si="21"/>
        <v>1</v>
      </c>
      <c r="I507" t="b">
        <f t="shared" si="22"/>
        <v>1</v>
      </c>
      <c r="M507">
        <v>9979398866</v>
      </c>
      <c r="N507" t="s">
        <v>444</v>
      </c>
      <c r="O507">
        <v>2.0099999999999998</v>
      </c>
      <c r="P507">
        <v>1.8179059180576631</v>
      </c>
      <c r="W507" s="39">
        <f t="shared" si="23"/>
        <v>0</v>
      </c>
    </row>
    <row r="508" spans="1:23">
      <c r="A508" s="151">
        <v>18259398221</v>
      </c>
      <c r="B508" s="34">
        <v>1802</v>
      </c>
      <c r="E508" s="151">
        <v>18259398221</v>
      </c>
      <c r="F508" s="34">
        <v>1802</v>
      </c>
      <c r="H508" t="b">
        <f t="shared" si="21"/>
        <v>1</v>
      </c>
      <c r="I508" t="b">
        <f t="shared" si="22"/>
        <v>1</v>
      </c>
      <c r="M508">
        <v>10007398866</v>
      </c>
      <c r="N508" t="s">
        <v>444</v>
      </c>
      <c r="O508">
        <v>2.0099999999999998</v>
      </c>
      <c r="P508">
        <v>1.81</v>
      </c>
      <c r="W508" s="39">
        <f t="shared" si="23"/>
        <v>0</v>
      </c>
    </row>
    <row r="509" spans="1:23">
      <c r="A509" s="151">
        <v>18269398125</v>
      </c>
      <c r="B509" s="34">
        <v>15980</v>
      </c>
      <c r="E509" s="151">
        <v>18269398125</v>
      </c>
      <c r="F509" s="34">
        <v>15980</v>
      </c>
      <c r="H509" t="b">
        <f t="shared" si="21"/>
        <v>1</v>
      </c>
      <c r="I509" t="b">
        <f t="shared" si="22"/>
        <v>1</v>
      </c>
      <c r="M509">
        <v>10416398967</v>
      </c>
      <c r="N509" t="s">
        <v>444</v>
      </c>
      <c r="O509">
        <v>2.0099999999999998</v>
      </c>
      <c r="P509">
        <v>2.2220163083765754</v>
      </c>
      <c r="W509" s="39">
        <f t="shared" si="23"/>
        <v>0</v>
      </c>
    </row>
    <row r="510" spans="1:23">
      <c r="A510" s="151">
        <v>18278399663</v>
      </c>
      <c r="B510" s="34">
        <v>14560</v>
      </c>
      <c r="E510" s="151">
        <v>18278399663</v>
      </c>
      <c r="F510" s="34">
        <v>14560</v>
      </c>
      <c r="H510" t="b">
        <f t="shared" si="21"/>
        <v>1</v>
      </c>
      <c r="I510" t="b">
        <f t="shared" si="22"/>
        <v>1</v>
      </c>
      <c r="M510">
        <v>10300399137</v>
      </c>
      <c r="N510" t="s">
        <v>444</v>
      </c>
      <c r="O510">
        <v>2.0099999999999998</v>
      </c>
      <c r="P510">
        <v>2.2217573221757321</v>
      </c>
      <c r="W510" s="39">
        <f t="shared" si="23"/>
        <v>0</v>
      </c>
    </row>
    <row r="511" spans="1:23">
      <c r="A511" s="151">
        <v>18289400521</v>
      </c>
      <c r="B511" s="34">
        <v>1795</v>
      </c>
      <c r="E511" s="151">
        <v>18289400521</v>
      </c>
      <c r="F511" s="34">
        <v>1795</v>
      </c>
      <c r="H511" t="b">
        <f t="shared" si="21"/>
        <v>1</v>
      </c>
      <c r="I511" t="b">
        <f t="shared" si="22"/>
        <v>1</v>
      </c>
      <c r="M511">
        <v>17968393077</v>
      </c>
      <c r="N511" t="s">
        <v>444</v>
      </c>
      <c r="O511">
        <v>2.0099999999999998</v>
      </c>
      <c r="P511">
        <v>1.8132530120481927</v>
      </c>
      <c r="W511" s="39">
        <f t="shared" si="23"/>
        <v>0</v>
      </c>
    </row>
    <row r="512" spans="1:23">
      <c r="A512" s="151">
        <v>18304400388</v>
      </c>
      <c r="B512" s="34">
        <v>14074</v>
      </c>
      <c r="E512" s="151">
        <v>18304400388</v>
      </c>
      <c r="F512" s="34">
        <v>14074</v>
      </c>
      <c r="H512" t="b">
        <f t="shared" si="21"/>
        <v>1</v>
      </c>
      <c r="I512" t="b">
        <f t="shared" si="22"/>
        <v>1</v>
      </c>
      <c r="M512">
        <v>18310393077</v>
      </c>
      <c r="N512" t="s">
        <v>444</v>
      </c>
      <c r="O512">
        <v>2.0099999999999998</v>
      </c>
      <c r="P512">
        <v>2.2220640569395016</v>
      </c>
      <c r="W512" s="39">
        <f t="shared" si="23"/>
        <v>0</v>
      </c>
    </row>
    <row r="513" spans="1:23">
      <c r="A513" s="151">
        <v>18309398428</v>
      </c>
      <c r="B513" s="34">
        <v>1022</v>
      </c>
      <c r="E513" s="151">
        <v>18309398428</v>
      </c>
      <c r="F513" s="34">
        <v>1022</v>
      </c>
      <c r="H513" t="b">
        <f t="shared" si="21"/>
        <v>1</v>
      </c>
      <c r="I513" t="b">
        <f t="shared" si="22"/>
        <v>1</v>
      </c>
      <c r="M513">
        <v>18364393077</v>
      </c>
      <c r="N513" t="s">
        <v>444</v>
      </c>
      <c r="O513">
        <v>2.0099999999999998</v>
      </c>
      <c r="P513">
        <v>1.8181545835829838</v>
      </c>
      <c r="W513" s="39">
        <f t="shared" si="23"/>
        <v>0</v>
      </c>
    </row>
    <row r="514" spans="1:23">
      <c r="A514" s="151">
        <v>18309398519</v>
      </c>
      <c r="B514" s="34">
        <v>2045</v>
      </c>
      <c r="E514" s="151">
        <v>18309398519</v>
      </c>
      <c r="F514" s="34">
        <v>2045</v>
      </c>
      <c r="H514" t="b">
        <f t="shared" si="21"/>
        <v>1</v>
      </c>
      <c r="I514" t="b">
        <f t="shared" si="22"/>
        <v>1</v>
      </c>
      <c r="M514">
        <v>9990398443</v>
      </c>
      <c r="N514" t="s">
        <v>444</v>
      </c>
      <c r="O514">
        <v>2.0099999999999998</v>
      </c>
      <c r="P514">
        <v>2.2220288846354621</v>
      </c>
      <c r="W514" s="39">
        <f t="shared" si="23"/>
        <v>0</v>
      </c>
    </row>
    <row r="515" spans="1:23">
      <c r="A515" s="151">
        <v>18310393077</v>
      </c>
      <c r="B515" s="34">
        <v>6244</v>
      </c>
      <c r="E515" s="151">
        <v>18310393077</v>
      </c>
      <c r="F515" s="34">
        <v>6244</v>
      </c>
      <c r="H515" t="b">
        <f t="shared" si="21"/>
        <v>1</v>
      </c>
      <c r="I515" t="b">
        <f t="shared" si="22"/>
        <v>1</v>
      </c>
      <c r="M515">
        <v>10033398443</v>
      </c>
      <c r="N515" t="s">
        <v>444</v>
      </c>
      <c r="O515">
        <v>2.0099999999999998</v>
      </c>
      <c r="P515">
        <v>2.2222222222222223</v>
      </c>
      <c r="W515" s="39">
        <f t="shared" si="23"/>
        <v>0</v>
      </c>
    </row>
    <row r="516" spans="1:23">
      <c r="A516" s="151">
        <v>18358399015</v>
      </c>
      <c r="B516" s="34">
        <v>16780</v>
      </c>
      <c r="E516" s="151">
        <v>18358399015</v>
      </c>
      <c r="F516" s="34">
        <v>16780</v>
      </c>
      <c r="H516" t="b">
        <f t="shared" si="21"/>
        <v>1</v>
      </c>
      <c r="I516" t="b">
        <f t="shared" si="22"/>
        <v>1</v>
      </c>
      <c r="M516">
        <v>10043398443</v>
      </c>
      <c r="N516" t="s">
        <v>444</v>
      </c>
      <c r="O516">
        <v>2.0099999999999998</v>
      </c>
      <c r="P516">
        <v>2.2222222222222223</v>
      </c>
      <c r="W516" s="39">
        <f t="shared" si="23"/>
        <v>0</v>
      </c>
    </row>
    <row r="517" spans="1:23">
      <c r="A517" s="151">
        <v>18362400545</v>
      </c>
      <c r="B517" s="34">
        <v>357</v>
      </c>
      <c r="E517" s="151">
        <v>18362400545</v>
      </c>
      <c r="F517" s="34">
        <v>357</v>
      </c>
      <c r="H517" t="b">
        <f t="shared" si="21"/>
        <v>1</v>
      </c>
      <c r="I517" t="b">
        <f t="shared" si="22"/>
        <v>1</v>
      </c>
      <c r="M517">
        <v>18503399473</v>
      </c>
      <c r="N517" t="s">
        <v>445</v>
      </c>
      <c r="O517">
        <v>2.02</v>
      </c>
      <c r="P517">
        <v>1.8172690763052208</v>
      </c>
      <c r="W517" s="39">
        <f t="shared" si="23"/>
        <v>0</v>
      </c>
    </row>
    <row r="518" spans="1:23">
      <c r="A518" s="151">
        <v>18364393077</v>
      </c>
      <c r="B518" s="34">
        <v>6069</v>
      </c>
      <c r="E518" s="151">
        <v>18364393077</v>
      </c>
      <c r="F518" s="34">
        <v>6069</v>
      </c>
      <c r="H518" t="b">
        <f t="shared" si="21"/>
        <v>1</v>
      </c>
      <c r="I518" t="b">
        <f t="shared" si="22"/>
        <v>1</v>
      </c>
      <c r="M518">
        <v>18503399473</v>
      </c>
      <c r="N518" t="s">
        <v>445</v>
      </c>
      <c r="O518">
        <v>2.02</v>
      </c>
      <c r="P518">
        <v>1.8182479627473807</v>
      </c>
      <c r="W518" s="39">
        <f t="shared" si="23"/>
        <v>0</v>
      </c>
    </row>
    <row r="519" spans="1:23">
      <c r="A519" s="151">
        <v>18364398603</v>
      </c>
      <c r="B519" s="34">
        <v>1022</v>
      </c>
      <c r="E519" s="151">
        <v>18364398603</v>
      </c>
      <c r="F519" s="34">
        <v>1022</v>
      </c>
      <c r="H519" t="b">
        <f t="shared" si="21"/>
        <v>1</v>
      </c>
      <c r="I519" t="b">
        <f t="shared" si="22"/>
        <v>1</v>
      </c>
      <c r="M519">
        <v>10422400167</v>
      </c>
      <c r="N519" t="s">
        <v>445</v>
      </c>
      <c r="O519">
        <v>2.02</v>
      </c>
      <c r="P519">
        <v>1.8180844225412471</v>
      </c>
      <c r="W519" s="39">
        <f t="shared" si="23"/>
        <v>0</v>
      </c>
    </row>
    <row r="520" spans="1:23">
      <c r="A520" s="151">
        <v>18377400553</v>
      </c>
      <c r="B520" s="34">
        <v>19220</v>
      </c>
      <c r="E520" s="151">
        <v>18377400553</v>
      </c>
      <c r="F520" s="34">
        <v>19220</v>
      </c>
      <c r="H520" t="b">
        <f t="shared" si="21"/>
        <v>1</v>
      </c>
      <c r="I520" t="b">
        <f t="shared" si="22"/>
        <v>1</v>
      </c>
      <c r="M520">
        <v>3420400200</v>
      </c>
      <c r="N520" t="s">
        <v>445</v>
      </c>
      <c r="O520">
        <v>2.02</v>
      </c>
      <c r="P520">
        <v>2.2228136882129279</v>
      </c>
      <c r="W520" s="39">
        <f t="shared" si="23"/>
        <v>0</v>
      </c>
    </row>
    <row r="521" spans="1:23">
      <c r="A521" s="151">
        <v>18381399328</v>
      </c>
      <c r="B521" s="34">
        <v>10265</v>
      </c>
      <c r="E521" s="151">
        <v>18381399328</v>
      </c>
      <c r="F521" s="34">
        <v>10265</v>
      </c>
      <c r="H521" t="b">
        <f t="shared" si="21"/>
        <v>1</v>
      </c>
      <c r="I521" t="b">
        <f t="shared" si="22"/>
        <v>1</v>
      </c>
      <c r="M521">
        <v>3205400366</v>
      </c>
      <c r="N521" t="s">
        <v>445</v>
      </c>
      <c r="O521">
        <v>2.02</v>
      </c>
      <c r="P521">
        <v>2.2218934911242605</v>
      </c>
      <c r="W521" s="39">
        <f t="shared" si="23"/>
        <v>0</v>
      </c>
    </row>
    <row r="522" spans="1:23">
      <c r="A522" s="151">
        <v>18408401271</v>
      </c>
      <c r="B522" s="34">
        <v>5640</v>
      </c>
      <c r="E522" s="151">
        <v>18408401271</v>
      </c>
      <c r="F522" s="34">
        <v>5640</v>
      </c>
      <c r="H522" t="b">
        <f t="shared" si="21"/>
        <v>1</v>
      </c>
      <c r="I522" t="b">
        <f t="shared" si="22"/>
        <v>1</v>
      </c>
      <c r="M522">
        <v>3446399867</v>
      </c>
      <c r="N522" t="s">
        <v>445</v>
      </c>
      <c r="O522">
        <v>2.02</v>
      </c>
      <c r="P522">
        <v>1.8174273858921162</v>
      </c>
      <c r="W522" s="39">
        <f t="shared" si="23"/>
        <v>0</v>
      </c>
    </row>
    <row r="523" spans="1:23">
      <c r="A523" s="151">
        <v>18410399081</v>
      </c>
      <c r="B523" s="34">
        <v>8830</v>
      </c>
      <c r="E523" s="151">
        <v>18410399081</v>
      </c>
      <c r="F523" s="34">
        <v>8830</v>
      </c>
      <c r="H523" t="b">
        <f t="shared" si="21"/>
        <v>1</v>
      </c>
      <c r="I523" t="b">
        <f t="shared" si="22"/>
        <v>1</v>
      </c>
      <c r="M523">
        <v>3459399867</v>
      </c>
      <c r="N523" t="s">
        <v>445</v>
      </c>
      <c r="O523">
        <v>2.02</v>
      </c>
      <c r="P523">
        <v>1.8181818181818181</v>
      </c>
      <c r="W523" s="39">
        <f t="shared" si="23"/>
        <v>0</v>
      </c>
    </row>
    <row r="524" spans="1:23">
      <c r="A524" s="151">
        <v>18413399081</v>
      </c>
      <c r="B524" s="34">
        <v>12940</v>
      </c>
      <c r="E524" s="151">
        <v>18413399081</v>
      </c>
      <c r="F524" s="34">
        <v>12940</v>
      </c>
      <c r="H524" t="b">
        <f t="shared" si="21"/>
        <v>1</v>
      </c>
      <c r="I524" t="b">
        <f t="shared" si="22"/>
        <v>1</v>
      </c>
      <c r="M524">
        <v>18364398603</v>
      </c>
      <c r="N524" t="s">
        <v>445</v>
      </c>
      <c r="O524">
        <v>2.02</v>
      </c>
      <c r="P524">
        <v>1.8185053380782918</v>
      </c>
      <c r="W524" s="39">
        <f t="shared" si="23"/>
        <v>0</v>
      </c>
    </row>
    <row r="525" spans="1:23">
      <c r="A525" s="151">
        <v>18414399663</v>
      </c>
      <c r="B525" s="34">
        <v>7250</v>
      </c>
      <c r="E525" s="151">
        <v>18414399663</v>
      </c>
      <c r="F525" s="34">
        <v>7250</v>
      </c>
      <c r="H525" t="b">
        <f t="shared" si="21"/>
        <v>1</v>
      </c>
      <c r="I525" t="b">
        <f t="shared" si="22"/>
        <v>1</v>
      </c>
      <c r="M525">
        <v>18444398603</v>
      </c>
      <c r="N525" t="s">
        <v>445</v>
      </c>
      <c r="O525">
        <v>2.02</v>
      </c>
      <c r="P525">
        <v>2.2216435185185186</v>
      </c>
      <c r="W525" s="39">
        <f t="shared" si="23"/>
        <v>0</v>
      </c>
    </row>
    <row r="526" spans="1:23">
      <c r="A526" s="151">
        <v>18420399489</v>
      </c>
      <c r="B526" s="34">
        <v>4800</v>
      </c>
      <c r="E526" s="151">
        <v>18420399489</v>
      </c>
      <c r="F526" s="34">
        <v>4800</v>
      </c>
      <c r="H526" t="b">
        <f t="shared" si="21"/>
        <v>1</v>
      </c>
      <c r="I526" t="b">
        <f t="shared" si="22"/>
        <v>1</v>
      </c>
      <c r="M526">
        <v>18507398603</v>
      </c>
      <c r="N526" t="s">
        <v>445</v>
      </c>
      <c r="O526">
        <v>2.02</v>
      </c>
      <c r="P526">
        <v>2.2220620043258834</v>
      </c>
      <c r="W526" s="39">
        <f t="shared" si="23"/>
        <v>0</v>
      </c>
    </row>
    <row r="527" spans="1:23">
      <c r="A527" s="151">
        <v>18434399650</v>
      </c>
      <c r="B527" s="34">
        <v>4684</v>
      </c>
      <c r="E527" s="151">
        <v>18434399650</v>
      </c>
      <c r="F527" s="34">
        <v>4684</v>
      </c>
      <c r="H527" t="b">
        <f t="shared" si="21"/>
        <v>1</v>
      </c>
      <c r="I527" t="b">
        <f t="shared" si="22"/>
        <v>1</v>
      </c>
      <c r="M527">
        <v>18507398603</v>
      </c>
      <c r="N527" t="s">
        <v>445</v>
      </c>
      <c r="O527">
        <v>2.02</v>
      </c>
      <c r="P527">
        <v>2.2226970560303894</v>
      </c>
      <c r="W527" s="39">
        <f t="shared" si="23"/>
        <v>0</v>
      </c>
    </row>
    <row r="528" spans="1:23">
      <c r="A528" s="151">
        <v>18444398603</v>
      </c>
      <c r="B528" s="34">
        <v>3839</v>
      </c>
      <c r="E528" s="151">
        <v>18444398603</v>
      </c>
      <c r="F528" s="34">
        <v>3839</v>
      </c>
      <c r="H528" t="b">
        <f t="shared" si="21"/>
        <v>1</v>
      </c>
      <c r="I528" t="b">
        <f t="shared" si="22"/>
        <v>1</v>
      </c>
      <c r="M528">
        <v>3658400205</v>
      </c>
      <c r="N528" t="s">
        <v>445</v>
      </c>
      <c r="O528">
        <v>2.02</v>
      </c>
      <c r="P528">
        <v>2.222365750138402</v>
      </c>
      <c r="W528" s="39">
        <f t="shared" si="23"/>
        <v>0</v>
      </c>
    </row>
    <row r="529" spans="1:23">
      <c r="A529" s="151">
        <v>18458401229</v>
      </c>
      <c r="B529" s="34">
        <v>3675</v>
      </c>
      <c r="E529" s="151">
        <v>18458401229</v>
      </c>
      <c r="F529" s="34">
        <v>3675</v>
      </c>
      <c r="H529" t="b">
        <f t="shared" si="21"/>
        <v>1</v>
      </c>
      <c r="I529" t="b">
        <f t="shared" si="22"/>
        <v>1</v>
      </c>
      <c r="M529">
        <v>18459399963</v>
      </c>
      <c r="N529" t="s">
        <v>445</v>
      </c>
      <c r="O529">
        <v>2.02</v>
      </c>
      <c r="P529">
        <v>1.8181818181818181</v>
      </c>
      <c r="W529" s="39">
        <f t="shared" si="23"/>
        <v>0</v>
      </c>
    </row>
    <row r="530" spans="1:23">
      <c r="A530" s="151">
        <v>18459399963</v>
      </c>
      <c r="B530" s="34">
        <v>14880</v>
      </c>
      <c r="E530" s="151">
        <v>18459399963</v>
      </c>
      <c r="F530" s="34">
        <v>14880</v>
      </c>
      <c r="H530" t="b">
        <f t="shared" si="21"/>
        <v>1</v>
      </c>
      <c r="I530" t="b">
        <f t="shared" si="22"/>
        <v>1</v>
      </c>
      <c r="M530">
        <v>17597399818</v>
      </c>
      <c r="N530" t="s">
        <v>445</v>
      </c>
      <c r="O530">
        <v>2.02</v>
      </c>
      <c r="P530">
        <v>2.2222222222222223</v>
      </c>
      <c r="W530" s="39">
        <f t="shared" si="23"/>
        <v>0</v>
      </c>
    </row>
    <row r="531" spans="1:23">
      <c r="A531" s="151">
        <v>18503399473</v>
      </c>
      <c r="B531" s="34">
        <v>13400</v>
      </c>
      <c r="E531" s="151">
        <v>18503399473</v>
      </c>
      <c r="F531" s="34">
        <v>13400</v>
      </c>
      <c r="H531" t="b">
        <f t="shared" si="21"/>
        <v>1</v>
      </c>
      <c r="I531" t="b">
        <f t="shared" si="22"/>
        <v>1</v>
      </c>
      <c r="M531">
        <v>2133400102</v>
      </c>
      <c r="N531" t="s">
        <v>445</v>
      </c>
      <c r="O531">
        <v>2.02</v>
      </c>
      <c r="P531">
        <v>2.2220812182741119</v>
      </c>
      <c r="W531" s="39">
        <f t="shared" si="23"/>
        <v>0</v>
      </c>
    </row>
    <row r="532" spans="1:23">
      <c r="A532" s="151">
        <v>18507398603</v>
      </c>
      <c r="B532" s="34">
        <v>7763</v>
      </c>
      <c r="E532" s="151">
        <v>18507398603</v>
      </c>
      <c r="F532" s="34">
        <v>7763</v>
      </c>
      <c r="H532" t="b">
        <f t="shared" si="21"/>
        <v>1</v>
      </c>
      <c r="I532" t="b">
        <f t="shared" si="22"/>
        <v>1</v>
      </c>
      <c r="M532">
        <v>2133400102</v>
      </c>
      <c r="N532" t="s">
        <v>445</v>
      </c>
      <c r="O532">
        <v>2.02</v>
      </c>
      <c r="P532">
        <v>2.2200647249190939</v>
      </c>
      <c r="W532" s="39">
        <f t="shared" si="23"/>
        <v>0</v>
      </c>
    </row>
    <row r="533" spans="1:23">
      <c r="A533" s="151">
        <v>18531400389</v>
      </c>
      <c r="B533" s="34">
        <v>9420</v>
      </c>
      <c r="E533" s="151">
        <v>18531400389</v>
      </c>
      <c r="F533" s="34">
        <v>9420</v>
      </c>
      <c r="H533" t="b">
        <f t="shared" si="21"/>
        <v>1</v>
      </c>
      <c r="I533" t="b">
        <f t="shared" si="22"/>
        <v>1</v>
      </c>
      <c r="M533">
        <v>17610399489</v>
      </c>
      <c r="N533" t="s">
        <v>445</v>
      </c>
      <c r="O533">
        <v>2.02</v>
      </c>
      <c r="P533">
        <v>1.8181818181818181</v>
      </c>
      <c r="W533" s="39">
        <f t="shared" si="23"/>
        <v>0</v>
      </c>
    </row>
    <row r="534" spans="1:23">
      <c r="A534" s="151">
        <v>18551401341</v>
      </c>
      <c r="B534" s="34">
        <v>4815</v>
      </c>
      <c r="E534" s="151">
        <v>18551401341</v>
      </c>
      <c r="F534" s="34">
        <v>4815</v>
      </c>
      <c r="H534" t="b">
        <f t="shared" si="21"/>
        <v>1</v>
      </c>
      <c r="I534" t="b">
        <f t="shared" si="22"/>
        <v>1</v>
      </c>
      <c r="M534">
        <v>17617399489</v>
      </c>
      <c r="N534" t="s">
        <v>445</v>
      </c>
      <c r="O534">
        <v>2.02</v>
      </c>
      <c r="P534">
        <v>1.818116462976276</v>
      </c>
      <c r="W534" s="39">
        <f t="shared" si="23"/>
        <v>0</v>
      </c>
    </row>
    <row r="535" spans="1:23">
      <c r="A535" s="151">
        <v>18564401596</v>
      </c>
      <c r="B535" s="34">
        <v>19720</v>
      </c>
      <c r="E535" s="151">
        <v>18564401596</v>
      </c>
      <c r="F535" s="34">
        <v>19720</v>
      </c>
      <c r="H535" t="b">
        <f t="shared" ref="H535:H559" si="24">A535=E535</f>
        <v>1</v>
      </c>
      <c r="I535" t="b">
        <f t="shared" ref="I535:I559" si="25">B535=F535</f>
        <v>1</v>
      </c>
      <c r="M535">
        <v>18420399489</v>
      </c>
      <c r="N535" t="s">
        <v>445</v>
      </c>
      <c r="O535">
        <v>2.02</v>
      </c>
      <c r="P535">
        <v>1.8181818181818181</v>
      </c>
      <c r="W535" s="39">
        <f t="shared" ref="W535:W598" si="26">U535-V535</f>
        <v>0</v>
      </c>
    </row>
    <row r="536" spans="1:23">
      <c r="A536" s="151">
        <v>18575401604</v>
      </c>
      <c r="B536" s="34">
        <v>2943</v>
      </c>
      <c r="E536" s="151">
        <v>18575401604</v>
      </c>
      <c r="F536" s="34">
        <v>2943</v>
      </c>
      <c r="H536" t="b">
        <f t="shared" si="24"/>
        <v>1</v>
      </c>
      <c r="I536" t="b">
        <f t="shared" si="25"/>
        <v>1</v>
      </c>
      <c r="M536">
        <v>17316400750</v>
      </c>
      <c r="N536" t="s">
        <v>445</v>
      </c>
      <c r="O536">
        <v>2.02</v>
      </c>
      <c r="P536">
        <v>1.8181356792420911</v>
      </c>
      <c r="W536" s="39">
        <f t="shared" si="26"/>
        <v>0</v>
      </c>
    </row>
    <row r="537" spans="1:23">
      <c r="A537" s="151">
        <v>18575401630</v>
      </c>
      <c r="B537" s="34">
        <v>4204</v>
      </c>
      <c r="E537" s="151">
        <v>18575401630</v>
      </c>
      <c r="F537" s="34">
        <v>4204</v>
      </c>
      <c r="H537" t="b">
        <f t="shared" si="24"/>
        <v>1</v>
      </c>
      <c r="I537" t="b">
        <f t="shared" si="25"/>
        <v>1</v>
      </c>
      <c r="M537">
        <v>17316400750</v>
      </c>
      <c r="N537" t="s">
        <v>445</v>
      </c>
      <c r="O537">
        <v>2.02</v>
      </c>
      <c r="P537">
        <v>1.8182487122884474</v>
      </c>
      <c r="W537" s="39">
        <f t="shared" si="26"/>
        <v>0</v>
      </c>
    </row>
    <row r="538" spans="1:23">
      <c r="A538" s="151">
        <v>18578401151</v>
      </c>
      <c r="B538" s="34">
        <v>6037</v>
      </c>
      <c r="E538" s="151">
        <v>18578401151</v>
      </c>
      <c r="F538" s="34">
        <v>6037</v>
      </c>
      <c r="H538" t="b">
        <f t="shared" si="24"/>
        <v>1</v>
      </c>
      <c r="I538" t="b">
        <f t="shared" si="25"/>
        <v>1</v>
      </c>
      <c r="M538">
        <v>18040400750</v>
      </c>
      <c r="N538" t="s">
        <v>445</v>
      </c>
      <c r="O538">
        <v>2.02</v>
      </c>
      <c r="P538">
        <v>2.2220598977355732</v>
      </c>
      <c r="W538" s="39">
        <f t="shared" si="26"/>
        <v>0</v>
      </c>
    </row>
    <row r="539" spans="1:23">
      <c r="A539" s="151">
        <v>18582401097</v>
      </c>
      <c r="B539" s="34">
        <v>3355</v>
      </c>
      <c r="E539" s="151">
        <v>18582401097</v>
      </c>
      <c r="F539" s="34">
        <v>3355</v>
      </c>
      <c r="H539" t="b">
        <f t="shared" si="24"/>
        <v>1</v>
      </c>
      <c r="I539" t="b">
        <f t="shared" si="25"/>
        <v>1</v>
      </c>
      <c r="M539">
        <v>10472401052</v>
      </c>
      <c r="N539" t="s">
        <v>445</v>
      </c>
      <c r="O539">
        <v>2.02</v>
      </c>
      <c r="P539">
        <v>2.2222222222222223</v>
      </c>
      <c r="W539" s="39">
        <f t="shared" si="26"/>
        <v>0</v>
      </c>
    </row>
    <row r="540" spans="1:23">
      <c r="A540" s="151">
        <v>18615400553</v>
      </c>
      <c r="B540" s="34">
        <v>16900</v>
      </c>
      <c r="E540" s="151">
        <v>18615400553</v>
      </c>
      <c r="F540" s="34">
        <v>16900</v>
      </c>
      <c r="H540" t="b">
        <f t="shared" si="24"/>
        <v>1</v>
      </c>
      <c r="I540" t="b">
        <f t="shared" si="25"/>
        <v>1</v>
      </c>
      <c r="M540">
        <v>10500401052</v>
      </c>
      <c r="N540" t="s">
        <v>445</v>
      </c>
      <c r="O540">
        <v>2.02</v>
      </c>
      <c r="P540">
        <v>1.8181818181818181</v>
      </c>
      <c r="W540" s="39">
        <f t="shared" si="26"/>
        <v>0</v>
      </c>
    </row>
    <row r="541" spans="1:23">
      <c r="A541" s="151">
        <v>18627401345</v>
      </c>
      <c r="B541" s="34">
        <v>16880</v>
      </c>
      <c r="E541" s="151">
        <v>18627401345</v>
      </c>
      <c r="F541" s="34">
        <v>16880</v>
      </c>
      <c r="H541" t="b">
        <f t="shared" si="24"/>
        <v>1</v>
      </c>
      <c r="I541" t="b">
        <f t="shared" si="25"/>
        <v>1</v>
      </c>
      <c r="M541">
        <v>10281400485</v>
      </c>
      <c r="N541" t="s">
        <v>445</v>
      </c>
      <c r="O541">
        <v>2.02</v>
      </c>
      <c r="P541">
        <v>1.8177650429799428</v>
      </c>
      <c r="W541" s="39">
        <f t="shared" si="26"/>
        <v>0</v>
      </c>
    </row>
    <row r="542" spans="1:23">
      <c r="A542" s="151">
        <v>18653401271</v>
      </c>
      <c r="B542" s="34">
        <v>12233</v>
      </c>
      <c r="E542" s="151">
        <v>18653401271</v>
      </c>
      <c r="F542" s="34">
        <v>12233</v>
      </c>
      <c r="H542" t="b">
        <f t="shared" si="24"/>
        <v>1</v>
      </c>
      <c r="I542" t="b">
        <f t="shared" si="25"/>
        <v>1</v>
      </c>
      <c r="M542">
        <v>18362400545</v>
      </c>
      <c r="N542" t="s">
        <v>445</v>
      </c>
      <c r="O542">
        <v>2.02</v>
      </c>
      <c r="P542">
        <v>1.8214285714285714</v>
      </c>
      <c r="W542" s="39">
        <f t="shared" si="26"/>
        <v>0</v>
      </c>
    </row>
    <row r="543" spans="1:23">
      <c r="A543" s="151">
        <v>18654401482</v>
      </c>
      <c r="B543" s="34">
        <v>3009</v>
      </c>
      <c r="E543" s="151">
        <v>18654401482</v>
      </c>
      <c r="F543" s="34">
        <v>3009</v>
      </c>
      <c r="H543" t="b">
        <f t="shared" si="24"/>
        <v>1</v>
      </c>
      <c r="I543" t="b">
        <f t="shared" si="25"/>
        <v>1</v>
      </c>
      <c r="M543">
        <v>3626400472</v>
      </c>
      <c r="N543" t="s">
        <v>445</v>
      </c>
      <c r="O543">
        <v>2.02</v>
      </c>
      <c r="P543">
        <v>2.2229965156794425</v>
      </c>
      <c r="W543" s="39">
        <f t="shared" si="26"/>
        <v>0</v>
      </c>
    </row>
    <row r="544" spans="1:23">
      <c r="A544" s="151">
        <v>18687401345</v>
      </c>
      <c r="B544" s="34">
        <v>5509</v>
      </c>
      <c r="E544" s="151">
        <v>18687401345</v>
      </c>
      <c r="F544" s="34">
        <v>5509</v>
      </c>
      <c r="H544" t="b">
        <f t="shared" si="24"/>
        <v>1</v>
      </c>
      <c r="I544" t="b">
        <f t="shared" si="25"/>
        <v>1</v>
      </c>
      <c r="M544">
        <v>3626400472</v>
      </c>
      <c r="N544" t="s">
        <v>445</v>
      </c>
      <c r="O544">
        <v>2.02</v>
      </c>
      <c r="P544">
        <v>2.2225925925925925</v>
      </c>
      <c r="W544" s="39">
        <f t="shared" si="26"/>
        <v>0</v>
      </c>
    </row>
    <row r="545" spans="1:23">
      <c r="A545" s="151">
        <v>18689401414</v>
      </c>
      <c r="B545" s="34">
        <v>9160</v>
      </c>
      <c r="E545" s="151">
        <v>18689401414</v>
      </c>
      <c r="F545" s="34">
        <v>9160</v>
      </c>
      <c r="H545" t="b">
        <f t="shared" si="24"/>
        <v>1</v>
      </c>
      <c r="I545" t="b">
        <f t="shared" si="25"/>
        <v>1</v>
      </c>
      <c r="M545">
        <v>10165401040</v>
      </c>
      <c r="N545" t="s">
        <v>445</v>
      </c>
      <c r="O545">
        <v>2.02</v>
      </c>
      <c r="P545">
        <v>1.8182505671792286</v>
      </c>
      <c r="W545" s="39">
        <f t="shared" si="26"/>
        <v>0</v>
      </c>
    </row>
    <row r="546" spans="1:23">
      <c r="A546" s="151">
        <v>15537803386861</v>
      </c>
      <c r="B546" s="34">
        <v>3360</v>
      </c>
      <c r="E546" s="151">
        <v>15537803386861</v>
      </c>
      <c r="F546" s="34">
        <v>3360</v>
      </c>
      <c r="H546" t="b">
        <f t="shared" si="24"/>
        <v>1</v>
      </c>
      <c r="I546" t="b">
        <f t="shared" si="25"/>
        <v>1</v>
      </c>
      <c r="M546">
        <v>10165401040</v>
      </c>
      <c r="N546" t="s">
        <v>445</v>
      </c>
      <c r="O546">
        <v>2.02</v>
      </c>
      <c r="P546">
        <v>1.8181397501156873</v>
      </c>
      <c r="W546" s="39">
        <f t="shared" si="26"/>
        <v>0</v>
      </c>
    </row>
    <row r="547" spans="1:23">
      <c r="A547" s="151">
        <v>15537853386861</v>
      </c>
      <c r="B547" s="34">
        <v>26948</v>
      </c>
      <c r="E547" s="151">
        <v>15537853386861</v>
      </c>
      <c r="F547" s="34">
        <v>26948</v>
      </c>
      <c r="H547" t="b">
        <f t="shared" si="24"/>
        <v>1</v>
      </c>
      <c r="I547" t="b">
        <f t="shared" si="25"/>
        <v>1</v>
      </c>
      <c r="M547">
        <v>10327401040</v>
      </c>
      <c r="N547" t="s">
        <v>445</v>
      </c>
      <c r="O547">
        <v>2.02</v>
      </c>
      <c r="P547">
        <v>1.8181818181818181</v>
      </c>
      <c r="W547" s="39">
        <f t="shared" si="26"/>
        <v>0</v>
      </c>
    </row>
    <row r="548" spans="1:23">
      <c r="A548" s="151">
        <v>15633458389525</v>
      </c>
      <c r="B548" s="34">
        <v>16990</v>
      </c>
      <c r="E548" s="151">
        <v>15633458389525</v>
      </c>
      <c r="F548" s="34">
        <v>16990</v>
      </c>
      <c r="H548" t="b">
        <f t="shared" si="24"/>
        <v>1</v>
      </c>
      <c r="I548" t="b">
        <f t="shared" si="25"/>
        <v>1</v>
      </c>
      <c r="M548">
        <v>10476401040</v>
      </c>
      <c r="N548" t="s">
        <v>445</v>
      </c>
      <c r="O548">
        <v>2.02</v>
      </c>
      <c r="P548">
        <v>2.222022955523673</v>
      </c>
      <c r="W548" s="39">
        <f t="shared" si="26"/>
        <v>0</v>
      </c>
    </row>
    <row r="549" spans="1:23">
      <c r="A549" s="151">
        <v>15704694392026</v>
      </c>
      <c r="B549" s="34">
        <v>2396</v>
      </c>
      <c r="E549" s="151">
        <v>15704694392026</v>
      </c>
      <c r="F549" s="34">
        <v>2396</v>
      </c>
      <c r="H549" t="b">
        <f t="shared" si="24"/>
        <v>1</v>
      </c>
      <c r="I549" t="b">
        <f t="shared" si="25"/>
        <v>1</v>
      </c>
      <c r="M549">
        <v>10576401040</v>
      </c>
      <c r="N549" t="s">
        <v>445</v>
      </c>
      <c r="O549">
        <v>2.02</v>
      </c>
      <c r="P549">
        <v>1.8184</v>
      </c>
      <c r="W549" s="39">
        <f t="shared" si="26"/>
        <v>0</v>
      </c>
    </row>
    <row r="550" spans="1:23">
      <c r="A550" s="151">
        <v>15704694393812</v>
      </c>
      <c r="B550" s="34">
        <v>3294</v>
      </c>
      <c r="E550" s="151">
        <v>15704694393812</v>
      </c>
      <c r="F550" s="34">
        <v>3294</v>
      </c>
      <c r="H550" t="b">
        <f t="shared" si="24"/>
        <v>1</v>
      </c>
      <c r="I550" t="b">
        <f t="shared" si="25"/>
        <v>1</v>
      </c>
      <c r="M550">
        <v>10576401040</v>
      </c>
      <c r="N550" t="s">
        <v>445</v>
      </c>
      <c r="O550">
        <v>2.02</v>
      </c>
      <c r="P550">
        <v>1.8180698151950718</v>
      </c>
      <c r="W550" s="39">
        <f t="shared" si="26"/>
        <v>0</v>
      </c>
    </row>
    <row r="551" spans="1:23">
      <c r="A551" s="151">
        <v>15716854391525</v>
      </c>
      <c r="B551" s="34">
        <v>9070</v>
      </c>
      <c r="E551" s="151">
        <v>15716854391525</v>
      </c>
      <c r="F551" s="34">
        <v>9070</v>
      </c>
      <c r="H551" t="b">
        <f t="shared" si="24"/>
        <v>1</v>
      </c>
      <c r="I551" t="b">
        <f t="shared" si="25"/>
        <v>1</v>
      </c>
      <c r="M551">
        <v>10576401040</v>
      </c>
      <c r="N551" t="s">
        <v>445</v>
      </c>
      <c r="O551">
        <v>2.02</v>
      </c>
      <c r="P551">
        <v>2.2224299065420561</v>
      </c>
      <c r="W551" s="39">
        <f t="shared" si="26"/>
        <v>0</v>
      </c>
    </row>
    <row r="552" spans="1:23">
      <c r="A552" s="151">
        <v>15754887393075</v>
      </c>
      <c r="B552" s="34">
        <v>2037</v>
      </c>
      <c r="E552" s="151">
        <v>15754887393075</v>
      </c>
      <c r="F552" s="34">
        <v>2037</v>
      </c>
      <c r="H552" t="b">
        <f t="shared" si="24"/>
        <v>1</v>
      </c>
      <c r="I552" t="b">
        <f t="shared" si="25"/>
        <v>1</v>
      </c>
      <c r="M552">
        <v>18041400388</v>
      </c>
      <c r="N552" t="s">
        <v>445</v>
      </c>
      <c r="O552">
        <v>2.02</v>
      </c>
      <c r="P552">
        <v>2.2211434735706579</v>
      </c>
      <c r="W552" s="39">
        <f t="shared" si="26"/>
        <v>0</v>
      </c>
    </row>
    <row r="553" spans="1:23">
      <c r="A553" s="151">
        <v>15760313392442</v>
      </c>
      <c r="B553" s="34">
        <v>34790</v>
      </c>
      <c r="E553" s="151">
        <v>15760313392442</v>
      </c>
      <c r="F553" s="34">
        <v>34790</v>
      </c>
      <c r="H553" t="b">
        <f t="shared" si="24"/>
        <v>1</v>
      </c>
      <c r="I553" t="b">
        <f t="shared" si="25"/>
        <v>1</v>
      </c>
      <c r="M553">
        <v>18041400388</v>
      </c>
      <c r="N553" t="s">
        <v>445</v>
      </c>
      <c r="O553">
        <v>2.02</v>
      </c>
      <c r="P553">
        <v>2.2222045237336729</v>
      </c>
      <c r="W553" s="39">
        <f t="shared" si="26"/>
        <v>0</v>
      </c>
    </row>
    <row r="554" spans="1:23">
      <c r="A554" s="151">
        <v>15873049396197</v>
      </c>
      <c r="B554" s="34">
        <v>14530</v>
      </c>
      <c r="E554" s="151">
        <v>15873049396197</v>
      </c>
      <c r="F554" s="34">
        <v>14530</v>
      </c>
      <c r="H554" t="b">
        <f t="shared" si="24"/>
        <v>1</v>
      </c>
      <c r="I554" t="b">
        <f t="shared" si="25"/>
        <v>1</v>
      </c>
      <c r="M554">
        <v>18304400388</v>
      </c>
      <c r="N554" t="s">
        <v>445</v>
      </c>
      <c r="O554">
        <v>2.02</v>
      </c>
      <c r="P554">
        <v>2.2223274909205748</v>
      </c>
      <c r="W554" s="39">
        <f t="shared" si="26"/>
        <v>0</v>
      </c>
    </row>
    <row r="555" spans="1:23">
      <c r="A555" s="151">
        <v>15908218398025</v>
      </c>
      <c r="B555" s="34">
        <v>3364</v>
      </c>
      <c r="E555" s="151">
        <v>15908218398025</v>
      </c>
      <c r="F555" s="34">
        <v>3364</v>
      </c>
      <c r="H555" t="b">
        <f t="shared" si="24"/>
        <v>1</v>
      </c>
      <c r="I555" t="b">
        <f t="shared" si="25"/>
        <v>1</v>
      </c>
      <c r="M555">
        <v>17586400553</v>
      </c>
      <c r="N555" t="s">
        <v>445</v>
      </c>
      <c r="O555">
        <v>2.02</v>
      </c>
      <c r="P555">
        <v>1.8180854447153609</v>
      </c>
      <c r="W555" s="39">
        <f t="shared" si="26"/>
        <v>0</v>
      </c>
    </row>
    <row r="556" spans="1:23">
      <c r="A556" s="151">
        <v>15918960396957</v>
      </c>
      <c r="B556" s="34">
        <v>4730</v>
      </c>
      <c r="E556" s="151">
        <v>15918960396957</v>
      </c>
      <c r="F556" s="34">
        <v>4730</v>
      </c>
      <c r="H556" t="b">
        <f t="shared" si="24"/>
        <v>1</v>
      </c>
      <c r="I556" t="b">
        <f t="shared" si="25"/>
        <v>1</v>
      </c>
      <c r="M556">
        <v>17616400553</v>
      </c>
      <c r="N556" t="s">
        <v>445</v>
      </c>
      <c r="O556">
        <v>2.02</v>
      </c>
      <c r="P556">
        <v>1.8182196339434276</v>
      </c>
      <c r="W556" s="39">
        <f t="shared" si="26"/>
        <v>0</v>
      </c>
    </row>
    <row r="557" spans="1:23">
      <c r="A557" s="151">
        <v>15943721399092</v>
      </c>
      <c r="B557" s="34">
        <v>1680</v>
      </c>
      <c r="E557" s="151">
        <v>15943721399092</v>
      </c>
      <c r="F557" s="34">
        <v>1680</v>
      </c>
      <c r="H557" t="b">
        <f t="shared" si="24"/>
        <v>1</v>
      </c>
      <c r="I557" t="b">
        <f t="shared" si="25"/>
        <v>1</v>
      </c>
      <c r="M557">
        <v>18377400553</v>
      </c>
      <c r="N557" t="s">
        <v>445</v>
      </c>
      <c r="O557">
        <v>2.02</v>
      </c>
      <c r="P557">
        <v>1.8205128205128205</v>
      </c>
      <c r="W557" s="39">
        <f t="shared" si="26"/>
        <v>0</v>
      </c>
    </row>
    <row r="558" spans="1:23">
      <c r="A558" s="151" t="s">
        <v>430</v>
      </c>
      <c r="B558" s="34">
        <v>4043014</v>
      </c>
      <c r="E558" s="151" t="s">
        <v>430</v>
      </c>
      <c r="F558" s="34">
        <v>4043014</v>
      </c>
      <c r="H558" t="b">
        <f t="shared" si="24"/>
        <v>1</v>
      </c>
      <c r="I558" t="b">
        <f t="shared" si="25"/>
        <v>1</v>
      </c>
      <c r="M558">
        <v>18377400553</v>
      </c>
      <c r="N558" t="s">
        <v>447</v>
      </c>
      <c r="O558">
        <v>2.0099999999999998</v>
      </c>
      <c r="P558">
        <v>1.8181644906127894</v>
      </c>
      <c r="W558" s="39">
        <f t="shared" si="26"/>
        <v>0</v>
      </c>
    </row>
    <row r="559" spans="1:23">
      <c r="H559" t="b">
        <f t="shared" si="24"/>
        <v>1</v>
      </c>
      <c r="I559" t="b">
        <f t="shared" si="25"/>
        <v>1</v>
      </c>
      <c r="M559">
        <v>17265400750</v>
      </c>
      <c r="N559" t="s">
        <v>445</v>
      </c>
      <c r="O559">
        <v>2.02</v>
      </c>
      <c r="P559">
        <v>1.8181818181818181</v>
      </c>
      <c r="W559" s="39">
        <f t="shared" si="26"/>
        <v>0</v>
      </c>
    </row>
    <row r="560" spans="1:23">
      <c r="M560">
        <v>17597400603</v>
      </c>
      <c r="N560" t="s">
        <v>445</v>
      </c>
      <c r="O560">
        <v>2.02</v>
      </c>
      <c r="P560">
        <v>2.2220582810770932</v>
      </c>
      <c r="W560" s="39">
        <f t="shared" si="26"/>
        <v>0</v>
      </c>
    </row>
    <row r="561" spans="13:23">
      <c r="M561">
        <v>17597400603</v>
      </c>
      <c r="N561" t="s">
        <v>445</v>
      </c>
      <c r="O561">
        <v>2.02</v>
      </c>
      <c r="P561">
        <v>2.2225080385852092</v>
      </c>
      <c r="W561" s="39">
        <f t="shared" si="26"/>
        <v>0</v>
      </c>
    </row>
    <row r="562" spans="13:23">
      <c r="M562">
        <v>2132400380</v>
      </c>
      <c r="N562" t="s">
        <v>445</v>
      </c>
      <c r="O562">
        <v>2.02</v>
      </c>
      <c r="P562">
        <v>2.2220808954464513</v>
      </c>
      <c r="W562" s="39">
        <f t="shared" si="26"/>
        <v>0</v>
      </c>
    </row>
    <row r="563" spans="13:23">
      <c r="M563">
        <v>2133400390</v>
      </c>
      <c r="N563" t="s">
        <v>445</v>
      </c>
      <c r="O563">
        <v>2.02</v>
      </c>
      <c r="P563">
        <v>2.2223851417399803</v>
      </c>
      <c r="W563" s="39">
        <f t="shared" si="26"/>
        <v>0</v>
      </c>
    </row>
    <row r="564" spans="13:23">
      <c r="M564">
        <v>10479400714</v>
      </c>
      <c r="N564" t="s">
        <v>445</v>
      </c>
      <c r="O564">
        <v>2.02</v>
      </c>
      <c r="P564">
        <v>1.8181818181818181</v>
      </c>
      <c r="W564" s="39">
        <f t="shared" si="26"/>
        <v>0</v>
      </c>
    </row>
    <row r="565" spans="13:23">
      <c r="M565">
        <v>3628400472</v>
      </c>
      <c r="N565" t="s">
        <v>445</v>
      </c>
      <c r="O565">
        <v>2.02</v>
      </c>
      <c r="P565">
        <v>2.2222222222222223</v>
      </c>
      <c r="W565" s="39">
        <f t="shared" si="26"/>
        <v>0</v>
      </c>
    </row>
    <row r="566" spans="13:23">
      <c r="M566">
        <v>17851400388</v>
      </c>
      <c r="N566" t="s">
        <v>445</v>
      </c>
      <c r="O566">
        <v>2.02</v>
      </c>
      <c r="P566">
        <v>2.2222222222222223</v>
      </c>
      <c r="W566" s="39">
        <f t="shared" si="26"/>
        <v>0</v>
      </c>
    </row>
    <row r="567" spans="13:23">
      <c r="M567">
        <v>17323399910</v>
      </c>
      <c r="N567" t="s">
        <v>445</v>
      </c>
      <c r="O567">
        <v>2.02</v>
      </c>
      <c r="P567">
        <v>2.2219387755102042</v>
      </c>
      <c r="W567" s="39">
        <f t="shared" si="26"/>
        <v>0</v>
      </c>
    </row>
    <row r="568" spans="13:23">
      <c r="M568">
        <v>17817399910</v>
      </c>
      <c r="N568" t="s">
        <v>445</v>
      </c>
      <c r="O568">
        <v>2.02</v>
      </c>
      <c r="P568">
        <v>2.2222222222222223</v>
      </c>
      <c r="W568" s="39">
        <f t="shared" si="26"/>
        <v>0</v>
      </c>
    </row>
    <row r="569" spans="13:23">
      <c r="M569">
        <v>10545400533</v>
      </c>
      <c r="N569" t="s">
        <v>445</v>
      </c>
      <c r="O569">
        <v>2.02</v>
      </c>
      <c r="P569">
        <v>1.8183475091130012</v>
      </c>
      <c r="W569" s="39">
        <f t="shared" si="26"/>
        <v>0</v>
      </c>
    </row>
    <row r="570" spans="13:23">
      <c r="M570">
        <v>3594400597</v>
      </c>
      <c r="N570" t="s">
        <v>445</v>
      </c>
      <c r="O570">
        <v>2.02</v>
      </c>
      <c r="P570">
        <v>1.8178096212896622</v>
      </c>
      <c r="W570" s="39">
        <f t="shared" si="26"/>
        <v>0</v>
      </c>
    </row>
    <row r="571" spans="13:23">
      <c r="M571">
        <v>3658400402</v>
      </c>
      <c r="N571" t="s">
        <v>445</v>
      </c>
      <c r="O571">
        <v>2.02</v>
      </c>
      <c r="P571">
        <v>2.2214428857715429</v>
      </c>
      <c r="W571" s="39">
        <f t="shared" si="26"/>
        <v>0</v>
      </c>
    </row>
    <row r="572" spans="13:23">
      <c r="M572">
        <v>18531400389</v>
      </c>
      <c r="N572" t="s">
        <v>445</v>
      </c>
      <c r="O572">
        <v>2.02</v>
      </c>
      <c r="P572">
        <v>2.2222222222222223</v>
      </c>
      <c r="W572" s="39">
        <f t="shared" si="26"/>
        <v>0</v>
      </c>
    </row>
    <row r="573" spans="13:23">
      <c r="M573">
        <v>17531400603</v>
      </c>
      <c r="N573" t="s">
        <v>445</v>
      </c>
      <c r="O573">
        <v>2.02</v>
      </c>
      <c r="P573">
        <v>2.2222222222222223</v>
      </c>
      <c r="W573" s="39">
        <f t="shared" si="26"/>
        <v>0</v>
      </c>
    </row>
    <row r="574" spans="13:23">
      <c r="M574">
        <v>17416390649</v>
      </c>
      <c r="N574" t="s">
        <v>446</v>
      </c>
      <c r="O574">
        <v>1.98</v>
      </c>
      <c r="P574">
        <v>1.8212765957446808</v>
      </c>
      <c r="W574" s="39">
        <f t="shared" si="26"/>
        <v>0</v>
      </c>
    </row>
    <row r="575" spans="13:23">
      <c r="M575">
        <v>17416390649</v>
      </c>
      <c r="N575" t="s">
        <v>446</v>
      </c>
      <c r="O575">
        <v>1.98</v>
      </c>
      <c r="P575">
        <v>1.8181990701205049</v>
      </c>
      <c r="W575" s="39">
        <f t="shared" si="26"/>
        <v>0</v>
      </c>
    </row>
    <row r="576" spans="13:23">
      <c r="M576">
        <v>17419390649</v>
      </c>
      <c r="N576" t="s">
        <v>446</v>
      </c>
      <c r="O576">
        <v>1.98</v>
      </c>
      <c r="P576">
        <v>1.8180977054034049</v>
      </c>
      <c r="W576" s="39">
        <f t="shared" si="26"/>
        <v>0</v>
      </c>
    </row>
    <row r="577" spans="13:23">
      <c r="M577">
        <v>15760313392442</v>
      </c>
      <c r="N577" t="s">
        <v>446</v>
      </c>
      <c r="O577">
        <v>1.98</v>
      </c>
      <c r="P577">
        <v>1.8181259222823414</v>
      </c>
      <c r="W577" s="39">
        <f t="shared" si="26"/>
        <v>0</v>
      </c>
    </row>
    <row r="578" spans="13:23">
      <c r="M578">
        <v>15760313392442</v>
      </c>
      <c r="N578" t="s">
        <v>446</v>
      </c>
      <c r="O578">
        <v>1.98</v>
      </c>
      <c r="P578">
        <v>1.8181405071344179</v>
      </c>
      <c r="W578" s="39">
        <f t="shared" si="26"/>
        <v>0</v>
      </c>
    </row>
    <row r="579" spans="13:23">
      <c r="M579">
        <v>10176392893</v>
      </c>
      <c r="N579" t="s">
        <v>446</v>
      </c>
      <c r="O579">
        <v>1.98</v>
      </c>
      <c r="P579">
        <v>1.8182175622542596</v>
      </c>
      <c r="W579" s="39">
        <f t="shared" si="26"/>
        <v>0</v>
      </c>
    </row>
    <row r="580" spans="13:23">
      <c r="M580">
        <v>10176392893</v>
      </c>
      <c r="N580" t="s">
        <v>446</v>
      </c>
      <c r="O580">
        <v>1.98</v>
      </c>
      <c r="P580">
        <v>1.8142857142857143</v>
      </c>
      <c r="W580" s="39">
        <f t="shared" si="26"/>
        <v>0</v>
      </c>
    </row>
    <row r="581" spans="13:23">
      <c r="M581">
        <v>10177392893</v>
      </c>
      <c r="N581" t="s">
        <v>446</v>
      </c>
      <c r="O581">
        <v>1.98</v>
      </c>
      <c r="P581">
        <v>1.8181818181818181</v>
      </c>
      <c r="W581" s="39">
        <f t="shared" si="26"/>
        <v>0</v>
      </c>
    </row>
    <row r="582" spans="13:23">
      <c r="M582">
        <v>17216393974</v>
      </c>
      <c r="N582" t="s">
        <v>446</v>
      </c>
      <c r="O582">
        <v>1.98</v>
      </c>
      <c r="P582">
        <v>2.2185185185185183</v>
      </c>
      <c r="W582" s="39">
        <f t="shared" si="26"/>
        <v>0</v>
      </c>
    </row>
    <row r="583" spans="13:23">
      <c r="M583">
        <v>10138394764</v>
      </c>
      <c r="N583" t="s">
        <v>446</v>
      </c>
      <c r="O583">
        <v>1.98</v>
      </c>
      <c r="P583">
        <v>1.8181959082455053</v>
      </c>
      <c r="W583" s="39">
        <f t="shared" si="26"/>
        <v>0</v>
      </c>
    </row>
    <row r="584" spans="13:23">
      <c r="M584">
        <v>10145394764</v>
      </c>
      <c r="N584" t="s">
        <v>446</v>
      </c>
      <c r="O584">
        <v>1.98</v>
      </c>
      <c r="P584">
        <v>1.8181482847657691</v>
      </c>
      <c r="W584" s="39">
        <f t="shared" si="26"/>
        <v>0</v>
      </c>
    </row>
    <row r="585" spans="13:23">
      <c r="M585">
        <v>17198393436</v>
      </c>
      <c r="N585" t="s">
        <v>446</v>
      </c>
      <c r="O585">
        <v>1.98</v>
      </c>
      <c r="P585">
        <v>1.8181818181818181</v>
      </c>
      <c r="W585" s="39">
        <f t="shared" si="26"/>
        <v>0</v>
      </c>
    </row>
    <row r="586" spans="13:23">
      <c r="M586">
        <v>17198393436</v>
      </c>
      <c r="N586" t="s">
        <v>446</v>
      </c>
      <c r="O586">
        <v>1.98</v>
      </c>
      <c r="P586">
        <v>1.817944705268649</v>
      </c>
      <c r="W586" s="39">
        <f t="shared" si="26"/>
        <v>0</v>
      </c>
    </row>
    <row r="587" spans="13:23">
      <c r="M587">
        <v>3278393785</v>
      </c>
      <c r="N587" t="s">
        <v>446</v>
      </c>
      <c r="O587">
        <v>1.98</v>
      </c>
      <c r="P587">
        <v>2.2228088701161561</v>
      </c>
      <c r="W587" s="39">
        <f t="shared" si="26"/>
        <v>0</v>
      </c>
    </row>
    <row r="588" spans="13:23">
      <c r="M588">
        <v>17463394077</v>
      </c>
      <c r="N588" t="s">
        <v>446</v>
      </c>
      <c r="O588">
        <v>1.98</v>
      </c>
      <c r="P588">
        <v>2.2222222222222223</v>
      </c>
      <c r="W588" s="39">
        <f t="shared" si="26"/>
        <v>0</v>
      </c>
    </row>
    <row r="589" spans="13:23">
      <c r="M589">
        <v>17867394077</v>
      </c>
      <c r="N589" t="s">
        <v>446</v>
      </c>
      <c r="O589">
        <v>1.98</v>
      </c>
      <c r="P589">
        <v>1.8182989690721649</v>
      </c>
      <c r="W589" s="39">
        <f t="shared" si="26"/>
        <v>0</v>
      </c>
    </row>
    <row r="590" spans="13:23">
      <c r="M590">
        <v>17632394020</v>
      </c>
      <c r="N590" t="s">
        <v>446</v>
      </c>
      <c r="O590">
        <v>1.98</v>
      </c>
      <c r="P590">
        <v>2.2223250647908181</v>
      </c>
      <c r="W590" s="39">
        <f t="shared" si="26"/>
        <v>0</v>
      </c>
    </row>
    <row r="591" spans="13:23">
      <c r="M591">
        <v>17383390649</v>
      </c>
      <c r="N591" t="s">
        <v>446</v>
      </c>
      <c r="O591">
        <v>1.98</v>
      </c>
      <c r="P591">
        <v>1.8180870773506252</v>
      </c>
      <c r="W591" s="39">
        <f t="shared" si="26"/>
        <v>0</v>
      </c>
    </row>
    <row r="592" spans="13:23">
      <c r="M592">
        <v>17383390649</v>
      </c>
      <c r="N592" t="s">
        <v>446</v>
      </c>
      <c r="O592">
        <v>1.98</v>
      </c>
      <c r="P592">
        <v>1.8181441590720795</v>
      </c>
      <c r="W592" s="39">
        <f t="shared" si="26"/>
        <v>0</v>
      </c>
    </row>
    <row r="593" spans="13:23">
      <c r="M593">
        <v>17216392156</v>
      </c>
      <c r="N593" t="s">
        <v>446</v>
      </c>
      <c r="O593">
        <v>1.98</v>
      </c>
      <c r="P593">
        <v>2.2195767195767195</v>
      </c>
      <c r="W593" s="39">
        <f t="shared" si="26"/>
        <v>0</v>
      </c>
    </row>
    <row r="594" spans="13:23">
      <c r="M594">
        <v>17442392984</v>
      </c>
      <c r="N594" t="s">
        <v>446</v>
      </c>
      <c r="O594">
        <v>1.98</v>
      </c>
      <c r="P594">
        <v>2.2218926134678139</v>
      </c>
      <c r="W594" s="39">
        <f t="shared" si="26"/>
        <v>0</v>
      </c>
    </row>
    <row r="595" spans="13:23">
      <c r="M595">
        <v>17065393126</v>
      </c>
      <c r="N595" t="s">
        <v>446</v>
      </c>
      <c r="O595">
        <v>1.98</v>
      </c>
      <c r="P595">
        <v>1.8180579216354344</v>
      </c>
      <c r="W595" s="39">
        <f t="shared" si="26"/>
        <v>0</v>
      </c>
    </row>
    <row r="596" spans="13:23">
      <c r="M596">
        <v>17701393126</v>
      </c>
      <c r="N596" t="s">
        <v>446</v>
      </c>
      <c r="O596">
        <v>1.98</v>
      </c>
      <c r="P596">
        <v>2.2224507787246548</v>
      </c>
      <c r="W596" s="39">
        <f t="shared" si="26"/>
        <v>0</v>
      </c>
    </row>
    <row r="597" spans="13:23">
      <c r="M597">
        <v>17701393126</v>
      </c>
      <c r="N597" t="s">
        <v>446</v>
      </c>
      <c r="O597">
        <v>1.98</v>
      </c>
      <c r="P597">
        <v>2.22244623655914</v>
      </c>
      <c r="W597" s="39">
        <f t="shared" si="26"/>
        <v>0</v>
      </c>
    </row>
    <row r="598" spans="13:23">
      <c r="M598">
        <v>17357390649</v>
      </c>
      <c r="N598" t="s">
        <v>446</v>
      </c>
      <c r="O598">
        <v>1.98</v>
      </c>
      <c r="P598">
        <v>1.8180988037622134</v>
      </c>
      <c r="W598" s="39">
        <f t="shared" si="26"/>
        <v>0</v>
      </c>
    </row>
    <row r="599" spans="13:23">
      <c r="M599">
        <v>17358390649</v>
      </c>
      <c r="N599" t="s">
        <v>446</v>
      </c>
      <c r="O599">
        <v>1.98</v>
      </c>
      <c r="P599">
        <v>1.8180848795052249</v>
      </c>
      <c r="W599" s="39">
        <f t="shared" ref="W599:W662" si="27">U599-V599</f>
        <v>0</v>
      </c>
    </row>
    <row r="600" spans="13:23">
      <c r="M600">
        <v>17358390649</v>
      </c>
      <c r="N600" t="s">
        <v>446</v>
      </c>
      <c r="O600">
        <v>1.98</v>
      </c>
      <c r="P600">
        <v>1.8182578164186591</v>
      </c>
      <c r="W600" s="39">
        <f t="shared" si="27"/>
        <v>0</v>
      </c>
    </row>
    <row r="601" spans="13:23">
      <c r="M601">
        <v>17359390649</v>
      </c>
      <c r="N601" t="s">
        <v>446</v>
      </c>
      <c r="O601">
        <v>1.98</v>
      </c>
      <c r="P601">
        <v>1.8181818181818181</v>
      </c>
      <c r="W601" s="39">
        <f t="shared" si="27"/>
        <v>0</v>
      </c>
    </row>
    <row r="602" spans="13:23">
      <c r="M602">
        <v>17581392764</v>
      </c>
      <c r="N602" t="s">
        <v>446</v>
      </c>
      <c r="O602">
        <v>1.98</v>
      </c>
      <c r="P602">
        <v>1.818342151675485</v>
      </c>
      <c r="W602" s="39">
        <f t="shared" si="27"/>
        <v>0</v>
      </c>
    </row>
    <row r="603" spans="13:23">
      <c r="M603">
        <v>17581392764</v>
      </c>
      <c r="N603" t="s">
        <v>446</v>
      </c>
      <c r="O603">
        <v>1.98</v>
      </c>
      <c r="P603">
        <v>1.8181587623636826</v>
      </c>
      <c r="W603" s="39">
        <f t="shared" si="27"/>
        <v>0</v>
      </c>
    </row>
    <row r="604" spans="13:23">
      <c r="M604">
        <v>17600392764</v>
      </c>
      <c r="N604" t="s">
        <v>446</v>
      </c>
      <c r="O604">
        <v>1.98</v>
      </c>
      <c r="P604">
        <v>1.8181818181818181</v>
      </c>
      <c r="W604" s="39">
        <f t="shared" si="27"/>
        <v>0</v>
      </c>
    </row>
    <row r="605" spans="13:23">
      <c r="M605">
        <v>17607392764</v>
      </c>
      <c r="N605" t="s">
        <v>446</v>
      </c>
      <c r="O605">
        <v>1.98</v>
      </c>
      <c r="P605">
        <v>1.8181818181818181</v>
      </c>
      <c r="W605" s="39">
        <f t="shared" si="27"/>
        <v>0</v>
      </c>
    </row>
    <row r="606" spans="13:23">
      <c r="M606">
        <v>17607392764</v>
      </c>
      <c r="N606" t="s">
        <v>446</v>
      </c>
      <c r="O606">
        <v>1.98</v>
      </c>
      <c r="P606">
        <v>1.8175018698578909</v>
      </c>
      <c r="W606" s="39">
        <f t="shared" si="27"/>
        <v>0</v>
      </c>
    </row>
    <row r="607" spans="13:23">
      <c r="M607">
        <v>17650392764</v>
      </c>
      <c r="N607" t="s">
        <v>446</v>
      </c>
      <c r="O607">
        <v>1.98</v>
      </c>
      <c r="P607">
        <v>1.8180694598937091</v>
      </c>
      <c r="W607" s="39">
        <f t="shared" si="27"/>
        <v>0</v>
      </c>
    </row>
    <row r="608" spans="13:23">
      <c r="M608">
        <v>17671392764</v>
      </c>
      <c r="N608" t="s">
        <v>446</v>
      </c>
      <c r="O608">
        <v>1.98</v>
      </c>
      <c r="P608">
        <v>1.8181818181818181</v>
      </c>
      <c r="W608" s="39">
        <f t="shared" si="27"/>
        <v>0</v>
      </c>
    </row>
    <row r="609" spans="13:23">
      <c r="M609">
        <v>17665393317</v>
      </c>
      <c r="N609" t="s">
        <v>446</v>
      </c>
      <c r="O609">
        <v>1.98</v>
      </c>
      <c r="P609">
        <v>1.8178542834267415</v>
      </c>
      <c r="W609" s="39">
        <f t="shared" si="27"/>
        <v>0</v>
      </c>
    </row>
    <row r="610" spans="13:23">
      <c r="M610">
        <v>17621401271</v>
      </c>
      <c r="N610" t="s">
        <v>447</v>
      </c>
      <c r="O610">
        <v>2.0099999999999998</v>
      </c>
      <c r="P610">
        <v>2.2168674698795181</v>
      </c>
      <c r="W610" s="39">
        <f t="shared" si="27"/>
        <v>0</v>
      </c>
    </row>
    <row r="611" spans="13:23">
      <c r="M611">
        <v>17621401271</v>
      </c>
      <c r="N611" t="s">
        <v>447</v>
      </c>
      <c r="O611">
        <v>2.0099999999999998</v>
      </c>
      <c r="P611">
        <v>2.2221883572081684</v>
      </c>
      <c r="W611" s="39">
        <f t="shared" si="27"/>
        <v>0</v>
      </c>
    </row>
    <row r="612" spans="13:23">
      <c r="M612">
        <v>17984401271</v>
      </c>
      <c r="N612" t="s">
        <v>447</v>
      </c>
      <c r="O612">
        <v>2.0099999999999998</v>
      </c>
      <c r="P612">
        <v>2.2222222222222223</v>
      </c>
      <c r="W612" s="39">
        <f t="shared" si="27"/>
        <v>0</v>
      </c>
    </row>
    <row r="613" spans="13:23">
      <c r="M613">
        <v>18094401271</v>
      </c>
      <c r="N613" t="s">
        <v>447</v>
      </c>
      <c r="O613">
        <v>2.0099999999999998</v>
      </c>
      <c r="P613">
        <v>2.2219334719334718</v>
      </c>
      <c r="W613" s="39">
        <f t="shared" si="27"/>
        <v>0</v>
      </c>
    </row>
    <row r="614" spans="13:23">
      <c r="M614">
        <v>18408401271</v>
      </c>
      <c r="N614" t="s">
        <v>447</v>
      </c>
      <c r="O614">
        <v>2.0099999999999998</v>
      </c>
      <c r="P614">
        <v>2.2222222222222223</v>
      </c>
      <c r="W614" s="39">
        <f t="shared" si="27"/>
        <v>0</v>
      </c>
    </row>
    <row r="615" spans="13:23">
      <c r="M615">
        <v>18653401271</v>
      </c>
      <c r="N615" t="s">
        <v>447</v>
      </c>
      <c r="O615">
        <v>2.0099999999999998</v>
      </c>
      <c r="P615">
        <v>1.8182223543400713</v>
      </c>
      <c r="W615" s="39">
        <f t="shared" si="27"/>
        <v>0</v>
      </c>
    </row>
    <row r="616" spans="13:23">
      <c r="M616">
        <v>17951401573</v>
      </c>
      <c r="N616" t="s">
        <v>447</v>
      </c>
      <c r="O616">
        <v>2.0099999999999998</v>
      </c>
      <c r="P616">
        <v>2.2222222222222223</v>
      </c>
      <c r="W616" s="39">
        <f t="shared" si="27"/>
        <v>0</v>
      </c>
    </row>
    <row r="617" spans="13:23">
      <c r="M617">
        <v>17951401573</v>
      </c>
      <c r="N617" t="s">
        <v>447</v>
      </c>
      <c r="O617">
        <v>2.0099999999999998</v>
      </c>
      <c r="P617">
        <v>2.2220831246870305</v>
      </c>
      <c r="W617" s="39">
        <f t="shared" si="27"/>
        <v>0</v>
      </c>
    </row>
    <row r="618" spans="13:23">
      <c r="M618">
        <v>18013401573</v>
      </c>
      <c r="N618" t="s">
        <v>447</v>
      </c>
      <c r="O618">
        <v>2.0099999999999998</v>
      </c>
      <c r="P618">
        <v>2.2222222222222223</v>
      </c>
      <c r="W618" s="39">
        <f t="shared" si="27"/>
        <v>0</v>
      </c>
    </row>
    <row r="619" spans="13:23">
      <c r="M619">
        <v>2045401333</v>
      </c>
      <c r="N619" t="s">
        <v>447</v>
      </c>
      <c r="O619">
        <v>2.0099999999999998</v>
      </c>
      <c r="P619">
        <v>1.817989417989418</v>
      </c>
      <c r="W619" s="39">
        <f t="shared" si="27"/>
        <v>0</v>
      </c>
    </row>
    <row r="620" spans="13:23">
      <c r="M620">
        <v>2045401333</v>
      </c>
      <c r="N620" t="s">
        <v>447</v>
      </c>
      <c r="O620">
        <v>2.0099999999999998</v>
      </c>
      <c r="P620">
        <v>1.8182068206820683</v>
      </c>
      <c r="W620" s="39">
        <f t="shared" si="27"/>
        <v>0</v>
      </c>
    </row>
    <row r="621" spans="13:23">
      <c r="M621">
        <v>10577401563</v>
      </c>
      <c r="N621" t="s">
        <v>447</v>
      </c>
      <c r="O621">
        <v>2.0099999999999998</v>
      </c>
      <c r="P621">
        <v>2.2000000000000002</v>
      </c>
      <c r="W621" s="39">
        <f t="shared" si="27"/>
        <v>0</v>
      </c>
    </row>
    <row r="622" spans="13:23">
      <c r="M622">
        <v>10577401563</v>
      </c>
      <c r="N622" t="s">
        <v>447</v>
      </c>
      <c r="O622">
        <v>2.0099999999999998</v>
      </c>
      <c r="P622">
        <v>2.2222982216142273</v>
      </c>
      <c r="W622" s="39">
        <f t="shared" si="27"/>
        <v>0</v>
      </c>
    </row>
    <row r="623" spans="13:23">
      <c r="M623">
        <v>10461401154</v>
      </c>
      <c r="N623" t="s">
        <v>447</v>
      </c>
      <c r="O623">
        <v>2.0099999999999998</v>
      </c>
      <c r="P623">
        <v>1.8180442022403875</v>
      </c>
      <c r="W623" s="39">
        <f t="shared" si="27"/>
        <v>0</v>
      </c>
    </row>
    <row r="624" spans="13:23">
      <c r="M624">
        <v>1979401336</v>
      </c>
      <c r="N624" t="s">
        <v>447</v>
      </c>
      <c r="O624">
        <v>2.0099999999999998</v>
      </c>
      <c r="P624">
        <v>1.8182854537163702</v>
      </c>
      <c r="W624" s="39">
        <f t="shared" si="27"/>
        <v>0</v>
      </c>
    </row>
    <row r="625" spans="13:23">
      <c r="M625">
        <v>1979401337</v>
      </c>
      <c r="N625" t="s">
        <v>447</v>
      </c>
      <c r="O625">
        <v>2.0099999999999998</v>
      </c>
      <c r="P625">
        <v>1.8180715585203153</v>
      </c>
      <c r="W625" s="39">
        <f t="shared" si="27"/>
        <v>0</v>
      </c>
    </row>
    <row r="626" spans="13:23">
      <c r="M626">
        <v>17033401230</v>
      </c>
      <c r="N626" t="s">
        <v>447</v>
      </c>
      <c r="O626">
        <v>2.0099999999999998</v>
      </c>
      <c r="P626">
        <v>2.2222222222222223</v>
      </c>
      <c r="W626" s="39">
        <f t="shared" si="27"/>
        <v>0</v>
      </c>
    </row>
    <row r="627" spans="13:23">
      <c r="M627">
        <v>17295401230</v>
      </c>
      <c r="N627" t="s">
        <v>447</v>
      </c>
      <c r="O627">
        <v>2.0099999999999998</v>
      </c>
      <c r="P627">
        <v>2.2222222222222223</v>
      </c>
      <c r="W627" s="39">
        <f t="shared" si="27"/>
        <v>0</v>
      </c>
    </row>
    <row r="628" spans="13:23">
      <c r="M628">
        <v>17312401230</v>
      </c>
      <c r="N628" t="s">
        <v>447</v>
      </c>
      <c r="O628">
        <v>2.0099999999999998</v>
      </c>
      <c r="P628">
        <v>2.2222222222222223</v>
      </c>
      <c r="W628" s="39">
        <f t="shared" si="27"/>
        <v>0</v>
      </c>
    </row>
    <row r="629" spans="13:23">
      <c r="M629">
        <v>3626401293</v>
      </c>
      <c r="N629" t="s">
        <v>447</v>
      </c>
      <c r="O629">
        <v>2.0099999999999998</v>
      </c>
      <c r="P629">
        <v>2.2221362229102168</v>
      </c>
      <c r="W629" s="39">
        <f t="shared" si="27"/>
        <v>0</v>
      </c>
    </row>
    <row r="630" spans="13:23">
      <c r="M630">
        <v>17558401583</v>
      </c>
      <c r="N630" t="s">
        <v>447</v>
      </c>
      <c r="O630">
        <v>2.0099999999999998</v>
      </c>
      <c r="P630">
        <v>2.2221231043710974</v>
      </c>
      <c r="W630" s="39">
        <f t="shared" si="27"/>
        <v>0</v>
      </c>
    </row>
    <row r="631" spans="13:23">
      <c r="M631">
        <v>17558401583</v>
      </c>
      <c r="N631" t="s">
        <v>447</v>
      </c>
      <c r="O631">
        <v>2.0099999999999998</v>
      </c>
      <c r="P631">
        <v>2.2222411154565549</v>
      </c>
      <c r="W631" s="39">
        <f t="shared" si="27"/>
        <v>0</v>
      </c>
    </row>
    <row r="632" spans="13:23">
      <c r="M632">
        <v>3484401162</v>
      </c>
      <c r="N632" t="s">
        <v>447</v>
      </c>
      <c r="O632">
        <v>2.0099999999999998</v>
      </c>
      <c r="P632">
        <v>2.2222222222222223</v>
      </c>
      <c r="W632" s="39">
        <f t="shared" si="27"/>
        <v>0</v>
      </c>
    </row>
    <row r="633" spans="13:23">
      <c r="M633">
        <v>3320401207</v>
      </c>
      <c r="N633" t="s">
        <v>447</v>
      </c>
      <c r="O633">
        <v>2.0099999999999998</v>
      </c>
      <c r="P633">
        <v>1.8181818181818181</v>
      </c>
      <c r="W633" s="39">
        <f t="shared" si="27"/>
        <v>0</v>
      </c>
    </row>
    <row r="634" spans="13:23">
      <c r="M634">
        <v>3353401207</v>
      </c>
      <c r="N634" t="s">
        <v>447</v>
      </c>
      <c r="O634">
        <v>2.0099999999999998</v>
      </c>
      <c r="P634">
        <v>1.8177749360613811</v>
      </c>
      <c r="W634" s="39">
        <f t="shared" si="27"/>
        <v>0</v>
      </c>
    </row>
    <row r="635" spans="13:23">
      <c r="M635">
        <v>3461401207</v>
      </c>
      <c r="N635" t="s">
        <v>447</v>
      </c>
      <c r="O635">
        <v>2.0099999999999998</v>
      </c>
      <c r="P635">
        <v>1.8180135718692165</v>
      </c>
      <c r="W635" s="39">
        <f t="shared" si="27"/>
        <v>0</v>
      </c>
    </row>
    <row r="636" spans="13:23">
      <c r="M636">
        <v>3484401207</v>
      </c>
      <c r="N636" t="s">
        <v>447</v>
      </c>
      <c r="O636">
        <v>2.0099999999999998</v>
      </c>
      <c r="P636">
        <v>2.2222222222222223</v>
      </c>
      <c r="W636" s="39">
        <f t="shared" si="27"/>
        <v>0</v>
      </c>
    </row>
    <row r="637" spans="13:23">
      <c r="M637">
        <v>17584401604</v>
      </c>
      <c r="N637" t="s">
        <v>447</v>
      </c>
      <c r="O637">
        <v>2.0099999999999998</v>
      </c>
      <c r="P637">
        <v>2.2222222222222223</v>
      </c>
      <c r="W637" s="39">
        <f t="shared" si="27"/>
        <v>0</v>
      </c>
    </row>
    <row r="638" spans="13:23">
      <c r="M638">
        <v>18575401604</v>
      </c>
      <c r="N638" t="s">
        <v>447</v>
      </c>
      <c r="O638">
        <v>2.0099999999999998</v>
      </c>
      <c r="P638">
        <v>2.2228096676737161</v>
      </c>
      <c r="W638" s="39">
        <f t="shared" si="27"/>
        <v>0</v>
      </c>
    </row>
    <row r="639" spans="13:23">
      <c r="M639">
        <v>18575401630</v>
      </c>
      <c r="N639" t="s">
        <v>447</v>
      </c>
      <c r="O639">
        <v>2.0099999999999998</v>
      </c>
      <c r="P639">
        <v>2.2219873150105709</v>
      </c>
      <c r="W639" s="39">
        <f t="shared" si="27"/>
        <v>0</v>
      </c>
    </row>
    <row r="640" spans="13:23">
      <c r="M640">
        <v>10591401674</v>
      </c>
      <c r="N640" t="s">
        <v>447</v>
      </c>
      <c r="O640">
        <v>2.0099999999999998</v>
      </c>
      <c r="P640">
        <v>2.2227488151658767</v>
      </c>
      <c r="W640" s="39">
        <f t="shared" si="27"/>
        <v>0</v>
      </c>
    </row>
    <row r="641" spans="13:23">
      <c r="M641">
        <v>18578401151</v>
      </c>
      <c r="N641" t="s">
        <v>447</v>
      </c>
      <c r="O641">
        <v>2.0099999999999998</v>
      </c>
      <c r="P641">
        <v>2.2219359587780638</v>
      </c>
      <c r="W641" s="39">
        <f t="shared" si="27"/>
        <v>0</v>
      </c>
    </row>
    <row r="642" spans="13:23">
      <c r="M642">
        <v>18582401097</v>
      </c>
      <c r="N642" t="s">
        <v>447</v>
      </c>
      <c r="O642">
        <v>2.0099999999999998</v>
      </c>
      <c r="P642">
        <v>2.2218543046357615</v>
      </c>
      <c r="W642" s="39">
        <f t="shared" si="27"/>
        <v>0</v>
      </c>
    </row>
    <row r="643" spans="13:23">
      <c r="M643">
        <v>2048401221</v>
      </c>
      <c r="N643" t="s">
        <v>447</v>
      </c>
      <c r="O643">
        <v>2.0099999999999998</v>
      </c>
      <c r="P643">
        <v>2.2220888355342137</v>
      </c>
      <c r="W643" s="39">
        <f t="shared" si="27"/>
        <v>0</v>
      </c>
    </row>
    <row r="644" spans="13:23">
      <c r="M644">
        <v>2076401221</v>
      </c>
      <c r="N644" t="s">
        <v>447</v>
      </c>
      <c r="O644">
        <v>2.0099999999999998</v>
      </c>
      <c r="P644">
        <v>2.2221741013425724</v>
      </c>
      <c r="W644" s="39">
        <f t="shared" si="27"/>
        <v>0</v>
      </c>
    </row>
    <row r="645" spans="13:23">
      <c r="M645">
        <v>2076401221</v>
      </c>
      <c r="N645" t="s">
        <v>447</v>
      </c>
      <c r="O645">
        <v>2.0099999999999998</v>
      </c>
      <c r="P645">
        <v>2.2223335002503757</v>
      </c>
      <c r="W645" s="39">
        <f t="shared" si="27"/>
        <v>0</v>
      </c>
    </row>
    <row r="646" spans="13:23">
      <c r="M646">
        <v>18564401596</v>
      </c>
      <c r="N646" t="s">
        <v>447</v>
      </c>
      <c r="O646">
        <v>2.0099999999999998</v>
      </c>
      <c r="P646">
        <v>1.8182727575858619</v>
      </c>
      <c r="W646" s="39">
        <f t="shared" si="27"/>
        <v>0</v>
      </c>
    </row>
    <row r="647" spans="13:23">
      <c r="M647">
        <v>18564401596</v>
      </c>
      <c r="N647" t="s">
        <v>447</v>
      </c>
      <c r="O647">
        <v>2.0099999999999998</v>
      </c>
      <c r="P647">
        <v>1.8181470625716833</v>
      </c>
      <c r="W647" s="39">
        <f t="shared" si="27"/>
        <v>0</v>
      </c>
    </row>
    <row r="648" spans="13:23">
      <c r="M648">
        <v>17566401434</v>
      </c>
      <c r="N648" t="s">
        <v>447</v>
      </c>
      <c r="O648">
        <v>2.0099999999999998</v>
      </c>
      <c r="P648">
        <v>1.8182612494539101</v>
      </c>
      <c r="W648" s="39">
        <f t="shared" si="27"/>
        <v>0</v>
      </c>
    </row>
    <row r="649" spans="13:23">
      <c r="M649">
        <v>18111401434</v>
      </c>
      <c r="N649" t="s">
        <v>447</v>
      </c>
      <c r="O649">
        <v>2.0099999999999998</v>
      </c>
      <c r="P649">
        <v>1.8180275715800636</v>
      </c>
      <c r="W649" s="39">
        <f t="shared" si="27"/>
        <v>0</v>
      </c>
    </row>
    <row r="650" spans="13:23">
      <c r="M650">
        <v>18689401414</v>
      </c>
      <c r="N650" t="s">
        <v>447</v>
      </c>
      <c r="O650">
        <v>2.0099999999999998</v>
      </c>
      <c r="P650">
        <v>2.2222222222222223</v>
      </c>
      <c r="W650" s="39">
        <f t="shared" si="27"/>
        <v>0</v>
      </c>
    </row>
    <row r="651" spans="13:23">
      <c r="M651">
        <v>18551401341</v>
      </c>
      <c r="N651" t="s">
        <v>447</v>
      </c>
      <c r="O651">
        <v>2.0099999999999998</v>
      </c>
      <c r="P651">
        <v>2.2219658514074756</v>
      </c>
      <c r="W651" s="39">
        <f t="shared" si="27"/>
        <v>0</v>
      </c>
    </row>
    <row r="652" spans="13:23">
      <c r="M652">
        <v>18627401345</v>
      </c>
      <c r="N652" t="s">
        <v>447</v>
      </c>
      <c r="O652">
        <v>2.0099999999999998</v>
      </c>
      <c r="P652">
        <v>2.2220888355342137</v>
      </c>
      <c r="W652" s="39">
        <f t="shared" si="27"/>
        <v>0</v>
      </c>
    </row>
    <row r="653" spans="13:23">
      <c r="M653">
        <v>18627401345</v>
      </c>
      <c r="N653" t="s">
        <v>447</v>
      </c>
      <c r="O653">
        <v>2.0099999999999998</v>
      </c>
      <c r="P653">
        <v>2.2222596964586847</v>
      </c>
      <c r="W653" s="39">
        <f t="shared" si="27"/>
        <v>0</v>
      </c>
    </row>
    <row r="654" spans="13:23">
      <c r="M654">
        <v>18687401345</v>
      </c>
      <c r="N654" t="s">
        <v>447</v>
      </c>
      <c r="O654">
        <v>2.0099999999999998</v>
      </c>
      <c r="P654">
        <v>2.2222670431625655</v>
      </c>
      <c r="W654" s="39">
        <f t="shared" si="27"/>
        <v>0</v>
      </c>
    </row>
    <row r="655" spans="13:23">
      <c r="M655">
        <v>17637401570</v>
      </c>
      <c r="N655" t="s">
        <v>447</v>
      </c>
      <c r="O655">
        <v>2.0099999999999998</v>
      </c>
      <c r="P655">
        <v>2.2223364165810211</v>
      </c>
      <c r="W655" s="39">
        <f t="shared" si="27"/>
        <v>0</v>
      </c>
    </row>
    <row r="656" spans="13:23">
      <c r="M656">
        <v>18615400553</v>
      </c>
      <c r="N656" t="s">
        <v>447</v>
      </c>
      <c r="O656">
        <v>2.0099999999999998</v>
      </c>
      <c r="P656">
        <v>1.8189233278955954</v>
      </c>
      <c r="W656" s="39">
        <f t="shared" si="27"/>
        <v>0</v>
      </c>
    </row>
    <row r="657" spans="13:23">
      <c r="M657">
        <v>18615400553</v>
      </c>
      <c r="N657" t="s">
        <v>447</v>
      </c>
      <c r="O657">
        <v>2.0099999999999998</v>
      </c>
      <c r="P657">
        <v>1.8181294632573139</v>
      </c>
      <c r="W657" s="39">
        <f t="shared" si="27"/>
        <v>0</v>
      </c>
    </row>
    <row r="658" spans="13:23">
      <c r="M658">
        <v>18289400521</v>
      </c>
      <c r="N658" t="s">
        <v>447</v>
      </c>
      <c r="O658">
        <v>2.0099999999999998</v>
      </c>
      <c r="P658">
        <v>1.8186423505572442</v>
      </c>
      <c r="W658" s="39">
        <f t="shared" si="27"/>
        <v>0</v>
      </c>
    </row>
    <row r="659" spans="13:23">
      <c r="M659">
        <v>18458401229</v>
      </c>
      <c r="N659" t="s">
        <v>447</v>
      </c>
      <c r="O659">
        <v>2.0099999999999998</v>
      </c>
      <c r="P659">
        <v>1.8184067293419099</v>
      </c>
      <c r="W659" s="39">
        <f t="shared" si="27"/>
        <v>0</v>
      </c>
    </row>
    <row r="660" spans="13:23">
      <c r="M660">
        <v>17993401350</v>
      </c>
      <c r="N660" t="s">
        <v>447</v>
      </c>
      <c r="O660">
        <v>2.0099999999999998</v>
      </c>
      <c r="P660">
        <v>2.2217484008528783</v>
      </c>
      <c r="W660" s="39">
        <f t="shared" si="27"/>
        <v>0</v>
      </c>
    </row>
    <row r="661" spans="13:23">
      <c r="M661">
        <v>17846401345</v>
      </c>
      <c r="N661" t="s">
        <v>447</v>
      </c>
      <c r="O661">
        <v>2.0099999999999998</v>
      </c>
      <c r="P661">
        <v>2.2222222222222223</v>
      </c>
      <c r="W661" s="39">
        <f t="shared" si="27"/>
        <v>0</v>
      </c>
    </row>
    <row r="662" spans="13:23">
      <c r="M662">
        <v>17952401345</v>
      </c>
      <c r="N662" t="s">
        <v>447</v>
      </c>
      <c r="O662">
        <v>2.0099999999999998</v>
      </c>
      <c r="P662">
        <v>2.2219658514074756</v>
      </c>
      <c r="W662" s="39">
        <f t="shared" si="27"/>
        <v>0</v>
      </c>
    </row>
    <row r="663" spans="13:23">
      <c r="M663">
        <v>2196401221</v>
      </c>
      <c r="N663" t="s">
        <v>447</v>
      </c>
      <c r="O663">
        <v>2.0099999999999998</v>
      </c>
      <c r="P663">
        <v>2.2222222222222223</v>
      </c>
      <c r="W663" s="39">
        <f t="shared" ref="W663:W666" si="28">U663-V663</f>
        <v>0</v>
      </c>
    </row>
    <row r="664" spans="13:23">
      <c r="M664">
        <v>18654401482</v>
      </c>
      <c r="N664" t="s">
        <v>447</v>
      </c>
      <c r="O664">
        <v>2.0099999999999998</v>
      </c>
      <c r="P664">
        <v>2.222304283604136</v>
      </c>
      <c r="W664" s="39">
        <f t="shared" si="28"/>
        <v>0</v>
      </c>
    </row>
    <row r="665" spans="13:23">
      <c r="M665">
        <v>17531401583</v>
      </c>
      <c r="N665" t="s">
        <v>447</v>
      </c>
      <c r="O665">
        <v>2.0099999999999998</v>
      </c>
      <c r="P665">
        <v>2.2225274725274726</v>
      </c>
      <c r="W665" s="39">
        <f t="shared" si="28"/>
        <v>0</v>
      </c>
    </row>
    <row r="666" spans="13:23">
      <c r="M666" t="s">
        <v>430</v>
      </c>
      <c r="W666" s="39">
        <f t="shared" si="28"/>
        <v>0</v>
      </c>
    </row>
    <row r="667" spans="13:23">
      <c r="W667" s="39"/>
    </row>
    <row r="668" spans="13:23">
      <c r="W668" s="39"/>
    </row>
    <row r="669" spans="13:23">
      <c r="W669" s="39"/>
    </row>
    <row r="670" spans="13:23">
      <c r="W670" s="39"/>
    </row>
    <row r="671" spans="13:23">
      <c r="W671" s="39"/>
    </row>
    <row r="672" spans="13:23">
      <c r="W672" s="39"/>
    </row>
    <row r="673" spans="23:23">
      <c r="W673" s="39"/>
    </row>
    <row r="674" spans="23:23">
      <c r="W674" s="39"/>
    </row>
    <row r="675" spans="23:23">
      <c r="W675" s="39"/>
    </row>
    <row r="676" spans="23:23">
      <c r="W676" s="39"/>
    </row>
    <row r="677" spans="23:23">
      <c r="W677" s="39"/>
    </row>
    <row r="678" spans="23:23">
      <c r="W678" s="39"/>
    </row>
    <row r="679" spans="23:23">
      <c r="W679" s="39"/>
    </row>
    <row r="680" spans="23:23">
      <c r="W680" s="39"/>
    </row>
    <row r="681" spans="23:23">
      <c r="W681" s="39"/>
    </row>
    <row r="682" spans="23:23">
      <c r="W682" s="39"/>
    </row>
    <row r="683" spans="23:23">
      <c r="W683" s="39"/>
    </row>
    <row r="684" spans="23:23">
      <c r="W684" s="39"/>
    </row>
    <row r="685" spans="23:23">
      <c r="W685" s="39"/>
    </row>
    <row r="686" spans="23:23">
      <c r="W686" s="39"/>
    </row>
    <row r="687" spans="23:23">
      <c r="W687" s="39"/>
    </row>
    <row r="688" spans="23:23">
      <c r="W688" s="39"/>
    </row>
    <row r="689" spans="23:23">
      <c r="W689" s="39"/>
    </row>
    <row r="690" spans="23:23">
      <c r="W690" s="39"/>
    </row>
    <row r="691" spans="23:23">
      <c r="W691" s="39"/>
    </row>
    <row r="692" spans="23:23">
      <c r="W692" s="39"/>
    </row>
    <row r="693" spans="23:23">
      <c r="W693" s="39"/>
    </row>
    <row r="694" spans="23:23">
      <c r="W694" s="39"/>
    </row>
    <row r="695" spans="23:23">
      <c r="W695" s="39"/>
    </row>
    <row r="696" spans="23:23">
      <c r="W696" s="39"/>
    </row>
    <row r="697" spans="23:23">
      <c r="W697" s="39"/>
    </row>
    <row r="698" spans="23:23">
      <c r="W698" s="39"/>
    </row>
    <row r="699" spans="23:23">
      <c r="W699" s="39"/>
    </row>
    <row r="700" spans="23:23">
      <c r="W700" s="39"/>
    </row>
    <row r="701" spans="23:23">
      <c r="W701" s="39"/>
    </row>
    <row r="702" spans="23:23">
      <c r="W702" s="39"/>
    </row>
    <row r="703" spans="23:23">
      <c r="W703" s="39"/>
    </row>
    <row r="704" spans="23:23">
      <c r="W704" s="39"/>
    </row>
    <row r="705" spans="23:23">
      <c r="W705" s="39"/>
    </row>
    <row r="706" spans="23:23">
      <c r="W706" s="39"/>
    </row>
    <row r="707" spans="23:23">
      <c r="W707" s="39"/>
    </row>
    <row r="708" spans="23:23">
      <c r="W708" s="39"/>
    </row>
    <row r="709" spans="23:23">
      <c r="W709" s="39"/>
    </row>
    <row r="710" spans="23:23">
      <c r="W710" s="39"/>
    </row>
    <row r="711" spans="23:23">
      <c r="W711" s="39"/>
    </row>
    <row r="712" spans="23:23">
      <c r="W712" s="39"/>
    </row>
    <row r="713" spans="23:23">
      <c r="W713" s="39"/>
    </row>
    <row r="714" spans="23:23">
      <c r="W714" s="39"/>
    </row>
    <row r="715" spans="23:23">
      <c r="W715" s="39"/>
    </row>
    <row r="716" spans="23:23">
      <c r="W716" s="39"/>
    </row>
    <row r="717" spans="23:23">
      <c r="W717" s="39"/>
    </row>
    <row r="718" spans="23:23">
      <c r="W718" s="39"/>
    </row>
    <row r="719" spans="23:23">
      <c r="W719" s="39"/>
    </row>
    <row r="720" spans="23:23">
      <c r="W720" s="39"/>
    </row>
    <row r="721" spans="23:23">
      <c r="W721" s="39"/>
    </row>
    <row r="722" spans="23:23">
      <c r="W722" s="39"/>
    </row>
    <row r="723" spans="23:23">
      <c r="W723" s="39"/>
    </row>
    <row r="724" spans="23:23">
      <c r="W724" s="39"/>
    </row>
    <row r="725" spans="23:23">
      <c r="W725" s="39"/>
    </row>
    <row r="726" spans="23:23">
      <c r="W726" s="39"/>
    </row>
    <row r="727" spans="23:23">
      <c r="W727" s="39"/>
    </row>
    <row r="728" spans="23:23">
      <c r="W728" s="39"/>
    </row>
    <row r="729" spans="23:23">
      <c r="W729" s="39"/>
    </row>
    <row r="730" spans="23:23">
      <c r="W730" s="39"/>
    </row>
    <row r="731" spans="23:23">
      <c r="W731" s="39"/>
    </row>
    <row r="732" spans="23:23">
      <c r="W732" s="39"/>
    </row>
    <row r="733" spans="23:23">
      <c r="W733" s="39"/>
    </row>
    <row r="734" spans="23:23">
      <c r="W734" s="39"/>
    </row>
    <row r="735" spans="23:23">
      <c r="W735" s="39"/>
    </row>
    <row r="736" spans="23:23">
      <c r="W736" s="39"/>
    </row>
    <row r="737" spans="23:23">
      <c r="W737" s="39"/>
    </row>
    <row r="738" spans="23:23">
      <c r="W738" s="39"/>
    </row>
    <row r="739" spans="23:23">
      <c r="W739" s="39"/>
    </row>
    <row r="740" spans="23:23">
      <c r="W740" s="39"/>
    </row>
    <row r="741" spans="23:23">
      <c r="W741" s="39"/>
    </row>
    <row r="742" spans="23:23">
      <c r="W742" s="39"/>
    </row>
    <row r="743" spans="23:23">
      <c r="W743" s="39"/>
    </row>
    <row r="744" spans="23:23">
      <c r="W744" s="39"/>
    </row>
    <row r="745" spans="23:23">
      <c r="W745" s="39"/>
    </row>
    <row r="746" spans="23:23">
      <c r="W746" s="39"/>
    </row>
    <row r="747" spans="23:23">
      <c r="W747" s="39"/>
    </row>
    <row r="748" spans="23:23">
      <c r="W748" s="39"/>
    </row>
    <row r="749" spans="23:23">
      <c r="W749" s="39"/>
    </row>
  </sheetData>
  <pageMargins left="0.511811024" right="0.511811024" top="0.78740157499999996" bottom="0.78740157499999996" header="0.31496062000000002" footer="0.31496062000000002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Delivery</vt:lpstr>
      <vt:lpstr>Allocation</vt:lpstr>
      <vt:lpstr>Shipments</vt:lpstr>
      <vt:lpstr>References</vt:lpstr>
      <vt:lpstr>Check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Tanaka</dc:creator>
  <cp:lastModifiedBy>Oséias Mendes da Costa</cp:lastModifiedBy>
  <dcterms:created xsi:type="dcterms:W3CDTF">2019-03-20T14:10:46Z</dcterms:created>
  <dcterms:modified xsi:type="dcterms:W3CDTF">2020-02-07T18:50:41Z</dcterms:modified>
</cp:coreProperties>
</file>